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3.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emilysmolgovsky/Downloads/"/>
    </mc:Choice>
  </mc:AlternateContent>
  <xr:revisionPtr revIDLastSave="0" documentId="8_{F8238D70-00F6-3B4C-A6C8-97A0898EC83B}" xr6:coauthVersionLast="47" xr6:coauthVersionMax="47" xr10:uidLastSave="{00000000-0000-0000-0000-000000000000}"/>
  <bookViews>
    <workbookView xWindow="3680" yWindow="900" windowWidth="24960" windowHeight="17160" tabRatio="500" xr2:uid="{00000000-000D-0000-FFFF-FFFF00000000}"/>
  </bookViews>
  <sheets>
    <sheet name="Commission Calculator" sheetId="12" r:id="rId1"/>
    <sheet name="Pipeline Coverage" sheetId="11" r:id="rId2"/>
    <sheet name="Executive Summary" sheetId="1" r:id="rId3"/>
    <sheet name="Monthly_Summary" sheetId="4" r:id="rId4"/>
    <sheet name="Dim_Reps" sheetId="5" r:id="rId5"/>
    <sheet name="Fact_Quota" sheetId="6" r:id="rId6"/>
    <sheet name="Fact_Pipeline" sheetId="7" r:id="rId7"/>
    <sheet name="Dim_Date" sheetId="8" r:id="rId8"/>
    <sheet name="Lookups" sheetId="9" r:id="rId9"/>
  </sheets>
  <definedNames>
    <definedName name="_xlnm._FilterDatabase" localSheetId="0" hidden="1">'Commission Calculator'!$A$91:$N$141</definedName>
    <definedName name="_xlnm._FilterDatabase" localSheetId="1" hidden="1">'Pipeline Coverage'!$B$64:$K$114</definedName>
    <definedName name="_xlnm.Print_Area" localSheetId="0">'Commission Calculator'!$A$1:$N$143</definedName>
    <definedName name="_xlnm.Print_Area" localSheetId="2">'Executive Summary'!$A$1:$N$140</definedName>
    <definedName name="_xlnm.Print_Area" localSheetId="1">'Pipeline Coverage'!$A$1:$N$125</definedName>
    <definedName name="Slicer_Month">#N/A</definedName>
    <definedName name="Slicer_Month_Year">#N/A</definedName>
    <definedName name="Slicer_Month_Year1">#N/A</definedName>
    <definedName name="Slicer_Month_Year2">#N/A</definedName>
    <definedName name="Slicer_Year">#N/A</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 i="12" l="1"/>
  <c r="A9" i="12"/>
  <c r="A18" i="12"/>
  <c r="A62" i="12"/>
  <c r="A89" i="12"/>
  <c r="B153" i="12"/>
  <c r="B154" i="12" s="1"/>
  <c r="B155" i="12"/>
  <c r="A158" i="12"/>
  <c r="B158" i="12"/>
  <c r="C158" i="12"/>
  <c r="D158" i="12"/>
  <c r="A159" i="12"/>
  <c r="B159" i="12"/>
  <c r="C159" i="12"/>
  <c r="D159" i="12"/>
  <c r="A160" i="12"/>
  <c r="B160" i="12"/>
  <c r="C160" i="12"/>
  <c r="D160" i="12"/>
  <c r="A161" i="12"/>
  <c r="B161" i="12"/>
  <c r="C161" i="12"/>
  <c r="D161" i="12"/>
  <c r="A165" i="12"/>
  <c r="B165" i="12"/>
  <c r="C165" i="12"/>
  <c r="C218" i="12" s="1"/>
  <c r="D165" i="12"/>
  <c r="E165" i="12"/>
  <c r="F165" i="12"/>
  <c r="A166" i="12"/>
  <c r="B166" i="12"/>
  <c r="C166" i="12"/>
  <c r="C242" i="12" s="1"/>
  <c r="D166" i="12"/>
  <c r="E166" i="12"/>
  <c r="F166" i="12"/>
  <c r="A167" i="12"/>
  <c r="B167" i="12"/>
  <c r="C167" i="12"/>
  <c r="D167" i="12"/>
  <c r="E167" i="12"/>
  <c r="F167" i="12"/>
  <c r="A168" i="12"/>
  <c r="B168" i="12"/>
  <c r="C168" i="12"/>
  <c r="D168" i="12"/>
  <c r="E168" i="12"/>
  <c r="F168" i="12"/>
  <c r="A169" i="12"/>
  <c r="A314" i="12" s="1"/>
  <c r="B169" i="12"/>
  <c r="C169" i="12"/>
  <c r="D169" i="12"/>
  <c r="E169" i="12"/>
  <c r="F169" i="12"/>
  <c r="P169" i="12" s="1"/>
  <c r="A170" i="12"/>
  <c r="A338" i="12" s="1"/>
  <c r="B170" i="12"/>
  <c r="C170" i="12"/>
  <c r="D170" i="12"/>
  <c r="E170" i="12"/>
  <c r="F170" i="12"/>
  <c r="A171" i="12"/>
  <c r="B171" i="12"/>
  <c r="C171" i="12"/>
  <c r="C362" i="12" s="1"/>
  <c r="D171" i="12"/>
  <c r="E171" i="12"/>
  <c r="F171" i="12"/>
  <c r="A172" i="12"/>
  <c r="A386" i="12" s="1"/>
  <c r="B172" i="12"/>
  <c r="C172" i="12"/>
  <c r="C386" i="12" s="1"/>
  <c r="D172" i="12"/>
  <c r="E172" i="12"/>
  <c r="F172" i="12"/>
  <c r="A173" i="12"/>
  <c r="B173" i="12"/>
  <c r="C173" i="12"/>
  <c r="C410" i="12" s="1"/>
  <c r="D173" i="12"/>
  <c r="E173" i="12"/>
  <c r="F173" i="12"/>
  <c r="A174" i="12"/>
  <c r="B174" i="12"/>
  <c r="C174" i="12"/>
  <c r="C434" i="12" s="1"/>
  <c r="D174" i="12"/>
  <c r="E174" i="12"/>
  <c r="F174" i="12"/>
  <c r="A175" i="12"/>
  <c r="B175" i="12"/>
  <c r="C175" i="12"/>
  <c r="D175" i="12"/>
  <c r="E175" i="12"/>
  <c r="F175" i="12"/>
  <c r="A176" i="12"/>
  <c r="B176" i="12"/>
  <c r="C176" i="12"/>
  <c r="D176" i="12"/>
  <c r="E176" i="12"/>
  <c r="F176" i="12"/>
  <c r="A177" i="12"/>
  <c r="A506" i="12" s="1"/>
  <c r="B177" i="12"/>
  <c r="C177" i="12"/>
  <c r="D177" i="12"/>
  <c r="E177" i="12"/>
  <c r="F177" i="12"/>
  <c r="P177" i="12" s="1"/>
  <c r="A178" i="12"/>
  <c r="B178" i="12"/>
  <c r="C178" i="12"/>
  <c r="D178" i="12"/>
  <c r="E178" i="12"/>
  <c r="F178" i="12"/>
  <c r="A179" i="12"/>
  <c r="B179" i="12"/>
  <c r="C179" i="12"/>
  <c r="D179" i="12"/>
  <c r="E179" i="12"/>
  <c r="F179" i="12"/>
  <c r="A180" i="12"/>
  <c r="B180" i="12"/>
  <c r="C180" i="12"/>
  <c r="D180" i="12"/>
  <c r="E180" i="12"/>
  <c r="F180" i="12"/>
  <c r="A181" i="12"/>
  <c r="B181" i="12"/>
  <c r="C181" i="12"/>
  <c r="D181" i="12"/>
  <c r="E181" i="12"/>
  <c r="F181" i="12"/>
  <c r="A182" i="12"/>
  <c r="B182" i="12"/>
  <c r="C182" i="12"/>
  <c r="D182" i="12"/>
  <c r="E182" i="12"/>
  <c r="F182" i="12"/>
  <c r="A183" i="12"/>
  <c r="B183" i="12"/>
  <c r="C183" i="12"/>
  <c r="D183" i="12"/>
  <c r="E183" i="12"/>
  <c r="F183" i="12"/>
  <c r="A184" i="12"/>
  <c r="B184" i="12"/>
  <c r="C184" i="12"/>
  <c r="D184" i="12"/>
  <c r="E184" i="12"/>
  <c r="F184" i="12"/>
  <c r="P184" i="12" s="1"/>
  <c r="A185" i="12"/>
  <c r="B185" i="12"/>
  <c r="C185" i="12"/>
  <c r="D185" i="12"/>
  <c r="E185" i="12"/>
  <c r="F185" i="12"/>
  <c r="P185" i="12" s="1"/>
  <c r="A186" i="12"/>
  <c r="B186" i="12"/>
  <c r="C186" i="12"/>
  <c r="D186" i="12"/>
  <c r="E186" i="12"/>
  <c r="F186" i="12"/>
  <c r="A187" i="12"/>
  <c r="B187" i="12"/>
  <c r="C187" i="12"/>
  <c r="D187" i="12"/>
  <c r="E187" i="12"/>
  <c r="F187" i="12"/>
  <c r="A188" i="12"/>
  <c r="B188" i="12"/>
  <c r="C188" i="12"/>
  <c r="D188" i="12"/>
  <c r="E188" i="12"/>
  <c r="F188" i="12"/>
  <c r="A189" i="12"/>
  <c r="B189" i="12"/>
  <c r="C189" i="12"/>
  <c r="D189" i="12"/>
  <c r="E189" i="12"/>
  <c r="F189" i="12"/>
  <c r="A190" i="12"/>
  <c r="B190" i="12"/>
  <c r="C190" i="12"/>
  <c r="D190" i="12"/>
  <c r="E190" i="12"/>
  <c r="F190" i="12"/>
  <c r="A191" i="12"/>
  <c r="B191" i="12"/>
  <c r="C191" i="12"/>
  <c r="D191" i="12"/>
  <c r="E191" i="12"/>
  <c r="F191" i="12"/>
  <c r="A192" i="12"/>
  <c r="B192" i="12"/>
  <c r="C192" i="12"/>
  <c r="D192" i="12"/>
  <c r="E192" i="12"/>
  <c r="F192" i="12"/>
  <c r="A193" i="12"/>
  <c r="B193" i="12"/>
  <c r="C193" i="12"/>
  <c r="D193" i="12"/>
  <c r="E193" i="12"/>
  <c r="F193" i="12"/>
  <c r="A194" i="12"/>
  <c r="B194" i="12"/>
  <c r="C194" i="12"/>
  <c r="D194" i="12"/>
  <c r="E194" i="12"/>
  <c r="F194" i="12"/>
  <c r="A195" i="12"/>
  <c r="B195" i="12"/>
  <c r="C195" i="12"/>
  <c r="D195" i="12"/>
  <c r="E195" i="12"/>
  <c r="F195" i="12"/>
  <c r="A196" i="12"/>
  <c r="B196" i="12"/>
  <c r="C196" i="12"/>
  <c r="D196" i="12"/>
  <c r="E196" i="12"/>
  <c r="F196" i="12"/>
  <c r="A197" i="12"/>
  <c r="B197" i="12"/>
  <c r="C197" i="12"/>
  <c r="D197" i="12"/>
  <c r="E197" i="12"/>
  <c r="F197" i="12"/>
  <c r="A198" i="12"/>
  <c r="B198" i="12"/>
  <c r="C198" i="12"/>
  <c r="D198" i="12"/>
  <c r="E198" i="12"/>
  <c r="F198" i="12"/>
  <c r="P198" i="12" s="1"/>
  <c r="A199" i="12"/>
  <c r="B199" i="12"/>
  <c r="C199" i="12"/>
  <c r="D199" i="12"/>
  <c r="E199" i="12"/>
  <c r="F199" i="12"/>
  <c r="A200" i="12"/>
  <c r="B200" i="12"/>
  <c r="C200" i="12"/>
  <c r="D200" i="12"/>
  <c r="E200" i="12"/>
  <c r="F200" i="12"/>
  <c r="A201" i="12"/>
  <c r="B201" i="12"/>
  <c r="C201" i="12"/>
  <c r="D201" i="12"/>
  <c r="E201" i="12"/>
  <c r="F201" i="12"/>
  <c r="A202" i="12"/>
  <c r="B202" i="12"/>
  <c r="C202" i="12"/>
  <c r="D202" i="12"/>
  <c r="E202" i="12"/>
  <c r="F202" i="12"/>
  <c r="A203" i="12"/>
  <c r="B203" i="12"/>
  <c r="C203" i="12"/>
  <c r="D203" i="12"/>
  <c r="E203" i="12"/>
  <c r="F203" i="12"/>
  <c r="A204" i="12"/>
  <c r="B204" i="12"/>
  <c r="C204" i="12"/>
  <c r="D204" i="12"/>
  <c r="E204" i="12"/>
  <c r="F204" i="12"/>
  <c r="A205" i="12"/>
  <c r="B205" i="12"/>
  <c r="C205" i="12"/>
  <c r="D205" i="12"/>
  <c r="E205" i="12"/>
  <c r="F205" i="12"/>
  <c r="A206" i="12"/>
  <c r="B206" i="12"/>
  <c r="C206" i="12"/>
  <c r="D206" i="12"/>
  <c r="E206" i="12"/>
  <c r="F206" i="12"/>
  <c r="A207" i="12"/>
  <c r="B207" i="12"/>
  <c r="C207" i="12"/>
  <c r="D207" i="12"/>
  <c r="E207" i="12"/>
  <c r="F207" i="12"/>
  <c r="P207" i="12" s="1"/>
  <c r="A208" i="12"/>
  <c r="B208" i="12"/>
  <c r="C208" i="12"/>
  <c r="D208" i="12"/>
  <c r="E208" i="12"/>
  <c r="F208" i="12"/>
  <c r="A209" i="12"/>
  <c r="B209" i="12"/>
  <c r="C209" i="12"/>
  <c r="D209" i="12"/>
  <c r="E209" i="12"/>
  <c r="F209" i="12"/>
  <c r="A210" i="12"/>
  <c r="B210" i="12"/>
  <c r="C210" i="12"/>
  <c r="D210" i="12"/>
  <c r="E210" i="12"/>
  <c r="F210" i="12"/>
  <c r="P210" i="12" s="1"/>
  <c r="A211" i="12"/>
  <c r="B211" i="12"/>
  <c r="C211" i="12"/>
  <c r="D211" i="12"/>
  <c r="E211" i="12"/>
  <c r="F211" i="12"/>
  <c r="A212" i="12"/>
  <c r="B212" i="12"/>
  <c r="C212" i="12"/>
  <c r="D212" i="12"/>
  <c r="E212" i="12"/>
  <c r="F212" i="12"/>
  <c r="A213" i="12"/>
  <c r="B213" i="12"/>
  <c r="C213" i="12"/>
  <c r="D213" i="12"/>
  <c r="E213" i="12"/>
  <c r="F213" i="12"/>
  <c r="A214" i="12"/>
  <c r="B214" i="12"/>
  <c r="C214" i="12"/>
  <c r="D214" i="12"/>
  <c r="E214" i="12"/>
  <c r="F214" i="12"/>
  <c r="P214" i="12" s="1"/>
  <c r="A218" i="12"/>
  <c r="A219" i="12"/>
  <c r="C219" i="12"/>
  <c r="A220" i="12"/>
  <c r="C220" i="12"/>
  <c r="A221" i="12"/>
  <c r="C221" i="12"/>
  <c r="A222" i="12"/>
  <c r="A223" i="12"/>
  <c r="C223" i="12"/>
  <c r="A224" i="12"/>
  <c r="C224" i="12"/>
  <c r="A225" i="12"/>
  <c r="C225" i="12"/>
  <c r="A226" i="12"/>
  <c r="A227" i="12"/>
  <c r="C227" i="12"/>
  <c r="A228" i="12"/>
  <c r="C228" i="12"/>
  <c r="A229" i="12"/>
  <c r="C229" i="12"/>
  <c r="A230" i="12"/>
  <c r="A231" i="12"/>
  <c r="C231" i="12"/>
  <c r="A232" i="12"/>
  <c r="C232" i="12"/>
  <c r="A233" i="12"/>
  <c r="C233" i="12"/>
  <c r="A234" i="12"/>
  <c r="A235" i="12"/>
  <c r="C235" i="12"/>
  <c r="A236" i="12"/>
  <c r="C236" i="12"/>
  <c r="A237" i="12"/>
  <c r="C237" i="12"/>
  <c r="A238" i="12"/>
  <c r="A239" i="12"/>
  <c r="C239" i="12"/>
  <c r="A240" i="12"/>
  <c r="C240" i="12"/>
  <c r="A241" i="12"/>
  <c r="C241" i="12"/>
  <c r="A242" i="12"/>
  <c r="A243" i="12"/>
  <c r="C243" i="12"/>
  <c r="A244" i="12"/>
  <c r="C244" i="12"/>
  <c r="A245" i="12"/>
  <c r="C245" i="12"/>
  <c r="A246" i="12"/>
  <c r="A247" i="12"/>
  <c r="C247" i="12"/>
  <c r="A248" i="12"/>
  <c r="C248" i="12"/>
  <c r="A249" i="12"/>
  <c r="C249" i="12"/>
  <c r="A250" i="12"/>
  <c r="A251" i="12"/>
  <c r="C251" i="12"/>
  <c r="A252" i="12"/>
  <c r="C252" i="12"/>
  <c r="A253" i="12"/>
  <c r="C253" i="12"/>
  <c r="A254" i="12"/>
  <c r="A255" i="12"/>
  <c r="C255" i="12"/>
  <c r="A256" i="12"/>
  <c r="C256" i="12"/>
  <c r="A257" i="12"/>
  <c r="C257" i="12"/>
  <c r="A258" i="12"/>
  <c r="A259" i="12"/>
  <c r="C259" i="12"/>
  <c r="A260" i="12"/>
  <c r="C260" i="12"/>
  <c r="A261" i="12"/>
  <c r="C261" i="12"/>
  <c r="A262" i="12"/>
  <c r="A263" i="12"/>
  <c r="C263" i="12"/>
  <c r="A264" i="12"/>
  <c r="C264" i="12"/>
  <c r="A265" i="12"/>
  <c r="C265" i="12"/>
  <c r="A266" i="12"/>
  <c r="C266" i="12"/>
  <c r="A267" i="12"/>
  <c r="C267" i="12"/>
  <c r="A268" i="12"/>
  <c r="C268" i="12"/>
  <c r="A269" i="12"/>
  <c r="C269" i="12"/>
  <c r="A270" i="12"/>
  <c r="C270" i="12"/>
  <c r="A271" i="12"/>
  <c r="C271" i="12"/>
  <c r="A272" i="12"/>
  <c r="C272" i="12"/>
  <c r="A273" i="12"/>
  <c r="C273" i="12"/>
  <c r="A274" i="12"/>
  <c r="C274" i="12"/>
  <c r="A275" i="12"/>
  <c r="C275" i="12"/>
  <c r="A276" i="12"/>
  <c r="C276" i="12"/>
  <c r="A277" i="12"/>
  <c r="C277" i="12"/>
  <c r="A278" i="12"/>
  <c r="C278" i="12"/>
  <c r="A279" i="12"/>
  <c r="C279" i="12"/>
  <c r="A280" i="12"/>
  <c r="C280" i="12"/>
  <c r="A281" i="12"/>
  <c r="C281" i="12"/>
  <c r="A282" i="12"/>
  <c r="C282" i="12"/>
  <c r="A283" i="12"/>
  <c r="C283" i="12"/>
  <c r="A284" i="12"/>
  <c r="C284" i="12"/>
  <c r="A285" i="12"/>
  <c r="C285" i="12"/>
  <c r="A286" i="12"/>
  <c r="C286" i="12"/>
  <c r="A287" i="12"/>
  <c r="C287" i="12"/>
  <c r="A288" i="12"/>
  <c r="C288" i="12"/>
  <c r="A289" i="12"/>
  <c r="C289" i="12"/>
  <c r="A290" i="12"/>
  <c r="C290" i="12"/>
  <c r="A291" i="12"/>
  <c r="C291" i="12"/>
  <c r="A292" i="12"/>
  <c r="C292" i="12"/>
  <c r="A293" i="12"/>
  <c r="C293" i="12"/>
  <c r="A294" i="12"/>
  <c r="C294" i="12"/>
  <c r="A295" i="12"/>
  <c r="C295" i="12"/>
  <c r="A296" i="12"/>
  <c r="C296" i="12"/>
  <c r="A297" i="12"/>
  <c r="C297" i="12"/>
  <c r="A298" i="12"/>
  <c r="C298" i="12"/>
  <c r="A299" i="12"/>
  <c r="C299" i="12"/>
  <c r="A300" i="12"/>
  <c r="C300" i="12"/>
  <c r="A301" i="12"/>
  <c r="C301" i="12"/>
  <c r="A302" i="12"/>
  <c r="C302" i="12"/>
  <c r="A303" i="12"/>
  <c r="C303" i="12"/>
  <c r="A304" i="12"/>
  <c r="C304" i="12"/>
  <c r="A305" i="12"/>
  <c r="C305" i="12"/>
  <c r="A306" i="12"/>
  <c r="C306" i="12"/>
  <c r="A307" i="12"/>
  <c r="C307" i="12"/>
  <c r="A308" i="12"/>
  <c r="C308" i="12"/>
  <c r="A309" i="12"/>
  <c r="C309" i="12"/>
  <c r="A310" i="12"/>
  <c r="C310" i="12"/>
  <c r="A311" i="12"/>
  <c r="C311" i="12"/>
  <c r="A312" i="12"/>
  <c r="C312" i="12"/>
  <c r="A313" i="12"/>
  <c r="C313" i="12"/>
  <c r="C314" i="12"/>
  <c r="A315" i="12"/>
  <c r="C315" i="12"/>
  <c r="A316" i="12"/>
  <c r="C316" i="12"/>
  <c r="C317" i="12"/>
  <c r="C318" i="12"/>
  <c r="A319" i="12"/>
  <c r="C319" i="12"/>
  <c r="A320" i="12"/>
  <c r="C320" i="12"/>
  <c r="C321" i="12"/>
  <c r="C322" i="12"/>
  <c r="A323" i="12"/>
  <c r="C323" i="12"/>
  <c r="A324" i="12"/>
  <c r="C324" i="12"/>
  <c r="C325" i="12"/>
  <c r="C326" i="12"/>
  <c r="A327" i="12"/>
  <c r="C327" i="12"/>
  <c r="A328" i="12"/>
  <c r="C328" i="12"/>
  <c r="C329" i="12"/>
  <c r="C330" i="12"/>
  <c r="A331" i="12"/>
  <c r="C331" i="12"/>
  <c r="A332" i="12"/>
  <c r="C332" i="12"/>
  <c r="C333" i="12"/>
  <c r="C334" i="12"/>
  <c r="A335" i="12"/>
  <c r="C335" i="12"/>
  <c r="A336" i="12"/>
  <c r="C336" i="12"/>
  <c r="C337" i="12"/>
  <c r="C338" i="12"/>
  <c r="A339" i="12"/>
  <c r="C339" i="12"/>
  <c r="A340" i="12"/>
  <c r="C340" i="12"/>
  <c r="C341" i="12"/>
  <c r="C342" i="12"/>
  <c r="A343" i="12"/>
  <c r="C343" i="12"/>
  <c r="A344" i="12"/>
  <c r="C344" i="12"/>
  <c r="C345" i="12"/>
  <c r="C346" i="12"/>
  <c r="A347" i="12"/>
  <c r="C347" i="12"/>
  <c r="A348" i="12"/>
  <c r="C348" i="12"/>
  <c r="C349" i="12"/>
  <c r="C350" i="12"/>
  <c r="A351" i="12"/>
  <c r="C351" i="12"/>
  <c r="A352" i="12"/>
  <c r="C352" i="12"/>
  <c r="C353" i="12"/>
  <c r="C354" i="12"/>
  <c r="A355" i="12"/>
  <c r="C355" i="12"/>
  <c r="A356" i="12"/>
  <c r="C356" i="12"/>
  <c r="C357" i="12"/>
  <c r="C358" i="12"/>
  <c r="A359" i="12"/>
  <c r="C359" i="12"/>
  <c r="A360" i="12"/>
  <c r="C360" i="12"/>
  <c r="C361" i="12"/>
  <c r="A363" i="12"/>
  <c r="C363" i="12"/>
  <c r="A364" i="12"/>
  <c r="C364" i="12"/>
  <c r="C365" i="12"/>
  <c r="A367" i="12"/>
  <c r="C367" i="12"/>
  <c r="A368" i="12"/>
  <c r="C368" i="12"/>
  <c r="C369" i="12"/>
  <c r="A371" i="12"/>
  <c r="C371" i="12"/>
  <c r="A372" i="12"/>
  <c r="C372" i="12"/>
  <c r="C373" i="12"/>
  <c r="A375" i="12"/>
  <c r="C375" i="12"/>
  <c r="A376" i="12"/>
  <c r="C376" i="12"/>
  <c r="C377" i="12"/>
  <c r="A379" i="12"/>
  <c r="C379" i="12"/>
  <c r="A380" i="12"/>
  <c r="C380" i="12"/>
  <c r="C381" i="12"/>
  <c r="A383" i="12"/>
  <c r="C383" i="12"/>
  <c r="A384" i="12"/>
  <c r="C384" i="12"/>
  <c r="C385" i="12"/>
  <c r="A387" i="12"/>
  <c r="C387" i="12"/>
  <c r="A388" i="12"/>
  <c r="C388" i="12"/>
  <c r="C389" i="12"/>
  <c r="A391" i="12"/>
  <c r="C391" i="12"/>
  <c r="A392" i="12"/>
  <c r="C392" i="12"/>
  <c r="C393" i="12"/>
  <c r="A395" i="12"/>
  <c r="C395" i="12"/>
  <c r="A396" i="12"/>
  <c r="C396" i="12"/>
  <c r="C397" i="12"/>
  <c r="A399" i="12"/>
  <c r="C399" i="12"/>
  <c r="A400" i="12"/>
  <c r="C400" i="12"/>
  <c r="C401" i="12"/>
  <c r="A403" i="12"/>
  <c r="C403" i="12"/>
  <c r="A404" i="12"/>
  <c r="C404" i="12"/>
  <c r="C405" i="12"/>
  <c r="A407" i="12"/>
  <c r="C407" i="12"/>
  <c r="A408" i="12"/>
  <c r="C408" i="12"/>
  <c r="C409" i="12"/>
  <c r="A410" i="12"/>
  <c r="A411" i="12"/>
  <c r="C411" i="12"/>
  <c r="A412" i="12"/>
  <c r="C412" i="12"/>
  <c r="A413" i="12"/>
  <c r="C413" i="12"/>
  <c r="A414" i="12"/>
  <c r="A415" i="12"/>
  <c r="C415" i="12"/>
  <c r="A416" i="12"/>
  <c r="C416" i="12"/>
  <c r="A417" i="12"/>
  <c r="C417" i="12"/>
  <c r="A418" i="12"/>
  <c r="A419" i="12"/>
  <c r="C419" i="12"/>
  <c r="A420" i="12"/>
  <c r="C420" i="12"/>
  <c r="A421" i="12"/>
  <c r="C421" i="12"/>
  <c r="A422" i="12"/>
  <c r="A423" i="12"/>
  <c r="C423" i="12"/>
  <c r="A424" i="12"/>
  <c r="C424" i="12"/>
  <c r="A425" i="12"/>
  <c r="C425" i="12"/>
  <c r="A426" i="12"/>
  <c r="A427" i="12"/>
  <c r="C427" i="12"/>
  <c r="A428" i="12"/>
  <c r="C428" i="12"/>
  <c r="A429" i="12"/>
  <c r="C429" i="12"/>
  <c r="A430" i="12"/>
  <c r="A431" i="12"/>
  <c r="C431" i="12"/>
  <c r="A432" i="12"/>
  <c r="C432" i="12"/>
  <c r="A433" i="12"/>
  <c r="C433" i="12"/>
  <c r="A434" i="12"/>
  <c r="A435" i="12"/>
  <c r="C435" i="12"/>
  <c r="A436" i="12"/>
  <c r="C436" i="12"/>
  <c r="A437" i="12"/>
  <c r="C437" i="12"/>
  <c r="A438" i="12"/>
  <c r="A439" i="12"/>
  <c r="C439" i="12"/>
  <c r="A440" i="12"/>
  <c r="C440" i="12"/>
  <c r="A441" i="12"/>
  <c r="C441" i="12"/>
  <c r="A442" i="12"/>
  <c r="A443" i="12"/>
  <c r="C443" i="12"/>
  <c r="A444" i="12"/>
  <c r="C444" i="12"/>
  <c r="A445" i="12"/>
  <c r="C445" i="12"/>
  <c r="A446" i="12"/>
  <c r="A447" i="12"/>
  <c r="C447" i="12"/>
  <c r="A448" i="12"/>
  <c r="C448" i="12"/>
  <c r="A449" i="12"/>
  <c r="C449" i="12"/>
  <c r="A450" i="12"/>
  <c r="A451" i="12"/>
  <c r="C451" i="12"/>
  <c r="A452" i="12"/>
  <c r="C452" i="12"/>
  <c r="A453" i="12"/>
  <c r="C453" i="12"/>
  <c r="A454" i="12"/>
  <c r="A455" i="12"/>
  <c r="C455" i="12"/>
  <c r="A456" i="12"/>
  <c r="C456" i="12"/>
  <c r="A457" i="12"/>
  <c r="C457" i="12"/>
  <c r="A458" i="12"/>
  <c r="C458" i="12"/>
  <c r="A459" i="12"/>
  <c r="C459" i="12"/>
  <c r="A460" i="12"/>
  <c r="C460" i="12"/>
  <c r="A461" i="12"/>
  <c r="C461" i="12"/>
  <c r="A462" i="12"/>
  <c r="C462" i="12"/>
  <c r="A463" i="12"/>
  <c r="C463" i="12"/>
  <c r="A464" i="12"/>
  <c r="C464" i="12"/>
  <c r="A465" i="12"/>
  <c r="C465" i="12"/>
  <c r="A466" i="12"/>
  <c r="C466" i="12"/>
  <c r="A467" i="12"/>
  <c r="C467" i="12"/>
  <c r="A468" i="12"/>
  <c r="C468" i="12"/>
  <c r="A469" i="12"/>
  <c r="C469" i="12"/>
  <c r="A470" i="12"/>
  <c r="C470" i="12"/>
  <c r="A471" i="12"/>
  <c r="C471" i="12"/>
  <c r="A472" i="12"/>
  <c r="C472" i="12"/>
  <c r="A473" i="12"/>
  <c r="C473" i="12"/>
  <c r="A474" i="12"/>
  <c r="C474" i="12"/>
  <c r="A475" i="12"/>
  <c r="C475" i="12"/>
  <c r="A476" i="12"/>
  <c r="C476" i="12"/>
  <c r="A477" i="12"/>
  <c r="C477" i="12"/>
  <c r="A478" i="12"/>
  <c r="C478" i="12"/>
  <c r="A479" i="12"/>
  <c r="C479" i="12"/>
  <c r="A480" i="12"/>
  <c r="C480" i="12"/>
  <c r="A481" i="12"/>
  <c r="C481" i="12"/>
  <c r="A482" i="12"/>
  <c r="C482" i="12"/>
  <c r="A483" i="12"/>
  <c r="C483" i="12"/>
  <c r="A484" i="12"/>
  <c r="C484" i="12"/>
  <c r="A485" i="12"/>
  <c r="C485" i="12"/>
  <c r="A486" i="12"/>
  <c r="C486" i="12"/>
  <c r="A487" i="12"/>
  <c r="C487" i="12"/>
  <c r="A488" i="12"/>
  <c r="C488" i="12"/>
  <c r="A489" i="12"/>
  <c r="C489" i="12"/>
  <c r="A490" i="12"/>
  <c r="C490" i="12"/>
  <c r="A491" i="12"/>
  <c r="C491" i="12"/>
  <c r="A492" i="12"/>
  <c r="C492" i="12"/>
  <c r="A493" i="12"/>
  <c r="C493" i="12"/>
  <c r="A494" i="12"/>
  <c r="C494" i="12"/>
  <c r="A495" i="12"/>
  <c r="C495" i="12"/>
  <c r="A496" i="12"/>
  <c r="C496" i="12"/>
  <c r="A497" i="12"/>
  <c r="C497" i="12"/>
  <c r="A498" i="12"/>
  <c r="C498" i="12"/>
  <c r="A499" i="12"/>
  <c r="C499" i="12"/>
  <c r="A500" i="12"/>
  <c r="C500" i="12"/>
  <c r="A501" i="12"/>
  <c r="C501" i="12"/>
  <c r="A502" i="12"/>
  <c r="C502" i="12"/>
  <c r="A503" i="12"/>
  <c r="C503" i="12"/>
  <c r="A504" i="12"/>
  <c r="C504" i="12"/>
  <c r="A505" i="12"/>
  <c r="C505" i="12"/>
  <c r="C506" i="12"/>
  <c r="A507" i="12"/>
  <c r="C507" i="12"/>
  <c r="A508" i="12"/>
  <c r="C508" i="12"/>
  <c r="A509" i="12"/>
  <c r="C509" i="12"/>
  <c r="C510" i="12"/>
  <c r="A511" i="12"/>
  <c r="C511" i="12"/>
  <c r="A512" i="12"/>
  <c r="C512" i="12"/>
  <c r="A513" i="12"/>
  <c r="C513" i="12"/>
  <c r="C514" i="12"/>
  <c r="A515" i="12"/>
  <c r="C515" i="12"/>
  <c r="A516" i="12"/>
  <c r="C516" i="12"/>
  <c r="A517" i="12"/>
  <c r="C517" i="12"/>
  <c r="C518" i="12"/>
  <c r="A519" i="12"/>
  <c r="C519" i="12"/>
  <c r="A520" i="12"/>
  <c r="C520" i="12"/>
  <c r="A521" i="12"/>
  <c r="C521" i="12"/>
  <c r="C522" i="12"/>
  <c r="A523" i="12"/>
  <c r="C523" i="12"/>
  <c r="A524" i="12"/>
  <c r="C524" i="12"/>
  <c r="A525" i="12"/>
  <c r="C525" i="12"/>
  <c r="A526" i="12"/>
  <c r="C526" i="12"/>
  <c r="A527" i="12"/>
  <c r="C527" i="12"/>
  <c r="A528" i="12"/>
  <c r="C528" i="12"/>
  <c r="A529" i="12"/>
  <c r="C529" i="12"/>
  <c r="A530" i="12"/>
  <c r="C530" i="12"/>
  <c r="A531" i="12"/>
  <c r="C531" i="12"/>
  <c r="A532" i="12"/>
  <c r="C532" i="12"/>
  <c r="A533" i="12"/>
  <c r="C533" i="12"/>
  <c r="A534" i="12"/>
  <c r="C534" i="12"/>
  <c r="A535" i="12"/>
  <c r="C535" i="12"/>
  <c r="A536" i="12"/>
  <c r="C536" i="12"/>
  <c r="A537" i="12"/>
  <c r="C537" i="12"/>
  <c r="A538" i="12"/>
  <c r="C538" i="12"/>
  <c r="A539" i="12"/>
  <c r="C539" i="12"/>
  <c r="A540" i="12"/>
  <c r="C540" i="12"/>
  <c r="A541" i="12"/>
  <c r="C541" i="12"/>
  <c r="A542" i="12"/>
  <c r="C542" i="12"/>
  <c r="A543" i="12"/>
  <c r="C543" i="12"/>
  <c r="A544" i="12"/>
  <c r="C544" i="12"/>
  <c r="A545" i="12"/>
  <c r="C545" i="12"/>
  <c r="A546" i="12"/>
  <c r="C546" i="12"/>
  <c r="A547" i="12"/>
  <c r="C547" i="12"/>
  <c r="A548" i="12"/>
  <c r="C548" i="12"/>
  <c r="A549" i="12"/>
  <c r="C549" i="12"/>
  <c r="A550" i="12"/>
  <c r="C550" i="12"/>
  <c r="A551" i="12"/>
  <c r="C551" i="12"/>
  <c r="A552" i="12"/>
  <c r="C552" i="12"/>
  <c r="A553" i="12"/>
  <c r="C553" i="12"/>
  <c r="A554" i="12"/>
  <c r="C554" i="12"/>
  <c r="A555" i="12"/>
  <c r="C555" i="12"/>
  <c r="A556" i="12"/>
  <c r="C556" i="12"/>
  <c r="A557" i="12"/>
  <c r="C557" i="12"/>
  <c r="A558" i="12"/>
  <c r="C558" i="12"/>
  <c r="A559" i="12"/>
  <c r="C559" i="12"/>
  <c r="A560" i="12"/>
  <c r="C560" i="12"/>
  <c r="A561" i="12"/>
  <c r="C561" i="12"/>
  <c r="A562" i="12"/>
  <c r="C562" i="12"/>
  <c r="A563" i="12"/>
  <c r="C563" i="12"/>
  <c r="A564" i="12"/>
  <c r="C564" i="12"/>
  <c r="A565" i="12"/>
  <c r="C565" i="12"/>
  <c r="A566" i="12"/>
  <c r="C566" i="12"/>
  <c r="A567" i="12"/>
  <c r="C567" i="12"/>
  <c r="A568" i="12"/>
  <c r="C568" i="12"/>
  <c r="A569" i="12"/>
  <c r="C569" i="12"/>
  <c r="A570" i="12"/>
  <c r="C570" i="12"/>
  <c r="A571" i="12"/>
  <c r="C571" i="12"/>
  <c r="A572" i="12"/>
  <c r="C572" i="12"/>
  <c r="A573" i="12"/>
  <c r="C573" i="12"/>
  <c r="A574" i="12"/>
  <c r="C574" i="12"/>
  <c r="A575" i="12"/>
  <c r="C575" i="12"/>
  <c r="A576" i="12"/>
  <c r="C576" i="12"/>
  <c r="A577" i="12"/>
  <c r="C577" i="12"/>
  <c r="A578" i="12"/>
  <c r="C578" i="12"/>
  <c r="A579" i="12"/>
  <c r="C579" i="12"/>
  <c r="A580" i="12"/>
  <c r="C580" i="12"/>
  <c r="A581" i="12"/>
  <c r="C581" i="12"/>
  <c r="A582" i="12"/>
  <c r="C582" i="12"/>
  <c r="A583" i="12"/>
  <c r="C583" i="12"/>
  <c r="A584" i="12"/>
  <c r="C584" i="12"/>
  <c r="A585" i="12"/>
  <c r="C585" i="12"/>
  <c r="A586" i="12"/>
  <c r="C586" i="12"/>
  <c r="A587" i="12"/>
  <c r="C587" i="12"/>
  <c r="A588" i="12"/>
  <c r="C588" i="12"/>
  <c r="A589" i="12"/>
  <c r="C589" i="12"/>
  <c r="A590" i="12"/>
  <c r="C590" i="12"/>
  <c r="A591" i="12"/>
  <c r="C591" i="12"/>
  <c r="A592" i="12"/>
  <c r="C592" i="12"/>
  <c r="A593" i="12"/>
  <c r="C593" i="12"/>
  <c r="A594" i="12"/>
  <c r="C594" i="12"/>
  <c r="A595" i="12"/>
  <c r="C595" i="12"/>
  <c r="A596" i="12"/>
  <c r="C596" i="12"/>
  <c r="A597" i="12"/>
  <c r="C597" i="12"/>
  <c r="A598" i="12"/>
  <c r="C598" i="12"/>
  <c r="A599" i="12"/>
  <c r="C599" i="12"/>
  <c r="A600" i="12"/>
  <c r="C600" i="12"/>
  <c r="A601" i="12"/>
  <c r="C601" i="12"/>
  <c r="A602" i="12"/>
  <c r="C602" i="12"/>
  <c r="A603" i="12"/>
  <c r="C603" i="12"/>
  <c r="A604" i="12"/>
  <c r="C604" i="12"/>
  <c r="A605" i="12"/>
  <c r="C605" i="12"/>
  <c r="A606" i="12"/>
  <c r="C606" i="12"/>
  <c r="A607" i="12"/>
  <c r="C607" i="12"/>
  <c r="A608" i="12"/>
  <c r="C608" i="12"/>
  <c r="A609" i="12"/>
  <c r="C609" i="12"/>
  <c r="A610" i="12"/>
  <c r="C610" i="12"/>
  <c r="A611" i="12"/>
  <c r="C611" i="12"/>
  <c r="A612" i="12"/>
  <c r="C612" i="12"/>
  <c r="A613" i="12"/>
  <c r="C613" i="12"/>
  <c r="A614" i="12"/>
  <c r="C614" i="12"/>
  <c r="A615" i="12"/>
  <c r="C615" i="12"/>
  <c r="A616" i="12"/>
  <c r="C616" i="12"/>
  <c r="A617" i="12"/>
  <c r="C617" i="12"/>
  <c r="A618" i="12"/>
  <c r="C618" i="12"/>
  <c r="A619" i="12"/>
  <c r="C619" i="12"/>
  <c r="A620" i="12"/>
  <c r="C620" i="12"/>
  <c r="A621" i="12"/>
  <c r="C621" i="12"/>
  <c r="A622" i="12"/>
  <c r="C622" i="12"/>
  <c r="A623" i="12"/>
  <c r="C623" i="12"/>
  <c r="A624" i="12"/>
  <c r="C624" i="12"/>
  <c r="A625" i="12"/>
  <c r="C625" i="12"/>
  <c r="A626" i="12"/>
  <c r="C626" i="12"/>
  <c r="A627" i="12"/>
  <c r="C627" i="12"/>
  <c r="A628" i="12"/>
  <c r="C628" i="12"/>
  <c r="A629" i="12"/>
  <c r="C629" i="12"/>
  <c r="A630" i="12"/>
  <c r="C630" i="12"/>
  <c r="A631" i="12"/>
  <c r="C631" i="12"/>
  <c r="A632" i="12"/>
  <c r="C632" i="12"/>
  <c r="A633" i="12"/>
  <c r="C633" i="12"/>
  <c r="A634" i="12"/>
  <c r="C634" i="12"/>
  <c r="A635" i="12"/>
  <c r="C635" i="12"/>
  <c r="A636" i="12"/>
  <c r="C636" i="12"/>
  <c r="A637" i="12"/>
  <c r="C637" i="12"/>
  <c r="A638" i="12"/>
  <c r="C638" i="12"/>
  <c r="A639" i="12"/>
  <c r="C639" i="12"/>
  <c r="A640" i="12"/>
  <c r="C640" i="12"/>
  <c r="A641" i="12"/>
  <c r="C641" i="12"/>
  <c r="A642" i="12"/>
  <c r="C642" i="12"/>
  <c r="A643" i="12"/>
  <c r="C643" i="12"/>
  <c r="A644" i="12"/>
  <c r="C644" i="12"/>
  <c r="A645" i="12"/>
  <c r="C645" i="12"/>
  <c r="A646" i="12"/>
  <c r="C646" i="12"/>
  <c r="A647" i="12"/>
  <c r="C647" i="12"/>
  <c r="A648" i="12"/>
  <c r="C648" i="12"/>
  <c r="A649" i="12"/>
  <c r="C649" i="12"/>
  <c r="A650" i="12"/>
  <c r="C650" i="12"/>
  <c r="A651" i="12"/>
  <c r="C651" i="12"/>
  <c r="A652" i="12"/>
  <c r="C652" i="12"/>
  <c r="A653" i="12"/>
  <c r="C653" i="12"/>
  <c r="A654" i="12"/>
  <c r="C654" i="12"/>
  <c r="A655" i="12"/>
  <c r="C655" i="12"/>
  <c r="A656" i="12"/>
  <c r="C656" i="12"/>
  <c r="A657" i="12"/>
  <c r="C657" i="12"/>
  <c r="A658" i="12"/>
  <c r="C658" i="12"/>
  <c r="A659" i="12"/>
  <c r="C659" i="12"/>
  <c r="A660" i="12"/>
  <c r="C660" i="12"/>
  <c r="A661" i="12"/>
  <c r="C661" i="12"/>
  <c r="A662" i="12"/>
  <c r="C662" i="12"/>
  <c r="A663" i="12"/>
  <c r="C663" i="12"/>
  <c r="A664" i="12"/>
  <c r="C664" i="12"/>
  <c r="A665" i="12"/>
  <c r="C665" i="12"/>
  <c r="A666" i="12"/>
  <c r="C666" i="12"/>
  <c r="A667" i="12"/>
  <c r="C667" i="12"/>
  <c r="A668" i="12"/>
  <c r="C668" i="12"/>
  <c r="A669" i="12"/>
  <c r="C669" i="12"/>
  <c r="A670" i="12"/>
  <c r="C670" i="12"/>
  <c r="A671" i="12"/>
  <c r="C671" i="12"/>
  <c r="A672" i="12"/>
  <c r="C672" i="12"/>
  <c r="A673" i="12"/>
  <c r="C673" i="12"/>
  <c r="A674" i="12"/>
  <c r="C674" i="12"/>
  <c r="A675" i="12"/>
  <c r="C675" i="12"/>
  <c r="A676" i="12"/>
  <c r="C676" i="12"/>
  <c r="A677" i="12"/>
  <c r="C677" i="12"/>
  <c r="A678" i="12"/>
  <c r="C678" i="12"/>
  <c r="A679" i="12"/>
  <c r="C679" i="12"/>
  <c r="A680" i="12"/>
  <c r="C680" i="12"/>
  <c r="A681" i="12"/>
  <c r="C681" i="12"/>
  <c r="A682" i="12"/>
  <c r="C682" i="12"/>
  <c r="A683" i="12"/>
  <c r="C683" i="12"/>
  <c r="A684" i="12"/>
  <c r="C684" i="12"/>
  <c r="A685" i="12"/>
  <c r="C685" i="12"/>
  <c r="A686" i="12"/>
  <c r="C686" i="12"/>
  <c r="A687" i="12"/>
  <c r="C687" i="12"/>
  <c r="A688" i="12"/>
  <c r="C688" i="12"/>
  <c r="A689" i="12"/>
  <c r="C689" i="12"/>
  <c r="A690" i="12"/>
  <c r="C690" i="12"/>
  <c r="A691" i="12"/>
  <c r="C691" i="12"/>
  <c r="A692" i="12"/>
  <c r="C692" i="12"/>
  <c r="A693" i="12"/>
  <c r="C693" i="12"/>
  <c r="A694" i="12"/>
  <c r="C694" i="12"/>
  <c r="A695" i="12"/>
  <c r="C695" i="12"/>
  <c r="A696" i="12"/>
  <c r="C696" i="12"/>
  <c r="A697" i="12"/>
  <c r="C697" i="12"/>
  <c r="A698" i="12"/>
  <c r="C698" i="12"/>
  <c r="A699" i="12"/>
  <c r="C699" i="12"/>
  <c r="A700" i="12"/>
  <c r="C700" i="12"/>
  <c r="A701" i="12"/>
  <c r="C701" i="12"/>
  <c r="A702" i="12"/>
  <c r="C702" i="12"/>
  <c r="A703" i="12"/>
  <c r="C703" i="12"/>
  <c r="A704" i="12"/>
  <c r="C704" i="12"/>
  <c r="A705" i="12"/>
  <c r="C705" i="12"/>
  <c r="A706" i="12"/>
  <c r="C706" i="12"/>
  <c r="A707" i="12"/>
  <c r="C707" i="12"/>
  <c r="A708" i="12"/>
  <c r="C708" i="12"/>
  <c r="A709" i="12"/>
  <c r="C709" i="12"/>
  <c r="A710" i="12"/>
  <c r="C710" i="12"/>
  <c r="A711" i="12"/>
  <c r="C711" i="12"/>
  <c r="A712" i="12"/>
  <c r="C712" i="12"/>
  <c r="A713" i="12"/>
  <c r="C713" i="12"/>
  <c r="A714" i="12"/>
  <c r="C714" i="12"/>
  <c r="A715" i="12"/>
  <c r="C715" i="12"/>
  <c r="A716" i="12"/>
  <c r="C716" i="12"/>
  <c r="A717" i="12"/>
  <c r="C717" i="12"/>
  <c r="A718" i="12"/>
  <c r="C718" i="12"/>
  <c r="A719" i="12"/>
  <c r="C719" i="12"/>
  <c r="A720" i="12"/>
  <c r="C720" i="12"/>
  <c r="A721" i="12"/>
  <c r="C721" i="12"/>
  <c r="A722" i="12"/>
  <c r="C722" i="12"/>
  <c r="A723" i="12"/>
  <c r="C723" i="12"/>
  <c r="A724" i="12"/>
  <c r="C724" i="12"/>
  <c r="A725" i="12"/>
  <c r="C725" i="12"/>
  <c r="A726" i="12"/>
  <c r="C726" i="12"/>
  <c r="A727" i="12"/>
  <c r="C727" i="12"/>
  <c r="A728" i="12"/>
  <c r="C728" i="12"/>
  <c r="A729" i="12"/>
  <c r="C729" i="12"/>
  <c r="A730" i="12"/>
  <c r="C730" i="12"/>
  <c r="A731" i="12"/>
  <c r="C731" i="12"/>
  <c r="A732" i="12"/>
  <c r="C732" i="12"/>
  <c r="A733" i="12"/>
  <c r="C733" i="12"/>
  <c r="A734" i="12"/>
  <c r="C734" i="12"/>
  <c r="A735" i="12"/>
  <c r="C735" i="12"/>
  <c r="A736" i="12"/>
  <c r="C736" i="12"/>
  <c r="A737" i="12"/>
  <c r="C737" i="12"/>
  <c r="A738" i="12"/>
  <c r="C738" i="12"/>
  <c r="A739" i="12"/>
  <c r="C739" i="12"/>
  <c r="A740" i="12"/>
  <c r="C740" i="12"/>
  <c r="A741" i="12"/>
  <c r="C741" i="12"/>
  <c r="A742" i="12"/>
  <c r="C742" i="12"/>
  <c r="A743" i="12"/>
  <c r="C743" i="12"/>
  <c r="A744" i="12"/>
  <c r="C744" i="12"/>
  <c r="A745" i="12"/>
  <c r="C745" i="12"/>
  <c r="A746" i="12"/>
  <c r="C746" i="12"/>
  <c r="A747" i="12"/>
  <c r="C747" i="12"/>
  <c r="A748" i="12"/>
  <c r="C748" i="12"/>
  <c r="A749" i="12"/>
  <c r="C749" i="12"/>
  <c r="A750" i="12"/>
  <c r="C750" i="12"/>
  <c r="A751" i="12"/>
  <c r="C751" i="12"/>
  <c r="A752" i="12"/>
  <c r="C752" i="12"/>
  <c r="A753" i="12"/>
  <c r="C753" i="12"/>
  <c r="A754" i="12"/>
  <c r="C754" i="12"/>
  <c r="A755" i="12"/>
  <c r="C755" i="12"/>
  <c r="A756" i="12"/>
  <c r="C756" i="12"/>
  <c r="A757" i="12"/>
  <c r="C757" i="12"/>
  <c r="A758" i="12"/>
  <c r="C758" i="12"/>
  <c r="A759" i="12"/>
  <c r="C759" i="12"/>
  <c r="A760" i="12"/>
  <c r="C760" i="12"/>
  <c r="A761" i="12"/>
  <c r="C761" i="12"/>
  <c r="A762" i="12"/>
  <c r="C762" i="12"/>
  <c r="A763" i="12"/>
  <c r="C763" i="12"/>
  <c r="A764" i="12"/>
  <c r="C764" i="12"/>
  <c r="A765" i="12"/>
  <c r="C765" i="12"/>
  <c r="A766" i="12"/>
  <c r="C766" i="12"/>
  <c r="A767" i="12"/>
  <c r="C767" i="12"/>
  <c r="A768" i="12"/>
  <c r="C768" i="12"/>
  <c r="A769" i="12"/>
  <c r="C769" i="12"/>
  <c r="A770" i="12"/>
  <c r="C770" i="12"/>
  <c r="A771" i="12"/>
  <c r="C771" i="12"/>
  <c r="A772" i="12"/>
  <c r="C772" i="12"/>
  <c r="A773" i="12"/>
  <c r="C773" i="12"/>
  <c r="A774" i="12"/>
  <c r="C774" i="12"/>
  <c r="A775" i="12"/>
  <c r="C775" i="12"/>
  <c r="A776" i="12"/>
  <c r="C776" i="12"/>
  <c r="A777" i="12"/>
  <c r="C777" i="12"/>
  <c r="A778" i="12"/>
  <c r="C778" i="12"/>
  <c r="A779" i="12"/>
  <c r="C779" i="12"/>
  <c r="A780" i="12"/>
  <c r="C780" i="12"/>
  <c r="A781" i="12"/>
  <c r="C781" i="12"/>
  <c r="A782" i="12"/>
  <c r="C782" i="12"/>
  <c r="A783" i="12"/>
  <c r="C783" i="12"/>
  <c r="A784" i="12"/>
  <c r="C784" i="12"/>
  <c r="A785" i="12"/>
  <c r="C785" i="12"/>
  <c r="A786" i="12"/>
  <c r="C786" i="12"/>
  <c r="A787" i="12"/>
  <c r="C787" i="12"/>
  <c r="A788" i="12"/>
  <c r="C788" i="12"/>
  <c r="A789" i="12"/>
  <c r="C789" i="12"/>
  <c r="A790" i="12"/>
  <c r="C790" i="12"/>
  <c r="A791" i="12"/>
  <c r="C791" i="12"/>
  <c r="A792" i="12"/>
  <c r="C792" i="12"/>
  <c r="A793" i="12"/>
  <c r="C793" i="12"/>
  <c r="A794" i="12"/>
  <c r="C794" i="12"/>
  <c r="A795" i="12"/>
  <c r="C795" i="12"/>
  <c r="A796" i="12"/>
  <c r="C796" i="12"/>
  <c r="A797" i="12"/>
  <c r="C797" i="12"/>
  <c r="A798" i="12"/>
  <c r="C798" i="12"/>
  <c r="A799" i="12"/>
  <c r="C799" i="12"/>
  <c r="A800" i="12"/>
  <c r="C800" i="12"/>
  <c r="A801" i="12"/>
  <c r="C801" i="12"/>
  <c r="A802" i="12"/>
  <c r="C802" i="12"/>
  <c r="A803" i="12"/>
  <c r="C803" i="12"/>
  <c r="A804" i="12"/>
  <c r="C804" i="12"/>
  <c r="A805" i="12"/>
  <c r="C805" i="12"/>
  <c r="A806" i="12"/>
  <c r="C806" i="12"/>
  <c r="A807" i="12"/>
  <c r="C807" i="12"/>
  <c r="A808" i="12"/>
  <c r="C808" i="12"/>
  <c r="A809" i="12"/>
  <c r="C809" i="12"/>
  <c r="A810" i="12"/>
  <c r="C810" i="12"/>
  <c r="A811" i="12"/>
  <c r="C811" i="12"/>
  <c r="A812" i="12"/>
  <c r="C812" i="12"/>
  <c r="A813" i="12"/>
  <c r="C813" i="12"/>
  <c r="A814" i="12"/>
  <c r="C814" i="12"/>
  <c r="A815" i="12"/>
  <c r="C815" i="12"/>
  <c r="A816" i="12"/>
  <c r="C816" i="12"/>
  <c r="A817" i="12"/>
  <c r="C817" i="12"/>
  <c r="A818" i="12"/>
  <c r="C818" i="12"/>
  <c r="A819" i="12"/>
  <c r="C819" i="12"/>
  <c r="A820" i="12"/>
  <c r="C820" i="12"/>
  <c r="A821" i="12"/>
  <c r="C821" i="12"/>
  <c r="A822" i="12"/>
  <c r="C822" i="12"/>
  <c r="A823" i="12"/>
  <c r="C823" i="12"/>
  <c r="A824" i="12"/>
  <c r="C824" i="12"/>
  <c r="A825" i="12"/>
  <c r="C825" i="12"/>
  <c r="A826" i="12"/>
  <c r="C826" i="12"/>
  <c r="A827" i="12"/>
  <c r="C827" i="12"/>
  <c r="A828" i="12"/>
  <c r="C828" i="12"/>
  <c r="A829" i="12"/>
  <c r="C829" i="12"/>
  <c r="A830" i="12"/>
  <c r="C830" i="12"/>
  <c r="A831" i="12"/>
  <c r="C831" i="12"/>
  <c r="A832" i="12"/>
  <c r="C832" i="12"/>
  <c r="A833" i="12"/>
  <c r="C833" i="12"/>
  <c r="A834" i="12"/>
  <c r="C834" i="12"/>
  <c r="A835" i="12"/>
  <c r="C835" i="12"/>
  <c r="A836" i="12"/>
  <c r="C836" i="12"/>
  <c r="A837" i="12"/>
  <c r="C837" i="12"/>
  <c r="A838" i="12"/>
  <c r="C838" i="12"/>
  <c r="A839" i="12"/>
  <c r="C839" i="12"/>
  <c r="A840" i="12"/>
  <c r="C840" i="12"/>
  <c r="A841" i="12"/>
  <c r="C841" i="12"/>
  <c r="A842" i="12"/>
  <c r="C842" i="12"/>
  <c r="A843" i="12"/>
  <c r="C843" i="12"/>
  <c r="A844" i="12"/>
  <c r="C844" i="12"/>
  <c r="A845" i="12"/>
  <c r="C845" i="12"/>
  <c r="A846" i="12"/>
  <c r="C846" i="12"/>
  <c r="A847" i="12"/>
  <c r="C847" i="12"/>
  <c r="A848" i="12"/>
  <c r="C848" i="12"/>
  <c r="A849" i="12"/>
  <c r="C849" i="12"/>
  <c r="A850" i="12"/>
  <c r="C850" i="12"/>
  <c r="A851" i="12"/>
  <c r="C851" i="12"/>
  <c r="A852" i="12"/>
  <c r="C852" i="12"/>
  <c r="A853" i="12"/>
  <c r="C853" i="12"/>
  <c r="A854" i="12"/>
  <c r="C854" i="12"/>
  <c r="A855" i="12"/>
  <c r="C855" i="12"/>
  <c r="A856" i="12"/>
  <c r="C856" i="12"/>
  <c r="A857" i="12"/>
  <c r="C857" i="12"/>
  <c r="A858" i="12"/>
  <c r="C858" i="12"/>
  <c r="A859" i="12"/>
  <c r="C859" i="12"/>
  <c r="A860" i="12"/>
  <c r="C860" i="12"/>
  <c r="A861" i="12"/>
  <c r="C861" i="12"/>
  <c r="A862" i="12"/>
  <c r="C862" i="12"/>
  <c r="A863" i="12"/>
  <c r="C863" i="12"/>
  <c r="A864" i="12"/>
  <c r="C864" i="12"/>
  <c r="A865" i="12"/>
  <c r="C865" i="12"/>
  <c r="A866" i="12"/>
  <c r="C866" i="12"/>
  <c r="A867" i="12"/>
  <c r="C867" i="12"/>
  <c r="A868" i="12"/>
  <c r="C868" i="12"/>
  <c r="A869" i="12"/>
  <c r="C869" i="12"/>
  <c r="A870" i="12"/>
  <c r="C870" i="12"/>
  <c r="A871" i="12"/>
  <c r="C871" i="12"/>
  <c r="A872" i="12"/>
  <c r="C872" i="12"/>
  <c r="A873" i="12"/>
  <c r="C873" i="12"/>
  <c r="A874" i="12"/>
  <c r="C874" i="12"/>
  <c r="A875" i="12"/>
  <c r="C875" i="12"/>
  <c r="A876" i="12"/>
  <c r="C876" i="12"/>
  <c r="A877" i="12"/>
  <c r="C877" i="12"/>
  <c r="A878" i="12"/>
  <c r="C878" i="12"/>
  <c r="A879" i="12"/>
  <c r="C879" i="12"/>
  <c r="A880" i="12"/>
  <c r="C880" i="12"/>
  <c r="A881" i="12"/>
  <c r="C881" i="12"/>
  <c r="A882" i="12"/>
  <c r="C882" i="12"/>
  <c r="A883" i="12"/>
  <c r="C883" i="12"/>
  <c r="A884" i="12"/>
  <c r="C884" i="12"/>
  <c r="A885" i="12"/>
  <c r="C885" i="12"/>
  <c r="A886" i="12"/>
  <c r="C886" i="12"/>
  <c r="A887" i="12"/>
  <c r="C887" i="12"/>
  <c r="A888" i="12"/>
  <c r="C888" i="12"/>
  <c r="A889" i="12"/>
  <c r="C889" i="12"/>
  <c r="A890" i="12"/>
  <c r="C890" i="12"/>
  <c r="A891" i="12"/>
  <c r="C891" i="12"/>
  <c r="A892" i="12"/>
  <c r="C892" i="12"/>
  <c r="A893" i="12"/>
  <c r="C893" i="12"/>
  <c r="A894" i="12"/>
  <c r="C894" i="12"/>
  <c r="A895" i="12"/>
  <c r="C895" i="12"/>
  <c r="A896" i="12"/>
  <c r="C896" i="12"/>
  <c r="A897" i="12"/>
  <c r="C897" i="12"/>
  <c r="A898" i="12"/>
  <c r="C898" i="12"/>
  <c r="A899" i="12"/>
  <c r="C899" i="12"/>
  <c r="A900" i="12"/>
  <c r="C900" i="12"/>
  <c r="A901" i="12"/>
  <c r="C901" i="12"/>
  <c r="A902" i="12"/>
  <c r="C902" i="12"/>
  <c r="A903" i="12"/>
  <c r="C903" i="12"/>
  <c r="A904" i="12"/>
  <c r="C904" i="12"/>
  <c r="A905" i="12"/>
  <c r="C905" i="12"/>
  <c r="A906" i="12"/>
  <c r="C906" i="12"/>
  <c r="A907" i="12"/>
  <c r="C907" i="12"/>
  <c r="A908" i="12"/>
  <c r="C908" i="12"/>
  <c r="A909" i="12"/>
  <c r="C909" i="12"/>
  <c r="A910" i="12"/>
  <c r="C910" i="12"/>
  <c r="A911" i="12"/>
  <c r="C911" i="12"/>
  <c r="A912" i="12"/>
  <c r="C912" i="12"/>
  <c r="A913" i="12"/>
  <c r="C913" i="12"/>
  <c r="A914" i="12"/>
  <c r="C914" i="12"/>
  <c r="A915" i="12"/>
  <c r="C915" i="12"/>
  <c r="A916" i="12"/>
  <c r="C916" i="12"/>
  <c r="A917" i="12"/>
  <c r="C917" i="12"/>
  <c r="A918" i="12"/>
  <c r="C918" i="12"/>
  <c r="A919" i="12"/>
  <c r="C919" i="12"/>
  <c r="A920" i="12"/>
  <c r="C920" i="12"/>
  <c r="A921" i="12"/>
  <c r="C921" i="12"/>
  <c r="A922" i="12"/>
  <c r="C922" i="12"/>
  <c r="A923" i="12"/>
  <c r="C923" i="12"/>
  <c r="A924" i="12"/>
  <c r="C924" i="12"/>
  <c r="A925" i="12"/>
  <c r="C925" i="12"/>
  <c r="A926" i="12"/>
  <c r="C926" i="12"/>
  <c r="A927" i="12"/>
  <c r="C927" i="12"/>
  <c r="A928" i="12"/>
  <c r="C928" i="12"/>
  <c r="A929" i="12"/>
  <c r="C929" i="12"/>
  <c r="A930" i="12"/>
  <c r="C930" i="12"/>
  <c r="A931" i="12"/>
  <c r="C931" i="12"/>
  <c r="A932" i="12"/>
  <c r="C932" i="12"/>
  <c r="A933" i="12"/>
  <c r="C933" i="12"/>
  <c r="A934" i="12"/>
  <c r="C934" i="12"/>
  <c r="A935" i="12"/>
  <c r="C935" i="12"/>
  <c r="A936" i="12"/>
  <c r="C936" i="12"/>
  <c r="A937" i="12"/>
  <c r="C937" i="12"/>
  <c r="A938" i="12"/>
  <c r="C938" i="12"/>
  <c r="A939" i="12"/>
  <c r="C939" i="12"/>
  <c r="A940" i="12"/>
  <c r="C940" i="12"/>
  <c r="A941" i="12"/>
  <c r="C941" i="12"/>
  <c r="A942" i="12"/>
  <c r="C942" i="12"/>
  <c r="A943" i="12"/>
  <c r="C943" i="12"/>
  <c r="A944" i="12"/>
  <c r="C944" i="12"/>
  <c r="A945" i="12"/>
  <c r="C945" i="12"/>
  <c r="A946" i="12"/>
  <c r="C946" i="12"/>
  <c r="A947" i="12"/>
  <c r="C947" i="12"/>
  <c r="A948" i="12"/>
  <c r="C948" i="12"/>
  <c r="A949" i="12"/>
  <c r="C949" i="12"/>
  <c r="A950" i="12"/>
  <c r="C950" i="12"/>
  <c r="A951" i="12"/>
  <c r="C951" i="12"/>
  <c r="A952" i="12"/>
  <c r="C952" i="12"/>
  <c r="A953" i="12"/>
  <c r="C953" i="12"/>
  <c r="A954" i="12"/>
  <c r="C954" i="12"/>
  <c r="A955" i="12"/>
  <c r="C955" i="12"/>
  <c r="A956" i="12"/>
  <c r="C956" i="12"/>
  <c r="A957" i="12"/>
  <c r="C957" i="12"/>
  <c r="A958" i="12"/>
  <c r="C958" i="12"/>
  <c r="A959" i="12"/>
  <c r="C959" i="12"/>
  <c r="A960" i="12"/>
  <c r="C960" i="12"/>
  <c r="A961" i="12"/>
  <c r="C961" i="12"/>
  <c r="A962" i="12"/>
  <c r="C962" i="12"/>
  <c r="A963" i="12"/>
  <c r="C963" i="12"/>
  <c r="A964" i="12"/>
  <c r="C964" i="12"/>
  <c r="A965" i="12"/>
  <c r="C965" i="12"/>
  <c r="A966" i="12"/>
  <c r="C966" i="12"/>
  <c r="A967" i="12"/>
  <c r="C967" i="12"/>
  <c r="A968" i="12"/>
  <c r="C968" i="12"/>
  <c r="A969" i="12"/>
  <c r="C969" i="12"/>
  <c r="A970" i="12"/>
  <c r="C970" i="12"/>
  <c r="A971" i="12"/>
  <c r="C971" i="12"/>
  <c r="A972" i="12"/>
  <c r="C972" i="12"/>
  <c r="A973" i="12"/>
  <c r="C973" i="12"/>
  <c r="A974" i="12"/>
  <c r="C974" i="12"/>
  <c r="A975" i="12"/>
  <c r="C975" i="12"/>
  <c r="A976" i="12"/>
  <c r="C976" i="12"/>
  <c r="A977" i="12"/>
  <c r="C977" i="12"/>
  <c r="A978" i="12"/>
  <c r="C978" i="12"/>
  <c r="A979" i="12"/>
  <c r="C979" i="12"/>
  <c r="A980" i="12"/>
  <c r="C980" i="12"/>
  <c r="A981" i="12"/>
  <c r="C981" i="12"/>
  <c r="A982" i="12"/>
  <c r="C982" i="12"/>
  <c r="A983" i="12"/>
  <c r="C983" i="12"/>
  <c r="A984" i="12"/>
  <c r="C984" i="12"/>
  <c r="A985" i="12"/>
  <c r="C985" i="12"/>
  <c r="A986" i="12"/>
  <c r="C986" i="12"/>
  <c r="A987" i="12"/>
  <c r="C987" i="12"/>
  <c r="A988" i="12"/>
  <c r="C988" i="12"/>
  <c r="A989" i="12"/>
  <c r="C989" i="12"/>
  <c r="A990" i="12"/>
  <c r="C990" i="12"/>
  <c r="A991" i="12"/>
  <c r="C991" i="12"/>
  <c r="A992" i="12"/>
  <c r="C992" i="12"/>
  <c r="A993" i="12"/>
  <c r="C993" i="12"/>
  <c r="A994" i="12"/>
  <c r="C994" i="12"/>
  <c r="A995" i="12"/>
  <c r="C995" i="12"/>
  <c r="A996" i="12"/>
  <c r="C996" i="12"/>
  <c r="A997" i="12"/>
  <c r="C997" i="12"/>
  <c r="A998" i="12"/>
  <c r="C998" i="12"/>
  <c r="A999" i="12"/>
  <c r="C999" i="12"/>
  <c r="A1000" i="12"/>
  <c r="C1000" i="12"/>
  <c r="A1001" i="12"/>
  <c r="C1001" i="12"/>
  <c r="A1002" i="12"/>
  <c r="C1002" i="12"/>
  <c r="A1003" i="12"/>
  <c r="C1003" i="12"/>
  <c r="A1004" i="12"/>
  <c r="C1004" i="12"/>
  <c r="A1005" i="12"/>
  <c r="C1005" i="12"/>
  <c r="A1006" i="12"/>
  <c r="C1006" i="12"/>
  <c r="A1007" i="12"/>
  <c r="C1007" i="12"/>
  <c r="A1008" i="12"/>
  <c r="C1008" i="12"/>
  <c r="A1009" i="12"/>
  <c r="C1009" i="12"/>
  <c r="C1010" i="12"/>
  <c r="C1011" i="12"/>
  <c r="A1012" i="12"/>
  <c r="C1012" i="12"/>
  <c r="C1013" i="12"/>
  <c r="C1014" i="12"/>
  <c r="C1015" i="12"/>
  <c r="A1016" i="12"/>
  <c r="C1016" i="12"/>
  <c r="C1017" i="12"/>
  <c r="C1018" i="12"/>
  <c r="C1019" i="12"/>
  <c r="A1020" i="12"/>
  <c r="C1020" i="12"/>
  <c r="C1021" i="12"/>
  <c r="C1022" i="12"/>
  <c r="C1023" i="12"/>
  <c r="A1024" i="12"/>
  <c r="C1024" i="12"/>
  <c r="C1025" i="12"/>
  <c r="C1026" i="12"/>
  <c r="C1027" i="12"/>
  <c r="A1028" i="12"/>
  <c r="C1028" i="12"/>
  <c r="C1029" i="12"/>
  <c r="C1030" i="12"/>
  <c r="C1031" i="12"/>
  <c r="A1032" i="12"/>
  <c r="C1032" i="12"/>
  <c r="C1033" i="12"/>
  <c r="A1034" i="12"/>
  <c r="C1034" i="12"/>
  <c r="A1035" i="12"/>
  <c r="C1035" i="12"/>
  <c r="A1036" i="12"/>
  <c r="C1036" i="12"/>
  <c r="A1037" i="12"/>
  <c r="C1037" i="12"/>
  <c r="A1038" i="12"/>
  <c r="C1038" i="12"/>
  <c r="A1039" i="12"/>
  <c r="C1039" i="12"/>
  <c r="A1040" i="12"/>
  <c r="C1040" i="12"/>
  <c r="A1041" i="12"/>
  <c r="C1041" i="12"/>
  <c r="A1042" i="12"/>
  <c r="C1042" i="12"/>
  <c r="A1043" i="12"/>
  <c r="C1043" i="12"/>
  <c r="A1044" i="12"/>
  <c r="C1044" i="12"/>
  <c r="A1045" i="12"/>
  <c r="C1045" i="12"/>
  <c r="A1046" i="12"/>
  <c r="C1046" i="12"/>
  <c r="A1047" i="12"/>
  <c r="C1047" i="12"/>
  <c r="A1048" i="12"/>
  <c r="C1048" i="12"/>
  <c r="A1049" i="12"/>
  <c r="C1049" i="12"/>
  <c r="A1050" i="12"/>
  <c r="C1050" i="12"/>
  <c r="A1051" i="12"/>
  <c r="C1051" i="12"/>
  <c r="A1052" i="12"/>
  <c r="C1052" i="12"/>
  <c r="A1053" i="12"/>
  <c r="C1053" i="12"/>
  <c r="A1054" i="12"/>
  <c r="C1054" i="12"/>
  <c r="A1055" i="12"/>
  <c r="C1055" i="12"/>
  <c r="A1056" i="12"/>
  <c r="C1056" i="12"/>
  <c r="A1057" i="12"/>
  <c r="C1057" i="12"/>
  <c r="A1058" i="12"/>
  <c r="C1058" i="12"/>
  <c r="A1059" i="12"/>
  <c r="C1059" i="12"/>
  <c r="A1060" i="12"/>
  <c r="C1060" i="12"/>
  <c r="A1061" i="12"/>
  <c r="C1061" i="12"/>
  <c r="A1062" i="12"/>
  <c r="C1062" i="12"/>
  <c r="A1063" i="12"/>
  <c r="C1063" i="12"/>
  <c r="A1064" i="12"/>
  <c r="C1064" i="12"/>
  <c r="A1065" i="12"/>
  <c r="C1065" i="12"/>
  <c r="A1066" i="12"/>
  <c r="C1066" i="12"/>
  <c r="A1067" i="12"/>
  <c r="C1067" i="12"/>
  <c r="A1068" i="12"/>
  <c r="C1068" i="12"/>
  <c r="A1069" i="12"/>
  <c r="C1069" i="12"/>
  <c r="A1070" i="12"/>
  <c r="C1070" i="12"/>
  <c r="A1071" i="12"/>
  <c r="C1071" i="12"/>
  <c r="A1072" i="12"/>
  <c r="C1072" i="12"/>
  <c r="A1073" i="12"/>
  <c r="C1073" i="12"/>
  <c r="A1074" i="12"/>
  <c r="C1074" i="12"/>
  <c r="A1075" i="12"/>
  <c r="C1075" i="12"/>
  <c r="A1076" i="12"/>
  <c r="C1076" i="12"/>
  <c r="A1077" i="12"/>
  <c r="C1077" i="12"/>
  <c r="A1078" i="12"/>
  <c r="C1078" i="12"/>
  <c r="A1079" i="12"/>
  <c r="C1079" i="12"/>
  <c r="A1080" i="12"/>
  <c r="C1080" i="12"/>
  <c r="A1081" i="12"/>
  <c r="C1081" i="12"/>
  <c r="A1082" i="12"/>
  <c r="C1082" i="12"/>
  <c r="A1083" i="12"/>
  <c r="C1083" i="12"/>
  <c r="A1084" i="12"/>
  <c r="C1084" i="12"/>
  <c r="A1085" i="12"/>
  <c r="C1085" i="12"/>
  <c r="A1086" i="12"/>
  <c r="C1086" i="12"/>
  <c r="A1087" i="12"/>
  <c r="C1087" i="12"/>
  <c r="A1088" i="12"/>
  <c r="C1088" i="12"/>
  <c r="A1089" i="12"/>
  <c r="C1089" i="12"/>
  <c r="A1090" i="12"/>
  <c r="C1090" i="12"/>
  <c r="A1091" i="12"/>
  <c r="C1091" i="12"/>
  <c r="A1092" i="12"/>
  <c r="C1092" i="12"/>
  <c r="A1093" i="12"/>
  <c r="C1093" i="12"/>
  <c r="A1094" i="12"/>
  <c r="C1094" i="12"/>
  <c r="A1095" i="12"/>
  <c r="C1095" i="12"/>
  <c r="A1096" i="12"/>
  <c r="C1096" i="12"/>
  <c r="A1097" i="12"/>
  <c r="C1097" i="12"/>
  <c r="A1098" i="12"/>
  <c r="C1098" i="12"/>
  <c r="A1099" i="12"/>
  <c r="C1099" i="12"/>
  <c r="A1100" i="12"/>
  <c r="C1100" i="12"/>
  <c r="A1101" i="12"/>
  <c r="C1101" i="12"/>
  <c r="A1102" i="12"/>
  <c r="C1102" i="12"/>
  <c r="A1103" i="12"/>
  <c r="C1103" i="12"/>
  <c r="A1104" i="12"/>
  <c r="C1104" i="12"/>
  <c r="A1105" i="12"/>
  <c r="C1105" i="12"/>
  <c r="A1106" i="12"/>
  <c r="C1106" i="12"/>
  <c r="A1107" i="12"/>
  <c r="C1107" i="12"/>
  <c r="A1108" i="12"/>
  <c r="C1108" i="12"/>
  <c r="A1109" i="12"/>
  <c r="C1109" i="12"/>
  <c r="A1110" i="12"/>
  <c r="C1110" i="12"/>
  <c r="A1111" i="12"/>
  <c r="C1111" i="12"/>
  <c r="A1112" i="12"/>
  <c r="C1112" i="12"/>
  <c r="A1113" i="12"/>
  <c r="C1113" i="12"/>
  <c r="A1114" i="12"/>
  <c r="C1114" i="12"/>
  <c r="A1115" i="12"/>
  <c r="C1115" i="12"/>
  <c r="A1116" i="12"/>
  <c r="C1116" i="12"/>
  <c r="A1117" i="12"/>
  <c r="C1117" i="12"/>
  <c r="A1118" i="12"/>
  <c r="C1118" i="12"/>
  <c r="A1119" i="12"/>
  <c r="C1119" i="12"/>
  <c r="A1120" i="12"/>
  <c r="C1120" i="12"/>
  <c r="A1121" i="12"/>
  <c r="C1121" i="12"/>
  <c r="A1122" i="12"/>
  <c r="C1122" i="12"/>
  <c r="A1123" i="12"/>
  <c r="C1123" i="12"/>
  <c r="A1124" i="12"/>
  <c r="C1124" i="12"/>
  <c r="A1125" i="12"/>
  <c r="C1125" i="12"/>
  <c r="A1126" i="12"/>
  <c r="C1126" i="12"/>
  <c r="A1127" i="12"/>
  <c r="C1127" i="12"/>
  <c r="A1128" i="12"/>
  <c r="C1128" i="12"/>
  <c r="A1129" i="12"/>
  <c r="C1129" i="12"/>
  <c r="A1130" i="12"/>
  <c r="C1130" i="12"/>
  <c r="A1131" i="12"/>
  <c r="C1131" i="12"/>
  <c r="A1132" i="12"/>
  <c r="C1132" i="12"/>
  <c r="A1133" i="12"/>
  <c r="C1133" i="12"/>
  <c r="A1134" i="12"/>
  <c r="C1134" i="12"/>
  <c r="A1135" i="12"/>
  <c r="C1135" i="12"/>
  <c r="A1136" i="12"/>
  <c r="C1136" i="12"/>
  <c r="A1137" i="12"/>
  <c r="C1137" i="12"/>
  <c r="A1138" i="12"/>
  <c r="C1138" i="12"/>
  <c r="A1139" i="12"/>
  <c r="C1139" i="12"/>
  <c r="A1140" i="12"/>
  <c r="C1140" i="12"/>
  <c r="A1141" i="12"/>
  <c r="C1141" i="12"/>
  <c r="A1142" i="12"/>
  <c r="C1142" i="12"/>
  <c r="A1143" i="12"/>
  <c r="C1143" i="12"/>
  <c r="A1144" i="12"/>
  <c r="C1144" i="12"/>
  <c r="A1145" i="12"/>
  <c r="C1145" i="12"/>
  <c r="A1146" i="12"/>
  <c r="C1146" i="12"/>
  <c r="A1147" i="12"/>
  <c r="C1147" i="12"/>
  <c r="A1148" i="12"/>
  <c r="C1148" i="12"/>
  <c r="A1149" i="12"/>
  <c r="C1149" i="12"/>
  <c r="A1150" i="12"/>
  <c r="C1150" i="12"/>
  <c r="A1151" i="12"/>
  <c r="C1151" i="12"/>
  <c r="A1152" i="12"/>
  <c r="C1152" i="12"/>
  <c r="A1153" i="12"/>
  <c r="C1153" i="12"/>
  <c r="A1154" i="12"/>
  <c r="C1154" i="12"/>
  <c r="A1155" i="12"/>
  <c r="C1155" i="12"/>
  <c r="A1156" i="12"/>
  <c r="C1156" i="12"/>
  <c r="A1157" i="12"/>
  <c r="C1157" i="12"/>
  <c r="A1158" i="12"/>
  <c r="C1158" i="12"/>
  <c r="A1159" i="12"/>
  <c r="C1159" i="12"/>
  <c r="A1160" i="12"/>
  <c r="C1160" i="12"/>
  <c r="A1161" i="12"/>
  <c r="C1161" i="12"/>
  <c r="A1162" i="12"/>
  <c r="C1162" i="12"/>
  <c r="A1163" i="12"/>
  <c r="C1163" i="12"/>
  <c r="A1164" i="12"/>
  <c r="C1164" i="12"/>
  <c r="A1165" i="12"/>
  <c r="C1165" i="12"/>
  <c r="A1166" i="12"/>
  <c r="C1166" i="12"/>
  <c r="A1167" i="12"/>
  <c r="C1167" i="12"/>
  <c r="A1168" i="12"/>
  <c r="C1168" i="12"/>
  <c r="A1169" i="12"/>
  <c r="C1169" i="12"/>
  <c r="A1170" i="12"/>
  <c r="C1170" i="12"/>
  <c r="A1171" i="12"/>
  <c r="C1171" i="12"/>
  <c r="A1172" i="12"/>
  <c r="C1172" i="12"/>
  <c r="A1173" i="12"/>
  <c r="C1173" i="12"/>
  <c r="A1174" i="12"/>
  <c r="C1174" i="12"/>
  <c r="A1175" i="12"/>
  <c r="C1175" i="12"/>
  <c r="A1176" i="12"/>
  <c r="C1176" i="12"/>
  <c r="A1177" i="12"/>
  <c r="C1177" i="12"/>
  <c r="A1178" i="12"/>
  <c r="C1178" i="12"/>
  <c r="A1179" i="12"/>
  <c r="C1179" i="12"/>
  <c r="A1180" i="12"/>
  <c r="C1180" i="12"/>
  <c r="A1181" i="12"/>
  <c r="C1181" i="12"/>
  <c r="A1182" i="12"/>
  <c r="C1182" i="12"/>
  <c r="A1183" i="12"/>
  <c r="C1183" i="12"/>
  <c r="A1184" i="12"/>
  <c r="C1184" i="12"/>
  <c r="A1185" i="12"/>
  <c r="C1185" i="12"/>
  <c r="A1186" i="12"/>
  <c r="C1186" i="12"/>
  <c r="A1187" i="12"/>
  <c r="C1187" i="12"/>
  <c r="A1188" i="12"/>
  <c r="C1188" i="12"/>
  <c r="A1189" i="12"/>
  <c r="C1189" i="12"/>
  <c r="A1190" i="12"/>
  <c r="C1190" i="12"/>
  <c r="A1191" i="12"/>
  <c r="C1191" i="12"/>
  <c r="A1192" i="12"/>
  <c r="C1192" i="12"/>
  <c r="A1193" i="12"/>
  <c r="C1193" i="12"/>
  <c r="A1194" i="12"/>
  <c r="C1194" i="12"/>
  <c r="A1195" i="12"/>
  <c r="C1195" i="12"/>
  <c r="A1196" i="12"/>
  <c r="C1196" i="12"/>
  <c r="A1197" i="12"/>
  <c r="C1197" i="12"/>
  <c r="A1198" i="12"/>
  <c r="C1198" i="12"/>
  <c r="A1199" i="12"/>
  <c r="C1199" i="12"/>
  <c r="A1200" i="12"/>
  <c r="C1200" i="12"/>
  <c r="A1201" i="12"/>
  <c r="C1201" i="12"/>
  <c r="A1202" i="12"/>
  <c r="C1202" i="12"/>
  <c r="A1203" i="12"/>
  <c r="C1203" i="12"/>
  <c r="A1204" i="12"/>
  <c r="C1204" i="12"/>
  <c r="A1205" i="12"/>
  <c r="C1205" i="12"/>
  <c r="A1206" i="12"/>
  <c r="C1206" i="12"/>
  <c r="A1207" i="12"/>
  <c r="C1207" i="12"/>
  <c r="A1208" i="12"/>
  <c r="C1208" i="12"/>
  <c r="A1209" i="12"/>
  <c r="C1209" i="12"/>
  <c r="A1210" i="12"/>
  <c r="C1210" i="12"/>
  <c r="A1211" i="12"/>
  <c r="C1211" i="12"/>
  <c r="A1212" i="12"/>
  <c r="C1212" i="12"/>
  <c r="A1213" i="12"/>
  <c r="C1213" i="12"/>
  <c r="A1214" i="12"/>
  <c r="C1214" i="12"/>
  <c r="A1215" i="12"/>
  <c r="C1215" i="12"/>
  <c r="A1216" i="12"/>
  <c r="C1216" i="12"/>
  <c r="A1217" i="12"/>
  <c r="C1217" i="12"/>
  <c r="A1218" i="12"/>
  <c r="C1218" i="12"/>
  <c r="A1219" i="12"/>
  <c r="C1219" i="12"/>
  <c r="A1220" i="12"/>
  <c r="C1220" i="12"/>
  <c r="A1221" i="12"/>
  <c r="C1221" i="12"/>
  <c r="A1222" i="12"/>
  <c r="C1222" i="12"/>
  <c r="A1223" i="12"/>
  <c r="C1223" i="12"/>
  <c r="A1224" i="12"/>
  <c r="C1224" i="12"/>
  <c r="A1225" i="12"/>
  <c r="C1225" i="12"/>
  <c r="A1226" i="12"/>
  <c r="C1226" i="12"/>
  <c r="A1227" i="12"/>
  <c r="C1227" i="12"/>
  <c r="A1228" i="12"/>
  <c r="C1228" i="12"/>
  <c r="A1229" i="12"/>
  <c r="C1229" i="12"/>
  <c r="A1230" i="12"/>
  <c r="C1230" i="12"/>
  <c r="A1231" i="12"/>
  <c r="C1231" i="12"/>
  <c r="A1232" i="12"/>
  <c r="C1232" i="12"/>
  <c r="A1233" i="12"/>
  <c r="C1233" i="12"/>
  <c r="A1234" i="12"/>
  <c r="C1234" i="12"/>
  <c r="A1235" i="12"/>
  <c r="C1235" i="12"/>
  <c r="A1236" i="12"/>
  <c r="C1236" i="12"/>
  <c r="A1237" i="12"/>
  <c r="C1237" i="12"/>
  <c r="A1238" i="12"/>
  <c r="C1238" i="12"/>
  <c r="A1239" i="12"/>
  <c r="C1239" i="12"/>
  <c r="A1240" i="12"/>
  <c r="C1240" i="12"/>
  <c r="A1241" i="12"/>
  <c r="C1241" i="12"/>
  <c r="A1242" i="12"/>
  <c r="C1242" i="12"/>
  <c r="A1243" i="12"/>
  <c r="C1243" i="12"/>
  <c r="A1244" i="12"/>
  <c r="C1244" i="12"/>
  <c r="A1245" i="12"/>
  <c r="C1245" i="12"/>
  <c r="A1246" i="12"/>
  <c r="C1246" i="12"/>
  <c r="A1247" i="12"/>
  <c r="C1247" i="12"/>
  <c r="A1248" i="12"/>
  <c r="C1248" i="12"/>
  <c r="A1249" i="12"/>
  <c r="C1249" i="12"/>
  <c r="A1250" i="12"/>
  <c r="C1250" i="12"/>
  <c r="A1251" i="12"/>
  <c r="C1251" i="12"/>
  <c r="A1252" i="12"/>
  <c r="C1252" i="12"/>
  <c r="A1253" i="12"/>
  <c r="C1253" i="12"/>
  <c r="A1254" i="12"/>
  <c r="C1254" i="12"/>
  <c r="A1255" i="12"/>
  <c r="C1255" i="12"/>
  <c r="A1256" i="12"/>
  <c r="C1256" i="12"/>
  <c r="A1257" i="12"/>
  <c r="C1257" i="12"/>
  <c r="A1258" i="12"/>
  <c r="C1258" i="12"/>
  <c r="A1259" i="12"/>
  <c r="C1259" i="12"/>
  <c r="A1260" i="12"/>
  <c r="C1260" i="12"/>
  <c r="A1261" i="12"/>
  <c r="C1261" i="12"/>
  <c r="A1262" i="12"/>
  <c r="C1262" i="12"/>
  <c r="A1263" i="12"/>
  <c r="C1263" i="12"/>
  <c r="A1264" i="12"/>
  <c r="C1264" i="12"/>
  <c r="A1265" i="12"/>
  <c r="C1265" i="12"/>
  <c r="A1266" i="12"/>
  <c r="C1266" i="12"/>
  <c r="A1267" i="12"/>
  <c r="C1267" i="12"/>
  <c r="A1268" i="12"/>
  <c r="C1268" i="12"/>
  <c r="A1269" i="12"/>
  <c r="C1269" i="12"/>
  <c r="A1270" i="12"/>
  <c r="C1270" i="12"/>
  <c r="A1271" i="12"/>
  <c r="C1271" i="12"/>
  <c r="A1272" i="12"/>
  <c r="C1272" i="12"/>
  <c r="A1273" i="12"/>
  <c r="C1273" i="12"/>
  <c r="A1274" i="12"/>
  <c r="C1274" i="12"/>
  <c r="A1275" i="12"/>
  <c r="C1275" i="12"/>
  <c r="A1276" i="12"/>
  <c r="C1276" i="12"/>
  <c r="A1277" i="12"/>
  <c r="C1277" i="12"/>
  <c r="A1278" i="12"/>
  <c r="C1278" i="12"/>
  <c r="A1279" i="12"/>
  <c r="C1279" i="12"/>
  <c r="A1280" i="12"/>
  <c r="C1280" i="12"/>
  <c r="A1281" i="12"/>
  <c r="C1281" i="12"/>
  <c r="A1282" i="12"/>
  <c r="C1282" i="12"/>
  <c r="A1283" i="12"/>
  <c r="C1283" i="12"/>
  <c r="A1284" i="12"/>
  <c r="C1284" i="12"/>
  <c r="A1285" i="12"/>
  <c r="C1285" i="12"/>
  <c r="A1286" i="12"/>
  <c r="C1286" i="12"/>
  <c r="A1287" i="12"/>
  <c r="C1287" i="12"/>
  <c r="A1288" i="12"/>
  <c r="C1288" i="12"/>
  <c r="A1289" i="12"/>
  <c r="C1289" i="12"/>
  <c r="A1290" i="12"/>
  <c r="C1290" i="12"/>
  <c r="A1291" i="12"/>
  <c r="C1291" i="12"/>
  <c r="A1292" i="12"/>
  <c r="C1292" i="12"/>
  <c r="A1293" i="12"/>
  <c r="C1293" i="12"/>
  <c r="A1294" i="12"/>
  <c r="C1294" i="12"/>
  <c r="A1295" i="12"/>
  <c r="C1295" i="12"/>
  <c r="A1296" i="12"/>
  <c r="C1296" i="12"/>
  <c r="A1297" i="12"/>
  <c r="C1297" i="12"/>
  <c r="A1298" i="12"/>
  <c r="C1298" i="12"/>
  <c r="A1299" i="12"/>
  <c r="C1299" i="12"/>
  <c r="A1300" i="12"/>
  <c r="C1300" i="12"/>
  <c r="A1301" i="12"/>
  <c r="C1301" i="12"/>
  <c r="A1302" i="12"/>
  <c r="C1302" i="12"/>
  <c r="A1303" i="12"/>
  <c r="C1303" i="12"/>
  <c r="A1304" i="12"/>
  <c r="C1304" i="12"/>
  <c r="A1305" i="12"/>
  <c r="C1305" i="12"/>
  <c r="A1306" i="12"/>
  <c r="C1306" i="12"/>
  <c r="A1307" i="12"/>
  <c r="C1307" i="12"/>
  <c r="A1308" i="12"/>
  <c r="C1308" i="12"/>
  <c r="A1309" i="12"/>
  <c r="C1309" i="12"/>
  <c r="A1310" i="12"/>
  <c r="C1310" i="12"/>
  <c r="A1311" i="12"/>
  <c r="C1311" i="12"/>
  <c r="A1312" i="12"/>
  <c r="C1312" i="12"/>
  <c r="A1313" i="12"/>
  <c r="C1313" i="12"/>
  <c r="A1314" i="12"/>
  <c r="C1314" i="12"/>
  <c r="A1315" i="12"/>
  <c r="C1315" i="12"/>
  <c r="A1316" i="12"/>
  <c r="C1316" i="12"/>
  <c r="A1317" i="12"/>
  <c r="C1317" i="12"/>
  <c r="A1318" i="12"/>
  <c r="C1318" i="12"/>
  <c r="A1319" i="12"/>
  <c r="C1319" i="12"/>
  <c r="A1320" i="12"/>
  <c r="C1320" i="12"/>
  <c r="A1321" i="12"/>
  <c r="C1321" i="12"/>
  <c r="A1322" i="12"/>
  <c r="C1322" i="12"/>
  <c r="A1323" i="12"/>
  <c r="C1323" i="12"/>
  <c r="A1324" i="12"/>
  <c r="C1324" i="12"/>
  <c r="A1325" i="12"/>
  <c r="C1325" i="12"/>
  <c r="A1326" i="12"/>
  <c r="C1326" i="12"/>
  <c r="A1327" i="12"/>
  <c r="C1327" i="12"/>
  <c r="A1328" i="12"/>
  <c r="C1328" i="12"/>
  <c r="A1329" i="12"/>
  <c r="C1329" i="12"/>
  <c r="A1330" i="12"/>
  <c r="C1330" i="12"/>
  <c r="A1331" i="12"/>
  <c r="C1331" i="12"/>
  <c r="A1332" i="12"/>
  <c r="C1332" i="12"/>
  <c r="A1333" i="12"/>
  <c r="C1333" i="12"/>
  <c r="A1334" i="12"/>
  <c r="C1334" i="12"/>
  <c r="A1335" i="12"/>
  <c r="C1335" i="12"/>
  <c r="A1336" i="12"/>
  <c r="C1336" i="12"/>
  <c r="A1337" i="12"/>
  <c r="C1337" i="12"/>
  <c r="A1338" i="12"/>
  <c r="C1338" i="12"/>
  <c r="A1339" i="12"/>
  <c r="C1339" i="12"/>
  <c r="A1340" i="12"/>
  <c r="C1340" i="12"/>
  <c r="A1341" i="12"/>
  <c r="C1341" i="12"/>
  <c r="A1342" i="12"/>
  <c r="C1342" i="12"/>
  <c r="A1343" i="12"/>
  <c r="C1343" i="12"/>
  <c r="A1344" i="12"/>
  <c r="C1344" i="12"/>
  <c r="A1345" i="12"/>
  <c r="C1345" i="12"/>
  <c r="A1346" i="12"/>
  <c r="C1346" i="12"/>
  <c r="A1347" i="12"/>
  <c r="C1347" i="12"/>
  <c r="A1348" i="12"/>
  <c r="C1348" i="12"/>
  <c r="A1349" i="12"/>
  <c r="C1349" i="12"/>
  <c r="A1350" i="12"/>
  <c r="C1350" i="12"/>
  <c r="A1351" i="12"/>
  <c r="C1351" i="12"/>
  <c r="A1352" i="12"/>
  <c r="C1352" i="12"/>
  <c r="A1353" i="12"/>
  <c r="C1353" i="12"/>
  <c r="A1354" i="12"/>
  <c r="C1354" i="12"/>
  <c r="A1355" i="12"/>
  <c r="C1355" i="12"/>
  <c r="A1356" i="12"/>
  <c r="C1356" i="12"/>
  <c r="A1357" i="12"/>
  <c r="C1357" i="12"/>
  <c r="A1358" i="12"/>
  <c r="C1358" i="12"/>
  <c r="A1359" i="12"/>
  <c r="C1359" i="12"/>
  <c r="A1360" i="12"/>
  <c r="C1360" i="12"/>
  <c r="A1361" i="12"/>
  <c r="C1361" i="12"/>
  <c r="A1362" i="12"/>
  <c r="C1362" i="12"/>
  <c r="A1363" i="12"/>
  <c r="C1363" i="12"/>
  <c r="A1364" i="12"/>
  <c r="C1364" i="12"/>
  <c r="A1365" i="12"/>
  <c r="C1365" i="12"/>
  <c r="A1366" i="12"/>
  <c r="C1366" i="12"/>
  <c r="A1367" i="12"/>
  <c r="C1367" i="12"/>
  <c r="A1368" i="12"/>
  <c r="C1368" i="12"/>
  <c r="A1369" i="12"/>
  <c r="C1369" i="12"/>
  <c r="A1370" i="12"/>
  <c r="C1370" i="12"/>
  <c r="A1371" i="12"/>
  <c r="C1371" i="12"/>
  <c r="A1372" i="12"/>
  <c r="C1372" i="12"/>
  <c r="A1373" i="12"/>
  <c r="C1373" i="12"/>
  <c r="A1374" i="12"/>
  <c r="C1374" i="12"/>
  <c r="A1375" i="12"/>
  <c r="C1375" i="12"/>
  <c r="A1376" i="12"/>
  <c r="C1376" i="12"/>
  <c r="A1377" i="12"/>
  <c r="C1377" i="12"/>
  <c r="A1378" i="12"/>
  <c r="C1378" i="12"/>
  <c r="A1379" i="12"/>
  <c r="C1379" i="12"/>
  <c r="A1380" i="12"/>
  <c r="C1380" i="12"/>
  <c r="A1381" i="12"/>
  <c r="C1381" i="12"/>
  <c r="A1382" i="12"/>
  <c r="C1382" i="12"/>
  <c r="A1383" i="12"/>
  <c r="C1383" i="12"/>
  <c r="A1384" i="12"/>
  <c r="C1384" i="12"/>
  <c r="A1385" i="12"/>
  <c r="C1385" i="12"/>
  <c r="A1386" i="12"/>
  <c r="C1386" i="12"/>
  <c r="A1387" i="12"/>
  <c r="C1387" i="12"/>
  <c r="A1388" i="12"/>
  <c r="C1388" i="12"/>
  <c r="A1389" i="12"/>
  <c r="C1389" i="12"/>
  <c r="A1390" i="12"/>
  <c r="C1390" i="12"/>
  <c r="A1391" i="12"/>
  <c r="C1391" i="12"/>
  <c r="A1392" i="12"/>
  <c r="C1392" i="12"/>
  <c r="A1393" i="12"/>
  <c r="C1393" i="12"/>
  <c r="A1394" i="12"/>
  <c r="C1394" i="12"/>
  <c r="A1395" i="12"/>
  <c r="C1395" i="12"/>
  <c r="A1396" i="12"/>
  <c r="C1396" i="12"/>
  <c r="A1397" i="12"/>
  <c r="C1397" i="12"/>
  <c r="A1398" i="12"/>
  <c r="C1398" i="12"/>
  <c r="A1399" i="12"/>
  <c r="C1399" i="12"/>
  <c r="A1400" i="12"/>
  <c r="C1400" i="12"/>
  <c r="A1401" i="12"/>
  <c r="C1401" i="12"/>
  <c r="A1402" i="12"/>
  <c r="C1402" i="12"/>
  <c r="A1403" i="12"/>
  <c r="C1403" i="12"/>
  <c r="A1404" i="12"/>
  <c r="C1404" i="12"/>
  <c r="A1405" i="12"/>
  <c r="C1405" i="12"/>
  <c r="A1406" i="12"/>
  <c r="C1406" i="12"/>
  <c r="A1407" i="12"/>
  <c r="C1407" i="12"/>
  <c r="A1408" i="12"/>
  <c r="C1408" i="12"/>
  <c r="A1409" i="12"/>
  <c r="C1409" i="12"/>
  <c r="A1410" i="12"/>
  <c r="C1410" i="12"/>
  <c r="A1411" i="12"/>
  <c r="C1411" i="12"/>
  <c r="A1412" i="12"/>
  <c r="C1412" i="12"/>
  <c r="A1413" i="12"/>
  <c r="C1413" i="12"/>
  <c r="A1414" i="12"/>
  <c r="C1414" i="12"/>
  <c r="A1415" i="12"/>
  <c r="C1415" i="12"/>
  <c r="A1416" i="12"/>
  <c r="C1416" i="12"/>
  <c r="A1417" i="12"/>
  <c r="C1417" i="12"/>
  <c r="A1421" i="12"/>
  <c r="A2" i="1"/>
  <c r="A28" i="1"/>
  <c r="A106" i="1"/>
  <c r="A95" i="1"/>
  <c r="A68" i="1"/>
  <c r="A7" i="1"/>
  <c r="A7" i="11"/>
  <c r="B129" i="11"/>
  <c r="B130" i="11"/>
  <c r="B131" i="11"/>
  <c r="B133" i="11" s="1"/>
  <c r="A137" i="11"/>
  <c r="B137" i="11"/>
  <c r="C137" i="11"/>
  <c r="D137" i="11"/>
  <c r="E137" i="11"/>
  <c r="A138" i="11"/>
  <c r="B138" i="11"/>
  <c r="C138" i="11"/>
  <c r="D138" i="11"/>
  <c r="E138" i="11"/>
  <c r="A139" i="11"/>
  <c r="B139" i="11"/>
  <c r="C139" i="11"/>
  <c r="D139" i="11"/>
  <c r="E139" i="11"/>
  <c r="I139" i="11"/>
  <c r="A140" i="11"/>
  <c r="I140" i="11" s="1"/>
  <c r="B140" i="11"/>
  <c r="C140" i="11"/>
  <c r="D140" i="11"/>
  <c r="E140" i="11"/>
  <c r="A141" i="11"/>
  <c r="I141" i="11" s="1"/>
  <c r="B141" i="11"/>
  <c r="C141" i="11"/>
  <c r="D141" i="11"/>
  <c r="E141" i="11"/>
  <c r="P141" i="11" s="1"/>
  <c r="A142" i="11"/>
  <c r="I142" i="11" s="1"/>
  <c r="B142" i="11"/>
  <c r="C142" i="11"/>
  <c r="D142" i="11"/>
  <c r="E142" i="11"/>
  <c r="A143" i="11"/>
  <c r="I143" i="11" s="1"/>
  <c r="B143" i="11"/>
  <c r="C143" i="11"/>
  <c r="D143" i="11"/>
  <c r="E143" i="11"/>
  <c r="A144" i="11"/>
  <c r="I144" i="11" s="1"/>
  <c r="B144" i="11"/>
  <c r="C144" i="11"/>
  <c r="D144" i="11"/>
  <c r="E144" i="11"/>
  <c r="A145" i="11"/>
  <c r="I145" i="11" s="1"/>
  <c r="B145" i="11"/>
  <c r="C145" i="11"/>
  <c r="D145" i="11"/>
  <c r="E145" i="11"/>
  <c r="A146" i="11"/>
  <c r="B146" i="11"/>
  <c r="C146" i="11"/>
  <c r="D146" i="11"/>
  <c r="E146" i="11"/>
  <c r="A147" i="11"/>
  <c r="B147" i="11"/>
  <c r="C147" i="11"/>
  <c r="D147" i="11"/>
  <c r="E147" i="11"/>
  <c r="A148" i="11"/>
  <c r="B148" i="11"/>
  <c r="C148" i="11"/>
  <c r="D148" i="11"/>
  <c r="E148" i="11"/>
  <c r="A149" i="11"/>
  <c r="B149" i="11"/>
  <c r="C149" i="11"/>
  <c r="D149" i="11"/>
  <c r="E149" i="11"/>
  <c r="P149" i="11" s="1"/>
  <c r="A150" i="11"/>
  <c r="B150" i="11"/>
  <c r="C150" i="11"/>
  <c r="D150" i="11"/>
  <c r="E150" i="11"/>
  <c r="A151" i="11"/>
  <c r="I151" i="11" s="1"/>
  <c r="B151" i="11"/>
  <c r="C151" i="11"/>
  <c r="D151" i="11"/>
  <c r="E151" i="11"/>
  <c r="A152" i="11"/>
  <c r="K152" i="11" s="1"/>
  <c r="B152" i="11"/>
  <c r="C152" i="11"/>
  <c r="D152" i="11"/>
  <c r="E152" i="11"/>
  <c r="A153" i="11"/>
  <c r="I153" i="11" s="1"/>
  <c r="B153" i="11"/>
  <c r="C153" i="11"/>
  <c r="D153" i="11"/>
  <c r="E153" i="11"/>
  <c r="A154" i="11"/>
  <c r="B154" i="11"/>
  <c r="C154" i="11"/>
  <c r="D154" i="11"/>
  <c r="E154" i="11"/>
  <c r="A155" i="11"/>
  <c r="B155" i="11"/>
  <c r="C155" i="11"/>
  <c r="D155" i="11"/>
  <c r="E155" i="11"/>
  <c r="A156" i="11"/>
  <c r="B156" i="11"/>
  <c r="C156" i="11"/>
  <c r="D156" i="11"/>
  <c r="E156" i="11"/>
  <c r="P156" i="11" s="1"/>
  <c r="A157" i="11"/>
  <c r="B157" i="11"/>
  <c r="C157" i="11"/>
  <c r="D157" i="11"/>
  <c r="E157" i="11"/>
  <c r="P157" i="11" s="1"/>
  <c r="A158" i="11"/>
  <c r="I158" i="11" s="1"/>
  <c r="B158" i="11"/>
  <c r="C158" i="11"/>
  <c r="D158" i="11"/>
  <c r="E158" i="11"/>
  <c r="A159" i="11"/>
  <c r="B159" i="11"/>
  <c r="C159" i="11"/>
  <c r="D159" i="11"/>
  <c r="E159" i="11"/>
  <c r="A160" i="11"/>
  <c r="I160" i="11" s="1"/>
  <c r="B160" i="11"/>
  <c r="C160" i="11"/>
  <c r="D160" i="11"/>
  <c r="E160" i="11"/>
  <c r="A161" i="11"/>
  <c r="I161" i="11" s="1"/>
  <c r="B161" i="11"/>
  <c r="C161" i="11"/>
  <c r="D161" i="11"/>
  <c r="E161" i="11"/>
  <c r="A162" i="11"/>
  <c r="B162" i="11"/>
  <c r="C162" i="11"/>
  <c r="D162" i="11"/>
  <c r="E162" i="11"/>
  <c r="A163" i="11"/>
  <c r="B163" i="11"/>
  <c r="C163" i="11"/>
  <c r="D163" i="11"/>
  <c r="E163" i="11"/>
  <c r="A164" i="11"/>
  <c r="B164" i="11"/>
  <c r="C164" i="11"/>
  <c r="D164" i="11"/>
  <c r="E164" i="11"/>
  <c r="A165" i="11"/>
  <c r="B165" i="11"/>
  <c r="C165" i="11"/>
  <c r="D165" i="11"/>
  <c r="E165" i="11"/>
  <c r="A166" i="11"/>
  <c r="I166" i="11" s="1"/>
  <c r="B166" i="11"/>
  <c r="C166" i="11"/>
  <c r="D166" i="11"/>
  <c r="E166" i="11"/>
  <c r="A167" i="11"/>
  <c r="B167" i="11"/>
  <c r="C167" i="11"/>
  <c r="D167" i="11"/>
  <c r="E167" i="11"/>
  <c r="A168" i="11"/>
  <c r="I168" i="11" s="1"/>
  <c r="B168" i="11"/>
  <c r="C168" i="11"/>
  <c r="D168" i="11"/>
  <c r="E168" i="11"/>
  <c r="A169" i="11"/>
  <c r="I169" i="11" s="1"/>
  <c r="B169" i="11"/>
  <c r="C169" i="11"/>
  <c r="D169" i="11"/>
  <c r="E169" i="11"/>
  <c r="A170" i="11"/>
  <c r="B170" i="11"/>
  <c r="C170" i="11"/>
  <c r="D170" i="11"/>
  <c r="E170" i="11"/>
  <c r="P170" i="11" s="1"/>
  <c r="A171" i="11"/>
  <c r="B171" i="11"/>
  <c r="C171" i="11"/>
  <c r="D171" i="11"/>
  <c r="E171" i="11"/>
  <c r="A172" i="11"/>
  <c r="B172" i="11"/>
  <c r="C172" i="11"/>
  <c r="D172" i="11"/>
  <c r="E172" i="11"/>
  <c r="A173" i="11"/>
  <c r="B173" i="11"/>
  <c r="C173" i="11"/>
  <c r="D173" i="11"/>
  <c r="E173" i="11"/>
  <c r="A174" i="11"/>
  <c r="I174" i="11" s="1"/>
  <c r="B174" i="11"/>
  <c r="C174" i="11"/>
  <c r="D174" i="11"/>
  <c r="E174" i="11"/>
  <c r="A18" i="11"/>
  <c r="A2" i="11"/>
  <c r="I5" i="11"/>
  <c r="F36" i="11"/>
  <c r="F37" i="11"/>
  <c r="F38" i="11"/>
  <c r="F39" i="11"/>
  <c r="M36" i="11"/>
  <c r="M37" i="11"/>
  <c r="M38" i="11"/>
  <c r="M39" i="11"/>
  <c r="A175" i="11"/>
  <c r="I175" i="11" s="1"/>
  <c r="B175" i="11"/>
  <c r="C175" i="11"/>
  <c r="D175" i="11"/>
  <c r="E175" i="11"/>
  <c r="A176" i="11"/>
  <c r="B176" i="11"/>
  <c r="C176" i="11"/>
  <c r="D176" i="11"/>
  <c r="E176" i="11"/>
  <c r="A177" i="11"/>
  <c r="I177" i="11" s="1"/>
  <c r="B177" i="11"/>
  <c r="C177" i="11"/>
  <c r="D177" i="11"/>
  <c r="E177" i="11"/>
  <c r="A178" i="11"/>
  <c r="B178" i="11"/>
  <c r="C178" i="11"/>
  <c r="D178" i="11"/>
  <c r="E178" i="11"/>
  <c r="A179" i="11"/>
  <c r="B179" i="11"/>
  <c r="C179" i="11"/>
  <c r="D179" i="11"/>
  <c r="E179" i="11"/>
  <c r="P179" i="11" s="1"/>
  <c r="A180" i="11"/>
  <c r="I180" i="11" s="1"/>
  <c r="B180" i="11"/>
  <c r="C180" i="11"/>
  <c r="D180" i="11"/>
  <c r="E180" i="11"/>
  <c r="A181" i="11"/>
  <c r="B181" i="11"/>
  <c r="C181" i="11"/>
  <c r="D181" i="11"/>
  <c r="E181" i="11"/>
  <c r="A182" i="11"/>
  <c r="I182" i="11" s="1"/>
  <c r="B182" i="11"/>
  <c r="C182" i="11"/>
  <c r="D182" i="11"/>
  <c r="E182" i="11"/>
  <c r="P182" i="11" s="1"/>
  <c r="A183" i="11"/>
  <c r="I183" i="11" s="1"/>
  <c r="B183" i="11"/>
  <c r="C183" i="11"/>
  <c r="D183" i="11"/>
  <c r="E183" i="11"/>
  <c r="A184" i="11"/>
  <c r="B184" i="11"/>
  <c r="C184" i="11"/>
  <c r="D184" i="11"/>
  <c r="E184" i="11"/>
  <c r="A185" i="11"/>
  <c r="I185" i="11" s="1"/>
  <c r="B185" i="11"/>
  <c r="C185" i="11"/>
  <c r="D185" i="11"/>
  <c r="E185" i="11"/>
  <c r="A186" i="11"/>
  <c r="I186" i="11" s="1"/>
  <c r="B186" i="11"/>
  <c r="C186" i="11"/>
  <c r="D186" i="11"/>
  <c r="E186" i="11"/>
  <c r="P186" i="11" s="1"/>
  <c r="K179" i="11" l="1"/>
  <c r="G213" i="12"/>
  <c r="G193" i="12"/>
  <c r="G185" i="12"/>
  <c r="G181" i="12"/>
  <c r="G173" i="12"/>
  <c r="G165" i="12"/>
  <c r="H177" i="12"/>
  <c r="H185" i="12"/>
  <c r="I185" i="12" s="1"/>
  <c r="J185" i="12" s="1"/>
  <c r="H193" i="12"/>
  <c r="I193" i="12" s="1"/>
  <c r="G167" i="12"/>
  <c r="G175" i="12"/>
  <c r="G183" i="12"/>
  <c r="G191" i="12"/>
  <c r="H167" i="12"/>
  <c r="H175" i="12"/>
  <c r="I175" i="12" s="1"/>
  <c r="J175" i="12" s="1"/>
  <c r="H183" i="12"/>
  <c r="I183" i="12" s="1"/>
  <c r="H191" i="12"/>
  <c r="I191" i="12" s="1"/>
  <c r="G189" i="12"/>
  <c r="G197" i="12"/>
  <c r="H165" i="12"/>
  <c r="I165" i="12" s="1"/>
  <c r="J165" i="12" s="1"/>
  <c r="H173" i="12"/>
  <c r="I173" i="12" s="1"/>
  <c r="H181" i="12"/>
  <c r="I181" i="12" s="1"/>
  <c r="J181" i="12" s="1"/>
  <c r="H189" i="12"/>
  <c r="I189" i="12" s="1"/>
  <c r="J189" i="12" s="1"/>
  <c r="G214" i="12"/>
  <c r="G195" i="12"/>
  <c r="G187" i="12"/>
  <c r="G179" i="12"/>
  <c r="G171" i="12"/>
  <c r="H198" i="12"/>
  <c r="A1033" i="12"/>
  <c r="A1029" i="12"/>
  <c r="A1025" i="12"/>
  <c r="A1021" i="12"/>
  <c r="A1017" i="12"/>
  <c r="A1013" i="12"/>
  <c r="A409" i="12"/>
  <c r="A405" i="12"/>
  <c r="A401" i="12"/>
  <c r="A397" i="12"/>
  <c r="A393" i="12"/>
  <c r="A389" i="12"/>
  <c r="A385" i="12"/>
  <c r="A381" i="12"/>
  <c r="A377" i="12"/>
  <c r="A373" i="12"/>
  <c r="A369" i="12"/>
  <c r="A365" i="12"/>
  <c r="A361" i="12"/>
  <c r="A357" i="12"/>
  <c r="A353" i="12"/>
  <c r="A349" i="12"/>
  <c r="A345" i="12"/>
  <c r="A341" i="12"/>
  <c r="A337" i="12"/>
  <c r="A333" i="12"/>
  <c r="A329" i="12"/>
  <c r="A325" i="12"/>
  <c r="A321" i="12"/>
  <c r="A317" i="12"/>
  <c r="H203" i="12"/>
  <c r="G199" i="12"/>
  <c r="G198" i="12"/>
  <c r="H204" i="12"/>
  <c r="H200" i="12"/>
  <c r="H169" i="12"/>
  <c r="H205" i="12"/>
  <c r="H201" i="12"/>
  <c r="G177" i="12"/>
  <c r="G169" i="12"/>
  <c r="A1031" i="12"/>
  <c r="A1019" i="12"/>
  <c r="C454" i="12"/>
  <c r="C450" i="12"/>
  <c r="C446" i="12"/>
  <c r="C442" i="12"/>
  <c r="C438" i="12"/>
  <c r="C430" i="12"/>
  <c r="C426" i="12"/>
  <c r="C422" i="12"/>
  <c r="C418" i="12"/>
  <c r="C414" i="12"/>
  <c r="C406" i="12"/>
  <c r="C402" i="12"/>
  <c r="C398" i="12"/>
  <c r="C394" i="12"/>
  <c r="C390" i="12"/>
  <c r="C382" i="12"/>
  <c r="C378" i="12"/>
  <c r="C374" i="12"/>
  <c r="C370" i="12"/>
  <c r="C366" i="12"/>
  <c r="C262" i="12"/>
  <c r="C258" i="12"/>
  <c r="C254" i="12"/>
  <c r="C250" i="12"/>
  <c r="C246" i="12"/>
  <c r="C238" i="12"/>
  <c r="C234" i="12"/>
  <c r="C230" i="12"/>
  <c r="C226" i="12"/>
  <c r="C222" i="12"/>
  <c r="H195" i="12"/>
  <c r="I195" i="12" s="1"/>
  <c r="J195" i="12" s="1"/>
  <c r="H187" i="12"/>
  <c r="I187" i="12" s="1"/>
  <c r="H179" i="12"/>
  <c r="I179" i="12" s="1"/>
  <c r="J179" i="12" s="1"/>
  <c r="H171" i="12"/>
  <c r="A1027" i="12"/>
  <c r="A1023" i="12"/>
  <c r="A1015" i="12"/>
  <c r="A1011" i="12"/>
  <c r="A1030" i="12"/>
  <c r="A1026" i="12"/>
  <c r="A1022" i="12"/>
  <c r="A1018" i="12"/>
  <c r="A1014" i="12"/>
  <c r="A1010" i="12"/>
  <c r="A522" i="12"/>
  <c r="A518" i="12"/>
  <c r="A514" i="12"/>
  <c r="A510" i="12"/>
  <c r="A406" i="12"/>
  <c r="A402" i="12"/>
  <c r="A398" i="12"/>
  <c r="A394" i="12"/>
  <c r="A390" i="12"/>
  <c r="A382" i="12"/>
  <c r="A378" i="12"/>
  <c r="A374" i="12"/>
  <c r="A370" i="12"/>
  <c r="A366" i="12"/>
  <c r="A362" i="12"/>
  <c r="A358" i="12"/>
  <c r="A354" i="12"/>
  <c r="A350" i="12"/>
  <c r="A346" i="12"/>
  <c r="A342" i="12"/>
  <c r="A334" i="12"/>
  <c r="A330" i="12"/>
  <c r="A326" i="12"/>
  <c r="A322" i="12"/>
  <c r="A318" i="12"/>
  <c r="H206" i="12"/>
  <c r="H202" i="12"/>
  <c r="I202" i="12" s="1"/>
  <c r="B218" i="12"/>
  <c r="B266" i="12"/>
  <c r="B386" i="12"/>
  <c r="B338" i="12"/>
  <c r="B242" i="12"/>
  <c r="B314" i="12"/>
  <c r="B410" i="12"/>
  <c r="B434" i="12"/>
  <c r="B458" i="12"/>
  <c r="B482" i="12"/>
  <c r="B290" i="12"/>
  <c r="B362" i="12"/>
  <c r="B578" i="12"/>
  <c r="B602" i="12"/>
  <c r="E602" i="12" s="1"/>
  <c r="B626" i="12"/>
  <c r="E626" i="12" s="1"/>
  <c r="B650" i="12"/>
  <c r="E650" i="12" s="1"/>
  <c r="B674" i="12"/>
  <c r="E674" i="12" s="1"/>
  <c r="B698" i="12"/>
  <c r="B722" i="12"/>
  <c r="E722" i="12" s="1"/>
  <c r="B746" i="12"/>
  <c r="B506" i="12"/>
  <c r="E506" i="12" s="1"/>
  <c r="B530" i="12"/>
  <c r="E530" i="12" s="1"/>
  <c r="B554" i="12"/>
  <c r="E554" i="12" s="1"/>
  <c r="B770" i="12"/>
  <c r="B794" i="12"/>
  <c r="B818" i="12"/>
  <c r="B842" i="12"/>
  <c r="B866" i="12"/>
  <c r="B890" i="12"/>
  <c r="B986" i="12"/>
  <c r="E986" i="12" s="1"/>
  <c r="B1010" i="12"/>
  <c r="B938" i="12"/>
  <c r="D938" i="12" s="1"/>
  <c r="B962" i="12"/>
  <c r="D962" i="12" s="1"/>
  <c r="B1058" i="12"/>
  <c r="E1058" i="12" s="1"/>
  <c r="B1082" i="12"/>
  <c r="E1082" i="12" s="1"/>
  <c r="B914" i="12"/>
  <c r="B1034" i="12"/>
  <c r="E1034" i="12" s="1"/>
  <c r="B1106" i="12"/>
  <c r="B1130" i="12"/>
  <c r="B1154" i="12"/>
  <c r="B1250" i="12"/>
  <c r="D1250" i="12" s="1"/>
  <c r="B1298" i="12"/>
  <c r="B1322" i="12"/>
  <c r="D1322" i="12" s="1"/>
  <c r="B1346" i="12"/>
  <c r="E1346" i="12" s="1"/>
  <c r="B1370" i="12"/>
  <c r="E1370" i="12" s="1"/>
  <c r="B1394" i="12"/>
  <c r="E1394" i="12" s="1"/>
  <c r="B1421" i="12"/>
  <c r="B1178" i="12"/>
  <c r="B1226" i="12"/>
  <c r="D1226" i="12" s="1"/>
  <c r="B1202" i="12"/>
  <c r="D1370" i="12"/>
  <c r="D1298" i="12"/>
  <c r="E1298" i="12"/>
  <c r="D1346" i="12"/>
  <c r="F1346" i="12" s="1"/>
  <c r="A1422" i="12"/>
  <c r="B1274" i="12"/>
  <c r="E1274" i="12" s="1"/>
  <c r="E1250" i="12"/>
  <c r="D1034" i="12"/>
  <c r="E914" i="12"/>
  <c r="D914" i="12"/>
  <c r="D1058" i="12"/>
  <c r="F1058" i="12" s="1"/>
  <c r="E938" i="12"/>
  <c r="D698" i="12"/>
  <c r="D746" i="12"/>
  <c r="E746" i="12"/>
  <c r="E698" i="12"/>
  <c r="D674" i="12"/>
  <c r="D650" i="12"/>
  <c r="F650" i="12" s="1"/>
  <c r="D626" i="12"/>
  <c r="F626" i="12" s="1"/>
  <c r="D602" i="12"/>
  <c r="D554" i="12"/>
  <c r="D530" i="12"/>
  <c r="F530" i="12" s="1"/>
  <c r="D506" i="12"/>
  <c r="J191" i="12"/>
  <c r="G196" i="12"/>
  <c r="H196" i="12"/>
  <c r="J193" i="12"/>
  <c r="J183" i="12"/>
  <c r="J173" i="12"/>
  <c r="H166" i="12"/>
  <c r="G212" i="12"/>
  <c r="G211" i="12"/>
  <c r="G210" i="12"/>
  <c r="G209" i="12"/>
  <c r="G208" i="12"/>
  <c r="G207" i="12"/>
  <c r="G206" i="12"/>
  <c r="G205" i="12"/>
  <c r="G204" i="12"/>
  <c r="G203" i="12"/>
  <c r="G202" i="12"/>
  <c r="G201" i="12"/>
  <c r="G200" i="12"/>
  <c r="H197" i="12"/>
  <c r="I197" i="12" s="1"/>
  <c r="J197" i="12" s="1"/>
  <c r="G194" i="12"/>
  <c r="G192" i="12"/>
  <c r="G190" i="12"/>
  <c r="G188" i="12"/>
  <c r="G186" i="12"/>
  <c r="G184" i="12"/>
  <c r="G182" i="12"/>
  <c r="G180" i="12"/>
  <c r="G178" i="12"/>
  <c r="G176" i="12"/>
  <c r="G174" i="12"/>
  <c r="G172" i="12"/>
  <c r="G170" i="12"/>
  <c r="G168" i="12"/>
  <c r="G166" i="12"/>
  <c r="H199" i="12"/>
  <c r="I199" i="12" s="1"/>
  <c r="J199" i="12" s="1"/>
  <c r="H214" i="12"/>
  <c r="I214" i="12" s="1"/>
  <c r="J214" i="12" s="1"/>
  <c r="H213" i="12"/>
  <c r="I213" i="12" s="1"/>
  <c r="J213" i="12" s="1"/>
  <c r="H212" i="12"/>
  <c r="H211" i="12"/>
  <c r="I211" i="12" s="1"/>
  <c r="H210" i="12"/>
  <c r="I210" i="12" s="1"/>
  <c r="H209" i="12"/>
  <c r="I209" i="12" s="1"/>
  <c r="H208" i="12"/>
  <c r="I208" i="12" s="1"/>
  <c r="H207" i="12"/>
  <c r="H194" i="12"/>
  <c r="H192" i="12"/>
  <c r="H190" i="12"/>
  <c r="H188" i="12"/>
  <c r="I188" i="12" s="1"/>
  <c r="H186" i="12"/>
  <c r="I186" i="12" s="1"/>
  <c r="H184" i="12"/>
  <c r="I184" i="12" s="1"/>
  <c r="H182" i="12"/>
  <c r="I182" i="12" s="1"/>
  <c r="H180" i="12"/>
  <c r="H178" i="12"/>
  <c r="H176" i="12"/>
  <c r="H174" i="12"/>
  <c r="I174" i="12" s="1"/>
  <c r="H172" i="12"/>
  <c r="I172" i="12" s="1"/>
  <c r="H170" i="12"/>
  <c r="I170" i="12" s="1"/>
  <c r="H168" i="12"/>
  <c r="I168" i="12" s="1"/>
  <c r="K167" i="11"/>
  <c r="F137" i="11"/>
  <c r="I152" i="11"/>
  <c r="K140" i="11"/>
  <c r="K168" i="11"/>
  <c r="K141" i="11"/>
  <c r="K142" i="11"/>
  <c r="K143" i="11"/>
  <c r="K137" i="11"/>
  <c r="K160" i="11"/>
  <c r="K144" i="11"/>
  <c r="I137" i="11"/>
  <c r="F159" i="11"/>
  <c r="G159" i="11"/>
  <c r="L159" i="11"/>
  <c r="K151" i="11"/>
  <c r="F150" i="11"/>
  <c r="G150" i="11"/>
  <c r="L150" i="11"/>
  <c r="K174" i="11"/>
  <c r="F173" i="11"/>
  <c r="G173" i="11"/>
  <c r="L173" i="11"/>
  <c r="I167" i="11"/>
  <c r="K166" i="11"/>
  <c r="F165" i="11"/>
  <c r="G165" i="11"/>
  <c r="L165" i="11"/>
  <c r="I159" i="11"/>
  <c r="K158" i="11"/>
  <c r="F157" i="11"/>
  <c r="G157" i="11"/>
  <c r="L157" i="11"/>
  <c r="K150" i="11"/>
  <c r="F149" i="11"/>
  <c r="G149" i="11"/>
  <c r="L149" i="11"/>
  <c r="K173" i="11"/>
  <c r="F172" i="11"/>
  <c r="G172" i="11"/>
  <c r="L172" i="11"/>
  <c r="K165" i="11"/>
  <c r="F164" i="11"/>
  <c r="G164" i="11"/>
  <c r="L164" i="11"/>
  <c r="K157" i="11"/>
  <c r="F156" i="11"/>
  <c r="G156" i="11"/>
  <c r="L156" i="11"/>
  <c r="I150" i="11"/>
  <c r="K149" i="11"/>
  <c r="M149" i="11" s="1"/>
  <c r="F148" i="11"/>
  <c r="G148" i="11"/>
  <c r="L148" i="11"/>
  <c r="F151" i="11"/>
  <c r="G151" i="11"/>
  <c r="L151" i="11"/>
  <c r="I173" i="11"/>
  <c r="K172" i="11"/>
  <c r="M172" i="11" s="1"/>
  <c r="F171" i="11"/>
  <c r="G171" i="11"/>
  <c r="L171" i="11"/>
  <c r="I165" i="11"/>
  <c r="K164" i="11"/>
  <c r="M164" i="11" s="1"/>
  <c r="F163" i="11"/>
  <c r="G163" i="11"/>
  <c r="L163" i="11"/>
  <c r="I157" i="11"/>
  <c r="K156" i="11"/>
  <c r="F155" i="11"/>
  <c r="G155" i="11"/>
  <c r="L155" i="11"/>
  <c r="I149" i="11"/>
  <c r="K148" i="11"/>
  <c r="F147" i="11"/>
  <c r="G147" i="11"/>
  <c r="L147" i="11"/>
  <c r="I172" i="11"/>
  <c r="K171" i="11"/>
  <c r="F170" i="11"/>
  <c r="G170" i="11"/>
  <c r="L170" i="11"/>
  <c r="I164" i="11"/>
  <c r="K163" i="11"/>
  <c r="F162" i="11"/>
  <c r="G162" i="11"/>
  <c r="L162" i="11"/>
  <c r="I156" i="11"/>
  <c r="K155" i="11"/>
  <c r="F154" i="11"/>
  <c r="G154" i="11"/>
  <c r="L154" i="11"/>
  <c r="I148" i="11"/>
  <c r="K147" i="11"/>
  <c r="F146" i="11"/>
  <c r="G146" i="11"/>
  <c r="L146" i="11"/>
  <c r="F166" i="11"/>
  <c r="G166" i="11"/>
  <c r="L166" i="11"/>
  <c r="I171" i="11"/>
  <c r="K170" i="11"/>
  <c r="F169" i="11"/>
  <c r="G169" i="11"/>
  <c r="L169" i="11"/>
  <c r="I163" i="11"/>
  <c r="K162" i="11"/>
  <c r="F161" i="11"/>
  <c r="G161" i="11"/>
  <c r="L161" i="11"/>
  <c r="I155" i="11"/>
  <c r="K154" i="11"/>
  <c r="F153" i="11"/>
  <c r="G153" i="11"/>
  <c r="L153" i="11"/>
  <c r="I147" i="11"/>
  <c r="K146" i="11"/>
  <c r="F145" i="11"/>
  <c r="G145" i="11"/>
  <c r="L145" i="11"/>
  <c r="F138" i="11"/>
  <c r="G138" i="11"/>
  <c r="L138" i="11"/>
  <c r="F167" i="11"/>
  <c r="G167" i="11"/>
  <c r="L167" i="11"/>
  <c r="M167" i="11" s="1"/>
  <c r="F174" i="11"/>
  <c r="G174" i="11"/>
  <c r="L174" i="11"/>
  <c r="I170" i="11"/>
  <c r="K169" i="11"/>
  <c r="F168" i="11"/>
  <c r="G168" i="11"/>
  <c r="L168" i="11"/>
  <c r="M168" i="11" s="1"/>
  <c r="I162" i="11"/>
  <c r="K161" i="11"/>
  <c r="F160" i="11"/>
  <c r="G160" i="11"/>
  <c r="L160" i="11"/>
  <c r="M160" i="11" s="1"/>
  <c r="I154" i="11"/>
  <c r="K153" i="11"/>
  <c r="F152" i="11"/>
  <c r="G152" i="11"/>
  <c r="L152" i="11"/>
  <c r="M152" i="11" s="1"/>
  <c r="I146" i="11"/>
  <c r="K145" i="11"/>
  <c r="F144" i="11"/>
  <c r="G144" i="11"/>
  <c r="L144" i="11"/>
  <c r="M144" i="11" s="1"/>
  <c r="F139" i="11"/>
  <c r="G139" i="11"/>
  <c r="L139" i="11"/>
  <c r="F143" i="11"/>
  <c r="G143" i="11"/>
  <c r="L143" i="11"/>
  <c r="F140" i="11"/>
  <c r="G140" i="11"/>
  <c r="L140" i="11"/>
  <c r="K138" i="11"/>
  <c r="K159" i="11"/>
  <c r="F158" i="11"/>
  <c r="G158" i="11"/>
  <c r="L158" i="11"/>
  <c r="F142" i="11"/>
  <c r="G142" i="11"/>
  <c r="L142" i="11"/>
  <c r="M142" i="11" s="1"/>
  <c r="F141" i="11"/>
  <c r="G141" i="11"/>
  <c r="L141" i="11"/>
  <c r="K139" i="11"/>
  <c r="I138" i="11"/>
  <c r="L137" i="11"/>
  <c r="G137" i="11"/>
  <c r="H137" i="11" s="1"/>
  <c r="F177" i="11"/>
  <c r="L179" i="11"/>
  <c r="M179" i="11" s="1"/>
  <c r="G177" i="11"/>
  <c r="F185" i="11"/>
  <c r="G184" i="11"/>
  <c r="F182" i="11"/>
  <c r="L178" i="11"/>
  <c r="K177" i="11"/>
  <c r="L176" i="11"/>
  <c r="F175" i="11"/>
  <c r="K183" i="11"/>
  <c r="L186" i="11"/>
  <c r="L185" i="11"/>
  <c r="L182" i="11"/>
  <c r="K182" i="11"/>
  <c r="K185" i="11"/>
  <c r="L184" i="11"/>
  <c r="G186" i="11"/>
  <c r="G185" i="11"/>
  <c r="K184" i="11"/>
  <c r="G182" i="11"/>
  <c r="L177" i="11"/>
  <c r="G175" i="11"/>
  <c r="I181" i="11"/>
  <c r="F181" i="11"/>
  <c r="G181" i="11"/>
  <c r="L181" i="11"/>
  <c r="K181" i="11"/>
  <c r="K186" i="11"/>
  <c r="F186" i="11"/>
  <c r="K178" i="11"/>
  <c r="F178" i="11"/>
  <c r="G178" i="11"/>
  <c r="I178" i="11"/>
  <c r="G179" i="11"/>
  <c r="I179" i="11"/>
  <c r="F179" i="11"/>
  <c r="F180" i="11"/>
  <c r="L180" i="11"/>
  <c r="K180" i="11"/>
  <c r="G180" i="11"/>
  <c r="F176" i="11"/>
  <c r="G176" i="11"/>
  <c r="I176" i="11"/>
  <c r="K176" i="11"/>
  <c r="F184" i="11"/>
  <c r="I184" i="11"/>
  <c r="D39" i="11" s="1"/>
  <c r="G183" i="11"/>
  <c r="L183" i="11"/>
  <c r="F183" i="11"/>
  <c r="K175" i="11"/>
  <c r="L175" i="11"/>
  <c r="B38" i="11"/>
  <c r="I36" i="11"/>
  <c r="I39" i="11"/>
  <c r="I38" i="11"/>
  <c r="I37" i="11"/>
  <c r="B37" i="11"/>
  <c r="B36" i="11"/>
  <c r="B39" i="11"/>
  <c r="M159" i="11" l="1"/>
  <c r="M173" i="11"/>
  <c r="I204" i="12"/>
  <c r="I201" i="12"/>
  <c r="I171" i="12"/>
  <c r="J171" i="12" s="1"/>
  <c r="I206" i="12"/>
  <c r="J187" i="12"/>
  <c r="K187" i="12" s="1"/>
  <c r="M138" i="11"/>
  <c r="M157" i="11"/>
  <c r="M156" i="11"/>
  <c r="M137" i="11"/>
  <c r="M150" i="11"/>
  <c r="I167" i="12"/>
  <c r="J167" i="12" s="1"/>
  <c r="M167" i="12" s="1"/>
  <c r="I203" i="12"/>
  <c r="J203" i="12" s="1"/>
  <c r="L185" i="12"/>
  <c r="K185" i="12"/>
  <c r="M185" i="12"/>
  <c r="F602" i="12"/>
  <c r="H602" i="12" s="1"/>
  <c r="E1322" i="12"/>
  <c r="F1322" i="12" s="1"/>
  <c r="I198" i="12"/>
  <c r="J198" i="12" s="1"/>
  <c r="D722" i="12"/>
  <c r="E962" i="12"/>
  <c r="E1226" i="12"/>
  <c r="F1226" i="12" s="1"/>
  <c r="D986" i="12"/>
  <c r="I169" i="12"/>
  <c r="J169" i="12" s="1"/>
  <c r="D1082" i="12"/>
  <c r="F1082" i="12" s="1"/>
  <c r="I166" i="12"/>
  <c r="I196" i="12"/>
  <c r="J196" i="12" s="1"/>
  <c r="I177" i="12"/>
  <c r="J177" i="12" s="1"/>
  <c r="K177" i="12" s="1"/>
  <c r="K197" i="12"/>
  <c r="L197" i="12"/>
  <c r="M197" i="12"/>
  <c r="K214" i="12"/>
  <c r="M214" i="12"/>
  <c r="L214" i="12"/>
  <c r="K189" i="12"/>
  <c r="L189" i="12"/>
  <c r="M189" i="12"/>
  <c r="I178" i="12"/>
  <c r="J178" i="12" s="1"/>
  <c r="J186" i="12"/>
  <c r="J210" i="12"/>
  <c r="D21" i="12"/>
  <c r="I602" i="12"/>
  <c r="G602" i="12"/>
  <c r="I83" i="12"/>
  <c r="C85" i="12"/>
  <c r="I180" i="12"/>
  <c r="I207" i="12"/>
  <c r="J207" i="12" s="1"/>
  <c r="J174" i="12"/>
  <c r="J188" i="12"/>
  <c r="J211" i="12"/>
  <c r="K167" i="12"/>
  <c r="K183" i="12"/>
  <c r="L183" i="12"/>
  <c r="M183" i="12"/>
  <c r="F506" i="12"/>
  <c r="B219" i="12"/>
  <c r="B315" i="12"/>
  <c r="B411" i="12"/>
  <c r="B243" i="12"/>
  <c r="B339" i="12"/>
  <c r="B291" i="12"/>
  <c r="B363" i="12"/>
  <c r="B387" i="12"/>
  <c r="B267" i="12"/>
  <c r="B459" i="12"/>
  <c r="B507" i="12"/>
  <c r="B531" i="12"/>
  <c r="B555" i="12"/>
  <c r="B579" i="12"/>
  <c r="B603" i="12"/>
  <c r="B627" i="12"/>
  <c r="B651" i="12"/>
  <c r="B675" i="12"/>
  <c r="B699" i="12"/>
  <c r="B723" i="12"/>
  <c r="B483" i="12"/>
  <c r="B435" i="12"/>
  <c r="B747" i="12"/>
  <c r="B867" i="12"/>
  <c r="B771" i="12"/>
  <c r="B795" i="12"/>
  <c r="B939" i="12"/>
  <c r="B963" i="12"/>
  <c r="B1035" i="12"/>
  <c r="B1059" i="12"/>
  <c r="B1083" i="12"/>
  <c r="B891" i="12"/>
  <c r="B1011" i="12"/>
  <c r="B819" i="12"/>
  <c r="B843" i="12"/>
  <c r="B915" i="12"/>
  <c r="B987" i="12"/>
  <c r="B1107" i="12"/>
  <c r="B1227" i="12"/>
  <c r="B1251" i="12"/>
  <c r="A1423" i="12"/>
  <c r="B1131" i="12"/>
  <c r="B1203" i="12"/>
  <c r="B1299" i="12"/>
  <c r="B1323" i="12"/>
  <c r="B1347" i="12"/>
  <c r="B1371" i="12"/>
  <c r="B1395" i="12"/>
  <c r="B1155" i="12"/>
  <c r="B1179" i="12"/>
  <c r="B1422" i="12"/>
  <c r="B1275" i="12"/>
  <c r="F962" i="12"/>
  <c r="D794" i="12"/>
  <c r="E794" i="12"/>
  <c r="D458" i="12"/>
  <c r="E458" i="12"/>
  <c r="E218" i="12"/>
  <c r="D218" i="12"/>
  <c r="J204" i="12"/>
  <c r="K175" i="12"/>
  <c r="L175" i="12"/>
  <c r="M175" i="12"/>
  <c r="K193" i="12"/>
  <c r="L193" i="12"/>
  <c r="M193" i="12"/>
  <c r="F554" i="12"/>
  <c r="F698" i="12"/>
  <c r="D1178" i="12"/>
  <c r="E1178" i="12"/>
  <c r="E1154" i="12"/>
  <c r="D1154" i="12"/>
  <c r="F938" i="12"/>
  <c r="D770" i="12"/>
  <c r="E770" i="12"/>
  <c r="D434" i="12"/>
  <c r="E434" i="12"/>
  <c r="K169" i="12"/>
  <c r="L169" i="12"/>
  <c r="M169" i="12"/>
  <c r="L199" i="12"/>
  <c r="K199" i="12"/>
  <c r="M199" i="12"/>
  <c r="K191" i="12"/>
  <c r="L191" i="12"/>
  <c r="M191" i="12"/>
  <c r="F674" i="12"/>
  <c r="E1130" i="12"/>
  <c r="D1130" i="12"/>
  <c r="F1130" i="12" s="1"/>
  <c r="D1010" i="12"/>
  <c r="E1010" i="12"/>
  <c r="D410" i="12"/>
  <c r="E410" i="12"/>
  <c r="I650" i="12"/>
  <c r="G650" i="12"/>
  <c r="H650" i="12"/>
  <c r="F1370" i="12"/>
  <c r="E1106" i="12"/>
  <c r="D1106" i="12"/>
  <c r="D314" i="12"/>
  <c r="E314" i="12"/>
  <c r="D890" i="12"/>
  <c r="E890" i="12"/>
  <c r="D578" i="12"/>
  <c r="E578" i="12"/>
  <c r="E242" i="12"/>
  <c r="D242" i="12"/>
  <c r="D1274" i="12"/>
  <c r="F1274" i="12" s="1"/>
  <c r="J180" i="12"/>
  <c r="J206" i="12"/>
  <c r="K165" i="12"/>
  <c r="L165" i="12"/>
  <c r="M165" i="12"/>
  <c r="K171" i="12"/>
  <c r="L171" i="12"/>
  <c r="M171" i="12"/>
  <c r="K195" i="12"/>
  <c r="L195" i="12"/>
  <c r="M195" i="12"/>
  <c r="J182" i="12"/>
  <c r="K213" i="12"/>
  <c r="M213" i="12"/>
  <c r="L213" i="12"/>
  <c r="F1034" i="12"/>
  <c r="I86" i="12"/>
  <c r="I190" i="12"/>
  <c r="J190" i="12" s="1"/>
  <c r="I212" i="12"/>
  <c r="J212" i="12" s="1"/>
  <c r="J168" i="12"/>
  <c r="J184" i="12"/>
  <c r="J208" i="12"/>
  <c r="L187" i="12"/>
  <c r="M187" i="12"/>
  <c r="I205" i="12"/>
  <c r="J205" i="12" s="1"/>
  <c r="I626" i="12"/>
  <c r="G626" i="12"/>
  <c r="H626" i="12"/>
  <c r="F722" i="12"/>
  <c r="F746" i="12"/>
  <c r="H1082" i="12"/>
  <c r="I1082" i="12"/>
  <c r="G1082" i="12"/>
  <c r="D1394" i="12"/>
  <c r="F1394" i="12" s="1"/>
  <c r="F1298" i="12"/>
  <c r="D866" i="12"/>
  <c r="E866" i="12"/>
  <c r="E362" i="12"/>
  <c r="D362" i="12"/>
  <c r="E338" i="12"/>
  <c r="D338" i="12"/>
  <c r="K179" i="12"/>
  <c r="L179" i="12"/>
  <c r="M179" i="12"/>
  <c r="I85" i="12"/>
  <c r="I176" i="12"/>
  <c r="J176" i="12" s="1"/>
  <c r="I192" i="12"/>
  <c r="J192" i="12" s="1"/>
  <c r="J170" i="12"/>
  <c r="C84" i="12"/>
  <c r="J201" i="12"/>
  <c r="J209" i="12"/>
  <c r="G21" i="12"/>
  <c r="C86" i="12"/>
  <c r="I200" i="12"/>
  <c r="J200" i="12" s="1"/>
  <c r="F914" i="12"/>
  <c r="F1250" i="12"/>
  <c r="E1202" i="12"/>
  <c r="D1202" i="12"/>
  <c r="D842" i="12"/>
  <c r="E842" i="12"/>
  <c r="D290" i="12"/>
  <c r="E290" i="12"/>
  <c r="E386" i="12"/>
  <c r="D386" i="12"/>
  <c r="J166" i="12"/>
  <c r="K173" i="12"/>
  <c r="L173" i="12"/>
  <c r="M173" i="12"/>
  <c r="H530" i="12"/>
  <c r="I530" i="12"/>
  <c r="G530" i="12"/>
  <c r="I84" i="12"/>
  <c r="C83" i="12"/>
  <c r="I194" i="12"/>
  <c r="J194" i="12" s="1"/>
  <c r="J172" i="12"/>
  <c r="J202" i="12"/>
  <c r="K181" i="12"/>
  <c r="L181" i="12"/>
  <c r="M181" i="12"/>
  <c r="F986" i="12"/>
  <c r="I1058" i="12"/>
  <c r="H1058" i="12"/>
  <c r="G1058" i="12"/>
  <c r="H1346" i="12"/>
  <c r="I1346" i="12"/>
  <c r="G1346" i="12"/>
  <c r="D818" i="12"/>
  <c r="E818" i="12"/>
  <c r="D482" i="12"/>
  <c r="E482" i="12"/>
  <c r="D266" i="12"/>
  <c r="E266" i="12"/>
  <c r="M143" i="11"/>
  <c r="M161" i="11"/>
  <c r="M171" i="11"/>
  <c r="H161" i="11"/>
  <c r="N161" i="11" s="1"/>
  <c r="O161" i="11" s="1"/>
  <c r="H148" i="11"/>
  <c r="N148" i="11" s="1"/>
  <c r="M141" i="11"/>
  <c r="M148" i="11"/>
  <c r="H160" i="11"/>
  <c r="M145" i="11"/>
  <c r="H166" i="11"/>
  <c r="N166" i="11" s="1"/>
  <c r="H169" i="11"/>
  <c r="N169" i="11" s="1"/>
  <c r="H144" i="11"/>
  <c r="N144" i="11" s="1"/>
  <c r="M169" i="11"/>
  <c r="O169" i="11" s="1"/>
  <c r="H147" i="11"/>
  <c r="J147" i="11" s="1"/>
  <c r="P147" i="11" s="1"/>
  <c r="M165" i="11"/>
  <c r="M176" i="11"/>
  <c r="H170" i="11"/>
  <c r="N170" i="11" s="1"/>
  <c r="M140" i="11"/>
  <c r="H185" i="11"/>
  <c r="M178" i="11"/>
  <c r="M146" i="11"/>
  <c r="H167" i="11"/>
  <c r="J167" i="11" s="1"/>
  <c r="H162" i="11"/>
  <c r="J162" i="11" s="1"/>
  <c r="P162" i="11" s="1"/>
  <c r="H143" i="11"/>
  <c r="M162" i="11"/>
  <c r="H164" i="11"/>
  <c r="N164" i="11" s="1"/>
  <c r="H149" i="11"/>
  <c r="N149" i="11" s="1"/>
  <c r="D37" i="11"/>
  <c r="H141" i="11"/>
  <c r="N141" i="11" s="1"/>
  <c r="M155" i="11"/>
  <c r="N137" i="11"/>
  <c r="O137" i="11" s="1"/>
  <c r="P137" i="11"/>
  <c r="J137" i="11"/>
  <c r="H168" i="11"/>
  <c r="H145" i="11"/>
  <c r="M170" i="11"/>
  <c r="H146" i="11"/>
  <c r="H151" i="11"/>
  <c r="M151" i="11"/>
  <c r="H158" i="11"/>
  <c r="M147" i="11"/>
  <c r="H155" i="11"/>
  <c r="H156" i="11"/>
  <c r="H172" i="11"/>
  <c r="H157" i="11"/>
  <c r="M158" i="11"/>
  <c r="M163" i="11"/>
  <c r="H171" i="11"/>
  <c r="H173" i="11"/>
  <c r="H159" i="11"/>
  <c r="M174" i="11"/>
  <c r="H142" i="11"/>
  <c r="H138" i="11"/>
  <c r="H153" i="11"/>
  <c r="H154" i="11"/>
  <c r="M183" i="11"/>
  <c r="H140" i="11"/>
  <c r="H139" i="11"/>
  <c r="H152" i="11"/>
  <c r="H174" i="11"/>
  <c r="M154" i="11"/>
  <c r="H163" i="11"/>
  <c r="H165" i="11"/>
  <c r="M139" i="11"/>
  <c r="M153" i="11"/>
  <c r="J169" i="11"/>
  <c r="P169" i="11"/>
  <c r="M166" i="11"/>
  <c r="H150" i="11"/>
  <c r="M186" i="11"/>
  <c r="M185" i="11"/>
  <c r="H177" i="11"/>
  <c r="N177" i="11" s="1"/>
  <c r="H184" i="11"/>
  <c r="J184" i="11" s="1"/>
  <c r="P184" i="11" s="1"/>
  <c r="H182" i="11"/>
  <c r="J182" i="11" s="1"/>
  <c r="M184" i="11"/>
  <c r="D10" i="11"/>
  <c r="H186" i="11"/>
  <c r="N186" i="11" s="1"/>
  <c r="O186" i="11" s="1"/>
  <c r="H178" i="11"/>
  <c r="J178" i="11" s="1"/>
  <c r="P178" i="11" s="1"/>
  <c r="K37" i="11"/>
  <c r="M175" i="11"/>
  <c r="M182" i="11"/>
  <c r="H180" i="11"/>
  <c r="N180" i="11" s="1"/>
  <c r="H175" i="11"/>
  <c r="K36" i="11"/>
  <c r="K38" i="11"/>
  <c r="H179" i="11"/>
  <c r="M177" i="11"/>
  <c r="M180" i="11"/>
  <c r="M181" i="11"/>
  <c r="J185" i="11"/>
  <c r="P185" i="11" s="1"/>
  <c r="N185" i="11"/>
  <c r="H183" i="11"/>
  <c r="H181" i="11"/>
  <c r="D38" i="11"/>
  <c r="K39" i="11"/>
  <c r="H176" i="11"/>
  <c r="D36" i="11"/>
  <c r="J1346" i="12" l="1"/>
  <c r="N147" i="11"/>
  <c r="M177" i="12"/>
  <c r="L167" i="12"/>
  <c r="N167" i="12" s="1"/>
  <c r="L177" i="12"/>
  <c r="N177" i="12" s="1"/>
  <c r="O177" i="12" s="1"/>
  <c r="J144" i="11"/>
  <c r="P144" i="11" s="1"/>
  <c r="O148" i="11"/>
  <c r="N169" i="12"/>
  <c r="O169" i="12" s="1"/>
  <c r="N173" i="12"/>
  <c r="O173" i="12" s="1"/>
  <c r="B85" i="12"/>
  <c r="L198" i="12"/>
  <c r="M198" i="12"/>
  <c r="K198" i="12"/>
  <c r="H1322" i="12"/>
  <c r="G1322" i="12"/>
  <c r="I1322" i="12"/>
  <c r="J602" i="12"/>
  <c r="F434" i="12"/>
  <c r="N183" i="12"/>
  <c r="O183" i="12" s="1"/>
  <c r="F1202" i="12"/>
  <c r="J1082" i="12"/>
  <c r="N199" i="12"/>
  <c r="N185" i="12"/>
  <c r="O185" i="12" s="1"/>
  <c r="F482" i="12"/>
  <c r="J530" i="12"/>
  <c r="N193" i="12"/>
  <c r="O193" i="12" s="1"/>
  <c r="L200" i="12"/>
  <c r="M200" i="12"/>
  <c r="K200" i="12"/>
  <c r="B84" i="12"/>
  <c r="L207" i="12"/>
  <c r="K207" i="12"/>
  <c r="M207" i="12"/>
  <c r="L205" i="12"/>
  <c r="K205" i="12"/>
  <c r="M205" i="12"/>
  <c r="K178" i="12"/>
  <c r="L178" i="12"/>
  <c r="M178" i="12"/>
  <c r="K212" i="12"/>
  <c r="L212" i="12"/>
  <c r="M212" i="12"/>
  <c r="K176" i="12"/>
  <c r="L176" i="12"/>
  <c r="M176" i="12"/>
  <c r="B83" i="12"/>
  <c r="H83" i="12"/>
  <c r="K190" i="12"/>
  <c r="L190" i="12"/>
  <c r="M190" i="12"/>
  <c r="G1202" i="12"/>
  <c r="H1202" i="12"/>
  <c r="I1202" i="12"/>
  <c r="F338" i="12"/>
  <c r="K194" i="12"/>
  <c r="L194" i="12"/>
  <c r="M194" i="12"/>
  <c r="F1154" i="12"/>
  <c r="F218" i="12"/>
  <c r="D1275" i="12"/>
  <c r="E1275" i="12"/>
  <c r="E1323" i="12"/>
  <c r="D1323" i="12"/>
  <c r="D1107" i="12"/>
  <c r="E1107" i="12"/>
  <c r="D1059" i="12"/>
  <c r="E1059" i="12"/>
  <c r="E435" i="12"/>
  <c r="D435" i="12"/>
  <c r="D579" i="12"/>
  <c r="E579" i="12"/>
  <c r="E291" i="12"/>
  <c r="D291" i="12"/>
  <c r="K174" i="12"/>
  <c r="L174" i="12"/>
  <c r="M174" i="12"/>
  <c r="H1370" i="12"/>
  <c r="G1370" i="12"/>
  <c r="I1370" i="12"/>
  <c r="D1299" i="12"/>
  <c r="F1299" i="12" s="1"/>
  <c r="E1299" i="12"/>
  <c r="D987" i="12"/>
  <c r="E987" i="12"/>
  <c r="D1035" i="12"/>
  <c r="E1035" i="12"/>
  <c r="D483" i="12"/>
  <c r="E483" i="12"/>
  <c r="E555" i="12"/>
  <c r="D555" i="12"/>
  <c r="E339" i="12"/>
  <c r="D339" i="12"/>
  <c r="F339" i="12" s="1"/>
  <c r="L210" i="12"/>
  <c r="K210" i="12"/>
  <c r="M210" i="12"/>
  <c r="F818" i="12"/>
  <c r="F386" i="12"/>
  <c r="H1250" i="12"/>
  <c r="G1250" i="12"/>
  <c r="I1250" i="12"/>
  <c r="F362" i="12"/>
  <c r="F578" i="12"/>
  <c r="F410" i="12"/>
  <c r="N191" i="12"/>
  <c r="K192" i="12"/>
  <c r="L192" i="12"/>
  <c r="M192" i="12"/>
  <c r="D1203" i="12"/>
  <c r="E1203" i="12"/>
  <c r="E915" i="12"/>
  <c r="D915" i="12"/>
  <c r="D963" i="12"/>
  <c r="E963" i="12"/>
  <c r="E723" i="12"/>
  <c r="D723" i="12"/>
  <c r="D531" i="12"/>
  <c r="E531" i="12"/>
  <c r="D243" i="12"/>
  <c r="E243" i="12"/>
  <c r="K186" i="12"/>
  <c r="L186" i="12"/>
  <c r="M186" i="12"/>
  <c r="H746" i="12"/>
  <c r="I746" i="12"/>
  <c r="G746" i="12"/>
  <c r="J746" i="12" s="1"/>
  <c r="N187" i="12"/>
  <c r="G1034" i="12"/>
  <c r="H1034" i="12"/>
  <c r="I1034" i="12"/>
  <c r="N195" i="12"/>
  <c r="N165" i="12"/>
  <c r="F1178" i="12"/>
  <c r="N175" i="12"/>
  <c r="F458" i="12"/>
  <c r="D1179" i="12"/>
  <c r="F1179" i="12" s="1"/>
  <c r="E1179" i="12"/>
  <c r="D1131" i="12"/>
  <c r="E1131" i="12"/>
  <c r="E843" i="12"/>
  <c r="D843" i="12"/>
  <c r="F843" i="12" s="1"/>
  <c r="D939" i="12"/>
  <c r="E939" i="12"/>
  <c r="D699" i="12"/>
  <c r="F699" i="12" s="1"/>
  <c r="E699" i="12"/>
  <c r="D507" i="12"/>
  <c r="E507" i="12"/>
  <c r="E411" i="12"/>
  <c r="D411" i="12"/>
  <c r="N214" i="12"/>
  <c r="O214" i="12" s="1"/>
  <c r="L208" i="12"/>
  <c r="K208" i="12"/>
  <c r="M208" i="12"/>
  <c r="L206" i="12"/>
  <c r="K206" i="12"/>
  <c r="M206" i="12"/>
  <c r="H434" i="12"/>
  <c r="I434" i="12"/>
  <c r="G434" i="12"/>
  <c r="H698" i="12"/>
  <c r="I698" i="12"/>
  <c r="G698" i="12"/>
  <c r="D1155" i="12"/>
  <c r="E1155" i="12"/>
  <c r="B244" i="12"/>
  <c r="B292" i="12"/>
  <c r="B316" i="12"/>
  <c r="B268" i="12"/>
  <c r="B340" i="12"/>
  <c r="B220" i="12"/>
  <c r="B388" i="12"/>
  <c r="B412" i="12"/>
  <c r="B460" i="12"/>
  <c r="B364" i="12"/>
  <c r="B436" i="12"/>
  <c r="B556" i="12"/>
  <c r="B484" i="12"/>
  <c r="B508" i="12"/>
  <c r="B532" i="12"/>
  <c r="B748" i="12"/>
  <c r="B580" i="12"/>
  <c r="B604" i="12"/>
  <c r="B628" i="12"/>
  <c r="B652" i="12"/>
  <c r="B700" i="12"/>
  <c r="B676" i="12"/>
  <c r="B772" i="12"/>
  <c r="B796" i="12"/>
  <c r="B820" i="12"/>
  <c r="B916" i="12"/>
  <c r="B940" i="12"/>
  <c r="B964" i="12"/>
  <c r="B988" i="12"/>
  <c r="B1012" i="12"/>
  <c r="B868" i="12"/>
  <c r="B1036" i="12"/>
  <c r="B724" i="12"/>
  <c r="B844" i="12"/>
  <c r="B1108" i="12"/>
  <c r="B1132" i="12"/>
  <c r="B1156" i="12"/>
  <c r="B1180" i="12"/>
  <c r="B1204" i="12"/>
  <c r="B1228" i="12"/>
  <c r="B1252" i="12"/>
  <c r="B1276" i="12"/>
  <c r="B1060" i="12"/>
  <c r="B892" i="12"/>
  <c r="B1084" i="12"/>
  <c r="B1423" i="12"/>
  <c r="A1424" i="12"/>
  <c r="B1300" i="12"/>
  <c r="B1372" i="12"/>
  <c r="B1324" i="12"/>
  <c r="B1348" i="12"/>
  <c r="B1396" i="12"/>
  <c r="E819" i="12"/>
  <c r="D819" i="12"/>
  <c r="D795" i="12"/>
  <c r="E795" i="12"/>
  <c r="E675" i="12"/>
  <c r="D675" i="12"/>
  <c r="D459" i="12"/>
  <c r="E459" i="12"/>
  <c r="E315" i="12"/>
  <c r="D315" i="12"/>
  <c r="H482" i="12"/>
  <c r="I482" i="12"/>
  <c r="G482" i="12"/>
  <c r="P173" i="12"/>
  <c r="N181" i="12"/>
  <c r="L201" i="12"/>
  <c r="M201" i="12"/>
  <c r="K201" i="12"/>
  <c r="H722" i="12"/>
  <c r="I722" i="12"/>
  <c r="G722" i="12"/>
  <c r="F890" i="12"/>
  <c r="F1010" i="12"/>
  <c r="O199" i="12"/>
  <c r="P199" i="12"/>
  <c r="G1130" i="12"/>
  <c r="H1130" i="12"/>
  <c r="I1130" i="12"/>
  <c r="G554" i="12"/>
  <c r="H554" i="12"/>
  <c r="I554" i="12"/>
  <c r="K204" i="12"/>
  <c r="L204" i="12"/>
  <c r="M204" i="12"/>
  <c r="F794" i="12"/>
  <c r="E1395" i="12"/>
  <c r="D1395" i="12"/>
  <c r="E1011" i="12"/>
  <c r="D1011" i="12"/>
  <c r="D771" i="12"/>
  <c r="E771" i="12"/>
  <c r="D651" i="12"/>
  <c r="E651" i="12"/>
  <c r="E267" i="12"/>
  <c r="D267" i="12"/>
  <c r="E219" i="12"/>
  <c r="D219" i="12"/>
  <c r="L211" i="12"/>
  <c r="K211" i="12"/>
  <c r="M211" i="12"/>
  <c r="H86" i="12"/>
  <c r="B86" i="12"/>
  <c r="K170" i="12"/>
  <c r="L170" i="12"/>
  <c r="M170" i="12"/>
  <c r="H1298" i="12"/>
  <c r="G1298" i="12"/>
  <c r="I1298" i="12"/>
  <c r="J626" i="12"/>
  <c r="K184" i="12"/>
  <c r="L184" i="12"/>
  <c r="M184" i="12"/>
  <c r="N213" i="12"/>
  <c r="H1274" i="12"/>
  <c r="G1274" i="12"/>
  <c r="I1274" i="12"/>
  <c r="F314" i="12"/>
  <c r="J650" i="12"/>
  <c r="F770" i="12"/>
  <c r="G962" i="12"/>
  <c r="H962" i="12"/>
  <c r="I962" i="12"/>
  <c r="E1371" i="12"/>
  <c r="D1371" i="12"/>
  <c r="E1251" i="12"/>
  <c r="D1251" i="12"/>
  <c r="E891" i="12"/>
  <c r="D891" i="12"/>
  <c r="D867" i="12"/>
  <c r="E867" i="12"/>
  <c r="D627" i="12"/>
  <c r="E627" i="12"/>
  <c r="D387" i="12"/>
  <c r="E387" i="12"/>
  <c r="H506" i="12"/>
  <c r="I506" i="12"/>
  <c r="G506" i="12"/>
  <c r="L203" i="12"/>
  <c r="K203" i="12"/>
  <c r="M203" i="12"/>
  <c r="N189" i="12"/>
  <c r="N197" i="12"/>
  <c r="G986" i="12"/>
  <c r="H986" i="12"/>
  <c r="I986" i="12"/>
  <c r="K166" i="12"/>
  <c r="L166" i="12"/>
  <c r="M166" i="12"/>
  <c r="D25" i="12"/>
  <c r="H85" i="12"/>
  <c r="G914" i="12"/>
  <c r="H914" i="12"/>
  <c r="I914" i="12"/>
  <c r="K209" i="12"/>
  <c r="L209" i="12"/>
  <c r="M209" i="12"/>
  <c r="L202" i="12"/>
  <c r="K202" i="12"/>
  <c r="M202" i="12"/>
  <c r="F290" i="12"/>
  <c r="K196" i="12"/>
  <c r="L196" i="12"/>
  <c r="M196" i="12"/>
  <c r="H84" i="12"/>
  <c r="F866" i="12"/>
  <c r="K180" i="12"/>
  <c r="L180" i="12"/>
  <c r="M180" i="12"/>
  <c r="F266" i="12"/>
  <c r="J1058" i="12"/>
  <c r="K172" i="12"/>
  <c r="L172" i="12"/>
  <c r="M172" i="12"/>
  <c r="F842" i="12"/>
  <c r="N179" i="12"/>
  <c r="H1394" i="12"/>
  <c r="I1394" i="12"/>
  <c r="G1394" i="12"/>
  <c r="K168" i="12"/>
  <c r="L168" i="12"/>
  <c r="M168" i="12"/>
  <c r="K182" i="12"/>
  <c r="L182" i="12"/>
  <c r="M182" i="12"/>
  <c r="N171" i="12"/>
  <c r="F242" i="12"/>
  <c r="F1106" i="12"/>
  <c r="G674" i="12"/>
  <c r="H674" i="12"/>
  <c r="I674" i="12"/>
  <c r="G938" i="12"/>
  <c r="H938" i="12"/>
  <c r="I938" i="12"/>
  <c r="G1226" i="12"/>
  <c r="H1226" i="12"/>
  <c r="I1226" i="12"/>
  <c r="D1347" i="12"/>
  <c r="E1347" i="12"/>
  <c r="D1227" i="12"/>
  <c r="E1227" i="12"/>
  <c r="D1083" i="12"/>
  <c r="E1083" i="12"/>
  <c r="E747" i="12"/>
  <c r="D747" i="12"/>
  <c r="D603" i="12"/>
  <c r="E603" i="12"/>
  <c r="E363" i="12"/>
  <c r="D363" i="12"/>
  <c r="K188" i="12"/>
  <c r="L188" i="12"/>
  <c r="M188" i="12"/>
  <c r="A25" i="12"/>
  <c r="J148" i="11"/>
  <c r="P148" i="11" s="1"/>
  <c r="J161" i="11"/>
  <c r="P161" i="11" s="1"/>
  <c r="J160" i="11"/>
  <c r="P160" i="11" s="1"/>
  <c r="N160" i="11"/>
  <c r="O160" i="11" s="1"/>
  <c r="N184" i="11"/>
  <c r="O184" i="11" s="1"/>
  <c r="J170" i="11"/>
  <c r="N167" i="11"/>
  <c r="O167" i="11" s="1"/>
  <c r="J166" i="11"/>
  <c r="P166" i="11" s="1"/>
  <c r="J143" i="11"/>
  <c r="P143" i="11" s="1"/>
  <c r="N162" i="11"/>
  <c r="O162" i="11" s="1"/>
  <c r="P167" i="11"/>
  <c r="N143" i="11"/>
  <c r="O143" i="11" s="1"/>
  <c r="O164" i="11"/>
  <c r="J177" i="11"/>
  <c r="P177" i="11" s="1"/>
  <c r="O170" i="11"/>
  <c r="J164" i="11"/>
  <c r="P164" i="11" s="1"/>
  <c r="J149" i="11"/>
  <c r="J141" i="11"/>
  <c r="O141" i="11" s="1"/>
  <c r="O149" i="11"/>
  <c r="O147" i="11"/>
  <c r="O166" i="11"/>
  <c r="J180" i="11"/>
  <c r="P180" i="11" s="1"/>
  <c r="N165" i="11"/>
  <c r="J165" i="11"/>
  <c r="O165" i="11" s="1"/>
  <c r="N153" i="11"/>
  <c r="O153" i="11" s="1"/>
  <c r="J153" i="11"/>
  <c r="P153" i="11" s="1"/>
  <c r="N159" i="11"/>
  <c r="O159" i="11" s="1"/>
  <c r="J159" i="11"/>
  <c r="P159" i="11" s="1"/>
  <c r="N146" i="11"/>
  <c r="J146" i="11"/>
  <c r="O146" i="11" s="1"/>
  <c r="N163" i="11"/>
  <c r="O163" i="11" s="1"/>
  <c r="J163" i="11"/>
  <c r="P163" i="11" s="1"/>
  <c r="N138" i="11"/>
  <c r="O138" i="11" s="1"/>
  <c r="J138" i="11"/>
  <c r="P138" i="11" s="1"/>
  <c r="N173" i="11"/>
  <c r="O173" i="11"/>
  <c r="J173" i="11"/>
  <c r="P173" i="11" s="1"/>
  <c r="N142" i="11"/>
  <c r="J142" i="11"/>
  <c r="N171" i="11"/>
  <c r="O171" i="11" s="1"/>
  <c r="J171" i="11"/>
  <c r="P171" i="11"/>
  <c r="N145" i="11"/>
  <c r="O145" i="11" s="1"/>
  <c r="J145" i="11"/>
  <c r="P145" i="11" s="1"/>
  <c r="N157" i="11"/>
  <c r="O157" i="11" s="1"/>
  <c r="J157" i="11"/>
  <c r="N152" i="11"/>
  <c r="O152" i="11" s="1"/>
  <c r="J152" i="11"/>
  <c r="P152" i="11" s="1"/>
  <c r="N150" i="11"/>
  <c r="O150" i="11"/>
  <c r="J150" i="11"/>
  <c r="P150" i="11"/>
  <c r="N139" i="11"/>
  <c r="J139" i="11"/>
  <c r="P139" i="11" s="1"/>
  <c r="N172" i="11"/>
  <c r="O172" i="11" s="1"/>
  <c r="J172" i="11"/>
  <c r="P172" i="11"/>
  <c r="N158" i="11"/>
  <c r="J158" i="11"/>
  <c r="P158" i="11" s="1"/>
  <c r="N140" i="11"/>
  <c r="J140" i="11"/>
  <c r="P140" i="11" s="1"/>
  <c r="N156" i="11"/>
  <c r="O156" i="11" s="1"/>
  <c r="J156" i="11"/>
  <c r="N174" i="11"/>
  <c r="J174" i="11"/>
  <c r="P174" i="11" s="1"/>
  <c r="N168" i="11"/>
  <c r="O168" i="11"/>
  <c r="J168" i="11"/>
  <c r="P168" i="11"/>
  <c r="J186" i="11"/>
  <c r="N154" i="11"/>
  <c r="O154" i="11" s="1"/>
  <c r="J154" i="11"/>
  <c r="P154" i="11" s="1"/>
  <c r="N155" i="11"/>
  <c r="O155" i="11" s="1"/>
  <c r="J155" i="11"/>
  <c r="P155" i="11"/>
  <c r="N151" i="11"/>
  <c r="O151" i="11" s="1"/>
  <c r="J151" i="11"/>
  <c r="P151" i="11" s="1"/>
  <c r="N178" i="11"/>
  <c r="O178" i="11" s="1"/>
  <c r="O185" i="11"/>
  <c r="N182" i="11"/>
  <c r="O182" i="11" s="1"/>
  <c r="O177" i="11"/>
  <c r="N175" i="11"/>
  <c r="O175" i="11" s="1"/>
  <c r="J175" i="11"/>
  <c r="P175" i="11" s="1"/>
  <c r="C38" i="11"/>
  <c r="E38" i="11" s="1"/>
  <c r="J36" i="11"/>
  <c r="L36" i="11" s="1"/>
  <c r="J10" i="11"/>
  <c r="C37" i="11"/>
  <c r="E37" i="11" s="1"/>
  <c r="N179" i="11"/>
  <c r="O179" i="11" s="1"/>
  <c r="J179" i="11"/>
  <c r="A10" i="11"/>
  <c r="N183" i="11"/>
  <c r="J183" i="11"/>
  <c r="P183" i="11" s="1"/>
  <c r="C39" i="11"/>
  <c r="E39" i="11" s="1"/>
  <c r="J181" i="11"/>
  <c r="P181" i="11" s="1"/>
  <c r="N181" i="11"/>
  <c r="O181" i="11" s="1"/>
  <c r="J39" i="11"/>
  <c r="L39" i="11" s="1"/>
  <c r="J38" i="11"/>
  <c r="L38" i="11" s="1"/>
  <c r="J37" i="11"/>
  <c r="L37" i="11" s="1"/>
  <c r="G10" i="11"/>
  <c r="N176" i="11"/>
  <c r="J176" i="11"/>
  <c r="P176" i="11" s="1"/>
  <c r="C36" i="11"/>
  <c r="E36" i="11" s="1"/>
  <c r="J1034" i="12" l="1"/>
  <c r="O158" i="11"/>
  <c r="P146" i="11"/>
  <c r="P165" i="11"/>
  <c r="O180" i="11"/>
  <c r="O144" i="11"/>
  <c r="N198" i="12"/>
  <c r="O198" i="12" s="1"/>
  <c r="P183" i="12"/>
  <c r="N201" i="12"/>
  <c r="F243" i="12"/>
  <c r="N210" i="12"/>
  <c r="F1323" i="12"/>
  <c r="F939" i="12"/>
  <c r="J1322" i="12"/>
  <c r="F1347" i="12"/>
  <c r="F387" i="12"/>
  <c r="N168" i="12"/>
  <c r="O168" i="12" s="1"/>
  <c r="N172" i="12"/>
  <c r="J25" i="12"/>
  <c r="N203" i="12"/>
  <c r="O203" i="12" s="1"/>
  <c r="F603" i="12"/>
  <c r="F651" i="12"/>
  <c r="F627" i="12"/>
  <c r="J1274" i="12"/>
  <c r="J1298" i="12"/>
  <c r="N211" i="12"/>
  <c r="N206" i="12"/>
  <c r="N178" i="12"/>
  <c r="J674" i="12"/>
  <c r="J1130" i="12"/>
  <c r="J506" i="12"/>
  <c r="F867" i="12"/>
  <c r="F219" i="12"/>
  <c r="F1011" i="12"/>
  <c r="F315" i="12"/>
  <c r="F819" i="12"/>
  <c r="P193" i="12"/>
  <c r="F363" i="12"/>
  <c r="F891" i="12"/>
  <c r="G1106" i="12"/>
  <c r="H1106" i="12"/>
  <c r="I1106" i="12"/>
  <c r="O172" i="12"/>
  <c r="P172" i="12"/>
  <c r="F747" i="12"/>
  <c r="F1371" i="12"/>
  <c r="H651" i="12"/>
  <c r="I651" i="12"/>
  <c r="G651" i="12"/>
  <c r="E1324" i="12"/>
  <c r="D1324" i="12"/>
  <c r="D1060" i="12"/>
  <c r="E1060" i="12"/>
  <c r="D1108" i="12"/>
  <c r="E1108" i="12"/>
  <c r="D940" i="12"/>
  <c r="E940" i="12"/>
  <c r="D628" i="12"/>
  <c r="E628" i="12"/>
  <c r="E436" i="12"/>
  <c r="D436" i="12"/>
  <c r="D316" i="12"/>
  <c r="E316" i="12"/>
  <c r="J434" i="12"/>
  <c r="H458" i="12"/>
  <c r="I458" i="12"/>
  <c r="G458" i="12"/>
  <c r="O187" i="12"/>
  <c r="P187" i="12"/>
  <c r="I243" i="12"/>
  <c r="G243" i="12"/>
  <c r="H243" i="12"/>
  <c r="I578" i="12"/>
  <c r="G578" i="12"/>
  <c r="H578" i="12"/>
  <c r="H1299" i="12"/>
  <c r="I1299" i="12"/>
  <c r="G1299" i="12"/>
  <c r="F1107" i="12"/>
  <c r="G1154" i="12"/>
  <c r="H1154" i="12"/>
  <c r="I1154" i="12"/>
  <c r="H1323" i="12"/>
  <c r="I1323" i="12"/>
  <c r="G1323" i="12"/>
  <c r="J1226" i="12"/>
  <c r="G242" i="12"/>
  <c r="H242" i="12"/>
  <c r="I242" i="12"/>
  <c r="J1394" i="12"/>
  <c r="N209" i="12"/>
  <c r="N166" i="12"/>
  <c r="F771" i="12"/>
  <c r="N204" i="12"/>
  <c r="O167" i="12"/>
  <c r="P167" i="12"/>
  <c r="F795" i="12"/>
  <c r="E1300" i="12"/>
  <c r="D1300" i="12"/>
  <c r="D1252" i="12"/>
  <c r="E1252" i="12"/>
  <c r="D724" i="12"/>
  <c r="E724" i="12"/>
  <c r="E820" i="12"/>
  <c r="D820" i="12"/>
  <c r="D580" i="12"/>
  <c r="E580" i="12"/>
  <c r="D460" i="12"/>
  <c r="E460" i="12"/>
  <c r="E244" i="12"/>
  <c r="D244" i="12"/>
  <c r="F411" i="12"/>
  <c r="H843" i="12"/>
  <c r="G843" i="12"/>
  <c r="I843" i="12"/>
  <c r="G1178" i="12"/>
  <c r="H1178" i="12"/>
  <c r="I1178" i="12"/>
  <c r="F531" i="12"/>
  <c r="F1203" i="12"/>
  <c r="I362" i="12"/>
  <c r="H362" i="12"/>
  <c r="G362" i="12"/>
  <c r="F483" i="12"/>
  <c r="J1370" i="12"/>
  <c r="F579" i="12"/>
  <c r="N190" i="12"/>
  <c r="N212" i="12"/>
  <c r="D86" i="12" s="1"/>
  <c r="E86" i="12" s="1"/>
  <c r="N207" i="12"/>
  <c r="O207" i="12" s="1"/>
  <c r="O210" i="12"/>
  <c r="H867" i="12"/>
  <c r="G867" i="12"/>
  <c r="I867" i="12"/>
  <c r="O213" i="12"/>
  <c r="P213" i="12"/>
  <c r="I1011" i="12"/>
  <c r="G1011" i="12"/>
  <c r="H1011" i="12"/>
  <c r="I1010" i="12"/>
  <c r="G1010" i="12"/>
  <c r="H1010" i="12"/>
  <c r="G315" i="12"/>
  <c r="H315" i="12"/>
  <c r="I315" i="12"/>
  <c r="G819" i="12"/>
  <c r="H819" i="12"/>
  <c r="I819" i="12"/>
  <c r="E1228" i="12"/>
  <c r="D1228" i="12"/>
  <c r="D1036" i="12"/>
  <c r="E1036" i="12"/>
  <c r="D796" i="12"/>
  <c r="E796" i="12"/>
  <c r="E748" i="12"/>
  <c r="D748" i="12"/>
  <c r="D412" i="12"/>
  <c r="F412" i="12" s="1"/>
  <c r="E412" i="12"/>
  <c r="O165" i="12"/>
  <c r="P165" i="12"/>
  <c r="F723" i="12"/>
  <c r="F435" i="12"/>
  <c r="N194" i="12"/>
  <c r="E1372" i="12"/>
  <c r="D1372" i="12"/>
  <c r="E1276" i="12"/>
  <c r="D1276" i="12"/>
  <c r="D844" i="12"/>
  <c r="E844" i="12"/>
  <c r="E916" i="12"/>
  <c r="D916" i="12"/>
  <c r="D604" i="12"/>
  <c r="E604" i="12"/>
  <c r="D364" i="12"/>
  <c r="E364" i="12"/>
  <c r="D292" i="12"/>
  <c r="E292" i="12"/>
  <c r="I290" i="12"/>
  <c r="G290" i="12"/>
  <c r="H290" i="12"/>
  <c r="H891" i="12"/>
  <c r="G891" i="12"/>
  <c r="I891" i="12"/>
  <c r="J962" i="12"/>
  <c r="F1155" i="12"/>
  <c r="O206" i="12"/>
  <c r="P206" i="12"/>
  <c r="O195" i="12"/>
  <c r="P195" i="12"/>
  <c r="J1250" i="12"/>
  <c r="F1035" i="12"/>
  <c r="F1275" i="12"/>
  <c r="I338" i="12"/>
  <c r="G338" i="12"/>
  <c r="H338" i="12"/>
  <c r="O211" i="12"/>
  <c r="P211" i="12"/>
  <c r="F1083" i="12"/>
  <c r="O171" i="12"/>
  <c r="P171" i="12"/>
  <c r="H266" i="12"/>
  <c r="I266" i="12"/>
  <c r="G266" i="12"/>
  <c r="N196" i="12"/>
  <c r="H890" i="12"/>
  <c r="I890" i="12"/>
  <c r="G890" i="12"/>
  <c r="O181" i="12"/>
  <c r="P181" i="12"/>
  <c r="B221" i="12"/>
  <c r="B269" i="12"/>
  <c r="B245" i="12"/>
  <c r="B341" i="12"/>
  <c r="B293" i="12"/>
  <c r="B365" i="12"/>
  <c r="B437" i="12"/>
  <c r="B461" i="12"/>
  <c r="B485" i="12"/>
  <c r="B389" i="12"/>
  <c r="B413" i="12"/>
  <c r="B317" i="12"/>
  <c r="B557" i="12"/>
  <c r="B509" i="12"/>
  <c r="B533" i="12"/>
  <c r="B749" i="12"/>
  <c r="B701" i="12"/>
  <c r="B677" i="12"/>
  <c r="B581" i="12"/>
  <c r="B605" i="12"/>
  <c r="B629" i="12"/>
  <c r="B653" i="12"/>
  <c r="B725" i="12"/>
  <c r="B773" i="12"/>
  <c r="B797" i="12"/>
  <c r="B821" i="12"/>
  <c r="B845" i="12"/>
  <c r="B965" i="12"/>
  <c r="B917" i="12"/>
  <c r="B1013" i="12"/>
  <c r="B1037" i="12"/>
  <c r="B941" i="12"/>
  <c r="B1061" i="12"/>
  <c r="B1109" i="12"/>
  <c r="B1133" i="12"/>
  <c r="B1157" i="12"/>
  <c r="B1181" i="12"/>
  <c r="B1205" i="12"/>
  <c r="B1229" i="12"/>
  <c r="B1253" i="12"/>
  <c r="B1277" i="12"/>
  <c r="B869" i="12"/>
  <c r="B989" i="12"/>
  <c r="B1085" i="12"/>
  <c r="B893" i="12"/>
  <c r="B1301" i="12"/>
  <c r="B1325" i="12"/>
  <c r="B1349" i="12"/>
  <c r="B1373" i="12"/>
  <c r="B1397" i="12"/>
  <c r="A1425" i="12"/>
  <c r="B1424" i="12"/>
  <c r="D1204" i="12"/>
  <c r="E1204" i="12"/>
  <c r="D868" i="12"/>
  <c r="E868" i="12"/>
  <c r="E772" i="12"/>
  <c r="D772" i="12"/>
  <c r="D532" i="12"/>
  <c r="E532" i="12"/>
  <c r="D388" i="12"/>
  <c r="E388" i="12"/>
  <c r="F1227" i="12"/>
  <c r="J938" i="12"/>
  <c r="O179" i="12"/>
  <c r="P179" i="12"/>
  <c r="J914" i="12"/>
  <c r="J986" i="12"/>
  <c r="I770" i="12"/>
  <c r="H770" i="12"/>
  <c r="G770" i="12"/>
  <c r="N170" i="12"/>
  <c r="F267" i="12"/>
  <c r="F1395" i="12"/>
  <c r="J554" i="12"/>
  <c r="J722" i="12"/>
  <c r="D1396" i="12"/>
  <c r="E1396" i="12"/>
  <c r="D1180" i="12"/>
  <c r="E1180" i="12"/>
  <c r="D1012" i="12"/>
  <c r="E1012" i="12"/>
  <c r="D676" i="12"/>
  <c r="E676" i="12"/>
  <c r="D508" i="12"/>
  <c r="E508" i="12"/>
  <c r="D220" i="12"/>
  <c r="E220" i="12"/>
  <c r="J698" i="12"/>
  <c r="F507" i="12"/>
  <c r="F1131" i="12"/>
  <c r="N192" i="12"/>
  <c r="G339" i="12"/>
  <c r="H339" i="12"/>
  <c r="I339" i="12"/>
  <c r="H218" i="12"/>
  <c r="I218" i="12"/>
  <c r="G218" i="12"/>
  <c r="O178" i="12"/>
  <c r="P178" i="12"/>
  <c r="N200" i="12"/>
  <c r="H627" i="12"/>
  <c r="I627" i="12"/>
  <c r="G627" i="12"/>
  <c r="N188" i="12"/>
  <c r="G219" i="12"/>
  <c r="H219" i="12"/>
  <c r="I219" i="12"/>
  <c r="G363" i="12"/>
  <c r="H363" i="12"/>
  <c r="I363" i="12"/>
  <c r="N182" i="12"/>
  <c r="H842" i="12"/>
  <c r="G842" i="12"/>
  <c r="I842" i="12"/>
  <c r="N180" i="12"/>
  <c r="N202" i="12"/>
  <c r="O197" i="12"/>
  <c r="P197" i="12"/>
  <c r="F1251" i="12"/>
  <c r="N184" i="12"/>
  <c r="O184" i="12" s="1"/>
  <c r="F459" i="12"/>
  <c r="D1348" i="12"/>
  <c r="E1348" i="12"/>
  <c r="E1084" i="12"/>
  <c r="D1084" i="12"/>
  <c r="F1084" i="12" s="1"/>
  <c r="D1156" i="12"/>
  <c r="E1156" i="12"/>
  <c r="D988" i="12"/>
  <c r="E988" i="12"/>
  <c r="D700" i="12"/>
  <c r="E700" i="12"/>
  <c r="D484" i="12"/>
  <c r="E484" i="12"/>
  <c r="E340" i="12"/>
  <c r="D340" i="12"/>
  <c r="F340" i="12" s="1"/>
  <c r="N186" i="12"/>
  <c r="F963" i="12"/>
  <c r="O191" i="12"/>
  <c r="P191" i="12"/>
  <c r="I386" i="12"/>
  <c r="H386" i="12"/>
  <c r="G386" i="12"/>
  <c r="F987" i="12"/>
  <c r="N174" i="12"/>
  <c r="F1059" i="12"/>
  <c r="O201" i="12"/>
  <c r="P201" i="12"/>
  <c r="I939" i="12"/>
  <c r="G939" i="12"/>
  <c r="H939" i="12"/>
  <c r="O175" i="12"/>
  <c r="P175" i="12"/>
  <c r="H603" i="12"/>
  <c r="I603" i="12"/>
  <c r="G603" i="12"/>
  <c r="H1347" i="12"/>
  <c r="I1347" i="12"/>
  <c r="G1347" i="12"/>
  <c r="H866" i="12"/>
  <c r="I866" i="12"/>
  <c r="G866" i="12"/>
  <c r="O189" i="12"/>
  <c r="P189" i="12"/>
  <c r="G387" i="12"/>
  <c r="I387" i="12"/>
  <c r="H387" i="12"/>
  <c r="I314" i="12"/>
  <c r="H314" i="12"/>
  <c r="G314" i="12"/>
  <c r="I794" i="12"/>
  <c r="H794" i="12"/>
  <c r="G794" i="12"/>
  <c r="J482" i="12"/>
  <c r="F675" i="12"/>
  <c r="D892" i="12"/>
  <c r="E892" i="12"/>
  <c r="E1132" i="12"/>
  <c r="D1132" i="12"/>
  <c r="D964" i="12"/>
  <c r="F964" i="12" s="1"/>
  <c r="E964" i="12"/>
  <c r="D652" i="12"/>
  <c r="F652" i="12" s="1"/>
  <c r="E652" i="12"/>
  <c r="D556" i="12"/>
  <c r="E556" i="12"/>
  <c r="D268" i="12"/>
  <c r="E268" i="12"/>
  <c r="N208" i="12"/>
  <c r="H699" i="12"/>
  <c r="I699" i="12"/>
  <c r="G699" i="12"/>
  <c r="G1179" i="12"/>
  <c r="H1179" i="12"/>
  <c r="I1179" i="12"/>
  <c r="F915" i="12"/>
  <c r="I410" i="12"/>
  <c r="G410" i="12"/>
  <c r="H410" i="12"/>
  <c r="I818" i="12"/>
  <c r="H818" i="12"/>
  <c r="G818" i="12"/>
  <c r="J818" i="12" s="1"/>
  <c r="F555" i="12"/>
  <c r="F291" i="12"/>
  <c r="J1202" i="12"/>
  <c r="N176" i="12"/>
  <c r="N205" i="12"/>
  <c r="O174" i="11"/>
  <c r="O142" i="11"/>
  <c r="P142" i="11"/>
  <c r="O140" i="11"/>
  <c r="O139" i="11"/>
  <c r="O183" i="11"/>
  <c r="D14" i="11"/>
  <c r="J14" i="11"/>
  <c r="O176" i="11"/>
  <c r="A14" i="11"/>
  <c r="J939" i="12" l="1"/>
  <c r="J243" i="12"/>
  <c r="P203" i="12"/>
  <c r="P168" i="12"/>
  <c r="F1372" i="12"/>
  <c r="J1010" i="12"/>
  <c r="J867" i="12"/>
  <c r="F244" i="12"/>
  <c r="J603" i="12"/>
  <c r="F1132" i="12"/>
  <c r="D84" i="12"/>
  <c r="E84" i="12" s="1"/>
  <c r="J83" i="12"/>
  <c r="K83" i="12" s="1"/>
  <c r="F988" i="12"/>
  <c r="F1012" i="12"/>
  <c r="J819" i="12"/>
  <c r="J1011" i="12"/>
  <c r="G25" i="12"/>
  <c r="F292" i="12"/>
  <c r="F844" i="12"/>
  <c r="J843" i="12"/>
  <c r="F580" i="12"/>
  <c r="J315" i="12"/>
  <c r="J578" i="12"/>
  <c r="F628" i="12"/>
  <c r="D1301" i="12"/>
  <c r="E1301" i="12"/>
  <c r="D1253" i="12"/>
  <c r="E1253" i="12"/>
  <c r="E941" i="12"/>
  <c r="D941" i="12"/>
  <c r="E773" i="12"/>
  <c r="D773" i="12"/>
  <c r="E749" i="12"/>
  <c r="D749" i="12"/>
  <c r="D461" i="12"/>
  <c r="E461" i="12"/>
  <c r="G1372" i="12"/>
  <c r="H1372" i="12"/>
  <c r="I1372" i="12"/>
  <c r="G771" i="12"/>
  <c r="H771" i="12"/>
  <c r="I771" i="12"/>
  <c r="G1107" i="12"/>
  <c r="H1107" i="12"/>
  <c r="I1107" i="12"/>
  <c r="O176" i="12"/>
  <c r="P176" i="12"/>
  <c r="J794" i="12"/>
  <c r="J387" i="12"/>
  <c r="F484" i="12"/>
  <c r="O202" i="12"/>
  <c r="P202" i="12"/>
  <c r="J363" i="12"/>
  <c r="O200" i="12"/>
  <c r="P200" i="12"/>
  <c r="J339" i="12"/>
  <c r="F508" i="12"/>
  <c r="F1396" i="12"/>
  <c r="F388" i="12"/>
  <c r="F1204" i="12"/>
  <c r="D1229" i="12"/>
  <c r="F1229" i="12" s="1"/>
  <c r="E1229" i="12"/>
  <c r="E1037" i="12"/>
  <c r="D1037" i="12"/>
  <c r="D725" i="12"/>
  <c r="E725" i="12"/>
  <c r="D533" i="12"/>
  <c r="E533" i="12"/>
  <c r="D437" i="12"/>
  <c r="E437" i="12"/>
  <c r="D83" i="12"/>
  <c r="E83" i="12" s="1"/>
  <c r="J338" i="12"/>
  <c r="F604" i="12"/>
  <c r="J21" i="12"/>
  <c r="F796" i="12"/>
  <c r="G483" i="12"/>
  <c r="H483" i="12"/>
  <c r="I483" i="12"/>
  <c r="J1178" i="12"/>
  <c r="F460" i="12"/>
  <c r="F1252" i="12"/>
  <c r="O166" i="12"/>
  <c r="P166" i="12"/>
  <c r="J1299" i="12"/>
  <c r="F316" i="12"/>
  <c r="F1108" i="12"/>
  <c r="H1371" i="12"/>
  <c r="I1371" i="12"/>
  <c r="G1371" i="12"/>
  <c r="E1205" i="12"/>
  <c r="D1205" i="12"/>
  <c r="E1013" i="12"/>
  <c r="D1013" i="12"/>
  <c r="D653" i="12"/>
  <c r="E653" i="12"/>
  <c r="D509" i="12"/>
  <c r="E509" i="12"/>
  <c r="D365" i="12"/>
  <c r="F365" i="12" s="1"/>
  <c r="E365" i="12"/>
  <c r="J890" i="12"/>
  <c r="J290" i="12"/>
  <c r="F916" i="12"/>
  <c r="O194" i="12"/>
  <c r="P194" i="12"/>
  <c r="A21" i="12"/>
  <c r="J362" i="12"/>
  <c r="F1300" i="12"/>
  <c r="O209" i="12"/>
  <c r="P209" i="12"/>
  <c r="J1323" i="12"/>
  <c r="F436" i="12"/>
  <c r="H747" i="12"/>
  <c r="G747" i="12"/>
  <c r="I747" i="12"/>
  <c r="O180" i="12"/>
  <c r="P180" i="12"/>
  <c r="O192" i="12"/>
  <c r="P192" i="12"/>
  <c r="G291" i="12"/>
  <c r="I291" i="12"/>
  <c r="H291" i="12"/>
  <c r="I915" i="12"/>
  <c r="G915" i="12"/>
  <c r="H915" i="12"/>
  <c r="I1132" i="12"/>
  <c r="G1132" i="12"/>
  <c r="H1132" i="12"/>
  <c r="F1348" i="12"/>
  <c r="G1131" i="12"/>
  <c r="H1131" i="12"/>
  <c r="I1131" i="12"/>
  <c r="F676" i="12"/>
  <c r="F532" i="12"/>
  <c r="B222" i="12"/>
  <c r="B246" i="12"/>
  <c r="B366" i="12"/>
  <c r="B270" i="12"/>
  <c r="B342" i="12"/>
  <c r="B294" i="12"/>
  <c r="B318" i="12"/>
  <c r="B390" i="12"/>
  <c r="B438" i="12"/>
  <c r="B462" i="12"/>
  <c r="B486" i="12"/>
  <c r="B414" i="12"/>
  <c r="B582" i="12"/>
  <c r="B606" i="12"/>
  <c r="B630" i="12"/>
  <c r="B654" i="12"/>
  <c r="B678" i="12"/>
  <c r="B702" i="12"/>
  <c r="B726" i="12"/>
  <c r="B750" i="12"/>
  <c r="B558" i="12"/>
  <c r="B510" i="12"/>
  <c r="B534" i="12"/>
  <c r="B774" i="12"/>
  <c r="B798" i="12"/>
  <c r="B822" i="12"/>
  <c r="B846" i="12"/>
  <c r="B870" i="12"/>
  <c r="B894" i="12"/>
  <c r="B918" i="12"/>
  <c r="B990" i="12"/>
  <c r="B1062" i="12"/>
  <c r="B1014" i="12"/>
  <c r="B966" i="12"/>
  <c r="B942" i="12"/>
  <c r="B1038" i="12"/>
  <c r="B1230" i="12"/>
  <c r="B1110" i="12"/>
  <c r="B1134" i="12"/>
  <c r="B1158" i="12"/>
  <c r="B1302" i="12"/>
  <c r="B1326" i="12"/>
  <c r="B1350" i="12"/>
  <c r="B1374" i="12"/>
  <c r="B1398" i="12"/>
  <c r="A1426" i="12"/>
  <c r="B1278" i="12"/>
  <c r="B1086" i="12"/>
  <c r="B1206" i="12"/>
  <c r="B1182" i="12"/>
  <c r="B1254" i="12"/>
  <c r="B1425" i="12"/>
  <c r="E893" i="12"/>
  <c r="D893" i="12"/>
  <c r="E1181" i="12"/>
  <c r="D1181" i="12"/>
  <c r="E917" i="12"/>
  <c r="D917" i="12"/>
  <c r="D629" i="12"/>
  <c r="E629" i="12"/>
  <c r="D557" i="12"/>
  <c r="E557" i="12"/>
  <c r="D293" i="12"/>
  <c r="F293" i="12" s="1"/>
  <c r="E293" i="12"/>
  <c r="H1275" i="12"/>
  <c r="I1275" i="12"/>
  <c r="G1275" i="12"/>
  <c r="G435" i="12"/>
  <c r="H435" i="12"/>
  <c r="I435" i="12"/>
  <c r="F1036" i="12"/>
  <c r="G580" i="12"/>
  <c r="H580" i="12"/>
  <c r="I580" i="12"/>
  <c r="F1060" i="12"/>
  <c r="G652" i="12"/>
  <c r="H652" i="12"/>
  <c r="I652" i="12"/>
  <c r="H1084" i="12"/>
  <c r="G1084" i="12"/>
  <c r="I1084" i="12"/>
  <c r="J410" i="12"/>
  <c r="O208" i="12"/>
  <c r="P208" i="12"/>
  <c r="F700" i="12"/>
  <c r="G555" i="12"/>
  <c r="H555" i="12"/>
  <c r="I555" i="12"/>
  <c r="F268" i="12"/>
  <c r="J314" i="12"/>
  <c r="J866" i="12"/>
  <c r="I1059" i="12"/>
  <c r="H1059" i="12"/>
  <c r="G1059" i="12"/>
  <c r="I963" i="12"/>
  <c r="G963" i="12"/>
  <c r="H963" i="12"/>
  <c r="G459" i="12"/>
  <c r="H459" i="12"/>
  <c r="I459" i="12"/>
  <c r="J842" i="12"/>
  <c r="J219" i="12"/>
  <c r="J218" i="12"/>
  <c r="I507" i="12"/>
  <c r="G507" i="12"/>
  <c r="H507" i="12"/>
  <c r="H1395" i="12"/>
  <c r="I1395" i="12"/>
  <c r="G1395" i="12"/>
  <c r="F772" i="12"/>
  <c r="D1397" i="12"/>
  <c r="E1397" i="12"/>
  <c r="D1085" i="12"/>
  <c r="E1085" i="12"/>
  <c r="D1157" i="12"/>
  <c r="E1157" i="12"/>
  <c r="D965" i="12"/>
  <c r="E965" i="12"/>
  <c r="D605" i="12"/>
  <c r="E605" i="12"/>
  <c r="D317" i="12"/>
  <c r="E317" i="12"/>
  <c r="D341" i="12"/>
  <c r="E341" i="12"/>
  <c r="I1035" i="12"/>
  <c r="G1035" i="12"/>
  <c r="H1035" i="12"/>
  <c r="G1155" i="12"/>
  <c r="H1155" i="12"/>
  <c r="I1155" i="12"/>
  <c r="H723" i="12"/>
  <c r="G723" i="12"/>
  <c r="I723" i="12"/>
  <c r="F1228" i="12"/>
  <c r="F820" i="12"/>
  <c r="G795" i="12"/>
  <c r="H795" i="12"/>
  <c r="I795" i="12"/>
  <c r="J458" i="12"/>
  <c r="F1324" i="12"/>
  <c r="O205" i="12"/>
  <c r="P205" i="12"/>
  <c r="I964" i="12"/>
  <c r="G964" i="12"/>
  <c r="H964" i="12"/>
  <c r="D1373" i="12"/>
  <c r="F1373" i="12" s="1"/>
  <c r="E1373" i="12"/>
  <c r="D989" i="12"/>
  <c r="E989" i="12"/>
  <c r="D1133" i="12"/>
  <c r="E1133" i="12"/>
  <c r="E845" i="12"/>
  <c r="D845" i="12"/>
  <c r="D581" i="12"/>
  <c r="E581" i="12"/>
  <c r="D413" i="12"/>
  <c r="E413" i="12"/>
  <c r="D245" i="12"/>
  <c r="E245" i="12"/>
  <c r="P196" i="12"/>
  <c r="O196" i="12"/>
  <c r="G1083" i="12"/>
  <c r="H1083" i="12"/>
  <c r="I1083" i="12"/>
  <c r="I292" i="12"/>
  <c r="H292" i="12"/>
  <c r="G292" i="12"/>
  <c r="H844" i="12"/>
  <c r="I844" i="12"/>
  <c r="G844" i="12"/>
  <c r="I412" i="12"/>
  <c r="G412" i="12"/>
  <c r="H412" i="12"/>
  <c r="O212" i="12"/>
  <c r="P212" i="12"/>
  <c r="G1203" i="12"/>
  <c r="H1203" i="12"/>
  <c r="I1203" i="12"/>
  <c r="G411" i="12"/>
  <c r="I411" i="12"/>
  <c r="H411" i="12"/>
  <c r="G628" i="12"/>
  <c r="H628" i="12"/>
  <c r="I628" i="12"/>
  <c r="O174" i="12"/>
  <c r="P174" i="12"/>
  <c r="O186" i="12"/>
  <c r="P186" i="12"/>
  <c r="H1012" i="12"/>
  <c r="I1012" i="12"/>
  <c r="G1012" i="12"/>
  <c r="G267" i="12"/>
  <c r="I267" i="12"/>
  <c r="H267" i="12"/>
  <c r="J1179" i="12"/>
  <c r="F892" i="12"/>
  <c r="G1251" i="12"/>
  <c r="H1251" i="12"/>
  <c r="I1251" i="12"/>
  <c r="O182" i="12"/>
  <c r="P182" i="12"/>
  <c r="J627" i="12"/>
  <c r="O170" i="12"/>
  <c r="P170" i="12"/>
  <c r="D1349" i="12"/>
  <c r="E1349" i="12"/>
  <c r="E869" i="12"/>
  <c r="D869" i="12"/>
  <c r="D1109" i="12"/>
  <c r="E1109" i="12"/>
  <c r="E821" i="12"/>
  <c r="D821" i="12"/>
  <c r="F821" i="12" s="1"/>
  <c r="D677" i="12"/>
  <c r="E677" i="12"/>
  <c r="D389" i="12"/>
  <c r="E389" i="12"/>
  <c r="D269" i="12"/>
  <c r="E269" i="12"/>
  <c r="J266" i="12"/>
  <c r="J84" i="12"/>
  <c r="K84" i="12" s="1"/>
  <c r="F1276" i="12"/>
  <c r="J85" i="12"/>
  <c r="K85" i="12" s="1"/>
  <c r="F748" i="12"/>
  <c r="O190" i="12"/>
  <c r="P190" i="12"/>
  <c r="I531" i="12"/>
  <c r="G531" i="12"/>
  <c r="H531" i="12"/>
  <c r="H244" i="12"/>
  <c r="I244" i="12"/>
  <c r="G244" i="12"/>
  <c r="J242" i="12"/>
  <c r="J651" i="12"/>
  <c r="I988" i="12"/>
  <c r="G988" i="12"/>
  <c r="H988" i="12"/>
  <c r="O188" i="12"/>
  <c r="P188" i="12"/>
  <c r="F556" i="12"/>
  <c r="G987" i="12"/>
  <c r="H987" i="12"/>
  <c r="I987" i="12"/>
  <c r="G340" i="12"/>
  <c r="H340" i="12"/>
  <c r="I340" i="12"/>
  <c r="J699" i="12"/>
  <c r="H675" i="12"/>
  <c r="I675" i="12"/>
  <c r="G675" i="12"/>
  <c r="J1347" i="12"/>
  <c r="J386" i="12"/>
  <c r="F1156" i="12"/>
  <c r="F220" i="12"/>
  <c r="F1180" i="12"/>
  <c r="J770" i="12"/>
  <c r="I1227" i="12"/>
  <c r="G1227" i="12"/>
  <c r="H1227" i="12"/>
  <c r="F868" i="12"/>
  <c r="D1325" i="12"/>
  <c r="E1325" i="12"/>
  <c r="D1277" i="12"/>
  <c r="E1277" i="12"/>
  <c r="D1061" i="12"/>
  <c r="E1061" i="12"/>
  <c r="D797" i="12"/>
  <c r="E797" i="12"/>
  <c r="E701" i="12"/>
  <c r="D701" i="12"/>
  <c r="E485" i="12"/>
  <c r="D485" i="12"/>
  <c r="E221" i="12"/>
  <c r="D221" i="12"/>
  <c r="J891" i="12"/>
  <c r="F364" i="12"/>
  <c r="D85" i="12"/>
  <c r="E85" i="12" s="1"/>
  <c r="J86" i="12"/>
  <c r="K86" i="12" s="1"/>
  <c r="H579" i="12"/>
  <c r="I579" i="12"/>
  <c r="G579" i="12"/>
  <c r="F724" i="12"/>
  <c r="O204" i="12"/>
  <c r="P204" i="12"/>
  <c r="J1154" i="12"/>
  <c r="F940" i="12"/>
  <c r="J1106" i="12"/>
  <c r="G14" i="11"/>
  <c r="F93" i="11"/>
  <c r="I99" i="11"/>
  <c r="G106" i="11"/>
  <c r="C101" i="11"/>
  <c r="H98" i="11"/>
  <c r="E96" i="11"/>
  <c r="I93" i="11"/>
  <c r="E94" i="11"/>
  <c r="H100" i="11"/>
  <c r="F107" i="11"/>
  <c r="H102" i="11"/>
  <c r="C100" i="11"/>
  <c r="G97" i="11"/>
  <c r="C95" i="11"/>
  <c r="D95" i="11"/>
  <c r="G101" i="11"/>
  <c r="E108" i="11"/>
  <c r="K103" i="11"/>
  <c r="H101" i="11"/>
  <c r="C99" i="11"/>
  <c r="G96" i="11"/>
  <c r="C96" i="11"/>
  <c r="F102" i="11"/>
  <c r="D109" i="11"/>
  <c r="F105" i="11"/>
  <c r="J102" i="11"/>
  <c r="F100" i="11"/>
  <c r="C98" i="11"/>
  <c r="K96" i="11"/>
  <c r="E103" i="11"/>
  <c r="C110" i="11"/>
  <c r="K106" i="11"/>
  <c r="F104" i="11"/>
  <c r="J101" i="11"/>
  <c r="E99" i="11"/>
  <c r="I90" i="11"/>
  <c r="C97" i="11"/>
  <c r="J103" i="11"/>
  <c r="J96" i="11"/>
  <c r="G94" i="11"/>
  <c r="K91" i="11"/>
  <c r="F89" i="11"/>
  <c r="F85" i="11"/>
  <c r="I91" i="11"/>
  <c r="G98" i="11"/>
  <c r="F88" i="11"/>
  <c r="J85" i="11"/>
  <c r="E83" i="11"/>
  <c r="F80" i="11"/>
  <c r="G84" i="11"/>
  <c r="J90" i="11"/>
  <c r="H97" i="11"/>
  <c r="J86" i="11"/>
  <c r="F84" i="11"/>
  <c r="G81" i="11"/>
  <c r="H78" i="11"/>
  <c r="G100" i="11"/>
  <c r="J106" i="11"/>
  <c r="H113" i="11"/>
  <c r="G112" i="11"/>
  <c r="K109" i="11"/>
  <c r="G107" i="11"/>
  <c r="D105" i="11"/>
  <c r="F101" i="11"/>
  <c r="I107" i="11"/>
  <c r="G114" i="11"/>
  <c r="C114" i="11"/>
  <c r="G111" i="11"/>
  <c r="K108" i="11"/>
  <c r="F106" i="11"/>
  <c r="E102" i="11"/>
  <c r="H108" i="11"/>
  <c r="E66" i="11"/>
  <c r="D65" i="11"/>
  <c r="J112" i="11"/>
  <c r="G110" i="11"/>
  <c r="K107" i="11"/>
  <c r="D103" i="11"/>
  <c r="G109" i="11"/>
  <c r="C68" i="11"/>
  <c r="K66" i="11"/>
  <c r="E114" i="11"/>
  <c r="I111" i="11"/>
  <c r="E109" i="11"/>
  <c r="C104" i="11"/>
  <c r="F110" i="11"/>
  <c r="J69" i="11"/>
  <c r="I68" i="11"/>
  <c r="F65" i="11"/>
  <c r="E113" i="11"/>
  <c r="I110" i="11"/>
  <c r="J97" i="11"/>
  <c r="D104" i="11"/>
  <c r="K110" i="11"/>
  <c r="D108" i="11"/>
  <c r="I105" i="11"/>
  <c r="F103" i="11"/>
  <c r="J100" i="11"/>
  <c r="G92" i="11"/>
  <c r="J98" i="11"/>
  <c r="H105" i="11"/>
  <c r="J99" i="11"/>
  <c r="E97" i="11"/>
  <c r="I94" i="11"/>
  <c r="D92" i="11"/>
  <c r="H91" i="11"/>
  <c r="K97" i="11"/>
  <c r="I104" i="11"/>
  <c r="E98" i="11"/>
  <c r="I95" i="11"/>
  <c r="E93" i="11"/>
  <c r="K90" i="11"/>
  <c r="F68" i="11"/>
  <c r="H107" i="11"/>
  <c r="K113" i="11"/>
  <c r="K76" i="11"/>
  <c r="J75" i="11"/>
  <c r="G72" i="11"/>
  <c r="H69" i="11"/>
  <c r="E69" i="11"/>
  <c r="G108" i="11"/>
  <c r="J114" i="11"/>
  <c r="I78" i="11"/>
  <c r="H77" i="11"/>
  <c r="E74" i="11"/>
  <c r="F71" i="11"/>
  <c r="D70" i="11"/>
  <c r="F109" i="11"/>
  <c r="H65" i="11"/>
  <c r="G80" i="11"/>
  <c r="F79" i="11"/>
  <c r="C76" i="11"/>
  <c r="D73" i="11"/>
  <c r="C71" i="11"/>
  <c r="E110" i="11"/>
  <c r="G66" i="11"/>
  <c r="E82" i="11"/>
  <c r="D81" i="11"/>
  <c r="J77" i="11"/>
  <c r="K74" i="11"/>
  <c r="K71" i="11"/>
  <c r="D111" i="11"/>
  <c r="F67" i="11"/>
  <c r="K83" i="11"/>
  <c r="K82" i="11"/>
  <c r="H79" i="11"/>
  <c r="I76" i="11"/>
  <c r="I65" i="11"/>
  <c r="K104" i="11"/>
  <c r="E111" i="11"/>
  <c r="H71" i="11"/>
  <c r="G70" i="11"/>
  <c r="D67" i="11"/>
  <c r="H114" i="11"/>
  <c r="E112" i="11"/>
  <c r="H99" i="11"/>
  <c r="K105" i="11"/>
  <c r="I112" i="11"/>
  <c r="C111" i="11"/>
  <c r="I108" i="11"/>
  <c r="D106" i="11"/>
  <c r="H103" i="11"/>
  <c r="I98" i="11"/>
  <c r="C105" i="11"/>
  <c r="J111" i="11"/>
  <c r="I109" i="11"/>
  <c r="D107" i="11"/>
  <c r="H104" i="11"/>
  <c r="D102" i="11"/>
  <c r="G75" i="11"/>
  <c r="I114" i="11"/>
  <c r="K70" i="11"/>
  <c r="G89" i="11"/>
  <c r="G88" i="11"/>
  <c r="K85" i="11"/>
  <c r="G83" i="11"/>
  <c r="F76" i="11"/>
  <c r="C65" i="11"/>
  <c r="J71" i="11"/>
  <c r="C91" i="11"/>
  <c r="C90" i="11"/>
  <c r="G87" i="11"/>
  <c r="K84" i="11"/>
  <c r="E77" i="11"/>
  <c r="K65" i="11"/>
  <c r="I72" i="11"/>
  <c r="F92" i="11"/>
  <c r="E91" i="11"/>
  <c r="J88" i="11"/>
  <c r="G86" i="11"/>
  <c r="D78" i="11"/>
  <c r="J66" i="11"/>
  <c r="H73" i="11"/>
  <c r="J93" i="11"/>
  <c r="J92" i="11"/>
  <c r="E90" i="11"/>
  <c r="I87" i="11"/>
  <c r="C79" i="11"/>
  <c r="I67" i="11"/>
  <c r="G74" i="11"/>
  <c r="F95" i="11"/>
  <c r="D94" i="11"/>
  <c r="J91" i="11"/>
  <c r="E89" i="11"/>
  <c r="J72" i="11"/>
  <c r="C112" i="11"/>
  <c r="E68" i="11"/>
  <c r="E85" i="11"/>
  <c r="D84" i="11"/>
  <c r="F81" i="11"/>
  <c r="G78" i="11"/>
  <c r="G67" i="11"/>
  <c r="I106" i="11"/>
  <c r="C113" i="11"/>
  <c r="D75" i="11"/>
  <c r="C74" i="11"/>
  <c r="I70" i="11"/>
  <c r="J67" i="11"/>
  <c r="H66" i="11"/>
  <c r="J105" i="11"/>
  <c r="D112" i="11"/>
  <c r="F73" i="11"/>
  <c r="E72" i="11"/>
  <c r="K68" i="11"/>
  <c r="C66" i="11"/>
  <c r="G113" i="11"/>
  <c r="H82" i="11"/>
  <c r="E71" i="11"/>
  <c r="C78" i="11"/>
  <c r="K100" i="11"/>
  <c r="K99" i="11"/>
  <c r="F97" i="11"/>
  <c r="J94" i="11"/>
  <c r="J65" i="11"/>
  <c r="D72" i="11"/>
  <c r="K78" i="11"/>
  <c r="G102" i="11"/>
  <c r="E101" i="11"/>
  <c r="K98" i="11"/>
  <c r="F96" i="11"/>
  <c r="I66" i="11"/>
  <c r="C73" i="11"/>
  <c r="J79" i="11"/>
  <c r="I103" i="11"/>
  <c r="I102" i="11"/>
  <c r="D100" i="11"/>
  <c r="I97" i="11"/>
  <c r="H67" i="11"/>
  <c r="K73" i="11"/>
  <c r="I80" i="11"/>
  <c r="E105" i="11"/>
  <c r="E104" i="11"/>
  <c r="I101" i="11"/>
  <c r="D99" i="11"/>
  <c r="G68" i="11"/>
  <c r="J74" i="11"/>
  <c r="H81" i="11"/>
  <c r="H106" i="11"/>
  <c r="G105" i="11"/>
  <c r="C103" i="11"/>
  <c r="I100" i="11"/>
  <c r="K79" i="11"/>
  <c r="H68" i="11"/>
  <c r="F75" i="11"/>
  <c r="H96" i="11"/>
  <c r="H95" i="11"/>
  <c r="C93" i="11"/>
  <c r="H90" i="11"/>
  <c r="H74" i="11"/>
  <c r="J113" i="11"/>
  <c r="C70" i="11"/>
  <c r="E88" i="11"/>
  <c r="C87" i="11"/>
  <c r="I84" i="11"/>
  <c r="C82" i="11"/>
  <c r="I73" i="11"/>
  <c r="K112" i="11"/>
  <c r="D69" i="11"/>
  <c r="I86" i="11"/>
  <c r="I85" i="11"/>
  <c r="D83" i="11"/>
  <c r="E80" i="11"/>
  <c r="C72" i="11"/>
  <c r="F78" i="11"/>
  <c r="D85" i="11"/>
  <c r="F112" i="11"/>
  <c r="F111" i="11"/>
  <c r="J108" i="11"/>
  <c r="E106" i="11"/>
  <c r="K72" i="11"/>
  <c r="E79" i="11"/>
  <c r="C86" i="11"/>
  <c r="I113" i="11"/>
  <c r="H112" i="11"/>
  <c r="D110" i="11"/>
  <c r="J107" i="11"/>
  <c r="J73" i="11"/>
  <c r="D80" i="11"/>
  <c r="K86" i="11"/>
  <c r="F66" i="11"/>
  <c r="D114" i="11"/>
  <c r="H111" i="11"/>
  <c r="C109" i="11"/>
  <c r="I74" i="11"/>
  <c r="C81" i="11"/>
  <c r="J87" i="11"/>
  <c r="D68" i="11"/>
  <c r="E65" i="11"/>
  <c r="D113" i="11"/>
  <c r="H110" i="11"/>
  <c r="H75" i="11"/>
  <c r="K81" i="11"/>
  <c r="I88" i="11"/>
  <c r="K69" i="11"/>
  <c r="C67" i="11"/>
  <c r="F114" i="11"/>
  <c r="K111" i="11"/>
  <c r="F69" i="11"/>
  <c r="I75" i="11"/>
  <c r="G82" i="11"/>
  <c r="C108" i="11"/>
  <c r="C107" i="11"/>
  <c r="G104" i="11"/>
  <c r="K101" i="11"/>
  <c r="I81" i="11"/>
  <c r="F70" i="11"/>
  <c r="D77" i="11"/>
  <c r="G99" i="11"/>
  <c r="F98" i="11"/>
  <c r="K95" i="11"/>
  <c r="H93" i="11"/>
  <c r="J80" i="11"/>
  <c r="G69" i="11"/>
  <c r="E76" i="11"/>
  <c r="D98" i="11"/>
  <c r="D97" i="11"/>
  <c r="H94" i="11"/>
  <c r="C92" i="11"/>
  <c r="D79" i="11"/>
  <c r="G85" i="11"/>
  <c r="E92" i="11"/>
  <c r="C77" i="11"/>
  <c r="D74" i="11"/>
  <c r="J70" i="11"/>
  <c r="K67" i="11"/>
  <c r="C80" i="11"/>
  <c r="F86" i="11"/>
  <c r="D93" i="11"/>
  <c r="J78" i="11"/>
  <c r="K75" i="11"/>
  <c r="H72" i="11"/>
  <c r="I69" i="11"/>
  <c r="K80" i="11"/>
  <c r="E87" i="11"/>
  <c r="C94" i="11"/>
  <c r="H80" i="11"/>
  <c r="I77" i="11"/>
  <c r="F74" i="11"/>
  <c r="G71" i="11"/>
  <c r="J81" i="11"/>
  <c r="D88" i="11"/>
  <c r="K94" i="11"/>
  <c r="F82" i="11"/>
  <c r="G79" i="11"/>
  <c r="D76" i="11"/>
  <c r="E73" i="11"/>
  <c r="I82" i="11"/>
  <c r="C89" i="11"/>
  <c r="J95" i="11"/>
  <c r="C84" i="11"/>
  <c r="E81" i="11"/>
  <c r="K77" i="11"/>
  <c r="C75" i="11"/>
  <c r="G76" i="11"/>
  <c r="J82" i="11"/>
  <c r="H89" i="11"/>
  <c r="I71" i="11"/>
  <c r="J68" i="11"/>
  <c r="G65" i="11"/>
  <c r="F113" i="11"/>
  <c r="D71" i="11"/>
  <c r="G77" i="11"/>
  <c r="E84" i="11"/>
  <c r="J110" i="11"/>
  <c r="J109" i="11"/>
  <c r="E107" i="11"/>
  <c r="J104" i="11"/>
  <c r="E70" i="11"/>
  <c r="H76" i="11"/>
  <c r="F83" i="11"/>
  <c r="H109" i="11"/>
  <c r="F108" i="11"/>
  <c r="C106" i="11"/>
  <c r="G103" i="11"/>
  <c r="E86" i="11"/>
  <c r="H92" i="11"/>
  <c r="F99" i="11"/>
  <c r="I89" i="11"/>
  <c r="F87" i="11"/>
  <c r="J84" i="11"/>
  <c r="D82" i="11"/>
  <c r="D87" i="11"/>
  <c r="G93" i="11"/>
  <c r="E100" i="11"/>
  <c r="D91" i="11"/>
  <c r="H88" i="11"/>
  <c r="D86" i="11"/>
  <c r="J83" i="11"/>
  <c r="C88" i="11"/>
  <c r="F94" i="11"/>
  <c r="D101" i="11"/>
  <c r="I92" i="11"/>
  <c r="D90" i="11"/>
  <c r="H87" i="11"/>
  <c r="C85" i="11"/>
  <c r="K88" i="11"/>
  <c r="E95" i="11"/>
  <c r="C102" i="11"/>
  <c r="K93" i="11"/>
  <c r="G91" i="11"/>
  <c r="D89" i="11"/>
  <c r="H86" i="11"/>
  <c r="J89" i="11"/>
  <c r="D96" i="11"/>
  <c r="K102" i="11"/>
  <c r="G95" i="11"/>
  <c r="K92" i="11"/>
  <c r="F90" i="11"/>
  <c r="K87" i="11"/>
  <c r="H83" i="11"/>
  <c r="K89" i="11"/>
  <c r="I96" i="11"/>
  <c r="H85" i="11"/>
  <c r="C83" i="11"/>
  <c r="I79" i="11"/>
  <c r="J76" i="11"/>
  <c r="E78" i="11"/>
  <c r="H84" i="11"/>
  <c r="F91" i="11"/>
  <c r="E75" i="11"/>
  <c r="F72" i="11"/>
  <c r="C69" i="11"/>
  <c r="D66" i="11"/>
  <c r="F77" i="11"/>
  <c r="I83" i="11"/>
  <c r="G90" i="11"/>
  <c r="G73" i="11"/>
  <c r="H70" i="11"/>
  <c r="E67" i="11"/>
  <c r="K114" i="11"/>
  <c r="J483" i="12" l="1"/>
  <c r="J1395" i="12"/>
  <c r="M121" i="12"/>
  <c r="E97" i="12"/>
  <c r="N139" i="12"/>
  <c r="F1349" i="12"/>
  <c r="H139" i="12"/>
  <c r="F131" i="12"/>
  <c r="H137" i="12"/>
  <c r="I140" i="12"/>
  <c r="B127" i="12"/>
  <c r="C108" i="12"/>
  <c r="F110" i="12"/>
  <c r="G116" i="12"/>
  <c r="N116" i="12"/>
  <c r="E108" i="12"/>
  <c r="F893" i="12"/>
  <c r="N98" i="12"/>
  <c r="L98" i="12"/>
  <c r="N117" i="12"/>
  <c r="F121" i="12"/>
  <c r="D113" i="12"/>
  <c r="L101" i="12"/>
  <c r="G134" i="12"/>
  <c r="E115" i="12"/>
  <c r="F701" i="12"/>
  <c r="F965" i="12"/>
  <c r="J652" i="12"/>
  <c r="J435" i="12"/>
  <c r="F797" i="12"/>
  <c r="M123" i="12"/>
  <c r="G141" i="12"/>
  <c r="G128" i="12"/>
  <c r="D127" i="12"/>
  <c r="N112" i="12"/>
  <c r="G118" i="12"/>
  <c r="F98" i="12"/>
  <c r="N134" i="12"/>
  <c r="I95" i="12"/>
  <c r="J101" i="12"/>
  <c r="D102" i="12"/>
  <c r="H93" i="12"/>
  <c r="I138" i="12"/>
  <c r="J113" i="12"/>
  <c r="K130" i="12"/>
  <c r="H134" i="12"/>
  <c r="B118" i="12"/>
  <c r="E98" i="12"/>
  <c r="G105" i="12"/>
  <c r="H111" i="12"/>
  <c r="F103" i="12"/>
  <c r="J675" i="12"/>
  <c r="F141" i="12"/>
  <c r="B110" i="12"/>
  <c r="J108" i="12"/>
  <c r="C103" i="12"/>
  <c r="I108" i="12"/>
  <c r="F140" i="12"/>
  <c r="B130" i="12"/>
  <c r="C136" i="12"/>
  <c r="K96" i="12"/>
  <c r="J844" i="12"/>
  <c r="J291" i="12"/>
  <c r="F677" i="12"/>
  <c r="K94" i="12"/>
  <c r="B112" i="12"/>
  <c r="J411" i="12"/>
  <c r="H141" i="12"/>
  <c r="J140" i="12"/>
  <c r="L122" i="12"/>
  <c r="C127" i="12"/>
  <c r="D108" i="12"/>
  <c r="M139" i="12"/>
  <c r="H100" i="12"/>
  <c r="I106" i="12"/>
  <c r="C107" i="12"/>
  <c r="G98" i="12"/>
  <c r="F989" i="12"/>
  <c r="J723" i="12"/>
  <c r="J579" i="12"/>
  <c r="M140" i="12"/>
  <c r="G136" i="12"/>
  <c r="E137" i="12"/>
  <c r="E93" i="12"/>
  <c r="K98" i="12"/>
  <c r="D134" i="12"/>
  <c r="C125" i="12"/>
  <c r="D131" i="12"/>
  <c r="K131" i="12"/>
  <c r="F92" i="12"/>
  <c r="F485" i="12"/>
  <c r="J244" i="12"/>
  <c r="B140" i="12"/>
  <c r="C121" i="12"/>
  <c r="K122" i="12"/>
  <c r="G96" i="12"/>
  <c r="G140" i="12"/>
  <c r="K126" i="12"/>
  <c r="D120" i="12"/>
  <c r="E126" i="12"/>
  <c r="L126" i="12"/>
  <c r="C118" i="12"/>
  <c r="J964" i="12"/>
  <c r="M133" i="12"/>
  <c r="D132" i="12"/>
  <c r="H131" i="12"/>
  <c r="D130" i="12"/>
  <c r="C105" i="12"/>
  <c r="K140" i="12"/>
  <c r="K108" i="12"/>
  <c r="F123" i="12"/>
  <c r="L117" i="12"/>
  <c r="L135" i="12"/>
  <c r="F120" i="12"/>
  <c r="J100" i="12"/>
  <c r="F96" i="12"/>
  <c r="L132" i="12"/>
  <c r="N115" i="12"/>
  <c r="B139" i="12"/>
  <c r="M124" i="12"/>
  <c r="M95" i="12"/>
  <c r="J132" i="12"/>
  <c r="H115" i="12"/>
  <c r="L95" i="12"/>
  <c r="J138" i="12"/>
  <c r="L128" i="12"/>
  <c r="N118" i="12"/>
  <c r="B114" i="12"/>
  <c r="D104" i="12"/>
  <c r="E99" i="12"/>
  <c r="M134" i="12"/>
  <c r="N129" i="12"/>
  <c r="B125" i="12"/>
  <c r="D115" i="12"/>
  <c r="E110" i="12"/>
  <c r="G100" i="12"/>
  <c r="M105" i="12"/>
  <c r="G485" i="12"/>
  <c r="H485" i="12"/>
  <c r="I485" i="12"/>
  <c r="H1276" i="12"/>
  <c r="I1276" i="12"/>
  <c r="G1276" i="12"/>
  <c r="I1349" i="12"/>
  <c r="G1349" i="12"/>
  <c r="J1349" i="12" s="1"/>
  <c r="H1349" i="12"/>
  <c r="E117" i="12"/>
  <c r="M114" i="12"/>
  <c r="C114" i="12"/>
  <c r="F112" i="12"/>
  <c r="G117" i="12"/>
  <c r="F127" i="12"/>
  <c r="L108" i="12"/>
  <c r="B121" i="12"/>
  <c r="M132" i="12"/>
  <c r="I141" i="12"/>
  <c r="G110" i="12"/>
  <c r="F133" i="12"/>
  <c r="J116" i="12"/>
  <c r="L106" i="12"/>
  <c r="C100" i="12"/>
  <c r="J92" i="12"/>
  <c r="C130" i="12"/>
  <c r="C122" i="12"/>
  <c r="G102" i="12"/>
  <c r="I92" i="12"/>
  <c r="L129" i="12"/>
  <c r="K121" i="12"/>
  <c r="M111" i="12"/>
  <c r="B102" i="12"/>
  <c r="J136" i="12"/>
  <c r="K129" i="12"/>
  <c r="J121" i="12"/>
  <c r="L111" i="12"/>
  <c r="N101" i="12"/>
  <c r="C92" i="12"/>
  <c r="L136" i="12"/>
  <c r="M131" i="12"/>
  <c r="N126" i="12"/>
  <c r="B122" i="12"/>
  <c r="C117" i="12"/>
  <c r="E107" i="12"/>
  <c r="F102" i="12"/>
  <c r="G97" i="12"/>
  <c r="H92" i="12"/>
  <c r="B133" i="12"/>
  <c r="C128" i="12"/>
  <c r="D123" i="12"/>
  <c r="E118" i="12"/>
  <c r="F113" i="12"/>
  <c r="G108" i="12"/>
  <c r="H103" i="12"/>
  <c r="I98" i="12"/>
  <c r="J93" i="12"/>
  <c r="J128" i="12"/>
  <c r="K123" i="12"/>
  <c r="L118" i="12"/>
  <c r="M113" i="12"/>
  <c r="N108" i="12"/>
  <c r="B104" i="12"/>
  <c r="C99" i="12"/>
  <c r="D94" i="12"/>
  <c r="N119" i="12"/>
  <c r="B115" i="12"/>
  <c r="C110" i="12"/>
  <c r="D105" i="12"/>
  <c r="E100" i="12"/>
  <c r="F95" i="12"/>
  <c r="F1325" i="12"/>
  <c r="I1156" i="12"/>
  <c r="G1156" i="12"/>
  <c r="H1156" i="12"/>
  <c r="J1251" i="12"/>
  <c r="N109" i="12"/>
  <c r="M109" i="12"/>
  <c r="H107" i="12"/>
  <c r="G107" i="12"/>
  <c r="B105" i="12"/>
  <c r="N114" i="12"/>
  <c r="G139" i="12"/>
  <c r="F106" i="12"/>
  <c r="I118" i="12"/>
  <c r="B131" i="12"/>
  <c r="I113" i="12"/>
  <c r="I126" i="12"/>
  <c r="N107" i="12"/>
  <c r="I132" i="12"/>
  <c r="G115" i="12"/>
  <c r="I105" i="12"/>
  <c r="M98" i="12"/>
  <c r="E101" i="12"/>
  <c r="B136" i="12"/>
  <c r="B129" i="12"/>
  <c r="B111" i="12"/>
  <c r="D101" i="12"/>
  <c r="N135" i="12"/>
  <c r="N128" i="12"/>
  <c r="J110" i="12"/>
  <c r="L100" i="12"/>
  <c r="M135" i="12"/>
  <c r="M128" i="12"/>
  <c r="I110" i="12"/>
  <c r="K100" i="12"/>
  <c r="D136" i="12"/>
  <c r="E131" i="12"/>
  <c r="G121" i="12"/>
  <c r="H116" i="12"/>
  <c r="J106" i="12"/>
  <c r="L96" i="12"/>
  <c r="G132" i="12"/>
  <c r="F119" i="12"/>
  <c r="G364" i="12"/>
  <c r="H364" i="12"/>
  <c r="I364" i="12"/>
  <c r="I868" i="12"/>
  <c r="G868" i="12"/>
  <c r="H868" i="12"/>
  <c r="J340" i="12"/>
  <c r="J988" i="12"/>
  <c r="J531" i="12"/>
  <c r="G892" i="12"/>
  <c r="H892" i="12"/>
  <c r="I892" i="12"/>
  <c r="J412" i="12"/>
  <c r="N104" i="12"/>
  <c r="E104" i="12"/>
  <c r="I100" i="12"/>
  <c r="D100" i="12"/>
  <c r="F99" i="12"/>
  <c r="J95" i="12"/>
  <c r="E95" i="12"/>
  <c r="G94" i="12"/>
  <c r="F130" i="12"/>
  <c r="H112" i="12"/>
  <c r="N137" i="12"/>
  <c r="H123" i="12"/>
  <c r="M103" i="12"/>
  <c r="N132" i="12"/>
  <c r="C116" i="12"/>
  <c r="N141" i="12"/>
  <c r="C129" i="12"/>
  <c r="C111" i="12"/>
  <c r="L138" i="12"/>
  <c r="J124" i="12"/>
  <c r="H105" i="12"/>
  <c r="D138" i="12"/>
  <c r="I131" i="12"/>
  <c r="J123" i="12"/>
  <c r="D114" i="12"/>
  <c r="F104" i="12"/>
  <c r="H94" i="12"/>
  <c r="J97" i="12"/>
  <c r="B100" i="12"/>
  <c r="E141" i="12"/>
  <c r="E135" i="12"/>
  <c r="N127" i="12"/>
  <c r="J119" i="12"/>
  <c r="L109" i="12"/>
  <c r="N99" i="12"/>
  <c r="D141" i="12"/>
  <c r="D135" i="12"/>
  <c r="M127" i="12"/>
  <c r="E119" i="12"/>
  <c r="G109" i="12"/>
  <c r="I99" i="12"/>
  <c r="B141" i="12"/>
  <c r="C135" i="12"/>
  <c r="L127" i="12"/>
  <c r="D119" i="12"/>
  <c r="F109" i="12"/>
  <c r="H99" i="12"/>
  <c r="H140" i="12"/>
  <c r="I135" i="12"/>
  <c r="J130" i="12"/>
  <c r="K125" i="12"/>
  <c r="L120" i="12"/>
  <c r="M115" i="12"/>
  <c r="N110" i="12"/>
  <c r="B106" i="12"/>
  <c r="C101" i="12"/>
  <c r="D96" i="12"/>
  <c r="K136" i="12"/>
  <c r="L131" i="12"/>
  <c r="M126" i="12"/>
  <c r="N121" i="12"/>
  <c r="B117" i="12"/>
  <c r="C112" i="12"/>
  <c r="D107" i="12"/>
  <c r="E102" i="12"/>
  <c r="F97" i="12"/>
  <c r="G92" i="12"/>
  <c r="G127" i="12"/>
  <c r="H122" i="12"/>
  <c r="I117" i="12"/>
  <c r="J112" i="12"/>
  <c r="K107" i="12"/>
  <c r="L102" i="12"/>
  <c r="M97" i="12"/>
  <c r="N92" i="12"/>
  <c r="K118" i="12"/>
  <c r="L113" i="12"/>
  <c r="M108" i="12"/>
  <c r="N103" i="12"/>
  <c r="B99" i="12"/>
  <c r="C94" i="12"/>
  <c r="F245" i="12"/>
  <c r="F1133" i="12"/>
  <c r="I1228" i="12"/>
  <c r="G1228" i="12"/>
  <c r="H1228" i="12"/>
  <c r="J1035" i="12"/>
  <c r="G772" i="12"/>
  <c r="H772" i="12"/>
  <c r="I772" i="12"/>
  <c r="J963" i="12"/>
  <c r="J1084" i="12"/>
  <c r="J580" i="12"/>
  <c r="F1181" i="12"/>
  <c r="E1182" i="12"/>
  <c r="D1182" i="12"/>
  <c r="E1326" i="12"/>
  <c r="D1326" i="12"/>
  <c r="D966" i="12"/>
  <c r="E966" i="12"/>
  <c r="D822" i="12"/>
  <c r="E822" i="12"/>
  <c r="E702" i="12"/>
  <c r="D702" i="12"/>
  <c r="E462" i="12"/>
  <c r="D462" i="12"/>
  <c r="D246" i="12"/>
  <c r="E246" i="12"/>
  <c r="G1348" i="12"/>
  <c r="H1348" i="12"/>
  <c r="I1348" i="12"/>
  <c r="F509" i="12"/>
  <c r="G460" i="12"/>
  <c r="J460" i="12" s="1"/>
  <c r="H460" i="12"/>
  <c r="I460" i="12"/>
  <c r="F1037" i="12"/>
  <c r="J771" i="12"/>
  <c r="F773" i="12"/>
  <c r="G965" i="12"/>
  <c r="H965" i="12"/>
  <c r="I965" i="12"/>
  <c r="G1036" i="12"/>
  <c r="H1036" i="12"/>
  <c r="I1036" i="12"/>
  <c r="I293" i="12"/>
  <c r="H293" i="12"/>
  <c r="G293" i="12"/>
  <c r="D1206" i="12"/>
  <c r="E1206" i="12"/>
  <c r="D1302" i="12"/>
  <c r="E1302" i="12"/>
  <c r="D1014" i="12"/>
  <c r="F1014" i="12" s="1"/>
  <c r="E1014" i="12"/>
  <c r="D798" i="12"/>
  <c r="E798" i="12"/>
  <c r="E678" i="12"/>
  <c r="D678" i="12"/>
  <c r="F678" i="12" s="1"/>
  <c r="D438" i="12"/>
  <c r="E438" i="12"/>
  <c r="E222" i="12"/>
  <c r="D222" i="12"/>
  <c r="G436" i="12"/>
  <c r="H436" i="12"/>
  <c r="I436" i="12"/>
  <c r="J1059" i="12"/>
  <c r="J555" i="12"/>
  <c r="G893" i="12"/>
  <c r="H893" i="12"/>
  <c r="I893" i="12"/>
  <c r="D1086" i="12"/>
  <c r="E1086" i="12"/>
  <c r="E1158" i="12"/>
  <c r="D1158" i="12"/>
  <c r="F1158" i="12" s="1"/>
  <c r="E1062" i="12"/>
  <c r="D1062" i="12"/>
  <c r="F1062" i="12" s="1"/>
  <c r="D774" i="12"/>
  <c r="F774" i="12" s="1"/>
  <c r="E774" i="12"/>
  <c r="E654" i="12"/>
  <c r="D654" i="12"/>
  <c r="D390" i="12"/>
  <c r="E390" i="12"/>
  <c r="G532" i="12"/>
  <c r="H532" i="12"/>
  <c r="I532" i="12"/>
  <c r="J1132" i="12"/>
  <c r="I916" i="12"/>
  <c r="G916" i="12"/>
  <c r="H916" i="12"/>
  <c r="F653" i="12"/>
  <c r="I1108" i="12"/>
  <c r="G1108" i="12"/>
  <c r="H1108" i="12"/>
  <c r="F941" i="12"/>
  <c r="F269" i="12"/>
  <c r="L134" i="12"/>
  <c r="D111" i="12"/>
  <c r="I136" i="12"/>
  <c r="I133" i="12"/>
  <c r="H133" i="12"/>
  <c r="K116" i="12"/>
  <c r="J114" i="12"/>
  <c r="L115" i="12"/>
  <c r="M92" i="12"/>
  <c r="F1061" i="12"/>
  <c r="E133" i="12"/>
  <c r="D133" i="12"/>
  <c r="B134" i="12"/>
  <c r="L103" i="12"/>
  <c r="C106" i="12"/>
  <c r="K105" i="12"/>
  <c r="J105" i="12"/>
  <c r="K133" i="12"/>
  <c r="C109" i="12"/>
  <c r="F94" i="12"/>
  <c r="C120" i="12"/>
  <c r="F105" i="12"/>
  <c r="H95" i="12"/>
  <c r="H130" i="12"/>
  <c r="I125" i="12"/>
  <c r="J120" i="12"/>
  <c r="K115" i="12"/>
  <c r="L110" i="12"/>
  <c r="N100" i="12"/>
  <c r="B96" i="12"/>
  <c r="L121" i="12"/>
  <c r="M116" i="12"/>
  <c r="N111" i="12"/>
  <c r="B107" i="12"/>
  <c r="C102" i="12"/>
  <c r="D97" i="12"/>
  <c r="E92" i="12"/>
  <c r="F341" i="12"/>
  <c r="F1157" i="12"/>
  <c r="H700" i="12"/>
  <c r="I700" i="12"/>
  <c r="G700" i="12"/>
  <c r="F557" i="12"/>
  <c r="D1278" i="12"/>
  <c r="E1278" i="12"/>
  <c r="E1134" i="12"/>
  <c r="D1134" i="12"/>
  <c r="E990" i="12"/>
  <c r="D990" i="12"/>
  <c r="E534" i="12"/>
  <c r="D534" i="12"/>
  <c r="F534" i="12" s="1"/>
  <c r="E630" i="12"/>
  <c r="D630" i="12"/>
  <c r="F630" i="12" s="1"/>
  <c r="D318" i="12"/>
  <c r="F318" i="12" s="1"/>
  <c r="E318" i="12"/>
  <c r="G676" i="12"/>
  <c r="H676" i="12"/>
  <c r="I676" i="12"/>
  <c r="F1013" i="12"/>
  <c r="G316" i="12"/>
  <c r="H316" i="12"/>
  <c r="I316" i="12"/>
  <c r="F437" i="12"/>
  <c r="H1229" i="12"/>
  <c r="I1229" i="12"/>
  <c r="G1229" i="12"/>
  <c r="J1372" i="12"/>
  <c r="J987" i="12"/>
  <c r="K138" i="12"/>
  <c r="G748" i="12"/>
  <c r="H748" i="12"/>
  <c r="I748" i="12"/>
  <c r="B247" i="12"/>
  <c r="B367" i="12"/>
  <c r="B223" i="12"/>
  <c r="B295" i="12"/>
  <c r="B271" i="12"/>
  <c r="B343" i="12"/>
  <c r="B391" i="12"/>
  <c r="B319" i="12"/>
  <c r="B511" i="12"/>
  <c r="B535" i="12"/>
  <c r="B559" i="12"/>
  <c r="B439" i="12"/>
  <c r="B583" i="12"/>
  <c r="B607" i="12"/>
  <c r="B631" i="12"/>
  <c r="B655" i="12"/>
  <c r="B679" i="12"/>
  <c r="B703" i="12"/>
  <c r="B463" i="12"/>
  <c r="B487" i="12"/>
  <c r="B415" i="12"/>
  <c r="B727" i="12"/>
  <c r="B751" i="12"/>
  <c r="B847" i="12"/>
  <c r="B775" i="12"/>
  <c r="B799" i="12"/>
  <c r="B895" i="12"/>
  <c r="B1039" i="12"/>
  <c r="B1063" i="12"/>
  <c r="B1087" i="12"/>
  <c r="B823" i="12"/>
  <c r="B943" i="12"/>
  <c r="B871" i="12"/>
  <c r="B967" i="12"/>
  <c r="B1015" i="12"/>
  <c r="B919" i="12"/>
  <c r="B991" i="12"/>
  <c r="B1207" i="12"/>
  <c r="B1231" i="12"/>
  <c r="B1426" i="12"/>
  <c r="B1135" i="12"/>
  <c r="B1183" i="12"/>
  <c r="B1279" i="12"/>
  <c r="B1303" i="12"/>
  <c r="B1327" i="12"/>
  <c r="B1351" i="12"/>
  <c r="B1375" i="12"/>
  <c r="B1399" i="12"/>
  <c r="B1159" i="12"/>
  <c r="B1255" i="12"/>
  <c r="B1111" i="12"/>
  <c r="A1427" i="12"/>
  <c r="E1110" i="12"/>
  <c r="D1110" i="12"/>
  <c r="E918" i="12"/>
  <c r="D918" i="12"/>
  <c r="E510" i="12"/>
  <c r="D510" i="12"/>
  <c r="E606" i="12"/>
  <c r="D606" i="12"/>
  <c r="D294" i="12"/>
  <c r="E294" i="12"/>
  <c r="G1204" i="12"/>
  <c r="H1204" i="12"/>
  <c r="I1204" i="12"/>
  <c r="F1109" i="12"/>
  <c r="C138" i="12"/>
  <c r="H136" i="12"/>
  <c r="C140" i="12"/>
  <c r="K134" i="12"/>
  <c r="B94" i="12"/>
  <c r="D139" i="12"/>
  <c r="D106" i="12"/>
  <c r="E120" i="12"/>
  <c r="J129" i="12"/>
  <c r="M101" i="12"/>
  <c r="D95" i="12"/>
  <c r="I97" i="12"/>
  <c r="B126" i="12"/>
  <c r="F107" i="12"/>
  <c r="K139" i="12"/>
  <c r="L116" i="12"/>
  <c r="C97" i="12"/>
  <c r="G133" i="12"/>
  <c r="M106" i="12"/>
  <c r="E139" i="12"/>
  <c r="G129" i="12"/>
  <c r="H124" i="12"/>
  <c r="K109" i="12"/>
  <c r="M99" i="12"/>
  <c r="H135" i="12"/>
  <c r="J125" i="12"/>
  <c r="M110" i="12"/>
  <c r="B101" i="12"/>
  <c r="C131" i="12"/>
  <c r="E121" i="12"/>
  <c r="G111" i="12"/>
  <c r="I101" i="12"/>
  <c r="G122" i="12"/>
  <c r="I112" i="12"/>
  <c r="K102" i="12"/>
  <c r="L97" i="12"/>
  <c r="I129" i="12"/>
  <c r="E128" i="12"/>
  <c r="G126" i="12"/>
  <c r="H125" i="12"/>
  <c r="D137" i="12"/>
  <c r="G101" i="12"/>
  <c r="K113" i="12"/>
  <c r="F125" i="12"/>
  <c r="N120" i="12"/>
  <c r="F132" i="12"/>
  <c r="N140" i="12"/>
  <c r="K127" i="12"/>
  <c r="E109" i="12"/>
  <c r="I102" i="12"/>
  <c r="C95" i="12"/>
  <c r="B132" i="12"/>
  <c r="K114" i="12"/>
  <c r="B95" i="12"/>
  <c r="N131" i="12"/>
  <c r="F114" i="12"/>
  <c r="J94" i="12"/>
  <c r="J131" i="12"/>
  <c r="G104" i="12"/>
  <c r="B138" i="12"/>
  <c r="D128" i="12"/>
  <c r="F118" i="12"/>
  <c r="H108" i="12"/>
  <c r="J98" i="12"/>
  <c r="E134" i="12"/>
  <c r="G124" i="12"/>
  <c r="I114" i="12"/>
  <c r="K104" i="12"/>
  <c r="L99" i="12"/>
  <c r="M94" i="12"/>
  <c r="N124" i="12"/>
  <c r="B120" i="12"/>
  <c r="C115" i="12"/>
  <c r="D110" i="12"/>
  <c r="E105" i="12"/>
  <c r="F100" i="12"/>
  <c r="G95" i="12"/>
  <c r="D121" i="12"/>
  <c r="E116" i="12"/>
  <c r="F111" i="12"/>
  <c r="G106" i="12"/>
  <c r="H101" i="12"/>
  <c r="I96" i="12"/>
  <c r="J1083" i="12"/>
  <c r="F1277" i="12"/>
  <c r="G1180" i="12"/>
  <c r="H1180" i="12"/>
  <c r="I1180" i="12"/>
  <c r="J1012" i="12"/>
  <c r="D124" i="12"/>
  <c r="I123" i="12"/>
  <c r="E122" i="12"/>
  <c r="D122" i="12"/>
  <c r="H121" i="12"/>
  <c r="L119" i="12"/>
  <c r="K119" i="12"/>
  <c r="B119" i="12"/>
  <c r="J135" i="12"/>
  <c r="M119" i="12"/>
  <c r="H96" i="12"/>
  <c r="H129" i="12"/>
  <c r="E111" i="12"/>
  <c r="M137" i="12"/>
  <c r="G123" i="12"/>
  <c r="B103" i="12"/>
  <c r="I134" i="12"/>
  <c r="H118" i="12"/>
  <c r="L92" i="12"/>
  <c r="G130" i="12"/>
  <c r="M112" i="12"/>
  <c r="E140" i="12"/>
  <c r="C134" i="12"/>
  <c r="J126" i="12"/>
  <c r="M117" i="12"/>
  <c r="B108" i="12"/>
  <c r="D98" i="12"/>
  <c r="F101" i="12"/>
  <c r="K103" i="12"/>
  <c r="M93" i="12"/>
  <c r="K137" i="12"/>
  <c r="N130" i="12"/>
  <c r="B123" i="12"/>
  <c r="H113" i="12"/>
  <c r="J103" i="12"/>
  <c r="L93" i="12"/>
  <c r="J137" i="12"/>
  <c r="M130" i="12"/>
  <c r="N122" i="12"/>
  <c r="C113" i="12"/>
  <c r="E103" i="12"/>
  <c r="G93" i="12"/>
  <c r="I137" i="12"/>
  <c r="L130" i="12"/>
  <c r="M122" i="12"/>
  <c r="B113" i="12"/>
  <c r="D103" i="12"/>
  <c r="F93" i="12"/>
  <c r="G137" i="12"/>
  <c r="H132" i="12"/>
  <c r="I127" i="12"/>
  <c r="J122" i="12"/>
  <c r="K117" i="12"/>
  <c r="L112" i="12"/>
  <c r="M107" i="12"/>
  <c r="N102" i="12"/>
  <c r="B98" i="12"/>
  <c r="C93" i="12"/>
  <c r="J133" i="12"/>
  <c r="K128" i="12"/>
  <c r="L123" i="12"/>
  <c r="M118" i="12"/>
  <c r="N113" i="12"/>
  <c r="B109" i="12"/>
  <c r="C104" i="12"/>
  <c r="D99" i="12"/>
  <c r="E94" i="12"/>
  <c r="E129" i="12"/>
  <c r="F124" i="12"/>
  <c r="G119" i="12"/>
  <c r="H114" i="12"/>
  <c r="I109" i="12"/>
  <c r="J104" i="12"/>
  <c r="K99" i="12"/>
  <c r="L94" i="12"/>
  <c r="I120" i="12"/>
  <c r="J115" i="12"/>
  <c r="K110" i="12"/>
  <c r="L105" i="12"/>
  <c r="M100" i="12"/>
  <c r="N95" i="12"/>
  <c r="F845" i="12"/>
  <c r="F317" i="12"/>
  <c r="F1085" i="12"/>
  <c r="J507" i="12"/>
  <c r="G1060" i="12"/>
  <c r="H1060" i="12"/>
  <c r="I1060" i="12"/>
  <c r="J1275" i="12"/>
  <c r="F629" i="12"/>
  <c r="E1398" i="12"/>
  <c r="D1398" i="12"/>
  <c r="D1230" i="12"/>
  <c r="E1230" i="12"/>
  <c r="D894" i="12"/>
  <c r="E894" i="12"/>
  <c r="E558" i="12"/>
  <c r="D558" i="12"/>
  <c r="D582" i="12"/>
  <c r="F582" i="12" s="1"/>
  <c r="E582" i="12"/>
  <c r="D342" i="12"/>
  <c r="E342" i="12"/>
  <c r="J915" i="12"/>
  <c r="G1300" i="12"/>
  <c r="I1300" i="12"/>
  <c r="H1300" i="12"/>
  <c r="F1205" i="12"/>
  <c r="G796" i="12"/>
  <c r="H796" i="12"/>
  <c r="I796" i="12"/>
  <c r="F533" i="12"/>
  <c r="H388" i="12"/>
  <c r="G388" i="12"/>
  <c r="I388" i="12"/>
  <c r="J1107" i="12"/>
  <c r="F461" i="12"/>
  <c r="F1253" i="12"/>
  <c r="B137" i="12"/>
  <c r="G135" i="12"/>
  <c r="H126" i="12"/>
  <c r="D129" i="12"/>
  <c r="I121" i="12"/>
  <c r="F413" i="12"/>
  <c r="H556" i="12"/>
  <c r="I556" i="12"/>
  <c r="G556" i="12"/>
  <c r="F389" i="12"/>
  <c r="J267" i="12"/>
  <c r="J1203" i="12"/>
  <c r="F128" i="12"/>
  <c r="J127" i="12"/>
  <c r="C126" i="12"/>
  <c r="E124" i="12"/>
  <c r="F122" i="12"/>
  <c r="G131" i="12"/>
  <c r="F139" i="12"/>
  <c r="E106" i="12"/>
  <c r="E136" i="12"/>
  <c r="K97" i="12"/>
  <c r="F115" i="12"/>
  <c r="B135" i="12"/>
  <c r="C119" i="12"/>
  <c r="G99" i="12"/>
  <c r="K92" i="12"/>
  <c r="G138" i="12"/>
  <c r="C124" i="12"/>
  <c r="M104" i="12"/>
  <c r="F138" i="12"/>
  <c r="B124" i="12"/>
  <c r="H104" i="12"/>
  <c r="E138" i="12"/>
  <c r="N123" i="12"/>
  <c r="E114" i="12"/>
  <c r="I94" i="12"/>
  <c r="C133" i="12"/>
  <c r="E123" i="12"/>
  <c r="G113" i="12"/>
  <c r="I103" i="12"/>
  <c r="K93" i="12"/>
  <c r="F129" i="12"/>
  <c r="H119" i="12"/>
  <c r="J109" i="12"/>
  <c r="M129" i="12"/>
  <c r="F581" i="12"/>
  <c r="H1373" i="12"/>
  <c r="G1373" i="12"/>
  <c r="I1373" i="12"/>
  <c r="I701" i="12"/>
  <c r="H701" i="12"/>
  <c r="G701" i="12"/>
  <c r="H220" i="12"/>
  <c r="G220" i="12"/>
  <c r="I220" i="12"/>
  <c r="I677" i="12"/>
  <c r="G677" i="12"/>
  <c r="H677" i="12"/>
  <c r="J628" i="12"/>
  <c r="F117" i="12"/>
  <c r="I116" i="12"/>
  <c r="L114" i="12"/>
  <c r="G112" i="12"/>
  <c r="N133" i="12"/>
  <c r="L140" i="12"/>
  <c r="F136" i="12"/>
  <c r="C98" i="12"/>
  <c r="B116" i="12"/>
  <c r="H128" i="12"/>
  <c r="I139" i="12"/>
  <c r="L125" i="12"/>
  <c r="N96" i="12"/>
  <c r="H102" i="12"/>
  <c r="N136" i="12"/>
  <c r="E112" i="12"/>
  <c r="M136" i="12"/>
  <c r="D92" i="12"/>
  <c r="D112" i="12"/>
  <c r="J795" i="12"/>
  <c r="J1155" i="12"/>
  <c r="J459" i="12"/>
  <c r="F917" i="12"/>
  <c r="D1374" i="12"/>
  <c r="E1374" i="12"/>
  <c r="D1038" i="12"/>
  <c r="F1038" i="12" s="1"/>
  <c r="E1038" i="12"/>
  <c r="D870" i="12"/>
  <c r="E870" i="12"/>
  <c r="D750" i="12"/>
  <c r="E750" i="12"/>
  <c r="D414" i="12"/>
  <c r="E414" i="12"/>
  <c r="E270" i="12"/>
  <c r="D270" i="12"/>
  <c r="J1131" i="12"/>
  <c r="I365" i="12"/>
  <c r="H365" i="12"/>
  <c r="G365" i="12"/>
  <c r="G1396" i="12"/>
  <c r="H1396" i="12"/>
  <c r="I1396" i="12"/>
  <c r="G484" i="12"/>
  <c r="H484" i="12"/>
  <c r="I484" i="12"/>
  <c r="F749" i="12"/>
  <c r="G797" i="12"/>
  <c r="H797" i="12"/>
  <c r="I797" i="12"/>
  <c r="G724" i="12"/>
  <c r="H724" i="12"/>
  <c r="I724" i="12"/>
  <c r="F221" i="12"/>
  <c r="J1227" i="12"/>
  <c r="H138" i="12"/>
  <c r="C137" i="12"/>
  <c r="F135" i="12"/>
  <c r="I107" i="12"/>
  <c r="J118" i="12"/>
  <c r="E125" i="12"/>
  <c r="K135" i="12"/>
  <c r="M96" i="12"/>
  <c r="K111" i="12"/>
  <c r="B92" i="12"/>
  <c r="L139" i="12"/>
  <c r="D117" i="12"/>
  <c r="H97" i="12"/>
  <c r="N125" i="12"/>
  <c r="N106" i="12"/>
  <c r="J139" i="12"/>
  <c r="M125" i="12"/>
  <c r="B97" i="12"/>
  <c r="F134" i="12"/>
  <c r="I119" i="12"/>
  <c r="L104" i="12"/>
  <c r="N94" i="12"/>
  <c r="I130" i="12"/>
  <c r="K120" i="12"/>
  <c r="N105" i="12"/>
  <c r="C96" i="12"/>
  <c r="D126" i="12"/>
  <c r="F116" i="12"/>
  <c r="H106" i="12"/>
  <c r="J96" i="12"/>
  <c r="H117" i="12"/>
  <c r="J107" i="12"/>
  <c r="G989" i="12"/>
  <c r="H989" i="12"/>
  <c r="I989" i="12"/>
  <c r="G1324" i="12"/>
  <c r="H1324" i="12"/>
  <c r="I1324" i="12"/>
  <c r="F869" i="12"/>
  <c r="L133" i="12"/>
  <c r="C132" i="12"/>
  <c r="E130" i="12"/>
  <c r="I124" i="12"/>
  <c r="D116" i="12"/>
  <c r="E127" i="12"/>
  <c r="L137" i="12"/>
  <c r="J102" i="12"/>
  <c r="J141" i="12"/>
  <c r="I128" i="12"/>
  <c r="H110" i="12"/>
  <c r="N93" i="12"/>
  <c r="C139" i="12"/>
  <c r="D125" i="12"/>
  <c r="E96" i="12"/>
  <c r="K132" i="12"/>
  <c r="I115" i="12"/>
  <c r="N138" i="12"/>
  <c r="L124" i="12"/>
  <c r="I940" i="12"/>
  <c r="G940" i="12"/>
  <c r="H940" i="12"/>
  <c r="G821" i="12"/>
  <c r="H821" i="12"/>
  <c r="I821" i="12"/>
  <c r="J111" i="12"/>
  <c r="D109" i="12"/>
  <c r="K106" i="12"/>
  <c r="E132" i="12"/>
  <c r="G125" i="12"/>
  <c r="J134" i="12"/>
  <c r="D93" i="12"/>
  <c r="D140" i="12"/>
  <c r="M138" i="12"/>
  <c r="K124" i="12"/>
  <c r="K95" i="12"/>
  <c r="M141" i="12"/>
  <c r="M120" i="12"/>
  <c r="L141" i="12"/>
  <c r="H120" i="12"/>
  <c r="K141" i="12"/>
  <c r="G120" i="12"/>
  <c r="C141" i="12"/>
  <c r="F126" i="12"/>
  <c r="I111" i="12"/>
  <c r="K101" i="12"/>
  <c r="F137" i="12"/>
  <c r="H127" i="12"/>
  <c r="I122" i="12"/>
  <c r="J117" i="12"/>
  <c r="K112" i="12"/>
  <c r="L107" i="12"/>
  <c r="M102" i="12"/>
  <c r="N97" i="12"/>
  <c r="B93" i="12"/>
  <c r="B128" i="12"/>
  <c r="C123" i="12"/>
  <c r="D118" i="12"/>
  <c r="E113" i="12"/>
  <c r="F108" i="12"/>
  <c r="G103" i="12"/>
  <c r="H98" i="12"/>
  <c r="I93" i="12"/>
  <c r="G114" i="12"/>
  <c r="H109" i="12"/>
  <c r="I104" i="12"/>
  <c r="J99" i="12"/>
  <c r="J292" i="12"/>
  <c r="G820" i="12"/>
  <c r="H820" i="12"/>
  <c r="I820" i="12"/>
  <c r="F605" i="12"/>
  <c r="F1397" i="12"/>
  <c r="I268" i="12"/>
  <c r="H268" i="12"/>
  <c r="G268" i="12"/>
  <c r="E1254" i="12"/>
  <c r="D1254" i="12"/>
  <c r="E1350" i="12"/>
  <c r="D1350" i="12"/>
  <c r="F1350" i="12" s="1"/>
  <c r="D942" i="12"/>
  <c r="E942" i="12"/>
  <c r="D846" i="12"/>
  <c r="E846" i="12"/>
  <c r="D726" i="12"/>
  <c r="E726" i="12"/>
  <c r="D486" i="12"/>
  <c r="E486" i="12"/>
  <c r="D366" i="12"/>
  <c r="E366" i="12"/>
  <c r="J747" i="12"/>
  <c r="J1371" i="12"/>
  <c r="G1252" i="12"/>
  <c r="H1252" i="12"/>
  <c r="I1252" i="12"/>
  <c r="G604" i="12"/>
  <c r="H604" i="12"/>
  <c r="I604" i="12"/>
  <c r="F725" i="12"/>
  <c r="G508" i="12"/>
  <c r="H508" i="12"/>
  <c r="I508" i="12"/>
  <c r="F1301" i="12"/>
  <c r="L732" i="8"/>
  <c r="L731" i="8"/>
  <c r="L730" i="8"/>
  <c r="L729" i="8"/>
  <c r="L728" i="8"/>
  <c r="L727" i="8"/>
  <c r="L726" i="8"/>
  <c r="L725" i="8"/>
  <c r="L724" i="8"/>
  <c r="L723" i="8"/>
  <c r="L722" i="8"/>
  <c r="L721" i="8"/>
  <c r="L720" i="8"/>
  <c r="L719" i="8"/>
  <c r="L718" i="8"/>
  <c r="L717" i="8"/>
  <c r="L716" i="8"/>
  <c r="L715" i="8"/>
  <c r="L714" i="8"/>
  <c r="L713" i="8"/>
  <c r="L712" i="8"/>
  <c r="L711" i="8"/>
  <c r="L710" i="8"/>
  <c r="L709" i="8"/>
  <c r="L708" i="8"/>
  <c r="L707" i="8"/>
  <c r="L706" i="8"/>
  <c r="L705" i="8"/>
  <c r="L704" i="8"/>
  <c r="L703" i="8"/>
  <c r="L702" i="8"/>
  <c r="L701" i="8"/>
  <c r="L700" i="8"/>
  <c r="L699" i="8"/>
  <c r="L698" i="8"/>
  <c r="L697" i="8"/>
  <c r="L696" i="8"/>
  <c r="L695" i="8"/>
  <c r="L694" i="8"/>
  <c r="L693" i="8"/>
  <c r="L692" i="8"/>
  <c r="L691" i="8"/>
  <c r="L690" i="8"/>
  <c r="L689" i="8"/>
  <c r="L688" i="8"/>
  <c r="L687" i="8"/>
  <c r="L686" i="8"/>
  <c r="L685" i="8"/>
  <c r="L684" i="8"/>
  <c r="L683" i="8"/>
  <c r="L682" i="8"/>
  <c r="L681" i="8"/>
  <c r="L680" i="8"/>
  <c r="L679" i="8"/>
  <c r="L678" i="8"/>
  <c r="L677" i="8"/>
  <c r="L676" i="8"/>
  <c r="L675" i="8"/>
  <c r="L674" i="8"/>
  <c r="L673" i="8"/>
  <c r="L672" i="8"/>
  <c r="L671" i="8"/>
  <c r="L670" i="8"/>
  <c r="L669" i="8"/>
  <c r="L668" i="8"/>
  <c r="L667" i="8"/>
  <c r="L666" i="8"/>
  <c r="L665" i="8"/>
  <c r="L664" i="8"/>
  <c r="L663" i="8"/>
  <c r="L662" i="8"/>
  <c r="L661" i="8"/>
  <c r="L660" i="8"/>
  <c r="L659" i="8"/>
  <c r="L658" i="8"/>
  <c r="L657" i="8"/>
  <c r="L656" i="8"/>
  <c r="L655" i="8"/>
  <c r="L654" i="8"/>
  <c r="L653" i="8"/>
  <c r="L652" i="8"/>
  <c r="L651" i="8"/>
  <c r="L650" i="8"/>
  <c r="L649" i="8"/>
  <c r="L648" i="8"/>
  <c r="L647" i="8"/>
  <c r="L646" i="8"/>
  <c r="L645" i="8"/>
  <c r="L644" i="8"/>
  <c r="L643" i="8"/>
  <c r="L642" i="8"/>
  <c r="L641" i="8"/>
  <c r="L640" i="8"/>
  <c r="L639" i="8"/>
  <c r="L638" i="8"/>
  <c r="L637" i="8"/>
  <c r="L636" i="8"/>
  <c r="L635" i="8"/>
  <c r="L634" i="8"/>
  <c r="L633" i="8"/>
  <c r="L632" i="8"/>
  <c r="L631" i="8"/>
  <c r="L630" i="8"/>
  <c r="L629" i="8"/>
  <c r="L628" i="8"/>
  <c r="L627" i="8"/>
  <c r="L626" i="8"/>
  <c r="L625" i="8"/>
  <c r="L624" i="8"/>
  <c r="L623" i="8"/>
  <c r="L622" i="8"/>
  <c r="L621" i="8"/>
  <c r="L620" i="8"/>
  <c r="L619" i="8"/>
  <c r="L618" i="8"/>
  <c r="L617" i="8"/>
  <c r="L616" i="8"/>
  <c r="L615" i="8"/>
  <c r="L614" i="8"/>
  <c r="L613" i="8"/>
  <c r="L612" i="8"/>
  <c r="L611" i="8"/>
  <c r="L610" i="8"/>
  <c r="L609" i="8"/>
  <c r="L608" i="8"/>
  <c r="L607" i="8"/>
  <c r="L606" i="8"/>
  <c r="L605" i="8"/>
  <c r="L604" i="8"/>
  <c r="L603" i="8"/>
  <c r="L602" i="8"/>
  <c r="L601" i="8"/>
  <c r="L600" i="8"/>
  <c r="L599" i="8"/>
  <c r="L598" i="8"/>
  <c r="L597" i="8"/>
  <c r="L596" i="8"/>
  <c r="L595" i="8"/>
  <c r="L594" i="8"/>
  <c r="L593" i="8"/>
  <c r="L592" i="8"/>
  <c r="L591" i="8"/>
  <c r="L590" i="8"/>
  <c r="L589" i="8"/>
  <c r="L588" i="8"/>
  <c r="L587" i="8"/>
  <c r="L586" i="8"/>
  <c r="L585" i="8"/>
  <c r="L584" i="8"/>
  <c r="L583" i="8"/>
  <c r="L582" i="8"/>
  <c r="L581" i="8"/>
  <c r="L580" i="8"/>
  <c r="L579" i="8"/>
  <c r="L578" i="8"/>
  <c r="L577" i="8"/>
  <c r="L576" i="8"/>
  <c r="L575" i="8"/>
  <c r="L574" i="8"/>
  <c r="L573" i="8"/>
  <c r="L572" i="8"/>
  <c r="L571" i="8"/>
  <c r="L570" i="8"/>
  <c r="L569" i="8"/>
  <c r="L568" i="8"/>
  <c r="L567" i="8"/>
  <c r="L566" i="8"/>
  <c r="L565" i="8"/>
  <c r="L564" i="8"/>
  <c r="L563" i="8"/>
  <c r="L562" i="8"/>
  <c r="L561" i="8"/>
  <c r="L560" i="8"/>
  <c r="L559" i="8"/>
  <c r="L558" i="8"/>
  <c r="L557" i="8"/>
  <c r="L556" i="8"/>
  <c r="L555" i="8"/>
  <c r="L554" i="8"/>
  <c r="L553" i="8"/>
  <c r="L552" i="8"/>
  <c r="L551" i="8"/>
  <c r="L550" i="8"/>
  <c r="L549" i="8"/>
  <c r="L548" i="8"/>
  <c r="L547" i="8"/>
  <c r="L546" i="8"/>
  <c r="L545" i="8"/>
  <c r="L544" i="8"/>
  <c r="L543" i="8"/>
  <c r="L542" i="8"/>
  <c r="L541" i="8"/>
  <c r="L540" i="8"/>
  <c r="L539" i="8"/>
  <c r="L538" i="8"/>
  <c r="L537" i="8"/>
  <c r="L536" i="8"/>
  <c r="L535" i="8"/>
  <c r="L534" i="8"/>
  <c r="L533" i="8"/>
  <c r="L532" i="8"/>
  <c r="L531" i="8"/>
  <c r="L530" i="8"/>
  <c r="L529" i="8"/>
  <c r="L528" i="8"/>
  <c r="L527" i="8"/>
  <c r="L526" i="8"/>
  <c r="L525" i="8"/>
  <c r="L524" i="8"/>
  <c r="L523" i="8"/>
  <c r="L522" i="8"/>
  <c r="L521" i="8"/>
  <c r="L520" i="8"/>
  <c r="L519" i="8"/>
  <c r="L518" i="8"/>
  <c r="L517" i="8"/>
  <c r="L516" i="8"/>
  <c r="L515" i="8"/>
  <c r="L514" i="8"/>
  <c r="L513" i="8"/>
  <c r="L512" i="8"/>
  <c r="L511" i="8"/>
  <c r="L510" i="8"/>
  <c r="L509" i="8"/>
  <c r="L508" i="8"/>
  <c r="L507" i="8"/>
  <c r="L506" i="8"/>
  <c r="L505" i="8"/>
  <c r="L504" i="8"/>
  <c r="L503" i="8"/>
  <c r="L502" i="8"/>
  <c r="L501" i="8"/>
  <c r="L500" i="8"/>
  <c r="L499" i="8"/>
  <c r="L498" i="8"/>
  <c r="L497" i="8"/>
  <c r="L496" i="8"/>
  <c r="L495" i="8"/>
  <c r="L494" i="8"/>
  <c r="L493" i="8"/>
  <c r="L492" i="8"/>
  <c r="L491" i="8"/>
  <c r="L490" i="8"/>
  <c r="L489" i="8"/>
  <c r="L488" i="8"/>
  <c r="L487" i="8"/>
  <c r="L486" i="8"/>
  <c r="L485" i="8"/>
  <c r="L484" i="8"/>
  <c r="L483" i="8"/>
  <c r="L482" i="8"/>
  <c r="L481" i="8"/>
  <c r="L480" i="8"/>
  <c r="L479" i="8"/>
  <c r="L478" i="8"/>
  <c r="L477" i="8"/>
  <c r="L476" i="8"/>
  <c r="L475" i="8"/>
  <c r="L474" i="8"/>
  <c r="L473" i="8"/>
  <c r="L472" i="8"/>
  <c r="L471" i="8"/>
  <c r="L470" i="8"/>
  <c r="L469" i="8"/>
  <c r="L468" i="8"/>
  <c r="L467" i="8"/>
  <c r="L466" i="8"/>
  <c r="L465" i="8"/>
  <c r="L464" i="8"/>
  <c r="L463" i="8"/>
  <c r="L462" i="8"/>
  <c r="L461" i="8"/>
  <c r="L460" i="8"/>
  <c r="L459" i="8"/>
  <c r="L458" i="8"/>
  <c r="L457" i="8"/>
  <c r="L456" i="8"/>
  <c r="L455" i="8"/>
  <c r="L454" i="8"/>
  <c r="L453" i="8"/>
  <c r="L452" i="8"/>
  <c r="L451" i="8"/>
  <c r="L450" i="8"/>
  <c r="L449" i="8"/>
  <c r="L448" i="8"/>
  <c r="L447" i="8"/>
  <c r="L446" i="8"/>
  <c r="L445" i="8"/>
  <c r="L444" i="8"/>
  <c r="L443" i="8"/>
  <c r="L442" i="8"/>
  <c r="L441" i="8"/>
  <c r="L440" i="8"/>
  <c r="L439" i="8"/>
  <c r="L438" i="8"/>
  <c r="L437" i="8"/>
  <c r="L436" i="8"/>
  <c r="L435" i="8"/>
  <c r="L434" i="8"/>
  <c r="L433" i="8"/>
  <c r="L432" i="8"/>
  <c r="L431" i="8"/>
  <c r="L430" i="8"/>
  <c r="L429" i="8"/>
  <c r="L428" i="8"/>
  <c r="L427" i="8"/>
  <c r="L426" i="8"/>
  <c r="L425" i="8"/>
  <c r="L424" i="8"/>
  <c r="L423" i="8"/>
  <c r="L422" i="8"/>
  <c r="L421" i="8"/>
  <c r="L420" i="8"/>
  <c r="L419" i="8"/>
  <c r="L418" i="8"/>
  <c r="L417" i="8"/>
  <c r="L416" i="8"/>
  <c r="L415" i="8"/>
  <c r="L414" i="8"/>
  <c r="L413" i="8"/>
  <c r="L412" i="8"/>
  <c r="L411" i="8"/>
  <c r="L410" i="8"/>
  <c r="L409" i="8"/>
  <c r="L408" i="8"/>
  <c r="L407" i="8"/>
  <c r="L406" i="8"/>
  <c r="L405" i="8"/>
  <c r="L404" i="8"/>
  <c r="L403" i="8"/>
  <c r="L402" i="8"/>
  <c r="L401" i="8"/>
  <c r="L400" i="8"/>
  <c r="L399" i="8"/>
  <c r="L398" i="8"/>
  <c r="L397" i="8"/>
  <c r="L396" i="8"/>
  <c r="L395" i="8"/>
  <c r="L394" i="8"/>
  <c r="L393" i="8"/>
  <c r="L392" i="8"/>
  <c r="L391" i="8"/>
  <c r="L390" i="8"/>
  <c r="L389" i="8"/>
  <c r="L388" i="8"/>
  <c r="L387" i="8"/>
  <c r="L386" i="8"/>
  <c r="L385" i="8"/>
  <c r="L384" i="8"/>
  <c r="L383" i="8"/>
  <c r="L382" i="8"/>
  <c r="L381" i="8"/>
  <c r="L380" i="8"/>
  <c r="L379" i="8"/>
  <c r="L378" i="8"/>
  <c r="L377" i="8"/>
  <c r="L376" i="8"/>
  <c r="L375" i="8"/>
  <c r="L374" i="8"/>
  <c r="L373" i="8"/>
  <c r="L372" i="8"/>
  <c r="L371" i="8"/>
  <c r="L370" i="8"/>
  <c r="L369" i="8"/>
  <c r="L368" i="8"/>
  <c r="L367" i="8"/>
  <c r="L366" i="8"/>
  <c r="L365" i="8"/>
  <c r="L364" i="8"/>
  <c r="L363" i="8"/>
  <c r="L362" i="8"/>
  <c r="L361" i="8"/>
  <c r="L360" i="8"/>
  <c r="L359" i="8"/>
  <c r="L358" i="8"/>
  <c r="L357" i="8"/>
  <c r="L356" i="8"/>
  <c r="L355" i="8"/>
  <c r="L354" i="8"/>
  <c r="L353" i="8"/>
  <c r="L352" i="8"/>
  <c r="L351" i="8"/>
  <c r="L350" i="8"/>
  <c r="L349" i="8"/>
  <c r="L348" i="8"/>
  <c r="L347" i="8"/>
  <c r="L346" i="8"/>
  <c r="L345" i="8"/>
  <c r="L344" i="8"/>
  <c r="L343" i="8"/>
  <c r="L342" i="8"/>
  <c r="L341" i="8"/>
  <c r="L340" i="8"/>
  <c r="L339" i="8"/>
  <c r="L338" i="8"/>
  <c r="L337" i="8"/>
  <c r="L336" i="8"/>
  <c r="L335" i="8"/>
  <c r="L334" i="8"/>
  <c r="L333" i="8"/>
  <c r="L332" i="8"/>
  <c r="L331" i="8"/>
  <c r="L330" i="8"/>
  <c r="L329" i="8"/>
  <c r="L328" i="8"/>
  <c r="L327" i="8"/>
  <c r="L326" i="8"/>
  <c r="L325" i="8"/>
  <c r="L324" i="8"/>
  <c r="L323" i="8"/>
  <c r="L322" i="8"/>
  <c r="L321" i="8"/>
  <c r="L320" i="8"/>
  <c r="L319" i="8"/>
  <c r="L318" i="8"/>
  <c r="L317" i="8"/>
  <c r="L316" i="8"/>
  <c r="L315" i="8"/>
  <c r="L314" i="8"/>
  <c r="L313" i="8"/>
  <c r="L312" i="8"/>
  <c r="L311" i="8"/>
  <c r="L310" i="8"/>
  <c r="L309" i="8"/>
  <c r="L308" i="8"/>
  <c r="L307" i="8"/>
  <c r="L306" i="8"/>
  <c r="L305" i="8"/>
  <c r="L304" i="8"/>
  <c r="L303" i="8"/>
  <c r="L302" i="8"/>
  <c r="L301" i="8"/>
  <c r="L300" i="8"/>
  <c r="L299" i="8"/>
  <c r="L298" i="8"/>
  <c r="L297" i="8"/>
  <c r="L296" i="8"/>
  <c r="L295" i="8"/>
  <c r="L294" i="8"/>
  <c r="L293" i="8"/>
  <c r="L292" i="8"/>
  <c r="L291" i="8"/>
  <c r="L290" i="8"/>
  <c r="L289" i="8"/>
  <c r="L288" i="8"/>
  <c r="L287" i="8"/>
  <c r="L286" i="8"/>
  <c r="L285" i="8"/>
  <c r="L284" i="8"/>
  <c r="L283" i="8"/>
  <c r="L282" i="8"/>
  <c r="L281" i="8"/>
  <c r="L280" i="8"/>
  <c r="L279" i="8"/>
  <c r="L278" i="8"/>
  <c r="L277" i="8"/>
  <c r="L276" i="8"/>
  <c r="L275" i="8"/>
  <c r="L274" i="8"/>
  <c r="L273" i="8"/>
  <c r="L272" i="8"/>
  <c r="L271" i="8"/>
  <c r="L270" i="8"/>
  <c r="L269" i="8"/>
  <c r="L268" i="8"/>
  <c r="L267" i="8"/>
  <c r="L266" i="8"/>
  <c r="L265" i="8"/>
  <c r="L264" i="8"/>
  <c r="L263" i="8"/>
  <c r="L262" i="8"/>
  <c r="L261" i="8"/>
  <c r="L260" i="8"/>
  <c r="L259" i="8"/>
  <c r="L258" i="8"/>
  <c r="L257" i="8"/>
  <c r="L256" i="8"/>
  <c r="L255" i="8"/>
  <c r="L254" i="8"/>
  <c r="L253" i="8"/>
  <c r="L252" i="8"/>
  <c r="L251" i="8"/>
  <c r="L250" i="8"/>
  <c r="L249" i="8"/>
  <c r="L248" i="8"/>
  <c r="L247" i="8"/>
  <c r="L246" i="8"/>
  <c r="L245" i="8"/>
  <c r="L244" i="8"/>
  <c r="L243" i="8"/>
  <c r="L242" i="8"/>
  <c r="L241" i="8"/>
  <c r="L240" i="8"/>
  <c r="L239" i="8"/>
  <c r="L238" i="8"/>
  <c r="L237" i="8"/>
  <c r="L236" i="8"/>
  <c r="L235" i="8"/>
  <c r="L234" i="8"/>
  <c r="L233" i="8"/>
  <c r="L232" i="8"/>
  <c r="L231" i="8"/>
  <c r="L230" i="8"/>
  <c r="L229" i="8"/>
  <c r="L228" i="8"/>
  <c r="L227" i="8"/>
  <c r="L226" i="8"/>
  <c r="L225" i="8"/>
  <c r="L224" i="8"/>
  <c r="L223" i="8"/>
  <c r="L222" i="8"/>
  <c r="L221" i="8"/>
  <c r="L220" i="8"/>
  <c r="L219" i="8"/>
  <c r="L218" i="8"/>
  <c r="L217" i="8"/>
  <c r="L216" i="8"/>
  <c r="L215" i="8"/>
  <c r="L214" i="8"/>
  <c r="L213" i="8"/>
  <c r="L212" i="8"/>
  <c r="L211" i="8"/>
  <c r="L210" i="8"/>
  <c r="L209" i="8"/>
  <c r="L208" i="8"/>
  <c r="L207" i="8"/>
  <c r="L206" i="8"/>
  <c r="L205" i="8"/>
  <c r="L204" i="8"/>
  <c r="L203" i="8"/>
  <c r="L202" i="8"/>
  <c r="L201" i="8"/>
  <c r="L200" i="8"/>
  <c r="L199" i="8"/>
  <c r="L198" i="8"/>
  <c r="L197" i="8"/>
  <c r="L196" i="8"/>
  <c r="L195" i="8"/>
  <c r="L194" i="8"/>
  <c r="L193" i="8"/>
  <c r="L192" i="8"/>
  <c r="L191" i="8"/>
  <c r="L190" i="8"/>
  <c r="L189" i="8"/>
  <c r="L188" i="8"/>
  <c r="L187" i="8"/>
  <c r="L186" i="8"/>
  <c r="L185" i="8"/>
  <c r="L184" i="8"/>
  <c r="L183" i="8"/>
  <c r="L182" i="8"/>
  <c r="L181" i="8"/>
  <c r="L180" i="8"/>
  <c r="L179" i="8"/>
  <c r="L178" i="8"/>
  <c r="L177" i="8"/>
  <c r="L176" i="8"/>
  <c r="L175" i="8"/>
  <c r="L174" i="8"/>
  <c r="L173" i="8"/>
  <c r="L172" i="8"/>
  <c r="L171" i="8"/>
  <c r="L170" i="8"/>
  <c r="L169" i="8"/>
  <c r="L168" i="8"/>
  <c r="L167" i="8"/>
  <c r="L166" i="8"/>
  <c r="L165" i="8"/>
  <c r="L164" i="8"/>
  <c r="L163" i="8"/>
  <c r="L162" i="8"/>
  <c r="L161" i="8"/>
  <c r="L160" i="8"/>
  <c r="L159" i="8"/>
  <c r="L158" i="8"/>
  <c r="L157" i="8"/>
  <c r="L156" i="8"/>
  <c r="L155" i="8"/>
  <c r="L154" i="8"/>
  <c r="L153" i="8"/>
  <c r="L152" i="8"/>
  <c r="L151" i="8"/>
  <c r="L150" i="8"/>
  <c r="L149" i="8"/>
  <c r="L148" i="8"/>
  <c r="L147" i="8"/>
  <c r="L146" i="8"/>
  <c r="L145" i="8"/>
  <c r="L144" i="8"/>
  <c r="L143" i="8"/>
  <c r="L142" i="8"/>
  <c r="L141" i="8"/>
  <c r="L140" i="8"/>
  <c r="L139" i="8"/>
  <c r="L138" i="8"/>
  <c r="L137" i="8"/>
  <c r="L136" i="8"/>
  <c r="L135" i="8"/>
  <c r="L134" i="8"/>
  <c r="L133" i="8"/>
  <c r="L132" i="8"/>
  <c r="L131" i="8"/>
  <c r="L130" i="8"/>
  <c r="L129" i="8"/>
  <c r="L128" i="8"/>
  <c r="L127" i="8"/>
  <c r="L126" i="8"/>
  <c r="L125" i="8"/>
  <c r="L124" i="8"/>
  <c r="L123" i="8"/>
  <c r="L122" i="8"/>
  <c r="L121" i="8"/>
  <c r="L120" i="8"/>
  <c r="L119" i="8"/>
  <c r="L118" i="8"/>
  <c r="L117" i="8"/>
  <c r="L116" i="8"/>
  <c r="L115" i="8"/>
  <c r="L114" i="8"/>
  <c r="L113" i="8"/>
  <c r="L112" i="8"/>
  <c r="L111" i="8"/>
  <c r="L110" i="8"/>
  <c r="L109" i="8"/>
  <c r="L108" i="8"/>
  <c r="L107" i="8"/>
  <c r="L106" i="8"/>
  <c r="L105" i="8"/>
  <c r="L104" i="8"/>
  <c r="L103" i="8"/>
  <c r="L102" i="8"/>
  <c r="L101" i="8"/>
  <c r="L100" i="8"/>
  <c r="L99" i="8"/>
  <c r="L98" i="8"/>
  <c r="L97" i="8"/>
  <c r="L96" i="8"/>
  <c r="L95" i="8"/>
  <c r="L94" i="8"/>
  <c r="L93" i="8"/>
  <c r="L92" i="8"/>
  <c r="L91" i="8"/>
  <c r="L90" i="8"/>
  <c r="L89" i="8"/>
  <c r="L88" i="8"/>
  <c r="L87" i="8"/>
  <c r="L86" i="8"/>
  <c r="L85" i="8"/>
  <c r="L84" i="8"/>
  <c r="L83" i="8"/>
  <c r="L82" i="8"/>
  <c r="L81" i="8"/>
  <c r="L80" i="8"/>
  <c r="L79" i="8"/>
  <c r="L78" i="8"/>
  <c r="L77" i="8"/>
  <c r="L76" i="8"/>
  <c r="L75" i="8"/>
  <c r="L74" i="8"/>
  <c r="L73" i="8"/>
  <c r="L72" i="8"/>
  <c r="L71" i="8"/>
  <c r="L70" i="8"/>
  <c r="L69" i="8"/>
  <c r="L68" i="8"/>
  <c r="L67" i="8"/>
  <c r="L66" i="8"/>
  <c r="L65" i="8"/>
  <c r="L64" i="8"/>
  <c r="L63" i="8"/>
  <c r="L62" i="8"/>
  <c r="L61" i="8"/>
  <c r="L60" i="8"/>
  <c r="L59" i="8"/>
  <c r="L58" i="8"/>
  <c r="L57" i="8"/>
  <c r="L56" i="8"/>
  <c r="L55" i="8"/>
  <c r="L54" i="8"/>
  <c r="L53" i="8"/>
  <c r="L52" i="8"/>
  <c r="L51" i="8"/>
  <c r="L50" i="8"/>
  <c r="L49" i="8"/>
  <c r="L48" i="8"/>
  <c r="L47" i="8"/>
  <c r="L46" i="8"/>
  <c r="L45" i="8"/>
  <c r="L44" i="8"/>
  <c r="L43" i="8"/>
  <c r="L42" i="8"/>
  <c r="L41" i="8"/>
  <c r="L40" i="8"/>
  <c r="L39" i="8"/>
  <c r="L38" i="8"/>
  <c r="L37" i="8"/>
  <c r="L36" i="8"/>
  <c r="L35" i="8"/>
  <c r="L34" i="8"/>
  <c r="L33" i="8"/>
  <c r="L32" i="8"/>
  <c r="L31" i="8"/>
  <c r="L30" i="8"/>
  <c r="L29" i="8"/>
  <c r="L28" i="8"/>
  <c r="L27" i="8"/>
  <c r="L26" i="8"/>
  <c r="L25" i="8"/>
  <c r="L24" i="8"/>
  <c r="L23" i="8"/>
  <c r="L22" i="8"/>
  <c r="L21" i="8"/>
  <c r="L20" i="8"/>
  <c r="L19" i="8"/>
  <c r="L18" i="8"/>
  <c r="L17" i="8"/>
  <c r="L16" i="8"/>
  <c r="L15" i="8"/>
  <c r="L14" i="8"/>
  <c r="L13" i="8"/>
  <c r="L12" i="8"/>
  <c r="L11" i="8"/>
  <c r="L10" i="8"/>
  <c r="L9" i="8"/>
  <c r="L8" i="8"/>
  <c r="L7" i="8"/>
  <c r="L6" i="8"/>
  <c r="L5" i="8"/>
  <c r="L4" i="8"/>
  <c r="L3" i="8"/>
  <c r="L2" i="8"/>
  <c r="U6860" i="7"/>
  <c r="T6860" i="7"/>
  <c r="S6860" i="7"/>
  <c r="R6860" i="7"/>
  <c r="Q6860" i="7"/>
  <c r="P6860" i="7"/>
  <c r="O6860" i="7"/>
  <c r="U6859" i="7"/>
  <c r="T6859" i="7"/>
  <c r="S6859" i="7"/>
  <c r="R6859" i="7"/>
  <c r="Q6859" i="7"/>
  <c r="P6859" i="7"/>
  <c r="O6859" i="7"/>
  <c r="U6858" i="7"/>
  <c r="T6858" i="7"/>
  <c r="S6858" i="7"/>
  <c r="R6858" i="7"/>
  <c r="Q6858" i="7"/>
  <c r="P6858" i="7"/>
  <c r="O6858" i="7"/>
  <c r="U6857" i="7"/>
  <c r="T6857" i="7"/>
  <c r="S6857" i="7"/>
  <c r="R6857" i="7"/>
  <c r="Q6857" i="7"/>
  <c r="P6857" i="7"/>
  <c r="O6857" i="7"/>
  <c r="U6856" i="7"/>
  <c r="T6856" i="7"/>
  <c r="S6856" i="7"/>
  <c r="R6856" i="7"/>
  <c r="Q6856" i="7"/>
  <c r="P6856" i="7"/>
  <c r="O6856" i="7"/>
  <c r="U6855" i="7"/>
  <c r="T6855" i="7"/>
  <c r="S6855" i="7"/>
  <c r="R6855" i="7"/>
  <c r="Q6855" i="7"/>
  <c r="P6855" i="7"/>
  <c r="O6855" i="7"/>
  <c r="U6854" i="7"/>
  <c r="T6854" i="7"/>
  <c r="S6854" i="7"/>
  <c r="R6854" i="7"/>
  <c r="Q6854" i="7"/>
  <c r="P6854" i="7"/>
  <c r="O6854" i="7"/>
  <c r="U6853" i="7"/>
  <c r="T6853" i="7"/>
  <c r="S6853" i="7"/>
  <c r="R6853" i="7"/>
  <c r="Q6853" i="7"/>
  <c r="P6853" i="7"/>
  <c r="O6853" i="7"/>
  <c r="U6852" i="7"/>
  <c r="T6852" i="7"/>
  <c r="S6852" i="7"/>
  <c r="R6852" i="7"/>
  <c r="Q6852" i="7"/>
  <c r="P6852" i="7"/>
  <c r="O6852" i="7"/>
  <c r="U6851" i="7"/>
  <c r="T6851" i="7"/>
  <c r="S6851" i="7"/>
  <c r="R6851" i="7"/>
  <c r="Q6851" i="7"/>
  <c r="P6851" i="7"/>
  <c r="O6851" i="7"/>
  <c r="U6850" i="7"/>
  <c r="T6850" i="7"/>
  <c r="S6850" i="7"/>
  <c r="R6850" i="7"/>
  <c r="Q6850" i="7"/>
  <c r="P6850" i="7"/>
  <c r="O6850" i="7"/>
  <c r="U6849" i="7"/>
  <c r="T6849" i="7"/>
  <c r="S6849" i="7"/>
  <c r="R6849" i="7"/>
  <c r="Q6849" i="7"/>
  <c r="P6849" i="7"/>
  <c r="O6849" i="7"/>
  <c r="U6848" i="7"/>
  <c r="T6848" i="7"/>
  <c r="S6848" i="7"/>
  <c r="R6848" i="7"/>
  <c r="Q6848" i="7"/>
  <c r="P6848" i="7"/>
  <c r="O6848" i="7"/>
  <c r="U6847" i="7"/>
  <c r="T6847" i="7"/>
  <c r="S6847" i="7"/>
  <c r="R6847" i="7"/>
  <c r="Q6847" i="7"/>
  <c r="P6847" i="7"/>
  <c r="O6847" i="7"/>
  <c r="U6846" i="7"/>
  <c r="T6846" i="7"/>
  <c r="S6846" i="7"/>
  <c r="R6846" i="7"/>
  <c r="Q6846" i="7"/>
  <c r="P6846" i="7"/>
  <c r="O6846" i="7"/>
  <c r="U6845" i="7"/>
  <c r="T6845" i="7"/>
  <c r="S6845" i="7"/>
  <c r="R6845" i="7"/>
  <c r="Q6845" i="7"/>
  <c r="P6845" i="7"/>
  <c r="O6845" i="7"/>
  <c r="U6844" i="7"/>
  <c r="T6844" i="7"/>
  <c r="S6844" i="7"/>
  <c r="R6844" i="7"/>
  <c r="Q6844" i="7"/>
  <c r="P6844" i="7"/>
  <c r="O6844" i="7"/>
  <c r="U6843" i="7"/>
  <c r="T6843" i="7"/>
  <c r="S6843" i="7"/>
  <c r="R6843" i="7"/>
  <c r="Q6843" i="7"/>
  <c r="P6843" i="7"/>
  <c r="O6843" i="7"/>
  <c r="U6842" i="7"/>
  <c r="T6842" i="7"/>
  <c r="S6842" i="7"/>
  <c r="R6842" i="7"/>
  <c r="Q6842" i="7"/>
  <c r="P6842" i="7"/>
  <c r="O6842" i="7"/>
  <c r="U6841" i="7"/>
  <c r="T6841" i="7"/>
  <c r="S6841" i="7"/>
  <c r="R6841" i="7"/>
  <c r="Q6841" i="7"/>
  <c r="P6841" i="7"/>
  <c r="O6841" i="7"/>
  <c r="U6840" i="7"/>
  <c r="T6840" i="7"/>
  <c r="S6840" i="7"/>
  <c r="R6840" i="7"/>
  <c r="Q6840" i="7"/>
  <c r="P6840" i="7"/>
  <c r="O6840" i="7"/>
  <c r="U6839" i="7"/>
  <c r="T6839" i="7"/>
  <c r="S6839" i="7"/>
  <c r="R6839" i="7"/>
  <c r="Q6839" i="7"/>
  <c r="P6839" i="7"/>
  <c r="O6839" i="7"/>
  <c r="U6838" i="7"/>
  <c r="T6838" i="7"/>
  <c r="S6838" i="7"/>
  <c r="R6838" i="7"/>
  <c r="Q6838" i="7"/>
  <c r="P6838" i="7"/>
  <c r="O6838" i="7"/>
  <c r="U6837" i="7"/>
  <c r="T6837" i="7"/>
  <c r="S6837" i="7"/>
  <c r="R6837" i="7"/>
  <c r="Q6837" i="7"/>
  <c r="P6837" i="7"/>
  <c r="O6837" i="7"/>
  <c r="U6836" i="7"/>
  <c r="T6836" i="7"/>
  <c r="S6836" i="7"/>
  <c r="R6836" i="7"/>
  <c r="Q6836" i="7"/>
  <c r="P6836" i="7"/>
  <c r="O6836" i="7"/>
  <c r="U6835" i="7"/>
  <c r="T6835" i="7"/>
  <c r="S6835" i="7"/>
  <c r="R6835" i="7"/>
  <c r="Q6835" i="7"/>
  <c r="P6835" i="7"/>
  <c r="O6835" i="7"/>
  <c r="U6834" i="7"/>
  <c r="T6834" i="7"/>
  <c r="S6834" i="7"/>
  <c r="R6834" i="7"/>
  <c r="Q6834" i="7"/>
  <c r="P6834" i="7"/>
  <c r="O6834" i="7"/>
  <c r="U6833" i="7"/>
  <c r="T6833" i="7"/>
  <c r="S6833" i="7"/>
  <c r="R6833" i="7"/>
  <c r="Q6833" i="7"/>
  <c r="P6833" i="7"/>
  <c r="O6833" i="7"/>
  <c r="U6832" i="7"/>
  <c r="T6832" i="7"/>
  <c r="S6832" i="7"/>
  <c r="R6832" i="7"/>
  <c r="Q6832" i="7"/>
  <c r="P6832" i="7"/>
  <c r="O6832" i="7"/>
  <c r="U6831" i="7"/>
  <c r="T6831" i="7"/>
  <c r="S6831" i="7"/>
  <c r="R6831" i="7"/>
  <c r="Q6831" i="7"/>
  <c r="P6831" i="7"/>
  <c r="O6831" i="7"/>
  <c r="U6830" i="7"/>
  <c r="T6830" i="7"/>
  <c r="S6830" i="7"/>
  <c r="R6830" i="7"/>
  <c r="Q6830" i="7"/>
  <c r="P6830" i="7"/>
  <c r="O6830" i="7"/>
  <c r="U6829" i="7"/>
  <c r="T6829" i="7"/>
  <c r="S6829" i="7"/>
  <c r="R6829" i="7"/>
  <c r="Q6829" i="7"/>
  <c r="P6829" i="7"/>
  <c r="O6829" i="7"/>
  <c r="U6828" i="7"/>
  <c r="T6828" i="7"/>
  <c r="S6828" i="7"/>
  <c r="R6828" i="7"/>
  <c r="Q6828" i="7"/>
  <c r="P6828" i="7"/>
  <c r="O6828" i="7"/>
  <c r="U6827" i="7"/>
  <c r="T6827" i="7"/>
  <c r="S6827" i="7"/>
  <c r="R6827" i="7"/>
  <c r="Q6827" i="7"/>
  <c r="P6827" i="7"/>
  <c r="O6827" i="7"/>
  <c r="U6826" i="7"/>
  <c r="T6826" i="7"/>
  <c r="S6826" i="7"/>
  <c r="R6826" i="7"/>
  <c r="Q6826" i="7"/>
  <c r="P6826" i="7"/>
  <c r="O6826" i="7"/>
  <c r="U6825" i="7"/>
  <c r="T6825" i="7"/>
  <c r="S6825" i="7"/>
  <c r="R6825" i="7"/>
  <c r="Q6825" i="7"/>
  <c r="P6825" i="7"/>
  <c r="O6825" i="7"/>
  <c r="U6824" i="7"/>
  <c r="T6824" i="7"/>
  <c r="S6824" i="7"/>
  <c r="R6824" i="7"/>
  <c r="Q6824" i="7"/>
  <c r="P6824" i="7"/>
  <c r="O6824" i="7"/>
  <c r="U6823" i="7"/>
  <c r="T6823" i="7"/>
  <c r="S6823" i="7"/>
  <c r="R6823" i="7"/>
  <c r="Q6823" i="7"/>
  <c r="P6823" i="7"/>
  <c r="O6823" i="7"/>
  <c r="U6822" i="7"/>
  <c r="T6822" i="7"/>
  <c r="S6822" i="7"/>
  <c r="R6822" i="7"/>
  <c r="Q6822" i="7"/>
  <c r="P6822" i="7"/>
  <c r="O6822" i="7"/>
  <c r="U6821" i="7"/>
  <c r="T6821" i="7"/>
  <c r="S6821" i="7"/>
  <c r="R6821" i="7"/>
  <c r="Q6821" i="7"/>
  <c r="P6821" i="7"/>
  <c r="O6821" i="7"/>
  <c r="U6820" i="7"/>
  <c r="T6820" i="7"/>
  <c r="S6820" i="7"/>
  <c r="R6820" i="7"/>
  <c r="Q6820" i="7"/>
  <c r="P6820" i="7"/>
  <c r="O6820" i="7"/>
  <c r="U6819" i="7"/>
  <c r="T6819" i="7"/>
  <c r="S6819" i="7"/>
  <c r="R6819" i="7"/>
  <c r="Q6819" i="7"/>
  <c r="P6819" i="7"/>
  <c r="O6819" i="7"/>
  <c r="U6818" i="7"/>
  <c r="T6818" i="7"/>
  <c r="S6818" i="7"/>
  <c r="R6818" i="7"/>
  <c r="Q6818" i="7"/>
  <c r="P6818" i="7"/>
  <c r="O6818" i="7"/>
  <c r="U6817" i="7"/>
  <c r="T6817" i="7"/>
  <c r="S6817" i="7"/>
  <c r="R6817" i="7"/>
  <c r="Q6817" i="7"/>
  <c r="P6817" i="7"/>
  <c r="O6817" i="7"/>
  <c r="U6816" i="7"/>
  <c r="T6816" i="7"/>
  <c r="S6816" i="7"/>
  <c r="R6816" i="7"/>
  <c r="Q6816" i="7"/>
  <c r="P6816" i="7"/>
  <c r="O6816" i="7"/>
  <c r="U6815" i="7"/>
  <c r="T6815" i="7"/>
  <c r="S6815" i="7"/>
  <c r="R6815" i="7"/>
  <c r="Q6815" i="7"/>
  <c r="P6815" i="7"/>
  <c r="O6815" i="7"/>
  <c r="U6814" i="7"/>
  <c r="T6814" i="7"/>
  <c r="S6814" i="7"/>
  <c r="R6814" i="7"/>
  <c r="Q6814" i="7"/>
  <c r="P6814" i="7"/>
  <c r="O6814" i="7"/>
  <c r="U6813" i="7"/>
  <c r="T6813" i="7"/>
  <c r="S6813" i="7"/>
  <c r="R6813" i="7"/>
  <c r="Q6813" i="7"/>
  <c r="P6813" i="7"/>
  <c r="O6813" i="7"/>
  <c r="U6812" i="7"/>
  <c r="T6812" i="7"/>
  <c r="S6812" i="7"/>
  <c r="R6812" i="7"/>
  <c r="Q6812" i="7"/>
  <c r="P6812" i="7"/>
  <c r="O6812" i="7"/>
  <c r="U6811" i="7"/>
  <c r="T6811" i="7"/>
  <c r="S6811" i="7"/>
  <c r="R6811" i="7"/>
  <c r="Q6811" i="7"/>
  <c r="P6811" i="7"/>
  <c r="O6811" i="7"/>
  <c r="U6810" i="7"/>
  <c r="T6810" i="7"/>
  <c r="S6810" i="7"/>
  <c r="R6810" i="7"/>
  <c r="Q6810" i="7"/>
  <c r="P6810" i="7"/>
  <c r="O6810" i="7"/>
  <c r="U6809" i="7"/>
  <c r="T6809" i="7"/>
  <c r="S6809" i="7"/>
  <c r="R6809" i="7"/>
  <c r="Q6809" i="7"/>
  <c r="P6809" i="7"/>
  <c r="O6809" i="7"/>
  <c r="U6808" i="7"/>
  <c r="T6808" i="7"/>
  <c r="S6808" i="7"/>
  <c r="R6808" i="7"/>
  <c r="Q6808" i="7"/>
  <c r="P6808" i="7"/>
  <c r="O6808" i="7"/>
  <c r="U6807" i="7"/>
  <c r="T6807" i="7"/>
  <c r="S6807" i="7"/>
  <c r="R6807" i="7"/>
  <c r="Q6807" i="7"/>
  <c r="P6807" i="7"/>
  <c r="O6807" i="7"/>
  <c r="U6806" i="7"/>
  <c r="T6806" i="7"/>
  <c r="S6806" i="7"/>
  <c r="R6806" i="7"/>
  <c r="Q6806" i="7"/>
  <c r="P6806" i="7"/>
  <c r="O6806" i="7"/>
  <c r="U6805" i="7"/>
  <c r="T6805" i="7"/>
  <c r="S6805" i="7"/>
  <c r="R6805" i="7"/>
  <c r="Q6805" i="7"/>
  <c r="P6805" i="7"/>
  <c r="O6805" i="7"/>
  <c r="U6804" i="7"/>
  <c r="T6804" i="7"/>
  <c r="S6804" i="7"/>
  <c r="R6804" i="7"/>
  <c r="Q6804" i="7"/>
  <c r="P6804" i="7"/>
  <c r="O6804" i="7"/>
  <c r="U6803" i="7"/>
  <c r="T6803" i="7"/>
  <c r="S6803" i="7"/>
  <c r="R6803" i="7"/>
  <c r="Q6803" i="7"/>
  <c r="P6803" i="7"/>
  <c r="O6803" i="7"/>
  <c r="U6802" i="7"/>
  <c r="T6802" i="7"/>
  <c r="S6802" i="7"/>
  <c r="R6802" i="7"/>
  <c r="Q6802" i="7"/>
  <c r="P6802" i="7"/>
  <c r="O6802" i="7"/>
  <c r="U6801" i="7"/>
  <c r="T6801" i="7"/>
  <c r="S6801" i="7"/>
  <c r="R6801" i="7"/>
  <c r="Q6801" i="7"/>
  <c r="P6801" i="7"/>
  <c r="O6801" i="7"/>
  <c r="U6800" i="7"/>
  <c r="T6800" i="7"/>
  <c r="S6800" i="7"/>
  <c r="R6800" i="7"/>
  <c r="Q6800" i="7"/>
  <c r="P6800" i="7"/>
  <c r="O6800" i="7"/>
  <c r="U6799" i="7"/>
  <c r="T6799" i="7"/>
  <c r="S6799" i="7"/>
  <c r="R6799" i="7"/>
  <c r="Q6799" i="7"/>
  <c r="P6799" i="7"/>
  <c r="O6799" i="7"/>
  <c r="U6798" i="7"/>
  <c r="T6798" i="7"/>
  <c r="S6798" i="7"/>
  <c r="R6798" i="7"/>
  <c r="Q6798" i="7"/>
  <c r="P6798" i="7"/>
  <c r="O6798" i="7"/>
  <c r="U6797" i="7"/>
  <c r="T6797" i="7"/>
  <c r="S6797" i="7"/>
  <c r="R6797" i="7"/>
  <c r="Q6797" i="7"/>
  <c r="P6797" i="7"/>
  <c r="O6797" i="7"/>
  <c r="U6796" i="7"/>
  <c r="T6796" i="7"/>
  <c r="S6796" i="7"/>
  <c r="R6796" i="7"/>
  <c r="Q6796" i="7"/>
  <c r="P6796" i="7"/>
  <c r="O6796" i="7"/>
  <c r="U6795" i="7"/>
  <c r="T6795" i="7"/>
  <c r="S6795" i="7"/>
  <c r="R6795" i="7"/>
  <c r="Q6795" i="7"/>
  <c r="P6795" i="7"/>
  <c r="O6795" i="7"/>
  <c r="U6794" i="7"/>
  <c r="T6794" i="7"/>
  <c r="S6794" i="7"/>
  <c r="R6794" i="7"/>
  <c r="Q6794" i="7"/>
  <c r="P6794" i="7"/>
  <c r="O6794" i="7"/>
  <c r="U6793" i="7"/>
  <c r="T6793" i="7"/>
  <c r="S6793" i="7"/>
  <c r="R6793" i="7"/>
  <c r="Q6793" i="7"/>
  <c r="P6793" i="7"/>
  <c r="O6793" i="7"/>
  <c r="U6792" i="7"/>
  <c r="T6792" i="7"/>
  <c r="S6792" i="7"/>
  <c r="R6792" i="7"/>
  <c r="Q6792" i="7"/>
  <c r="P6792" i="7"/>
  <c r="O6792" i="7"/>
  <c r="U6791" i="7"/>
  <c r="T6791" i="7"/>
  <c r="S6791" i="7"/>
  <c r="R6791" i="7"/>
  <c r="Q6791" i="7"/>
  <c r="P6791" i="7"/>
  <c r="O6791" i="7"/>
  <c r="U6790" i="7"/>
  <c r="T6790" i="7"/>
  <c r="S6790" i="7"/>
  <c r="R6790" i="7"/>
  <c r="Q6790" i="7"/>
  <c r="P6790" i="7"/>
  <c r="O6790" i="7"/>
  <c r="U6789" i="7"/>
  <c r="T6789" i="7"/>
  <c r="S6789" i="7"/>
  <c r="R6789" i="7"/>
  <c r="Q6789" i="7"/>
  <c r="P6789" i="7"/>
  <c r="O6789" i="7"/>
  <c r="U6788" i="7"/>
  <c r="T6788" i="7"/>
  <c r="S6788" i="7"/>
  <c r="R6788" i="7"/>
  <c r="Q6788" i="7"/>
  <c r="P6788" i="7"/>
  <c r="O6788" i="7"/>
  <c r="U6787" i="7"/>
  <c r="T6787" i="7"/>
  <c r="S6787" i="7"/>
  <c r="R6787" i="7"/>
  <c r="Q6787" i="7"/>
  <c r="P6787" i="7"/>
  <c r="O6787" i="7"/>
  <c r="U6786" i="7"/>
  <c r="T6786" i="7"/>
  <c r="S6786" i="7"/>
  <c r="R6786" i="7"/>
  <c r="Q6786" i="7"/>
  <c r="P6786" i="7"/>
  <c r="O6786" i="7"/>
  <c r="U6785" i="7"/>
  <c r="T6785" i="7"/>
  <c r="S6785" i="7"/>
  <c r="R6785" i="7"/>
  <c r="Q6785" i="7"/>
  <c r="P6785" i="7"/>
  <c r="O6785" i="7"/>
  <c r="U6784" i="7"/>
  <c r="T6784" i="7"/>
  <c r="S6784" i="7"/>
  <c r="R6784" i="7"/>
  <c r="Q6784" i="7"/>
  <c r="P6784" i="7"/>
  <c r="O6784" i="7"/>
  <c r="U6783" i="7"/>
  <c r="T6783" i="7"/>
  <c r="S6783" i="7"/>
  <c r="R6783" i="7"/>
  <c r="Q6783" i="7"/>
  <c r="P6783" i="7"/>
  <c r="O6783" i="7"/>
  <c r="U6782" i="7"/>
  <c r="T6782" i="7"/>
  <c r="S6782" i="7"/>
  <c r="R6782" i="7"/>
  <c r="Q6782" i="7"/>
  <c r="P6782" i="7"/>
  <c r="O6782" i="7"/>
  <c r="U6781" i="7"/>
  <c r="T6781" i="7"/>
  <c r="S6781" i="7"/>
  <c r="R6781" i="7"/>
  <c r="Q6781" i="7"/>
  <c r="P6781" i="7"/>
  <c r="O6781" i="7"/>
  <c r="U6780" i="7"/>
  <c r="T6780" i="7"/>
  <c r="S6780" i="7"/>
  <c r="R6780" i="7"/>
  <c r="Q6780" i="7"/>
  <c r="P6780" i="7"/>
  <c r="O6780" i="7"/>
  <c r="U6779" i="7"/>
  <c r="T6779" i="7"/>
  <c r="S6779" i="7"/>
  <c r="R6779" i="7"/>
  <c r="Q6779" i="7"/>
  <c r="P6779" i="7"/>
  <c r="O6779" i="7"/>
  <c r="U6778" i="7"/>
  <c r="T6778" i="7"/>
  <c r="S6778" i="7"/>
  <c r="R6778" i="7"/>
  <c r="Q6778" i="7"/>
  <c r="P6778" i="7"/>
  <c r="O6778" i="7"/>
  <c r="U6777" i="7"/>
  <c r="T6777" i="7"/>
  <c r="S6777" i="7"/>
  <c r="R6777" i="7"/>
  <c r="Q6777" i="7"/>
  <c r="P6777" i="7"/>
  <c r="O6777" i="7"/>
  <c r="U6776" i="7"/>
  <c r="T6776" i="7"/>
  <c r="S6776" i="7"/>
  <c r="R6776" i="7"/>
  <c r="Q6776" i="7"/>
  <c r="P6776" i="7"/>
  <c r="O6776" i="7"/>
  <c r="U6775" i="7"/>
  <c r="T6775" i="7"/>
  <c r="S6775" i="7"/>
  <c r="R6775" i="7"/>
  <c r="Q6775" i="7"/>
  <c r="P6775" i="7"/>
  <c r="O6775" i="7"/>
  <c r="U6774" i="7"/>
  <c r="T6774" i="7"/>
  <c r="S6774" i="7"/>
  <c r="R6774" i="7"/>
  <c r="Q6774" i="7"/>
  <c r="P6774" i="7"/>
  <c r="O6774" i="7"/>
  <c r="U6773" i="7"/>
  <c r="T6773" i="7"/>
  <c r="S6773" i="7"/>
  <c r="R6773" i="7"/>
  <c r="Q6773" i="7"/>
  <c r="P6773" i="7"/>
  <c r="O6773" i="7"/>
  <c r="U6772" i="7"/>
  <c r="T6772" i="7"/>
  <c r="S6772" i="7"/>
  <c r="R6772" i="7"/>
  <c r="Q6772" i="7"/>
  <c r="P6772" i="7"/>
  <c r="O6772" i="7"/>
  <c r="U6771" i="7"/>
  <c r="T6771" i="7"/>
  <c r="S6771" i="7"/>
  <c r="R6771" i="7"/>
  <c r="Q6771" i="7"/>
  <c r="P6771" i="7"/>
  <c r="O6771" i="7"/>
  <c r="U6770" i="7"/>
  <c r="T6770" i="7"/>
  <c r="S6770" i="7"/>
  <c r="R6770" i="7"/>
  <c r="Q6770" i="7"/>
  <c r="P6770" i="7"/>
  <c r="O6770" i="7"/>
  <c r="U6769" i="7"/>
  <c r="T6769" i="7"/>
  <c r="S6769" i="7"/>
  <c r="R6769" i="7"/>
  <c r="Q6769" i="7"/>
  <c r="P6769" i="7"/>
  <c r="O6769" i="7"/>
  <c r="U6768" i="7"/>
  <c r="T6768" i="7"/>
  <c r="S6768" i="7"/>
  <c r="R6768" i="7"/>
  <c r="Q6768" i="7"/>
  <c r="P6768" i="7"/>
  <c r="O6768" i="7"/>
  <c r="U6767" i="7"/>
  <c r="T6767" i="7"/>
  <c r="S6767" i="7"/>
  <c r="R6767" i="7"/>
  <c r="Q6767" i="7"/>
  <c r="P6767" i="7"/>
  <c r="O6767" i="7"/>
  <c r="U6766" i="7"/>
  <c r="T6766" i="7"/>
  <c r="S6766" i="7"/>
  <c r="R6766" i="7"/>
  <c r="Q6766" i="7"/>
  <c r="P6766" i="7"/>
  <c r="O6766" i="7"/>
  <c r="U6765" i="7"/>
  <c r="T6765" i="7"/>
  <c r="S6765" i="7"/>
  <c r="R6765" i="7"/>
  <c r="Q6765" i="7"/>
  <c r="P6765" i="7"/>
  <c r="O6765" i="7"/>
  <c r="U6764" i="7"/>
  <c r="T6764" i="7"/>
  <c r="S6764" i="7"/>
  <c r="R6764" i="7"/>
  <c r="Q6764" i="7"/>
  <c r="P6764" i="7"/>
  <c r="O6764" i="7"/>
  <c r="U6763" i="7"/>
  <c r="T6763" i="7"/>
  <c r="S6763" i="7"/>
  <c r="R6763" i="7"/>
  <c r="Q6763" i="7"/>
  <c r="P6763" i="7"/>
  <c r="O6763" i="7"/>
  <c r="U6762" i="7"/>
  <c r="T6762" i="7"/>
  <c r="S6762" i="7"/>
  <c r="R6762" i="7"/>
  <c r="Q6762" i="7"/>
  <c r="P6762" i="7"/>
  <c r="O6762" i="7"/>
  <c r="U6761" i="7"/>
  <c r="T6761" i="7"/>
  <c r="S6761" i="7"/>
  <c r="R6761" i="7"/>
  <c r="Q6761" i="7"/>
  <c r="P6761" i="7"/>
  <c r="O6761" i="7"/>
  <c r="U6760" i="7"/>
  <c r="T6760" i="7"/>
  <c r="S6760" i="7"/>
  <c r="R6760" i="7"/>
  <c r="Q6760" i="7"/>
  <c r="P6760" i="7"/>
  <c r="O6760" i="7"/>
  <c r="U6759" i="7"/>
  <c r="T6759" i="7"/>
  <c r="S6759" i="7"/>
  <c r="R6759" i="7"/>
  <c r="Q6759" i="7"/>
  <c r="P6759" i="7"/>
  <c r="O6759" i="7"/>
  <c r="U6758" i="7"/>
  <c r="T6758" i="7"/>
  <c r="S6758" i="7"/>
  <c r="R6758" i="7"/>
  <c r="Q6758" i="7"/>
  <c r="P6758" i="7"/>
  <c r="O6758" i="7"/>
  <c r="U6757" i="7"/>
  <c r="T6757" i="7"/>
  <c r="S6757" i="7"/>
  <c r="R6757" i="7"/>
  <c r="Q6757" i="7"/>
  <c r="P6757" i="7"/>
  <c r="O6757" i="7"/>
  <c r="U6756" i="7"/>
  <c r="T6756" i="7"/>
  <c r="S6756" i="7"/>
  <c r="R6756" i="7"/>
  <c r="Q6756" i="7"/>
  <c r="P6756" i="7"/>
  <c r="O6756" i="7"/>
  <c r="U6755" i="7"/>
  <c r="T6755" i="7"/>
  <c r="S6755" i="7"/>
  <c r="R6755" i="7"/>
  <c r="Q6755" i="7"/>
  <c r="P6755" i="7"/>
  <c r="O6755" i="7"/>
  <c r="U6754" i="7"/>
  <c r="T6754" i="7"/>
  <c r="S6754" i="7"/>
  <c r="R6754" i="7"/>
  <c r="Q6754" i="7"/>
  <c r="P6754" i="7"/>
  <c r="O6754" i="7"/>
  <c r="U6753" i="7"/>
  <c r="T6753" i="7"/>
  <c r="S6753" i="7"/>
  <c r="R6753" i="7"/>
  <c r="Q6753" i="7"/>
  <c r="P6753" i="7"/>
  <c r="O6753" i="7"/>
  <c r="U6752" i="7"/>
  <c r="T6752" i="7"/>
  <c r="S6752" i="7"/>
  <c r="R6752" i="7"/>
  <c r="Q6752" i="7"/>
  <c r="P6752" i="7"/>
  <c r="O6752" i="7"/>
  <c r="U6751" i="7"/>
  <c r="T6751" i="7"/>
  <c r="S6751" i="7"/>
  <c r="R6751" i="7"/>
  <c r="Q6751" i="7"/>
  <c r="P6751" i="7"/>
  <c r="O6751" i="7"/>
  <c r="U6750" i="7"/>
  <c r="T6750" i="7"/>
  <c r="S6750" i="7"/>
  <c r="R6750" i="7"/>
  <c r="Q6750" i="7"/>
  <c r="P6750" i="7"/>
  <c r="O6750" i="7"/>
  <c r="U6749" i="7"/>
  <c r="T6749" i="7"/>
  <c r="S6749" i="7"/>
  <c r="R6749" i="7"/>
  <c r="Q6749" i="7"/>
  <c r="P6749" i="7"/>
  <c r="O6749" i="7"/>
  <c r="U6748" i="7"/>
  <c r="T6748" i="7"/>
  <c r="S6748" i="7"/>
  <c r="R6748" i="7"/>
  <c r="Q6748" i="7"/>
  <c r="P6748" i="7"/>
  <c r="O6748" i="7"/>
  <c r="U6747" i="7"/>
  <c r="T6747" i="7"/>
  <c r="S6747" i="7"/>
  <c r="R6747" i="7"/>
  <c r="Q6747" i="7"/>
  <c r="P6747" i="7"/>
  <c r="O6747" i="7"/>
  <c r="U6746" i="7"/>
  <c r="T6746" i="7"/>
  <c r="S6746" i="7"/>
  <c r="R6746" i="7"/>
  <c r="Q6746" i="7"/>
  <c r="P6746" i="7"/>
  <c r="O6746" i="7"/>
  <c r="U6745" i="7"/>
  <c r="T6745" i="7"/>
  <c r="S6745" i="7"/>
  <c r="R6745" i="7"/>
  <c r="Q6745" i="7"/>
  <c r="P6745" i="7"/>
  <c r="O6745" i="7"/>
  <c r="U6744" i="7"/>
  <c r="T6744" i="7"/>
  <c r="S6744" i="7"/>
  <c r="R6744" i="7"/>
  <c r="Q6744" i="7"/>
  <c r="P6744" i="7"/>
  <c r="O6744" i="7"/>
  <c r="U6743" i="7"/>
  <c r="T6743" i="7"/>
  <c r="S6743" i="7"/>
  <c r="R6743" i="7"/>
  <c r="Q6743" i="7"/>
  <c r="P6743" i="7"/>
  <c r="O6743" i="7"/>
  <c r="U6742" i="7"/>
  <c r="T6742" i="7"/>
  <c r="S6742" i="7"/>
  <c r="R6742" i="7"/>
  <c r="Q6742" i="7"/>
  <c r="P6742" i="7"/>
  <c r="O6742" i="7"/>
  <c r="U6741" i="7"/>
  <c r="T6741" i="7"/>
  <c r="S6741" i="7"/>
  <c r="R6741" i="7"/>
  <c r="Q6741" i="7"/>
  <c r="P6741" i="7"/>
  <c r="O6741" i="7"/>
  <c r="U6740" i="7"/>
  <c r="T6740" i="7"/>
  <c r="S6740" i="7"/>
  <c r="R6740" i="7"/>
  <c r="Q6740" i="7"/>
  <c r="P6740" i="7"/>
  <c r="O6740" i="7"/>
  <c r="U6739" i="7"/>
  <c r="T6739" i="7"/>
  <c r="S6739" i="7"/>
  <c r="R6739" i="7"/>
  <c r="Q6739" i="7"/>
  <c r="P6739" i="7"/>
  <c r="O6739" i="7"/>
  <c r="U6738" i="7"/>
  <c r="T6738" i="7"/>
  <c r="S6738" i="7"/>
  <c r="R6738" i="7"/>
  <c r="Q6738" i="7"/>
  <c r="P6738" i="7"/>
  <c r="O6738" i="7"/>
  <c r="U6737" i="7"/>
  <c r="T6737" i="7"/>
  <c r="S6737" i="7"/>
  <c r="R6737" i="7"/>
  <c r="Q6737" i="7"/>
  <c r="P6737" i="7"/>
  <c r="O6737" i="7"/>
  <c r="U6736" i="7"/>
  <c r="T6736" i="7"/>
  <c r="S6736" i="7"/>
  <c r="R6736" i="7"/>
  <c r="Q6736" i="7"/>
  <c r="P6736" i="7"/>
  <c r="O6736" i="7"/>
  <c r="U6735" i="7"/>
  <c r="T6735" i="7"/>
  <c r="S6735" i="7"/>
  <c r="R6735" i="7"/>
  <c r="Q6735" i="7"/>
  <c r="P6735" i="7"/>
  <c r="O6735" i="7"/>
  <c r="U6734" i="7"/>
  <c r="T6734" i="7"/>
  <c r="S6734" i="7"/>
  <c r="R6734" i="7"/>
  <c r="Q6734" i="7"/>
  <c r="P6734" i="7"/>
  <c r="O6734" i="7"/>
  <c r="U6733" i="7"/>
  <c r="T6733" i="7"/>
  <c r="S6733" i="7"/>
  <c r="R6733" i="7"/>
  <c r="Q6733" i="7"/>
  <c r="P6733" i="7"/>
  <c r="O6733" i="7"/>
  <c r="U6732" i="7"/>
  <c r="T6732" i="7"/>
  <c r="S6732" i="7"/>
  <c r="R6732" i="7"/>
  <c r="Q6732" i="7"/>
  <c r="P6732" i="7"/>
  <c r="O6732" i="7"/>
  <c r="U6731" i="7"/>
  <c r="T6731" i="7"/>
  <c r="S6731" i="7"/>
  <c r="R6731" i="7"/>
  <c r="Q6731" i="7"/>
  <c r="P6731" i="7"/>
  <c r="O6731" i="7"/>
  <c r="U6730" i="7"/>
  <c r="T6730" i="7"/>
  <c r="S6730" i="7"/>
  <c r="R6730" i="7"/>
  <c r="Q6730" i="7"/>
  <c r="P6730" i="7"/>
  <c r="O6730" i="7"/>
  <c r="U6729" i="7"/>
  <c r="T6729" i="7"/>
  <c r="S6729" i="7"/>
  <c r="R6729" i="7"/>
  <c r="Q6729" i="7"/>
  <c r="P6729" i="7"/>
  <c r="O6729" i="7"/>
  <c r="U6728" i="7"/>
  <c r="T6728" i="7"/>
  <c r="S6728" i="7"/>
  <c r="R6728" i="7"/>
  <c r="Q6728" i="7"/>
  <c r="P6728" i="7"/>
  <c r="O6728" i="7"/>
  <c r="U6727" i="7"/>
  <c r="T6727" i="7"/>
  <c r="S6727" i="7"/>
  <c r="R6727" i="7"/>
  <c r="Q6727" i="7"/>
  <c r="P6727" i="7"/>
  <c r="O6727" i="7"/>
  <c r="U6726" i="7"/>
  <c r="T6726" i="7"/>
  <c r="S6726" i="7"/>
  <c r="R6726" i="7"/>
  <c r="Q6726" i="7"/>
  <c r="P6726" i="7"/>
  <c r="O6726" i="7"/>
  <c r="U6725" i="7"/>
  <c r="T6725" i="7"/>
  <c r="S6725" i="7"/>
  <c r="R6725" i="7"/>
  <c r="Q6725" i="7"/>
  <c r="P6725" i="7"/>
  <c r="O6725" i="7"/>
  <c r="U6724" i="7"/>
  <c r="T6724" i="7"/>
  <c r="S6724" i="7"/>
  <c r="R6724" i="7"/>
  <c r="Q6724" i="7"/>
  <c r="P6724" i="7"/>
  <c r="O6724" i="7"/>
  <c r="U6723" i="7"/>
  <c r="T6723" i="7"/>
  <c r="S6723" i="7"/>
  <c r="R6723" i="7"/>
  <c r="Q6723" i="7"/>
  <c r="P6723" i="7"/>
  <c r="O6723" i="7"/>
  <c r="U6722" i="7"/>
  <c r="T6722" i="7"/>
  <c r="S6722" i="7"/>
  <c r="R6722" i="7"/>
  <c r="Q6722" i="7"/>
  <c r="P6722" i="7"/>
  <c r="O6722" i="7"/>
  <c r="U6721" i="7"/>
  <c r="T6721" i="7"/>
  <c r="S6721" i="7"/>
  <c r="R6721" i="7"/>
  <c r="Q6721" i="7"/>
  <c r="P6721" i="7"/>
  <c r="O6721" i="7"/>
  <c r="U6720" i="7"/>
  <c r="T6720" i="7"/>
  <c r="S6720" i="7"/>
  <c r="R6720" i="7"/>
  <c r="Q6720" i="7"/>
  <c r="P6720" i="7"/>
  <c r="O6720" i="7"/>
  <c r="U6719" i="7"/>
  <c r="T6719" i="7"/>
  <c r="S6719" i="7"/>
  <c r="R6719" i="7"/>
  <c r="Q6719" i="7"/>
  <c r="P6719" i="7"/>
  <c r="O6719" i="7"/>
  <c r="U6718" i="7"/>
  <c r="T6718" i="7"/>
  <c r="S6718" i="7"/>
  <c r="R6718" i="7"/>
  <c r="Q6718" i="7"/>
  <c r="P6718" i="7"/>
  <c r="O6718" i="7"/>
  <c r="U6717" i="7"/>
  <c r="T6717" i="7"/>
  <c r="S6717" i="7"/>
  <c r="R6717" i="7"/>
  <c r="Q6717" i="7"/>
  <c r="P6717" i="7"/>
  <c r="O6717" i="7"/>
  <c r="U6716" i="7"/>
  <c r="T6716" i="7"/>
  <c r="S6716" i="7"/>
  <c r="R6716" i="7"/>
  <c r="Q6716" i="7"/>
  <c r="P6716" i="7"/>
  <c r="O6716" i="7"/>
  <c r="U6715" i="7"/>
  <c r="T6715" i="7"/>
  <c r="S6715" i="7"/>
  <c r="R6715" i="7"/>
  <c r="Q6715" i="7"/>
  <c r="P6715" i="7"/>
  <c r="O6715" i="7"/>
  <c r="U6714" i="7"/>
  <c r="T6714" i="7"/>
  <c r="S6714" i="7"/>
  <c r="R6714" i="7"/>
  <c r="Q6714" i="7"/>
  <c r="P6714" i="7"/>
  <c r="O6714" i="7"/>
  <c r="U6713" i="7"/>
  <c r="T6713" i="7"/>
  <c r="S6713" i="7"/>
  <c r="R6713" i="7"/>
  <c r="Q6713" i="7"/>
  <c r="P6713" i="7"/>
  <c r="O6713" i="7"/>
  <c r="U6712" i="7"/>
  <c r="T6712" i="7"/>
  <c r="S6712" i="7"/>
  <c r="R6712" i="7"/>
  <c r="Q6712" i="7"/>
  <c r="P6712" i="7"/>
  <c r="O6712" i="7"/>
  <c r="U6711" i="7"/>
  <c r="T6711" i="7"/>
  <c r="S6711" i="7"/>
  <c r="R6711" i="7"/>
  <c r="Q6711" i="7"/>
  <c r="P6711" i="7"/>
  <c r="O6711" i="7"/>
  <c r="U6710" i="7"/>
  <c r="T6710" i="7"/>
  <c r="S6710" i="7"/>
  <c r="R6710" i="7"/>
  <c r="Q6710" i="7"/>
  <c r="P6710" i="7"/>
  <c r="O6710" i="7"/>
  <c r="U6709" i="7"/>
  <c r="T6709" i="7"/>
  <c r="S6709" i="7"/>
  <c r="R6709" i="7"/>
  <c r="Q6709" i="7"/>
  <c r="P6709" i="7"/>
  <c r="O6709" i="7"/>
  <c r="U6708" i="7"/>
  <c r="T6708" i="7"/>
  <c r="S6708" i="7"/>
  <c r="R6708" i="7"/>
  <c r="Q6708" i="7"/>
  <c r="P6708" i="7"/>
  <c r="O6708" i="7"/>
  <c r="U6707" i="7"/>
  <c r="T6707" i="7"/>
  <c r="S6707" i="7"/>
  <c r="R6707" i="7"/>
  <c r="Q6707" i="7"/>
  <c r="P6707" i="7"/>
  <c r="O6707" i="7"/>
  <c r="U6706" i="7"/>
  <c r="T6706" i="7"/>
  <c r="S6706" i="7"/>
  <c r="R6706" i="7"/>
  <c r="Q6706" i="7"/>
  <c r="P6706" i="7"/>
  <c r="O6706" i="7"/>
  <c r="U6705" i="7"/>
  <c r="T6705" i="7"/>
  <c r="S6705" i="7"/>
  <c r="R6705" i="7"/>
  <c r="Q6705" i="7"/>
  <c r="P6705" i="7"/>
  <c r="O6705" i="7"/>
  <c r="U6704" i="7"/>
  <c r="T6704" i="7"/>
  <c r="S6704" i="7"/>
  <c r="R6704" i="7"/>
  <c r="Q6704" i="7"/>
  <c r="P6704" i="7"/>
  <c r="O6704" i="7"/>
  <c r="U6703" i="7"/>
  <c r="T6703" i="7"/>
  <c r="S6703" i="7"/>
  <c r="R6703" i="7"/>
  <c r="Q6703" i="7"/>
  <c r="P6703" i="7"/>
  <c r="O6703" i="7"/>
  <c r="U6702" i="7"/>
  <c r="T6702" i="7"/>
  <c r="S6702" i="7"/>
  <c r="R6702" i="7"/>
  <c r="Q6702" i="7"/>
  <c r="P6702" i="7"/>
  <c r="O6702" i="7"/>
  <c r="U6701" i="7"/>
  <c r="T6701" i="7"/>
  <c r="S6701" i="7"/>
  <c r="R6701" i="7"/>
  <c r="Q6701" i="7"/>
  <c r="P6701" i="7"/>
  <c r="O6701" i="7"/>
  <c r="U6700" i="7"/>
  <c r="T6700" i="7"/>
  <c r="S6700" i="7"/>
  <c r="R6700" i="7"/>
  <c r="Q6700" i="7"/>
  <c r="P6700" i="7"/>
  <c r="O6700" i="7"/>
  <c r="U6699" i="7"/>
  <c r="T6699" i="7"/>
  <c r="S6699" i="7"/>
  <c r="R6699" i="7"/>
  <c r="Q6699" i="7"/>
  <c r="P6699" i="7"/>
  <c r="O6699" i="7"/>
  <c r="U6698" i="7"/>
  <c r="T6698" i="7"/>
  <c r="S6698" i="7"/>
  <c r="R6698" i="7"/>
  <c r="Q6698" i="7"/>
  <c r="P6698" i="7"/>
  <c r="O6698" i="7"/>
  <c r="U6697" i="7"/>
  <c r="T6697" i="7"/>
  <c r="S6697" i="7"/>
  <c r="R6697" i="7"/>
  <c r="Q6697" i="7"/>
  <c r="P6697" i="7"/>
  <c r="O6697" i="7"/>
  <c r="U6696" i="7"/>
  <c r="T6696" i="7"/>
  <c r="S6696" i="7"/>
  <c r="R6696" i="7"/>
  <c r="Q6696" i="7"/>
  <c r="P6696" i="7"/>
  <c r="O6696" i="7"/>
  <c r="U6695" i="7"/>
  <c r="T6695" i="7"/>
  <c r="S6695" i="7"/>
  <c r="R6695" i="7"/>
  <c r="Q6695" i="7"/>
  <c r="P6695" i="7"/>
  <c r="O6695" i="7"/>
  <c r="U6694" i="7"/>
  <c r="T6694" i="7"/>
  <c r="S6694" i="7"/>
  <c r="R6694" i="7"/>
  <c r="Q6694" i="7"/>
  <c r="P6694" i="7"/>
  <c r="O6694" i="7"/>
  <c r="U6693" i="7"/>
  <c r="T6693" i="7"/>
  <c r="S6693" i="7"/>
  <c r="R6693" i="7"/>
  <c r="Q6693" i="7"/>
  <c r="P6693" i="7"/>
  <c r="O6693" i="7"/>
  <c r="U6692" i="7"/>
  <c r="T6692" i="7"/>
  <c r="S6692" i="7"/>
  <c r="R6692" i="7"/>
  <c r="Q6692" i="7"/>
  <c r="P6692" i="7"/>
  <c r="O6692" i="7"/>
  <c r="U6691" i="7"/>
  <c r="T6691" i="7"/>
  <c r="S6691" i="7"/>
  <c r="R6691" i="7"/>
  <c r="Q6691" i="7"/>
  <c r="P6691" i="7"/>
  <c r="O6691" i="7"/>
  <c r="U6690" i="7"/>
  <c r="T6690" i="7"/>
  <c r="S6690" i="7"/>
  <c r="R6690" i="7"/>
  <c r="Q6690" i="7"/>
  <c r="P6690" i="7"/>
  <c r="O6690" i="7"/>
  <c r="U6689" i="7"/>
  <c r="T6689" i="7"/>
  <c r="S6689" i="7"/>
  <c r="R6689" i="7"/>
  <c r="Q6689" i="7"/>
  <c r="P6689" i="7"/>
  <c r="O6689" i="7"/>
  <c r="U6688" i="7"/>
  <c r="T6688" i="7"/>
  <c r="S6688" i="7"/>
  <c r="R6688" i="7"/>
  <c r="Q6688" i="7"/>
  <c r="P6688" i="7"/>
  <c r="O6688" i="7"/>
  <c r="U6687" i="7"/>
  <c r="T6687" i="7"/>
  <c r="S6687" i="7"/>
  <c r="R6687" i="7"/>
  <c r="Q6687" i="7"/>
  <c r="P6687" i="7"/>
  <c r="O6687" i="7"/>
  <c r="U6686" i="7"/>
  <c r="T6686" i="7"/>
  <c r="S6686" i="7"/>
  <c r="R6686" i="7"/>
  <c r="Q6686" i="7"/>
  <c r="P6686" i="7"/>
  <c r="O6686" i="7"/>
  <c r="U6685" i="7"/>
  <c r="T6685" i="7"/>
  <c r="S6685" i="7"/>
  <c r="R6685" i="7"/>
  <c r="Q6685" i="7"/>
  <c r="P6685" i="7"/>
  <c r="O6685" i="7"/>
  <c r="U6684" i="7"/>
  <c r="T6684" i="7"/>
  <c r="S6684" i="7"/>
  <c r="R6684" i="7"/>
  <c r="Q6684" i="7"/>
  <c r="P6684" i="7"/>
  <c r="O6684" i="7"/>
  <c r="U6683" i="7"/>
  <c r="T6683" i="7"/>
  <c r="S6683" i="7"/>
  <c r="R6683" i="7"/>
  <c r="Q6683" i="7"/>
  <c r="P6683" i="7"/>
  <c r="O6683" i="7"/>
  <c r="U6682" i="7"/>
  <c r="T6682" i="7"/>
  <c r="S6682" i="7"/>
  <c r="R6682" i="7"/>
  <c r="Q6682" i="7"/>
  <c r="P6682" i="7"/>
  <c r="O6682" i="7"/>
  <c r="U6681" i="7"/>
  <c r="T6681" i="7"/>
  <c r="S6681" i="7"/>
  <c r="R6681" i="7"/>
  <c r="Q6681" i="7"/>
  <c r="P6681" i="7"/>
  <c r="O6681" i="7"/>
  <c r="U6680" i="7"/>
  <c r="T6680" i="7"/>
  <c r="S6680" i="7"/>
  <c r="R6680" i="7"/>
  <c r="Q6680" i="7"/>
  <c r="P6680" i="7"/>
  <c r="O6680" i="7"/>
  <c r="U6679" i="7"/>
  <c r="T6679" i="7"/>
  <c r="S6679" i="7"/>
  <c r="R6679" i="7"/>
  <c r="Q6679" i="7"/>
  <c r="P6679" i="7"/>
  <c r="O6679" i="7"/>
  <c r="U6678" i="7"/>
  <c r="T6678" i="7"/>
  <c r="S6678" i="7"/>
  <c r="R6678" i="7"/>
  <c r="Q6678" i="7"/>
  <c r="P6678" i="7"/>
  <c r="O6678" i="7"/>
  <c r="U6677" i="7"/>
  <c r="T6677" i="7"/>
  <c r="S6677" i="7"/>
  <c r="R6677" i="7"/>
  <c r="Q6677" i="7"/>
  <c r="P6677" i="7"/>
  <c r="O6677" i="7"/>
  <c r="U6676" i="7"/>
  <c r="T6676" i="7"/>
  <c r="S6676" i="7"/>
  <c r="R6676" i="7"/>
  <c r="Q6676" i="7"/>
  <c r="P6676" i="7"/>
  <c r="O6676" i="7"/>
  <c r="U6675" i="7"/>
  <c r="T6675" i="7"/>
  <c r="S6675" i="7"/>
  <c r="R6675" i="7"/>
  <c r="Q6675" i="7"/>
  <c r="P6675" i="7"/>
  <c r="O6675" i="7"/>
  <c r="U6674" i="7"/>
  <c r="T6674" i="7"/>
  <c r="S6674" i="7"/>
  <c r="R6674" i="7"/>
  <c r="Q6674" i="7"/>
  <c r="P6674" i="7"/>
  <c r="O6674" i="7"/>
  <c r="U6673" i="7"/>
  <c r="T6673" i="7"/>
  <c r="S6673" i="7"/>
  <c r="R6673" i="7"/>
  <c r="Q6673" i="7"/>
  <c r="P6673" i="7"/>
  <c r="O6673" i="7"/>
  <c r="U6672" i="7"/>
  <c r="T6672" i="7"/>
  <c r="S6672" i="7"/>
  <c r="R6672" i="7"/>
  <c r="Q6672" i="7"/>
  <c r="P6672" i="7"/>
  <c r="O6672" i="7"/>
  <c r="U6671" i="7"/>
  <c r="T6671" i="7"/>
  <c r="S6671" i="7"/>
  <c r="R6671" i="7"/>
  <c r="Q6671" i="7"/>
  <c r="P6671" i="7"/>
  <c r="O6671" i="7"/>
  <c r="U6670" i="7"/>
  <c r="T6670" i="7"/>
  <c r="S6670" i="7"/>
  <c r="R6670" i="7"/>
  <c r="Q6670" i="7"/>
  <c r="P6670" i="7"/>
  <c r="O6670" i="7"/>
  <c r="U6669" i="7"/>
  <c r="T6669" i="7"/>
  <c r="S6669" i="7"/>
  <c r="R6669" i="7"/>
  <c r="Q6669" i="7"/>
  <c r="P6669" i="7"/>
  <c r="O6669" i="7"/>
  <c r="U6668" i="7"/>
  <c r="T6668" i="7"/>
  <c r="S6668" i="7"/>
  <c r="R6668" i="7"/>
  <c r="Q6668" i="7"/>
  <c r="P6668" i="7"/>
  <c r="O6668" i="7"/>
  <c r="U6667" i="7"/>
  <c r="T6667" i="7"/>
  <c r="S6667" i="7"/>
  <c r="R6667" i="7"/>
  <c r="Q6667" i="7"/>
  <c r="P6667" i="7"/>
  <c r="O6667" i="7"/>
  <c r="U6666" i="7"/>
  <c r="T6666" i="7"/>
  <c r="S6666" i="7"/>
  <c r="R6666" i="7"/>
  <c r="Q6666" i="7"/>
  <c r="P6666" i="7"/>
  <c r="O6666" i="7"/>
  <c r="U6665" i="7"/>
  <c r="T6665" i="7"/>
  <c r="S6665" i="7"/>
  <c r="R6665" i="7"/>
  <c r="Q6665" i="7"/>
  <c r="P6665" i="7"/>
  <c r="O6665" i="7"/>
  <c r="U6664" i="7"/>
  <c r="T6664" i="7"/>
  <c r="S6664" i="7"/>
  <c r="R6664" i="7"/>
  <c r="Q6664" i="7"/>
  <c r="P6664" i="7"/>
  <c r="O6664" i="7"/>
  <c r="U6663" i="7"/>
  <c r="T6663" i="7"/>
  <c r="S6663" i="7"/>
  <c r="R6663" i="7"/>
  <c r="Q6663" i="7"/>
  <c r="P6663" i="7"/>
  <c r="O6663" i="7"/>
  <c r="U6662" i="7"/>
  <c r="T6662" i="7"/>
  <c r="S6662" i="7"/>
  <c r="R6662" i="7"/>
  <c r="Q6662" i="7"/>
  <c r="P6662" i="7"/>
  <c r="O6662" i="7"/>
  <c r="U6661" i="7"/>
  <c r="T6661" i="7"/>
  <c r="S6661" i="7"/>
  <c r="R6661" i="7"/>
  <c r="Q6661" i="7"/>
  <c r="P6661" i="7"/>
  <c r="O6661" i="7"/>
  <c r="U6660" i="7"/>
  <c r="T6660" i="7"/>
  <c r="S6660" i="7"/>
  <c r="R6660" i="7"/>
  <c r="Q6660" i="7"/>
  <c r="P6660" i="7"/>
  <c r="O6660" i="7"/>
  <c r="U6659" i="7"/>
  <c r="T6659" i="7"/>
  <c r="S6659" i="7"/>
  <c r="R6659" i="7"/>
  <c r="Q6659" i="7"/>
  <c r="P6659" i="7"/>
  <c r="O6659" i="7"/>
  <c r="U6658" i="7"/>
  <c r="T6658" i="7"/>
  <c r="S6658" i="7"/>
  <c r="R6658" i="7"/>
  <c r="Q6658" i="7"/>
  <c r="P6658" i="7"/>
  <c r="O6658" i="7"/>
  <c r="U6657" i="7"/>
  <c r="T6657" i="7"/>
  <c r="S6657" i="7"/>
  <c r="R6657" i="7"/>
  <c r="Q6657" i="7"/>
  <c r="P6657" i="7"/>
  <c r="O6657" i="7"/>
  <c r="U6656" i="7"/>
  <c r="T6656" i="7"/>
  <c r="S6656" i="7"/>
  <c r="R6656" i="7"/>
  <c r="Q6656" i="7"/>
  <c r="P6656" i="7"/>
  <c r="O6656" i="7"/>
  <c r="U6655" i="7"/>
  <c r="T6655" i="7"/>
  <c r="S6655" i="7"/>
  <c r="R6655" i="7"/>
  <c r="Q6655" i="7"/>
  <c r="P6655" i="7"/>
  <c r="O6655" i="7"/>
  <c r="U6654" i="7"/>
  <c r="T6654" i="7"/>
  <c r="S6654" i="7"/>
  <c r="R6654" i="7"/>
  <c r="Q6654" i="7"/>
  <c r="P6654" i="7"/>
  <c r="O6654" i="7"/>
  <c r="U6653" i="7"/>
  <c r="T6653" i="7"/>
  <c r="S6653" i="7"/>
  <c r="R6653" i="7"/>
  <c r="Q6653" i="7"/>
  <c r="P6653" i="7"/>
  <c r="O6653" i="7"/>
  <c r="U6652" i="7"/>
  <c r="T6652" i="7"/>
  <c r="S6652" i="7"/>
  <c r="R6652" i="7"/>
  <c r="Q6652" i="7"/>
  <c r="P6652" i="7"/>
  <c r="O6652" i="7"/>
  <c r="U6651" i="7"/>
  <c r="T6651" i="7"/>
  <c r="S6651" i="7"/>
  <c r="R6651" i="7"/>
  <c r="Q6651" i="7"/>
  <c r="P6651" i="7"/>
  <c r="O6651" i="7"/>
  <c r="U6650" i="7"/>
  <c r="T6650" i="7"/>
  <c r="S6650" i="7"/>
  <c r="R6650" i="7"/>
  <c r="Q6650" i="7"/>
  <c r="P6650" i="7"/>
  <c r="O6650" i="7"/>
  <c r="U6649" i="7"/>
  <c r="T6649" i="7"/>
  <c r="S6649" i="7"/>
  <c r="R6649" i="7"/>
  <c r="Q6649" i="7"/>
  <c r="P6649" i="7"/>
  <c r="O6649" i="7"/>
  <c r="U6648" i="7"/>
  <c r="T6648" i="7"/>
  <c r="S6648" i="7"/>
  <c r="R6648" i="7"/>
  <c r="Q6648" i="7"/>
  <c r="P6648" i="7"/>
  <c r="O6648" i="7"/>
  <c r="U6647" i="7"/>
  <c r="T6647" i="7"/>
  <c r="S6647" i="7"/>
  <c r="R6647" i="7"/>
  <c r="Q6647" i="7"/>
  <c r="P6647" i="7"/>
  <c r="O6647" i="7"/>
  <c r="U6646" i="7"/>
  <c r="T6646" i="7"/>
  <c r="S6646" i="7"/>
  <c r="R6646" i="7"/>
  <c r="Q6646" i="7"/>
  <c r="P6646" i="7"/>
  <c r="O6646" i="7"/>
  <c r="U6645" i="7"/>
  <c r="T6645" i="7"/>
  <c r="S6645" i="7"/>
  <c r="R6645" i="7"/>
  <c r="Q6645" i="7"/>
  <c r="P6645" i="7"/>
  <c r="O6645" i="7"/>
  <c r="U6644" i="7"/>
  <c r="T6644" i="7"/>
  <c r="S6644" i="7"/>
  <c r="R6644" i="7"/>
  <c r="Q6644" i="7"/>
  <c r="P6644" i="7"/>
  <c r="O6644" i="7"/>
  <c r="U6643" i="7"/>
  <c r="T6643" i="7"/>
  <c r="S6643" i="7"/>
  <c r="R6643" i="7"/>
  <c r="Q6643" i="7"/>
  <c r="P6643" i="7"/>
  <c r="O6643" i="7"/>
  <c r="U6642" i="7"/>
  <c r="T6642" i="7"/>
  <c r="S6642" i="7"/>
  <c r="R6642" i="7"/>
  <c r="Q6642" i="7"/>
  <c r="P6642" i="7"/>
  <c r="O6642" i="7"/>
  <c r="U6641" i="7"/>
  <c r="T6641" i="7"/>
  <c r="S6641" i="7"/>
  <c r="R6641" i="7"/>
  <c r="Q6641" i="7"/>
  <c r="P6641" i="7"/>
  <c r="O6641" i="7"/>
  <c r="U6640" i="7"/>
  <c r="T6640" i="7"/>
  <c r="S6640" i="7"/>
  <c r="R6640" i="7"/>
  <c r="Q6640" i="7"/>
  <c r="P6640" i="7"/>
  <c r="O6640" i="7"/>
  <c r="U6639" i="7"/>
  <c r="T6639" i="7"/>
  <c r="S6639" i="7"/>
  <c r="R6639" i="7"/>
  <c r="Q6639" i="7"/>
  <c r="P6639" i="7"/>
  <c r="O6639" i="7"/>
  <c r="U6638" i="7"/>
  <c r="T6638" i="7"/>
  <c r="S6638" i="7"/>
  <c r="R6638" i="7"/>
  <c r="Q6638" i="7"/>
  <c r="P6638" i="7"/>
  <c r="O6638" i="7"/>
  <c r="U6637" i="7"/>
  <c r="T6637" i="7"/>
  <c r="S6637" i="7"/>
  <c r="R6637" i="7"/>
  <c r="Q6637" i="7"/>
  <c r="P6637" i="7"/>
  <c r="O6637" i="7"/>
  <c r="U6636" i="7"/>
  <c r="T6636" i="7"/>
  <c r="S6636" i="7"/>
  <c r="R6636" i="7"/>
  <c r="Q6636" i="7"/>
  <c r="P6636" i="7"/>
  <c r="O6636" i="7"/>
  <c r="U6635" i="7"/>
  <c r="T6635" i="7"/>
  <c r="S6635" i="7"/>
  <c r="R6635" i="7"/>
  <c r="Q6635" i="7"/>
  <c r="P6635" i="7"/>
  <c r="O6635" i="7"/>
  <c r="U6634" i="7"/>
  <c r="T6634" i="7"/>
  <c r="S6634" i="7"/>
  <c r="R6634" i="7"/>
  <c r="Q6634" i="7"/>
  <c r="P6634" i="7"/>
  <c r="O6634" i="7"/>
  <c r="U6633" i="7"/>
  <c r="T6633" i="7"/>
  <c r="S6633" i="7"/>
  <c r="R6633" i="7"/>
  <c r="Q6633" i="7"/>
  <c r="P6633" i="7"/>
  <c r="O6633" i="7"/>
  <c r="U6632" i="7"/>
  <c r="T6632" i="7"/>
  <c r="S6632" i="7"/>
  <c r="R6632" i="7"/>
  <c r="Q6632" i="7"/>
  <c r="P6632" i="7"/>
  <c r="O6632" i="7"/>
  <c r="U6631" i="7"/>
  <c r="T6631" i="7"/>
  <c r="S6631" i="7"/>
  <c r="R6631" i="7"/>
  <c r="Q6631" i="7"/>
  <c r="P6631" i="7"/>
  <c r="O6631" i="7"/>
  <c r="U6630" i="7"/>
  <c r="T6630" i="7"/>
  <c r="S6630" i="7"/>
  <c r="R6630" i="7"/>
  <c r="Q6630" i="7"/>
  <c r="P6630" i="7"/>
  <c r="O6630" i="7"/>
  <c r="U6629" i="7"/>
  <c r="T6629" i="7"/>
  <c r="S6629" i="7"/>
  <c r="R6629" i="7"/>
  <c r="Q6629" i="7"/>
  <c r="P6629" i="7"/>
  <c r="O6629" i="7"/>
  <c r="U6628" i="7"/>
  <c r="T6628" i="7"/>
  <c r="S6628" i="7"/>
  <c r="R6628" i="7"/>
  <c r="Q6628" i="7"/>
  <c r="P6628" i="7"/>
  <c r="O6628" i="7"/>
  <c r="U6627" i="7"/>
  <c r="T6627" i="7"/>
  <c r="S6627" i="7"/>
  <c r="R6627" i="7"/>
  <c r="Q6627" i="7"/>
  <c r="P6627" i="7"/>
  <c r="O6627" i="7"/>
  <c r="U6626" i="7"/>
  <c r="T6626" i="7"/>
  <c r="S6626" i="7"/>
  <c r="R6626" i="7"/>
  <c r="Q6626" i="7"/>
  <c r="P6626" i="7"/>
  <c r="O6626" i="7"/>
  <c r="U6625" i="7"/>
  <c r="T6625" i="7"/>
  <c r="S6625" i="7"/>
  <c r="R6625" i="7"/>
  <c r="Q6625" i="7"/>
  <c r="P6625" i="7"/>
  <c r="O6625" i="7"/>
  <c r="U6624" i="7"/>
  <c r="T6624" i="7"/>
  <c r="S6624" i="7"/>
  <c r="R6624" i="7"/>
  <c r="Q6624" i="7"/>
  <c r="P6624" i="7"/>
  <c r="O6624" i="7"/>
  <c r="U6623" i="7"/>
  <c r="T6623" i="7"/>
  <c r="S6623" i="7"/>
  <c r="R6623" i="7"/>
  <c r="Q6623" i="7"/>
  <c r="P6623" i="7"/>
  <c r="O6623" i="7"/>
  <c r="U6622" i="7"/>
  <c r="T6622" i="7"/>
  <c r="S6622" i="7"/>
  <c r="R6622" i="7"/>
  <c r="Q6622" i="7"/>
  <c r="P6622" i="7"/>
  <c r="O6622" i="7"/>
  <c r="U6621" i="7"/>
  <c r="T6621" i="7"/>
  <c r="S6621" i="7"/>
  <c r="R6621" i="7"/>
  <c r="Q6621" i="7"/>
  <c r="P6621" i="7"/>
  <c r="O6621" i="7"/>
  <c r="U6620" i="7"/>
  <c r="T6620" i="7"/>
  <c r="S6620" i="7"/>
  <c r="R6620" i="7"/>
  <c r="Q6620" i="7"/>
  <c r="P6620" i="7"/>
  <c r="O6620" i="7"/>
  <c r="U6619" i="7"/>
  <c r="T6619" i="7"/>
  <c r="S6619" i="7"/>
  <c r="R6619" i="7"/>
  <c r="Q6619" i="7"/>
  <c r="P6619" i="7"/>
  <c r="O6619" i="7"/>
  <c r="U6618" i="7"/>
  <c r="T6618" i="7"/>
  <c r="S6618" i="7"/>
  <c r="R6618" i="7"/>
  <c r="Q6618" i="7"/>
  <c r="P6618" i="7"/>
  <c r="O6618" i="7"/>
  <c r="U6617" i="7"/>
  <c r="T6617" i="7"/>
  <c r="S6617" i="7"/>
  <c r="R6617" i="7"/>
  <c r="Q6617" i="7"/>
  <c r="P6617" i="7"/>
  <c r="O6617" i="7"/>
  <c r="U6616" i="7"/>
  <c r="T6616" i="7"/>
  <c r="S6616" i="7"/>
  <c r="R6616" i="7"/>
  <c r="Q6616" i="7"/>
  <c r="P6616" i="7"/>
  <c r="O6616" i="7"/>
  <c r="U6615" i="7"/>
  <c r="T6615" i="7"/>
  <c r="S6615" i="7"/>
  <c r="R6615" i="7"/>
  <c r="Q6615" i="7"/>
  <c r="P6615" i="7"/>
  <c r="O6615" i="7"/>
  <c r="U6614" i="7"/>
  <c r="T6614" i="7"/>
  <c r="S6614" i="7"/>
  <c r="R6614" i="7"/>
  <c r="Q6614" i="7"/>
  <c r="P6614" i="7"/>
  <c r="O6614" i="7"/>
  <c r="U6613" i="7"/>
  <c r="T6613" i="7"/>
  <c r="S6613" i="7"/>
  <c r="R6613" i="7"/>
  <c r="Q6613" i="7"/>
  <c r="P6613" i="7"/>
  <c r="O6613" i="7"/>
  <c r="U6612" i="7"/>
  <c r="T6612" i="7"/>
  <c r="S6612" i="7"/>
  <c r="R6612" i="7"/>
  <c r="Q6612" i="7"/>
  <c r="P6612" i="7"/>
  <c r="O6612" i="7"/>
  <c r="U6611" i="7"/>
  <c r="T6611" i="7"/>
  <c r="S6611" i="7"/>
  <c r="R6611" i="7"/>
  <c r="Q6611" i="7"/>
  <c r="P6611" i="7"/>
  <c r="O6611" i="7"/>
  <c r="U6610" i="7"/>
  <c r="T6610" i="7"/>
  <c r="S6610" i="7"/>
  <c r="R6610" i="7"/>
  <c r="Q6610" i="7"/>
  <c r="P6610" i="7"/>
  <c r="O6610" i="7"/>
  <c r="U6609" i="7"/>
  <c r="T6609" i="7"/>
  <c r="S6609" i="7"/>
  <c r="R6609" i="7"/>
  <c r="Q6609" i="7"/>
  <c r="P6609" i="7"/>
  <c r="O6609" i="7"/>
  <c r="U6608" i="7"/>
  <c r="T6608" i="7"/>
  <c r="S6608" i="7"/>
  <c r="R6608" i="7"/>
  <c r="Q6608" i="7"/>
  <c r="P6608" i="7"/>
  <c r="O6608" i="7"/>
  <c r="U6607" i="7"/>
  <c r="T6607" i="7"/>
  <c r="S6607" i="7"/>
  <c r="R6607" i="7"/>
  <c r="Q6607" i="7"/>
  <c r="P6607" i="7"/>
  <c r="O6607" i="7"/>
  <c r="U6606" i="7"/>
  <c r="T6606" i="7"/>
  <c r="S6606" i="7"/>
  <c r="R6606" i="7"/>
  <c r="Q6606" i="7"/>
  <c r="P6606" i="7"/>
  <c r="O6606" i="7"/>
  <c r="U6605" i="7"/>
  <c r="T6605" i="7"/>
  <c r="S6605" i="7"/>
  <c r="R6605" i="7"/>
  <c r="Q6605" i="7"/>
  <c r="P6605" i="7"/>
  <c r="O6605" i="7"/>
  <c r="U6604" i="7"/>
  <c r="T6604" i="7"/>
  <c r="S6604" i="7"/>
  <c r="R6604" i="7"/>
  <c r="Q6604" i="7"/>
  <c r="P6604" i="7"/>
  <c r="O6604" i="7"/>
  <c r="U6603" i="7"/>
  <c r="T6603" i="7"/>
  <c r="S6603" i="7"/>
  <c r="R6603" i="7"/>
  <c r="Q6603" i="7"/>
  <c r="P6603" i="7"/>
  <c r="O6603" i="7"/>
  <c r="U6602" i="7"/>
  <c r="T6602" i="7"/>
  <c r="S6602" i="7"/>
  <c r="R6602" i="7"/>
  <c r="Q6602" i="7"/>
  <c r="P6602" i="7"/>
  <c r="O6602" i="7"/>
  <c r="U6601" i="7"/>
  <c r="T6601" i="7"/>
  <c r="S6601" i="7"/>
  <c r="R6601" i="7"/>
  <c r="Q6601" i="7"/>
  <c r="P6601" i="7"/>
  <c r="O6601" i="7"/>
  <c r="U6600" i="7"/>
  <c r="T6600" i="7"/>
  <c r="S6600" i="7"/>
  <c r="R6600" i="7"/>
  <c r="Q6600" i="7"/>
  <c r="P6600" i="7"/>
  <c r="O6600" i="7"/>
  <c r="U6599" i="7"/>
  <c r="T6599" i="7"/>
  <c r="S6599" i="7"/>
  <c r="R6599" i="7"/>
  <c r="Q6599" i="7"/>
  <c r="P6599" i="7"/>
  <c r="O6599" i="7"/>
  <c r="U6598" i="7"/>
  <c r="T6598" i="7"/>
  <c r="S6598" i="7"/>
  <c r="R6598" i="7"/>
  <c r="Q6598" i="7"/>
  <c r="P6598" i="7"/>
  <c r="O6598" i="7"/>
  <c r="U6597" i="7"/>
  <c r="T6597" i="7"/>
  <c r="S6597" i="7"/>
  <c r="R6597" i="7"/>
  <c r="Q6597" i="7"/>
  <c r="P6597" i="7"/>
  <c r="O6597" i="7"/>
  <c r="U6596" i="7"/>
  <c r="T6596" i="7"/>
  <c r="S6596" i="7"/>
  <c r="R6596" i="7"/>
  <c r="Q6596" i="7"/>
  <c r="P6596" i="7"/>
  <c r="O6596" i="7"/>
  <c r="U6595" i="7"/>
  <c r="T6595" i="7"/>
  <c r="S6595" i="7"/>
  <c r="R6595" i="7"/>
  <c r="Q6595" i="7"/>
  <c r="P6595" i="7"/>
  <c r="O6595" i="7"/>
  <c r="U6594" i="7"/>
  <c r="T6594" i="7"/>
  <c r="S6594" i="7"/>
  <c r="R6594" i="7"/>
  <c r="Q6594" i="7"/>
  <c r="P6594" i="7"/>
  <c r="O6594" i="7"/>
  <c r="U6593" i="7"/>
  <c r="T6593" i="7"/>
  <c r="S6593" i="7"/>
  <c r="R6593" i="7"/>
  <c r="Q6593" i="7"/>
  <c r="P6593" i="7"/>
  <c r="O6593" i="7"/>
  <c r="U6592" i="7"/>
  <c r="T6592" i="7"/>
  <c r="S6592" i="7"/>
  <c r="R6592" i="7"/>
  <c r="Q6592" i="7"/>
  <c r="P6592" i="7"/>
  <c r="O6592" i="7"/>
  <c r="U6591" i="7"/>
  <c r="T6591" i="7"/>
  <c r="S6591" i="7"/>
  <c r="R6591" i="7"/>
  <c r="Q6591" i="7"/>
  <c r="P6591" i="7"/>
  <c r="O6591" i="7"/>
  <c r="U6590" i="7"/>
  <c r="T6590" i="7"/>
  <c r="S6590" i="7"/>
  <c r="R6590" i="7"/>
  <c r="Q6590" i="7"/>
  <c r="P6590" i="7"/>
  <c r="O6590" i="7"/>
  <c r="U6589" i="7"/>
  <c r="T6589" i="7"/>
  <c r="S6589" i="7"/>
  <c r="R6589" i="7"/>
  <c r="Q6589" i="7"/>
  <c r="P6589" i="7"/>
  <c r="O6589" i="7"/>
  <c r="U6588" i="7"/>
  <c r="T6588" i="7"/>
  <c r="S6588" i="7"/>
  <c r="R6588" i="7"/>
  <c r="Q6588" i="7"/>
  <c r="P6588" i="7"/>
  <c r="O6588" i="7"/>
  <c r="U6587" i="7"/>
  <c r="T6587" i="7"/>
  <c r="S6587" i="7"/>
  <c r="R6587" i="7"/>
  <c r="Q6587" i="7"/>
  <c r="P6587" i="7"/>
  <c r="O6587" i="7"/>
  <c r="U6586" i="7"/>
  <c r="T6586" i="7"/>
  <c r="S6586" i="7"/>
  <c r="R6586" i="7"/>
  <c r="Q6586" i="7"/>
  <c r="P6586" i="7"/>
  <c r="O6586" i="7"/>
  <c r="U6585" i="7"/>
  <c r="T6585" i="7"/>
  <c r="S6585" i="7"/>
  <c r="R6585" i="7"/>
  <c r="Q6585" i="7"/>
  <c r="P6585" i="7"/>
  <c r="O6585" i="7"/>
  <c r="U6584" i="7"/>
  <c r="T6584" i="7"/>
  <c r="S6584" i="7"/>
  <c r="R6584" i="7"/>
  <c r="Q6584" i="7"/>
  <c r="P6584" i="7"/>
  <c r="O6584" i="7"/>
  <c r="U6583" i="7"/>
  <c r="T6583" i="7"/>
  <c r="S6583" i="7"/>
  <c r="R6583" i="7"/>
  <c r="Q6583" i="7"/>
  <c r="P6583" i="7"/>
  <c r="O6583" i="7"/>
  <c r="U6582" i="7"/>
  <c r="T6582" i="7"/>
  <c r="S6582" i="7"/>
  <c r="R6582" i="7"/>
  <c r="Q6582" i="7"/>
  <c r="P6582" i="7"/>
  <c r="O6582" i="7"/>
  <c r="U6581" i="7"/>
  <c r="T6581" i="7"/>
  <c r="S6581" i="7"/>
  <c r="R6581" i="7"/>
  <c r="Q6581" i="7"/>
  <c r="P6581" i="7"/>
  <c r="O6581" i="7"/>
  <c r="U6580" i="7"/>
  <c r="T6580" i="7"/>
  <c r="S6580" i="7"/>
  <c r="R6580" i="7"/>
  <c r="Q6580" i="7"/>
  <c r="P6580" i="7"/>
  <c r="O6580" i="7"/>
  <c r="U6579" i="7"/>
  <c r="T6579" i="7"/>
  <c r="S6579" i="7"/>
  <c r="R6579" i="7"/>
  <c r="Q6579" i="7"/>
  <c r="P6579" i="7"/>
  <c r="O6579" i="7"/>
  <c r="U6578" i="7"/>
  <c r="T6578" i="7"/>
  <c r="S6578" i="7"/>
  <c r="R6578" i="7"/>
  <c r="Q6578" i="7"/>
  <c r="P6578" i="7"/>
  <c r="O6578" i="7"/>
  <c r="U6577" i="7"/>
  <c r="T6577" i="7"/>
  <c r="S6577" i="7"/>
  <c r="R6577" i="7"/>
  <c r="Q6577" i="7"/>
  <c r="P6577" i="7"/>
  <c r="O6577" i="7"/>
  <c r="U6576" i="7"/>
  <c r="T6576" i="7"/>
  <c r="S6576" i="7"/>
  <c r="R6576" i="7"/>
  <c r="Q6576" i="7"/>
  <c r="P6576" i="7"/>
  <c r="O6576" i="7"/>
  <c r="U6575" i="7"/>
  <c r="T6575" i="7"/>
  <c r="S6575" i="7"/>
  <c r="R6575" i="7"/>
  <c r="Q6575" i="7"/>
  <c r="P6575" i="7"/>
  <c r="O6575" i="7"/>
  <c r="U6574" i="7"/>
  <c r="T6574" i="7"/>
  <c r="S6574" i="7"/>
  <c r="R6574" i="7"/>
  <c r="Q6574" i="7"/>
  <c r="P6574" i="7"/>
  <c r="O6574" i="7"/>
  <c r="U6573" i="7"/>
  <c r="T6573" i="7"/>
  <c r="S6573" i="7"/>
  <c r="R6573" i="7"/>
  <c r="Q6573" i="7"/>
  <c r="P6573" i="7"/>
  <c r="O6573" i="7"/>
  <c r="U6572" i="7"/>
  <c r="T6572" i="7"/>
  <c r="S6572" i="7"/>
  <c r="R6572" i="7"/>
  <c r="Q6572" i="7"/>
  <c r="P6572" i="7"/>
  <c r="O6572" i="7"/>
  <c r="U6571" i="7"/>
  <c r="T6571" i="7"/>
  <c r="S6571" i="7"/>
  <c r="R6571" i="7"/>
  <c r="Q6571" i="7"/>
  <c r="P6571" i="7"/>
  <c r="O6571" i="7"/>
  <c r="U6570" i="7"/>
  <c r="T6570" i="7"/>
  <c r="S6570" i="7"/>
  <c r="R6570" i="7"/>
  <c r="Q6570" i="7"/>
  <c r="P6570" i="7"/>
  <c r="O6570" i="7"/>
  <c r="U6569" i="7"/>
  <c r="T6569" i="7"/>
  <c r="S6569" i="7"/>
  <c r="R6569" i="7"/>
  <c r="Q6569" i="7"/>
  <c r="P6569" i="7"/>
  <c r="O6569" i="7"/>
  <c r="U6568" i="7"/>
  <c r="T6568" i="7"/>
  <c r="S6568" i="7"/>
  <c r="R6568" i="7"/>
  <c r="Q6568" i="7"/>
  <c r="P6568" i="7"/>
  <c r="O6568" i="7"/>
  <c r="U6567" i="7"/>
  <c r="T6567" i="7"/>
  <c r="S6567" i="7"/>
  <c r="R6567" i="7"/>
  <c r="Q6567" i="7"/>
  <c r="P6567" i="7"/>
  <c r="O6567" i="7"/>
  <c r="U6566" i="7"/>
  <c r="T6566" i="7"/>
  <c r="S6566" i="7"/>
  <c r="R6566" i="7"/>
  <c r="Q6566" i="7"/>
  <c r="P6566" i="7"/>
  <c r="O6566" i="7"/>
  <c r="U6565" i="7"/>
  <c r="T6565" i="7"/>
  <c r="S6565" i="7"/>
  <c r="R6565" i="7"/>
  <c r="Q6565" i="7"/>
  <c r="P6565" i="7"/>
  <c r="O6565" i="7"/>
  <c r="U6564" i="7"/>
  <c r="T6564" i="7"/>
  <c r="S6564" i="7"/>
  <c r="R6564" i="7"/>
  <c r="Q6564" i="7"/>
  <c r="P6564" i="7"/>
  <c r="O6564" i="7"/>
  <c r="U6563" i="7"/>
  <c r="T6563" i="7"/>
  <c r="S6563" i="7"/>
  <c r="R6563" i="7"/>
  <c r="Q6563" i="7"/>
  <c r="P6563" i="7"/>
  <c r="O6563" i="7"/>
  <c r="U6562" i="7"/>
  <c r="T6562" i="7"/>
  <c r="S6562" i="7"/>
  <c r="R6562" i="7"/>
  <c r="Q6562" i="7"/>
  <c r="P6562" i="7"/>
  <c r="O6562" i="7"/>
  <c r="U6561" i="7"/>
  <c r="T6561" i="7"/>
  <c r="S6561" i="7"/>
  <c r="R6561" i="7"/>
  <c r="Q6561" i="7"/>
  <c r="P6561" i="7"/>
  <c r="O6561" i="7"/>
  <c r="U6560" i="7"/>
  <c r="T6560" i="7"/>
  <c r="S6560" i="7"/>
  <c r="R6560" i="7"/>
  <c r="Q6560" i="7"/>
  <c r="P6560" i="7"/>
  <c r="O6560" i="7"/>
  <c r="U6559" i="7"/>
  <c r="T6559" i="7"/>
  <c r="S6559" i="7"/>
  <c r="R6559" i="7"/>
  <c r="Q6559" i="7"/>
  <c r="P6559" i="7"/>
  <c r="O6559" i="7"/>
  <c r="U6558" i="7"/>
  <c r="T6558" i="7"/>
  <c r="S6558" i="7"/>
  <c r="R6558" i="7"/>
  <c r="Q6558" i="7"/>
  <c r="P6558" i="7"/>
  <c r="O6558" i="7"/>
  <c r="U6557" i="7"/>
  <c r="T6557" i="7"/>
  <c r="S6557" i="7"/>
  <c r="R6557" i="7"/>
  <c r="Q6557" i="7"/>
  <c r="P6557" i="7"/>
  <c r="O6557" i="7"/>
  <c r="U6556" i="7"/>
  <c r="T6556" i="7"/>
  <c r="S6556" i="7"/>
  <c r="R6556" i="7"/>
  <c r="Q6556" i="7"/>
  <c r="P6556" i="7"/>
  <c r="O6556" i="7"/>
  <c r="U6555" i="7"/>
  <c r="T6555" i="7"/>
  <c r="S6555" i="7"/>
  <c r="R6555" i="7"/>
  <c r="Q6555" i="7"/>
  <c r="P6555" i="7"/>
  <c r="O6555" i="7"/>
  <c r="U6554" i="7"/>
  <c r="T6554" i="7"/>
  <c r="S6554" i="7"/>
  <c r="R6554" i="7"/>
  <c r="Q6554" i="7"/>
  <c r="P6554" i="7"/>
  <c r="O6554" i="7"/>
  <c r="U6553" i="7"/>
  <c r="T6553" i="7"/>
  <c r="S6553" i="7"/>
  <c r="R6553" i="7"/>
  <c r="Q6553" i="7"/>
  <c r="P6553" i="7"/>
  <c r="O6553" i="7"/>
  <c r="U6552" i="7"/>
  <c r="T6552" i="7"/>
  <c r="S6552" i="7"/>
  <c r="R6552" i="7"/>
  <c r="Q6552" i="7"/>
  <c r="P6552" i="7"/>
  <c r="O6552" i="7"/>
  <c r="U6551" i="7"/>
  <c r="T6551" i="7"/>
  <c r="S6551" i="7"/>
  <c r="R6551" i="7"/>
  <c r="Q6551" i="7"/>
  <c r="P6551" i="7"/>
  <c r="O6551" i="7"/>
  <c r="U6550" i="7"/>
  <c r="T6550" i="7"/>
  <c r="S6550" i="7"/>
  <c r="R6550" i="7"/>
  <c r="Q6550" i="7"/>
  <c r="P6550" i="7"/>
  <c r="O6550" i="7"/>
  <c r="U6549" i="7"/>
  <c r="T6549" i="7"/>
  <c r="S6549" i="7"/>
  <c r="R6549" i="7"/>
  <c r="Q6549" i="7"/>
  <c r="P6549" i="7"/>
  <c r="O6549" i="7"/>
  <c r="U6548" i="7"/>
  <c r="T6548" i="7"/>
  <c r="S6548" i="7"/>
  <c r="R6548" i="7"/>
  <c r="Q6548" i="7"/>
  <c r="P6548" i="7"/>
  <c r="O6548" i="7"/>
  <c r="U6547" i="7"/>
  <c r="T6547" i="7"/>
  <c r="S6547" i="7"/>
  <c r="R6547" i="7"/>
  <c r="Q6547" i="7"/>
  <c r="P6547" i="7"/>
  <c r="O6547" i="7"/>
  <c r="U6546" i="7"/>
  <c r="T6546" i="7"/>
  <c r="S6546" i="7"/>
  <c r="R6546" i="7"/>
  <c r="Q6546" i="7"/>
  <c r="P6546" i="7"/>
  <c r="O6546" i="7"/>
  <c r="U6545" i="7"/>
  <c r="T6545" i="7"/>
  <c r="S6545" i="7"/>
  <c r="R6545" i="7"/>
  <c r="Q6545" i="7"/>
  <c r="P6545" i="7"/>
  <c r="O6545" i="7"/>
  <c r="U6544" i="7"/>
  <c r="T6544" i="7"/>
  <c r="S6544" i="7"/>
  <c r="R6544" i="7"/>
  <c r="Q6544" i="7"/>
  <c r="P6544" i="7"/>
  <c r="O6544" i="7"/>
  <c r="U6543" i="7"/>
  <c r="T6543" i="7"/>
  <c r="S6543" i="7"/>
  <c r="R6543" i="7"/>
  <c r="Q6543" i="7"/>
  <c r="P6543" i="7"/>
  <c r="O6543" i="7"/>
  <c r="U6542" i="7"/>
  <c r="T6542" i="7"/>
  <c r="S6542" i="7"/>
  <c r="R6542" i="7"/>
  <c r="Q6542" i="7"/>
  <c r="P6542" i="7"/>
  <c r="O6542" i="7"/>
  <c r="U6541" i="7"/>
  <c r="T6541" i="7"/>
  <c r="S6541" i="7"/>
  <c r="R6541" i="7"/>
  <c r="Q6541" i="7"/>
  <c r="P6541" i="7"/>
  <c r="O6541" i="7"/>
  <c r="U6540" i="7"/>
  <c r="T6540" i="7"/>
  <c r="S6540" i="7"/>
  <c r="R6540" i="7"/>
  <c r="Q6540" i="7"/>
  <c r="P6540" i="7"/>
  <c r="O6540" i="7"/>
  <c r="U6539" i="7"/>
  <c r="T6539" i="7"/>
  <c r="S6539" i="7"/>
  <c r="R6539" i="7"/>
  <c r="Q6539" i="7"/>
  <c r="P6539" i="7"/>
  <c r="O6539" i="7"/>
  <c r="U6538" i="7"/>
  <c r="T6538" i="7"/>
  <c r="S6538" i="7"/>
  <c r="R6538" i="7"/>
  <c r="Q6538" i="7"/>
  <c r="P6538" i="7"/>
  <c r="O6538" i="7"/>
  <c r="U6537" i="7"/>
  <c r="T6537" i="7"/>
  <c r="S6537" i="7"/>
  <c r="R6537" i="7"/>
  <c r="Q6537" i="7"/>
  <c r="P6537" i="7"/>
  <c r="O6537" i="7"/>
  <c r="U6536" i="7"/>
  <c r="T6536" i="7"/>
  <c r="S6536" i="7"/>
  <c r="R6536" i="7"/>
  <c r="Q6536" i="7"/>
  <c r="P6536" i="7"/>
  <c r="O6536" i="7"/>
  <c r="U6535" i="7"/>
  <c r="T6535" i="7"/>
  <c r="S6535" i="7"/>
  <c r="R6535" i="7"/>
  <c r="Q6535" i="7"/>
  <c r="P6535" i="7"/>
  <c r="O6535" i="7"/>
  <c r="U6534" i="7"/>
  <c r="T6534" i="7"/>
  <c r="S6534" i="7"/>
  <c r="R6534" i="7"/>
  <c r="Q6534" i="7"/>
  <c r="P6534" i="7"/>
  <c r="O6534" i="7"/>
  <c r="U6533" i="7"/>
  <c r="T6533" i="7"/>
  <c r="S6533" i="7"/>
  <c r="R6533" i="7"/>
  <c r="Q6533" i="7"/>
  <c r="P6533" i="7"/>
  <c r="O6533" i="7"/>
  <c r="U6532" i="7"/>
  <c r="T6532" i="7"/>
  <c r="S6532" i="7"/>
  <c r="R6532" i="7"/>
  <c r="Q6532" i="7"/>
  <c r="P6532" i="7"/>
  <c r="O6532" i="7"/>
  <c r="U6531" i="7"/>
  <c r="T6531" i="7"/>
  <c r="S6531" i="7"/>
  <c r="R6531" i="7"/>
  <c r="Q6531" i="7"/>
  <c r="P6531" i="7"/>
  <c r="O6531" i="7"/>
  <c r="U6530" i="7"/>
  <c r="T6530" i="7"/>
  <c r="S6530" i="7"/>
  <c r="R6530" i="7"/>
  <c r="Q6530" i="7"/>
  <c r="P6530" i="7"/>
  <c r="O6530" i="7"/>
  <c r="U6529" i="7"/>
  <c r="T6529" i="7"/>
  <c r="S6529" i="7"/>
  <c r="R6529" i="7"/>
  <c r="Q6529" i="7"/>
  <c r="P6529" i="7"/>
  <c r="O6529" i="7"/>
  <c r="U6528" i="7"/>
  <c r="T6528" i="7"/>
  <c r="S6528" i="7"/>
  <c r="R6528" i="7"/>
  <c r="Q6528" i="7"/>
  <c r="P6528" i="7"/>
  <c r="O6528" i="7"/>
  <c r="U6527" i="7"/>
  <c r="T6527" i="7"/>
  <c r="S6527" i="7"/>
  <c r="R6527" i="7"/>
  <c r="Q6527" i="7"/>
  <c r="P6527" i="7"/>
  <c r="O6527" i="7"/>
  <c r="U6526" i="7"/>
  <c r="T6526" i="7"/>
  <c r="S6526" i="7"/>
  <c r="R6526" i="7"/>
  <c r="Q6526" i="7"/>
  <c r="P6526" i="7"/>
  <c r="O6526" i="7"/>
  <c r="U6525" i="7"/>
  <c r="T6525" i="7"/>
  <c r="S6525" i="7"/>
  <c r="R6525" i="7"/>
  <c r="Q6525" i="7"/>
  <c r="P6525" i="7"/>
  <c r="O6525" i="7"/>
  <c r="U6524" i="7"/>
  <c r="T6524" i="7"/>
  <c r="S6524" i="7"/>
  <c r="R6524" i="7"/>
  <c r="Q6524" i="7"/>
  <c r="P6524" i="7"/>
  <c r="O6524" i="7"/>
  <c r="U6523" i="7"/>
  <c r="T6523" i="7"/>
  <c r="S6523" i="7"/>
  <c r="R6523" i="7"/>
  <c r="Q6523" i="7"/>
  <c r="P6523" i="7"/>
  <c r="O6523" i="7"/>
  <c r="U6522" i="7"/>
  <c r="T6522" i="7"/>
  <c r="S6522" i="7"/>
  <c r="R6522" i="7"/>
  <c r="Q6522" i="7"/>
  <c r="P6522" i="7"/>
  <c r="O6522" i="7"/>
  <c r="U6521" i="7"/>
  <c r="T6521" i="7"/>
  <c r="S6521" i="7"/>
  <c r="R6521" i="7"/>
  <c r="Q6521" i="7"/>
  <c r="P6521" i="7"/>
  <c r="O6521" i="7"/>
  <c r="U6520" i="7"/>
  <c r="T6520" i="7"/>
  <c r="S6520" i="7"/>
  <c r="R6520" i="7"/>
  <c r="Q6520" i="7"/>
  <c r="P6520" i="7"/>
  <c r="O6520" i="7"/>
  <c r="U6519" i="7"/>
  <c r="T6519" i="7"/>
  <c r="S6519" i="7"/>
  <c r="R6519" i="7"/>
  <c r="Q6519" i="7"/>
  <c r="P6519" i="7"/>
  <c r="O6519" i="7"/>
  <c r="U6518" i="7"/>
  <c r="T6518" i="7"/>
  <c r="S6518" i="7"/>
  <c r="R6518" i="7"/>
  <c r="Q6518" i="7"/>
  <c r="P6518" i="7"/>
  <c r="O6518" i="7"/>
  <c r="U6517" i="7"/>
  <c r="T6517" i="7"/>
  <c r="S6517" i="7"/>
  <c r="R6517" i="7"/>
  <c r="Q6517" i="7"/>
  <c r="P6517" i="7"/>
  <c r="O6517" i="7"/>
  <c r="U6516" i="7"/>
  <c r="T6516" i="7"/>
  <c r="S6516" i="7"/>
  <c r="R6516" i="7"/>
  <c r="Q6516" i="7"/>
  <c r="P6516" i="7"/>
  <c r="O6516" i="7"/>
  <c r="U6515" i="7"/>
  <c r="T6515" i="7"/>
  <c r="S6515" i="7"/>
  <c r="R6515" i="7"/>
  <c r="Q6515" i="7"/>
  <c r="P6515" i="7"/>
  <c r="O6515" i="7"/>
  <c r="U6514" i="7"/>
  <c r="T6514" i="7"/>
  <c r="S6514" i="7"/>
  <c r="R6514" i="7"/>
  <c r="Q6514" i="7"/>
  <c r="P6514" i="7"/>
  <c r="O6514" i="7"/>
  <c r="U6513" i="7"/>
  <c r="T6513" i="7"/>
  <c r="S6513" i="7"/>
  <c r="R6513" i="7"/>
  <c r="Q6513" i="7"/>
  <c r="P6513" i="7"/>
  <c r="O6513" i="7"/>
  <c r="U6512" i="7"/>
  <c r="T6512" i="7"/>
  <c r="S6512" i="7"/>
  <c r="R6512" i="7"/>
  <c r="Q6512" i="7"/>
  <c r="P6512" i="7"/>
  <c r="O6512" i="7"/>
  <c r="U6511" i="7"/>
  <c r="T6511" i="7"/>
  <c r="S6511" i="7"/>
  <c r="R6511" i="7"/>
  <c r="Q6511" i="7"/>
  <c r="P6511" i="7"/>
  <c r="O6511" i="7"/>
  <c r="U6510" i="7"/>
  <c r="T6510" i="7"/>
  <c r="S6510" i="7"/>
  <c r="R6510" i="7"/>
  <c r="Q6510" i="7"/>
  <c r="P6510" i="7"/>
  <c r="O6510" i="7"/>
  <c r="U6509" i="7"/>
  <c r="T6509" i="7"/>
  <c r="S6509" i="7"/>
  <c r="R6509" i="7"/>
  <c r="Q6509" i="7"/>
  <c r="P6509" i="7"/>
  <c r="O6509" i="7"/>
  <c r="U6508" i="7"/>
  <c r="T6508" i="7"/>
  <c r="S6508" i="7"/>
  <c r="R6508" i="7"/>
  <c r="Q6508" i="7"/>
  <c r="P6508" i="7"/>
  <c r="O6508" i="7"/>
  <c r="U6507" i="7"/>
  <c r="T6507" i="7"/>
  <c r="S6507" i="7"/>
  <c r="R6507" i="7"/>
  <c r="Q6507" i="7"/>
  <c r="P6507" i="7"/>
  <c r="O6507" i="7"/>
  <c r="U6506" i="7"/>
  <c r="T6506" i="7"/>
  <c r="S6506" i="7"/>
  <c r="R6506" i="7"/>
  <c r="Q6506" i="7"/>
  <c r="P6506" i="7"/>
  <c r="O6506" i="7"/>
  <c r="U6505" i="7"/>
  <c r="T6505" i="7"/>
  <c r="S6505" i="7"/>
  <c r="R6505" i="7"/>
  <c r="Q6505" i="7"/>
  <c r="P6505" i="7"/>
  <c r="O6505" i="7"/>
  <c r="U6504" i="7"/>
  <c r="T6504" i="7"/>
  <c r="S6504" i="7"/>
  <c r="R6504" i="7"/>
  <c r="Q6504" i="7"/>
  <c r="P6504" i="7"/>
  <c r="O6504" i="7"/>
  <c r="U6503" i="7"/>
  <c r="T6503" i="7"/>
  <c r="S6503" i="7"/>
  <c r="R6503" i="7"/>
  <c r="Q6503" i="7"/>
  <c r="P6503" i="7"/>
  <c r="O6503" i="7"/>
  <c r="U6502" i="7"/>
  <c r="T6502" i="7"/>
  <c r="S6502" i="7"/>
  <c r="R6502" i="7"/>
  <c r="Q6502" i="7"/>
  <c r="P6502" i="7"/>
  <c r="O6502" i="7"/>
  <c r="U6501" i="7"/>
  <c r="T6501" i="7"/>
  <c r="S6501" i="7"/>
  <c r="R6501" i="7"/>
  <c r="Q6501" i="7"/>
  <c r="P6501" i="7"/>
  <c r="O6501" i="7"/>
  <c r="U6500" i="7"/>
  <c r="T6500" i="7"/>
  <c r="S6500" i="7"/>
  <c r="R6500" i="7"/>
  <c r="Q6500" i="7"/>
  <c r="P6500" i="7"/>
  <c r="O6500" i="7"/>
  <c r="U6499" i="7"/>
  <c r="T6499" i="7"/>
  <c r="S6499" i="7"/>
  <c r="R6499" i="7"/>
  <c r="Q6499" i="7"/>
  <c r="P6499" i="7"/>
  <c r="O6499" i="7"/>
  <c r="U6498" i="7"/>
  <c r="T6498" i="7"/>
  <c r="S6498" i="7"/>
  <c r="R6498" i="7"/>
  <c r="Q6498" i="7"/>
  <c r="P6498" i="7"/>
  <c r="O6498" i="7"/>
  <c r="U6497" i="7"/>
  <c r="T6497" i="7"/>
  <c r="S6497" i="7"/>
  <c r="R6497" i="7"/>
  <c r="Q6497" i="7"/>
  <c r="P6497" i="7"/>
  <c r="O6497" i="7"/>
  <c r="U6496" i="7"/>
  <c r="T6496" i="7"/>
  <c r="S6496" i="7"/>
  <c r="R6496" i="7"/>
  <c r="Q6496" i="7"/>
  <c r="P6496" i="7"/>
  <c r="O6496" i="7"/>
  <c r="U6495" i="7"/>
  <c r="T6495" i="7"/>
  <c r="S6495" i="7"/>
  <c r="R6495" i="7"/>
  <c r="Q6495" i="7"/>
  <c r="P6495" i="7"/>
  <c r="O6495" i="7"/>
  <c r="U6494" i="7"/>
  <c r="T6494" i="7"/>
  <c r="S6494" i="7"/>
  <c r="R6494" i="7"/>
  <c r="Q6494" i="7"/>
  <c r="P6494" i="7"/>
  <c r="O6494" i="7"/>
  <c r="U6493" i="7"/>
  <c r="T6493" i="7"/>
  <c r="S6493" i="7"/>
  <c r="R6493" i="7"/>
  <c r="Q6493" i="7"/>
  <c r="P6493" i="7"/>
  <c r="O6493" i="7"/>
  <c r="U6492" i="7"/>
  <c r="T6492" i="7"/>
  <c r="S6492" i="7"/>
  <c r="R6492" i="7"/>
  <c r="Q6492" i="7"/>
  <c r="P6492" i="7"/>
  <c r="O6492" i="7"/>
  <c r="U6491" i="7"/>
  <c r="T6491" i="7"/>
  <c r="S6491" i="7"/>
  <c r="R6491" i="7"/>
  <c r="Q6491" i="7"/>
  <c r="P6491" i="7"/>
  <c r="O6491" i="7"/>
  <c r="U6490" i="7"/>
  <c r="T6490" i="7"/>
  <c r="S6490" i="7"/>
  <c r="R6490" i="7"/>
  <c r="Q6490" i="7"/>
  <c r="P6490" i="7"/>
  <c r="O6490" i="7"/>
  <c r="U6489" i="7"/>
  <c r="T6489" i="7"/>
  <c r="S6489" i="7"/>
  <c r="R6489" i="7"/>
  <c r="Q6489" i="7"/>
  <c r="P6489" i="7"/>
  <c r="O6489" i="7"/>
  <c r="U6488" i="7"/>
  <c r="T6488" i="7"/>
  <c r="S6488" i="7"/>
  <c r="R6488" i="7"/>
  <c r="Q6488" i="7"/>
  <c r="P6488" i="7"/>
  <c r="O6488" i="7"/>
  <c r="U6487" i="7"/>
  <c r="T6487" i="7"/>
  <c r="S6487" i="7"/>
  <c r="R6487" i="7"/>
  <c r="Q6487" i="7"/>
  <c r="P6487" i="7"/>
  <c r="O6487" i="7"/>
  <c r="U6486" i="7"/>
  <c r="T6486" i="7"/>
  <c r="S6486" i="7"/>
  <c r="R6486" i="7"/>
  <c r="Q6486" i="7"/>
  <c r="P6486" i="7"/>
  <c r="O6486" i="7"/>
  <c r="U6485" i="7"/>
  <c r="T6485" i="7"/>
  <c r="S6485" i="7"/>
  <c r="R6485" i="7"/>
  <c r="Q6485" i="7"/>
  <c r="P6485" i="7"/>
  <c r="O6485" i="7"/>
  <c r="U6484" i="7"/>
  <c r="T6484" i="7"/>
  <c r="S6484" i="7"/>
  <c r="R6484" i="7"/>
  <c r="Q6484" i="7"/>
  <c r="P6484" i="7"/>
  <c r="O6484" i="7"/>
  <c r="U6483" i="7"/>
  <c r="T6483" i="7"/>
  <c r="S6483" i="7"/>
  <c r="R6483" i="7"/>
  <c r="Q6483" i="7"/>
  <c r="P6483" i="7"/>
  <c r="O6483" i="7"/>
  <c r="U6482" i="7"/>
  <c r="T6482" i="7"/>
  <c r="S6482" i="7"/>
  <c r="R6482" i="7"/>
  <c r="Q6482" i="7"/>
  <c r="P6482" i="7"/>
  <c r="O6482" i="7"/>
  <c r="U6481" i="7"/>
  <c r="T6481" i="7"/>
  <c r="S6481" i="7"/>
  <c r="R6481" i="7"/>
  <c r="Q6481" i="7"/>
  <c r="P6481" i="7"/>
  <c r="O6481" i="7"/>
  <c r="U6480" i="7"/>
  <c r="T6480" i="7"/>
  <c r="S6480" i="7"/>
  <c r="R6480" i="7"/>
  <c r="Q6480" i="7"/>
  <c r="P6480" i="7"/>
  <c r="O6480" i="7"/>
  <c r="U6479" i="7"/>
  <c r="T6479" i="7"/>
  <c r="S6479" i="7"/>
  <c r="R6479" i="7"/>
  <c r="Q6479" i="7"/>
  <c r="P6479" i="7"/>
  <c r="O6479" i="7"/>
  <c r="U6478" i="7"/>
  <c r="T6478" i="7"/>
  <c r="S6478" i="7"/>
  <c r="R6478" i="7"/>
  <c r="Q6478" i="7"/>
  <c r="P6478" i="7"/>
  <c r="O6478" i="7"/>
  <c r="U6477" i="7"/>
  <c r="T6477" i="7"/>
  <c r="S6477" i="7"/>
  <c r="R6477" i="7"/>
  <c r="Q6477" i="7"/>
  <c r="P6477" i="7"/>
  <c r="O6477" i="7"/>
  <c r="U6476" i="7"/>
  <c r="T6476" i="7"/>
  <c r="S6476" i="7"/>
  <c r="R6476" i="7"/>
  <c r="Q6476" i="7"/>
  <c r="P6476" i="7"/>
  <c r="O6476" i="7"/>
  <c r="U6475" i="7"/>
  <c r="T6475" i="7"/>
  <c r="S6475" i="7"/>
  <c r="R6475" i="7"/>
  <c r="Q6475" i="7"/>
  <c r="P6475" i="7"/>
  <c r="O6475" i="7"/>
  <c r="U6474" i="7"/>
  <c r="T6474" i="7"/>
  <c r="S6474" i="7"/>
  <c r="R6474" i="7"/>
  <c r="Q6474" i="7"/>
  <c r="P6474" i="7"/>
  <c r="O6474" i="7"/>
  <c r="U6473" i="7"/>
  <c r="T6473" i="7"/>
  <c r="S6473" i="7"/>
  <c r="R6473" i="7"/>
  <c r="Q6473" i="7"/>
  <c r="P6473" i="7"/>
  <c r="O6473" i="7"/>
  <c r="U6472" i="7"/>
  <c r="T6472" i="7"/>
  <c r="S6472" i="7"/>
  <c r="R6472" i="7"/>
  <c r="Q6472" i="7"/>
  <c r="P6472" i="7"/>
  <c r="O6472" i="7"/>
  <c r="U6471" i="7"/>
  <c r="T6471" i="7"/>
  <c r="S6471" i="7"/>
  <c r="R6471" i="7"/>
  <c r="Q6471" i="7"/>
  <c r="P6471" i="7"/>
  <c r="O6471" i="7"/>
  <c r="U6470" i="7"/>
  <c r="T6470" i="7"/>
  <c r="S6470" i="7"/>
  <c r="R6470" i="7"/>
  <c r="Q6470" i="7"/>
  <c r="P6470" i="7"/>
  <c r="O6470" i="7"/>
  <c r="U6469" i="7"/>
  <c r="T6469" i="7"/>
  <c r="S6469" i="7"/>
  <c r="R6469" i="7"/>
  <c r="Q6469" i="7"/>
  <c r="P6469" i="7"/>
  <c r="O6469" i="7"/>
  <c r="U6468" i="7"/>
  <c r="T6468" i="7"/>
  <c r="S6468" i="7"/>
  <c r="R6468" i="7"/>
  <c r="Q6468" i="7"/>
  <c r="P6468" i="7"/>
  <c r="O6468" i="7"/>
  <c r="U6467" i="7"/>
  <c r="T6467" i="7"/>
  <c r="S6467" i="7"/>
  <c r="R6467" i="7"/>
  <c r="Q6467" i="7"/>
  <c r="P6467" i="7"/>
  <c r="O6467" i="7"/>
  <c r="U6466" i="7"/>
  <c r="T6466" i="7"/>
  <c r="S6466" i="7"/>
  <c r="R6466" i="7"/>
  <c r="Q6466" i="7"/>
  <c r="P6466" i="7"/>
  <c r="O6466" i="7"/>
  <c r="U6465" i="7"/>
  <c r="T6465" i="7"/>
  <c r="S6465" i="7"/>
  <c r="R6465" i="7"/>
  <c r="Q6465" i="7"/>
  <c r="P6465" i="7"/>
  <c r="O6465" i="7"/>
  <c r="U6464" i="7"/>
  <c r="T6464" i="7"/>
  <c r="S6464" i="7"/>
  <c r="R6464" i="7"/>
  <c r="Q6464" i="7"/>
  <c r="P6464" i="7"/>
  <c r="O6464" i="7"/>
  <c r="U6463" i="7"/>
  <c r="T6463" i="7"/>
  <c r="S6463" i="7"/>
  <c r="R6463" i="7"/>
  <c r="Q6463" i="7"/>
  <c r="P6463" i="7"/>
  <c r="O6463" i="7"/>
  <c r="U6462" i="7"/>
  <c r="T6462" i="7"/>
  <c r="S6462" i="7"/>
  <c r="R6462" i="7"/>
  <c r="Q6462" i="7"/>
  <c r="P6462" i="7"/>
  <c r="O6462" i="7"/>
  <c r="U6461" i="7"/>
  <c r="T6461" i="7"/>
  <c r="S6461" i="7"/>
  <c r="R6461" i="7"/>
  <c r="Q6461" i="7"/>
  <c r="P6461" i="7"/>
  <c r="O6461" i="7"/>
  <c r="U6460" i="7"/>
  <c r="T6460" i="7"/>
  <c r="S6460" i="7"/>
  <c r="R6460" i="7"/>
  <c r="Q6460" i="7"/>
  <c r="P6460" i="7"/>
  <c r="O6460" i="7"/>
  <c r="U6459" i="7"/>
  <c r="T6459" i="7"/>
  <c r="S6459" i="7"/>
  <c r="R6459" i="7"/>
  <c r="Q6459" i="7"/>
  <c r="P6459" i="7"/>
  <c r="O6459" i="7"/>
  <c r="U6458" i="7"/>
  <c r="T6458" i="7"/>
  <c r="S6458" i="7"/>
  <c r="R6458" i="7"/>
  <c r="Q6458" i="7"/>
  <c r="P6458" i="7"/>
  <c r="O6458" i="7"/>
  <c r="U6457" i="7"/>
  <c r="T6457" i="7"/>
  <c r="S6457" i="7"/>
  <c r="R6457" i="7"/>
  <c r="Q6457" i="7"/>
  <c r="P6457" i="7"/>
  <c r="O6457" i="7"/>
  <c r="U6456" i="7"/>
  <c r="T6456" i="7"/>
  <c r="S6456" i="7"/>
  <c r="R6456" i="7"/>
  <c r="Q6456" i="7"/>
  <c r="P6456" i="7"/>
  <c r="O6456" i="7"/>
  <c r="U6455" i="7"/>
  <c r="T6455" i="7"/>
  <c r="S6455" i="7"/>
  <c r="R6455" i="7"/>
  <c r="Q6455" i="7"/>
  <c r="P6455" i="7"/>
  <c r="O6455" i="7"/>
  <c r="U6454" i="7"/>
  <c r="T6454" i="7"/>
  <c r="S6454" i="7"/>
  <c r="R6454" i="7"/>
  <c r="Q6454" i="7"/>
  <c r="P6454" i="7"/>
  <c r="O6454" i="7"/>
  <c r="U6453" i="7"/>
  <c r="T6453" i="7"/>
  <c r="S6453" i="7"/>
  <c r="R6453" i="7"/>
  <c r="Q6453" i="7"/>
  <c r="P6453" i="7"/>
  <c r="O6453" i="7"/>
  <c r="U6452" i="7"/>
  <c r="T6452" i="7"/>
  <c r="S6452" i="7"/>
  <c r="R6452" i="7"/>
  <c r="Q6452" i="7"/>
  <c r="P6452" i="7"/>
  <c r="O6452" i="7"/>
  <c r="U6451" i="7"/>
  <c r="T6451" i="7"/>
  <c r="S6451" i="7"/>
  <c r="R6451" i="7"/>
  <c r="Q6451" i="7"/>
  <c r="P6451" i="7"/>
  <c r="O6451" i="7"/>
  <c r="U6450" i="7"/>
  <c r="T6450" i="7"/>
  <c r="S6450" i="7"/>
  <c r="R6450" i="7"/>
  <c r="Q6450" i="7"/>
  <c r="P6450" i="7"/>
  <c r="O6450" i="7"/>
  <c r="U6449" i="7"/>
  <c r="T6449" i="7"/>
  <c r="S6449" i="7"/>
  <c r="R6449" i="7"/>
  <c r="Q6449" i="7"/>
  <c r="P6449" i="7"/>
  <c r="O6449" i="7"/>
  <c r="U6448" i="7"/>
  <c r="T6448" i="7"/>
  <c r="S6448" i="7"/>
  <c r="R6448" i="7"/>
  <c r="Q6448" i="7"/>
  <c r="P6448" i="7"/>
  <c r="O6448" i="7"/>
  <c r="U6447" i="7"/>
  <c r="T6447" i="7"/>
  <c r="S6447" i="7"/>
  <c r="R6447" i="7"/>
  <c r="Q6447" i="7"/>
  <c r="P6447" i="7"/>
  <c r="O6447" i="7"/>
  <c r="U6446" i="7"/>
  <c r="T6446" i="7"/>
  <c r="S6446" i="7"/>
  <c r="R6446" i="7"/>
  <c r="Q6446" i="7"/>
  <c r="P6446" i="7"/>
  <c r="O6446" i="7"/>
  <c r="U6445" i="7"/>
  <c r="T6445" i="7"/>
  <c r="S6445" i="7"/>
  <c r="R6445" i="7"/>
  <c r="Q6445" i="7"/>
  <c r="P6445" i="7"/>
  <c r="O6445" i="7"/>
  <c r="U6444" i="7"/>
  <c r="T6444" i="7"/>
  <c r="S6444" i="7"/>
  <c r="R6444" i="7"/>
  <c r="Q6444" i="7"/>
  <c r="P6444" i="7"/>
  <c r="O6444" i="7"/>
  <c r="U6443" i="7"/>
  <c r="T6443" i="7"/>
  <c r="S6443" i="7"/>
  <c r="R6443" i="7"/>
  <c r="Q6443" i="7"/>
  <c r="P6443" i="7"/>
  <c r="O6443" i="7"/>
  <c r="U6442" i="7"/>
  <c r="T6442" i="7"/>
  <c r="S6442" i="7"/>
  <c r="R6442" i="7"/>
  <c r="Q6442" i="7"/>
  <c r="P6442" i="7"/>
  <c r="O6442" i="7"/>
  <c r="U6441" i="7"/>
  <c r="T6441" i="7"/>
  <c r="S6441" i="7"/>
  <c r="R6441" i="7"/>
  <c r="Q6441" i="7"/>
  <c r="P6441" i="7"/>
  <c r="O6441" i="7"/>
  <c r="U6440" i="7"/>
  <c r="T6440" i="7"/>
  <c r="S6440" i="7"/>
  <c r="R6440" i="7"/>
  <c r="Q6440" i="7"/>
  <c r="P6440" i="7"/>
  <c r="O6440" i="7"/>
  <c r="U6439" i="7"/>
  <c r="T6439" i="7"/>
  <c r="S6439" i="7"/>
  <c r="R6439" i="7"/>
  <c r="Q6439" i="7"/>
  <c r="P6439" i="7"/>
  <c r="O6439" i="7"/>
  <c r="U6438" i="7"/>
  <c r="T6438" i="7"/>
  <c r="S6438" i="7"/>
  <c r="R6438" i="7"/>
  <c r="Q6438" i="7"/>
  <c r="P6438" i="7"/>
  <c r="O6438" i="7"/>
  <c r="U6437" i="7"/>
  <c r="T6437" i="7"/>
  <c r="S6437" i="7"/>
  <c r="R6437" i="7"/>
  <c r="Q6437" i="7"/>
  <c r="P6437" i="7"/>
  <c r="O6437" i="7"/>
  <c r="U6436" i="7"/>
  <c r="T6436" i="7"/>
  <c r="S6436" i="7"/>
  <c r="R6436" i="7"/>
  <c r="Q6436" i="7"/>
  <c r="P6436" i="7"/>
  <c r="O6436" i="7"/>
  <c r="U6435" i="7"/>
  <c r="T6435" i="7"/>
  <c r="S6435" i="7"/>
  <c r="R6435" i="7"/>
  <c r="Q6435" i="7"/>
  <c r="P6435" i="7"/>
  <c r="O6435" i="7"/>
  <c r="U6434" i="7"/>
  <c r="T6434" i="7"/>
  <c r="S6434" i="7"/>
  <c r="R6434" i="7"/>
  <c r="Q6434" i="7"/>
  <c r="P6434" i="7"/>
  <c r="O6434" i="7"/>
  <c r="U6433" i="7"/>
  <c r="T6433" i="7"/>
  <c r="S6433" i="7"/>
  <c r="R6433" i="7"/>
  <c r="Q6433" i="7"/>
  <c r="P6433" i="7"/>
  <c r="O6433" i="7"/>
  <c r="U6432" i="7"/>
  <c r="T6432" i="7"/>
  <c r="S6432" i="7"/>
  <c r="R6432" i="7"/>
  <c r="Q6432" i="7"/>
  <c r="P6432" i="7"/>
  <c r="O6432" i="7"/>
  <c r="U6431" i="7"/>
  <c r="T6431" i="7"/>
  <c r="S6431" i="7"/>
  <c r="R6431" i="7"/>
  <c r="Q6431" i="7"/>
  <c r="P6431" i="7"/>
  <c r="O6431" i="7"/>
  <c r="U6430" i="7"/>
  <c r="T6430" i="7"/>
  <c r="S6430" i="7"/>
  <c r="R6430" i="7"/>
  <c r="Q6430" i="7"/>
  <c r="P6430" i="7"/>
  <c r="O6430" i="7"/>
  <c r="U6429" i="7"/>
  <c r="T6429" i="7"/>
  <c r="S6429" i="7"/>
  <c r="R6429" i="7"/>
  <c r="Q6429" i="7"/>
  <c r="P6429" i="7"/>
  <c r="O6429" i="7"/>
  <c r="U6428" i="7"/>
  <c r="T6428" i="7"/>
  <c r="S6428" i="7"/>
  <c r="R6428" i="7"/>
  <c r="Q6428" i="7"/>
  <c r="P6428" i="7"/>
  <c r="O6428" i="7"/>
  <c r="U6427" i="7"/>
  <c r="T6427" i="7"/>
  <c r="S6427" i="7"/>
  <c r="R6427" i="7"/>
  <c r="Q6427" i="7"/>
  <c r="P6427" i="7"/>
  <c r="O6427" i="7"/>
  <c r="U6426" i="7"/>
  <c r="T6426" i="7"/>
  <c r="S6426" i="7"/>
  <c r="R6426" i="7"/>
  <c r="Q6426" i="7"/>
  <c r="P6426" i="7"/>
  <c r="O6426" i="7"/>
  <c r="U6425" i="7"/>
  <c r="T6425" i="7"/>
  <c r="S6425" i="7"/>
  <c r="R6425" i="7"/>
  <c r="Q6425" i="7"/>
  <c r="P6425" i="7"/>
  <c r="O6425" i="7"/>
  <c r="U6424" i="7"/>
  <c r="T6424" i="7"/>
  <c r="S6424" i="7"/>
  <c r="R6424" i="7"/>
  <c r="Q6424" i="7"/>
  <c r="P6424" i="7"/>
  <c r="O6424" i="7"/>
  <c r="U6423" i="7"/>
  <c r="T6423" i="7"/>
  <c r="S6423" i="7"/>
  <c r="R6423" i="7"/>
  <c r="Q6423" i="7"/>
  <c r="P6423" i="7"/>
  <c r="O6423" i="7"/>
  <c r="U6422" i="7"/>
  <c r="T6422" i="7"/>
  <c r="S6422" i="7"/>
  <c r="R6422" i="7"/>
  <c r="Q6422" i="7"/>
  <c r="P6422" i="7"/>
  <c r="O6422" i="7"/>
  <c r="U6421" i="7"/>
  <c r="T6421" i="7"/>
  <c r="S6421" i="7"/>
  <c r="R6421" i="7"/>
  <c r="Q6421" i="7"/>
  <c r="P6421" i="7"/>
  <c r="O6421" i="7"/>
  <c r="U6420" i="7"/>
  <c r="T6420" i="7"/>
  <c r="S6420" i="7"/>
  <c r="R6420" i="7"/>
  <c r="Q6420" i="7"/>
  <c r="P6420" i="7"/>
  <c r="O6420" i="7"/>
  <c r="U6419" i="7"/>
  <c r="T6419" i="7"/>
  <c r="S6419" i="7"/>
  <c r="R6419" i="7"/>
  <c r="Q6419" i="7"/>
  <c r="P6419" i="7"/>
  <c r="O6419" i="7"/>
  <c r="U6418" i="7"/>
  <c r="T6418" i="7"/>
  <c r="S6418" i="7"/>
  <c r="R6418" i="7"/>
  <c r="Q6418" i="7"/>
  <c r="P6418" i="7"/>
  <c r="O6418" i="7"/>
  <c r="U6417" i="7"/>
  <c r="T6417" i="7"/>
  <c r="S6417" i="7"/>
  <c r="R6417" i="7"/>
  <c r="Q6417" i="7"/>
  <c r="P6417" i="7"/>
  <c r="O6417" i="7"/>
  <c r="U6416" i="7"/>
  <c r="T6416" i="7"/>
  <c r="S6416" i="7"/>
  <c r="R6416" i="7"/>
  <c r="Q6416" i="7"/>
  <c r="P6416" i="7"/>
  <c r="O6416" i="7"/>
  <c r="U6415" i="7"/>
  <c r="T6415" i="7"/>
  <c r="S6415" i="7"/>
  <c r="R6415" i="7"/>
  <c r="Q6415" i="7"/>
  <c r="P6415" i="7"/>
  <c r="O6415" i="7"/>
  <c r="U6414" i="7"/>
  <c r="T6414" i="7"/>
  <c r="S6414" i="7"/>
  <c r="R6414" i="7"/>
  <c r="Q6414" i="7"/>
  <c r="P6414" i="7"/>
  <c r="O6414" i="7"/>
  <c r="U6413" i="7"/>
  <c r="T6413" i="7"/>
  <c r="S6413" i="7"/>
  <c r="R6413" i="7"/>
  <c r="Q6413" i="7"/>
  <c r="P6413" i="7"/>
  <c r="O6413" i="7"/>
  <c r="U6412" i="7"/>
  <c r="T6412" i="7"/>
  <c r="S6412" i="7"/>
  <c r="R6412" i="7"/>
  <c r="Q6412" i="7"/>
  <c r="P6412" i="7"/>
  <c r="O6412" i="7"/>
  <c r="U6411" i="7"/>
  <c r="T6411" i="7"/>
  <c r="S6411" i="7"/>
  <c r="R6411" i="7"/>
  <c r="Q6411" i="7"/>
  <c r="P6411" i="7"/>
  <c r="O6411" i="7"/>
  <c r="U6410" i="7"/>
  <c r="T6410" i="7"/>
  <c r="S6410" i="7"/>
  <c r="R6410" i="7"/>
  <c r="Q6410" i="7"/>
  <c r="P6410" i="7"/>
  <c r="O6410" i="7"/>
  <c r="U6409" i="7"/>
  <c r="T6409" i="7"/>
  <c r="S6409" i="7"/>
  <c r="R6409" i="7"/>
  <c r="Q6409" i="7"/>
  <c r="P6409" i="7"/>
  <c r="O6409" i="7"/>
  <c r="U6408" i="7"/>
  <c r="T6408" i="7"/>
  <c r="S6408" i="7"/>
  <c r="R6408" i="7"/>
  <c r="Q6408" i="7"/>
  <c r="P6408" i="7"/>
  <c r="O6408" i="7"/>
  <c r="U6407" i="7"/>
  <c r="T6407" i="7"/>
  <c r="S6407" i="7"/>
  <c r="R6407" i="7"/>
  <c r="Q6407" i="7"/>
  <c r="P6407" i="7"/>
  <c r="O6407" i="7"/>
  <c r="U6406" i="7"/>
  <c r="T6406" i="7"/>
  <c r="S6406" i="7"/>
  <c r="R6406" i="7"/>
  <c r="Q6406" i="7"/>
  <c r="P6406" i="7"/>
  <c r="O6406" i="7"/>
  <c r="U6405" i="7"/>
  <c r="T6405" i="7"/>
  <c r="S6405" i="7"/>
  <c r="R6405" i="7"/>
  <c r="Q6405" i="7"/>
  <c r="P6405" i="7"/>
  <c r="O6405" i="7"/>
  <c r="U6404" i="7"/>
  <c r="T6404" i="7"/>
  <c r="S6404" i="7"/>
  <c r="R6404" i="7"/>
  <c r="Q6404" i="7"/>
  <c r="P6404" i="7"/>
  <c r="O6404" i="7"/>
  <c r="U6403" i="7"/>
  <c r="T6403" i="7"/>
  <c r="S6403" i="7"/>
  <c r="R6403" i="7"/>
  <c r="Q6403" i="7"/>
  <c r="P6403" i="7"/>
  <c r="O6403" i="7"/>
  <c r="U6402" i="7"/>
  <c r="T6402" i="7"/>
  <c r="S6402" i="7"/>
  <c r="R6402" i="7"/>
  <c r="Q6402" i="7"/>
  <c r="P6402" i="7"/>
  <c r="O6402" i="7"/>
  <c r="U6401" i="7"/>
  <c r="T6401" i="7"/>
  <c r="S6401" i="7"/>
  <c r="R6401" i="7"/>
  <c r="Q6401" i="7"/>
  <c r="P6401" i="7"/>
  <c r="O6401" i="7"/>
  <c r="U6400" i="7"/>
  <c r="T6400" i="7"/>
  <c r="S6400" i="7"/>
  <c r="R6400" i="7"/>
  <c r="Q6400" i="7"/>
  <c r="P6400" i="7"/>
  <c r="O6400" i="7"/>
  <c r="U6399" i="7"/>
  <c r="T6399" i="7"/>
  <c r="S6399" i="7"/>
  <c r="R6399" i="7"/>
  <c r="Q6399" i="7"/>
  <c r="P6399" i="7"/>
  <c r="O6399" i="7"/>
  <c r="U6398" i="7"/>
  <c r="T6398" i="7"/>
  <c r="S6398" i="7"/>
  <c r="R6398" i="7"/>
  <c r="Q6398" i="7"/>
  <c r="P6398" i="7"/>
  <c r="O6398" i="7"/>
  <c r="U6397" i="7"/>
  <c r="T6397" i="7"/>
  <c r="S6397" i="7"/>
  <c r="R6397" i="7"/>
  <c r="Q6397" i="7"/>
  <c r="P6397" i="7"/>
  <c r="O6397" i="7"/>
  <c r="U6396" i="7"/>
  <c r="T6396" i="7"/>
  <c r="S6396" i="7"/>
  <c r="R6396" i="7"/>
  <c r="Q6396" i="7"/>
  <c r="P6396" i="7"/>
  <c r="O6396" i="7"/>
  <c r="U6395" i="7"/>
  <c r="T6395" i="7"/>
  <c r="S6395" i="7"/>
  <c r="R6395" i="7"/>
  <c r="Q6395" i="7"/>
  <c r="P6395" i="7"/>
  <c r="O6395" i="7"/>
  <c r="U6394" i="7"/>
  <c r="T6394" i="7"/>
  <c r="S6394" i="7"/>
  <c r="R6394" i="7"/>
  <c r="Q6394" i="7"/>
  <c r="P6394" i="7"/>
  <c r="O6394" i="7"/>
  <c r="U6393" i="7"/>
  <c r="T6393" i="7"/>
  <c r="S6393" i="7"/>
  <c r="R6393" i="7"/>
  <c r="Q6393" i="7"/>
  <c r="P6393" i="7"/>
  <c r="O6393" i="7"/>
  <c r="U6392" i="7"/>
  <c r="T6392" i="7"/>
  <c r="S6392" i="7"/>
  <c r="R6392" i="7"/>
  <c r="Q6392" i="7"/>
  <c r="P6392" i="7"/>
  <c r="O6392" i="7"/>
  <c r="U6391" i="7"/>
  <c r="T6391" i="7"/>
  <c r="S6391" i="7"/>
  <c r="R6391" i="7"/>
  <c r="Q6391" i="7"/>
  <c r="P6391" i="7"/>
  <c r="O6391" i="7"/>
  <c r="U6390" i="7"/>
  <c r="T6390" i="7"/>
  <c r="S6390" i="7"/>
  <c r="R6390" i="7"/>
  <c r="Q6390" i="7"/>
  <c r="P6390" i="7"/>
  <c r="O6390" i="7"/>
  <c r="U6389" i="7"/>
  <c r="T6389" i="7"/>
  <c r="S6389" i="7"/>
  <c r="R6389" i="7"/>
  <c r="Q6389" i="7"/>
  <c r="P6389" i="7"/>
  <c r="O6389" i="7"/>
  <c r="U6388" i="7"/>
  <c r="T6388" i="7"/>
  <c r="S6388" i="7"/>
  <c r="R6388" i="7"/>
  <c r="Q6388" i="7"/>
  <c r="P6388" i="7"/>
  <c r="O6388" i="7"/>
  <c r="U6387" i="7"/>
  <c r="T6387" i="7"/>
  <c r="S6387" i="7"/>
  <c r="R6387" i="7"/>
  <c r="Q6387" i="7"/>
  <c r="P6387" i="7"/>
  <c r="O6387" i="7"/>
  <c r="U6386" i="7"/>
  <c r="T6386" i="7"/>
  <c r="S6386" i="7"/>
  <c r="R6386" i="7"/>
  <c r="Q6386" i="7"/>
  <c r="P6386" i="7"/>
  <c r="O6386" i="7"/>
  <c r="U6385" i="7"/>
  <c r="T6385" i="7"/>
  <c r="S6385" i="7"/>
  <c r="R6385" i="7"/>
  <c r="Q6385" i="7"/>
  <c r="P6385" i="7"/>
  <c r="O6385" i="7"/>
  <c r="U6384" i="7"/>
  <c r="T6384" i="7"/>
  <c r="S6384" i="7"/>
  <c r="R6384" i="7"/>
  <c r="Q6384" i="7"/>
  <c r="P6384" i="7"/>
  <c r="O6384" i="7"/>
  <c r="U6383" i="7"/>
  <c r="T6383" i="7"/>
  <c r="S6383" i="7"/>
  <c r="R6383" i="7"/>
  <c r="Q6383" i="7"/>
  <c r="P6383" i="7"/>
  <c r="O6383" i="7"/>
  <c r="U6382" i="7"/>
  <c r="T6382" i="7"/>
  <c r="S6382" i="7"/>
  <c r="R6382" i="7"/>
  <c r="Q6382" i="7"/>
  <c r="P6382" i="7"/>
  <c r="O6382" i="7"/>
  <c r="U6381" i="7"/>
  <c r="T6381" i="7"/>
  <c r="S6381" i="7"/>
  <c r="R6381" i="7"/>
  <c r="Q6381" i="7"/>
  <c r="P6381" i="7"/>
  <c r="O6381" i="7"/>
  <c r="U6380" i="7"/>
  <c r="T6380" i="7"/>
  <c r="S6380" i="7"/>
  <c r="R6380" i="7"/>
  <c r="Q6380" i="7"/>
  <c r="P6380" i="7"/>
  <c r="O6380" i="7"/>
  <c r="U6379" i="7"/>
  <c r="T6379" i="7"/>
  <c r="S6379" i="7"/>
  <c r="R6379" i="7"/>
  <c r="Q6379" i="7"/>
  <c r="P6379" i="7"/>
  <c r="O6379" i="7"/>
  <c r="U6378" i="7"/>
  <c r="T6378" i="7"/>
  <c r="S6378" i="7"/>
  <c r="R6378" i="7"/>
  <c r="Q6378" i="7"/>
  <c r="P6378" i="7"/>
  <c r="O6378" i="7"/>
  <c r="U6377" i="7"/>
  <c r="T6377" i="7"/>
  <c r="S6377" i="7"/>
  <c r="R6377" i="7"/>
  <c r="Q6377" i="7"/>
  <c r="P6377" i="7"/>
  <c r="O6377" i="7"/>
  <c r="U6376" i="7"/>
  <c r="T6376" i="7"/>
  <c r="S6376" i="7"/>
  <c r="R6376" i="7"/>
  <c r="Q6376" i="7"/>
  <c r="P6376" i="7"/>
  <c r="O6376" i="7"/>
  <c r="U6375" i="7"/>
  <c r="T6375" i="7"/>
  <c r="S6375" i="7"/>
  <c r="R6375" i="7"/>
  <c r="Q6375" i="7"/>
  <c r="P6375" i="7"/>
  <c r="O6375" i="7"/>
  <c r="U6374" i="7"/>
  <c r="T6374" i="7"/>
  <c r="S6374" i="7"/>
  <c r="R6374" i="7"/>
  <c r="Q6374" i="7"/>
  <c r="P6374" i="7"/>
  <c r="O6374" i="7"/>
  <c r="U6373" i="7"/>
  <c r="T6373" i="7"/>
  <c r="S6373" i="7"/>
  <c r="R6373" i="7"/>
  <c r="Q6373" i="7"/>
  <c r="P6373" i="7"/>
  <c r="O6373" i="7"/>
  <c r="U6372" i="7"/>
  <c r="T6372" i="7"/>
  <c r="S6372" i="7"/>
  <c r="R6372" i="7"/>
  <c r="Q6372" i="7"/>
  <c r="P6372" i="7"/>
  <c r="O6372" i="7"/>
  <c r="U6371" i="7"/>
  <c r="T6371" i="7"/>
  <c r="S6371" i="7"/>
  <c r="R6371" i="7"/>
  <c r="Q6371" i="7"/>
  <c r="P6371" i="7"/>
  <c r="O6371" i="7"/>
  <c r="U6370" i="7"/>
  <c r="T6370" i="7"/>
  <c r="S6370" i="7"/>
  <c r="R6370" i="7"/>
  <c r="Q6370" i="7"/>
  <c r="P6370" i="7"/>
  <c r="O6370" i="7"/>
  <c r="U6369" i="7"/>
  <c r="T6369" i="7"/>
  <c r="S6369" i="7"/>
  <c r="R6369" i="7"/>
  <c r="Q6369" i="7"/>
  <c r="P6369" i="7"/>
  <c r="O6369" i="7"/>
  <c r="U6368" i="7"/>
  <c r="T6368" i="7"/>
  <c r="S6368" i="7"/>
  <c r="R6368" i="7"/>
  <c r="Q6368" i="7"/>
  <c r="P6368" i="7"/>
  <c r="O6368" i="7"/>
  <c r="U6367" i="7"/>
  <c r="T6367" i="7"/>
  <c r="S6367" i="7"/>
  <c r="R6367" i="7"/>
  <c r="Q6367" i="7"/>
  <c r="P6367" i="7"/>
  <c r="O6367" i="7"/>
  <c r="U6366" i="7"/>
  <c r="T6366" i="7"/>
  <c r="S6366" i="7"/>
  <c r="R6366" i="7"/>
  <c r="Q6366" i="7"/>
  <c r="P6366" i="7"/>
  <c r="O6366" i="7"/>
  <c r="U6365" i="7"/>
  <c r="T6365" i="7"/>
  <c r="S6365" i="7"/>
  <c r="R6365" i="7"/>
  <c r="Q6365" i="7"/>
  <c r="P6365" i="7"/>
  <c r="O6365" i="7"/>
  <c r="U6364" i="7"/>
  <c r="T6364" i="7"/>
  <c r="S6364" i="7"/>
  <c r="R6364" i="7"/>
  <c r="Q6364" i="7"/>
  <c r="P6364" i="7"/>
  <c r="O6364" i="7"/>
  <c r="U6363" i="7"/>
  <c r="T6363" i="7"/>
  <c r="S6363" i="7"/>
  <c r="R6363" i="7"/>
  <c r="Q6363" i="7"/>
  <c r="P6363" i="7"/>
  <c r="O6363" i="7"/>
  <c r="U6362" i="7"/>
  <c r="T6362" i="7"/>
  <c r="S6362" i="7"/>
  <c r="R6362" i="7"/>
  <c r="Q6362" i="7"/>
  <c r="P6362" i="7"/>
  <c r="O6362" i="7"/>
  <c r="U6361" i="7"/>
  <c r="T6361" i="7"/>
  <c r="S6361" i="7"/>
  <c r="R6361" i="7"/>
  <c r="Q6361" i="7"/>
  <c r="P6361" i="7"/>
  <c r="O6361" i="7"/>
  <c r="U6360" i="7"/>
  <c r="T6360" i="7"/>
  <c r="S6360" i="7"/>
  <c r="R6360" i="7"/>
  <c r="Q6360" i="7"/>
  <c r="P6360" i="7"/>
  <c r="O6360" i="7"/>
  <c r="U6359" i="7"/>
  <c r="T6359" i="7"/>
  <c r="S6359" i="7"/>
  <c r="R6359" i="7"/>
  <c r="Q6359" i="7"/>
  <c r="P6359" i="7"/>
  <c r="O6359" i="7"/>
  <c r="U6358" i="7"/>
  <c r="T6358" i="7"/>
  <c r="S6358" i="7"/>
  <c r="R6358" i="7"/>
  <c r="Q6358" i="7"/>
  <c r="P6358" i="7"/>
  <c r="O6358" i="7"/>
  <c r="U6357" i="7"/>
  <c r="T6357" i="7"/>
  <c r="S6357" i="7"/>
  <c r="R6357" i="7"/>
  <c r="Q6357" i="7"/>
  <c r="P6357" i="7"/>
  <c r="O6357" i="7"/>
  <c r="U6356" i="7"/>
  <c r="T6356" i="7"/>
  <c r="S6356" i="7"/>
  <c r="R6356" i="7"/>
  <c r="Q6356" i="7"/>
  <c r="P6356" i="7"/>
  <c r="O6356" i="7"/>
  <c r="U6355" i="7"/>
  <c r="T6355" i="7"/>
  <c r="S6355" i="7"/>
  <c r="R6355" i="7"/>
  <c r="Q6355" i="7"/>
  <c r="P6355" i="7"/>
  <c r="O6355" i="7"/>
  <c r="U6354" i="7"/>
  <c r="T6354" i="7"/>
  <c r="S6354" i="7"/>
  <c r="R6354" i="7"/>
  <c r="Q6354" i="7"/>
  <c r="P6354" i="7"/>
  <c r="O6354" i="7"/>
  <c r="U6353" i="7"/>
  <c r="T6353" i="7"/>
  <c r="S6353" i="7"/>
  <c r="R6353" i="7"/>
  <c r="Q6353" i="7"/>
  <c r="P6353" i="7"/>
  <c r="O6353" i="7"/>
  <c r="U6352" i="7"/>
  <c r="T6352" i="7"/>
  <c r="S6352" i="7"/>
  <c r="R6352" i="7"/>
  <c r="Q6352" i="7"/>
  <c r="P6352" i="7"/>
  <c r="O6352" i="7"/>
  <c r="U6351" i="7"/>
  <c r="T6351" i="7"/>
  <c r="S6351" i="7"/>
  <c r="R6351" i="7"/>
  <c r="Q6351" i="7"/>
  <c r="P6351" i="7"/>
  <c r="O6351" i="7"/>
  <c r="U6350" i="7"/>
  <c r="T6350" i="7"/>
  <c r="S6350" i="7"/>
  <c r="R6350" i="7"/>
  <c r="Q6350" i="7"/>
  <c r="P6350" i="7"/>
  <c r="O6350" i="7"/>
  <c r="U6349" i="7"/>
  <c r="T6349" i="7"/>
  <c r="S6349" i="7"/>
  <c r="R6349" i="7"/>
  <c r="Q6349" i="7"/>
  <c r="P6349" i="7"/>
  <c r="O6349" i="7"/>
  <c r="U6348" i="7"/>
  <c r="T6348" i="7"/>
  <c r="S6348" i="7"/>
  <c r="R6348" i="7"/>
  <c r="Q6348" i="7"/>
  <c r="P6348" i="7"/>
  <c r="O6348" i="7"/>
  <c r="U6347" i="7"/>
  <c r="T6347" i="7"/>
  <c r="S6347" i="7"/>
  <c r="R6347" i="7"/>
  <c r="Q6347" i="7"/>
  <c r="P6347" i="7"/>
  <c r="O6347" i="7"/>
  <c r="U6346" i="7"/>
  <c r="T6346" i="7"/>
  <c r="S6346" i="7"/>
  <c r="R6346" i="7"/>
  <c r="Q6346" i="7"/>
  <c r="P6346" i="7"/>
  <c r="O6346" i="7"/>
  <c r="U6345" i="7"/>
  <c r="T6345" i="7"/>
  <c r="S6345" i="7"/>
  <c r="R6345" i="7"/>
  <c r="Q6345" i="7"/>
  <c r="P6345" i="7"/>
  <c r="O6345" i="7"/>
  <c r="U6344" i="7"/>
  <c r="T6344" i="7"/>
  <c r="S6344" i="7"/>
  <c r="R6344" i="7"/>
  <c r="Q6344" i="7"/>
  <c r="P6344" i="7"/>
  <c r="O6344" i="7"/>
  <c r="U6343" i="7"/>
  <c r="T6343" i="7"/>
  <c r="S6343" i="7"/>
  <c r="R6343" i="7"/>
  <c r="Q6343" i="7"/>
  <c r="P6343" i="7"/>
  <c r="O6343" i="7"/>
  <c r="U6342" i="7"/>
  <c r="T6342" i="7"/>
  <c r="S6342" i="7"/>
  <c r="R6342" i="7"/>
  <c r="Q6342" i="7"/>
  <c r="P6342" i="7"/>
  <c r="O6342" i="7"/>
  <c r="U6341" i="7"/>
  <c r="T6341" i="7"/>
  <c r="S6341" i="7"/>
  <c r="R6341" i="7"/>
  <c r="Q6341" i="7"/>
  <c r="P6341" i="7"/>
  <c r="O6341" i="7"/>
  <c r="U6340" i="7"/>
  <c r="T6340" i="7"/>
  <c r="S6340" i="7"/>
  <c r="R6340" i="7"/>
  <c r="Q6340" i="7"/>
  <c r="P6340" i="7"/>
  <c r="O6340" i="7"/>
  <c r="U6339" i="7"/>
  <c r="T6339" i="7"/>
  <c r="S6339" i="7"/>
  <c r="R6339" i="7"/>
  <c r="Q6339" i="7"/>
  <c r="P6339" i="7"/>
  <c r="O6339" i="7"/>
  <c r="U6338" i="7"/>
  <c r="T6338" i="7"/>
  <c r="S6338" i="7"/>
  <c r="R6338" i="7"/>
  <c r="Q6338" i="7"/>
  <c r="P6338" i="7"/>
  <c r="O6338" i="7"/>
  <c r="U6337" i="7"/>
  <c r="T6337" i="7"/>
  <c r="S6337" i="7"/>
  <c r="R6337" i="7"/>
  <c r="Q6337" i="7"/>
  <c r="P6337" i="7"/>
  <c r="O6337" i="7"/>
  <c r="U6336" i="7"/>
  <c r="T6336" i="7"/>
  <c r="S6336" i="7"/>
  <c r="R6336" i="7"/>
  <c r="Q6336" i="7"/>
  <c r="P6336" i="7"/>
  <c r="O6336" i="7"/>
  <c r="U6335" i="7"/>
  <c r="T6335" i="7"/>
  <c r="S6335" i="7"/>
  <c r="R6335" i="7"/>
  <c r="Q6335" i="7"/>
  <c r="P6335" i="7"/>
  <c r="O6335" i="7"/>
  <c r="U6334" i="7"/>
  <c r="T6334" i="7"/>
  <c r="S6334" i="7"/>
  <c r="R6334" i="7"/>
  <c r="Q6334" i="7"/>
  <c r="P6334" i="7"/>
  <c r="O6334" i="7"/>
  <c r="U6333" i="7"/>
  <c r="T6333" i="7"/>
  <c r="S6333" i="7"/>
  <c r="R6333" i="7"/>
  <c r="Q6333" i="7"/>
  <c r="P6333" i="7"/>
  <c r="O6333" i="7"/>
  <c r="U6332" i="7"/>
  <c r="T6332" i="7"/>
  <c r="S6332" i="7"/>
  <c r="R6332" i="7"/>
  <c r="Q6332" i="7"/>
  <c r="P6332" i="7"/>
  <c r="O6332" i="7"/>
  <c r="U6331" i="7"/>
  <c r="T6331" i="7"/>
  <c r="S6331" i="7"/>
  <c r="R6331" i="7"/>
  <c r="Q6331" i="7"/>
  <c r="P6331" i="7"/>
  <c r="O6331" i="7"/>
  <c r="U6330" i="7"/>
  <c r="T6330" i="7"/>
  <c r="S6330" i="7"/>
  <c r="R6330" i="7"/>
  <c r="Q6330" i="7"/>
  <c r="P6330" i="7"/>
  <c r="O6330" i="7"/>
  <c r="U6329" i="7"/>
  <c r="T6329" i="7"/>
  <c r="S6329" i="7"/>
  <c r="R6329" i="7"/>
  <c r="Q6329" i="7"/>
  <c r="P6329" i="7"/>
  <c r="O6329" i="7"/>
  <c r="U6328" i="7"/>
  <c r="T6328" i="7"/>
  <c r="S6328" i="7"/>
  <c r="R6328" i="7"/>
  <c r="Q6328" i="7"/>
  <c r="P6328" i="7"/>
  <c r="O6328" i="7"/>
  <c r="U6327" i="7"/>
  <c r="T6327" i="7"/>
  <c r="S6327" i="7"/>
  <c r="R6327" i="7"/>
  <c r="Q6327" i="7"/>
  <c r="P6327" i="7"/>
  <c r="O6327" i="7"/>
  <c r="U6326" i="7"/>
  <c r="T6326" i="7"/>
  <c r="S6326" i="7"/>
  <c r="R6326" i="7"/>
  <c r="Q6326" i="7"/>
  <c r="P6326" i="7"/>
  <c r="O6326" i="7"/>
  <c r="U6325" i="7"/>
  <c r="T6325" i="7"/>
  <c r="S6325" i="7"/>
  <c r="R6325" i="7"/>
  <c r="Q6325" i="7"/>
  <c r="P6325" i="7"/>
  <c r="O6325" i="7"/>
  <c r="U6324" i="7"/>
  <c r="T6324" i="7"/>
  <c r="S6324" i="7"/>
  <c r="R6324" i="7"/>
  <c r="Q6324" i="7"/>
  <c r="P6324" i="7"/>
  <c r="O6324" i="7"/>
  <c r="U6323" i="7"/>
  <c r="T6323" i="7"/>
  <c r="S6323" i="7"/>
  <c r="R6323" i="7"/>
  <c r="Q6323" i="7"/>
  <c r="P6323" i="7"/>
  <c r="O6323" i="7"/>
  <c r="U6322" i="7"/>
  <c r="T6322" i="7"/>
  <c r="S6322" i="7"/>
  <c r="R6322" i="7"/>
  <c r="Q6322" i="7"/>
  <c r="P6322" i="7"/>
  <c r="O6322" i="7"/>
  <c r="U6321" i="7"/>
  <c r="T6321" i="7"/>
  <c r="S6321" i="7"/>
  <c r="R6321" i="7"/>
  <c r="Q6321" i="7"/>
  <c r="P6321" i="7"/>
  <c r="O6321" i="7"/>
  <c r="U6320" i="7"/>
  <c r="T6320" i="7"/>
  <c r="S6320" i="7"/>
  <c r="R6320" i="7"/>
  <c r="Q6320" i="7"/>
  <c r="P6320" i="7"/>
  <c r="O6320" i="7"/>
  <c r="U6319" i="7"/>
  <c r="T6319" i="7"/>
  <c r="S6319" i="7"/>
  <c r="R6319" i="7"/>
  <c r="Q6319" i="7"/>
  <c r="P6319" i="7"/>
  <c r="O6319" i="7"/>
  <c r="U6318" i="7"/>
  <c r="T6318" i="7"/>
  <c r="S6318" i="7"/>
  <c r="R6318" i="7"/>
  <c r="Q6318" i="7"/>
  <c r="P6318" i="7"/>
  <c r="O6318" i="7"/>
  <c r="U6317" i="7"/>
  <c r="T6317" i="7"/>
  <c r="S6317" i="7"/>
  <c r="R6317" i="7"/>
  <c r="Q6317" i="7"/>
  <c r="P6317" i="7"/>
  <c r="O6317" i="7"/>
  <c r="U6316" i="7"/>
  <c r="T6316" i="7"/>
  <c r="S6316" i="7"/>
  <c r="R6316" i="7"/>
  <c r="Q6316" i="7"/>
  <c r="P6316" i="7"/>
  <c r="O6316" i="7"/>
  <c r="U6315" i="7"/>
  <c r="T6315" i="7"/>
  <c r="S6315" i="7"/>
  <c r="R6315" i="7"/>
  <c r="Q6315" i="7"/>
  <c r="P6315" i="7"/>
  <c r="O6315" i="7"/>
  <c r="U6314" i="7"/>
  <c r="T6314" i="7"/>
  <c r="S6314" i="7"/>
  <c r="R6314" i="7"/>
  <c r="Q6314" i="7"/>
  <c r="P6314" i="7"/>
  <c r="O6314" i="7"/>
  <c r="U6313" i="7"/>
  <c r="T6313" i="7"/>
  <c r="S6313" i="7"/>
  <c r="R6313" i="7"/>
  <c r="Q6313" i="7"/>
  <c r="P6313" i="7"/>
  <c r="O6313" i="7"/>
  <c r="U6312" i="7"/>
  <c r="T6312" i="7"/>
  <c r="S6312" i="7"/>
  <c r="R6312" i="7"/>
  <c r="Q6312" i="7"/>
  <c r="P6312" i="7"/>
  <c r="O6312" i="7"/>
  <c r="U6311" i="7"/>
  <c r="T6311" i="7"/>
  <c r="S6311" i="7"/>
  <c r="R6311" i="7"/>
  <c r="Q6311" i="7"/>
  <c r="P6311" i="7"/>
  <c r="O6311" i="7"/>
  <c r="U6310" i="7"/>
  <c r="T6310" i="7"/>
  <c r="S6310" i="7"/>
  <c r="R6310" i="7"/>
  <c r="Q6310" i="7"/>
  <c r="P6310" i="7"/>
  <c r="O6310" i="7"/>
  <c r="U6309" i="7"/>
  <c r="T6309" i="7"/>
  <c r="S6309" i="7"/>
  <c r="R6309" i="7"/>
  <c r="Q6309" i="7"/>
  <c r="P6309" i="7"/>
  <c r="O6309" i="7"/>
  <c r="U6308" i="7"/>
  <c r="T6308" i="7"/>
  <c r="S6308" i="7"/>
  <c r="R6308" i="7"/>
  <c r="Q6308" i="7"/>
  <c r="P6308" i="7"/>
  <c r="O6308" i="7"/>
  <c r="U6307" i="7"/>
  <c r="T6307" i="7"/>
  <c r="S6307" i="7"/>
  <c r="R6307" i="7"/>
  <c r="Q6307" i="7"/>
  <c r="P6307" i="7"/>
  <c r="O6307" i="7"/>
  <c r="U6306" i="7"/>
  <c r="T6306" i="7"/>
  <c r="S6306" i="7"/>
  <c r="R6306" i="7"/>
  <c r="Q6306" i="7"/>
  <c r="P6306" i="7"/>
  <c r="O6306" i="7"/>
  <c r="U6305" i="7"/>
  <c r="T6305" i="7"/>
  <c r="S6305" i="7"/>
  <c r="R6305" i="7"/>
  <c r="Q6305" i="7"/>
  <c r="P6305" i="7"/>
  <c r="O6305" i="7"/>
  <c r="U6304" i="7"/>
  <c r="T6304" i="7"/>
  <c r="S6304" i="7"/>
  <c r="R6304" i="7"/>
  <c r="Q6304" i="7"/>
  <c r="P6304" i="7"/>
  <c r="O6304" i="7"/>
  <c r="U6303" i="7"/>
  <c r="T6303" i="7"/>
  <c r="S6303" i="7"/>
  <c r="R6303" i="7"/>
  <c r="Q6303" i="7"/>
  <c r="P6303" i="7"/>
  <c r="O6303" i="7"/>
  <c r="U6302" i="7"/>
  <c r="T6302" i="7"/>
  <c r="S6302" i="7"/>
  <c r="R6302" i="7"/>
  <c r="Q6302" i="7"/>
  <c r="P6302" i="7"/>
  <c r="O6302" i="7"/>
  <c r="U6301" i="7"/>
  <c r="T6301" i="7"/>
  <c r="S6301" i="7"/>
  <c r="R6301" i="7"/>
  <c r="Q6301" i="7"/>
  <c r="P6301" i="7"/>
  <c r="O6301" i="7"/>
  <c r="U6300" i="7"/>
  <c r="T6300" i="7"/>
  <c r="S6300" i="7"/>
  <c r="R6300" i="7"/>
  <c r="Q6300" i="7"/>
  <c r="P6300" i="7"/>
  <c r="O6300" i="7"/>
  <c r="U6299" i="7"/>
  <c r="T6299" i="7"/>
  <c r="S6299" i="7"/>
  <c r="R6299" i="7"/>
  <c r="Q6299" i="7"/>
  <c r="P6299" i="7"/>
  <c r="O6299" i="7"/>
  <c r="U6298" i="7"/>
  <c r="T6298" i="7"/>
  <c r="S6298" i="7"/>
  <c r="R6298" i="7"/>
  <c r="Q6298" i="7"/>
  <c r="P6298" i="7"/>
  <c r="O6298" i="7"/>
  <c r="U6297" i="7"/>
  <c r="T6297" i="7"/>
  <c r="S6297" i="7"/>
  <c r="R6297" i="7"/>
  <c r="Q6297" i="7"/>
  <c r="P6297" i="7"/>
  <c r="O6297" i="7"/>
  <c r="U6296" i="7"/>
  <c r="T6296" i="7"/>
  <c r="S6296" i="7"/>
  <c r="R6296" i="7"/>
  <c r="Q6296" i="7"/>
  <c r="P6296" i="7"/>
  <c r="O6296" i="7"/>
  <c r="U6295" i="7"/>
  <c r="T6295" i="7"/>
  <c r="S6295" i="7"/>
  <c r="R6295" i="7"/>
  <c r="Q6295" i="7"/>
  <c r="P6295" i="7"/>
  <c r="O6295" i="7"/>
  <c r="U6294" i="7"/>
  <c r="T6294" i="7"/>
  <c r="S6294" i="7"/>
  <c r="R6294" i="7"/>
  <c r="Q6294" i="7"/>
  <c r="P6294" i="7"/>
  <c r="O6294" i="7"/>
  <c r="U6293" i="7"/>
  <c r="T6293" i="7"/>
  <c r="S6293" i="7"/>
  <c r="R6293" i="7"/>
  <c r="Q6293" i="7"/>
  <c r="P6293" i="7"/>
  <c r="O6293" i="7"/>
  <c r="U6292" i="7"/>
  <c r="T6292" i="7"/>
  <c r="S6292" i="7"/>
  <c r="R6292" i="7"/>
  <c r="Q6292" i="7"/>
  <c r="P6292" i="7"/>
  <c r="O6292" i="7"/>
  <c r="U6291" i="7"/>
  <c r="T6291" i="7"/>
  <c r="S6291" i="7"/>
  <c r="R6291" i="7"/>
  <c r="Q6291" i="7"/>
  <c r="P6291" i="7"/>
  <c r="O6291" i="7"/>
  <c r="U6290" i="7"/>
  <c r="T6290" i="7"/>
  <c r="S6290" i="7"/>
  <c r="R6290" i="7"/>
  <c r="Q6290" i="7"/>
  <c r="P6290" i="7"/>
  <c r="O6290" i="7"/>
  <c r="U6289" i="7"/>
  <c r="T6289" i="7"/>
  <c r="S6289" i="7"/>
  <c r="R6289" i="7"/>
  <c r="Q6289" i="7"/>
  <c r="P6289" i="7"/>
  <c r="O6289" i="7"/>
  <c r="U6288" i="7"/>
  <c r="T6288" i="7"/>
  <c r="S6288" i="7"/>
  <c r="R6288" i="7"/>
  <c r="Q6288" i="7"/>
  <c r="P6288" i="7"/>
  <c r="O6288" i="7"/>
  <c r="U6287" i="7"/>
  <c r="T6287" i="7"/>
  <c r="S6287" i="7"/>
  <c r="R6287" i="7"/>
  <c r="Q6287" i="7"/>
  <c r="P6287" i="7"/>
  <c r="O6287" i="7"/>
  <c r="U6286" i="7"/>
  <c r="T6286" i="7"/>
  <c r="S6286" i="7"/>
  <c r="R6286" i="7"/>
  <c r="Q6286" i="7"/>
  <c r="P6286" i="7"/>
  <c r="O6286" i="7"/>
  <c r="U6285" i="7"/>
  <c r="T6285" i="7"/>
  <c r="S6285" i="7"/>
  <c r="R6285" i="7"/>
  <c r="Q6285" i="7"/>
  <c r="P6285" i="7"/>
  <c r="O6285" i="7"/>
  <c r="U6284" i="7"/>
  <c r="T6284" i="7"/>
  <c r="S6284" i="7"/>
  <c r="R6284" i="7"/>
  <c r="Q6284" i="7"/>
  <c r="P6284" i="7"/>
  <c r="O6284" i="7"/>
  <c r="U6283" i="7"/>
  <c r="T6283" i="7"/>
  <c r="S6283" i="7"/>
  <c r="R6283" i="7"/>
  <c r="Q6283" i="7"/>
  <c r="P6283" i="7"/>
  <c r="O6283" i="7"/>
  <c r="U6282" i="7"/>
  <c r="T6282" i="7"/>
  <c r="S6282" i="7"/>
  <c r="R6282" i="7"/>
  <c r="Q6282" i="7"/>
  <c r="P6282" i="7"/>
  <c r="O6282" i="7"/>
  <c r="U6281" i="7"/>
  <c r="T6281" i="7"/>
  <c r="S6281" i="7"/>
  <c r="R6281" i="7"/>
  <c r="Q6281" i="7"/>
  <c r="P6281" i="7"/>
  <c r="O6281" i="7"/>
  <c r="U6280" i="7"/>
  <c r="T6280" i="7"/>
  <c r="S6280" i="7"/>
  <c r="R6280" i="7"/>
  <c r="Q6280" i="7"/>
  <c r="P6280" i="7"/>
  <c r="O6280" i="7"/>
  <c r="U6279" i="7"/>
  <c r="T6279" i="7"/>
  <c r="S6279" i="7"/>
  <c r="R6279" i="7"/>
  <c r="Q6279" i="7"/>
  <c r="P6279" i="7"/>
  <c r="O6279" i="7"/>
  <c r="U6278" i="7"/>
  <c r="T6278" i="7"/>
  <c r="S6278" i="7"/>
  <c r="R6278" i="7"/>
  <c r="Q6278" i="7"/>
  <c r="P6278" i="7"/>
  <c r="O6278" i="7"/>
  <c r="U6277" i="7"/>
  <c r="T6277" i="7"/>
  <c r="S6277" i="7"/>
  <c r="R6277" i="7"/>
  <c r="Q6277" i="7"/>
  <c r="P6277" i="7"/>
  <c r="O6277" i="7"/>
  <c r="U6276" i="7"/>
  <c r="T6276" i="7"/>
  <c r="S6276" i="7"/>
  <c r="R6276" i="7"/>
  <c r="Q6276" i="7"/>
  <c r="P6276" i="7"/>
  <c r="O6276" i="7"/>
  <c r="U6275" i="7"/>
  <c r="T6275" i="7"/>
  <c r="S6275" i="7"/>
  <c r="R6275" i="7"/>
  <c r="Q6275" i="7"/>
  <c r="P6275" i="7"/>
  <c r="O6275" i="7"/>
  <c r="U6274" i="7"/>
  <c r="T6274" i="7"/>
  <c r="S6274" i="7"/>
  <c r="R6274" i="7"/>
  <c r="Q6274" i="7"/>
  <c r="P6274" i="7"/>
  <c r="O6274" i="7"/>
  <c r="U6273" i="7"/>
  <c r="T6273" i="7"/>
  <c r="S6273" i="7"/>
  <c r="R6273" i="7"/>
  <c r="Q6273" i="7"/>
  <c r="P6273" i="7"/>
  <c r="O6273" i="7"/>
  <c r="U6272" i="7"/>
  <c r="T6272" i="7"/>
  <c r="S6272" i="7"/>
  <c r="R6272" i="7"/>
  <c r="Q6272" i="7"/>
  <c r="P6272" i="7"/>
  <c r="O6272" i="7"/>
  <c r="U6271" i="7"/>
  <c r="T6271" i="7"/>
  <c r="S6271" i="7"/>
  <c r="R6271" i="7"/>
  <c r="Q6271" i="7"/>
  <c r="P6271" i="7"/>
  <c r="O6271" i="7"/>
  <c r="U6270" i="7"/>
  <c r="T6270" i="7"/>
  <c r="S6270" i="7"/>
  <c r="R6270" i="7"/>
  <c r="Q6270" i="7"/>
  <c r="P6270" i="7"/>
  <c r="O6270" i="7"/>
  <c r="U6269" i="7"/>
  <c r="T6269" i="7"/>
  <c r="S6269" i="7"/>
  <c r="R6269" i="7"/>
  <c r="Q6269" i="7"/>
  <c r="P6269" i="7"/>
  <c r="O6269" i="7"/>
  <c r="U6268" i="7"/>
  <c r="T6268" i="7"/>
  <c r="S6268" i="7"/>
  <c r="R6268" i="7"/>
  <c r="Q6268" i="7"/>
  <c r="P6268" i="7"/>
  <c r="O6268" i="7"/>
  <c r="U6267" i="7"/>
  <c r="T6267" i="7"/>
  <c r="S6267" i="7"/>
  <c r="R6267" i="7"/>
  <c r="Q6267" i="7"/>
  <c r="P6267" i="7"/>
  <c r="O6267" i="7"/>
  <c r="U6266" i="7"/>
  <c r="T6266" i="7"/>
  <c r="S6266" i="7"/>
  <c r="R6266" i="7"/>
  <c r="Q6266" i="7"/>
  <c r="P6266" i="7"/>
  <c r="O6266" i="7"/>
  <c r="U6265" i="7"/>
  <c r="T6265" i="7"/>
  <c r="S6265" i="7"/>
  <c r="R6265" i="7"/>
  <c r="Q6265" i="7"/>
  <c r="P6265" i="7"/>
  <c r="O6265" i="7"/>
  <c r="U6264" i="7"/>
  <c r="T6264" i="7"/>
  <c r="S6264" i="7"/>
  <c r="R6264" i="7"/>
  <c r="Q6264" i="7"/>
  <c r="P6264" i="7"/>
  <c r="O6264" i="7"/>
  <c r="U6263" i="7"/>
  <c r="T6263" i="7"/>
  <c r="S6263" i="7"/>
  <c r="R6263" i="7"/>
  <c r="Q6263" i="7"/>
  <c r="P6263" i="7"/>
  <c r="O6263" i="7"/>
  <c r="U6262" i="7"/>
  <c r="T6262" i="7"/>
  <c r="S6262" i="7"/>
  <c r="R6262" i="7"/>
  <c r="Q6262" i="7"/>
  <c r="P6262" i="7"/>
  <c r="O6262" i="7"/>
  <c r="U6261" i="7"/>
  <c r="T6261" i="7"/>
  <c r="S6261" i="7"/>
  <c r="R6261" i="7"/>
  <c r="Q6261" i="7"/>
  <c r="P6261" i="7"/>
  <c r="O6261" i="7"/>
  <c r="U6260" i="7"/>
  <c r="T6260" i="7"/>
  <c r="S6260" i="7"/>
  <c r="R6260" i="7"/>
  <c r="Q6260" i="7"/>
  <c r="P6260" i="7"/>
  <c r="O6260" i="7"/>
  <c r="U6259" i="7"/>
  <c r="T6259" i="7"/>
  <c r="S6259" i="7"/>
  <c r="R6259" i="7"/>
  <c r="Q6259" i="7"/>
  <c r="P6259" i="7"/>
  <c r="O6259" i="7"/>
  <c r="U6258" i="7"/>
  <c r="T6258" i="7"/>
  <c r="S6258" i="7"/>
  <c r="R6258" i="7"/>
  <c r="Q6258" i="7"/>
  <c r="P6258" i="7"/>
  <c r="O6258" i="7"/>
  <c r="U6257" i="7"/>
  <c r="T6257" i="7"/>
  <c r="S6257" i="7"/>
  <c r="R6257" i="7"/>
  <c r="Q6257" i="7"/>
  <c r="P6257" i="7"/>
  <c r="O6257" i="7"/>
  <c r="U6256" i="7"/>
  <c r="T6256" i="7"/>
  <c r="S6256" i="7"/>
  <c r="R6256" i="7"/>
  <c r="Q6256" i="7"/>
  <c r="P6256" i="7"/>
  <c r="O6256" i="7"/>
  <c r="U6255" i="7"/>
  <c r="T6255" i="7"/>
  <c r="S6255" i="7"/>
  <c r="R6255" i="7"/>
  <c r="Q6255" i="7"/>
  <c r="P6255" i="7"/>
  <c r="O6255" i="7"/>
  <c r="U6254" i="7"/>
  <c r="T6254" i="7"/>
  <c r="S6254" i="7"/>
  <c r="R6254" i="7"/>
  <c r="Q6254" i="7"/>
  <c r="P6254" i="7"/>
  <c r="O6254" i="7"/>
  <c r="U6253" i="7"/>
  <c r="T6253" i="7"/>
  <c r="S6253" i="7"/>
  <c r="R6253" i="7"/>
  <c r="Q6253" i="7"/>
  <c r="P6253" i="7"/>
  <c r="O6253" i="7"/>
  <c r="U6252" i="7"/>
  <c r="T6252" i="7"/>
  <c r="S6252" i="7"/>
  <c r="R6252" i="7"/>
  <c r="Q6252" i="7"/>
  <c r="P6252" i="7"/>
  <c r="O6252" i="7"/>
  <c r="U6251" i="7"/>
  <c r="T6251" i="7"/>
  <c r="S6251" i="7"/>
  <c r="R6251" i="7"/>
  <c r="Q6251" i="7"/>
  <c r="P6251" i="7"/>
  <c r="O6251" i="7"/>
  <c r="U6250" i="7"/>
  <c r="T6250" i="7"/>
  <c r="S6250" i="7"/>
  <c r="R6250" i="7"/>
  <c r="Q6250" i="7"/>
  <c r="P6250" i="7"/>
  <c r="O6250" i="7"/>
  <c r="U6249" i="7"/>
  <c r="T6249" i="7"/>
  <c r="S6249" i="7"/>
  <c r="R6249" i="7"/>
  <c r="Q6249" i="7"/>
  <c r="P6249" i="7"/>
  <c r="O6249" i="7"/>
  <c r="U6248" i="7"/>
  <c r="T6248" i="7"/>
  <c r="S6248" i="7"/>
  <c r="R6248" i="7"/>
  <c r="Q6248" i="7"/>
  <c r="P6248" i="7"/>
  <c r="O6248" i="7"/>
  <c r="U6247" i="7"/>
  <c r="T6247" i="7"/>
  <c r="S6247" i="7"/>
  <c r="R6247" i="7"/>
  <c r="Q6247" i="7"/>
  <c r="P6247" i="7"/>
  <c r="O6247" i="7"/>
  <c r="U6246" i="7"/>
  <c r="T6246" i="7"/>
  <c r="S6246" i="7"/>
  <c r="R6246" i="7"/>
  <c r="Q6246" i="7"/>
  <c r="P6246" i="7"/>
  <c r="O6246" i="7"/>
  <c r="U6245" i="7"/>
  <c r="T6245" i="7"/>
  <c r="S6245" i="7"/>
  <c r="R6245" i="7"/>
  <c r="Q6245" i="7"/>
  <c r="P6245" i="7"/>
  <c r="O6245" i="7"/>
  <c r="U6244" i="7"/>
  <c r="T6244" i="7"/>
  <c r="S6244" i="7"/>
  <c r="R6244" i="7"/>
  <c r="Q6244" i="7"/>
  <c r="P6244" i="7"/>
  <c r="O6244" i="7"/>
  <c r="U6243" i="7"/>
  <c r="T6243" i="7"/>
  <c r="S6243" i="7"/>
  <c r="R6243" i="7"/>
  <c r="Q6243" i="7"/>
  <c r="P6243" i="7"/>
  <c r="O6243" i="7"/>
  <c r="U6242" i="7"/>
  <c r="T6242" i="7"/>
  <c r="S6242" i="7"/>
  <c r="R6242" i="7"/>
  <c r="Q6242" i="7"/>
  <c r="P6242" i="7"/>
  <c r="O6242" i="7"/>
  <c r="U6241" i="7"/>
  <c r="T6241" i="7"/>
  <c r="S6241" i="7"/>
  <c r="R6241" i="7"/>
  <c r="Q6241" i="7"/>
  <c r="P6241" i="7"/>
  <c r="O6241" i="7"/>
  <c r="U6240" i="7"/>
  <c r="T6240" i="7"/>
  <c r="S6240" i="7"/>
  <c r="R6240" i="7"/>
  <c r="Q6240" i="7"/>
  <c r="P6240" i="7"/>
  <c r="O6240" i="7"/>
  <c r="U6239" i="7"/>
  <c r="T6239" i="7"/>
  <c r="S6239" i="7"/>
  <c r="R6239" i="7"/>
  <c r="Q6239" i="7"/>
  <c r="P6239" i="7"/>
  <c r="O6239" i="7"/>
  <c r="U6238" i="7"/>
  <c r="T6238" i="7"/>
  <c r="S6238" i="7"/>
  <c r="R6238" i="7"/>
  <c r="Q6238" i="7"/>
  <c r="P6238" i="7"/>
  <c r="O6238" i="7"/>
  <c r="U6237" i="7"/>
  <c r="T6237" i="7"/>
  <c r="S6237" i="7"/>
  <c r="R6237" i="7"/>
  <c r="Q6237" i="7"/>
  <c r="P6237" i="7"/>
  <c r="O6237" i="7"/>
  <c r="U6236" i="7"/>
  <c r="T6236" i="7"/>
  <c r="S6236" i="7"/>
  <c r="R6236" i="7"/>
  <c r="Q6236" i="7"/>
  <c r="P6236" i="7"/>
  <c r="O6236" i="7"/>
  <c r="U6235" i="7"/>
  <c r="T6235" i="7"/>
  <c r="S6235" i="7"/>
  <c r="R6235" i="7"/>
  <c r="Q6235" i="7"/>
  <c r="P6235" i="7"/>
  <c r="O6235" i="7"/>
  <c r="U6234" i="7"/>
  <c r="T6234" i="7"/>
  <c r="S6234" i="7"/>
  <c r="R6234" i="7"/>
  <c r="Q6234" i="7"/>
  <c r="P6234" i="7"/>
  <c r="O6234" i="7"/>
  <c r="U6233" i="7"/>
  <c r="T6233" i="7"/>
  <c r="S6233" i="7"/>
  <c r="R6233" i="7"/>
  <c r="Q6233" i="7"/>
  <c r="P6233" i="7"/>
  <c r="O6233" i="7"/>
  <c r="U6232" i="7"/>
  <c r="T6232" i="7"/>
  <c r="S6232" i="7"/>
  <c r="R6232" i="7"/>
  <c r="Q6232" i="7"/>
  <c r="P6232" i="7"/>
  <c r="O6232" i="7"/>
  <c r="U6231" i="7"/>
  <c r="T6231" i="7"/>
  <c r="S6231" i="7"/>
  <c r="R6231" i="7"/>
  <c r="Q6231" i="7"/>
  <c r="P6231" i="7"/>
  <c r="O6231" i="7"/>
  <c r="U6230" i="7"/>
  <c r="T6230" i="7"/>
  <c r="S6230" i="7"/>
  <c r="R6230" i="7"/>
  <c r="Q6230" i="7"/>
  <c r="P6230" i="7"/>
  <c r="O6230" i="7"/>
  <c r="U6229" i="7"/>
  <c r="T6229" i="7"/>
  <c r="S6229" i="7"/>
  <c r="R6229" i="7"/>
  <c r="Q6229" i="7"/>
  <c r="P6229" i="7"/>
  <c r="O6229" i="7"/>
  <c r="U6228" i="7"/>
  <c r="T6228" i="7"/>
  <c r="S6228" i="7"/>
  <c r="R6228" i="7"/>
  <c r="Q6228" i="7"/>
  <c r="P6228" i="7"/>
  <c r="O6228" i="7"/>
  <c r="U6227" i="7"/>
  <c r="T6227" i="7"/>
  <c r="S6227" i="7"/>
  <c r="R6227" i="7"/>
  <c r="Q6227" i="7"/>
  <c r="P6227" i="7"/>
  <c r="O6227" i="7"/>
  <c r="U6226" i="7"/>
  <c r="T6226" i="7"/>
  <c r="S6226" i="7"/>
  <c r="R6226" i="7"/>
  <c r="Q6226" i="7"/>
  <c r="P6226" i="7"/>
  <c r="O6226" i="7"/>
  <c r="U6225" i="7"/>
  <c r="T6225" i="7"/>
  <c r="S6225" i="7"/>
  <c r="R6225" i="7"/>
  <c r="Q6225" i="7"/>
  <c r="P6225" i="7"/>
  <c r="O6225" i="7"/>
  <c r="U6224" i="7"/>
  <c r="T6224" i="7"/>
  <c r="S6224" i="7"/>
  <c r="R6224" i="7"/>
  <c r="Q6224" i="7"/>
  <c r="P6224" i="7"/>
  <c r="O6224" i="7"/>
  <c r="U6223" i="7"/>
  <c r="T6223" i="7"/>
  <c r="S6223" i="7"/>
  <c r="R6223" i="7"/>
  <c r="Q6223" i="7"/>
  <c r="P6223" i="7"/>
  <c r="O6223" i="7"/>
  <c r="U6222" i="7"/>
  <c r="T6222" i="7"/>
  <c r="S6222" i="7"/>
  <c r="R6222" i="7"/>
  <c r="Q6222" i="7"/>
  <c r="P6222" i="7"/>
  <c r="O6222" i="7"/>
  <c r="U6221" i="7"/>
  <c r="T6221" i="7"/>
  <c r="S6221" i="7"/>
  <c r="R6221" i="7"/>
  <c r="Q6221" i="7"/>
  <c r="P6221" i="7"/>
  <c r="O6221" i="7"/>
  <c r="U6220" i="7"/>
  <c r="T6220" i="7"/>
  <c r="S6220" i="7"/>
  <c r="R6220" i="7"/>
  <c r="Q6220" i="7"/>
  <c r="P6220" i="7"/>
  <c r="O6220" i="7"/>
  <c r="U6219" i="7"/>
  <c r="T6219" i="7"/>
  <c r="S6219" i="7"/>
  <c r="R6219" i="7"/>
  <c r="Q6219" i="7"/>
  <c r="P6219" i="7"/>
  <c r="O6219" i="7"/>
  <c r="U6218" i="7"/>
  <c r="T6218" i="7"/>
  <c r="S6218" i="7"/>
  <c r="R6218" i="7"/>
  <c r="Q6218" i="7"/>
  <c r="P6218" i="7"/>
  <c r="O6218" i="7"/>
  <c r="U6217" i="7"/>
  <c r="T6217" i="7"/>
  <c r="S6217" i="7"/>
  <c r="R6217" i="7"/>
  <c r="Q6217" i="7"/>
  <c r="P6217" i="7"/>
  <c r="O6217" i="7"/>
  <c r="U6216" i="7"/>
  <c r="T6216" i="7"/>
  <c r="S6216" i="7"/>
  <c r="R6216" i="7"/>
  <c r="Q6216" i="7"/>
  <c r="P6216" i="7"/>
  <c r="O6216" i="7"/>
  <c r="U6215" i="7"/>
  <c r="T6215" i="7"/>
  <c r="S6215" i="7"/>
  <c r="R6215" i="7"/>
  <c r="Q6215" i="7"/>
  <c r="P6215" i="7"/>
  <c r="O6215" i="7"/>
  <c r="U6214" i="7"/>
  <c r="T6214" i="7"/>
  <c r="S6214" i="7"/>
  <c r="R6214" i="7"/>
  <c r="Q6214" i="7"/>
  <c r="P6214" i="7"/>
  <c r="O6214" i="7"/>
  <c r="U6213" i="7"/>
  <c r="T6213" i="7"/>
  <c r="S6213" i="7"/>
  <c r="R6213" i="7"/>
  <c r="Q6213" i="7"/>
  <c r="P6213" i="7"/>
  <c r="O6213" i="7"/>
  <c r="U6212" i="7"/>
  <c r="T6212" i="7"/>
  <c r="S6212" i="7"/>
  <c r="R6212" i="7"/>
  <c r="Q6212" i="7"/>
  <c r="P6212" i="7"/>
  <c r="O6212" i="7"/>
  <c r="U6211" i="7"/>
  <c r="T6211" i="7"/>
  <c r="S6211" i="7"/>
  <c r="R6211" i="7"/>
  <c r="Q6211" i="7"/>
  <c r="P6211" i="7"/>
  <c r="O6211" i="7"/>
  <c r="U6210" i="7"/>
  <c r="T6210" i="7"/>
  <c r="S6210" i="7"/>
  <c r="R6210" i="7"/>
  <c r="Q6210" i="7"/>
  <c r="P6210" i="7"/>
  <c r="O6210" i="7"/>
  <c r="U6209" i="7"/>
  <c r="T6209" i="7"/>
  <c r="S6209" i="7"/>
  <c r="R6209" i="7"/>
  <c r="Q6209" i="7"/>
  <c r="P6209" i="7"/>
  <c r="O6209" i="7"/>
  <c r="U6208" i="7"/>
  <c r="T6208" i="7"/>
  <c r="S6208" i="7"/>
  <c r="R6208" i="7"/>
  <c r="Q6208" i="7"/>
  <c r="P6208" i="7"/>
  <c r="O6208" i="7"/>
  <c r="U6207" i="7"/>
  <c r="T6207" i="7"/>
  <c r="S6207" i="7"/>
  <c r="R6207" i="7"/>
  <c r="Q6207" i="7"/>
  <c r="P6207" i="7"/>
  <c r="O6207" i="7"/>
  <c r="U6206" i="7"/>
  <c r="T6206" i="7"/>
  <c r="S6206" i="7"/>
  <c r="R6206" i="7"/>
  <c r="Q6206" i="7"/>
  <c r="P6206" i="7"/>
  <c r="O6206" i="7"/>
  <c r="U6205" i="7"/>
  <c r="T6205" i="7"/>
  <c r="S6205" i="7"/>
  <c r="R6205" i="7"/>
  <c r="Q6205" i="7"/>
  <c r="P6205" i="7"/>
  <c r="O6205" i="7"/>
  <c r="U6204" i="7"/>
  <c r="T6204" i="7"/>
  <c r="S6204" i="7"/>
  <c r="R6204" i="7"/>
  <c r="Q6204" i="7"/>
  <c r="P6204" i="7"/>
  <c r="O6204" i="7"/>
  <c r="U6203" i="7"/>
  <c r="T6203" i="7"/>
  <c r="S6203" i="7"/>
  <c r="R6203" i="7"/>
  <c r="Q6203" i="7"/>
  <c r="P6203" i="7"/>
  <c r="O6203" i="7"/>
  <c r="U6202" i="7"/>
  <c r="T6202" i="7"/>
  <c r="S6202" i="7"/>
  <c r="R6202" i="7"/>
  <c r="Q6202" i="7"/>
  <c r="P6202" i="7"/>
  <c r="O6202" i="7"/>
  <c r="U6201" i="7"/>
  <c r="T6201" i="7"/>
  <c r="S6201" i="7"/>
  <c r="R6201" i="7"/>
  <c r="Q6201" i="7"/>
  <c r="P6201" i="7"/>
  <c r="O6201" i="7"/>
  <c r="U6200" i="7"/>
  <c r="T6200" i="7"/>
  <c r="S6200" i="7"/>
  <c r="R6200" i="7"/>
  <c r="Q6200" i="7"/>
  <c r="P6200" i="7"/>
  <c r="O6200" i="7"/>
  <c r="U6199" i="7"/>
  <c r="T6199" i="7"/>
  <c r="S6199" i="7"/>
  <c r="R6199" i="7"/>
  <c r="Q6199" i="7"/>
  <c r="P6199" i="7"/>
  <c r="O6199" i="7"/>
  <c r="U6198" i="7"/>
  <c r="T6198" i="7"/>
  <c r="S6198" i="7"/>
  <c r="R6198" i="7"/>
  <c r="Q6198" i="7"/>
  <c r="P6198" i="7"/>
  <c r="O6198" i="7"/>
  <c r="U6197" i="7"/>
  <c r="T6197" i="7"/>
  <c r="S6197" i="7"/>
  <c r="R6197" i="7"/>
  <c r="Q6197" i="7"/>
  <c r="P6197" i="7"/>
  <c r="O6197" i="7"/>
  <c r="U6196" i="7"/>
  <c r="T6196" i="7"/>
  <c r="S6196" i="7"/>
  <c r="R6196" i="7"/>
  <c r="Q6196" i="7"/>
  <c r="P6196" i="7"/>
  <c r="O6196" i="7"/>
  <c r="U6195" i="7"/>
  <c r="T6195" i="7"/>
  <c r="S6195" i="7"/>
  <c r="R6195" i="7"/>
  <c r="Q6195" i="7"/>
  <c r="P6195" i="7"/>
  <c r="O6195" i="7"/>
  <c r="U6194" i="7"/>
  <c r="T6194" i="7"/>
  <c r="S6194" i="7"/>
  <c r="R6194" i="7"/>
  <c r="Q6194" i="7"/>
  <c r="P6194" i="7"/>
  <c r="O6194" i="7"/>
  <c r="U6193" i="7"/>
  <c r="T6193" i="7"/>
  <c r="S6193" i="7"/>
  <c r="R6193" i="7"/>
  <c r="Q6193" i="7"/>
  <c r="P6193" i="7"/>
  <c r="O6193" i="7"/>
  <c r="U6192" i="7"/>
  <c r="T6192" i="7"/>
  <c r="S6192" i="7"/>
  <c r="R6192" i="7"/>
  <c r="Q6192" i="7"/>
  <c r="P6192" i="7"/>
  <c r="O6192" i="7"/>
  <c r="U6191" i="7"/>
  <c r="T6191" i="7"/>
  <c r="S6191" i="7"/>
  <c r="R6191" i="7"/>
  <c r="Q6191" i="7"/>
  <c r="P6191" i="7"/>
  <c r="O6191" i="7"/>
  <c r="U6190" i="7"/>
  <c r="T6190" i="7"/>
  <c r="S6190" i="7"/>
  <c r="R6190" i="7"/>
  <c r="Q6190" i="7"/>
  <c r="P6190" i="7"/>
  <c r="O6190" i="7"/>
  <c r="U6189" i="7"/>
  <c r="T6189" i="7"/>
  <c r="S6189" i="7"/>
  <c r="R6189" i="7"/>
  <c r="Q6189" i="7"/>
  <c r="P6189" i="7"/>
  <c r="O6189" i="7"/>
  <c r="U6188" i="7"/>
  <c r="T6188" i="7"/>
  <c r="S6188" i="7"/>
  <c r="R6188" i="7"/>
  <c r="Q6188" i="7"/>
  <c r="P6188" i="7"/>
  <c r="O6188" i="7"/>
  <c r="U6187" i="7"/>
  <c r="T6187" i="7"/>
  <c r="S6187" i="7"/>
  <c r="R6187" i="7"/>
  <c r="Q6187" i="7"/>
  <c r="P6187" i="7"/>
  <c r="O6187" i="7"/>
  <c r="U6186" i="7"/>
  <c r="T6186" i="7"/>
  <c r="S6186" i="7"/>
  <c r="R6186" i="7"/>
  <c r="Q6186" i="7"/>
  <c r="P6186" i="7"/>
  <c r="O6186" i="7"/>
  <c r="U6185" i="7"/>
  <c r="T6185" i="7"/>
  <c r="S6185" i="7"/>
  <c r="R6185" i="7"/>
  <c r="Q6185" i="7"/>
  <c r="P6185" i="7"/>
  <c r="O6185" i="7"/>
  <c r="U6184" i="7"/>
  <c r="T6184" i="7"/>
  <c r="S6184" i="7"/>
  <c r="R6184" i="7"/>
  <c r="Q6184" i="7"/>
  <c r="P6184" i="7"/>
  <c r="O6184" i="7"/>
  <c r="U6183" i="7"/>
  <c r="T6183" i="7"/>
  <c r="S6183" i="7"/>
  <c r="R6183" i="7"/>
  <c r="Q6183" i="7"/>
  <c r="P6183" i="7"/>
  <c r="O6183" i="7"/>
  <c r="U6182" i="7"/>
  <c r="T6182" i="7"/>
  <c r="S6182" i="7"/>
  <c r="R6182" i="7"/>
  <c r="Q6182" i="7"/>
  <c r="P6182" i="7"/>
  <c r="O6182" i="7"/>
  <c r="U6181" i="7"/>
  <c r="T6181" i="7"/>
  <c r="S6181" i="7"/>
  <c r="R6181" i="7"/>
  <c r="Q6181" i="7"/>
  <c r="P6181" i="7"/>
  <c r="O6181" i="7"/>
  <c r="U6180" i="7"/>
  <c r="T6180" i="7"/>
  <c r="S6180" i="7"/>
  <c r="R6180" i="7"/>
  <c r="Q6180" i="7"/>
  <c r="P6180" i="7"/>
  <c r="O6180" i="7"/>
  <c r="U6179" i="7"/>
  <c r="T6179" i="7"/>
  <c r="S6179" i="7"/>
  <c r="R6179" i="7"/>
  <c r="Q6179" i="7"/>
  <c r="P6179" i="7"/>
  <c r="O6179" i="7"/>
  <c r="U6178" i="7"/>
  <c r="T6178" i="7"/>
  <c r="S6178" i="7"/>
  <c r="R6178" i="7"/>
  <c r="Q6178" i="7"/>
  <c r="P6178" i="7"/>
  <c r="O6178" i="7"/>
  <c r="U6177" i="7"/>
  <c r="T6177" i="7"/>
  <c r="S6177" i="7"/>
  <c r="R6177" i="7"/>
  <c r="Q6177" i="7"/>
  <c r="P6177" i="7"/>
  <c r="O6177" i="7"/>
  <c r="U6176" i="7"/>
  <c r="T6176" i="7"/>
  <c r="S6176" i="7"/>
  <c r="R6176" i="7"/>
  <c r="Q6176" i="7"/>
  <c r="P6176" i="7"/>
  <c r="O6176" i="7"/>
  <c r="U6175" i="7"/>
  <c r="T6175" i="7"/>
  <c r="S6175" i="7"/>
  <c r="R6175" i="7"/>
  <c r="Q6175" i="7"/>
  <c r="P6175" i="7"/>
  <c r="O6175" i="7"/>
  <c r="U6174" i="7"/>
  <c r="T6174" i="7"/>
  <c r="S6174" i="7"/>
  <c r="R6174" i="7"/>
  <c r="Q6174" i="7"/>
  <c r="P6174" i="7"/>
  <c r="O6174" i="7"/>
  <c r="U6173" i="7"/>
  <c r="T6173" i="7"/>
  <c r="S6173" i="7"/>
  <c r="R6173" i="7"/>
  <c r="Q6173" i="7"/>
  <c r="P6173" i="7"/>
  <c r="O6173" i="7"/>
  <c r="U6172" i="7"/>
  <c r="T6172" i="7"/>
  <c r="S6172" i="7"/>
  <c r="R6172" i="7"/>
  <c r="Q6172" i="7"/>
  <c r="P6172" i="7"/>
  <c r="O6172" i="7"/>
  <c r="U6171" i="7"/>
  <c r="T6171" i="7"/>
  <c r="S6171" i="7"/>
  <c r="R6171" i="7"/>
  <c r="Q6171" i="7"/>
  <c r="P6171" i="7"/>
  <c r="O6171" i="7"/>
  <c r="U6170" i="7"/>
  <c r="T6170" i="7"/>
  <c r="S6170" i="7"/>
  <c r="R6170" i="7"/>
  <c r="Q6170" i="7"/>
  <c r="P6170" i="7"/>
  <c r="O6170" i="7"/>
  <c r="U6169" i="7"/>
  <c r="T6169" i="7"/>
  <c r="S6169" i="7"/>
  <c r="R6169" i="7"/>
  <c r="Q6169" i="7"/>
  <c r="P6169" i="7"/>
  <c r="O6169" i="7"/>
  <c r="U6168" i="7"/>
  <c r="T6168" i="7"/>
  <c r="S6168" i="7"/>
  <c r="R6168" i="7"/>
  <c r="Q6168" i="7"/>
  <c r="P6168" i="7"/>
  <c r="O6168" i="7"/>
  <c r="U6167" i="7"/>
  <c r="T6167" i="7"/>
  <c r="S6167" i="7"/>
  <c r="R6167" i="7"/>
  <c r="Q6167" i="7"/>
  <c r="P6167" i="7"/>
  <c r="O6167" i="7"/>
  <c r="U6166" i="7"/>
  <c r="T6166" i="7"/>
  <c r="S6166" i="7"/>
  <c r="R6166" i="7"/>
  <c r="Q6166" i="7"/>
  <c r="P6166" i="7"/>
  <c r="O6166" i="7"/>
  <c r="U6165" i="7"/>
  <c r="T6165" i="7"/>
  <c r="S6165" i="7"/>
  <c r="R6165" i="7"/>
  <c r="Q6165" i="7"/>
  <c r="P6165" i="7"/>
  <c r="O6165" i="7"/>
  <c r="U6164" i="7"/>
  <c r="T6164" i="7"/>
  <c r="S6164" i="7"/>
  <c r="R6164" i="7"/>
  <c r="Q6164" i="7"/>
  <c r="P6164" i="7"/>
  <c r="O6164" i="7"/>
  <c r="U6163" i="7"/>
  <c r="T6163" i="7"/>
  <c r="S6163" i="7"/>
  <c r="R6163" i="7"/>
  <c r="Q6163" i="7"/>
  <c r="P6163" i="7"/>
  <c r="O6163" i="7"/>
  <c r="U6162" i="7"/>
  <c r="T6162" i="7"/>
  <c r="S6162" i="7"/>
  <c r="R6162" i="7"/>
  <c r="Q6162" i="7"/>
  <c r="P6162" i="7"/>
  <c r="O6162" i="7"/>
  <c r="U6161" i="7"/>
  <c r="T6161" i="7"/>
  <c r="S6161" i="7"/>
  <c r="R6161" i="7"/>
  <c r="Q6161" i="7"/>
  <c r="P6161" i="7"/>
  <c r="O6161" i="7"/>
  <c r="U6160" i="7"/>
  <c r="T6160" i="7"/>
  <c r="S6160" i="7"/>
  <c r="R6160" i="7"/>
  <c r="Q6160" i="7"/>
  <c r="P6160" i="7"/>
  <c r="O6160" i="7"/>
  <c r="U6159" i="7"/>
  <c r="T6159" i="7"/>
  <c r="S6159" i="7"/>
  <c r="R6159" i="7"/>
  <c r="Q6159" i="7"/>
  <c r="P6159" i="7"/>
  <c r="O6159" i="7"/>
  <c r="U6158" i="7"/>
  <c r="T6158" i="7"/>
  <c r="S6158" i="7"/>
  <c r="R6158" i="7"/>
  <c r="Q6158" i="7"/>
  <c r="P6158" i="7"/>
  <c r="O6158" i="7"/>
  <c r="U6157" i="7"/>
  <c r="T6157" i="7"/>
  <c r="S6157" i="7"/>
  <c r="R6157" i="7"/>
  <c r="Q6157" i="7"/>
  <c r="P6157" i="7"/>
  <c r="O6157" i="7"/>
  <c r="U6156" i="7"/>
  <c r="T6156" i="7"/>
  <c r="S6156" i="7"/>
  <c r="R6156" i="7"/>
  <c r="Q6156" i="7"/>
  <c r="P6156" i="7"/>
  <c r="O6156" i="7"/>
  <c r="U6155" i="7"/>
  <c r="T6155" i="7"/>
  <c r="S6155" i="7"/>
  <c r="R6155" i="7"/>
  <c r="Q6155" i="7"/>
  <c r="P6155" i="7"/>
  <c r="O6155" i="7"/>
  <c r="U6154" i="7"/>
  <c r="T6154" i="7"/>
  <c r="S6154" i="7"/>
  <c r="R6154" i="7"/>
  <c r="Q6154" i="7"/>
  <c r="P6154" i="7"/>
  <c r="O6154" i="7"/>
  <c r="U6153" i="7"/>
  <c r="T6153" i="7"/>
  <c r="S6153" i="7"/>
  <c r="R6153" i="7"/>
  <c r="Q6153" i="7"/>
  <c r="P6153" i="7"/>
  <c r="O6153" i="7"/>
  <c r="U6152" i="7"/>
  <c r="T6152" i="7"/>
  <c r="S6152" i="7"/>
  <c r="R6152" i="7"/>
  <c r="Q6152" i="7"/>
  <c r="P6152" i="7"/>
  <c r="O6152" i="7"/>
  <c r="U6151" i="7"/>
  <c r="T6151" i="7"/>
  <c r="S6151" i="7"/>
  <c r="R6151" i="7"/>
  <c r="Q6151" i="7"/>
  <c r="P6151" i="7"/>
  <c r="O6151" i="7"/>
  <c r="U6150" i="7"/>
  <c r="T6150" i="7"/>
  <c r="S6150" i="7"/>
  <c r="R6150" i="7"/>
  <c r="Q6150" i="7"/>
  <c r="P6150" i="7"/>
  <c r="O6150" i="7"/>
  <c r="U6149" i="7"/>
  <c r="T6149" i="7"/>
  <c r="S6149" i="7"/>
  <c r="R6149" i="7"/>
  <c r="Q6149" i="7"/>
  <c r="P6149" i="7"/>
  <c r="O6149" i="7"/>
  <c r="U6148" i="7"/>
  <c r="T6148" i="7"/>
  <c r="S6148" i="7"/>
  <c r="R6148" i="7"/>
  <c r="Q6148" i="7"/>
  <c r="P6148" i="7"/>
  <c r="O6148" i="7"/>
  <c r="U6147" i="7"/>
  <c r="T6147" i="7"/>
  <c r="S6147" i="7"/>
  <c r="R6147" i="7"/>
  <c r="Q6147" i="7"/>
  <c r="P6147" i="7"/>
  <c r="O6147" i="7"/>
  <c r="U6146" i="7"/>
  <c r="T6146" i="7"/>
  <c r="S6146" i="7"/>
  <c r="R6146" i="7"/>
  <c r="Q6146" i="7"/>
  <c r="P6146" i="7"/>
  <c r="O6146" i="7"/>
  <c r="U6145" i="7"/>
  <c r="T6145" i="7"/>
  <c r="S6145" i="7"/>
  <c r="R6145" i="7"/>
  <c r="Q6145" i="7"/>
  <c r="P6145" i="7"/>
  <c r="O6145" i="7"/>
  <c r="U6144" i="7"/>
  <c r="T6144" i="7"/>
  <c r="S6144" i="7"/>
  <c r="R6144" i="7"/>
  <c r="Q6144" i="7"/>
  <c r="P6144" i="7"/>
  <c r="O6144" i="7"/>
  <c r="U6143" i="7"/>
  <c r="T6143" i="7"/>
  <c r="S6143" i="7"/>
  <c r="R6143" i="7"/>
  <c r="Q6143" i="7"/>
  <c r="P6143" i="7"/>
  <c r="O6143" i="7"/>
  <c r="U6142" i="7"/>
  <c r="T6142" i="7"/>
  <c r="S6142" i="7"/>
  <c r="R6142" i="7"/>
  <c r="Q6142" i="7"/>
  <c r="P6142" i="7"/>
  <c r="O6142" i="7"/>
  <c r="U6141" i="7"/>
  <c r="T6141" i="7"/>
  <c r="S6141" i="7"/>
  <c r="R6141" i="7"/>
  <c r="Q6141" i="7"/>
  <c r="P6141" i="7"/>
  <c r="O6141" i="7"/>
  <c r="U6140" i="7"/>
  <c r="T6140" i="7"/>
  <c r="S6140" i="7"/>
  <c r="R6140" i="7"/>
  <c r="Q6140" i="7"/>
  <c r="P6140" i="7"/>
  <c r="O6140" i="7"/>
  <c r="U6139" i="7"/>
  <c r="T6139" i="7"/>
  <c r="S6139" i="7"/>
  <c r="R6139" i="7"/>
  <c r="Q6139" i="7"/>
  <c r="P6139" i="7"/>
  <c r="O6139" i="7"/>
  <c r="U6138" i="7"/>
  <c r="T6138" i="7"/>
  <c r="S6138" i="7"/>
  <c r="R6138" i="7"/>
  <c r="Q6138" i="7"/>
  <c r="P6138" i="7"/>
  <c r="O6138" i="7"/>
  <c r="U6137" i="7"/>
  <c r="T6137" i="7"/>
  <c r="S6137" i="7"/>
  <c r="R6137" i="7"/>
  <c r="Q6137" i="7"/>
  <c r="P6137" i="7"/>
  <c r="O6137" i="7"/>
  <c r="U6136" i="7"/>
  <c r="T6136" i="7"/>
  <c r="S6136" i="7"/>
  <c r="R6136" i="7"/>
  <c r="Q6136" i="7"/>
  <c r="P6136" i="7"/>
  <c r="O6136" i="7"/>
  <c r="U6135" i="7"/>
  <c r="T6135" i="7"/>
  <c r="S6135" i="7"/>
  <c r="R6135" i="7"/>
  <c r="Q6135" i="7"/>
  <c r="P6135" i="7"/>
  <c r="O6135" i="7"/>
  <c r="U6134" i="7"/>
  <c r="T6134" i="7"/>
  <c r="S6134" i="7"/>
  <c r="R6134" i="7"/>
  <c r="Q6134" i="7"/>
  <c r="P6134" i="7"/>
  <c r="O6134" i="7"/>
  <c r="U6133" i="7"/>
  <c r="T6133" i="7"/>
  <c r="S6133" i="7"/>
  <c r="R6133" i="7"/>
  <c r="Q6133" i="7"/>
  <c r="P6133" i="7"/>
  <c r="O6133" i="7"/>
  <c r="U6132" i="7"/>
  <c r="T6132" i="7"/>
  <c r="S6132" i="7"/>
  <c r="R6132" i="7"/>
  <c r="Q6132" i="7"/>
  <c r="P6132" i="7"/>
  <c r="O6132" i="7"/>
  <c r="U6131" i="7"/>
  <c r="T6131" i="7"/>
  <c r="S6131" i="7"/>
  <c r="R6131" i="7"/>
  <c r="Q6131" i="7"/>
  <c r="P6131" i="7"/>
  <c r="O6131" i="7"/>
  <c r="U6130" i="7"/>
  <c r="T6130" i="7"/>
  <c r="S6130" i="7"/>
  <c r="R6130" i="7"/>
  <c r="Q6130" i="7"/>
  <c r="P6130" i="7"/>
  <c r="O6130" i="7"/>
  <c r="U6129" i="7"/>
  <c r="T6129" i="7"/>
  <c r="S6129" i="7"/>
  <c r="R6129" i="7"/>
  <c r="Q6129" i="7"/>
  <c r="P6129" i="7"/>
  <c r="O6129" i="7"/>
  <c r="U6128" i="7"/>
  <c r="T6128" i="7"/>
  <c r="S6128" i="7"/>
  <c r="R6128" i="7"/>
  <c r="Q6128" i="7"/>
  <c r="P6128" i="7"/>
  <c r="O6128" i="7"/>
  <c r="U6127" i="7"/>
  <c r="T6127" i="7"/>
  <c r="S6127" i="7"/>
  <c r="R6127" i="7"/>
  <c r="Q6127" i="7"/>
  <c r="P6127" i="7"/>
  <c r="O6127" i="7"/>
  <c r="U6126" i="7"/>
  <c r="T6126" i="7"/>
  <c r="S6126" i="7"/>
  <c r="R6126" i="7"/>
  <c r="Q6126" i="7"/>
  <c r="P6126" i="7"/>
  <c r="O6126" i="7"/>
  <c r="U6125" i="7"/>
  <c r="T6125" i="7"/>
  <c r="S6125" i="7"/>
  <c r="R6125" i="7"/>
  <c r="Q6125" i="7"/>
  <c r="P6125" i="7"/>
  <c r="O6125" i="7"/>
  <c r="U6124" i="7"/>
  <c r="T6124" i="7"/>
  <c r="S6124" i="7"/>
  <c r="R6124" i="7"/>
  <c r="Q6124" i="7"/>
  <c r="P6124" i="7"/>
  <c r="O6124" i="7"/>
  <c r="U6123" i="7"/>
  <c r="T6123" i="7"/>
  <c r="S6123" i="7"/>
  <c r="R6123" i="7"/>
  <c r="Q6123" i="7"/>
  <c r="P6123" i="7"/>
  <c r="O6123" i="7"/>
  <c r="U6122" i="7"/>
  <c r="T6122" i="7"/>
  <c r="S6122" i="7"/>
  <c r="R6122" i="7"/>
  <c r="Q6122" i="7"/>
  <c r="P6122" i="7"/>
  <c r="O6122" i="7"/>
  <c r="U6121" i="7"/>
  <c r="T6121" i="7"/>
  <c r="S6121" i="7"/>
  <c r="R6121" i="7"/>
  <c r="Q6121" i="7"/>
  <c r="P6121" i="7"/>
  <c r="O6121" i="7"/>
  <c r="U6120" i="7"/>
  <c r="T6120" i="7"/>
  <c r="S6120" i="7"/>
  <c r="R6120" i="7"/>
  <c r="Q6120" i="7"/>
  <c r="P6120" i="7"/>
  <c r="O6120" i="7"/>
  <c r="U6119" i="7"/>
  <c r="T6119" i="7"/>
  <c r="S6119" i="7"/>
  <c r="R6119" i="7"/>
  <c r="Q6119" i="7"/>
  <c r="P6119" i="7"/>
  <c r="O6119" i="7"/>
  <c r="U6118" i="7"/>
  <c r="T6118" i="7"/>
  <c r="S6118" i="7"/>
  <c r="R6118" i="7"/>
  <c r="Q6118" i="7"/>
  <c r="P6118" i="7"/>
  <c r="O6118" i="7"/>
  <c r="U6117" i="7"/>
  <c r="T6117" i="7"/>
  <c r="S6117" i="7"/>
  <c r="R6117" i="7"/>
  <c r="Q6117" i="7"/>
  <c r="P6117" i="7"/>
  <c r="O6117" i="7"/>
  <c r="U6116" i="7"/>
  <c r="T6116" i="7"/>
  <c r="S6116" i="7"/>
  <c r="R6116" i="7"/>
  <c r="Q6116" i="7"/>
  <c r="P6116" i="7"/>
  <c r="O6116" i="7"/>
  <c r="U6115" i="7"/>
  <c r="T6115" i="7"/>
  <c r="S6115" i="7"/>
  <c r="R6115" i="7"/>
  <c r="Q6115" i="7"/>
  <c r="P6115" i="7"/>
  <c r="O6115" i="7"/>
  <c r="U6114" i="7"/>
  <c r="T6114" i="7"/>
  <c r="S6114" i="7"/>
  <c r="R6114" i="7"/>
  <c r="Q6114" i="7"/>
  <c r="P6114" i="7"/>
  <c r="O6114" i="7"/>
  <c r="U6113" i="7"/>
  <c r="T6113" i="7"/>
  <c r="S6113" i="7"/>
  <c r="R6113" i="7"/>
  <c r="Q6113" i="7"/>
  <c r="P6113" i="7"/>
  <c r="O6113" i="7"/>
  <c r="U6112" i="7"/>
  <c r="T6112" i="7"/>
  <c r="S6112" i="7"/>
  <c r="R6112" i="7"/>
  <c r="Q6112" i="7"/>
  <c r="P6112" i="7"/>
  <c r="O6112" i="7"/>
  <c r="U6111" i="7"/>
  <c r="T6111" i="7"/>
  <c r="S6111" i="7"/>
  <c r="R6111" i="7"/>
  <c r="Q6111" i="7"/>
  <c r="P6111" i="7"/>
  <c r="O6111" i="7"/>
  <c r="U6110" i="7"/>
  <c r="T6110" i="7"/>
  <c r="S6110" i="7"/>
  <c r="R6110" i="7"/>
  <c r="Q6110" i="7"/>
  <c r="P6110" i="7"/>
  <c r="O6110" i="7"/>
  <c r="U6109" i="7"/>
  <c r="T6109" i="7"/>
  <c r="S6109" i="7"/>
  <c r="R6109" i="7"/>
  <c r="Q6109" i="7"/>
  <c r="P6109" i="7"/>
  <c r="O6109" i="7"/>
  <c r="U6108" i="7"/>
  <c r="T6108" i="7"/>
  <c r="S6108" i="7"/>
  <c r="R6108" i="7"/>
  <c r="Q6108" i="7"/>
  <c r="P6108" i="7"/>
  <c r="O6108" i="7"/>
  <c r="U6107" i="7"/>
  <c r="T6107" i="7"/>
  <c r="S6107" i="7"/>
  <c r="R6107" i="7"/>
  <c r="Q6107" i="7"/>
  <c r="P6107" i="7"/>
  <c r="O6107" i="7"/>
  <c r="U6106" i="7"/>
  <c r="T6106" i="7"/>
  <c r="S6106" i="7"/>
  <c r="R6106" i="7"/>
  <c r="Q6106" i="7"/>
  <c r="P6106" i="7"/>
  <c r="O6106" i="7"/>
  <c r="U6105" i="7"/>
  <c r="T6105" i="7"/>
  <c r="S6105" i="7"/>
  <c r="R6105" i="7"/>
  <c r="Q6105" i="7"/>
  <c r="P6105" i="7"/>
  <c r="O6105" i="7"/>
  <c r="U6104" i="7"/>
  <c r="T6104" i="7"/>
  <c r="S6104" i="7"/>
  <c r="R6104" i="7"/>
  <c r="Q6104" i="7"/>
  <c r="P6104" i="7"/>
  <c r="O6104" i="7"/>
  <c r="U6103" i="7"/>
  <c r="T6103" i="7"/>
  <c r="S6103" i="7"/>
  <c r="R6103" i="7"/>
  <c r="Q6103" i="7"/>
  <c r="P6103" i="7"/>
  <c r="O6103" i="7"/>
  <c r="U6102" i="7"/>
  <c r="T6102" i="7"/>
  <c r="S6102" i="7"/>
  <c r="R6102" i="7"/>
  <c r="Q6102" i="7"/>
  <c r="P6102" i="7"/>
  <c r="O6102" i="7"/>
  <c r="U6101" i="7"/>
  <c r="T6101" i="7"/>
  <c r="S6101" i="7"/>
  <c r="R6101" i="7"/>
  <c r="Q6101" i="7"/>
  <c r="P6101" i="7"/>
  <c r="O6101" i="7"/>
  <c r="U6100" i="7"/>
  <c r="T6100" i="7"/>
  <c r="S6100" i="7"/>
  <c r="R6100" i="7"/>
  <c r="Q6100" i="7"/>
  <c r="P6100" i="7"/>
  <c r="O6100" i="7"/>
  <c r="U6099" i="7"/>
  <c r="T6099" i="7"/>
  <c r="S6099" i="7"/>
  <c r="R6099" i="7"/>
  <c r="Q6099" i="7"/>
  <c r="P6099" i="7"/>
  <c r="O6099" i="7"/>
  <c r="U6098" i="7"/>
  <c r="T6098" i="7"/>
  <c r="S6098" i="7"/>
  <c r="R6098" i="7"/>
  <c r="Q6098" i="7"/>
  <c r="P6098" i="7"/>
  <c r="O6098" i="7"/>
  <c r="U6097" i="7"/>
  <c r="T6097" i="7"/>
  <c r="S6097" i="7"/>
  <c r="R6097" i="7"/>
  <c r="Q6097" i="7"/>
  <c r="P6097" i="7"/>
  <c r="O6097" i="7"/>
  <c r="U6096" i="7"/>
  <c r="T6096" i="7"/>
  <c r="S6096" i="7"/>
  <c r="R6096" i="7"/>
  <c r="Q6096" i="7"/>
  <c r="P6096" i="7"/>
  <c r="O6096" i="7"/>
  <c r="U6095" i="7"/>
  <c r="T6095" i="7"/>
  <c r="S6095" i="7"/>
  <c r="R6095" i="7"/>
  <c r="Q6095" i="7"/>
  <c r="P6095" i="7"/>
  <c r="O6095" i="7"/>
  <c r="U6094" i="7"/>
  <c r="T6094" i="7"/>
  <c r="S6094" i="7"/>
  <c r="R6094" i="7"/>
  <c r="Q6094" i="7"/>
  <c r="P6094" i="7"/>
  <c r="O6094" i="7"/>
  <c r="U6093" i="7"/>
  <c r="T6093" i="7"/>
  <c r="S6093" i="7"/>
  <c r="R6093" i="7"/>
  <c r="Q6093" i="7"/>
  <c r="P6093" i="7"/>
  <c r="O6093" i="7"/>
  <c r="U6092" i="7"/>
  <c r="T6092" i="7"/>
  <c r="S6092" i="7"/>
  <c r="R6092" i="7"/>
  <c r="Q6092" i="7"/>
  <c r="P6092" i="7"/>
  <c r="O6092" i="7"/>
  <c r="U6091" i="7"/>
  <c r="T6091" i="7"/>
  <c r="S6091" i="7"/>
  <c r="R6091" i="7"/>
  <c r="Q6091" i="7"/>
  <c r="P6091" i="7"/>
  <c r="O6091" i="7"/>
  <c r="U6090" i="7"/>
  <c r="T6090" i="7"/>
  <c r="S6090" i="7"/>
  <c r="R6090" i="7"/>
  <c r="Q6090" i="7"/>
  <c r="P6090" i="7"/>
  <c r="O6090" i="7"/>
  <c r="U6089" i="7"/>
  <c r="T6089" i="7"/>
  <c r="S6089" i="7"/>
  <c r="R6089" i="7"/>
  <c r="Q6089" i="7"/>
  <c r="P6089" i="7"/>
  <c r="O6089" i="7"/>
  <c r="U6088" i="7"/>
  <c r="T6088" i="7"/>
  <c r="S6088" i="7"/>
  <c r="R6088" i="7"/>
  <c r="Q6088" i="7"/>
  <c r="P6088" i="7"/>
  <c r="O6088" i="7"/>
  <c r="U6087" i="7"/>
  <c r="T6087" i="7"/>
  <c r="S6087" i="7"/>
  <c r="R6087" i="7"/>
  <c r="Q6087" i="7"/>
  <c r="P6087" i="7"/>
  <c r="O6087" i="7"/>
  <c r="U6086" i="7"/>
  <c r="T6086" i="7"/>
  <c r="S6086" i="7"/>
  <c r="R6086" i="7"/>
  <c r="Q6086" i="7"/>
  <c r="P6086" i="7"/>
  <c r="O6086" i="7"/>
  <c r="U6085" i="7"/>
  <c r="T6085" i="7"/>
  <c r="S6085" i="7"/>
  <c r="R6085" i="7"/>
  <c r="Q6085" i="7"/>
  <c r="P6085" i="7"/>
  <c r="O6085" i="7"/>
  <c r="U6084" i="7"/>
  <c r="T6084" i="7"/>
  <c r="S6084" i="7"/>
  <c r="R6084" i="7"/>
  <c r="Q6084" i="7"/>
  <c r="P6084" i="7"/>
  <c r="O6084" i="7"/>
  <c r="U6083" i="7"/>
  <c r="T6083" i="7"/>
  <c r="S6083" i="7"/>
  <c r="R6083" i="7"/>
  <c r="Q6083" i="7"/>
  <c r="P6083" i="7"/>
  <c r="O6083" i="7"/>
  <c r="U6082" i="7"/>
  <c r="T6082" i="7"/>
  <c r="S6082" i="7"/>
  <c r="R6082" i="7"/>
  <c r="Q6082" i="7"/>
  <c r="P6082" i="7"/>
  <c r="O6082" i="7"/>
  <c r="U6081" i="7"/>
  <c r="T6081" i="7"/>
  <c r="S6081" i="7"/>
  <c r="R6081" i="7"/>
  <c r="Q6081" i="7"/>
  <c r="P6081" i="7"/>
  <c r="O6081" i="7"/>
  <c r="U6080" i="7"/>
  <c r="T6080" i="7"/>
  <c r="S6080" i="7"/>
  <c r="R6080" i="7"/>
  <c r="Q6080" i="7"/>
  <c r="P6080" i="7"/>
  <c r="O6080" i="7"/>
  <c r="U6079" i="7"/>
  <c r="T6079" i="7"/>
  <c r="S6079" i="7"/>
  <c r="R6079" i="7"/>
  <c r="Q6079" i="7"/>
  <c r="P6079" i="7"/>
  <c r="O6079" i="7"/>
  <c r="U6078" i="7"/>
  <c r="T6078" i="7"/>
  <c r="S6078" i="7"/>
  <c r="R6078" i="7"/>
  <c r="Q6078" i="7"/>
  <c r="P6078" i="7"/>
  <c r="O6078" i="7"/>
  <c r="U6077" i="7"/>
  <c r="T6077" i="7"/>
  <c r="S6077" i="7"/>
  <c r="R6077" i="7"/>
  <c r="Q6077" i="7"/>
  <c r="P6077" i="7"/>
  <c r="O6077" i="7"/>
  <c r="U6076" i="7"/>
  <c r="T6076" i="7"/>
  <c r="S6076" i="7"/>
  <c r="R6076" i="7"/>
  <c r="Q6076" i="7"/>
  <c r="P6076" i="7"/>
  <c r="O6076" i="7"/>
  <c r="U6075" i="7"/>
  <c r="T6075" i="7"/>
  <c r="S6075" i="7"/>
  <c r="R6075" i="7"/>
  <c r="Q6075" i="7"/>
  <c r="P6075" i="7"/>
  <c r="O6075" i="7"/>
  <c r="U6074" i="7"/>
  <c r="T6074" i="7"/>
  <c r="S6074" i="7"/>
  <c r="R6074" i="7"/>
  <c r="Q6074" i="7"/>
  <c r="P6074" i="7"/>
  <c r="O6074" i="7"/>
  <c r="U6073" i="7"/>
  <c r="T6073" i="7"/>
  <c r="S6073" i="7"/>
  <c r="R6073" i="7"/>
  <c r="Q6073" i="7"/>
  <c r="P6073" i="7"/>
  <c r="O6073" i="7"/>
  <c r="U6072" i="7"/>
  <c r="T6072" i="7"/>
  <c r="S6072" i="7"/>
  <c r="R6072" i="7"/>
  <c r="Q6072" i="7"/>
  <c r="P6072" i="7"/>
  <c r="O6072" i="7"/>
  <c r="U6071" i="7"/>
  <c r="T6071" i="7"/>
  <c r="S6071" i="7"/>
  <c r="R6071" i="7"/>
  <c r="Q6071" i="7"/>
  <c r="P6071" i="7"/>
  <c r="O6071" i="7"/>
  <c r="U6070" i="7"/>
  <c r="T6070" i="7"/>
  <c r="S6070" i="7"/>
  <c r="R6070" i="7"/>
  <c r="Q6070" i="7"/>
  <c r="P6070" i="7"/>
  <c r="O6070" i="7"/>
  <c r="U6069" i="7"/>
  <c r="T6069" i="7"/>
  <c r="S6069" i="7"/>
  <c r="R6069" i="7"/>
  <c r="Q6069" i="7"/>
  <c r="P6069" i="7"/>
  <c r="O6069" i="7"/>
  <c r="U6068" i="7"/>
  <c r="T6068" i="7"/>
  <c r="S6068" i="7"/>
  <c r="R6068" i="7"/>
  <c r="Q6068" i="7"/>
  <c r="P6068" i="7"/>
  <c r="O6068" i="7"/>
  <c r="U6067" i="7"/>
  <c r="T6067" i="7"/>
  <c r="S6067" i="7"/>
  <c r="R6067" i="7"/>
  <c r="Q6067" i="7"/>
  <c r="P6067" i="7"/>
  <c r="O6067" i="7"/>
  <c r="U6066" i="7"/>
  <c r="T6066" i="7"/>
  <c r="S6066" i="7"/>
  <c r="R6066" i="7"/>
  <c r="Q6066" i="7"/>
  <c r="P6066" i="7"/>
  <c r="O6066" i="7"/>
  <c r="U6065" i="7"/>
  <c r="T6065" i="7"/>
  <c r="S6065" i="7"/>
  <c r="R6065" i="7"/>
  <c r="Q6065" i="7"/>
  <c r="P6065" i="7"/>
  <c r="O6065" i="7"/>
  <c r="U6064" i="7"/>
  <c r="T6064" i="7"/>
  <c r="S6064" i="7"/>
  <c r="R6064" i="7"/>
  <c r="Q6064" i="7"/>
  <c r="P6064" i="7"/>
  <c r="O6064" i="7"/>
  <c r="U6063" i="7"/>
  <c r="T6063" i="7"/>
  <c r="S6063" i="7"/>
  <c r="R6063" i="7"/>
  <c r="Q6063" i="7"/>
  <c r="P6063" i="7"/>
  <c r="O6063" i="7"/>
  <c r="U6062" i="7"/>
  <c r="T6062" i="7"/>
  <c r="S6062" i="7"/>
  <c r="R6062" i="7"/>
  <c r="Q6062" i="7"/>
  <c r="P6062" i="7"/>
  <c r="O6062" i="7"/>
  <c r="U6061" i="7"/>
  <c r="T6061" i="7"/>
  <c r="S6061" i="7"/>
  <c r="R6061" i="7"/>
  <c r="Q6061" i="7"/>
  <c r="P6061" i="7"/>
  <c r="O6061" i="7"/>
  <c r="U6060" i="7"/>
  <c r="T6060" i="7"/>
  <c r="S6060" i="7"/>
  <c r="R6060" i="7"/>
  <c r="Q6060" i="7"/>
  <c r="P6060" i="7"/>
  <c r="O6060" i="7"/>
  <c r="U6059" i="7"/>
  <c r="T6059" i="7"/>
  <c r="S6059" i="7"/>
  <c r="R6059" i="7"/>
  <c r="Q6059" i="7"/>
  <c r="P6059" i="7"/>
  <c r="O6059" i="7"/>
  <c r="U6058" i="7"/>
  <c r="T6058" i="7"/>
  <c r="S6058" i="7"/>
  <c r="R6058" i="7"/>
  <c r="Q6058" i="7"/>
  <c r="P6058" i="7"/>
  <c r="O6058" i="7"/>
  <c r="U6057" i="7"/>
  <c r="T6057" i="7"/>
  <c r="S6057" i="7"/>
  <c r="R6057" i="7"/>
  <c r="Q6057" i="7"/>
  <c r="P6057" i="7"/>
  <c r="O6057" i="7"/>
  <c r="U6056" i="7"/>
  <c r="T6056" i="7"/>
  <c r="S6056" i="7"/>
  <c r="R6056" i="7"/>
  <c r="Q6056" i="7"/>
  <c r="P6056" i="7"/>
  <c r="O6056" i="7"/>
  <c r="U6055" i="7"/>
  <c r="T6055" i="7"/>
  <c r="S6055" i="7"/>
  <c r="R6055" i="7"/>
  <c r="Q6055" i="7"/>
  <c r="P6055" i="7"/>
  <c r="O6055" i="7"/>
  <c r="U6054" i="7"/>
  <c r="T6054" i="7"/>
  <c r="S6054" i="7"/>
  <c r="R6054" i="7"/>
  <c r="Q6054" i="7"/>
  <c r="P6054" i="7"/>
  <c r="O6054" i="7"/>
  <c r="U6053" i="7"/>
  <c r="T6053" i="7"/>
  <c r="S6053" i="7"/>
  <c r="R6053" i="7"/>
  <c r="Q6053" i="7"/>
  <c r="P6053" i="7"/>
  <c r="O6053" i="7"/>
  <c r="U6052" i="7"/>
  <c r="T6052" i="7"/>
  <c r="S6052" i="7"/>
  <c r="R6052" i="7"/>
  <c r="Q6052" i="7"/>
  <c r="P6052" i="7"/>
  <c r="O6052" i="7"/>
  <c r="U6051" i="7"/>
  <c r="T6051" i="7"/>
  <c r="S6051" i="7"/>
  <c r="R6051" i="7"/>
  <c r="Q6051" i="7"/>
  <c r="P6051" i="7"/>
  <c r="O6051" i="7"/>
  <c r="U6050" i="7"/>
  <c r="T6050" i="7"/>
  <c r="S6050" i="7"/>
  <c r="R6050" i="7"/>
  <c r="Q6050" i="7"/>
  <c r="P6050" i="7"/>
  <c r="O6050" i="7"/>
  <c r="U6049" i="7"/>
  <c r="T6049" i="7"/>
  <c r="S6049" i="7"/>
  <c r="R6049" i="7"/>
  <c r="Q6049" i="7"/>
  <c r="P6049" i="7"/>
  <c r="O6049" i="7"/>
  <c r="U6048" i="7"/>
  <c r="T6048" i="7"/>
  <c r="S6048" i="7"/>
  <c r="R6048" i="7"/>
  <c r="Q6048" i="7"/>
  <c r="P6048" i="7"/>
  <c r="O6048" i="7"/>
  <c r="U6047" i="7"/>
  <c r="T6047" i="7"/>
  <c r="S6047" i="7"/>
  <c r="R6047" i="7"/>
  <c r="Q6047" i="7"/>
  <c r="P6047" i="7"/>
  <c r="O6047" i="7"/>
  <c r="U6046" i="7"/>
  <c r="T6046" i="7"/>
  <c r="S6046" i="7"/>
  <c r="R6046" i="7"/>
  <c r="Q6046" i="7"/>
  <c r="P6046" i="7"/>
  <c r="O6046" i="7"/>
  <c r="U6045" i="7"/>
  <c r="T6045" i="7"/>
  <c r="S6045" i="7"/>
  <c r="R6045" i="7"/>
  <c r="Q6045" i="7"/>
  <c r="P6045" i="7"/>
  <c r="O6045" i="7"/>
  <c r="U6044" i="7"/>
  <c r="T6044" i="7"/>
  <c r="S6044" i="7"/>
  <c r="R6044" i="7"/>
  <c r="Q6044" i="7"/>
  <c r="P6044" i="7"/>
  <c r="O6044" i="7"/>
  <c r="U6043" i="7"/>
  <c r="T6043" i="7"/>
  <c r="S6043" i="7"/>
  <c r="R6043" i="7"/>
  <c r="Q6043" i="7"/>
  <c r="P6043" i="7"/>
  <c r="O6043" i="7"/>
  <c r="U6042" i="7"/>
  <c r="T6042" i="7"/>
  <c r="S6042" i="7"/>
  <c r="R6042" i="7"/>
  <c r="Q6042" i="7"/>
  <c r="P6042" i="7"/>
  <c r="O6042" i="7"/>
  <c r="U6041" i="7"/>
  <c r="T6041" i="7"/>
  <c r="S6041" i="7"/>
  <c r="R6041" i="7"/>
  <c r="Q6041" i="7"/>
  <c r="P6041" i="7"/>
  <c r="O6041" i="7"/>
  <c r="U6040" i="7"/>
  <c r="T6040" i="7"/>
  <c r="S6040" i="7"/>
  <c r="R6040" i="7"/>
  <c r="Q6040" i="7"/>
  <c r="P6040" i="7"/>
  <c r="O6040" i="7"/>
  <c r="U6039" i="7"/>
  <c r="T6039" i="7"/>
  <c r="S6039" i="7"/>
  <c r="R6039" i="7"/>
  <c r="Q6039" i="7"/>
  <c r="P6039" i="7"/>
  <c r="O6039" i="7"/>
  <c r="U6038" i="7"/>
  <c r="T6038" i="7"/>
  <c r="S6038" i="7"/>
  <c r="R6038" i="7"/>
  <c r="Q6038" i="7"/>
  <c r="P6038" i="7"/>
  <c r="O6038" i="7"/>
  <c r="U6037" i="7"/>
  <c r="T6037" i="7"/>
  <c r="S6037" i="7"/>
  <c r="R6037" i="7"/>
  <c r="Q6037" i="7"/>
  <c r="P6037" i="7"/>
  <c r="O6037" i="7"/>
  <c r="U6036" i="7"/>
  <c r="T6036" i="7"/>
  <c r="S6036" i="7"/>
  <c r="R6036" i="7"/>
  <c r="Q6036" i="7"/>
  <c r="P6036" i="7"/>
  <c r="O6036" i="7"/>
  <c r="U6035" i="7"/>
  <c r="T6035" i="7"/>
  <c r="S6035" i="7"/>
  <c r="R6035" i="7"/>
  <c r="Q6035" i="7"/>
  <c r="P6035" i="7"/>
  <c r="O6035" i="7"/>
  <c r="U6034" i="7"/>
  <c r="T6034" i="7"/>
  <c r="S6034" i="7"/>
  <c r="R6034" i="7"/>
  <c r="Q6034" i="7"/>
  <c r="P6034" i="7"/>
  <c r="O6034" i="7"/>
  <c r="U6033" i="7"/>
  <c r="T6033" i="7"/>
  <c r="S6033" i="7"/>
  <c r="R6033" i="7"/>
  <c r="Q6033" i="7"/>
  <c r="P6033" i="7"/>
  <c r="O6033" i="7"/>
  <c r="U6032" i="7"/>
  <c r="T6032" i="7"/>
  <c r="S6032" i="7"/>
  <c r="R6032" i="7"/>
  <c r="Q6032" i="7"/>
  <c r="P6032" i="7"/>
  <c r="O6032" i="7"/>
  <c r="U6031" i="7"/>
  <c r="T6031" i="7"/>
  <c r="S6031" i="7"/>
  <c r="R6031" i="7"/>
  <c r="Q6031" i="7"/>
  <c r="P6031" i="7"/>
  <c r="O6031" i="7"/>
  <c r="U6030" i="7"/>
  <c r="T6030" i="7"/>
  <c r="S6030" i="7"/>
  <c r="R6030" i="7"/>
  <c r="Q6030" i="7"/>
  <c r="P6030" i="7"/>
  <c r="O6030" i="7"/>
  <c r="U6029" i="7"/>
  <c r="T6029" i="7"/>
  <c r="S6029" i="7"/>
  <c r="R6029" i="7"/>
  <c r="Q6029" i="7"/>
  <c r="P6029" i="7"/>
  <c r="O6029" i="7"/>
  <c r="U6028" i="7"/>
  <c r="T6028" i="7"/>
  <c r="S6028" i="7"/>
  <c r="R6028" i="7"/>
  <c r="Q6028" i="7"/>
  <c r="P6028" i="7"/>
  <c r="O6028" i="7"/>
  <c r="U6027" i="7"/>
  <c r="T6027" i="7"/>
  <c r="S6027" i="7"/>
  <c r="R6027" i="7"/>
  <c r="Q6027" i="7"/>
  <c r="P6027" i="7"/>
  <c r="O6027" i="7"/>
  <c r="U6026" i="7"/>
  <c r="T6026" i="7"/>
  <c r="S6026" i="7"/>
  <c r="R6026" i="7"/>
  <c r="Q6026" i="7"/>
  <c r="P6026" i="7"/>
  <c r="O6026" i="7"/>
  <c r="U6025" i="7"/>
  <c r="T6025" i="7"/>
  <c r="S6025" i="7"/>
  <c r="R6025" i="7"/>
  <c r="Q6025" i="7"/>
  <c r="P6025" i="7"/>
  <c r="O6025" i="7"/>
  <c r="U6024" i="7"/>
  <c r="T6024" i="7"/>
  <c r="S6024" i="7"/>
  <c r="R6024" i="7"/>
  <c r="Q6024" i="7"/>
  <c r="P6024" i="7"/>
  <c r="O6024" i="7"/>
  <c r="U6023" i="7"/>
  <c r="T6023" i="7"/>
  <c r="S6023" i="7"/>
  <c r="R6023" i="7"/>
  <c r="Q6023" i="7"/>
  <c r="P6023" i="7"/>
  <c r="O6023" i="7"/>
  <c r="U6022" i="7"/>
  <c r="T6022" i="7"/>
  <c r="S6022" i="7"/>
  <c r="R6022" i="7"/>
  <c r="Q6022" i="7"/>
  <c r="P6022" i="7"/>
  <c r="O6022" i="7"/>
  <c r="U6021" i="7"/>
  <c r="T6021" i="7"/>
  <c r="S6021" i="7"/>
  <c r="R6021" i="7"/>
  <c r="Q6021" i="7"/>
  <c r="P6021" i="7"/>
  <c r="O6021" i="7"/>
  <c r="U6020" i="7"/>
  <c r="T6020" i="7"/>
  <c r="S6020" i="7"/>
  <c r="R6020" i="7"/>
  <c r="Q6020" i="7"/>
  <c r="P6020" i="7"/>
  <c r="O6020" i="7"/>
  <c r="U6019" i="7"/>
  <c r="T6019" i="7"/>
  <c r="S6019" i="7"/>
  <c r="R6019" i="7"/>
  <c r="Q6019" i="7"/>
  <c r="P6019" i="7"/>
  <c r="O6019" i="7"/>
  <c r="U6018" i="7"/>
  <c r="T6018" i="7"/>
  <c r="S6018" i="7"/>
  <c r="R6018" i="7"/>
  <c r="Q6018" i="7"/>
  <c r="P6018" i="7"/>
  <c r="O6018" i="7"/>
  <c r="U6017" i="7"/>
  <c r="T6017" i="7"/>
  <c r="S6017" i="7"/>
  <c r="R6017" i="7"/>
  <c r="Q6017" i="7"/>
  <c r="P6017" i="7"/>
  <c r="O6017" i="7"/>
  <c r="U6016" i="7"/>
  <c r="T6016" i="7"/>
  <c r="S6016" i="7"/>
  <c r="R6016" i="7"/>
  <c r="Q6016" i="7"/>
  <c r="P6016" i="7"/>
  <c r="O6016" i="7"/>
  <c r="U6015" i="7"/>
  <c r="T6015" i="7"/>
  <c r="S6015" i="7"/>
  <c r="R6015" i="7"/>
  <c r="Q6015" i="7"/>
  <c r="P6015" i="7"/>
  <c r="O6015" i="7"/>
  <c r="U6014" i="7"/>
  <c r="T6014" i="7"/>
  <c r="S6014" i="7"/>
  <c r="R6014" i="7"/>
  <c r="Q6014" i="7"/>
  <c r="P6014" i="7"/>
  <c r="O6014" i="7"/>
  <c r="U6013" i="7"/>
  <c r="T6013" i="7"/>
  <c r="S6013" i="7"/>
  <c r="R6013" i="7"/>
  <c r="Q6013" i="7"/>
  <c r="P6013" i="7"/>
  <c r="O6013" i="7"/>
  <c r="U6012" i="7"/>
  <c r="T6012" i="7"/>
  <c r="S6012" i="7"/>
  <c r="R6012" i="7"/>
  <c r="Q6012" i="7"/>
  <c r="P6012" i="7"/>
  <c r="O6012" i="7"/>
  <c r="U6011" i="7"/>
  <c r="T6011" i="7"/>
  <c r="S6011" i="7"/>
  <c r="R6011" i="7"/>
  <c r="Q6011" i="7"/>
  <c r="P6011" i="7"/>
  <c r="O6011" i="7"/>
  <c r="U6010" i="7"/>
  <c r="T6010" i="7"/>
  <c r="S6010" i="7"/>
  <c r="R6010" i="7"/>
  <c r="Q6010" i="7"/>
  <c r="P6010" i="7"/>
  <c r="O6010" i="7"/>
  <c r="U6009" i="7"/>
  <c r="T6009" i="7"/>
  <c r="S6009" i="7"/>
  <c r="R6009" i="7"/>
  <c r="Q6009" i="7"/>
  <c r="P6009" i="7"/>
  <c r="O6009" i="7"/>
  <c r="U6008" i="7"/>
  <c r="T6008" i="7"/>
  <c r="S6008" i="7"/>
  <c r="R6008" i="7"/>
  <c r="Q6008" i="7"/>
  <c r="P6008" i="7"/>
  <c r="O6008" i="7"/>
  <c r="U6007" i="7"/>
  <c r="T6007" i="7"/>
  <c r="S6007" i="7"/>
  <c r="R6007" i="7"/>
  <c r="Q6007" i="7"/>
  <c r="P6007" i="7"/>
  <c r="O6007" i="7"/>
  <c r="U6006" i="7"/>
  <c r="T6006" i="7"/>
  <c r="S6006" i="7"/>
  <c r="R6006" i="7"/>
  <c r="Q6006" i="7"/>
  <c r="P6006" i="7"/>
  <c r="O6006" i="7"/>
  <c r="U6005" i="7"/>
  <c r="T6005" i="7"/>
  <c r="S6005" i="7"/>
  <c r="R6005" i="7"/>
  <c r="Q6005" i="7"/>
  <c r="P6005" i="7"/>
  <c r="O6005" i="7"/>
  <c r="U6004" i="7"/>
  <c r="T6004" i="7"/>
  <c r="S6004" i="7"/>
  <c r="R6004" i="7"/>
  <c r="Q6004" i="7"/>
  <c r="P6004" i="7"/>
  <c r="O6004" i="7"/>
  <c r="U6003" i="7"/>
  <c r="T6003" i="7"/>
  <c r="S6003" i="7"/>
  <c r="R6003" i="7"/>
  <c r="Q6003" i="7"/>
  <c r="P6003" i="7"/>
  <c r="O6003" i="7"/>
  <c r="U6002" i="7"/>
  <c r="T6002" i="7"/>
  <c r="S6002" i="7"/>
  <c r="R6002" i="7"/>
  <c r="Q6002" i="7"/>
  <c r="P6002" i="7"/>
  <c r="O6002" i="7"/>
  <c r="U6001" i="7"/>
  <c r="T6001" i="7"/>
  <c r="S6001" i="7"/>
  <c r="R6001" i="7"/>
  <c r="Q6001" i="7"/>
  <c r="P6001" i="7"/>
  <c r="O6001" i="7"/>
  <c r="U6000" i="7"/>
  <c r="T6000" i="7"/>
  <c r="S6000" i="7"/>
  <c r="R6000" i="7"/>
  <c r="Q6000" i="7"/>
  <c r="P6000" i="7"/>
  <c r="O6000" i="7"/>
  <c r="U5999" i="7"/>
  <c r="T5999" i="7"/>
  <c r="S5999" i="7"/>
  <c r="R5999" i="7"/>
  <c r="Q5999" i="7"/>
  <c r="P5999" i="7"/>
  <c r="O5999" i="7"/>
  <c r="U5998" i="7"/>
  <c r="T5998" i="7"/>
  <c r="S5998" i="7"/>
  <c r="R5998" i="7"/>
  <c r="Q5998" i="7"/>
  <c r="P5998" i="7"/>
  <c r="O5998" i="7"/>
  <c r="U5997" i="7"/>
  <c r="T5997" i="7"/>
  <c r="S5997" i="7"/>
  <c r="R5997" i="7"/>
  <c r="Q5997" i="7"/>
  <c r="P5997" i="7"/>
  <c r="O5997" i="7"/>
  <c r="U5996" i="7"/>
  <c r="T5996" i="7"/>
  <c r="S5996" i="7"/>
  <c r="R5996" i="7"/>
  <c r="Q5996" i="7"/>
  <c r="P5996" i="7"/>
  <c r="O5996" i="7"/>
  <c r="U5995" i="7"/>
  <c r="T5995" i="7"/>
  <c r="S5995" i="7"/>
  <c r="R5995" i="7"/>
  <c r="Q5995" i="7"/>
  <c r="P5995" i="7"/>
  <c r="O5995" i="7"/>
  <c r="U5994" i="7"/>
  <c r="T5994" i="7"/>
  <c r="S5994" i="7"/>
  <c r="R5994" i="7"/>
  <c r="Q5994" i="7"/>
  <c r="P5994" i="7"/>
  <c r="O5994" i="7"/>
  <c r="U5993" i="7"/>
  <c r="T5993" i="7"/>
  <c r="S5993" i="7"/>
  <c r="R5993" i="7"/>
  <c r="Q5993" i="7"/>
  <c r="P5993" i="7"/>
  <c r="O5993" i="7"/>
  <c r="U5992" i="7"/>
  <c r="T5992" i="7"/>
  <c r="S5992" i="7"/>
  <c r="R5992" i="7"/>
  <c r="Q5992" i="7"/>
  <c r="P5992" i="7"/>
  <c r="O5992" i="7"/>
  <c r="U5991" i="7"/>
  <c r="T5991" i="7"/>
  <c r="S5991" i="7"/>
  <c r="R5991" i="7"/>
  <c r="Q5991" i="7"/>
  <c r="P5991" i="7"/>
  <c r="O5991" i="7"/>
  <c r="U5990" i="7"/>
  <c r="T5990" i="7"/>
  <c r="S5990" i="7"/>
  <c r="R5990" i="7"/>
  <c r="Q5990" i="7"/>
  <c r="P5990" i="7"/>
  <c r="O5990" i="7"/>
  <c r="U5989" i="7"/>
  <c r="T5989" i="7"/>
  <c r="S5989" i="7"/>
  <c r="R5989" i="7"/>
  <c r="Q5989" i="7"/>
  <c r="P5989" i="7"/>
  <c r="O5989" i="7"/>
  <c r="U5988" i="7"/>
  <c r="T5988" i="7"/>
  <c r="S5988" i="7"/>
  <c r="R5988" i="7"/>
  <c r="Q5988" i="7"/>
  <c r="P5988" i="7"/>
  <c r="O5988" i="7"/>
  <c r="U5987" i="7"/>
  <c r="T5987" i="7"/>
  <c r="S5987" i="7"/>
  <c r="R5987" i="7"/>
  <c r="Q5987" i="7"/>
  <c r="P5987" i="7"/>
  <c r="O5987" i="7"/>
  <c r="U5986" i="7"/>
  <c r="T5986" i="7"/>
  <c r="S5986" i="7"/>
  <c r="R5986" i="7"/>
  <c r="Q5986" i="7"/>
  <c r="P5986" i="7"/>
  <c r="O5986" i="7"/>
  <c r="U5985" i="7"/>
  <c r="T5985" i="7"/>
  <c r="S5985" i="7"/>
  <c r="R5985" i="7"/>
  <c r="Q5985" i="7"/>
  <c r="P5985" i="7"/>
  <c r="O5985" i="7"/>
  <c r="U5984" i="7"/>
  <c r="T5984" i="7"/>
  <c r="S5984" i="7"/>
  <c r="R5984" i="7"/>
  <c r="Q5984" i="7"/>
  <c r="P5984" i="7"/>
  <c r="O5984" i="7"/>
  <c r="U5983" i="7"/>
  <c r="T5983" i="7"/>
  <c r="S5983" i="7"/>
  <c r="R5983" i="7"/>
  <c r="Q5983" i="7"/>
  <c r="P5983" i="7"/>
  <c r="O5983" i="7"/>
  <c r="U5982" i="7"/>
  <c r="T5982" i="7"/>
  <c r="S5982" i="7"/>
  <c r="R5982" i="7"/>
  <c r="Q5982" i="7"/>
  <c r="P5982" i="7"/>
  <c r="O5982" i="7"/>
  <c r="U5981" i="7"/>
  <c r="T5981" i="7"/>
  <c r="S5981" i="7"/>
  <c r="R5981" i="7"/>
  <c r="Q5981" i="7"/>
  <c r="P5981" i="7"/>
  <c r="O5981" i="7"/>
  <c r="U5980" i="7"/>
  <c r="T5980" i="7"/>
  <c r="S5980" i="7"/>
  <c r="R5980" i="7"/>
  <c r="Q5980" i="7"/>
  <c r="P5980" i="7"/>
  <c r="O5980" i="7"/>
  <c r="U5979" i="7"/>
  <c r="T5979" i="7"/>
  <c r="S5979" i="7"/>
  <c r="R5979" i="7"/>
  <c r="Q5979" i="7"/>
  <c r="P5979" i="7"/>
  <c r="O5979" i="7"/>
  <c r="U5978" i="7"/>
  <c r="T5978" i="7"/>
  <c r="S5978" i="7"/>
  <c r="R5978" i="7"/>
  <c r="Q5978" i="7"/>
  <c r="P5978" i="7"/>
  <c r="O5978" i="7"/>
  <c r="U5977" i="7"/>
  <c r="T5977" i="7"/>
  <c r="S5977" i="7"/>
  <c r="R5977" i="7"/>
  <c r="Q5977" i="7"/>
  <c r="P5977" i="7"/>
  <c r="O5977" i="7"/>
  <c r="U5976" i="7"/>
  <c r="T5976" i="7"/>
  <c r="S5976" i="7"/>
  <c r="R5976" i="7"/>
  <c r="Q5976" i="7"/>
  <c r="P5976" i="7"/>
  <c r="O5976" i="7"/>
  <c r="U5975" i="7"/>
  <c r="T5975" i="7"/>
  <c r="S5975" i="7"/>
  <c r="R5975" i="7"/>
  <c r="Q5975" i="7"/>
  <c r="P5975" i="7"/>
  <c r="O5975" i="7"/>
  <c r="U5974" i="7"/>
  <c r="T5974" i="7"/>
  <c r="S5974" i="7"/>
  <c r="R5974" i="7"/>
  <c r="Q5974" i="7"/>
  <c r="P5974" i="7"/>
  <c r="O5974" i="7"/>
  <c r="U5973" i="7"/>
  <c r="T5973" i="7"/>
  <c r="S5973" i="7"/>
  <c r="R5973" i="7"/>
  <c r="Q5973" i="7"/>
  <c r="P5973" i="7"/>
  <c r="O5973" i="7"/>
  <c r="U5972" i="7"/>
  <c r="T5972" i="7"/>
  <c r="S5972" i="7"/>
  <c r="R5972" i="7"/>
  <c r="Q5972" i="7"/>
  <c r="P5972" i="7"/>
  <c r="O5972" i="7"/>
  <c r="U5971" i="7"/>
  <c r="T5971" i="7"/>
  <c r="S5971" i="7"/>
  <c r="R5971" i="7"/>
  <c r="Q5971" i="7"/>
  <c r="P5971" i="7"/>
  <c r="O5971" i="7"/>
  <c r="U5970" i="7"/>
  <c r="T5970" i="7"/>
  <c r="S5970" i="7"/>
  <c r="R5970" i="7"/>
  <c r="Q5970" i="7"/>
  <c r="P5970" i="7"/>
  <c r="O5970" i="7"/>
  <c r="U5969" i="7"/>
  <c r="T5969" i="7"/>
  <c r="S5969" i="7"/>
  <c r="R5969" i="7"/>
  <c r="Q5969" i="7"/>
  <c r="P5969" i="7"/>
  <c r="O5969" i="7"/>
  <c r="U5968" i="7"/>
  <c r="T5968" i="7"/>
  <c r="S5968" i="7"/>
  <c r="R5968" i="7"/>
  <c r="Q5968" i="7"/>
  <c r="P5968" i="7"/>
  <c r="O5968" i="7"/>
  <c r="U5967" i="7"/>
  <c r="T5967" i="7"/>
  <c r="S5967" i="7"/>
  <c r="R5967" i="7"/>
  <c r="Q5967" i="7"/>
  <c r="P5967" i="7"/>
  <c r="O5967" i="7"/>
  <c r="U5966" i="7"/>
  <c r="T5966" i="7"/>
  <c r="S5966" i="7"/>
  <c r="R5966" i="7"/>
  <c r="Q5966" i="7"/>
  <c r="P5966" i="7"/>
  <c r="O5966" i="7"/>
  <c r="U5965" i="7"/>
  <c r="T5965" i="7"/>
  <c r="S5965" i="7"/>
  <c r="R5965" i="7"/>
  <c r="Q5965" i="7"/>
  <c r="P5965" i="7"/>
  <c r="O5965" i="7"/>
  <c r="U5964" i="7"/>
  <c r="T5964" i="7"/>
  <c r="S5964" i="7"/>
  <c r="R5964" i="7"/>
  <c r="Q5964" i="7"/>
  <c r="P5964" i="7"/>
  <c r="O5964" i="7"/>
  <c r="U5963" i="7"/>
  <c r="T5963" i="7"/>
  <c r="S5963" i="7"/>
  <c r="R5963" i="7"/>
  <c r="Q5963" i="7"/>
  <c r="P5963" i="7"/>
  <c r="O5963" i="7"/>
  <c r="U5962" i="7"/>
  <c r="T5962" i="7"/>
  <c r="S5962" i="7"/>
  <c r="R5962" i="7"/>
  <c r="Q5962" i="7"/>
  <c r="P5962" i="7"/>
  <c r="O5962" i="7"/>
  <c r="U5961" i="7"/>
  <c r="T5961" i="7"/>
  <c r="S5961" i="7"/>
  <c r="R5961" i="7"/>
  <c r="Q5961" i="7"/>
  <c r="P5961" i="7"/>
  <c r="O5961" i="7"/>
  <c r="U5960" i="7"/>
  <c r="T5960" i="7"/>
  <c r="S5960" i="7"/>
  <c r="R5960" i="7"/>
  <c r="Q5960" i="7"/>
  <c r="P5960" i="7"/>
  <c r="O5960" i="7"/>
  <c r="U5959" i="7"/>
  <c r="T5959" i="7"/>
  <c r="S5959" i="7"/>
  <c r="R5959" i="7"/>
  <c r="Q5959" i="7"/>
  <c r="P5959" i="7"/>
  <c r="O5959" i="7"/>
  <c r="U5958" i="7"/>
  <c r="T5958" i="7"/>
  <c r="S5958" i="7"/>
  <c r="R5958" i="7"/>
  <c r="Q5958" i="7"/>
  <c r="P5958" i="7"/>
  <c r="O5958" i="7"/>
  <c r="U5957" i="7"/>
  <c r="T5957" i="7"/>
  <c r="S5957" i="7"/>
  <c r="R5957" i="7"/>
  <c r="Q5957" i="7"/>
  <c r="P5957" i="7"/>
  <c r="O5957" i="7"/>
  <c r="U5956" i="7"/>
  <c r="T5956" i="7"/>
  <c r="S5956" i="7"/>
  <c r="R5956" i="7"/>
  <c r="Q5956" i="7"/>
  <c r="P5956" i="7"/>
  <c r="O5956" i="7"/>
  <c r="U5955" i="7"/>
  <c r="T5955" i="7"/>
  <c r="S5955" i="7"/>
  <c r="R5955" i="7"/>
  <c r="Q5955" i="7"/>
  <c r="P5955" i="7"/>
  <c r="O5955" i="7"/>
  <c r="U5954" i="7"/>
  <c r="T5954" i="7"/>
  <c r="S5954" i="7"/>
  <c r="R5954" i="7"/>
  <c r="Q5954" i="7"/>
  <c r="P5954" i="7"/>
  <c r="O5954" i="7"/>
  <c r="U5953" i="7"/>
  <c r="T5953" i="7"/>
  <c r="S5953" i="7"/>
  <c r="R5953" i="7"/>
  <c r="Q5953" i="7"/>
  <c r="P5953" i="7"/>
  <c r="O5953" i="7"/>
  <c r="U5952" i="7"/>
  <c r="T5952" i="7"/>
  <c r="S5952" i="7"/>
  <c r="R5952" i="7"/>
  <c r="Q5952" i="7"/>
  <c r="P5952" i="7"/>
  <c r="O5952" i="7"/>
  <c r="U5951" i="7"/>
  <c r="T5951" i="7"/>
  <c r="S5951" i="7"/>
  <c r="R5951" i="7"/>
  <c r="Q5951" i="7"/>
  <c r="P5951" i="7"/>
  <c r="O5951" i="7"/>
  <c r="U5950" i="7"/>
  <c r="T5950" i="7"/>
  <c r="S5950" i="7"/>
  <c r="R5950" i="7"/>
  <c r="Q5950" i="7"/>
  <c r="P5950" i="7"/>
  <c r="O5950" i="7"/>
  <c r="U5949" i="7"/>
  <c r="T5949" i="7"/>
  <c r="S5949" i="7"/>
  <c r="R5949" i="7"/>
  <c r="Q5949" i="7"/>
  <c r="P5949" i="7"/>
  <c r="O5949" i="7"/>
  <c r="U5948" i="7"/>
  <c r="T5948" i="7"/>
  <c r="S5948" i="7"/>
  <c r="R5948" i="7"/>
  <c r="Q5948" i="7"/>
  <c r="P5948" i="7"/>
  <c r="O5948" i="7"/>
  <c r="U5947" i="7"/>
  <c r="T5947" i="7"/>
  <c r="S5947" i="7"/>
  <c r="R5947" i="7"/>
  <c r="Q5947" i="7"/>
  <c r="P5947" i="7"/>
  <c r="O5947" i="7"/>
  <c r="U5946" i="7"/>
  <c r="T5946" i="7"/>
  <c r="S5946" i="7"/>
  <c r="R5946" i="7"/>
  <c r="Q5946" i="7"/>
  <c r="P5946" i="7"/>
  <c r="O5946" i="7"/>
  <c r="U5945" i="7"/>
  <c r="T5945" i="7"/>
  <c r="S5945" i="7"/>
  <c r="R5945" i="7"/>
  <c r="Q5945" i="7"/>
  <c r="P5945" i="7"/>
  <c r="O5945" i="7"/>
  <c r="U5944" i="7"/>
  <c r="T5944" i="7"/>
  <c r="S5944" i="7"/>
  <c r="R5944" i="7"/>
  <c r="Q5944" i="7"/>
  <c r="P5944" i="7"/>
  <c r="O5944" i="7"/>
  <c r="U5943" i="7"/>
  <c r="T5943" i="7"/>
  <c r="S5943" i="7"/>
  <c r="R5943" i="7"/>
  <c r="Q5943" i="7"/>
  <c r="P5943" i="7"/>
  <c r="O5943" i="7"/>
  <c r="U5942" i="7"/>
  <c r="T5942" i="7"/>
  <c r="S5942" i="7"/>
  <c r="R5942" i="7"/>
  <c r="Q5942" i="7"/>
  <c r="P5942" i="7"/>
  <c r="O5942" i="7"/>
  <c r="U5941" i="7"/>
  <c r="T5941" i="7"/>
  <c r="S5941" i="7"/>
  <c r="R5941" i="7"/>
  <c r="Q5941" i="7"/>
  <c r="P5941" i="7"/>
  <c r="O5941" i="7"/>
  <c r="U5940" i="7"/>
  <c r="T5940" i="7"/>
  <c r="S5940" i="7"/>
  <c r="R5940" i="7"/>
  <c r="Q5940" i="7"/>
  <c r="P5940" i="7"/>
  <c r="O5940" i="7"/>
  <c r="U5939" i="7"/>
  <c r="T5939" i="7"/>
  <c r="S5939" i="7"/>
  <c r="R5939" i="7"/>
  <c r="Q5939" i="7"/>
  <c r="P5939" i="7"/>
  <c r="O5939" i="7"/>
  <c r="U5938" i="7"/>
  <c r="T5938" i="7"/>
  <c r="S5938" i="7"/>
  <c r="R5938" i="7"/>
  <c r="Q5938" i="7"/>
  <c r="P5938" i="7"/>
  <c r="O5938" i="7"/>
  <c r="U5937" i="7"/>
  <c r="T5937" i="7"/>
  <c r="S5937" i="7"/>
  <c r="R5937" i="7"/>
  <c r="Q5937" i="7"/>
  <c r="P5937" i="7"/>
  <c r="O5937" i="7"/>
  <c r="U5936" i="7"/>
  <c r="T5936" i="7"/>
  <c r="S5936" i="7"/>
  <c r="R5936" i="7"/>
  <c r="Q5936" i="7"/>
  <c r="P5936" i="7"/>
  <c r="O5936" i="7"/>
  <c r="U5935" i="7"/>
  <c r="T5935" i="7"/>
  <c r="S5935" i="7"/>
  <c r="R5935" i="7"/>
  <c r="Q5935" i="7"/>
  <c r="P5935" i="7"/>
  <c r="O5935" i="7"/>
  <c r="U5934" i="7"/>
  <c r="T5934" i="7"/>
  <c r="S5934" i="7"/>
  <c r="R5934" i="7"/>
  <c r="Q5934" i="7"/>
  <c r="P5934" i="7"/>
  <c r="O5934" i="7"/>
  <c r="U5933" i="7"/>
  <c r="T5933" i="7"/>
  <c r="S5933" i="7"/>
  <c r="R5933" i="7"/>
  <c r="Q5933" i="7"/>
  <c r="P5933" i="7"/>
  <c r="O5933" i="7"/>
  <c r="U5932" i="7"/>
  <c r="T5932" i="7"/>
  <c r="S5932" i="7"/>
  <c r="R5932" i="7"/>
  <c r="Q5932" i="7"/>
  <c r="P5932" i="7"/>
  <c r="O5932" i="7"/>
  <c r="U5931" i="7"/>
  <c r="T5931" i="7"/>
  <c r="S5931" i="7"/>
  <c r="R5931" i="7"/>
  <c r="Q5931" i="7"/>
  <c r="P5931" i="7"/>
  <c r="O5931" i="7"/>
  <c r="U5930" i="7"/>
  <c r="T5930" i="7"/>
  <c r="S5930" i="7"/>
  <c r="R5930" i="7"/>
  <c r="Q5930" i="7"/>
  <c r="P5930" i="7"/>
  <c r="O5930" i="7"/>
  <c r="U5929" i="7"/>
  <c r="T5929" i="7"/>
  <c r="S5929" i="7"/>
  <c r="R5929" i="7"/>
  <c r="Q5929" i="7"/>
  <c r="P5929" i="7"/>
  <c r="O5929" i="7"/>
  <c r="U5928" i="7"/>
  <c r="T5928" i="7"/>
  <c r="S5928" i="7"/>
  <c r="R5928" i="7"/>
  <c r="Q5928" i="7"/>
  <c r="P5928" i="7"/>
  <c r="O5928" i="7"/>
  <c r="U5927" i="7"/>
  <c r="T5927" i="7"/>
  <c r="S5927" i="7"/>
  <c r="R5927" i="7"/>
  <c r="Q5927" i="7"/>
  <c r="P5927" i="7"/>
  <c r="O5927" i="7"/>
  <c r="U5926" i="7"/>
  <c r="T5926" i="7"/>
  <c r="S5926" i="7"/>
  <c r="R5926" i="7"/>
  <c r="Q5926" i="7"/>
  <c r="P5926" i="7"/>
  <c r="O5926" i="7"/>
  <c r="U5925" i="7"/>
  <c r="T5925" i="7"/>
  <c r="S5925" i="7"/>
  <c r="R5925" i="7"/>
  <c r="Q5925" i="7"/>
  <c r="P5925" i="7"/>
  <c r="O5925" i="7"/>
  <c r="U5924" i="7"/>
  <c r="T5924" i="7"/>
  <c r="S5924" i="7"/>
  <c r="R5924" i="7"/>
  <c r="Q5924" i="7"/>
  <c r="P5924" i="7"/>
  <c r="O5924" i="7"/>
  <c r="U5923" i="7"/>
  <c r="T5923" i="7"/>
  <c r="S5923" i="7"/>
  <c r="R5923" i="7"/>
  <c r="Q5923" i="7"/>
  <c r="P5923" i="7"/>
  <c r="O5923" i="7"/>
  <c r="U5922" i="7"/>
  <c r="T5922" i="7"/>
  <c r="S5922" i="7"/>
  <c r="R5922" i="7"/>
  <c r="Q5922" i="7"/>
  <c r="P5922" i="7"/>
  <c r="O5922" i="7"/>
  <c r="U5921" i="7"/>
  <c r="T5921" i="7"/>
  <c r="S5921" i="7"/>
  <c r="R5921" i="7"/>
  <c r="Q5921" i="7"/>
  <c r="P5921" i="7"/>
  <c r="O5921" i="7"/>
  <c r="U5920" i="7"/>
  <c r="T5920" i="7"/>
  <c r="S5920" i="7"/>
  <c r="R5920" i="7"/>
  <c r="Q5920" i="7"/>
  <c r="P5920" i="7"/>
  <c r="O5920" i="7"/>
  <c r="U5919" i="7"/>
  <c r="T5919" i="7"/>
  <c r="S5919" i="7"/>
  <c r="R5919" i="7"/>
  <c r="Q5919" i="7"/>
  <c r="P5919" i="7"/>
  <c r="O5919" i="7"/>
  <c r="U5918" i="7"/>
  <c r="T5918" i="7"/>
  <c r="S5918" i="7"/>
  <c r="R5918" i="7"/>
  <c r="Q5918" i="7"/>
  <c r="P5918" i="7"/>
  <c r="O5918" i="7"/>
  <c r="U5917" i="7"/>
  <c r="T5917" i="7"/>
  <c r="S5917" i="7"/>
  <c r="R5917" i="7"/>
  <c r="Q5917" i="7"/>
  <c r="P5917" i="7"/>
  <c r="O5917" i="7"/>
  <c r="U5916" i="7"/>
  <c r="T5916" i="7"/>
  <c r="S5916" i="7"/>
  <c r="R5916" i="7"/>
  <c r="Q5916" i="7"/>
  <c r="P5916" i="7"/>
  <c r="O5916" i="7"/>
  <c r="U5915" i="7"/>
  <c r="T5915" i="7"/>
  <c r="S5915" i="7"/>
  <c r="R5915" i="7"/>
  <c r="Q5915" i="7"/>
  <c r="P5915" i="7"/>
  <c r="O5915" i="7"/>
  <c r="U5914" i="7"/>
  <c r="T5914" i="7"/>
  <c r="S5914" i="7"/>
  <c r="R5914" i="7"/>
  <c r="Q5914" i="7"/>
  <c r="P5914" i="7"/>
  <c r="O5914" i="7"/>
  <c r="U5913" i="7"/>
  <c r="T5913" i="7"/>
  <c r="S5913" i="7"/>
  <c r="R5913" i="7"/>
  <c r="Q5913" i="7"/>
  <c r="P5913" i="7"/>
  <c r="O5913" i="7"/>
  <c r="U5912" i="7"/>
  <c r="T5912" i="7"/>
  <c r="S5912" i="7"/>
  <c r="R5912" i="7"/>
  <c r="Q5912" i="7"/>
  <c r="P5912" i="7"/>
  <c r="O5912" i="7"/>
  <c r="U5911" i="7"/>
  <c r="T5911" i="7"/>
  <c r="S5911" i="7"/>
  <c r="R5911" i="7"/>
  <c r="Q5911" i="7"/>
  <c r="P5911" i="7"/>
  <c r="O5911" i="7"/>
  <c r="U5910" i="7"/>
  <c r="T5910" i="7"/>
  <c r="S5910" i="7"/>
  <c r="R5910" i="7"/>
  <c r="Q5910" i="7"/>
  <c r="P5910" i="7"/>
  <c r="O5910" i="7"/>
  <c r="U5909" i="7"/>
  <c r="T5909" i="7"/>
  <c r="S5909" i="7"/>
  <c r="R5909" i="7"/>
  <c r="Q5909" i="7"/>
  <c r="P5909" i="7"/>
  <c r="O5909" i="7"/>
  <c r="U5908" i="7"/>
  <c r="T5908" i="7"/>
  <c r="S5908" i="7"/>
  <c r="R5908" i="7"/>
  <c r="Q5908" i="7"/>
  <c r="P5908" i="7"/>
  <c r="O5908" i="7"/>
  <c r="U5907" i="7"/>
  <c r="T5907" i="7"/>
  <c r="S5907" i="7"/>
  <c r="R5907" i="7"/>
  <c r="Q5907" i="7"/>
  <c r="P5907" i="7"/>
  <c r="O5907" i="7"/>
  <c r="U5906" i="7"/>
  <c r="T5906" i="7"/>
  <c r="S5906" i="7"/>
  <c r="R5906" i="7"/>
  <c r="Q5906" i="7"/>
  <c r="P5906" i="7"/>
  <c r="O5906" i="7"/>
  <c r="U5905" i="7"/>
  <c r="T5905" i="7"/>
  <c r="S5905" i="7"/>
  <c r="R5905" i="7"/>
  <c r="Q5905" i="7"/>
  <c r="P5905" i="7"/>
  <c r="O5905" i="7"/>
  <c r="U5904" i="7"/>
  <c r="T5904" i="7"/>
  <c r="S5904" i="7"/>
  <c r="R5904" i="7"/>
  <c r="Q5904" i="7"/>
  <c r="P5904" i="7"/>
  <c r="O5904" i="7"/>
  <c r="U5903" i="7"/>
  <c r="T5903" i="7"/>
  <c r="S5903" i="7"/>
  <c r="R5903" i="7"/>
  <c r="Q5903" i="7"/>
  <c r="P5903" i="7"/>
  <c r="O5903" i="7"/>
  <c r="U5902" i="7"/>
  <c r="T5902" i="7"/>
  <c r="S5902" i="7"/>
  <c r="R5902" i="7"/>
  <c r="Q5902" i="7"/>
  <c r="P5902" i="7"/>
  <c r="O5902" i="7"/>
  <c r="U5901" i="7"/>
  <c r="T5901" i="7"/>
  <c r="S5901" i="7"/>
  <c r="R5901" i="7"/>
  <c r="Q5901" i="7"/>
  <c r="P5901" i="7"/>
  <c r="O5901" i="7"/>
  <c r="U5900" i="7"/>
  <c r="T5900" i="7"/>
  <c r="S5900" i="7"/>
  <c r="R5900" i="7"/>
  <c r="Q5900" i="7"/>
  <c r="P5900" i="7"/>
  <c r="O5900" i="7"/>
  <c r="U5899" i="7"/>
  <c r="T5899" i="7"/>
  <c r="S5899" i="7"/>
  <c r="R5899" i="7"/>
  <c r="Q5899" i="7"/>
  <c r="P5899" i="7"/>
  <c r="O5899" i="7"/>
  <c r="U5898" i="7"/>
  <c r="T5898" i="7"/>
  <c r="S5898" i="7"/>
  <c r="R5898" i="7"/>
  <c r="Q5898" i="7"/>
  <c r="P5898" i="7"/>
  <c r="O5898" i="7"/>
  <c r="U5897" i="7"/>
  <c r="T5897" i="7"/>
  <c r="S5897" i="7"/>
  <c r="R5897" i="7"/>
  <c r="Q5897" i="7"/>
  <c r="P5897" i="7"/>
  <c r="O5897" i="7"/>
  <c r="U5896" i="7"/>
  <c r="T5896" i="7"/>
  <c r="S5896" i="7"/>
  <c r="R5896" i="7"/>
  <c r="Q5896" i="7"/>
  <c r="P5896" i="7"/>
  <c r="O5896" i="7"/>
  <c r="U5895" i="7"/>
  <c r="T5895" i="7"/>
  <c r="S5895" i="7"/>
  <c r="R5895" i="7"/>
  <c r="Q5895" i="7"/>
  <c r="P5895" i="7"/>
  <c r="O5895" i="7"/>
  <c r="U5894" i="7"/>
  <c r="T5894" i="7"/>
  <c r="S5894" i="7"/>
  <c r="R5894" i="7"/>
  <c r="Q5894" i="7"/>
  <c r="P5894" i="7"/>
  <c r="O5894" i="7"/>
  <c r="U5893" i="7"/>
  <c r="T5893" i="7"/>
  <c r="S5893" i="7"/>
  <c r="R5893" i="7"/>
  <c r="Q5893" i="7"/>
  <c r="P5893" i="7"/>
  <c r="O5893" i="7"/>
  <c r="U5892" i="7"/>
  <c r="T5892" i="7"/>
  <c r="S5892" i="7"/>
  <c r="R5892" i="7"/>
  <c r="Q5892" i="7"/>
  <c r="P5892" i="7"/>
  <c r="O5892" i="7"/>
  <c r="U5891" i="7"/>
  <c r="T5891" i="7"/>
  <c r="S5891" i="7"/>
  <c r="R5891" i="7"/>
  <c r="Q5891" i="7"/>
  <c r="P5891" i="7"/>
  <c r="O5891" i="7"/>
  <c r="U5890" i="7"/>
  <c r="T5890" i="7"/>
  <c r="S5890" i="7"/>
  <c r="R5890" i="7"/>
  <c r="Q5890" i="7"/>
  <c r="P5890" i="7"/>
  <c r="O5890" i="7"/>
  <c r="U5889" i="7"/>
  <c r="T5889" i="7"/>
  <c r="S5889" i="7"/>
  <c r="R5889" i="7"/>
  <c r="Q5889" i="7"/>
  <c r="P5889" i="7"/>
  <c r="O5889" i="7"/>
  <c r="U5888" i="7"/>
  <c r="T5888" i="7"/>
  <c r="S5888" i="7"/>
  <c r="R5888" i="7"/>
  <c r="Q5888" i="7"/>
  <c r="P5888" i="7"/>
  <c r="O5888" i="7"/>
  <c r="U5887" i="7"/>
  <c r="T5887" i="7"/>
  <c r="S5887" i="7"/>
  <c r="R5887" i="7"/>
  <c r="Q5887" i="7"/>
  <c r="P5887" i="7"/>
  <c r="O5887" i="7"/>
  <c r="U5886" i="7"/>
  <c r="T5886" i="7"/>
  <c r="S5886" i="7"/>
  <c r="R5886" i="7"/>
  <c r="Q5886" i="7"/>
  <c r="P5886" i="7"/>
  <c r="O5886" i="7"/>
  <c r="U5885" i="7"/>
  <c r="T5885" i="7"/>
  <c r="S5885" i="7"/>
  <c r="R5885" i="7"/>
  <c r="Q5885" i="7"/>
  <c r="P5885" i="7"/>
  <c r="O5885" i="7"/>
  <c r="U5884" i="7"/>
  <c r="T5884" i="7"/>
  <c r="S5884" i="7"/>
  <c r="R5884" i="7"/>
  <c r="Q5884" i="7"/>
  <c r="P5884" i="7"/>
  <c r="O5884" i="7"/>
  <c r="U5883" i="7"/>
  <c r="T5883" i="7"/>
  <c r="S5883" i="7"/>
  <c r="R5883" i="7"/>
  <c r="Q5883" i="7"/>
  <c r="P5883" i="7"/>
  <c r="O5883" i="7"/>
  <c r="U5882" i="7"/>
  <c r="T5882" i="7"/>
  <c r="S5882" i="7"/>
  <c r="R5882" i="7"/>
  <c r="Q5882" i="7"/>
  <c r="P5882" i="7"/>
  <c r="O5882" i="7"/>
  <c r="U5881" i="7"/>
  <c r="T5881" i="7"/>
  <c r="S5881" i="7"/>
  <c r="R5881" i="7"/>
  <c r="Q5881" i="7"/>
  <c r="P5881" i="7"/>
  <c r="O5881" i="7"/>
  <c r="U5880" i="7"/>
  <c r="T5880" i="7"/>
  <c r="S5880" i="7"/>
  <c r="R5880" i="7"/>
  <c r="Q5880" i="7"/>
  <c r="P5880" i="7"/>
  <c r="O5880" i="7"/>
  <c r="U5879" i="7"/>
  <c r="T5879" i="7"/>
  <c r="S5879" i="7"/>
  <c r="R5879" i="7"/>
  <c r="Q5879" i="7"/>
  <c r="P5879" i="7"/>
  <c r="O5879" i="7"/>
  <c r="U5878" i="7"/>
  <c r="T5878" i="7"/>
  <c r="S5878" i="7"/>
  <c r="R5878" i="7"/>
  <c r="Q5878" i="7"/>
  <c r="P5878" i="7"/>
  <c r="O5878" i="7"/>
  <c r="U5877" i="7"/>
  <c r="T5877" i="7"/>
  <c r="S5877" i="7"/>
  <c r="R5877" i="7"/>
  <c r="Q5877" i="7"/>
  <c r="P5877" i="7"/>
  <c r="O5877" i="7"/>
  <c r="U5876" i="7"/>
  <c r="T5876" i="7"/>
  <c r="S5876" i="7"/>
  <c r="R5876" i="7"/>
  <c r="Q5876" i="7"/>
  <c r="P5876" i="7"/>
  <c r="O5876" i="7"/>
  <c r="U5875" i="7"/>
  <c r="T5875" i="7"/>
  <c r="S5875" i="7"/>
  <c r="R5875" i="7"/>
  <c r="Q5875" i="7"/>
  <c r="P5875" i="7"/>
  <c r="O5875" i="7"/>
  <c r="U5874" i="7"/>
  <c r="T5874" i="7"/>
  <c r="S5874" i="7"/>
  <c r="R5874" i="7"/>
  <c r="Q5874" i="7"/>
  <c r="P5874" i="7"/>
  <c r="O5874" i="7"/>
  <c r="U5873" i="7"/>
  <c r="T5873" i="7"/>
  <c r="S5873" i="7"/>
  <c r="R5873" i="7"/>
  <c r="Q5873" i="7"/>
  <c r="P5873" i="7"/>
  <c r="O5873" i="7"/>
  <c r="U5872" i="7"/>
  <c r="T5872" i="7"/>
  <c r="S5872" i="7"/>
  <c r="R5872" i="7"/>
  <c r="Q5872" i="7"/>
  <c r="P5872" i="7"/>
  <c r="O5872" i="7"/>
  <c r="U5871" i="7"/>
  <c r="T5871" i="7"/>
  <c r="S5871" i="7"/>
  <c r="R5871" i="7"/>
  <c r="Q5871" i="7"/>
  <c r="P5871" i="7"/>
  <c r="O5871" i="7"/>
  <c r="U5870" i="7"/>
  <c r="T5870" i="7"/>
  <c r="S5870" i="7"/>
  <c r="R5870" i="7"/>
  <c r="Q5870" i="7"/>
  <c r="P5870" i="7"/>
  <c r="O5870" i="7"/>
  <c r="U5869" i="7"/>
  <c r="T5869" i="7"/>
  <c r="S5869" i="7"/>
  <c r="R5869" i="7"/>
  <c r="Q5869" i="7"/>
  <c r="P5869" i="7"/>
  <c r="O5869" i="7"/>
  <c r="U5868" i="7"/>
  <c r="T5868" i="7"/>
  <c r="S5868" i="7"/>
  <c r="R5868" i="7"/>
  <c r="Q5868" i="7"/>
  <c r="P5868" i="7"/>
  <c r="O5868" i="7"/>
  <c r="U5867" i="7"/>
  <c r="T5867" i="7"/>
  <c r="S5867" i="7"/>
  <c r="R5867" i="7"/>
  <c r="Q5867" i="7"/>
  <c r="P5867" i="7"/>
  <c r="O5867" i="7"/>
  <c r="U5866" i="7"/>
  <c r="T5866" i="7"/>
  <c r="S5866" i="7"/>
  <c r="R5866" i="7"/>
  <c r="Q5866" i="7"/>
  <c r="P5866" i="7"/>
  <c r="O5866" i="7"/>
  <c r="U5865" i="7"/>
  <c r="T5865" i="7"/>
  <c r="S5865" i="7"/>
  <c r="R5865" i="7"/>
  <c r="Q5865" i="7"/>
  <c r="P5865" i="7"/>
  <c r="O5865" i="7"/>
  <c r="U5864" i="7"/>
  <c r="T5864" i="7"/>
  <c r="S5864" i="7"/>
  <c r="R5864" i="7"/>
  <c r="Q5864" i="7"/>
  <c r="P5864" i="7"/>
  <c r="O5864" i="7"/>
  <c r="U5863" i="7"/>
  <c r="T5863" i="7"/>
  <c r="S5863" i="7"/>
  <c r="R5863" i="7"/>
  <c r="Q5863" i="7"/>
  <c r="P5863" i="7"/>
  <c r="O5863" i="7"/>
  <c r="U5862" i="7"/>
  <c r="T5862" i="7"/>
  <c r="S5862" i="7"/>
  <c r="R5862" i="7"/>
  <c r="Q5862" i="7"/>
  <c r="P5862" i="7"/>
  <c r="O5862" i="7"/>
  <c r="U5861" i="7"/>
  <c r="T5861" i="7"/>
  <c r="S5861" i="7"/>
  <c r="R5861" i="7"/>
  <c r="Q5861" i="7"/>
  <c r="P5861" i="7"/>
  <c r="O5861" i="7"/>
  <c r="U5860" i="7"/>
  <c r="T5860" i="7"/>
  <c r="S5860" i="7"/>
  <c r="R5860" i="7"/>
  <c r="Q5860" i="7"/>
  <c r="P5860" i="7"/>
  <c r="O5860" i="7"/>
  <c r="U5859" i="7"/>
  <c r="T5859" i="7"/>
  <c r="S5859" i="7"/>
  <c r="R5859" i="7"/>
  <c r="Q5859" i="7"/>
  <c r="P5859" i="7"/>
  <c r="O5859" i="7"/>
  <c r="U5858" i="7"/>
  <c r="T5858" i="7"/>
  <c r="S5858" i="7"/>
  <c r="R5858" i="7"/>
  <c r="Q5858" i="7"/>
  <c r="P5858" i="7"/>
  <c r="O5858" i="7"/>
  <c r="U5857" i="7"/>
  <c r="T5857" i="7"/>
  <c r="S5857" i="7"/>
  <c r="R5857" i="7"/>
  <c r="Q5857" i="7"/>
  <c r="P5857" i="7"/>
  <c r="O5857" i="7"/>
  <c r="U5856" i="7"/>
  <c r="T5856" i="7"/>
  <c r="S5856" i="7"/>
  <c r="R5856" i="7"/>
  <c r="Q5856" i="7"/>
  <c r="P5856" i="7"/>
  <c r="O5856" i="7"/>
  <c r="U5855" i="7"/>
  <c r="T5855" i="7"/>
  <c r="S5855" i="7"/>
  <c r="R5855" i="7"/>
  <c r="Q5855" i="7"/>
  <c r="P5855" i="7"/>
  <c r="O5855" i="7"/>
  <c r="U5854" i="7"/>
  <c r="T5854" i="7"/>
  <c r="S5854" i="7"/>
  <c r="R5854" i="7"/>
  <c r="Q5854" i="7"/>
  <c r="P5854" i="7"/>
  <c r="O5854" i="7"/>
  <c r="U5853" i="7"/>
  <c r="T5853" i="7"/>
  <c r="S5853" i="7"/>
  <c r="R5853" i="7"/>
  <c r="Q5853" i="7"/>
  <c r="P5853" i="7"/>
  <c r="O5853" i="7"/>
  <c r="U5852" i="7"/>
  <c r="T5852" i="7"/>
  <c r="S5852" i="7"/>
  <c r="R5852" i="7"/>
  <c r="Q5852" i="7"/>
  <c r="P5852" i="7"/>
  <c r="O5852" i="7"/>
  <c r="U5851" i="7"/>
  <c r="T5851" i="7"/>
  <c r="S5851" i="7"/>
  <c r="R5851" i="7"/>
  <c r="Q5851" i="7"/>
  <c r="P5851" i="7"/>
  <c r="O5851" i="7"/>
  <c r="U5850" i="7"/>
  <c r="T5850" i="7"/>
  <c r="S5850" i="7"/>
  <c r="R5850" i="7"/>
  <c r="Q5850" i="7"/>
  <c r="P5850" i="7"/>
  <c r="O5850" i="7"/>
  <c r="U5849" i="7"/>
  <c r="T5849" i="7"/>
  <c r="S5849" i="7"/>
  <c r="R5849" i="7"/>
  <c r="Q5849" i="7"/>
  <c r="P5849" i="7"/>
  <c r="O5849" i="7"/>
  <c r="U5848" i="7"/>
  <c r="T5848" i="7"/>
  <c r="S5848" i="7"/>
  <c r="R5848" i="7"/>
  <c r="Q5848" i="7"/>
  <c r="P5848" i="7"/>
  <c r="O5848" i="7"/>
  <c r="U5847" i="7"/>
  <c r="T5847" i="7"/>
  <c r="S5847" i="7"/>
  <c r="R5847" i="7"/>
  <c r="Q5847" i="7"/>
  <c r="P5847" i="7"/>
  <c r="O5847" i="7"/>
  <c r="U5846" i="7"/>
  <c r="T5846" i="7"/>
  <c r="S5846" i="7"/>
  <c r="R5846" i="7"/>
  <c r="Q5846" i="7"/>
  <c r="P5846" i="7"/>
  <c r="O5846" i="7"/>
  <c r="U5845" i="7"/>
  <c r="T5845" i="7"/>
  <c r="S5845" i="7"/>
  <c r="R5845" i="7"/>
  <c r="Q5845" i="7"/>
  <c r="P5845" i="7"/>
  <c r="O5845" i="7"/>
  <c r="U5844" i="7"/>
  <c r="T5844" i="7"/>
  <c r="S5844" i="7"/>
  <c r="R5844" i="7"/>
  <c r="Q5844" i="7"/>
  <c r="P5844" i="7"/>
  <c r="O5844" i="7"/>
  <c r="U5843" i="7"/>
  <c r="T5843" i="7"/>
  <c r="S5843" i="7"/>
  <c r="R5843" i="7"/>
  <c r="Q5843" i="7"/>
  <c r="P5843" i="7"/>
  <c r="O5843" i="7"/>
  <c r="U5842" i="7"/>
  <c r="T5842" i="7"/>
  <c r="S5842" i="7"/>
  <c r="R5842" i="7"/>
  <c r="Q5842" i="7"/>
  <c r="P5842" i="7"/>
  <c r="O5842" i="7"/>
  <c r="U5841" i="7"/>
  <c r="T5841" i="7"/>
  <c r="S5841" i="7"/>
  <c r="R5841" i="7"/>
  <c r="Q5841" i="7"/>
  <c r="P5841" i="7"/>
  <c r="O5841" i="7"/>
  <c r="U5840" i="7"/>
  <c r="T5840" i="7"/>
  <c r="S5840" i="7"/>
  <c r="R5840" i="7"/>
  <c r="Q5840" i="7"/>
  <c r="P5840" i="7"/>
  <c r="O5840" i="7"/>
  <c r="U5839" i="7"/>
  <c r="T5839" i="7"/>
  <c r="S5839" i="7"/>
  <c r="R5839" i="7"/>
  <c r="Q5839" i="7"/>
  <c r="P5839" i="7"/>
  <c r="O5839" i="7"/>
  <c r="U5838" i="7"/>
  <c r="T5838" i="7"/>
  <c r="S5838" i="7"/>
  <c r="R5838" i="7"/>
  <c r="Q5838" i="7"/>
  <c r="P5838" i="7"/>
  <c r="O5838" i="7"/>
  <c r="U5837" i="7"/>
  <c r="T5837" i="7"/>
  <c r="S5837" i="7"/>
  <c r="R5837" i="7"/>
  <c r="Q5837" i="7"/>
  <c r="P5837" i="7"/>
  <c r="O5837" i="7"/>
  <c r="U5836" i="7"/>
  <c r="T5836" i="7"/>
  <c r="S5836" i="7"/>
  <c r="R5836" i="7"/>
  <c r="Q5836" i="7"/>
  <c r="P5836" i="7"/>
  <c r="O5836" i="7"/>
  <c r="U5835" i="7"/>
  <c r="T5835" i="7"/>
  <c r="S5835" i="7"/>
  <c r="R5835" i="7"/>
  <c r="Q5835" i="7"/>
  <c r="P5835" i="7"/>
  <c r="O5835" i="7"/>
  <c r="U5834" i="7"/>
  <c r="T5834" i="7"/>
  <c r="S5834" i="7"/>
  <c r="R5834" i="7"/>
  <c r="Q5834" i="7"/>
  <c r="P5834" i="7"/>
  <c r="O5834" i="7"/>
  <c r="U5833" i="7"/>
  <c r="T5833" i="7"/>
  <c r="S5833" i="7"/>
  <c r="R5833" i="7"/>
  <c r="Q5833" i="7"/>
  <c r="P5833" i="7"/>
  <c r="O5833" i="7"/>
  <c r="U5832" i="7"/>
  <c r="T5832" i="7"/>
  <c r="S5832" i="7"/>
  <c r="R5832" i="7"/>
  <c r="Q5832" i="7"/>
  <c r="P5832" i="7"/>
  <c r="O5832" i="7"/>
  <c r="U5831" i="7"/>
  <c r="T5831" i="7"/>
  <c r="S5831" i="7"/>
  <c r="R5831" i="7"/>
  <c r="Q5831" i="7"/>
  <c r="P5831" i="7"/>
  <c r="O5831" i="7"/>
  <c r="U5830" i="7"/>
  <c r="T5830" i="7"/>
  <c r="S5830" i="7"/>
  <c r="R5830" i="7"/>
  <c r="Q5830" i="7"/>
  <c r="P5830" i="7"/>
  <c r="O5830" i="7"/>
  <c r="U5829" i="7"/>
  <c r="T5829" i="7"/>
  <c r="S5829" i="7"/>
  <c r="R5829" i="7"/>
  <c r="Q5829" i="7"/>
  <c r="P5829" i="7"/>
  <c r="O5829" i="7"/>
  <c r="U5828" i="7"/>
  <c r="T5828" i="7"/>
  <c r="S5828" i="7"/>
  <c r="R5828" i="7"/>
  <c r="Q5828" i="7"/>
  <c r="P5828" i="7"/>
  <c r="O5828" i="7"/>
  <c r="U5827" i="7"/>
  <c r="T5827" i="7"/>
  <c r="S5827" i="7"/>
  <c r="R5827" i="7"/>
  <c r="Q5827" i="7"/>
  <c r="P5827" i="7"/>
  <c r="O5827" i="7"/>
  <c r="U5826" i="7"/>
  <c r="T5826" i="7"/>
  <c r="S5826" i="7"/>
  <c r="R5826" i="7"/>
  <c r="Q5826" i="7"/>
  <c r="P5826" i="7"/>
  <c r="O5826" i="7"/>
  <c r="U5825" i="7"/>
  <c r="T5825" i="7"/>
  <c r="S5825" i="7"/>
  <c r="R5825" i="7"/>
  <c r="Q5825" i="7"/>
  <c r="P5825" i="7"/>
  <c r="O5825" i="7"/>
  <c r="U5824" i="7"/>
  <c r="T5824" i="7"/>
  <c r="S5824" i="7"/>
  <c r="R5824" i="7"/>
  <c r="Q5824" i="7"/>
  <c r="P5824" i="7"/>
  <c r="O5824" i="7"/>
  <c r="U5823" i="7"/>
  <c r="T5823" i="7"/>
  <c r="S5823" i="7"/>
  <c r="R5823" i="7"/>
  <c r="Q5823" i="7"/>
  <c r="P5823" i="7"/>
  <c r="O5823" i="7"/>
  <c r="U5822" i="7"/>
  <c r="T5822" i="7"/>
  <c r="S5822" i="7"/>
  <c r="R5822" i="7"/>
  <c r="Q5822" i="7"/>
  <c r="P5822" i="7"/>
  <c r="O5822" i="7"/>
  <c r="U5821" i="7"/>
  <c r="T5821" i="7"/>
  <c r="S5821" i="7"/>
  <c r="R5821" i="7"/>
  <c r="Q5821" i="7"/>
  <c r="P5821" i="7"/>
  <c r="O5821" i="7"/>
  <c r="U5820" i="7"/>
  <c r="T5820" i="7"/>
  <c r="S5820" i="7"/>
  <c r="R5820" i="7"/>
  <c r="Q5820" i="7"/>
  <c r="P5820" i="7"/>
  <c r="O5820" i="7"/>
  <c r="U5819" i="7"/>
  <c r="T5819" i="7"/>
  <c r="S5819" i="7"/>
  <c r="R5819" i="7"/>
  <c r="Q5819" i="7"/>
  <c r="P5819" i="7"/>
  <c r="O5819" i="7"/>
  <c r="U5818" i="7"/>
  <c r="T5818" i="7"/>
  <c r="S5818" i="7"/>
  <c r="R5818" i="7"/>
  <c r="Q5818" i="7"/>
  <c r="P5818" i="7"/>
  <c r="O5818" i="7"/>
  <c r="U5817" i="7"/>
  <c r="T5817" i="7"/>
  <c r="S5817" i="7"/>
  <c r="R5817" i="7"/>
  <c r="Q5817" i="7"/>
  <c r="P5817" i="7"/>
  <c r="O5817" i="7"/>
  <c r="U5816" i="7"/>
  <c r="T5816" i="7"/>
  <c r="S5816" i="7"/>
  <c r="R5816" i="7"/>
  <c r="Q5816" i="7"/>
  <c r="P5816" i="7"/>
  <c r="O5816" i="7"/>
  <c r="U5815" i="7"/>
  <c r="T5815" i="7"/>
  <c r="S5815" i="7"/>
  <c r="R5815" i="7"/>
  <c r="Q5815" i="7"/>
  <c r="P5815" i="7"/>
  <c r="O5815" i="7"/>
  <c r="U5814" i="7"/>
  <c r="T5814" i="7"/>
  <c r="S5814" i="7"/>
  <c r="R5814" i="7"/>
  <c r="Q5814" i="7"/>
  <c r="P5814" i="7"/>
  <c r="O5814" i="7"/>
  <c r="U5813" i="7"/>
  <c r="T5813" i="7"/>
  <c r="S5813" i="7"/>
  <c r="R5813" i="7"/>
  <c r="Q5813" i="7"/>
  <c r="P5813" i="7"/>
  <c r="O5813" i="7"/>
  <c r="U5812" i="7"/>
  <c r="T5812" i="7"/>
  <c r="S5812" i="7"/>
  <c r="R5812" i="7"/>
  <c r="Q5812" i="7"/>
  <c r="P5812" i="7"/>
  <c r="O5812" i="7"/>
  <c r="U5811" i="7"/>
  <c r="T5811" i="7"/>
  <c r="S5811" i="7"/>
  <c r="R5811" i="7"/>
  <c r="Q5811" i="7"/>
  <c r="P5811" i="7"/>
  <c r="O5811" i="7"/>
  <c r="U5810" i="7"/>
  <c r="T5810" i="7"/>
  <c r="S5810" i="7"/>
  <c r="R5810" i="7"/>
  <c r="Q5810" i="7"/>
  <c r="P5810" i="7"/>
  <c r="O5810" i="7"/>
  <c r="U5809" i="7"/>
  <c r="T5809" i="7"/>
  <c r="S5809" i="7"/>
  <c r="R5809" i="7"/>
  <c r="Q5809" i="7"/>
  <c r="P5809" i="7"/>
  <c r="O5809" i="7"/>
  <c r="U5808" i="7"/>
  <c r="T5808" i="7"/>
  <c r="S5808" i="7"/>
  <c r="R5808" i="7"/>
  <c r="Q5808" i="7"/>
  <c r="P5808" i="7"/>
  <c r="O5808" i="7"/>
  <c r="U5807" i="7"/>
  <c r="T5807" i="7"/>
  <c r="S5807" i="7"/>
  <c r="R5807" i="7"/>
  <c r="Q5807" i="7"/>
  <c r="P5807" i="7"/>
  <c r="O5807" i="7"/>
  <c r="U5806" i="7"/>
  <c r="T5806" i="7"/>
  <c r="S5806" i="7"/>
  <c r="R5806" i="7"/>
  <c r="Q5806" i="7"/>
  <c r="P5806" i="7"/>
  <c r="O5806" i="7"/>
  <c r="U5805" i="7"/>
  <c r="T5805" i="7"/>
  <c r="S5805" i="7"/>
  <c r="R5805" i="7"/>
  <c r="Q5805" i="7"/>
  <c r="P5805" i="7"/>
  <c r="O5805" i="7"/>
  <c r="U5804" i="7"/>
  <c r="T5804" i="7"/>
  <c r="S5804" i="7"/>
  <c r="R5804" i="7"/>
  <c r="Q5804" i="7"/>
  <c r="P5804" i="7"/>
  <c r="O5804" i="7"/>
  <c r="U5803" i="7"/>
  <c r="T5803" i="7"/>
  <c r="S5803" i="7"/>
  <c r="R5803" i="7"/>
  <c r="Q5803" i="7"/>
  <c r="P5803" i="7"/>
  <c r="O5803" i="7"/>
  <c r="U5802" i="7"/>
  <c r="T5802" i="7"/>
  <c r="S5802" i="7"/>
  <c r="R5802" i="7"/>
  <c r="Q5802" i="7"/>
  <c r="P5802" i="7"/>
  <c r="O5802" i="7"/>
  <c r="U5801" i="7"/>
  <c r="T5801" i="7"/>
  <c r="S5801" i="7"/>
  <c r="R5801" i="7"/>
  <c r="Q5801" i="7"/>
  <c r="P5801" i="7"/>
  <c r="O5801" i="7"/>
  <c r="U5800" i="7"/>
  <c r="T5800" i="7"/>
  <c r="S5800" i="7"/>
  <c r="R5800" i="7"/>
  <c r="Q5800" i="7"/>
  <c r="P5800" i="7"/>
  <c r="O5800" i="7"/>
  <c r="U5799" i="7"/>
  <c r="T5799" i="7"/>
  <c r="S5799" i="7"/>
  <c r="R5799" i="7"/>
  <c r="Q5799" i="7"/>
  <c r="P5799" i="7"/>
  <c r="O5799" i="7"/>
  <c r="U5798" i="7"/>
  <c r="T5798" i="7"/>
  <c r="S5798" i="7"/>
  <c r="R5798" i="7"/>
  <c r="Q5798" i="7"/>
  <c r="P5798" i="7"/>
  <c r="O5798" i="7"/>
  <c r="U5797" i="7"/>
  <c r="T5797" i="7"/>
  <c r="S5797" i="7"/>
  <c r="R5797" i="7"/>
  <c r="Q5797" i="7"/>
  <c r="P5797" i="7"/>
  <c r="O5797" i="7"/>
  <c r="U5796" i="7"/>
  <c r="T5796" i="7"/>
  <c r="S5796" i="7"/>
  <c r="R5796" i="7"/>
  <c r="Q5796" i="7"/>
  <c r="P5796" i="7"/>
  <c r="O5796" i="7"/>
  <c r="U5795" i="7"/>
  <c r="T5795" i="7"/>
  <c r="S5795" i="7"/>
  <c r="R5795" i="7"/>
  <c r="Q5795" i="7"/>
  <c r="P5795" i="7"/>
  <c r="O5795" i="7"/>
  <c r="U5794" i="7"/>
  <c r="T5794" i="7"/>
  <c r="S5794" i="7"/>
  <c r="R5794" i="7"/>
  <c r="Q5794" i="7"/>
  <c r="P5794" i="7"/>
  <c r="O5794" i="7"/>
  <c r="U5793" i="7"/>
  <c r="T5793" i="7"/>
  <c r="S5793" i="7"/>
  <c r="R5793" i="7"/>
  <c r="Q5793" i="7"/>
  <c r="P5793" i="7"/>
  <c r="O5793" i="7"/>
  <c r="U5792" i="7"/>
  <c r="T5792" i="7"/>
  <c r="S5792" i="7"/>
  <c r="R5792" i="7"/>
  <c r="Q5792" i="7"/>
  <c r="P5792" i="7"/>
  <c r="O5792" i="7"/>
  <c r="U5791" i="7"/>
  <c r="T5791" i="7"/>
  <c r="S5791" i="7"/>
  <c r="R5791" i="7"/>
  <c r="Q5791" i="7"/>
  <c r="P5791" i="7"/>
  <c r="O5791" i="7"/>
  <c r="U5790" i="7"/>
  <c r="T5790" i="7"/>
  <c r="S5790" i="7"/>
  <c r="R5790" i="7"/>
  <c r="Q5790" i="7"/>
  <c r="P5790" i="7"/>
  <c r="O5790" i="7"/>
  <c r="U5789" i="7"/>
  <c r="T5789" i="7"/>
  <c r="S5789" i="7"/>
  <c r="R5789" i="7"/>
  <c r="Q5789" i="7"/>
  <c r="P5789" i="7"/>
  <c r="O5789" i="7"/>
  <c r="U5788" i="7"/>
  <c r="T5788" i="7"/>
  <c r="S5788" i="7"/>
  <c r="R5788" i="7"/>
  <c r="Q5788" i="7"/>
  <c r="P5788" i="7"/>
  <c r="O5788" i="7"/>
  <c r="U5787" i="7"/>
  <c r="T5787" i="7"/>
  <c r="S5787" i="7"/>
  <c r="R5787" i="7"/>
  <c r="Q5787" i="7"/>
  <c r="P5787" i="7"/>
  <c r="O5787" i="7"/>
  <c r="U5786" i="7"/>
  <c r="T5786" i="7"/>
  <c r="S5786" i="7"/>
  <c r="R5786" i="7"/>
  <c r="Q5786" i="7"/>
  <c r="P5786" i="7"/>
  <c r="O5786" i="7"/>
  <c r="U5785" i="7"/>
  <c r="T5785" i="7"/>
  <c r="S5785" i="7"/>
  <c r="R5785" i="7"/>
  <c r="Q5785" i="7"/>
  <c r="P5785" i="7"/>
  <c r="O5785" i="7"/>
  <c r="U5784" i="7"/>
  <c r="T5784" i="7"/>
  <c r="S5784" i="7"/>
  <c r="R5784" i="7"/>
  <c r="Q5784" i="7"/>
  <c r="P5784" i="7"/>
  <c r="O5784" i="7"/>
  <c r="U5783" i="7"/>
  <c r="T5783" i="7"/>
  <c r="S5783" i="7"/>
  <c r="R5783" i="7"/>
  <c r="Q5783" i="7"/>
  <c r="P5783" i="7"/>
  <c r="O5783" i="7"/>
  <c r="U5782" i="7"/>
  <c r="T5782" i="7"/>
  <c r="S5782" i="7"/>
  <c r="R5782" i="7"/>
  <c r="Q5782" i="7"/>
  <c r="P5782" i="7"/>
  <c r="O5782" i="7"/>
  <c r="U5781" i="7"/>
  <c r="T5781" i="7"/>
  <c r="S5781" i="7"/>
  <c r="R5781" i="7"/>
  <c r="Q5781" i="7"/>
  <c r="P5781" i="7"/>
  <c r="O5781" i="7"/>
  <c r="U5780" i="7"/>
  <c r="T5780" i="7"/>
  <c r="S5780" i="7"/>
  <c r="R5780" i="7"/>
  <c r="Q5780" i="7"/>
  <c r="P5780" i="7"/>
  <c r="O5780" i="7"/>
  <c r="U5779" i="7"/>
  <c r="T5779" i="7"/>
  <c r="S5779" i="7"/>
  <c r="R5779" i="7"/>
  <c r="Q5779" i="7"/>
  <c r="P5779" i="7"/>
  <c r="O5779" i="7"/>
  <c r="U5778" i="7"/>
  <c r="T5778" i="7"/>
  <c r="S5778" i="7"/>
  <c r="R5778" i="7"/>
  <c r="Q5778" i="7"/>
  <c r="P5778" i="7"/>
  <c r="O5778" i="7"/>
  <c r="U5777" i="7"/>
  <c r="T5777" i="7"/>
  <c r="S5777" i="7"/>
  <c r="R5777" i="7"/>
  <c r="Q5777" i="7"/>
  <c r="P5777" i="7"/>
  <c r="O5777" i="7"/>
  <c r="U5776" i="7"/>
  <c r="T5776" i="7"/>
  <c r="S5776" i="7"/>
  <c r="R5776" i="7"/>
  <c r="Q5776" i="7"/>
  <c r="P5776" i="7"/>
  <c r="O5776" i="7"/>
  <c r="U5775" i="7"/>
  <c r="T5775" i="7"/>
  <c r="S5775" i="7"/>
  <c r="R5775" i="7"/>
  <c r="Q5775" i="7"/>
  <c r="P5775" i="7"/>
  <c r="O5775" i="7"/>
  <c r="U5774" i="7"/>
  <c r="T5774" i="7"/>
  <c r="S5774" i="7"/>
  <c r="R5774" i="7"/>
  <c r="Q5774" i="7"/>
  <c r="P5774" i="7"/>
  <c r="O5774" i="7"/>
  <c r="U5773" i="7"/>
  <c r="T5773" i="7"/>
  <c r="S5773" i="7"/>
  <c r="R5773" i="7"/>
  <c r="Q5773" i="7"/>
  <c r="P5773" i="7"/>
  <c r="O5773" i="7"/>
  <c r="U5772" i="7"/>
  <c r="T5772" i="7"/>
  <c r="S5772" i="7"/>
  <c r="R5772" i="7"/>
  <c r="Q5772" i="7"/>
  <c r="P5772" i="7"/>
  <c r="O5772" i="7"/>
  <c r="U5771" i="7"/>
  <c r="T5771" i="7"/>
  <c r="S5771" i="7"/>
  <c r="R5771" i="7"/>
  <c r="Q5771" i="7"/>
  <c r="P5771" i="7"/>
  <c r="O5771" i="7"/>
  <c r="U5770" i="7"/>
  <c r="T5770" i="7"/>
  <c r="S5770" i="7"/>
  <c r="R5770" i="7"/>
  <c r="Q5770" i="7"/>
  <c r="P5770" i="7"/>
  <c r="O5770" i="7"/>
  <c r="U5769" i="7"/>
  <c r="T5769" i="7"/>
  <c r="S5769" i="7"/>
  <c r="R5769" i="7"/>
  <c r="Q5769" i="7"/>
  <c r="P5769" i="7"/>
  <c r="O5769" i="7"/>
  <c r="U5768" i="7"/>
  <c r="T5768" i="7"/>
  <c r="S5768" i="7"/>
  <c r="R5768" i="7"/>
  <c r="Q5768" i="7"/>
  <c r="P5768" i="7"/>
  <c r="O5768" i="7"/>
  <c r="U5767" i="7"/>
  <c r="T5767" i="7"/>
  <c r="S5767" i="7"/>
  <c r="R5767" i="7"/>
  <c r="Q5767" i="7"/>
  <c r="P5767" i="7"/>
  <c r="O5767" i="7"/>
  <c r="U5766" i="7"/>
  <c r="T5766" i="7"/>
  <c r="S5766" i="7"/>
  <c r="R5766" i="7"/>
  <c r="Q5766" i="7"/>
  <c r="P5766" i="7"/>
  <c r="O5766" i="7"/>
  <c r="U5765" i="7"/>
  <c r="T5765" i="7"/>
  <c r="S5765" i="7"/>
  <c r="R5765" i="7"/>
  <c r="Q5765" i="7"/>
  <c r="P5765" i="7"/>
  <c r="O5765" i="7"/>
  <c r="U5764" i="7"/>
  <c r="T5764" i="7"/>
  <c r="S5764" i="7"/>
  <c r="R5764" i="7"/>
  <c r="Q5764" i="7"/>
  <c r="P5764" i="7"/>
  <c r="O5764" i="7"/>
  <c r="U5763" i="7"/>
  <c r="T5763" i="7"/>
  <c r="S5763" i="7"/>
  <c r="R5763" i="7"/>
  <c r="Q5763" i="7"/>
  <c r="P5763" i="7"/>
  <c r="O5763" i="7"/>
  <c r="U5762" i="7"/>
  <c r="T5762" i="7"/>
  <c r="S5762" i="7"/>
  <c r="R5762" i="7"/>
  <c r="Q5762" i="7"/>
  <c r="P5762" i="7"/>
  <c r="O5762" i="7"/>
  <c r="U5761" i="7"/>
  <c r="T5761" i="7"/>
  <c r="S5761" i="7"/>
  <c r="R5761" i="7"/>
  <c r="Q5761" i="7"/>
  <c r="P5761" i="7"/>
  <c r="O5761" i="7"/>
  <c r="U5760" i="7"/>
  <c r="T5760" i="7"/>
  <c r="S5760" i="7"/>
  <c r="R5760" i="7"/>
  <c r="Q5760" i="7"/>
  <c r="P5760" i="7"/>
  <c r="O5760" i="7"/>
  <c r="U5759" i="7"/>
  <c r="T5759" i="7"/>
  <c r="S5759" i="7"/>
  <c r="R5759" i="7"/>
  <c r="Q5759" i="7"/>
  <c r="P5759" i="7"/>
  <c r="O5759" i="7"/>
  <c r="U5758" i="7"/>
  <c r="T5758" i="7"/>
  <c r="S5758" i="7"/>
  <c r="R5758" i="7"/>
  <c r="Q5758" i="7"/>
  <c r="P5758" i="7"/>
  <c r="O5758" i="7"/>
  <c r="U5757" i="7"/>
  <c r="T5757" i="7"/>
  <c r="S5757" i="7"/>
  <c r="R5757" i="7"/>
  <c r="Q5757" i="7"/>
  <c r="P5757" i="7"/>
  <c r="O5757" i="7"/>
  <c r="U5756" i="7"/>
  <c r="T5756" i="7"/>
  <c r="S5756" i="7"/>
  <c r="R5756" i="7"/>
  <c r="Q5756" i="7"/>
  <c r="P5756" i="7"/>
  <c r="O5756" i="7"/>
  <c r="U5755" i="7"/>
  <c r="T5755" i="7"/>
  <c r="S5755" i="7"/>
  <c r="R5755" i="7"/>
  <c r="Q5755" i="7"/>
  <c r="P5755" i="7"/>
  <c r="O5755" i="7"/>
  <c r="U5754" i="7"/>
  <c r="T5754" i="7"/>
  <c r="S5754" i="7"/>
  <c r="R5754" i="7"/>
  <c r="Q5754" i="7"/>
  <c r="P5754" i="7"/>
  <c r="O5754" i="7"/>
  <c r="U5753" i="7"/>
  <c r="T5753" i="7"/>
  <c r="S5753" i="7"/>
  <c r="R5753" i="7"/>
  <c r="Q5753" i="7"/>
  <c r="P5753" i="7"/>
  <c r="O5753" i="7"/>
  <c r="U5752" i="7"/>
  <c r="T5752" i="7"/>
  <c r="S5752" i="7"/>
  <c r="R5752" i="7"/>
  <c r="Q5752" i="7"/>
  <c r="P5752" i="7"/>
  <c r="O5752" i="7"/>
  <c r="U5751" i="7"/>
  <c r="T5751" i="7"/>
  <c r="S5751" i="7"/>
  <c r="R5751" i="7"/>
  <c r="Q5751" i="7"/>
  <c r="P5751" i="7"/>
  <c r="O5751" i="7"/>
  <c r="U5750" i="7"/>
  <c r="T5750" i="7"/>
  <c r="S5750" i="7"/>
  <c r="R5750" i="7"/>
  <c r="Q5750" i="7"/>
  <c r="P5750" i="7"/>
  <c r="O5750" i="7"/>
  <c r="U5749" i="7"/>
  <c r="T5749" i="7"/>
  <c r="S5749" i="7"/>
  <c r="R5749" i="7"/>
  <c r="Q5749" i="7"/>
  <c r="P5749" i="7"/>
  <c r="O5749" i="7"/>
  <c r="U5748" i="7"/>
  <c r="T5748" i="7"/>
  <c r="S5748" i="7"/>
  <c r="R5748" i="7"/>
  <c r="Q5748" i="7"/>
  <c r="P5748" i="7"/>
  <c r="O5748" i="7"/>
  <c r="U5747" i="7"/>
  <c r="T5747" i="7"/>
  <c r="S5747" i="7"/>
  <c r="R5747" i="7"/>
  <c r="Q5747" i="7"/>
  <c r="P5747" i="7"/>
  <c r="O5747" i="7"/>
  <c r="U5746" i="7"/>
  <c r="T5746" i="7"/>
  <c r="S5746" i="7"/>
  <c r="R5746" i="7"/>
  <c r="Q5746" i="7"/>
  <c r="P5746" i="7"/>
  <c r="O5746" i="7"/>
  <c r="U5745" i="7"/>
  <c r="T5745" i="7"/>
  <c r="S5745" i="7"/>
  <c r="R5745" i="7"/>
  <c r="Q5745" i="7"/>
  <c r="P5745" i="7"/>
  <c r="O5745" i="7"/>
  <c r="U5744" i="7"/>
  <c r="T5744" i="7"/>
  <c r="S5744" i="7"/>
  <c r="R5744" i="7"/>
  <c r="Q5744" i="7"/>
  <c r="P5744" i="7"/>
  <c r="O5744" i="7"/>
  <c r="U5743" i="7"/>
  <c r="T5743" i="7"/>
  <c r="S5743" i="7"/>
  <c r="R5743" i="7"/>
  <c r="Q5743" i="7"/>
  <c r="P5743" i="7"/>
  <c r="O5743" i="7"/>
  <c r="U5742" i="7"/>
  <c r="T5742" i="7"/>
  <c r="S5742" i="7"/>
  <c r="R5742" i="7"/>
  <c r="Q5742" i="7"/>
  <c r="P5742" i="7"/>
  <c r="O5742" i="7"/>
  <c r="U5741" i="7"/>
  <c r="T5741" i="7"/>
  <c r="S5741" i="7"/>
  <c r="R5741" i="7"/>
  <c r="Q5741" i="7"/>
  <c r="P5741" i="7"/>
  <c r="O5741" i="7"/>
  <c r="U5740" i="7"/>
  <c r="T5740" i="7"/>
  <c r="S5740" i="7"/>
  <c r="R5740" i="7"/>
  <c r="Q5740" i="7"/>
  <c r="P5740" i="7"/>
  <c r="O5740" i="7"/>
  <c r="U5739" i="7"/>
  <c r="T5739" i="7"/>
  <c r="S5739" i="7"/>
  <c r="R5739" i="7"/>
  <c r="Q5739" i="7"/>
  <c r="P5739" i="7"/>
  <c r="O5739" i="7"/>
  <c r="U5738" i="7"/>
  <c r="T5738" i="7"/>
  <c r="S5738" i="7"/>
  <c r="R5738" i="7"/>
  <c r="Q5738" i="7"/>
  <c r="P5738" i="7"/>
  <c r="O5738" i="7"/>
  <c r="U5737" i="7"/>
  <c r="T5737" i="7"/>
  <c r="S5737" i="7"/>
  <c r="R5737" i="7"/>
  <c r="Q5737" i="7"/>
  <c r="P5737" i="7"/>
  <c r="O5737" i="7"/>
  <c r="U5736" i="7"/>
  <c r="T5736" i="7"/>
  <c r="S5736" i="7"/>
  <c r="R5736" i="7"/>
  <c r="Q5736" i="7"/>
  <c r="P5736" i="7"/>
  <c r="O5736" i="7"/>
  <c r="U5735" i="7"/>
  <c r="T5735" i="7"/>
  <c r="S5735" i="7"/>
  <c r="R5735" i="7"/>
  <c r="Q5735" i="7"/>
  <c r="P5735" i="7"/>
  <c r="O5735" i="7"/>
  <c r="U5734" i="7"/>
  <c r="T5734" i="7"/>
  <c r="S5734" i="7"/>
  <c r="R5734" i="7"/>
  <c r="Q5734" i="7"/>
  <c r="P5734" i="7"/>
  <c r="O5734" i="7"/>
  <c r="U5733" i="7"/>
  <c r="T5733" i="7"/>
  <c r="S5733" i="7"/>
  <c r="R5733" i="7"/>
  <c r="Q5733" i="7"/>
  <c r="P5733" i="7"/>
  <c r="O5733" i="7"/>
  <c r="U5732" i="7"/>
  <c r="T5732" i="7"/>
  <c r="S5732" i="7"/>
  <c r="R5732" i="7"/>
  <c r="Q5732" i="7"/>
  <c r="P5732" i="7"/>
  <c r="O5732" i="7"/>
  <c r="U5731" i="7"/>
  <c r="T5731" i="7"/>
  <c r="S5731" i="7"/>
  <c r="R5731" i="7"/>
  <c r="Q5731" i="7"/>
  <c r="P5731" i="7"/>
  <c r="O5731" i="7"/>
  <c r="U5730" i="7"/>
  <c r="T5730" i="7"/>
  <c r="S5730" i="7"/>
  <c r="R5730" i="7"/>
  <c r="Q5730" i="7"/>
  <c r="P5730" i="7"/>
  <c r="O5730" i="7"/>
  <c r="U5729" i="7"/>
  <c r="T5729" i="7"/>
  <c r="S5729" i="7"/>
  <c r="R5729" i="7"/>
  <c r="Q5729" i="7"/>
  <c r="P5729" i="7"/>
  <c r="O5729" i="7"/>
  <c r="U5728" i="7"/>
  <c r="T5728" i="7"/>
  <c r="S5728" i="7"/>
  <c r="R5728" i="7"/>
  <c r="Q5728" i="7"/>
  <c r="P5728" i="7"/>
  <c r="O5728" i="7"/>
  <c r="U5727" i="7"/>
  <c r="T5727" i="7"/>
  <c r="S5727" i="7"/>
  <c r="R5727" i="7"/>
  <c r="Q5727" i="7"/>
  <c r="P5727" i="7"/>
  <c r="O5727" i="7"/>
  <c r="U5726" i="7"/>
  <c r="T5726" i="7"/>
  <c r="S5726" i="7"/>
  <c r="R5726" i="7"/>
  <c r="Q5726" i="7"/>
  <c r="P5726" i="7"/>
  <c r="O5726" i="7"/>
  <c r="U5725" i="7"/>
  <c r="T5725" i="7"/>
  <c r="S5725" i="7"/>
  <c r="R5725" i="7"/>
  <c r="Q5725" i="7"/>
  <c r="P5725" i="7"/>
  <c r="O5725" i="7"/>
  <c r="U5724" i="7"/>
  <c r="T5724" i="7"/>
  <c r="S5724" i="7"/>
  <c r="R5724" i="7"/>
  <c r="Q5724" i="7"/>
  <c r="P5724" i="7"/>
  <c r="O5724" i="7"/>
  <c r="U5723" i="7"/>
  <c r="T5723" i="7"/>
  <c r="S5723" i="7"/>
  <c r="R5723" i="7"/>
  <c r="Q5723" i="7"/>
  <c r="P5723" i="7"/>
  <c r="O5723" i="7"/>
  <c r="U5722" i="7"/>
  <c r="T5722" i="7"/>
  <c r="S5722" i="7"/>
  <c r="R5722" i="7"/>
  <c r="Q5722" i="7"/>
  <c r="P5722" i="7"/>
  <c r="O5722" i="7"/>
  <c r="U5721" i="7"/>
  <c r="T5721" i="7"/>
  <c r="S5721" i="7"/>
  <c r="R5721" i="7"/>
  <c r="Q5721" i="7"/>
  <c r="P5721" i="7"/>
  <c r="O5721" i="7"/>
  <c r="U5720" i="7"/>
  <c r="T5720" i="7"/>
  <c r="S5720" i="7"/>
  <c r="R5720" i="7"/>
  <c r="Q5720" i="7"/>
  <c r="P5720" i="7"/>
  <c r="O5720" i="7"/>
  <c r="U5719" i="7"/>
  <c r="T5719" i="7"/>
  <c r="S5719" i="7"/>
  <c r="R5719" i="7"/>
  <c r="Q5719" i="7"/>
  <c r="P5719" i="7"/>
  <c r="O5719" i="7"/>
  <c r="U5718" i="7"/>
  <c r="T5718" i="7"/>
  <c r="S5718" i="7"/>
  <c r="R5718" i="7"/>
  <c r="Q5718" i="7"/>
  <c r="P5718" i="7"/>
  <c r="O5718" i="7"/>
  <c r="U5717" i="7"/>
  <c r="T5717" i="7"/>
  <c r="S5717" i="7"/>
  <c r="R5717" i="7"/>
  <c r="Q5717" i="7"/>
  <c r="P5717" i="7"/>
  <c r="O5717" i="7"/>
  <c r="U5716" i="7"/>
  <c r="T5716" i="7"/>
  <c r="S5716" i="7"/>
  <c r="R5716" i="7"/>
  <c r="Q5716" i="7"/>
  <c r="P5716" i="7"/>
  <c r="O5716" i="7"/>
  <c r="U5715" i="7"/>
  <c r="T5715" i="7"/>
  <c r="S5715" i="7"/>
  <c r="R5715" i="7"/>
  <c r="Q5715" i="7"/>
  <c r="P5715" i="7"/>
  <c r="O5715" i="7"/>
  <c r="U5714" i="7"/>
  <c r="T5714" i="7"/>
  <c r="S5714" i="7"/>
  <c r="R5714" i="7"/>
  <c r="Q5714" i="7"/>
  <c r="P5714" i="7"/>
  <c r="O5714" i="7"/>
  <c r="U5713" i="7"/>
  <c r="T5713" i="7"/>
  <c r="S5713" i="7"/>
  <c r="R5713" i="7"/>
  <c r="Q5713" i="7"/>
  <c r="P5713" i="7"/>
  <c r="O5713" i="7"/>
  <c r="U5712" i="7"/>
  <c r="T5712" i="7"/>
  <c r="S5712" i="7"/>
  <c r="R5712" i="7"/>
  <c r="Q5712" i="7"/>
  <c r="P5712" i="7"/>
  <c r="O5712" i="7"/>
  <c r="U5711" i="7"/>
  <c r="T5711" i="7"/>
  <c r="S5711" i="7"/>
  <c r="R5711" i="7"/>
  <c r="Q5711" i="7"/>
  <c r="P5711" i="7"/>
  <c r="O5711" i="7"/>
  <c r="U5710" i="7"/>
  <c r="T5710" i="7"/>
  <c r="S5710" i="7"/>
  <c r="R5710" i="7"/>
  <c r="Q5710" i="7"/>
  <c r="P5710" i="7"/>
  <c r="O5710" i="7"/>
  <c r="U5709" i="7"/>
  <c r="T5709" i="7"/>
  <c r="S5709" i="7"/>
  <c r="R5709" i="7"/>
  <c r="Q5709" i="7"/>
  <c r="P5709" i="7"/>
  <c r="O5709" i="7"/>
  <c r="U5708" i="7"/>
  <c r="T5708" i="7"/>
  <c r="S5708" i="7"/>
  <c r="R5708" i="7"/>
  <c r="Q5708" i="7"/>
  <c r="P5708" i="7"/>
  <c r="O5708" i="7"/>
  <c r="U5707" i="7"/>
  <c r="T5707" i="7"/>
  <c r="S5707" i="7"/>
  <c r="R5707" i="7"/>
  <c r="Q5707" i="7"/>
  <c r="P5707" i="7"/>
  <c r="O5707" i="7"/>
  <c r="U5706" i="7"/>
  <c r="T5706" i="7"/>
  <c r="S5706" i="7"/>
  <c r="R5706" i="7"/>
  <c r="Q5706" i="7"/>
  <c r="P5706" i="7"/>
  <c r="O5706" i="7"/>
  <c r="U5705" i="7"/>
  <c r="T5705" i="7"/>
  <c r="S5705" i="7"/>
  <c r="R5705" i="7"/>
  <c r="Q5705" i="7"/>
  <c r="P5705" i="7"/>
  <c r="O5705" i="7"/>
  <c r="U5704" i="7"/>
  <c r="T5704" i="7"/>
  <c r="S5704" i="7"/>
  <c r="R5704" i="7"/>
  <c r="Q5704" i="7"/>
  <c r="P5704" i="7"/>
  <c r="O5704" i="7"/>
  <c r="U5703" i="7"/>
  <c r="T5703" i="7"/>
  <c r="S5703" i="7"/>
  <c r="R5703" i="7"/>
  <c r="Q5703" i="7"/>
  <c r="P5703" i="7"/>
  <c r="O5703" i="7"/>
  <c r="U5702" i="7"/>
  <c r="T5702" i="7"/>
  <c r="S5702" i="7"/>
  <c r="R5702" i="7"/>
  <c r="Q5702" i="7"/>
  <c r="P5702" i="7"/>
  <c r="O5702" i="7"/>
  <c r="U5701" i="7"/>
  <c r="T5701" i="7"/>
  <c r="S5701" i="7"/>
  <c r="R5701" i="7"/>
  <c r="Q5701" i="7"/>
  <c r="P5701" i="7"/>
  <c r="O5701" i="7"/>
  <c r="U5700" i="7"/>
  <c r="T5700" i="7"/>
  <c r="S5700" i="7"/>
  <c r="R5700" i="7"/>
  <c r="Q5700" i="7"/>
  <c r="P5700" i="7"/>
  <c r="O5700" i="7"/>
  <c r="U5699" i="7"/>
  <c r="T5699" i="7"/>
  <c r="S5699" i="7"/>
  <c r="R5699" i="7"/>
  <c r="Q5699" i="7"/>
  <c r="P5699" i="7"/>
  <c r="O5699" i="7"/>
  <c r="U5698" i="7"/>
  <c r="T5698" i="7"/>
  <c r="S5698" i="7"/>
  <c r="R5698" i="7"/>
  <c r="Q5698" i="7"/>
  <c r="P5698" i="7"/>
  <c r="O5698" i="7"/>
  <c r="U5697" i="7"/>
  <c r="T5697" i="7"/>
  <c r="S5697" i="7"/>
  <c r="R5697" i="7"/>
  <c r="Q5697" i="7"/>
  <c r="P5697" i="7"/>
  <c r="O5697" i="7"/>
  <c r="U5696" i="7"/>
  <c r="T5696" i="7"/>
  <c r="S5696" i="7"/>
  <c r="R5696" i="7"/>
  <c r="Q5696" i="7"/>
  <c r="P5696" i="7"/>
  <c r="O5696" i="7"/>
  <c r="U5695" i="7"/>
  <c r="T5695" i="7"/>
  <c r="S5695" i="7"/>
  <c r="R5695" i="7"/>
  <c r="Q5695" i="7"/>
  <c r="P5695" i="7"/>
  <c r="O5695" i="7"/>
  <c r="U5694" i="7"/>
  <c r="T5694" i="7"/>
  <c r="S5694" i="7"/>
  <c r="R5694" i="7"/>
  <c r="Q5694" i="7"/>
  <c r="P5694" i="7"/>
  <c r="O5694" i="7"/>
  <c r="U5693" i="7"/>
  <c r="T5693" i="7"/>
  <c r="S5693" i="7"/>
  <c r="R5693" i="7"/>
  <c r="Q5693" i="7"/>
  <c r="P5693" i="7"/>
  <c r="O5693" i="7"/>
  <c r="U5692" i="7"/>
  <c r="T5692" i="7"/>
  <c r="S5692" i="7"/>
  <c r="R5692" i="7"/>
  <c r="Q5692" i="7"/>
  <c r="P5692" i="7"/>
  <c r="O5692" i="7"/>
  <c r="U5691" i="7"/>
  <c r="T5691" i="7"/>
  <c r="S5691" i="7"/>
  <c r="R5691" i="7"/>
  <c r="Q5691" i="7"/>
  <c r="P5691" i="7"/>
  <c r="O5691" i="7"/>
  <c r="U5690" i="7"/>
  <c r="T5690" i="7"/>
  <c r="S5690" i="7"/>
  <c r="R5690" i="7"/>
  <c r="Q5690" i="7"/>
  <c r="P5690" i="7"/>
  <c r="O5690" i="7"/>
  <c r="U5689" i="7"/>
  <c r="T5689" i="7"/>
  <c r="S5689" i="7"/>
  <c r="R5689" i="7"/>
  <c r="Q5689" i="7"/>
  <c r="P5689" i="7"/>
  <c r="O5689" i="7"/>
  <c r="U5688" i="7"/>
  <c r="T5688" i="7"/>
  <c r="S5688" i="7"/>
  <c r="R5688" i="7"/>
  <c r="Q5688" i="7"/>
  <c r="P5688" i="7"/>
  <c r="O5688" i="7"/>
  <c r="U5687" i="7"/>
  <c r="T5687" i="7"/>
  <c r="S5687" i="7"/>
  <c r="R5687" i="7"/>
  <c r="Q5687" i="7"/>
  <c r="P5687" i="7"/>
  <c r="O5687" i="7"/>
  <c r="U5686" i="7"/>
  <c r="T5686" i="7"/>
  <c r="S5686" i="7"/>
  <c r="R5686" i="7"/>
  <c r="Q5686" i="7"/>
  <c r="P5686" i="7"/>
  <c r="O5686" i="7"/>
  <c r="U5685" i="7"/>
  <c r="T5685" i="7"/>
  <c r="S5685" i="7"/>
  <c r="R5685" i="7"/>
  <c r="Q5685" i="7"/>
  <c r="P5685" i="7"/>
  <c r="O5685" i="7"/>
  <c r="U5684" i="7"/>
  <c r="T5684" i="7"/>
  <c r="S5684" i="7"/>
  <c r="R5684" i="7"/>
  <c r="Q5684" i="7"/>
  <c r="P5684" i="7"/>
  <c r="O5684" i="7"/>
  <c r="U5683" i="7"/>
  <c r="T5683" i="7"/>
  <c r="S5683" i="7"/>
  <c r="R5683" i="7"/>
  <c r="Q5683" i="7"/>
  <c r="P5683" i="7"/>
  <c r="O5683" i="7"/>
  <c r="U5682" i="7"/>
  <c r="T5682" i="7"/>
  <c r="S5682" i="7"/>
  <c r="R5682" i="7"/>
  <c r="Q5682" i="7"/>
  <c r="P5682" i="7"/>
  <c r="O5682" i="7"/>
  <c r="U5681" i="7"/>
  <c r="T5681" i="7"/>
  <c r="S5681" i="7"/>
  <c r="R5681" i="7"/>
  <c r="Q5681" i="7"/>
  <c r="P5681" i="7"/>
  <c r="O5681" i="7"/>
  <c r="U5680" i="7"/>
  <c r="T5680" i="7"/>
  <c r="S5680" i="7"/>
  <c r="R5680" i="7"/>
  <c r="Q5680" i="7"/>
  <c r="P5680" i="7"/>
  <c r="O5680" i="7"/>
  <c r="U5679" i="7"/>
  <c r="T5679" i="7"/>
  <c r="S5679" i="7"/>
  <c r="R5679" i="7"/>
  <c r="Q5679" i="7"/>
  <c r="P5679" i="7"/>
  <c r="O5679" i="7"/>
  <c r="U5678" i="7"/>
  <c r="T5678" i="7"/>
  <c r="S5678" i="7"/>
  <c r="R5678" i="7"/>
  <c r="Q5678" i="7"/>
  <c r="P5678" i="7"/>
  <c r="O5678" i="7"/>
  <c r="U5677" i="7"/>
  <c r="T5677" i="7"/>
  <c r="S5677" i="7"/>
  <c r="R5677" i="7"/>
  <c r="Q5677" i="7"/>
  <c r="P5677" i="7"/>
  <c r="O5677" i="7"/>
  <c r="U5676" i="7"/>
  <c r="T5676" i="7"/>
  <c r="S5676" i="7"/>
  <c r="R5676" i="7"/>
  <c r="Q5676" i="7"/>
  <c r="P5676" i="7"/>
  <c r="O5676" i="7"/>
  <c r="U5675" i="7"/>
  <c r="T5675" i="7"/>
  <c r="S5675" i="7"/>
  <c r="R5675" i="7"/>
  <c r="Q5675" i="7"/>
  <c r="P5675" i="7"/>
  <c r="O5675" i="7"/>
  <c r="U5674" i="7"/>
  <c r="T5674" i="7"/>
  <c r="S5674" i="7"/>
  <c r="R5674" i="7"/>
  <c r="Q5674" i="7"/>
  <c r="P5674" i="7"/>
  <c r="O5674" i="7"/>
  <c r="U5673" i="7"/>
  <c r="T5673" i="7"/>
  <c r="S5673" i="7"/>
  <c r="R5673" i="7"/>
  <c r="Q5673" i="7"/>
  <c r="P5673" i="7"/>
  <c r="O5673" i="7"/>
  <c r="U5672" i="7"/>
  <c r="T5672" i="7"/>
  <c r="S5672" i="7"/>
  <c r="R5672" i="7"/>
  <c r="Q5672" i="7"/>
  <c r="P5672" i="7"/>
  <c r="O5672" i="7"/>
  <c r="U5671" i="7"/>
  <c r="T5671" i="7"/>
  <c r="S5671" i="7"/>
  <c r="R5671" i="7"/>
  <c r="Q5671" i="7"/>
  <c r="P5671" i="7"/>
  <c r="O5671" i="7"/>
  <c r="U5670" i="7"/>
  <c r="T5670" i="7"/>
  <c r="S5670" i="7"/>
  <c r="R5670" i="7"/>
  <c r="Q5670" i="7"/>
  <c r="P5670" i="7"/>
  <c r="O5670" i="7"/>
  <c r="U5669" i="7"/>
  <c r="T5669" i="7"/>
  <c r="S5669" i="7"/>
  <c r="R5669" i="7"/>
  <c r="Q5669" i="7"/>
  <c r="P5669" i="7"/>
  <c r="O5669" i="7"/>
  <c r="U5668" i="7"/>
  <c r="T5668" i="7"/>
  <c r="S5668" i="7"/>
  <c r="R5668" i="7"/>
  <c r="Q5668" i="7"/>
  <c r="P5668" i="7"/>
  <c r="O5668" i="7"/>
  <c r="U5667" i="7"/>
  <c r="T5667" i="7"/>
  <c r="S5667" i="7"/>
  <c r="R5667" i="7"/>
  <c r="Q5667" i="7"/>
  <c r="P5667" i="7"/>
  <c r="O5667" i="7"/>
  <c r="U5666" i="7"/>
  <c r="T5666" i="7"/>
  <c r="S5666" i="7"/>
  <c r="R5666" i="7"/>
  <c r="Q5666" i="7"/>
  <c r="P5666" i="7"/>
  <c r="O5666" i="7"/>
  <c r="U5665" i="7"/>
  <c r="T5665" i="7"/>
  <c r="S5665" i="7"/>
  <c r="R5665" i="7"/>
  <c r="Q5665" i="7"/>
  <c r="P5665" i="7"/>
  <c r="O5665" i="7"/>
  <c r="U5664" i="7"/>
  <c r="T5664" i="7"/>
  <c r="S5664" i="7"/>
  <c r="R5664" i="7"/>
  <c r="Q5664" i="7"/>
  <c r="P5664" i="7"/>
  <c r="O5664" i="7"/>
  <c r="U5663" i="7"/>
  <c r="T5663" i="7"/>
  <c r="S5663" i="7"/>
  <c r="R5663" i="7"/>
  <c r="Q5663" i="7"/>
  <c r="P5663" i="7"/>
  <c r="O5663" i="7"/>
  <c r="U5662" i="7"/>
  <c r="T5662" i="7"/>
  <c r="S5662" i="7"/>
  <c r="R5662" i="7"/>
  <c r="Q5662" i="7"/>
  <c r="P5662" i="7"/>
  <c r="O5662" i="7"/>
  <c r="U5661" i="7"/>
  <c r="T5661" i="7"/>
  <c r="S5661" i="7"/>
  <c r="R5661" i="7"/>
  <c r="Q5661" i="7"/>
  <c r="P5661" i="7"/>
  <c r="O5661" i="7"/>
  <c r="U5660" i="7"/>
  <c r="T5660" i="7"/>
  <c r="S5660" i="7"/>
  <c r="R5660" i="7"/>
  <c r="Q5660" i="7"/>
  <c r="P5660" i="7"/>
  <c r="O5660" i="7"/>
  <c r="U5659" i="7"/>
  <c r="T5659" i="7"/>
  <c r="S5659" i="7"/>
  <c r="R5659" i="7"/>
  <c r="Q5659" i="7"/>
  <c r="P5659" i="7"/>
  <c r="O5659" i="7"/>
  <c r="U5658" i="7"/>
  <c r="T5658" i="7"/>
  <c r="S5658" i="7"/>
  <c r="R5658" i="7"/>
  <c r="Q5658" i="7"/>
  <c r="P5658" i="7"/>
  <c r="O5658" i="7"/>
  <c r="U5657" i="7"/>
  <c r="T5657" i="7"/>
  <c r="S5657" i="7"/>
  <c r="R5657" i="7"/>
  <c r="Q5657" i="7"/>
  <c r="P5657" i="7"/>
  <c r="O5657" i="7"/>
  <c r="U5656" i="7"/>
  <c r="T5656" i="7"/>
  <c r="S5656" i="7"/>
  <c r="R5656" i="7"/>
  <c r="Q5656" i="7"/>
  <c r="P5656" i="7"/>
  <c r="O5656" i="7"/>
  <c r="U5655" i="7"/>
  <c r="T5655" i="7"/>
  <c r="S5655" i="7"/>
  <c r="R5655" i="7"/>
  <c r="Q5655" i="7"/>
  <c r="P5655" i="7"/>
  <c r="O5655" i="7"/>
  <c r="U5654" i="7"/>
  <c r="T5654" i="7"/>
  <c r="S5654" i="7"/>
  <c r="R5654" i="7"/>
  <c r="Q5654" i="7"/>
  <c r="P5654" i="7"/>
  <c r="O5654" i="7"/>
  <c r="U5653" i="7"/>
  <c r="T5653" i="7"/>
  <c r="S5653" i="7"/>
  <c r="R5653" i="7"/>
  <c r="Q5653" i="7"/>
  <c r="P5653" i="7"/>
  <c r="O5653" i="7"/>
  <c r="U5652" i="7"/>
  <c r="T5652" i="7"/>
  <c r="S5652" i="7"/>
  <c r="R5652" i="7"/>
  <c r="Q5652" i="7"/>
  <c r="P5652" i="7"/>
  <c r="O5652" i="7"/>
  <c r="U5651" i="7"/>
  <c r="T5651" i="7"/>
  <c r="S5651" i="7"/>
  <c r="R5651" i="7"/>
  <c r="Q5651" i="7"/>
  <c r="P5651" i="7"/>
  <c r="O5651" i="7"/>
  <c r="U5650" i="7"/>
  <c r="T5650" i="7"/>
  <c r="S5650" i="7"/>
  <c r="R5650" i="7"/>
  <c r="Q5650" i="7"/>
  <c r="P5650" i="7"/>
  <c r="O5650" i="7"/>
  <c r="U5649" i="7"/>
  <c r="T5649" i="7"/>
  <c r="S5649" i="7"/>
  <c r="R5649" i="7"/>
  <c r="Q5649" i="7"/>
  <c r="P5649" i="7"/>
  <c r="O5649" i="7"/>
  <c r="U5648" i="7"/>
  <c r="T5648" i="7"/>
  <c r="S5648" i="7"/>
  <c r="R5648" i="7"/>
  <c r="Q5648" i="7"/>
  <c r="P5648" i="7"/>
  <c r="O5648" i="7"/>
  <c r="U5647" i="7"/>
  <c r="T5647" i="7"/>
  <c r="S5647" i="7"/>
  <c r="R5647" i="7"/>
  <c r="Q5647" i="7"/>
  <c r="P5647" i="7"/>
  <c r="O5647" i="7"/>
  <c r="U5646" i="7"/>
  <c r="T5646" i="7"/>
  <c r="S5646" i="7"/>
  <c r="R5646" i="7"/>
  <c r="Q5646" i="7"/>
  <c r="P5646" i="7"/>
  <c r="O5646" i="7"/>
  <c r="U5645" i="7"/>
  <c r="T5645" i="7"/>
  <c r="S5645" i="7"/>
  <c r="R5645" i="7"/>
  <c r="Q5645" i="7"/>
  <c r="P5645" i="7"/>
  <c r="O5645" i="7"/>
  <c r="U5644" i="7"/>
  <c r="T5644" i="7"/>
  <c r="S5644" i="7"/>
  <c r="R5644" i="7"/>
  <c r="Q5644" i="7"/>
  <c r="P5644" i="7"/>
  <c r="O5644" i="7"/>
  <c r="U5643" i="7"/>
  <c r="T5643" i="7"/>
  <c r="S5643" i="7"/>
  <c r="R5643" i="7"/>
  <c r="Q5643" i="7"/>
  <c r="P5643" i="7"/>
  <c r="O5643" i="7"/>
  <c r="U5642" i="7"/>
  <c r="T5642" i="7"/>
  <c r="S5642" i="7"/>
  <c r="R5642" i="7"/>
  <c r="Q5642" i="7"/>
  <c r="P5642" i="7"/>
  <c r="O5642" i="7"/>
  <c r="U5641" i="7"/>
  <c r="T5641" i="7"/>
  <c r="S5641" i="7"/>
  <c r="R5641" i="7"/>
  <c r="Q5641" i="7"/>
  <c r="P5641" i="7"/>
  <c r="O5641" i="7"/>
  <c r="U5640" i="7"/>
  <c r="T5640" i="7"/>
  <c r="S5640" i="7"/>
  <c r="R5640" i="7"/>
  <c r="Q5640" i="7"/>
  <c r="P5640" i="7"/>
  <c r="O5640" i="7"/>
  <c r="U5639" i="7"/>
  <c r="T5639" i="7"/>
  <c r="S5639" i="7"/>
  <c r="R5639" i="7"/>
  <c r="Q5639" i="7"/>
  <c r="P5639" i="7"/>
  <c r="O5639" i="7"/>
  <c r="U5638" i="7"/>
  <c r="T5638" i="7"/>
  <c r="S5638" i="7"/>
  <c r="R5638" i="7"/>
  <c r="Q5638" i="7"/>
  <c r="P5638" i="7"/>
  <c r="O5638" i="7"/>
  <c r="U5637" i="7"/>
  <c r="T5637" i="7"/>
  <c r="S5637" i="7"/>
  <c r="R5637" i="7"/>
  <c r="Q5637" i="7"/>
  <c r="P5637" i="7"/>
  <c r="O5637" i="7"/>
  <c r="U5636" i="7"/>
  <c r="T5636" i="7"/>
  <c r="S5636" i="7"/>
  <c r="R5636" i="7"/>
  <c r="Q5636" i="7"/>
  <c r="P5636" i="7"/>
  <c r="O5636" i="7"/>
  <c r="U5635" i="7"/>
  <c r="T5635" i="7"/>
  <c r="S5635" i="7"/>
  <c r="R5635" i="7"/>
  <c r="Q5635" i="7"/>
  <c r="P5635" i="7"/>
  <c r="O5635" i="7"/>
  <c r="U5634" i="7"/>
  <c r="T5634" i="7"/>
  <c r="S5634" i="7"/>
  <c r="R5634" i="7"/>
  <c r="Q5634" i="7"/>
  <c r="P5634" i="7"/>
  <c r="O5634" i="7"/>
  <c r="U5633" i="7"/>
  <c r="T5633" i="7"/>
  <c r="S5633" i="7"/>
  <c r="R5633" i="7"/>
  <c r="Q5633" i="7"/>
  <c r="P5633" i="7"/>
  <c r="O5633" i="7"/>
  <c r="U5632" i="7"/>
  <c r="T5632" i="7"/>
  <c r="S5632" i="7"/>
  <c r="R5632" i="7"/>
  <c r="Q5632" i="7"/>
  <c r="P5632" i="7"/>
  <c r="O5632" i="7"/>
  <c r="U5631" i="7"/>
  <c r="T5631" i="7"/>
  <c r="S5631" i="7"/>
  <c r="R5631" i="7"/>
  <c r="Q5631" i="7"/>
  <c r="P5631" i="7"/>
  <c r="O5631" i="7"/>
  <c r="U5630" i="7"/>
  <c r="T5630" i="7"/>
  <c r="S5630" i="7"/>
  <c r="R5630" i="7"/>
  <c r="Q5630" i="7"/>
  <c r="P5630" i="7"/>
  <c r="O5630" i="7"/>
  <c r="U5629" i="7"/>
  <c r="T5629" i="7"/>
  <c r="S5629" i="7"/>
  <c r="R5629" i="7"/>
  <c r="Q5629" i="7"/>
  <c r="P5629" i="7"/>
  <c r="O5629" i="7"/>
  <c r="U5628" i="7"/>
  <c r="T5628" i="7"/>
  <c r="S5628" i="7"/>
  <c r="R5628" i="7"/>
  <c r="Q5628" i="7"/>
  <c r="P5628" i="7"/>
  <c r="O5628" i="7"/>
  <c r="U5627" i="7"/>
  <c r="T5627" i="7"/>
  <c r="S5627" i="7"/>
  <c r="R5627" i="7"/>
  <c r="Q5627" i="7"/>
  <c r="P5627" i="7"/>
  <c r="O5627" i="7"/>
  <c r="U5626" i="7"/>
  <c r="T5626" i="7"/>
  <c r="S5626" i="7"/>
  <c r="R5626" i="7"/>
  <c r="Q5626" i="7"/>
  <c r="P5626" i="7"/>
  <c r="O5626" i="7"/>
  <c r="U5625" i="7"/>
  <c r="T5625" i="7"/>
  <c r="S5625" i="7"/>
  <c r="R5625" i="7"/>
  <c r="Q5625" i="7"/>
  <c r="P5625" i="7"/>
  <c r="O5625" i="7"/>
  <c r="U5624" i="7"/>
  <c r="T5624" i="7"/>
  <c r="S5624" i="7"/>
  <c r="R5624" i="7"/>
  <c r="Q5624" i="7"/>
  <c r="P5624" i="7"/>
  <c r="O5624" i="7"/>
  <c r="U5623" i="7"/>
  <c r="T5623" i="7"/>
  <c r="S5623" i="7"/>
  <c r="R5623" i="7"/>
  <c r="Q5623" i="7"/>
  <c r="P5623" i="7"/>
  <c r="O5623" i="7"/>
  <c r="U5622" i="7"/>
  <c r="T5622" i="7"/>
  <c r="S5622" i="7"/>
  <c r="R5622" i="7"/>
  <c r="Q5622" i="7"/>
  <c r="P5622" i="7"/>
  <c r="O5622" i="7"/>
  <c r="U5621" i="7"/>
  <c r="T5621" i="7"/>
  <c r="S5621" i="7"/>
  <c r="R5621" i="7"/>
  <c r="Q5621" i="7"/>
  <c r="P5621" i="7"/>
  <c r="O5621" i="7"/>
  <c r="U5620" i="7"/>
  <c r="T5620" i="7"/>
  <c r="S5620" i="7"/>
  <c r="R5620" i="7"/>
  <c r="Q5620" i="7"/>
  <c r="P5620" i="7"/>
  <c r="O5620" i="7"/>
  <c r="U5619" i="7"/>
  <c r="T5619" i="7"/>
  <c r="S5619" i="7"/>
  <c r="R5619" i="7"/>
  <c r="Q5619" i="7"/>
  <c r="P5619" i="7"/>
  <c r="O5619" i="7"/>
  <c r="U5618" i="7"/>
  <c r="T5618" i="7"/>
  <c r="S5618" i="7"/>
  <c r="R5618" i="7"/>
  <c r="Q5618" i="7"/>
  <c r="P5618" i="7"/>
  <c r="O5618" i="7"/>
  <c r="U5617" i="7"/>
  <c r="T5617" i="7"/>
  <c r="S5617" i="7"/>
  <c r="R5617" i="7"/>
  <c r="Q5617" i="7"/>
  <c r="P5617" i="7"/>
  <c r="O5617" i="7"/>
  <c r="U5616" i="7"/>
  <c r="T5616" i="7"/>
  <c r="S5616" i="7"/>
  <c r="R5616" i="7"/>
  <c r="Q5616" i="7"/>
  <c r="P5616" i="7"/>
  <c r="O5616" i="7"/>
  <c r="U5615" i="7"/>
  <c r="T5615" i="7"/>
  <c r="S5615" i="7"/>
  <c r="R5615" i="7"/>
  <c r="Q5615" i="7"/>
  <c r="P5615" i="7"/>
  <c r="O5615" i="7"/>
  <c r="U5614" i="7"/>
  <c r="T5614" i="7"/>
  <c r="S5614" i="7"/>
  <c r="R5614" i="7"/>
  <c r="Q5614" i="7"/>
  <c r="P5614" i="7"/>
  <c r="O5614" i="7"/>
  <c r="U5613" i="7"/>
  <c r="T5613" i="7"/>
  <c r="S5613" i="7"/>
  <c r="R5613" i="7"/>
  <c r="Q5613" i="7"/>
  <c r="P5613" i="7"/>
  <c r="O5613" i="7"/>
  <c r="U5612" i="7"/>
  <c r="T5612" i="7"/>
  <c r="S5612" i="7"/>
  <c r="R5612" i="7"/>
  <c r="Q5612" i="7"/>
  <c r="P5612" i="7"/>
  <c r="O5612" i="7"/>
  <c r="U5611" i="7"/>
  <c r="T5611" i="7"/>
  <c r="S5611" i="7"/>
  <c r="R5611" i="7"/>
  <c r="Q5611" i="7"/>
  <c r="P5611" i="7"/>
  <c r="O5611" i="7"/>
  <c r="U5610" i="7"/>
  <c r="T5610" i="7"/>
  <c r="S5610" i="7"/>
  <c r="R5610" i="7"/>
  <c r="Q5610" i="7"/>
  <c r="P5610" i="7"/>
  <c r="O5610" i="7"/>
  <c r="U5609" i="7"/>
  <c r="T5609" i="7"/>
  <c r="S5609" i="7"/>
  <c r="R5609" i="7"/>
  <c r="Q5609" i="7"/>
  <c r="P5609" i="7"/>
  <c r="O5609" i="7"/>
  <c r="U5608" i="7"/>
  <c r="T5608" i="7"/>
  <c r="S5608" i="7"/>
  <c r="R5608" i="7"/>
  <c r="Q5608" i="7"/>
  <c r="P5608" i="7"/>
  <c r="O5608" i="7"/>
  <c r="U5607" i="7"/>
  <c r="T5607" i="7"/>
  <c r="S5607" i="7"/>
  <c r="R5607" i="7"/>
  <c r="Q5607" i="7"/>
  <c r="P5607" i="7"/>
  <c r="O5607" i="7"/>
  <c r="U5606" i="7"/>
  <c r="T5606" i="7"/>
  <c r="S5606" i="7"/>
  <c r="R5606" i="7"/>
  <c r="Q5606" i="7"/>
  <c r="P5606" i="7"/>
  <c r="O5606" i="7"/>
  <c r="U5605" i="7"/>
  <c r="T5605" i="7"/>
  <c r="S5605" i="7"/>
  <c r="R5605" i="7"/>
  <c r="Q5605" i="7"/>
  <c r="P5605" i="7"/>
  <c r="O5605" i="7"/>
  <c r="U5604" i="7"/>
  <c r="T5604" i="7"/>
  <c r="S5604" i="7"/>
  <c r="R5604" i="7"/>
  <c r="Q5604" i="7"/>
  <c r="P5604" i="7"/>
  <c r="O5604" i="7"/>
  <c r="U5603" i="7"/>
  <c r="T5603" i="7"/>
  <c r="S5603" i="7"/>
  <c r="R5603" i="7"/>
  <c r="Q5603" i="7"/>
  <c r="P5603" i="7"/>
  <c r="O5603" i="7"/>
  <c r="U5602" i="7"/>
  <c r="T5602" i="7"/>
  <c r="S5602" i="7"/>
  <c r="R5602" i="7"/>
  <c r="Q5602" i="7"/>
  <c r="P5602" i="7"/>
  <c r="O5602" i="7"/>
  <c r="U5601" i="7"/>
  <c r="T5601" i="7"/>
  <c r="S5601" i="7"/>
  <c r="R5601" i="7"/>
  <c r="Q5601" i="7"/>
  <c r="P5601" i="7"/>
  <c r="O5601" i="7"/>
  <c r="U5600" i="7"/>
  <c r="T5600" i="7"/>
  <c r="S5600" i="7"/>
  <c r="R5600" i="7"/>
  <c r="Q5600" i="7"/>
  <c r="P5600" i="7"/>
  <c r="O5600" i="7"/>
  <c r="U5599" i="7"/>
  <c r="T5599" i="7"/>
  <c r="S5599" i="7"/>
  <c r="R5599" i="7"/>
  <c r="Q5599" i="7"/>
  <c r="P5599" i="7"/>
  <c r="O5599" i="7"/>
  <c r="U5598" i="7"/>
  <c r="T5598" i="7"/>
  <c r="S5598" i="7"/>
  <c r="R5598" i="7"/>
  <c r="Q5598" i="7"/>
  <c r="P5598" i="7"/>
  <c r="O5598" i="7"/>
  <c r="U5597" i="7"/>
  <c r="T5597" i="7"/>
  <c r="S5597" i="7"/>
  <c r="R5597" i="7"/>
  <c r="Q5597" i="7"/>
  <c r="P5597" i="7"/>
  <c r="O5597" i="7"/>
  <c r="U5596" i="7"/>
  <c r="T5596" i="7"/>
  <c r="S5596" i="7"/>
  <c r="R5596" i="7"/>
  <c r="Q5596" i="7"/>
  <c r="P5596" i="7"/>
  <c r="O5596" i="7"/>
  <c r="U5595" i="7"/>
  <c r="T5595" i="7"/>
  <c r="S5595" i="7"/>
  <c r="R5595" i="7"/>
  <c r="Q5595" i="7"/>
  <c r="P5595" i="7"/>
  <c r="O5595" i="7"/>
  <c r="U5594" i="7"/>
  <c r="T5594" i="7"/>
  <c r="S5594" i="7"/>
  <c r="R5594" i="7"/>
  <c r="Q5594" i="7"/>
  <c r="P5594" i="7"/>
  <c r="O5594" i="7"/>
  <c r="U5593" i="7"/>
  <c r="T5593" i="7"/>
  <c r="S5593" i="7"/>
  <c r="R5593" i="7"/>
  <c r="Q5593" i="7"/>
  <c r="P5593" i="7"/>
  <c r="O5593" i="7"/>
  <c r="U5592" i="7"/>
  <c r="T5592" i="7"/>
  <c r="S5592" i="7"/>
  <c r="R5592" i="7"/>
  <c r="Q5592" i="7"/>
  <c r="P5592" i="7"/>
  <c r="O5592" i="7"/>
  <c r="U5591" i="7"/>
  <c r="T5591" i="7"/>
  <c r="S5591" i="7"/>
  <c r="R5591" i="7"/>
  <c r="Q5591" i="7"/>
  <c r="P5591" i="7"/>
  <c r="O5591" i="7"/>
  <c r="U5590" i="7"/>
  <c r="T5590" i="7"/>
  <c r="S5590" i="7"/>
  <c r="R5590" i="7"/>
  <c r="Q5590" i="7"/>
  <c r="P5590" i="7"/>
  <c r="O5590" i="7"/>
  <c r="U5589" i="7"/>
  <c r="T5589" i="7"/>
  <c r="S5589" i="7"/>
  <c r="R5589" i="7"/>
  <c r="Q5589" i="7"/>
  <c r="P5589" i="7"/>
  <c r="O5589" i="7"/>
  <c r="U5588" i="7"/>
  <c r="T5588" i="7"/>
  <c r="S5588" i="7"/>
  <c r="R5588" i="7"/>
  <c r="Q5588" i="7"/>
  <c r="P5588" i="7"/>
  <c r="O5588" i="7"/>
  <c r="U5587" i="7"/>
  <c r="T5587" i="7"/>
  <c r="S5587" i="7"/>
  <c r="R5587" i="7"/>
  <c r="Q5587" i="7"/>
  <c r="P5587" i="7"/>
  <c r="O5587" i="7"/>
  <c r="U5586" i="7"/>
  <c r="T5586" i="7"/>
  <c r="S5586" i="7"/>
  <c r="R5586" i="7"/>
  <c r="Q5586" i="7"/>
  <c r="P5586" i="7"/>
  <c r="O5586" i="7"/>
  <c r="U5585" i="7"/>
  <c r="T5585" i="7"/>
  <c r="S5585" i="7"/>
  <c r="R5585" i="7"/>
  <c r="Q5585" i="7"/>
  <c r="P5585" i="7"/>
  <c r="O5585" i="7"/>
  <c r="U5584" i="7"/>
  <c r="T5584" i="7"/>
  <c r="S5584" i="7"/>
  <c r="R5584" i="7"/>
  <c r="Q5584" i="7"/>
  <c r="P5584" i="7"/>
  <c r="O5584" i="7"/>
  <c r="U5583" i="7"/>
  <c r="T5583" i="7"/>
  <c r="S5583" i="7"/>
  <c r="R5583" i="7"/>
  <c r="Q5583" i="7"/>
  <c r="P5583" i="7"/>
  <c r="O5583" i="7"/>
  <c r="U5582" i="7"/>
  <c r="T5582" i="7"/>
  <c r="S5582" i="7"/>
  <c r="R5582" i="7"/>
  <c r="Q5582" i="7"/>
  <c r="P5582" i="7"/>
  <c r="O5582" i="7"/>
  <c r="U5581" i="7"/>
  <c r="T5581" i="7"/>
  <c r="S5581" i="7"/>
  <c r="R5581" i="7"/>
  <c r="Q5581" i="7"/>
  <c r="P5581" i="7"/>
  <c r="O5581" i="7"/>
  <c r="U5580" i="7"/>
  <c r="T5580" i="7"/>
  <c r="S5580" i="7"/>
  <c r="R5580" i="7"/>
  <c r="Q5580" i="7"/>
  <c r="P5580" i="7"/>
  <c r="O5580" i="7"/>
  <c r="U5579" i="7"/>
  <c r="T5579" i="7"/>
  <c r="S5579" i="7"/>
  <c r="R5579" i="7"/>
  <c r="Q5579" i="7"/>
  <c r="P5579" i="7"/>
  <c r="O5579" i="7"/>
  <c r="U5578" i="7"/>
  <c r="T5578" i="7"/>
  <c r="S5578" i="7"/>
  <c r="R5578" i="7"/>
  <c r="Q5578" i="7"/>
  <c r="P5578" i="7"/>
  <c r="O5578" i="7"/>
  <c r="U5577" i="7"/>
  <c r="T5577" i="7"/>
  <c r="S5577" i="7"/>
  <c r="R5577" i="7"/>
  <c r="Q5577" i="7"/>
  <c r="P5577" i="7"/>
  <c r="O5577" i="7"/>
  <c r="U5576" i="7"/>
  <c r="T5576" i="7"/>
  <c r="S5576" i="7"/>
  <c r="R5576" i="7"/>
  <c r="Q5576" i="7"/>
  <c r="P5576" i="7"/>
  <c r="O5576" i="7"/>
  <c r="U5575" i="7"/>
  <c r="T5575" i="7"/>
  <c r="S5575" i="7"/>
  <c r="R5575" i="7"/>
  <c r="Q5575" i="7"/>
  <c r="P5575" i="7"/>
  <c r="O5575" i="7"/>
  <c r="U5574" i="7"/>
  <c r="T5574" i="7"/>
  <c r="S5574" i="7"/>
  <c r="R5574" i="7"/>
  <c r="Q5574" i="7"/>
  <c r="P5574" i="7"/>
  <c r="O5574" i="7"/>
  <c r="U5573" i="7"/>
  <c r="T5573" i="7"/>
  <c r="S5573" i="7"/>
  <c r="R5573" i="7"/>
  <c r="Q5573" i="7"/>
  <c r="P5573" i="7"/>
  <c r="O5573" i="7"/>
  <c r="U5572" i="7"/>
  <c r="T5572" i="7"/>
  <c r="S5572" i="7"/>
  <c r="R5572" i="7"/>
  <c r="Q5572" i="7"/>
  <c r="P5572" i="7"/>
  <c r="O5572" i="7"/>
  <c r="U5571" i="7"/>
  <c r="T5571" i="7"/>
  <c r="S5571" i="7"/>
  <c r="R5571" i="7"/>
  <c r="Q5571" i="7"/>
  <c r="P5571" i="7"/>
  <c r="O5571" i="7"/>
  <c r="U5570" i="7"/>
  <c r="T5570" i="7"/>
  <c r="S5570" i="7"/>
  <c r="R5570" i="7"/>
  <c r="Q5570" i="7"/>
  <c r="P5570" i="7"/>
  <c r="O5570" i="7"/>
  <c r="U5569" i="7"/>
  <c r="T5569" i="7"/>
  <c r="S5569" i="7"/>
  <c r="R5569" i="7"/>
  <c r="Q5569" i="7"/>
  <c r="P5569" i="7"/>
  <c r="O5569" i="7"/>
  <c r="U5568" i="7"/>
  <c r="T5568" i="7"/>
  <c r="S5568" i="7"/>
  <c r="R5568" i="7"/>
  <c r="Q5568" i="7"/>
  <c r="P5568" i="7"/>
  <c r="O5568" i="7"/>
  <c r="U5567" i="7"/>
  <c r="T5567" i="7"/>
  <c r="S5567" i="7"/>
  <c r="R5567" i="7"/>
  <c r="Q5567" i="7"/>
  <c r="P5567" i="7"/>
  <c r="O5567" i="7"/>
  <c r="U5566" i="7"/>
  <c r="T5566" i="7"/>
  <c r="S5566" i="7"/>
  <c r="R5566" i="7"/>
  <c r="Q5566" i="7"/>
  <c r="P5566" i="7"/>
  <c r="O5566" i="7"/>
  <c r="U5565" i="7"/>
  <c r="T5565" i="7"/>
  <c r="S5565" i="7"/>
  <c r="R5565" i="7"/>
  <c r="Q5565" i="7"/>
  <c r="P5565" i="7"/>
  <c r="O5565" i="7"/>
  <c r="U5564" i="7"/>
  <c r="T5564" i="7"/>
  <c r="S5564" i="7"/>
  <c r="R5564" i="7"/>
  <c r="Q5564" i="7"/>
  <c r="P5564" i="7"/>
  <c r="O5564" i="7"/>
  <c r="U5563" i="7"/>
  <c r="T5563" i="7"/>
  <c r="S5563" i="7"/>
  <c r="R5563" i="7"/>
  <c r="Q5563" i="7"/>
  <c r="P5563" i="7"/>
  <c r="O5563" i="7"/>
  <c r="U5562" i="7"/>
  <c r="T5562" i="7"/>
  <c r="S5562" i="7"/>
  <c r="R5562" i="7"/>
  <c r="Q5562" i="7"/>
  <c r="P5562" i="7"/>
  <c r="O5562" i="7"/>
  <c r="U5561" i="7"/>
  <c r="T5561" i="7"/>
  <c r="S5561" i="7"/>
  <c r="R5561" i="7"/>
  <c r="Q5561" i="7"/>
  <c r="P5561" i="7"/>
  <c r="O5561" i="7"/>
  <c r="U5560" i="7"/>
  <c r="T5560" i="7"/>
  <c r="S5560" i="7"/>
  <c r="R5560" i="7"/>
  <c r="Q5560" i="7"/>
  <c r="P5560" i="7"/>
  <c r="O5560" i="7"/>
  <c r="U5559" i="7"/>
  <c r="T5559" i="7"/>
  <c r="S5559" i="7"/>
  <c r="R5559" i="7"/>
  <c r="Q5559" i="7"/>
  <c r="P5559" i="7"/>
  <c r="O5559" i="7"/>
  <c r="U5558" i="7"/>
  <c r="T5558" i="7"/>
  <c r="S5558" i="7"/>
  <c r="R5558" i="7"/>
  <c r="Q5558" i="7"/>
  <c r="P5558" i="7"/>
  <c r="O5558" i="7"/>
  <c r="U5557" i="7"/>
  <c r="T5557" i="7"/>
  <c r="S5557" i="7"/>
  <c r="R5557" i="7"/>
  <c r="Q5557" i="7"/>
  <c r="P5557" i="7"/>
  <c r="O5557" i="7"/>
  <c r="U5556" i="7"/>
  <c r="T5556" i="7"/>
  <c r="S5556" i="7"/>
  <c r="R5556" i="7"/>
  <c r="Q5556" i="7"/>
  <c r="P5556" i="7"/>
  <c r="O5556" i="7"/>
  <c r="U5555" i="7"/>
  <c r="T5555" i="7"/>
  <c r="S5555" i="7"/>
  <c r="R5555" i="7"/>
  <c r="Q5555" i="7"/>
  <c r="P5555" i="7"/>
  <c r="O5555" i="7"/>
  <c r="U5554" i="7"/>
  <c r="T5554" i="7"/>
  <c r="S5554" i="7"/>
  <c r="R5554" i="7"/>
  <c r="Q5554" i="7"/>
  <c r="P5554" i="7"/>
  <c r="O5554" i="7"/>
  <c r="U5553" i="7"/>
  <c r="T5553" i="7"/>
  <c r="S5553" i="7"/>
  <c r="R5553" i="7"/>
  <c r="Q5553" i="7"/>
  <c r="P5553" i="7"/>
  <c r="O5553" i="7"/>
  <c r="U5552" i="7"/>
  <c r="T5552" i="7"/>
  <c r="S5552" i="7"/>
  <c r="R5552" i="7"/>
  <c r="Q5552" i="7"/>
  <c r="P5552" i="7"/>
  <c r="O5552" i="7"/>
  <c r="U5551" i="7"/>
  <c r="T5551" i="7"/>
  <c r="S5551" i="7"/>
  <c r="R5551" i="7"/>
  <c r="Q5551" i="7"/>
  <c r="P5551" i="7"/>
  <c r="O5551" i="7"/>
  <c r="U5550" i="7"/>
  <c r="T5550" i="7"/>
  <c r="S5550" i="7"/>
  <c r="R5550" i="7"/>
  <c r="Q5550" i="7"/>
  <c r="P5550" i="7"/>
  <c r="O5550" i="7"/>
  <c r="U5549" i="7"/>
  <c r="T5549" i="7"/>
  <c r="S5549" i="7"/>
  <c r="R5549" i="7"/>
  <c r="Q5549" i="7"/>
  <c r="P5549" i="7"/>
  <c r="O5549" i="7"/>
  <c r="U5548" i="7"/>
  <c r="T5548" i="7"/>
  <c r="S5548" i="7"/>
  <c r="R5548" i="7"/>
  <c r="Q5548" i="7"/>
  <c r="P5548" i="7"/>
  <c r="O5548" i="7"/>
  <c r="U5547" i="7"/>
  <c r="T5547" i="7"/>
  <c r="S5547" i="7"/>
  <c r="R5547" i="7"/>
  <c r="Q5547" i="7"/>
  <c r="P5547" i="7"/>
  <c r="O5547" i="7"/>
  <c r="U5546" i="7"/>
  <c r="T5546" i="7"/>
  <c r="S5546" i="7"/>
  <c r="R5546" i="7"/>
  <c r="Q5546" i="7"/>
  <c r="P5546" i="7"/>
  <c r="O5546" i="7"/>
  <c r="U5545" i="7"/>
  <c r="T5545" i="7"/>
  <c r="S5545" i="7"/>
  <c r="R5545" i="7"/>
  <c r="Q5545" i="7"/>
  <c r="P5545" i="7"/>
  <c r="O5545" i="7"/>
  <c r="U5544" i="7"/>
  <c r="T5544" i="7"/>
  <c r="S5544" i="7"/>
  <c r="R5544" i="7"/>
  <c r="Q5544" i="7"/>
  <c r="P5544" i="7"/>
  <c r="O5544" i="7"/>
  <c r="U5543" i="7"/>
  <c r="T5543" i="7"/>
  <c r="S5543" i="7"/>
  <c r="R5543" i="7"/>
  <c r="Q5543" i="7"/>
  <c r="P5543" i="7"/>
  <c r="O5543" i="7"/>
  <c r="U5542" i="7"/>
  <c r="T5542" i="7"/>
  <c r="S5542" i="7"/>
  <c r="R5542" i="7"/>
  <c r="Q5542" i="7"/>
  <c r="P5542" i="7"/>
  <c r="O5542" i="7"/>
  <c r="U5541" i="7"/>
  <c r="T5541" i="7"/>
  <c r="S5541" i="7"/>
  <c r="R5541" i="7"/>
  <c r="Q5541" i="7"/>
  <c r="P5541" i="7"/>
  <c r="O5541" i="7"/>
  <c r="U5540" i="7"/>
  <c r="T5540" i="7"/>
  <c r="S5540" i="7"/>
  <c r="R5540" i="7"/>
  <c r="Q5540" i="7"/>
  <c r="P5540" i="7"/>
  <c r="O5540" i="7"/>
  <c r="U5539" i="7"/>
  <c r="T5539" i="7"/>
  <c r="S5539" i="7"/>
  <c r="R5539" i="7"/>
  <c r="Q5539" i="7"/>
  <c r="P5539" i="7"/>
  <c r="O5539" i="7"/>
  <c r="U5538" i="7"/>
  <c r="T5538" i="7"/>
  <c r="S5538" i="7"/>
  <c r="R5538" i="7"/>
  <c r="Q5538" i="7"/>
  <c r="P5538" i="7"/>
  <c r="O5538" i="7"/>
  <c r="U5537" i="7"/>
  <c r="T5537" i="7"/>
  <c r="S5537" i="7"/>
  <c r="R5537" i="7"/>
  <c r="Q5537" i="7"/>
  <c r="P5537" i="7"/>
  <c r="O5537" i="7"/>
  <c r="U5536" i="7"/>
  <c r="T5536" i="7"/>
  <c r="S5536" i="7"/>
  <c r="R5536" i="7"/>
  <c r="Q5536" i="7"/>
  <c r="P5536" i="7"/>
  <c r="O5536" i="7"/>
  <c r="U5535" i="7"/>
  <c r="T5535" i="7"/>
  <c r="S5535" i="7"/>
  <c r="R5535" i="7"/>
  <c r="Q5535" i="7"/>
  <c r="P5535" i="7"/>
  <c r="O5535" i="7"/>
  <c r="U5534" i="7"/>
  <c r="T5534" i="7"/>
  <c r="S5534" i="7"/>
  <c r="R5534" i="7"/>
  <c r="Q5534" i="7"/>
  <c r="P5534" i="7"/>
  <c r="O5534" i="7"/>
  <c r="U5533" i="7"/>
  <c r="T5533" i="7"/>
  <c r="S5533" i="7"/>
  <c r="R5533" i="7"/>
  <c r="Q5533" i="7"/>
  <c r="P5533" i="7"/>
  <c r="O5533" i="7"/>
  <c r="U5532" i="7"/>
  <c r="T5532" i="7"/>
  <c r="S5532" i="7"/>
  <c r="R5532" i="7"/>
  <c r="Q5532" i="7"/>
  <c r="P5532" i="7"/>
  <c r="O5532" i="7"/>
  <c r="U5531" i="7"/>
  <c r="T5531" i="7"/>
  <c r="S5531" i="7"/>
  <c r="R5531" i="7"/>
  <c r="Q5531" i="7"/>
  <c r="P5531" i="7"/>
  <c r="O5531" i="7"/>
  <c r="U5530" i="7"/>
  <c r="T5530" i="7"/>
  <c r="S5530" i="7"/>
  <c r="R5530" i="7"/>
  <c r="Q5530" i="7"/>
  <c r="P5530" i="7"/>
  <c r="O5530" i="7"/>
  <c r="U5529" i="7"/>
  <c r="T5529" i="7"/>
  <c r="S5529" i="7"/>
  <c r="R5529" i="7"/>
  <c r="Q5529" i="7"/>
  <c r="P5529" i="7"/>
  <c r="O5529" i="7"/>
  <c r="U5528" i="7"/>
  <c r="T5528" i="7"/>
  <c r="S5528" i="7"/>
  <c r="R5528" i="7"/>
  <c r="Q5528" i="7"/>
  <c r="P5528" i="7"/>
  <c r="O5528" i="7"/>
  <c r="U5527" i="7"/>
  <c r="T5527" i="7"/>
  <c r="S5527" i="7"/>
  <c r="R5527" i="7"/>
  <c r="Q5527" i="7"/>
  <c r="P5527" i="7"/>
  <c r="O5527" i="7"/>
  <c r="U5526" i="7"/>
  <c r="T5526" i="7"/>
  <c r="S5526" i="7"/>
  <c r="R5526" i="7"/>
  <c r="Q5526" i="7"/>
  <c r="P5526" i="7"/>
  <c r="O5526" i="7"/>
  <c r="U5525" i="7"/>
  <c r="T5525" i="7"/>
  <c r="S5525" i="7"/>
  <c r="R5525" i="7"/>
  <c r="Q5525" i="7"/>
  <c r="P5525" i="7"/>
  <c r="O5525" i="7"/>
  <c r="U5524" i="7"/>
  <c r="T5524" i="7"/>
  <c r="S5524" i="7"/>
  <c r="R5524" i="7"/>
  <c r="Q5524" i="7"/>
  <c r="P5524" i="7"/>
  <c r="O5524" i="7"/>
  <c r="U5523" i="7"/>
  <c r="T5523" i="7"/>
  <c r="S5523" i="7"/>
  <c r="R5523" i="7"/>
  <c r="Q5523" i="7"/>
  <c r="P5523" i="7"/>
  <c r="O5523" i="7"/>
  <c r="U5522" i="7"/>
  <c r="T5522" i="7"/>
  <c r="S5522" i="7"/>
  <c r="R5522" i="7"/>
  <c r="Q5522" i="7"/>
  <c r="P5522" i="7"/>
  <c r="O5522" i="7"/>
  <c r="U5521" i="7"/>
  <c r="T5521" i="7"/>
  <c r="S5521" i="7"/>
  <c r="R5521" i="7"/>
  <c r="Q5521" i="7"/>
  <c r="P5521" i="7"/>
  <c r="O5521" i="7"/>
  <c r="U5520" i="7"/>
  <c r="T5520" i="7"/>
  <c r="S5520" i="7"/>
  <c r="R5520" i="7"/>
  <c r="Q5520" i="7"/>
  <c r="P5520" i="7"/>
  <c r="O5520" i="7"/>
  <c r="U5519" i="7"/>
  <c r="T5519" i="7"/>
  <c r="S5519" i="7"/>
  <c r="R5519" i="7"/>
  <c r="Q5519" i="7"/>
  <c r="P5519" i="7"/>
  <c r="O5519" i="7"/>
  <c r="U5518" i="7"/>
  <c r="T5518" i="7"/>
  <c r="S5518" i="7"/>
  <c r="R5518" i="7"/>
  <c r="Q5518" i="7"/>
  <c r="P5518" i="7"/>
  <c r="O5518" i="7"/>
  <c r="U5517" i="7"/>
  <c r="T5517" i="7"/>
  <c r="S5517" i="7"/>
  <c r="R5517" i="7"/>
  <c r="Q5517" i="7"/>
  <c r="P5517" i="7"/>
  <c r="O5517" i="7"/>
  <c r="U5516" i="7"/>
  <c r="T5516" i="7"/>
  <c r="S5516" i="7"/>
  <c r="R5516" i="7"/>
  <c r="Q5516" i="7"/>
  <c r="P5516" i="7"/>
  <c r="O5516" i="7"/>
  <c r="U5515" i="7"/>
  <c r="T5515" i="7"/>
  <c r="S5515" i="7"/>
  <c r="R5515" i="7"/>
  <c r="Q5515" i="7"/>
  <c r="P5515" i="7"/>
  <c r="O5515" i="7"/>
  <c r="U5514" i="7"/>
  <c r="T5514" i="7"/>
  <c r="S5514" i="7"/>
  <c r="R5514" i="7"/>
  <c r="Q5514" i="7"/>
  <c r="P5514" i="7"/>
  <c r="O5514" i="7"/>
  <c r="U5513" i="7"/>
  <c r="T5513" i="7"/>
  <c r="S5513" i="7"/>
  <c r="R5513" i="7"/>
  <c r="Q5513" i="7"/>
  <c r="P5513" i="7"/>
  <c r="O5513" i="7"/>
  <c r="U5512" i="7"/>
  <c r="T5512" i="7"/>
  <c r="S5512" i="7"/>
  <c r="R5512" i="7"/>
  <c r="Q5512" i="7"/>
  <c r="P5512" i="7"/>
  <c r="O5512" i="7"/>
  <c r="U5511" i="7"/>
  <c r="T5511" i="7"/>
  <c r="S5511" i="7"/>
  <c r="R5511" i="7"/>
  <c r="Q5511" i="7"/>
  <c r="P5511" i="7"/>
  <c r="O5511" i="7"/>
  <c r="U5510" i="7"/>
  <c r="T5510" i="7"/>
  <c r="S5510" i="7"/>
  <c r="R5510" i="7"/>
  <c r="Q5510" i="7"/>
  <c r="P5510" i="7"/>
  <c r="O5510" i="7"/>
  <c r="U5509" i="7"/>
  <c r="T5509" i="7"/>
  <c r="S5509" i="7"/>
  <c r="R5509" i="7"/>
  <c r="Q5509" i="7"/>
  <c r="P5509" i="7"/>
  <c r="O5509" i="7"/>
  <c r="U5508" i="7"/>
  <c r="T5508" i="7"/>
  <c r="S5508" i="7"/>
  <c r="R5508" i="7"/>
  <c r="Q5508" i="7"/>
  <c r="P5508" i="7"/>
  <c r="O5508" i="7"/>
  <c r="U5507" i="7"/>
  <c r="T5507" i="7"/>
  <c r="S5507" i="7"/>
  <c r="R5507" i="7"/>
  <c r="Q5507" i="7"/>
  <c r="P5507" i="7"/>
  <c r="O5507" i="7"/>
  <c r="U5506" i="7"/>
  <c r="T5506" i="7"/>
  <c r="S5506" i="7"/>
  <c r="R5506" i="7"/>
  <c r="Q5506" i="7"/>
  <c r="P5506" i="7"/>
  <c r="O5506" i="7"/>
  <c r="U5505" i="7"/>
  <c r="T5505" i="7"/>
  <c r="S5505" i="7"/>
  <c r="R5505" i="7"/>
  <c r="Q5505" i="7"/>
  <c r="P5505" i="7"/>
  <c r="O5505" i="7"/>
  <c r="U5504" i="7"/>
  <c r="T5504" i="7"/>
  <c r="S5504" i="7"/>
  <c r="R5504" i="7"/>
  <c r="Q5504" i="7"/>
  <c r="P5504" i="7"/>
  <c r="O5504" i="7"/>
  <c r="U5503" i="7"/>
  <c r="T5503" i="7"/>
  <c r="S5503" i="7"/>
  <c r="R5503" i="7"/>
  <c r="Q5503" i="7"/>
  <c r="P5503" i="7"/>
  <c r="O5503" i="7"/>
  <c r="U5502" i="7"/>
  <c r="T5502" i="7"/>
  <c r="S5502" i="7"/>
  <c r="R5502" i="7"/>
  <c r="Q5502" i="7"/>
  <c r="P5502" i="7"/>
  <c r="O5502" i="7"/>
  <c r="U5501" i="7"/>
  <c r="T5501" i="7"/>
  <c r="S5501" i="7"/>
  <c r="R5501" i="7"/>
  <c r="Q5501" i="7"/>
  <c r="P5501" i="7"/>
  <c r="O5501" i="7"/>
  <c r="U5500" i="7"/>
  <c r="T5500" i="7"/>
  <c r="S5500" i="7"/>
  <c r="R5500" i="7"/>
  <c r="Q5500" i="7"/>
  <c r="P5500" i="7"/>
  <c r="O5500" i="7"/>
  <c r="U5499" i="7"/>
  <c r="T5499" i="7"/>
  <c r="S5499" i="7"/>
  <c r="R5499" i="7"/>
  <c r="Q5499" i="7"/>
  <c r="P5499" i="7"/>
  <c r="O5499" i="7"/>
  <c r="U5498" i="7"/>
  <c r="T5498" i="7"/>
  <c r="S5498" i="7"/>
  <c r="R5498" i="7"/>
  <c r="Q5498" i="7"/>
  <c r="P5498" i="7"/>
  <c r="O5498" i="7"/>
  <c r="U5497" i="7"/>
  <c r="T5497" i="7"/>
  <c r="S5497" i="7"/>
  <c r="R5497" i="7"/>
  <c r="Q5497" i="7"/>
  <c r="P5497" i="7"/>
  <c r="O5497" i="7"/>
  <c r="U5496" i="7"/>
  <c r="T5496" i="7"/>
  <c r="S5496" i="7"/>
  <c r="R5496" i="7"/>
  <c r="Q5496" i="7"/>
  <c r="P5496" i="7"/>
  <c r="O5496" i="7"/>
  <c r="U5495" i="7"/>
  <c r="T5495" i="7"/>
  <c r="S5495" i="7"/>
  <c r="R5495" i="7"/>
  <c r="Q5495" i="7"/>
  <c r="P5495" i="7"/>
  <c r="O5495" i="7"/>
  <c r="U5494" i="7"/>
  <c r="T5494" i="7"/>
  <c r="S5494" i="7"/>
  <c r="R5494" i="7"/>
  <c r="Q5494" i="7"/>
  <c r="P5494" i="7"/>
  <c r="O5494" i="7"/>
  <c r="U5493" i="7"/>
  <c r="T5493" i="7"/>
  <c r="S5493" i="7"/>
  <c r="R5493" i="7"/>
  <c r="Q5493" i="7"/>
  <c r="P5493" i="7"/>
  <c r="O5493" i="7"/>
  <c r="U5492" i="7"/>
  <c r="T5492" i="7"/>
  <c r="S5492" i="7"/>
  <c r="R5492" i="7"/>
  <c r="Q5492" i="7"/>
  <c r="P5492" i="7"/>
  <c r="O5492" i="7"/>
  <c r="U5491" i="7"/>
  <c r="T5491" i="7"/>
  <c r="S5491" i="7"/>
  <c r="R5491" i="7"/>
  <c r="Q5491" i="7"/>
  <c r="P5491" i="7"/>
  <c r="O5491" i="7"/>
  <c r="U5490" i="7"/>
  <c r="T5490" i="7"/>
  <c r="S5490" i="7"/>
  <c r="R5490" i="7"/>
  <c r="Q5490" i="7"/>
  <c r="P5490" i="7"/>
  <c r="O5490" i="7"/>
  <c r="U5489" i="7"/>
  <c r="T5489" i="7"/>
  <c r="S5489" i="7"/>
  <c r="R5489" i="7"/>
  <c r="Q5489" i="7"/>
  <c r="P5489" i="7"/>
  <c r="O5489" i="7"/>
  <c r="U5488" i="7"/>
  <c r="T5488" i="7"/>
  <c r="S5488" i="7"/>
  <c r="R5488" i="7"/>
  <c r="Q5488" i="7"/>
  <c r="P5488" i="7"/>
  <c r="O5488" i="7"/>
  <c r="U5487" i="7"/>
  <c r="T5487" i="7"/>
  <c r="S5487" i="7"/>
  <c r="R5487" i="7"/>
  <c r="Q5487" i="7"/>
  <c r="P5487" i="7"/>
  <c r="O5487" i="7"/>
  <c r="U5486" i="7"/>
  <c r="T5486" i="7"/>
  <c r="S5486" i="7"/>
  <c r="R5486" i="7"/>
  <c r="Q5486" i="7"/>
  <c r="P5486" i="7"/>
  <c r="O5486" i="7"/>
  <c r="U5485" i="7"/>
  <c r="T5485" i="7"/>
  <c r="S5485" i="7"/>
  <c r="R5485" i="7"/>
  <c r="Q5485" i="7"/>
  <c r="P5485" i="7"/>
  <c r="O5485" i="7"/>
  <c r="U5484" i="7"/>
  <c r="T5484" i="7"/>
  <c r="S5484" i="7"/>
  <c r="R5484" i="7"/>
  <c r="Q5484" i="7"/>
  <c r="P5484" i="7"/>
  <c r="O5484" i="7"/>
  <c r="U5483" i="7"/>
  <c r="T5483" i="7"/>
  <c r="S5483" i="7"/>
  <c r="R5483" i="7"/>
  <c r="Q5483" i="7"/>
  <c r="P5483" i="7"/>
  <c r="O5483" i="7"/>
  <c r="U5482" i="7"/>
  <c r="T5482" i="7"/>
  <c r="S5482" i="7"/>
  <c r="R5482" i="7"/>
  <c r="Q5482" i="7"/>
  <c r="P5482" i="7"/>
  <c r="O5482" i="7"/>
  <c r="U5481" i="7"/>
  <c r="T5481" i="7"/>
  <c r="S5481" i="7"/>
  <c r="R5481" i="7"/>
  <c r="Q5481" i="7"/>
  <c r="P5481" i="7"/>
  <c r="O5481" i="7"/>
  <c r="U5480" i="7"/>
  <c r="T5480" i="7"/>
  <c r="S5480" i="7"/>
  <c r="R5480" i="7"/>
  <c r="Q5480" i="7"/>
  <c r="P5480" i="7"/>
  <c r="O5480" i="7"/>
  <c r="U5479" i="7"/>
  <c r="T5479" i="7"/>
  <c r="S5479" i="7"/>
  <c r="R5479" i="7"/>
  <c r="Q5479" i="7"/>
  <c r="P5479" i="7"/>
  <c r="O5479" i="7"/>
  <c r="U5478" i="7"/>
  <c r="T5478" i="7"/>
  <c r="S5478" i="7"/>
  <c r="R5478" i="7"/>
  <c r="Q5478" i="7"/>
  <c r="P5478" i="7"/>
  <c r="O5478" i="7"/>
  <c r="U5477" i="7"/>
  <c r="T5477" i="7"/>
  <c r="S5477" i="7"/>
  <c r="R5477" i="7"/>
  <c r="Q5477" i="7"/>
  <c r="P5477" i="7"/>
  <c r="O5477" i="7"/>
  <c r="U5476" i="7"/>
  <c r="T5476" i="7"/>
  <c r="S5476" i="7"/>
  <c r="R5476" i="7"/>
  <c r="Q5476" i="7"/>
  <c r="P5476" i="7"/>
  <c r="O5476" i="7"/>
  <c r="U5475" i="7"/>
  <c r="T5475" i="7"/>
  <c r="S5475" i="7"/>
  <c r="R5475" i="7"/>
  <c r="Q5475" i="7"/>
  <c r="P5475" i="7"/>
  <c r="O5475" i="7"/>
  <c r="U5474" i="7"/>
  <c r="T5474" i="7"/>
  <c r="S5474" i="7"/>
  <c r="R5474" i="7"/>
  <c r="Q5474" i="7"/>
  <c r="P5474" i="7"/>
  <c r="O5474" i="7"/>
  <c r="U5473" i="7"/>
  <c r="T5473" i="7"/>
  <c r="S5473" i="7"/>
  <c r="R5473" i="7"/>
  <c r="Q5473" i="7"/>
  <c r="P5473" i="7"/>
  <c r="O5473" i="7"/>
  <c r="U5472" i="7"/>
  <c r="T5472" i="7"/>
  <c r="S5472" i="7"/>
  <c r="R5472" i="7"/>
  <c r="Q5472" i="7"/>
  <c r="P5472" i="7"/>
  <c r="O5472" i="7"/>
  <c r="U5471" i="7"/>
  <c r="T5471" i="7"/>
  <c r="S5471" i="7"/>
  <c r="R5471" i="7"/>
  <c r="Q5471" i="7"/>
  <c r="P5471" i="7"/>
  <c r="O5471" i="7"/>
  <c r="U5470" i="7"/>
  <c r="T5470" i="7"/>
  <c r="S5470" i="7"/>
  <c r="R5470" i="7"/>
  <c r="Q5470" i="7"/>
  <c r="P5470" i="7"/>
  <c r="O5470" i="7"/>
  <c r="U5469" i="7"/>
  <c r="T5469" i="7"/>
  <c r="S5469" i="7"/>
  <c r="R5469" i="7"/>
  <c r="Q5469" i="7"/>
  <c r="P5469" i="7"/>
  <c r="O5469" i="7"/>
  <c r="U5468" i="7"/>
  <c r="T5468" i="7"/>
  <c r="S5468" i="7"/>
  <c r="R5468" i="7"/>
  <c r="Q5468" i="7"/>
  <c r="P5468" i="7"/>
  <c r="O5468" i="7"/>
  <c r="U5467" i="7"/>
  <c r="T5467" i="7"/>
  <c r="S5467" i="7"/>
  <c r="R5467" i="7"/>
  <c r="Q5467" i="7"/>
  <c r="P5467" i="7"/>
  <c r="O5467" i="7"/>
  <c r="U5466" i="7"/>
  <c r="T5466" i="7"/>
  <c r="S5466" i="7"/>
  <c r="R5466" i="7"/>
  <c r="Q5466" i="7"/>
  <c r="P5466" i="7"/>
  <c r="O5466" i="7"/>
  <c r="U5465" i="7"/>
  <c r="T5465" i="7"/>
  <c r="S5465" i="7"/>
  <c r="R5465" i="7"/>
  <c r="Q5465" i="7"/>
  <c r="P5465" i="7"/>
  <c r="O5465" i="7"/>
  <c r="U5464" i="7"/>
  <c r="T5464" i="7"/>
  <c r="S5464" i="7"/>
  <c r="R5464" i="7"/>
  <c r="Q5464" i="7"/>
  <c r="P5464" i="7"/>
  <c r="O5464" i="7"/>
  <c r="U5463" i="7"/>
  <c r="T5463" i="7"/>
  <c r="S5463" i="7"/>
  <c r="R5463" i="7"/>
  <c r="Q5463" i="7"/>
  <c r="P5463" i="7"/>
  <c r="O5463" i="7"/>
  <c r="U5462" i="7"/>
  <c r="T5462" i="7"/>
  <c r="S5462" i="7"/>
  <c r="R5462" i="7"/>
  <c r="Q5462" i="7"/>
  <c r="P5462" i="7"/>
  <c r="O5462" i="7"/>
  <c r="U5461" i="7"/>
  <c r="T5461" i="7"/>
  <c r="S5461" i="7"/>
  <c r="R5461" i="7"/>
  <c r="Q5461" i="7"/>
  <c r="P5461" i="7"/>
  <c r="O5461" i="7"/>
  <c r="U5460" i="7"/>
  <c r="T5460" i="7"/>
  <c r="S5460" i="7"/>
  <c r="R5460" i="7"/>
  <c r="Q5460" i="7"/>
  <c r="P5460" i="7"/>
  <c r="O5460" i="7"/>
  <c r="U5459" i="7"/>
  <c r="T5459" i="7"/>
  <c r="S5459" i="7"/>
  <c r="R5459" i="7"/>
  <c r="Q5459" i="7"/>
  <c r="P5459" i="7"/>
  <c r="O5459" i="7"/>
  <c r="U5458" i="7"/>
  <c r="T5458" i="7"/>
  <c r="S5458" i="7"/>
  <c r="R5458" i="7"/>
  <c r="Q5458" i="7"/>
  <c r="P5458" i="7"/>
  <c r="O5458" i="7"/>
  <c r="U5457" i="7"/>
  <c r="T5457" i="7"/>
  <c r="S5457" i="7"/>
  <c r="R5457" i="7"/>
  <c r="Q5457" i="7"/>
  <c r="P5457" i="7"/>
  <c r="O5457" i="7"/>
  <c r="U5456" i="7"/>
  <c r="T5456" i="7"/>
  <c r="S5456" i="7"/>
  <c r="R5456" i="7"/>
  <c r="Q5456" i="7"/>
  <c r="P5456" i="7"/>
  <c r="O5456" i="7"/>
  <c r="U5455" i="7"/>
  <c r="T5455" i="7"/>
  <c r="S5455" i="7"/>
  <c r="R5455" i="7"/>
  <c r="Q5455" i="7"/>
  <c r="P5455" i="7"/>
  <c r="O5455" i="7"/>
  <c r="U5454" i="7"/>
  <c r="T5454" i="7"/>
  <c r="S5454" i="7"/>
  <c r="R5454" i="7"/>
  <c r="Q5454" i="7"/>
  <c r="P5454" i="7"/>
  <c r="O5454" i="7"/>
  <c r="U5453" i="7"/>
  <c r="T5453" i="7"/>
  <c r="S5453" i="7"/>
  <c r="R5453" i="7"/>
  <c r="Q5453" i="7"/>
  <c r="P5453" i="7"/>
  <c r="O5453" i="7"/>
  <c r="U5452" i="7"/>
  <c r="T5452" i="7"/>
  <c r="S5452" i="7"/>
  <c r="R5452" i="7"/>
  <c r="Q5452" i="7"/>
  <c r="P5452" i="7"/>
  <c r="O5452" i="7"/>
  <c r="U5451" i="7"/>
  <c r="T5451" i="7"/>
  <c r="S5451" i="7"/>
  <c r="R5451" i="7"/>
  <c r="Q5451" i="7"/>
  <c r="P5451" i="7"/>
  <c r="O5451" i="7"/>
  <c r="U5450" i="7"/>
  <c r="T5450" i="7"/>
  <c r="S5450" i="7"/>
  <c r="R5450" i="7"/>
  <c r="Q5450" i="7"/>
  <c r="P5450" i="7"/>
  <c r="O5450" i="7"/>
  <c r="U5449" i="7"/>
  <c r="T5449" i="7"/>
  <c r="S5449" i="7"/>
  <c r="R5449" i="7"/>
  <c r="Q5449" i="7"/>
  <c r="P5449" i="7"/>
  <c r="O5449" i="7"/>
  <c r="U5448" i="7"/>
  <c r="T5448" i="7"/>
  <c r="S5448" i="7"/>
  <c r="R5448" i="7"/>
  <c r="Q5448" i="7"/>
  <c r="P5448" i="7"/>
  <c r="O5448" i="7"/>
  <c r="U5447" i="7"/>
  <c r="T5447" i="7"/>
  <c r="S5447" i="7"/>
  <c r="R5447" i="7"/>
  <c r="Q5447" i="7"/>
  <c r="P5447" i="7"/>
  <c r="O5447" i="7"/>
  <c r="U5446" i="7"/>
  <c r="T5446" i="7"/>
  <c r="S5446" i="7"/>
  <c r="R5446" i="7"/>
  <c r="Q5446" i="7"/>
  <c r="P5446" i="7"/>
  <c r="O5446" i="7"/>
  <c r="U5445" i="7"/>
  <c r="T5445" i="7"/>
  <c r="S5445" i="7"/>
  <c r="R5445" i="7"/>
  <c r="Q5445" i="7"/>
  <c r="P5445" i="7"/>
  <c r="O5445" i="7"/>
  <c r="U5444" i="7"/>
  <c r="T5444" i="7"/>
  <c r="S5444" i="7"/>
  <c r="R5444" i="7"/>
  <c r="Q5444" i="7"/>
  <c r="P5444" i="7"/>
  <c r="O5444" i="7"/>
  <c r="U5443" i="7"/>
  <c r="T5443" i="7"/>
  <c r="S5443" i="7"/>
  <c r="R5443" i="7"/>
  <c r="Q5443" i="7"/>
  <c r="P5443" i="7"/>
  <c r="O5443" i="7"/>
  <c r="U5442" i="7"/>
  <c r="T5442" i="7"/>
  <c r="S5442" i="7"/>
  <c r="R5442" i="7"/>
  <c r="Q5442" i="7"/>
  <c r="P5442" i="7"/>
  <c r="O5442" i="7"/>
  <c r="U5441" i="7"/>
  <c r="T5441" i="7"/>
  <c r="S5441" i="7"/>
  <c r="R5441" i="7"/>
  <c r="Q5441" i="7"/>
  <c r="P5441" i="7"/>
  <c r="O5441" i="7"/>
  <c r="U5440" i="7"/>
  <c r="T5440" i="7"/>
  <c r="S5440" i="7"/>
  <c r="R5440" i="7"/>
  <c r="Q5440" i="7"/>
  <c r="P5440" i="7"/>
  <c r="O5440" i="7"/>
  <c r="U5439" i="7"/>
  <c r="T5439" i="7"/>
  <c r="S5439" i="7"/>
  <c r="R5439" i="7"/>
  <c r="Q5439" i="7"/>
  <c r="P5439" i="7"/>
  <c r="O5439" i="7"/>
  <c r="U5438" i="7"/>
  <c r="T5438" i="7"/>
  <c r="S5438" i="7"/>
  <c r="R5438" i="7"/>
  <c r="Q5438" i="7"/>
  <c r="P5438" i="7"/>
  <c r="O5438" i="7"/>
  <c r="U5437" i="7"/>
  <c r="T5437" i="7"/>
  <c r="S5437" i="7"/>
  <c r="R5437" i="7"/>
  <c r="Q5437" i="7"/>
  <c r="P5437" i="7"/>
  <c r="O5437" i="7"/>
  <c r="U5436" i="7"/>
  <c r="T5436" i="7"/>
  <c r="S5436" i="7"/>
  <c r="R5436" i="7"/>
  <c r="Q5436" i="7"/>
  <c r="P5436" i="7"/>
  <c r="O5436" i="7"/>
  <c r="U5435" i="7"/>
  <c r="T5435" i="7"/>
  <c r="S5435" i="7"/>
  <c r="R5435" i="7"/>
  <c r="Q5435" i="7"/>
  <c r="P5435" i="7"/>
  <c r="O5435" i="7"/>
  <c r="U5434" i="7"/>
  <c r="T5434" i="7"/>
  <c r="S5434" i="7"/>
  <c r="R5434" i="7"/>
  <c r="Q5434" i="7"/>
  <c r="P5434" i="7"/>
  <c r="O5434" i="7"/>
  <c r="U5433" i="7"/>
  <c r="T5433" i="7"/>
  <c r="S5433" i="7"/>
  <c r="R5433" i="7"/>
  <c r="Q5433" i="7"/>
  <c r="P5433" i="7"/>
  <c r="O5433" i="7"/>
  <c r="U5432" i="7"/>
  <c r="T5432" i="7"/>
  <c r="S5432" i="7"/>
  <c r="R5432" i="7"/>
  <c r="Q5432" i="7"/>
  <c r="P5432" i="7"/>
  <c r="O5432" i="7"/>
  <c r="U5431" i="7"/>
  <c r="T5431" i="7"/>
  <c r="S5431" i="7"/>
  <c r="R5431" i="7"/>
  <c r="Q5431" i="7"/>
  <c r="P5431" i="7"/>
  <c r="O5431" i="7"/>
  <c r="U5430" i="7"/>
  <c r="T5430" i="7"/>
  <c r="S5430" i="7"/>
  <c r="R5430" i="7"/>
  <c r="Q5430" i="7"/>
  <c r="P5430" i="7"/>
  <c r="O5430" i="7"/>
  <c r="U5429" i="7"/>
  <c r="T5429" i="7"/>
  <c r="S5429" i="7"/>
  <c r="R5429" i="7"/>
  <c r="Q5429" i="7"/>
  <c r="P5429" i="7"/>
  <c r="O5429" i="7"/>
  <c r="U5428" i="7"/>
  <c r="T5428" i="7"/>
  <c r="S5428" i="7"/>
  <c r="R5428" i="7"/>
  <c r="Q5428" i="7"/>
  <c r="P5428" i="7"/>
  <c r="O5428" i="7"/>
  <c r="U5427" i="7"/>
  <c r="T5427" i="7"/>
  <c r="S5427" i="7"/>
  <c r="R5427" i="7"/>
  <c r="Q5427" i="7"/>
  <c r="P5427" i="7"/>
  <c r="O5427" i="7"/>
  <c r="U5426" i="7"/>
  <c r="T5426" i="7"/>
  <c r="S5426" i="7"/>
  <c r="R5426" i="7"/>
  <c r="Q5426" i="7"/>
  <c r="P5426" i="7"/>
  <c r="O5426" i="7"/>
  <c r="U5425" i="7"/>
  <c r="T5425" i="7"/>
  <c r="S5425" i="7"/>
  <c r="R5425" i="7"/>
  <c r="Q5425" i="7"/>
  <c r="P5425" i="7"/>
  <c r="O5425" i="7"/>
  <c r="U5424" i="7"/>
  <c r="T5424" i="7"/>
  <c r="S5424" i="7"/>
  <c r="R5424" i="7"/>
  <c r="Q5424" i="7"/>
  <c r="P5424" i="7"/>
  <c r="O5424" i="7"/>
  <c r="U5423" i="7"/>
  <c r="T5423" i="7"/>
  <c r="S5423" i="7"/>
  <c r="R5423" i="7"/>
  <c r="Q5423" i="7"/>
  <c r="P5423" i="7"/>
  <c r="O5423" i="7"/>
  <c r="U5422" i="7"/>
  <c r="T5422" i="7"/>
  <c r="S5422" i="7"/>
  <c r="R5422" i="7"/>
  <c r="Q5422" i="7"/>
  <c r="P5422" i="7"/>
  <c r="O5422" i="7"/>
  <c r="U5421" i="7"/>
  <c r="T5421" i="7"/>
  <c r="S5421" i="7"/>
  <c r="R5421" i="7"/>
  <c r="Q5421" i="7"/>
  <c r="P5421" i="7"/>
  <c r="O5421" i="7"/>
  <c r="U5420" i="7"/>
  <c r="T5420" i="7"/>
  <c r="S5420" i="7"/>
  <c r="R5420" i="7"/>
  <c r="Q5420" i="7"/>
  <c r="P5420" i="7"/>
  <c r="O5420" i="7"/>
  <c r="U5419" i="7"/>
  <c r="T5419" i="7"/>
  <c r="S5419" i="7"/>
  <c r="R5419" i="7"/>
  <c r="Q5419" i="7"/>
  <c r="P5419" i="7"/>
  <c r="O5419" i="7"/>
  <c r="U5418" i="7"/>
  <c r="T5418" i="7"/>
  <c r="S5418" i="7"/>
  <c r="R5418" i="7"/>
  <c r="Q5418" i="7"/>
  <c r="P5418" i="7"/>
  <c r="O5418" i="7"/>
  <c r="U5417" i="7"/>
  <c r="T5417" i="7"/>
  <c r="S5417" i="7"/>
  <c r="R5417" i="7"/>
  <c r="Q5417" i="7"/>
  <c r="P5417" i="7"/>
  <c r="O5417" i="7"/>
  <c r="U5416" i="7"/>
  <c r="T5416" i="7"/>
  <c r="S5416" i="7"/>
  <c r="R5416" i="7"/>
  <c r="Q5416" i="7"/>
  <c r="P5416" i="7"/>
  <c r="O5416" i="7"/>
  <c r="U5415" i="7"/>
  <c r="T5415" i="7"/>
  <c r="S5415" i="7"/>
  <c r="R5415" i="7"/>
  <c r="Q5415" i="7"/>
  <c r="P5415" i="7"/>
  <c r="O5415" i="7"/>
  <c r="U5414" i="7"/>
  <c r="T5414" i="7"/>
  <c r="S5414" i="7"/>
  <c r="R5414" i="7"/>
  <c r="Q5414" i="7"/>
  <c r="P5414" i="7"/>
  <c r="O5414" i="7"/>
  <c r="U5413" i="7"/>
  <c r="T5413" i="7"/>
  <c r="S5413" i="7"/>
  <c r="R5413" i="7"/>
  <c r="Q5413" i="7"/>
  <c r="P5413" i="7"/>
  <c r="O5413" i="7"/>
  <c r="U5412" i="7"/>
  <c r="T5412" i="7"/>
  <c r="S5412" i="7"/>
  <c r="R5412" i="7"/>
  <c r="Q5412" i="7"/>
  <c r="P5412" i="7"/>
  <c r="O5412" i="7"/>
  <c r="U5411" i="7"/>
  <c r="T5411" i="7"/>
  <c r="S5411" i="7"/>
  <c r="R5411" i="7"/>
  <c r="Q5411" i="7"/>
  <c r="P5411" i="7"/>
  <c r="O5411" i="7"/>
  <c r="U5410" i="7"/>
  <c r="T5410" i="7"/>
  <c r="S5410" i="7"/>
  <c r="R5410" i="7"/>
  <c r="Q5410" i="7"/>
  <c r="P5410" i="7"/>
  <c r="O5410" i="7"/>
  <c r="U5409" i="7"/>
  <c r="T5409" i="7"/>
  <c r="S5409" i="7"/>
  <c r="R5409" i="7"/>
  <c r="Q5409" i="7"/>
  <c r="P5409" i="7"/>
  <c r="O5409" i="7"/>
  <c r="U5408" i="7"/>
  <c r="T5408" i="7"/>
  <c r="S5408" i="7"/>
  <c r="R5408" i="7"/>
  <c r="Q5408" i="7"/>
  <c r="P5408" i="7"/>
  <c r="O5408" i="7"/>
  <c r="U5407" i="7"/>
  <c r="T5407" i="7"/>
  <c r="S5407" i="7"/>
  <c r="R5407" i="7"/>
  <c r="Q5407" i="7"/>
  <c r="P5407" i="7"/>
  <c r="O5407" i="7"/>
  <c r="U5406" i="7"/>
  <c r="T5406" i="7"/>
  <c r="S5406" i="7"/>
  <c r="R5406" i="7"/>
  <c r="Q5406" i="7"/>
  <c r="P5406" i="7"/>
  <c r="O5406" i="7"/>
  <c r="U5405" i="7"/>
  <c r="T5405" i="7"/>
  <c r="S5405" i="7"/>
  <c r="R5405" i="7"/>
  <c r="Q5405" i="7"/>
  <c r="P5405" i="7"/>
  <c r="O5405" i="7"/>
  <c r="U5404" i="7"/>
  <c r="T5404" i="7"/>
  <c r="S5404" i="7"/>
  <c r="R5404" i="7"/>
  <c r="Q5404" i="7"/>
  <c r="P5404" i="7"/>
  <c r="O5404" i="7"/>
  <c r="U5403" i="7"/>
  <c r="T5403" i="7"/>
  <c r="S5403" i="7"/>
  <c r="R5403" i="7"/>
  <c r="Q5403" i="7"/>
  <c r="P5403" i="7"/>
  <c r="O5403" i="7"/>
  <c r="U5402" i="7"/>
  <c r="T5402" i="7"/>
  <c r="S5402" i="7"/>
  <c r="R5402" i="7"/>
  <c r="Q5402" i="7"/>
  <c r="P5402" i="7"/>
  <c r="O5402" i="7"/>
  <c r="U5401" i="7"/>
  <c r="T5401" i="7"/>
  <c r="S5401" i="7"/>
  <c r="R5401" i="7"/>
  <c r="Q5401" i="7"/>
  <c r="P5401" i="7"/>
  <c r="O5401" i="7"/>
  <c r="U5400" i="7"/>
  <c r="T5400" i="7"/>
  <c r="S5400" i="7"/>
  <c r="R5400" i="7"/>
  <c r="Q5400" i="7"/>
  <c r="P5400" i="7"/>
  <c r="O5400" i="7"/>
  <c r="U5399" i="7"/>
  <c r="T5399" i="7"/>
  <c r="S5399" i="7"/>
  <c r="R5399" i="7"/>
  <c r="Q5399" i="7"/>
  <c r="P5399" i="7"/>
  <c r="O5399" i="7"/>
  <c r="U5398" i="7"/>
  <c r="T5398" i="7"/>
  <c r="S5398" i="7"/>
  <c r="R5398" i="7"/>
  <c r="Q5398" i="7"/>
  <c r="P5398" i="7"/>
  <c r="O5398" i="7"/>
  <c r="U5397" i="7"/>
  <c r="T5397" i="7"/>
  <c r="S5397" i="7"/>
  <c r="R5397" i="7"/>
  <c r="Q5397" i="7"/>
  <c r="P5397" i="7"/>
  <c r="O5397" i="7"/>
  <c r="U5396" i="7"/>
  <c r="T5396" i="7"/>
  <c r="S5396" i="7"/>
  <c r="R5396" i="7"/>
  <c r="Q5396" i="7"/>
  <c r="P5396" i="7"/>
  <c r="O5396" i="7"/>
  <c r="U5395" i="7"/>
  <c r="T5395" i="7"/>
  <c r="S5395" i="7"/>
  <c r="R5395" i="7"/>
  <c r="Q5395" i="7"/>
  <c r="P5395" i="7"/>
  <c r="O5395" i="7"/>
  <c r="U5394" i="7"/>
  <c r="T5394" i="7"/>
  <c r="S5394" i="7"/>
  <c r="R5394" i="7"/>
  <c r="Q5394" i="7"/>
  <c r="P5394" i="7"/>
  <c r="O5394" i="7"/>
  <c r="U5393" i="7"/>
  <c r="T5393" i="7"/>
  <c r="S5393" i="7"/>
  <c r="R5393" i="7"/>
  <c r="Q5393" i="7"/>
  <c r="P5393" i="7"/>
  <c r="O5393" i="7"/>
  <c r="U5392" i="7"/>
  <c r="T5392" i="7"/>
  <c r="S5392" i="7"/>
  <c r="R5392" i="7"/>
  <c r="Q5392" i="7"/>
  <c r="P5392" i="7"/>
  <c r="O5392" i="7"/>
  <c r="U5391" i="7"/>
  <c r="T5391" i="7"/>
  <c r="S5391" i="7"/>
  <c r="R5391" i="7"/>
  <c r="Q5391" i="7"/>
  <c r="P5391" i="7"/>
  <c r="O5391" i="7"/>
  <c r="U5390" i="7"/>
  <c r="T5390" i="7"/>
  <c r="S5390" i="7"/>
  <c r="R5390" i="7"/>
  <c r="Q5390" i="7"/>
  <c r="P5390" i="7"/>
  <c r="O5390" i="7"/>
  <c r="U5389" i="7"/>
  <c r="T5389" i="7"/>
  <c r="S5389" i="7"/>
  <c r="R5389" i="7"/>
  <c r="Q5389" i="7"/>
  <c r="P5389" i="7"/>
  <c r="O5389" i="7"/>
  <c r="U5388" i="7"/>
  <c r="T5388" i="7"/>
  <c r="S5388" i="7"/>
  <c r="R5388" i="7"/>
  <c r="Q5388" i="7"/>
  <c r="P5388" i="7"/>
  <c r="O5388" i="7"/>
  <c r="U5387" i="7"/>
  <c r="T5387" i="7"/>
  <c r="S5387" i="7"/>
  <c r="R5387" i="7"/>
  <c r="Q5387" i="7"/>
  <c r="P5387" i="7"/>
  <c r="O5387" i="7"/>
  <c r="U5386" i="7"/>
  <c r="T5386" i="7"/>
  <c r="S5386" i="7"/>
  <c r="R5386" i="7"/>
  <c r="Q5386" i="7"/>
  <c r="P5386" i="7"/>
  <c r="O5386" i="7"/>
  <c r="U5385" i="7"/>
  <c r="T5385" i="7"/>
  <c r="S5385" i="7"/>
  <c r="R5385" i="7"/>
  <c r="Q5385" i="7"/>
  <c r="P5385" i="7"/>
  <c r="O5385" i="7"/>
  <c r="U5384" i="7"/>
  <c r="T5384" i="7"/>
  <c r="S5384" i="7"/>
  <c r="R5384" i="7"/>
  <c r="Q5384" i="7"/>
  <c r="P5384" i="7"/>
  <c r="O5384" i="7"/>
  <c r="U5383" i="7"/>
  <c r="T5383" i="7"/>
  <c r="S5383" i="7"/>
  <c r="R5383" i="7"/>
  <c r="Q5383" i="7"/>
  <c r="P5383" i="7"/>
  <c r="O5383" i="7"/>
  <c r="U5382" i="7"/>
  <c r="T5382" i="7"/>
  <c r="S5382" i="7"/>
  <c r="R5382" i="7"/>
  <c r="Q5382" i="7"/>
  <c r="P5382" i="7"/>
  <c r="O5382" i="7"/>
  <c r="U5381" i="7"/>
  <c r="T5381" i="7"/>
  <c r="S5381" i="7"/>
  <c r="R5381" i="7"/>
  <c r="Q5381" i="7"/>
  <c r="P5381" i="7"/>
  <c r="O5381" i="7"/>
  <c r="U5380" i="7"/>
  <c r="T5380" i="7"/>
  <c r="S5380" i="7"/>
  <c r="R5380" i="7"/>
  <c r="Q5380" i="7"/>
  <c r="P5380" i="7"/>
  <c r="O5380" i="7"/>
  <c r="U5379" i="7"/>
  <c r="T5379" i="7"/>
  <c r="S5379" i="7"/>
  <c r="R5379" i="7"/>
  <c r="Q5379" i="7"/>
  <c r="P5379" i="7"/>
  <c r="O5379" i="7"/>
  <c r="U5378" i="7"/>
  <c r="T5378" i="7"/>
  <c r="S5378" i="7"/>
  <c r="R5378" i="7"/>
  <c r="Q5378" i="7"/>
  <c r="P5378" i="7"/>
  <c r="O5378" i="7"/>
  <c r="U5377" i="7"/>
  <c r="T5377" i="7"/>
  <c r="S5377" i="7"/>
  <c r="R5377" i="7"/>
  <c r="Q5377" i="7"/>
  <c r="P5377" i="7"/>
  <c r="O5377" i="7"/>
  <c r="U5376" i="7"/>
  <c r="T5376" i="7"/>
  <c r="S5376" i="7"/>
  <c r="R5376" i="7"/>
  <c r="Q5376" i="7"/>
  <c r="P5376" i="7"/>
  <c r="O5376" i="7"/>
  <c r="U5375" i="7"/>
  <c r="T5375" i="7"/>
  <c r="S5375" i="7"/>
  <c r="R5375" i="7"/>
  <c r="Q5375" i="7"/>
  <c r="P5375" i="7"/>
  <c r="O5375" i="7"/>
  <c r="U5374" i="7"/>
  <c r="T5374" i="7"/>
  <c r="S5374" i="7"/>
  <c r="R5374" i="7"/>
  <c r="Q5374" i="7"/>
  <c r="P5374" i="7"/>
  <c r="O5374" i="7"/>
  <c r="U5373" i="7"/>
  <c r="T5373" i="7"/>
  <c r="S5373" i="7"/>
  <c r="R5373" i="7"/>
  <c r="Q5373" i="7"/>
  <c r="P5373" i="7"/>
  <c r="O5373" i="7"/>
  <c r="U5372" i="7"/>
  <c r="T5372" i="7"/>
  <c r="S5372" i="7"/>
  <c r="R5372" i="7"/>
  <c r="Q5372" i="7"/>
  <c r="P5372" i="7"/>
  <c r="O5372" i="7"/>
  <c r="U5371" i="7"/>
  <c r="T5371" i="7"/>
  <c r="S5371" i="7"/>
  <c r="R5371" i="7"/>
  <c r="Q5371" i="7"/>
  <c r="P5371" i="7"/>
  <c r="O5371" i="7"/>
  <c r="U5370" i="7"/>
  <c r="T5370" i="7"/>
  <c r="S5370" i="7"/>
  <c r="R5370" i="7"/>
  <c r="Q5370" i="7"/>
  <c r="P5370" i="7"/>
  <c r="O5370" i="7"/>
  <c r="U5369" i="7"/>
  <c r="T5369" i="7"/>
  <c r="S5369" i="7"/>
  <c r="R5369" i="7"/>
  <c r="Q5369" i="7"/>
  <c r="P5369" i="7"/>
  <c r="O5369" i="7"/>
  <c r="U5368" i="7"/>
  <c r="T5368" i="7"/>
  <c r="S5368" i="7"/>
  <c r="R5368" i="7"/>
  <c r="Q5368" i="7"/>
  <c r="P5368" i="7"/>
  <c r="O5368" i="7"/>
  <c r="U5367" i="7"/>
  <c r="T5367" i="7"/>
  <c r="S5367" i="7"/>
  <c r="R5367" i="7"/>
  <c r="Q5367" i="7"/>
  <c r="P5367" i="7"/>
  <c r="O5367" i="7"/>
  <c r="U5366" i="7"/>
  <c r="T5366" i="7"/>
  <c r="S5366" i="7"/>
  <c r="R5366" i="7"/>
  <c r="Q5366" i="7"/>
  <c r="P5366" i="7"/>
  <c r="O5366" i="7"/>
  <c r="U5365" i="7"/>
  <c r="T5365" i="7"/>
  <c r="S5365" i="7"/>
  <c r="R5365" i="7"/>
  <c r="Q5365" i="7"/>
  <c r="P5365" i="7"/>
  <c r="O5365" i="7"/>
  <c r="U5364" i="7"/>
  <c r="T5364" i="7"/>
  <c r="S5364" i="7"/>
  <c r="R5364" i="7"/>
  <c r="Q5364" i="7"/>
  <c r="P5364" i="7"/>
  <c r="O5364" i="7"/>
  <c r="U5363" i="7"/>
  <c r="T5363" i="7"/>
  <c r="S5363" i="7"/>
  <c r="R5363" i="7"/>
  <c r="Q5363" i="7"/>
  <c r="P5363" i="7"/>
  <c r="O5363" i="7"/>
  <c r="U5362" i="7"/>
  <c r="T5362" i="7"/>
  <c r="S5362" i="7"/>
  <c r="R5362" i="7"/>
  <c r="Q5362" i="7"/>
  <c r="P5362" i="7"/>
  <c r="O5362" i="7"/>
  <c r="U5361" i="7"/>
  <c r="T5361" i="7"/>
  <c r="S5361" i="7"/>
  <c r="R5361" i="7"/>
  <c r="Q5361" i="7"/>
  <c r="P5361" i="7"/>
  <c r="O5361" i="7"/>
  <c r="U5360" i="7"/>
  <c r="T5360" i="7"/>
  <c r="S5360" i="7"/>
  <c r="R5360" i="7"/>
  <c r="Q5360" i="7"/>
  <c r="P5360" i="7"/>
  <c r="O5360" i="7"/>
  <c r="U5359" i="7"/>
  <c r="T5359" i="7"/>
  <c r="S5359" i="7"/>
  <c r="R5359" i="7"/>
  <c r="Q5359" i="7"/>
  <c r="P5359" i="7"/>
  <c r="O5359" i="7"/>
  <c r="U5358" i="7"/>
  <c r="T5358" i="7"/>
  <c r="S5358" i="7"/>
  <c r="R5358" i="7"/>
  <c r="Q5358" i="7"/>
  <c r="P5358" i="7"/>
  <c r="O5358" i="7"/>
  <c r="U5357" i="7"/>
  <c r="T5357" i="7"/>
  <c r="S5357" i="7"/>
  <c r="R5357" i="7"/>
  <c r="Q5357" i="7"/>
  <c r="P5357" i="7"/>
  <c r="O5357" i="7"/>
  <c r="U5356" i="7"/>
  <c r="T5356" i="7"/>
  <c r="S5356" i="7"/>
  <c r="R5356" i="7"/>
  <c r="Q5356" i="7"/>
  <c r="P5356" i="7"/>
  <c r="O5356" i="7"/>
  <c r="U5355" i="7"/>
  <c r="T5355" i="7"/>
  <c r="S5355" i="7"/>
  <c r="R5355" i="7"/>
  <c r="Q5355" i="7"/>
  <c r="P5355" i="7"/>
  <c r="O5355" i="7"/>
  <c r="U5354" i="7"/>
  <c r="T5354" i="7"/>
  <c r="S5354" i="7"/>
  <c r="R5354" i="7"/>
  <c r="Q5354" i="7"/>
  <c r="P5354" i="7"/>
  <c r="O5354" i="7"/>
  <c r="U5353" i="7"/>
  <c r="T5353" i="7"/>
  <c r="S5353" i="7"/>
  <c r="R5353" i="7"/>
  <c r="Q5353" i="7"/>
  <c r="P5353" i="7"/>
  <c r="O5353" i="7"/>
  <c r="U5352" i="7"/>
  <c r="T5352" i="7"/>
  <c r="S5352" i="7"/>
  <c r="R5352" i="7"/>
  <c r="Q5352" i="7"/>
  <c r="P5352" i="7"/>
  <c r="O5352" i="7"/>
  <c r="U5351" i="7"/>
  <c r="T5351" i="7"/>
  <c r="S5351" i="7"/>
  <c r="R5351" i="7"/>
  <c r="Q5351" i="7"/>
  <c r="P5351" i="7"/>
  <c r="O5351" i="7"/>
  <c r="U5350" i="7"/>
  <c r="T5350" i="7"/>
  <c r="S5350" i="7"/>
  <c r="R5350" i="7"/>
  <c r="Q5350" i="7"/>
  <c r="P5350" i="7"/>
  <c r="O5350" i="7"/>
  <c r="U5349" i="7"/>
  <c r="T5349" i="7"/>
  <c r="S5349" i="7"/>
  <c r="R5349" i="7"/>
  <c r="Q5349" i="7"/>
  <c r="P5349" i="7"/>
  <c r="O5349" i="7"/>
  <c r="U5348" i="7"/>
  <c r="T5348" i="7"/>
  <c r="S5348" i="7"/>
  <c r="R5348" i="7"/>
  <c r="Q5348" i="7"/>
  <c r="P5348" i="7"/>
  <c r="O5348" i="7"/>
  <c r="U5347" i="7"/>
  <c r="T5347" i="7"/>
  <c r="S5347" i="7"/>
  <c r="R5347" i="7"/>
  <c r="Q5347" i="7"/>
  <c r="P5347" i="7"/>
  <c r="O5347" i="7"/>
  <c r="U5346" i="7"/>
  <c r="T5346" i="7"/>
  <c r="S5346" i="7"/>
  <c r="R5346" i="7"/>
  <c r="Q5346" i="7"/>
  <c r="P5346" i="7"/>
  <c r="O5346" i="7"/>
  <c r="U5345" i="7"/>
  <c r="T5345" i="7"/>
  <c r="S5345" i="7"/>
  <c r="R5345" i="7"/>
  <c r="Q5345" i="7"/>
  <c r="P5345" i="7"/>
  <c r="O5345" i="7"/>
  <c r="U5344" i="7"/>
  <c r="T5344" i="7"/>
  <c r="S5344" i="7"/>
  <c r="R5344" i="7"/>
  <c r="Q5344" i="7"/>
  <c r="P5344" i="7"/>
  <c r="O5344" i="7"/>
  <c r="U5343" i="7"/>
  <c r="T5343" i="7"/>
  <c r="S5343" i="7"/>
  <c r="R5343" i="7"/>
  <c r="Q5343" i="7"/>
  <c r="P5343" i="7"/>
  <c r="O5343" i="7"/>
  <c r="U5342" i="7"/>
  <c r="T5342" i="7"/>
  <c r="S5342" i="7"/>
  <c r="R5342" i="7"/>
  <c r="Q5342" i="7"/>
  <c r="P5342" i="7"/>
  <c r="O5342" i="7"/>
  <c r="U5341" i="7"/>
  <c r="T5341" i="7"/>
  <c r="S5341" i="7"/>
  <c r="R5341" i="7"/>
  <c r="Q5341" i="7"/>
  <c r="P5341" i="7"/>
  <c r="O5341" i="7"/>
  <c r="U5340" i="7"/>
  <c r="T5340" i="7"/>
  <c r="S5340" i="7"/>
  <c r="R5340" i="7"/>
  <c r="Q5340" i="7"/>
  <c r="P5340" i="7"/>
  <c r="O5340" i="7"/>
  <c r="U5339" i="7"/>
  <c r="T5339" i="7"/>
  <c r="S5339" i="7"/>
  <c r="R5339" i="7"/>
  <c r="Q5339" i="7"/>
  <c r="P5339" i="7"/>
  <c r="O5339" i="7"/>
  <c r="U5338" i="7"/>
  <c r="T5338" i="7"/>
  <c r="S5338" i="7"/>
  <c r="R5338" i="7"/>
  <c r="Q5338" i="7"/>
  <c r="P5338" i="7"/>
  <c r="O5338" i="7"/>
  <c r="U5337" i="7"/>
  <c r="T5337" i="7"/>
  <c r="S5337" i="7"/>
  <c r="R5337" i="7"/>
  <c r="Q5337" i="7"/>
  <c r="P5337" i="7"/>
  <c r="O5337" i="7"/>
  <c r="U5336" i="7"/>
  <c r="T5336" i="7"/>
  <c r="S5336" i="7"/>
  <c r="R5336" i="7"/>
  <c r="Q5336" i="7"/>
  <c r="P5336" i="7"/>
  <c r="O5336" i="7"/>
  <c r="U5335" i="7"/>
  <c r="T5335" i="7"/>
  <c r="S5335" i="7"/>
  <c r="R5335" i="7"/>
  <c r="Q5335" i="7"/>
  <c r="P5335" i="7"/>
  <c r="O5335" i="7"/>
  <c r="U5334" i="7"/>
  <c r="T5334" i="7"/>
  <c r="S5334" i="7"/>
  <c r="R5334" i="7"/>
  <c r="Q5334" i="7"/>
  <c r="P5334" i="7"/>
  <c r="O5334" i="7"/>
  <c r="U5333" i="7"/>
  <c r="T5333" i="7"/>
  <c r="S5333" i="7"/>
  <c r="R5333" i="7"/>
  <c r="Q5333" i="7"/>
  <c r="P5333" i="7"/>
  <c r="O5333" i="7"/>
  <c r="U5332" i="7"/>
  <c r="T5332" i="7"/>
  <c r="S5332" i="7"/>
  <c r="R5332" i="7"/>
  <c r="Q5332" i="7"/>
  <c r="P5332" i="7"/>
  <c r="O5332" i="7"/>
  <c r="U5331" i="7"/>
  <c r="T5331" i="7"/>
  <c r="S5331" i="7"/>
  <c r="R5331" i="7"/>
  <c r="Q5331" i="7"/>
  <c r="P5331" i="7"/>
  <c r="O5331" i="7"/>
  <c r="U5330" i="7"/>
  <c r="T5330" i="7"/>
  <c r="S5330" i="7"/>
  <c r="R5330" i="7"/>
  <c r="Q5330" i="7"/>
  <c r="P5330" i="7"/>
  <c r="O5330" i="7"/>
  <c r="U5329" i="7"/>
  <c r="T5329" i="7"/>
  <c r="S5329" i="7"/>
  <c r="R5329" i="7"/>
  <c r="Q5329" i="7"/>
  <c r="P5329" i="7"/>
  <c r="O5329" i="7"/>
  <c r="U5328" i="7"/>
  <c r="T5328" i="7"/>
  <c r="S5328" i="7"/>
  <c r="R5328" i="7"/>
  <c r="Q5328" i="7"/>
  <c r="P5328" i="7"/>
  <c r="O5328" i="7"/>
  <c r="U5327" i="7"/>
  <c r="T5327" i="7"/>
  <c r="S5327" i="7"/>
  <c r="R5327" i="7"/>
  <c r="Q5327" i="7"/>
  <c r="P5327" i="7"/>
  <c r="O5327" i="7"/>
  <c r="U5326" i="7"/>
  <c r="T5326" i="7"/>
  <c r="S5326" i="7"/>
  <c r="R5326" i="7"/>
  <c r="Q5326" i="7"/>
  <c r="P5326" i="7"/>
  <c r="O5326" i="7"/>
  <c r="U5325" i="7"/>
  <c r="T5325" i="7"/>
  <c r="S5325" i="7"/>
  <c r="R5325" i="7"/>
  <c r="Q5325" i="7"/>
  <c r="P5325" i="7"/>
  <c r="O5325" i="7"/>
  <c r="U5324" i="7"/>
  <c r="T5324" i="7"/>
  <c r="S5324" i="7"/>
  <c r="R5324" i="7"/>
  <c r="Q5324" i="7"/>
  <c r="P5324" i="7"/>
  <c r="O5324" i="7"/>
  <c r="U5323" i="7"/>
  <c r="T5323" i="7"/>
  <c r="S5323" i="7"/>
  <c r="R5323" i="7"/>
  <c r="Q5323" i="7"/>
  <c r="P5323" i="7"/>
  <c r="O5323" i="7"/>
  <c r="U5322" i="7"/>
  <c r="T5322" i="7"/>
  <c r="S5322" i="7"/>
  <c r="R5322" i="7"/>
  <c r="Q5322" i="7"/>
  <c r="P5322" i="7"/>
  <c r="O5322" i="7"/>
  <c r="U5321" i="7"/>
  <c r="T5321" i="7"/>
  <c r="S5321" i="7"/>
  <c r="R5321" i="7"/>
  <c r="Q5321" i="7"/>
  <c r="P5321" i="7"/>
  <c r="O5321" i="7"/>
  <c r="U5320" i="7"/>
  <c r="T5320" i="7"/>
  <c r="S5320" i="7"/>
  <c r="R5320" i="7"/>
  <c r="Q5320" i="7"/>
  <c r="P5320" i="7"/>
  <c r="O5320" i="7"/>
  <c r="U5319" i="7"/>
  <c r="T5319" i="7"/>
  <c r="S5319" i="7"/>
  <c r="R5319" i="7"/>
  <c r="Q5319" i="7"/>
  <c r="P5319" i="7"/>
  <c r="O5319" i="7"/>
  <c r="U5318" i="7"/>
  <c r="T5318" i="7"/>
  <c r="S5318" i="7"/>
  <c r="R5318" i="7"/>
  <c r="Q5318" i="7"/>
  <c r="P5318" i="7"/>
  <c r="O5318" i="7"/>
  <c r="U5317" i="7"/>
  <c r="T5317" i="7"/>
  <c r="S5317" i="7"/>
  <c r="R5317" i="7"/>
  <c r="Q5317" i="7"/>
  <c r="P5317" i="7"/>
  <c r="O5317" i="7"/>
  <c r="U5316" i="7"/>
  <c r="T5316" i="7"/>
  <c r="S5316" i="7"/>
  <c r="R5316" i="7"/>
  <c r="Q5316" i="7"/>
  <c r="P5316" i="7"/>
  <c r="O5316" i="7"/>
  <c r="U5315" i="7"/>
  <c r="T5315" i="7"/>
  <c r="S5315" i="7"/>
  <c r="R5315" i="7"/>
  <c r="Q5315" i="7"/>
  <c r="P5315" i="7"/>
  <c r="O5315" i="7"/>
  <c r="U5314" i="7"/>
  <c r="T5314" i="7"/>
  <c r="S5314" i="7"/>
  <c r="R5314" i="7"/>
  <c r="Q5314" i="7"/>
  <c r="P5314" i="7"/>
  <c r="O5314" i="7"/>
  <c r="U5313" i="7"/>
  <c r="T5313" i="7"/>
  <c r="S5313" i="7"/>
  <c r="R5313" i="7"/>
  <c r="Q5313" i="7"/>
  <c r="P5313" i="7"/>
  <c r="O5313" i="7"/>
  <c r="U5312" i="7"/>
  <c r="T5312" i="7"/>
  <c r="S5312" i="7"/>
  <c r="R5312" i="7"/>
  <c r="Q5312" i="7"/>
  <c r="P5312" i="7"/>
  <c r="O5312" i="7"/>
  <c r="U5311" i="7"/>
  <c r="T5311" i="7"/>
  <c r="S5311" i="7"/>
  <c r="R5311" i="7"/>
  <c r="Q5311" i="7"/>
  <c r="P5311" i="7"/>
  <c r="O5311" i="7"/>
  <c r="U5310" i="7"/>
  <c r="T5310" i="7"/>
  <c r="S5310" i="7"/>
  <c r="R5310" i="7"/>
  <c r="Q5310" i="7"/>
  <c r="P5310" i="7"/>
  <c r="O5310" i="7"/>
  <c r="U5309" i="7"/>
  <c r="T5309" i="7"/>
  <c r="S5309" i="7"/>
  <c r="R5309" i="7"/>
  <c r="Q5309" i="7"/>
  <c r="P5309" i="7"/>
  <c r="O5309" i="7"/>
  <c r="U5308" i="7"/>
  <c r="T5308" i="7"/>
  <c r="S5308" i="7"/>
  <c r="R5308" i="7"/>
  <c r="Q5308" i="7"/>
  <c r="P5308" i="7"/>
  <c r="O5308" i="7"/>
  <c r="U5307" i="7"/>
  <c r="T5307" i="7"/>
  <c r="S5307" i="7"/>
  <c r="R5307" i="7"/>
  <c r="Q5307" i="7"/>
  <c r="P5307" i="7"/>
  <c r="O5307" i="7"/>
  <c r="U5306" i="7"/>
  <c r="T5306" i="7"/>
  <c r="S5306" i="7"/>
  <c r="R5306" i="7"/>
  <c r="Q5306" i="7"/>
  <c r="P5306" i="7"/>
  <c r="O5306" i="7"/>
  <c r="U5305" i="7"/>
  <c r="T5305" i="7"/>
  <c r="S5305" i="7"/>
  <c r="R5305" i="7"/>
  <c r="Q5305" i="7"/>
  <c r="P5305" i="7"/>
  <c r="O5305" i="7"/>
  <c r="U5304" i="7"/>
  <c r="T5304" i="7"/>
  <c r="S5304" i="7"/>
  <c r="R5304" i="7"/>
  <c r="Q5304" i="7"/>
  <c r="P5304" i="7"/>
  <c r="O5304" i="7"/>
  <c r="U5303" i="7"/>
  <c r="T5303" i="7"/>
  <c r="S5303" i="7"/>
  <c r="R5303" i="7"/>
  <c r="Q5303" i="7"/>
  <c r="P5303" i="7"/>
  <c r="O5303" i="7"/>
  <c r="U5302" i="7"/>
  <c r="T5302" i="7"/>
  <c r="S5302" i="7"/>
  <c r="R5302" i="7"/>
  <c r="Q5302" i="7"/>
  <c r="P5302" i="7"/>
  <c r="O5302" i="7"/>
  <c r="U5301" i="7"/>
  <c r="T5301" i="7"/>
  <c r="S5301" i="7"/>
  <c r="R5301" i="7"/>
  <c r="Q5301" i="7"/>
  <c r="P5301" i="7"/>
  <c r="O5301" i="7"/>
  <c r="U5300" i="7"/>
  <c r="T5300" i="7"/>
  <c r="S5300" i="7"/>
  <c r="R5300" i="7"/>
  <c r="Q5300" i="7"/>
  <c r="P5300" i="7"/>
  <c r="O5300" i="7"/>
  <c r="U5299" i="7"/>
  <c r="T5299" i="7"/>
  <c r="S5299" i="7"/>
  <c r="R5299" i="7"/>
  <c r="Q5299" i="7"/>
  <c r="P5299" i="7"/>
  <c r="O5299" i="7"/>
  <c r="U5298" i="7"/>
  <c r="T5298" i="7"/>
  <c r="S5298" i="7"/>
  <c r="R5298" i="7"/>
  <c r="Q5298" i="7"/>
  <c r="P5298" i="7"/>
  <c r="O5298" i="7"/>
  <c r="U5297" i="7"/>
  <c r="T5297" i="7"/>
  <c r="S5297" i="7"/>
  <c r="R5297" i="7"/>
  <c r="Q5297" i="7"/>
  <c r="P5297" i="7"/>
  <c r="O5297" i="7"/>
  <c r="U5296" i="7"/>
  <c r="T5296" i="7"/>
  <c r="S5296" i="7"/>
  <c r="R5296" i="7"/>
  <c r="Q5296" i="7"/>
  <c r="P5296" i="7"/>
  <c r="O5296" i="7"/>
  <c r="U5295" i="7"/>
  <c r="T5295" i="7"/>
  <c r="S5295" i="7"/>
  <c r="R5295" i="7"/>
  <c r="Q5295" i="7"/>
  <c r="P5295" i="7"/>
  <c r="O5295" i="7"/>
  <c r="U5294" i="7"/>
  <c r="T5294" i="7"/>
  <c r="S5294" i="7"/>
  <c r="R5294" i="7"/>
  <c r="Q5294" i="7"/>
  <c r="P5294" i="7"/>
  <c r="O5294" i="7"/>
  <c r="U5293" i="7"/>
  <c r="T5293" i="7"/>
  <c r="S5293" i="7"/>
  <c r="R5293" i="7"/>
  <c r="Q5293" i="7"/>
  <c r="P5293" i="7"/>
  <c r="O5293" i="7"/>
  <c r="U5292" i="7"/>
  <c r="T5292" i="7"/>
  <c r="S5292" i="7"/>
  <c r="R5292" i="7"/>
  <c r="Q5292" i="7"/>
  <c r="P5292" i="7"/>
  <c r="O5292" i="7"/>
  <c r="U5291" i="7"/>
  <c r="T5291" i="7"/>
  <c r="S5291" i="7"/>
  <c r="R5291" i="7"/>
  <c r="Q5291" i="7"/>
  <c r="P5291" i="7"/>
  <c r="O5291" i="7"/>
  <c r="U5290" i="7"/>
  <c r="T5290" i="7"/>
  <c r="S5290" i="7"/>
  <c r="R5290" i="7"/>
  <c r="Q5290" i="7"/>
  <c r="P5290" i="7"/>
  <c r="O5290" i="7"/>
  <c r="U5289" i="7"/>
  <c r="T5289" i="7"/>
  <c r="S5289" i="7"/>
  <c r="R5289" i="7"/>
  <c r="Q5289" i="7"/>
  <c r="P5289" i="7"/>
  <c r="O5289" i="7"/>
  <c r="U5288" i="7"/>
  <c r="T5288" i="7"/>
  <c r="S5288" i="7"/>
  <c r="R5288" i="7"/>
  <c r="Q5288" i="7"/>
  <c r="P5288" i="7"/>
  <c r="O5288" i="7"/>
  <c r="U5287" i="7"/>
  <c r="T5287" i="7"/>
  <c r="S5287" i="7"/>
  <c r="R5287" i="7"/>
  <c r="Q5287" i="7"/>
  <c r="P5287" i="7"/>
  <c r="O5287" i="7"/>
  <c r="U5286" i="7"/>
  <c r="T5286" i="7"/>
  <c r="S5286" i="7"/>
  <c r="R5286" i="7"/>
  <c r="Q5286" i="7"/>
  <c r="P5286" i="7"/>
  <c r="O5286" i="7"/>
  <c r="U5285" i="7"/>
  <c r="T5285" i="7"/>
  <c r="S5285" i="7"/>
  <c r="R5285" i="7"/>
  <c r="Q5285" i="7"/>
  <c r="P5285" i="7"/>
  <c r="O5285" i="7"/>
  <c r="U5284" i="7"/>
  <c r="T5284" i="7"/>
  <c r="S5284" i="7"/>
  <c r="R5284" i="7"/>
  <c r="Q5284" i="7"/>
  <c r="P5284" i="7"/>
  <c r="O5284" i="7"/>
  <c r="U5283" i="7"/>
  <c r="T5283" i="7"/>
  <c r="S5283" i="7"/>
  <c r="R5283" i="7"/>
  <c r="Q5283" i="7"/>
  <c r="P5283" i="7"/>
  <c r="O5283" i="7"/>
  <c r="U5282" i="7"/>
  <c r="T5282" i="7"/>
  <c r="S5282" i="7"/>
  <c r="R5282" i="7"/>
  <c r="Q5282" i="7"/>
  <c r="P5282" i="7"/>
  <c r="O5282" i="7"/>
  <c r="U5281" i="7"/>
  <c r="T5281" i="7"/>
  <c r="S5281" i="7"/>
  <c r="R5281" i="7"/>
  <c r="Q5281" i="7"/>
  <c r="P5281" i="7"/>
  <c r="O5281" i="7"/>
  <c r="U5280" i="7"/>
  <c r="T5280" i="7"/>
  <c r="S5280" i="7"/>
  <c r="R5280" i="7"/>
  <c r="Q5280" i="7"/>
  <c r="P5280" i="7"/>
  <c r="O5280" i="7"/>
  <c r="U5279" i="7"/>
  <c r="T5279" i="7"/>
  <c r="S5279" i="7"/>
  <c r="R5279" i="7"/>
  <c r="Q5279" i="7"/>
  <c r="P5279" i="7"/>
  <c r="O5279" i="7"/>
  <c r="U5278" i="7"/>
  <c r="T5278" i="7"/>
  <c r="S5278" i="7"/>
  <c r="R5278" i="7"/>
  <c r="Q5278" i="7"/>
  <c r="P5278" i="7"/>
  <c r="O5278" i="7"/>
  <c r="U5277" i="7"/>
  <c r="T5277" i="7"/>
  <c r="S5277" i="7"/>
  <c r="R5277" i="7"/>
  <c r="Q5277" i="7"/>
  <c r="P5277" i="7"/>
  <c r="O5277" i="7"/>
  <c r="U5276" i="7"/>
  <c r="T5276" i="7"/>
  <c r="S5276" i="7"/>
  <c r="R5276" i="7"/>
  <c r="Q5276" i="7"/>
  <c r="P5276" i="7"/>
  <c r="O5276" i="7"/>
  <c r="U5275" i="7"/>
  <c r="T5275" i="7"/>
  <c r="S5275" i="7"/>
  <c r="R5275" i="7"/>
  <c r="Q5275" i="7"/>
  <c r="P5275" i="7"/>
  <c r="O5275" i="7"/>
  <c r="U5274" i="7"/>
  <c r="T5274" i="7"/>
  <c r="S5274" i="7"/>
  <c r="R5274" i="7"/>
  <c r="Q5274" i="7"/>
  <c r="P5274" i="7"/>
  <c r="O5274" i="7"/>
  <c r="U5273" i="7"/>
  <c r="T5273" i="7"/>
  <c r="S5273" i="7"/>
  <c r="R5273" i="7"/>
  <c r="Q5273" i="7"/>
  <c r="P5273" i="7"/>
  <c r="O5273" i="7"/>
  <c r="U5272" i="7"/>
  <c r="T5272" i="7"/>
  <c r="S5272" i="7"/>
  <c r="R5272" i="7"/>
  <c r="Q5272" i="7"/>
  <c r="P5272" i="7"/>
  <c r="O5272" i="7"/>
  <c r="U5271" i="7"/>
  <c r="T5271" i="7"/>
  <c r="S5271" i="7"/>
  <c r="R5271" i="7"/>
  <c r="Q5271" i="7"/>
  <c r="P5271" i="7"/>
  <c r="O5271" i="7"/>
  <c r="U5270" i="7"/>
  <c r="T5270" i="7"/>
  <c r="S5270" i="7"/>
  <c r="R5270" i="7"/>
  <c r="Q5270" i="7"/>
  <c r="P5270" i="7"/>
  <c r="O5270" i="7"/>
  <c r="U5269" i="7"/>
  <c r="T5269" i="7"/>
  <c r="S5269" i="7"/>
  <c r="R5269" i="7"/>
  <c r="Q5269" i="7"/>
  <c r="P5269" i="7"/>
  <c r="O5269" i="7"/>
  <c r="U5268" i="7"/>
  <c r="T5268" i="7"/>
  <c r="S5268" i="7"/>
  <c r="R5268" i="7"/>
  <c r="Q5268" i="7"/>
  <c r="P5268" i="7"/>
  <c r="O5268" i="7"/>
  <c r="U5267" i="7"/>
  <c r="T5267" i="7"/>
  <c r="S5267" i="7"/>
  <c r="R5267" i="7"/>
  <c r="Q5267" i="7"/>
  <c r="P5267" i="7"/>
  <c r="O5267" i="7"/>
  <c r="U5266" i="7"/>
  <c r="T5266" i="7"/>
  <c r="S5266" i="7"/>
  <c r="R5266" i="7"/>
  <c r="Q5266" i="7"/>
  <c r="P5266" i="7"/>
  <c r="O5266" i="7"/>
  <c r="U5265" i="7"/>
  <c r="T5265" i="7"/>
  <c r="S5265" i="7"/>
  <c r="R5265" i="7"/>
  <c r="Q5265" i="7"/>
  <c r="P5265" i="7"/>
  <c r="O5265" i="7"/>
  <c r="U5264" i="7"/>
  <c r="T5264" i="7"/>
  <c r="S5264" i="7"/>
  <c r="R5264" i="7"/>
  <c r="Q5264" i="7"/>
  <c r="P5264" i="7"/>
  <c r="O5264" i="7"/>
  <c r="U5263" i="7"/>
  <c r="T5263" i="7"/>
  <c r="S5263" i="7"/>
  <c r="R5263" i="7"/>
  <c r="Q5263" i="7"/>
  <c r="P5263" i="7"/>
  <c r="O5263" i="7"/>
  <c r="U5262" i="7"/>
  <c r="T5262" i="7"/>
  <c r="S5262" i="7"/>
  <c r="R5262" i="7"/>
  <c r="Q5262" i="7"/>
  <c r="P5262" i="7"/>
  <c r="O5262" i="7"/>
  <c r="U5261" i="7"/>
  <c r="T5261" i="7"/>
  <c r="S5261" i="7"/>
  <c r="R5261" i="7"/>
  <c r="Q5261" i="7"/>
  <c r="P5261" i="7"/>
  <c r="O5261" i="7"/>
  <c r="U5260" i="7"/>
  <c r="T5260" i="7"/>
  <c r="S5260" i="7"/>
  <c r="R5260" i="7"/>
  <c r="Q5260" i="7"/>
  <c r="P5260" i="7"/>
  <c r="O5260" i="7"/>
  <c r="U5259" i="7"/>
  <c r="T5259" i="7"/>
  <c r="S5259" i="7"/>
  <c r="R5259" i="7"/>
  <c r="Q5259" i="7"/>
  <c r="P5259" i="7"/>
  <c r="O5259" i="7"/>
  <c r="U5258" i="7"/>
  <c r="T5258" i="7"/>
  <c r="S5258" i="7"/>
  <c r="R5258" i="7"/>
  <c r="Q5258" i="7"/>
  <c r="P5258" i="7"/>
  <c r="O5258" i="7"/>
  <c r="U5257" i="7"/>
  <c r="T5257" i="7"/>
  <c r="S5257" i="7"/>
  <c r="R5257" i="7"/>
  <c r="Q5257" i="7"/>
  <c r="P5257" i="7"/>
  <c r="O5257" i="7"/>
  <c r="U5256" i="7"/>
  <c r="T5256" i="7"/>
  <c r="S5256" i="7"/>
  <c r="R5256" i="7"/>
  <c r="Q5256" i="7"/>
  <c r="P5256" i="7"/>
  <c r="O5256" i="7"/>
  <c r="U5255" i="7"/>
  <c r="T5255" i="7"/>
  <c r="S5255" i="7"/>
  <c r="R5255" i="7"/>
  <c r="Q5255" i="7"/>
  <c r="P5255" i="7"/>
  <c r="O5255" i="7"/>
  <c r="U5254" i="7"/>
  <c r="T5254" i="7"/>
  <c r="S5254" i="7"/>
  <c r="R5254" i="7"/>
  <c r="Q5254" i="7"/>
  <c r="P5254" i="7"/>
  <c r="O5254" i="7"/>
  <c r="U5253" i="7"/>
  <c r="T5253" i="7"/>
  <c r="S5253" i="7"/>
  <c r="R5253" i="7"/>
  <c r="Q5253" i="7"/>
  <c r="P5253" i="7"/>
  <c r="O5253" i="7"/>
  <c r="U5252" i="7"/>
  <c r="T5252" i="7"/>
  <c r="S5252" i="7"/>
  <c r="R5252" i="7"/>
  <c r="Q5252" i="7"/>
  <c r="P5252" i="7"/>
  <c r="O5252" i="7"/>
  <c r="U5251" i="7"/>
  <c r="T5251" i="7"/>
  <c r="S5251" i="7"/>
  <c r="R5251" i="7"/>
  <c r="Q5251" i="7"/>
  <c r="P5251" i="7"/>
  <c r="O5251" i="7"/>
  <c r="U5250" i="7"/>
  <c r="T5250" i="7"/>
  <c r="S5250" i="7"/>
  <c r="R5250" i="7"/>
  <c r="Q5250" i="7"/>
  <c r="P5250" i="7"/>
  <c r="O5250" i="7"/>
  <c r="U5249" i="7"/>
  <c r="T5249" i="7"/>
  <c r="S5249" i="7"/>
  <c r="R5249" i="7"/>
  <c r="Q5249" i="7"/>
  <c r="P5249" i="7"/>
  <c r="O5249" i="7"/>
  <c r="U5248" i="7"/>
  <c r="T5248" i="7"/>
  <c r="S5248" i="7"/>
  <c r="R5248" i="7"/>
  <c r="Q5248" i="7"/>
  <c r="P5248" i="7"/>
  <c r="O5248" i="7"/>
  <c r="U5247" i="7"/>
  <c r="T5247" i="7"/>
  <c r="S5247" i="7"/>
  <c r="R5247" i="7"/>
  <c r="Q5247" i="7"/>
  <c r="P5247" i="7"/>
  <c r="O5247" i="7"/>
  <c r="U5246" i="7"/>
  <c r="T5246" i="7"/>
  <c r="S5246" i="7"/>
  <c r="R5246" i="7"/>
  <c r="Q5246" i="7"/>
  <c r="P5246" i="7"/>
  <c r="O5246" i="7"/>
  <c r="U5245" i="7"/>
  <c r="T5245" i="7"/>
  <c r="S5245" i="7"/>
  <c r="R5245" i="7"/>
  <c r="Q5245" i="7"/>
  <c r="P5245" i="7"/>
  <c r="O5245" i="7"/>
  <c r="U5244" i="7"/>
  <c r="T5244" i="7"/>
  <c r="S5244" i="7"/>
  <c r="R5244" i="7"/>
  <c r="Q5244" i="7"/>
  <c r="P5244" i="7"/>
  <c r="O5244" i="7"/>
  <c r="U5243" i="7"/>
  <c r="T5243" i="7"/>
  <c r="S5243" i="7"/>
  <c r="R5243" i="7"/>
  <c r="Q5243" i="7"/>
  <c r="P5243" i="7"/>
  <c r="O5243" i="7"/>
  <c r="U5242" i="7"/>
  <c r="T5242" i="7"/>
  <c r="S5242" i="7"/>
  <c r="R5242" i="7"/>
  <c r="Q5242" i="7"/>
  <c r="P5242" i="7"/>
  <c r="O5242" i="7"/>
  <c r="U5241" i="7"/>
  <c r="T5241" i="7"/>
  <c r="S5241" i="7"/>
  <c r="R5241" i="7"/>
  <c r="Q5241" i="7"/>
  <c r="P5241" i="7"/>
  <c r="O5241" i="7"/>
  <c r="U5240" i="7"/>
  <c r="T5240" i="7"/>
  <c r="S5240" i="7"/>
  <c r="R5240" i="7"/>
  <c r="Q5240" i="7"/>
  <c r="P5240" i="7"/>
  <c r="O5240" i="7"/>
  <c r="U5239" i="7"/>
  <c r="T5239" i="7"/>
  <c r="S5239" i="7"/>
  <c r="R5239" i="7"/>
  <c r="Q5239" i="7"/>
  <c r="P5239" i="7"/>
  <c r="O5239" i="7"/>
  <c r="U5238" i="7"/>
  <c r="T5238" i="7"/>
  <c r="S5238" i="7"/>
  <c r="R5238" i="7"/>
  <c r="Q5238" i="7"/>
  <c r="P5238" i="7"/>
  <c r="O5238" i="7"/>
  <c r="U5237" i="7"/>
  <c r="T5237" i="7"/>
  <c r="S5237" i="7"/>
  <c r="R5237" i="7"/>
  <c r="Q5237" i="7"/>
  <c r="P5237" i="7"/>
  <c r="O5237" i="7"/>
  <c r="U5236" i="7"/>
  <c r="T5236" i="7"/>
  <c r="S5236" i="7"/>
  <c r="R5236" i="7"/>
  <c r="Q5236" i="7"/>
  <c r="P5236" i="7"/>
  <c r="O5236" i="7"/>
  <c r="U5235" i="7"/>
  <c r="T5235" i="7"/>
  <c r="S5235" i="7"/>
  <c r="R5235" i="7"/>
  <c r="Q5235" i="7"/>
  <c r="P5235" i="7"/>
  <c r="O5235" i="7"/>
  <c r="U5234" i="7"/>
  <c r="T5234" i="7"/>
  <c r="S5234" i="7"/>
  <c r="R5234" i="7"/>
  <c r="Q5234" i="7"/>
  <c r="P5234" i="7"/>
  <c r="O5234" i="7"/>
  <c r="U5233" i="7"/>
  <c r="T5233" i="7"/>
  <c r="S5233" i="7"/>
  <c r="R5233" i="7"/>
  <c r="Q5233" i="7"/>
  <c r="P5233" i="7"/>
  <c r="O5233" i="7"/>
  <c r="U5232" i="7"/>
  <c r="T5232" i="7"/>
  <c r="S5232" i="7"/>
  <c r="R5232" i="7"/>
  <c r="Q5232" i="7"/>
  <c r="P5232" i="7"/>
  <c r="O5232" i="7"/>
  <c r="U5231" i="7"/>
  <c r="T5231" i="7"/>
  <c r="S5231" i="7"/>
  <c r="R5231" i="7"/>
  <c r="Q5231" i="7"/>
  <c r="P5231" i="7"/>
  <c r="O5231" i="7"/>
  <c r="U5230" i="7"/>
  <c r="T5230" i="7"/>
  <c r="S5230" i="7"/>
  <c r="R5230" i="7"/>
  <c r="Q5230" i="7"/>
  <c r="P5230" i="7"/>
  <c r="O5230" i="7"/>
  <c r="U5229" i="7"/>
  <c r="T5229" i="7"/>
  <c r="S5229" i="7"/>
  <c r="R5229" i="7"/>
  <c r="Q5229" i="7"/>
  <c r="P5229" i="7"/>
  <c r="O5229" i="7"/>
  <c r="U5228" i="7"/>
  <c r="T5228" i="7"/>
  <c r="S5228" i="7"/>
  <c r="R5228" i="7"/>
  <c r="Q5228" i="7"/>
  <c r="P5228" i="7"/>
  <c r="O5228" i="7"/>
  <c r="U5227" i="7"/>
  <c r="T5227" i="7"/>
  <c r="S5227" i="7"/>
  <c r="R5227" i="7"/>
  <c r="Q5227" i="7"/>
  <c r="P5227" i="7"/>
  <c r="O5227" i="7"/>
  <c r="U5226" i="7"/>
  <c r="T5226" i="7"/>
  <c r="S5226" i="7"/>
  <c r="R5226" i="7"/>
  <c r="Q5226" i="7"/>
  <c r="P5226" i="7"/>
  <c r="O5226" i="7"/>
  <c r="U5225" i="7"/>
  <c r="T5225" i="7"/>
  <c r="S5225" i="7"/>
  <c r="R5225" i="7"/>
  <c r="Q5225" i="7"/>
  <c r="P5225" i="7"/>
  <c r="O5225" i="7"/>
  <c r="U5224" i="7"/>
  <c r="T5224" i="7"/>
  <c r="S5224" i="7"/>
  <c r="R5224" i="7"/>
  <c r="Q5224" i="7"/>
  <c r="P5224" i="7"/>
  <c r="O5224" i="7"/>
  <c r="U5223" i="7"/>
  <c r="T5223" i="7"/>
  <c r="S5223" i="7"/>
  <c r="R5223" i="7"/>
  <c r="Q5223" i="7"/>
  <c r="P5223" i="7"/>
  <c r="O5223" i="7"/>
  <c r="U5222" i="7"/>
  <c r="T5222" i="7"/>
  <c r="S5222" i="7"/>
  <c r="R5222" i="7"/>
  <c r="Q5222" i="7"/>
  <c r="P5222" i="7"/>
  <c r="O5222" i="7"/>
  <c r="U5221" i="7"/>
  <c r="T5221" i="7"/>
  <c r="S5221" i="7"/>
  <c r="R5221" i="7"/>
  <c r="Q5221" i="7"/>
  <c r="P5221" i="7"/>
  <c r="O5221" i="7"/>
  <c r="U5220" i="7"/>
  <c r="T5220" i="7"/>
  <c r="S5220" i="7"/>
  <c r="R5220" i="7"/>
  <c r="Q5220" i="7"/>
  <c r="P5220" i="7"/>
  <c r="O5220" i="7"/>
  <c r="U5219" i="7"/>
  <c r="T5219" i="7"/>
  <c r="S5219" i="7"/>
  <c r="R5219" i="7"/>
  <c r="Q5219" i="7"/>
  <c r="P5219" i="7"/>
  <c r="O5219" i="7"/>
  <c r="U5218" i="7"/>
  <c r="T5218" i="7"/>
  <c r="S5218" i="7"/>
  <c r="R5218" i="7"/>
  <c r="Q5218" i="7"/>
  <c r="P5218" i="7"/>
  <c r="O5218" i="7"/>
  <c r="U5217" i="7"/>
  <c r="T5217" i="7"/>
  <c r="S5217" i="7"/>
  <c r="R5217" i="7"/>
  <c r="Q5217" i="7"/>
  <c r="P5217" i="7"/>
  <c r="O5217" i="7"/>
  <c r="U5216" i="7"/>
  <c r="T5216" i="7"/>
  <c r="S5216" i="7"/>
  <c r="R5216" i="7"/>
  <c r="Q5216" i="7"/>
  <c r="P5216" i="7"/>
  <c r="O5216" i="7"/>
  <c r="U5215" i="7"/>
  <c r="T5215" i="7"/>
  <c r="S5215" i="7"/>
  <c r="R5215" i="7"/>
  <c r="Q5215" i="7"/>
  <c r="P5215" i="7"/>
  <c r="O5215" i="7"/>
  <c r="U5214" i="7"/>
  <c r="T5214" i="7"/>
  <c r="S5214" i="7"/>
  <c r="R5214" i="7"/>
  <c r="Q5214" i="7"/>
  <c r="P5214" i="7"/>
  <c r="O5214" i="7"/>
  <c r="U5213" i="7"/>
  <c r="T5213" i="7"/>
  <c r="S5213" i="7"/>
  <c r="R5213" i="7"/>
  <c r="Q5213" i="7"/>
  <c r="P5213" i="7"/>
  <c r="O5213" i="7"/>
  <c r="U5212" i="7"/>
  <c r="T5212" i="7"/>
  <c r="S5212" i="7"/>
  <c r="R5212" i="7"/>
  <c r="Q5212" i="7"/>
  <c r="P5212" i="7"/>
  <c r="O5212" i="7"/>
  <c r="U5211" i="7"/>
  <c r="T5211" i="7"/>
  <c r="S5211" i="7"/>
  <c r="R5211" i="7"/>
  <c r="Q5211" i="7"/>
  <c r="P5211" i="7"/>
  <c r="O5211" i="7"/>
  <c r="U5210" i="7"/>
  <c r="T5210" i="7"/>
  <c r="S5210" i="7"/>
  <c r="R5210" i="7"/>
  <c r="Q5210" i="7"/>
  <c r="P5210" i="7"/>
  <c r="O5210" i="7"/>
  <c r="U5209" i="7"/>
  <c r="T5209" i="7"/>
  <c r="S5209" i="7"/>
  <c r="R5209" i="7"/>
  <c r="Q5209" i="7"/>
  <c r="P5209" i="7"/>
  <c r="O5209" i="7"/>
  <c r="U5208" i="7"/>
  <c r="T5208" i="7"/>
  <c r="S5208" i="7"/>
  <c r="R5208" i="7"/>
  <c r="Q5208" i="7"/>
  <c r="P5208" i="7"/>
  <c r="O5208" i="7"/>
  <c r="U5207" i="7"/>
  <c r="T5207" i="7"/>
  <c r="S5207" i="7"/>
  <c r="R5207" i="7"/>
  <c r="Q5207" i="7"/>
  <c r="P5207" i="7"/>
  <c r="O5207" i="7"/>
  <c r="U5206" i="7"/>
  <c r="T5206" i="7"/>
  <c r="S5206" i="7"/>
  <c r="R5206" i="7"/>
  <c r="Q5206" i="7"/>
  <c r="P5206" i="7"/>
  <c r="O5206" i="7"/>
  <c r="U5205" i="7"/>
  <c r="T5205" i="7"/>
  <c r="S5205" i="7"/>
  <c r="R5205" i="7"/>
  <c r="Q5205" i="7"/>
  <c r="P5205" i="7"/>
  <c r="O5205" i="7"/>
  <c r="U5204" i="7"/>
  <c r="T5204" i="7"/>
  <c r="S5204" i="7"/>
  <c r="R5204" i="7"/>
  <c r="Q5204" i="7"/>
  <c r="P5204" i="7"/>
  <c r="O5204" i="7"/>
  <c r="U5203" i="7"/>
  <c r="T5203" i="7"/>
  <c r="S5203" i="7"/>
  <c r="R5203" i="7"/>
  <c r="Q5203" i="7"/>
  <c r="P5203" i="7"/>
  <c r="O5203" i="7"/>
  <c r="U5202" i="7"/>
  <c r="T5202" i="7"/>
  <c r="S5202" i="7"/>
  <c r="R5202" i="7"/>
  <c r="Q5202" i="7"/>
  <c r="P5202" i="7"/>
  <c r="O5202" i="7"/>
  <c r="U5201" i="7"/>
  <c r="T5201" i="7"/>
  <c r="S5201" i="7"/>
  <c r="R5201" i="7"/>
  <c r="Q5201" i="7"/>
  <c r="P5201" i="7"/>
  <c r="O5201" i="7"/>
  <c r="U5200" i="7"/>
  <c r="T5200" i="7"/>
  <c r="S5200" i="7"/>
  <c r="R5200" i="7"/>
  <c r="Q5200" i="7"/>
  <c r="P5200" i="7"/>
  <c r="O5200" i="7"/>
  <c r="U5199" i="7"/>
  <c r="T5199" i="7"/>
  <c r="S5199" i="7"/>
  <c r="R5199" i="7"/>
  <c r="Q5199" i="7"/>
  <c r="P5199" i="7"/>
  <c r="O5199" i="7"/>
  <c r="U5198" i="7"/>
  <c r="T5198" i="7"/>
  <c r="S5198" i="7"/>
  <c r="R5198" i="7"/>
  <c r="Q5198" i="7"/>
  <c r="P5198" i="7"/>
  <c r="O5198" i="7"/>
  <c r="U5197" i="7"/>
  <c r="T5197" i="7"/>
  <c r="S5197" i="7"/>
  <c r="R5197" i="7"/>
  <c r="Q5197" i="7"/>
  <c r="P5197" i="7"/>
  <c r="O5197" i="7"/>
  <c r="U5196" i="7"/>
  <c r="T5196" i="7"/>
  <c r="S5196" i="7"/>
  <c r="R5196" i="7"/>
  <c r="Q5196" i="7"/>
  <c r="P5196" i="7"/>
  <c r="O5196" i="7"/>
  <c r="U5195" i="7"/>
  <c r="T5195" i="7"/>
  <c r="S5195" i="7"/>
  <c r="R5195" i="7"/>
  <c r="Q5195" i="7"/>
  <c r="P5195" i="7"/>
  <c r="O5195" i="7"/>
  <c r="U5194" i="7"/>
  <c r="T5194" i="7"/>
  <c r="S5194" i="7"/>
  <c r="R5194" i="7"/>
  <c r="Q5194" i="7"/>
  <c r="P5194" i="7"/>
  <c r="O5194" i="7"/>
  <c r="U5193" i="7"/>
  <c r="T5193" i="7"/>
  <c r="S5193" i="7"/>
  <c r="R5193" i="7"/>
  <c r="Q5193" i="7"/>
  <c r="P5193" i="7"/>
  <c r="O5193" i="7"/>
  <c r="U5192" i="7"/>
  <c r="T5192" i="7"/>
  <c r="S5192" i="7"/>
  <c r="R5192" i="7"/>
  <c r="Q5192" i="7"/>
  <c r="P5192" i="7"/>
  <c r="O5192" i="7"/>
  <c r="U5191" i="7"/>
  <c r="T5191" i="7"/>
  <c r="S5191" i="7"/>
  <c r="R5191" i="7"/>
  <c r="Q5191" i="7"/>
  <c r="P5191" i="7"/>
  <c r="O5191" i="7"/>
  <c r="U5190" i="7"/>
  <c r="T5190" i="7"/>
  <c r="S5190" i="7"/>
  <c r="R5190" i="7"/>
  <c r="Q5190" i="7"/>
  <c r="P5190" i="7"/>
  <c r="O5190" i="7"/>
  <c r="U5189" i="7"/>
  <c r="T5189" i="7"/>
  <c r="S5189" i="7"/>
  <c r="R5189" i="7"/>
  <c r="Q5189" i="7"/>
  <c r="P5189" i="7"/>
  <c r="O5189" i="7"/>
  <c r="U5188" i="7"/>
  <c r="T5188" i="7"/>
  <c r="S5188" i="7"/>
  <c r="R5188" i="7"/>
  <c r="Q5188" i="7"/>
  <c r="P5188" i="7"/>
  <c r="O5188" i="7"/>
  <c r="U5187" i="7"/>
  <c r="T5187" i="7"/>
  <c r="S5187" i="7"/>
  <c r="R5187" i="7"/>
  <c r="Q5187" i="7"/>
  <c r="P5187" i="7"/>
  <c r="O5187" i="7"/>
  <c r="U5186" i="7"/>
  <c r="T5186" i="7"/>
  <c r="S5186" i="7"/>
  <c r="R5186" i="7"/>
  <c r="Q5186" i="7"/>
  <c r="P5186" i="7"/>
  <c r="O5186" i="7"/>
  <c r="U5185" i="7"/>
  <c r="T5185" i="7"/>
  <c r="S5185" i="7"/>
  <c r="R5185" i="7"/>
  <c r="Q5185" i="7"/>
  <c r="P5185" i="7"/>
  <c r="O5185" i="7"/>
  <c r="U5184" i="7"/>
  <c r="T5184" i="7"/>
  <c r="S5184" i="7"/>
  <c r="R5184" i="7"/>
  <c r="Q5184" i="7"/>
  <c r="P5184" i="7"/>
  <c r="O5184" i="7"/>
  <c r="U5183" i="7"/>
  <c r="T5183" i="7"/>
  <c r="S5183" i="7"/>
  <c r="R5183" i="7"/>
  <c r="Q5183" i="7"/>
  <c r="P5183" i="7"/>
  <c r="O5183" i="7"/>
  <c r="U5182" i="7"/>
  <c r="T5182" i="7"/>
  <c r="S5182" i="7"/>
  <c r="R5182" i="7"/>
  <c r="Q5182" i="7"/>
  <c r="P5182" i="7"/>
  <c r="O5182" i="7"/>
  <c r="U5181" i="7"/>
  <c r="T5181" i="7"/>
  <c r="S5181" i="7"/>
  <c r="R5181" i="7"/>
  <c r="Q5181" i="7"/>
  <c r="P5181" i="7"/>
  <c r="O5181" i="7"/>
  <c r="U5180" i="7"/>
  <c r="T5180" i="7"/>
  <c r="S5180" i="7"/>
  <c r="R5180" i="7"/>
  <c r="Q5180" i="7"/>
  <c r="P5180" i="7"/>
  <c r="O5180" i="7"/>
  <c r="U5179" i="7"/>
  <c r="T5179" i="7"/>
  <c r="S5179" i="7"/>
  <c r="R5179" i="7"/>
  <c r="Q5179" i="7"/>
  <c r="P5179" i="7"/>
  <c r="O5179" i="7"/>
  <c r="U5178" i="7"/>
  <c r="T5178" i="7"/>
  <c r="S5178" i="7"/>
  <c r="R5178" i="7"/>
  <c r="Q5178" i="7"/>
  <c r="P5178" i="7"/>
  <c r="O5178" i="7"/>
  <c r="U5177" i="7"/>
  <c r="T5177" i="7"/>
  <c r="S5177" i="7"/>
  <c r="R5177" i="7"/>
  <c r="Q5177" i="7"/>
  <c r="P5177" i="7"/>
  <c r="O5177" i="7"/>
  <c r="U5176" i="7"/>
  <c r="T5176" i="7"/>
  <c r="S5176" i="7"/>
  <c r="R5176" i="7"/>
  <c r="Q5176" i="7"/>
  <c r="P5176" i="7"/>
  <c r="O5176" i="7"/>
  <c r="U5175" i="7"/>
  <c r="T5175" i="7"/>
  <c r="S5175" i="7"/>
  <c r="R5175" i="7"/>
  <c r="Q5175" i="7"/>
  <c r="P5175" i="7"/>
  <c r="O5175" i="7"/>
  <c r="U5174" i="7"/>
  <c r="T5174" i="7"/>
  <c r="S5174" i="7"/>
  <c r="R5174" i="7"/>
  <c r="Q5174" i="7"/>
  <c r="P5174" i="7"/>
  <c r="O5174" i="7"/>
  <c r="U5173" i="7"/>
  <c r="T5173" i="7"/>
  <c r="S5173" i="7"/>
  <c r="R5173" i="7"/>
  <c r="Q5173" i="7"/>
  <c r="P5173" i="7"/>
  <c r="O5173" i="7"/>
  <c r="U5172" i="7"/>
  <c r="T5172" i="7"/>
  <c r="S5172" i="7"/>
  <c r="R5172" i="7"/>
  <c r="Q5172" i="7"/>
  <c r="P5172" i="7"/>
  <c r="O5172" i="7"/>
  <c r="U5171" i="7"/>
  <c r="T5171" i="7"/>
  <c r="S5171" i="7"/>
  <c r="R5171" i="7"/>
  <c r="Q5171" i="7"/>
  <c r="P5171" i="7"/>
  <c r="O5171" i="7"/>
  <c r="U5170" i="7"/>
  <c r="T5170" i="7"/>
  <c r="S5170" i="7"/>
  <c r="R5170" i="7"/>
  <c r="Q5170" i="7"/>
  <c r="P5170" i="7"/>
  <c r="O5170" i="7"/>
  <c r="U5169" i="7"/>
  <c r="T5169" i="7"/>
  <c r="S5169" i="7"/>
  <c r="R5169" i="7"/>
  <c r="Q5169" i="7"/>
  <c r="P5169" i="7"/>
  <c r="O5169" i="7"/>
  <c r="U5168" i="7"/>
  <c r="T5168" i="7"/>
  <c r="S5168" i="7"/>
  <c r="R5168" i="7"/>
  <c r="Q5168" i="7"/>
  <c r="P5168" i="7"/>
  <c r="O5168" i="7"/>
  <c r="U5167" i="7"/>
  <c r="T5167" i="7"/>
  <c r="S5167" i="7"/>
  <c r="R5167" i="7"/>
  <c r="Q5167" i="7"/>
  <c r="P5167" i="7"/>
  <c r="O5167" i="7"/>
  <c r="U5166" i="7"/>
  <c r="T5166" i="7"/>
  <c r="S5166" i="7"/>
  <c r="R5166" i="7"/>
  <c r="Q5166" i="7"/>
  <c r="P5166" i="7"/>
  <c r="O5166" i="7"/>
  <c r="U5165" i="7"/>
  <c r="T5165" i="7"/>
  <c r="S5165" i="7"/>
  <c r="R5165" i="7"/>
  <c r="Q5165" i="7"/>
  <c r="P5165" i="7"/>
  <c r="O5165" i="7"/>
  <c r="U5164" i="7"/>
  <c r="T5164" i="7"/>
  <c r="S5164" i="7"/>
  <c r="R5164" i="7"/>
  <c r="Q5164" i="7"/>
  <c r="P5164" i="7"/>
  <c r="O5164" i="7"/>
  <c r="U5163" i="7"/>
  <c r="T5163" i="7"/>
  <c r="S5163" i="7"/>
  <c r="R5163" i="7"/>
  <c r="Q5163" i="7"/>
  <c r="P5163" i="7"/>
  <c r="O5163" i="7"/>
  <c r="U5162" i="7"/>
  <c r="T5162" i="7"/>
  <c r="S5162" i="7"/>
  <c r="R5162" i="7"/>
  <c r="Q5162" i="7"/>
  <c r="P5162" i="7"/>
  <c r="O5162" i="7"/>
  <c r="U5161" i="7"/>
  <c r="T5161" i="7"/>
  <c r="S5161" i="7"/>
  <c r="R5161" i="7"/>
  <c r="Q5161" i="7"/>
  <c r="P5161" i="7"/>
  <c r="O5161" i="7"/>
  <c r="U5160" i="7"/>
  <c r="T5160" i="7"/>
  <c r="S5160" i="7"/>
  <c r="R5160" i="7"/>
  <c r="Q5160" i="7"/>
  <c r="P5160" i="7"/>
  <c r="O5160" i="7"/>
  <c r="U5159" i="7"/>
  <c r="T5159" i="7"/>
  <c r="S5159" i="7"/>
  <c r="R5159" i="7"/>
  <c r="Q5159" i="7"/>
  <c r="P5159" i="7"/>
  <c r="O5159" i="7"/>
  <c r="U5158" i="7"/>
  <c r="T5158" i="7"/>
  <c r="S5158" i="7"/>
  <c r="R5158" i="7"/>
  <c r="Q5158" i="7"/>
  <c r="P5158" i="7"/>
  <c r="O5158" i="7"/>
  <c r="U5157" i="7"/>
  <c r="T5157" i="7"/>
  <c r="S5157" i="7"/>
  <c r="R5157" i="7"/>
  <c r="Q5157" i="7"/>
  <c r="P5157" i="7"/>
  <c r="O5157" i="7"/>
  <c r="U5156" i="7"/>
  <c r="T5156" i="7"/>
  <c r="S5156" i="7"/>
  <c r="R5156" i="7"/>
  <c r="Q5156" i="7"/>
  <c r="P5156" i="7"/>
  <c r="O5156" i="7"/>
  <c r="U5155" i="7"/>
  <c r="T5155" i="7"/>
  <c r="S5155" i="7"/>
  <c r="R5155" i="7"/>
  <c r="Q5155" i="7"/>
  <c r="P5155" i="7"/>
  <c r="O5155" i="7"/>
  <c r="U5154" i="7"/>
  <c r="T5154" i="7"/>
  <c r="S5154" i="7"/>
  <c r="R5154" i="7"/>
  <c r="Q5154" i="7"/>
  <c r="P5154" i="7"/>
  <c r="O5154" i="7"/>
  <c r="U5153" i="7"/>
  <c r="T5153" i="7"/>
  <c r="S5153" i="7"/>
  <c r="R5153" i="7"/>
  <c r="Q5153" i="7"/>
  <c r="P5153" i="7"/>
  <c r="O5153" i="7"/>
  <c r="U5152" i="7"/>
  <c r="T5152" i="7"/>
  <c r="S5152" i="7"/>
  <c r="R5152" i="7"/>
  <c r="Q5152" i="7"/>
  <c r="P5152" i="7"/>
  <c r="O5152" i="7"/>
  <c r="U5151" i="7"/>
  <c r="T5151" i="7"/>
  <c r="S5151" i="7"/>
  <c r="R5151" i="7"/>
  <c r="Q5151" i="7"/>
  <c r="P5151" i="7"/>
  <c r="O5151" i="7"/>
  <c r="U5150" i="7"/>
  <c r="T5150" i="7"/>
  <c r="S5150" i="7"/>
  <c r="R5150" i="7"/>
  <c r="Q5150" i="7"/>
  <c r="P5150" i="7"/>
  <c r="O5150" i="7"/>
  <c r="U5149" i="7"/>
  <c r="T5149" i="7"/>
  <c r="S5149" i="7"/>
  <c r="R5149" i="7"/>
  <c r="Q5149" i="7"/>
  <c r="P5149" i="7"/>
  <c r="O5149" i="7"/>
  <c r="U5148" i="7"/>
  <c r="T5148" i="7"/>
  <c r="S5148" i="7"/>
  <c r="R5148" i="7"/>
  <c r="Q5148" i="7"/>
  <c r="P5148" i="7"/>
  <c r="O5148" i="7"/>
  <c r="U5147" i="7"/>
  <c r="T5147" i="7"/>
  <c r="S5147" i="7"/>
  <c r="R5147" i="7"/>
  <c r="Q5147" i="7"/>
  <c r="P5147" i="7"/>
  <c r="O5147" i="7"/>
  <c r="U5146" i="7"/>
  <c r="T5146" i="7"/>
  <c r="S5146" i="7"/>
  <c r="R5146" i="7"/>
  <c r="Q5146" i="7"/>
  <c r="P5146" i="7"/>
  <c r="O5146" i="7"/>
  <c r="U5145" i="7"/>
  <c r="T5145" i="7"/>
  <c r="S5145" i="7"/>
  <c r="R5145" i="7"/>
  <c r="Q5145" i="7"/>
  <c r="P5145" i="7"/>
  <c r="O5145" i="7"/>
  <c r="U5144" i="7"/>
  <c r="T5144" i="7"/>
  <c r="S5144" i="7"/>
  <c r="R5144" i="7"/>
  <c r="Q5144" i="7"/>
  <c r="P5144" i="7"/>
  <c r="O5144" i="7"/>
  <c r="U5143" i="7"/>
  <c r="T5143" i="7"/>
  <c r="S5143" i="7"/>
  <c r="R5143" i="7"/>
  <c r="Q5143" i="7"/>
  <c r="P5143" i="7"/>
  <c r="O5143" i="7"/>
  <c r="U5142" i="7"/>
  <c r="T5142" i="7"/>
  <c r="S5142" i="7"/>
  <c r="R5142" i="7"/>
  <c r="Q5142" i="7"/>
  <c r="P5142" i="7"/>
  <c r="O5142" i="7"/>
  <c r="U5141" i="7"/>
  <c r="T5141" i="7"/>
  <c r="S5141" i="7"/>
  <c r="R5141" i="7"/>
  <c r="Q5141" i="7"/>
  <c r="P5141" i="7"/>
  <c r="O5141" i="7"/>
  <c r="U5140" i="7"/>
  <c r="T5140" i="7"/>
  <c r="S5140" i="7"/>
  <c r="R5140" i="7"/>
  <c r="Q5140" i="7"/>
  <c r="P5140" i="7"/>
  <c r="O5140" i="7"/>
  <c r="U5139" i="7"/>
  <c r="T5139" i="7"/>
  <c r="S5139" i="7"/>
  <c r="R5139" i="7"/>
  <c r="Q5139" i="7"/>
  <c r="P5139" i="7"/>
  <c r="O5139" i="7"/>
  <c r="U5138" i="7"/>
  <c r="T5138" i="7"/>
  <c r="S5138" i="7"/>
  <c r="R5138" i="7"/>
  <c r="Q5138" i="7"/>
  <c r="P5138" i="7"/>
  <c r="O5138" i="7"/>
  <c r="U5137" i="7"/>
  <c r="T5137" i="7"/>
  <c r="S5137" i="7"/>
  <c r="R5137" i="7"/>
  <c r="Q5137" i="7"/>
  <c r="P5137" i="7"/>
  <c r="O5137" i="7"/>
  <c r="U5136" i="7"/>
  <c r="T5136" i="7"/>
  <c r="S5136" i="7"/>
  <c r="R5136" i="7"/>
  <c r="Q5136" i="7"/>
  <c r="P5136" i="7"/>
  <c r="O5136" i="7"/>
  <c r="U5135" i="7"/>
  <c r="T5135" i="7"/>
  <c r="S5135" i="7"/>
  <c r="R5135" i="7"/>
  <c r="Q5135" i="7"/>
  <c r="P5135" i="7"/>
  <c r="O5135" i="7"/>
  <c r="U5134" i="7"/>
  <c r="T5134" i="7"/>
  <c r="S5134" i="7"/>
  <c r="R5134" i="7"/>
  <c r="Q5134" i="7"/>
  <c r="P5134" i="7"/>
  <c r="O5134" i="7"/>
  <c r="U5133" i="7"/>
  <c r="T5133" i="7"/>
  <c r="S5133" i="7"/>
  <c r="R5133" i="7"/>
  <c r="Q5133" i="7"/>
  <c r="P5133" i="7"/>
  <c r="O5133" i="7"/>
  <c r="U5132" i="7"/>
  <c r="T5132" i="7"/>
  <c r="S5132" i="7"/>
  <c r="R5132" i="7"/>
  <c r="Q5132" i="7"/>
  <c r="P5132" i="7"/>
  <c r="O5132" i="7"/>
  <c r="U5131" i="7"/>
  <c r="T5131" i="7"/>
  <c r="S5131" i="7"/>
  <c r="R5131" i="7"/>
  <c r="Q5131" i="7"/>
  <c r="P5131" i="7"/>
  <c r="O5131" i="7"/>
  <c r="U5130" i="7"/>
  <c r="T5130" i="7"/>
  <c r="S5130" i="7"/>
  <c r="R5130" i="7"/>
  <c r="Q5130" i="7"/>
  <c r="P5130" i="7"/>
  <c r="O5130" i="7"/>
  <c r="U5129" i="7"/>
  <c r="T5129" i="7"/>
  <c r="S5129" i="7"/>
  <c r="R5129" i="7"/>
  <c r="Q5129" i="7"/>
  <c r="P5129" i="7"/>
  <c r="O5129" i="7"/>
  <c r="U5128" i="7"/>
  <c r="T5128" i="7"/>
  <c r="S5128" i="7"/>
  <c r="R5128" i="7"/>
  <c r="Q5128" i="7"/>
  <c r="P5128" i="7"/>
  <c r="O5128" i="7"/>
  <c r="U5127" i="7"/>
  <c r="T5127" i="7"/>
  <c r="S5127" i="7"/>
  <c r="R5127" i="7"/>
  <c r="Q5127" i="7"/>
  <c r="P5127" i="7"/>
  <c r="O5127" i="7"/>
  <c r="U5126" i="7"/>
  <c r="T5126" i="7"/>
  <c r="S5126" i="7"/>
  <c r="R5126" i="7"/>
  <c r="Q5126" i="7"/>
  <c r="P5126" i="7"/>
  <c r="O5126" i="7"/>
  <c r="U5125" i="7"/>
  <c r="T5125" i="7"/>
  <c r="S5125" i="7"/>
  <c r="R5125" i="7"/>
  <c r="Q5125" i="7"/>
  <c r="P5125" i="7"/>
  <c r="O5125" i="7"/>
  <c r="U5124" i="7"/>
  <c r="T5124" i="7"/>
  <c r="S5124" i="7"/>
  <c r="R5124" i="7"/>
  <c r="Q5124" i="7"/>
  <c r="P5124" i="7"/>
  <c r="O5124" i="7"/>
  <c r="U5123" i="7"/>
  <c r="T5123" i="7"/>
  <c r="S5123" i="7"/>
  <c r="R5123" i="7"/>
  <c r="Q5123" i="7"/>
  <c r="P5123" i="7"/>
  <c r="O5123" i="7"/>
  <c r="U5122" i="7"/>
  <c r="T5122" i="7"/>
  <c r="S5122" i="7"/>
  <c r="R5122" i="7"/>
  <c r="Q5122" i="7"/>
  <c r="P5122" i="7"/>
  <c r="O5122" i="7"/>
  <c r="U5121" i="7"/>
  <c r="T5121" i="7"/>
  <c r="S5121" i="7"/>
  <c r="R5121" i="7"/>
  <c r="Q5121" i="7"/>
  <c r="P5121" i="7"/>
  <c r="O5121" i="7"/>
  <c r="U5120" i="7"/>
  <c r="T5120" i="7"/>
  <c r="S5120" i="7"/>
  <c r="R5120" i="7"/>
  <c r="Q5120" i="7"/>
  <c r="P5120" i="7"/>
  <c r="O5120" i="7"/>
  <c r="U5119" i="7"/>
  <c r="T5119" i="7"/>
  <c r="S5119" i="7"/>
  <c r="R5119" i="7"/>
  <c r="Q5119" i="7"/>
  <c r="P5119" i="7"/>
  <c r="O5119" i="7"/>
  <c r="U5118" i="7"/>
  <c r="T5118" i="7"/>
  <c r="S5118" i="7"/>
  <c r="R5118" i="7"/>
  <c r="Q5118" i="7"/>
  <c r="P5118" i="7"/>
  <c r="O5118" i="7"/>
  <c r="U5117" i="7"/>
  <c r="T5117" i="7"/>
  <c r="S5117" i="7"/>
  <c r="R5117" i="7"/>
  <c r="Q5117" i="7"/>
  <c r="P5117" i="7"/>
  <c r="O5117" i="7"/>
  <c r="U5116" i="7"/>
  <c r="T5116" i="7"/>
  <c r="S5116" i="7"/>
  <c r="R5116" i="7"/>
  <c r="Q5116" i="7"/>
  <c r="P5116" i="7"/>
  <c r="O5116" i="7"/>
  <c r="U5115" i="7"/>
  <c r="T5115" i="7"/>
  <c r="S5115" i="7"/>
  <c r="R5115" i="7"/>
  <c r="Q5115" i="7"/>
  <c r="P5115" i="7"/>
  <c r="O5115" i="7"/>
  <c r="U5114" i="7"/>
  <c r="T5114" i="7"/>
  <c r="S5114" i="7"/>
  <c r="R5114" i="7"/>
  <c r="Q5114" i="7"/>
  <c r="P5114" i="7"/>
  <c r="O5114" i="7"/>
  <c r="U5113" i="7"/>
  <c r="T5113" i="7"/>
  <c r="S5113" i="7"/>
  <c r="R5113" i="7"/>
  <c r="Q5113" i="7"/>
  <c r="P5113" i="7"/>
  <c r="O5113" i="7"/>
  <c r="U5112" i="7"/>
  <c r="T5112" i="7"/>
  <c r="S5112" i="7"/>
  <c r="R5112" i="7"/>
  <c r="Q5112" i="7"/>
  <c r="P5112" i="7"/>
  <c r="O5112" i="7"/>
  <c r="U5111" i="7"/>
  <c r="T5111" i="7"/>
  <c r="S5111" i="7"/>
  <c r="R5111" i="7"/>
  <c r="Q5111" i="7"/>
  <c r="P5111" i="7"/>
  <c r="O5111" i="7"/>
  <c r="U5110" i="7"/>
  <c r="T5110" i="7"/>
  <c r="S5110" i="7"/>
  <c r="R5110" i="7"/>
  <c r="Q5110" i="7"/>
  <c r="P5110" i="7"/>
  <c r="O5110" i="7"/>
  <c r="U5109" i="7"/>
  <c r="T5109" i="7"/>
  <c r="S5109" i="7"/>
  <c r="R5109" i="7"/>
  <c r="Q5109" i="7"/>
  <c r="P5109" i="7"/>
  <c r="O5109" i="7"/>
  <c r="U5108" i="7"/>
  <c r="T5108" i="7"/>
  <c r="S5108" i="7"/>
  <c r="R5108" i="7"/>
  <c r="Q5108" i="7"/>
  <c r="P5108" i="7"/>
  <c r="O5108" i="7"/>
  <c r="U5107" i="7"/>
  <c r="T5107" i="7"/>
  <c r="S5107" i="7"/>
  <c r="R5107" i="7"/>
  <c r="Q5107" i="7"/>
  <c r="P5107" i="7"/>
  <c r="O5107" i="7"/>
  <c r="U5106" i="7"/>
  <c r="T5106" i="7"/>
  <c r="S5106" i="7"/>
  <c r="R5106" i="7"/>
  <c r="Q5106" i="7"/>
  <c r="P5106" i="7"/>
  <c r="O5106" i="7"/>
  <c r="U5105" i="7"/>
  <c r="T5105" i="7"/>
  <c r="S5105" i="7"/>
  <c r="R5105" i="7"/>
  <c r="Q5105" i="7"/>
  <c r="P5105" i="7"/>
  <c r="O5105" i="7"/>
  <c r="U5104" i="7"/>
  <c r="T5104" i="7"/>
  <c r="S5104" i="7"/>
  <c r="R5104" i="7"/>
  <c r="Q5104" i="7"/>
  <c r="P5104" i="7"/>
  <c r="O5104" i="7"/>
  <c r="U5103" i="7"/>
  <c r="T5103" i="7"/>
  <c r="S5103" i="7"/>
  <c r="R5103" i="7"/>
  <c r="Q5103" i="7"/>
  <c r="P5103" i="7"/>
  <c r="O5103" i="7"/>
  <c r="U5102" i="7"/>
  <c r="T5102" i="7"/>
  <c r="S5102" i="7"/>
  <c r="R5102" i="7"/>
  <c r="Q5102" i="7"/>
  <c r="P5102" i="7"/>
  <c r="O5102" i="7"/>
  <c r="U5101" i="7"/>
  <c r="T5101" i="7"/>
  <c r="S5101" i="7"/>
  <c r="R5101" i="7"/>
  <c r="Q5101" i="7"/>
  <c r="P5101" i="7"/>
  <c r="O5101" i="7"/>
  <c r="U5100" i="7"/>
  <c r="T5100" i="7"/>
  <c r="S5100" i="7"/>
  <c r="R5100" i="7"/>
  <c r="Q5100" i="7"/>
  <c r="P5100" i="7"/>
  <c r="O5100" i="7"/>
  <c r="U5099" i="7"/>
  <c r="T5099" i="7"/>
  <c r="S5099" i="7"/>
  <c r="R5099" i="7"/>
  <c r="Q5099" i="7"/>
  <c r="P5099" i="7"/>
  <c r="O5099" i="7"/>
  <c r="U5098" i="7"/>
  <c r="T5098" i="7"/>
  <c r="S5098" i="7"/>
  <c r="R5098" i="7"/>
  <c r="Q5098" i="7"/>
  <c r="P5098" i="7"/>
  <c r="O5098" i="7"/>
  <c r="U5097" i="7"/>
  <c r="T5097" i="7"/>
  <c r="S5097" i="7"/>
  <c r="R5097" i="7"/>
  <c r="Q5097" i="7"/>
  <c r="P5097" i="7"/>
  <c r="O5097" i="7"/>
  <c r="U5096" i="7"/>
  <c r="T5096" i="7"/>
  <c r="S5096" i="7"/>
  <c r="R5096" i="7"/>
  <c r="Q5096" i="7"/>
  <c r="P5096" i="7"/>
  <c r="O5096" i="7"/>
  <c r="U5095" i="7"/>
  <c r="T5095" i="7"/>
  <c r="S5095" i="7"/>
  <c r="R5095" i="7"/>
  <c r="Q5095" i="7"/>
  <c r="P5095" i="7"/>
  <c r="O5095" i="7"/>
  <c r="U5094" i="7"/>
  <c r="T5094" i="7"/>
  <c r="S5094" i="7"/>
  <c r="R5094" i="7"/>
  <c r="Q5094" i="7"/>
  <c r="P5094" i="7"/>
  <c r="O5094" i="7"/>
  <c r="U5093" i="7"/>
  <c r="T5093" i="7"/>
  <c r="S5093" i="7"/>
  <c r="R5093" i="7"/>
  <c r="Q5093" i="7"/>
  <c r="P5093" i="7"/>
  <c r="O5093" i="7"/>
  <c r="U5092" i="7"/>
  <c r="T5092" i="7"/>
  <c r="S5092" i="7"/>
  <c r="R5092" i="7"/>
  <c r="Q5092" i="7"/>
  <c r="P5092" i="7"/>
  <c r="O5092" i="7"/>
  <c r="U5091" i="7"/>
  <c r="T5091" i="7"/>
  <c r="S5091" i="7"/>
  <c r="R5091" i="7"/>
  <c r="Q5091" i="7"/>
  <c r="P5091" i="7"/>
  <c r="O5091" i="7"/>
  <c r="U5090" i="7"/>
  <c r="T5090" i="7"/>
  <c r="S5090" i="7"/>
  <c r="R5090" i="7"/>
  <c r="Q5090" i="7"/>
  <c r="P5090" i="7"/>
  <c r="O5090" i="7"/>
  <c r="U5089" i="7"/>
  <c r="T5089" i="7"/>
  <c r="S5089" i="7"/>
  <c r="R5089" i="7"/>
  <c r="Q5089" i="7"/>
  <c r="P5089" i="7"/>
  <c r="O5089" i="7"/>
  <c r="U5088" i="7"/>
  <c r="T5088" i="7"/>
  <c r="S5088" i="7"/>
  <c r="R5088" i="7"/>
  <c r="Q5088" i="7"/>
  <c r="P5088" i="7"/>
  <c r="O5088" i="7"/>
  <c r="U5087" i="7"/>
  <c r="T5087" i="7"/>
  <c r="S5087" i="7"/>
  <c r="R5087" i="7"/>
  <c r="Q5087" i="7"/>
  <c r="P5087" i="7"/>
  <c r="O5087" i="7"/>
  <c r="U5086" i="7"/>
  <c r="T5086" i="7"/>
  <c r="S5086" i="7"/>
  <c r="R5086" i="7"/>
  <c r="Q5086" i="7"/>
  <c r="P5086" i="7"/>
  <c r="O5086" i="7"/>
  <c r="U5085" i="7"/>
  <c r="T5085" i="7"/>
  <c r="S5085" i="7"/>
  <c r="R5085" i="7"/>
  <c r="Q5085" i="7"/>
  <c r="P5085" i="7"/>
  <c r="O5085" i="7"/>
  <c r="U5084" i="7"/>
  <c r="T5084" i="7"/>
  <c r="S5084" i="7"/>
  <c r="R5084" i="7"/>
  <c r="Q5084" i="7"/>
  <c r="P5084" i="7"/>
  <c r="O5084" i="7"/>
  <c r="U5083" i="7"/>
  <c r="T5083" i="7"/>
  <c r="S5083" i="7"/>
  <c r="R5083" i="7"/>
  <c r="Q5083" i="7"/>
  <c r="P5083" i="7"/>
  <c r="O5083" i="7"/>
  <c r="U5082" i="7"/>
  <c r="T5082" i="7"/>
  <c r="S5082" i="7"/>
  <c r="R5082" i="7"/>
  <c r="Q5082" i="7"/>
  <c r="P5082" i="7"/>
  <c r="O5082" i="7"/>
  <c r="U5081" i="7"/>
  <c r="T5081" i="7"/>
  <c r="S5081" i="7"/>
  <c r="R5081" i="7"/>
  <c r="Q5081" i="7"/>
  <c r="P5081" i="7"/>
  <c r="O5081" i="7"/>
  <c r="U5080" i="7"/>
  <c r="T5080" i="7"/>
  <c r="S5080" i="7"/>
  <c r="R5080" i="7"/>
  <c r="Q5080" i="7"/>
  <c r="P5080" i="7"/>
  <c r="O5080" i="7"/>
  <c r="U5079" i="7"/>
  <c r="T5079" i="7"/>
  <c r="S5079" i="7"/>
  <c r="R5079" i="7"/>
  <c r="Q5079" i="7"/>
  <c r="P5079" i="7"/>
  <c r="O5079" i="7"/>
  <c r="U5078" i="7"/>
  <c r="T5078" i="7"/>
  <c r="S5078" i="7"/>
  <c r="R5078" i="7"/>
  <c r="Q5078" i="7"/>
  <c r="P5078" i="7"/>
  <c r="O5078" i="7"/>
  <c r="U5077" i="7"/>
  <c r="T5077" i="7"/>
  <c r="S5077" i="7"/>
  <c r="R5077" i="7"/>
  <c r="Q5077" i="7"/>
  <c r="P5077" i="7"/>
  <c r="O5077" i="7"/>
  <c r="U5076" i="7"/>
  <c r="T5076" i="7"/>
  <c r="S5076" i="7"/>
  <c r="R5076" i="7"/>
  <c r="Q5076" i="7"/>
  <c r="P5076" i="7"/>
  <c r="O5076" i="7"/>
  <c r="U5075" i="7"/>
  <c r="T5075" i="7"/>
  <c r="S5075" i="7"/>
  <c r="R5075" i="7"/>
  <c r="Q5075" i="7"/>
  <c r="P5075" i="7"/>
  <c r="O5075" i="7"/>
  <c r="U5074" i="7"/>
  <c r="T5074" i="7"/>
  <c r="S5074" i="7"/>
  <c r="R5074" i="7"/>
  <c r="Q5074" i="7"/>
  <c r="P5074" i="7"/>
  <c r="O5074" i="7"/>
  <c r="U5073" i="7"/>
  <c r="T5073" i="7"/>
  <c r="S5073" i="7"/>
  <c r="R5073" i="7"/>
  <c r="Q5073" i="7"/>
  <c r="P5073" i="7"/>
  <c r="O5073" i="7"/>
  <c r="U5072" i="7"/>
  <c r="T5072" i="7"/>
  <c r="S5072" i="7"/>
  <c r="R5072" i="7"/>
  <c r="Q5072" i="7"/>
  <c r="P5072" i="7"/>
  <c r="O5072" i="7"/>
  <c r="U5071" i="7"/>
  <c r="T5071" i="7"/>
  <c r="S5071" i="7"/>
  <c r="R5071" i="7"/>
  <c r="Q5071" i="7"/>
  <c r="P5071" i="7"/>
  <c r="O5071" i="7"/>
  <c r="U5070" i="7"/>
  <c r="T5070" i="7"/>
  <c r="S5070" i="7"/>
  <c r="R5070" i="7"/>
  <c r="Q5070" i="7"/>
  <c r="P5070" i="7"/>
  <c r="O5070" i="7"/>
  <c r="U5069" i="7"/>
  <c r="T5069" i="7"/>
  <c r="S5069" i="7"/>
  <c r="R5069" i="7"/>
  <c r="Q5069" i="7"/>
  <c r="P5069" i="7"/>
  <c r="O5069" i="7"/>
  <c r="U5068" i="7"/>
  <c r="T5068" i="7"/>
  <c r="S5068" i="7"/>
  <c r="R5068" i="7"/>
  <c r="Q5068" i="7"/>
  <c r="P5068" i="7"/>
  <c r="O5068" i="7"/>
  <c r="U5067" i="7"/>
  <c r="T5067" i="7"/>
  <c r="S5067" i="7"/>
  <c r="R5067" i="7"/>
  <c r="Q5067" i="7"/>
  <c r="P5067" i="7"/>
  <c r="O5067" i="7"/>
  <c r="U5066" i="7"/>
  <c r="T5066" i="7"/>
  <c r="S5066" i="7"/>
  <c r="R5066" i="7"/>
  <c r="Q5066" i="7"/>
  <c r="P5066" i="7"/>
  <c r="O5066" i="7"/>
  <c r="U5065" i="7"/>
  <c r="T5065" i="7"/>
  <c r="S5065" i="7"/>
  <c r="R5065" i="7"/>
  <c r="Q5065" i="7"/>
  <c r="P5065" i="7"/>
  <c r="O5065" i="7"/>
  <c r="U5064" i="7"/>
  <c r="T5064" i="7"/>
  <c r="S5064" i="7"/>
  <c r="R5064" i="7"/>
  <c r="Q5064" i="7"/>
  <c r="P5064" i="7"/>
  <c r="O5064" i="7"/>
  <c r="U5063" i="7"/>
  <c r="T5063" i="7"/>
  <c r="S5063" i="7"/>
  <c r="R5063" i="7"/>
  <c r="Q5063" i="7"/>
  <c r="P5063" i="7"/>
  <c r="O5063" i="7"/>
  <c r="U5062" i="7"/>
  <c r="T5062" i="7"/>
  <c r="S5062" i="7"/>
  <c r="R5062" i="7"/>
  <c r="Q5062" i="7"/>
  <c r="P5062" i="7"/>
  <c r="O5062" i="7"/>
  <c r="U5061" i="7"/>
  <c r="T5061" i="7"/>
  <c r="S5061" i="7"/>
  <c r="R5061" i="7"/>
  <c r="Q5061" i="7"/>
  <c r="P5061" i="7"/>
  <c r="O5061" i="7"/>
  <c r="U5060" i="7"/>
  <c r="T5060" i="7"/>
  <c r="S5060" i="7"/>
  <c r="R5060" i="7"/>
  <c r="Q5060" i="7"/>
  <c r="P5060" i="7"/>
  <c r="O5060" i="7"/>
  <c r="U5059" i="7"/>
  <c r="T5059" i="7"/>
  <c r="S5059" i="7"/>
  <c r="R5059" i="7"/>
  <c r="Q5059" i="7"/>
  <c r="P5059" i="7"/>
  <c r="O5059" i="7"/>
  <c r="U5058" i="7"/>
  <c r="T5058" i="7"/>
  <c r="S5058" i="7"/>
  <c r="R5058" i="7"/>
  <c r="Q5058" i="7"/>
  <c r="P5058" i="7"/>
  <c r="O5058" i="7"/>
  <c r="U5057" i="7"/>
  <c r="T5057" i="7"/>
  <c r="S5057" i="7"/>
  <c r="R5057" i="7"/>
  <c r="Q5057" i="7"/>
  <c r="P5057" i="7"/>
  <c r="O5057" i="7"/>
  <c r="U5056" i="7"/>
  <c r="T5056" i="7"/>
  <c r="S5056" i="7"/>
  <c r="R5056" i="7"/>
  <c r="Q5056" i="7"/>
  <c r="P5056" i="7"/>
  <c r="O5056" i="7"/>
  <c r="U5055" i="7"/>
  <c r="T5055" i="7"/>
  <c r="S5055" i="7"/>
  <c r="R5055" i="7"/>
  <c r="Q5055" i="7"/>
  <c r="P5055" i="7"/>
  <c r="O5055" i="7"/>
  <c r="U5054" i="7"/>
  <c r="T5054" i="7"/>
  <c r="S5054" i="7"/>
  <c r="R5054" i="7"/>
  <c r="Q5054" i="7"/>
  <c r="P5054" i="7"/>
  <c r="O5054" i="7"/>
  <c r="U5053" i="7"/>
  <c r="T5053" i="7"/>
  <c r="S5053" i="7"/>
  <c r="R5053" i="7"/>
  <c r="Q5053" i="7"/>
  <c r="P5053" i="7"/>
  <c r="O5053" i="7"/>
  <c r="U5052" i="7"/>
  <c r="T5052" i="7"/>
  <c r="S5052" i="7"/>
  <c r="R5052" i="7"/>
  <c r="Q5052" i="7"/>
  <c r="P5052" i="7"/>
  <c r="O5052" i="7"/>
  <c r="U5051" i="7"/>
  <c r="T5051" i="7"/>
  <c r="S5051" i="7"/>
  <c r="R5051" i="7"/>
  <c r="Q5051" i="7"/>
  <c r="P5051" i="7"/>
  <c r="O5051" i="7"/>
  <c r="U5050" i="7"/>
  <c r="T5050" i="7"/>
  <c r="S5050" i="7"/>
  <c r="R5050" i="7"/>
  <c r="Q5050" i="7"/>
  <c r="P5050" i="7"/>
  <c r="O5050" i="7"/>
  <c r="U5049" i="7"/>
  <c r="T5049" i="7"/>
  <c r="S5049" i="7"/>
  <c r="R5049" i="7"/>
  <c r="Q5049" i="7"/>
  <c r="P5049" i="7"/>
  <c r="O5049" i="7"/>
  <c r="U5048" i="7"/>
  <c r="T5048" i="7"/>
  <c r="S5048" i="7"/>
  <c r="R5048" i="7"/>
  <c r="Q5048" i="7"/>
  <c r="P5048" i="7"/>
  <c r="O5048" i="7"/>
  <c r="U5047" i="7"/>
  <c r="T5047" i="7"/>
  <c r="S5047" i="7"/>
  <c r="R5047" i="7"/>
  <c r="Q5047" i="7"/>
  <c r="P5047" i="7"/>
  <c r="O5047" i="7"/>
  <c r="U5046" i="7"/>
  <c r="T5046" i="7"/>
  <c r="S5046" i="7"/>
  <c r="R5046" i="7"/>
  <c r="Q5046" i="7"/>
  <c r="P5046" i="7"/>
  <c r="O5046" i="7"/>
  <c r="U5045" i="7"/>
  <c r="T5045" i="7"/>
  <c r="S5045" i="7"/>
  <c r="R5045" i="7"/>
  <c r="Q5045" i="7"/>
  <c r="P5045" i="7"/>
  <c r="O5045" i="7"/>
  <c r="U5044" i="7"/>
  <c r="T5044" i="7"/>
  <c r="S5044" i="7"/>
  <c r="R5044" i="7"/>
  <c r="Q5044" i="7"/>
  <c r="P5044" i="7"/>
  <c r="O5044" i="7"/>
  <c r="U5043" i="7"/>
  <c r="T5043" i="7"/>
  <c r="S5043" i="7"/>
  <c r="R5043" i="7"/>
  <c r="Q5043" i="7"/>
  <c r="P5043" i="7"/>
  <c r="O5043" i="7"/>
  <c r="U5042" i="7"/>
  <c r="T5042" i="7"/>
  <c r="S5042" i="7"/>
  <c r="R5042" i="7"/>
  <c r="Q5042" i="7"/>
  <c r="P5042" i="7"/>
  <c r="O5042" i="7"/>
  <c r="U5041" i="7"/>
  <c r="T5041" i="7"/>
  <c r="S5041" i="7"/>
  <c r="R5041" i="7"/>
  <c r="Q5041" i="7"/>
  <c r="P5041" i="7"/>
  <c r="O5041" i="7"/>
  <c r="U5040" i="7"/>
  <c r="T5040" i="7"/>
  <c r="S5040" i="7"/>
  <c r="R5040" i="7"/>
  <c r="Q5040" i="7"/>
  <c r="P5040" i="7"/>
  <c r="O5040" i="7"/>
  <c r="U5039" i="7"/>
  <c r="T5039" i="7"/>
  <c r="S5039" i="7"/>
  <c r="R5039" i="7"/>
  <c r="Q5039" i="7"/>
  <c r="P5039" i="7"/>
  <c r="O5039" i="7"/>
  <c r="U5038" i="7"/>
  <c r="T5038" i="7"/>
  <c r="S5038" i="7"/>
  <c r="R5038" i="7"/>
  <c r="Q5038" i="7"/>
  <c r="P5038" i="7"/>
  <c r="O5038" i="7"/>
  <c r="U5037" i="7"/>
  <c r="T5037" i="7"/>
  <c r="S5037" i="7"/>
  <c r="R5037" i="7"/>
  <c r="Q5037" i="7"/>
  <c r="P5037" i="7"/>
  <c r="O5037" i="7"/>
  <c r="U5036" i="7"/>
  <c r="T5036" i="7"/>
  <c r="S5036" i="7"/>
  <c r="R5036" i="7"/>
  <c r="Q5036" i="7"/>
  <c r="P5036" i="7"/>
  <c r="O5036" i="7"/>
  <c r="U5035" i="7"/>
  <c r="T5035" i="7"/>
  <c r="S5035" i="7"/>
  <c r="R5035" i="7"/>
  <c r="Q5035" i="7"/>
  <c r="P5035" i="7"/>
  <c r="O5035" i="7"/>
  <c r="U5034" i="7"/>
  <c r="T5034" i="7"/>
  <c r="S5034" i="7"/>
  <c r="R5034" i="7"/>
  <c r="Q5034" i="7"/>
  <c r="P5034" i="7"/>
  <c r="O5034" i="7"/>
  <c r="U5033" i="7"/>
  <c r="T5033" i="7"/>
  <c r="S5033" i="7"/>
  <c r="R5033" i="7"/>
  <c r="Q5033" i="7"/>
  <c r="P5033" i="7"/>
  <c r="O5033" i="7"/>
  <c r="U5032" i="7"/>
  <c r="T5032" i="7"/>
  <c r="S5032" i="7"/>
  <c r="R5032" i="7"/>
  <c r="Q5032" i="7"/>
  <c r="P5032" i="7"/>
  <c r="O5032" i="7"/>
  <c r="U5031" i="7"/>
  <c r="T5031" i="7"/>
  <c r="S5031" i="7"/>
  <c r="R5031" i="7"/>
  <c r="Q5031" i="7"/>
  <c r="P5031" i="7"/>
  <c r="O5031" i="7"/>
  <c r="U5030" i="7"/>
  <c r="T5030" i="7"/>
  <c r="S5030" i="7"/>
  <c r="R5030" i="7"/>
  <c r="Q5030" i="7"/>
  <c r="P5030" i="7"/>
  <c r="O5030" i="7"/>
  <c r="U5029" i="7"/>
  <c r="T5029" i="7"/>
  <c r="S5029" i="7"/>
  <c r="R5029" i="7"/>
  <c r="Q5029" i="7"/>
  <c r="P5029" i="7"/>
  <c r="O5029" i="7"/>
  <c r="U5028" i="7"/>
  <c r="T5028" i="7"/>
  <c r="S5028" i="7"/>
  <c r="R5028" i="7"/>
  <c r="Q5028" i="7"/>
  <c r="P5028" i="7"/>
  <c r="O5028" i="7"/>
  <c r="U5027" i="7"/>
  <c r="T5027" i="7"/>
  <c r="S5027" i="7"/>
  <c r="R5027" i="7"/>
  <c r="Q5027" i="7"/>
  <c r="P5027" i="7"/>
  <c r="O5027" i="7"/>
  <c r="U5026" i="7"/>
  <c r="T5026" i="7"/>
  <c r="S5026" i="7"/>
  <c r="R5026" i="7"/>
  <c r="Q5026" i="7"/>
  <c r="P5026" i="7"/>
  <c r="O5026" i="7"/>
  <c r="U5025" i="7"/>
  <c r="T5025" i="7"/>
  <c r="S5025" i="7"/>
  <c r="R5025" i="7"/>
  <c r="Q5025" i="7"/>
  <c r="P5025" i="7"/>
  <c r="O5025" i="7"/>
  <c r="U5024" i="7"/>
  <c r="T5024" i="7"/>
  <c r="S5024" i="7"/>
  <c r="R5024" i="7"/>
  <c r="Q5024" i="7"/>
  <c r="P5024" i="7"/>
  <c r="O5024" i="7"/>
  <c r="U5023" i="7"/>
  <c r="T5023" i="7"/>
  <c r="S5023" i="7"/>
  <c r="R5023" i="7"/>
  <c r="Q5023" i="7"/>
  <c r="P5023" i="7"/>
  <c r="O5023" i="7"/>
  <c r="U5022" i="7"/>
  <c r="T5022" i="7"/>
  <c r="S5022" i="7"/>
  <c r="R5022" i="7"/>
  <c r="Q5022" i="7"/>
  <c r="P5022" i="7"/>
  <c r="O5022" i="7"/>
  <c r="U5021" i="7"/>
  <c r="T5021" i="7"/>
  <c r="S5021" i="7"/>
  <c r="R5021" i="7"/>
  <c r="Q5021" i="7"/>
  <c r="P5021" i="7"/>
  <c r="O5021" i="7"/>
  <c r="U5020" i="7"/>
  <c r="T5020" i="7"/>
  <c r="S5020" i="7"/>
  <c r="R5020" i="7"/>
  <c r="Q5020" i="7"/>
  <c r="P5020" i="7"/>
  <c r="O5020" i="7"/>
  <c r="U5019" i="7"/>
  <c r="T5019" i="7"/>
  <c r="S5019" i="7"/>
  <c r="R5019" i="7"/>
  <c r="Q5019" i="7"/>
  <c r="P5019" i="7"/>
  <c r="O5019" i="7"/>
  <c r="U5018" i="7"/>
  <c r="T5018" i="7"/>
  <c r="S5018" i="7"/>
  <c r="R5018" i="7"/>
  <c r="Q5018" i="7"/>
  <c r="P5018" i="7"/>
  <c r="O5018" i="7"/>
  <c r="U5017" i="7"/>
  <c r="T5017" i="7"/>
  <c r="S5017" i="7"/>
  <c r="R5017" i="7"/>
  <c r="Q5017" i="7"/>
  <c r="P5017" i="7"/>
  <c r="O5017" i="7"/>
  <c r="U5016" i="7"/>
  <c r="T5016" i="7"/>
  <c r="S5016" i="7"/>
  <c r="R5016" i="7"/>
  <c r="Q5016" i="7"/>
  <c r="P5016" i="7"/>
  <c r="O5016" i="7"/>
  <c r="U5015" i="7"/>
  <c r="T5015" i="7"/>
  <c r="S5015" i="7"/>
  <c r="R5015" i="7"/>
  <c r="Q5015" i="7"/>
  <c r="P5015" i="7"/>
  <c r="O5015" i="7"/>
  <c r="U5014" i="7"/>
  <c r="T5014" i="7"/>
  <c r="S5014" i="7"/>
  <c r="R5014" i="7"/>
  <c r="Q5014" i="7"/>
  <c r="P5014" i="7"/>
  <c r="O5014" i="7"/>
  <c r="U5013" i="7"/>
  <c r="T5013" i="7"/>
  <c r="S5013" i="7"/>
  <c r="R5013" i="7"/>
  <c r="Q5013" i="7"/>
  <c r="P5013" i="7"/>
  <c r="O5013" i="7"/>
  <c r="U5012" i="7"/>
  <c r="T5012" i="7"/>
  <c r="S5012" i="7"/>
  <c r="R5012" i="7"/>
  <c r="Q5012" i="7"/>
  <c r="P5012" i="7"/>
  <c r="O5012" i="7"/>
  <c r="U5011" i="7"/>
  <c r="T5011" i="7"/>
  <c r="S5011" i="7"/>
  <c r="R5011" i="7"/>
  <c r="Q5011" i="7"/>
  <c r="P5011" i="7"/>
  <c r="O5011" i="7"/>
  <c r="U5010" i="7"/>
  <c r="T5010" i="7"/>
  <c r="S5010" i="7"/>
  <c r="R5010" i="7"/>
  <c r="Q5010" i="7"/>
  <c r="P5010" i="7"/>
  <c r="O5010" i="7"/>
  <c r="U5009" i="7"/>
  <c r="T5009" i="7"/>
  <c r="S5009" i="7"/>
  <c r="R5009" i="7"/>
  <c r="Q5009" i="7"/>
  <c r="P5009" i="7"/>
  <c r="O5009" i="7"/>
  <c r="U5008" i="7"/>
  <c r="T5008" i="7"/>
  <c r="S5008" i="7"/>
  <c r="R5008" i="7"/>
  <c r="Q5008" i="7"/>
  <c r="P5008" i="7"/>
  <c r="O5008" i="7"/>
  <c r="U5007" i="7"/>
  <c r="T5007" i="7"/>
  <c r="S5007" i="7"/>
  <c r="R5007" i="7"/>
  <c r="Q5007" i="7"/>
  <c r="P5007" i="7"/>
  <c r="O5007" i="7"/>
  <c r="U5006" i="7"/>
  <c r="T5006" i="7"/>
  <c r="S5006" i="7"/>
  <c r="R5006" i="7"/>
  <c r="Q5006" i="7"/>
  <c r="P5006" i="7"/>
  <c r="O5006" i="7"/>
  <c r="U5005" i="7"/>
  <c r="T5005" i="7"/>
  <c r="S5005" i="7"/>
  <c r="R5005" i="7"/>
  <c r="Q5005" i="7"/>
  <c r="P5005" i="7"/>
  <c r="O5005" i="7"/>
  <c r="U5004" i="7"/>
  <c r="T5004" i="7"/>
  <c r="S5004" i="7"/>
  <c r="R5004" i="7"/>
  <c r="Q5004" i="7"/>
  <c r="P5004" i="7"/>
  <c r="O5004" i="7"/>
  <c r="U5003" i="7"/>
  <c r="T5003" i="7"/>
  <c r="S5003" i="7"/>
  <c r="R5003" i="7"/>
  <c r="Q5003" i="7"/>
  <c r="P5003" i="7"/>
  <c r="O5003" i="7"/>
  <c r="U5002" i="7"/>
  <c r="T5002" i="7"/>
  <c r="S5002" i="7"/>
  <c r="R5002" i="7"/>
  <c r="Q5002" i="7"/>
  <c r="P5002" i="7"/>
  <c r="O5002" i="7"/>
  <c r="U5001" i="7"/>
  <c r="T5001" i="7"/>
  <c r="S5001" i="7"/>
  <c r="R5001" i="7"/>
  <c r="Q5001" i="7"/>
  <c r="P5001" i="7"/>
  <c r="O5001" i="7"/>
  <c r="U5000" i="7"/>
  <c r="T5000" i="7"/>
  <c r="S5000" i="7"/>
  <c r="R5000" i="7"/>
  <c r="Q5000" i="7"/>
  <c r="P5000" i="7"/>
  <c r="O5000" i="7"/>
  <c r="U4999" i="7"/>
  <c r="T4999" i="7"/>
  <c r="S4999" i="7"/>
  <c r="R4999" i="7"/>
  <c r="Q4999" i="7"/>
  <c r="P4999" i="7"/>
  <c r="O4999" i="7"/>
  <c r="U4998" i="7"/>
  <c r="T4998" i="7"/>
  <c r="S4998" i="7"/>
  <c r="R4998" i="7"/>
  <c r="Q4998" i="7"/>
  <c r="P4998" i="7"/>
  <c r="O4998" i="7"/>
  <c r="U4997" i="7"/>
  <c r="T4997" i="7"/>
  <c r="S4997" i="7"/>
  <c r="R4997" i="7"/>
  <c r="Q4997" i="7"/>
  <c r="P4997" i="7"/>
  <c r="O4997" i="7"/>
  <c r="U4996" i="7"/>
  <c r="T4996" i="7"/>
  <c r="S4996" i="7"/>
  <c r="R4996" i="7"/>
  <c r="Q4996" i="7"/>
  <c r="P4996" i="7"/>
  <c r="O4996" i="7"/>
  <c r="U4995" i="7"/>
  <c r="T4995" i="7"/>
  <c r="S4995" i="7"/>
  <c r="R4995" i="7"/>
  <c r="Q4995" i="7"/>
  <c r="P4995" i="7"/>
  <c r="O4995" i="7"/>
  <c r="U4994" i="7"/>
  <c r="T4994" i="7"/>
  <c r="S4994" i="7"/>
  <c r="R4994" i="7"/>
  <c r="Q4994" i="7"/>
  <c r="P4994" i="7"/>
  <c r="O4994" i="7"/>
  <c r="U4993" i="7"/>
  <c r="T4993" i="7"/>
  <c r="S4993" i="7"/>
  <c r="R4993" i="7"/>
  <c r="Q4993" i="7"/>
  <c r="P4993" i="7"/>
  <c r="O4993" i="7"/>
  <c r="U4992" i="7"/>
  <c r="T4992" i="7"/>
  <c r="S4992" i="7"/>
  <c r="R4992" i="7"/>
  <c r="Q4992" i="7"/>
  <c r="P4992" i="7"/>
  <c r="O4992" i="7"/>
  <c r="U4991" i="7"/>
  <c r="T4991" i="7"/>
  <c r="S4991" i="7"/>
  <c r="R4991" i="7"/>
  <c r="Q4991" i="7"/>
  <c r="P4991" i="7"/>
  <c r="O4991" i="7"/>
  <c r="U4990" i="7"/>
  <c r="T4990" i="7"/>
  <c r="S4990" i="7"/>
  <c r="R4990" i="7"/>
  <c r="Q4990" i="7"/>
  <c r="P4990" i="7"/>
  <c r="O4990" i="7"/>
  <c r="U4989" i="7"/>
  <c r="T4989" i="7"/>
  <c r="S4989" i="7"/>
  <c r="R4989" i="7"/>
  <c r="Q4989" i="7"/>
  <c r="P4989" i="7"/>
  <c r="O4989" i="7"/>
  <c r="U4988" i="7"/>
  <c r="T4988" i="7"/>
  <c r="S4988" i="7"/>
  <c r="R4988" i="7"/>
  <c r="Q4988" i="7"/>
  <c r="P4988" i="7"/>
  <c r="O4988" i="7"/>
  <c r="U4987" i="7"/>
  <c r="T4987" i="7"/>
  <c r="S4987" i="7"/>
  <c r="R4987" i="7"/>
  <c r="Q4987" i="7"/>
  <c r="P4987" i="7"/>
  <c r="O4987" i="7"/>
  <c r="U4986" i="7"/>
  <c r="T4986" i="7"/>
  <c r="S4986" i="7"/>
  <c r="R4986" i="7"/>
  <c r="Q4986" i="7"/>
  <c r="P4986" i="7"/>
  <c r="O4986" i="7"/>
  <c r="U4985" i="7"/>
  <c r="T4985" i="7"/>
  <c r="S4985" i="7"/>
  <c r="R4985" i="7"/>
  <c r="Q4985" i="7"/>
  <c r="P4985" i="7"/>
  <c r="O4985" i="7"/>
  <c r="U4984" i="7"/>
  <c r="T4984" i="7"/>
  <c r="S4984" i="7"/>
  <c r="R4984" i="7"/>
  <c r="Q4984" i="7"/>
  <c r="P4984" i="7"/>
  <c r="O4984" i="7"/>
  <c r="U4983" i="7"/>
  <c r="T4983" i="7"/>
  <c r="S4983" i="7"/>
  <c r="R4983" i="7"/>
  <c r="Q4983" i="7"/>
  <c r="P4983" i="7"/>
  <c r="O4983" i="7"/>
  <c r="U4982" i="7"/>
  <c r="T4982" i="7"/>
  <c r="S4982" i="7"/>
  <c r="R4982" i="7"/>
  <c r="Q4982" i="7"/>
  <c r="P4982" i="7"/>
  <c r="O4982" i="7"/>
  <c r="U4981" i="7"/>
  <c r="T4981" i="7"/>
  <c r="S4981" i="7"/>
  <c r="R4981" i="7"/>
  <c r="Q4981" i="7"/>
  <c r="P4981" i="7"/>
  <c r="O4981" i="7"/>
  <c r="U4980" i="7"/>
  <c r="T4980" i="7"/>
  <c r="S4980" i="7"/>
  <c r="R4980" i="7"/>
  <c r="Q4980" i="7"/>
  <c r="P4980" i="7"/>
  <c r="O4980" i="7"/>
  <c r="U4979" i="7"/>
  <c r="T4979" i="7"/>
  <c r="S4979" i="7"/>
  <c r="R4979" i="7"/>
  <c r="Q4979" i="7"/>
  <c r="P4979" i="7"/>
  <c r="O4979" i="7"/>
  <c r="U4978" i="7"/>
  <c r="T4978" i="7"/>
  <c r="S4978" i="7"/>
  <c r="R4978" i="7"/>
  <c r="Q4978" i="7"/>
  <c r="P4978" i="7"/>
  <c r="O4978" i="7"/>
  <c r="U4977" i="7"/>
  <c r="T4977" i="7"/>
  <c r="S4977" i="7"/>
  <c r="R4977" i="7"/>
  <c r="Q4977" i="7"/>
  <c r="P4977" i="7"/>
  <c r="O4977" i="7"/>
  <c r="U4976" i="7"/>
  <c r="T4976" i="7"/>
  <c r="S4976" i="7"/>
  <c r="R4976" i="7"/>
  <c r="Q4976" i="7"/>
  <c r="P4976" i="7"/>
  <c r="O4976" i="7"/>
  <c r="U4975" i="7"/>
  <c r="T4975" i="7"/>
  <c r="S4975" i="7"/>
  <c r="R4975" i="7"/>
  <c r="Q4975" i="7"/>
  <c r="P4975" i="7"/>
  <c r="O4975" i="7"/>
  <c r="U4974" i="7"/>
  <c r="T4974" i="7"/>
  <c r="S4974" i="7"/>
  <c r="R4974" i="7"/>
  <c r="Q4974" i="7"/>
  <c r="P4974" i="7"/>
  <c r="O4974" i="7"/>
  <c r="U4973" i="7"/>
  <c r="T4973" i="7"/>
  <c r="S4973" i="7"/>
  <c r="R4973" i="7"/>
  <c r="Q4973" i="7"/>
  <c r="P4973" i="7"/>
  <c r="O4973" i="7"/>
  <c r="U4972" i="7"/>
  <c r="T4972" i="7"/>
  <c r="S4972" i="7"/>
  <c r="R4972" i="7"/>
  <c r="Q4972" i="7"/>
  <c r="P4972" i="7"/>
  <c r="O4972" i="7"/>
  <c r="U4971" i="7"/>
  <c r="T4971" i="7"/>
  <c r="S4971" i="7"/>
  <c r="R4971" i="7"/>
  <c r="Q4971" i="7"/>
  <c r="P4971" i="7"/>
  <c r="O4971" i="7"/>
  <c r="U4970" i="7"/>
  <c r="T4970" i="7"/>
  <c r="S4970" i="7"/>
  <c r="R4970" i="7"/>
  <c r="Q4970" i="7"/>
  <c r="P4970" i="7"/>
  <c r="O4970" i="7"/>
  <c r="U4969" i="7"/>
  <c r="T4969" i="7"/>
  <c r="S4969" i="7"/>
  <c r="R4969" i="7"/>
  <c r="Q4969" i="7"/>
  <c r="P4969" i="7"/>
  <c r="O4969" i="7"/>
  <c r="U4968" i="7"/>
  <c r="T4968" i="7"/>
  <c r="S4968" i="7"/>
  <c r="R4968" i="7"/>
  <c r="Q4968" i="7"/>
  <c r="P4968" i="7"/>
  <c r="O4968" i="7"/>
  <c r="U4967" i="7"/>
  <c r="T4967" i="7"/>
  <c r="S4967" i="7"/>
  <c r="R4967" i="7"/>
  <c r="Q4967" i="7"/>
  <c r="P4967" i="7"/>
  <c r="O4967" i="7"/>
  <c r="U4966" i="7"/>
  <c r="T4966" i="7"/>
  <c r="S4966" i="7"/>
  <c r="R4966" i="7"/>
  <c r="Q4966" i="7"/>
  <c r="P4966" i="7"/>
  <c r="O4966" i="7"/>
  <c r="U4965" i="7"/>
  <c r="T4965" i="7"/>
  <c r="S4965" i="7"/>
  <c r="R4965" i="7"/>
  <c r="Q4965" i="7"/>
  <c r="P4965" i="7"/>
  <c r="O4965" i="7"/>
  <c r="U4964" i="7"/>
  <c r="T4964" i="7"/>
  <c r="S4964" i="7"/>
  <c r="R4964" i="7"/>
  <c r="Q4964" i="7"/>
  <c r="P4964" i="7"/>
  <c r="O4964" i="7"/>
  <c r="U4963" i="7"/>
  <c r="T4963" i="7"/>
  <c r="S4963" i="7"/>
  <c r="R4963" i="7"/>
  <c r="Q4963" i="7"/>
  <c r="P4963" i="7"/>
  <c r="O4963" i="7"/>
  <c r="U4962" i="7"/>
  <c r="T4962" i="7"/>
  <c r="S4962" i="7"/>
  <c r="R4962" i="7"/>
  <c r="Q4962" i="7"/>
  <c r="P4962" i="7"/>
  <c r="O4962" i="7"/>
  <c r="U4961" i="7"/>
  <c r="T4961" i="7"/>
  <c r="S4961" i="7"/>
  <c r="R4961" i="7"/>
  <c r="Q4961" i="7"/>
  <c r="P4961" i="7"/>
  <c r="O4961" i="7"/>
  <c r="U4960" i="7"/>
  <c r="T4960" i="7"/>
  <c r="S4960" i="7"/>
  <c r="R4960" i="7"/>
  <c r="Q4960" i="7"/>
  <c r="P4960" i="7"/>
  <c r="O4960" i="7"/>
  <c r="U4959" i="7"/>
  <c r="T4959" i="7"/>
  <c r="S4959" i="7"/>
  <c r="R4959" i="7"/>
  <c r="Q4959" i="7"/>
  <c r="P4959" i="7"/>
  <c r="O4959" i="7"/>
  <c r="U4958" i="7"/>
  <c r="T4958" i="7"/>
  <c r="S4958" i="7"/>
  <c r="R4958" i="7"/>
  <c r="Q4958" i="7"/>
  <c r="P4958" i="7"/>
  <c r="O4958" i="7"/>
  <c r="U4957" i="7"/>
  <c r="T4957" i="7"/>
  <c r="S4957" i="7"/>
  <c r="R4957" i="7"/>
  <c r="Q4957" i="7"/>
  <c r="P4957" i="7"/>
  <c r="O4957" i="7"/>
  <c r="U4956" i="7"/>
  <c r="T4956" i="7"/>
  <c r="S4956" i="7"/>
  <c r="R4956" i="7"/>
  <c r="Q4956" i="7"/>
  <c r="P4956" i="7"/>
  <c r="O4956" i="7"/>
  <c r="U4955" i="7"/>
  <c r="T4955" i="7"/>
  <c r="S4955" i="7"/>
  <c r="R4955" i="7"/>
  <c r="Q4955" i="7"/>
  <c r="P4955" i="7"/>
  <c r="O4955" i="7"/>
  <c r="U4954" i="7"/>
  <c r="T4954" i="7"/>
  <c r="S4954" i="7"/>
  <c r="R4954" i="7"/>
  <c r="Q4954" i="7"/>
  <c r="P4954" i="7"/>
  <c r="O4954" i="7"/>
  <c r="U4953" i="7"/>
  <c r="T4953" i="7"/>
  <c r="S4953" i="7"/>
  <c r="R4953" i="7"/>
  <c r="Q4953" i="7"/>
  <c r="P4953" i="7"/>
  <c r="O4953" i="7"/>
  <c r="U4952" i="7"/>
  <c r="T4952" i="7"/>
  <c r="S4952" i="7"/>
  <c r="R4952" i="7"/>
  <c r="Q4952" i="7"/>
  <c r="P4952" i="7"/>
  <c r="O4952" i="7"/>
  <c r="U4951" i="7"/>
  <c r="T4951" i="7"/>
  <c r="S4951" i="7"/>
  <c r="R4951" i="7"/>
  <c r="Q4951" i="7"/>
  <c r="P4951" i="7"/>
  <c r="O4951" i="7"/>
  <c r="U4950" i="7"/>
  <c r="T4950" i="7"/>
  <c r="S4950" i="7"/>
  <c r="R4950" i="7"/>
  <c r="Q4950" i="7"/>
  <c r="P4950" i="7"/>
  <c r="O4950" i="7"/>
  <c r="U4949" i="7"/>
  <c r="T4949" i="7"/>
  <c r="S4949" i="7"/>
  <c r="R4949" i="7"/>
  <c r="Q4949" i="7"/>
  <c r="P4949" i="7"/>
  <c r="O4949" i="7"/>
  <c r="U4948" i="7"/>
  <c r="T4948" i="7"/>
  <c r="S4948" i="7"/>
  <c r="R4948" i="7"/>
  <c r="Q4948" i="7"/>
  <c r="P4948" i="7"/>
  <c r="O4948" i="7"/>
  <c r="U4947" i="7"/>
  <c r="T4947" i="7"/>
  <c r="S4947" i="7"/>
  <c r="R4947" i="7"/>
  <c r="Q4947" i="7"/>
  <c r="P4947" i="7"/>
  <c r="O4947" i="7"/>
  <c r="U4946" i="7"/>
  <c r="T4946" i="7"/>
  <c r="S4946" i="7"/>
  <c r="R4946" i="7"/>
  <c r="Q4946" i="7"/>
  <c r="P4946" i="7"/>
  <c r="O4946" i="7"/>
  <c r="U4945" i="7"/>
  <c r="T4945" i="7"/>
  <c r="S4945" i="7"/>
  <c r="R4945" i="7"/>
  <c r="Q4945" i="7"/>
  <c r="P4945" i="7"/>
  <c r="O4945" i="7"/>
  <c r="U4944" i="7"/>
  <c r="T4944" i="7"/>
  <c r="S4944" i="7"/>
  <c r="R4944" i="7"/>
  <c r="Q4944" i="7"/>
  <c r="P4944" i="7"/>
  <c r="O4944" i="7"/>
  <c r="U4943" i="7"/>
  <c r="T4943" i="7"/>
  <c r="S4943" i="7"/>
  <c r="R4943" i="7"/>
  <c r="Q4943" i="7"/>
  <c r="P4943" i="7"/>
  <c r="O4943" i="7"/>
  <c r="U4942" i="7"/>
  <c r="T4942" i="7"/>
  <c r="S4942" i="7"/>
  <c r="R4942" i="7"/>
  <c r="Q4942" i="7"/>
  <c r="P4942" i="7"/>
  <c r="O4942" i="7"/>
  <c r="U4941" i="7"/>
  <c r="T4941" i="7"/>
  <c r="S4941" i="7"/>
  <c r="R4941" i="7"/>
  <c r="Q4941" i="7"/>
  <c r="P4941" i="7"/>
  <c r="O4941" i="7"/>
  <c r="U4940" i="7"/>
  <c r="T4940" i="7"/>
  <c r="S4940" i="7"/>
  <c r="R4940" i="7"/>
  <c r="Q4940" i="7"/>
  <c r="P4940" i="7"/>
  <c r="O4940" i="7"/>
  <c r="U4939" i="7"/>
  <c r="T4939" i="7"/>
  <c r="S4939" i="7"/>
  <c r="R4939" i="7"/>
  <c r="Q4939" i="7"/>
  <c r="P4939" i="7"/>
  <c r="O4939" i="7"/>
  <c r="U4938" i="7"/>
  <c r="T4938" i="7"/>
  <c r="S4938" i="7"/>
  <c r="R4938" i="7"/>
  <c r="Q4938" i="7"/>
  <c r="P4938" i="7"/>
  <c r="O4938" i="7"/>
  <c r="U4937" i="7"/>
  <c r="T4937" i="7"/>
  <c r="S4937" i="7"/>
  <c r="R4937" i="7"/>
  <c r="Q4937" i="7"/>
  <c r="P4937" i="7"/>
  <c r="O4937" i="7"/>
  <c r="U4936" i="7"/>
  <c r="T4936" i="7"/>
  <c r="S4936" i="7"/>
  <c r="R4936" i="7"/>
  <c r="Q4936" i="7"/>
  <c r="P4936" i="7"/>
  <c r="O4936" i="7"/>
  <c r="U4935" i="7"/>
  <c r="T4935" i="7"/>
  <c r="S4935" i="7"/>
  <c r="R4935" i="7"/>
  <c r="Q4935" i="7"/>
  <c r="P4935" i="7"/>
  <c r="O4935" i="7"/>
  <c r="U4934" i="7"/>
  <c r="T4934" i="7"/>
  <c r="S4934" i="7"/>
  <c r="R4934" i="7"/>
  <c r="Q4934" i="7"/>
  <c r="P4934" i="7"/>
  <c r="O4934" i="7"/>
  <c r="U4933" i="7"/>
  <c r="T4933" i="7"/>
  <c r="S4933" i="7"/>
  <c r="R4933" i="7"/>
  <c r="Q4933" i="7"/>
  <c r="P4933" i="7"/>
  <c r="O4933" i="7"/>
  <c r="U4932" i="7"/>
  <c r="T4932" i="7"/>
  <c r="S4932" i="7"/>
  <c r="R4932" i="7"/>
  <c r="Q4932" i="7"/>
  <c r="P4932" i="7"/>
  <c r="O4932" i="7"/>
  <c r="U4931" i="7"/>
  <c r="T4931" i="7"/>
  <c r="S4931" i="7"/>
  <c r="R4931" i="7"/>
  <c r="Q4931" i="7"/>
  <c r="P4931" i="7"/>
  <c r="O4931" i="7"/>
  <c r="U4930" i="7"/>
  <c r="T4930" i="7"/>
  <c r="S4930" i="7"/>
  <c r="R4930" i="7"/>
  <c r="Q4930" i="7"/>
  <c r="P4930" i="7"/>
  <c r="O4930" i="7"/>
  <c r="U4929" i="7"/>
  <c r="T4929" i="7"/>
  <c r="S4929" i="7"/>
  <c r="R4929" i="7"/>
  <c r="Q4929" i="7"/>
  <c r="P4929" i="7"/>
  <c r="O4929" i="7"/>
  <c r="U4928" i="7"/>
  <c r="T4928" i="7"/>
  <c r="S4928" i="7"/>
  <c r="R4928" i="7"/>
  <c r="Q4928" i="7"/>
  <c r="P4928" i="7"/>
  <c r="O4928" i="7"/>
  <c r="U4927" i="7"/>
  <c r="T4927" i="7"/>
  <c r="S4927" i="7"/>
  <c r="R4927" i="7"/>
  <c r="Q4927" i="7"/>
  <c r="P4927" i="7"/>
  <c r="O4927" i="7"/>
  <c r="U4926" i="7"/>
  <c r="T4926" i="7"/>
  <c r="S4926" i="7"/>
  <c r="R4926" i="7"/>
  <c r="Q4926" i="7"/>
  <c r="P4926" i="7"/>
  <c r="O4926" i="7"/>
  <c r="U4925" i="7"/>
  <c r="T4925" i="7"/>
  <c r="S4925" i="7"/>
  <c r="R4925" i="7"/>
  <c r="Q4925" i="7"/>
  <c r="P4925" i="7"/>
  <c r="O4925" i="7"/>
  <c r="U4924" i="7"/>
  <c r="T4924" i="7"/>
  <c r="S4924" i="7"/>
  <c r="R4924" i="7"/>
  <c r="Q4924" i="7"/>
  <c r="P4924" i="7"/>
  <c r="O4924" i="7"/>
  <c r="U4923" i="7"/>
  <c r="T4923" i="7"/>
  <c r="S4923" i="7"/>
  <c r="R4923" i="7"/>
  <c r="Q4923" i="7"/>
  <c r="P4923" i="7"/>
  <c r="O4923" i="7"/>
  <c r="U4922" i="7"/>
  <c r="T4922" i="7"/>
  <c r="S4922" i="7"/>
  <c r="R4922" i="7"/>
  <c r="Q4922" i="7"/>
  <c r="P4922" i="7"/>
  <c r="O4922" i="7"/>
  <c r="U4921" i="7"/>
  <c r="T4921" i="7"/>
  <c r="S4921" i="7"/>
  <c r="R4921" i="7"/>
  <c r="Q4921" i="7"/>
  <c r="P4921" i="7"/>
  <c r="O4921" i="7"/>
  <c r="U4920" i="7"/>
  <c r="T4920" i="7"/>
  <c r="S4920" i="7"/>
  <c r="R4920" i="7"/>
  <c r="Q4920" i="7"/>
  <c r="P4920" i="7"/>
  <c r="O4920" i="7"/>
  <c r="U4919" i="7"/>
  <c r="T4919" i="7"/>
  <c r="S4919" i="7"/>
  <c r="R4919" i="7"/>
  <c r="Q4919" i="7"/>
  <c r="P4919" i="7"/>
  <c r="O4919" i="7"/>
  <c r="U4918" i="7"/>
  <c r="T4918" i="7"/>
  <c r="S4918" i="7"/>
  <c r="R4918" i="7"/>
  <c r="Q4918" i="7"/>
  <c r="P4918" i="7"/>
  <c r="O4918" i="7"/>
  <c r="U4917" i="7"/>
  <c r="T4917" i="7"/>
  <c r="S4917" i="7"/>
  <c r="R4917" i="7"/>
  <c r="Q4917" i="7"/>
  <c r="P4917" i="7"/>
  <c r="O4917" i="7"/>
  <c r="U4916" i="7"/>
  <c r="T4916" i="7"/>
  <c r="S4916" i="7"/>
  <c r="R4916" i="7"/>
  <c r="Q4916" i="7"/>
  <c r="P4916" i="7"/>
  <c r="O4916" i="7"/>
  <c r="U4915" i="7"/>
  <c r="T4915" i="7"/>
  <c r="S4915" i="7"/>
  <c r="R4915" i="7"/>
  <c r="Q4915" i="7"/>
  <c r="P4915" i="7"/>
  <c r="O4915" i="7"/>
  <c r="U4914" i="7"/>
  <c r="T4914" i="7"/>
  <c r="S4914" i="7"/>
  <c r="R4914" i="7"/>
  <c r="Q4914" i="7"/>
  <c r="P4914" i="7"/>
  <c r="O4914" i="7"/>
  <c r="U4913" i="7"/>
  <c r="T4913" i="7"/>
  <c r="S4913" i="7"/>
  <c r="R4913" i="7"/>
  <c r="Q4913" i="7"/>
  <c r="P4913" i="7"/>
  <c r="O4913" i="7"/>
  <c r="U4912" i="7"/>
  <c r="T4912" i="7"/>
  <c r="S4912" i="7"/>
  <c r="R4912" i="7"/>
  <c r="Q4912" i="7"/>
  <c r="P4912" i="7"/>
  <c r="O4912" i="7"/>
  <c r="U4911" i="7"/>
  <c r="T4911" i="7"/>
  <c r="S4911" i="7"/>
  <c r="R4911" i="7"/>
  <c r="Q4911" i="7"/>
  <c r="P4911" i="7"/>
  <c r="O4911" i="7"/>
  <c r="U4910" i="7"/>
  <c r="T4910" i="7"/>
  <c r="S4910" i="7"/>
  <c r="R4910" i="7"/>
  <c r="Q4910" i="7"/>
  <c r="P4910" i="7"/>
  <c r="O4910" i="7"/>
  <c r="U4909" i="7"/>
  <c r="T4909" i="7"/>
  <c r="S4909" i="7"/>
  <c r="R4909" i="7"/>
  <c r="Q4909" i="7"/>
  <c r="P4909" i="7"/>
  <c r="O4909" i="7"/>
  <c r="U4908" i="7"/>
  <c r="T4908" i="7"/>
  <c r="S4908" i="7"/>
  <c r="R4908" i="7"/>
  <c r="Q4908" i="7"/>
  <c r="P4908" i="7"/>
  <c r="O4908" i="7"/>
  <c r="U4907" i="7"/>
  <c r="T4907" i="7"/>
  <c r="S4907" i="7"/>
  <c r="R4907" i="7"/>
  <c r="Q4907" i="7"/>
  <c r="P4907" i="7"/>
  <c r="O4907" i="7"/>
  <c r="U4906" i="7"/>
  <c r="T4906" i="7"/>
  <c r="S4906" i="7"/>
  <c r="R4906" i="7"/>
  <c r="Q4906" i="7"/>
  <c r="P4906" i="7"/>
  <c r="O4906" i="7"/>
  <c r="U4905" i="7"/>
  <c r="T4905" i="7"/>
  <c r="S4905" i="7"/>
  <c r="R4905" i="7"/>
  <c r="Q4905" i="7"/>
  <c r="P4905" i="7"/>
  <c r="O4905" i="7"/>
  <c r="U4904" i="7"/>
  <c r="T4904" i="7"/>
  <c r="S4904" i="7"/>
  <c r="R4904" i="7"/>
  <c r="Q4904" i="7"/>
  <c r="P4904" i="7"/>
  <c r="O4904" i="7"/>
  <c r="U4903" i="7"/>
  <c r="T4903" i="7"/>
  <c r="S4903" i="7"/>
  <c r="R4903" i="7"/>
  <c r="Q4903" i="7"/>
  <c r="P4903" i="7"/>
  <c r="O4903" i="7"/>
  <c r="U4902" i="7"/>
  <c r="T4902" i="7"/>
  <c r="S4902" i="7"/>
  <c r="R4902" i="7"/>
  <c r="Q4902" i="7"/>
  <c r="P4902" i="7"/>
  <c r="O4902" i="7"/>
  <c r="U4901" i="7"/>
  <c r="T4901" i="7"/>
  <c r="S4901" i="7"/>
  <c r="R4901" i="7"/>
  <c r="Q4901" i="7"/>
  <c r="P4901" i="7"/>
  <c r="O4901" i="7"/>
  <c r="U4900" i="7"/>
  <c r="T4900" i="7"/>
  <c r="S4900" i="7"/>
  <c r="R4900" i="7"/>
  <c r="Q4900" i="7"/>
  <c r="P4900" i="7"/>
  <c r="O4900" i="7"/>
  <c r="U4899" i="7"/>
  <c r="T4899" i="7"/>
  <c r="S4899" i="7"/>
  <c r="R4899" i="7"/>
  <c r="Q4899" i="7"/>
  <c r="P4899" i="7"/>
  <c r="O4899" i="7"/>
  <c r="U4898" i="7"/>
  <c r="T4898" i="7"/>
  <c r="S4898" i="7"/>
  <c r="R4898" i="7"/>
  <c r="Q4898" i="7"/>
  <c r="P4898" i="7"/>
  <c r="O4898" i="7"/>
  <c r="U4897" i="7"/>
  <c r="T4897" i="7"/>
  <c r="S4897" i="7"/>
  <c r="R4897" i="7"/>
  <c r="Q4897" i="7"/>
  <c r="P4897" i="7"/>
  <c r="O4897" i="7"/>
  <c r="U4896" i="7"/>
  <c r="T4896" i="7"/>
  <c r="S4896" i="7"/>
  <c r="R4896" i="7"/>
  <c r="Q4896" i="7"/>
  <c r="P4896" i="7"/>
  <c r="O4896" i="7"/>
  <c r="U4895" i="7"/>
  <c r="T4895" i="7"/>
  <c r="S4895" i="7"/>
  <c r="R4895" i="7"/>
  <c r="Q4895" i="7"/>
  <c r="P4895" i="7"/>
  <c r="O4895" i="7"/>
  <c r="U4894" i="7"/>
  <c r="T4894" i="7"/>
  <c r="S4894" i="7"/>
  <c r="R4894" i="7"/>
  <c r="Q4894" i="7"/>
  <c r="P4894" i="7"/>
  <c r="O4894" i="7"/>
  <c r="U4893" i="7"/>
  <c r="T4893" i="7"/>
  <c r="S4893" i="7"/>
  <c r="R4893" i="7"/>
  <c r="Q4893" i="7"/>
  <c r="P4893" i="7"/>
  <c r="O4893" i="7"/>
  <c r="U4892" i="7"/>
  <c r="T4892" i="7"/>
  <c r="S4892" i="7"/>
  <c r="R4892" i="7"/>
  <c r="Q4892" i="7"/>
  <c r="P4892" i="7"/>
  <c r="O4892" i="7"/>
  <c r="U4891" i="7"/>
  <c r="T4891" i="7"/>
  <c r="S4891" i="7"/>
  <c r="R4891" i="7"/>
  <c r="Q4891" i="7"/>
  <c r="P4891" i="7"/>
  <c r="O4891" i="7"/>
  <c r="U4890" i="7"/>
  <c r="T4890" i="7"/>
  <c r="S4890" i="7"/>
  <c r="R4890" i="7"/>
  <c r="Q4890" i="7"/>
  <c r="P4890" i="7"/>
  <c r="O4890" i="7"/>
  <c r="U4889" i="7"/>
  <c r="T4889" i="7"/>
  <c r="S4889" i="7"/>
  <c r="R4889" i="7"/>
  <c r="Q4889" i="7"/>
  <c r="P4889" i="7"/>
  <c r="O4889" i="7"/>
  <c r="U4888" i="7"/>
  <c r="T4888" i="7"/>
  <c r="S4888" i="7"/>
  <c r="R4888" i="7"/>
  <c r="Q4888" i="7"/>
  <c r="P4888" i="7"/>
  <c r="O4888" i="7"/>
  <c r="U4887" i="7"/>
  <c r="T4887" i="7"/>
  <c r="S4887" i="7"/>
  <c r="R4887" i="7"/>
  <c r="Q4887" i="7"/>
  <c r="P4887" i="7"/>
  <c r="O4887" i="7"/>
  <c r="U4886" i="7"/>
  <c r="T4886" i="7"/>
  <c r="S4886" i="7"/>
  <c r="R4886" i="7"/>
  <c r="Q4886" i="7"/>
  <c r="P4886" i="7"/>
  <c r="O4886" i="7"/>
  <c r="U4885" i="7"/>
  <c r="T4885" i="7"/>
  <c r="S4885" i="7"/>
  <c r="R4885" i="7"/>
  <c r="Q4885" i="7"/>
  <c r="P4885" i="7"/>
  <c r="O4885" i="7"/>
  <c r="U4884" i="7"/>
  <c r="T4884" i="7"/>
  <c r="S4884" i="7"/>
  <c r="R4884" i="7"/>
  <c r="Q4884" i="7"/>
  <c r="P4884" i="7"/>
  <c r="O4884" i="7"/>
  <c r="U4883" i="7"/>
  <c r="T4883" i="7"/>
  <c r="S4883" i="7"/>
  <c r="R4883" i="7"/>
  <c r="Q4883" i="7"/>
  <c r="P4883" i="7"/>
  <c r="O4883" i="7"/>
  <c r="U4882" i="7"/>
  <c r="T4882" i="7"/>
  <c r="S4882" i="7"/>
  <c r="R4882" i="7"/>
  <c r="Q4882" i="7"/>
  <c r="P4882" i="7"/>
  <c r="O4882" i="7"/>
  <c r="U4881" i="7"/>
  <c r="T4881" i="7"/>
  <c r="S4881" i="7"/>
  <c r="R4881" i="7"/>
  <c r="Q4881" i="7"/>
  <c r="P4881" i="7"/>
  <c r="O4881" i="7"/>
  <c r="U4880" i="7"/>
  <c r="T4880" i="7"/>
  <c r="S4880" i="7"/>
  <c r="R4880" i="7"/>
  <c r="Q4880" i="7"/>
  <c r="P4880" i="7"/>
  <c r="O4880" i="7"/>
  <c r="U4879" i="7"/>
  <c r="T4879" i="7"/>
  <c r="S4879" i="7"/>
  <c r="R4879" i="7"/>
  <c r="Q4879" i="7"/>
  <c r="P4879" i="7"/>
  <c r="O4879" i="7"/>
  <c r="U4878" i="7"/>
  <c r="T4878" i="7"/>
  <c r="S4878" i="7"/>
  <c r="R4878" i="7"/>
  <c r="Q4878" i="7"/>
  <c r="P4878" i="7"/>
  <c r="O4878" i="7"/>
  <c r="U4877" i="7"/>
  <c r="T4877" i="7"/>
  <c r="S4877" i="7"/>
  <c r="R4877" i="7"/>
  <c r="Q4877" i="7"/>
  <c r="P4877" i="7"/>
  <c r="O4877" i="7"/>
  <c r="U4876" i="7"/>
  <c r="T4876" i="7"/>
  <c r="S4876" i="7"/>
  <c r="R4876" i="7"/>
  <c r="Q4876" i="7"/>
  <c r="P4876" i="7"/>
  <c r="O4876" i="7"/>
  <c r="U4875" i="7"/>
  <c r="T4875" i="7"/>
  <c r="S4875" i="7"/>
  <c r="R4875" i="7"/>
  <c r="Q4875" i="7"/>
  <c r="P4875" i="7"/>
  <c r="O4875" i="7"/>
  <c r="U4874" i="7"/>
  <c r="T4874" i="7"/>
  <c r="S4874" i="7"/>
  <c r="R4874" i="7"/>
  <c r="Q4874" i="7"/>
  <c r="P4874" i="7"/>
  <c r="O4874" i="7"/>
  <c r="U4873" i="7"/>
  <c r="T4873" i="7"/>
  <c r="S4873" i="7"/>
  <c r="R4873" i="7"/>
  <c r="Q4873" i="7"/>
  <c r="P4873" i="7"/>
  <c r="O4873" i="7"/>
  <c r="U4872" i="7"/>
  <c r="T4872" i="7"/>
  <c r="S4872" i="7"/>
  <c r="R4872" i="7"/>
  <c r="Q4872" i="7"/>
  <c r="P4872" i="7"/>
  <c r="O4872" i="7"/>
  <c r="U4871" i="7"/>
  <c r="T4871" i="7"/>
  <c r="S4871" i="7"/>
  <c r="R4871" i="7"/>
  <c r="Q4871" i="7"/>
  <c r="P4871" i="7"/>
  <c r="O4871" i="7"/>
  <c r="U4870" i="7"/>
  <c r="T4870" i="7"/>
  <c r="S4870" i="7"/>
  <c r="R4870" i="7"/>
  <c r="Q4870" i="7"/>
  <c r="P4870" i="7"/>
  <c r="O4870" i="7"/>
  <c r="U4869" i="7"/>
  <c r="T4869" i="7"/>
  <c r="S4869" i="7"/>
  <c r="R4869" i="7"/>
  <c r="Q4869" i="7"/>
  <c r="P4869" i="7"/>
  <c r="O4869" i="7"/>
  <c r="U4868" i="7"/>
  <c r="T4868" i="7"/>
  <c r="S4868" i="7"/>
  <c r="R4868" i="7"/>
  <c r="Q4868" i="7"/>
  <c r="P4868" i="7"/>
  <c r="O4868" i="7"/>
  <c r="U4867" i="7"/>
  <c r="T4867" i="7"/>
  <c r="S4867" i="7"/>
  <c r="R4867" i="7"/>
  <c r="Q4867" i="7"/>
  <c r="P4867" i="7"/>
  <c r="O4867" i="7"/>
  <c r="U4866" i="7"/>
  <c r="T4866" i="7"/>
  <c r="S4866" i="7"/>
  <c r="R4866" i="7"/>
  <c r="Q4866" i="7"/>
  <c r="P4866" i="7"/>
  <c r="O4866" i="7"/>
  <c r="U4865" i="7"/>
  <c r="T4865" i="7"/>
  <c r="S4865" i="7"/>
  <c r="R4865" i="7"/>
  <c r="Q4865" i="7"/>
  <c r="P4865" i="7"/>
  <c r="O4865" i="7"/>
  <c r="U4864" i="7"/>
  <c r="T4864" i="7"/>
  <c r="S4864" i="7"/>
  <c r="R4864" i="7"/>
  <c r="Q4864" i="7"/>
  <c r="P4864" i="7"/>
  <c r="O4864" i="7"/>
  <c r="U4863" i="7"/>
  <c r="T4863" i="7"/>
  <c r="S4863" i="7"/>
  <c r="R4863" i="7"/>
  <c r="Q4863" i="7"/>
  <c r="P4863" i="7"/>
  <c r="O4863" i="7"/>
  <c r="U4862" i="7"/>
  <c r="T4862" i="7"/>
  <c r="S4862" i="7"/>
  <c r="R4862" i="7"/>
  <c r="Q4862" i="7"/>
  <c r="P4862" i="7"/>
  <c r="O4862" i="7"/>
  <c r="U4861" i="7"/>
  <c r="T4861" i="7"/>
  <c r="S4861" i="7"/>
  <c r="R4861" i="7"/>
  <c r="Q4861" i="7"/>
  <c r="P4861" i="7"/>
  <c r="O4861" i="7"/>
  <c r="U4860" i="7"/>
  <c r="T4860" i="7"/>
  <c r="S4860" i="7"/>
  <c r="R4860" i="7"/>
  <c r="Q4860" i="7"/>
  <c r="P4860" i="7"/>
  <c r="O4860" i="7"/>
  <c r="U4859" i="7"/>
  <c r="T4859" i="7"/>
  <c r="S4859" i="7"/>
  <c r="R4859" i="7"/>
  <c r="Q4859" i="7"/>
  <c r="P4859" i="7"/>
  <c r="O4859" i="7"/>
  <c r="U4858" i="7"/>
  <c r="T4858" i="7"/>
  <c r="S4858" i="7"/>
  <c r="R4858" i="7"/>
  <c r="Q4858" i="7"/>
  <c r="P4858" i="7"/>
  <c r="O4858" i="7"/>
  <c r="U4857" i="7"/>
  <c r="T4857" i="7"/>
  <c r="S4857" i="7"/>
  <c r="R4857" i="7"/>
  <c r="Q4857" i="7"/>
  <c r="P4857" i="7"/>
  <c r="O4857" i="7"/>
  <c r="U4856" i="7"/>
  <c r="T4856" i="7"/>
  <c r="S4856" i="7"/>
  <c r="R4856" i="7"/>
  <c r="Q4856" i="7"/>
  <c r="P4856" i="7"/>
  <c r="O4856" i="7"/>
  <c r="U4855" i="7"/>
  <c r="T4855" i="7"/>
  <c r="S4855" i="7"/>
  <c r="R4855" i="7"/>
  <c r="Q4855" i="7"/>
  <c r="P4855" i="7"/>
  <c r="O4855" i="7"/>
  <c r="U4854" i="7"/>
  <c r="T4854" i="7"/>
  <c r="S4854" i="7"/>
  <c r="R4854" i="7"/>
  <c r="Q4854" i="7"/>
  <c r="P4854" i="7"/>
  <c r="O4854" i="7"/>
  <c r="U4853" i="7"/>
  <c r="T4853" i="7"/>
  <c r="S4853" i="7"/>
  <c r="R4853" i="7"/>
  <c r="Q4853" i="7"/>
  <c r="P4853" i="7"/>
  <c r="O4853" i="7"/>
  <c r="U4852" i="7"/>
  <c r="T4852" i="7"/>
  <c r="S4852" i="7"/>
  <c r="R4852" i="7"/>
  <c r="Q4852" i="7"/>
  <c r="P4852" i="7"/>
  <c r="O4852" i="7"/>
  <c r="U4851" i="7"/>
  <c r="T4851" i="7"/>
  <c r="S4851" i="7"/>
  <c r="R4851" i="7"/>
  <c r="Q4851" i="7"/>
  <c r="P4851" i="7"/>
  <c r="O4851" i="7"/>
  <c r="U4850" i="7"/>
  <c r="T4850" i="7"/>
  <c r="S4850" i="7"/>
  <c r="R4850" i="7"/>
  <c r="Q4850" i="7"/>
  <c r="P4850" i="7"/>
  <c r="O4850" i="7"/>
  <c r="U4849" i="7"/>
  <c r="T4849" i="7"/>
  <c r="S4849" i="7"/>
  <c r="R4849" i="7"/>
  <c r="Q4849" i="7"/>
  <c r="P4849" i="7"/>
  <c r="O4849" i="7"/>
  <c r="U4848" i="7"/>
  <c r="T4848" i="7"/>
  <c r="S4848" i="7"/>
  <c r="R4848" i="7"/>
  <c r="Q4848" i="7"/>
  <c r="P4848" i="7"/>
  <c r="O4848" i="7"/>
  <c r="U4847" i="7"/>
  <c r="T4847" i="7"/>
  <c r="S4847" i="7"/>
  <c r="R4847" i="7"/>
  <c r="Q4847" i="7"/>
  <c r="P4847" i="7"/>
  <c r="O4847" i="7"/>
  <c r="U4846" i="7"/>
  <c r="T4846" i="7"/>
  <c r="S4846" i="7"/>
  <c r="R4846" i="7"/>
  <c r="Q4846" i="7"/>
  <c r="P4846" i="7"/>
  <c r="O4846" i="7"/>
  <c r="U4845" i="7"/>
  <c r="T4845" i="7"/>
  <c r="S4845" i="7"/>
  <c r="R4845" i="7"/>
  <c r="Q4845" i="7"/>
  <c r="P4845" i="7"/>
  <c r="O4845" i="7"/>
  <c r="U4844" i="7"/>
  <c r="T4844" i="7"/>
  <c r="S4844" i="7"/>
  <c r="R4844" i="7"/>
  <c r="Q4844" i="7"/>
  <c r="P4844" i="7"/>
  <c r="O4844" i="7"/>
  <c r="U4843" i="7"/>
  <c r="T4843" i="7"/>
  <c r="S4843" i="7"/>
  <c r="R4843" i="7"/>
  <c r="Q4843" i="7"/>
  <c r="P4843" i="7"/>
  <c r="O4843" i="7"/>
  <c r="U4842" i="7"/>
  <c r="T4842" i="7"/>
  <c r="S4842" i="7"/>
  <c r="R4842" i="7"/>
  <c r="Q4842" i="7"/>
  <c r="P4842" i="7"/>
  <c r="O4842" i="7"/>
  <c r="U4841" i="7"/>
  <c r="T4841" i="7"/>
  <c r="S4841" i="7"/>
  <c r="R4841" i="7"/>
  <c r="Q4841" i="7"/>
  <c r="P4841" i="7"/>
  <c r="O4841" i="7"/>
  <c r="U4840" i="7"/>
  <c r="T4840" i="7"/>
  <c r="S4840" i="7"/>
  <c r="R4840" i="7"/>
  <c r="Q4840" i="7"/>
  <c r="P4840" i="7"/>
  <c r="O4840" i="7"/>
  <c r="U4839" i="7"/>
  <c r="T4839" i="7"/>
  <c r="S4839" i="7"/>
  <c r="R4839" i="7"/>
  <c r="Q4839" i="7"/>
  <c r="P4839" i="7"/>
  <c r="O4839" i="7"/>
  <c r="U4838" i="7"/>
  <c r="T4838" i="7"/>
  <c r="S4838" i="7"/>
  <c r="R4838" i="7"/>
  <c r="Q4838" i="7"/>
  <c r="P4838" i="7"/>
  <c r="O4838" i="7"/>
  <c r="U4837" i="7"/>
  <c r="T4837" i="7"/>
  <c r="S4837" i="7"/>
  <c r="R4837" i="7"/>
  <c r="Q4837" i="7"/>
  <c r="P4837" i="7"/>
  <c r="O4837" i="7"/>
  <c r="U4836" i="7"/>
  <c r="T4836" i="7"/>
  <c r="S4836" i="7"/>
  <c r="R4836" i="7"/>
  <c r="Q4836" i="7"/>
  <c r="P4836" i="7"/>
  <c r="O4836" i="7"/>
  <c r="U4835" i="7"/>
  <c r="T4835" i="7"/>
  <c r="S4835" i="7"/>
  <c r="R4835" i="7"/>
  <c r="Q4835" i="7"/>
  <c r="P4835" i="7"/>
  <c r="O4835" i="7"/>
  <c r="U4834" i="7"/>
  <c r="T4834" i="7"/>
  <c r="S4834" i="7"/>
  <c r="R4834" i="7"/>
  <c r="Q4834" i="7"/>
  <c r="P4834" i="7"/>
  <c r="O4834" i="7"/>
  <c r="U4833" i="7"/>
  <c r="T4833" i="7"/>
  <c r="S4833" i="7"/>
  <c r="R4833" i="7"/>
  <c r="Q4833" i="7"/>
  <c r="P4833" i="7"/>
  <c r="O4833" i="7"/>
  <c r="U4832" i="7"/>
  <c r="T4832" i="7"/>
  <c r="S4832" i="7"/>
  <c r="R4832" i="7"/>
  <c r="Q4832" i="7"/>
  <c r="P4832" i="7"/>
  <c r="O4832" i="7"/>
  <c r="U4831" i="7"/>
  <c r="T4831" i="7"/>
  <c r="S4831" i="7"/>
  <c r="R4831" i="7"/>
  <c r="Q4831" i="7"/>
  <c r="P4831" i="7"/>
  <c r="O4831" i="7"/>
  <c r="U4830" i="7"/>
  <c r="T4830" i="7"/>
  <c r="S4830" i="7"/>
  <c r="R4830" i="7"/>
  <c r="Q4830" i="7"/>
  <c r="P4830" i="7"/>
  <c r="O4830" i="7"/>
  <c r="U4829" i="7"/>
  <c r="T4829" i="7"/>
  <c r="S4829" i="7"/>
  <c r="R4829" i="7"/>
  <c r="Q4829" i="7"/>
  <c r="P4829" i="7"/>
  <c r="O4829" i="7"/>
  <c r="U4828" i="7"/>
  <c r="T4828" i="7"/>
  <c r="S4828" i="7"/>
  <c r="R4828" i="7"/>
  <c r="Q4828" i="7"/>
  <c r="P4828" i="7"/>
  <c r="O4828" i="7"/>
  <c r="U4827" i="7"/>
  <c r="T4827" i="7"/>
  <c r="S4827" i="7"/>
  <c r="R4827" i="7"/>
  <c r="Q4827" i="7"/>
  <c r="P4827" i="7"/>
  <c r="O4827" i="7"/>
  <c r="U4826" i="7"/>
  <c r="T4826" i="7"/>
  <c r="S4826" i="7"/>
  <c r="R4826" i="7"/>
  <c r="Q4826" i="7"/>
  <c r="P4826" i="7"/>
  <c r="O4826" i="7"/>
  <c r="U4825" i="7"/>
  <c r="T4825" i="7"/>
  <c r="S4825" i="7"/>
  <c r="R4825" i="7"/>
  <c r="Q4825" i="7"/>
  <c r="P4825" i="7"/>
  <c r="O4825" i="7"/>
  <c r="U4824" i="7"/>
  <c r="T4824" i="7"/>
  <c r="S4824" i="7"/>
  <c r="R4824" i="7"/>
  <c r="Q4824" i="7"/>
  <c r="P4824" i="7"/>
  <c r="O4824" i="7"/>
  <c r="U4823" i="7"/>
  <c r="T4823" i="7"/>
  <c r="S4823" i="7"/>
  <c r="R4823" i="7"/>
  <c r="Q4823" i="7"/>
  <c r="P4823" i="7"/>
  <c r="O4823" i="7"/>
  <c r="U4822" i="7"/>
  <c r="T4822" i="7"/>
  <c r="S4822" i="7"/>
  <c r="R4822" i="7"/>
  <c r="Q4822" i="7"/>
  <c r="P4822" i="7"/>
  <c r="O4822" i="7"/>
  <c r="U4821" i="7"/>
  <c r="T4821" i="7"/>
  <c r="S4821" i="7"/>
  <c r="R4821" i="7"/>
  <c r="Q4821" i="7"/>
  <c r="P4821" i="7"/>
  <c r="O4821" i="7"/>
  <c r="U4820" i="7"/>
  <c r="T4820" i="7"/>
  <c r="S4820" i="7"/>
  <c r="R4820" i="7"/>
  <c r="Q4820" i="7"/>
  <c r="P4820" i="7"/>
  <c r="O4820" i="7"/>
  <c r="U4819" i="7"/>
  <c r="T4819" i="7"/>
  <c r="S4819" i="7"/>
  <c r="R4819" i="7"/>
  <c r="Q4819" i="7"/>
  <c r="P4819" i="7"/>
  <c r="O4819" i="7"/>
  <c r="U4818" i="7"/>
  <c r="T4818" i="7"/>
  <c r="S4818" i="7"/>
  <c r="R4818" i="7"/>
  <c r="Q4818" i="7"/>
  <c r="P4818" i="7"/>
  <c r="O4818" i="7"/>
  <c r="U4817" i="7"/>
  <c r="T4817" i="7"/>
  <c r="S4817" i="7"/>
  <c r="R4817" i="7"/>
  <c r="Q4817" i="7"/>
  <c r="P4817" i="7"/>
  <c r="O4817" i="7"/>
  <c r="U4816" i="7"/>
  <c r="T4816" i="7"/>
  <c r="S4816" i="7"/>
  <c r="R4816" i="7"/>
  <c r="Q4816" i="7"/>
  <c r="P4816" i="7"/>
  <c r="O4816" i="7"/>
  <c r="U4815" i="7"/>
  <c r="T4815" i="7"/>
  <c r="S4815" i="7"/>
  <c r="R4815" i="7"/>
  <c r="Q4815" i="7"/>
  <c r="P4815" i="7"/>
  <c r="O4815" i="7"/>
  <c r="U4814" i="7"/>
  <c r="T4814" i="7"/>
  <c r="S4814" i="7"/>
  <c r="R4814" i="7"/>
  <c r="Q4814" i="7"/>
  <c r="P4814" i="7"/>
  <c r="O4814" i="7"/>
  <c r="U4813" i="7"/>
  <c r="T4813" i="7"/>
  <c r="S4813" i="7"/>
  <c r="R4813" i="7"/>
  <c r="Q4813" i="7"/>
  <c r="P4813" i="7"/>
  <c r="O4813" i="7"/>
  <c r="U4812" i="7"/>
  <c r="T4812" i="7"/>
  <c r="S4812" i="7"/>
  <c r="R4812" i="7"/>
  <c r="Q4812" i="7"/>
  <c r="P4812" i="7"/>
  <c r="O4812" i="7"/>
  <c r="U4811" i="7"/>
  <c r="T4811" i="7"/>
  <c r="S4811" i="7"/>
  <c r="R4811" i="7"/>
  <c r="Q4811" i="7"/>
  <c r="P4811" i="7"/>
  <c r="O4811" i="7"/>
  <c r="U4810" i="7"/>
  <c r="T4810" i="7"/>
  <c r="S4810" i="7"/>
  <c r="R4810" i="7"/>
  <c r="Q4810" i="7"/>
  <c r="P4810" i="7"/>
  <c r="O4810" i="7"/>
  <c r="U4809" i="7"/>
  <c r="T4809" i="7"/>
  <c r="S4809" i="7"/>
  <c r="R4809" i="7"/>
  <c r="Q4809" i="7"/>
  <c r="P4809" i="7"/>
  <c r="O4809" i="7"/>
  <c r="U4808" i="7"/>
  <c r="T4808" i="7"/>
  <c r="S4808" i="7"/>
  <c r="R4808" i="7"/>
  <c r="Q4808" i="7"/>
  <c r="P4808" i="7"/>
  <c r="O4808" i="7"/>
  <c r="U4807" i="7"/>
  <c r="T4807" i="7"/>
  <c r="S4807" i="7"/>
  <c r="R4807" i="7"/>
  <c r="Q4807" i="7"/>
  <c r="P4807" i="7"/>
  <c r="O4807" i="7"/>
  <c r="U4806" i="7"/>
  <c r="T4806" i="7"/>
  <c r="S4806" i="7"/>
  <c r="R4806" i="7"/>
  <c r="Q4806" i="7"/>
  <c r="P4806" i="7"/>
  <c r="O4806" i="7"/>
  <c r="U4805" i="7"/>
  <c r="T4805" i="7"/>
  <c r="S4805" i="7"/>
  <c r="R4805" i="7"/>
  <c r="Q4805" i="7"/>
  <c r="P4805" i="7"/>
  <c r="O4805" i="7"/>
  <c r="U4804" i="7"/>
  <c r="T4804" i="7"/>
  <c r="S4804" i="7"/>
  <c r="R4804" i="7"/>
  <c r="Q4804" i="7"/>
  <c r="P4804" i="7"/>
  <c r="O4804" i="7"/>
  <c r="U4803" i="7"/>
  <c r="T4803" i="7"/>
  <c r="S4803" i="7"/>
  <c r="R4803" i="7"/>
  <c r="Q4803" i="7"/>
  <c r="P4803" i="7"/>
  <c r="O4803" i="7"/>
  <c r="U4802" i="7"/>
  <c r="T4802" i="7"/>
  <c r="S4802" i="7"/>
  <c r="R4802" i="7"/>
  <c r="Q4802" i="7"/>
  <c r="P4802" i="7"/>
  <c r="O4802" i="7"/>
  <c r="U4801" i="7"/>
  <c r="T4801" i="7"/>
  <c r="S4801" i="7"/>
  <c r="R4801" i="7"/>
  <c r="Q4801" i="7"/>
  <c r="P4801" i="7"/>
  <c r="O4801" i="7"/>
  <c r="U4800" i="7"/>
  <c r="T4800" i="7"/>
  <c r="S4800" i="7"/>
  <c r="R4800" i="7"/>
  <c r="Q4800" i="7"/>
  <c r="P4800" i="7"/>
  <c r="O4800" i="7"/>
  <c r="U4799" i="7"/>
  <c r="T4799" i="7"/>
  <c r="S4799" i="7"/>
  <c r="R4799" i="7"/>
  <c r="Q4799" i="7"/>
  <c r="P4799" i="7"/>
  <c r="O4799" i="7"/>
  <c r="U4798" i="7"/>
  <c r="T4798" i="7"/>
  <c r="S4798" i="7"/>
  <c r="R4798" i="7"/>
  <c r="Q4798" i="7"/>
  <c r="P4798" i="7"/>
  <c r="O4798" i="7"/>
  <c r="U4797" i="7"/>
  <c r="T4797" i="7"/>
  <c r="S4797" i="7"/>
  <c r="R4797" i="7"/>
  <c r="Q4797" i="7"/>
  <c r="P4797" i="7"/>
  <c r="O4797" i="7"/>
  <c r="U4796" i="7"/>
  <c r="T4796" i="7"/>
  <c r="S4796" i="7"/>
  <c r="R4796" i="7"/>
  <c r="Q4796" i="7"/>
  <c r="P4796" i="7"/>
  <c r="O4796" i="7"/>
  <c r="U4795" i="7"/>
  <c r="T4795" i="7"/>
  <c r="S4795" i="7"/>
  <c r="R4795" i="7"/>
  <c r="Q4795" i="7"/>
  <c r="P4795" i="7"/>
  <c r="O4795" i="7"/>
  <c r="U4794" i="7"/>
  <c r="T4794" i="7"/>
  <c r="S4794" i="7"/>
  <c r="R4794" i="7"/>
  <c r="Q4794" i="7"/>
  <c r="P4794" i="7"/>
  <c r="O4794" i="7"/>
  <c r="U4793" i="7"/>
  <c r="T4793" i="7"/>
  <c r="S4793" i="7"/>
  <c r="R4793" i="7"/>
  <c r="Q4793" i="7"/>
  <c r="P4793" i="7"/>
  <c r="O4793" i="7"/>
  <c r="U4792" i="7"/>
  <c r="T4792" i="7"/>
  <c r="S4792" i="7"/>
  <c r="R4792" i="7"/>
  <c r="Q4792" i="7"/>
  <c r="P4792" i="7"/>
  <c r="O4792" i="7"/>
  <c r="U4791" i="7"/>
  <c r="T4791" i="7"/>
  <c r="S4791" i="7"/>
  <c r="R4791" i="7"/>
  <c r="Q4791" i="7"/>
  <c r="P4791" i="7"/>
  <c r="O4791" i="7"/>
  <c r="U4790" i="7"/>
  <c r="T4790" i="7"/>
  <c r="S4790" i="7"/>
  <c r="R4790" i="7"/>
  <c r="Q4790" i="7"/>
  <c r="P4790" i="7"/>
  <c r="O4790" i="7"/>
  <c r="U4789" i="7"/>
  <c r="T4789" i="7"/>
  <c r="S4789" i="7"/>
  <c r="R4789" i="7"/>
  <c r="Q4789" i="7"/>
  <c r="P4789" i="7"/>
  <c r="O4789" i="7"/>
  <c r="U4788" i="7"/>
  <c r="T4788" i="7"/>
  <c r="S4788" i="7"/>
  <c r="R4788" i="7"/>
  <c r="Q4788" i="7"/>
  <c r="P4788" i="7"/>
  <c r="O4788" i="7"/>
  <c r="U4787" i="7"/>
  <c r="T4787" i="7"/>
  <c r="S4787" i="7"/>
  <c r="R4787" i="7"/>
  <c r="Q4787" i="7"/>
  <c r="P4787" i="7"/>
  <c r="O4787" i="7"/>
  <c r="U4786" i="7"/>
  <c r="T4786" i="7"/>
  <c r="S4786" i="7"/>
  <c r="R4786" i="7"/>
  <c r="Q4786" i="7"/>
  <c r="P4786" i="7"/>
  <c r="O4786" i="7"/>
  <c r="U4785" i="7"/>
  <c r="T4785" i="7"/>
  <c r="S4785" i="7"/>
  <c r="R4785" i="7"/>
  <c r="Q4785" i="7"/>
  <c r="P4785" i="7"/>
  <c r="O4785" i="7"/>
  <c r="U4784" i="7"/>
  <c r="T4784" i="7"/>
  <c r="S4784" i="7"/>
  <c r="R4784" i="7"/>
  <c r="Q4784" i="7"/>
  <c r="P4784" i="7"/>
  <c r="O4784" i="7"/>
  <c r="U4783" i="7"/>
  <c r="T4783" i="7"/>
  <c r="S4783" i="7"/>
  <c r="R4783" i="7"/>
  <c r="Q4783" i="7"/>
  <c r="P4783" i="7"/>
  <c r="O4783" i="7"/>
  <c r="U4782" i="7"/>
  <c r="T4782" i="7"/>
  <c r="S4782" i="7"/>
  <c r="R4782" i="7"/>
  <c r="Q4782" i="7"/>
  <c r="P4782" i="7"/>
  <c r="O4782" i="7"/>
  <c r="U4781" i="7"/>
  <c r="T4781" i="7"/>
  <c r="S4781" i="7"/>
  <c r="R4781" i="7"/>
  <c r="Q4781" i="7"/>
  <c r="P4781" i="7"/>
  <c r="O4781" i="7"/>
  <c r="U4780" i="7"/>
  <c r="T4780" i="7"/>
  <c r="S4780" i="7"/>
  <c r="R4780" i="7"/>
  <c r="Q4780" i="7"/>
  <c r="P4780" i="7"/>
  <c r="O4780" i="7"/>
  <c r="U4779" i="7"/>
  <c r="T4779" i="7"/>
  <c r="S4779" i="7"/>
  <c r="R4779" i="7"/>
  <c r="Q4779" i="7"/>
  <c r="P4779" i="7"/>
  <c r="O4779" i="7"/>
  <c r="U4778" i="7"/>
  <c r="T4778" i="7"/>
  <c r="S4778" i="7"/>
  <c r="R4778" i="7"/>
  <c r="Q4778" i="7"/>
  <c r="P4778" i="7"/>
  <c r="O4778" i="7"/>
  <c r="U4777" i="7"/>
  <c r="T4777" i="7"/>
  <c r="S4777" i="7"/>
  <c r="R4777" i="7"/>
  <c r="Q4777" i="7"/>
  <c r="P4777" i="7"/>
  <c r="O4777" i="7"/>
  <c r="U4776" i="7"/>
  <c r="T4776" i="7"/>
  <c r="S4776" i="7"/>
  <c r="R4776" i="7"/>
  <c r="Q4776" i="7"/>
  <c r="P4776" i="7"/>
  <c r="O4776" i="7"/>
  <c r="U4775" i="7"/>
  <c r="T4775" i="7"/>
  <c r="S4775" i="7"/>
  <c r="R4775" i="7"/>
  <c r="Q4775" i="7"/>
  <c r="P4775" i="7"/>
  <c r="O4775" i="7"/>
  <c r="U4774" i="7"/>
  <c r="T4774" i="7"/>
  <c r="S4774" i="7"/>
  <c r="R4774" i="7"/>
  <c r="Q4774" i="7"/>
  <c r="P4774" i="7"/>
  <c r="O4774" i="7"/>
  <c r="U4773" i="7"/>
  <c r="T4773" i="7"/>
  <c r="S4773" i="7"/>
  <c r="R4773" i="7"/>
  <c r="Q4773" i="7"/>
  <c r="P4773" i="7"/>
  <c r="O4773" i="7"/>
  <c r="U4772" i="7"/>
  <c r="T4772" i="7"/>
  <c r="S4772" i="7"/>
  <c r="R4772" i="7"/>
  <c r="Q4772" i="7"/>
  <c r="P4772" i="7"/>
  <c r="O4772" i="7"/>
  <c r="U4771" i="7"/>
  <c r="T4771" i="7"/>
  <c r="S4771" i="7"/>
  <c r="R4771" i="7"/>
  <c r="Q4771" i="7"/>
  <c r="P4771" i="7"/>
  <c r="O4771" i="7"/>
  <c r="U4770" i="7"/>
  <c r="T4770" i="7"/>
  <c r="S4770" i="7"/>
  <c r="R4770" i="7"/>
  <c r="Q4770" i="7"/>
  <c r="P4770" i="7"/>
  <c r="O4770" i="7"/>
  <c r="U4769" i="7"/>
  <c r="T4769" i="7"/>
  <c r="S4769" i="7"/>
  <c r="R4769" i="7"/>
  <c r="Q4769" i="7"/>
  <c r="P4769" i="7"/>
  <c r="O4769" i="7"/>
  <c r="U4768" i="7"/>
  <c r="T4768" i="7"/>
  <c r="S4768" i="7"/>
  <c r="R4768" i="7"/>
  <c r="Q4768" i="7"/>
  <c r="P4768" i="7"/>
  <c r="O4768" i="7"/>
  <c r="U4767" i="7"/>
  <c r="T4767" i="7"/>
  <c r="S4767" i="7"/>
  <c r="R4767" i="7"/>
  <c r="Q4767" i="7"/>
  <c r="P4767" i="7"/>
  <c r="O4767" i="7"/>
  <c r="U4766" i="7"/>
  <c r="T4766" i="7"/>
  <c r="S4766" i="7"/>
  <c r="R4766" i="7"/>
  <c r="Q4766" i="7"/>
  <c r="P4766" i="7"/>
  <c r="O4766" i="7"/>
  <c r="U4765" i="7"/>
  <c r="T4765" i="7"/>
  <c r="S4765" i="7"/>
  <c r="R4765" i="7"/>
  <c r="Q4765" i="7"/>
  <c r="P4765" i="7"/>
  <c r="O4765" i="7"/>
  <c r="U4764" i="7"/>
  <c r="T4764" i="7"/>
  <c r="S4764" i="7"/>
  <c r="R4764" i="7"/>
  <c r="Q4764" i="7"/>
  <c r="P4764" i="7"/>
  <c r="O4764" i="7"/>
  <c r="U4763" i="7"/>
  <c r="T4763" i="7"/>
  <c r="S4763" i="7"/>
  <c r="R4763" i="7"/>
  <c r="Q4763" i="7"/>
  <c r="P4763" i="7"/>
  <c r="O4763" i="7"/>
  <c r="U4762" i="7"/>
  <c r="T4762" i="7"/>
  <c r="S4762" i="7"/>
  <c r="R4762" i="7"/>
  <c r="Q4762" i="7"/>
  <c r="P4762" i="7"/>
  <c r="O4762" i="7"/>
  <c r="U4761" i="7"/>
  <c r="T4761" i="7"/>
  <c r="S4761" i="7"/>
  <c r="R4761" i="7"/>
  <c r="Q4761" i="7"/>
  <c r="P4761" i="7"/>
  <c r="O4761" i="7"/>
  <c r="U4760" i="7"/>
  <c r="T4760" i="7"/>
  <c r="S4760" i="7"/>
  <c r="R4760" i="7"/>
  <c r="Q4760" i="7"/>
  <c r="P4760" i="7"/>
  <c r="O4760" i="7"/>
  <c r="U4759" i="7"/>
  <c r="T4759" i="7"/>
  <c r="S4759" i="7"/>
  <c r="R4759" i="7"/>
  <c r="Q4759" i="7"/>
  <c r="P4759" i="7"/>
  <c r="O4759" i="7"/>
  <c r="U4758" i="7"/>
  <c r="T4758" i="7"/>
  <c r="S4758" i="7"/>
  <c r="R4758" i="7"/>
  <c r="Q4758" i="7"/>
  <c r="P4758" i="7"/>
  <c r="O4758" i="7"/>
  <c r="U4757" i="7"/>
  <c r="T4757" i="7"/>
  <c r="S4757" i="7"/>
  <c r="R4757" i="7"/>
  <c r="Q4757" i="7"/>
  <c r="P4757" i="7"/>
  <c r="O4757" i="7"/>
  <c r="U4756" i="7"/>
  <c r="T4756" i="7"/>
  <c r="S4756" i="7"/>
  <c r="R4756" i="7"/>
  <c r="Q4756" i="7"/>
  <c r="P4756" i="7"/>
  <c r="O4756" i="7"/>
  <c r="U4755" i="7"/>
  <c r="T4755" i="7"/>
  <c r="S4755" i="7"/>
  <c r="R4755" i="7"/>
  <c r="Q4755" i="7"/>
  <c r="P4755" i="7"/>
  <c r="O4755" i="7"/>
  <c r="U4754" i="7"/>
  <c r="T4754" i="7"/>
  <c r="S4754" i="7"/>
  <c r="R4754" i="7"/>
  <c r="Q4754" i="7"/>
  <c r="P4754" i="7"/>
  <c r="O4754" i="7"/>
  <c r="U4753" i="7"/>
  <c r="T4753" i="7"/>
  <c r="S4753" i="7"/>
  <c r="R4753" i="7"/>
  <c r="Q4753" i="7"/>
  <c r="P4753" i="7"/>
  <c r="O4753" i="7"/>
  <c r="U4752" i="7"/>
  <c r="T4752" i="7"/>
  <c r="S4752" i="7"/>
  <c r="R4752" i="7"/>
  <c r="Q4752" i="7"/>
  <c r="P4752" i="7"/>
  <c r="O4752" i="7"/>
  <c r="U4751" i="7"/>
  <c r="T4751" i="7"/>
  <c r="S4751" i="7"/>
  <c r="R4751" i="7"/>
  <c r="Q4751" i="7"/>
  <c r="P4751" i="7"/>
  <c r="O4751" i="7"/>
  <c r="U4750" i="7"/>
  <c r="T4750" i="7"/>
  <c r="S4750" i="7"/>
  <c r="R4750" i="7"/>
  <c r="Q4750" i="7"/>
  <c r="P4750" i="7"/>
  <c r="O4750" i="7"/>
  <c r="U4749" i="7"/>
  <c r="T4749" i="7"/>
  <c r="S4749" i="7"/>
  <c r="R4749" i="7"/>
  <c r="Q4749" i="7"/>
  <c r="P4749" i="7"/>
  <c r="O4749" i="7"/>
  <c r="U4748" i="7"/>
  <c r="T4748" i="7"/>
  <c r="S4748" i="7"/>
  <c r="R4748" i="7"/>
  <c r="Q4748" i="7"/>
  <c r="P4748" i="7"/>
  <c r="O4748" i="7"/>
  <c r="U4747" i="7"/>
  <c r="T4747" i="7"/>
  <c r="S4747" i="7"/>
  <c r="R4747" i="7"/>
  <c r="Q4747" i="7"/>
  <c r="P4747" i="7"/>
  <c r="O4747" i="7"/>
  <c r="U4746" i="7"/>
  <c r="T4746" i="7"/>
  <c r="S4746" i="7"/>
  <c r="R4746" i="7"/>
  <c r="Q4746" i="7"/>
  <c r="P4746" i="7"/>
  <c r="O4746" i="7"/>
  <c r="U4745" i="7"/>
  <c r="T4745" i="7"/>
  <c r="S4745" i="7"/>
  <c r="R4745" i="7"/>
  <c r="Q4745" i="7"/>
  <c r="P4745" i="7"/>
  <c r="O4745" i="7"/>
  <c r="U4744" i="7"/>
  <c r="T4744" i="7"/>
  <c r="S4744" i="7"/>
  <c r="R4744" i="7"/>
  <c r="Q4744" i="7"/>
  <c r="P4744" i="7"/>
  <c r="O4744" i="7"/>
  <c r="U4743" i="7"/>
  <c r="T4743" i="7"/>
  <c r="S4743" i="7"/>
  <c r="R4743" i="7"/>
  <c r="Q4743" i="7"/>
  <c r="P4743" i="7"/>
  <c r="O4743" i="7"/>
  <c r="U4742" i="7"/>
  <c r="T4742" i="7"/>
  <c r="S4742" i="7"/>
  <c r="R4742" i="7"/>
  <c r="Q4742" i="7"/>
  <c r="P4742" i="7"/>
  <c r="O4742" i="7"/>
  <c r="U4741" i="7"/>
  <c r="T4741" i="7"/>
  <c r="S4741" i="7"/>
  <c r="R4741" i="7"/>
  <c r="Q4741" i="7"/>
  <c r="P4741" i="7"/>
  <c r="O4741" i="7"/>
  <c r="U4740" i="7"/>
  <c r="T4740" i="7"/>
  <c r="S4740" i="7"/>
  <c r="R4740" i="7"/>
  <c r="Q4740" i="7"/>
  <c r="P4740" i="7"/>
  <c r="O4740" i="7"/>
  <c r="U4739" i="7"/>
  <c r="T4739" i="7"/>
  <c r="S4739" i="7"/>
  <c r="R4739" i="7"/>
  <c r="Q4739" i="7"/>
  <c r="P4739" i="7"/>
  <c r="O4739" i="7"/>
  <c r="U4738" i="7"/>
  <c r="T4738" i="7"/>
  <c r="S4738" i="7"/>
  <c r="R4738" i="7"/>
  <c r="Q4738" i="7"/>
  <c r="P4738" i="7"/>
  <c r="O4738" i="7"/>
  <c r="U4737" i="7"/>
  <c r="T4737" i="7"/>
  <c r="S4737" i="7"/>
  <c r="R4737" i="7"/>
  <c r="Q4737" i="7"/>
  <c r="P4737" i="7"/>
  <c r="O4737" i="7"/>
  <c r="U4736" i="7"/>
  <c r="T4736" i="7"/>
  <c r="S4736" i="7"/>
  <c r="R4736" i="7"/>
  <c r="Q4736" i="7"/>
  <c r="P4736" i="7"/>
  <c r="O4736" i="7"/>
  <c r="U4735" i="7"/>
  <c r="T4735" i="7"/>
  <c r="S4735" i="7"/>
  <c r="R4735" i="7"/>
  <c r="Q4735" i="7"/>
  <c r="P4735" i="7"/>
  <c r="O4735" i="7"/>
  <c r="U4734" i="7"/>
  <c r="T4734" i="7"/>
  <c r="S4734" i="7"/>
  <c r="R4734" i="7"/>
  <c r="Q4734" i="7"/>
  <c r="P4734" i="7"/>
  <c r="O4734" i="7"/>
  <c r="U4733" i="7"/>
  <c r="T4733" i="7"/>
  <c r="S4733" i="7"/>
  <c r="R4733" i="7"/>
  <c r="Q4733" i="7"/>
  <c r="P4733" i="7"/>
  <c r="O4733" i="7"/>
  <c r="U4732" i="7"/>
  <c r="T4732" i="7"/>
  <c r="S4732" i="7"/>
  <c r="R4732" i="7"/>
  <c r="Q4732" i="7"/>
  <c r="P4732" i="7"/>
  <c r="O4732" i="7"/>
  <c r="U4731" i="7"/>
  <c r="T4731" i="7"/>
  <c r="S4731" i="7"/>
  <c r="R4731" i="7"/>
  <c r="Q4731" i="7"/>
  <c r="P4731" i="7"/>
  <c r="O4731" i="7"/>
  <c r="U4730" i="7"/>
  <c r="T4730" i="7"/>
  <c r="S4730" i="7"/>
  <c r="R4730" i="7"/>
  <c r="Q4730" i="7"/>
  <c r="P4730" i="7"/>
  <c r="O4730" i="7"/>
  <c r="U4729" i="7"/>
  <c r="T4729" i="7"/>
  <c r="S4729" i="7"/>
  <c r="R4729" i="7"/>
  <c r="Q4729" i="7"/>
  <c r="P4729" i="7"/>
  <c r="O4729" i="7"/>
  <c r="U4728" i="7"/>
  <c r="T4728" i="7"/>
  <c r="S4728" i="7"/>
  <c r="R4728" i="7"/>
  <c r="Q4728" i="7"/>
  <c r="P4728" i="7"/>
  <c r="O4728" i="7"/>
  <c r="U4727" i="7"/>
  <c r="T4727" i="7"/>
  <c r="S4727" i="7"/>
  <c r="R4727" i="7"/>
  <c r="Q4727" i="7"/>
  <c r="P4727" i="7"/>
  <c r="O4727" i="7"/>
  <c r="U4726" i="7"/>
  <c r="T4726" i="7"/>
  <c r="S4726" i="7"/>
  <c r="R4726" i="7"/>
  <c r="Q4726" i="7"/>
  <c r="P4726" i="7"/>
  <c r="O4726" i="7"/>
  <c r="U4725" i="7"/>
  <c r="T4725" i="7"/>
  <c r="S4725" i="7"/>
  <c r="R4725" i="7"/>
  <c r="Q4725" i="7"/>
  <c r="P4725" i="7"/>
  <c r="O4725" i="7"/>
  <c r="U4724" i="7"/>
  <c r="T4724" i="7"/>
  <c r="S4724" i="7"/>
  <c r="R4724" i="7"/>
  <c r="Q4724" i="7"/>
  <c r="P4724" i="7"/>
  <c r="O4724" i="7"/>
  <c r="U4723" i="7"/>
  <c r="T4723" i="7"/>
  <c r="S4723" i="7"/>
  <c r="R4723" i="7"/>
  <c r="Q4723" i="7"/>
  <c r="P4723" i="7"/>
  <c r="O4723" i="7"/>
  <c r="U4722" i="7"/>
  <c r="T4722" i="7"/>
  <c r="S4722" i="7"/>
  <c r="R4722" i="7"/>
  <c r="Q4722" i="7"/>
  <c r="P4722" i="7"/>
  <c r="O4722" i="7"/>
  <c r="U4721" i="7"/>
  <c r="T4721" i="7"/>
  <c r="S4721" i="7"/>
  <c r="R4721" i="7"/>
  <c r="Q4721" i="7"/>
  <c r="P4721" i="7"/>
  <c r="O4721" i="7"/>
  <c r="U4720" i="7"/>
  <c r="T4720" i="7"/>
  <c r="S4720" i="7"/>
  <c r="R4720" i="7"/>
  <c r="Q4720" i="7"/>
  <c r="P4720" i="7"/>
  <c r="O4720" i="7"/>
  <c r="U4719" i="7"/>
  <c r="T4719" i="7"/>
  <c r="S4719" i="7"/>
  <c r="R4719" i="7"/>
  <c r="Q4719" i="7"/>
  <c r="P4719" i="7"/>
  <c r="O4719" i="7"/>
  <c r="U4718" i="7"/>
  <c r="T4718" i="7"/>
  <c r="S4718" i="7"/>
  <c r="R4718" i="7"/>
  <c r="Q4718" i="7"/>
  <c r="P4718" i="7"/>
  <c r="O4718" i="7"/>
  <c r="U4717" i="7"/>
  <c r="T4717" i="7"/>
  <c r="S4717" i="7"/>
  <c r="R4717" i="7"/>
  <c r="Q4717" i="7"/>
  <c r="P4717" i="7"/>
  <c r="O4717" i="7"/>
  <c r="U4716" i="7"/>
  <c r="T4716" i="7"/>
  <c r="S4716" i="7"/>
  <c r="R4716" i="7"/>
  <c r="Q4716" i="7"/>
  <c r="P4716" i="7"/>
  <c r="O4716" i="7"/>
  <c r="U4715" i="7"/>
  <c r="T4715" i="7"/>
  <c r="S4715" i="7"/>
  <c r="R4715" i="7"/>
  <c r="Q4715" i="7"/>
  <c r="P4715" i="7"/>
  <c r="O4715" i="7"/>
  <c r="U4714" i="7"/>
  <c r="T4714" i="7"/>
  <c r="S4714" i="7"/>
  <c r="R4714" i="7"/>
  <c r="Q4714" i="7"/>
  <c r="P4714" i="7"/>
  <c r="O4714" i="7"/>
  <c r="U4713" i="7"/>
  <c r="T4713" i="7"/>
  <c r="S4713" i="7"/>
  <c r="R4713" i="7"/>
  <c r="Q4713" i="7"/>
  <c r="P4713" i="7"/>
  <c r="O4713" i="7"/>
  <c r="U4712" i="7"/>
  <c r="T4712" i="7"/>
  <c r="S4712" i="7"/>
  <c r="R4712" i="7"/>
  <c r="Q4712" i="7"/>
  <c r="P4712" i="7"/>
  <c r="O4712" i="7"/>
  <c r="U4711" i="7"/>
  <c r="T4711" i="7"/>
  <c r="S4711" i="7"/>
  <c r="R4711" i="7"/>
  <c r="Q4711" i="7"/>
  <c r="P4711" i="7"/>
  <c r="O4711" i="7"/>
  <c r="U4710" i="7"/>
  <c r="T4710" i="7"/>
  <c r="S4710" i="7"/>
  <c r="R4710" i="7"/>
  <c r="Q4710" i="7"/>
  <c r="P4710" i="7"/>
  <c r="O4710" i="7"/>
  <c r="U4709" i="7"/>
  <c r="T4709" i="7"/>
  <c r="S4709" i="7"/>
  <c r="R4709" i="7"/>
  <c r="Q4709" i="7"/>
  <c r="P4709" i="7"/>
  <c r="O4709" i="7"/>
  <c r="U4708" i="7"/>
  <c r="T4708" i="7"/>
  <c r="S4708" i="7"/>
  <c r="R4708" i="7"/>
  <c r="Q4708" i="7"/>
  <c r="P4708" i="7"/>
  <c r="O4708" i="7"/>
  <c r="U4707" i="7"/>
  <c r="T4707" i="7"/>
  <c r="S4707" i="7"/>
  <c r="R4707" i="7"/>
  <c r="Q4707" i="7"/>
  <c r="P4707" i="7"/>
  <c r="O4707" i="7"/>
  <c r="U4706" i="7"/>
  <c r="T4706" i="7"/>
  <c r="S4706" i="7"/>
  <c r="R4706" i="7"/>
  <c r="Q4706" i="7"/>
  <c r="P4706" i="7"/>
  <c r="O4706" i="7"/>
  <c r="U4705" i="7"/>
  <c r="T4705" i="7"/>
  <c r="S4705" i="7"/>
  <c r="R4705" i="7"/>
  <c r="Q4705" i="7"/>
  <c r="P4705" i="7"/>
  <c r="O4705" i="7"/>
  <c r="U4704" i="7"/>
  <c r="T4704" i="7"/>
  <c r="S4704" i="7"/>
  <c r="R4704" i="7"/>
  <c r="Q4704" i="7"/>
  <c r="P4704" i="7"/>
  <c r="O4704" i="7"/>
  <c r="U4703" i="7"/>
  <c r="T4703" i="7"/>
  <c r="S4703" i="7"/>
  <c r="R4703" i="7"/>
  <c r="Q4703" i="7"/>
  <c r="P4703" i="7"/>
  <c r="O4703" i="7"/>
  <c r="U4702" i="7"/>
  <c r="T4702" i="7"/>
  <c r="S4702" i="7"/>
  <c r="R4702" i="7"/>
  <c r="Q4702" i="7"/>
  <c r="P4702" i="7"/>
  <c r="O4702" i="7"/>
  <c r="U4701" i="7"/>
  <c r="T4701" i="7"/>
  <c r="S4701" i="7"/>
  <c r="R4701" i="7"/>
  <c r="Q4701" i="7"/>
  <c r="P4701" i="7"/>
  <c r="O4701" i="7"/>
  <c r="U4700" i="7"/>
  <c r="T4700" i="7"/>
  <c r="S4700" i="7"/>
  <c r="R4700" i="7"/>
  <c r="Q4700" i="7"/>
  <c r="P4700" i="7"/>
  <c r="O4700" i="7"/>
  <c r="U4699" i="7"/>
  <c r="T4699" i="7"/>
  <c r="S4699" i="7"/>
  <c r="R4699" i="7"/>
  <c r="Q4699" i="7"/>
  <c r="P4699" i="7"/>
  <c r="O4699" i="7"/>
  <c r="U4698" i="7"/>
  <c r="T4698" i="7"/>
  <c r="S4698" i="7"/>
  <c r="R4698" i="7"/>
  <c r="Q4698" i="7"/>
  <c r="P4698" i="7"/>
  <c r="O4698" i="7"/>
  <c r="U4697" i="7"/>
  <c r="T4697" i="7"/>
  <c r="S4697" i="7"/>
  <c r="R4697" i="7"/>
  <c r="Q4697" i="7"/>
  <c r="P4697" i="7"/>
  <c r="O4697" i="7"/>
  <c r="U4696" i="7"/>
  <c r="T4696" i="7"/>
  <c r="S4696" i="7"/>
  <c r="R4696" i="7"/>
  <c r="Q4696" i="7"/>
  <c r="P4696" i="7"/>
  <c r="O4696" i="7"/>
  <c r="U4695" i="7"/>
  <c r="T4695" i="7"/>
  <c r="S4695" i="7"/>
  <c r="R4695" i="7"/>
  <c r="Q4695" i="7"/>
  <c r="P4695" i="7"/>
  <c r="O4695" i="7"/>
  <c r="U4694" i="7"/>
  <c r="T4694" i="7"/>
  <c r="S4694" i="7"/>
  <c r="R4694" i="7"/>
  <c r="Q4694" i="7"/>
  <c r="P4694" i="7"/>
  <c r="O4694" i="7"/>
  <c r="U4693" i="7"/>
  <c r="T4693" i="7"/>
  <c r="S4693" i="7"/>
  <c r="R4693" i="7"/>
  <c r="Q4693" i="7"/>
  <c r="P4693" i="7"/>
  <c r="O4693" i="7"/>
  <c r="U4692" i="7"/>
  <c r="T4692" i="7"/>
  <c r="S4692" i="7"/>
  <c r="R4692" i="7"/>
  <c r="Q4692" i="7"/>
  <c r="P4692" i="7"/>
  <c r="O4692" i="7"/>
  <c r="U4691" i="7"/>
  <c r="T4691" i="7"/>
  <c r="S4691" i="7"/>
  <c r="R4691" i="7"/>
  <c r="Q4691" i="7"/>
  <c r="P4691" i="7"/>
  <c r="O4691" i="7"/>
  <c r="U4690" i="7"/>
  <c r="T4690" i="7"/>
  <c r="S4690" i="7"/>
  <c r="R4690" i="7"/>
  <c r="Q4690" i="7"/>
  <c r="P4690" i="7"/>
  <c r="O4690" i="7"/>
  <c r="U4689" i="7"/>
  <c r="T4689" i="7"/>
  <c r="S4689" i="7"/>
  <c r="R4689" i="7"/>
  <c r="Q4689" i="7"/>
  <c r="P4689" i="7"/>
  <c r="O4689" i="7"/>
  <c r="U4688" i="7"/>
  <c r="T4688" i="7"/>
  <c r="S4688" i="7"/>
  <c r="R4688" i="7"/>
  <c r="Q4688" i="7"/>
  <c r="P4688" i="7"/>
  <c r="O4688" i="7"/>
  <c r="U4687" i="7"/>
  <c r="T4687" i="7"/>
  <c r="S4687" i="7"/>
  <c r="R4687" i="7"/>
  <c r="Q4687" i="7"/>
  <c r="P4687" i="7"/>
  <c r="O4687" i="7"/>
  <c r="U4686" i="7"/>
  <c r="T4686" i="7"/>
  <c r="S4686" i="7"/>
  <c r="R4686" i="7"/>
  <c r="Q4686" i="7"/>
  <c r="P4686" i="7"/>
  <c r="O4686" i="7"/>
  <c r="U4685" i="7"/>
  <c r="T4685" i="7"/>
  <c r="S4685" i="7"/>
  <c r="R4685" i="7"/>
  <c r="Q4685" i="7"/>
  <c r="P4685" i="7"/>
  <c r="O4685" i="7"/>
  <c r="U4684" i="7"/>
  <c r="T4684" i="7"/>
  <c r="S4684" i="7"/>
  <c r="R4684" i="7"/>
  <c r="Q4684" i="7"/>
  <c r="P4684" i="7"/>
  <c r="O4684" i="7"/>
  <c r="U4683" i="7"/>
  <c r="T4683" i="7"/>
  <c r="S4683" i="7"/>
  <c r="R4683" i="7"/>
  <c r="Q4683" i="7"/>
  <c r="P4683" i="7"/>
  <c r="O4683" i="7"/>
  <c r="U4682" i="7"/>
  <c r="T4682" i="7"/>
  <c r="S4682" i="7"/>
  <c r="R4682" i="7"/>
  <c r="Q4682" i="7"/>
  <c r="P4682" i="7"/>
  <c r="O4682" i="7"/>
  <c r="U4681" i="7"/>
  <c r="T4681" i="7"/>
  <c r="S4681" i="7"/>
  <c r="R4681" i="7"/>
  <c r="Q4681" i="7"/>
  <c r="P4681" i="7"/>
  <c r="O4681" i="7"/>
  <c r="U4680" i="7"/>
  <c r="T4680" i="7"/>
  <c r="S4680" i="7"/>
  <c r="R4680" i="7"/>
  <c r="Q4680" i="7"/>
  <c r="P4680" i="7"/>
  <c r="O4680" i="7"/>
  <c r="U4679" i="7"/>
  <c r="T4679" i="7"/>
  <c r="S4679" i="7"/>
  <c r="R4679" i="7"/>
  <c r="Q4679" i="7"/>
  <c r="P4679" i="7"/>
  <c r="O4679" i="7"/>
  <c r="U4678" i="7"/>
  <c r="T4678" i="7"/>
  <c r="S4678" i="7"/>
  <c r="R4678" i="7"/>
  <c r="Q4678" i="7"/>
  <c r="P4678" i="7"/>
  <c r="O4678" i="7"/>
  <c r="U4677" i="7"/>
  <c r="T4677" i="7"/>
  <c r="S4677" i="7"/>
  <c r="R4677" i="7"/>
  <c r="Q4677" i="7"/>
  <c r="P4677" i="7"/>
  <c r="O4677" i="7"/>
  <c r="U4676" i="7"/>
  <c r="T4676" i="7"/>
  <c r="S4676" i="7"/>
  <c r="R4676" i="7"/>
  <c r="Q4676" i="7"/>
  <c r="P4676" i="7"/>
  <c r="O4676" i="7"/>
  <c r="U4675" i="7"/>
  <c r="T4675" i="7"/>
  <c r="S4675" i="7"/>
  <c r="R4675" i="7"/>
  <c r="Q4675" i="7"/>
  <c r="P4675" i="7"/>
  <c r="O4675" i="7"/>
  <c r="U4674" i="7"/>
  <c r="T4674" i="7"/>
  <c r="S4674" i="7"/>
  <c r="R4674" i="7"/>
  <c r="Q4674" i="7"/>
  <c r="P4674" i="7"/>
  <c r="O4674" i="7"/>
  <c r="U4673" i="7"/>
  <c r="T4673" i="7"/>
  <c r="S4673" i="7"/>
  <c r="R4673" i="7"/>
  <c r="Q4673" i="7"/>
  <c r="P4673" i="7"/>
  <c r="O4673" i="7"/>
  <c r="U4672" i="7"/>
  <c r="T4672" i="7"/>
  <c r="S4672" i="7"/>
  <c r="R4672" i="7"/>
  <c r="Q4672" i="7"/>
  <c r="P4672" i="7"/>
  <c r="O4672" i="7"/>
  <c r="U4671" i="7"/>
  <c r="T4671" i="7"/>
  <c r="S4671" i="7"/>
  <c r="R4671" i="7"/>
  <c r="Q4671" i="7"/>
  <c r="P4671" i="7"/>
  <c r="O4671" i="7"/>
  <c r="U4670" i="7"/>
  <c r="T4670" i="7"/>
  <c r="S4670" i="7"/>
  <c r="R4670" i="7"/>
  <c r="Q4670" i="7"/>
  <c r="P4670" i="7"/>
  <c r="O4670" i="7"/>
  <c r="U4669" i="7"/>
  <c r="T4669" i="7"/>
  <c r="S4669" i="7"/>
  <c r="R4669" i="7"/>
  <c r="Q4669" i="7"/>
  <c r="P4669" i="7"/>
  <c r="O4669" i="7"/>
  <c r="U4668" i="7"/>
  <c r="T4668" i="7"/>
  <c r="S4668" i="7"/>
  <c r="R4668" i="7"/>
  <c r="Q4668" i="7"/>
  <c r="P4668" i="7"/>
  <c r="O4668" i="7"/>
  <c r="U4667" i="7"/>
  <c r="T4667" i="7"/>
  <c r="S4667" i="7"/>
  <c r="R4667" i="7"/>
  <c r="Q4667" i="7"/>
  <c r="P4667" i="7"/>
  <c r="O4667" i="7"/>
  <c r="U4666" i="7"/>
  <c r="T4666" i="7"/>
  <c r="S4666" i="7"/>
  <c r="R4666" i="7"/>
  <c r="Q4666" i="7"/>
  <c r="P4666" i="7"/>
  <c r="O4666" i="7"/>
  <c r="U4665" i="7"/>
  <c r="T4665" i="7"/>
  <c r="S4665" i="7"/>
  <c r="R4665" i="7"/>
  <c r="Q4665" i="7"/>
  <c r="P4665" i="7"/>
  <c r="O4665" i="7"/>
  <c r="U4664" i="7"/>
  <c r="T4664" i="7"/>
  <c r="S4664" i="7"/>
  <c r="R4664" i="7"/>
  <c r="Q4664" i="7"/>
  <c r="P4664" i="7"/>
  <c r="O4664" i="7"/>
  <c r="U4663" i="7"/>
  <c r="T4663" i="7"/>
  <c r="S4663" i="7"/>
  <c r="R4663" i="7"/>
  <c r="Q4663" i="7"/>
  <c r="P4663" i="7"/>
  <c r="O4663" i="7"/>
  <c r="U4662" i="7"/>
  <c r="T4662" i="7"/>
  <c r="S4662" i="7"/>
  <c r="R4662" i="7"/>
  <c r="Q4662" i="7"/>
  <c r="P4662" i="7"/>
  <c r="O4662" i="7"/>
  <c r="U4661" i="7"/>
  <c r="T4661" i="7"/>
  <c r="S4661" i="7"/>
  <c r="R4661" i="7"/>
  <c r="Q4661" i="7"/>
  <c r="P4661" i="7"/>
  <c r="O4661" i="7"/>
  <c r="U4660" i="7"/>
  <c r="T4660" i="7"/>
  <c r="S4660" i="7"/>
  <c r="R4660" i="7"/>
  <c r="Q4660" i="7"/>
  <c r="P4660" i="7"/>
  <c r="O4660" i="7"/>
  <c r="U4659" i="7"/>
  <c r="T4659" i="7"/>
  <c r="S4659" i="7"/>
  <c r="R4659" i="7"/>
  <c r="Q4659" i="7"/>
  <c r="P4659" i="7"/>
  <c r="O4659" i="7"/>
  <c r="U4658" i="7"/>
  <c r="T4658" i="7"/>
  <c r="S4658" i="7"/>
  <c r="R4658" i="7"/>
  <c r="Q4658" i="7"/>
  <c r="P4658" i="7"/>
  <c r="O4658" i="7"/>
  <c r="U4657" i="7"/>
  <c r="T4657" i="7"/>
  <c r="S4657" i="7"/>
  <c r="R4657" i="7"/>
  <c r="Q4657" i="7"/>
  <c r="P4657" i="7"/>
  <c r="O4657" i="7"/>
  <c r="U4656" i="7"/>
  <c r="T4656" i="7"/>
  <c r="S4656" i="7"/>
  <c r="R4656" i="7"/>
  <c r="Q4656" i="7"/>
  <c r="P4656" i="7"/>
  <c r="O4656" i="7"/>
  <c r="U4655" i="7"/>
  <c r="T4655" i="7"/>
  <c r="S4655" i="7"/>
  <c r="R4655" i="7"/>
  <c r="Q4655" i="7"/>
  <c r="P4655" i="7"/>
  <c r="O4655" i="7"/>
  <c r="U4654" i="7"/>
  <c r="T4654" i="7"/>
  <c r="S4654" i="7"/>
  <c r="R4654" i="7"/>
  <c r="Q4654" i="7"/>
  <c r="P4654" i="7"/>
  <c r="O4654" i="7"/>
  <c r="U4653" i="7"/>
  <c r="T4653" i="7"/>
  <c r="S4653" i="7"/>
  <c r="R4653" i="7"/>
  <c r="Q4653" i="7"/>
  <c r="P4653" i="7"/>
  <c r="O4653" i="7"/>
  <c r="U4652" i="7"/>
  <c r="T4652" i="7"/>
  <c r="S4652" i="7"/>
  <c r="R4652" i="7"/>
  <c r="Q4652" i="7"/>
  <c r="P4652" i="7"/>
  <c r="O4652" i="7"/>
  <c r="U4651" i="7"/>
  <c r="T4651" i="7"/>
  <c r="S4651" i="7"/>
  <c r="R4651" i="7"/>
  <c r="Q4651" i="7"/>
  <c r="P4651" i="7"/>
  <c r="O4651" i="7"/>
  <c r="U4650" i="7"/>
  <c r="T4650" i="7"/>
  <c r="S4650" i="7"/>
  <c r="R4650" i="7"/>
  <c r="Q4650" i="7"/>
  <c r="P4650" i="7"/>
  <c r="O4650" i="7"/>
  <c r="U4649" i="7"/>
  <c r="T4649" i="7"/>
  <c r="S4649" i="7"/>
  <c r="R4649" i="7"/>
  <c r="Q4649" i="7"/>
  <c r="P4649" i="7"/>
  <c r="O4649" i="7"/>
  <c r="U4648" i="7"/>
  <c r="T4648" i="7"/>
  <c r="S4648" i="7"/>
  <c r="R4648" i="7"/>
  <c r="Q4648" i="7"/>
  <c r="P4648" i="7"/>
  <c r="O4648" i="7"/>
  <c r="U4647" i="7"/>
  <c r="T4647" i="7"/>
  <c r="S4647" i="7"/>
  <c r="R4647" i="7"/>
  <c r="Q4647" i="7"/>
  <c r="P4647" i="7"/>
  <c r="O4647" i="7"/>
  <c r="U4646" i="7"/>
  <c r="T4646" i="7"/>
  <c r="S4646" i="7"/>
  <c r="R4646" i="7"/>
  <c r="Q4646" i="7"/>
  <c r="P4646" i="7"/>
  <c r="O4646" i="7"/>
  <c r="U4645" i="7"/>
  <c r="T4645" i="7"/>
  <c r="S4645" i="7"/>
  <c r="R4645" i="7"/>
  <c r="Q4645" i="7"/>
  <c r="P4645" i="7"/>
  <c r="O4645" i="7"/>
  <c r="U4644" i="7"/>
  <c r="T4644" i="7"/>
  <c r="S4644" i="7"/>
  <c r="R4644" i="7"/>
  <c r="Q4644" i="7"/>
  <c r="P4644" i="7"/>
  <c r="O4644" i="7"/>
  <c r="U4643" i="7"/>
  <c r="T4643" i="7"/>
  <c r="S4643" i="7"/>
  <c r="R4643" i="7"/>
  <c r="Q4643" i="7"/>
  <c r="P4643" i="7"/>
  <c r="O4643" i="7"/>
  <c r="U4642" i="7"/>
  <c r="T4642" i="7"/>
  <c r="S4642" i="7"/>
  <c r="R4642" i="7"/>
  <c r="Q4642" i="7"/>
  <c r="P4642" i="7"/>
  <c r="O4642" i="7"/>
  <c r="U4641" i="7"/>
  <c r="T4641" i="7"/>
  <c r="S4641" i="7"/>
  <c r="R4641" i="7"/>
  <c r="Q4641" i="7"/>
  <c r="P4641" i="7"/>
  <c r="O4641" i="7"/>
  <c r="U4640" i="7"/>
  <c r="T4640" i="7"/>
  <c r="S4640" i="7"/>
  <c r="R4640" i="7"/>
  <c r="Q4640" i="7"/>
  <c r="P4640" i="7"/>
  <c r="O4640" i="7"/>
  <c r="U4639" i="7"/>
  <c r="T4639" i="7"/>
  <c r="S4639" i="7"/>
  <c r="R4639" i="7"/>
  <c r="Q4639" i="7"/>
  <c r="P4639" i="7"/>
  <c r="O4639" i="7"/>
  <c r="U4638" i="7"/>
  <c r="T4638" i="7"/>
  <c r="S4638" i="7"/>
  <c r="R4638" i="7"/>
  <c r="Q4638" i="7"/>
  <c r="P4638" i="7"/>
  <c r="O4638" i="7"/>
  <c r="U4637" i="7"/>
  <c r="T4637" i="7"/>
  <c r="S4637" i="7"/>
  <c r="R4637" i="7"/>
  <c r="Q4637" i="7"/>
  <c r="P4637" i="7"/>
  <c r="O4637" i="7"/>
  <c r="U4636" i="7"/>
  <c r="T4636" i="7"/>
  <c r="S4636" i="7"/>
  <c r="R4636" i="7"/>
  <c r="Q4636" i="7"/>
  <c r="P4636" i="7"/>
  <c r="O4636" i="7"/>
  <c r="U4635" i="7"/>
  <c r="T4635" i="7"/>
  <c r="S4635" i="7"/>
  <c r="R4635" i="7"/>
  <c r="Q4635" i="7"/>
  <c r="P4635" i="7"/>
  <c r="O4635" i="7"/>
  <c r="U4634" i="7"/>
  <c r="T4634" i="7"/>
  <c r="S4634" i="7"/>
  <c r="R4634" i="7"/>
  <c r="Q4634" i="7"/>
  <c r="P4634" i="7"/>
  <c r="O4634" i="7"/>
  <c r="U4633" i="7"/>
  <c r="T4633" i="7"/>
  <c r="S4633" i="7"/>
  <c r="R4633" i="7"/>
  <c r="Q4633" i="7"/>
  <c r="P4633" i="7"/>
  <c r="O4633" i="7"/>
  <c r="U4632" i="7"/>
  <c r="T4632" i="7"/>
  <c r="S4632" i="7"/>
  <c r="R4632" i="7"/>
  <c r="Q4632" i="7"/>
  <c r="P4632" i="7"/>
  <c r="O4632" i="7"/>
  <c r="U4631" i="7"/>
  <c r="T4631" i="7"/>
  <c r="S4631" i="7"/>
  <c r="R4631" i="7"/>
  <c r="Q4631" i="7"/>
  <c r="P4631" i="7"/>
  <c r="O4631" i="7"/>
  <c r="U4630" i="7"/>
  <c r="T4630" i="7"/>
  <c r="S4630" i="7"/>
  <c r="R4630" i="7"/>
  <c r="Q4630" i="7"/>
  <c r="P4630" i="7"/>
  <c r="O4630" i="7"/>
  <c r="U4629" i="7"/>
  <c r="T4629" i="7"/>
  <c r="S4629" i="7"/>
  <c r="R4629" i="7"/>
  <c r="Q4629" i="7"/>
  <c r="P4629" i="7"/>
  <c r="O4629" i="7"/>
  <c r="U4628" i="7"/>
  <c r="T4628" i="7"/>
  <c r="S4628" i="7"/>
  <c r="R4628" i="7"/>
  <c r="Q4628" i="7"/>
  <c r="P4628" i="7"/>
  <c r="O4628" i="7"/>
  <c r="U4627" i="7"/>
  <c r="T4627" i="7"/>
  <c r="S4627" i="7"/>
  <c r="R4627" i="7"/>
  <c r="Q4627" i="7"/>
  <c r="P4627" i="7"/>
  <c r="O4627" i="7"/>
  <c r="U4626" i="7"/>
  <c r="T4626" i="7"/>
  <c r="S4626" i="7"/>
  <c r="R4626" i="7"/>
  <c r="Q4626" i="7"/>
  <c r="P4626" i="7"/>
  <c r="O4626" i="7"/>
  <c r="U4625" i="7"/>
  <c r="T4625" i="7"/>
  <c r="S4625" i="7"/>
  <c r="R4625" i="7"/>
  <c r="Q4625" i="7"/>
  <c r="P4625" i="7"/>
  <c r="O4625" i="7"/>
  <c r="U4624" i="7"/>
  <c r="T4624" i="7"/>
  <c r="S4624" i="7"/>
  <c r="R4624" i="7"/>
  <c r="Q4624" i="7"/>
  <c r="P4624" i="7"/>
  <c r="O4624" i="7"/>
  <c r="U4623" i="7"/>
  <c r="T4623" i="7"/>
  <c r="S4623" i="7"/>
  <c r="R4623" i="7"/>
  <c r="Q4623" i="7"/>
  <c r="P4623" i="7"/>
  <c r="O4623" i="7"/>
  <c r="U4622" i="7"/>
  <c r="T4622" i="7"/>
  <c r="S4622" i="7"/>
  <c r="R4622" i="7"/>
  <c r="Q4622" i="7"/>
  <c r="P4622" i="7"/>
  <c r="O4622" i="7"/>
  <c r="U4621" i="7"/>
  <c r="T4621" i="7"/>
  <c r="S4621" i="7"/>
  <c r="R4621" i="7"/>
  <c r="Q4621" i="7"/>
  <c r="P4621" i="7"/>
  <c r="O4621" i="7"/>
  <c r="U4620" i="7"/>
  <c r="T4620" i="7"/>
  <c r="S4620" i="7"/>
  <c r="R4620" i="7"/>
  <c r="Q4620" i="7"/>
  <c r="P4620" i="7"/>
  <c r="O4620" i="7"/>
  <c r="U4619" i="7"/>
  <c r="T4619" i="7"/>
  <c r="S4619" i="7"/>
  <c r="R4619" i="7"/>
  <c r="Q4619" i="7"/>
  <c r="P4619" i="7"/>
  <c r="O4619" i="7"/>
  <c r="U4618" i="7"/>
  <c r="T4618" i="7"/>
  <c r="S4618" i="7"/>
  <c r="R4618" i="7"/>
  <c r="Q4618" i="7"/>
  <c r="P4618" i="7"/>
  <c r="O4618" i="7"/>
  <c r="U4617" i="7"/>
  <c r="T4617" i="7"/>
  <c r="S4617" i="7"/>
  <c r="R4617" i="7"/>
  <c r="Q4617" i="7"/>
  <c r="P4617" i="7"/>
  <c r="O4617" i="7"/>
  <c r="U4616" i="7"/>
  <c r="T4616" i="7"/>
  <c r="S4616" i="7"/>
  <c r="R4616" i="7"/>
  <c r="Q4616" i="7"/>
  <c r="P4616" i="7"/>
  <c r="O4616" i="7"/>
  <c r="U4615" i="7"/>
  <c r="T4615" i="7"/>
  <c r="S4615" i="7"/>
  <c r="R4615" i="7"/>
  <c r="Q4615" i="7"/>
  <c r="P4615" i="7"/>
  <c r="O4615" i="7"/>
  <c r="U4614" i="7"/>
  <c r="T4614" i="7"/>
  <c r="S4614" i="7"/>
  <c r="R4614" i="7"/>
  <c r="Q4614" i="7"/>
  <c r="P4614" i="7"/>
  <c r="O4614" i="7"/>
  <c r="U4613" i="7"/>
  <c r="T4613" i="7"/>
  <c r="S4613" i="7"/>
  <c r="R4613" i="7"/>
  <c r="Q4613" i="7"/>
  <c r="P4613" i="7"/>
  <c r="O4613" i="7"/>
  <c r="U4612" i="7"/>
  <c r="T4612" i="7"/>
  <c r="S4612" i="7"/>
  <c r="R4612" i="7"/>
  <c r="Q4612" i="7"/>
  <c r="P4612" i="7"/>
  <c r="O4612" i="7"/>
  <c r="U4611" i="7"/>
  <c r="T4611" i="7"/>
  <c r="S4611" i="7"/>
  <c r="R4611" i="7"/>
  <c r="Q4611" i="7"/>
  <c r="P4611" i="7"/>
  <c r="O4611" i="7"/>
  <c r="U4610" i="7"/>
  <c r="T4610" i="7"/>
  <c r="S4610" i="7"/>
  <c r="R4610" i="7"/>
  <c r="Q4610" i="7"/>
  <c r="P4610" i="7"/>
  <c r="O4610" i="7"/>
  <c r="U4609" i="7"/>
  <c r="T4609" i="7"/>
  <c r="S4609" i="7"/>
  <c r="R4609" i="7"/>
  <c r="Q4609" i="7"/>
  <c r="P4609" i="7"/>
  <c r="O4609" i="7"/>
  <c r="U4608" i="7"/>
  <c r="T4608" i="7"/>
  <c r="S4608" i="7"/>
  <c r="R4608" i="7"/>
  <c r="Q4608" i="7"/>
  <c r="P4608" i="7"/>
  <c r="O4608" i="7"/>
  <c r="U4607" i="7"/>
  <c r="T4607" i="7"/>
  <c r="S4607" i="7"/>
  <c r="R4607" i="7"/>
  <c r="Q4607" i="7"/>
  <c r="P4607" i="7"/>
  <c r="O4607" i="7"/>
  <c r="U4606" i="7"/>
  <c r="T4606" i="7"/>
  <c r="S4606" i="7"/>
  <c r="R4606" i="7"/>
  <c r="Q4606" i="7"/>
  <c r="P4606" i="7"/>
  <c r="O4606" i="7"/>
  <c r="U4605" i="7"/>
  <c r="T4605" i="7"/>
  <c r="S4605" i="7"/>
  <c r="R4605" i="7"/>
  <c r="Q4605" i="7"/>
  <c r="P4605" i="7"/>
  <c r="O4605" i="7"/>
  <c r="U4604" i="7"/>
  <c r="T4604" i="7"/>
  <c r="S4604" i="7"/>
  <c r="R4604" i="7"/>
  <c r="Q4604" i="7"/>
  <c r="P4604" i="7"/>
  <c r="O4604" i="7"/>
  <c r="U4603" i="7"/>
  <c r="T4603" i="7"/>
  <c r="S4603" i="7"/>
  <c r="R4603" i="7"/>
  <c r="Q4603" i="7"/>
  <c r="P4603" i="7"/>
  <c r="O4603" i="7"/>
  <c r="U4602" i="7"/>
  <c r="T4602" i="7"/>
  <c r="S4602" i="7"/>
  <c r="R4602" i="7"/>
  <c r="Q4602" i="7"/>
  <c r="P4602" i="7"/>
  <c r="O4602" i="7"/>
  <c r="U4601" i="7"/>
  <c r="T4601" i="7"/>
  <c r="S4601" i="7"/>
  <c r="R4601" i="7"/>
  <c r="Q4601" i="7"/>
  <c r="P4601" i="7"/>
  <c r="O4601" i="7"/>
  <c r="U4600" i="7"/>
  <c r="T4600" i="7"/>
  <c r="S4600" i="7"/>
  <c r="R4600" i="7"/>
  <c r="Q4600" i="7"/>
  <c r="P4600" i="7"/>
  <c r="O4600" i="7"/>
  <c r="U4599" i="7"/>
  <c r="T4599" i="7"/>
  <c r="S4599" i="7"/>
  <c r="R4599" i="7"/>
  <c r="Q4599" i="7"/>
  <c r="P4599" i="7"/>
  <c r="O4599" i="7"/>
  <c r="U4598" i="7"/>
  <c r="T4598" i="7"/>
  <c r="S4598" i="7"/>
  <c r="R4598" i="7"/>
  <c r="Q4598" i="7"/>
  <c r="P4598" i="7"/>
  <c r="O4598" i="7"/>
  <c r="U4597" i="7"/>
  <c r="T4597" i="7"/>
  <c r="S4597" i="7"/>
  <c r="R4597" i="7"/>
  <c r="Q4597" i="7"/>
  <c r="P4597" i="7"/>
  <c r="O4597" i="7"/>
  <c r="U4596" i="7"/>
  <c r="T4596" i="7"/>
  <c r="S4596" i="7"/>
  <c r="R4596" i="7"/>
  <c r="Q4596" i="7"/>
  <c r="P4596" i="7"/>
  <c r="O4596" i="7"/>
  <c r="U4595" i="7"/>
  <c r="T4595" i="7"/>
  <c r="S4595" i="7"/>
  <c r="R4595" i="7"/>
  <c r="Q4595" i="7"/>
  <c r="P4595" i="7"/>
  <c r="O4595" i="7"/>
  <c r="U4594" i="7"/>
  <c r="T4594" i="7"/>
  <c r="S4594" i="7"/>
  <c r="R4594" i="7"/>
  <c r="Q4594" i="7"/>
  <c r="P4594" i="7"/>
  <c r="O4594" i="7"/>
  <c r="U4593" i="7"/>
  <c r="T4593" i="7"/>
  <c r="S4593" i="7"/>
  <c r="R4593" i="7"/>
  <c r="Q4593" i="7"/>
  <c r="P4593" i="7"/>
  <c r="O4593" i="7"/>
  <c r="U4592" i="7"/>
  <c r="T4592" i="7"/>
  <c r="S4592" i="7"/>
  <c r="R4592" i="7"/>
  <c r="Q4592" i="7"/>
  <c r="P4592" i="7"/>
  <c r="O4592" i="7"/>
  <c r="U4591" i="7"/>
  <c r="T4591" i="7"/>
  <c r="S4591" i="7"/>
  <c r="R4591" i="7"/>
  <c r="Q4591" i="7"/>
  <c r="P4591" i="7"/>
  <c r="O4591" i="7"/>
  <c r="U4590" i="7"/>
  <c r="T4590" i="7"/>
  <c r="S4590" i="7"/>
  <c r="R4590" i="7"/>
  <c r="Q4590" i="7"/>
  <c r="P4590" i="7"/>
  <c r="O4590" i="7"/>
  <c r="U4589" i="7"/>
  <c r="T4589" i="7"/>
  <c r="S4589" i="7"/>
  <c r="R4589" i="7"/>
  <c r="Q4589" i="7"/>
  <c r="P4589" i="7"/>
  <c r="O4589" i="7"/>
  <c r="U4588" i="7"/>
  <c r="T4588" i="7"/>
  <c r="S4588" i="7"/>
  <c r="R4588" i="7"/>
  <c r="Q4588" i="7"/>
  <c r="P4588" i="7"/>
  <c r="O4588" i="7"/>
  <c r="U4587" i="7"/>
  <c r="T4587" i="7"/>
  <c r="S4587" i="7"/>
  <c r="R4587" i="7"/>
  <c r="Q4587" i="7"/>
  <c r="P4587" i="7"/>
  <c r="O4587" i="7"/>
  <c r="U4586" i="7"/>
  <c r="T4586" i="7"/>
  <c r="S4586" i="7"/>
  <c r="R4586" i="7"/>
  <c r="Q4586" i="7"/>
  <c r="P4586" i="7"/>
  <c r="O4586" i="7"/>
  <c r="U4585" i="7"/>
  <c r="T4585" i="7"/>
  <c r="S4585" i="7"/>
  <c r="R4585" i="7"/>
  <c r="Q4585" i="7"/>
  <c r="P4585" i="7"/>
  <c r="O4585" i="7"/>
  <c r="U4584" i="7"/>
  <c r="T4584" i="7"/>
  <c r="S4584" i="7"/>
  <c r="R4584" i="7"/>
  <c r="Q4584" i="7"/>
  <c r="P4584" i="7"/>
  <c r="O4584" i="7"/>
  <c r="U4583" i="7"/>
  <c r="T4583" i="7"/>
  <c r="S4583" i="7"/>
  <c r="R4583" i="7"/>
  <c r="Q4583" i="7"/>
  <c r="P4583" i="7"/>
  <c r="O4583" i="7"/>
  <c r="U4582" i="7"/>
  <c r="T4582" i="7"/>
  <c r="S4582" i="7"/>
  <c r="R4582" i="7"/>
  <c r="Q4582" i="7"/>
  <c r="P4582" i="7"/>
  <c r="O4582" i="7"/>
  <c r="U4581" i="7"/>
  <c r="T4581" i="7"/>
  <c r="S4581" i="7"/>
  <c r="R4581" i="7"/>
  <c r="Q4581" i="7"/>
  <c r="P4581" i="7"/>
  <c r="O4581" i="7"/>
  <c r="U4580" i="7"/>
  <c r="T4580" i="7"/>
  <c r="S4580" i="7"/>
  <c r="R4580" i="7"/>
  <c r="Q4580" i="7"/>
  <c r="P4580" i="7"/>
  <c r="O4580" i="7"/>
  <c r="U4579" i="7"/>
  <c r="T4579" i="7"/>
  <c r="S4579" i="7"/>
  <c r="R4579" i="7"/>
  <c r="Q4579" i="7"/>
  <c r="P4579" i="7"/>
  <c r="O4579" i="7"/>
  <c r="U4578" i="7"/>
  <c r="T4578" i="7"/>
  <c r="S4578" i="7"/>
  <c r="R4578" i="7"/>
  <c r="Q4578" i="7"/>
  <c r="P4578" i="7"/>
  <c r="O4578" i="7"/>
  <c r="U4577" i="7"/>
  <c r="T4577" i="7"/>
  <c r="S4577" i="7"/>
  <c r="R4577" i="7"/>
  <c r="Q4577" i="7"/>
  <c r="P4577" i="7"/>
  <c r="O4577" i="7"/>
  <c r="U4576" i="7"/>
  <c r="T4576" i="7"/>
  <c r="S4576" i="7"/>
  <c r="R4576" i="7"/>
  <c r="Q4576" i="7"/>
  <c r="P4576" i="7"/>
  <c r="O4576" i="7"/>
  <c r="U4575" i="7"/>
  <c r="T4575" i="7"/>
  <c r="S4575" i="7"/>
  <c r="R4575" i="7"/>
  <c r="Q4575" i="7"/>
  <c r="P4575" i="7"/>
  <c r="O4575" i="7"/>
  <c r="U4574" i="7"/>
  <c r="T4574" i="7"/>
  <c r="S4574" i="7"/>
  <c r="R4574" i="7"/>
  <c r="Q4574" i="7"/>
  <c r="P4574" i="7"/>
  <c r="O4574" i="7"/>
  <c r="U4573" i="7"/>
  <c r="T4573" i="7"/>
  <c r="S4573" i="7"/>
  <c r="R4573" i="7"/>
  <c r="Q4573" i="7"/>
  <c r="P4573" i="7"/>
  <c r="O4573" i="7"/>
  <c r="U4572" i="7"/>
  <c r="T4572" i="7"/>
  <c r="S4572" i="7"/>
  <c r="R4572" i="7"/>
  <c r="Q4572" i="7"/>
  <c r="P4572" i="7"/>
  <c r="O4572" i="7"/>
  <c r="U4571" i="7"/>
  <c r="T4571" i="7"/>
  <c r="S4571" i="7"/>
  <c r="R4571" i="7"/>
  <c r="Q4571" i="7"/>
  <c r="P4571" i="7"/>
  <c r="O4571" i="7"/>
  <c r="U4570" i="7"/>
  <c r="T4570" i="7"/>
  <c r="S4570" i="7"/>
  <c r="R4570" i="7"/>
  <c r="Q4570" i="7"/>
  <c r="P4570" i="7"/>
  <c r="O4570" i="7"/>
  <c r="U4569" i="7"/>
  <c r="T4569" i="7"/>
  <c r="S4569" i="7"/>
  <c r="R4569" i="7"/>
  <c r="Q4569" i="7"/>
  <c r="P4569" i="7"/>
  <c r="O4569" i="7"/>
  <c r="U4568" i="7"/>
  <c r="T4568" i="7"/>
  <c r="S4568" i="7"/>
  <c r="R4568" i="7"/>
  <c r="Q4568" i="7"/>
  <c r="P4568" i="7"/>
  <c r="O4568" i="7"/>
  <c r="U4567" i="7"/>
  <c r="T4567" i="7"/>
  <c r="S4567" i="7"/>
  <c r="R4567" i="7"/>
  <c r="Q4567" i="7"/>
  <c r="P4567" i="7"/>
  <c r="O4567" i="7"/>
  <c r="U4566" i="7"/>
  <c r="T4566" i="7"/>
  <c r="S4566" i="7"/>
  <c r="R4566" i="7"/>
  <c r="Q4566" i="7"/>
  <c r="P4566" i="7"/>
  <c r="O4566" i="7"/>
  <c r="U4565" i="7"/>
  <c r="T4565" i="7"/>
  <c r="S4565" i="7"/>
  <c r="R4565" i="7"/>
  <c r="Q4565" i="7"/>
  <c r="P4565" i="7"/>
  <c r="O4565" i="7"/>
  <c r="U4564" i="7"/>
  <c r="T4564" i="7"/>
  <c r="S4564" i="7"/>
  <c r="R4564" i="7"/>
  <c r="Q4564" i="7"/>
  <c r="P4564" i="7"/>
  <c r="O4564" i="7"/>
  <c r="U4563" i="7"/>
  <c r="T4563" i="7"/>
  <c r="S4563" i="7"/>
  <c r="R4563" i="7"/>
  <c r="Q4563" i="7"/>
  <c r="P4563" i="7"/>
  <c r="O4563" i="7"/>
  <c r="U4562" i="7"/>
  <c r="T4562" i="7"/>
  <c r="S4562" i="7"/>
  <c r="R4562" i="7"/>
  <c r="Q4562" i="7"/>
  <c r="P4562" i="7"/>
  <c r="O4562" i="7"/>
  <c r="U4561" i="7"/>
  <c r="T4561" i="7"/>
  <c r="S4561" i="7"/>
  <c r="R4561" i="7"/>
  <c r="Q4561" i="7"/>
  <c r="P4561" i="7"/>
  <c r="O4561" i="7"/>
  <c r="U4560" i="7"/>
  <c r="T4560" i="7"/>
  <c r="S4560" i="7"/>
  <c r="R4560" i="7"/>
  <c r="Q4560" i="7"/>
  <c r="P4560" i="7"/>
  <c r="O4560" i="7"/>
  <c r="U4559" i="7"/>
  <c r="T4559" i="7"/>
  <c r="S4559" i="7"/>
  <c r="R4559" i="7"/>
  <c r="Q4559" i="7"/>
  <c r="P4559" i="7"/>
  <c r="O4559" i="7"/>
  <c r="U4558" i="7"/>
  <c r="T4558" i="7"/>
  <c r="S4558" i="7"/>
  <c r="R4558" i="7"/>
  <c r="Q4558" i="7"/>
  <c r="P4558" i="7"/>
  <c r="O4558" i="7"/>
  <c r="U4557" i="7"/>
  <c r="T4557" i="7"/>
  <c r="S4557" i="7"/>
  <c r="R4557" i="7"/>
  <c r="Q4557" i="7"/>
  <c r="P4557" i="7"/>
  <c r="O4557" i="7"/>
  <c r="U4556" i="7"/>
  <c r="T4556" i="7"/>
  <c r="S4556" i="7"/>
  <c r="R4556" i="7"/>
  <c r="Q4556" i="7"/>
  <c r="P4556" i="7"/>
  <c r="O4556" i="7"/>
  <c r="U4555" i="7"/>
  <c r="T4555" i="7"/>
  <c r="S4555" i="7"/>
  <c r="R4555" i="7"/>
  <c r="Q4555" i="7"/>
  <c r="P4555" i="7"/>
  <c r="O4555" i="7"/>
  <c r="U4554" i="7"/>
  <c r="T4554" i="7"/>
  <c r="S4554" i="7"/>
  <c r="R4554" i="7"/>
  <c r="Q4554" i="7"/>
  <c r="P4554" i="7"/>
  <c r="O4554" i="7"/>
  <c r="U4553" i="7"/>
  <c r="T4553" i="7"/>
  <c r="S4553" i="7"/>
  <c r="R4553" i="7"/>
  <c r="Q4553" i="7"/>
  <c r="P4553" i="7"/>
  <c r="O4553" i="7"/>
  <c r="U4552" i="7"/>
  <c r="T4552" i="7"/>
  <c r="S4552" i="7"/>
  <c r="R4552" i="7"/>
  <c r="Q4552" i="7"/>
  <c r="P4552" i="7"/>
  <c r="O4552" i="7"/>
  <c r="U4551" i="7"/>
  <c r="T4551" i="7"/>
  <c r="S4551" i="7"/>
  <c r="R4551" i="7"/>
  <c r="Q4551" i="7"/>
  <c r="P4551" i="7"/>
  <c r="O4551" i="7"/>
  <c r="U4550" i="7"/>
  <c r="T4550" i="7"/>
  <c r="S4550" i="7"/>
  <c r="R4550" i="7"/>
  <c r="Q4550" i="7"/>
  <c r="P4550" i="7"/>
  <c r="O4550" i="7"/>
  <c r="U4549" i="7"/>
  <c r="T4549" i="7"/>
  <c r="S4549" i="7"/>
  <c r="R4549" i="7"/>
  <c r="Q4549" i="7"/>
  <c r="P4549" i="7"/>
  <c r="O4549" i="7"/>
  <c r="U4548" i="7"/>
  <c r="T4548" i="7"/>
  <c r="S4548" i="7"/>
  <c r="R4548" i="7"/>
  <c r="Q4548" i="7"/>
  <c r="P4548" i="7"/>
  <c r="O4548" i="7"/>
  <c r="U4547" i="7"/>
  <c r="T4547" i="7"/>
  <c r="S4547" i="7"/>
  <c r="R4547" i="7"/>
  <c r="Q4547" i="7"/>
  <c r="P4547" i="7"/>
  <c r="O4547" i="7"/>
  <c r="U4546" i="7"/>
  <c r="T4546" i="7"/>
  <c r="S4546" i="7"/>
  <c r="R4546" i="7"/>
  <c r="Q4546" i="7"/>
  <c r="P4546" i="7"/>
  <c r="O4546" i="7"/>
  <c r="U4545" i="7"/>
  <c r="T4545" i="7"/>
  <c r="S4545" i="7"/>
  <c r="R4545" i="7"/>
  <c r="Q4545" i="7"/>
  <c r="P4545" i="7"/>
  <c r="O4545" i="7"/>
  <c r="U4544" i="7"/>
  <c r="T4544" i="7"/>
  <c r="S4544" i="7"/>
  <c r="R4544" i="7"/>
  <c r="Q4544" i="7"/>
  <c r="P4544" i="7"/>
  <c r="O4544" i="7"/>
  <c r="U4543" i="7"/>
  <c r="T4543" i="7"/>
  <c r="S4543" i="7"/>
  <c r="R4543" i="7"/>
  <c r="Q4543" i="7"/>
  <c r="P4543" i="7"/>
  <c r="O4543" i="7"/>
  <c r="U4542" i="7"/>
  <c r="T4542" i="7"/>
  <c r="S4542" i="7"/>
  <c r="R4542" i="7"/>
  <c r="Q4542" i="7"/>
  <c r="P4542" i="7"/>
  <c r="O4542" i="7"/>
  <c r="U4541" i="7"/>
  <c r="T4541" i="7"/>
  <c r="S4541" i="7"/>
  <c r="R4541" i="7"/>
  <c r="Q4541" i="7"/>
  <c r="P4541" i="7"/>
  <c r="O4541" i="7"/>
  <c r="U4540" i="7"/>
  <c r="T4540" i="7"/>
  <c r="S4540" i="7"/>
  <c r="R4540" i="7"/>
  <c r="Q4540" i="7"/>
  <c r="P4540" i="7"/>
  <c r="O4540" i="7"/>
  <c r="U4539" i="7"/>
  <c r="T4539" i="7"/>
  <c r="S4539" i="7"/>
  <c r="R4539" i="7"/>
  <c r="Q4539" i="7"/>
  <c r="P4539" i="7"/>
  <c r="O4539" i="7"/>
  <c r="U4538" i="7"/>
  <c r="T4538" i="7"/>
  <c r="S4538" i="7"/>
  <c r="R4538" i="7"/>
  <c r="Q4538" i="7"/>
  <c r="P4538" i="7"/>
  <c r="O4538" i="7"/>
  <c r="U4537" i="7"/>
  <c r="T4537" i="7"/>
  <c r="S4537" i="7"/>
  <c r="R4537" i="7"/>
  <c r="Q4537" i="7"/>
  <c r="P4537" i="7"/>
  <c r="O4537" i="7"/>
  <c r="U4536" i="7"/>
  <c r="T4536" i="7"/>
  <c r="S4536" i="7"/>
  <c r="R4536" i="7"/>
  <c r="Q4536" i="7"/>
  <c r="P4536" i="7"/>
  <c r="O4536" i="7"/>
  <c r="U4535" i="7"/>
  <c r="T4535" i="7"/>
  <c r="S4535" i="7"/>
  <c r="R4535" i="7"/>
  <c r="Q4535" i="7"/>
  <c r="P4535" i="7"/>
  <c r="O4535" i="7"/>
  <c r="U4534" i="7"/>
  <c r="T4534" i="7"/>
  <c r="S4534" i="7"/>
  <c r="R4534" i="7"/>
  <c r="Q4534" i="7"/>
  <c r="P4534" i="7"/>
  <c r="O4534" i="7"/>
  <c r="U4533" i="7"/>
  <c r="T4533" i="7"/>
  <c r="S4533" i="7"/>
  <c r="R4533" i="7"/>
  <c r="Q4533" i="7"/>
  <c r="P4533" i="7"/>
  <c r="O4533" i="7"/>
  <c r="U4532" i="7"/>
  <c r="T4532" i="7"/>
  <c r="S4532" i="7"/>
  <c r="R4532" i="7"/>
  <c r="Q4532" i="7"/>
  <c r="P4532" i="7"/>
  <c r="O4532" i="7"/>
  <c r="U4531" i="7"/>
  <c r="T4531" i="7"/>
  <c r="S4531" i="7"/>
  <c r="R4531" i="7"/>
  <c r="Q4531" i="7"/>
  <c r="P4531" i="7"/>
  <c r="O4531" i="7"/>
  <c r="U4530" i="7"/>
  <c r="T4530" i="7"/>
  <c r="S4530" i="7"/>
  <c r="R4530" i="7"/>
  <c r="Q4530" i="7"/>
  <c r="P4530" i="7"/>
  <c r="O4530" i="7"/>
  <c r="U4529" i="7"/>
  <c r="T4529" i="7"/>
  <c r="S4529" i="7"/>
  <c r="R4529" i="7"/>
  <c r="Q4529" i="7"/>
  <c r="P4529" i="7"/>
  <c r="O4529" i="7"/>
  <c r="U4528" i="7"/>
  <c r="T4528" i="7"/>
  <c r="S4528" i="7"/>
  <c r="R4528" i="7"/>
  <c r="Q4528" i="7"/>
  <c r="P4528" i="7"/>
  <c r="O4528" i="7"/>
  <c r="U4527" i="7"/>
  <c r="T4527" i="7"/>
  <c r="S4527" i="7"/>
  <c r="R4527" i="7"/>
  <c r="Q4527" i="7"/>
  <c r="P4527" i="7"/>
  <c r="O4527" i="7"/>
  <c r="U4526" i="7"/>
  <c r="T4526" i="7"/>
  <c r="S4526" i="7"/>
  <c r="R4526" i="7"/>
  <c r="Q4526" i="7"/>
  <c r="P4526" i="7"/>
  <c r="O4526" i="7"/>
  <c r="U4525" i="7"/>
  <c r="T4525" i="7"/>
  <c r="S4525" i="7"/>
  <c r="R4525" i="7"/>
  <c r="Q4525" i="7"/>
  <c r="P4525" i="7"/>
  <c r="O4525" i="7"/>
  <c r="U4524" i="7"/>
  <c r="T4524" i="7"/>
  <c r="S4524" i="7"/>
  <c r="R4524" i="7"/>
  <c r="Q4524" i="7"/>
  <c r="P4524" i="7"/>
  <c r="O4524" i="7"/>
  <c r="U4523" i="7"/>
  <c r="T4523" i="7"/>
  <c r="S4523" i="7"/>
  <c r="R4523" i="7"/>
  <c r="Q4523" i="7"/>
  <c r="P4523" i="7"/>
  <c r="O4523" i="7"/>
  <c r="U4522" i="7"/>
  <c r="T4522" i="7"/>
  <c r="S4522" i="7"/>
  <c r="R4522" i="7"/>
  <c r="Q4522" i="7"/>
  <c r="P4522" i="7"/>
  <c r="O4522" i="7"/>
  <c r="U4521" i="7"/>
  <c r="T4521" i="7"/>
  <c r="S4521" i="7"/>
  <c r="R4521" i="7"/>
  <c r="Q4521" i="7"/>
  <c r="P4521" i="7"/>
  <c r="O4521" i="7"/>
  <c r="U4520" i="7"/>
  <c r="T4520" i="7"/>
  <c r="S4520" i="7"/>
  <c r="R4520" i="7"/>
  <c r="Q4520" i="7"/>
  <c r="P4520" i="7"/>
  <c r="O4520" i="7"/>
  <c r="U4519" i="7"/>
  <c r="T4519" i="7"/>
  <c r="S4519" i="7"/>
  <c r="R4519" i="7"/>
  <c r="Q4519" i="7"/>
  <c r="P4519" i="7"/>
  <c r="O4519" i="7"/>
  <c r="U4518" i="7"/>
  <c r="T4518" i="7"/>
  <c r="S4518" i="7"/>
  <c r="R4518" i="7"/>
  <c r="Q4518" i="7"/>
  <c r="P4518" i="7"/>
  <c r="O4518" i="7"/>
  <c r="U4517" i="7"/>
  <c r="T4517" i="7"/>
  <c r="S4517" i="7"/>
  <c r="R4517" i="7"/>
  <c r="Q4517" i="7"/>
  <c r="P4517" i="7"/>
  <c r="O4517" i="7"/>
  <c r="U4516" i="7"/>
  <c r="T4516" i="7"/>
  <c r="S4516" i="7"/>
  <c r="R4516" i="7"/>
  <c r="Q4516" i="7"/>
  <c r="P4516" i="7"/>
  <c r="O4516" i="7"/>
  <c r="U4515" i="7"/>
  <c r="T4515" i="7"/>
  <c r="S4515" i="7"/>
  <c r="R4515" i="7"/>
  <c r="Q4515" i="7"/>
  <c r="P4515" i="7"/>
  <c r="O4515" i="7"/>
  <c r="U4514" i="7"/>
  <c r="T4514" i="7"/>
  <c r="S4514" i="7"/>
  <c r="R4514" i="7"/>
  <c r="Q4514" i="7"/>
  <c r="P4514" i="7"/>
  <c r="O4514" i="7"/>
  <c r="U4513" i="7"/>
  <c r="T4513" i="7"/>
  <c r="S4513" i="7"/>
  <c r="R4513" i="7"/>
  <c r="Q4513" i="7"/>
  <c r="P4513" i="7"/>
  <c r="O4513" i="7"/>
  <c r="U4512" i="7"/>
  <c r="T4512" i="7"/>
  <c r="S4512" i="7"/>
  <c r="R4512" i="7"/>
  <c r="Q4512" i="7"/>
  <c r="P4512" i="7"/>
  <c r="O4512" i="7"/>
  <c r="U4511" i="7"/>
  <c r="T4511" i="7"/>
  <c r="S4511" i="7"/>
  <c r="R4511" i="7"/>
  <c r="Q4511" i="7"/>
  <c r="P4511" i="7"/>
  <c r="O4511" i="7"/>
  <c r="U4510" i="7"/>
  <c r="T4510" i="7"/>
  <c r="S4510" i="7"/>
  <c r="R4510" i="7"/>
  <c r="Q4510" i="7"/>
  <c r="P4510" i="7"/>
  <c r="O4510" i="7"/>
  <c r="U4509" i="7"/>
  <c r="T4509" i="7"/>
  <c r="S4509" i="7"/>
  <c r="R4509" i="7"/>
  <c r="Q4509" i="7"/>
  <c r="P4509" i="7"/>
  <c r="O4509" i="7"/>
  <c r="U4508" i="7"/>
  <c r="T4508" i="7"/>
  <c r="S4508" i="7"/>
  <c r="R4508" i="7"/>
  <c r="Q4508" i="7"/>
  <c r="P4508" i="7"/>
  <c r="O4508" i="7"/>
  <c r="U4507" i="7"/>
  <c r="T4507" i="7"/>
  <c r="S4507" i="7"/>
  <c r="R4507" i="7"/>
  <c r="Q4507" i="7"/>
  <c r="P4507" i="7"/>
  <c r="O4507" i="7"/>
  <c r="U4506" i="7"/>
  <c r="T4506" i="7"/>
  <c r="S4506" i="7"/>
  <c r="R4506" i="7"/>
  <c r="Q4506" i="7"/>
  <c r="P4506" i="7"/>
  <c r="O4506" i="7"/>
  <c r="U4505" i="7"/>
  <c r="T4505" i="7"/>
  <c r="S4505" i="7"/>
  <c r="R4505" i="7"/>
  <c r="Q4505" i="7"/>
  <c r="P4505" i="7"/>
  <c r="O4505" i="7"/>
  <c r="U4504" i="7"/>
  <c r="T4504" i="7"/>
  <c r="S4504" i="7"/>
  <c r="R4504" i="7"/>
  <c r="Q4504" i="7"/>
  <c r="P4504" i="7"/>
  <c r="O4504" i="7"/>
  <c r="U4503" i="7"/>
  <c r="T4503" i="7"/>
  <c r="S4503" i="7"/>
  <c r="R4503" i="7"/>
  <c r="Q4503" i="7"/>
  <c r="P4503" i="7"/>
  <c r="O4503" i="7"/>
  <c r="U4502" i="7"/>
  <c r="T4502" i="7"/>
  <c r="S4502" i="7"/>
  <c r="R4502" i="7"/>
  <c r="Q4502" i="7"/>
  <c r="P4502" i="7"/>
  <c r="O4502" i="7"/>
  <c r="U4501" i="7"/>
  <c r="T4501" i="7"/>
  <c r="S4501" i="7"/>
  <c r="R4501" i="7"/>
  <c r="Q4501" i="7"/>
  <c r="P4501" i="7"/>
  <c r="O4501" i="7"/>
  <c r="U4500" i="7"/>
  <c r="T4500" i="7"/>
  <c r="S4500" i="7"/>
  <c r="R4500" i="7"/>
  <c r="Q4500" i="7"/>
  <c r="P4500" i="7"/>
  <c r="O4500" i="7"/>
  <c r="U4499" i="7"/>
  <c r="T4499" i="7"/>
  <c r="S4499" i="7"/>
  <c r="R4499" i="7"/>
  <c r="Q4499" i="7"/>
  <c r="P4499" i="7"/>
  <c r="O4499" i="7"/>
  <c r="U4498" i="7"/>
  <c r="T4498" i="7"/>
  <c r="S4498" i="7"/>
  <c r="R4498" i="7"/>
  <c r="Q4498" i="7"/>
  <c r="P4498" i="7"/>
  <c r="O4498" i="7"/>
  <c r="U4497" i="7"/>
  <c r="T4497" i="7"/>
  <c r="S4497" i="7"/>
  <c r="R4497" i="7"/>
  <c r="Q4497" i="7"/>
  <c r="P4497" i="7"/>
  <c r="O4497" i="7"/>
  <c r="U4496" i="7"/>
  <c r="T4496" i="7"/>
  <c r="S4496" i="7"/>
  <c r="R4496" i="7"/>
  <c r="Q4496" i="7"/>
  <c r="P4496" i="7"/>
  <c r="O4496" i="7"/>
  <c r="U4495" i="7"/>
  <c r="T4495" i="7"/>
  <c r="S4495" i="7"/>
  <c r="R4495" i="7"/>
  <c r="Q4495" i="7"/>
  <c r="P4495" i="7"/>
  <c r="O4495" i="7"/>
  <c r="U4494" i="7"/>
  <c r="T4494" i="7"/>
  <c r="S4494" i="7"/>
  <c r="R4494" i="7"/>
  <c r="Q4494" i="7"/>
  <c r="P4494" i="7"/>
  <c r="O4494" i="7"/>
  <c r="U4493" i="7"/>
  <c r="T4493" i="7"/>
  <c r="S4493" i="7"/>
  <c r="R4493" i="7"/>
  <c r="Q4493" i="7"/>
  <c r="P4493" i="7"/>
  <c r="O4493" i="7"/>
  <c r="U4492" i="7"/>
  <c r="T4492" i="7"/>
  <c r="S4492" i="7"/>
  <c r="R4492" i="7"/>
  <c r="Q4492" i="7"/>
  <c r="P4492" i="7"/>
  <c r="O4492" i="7"/>
  <c r="U4491" i="7"/>
  <c r="T4491" i="7"/>
  <c r="S4491" i="7"/>
  <c r="R4491" i="7"/>
  <c r="Q4491" i="7"/>
  <c r="P4491" i="7"/>
  <c r="O4491" i="7"/>
  <c r="U4490" i="7"/>
  <c r="T4490" i="7"/>
  <c r="S4490" i="7"/>
  <c r="R4490" i="7"/>
  <c r="Q4490" i="7"/>
  <c r="P4490" i="7"/>
  <c r="O4490" i="7"/>
  <c r="U4489" i="7"/>
  <c r="T4489" i="7"/>
  <c r="S4489" i="7"/>
  <c r="R4489" i="7"/>
  <c r="Q4489" i="7"/>
  <c r="P4489" i="7"/>
  <c r="O4489" i="7"/>
  <c r="U4488" i="7"/>
  <c r="T4488" i="7"/>
  <c r="S4488" i="7"/>
  <c r="R4488" i="7"/>
  <c r="Q4488" i="7"/>
  <c r="P4488" i="7"/>
  <c r="O4488" i="7"/>
  <c r="U4487" i="7"/>
  <c r="T4487" i="7"/>
  <c r="S4487" i="7"/>
  <c r="R4487" i="7"/>
  <c r="Q4487" i="7"/>
  <c r="P4487" i="7"/>
  <c r="O4487" i="7"/>
  <c r="U4486" i="7"/>
  <c r="T4486" i="7"/>
  <c r="S4486" i="7"/>
  <c r="R4486" i="7"/>
  <c r="Q4486" i="7"/>
  <c r="P4486" i="7"/>
  <c r="O4486" i="7"/>
  <c r="U4485" i="7"/>
  <c r="T4485" i="7"/>
  <c r="S4485" i="7"/>
  <c r="R4485" i="7"/>
  <c r="Q4485" i="7"/>
  <c r="P4485" i="7"/>
  <c r="O4485" i="7"/>
  <c r="U4484" i="7"/>
  <c r="T4484" i="7"/>
  <c r="S4484" i="7"/>
  <c r="R4484" i="7"/>
  <c r="Q4484" i="7"/>
  <c r="P4484" i="7"/>
  <c r="O4484" i="7"/>
  <c r="U4483" i="7"/>
  <c r="T4483" i="7"/>
  <c r="S4483" i="7"/>
  <c r="R4483" i="7"/>
  <c r="Q4483" i="7"/>
  <c r="P4483" i="7"/>
  <c r="O4483" i="7"/>
  <c r="U4482" i="7"/>
  <c r="T4482" i="7"/>
  <c r="S4482" i="7"/>
  <c r="R4482" i="7"/>
  <c r="Q4482" i="7"/>
  <c r="P4482" i="7"/>
  <c r="O4482" i="7"/>
  <c r="U4481" i="7"/>
  <c r="T4481" i="7"/>
  <c r="S4481" i="7"/>
  <c r="R4481" i="7"/>
  <c r="Q4481" i="7"/>
  <c r="P4481" i="7"/>
  <c r="O4481" i="7"/>
  <c r="U4480" i="7"/>
  <c r="T4480" i="7"/>
  <c r="S4480" i="7"/>
  <c r="R4480" i="7"/>
  <c r="Q4480" i="7"/>
  <c r="P4480" i="7"/>
  <c r="O4480" i="7"/>
  <c r="U4479" i="7"/>
  <c r="T4479" i="7"/>
  <c r="S4479" i="7"/>
  <c r="R4479" i="7"/>
  <c r="Q4479" i="7"/>
  <c r="P4479" i="7"/>
  <c r="O4479" i="7"/>
  <c r="U4478" i="7"/>
  <c r="T4478" i="7"/>
  <c r="S4478" i="7"/>
  <c r="R4478" i="7"/>
  <c r="Q4478" i="7"/>
  <c r="P4478" i="7"/>
  <c r="O4478" i="7"/>
  <c r="U4477" i="7"/>
  <c r="T4477" i="7"/>
  <c r="S4477" i="7"/>
  <c r="R4477" i="7"/>
  <c r="Q4477" i="7"/>
  <c r="P4477" i="7"/>
  <c r="O4477" i="7"/>
  <c r="U4476" i="7"/>
  <c r="T4476" i="7"/>
  <c r="S4476" i="7"/>
  <c r="R4476" i="7"/>
  <c r="Q4476" i="7"/>
  <c r="P4476" i="7"/>
  <c r="O4476" i="7"/>
  <c r="U4475" i="7"/>
  <c r="T4475" i="7"/>
  <c r="S4475" i="7"/>
  <c r="R4475" i="7"/>
  <c r="Q4475" i="7"/>
  <c r="P4475" i="7"/>
  <c r="O4475" i="7"/>
  <c r="U4474" i="7"/>
  <c r="T4474" i="7"/>
  <c r="S4474" i="7"/>
  <c r="R4474" i="7"/>
  <c r="Q4474" i="7"/>
  <c r="P4474" i="7"/>
  <c r="O4474" i="7"/>
  <c r="U4473" i="7"/>
  <c r="T4473" i="7"/>
  <c r="S4473" i="7"/>
  <c r="R4473" i="7"/>
  <c r="Q4473" i="7"/>
  <c r="P4473" i="7"/>
  <c r="O4473" i="7"/>
  <c r="U4472" i="7"/>
  <c r="T4472" i="7"/>
  <c r="S4472" i="7"/>
  <c r="R4472" i="7"/>
  <c r="Q4472" i="7"/>
  <c r="P4472" i="7"/>
  <c r="O4472" i="7"/>
  <c r="U4471" i="7"/>
  <c r="T4471" i="7"/>
  <c r="S4471" i="7"/>
  <c r="R4471" i="7"/>
  <c r="Q4471" i="7"/>
  <c r="P4471" i="7"/>
  <c r="O4471" i="7"/>
  <c r="U4470" i="7"/>
  <c r="T4470" i="7"/>
  <c r="S4470" i="7"/>
  <c r="R4470" i="7"/>
  <c r="Q4470" i="7"/>
  <c r="P4470" i="7"/>
  <c r="O4470" i="7"/>
  <c r="U4469" i="7"/>
  <c r="T4469" i="7"/>
  <c r="S4469" i="7"/>
  <c r="R4469" i="7"/>
  <c r="Q4469" i="7"/>
  <c r="P4469" i="7"/>
  <c r="O4469" i="7"/>
  <c r="U4468" i="7"/>
  <c r="T4468" i="7"/>
  <c r="S4468" i="7"/>
  <c r="R4468" i="7"/>
  <c r="Q4468" i="7"/>
  <c r="P4468" i="7"/>
  <c r="O4468" i="7"/>
  <c r="U4467" i="7"/>
  <c r="T4467" i="7"/>
  <c r="S4467" i="7"/>
  <c r="R4467" i="7"/>
  <c r="Q4467" i="7"/>
  <c r="P4467" i="7"/>
  <c r="O4467" i="7"/>
  <c r="U4466" i="7"/>
  <c r="T4466" i="7"/>
  <c r="S4466" i="7"/>
  <c r="R4466" i="7"/>
  <c r="Q4466" i="7"/>
  <c r="P4466" i="7"/>
  <c r="O4466" i="7"/>
  <c r="U4465" i="7"/>
  <c r="T4465" i="7"/>
  <c r="S4465" i="7"/>
  <c r="R4465" i="7"/>
  <c r="Q4465" i="7"/>
  <c r="P4465" i="7"/>
  <c r="O4465" i="7"/>
  <c r="U4464" i="7"/>
  <c r="T4464" i="7"/>
  <c r="S4464" i="7"/>
  <c r="R4464" i="7"/>
  <c r="Q4464" i="7"/>
  <c r="P4464" i="7"/>
  <c r="O4464" i="7"/>
  <c r="U4463" i="7"/>
  <c r="T4463" i="7"/>
  <c r="S4463" i="7"/>
  <c r="R4463" i="7"/>
  <c r="Q4463" i="7"/>
  <c r="P4463" i="7"/>
  <c r="O4463" i="7"/>
  <c r="U4462" i="7"/>
  <c r="T4462" i="7"/>
  <c r="S4462" i="7"/>
  <c r="R4462" i="7"/>
  <c r="Q4462" i="7"/>
  <c r="P4462" i="7"/>
  <c r="O4462" i="7"/>
  <c r="U4461" i="7"/>
  <c r="T4461" i="7"/>
  <c r="S4461" i="7"/>
  <c r="R4461" i="7"/>
  <c r="Q4461" i="7"/>
  <c r="P4461" i="7"/>
  <c r="O4461" i="7"/>
  <c r="U4460" i="7"/>
  <c r="T4460" i="7"/>
  <c r="S4460" i="7"/>
  <c r="R4460" i="7"/>
  <c r="Q4460" i="7"/>
  <c r="P4460" i="7"/>
  <c r="O4460" i="7"/>
  <c r="U4459" i="7"/>
  <c r="T4459" i="7"/>
  <c r="S4459" i="7"/>
  <c r="R4459" i="7"/>
  <c r="Q4459" i="7"/>
  <c r="P4459" i="7"/>
  <c r="O4459" i="7"/>
  <c r="U4458" i="7"/>
  <c r="T4458" i="7"/>
  <c r="S4458" i="7"/>
  <c r="R4458" i="7"/>
  <c r="Q4458" i="7"/>
  <c r="P4458" i="7"/>
  <c r="O4458" i="7"/>
  <c r="U4457" i="7"/>
  <c r="T4457" i="7"/>
  <c r="S4457" i="7"/>
  <c r="R4457" i="7"/>
  <c r="Q4457" i="7"/>
  <c r="P4457" i="7"/>
  <c r="O4457" i="7"/>
  <c r="U4456" i="7"/>
  <c r="T4456" i="7"/>
  <c r="S4456" i="7"/>
  <c r="R4456" i="7"/>
  <c r="Q4456" i="7"/>
  <c r="P4456" i="7"/>
  <c r="O4456" i="7"/>
  <c r="U4455" i="7"/>
  <c r="T4455" i="7"/>
  <c r="S4455" i="7"/>
  <c r="R4455" i="7"/>
  <c r="Q4455" i="7"/>
  <c r="P4455" i="7"/>
  <c r="O4455" i="7"/>
  <c r="U4454" i="7"/>
  <c r="T4454" i="7"/>
  <c r="S4454" i="7"/>
  <c r="R4454" i="7"/>
  <c r="Q4454" i="7"/>
  <c r="P4454" i="7"/>
  <c r="O4454" i="7"/>
  <c r="U4453" i="7"/>
  <c r="T4453" i="7"/>
  <c r="S4453" i="7"/>
  <c r="R4453" i="7"/>
  <c r="Q4453" i="7"/>
  <c r="P4453" i="7"/>
  <c r="O4453" i="7"/>
  <c r="U4452" i="7"/>
  <c r="T4452" i="7"/>
  <c r="S4452" i="7"/>
  <c r="R4452" i="7"/>
  <c r="Q4452" i="7"/>
  <c r="P4452" i="7"/>
  <c r="O4452" i="7"/>
  <c r="U4451" i="7"/>
  <c r="T4451" i="7"/>
  <c r="S4451" i="7"/>
  <c r="R4451" i="7"/>
  <c r="Q4451" i="7"/>
  <c r="P4451" i="7"/>
  <c r="O4451" i="7"/>
  <c r="U4450" i="7"/>
  <c r="T4450" i="7"/>
  <c r="S4450" i="7"/>
  <c r="R4450" i="7"/>
  <c r="Q4450" i="7"/>
  <c r="P4450" i="7"/>
  <c r="O4450" i="7"/>
  <c r="U4449" i="7"/>
  <c r="T4449" i="7"/>
  <c r="S4449" i="7"/>
  <c r="R4449" i="7"/>
  <c r="Q4449" i="7"/>
  <c r="P4449" i="7"/>
  <c r="O4449" i="7"/>
  <c r="U4448" i="7"/>
  <c r="T4448" i="7"/>
  <c r="S4448" i="7"/>
  <c r="R4448" i="7"/>
  <c r="Q4448" i="7"/>
  <c r="P4448" i="7"/>
  <c r="O4448" i="7"/>
  <c r="U4447" i="7"/>
  <c r="T4447" i="7"/>
  <c r="S4447" i="7"/>
  <c r="R4447" i="7"/>
  <c r="Q4447" i="7"/>
  <c r="P4447" i="7"/>
  <c r="O4447" i="7"/>
  <c r="U4446" i="7"/>
  <c r="T4446" i="7"/>
  <c r="S4446" i="7"/>
  <c r="R4446" i="7"/>
  <c r="Q4446" i="7"/>
  <c r="P4446" i="7"/>
  <c r="O4446" i="7"/>
  <c r="U4445" i="7"/>
  <c r="T4445" i="7"/>
  <c r="S4445" i="7"/>
  <c r="R4445" i="7"/>
  <c r="Q4445" i="7"/>
  <c r="P4445" i="7"/>
  <c r="O4445" i="7"/>
  <c r="U4444" i="7"/>
  <c r="T4444" i="7"/>
  <c r="S4444" i="7"/>
  <c r="R4444" i="7"/>
  <c r="Q4444" i="7"/>
  <c r="P4444" i="7"/>
  <c r="O4444" i="7"/>
  <c r="U4443" i="7"/>
  <c r="T4443" i="7"/>
  <c r="S4443" i="7"/>
  <c r="R4443" i="7"/>
  <c r="Q4443" i="7"/>
  <c r="P4443" i="7"/>
  <c r="O4443" i="7"/>
  <c r="U4442" i="7"/>
  <c r="T4442" i="7"/>
  <c r="S4442" i="7"/>
  <c r="R4442" i="7"/>
  <c r="Q4442" i="7"/>
  <c r="P4442" i="7"/>
  <c r="O4442" i="7"/>
  <c r="U4441" i="7"/>
  <c r="T4441" i="7"/>
  <c r="S4441" i="7"/>
  <c r="R4441" i="7"/>
  <c r="Q4441" i="7"/>
  <c r="P4441" i="7"/>
  <c r="O4441" i="7"/>
  <c r="U4440" i="7"/>
  <c r="T4440" i="7"/>
  <c r="S4440" i="7"/>
  <c r="R4440" i="7"/>
  <c r="Q4440" i="7"/>
  <c r="P4440" i="7"/>
  <c r="O4440" i="7"/>
  <c r="U4439" i="7"/>
  <c r="T4439" i="7"/>
  <c r="S4439" i="7"/>
  <c r="R4439" i="7"/>
  <c r="Q4439" i="7"/>
  <c r="P4439" i="7"/>
  <c r="O4439" i="7"/>
  <c r="U4438" i="7"/>
  <c r="T4438" i="7"/>
  <c r="S4438" i="7"/>
  <c r="R4438" i="7"/>
  <c r="Q4438" i="7"/>
  <c r="P4438" i="7"/>
  <c r="O4438" i="7"/>
  <c r="U4437" i="7"/>
  <c r="T4437" i="7"/>
  <c r="S4437" i="7"/>
  <c r="R4437" i="7"/>
  <c r="Q4437" i="7"/>
  <c r="P4437" i="7"/>
  <c r="O4437" i="7"/>
  <c r="U4436" i="7"/>
  <c r="T4436" i="7"/>
  <c r="S4436" i="7"/>
  <c r="R4436" i="7"/>
  <c r="Q4436" i="7"/>
  <c r="P4436" i="7"/>
  <c r="O4436" i="7"/>
  <c r="U4435" i="7"/>
  <c r="T4435" i="7"/>
  <c r="S4435" i="7"/>
  <c r="R4435" i="7"/>
  <c r="Q4435" i="7"/>
  <c r="P4435" i="7"/>
  <c r="O4435" i="7"/>
  <c r="U4434" i="7"/>
  <c r="T4434" i="7"/>
  <c r="S4434" i="7"/>
  <c r="R4434" i="7"/>
  <c r="Q4434" i="7"/>
  <c r="P4434" i="7"/>
  <c r="O4434" i="7"/>
  <c r="U4433" i="7"/>
  <c r="T4433" i="7"/>
  <c r="S4433" i="7"/>
  <c r="R4433" i="7"/>
  <c r="Q4433" i="7"/>
  <c r="P4433" i="7"/>
  <c r="O4433" i="7"/>
  <c r="U4432" i="7"/>
  <c r="T4432" i="7"/>
  <c r="S4432" i="7"/>
  <c r="R4432" i="7"/>
  <c r="Q4432" i="7"/>
  <c r="P4432" i="7"/>
  <c r="O4432" i="7"/>
  <c r="U4431" i="7"/>
  <c r="T4431" i="7"/>
  <c r="S4431" i="7"/>
  <c r="R4431" i="7"/>
  <c r="Q4431" i="7"/>
  <c r="P4431" i="7"/>
  <c r="O4431" i="7"/>
  <c r="U4430" i="7"/>
  <c r="T4430" i="7"/>
  <c r="S4430" i="7"/>
  <c r="R4430" i="7"/>
  <c r="Q4430" i="7"/>
  <c r="P4430" i="7"/>
  <c r="O4430" i="7"/>
  <c r="U4429" i="7"/>
  <c r="T4429" i="7"/>
  <c r="S4429" i="7"/>
  <c r="R4429" i="7"/>
  <c r="Q4429" i="7"/>
  <c r="P4429" i="7"/>
  <c r="O4429" i="7"/>
  <c r="U4428" i="7"/>
  <c r="T4428" i="7"/>
  <c r="S4428" i="7"/>
  <c r="R4428" i="7"/>
  <c r="Q4428" i="7"/>
  <c r="P4428" i="7"/>
  <c r="O4428" i="7"/>
  <c r="U4427" i="7"/>
  <c r="T4427" i="7"/>
  <c r="S4427" i="7"/>
  <c r="R4427" i="7"/>
  <c r="Q4427" i="7"/>
  <c r="P4427" i="7"/>
  <c r="O4427" i="7"/>
  <c r="U4426" i="7"/>
  <c r="T4426" i="7"/>
  <c r="S4426" i="7"/>
  <c r="R4426" i="7"/>
  <c r="Q4426" i="7"/>
  <c r="P4426" i="7"/>
  <c r="O4426" i="7"/>
  <c r="U4425" i="7"/>
  <c r="T4425" i="7"/>
  <c r="S4425" i="7"/>
  <c r="R4425" i="7"/>
  <c r="Q4425" i="7"/>
  <c r="P4425" i="7"/>
  <c r="O4425" i="7"/>
  <c r="U4424" i="7"/>
  <c r="T4424" i="7"/>
  <c r="S4424" i="7"/>
  <c r="R4424" i="7"/>
  <c r="Q4424" i="7"/>
  <c r="P4424" i="7"/>
  <c r="O4424" i="7"/>
  <c r="U4423" i="7"/>
  <c r="T4423" i="7"/>
  <c r="S4423" i="7"/>
  <c r="R4423" i="7"/>
  <c r="Q4423" i="7"/>
  <c r="P4423" i="7"/>
  <c r="O4423" i="7"/>
  <c r="U4422" i="7"/>
  <c r="T4422" i="7"/>
  <c r="S4422" i="7"/>
  <c r="R4422" i="7"/>
  <c r="Q4422" i="7"/>
  <c r="P4422" i="7"/>
  <c r="O4422" i="7"/>
  <c r="U4421" i="7"/>
  <c r="T4421" i="7"/>
  <c r="S4421" i="7"/>
  <c r="R4421" i="7"/>
  <c r="Q4421" i="7"/>
  <c r="P4421" i="7"/>
  <c r="O4421" i="7"/>
  <c r="U4420" i="7"/>
  <c r="T4420" i="7"/>
  <c r="S4420" i="7"/>
  <c r="R4420" i="7"/>
  <c r="Q4420" i="7"/>
  <c r="P4420" i="7"/>
  <c r="O4420" i="7"/>
  <c r="U4419" i="7"/>
  <c r="T4419" i="7"/>
  <c r="S4419" i="7"/>
  <c r="R4419" i="7"/>
  <c r="Q4419" i="7"/>
  <c r="P4419" i="7"/>
  <c r="O4419" i="7"/>
  <c r="U4418" i="7"/>
  <c r="T4418" i="7"/>
  <c r="S4418" i="7"/>
  <c r="R4418" i="7"/>
  <c r="Q4418" i="7"/>
  <c r="P4418" i="7"/>
  <c r="O4418" i="7"/>
  <c r="U4417" i="7"/>
  <c r="T4417" i="7"/>
  <c r="S4417" i="7"/>
  <c r="R4417" i="7"/>
  <c r="Q4417" i="7"/>
  <c r="P4417" i="7"/>
  <c r="O4417" i="7"/>
  <c r="U4416" i="7"/>
  <c r="T4416" i="7"/>
  <c r="S4416" i="7"/>
  <c r="R4416" i="7"/>
  <c r="Q4416" i="7"/>
  <c r="P4416" i="7"/>
  <c r="O4416" i="7"/>
  <c r="U4415" i="7"/>
  <c r="T4415" i="7"/>
  <c r="S4415" i="7"/>
  <c r="R4415" i="7"/>
  <c r="Q4415" i="7"/>
  <c r="P4415" i="7"/>
  <c r="O4415" i="7"/>
  <c r="U4414" i="7"/>
  <c r="T4414" i="7"/>
  <c r="S4414" i="7"/>
  <c r="R4414" i="7"/>
  <c r="Q4414" i="7"/>
  <c r="P4414" i="7"/>
  <c r="O4414" i="7"/>
  <c r="U4413" i="7"/>
  <c r="T4413" i="7"/>
  <c r="S4413" i="7"/>
  <c r="R4413" i="7"/>
  <c r="Q4413" i="7"/>
  <c r="P4413" i="7"/>
  <c r="O4413" i="7"/>
  <c r="U4412" i="7"/>
  <c r="T4412" i="7"/>
  <c r="S4412" i="7"/>
  <c r="R4412" i="7"/>
  <c r="Q4412" i="7"/>
  <c r="P4412" i="7"/>
  <c r="O4412" i="7"/>
  <c r="U4411" i="7"/>
  <c r="T4411" i="7"/>
  <c r="S4411" i="7"/>
  <c r="R4411" i="7"/>
  <c r="Q4411" i="7"/>
  <c r="P4411" i="7"/>
  <c r="O4411" i="7"/>
  <c r="U4410" i="7"/>
  <c r="T4410" i="7"/>
  <c r="S4410" i="7"/>
  <c r="R4410" i="7"/>
  <c r="Q4410" i="7"/>
  <c r="P4410" i="7"/>
  <c r="O4410" i="7"/>
  <c r="U4409" i="7"/>
  <c r="T4409" i="7"/>
  <c r="S4409" i="7"/>
  <c r="R4409" i="7"/>
  <c r="Q4409" i="7"/>
  <c r="P4409" i="7"/>
  <c r="O4409" i="7"/>
  <c r="U4408" i="7"/>
  <c r="T4408" i="7"/>
  <c r="S4408" i="7"/>
  <c r="R4408" i="7"/>
  <c r="Q4408" i="7"/>
  <c r="P4408" i="7"/>
  <c r="O4408" i="7"/>
  <c r="U4407" i="7"/>
  <c r="T4407" i="7"/>
  <c r="S4407" i="7"/>
  <c r="R4407" i="7"/>
  <c r="Q4407" i="7"/>
  <c r="P4407" i="7"/>
  <c r="O4407" i="7"/>
  <c r="U4406" i="7"/>
  <c r="T4406" i="7"/>
  <c r="S4406" i="7"/>
  <c r="R4406" i="7"/>
  <c r="Q4406" i="7"/>
  <c r="P4406" i="7"/>
  <c r="O4406" i="7"/>
  <c r="U4405" i="7"/>
  <c r="T4405" i="7"/>
  <c r="S4405" i="7"/>
  <c r="R4405" i="7"/>
  <c r="Q4405" i="7"/>
  <c r="P4405" i="7"/>
  <c r="O4405" i="7"/>
  <c r="U4404" i="7"/>
  <c r="T4404" i="7"/>
  <c r="S4404" i="7"/>
  <c r="R4404" i="7"/>
  <c r="Q4404" i="7"/>
  <c r="P4404" i="7"/>
  <c r="O4404" i="7"/>
  <c r="U4403" i="7"/>
  <c r="T4403" i="7"/>
  <c r="S4403" i="7"/>
  <c r="R4403" i="7"/>
  <c r="Q4403" i="7"/>
  <c r="P4403" i="7"/>
  <c r="O4403" i="7"/>
  <c r="U4402" i="7"/>
  <c r="T4402" i="7"/>
  <c r="S4402" i="7"/>
  <c r="R4402" i="7"/>
  <c r="Q4402" i="7"/>
  <c r="P4402" i="7"/>
  <c r="O4402" i="7"/>
  <c r="U4401" i="7"/>
  <c r="T4401" i="7"/>
  <c r="S4401" i="7"/>
  <c r="R4401" i="7"/>
  <c r="Q4401" i="7"/>
  <c r="P4401" i="7"/>
  <c r="O4401" i="7"/>
  <c r="U4400" i="7"/>
  <c r="T4400" i="7"/>
  <c r="S4400" i="7"/>
  <c r="R4400" i="7"/>
  <c r="Q4400" i="7"/>
  <c r="P4400" i="7"/>
  <c r="O4400" i="7"/>
  <c r="U4399" i="7"/>
  <c r="T4399" i="7"/>
  <c r="S4399" i="7"/>
  <c r="R4399" i="7"/>
  <c r="Q4399" i="7"/>
  <c r="P4399" i="7"/>
  <c r="O4399" i="7"/>
  <c r="U4398" i="7"/>
  <c r="T4398" i="7"/>
  <c r="S4398" i="7"/>
  <c r="R4398" i="7"/>
  <c r="Q4398" i="7"/>
  <c r="P4398" i="7"/>
  <c r="O4398" i="7"/>
  <c r="U4397" i="7"/>
  <c r="T4397" i="7"/>
  <c r="S4397" i="7"/>
  <c r="R4397" i="7"/>
  <c r="Q4397" i="7"/>
  <c r="P4397" i="7"/>
  <c r="O4397" i="7"/>
  <c r="U4396" i="7"/>
  <c r="T4396" i="7"/>
  <c r="S4396" i="7"/>
  <c r="R4396" i="7"/>
  <c r="Q4396" i="7"/>
  <c r="P4396" i="7"/>
  <c r="O4396" i="7"/>
  <c r="U4395" i="7"/>
  <c r="T4395" i="7"/>
  <c r="S4395" i="7"/>
  <c r="R4395" i="7"/>
  <c r="Q4395" i="7"/>
  <c r="P4395" i="7"/>
  <c r="O4395" i="7"/>
  <c r="U4394" i="7"/>
  <c r="T4394" i="7"/>
  <c r="S4394" i="7"/>
  <c r="R4394" i="7"/>
  <c r="Q4394" i="7"/>
  <c r="P4394" i="7"/>
  <c r="O4394" i="7"/>
  <c r="U4393" i="7"/>
  <c r="T4393" i="7"/>
  <c r="S4393" i="7"/>
  <c r="R4393" i="7"/>
  <c r="Q4393" i="7"/>
  <c r="P4393" i="7"/>
  <c r="O4393" i="7"/>
  <c r="U4392" i="7"/>
  <c r="T4392" i="7"/>
  <c r="S4392" i="7"/>
  <c r="R4392" i="7"/>
  <c r="Q4392" i="7"/>
  <c r="P4392" i="7"/>
  <c r="O4392" i="7"/>
  <c r="U4391" i="7"/>
  <c r="T4391" i="7"/>
  <c r="S4391" i="7"/>
  <c r="R4391" i="7"/>
  <c r="Q4391" i="7"/>
  <c r="P4391" i="7"/>
  <c r="O4391" i="7"/>
  <c r="U4390" i="7"/>
  <c r="T4390" i="7"/>
  <c r="S4390" i="7"/>
  <c r="R4390" i="7"/>
  <c r="Q4390" i="7"/>
  <c r="P4390" i="7"/>
  <c r="O4390" i="7"/>
  <c r="U4389" i="7"/>
  <c r="T4389" i="7"/>
  <c r="S4389" i="7"/>
  <c r="R4389" i="7"/>
  <c r="Q4389" i="7"/>
  <c r="P4389" i="7"/>
  <c r="O4389" i="7"/>
  <c r="U4388" i="7"/>
  <c r="T4388" i="7"/>
  <c r="S4388" i="7"/>
  <c r="R4388" i="7"/>
  <c r="Q4388" i="7"/>
  <c r="P4388" i="7"/>
  <c r="O4388" i="7"/>
  <c r="U4387" i="7"/>
  <c r="T4387" i="7"/>
  <c r="S4387" i="7"/>
  <c r="R4387" i="7"/>
  <c r="Q4387" i="7"/>
  <c r="P4387" i="7"/>
  <c r="O4387" i="7"/>
  <c r="U4386" i="7"/>
  <c r="T4386" i="7"/>
  <c r="S4386" i="7"/>
  <c r="R4386" i="7"/>
  <c r="Q4386" i="7"/>
  <c r="P4386" i="7"/>
  <c r="O4386" i="7"/>
  <c r="U4385" i="7"/>
  <c r="T4385" i="7"/>
  <c r="S4385" i="7"/>
  <c r="R4385" i="7"/>
  <c r="Q4385" i="7"/>
  <c r="P4385" i="7"/>
  <c r="O4385" i="7"/>
  <c r="U4384" i="7"/>
  <c r="T4384" i="7"/>
  <c r="S4384" i="7"/>
  <c r="R4384" i="7"/>
  <c r="Q4384" i="7"/>
  <c r="P4384" i="7"/>
  <c r="O4384" i="7"/>
  <c r="U4383" i="7"/>
  <c r="T4383" i="7"/>
  <c r="S4383" i="7"/>
  <c r="R4383" i="7"/>
  <c r="Q4383" i="7"/>
  <c r="P4383" i="7"/>
  <c r="O4383" i="7"/>
  <c r="U4382" i="7"/>
  <c r="T4382" i="7"/>
  <c r="S4382" i="7"/>
  <c r="R4382" i="7"/>
  <c r="Q4382" i="7"/>
  <c r="P4382" i="7"/>
  <c r="O4382" i="7"/>
  <c r="U4381" i="7"/>
  <c r="T4381" i="7"/>
  <c r="S4381" i="7"/>
  <c r="R4381" i="7"/>
  <c r="Q4381" i="7"/>
  <c r="P4381" i="7"/>
  <c r="O4381" i="7"/>
  <c r="U4380" i="7"/>
  <c r="T4380" i="7"/>
  <c r="S4380" i="7"/>
  <c r="R4380" i="7"/>
  <c r="Q4380" i="7"/>
  <c r="P4380" i="7"/>
  <c r="O4380" i="7"/>
  <c r="U4379" i="7"/>
  <c r="T4379" i="7"/>
  <c r="S4379" i="7"/>
  <c r="R4379" i="7"/>
  <c r="Q4379" i="7"/>
  <c r="P4379" i="7"/>
  <c r="O4379" i="7"/>
  <c r="U4378" i="7"/>
  <c r="T4378" i="7"/>
  <c r="S4378" i="7"/>
  <c r="R4378" i="7"/>
  <c r="Q4378" i="7"/>
  <c r="P4378" i="7"/>
  <c r="O4378" i="7"/>
  <c r="U4377" i="7"/>
  <c r="T4377" i="7"/>
  <c r="S4377" i="7"/>
  <c r="R4377" i="7"/>
  <c r="Q4377" i="7"/>
  <c r="P4377" i="7"/>
  <c r="O4377" i="7"/>
  <c r="U4376" i="7"/>
  <c r="T4376" i="7"/>
  <c r="S4376" i="7"/>
  <c r="R4376" i="7"/>
  <c r="Q4376" i="7"/>
  <c r="P4376" i="7"/>
  <c r="O4376" i="7"/>
  <c r="U4375" i="7"/>
  <c r="T4375" i="7"/>
  <c r="S4375" i="7"/>
  <c r="R4375" i="7"/>
  <c r="Q4375" i="7"/>
  <c r="P4375" i="7"/>
  <c r="O4375" i="7"/>
  <c r="U4374" i="7"/>
  <c r="T4374" i="7"/>
  <c r="S4374" i="7"/>
  <c r="R4374" i="7"/>
  <c r="Q4374" i="7"/>
  <c r="P4374" i="7"/>
  <c r="O4374" i="7"/>
  <c r="U4373" i="7"/>
  <c r="T4373" i="7"/>
  <c r="S4373" i="7"/>
  <c r="R4373" i="7"/>
  <c r="Q4373" i="7"/>
  <c r="P4373" i="7"/>
  <c r="O4373" i="7"/>
  <c r="U4372" i="7"/>
  <c r="T4372" i="7"/>
  <c r="S4372" i="7"/>
  <c r="R4372" i="7"/>
  <c r="Q4372" i="7"/>
  <c r="P4372" i="7"/>
  <c r="O4372" i="7"/>
  <c r="U4371" i="7"/>
  <c r="T4371" i="7"/>
  <c r="S4371" i="7"/>
  <c r="R4371" i="7"/>
  <c r="Q4371" i="7"/>
  <c r="P4371" i="7"/>
  <c r="O4371" i="7"/>
  <c r="U4370" i="7"/>
  <c r="T4370" i="7"/>
  <c r="S4370" i="7"/>
  <c r="R4370" i="7"/>
  <c r="Q4370" i="7"/>
  <c r="P4370" i="7"/>
  <c r="O4370" i="7"/>
  <c r="U4369" i="7"/>
  <c r="T4369" i="7"/>
  <c r="S4369" i="7"/>
  <c r="R4369" i="7"/>
  <c r="Q4369" i="7"/>
  <c r="P4369" i="7"/>
  <c r="O4369" i="7"/>
  <c r="U4368" i="7"/>
  <c r="T4368" i="7"/>
  <c r="S4368" i="7"/>
  <c r="R4368" i="7"/>
  <c r="Q4368" i="7"/>
  <c r="P4368" i="7"/>
  <c r="O4368" i="7"/>
  <c r="U4367" i="7"/>
  <c r="T4367" i="7"/>
  <c r="S4367" i="7"/>
  <c r="R4367" i="7"/>
  <c r="Q4367" i="7"/>
  <c r="P4367" i="7"/>
  <c r="O4367" i="7"/>
  <c r="U4366" i="7"/>
  <c r="T4366" i="7"/>
  <c r="S4366" i="7"/>
  <c r="R4366" i="7"/>
  <c r="Q4366" i="7"/>
  <c r="P4366" i="7"/>
  <c r="O4366" i="7"/>
  <c r="U4365" i="7"/>
  <c r="T4365" i="7"/>
  <c r="S4365" i="7"/>
  <c r="R4365" i="7"/>
  <c r="Q4365" i="7"/>
  <c r="P4365" i="7"/>
  <c r="O4365" i="7"/>
  <c r="U4364" i="7"/>
  <c r="T4364" i="7"/>
  <c r="S4364" i="7"/>
  <c r="R4364" i="7"/>
  <c r="Q4364" i="7"/>
  <c r="P4364" i="7"/>
  <c r="O4364" i="7"/>
  <c r="U4363" i="7"/>
  <c r="T4363" i="7"/>
  <c r="S4363" i="7"/>
  <c r="R4363" i="7"/>
  <c r="Q4363" i="7"/>
  <c r="P4363" i="7"/>
  <c r="O4363" i="7"/>
  <c r="U4362" i="7"/>
  <c r="T4362" i="7"/>
  <c r="S4362" i="7"/>
  <c r="R4362" i="7"/>
  <c r="Q4362" i="7"/>
  <c r="P4362" i="7"/>
  <c r="O4362" i="7"/>
  <c r="U4361" i="7"/>
  <c r="T4361" i="7"/>
  <c r="S4361" i="7"/>
  <c r="R4361" i="7"/>
  <c r="Q4361" i="7"/>
  <c r="P4361" i="7"/>
  <c r="O4361" i="7"/>
  <c r="U4360" i="7"/>
  <c r="T4360" i="7"/>
  <c r="S4360" i="7"/>
  <c r="R4360" i="7"/>
  <c r="Q4360" i="7"/>
  <c r="P4360" i="7"/>
  <c r="O4360" i="7"/>
  <c r="U4359" i="7"/>
  <c r="T4359" i="7"/>
  <c r="S4359" i="7"/>
  <c r="R4359" i="7"/>
  <c r="Q4359" i="7"/>
  <c r="P4359" i="7"/>
  <c r="O4359" i="7"/>
  <c r="U4358" i="7"/>
  <c r="T4358" i="7"/>
  <c r="S4358" i="7"/>
  <c r="R4358" i="7"/>
  <c r="Q4358" i="7"/>
  <c r="P4358" i="7"/>
  <c r="O4358" i="7"/>
  <c r="U4357" i="7"/>
  <c r="T4357" i="7"/>
  <c r="S4357" i="7"/>
  <c r="R4357" i="7"/>
  <c r="Q4357" i="7"/>
  <c r="P4357" i="7"/>
  <c r="O4357" i="7"/>
  <c r="U4356" i="7"/>
  <c r="T4356" i="7"/>
  <c r="S4356" i="7"/>
  <c r="R4356" i="7"/>
  <c r="Q4356" i="7"/>
  <c r="P4356" i="7"/>
  <c r="O4356" i="7"/>
  <c r="U4355" i="7"/>
  <c r="T4355" i="7"/>
  <c r="S4355" i="7"/>
  <c r="R4355" i="7"/>
  <c r="Q4355" i="7"/>
  <c r="P4355" i="7"/>
  <c r="O4355" i="7"/>
  <c r="U4354" i="7"/>
  <c r="T4354" i="7"/>
  <c r="S4354" i="7"/>
  <c r="R4354" i="7"/>
  <c r="Q4354" i="7"/>
  <c r="P4354" i="7"/>
  <c r="O4354" i="7"/>
  <c r="U4353" i="7"/>
  <c r="T4353" i="7"/>
  <c r="S4353" i="7"/>
  <c r="R4353" i="7"/>
  <c r="Q4353" i="7"/>
  <c r="P4353" i="7"/>
  <c r="O4353" i="7"/>
  <c r="U4352" i="7"/>
  <c r="T4352" i="7"/>
  <c r="S4352" i="7"/>
  <c r="R4352" i="7"/>
  <c r="Q4352" i="7"/>
  <c r="P4352" i="7"/>
  <c r="O4352" i="7"/>
  <c r="U4351" i="7"/>
  <c r="T4351" i="7"/>
  <c r="S4351" i="7"/>
  <c r="R4351" i="7"/>
  <c r="Q4351" i="7"/>
  <c r="P4351" i="7"/>
  <c r="O4351" i="7"/>
  <c r="U4350" i="7"/>
  <c r="T4350" i="7"/>
  <c r="S4350" i="7"/>
  <c r="R4350" i="7"/>
  <c r="Q4350" i="7"/>
  <c r="P4350" i="7"/>
  <c r="O4350" i="7"/>
  <c r="U4349" i="7"/>
  <c r="T4349" i="7"/>
  <c r="S4349" i="7"/>
  <c r="R4349" i="7"/>
  <c r="Q4349" i="7"/>
  <c r="P4349" i="7"/>
  <c r="O4349" i="7"/>
  <c r="U4348" i="7"/>
  <c r="T4348" i="7"/>
  <c r="S4348" i="7"/>
  <c r="R4348" i="7"/>
  <c r="Q4348" i="7"/>
  <c r="P4348" i="7"/>
  <c r="O4348" i="7"/>
  <c r="U4347" i="7"/>
  <c r="T4347" i="7"/>
  <c r="S4347" i="7"/>
  <c r="R4347" i="7"/>
  <c r="Q4347" i="7"/>
  <c r="P4347" i="7"/>
  <c r="O4347" i="7"/>
  <c r="U4346" i="7"/>
  <c r="T4346" i="7"/>
  <c r="S4346" i="7"/>
  <c r="R4346" i="7"/>
  <c r="Q4346" i="7"/>
  <c r="P4346" i="7"/>
  <c r="O4346" i="7"/>
  <c r="U4345" i="7"/>
  <c r="T4345" i="7"/>
  <c r="S4345" i="7"/>
  <c r="R4345" i="7"/>
  <c r="Q4345" i="7"/>
  <c r="P4345" i="7"/>
  <c r="O4345" i="7"/>
  <c r="U4344" i="7"/>
  <c r="T4344" i="7"/>
  <c r="S4344" i="7"/>
  <c r="R4344" i="7"/>
  <c r="Q4344" i="7"/>
  <c r="P4344" i="7"/>
  <c r="O4344" i="7"/>
  <c r="U4343" i="7"/>
  <c r="T4343" i="7"/>
  <c r="S4343" i="7"/>
  <c r="R4343" i="7"/>
  <c r="Q4343" i="7"/>
  <c r="P4343" i="7"/>
  <c r="O4343" i="7"/>
  <c r="U4342" i="7"/>
  <c r="T4342" i="7"/>
  <c r="S4342" i="7"/>
  <c r="R4342" i="7"/>
  <c r="Q4342" i="7"/>
  <c r="P4342" i="7"/>
  <c r="O4342" i="7"/>
  <c r="U4341" i="7"/>
  <c r="T4341" i="7"/>
  <c r="S4341" i="7"/>
  <c r="R4341" i="7"/>
  <c r="Q4341" i="7"/>
  <c r="P4341" i="7"/>
  <c r="O4341" i="7"/>
  <c r="U4340" i="7"/>
  <c r="T4340" i="7"/>
  <c r="S4340" i="7"/>
  <c r="R4340" i="7"/>
  <c r="Q4340" i="7"/>
  <c r="P4340" i="7"/>
  <c r="O4340" i="7"/>
  <c r="U4339" i="7"/>
  <c r="T4339" i="7"/>
  <c r="S4339" i="7"/>
  <c r="R4339" i="7"/>
  <c r="Q4339" i="7"/>
  <c r="P4339" i="7"/>
  <c r="O4339" i="7"/>
  <c r="U4338" i="7"/>
  <c r="T4338" i="7"/>
  <c r="S4338" i="7"/>
  <c r="R4338" i="7"/>
  <c r="Q4338" i="7"/>
  <c r="P4338" i="7"/>
  <c r="O4338" i="7"/>
  <c r="U4337" i="7"/>
  <c r="T4337" i="7"/>
  <c r="S4337" i="7"/>
  <c r="R4337" i="7"/>
  <c r="Q4337" i="7"/>
  <c r="P4337" i="7"/>
  <c r="O4337" i="7"/>
  <c r="U4336" i="7"/>
  <c r="T4336" i="7"/>
  <c r="S4336" i="7"/>
  <c r="R4336" i="7"/>
  <c r="Q4336" i="7"/>
  <c r="P4336" i="7"/>
  <c r="O4336" i="7"/>
  <c r="U4335" i="7"/>
  <c r="T4335" i="7"/>
  <c r="S4335" i="7"/>
  <c r="R4335" i="7"/>
  <c r="Q4335" i="7"/>
  <c r="P4335" i="7"/>
  <c r="O4335" i="7"/>
  <c r="U4334" i="7"/>
  <c r="T4334" i="7"/>
  <c r="S4334" i="7"/>
  <c r="R4334" i="7"/>
  <c r="Q4334" i="7"/>
  <c r="P4334" i="7"/>
  <c r="O4334" i="7"/>
  <c r="U4333" i="7"/>
  <c r="T4333" i="7"/>
  <c r="S4333" i="7"/>
  <c r="R4333" i="7"/>
  <c r="Q4333" i="7"/>
  <c r="P4333" i="7"/>
  <c r="O4333" i="7"/>
  <c r="U4332" i="7"/>
  <c r="T4332" i="7"/>
  <c r="S4332" i="7"/>
  <c r="R4332" i="7"/>
  <c r="Q4332" i="7"/>
  <c r="P4332" i="7"/>
  <c r="O4332" i="7"/>
  <c r="U4331" i="7"/>
  <c r="T4331" i="7"/>
  <c r="S4331" i="7"/>
  <c r="R4331" i="7"/>
  <c r="Q4331" i="7"/>
  <c r="P4331" i="7"/>
  <c r="O4331" i="7"/>
  <c r="U4330" i="7"/>
  <c r="T4330" i="7"/>
  <c r="S4330" i="7"/>
  <c r="R4330" i="7"/>
  <c r="Q4330" i="7"/>
  <c r="P4330" i="7"/>
  <c r="O4330" i="7"/>
  <c r="U4329" i="7"/>
  <c r="T4329" i="7"/>
  <c r="S4329" i="7"/>
  <c r="R4329" i="7"/>
  <c r="Q4329" i="7"/>
  <c r="P4329" i="7"/>
  <c r="O4329" i="7"/>
  <c r="U4328" i="7"/>
  <c r="T4328" i="7"/>
  <c r="S4328" i="7"/>
  <c r="R4328" i="7"/>
  <c r="Q4328" i="7"/>
  <c r="P4328" i="7"/>
  <c r="O4328" i="7"/>
  <c r="U4327" i="7"/>
  <c r="T4327" i="7"/>
  <c r="S4327" i="7"/>
  <c r="R4327" i="7"/>
  <c r="Q4327" i="7"/>
  <c r="P4327" i="7"/>
  <c r="O4327" i="7"/>
  <c r="U4326" i="7"/>
  <c r="T4326" i="7"/>
  <c r="S4326" i="7"/>
  <c r="R4326" i="7"/>
  <c r="Q4326" i="7"/>
  <c r="P4326" i="7"/>
  <c r="O4326" i="7"/>
  <c r="U4325" i="7"/>
  <c r="T4325" i="7"/>
  <c r="S4325" i="7"/>
  <c r="R4325" i="7"/>
  <c r="Q4325" i="7"/>
  <c r="P4325" i="7"/>
  <c r="O4325" i="7"/>
  <c r="U4324" i="7"/>
  <c r="T4324" i="7"/>
  <c r="S4324" i="7"/>
  <c r="R4324" i="7"/>
  <c r="Q4324" i="7"/>
  <c r="P4324" i="7"/>
  <c r="O4324" i="7"/>
  <c r="U4323" i="7"/>
  <c r="T4323" i="7"/>
  <c r="S4323" i="7"/>
  <c r="R4323" i="7"/>
  <c r="Q4323" i="7"/>
  <c r="P4323" i="7"/>
  <c r="O4323" i="7"/>
  <c r="U4322" i="7"/>
  <c r="T4322" i="7"/>
  <c r="S4322" i="7"/>
  <c r="R4322" i="7"/>
  <c r="Q4322" i="7"/>
  <c r="P4322" i="7"/>
  <c r="O4322" i="7"/>
  <c r="U4321" i="7"/>
  <c r="T4321" i="7"/>
  <c r="S4321" i="7"/>
  <c r="R4321" i="7"/>
  <c r="Q4321" i="7"/>
  <c r="P4321" i="7"/>
  <c r="O4321" i="7"/>
  <c r="U4320" i="7"/>
  <c r="T4320" i="7"/>
  <c r="S4320" i="7"/>
  <c r="R4320" i="7"/>
  <c r="Q4320" i="7"/>
  <c r="P4320" i="7"/>
  <c r="O4320" i="7"/>
  <c r="U4319" i="7"/>
  <c r="T4319" i="7"/>
  <c r="S4319" i="7"/>
  <c r="R4319" i="7"/>
  <c r="Q4319" i="7"/>
  <c r="P4319" i="7"/>
  <c r="O4319" i="7"/>
  <c r="U4318" i="7"/>
  <c r="T4318" i="7"/>
  <c r="S4318" i="7"/>
  <c r="R4318" i="7"/>
  <c r="Q4318" i="7"/>
  <c r="P4318" i="7"/>
  <c r="O4318" i="7"/>
  <c r="U4317" i="7"/>
  <c r="T4317" i="7"/>
  <c r="S4317" i="7"/>
  <c r="R4317" i="7"/>
  <c r="Q4317" i="7"/>
  <c r="P4317" i="7"/>
  <c r="O4317" i="7"/>
  <c r="U4316" i="7"/>
  <c r="T4316" i="7"/>
  <c r="S4316" i="7"/>
  <c r="R4316" i="7"/>
  <c r="Q4316" i="7"/>
  <c r="P4316" i="7"/>
  <c r="O4316" i="7"/>
  <c r="U4315" i="7"/>
  <c r="T4315" i="7"/>
  <c r="S4315" i="7"/>
  <c r="R4315" i="7"/>
  <c r="Q4315" i="7"/>
  <c r="P4315" i="7"/>
  <c r="O4315" i="7"/>
  <c r="U4314" i="7"/>
  <c r="T4314" i="7"/>
  <c r="S4314" i="7"/>
  <c r="R4314" i="7"/>
  <c r="Q4314" i="7"/>
  <c r="P4314" i="7"/>
  <c r="O4314" i="7"/>
  <c r="U4313" i="7"/>
  <c r="T4313" i="7"/>
  <c r="S4313" i="7"/>
  <c r="R4313" i="7"/>
  <c r="Q4313" i="7"/>
  <c r="P4313" i="7"/>
  <c r="O4313" i="7"/>
  <c r="U4312" i="7"/>
  <c r="T4312" i="7"/>
  <c r="S4312" i="7"/>
  <c r="R4312" i="7"/>
  <c r="Q4312" i="7"/>
  <c r="P4312" i="7"/>
  <c r="O4312" i="7"/>
  <c r="U4311" i="7"/>
  <c r="T4311" i="7"/>
  <c r="S4311" i="7"/>
  <c r="R4311" i="7"/>
  <c r="Q4311" i="7"/>
  <c r="P4311" i="7"/>
  <c r="O4311" i="7"/>
  <c r="U4310" i="7"/>
  <c r="T4310" i="7"/>
  <c r="S4310" i="7"/>
  <c r="R4310" i="7"/>
  <c r="Q4310" i="7"/>
  <c r="P4310" i="7"/>
  <c r="O4310" i="7"/>
  <c r="U4309" i="7"/>
  <c r="T4309" i="7"/>
  <c r="S4309" i="7"/>
  <c r="R4309" i="7"/>
  <c r="Q4309" i="7"/>
  <c r="P4309" i="7"/>
  <c r="O4309" i="7"/>
  <c r="U4308" i="7"/>
  <c r="T4308" i="7"/>
  <c r="S4308" i="7"/>
  <c r="R4308" i="7"/>
  <c r="Q4308" i="7"/>
  <c r="P4308" i="7"/>
  <c r="O4308" i="7"/>
  <c r="U4307" i="7"/>
  <c r="T4307" i="7"/>
  <c r="S4307" i="7"/>
  <c r="R4307" i="7"/>
  <c r="Q4307" i="7"/>
  <c r="P4307" i="7"/>
  <c r="O4307" i="7"/>
  <c r="U4306" i="7"/>
  <c r="T4306" i="7"/>
  <c r="S4306" i="7"/>
  <c r="R4306" i="7"/>
  <c r="Q4306" i="7"/>
  <c r="P4306" i="7"/>
  <c r="O4306" i="7"/>
  <c r="U4305" i="7"/>
  <c r="T4305" i="7"/>
  <c r="S4305" i="7"/>
  <c r="R4305" i="7"/>
  <c r="Q4305" i="7"/>
  <c r="P4305" i="7"/>
  <c r="O4305" i="7"/>
  <c r="U4304" i="7"/>
  <c r="T4304" i="7"/>
  <c r="S4304" i="7"/>
  <c r="R4304" i="7"/>
  <c r="Q4304" i="7"/>
  <c r="P4304" i="7"/>
  <c r="O4304" i="7"/>
  <c r="U4303" i="7"/>
  <c r="T4303" i="7"/>
  <c r="S4303" i="7"/>
  <c r="R4303" i="7"/>
  <c r="Q4303" i="7"/>
  <c r="P4303" i="7"/>
  <c r="O4303" i="7"/>
  <c r="U4302" i="7"/>
  <c r="T4302" i="7"/>
  <c r="S4302" i="7"/>
  <c r="R4302" i="7"/>
  <c r="Q4302" i="7"/>
  <c r="P4302" i="7"/>
  <c r="O4302" i="7"/>
  <c r="U4301" i="7"/>
  <c r="T4301" i="7"/>
  <c r="S4301" i="7"/>
  <c r="R4301" i="7"/>
  <c r="Q4301" i="7"/>
  <c r="P4301" i="7"/>
  <c r="O4301" i="7"/>
  <c r="U4300" i="7"/>
  <c r="T4300" i="7"/>
  <c r="S4300" i="7"/>
  <c r="R4300" i="7"/>
  <c r="Q4300" i="7"/>
  <c r="P4300" i="7"/>
  <c r="O4300" i="7"/>
  <c r="U4299" i="7"/>
  <c r="T4299" i="7"/>
  <c r="S4299" i="7"/>
  <c r="R4299" i="7"/>
  <c r="Q4299" i="7"/>
  <c r="P4299" i="7"/>
  <c r="O4299" i="7"/>
  <c r="U4298" i="7"/>
  <c r="T4298" i="7"/>
  <c r="S4298" i="7"/>
  <c r="R4298" i="7"/>
  <c r="Q4298" i="7"/>
  <c r="P4298" i="7"/>
  <c r="O4298" i="7"/>
  <c r="U4297" i="7"/>
  <c r="T4297" i="7"/>
  <c r="S4297" i="7"/>
  <c r="R4297" i="7"/>
  <c r="Q4297" i="7"/>
  <c r="P4297" i="7"/>
  <c r="O4297" i="7"/>
  <c r="U4296" i="7"/>
  <c r="T4296" i="7"/>
  <c r="S4296" i="7"/>
  <c r="R4296" i="7"/>
  <c r="Q4296" i="7"/>
  <c r="P4296" i="7"/>
  <c r="O4296" i="7"/>
  <c r="U4295" i="7"/>
  <c r="T4295" i="7"/>
  <c r="S4295" i="7"/>
  <c r="R4295" i="7"/>
  <c r="Q4295" i="7"/>
  <c r="P4295" i="7"/>
  <c r="O4295" i="7"/>
  <c r="U4294" i="7"/>
  <c r="T4294" i="7"/>
  <c r="S4294" i="7"/>
  <c r="R4294" i="7"/>
  <c r="Q4294" i="7"/>
  <c r="P4294" i="7"/>
  <c r="O4294" i="7"/>
  <c r="U4293" i="7"/>
  <c r="T4293" i="7"/>
  <c r="S4293" i="7"/>
  <c r="R4293" i="7"/>
  <c r="Q4293" i="7"/>
  <c r="P4293" i="7"/>
  <c r="O4293" i="7"/>
  <c r="U4292" i="7"/>
  <c r="T4292" i="7"/>
  <c r="S4292" i="7"/>
  <c r="R4292" i="7"/>
  <c r="Q4292" i="7"/>
  <c r="P4292" i="7"/>
  <c r="O4292" i="7"/>
  <c r="U4291" i="7"/>
  <c r="T4291" i="7"/>
  <c r="S4291" i="7"/>
  <c r="R4291" i="7"/>
  <c r="Q4291" i="7"/>
  <c r="P4291" i="7"/>
  <c r="O4291" i="7"/>
  <c r="U4290" i="7"/>
  <c r="T4290" i="7"/>
  <c r="S4290" i="7"/>
  <c r="R4290" i="7"/>
  <c r="Q4290" i="7"/>
  <c r="P4290" i="7"/>
  <c r="O4290" i="7"/>
  <c r="U4289" i="7"/>
  <c r="T4289" i="7"/>
  <c r="S4289" i="7"/>
  <c r="R4289" i="7"/>
  <c r="Q4289" i="7"/>
  <c r="P4289" i="7"/>
  <c r="O4289" i="7"/>
  <c r="U4288" i="7"/>
  <c r="T4288" i="7"/>
  <c r="S4288" i="7"/>
  <c r="R4288" i="7"/>
  <c r="Q4288" i="7"/>
  <c r="P4288" i="7"/>
  <c r="O4288" i="7"/>
  <c r="U4287" i="7"/>
  <c r="T4287" i="7"/>
  <c r="S4287" i="7"/>
  <c r="R4287" i="7"/>
  <c r="Q4287" i="7"/>
  <c r="P4287" i="7"/>
  <c r="O4287" i="7"/>
  <c r="U4286" i="7"/>
  <c r="T4286" i="7"/>
  <c r="S4286" i="7"/>
  <c r="R4286" i="7"/>
  <c r="Q4286" i="7"/>
  <c r="P4286" i="7"/>
  <c r="O4286" i="7"/>
  <c r="U4285" i="7"/>
  <c r="T4285" i="7"/>
  <c r="S4285" i="7"/>
  <c r="R4285" i="7"/>
  <c r="Q4285" i="7"/>
  <c r="P4285" i="7"/>
  <c r="O4285" i="7"/>
  <c r="U4284" i="7"/>
  <c r="T4284" i="7"/>
  <c r="S4284" i="7"/>
  <c r="R4284" i="7"/>
  <c r="Q4284" i="7"/>
  <c r="P4284" i="7"/>
  <c r="O4284" i="7"/>
  <c r="U4283" i="7"/>
  <c r="T4283" i="7"/>
  <c r="S4283" i="7"/>
  <c r="R4283" i="7"/>
  <c r="Q4283" i="7"/>
  <c r="P4283" i="7"/>
  <c r="O4283" i="7"/>
  <c r="U4282" i="7"/>
  <c r="T4282" i="7"/>
  <c r="S4282" i="7"/>
  <c r="R4282" i="7"/>
  <c r="Q4282" i="7"/>
  <c r="P4282" i="7"/>
  <c r="O4282" i="7"/>
  <c r="U4281" i="7"/>
  <c r="T4281" i="7"/>
  <c r="S4281" i="7"/>
  <c r="R4281" i="7"/>
  <c r="Q4281" i="7"/>
  <c r="P4281" i="7"/>
  <c r="O4281" i="7"/>
  <c r="U4280" i="7"/>
  <c r="T4280" i="7"/>
  <c r="S4280" i="7"/>
  <c r="R4280" i="7"/>
  <c r="Q4280" i="7"/>
  <c r="P4280" i="7"/>
  <c r="O4280" i="7"/>
  <c r="U4279" i="7"/>
  <c r="T4279" i="7"/>
  <c r="S4279" i="7"/>
  <c r="R4279" i="7"/>
  <c r="Q4279" i="7"/>
  <c r="P4279" i="7"/>
  <c r="O4279" i="7"/>
  <c r="U4278" i="7"/>
  <c r="T4278" i="7"/>
  <c r="S4278" i="7"/>
  <c r="R4278" i="7"/>
  <c r="Q4278" i="7"/>
  <c r="P4278" i="7"/>
  <c r="O4278" i="7"/>
  <c r="U4277" i="7"/>
  <c r="T4277" i="7"/>
  <c r="S4277" i="7"/>
  <c r="R4277" i="7"/>
  <c r="Q4277" i="7"/>
  <c r="P4277" i="7"/>
  <c r="O4277" i="7"/>
  <c r="U4276" i="7"/>
  <c r="T4276" i="7"/>
  <c r="S4276" i="7"/>
  <c r="R4276" i="7"/>
  <c r="Q4276" i="7"/>
  <c r="P4276" i="7"/>
  <c r="O4276" i="7"/>
  <c r="U4275" i="7"/>
  <c r="T4275" i="7"/>
  <c r="S4275" i="7"/>
  <c r="R4275" i="7"/>
  <c r="Q4275" i="7"/>
  <c r="P4275" i="7"/>
  <c r="O4275" i="7"/>
  <c r="U4274" i="7"/>
  <c r="T4274" i="7"/>
  <c r="S4274" i="7"/>
  <c r="R4274" i="7"/>
  <c r="Q4274" i="7"/>
  <c r="P4274" i="7"/>
  <c r="O4274" i="7"/>
  <c r="U4273" i="7"/>
  <c r="T4273" i="7"/>
  <c r="S4273" i="7"/>
  <c r="R4273" i="7"/>
  <c r="Q4273" i="7"/>
  <c r="P4273" i="7"/>
  <c r="O4273" i="7"/>
  <c r="U4272" i="7"/>
  <c r="T4272" i="7"/>
  <c r="S4272" i="7"/>
  <c r="R4272" i="7"/>
  <c r="Q4272" i="7"/>
  <c r="P4272" i="7"/>
  <c r="O4272" i="7"/>
  <c r="U4271" i="7"/>
  <c r="T4271" i="7"/>
  <c r="S4271" i="7"/>
  <c r="R4271" i="7"/>
  <c r="Q4271" i="7"/>
  <c r="P4271" i="7"/>
  <c r="O4271" i="7"/>
  <c r="U4270" i="7"/>
  <c r="T4270" i="7"/>
  <c r="S4270" i="7"/>
  <c r="R4270" i="7"/>
  <c r="Q4270" i="7"/>
  <c r="P4270" i="7"/>
  <c r="O4270" i="7"/>
  <c r="U4269" i="7"/>
  <c r="T4269" i="7"/>
  <c r="S4269" i="7"/>
  <c r="R4269" i="7"/>
  <c r="Q4269" i="7"/>
  <c r="P4269" i="7"/>
  <c r="O4269" i="7"/>
  <c r="U4268" i="7"/>
  <c r="T4268" i="7"/>
  <c r="S4268" i="7"/>
  <c r="R4268" i="7"/>
  <c r="Q4268" i="7"/>
  <c r="P4268" i="7"/>
  <c r="O4268" i="7"/>
  <c r="U4267" i="7"/>
  <c r="T4267" i="7"/>
  <c r="S4267" i="7"/>
  <c r="R4267" i="7"/>
  <c r="Q4267" i="7"/>
  <c r="P4267" i="7"/>
  <c r="O4267" i="7"/>
  <c r="U4266" i="7"/>
  <c r="T4266" i="7"/>
  <c r="S4266" i="7"/>
  <c r="R4266" i="7"/>
  <c r="Q4266" i="7"/>
  <c r="P4266" i="7"/>
  <c r="O4266" i="7"/>
  <c r="U4265" i="7"/>
  <c r="T4265" i="7"/>
  <c r="S4265" i="7"/>
  <c r="R4265" i="7"/>
  <c r="Q4265" i="7"/>
  <c r="P4265" i="7"/>
  <c r="O4265" i="7"/>
  <c r="U4264" i="7"/>
  <c r="T4264" i="7"/>
  <c r="S4264" i="7"/>
  <c r="R4264" i="7"/>
  <c r="Q4264" i="7"/>
  <c r="P4264" i="7"/>
  <c r="O4264" i="7"/>
  <c r="U4263" i="7"/>
  <c r="T4263" i="7"/>
  <c r="S4263" i="7"/>
  <c r="R4263" i="7"/>
  <c r="Q4263" i="7"/>
  <c r="P4263" i="7"/>
  <c r="O4263" i="7"/>
  <c r="U4262" i="7"/>
  <c r="T4262" i="7"/>
  <c r="S4262" i="7"/>
  <c r="R4262" i="7"/>
  <c r="Q4262" i="7"/>
  <c r="P4262" i="7"/>
  <c r="O4262" i="7"/>
  <c r="U4261" i="7"/>
  <c r="T4261" i="7"/>
  <c r="S4261" i="7"/>
  <c r="R4261" i="7"/>
  <c r="Q4261" i="7"/>
  <c r="P4261" i="7"/>
  <c r="O4261" i="7"/>
  <c r="U4260" i="7"/>
  <c r="T4260" i="7"/>
  <c r="S4260" i="7"/>
  <c r="R4260" i="7"/>
  <c r="Q4260" i="7"/>
  <c r="P4260" i="7"/>
  <c r="O4260" i="7"/>
  <c r="U4259" i="7"/>
  <c r="T4259" i="7"/>
  <c r="S4259" i="7"/>
  <c r="R4259" i="7"/>
  <c r="Q4259" i="7"/>
  <c r="P4259" i="7"/>
  <c r="O4259" i="7"/>
  <c r="U4258" i="7"/>
  <c r="T4258" i="7"/>
  <c r="S4258" i="7"/>
  <c r="R4258" i="7"/>
  <c r="Q4258" i="7"/>
  <c r="P4258" i="7"/>
  <c r="O4258" i="7"/>
  <c r="U4257" i="7"/>
  <c r="T4257" i="7"/>
  <c r="S4257" i="7"/>
  <c r="R4257" i="7"/>
  <c r="Q4257" i="7"/>
  <c r="P4257" i="7"/>
  <c r="O4257" i="7"/>
  <c r="U4256" i="7"/>
  <c r="T4256" i="7"/>
  <c r="S4256" i="7"/>
  <c r="R4256" i="7"/>
  <c r="Q4256" i="7"/>
  <c r="P4256" i="7"/>
  <c r="O4256" i="7"/>
  <c r="U4255" i="7"/>
  <c r="T4255" i="7"/>
  <c r="S4255" i="7"/>
  <c r="R4255" i="7"/>
  <c r="Q4255" i="7"/>
  <c r="P4255" i="7"/>
  <c r="O4255" i="7"/>
  <c r="U4254" i="7"/>
  <c r="T4254" i="7"/>
  <c r="S4254" i="7"/>
  <c r="R4254" i="7"/>
  <c r="Q4254" i="7"/>
  <c r="P4254" i="7"/>
  <c r="O4254" i="7"/>
  <c r="U4253" i="7"/>
  <c r="T4253" i="7"/>
  <c r="S4253" i="7"/>
  <c r="R4253" i="7"/>
  <c r="Q4253" i="7"/>
  <c r="P4253" i="7"/>
  <c r="O4253" i="7"/>
  <c r="U4252" i="7"/>
  <c r="T4252" i="7"/>
  <c r="S4252" i="7"/>
  <c r="R4252" i="7"/>
  <c r="Q4252" i="7"/>
  <c r="P4252" i="7"/>
  <c r="O4252" i="7"/>
  <c r="U4251" i="7"/>
  <c r="T4251" i="7"/>
  <c r="S4251" i="7"/>
  <c r="R4251" i="7"/>
  <c r="Q4251" i="7"/>
  <c r="P4251" i="7"/>
  <c r="O4251" i="7"/>
  <c r="U4250" i="7"/>
  <c r="T4250" i="7"/>
  <c r="S4250" i="7"/>
  <c r="R4250" i="7"/>
  <c r="Q4250" i="7"/>
  <c r="P4250" i="7"/>
  <c r="O4250" i="7"/>
  <c r="U4249" i="7"/>
  <c r="T4249" i="7"/>
  <c r="S4249" i="7"/>
  <c r="R4249" i="7"/>
  <c r="Q4249" i="7"/>
  <c r="P4249" i="7"/>
  <c r="O4249" i="7"/>
  <c r="U4248" i="7"/>
  <c r="T4248" i="7"/>
  <c r="S4248" i="7"/>
  <c r="R4248" i="7"/>
  <c r="Q4248" i="7"/>
  <c r="P4248" i="7"/>
  <c r="O4248" i="7"/>
  <c r="U4247" i="7"/>
  <c r="T4247" i="7"/>
  <c r="S4247" i="7"/>
  <c r="R4247" i="7"/>
  <c r="Q4247" i="7"/>
  <c r="P4247" i="7"/>
  <c r="O4247" i="7"/>
  <c r="U4246" i="7"/>
  <c r="T4246" i="7"/>
  <c r="S4246" i="7"/>
  <c r="R4246" i="7"/>
  <c r="Q4246" i="7"/>
  <c r="P4246" i="7"/>
  <c r="O4246" i="7"/>
  <c r="U4245" i="7"/>
  <c r="T4245" i="7"/>
  <c r="S4245" i="7"/>
  <c r="R4245" i="7"/>
  <c r="Q4245" i="7"/>
  <c r="P4245" i="7"/>
  <c r="O4245" i="7"/>
  <c r="U4244" i="7"/>
  <c r="T4244" i="7"/>
  <c r="S4244" i="7"/>
  <c r="R4244" i="7"/>
  <c r="Q4244" i="7"/>
  <c r="P4244" i="7"/>
  <c r="O4244" i="7"/>
  <c r="U4243" i="7"/>
  <c r="T4243" i="7"/>
  <c r="S4243" i="7"/>
  <c r="R4243" i="7"/>
  <c r="Q4243" i="7"/>
  <c r="P4243" i="7"/>
  <c r="O4243" i="7"/>
  <c r="U4242" i="7"/>
  <c r="T4242" i="7"/>
  <c r="S4242" i="7"/>
  <c r="R4242" i="7"/>
  <c r="Q4242" i="7"/>
  <c r="P4242" i="7"/>
  <c r="O4242" i="7"/>
  <c r="U4241" i="7"/>
  <c r="T4241" i="7"/>
  <c r="S4241" i="7"/>
  <c r="R4241" i="7"/>
  <c r="Q4241" i="7"/>
  <c r="P4241" i="7"/>
  <c r="O4241" i="7"/>
  <c r="U4240" i="7"/>
  <c r="T4240" i="7"/>
  <c r="S4240" i="7"/>
  <c r="R4240" i="7"/>
  <c r="Q4240" i="7"/>
  <c r="P4240" i="7"/>
  <c r="O4240" i="7"/>
  <c r="U4239" i="7"/>
  <c r="T4239" i="7"/>
  <c r="S4239" i="7"/>
  <c r="R4239" i="7"/>
  <c r="Q4239" i="7"/>
  <c r="P4239" i="7"/>
  <c r="O4239" i="7"/>
  <c r="U4238" i="7"/>
  <c r="T4238" i="7"/>
  <c r="S4238" i="7"/>
  <c r="R4238" i="7"/>
  <c r="Q4238" i="7"/>
  <c r="P4238" i="7"/>
  <c r="O4238" i="7"/>
  <c r="U4237" i="7"/>
  <c r="T4237" i="7"/>
  <c r="S4237" i="7"/>
  <c r="R4237" i="7"/>
  <c r="Q4237" i="7"/>
  <c r="P4237" i="7"/>
  <c r="O4237" i="7"/>
  <c r="U4236" i="7"/>
  <c r="T4236" i="7"/>
  <c r="S4236" i="7"/>
  <c r="R4236" i="7"/>
  <c r="Q4236" i="7"/>
  <c r="P4236" i="7"/>
  <c r="O4236" i="7"/>
  <c r="U4235" i="7"/>
  <c r="T4235" i="7"/>
  <c r="S4235" i="7"/>
  <c r="R4235" i="7"/>
  <c r="Q4235" i="7"/>
  <c r="P4235" i="7"/>
  <c r="O4235" i="7"/>
  <c r="U4234" i="7"/>
  <c r="T4234" i="7"/>
  <c r="S4234" i="7"/>
  <c r="R4234" i="7"/>
  <c r="Q4234" i="7"/>
  <c r="P4234" i="7"/>
  <c r="O4234" i="7"/>
  <c r="U4233" i="7"/>
  <c r="T4233" i="7"/>
  <c r="S4233" i="7"/>
  <c r="R4233" i="7"/>
  <c r="Q4233" i="7"/>
  <c r="P4233" i="7"/>
  <c r="O4233" i="7"/>
  <c r="U4232" i="7"/>
  <c r="T4232" i="7"/>
  <c r="S4232" i="7"/>
  <c r="R4232" i="7"/>
  <c r="Q4232" i="7"/>
  <c r="P4232" i="7"/>
  <c r="O4232" i="7"/>
  <c r="U4231" i="7"/>
  <c r="T4231" i="7"/>
  <c r="S4231" i="7"/>
  <c r="R4231" i="7"/>
  <c r="Q4231" i="7"/>
  <c r="P4231" i="7"/>
  <c r="O4231" i="7"/>
  <c r="U4230" i="7"/>
  <c r="T4230" i="7"/>
  <c r="S4230" i="7"/>
  <c r="R4230" i="7"/>
  <c r="Q4230" i="7"/>
  <c r="P4230" i="7"/>
  <c r="O4230" i="7"/>
  <c r="U4229" i="7"/>
  <c r="T4229" i="7"/>
  <c r="S4229" i="7"/>
  <c r="R4229" i="7"/>
  <c r="Q4229" i="7"/>
  <c r="P4229" i="7"/>
  <c r="O4229" i="7"/>
  <c r="U4228" i="7"/>
  <c r="T4228" i="7"/>
  <c r="S4228" i="7"/>
  <c r="R4228" i="7"/>
  <c r="Q4228" i="7"/>
  <c r="P4228" i="7"/>
  <c r="O4228" i="7"/>
  <c r="U4227" i="7"/>
  <c r="T4227" i="7"/>
  <c r="S4227" i="7"/>
  <c r="R4227" i="7"/>
  <c r="Q4227" i="7"/>
  <c r="P4227" i="7"/>
  <c r="O4227" i="7"/>
  <c r="U4226" i="7"/>
  <c r="T4226" i="7"/>
  <c r="S4226" i="7"/>
  <c r="R4226" i="7"/>
  <c r="Q4226" i="7"/>
  <c r="P4226" i="7"/>
  <c r="O4226" i="7"/>
  <c r="U4225" i="7"/>
  <c r="T4225" i="7"/>
  <c r="S4225" i="7"/>
  <c r="R4225" i="7"/>
  <c r="Q4225" i="7"/>
  <c r="P4225" i="7"/>
  <c r="O4225" i="7"/>
  <c r="U4224" i="7"/>
  <c r="T4224" i="7"/>
  <c r="S4224" i="7"/>
  <c r="R4224" i="7"/>
  <c r="Q4224" i="7"/>
  <c r="P4224" i="7"/>
  <c r="O4224" i="7"/>
  <c r="U4223" i="7"/>
  <c r="T4223" i="7"/>
  <c r="S4223" i="7"/>
  <c r="R4223" i="7"/>
  <c r="Q4223" i="7"/>
  <c r="P4223" i="7"/>
  <c r="O4223" i="7"/>
  <c r="U4222" i="7"/>
  <c r="T4222" i="7"/>
  <c r="S4222" i="7"/>
  <c r="R4222" i="7"/>
  <c r="Q4222" i="7"/>
  <c r="P4222" i="7"/>
  <c r="O4222" i="7"/>
  <c r="U4221" i="7"/>
  <c r="T4221" i="7"/>
  <c r="S4221" i="7"/>
  <c r="R4221" i="7"/>
  <c r="Q4221" i="7"/>
  <c r="P4221" i="7"/>
  <c r="O4221" i="7"/>
  <c r="U4220" i="7"/>
  <c r="T4220" i="7"/>
  <c r="S4220" i="7"/>
  <c r="R4220" i="7"/>
  <c r="Q4220" i="7"/>
  <c r="P4220" i="7"/>
  <c r="O4220" i="7"/>
  <c r="U4219" i="7"/>
  <c r="T4219" i="7"/>
  <c r="S4219" i="7"/>
  <c r="R4219" i="7"/>
  <c r="Q4219" i="7"/>
  <c r="P4219" i="7"/>
  <c r="O4219" i="7"/>
  <c r="U4218" i="7"/>
  <c r="T4218" i="7"/>
  <c r="S4218" i="7"/>
  <c r="R4218" i="7"/>
  <c r="Q4218" i="7"/>
  <c r="P4218" i="7"/>
  <c r="O4218" i="7"/>
  <c r="U4217" i="7"/>
  <c r="T4217" i="7"/>
  <c r="S4217" i="7"/>
  <c r="R4217" i="7"/>
  <c r="Q4217" i="7"/>
  <c r="P4217" i="7"/>
  <c r="O4217" i="7"/>
  <c r="U4216" i="7"/>
  <c r="T4216" i="7"/>
  <c r="S4216" i="7"/>
  <c r="R4216" i="7"/>
  <c r="Q4216" i="7"/>
  <c r="P4216" i="7"/>
  <c r="O4216" i="7"/>
  <c r="U4215" i="7"/>
  <c r="T4215" i="7"/>
  <c r="S4215" i="7"/>
  <c r="R4215" i="7"/>
  <c r="Q4215" i="7"/>
  <c r="P4215" i="7"/>
  <c r="O4215" i="7"/>
  <c r="U4214" i="7"/>
  <c r="T4214" i="7"/>
  <c r="S4214" i="7"/>
  <c r="R4214" i="7"/>
  <c r="Q4214" i="7"/>
  <c r="P4214" i="7"/>
  <c r="O4214" i="7"/>
  <c r="U4213" i="7"/>
  <c r="T4213" i="7"/>
  <c r="S4213" i="7"/>
  <c r="R4213" i="7"/>
  <c r="Q4213" i="7"/>
  <c r="P4213" i="7"/>
  <c r="O4213" i="7"/>
  <c r="U4212" i="7"/>
  <c r="T4212" i="7"/>
  <c r="S4212" i="7"/>
  <c r="R4212" i="7"/>
  <c r="Q4212" i="7"/>
  <c r="P4212" i="7"/>
  <c r="O4212" i="7"/>
  <c r="U4211" i="7"/>
  <c r="T4211" i="7"/>
  <c r="S4211" i="7"/>
  <c r="R4211" i="7"/>
  <c r="Q4211" i="7"/>
  <c r="P4211" i="7"/>
  <c r="O4211" i="7"/>
  <c r="U4210" i="7"/>
  <c r="T4210" i="7"/>
  <c r="S4210" i="7"/>
  <c r="R4210" i="7"/>
  <c r="Q4210" i="7"/>
  <c r="P4210" i="7"/>
  <c r="O4210" i="7"/>
  <c r="U4209" i="7"/>
  <c r="T4209" i="7"/>
  <c r="S4209" i="7"/>
  <c r="R4209" i="7"/>
  <c r="Q4209" i="7"/>
  <c r="P4209" i="7"/>
  <c r="O4209" i="7"/>
  <c r="U4208" i="7"/>
  <c r="T4208" i="7"/>
  <c r="S4208" i="7"/>
  <c r="R4208" i="7"/>
  <c r="Q4208" i="7"/>
  <c r="P4208" i="7"/>
  <c r="O4208" i="7"/>
  <c r="U4207" i="7"/>
  <c r="T4207" i="7"/>
  <c r="S4207" i="7"/>
  <c r="R4207" i="7"/>
  <c r="Q4207" i="7"/>
  <c r="P4207" i="7"/>
  <c r="O4207" i="7"/>
  <c r="U4206" i="7"/>
  <c r="T4206" i="7"/>
  <c r="S4206" i="7"/>
  <c r="R4206" i="7"/>
  <c r="Q4206" i="7"/>
  <c r="P4206" i="7"/>
  <c r="O4206" i="7"/>
  <c r="U4205" i="7"/>
  <c r="T4205" i="7"/>
  <c r="S4205" i="7"/>
  <c r="R4205" i="7"/>
  <c r="Q4205" i="7"/>
  <c r="P4205" i="7"/>
  <c r="O4205" i="7"/>
  <c r="U4204" i="7"/>
  <c r="T4204" i="7"/>
  <c r="S4204" i="7"/>
  <c r="R4204" i="7"/>
  <c r="Q4204" i="7"/>
  <c r="P4204" i="7"/>
  <c r="O4204" i="7"/>
  <c r="U4203" i="7"/>
  <c r="T4203" i="7"/>
  <c r="S4203" i="7"/>
  <c r="R4203" i="7"/>
  <c r="Q4203" i="7"/>
  <c r="P4203" i="7"/>
  <c r="O4203" i="7"/>
  <c r="U4202" i="7"/>
  <c r="T4202" i="7"/>
  <c r="S4202" i="7"/>
  <c r="R4202" i="7"/>
  <c r="Q4202" i="7"/>
  <c r="P4202" i="7"/>
  <c r="O4202" i="7"/>
  <c r="U4201" i="7"/>
  <c r="T4201" i="7"/>
  <c r="S4201" i="7"/>
  <c r="R4201" i="7"/>
  <c r="Q4201" i="7"/>
  <c r="P4201" i="7"/>
  <c r="O4201" i="7"/>
  <c r="U4200" i="7"/>
  <c r="T4200" i="7"/>
  <c r="S4200" i="7"/>
  <c r="R4200" i="7"/>
  <c r="Q4200" i="7"/>
  <c r="P4200" i="7"/>
  <c r="O4200" i="7"/>
  <c r="U4199" i="7"/>
  <c r="T4199" i="7"/>
  <c r="S4199" i="7"/>
  <c r="R4199" i="7"/>
  <c r="Q4199" i="7"/>
  <c r="P4199" i="7"/>
  <c r="O4199" i="7"/>
  <c r="U4198" i="7"/>
  <c r="T4198" i="7"/>
  <c r="S4198" i="7"/>
  <c r="R4198" i="7"/>
  <c r="Q4198" i="7"/>
  <c r="P4198" i="7"/>
  <c r="O4198" i="7"/>
  <c r="U4197" i="7"/>
  <c r="T4197" i="7"/>
  <c r="S4197" i="7"/>
  <c r="R4197" i="7"/>
  <c r="Q4197" i="7"/>
  <c r="P4197" i="7"/>
  <c r="O4197" i="7"/>
  <c r="U4196" i="7"/>
  <c r="T4196" i="7"/>
  <c r="S4196" i="7"/>
  <c r="R4196" i="7"/>
  <c r="Q4196" i="7"/>
  <c r="P4196" i="7"/>
  <c r="O4196" i="7"/>
  <c r="U4195" i="7"/>
  <c r="T4195" i="7"/>
  <c r="S4195" i="7"/>
  <c r="R4195" i="7"/>
  <c r="Q4195" i="7"/>
  <c r="P4195" i="7"/>
  <c r="O4195" i="7"/>
  <c r="U4194" i="7"/>
  <c r="T4194" i="7"/>
  <c r="S4194" i="7"/>
  <c r="R4194" i="7"/>
  <c r="Q4194" i="7"/>
  <c r="P4194" i="7"/>
  <c r="O4194" i="7"/>
  <c r="U4193" i="7"/>
  <c r="T4193" i="7"/>
  <c r="S4193" i="7"/>
  <c r="R4193" i="7"/>
  <c r="Q4193" i="7"/>
  <c r="P4193" i="7"/>
  <c r="O4193" i="7"/>
  <c r="U4192" i="7"/>
  <c r="T4192" i="7"/>
  <c r="S4192" i="7"/>
  <c r="R4192" i="7"/>
  <c r="Q4192" i="7"/>
  <c r="P4192" i="7"/>
  <c r="O4192" i="7"/>
  <c r="U4191" i="7"/>
  <c r="T4191" i="7"/>
  <c r="S4191" i="7"/>
  <c r="R4191" i="7"/>
  <c r="Q4191" i="7"/>
  <c r="P4191" i="7"/>
  <c r="O4191" i="7"/>
  <c r="U4190" i="7"/>
  <c r="T4190" i="7"/>
  <c r="S4190" i="7"/>
  <c r="R4190" i="7"/>
  <c r="Q4190" i="7"/>
  <c r="P4190" i="7"/>
  <c r="O4190" i="7"/>
  <c r="U4189" i="7"/>
  <c r="T4189" i="7"/>
  <c r="S4189" i="7"/>
  <c r="R4189" i="7"/>
  <c r="Q4189" i="7"/>
  <c r="P4189" i="7"/>
  <c r="O4189" i="7"/>
  <c r="U4188" i="7"/>
  <c r="T4188" i="7"/>
  <c r="S4188" i="7"/>
  <c r="R4188" i="7"/>
  <c r="Q4188" i="7"/>
  <c r="P4188" i="7"/>
  <c r="O4188" i="7"/>
  <c r="U4187" i="7"/>
  <c r="T4187" i="7"/>
  <c r="S4187" i="7"/>
  <c r="R4187" i="7"/>
  <c r="Q4187" i="7"/>
  <c r="P4187" i="7"/>
  <c r="O4187" i="7"/>
  <c r="U4186" i="7"/>
  <c r="T4186" i="7"/>
  <c r="S4186" i="7"/>
  <c r="R4186" i="7"/>
  <c r="Q4186" i="7"/>
  <c r="P4186" i="7"/>
  <c r="O4186" i="7"/>
  <c r="U4185" i="7"/>
  <c r="T4185" i="7"/>
  <c r="S4185" i="7"/>
  <c r="R4185" i="7"/>
  <c r="Q4185" i="7"/>
  <c r="P4185" i="7"/>
  <c r="O4185" i="7"/>
  <c r="U4184" i="7"/>
  <c r="T4184" i="7"/>
  <c r="S4184" i="7"/>
  <c r="R4184" i="7"/>
  <c r="Q4184" i="7"/>
  <c r="P4184" i="7"/>
  <c r="O4184" i="7"/>
  <c r="U4183" i="7"/>
  <c r="T4183" i="7"/>
  <c r="S4183" i="7"/>
  <c r="R4183" i="7"/>
  <c r="Q4183" i="7"/>
  <c r="P4183" i="7"/>
  <c r="O4183" i="7"/>
  <c r="U4182" i="7"/>
  <c r="T4182" i="7"/>
  <c r="S4182" i="7"/>
  <c r="R4182" i="7"/>
  <c r="Q4182" i="7"/>
  <c r="P4182" i="7"/>
  <c r="O4182" i="7"/>
  <c r="U4181" i="7"/>
  <c r="T4181" i="7"/>
  <c r="S4181" i="7"/>
  <c r="R4181" i="7"/>
  <c r="Q4181" i="7"/>
  <c r="P4181" i="7"/>
  <c r="O4181" i="7"/>
  <c r="U4180" i="7"/>
  <c r="T4180" i="7"/>
  <c r="S4180" i="7"/>
  <c r="R4180" i="7"/>
  <c r="Q4180" i="7"/>
  <c r="P4180" i="7"/>
  <c r="O4180" i="7"/>
  <c r="U4179" i="7"/>
  <c r="T4179" i="7"/>
  <c r="S4179" i="7"/>
  <c r="R4179" i="7"/>
  <c r="Q4179" i="7"/>
  <c r="P4179" i="7"/>
  <c r="O4179" i="7"/>
  <c r="U4178" i="7"/>
  <c r="T4178" i="7"/>
  <c r="S4178" i="7"/>
  <c r="R4178" i="7"/>
  <c r="Q4178" i="7"/>
  <c r="P4178" i="7"/>
  <c r="O4178" i="7"/>
  <c r="U4177" i="7"/>
  <c r="T4177" i="7"/>
  <c r="S4177" i="7"/>
  <c r="R4177" i="7"/>
  <c r="Q4177" i="7"/>
  <c r="P4177" i="7"/>
  <c r="O4177" i="7"/>
  <c r="U4176" i="7"/>
  <c r="T4176" i="7"/>
  <c r="S4176" i="7"/>
  <c r="R4176" i="7"/>
  <c r="Q4176" i="7"/>
  <c r="P4176" i="7"/>
  <c r="O4176" i="7"/>
  <c r="U4175" i="7"/>
  <c r="T4175" i="7"/>
  <c r="S4175" i="7"/>
  <c r="R4175" i="7"/>
  <c r="Q4175" i="7"/>
  <c r="P4175" i="7"/>
  <c r="O4175" i="7"/>
  <c r="U4174" i="7"/>
  <c r="T4174" i="7"/>
  <c r="S4174" i="7"/>
  <c r="R4174" i="7"/>
  <c r="Q4174" i="7"/>
  <c r="P4174" i="7"/>
  <c r="O4174" i="7"/>
  <c r="U4173" i="7"/>
  <c r="T4173" i="7"/>
  <c r="S4173" i="7"/>
  <c r="R4173" i="7"/>
  <c r="Q4173" i="7"/>
  <c r="P4173" i="7"/>
  <c r="O4173" i="7"/>
  <c r="U4172" i="7"/>
  <c r="T4172" i="7"/>
  <c r="S4172" i="7"/>
  <c r="R4172" i="7"/>
  <c r="Q4172" i="7"/>
  <c r="P4172" i="7"/>
  <c r="O4172" i="7"/>
  <c r="U4171" i="7"/>
  <c r="T4171" i="7"/>
  <c r="S4171" i="7"/>
  <c r="R4171" i="7"/>
  <c r="Q4171" i="7"/>
  <c r="P4171" i="7"/>
  <c r="O4171" i="7"/>
  <c r="U4170" i="7"/>
  <c r="T4170" i="7"/>
  <c r="S4170" i="7"/>
  <c r="R4170" i="7"/>
  <c r="Q4170" i="7"/>
  <c r="P4170" i="7"/>
  <c r="O4170" i="7"/>
  <c r="U4169" i="7"/>
  <c r="T4169" i="7"/>
  <c r="S4169" i="7"/>
  <c r="R4169" i="7"/>
  <c r="Q4169" i="7"/>
  <c r="P4169" i="7"/>
  <c r="O4169" i="7"/>
  <c r="U4168" i="7"/>
  <c r="T4168" i="7"/>
  <c r="S4168" i="7"/>
  <c r="R4168" i="7"/>
  <c r="Q4168" i="7"/>
  <c r="P4168" i="7"/>
  <c r="O4168" i="7"/>
  <c r="U4167" i="7"/>
  <c r="T4167" i="7"/>
  <c r="S4167" i="7"/>
  <c r="R4167" i="7"/>
  <c r="Q4167" i="7"/>
  <c r="P4167" i="7"/>
  <c r="O4167" i="7"/>
  <c r="U4166" i="7"/>
  <c r="T4166" i="7"/>
  <c r="S4166" i="7"/>
  <c r="R4166" i="7"/>
  <c r="Q4166" i="7"/>
  <c r="P4166" i="7"/>
  <c r="O4166" i="7"/>
  <c r="U4165" i="7"/>
  <c r="T4165" i="7"/>
  <c r="S4165" i="7"/>
  <c r="R4165" i="7"/>
  <c r="Q4165" i="7"/>
  <c r="P4165" i="7"/>
  <c r="O4165" i="7"/>
  <c r="U4164" i="7"/>
  <c r="T4164" i="7"/>
  <c r="S4164" i="7"/>
  <c r="R4164" i="7"/>
  <c r="Q4164" i="7"/>
  <c r="P4164" i="7"/>
  <c r="O4164" i="7"/>
  <c r="U4163" i="7"/>
  <c r="T4163" i="7"/>
  <c r="S4163" i="7"/>
  <c r="R4163" i="7"/>
  <c r="Q4163" i="7"/>
  <c r="P4163" i="7"/>
  <c r="O4163" i="7"/>
  <c r="U4162" i="7"/>
  <c r="T4162" i="7"/>
  <c r="S4162" i="7"/>
  <c r="R4162" i="7"/>
  <c r="Q4162" i="7"/>
  <c r="P4162" i="7"/>
  <c r="O4162" i="7"/>
  <c r="U4161" i="7"/>
  <c r="T4161" i="7"/>
  <c r="S4161" i="7"/>
  <c r="R4161" i="7"/>
  <c r="Q4161" i="7"/>
  <c r="P4161" i="7"/>
  <c r="O4161" i="7"/>
  <c r="U4160" i="7"/>
  <c r="T4160" i="7"/>
  <c r="S4160" i="7"/>
  <c r="R4160" i="7"/>
  <c r="Q4160" i="7"/>
  <c r="P4160" i="7"/>
  <c r="O4160" i="7"/>
  <c r="U4159" i="7"/>
  <c r="T4159" i="7"/>
  <c r="S4159" i="7"/>
  <c r="R4159" i="7"/>
  <c r="Q4159" i="7"/>
  <c r="P4159" i="7"/>
  <c r="O4159" i="7"/>
  <c r="U4158" i="7"/>
  <c r="T4158" i="7"/>
  <c r="S4158" i="7"/>
  <c r="R4158" i="7"/>
  <c r="Q4158" i="7"/>
  <c r="P4158" i="7"/>
  <c r="O4158" i="7"/>
  <c r="U4157" i="7"/>
  <c r="T4157" i="7"/>
  <c r="S4157" i="7"/>
  <c r="R4157" i="7"/>
  <c r="Q4157" i="7"/>
  <c r="P4157" i="7"/>
  <c r="O4157" i="7"/>
  <c r="U4156" i="7"/>
  <c r="T4156" i="7"/>
  <c r="S4156" i="7"/>
  <c r="R4156" i="7"/>
  <c r="Q4156" i="7"/>
  <c r="P4156" i="7"/>
  <c r="O4156" i="7"/>
  <c r="U4155" i="7"/>
  <c r="T4155" i="7"/>
  <c r="S4155" i="7"/>
  <c r="R4155" i="7"/>
  <c r="Q4155" i="7"/>
  <c r="P4155" i="7"/>
  <c r="O4155" i="7"/>
  <c r="U4154" i="7"/>
  <c r="T4154" i="7"/>
  <c r="S4154" i="7"/>
  <c r="R4154" i="7"/>
  <c r="Q4154" i="7"/>
  <c r="P4154" i="7"/>
  <c r="O4154" i="7"/>
  <c r="U4153" i="7"/>
  <c r="T4153" i="7"/>
  <c r="S4153" i="7"/>
  <c r="R4153" i="7"/>
  <c r="Q4153" i="7"/>
  <c r="P4153" i="7"/>
  <c r="O4153" i="7"/>
  <c r="U4152" i="7"/>
  <c r="T4152" i="7"/>
  <c r="S4152" i="7"/>
  <c r="R4152" i="7"/>
  <c r="Q4152" i="7"/>
  <c r="P4152" i="7"/>
  <c r="O4152" i="7"/>
  <c r="U4151" i="7"/>
  <c r="T4151" i="7"/>
  <c r="S4151" i="7"/>
  <c r="R4151" i="7"/>
  <c r="Q4151" i="7"/>
  <c r="P4151" i="7"/>
  <c r="O4151" i="7"/>
  <c r="U4150" i="7"/>
  <c r="T4150" i="7"/>
  <c r="S4150" i="7"/>
  <c r="R4150" i="7"/>
  <c r="Q4150" i="7"/>
  <c r="P4150" i="7"/>
  <c r="O4150" i="7"/>
  <c r="U4149" i="7"/>
  <c r="T4149" i="7"/>
  <c r="S4149" i="7"/>
  <c r="R4149" i="7"/>
  <c r="Q4149" i="7"/>
  <c r="P4149" i="7"/>
  <c r="O4149" i="7"/>
  <c r="U4148" i="7"/>
  <c r="T4148" i="7"/>
  <c r="S4148" i="7"/>
  <c r="R4148" i="7"/>
  <c r="Q4148" i="7"/>
  <c r="P4148" i="7"/>
  <c r="O4148" i="7"/>
  <c r="U4147" i="7"/>
  <c r="T4147" i="7"/>
  <c r="S4147" i="7"/>
  <c r="R4147" i="7"/>
  <c r="Q4147" i="7"/>
  <c r="P4147" i="7"/>
  <c r="O4147" i="7"/>
  <c r="U4146" i="7"/>
  <c r="T4146" i="7"/>
  <c r="S4146" i="7"/>
  <c r="R4146" i="7"/>
  <c r="Q4146" i="7"/>
  <c r="P4146" i="7"/>
  <c r="O4146" i="7"/>
  <c r="U4145" i="7"/>
  <c r="T4145" i="7"/>
  <c r="S4145" i="7"/>
  <c r="R4145" i="7"/>
  <c r="Q4145" i="7"/>
  <c r="P4145" i="7"/>
  <c r="O4145" i="7"/>
  <c r="U4144" i="7"/>
  <c r="T4144" i="7"/>
  <c r="S4144" i="7"/>
  <c r="R4144" i="7"/>
  <c r="Q4144" i="7"/>
  <c r="P4144" i="7"/>
  <c r="O4144" i="7"/>
  <c r="U4143" i="7"/>
  <c r="T4143" i="7"/>
  <c r="S4143" i="7"/>
  <c r="R4143" i="7"/>
  <c r="Q4143" i="7"/>
  <c r="P4143" i="7"/>
  <c r="O4143" i="7"/>
  <c r="U4142" i="7"/>
  <c r="T4142" i="7"/>
  <c r="S4142" i="7"/>
  <c r="R4142" i="7"/>
  <c r="Q4142" i="7"/>
  <c r="P4142" i="7"/>
  <c r="O4142" i="7"/>
  <c r="U4141" i="7"/>
  <c r="T4141" i="7"/>
  <c r="S4141" i="7"/>
  <c r="R4141" i="7"/>
  <c r="Q4141" i="7"/>
  <c r="P4141" i="7"/>
  <c r="O4141" i="7"/>
  <c r="U4140" i="7"/>
  <c r="T4140" i="7"/>
  <c r="S4140" i="7"/>
  <c r="R4140" i="7"/>
  <c r="Q4140" i="7"/>
  <c r="P4140" i="7"/>
  <c r="O4140" i="7"/>
  <c r="U4139" i="7"/>
  <c r="T4139" i="7"/>
  <c r="S4139" i="7"/>
  <c r="R4139" i="7"/>
  <c r="Q4139" i="7"/>
  <c r="P4139" i="7"/>
  <c r="O4139" i="7"/>
  <c r="U4138" i="7"/>
  <c r="T4138" i="7"/>
  <c r="S4138" i="7"/>
  <c r="R4138" i="7"/>
  <c r="Q4138" i="7"/>
  <c r="P4138" i="7"/>
  <c r="O4138" i="7"/>
  <c r="U4137" i="7"/>
  <c r="T4137" i="7"/>
  <c r="S4137" i="7"/>
  <c r="R4137" i="7"/>
  <c r="Q4137" i="7"/>
  <c r="P4137" i="7"/>
  <c r="O4137" i="7"/>
  <c r="U4136" i="7"/>
  <c r="T4136" i="7"/>
  <c r="S4136" i="7"/>
  <c r="R4136" i="7"/>
  <c r="Q4136" i="7"/>
  <c r="P4136" i="7"/>
  <c r="O4136" i="7"/>
  <c r="U4135" i="7"/>
  <c r="T4135" i="7"/>
  <c r="S4135" i="7"/>
  <c r="R4135" i="7"/>
  <c r="Q4135" i="7"/>
  <c r="P4135" i="7"/>
  <c r="O4135" i="7"/>
  <c r="U4134" i="7"/>
  <c r="T4134" i="7"/>
  <c r="S4134" i="7"/>
  <c r="R4134" i="7"/>
  <c r="Q4134" i="7"/>
  <c r="P4134" i="7"/>
  <c r="O4134" i="7"/>
  <c r="U4133" i="7"/>
  <c r="T4133" i="7"/>
  <c r="S4133" i="7"/>
  <c r="R4133" i="7"/>
  <c r="Q4133" i="7"/>
  <c r="P4133" i="7"/>
  <c r="O4133" i="7"/>
  <c r="U4132" i="7"/>
  <c r="T4132" i="7"/>
  <c r="S4132" i="7"/>
  <c r="R4132" i="7"/>
  <c r="Q4132" i="7"/>
  <c r="P4132" i="7"/>
  <c r="O4132" i="7"/>
  <c r="U4131" i="7"/>
  <c r="T4131" i="7"/>
  <c r="S4131" i="7"/>
  <c r="R4131" i="7"/>
  <c r="Q4131" i="7"/>
  <c r="P4131" i="7"/>
  <c r="O4131" i="7"/>
  <c r="U4130" i="7"/>
  <c r="T4130" i="7"/>
  <c r="S4130" i="7"/>
  <c r="R4130" i="7"/>
  <c r="Q4130" i="7"/>
  <c r="P4130" i="7"/>
  <c r="O4130" i="7"/>
  <c r="U4129" i="7"/>
  <c r="T4129" i="7"/>
  <c r="S4129" i="7"/>
  <c r="R4129" i="7"/>
  <c r="Q4129" i="7"/>
  <c r="P4129" i="7"/>
  <c r="O4129" i="7"/>
  <c r="U4128" i="7"/>
  <c r="T4128" i="7"/>
  <c r="S4128" i="7"/>
  <c r="R4128" i="7"/>
  <c r="Q4128" i="7"/>
  <c r="P4128" i="7"/>
  <c r="O4128" i="7"/>
  <c r="U4127" i="7"/>
  <c r="T4127" i="7"/>
  <c r="S4127" i="7"/>
  <c r="R4127" i="7"/>
  <c r="Q4127" i="7"/>
  <c r="P4127" i="7"/>
  <c r="O4127" i="7"/>
  <c r="U4126" i="7"/>
  <c r="T4126" i="7"/>
  <c r="S4126" i="7"/>
  <c r="R4126" i="7"/>
  <c r="Q4126" i="7"/>
  <c r="P4126" i="7"/>
  <c r="O4126" i="7"/>
  <c r="U4125" i="7"/>
  <c r="T4125" i="7"/>
  <c r="S4125" i="7"/>
  <c r="R4125" i="7"/>
  <c r="Q4125" i="7"/>
  <c r="P4125" i="7"/>
  <c r="O4125" i="7"/>
  <c r="U4124" i="7"/>
  <c r="T4124" i="7"/>
  <c r="S4124" i="7"/>
  <c r="R4124" i="7"/>
  <c r="Q4124" i="7"/>
  <c r="P4124" i="7"/>
  <c r="O4124" i="7"/>
  <c r="U4123" i="7"/>
  <c r="T4123" i="7"/>
  <c r="S4123" i="7"/>
  <c r="R4123" i="7"/>
  <c r="Q4123" i="7"/>
  <c r="P4123" i="7"/>
  <c r="O4123" i="7"/>
  <c r="U4122" i="7"/>
  <c r="T4122" i="7"/>
  <c r="S4122" i="7"/>
  <c r="R4122" i="7"/>
  <c r="Q4122" i="7"/>
  <c r="P4122" i="7"/>
  <c r="O4122" i="7"/>
  <c r="U4121" i="7"/>
  <c r="T4121" i="7"/>
  <c r="S4121" i="7"/>
  <c r="R4121" i="7"/>
  <c r="Q4121" i="7"/>
  <c r="P4121" i="7"/>
  <c r="O4121" i="7"/>
  <c r="U4120" i="7"/>
  <c r="T4120" i="7"/>
  <c r="S4120" i="7"/>
  <c r="R4120" i="7"/>
  <c r="Q4120" i="7"/>
  <c r="P4120" i="7"/>
  <c r="O4120" i="7"/>
  <c r="U4119" i="7"/>
  <c r="T4119" i="7"/>
  <c r="S4119" i="7"/>
  <c r="R4119" i="7"/>
  <c r="Q4119" i="7"/>
  <c r="P4119" i="7"/>
  <c r="O4119" i="7"/>
  <c r="U4118" i="7"/>
  <c r="T4118" i="7"/>
  <c r="S4118" i="7"/>
  <c r="R4118" i="7"/>
  <c r="Q4118" i="7"/>
  <c r="P4118" i="7"/>
  <c r="O4118" i="7"/>
  <c r="U4117" i="7"/>
  <c r="T4117" i="7"/>
  <c r="S4117" i="7"/>
  <c r="R4117" i="7"/>
  <c r="Q4117" i="7"/>
  <c r="P4117" i="7"/>
  <c r="O4117" i="7"/>
  <c r="U4116" i="7"/>
  <c r="T4116" i="7"/>
  <c r="S4116" i="7"/>
  <c r="R4116" i="7"/>
  <c r="Q4116" i="7"/>
  <c r="P4116" i="7"/>
  <c r="O4116" i="7"/>
  <c r="U4115" i="7"/>
  <c r="T4115" i="7"/>
  <c r="S4115" i="7"/>
  <c r="R4115" i="7"/>
  <c r="Q4115" i="7"/>
  <c r="P4115" i="7"/>
  <c r="O4115" i="7"/>
  <c r="U4114" i="7"/>
  <c r="T4114" i="7"/>
  <c r="S4114" i="7"/>
  <c r="R4114" i="7"/>
  <c r="Q4114" i="7"/>
  <c r="P4114" i="7"/>
  <c r="O4114" i="7"/>
  <c r="U4113" i="7"/>
  <c r="T4113" i="7"/>
  <c r="S4113" i="7"/>
  <c r="R4113" i="7"/>
  <c r="Q4113" i="7"/>
  <c r="P4113" i="7"/>
  <c r="O4113" i="7"/>
  <c r="U4112" i="7"/>
  <c r="T4112" i="7"/>
  <c r="S4112" i="7"/>
  <c r="R4112" i="7"/>
  <c r="Q4112" i="7"/>
  <c r="P4112" i="7"/>
  <c r="O4112" i="7"/>
  <c r="U4111" i="7"/>
  <c r="T4111" i="7"/>
  <c r="S4111" i="7"/>
  <c r="R4111" i="7"/>
  <c r="Q4111" i="7"/>
  <c r="P4111" i="7"/>
  <c r="O4111" i="7"/>
  <c r="U4110" i="7"/>
  <c r="T4110" i="7"/>
  <c r="S4110" i="7"/>
  <c r="R4110" i="7"/>
  <c r="Q4110" i="7"/>
  <c r="P4110" i="7"/>
  <c r="O4110" i="7"/>
  <c r="U4109" i="7"/>
  <c r="T4109" i="7"/>
  <c r="S4109" i="7"/>
  <c r="R4109" i="7"/>
  <c r="Q4109" i="7"/>
  <c r="P4109" i="7"/>
  <c r="O4109" i="7"/>
  <c r="U4108" i="7"/>
  <c r="T4108" i="7"/>
  <c r="S4108" i="7"/>
  <c r="R4108" i="7"/>
  <c r="Q4108" i="7"/>
  <c r="P4108" i="7"/>
  <c r="O4108" i="7"/>
  <c r="U4107" i="7"/>
  <c r="T4107" i="7"/>
  <c r="S4107" i="7"/>
  <c r="R4107" i="7"/>
  <c r="Q4107" i="7"/>
  <c r="P4107" i="7"/>
  <c r="O4107" i="7"/>
  <c r="U4106" i="7"/>
  <c r="T4106" i="7"/>
  <c r="S4106" i="7"/>
  <c r="R4106" i="7"/>
  <c r="Q4106" i="7"/>
  <c r="P4106" i="7"/>
  <c r="O4106" i="7"/>
  <c r="U4105" i="7"/>
  <c r="T4105" i="7"/>
  <c r="S4105" i="7"/>
  <c r="R4105" i="7"/>
  <c r="Q4105" i="7"/>
  <c r="P4105" i="7"/>
  <c r="O4105" i="7"/>
  <c r="U4104" i="7"/>
  <c r="T4104" i="7"/>
  <c r="S4104" i="7"/>
  <c r="R4104" i="7"/>
  <c r="Q4104" i="7"/>
  <c r="P4104" i="7"/>
  <c r="O4104" i="7"/>
  <c r="U4103" i="7"/>
  <c r="T4103" i="7"/>
  <c r="S4103" i="7"/>
  <c r="R4103" i="7"/>
  <c r="Q4103" i="7"/>
  <c r="P4103" i="7"/>
  <c r="O4103" i="7"/>
  <c r="U4102" i="7"/>
  <c r="T4102" i="7"/>
  <c r="S4102" i="7"/>
  <c r="R4102" i="7"/>
  <c r="Q4102" i="7"/>
  <c r="P4102" i="7"/>
  <c r="O4102" i="7"/>
  <c r="U4101" i="7"/>
  <c r="T4101" i="7"/>
  <c r="S4101" i="7"/>
  <c r="R4101" i="7"/>
  <c r="Q4101" i="7"/>
  <c r="P4101" i="7"/>
  <c r="O4101" i="7"/>
  <c r="U4100" i="7"/>
  <c r="T4100" i="7"/>
  <c r="S4100" i="7"/>
  <c r="R4100" i="7"/>
  <c r="Q4100" i="7"/>
  <c r="P4100" i="7"/>
  <c r="O4100" i="7"/>
  <c r="U4099" i="7"/>
  <c r="T4099" i="7"/>
  <c r="S4099" i="7"/>
  <c r="R4099" i="7"/>
  <c r="Q4099" i="7"/>
  <c r="P4099" i="7"/>
  <c r="O4099" i="7"/>
  <c r="U4098" i="7"/>
  <c r="T4098" i="7"/>
  <c r="S4098" i="7"/>
  <c r="R4098" i="7"/>
  <c r="Q4098" i="7"/>
  <c r="P4098" i="7"/>
  <c r="O4098" i="7"/>
  <c r="U4097" i="7"/>
  <c r="T4097" i="7"/>
  <c r="S4097" i="7"/>
  <c r="R4097" i="7"/>
  <c r="Q4097" i="7"/>
  <c r="P4097" i="7"/>
  <c r="O4097" i="7"/>
  <c r="U4096" i="7"/>
  <c r="T4096" i="7"/>
  <c r="S4096" i="7"/>
  <c r="R4096" i="7"/>
  <c r="Q4096" i="7"/>
  <c r="P4096" i="7"/>
  <c r="O4096" i="7"/>
  <c r="U4095" i="7"/>
  <c r="T4095" i="7"/>
  <c r="S4095" i="7"/>
  <c r="R4095" i="7"/>
  <c r="Q4095" i="7"/>
  <c r="P4095" i="7"/>
  <c r="O4095" i="7"/>
  <c r="U4094" i="7"/>
  <c r="T4094" i="7"/>
  <c r="S4094" i="7"/>
  <c r="R4094" i="7"/>
  <c r="Q4094" i="7"/>
  <c r="P4094" i="7"/>
  <c r="O4094" i="7"/>
  <c r="U4093" i="7"/>
  <c r="T4093" i="7"/>
  <c r="S4093" i="7"/>
  <c r="R4093" i="7"/>
  <c r="Q4093" i="7"/>
  <c r="P4093" i="7"/>
  <c r="O4093" i="7"/>
  <c r="U4092" i="7"/>
  <c r="T4092" i="7"/>
  <c r="S4092" i="7"/>
  <c r="R4092" i="7"/>
  <c r="Q4092" i="7"/>
  <c r="P4092" i="7"/>
  <c r="O4092" i="7"/>
  <c r="U4091" i="7"/>
  <c r="T4091" i="7"/>
  <c r="S4091" i="7"/>
  <c r="R4091" i="7"/>
  <c r="Q4091" i="7"/>
  <c r="P4091" i="7"/>
  <c r="O4091" i="7"/>
  <c r="U4090" i="7"/>
  <c r="T4090" i="7"/>
  <c r="S4090" i="7"/>
  <c r="R4090" i="7"/>
  <c r="Q4090" i="7"/>
  <c r="P4090" i="7"/>
  <c r="O4090" i="7"/>
  <c r="U4089" i="7"/>
  <c r="T4089" i="7"/>
  <c r="S4089" i="7"/>
  <c r="R4089" i="7"/>
  <c r="Q4089" i="7"/>
  <c r="P4089" i="7"/>
  <c r="O4089" i="7"/>
  <c r="U4088" i="7"/>
  <c r="T4088" i="7"/>
  <c r="S4088" i="7"/>
  <c r="R4088" i="7"/>
  <c r="Q4088" i="7"/>
  <c r="P4088" i="7"/>
  <c r="O4088" i="7"/>
  <c r="U4087" i="7"/>
  <c r="T4087" i="7"/>
  <c r="S4087" i="7"/>
  <c r="R4087" i="7"/>
  <c r="Q4087" i="7"/>
  <c r="P4087" i="7"/>
  <c r="O4087" i="7"/>
  <c r="U4086" i="7"/>
  <c r="T4086" i="7"/>
  <c r="S4086" i="7"/>
  <c r="R4086" i="7"/>
  <c r="Q4086" i="7"/>
  <c r="P4086" i="7"/>
  <c r="O4086" i="7"/>
  <c r="U4085" i="7"/>
  <c r="T4085" i="7"/>
  <c r="S4085" i="7"/>
  <c r="R4085" i="7"/>
  <c r="Q4085" i="7"/>
  <c r="P4085" i="7"/>
  <c r="O4085" i="7"/>
  <c r="U4084" i="7"/>
  <c r="T4084" i="7"/>
  <c r="S4084" i="7"/>
  <c r="R4084" i="7"/>
  <c r="Q4084" i="7"/>
  <c r="P4084" i="7"/>
  <c r="O4084" i="7"/>
  <c r="U4083" i="7"/>
  <c r="T4083" i="7"/>
  <c r="S4083" i="7"/>
  <c r="R4083" i="7"/>
  <c r="Q4083" i="7"/>
  <c r="P4083" i="7"/>
  <c r="O4083" i="7"/>
  <c r="U4082" i="7"/>
  <c r="T4082" i="7"/>
  <c r="S4082" i="7"/>
  <c r="R4082" i="7"/>
  <c r="Q4082" i="7"/>
  <c r="P4082" i="7"/>
  <c r="O4082" i="7"/>
  <c r="U4081" i="7"/>
  <c r="T4081" i="7"/>
  <c r="S4081" i="7"/>
  <c r="R4081" i="7"/>
  <c r="Q4081" i="7"/>
  <c r="P4081" i="7"/>
  <c r="O4081" i="7"/>
  <c r="U4080" i="7"/>
  <c r="T4080" i="7"/>
  <c r="S4080" i="7"/>
  <c r="R4080" i="7"/>
  <c r="Q4080" i="7"/>
  <c r="P4080" i="7"/>
  <c r="O4080" i="7"/>
  <c r="U4079" i="7"/>
  <c r="T4079" i="7"/>
  <c r="S4079" i="7"/>
  <c r="R4079" i="7"/>
  <c r="Q4079" i="7"/>
  <c r="P4079" i="7"/>
  <c r="O4079" i="7"/>
  <c r="U4078" i="7"/>
  <c r="T4078" i="7"/>
  <c r="S4078" i="7"/>
  <c r="R4078" i="7"/>
  <c r="Q4078" i="7"/>
  <c r="P4078" i="7"/>
  <c r="O4078" i="7"/>
  <c r="U4077" i="7"/>
  <c r="T4077" i="7"/>
  <c r="S4077" i="7"/>
  <c r="R4077" i="7"/>
  <c r="Q4077" i="7"/>
  <c r="P4077" i="7"/>
  <c r="O4077" i="7"/>
  <c r="U4076" i="7"/>
  <c r="T4076" i="7"/>
  <c r="S4076" i="7"/>
  <c r="R4076" i="7"/>
  <c r="Q4076" i="7"/>
  <c r="P4076" i="7"/>
  <c r="O4076" i="7"/>
  <c r="U4075" i="7"/>
  <c r="T4075" i="7"/>
  <c r="S4075" i="7"/>
  <c r="R4075" i="7"/>
  <c r="Q4075" i="7"/>
  <c r="P4075" i="7"/>
  <c r="O4075" i="7"/>
  <c r="U4074" i="7"/>
  <c r="T4074" i="7"/>
  <c r="S4074" i="7"/>
  <c r="R4074" i="7"/>
  <c r="Q4074" i="7"/>
  <c r="P4074" i="7"/>
  <c r="O4074" i="7"/>
  <c r="U4073" i="7"/>
  <c r="T4073" i="7"/>
  <c r="S4073" i="7"/>
  <c r="R4073" i="7"/>
  <c r="Q4073" i="7"/>
  <c r="P4073" i="7"/>
  <c r="O4073" i="7"/>
  <c r="U4072" i="7"/>
  <c r="T4072" i="7"/>
  <c r="S4072" i="7"/>
  <c r="R4072" i="7"/>
  <c r="Q4072" i="7"/>
  <c r="P4072" i="7"/>
  <c r="O4072" i="7"/>
  <c r="U4071" i="7"/>
  <c r="T4071" i="7"/>
  <c r="S4071" i="7"/>
  <c r="R4071" i="7"/>
  <c r="Q4071" i="7"/>
  <c r="P4071" i="7"/>
  <c r="O4071" i="7"/>
  <c r="U4070" i="7"/>
  <c r="T4070" i="7"/>
  <c r="S4070" i="7"/>
  <c r="R4070" i="7"/>
  <c r="Q4070" i="7"/>
  <c r="P4070" i="7"/>
  <c r="O4070" i="7"/>
  <c r="U4069" i="7"/>
  <c r="T4069" i="7"/>
  <c r="S4069" i="7"/>
  <c r="R4069" i="7"/>
  <c r="Q4069" i="7"/>
  <c r="P4069" i="7"/>
  <c r="O4069" i="7"/>
  <c r="U4068" i="7"/>
  <c r="T4068" i="7"/>
  <c r="S4068" i="7"/>
  <c r="R4068" i="7"/>
  <c r="Q4068" i="7"/>
  <c r="P4068" i="7"/>
  <c r="O4068" i="7"/>
  <c r="U4067" i="7"/>
  <c r="T4067" i="7"/>
  <c r="S4067" i="7"/>
  <c r="R4067" i="7"/>
  <c r="Q4067" i="7"/>
  <c r="P4067" i="7"/>
  <c r="O4067" i="7"/>
  <c r="U4066" i="7"/>
  <c r="T4066" i="7"/>
  <c r="S4066" i="7"/>
  <c r="R4066" i="7"/>
  <c r="Q4066" i="7"/>
  <c r="P4066" i="7"/>
  <c r="O4066" i="7"/>
  <c r="U4065" i="7"/>
  <c r="T4065" i="7"/>
  <c r="S4065" i="7"/>
  <c r="R4065" i="7"/>
  <c r="Q4065" i="7"/>
  <c r="P4065" i="7"/>
  <c r="O4065" i="7"/>
  <c r="U4064" i="7"/>
  <c r="T4064" i="7"/>
  <c r="S4064" i="7"/>
  <c r="R4064" i="7"/>
  <c r="Q4064" i="7"/>
  <c r="P4064" i="7"/>
  <c r="O4064" i="7"/>
  <c r="U4063" i="7"/>
  <c r="T4063" i="7"/>
  <c r="S4063" i="7"/>
  <c r="R4063" i="7"/>
  <c r="Q4063" i="7"/>
  <c r="P4063" i="7"/>
  <c r="O4063" i="7"/>
  <c r="U4062" i="7"/>
  <c r="T4062" i="7"/>
  <c r="S4062" i="7"/>
  <c r="R4062" i="7"/>
  <c r="Q4062" i="7"/>
  <c r="P4062" i="7"/>
  <c r="O4062" i="7"/>
  <c r="U4061" i="7"/>
  <c r="T4061" i="7"/>
  <c r="S4061" i="7"/>
  <c r="R4061" i="7"/>
  <c r="Q4061" i="7"/>
  <c r="P4061" i="7"/>
  <c r="O4061" i="7"/>
  <c r="U4060" i="7"/>
  <c r="T4060" i="7"/>
  <c r="S4060" i="7"/>
  <c r="R4060" i="7"/>
  <c r="Q4060" i="7"/>
  <c r="P4060" i="7"/>
  <c r="O4060" i="7"/>
  <c r="U4059" i="7"/>
  <c r="T4059" i="7"/>
  <c r="S4059" i="7"/>
  <c r="R4059" i="7"/>
  <c r="Q4059" i="7"/>
  <c r="P4059" i="7"/>
  <c r="O4059" i="7"/>
  <c r="U4058" i="7"/>
  <c r="T4058" i="7"/>
  <c r="S4058" i="7"/>
  <c r="R4058" i="7"/>
  <c r="Q4058" i="7"/>
  <c r="P4058" i="7"/>
  <c r="O4058" i="7"/>
  <c r="U4057" i="7"/>
  <c r="T4057" i="7"/>
  <c r="S4057" i="7"/>
  <c r="R4057" i="7"/>
  <c r="Q4057" i="7"/>
  <c r="P4057" i="7"/>
  <c r="O4057" i="7"/>
  <c r="U4056" i="7"/>
  <c r="T4056" i="7"/>
  <c r="S4056" i="7"/>
  <c r="R4056" i="7"/>
  <c r="Q4056" i="7"/>
  <c r="P4056" i="7"/>
  <c r="O4056" i="7"/>
  <c r="U4055" i="7"/>
  <c r="T4055" i="7"/>
  <c r="S4055" i="7"/>
  <c r="R4055" i="7"/>
  <c r="Q4055" i="7"/>
  <c r="P4055" i="7"/>
  <c r="O4055" i="7"/>
  <c r="U4054" i="7"/>
  <c r="T4054" i="7"/>
  <c r="S4054" i="7"/>
  <c r="R4054" i="7"/>
  <c r="Q4054" i="7"/>
  <c r="P4054" i="7"/>
  <c r="O4054" i="7"/>
  <c r="U4053" i="7"/>
  <c r="T4053" i="7"/>
  <c r="S4053" i="7"/>
  <c r="R4053" i="7"/>
  <c r="Q4053" i="7"/>
  <c r="P4053" i="7"/>
  <c r="O4053" i="7"/>
  <c r="U4052" i="7"/>
  <c r="T4052" i="7"/>
  <c r="S4052" i="7"/>
  <c r="R4052" i="7"/>
  <c r="Q4052" i="7"/>
  <c r="P4052" i="7"/>
  <c r="O4052" i="7"/>
  <c r="U4051" i="7"/>
  <c r="T4051" i="7"/>
  <c r="S4051" i="7"/>
  <c r="R4051" i="7"/>
  <c r="Q4051" i="7"/>
  <c r="P4051" i="7"/>
  <c r="O4051" i="7"/>
  <c r="U4050" i="7"/>
  <c r="T4050" i="7"/>
  <c r="S4050" i="7"/>
  <c r="R4050" i="7"/>
  <c r="Q4050" i="7"/>
  <c r="P4050" i="7"/>
  <c r="O4050" i="7"/>
  <c r="U4049" i="7"/>
  <c r="T4049" i="7"/>
  <c r="S4049" i="7"/>
  <c r="R4049" i="7"/>
  <c r="Q4049" i="7"/>
  <c r="P4049" i="7"/>
  <c r="O4049" i="7"/>
  <c r="U4048" i="7"/>
  <c r="T4048" i="7"/>
  <c r="S4048" i="7"/>
  <c r="R4048" i="7"/>
  <c r="Q4048" i="7"/>
  <c r="P4048" i="7"/>
  <c r="O4048" i="7"/>
  <c r="U4047" i="7"/>
  <c r="T4047" i="7"/>
  <c r="S4047" i="7"/>
  <c r="R4047" i="7"/>
  <c r="Q4047" i="7"/>
  <c r="P4047" i="7"/>
  <c r="O4047" i="7"/>
  <c r="U4046" i="7"/>
  <c r="T4046" i="7"/>
  <c r="S4046" i="7"/>
  <c r="R4046" i="7"/>
  <c r="Q4046" i="7"/>
  <c r="P4046" i="7"/>
  <c r="O4046" i="7"/>
  <c r="U4045" i="7"/>
  <c r="T4045" i="7"/>
  <c r="S4045" i="7"/>
  <c r="R4045" i="7"/>
  <c r="Q4045" i="7"/>
  <c r="P4045" i="7"/>
  <c r="O4045" i="7"/>
  <c r="U4044" i="7"/>
  <c r="T4044" i="7"/>
  <c r="S4044" i="7"/>
  <c r="R4044" i="7"/>
  <c r="Q4044" i="7"/>
  <c r="P4044" i="7"/>
  <c r="O4044" i="7"/>
  <c r="U4043" i="7"/>
  <c r="T4043" i="7"/>
  <c r="S4043" i="7"/>
  <c r="R4043" i="7"/>
  <c r="Q4043" i="7"/>
  <c r="P4043" i="7"/>
  <c r="O4043" i="7"/>
  <c r="U4042" i="7"/>
  <c r="T4042" i="7"/>
  <c r="S4042" i="7"/>
  <c r="R4042" i="7"/>
  <c r="Q4042" i="7"/>
  <c r="P4042" i="7"/>
  <c r="O4042" i="7"/>
  <c r="U4041" i="7"/>
  <c r="T4041" i="7"/>
  <c r="S4041" i="7"/>
  <c r="R4041" i="7"/>
  <c r="Q4041" i="7"/>
  <c r="P4041" i="7"/>
  <c r="O4041" i="7"/>
  <c r="U4040" i="7"/>
  <c r="T4040" i="7"/>
  <c r="S4040" i="7"/>
  <c r="R4040" i="7"/>
  <c r="Q4040" i="7"/>
  <c r="P4040" i="7"/>
  <c r="O4040" i="7"/>
  <c r="U4039" i="7"/>
  <c r="T4039" i="7"/>
  <c r="S4039" i="7"/>
  <c r="R4039" i="7"/>
  <c r="Q4039" i="7"/>
  <c r="P4039" i="7"/>
  <c r="O4039" i="7"/>
  <c r="U4038" i="7"/>
  <c r="T4038" i="7"/>
  <c r="S4038" i="7"/>
  <c r="R4038" i="7"/>
  <c r="Q4038" i="7"/>
  <c r="P4038" i="7"/>
  <c r="O4038" i="7"/>
  <c r="U4037" i="7"/>
  <c r="T4037" i="7"/>
  <c r="S4037" i="7"/>
  <c r="R4037" i="7"/>
  <c r="Q4037" i="7"/>
  <c r="P4037" i="7"/>
  <c r="O4037" i="7"/>
  <c r="U4036" i="7"/>
  <c r="T4036" i="7"/>
  <c r="S4036" i="7"/>
  <c r="R4036" i="7"/>
  <c r="Q4036" i="7"/>
  <c r="P4036" i="7"/>
  <c r="O4036" i="7"/>
  <c r="U4035" i="7"/>
  <c r="T4035" i="7"/>
  <c r="S4035" i="7"/>
  <c r="R4035" i="7"/>
  <c r="Q4035" i="7"/>
  <c r="P4035" i="7"/>
  <c r="O4035" i="7"/>
  <c r="U4034" i="7"/>
  <c r="T4034" i="7"/>
  <c r="S4034" i="7"/>
  <c r="R4034" i="7"/>
  <c r="Q4034" i="7"/>
  <c r="P4034" i="7"/>
  <c r="O4034" i="7"/>
  <c r="U4033" i="7"/>
  <c r="T4033" i="7"/>
  <c r="S4033" i="7"/>
  <c r="R4033" i="7"/>
  <c r="Q4033" i="7"/>
  <c r="P4033" i="7"/>
  <c r="O4033" i="7"/>
  <c r="U4032" i="7"/>
  <c r="T4032" i="7"/>
  <c r="S4032" i="7"/>
  <c r="R4032" i="7"/>
  <c r="Q4032" i="7"/>
  <c r="P4032" i="7"/>
  <c r="O4032" i="7"/>
  <c r="U4031" i="7"/>
  <c r="T4031" i="7"/>
  <c r="S4031" i="7"/>
  <c r="R4031" i="7"/>
  <c r="Q4031" i="7"/>
  <c r="P4031" i="7"/>
  <c r="O4031" i="7"/>
  <c r="U4030" i="7"/>
  <c r="T4030" i="7"/>
  <c r="S4030" i="7"/>
  <c r="R4030" i="7"/>
  <c r="Q4030" i="7"/>
  <c r="P4030" i="7"/>
  <c r="O4030" i="7"/>
  <c r="U4029" i="7"/>
  <c r="T4029" i="7"/>
  <c r="S4029" i="7"/>
  <c r="R4029" i="7"/>
  <c r="Q4029" i="7"/>
  <c r="P4029" i="7"/>
  <c r="O4029" i="7"/>
  <c r="U4028" i="7"/>
  <c r="T4028" i="7"/>
  <c r="S4028" i="7"/>
  <c r="R4028" i="7"/>
  <c r="Q4028" i="7"/>
  <c r="P4028" i="7"/>
  <c r="O4028" i="7"/>
  <c r="U4027" i="7"/>
  <c r="T4027" i="7"/>
  <c r="S4027" i="7"/>
  <c r="R4027" i="7"/>
  <c r="Q4027" i="7"/>
  <c r="P4027" i="7"/>
  <c r="O4027" i="7"/>
  <c r="U4026" i="7"/>
  <c r="T4026" i="7"/>
  <c r="S4026" i="7"/>
  <c r="R4026" i="7"/>
  <c r="Q4026" i="7"/>
  <c r="P4026" i="7"/>
  <c r="O4026" i="7"/>
  <c r="U4025" i="7"/>
  <c r="T4025" i="7"/>
  <c r="S4025" i="7"/>
  <c r="R4025" i="7"/>
  <c r="Q4025" i="7"/>
  <c r="P4025" i="7"/>
  <c r="O4025" i="7"/>
  <c r="U4024" i="7"/>
  <c r="T4024" i="7"/>
  <c r="S4024" i="7"/>
  <c r="R4024" i="7"/>
  <c r="Q4024" i="7"/>
  <c r="P4024" i="7"/>
  <c r="O4024" i="7"/>
  <c r="U4023" i="7"/>
  <c r="T4023" i="7"/>
  <c r="S4023" i="7"/>
  <c r="R4023" i="7"/>
  <c r="Q4023" i="7"/>
  <c r="P4023" i="7"/>
  <c r="O4023" i="7"/>
  <c r="U4022" i="7"/>
  <c r="T4022" i="7"/>
  <c r="S4022" i="7"/>
  <c r="R4022" i="7"/>
  <c r="Q4022" i="7"/>
  <c r="P4022" i="7"/>
  <c r="O4022" i="7"/>
  <c r="U4021" i="7"/>
  <c r="T4021" i="7"/>
  <c r="S4021" i="7"/>
  <c r="R4021" i="7"/>
  <c r="Q4021" i="7"/>
  <c r="P4021" i="7"/>
  <c r="O4021" i="7"/>
  <c r="U4020" i="7"/>
  <c r="T4020" i="7"/>
  <c r="S4020" i="7"/>
  <c r="R4020" i="7"/>
  <c r="Q4020" i="7"/>
  <c r="P4020" i="7"/>
  <c r="O4020" i="7"/>
  <c r="U4019" i="7"/>
  <c r="T4019" i="7"/>
  <c r="S4019" i="7"/>
  <c r="R4019" i="7"/>
  <c r="Q4019" i="7"/>
  <c r="P4019" i="7"/>
  <c r="O4019" i="7"/>
  <c r="U4018" i="7"/>
  <c r="T4018" i="7"/>
  <c r="S4018" i="7"/>
  <c r="R4018" i="7"/>
  <c r="Q4018" i="7"/>
  <c r="P4018" i="7"/>
  <c r="O4018" i="7"/>
  <c r="U4017" i="7"/>
  <c r="T4017" i="7"/>
  <c r="S4017" i="7"/>
  <c r="R4017" i="7"/>
  <c r="Q4017" i="7"/>
  <c r="P4017" i="7"/>
  <c r="O4017" i="7"/>
  <c r="U4016" i="7"/>
  <c r="T4016" i="7"/>
  <c r="S4016" i="7"/>
  <c r="R4016" i="7"/>
  <c r="Q4016" i="7"/>
  <c r="P4016" i="7"/>
  <c r="O4016" i="7"/>
  <c r="U4015" i="7"/>
  <c r="T4015" i="7"/>
  <c r="S4015" i="7"/>
  <c r="R4015" i="7"/>
  <c r="Q4015" i="7"/>
  <c r="P4015" i="7"/>
  <c r="O4015" i="7"/>
  <c r="U4014" i="7"/>
  <c r="T4014" i="7"/>
  <c r="S4014" i="7"/>
  <c r="R4014" i="7"/>
  <c r="Q4014" i="7"/>
  <c r="P4014" i="7"/>
  <c r="O4014" i="7"/>
  <c r="U4013" i="7"/>
  <c r="T4013" i="7"/>
  <c r="S4013" i="7"/>
  <c r="R4013" i="7"/>
  <c r="Q4013" i="7"/>
  <c r="P4013" i="7"/>
  <c r="O4013" i="7"/>
  <c r="U4012" i="7"/>
  <c r="T4012" i="7"/>
  <c r="S4012" i="7"/>
  <c r="R4012" i="7"/>
  <c r="Q4012" i="7"/>
  <c r="P4012" i="7"/>
  <c r="O4012" i="7"/>
  <c r="U4011" i="7"/>
  <c r="T4011" i="7"/>
  <c r="S4011" i="7"/>
  <c r="R4011" i="7"/>
  <c r="Q4011" i="7"/>
  <c r="P4011" i="7"/>
  <c r="O4011" i="7"/>
  <c r="U4010" i="7"/>
  <c r="T4010" i="7"/>
  <c r="S4010" i="7"/>
  <c r="R4010" i="7"/>
  <c r="Q4010" i="7"/>
  <c r="P4010" i="7"/>
  <c r="O4010" i="7"/>
  <c r="U4009" i="7"/>
  <c r="T4009" i="7"/>
  <c r="S4009" i="7"/>
  <c r="R4009" i="7"/>
  <c r="Q4009" i="7"/>
  <c r="P4009" i="7"/>
  <c r="O4009" i="7"/>
  <c r="U4008" i="7"/>
  <c r="T4008" i="7"/>
  <c r="S4008" i="7"/>
  <c r="R4008" i="7"/>
  <c r="Q4008" i="7"/>
  <c r="P4008" i="7"/>
  <c r="O4008" i="7"/>
  <c r="U4007" i="7"/>
  <c r="T4007" i="7"/>
  <c r="S4007" i="7"/>
  <c r="R4007" i="7"/>
  <c r="Q4007" i="7"/>
  <c r="P4007" i="7"/>
  <c r="O4007" i="7"/>
  <c r="U4006" i="7"/>
  <c r="T4006" i="7"/>
  <c r="S4006" i="7"/>
  <c r="R4006" i="7"/>
  <c r="Q4006" i="7"/>
  <c r="P4006" i="7"/>
  <c r="O4006" i="7"/>
  <c r="U4005" i="7"/>
  <c r="T4005" i="7"/>
  <c r="S4005" i="7"/>
  <c r="R4005" i="7"/>
  <c r="Q4005" i="7"/>
  <c r="P4005" i="7"/>
  <c r="O4005" i="7"/>
  <c r="U4004" i="7"/>
  <c r="T4004" i="7"/>
  <c r="S4004" i="7"/>
  <c r="R4004" i="7"/>
  <c r="Q4004" i="7"/>
  <c r="P4004" i="7"/>
  <c r="O4004" i="7"/>
  <c r="U4003" i="7"/>
  <c r="T4003" i="7"/>
  <c r="S4003" i="7"/>
  <c r="R4003" i="7"/>
  <c r="Q4003" i="7"/>
  <c r="P4003" i="7"/>
  <c r="O4003" i="7"/>
  <c r="U4002" i="7"/>
  <c r="T4002" i="7"/>
  <c r="S4002" i="7"/>
  <c r="R4002" i="7"/>
  <c r="Q4002" i="7"/>
  <c r="P4002" i="7"/>
  <c r="O4002" i="7"/>
  <c r="U4001" i="7"/>
  <c r="T4001" i="7"/>
  <c r="S4001" i="7"/>
  <c r="R4001" i="7"/>
  <c r="Q4001" i="7"/>
  <c r="P4001" i="7"/>
  <c r="O4001" i="7"/>
  <c r="U4000" i="7"/>
  <c r="T4000" i="7"/>
  <c r="S4000" i="7"/>
  <c r="R4000" i="7"/>
  <c r="Q4000" i="7"/>
  <c r="P4000" i="7"/>
  <c r="O4000" i="7"/>
  <c r="U3999" i="7"/>
  <c r="T3999" i="7"/>
  <c r="S3999" i="7"/>
  <c r="R3999" i="7"/>
  <c r="Q3999" i="7"/>
  <c r="P3999" i="7"/>
  <c r="O3999" i="7"/>
  <c r="U3998" i="7"/>
  <c r="T3998" i="7"/>
  <c r="S3998" i="7"/>
  <c r="R3998" i="7"/>
  <c r="Q3998" i="7"/>
  <c r="P3998" i="7"/>
  <c r="O3998" i="7"/>
  <c r="U3997" i="7"/>
  <c r="T3997" i="7"/>
  <c r="S3997" i="7"/>
  <c r="R3997" i="7"/>
  <c r="Q3997" i="7"/>
  <c r="P3997" i="7"/>
  <c r="O3997" i="7"/>
  <c r="U3996" i="7"/>
  <c r="T3996" i="7"/>
  <c r="S3996" i="7"/>
  <c r="R3996" i="7"/>
  <c r="Q3996" i="7"/>
  <c r="P3996" i="7"/>
  <c r="O3996" i="7"/>
  <c r="U3995" i="7"/>
  <c r="T3995" i="7"/>
  <c r="S3995" i="7"/>
  <c r="R3995" i="7"/>
  <c r="Q3995" i="7"/>
  <c r="P3995" i="7"/>
  <c r="O3995" i="7"/>
  <c r="U3994" i="7"/>
  <c r="T3994" i="7"/>
  <c r="S3994" i="7"/>
  <c r="R3994" i="7"/>
  <c r="Q3994" i="7"/>
  <c r="P3994" i="7"/>
  <c r="O3994" i="7"/>
  <c r="U3993" i="7"/>
  <c r="T3993" i="7"/>
  <c r="S3993" i="7"/>
  <c r="R3993" i="7"/>
  <c r="Q3993" i="7"/>
  <c r="P3993" i="7"/>
  <c r="O3993" i="7"/>
  <c r="U3992" i="7"/>
  <c r="T3992" i="7"/>
  <c r="S3992" i="7"/>
  <c r="R3992" i="7"/>
  <c r="Q3992" i="7"/>
  <c r="P3992" i="7"/>
  <c r="O3992" i="7"/>
  <c r="U3991" i="7"/>
  <c r="T3991" i="7"/>
  <c r="S3991" i="7"/>
  <c r="R3991" i="7"/>
  <c r="Q3991" i="7"/>
  <c r="P3991" i="7"/>
  <c r="O3991" i="7"/>
  <c r="U3990" i="7"/>
  <c r="T3990" i="7"/>
  <c r="S3990" i="7"/>
  <c r="R3990" i="7"/>
  <c r="Q3990" i="7"/>
  <c r="P3990" i="7"/>
  <c r="O3990" i="7"/>
  <c r="U3989" i="7"/>
  <c r="T3989" i="7"/>
  <c r="S3989" i="7"/>
  <c r="R3989" i="7"/>
  <c r="Q3989" i="7"/>
  <c r="P3989" i="7"/>
  <c r="O3989" i="7"/>
  <c r="U3988" i="7"/>
  <c r="T3988" i="7"/>
  <c r="S3988" i="7"/>
  <c r="R3988" i="7"/>
  <c r="Q3988" i="7"/>
  <c r="P3988" i="7"/>
  <c r="O3988" i="7"/>
  <c r="U3987" i="7"/>
  <c r="T3987" i="7"/>
  <c r="S3987" i="7"/>
  <c r="R3987" i="7"/>
  <c r="Q3987" i="7"/>
  <c r="P3987" i="7"/>
  <c r="O3987" i="7"/>
  <c r="U3986" i="7"/>
  <c r="T3986" i="7"/>
  <c r="S3986" i="7"/>
  <c r="R3986" i="7"/>
  <c r="Q3986" i="7"/>
  <c r="P3986" i="7"/>
  <c r="O3986" i="7"/>
  <c r="U3985" i="7"/>
  <c r="T3985" i="7"/>
  <c r="S3985" i="7"/>
  <c r="R3985" i="7"/>
  <c r="Q3985" i="7"/>
  <c r="P3985" i="7"/>
  <c r="O3985" i="7"/>
  <c r="U3984" i="7"/>
  <c r="T3984" i="7"/>
  <c r="S3984" i="7"/>
  <c r="R3984" i="7"/>
  <c r="Q3984" i="7"/>
  <c r="P3984" i="7"/>
  <c r="O3984" i="7"/>
  <c r="U3983" i="7"/>
  <c r="T3983" i="7"/>
  <c r="S3983" i="7"/>
  <c r="R3983" i="7"/>
  <c r="Q3983" i="7"/>
  <c r="P3983" i="7"/>
  <c r="O3983" i="7"/>
  <c r="U3982" i="7"/>
  <c r="T3982" i="7"/>
  <c r="S3982" i="7"/>
  <c r="R3982" i="7"/>
  <c r="Q3982" i="7"/>
  <c r="P3982" i="7"/>
  <c r="O3982" i="7"/>
  <c r="U3981" i="7"/>
  <c r="T3981" i="7"/>
  <c r="S3981" i="7"/>
  <c r="R3981" i="7"/>
  <c r="Q3981" i="7"/>
  <c r="P3981" i="7"/>
  <c r="O3981" i="7"/>
  <c r="U3980" i="7"/>
  <c r="T3980" i="7"/>
  <c r="S3980" i="7"/>
  <c r="R3980" i="7"/>
  <c r="Q3980" i="7"/>
  <c r="P3980" i="7"/>
  <c r="O3980" i="7"/>
  <c r="U3979" i="7"/>
  <c r="T3979" i="7"/>
  <c r="S3979" i="7"/>
  <c r="R3979" i="7"/>
  <c r="Q3979" i="7"/>
  <c r="P3979" i="7"/>
  <c r="O3979" i="7"/>
  <c r="U3978" i="7"/>
  <c r="T3978" i="7"/>
  <c r="S3978" i="7"/>
  <c r="R3978" i="7"/>
  <c r="Q3978" i="7"/>
  <c r="P3978" i="7"/>
  <c r="O3978" i="7"/>
  <c r="U3977" i="7"/>
  <c r="T3977" i="7"/>
  <c r="S3977" i="7"/>
  <c r="R3977" i="7"/>
  <c r="Q3977" i="7"/>
  <c r="P3977" i="7"/>
  <c r="O3977" i="7"/>
  <c r="U3976" i="7"/>
  <c r="T3976" i="7"/>
  <c r="S3976" i="7"/>
  <c r="R3976" i="7"/>
  <c r="Q3976" i="7"/>
  <c r="P3976" i="7"/>
  <c r="O3976" i="7"/>
  <c r="U3975" i="7"/>
  <c r="T3975" i="7"/>
  <c r="S3975" i="7"/>
  <c r="R3975" i="7"/>
  <c r="Q3975" i="7"/>
  <c r="P3975" i="7"/>
  <c r="O3975" i="7"/>
  <c r="U3974" i="7"/>
  <c r="T3974" i="7"/>
  <c r="S3974" i="7"/>
  <c r="R3974" i="7"/>
  <c r="Q3974" i="7"/>
  <c r="P3974" i="7"/>
  <c r="O3974" i="7"/>
  <c r="U3973" i="7"/>
  <c r="T3973" i="7"/>
  <c r="S3973" i="7"/>
  <c r="R3973" i="7"/>
  <c r="Q3973" i="7"/>
  <c r="P3973" i="7"/>
  <c r="O3973" i="7"/>
  <c r="U3972" i="7"/>
  <c r="T3972" i="7"/>
  <c r="S3972" i="7"/>
  <c r="R3972" i="7"/>
  <c r="Q3972" i="7"/>
  <c r="P3972" i="7"/>
  <c r="O3972" i="7"/>
  <c r="U3971" i="7"/>
  <c r="T3971" i="7"/>
  <c r="S3971" i="7"/>
  <c r="R3971" i="7"/>
  <c r="Q3971" i="7"/>
  <c r="P3971" i="7"/>
  <c r="O3971" i="7"/>
  <c r="U3970" i="7"/>
  <c r="T3970" i="7"/>
  <c r="S3970" i="7"/>
  <c r="R3970" i="7"/>
  <c r="Q3970" i="7"/>
  <c r="P3970" i="7"/>
  <c r="O3970" i="7"/>
  <c r="U3969" i="7"/>
  <c r="T3969" i="7"/>
  <c r="S3969" i="7"/>
  <c r="R3969" i="7"/>
  <c r="Q3969" i="7"/>
  <c r="P3969" i="7"/>
  <c r="O3969" i="7"/>
  <c r="U3968" i="7"/>
  <c r="T3968" i="7"/>
  <c r="S3968" i="7"/>
  <c r="R3968" i="7"/>
  <c r="Q3968" i="7"/>
  <c r="P3968" i="7"/>
  <c r="O3968" i="7"/>
  <c r="U3967" i="7"/>
  <c r="T3967" i="7"/>
  <c r="S3967" i="7"/>
  <c r="R3967" i="7"/>
  <c r="Q3967" i="7"/>
  <c r="P3967" i="7"/>
  <c r="O3967" i="7"/>
  <c r="U3966" i="7"/>
  <c r="T3966" i="7"/>
  <c r="S3966" i="7"/>
  <c r="R3966" i="7"/>
  <c r="Q3966" i="7"/>
  <c r="P3966" i="7"/>
  <c r="O3966" i="7"/>
  <c r="U3965" i="7"/>
  <c r="T3965" i="7"/>
  <c r="S3965" i="7"/>
  <c r="R3965" i="7"/>
  <c r="Q3965" i="7"/>
  <c r="P3965" i="7"/>
  <c r="O3965" i="7"/>
  <c r="U3964" i="7"/>
  <c r="T3964" i="7"/>
  <c r="S3964" i="7"/>
  <c r="R3964" i="7"/>
  <c r="Q3964" i="7"/>
  <c r="P3964" i="7"/>
  <c r="O3964" i="7"/>
  <c r="U3963" i="7"/>
  <c r="T3963" i="7"/>
  <c r="S3963" i="7"/>
  <c r="R3963" i="7"/>
  <c r="Q3963" i="7"/>
  <c r="P3963" i="7"/>
  <c r="O3963" i="7"/>
  <c r="U3962" i="7"/>
  <c r="T3962" i="7"/>
  <c r="S3962" i="7"/>
  <c r="R3962" i="7"/>
  <c r="Q3962" i="7"/>
  <c r="P3962" i="7"/>
  <c r="O3962" i="7"/>
  <c r="U3961" i="7"/>
  <c r="T3961" i="7"/>
  <c r="S3961" i="7"/>
  <c r="R3961" i="7"/>
  <c r="Q3961" i="7"/>
  <c r="P3961" i="7"/>
  <c r="O3961" i="7"/>
  <c r="U3960" i="7"/>
  <c r="T3960" i="7"/>
  <c r="S3960" i="7"/>
  <c r="R3960" i="7"/>
  <c r="Q3960" i="7"/>
  <c r="P3960" i="7"/>
  <c r="O3960" i="7"/>
  <c r="U3959" i="7"/>
  <c r="T3959" i="7"/>
  <c r="S3959" i="7"/>
  <c r="R3959" i="7"/>
  <c r="Q3959" i="7"/>
  <c r="P3959" i="7"/>
  <c r="O3959" i="7"/>
  <c r="U3958" i="7"/>
  <c r="T3958" i="7"/>
  <c r="S3958" i="7"/>
  <c r="R3958" i="7"/>
  <c r="Q3958" i="7"/>
  <c r="P3958" i="7"/>
  <c r="O3958" i="7"/>
  <c r="U3957" i="7"/>
  <c r="T3957" i="7"/>
  <c r="S3957" i="7"/>
  <c r="R3957" i="7"/>
  <c r="Q3957" i="7"/>
  <c r="P3957" i="7"/>
  <c r="O3957" i="7"/>
  <c r="U3956" i="7"/>
  <c r="T3956" i="7"/>
  <c r="S3956" i="7"/>
  <c r="R3956" i="7"/>
  <c r="Q3956" i="7"/>
  <c r="P3956" i="7"/>
  <c r="O3956" i="7"/>
  <c r="U3955" i="7"/>
  <c r="T3955" i="7"/>
  <c r="S3955" i="7"/>
  <c r="R3955" i="7"/>
  <c r="Q3955" i="7"/>
  <c r="P3955" i="7"/>
  <c r="O3955" i="7"/>
  <c r="U3954" i="7"/>
  <c r="T3954" i="7"/>
  <c r="S3954" i="7"/>
  <c r="R3954" i="7"/>
  <c r="Q3954" i="7"/>
  <c r="P3954" i="7"/>
  <c r="O3954" i="7"/>
  <c r="U3953" i="7"/>
  <c r="T3953" i="7"/>
  <c r="S3953" i="7"/>
  <c r="R3953" i="7"/>
  <c r="Q3953" i="7"/>
  <c r="P3953" i="7"/>
  <c r="O3953" i="7"/>
  <c r="U3952" i="7"/>
  <c r="T3952" i="7"/>
  <c r="S3952" i="7"/>
  <c r="R3952" i="7"/>
  <c r="Q3952" i="7"/>
  <c r="P3952" i="7"/>
  <c r="O3952" i="7"/>
  <c r="U3951" i="7"/>
  <c r="T3951" i="7"/>
  <c r="S3951" i="7"/>
  <c r="R3951" i="7"/>
  <c r="Q3951" i="7"/>
  <c r="P3951" i="7"/>
  <c r="O3951" i="7"/>
  <c r="U3950" i="7"/>
  <c r="T3950" i="7"/>
  <c r="S3950" i="7"/>
  <c r="R3950" i="7"/>
  <c r="Q3950" i="7"/>
  <c r="P3950" i="7"/>
  <c r="O3950" i="7"/>
  <c r="U3949" i="7"/>
  <c r="T3949" i="7"/>
  <c r="S3949" i="7"/>
  <c r="R3949" i="7"/>
  <c r="Q3949" i="7"/>
  <c r="P3949" i="7"/>
  <c r="O3949" i="7"/>
  <c r="U3948" i="7"/>
  <c r="T3948" i="7"/>
  <c r="S3948" i="7"/>
  <c r="R3948" i="7"/>
  <c r="Q3948" i="7"/>
  <c r="P3948" i="7"/>
  <c r="O3948" i="7"/>
  <c r="U3947" i="7"/>
  <c r="T3947" i="7"/>
  <c r="S3947" i="7"/>
  <c r="R3947" i="7"/>
  <c r="Q3947" i="7"/>
  <c r="P3947" i="7"/>
  <c r="O3947" i="7"/>
  <c r="U3946" i="7"/>
  <c r="T3946" i="7"/>
  <c r="S3946" i="7"/>
  <c r="R3946" i="7"/>
  <c r="Q3946" i="7"/>
  <c r="P3946" i="7"/>
  <c r="O3946" i="7"/>
  <c r="U3945" i="7"/>
  <c r="T3945" i="7"/>
  <c r="S3945" i="7"/>
  <c r="R3945" i="7"/>
  <c r="Q3945" i="7"/>
  <c r="P3945" i="7"/>
  <c r="O3945" i="7"/>
  <c r="U3944" i="7"/>
  <c r="T3944" i="7"/>
  <c r="S3944" i="7"/>
  <c r="R3944" i="7"/>
  <c r="Q3944" i="7"/>
  <c r="P3944" i="7"/>
  <c r="O3944" i="7"/>
  <c r="U3943" i="7"/>
  <c r="T3943" i="7"/>
  <c r="S3943" i="7"/>
  <c r="R3943" i="7"/>
  <c r="Q3943" i="7"/>
  <c r="P3943" i="7"/>
  <c r="O3943" i="7"/>
  <c r="U3942" i="7"/>
  <c r="T3942" i="7"/>
  <c r="S3942" i="7"/>
  <c r="R3942" i="7"/>
  <c r="Q3942" i="7"/>
  <c r="P3942" i="7"/>
  <c r="O3942" i="7"/>
  <c r="U3941" i="7"/>
  <c r="T3941" i="7"/>
  <c r="S3941" i="7"/>
  <c r="R3941" i="7"/>
  <c r="Q3941" i="7"/>
  <c r="P3941" i="7"/>
  <c r="O3941" i="7"/>
  <c r="U3940" i="7"/>
  <c r="T3940" i="7"/>
  <c r="S3940" i="7"/>
  <c r="R3940" i="7"/>
  <c r="Q3940" i="7"/>
  <c r="P3940" i="7"/>
  <c r="O3940" i="7"/>
  <c r="U3939" i="7"/>
  <c r="T3939" i="7"/>
  <c r="S3939" i="7"/>
  <c r="R3939" i="7"/>
  <c r="Q3939" i="7"/>
  <c r="P3939" i="7"/>
  <c r="O3939" i="7"/>
  <c r="U3938" i="7"/>
  <c r="T3938" i="7"/>
  <c r="S3938" i="7"/>
  <c r="R3938" i="7"/>
  <c r="Q3938" i="7"/>
  <c r="P3938" i="7"/>
  <c r="O3938" i="7"/>
  <c r="U3937" i="7"/>
  <c r="T3937" i="7"/>
  <c r="S3937" i="7"/>
  <c r="R3937" i="7"/>
  <c r="Q3937" i="7"/>
  <c r="P3937" i="7"/>
  <c r="O3937" i="7"/>
  <c r="U3936" i="7"/>
  <c r="T3936" i="7"/>
  <c r="S3936" i="7"/>
  <c r="R3936" i="7"/>
  <c r="Q3936" i="7"/>
  <c r="P3936" i="7"/>
  <c r="O3936" i="7"/>
  <c r="U3935" i="7"/>
  <c r="T3935" i="7"/>
  <c r="S3935" i="7"/>
  <c r="R3935" i="7"/>
  <c r="Q3935" i="7"/>
  <c r="P3935" i="7"/>
  <c r="O3935" i="7"/>
  <c r="U3934" i="7"/>
  <c r="T3934" i="7"/>
  <c r="S3934" i="7"/>
  <c r="R3934" i="7"/>
  <c r="Q3934" i="7"/>
  <c r="P3934" i="7"/>
  <c r="O3934" i="7"/>
  <c r="U3933" i="7"/>
  <c r="T3933" i="7"/>
  <c r="S3933" i="7"/>
  <c r="R3933" i="7"/>
  <c r="Q3933" i="7"/>
  <c r="P3933" i="7"/>
  <c r="O3933" i="7"/>
  <c r="U3932" i="7"/>
  <c r="T3932" i="7"/>
  <c r="S3932" i="7"/>
  <c r="R3932" i="7"/>
  <c r="Q3932" i="7"/>
  <c r="P3932" i="7"/>
  <c r="O3932" i="7"/>
  <c r="U3931" i="7"/>
  <c r="T3931" i="7"/>
  <c r="S3931" i="7"/>
  <c r="R3931" i="7"/>
  <c r="Q3931" i="7"/>
  <c r="P3931" i="7"/>
  <c r="O3931" i="7"/>
  <c r="U3930" i="7"/>
  <c r="T3930" i="7"/>
  <c r="S3930" i="7"/>
  <c r="R3930" i="7"/>
  <c r="Q3930" i="7"/>
  <c r="P3930" i="7"/>
  <c r="O3930" i="7"/>
  <c r="U3929" i="7"/>
  <c r="T3929" i="7"/>
  <c r="S3929" i="7"/>
  <c r="R3929" i="7"/>
  <c r="Q3929" i="7"/>
  <c r="P3929" i="7"/>
  <c r="O3929" i="7"/>
  <c r="U3928" i="7"/>
  <c r="T3928" i="7"/>
  <c r="S3928" i="7"/>
  <c r="R3928" i="7"/>
  <c r="Q3928" i="7"/>
  <c r="P3928" i="7"/>
  <c r="O3928" i="7"/>
  <c r="U3927" i="7"/>
  <c r="T3927" i="7"/>
  <c r="S3927" i="7"/>
  <c r="R3927" i="7"/>
  <c r="Q3927" i="7"/>
  <c r="P3927" i="7"/>
  <c r="O3927" i="7"/>
  <c r="U3926" i="7"/>
  <c r="T3926" i="7"/>
  <c r="S3926" i="7"/>
  <c r="R3926" i="7"/>
  <c r="Q3926" i="7"/>
  <c r="P3926" i="7"/>
  <c r="O3926" i="7"/>
  <c r="U3925" i="7"/>
  <c r="T3925" i="7"/>
  <c r="S3925" i="7"/>
  <c r="R3925" i="7"/>
  <c r="Q3925" i="7"/>
  <c r="P3925" i="7"/>
  <c r="O3925" i="7"/>
  <c r="U3924" i="7"/>
  <c r="T3924" i="7"/>
  <c r="S3924" i="7"/>
  <c r="R3924" i="7"/>
  <c r="Q3924" i="7"/>
  <c r="P3924" i="7"/>
  <c r="O3924" i="7"/>
  <c r="U3923" i="7"/>
  <c r="T3923" i="7"/>
  <c r="S3923" i="7"/>
  <c r="R3923" i="7"/>
  <c r="Q3923" i="7"/>
  <c r="P3923" i="7"/>
  <c r="O3923" i="7"/>
  <c r="U3922" i="7"/>
  <c r="T3922" i="7"/>
  <c r="S3922" i="7"/>
  <c r="R3922" i="7"/>
  <c r="Q3922" i="7"/>
  <c r="P3922" i="7"/>
  <c r="O3922" i="7"/>
  <c r="U3921" i="7"/>
  <c r="T3921" i="7"/>
  <c r="S3921" i="7"/>
  <c r="R3921" i="7"/>
  <c r="Q3921" i="7"/>
  <c r="P3921" i="7"/>
  <c r="O3921" i="7"/>
  <c r="U3920" i="7"/>
  <c r="T3920" i="7"/>
  <c r="S3920" i="7"/>
  <c r="R3920" i="7"/>
  <c r="Q3920" i="7"/>
  <c r="P3920" i="7"/>
  <c r="O3920" i="7"/>
  <c r="U3919" i="7"/>
  <c r="T3919" i="7"/>
  <c r="S3919" i="7"/>
  <c r="R3919" i="7"/>
  <c r="Q3919" i="7"/>
  <c r="P3919" i="7"/>
  <c r="O3919" i="7"/>
  <c r="U3918" i="7"/>
  <c r="T3918" i="7"/>
  <c r="S3918" i="7"/>
  <c r="R3918" i="7"/>
  <c r="Q3918" i="7"/>
  <c r="P3918" i="7"/>
  <c r="O3918" i="7"/>
  <c r="U3917" i="7"/>
  <c r="T3917" i="7"/>
  <c r="S3917" i="7"/>
  <c r="R3917" i="7"/>
  <c r="Q3917" i="7"/>
  <c r="P3917" i="7"/>
  <c r="O3917" i="7"/>
  <c r="U3916" i="7"/>
  <c r="T3916" i="7"/>
  <c r="S3916" i="7"/>
  <c r="R3916" i="7"/>
  <c r="Q3916" i="7"/>
  <c r="P3916" i="7"/>
  <c r="O3916" i="7"/>
  <c r="U3915" i="7"/>
  <c r="T3915" i="7"/>
  <c r="S3915" i="7"/>
  <c r="R3915" i="7"/>
  <c r="Q3915" i="7"/>
  <c r="P3915" i="7"/>
  <c r="O3915" i="7"/>
  <c r="U3914" i="7"/>
  <c r="T3914" i="7"/>
  <c r="S3914" i="7"/>
  <c r="R3914" i="7"/>
  <c r="Q3914" i="7"/>
  <c r="P3914" i="7"/>
  <c r="O3914" i="7"/>
  <c r="U3913" i="7"/>
  <c r="T3913" i="7"/>
  <c r="S3913" i="7"/>
  <c r="R3913" i="7"/>
  <c r="Q3913" i="7"/>
  <c r="P3913" i="7"/>
  <c r="O3913" i="7"/>
  <c r="U3912" i="7"/>
  <c r="T3912" i="7"/>
  <c r="S3912" i="7"/>
  <c r="R3912" i="7"/>
  <c r="Q3912" i="7"/>
  <c r="P3912" i="7"/>
  <c r="O3912" i="7"/>
  <c r="U3911" i="7"/>
  <c r="T3911" i="7"/>
  <c r="S3911" i="7"/>
  <c r="R3911" i="7"/>
  <c r="Q3911" i="7"/>
  <c r="P3911" i="7"/>
  <c r="O3911" i="7"/>
  <c r="U3910" i="7"/>
  <c r="T3910" i="7"/>
  <c r="S3910" i="7"/>
  <c r="R3910" i="7"/>
  <c r="Q3910" i="7"/>
  <c r="P3910" i="7"/>
  <c r="O3910" i="7"/>
  <c r="U3909" i="7"/>
  <c r="T3909" i="7"/>
  <c r="S3909" i="7"/>
  <c r="R3909" i="7"/>
  <c r="Q3909" i="7"/>
  <c r="P3909" i="7"/>
  <c r="O3909" i="7"/>
  <c r="U3908" i="7"/>
  <c r="T3908" i="7"/>
  <c r="S3908" i="7"/>
  <c r="R3908" i="7"/>
  <c r="Q3908" i="7"/>
  <c r="P3908" i="7"/>
  <c r="O3908" i="7"/>
  <c r="U3907" i="7"/>
  <c r="T3907" i="7"/>
  <c r="S3907" i="7"/>
  <c r="R3907" i="7"/>
  <c r="Q3907" i="7"/>
  <c r="P3907" i="7"/>
  <c r="O3907" i="7"/>
  <c r="U3906" i="7"/>
  <c r="T3906" i="7"/>
  <c r="S3906" i="7"/>
  <c r="R3906" i="7"/>
  <c r="Q3906" i="7"/>
  <c r="P3906" i="7"/>
  <c r="O3906" i="7"/>
  <c r="U3905" i="7"/>
  <c r="T3905" i="7"/>
  <c r="S3905" i="7"/>
  <c r="R3905" i="7"/>
  <c r="Q3905" i="7"/>
  <c r="P3905" i="7"/>
  <c r="O3905" i="7"/>
  <c r="U3904" i="7"/>
  <c r="T3904" i="7"/>
  <c r="S3904" i="7"/>
  <c r="R3904" i="7"/>
  <c r="Q3904" i="7"/>
  <c r="P3904" i="7"/>
  <c r="O3904" i="7"/>
  <c r="U3903" i="7"/>
  <c r="T3903" i="7"/>
  <c r="S3903" i="7"/>
  <c r="R3903" i="7"/>
  <c r="Q3903" i="7"/>
  <c r="P3903" i="7"/>
  <c r="O3903" i="7"/>
  <c r="U3902" i="7"/>
  <c r="T3902" i="7"/>
  <c r="S3902" i="7"/>
  <c r="R3902" i="7"/>
  <c r="Q3902" i="7"/>
  <c r="P3902" i="7"/>
  <c r="O3902" i="7"/>
  <c r="U3901" i="7"/>
  <c r="T3901" i="7"/>
  <c r="S3901" i="7"/>
  <c r="R3901" i="7"/>
  <c r="Q3901" i="7"/>
  <c r="P3901" i="7"/>
  <c r="O3901" i="7"/>
  <c r="U3900" i="7"/>
  <c r="T3900" i="7"/>
  <c r="S3900" i="7"/>
  <c r="R3900" i="7"/>
  <c r="Q3900" i="7"/>
  <c r="P3900" i="7"/>
  <c r="O3900" i="7"/>
  <c r="U3899" i="7"/>
  <c r="T3899" i="7"/>
  <c r="S3899" i="7"/>
  <c r="R3899" i="7"/>
  <c r="Q3899" i="7"/>
  <c r="P3899" i="7"/>
  <c r="O3899" i="7"/>
  <c r="U3898" i="7"/>
  <c r="T3898" i="7"/>
  <c r="S3898" i="7"/>
  <c r="R3898" i="7"/>
  <c r="Q3898" i="7"/>
  <c r="P3898" i="7"/>
  <c r="O3898" i="7"/>
  <c r="U3897" i="7"/>
  <c r="T3897" i="7"/>
  <c r="S3897" i="7"/>
  <c r="R3897" i="7"/>
  <c r="Q3897" i="7"/>
  <c r="P3897" i="7"/>
  <c r="O3897" i="7"/>
  <c r="U3896" i="7"/>
  <c r="T3896" i="7"/>
  <c r="S3896" i="7"/>
  <c r="R3896" i="7"/>
  <c r="Q3896" i="7"/>
  <c r="P3896" i="7"/>
  <c r="O3896" i="7"/>
  <c r="U3895" i="7"/>
  <c r="T3895" i="7"/>
  <c r="S3895" i="7"/>
  <c r="R3895" i="7"/>
  <c r="Q3895" i="7"/>
  <c r="P3895" i="7"/>
  <c r="O3895" i="7"/>
  <c r="U3894" i="7"/>
  <c r="T3894" i="7"/>
  <c r="S3894" i="7"/>
  <c r="R3894" i="7"/>
  <c r="Q3894" i="7"/>
  <c r="P3894" i="7"/>
  <c r="O3894" i="7"/>
  <c r="U3893" i="7"/>
  <c r="T3893" i="7"/>
  <c r="S3893" i="7"/>
  <c r="R3893" i="7"/>
  <c r="Q3893" i="7"/>
  <c r="P3893" i="7"/>
  <c r="O3893" i="7"/>
  <c r="U3892" i="7"/>
  <c r="T3892" i="7"/>
  <c r="S3892" i="7"/>
  <c r="R3892" i="7"/>
  <c r="Q3892" i="7"/>
  <c r="P3892" i="7"/>
  <c r="O3892" i="7"/>
  <c r="U3891" i="7"/>
  <c r="T3891" i="7"/>
  <c r="S3891" i="7"/>
  <c r="R3891" i="7"/>
  <c r="Q3891" i="7"/>
  <c r="P3891" i="7"/>
  <c r="O3891" i="7"/>
  <c r="U3890" i="7"/>
  <c r="T3890" i="7"/>
  <c r="S3890" i="7"/>
  <c r="R3890" i="7"/>
  <c r="Q3890" i="7"/>
  <c r="P3890" i="7"/>
  <c r="O3890" i="7"/>
  <c r="U3889" i="7"/>
  <c r="T3889" i="7"/>
  <c r="S3889" i="7"/>
  <c r="R3889" i="7"/>
  <c r="Q3889" i="7"/>
  <c r="P3889" i="7"/>
  <c r="O3889" i="7"/>
  <c r="U3888" i="7"/>
  <c r="T3888" i="7"/>
  <c r="S3888" i="7"/>
  <c r="R3888" i="7"/>
  <c r="Q3888" i="7"/>
  <c r="P3888" i="7"/>
  <c r="O3888" i="7"/>
  <c r="U3887" i="7"/>
  <c r="T3887" i="7"/>
  <c r="S3887" i="7"/>
  <c r="R3887" i="7"/>
  <c r="Q3887" i="7"/>
  <c r="P3887" i="7"/>
  <c r="O3887" i="7"/>
  <c r="U3886" i="7"/>
  <c r="T3886" i="7"/>
  <c r="S3886" i="7"/>
  <c r="R3886" i="7"/>
  <c r="Q3886" i="7"/>
  <c r="P3886" i="7"/>
  <c r="O3886" i="7"/>
  <c r="U3885" i="7"/>
  <c r="T3885" i="7"/>
  <c r="S3885" i="7"/>
  <c r="R3885" i="7"/>
  <c r="Q3885" i="7"/>
  <c r="P3885" i="7"/>
  <c r="O3885" i="7"/>
  <c r="U3884" i="7"/>
  <c r="T3884" i="7"/>
  <c r="S3884" i="7"/>
  <c r="R3884" i="7"/>
  <c r="Q3884" i="7"/>
  <c r="P3884" i="7"/>
  <c r="O3884" i="7"/>
  <c r="U3883" i="7"/>
  <c r="T3883" i="7"/>
  <c r="S3883" i="7"/>
  <c r="R3883" i="7"/>
  <c r="Q3883" i="7"/>
  <c r="P3883" i="7"/>
  <c r="O3883" i="7"/>
  <c r="U3882" i="7"/>
  <c r="T3882" i="7"/>
  <c r="S3882" i="7"/>
  <c r="R3882" i="7"/>
  <c r="Q3882" i="7"/>
  <c r="P3882" i="7"/>
  <c r="O3882" i="7"/>
  <c r="U3881" i="7"/>
  <c r="T3881" i="7"/>
  <c r="S3881" i="7"/>
  <c r="R3881" i="7"/>
  <c r="Q3881" i="7"/>
  <c r="P3881" i="7"/>
  <c r="O3881" i="7"/>
  <c r="U3880" i="7"/>
  <c r="T3880" i="7"/>
  <c r="S3880" i="7"/>
  <c r="R3880" i="7"/>
  <c r="Q3880" i="7"/>
  <c r="P3880" i="7"/>
  <c r="O3880" i="7"/>
  <c r="U3879" i="7"/>
  <c r="T3879" i="7"/>
  <c r="S3879" i="7"/>
  <c r="R3879" i="7"/>
  <c r="Q3879" i="7"/>
  <c r="P3879" i="7"/>
  <c r="O3879" i="7"/>
  <c r="U3878" i="7"/>
  <c r="T3878" i="7"/>
  <c r="S3878" i="7"/>
  <c r="R3878" i="7"/>
  <c r="Q3878" i="7"/>
  <c r="P3878" i="7"/>
  <c r="O3878" i="7"/>
  <c r="U3877" i="7"/>
  <c r="T3877" i="7"/>
  <c r="S3877" i="7"/>
  <c r="R3877" i="7"/>
  <c r="Q3877" i="7"/>
  <c r="P3877" i="7"/>
  <c r="O3877" i="7"/>
  <c r="U3876" i="7"/>
  <c r="T3876" i="7"/>
  <c r="S3876" i="7"/>
  <c r="R3876" i="7"/>
  <c r="Q3876" i="7"/>
  <c r="P3876" i="7"/>
  <c r="O3876" i="7"/>
  <c r="U3875" i="7"/>
  <c r="T3875" i="7"/>
  <c r="S3875" i="7"/>
  <c r="R3875" i="7"/>
  <c r="Q3875" i="7"/>
  <c r="P3875" i="7"/>
  <c r="O3875" i="7"/>
  <c r="U3874" i="7"/>
  <c r="T3874" i="7"/>
  <c r="S3874" i="7"/>
  <c r="R3874" i="7"/>
  <c r="Q3874" i="7"/>
  <c r="P3874" i="7"/>
  <c r="O3874" i="7"/>
  <c r="U3873" i="7"/>
  <c r="T3873" i="7"/>
  <c r="S3873" i="7"/>
  <c r="R3873" i="7"/>
  <c r="Q3873" i="7"/>
  <c r="P3873" i="7"/>
  <c r="O3873" i="7"/>
  <c r="U3872" i="7"/>
  <c r="T3872" i="7"/>
  <c r="S3872" i="7"/>
  <c r="R3872" i="7"/>
  <c r="Q3872" i="7"/>
  <c r="P3872" i="7"/>
  <c r="O3872" i="7"/>
  <c r="U3871" i="7"/>
  <c r="T3871" i="7"/>
  <c r="S3871" i="7"/>
  <c r="R3871" i="7"/>
  <c r="Q3871" i="7"/>
  <c r="P3871" i="7"/>
  <c r="O3871" i="7"/>
  <c r="U3870" i="7"/>
  <c r="T3870" i="7"/>
  <c r="S3870" i="7"/>
  <c r="R3870" i="7"/>
  <c r="Q3870" i="7"/>
  <c r="P3870" i="7"/>
  <c r="O3870" i="7"/>
  <c r="U3869" i="7"/>
  <c r="T3869" i="7"/>
  <c r="S3869" i="7"/>
  <c r="R3869" i="7"/>
  <c r="Q3869" i="7"/>
  <c r="P3869" i="7"/>
  <c r="O3869" i="7"/>
  <c r="U3868" i="7"/>
  <c r="T3868" i="7"/>
  <c r="S3868" i="7"/>
  <c r="R3868" i="7"/>
  <c r="Q3868" i="7"/>
  <c r="P3868" i="7"/>
  <c r="O3868" i="7"/>
  <c r="U3867" i="7"/>
  <c r="T3867" i="7"/>
  <c r="S3867" i="7"/>
  <c r="R3867" i="7"/>
  <c r="Q3867" i="7"/>
  <c r="P3867" i="7"/>
  <c r="O3867" i="7"/>
  <c r="U3866" i="7"/>
  <c r="T3866" i="7"/>
  <c r="S3866" i="7"/>
  <c r="R3866" i="7"/>
  <c r="Q3866" i="7"/>
  <c r="P3866" i="7"/>
  <c r="O3866" i="7"/>
  <c r="U3865" i="7"/>
  <c r="T3865" i="7"/>
  <c r="S3865" i="7"/>
  <c r="R3865" i="7"/>
  <c r="Q3865" i="7"/>
  <c r="P3865" i="7"/>
  <c r="O3865" i="7"/>
  <c r="U3864" i="7"/>
  <c r="T3864" i="7"/>
  <c r="S3864" i="7"/>
  <c r="R3864" i="7"/>
  <c r="Q3864" i="7"/>
  <c r="P3864" i="7"/>
  <c r="O3864" i="7"/>
  <c r="U3863" i="7"/>
  <c r="T3863" i="7"/>
  <c r="S3863" i="7"/>
  <c r="R3863" i="7"/>
  <c r="Q3863" i="7"/>
  <c r="P3863" i="7"/>
  <c r="O3863" i="7"/>
  <c r="U3862" i="7"/>
  <c r="T3862" i="7"/>
  <c r="S3862" i="7"/>
  <c r="R3862" i="7"/>
  <c r="Q3862" i="7"/>
  <c r="P3862" i="7"/>
  <c r="O3862" i="7"/>
  <c r="U3861" i="7"/>
  <c r="T3861" i="7"/>
  <c r="S3861" i="7"/>
  <c r="R3861" i="7"/>
  <c r="Q3861" i="7"/>
  <c r="P3861" i="7"/>
  <c r="O3861" i="7"/>
  <c r="U3860" i="7"/>
  <c r="T3860" i="7"/>
  <c r="S3860" i="7"/>
  <c r="R3860" i="7"/>
  <c r="Q3860" i="7"/>
  <c r="P3860" i="7"/>
  <c r="O3860" i="7"/>
  <c r="U3859" i="7"/>
  <c r="T3859" i="7"/>
  <c r="S3859" i="7"/>
  <c r="R3859" i="7"/>
  <c r="Q3859" i="7"/>
  <c r="P3859" i="7"/>
  <c r="O3859" i="7"/>
  <c r="U3858" i="7"/>
  <c r="T3858" i="7"/>
  <c r="S3858" i="7"/>
  <c r="R3858" i="7"/>
  <c r="Q3858" i="7"/>
  <c r="P3858" i="7"/>
  <c r="O3858" i="7"/>
  <c r="U3857" i="7"/>
  <c r="T3857" i="7"/>
  <c r="S3857" i="7"/>
  <c r="R3857" i="7"/>
  <c r="Q3857" i="7"/>
  <c r="P3857" i="7"/>
  <c r="O3857" i="7"/>
  <c r="U3856" i="7"/>
  <c r="T3856" i="7"/>
  <c r="S3856" i="7"/>
  <c r="R3856" i="7"/>
  <c r="Q3856" i="7"/>
  <c r="P3856" i="7"/>
  <c r="O3856" i="7"/>
  <c r="U3855" i="7"/>
  <c r="T3855" i="7"/>
  <c r="S3855" i="7"/>
  <c r="R3855" i="7"/>
  <c r="Q3855" i="7"/>
  <c r="P3855" i="7"/>
  <c r="O3855" i="7"/>
  <c r="U3854" i="7"/>
  <c r="T3854" i="7"/>
  <c r="S3854" i="7"/>
  <c r="R3854" i="7"/>
  <c r="Q3854" i="7"/>
  <c r="P3854" i="7"/>
  <c r="O3854" i="7"/>
  <c r="U3853" i="7"/>
  <c r="T3853" i="7"/>
  <c r="S3853" i="7"/>
  <c r="R3853" i="7"/>
  <c r="Q3853" i="7"/>
  <c r="P3853" i="7"/>
  <c r="O3853" i="7"/>
  <c r="U3852" i="7"/>
  <c r="T3852" i="7"/>
  <c r="S3852" i="7"/>
  <c r="R3852" i="7"/>
  <c r="Q3852" i="7"/>
  <c r="P3852" i="7"/>
  <c r="O3852" i="7"/>
  <c r="U3851" i="7"/>
  <c r="T3851" i="7"/>
  <c r="S3851" i="7"/>
  <c r="R3851" i="7"/>
  <c r="Q3851" i="7"/>
  <c r="P3851" i="7"/>
  <c r="O3851" i="7"/>
  <c r="U3850" i="7"/>
  <c r="T3850" i="7"/>
  <c r="S3850" i="7"/>
  <c r="R3850" i="7"/>
  <c r="Q3850" i="7"/>
  <c r="P3850" i="7"/>
  <c r="O3850" i="7"/>
  <c r="U3849" i="7"/>
  <c r="T3849" i="7"/>
  <c r="S3849" i="7"/>
  <c r="R3849" i="7"/>
  <c r="Q3849" i="7"/>
  <c r="P3849" i="7"/>
  <c r="O3849" i="7"/>
  <c r="U3848" i="7"/>
  <c r="T3848" i="7"/>
  <c r="S3848" i="7"/>
  <c r="R3848" i="7"/>
  <c r="Q3848" i="7"/>
  <c r="P3848" i="7"/>
  <c r="O3848" i="7"/>
  <c r="U3847" i="7"/>
  <c r="T3847" i="7"/>
  <c r="S3847" i="7"/>
  <c r="R3847" i="7"/>
  <c r="Q3847" i="7"/>
  <c r="P3847" i="7"/>
  <c r="O3847" i="7"/>
  <c r="U3846" i="7"/>
  <c r="T3846" i="7"/>
  <c r="S3846" i="7"/>
  <c r="R3846" i="7"/>
  <c r="Q3846" i="7"/>
  <c r="P3846" i="7"/>
  <c r="O3846" i="7"/>
  <c r="U3845" i="7"/>
  <c r="T3845" i="7"/>
  <c r="S3845" i="7"/>
  <c r="R3845" i="7"/>
  <c r="Q3845" i="7"/>
  <c r="P3845" i="7"/>
  <c r="O3845" i="7"/>
  <c r="U3844" i="7"/>
  <c r="T3844" i="7"/>
  <c r="S3844" i="7"/>
  <c r="R3844" i="7"/>
  <c r="Q3844" i="7"/>
  <c r="P3844" i="7"/>
  <c r="O3844" i="7"/>
  <c r="U3843" i="7"/>
  <c r="T3843" i="7"/>
  <c r="S3843" i="7"/>
  <c r="R3843" i="7"/>
  <c r="Q3843" i="7"/>
  <c r="P3843" i="7"/>
  <c r="O3843" i="7"/>
  <c r="U3842" i="7"/>
  <c r="T3842" i="7"/>
  <c r="S3842" i="7"/>
  <c r="R3842" i="7"/>
  <c r="Q3842" i="7"/>
  <c r="P3842" i="7"/>
  <c r="O3842" i="7"/>
  <c r="U3841" i="7"/>
  <c r="T3841" i="7"/>
  <c r="S3841" i="7"/>
  <c r="R3841" i="7"/>
  <c r="Q3841" i="7"/>
  <c r="P3841" i="7"/>
  <c r="O3841" i="7"/>
  <c r="U3840" i="7"/>
  <c r="T3840" i="7"/>
  <c r="S3840" i="7"/>
  <c r="R3840" i="7"/>
  <c r="Q3840" i="7"/>
  <c r="P3840" i="7"/>
  <c r="O3840" i="7"/>
  <c r="U3839" i="7"/>
  <c r="T3839" i="7"/>
  <c r="S3839" i="7"/>
  <c r="R3839" i="7"/>
  <c r="Q3839" i="7"/>
  <c r="P3839" i="7"/>
  <c r="O3839" i="7"/>
  <c r="U3838" i="7"/>
  <c r="T3838" i="7"/>
  <c r="S3838" i="7"/>
  <c r="R3838" i="7"/>
  <c r="Q3838" i="7"/>
  <c r="P3838" i="7"/>
  <c r="O3838" i="7"/>
  <c r="U3837" i="7"/>
  <c r="T3837" i="7"/>
  <c r="S3837" i="7"/>
  <c r="R3837" i="7"/>
  <c r="Q3837" i="7"/>
  <c r="P3837" i="7"/>
  <c r="O3837" i="7"/>
  <c r="U3836" i="7"/>
  <c r="T3836" i="7"/>
  <c r="S3836" i="7"/>
  <c r="R3836" i="7"/>
  <c r="Q3836" i="7"/>
  <c r="P3836" i="7"/>
  <c r="O3836" i="7"/>
  <c r="U3835" i="7"/>
  <c r="T3835" i="7"/>
  <c r="S3835" i="7"/>
  <c r="R3835" i="7"/>
  <c r="Q3835" i="7"/>
  <c r="P3835" i="7"/>
  <c r="O3835" i="7"/>
  <c r="U3834" i="7"/>
  <c r="T3834" i="7"/>
  <c r="S3834" i="7"/>
  <c r="R3834" i="7"/>
  <c r="Q3834" i="7"/>
  <c r="P3834" i="7"/>
  <c r="O3834" i="7"/>
  <c r="U3833" i="7"/>
  <c r="T3833" i="7"/>
  <c r="S3833" i="7"/>
  <c r="R3833" i="7"/>
  <c r="Q3833" i="7"/>
  <c r="P3833" i="7"/>
  <c r="O3833" i="7"/>
  <c r="U3832" i="7"/>
  <c r="T3832" i="7"/>
  <c r="S3832" i="7"/>
  <c r="R3832" i="7"/>
  <c r="Q3832" i="7"/>
  <c r="P3832" i="7"/>
  <c r="O3832" i="7"/>
  <c r="U3831" i="7"/>
  <c r="T3831" i="7"/>
  <c r="S3831" i="7"/>
  <c r="R3831" i="7"/>
  <c r="Q3831" i="7"/>
  <c r="P3831" i="7"/>
  <c r="O3831" i="7"/>
  <c r="U3830" i="7"/>
  <c r="T3830" i="7"/>
  <c r="S3830" i="7"/>
  <c r="R3830" i="7"/>
  <c r="Q3830" i="7"/>
  <c r="P3830" i="7"/>
  <c r="O3830" i="7"/>
  <c r="U3829" i="7"/>
  <c r="T3829" i="7"/>
  <c r="S3829" i="7"/>
  <c r="R3829" i="7"/>
  <c r="Q3829" i="7"/>
  <c r="P3829" i="7"/>
  <c r="O3829" i="7"/>
  <c r="U3828" i="7"/>
  <c r="T3828" i="7"/>
  <c r="S3828" i="7"/>
  <c r="R3828" i="7"/>
  <c r="Q3828" i="7"/>
  <c r="P3828" i="7"/>
  <c r="O3828" i="7"/>
  <c r="U3827" i="7"/>
  <c r="T3827" i="7"/>
  <c r="S3827" i="7"/>
  <c r="R3827" i="7"/>
  <c r="Q3827" i="7"/>
  <c r="P3827" i="7"/>
  <c r="O3827" i="7"/>
  <c r="U3826" i="7"/>
  <c r="T3826" i="7"/>
  <c r="S3826" i="7"/>
  <c r="R3826" i="7"/>
  <c r="Q3826" i="7"/>
  <c r="P3826" i="7"/>
  <c r="O3826" i="7"/>
  <c r="U3825" i="7"/>
  <c r="T3825" i="7"/>
  <c r="S3825" i="7"/>
  <c r="R3825" i="7"/>
  <c r="Q3825" i="7"/>
  <c r="P3825" i="7"/>
  <c r="O3825" i="7"/>
  <c r="U3824" i="7"/>
  <c r="T3824" i="7"/>
  <c r="S3824" i="7"/>
  <c r="R3824" i="7"/>
  <c r="Q3824" i="7"/>
  <c r="P3824" i="7"/>
  <c r="O3824" i="7"/>
  <c r="U3823" i="7"/>
  <c r="T3823" i="7"/>
  <c r="S3823" i="7"/>
  <c r="R3823" i="7"/>
  <c r="Q3823" i="7"/>
  <c r="P3823" i="7"/>
  <c r="O3823" i="7"/>
  <c r="U3822" i="7"/>
  <c r="T3822" i="7"/>
  <c r="S3822" i="7"/>
  <c r="R3822" i="7"/>
  <c r="Q3822" i="7"/>
  <c r="P3822" i="7"/>
  <c r="O3822" i="7"/>
  <c r="U3821" i="7"/>
  <c r="T3821" i="7"/>
  <c r="S3821" i="7"/>
  <c r="R3821" i="7"/>
  <c r="Q3821" i="7"/>
  <c r="P3821" i="7"/>
  <c r="O3821" i="7"/>
  <c r="U3820" i="7"/>
  <c r="T3820" i="7"/>
  <c r="S3820" i="7"/>
  <c r="R3820" i="7"/>
  <c r="Q3820" i="7"/>
  <c r="P3820" i="7"/>
  <c r="O3820" i="7"/>
  <c r="U3819" i="7"/>
  <c r="T3819" i="7"/>
  <c r="S3819" i="7"/>
  <c r="R3819" i="7"/>
  <c r="Q3819" i="7"/>
  <c r="P3819" i="7"/>
  <c r="O3819" i="7"/>
  <c r="U3818" i="7"/>
  <c r="T3818" i="7"/>
  <c r="S3818" i="7"/>
  <c r="R3818" i="7"/>
  <c r="Q3818" i="7"/>
  <c r="P3818" i="7"/>
  <c r="O3818" i="7"/>
  <c r="U3817" i="7"/>
  <c r="T3817" i="7"/>
  <c r="S3817" i="7"/>
  <c r="R3817" i="7"/>
  <c r="Q3817" i="7"/>
  <c r="P3817" i="7"/>
  <c r="O3817" i="7"/>
  <c r="U3816" i="7"/>
  <c r="T3816" i="7"/>
  <c r="S3816" i="7"/>
  <c r="R3816" i="7"/>
  <c r="Q3816" i="7"/>
  <c r="P3816" i="7"/>
  <c r="O3816" i="7"/>
  <c r="U3815" i="7"/>
  <c r="T3815" i="7"/>
  <c r="S3815" i="7"/>
  <c r="R3815" i="7"/>
  <c r="Q3815" i="7"/>
  <c r="P3815" i="7"/>
  <c r="O3815" i="7"/>
  <c r="U3814" i="7"/>
  <c r="T3814" i="7"/>
  <c r="S3814" i="7"/>
  <c r="R3814" i="7"/>
  <c r="Q3814" i="7"/>
  <c r="P3814" i="7"/>
  <c r="O3814" i="7"/>
  <c r="U3813" i="7"/>
  <c r="T3813" i="7"/>
  <c r="S3813" i="7"/>
  <c r="R3813" i="7"/>
  <c r="Q3813" i="7"/>
  <c r="P3813" i="7"/>
  <c r="O3813" i="7"/>
  <c r="U3812" i="7"/>
  <c r="T3812" i="7"/>
  <c r="S3812" i="7"/>
  <c r="R3812" i="7"/>
  <c r="Q3812" i="7"/>
  <c r="P3812" i="7"/>
  <c r="O3812" i="7"/>
  <c r="U3811" i="7"/>
  <c r="T3811" i="7"/>
  <c r="S3811" i="7"/>
  <c r="R3811" i="7"/>
  <c r="Q3811" i="7"/>
  <c r="P3811" i="7"/>
  <c r="O3811" i="7"/>
  <c r="U3810" i="7"/>
  <c r="T3810" i="7"/>
  <c r="S3810" i="7"/>
  <c r="R3810" i="7"/>
  <c r="Q3810" i="7"/>
  <c r="P3810" i="7"/>
  <c r="O3810" i="7"/>
  <c r="U3809" i="7"/>
  <c r="T3809" i="7"/>
  <c r="S3809" i="7"/>
  <c r="R3809" i="7"/>
  <c r="Q3809" i="7"/>
  <c r="P3809" i="7"/>
  <c r="O3809" i="7"/>
  <c r="U3808" i="7"/>
  <c r="T3808" i="7"/>
  <c r="S3808" i="7"/>
  <c r="R3808" i="7"/>
  <c r="Q3808" i="7"/>
  <c r="P3808" i="7"/>
  <c r="O3808" i="7"/>
  <c r="U3807" i="7"/>
  <c r="T3807" i="7"/>
  <c r="S3807" i="7"/>
  <c r="R3807" i="7"/>
  <c r="Q3807" i="7"/>
  <c r="P3807" i="7"/>
  <c r="O3807" i="7"/>
  <c r="U3806" i="7"/>
  <c r="T3806" i="7"/>
  <c r="S3806" i="7"/>
  <c r="R3806" i="7"/>
  <c r="Q3806" i="7"/>
  <c r="P3806" i="7"/>
  <c r="O3806" i="7"/>
  <c r="U3805" i="7"/>
  <c r="T3805" i="7"/>
  <c r="S3805" i="7"/>
  <c r="R3805" i="7"/>
  <c r="Q3805" i="7"/>
  <c r="P3805" i="7"/>
  <c r="O3805" i="7"/>
  <c r="U3804" i="7"/>
  <c r="T3804" i="7"/>
  <c r="S3804" i="7"/>
  <c r="R3804" i="7"/>
  <c r="Q3804" i="7"/>
  <c r="P3804" i="7"/>
  <c r="O3804" i="7"/>
  <c r="U3803" i="7"/>
  <c r="T3803" i="7"/>
  <c r="S3803" i="7"/>
  <c r="R3803" i="7"/>
  <c r="Q3803" i="7"/>
  <c r="P3803" i="7"/>
  <c r="O3803" i="7"/>
  <c r="U3802" i="7"/>
  <c r="T3802" i="7"/>
  <c r="S3802" i="7"/>
  <c r="R3802" i="7"/>
  <c r="Q3802" i="7"/>
  <c r="P3802" i="7"/>
  <c r="O3802" i="7"/>
  <c r="U3801" i="7"/>
  <c r="T3801" i="7"/>
  <c r="S3801" i="7"/>
  <c r="R3801" i="7"/>
  <c r="Q3801" i="7"/>
  <c r="P3801" i="7"/>
  <c r="O3801" i="7"/>
  <c r="U3800" i="7"/>
  <c r="T3800" i="7"/>
  <c r="S3800" i="7"/>
  <c r="R3800" i="7"/>
  <c r="Q3800" i="7"/>
  <c r="P3800" i="7"/>
  <c r="O3800" i="7"/>
  <c r="U3799" i="7"/>
  <c r="T3799" i="7"/>
  <c r="S3799" i="7"/>
  <c r="R3799" i="7"/>
  <c r="Q3799" i="7"/>
  <c r="P3799" i="7"/>
  <c r="O3799" i="7"/>
  <c r="U3798" i="7"/>
  <c r="T3798" i="7"/>
  <c r="S3798" i="7"/>
  <c r="R3798" i="7"/>
  <c r="Q3798" i="7"/>
  <c r="P3798" i="7"/>
  <c r="O3798" i="7"/>
  <c r="U3797" i="7"/>
  <c r="T3797" i="7"/>
  <c r="S3797" i="7"/>
  <c r="R3797" i="7"/>
  <c r="Q3797" i="7"/>
  <c r="P3797" i="7"/>
  <c r="O3797" i="7"/>
  <c r="U3796" i="7"/>
  <c r="T3796" i="7"/>
  <c r="S3796" i="7"/>
  <c r="R3796" i="7"/>
  <c r="Q3796" i="7"/>
  <c r="P3796" i="7"/>
  <c r="O3796" i="7"/>
  <c r="U3795" i="7"/>
  <c r="T3795" i="7"/>
  <c r="S3795" i="7"/>
  <c r="R3795" i="7"/>
  <c r="Q3795" i="7"/>
  <c r="P3795" i="7"/>
  <c r="O3795" i="7"/>
  <c r="U3794" i="7"/>
  <c r="T3794" i="7"/>
  <c r="S3794" i="7"/>
  <c r="R3794" i="7"/>
  <c r="Q3794" i="7"/>
  <c r="P3794" i="7"/>
  <c r="O3794" i="7"/>
  <c r="U3793" i="7"/>
  <c r="T3793" i="7"/>
  <c r="S3793" i="7"/>
  <c r="R3793" i="7"/>
  <c r="Q3793" i="7"/>
  <c r="P3793" i="7"/>
  <c r="O3793" i="7"/>
  <c r="U3792" i="7"/>
  <c r="T3792" i="7"/>
  <c r="S3792" i="7"/>
  <c r="R3792" i="7"/>
  <c r="Q3792" i="7"/>
  <c r="P3792" i="7"/>
  <c r="O3792" i="7"/>
  <c r="U3791" i="7"/>
  <c r="T3791" i="7"/>
  <c r="S3791" i="7"/>
  <c r="R3791" i="7"/>
  <c r="Q3791" i="7"/>
  <c r="P3791" i="7"/>
  <c r="O3791" i="7"/>
  <c r="U3790" i="7"/>
  <c r="T3790" i="7"/>
  <c r="S3790" i="7"/>
  <c r="R3790" i="7"/>
  <c r="Q3790" i="7"/>
  <c r="P3790" i="7"/>
  <c r="O3790" i="7"/>
  <c r="U3789" i="7"/>
  <c r="T3789" i="7"/>
  <c r="S3789" i="7"/>
  <c r="R3789" i="7"/>
  <c r="Q3789" i="7"/>
  <c r="P3789" i="7"/>
  <c r="O3789" i="7"/>
  <c r="U3788" i="7"/>
  <c r="T3788" i="7"/>
  <c r="S3788" i="7"/>
  <c r="R3788" i="7"/>
  <c r="Q3788" i="7"/>
  <c r="P3788" i="7"/>
  <c r="O3788" i="7"/>
  <c r="U3787" i="7"/>
  <c r="T3787" i="7"/>
  <c r="S3787" i="7"/>
  <c r="R3787" i="7"/>
  <c r="Q3787" i="7"/>
  <c r="P3787" i="7"/>
  <c r="O3787" i="7"/>
  <c r="U3786" i="7"/>
  <c r="T3786" i="7"/>
  <c r="S3786" i="7"/>
  <c r="R3786" i="7"/>
  <c r="Q3786" i="7"/>
  <c r="P3786" i="7"/>
  <c r="O3786" i="7"/>
  <c r="U3785" i="7"/>
  <c r="T3785" i="7"/>
  <c r="S3785" i="7"/>
  <c r="R3785" i="7"/>
  <c r="Q3785" i="7"/>
  <c r="P3785" i="7"/>
  <c r="O3785" i="7"/>
  <c r="U3784" i="7"/>
  <c r="T3784" i="7"/>
  <c r="S3784" i="7"/>
  <c r="R3784" i="7"/>
  <c r="Q3784" i="7"/>
  <c r="P3784" i="7"/>
  <c r="O3784" i="7"/>
  <c r="U3783" i="7"/>
  <c r="T3783" i="7"/>
  <c r="S3783" i="7"/>
  <c r="R3783" i="7"/>
  <c r="Q3783" i="7"/>
  <c r="P3783" i="7"/>
  <c r="O3783" i="7"/>
  <c r="U3782" i="7"/>
  <c r="T3782" i="7"/>
  <c r="S3782" i="7"/>
  <c r="R3782" i="7"/>
  <c r="Q3782" i="7"/>
  <c r="P3782" i="7"/>
  <c r="O3782" i="7"/>
  <c r="U3781" i="7"/>
  <c r="T3781" i="7"/>
  <c r="S3781" i="7"/>
  <c r="R3781" i="7"/>
  <c r="Q3781" i="7"/>
  <c r="P3781" i="7"/>
  <c r="O3781" i="7"/>
  <c r="U3780" i="7"/>
  <c r="T3780" i="7"/>
  <c r="S3780" i="7"/>
  <c r="R3780" i="7"/>
  <c r="Q3780" i="7"/>
  <c r="P3780" i="7"/>
  <c r="O3780" i="7"/>
  <c r="U3779" i="7"/>
  <c r="T3779" i="7"/>
  <c r="S3779" i="7"/>
  <c r="R3779" i="7"/>
  <c r="Q3779" i="7"/>
  <c r="P3779" i="7"/>
  <c r="O3779" i="7"/>
  <c r="U3778" i="7"/>
  <c r="T3778" i="7"/>
  <c r="S3778" i="7"/>
  <c r="R3778" i="7"/>
  <c r="Q3778" i="7"/>
  <c r="P3778" i="7"/>
  <c r="O3778" i="7"/>
  <c r="U3777" i="7"/>
  <c r="T3777" i="7"/>
  <c r="S3777" i="7"/>
  <c r="R3777" i="7"/>
  <c r="Q3777" i="7"/>
  <c r="P3777" i="7"/>
  <c r="O3777" i="7"/>
  <c r="U3776" i="7"/>
  <c r="T3776" i="7"/>
  <c r="S3776" i="7"/>
  <c r="R3776" i="7"/>
  <c r="Q3776" i="7"/>
  <c r="P3776" i="7"/>
  <c r="O3776" i="7"/>
  <c r="U3775" i="7"/>
  <c r="T3775" i="7"/>
  <c r="S3775" i="7"/>
  <c r="R3775" i="7"/>
  <c r="Q3775" i="7"/>
  <c r="P3775" i="7"/>
  <c r="O3775" i="7"/>
  <c r="U3774" i="7"/>
  <c r="T3774" i="7"/>
  <c r="S3774" i="7"/>
  <c r="R3774" i="7"/>
  <c r="Q3774" i="7"/>
  <c r="P3774" i="7"/>
  <c r="O3774" i="7"/>
  <c r="U3773" i="7"/>
  <c r="T3773" i="7"/>
  <c r="S3773" i="7"/>
  <c r="R3773" i="7"/>
  <c r="Q3773" i="7"/>
  <c r="P3773" i="7"/>
  <c r="O3773" i="7"/>
  <c r="U3772" i="7"/>
  <c r="T3772" i="7"/>
  <c r="S3772" i="7"/>
  <c r="R3772" i="7"/>
  <c r="Q3772" i="7"/>
  <c r="P3772" i="7"/>
  <c r="O3772" i="7"/>
  <c r="U3771" i="7"/>
  <c r="T3771" i="7"/>
  <c r="S3771" i="7"/>
  <c r="R3771" i="7"/>
  <c r="Q3771" i="7"/>
  <c r="P3771" i="7"/>
  <c r="O3771" i="7"/>
  <c r="U3770" i="7"/>
  <c r="T3770" i="7"/>
  <c r="S3770" i="7"/>
  <c r="R3770" i="7"/>
  <c r="Q3770" i="7"/>
  <c r="P3770" i="7"/>
  <c r="O3770" i="7"/>
  <c r="U3769" i="7"/>
  <c r="T3769" i="7"/>
  <c r="S3769" i="7"/>
  <c r="R3769" i="7"/>
  <c r="Q3769" i="7"/>
  <c r="P3769" i="7"/>
  <c r="O3769" i="7"/>
  <c r="U3768" i="7"/>
  <c r="T3768" i="7"/>
  <c r="S3768" i="7"/>
  <c r="R3768" i="7"/>
  <c r="Q3768" i="7"/>
  <c r="P3768" i="7"/>
  <c r="O3768" i="7"/>
  <c r="U3767" i="7"/>
  <c r="T3767" i="7"/>
  <c r="S3767" i="7"/>
  <c r="R3767" i="7"/>
  <c r="Q3767" i="7"/>
  <c r="P3767" i="7"/>
  <c r="O3767" i="7"/>
  <c r="U3766" i="7"/>
  <c r="T3766" i="7"/>
  <c r="S3766" i="7"/>
  <c r="R3766" i="7"/>
  <c r="Q3766" i="7"/>
  <c r="P3766" i="7"/>
  <c r="O3766" i="7"/>
  <c r="U3765" i="7"/>
  <c r="T3765" i="7"/>
  <c r="S3765" i="7"/>
  <c r="R3765" i="7"/>
  <c r="Q3765" i="7"/>
  <c r="P3765" i="7"/>
  <c r="O3765" i="7"/>
  <c r="U3764" i="7"/>
  <c r="T3764" i="7"/>
  <c r="S3764" i="7"/>
  <c r="R3764" i="7"/>
  <c r="Q3764" i="7"/>
  <c r="P3764" i="7"/>
  <c r="O3764" i="7"/>
  <c r="U3763" i="7"/>
  <c r="T3763" i="7"/>
  <c r="S3763" i="7"/>
  <c r="R3763" i="7"/>
  <c r="Q3763" i="7"/>
  <c r="P3763" i="7"/>
  <c r="O3763" i="7"/>
  <c r="U3762" i="7"/>
  <c r="T3762" i="7"/>
  <c r="S3762" i="7"/>
  <c r="R3762" i="7"/>
  <c r="Q3762" i="7"/>
  <c r="P3762" i="7"/>
  <c r="O3762" i="7"/>
  <c r="U3761" i="7"/>
  <c r="T3761" i="7"/>
  <c r="S3761" i="7"/>
  <c r="R3761" i="7"/>
  <c r="Q3761" i="7"/>
  <c r="P3761" i="7"/>
  <c r="O3761" i="7"/>
  <c r="U3760" i="7"/>
  <c r="T3760" i="7"/>
  <c r="S3760" i="7"/>
  <c r="R3760" i="7"/>
  <c r="Q3760" i="7"/>
  <c r="P3760" i="7"/>
  <c r="O3760" i="7"/>
  <c r="U3759" i="7"/>
  <c r="T3759" i="7"/>
  <c r="S3759" i="7"/>
  <c r="R3759" i="7"/>
  <c r="Q3759" i="7"/>
  <c r="P3759" i="7"/>
  <c r="O3759" i="7"/>
  <c r="U3758" i="7"/>
  <c r="T3758" i="7"/>
  <c r="S3758" i="7"/>
  <c r="R3758" i="7"/>
  <c r="Q3758" i="7"/>
  <c r="P3758" i="7"/>
  <c r="O3758" i="7"/>
  <c r="U3757" i="7"/>
  <c r="T3757" i="7"/>
  <c r="S3757" i="7"/>
  <c r="R3757" i="7"/>
  <c r="Q3757" i="7"/>
  <c r="P3757" i="7"/>
  <c r="O3757" i="7"/>
  <c r="U3756" i="7"/>
  <c r="T3756" i="7"/>
  <c r="S3756" i="7"/>
  <c r="R3756" i="7"/>
  <c r="Q3756" i="7"/>
  <c r="P3756" i="7"/>
  <c r="O3756" i="7"/>
  <c r="U3755" i="7"/>
  <c r="T3755" i="7"/>
  <c r="S3755" i="7"/>
  <c r="R3755" i="7"/>
  <c r="Q3755" i="7"/>
  <c r="P3755" i="7"/>
  <c r="O3755" i="7"/>
  <c r="U3754" i="7"/>
  <c r="T3754" i="7"/>
  <c r="S3754" i="7"/>
  <c r="R3754" i="7"/>
  <c r="Q3754" i="7"/>
  <c r="P3754" i="7"/>
  <c r="O3754" i="7"/>
  <c r="U3753" i="7"/>
  <c r="T3753" i="7"/>
  <c r="S3753" i="7"/>
  <c r="R3753" i="7"/>
  <c r="Q3753" i="7"/>
  <c r="P3753" i="7"/>
  <c r="O3753" i="7"/>
  <c r="U3752" i="7"/>
  <c r="T3752" i="7"/>
  <c r="S3752" i="7"/>
  <c r="R3752" i="7"/>
  <c r="Q3752" i="7"/>
  <c r="P3752" i="7"/>
  <c r="O3752" i="7"/>
  <c r="U3751" i="7"/>
  <c r="T3751" i="7"/>
  <c r="S3751" i="7"/>
  <c r="R3751" i="7"/>
  <c r="Q3751" i="7"/>
  <c r="P3751" i="7"/>
  <c r="O3751" i="7"/>
  <c r="U3750" i="7"/>
  <c r="T3750" i="7"/>
  <c r="S3750" i="7"/>
  <c r="R3750" i="7"/>
  <c r="Q3750" i="7"/>
  <c r="P3750" i="7"/>
  <c r="O3750" i="7"/>
  <c r="U3749" i="7"/>
  <c r="T3749" i="7"/>
  <c r="S3749" i="7"/>
  <c r="R3749" i="7"/>
  <c r="Q3749" i="7"/>
  <c r="P3749" i="7"/>
  <c r="O3749" i="7"/>
  <c r="U3748" i="7"/>
  <c r="T3748" i="7"/>
  <c r="S3748" i="7"/>
  <c r="R3748" i="7"/>
  <c r="Q3748" i="7"/>
  <c r="P3748" i="7"/>
  <c r="O3748" i="7"/>
  <c r="U3747" i="7"/>
  <c r="T3747" i="7"/>
  <c r="S3747" i="7"/>
  <c r="R3747" i="7"/>
  <c r="Q3747" i="7"/>
  <c r="P3747" i="7"/>
  <c r="O3747" i="7"/>
  <c r="U3746" i="7"/>
  <c r="T3746" i="7"/>
  <c r="S3746" i="7"/>
  <c r="R3746" i="7"/>
  <c r="Q3746" i="7"/>
  <c r="P3746" i="7"/>
  <c r="O3746" i="7"/>
  <c r="U3745" i="7"/>
  <c r="T3745" i="7"/>
  <c r="S3745" i="7"/>
  <c r="R3745" i="7"/>
  <c r="Q3745" i="7"/>
  <c r="P3745" i="7"/>
  <c r="O3745" i="7"/>
  <c r="U3744" i="7"/>
  <c r="T3744" i="7"/>
  <c r="S3744" i="7"/>
  <c r="R3744" i="7"/>
  <c r="Q3744" i="7"/>
  <c r="P3744" i="7"/>
  <c r="O3744" i="7"/>
  <c r="U3743" i="7"/>
  <c r="T3743" i="7"/>
  <c r="S3743" i="7"/>
  <c r="R3743" i="7"/>
  <c r="Q3743" i="7"/>
  <c r="P3743" i="7"/>
  <c r="O3743" i="7"/>
  <c r="U3742" i="7"/>
  <c r="T3742" i="7"/>
  <c r="S3742" i="7"/>
  <c r="R3742" i="7"/>
  <c r="Q3742" i="7"/>
  <c r="P3742" i="7"/>
  <c r="O3742" i="7"/>
  <c r="U3741" i="7"/>
  <c r="T3741" i="7"/>
  <c r="S3741" i="7"/>
  <c r="R3741" i="7"/>
  <c r="Q3741" i="7"/>
  <c r="P3741" i="7"/>
  <c r="O3741" i="7"/>
  <c r="U3740" i="7"/>
  <c r="T3740" i="7"/>
  <c r="S3740" i="7"/>
  <c r="R3740" i="7"/>
  <c r="Q3740" i="7"/>
  <c r="P3740" i="7"/>
  <c r="O3740" i="7"/>
  <c r="U3739" i="7"/>
  <c r="T3739" i="7"/>
  <c r="S3739" i="7"/>
  <c r="R3739" i="7"/>
  <c r="Q3739" i="7"/>
  <c r="P3739" i="7"/>
  <c r="O3739" i="7"/>
  <c r="U3738" i="7"/>
  <c r="T3738" i="7"/>
  <c r="S3738" i="7"/>
  <c r="R3738" i="7"/>
  <c r="Q3738" i="7"/>
  <c r="P3738" i="7"/>
  <c r="O3738" i="7"/>
  <c r="U3737" i="7"/>
  <c r="T3737" i="7"/>
  <c r="S3737" i="7"/>
  <c r="R3737" i="7"/>
  <c r="Q3737" i="7"/>
  <c r="P3737" i="7"/>
  <c r="O3737" i="7"/>
  <c r="U3736" i="7"/>
  <c r="T3736" i="7"/>
  <c r="S3736" i="7"/>
  <c r="R3736" i="7"/>
  <c r="Q3736" i="7"/>
  <c r="P3736" i="7"/>
  <c r="O3736" i="7"/>
  <c r="U3735" i="7"/>
  <c r="T3735" i="7"/>
  <c r="S3735" i="7"/>
  <c r="R3735" i="7"/>
  <c r="Q3735" i="7"/>
  <c r="P3735" i="7"/>
  <c r="O3735" i="7"/>
  <c r="U3734" i="7"/>
  <c r="T3734" i="7"/>
  <c r="S3734" i="7"/>
  <c r="R3734" i="7"/>
  <c r="Q3734" i="7"/>
  <c r="P3734" i="7"/>
  <c r="O3734" i="7"/>
  <c r="U3733" i="7"/>
  <c r="T3733" i="7"/>
  <c r="S3733" i="7"/>
  <c r="R3733" i="7"/>
  <c r="Q3733" i="7"/>
  <c r="P3733" i="7"/>
  <c r="O3733" i="7"/>
  <c r="U3732" i="7"/>
  <c r="T3732" i="7"/>
  <c r="S3732" i="7"/>
  <c r="R3732" i="7"/>
  <c r="Q3732" i="7"/>
  <c r="P3732" i="7"/>
  <c r="O3732" i="7"/>
  <c r="U3731" i="7"/>
  <c r="T3731" i="7"/>
  <c r="S3731" i="7"/>
  <c r="R3731" i="7"/>
  <c r="Q3731" i="7"/>
  <c r="P3731" i="7"/>
  <c r="O3731" i="7"/>
  <c r="U3730" i="7"/>
  <c r="T3730" i="7"/>
  <c r="S3730" i="7"/>
  <c r="R3730" i="7"/>
  <c r="Q3730" i="7"/>
  <c r="P3730" i="7"/>
  <c r="O3730" i="7"/>
  <c r="U3729" i="7"/>
  <c r="T3729" i="7"/>
  <c r="S3729" i="7"/>
  <c r="R3729" i="7"/>
  <c r="Q3729" i="7"/>
  <c r="P3729" i="7"/>
  <c r="O3729" i="7"/>
  <c r="U3728" i="7"/>
  <c r="T3728" i="7"/>
  <c r="S3728" i="7"/>
  <c r="R3728" i="7"/>
  <c r="Q3728" i="7"/>
  <c r="P3728" i="7"/>
  <c r="O3728" i="7"/>
  <c r="U3727" i="7"/>
  <c r="T3727" i="7"/>
  <c r="S3727" i="7"/>
  <c r="R3727" i="7"/>
  <c r="Q3727" i="7"/>
  <c r="P3727" i="7"/>
  <c r="O3727" i="7"/>
  <c r="U3726" i="7"/>
  <c r="T3726" i="7"/>
  <c r="S3726" i="7"/>
  <c r="R3726" i="7"/>
  <c r="Q3726" i="7"/>
  <c r="P3726" i="7"/>
  <c r="O3726" i="7"/>
  <c r="U3725" i="7"/>
  <c r="T3725" i="7"/>
  <c r="S3725" i="7"/>
  <c r="R3725" i="7"/>
  <c r="Q3725" i="7"/>
  <c r="P3725" i="7"/>
  <c r="O3725" i="7"/>
  <c r="U3724" i="7"/>
  <c r="T3724" i="7"/>
  <c r="S3724" i="7"/>
  <c r="R3724" i="7"/>
  <c r="Q3724" i="7"/>
  <c r="P3724" i="7"/>
  <c r="O3724" i="7"/>
  <c r="U3723" i="7"/>
  <c r="T3723" i="7"/>
  <c r="S3723" i="7"/>
  <c r="R3723" i="7"/>
  <c r="Q3723" i="7"/>
  <c r="P3723" i="7"/>
  <c r="O3723" i="7"/>
  <c r="U3722" i="7"/>
  <c r="T3722" i="7"/>
  <c r="S3722" i="7"/>
  <c r="R3722" i="7"/>
  <c r="Q3722" i="7"/>
  <c r="P3722" i="7"/>
  <c r="O3722" i="7"/>
  <c r="U3721" i="7"/>
  <c r="T3721" i="7"/>
  <c r="S3721" i="7"/>
  <c r="R3721" i="7"/>
  <c r="Q3721" i="7"/>
  <c r="P3721" i="7"/>
  <c r="O3721" i="7"/>
  <c r="U3720" i="7"/>
  <c r="T3720" i="7"/>
  <c r="S3720" i="7"/>
  <c r="R3720" i="7"/>
  <c r="Q3720" i="7"/>
  <c r="P3720" i="7"/>
  <c r="O3720" i="7"/>
  <c r="U3719" i="7"/>
  <c r="T3719" i="7"/>
  <c r="S3719" i="7"/>
  <c r="R3719" i="7"/>
  <c r="Q3719" i="7"/>
  <c r="P3719" i="7"/>
  <c r="O3719" i="7"/>
  <c r="U3718" i="7"/>
  <c r="T3718" i="7"/>
  <c r="S3718" i="7"/>
  <c r="R3718" i="7"/>
  <c r="Q3718" i="7"/>
  <c r="P3718" i="7"/>
  <c r="O3718" i="7"/>
  <c r="U3717" i="7"/>
  <c r="T3717" i="7"/>
  <c r="S3717" i="7"/>
  <c r="R3717" i="7"/>
  <c r="Q3717" i="7"/>
  <c r="P3717" i="7"/>
  <c r="O3717" i="7"/>
  <c r="U3716" i="7"/>
  <c r="T3716" i="7"/>
  <c r="S3716" i="7"/>
  <c r="R3716" i="7"/>
  <c r="Q3716" i="7"/>
  <c r="P3716" i="7"/>
  <c r="O3716" i="7"/>
  <c r="U3715" i="7"/>
  <c r="T3715" i="7"/>
  <c r="S3715" i="7"/>
  <c r="R3715" i="7"/>
  <c r="Q3715" i="7"/>
  <c r="P3715" i="7"/>
  <c r="O3715" i="7"/>
  <c r="U3714" i="7"/>
  <c r="T3714" i="7"/>
  <c r="S3714" i="7"/>
  <c r="R3714" i="7"/>
  <c r="Q3714" i="7"/>
  <c r="P3714" i="7"/>
  <c r="O3714" i="7"/>
  <c r="U3713" i="7"/>
  <c r="T3713" i="7"/>
  <c r="S3713" i="7"/>
  <c r="R3713" i="7"/>
  <c r="Q3713" i="7"/>
  <c r="P3713" i="7"/>
  <c r="O3713" i="7"/>
  <c r="U3712" i="7"/>
  <c r="T3712" i="7"/>
  <c r="S3712" i="7"/>
  <c r="R3712" i="7"/>
  <c r="Q3712" i="7"/>
  <c r="P3712" i="7"/>
  <c r="O3712" i="7"/>
  <c r="U3711" i="7"/>
  <c r="T3711" i="7"/>
  <c r="S3711" i="7"/>
  <c r="R3711" i="7"/>
  <c r="Q3711" i="7"/>
  <c r="P3711" i="7"/>
  <c r="O3711" i="7"/>
  <c r="U3710" i="7"/>
  <c r="T3710" i="7"/>
  <c r="S3710" i="7"/>
  <c r="R3710" i="7"/>
  <c r="Q3710" i="7"/>
  <c r="P3710" i="7"/>
  <c r="O3710" i="7"/>
  <c r="U3709" i="7"/>
  <c r="T3709" i="7"/>
  <c r="S3709" i="7"/>
  <c r="R3709" i="7"/>
  <c r="Q3709" i="7"/>
  <c r="P3709" i="7"/>
  <c r="O3709" i="7"/>
  <c r="U3708" i="7"/>
  <c r="T3708" i="7"/>
  <c r="S3708" i="7"/>
  <c r="R3708" i="7"/>
  <c r="Q3708" i="7"/>
  <c r="P3708" i="7"/>
  <c r="O3708" i="7"/>
  <c r="U3707" i="7"/>
  <c r="T3707" i="7"/>
  <c r="S3707" i="7"/>
  <c r="R3707" i="7"/>
  <c r="Q3707" i="7"/>
  <c r="P3707" i="7"/>
  <c r="O3707" i="7"/>
  <c r="U3706" i="7"/>
  <c r="T3706" i="7"/>
  <c r="S3706" i="7"/>
  <c r="R3706" i="7"/>
  <c r="Q3706" i="7"/>
  <c r="P3706" i="7"/>
  <c r="O3706" i="7"/>
  <c r="U3705" i="7"/>
  <c r="T3705" i="7"/>
  <c r="S3705" i="7"/>
  <c r="R3705" i="7"/>
  <c r="Q3705" i="7"/>
  <c r="P3705" i="7"/>
  <c r="O3705" i="7"/>
  <c r="U3704" i="7"/>
  <c r="T3704" i="7"/>
  <c r="S3704" i="7"/>
  <c r="R3704" i="7"/>
  <c r="Q3704" i="7"/>
  <c r="P3704" i="7"/>
  <c r="O3704" i="7"/>
  <c r="U3703" i="7"/>
  <c r="T3703" i="7"/>
  <c r="S3703" i="7"/>
  <c r="R3703" i="7"/>
  <c r="Q3703" i="7"/>
  <c r="P3703" i="7"/>
  <c r="O3703" i="7"/>
  <c r="U3702" i="7"/>
  <c r="T3702" i="7"/>
  <c r="S3702" i="7"/>
  <c r="R3702" i="7"/>
  <c r="Q3702" i="7"/>
  <c r="P3702" i="7"/>
  <c r="O3702" i="7"/>
  <c r="U3701" i="7"/>
  <c r="T3701" i="7"/>
  <c r="S3701" i="7"/>
  <c r="R3701" i="7"/>
  <c r="Q3701" i="7"/>
  <c r="P3701" i="7"/>
  <c r="O3701" i="7"/>
  <c r="U3700" i="7"/>
  <c r="T3700" i="7"/>
  <c r="S3700" i="7"/>
  <c r="R3700" i="7"/>
  <c r="Q3700" i="7"/>
  <c r="P3700" i="7"/>
  <c r="O3700" i="7"/>
  <c r="U3699" i="7"/>
  <c r="T3699" i="7"/>
  <c r="S3699" i="7"/>
  <c r="R3699" i="7"/>
  <c r="Q3699" i="7"/>
  <c r="P3699" i="7"/>
  <c r="O3699" i="7"/>
  <c r="U3698" i="7"/>
  <c r="T3698" i="7"/>
  <c r="S3698" i="7"/>
  <c r="R3698" i="7"/>
  <c r="Q3698" i="7"/>
  <c r="P3698" i="7"/>
  <c r="O3698" i="7"/>
  <c r="U3697" i="7"/>
  <c r="T3697" i="7"/>
  <c r="S3697" i="7"/>
  <c r="R3697" i="7"/>
  <c r="Q3697" i="7"/>
  <c r="P3697" i="7"/>
  <c r="O3697" i="7"/>
  <c r="U3696" i="7"/>
  <c r="T3696" i="7"/>
  <c r="S3696" i="7"/>
  <c r="R3696" i="7"/>
  <c r="Q3696" i="7"/>
  <c r="P3696" i="7"/>
  <c r="O3696" i="7"/>
  <c r="U3695" i="7"/>
  <c r="T3695" i="7"/>
  <c r="S3695" i="7"/>
  <c r="R3695" i="7"/>
  <c r="Q3695" i="7"/>
  <c r="P3695" i="7"/>
  <c r="O3695" i="7"/>
  <c r="U3694" i="7"/>
  <c r="T3694" i="7"/>
  <c r="S3694" i="7"/>
  <c r="R3694" i="7"/>
  <c r="Q3694" i="7"/>
  <c r="P3694" i="7"/>
  <c r="O3694" i="7"/>
  <c r="U3693" i="7"/>
  <c r="T3693" i="7"/>
  <c r="S3693" i="7"/>
  <c r="R3693" i="7"/>
  <c r="Q3693" i="7"/>
  <c r="P3693" i="7"/>
  <c r="O3693" i="7"/>
  <c r="U3692" i="7"/>
  <c r="T3692" i="7"/>
  <c r="S3692" i="7"/>
  <c r="R3692" i="7"/>
  <c r="Q3692" i="7"/>
  <c r="P3692" i="7"/>
  <c r="O3692" i="7"/>
  <c r="U3691" i="7"/>
  <c r="T3691" i="7"/>
  <c r="S3691" i="7"/>
  <c r="R3691" i="7"/>
  <c r="Q3691" i="7"/>
  <c r="P3691" i="7"/>
  <c r="O3691" i="7"/>
  <c r="U3690" i="7"/>
  <c r="T3690" i="7"/>
  <c r="S3690" i="7"/>
  <c r="R3690" i="7"/>
  <c r="Q3690" i="7"/>
  <c r="P3690" i="7"/>
  <c r="O3690" i="7"/>
  <c r="U3689" i="7"/>
  <c r="T3689" i="7"/>
  <c r="S3689" i="7"/>
  <c r="R3689" i="7"/>
  <c r="Q3689" i="7"/>
  <c r="P3689" i="7"/>
  <c r="O3689" i="7"/>
  <c r="U3688" i="7"/>
  <c r="T3688" i="7"/>
  <c r="S3688" i="7"/>
  <c r="R3688" i="7"/>
  <c r="Q3688" i="7"/>
  <c r="P3688" i="7"/>
  <c r="O3688" i="7"/>
  <c r="U3687" i="7"/>
  <c r="T3687" i="7"/>
  <c r="S3687" i="7"/>
  <c r="R3687" i="7"/>
  <c r="Q3687" i="7"/>
  <c r="P3687" i="7"/>
  <c r="O3687" i="7"/>
  <c r="U3686" i="7"/>
  <c r="T3686" i="7"/>
  <c r="S3686" i="7"/>
  <c r="R3686" i="7"/>
  <c r="Q3686" i="7"/>
  <c r="P3686" i="7"/>
  <c r="O3686" i="7"/>
  <c r="U3685" i="7"/>
  <c r="T3685" i="7"/>
  <c r="S3685" i="7"/>
  <c r="R3685" i="7"/>
  <c r="Q3685" i="7"/>
  <c r="P3685" i="7"/>
  <c r="O3685" i="7"/>
  <c r="U3684" i="7"/>
  <c r="T3684" i="7"/>
  <c r="S3684" i="7"/>
  <c r="R3684" i="7"/>
  <c r="Q3684" i="7"/>
  <c r="P3684" i="7"/>
  <c r="O3684" i="7"/>
  <c r="U3683" i="7"/>
  <c r="T3683" i="7"/>
  <c r="S3683" i="7"/>
  <c r="R3683" i="7"/>
  <c r="Q3683" i="7"/>
  <c r="P3683" i="7"/>
  <c r="O3683" i="7"/>
  <c r="U3682" i="7"/>
  <c r="T3682" i="7"/>
  <c r="S3682" i="7"/>
  <c r="R3682" i="7"/>
  <c r="Q3682" i="7"/>
  <c r="P3682" i="7"/>
  <c r="O3682" i="7"/>
  <c r="U3681" i="7"/>
  <c r="T3681" i="7"/>
  <c r="S3681" i="7"/>
  <c r="R3681" i="7"/>
  <c r="Q3681" i="7"/>
  <c r="P3681" i="7"/>
  <c r="O3681" i="7"/>
  <c r="U3680" i="7"/>
  <c r="T3680" i="7"/>
  <c r="S3680" i="7"/>
  <c r="R3680" i="7"/>
  <c r="Q3680" i="7"/>
  <c r="P3680" i="7"/>
  <c r="O3680" i="7"/>
  <c r="U3679" i="7"/>
  <c r="T3679" i="7"/>
  <c r="S3679" i="7"/>
  <c r="R3679" i="7"/>
  <c r="Q3679" i="7"/>
  <c r="P3679" i="7"/>
  <c r="O3679" i="7"/>
  <c r="U3678" i="7"/>
  <c r="T3678" i="7"/>
  <c r="S3678" i="7"/>
  <c r="R3678" i="7"/>
  <c r="Q3678" i="7"/>
  <c r="P3678" i="7"/>
  <c r="O3678" i="7"/>
  <c r="U3677" i="7"/>
  <c r="T3677" i="7"/>
  <c r="S3677" i="7"/>
  <c r="R3677" i="7"/>
  <c r="Q3677" i="7"/>
  <c r="P3677" i="7"/>
  <c r="O3677" i="7"/>
  <c r="U3676" i="7"/>
  <c r="T3676" i="7"/>
  <c r="S3676" i="7"/>
  <c r="R3676" i="7"/>
  <c r="Q3676" i="7"/>
  <c r="P3676" i="7"/>
  <c r="O3676" i="7"/>
  <c r="U3675" i="7"/>
  <c r="T3675" i="7"/>
  <c r="S3675" i="7"/>
  <c r="R3675" i="7"/>
  <c r="Q3675" i="7"/>
  <c r="P3675" i="7"/>
  <c r="O3675" i="7"/>
  <c r="U3674" i="7"/>
  <c r="T3674" i="7"/>
  <c r="S3674" i="7"/>
  <c r="R3674" i="7"/>
  <c r="Q3674" i="7"/>
  <c r="P3674" i="7"/>
  <c r="O3674" i="7"/>
  <c r="U3673" i="7"/>
  <c r="T3673" i="7"/>
  <c r="S3673" i="7"/>
  <c r="R3673" i="7"/>
  <c r="Q3673" i="7"/>
  <c r="P3673" i="7"/>
  <c r="O3673" i="7"/>
  <c r="U3672" i="7"/>
  <c r="T3672" i="7"/>
  <c r="S3672" i="7"/>
  <c r="R3672" i="7"/>
  <c r="Q3672" i="7"/>
  <c r="P3672" i="7"/>
  <c r="O3672" i="7"/>
  <c r="U3671" i="7"/>
  <c r="T3671" i="7"/>
  <c r="S3671" i="7"/>
  <c r="R3671" i="7"/>
  <c r="Q3671" i="7"/>
  <c r="P3671" i="7"/>
  <c r="O3671" i="7"/>
  <c r="U3670" i="7"/>
  <c r="T3670" i="7"/>
  <c r="S3670" i="7"/>
  <c r="R3670" i="7"/>
  <c r="Q3670" i="7"/>
  <c r="P3670" i="7"/>
  <c r="O3670" i="7"/>
  <c r="U3669" i="7"/>
  <c r="T3669" i="7"/>
  <c r="S3669" i="7"/>
  <c r="R3669" i="7"/>
  <c r="Q3669" i="7"/>
  <c r="P3669" i="7"/>
  <c r="O3669" i="7"/>
  <c r="U3668" i="7"/>
  <c r="T3668" i="7"/>
  <c r="S3668" i="7"/>
  <c r="R3668" i="7"/>
  <c r="Q3668" i="7"/>
  <c r="P3668" i="7"/>
  <c r="O3668" i="7"/>
  <c r="U3667" i="7"/>
  <c r="T3667" i="7"/>
  <c r="S3667" i="7"/>
  <c r="R3667" i="7"/>
  <c r="Q3667" i="7"/>
  <c r="P3667" i="7"/>
  <c r="O3667" i="7"/>
  <c r="U3666" i="7"/>
  <c r="T3666" i="7"/>
  <c r="S3666" i="7"/>
  <c r="R3666" i="7"/>
  <c r="Q3666" i="7"/>
  <c r="P3666" i="7"/>
  <c r="O3666" i="7"/>
  <c r="U3665" i="7"/>
  <c r="T3665" i="7"/>
  <c r="S3665" i="7"/>
  <c r="R3665" i="7"/>
  <c r="Q3665" i="7"/>
  <c r="P3665" i="7"/>
  <c r="O3665" i="7"/>
  <c r="U3664" i="7"/>
  <c r="T3664" i="7"/>
  <c r="S3664" i="7"/>
  <c r="R3664" i="7"/>
  <c r="Q3664" i="7"/>
  <c r="P3664" i="7"/>
  <c r="O3664" i="7"/>
  <c r="U3663" i="7"/>
  <c r="T3663" i="7"/>
  <c r="S3663" i="7"/>
  <c r="R3663" i="7"/>
  <c r="Q3663" i="7"/>
  <c r="P3663" i="7"/>
  <c r="O3663" i="7"/>
  <c r="U3662" i="7"/>
  <c r="T3662" i="7"/>
  <c r="S3662" i="7"/>
  <c r="R3662" i="7"/>
  <c r="Q3662" i="7"/>
  <c r="P3662" i="7"/>
  <c r="O3662" i="7"/>
  <c r="U3661" i="7"/>
  <c r="T3661" i="7"/>
  <c r="S3661" i="7"/>
  <c r="R3661" i="7"/>
  <c r="Q3661" i="7"/>
  <c r="P3661" i="7"/>
  <c r="O3661" i="7"/>
  <c r="U3660" i="7"/>
  <c r="T3660" i="7"/>
  <c r="S3660" i="7"/>
  <c r="R3660" i="7"/>
  <c r="Q3660" i="7"/>
  <c r="P3660" i="7"/>
  <c r="O3660" i="7"/>
  <c r="U3659" i="7"/>
  <c r="T3659" i="7"/>
  <c r="S3659" i="7"/>
  <c r="R3659" i="7"/>
  <c r="Q3659" i="7"/>
  <c r="P3659" i="7"/>
  <c r="O3659" i="7"/>
  <c r="U3658" i="7"/>
  <c r="T3658" i="7"/>
  <c r="S3658" i="7"/>
  <c r="R3658" i="7"/>
  <c r="Q3658" i="7"/>
  <c r="P3658" i="7"/>
  <c r="O3658" i="7"/>
  <c r="U3657" i="7"/>
  <c r="T3657" i="7"/>
  <c r="S3657" i="7"/>
  <c r="R3657" i="7"/>
  <c r="Q3657" i="7"/>
  <c r="P3657" i="7"/>
  <c r="O3657" i="7"/>
  <c r="U3656" i="7"/>
  <c r="T3656" i="7"/>
  <c r="S3656" i="7"/>
  <c r="R3656" i="7"/>
  <c r="Q3656" i="7"/>
  <c r="P3656" i="7"/>
  <c r="O3656" i="7"/>
  <c r="U3655" i="7"/>
  <c r="T3655" i="7"/>
  <c r="S3655" i="7"/>
  <c r="R3655" i="7"/>
  <c r="Q3655" i="7"/>
  <c r="P3655" i="7"/>
  <c r="O3655" i="7"/>
  <c r="U3654" i="7"/>
  <c r="T3654" i="7"/>
  <c r="S3654" i="7"/>
  <c r="R3654" i="7"/>
  <c r="Q3654" i="7"/>
  <c r="P3654" i="7"/>
  <c r="O3654" i="7"/>
  <c r="U3653" i="7"/>
  <c r="T3653" i="7"/>
  <c r="S3653" i="7"/>
  <c r="R3653" i="7"/>
  <c r="Q3653" i="7"/>
  <c r="P3653" i="7"/>
  <c r="O3653" i="7"/>
  <c r="U3652" i="7"/>
  <c r="T3652" i="7"/>
  <c r="S3652" i="7"/>
  <c r="R3652" i="7"/>
  <c r="Q3652" i="7"/>
  <c r="P3652" i="7"/>
  <c r="O3652" i="7"/>
  <c r="U3651" i="7"/>
  <c r="T3651" i="7"/>
  <c r="S3651" i="7"/>
  <c r="R3651" i="7"/>
  <c r="Q3651" i="7"/>
  <c r="P3651" i="7"/>
  <c r="O3651" i="7"/>
  <c r="U3650" i="7"/>
  <c r="T3650" i="7"/>
  <c r="S3650" i="7"/>
  <c r="R3650" i="7"/>
  <c r="Q3650" i="7"/>
  <c r="P3650" i="7"/>
  <c r="O3650" i="7"/>
  <c r="U3649" i="7"/>
  <c r="T3649" i="7"/>
  <c r="S3649" i="7"/>
  <c r="R3649" i="7"/>
  <c r="Q3649" i="7"/>
  <c r="P3649" i="7"/>
  <c r="O3649" i="7"/>
  <c r="U3648" i="7"/>
  <c r="T3648" i="7"/>
  <c r="S3648" i="7"/>
  <c r="R3648" i="7"/>
  <c r="Q3648" i="7"/>
  <c r="P3648" i="7"/>
  <c r="O3648" i="7"/>
  <c r="U3647" i="7"/>
  <c r="T3647" i="7"/>
  <c r="S3647" i="7"/>
  <c r="R3647" i="7"/>
  <c r="Q3647" i="7"/>
  <c r="P3647" i="7"/>
  <c r="O3647" i="7"/>
  <c r="U3646" i="7"/>
  <c r="T3646" i="7"/>
  <c r="S3646" i="7"/>
  <c r="R3646" i="7"/>
  <c r="Q3646" i="7"/>
  <c r="P3646" i="7"/>
  <c r="O3646" i="7"/>
  <c r="U3645" i="7"/>
  <c r="T3645" i="7"/>
  <c r="S3645" i="7"/>
  <c r="R3645" i="7"/>
  <c r="Q3645" i="7"/>
  <c r="P3645" i="7"/>
  <c r="O3645" i="7"/>
  <c r="U3644" i="7"/>
  <c r="T3644" i="7"/>
  <c r="S3644" i="7"/>
  <c r="R3644" i="7"/>
  <c r="Q3644" i="7"/>
  <c r="P3644" i="7"/>
  <c r="O3644" i="7"/>
  <c r="U3643" i="7"/>
  <c r="T3643" i="7"/>
  <c r="S3643" i="7"/>
  <c r="R3643" i="7"/>
  <c r="Q3643" i="7"/>
  <c r="P3643" i="7"/>
  <c r="O3643" i="7"/>
  <c r="U3642" i="7"/>
  <c r="T3642" i="7"/>
  <c r="S3642" i="7"/>
  <c r="R3642" i="7"/>
  <c r="Q3642" i="7"/>
  <c r="P3642" i="7"/>
  <c r="O3642" i="7"/>
  <c r="U3641" i="7"/>
  <c r="T3641" i="7"/>
  <c r="S3641" i="7"/>
  <c r="R3641" i="7"/>
  <c r="Q3641" i="7"/>
  <c r="P3641" i="7"/>
  <c r="O3641" i="7"/>
  <c r="U3640" i="7"/>
  <c r="T3640" i="7"/>
  <c r="S3640" i="7"/>
  <c r="R3640" i="7"/>
  <c r="Q3640" i="7"/>
  <c r="P3640" i="7"/>
  <c r="O3640" i="7"/>
  <c r="U3639" i="7"/>
  <c r="T3639" i="7"/>
  <c r="S3639" i="7"/>
  <c r="R3639" i="7"/>
  <c r="Q3639" i="7"/>
  <c r="P3639" i="7"/>
  <c r="O3639" i="7"/>
  <c r="U3638" i="7"/>
  <c r="T3638" i="7"/>
  <c r="S3638" i="7"/>
  <c r="R3638" i="7"/>
  <c r="Q3638" i="7"/>
  <c r="P3638" i="7"/>
  <c r="O3638" i="7"/>
  <c r="U3637" i="7"/>
  <c r="T3637" i="7"/>
  <c r="S3637" i="7"/>
  <c r="R3637" i="7"/>
  <c r="Q3637" i="7"/>
  <c r="P3637" i="7"/>
  <c r="O3637" i="7"/>
  <c r="U3636" i="7"/>
  <c r="T3636" i="7"/>
  <c r="S3636" i="7"/>
  <c r="R3636" i="7"/>
  <c r="Q3636" i="7"/>
  <c r="P3636" i="7"/>
  <c r="O3636" i="7"/>
  <c r="U3635" i="7"/>
  <c r="T3635" i="7"/>
  <c r="S3635" i="7"/>
  <c r="R3635" i="7"/>
  <c r="Q3635" i="7"/>
  <c r="P3635" i="7"/>
  <c r="O3635" i="7"/>
  <c r="U3634" i="7"/>
  <c r="T3634" i="7"/>
  <c r="S3634" i="7"/>
  <c r="R3634" i="7"/>
  <c r="Q3634" i="7"/>
  <c r="P3634" i="7"/>
  <c r="O3634" i="7"/>
  <c r="U3633" i="7"/>
  <c r="T3633" i="7"/>
  <c r="S3633" i="7"/>
  <c r="R3633" i="7"/>
  <c r="Q3633" i="7"/>
  <c r="P3633" i="7"/>
  <c r="O3633" i="7"/>
  <c r="U3632" i="7"/>
  <c r="T3632" i="7"/>
  <c r="S3632" i="7"/>
  <c r="R3632" i="7"/>
  <c r="Q3632" i="7"/>
  <c r="P3632" i="7"/>
  <c r="O3632" i="7"/>
  <c r="U3631" i="7"/>
  <c r="T3631" i="7"/>
  <c r="S3631" i="7"/>
  <c r="R3631" i="7"/>
  <c r="Q3631" i="7"/>
  <c r="P3631" i="7"/>
  <c r="O3631" i="7"/>
  <c r="U3630" i="7"/>
  <c r="T3630" i="7"/>
  <c r="S3630" i="7"/>
  <c r="R3630" i="7"/>
  <c r="Q3630" i="7"/>
  <c r="P3630" i="7"/>
  <c r="O3630" i="7"/>
  <c r="U3629" i="7"/>
  <c r="T3629" i="7"/>
  <c r="S3629" i="7"/>
  <c r="R3629" i="7"/>
  <c r="Q3629" i="7"/>
  <c r="P3629" i="7"/>
  <c r="O3629" i="7"/>
  <c r="U3628" i="7"/>
  <c r="T3628" i="7"/>
  <c r="S3628" i="7"/>
  <c r="R3628" i="7"/>
  <c r="Q3628" i="7"/>
  <c r="P3628" i="7"/>
  <c r="O3628" i="7"/>
  <c r="U3627" i="7"/>
  <c r="T3627" i="7"/>
  <c r="S3627" i="7"/>
  <c r="R3627" i="7"/>
  <c r="Q3627" i="7"/>
  <c r="P3627" i="7"/>
  <c r="O3627" i="7"/>
  <c r="U3626" i="7"/>
  <c r="T3626" i="7"/>
  <c r="S3626" i="7"/>
  <c r="R3626" i="7"/>
  <c r="Q3626" i="7"/>
  <c r="P3626" i="7"/>
  <c r="O3626" i="7"/>
  <c r="U3625" i="7"/>
  <c r="T3625" i="7"/>
  <c r="S3625" i="7"/>
  <c r="R3625" i="7"/>
  <c r="Q3625" i="7"/>
  <c r="P3625" i="7"/>
  <c r="O3625" i="7"/>
  <c r="U3624" i="7"/>
  <c r="T3624" i="7"/>
  <c r="S3624" i="7"/>
  <c r="R3624" i="7"/>
  <c r="Q3624" i="7"/>
  <c r="P3624" i="7"/>
  <c r="O3624" i="7"/>
  <c r="U3623" i="7"/>
  <c r="T3623" i="7"/>
  <c r="S3623" i="7"/>
  <c r="R3623" i="7"/>
  <c r="Q3623" i="7"/>
  <c r="P3623" i="7"/>
  <c r="O3623" i="7"/>
  <c r="U3622" i="7"/>
  <c r="T3622" i="7"/>
  <c r="S3622" i="7"/>
  <c r="R3622" i="7"/>
  <c r="Q3622" i="7"/>
  <c r="P3622" i="7"/>
  <c r="O3622" i="7"/>
  <c r="U3621" i="7"/>
  <c r="T3621" i="7"/>
  <c r="S3621" i="7"/>
  <c r="R3621" i="7"/>
  <c r="Q3621" i="7"/>
  <c r="P3621" i="7"/>
  <c r="O3621" i="7"/>
  <c r="U3620" i="7"/>
  <c r="T3620" i="7"/>
  <c r="S3620" i="7"/>
  <c r="R3620" i="7"/>
  <c r="Q3620" i="7"/>
  <c r="P3620" i="7"/>
  <c r="O3620" i="7"/>
  <c r="U3619" i="7"/>
  <c r="T3619" i="7"/>
  <c r="S3619" i="7"/>
  <c r="R3619" i="7"/>
  <c r="Q3619" i="7"/>
  <c r="P3619" i="7"/>
  <c r="O3619" i="7"/>
  <c r="U3618" i="7"/>
  <c r="T3618" i="7"/>
  <c r="S3618" i="7"/>
  <c r="R3618" i="7"/>
  <c r="Q3618" i="7"/>
  <c r="P3618" i="7"/>
  <c r="O3618" i="7"/>
  <c r="U3617" i="7"/>
  <c r="T3617" i="7"/>
  <c r="S3617" i="7"/>
  <c r="R3617" i="7"/>
  <c r="Q3617" i="7"/>
  <c r="P3617" i="7"/>
  <c r="O3617" i="7"/>
  <c r="U3616" i="7"/>
  <c r="T3616" i="7"/>
  <c r="S3616" i="7"/>
  <c r="R3616" i="7"/>
  <c r="Q3616" i="7"/>
  <c r="P3616" i="7"/>
  <c r="O3616" i="7"/>
  <c r="U3615" i="7"/>
  <c r="T3615" i="7"/>
  <c r="S3615" i="7"/>
  <c r="R3615" i="7"/>
  <c r="Q3615" i="7"/>
  <c r="P3615" i="7"/>
  <c r="O3615" i="7"/>
  <c r="U3614" i="7"/>
  <c r="T3614" i="7"/>
  <c r="S3614" i="7"/>
  <c r="R3614" i="7"/>
  <c r="Q3614" i="7"/>
  <c r="P3614" i="7"/>
  <c r="O3614" i="7"/>
  <c r="U3613" i="7"/>
  <c r="T3613" i="7"/>
  <c r="S3613" i="7"/>
  <c r="R3613" i="7"/>
  <c r="Q3613" i="7"/>
  <c r="P3613" i="7"/>
  <c r="O3613" i="7"/>
  <c r="U3612" i="7"/>
  <c r="T3612" i="7"/>
  <c r="S3612" i="7"/>
  <c r="R3612" i="7"/>
  <c r="Q3612" i="7"/>
  <c r="P3612" i="7"/>
  <c r="O3612" i="7"/>
  <c r="U3611" i="7"/>
  <c r="T3611" i="7"/>
  <c r="S3611" i="7"/>
  <c r="R3611" i="7"/>
  <c r="Q3611" i="7"/>
  <c r="P3611" i="7"/>
  <c r="O3611" i="7"/>
  <c r="U3610" i="7"/>
  <c r="T3610" i="7"/>
  <c r="S3610" i="7"/>
  <c r="R3610" i="7"/>
  <c r="Q3610" i="7"/>
  <c r="P3610" i="7"/>
  <c r="O3610" i="7"/>
  <c r="U3609" i="7"/>
  <c r="T3609" i="7"/>
  <c r="S3609" i="7"/>
  <c r="R3609" i="7"/>
  <c r="Q3609" i="7"/>
  <c r="P3609" i="7"/>
  <c r="O3609" i="7"/>
  <c r="U3608" i="7"/>
  <c r="T3608" i="7"/>
  <c r="S3608" i="7"/>
  <c r="R3608" i="7"/>
  <c r="Q3608" i="7"/>
  <c r="P3608" i="7"/>
  <c r="O3608" i="7"/>
  <c r="U3607" i="7"/>
  <c r="T3607" i="7"/>
  <c r="S3607" i="7"/>
  <c r="R3607" i="7"/>
  <c r="Q3607" i="7"/>
  <c r="P3607" i="7"/>
  <c r="O3607" i="7"/>
  <c r="U3606" i="7"/>
  <c r="T3606" i="7"/>
  <c r="S3606" i="7"/>
  <c r="R3606" i="7"/>
  <c r="Q3606" i="7"/>
  <c r="P3606" i="7"/>
  <c r="O3606" i="7"/>
  <c r="U3605" i="7"/>
  <c r="T3605" i="7"/>
  <c r="S3605" i="7"/>
  <c r="R3605" i="7"/>
  <c r="Q3605" i="7"/>
  <c r="P3605" i="7"/>
  <c r="O3605" i="7"/>
  <c r="U3604" i="7"/>
  <c r="T3604" i="7"/>
  <c r="S3604" i="7"/>
  <c r="R3604" i="7"/>
  <c r="Q3604" i="7"/>
  <c r="P3604" i="7"/>
  <c r="O3604" i="7"/>
  <c r="U3603" i="7"/>
  <c r="T3603" i="7"/>
  <c r="S3603" i="7"/>
  <c r="R3603" i="7"/>
  <c r="Q3603" i="7"/>
  <c r="P3603" i="7"/>
  <c r="O3603" i="7"/>
  <c r="U3602" i="7"/>
  <c r="T3602" i="7"/>
  <c r="S3602" i="7"/>
  <c r="R3602" i="7"/>
  <c r="Q3602" i="7"/>
  <c r="P3602" i="7"/>
  <c r="O3602" i="7"/>
  <c r="U3601" i="7"/>
  <c r="T3601" i="7"/>
  <c r="S3601" i="7"/>
  <c r="R3601" i="7"/>
  <c r="Q3601" i="7"/>
  <c r="P3601" i="7"/>
  <c r="O3601" i="7"/>
  <c r="U3600" i="7"/>
  <c r="T3600" i="7"/>
  <c r="S3600" i="7"/>
  <c r="R3600" i="7"/>
  <c r="Q3600" i="7"/>
  <c r="P3600" i="7"/>
  <c r="O3600" i="7"/>
  <c r="U3599" i="7"/>
  <c r="T3599" i="7"/>
  <c r="S3599" i="7"/>
  <c r="R3599" i="7"/>
  <c r="Q3599" i="7"/>
  <c r="P3599" i="7"/>
  <c r="O3599" i="7"/>
  <c r="U3598" i="7"/>
  <c r="T3598" i="7"/>
  <c r="S3598" i="7"/>
  <c r="R3598" i="7"/>
  <c r="Q3598" i="7"/>
  <c r="P3598" i="7"/>
  <c r="O3598" i="7"/>
  <c r="U3597" i="7"/>
  <c r="T3597" i="7"/>
  <c r="S3597" i="7"/>
  <c r="R3597" i="7"/>
  <c r="Q3597" i="7"/>
  <c r="P3597" i="7"/>
  <c r="O3597" i="7"/>
  <c r="U3596" i="7"/>
  <c r="T3596" i="7"/>
  <c r="S3596" i="7"/>
  <c r="R3596" i="7"/>
  <c r="Q3596" i="7"/>
  <c r="P3596" i="7"/>
  <c r="O3596" i="7"/>
  <c r="U3595" i="7"/>
  <c r="T3595" i="7"/>
  <c r="S3595" i="7"/>
  <c r="R3595" i="7"/>
  <c r="Q3595" i="7"/>
  <c r="P3595" i="7"/>
  <c r="O3595" i="7"/>
  <c r="U3594" i="7"/>
  <c r="T3594" i="7"/>
  <c r="S3594" i="7"/>
  <c r="R3594" i="7"/>
  <c r="Q3594" i="7"/>
  <c r="P3594" i="7"/>
  <c r="O3594" i="7"/>
  <c r="U3593" i="7"/>
  <c r="T3593" i="7"/>
  <c r="S3593" i="7"/>
  <c r="R3593" i="7"/>
  <c r="Q3593" i="7"/>
  <c r="P3593" i="7"/>
  <c r="O3593" i="7"/>
  <c r="U3592" i="7"/>
  <c r="T3592" i="7"/>
  <c r="S3592" i="7"/>
  <c r="R3592" i="7"/>
  <c r="Q3592" i="7"/>
  <c r="P3592" i="7"/>
  <c r="O3592" i="7"/>
  <c r="U3591" i="7"/>
  <c r="T3591" i="7"/>
  <c r="S3591" i="7"/>
  <c r="R3591" i="7"/>
  <c r="Q3591" i="7"/>
  <c r="P3591" i="7"/>
  <c r="O3591" i="7"/>
  <c r="U3590" i="7"/>
  <c r="T3590" i="7"/>
  <c r="S3590" i="7"/>
  <c r="R3590" i="7"/>
  <c r="Q3590" i="7"/>
  <c r="P3590" i="7"/>
  <c r="O3590" i="7"/>
  <c r="U3589" i="7"/>
  <c r="T3589" i="7"/>
  <c r="S3589" i="7"/>
  <c r="R3589" i="7"/>
  <c r="Q3589" i="7"/>
  <c r="P3589" i="7"/>
  <c r="O3589" i="7"/>
  <c r="U3588" i="7"/>
  <c r="T3588" i="7"/>
  <c r="S3588" i="7"/>
  <c r="R3588" i="7"/>
  <c r="Q3588" i="7"/>
  <c r="P3588" i="7"/>
  <c r="O3588" i="7"/>
  <c r="U3587" i="7"/>
  <c r="T3587" i="7"/>
  <c r="S3587" i="7"/>
  <c r="R3587" i="7"/>
  <c r="Q3587" i="7"/>
  <c r="P3587" i="7"/>
  <c r="O3587" i="7"/>
  <c r="U3586" i="7"/>
  <c r="T3586" i="7"/>
  <c r="S3586" i="7"/>
  <c r="R3586" i="7"/>
  <c r="Q3586" i="7"/>
  <c r="P3586" i="7"/>
  <c r="O3586" i="7"/>
  <c r="U3585" i="7"/>
  <c r="T3585" i="7"/>
  <c r="S3585" i="7"/>
  <c r="R3585" i="7"/>
  <c r="Q3585" i="7"/>
  <c r="P3585" i="7"/>
  <c r="O3585" i="7"/>
  <c r="U3584" i="7"/>
  <c r="T3584" i="7"/>
  <c r="S3584" i="7"/>
  <c r="R3584" i="7"/>
  <c r="Q3584" i="7"/>
  <c r="P3584" i="7"/>
  <c r="O3584" i="7"/>
  <c r="U3583" i="7"/>
  <c r="T3583" i="7"/>
  <c r="S3583" i="7"/>
  <c r="R3583" i="7"/>
  <c r="Q3583" i="7"/>
  <c r="P3583" i="7"/>
  <c r="O3583" i="7"/>
  <c r="U3582" i="7"/>
  <c r="T3582" i="7"/>
  <c r="S3582" i="7"/>
  <c r="R3582" i="7"/>
  <c r="Q3582" i="7"/>
  <c r="P3582" i="7"/>
  <c r="O3582" i="7"/>
  <c r="U3581" i="7"/>
  <c r="T3581" i="7"/>
  <c r="S3581" i="7"/>
  <c r="R3581" i="7"/>
  <c r="Q3581" i="7"/>
  <c r="P3581" i="7"/>
  <c r="O3581" i="7"/>
  <c r="U3580" i="7"/>
  <c r="T3580" i="7"/>
  <c r="S3580" i="7"/>
  <c r="R3580" i="7"/>
  <c r="Q3580" i="7"/>
  <c r="P3580" i="7"/>
  <c r="O3580" i="7"/>
  <c r="U3579" i="7"/>
  <c r="T3579" i="7"/>
  <c r="S3579" i="7"/>
  <c r="R3579" i="7"/>
  <c r="Q3579" i="7"/>
  <c r="P3579" i="7"/>
  <c r="O3579" i="7"/>
  <c r="U3578" i="7"/>
  <c r="T3578" i="7"/>
  <c r="S3578" i="7"/>
  <c r="R3578" i="7"/>
  <c r="Q3578" i="7"/>
  <c r="P3578" i="7"/>
  <c r="O3578" i="7"/>
  <c r="U3577" i="7"/>
  <c r="T3577" i="7"/>
  <c r="S3577" i="7"/>
  <c r="R3577" i="7"/>
  <c r="Q3577" i="7"/>
  <c r="P3577" i="7"/>
  <c r="O3577" i="7"/>
  <c r="U3576" i="7"/>
  <c r="T3576" i="7"/>
  <c r="S3576" i="7"/>
  <c r="R3576" i="7"/>
  <c r="Q3576" i="7"/>
  <c r="P3576" i="7"/>
  <c r="O3576" i="7"/>
  <c r="U3575" i="7"/>
  <c r="T3575" i="7"/>
  <c r="S3575" i="7"/>
  <c r="R3575" i="7"/>
  <c r="Q3575" i="7"/>
  <c r="P3575" i="7"/>
  <c r="O3575" i="7"/>
  <c r="U3574" i="7"/>
  <c r="T3574" i="7"/>
  <c r="S3574" i="7"/>
  <c r="R3574" i="7"/>
  <c r="Q3574" i="7"/>
  <c r="P3574" i="7"/>
  <c r="O3574" i="7"/>
  <c r="U3573" i="7"/>
  <c r="T3573" i="7"/>
  <c r="S3573" i="7"/>
  <c r="R3573" i="7"/>
  <c r="Q3573" i="7"/>
  <c r="P3573" i="7"/>
  <c r="O3573" i="7"/>
  <c r="U3572" i="7"/>
  <c r="T3572" i="7"/>
  <c r="S3572" i="7"/>
  <c r="R3572" i="7"/>
  <c r="Q3572" i="7"/>
  <c r="P3572" i="7"/>
  <c r="O3572" i="7"/>
  <c r="U3571" i="7"/>
  <c r="T3571" i="7"/>
  <c r="S3571" i="7"/>
  <c r="R3571" i="7"/>
  <c r="Q3571" i="7"/>
  <c r="P3571" i="7"/>
  <c r="O3571" i="7"/>
  <c r="U3570" i="7"/>
  <c r="T3570" i="7"/>
  <c r="S3570" i="7"/>
  <c r="R3570" i="7"/>
  <c r="Q3570" i="7"/>
  <c r="P3570" i="7"/>
  <c r="O3570" i="7"/>
  <c r="U3569" i="7"/>
  <c r="T3569" i="7"/>
  <c r="S3569" i="7"/>
  <c r="R3569" i="7"/>
  <c r="Q3569" i="7"/>
  <c r="P3569" i="7"/>
  <c r="O3569" i="7"/>
  <c r="U3568" i="7"/>
  <c r="T3568" i="7"/>
  <c r="S3568" i="7"/>
  <c r="R3568" i="7"/>
  <c r="Q3568" i="7"/>
  <c r="P3568" i="7"/>
  <c r="O3568" i="7"/>
  <c r="U3567" i="7"/>
  <c r="T3567" i="7"/>
  <c r="S3567" i="7"/>
  <c r="R3567" i="7"/>
  <c r="Q3567" i="7"/>
  <c r="P3567" i="7"/>
  <c r="O3567" i="7"/>
  <c r="U3566" i="7"/>
  <c r="T3566" i="7"/>
  <c r="S3566" i="7"/>
  <c r="R3566" i="7"/>
  <c r="Q3566" i="7"/>
  <c r="P3566" i="7"/>
  <c r="O3566" i="7"/>
  <c r="U3565" i="7"/>
  <c r="T3565" i="7"/>
  <c r="S3565" i="7"/>
  <c r="R3565" i="7"/>
  <c r="Q3565" i="7"/>
  <c r="P3565" i="7"/>
  <c r="O3565" i="7"/>
  <c r="U3564" i="7"/>
  <c r="T3564" i="7"/>
  <c r="S3564" i="7"/>
  <c r="R3564" i="7"/>
  <c r="Q3564" i="7"/>
  <c r="P3564" i="7"/>
  <c r="O3564" i="7"/>
  <c r="U3563" i="7"/>
  <c r="T3563" i="7"/>
  <c r="S3563" i="7"/>
  <c r="R3563" i="7"/>
  <c r="Q3563" i="7"/>
  <c r="P3563" i="7"/>
  <c r="O3563" i="7"/>
  <c r="U3562" i="7"/>
  <c r="T3562" i="7"/>
  <c r="S3562" i="7"/>
  <c r="R3562" i="7"/>
  <c r="Q3562" i="7"/>
  <c r="P3562" i="7"/>
  <c r="O3562" i="7"/>
  <c r="U3561" i="7"/>
  <c r="T3561" i="7"/>
  <c r="S3561" i="7"/>
  <c r="R3561" i="7"/>
  <c r="Q3561" i="7"/>
  <c r="P3561" i="7"/>
  <c r="O3561" i="7"/>
  <c r="U3560" i="7"/>
  <c r="T3560" i="7"/>
  <c r="S3560" i="7"/>
  <c r="R3560" i="7"/>
  <c r="Q3560" i="7"/>
  <c r="P3560" i="7"/>
  <c r="O3560" i="7"/>
  <c r="U3559" i="7"/>
  <c r="T3559" i="7"/>
  <c r="S3559" i="7"/>
  <c r="R3559" i="7"/>
  <c r="Q3559" i="7"/>
  <c r="P3559" i="7"/>
  <c r="O3559" i="7"/>
  <c r="U3558" i="7"/>
  <c r="T3558" i="7"/>
  <c r="S3558" i="7"/>
  <c r="R3558" i="7"/>
  <c r="Q3558" i="7"/>
  <c r="P3558" i="7"/>
  <c r="O3558" i="7"/>
  <c r="U3557" i="7"/>
  <c r="T3557" i="7"/>
  <c r="S3557" i="7"/>
  <c r="R3557" i="7"/>
  <c r="Q3557" i="7"/>
  <c r="P3557" i="7"/>
  <c r="O3557" i="7"/>
  <c r="U3556" i="7"/>
  <c r="T3556" i="7"/>
  <c r="S3556" i="7"/>
  <c r="R3556" i="7"/>
  <c r="Q3556" i="7"/>
  <c r="P3556" i="7"/>
  <c r="O3556" i="7"/>
  <c r="U3555" i="7"/>
  <c r="T3555" i="7"/>
  <c r="S3555" i="7"/>
  <c r="R3555" i="7"/>
  <c r="Q3555" i="7"/>
  <c r="P3555" i="7"/>
  <c r="O3555" i="7"/>
  <c r="U3554" i="7"/>
  <c r="T3554" i="7"/>
  <c r="S3554" i="7"/>
  <c r="R3554" i="7"/>
  <c r="Q3554" i="7"/>
  <c r="P3554" i="7"/>
  <c r="O3554" i="7"/>
  <c r="U3553" i="7"/>
  <c r="T3553" i="7"/>
  <c r="S3553" i="7"/>
  <c r="R3553" i="7"/>
  <c r="Q3553" i="7"/>
  <c r="P3553" i="7"/>
  <c r="O3553" i="7"/>
  <c r="U3552" i="7"/>
  <c r="T3552" i="7"/>
  <c r="S3552" i="7"/>
  <c r="R3552" i="7"/>
  <c r="Q3552" i="7"/>
  <c r="P3552" i="7"/>
  <c r="O3552" i="7"/>
  <c r="U3551" i="7"/>
  <c r="T3551" i="7"/>
  <c r="S3551" i="7"/>
  <c r="R3551" i="7"/>
  <c r="Q3551" i="7"/>
  <c r="P3551" i="7"/>
  <c r="O3551" i="7"/>
  <c r="U3550" i="7"/>
  <c r="T3550" i="7"/>
  <c r="S3550" i="7"/>
  <c r="R3550" i="7"/>
  <c r="Q3550" i="7"/>
  <c r="P3550" i="7"/>
  <c r="O3550" i="7"/>
  <c r="U3549" i="7"/>
  <c r="T3549" i="7"/>
  <c r="S3549" i="7"/>
  <c r="R3549" i="7"/>
  <c r="Q3549" i="7"/>
  <c r="P3549" i="7"/>
  <c r="O3549" i="7"/>
  <c r="U3548" i="7"/>
  <c r="T3548" i="7"/>
  <c r="S3548" i="7"/>
  <c r="R3548" i="7"/>
  <c r="Q3548" i="7"/>
  <c r="P3548" i="7"/>
  <c r="O3548" i="7"/>
  <c r="U3547" i="7"/>
  <c r="T3547" i="7"/>
  <c r="S3547" i="7"/>
  <c r="R3547" i="7"/>
  <c r="Q3547" i="7"/>
  <c r="P3547" i="7"/>
  <c r="O3547" i="7"/>
  <c r="U3546" i="7"/>
  <c r="T3546" i="7"/>
  <c r="S3546" i="7"/>
  <c r="R3546" i="7"/>
  <c r="Q3546" i="7"/>
  <c r="P3546" i="7"/>
  <c r="O3546" i="7"/>
  <c r="U3545" i="7"/>
  <c r="T3545" i="7"/>
  <c r="S3545" i="7"/>
  <c r="R3545" i="7"/>
  <c r="Q3545" i="7"/>
  <c r="P3545" i="7"/>
  <c r="O3545" i="7"/>
  <c r="U3544" i="7"/>
  <c r="T3544" i="7"/>
  <c r="S3544" i="7"/>
  <c r="R3544" i="7"/>
  <c r="Q3544" i="7"/>
  <c r="P3544" i="7"/>
  <c r="O3544" i="7"/>
  <c r="U3543" i="7"/>
  <c r="T3543" i="7"/>
  <c r="S3543" i="7"/>
  <c r="R3543" i="7"/>
  <c r="Q3543" i="7"/>
  <c r="P3543" i="7"/>
  <c r="O3543" i="7"/>
  <c r="U3542" i="7"/>
  <c r="T3542" i="7"/>
  <c r="S3542" i="7"/>
  <c r="R3542" i="7"/>
  <c r="Q3542" i="7"/>
  <c r="P3542" i="7"/>
  <c r="O3542" i="7"/>
  <c r="U3541" i="7"/>
  <c r="T3541" i="7"/>
  <c r="S3541" i="7"/>
  <c r="R3541" i="7"/>
  <c r="Q3541" i="7"/>
  <c r="P3541" i="7"/>
  <c r="O3541" i="7"/>
  <c r="U3540" i="7"/>
  <c r="T3540" i="7"/>
  <c r="S3540" i="7"/>
  <c r="R3540" i="7"/>
  <c r="Q3540" i="7"/>
  <c r="P3540" i="7"/>
  <c r="O3540" i="7"/>
  <c r="U3539" i="7"/>
  <c r="T3539" i="7"/>
  <c r="S3539" i="7"/>
  <c r="R3539" i="7"/>
  <c r="Q3539" i="7"/>
  <c r="P3539" i="7"/>
  <c r="O3539" i="7"/>
  <c r="U3538" i="7"/>
  <c r="T3538" i="7"/>
  <c r="S3538" i="7"/>
  <c r="R3538" i="7"/>
  <c r="Q3538" i="7"/>
  <c r="P3538" i="7"/>
  <c r="O3538" i="7"/>
  <c r="U3537" i="7"/>
  <c r="T3537" i="7"/>
  <c r="S3537" i="7"/>
  <c r="R3537" i="7"/>
  <c r="Q3537" i="7"/>
  <c r="P3537" i="7"/>
  <c r="O3537" i="7"/>
  <c r="U3536" i="7"/>
  <c r="T3536" i="7"/>
  <c r="S3536" i="7"/>
  <c r="R3536" i="7"/>
  <c r="Q3536" i="7"/>
  <c r="P3536" i="7"/>
  <c r="O3536" i="7"/>
  <c r="U3535" i="7"/>
  <c r="T3535" i="7"/>
  <c r="S3535" i="7"/>
  <c r="R3535" i="7"/>
  <c r="Q3535" i="7"/>
  <c r="P3535" i="7"/>
  <c r="O3535" i="7"/>
  <c r="U3534" i="7"/>
  <c r="T3534" i="7"/>
  <c r="S3534" i="7"/>
  <c r="R3534" i="7"/>
  <c r="Q3534" i="7"/>
  <c r="P3534" i="7"/>
  <c r="O3534" i="7"/>
  <c r="U3533" i="7"/>
  <c r="T3533" i="7"/>
  <c r="S3533" i="7"/>
  <c r="R3533" i="7"/>
  <c r="Q3533" i="7"/>
  <c r="P3533" i="7"/>
  <c r="O3533" i="7"/>
  <c r="U3532" i="7"/>
  <c r="T3532" i="7"/>
  <c r="S3532" i="7"/>
  <c r="R3532" i="7"/>
  <c r="Q3532" i="7"/>
  <c r="P3532" i="7"/>
  <c r="O3532" i="7"/>
  <c r="U3531" i="7"/>
  <c r="T3531" i="7"/>
  <c r="S3531" i="7"/>
  <c r="R3531" i="7"/>
  <c r="Q3531" i="7"/>
  <c r="P3531" i="7"/>
  <c r="O3531" i="7"/>
  <c r="U3530" i="7"/>
  <c r="T3530" i="7"/>
  <c r="S3530" i="7"/>
  <c r="R3530" i="7"/>
  <c r="Q3530" i="7"/>
  <c r="P3530" i="7"/>
  <c r="O3530" i="7"/>
  <c r="U3529" i="7"/>
  <c r="T3529" i="7"/>
  <c r="S3529" i="7"/>
  <c r="R3529" i="7"/>
  <c r="Q3529" i="7"/>
  <c r="P3529" i="7"/>
  <c r="O3529" i="7"/>
  <c r="U3528" i="7"/>
  <c r="T3528" i="7"/>
  <c r="S3528" i="7"/>
  <c r="R3528" i="7"/>
  <c r="Q3528" i="7"/>
  <c r="P3528" i="7"/>
  <c r="O3528" i="7"/>
  <c r="U3527" i="7"/>
  <c r="T3527" i="7"/>
  <c r="S3527" i="7"/>
  <c r="R3527" i="7"/>
  <c r="Q3527" i="7"/>
  <c r="P3527" i="7"/>
  <c r="O3527" i="7"/>
  <c r="U3526" i="7"/>
  <c r="T3526" i="7"/>
  <c r="S3526" i="7"/>
  <c r="R3526" i="7"/>
  <c r="Q3526" i="7"/>
  <c r="P3526" i="7"/>
  <c r="O3526" i="7"/>
  <c r="U3525" i="7"/>
  <c r="T3525" i="7"/>
  <c r="S3525" i="7"/>
  <c r="R3525" i="7"/>
  <c r="Q3525" i="7"/>
  <c r="P3525" i="7"/>
  <c r="O3525" i="7"/>
  <c r="U3524" i="7"/>
  <c r="T3524" i="7"/>
  <c r="S3524" i="7"/>
  <c r="R3524" i="7"/>
  <c r="Q3524" i="7"/>
  <c r="P3524" i="7"/>
  <c r="O3524" i="7"/>
  <c r="U3523" i="7"/>
  <c r="T3523" i="7"/>
  <c r="S3523" i="7"/>
  <c r="R3523" i="7"/>
  <c r="Q3523" i="7"/>
  <c r="P3523" i="7"/>
  <c r="O3523" i="7"/>
  <c r="U3522" i="7"/>
  <c r="T3522" i="7"/>
  <c r="S3522" i="7"/>
  <c r="R3522" i="7"/>
  <c r="Q3522" i="7"/>
  <c r="P3522" i="7"/>
  <c r="O3522" i="7"/>
  <c r="U3521" i="7"/>
  <c r="T3521" i="7"/>
  <c r="S3521" i="7"/>
  <c r="R3521" i="7"/>
  <c r="Q3521" i="7"/>
  <c r="P3521" i="7"/>
  <c r="O3521" i="7"/>
  <c r="U3520" i="7"/>
  <c r="T3520" i="7"/>
  <c r="S3520" i="7"/>
  <c r="R3520" i="7"/>
  <c r="Q3520" i="7"/>
  <c r="P3520" i="7"/>
  <c r="O3520" i="7"/>
  <c r="U3519" i="7"/>
  <c r="T3519" i="7"/>
  <c r="S3519" i="7"/>
  <c r="R3519" i="7"/>
  <c r="Q3519" i="7"/>
  <c r="P3519" i="7"/>
  <c r="O3519" i="7"/>
  <c r="U3518" i="7"/>
  <c r="T3518" i="7"/>
  <c r="S3518" i="7"/>
  <c r="R3518" i="7"/>
  <c r="Q3518" i="7"/>
  <c r="P3518" i="7"/>
  <c r="O3518" i="7"/>
  <c r="U3517" i="7"/>
  <c r="T3517" i="7"/>
  <c r="S3517" i="7"/>
  <c r="R3517" i="7"/>
  <c r="Q3517" i="7"/>
  <c r="P3517" i="7"/>
  <c r="O3517" i="7"/>
  <c r="U3516" i="7"/>
  <c r="T3516" i="7"/>
  <c r="S3516" i="7"/>
  <c r="R3516" i="7"/>
  <c r="Q3516" i="7"/>
  <c r="P3516" i="7"/>
  <c r="O3516" i="7"/>
  <c r="U3515" i="7"/>
  <c r="T3515" i="7"/>
  <c r="S3515" i="7"/>
  <c r="R3515" i="7"/>
  <c r="Q3515" i="7"/>
  <c r="P3515" i="7"/>
  <c r="O3515" i="7"/>
  <c r="U3514" i="7"/>
  <c r="T3514" i="7"/>
  <c r="S3514" i="7"/>
  <c r="R3514" i="7"/>
  <c r="Q3514" i="7"/>
  <c r="P3514" i="7"/>
  <c r="O3514" i="7"/>
  <c r="U3513" i="7"/>
  <c r="T3513" i="7"/>
  <c r="S3513" i="7"/>
  <c r="R3513" i="7"/>
  <c r="Q3513" i="7"/>
  <c r="P3513" i="7"/>
  <c r="O3513" i="7"/>
  <c r="U3512" i="7"/>
  <c r="T3512" i="7"/>
  <c r="S3512" i="7"/>
  <c r="R3512" i="7"/>
  <c r="Q3512" i="7"/>
  <c r="P3512" i="7"/>
  <c r="O3512" i="7"/>
  <c r="U3511" i="7"/>
  <c r="T3511" i="7"/>
  <c r="S3511" i="7"/>
  <c r="R3511" i="7"/>
  <c r="Q3511" i="7"/>
  <c r="P3511" i="7"/>
  <c r="O3511" i="7"/>
  <c r="U3510" i="7"/>
  <c r="T3510" i="7"/>
  <c r="S3510" i="7"/>
  <c r="R3510" i="7"/>
  <c r="Q3510" i="7"/>
  <c r="P3510" i="7"/>
  <c r="O3510" i="7"/>
  <c r="U3509" i="7"/>
  <c r="T3509" i="7"/>
  <c r="S3509" i="7"/>
  <c r="R3509" i="7"/>
  <c r="Q3509" i="7"/>
  <c r="P3509" i="7"/>
  <c r="O3509" i="7"/>
  <c r="U3508" i="7"/>
  <c r="T3508" i="7"/>
  <c r="S3508" i="7"/>
  <c r="R3508" i="7"/>
  <c r="Q3508" i="7"/>
  <c r="P3508" i="7"/>
  <c r="O3508" i="7"/>
  <c r="U3507" i="7"/>
  <c r="T3507" i="7"/>
  <c r="S3507" i="7"/>
  <c r="R3507" i="7"/>
  <c r="Q3507" i="7"/>
  <c r="P3507" i="7"/>
  <c r="O3507" i="7"/>
  <c r="U3506" i="7"/>
  <c r="T3506" i="7"/>
  <c r="S3506" i="7"/>
  <c r="R3506" i="7"/>
  <c r="Q3506" i="7"/>
  <c r="P3506" i="7"/>
  <c r="O3506" i="7"/>
  <c r="U3505" i="7"/>
  <c r="T3505" i="7"/>
  <c r="S3505" i="7"/>
  <c r="R3505" i="7"/>
  <c r="Q3505" i="7"/>
  <c r="P3505" i="7"/>
  <c r="O3505" i="7"/>
  <c r="U3504" i="7"/>
  <c r="T3504" i="7"/>
  <c r="S3504" i="7"/>
  <c r="R3504" i="7"/>
  <c r="Q3504" i="7"/>
  <c r="P3504" i="7"/>
  <c r="O3504" i="7"/>
  <c r="U3503" i="7"/>
  <c r="T3503" i="7"/>
  <c r="S3503" i="7"/>
  <c r="R3503" i="7"/>
  <c r="Q3503" i="7"/>
  <c r="P3503" i="7"/>
  <c r="O3503" i="7"/>
  <c r="U3502" i="7"/>
  <c r="T3502" i="7"/>
  <c r="S3502" i="7"/>
  <c r="R3502" i="7"/>
  <c r="Q3502" i="7"/>
  <c r="P3502" i="7"/>
  <c r="O3502" i="7"/>
  <c r="U3501" i="7"/>
  <c r="T3501" i="7"/>
  <c r="S3501" i="7"/>
  <c r="R3501" i="7"/>
  <c r="Q3501" i="7"/>
  <c r="P3501" i="7"/>
  <c r="O3501" i="7"/>
  <c r="U3500" i="7"/>
  <c r="T3500" i="7"/>
  <c r="S3500" i="7"/>
  <c r="R3500" i="7"/>
  <c r="Q3500" i="7"/>
  <c r="P3500" i="7"/>
  <c r="O3500" i="7"/>
  <c r="U3499" i="7"/>
  <c r="T3499" i="7"/>
  <c r="S3499" i="7"/>
  <c r="R3499" i="7"/>
  <c r="Q3499" i="7"/>
  <c r="P3499" i="7"/>
  <c r="O3499" i="7"/>
  <c r="U3498" i="7"/>
  <c r="T3498" i="7"/>
  <c r="S3498" i="7"/>
  <c r="R3498" i="7"/>
  <c r="Q3498" i="7"/>
  <c r="P3498" i="7"/>
  <c r="O3498" i="7"/>
  <c r="U3497" i="7"/>
  <c r="T3497" i="7"/>
  <c r="S3497" i="7"/>
  <c r="R3497" i="7"/>
  <c r="Q3497" i="7"/>
  <c r="P3497" i="7"/>
  <c r="O3497" i="7"/>
  <c r="U3496" i="7"/>
  <c r="T3496" i="7"/>
  <c r="S3496" i="7"/>
  <c r="R3496" i="7"/>
  <c r="Q3496" i="7"/>
  <c r="P3496" i="7"/>
  <c r="O3496" i="7"/>
  <c r="U3495" i="7"/>
  <c r="T3495" i="7"/>
  <c r="S3495" i="7"/>
  <c r="R3495" i="7"/>
  <c r="Q3495" i="7"/>
  <c r="P3495" i="7"/>
  <c r="O3495" i="7"/>
  <c r="U3494" i="7"/>
  <c r="T3494" i="7"/>
  <c r="S3494" i="7"/>
  <c r="R3494" i="7"/>
  <c r="Q3494" i="7"/>
  <c r="P3494" i="7"/>
  <c r="O3494" i="7"/>
  <c r="U3493" i="7"/>
  <c r="T3493" i="7"/>
  <c r="S3493" i="7"/>
  <c r="R3493" i="7"/>
  <c r="Q3493" i="7"/>
  <c r="P3493" i="7"/>
  <c r="O3493" i="7"/>
  <c r="U3492" i="7"/>
  <c r="T3492" i="7"/>
  <c r="S3492" i="7"/>
  <c r="R3492" i="7"/>
  <c r="Q3492" i="7"/>
  <c r="P3492" i="7"/>
  <c r="O3492" i="7"/>
  <c r="U3491" i="7"/>
  <c r="T3491" i="7"/>
  <c r="S3491" i="7"/>
  <c r="R3491" i="7"/>
  <c r="Q3491" i="7"/>
  <c r="P3491" i="7"/>
  <c r="O3491" i="7"/>
  <c r="U3490" i="7"/>
  <c r="T3490" i="7"/>
  <c r="S3490" i="7"/>
  <c r="R3490" i="7"/>
  <c r="Q3490" i="7"/>
  <c r="P3490" i="7"/>
  <c r="O3490" i="7"/>
  <c r="U3489" i="7"/>
  <c r="T3489" i="7"/>
  <c r="S3489" i="7"/>
  <c r="R3489" i="7"/>
  <c r="Q3489" i="7"/>
  <c r="P3489" i="7"/>
  <c r="O3489" i="7"/>
  <c r="U3488" i="7"/>
  <c r="T3488" i="7"/>
  <c r="S3488" i="7"/>
  <c r="R3488" i="7"/>
  <c r="Q3488" i="7"/>
  <c r="P3488" i="7"/>
  <c r="O3488" i="7"/>
  <c r="U3487" i="7"/>
  <c r="T3487" i="7"/>
  <c r="S3487" i="7"/>
  <c r="R3487" i="7"/>
  <c r="Q3487" i="7"/>
  <c r="P3487" i="7"/>
  <c r="O3487" i="7"/>
  <c r="U3486" i="7"/>
  <c r="T3486" i="7"/>
  <c r="S3486" i="7"/>
  <c r="R3486" i="7"/>
  <c r="Q3486" i="7"/>
  <c r="P3486" i="7"/>
  <c r="O3486" i="7"/>
  <c r="U3485" i="7"/>
  <c r="T3485" i="7"/>
  <c r="S3485" i="7"/>
  <c r="R3485" i="7"/>
  <c r="Q3485" i="7"/>
  <c r="P3485" i="7"/>
  <c r="O3485" i="7"/>
  <c r="U3484" i="7"/>
  <c r="T3484" i="7"/>
  <c r="S3484" i="7"/>
  <c r="R3484" i="7"/>
  <c r="Q3484" i="7"/>
  <c r="P3484" i="7"/>
  <c r="O3484" i="7"/>
  <c r="U3483" i="7"/>
  <c r="T3483" i="7"/>
  <c r="S3483" i="7"/>
  <c r="R3483" i="7"/>
  <c r="Q3483" i="7"/>
  <c r="P3483" i="7"/>
  <c r="O3483" i="7"/>
  <c r="U3482" i="7"/>
  <c r="T3482" i="7"/>
  <c r="S3482" i="7"/>
  <c r="R3482" i="7"/>
  <c r="Q3482" i="7"/>
  <c r="P3482" i="7"/>
  <c r="O3482" i="7"/>
  <c r="U3481" i="7"/>
  <c r="T3481" i="7"/>
  <c r="S3481" i="7"/>
  <c r="R3481" i="7"/>
  <c r="Q3481" i="7"/>
  <c r="P3481" i="7"/>
  <c r="O3481" i="7"/>
  <c r="U3480" i="7"/>
  <c r="T3480" i="7"/>
  <c r="S3480" i="7"/>
  <c r="R3480" i="7"/>
  <c r="Q3480" i="7"/>
  <c r="P3480" i="7"/>
  <c r="O3480" i="7"/>
  <c r="U3479" i="7"/>
  <c r="T3479" i="7"/>
  <c r="S3479" i="7"/>
  <c r="R3479" i="7"/>
  <c r="Q3479" i="7"/>
  <c r="P3479" i="7"/>
  <c r="O3479" i="7"/>
  <c r="U3478" i="7"/>
  <c r="T3478" i="7"/>
  <c r="S3478" i="7"/>
  <c r="R3478" i="7"/>
  <c r="Q3478" i="7"/>
  <c r="P3478" i="7"/>
  <c r="O3478" i="7"/>
  <c r="U3477" i="7"/>
  <c r="T3477" i="7"/>
  <c r="S3477" i="7"/>
  <c r="R3477" i="7"/>
  <c r="Q3477" i="7"/>
  <c r="P3477" i="7"/>
  <c r="O3477" i="7"/>
  <c r="U3476" i="7"/>
  <c r="T3476" i="7"/>
  <c r="S3476" i="7"/>
  <c r="R3476" i="7"/>
  <c r="Q3476" i="7"/>
  <c r="P3476" i="7"/>
  <c r="O3476" i="7"/>
  <c r="U3475" i="7"/>
  <c r="T3475" i="7"/>
  <c r="S3475" i="7"/>
  <c r="R3475" i="7"/>
  <c r="Q3475" i="7"/>
  <c r="P3475" i="7"/>
  <c r="O3475" i="7"/>
  <c r="U3474" i="7"/>
  <c r="T3474" i="7"/>
  <c r="S3474" i="7"/>
  <c r="R3474" i="7"/>
  <c r="Q3474" i="7"/>
  <c r="P3474" i="7"/>
  <c r="O3474" i="7"/>
  <c r="U3473" i="7"/>
  <c r="T3473" i="7"/>
  <c r="S3473" i="7"/>
  <c r="R3473" i="7"/>
  <c r="Q3473" i="7"/>
  <c r="P3473" i="7"/>
  <c r="O3473" i="7"/>
  <c r="U3472" i="7"/>
  <c r="T3472" i="7"/>
  <c r="S3472" i="7"/>
  <c r="R3472" i="7"/>
  <c r="Q3472" i="7"/>
  <c r="P3472" i="7"/>
  <c r="O3472" i="7"/>
  <c r="U3471" i="7"/>
  <c r="T3471" i="7"/>
  <c r="S3471" i="7"/>
  <c r="R3471" i="7"/>
  <c r="Q3471" i="7"/>
  <c r="P3471" i="7"/>
  <c r="O3471" i="7"/>
  <c r="U3470" i="7"/>
  <c r="T3470" i="7"/>
  <c r="S3470" i="7"/>
  <c r="R3470" i="7"/>
  <c r="Q3470" i="7"/>
  <c r="P3470" i="7"/>
  <c r="O3470" i="7"/>
  <c r="U3469" i="7"/>
  <c r="T3469" i="7"/>
  <c r="S3469" i="7"/>
  <c r="R3469" i="7"/>
  <c r="Q3469" i="7"/>
  <c r="P3469" i="7"/>
  <c r="O3469" i="7"/>
  <c r="U3468" i="7"/>
  <c r="T3468" i="7"/>
  <c r="S3468" i="7"/>
  <c r="R3468" i="7"/>
  <c r="Q3468" i="7"/>
  <c r="P3468" i="7"/>
  <c r="O3468" i="7"/>
  <c r="U3467" i="7"/>
  <c r="T3467" i="7"/>
  <c r="S3467" i="7"/>
  <c r="R3467" i="7"/>
  <c r="Q3467" i="7"/>
  <c r="P3467" i="7"/>
  <c r="O3467" i="7"/>
  <c r="U3466" i="7"/>
  <c r="T3466" i="7"/>
  <c r="S3466" i="7"/>
  <c r="R3466" i="7"/>
  <c r="Q3466" i="7"/>
  <c r="P3466" i="7"/>
  <c r="O3466" i="7"/>
  <c r="U3465" i="7"/>
  <c r="T3465" i="7"/>
  <c r="S3465" i="7"/>
  <c r="R3465" i="7"/>
  <c r="Q3465" i="7"/>
  <c r="P3465" i="7"/>
  <c r="O3465" i="7"/>
  <c r="U3464" i="7"/>
  <c r="T3464" i="7"/>
  <c r="S3464" i="7"/>
  <c r="R3464" i="7"/>
  <c r="Q3464" i="7"/>
  <c r="P3464" i="7"/>
  <c r="O3464" i="7"/>
  <c r="U3463" i="7"/>
  <c r="T3463" i="7"/>
  <c r="S3463" i="7"/>
  <c r="R3463" i="7"/>
  <c r="Q3463" i="7"/>
  <c r="P3463" i="7"/>
  <c r="O3463" i="7"/>
  <c r="U3462" i="7"/>
  <c r="T3462" i="7"/>
  <c r="S3462" i="7"/>
  <c r="R3462" i="7"/>
  <c r="Q3462" i="7"/>
  <c r="P3462" i="7"/>
  <c r="O3462" i="7"/>
  <c r="U3461" i="7"/>
  <c r="T3461" i="7"/>
  <c r="S3461" i="7"/>
  <c r="R3461" i="7"/>
  <c r="Q3461" i="7"/>
  <c r="P3461" i="7"/>
  <c r="O3461" i="7"/>
  <c r="U3460" i="7"/>
  <c r="T3460" i="7"/>
  <c r="S3460" i="7"/>
  <c r="R3460" i="7"/>
  <c r="Q3460" i="7"/>
  <c r="P3460" i="7"/>
  <c r="O3460" i="7"/>
  <c r="U3459" i="7"/>
  <c r="T3459" i="7"/>
  <c r="S3459" i="7"/>
  <c r="R3459" i="7"/>
  <c r="Q3459" i="7"/>
  <c r="P3459" i="7"/>
  <c r="O3459" i="7"/>
  <c r="U3458" i="7"/>
  <c r="T3458" i="7"/>
  <c r="S3458" i="7"/>
  <c r="R3458" i="7"/>
  <c r="Q3458" i="7"/>
  <c r="P3458" i="7"/>
  <c r="O3458" i="7"/>
  <c r="U3457" i="7"/>
  <c r="T3457" i="7"/>
  <c r="S3457" i="7"/>
  <c r="R3457" i="7"/>
  <c r="Q3457" i="7"/>
  <c r="P3457" i="7"/>
  <c r="O3457" i="7"/>
  <c r="U3456" i="7"/>
  <c r="T3456" i="7"/>
  <c r="S3456" i="7"/>
  <c r="R3456" i="7"/>
  <c r="Q3456" i="7"/>
  <c r="P3456" i="7"/>
  <c r="O3456" i="7"/>
  <c r="U3455" i="7"/>
  <c r="T3455" i="7"/>
  <c r="S3455" i="7"/>
  <c r="R3455" i="7"/>
  <c r="Q3455" i="7"/>
  <c r="P3455" i="7"/>
  <c r="O3455" i="7"/>
  <c r="U3454" i="7"/>
  <c r="T3454" i="7"/>
  <c r="S3454" i="7"/>
  <c r="R3454" i="7"/>
  <c r="Q3454" i="7"/>
  <c r="P3454" i="7"/>
  <c r="O3454" i="7"/>
  <c r="U3453" i="7"/>
  <c r="T3453" i="7"/>
  <c r="S3453" i="7"/>
  <c r="R3453" i="7"/>
  <c r="Q3453" i="7"/>
  <c r="P3453" i="7"/>
  <c r="O3453" i="7"/>
  <c r="U3452" i="7"/>
  <c r="T3452" i="7"/>
  <c r="S3452" i="7"/>
  <c r="R3452" i="7"/>
  <c r="Q3452" i="7"/>
  <c r="P3452" i="7"/>
  <c r="O3452" i="7"/>
  <c r="U3451" i="7"/>
  <c r="T3451" i="7"/>
  <c r="S3451" i="7"/>
  <c r="R3451" i="7"/>
  <c r="Q3451" i="7"/>
  <c r="P3451" i="7"/>
  <c r="O3451" i="7"/>
  <c r="U3450" i="7"/>
  <c r="T3450" i="7"/>
  <c r="S3450" i="7"/>
  <c r="R3450" i="7"/>
  <c r="Q3450" i="7"/>
  <c r="P3450" i="7"/>
  <c r="O3450" i="7"/>
  <c r="U3449" i="7"/>
  <c r="T3449" i="7"/>
  <c r="S3449" i="7"/>
  <c r="R3449" i="7"/>
  <c r="Q3449" i="7"/>
  <c r="P3449" i="7"/>
  <c r="O3449" i="7"/>
  <c r="U3448" i="7"/>
  <c r="T3448" i="7"/>
  <c r="S3448" i="7"/>
  <c r="R3448" i="7"/>
  <c r="Q3448" i="7"/>
  <c r="P3448" i="7"/>
  <c r="O3448" i="7"/>
  <c r="U3447" i="7"/>
  <c r="T3447" i="7"/>
  <c r="S3447" i="7"/>
  <c r="R3447" i="7"/>
  <c r="Q3447" i="7"/>
  <c r="P3447" i="7"/>
  <c r="O3447" i="7"/>
  <c r="U3446" i="7"/>
  <c r="T3446" i="7"/>
  <c r="S3446" i="7"/>
  <c r="R3446" i="7"/>
  <c r="Q3446" i="7"/>
  <c r="P3446" i="7"/>
  <c r="O3446" i="7"/>
  <c r="U3445" i="7"/>
  <c r="T3445" i="7"/>
  <c r="S3445" i="7"/>
  <c r="R3445" i="7"/>
  <c r="Q3445" i="7"/>
  <c r="P3445" i="7"/>
  <c r="O3445" i="7"/>
  <c r="U3444" i="7"/>
  <c r="T3444" i="7"/>
  <c r="S3444" i="7"/>
  <c r="R3444" i="7"/>
  <c r="Q3444" i="7"/>
  <c r="P3444" i="7"/>
  <c r="O3444" i="7"/>
  <c r="U3443" i="7"/>
  <c r="T3443" i="7"/>
  <c r="S3443" i="7"/>
  <c r="R3443" i="7"/>
  <c r="Q3443" i="7"/>
  <c r="P3443" i="7"/>
  <c r="O3443" i="7"/>
  <c r="U3442" i="7"/>
  <c r="T3442" i="7"/>
  <c r="S3442" i="7"/>
  <c r="R3442" i="7"/>
  <c r="Q3442" i="7"/>
  <c r="P3442" i="7"/>
  <c r="O3442" i="7"/>
  <c r="U3441" i="7"/>
  <c r="T3441" i="7"/>
  <c r="S3441" i="7"/>
  <c r="R3441" i="7"/>
  <c r="Q3441" i="7"/>
  <c r="P3441" i="7"/>
  <c r="O3441" i="7"/>
  <c r="U3440" i="7"/>
  <c r="T3440" i="7"/>
  <c r="S3440" i="7"/>
  <c r="R3440" i="7"/>
  <c r="Q3440" i="7"/>
  <c r="P3440" i="7"/>
  <c r="O3440" i="7"/>
  <c r="U3439" i="7"/>
  <c r="T3439" i="7"/>
  <c r="S3439" i="7"/>
  <c r="R3439" i="7"/>
  <c r="Q3439" i="7"/>
  <c r="P3439" i="7"/>
  <c r="O3439" i="7"/>
  <c r="U3438" i="7"/>
  <c r="T3438" i="7"/>
  <c r="S3438" i="7"/>
  <c r="R3438" i="7"/>
  <c r="Q3438" i="7"/>
  <c r="P3438" i="7"/>
  <c r="O3438" i="7"/>
  <c r="U3437" i="7"/>
  <c r="T3437" i="7"/>
  <c r="S3437" i="7"/>
  <c r="R3437" i="7"/>
  <c r="Q3437" i="7"/>
  <c r="P3437" i="7"/>
  <c r="O3437" i="7"/>
  <c r="U3436" i="7"/>
  <c r="T3436" i="7"/>
  <c r="S3436" i="7"/>
  <c r="R3436" i="7"/>
  <c r="Q3436" i="7"/>
  <c r="P3436" i="7"/>
  <c r="O3436" i="7"/>
  <c r="U3435" i="7"/>
  <c r="T3435" i="7"/>
  <c r="S3435" i="7"/>
  <c r="R3435" i="7"/>
  <c r="Q3435" i="7"/>
  <c r="P3435" i="7"/>
  <c r="O3435" i="7"/>
  <c r="U3434" i="7"/>
  <c r="T3434" i="7"/>
  <c r="S3434" i="7"/>
  <c r="R3434" i="7"/>
  <c r="Q3434" i="7"/>
  <c r="P3434" i="7"/>
  <c r="O3434" i="7"/>
  <c r="U3433" i="7"/>
  <c r="T3433" i="7"/>
  <c r="S3433" i="7"/>
  <c r="R3433" i="7"/>
  <c r="Q3433" i="7"/>
  <c r="P3433" i="7"/>
  <c r="O3433" i="7"/>
  <c r="U3432" i="7"/>
  <c r="T3432" i="7"/>
  <c r="S3432" i="7"/>
  <c r="R3432" i="7"/>
  <c r="Q3432" i="7"/>
  <c r="P3432" i="7"/>
  <c r="O3432" i="7"/>
  <c r="U3431" i="7"/>
  <c r="T3431" i="7"/>
  <c r="S3431" i="7"/>
  <c r="R3431" i="7"/>
  <c r="Q3431" i="7"/>
  <c r="P3431" i="7"/>
  <c r="O3431" i="7"/>
  <c r="U3430" i="7"/>
  <c r="T3430" i="7"/>
  <c r="S3430" i="7"/>
  <c r="R3430" i="7"/>
  <c r="Q3430" i="7"/>
  <c r="P3430" i="7"/>
  <c r="O3430" i="7"/>
  <c r="U3429" i="7"/>
  <c r="T3429" i="7"/>
  <c r="S3429" i="7"/>
  <c r="R3429" i="7"/>
  <c r="Q3429" i="7"/>
  <c r="P3429" i="7"/>
  <c r="O3429" i="7"/>
  <c r="U3428" i="7"/>
  <c r="T3428" i="7"/>
  <c r="S3428" i="7"/>
  <c r="R3428" i="7"/>
  <c r="Q3428" i="7"/>
  <c r="P3428" i="7"/>
  <c r="O3428" i="7"/>
  <c r="U3427" i="7"/>
  <c r="T3427" i="7"/>
  <c r="S3427" i="7"/>
  <c r="R3427" i="7"/>
  <c r="Q3427" i="7"/>
  <c r="P3427" i="7"/>
  <c r="O3427" i="7"/>
  <c r="U3426" i="7"/>
  <c r="T3426" i="7"/>
  <c r="S3426" i="7"/>
  <c r="R3426" i="7"/>
  <c r="Q3426" i="7"/>
  <c r="P3426" i="7"/>
  <c r="O3426" i="7"/>
  <c r="U3425" i="7"/>
  <c r="T3425" i="7"/>
  <c r="S3425" i="7"/>
  <c r="R3425" i="7"/>
  <c r="Q3425" i="7"/>
  <c r="P3425" i="7"/>
  <c r="O3425" i="7"/>
  <c r="U3424" i="7"/>
  <c r="T3424" i="7"/>
  <c r="S3424" i="7"/>
  <c r="R3424" i="7"/>
  <c r="Q3424" i="7"/>
  <c r="P3424" i="7"/>
  <c r="O3424" i="7"/>
  <c r="U3423" i="7"/>
  <c r="T3423" i="7"/>
  <c r="S3423" i="7"/>
  <c r="R3423" i="7"/>
  <c r="Q3423" i="7"/>
  <c r="P3423" i="7"/>
  <c r="O3423" i="7"/>
  <c r="U3422" i="7"/>
  <c r="T3422" i="7"/>
  <c r="S3422" i="7"/>
  <c r="R3422" i="7"/>
  <c r="Q3422" i="7"/>
  <c r="P3422" i="7"/>
  <c r="O3422" i="7"/>
  <c r="U3421" i="7"/>
  <c r="T3421" i="7"/>
  <c r="S3421" i="7"/>
  <c r="R3421" i="7"/>
  <c r="Q3421" i="7"/>
  <c r="P3421" i="7"/>
  <c r="O3421" i="7"/>
  <c r="U3420" i="7"/>
  <c r="T3420" i="7"/>
  <c r="S3420" i="7"/>
  <c r="R3420" i="7"/>
  <c r="Q3420" i="7"/>
  <c r="P3420" i="7"/>
  <c r="O3420" i="7"/>
  <c r="U3419" i="7"/>
  <c r="T3419" i="7"/>
  <c r="S3419" i="7"/>
  <c r="R3419" i="7"/>
  <c r="Q3419" i="7"/>
  <c r="P3419" i="7"/>
  <c r="O3419" i="7"/>
  <c r="U3418" i="7"/>
  <c r="T3418" i="7"/>
  <c r="S3418" i="7"/>
  <c r="R3418" i="7"/>
  <c r="Q3418" i="7"/>
  <c r="P3418" i="7"/>
  <c r="O3418" i="7"/>
  <c r="U3417" i="7"/>
  <c r="T3417" i="7"/>
  <c r="S3417" i="7"/>
  <c r="R3417" i="7"/>
  <c r="Q3417" i="7"/>
  <c r="P3417" i="7"/>
  <c r="O3417" i="7"/>
  <c r="U3416" i="7"/>
  <c r="T3416" i="7"/>
  <c r="S3416" i="7"/>
  <c r="R3416" i="7"/>
  <c r="Q3416" i="7"/>
  <c r="P3416" i="7"/>
  <c r="O3416" i="7"/>
  <c r="U3415" i="7"/>
  <c r="T3415" i="7"/>
  <c r="S3415" i="7"/>
  <c r="R3415" i="7"/>
  <c r="Q3415" i="7"/>
  <c r="P3415" i="7"/>
  <c r="O3415" i="7"/>
  <c r="U3414" i="7"/>
  <c r="T3414" i="7"/>
  <c r="S3414" i="7"/>
  <c r="R3414" i="7"/>
  <c r="Q3414" i="7"/>
  <c r="P3414" i="7"/>
  <c r="O3414" i="7"/>
  <c r="U3413" i="7"/>
  <c r="T3413" i="7"/>
  <c r="S3413" i="7"/>
  <c r="R3413" i="7"/>
  <c r="Q3413" i="7"/>
  <c r="P3413" i="7"/>
  <c r="O3413" i="7"/>
  <c r="U3412" i="7"/>
  <c r="T3412" i="7"/>
  <c r="S3412" i="7"/>
  <c r="R3412" i="7"/>
  <c r="Q3412" i="7"/>
  <c r="P3412" i="7"/>
  <c r="O3412" i="7"/>
  <c r="U3411" i="7"/>
  <c r="T3411" i="7"/>
  <c r="S3411" i="7"/>
  <c r="R3411" i="7"/>
  <c r="Q3411" i="7"/>
  <c r="P3411" i="7"/>
  <c r="O3411" i="7"/>
  <c r="U3410" i="7"/>
  <c r="T3410" i="7"/>
  <c r="S3410" i="7"/>
  <c r="R3410" i="7"/>
  <c r="Q3410" i="7"/>
  <c r="P3410" i="7"/>
  <c r="O3410" i="7"/>
  <c r="U3409" i="7"/>
  <c r="T3409" i="7"/>
  <c r="S3409" i="7"/>
  <c r="R3409" i="7"/>
  <c r="Q3409" i="7"/>
  <c r="P3409" i="7"/>
  <c r="O3409" i="7"/>
  <c r="U3408" i="7"/>
  <c r="T3408" i="7"/>
  <c r="S3408" i="7"/>
  <c r="R3408" i="7"/>
  <c r="Q3408" i="7"/>
  <c r="P3408" i="7"/>
  <c r="O3408" i="7"/>
  <c r="U3407" i="7"/>
  <c r="T3407" i="7"/>
  <c r="S3407" i="7"/>
  <c r="R3407" i="7"/>
  <c r="Q3407" i="7"/>
  <c r="P3407" i="7"/>
  <c r="O3407" i="7"/>
  <c r="U3406" i="7"/>
  <c r="T3406" i="7"/>
  <c r="S3406" i="7"/>
  <c r="R3406" i="7"/>
  <c r="Q3406" i="7"/>
  <c r="P3406" i="7"/>
  <c r="O3406" i="7"/>
  <c r="U3405" i="7"/>
  <c r="T3405" i="7"/>
  <c r="S3405" i="7"/>
  <c r="R3405" i="7"/>
  <c r="Q3405" i="7"/>
  <c r="P3405" i="7"/>
  <c r="O3405" i="7"/>
  <c r="U3404" i="7"/>
  <c r="T3404" i="7"/>
  <c r="S3404" i="7"/>
  <c r="R3404" i="7"/>
  <c r="Q3404" i="7"/>
  <c r="P3404" i="7"/>
  <c r="O3404" i="7"/>
  <c r="U3403" i="7"/>
  <c r="T3403" i="7"/>
  <c r="S3403" i="7"/>
  <c r="R3403" i="7"/>
  <c r="Q3403" i="7"/>
  <c r="P3403" i="7"/>
  <c r="O3403" i="7"/>
  <c r="U3402" i="7"/>
  <c r="T3402" i="7"/>
  <c r="S3402" i="7"/>
  <c r="R3402" i="7"/>
  <c r="Q3402" i="7"/>
  <c r="P3402" i="7"/>
  <c r="O3402" i="7"/>
  <c r="U3401" i="7"/>
  <c r="T3401" i="7"/>
  <c r="S3401" i="7"/>
  <c r="R3401" i="7"/>
  <c r="Q3401" i="7"/>
  <c r="P3401" i="7"/>
  <c r="O3401" i="7"/>
  <c r="U3400" i="7"/>
  <c r="T3400" i="7"/>
  <c r="S3400" i="7"/>
  <c r="R3400" i="7"/>
  <c r="Q3400" i="7"/>
  <c r="P3400" i="7"/>
  <c r="O3400" i="7"/>
  <c r="U3399" i="7"/>
  <c r="T3399" i="7"/>
  <c r="S3399" i="7"/>
  <c r="R3399" i="7"/>
  <c r="Q3399" i="7"/>
  <c r="P3399" i="7"/>
  <c r="O3399" i="7"/>
  <c r="U3398" i="7"/>
  <c r="T3398" i="7"/>
  <c r="S3398" i="7"/>
  <c r="R3398" i="7"/>
  <c r="Q3398" i="7"/>
  <c r="P3398" i="7"/>
  <c r="O3398" i="7"/>
  <c r="U3397" i="7"/>
  <c r="T3397" i="7"/>
  <c r="S3397" i="7"/>
  <c r="R3397" i="7"/>
  <c r="Q3397" i="7"/>
  <c r="P3397" i="7"/>
  <c r="O3397" i="7"/>
  <c r="U3396" i="7"/>
  <c r="T3396" i="7"/>
  <c r="S3396" i="7"/>
  <c r="R3396" i="7"/>
  <c r="Q3396" i="7"/>
  <c r="P3396" i="7"/>
  <c r="O3396" i="7"/>
  <c r="U3395" i="7"/>
  <c r="T3395" i="7"/>
  <c r="S3395" i="7"/>
  <c r="R3395" i="7"/>
  <c r="Q3395" i="7"/>
  <c r="P3395" i="7"/>
  <c r="O3395" i="7"/>
  <c r="U3394" i="7"/>
  <c r="T3394" i="7"/>
  <c r="S3394" i="7"/>
  <c r="R3394" i="7"/>
  <c r="Q3394" i="7"/>
  <c r="P3394" i="7"/>
  <c r="O3394" i="7"/>
  <c r="U3393" i="7"/>
  <c r="T3393" i="7"/>
  <c r="S3393" i="7"/>
  <c r="R3393" i="7"/>
  <c r="Q3393" i="7"/>
  <c r="P3393" i="7"/>
  <c r="O3393" i="7"/>
  <c r="U3392" i="7"/>
  <c r="T3392" i="7"/>
  <c r="S3392" i="7"/>
  <c r="R3392" i="7"/>
  <c r="Q3392" i="7"/>
  <c r="P3392" i="7"/>
  <c r="O3392" i="7"/>
  <c r="U3391" i="7"/>
  <c r="T3391" i="7"/>
  <c r="S3391" i="7"/>
  <c r="R3391" i="7"/>
  <c r="Q3391" i="7"/>
  <c r="P3391" i="7"/>
  <c r="O3391" i="7"/>
  <c r="U3390" i="7"/>
  <c r="T3390" i="7"/>
  <c r="S3390" i="7"/>
  <c r="R3390" i="7"/>
  <c r="Q3390" i="7"/>
  <c r="P3390" i="7"/>
  <c r="O3390" i="7"/>
  <c r="U3389" i="7"/>
  <c r="T3389" i="7"/>
  <c r="S3389" i="7"/>
  <c r="R3389" i="7"/>
  <c r="Q3389" i="7"/>
  <c r="P3389" i="7"/>
  <c r="O3389" i="7"/>
  <c r="U3388" i="7"/>
  <c r="T3388" i="7"/>
  <c r="S3388" i="7"/>
  <c r="R3388" i="7"/>
  <c r="Q3388" i="7"/>
  <c r="P3388" i="7"/>
  <c r="O3388" i="7"/>
  <c r="U3387" i="7"/>
  <c r="T3387" i="7"/>
  <c r="S3387" i="7"/>
  <c r="R3387" i="7"/>
  <c r="Q3387" i="7"/>
  <c r="P3387" i="7"/>
  <c r="O3387" i="7"/>
  <c r="U3386" i="7"/>
  <c r="T3386" i="7"/>
  <c r="S3386" i="7"/>
  <c r="R3386" i="7"/>
  <c r="Q3386" i="7"/>
  <c r="P3386" i="7"/>
  <c r="O3386" i="7"/>
  <c r="U3385" i="7"/>
  <c r="T3385" i="7"/>
  <c r="S3385" i="7"/>
  <c r="R3385" i="7"/>
  <c r="Q3385" i="7"/>
  <c r="P3385" i="7"/>
  <c r="O3385" i="7"/>
  <c r="U3384" i="7"/>
  <c r="T3384" i="7"/>
  <c r="S3384" i="7"/>
  <c r="R3384" i="7"/>
  <c r="Q3384" i="7"/>
  <c r="P3384" i="7"/>
  <c r="O3384" i="7"/>
  <c r="U3383" i="7"/>
  <c r="T3383" i="7"/>
  <c r="S3383" i="7"/>
  <c r="R3383" i="7"/>
  <c r="Q3383" i="7"/>
  <c r="P3383" i="7"/>
  <c r="O3383" i="7"/>
  <c r="U3382" i="7"/>
  <c r="T3382" i="7"/>
  <c r="S3382" i="7"/>
  <c r="R3382" i="7"/>
  <c r="Q3382" i="7"/>
  <c r="P3382" i="7"/>
  <c r="O3382" i="7"/>
  <c r="U3381" i="7"/>
  <c r="T3381" i="7"/>
  <c r="S3381" i="7"/>
  <c r="R3381" i="7"/>
  <c r="Q3381" i="7"/>
  <c r="P3381" i="7"/>
  <c r="O3381" i="7"/>
  <c r="U3380" i="7"/>
  <c r="T3380" i="7"/>
  <c r="S3380" i="7"/>
  <c r="R3380" i="7"/>
  <c r="Q3380" i="7"/>
  <c r="P3380" i="7"/>
  <c r="O3380" i="7"/>
  <c r="U3379" i="7"/>
  <c r="T3379" i="7"/>
  <c r="S3379" i="7"/>
  <c r="R3379" i="7"/>
  <c r="Q3379" i="7"/>
  <c r="P3379" i="7"/>
  <c r="O3379" i="7"/>
  <c r="U3378" i="7"/>
  <c r="T3378" i="7"/>
  <c r="S3378" i="7"/>
  <c r="R3378" i="7"/>
  <c r="Q3378" i="7"/>
  <c r="P3378" i="7"/>
  <c r="O3378" i="7"/>
  <c r="U3377" i="7"/>
  <c r="T3377" i="7"/>
  <c r="S3377" i="7"/>
  <c r="R3377" i="7"/>
  <c r="Q3377" i="7"/>
  <c r="P3377" i="7"/>
  <c r="O3377" i="7"/>
  <c r="U3376" i="7"/>
  <c r="T3376" i="7"/>
  <c r="S3376" i="7"/>
  <c r="R3376" i="7"/>
  <c r="Q3376" i="7"/>
  <c r="P3376" i="7"/>
  <c r="O3376" i="7"/>
  <c r="U3375" i="7"/>
  <c r="T3375" i="7"/>
  <c r="S3375" i="7"/>
  <c r="R3375" i="7"/>
  <c r="Q3375" i="7"/>
  <c r="P3375" i="7"/>
  <c r="O3375" i="7"/>
  <c r="U3374" i="7"/>
  <c r="T3374" i="7"/>
  <c r="S3374" i="7"/>
  <c r="R3374" i="7"/>
  <c r="Q3374" i="7"/>
  <c r="P3374" i="7"/>
  <c r="O3374" i="7"/>
  <c r="U3373" i="7"/>
  <c r="T3373" i="7"/>
  <c r="S3373" i="7"/>
  <c r="R3373" i="7"/>
  <c r="Q3373" i="7"/>
  <c r="P3373" i="7"/>
  <c r="O3373" i="7"/>
  <c r="U3372" i="7"/>
  <c r="T3372" i="7"/>
  <c r="S3372" i="7"/>
  <c r="R3372" i="7"/>
  <c r="Q3372" i="7"/>
  <c r="P3372" i="7"/>
  <c r="O3372" i="7"/>
  <c r="U3371" i="7"/>
  <c r="T3371" i="7"/>
  <c r="S3371" i="7"/>
  <c r="R3371" i="7"/>
  <c r="Q3371" i="7"/>
  <c r="P3371" i="7"/>
  <c r="O3371" i="7"/>
  <c r="U3370" i="7"/>
  <c r="T3370" i="7"/>
  <c r="S3370" i="7"/>
  <c r="R3370" i="7"/>
  <c r="Q3370" i="7"/>
  <c r="P3370" i="7"/>
  <c r="O3370" i="7"/>
  <c r="U3369" i="7"/>
  <c r="T3369" i="7"/>
  <c r="S3369" i="7"/>
  <c r="R3369" i="7"/>
  <c r="Q3369" i="7"/>
  <c r="P3369" i="7"/>
  <c r="O3369" i="7"/>
  <c r="U3368" i="7"/>
  <c r="T3368" i="7"/>
  <c r="S3368" i="7"/>
  <c r="R3368" i="7"/>
  <c r="Q3368" i="7"/>
  <c r="P3368" i="7"/>
  <c r="O3368" i="7"/>
  <c r="U3367" i="7"/>
  <c r="T3367" i="7"/>
  <c r="S3367" i="7"/>
  <c r="R3367" i="7"/>
  <c r="Q3367" i="7"/>
  <c r="P3367" i="7"/>
  <c r="O3367" i="7"/>
  <c r="U3366" i="7"/>
  <c r="T3366" i="7"/>
  <c r="S3366" i="7"/>
  <c r="R3366" i="7"/>
  <c r="Q3366" i="7"/>
  <c r="P3366" i="7"/>
  <c r="O3366" i="7"/>
  <c r="U3365" i="7"/>
  <c r="T3365" i="7"/>
  <c r="S3365" i="7"/>
  <c r="R3365" i="7"/>
  <c r="Q3365" i="7"/>
  <c r="P3365" i="7"/>
  <c r="O3365" i="7"/>
  <c r="U3364" i="7"/>
  <c r="T3364" i="7"/>
  <c r="S3364" i="7"/>
  <c r="R3364" i="7"/>
  <c r="Q3364" i="7"/>
  <c r="P3364" i="7"/>
  <c r="O3364" i="7"/>
  <c r="U3363" i="7"/>
  <c r="T3363" i="7"/>
  <c r="S3363" i="7"/>
  <c r="R3363" i="7"/>
  <c r="Q3363" i="7"/>
  <c r="P3363" i="7"/>
  <c r="O3363" i="7"/>
  <c r="U3362" i="7"/>
  <c r="T3362" i="7"/>
  <c r="S3362" i="7"/>
  <c r="R3362" i="7"/>
  <c r="Q3362" i="7"/>
  <c r="P3362" i="7"/>
  <c r="O3362" i="7"/>
  <c r="U3361" i="7"/>
  <c r="T3361" i="7"/>
  <c r="S3361" i="7"/>
  <c r="R3361" i="7"/>
  <c r="Q3361" i="7"/>
  <c r="P3361" i="7"/>
  <c r="O3361" i="7"/>
  <c r="U3360" i="7"/>
  <c r="T3360" i="7"/>
  <c r="S3360" i="7"/>
  <c r="R3360" i="7"/>
  <c r="Q3360" i="7"/>
  <c r="P3360" i="7"/>
  <c r="O3360" i="7"/>
  <c r="U3359" i="7"/>
  <c r="T3359" i="7"/>
  <c r="S3359" i="7"/>
  <c r="R3359" i="7"/>
  <c r="Q3359" i="7"/>
  <c r="P3359" i="7"/>
  <c r="O3359" i="7"/>
  <c r="U3358" i="7"/>
  <c r="T3358" i="7"/>
  <c r="S3358" i="7"/>
  <c r="R3358" i="7"/>
  <c r="Q3358" i="7"/>
  <c r="P3358" i="7"/>
  <c r="O3358" i="7"/>
  <c r="U3357" i="7"/>
  <c r="T3357" i="7"/>
  <c r="S3357" i="7"/>
  <c r="R3357" i="7"/>
  <c r="Q3357" i="7"/>
  <c r="P3357" i="7"/>
  <c r="O3357" i="7"/>
  <c r="U3356" i="7"/>
  <c r="T3356" i="7"/>
  <c r="S3356" i="7"/>
  <c r="R3356" i="7"/>
  <c r="Q3356" i="7"/>
  <c r="P3356" i="7"/>
  <c r="O3356" i="7"/>
  <c r="U3355" i="7"/>
  <c r="T3355" i="7"/>
  <c r="S3355" i="7"/>
  <c r="R3355" i="7"/>
  <c r="Q3355" i="7"/>
  <c r="P3355" i="7"/>
  <c r="O3355" i="7"/>
  <c r="U3354" i="7"/>
  <c r="T3354" i="7"/>
  <c r="S3354" i="7"/>
  <c r="R3354" i="7"/>
  <c r="Q3354" i="7"/>
  <c r="P3354" i="7"/>
  <c r="O3354" i="7"/>
  <c r="U3353" i="7"/>
  <c r="T3353" i="7"/>
  <c r="S3353" i="7"/>
  <c r="R3353" i="7"/>
  <c r="Q3353" i="7"/>
  <c r="P3353" i="7"/>
  <c r="O3353" i="7"/>
  <c r="U3352" i="7"/>
  <c r="T3352" i="7"/>
  <c r="S3352" i="7"/>
  <c r="R3352" i="7"/>
  <c r="Q3352" i="7"/>
  <c r="P3352" i="7"/>
  <c r="O3352" i="7"/>
  <c r="U3351" i="7"/>
  <c r="T3351" i="7"/>
  <c r="S3351" i="7"/>
  <c r="R3351" i="7"/>
  <c r="Q3351" i="7"/>
  <c r="P3351" i="7"/>
  <c r="O3351" i="7"/>
  <c r="U3350" i="7"/>
  <c r="T3350" i="7"/>
  <c r="S3350" i="7"/>
  <c r="R3350" i="7"/>
  <c r="Q3350" i="7"/>
  <c r="P3350" i="7"/>
  <c r="O3350" i="7"/>
  <c r="U3349" i="7"/>
  <c r="T3349" i="7"/>
  <c r="S3349" i="7"/>
  <c r="R3349" i="7"/>
  <c r="Q3349" i="7"/>
  <c r="P3349" i="7"/>
  <c r="O3349" i="7"/>
  <c r="U3348" i="7"/>
  <c r="T3348" i="7"/>
  <c r="S3348" i="7"/>
  <c r="R3348" i="7"/>
  <c r="Q3348" i="7"/>
  <c r="P3348" i="7"/>
  <c r="O3348" i="7"/>
  <c r="U3347" i="7"/>
  <c r="T3347" i="7"/>
  <c r="S3347" i="7"/>
  <c r="R3347" i="7"/>
  <c r="Q3347" i="7"/>
  <c r="P3347" i="7"/>
  <c r="O3347" i="7"/>
  <c r="U3346" i="7"/>
  <c r="T3346" i="7"/>
  <c r="S3346" i="7"/>
  <c r="R3346" i="7"/>
  <c r="Q3346" i="7"/>
  <c r="P3346" i="7"/>
  <c r="O3346" i="7"/>
  <c r="U3345" i="7"/>
  <c r="T3345" i="7"/>
  <c r="S3345" i="7"/>
  <c r="R3345" i="7"/>
  <c r="Q3345" i="7"/>
  <c r="P3345" i="7"/>
  <c r="O3345" i="7"/>
  <c r="U3344" i="7"/>
  <c r="T3344" i="7"/>
  <c r="S3344" i="7"/>
  <c r="R3344" i="7"/>
  <c r="Q3344" i="7"/>
  <c r="P3344" i="7"/>
  <c r="O3344" i="7"/>
  <c r="U3343" i="7"/>
  <c r="T3343" i="7"/>
  <c r="S3343" i="7"/>
  <c r="R3343" i="7"/>
  <c r="Q3343" i="7"/>
  <c r="P3343" i="7"/>
  <c r="O3343" i="7"/>
  <c r="U3342" i="7"/>
  <c r="T3342" i="7"/>
  <c r="S3342" i="7"/>
  <c r="R3342" i="7"/>
  <c r="Q3342" i="7"/>
  <c r="P3342" i="7"/>
  <c r="O3342" i="7"/>
  <c r="U3341" i="7"/>
  <c r="T3341" i="7"/>
  <c r="S3341" i="7"/>
  <c r="R3341" i="7"/>
  <c r="Q3341" i="7"/>
  <c r="P3341" i="7"/>
  <c r="O3341" i="7"/>
  <c r="U3340" i="7"/>
  <c r="T3340" i="7"/>
  <c r="S3340" i="7"/>
  <c r="R3340" i="7"/>
  <c r="Q3340" i="7"/>
  <c r="P3340" i="7"/>
  <c r="O3340" i="7"/>
  <c r="U3339" i="7"/>
  <c r="T3339" i="7"/>
  <c r="S3339" i="7"/>
  <c r="R3339" i="7"/>
  <c r="Q3339" i="7"/>
  <c r="P3339" i="7"/>
  <c r="O3339" i="7"/>
  <c r="U3338" i="7"/>
  <c r="T3338" i="7"/>
  <c r="S3338" i="7"/>
  <c r="R3338" i="7"/>
  <c r="Q3338" i="7"/>
  <c r="P3338" i="7"/>
  <c r="O3338" i="7"/>
  <c r="U3337" i="7"/>
  <c r="T3337" i="7"/>
  <c r="S3337" i="7"/>
  <c r="R3337" i="7"/>
  <c r="Q3337" i="7"/>
  <c r="P3337" i="7"/>
  <c r="O3337" i="7"/>
  <c r="U3336" i="7"/>
  <c r="T3336" i="7"/>
  <c r="S3336" i="7"/>
  <c r="R3336" i="7"/>
  <c r="Q3336" i="7"/>
  <c r="P3336" i="7"/>
  <c r="O3336" i="7"/>
  <c r="U3335" i="7"/>
  <c r="T3335" i="7"/>
  <c r="S3335" i="7"/>
  <c r="R3335" i="7"/>
  <c r="Q3335" i="7"/>
  <c r="P3335" i="7"/>
  <c r="O3335" i="7"/>
  <c r="U3334" i="7"/>
  <c r="T3334" i="7"/>
  <c r="S3334" i="7"/>
  <c r="R3334" i="7"/>
  <c r="Q3334" i="7"/>
  <c r="P3334" i="7"/>
  <c r="O3334" i="7"/>
  <c r="U3333" i="7"/>
  <c r="T3333" i="7"/>
  <c r="S3333" i="7"/>
  <c r="R3333" i="7"/>
  <c r="Q3333" i="7"/>
  <c r="P3333" i="7"/>
  <c r="O3333" i="7"/>
  <c r="U3332" i="7"/>
  <c r="T3332" i="7"/>
  <c r="S3332" i="7"/>
  <c r="R3332" i="7"/>
  <c r="Q3332" i="7"/>
  <c r="P3332" i="7"/>
  <c r="O3332" i="7"/>
  <c r="U3331" i="7"/>
  <c r="T3331" i="7"/>
  <c r="S3331" i="7"/>
  <c r="R3331" i="7"/>
  <c r="Q3331" i="7"/>
  <c r="P3331" i="7"/>
  <c r="O3331" i="7"/>
  <c r="U3330" i="7"/>
  <c r="T3330" i="7"/>
  <c r="S3330" i="7"/>
  <c r="R3330" i="7"/>
  <c r="Q3330" i="7"/>
  <c r="P3330" i="7"/>
  <c r="O3330" i="7"/>
  <c r="U3329" i="7"/>
  <c r="T3329" i="7"/>
  <c r="S3329" i="7"/>
  <c r="R3329" i="7"/>
  <c r="Q3329" i="7"/>
  <c r="P3329" i="7"/>
  <c r="O3329" i="7"/>
  <c r="U3328" i="7"/>
  <c r="T3328" i="7"/>
  <c r="S3328" i="7"/>
  <c r="R3328" i="7"/>
  <c r="Q3328" i="7"/>
  <c r="P3328" i="7"/>
  <c r="O3328" i="7"/>
  <c r="U3327" i="7"/>
  <c r="T3327" i="7"/>
  <c r="S3327" i="7"/>
  <c r="R3327" i="7"/>
  <c r="Q3327" i="7"/>
  <c r="P3327" i="7"/>
  <c r="O3327" i="7"/>
  <c r="U3326" i="7"/>
  <c r="T3326" i="7"/>
  <c r="S3326" i="7"/>
  <c r="R3326" i="7"/>
  <c r="Q3326" i="7"/>
  <c r="P3326" i="7"/>
  <c r="O3326" i="7"/>
  <c r="U3325" i="7"/>
  <c r="T3325" i="7"/>
  <c r="S3325" i="7"/>
  <c r="R3325" i="7"/>
  <c r="Q3325" i="7"/>
  <c r="P3325" i="7"/>
  <c r="O3325" i="7"/>
  <c r="U3324" i="7"/>
  <c r="T3324" i="7"/>
  <c r="S3324" i="7"/>
  <c r="R3324" i="7"/>
  <c r="Q3324" i="7"/>
  <c r="P3324" i="7"/>
  <c r="O3324" i="7"/>
  <c r="U3323" i="7"/>
  <c r="T3323" i="7"/>
  <c r="S3323" i="7"/>
  <c r="R3323" i="7"/>
  <c r="Q3323" i="7"/>
  <c r="P3323" i="7"/>
  <c r="O3323" i="7"/>
  <c r="U3322" i="7"/>
  <c r="T3322" i="7"/>
  <c r="S3322" i="7"/>
  <c r="R3322" i="7"/>
  <c r="Q3322" i="7"/>
  <c r="P3322" i="7"/>
  <c r="O3322" i="7"/>
  <c r="U3321" i="7"/>
  <c r="T3321" i="7"/>
  <c r="S3321" i="7"/>
  <c r="R3321" i="7"/>
  <c r="Q3321" i="7"/>
  <c r="P3321" i="7"/>
  <c r="O3321" i="7"/>
  <c r="U3320" i="7"/>
  <c r="T3320" i="7"/>
  <c r="S3320" i="7"/>
  <c r="R3320" i="7"/>
  <c r="Q3320" i="7"/>
  <c r="P3320" i="7"/>
  <c r="O3320" i="7"/>
  <c r="U3319" i="7"/>
  <c r="T3319" i="7"/>
  <c r="S3319" i="7"/>
  <c r="R3319" i="7"/>
  <c r="Q3319" i="7"/>
  <c r="P3319" i="7"/>
  <c r="O3319" i="7"/>
  <c r="U3318" i="7"/>
  <c r="T3318" i="7"/>
  <c r="S3318" i="7"/>
  <c r="R3318" i="7"/>
  <c r="Q3318" i="7"/>
  <c r="P3318" i="7"/>
  <c r="O3318" i="7"/>
  <c r="U3317" i="7"/>
  <c r="T3317" i="7"/>
  <c r="S3317" i="7"/>
  <c r="R3317" i="7"/>
  <c r="Q3317" i="7"/>
  <c r="P3317" i="7"/>
  <c r="O3317" i="7"/>
  <c r="U3316" i="7"/>
  <c r="T3316" i="7"/>
  <c r="S3316" i="7"/>
  <c r="R3316" i="7"/>
  <c r="Q3316" i="7"/>
  <c r="P3316" i="7"/>
  <c r="O3316" i="7"/>
  <c r="U3315" i="7"/>
  <c r="T3315" i="7"/>
  <c r="S3315" i="7"/>
  <c r="R3315" i="7"/>
  <c r="Q3315" i="7"/>
  <c r="P3315" i="7"/>
  <c r="O3315" i="7"/>
  <c r="U3314" i="7"/>
  <c r="T3314" i="7"/>
  <c r="S3314" i="7"/>
  <c r="R3314" i="7"/>
  <c r="Q3314" i="7"/>
  <c r="P3314" i="7"/>
  <c r="O3314" i="7"/>
  <c r="U3313" i="7"/>
  <c r="T3313" i="7"/>
  <c r="S3313" i="7"/>
  <c r="R3313" i="7"/>
  <c r="Q3313" i="7"/>
  <c r="P3313" i="7"/>
  <c r="O3313" i="7"/>
  <c r="U3312" i="7"/>
  <c r="T3312" i="7"/>
  <c r="S3312" i="7"/>
  <c r="R3312" i="7"/>
  <c r="Q3312" i="7"/>
  <c r="P3312" i="7"/>
  <c r="O3312" i="7"/>
  <c r="U3311" i="7"/>
  <c r="T3311" i="7"/>
  <c r="S3311" i="7"/>
  <c r="R3311" i="7"/>
  <c r="Q3311" i="7"/>
  <c r="P3311" i="7"/>
  <c r="O3311" i="7"/>
  <c r="U3310" i="7"/>
  <c r="T3310" i="7"/>
  <c r="S3310" i="7"/>
  <c r="R3310" i="7"/>
  <c r="Q3310" i="7"/>
  <c r="P3310" i="7"/>
  <c r="O3310" i="7"/>
  <c r="U3309" i="7"/>
  <c r="T3309" i="7"/>
  <c r="S3309" i="7"/>
  <c r="R3309" i="7"/>
  <c r="Q3309" i="7"/>
  <c r="P3309" i="7"/>
  <c r="O3309" i="7"/>
  <c r="U3308" i="7"/>
  <c r="T3308" i="7"/>
  <c r="S3308" i="7"/>
  <c r="R3308" i="7"/>
  <c r="Q3308" i="7"/>
  <c r="P3308" i="7"/>
  <c r="O3308" i="7"/>
  <c r="U3307" i="7"/>
  <c r="T3307" i="7"/>
  <c r="S3307" i="7"/>
  <c r="R3307" i="7"/>
  <c r="Q3307" i="7"/>
  <c r="P3307" i="7"/>
  <c r="O3307" i="7"/>
  <c r="U3306" i="7"/>
  <c r="T3306" i="7"/>
  <c r="S3306" i="7"/>
  <c r="R3306" i="7"/>
  <c r="Q3306" i="7"/>
  <c r="P3306" i="7"/>
  <c r="O3306" i="7"/>
  <c r="U3305" i="7"/>
  <c r="T3305" i="7"/>
  <c r="S3305" i="7"/>
  <c r="R3305" i="7"/>
  <c r="Q3305" i="7"/>
  <c r="P3305" i="7"/>
  <c r="O3305" i="7"/>
  <c r="U3304" i="7"/>
  <c r="T3304" i="7"/>
  <c r="S3304" i="7"/>
  <c r="R3304" i="7"/>
  <c r="Q3304" i="7"/>
  <c r="P3304" i="7"/>
  <c r="O3304" i="7"/>
  <c r="U3303" i="7"/>
  <c r="T3303" i="7"/>
  <c r="S3303" i="7"/>
  <c r="R3303" i="7"/>
  <c r="Q3303" i="7"/>
  <c r="P3303" i="7"/>
  <c r="O3303" i="7"/>
  <c r="U3302" i="7"/>
  <c r="T3302" i="7"/>
  <c r="S3302" i="7"/>
  <c r="R3302" i="7"/>
  <c r="Q3302" i="7"/>
  <c r="P3302" i="7"/>
  <c r="O3302" i="7"/>
  <c r="U3301" i="7"/>
  <c r="T3301" i="7"/>
  <c r="S3301" i="7"/>
  <c r="R3301" i="7"/>
  <c r="Q3301" i="7"/>
  <c r="P3301" i="7"/>
  <c r="O3301" i="7"/>
  <c r="U3300" i="7"/>
  <c r="T3300" i="7"/>
  <c r="S3300" i="7"/>
  <c r="R3300" i="7"/>
  <c r="Q3300" i="7"/>
  <c r="P3300" i="7"/>
  <c r="O3300" i="7"/>
  <c r="U3299" i="7"/>
  <c r="T3299" i="7"/>
  <c r="S3299" i="7"/>
  <c r="R3299" i="7"/>
  <c r="Q3299" i="7"/>
  <c r="P3299" i="7"/>
  <c r="O3299" i="7"/>
  <c r="U3298" i="7"/>
  <c r="T3298" i="7"/>
  <c r="S3298" i="7"/>
  <c r="R3298" i="7"/>
  <c r="Q3298" i="7"/>
  <c r="P3298" i="7"/>
  <c r="O3298" i="7"/>
  <c r="U3297" i="7"/>
  <c r="T3297" i="7"/>
  <c r="S3297" i="7"/>
  <c r="R3297" i="7"/>
  <c r="Q3297" i="7"/>
  <c r="P3297" i="7"/>
  <c r="O3297" i="7"/>
  <c r="U3296" i="7"/>
  <c r="T3296" i="7"/>
  <c r="S3296" i="7"/>
  <c r="R3296" i="7"/>
  <c r="Q3296" i="7"/>
  <c r="P3296" i="7"/>
  <c r="O3296" i="7"/>
  <c r="U3295" i="7"/>
  <c r="T3295" i="7"/>
  <c r="S3295" i="7"/>
  <c r="R3295" i="7"/>
  <c r="Q3295" i="7"/>
  <c r="P3295" i="7"/>
  <c r="O3295" i="7"/>
  <c r="U3294" i="7"/>
  <c r="T3294" i="7"/>
  <c r="S3294" i="7"/>
  <c r="R3294" i="7"/>
  <c r="Q3294" i="7"/>
  <c r="P3294" i="7"/>
  <c r="O3294" i="7"/>
  <c r="U3293" i="7"/>
  <c r="T3293" i="7"/>
  <c r="S3293" i="7"/>
  <c r="R3293" i="7"/>
  <c r="Q3293" i="7"/>
  <c r="P3293" i="7"/>
  <c r="O3293" i="7"/>
  <c r="U3292" i="7"/>
  <c r="T3292" i="7"/>
  <c r="S3292" i="7"/>
  <c r="R3292" i="7"/>
  <c r="Q3292" i="7"/>
  <c r="P3292" i="7"/>
  <c r="O3292" i="7"/>
  <c r="U3291" i="7"/>
  <c r="T3291" i="7"/>
  <c r="S3291" i="7"/>
  <c r="R3291" i="7"/>
  <c r="Q3291" i="7"/>
  <c r="P3291" i="7"/>
  <c r="O3291" i="7"/>
  <c r="U3290" i="7"/>
  <c r="T3290" i="7"/>
  <c r="S3290" i="7"/>
  <c r="R3290" i="7"/>
  <c r="Q3290" i="7"/>
  <c r="P3290" i="7"/>
  <c r="O3290" i="7"/>
  <c r="U3289" i="7"/>
  <c r="T3289" i="7"/>
  <c r="S3289" i="7"/>
  <c r="R3289" i="7"/>
  <c r="Q3289" i="7"/>
  <c r="P3289" i="7"/>
  <c r="O3289" i="7"/>
  <c r="U3288" i="7"/>
  <c r="T3288" i="7"/>
  <c r="S3288" i="7"/>
  <c r="R3288" i="7"/>
  <c r="Q3288" i="7"/>
  <c r="P3288" i="7"/>
  <c r="O3288" i="7"/>
  <c r="U3287" i="7"/>
  <c r="T3287" i="7"/>
  <c r="S3287" i="7"/>
  <c r="R3287" i="7"/>
  <c r="Q3287" i="7"/>
  <c r="P3287" i="7"/>
  <c r="O3287" i="7"/>
  <c r="U3286" i="7"/>
  <c r="T3286" i="7"/>
  <c r="S3286" i="7"/>
  <c r="R3286" i="7"/>
  <c r="Q3286" i="7"/>
  <c r="P3286" i="7"/>
  <c r="O3286" i="7"/>
  <c r="U3285" i="7"/>
  <c r="T3285" i="7"/>
  <c r="S3285" i="7"/>
  <c r="R3285" i="7"/>
  <c r="Q3285" i="7"/>
  <c r="P3285" i="7"/>
  <c r="O3285" i="7"/>
  <c r="U3284" i="7"/>
  <c r="T3284" i="7"/>
  <c r="S3284" i="7"/>
  <c r="R3284" i="7"/>
  <c r="Q3284" i="7"/>
  <c r="P3284" i="7"/>
  <c r="O3284" i="7"/>
  <c r="U3283" i="7"/>
  <c r="T3283" i="7"/>
  <c r="S3283" i="7"/>
  <c r="R3283" i="7"/>
  <c r="Q3283" i="7"/>
  <c r="P3283" i="7"/>
  <c r="O3283" i="7"/>
  <c r="U3282" i="7"/>
  <c r="T3282" i="7"/>
  <c r="S3282" i="7"/>
  <c r="R3282" i="7"/>
  <c r="Q3282" i="7"/>
  <c r="P3282" i="7"/>
  <c r="O3282" i="7"/>
  <c r="U3281" i="7"/>
  <c r="T3281" i="7"/>
  <c r="S3281" i="7"/>
  <c r="R3281" i="7"/>
  <c r="Q3281" i="7"/>
  <c r="P3281" i="7"/>
  <c r="O3281" i="7"/>
  <c r="U3280" i="7"/>
  <c r="T3280" i="7"/>
  <c r="S3280" i="7"/>
  <c r="R3280" i="7"/>
  <c r="Q3280" i="7"/>
  <c r="P3280" i="7"/>
  <c r="O3280" i="7"/>
  <c r="U3279" i="7"/>
  <c r="T3279" i="7"/>
  <c r="S3279" i="7"/>
  <c r="R3279" i="7"/>
  <c r="Q3279" i="7"/>
  <c r="P3279" i="7"/>
  <c r="O3279" i="7"/>
  <c r="U3278" i="7"/>
  <c r="T3278" i="7"/>
  <c r="S3278" i="7"/>
  <c r="R3278" i="7"/>
  <c r="Q3278" i="7"/>
  <c r="P3278" i="7"/>
  <c r="O3278" i="7"/>
  <c r="U3277" i="7"/>
  <c r="T3277" i="7"/>
  <c r="S3277" i="7"/>
  <c r="R3277" i="7"/>
  <c r="Q3277" i="7"/>
  <c r="P3277" i="7"/>
  <c r="O3277" i="7"/>
  <c r="U3276" i="7"/>
  <c r="T3276" i="7"/>
  <c r="S3276" i="7"/>
  <c r="R3276" i="7"/>
  <c r="Q3276" i="7"/>
  <c r="P3276" i="7"/>
  <c r="O3276" i="7"/>
  <c r="U3275" i="7"/>
  <c r="T3275" i="7"/>
  <c r="S3275" i="7"/>
  <c r="R3275" i="7"/>
  <c r="Q3275" i="7"/>
  <c r="P3275" i="7"/>
  <c r="O3275" i="7"/>
  <c r="U3274" i="7"/>
  <c r="T3274" i="7"/>
  <c r="S3274" i="7"/>
  <c r="R3274" i="7"/>
  <c r="Q3274" i="7"/>
  <c r="P3274" i="7"/>
  <c r="O3274" i="7"/>
  <c r="U3273" i="7"/>
  <c r="T3273" i="7"/>
  <c r="S3273" i="7"/>
  <c r="R3273" i="7"/>
  <c r="Q3273" i="7"/>
  <c r="P3273" i="7"/>
  <c r="O3273" i="7"/>
  <c r="U3272" i="7"/>
  <c r="T3272" i="7"/>
  <c r="S3272" i="7"/>
  <c r="R3272" i="7"/>
  <c r="Q3272" i="7"/>
  <c r="P3272" i="7"/>
  <c r="O3272" i="7"/>
  <c r="U3271" i="7"/>
  <c r="T3271" i="7"/>
  <c r="S3271" i="7"/>
  <c r="R3271" i="7"/>
  <c r="Q3271" i="7"/>
  <c r="P3271" i="7"/>
  <c r="O3271" i="7"/>
  <c r="U3270" i="7"/>
  <c r="T3270" i="7"/>
  <c r="S3270" i="7"/>
  <c r="R3270" i="7"/>
  <c r="Q3270" i="7"/>
  <c r="P3270" i="7"/>
  <c r="O3270" i="7"/>
  <c r="U3269" i="7"/>
  <c r="T3269" i="7"/>
  <c r="S3269" i="7"/>
  <c r="R3269" i="7"/>
  <c r="Q3269" i="7"/>
  <c r="P3269" i="7"/>
  <c r="O3269" i="7"/>
  <c r="U3268" i="7"/>
  <c r="T3268" i="7"/>
  <c r="S3268" i="7"/>
  <c r="R3268" i="7"/>
  <c r="Q3268" i="7"/>
  <c r="P3268" i="7"/>
  <c r="O3268" i="7"/>
  <c r="U3267" i="7"/>
  <c r="T3267" i="7"/>
  <c r="S3267" i="7"/>
  <c r="R3267" i="7"/>
  <c r="Q3267" i="7"/>
  <c r="P3267" i="7"/>
  <c r="O3267" i="7"/>
  <c r="U3266" i="7"/>
  <c r="T3266" i="7"/>
  <c r="S3266" i="7"/>
  <c r="R3266" i="7"/>
  <c r="Q3266" i="7"/>
  <c r="P3266" i="7"/>
  <c r="O3266" i="7"/>
  <c r="U3265" i="7"/>
  <c r="T3265" i="7"/>
  <c r="S3265" i="7"/>
  <c r="R3265" i="7"/>
  <c r="Q3265" i="7"/>
  <c r="P3265" i="7"/>
  <c r="O3265" i="7"/>
  <c r="U3264" i="7"/>
  <c r="T3264" i="7"/>
  <c r="S3264" i="7"/>
  <c r="R3264" i="7"/>
  <c r="Q3264" i="7"/>
  <c r="P3264" i="7"/>
  <c r="O3264" i="7"/>
  <c r="U3263" i="7"/>
  <c r="T3263" i="7"/>
  <c r="S3263" i="7"/>
  <c r="R3263" i="7"/>
  <c r="Q3263" i="7"/>
  <c r="P3263" i="7"/>
  <c r="O3263" i="7"/>
  <c r="U3262" i="7"/>
  <c r="T3262" i="7"/>
  <c r="S3262" i="7"/>
  <c r="R3262" i="7"/>
  <c r="Q3262" i="7"/>
  <c r="P3262" i="7"/>
  <c r="O3262" i="7"/>
  <c r="U3261" i="7"/>
  <c r="T3261" i="7"/>
  <c r="S3261" i="7"/>
  <c r="R3261" i="7"/>
  <c r="Q3261" i="7"/>
  <c r="P3261" i="7"/>
  <c r="O3261" i="7"/>
  <c r="U3260" i="7"/>
  <c r="T3260" i="7"/>
  <c r="S3260" i="7"/>
  <c r="R3260" i="7"/>
  <c r="Q3260" i="7"/>
  <c r="P3260" i="7"/>
  <c r="O3260" i="7"/>
  <c r="U3259" i="7"/>
  <c r="T3259" i="7"/>
  <c r="S3259" i="7"/>
  <c r="R3259" i="7"/>
  <c r="Q3259" i="7"/>
  <c r="P3259" i="7"/>
  <c r="O3259" i="7"/>
  <c r="U3258" i="7"/>
  <c r="T3258" i="7"/>
  <c r="S3258" i="7"/>
  <c r="R3258" i="7"/>
  <c r="Q3258" i="7"/>
  <c r="P3258" i="7"/>
  <c r="O3258" i="7"/>
  <c r="U3257" i="7"/>
  <c r="T3257" i="7"/>
  <c r="S3257" i="7"/>
  <c r="R3257" i="7"/>
  <c r="Q3257" i="7"/>
  <c r="P3257" i="7"/>
  <c r="O3257" i="7"/>
  <c r="U3256" i="7"/>
  <c r="T3256" i="7"/>
  <c r="S3256" i="7"/>
  <c r="R3256" i="7"/>
  <c r="Q3256" i="7"/>
  <c r="P3256" i="7"/>
  <c r="O3256" i="7"/>
  <c r="U3255" i="7"/>
  <c r="T3255" i="7"/>
  <c r="S3255" i="7"/>
  <c r="R3255" i="7"/>
  <c r="Q3255" i="7"/>
  <c r="P3255" i="7"/>
  <c r="O3255" i="7"/>
  <c r="U3254" i="7"/>
  <c r="T3254" i="7"/>
  <c r="S3254" i="7"/>
  <c r="R3254" i="7"/>
  <c r="Q3254" i="7"/>
  <c r="P3254" i="7"/>
  <c r="O3254" i="7"/>
  <c r="U3253" i="7"/>
  <c r="T3253" i="7"/>
  <c r="S3253" i="7"/>
  <c r="R3253" i="7"/>
  <c r="Q3253" i="7"/>
  <c r="P3253" i="7"/>
  <c r="O3253" i="7"/>
  <c r="U3252" i="7"/>
  <c r="T3252" i="7"/>
  <c r="S3252" i="7"/>
  <c r="R3252" i="7"/>
  <c r="Q3252" i="7"/>
  <c r="P3252" i="7"/>
  <c r="O3252" i="7"/>
  <c r="U3251" i="7"/>
  <c r="T3251" i="7"/>
  <c r="S3251" i="7"/>
  <c r="R3251" i="7"/>
  <c r="Q3251" i="7"/>
  <c r="P3251" i="7"/>
  <c r="O3251" i="7"/>
  <c r="U3250" i="7"/>
  <c r="T3250" i="7"/>
  <c r="S3250" i="7"/>
  <c r="R3250" i="7"/>
  <c r="Q3250" i="7"/>
  <c r="P3250" i="7"/>
  <c r="O3250" i="7"/>
  <c r="U3249" i="7"/>
  <c r="T3249" i="7"/>
  <c r="S3249" i="7"/>
  <c r="R3249" i="7"/>
  <c r="Q3249" i="7"/>
  <c r="P3249" i="7"/>
  <c r="O3249" i="7"/>
  <c r="U3248" i="7"/>
  <c r="T3248" i="7"/>
  <c r="S3248" i="7"/>
  <c r="R3248" i="7"/>
  <c r="Q3248" i="7"/>
  <c r="P3248" i="7"/>
  <c r="O3248" i="7"/>
  <c r="U3247" i="7"/>
  <c r="T3247" i="7"/>
  <c r="S3247" i="7"/>
  <c r="R3247" i="7"/>
  <c r="Q3247" i="7"/>
  <c r="P3247" i="7"/>
  <c r="O3247" i="7"/>
  <c r="U3246" i="7"/>
  <c r="T3246" i="7"/>
  <c r="S3246" i="7"/>
  <c r="R3246" i="7"/>
  <c r="Q3246" i="7"/>
  <c r="P3246" i="7"/>
  <c r="O3246" i="7"/>
  <c r="U3245" i="7"/>
  <c r="T3245" i="7"/>
  <c r="S3245" i="7"/>
  <c r="R3245" i="7"/>
  <c r="Q3245" i="7"/>
  <c r="P3245" i="7"/>
  <c r="O3245" i="7"/>
  <c r="U3244" i="7"/>
  <c r="T3244" i="7"/>
  <c r="S3244" i="7"/>
  <c r="R3244" i="7"/>
  <c r="Q3244" i="7"/>
  <c r="P3244" i="7"/>
  <c r="O3244" i="7"/>
  <c r="U3243" i="7"/>
  <c r="T3243" i="7"/>
  <c r="S3243" i="7"/>
  <c r="R3243" i="7"/>
  <c r="Q3243" i="7"/>
  <c r="P3243" i="7"/>
  <c r="O3243" i="7"/>
  <c r="U3242" i="7"/>
  <c r="T3242" i="7"/>
  <c r="S3242" i="7"/>
  <c r="R3242" i="7"/>
  <c r="Q3242" i="7"/>
  <c r="P3242" i="7"/>
  <c r="O3242" i="7"/>
  <c r="U3241" i="7"/>
  <c r="T3241" i="7"/>
  <c r="S3241" i="7"/>
  <c r="R3241" i="7"/>
  <c r="Q3241" i="7"/>
  <c r="P3241" i="7"/>
  <c r="O3241" i="7"/>
  <c r="U3240" i="7"/>
  <c r="T3240" i="7"/>
  <c r="S3240" i="7"/>
  <c r="R3240" i="7"/>
  <c r="Q3240" i="7"/>
  <c r="P3240" i="7"/>
  <c r="O3240" i="7"/>
  <c r="U3239" i="7"/>
  <c r="T3239" i="7"/>
  <c r="S3239" i="7"/>
  <c r="R3239" i="7"/>
  <c r="Q3239" i="7"/>
  <c r="P3239" i="7"/>
  <c r="O3239" i="7"/>
  <c r="U3238" i="7"/>
  <c r="T3238" i="7"/>
  <c r="S3238" i="7"/>
  <c r="R3238" i="7"/>
  <c r="Q3238" i="7"/>
  <c r="P3238" i="7"/>
  <c r="O3238" i="7"/>
  <c r="U3237" i="7"/>
  <c r="T3237" i="7"/>
  <c r="S3237" i="7"/>
  <c r="R3237" i="7"/>
  <c r="Q3237" i="7"/>
  <c r="P3237" i="7"/>
  <c r="O3237" i="7"/>
  <c r="U3236" i="7"/>
  <c r="T3236" i="7"/>
  <c r="S3236" i="7"/>
  <c r="R3236" i="7"/>
  <c r="Q3236" i="7"/>
  <c r="P3236" i="7"/>
  <c r="O3236" i="7"/>
  <c r="U3235" i="7"/>
  <c r="T3235" i="7"/>
  <c r="S3235" i="7"/>
  <c r="R3235" i="7"/>
  <c r="Q3235" i="7"/>
  <c r="P3235" i="7"/>
  <c r="O3235" i="7"/>
  <c r="U3234" i="7"/>
  <c r="T3234" i="7"/>
  <c r="S3234" i="7"/>
  <c r="R3234" i="7"/>
  <c r="Q3234" i="7"/>
  <c r="P3234" i="7"/>
  <c r="O3234" i="7"/>
  <c r="U3233" i="7"/>
  <c r="T3233" i="7"/>
  <c r="S3233" i="7"/>
  <c r="R3233" i="7"/>
  <c r="Q3233" i="7"/>
  <c r="P3233" i="7"/>
  <c r="O3233" i="7"/>
  <c r="U3232" i="7"/>
  <c r="T3232" i="7"/>
  <c r="S3232" i="7"/>
  <c r="R3232" i="7"/>
  <c r="Q3232" i="7"/>
  <c r="P3232" i="7"/>
  <c r="O3232" i="7"/>
  <c r="U3231" i="7"/>
  <c r="T3231" i="7"/>
  <c r="S3231" i="7"/>
  <c r="R3231" i="7"/>
  <c r="Q3231" i="7"/>
  <c r="P3231" i="7"/>
  <c r="O3231" i="7"/>
  <c r="U3230" i="7"/>
  <c r="T3230" i="7"/>
  <c r="S3230" i="7"/>
  <c r="R3230" i="7"/>
  <c r="Q3230" i="7"/>
  <c r="P3230" i="7"/>
  <c r="O3230" i="7"/>
  <c r="U3229" i="7"/>
  <c r="T3229" i="7"/>
  <c r="S3229" i="7"/>
  <c r="R3229" i="7"/>
  <c r="Q3229" i="7"/>
  <c r="P3229" i="7"/>
  <c r="O3229" i="7"/>
  <c r="U3228" i="7"/>
  <c r="T3228" i="7"/>
  <c r="S3228" i="7"/>
  <c r="R3228" i="7"/>
  <c r="Q3228" i="7"/>
  <c r="P3228" i="7"/>
  <c r="O3228" i="7"/>
  <c r="U3227" i="7"/>
  <c r="T3227" i="7"/>
  <c r="S3227" i="7"/>
  <c r="R3227" i="7"/>
  <c r="Q3227" i="7"/>
  <c r="P3227" i="7"/>
  <c r="O3227" i="7"/>
  <c r="U3226" i="7"/>
  <c r="T3226" i="7"/>
  <c r="S3226" i="7"/>
  <c r="R3226" i="7"/>
  <c r="Q3226" i="7"/>
  <c r="P3226" i="7"/>
  <c r="O3226" i="7"/>
  <c r="U3225" i="7"/>
  <c r="T3225" i="7"/>
  <c r="S3225" i="7"/>
  <c r="R3225" i="7"/>
  <c r="Q3225" i="7"/>
  <c r="P3225" i="7"/>
  <c r="O3225" i="7"/>
  <c r="U3224" i="7"/>
  <c r="T3224" i="7"/>
  <c r="S3224" i="7"/>
  <c r="R3224" i="7"/>
  <c r="Q3224" i="7"/>
  <c r="P3224" i="7"/>
  <c r="O3224" i="7"/>
  <c r="U3223" i="7"/>
  <c r="T3223" i="7"/>
  <c r="S3223" i="7"/>
  <c r="R3223" i="7"/>
  <c r="Q3223" i="7"/>
  <c r="P3223" i="7"/>
  <c r="O3223" i="7"/>
  <c r="U3222" i="7"/>
  <c r="T3222" i="7"/>
  <c r="S3222" i="7"/>
  <c r="R3222" i="7"/>
  <c r="Q3222" i="7"/>
  <c r="P3222" i="7"/>
  <c r="O3222" i="7"/>
  <c r="U3221" i="7"/>
  <c r="T3221" i="7"/>
  <c r="S3221" i="7"/>
  <c r="R3221" i="7"/>
  <c r="Q3221" i="7"/>
  <c r="P3221" i="7"/>
  <c r="O3221" i="7"/>
  <c r="U3220" i="7"/>
  <c r="T3220" i="7"/>
  <c r="S3220" i="7"/>
  <c r="R3220" i="7"/>
  <c r="Q3220" i="7"/>
  <c r="P3220" i="7"/>
  <c r="O3220" i="7"/>
  <c r="U3219" i="7"/>
  <c r="T3219" i="7"/>
  <c r="S3219" i="7"/>
  <c r="R3219" i="7"/>
  <c r="Q3219" i="7"/>
  <c r="P3219" i="7"/>
  <c r="O3219" i="7"/>
  <c r="U3218" i="7"/>
  <c r="T3218" i="7"/>
  <c r="S3218" i="7"/>
  <c r="R3218" i="7"/>
  <c r="Q3218" i="7"/>
  <c r="P3218" i="7"/>
  <c r="O3218" i="7"/>
  <c r="U3217" i="7"/>
  <c r="T3217" i="7"/>
  <c r="S3217" i="7"/>
  <c r="R3217" i="7"/>
  <c r="Q3217" i="7"/>
  <c r="P3217" i="7"/>
  <c r="O3217" i="7"/>
  <c r="U3216" i="7"/>
  <c r="T3216" i="7"/>
  <c r="S3216" i="7"/>
  <c r="R3216" i="7"/>
  <c r="Q3216" i="7"/>
  <c r="P3216" i="7"/>
  <c r="O3216" i="7"/>
  <c r="U3215" i="7"/>
  <c r="T3215" i="7"/>
  <c r="S3215" i="7"/>
  <c r="R3215" i="7"/>
  <c r="Q3215" i="7"/>
  <c r="P3215" i="7"/>
  <c r="O3215" i="7"/>
  <c r="U3214" i="7"/>
  <c r="T3214" i="7"/>
  <c r="S3214" i="7"/>
  <c r="R3214" i="7"/>
  <c r="Q3214" i="7"/>
  <c r="P3214" i="7"/>
  <c r="O3214" i="7"/>
  <c r="U3213" i="7"/>
  <c r="T3213" i="7"/>
  <c r="S3213" i="7"/>
  <c r="R3213" i="7"/>
  <c r="Q3213" i="7"/>
  <c r="P3213" i="7"/>
  <c r="O3213" i="7"/>
  <c r="U3212" i="7"/>
  <c r="T3212" i="7"/>
  <c r="S3212" i="7"/>
  <c r="R3212" i="7"/>
  <c r="Q3212" i="7"/>
  <c r="P3212" i="7"/>
  <c r="O3212" i="7"/>
  <c r="U3211" i="7"/>
  <c r="T3211" i="7"/>
  <c r="S3211" i="7"/>
  <c r="R3211" i="7"/>
  <c r="Q3211" i="7"/>
  <c r="P3211" i="7"/>
  <c r="O3211" i="7"/>
  <c r="U3210" i="7"/>
  <c r="T3210" i="7"/>
  <c r="S3210" i="7"/>
  <c r="R3210" i="7"/>
  <c r="Q3210" i="7"/>
  <c r="P3210" i="7"/>
  <c r="O3210" i="7"/>
  <c r="U3209" i="7"/>
  <c r="T3209" i="7"/>
  <c r="S3209" i="7"/>
  <c r="R3209" i="7"/>
  <c r="Q3209" i="7"/>
  <c r="P3209" i="7"/>
  <c r="O3209" i="7"/>
  <c r="U3208" i="7"/>
  <c r="T3208" i="7"/>
  <c r="S3208" i="7"/>
  <c r="R3208" i="7"/>
  <c r="Q3208" i="7"/>
  <c r="P3208" i="7"/>
  <c r="O3208" i="7"/>
  <c r="U3207" i="7"/>
  <c r="T3207" i="7"/>
  <c r="S3207" i="7"/>
  <c r="R3207" i="7"/>
  <c r="Q3207" i="7"/>
  <c r="P3207" i="7"/>
  <c r="O3207" i="7"/>
  <c r="U3206" i="7"/>
  <c r="T3206" i="7"/>
  <c r="S3206" i="7"/>
  <c r="R3206" i="7"/>
  <c r="Q3206" i="7"/>
  <c r="P3206" i="7"/>
  <c r="O3206" i="7"/>
  <c r="U3205" i="7"/>
  <c r="T3205" i="7"/>
  <c r="S3205" i="7"/>
  <c r="R3205" i="7"/>
  <c r="Q3205" i="7"/>
  <c r="P3205" i="7"/>
  <c r="O3205" i="7"/>
  <c r="U3204" i="7"/>
  <c r="T3204" i="7"/>
  <c r="S3204" i="7"/>
  <c r="R3204" i="7"/>
  <c r="Q3204" i="7"/>
  <c r="P3204" i="7"/>
  <c r="O3204" i="7"/>
  <c r="U3203" i="7"/>
  <c r="T3203" i="7"/>
  <c r="S3203" i="7"/>
  <c r="R3203" i="7"/>
  <c r="Q3203" i="7"/>
  <c r="P3203" i="7"/>
  <c r="O3203" i="7"/>
  <c r="U3202" i="7"/>
  <c r="T3202" i="7"/>
  <c r="S3202" i="7"/>
  <c r="R3202" i="7"/>
  <c r="Q3202" i="7"/>
  <c r="P3202" i="7"/>
  <c r="O3202" i="7"/>
  <c r="U3201" i="7"/>
  <c r="T3201" i="7"/>
  <c r="S3201" i="7"/>
  <c r="R3201" i="7"/>
  <c r="Q3201" i="7"/>
  <c r="P3201" i="7"/>
  <c r="O3201" i="7"/>
  <c r="U3200" i="7"/>
  <c r="T3200" i="7"/>
  <c r="S3200" i="7"/>
  <c r="R3200" i="7"/>
  <c r="Q3200" i="7"/>
  <c r="P3200" i="7"/>
  <c r="O3200" i="7"/>
  <c r="U3199" i="7"/>
  <c r="T3199" i="7"/>
  <c r="S3199" i="7"/>
  <c r="R3199" i="7"/>
  <c r="Q3199" i="7"/>
  <c r="P3199" i="7"/>
  <c r="O3199" i="7"/>
  <c r="U3198" i="7"/>
  <c r="T3198" i="7"/>
  <c r="S3198" i="7"/>
  <c r="R3198" i="7"/>
  <c r="Q3198" i="7"/>
  <c r="P3198" i="7"/>
  <c r="O3198" i="7"/>
  <c r="U3197" i="7"/>
  <c r="T3197" i="7"/>
  <c r="S3197" i="7"/>
  <c r="R3197" i="7"/>
  <c r="Q3197" i="7"/>
  <c r="P3197" i="7"/>
  <c r="O3197" i="7"/>
  <c r="U3196" i="7"/>
  <c r="T3196" i="7"/>
  <c r="S3196" i="7"/>
  <c r="R3196" i="7"/>
  <c r="Q3196" i="7"/>
  <c r="P3196" i="7"/>
  <c r="O3196" i="7"/>
  <c r="U3195" i="7"/>
  <c r="T3195" i="7"/>
  <c r="S3195" i="7"/>
  <c r="R3195" i="7"/>
  <c r="Q3195" i="7"/>
  <c r="P3195" i="7"/>
  <c r="O3195" i="7"/>
  <c r="U3194" i="7"/>
  <c r="T3194" i="7"/>
  <c r="S3194" i="7"/>
  <c r="R3194" i="7"/>
  <c r="Q3194" i="7"/>
  <c r="P3194" i="7"/>
  <c r="O3194" i="7"/>
  <c r="U3193" i="7"/>
  <c r="T3193" i="7"/>
  <c r="S3193" i="7"/>
  <c r="R3193" i="7"/>
  <c r="Q3193" i="7"/>
  <c r="P3193" i="7"/>
  <c r="O3193" i="7"/>
  <c r="U3192" i="7"/>
  <c r="T3192" i="7"/>
  <c r="S3192" i="7"/>
  <c r="R3192" i="7"/>
  <c r="Q3192" i="7"/>
  <c r="P3192" i="7"/>
  <c r="O3192" i="7"/>
  <c r="U3191" i="7"/>
  <c r="T3191" i="7"/>
  <c r="S3191" i="7"/>
  <c r="R3191" i="7"/>
  <c r="Q3191" i="7"/>
  <c r="P3191" i="7"/>
  <c r="O3191" i="7"/>
  <c r="U3190" i="7"/>
  <c r="T3190" i="7"/>
  <c r="S3190" i="7"/>
  <c r="R3190" i="7"/>
  <c r="Q3190" i="7"/>
  <c r="P3190" i="7"/>
  <c r="O3190" i="7"/>
  <c r="U3189" i="7"/>
  <c r="T3189" i="7"/>
  <c r="S3189" i="7"/>
  <c r="R3189" i="7"/>
  <c r="Q3189" i="7"/>
  <c r="P3189" i="7"/>
  <c r="O3189" i="7"/>
  <c r="U3188" i="7"/>
  <c r="T3188" i="7"/>
  <c r="S3188" i="7"/>
  <c r="R3188" i="7"/>
  <c r="Q3188" i="7"/>
  <c r="P3188" i="7"/>
  <c r="O3188" i="7"/>
  <c r="U3187" i="7"/>
  <c r="T3187" i="7"/>
  <c r="S3187" i="7"/>
  <c r="R3187" i="7"/>
  <c r="Q3187" i="7"/>
  <c r="P3187" i="7"/>
  <c r="O3187" i="7"/>
  <c r="U3186" i="7"/>
  <c r="T3186" i="7"/>
  <c r="S3186" i="7"/>
  <c r="R3186" i="7"/>
  <c r="Q3186" i="7"/>
  <c r="P3186" i="7"/>
  <c r="O3186" i="7"/>
  <c r="U3185" i="7"/>
  <c r="T3185" i="7"/>
  <c r="S3185" i="7"/>
  <c r="R3185" i="7"/>
  <c r="Q3185" i="7"/>
  <c r="P3185" i="7"/>
  <c r="O3185" i="7"/>
  <c r="U3184" i="7"/>
  <c r="T3184" i="7"/>
  <c r="S3184" i="7"/>
  <c r="R3184" i="7"/>
  <c r="Q3184" i="7"/>
  <c r="P3184" i="7"/>
  <c r="O3184" i="7"/>
  <c r="U3183" i="7"/>
  <c r="T3183" i="7"/>
  <c r="S3183" i="7"/>
  <c r="R3183" i="7"/>
  <c r="Q3183" i="7"/>
  <c r="P3183" i="7"/>
  <c r="O3183" i="7"/>
  <c r="U3182" i="7"/>
  <c r="T3182" i="7"/>
  <c r="S3182" i="7"/>
  <c r="R3182" i="7"/>
  <c r="Q3182" i="7"/>
  <c r="P3182" i="7"/>
  <c r="O3182" i="7"/>
  <c r="U3181" i="7"/>
  <c r="T3181" i="7"/>
  <c r="S3181" i="7"/>
  <c r="R3181" i="7"/>
  <c r="Q3181" i="7"/>
  <c r="P3181" i="7"/>
  <c r="O3181" i="7"/>
  <c r="U3180" i="7"/>
  <c r="T3180" i="7"/>
  <c r="S3180" i="7"/>
  <c r="R3180" i="7"/>
  <c r="Q3180" i="7"/>
  <c r="P3180" i="7"/>
  <c r="O3180" i="7"/>
  <c r="U3179" i="7"/>
  <c r="T3179" i="7"/>
  <c r="S3179" i="7"/>
  <c r="R3179" i="7"/>
  <c r="Q3179" i="7"/>
  <c r="P3179" i="7"/>
  <c r="O3179" i="7"/>
  <c r="U3178" i="7"/>
  <c r="T3178" i="7"/>
  <c r="S3178" i="7"/>
  <c r="R3178" i="7"/>
  <c r="Q3178" i="7"/>
  <c r="P3178" i="7"/>
  <c r="O3178" i="7"/>
  <c r="U3177" i="7"/>
  <c r="T3177" i="7"/>
  <c r="S3177" i="7"/>
  <c r="R3177" i="7"/>
  <c r="Q3177" i="7"/>
  <c r="P3177" i="7"/>
  <c r="O3177" i="7"/>
  <c r="U3176" i="7"/>
  <c r="T3176" i="7"/>
  <c r="S3176" i="7"/>
  <c r="R3176" i="7"/>
  <c r="Q3176" i="7"/>
  <c r="P3176" i="7"/>
  <c r="O3176" i="7"/>
  <c r="U3175" i="7"/>
  <c r="T3175" i="7"/>
  <c r="S3175" i="7"/>
  <c r="R3175" i="7"/>
  <c r="Q3175" i="7"/>
  <c r="P3175" i="7"/>
  <c r="O3175" i="7"/>
  <c r="U3174" i="7"/>
  <c r="T3174" i="7"/>
  <c r="S3174" i="7"/>
  <c r="R3174" i="7"/>
  <c r="Q3174" i="7"/>
  <c r="P3174" i="7"/>
  <c r="O3174" i="7"/>
  <c r="U3173" i="7"/>
  <c r="T3173" i="7"/>
  <c r="S3173" i="7"/>
  <c r="R3173" i="7"/>
  <c r="Q3173" i="7"/>
  <c r="P3173" i="7"/>
  <c r="O3173" i="7"/>
  <c r="U3172" i="7"/>
  <c r="T3172" i="7"/>
  <c r="S3172" i="7"/>
  <c r="R3172" i="7"/>
  <c r="Q3172" i="7"/>
  <c r="P3172" i="7"/>
  <c r="O3172" i="7"/>
  <c r="U3171" i="7"/>
  <c r="T3171" i="7"/>
  <c r="S3171" i="7"/>
  <c r="R3171" i="7"/>
  <c r="Q3171" i="7"/>
  <c r="P3171" i="7"/>
  <c r="O3171" i="7"/>
  <c r="U3170" i="7"/>
  <c r="T3170" i="7"/>
  <c r="S3170" i="7"/>
  <c r="R3170" i="7"/>
  <c r="Q3170" i="7"/>
  <c r="P3170" i="7"/>
  <c r="O3170" i="7"/>
  <c r="U3169" i="7"/>
  <c r="T3169" i="7"/>
  <c r="S3169" i="7"/>
  <c r="R3169" i="7"/>
  <c r="Q3169" i="7"/>
  <c r="P3169" i="7"/>
  <c r="O3169" i="7"/>
  <c r="U3168" i="7"/>
  <c r="T3168" i="7"/>
  <c r="S3168" i="7"/>
  <c r="R3168" i="7"/>
  <c r="Q3168" i="7"/>
  <c r="P3168" i="7"/>
  <c r="O3168" i="7"/>
  <c r="U3167" i="7"/>
  <c r="T3167" i="7"/>
  <c r="S3167" i="7"/>
  <c r="R3167" i="7"/>
  <c r="Q3167" i="7"/>
  <c r="P3167" i="7"/>
  <c r="O3167" i="7"/>
  <c r="U3166" i="7"/>
  <c r="T3166" i="7"/>
  <c r="S3166" i="7"/>
  <c r="R3166" i="7"/>
  <c r="Q3166" i="7"/>
  <c r="P3166" i="7"/>
  <c r="O3166" i="7"/>
  <c r="U3165" i="7"/>
  <c r="T3165" i="7"/>
  <c r="S3165" i="7"/>
  <c r="R3165" i="7"/>
  <c r="Q3165" i="7"/>
  <c r="P3165" i="7"/>
  <c r="O3165" i="7"/>
  <c r="U3164" i="7"/>
  <c r="T3164" i="7"/>
  <c r="S3164" i="7"/>
  <c r="R3164" i="7"/>
  <c r="Q3164" i="7"/>
  <c r="P3164" i="7"/>
  <c r="O3164" i="7"/>
  <c r="U3163" i="7"/>
  <c r="T3163" i="7"/>
  <c r="S3163" i="7"/>
  <c r="R3163" i="7"/>
  <c r="Q3163" i="7"/>
  <c r="P3163" i="7"/>
  <c r="O3163" i="7"/>
  <c r="U3162" i="7"/>
  <c r="T3162" i="7"/>
  <c r="S3162" i="7"/>
  <c r="R3162" i="7"/>
  <c r="Q3162" i="7"/>
  <c r="P3162" i="7"/>
  <c r="O3162" i="7"/>
  <c r="U3161" i="7"/>
  <c r="T3161" i="7"/>
  <c r="S3161" i="7"/>
  <c r="R3161" i="7"/>
  <c r="Q3161" i="7"/>
  <c r="P3161" i="7"/>
  <c r="O3161" i="7"/>
  <c r="U3160" i="7"/>
  <c r="T3160" i="7"/>
  <c r="S3160" i="7"/>
  <c r="R3160" i="7"/>
  <c r="Q3160" i="7"/>
  <c r="P3160" i="7"/>
  <c r="O3160" i="7"/>
  <c r="U3159" i="7"/>
  <c r="T3159" i="7"/>
  <c r="S3159" i="7"/>
  <c r="R3159" i="7"/>
  <c r="Q3159" i="7"/>
  <c r="P3159" i="7"/>
  <c r="O3159" i="7"/>
  <c r="U3158" i="7"/>
  <c r="T3158" i="7"/>
  <c r="S3158" i="7"/>
  <c r="R3158" i="7"/>
  <c r="Q3158" i="7"/>
  <c r="P3158" i="7"/>
  <c r="O3158" i="7"/>
  <c r="U3157" i="7"/>
  <c r="T3157" i="7"/>
  <c r="S3157" i="7"/>
  <c r="R3157" i="7"/>
  <c r="Q3157" i="7"/>
  <c r="P3157" i="7"/>
  <c r="O3157" i="7"/>
  <c r="U3156" i="7"/>
  <c r="T3156" i="7"/>
  <c r="S3156" i="7"/>
  <c r="R3156" i="7"/>
  <c r="Q3156" i="7"/>
  <c r="P3156" i="7"/>
  <c r="O3156" i="7"/>
  <c r="U3155" i="7"/>
  <c r="T3155" i="7"/>
  <c r="S3155" i="7"/>
  <c r="R3155" i="7"/>
  <c r="Q3155" i="7"/>
  <c r="P3155" i="7"/>
  <c r="O3155" i="7"/>
  <c r="U3154" i="7"/>
  <c r="T3154" i="7"/>
  <c r="S3154" i="7"/>
  <c r="R3154" i="7"/>
  <c r="Q3154" i="7"/>
  <c r="P3154" i="7"/>
  <c r="O3154" i="7"/>
  <c r="U3153" i="7"/>
  <c r="T3153" i="7"/>
  <c r="S3153" i="7"/>
  <c r="R3153" i="7"/>
  <c r="Q3153" i="7"/>
  <c r="P3153" i="7"/>
  <c r="O3153" i="7"/>
  <c r="U3152" i="7"/>
  <c r="T3152" i="7"/>
  <c r="S3152" i="7"/>
  <c r="R3152" i="7"/>
  <c r="Q3152" i="7"/>
  <c r="P3152" i="7"/>
  <c r="O3152" i="7"/>
  <c r="U3151" i="7"/>
  <c r="T3151" i="7"/>
  <c r="S3151" i="7"/>
  <c r="R3151" i="7"/>
  <c r="Q3151" i="7"/>
  <c r="P3151" i="7"/>
  <c r="O3151" i="7"/>
  <c r="U3150" i="7"/>
  <c r="T3150" i="7"/>
  <c r="S3150" i="7"/>
  <c r="R3150" i="7"/>
  <c r="Q3150" i="7"/>
  <c r="P3150" i="7"/>
  <c r="O3150" i="7"/>
  <c r="U3149" i="7"/>
  <c r="T3149" i="7"/>
  <c r="S3149" i="7"/>
  <c r="R3149" i="7"/>
  <c r="Q3149" i="7"/>
  <c r="P3149" i="7"/>
  <c r="O3149" i="7"/>
  <c r="U3148" i="7"/>
  <c r="T3148" i="7"/>
  <c r="S3148" i="7"/>
  <c r="R3148" i="7"/>
  <c r="Q3148" i="7"/>
  <c r="P3148" i="7"/>
  <c r="O3148" i="7"/>
  <c r="U3147" i="7"/>
  <c r="T3147" i="7"/>
  <c r="S3147" i="7"/>
  <c r="R3147" i="7"/>
  <c r="Q3147" i="7"/>
  <c r="P3147" i="7"/>
  <c r="O3147" i="7"/>
  <c r="U3146" i="7"/>
  <c r="T3146" i="7"/>
  <c r="S3146" i="7"/>
  <c r="R3146" i="7"/>
  <c r="Q3146" i="7"/>
  <c r="P3146" i="7"/>
  <c r="O3146" i="7"/>
  <c r="U3145" i="7"/>
  <c r="T3145" i="7"/>
  <c r="S3145" i="7"/>
  <c r="R3145" i="7"/>
  <c r="Q3145" i="7"/>
  <c r="P3145" i="7"/>
  <c r="O3145" i="7"/>
  <c r="U3144" i="7"/>
  <c r="T3144" i="7"/>
  <c r="S3144" i="7"/>
  <c r="R3144" i="7"/>
  <c r="Q3144" i="7"/>
  <c r="P3144" i="7"/>
  <c r="O3144" i="7"/>
  <c r="U3143" i="7"/>
  <c r="T3143" i="7"/>
  <c r="S3143" i="7"/>
  <c r="R3143" i="7"/>
  <c r="Q3143" i="7"/>
  <c r="P3143" i="7"/>
  <c r="O3143" i="7"/>
  <c r="U3142" i="7"/>
  <c r="T3142" i="7"/>
  <c r="S3142" i="7"/>
  <c r="R3142" i="7"/>
  <c r="Q3142" i="7"/>
  <c r="P3142" i="7"/>
  <c r="O3142" i="7"/>
  <c r="U3141" i="7"/>
  <c r="T3141" i="7"/>
  <c r="S3141" i="7"/>
  <c r="R3141" i="7"/>
  <c r="Q3141" i="7"/>
  <c r="P3141" i="7"/>
  <c r="O3141" i="7"/>
  <c r="U3140" i="7"/>
  <c r="T3140" i="7"/>
  <c r="S3140" i="7"/>
  <c r="R3140" i="7"/>
  <c r="Q3140" i="7"/>
  <c r="P3140" i="7"/>
  <c r="O3140" i="7"/>
  <c r="U3139" i="7"/>
  <c r="T3139" i="7"/>
  <c r="S3139" i="7"/>
  <c r="R3139" i="7"/>
  <c r="Q3139" i="7"/>
  <c r="P3139" i="7"/>
  <c r="O3139" i="7"/>
  <c r="U3138" i="7"/>
  <c r="T3138" i="7"/>
  <c r="S3138" i="7"/>
  <c r="R3138" i="7"/>
  <c r="Q3138" i="7"/>
  <c r="P3138" i="7"/>
  <c r="O3138" i="7"/>
  <c r="U3137" i="7"/>
  <c r="T3137" i="7"/>
  <c r="S3137" i="7"/>
  <c r="R3137" i="7"/>
  <c r="Q3137" i="7"/>
  <c r="P3137" i="7"/>
  <c r="O3137" i="7"/>
  <c r="U3136" i="7"/>
  <c r="T3136" i="7"/>
  <c r="S3136" i="7"/>
  <c r="R3136" i="7"/>
  <c r="Q3136" i="7"/>
  <c r="P3136" i="7"/>
  <c r="O3136" i="7"/>
  <c r="U3135" i="7"/>
  <c r="T3135" i="7"/>
  <c r="S3135" i="7"/>
  <c r="R3135" i="7"/>
  <c r="Q3135" i="7"/>
  <c r="P3135" i="7"/>
  <c r="O3135" i="7"/>
  <c r="U3134" i="7"/>
  <c r="T3134" i="7"/>
  <c r="S3134" i="7"/>
  <c r="R3134" i="7"/>
  <c r="Q3134" i="7"/>
  <c r="P3134" i="7"/>
  <c r="O3134" i="7"/>
  <c r="U3133" i="7"/>
  <c r="T3133" i="7"/>
  <c r="S3133" i="7"/>
  <c r="R3133" i="7"/>
  <c r="Q3133" i="7"/>
  <c r="P3133" i="7"/>
  <c r="O3133" i="7"/>
  <c r="U3132" i="7"/>
  <c r="T3132" i="7"/>
  <c r="S3132" i="7"/>
  <c r="R3132" i="7"/>
  <c r="Q3132" i="7"/>
  <c r="P3132" i="7"/>
  <c r="O3132" i="7"/>
  <c r="U3131" i="7"/>
  <c r="T3131" i="7"/>
  <c r="S3131" i="7"/>
  <c r="R3131" i="7"/>
  <c r="Q3131" i="7"/>
  <c r="P3131" i="7"/>
  <c r="O3131" i="7"/>
  <c r="U3130" i="7"/>
  <c r="T3130" i="7"/>
  <c r="S3130" i="7"/>
  <c r="R3130" i="7"/>
  <c r="Q3130" i="7"/>
  <c r="P3130" i="7"/>
  <c r="O3130" i="7"/>
  <c r="U3129" i="7"/>
  <c r="T3129" i="7"/>
  <c r="S3129" i="7"/>
  <c r="R3129" i="7"/>
  <c r="Q3129" i="7"/>
  <c r="P3129" i="7"/>
  <c r="O3129" i="7"/>
  <c r="U3128" i="7"/>
  <c r="T3128" i="7"/>
  <c r="S3128" i="7"/>
  <c r="R3128" i="7"/>
  <c r="Q3128" i="7"/>
  <c r="P3128" i="7"/>
  <c r="O3128" i="7"/>
  <c r="U3127" i="7"/>
  <c r="T3127" i="7"/>
  <c r="S3127" i="7"/>
  <c r="R3127" i="7"/>
  <c r="Q3127" i="7"/>
  <c r="P3127" i="7"/>
  <c r="O3127" i="7"/>
  <c r="U3126" i="7"/>
  <c r="T3126" i="7"/>
  <c r="S3126" i="7"/>
  <c r="R3126" i="7"/>
  <c r="Q3126" i="7"/>
  <c r="P3126" i="7"/>
  <c r="O3126" i="7"/>
  <c r="U3125" i="7"/>
  <c r="T3125" i="7"/>
  <c r="S3125" i="7"/>
  <c r="R3125" i="7"/>
  <c r="Q3125" i="7"/>
  <c r="P3125" i="7"/>
  <c r="O3125" i="7"/>
  <c r="U3124" i="7"/>
  <c r="T3124" i="7"/>
  <c r="S3124" i="7"/>
  <c r="R3124" i="7"/>
  <c r="Q3124" i="7"/>
  <c r="P3124" i="7"/>
  <c r="O3124" i="7"/>
  <c r="U3123" i="7"/>
  <c r="T3123" i="7"/>
  <c r="S3123" i="7"/>
  <c r="R3123" i="7"/>
  <c r="Q3123" i="7"/>
  <c r="P3123" i="7"/>
  <c r="O3123" i="7"/>
  <c r="U3122" i="7"/>
  <c r="T3122" i="7"/>
  <c r="S3122" i="7"/>
  <c r="R3122" i="7"/>
  <c r="Q3122" i="7"/>
  <c r="P3122" i="7"/>
  <c r="O3122" i="7"/>
  <c r="U3121" i="7"/>
  <c r="T3121" i="7"/>
  <c r="S3121" i="7"/>
  <c r="R3121" i="7"/>
  <c r="Q3121" i="7"/>
  <c r="P3121" i="7"/>
  <c r="O3121" i="7"/>
  <c r="U3120" i="7"/>
  <c r="T3120" i="7"/>
  <c r="S3120" i="7"/>
  <c r="R3120" i="7"/>
  <c r="Q3120" i="7"/>
  <c r="P3120" i="7"/>
  <c r="O3120" i="7"/>
  <c r="U3119" i="7"/>
  <c r="T3119" i="7"/>
  <c r="S3119" i="7"/>
  <c r="R3119" i="7"/>
  <c r="Q3119" i="7"/>
  <c r="P3119" i="7"/>
  <c r="O3119" i="7"/>
  <c r="U3118" i="7"/>
  <c r="T3118" i="7"/>
  <c r="S3118" i="7"/>
  <c r="R3118" i="7"/>
  <c r="Q3118" i="7"/>
  <c r="P3118" i="7"/>
  <c r="O3118" i="7"/>
  <c r="U3117" i="7"/>
  <c r="T3117" i="7"/>
  <c r="S3117" i="7"/>
  <c r="R3117" i="7"/>
  <c r="Q3117" i="7"/>
  <c r="P3117" i="7"/>
  <c r="O3117" i="7"/>
  <c r="U3116" i="7"/>
  <c r="T3116" i="7"/>
  <c r="S3116" i="7"/>
  <c r="R3116" i="7"/>
  <c r="Q3116" i="7"/>
  <c r="P3116" i="7"/>
  <c r="O3116" i="7"/>
  <c r="U3115" i="7"/>
  <c r="T3115" i="7"/>
  <c r="S3115" i="7"/>
  <c r="R3115" i="7"/>
  <c r="Q3115" i="7"/>
  <c r="P3115" i="7"/>
  <c r="O3115" i="7"/>
  <c r="U3114" i="7"/>
  <c r="T3114" i="7"/>
  <c r="S3114" i="7"/>
  <c r="R3114" i="7"/>
  <c r="Q3114" i="7"/>
  <c r="P3114" i="7"/>
  <c r="O3114" i="7"/>
  <c r="U3113" i="7"/>
  <c r="T3113" i="7"/>
  <c r="S3113" i="7"/>
  <c r="R3113" i="7"/>
  <c r="Q3113" i="7"/>
  <c r="P3113" i="7"/>
  <c r="O3113" i="7"/>
  <c r="U3112" i="7"/>
  <c r="T3112" i="7"/>
  <c r="S3112" i="7"/>
  <c r="R3112" i="7"/>
  <c r="Q3112" i="7"/>
  <c r="P3112" i="7"/>
  <c r="O3112" i="7"/>
  <c r="U3111" i="7"/>
  <c r="T3111" i="7"/>
  <c r="S3111" i="7"/>
  <c r="R3111" i="7"/>
  <c r="Q3111" i="7"/>
  <c r="P3111" i="7"/>
  <c r="O3111" i="7"/>
  <c r="U3110" i="7"/>
  <c r="T3110" i="7"/>
  <c r="S3110" i="7"/>
  <c r="R3110" i="7"/>
  <c r="Q3110" i="7"/>
  <c r="P3110" i="7"/>
  <c r="O3110" i="7"/>
  <c r="U3109" i="7"/>
  <c r="T3109" i="7"/>
  <c r="S3109" i="7"/>
  <c r="R3109" i="7"/>
  <c r="Q3109" i="7"/>
  <c r="P3109" i="7"/>
  <c r="O3109" i="7"/>
  <c r="U3108" i="7"/>
  <c r="T3108" i="7"/>
  <c r="S3108" i="7"/>
  <c r="R3108" i="7"/>
  <c r="Q3108" i="7"/>
  <c r="P3108" i="7"/>
  <c r="O3108" i="7"/>
  <c r="U3107" i="7"/>
  <c r="T3107" i="7"/>
  <c r="S3107" i="7"/>
  <c r="R3107" i="7"/>
  <c r="Q3107" i="7"/>
  <c r="P3107" i="7"/>
  <c r="O3107" i="7"/>
  <c r="U3106" i="7"/>
  <c r="T3106" i="7"/>
  <c r="S3106" i="7"/>
  <c r="R3106" i="7"/>
  <c r="Q3106" i="7"/>
  <c r="P3106" i="7"/>
  <c r="O3106" i="7"/>
  <c r="U3105" i="7"/>
  <c r="T3105" i="7"/>
  <c r="S3105" i="7"/>
  <c r="R3105" i="7"/>
  <c r="Q3105" i="7"/>
  <c r="P3105" i="7"/>
  <c r="O3105" i="7"/>
  <c r="U3104" i="7"/>
  <c r="T3104" i="7"/>
  <c r="S3104" i="7"/>
  <c r="R3104" i="7"/>
  <c r="Q3104" i="7"/>
  <c r="P3104" i="7"/>
  <c r="O3104" i="7"/>
  <c r="U3103" i="7"/>
  <c r="T3103" i="7"/>
  <c r="S3103" i="7"/>
  <c r="R3103" i="7"/>
  <c r="Q3103" i="7"/>
  <c r="P3103" i="7"/>
  <c r="O3103" i="7"/>
  <c r="U3102" i="7"/>
  <c r="T3102" i="7"/>
  <c r="S3102" i="7"/>
  <c r="R3102" i="7"/>
  <c r="Q3102" i="7"/>
  <c r="P3102" i="7"/>
  <c r="O3102" i="7"/>
  <c r="U3101" i="7"/>
  <c r="T3101" i="7"/>
  <c r="S3101" i="7"/>
  <c r="R3101" i="7"/>
  <c r="Q3101" i="7"/>
  <c r="P3101" i="7"/>
  <c r="O3101" i="7"/>
  <c r="U3100" i="7"/>
  <c r="T3100" i="7"/>
  <c r="S3100" i="7"/>
  <c r="R3100" i="7"/>
  <c r="Q3100" i="7"/>
  <c r="P3100" i="7"/>
  <c r="O3100" i="7"/>
  <c r="U3099" i="7"/>
  <c r="T3099" i="7"/>
  <c r="S3099" i="7"/>
  <c r="R3099" i="7"/>
  <c r="Q3099" i="7"/>
  <c r="P3099" i="7"/>
  <c r="O3099" i="7"/>
  <c r="U3098" i="7"/>
  <c r="T3098" i="7"/>
  <c r="S3098" i="7"/>
  <c r="R3098" i="7"/>
  <c r="Q3098" i="7"/>
  <c r="P3098" i="7"/>
  <c r="O3098" i="7"/>
  <c r="U3097" i="7"/>
  <c r="T3097" i="7"/>
  <c r="S3097" i="7"/>
  <c r="R3097" i="7"/>
  <c r="Q3097" i="7"/>
  <c r="P3097" i="7"/>
  <c r="O3097" i="7"/>
  <c r="U3096" i="7"/>
  <c r="T3096" i="7"/>
  <c r="S3096" i="7"/>
  <c r="R3096" i="7"/>
  <c r="Q3096" i="7"/>
  <c r="P3096" i="7"/>
  <c r="O3096" i="7"/>
  <c r="U3095" i="7"/>
  <c r="T3095" i="7"/>
  <c r="S3095" i="7"/>
  <c r="R3095" i="7"/>
  <c r="Q3095" i="7"/>
  <c r="P3095" i="7"/>
  <c r="O3095" i="7"/>
  <c r="U3094" i="7"/>
  <c r="T3094" i="7"/>
  <c r="S3094" i="7"/>
  <c r="R3094" i="7"/>
  <c r="Q3094" i="7"/>
  <c r="P3094" i="7"/>
  <c r="O3094" i="7"/>
  <c r="U3093" i="7"/>
  <c r="T3093" i="7"/>
  <c r="S3093" i="7"/>
  <c r="R3093" i="7"/>
  <c r="Q3093" i="7"/>
  <c r="P3093" i="7"/>
  <c r="O3093" i="7"/>
  <c r="U3092" i="7"/>
  <c r="T3092" i="7"/>
  <c r="S3092" i="7"/>
  <c r="R3092" i="7"/>
  <c r="Q3092" i="7"/>
  <c r="P3092" i="7"/>
  <c r="O3092" i="7"/>
  <c r="U3091" i="7"/>
  <c r="T3091" i="7"/>
  <c r="S3091" i="7"/>
  <c r="R3091" i="7"/>
  <c r="Q3091" i="7"/>
  <c r="P3091" i="7"/>
  <c r="O3091" i="7"/>
  <c r="U3090" i="7"/>
  <c r="T3090" i="7"/>
  <c r="S3090" i="7"/>
  <c r="R3090" i="7"/>
  <c r="Q3090" i="7"/>
  <c r="P3090" i="7"/>
  <c r="O3090" i="7"/>
  <c r="U3089" i="7"/>
  <c r="T3089" i="7"/>
  <c r="S3089" i="7"/>
  <c r="R3089" i="7"/>
  <c r="Q3089" i="7"/>
  <c r="P3089" i="7"/>
  <c r="O3089" i="7"/>
  <c r="U3088" i="7"/>
  <c r="T3088" i="7"/>
  <c r="S3088" i="7"/>
  <c r="R3088" i="7"/>
  <c r="Q3088" i="7"/>
  <c r="P3088" i="7"/>
  <c r="O3088" i="7"/>
  <c r="U3087" i="7"/>
  <c r="T3087" i="7"/>
  <c r="S3087" i="7"/>
  <c r="R3087" i="7"/>
  <c r="Q3087" i="7"/>
  <c r="P3087" i="7"/>
  <c r="O3087" i="7"/>
  <c r="U3086" i="7"/>
  <c r="T3086" i="7"/>
  <c r="S3086" i="7"/>
  <c r="R3086" i="7"/>
  <c r="Q3086" i="7"/>
  <c r="P3086" i="7"/>
  <c r="O3086" i="7"/>
  <c r="U3085" i="7"/>
  <c r="T3085" i="7"/>
  <c r="S3085" i="7"/>
  <c r="R3085" i="7"/>
  <c r="Q3085" i="7"/>
  <c r="P3085" i="7"/>
  <c r="O3085" i="7"/>
  <c r="U3084" i="7"/>
  <c r="T3084" i="7"/>
  <c r="S3084" i="7"/>
  <c r="R3084" i="7"/>
  <c r="Q3084" i="7"/>
  <c r="P3084" i="7"/>
  <c r="O3084" i="7"/>
  <c r="U3083" i="7"/>
  <c r="T3083" i="7"/>
  <c r="S3083" i="7"/>
  <c r="R3083" i="7"/>
  <c r="Q3083" i="7"/>
  <c r="P3083" i="7"/>
  <c r="O3083" i="7"/>
  <c r="U3082" i="7"/>
  <c r="T3082" i="7"/>
  <c r="S3082" i="7"/>
  <c r="R3082" i="7"/>
  <c r="Q3082" i="7"/>
  <c r="P3082" i="7"/>
  <c r="O3082" i="7"/>
  <c r="U3081" i="7"/>
  <c r="T3081" i="7"/>
  <c r="S3081" i="7"/>
  <c r="R3081" i="7"/>
  <c r="Q3081" i="7"/>
  <c r="P3081" i="7"/>
  <c r="O3081" i="7"/>
  <c r="U3080" i="7"/>
  <c r="T3080" i="7"/>
  <c r="S3080" i="7"/>
  <c r="R3080" i="7"/>
  <c r="Q3080" i="7"/>
  <c r="P3080" i="7"/>
  <c r="O3080" i="7"/>
  <c r="U3079" i="7"/>
  <c r="T3079" i="7"/>
  <c r="S3079" i="7"/>
  <c r="R3079" i="7"/>
  <c r="Q3079" i="7"/>
  <c r="P3079" i="7"/>
  <c r="O3079" i="7"/>
  <c r="U3078" i="7"/>
  <c r="T3078" i="7"/>
  <c r="S3078" i="7"/>
  <c r="R3078" i="7"/>
  <c r="Q3078" i="7"/>
  <c r="P3078" i="7"/>
  <c r="O3078" i="7"/>
  <c r="U3077" i="7"/>
  <c r="T3077" i="7"/>
  <c r="S3077" i="7"/>
  <c r="R3077" i="7"/>
  <c r="Q3077" i="7"/>
  <c r="P3077" i="7"/>
  <c r="O3077" i="7"/>
  <c r="U3076" i="7"/>
  <c r="T3076" i="7"/>
  <c r="S3076" i="7"/>
  <c r="R3076" i="7"/>
  <c r="Q3076" i="7"/>
  <c r="P3076" i="7"/>
  <c r="O3076" i="7"/>
  <c r="U3075" i="7"/>
  <c r="T3075" i="7"/>
  <c r="S3075" i="7"/>
  <c r="R3075" i="7"/>
  <c r="Q3075" i="7"/>
  <c r="P3075" i="7"/>
  <c r="O3075" i="7"/>
  <c r="U3074" i="7"/>
  <c r="T3074" i="7"/>
  <c r="S3074" i="7"/>
  <c r="R3074" i="7"/>
  <c r="Q3074" i="7"/>
  <c r="P3074" i="7"/>
  <c r="O3074" i="7"/>
  <c r="U3073" i="7"/>
  <c r="T3073" i="7"/>
  <c r="S3073" i="7"/>
  <c r="R3073" i="7"/>
  <c r="Q3073" i="7"/>
  <c r="P3073" i="7"/>
  <c r="O3073" i="7"/>
  <c r="U3072" i="7"/>
  <c r="T3072" i="7"/>
  <c r="S3072" i="7"/>
  <c r="R3072" i="7"/>
  <c r="Q3072" i="7"/>
  <c r="P3072" i="7"/>
  <c r="O3072" i="7"/>
  <c r="U3071" i="7"/>
  <c r="T3071" i="7"/>
  <c r="S3071" i="7"/>
  <c r="R3071" i="7"/>
  <c r="Q3071" i="7"/>
  <c r="P3071" i="7"/>
  <c r="O3071" i="7"/>
  <c r="U3070" i="7"/>
  <c r="T3070" i="7"/>
  <c r="S3070" i="7"/>
  <c r="R3070" i="7"/>
  <c r="Q3070" i="7"/>
  <c r="P3070" i="7"/>
  <c r="O3070" i="7"/>
  <c r="U3069" i="7"/>
  <c r="T3069" i="7"/>
  <c r="S3069" i="7"/>
  <c r="R3069" i="7"/>
  <c r="Q3069" i="7"/>
  <c r="P3069" i="7"/>
  <c r="O3069" i="7"/>
  <c r="U3068" i="7"/>
  <c r="T3068" i="7"/>
  <c r="S3068" i="7"/>
  <c r="R3068" i="7"/>
  <c r="Q3068" i="7"/>
  <c r="P3068" i="7"/>
  <c r="O3068" i="7"/>
  <c r="U3067" i="7"/>
  <c r="T3067" i="7"/>
  <c r="S3067" i="7"/>
  <c r="R3067" i="7"/>
  <c r="Q3067" i="7"/>
  <c r="P3067" i="7"/>
  <c r="O3067" i="7"/>
  <c r="U3066" i="7"/>
  <c r="T3066" i="7"/>
  <c r="S3066" i="7"/>
  <c r="R3066" i="7"/>
  <c r="Q3066" i="7"/>
  <c r="P3066" i="7"/>
  <c r="O3066" i="7"/>
  <c r="U3065" i="7"/>
  <c r="T3065" i="7"/>
  <c r="S3065" i="7"/>
  <c r="R3065" i="7"/>
  <c r="Q3065" i="7"/>
  <c r="P3065" i="7"/>
  <c r="O3065" i="7"/>
  <c r="U3064" i="7"/>
  <c r="T3064" i="7"/>
  <c r="S3064" i="7"/>
  <c r="R3064" i="7"/>
  <c r="Q3064" i="7"/>
  <c r="P3064" i="7"/>
  <c r="O3064" i="7"/>
  <c r="U3063" i="7"/>
  <c r="T3063" i="7"/>
  <c r="S3063" i="7"/>
  <c r="R3063" i="7"/>
  <c r="Q3063" i="7"/>
  <c r="P3063" i="7"/>
  <c r="O3063" i="7"/>
  <c r="U3062" i="7"/>
  <c r="T3062" i="7"/>
  <c r="S3062" i="7"/>
  <c r="R3062" i="7"/>
  <c r="Q3062" i="7"/>
  <c r="P3062" i="7"/>
  <c r="O3062" i="7"/>
  <c r="U3061" i="7"/>
  <c r="T3061" i="7"/>
  <c r="S3061" i="7"/>
  <c r="R3061" i="7"/>
  <c r="Q3061" i="7"/>
  <c r="P3061" i="7"/>
  <c r="O3061" i="7"/>
  <c r="U3060" i="7"/>
  <c r="T3060" i="7"/>
  <c r="S3060" i="7"/>
  <c r="R3060" i="7"/>
  <c r="Q3060" i="7"/>
  <c r="P3060" i="7"/>
  <c r="O3060" i="7"/>
  <c r="U3059" i="7"/>
  <c r="T3059" i="7"/>
  <c r="S3059" i="7"/>
  <c r="R3059" i="7"/>
  <c r="Q3059" i="7"/>
  <c r="P3059" i="7"/>
  <c r="O3059" i="7"/>
  <c r="U3058" i="7"/>
  <c r="T3058" i="7"/>
  <c r="S3058" i="7"/>
  <c r="R3058" i="7"/>
  <c r="Q3058" i="7"/>
  <c r="P3058" i="7"/>
  <c r="O3058" i="7"/>
  <c r="U3057" i="7"/>
  <c r="T3057" i="7"/>
  <c r="S3057" i="7"/>
  <c r="R3057" i="7"/>
  <c r="Q3057" i="7"/>
  <c r="P3057" i="7"/>
  <c r="O3057" i="7"/>
  <c r="U3056" i="7"/>
  <c r="T3056" i="7"/>
  <c r="S3056" i="7"/>
  <c r="R3056" i="7"/>
  <c r="Q3056" i="7"/>
  <c r="P3056" i="7"/>
  <c r="O3056" i="7"/>
  <c r="U3055" i="7"/>
  <c r="T3055" i="7"/>
  <c r="S3055" i="7"/>
  <c r="R3055" i="7"/>
  <c r="Q3055" i="7"/>
  <c r="P3055" i="7"/>
  <c r="O3055" i="7"/>
  <c r="U3054" i="7"/>
  <c r="T3054" i="7"/>
  <c r="S3054" i="7"/>
  <c r="R3054" i="7"/>
  <c r="Q3054" i="7"/>
  <c r="P3054" i="7"/>
  <c r="O3054" i="7"/>
  <c r="U3053" i="7"/>
  <c r="T3053" i="7"/>
  <c r="S3053" i="7"/>
  <c r="R3053" i="7"/>
  <c r="Q3053" i="7"/>
  <c r="P3053" i="7"/>
  <c r="O3053" i="7"/>
  <c r="U3052" i="7"/>
  <c r="T3052" i="7"/>
  <c r="S3052" i="7"/>
  <c r="R3052" i="7"/>
  <c r="Q3052" i="7"/>
  <c r="P3052" i="7"/>
  <c r="O3052" i="7"/>
  <c r="U3051" i="7"/>
  <c r="T3051" i="7"/>
  <c r="S3051" i="7"/>
  <c r="R3051" i="7"/>
  <c r="Q3051" i="7"/>
  <c r="P3051" i="7"/>
  <c r="O3051" i="7"/>
  <c r="U3050" i="7"/>
  <c r="T3050" i="7"/>
  <c r="S3050" i="7"/>
  <c r="R3050" i="7"/>
  <c r="Q3050" i="7"/>
  <c r="P3050" i="7"/>
  <c r="O3050" i="7"/>
  <c r="U3049" i="7"/>
  <c r="T3049" i="7"/>
  <c r="S3049" i="7"/>
  <c r="R3049" i="7"/>
  <c r="Q3049" i="7"/>
  <c r="P3049" i="7"/>
  <c r="O3049" i="7"/>
  <c r="U3048" i="7"/>
  <c r="T3048" i="7"/>
  <c r="S3048" i="7"/>
  <c r="R3048" i="7"/>
  <c r="Q3048" i="7"/>
  <c r="P3048" i="7"/>
  <c r="O3048" i="7"/>
  <c r="U3047" i="7"/>
  <c r="T3047" i="7"/>
  <c r="S3047" i="7"/>
  <c r="R3047" i="7"/>
  <c r="Q3047" i="7"/>
  <c r="P3047" i="7"/>
  <c r="O3047" i="7"/>
  <c r="U3046" i="7"/>
  <c r="T3046" i="7"/>
  <c r="S3046" i="7"/>
  <c r="R3046" i="7"/>
  <c r="Q3046" i="7"/>
  <c r="P3046" i="7"/>
  <c r="O3046" i="7"/>
  <c r="U3045" i="7"/>
  <c r="T3045" i="7"/>
  <c r="S3045" i="7"/>
  <c r="R3045" i="7"/>
  <c r="Q3045" i="7"/>
  <c r="P3045" i="7"/>
  <c r="O3045" i="7"/>
  <c r="U3044" i="7"/>
  <c r="T3044" i="7"/>
  <c r="S3044" i="7"/>
  <c r="R3044" i="7"/>
  <c r="Q3044" i="7"/>
  <c r="P3044" i="7"/>
  <c r="O3044" i="7"/>
  <c r="U3043" i="7"/>
  <c r="T3043" i="7"/>
  <c r="S3043" i="7"/>
  <c r="R3043" i="7"/>
  <c r="Q3043" i="7"/>
  <c r="P3043" i="7"/>
  <c r="O3043" i="7"/>
  <c r="U3042" i="7"/>
  <c r="T3042" i="7"/>
  <c r="S3042" i="7"/>
  <c r="R3042" i="7"/>
  <c r="Q3042" i="7"/>
  <c r="P3042" i="7"/>
  <c r="O3042" i="7"/>
  <c r="U3041" i="7"/>
  <c r="T3041" i="7"/>
  <c r="S3041" i="7"/>
  <c r="R3041" i="7"/>
  <c r="Q3041" i="7"/>
  <c r="P3041" i="7"/>
  <c r="O3041" i="7"/>
  <c r="U3040" i="7"/>
  <c r="T3040" i="7"/>
  <c r="S3040" i="7"/>
  <c r="R3040" i="7"/>
  <c r="Q3040" i="7"/>
  <c r="P3040" i="7"/>
  <c r="O3040" i="7"/>
  <c r="U3039" i="7"/>
  <c r="T3039" i="7"/>
  <c r="S3039" i="7"/>
  <c r="R3039" i="7"/>
  <c r="Q3039" i="7"/>
  <c r="P3039" i="7"/>
  <c r="O3039" i="7"/>
  <c r="U3038" i="7"/>
  <c r="T3038" i="7"/>
  <c r="S3038" i="7"/>
  <c r="R3038" i="7"/>
  <c r="Q3038" i="7"/>
  <c r="P3038" i="7"/>
  <c r="O3038" i="7"/>
  <c r="U3037" i="7"/>
  <c r="T3037" i="7"/>
  <c r="S3037" i="7"/>
  <c r="R3037" i="7"/>
  <c r="Q3037" i="7"/>
  <c r="P3037" i="7"/>
  <c r="O3037" i="7"/>
  <c r="U3036" i="7"/>
  <c r="T3036" i="7"/>
  <c r="S3036" i="7"/>
  <c r="R3036" i="7"/>
  <c r="Q3036" i="7"/>
  <c r="P3036" i="7"/>
  <c r="O3036" i="7"/>
  <c r="U3035" i="7"/>
  <c r="T3035" i="7"/>
  <c r="S3035" i="7"/>
  <c r="R3035" i="7"/>
  <c r="Q3035" i="7"/>
  <c r="P3035" i="7"/>
  <c r="O3035" i="7"/>
  <c r="U3034" i="7"/>
  <c r="T3034" i="7"/>
  <c r="S3034" i="7"/>
  <c r="R3034" i="7"/>
  <c r="Q3034" i="7"/>
  <c r="P3034" i="7"/>
  <c r="O3034" i="7"/>
  <c r="U3033" i="7"/>
  <c r="T3033" i="7"/>
  <c r="S3033" i="7"/>
  <c r="R3033" i="7"/>
  <c r="Q3033" i="7"/>
  <c r="P3033" i="7"/>
  <c r="O3033" i="7"/>
  <c r="U3032" i="7"/>
  <c r="T3032" i="7"/>
  <c r="S3032" i="7"/>
  <c r="R3032" i="7"/>
  <c r="Q3032" i="7"/>
  <c r="P3032" i="7"/>
  <c r="O3032" i="7"/>
  <c r="U3031" i="7"/>
  <c r="T3031" i="7"/>
  <c r="S3031" i="7"/>
  <c r="R3031" i="7"/>
  <c r="Q3031" i="7"/>
  <c r="P3031" i="7"/>
  <c r="O3031" i="7"/>
  <c r="U3030" i="7"/>
  <c r="T3030" i="7"/>
  <c r="S3030" i="7"/>
  <c r="R3030" i="7"/>
  <c r="Q3030" i="7"/>
  <c r="P3030" i="7"/>
  <c r="O3030" i="7"/>
  <c r="U3029" i="7"/>
  <c r="T3029" i="7"/>
  <c r="S3029" i="7"/>
  <c r="R3029" i="7"/>
  <c r="Q3029" i="7"/>
  <c r="P3029" i="7"/>
  <c r="O3029" i="7"/>
  <c r="U3028" i="7"/>
  <c r="T3028" i="7"/>
  <c r="S3028" i="7"/>
  <c r="R3028" i="7"/>
  <c r="Q3028" i="7"/>
  <c r="P3028" i="7"/>
  <c r="O3028" i="7"/>
  <c r="U3027" i="7"/>
  <c r="T3027" i="7"/>
  <c r="S3027" i="7"/>
  <c r="R3027" i="7"/>
  <c r="Q3027" i="7"/>
  <c r="P3027" i="7"/>
  <c r="O3027" i="7"/>
  <c r="U3026" i="7"/>
  <c r="T3026" i="7"/>
  <c r="S3026" i="7"/>
  <c r="R3026" i="7"/>
  <c r="Q3026" i="7"/>
  <c r="P3026" i="7"/>
  <c r="O3026" i="7"/>
  <c r="U3025" i="7"/>
  <c r="T3025" i="7"/>
  <c r="S3025" i="7"/>
  <c r="R3025" i="7"/>
  <c r="Q3025" i="7"/>
  <c r="P3025" i="7"/>
  <c r="O3025" i="7"/>
  <c r="U3024" i="7"/>
  <c r="T3024" i="7"/>
  <c r="S3024" i="7"/>
  <c r="R3024" i="7"/>
  <c r="Q3024" i="7"/>
  <c r="P3024" i="7"/>
  <c r="O3024" i="7"/>
  <c r="U3023" i="7"/>
  <c r="T3023" i="7"/>
  <c r="S3023" i="7"/>
  <c r="R3023" i="7"/>
  <c r="Q3023" i="7"/>
  <c r="P3023" i="7"/>
  <c r="O3023" i="7"/>
  <c r="U3022" i="7"/>
  <c r="T3022" i="7"/>
  <c r="S3022" i="7"/>
  <c r="R3022" i="7"/>
  <c r="Q3022" i="7"/>
  <c r="P3022" i="7"/>
  <c r="O3022" i="7"/>
  <c r="U3021" i="7"/>
  <c r="T3021" i="7"/>
  <c r="S3021" i="7"/>
  <c r="R3021" i="7"/>
  <c r="Q3021" i="7"/>
  <c r="P3021" i="7"/>
  <c r="O3021" i="7"/>
  <c r="U3020" i="7"/>
  <c r="T3020" i="7"/>
  <c r="S3020" i="7"/>
  <c r="R3020" i="7"/>
  <c r="Q3020" i="7"/>
  <c r="P3020" i="7"/>
  <c r="O3020" i="7"/>
  <c r="U3019" i="7"/>
  <c r="T3019" i="7"/>
  <c r="S3019" i="7"/>
  <c r="R3019" i="7"/>
  <c r="Q3019" i="7"/>
  <c r="P3019" i="7"/>
  <c r="O3019" i="7"/>
  <c r="U3018" i="7"/>
  <c r="T3018" i="7"/>
  <c r="S3018" i="7"/>
  <c r="R3018" i="7"/>
  <c r="Q3018" i="7"/>
  <c r="P3018" i="7"/>
  <c r="O3018" i="7"/>
  <c r="U3017" i="7"/>
  <c r="T3017" i="7"/>
  <c r="S3017" i="7"/>
  <c r="R3017" i="7"/>
  <c r="Q3017" i="7"/>
  <c r="P3017" i="7"/>
  <c r="O3017" i="7"/>
  <c r="U3016" i="7"/>
  <c r="T3016" i="7"/>
  <c r="S3016" i="7"/>
  <c r="R3016" i="7"/>
  <c r="Q3016" i="7"/>
  <c r="P3016" i="7"/>
  <c r="O3016" i="7"/>
  <c r="U3015" i="7"/>
  <c r="T3015" i="7"/>
  <c r="S3015" i="7"/>
  <c r="R3015" i="7"/>
  <c r="Q3015" i="7"/>
  <c r="P3015" i="7"/>
  <c r="O3015" i="7"/>
  <c r="U3014" i="7"/>
  <c r="T3014" i="7"/>
  <c r="S3014" i="7"/>
  <c r="R3014" i="7"/>
  <c r="Q3014" i="7"/>
  <c r="P3014" i="7"/>
  <c r="O3014" i="7"/>
  <c r="U3013" i="7"/>
  <c r="T3013" i="7"/>
  <c r="S3013" i="7"/>
  <c r="R3013" i="7"/>
  <c r="Q3013" i="7"/>
  <c r="P3013" i="7"/>
  <c r="O3013" i="7"/>
  <c r="U3012" i="7"/>
  <c r="T3012" i="7"/>
  <c r="S3012" i="7"/>
  <c r="R3012" i="7"/>
  <c r="Q3012" i="7"/>
  <c r="P3012" i="7"/>
  <c r="O3012" i="7"/>
  <c r="U3011" i="7"/>
  <c r="T3011" i="7"/>
  <c r="S3011" i="7"/>
  <c r="R3011" i="7"/>
  <c r="Q3011" i="7"/>
  <c r="P3011" i="7"/>
  <c r="O3011" i="7"/>
  <c r="U3010" i="7"/>
  <c r="T3010" i="7"/>
  <c r="S3010" i="7"/>
  <c r="R3010" i="7"/>
  <c r="Q3010" i="7"/>
  <c r="P3010" i="7"/>
  <c r="O3010" i="7"/>
  <c r="U3009" i="7"/>
  <c r="T3009" i="7"/>
  <c r="S3009" i="7"/>
  <c r="R3009" i="7"/>
  <c r="Q3009" i="7"/>
  <c r="P3009" i="7"/>
  <c r="O3009" i="7"/>
  <c r="U3008" i="7"/>
  <c r="T3008" i="7"/>
  <c r="S3008" i="7"/>
  <c r="R3008" i="7"/>
  <c r="Q3008" i="7"/>
  <c r="P3008" i="7"/>
  <c r="O3008" i="7"/>
  <c r="U3007" i="7"/>
  <c r="T3007" i="7"/>
  <c r="S3007" i="7"/>
  <c r="R3007" i="7"/>
  <c r="Q3007" i="7"/>
  <c r="P3007" i="7"/>
  <c r="O3007" i="7"/>
  <c r="U3006" i="7"/>
  <c r="T3006" i="7"/>
  <c r="S3006" i="7"/>
  <c r="R3006" i="7"/>
  <c r="Q3006" i="7"/>
  <c r="P3006" i="7"/>
  <c r="O3006" i="7"/>
  <c r="U3005" i="7"/>
  <c r="T3005" i="7"/>
  <c r="S3005" i="7"/>
  <c r="R3005" i="7"/>
  <c r="Q3005" i="7"/>
  <c r="P3005" i="7"/>
  <c r="O3005" i="7"/>
  <c r="U3004" i="7"/>
  <c r="T3004" i="7"/>
  <c r="S3004" i="7"/>
  <c r="R3004" i="7"/>
  <c r="Q3004" i="7"/>
  <c r="P3004" i="7"/>
  <c r="O3004" i="7"/>
  <c r="U3003" i="7"/>
  <c r="T3003" i="7"/>
  <c r="S3003" i="7"/>
  <c r="R3003" i="7"/>
  <c r="Q3003" i="7"/>
  <c r="P3003" i="7"/>
  <c r="O3003" i="7"/>
  <c r="U3002" i="7"/>
  <c r="T3002" i="7"/>
  <c r="S3002" i="7"/>
  <c r="R3002" i="7"/>
  <c r="Q3002" i="7"/>
  <c r="P3002" i="7"/>
  <c r="O3002" i="7"/>
  <c r="U3001" i="7"/>
  <c r="T3001" i="7"/>
  <c r="S3001" i="7"/>
  <c r="R3001" i="7"/>
  <c r="Q3001" i="7"/>
  <c r="P3001" i="7"/>
  <c r="O3001" i="7"/>
  <c r="U3000" i="7"/>
  <c r="T3000" i="7"/>
  <c r="S3000" i="7"/>
  <c r="R3000" i="7"/>
  <c r="Q3000" i="7"/>
  <c r="P3000" i="7"/>
  <c r="O3000" i="7"/>
  <c r="U2999" i="7"/>
  <c r="T2999" i="7"/>
  <c r="S2999" i="7"/>
  <c r="R2999" i="7"/>
  <c r="Q2999" i="7"/>
  <c r="P2999" i="7"/>
  <c r="O2999" i="7"/>
  <c r="U2998" i="7"/>
  <c r="T2998" i="7"/>
  <c r="S2998" i="7"/>
  <c r="R2998" i="7"/>
  <c r="Q2998" i="7"/>
  <c r="P2998" i="7"/>
  <c r="O2998" i="7"/>
  <c r="U2997" i="7"/>
  <c r="T2997" i="7"/>
  <c r="S2997" i="7"/>
  <c r="R2997" i="7"/>
  <c r="Q2997" i="7"/>
  <c r="P2997" i="7"/>
  <c r="O2997" i="7"/>
  <c r="U2996" i="7"/>
  <c r="T2996" i="7"/>
  <c r="S2996" i="7"/>
  <c r="R2996" i="7"/>
  <c r="Q2996" i="7"/>
  <c r="P2996" i="7"/>
  <c r="O2996" i="7"/>
  <c r="U2995" i="7"/>
  <c r="T2995" i="7"/>
  <c r="S2995" i="7"/>
  <c r="R2995" i="7"/>
  <c r="Q2995" i="7"/>
  <c r="P2995" i="7"/>
  <c r="O2995" i="7"/>
  <c r="U2994" i="7"/>
  <c r="T2994" i="7"/>
  <c r="S2994" i="7"/>
  <c r="R2994" i="7"/>
  <c r="Q2994" i="7"/>
  <c r="P2994" i="7"/>
  <c r="O2994" i="7"/>
  <c r="U2993" i="7"/>
  <c r="T2993" i="7"/>
  <c r="S2993" i="7"/>
  <c r="R2993" i="7"/>
  <c r="Q2993" i="7"/>
  <c r="P2993" i="7"/>
  <c r="O2993" i="7"/>
  <c r="U2992" i="7"/>
  <c r="T2992" i="7"/>
  <c r="S2992" i="7"/>
  <c r="R2992" i="7"/>
  <c r="Q2992" i="7"/>
  <c r="P2992" i="7"/>
  <c r="O2992" i="7"/>
  <c r="U2991" i="7"/>
  <c r="T2991" i="7"/>
  <c r="S2991" i="7"/>
  <c r="R2991" i="7"/>
  <c r="Q2991" i="7"/>
  <c r="P2991" i="7"/>
  <c r="O2991" i="7"/>
  <c r="U2990" i="7"/>
  <c r="T2990" i="7"/>
  <c r="S2990" i="7"/>
  <c r="R2990" i="7"/>
  <c r="Q2990" i="7"/>
  <c r="P2990" i="7"/>
  <c r="O2990" i="7"/>
  <c r="U2989" i="7"/>
  <c r="T2989" i="7"/>
  <c r="S2989" i="7"/>
  <c r="R2989" i="7"/>
  <c r="Q2989" i="7"/>
  <c r="P2989" i="7"/>
  <c r="O2989" i="7"/>
  <c r="U2988" i="7"/>
  <c r="T2988" i="7"/>
  <c r="S2988" i="7"/>
  <c r="R2988" i="7"/>
  <c r="Q2988" i="7"/>
  <c r="P2988" i="7"/>
  <c r="O2988" i="7"/>
  <c r="U2987" i="7"/>
  <c r="T2987" i="7"/>
  <c r="S2987" i="7"/>
  <c r="R2987" i="7"/>
  <c r="Q2987" i="7"/>
  <c r="P2987" i="7"/>
  <c r="O2987" i="7"/>
  <c r="U2986" i="7"/>
  <c r="T2986" i="7"/>
  <c r="S2986" i="7"/>
  <c r="R2986" i="7"/>
  <c r="Q2986" i="7"/>
  <c r="P2986" i="7"/>
  <c r="O2986" i="7"/>
  <c r="U2985" i="7"/>
  <c r="T2985" i="7"/>
  <c r="S2985" i="7"/>
  <c r="R2985" i="7"/>
  <c r="Q2985" i="7"/>
  <c r="P2985" i="7"/>
  <c r="O2985" i="7"/>
  <c r="U2984" i="7"/>
  <c r="T2984" i="7"/>
  <c r="S2984" i="7"/>
  <c r="R2984" i="7"/>
  <c r="Q2984" i="7"/>
  <c r="P2984" i="7"/>
  <c r="O2984" i="7"/>
  <c r="U2983" i="7"/>
  <c r="T2983" i="7"/>
  <c r="S2983" i="7"/>
  <c r="R2983" i="7"/>
  <c r="Q2983" i="7"/>
  <c r="P2983" i="7"/>
  <c r="O2983" i="7"/>
  <c r="U2982" i="7"/>
  <c r="T2982" i="7"/>
  <c r="S2982" i="7"/>
  <c r="R2982" i="7"/>
  <c r="Q2982" i="7"/>
  <c r="P2982" i="7"/>
  <c r="O2982" i="7"/>
  <c r="U2981" i="7"/>
  <c r="T2981" i="7"/>
  <c r="S2981" i="7"/>
  <c r="R2981" i="7"/>
  <c r="Q2981" i="7"/>
  <c r="P2981" i="7"/>
  <c r="O2981" i="7"/>
  <c r="U2980" i="7"/>
  <c r="T2980" i="7"/>
  <c r="S2980" i="7"/>
  <c r="R2980" i="7"/>
  <c r="Q2980" i="7"/>
  <c r="P2980" i="7"/>
  <c r="O2980" i="7"/>
  <c r="U2979" i="7"/>
  <c r="T2979" i="7"/>
  <c r="S2979" i="7"/>
  <c r="R2979" i="7"/>
  <c r="Q2979" i="7"/>
  <c r="P2979" i="7"/>
  <c r="O2979" i="7"/>
  <c r="U2978" i="7"/>
  <c r="T2978" i="7"/>
  <c r="S2978" i="7"/>
  <c r="R2978" i="7"/>
  <c r="Q2978" i="7"/>
  <c r="P2978" i="7"/>
  <c r="O2978" i="7"/>
  <c r="U2977" i="7"/>
  <c r="T2977" i="7"/>
  <c r="S2977" i="7"/>
  <c r="R2977" i="7"/>
  <c r="Q2977" i="7"/>
  <c r="P2977" i="7"/>
  <c r="O2977" i="7"/>
  <c r="U2976" i="7"/>
  <c r="T2976" i="7"/>
  <c r="S2976" i="7"/>
  <c r="R2976" i="7"/>
  <c r="Q2976" i="7"/>
  <c r="P2976" i="7"/>
  <c r="O2976" i="7"/>
  <c r="U2975" i="7"/>
  <c r="T2975" i="7"/>
  <c r="S2975" i="7"/>
  <c r="R2975" i="7"/>
  <c r="Q2975" i="7"/>
  <c r="P2975" i="7"/>
  <c r="O2975" i="7"/>
  <c r="U2974" i="7"/>
  <c r="T2974" i="7"/>
  <c r="S2974" i="7"/>
  <c r="R2974" i="7"/>
  <c r="Q2974" i="7"/>
  <c r="P2974" i="7"/>
  <c r="O2974" i="7"/>
  <c r="U2973" i="7"/>
  <c r="T2973" i="7"/>
  <c r="S2973" i="7"/>
  <c r="R2973" i="7"/>
  <c r="Q2973" i="7"/>
  <c r="P2973" i="7"/>
  <c r="O2973" i="7"/>
  <c r="U2972" i="7"/>
  <c r="T2972" i="7"/>
  <c r="S2972" i="7"/>
  <c r="R2972" i="7"/>
  <c r="Q2972" i="7"/>
  <c r="P2972" i="7"/>
  <c r="O2972" i="7"/>
  <c r="U2971" i="7"/>
  <c r="T2971" i="7"/>
  <c r="S2971" i="7"/>
  <c r="R2971" i="7"/>
  <c r="Q2971" i="7"/>
  <c r="P2971" i="7"/>
  <c r="O2971" i="7"/>
  <c r="U2970" i="7"/>
  <c r="T2970" i="7"/>
  <c r="S2970" i="7"/>
  <c r="R2970" i="7"/>
  <c r="Q2970" i="7"/>
  <c r="P2970" i="7"/>
  <c r="O2970" i="7"/>
  <c r="U2969" i="7"/>
  <c r="T2969" i="7"/>
  <c r="S2969" i="7"/>
  <c r="R2969" i="7"/>
  <c r="Q2969" i="7"/>
  <c r="P2969" i="7"/>
  <c r="O2969" i="7"/>
  <c r="U2968" i="7"/>
  <c r="T2968" i="7"/>
  <c r="S2968" i="7"/>
  <c r="R2968" i="7"/>
  <c r="Q2968" i="7"/>
  <c r="P2968" i="7"/>
  <c r="O2968" i="7"/>
  <c r="U2967" i="7"/>
  <c r="T2967" i="7"/>
  <c r="S2967" i="7"/>
  <c r="R2967" i="7"/>
  <c r="Q2967" i="7"/>
  <c r="P2967" i="7"/>
  <c r="O2967" i="7"/>
  <c r="U2966" i="7"/>
  <c r="T2966" i="7"/>
  <c r="S2966" i="7"/>
  <c r="R2966" i="7"/>
  <c r="Q2966" i="7"/>
  <c r="P2966" i="7"/>
  <c r="O2966" i="7"/>
  <c r="U2965" i="7"/>
  <c r="T2965" i="7"/>
  <c r="S2965" i="7"/>
  <c r="R2965" i="7"/>
  <c r="Q2965" i="7"/>
  <c r="P2965" i="7"/>
  <c r="O2965" i="7"/>
  <c r="U2964" i="7"/>
  <c r="T2964" i="7"/>
  <c r="S2964" i="7"/>
  <c r="R2964" i="7"/>
  <c r="Q2964" i="7"/>
  <c r="P2964" i="7"/>
  <c r="O2964" i="7"/>
  <c r="U2963" i="7"/>
  <c r="T2963" i="7"/>
  <c r="S2963" i="7"/>
  <c r="R2963" i="7"/>
  <c r="Q2963" i="7"/>
  <c r="P2963" i="7"/>
  <c r="O2963" i="7"/>
  <c r="U2962" i="7"/>
  <c r="T2962" i="7"/>
  <c r="S2962" i="7"/>
  <c r="R2962" i="7"/>
  <c r="Q2962" i="7"/>
  <c r="P2962" i="7"/>
  <c r="O2962" i="7"/>
  <c r="U2961" i="7"/>
  <c r="T2961" i="7"/>
  <c r="S2961" i="7"/>
  <c r="R2961" i="7"/>
  <c r="Q2961" i="7"/>
  <c r="P2961" i="7"/>
  <c r="O2961" i="7"/>
  <c r="U2960" i="7"/>
  <c r="T2960" i="7"/>
  <c r="S2960" i="7"/>
  <c r="R2960" i="7"/>
  <c r="Q2960" i="7"/>
  <c r="P2960" i="7"/>
  <c r="O2960" i="7"/>
  <c r="U2959" i="7"/>
  <c r="T2959" i="7"/>
  <c r="S2959" i="7"/>
  <c r="R2959" i="7"/>
  <c r="Q2959" i="7"/>
  <c r="P2959" i="7"/>
  <c r="O2959" i="7"/>
  <c r="U2958" i="7"/>
  <c r="T2958" i="7"/>
  <c r="S2958" i="7"/>
  <c r="R2958" i="7"/>
  <c r="Q2958" i="7"/>
  <c r="P2958" i="7"/>
  <c r="O2958" i="7"/>
  <c r="U2957" i="7"/>
  <c r="T2957" i="7"/>
  <c r="S2957" i="7"/>
  <c r="R2957" i="7"/>
  <c r="Q2957" i="7"/>
  <c r="P2957" i="7"/>
  <c r="O2957" i="7"/>
  <c r="U2956" i="7"/>
  <c r="T2956" i="7"/>
  <c r="S2956" i="7"/>
  <c r="R2956" i="7"/>
  <c r="Q2956" i="7"/>
  <c r="P2956" i="7"/>
  <c r="O2956" i="7"/>
  <c r="U2955" i="7"/>
  <c r="T2955" i="7"/>
  <c r="S2955" i="7"/>
  <c r="R2955" i="7"/>
  <c r="Q2955" i="7"/>
  <c r="P2955" i="7"/>
  <c r="O2955" i="7"/>
  <c r="U2954" i="7"/>
  <c r="T2954" i="7"/>
  <c r="S2954" i="7"/>
  <c r="R2954" i="7"/>
  <c r="Q2954" i="7"/>
  <c r="P2954" i="7"/>
  <c r="O2954" i="7"/>
  <c r="U2953" i="7"/>
  <c r="T2953" i="7"/>
  <c r="S2953" i="7"/>
  <c r="R2953" i="7"/>
  <c r="Q2953" i="7"/>
  <c r="P2953" i="7"/>
  <c r="O2953" i="7"/>
  <c r="U2952" i="7"/>
  <c r="T2952" i="7"/>
  <c r="S2952" i="7"/>
  <c r="R2952" i="7"/>
  <c r="Q2952" i="7"/>
  <c r="P2952" i="7"/>
  <c r="O2952" i="7"/>
  <c r="U2951" i="7"/>
  <c r="T2951" i="7"/>
  <c r="S2951" i="7"/>
  <c r="R2951" i="7"/>
  <c r="Q2951" i="7"/>
  <c r="P2951" i="7"/>
  <c r="O2951" i="7"/>
  <c r="U2950" i="7"/>
  <c r="T2950" i="7"/>
  <c r="S2950" i="7"/>
  <c r="R2950" i="7"/>
  <c r="Q2950" i="7"/>
  <c r="P2950" i="7"/>
  <c r="O2950" i="7"/>
  <c r="U2949" i="7"/>
  <c r="T2949" i="7"/>
  <c r="S2949" i="7"/>
  <c r="R2949" i="7"/>
  <c r="Q2949" i="7"/>
  <c r="P2949" i="7"/>
  <c r="O2949" i="7"/>
  <c r="U2948" i="7"/>
  <c r="T2948" i="7"/>
  <c r="S2948" i="7"/>
  <c r="R2948" i="7"/>
  <c r="Q2948" i="7"/>
  <c r="P2948" i="7"/>
  <c r="O2948" i="7"/>
  <c r="U2947" i="7"/>
  <c r="T2947" i="7"/>
  <c r="S2947" i="7"/>
  <c r="R2947" i="7"/>
  <c r="Q2947" i="7"/>
  <c r="P2947" i="7"/>
  <c r="O2947" i="7"/>
  <c r="U2946" i="7"/>
  <c r="T2946" i="7"/>
  <c r="S2946" i="7"/>
  <c r="R2946" i="7"/>
  <c r="Q2946" i="7"/>
  <c r="P2946" i="7"/>
  <c r="O2946" i="7"/>
  <c r="U2945" i="7"/>
  <c r="T2945" i="7"/>
  <c r="S2945" i="7"/>
  <c r="R2945" i="7"/>
  <c r="Q2945" i="7"/>
  <c r="P2945" i="7"/>
  <c r="O2945" i="7"/>
  <c r="U2944" i="7"/>
  <c r="T2944" i="7"/>
  <c r="S2944" i="7"/>
  <c r="R2944" i="7"/>
  <c r="Q2944" i="7"/>
  <c r="P2944" i="7"/>
  <c r="O2944" i="7"/>
  <c r="U2943" i="7"/>
  <c r="T2943" i="7"/>
  <c r="S2943" i="7"/>
  <c r="R2943" i="7"/>
  <c r="Q2943" i="7"/>
  <c r="P2943" i="7"/>
  <c r="O2943" i="7"/>
  <c r="U2942" i="7"/>
  <c r="T2942" i="7"/>
  <c r="S2942" i="7"/>
  <c r="R2942" i="7"/>
  <c r="Q2942" i="7"/>
  <c r="P2942" i="7"/>
  <c r="O2942" i="7"/>
  <c r="U2941" i="7"/>
  <c r="T2941" i="7"/>
  <c r="S2941" i="7"/>
  <c r="R2941" i="7"/>
  <c r="Q2941" i="7"/>
  <c r="P2941" i="7"/>
  <c r="O2941" i="7"/>
  <c r="U2940" i="7"/>
  <c r="T2940" i="7"/>
  <c r="S2940" i="7"/>
  <c r="R2940" i="7"/>
  <c r="Q2940" i="7"/>
  <c r="P2940" i="7"/>
  <c r="O2940" i="7"/>
  <c r="U2939" i="7"/>
  <c r="T2939" i="7"/>
  <c r="S2939" i="7"/>
  <c r="R2939" i="7"/>
  <c r="Q2939" i="7"/>
  <c r="P2939" i="7"/>
  <c r="O2939" i="7"/>
  <c r="U2938" i="7"/>
  <c r="T2938" i="7"/>
  <c r="S2938" i="7"/>
  <c r="R2938" i="7"/>
  <c r="Q2938" i="7"/>
  <c r="P2938" i="7"/>
  <c r="O2938" i="7"/>
  <c r="U2937" i="7"/>
  <c r="T2937" i="7"/>
  <c r="S2937" i="7"/>
  <c r="R2937" i="7"/>
  <c r="Q2937" i="7"/>
  <c r="P2937" i="7"/>
  <c r="O2937" i="7"/>
  <c r="U2936" i="7"/>
  <c r="T2936" i="7"/>
  <c r="S2936" i="7"/>
  <c r="R2936" i="7"/>
  <c r="Q2936" i="7"/>
  <c r="P2936" i="7"/>
  <c r="O2936" i="7"/>
  <c r="U2935" i="7"/>
  <c r="T2935" i="7"/>
  <c r="S2935" i="7"/>
  <c r="R2935" i="7"/>
  <c r="Q2935" i="7"/>
  <c r="P2935" i="7"/>
  <c r="O2935" i="7"/>
  <c r="U2934" i="7"/>
  <c r="T2934" i="7"/>
  <c r="S2934" i="7"/>
  <c r="R2934" i="7"/>
  <c r="Q2934" i="7"/>
  <c r="P2934" i="7"/>
  <c r="O2934" i="7"/>
  <c r="U2933" i="7"/>
  <c r="T2933" i="7"/>
  <c r="S2933" i="7"/>
  <c r="R2933" i="7"/>
  <c r="Q2933" i="7"/>
  <c r="P2933" i="7"/>
  <c r="O2933" i="7"/>
  <c r="U2932" i="7"/>
  <c r="T2932" i="7"/>
  <c r="S2932" i="7"/>
  <c r="R2932" i="7"/>
  <c r="Q2932" i="7"/>
  <c r="P2932" i="7"/>
  <c r="O2932" i="7"/>
  <c r="U2931" i="7"/>
  <c r="T2931" i="7"/>
  <c r="S2931" i="7"/>
  <c r="R2931" i="7"/>
  <c r="Q2931" i="7"/>
  <c r="P2931" i="7"/>
  <c r="O2931" i="7"/>
  <c r="U2930" i="7"/>
  <c r="T2930" i="7"/>
  <c r="S2930" i="7"/>
  <c r="R2930" i="7"/>
  <c r="Q2930" i="7"/>
  <c r="P2930" i="7"/>
  <c r="O2930" i="7"/>
  <c r="U2929" i="7"/>
  <c r="T2929" i="7"/>
  <c r="S2929" i="7"/>
  <c r="R2929" i="7"/>
  <c r="Q2929" i="7"/>
  <c r="P2929" i="7"/>
  <c r="O2929" i="7"/>
  <c r="U2928" i="7"/>
  <c r="T2928" i="7"/>
  <c r="S2928" i="7"/>
  <c r="R2928" i="7"/>
  <c r="Q2928" i="7"/>
  <c r="P2928" i="7"/>
  <c r="O2928" i="7"/>
  <c r="U2927" i="7"/>
  <c r="T2927" i="7"/>
  <c r="S2927" i="7"/>
  <c r="R2927" i="7"/>
  <c r="Q2927" i="7"/>
  <c r="P2927" i="7"/>
  <c r="O2927" i="7"/>
  <c r="U2926" i="7"/>
  <c r="T2926" i="7"/>
  <c r="S2926" i="7"/>
  <c r="R2926" i="7"/>
  <c r="Q2926" i="7"/>
  <c r="P2926" i="7"/>
  <c r="O2926" i="7"/>
  <c r="U2925" i="7"/>
  <c r="T2925" i="7"/>
  <c r="S2925" i="7"/>
  <c r="R2925" i="7"/>
  <c r="Q2925" i="7"/>
  <c r="P2925" i="7"/>
  <c r="O2925" i="7"/>
  <c r="U2924" i="7"/>
  <c r="T2924" i="7"/>
  <c r="S2924" i="7"/>
  <c r="R2924" i="7"/>
  <c r="Q2924" i="7"/>
  <c r="P2924" i="7"/>
  <c r="O2924" i="7"/>
  <c r="U2923" i="7"/>
  <c r="T2923" i="7"/>
  <c r="S2923" i="7"/>
  <c r="R2923" i="7"/>
  <c r="Q2923" i="7"/>
  <c r="P2923" i="7"/>
  <c r="O2923" i="7"/>
  <c r="U2922" i="7"/>
  <c r="T2922" i="7"/>
  <c r="S2922" i="7"/>
  <c r="R2922" i="7"/>
  <c r="Q2922" i="7"/>
  <c r="P2922" i="7"/>
  <c r="O2922" i="7"/>
  <c r="U2921" i="7"/>
  <c r="T2921" i="7"/>
  <c r="S2921" i="7"/>
  <c r="R2921" i="7"/>
  <c r="Q2921" i="7"/>
  <c r="P2921" i="7"/>
  <c r="O2921" i="7"/>
  <c r="U2920" i="7"/>
  <c r="T2920" i="7"/>
  <c r="S2920" i="7"/>
  <c r="R2920" i="7"/>
  <c r="Q2920" i="7"/>
  <c r="P2920" i="7"/>
  <c r="O2920" i="7"/>
  <c r="U2919" i="7"/>
  <c r="T2919" i="7"/>
  <c r="S2919" i="7"/>
  <c r="R2919" i="7"/>
  <c r="Q2919" i="7"/>
  <c r="P2919" i="7"/>
  <c r="O2919" i="7"/>
  <c r="U2918" i="7"/>
  <c r="T2918" i="7"/>
  <c r="S2918" i="7"/>
  <c r="R2918" i="7"/>
  <c r="Q2918" i="7"/>
  <c r="P2918" i="7"/>
  <c r="O2918" i="7"/>
  <c r="U2917" i="7"/>
  <c r="T2917" i="7"/>
  <c r="S2917" i="7"/>
  <c r="R2917" i="7"/>
  <c r="Q2917" i="7"/>
  <c r="P2917" i="7"/>
  <c r="O2917" i="7"/>
  <c r="U2916" i="7"/>
  <c r="T2916" i="7"/>
  <c r="S2916" i="7"/>
  <c r="R2916" i="7"/>
  <c r="Q2916" i="7"/>
  <c r="P2916" i="7"/>
  <c r="O2916" i="7"/>
  <c r="U2915" i="7"/>
  <c r="T2915" i="7"/>
  <c r="S2915" i="7"/>
  <c r="R2915" i="7"/>
  <c r="Q2915" i="7"/>
  <c r="P2915" i="7"/>
  <c r="O2915" i="7"/>
  <c r="U2914" i="7"/>
  <c r="T2914" i="7"/>
  <c r="S2914" i="7"/>
  <c r="R2914" i="7"/>
  <c r="Q2914" i="7"/>
  <c r="P2914" i="7"/>
  <c r="O2914" i="7"/>
  <c r="U2913" i="7"/>
  <c r="T2913" i="7"/>
  <c r="S2913" i="7"/>
  <c r="R2913" i="7"/>
  <c r="Q2913" i="7"/>
  <c r="P2913" i="7"/>
  <c r="O2913" i="7"/>
  <c r="U2912" i="7"/>
  <c r="T2912" i="7"/>
  <c r="S2912" i="7"/>
  <c r="R2912" i="7"/>
  <c r="Q2912" i="7"/>
  <c r="P2912" i="7"/>
  <c r="O2912" i="7"/>
  <c r="U2911" i="7"/>
  <c r="T2911" i="7"/>
  <c r="S2911" i="7"/>
  <c r="R2911" i="7"/>
  <c r="Q2911" i="7"/>
  <c r="P2911" i="7"/>
  <c r="O2911" i="7"/>
  <c r="U2910" i="7"/>
  <c r="T2910" i="7"/>
  <c r="S2910" i="7"/>
  <c r="R2910" i="7"/>
  <c r="Q2910" i="7"/>
  <c r="P2910" i="7"/>
  <c r="O2910" i="7"/>
  <c r="U2909" i="7"/>
  <c r="T2909" i="7"/>
  <c r="S2909" i="7"/>
  <c r="R2909" i="7"/>
  <c r="Q2909" i="7"/>
  <c r="P2909" i="7"/>
  <c r="O2909" i="7"/>
  <c r="U2908" i="7"/>
  <c r="T2908" i="7"/>
  <c r="S2908" i="7"/>
  <c r="R2908" i="7"/>
  <c r="Q2908" i="7"/>
  <c r="P2908" i="7"/>
  <c r="O2908" i="7"/>
  <c r="U2907" i="7"/>
  <c r="T2907" i="7"/>
  <c r="S2907" i="7"/>
  <c r="R2907" i="7"/>
  <c r="Q2907" i="7"/>
  <c r="P2907" i="7"/>
  <c r="O2907" i="7"/>
  <c r="U2906" i="7"/>
  <c r="T2906" i="7"/>
  <c r="S2906" i="7"/>
  <c r="R2906" i="7"/>
  <c r="Q2906" i="7"/>
  <c r="P2906" i="7"/>
  <c r="O2906" i="7"/>
  <c r="U2905" i="7"/>
  <c r="T2905" i="7"/>
  <c r="S2905" i="7"/>
  <c r="R2905" i="7"/>
  <c r="Q2905" i="7"/>
  <c r="P2905" i="7"/>
  <c r="O2905" i="7"/>
  <c r="U2904" i="7"/>
  <c r="T2904" i="7"/>
  <c r="S2904" i="7"/>
  <c r="R2904" i="7"/>
  <c r="Q2904" i="7"/>
  <c r="P2904" i="7"/>
  <c r="O2904" i="7"/>
  <c r="U2903" i="7"/>
  <c r="T2903" i="7"/>
  <c r="S2903" i="7"/>
  <c r="R2903" i="7"/>
  <c r="Q2903" i="7"/>
  <c r="P2903" i="7"/>
  <c r="O2903" i="7"/>
  <c r="U2902" i="7"/>
  <c r="T2902" i="7"/>
  <c r="S2902" i="7"/>
  <c r="R2902" i="7"/>
  <c r="Q2902" i="7"/>
  <c r="P2902" i="7"/>
  <c r="O2902" i="7"/>
  <c r="U2901" i="7"/>
  <c r="T2901" i="7"/>
  <c r="S2901" i="7"/>
  <c r="R2901" i="7"/>
  <c r="Q2901" i="7"/>
  <c r="P2901" i="7"/>
  <c r="O2901" i="7"/>
  <c r="U2900" i="7"/>
  <c r="T2900" i="7"/>
  <c r="S2900" i="7"/>
  <c r="R2900" i="7"/>
  <c r="Q2900" i="7"/>
  <c r="P2900" i="7"/>
  <c r="O2900" i="7"/>
  <c r="U2899" i="7"/>
  <c r="T2899" i="7"/>
  <c r="S2899" i="7"/>
  <c r="R2899" i="7"/>
  <c r="Q2899" i="7"/>
  <c r="P2899" i="7"/>
  <c r="O2899" i="7"/>
  <c r="U2898" i="7"/>
  <c r="T2898" i="7"/>
  <c r="S2898" i="7"/>
  <c r="R2898" i="7"/>
  <c r="Q2898" i="7"/>
  <c r="P2898" i="7"/>
  <c r="O2898" i="7"/>
  <c r="U2897" i="7"/>
  <c r="T2897" i="7"/>
  <c r="S2897" i="7"/>
  <c r="R2897" i="7"/>
  <c r="Q2897" i="7"/>
  <c r="P2897" i="7"/>
  <c r="O2897" i="7"/>
  <c r="U2896" i="7"/>
  <c r="T2896" i="7"/>
  <c r="S2896" i="7"/>
  <c r="R2896" i="7"/>
  <c r="Q2896" i="7"/>
  <c r="P2896" i="7"/>
  <c r="O2896" i="7"/>
  <c r="U2895" i="7"/>
  <c r="T2895" i="7"/>
  <c r="S2895" i="7"/>
  <c r="R2895" i="7"/>
  <c r="Q2895" i="7"/>
  <c r="P2895" i="7"/>
  <c r="O2895" i="7"/>
  <c r="U2894" i="7"/>
  <c r="T2894" i="7"/>
  <c r="S2894" i="7"/>
  <c r="R2894" i="7"/>
  <c r="Q2894" i="7"/>
  <c r="P2894" i="7"/>
  <c r="O2894" i="7"/>
  <c r="U2893" i="7"/>
  <c r="T2893" i="7"/>
  <c r="S2893" i="7"/>
  <c r="R2893" i="7"/>
  <c r="Q2893" i="7"/>
  <c r="P2893" i="7"/>
  <c r="O2893" i="7"/>
  <c r="U2892" i="7"/>
  <c r="T2892" i="7"/>
  <c r="S2892" i="7"/>
  <c r="R2892" i="7"/>
  <c r="Q2892" i="7"/>
  <c r="P2892" i="7"/>
  <c r="O2892" i="7"/>
  <c r="U2891" i="7"/>
  <c r="T2891" i="7"/>
  <c r="S2891" i="7"/>
  <c r="R2891" i="7"/>
  <c r="Q2891" i="7"/>
  <c r="P2891" i="7"/>
  <c r="O2891" i="7"/>
  <c r="U2890" i="7"/>
  <c r="T2890" i="7"/>
  <c r="S2890" i="7"/>
  <c r="R2890" i="7"/>
  <c r="Q2890" i="7"/>
  <c r="P2890" i="7"/>
  <c r="O2890" i="7"/>
  <c r="U2889" i="7"/>
  <c r="T2889" i="7"/>
  <c r="S2889" i="7"/>
  <c r="R2889" i="7"/>
  <c r="Q2889" i="7"/>
  <c r="P2889" i="7"/>
  <c r="O2889" i="7"/>
  <c r="U2888" i="7"/>
  <c r="T2888" i="7"/>
  <c r="S2888" i="7"/>
  <c r="R2888" i="7"/>
  <c r="Q2888" i="7"/>
  <c r="P2888" i="7"/>
  <c r="O2888" i="7"/>
  <c r="U2887" i="7"/>
  <c r="T2887" i="7"/>
  <c r="S2887" i="7"/>
  <c r="R2887" i="7"/>
  <c r="Q2887" i="7"/>
  <c r="P2887" i="7"/>
  <c r="O2887" i="7"/>
  <c r="U2886" i="7"/>
  <c r="T2886" i="7"/>
  <c r="S2886" i="7"/>
  <c r="R2886" i="7"/>
  <c r="Q2886" i="7"/>
  <c r="P2886" i="7"/>
  <c r="O2886" i="7"/>
  <c r="U2885" i="7"/>
  <c r="T2885" i="7"/>
  <c r="S2885" i="7"/>
  <c r="R2885" i="7"/>
  <c r="Q2885" i="7"/>
  <c r="P2885" i="7"/>
  <c r="O2885" i="7"/>
  <c r="U2884" i="7"/>
  <c r="T2884" i="7"/>
  <c r="S2884" i="7"/>
  <c r="R2884" i="7"/>
  <c r="Q2884" i="7"/>
  <c r="P2884" i="7"/>
  <c r="O2884" i="7"/>
  <c r="U2883" i="7"/>
  <c r="T2883" i="7"/>
  <c r="S2883" i="7"/>
  <c r="R2883" i="7"/>
  <c r="Q2883" i="7"/>
  <c r="P2883" i="7"/>
  <c r="O2883" i="7"/>
  <c r="U2882" i="7"/>
  <c r="T2882" i="7"/>
  <c r="S2882" i="7"/>
  <c r="R2882" i="7"/>
  <c r="Q2882" i="7"/>
  <c r="P2882" i="7"/>
  <c r="O2882" i="7"/>
  <c r="U2881" i="7"/>
  <c r="T2881" i="7"/>
  <c r="S2881" i="7"/>
  <c r="R2881" i="7"/>
  <c r="Q2881" i="7"/>
  <c r="P2881" i="7"/>
  <c r="O2881" i="7"/>
  <c r="U2880" i="7"/>
  <c r="T2880" i="7"/>
  <c r="S2880" i="7"/>
  <c r="R2880" i="7"/>
  <c r="Q2880" i="7"/>
  <c r="P2880" i="7"/>
  <c r="O2880" i="7"/>
  <c r="U2879" i="7"/>
  <c r="T2879" i="7"/>
  <c r="S2879" i="7"/>
  <c r="R2879" i="7"/>
  <c r="Q2879" i="7"/>
  <c r="P2879" i="7"/>
  <c r="O2879" i="7"/>
  <c r="U2878" i="7"/>
  <c r="T2878" i="7"/>
  <c r="S2878" i="7"/>
  <c r="R2878" i="7"/>
  <c r="Q2878" i="7"/>
  <c r="P2878" i="7"/>
  <c r="O2878" i="7"/>
  <c r="U2877" i="7"/>
  <c r="T2877" i="7"/>
  <c r="S2877" i="7"/>
  <c r="R2877" i="7"/>
  <c r="Q2877" i="7"/>
  <c r="P2877" i="7"/>
  <c r="O2877" i="7"/>
  <c r="U2876" i="7"/>
  <c r="T2876" i="7"/>
  <c r="S2876" i="7"/>
  <c r="R2876" i="7"/>
  <c r="Q2876" i="7"/>
  <c r="P2876" i="7"/>
  <c r="O2876" i="7"/>
  <c r="U2875" i="7"/>
  <c r="T2875" i="7"/>
  <c r="S2875" i="7"/>
  <c r="R2875" i="7"/>
  <c r="Q2875" i="7"/>
  <c r="P2875" i="7"/>
  <c r="O2875" i="7"/>
  <c r="U2874" i="7"/>
  <c r="T2874" i="7"/>
  <c r="S2874" i="7"/>
  <c r="R2874" i="7"/>
  <c r="Q2874" i="7"/>
  <c r="P2874" i="7"/>
  <c r="O2874" i="7"/>
  <c r="U2873" i="7"/>
  <c r="T2873" i="7"/>
  <c r="S2873" i="7"/>
  <c r="R2873" i="7"/>
  <c r="Q2873" i="7"/>
  <c r="P2873" i="7"/>
  <c r="O2873" i="7"/>
  <c r="U2872" i="7"/>
  <c r="T2872" i="7"/>
  <c r="S2872" i="7"/>
  <c r="R2872" i="7"/>
  <c r="Q2872" i="7"/>
  <c r="P2872" i="7"/>
  <c r="O2872" i="7"/>
  <c r="U2871" i="7"/>
  <c r="T2871" i="7"/>
  <c r="S2871" i="7"/>
  <c r="R2871" i="7"/>
  <c r="Q2871" i="7"/>
  <c r="P2871" i="7"/>
  <c r="O2871" i="7"/>
  <c r="U2870" i="7"/>
  <c r="T2870" i="7"/>
  <c r="S2870" i="7"/>
  <c r="R2870" i="7"/>
  <c r="Q2870" i="7"/>
  <c r="P2870" i="7"/>
  <c r="O2870" i="7"/>
  <c r="U2869" i="7"/>
  <c r="T2869" i="7"/>
  <c r="S2869" i="7"/>
  <c r="R2869" i="7"/>
  <c r="Q2869" i="7"/>
  <c r="P2869" i="7"/>
  <c r="O2869" i="7"/>
  <c r="U2868" i="7"/>
  <c r="T2868" i="7"/>
  <c r="S2868" i="7"/>
  <c r="R2868" i="7"/>
  <c r="Q2868" i="7"/>
  <c r="P2868" i="7"/>
  <c r="O2868" i="7"/>
  <c r="U2867" i="7"/>
  <c r="T2867" i="7"/>
  <c r="S2867" i="7"/>
  <c r="R2867" i="7"/>
  <c r="Q2867" i="7"/>
  <c r="P2867" i="7"/>
  <c r="O2867" i="7"/>
  <c r="U2866" i="7"/>
  <c r="T2866" i="7"/>
  <c r="S2866" i="7"/>
  <c r="R2866" i="7"/>
  <c r="Q2866" i="7"/>
  <c r="P2866" i="7"/>
  <c r="O2866" i="7"/>
  <c r="U2865" i="7"/>
  <c r="T2865" i="7"/>
  <c r="S2865" i="7"/>
  <c r="R2865" i="7"/>
  <c r="Q2865" i="7"/>
  <c r="P2865" i="7"/>
  <c r="O2865" i="7"/>
  <c r="U2864" i="7"/>
  <c r="T2864" i="7"/>
  <c r="S2864" i="7"/>
  <c r="R2864" i="7"/>
  <c r="Q2864" i="7"/>
  <c r="P2864" i="7"/>
  <c r="O2864" i="7"/>
  <c r="U2863" i="7"/>
  <c r="T2863" i="7"/>
  <c r="S2863" i="7"/>
  <c r="R2863" i="7"/>
  <c r="Q2863" i="7"/>
  <c r="P2863" i="7"/>
  <c r="O2863" i="7"/>
  <c r="U2862" i="7"/>
  <c r="T2862" i="7"/>
  <c r="S2862" i="7"/>
  <c r="R2862" i="7"/>
  <c r="Q2862" i="7"/>
  <c r="P2862" i="7"/>
  <c r="O2862" i="7"/>
  <c r="U2861" i="7"/>
  <c r="T2861" i="7"/>
  <c r="S2861" i="7"/>
  <c r="R2861" i="7"/>
  <c r="Q2861" i="7"/>
  <c r="P2861" i="7"/>
  <c r="O2861" i="7"/>
  <c r="U2860" i="7"/>
  <c r="T2860" i="7"/>
  <c r="S2860" i="7"/>
  <c r="R2860" i="7"/>
  <c r="Q2860" i="7"/>
  <c r="P2860" i="7"/>
  <c r="O2860" i="7"/>
  <c r="U2859" i="7"/>
  <c r="T2859" i="7"/>
  <c r="S2859" i="7"/>
  <c r="R2859" i="7"/>
  <c r="Q2859" i="7"/>
  <c r="P2859" i="7"/>
  <c r="O2859" i="7"/>
  <c r="U2858" i="7"/>
  <c r="T2858" i="7"/>
  <c r="S2858" i="7"/>
  <c r="R2858" i="7"/>
  <c r="Q2858" i="7"/>
  <c r="P2858" i="7"/>
  <c r="O2858" i="7"/>
  <c r="U2857" i="7"/>
  <c r="T2857" i="7"/>
  <c r="S2857" i="7"/>
  <c r="R2857" i="7"/>
  <c r="Q2857" i="7"/>
  <c r="P2857" i="7"/>
  <c r="O2857" i="7"/>
  <c r="U2856" i="7"/>
  <c r="T2856" i="7"/>
  <c r="S2856" i="7"/>
  <c r="R2856" i="7"/>
  <c r="Q2856" i="7"/>
  <c r="P2856" i="7"/>
  <c r="O2856" i="7"/>
  <c r="U2855" i="7"/>
  <c r="T2855" i="7"/>
  <c r="S2855" i="7"/>
  <c r="R2855" i="7"/>
  <c r="Q2855" i="7"/>
  <c r="P2855" i="7"/>
  <c r="O2855" i="7"/>
  <c r="U2854" i="7"/>
  <c r="T2854" i="7"/>
  <c r="S2854" i="7"/>
  <c r="R2854" i="7"/>
  <c r="Q2854" i="7"/>
  <c r="P2854" i="7"/>
  <c r="O2854" i="7"/>
  <c r="U2853" i="7"/>
  <c r="T2853" i="7"/>
  <c r="S2853" i="7"/>
  <c r="R2853" i="7"/>
  <c r="Q2853" i="7"/>
  <c r="P2853" i="7"/>
  <c r="O2853" i="7"/>
  <c r="U2852" i="7"/>
  <c r="T2852" i="7"/>
  <c r="S2852" i="7"/>
  <c r="R2852" i="7"/>
  <c r="Q2852" i="7"/>
  <c r="P2852" i="7"/>
  <c r="O2852" i="7"/>
  <c r="U2851" i="7"/>
  <c r="T2851" i="7"/>
  <c r="S2851" i="7"/>
  <c r="R2851" i="7"/>
  <c r="Q2851" i="7"/>
  <c r="P2851" i="7"/>
  <c r="O2851" i="7"/>
  <c r="U2850" i="7"/>
  <c r="T2850" i="7"/>
  <c r="S2850" i="7"/>
  <c r="R2850" i="7"/>
  <c r="Q2850" i="7"/>
  <c r="P2850" i="7"/>
  <c r="O2850" i="7"/>
  <c r="U2849" i="7"/>
  <c r="T2849" i="7"/>
  <c r="S2849" i="7"/>
  <c r="R2849" i="7"/>
  <c r="Q2849" i="7"/>
  <c r="P2849" i="7"/>
  <c r="O2849" i="7"/>
  <c r="U2848" i="7"/>
  <c r="T2848" i="7"/>
  <c r="S2848" i="7"/>
  <c r="R2848" i="7"/>
  <c r="Q2848" i="7"/>
  <c r="P2848" i="7"/>
  <c r="O2848" i="7"/>
  <c r="U2847" i="7"/>
  <c r="T2847" i="7"/>
  <c r="S2847" i="7"/>
  <c r="R2847" i="7"/>
  <c r="Q2847" i="7"/>
  <c r="P2847" i="7"/>
  <c r="O2847" i="7"/>
  <c r="U2846" i="7"/>
  <c r="T2846" i="7"/>
  <c r="S2846" i="7"/>
  <c r="R2846" i="7"/>
  <c r="Q2846" i="7"/>
  <c r="P2846" i="7"/>
  <c r="O2846" i="7"/>
  <c r="U2845" i="7"/>
  <c r="T2845" i="7"/>
  <c r="S2845" i="7"/>
  <c r="R2845" i="7"/>
  <c r="Q2845" i="7"/>
  <c r="P2845" i="7"/>
  <c r="O2845" i="7"/>
  <c r="U2844" i="7"/>
  <c r="T2844" i="7"/>
  <c r="S2844" i="7"/>
  <c r="R2844" i="7"/>
  <c r="Q2844" i="7"/>
  <c r="P2844" i="7"/>
  <c r="O2844" i="7"/>
  <c r="U2843" i="7"/>
  <c r="T2843" i="7"/>
  <c r="S2843" i="7"/>
  <c r="R2843" i="7"/>
  <c r="Q2843" i="7"/>
  <c r="P2843" i="7"/>
  <c r="O2843" i="7"/>
  <c r="U2842" i="7"/>
  <c r="T2842" i="7"/>
  <c r="S2842" i="7"/>
  <c r="R2842" i="7"/>
  <c r="Q2842" i="7"/>
  <c r="P2842" i="7"/>
  <c r="O2842" i="7"/>
  <c r="U2841" i="7"/>
  <c r="T2841" i="7"/>
  <c r="S2841" i="7"/>
  <c r="R2841" i="7"/>
  <c r="Q2841" i="7"/>
  <c r="P2841" i="7"/>
  <c r="O2841" i="7"/>
  <c r="U2840" i="7"/>
  <c r="T2840" i="7"/>
  <c r="S2840" i="7"/>
  <c r="R2840" i="7"/>
  <c r="Q2840" i="7"/>
  <c r="P2840" i="7"/>
  <c r="O2840" i="7"/>
  <c r="U2839" i="7"/>
  <c r="T2839" i="7"/>
  <c r="S2839" i="7"/>
  <c r="R2839" i="7"/>
  <c r="Q2839" i="7"/>
  <c r="P2839" i="7"/>
  <c r="O2839" i="7"/>
  <c r="U2838" i="7"/>
  <c r="T2838" i="7"/>
  <c r="S2838" i="7"/>
  <c r="R2838" i="7"/>
  <c r="Q2838" i="7"/>
  <c r="P2838" i="7"/>
  <c r="O2838" i="7"/>
  <c r="U2837" i="7"/>
  <c r="T2837" i="7"/>
  <c r="S2837" i="7"/>
  <c r="R2837" i="7"/>
  <c r="Q2837" i="7"/>
  <c r="P2837" i="7"/>
  <c r="O2837" i="7"/>
  <c r="U2836" i="7"/>
  <c r="T2836" i="7"/>
  <c r="S2836" i="7"/>
  <c r="R2836" i="7"/>
  <c r="Q2836" i="7"/>
  <c r="P2836" i="7"/>
  <c r="O2836" i="7"/>
  <c r="U2835" i="7"/>
  <c r="T2835" i="7"/>
  <c r="S2835" i="7"/>
  <c r="R2835" i="7"/>
  <c r="Q2835" i="7"/>
  <c r="P2835" i="7"/>
  <c r="O2835" i="7"/>
  <c r="U2834" i="7"/>
  <c r="T2834" i="7"/>
  <c r="S2834" i="7"/>
  <c r="R2834" i="7"/>
  <c r="Q2834" i="7"/>
  <c r="P2834" i="7"/>
  <c r="O2834" i="7"/>
  <c r="U2833" i="7"/>
  <c r="T2833" i="7"/>
  <c r="S2833" i="7"/>
  <c r="R2833" i="7"/>
  <c r="Q2833" i="7"/>
  <c r="P2833" i="7"/>
  <c r="O2833" i="7"/>
  <c r="U2832" i="7"/>
  <c r="T2832" i="7"/>
  <c r="S2832" i="7"/>
  <c r="R2832" i="7"/>
  <c r="Q2832" i="7"/>
  <c r="P2832" i="7"/>
  <c r="O2832" i="7"/>
  <c r="U2831" i="7"/>
  <c r="T2831" i="7"/>
  <c r="S2831" i="7"/>
  <c r="R2831" i="7"/>
  <c r="Q2831" i="7"/>
  <c r="P2831" i="7"/>
  <c r="O2831" i="7"/>
  <c r="U2830" i="7"/>
  <c r="T2830" i="7"/>
  <c r="S2830" i="7"/>
  <c r="R2830" i="7"/>
  <c r="Q2830" i="7"/>
  <c r="P2830" i="7"/>
  <c r="O2830" i="7"/>
  <c r="U2829" i="7"/>
  <c r="T2829" i="7"/>
  <c r="S2829" i="7"/>
  <c r="R2829" i="7"/>
  <c r="Q2829" i="7"/>
  <c r="P2829" i="7"/>
  <c r="O2829" i="7"/>
  <c r="U2828" i="7"/>
  <c r="T2828" i="7"/>
  <c r="S2828" i="7"/>
  <c r="R2828" i="7"/>
  <c r="Q2828" i="7"/>
  <c r="P2828" i="7"/>
  <c r="O2828" i="7"/>
  <c r="U2827" i="7"/>
  <c r="T2827" i="7"/>
  <c r="S2827" i="7"/>
  <c r="R2827" i="7"/>
  <c r="Q2827" i="7"/>
  <c r="P2827" i="7"/>
  <c r="O2827" i="7"/>
  <c r="U2826" i="7"/>
  <c r="T2826" i="7"/>
  <c r="S2826" i="7"/>
  <c r="R2826" i="7"/>
  <c r="Q2826" i="7"/>
  <c r="P2826" i="7"/>
  <c r="O2826" i="7"/>
  <c r="U2825" i="7"/>
  <c r="T2825" i="7"/>
  <c r="S2825" i="7"/>
  <c r="R2825" i="7"/>
  <c r="Q2825" i="7"/>
  <c r="P2825" i="7"/>
  <c r="O2825" i="7"/>
  <c r="U2824" i="7"/>
  <c r="T2824" i="7"/>
  <c r="S2824" i="7"/>
  <c r="R2824" i="7"/>
  <c r="Q2824" i="7"/>
  <c r="P2824" i="7"/>
  <c r="O2824" i="7"/>
  <c r="U2823" i="7"/>
  <c r="T2823" i="7"/>
  <c r="S2823" i="7"/>
  <c r="R2823" i="7"/>
  <c r="Q2823" i="7"/>
  <c r="P2823" i="7"/>
  <c r="O2823" i="7"/>
  <c r="U2822" i="7"/>
  <c r="T2822" i="7"/>
  <c r="S2822" i="7"/>
  <c r="R2822" i="7"/>
  <c r="Q2822" i="7"/>
  <c r="P2822" i="7"/>
  <c r="O2822" i="7"/>
  <c r="U2821" i="7"/>
  <c r="T2821" i="7"/>
  <c r="S2821" i="7"/>
  <c r="R2821" i="7"/>
  <c r="Q2821" i="7"/>
  <c r="P2821" i="7"/>
  <c r="O2821" i="7"/>
  <c r="U2820" i="7"/>
  <c r="T2820" i="7"/>
  <c r="S2820" i="7"/>
  <c r="R2820" i="7"/>
  <c r="Q2820" i="7"/>
  <c r="P2820" i="7"/>
  <c r="O2820" i="7"/>
  <c r="U2819" i="7"/>
  <c r="T2819" i="7"/>
  <c r="S2819" i="7"/>
  <c r="R2819" i="7"/>
  <c r="Q2819" i="7"/>
  <c r="P2819" i="7"/>
  <c r="O2819" i="7"/>
  <c r="U2818" i="7"/>
  <c r="T2818" i="7"/>
  <c r="S2818" i="7"/>
  <c r="R2818" i="7"/>
  <c r="Q2818" i="7"/>
  <c r="P2818" i="7"/>
  <c r="O2818" i="7"/>
  <c r="U2817" i="7"/>
  <c r="T2817" i="7"/>
  <c r="S2817" i="7"/>
  <c r="R2817" i="7"/>
  <c r="Q2817" i="7"/>
  <c r="P2817" i="7"/>
  <c r="O2817" i="7"/>
  <c r="U2816" i="7"/>
  <c r="T2816" i="7"/>
  <c r="S2816" i="7"/>
  <c r="R2816" i="7"/>
  <c r="Q2816" i="7"/>
  <c r="P2816" i="7"/>
  <c r="O2816" i="7"/>
  <c r="U2815" i="7"/>
  <c r="T2815" i="7"/>
  <c r="S2815" i="7"/>
  <c r="R2815" i="7"/>
  <c r="Q2815" i="7"/>
  <c r="P2815" i="7"/>
  <c r="O2815" i="7"/>
  <c r="U2814" i="7"/>
  <c r="T2814" i="7"/>
  <c r="S2814" i="7"/>
  <c r="R2814" i="7"/>
  <c r="Q2814" i="7"/>
  <c r="P2814" i="7"/>
  <c r="O2814" i="7"/>
  <c r="U2813" i="7"/>
  <c r="T2813" i="7"/>
  <c r="S2813" i="7"/>
  <c r="R2813" i="7"/>
  <c r="Q2813" i="7"/>
  <c r="P2813" i="7"/>
  <c r="O2813" i="7"/>
  <c r="U2812" i="7"/>
  <c r="T2812" i="7"/>
  <c r="S2812" i="7"/>
  <c r="R2812" i="7"/>
  <c r="Q2812" i="7"/>
  <c r="P2812" i="7"/>
  <c r="O2812" i="7"/>
  <c r="U2811" i="7"/>
  <c r="T2811" i="7"/>
  <c r="S2811" i="7"/>
  <c r="R2811" i="7"/>
  <c r="Q2811" i="7"/>
  <c r="P2811" i="7"/>
  <c r="O2811" i="7"/>
  <c r="U2810" i="7"/>
  <c r="T2810" i="7"/>
  <c r="S2810" i="7"/>
  <c r="R2810" i="7"/>
  <c r="Q2810" i="7"/>
  <c r="P2810" i="7"/>
  <c r="O2810" i="7"/>
  <c r="U2809" i="7"/>
  <c r="T2809" i="7"/>
  <c r="S2809" i="7"/>
  <c r="R2809" i="7"/>
  <c r="Q2809" i="7"/>
  <c r="P2809" i="7"/>
  <c r="O2809" i="7"/>
  <c r="U2808" i="7"/>
  <c r="T2808" i="7"/>
  <c r="S2808" i="7"/>
  <c r="R2808" i="7"/>
  <c r="Q2808" i="7"/>
  <c r="P2808" i="7"/>
  <c r="O2808" i="7"/>
  <c r="U2807" i="7"/>
  <c r="T2807" i="7"/>
  <c r="S2807" i="7"/>
  <c r="R2807" i="7"/>
  <c r="Q2807" i="7"/>
  <c r="P2807" i="7"/>
  <c r="O2807" i="7"/>
  <c r="U2806" i="7"/>
  <c r="T2806" i="7"/>
  <c r="S2806" i="7"/>
  <c r="R2806" i="7"/>
  <c r="Q2806" i="7"/>
  <c r="P2806" i="7"/>
  <c r="O2806" i="7"/>
  <c r="U2805" i="7"/>
  <c r="T2805" i="7"/>
  <c r="S2805" i="7"/>
  <c r="R2805" i="7"/>
  <c r="Q2805" i="7"/>
  <c r="P2805" i="7"/>
  <c r="O2805" i="7"/>
  <c r="U2804" i="7"/>
  <c r="T2804" i="7"/>
  <c r="S2804" i="7"/>
  <c r="R2804" i="7"/>
  <c r="Q2804" i="7"/>
  <c r="P2804" i="7"/>
  <c r="O2804" i="7"/>
  <c r="U2803" i="7"/>
  <c r="T2803" i="7"/>
  <c r="S2803" i="7"/>
  <c r="R2803" i="7"/>
  <c r="Q2803" i="7"/>
  <c r="P2803" i="7"/>
  <c r="O2803" i="7"/>
  <c r="U2802" i="7"/>
  <c r="T2802" i="7"/>
  <c r="S2802" i="7"/>
  <c r="R2802" i="7"/>
  <c r="Q2802" i="7"/>
  <c r="P2802" i="7"/>
  <c r="O2802" i="7"/>
  <c r="U2801" i="7"/>
  <c r="T2801" i="7"/>
  <c r="S2801" i="7"/>
  <c r="R2801" i="7"/>
  <c r="Q2801" i="7"/>
  <c r="P2801" i="7"/>
  <c r="O2801" i="7"/>
  <c r="U2800" i="7"/>
  <c r="T2800" i="7"/>
  <c r="S2800" i="7"/>
  <c r="R2800" i="7"/>
  <c r="Q2800" i="7"/>
  <c r="P2800" i="7"/>
  <c r="O2800" i="7"/>
  <c r="U2799" i="7"/>
  <c r="T2799" i="7"/>
  <c r="S2799" i="7"/>
  <c r="R2799" i="7"/>
  <c r="Q2799" i="7"/>
  <c r="P2799" i="7"/>
  <c r="O2799" i="7"/>
  <c r="U2798" i="7"/>
  <c r="T2798" i="7"/>
  <c r="S2798" i="7"/>
  <c r="R2798" i="7"/>
  <c r="Q2798" i="7"/>
  <c r="P2798" i="7"/>
  <c r="O2798" i="7"/>
  <c r="U2797" i="7"/>
  <c r="T2797" i="7"/>
  <c r="S2797" i="7"/>
  <c r="R2797" i="7"/>
  <c r="Q2797" i="7"/>
  <c r="P2797" i="7"/>
  <c r="O2797" i="7"/>
  <c r="U2796" i="7"/>
  <c r="T2796" i="7"/>
  <c r="S2796" i="7"/>
  <c r="R2796" i="7"/>
  <c r="Q2796" i="7"/>
  <c r="P2796" i="7"/>
  <c r="O2796" i="7"/>
  <c r="U2795" i="7"/>
  <c r="T2795" i="7"/>
  <c r="S2795" i="7"/>
  <c r="R2795" i="7"/>
  <c r="Q2795" i="7"/>
  <c r="P2795" i="7"/>
  <c r="O2795" i="7"/>
  <c r="U2794" i="7"/>
  <c r="T2794" i="7"/>
  <c r="S2794" i="7"/>
  <c r="R2794" i="7"/>
  <c r="Q2794" i="7"/>
  <c r="P2794" i="7"/>
  <c r="O2794" i="7"/>
  <c r="U2793" i="7"/>
  <c r="T2793" i="7"/>
  <c r="S2793" i="7"/>
  <c r="R2793" i="7"/>
  <c r="Q2793" i="7"/>
  <c r="P2793" i="7"/>
  <c r="O2793" i="7"/>
  <c r="U2792" i="7"/>
  <c r="T2792" i="7"/>
  <c r="S2792" i="7"/>
  <c r="R2792" i="7"/>
  <c r="Q2792" i="7"/>
  <c r="P2792" i="7"/>
  <c r="O2792" i="7"/>
  <c r="U2791" i="7"/>
  <c r="T2791" i="7"/>
  <c r="S2791" i="7"/>
  <c r="R2791" i="7"/>
  <c r="Q2791" i="7"/>
  <c r="P2791" i="7"/>
  <c r="O2791" i="7"/>
  <c r="U2790" i="7"/>
  <c r="T2790" i="7"/>
  <c r="S2790" i="7"/>
  <c r="R2790" i="7"/>
  <c r="Q2790" i="7"/>
  <c r="P2790" i="7"/>
  <c r="O2790" i="7"/>
  <c r="U2789" i="7"/>
  <c r="T2789" i="7"/>
  <c r="S2789" i="7"/>
  <c r="R2789" i="7"/>
  <c r="Q2789" i="7"/>
  <c r="P2789" i="7"/>
  <c r="O2789" i="7"/>
  <c r="U2788" i="7"/>
  <c r="T2788" i="7"/>
  <c r="S2788" i="7"/>
  <c r="R2788" i="7"/>
  <c r="Q2788" i="7"/>
  <c r="P2788" i="7"/>
  <c r="O2788" i="7"/>
  <c r="U2787" i="7"/>
  <c r="T2787" i="7"/>
  <c r="S2787" i="7"/>
  <c r="R2787" i="7"/>
  <c r="Q2787" i="7"/>
  <c r="P2787" i="7"/>
  <c r="O2787" i="7"/>
  <c r="U2786" i="7"/>
  <c r="T2786" i="7"/>
  <c r="S2786" i="7"/>
  <c r="R2786" i="7"/>
  <c r="Q2786" i="7"/>
  <c r="P2786" i="7"/>
  <c r="O2786" i="7"/>
  <c r="U2785" i="7"/>
  <c r="T2785" i="7"/>
  <c r="S2785" i="7"/>
  <c r="R2785" i="7"/>
  <c r="Q2785" i="7"/>
  <c r="P2785" i="7"/>
  <c r="O2785" i="7"/>
  <c r="U2784" i="7"/>
  <c r="T2784" i="7"/>
  <c r="S2784" i="7"/>
  <c r="R2784" i="7"/>
  <c r="Q2784" i="7"/>
  <c r="P2784" i="7"/>
  <c r="O2784" i="7"/>
  <c r="U2783" i="7"/>
  <c r="T2783" i="7"/>
  <c r="S2783" i="7"/>
  <c r="R2783" i="7"/>
  <c r="Q2783" i="7"/>
  <c r="P2783" i="7"/>
  <c r="O2783" i="7"/>
  <c r="U2782" i="7"/>
  <c r="T2782" i="7"/>
  <c r="S2782" i="7"/>
  <c r="R2782" i="7"/>
  <c r="Q2782" i="7"/>
  <c r="P2782" i="7"/>
  <c r="O2782" i="7"/>
  <c r="U2781" i="7"/>
  <c r="T2781" i="7"/>
  <c r="S2781" i="7"/>
  <c r="R2781" i="7"/>
  <c r="Q2781" i="7"/>
  <c r="P2781" i="7"/>
  <c r="O2781" i="7"/>
  <c r="U2780" i="7"/>
  <c r="T2780" i="7"/>
  <c r="S2780" i="7"/>
  <c r="R2780" i="7"/>
  <c r="Q2780" i="7"/>
  <c r="P2780" i="7"/>
  <c r="O2780" i="7"/>
  <c r="U2779" i="7"/>
  <c r="T2779" i="7"/>
  <c r="S2779" i="7"/>
  <c r="R2779" i="7"/>
  <c r="Q2779" i="7"/>
  <c r="P2779" i="7"/>
  <c r="O2779" i="7"/>
  <c r="U2778" i="7"/>
  <c r="T2778" i="7"/>
  <c r="S2778" i="7"/>
  <c r="R2778" i="7"/>
  <c r="Q2778" i="7"/>
  <c r="P2778" i="7"/>
  <c r="O2778" i="7"/>
  <c r="U2777" i="7"/>
  <c r="T2777" i="7"/>
  <c r="S2777" i="7"/>
  <c r="R2777" i="7"/>
  <c r="Q2777" i="7"/>
  <c r="P2777" i="7"/>
  <c r="O2777" i="7"/>
  <c r="U2776" i="7"/>
  <c r="T2776" i="7"/>
  <c r="S2776" i="7"/>
  <c r="R2776" i="7"/>
  <c r="Q2776" i="7"/>
  <c r="P2776" i="7"/>
  <c r="O2776" i="7"/>
  <c r="U2775" i="7"/>
  <c r="T2775" i="7"/>
  <c r="S2775" i="7"/>
  <c r="R2775" i="7"/>
  <c r="Q2775" i="7"/>
  <c r="P2775" i="7"/>
  <c r="O2775" i="7"/>
  <c r="U2774" i="7"/>
  <c r="T2774" i="7"/>
  <c r="S2774" i="7"/>
  <c r="R2774" i="7"/>
  <c r="Q2774" i="7"/>
  <c r="P2774" i="7"/>
  <c r="O2774" i="7"/>
  <c r="U2773" i="7"/>
  <c r="T2773" i="7"/>
  <c r="S2773" i="7"/>
  <c r="R2773" i="7"/>
  <c r="Q2773" i="7"/>
  <c r="P2773" i="7"/>
  <c r="O2773" i="7"/>
  <c r="U2772" i="7"/>
  <c r="T2772" i="7"/>
  <c r="S2772" i="7"/>
  <c r="R2772" i="7"/>
  <c r="Q2772" i="7"/>
  <c r="P2772" i="7"/>
  <c r="O2772" i="7"/>
  <c r="U2771" i="7"/>
  <c r="T2771" i="7"/>
  <c r="S2771" i="7"/>
  <c r="R2771" i="7"/>
  <c r="Q2771" i="7"/>
  <c r="P2771" i="7"/>
  <c r="O2771" i="7"/>
  <c r="U2770" i="7"/>
  <c r="T2770" i="7"/>
  <c r="S2770" i="7"/>
  <c r="R2770" i="7"/>
  <c r="Q2770" i="7"/>
  <c r="P2770" i="7"/>
  <c r="O2770" i="7"/>
  <c r="U2769" i="7"/>
  <c r="T2769" i="7"/>
  <c r="S2769" i="7"/>
  <c r="R2769" i="7"/>
  <c r="Q2769" i="7"/>
  <c r="P2769" i="7"/>
  <c r="O2769" i="7"/>
  <c r="U2768" i="7"/>
  <c r="T2768" i="7"/>
  <c r="S2768" i="7"/>
  <c r="R2768" i="7"/>
  <c r="Q2768" i="7"/>
  <c r="P2768" i="7"/>
  <c r="O2768" i="7"/>
  <c r="U2767" i="7"/>
  <c r="T2767" i="7"/>
  <c r="S2767" i="7"/>
  <c r="R2767" i="7"/>
  <c r="Q2767" i="7"/>
  <c r="P2767" i="7"/>
  <c r="O2767" i="7"/>
  <c r="U2766" i="7"/>
  <c r="T2766" i="7"/>
  <c r="S2766" i="7"/>
  <c r="R2766" i="7"/>
  <c r="Q2766" i="7"/>
  <c r="P2766" i="7"/>
  <c r="O2766" i="7"/>
  <c r="U2765" i="7"/>
  <c r="T2765" i="7"/>
  <c r="S2765" i="7"/>
  <c r="R2765" i="7"/>
  <c r="Q2765" i="7"/>
  <c r="P2765" i="7"/>
  <c r="O2765" i="7"/>
  <c r="U2764" i="7"/>
  <c r="T2764" i="7"/>
  <c r="S2764" i="7"/>
  <c r="R2764" i="7"/>
  <c r="Q2764" i="7"/>
  <c r="P2764" i="7"/>
  <c r="O2764" i="7"/>
  <c r="U2763" i="7"/>
  <c r="T2763" i="7"/>
  <c r="S2763" i="7"/>
  <c r="R2763" i="7"/>
  <c r="Q2763" i="7"/>
  <c r="P2763" i="7"/>
  <c r="O2763" i="7"/>
  <c r="U2762" i="7"/>
  <c r="T2762" i="7"/>
  <c r="S2762" i="7"/>
  <c r="R2762" i="7"/>
  <c r="Q2762" i="7"/>
  <c r="P2762" i="7"/>
  <c r="O2762" i="7"/>
  <c r="U2761" i="7"/>
  <c r="T2761" i="7"/>
  <c r="S2761" i="7"/>
  <c r="R2761" i="7"/>
  <c r="Q2761" i="7"/>
  <c r="P2761" i="7"/>
  <c r="O2761" i="7"/>
  <c r="U2760" i="7"/>
  <c r="T2760" i="7"/>
  <c r="S2760" i="7"/>
  <c r="R2760" i="7"/>
  <c r="Q2760" i="7"/>
  <c r="P2760" i="7"/>
  <c r="O2760" i="7"/>
  <c r="U2759" i="7"/>
  <c r="T2759" i="7"/>
  <c r="S2759" i="7"/>
  <c r="R2759" i="7"/>
  <c r="Q2759" i="7"/>
  <c r="P2759" i="7"/>
  <c r="O2759" i="7"/>
  <c r="U2758" i="7"/>
  <c r="T2758" i="7"/>
  <c r="S2758" i="7"/>
  <c r="R2758" i="7"/>
  <c r="Q2758" i="7"/>
  <c r="P2758" i="7"/>
  <c r="O2758" i="7"/>
  <c r="U2757" i="7"/>
  <c r="T2757" i="7"/>
  <c r="S2757" i="7"/>
  <c r="R2757" i="7"/>
  <c r="Q2757" i="7"/>
  <c r="P2757" i="7"/>
  <c r="O2757" i="7"/>
  <c r="U2756" i="7"/>
  <c r="T2756" i="7"/>
  <c r="S2756" i="7"/>
  <c r="R2756" i="7"/>
  <c r="Q2756" i="7"/>
  <c r="P2756" i="7"/>
  <c r="O2756" i="7"/>
  <c r="U2755" i="7"/>
  <c r="T2755" i="7"/>
  <c r="S2755" i="7"/>
  <c r="R2755" i="7"/>
  <c r="Q2755" i="7"/>
  <c r="P2755" i="7"/>
  <c r="O2755" i="7"/>
  <c r="U2754" i="7"/>
  <c r="T2754" i="7"/>
  <c r="S2754" i="7"/>
  <c r="R2754" i="7"/>
  <c r="Q2754" i="7"/>
  <c r="P2754" i="7"/>
  <c r="O2754" i="7"/>
  <c r="U2753" i="7"/>
  <c r="T2753" i="7"/>
  <c r="S2753" i="7"/>
  <c r="R2753" i="7"/>
  <c r="Q2753" i="7"/>
  <c r="P2753" i="7"/>
  <c r="O2753" i="7"/>
  <c r="U2752" i="7"/>
  <c r="T2752" i="7"/>
  <c r="S2752" i="7"/>
  <c r="R2752" i="7"/>
  <c r="Q2752" i="7"/>
  <c r="P2752" i="7"/>
  <c r="O2752" i="7"/>
  <c r="U2751" i="7"/>
  <c r="T2751" i="7"/>
  <c r="S2751" i="7"/>
  <c r="R2751" i="7"/>
  <c r="Q2751" i="7"/>
  <c r="P2751" i="7"/>
  <c r="O2751" i="7"/>
  <c r="U2750" i="7"/>
  <c r="T2750" i="7"/>
  <c r="S2750" i="7"/>
  <c r="R2750" i="7"/>
  <c r="Q2750" i="7"/>
  <c r="P2750" i="7"/>
  <c r="O2750" i="7"/>
  <c r="U2749" i="7"/>
  <c r="T2749" i="7"/>
  <c r="S2749" i="7"/>
  <c r="R2749" i="7"/>
  <c r="Q2749" i="7"/>
  <c r="P2749" i="7"/>
  <c r="O2749" i="7"/>
  <c r="U2748" i="7"/>
  <c r="T2748" i="7"/>
  <c r="S2748" i="7"/>
  <c r="R2748" i="7"/>
  <c r="Q2748" i="7"/>
  <c r="P2748" i="7"/>
  <c r="O2748" i="7"/>
  <c r="U2747" i="7"/>
  <c r="T2747" i="7"/>
  <c r="S2747" i="7"/>
  <c r="R2747" i="7"/>
  <c r="Q2747" i="7"/>
  <c r="P2747" i="7"/>
  <c r="O2747" i="7"/>
  <c r="U2746" i="7"/>
  <c r="T2746" i="7"/>
  <c r="S2746" i="7"/>
  <c r="R2746" i="7"/>
  <c r="Q2746" i="7"/>
  <c r="P2746" i="7"/>
  <c r="O2746" i="7"/>
  <c r="U2745" i="7"/>
  <c r="T2745" i="7"/>
  <c r="S2745" i="7"/>
  <c r="R2745" i="7"/>
  <c r="Q2745" i="7"/>
  <c r="P2745" i="7"/>
  <c r="O2745" i="7"/>
  <c r="U2744" i="7"/>
  <c r="T2744" i="7"/>
  <c r="S2744" i="7"/>
  <c r="R2744" i="7"/>
  <c r="Q2744" i="7"/>
  <c r="P2744" i="7"/>
  <c r="O2744" i="7"/>
  <c r="U2743" i="7"/>
  <c r="T2743" i="7"/>
  <c r="S2743" i="7"/>
  <c r="R2743" i="7"/>
  <c r="Q2743" i="7"/>
  <c r="P2743" i="7"/>
  <c r="O2743" i="7"/>
  <c r="U2742" i="7"/>
  <c r="T2742" i="7"/>
  <c r="S2742" i="7"/>
  <c r="R2742" i="7"/>
  <c r="Q2742" i="7"/>
  <c r="P2742" i="7"/>
  <c r="O2742" i="7"/>
  <c r="U2741" i="7"/>
  <c r="T2741" i="7"/>
  <c r="S2741" i="7"/>
  <c r="R2741" i="7"/>
  <c r="Q2741" i="7"/>
  <c r="P2741" i="7"/>
  <c r="O2741" i="7"/>
  <c r="U2740" i="7"/>
  <c r="T2740" i="7"/>
  <c r="S2740" i="7"/>
  <c r="R2740" i="7"/>
  <c r="Q2740" i="7"/>
  <c r="P2740" i="7"/>
  <c r="O2740" i="7"/>
  <c r="U2739" i="7"/>
  <c r="T2739" i="7"/>
  <c r="S2739" i="7"/>
  <c r="R2739" i="7"/>
  <c r="Q2739" i="7"/>
  <c r="P2739" i="7"/>
  <c r="O2739" i="7"/>
  <c r="U2738" i="7"/>
  <c r="T2738" i="7"/>
  <c r="S2738" i="7"/>
  <c r="R2738" i="7"/>
  <c r="Q2738" i="7"/>
  <c r="P2738" i="7"/>
  <c r="O2738" i="7"/>
  <c r="U2737" i="7"/>
  <c r="T2737" i="7"/>
  <c r="S2737" i="7"/>
  <c r="R2737" i="7"/>
  <c r="Q2737" i="7"/>
  <c r="P2737" i="7"/>
  <c r="O2737" i="7"/>
  <c r="U2736" i="7"/>
  <c r="T2736" i="7"/>
  <c r="S2736" i="7"/>
  <c r="R2736" i="7"/>
  <c r="Q2736" i="7"/>
  <c r="P2736" i="7"/>
  <c r="O2736" i="7"/>
  <c r="U2735" i="7"/>
  <c r="T2735" i="7"/>
  <c r="S2735" i="7"/>
  <c r="R2735" i="7"/>
  <c r="Q2735" i="7"/>
  <c r="P2735" i="7"/>
  <c r="O2735" i="7"/>
  <c r="U2734" i="7"/>
  <c r="T2734" i="7"/>
  <c r="S2734" i="7"/>
  <c r="R2734" i="7"/>
  <c r="Q2734" i="7"/>
  <c r="P2734" i="7"/>
  <c r="O2734" i="7"/>
  <c r="U2733" i="7"/>
  <c r="T2733" i="7"/>
  <c r="S2733" i="7"/>
  <c r="R2733" i="7"/>
  <c r="Q2733" i="7"/>
  <c r="P2733" i="7"/>
  <c r="O2733" i="7"/>
  <c r="U2732" i="7"/>
  <c r="T2732" i="7"/>
  <c r="S2732" i="7"/>
  <c r="R2732" i="7"/>
  <c r="Q2732" i="7"/>
  <c r="P2732" i="7"/>
  <c r="O2732" i="7"/>
  <c r="U2731" i="7"/>
  <c r="T2731" i="7"/>
  <c r="S2731" i="7"/>
  <c r="R2731" i="7"/>
  <c r="Q2731" i="7"/>
  <c r="P2731" i="7"/>
  <c r="O2731" i="7"/>
  <c r="U2730" i="7"/>
  <c r="T2730" i="7"/>
  <c r="S2730" i="7"/>
  <c r="R2730" i="7"/>
  <c r="Q2730" i="7"/>
  <c r="P2730" i="7"/>
  <c r="O2730" i="7"/>
  <c r="U2729" i="7"/>
  <c r="T2729" i="7"/>
  <c r="S2729" i="7"/>
  <c r="R2729" i="7"/>
  <c r="Q2729" i="7"/>
  <c r="P2729" i="7"/>
  <c r="O2729" i="7"/>
  <c r="U2728" i="7"/>
  <c r="T2728" i="7"/>
  <c r="S2728" i="7"/>
  <c r="R2728" i="7"/>
  <c r="Q2728" i="7"/>
  <c r="P2728" i="7"/>
  <c r="O2728" i="7"/>
  <c r="U2727" i="7"/>
  <c r="T2727" i="7"/>
  <c r="S2727" i="7"/>
  <c r="R2727" i="7"/>
  <c r="Q2727" i="7"/>
  <c r="P2727" i="7"/>
  <c r="O2727" i="7"/>
  <c r="U2726" i="7"/>
  <c r="T2726" i="7"/>
  <c r="S2726" i="7"/>
  <c r="R2726" i="7"/>
  <c r="Q2726" i="7"/>
  <c r="P2726" i="7"/>
  <c r="O2726" i="7"/>
  <c r="U2725" i="7"/>
  <c r="T2725" i="7"/>
  <c r="S2725" i="7"/>
  <c r="R2725" i="7"/>
  <c r="Q2725" i="7"/>
  <c r="P2725" i="7"/>
  <c r="O2725" i="7"/>
  <c r="U2724" i="7"/>
  <c r="T2724" i="7"/>
  <c r="S2724" i="7"/>
  <c r="R2724" i="7"/>
  <c r="Q2724" i="7"/>
  <c r="P2724" i="7"/>
  <c r="O2724" i="7"/>
  <c r="U2723" i="7"/>
  <c r="T2723" i="7"/>
  <c r="S2723" i="7"/>
  <c r="R2723" i="7"/>
  <c r="Q2723" i="7"/>
  <c r="P2723" i="7"/>
  <c r="O2723" i="7"/>
  <c r="U2722" i="7"/>
  <c r="T2722" i="7"/>
  <c r="S2722" i="7"/>
  <c r="R2722" i="7"/>
  <c r="Q2722" i="7"/>
  <c r="P2722" i="7"/>
  <c r="O2722" i="7"/>
  <c r="U2721" i="7"/>
  <c r="T2721" i="7"/>
  <c r="S2721" i="7"/>
  <c r="R2721" i="7"/>
  <c r="Q2721" i="7"/>
  <c r="P2721" i="7"/>
  <c r="O2721" i="7"/>
  <c r="U2720" i="7"/>
  <c r="T2720" i="7"/>
  <c r="S2720" i="7"/>
  <c r="R2720" i="7"/>
  <c r="Q2720" i="7"/>
  <c r="P2720" i="7"/>
  <c r="O2720" i="7"/>
  <c r="U2719" i="7"/>
  <c r="T2719" i="7"/>
  <c r="S2719" i="7"/>
  <c r="R2719" i="7"/>
  <c r="Q2719" i="7"/>
  <c r="P2719" i="7"/>
  <c r="O2719" i="7"/>
  <c r="U2718" i="7"/>
  <c r="T2718" i="7"/>
  <c r="S2718" i="7"/>
  <c r="R2718" i="7"/>
  <c r="Q2718" i="7"/>
  <c r="P2718" i="7"/>
  <c r="O2718" i="7"/>
  <c r="U2717" i="7"/>
  <c r="T2717" i="7"/>
  <c r="S2717" i="7"/>
  <c r="R2717" i="7"/>
  <c r="Q2717" i="7"/>
  <c r="P2717" i="7"/>
  <c r="O2717" i="7"/>
  <c r="U2716" i="7"/>
  <c r="T2716" i="7"/>
  <c r="S2716" i="7"/>
  <c r="R2716" i="7"/>
  <c r="Q2716" i="7"/>
  <c r="P2716" i="7"/>
  <c r="O2716" i="7"/>
  <c r="U2715" i="7"/>
  <c r="T2715" i="7"/>
  <c r="S2715" i="7"/>
  <c r="R2715" i="7"/>
  <c r="Q2715" i="7"/>
  <c r="P2715" i="7"/>
  <c r="O2715" i="7"/>
  <c r="U2714" i="7"/>
  <c r="T2714" i="7"/>
  <c r="S2714" i="7"/>
  <c r="R2714" i="7"/>
  <c r="Q2714" i="7"/>
  <c r="P2714" i="7"/>
  <c r="O2714" i="7"/>
  <c r="U2713" i="7"/>
  <c r="T2713" i="7"/>
  <c r="S2713" i="7"/>
  <c r="R2713" i="7"/>
  <c r="Q2713" i="7"/>
  <c r="P2713" i="7"/>
  <c r="O2713" i="7"/>
  <c r="U2712" i="7"/>
  <c r="T2712" i="7"/>
  <c r="S2712" i="7"/>
  <c r="R2712" i="7"/>
  <c r="Q2712" i="7"/>
  <c r="P2712" i="7"/>
  <c r="O2712" i="7"/>
  <c r="U2711" i="7"/>
  <c r="T2711" i="7"/>
  <c r="S2711" i="7"/>
  <c r="R2711" i="7"/>
  <c r="Q2711" i="7"/>
  <c r="P2711" i="7"/>
  <c r="O2711" i="7"/>
  <c r="U2710" i="7"/>
  <c r="T2710" i="7"/>
  <c r="S2710" i="7"/>
  <c r="R2710" i="7"/>
  <c r="Q2710" i="7"/>
  <c r="P2710" i="7"/>
  <c r="O2710" i="7"/>
  <c r="U2709" i="7"/>
  <c r="T2709" i="7"/>
  <c r="S2709" i="7"/>
  <c r="R2709" i="7"/>
  <c r="Q2709" i="7"/>
  <c r="P2709" i="7"/>
  <c r="O2709" i="7"/>
  <c r="U2708" i="7"/>
  <c r="T2708" i="7"/>
  <c r="S2708" i="7"/>
  <c r="R2708" i="7"/>
  <c r="Q2708" i="7"/>
  <c r="P2708" i="7"/>
  <c r="O2708" i="7"/>
  <c r="U2707" i="7"/>
  <c r="T2707" i="7"/>
  <c r="S2707" i="7"/>
  <c r="R2707" i="7"/>
  <c r="Q2707" i="7"/>
  <c r="P2707" i="7"/>
  <c r="O2707" i="7"/>
  <c r="U2706" i="7"/>
  <c r="T2706" i="7"/>
  <c r="S2706" i="7"/>
  <c r="R2706" i="7"/>
  <c r="Q2706" i="7"/>
  <c r="P2706" i="7"/>
  <c r="O2706" i="7"/>
  <c r="U2705" i="7"/>
  <c r="T2705" i="7"/>
  <c r="S2705" i="7"/>
  <c r="R2705" i="7"/>
  <c r="Q2705" i="7"/>
  <c r="P2705" i="7"/>
  <c r="O2705" i="7"/>
  <c r="U2704" i="7"/>
  <c r="T2704" i="7"/>
  <c r="S2704" i="7"/>
  <c r="R2704" i="7"/>
  <c r="Q2704" i="7"/>
  <c r="P2704" i="7"/>
  <c r="O2704" i="7"/>
  <c r="U2703" i="7"/>
  <c r="T2703" i="7"/>
  <c r="S2703" i="7"/>
  <c r="R2703" i="7"/>
  <c r="Q2703" i="7"/>
  <c r="P2703" i="7"/>
  <c r="O2703" i="7"/>
  <c r="U2702" i="7"/>
  <c r="T2702" i="7"/>
  <c r="S2702" i="7"/>
  <c r="R2702" i="7"/>
  <c r="Q2702" i="7"/>
  <c r="P2702" i="7"/>
  <c r="O2702" i="7"/>
  <c r="U2701" i="7"/>
  <c r="T2701" i="7"/>
  <c r="S2701" i="7"/>
  <c r="R2701" i="7"/>
  <c r="Q2701" i="7"/>
  <c r="P2701" i="7"/>
  <c r="O2701" i="7"/>
  <c r="U2700" i="7"/>
  <c r="T2700" i="7"/>
  <c r="S2700" i="7"/>
  <c r="R2700" i="7"/>
  <c r="Q2700" i="7"/>
  <c r="P2700" i="7"/>
  <c r="O2700" i="7"/>
  <c r="U2699" i="7"/>
  <c r="T2699" i="7"/>
  <c r="S2699" i="7"/>
  <c r="R2699" i="7"/>
  <c r="Q2699" i="7"/>
  <c r="P2699" i="7"/>
  <c r="O2699" i="7"/>
  <c r="U2698" i="7"/>
  <c r="T2698" i="7"/>
  <c r="S2698" i="7"/>
  <c r="R2698" i="7"/>
  <c r="Q2698" i="7"/>
  <c r="P2698" i="7"/>
  <c r="O2698" i="7"/>
  <c r="U2697" i="7"/>
  <c r="T2697" i="7"/>
  <c r="S2697" i="7"/>
  <c r="R2697" i="7"/>
  <c r="Q2697" i="7"/>
  <c r="P2697" i="7"/>
  <c r="O2697" i="7"/>
  <c r="U2696" i="7"/>
  <c r="T2696" i="7"/>
  <c r="S2696" i="7"/>
  <c r="R2696" i="7"/>
  <c r="Q2696" i="7"/>
  <c r="P2696" i="7"/>
  <c r="O2696" i="7"/>
  <c r="U2695" i="7"/>
  <c r="T2695" i="7"/>
  <c r="S2695" i="7"/>
  <c r="R2695" i="7"/>
  <c r="Q2695" i="7"/>
  <c r="P2695" i="7"/>
  <c r="O2695" i="7"/>
  <c r="U2694" i="7"/>
  <c r="T2694" i="7"/>
  <c r="S2694" i="7"/>
  <c r="R2694" i="7"/>
  <c r="Q2694" i="7"/>
  <c r="P2694" i="7"/>
  <c r="O2694" i="7"/>
  <c r="U2693" i="7"/>
  <c r="T2693" i="7"/>
  <c r="S2693" i="7"/>
  <c r="R2693" i="7"/>
  <c r="Q2693" i="7"/>
  <c r="P2693" i="7"/>
  <c r="O2693" i="7"/>
  <c r="U2692" i="7"/>
  <c r="T2692" i="7"/>
  <c r="S2692" i="7"/>
  <c r="R2692" i="7"/>
  <c r="Q2692" i="7"/>
  <c r="P2692" i="7"/>
  <c r="O2692" i="7"/>
  <c r="U2691" i="7"/>
  <c r="T2691" i="7"/>
  <c r="S2691" i="7"/>
  <c r="R2691" i="7"/>
  <c r="Q2691" i="7"/>
  <c r="P2691" i="7"/>
  <c r="O2691" i="7"/>
  <c r="U2690" i="7"/>
  <c r="T2690" i="7"/>
  <c r="S2690" i="7"/>
  <c r="R2690" i="7"/>
  <c r="Q2690" i="7"/>
  <c r="P2690" i="7"/>
  <c r="O2690" i="7"/>
  <c r="U2689" i="7"/>
  <c r="T2689" i="7"/>
  <c r="S2689" i="7"/>
  <c r="R2689" i="7"/>
  <c r="Q2689" i="7"/>
  <c r="P2689" i="7"/>
  <c r="O2689" i="7"/>
  <c r="U2688" i="7"/>
  <c r="T2688" i="7"/>
  <c r="S2688" i="7"/>
  <c r="R2688" i="7"/>
  <c r="Q2688" i="7"/>
  <c r="P2688" i="7"/>
  <c r="O2688" i="7"/>
  <c r="U2687" i="7"/>
  <c r="T2687" i="7"/>
  <c r="S2687" i="7"/>
  <c r="R2687" i="7"/>
  <c r="Q2687" i="7"/>
  <c r="P2687" i="7"/>
  <c r="O2687" i="7"/>
  <c r="U2686" i="7"/>
  <c r="T2686" i="7"/>
  <c r="S2686" i="7"/>
  <c r="R2686" i="7"/>
  <c r="Q2686" i="7"/>
  <c r="P2686" i="7"/>
  <c r="O2686" i="7"/>
  <c r="U2685" i="7"/>
  <c r="T2685" i="7"/>
  <c r="S2685" i="7"/>
  <c r="R2685" i="7"/>
  <c r="Q2685" i="7"/>
  <c r="P2685" i="7"/>
  <c r="O2685" i="7"/>
  <c r="U2684" i="7"/>
  <c r="T2684" i="7"/>
  <c r="S2684" i="7"/>
  <c r="R2684" i="7"/>
  <c r="Q2684" i="7"/>
  <c r="P2684" i="7"/>
  <c r="O2684" i="7"/>
  <c r="U2683" i="7"/>
  <c r="T2683" i="7"/>
  <c r="S2683" i="7"/>
  <c r="R2683" i="7"/>
  <c r="Q2683" i="7"/>
  <c r="P2683" i="7"/>
  <c r="O2683" i="7"/>
  <c r="U2682" i="7"/>
  <c r="T2682" i="7"/>
  <c r="S2682" i="7"/>
  <c r="R2682" i="7"/>
  <c r="Q2682" i="7"/>
  <c r="P2682" i="7"/>
  <c r="O2682" i="7"/>
  <c r="U2681" i="7"/>
  <c r="T2681" i="7"/>
  <c r="S2681" i="7"/>
  <c r="R2681" i="7"/>
  <c r="Q2681" i="7"/>
  <c r="P2681" i="7"/>
  <c r="O2681" i="7"/>
  <c r="U2680" i="7"/>
  <c r="T2680" i="7"/>
  <c r="S2680" i="7"/>
  <c r="R2680" i="7"/>
  <c r="Q2680" i="7"/>
  <c r="P2680" i="7"/>
  <c r="O2680" i="7"/>
  <c r="U2679" i="7"/>
  <c r="T2679" i="7"/>
  <c r="S2679" i="7"/>
  <c r="R2679" i="7"/>
  <c r="Q2679" i="7"/>
  <c r="P2679" i="7"/>
  <c r="O2679" i="7"/>
  <c r="U2678" i="7"/>
  <c r="T2678" i="7"/>
  <c r="S2678" i="7"/>
  <c r="R2678" i="7"/>
  <c r="Q2678" i="7"/>
  <c r="P2678" i="7"/>
  <c r="O2678" i="7"/>
  <c r="U2677" i="7"/>
  <c r="T2677" i="7"/>
  <c r="S2677" i="7"/>
  <c r="R2677" i="7"/>
  <c r="Q2677" i="7"/>
  <c r="P2677" i="7"/>
  <c r="O2677" i="7"/>
  <c r="U2676" i="7"/>
  <c r="T2676" i="7"/>
  <c r="S2676" i="7"/>
  <c r="R2676" i="7"/>
  <c r="Q2676" i="7"/>
  <c r="P2676" i="7"/>
  <c r="O2676" i="7"/>
  <c r="U2675" i="7"/>
  <c r="T2675" i="7"/>
  <c r="S2675" i="7"/>
  <c r="R2675" i="7"/>
  <c r="Q2675" i="7"/>
  <c r="P2675" i="7"/>
  <c r="O2675" i="7"/>
  <c r="U2674" i="7"/>
  <c r="T2674" i="7"/>
  <c r="S2674" i="7"/>
  <c r="R2674" i="7"/>
  <c r="Q2674" i="7"/>
  <c r="P2674" i="7"/>
  <c r="O2674" i="7"/>
  <c r="U2673" i="7"/>
  <c r="T2673" i="7"/>
  <c r="S2673" i="7"/>
  <c r="R2673" i="7"/>
  <c r="Q2673" i="7"/>
  <c r="P2673" i="7"/>
  <c r="O2673" i="7"/>
  <c r="U2672" i="7"/>
  <c r="T2672" i="7"/>
  <c r="S2672" i="7"/>
  <c r="R2672" i="7"/>
  <c r="Q2672" i="7"/>
  <c r="P2672" i="7"/>
  <c r="O2672" i="7"/>
  <c r="U2671" i="7"/>
  <c r="T2671" i="7"/>
  <c r="S2671" i="7"/>
  <c r="R2671" i="7"/>
  <c r="Q2671" i="7"/>
  <c r="P2671" i="7"/>
  <c r="O2671" i="7"/>
  <c r="U2670" i="7"/>
  <c r="T2670" i="7"/>
  <c r="S2670" i="7"/>
  <c r="R2670" i="7"/>
  <c r="Q2670" i="7"/>
  <c r="P2670" i="7"/>
  <c r="O2670" i="7"/>
  <c r="U2669" i="7"/>
  <c r="T2669" i="7"/>
  <c r="S2669" i="7"/>
  <c r="R2669" i="7"/>
  <c r="Q2669" i="7"/>
  <c r="P2669" i="7"/>
  <c r="O2669" i="7"/>
  <c r="U2668" i="7"/>
  <c r="T2668" i="7"/>
  <c r="S2668" i="7"/>
  <c r="R2668" i="7"/>
  <c r="Q2668" i="7"/>
  <c r="P2668" i="7"/>
  <c r="O2668" i="7"/>
  <c r="U2667" i="7"/>
  <c r="T2667" i="7"/>
  <c r="S2667" i="7"/>
  <c r="R2667" i="7"/>
  <c r="Q2667" i="7"/>
  <c r="P2667" i="7"/>
  <c r="O2667" i="7"/>
  <c r="U2666" i="7"/>
  <c r="T2666" i="7"/>
  <c r="S2666" i="7"/>
  <c r="R2666" i="7"/>
  <c r="Q2666" i="7"/>
  <c r="P2666" i="7"/>
  <c r="O2666" i="7"/>
  <c r="U2665" i="7"/>
  <c r="T2665" i="7"/>
  <c r="S2665" i="7"/>
  <c r="R2665" i="7"/>
  <c r="Q2665" i="7"/>
  <c r="P2665" i="7"/>
  <c r="O2665" i="7"/>
  <c r="U2664" i="7"/>
  <c r="T2664" i="7"/>
  <c r="S2664" i="7"/>
  <c r="R2664" i="7"/>
  <c r="Q2664" i="7"/>
  <c r="P2664" i="7"/>
  <c r="O2664" i="7"/>
  <c r="U2663" i="7"/>
  <c r="T2663" i="7"/>
  <c r="S2663" i="7"/>
  <c r="R2663" i="7"/>
  <c r="Q2663" i="7"/>
  <c r="P2663" i="7"/>
  <c r="O2663" i="7"/>
  <c r="U2662" i="7"/>
  <c r="T2662" i="7"/>
  <c r="S2662" i="7"/>
  <c r="R2662" i="7"/>
  <c r="Q2662" i="7"/>
  <c r="P2662" i="7"/>
  <c r="O2662" i="7"/>
  <c r="U2661" i="7"/>
  <c r="T2661" i="7"/>
  <c r="S2661" i="7"/>
  <c r="R2661" i="7"/>
  <c r="Q2661" i="7"/>
  <c r="P2661" i="7"/>
  <c r="O2661" i="7"/>
  <c r="U2660" i="7"/>
  <c r="T2660" i="7"/>
  <c r="S2660" i="7"/>
  <c r="R2660" i="7"/>
  <c r="Q2660" i="7"/>
  <c r="P2660" i="7"/>
  <c r="O2660" i="7"/>
  <c r="U2659" i="7"/>
  <c r="T2659" i="7"/>
  <c r="S2659" i="7"/>
  <c r="R2659" i="7"/>
  <c r="Q2659" i="7"/>
  <c r="P2659" i="7"/>
  <c r="O2659" i="7"/>
  <c r="U2658" i="7"/>
  <c r="T2658" i="7"/>
  <c r="S2658" i="7"/>
  <c r="R2658" i="7"/>
  <c r="Q2658" i="7"/>
  <c r="P2658" i="7"/>
  <c r="O2658" i="7"/>
  <c r="U2657" i="7"/>
  <c r="T2657" i="7"/>
  <c r="S2657" i="7"/>
  <c r="R2657" i="7"/>
  <c r="Q2657" i="7"/>
  <c r="P2657" i="7"/>
  <c r="O2657" i="7"/>
  <c r="U2656" i="7"/>
  <c r="T2656" i="7"/>
  <c r="S2656" i="7"/>
  <c r="R2656" i="7"/>
  <c r="Q2656" i="7"/>
  <c r="P2656" i="7"/>
  <c r="O2656" i="7"/>
  <c r="U2655" i="7"/>
  <c r="T2655" i="7"/>
  <c r="S2655" i="7"/>
  <c r="R2655" i="7"/>
  <c r="Q2655" i="7"/>
  <c r="P2655" i="7"/>
  <c r="O2655" i="7"/>
  <c r="U2654" i="7"/>
  <c r="T2654" i="7"/>
  <c r="S2654" i="7"/>
  <c r="R2654" i="7"/>
  <c r="Q2654" i="7"/>
  <c r="P2654" i="7"/>
  <c r="O2654" i="7"/>
  <c r="U2653" i="7"/>
  <c r="T2653" i="7"/>
  <c r="S2653" i="7"/>
  <c r="R2653" i="7"/>
  <c r="Q2653" i="7"/>
  <c r="P2653" i="7"/>
  <c r="O2653" i="7"/>
  <c r="U2652" i="7"/>
  <c r="T2652" i="7"/>
  <c r="S2652" i="7"/>
  <c r="R2652" i="7"/>
  <c r="Q2652" i="7"/>
  <c r="P2652" i="7"/>
  <c r="O2652" i="7"/>
  <c r="U2651" i="7"/>
  <c r="T2651" i="7"/>
  <c r="S2651" i="7"/>
  <c r="R2651" i="7"/>
  <c r="Q2651" i="7"/>
  <c r="P2651" i="7"/>
  <c r="O2651" i="7"/>
  <c r="U2650" i="7"/>
  <c r="T2650" i="7"/>
  <c r="S2650" i="7"/>
  <c r="R2650" i="7"/>
  <c r="Q2650" i="7"/>
  <c r="P2650" i="7"/>
  <c r="O2650" i="7"/>
  <c r="U2649" i="7"/>
  <c r="T2649" i="7"/>
  <c r="S2649" i="7"/>
  <c r="R2649" i="7"/>
  <c r="Q2649" i="7"/>
  <c r="P2649" i="7"/>
  <c r="O2649" i="7"/>
  <c r="U2648" i="7"/>
  <c r="T2648" i="7"/>
  <c r="S2648" i="7"/>
  <c r="R2648" i="7"/>
  <c r="Q2648" i="7"/>
  <c r="P2648" i="7"/>
  <c r="O2648" i="7"/>
  <c r="U2647" i="7"/>
  <c r="T2647" i="7"/>
  <c r="S2647" i="7"/>
  <c r="R2647" i="7"/>
  <c r="Q2647" i="7"/>
  <c r="P2647" i="7"/>
  <c r="O2647" i="7"/>
  <c r="U2646" i="7"/>
  <c r="T2646" i="7"/>
  <c r="S2646" i="7"/>
  <c r="R2646" i="7"/>
  <c r="Q2646" i="7"/>
  <c r="P2646" i="7"/>
  <c r="O2646" i="7"/>
  <c r="U2645" i="7"/>
  <c r="T2645" i="7"/>
  <c r="S2645" i="7"/>
  <c r="R2645" i="7"/>
  <c r="Q2645" i="7"/>
  <c r="P2645" i="7"/>
  <c r="O2645" i="7"/>
  <c r="U2644" i="7"/>
  <c r="T2644" i="7"/>
  <c r="S2644" i="7"/>
  <c r="R2644" i="7"/>
  <c r="Q2644" i="7"/>
  <c r="P2644" i="7"/>
  <c r="O2644" i="7"/>
  <c r="U2643" i="7"/>
  <c r="T2643" i="7"/>
  <c r="S2643" i="7"/>
  <c r="R2643" i="7"/>
  <c r="Q2643" i="7"/>
  <c r="P2643" i="7"/>
  <c r="O2643" i="7"/>
  <c r="U2642" i="7"/>
  <c r="T2642" i="7"/>
  <c r="S2642" i="7"/>
  <c r="R2642" i="7"/>
  <c r="Q2642" i="7"/>
  <c r="P2642" i="7"/>
  <c r="O2642" i="7"/>
  <c r="U2641" i="7"/>
  <c r="T2641" i="7"/>
  <c r="S2641" i="7"/>
  <c r="R2641" i="7"/>
  <c r="Q2641" i="7"/>
  <c r="P2641" i="7"/>
  <c r="O2641" i="7"/>
  <c r="U2640" i="7"/>
  <c r="T2640" i="7"/>
  <c r="S2640" i="7"/>
  <c r="R2640" i="7"/>
  <c r="Q2640" i="7"/>
  <c r="P2640" i="7"/>
  <c r="O2640" i="7"/>
  <c r="U2639" i="7"/>
  <c r="T2639" i="7"/>
  <c r="S2639" i="7"/>
  <c r="R2639" i="7"/>
  <c r="Q2639" i="7"/>
  <c r="P2639" i="7"/>
  <c r="O2639" i="7"/>
  <c r="U2638" i="7"/>
  <c r="T2638" i="7"/>
  <c r="S2638" i="7"/>
  <c r="R2638" i="7"/>
  <c r="Q2638" i="7"/>
  <c r="P2638" i="7"/>
  <c r="O2638" i="7"/>
  <c r="U2637" i="7"/>
  <c r="T2637" i="7"/>
  <c r="S2637" i="7"/>
  <c r="R2637" i="7"/>
  <c r="Q2637" i="7"/>
  <c r="P2637" i="7"/>
  <c r="O2637" i="7"/>
  <c r="U2636" i="7"/>
  <c r="T2636" i="7"/>
  <c r="S2636" i="7"/>
  <c r="R2636" i="7"/>
  <c r="Q2636" i="7"/>
  <c r="P2636" i="7"/>
  <c r="O2636" i="7"/>
  <c r="U2635" i="7"/>
  <c r="T2635" i="7"/>
  <c r="S2635" i="7"/>
  <c r="R2635" i="7"/>
  <c r="Q2635" i="7"/>
  <c r="P2635" i="7"/>
  <c r="O2635" i="7"/>
  <c r="U2634" i="7"/>
  <c r="T2634" i="7"/>
  <c r="S2634" i="7"/>
  <c r="R2634" i="7"/>
  <c r="Q2634" i="7"/>
  <c r="P2634" i="7"/>
  <c r="O2634" i="7"/>
  <c r="U2633" i="7"/>
  <c r="T2633" i="7"/>
  <c r="S2633" i="7"/>
  <c r="R2633" i="7"/>
  <c r="Q2633" i="7"/>
  <c r="P2633" i="7"/>
  <c r="O2633" i="7"/>
  <c r="U2632" i="7"/>
  <c r="T2632" i="7"/>
  <c r="S2632" i="7"/>
  <c r="R2632" i="7"/>
  <c r="Q2632" i="7"/>
  <c r="P2632" i="7"/>
  <c r="O2632" i="7"/>
  <c r="U2631" i="7"/>
  <c r="T2631" i="7"/>
  <c r="S2631" i="7"/>
  <c r="R2631" i="7"/>
  <c r="Q2631" i="7"/>
  <c r="P2631" i="7"/>
  <c r="O2631" i="7"/>
  <c r="U2630" i="7"/>
  <c r="T2630" i="7"/>
  <c r="S2630" i="7"/>
  <c r="R2630" i="7"/>
  <c r="Q2630" i="7"/>
  <c r="P2630" i="7"/>
  <c r="O2630" i="7"/>
  <c r="U2629" i="7"/>
  <c r="T2629" i="7"/>
  <c r="S2629" i="7"/>
  <c r="R2629" i="7"/>
  <c r="Q2629" i="7"/>
  <c r="P2629" i="7"/>
  <c r="O2629" i="7"/>
  <c r="U2628" i="7"/>
  <c r="T2628" i="7"/>
  <c r="S2628" i="7"/>
  <c r="R2628" i="7"/>
  <c r="Q2628" i="7"/>
  <c r="P2628" i="7"/>
  <c r="O2628" i="7"/>
  <c r="U2627" i="7"/>
  <c r="T2627" i="7"/>
  <c r="S2627" i="7"/>
  <c r="R2627" i="7"/>
  <c r="Q2627" i="7"/>
  <c r="P2627" i="7"/>
  <c r="O2627" i="7"/>
  <c r="U2626" i="7"/>
  <c r="T2626" i="7"/>
  <c r="S2626" i="7"/>
  <c r="R2626" i="7"/>
  <c r="Q2626" i="7"/>
  <c r="P2626" i="7"/>
  <c r="O2626" i="7"/>
  <c r="U2625" i="7"/>
  <c r="T2625" i="7"/>
  <c r="S2625" i="7"/>
  <c r="R2625" i="7"/>
  <c r="Q2625" i="7"/>
  <c r="P2625" i="7"/>
  <c r="O2625" i="7"/>
  <c r="U2624" i="7"/>
  <c r="T2624" i="7"/>
  <c r="S2624" i="7"/>
  <c r="R2624" i="7"/>
  <c r="Q2624" i="7"/>
  <c r="P2624" i="7"/>
  <c r="O2624" i="7"/>
  <c r="U2623" i="7"/>
  <c r="T2623" i="7"/>
  <c r="S2623" i="7"/>
  <c r="R2623" i="7"/>
  <c r="Q2623" i="7"/>
  <c r="P2623" i="7"/>
  <c r="O2623" i="7"/>
  <c r="U2622" i="7"/>
  <c r="T2622" i="7"/>
  <c r="S2622" i="7"/>
  <c r="R2622" i="7"/>
  <c r="Q2622" i="7"/>
  <c r="P2622" i="7"/>
  <c r="O2622" i="7"/>
  <c r="U2621" i="7"/>
  <c r="T2621" i="7"/>
  <c r="S2621" i="7"/>
  <c r="R2621" i="7"/>
  <c r="Q2621" i="7"/>
  <c r="P2621" i="7"/>
  <c r="O2621" i="7"/>
  <c r="U2620" i="7"/>
  <c r="T2620" i="7"/>
  <c r="S2620" i="7"/>
  <c r="R2620" i="7"/>
  <c r="Q2620" i="7"/>
  <c r="P2620" i="7"/>
  <c r="O2620" i="7"/>
  <c r="U2619" i="7"/>
  <c r="T2619" i="7"/>
  <c r="S2619" i="7"/>
  <c r="R2619" i="7"/>
  <c r="Q2619" i="7"/>
  <c r="P2619" i="7"/>
  <c r="O2619" i="7"/>
  <c r="U2618" i="7"/>
  <c r="T2618" i="7"/>
  <c r="S2618" i="7"/>
  <c r="R2618" i="7"/>
  <c r="Q2618" i="7"/>
  <c r="P2618" i="7"/>
  <c r="O2618" i="7"/>
  <c r="U2617" i="7"/>
  <c r="T2617" i="7"/>
  <c r="S2617" i="7"/>
  <c r="R2617" i="7"/>
  <c r="Q2617" i="7"/>
  <c r="P2617" i="7"/>
  <c r="O2617" i="7"/>
  <c r="U2616" i="7"/>
  <c r="T2616" i="7"/>
  <c r="S2616" i="7"/>
  <c r="R2616" i="7"/>
  <c r="Q2616" i="7"/>
  <c r="P2616" i="7"/>
  <c r="O2616" i="7"/>
  <c r="U2615" i="7"/>
  <c r="T2615" i="7"/>
  <c r="S2615" i="7"/>
  <c r="R2615" i="7"/>
  <c r="Q2615" i="7"/>
  <c r="P2615" i="7"/>
  <c r="O2615" i="7"/>
  <c r="U2614" i="7"/>
  <c r="T2614" i="7"/>
  <c r="S2614" i="7"/>
  <c r="R2614" i="7"/>
  <c r="Q2614" i="7"/>
  <c r="P2614" i="7"/>
  <c r="O2614" i="7"/>
  <c r="U2613" i="7"/>
  <c r="T2613" i="7"/>
  <c r="S2613" i="7"/>
  <c r="R2613" i="7"/>
  <c r="Q2613" i="7"/>
  <c r="P2613" i="7"/>
  <c r="O2613" i="7"/>
  <c r="U2612" i="7"/>
  <c r="T2612" i="7"/>
  <c r="S2612" i="7"/>
  <c r="R2612" i="7"/>
  <c r="Q2612" i="7"/>
  <c r="P2612" i="7"/>
  <c r="O2612" i="7"/>
  <c r="U2611" i="7"/>
  <c r="T2611" i="7"/>
  <c r="S2611" i="7"/>
  <c r="R2611" i="7"/>
  <c r="Q2611" i="7"/>
  <c r="P2611" i="7"/>
  <c r="O2611" i="7"/>
  <c r="U2610" i="7"/>
  <c r="T2610" i="7"/>
  <c r="S2610" i="7"/>
  <c r="R2610" i="7"/>
  <c r="Q2610" i="7"/>
  <c r="P2610" i="7"/>
  <c r="O2610" i="7"/>
  <c r="U2609" i="7"/>
  <c r="T2609" i="7"/>
  <c r="S2609" i="7"/>
  <c r="R2609" i="7"/>
  <c r="Q2609" i="7"/>
  <c r="P2609" i="7"/>
  <c r="O2609" i="7"/>
  <c r="U2608" i="7"/>
  <c r="T2608" i="7"/>
  <c r="S2608" i="7"/>
  <c r="R2608" i="7"/>
  <c r="Q2608" i="7"/>
  <c r="P2608" i="7"/>
  <c r="O2608" i="7"/>
  <c r="U2607" i="7"/>
  <c r="T2607" i="7"/>
  <c r="S2607" i="7"/>
  <c r="R2607" i="7"/>
  <c r="Q2607" i="7"/>
  <c r="P2607" i="7"/>
  <c r="O2607" i="7"/>
  <c r="U2606" i="7"/>
  <c r="T2606" i="7"/>
  <c r="S2606" i="7"/>
  <c r="R2606" i="7"/>
  <c r="Q2606" i="7"/>
  <c r="P2606" i="7"/>
  <c r="O2606" i="7"/>
  <c r="U2605" i="7"/>
  <c r="T2605" i="7"/>
  <c r="S2605" i="7"/>
  <c r="R2605" i="7"/>
  <c r="Q2605" i="7"/>
  <c r="P2605" i="7"/>
  <c r="O2605" i="7"/>
  <c r="U2604" i="7"/>
  <c r="T2604" i="7"/>
  <c r="S2604" i="7"/>
  <c r="R2604" i="7"/>
  <c r="Q2604" i="7"/>
  <c r="P2604" i="7"/>
  <c r="O2604" i="7"/>
  <c r="U2603" i="7"/>
  <c r="T2603" i="7"/>
  <c r="S2603" i="7"/>
  <c r="R2603" i="7"/>
  <c r="Q2603" i="7"/>
  <c r="P2603" i="7"/>
  <c r="O2603" i="7"/>
  <c r="U2602" i="7"/>
  <c r="T2602" i="7"/>
  <c r="S2602" i="7"/>
  <c r="R2602" i="7"/>
  <c r="Q2602" i="7"/>
  <c r="P2602" i="7"/>
  <c r="O2602" i="7"/>
  <c r="U2601" i="7"/>
  <c r="T2601" i="7"/>
  <c r="S2601" i="7"/>
  <c r="R2601" i="7"/>
  <c r="Q2601" i="7"/>
  <c r="P2601" i="7"/>
  <c r="O2601" i="7"/>
  <c r="U2600" i="7"/>
  <c r="T2600" i="7"/>
  <c r="S2600" i="7"/>
  <c r="R2600" i="7"/>
  <c r="Q2600" i="7"/>
  <c r="P2600" i="7"/>
  <c r="O2600" i="7"/>
  <c r="U2599" i="7"/>
  <c r="T2599" i="7"/>
  <c r="S2599" i="7"/>
  <c r="R2599" i="7"/>
  <c r="Q2599" i="7"/>
  <c r="P2599" i="7"/>
  <c r="O2599" i="7"/>
  <c r="U2598" i="7"/>
  <c r="T2598" i="7"/>
  <c r="S2598" i="7"/>
  <c r="R2598" i="7"/>
  <c r="Q2598" i="7"/>
  <c r="P2598" i="7"/>
  <c r="O2598" i="7"/>
  <c r="U2597" i="7"/>
  <c r="T2597" i="7"/>
  <c r="S2597" i="7"/>
  <c r="R2597" i="7"/>
  <c r="Q2597" i="7"/>
  <c r="P2597" i="7"/>
  <c r="O2597" i="7"/>
  <c r="U2596" i="7"/>
  <c r="T2596" i="7"/>
  <c r="S2596" i="7"/>
  <c r="R2596" i="7"/>
  <c r="Q2596" i="7"/>
  <c r="P2596" i="7"/>
  <c r="O2596" i="7"/>
  <c r="U2595" i="7"/>
  <c r="T2595" i="7"/>
  <c r="S2595" i="7"/>
  <c r="R2595" i="7"/>
  <c r="Q2595" i="7"/>
  <c r="P2595" i="7"/>
  <c r="O2595" i="7"/>
  <c r="U2594" i="7"/>
  <c r="T2594" i="7"/>
  <c r="S2594" i="7"/>
  <c r="R2594" i="7"/>
  <c r="Q2594" i="7"/>
  <c r="P2594" i="7"/>
  <c r="O2594" i="7"/>
  <c r="U2593" i="7"/>
  <c r="T2593" i="7"/>
  <c r="S2593" i="7"/>
  <c r="R2593" i="7"/>
  <c r="Q2593" i="7"/>
  <c r="P2593" i="7"/>
  <c r="O2593" i="7"/>
  <c r="U2592" i="7"/>
  <c r="T2592" i="7"/>
  <c r="S2592" i="7"/>
  <c r="R2592" i="7"/>
  <c r="Q2592" i="7"/>
  <c r="P2592" i="7"/>
  <c r="O2592" i="7"/>
  <c r="U2591" i="7"/>
  <c r="T2591" i="7"/>
  <c r="S2591" i="7"/>
  <c r="R2591" i="7"/>
  <c r="Q2591" i="7"/>
  <c r="P2591" i="7"/>
  <c r="O2591" i="7"/>
  <c r="U2590" i="7"/>
  <c r="T2590" i="7"/>
  <c r="S2590" i="7"/>
  <c r="R2590" i="7"/>
  <c r="Q2590" i="7"/>
  <c r="P2590" i="7"/>
  <c r="O2590" i="7"/>
  <c r="U2589" i="7"/>
  <c r="T2589" i="7"/>
  <c r="S2589" i="7"/>
  <c r="R2589" i="7"/>
  <c r="Q2589" i="7"/>
  <c r="P2589" i="7"/>
  <c r="O2589" i="7"/>
  <c r="U2588" i="7"/>
  <c r="T2588" i="7"/>
  <c r="S2588" i="7"/>
  <c r="R2588" i="7"/>
  <c r="Q2588" i="7"/>
  <c r="P2588" i="7"/>
  <c r="O2588" i="7"/>
  <c r="U2587" i="7"/>
  <c r="T2587" i="7"/>
  <c r="S2587" i="7"/>
  <c r="R2587" i="7"/>
  <c r="Q2587" i="7"/>
  <c r="P2587" i="7"/>
  <c r="O2587" i="7"/>
  <c r="U2586" i="7"/>
  <c r="T2586" i="7"/>
  <c r="S2586" i="7"/>
  <c r="R2586" i="7"/>
  <c r="Q2586" i="7"/>
  <c r="P2586" i="7"/>
  <c r="O2586" i="7"/>
  <c r="U2585" i="7"/>
  <c r="T2585" i="7"/>
  <c r="S2585" i="7"/>
  <c r="R2585" i="7"/>
  <c r="Q2585" i="7"/>
  <c r="P2585" i="7"/>
  <c r="O2585" i="7"/>
  <c r="U2584" i="7"/>
  <c r="T2584" i="7"/>
  <c r="S2584" i="7"/>
  <c r="R2584" i="7"/>
  <c r="Q2584" i="7"/>
  <c r="P2584" i="7"/>
  <c r="O2584" i="7"/>
  <c r="U2583" i="7"/>
  <c r="T2583" i="7"/>
  <c r="S2583" i="7"/>
  <c r="R2583" i="7"/>
  <c r="Q2583" i="7"/>
  <c r="P2583" i="7"/>
  <c r="O2583" i="7"/>
  <c r="U2582" i="7"/>
  <c r="T2582" i="7"/>
  <c r="S2582" i="7"/>
  <c r="R2582" i="7"/>
  <c r="Q2582" i="7"/>
  <c r="P2582" i="7"/>
  <c r="O2582" i="7"/>
  <c r="U2581" i="7"/>
  <c r="T2581" i="7"/>
  <c r="S2581" i="7"/>
  <c r="R2581" i="7"/>
  <c r="Q2581" i="7"/>
  <c r="P2581" i="7"/>
  <c r="O2581" i="7"/>
  <c r="U2580" i="7"/>
  <c r="T2580" i="7"/>
  <c r="S2580" i="7"/>
  <c r="R2580" i="7"/>
  <c r="Q2580" i="7"/>
  <c r="P2580" i="7"/>
  <c r="O2580" i="7"/>
  <c r="U2579" i="7"/>
  <c r="T2579" i="7"/>
  <c r="S2579" i="7"/>
  <c r="R2579" i="7"/>
  <c r="Q2579" i="7"/>
  <c r="P2579" i="7"/>
  <c r="O2579" i="7"/>
  <c r="U2578" i="7"/>
  <c r="T2578" i="7"/>
  <c r="S2578" i="7"/>
  <c r="R2578" i="7"/>
  <c r="Q2578" i="7"/>
  <c r="P2578" i="7"/>
  <c r="O2578" i="7"/>
  <c r="U2577" i="7"/>
  <c r="T2577" i="7"/>
  <c r="S2577" i="7"/>
  <c r="R2577" i="7"/>
  <c r="Q2577" i="7"/>
  <c r="P2577" i="7"/>
  <c r="O2577" i="7"/>
  <c r="U2576" i="7"/>
  <c r="T2576" i="7"/>
  <c r="S2576" i="7"/>
  <c r="R2576" i="7"/>
  <c r="Q2576" i="7"/>
  <c r="P2576" i="7"/>
  <c r="O2576" i="7"/>
  <c r="U2575" i="7"/>
  <c r="T2575" i="7"/>
  <c r="S2575" i="7"/>
  <c r="R2575" i="7"/>
  <c r="Q2575" i="7"/>
  <c r="P2575" i="7"/>
  <c r="O2575" i="7"/>
  <c r="U2574" i="7"/>
  <c r="T2574" i="7"/>
  <c r="S2574" i="7"/>
  <c r="R2574" i="7"/>
  <c r="Q2574" i="7"/>
  <c r="P2574" i="7"/>
  <c r="O2574" i="7"/>
  <c r="U2573" i="7"/>
  <c r="T2573" i="7"/>
  <c r="S2573" i="7"/>
  <c r="R2573" i="7"/>
  <c r="Q2573" i="7"/>
  <c r="P2573" i="7"/>
  <c r="O2573" i="7"/>
  <c r="U2572" i="7"/>
  <c r="T2572" i="7"/>
  <c r="S2572" i="7"/>
  <c r="R2572" i="7"/>
  <c r="Q2572" i="7"/>
  <c r="P2572" i="7"/>
  <c r="O2572" i="7"/>
  <c r="U2571" i="7"/>
  <c r="T2571" i="7"/>
  <c r="S2571" i="7"/>
  <c r="R2571" i="7"/>
  <c r="Q2571" i="7"/>
  <c r="P2571" i="7"/>
  <c r="O2571" i="7"/>
  <c r="U2570" i="7"/>
  <c r="T2570" i="7"/>
  <c r="S2570" i="7"/>
  <c r="R2570" i="7"/>
  <c r="Q2570" i="7"/>
  <c r="P2570" i="7"/>
  <c r="O2570" i="7"/>
  <c r="U2569" i="7"/>
  <c r="T2569" i="7"/>
  <c r="S2569" i="7"/>
  <c r="R2569" i="7"/>
  <c r="Q2569" i="7"/>
  <c r="P2569" i="7"/>
  <c r="O2569" i="7"/>
  <c r="U2568" i="7"/>
  <c r="T2568" i="7"/>
  <c r="S2568" i="7"/>
  <c r="R2568" i="7"/>
  <c r="Q2568" i="7"/>
  <c r="P2568" i="7"/>
  <c r="O2568" i="7"/>
  <c r="U2567" i="7"/>
  <c r="T2567" i="7"/>
  <c r="S2567" i="7"/>
  <c r="R2567" i="7"/>
  <c r="Q2567" i="7"/>
  <c r="P2567" i="7"/>
  <c r="O2567" i="7"/>
  <c r="U2566" i="7"/>
  <c r="T2566" i="7"/>
  <c r="S2566" i="7"/>
  <c r="R2566" i="7"/>
  <c r="Q2566" i="7"/>
  <c r="P2566" i="7"/>
  <c r="O2566" i="7"/>
  <c r="U2565" i="7"/>
  <c r="T2565" i="7"/>
  <c r="S2565" i="7"/>
  <c r="R2565" i="7"/>
  <c r="Q2565" i="7"/>
  <c r="P2565" i="7"/>
  <c r="O2565" i="7"/>
  <c r="U2564" i="7"/>
  <c r="T2564" i="7"/>
  <c r="S2564" i="7"/>
  <c r="R2564" i="7"/>
  <c r="Q2564" i="7"/>
  <c r="P2564" i="7"/>
  <c r="O2564" i="7"/>
  <c r="U2563" i="7"/>
  <c r="T2563" i="7"/>
  <c r="S2563" i="7"/>
  <c r="R2563" i="7"/>
  <c r="Q2563" i="7"/>
  <c r="P2563" i="7"/>
  <c r="O2563" i="7"/>
  <c r="U2562" i="7"/>
  <c r="T2562" i="7"/>
  <c r="S2562" i="7"/>
  <c r="R2562" i="7"/>
  <c r="Q2562" i="7"/>
  <c r="P2562" i="7"/>
  <c r="O2562" i="7"/>
  <c r="U2561" i="7"/>
  <c r="T2561" i="7"/>
  <c r="S2561" i="7"/>
  <c r="R2561" i="7"/>
  <c r="Q2561" i="7"/>
  <c r="P2561" i="7"/>
  <c r="O2561" i="7"/>
  <c r="U2560" i="7"/>
  <c r="T2560" i="7"/>
  <c r="S2560" i="7"/>
  <c r="R2560" i="7"/>
  <c r="Q2560" i="7"/>
  <c r="P2560" i="7"/>
  <c r="O2560" i="7"/>
  <c r="U2559" i="7"/>
  <c r="T2559" i="7"/>
  <c r="S2559" i="7"/>
  <c r="R2559" i="7"/>
  <c r="Q2559" i="7"/>
  <c r="P2559" i="7"/>
  <c r="O2559" i="7"/>
  <c r="U2558" i="7"/>
  <c r="T2558" i="7"/>
  <c r="S2558" i="7"/>
  <c r="R2558" i="7"/>
  <c r="Q2558" i="7"/>
  <c r="P2558" i="7"/>
  <c r="O2558" i="7"/>
  <c r="U2557" i="7"/>
  <c r="T2557" i="7"/>
  <c r="S2557" i="7"/>
  <c r="R2557" i="7"/>
  <c r="Q2557" i="7"/>
  <c r="P2557" i="7"/>
  <c r="O2557" i="7"/>
  <c r="U2556" i="7"/>
  <c r="T2556" i="7"/>
  <c r="S2556" i="7"/>
  <c r="R2556" i="7"/>
  <c r="Q2556" i="7"/>
  <c r="P2556" i="7"/>
  <c r="O2556" i="7"/>
  <c r="U2555" i="7"/>
  <c r="T2555" i="7"/>
  <c r="S2555" i="7"/>
  <c r="R2555" i="7"/>
  <c r="Q2555" i="7"/>
  <c r="P2555" i="7"/>
  <c r="O2555" i="7"/>
  <c r="U2554" i="7"/>
  <c r="T2554" i="7"/>
  <c r="S2554" i="7"/>
  <c r="R2554" i="7"/>
  <c r="Q2554" i="7"/>
  <c r="P2554" i="7"/>
  <c r="O2554" i="7"/>
  <c r="U2553" i="7"/>
  <c r="T2553" i="7"/>
  <c r="S2553" i="7"/>
  <c r="R2553" i="7"/>
  <c r="Q2553" i="7"/>
  <c r="P2553" i="7"/>
  <c r="O2553" i="7"/>
  <c r="U2552" i="7"/>
  <c r="T2552" i="7"/>
  <c r="S2552" i="7"/>
  <c r="R2552" i="7"/>
  <c r="Q2552" i="7"/>
  <c r="P2552" i="7"/>
  <c r="O2552" i="7"/>
  <c r="U2551" i="7"/>
  <c r="T2551" i="7"/>
  <c r="S2551" i="7"/>
  <c r="R2551" i="7"/>
  <c r="Q2551" i="7"/>
  <c r="P2551" i="7"/>
  <c r="O2551" i="7"/>
  <c r="U2550" i="7"/>
  <c r="T2550" i="7"/>
  <c r="S2550" i="7"/>
  <c r="R2550" i="7"/>
  <c r="Q2550" i="7"/>
  <c r="P2550" i="7"/>
  <c r="O2550" i="7"/>
  <c r="U2549" i="7"/>
  <c r="T2549" i="7"/>
  <c r="S2549" i="7"/>
  <c r="R2549" i="7"/>
  <c r="Q2549" i="7"/>
  <c r="P2549" i="7"/>
  <c r="O2549" i="7"/>
  <c r="U2548" i="7"/>
  <c r="T2548" i="7"/>
  <c r="S2548" i="7"/>
  <c r="R2548" i="7"/>
  <c r="Q2548" i="7"/>
  <c r="P2548" i="7"/>
  <c r="O2548" i="7"/>
  <c r="U2547" i="7"/>
  <c r="T2547" i="7"/>
  <c r="S2547" i="7"/>
  <c r="R2547" i="7"/>
  <c r="Q2547" i="7"/>
  <c r="P2547" i="7"/>
  <c r="O2547" i="7"/>
  <c r="U2546" i="7"/>
  <c r="T2546" i="7"/>
  <c r="S2546" i="7"/>
  <c r="R2546" i="7"/>
  <c r="Q2546" i="7"/>
  <c r="P2546" i="7"/>
  <c r="O2546" i="7"/>
  <c r="U2545" i="7"/>
  <c r="T2545" i="7"/>
  <c r="S2545" i="7"/>
  <c r="R2545" i="7"/>
  <c r="Q2545" i="7"/>
  <c r="P2545" i="7"/>
  <c r="O2545" i="7"/>
  <c r="U2544" i="7"/>
  <c r="T2544" i="7"/>
  <c r="S2544" i="7"/>
  <c r="R2544" i="7"/>
  <c r="Q2544" i="7"/>
  <c r="P2544" i="7"/>
  <c r="O2544" i="7"/>
  <c r="U2543" i="7"/>
  <c r="T2543" i="7"/>
  <c r="S2543" i="7"/>
  <c r="R2543" i="7"/>
  <c r="Q2543" i="7"/>
  <c r="P2543" i="7"/>
  <c r="O2543" i="7"/>
  <c r="U2542" i="7"/>
  <c r="T2542" i="7"/>
  <c r="S2542" i="7"/>
  <c r="R2542" i="7"/>
  <c r="Q2542" i="7"/>
  <c r="P2542" i="7"/>
  <c r="O2542" i="7"/>
  <c r="U2541" i="7"/>
  <c r="T2541" i="7"/>
  <c r="S2541" i="7"/>
  <c r="R2541" i="7"/>
  <c r="Q2541" i="7"/>
  <c r="P2541" i="7"/>
  <c r="O2541" i="7"/>
  <c r="U2540" i="7"/>
  <c r="T2540" i="7"/>
  <c r="S2540" i="7"/>
  <c r="R2540" i="7"/>
  <c r="Q2540" i="7"/>
  <c r="P2540" i="7"/>
  <c r="O2540" i="7"/>
  <c r="U2539" i="7"/>
  <c r="T2539" i="7"/>
  <c r="S2539" i="7"/>
  <c r="R2539" i="7"/>
  <c r="Q2539" i="7"/>
  <c r="P2539" i="7"/>
  <c r="O2539" i="7"/>
  <c r="U2538" i="7"/>
  <c r="T2538" i="7"/>
  <c r="S2538" i="7"/>
  <c r="R2538" i="7"/>
  <c r="Q2538" i="7"/>
  <c r="P2538" i="7"/>
  <c r="O2538" i="7"/>
  <c r="U2537" i="7"/>
  <c r="T2537" i="7"/>
  <c r="S2537" i="7"/>
  <c r="R2537" i="7"/>
  <c r="Q2537" i="7"/>
  <c r="P2537" i="7"/>
  <c r="O2537" i="7"/>
  <c r="U2536" i="7"/>
  <c r="T2536" i="7"/>
  <c r="S2536" i="7"/>
  <c r="R2536" i="7"/>
  <c r="Q2536" i="7"/>
  <c r="P2536" i="7"/>
  <c r="O2536" i="7"/>
  <c r="U2535" i="7"/>
  <c r="T2535" i="7"/>
  <c r="S2535" i="7"/>
  <c r="R2535" i="7"/>
  <c r="Q2535" i="7"/>
  <c r="P2535" i="7"/>
  <c r="O2535" i="7"/>
  <c r="U2534" i="7"/>
  <c r="T2534" i="7"/>
  <c r="S2534" i="7"/>
  <c r="R2534" i="7"/>
  <c r="Q2534" i="7"/>
  <c r="P2534" i="7"/>
  <c r="O2534" i="7"/>
  <c r="U2533" i="7"/>
  <c r="T2533" i="7"/>
  <c r="S2533" i="7"/>
  <c r="R2533" i="7"/>
  <c r="Q2533" i="7"/>
  <c r="P2533" i="7"/>
  <c r="O2533" i="7"/>
  <c r="U2532" i="7"/>
  <c r="T2532" i="7"/>
  <c r="S2532" i="7"/>
  <c r="R2532" i="7"/>
  <c r="Q2532" i="7"/>
  <c r="P2532" i="7"/>
  <c r="O2532" i="7"/>
  <c r="U2531" i="7"/>
  <c r="T2531" i="7"/>
  <c r="S2531" i="7"/>
  <c r="R2531" i="7"/>
  <c r="Q2531" i="7"/>
  <c r="P2531" i="7"/>
  <c r="O2531" i="7"/>
  <c r="U2530" i="7"/>
  <c r="T2530" i="7"/>
  <c r="S2530" i="7"/>
  <c r="R2530" i="7"/>
  <c r="Q2530" i="7"/>
  <c r="P2530" i="7"/>
  <c r="O2530" i="7"/>
  <c r="U2529" i="7"/>
  <c r="T2529" i="7"/>
  <c r="S2529" i="7"/>
  <c r="R2529" i="7"/>
  <c r="Q2529" i="7"/>
  <c r="P2529" i="7"/>
  <c r="O2529" i="7"/>
  <c r="U2528" i="7"/>
  <c r="T2528" i="7"/>
  <c r="S2528" i="7"/>
  <c r="R2528" i="7"/>
  <c r="Q2528" i="7"/>
  <c r="P2528" i="7"/>
  <c r="O2528" i="7"/>
  <c r="U2527" i="7"/>
  <c r="T2527" i="7"/>
  <c r="S2527" i="7"/>
  <c r="R2527" i="7"/>
  <c r="Q2527" i="7"/>
  <c r="P2527" i="7"/>
  <c r="O2527" i="7"/>
  <c r="U2526" i="7"/>
  <c r="T2526" i="7"/>
  <c r="S2526" i="7"/>
  <c r="R2526" i="7"/>
  <c r="Q2526" i="7"/>
  <c r="P2526" i="7"/>
  <c r="O2526" i="7"/>
  <c r="U2525" i="7"/>
  <c r="T2525" i="7"/>
  <c r="S2525" i="7"/>
  <c r="R2525" i="7"/>
  <c r="Q2525" i="7"/>
  <c r="P2525" i="7"/>
  <c r="O2525" i="7"/>
  <c r="U2524" i="7"/>
  <c r="T2524" i="7"/>
  <c r="S2524" i="7"/>
  <c r="R2524" i="7"/>
  <c r="Q2524" i="7"/>
  <c r="P2524" i="7"/>
  <c r="O2524" i="7"/>
  <c r="U2523" i="7"/>
  <c r="T2523" i="7"/>
  <c r="S2523" i="7"/>
  <c r="R2523" i="7"/>
  <c r="Q2523" i="7"/>
  <c r="P2523" i="7"/>
  <c r="O2523" i="7"/>
  <c r="U2522" i="7"/>
  <c r="T2522" i="7"/>
  <c r="S2522" i="7"/>
  <c r="R2522" i="7"/>
  <c r="Q2522" i="7"/>
  <c r="P2522" i="7"/>
  <c r="O2522" i="7"/>
  <c r="U2521" i="7"/>
  <c r="T2521" i="7"/>
  <c r="S2521" i="7"/>
  <c r="R2521" i="7"/>
  <c r="Q2521" i="7"/>
  <c r="P2521" i="7"/>
  <c r="O2521" i="7"/>
  <c r="U2520" i="7"/>
  <c r="T2520" i="7"/>
  <c r="S2520" i="7"/>
  <c r="R2520" i="7"/>
  <c r="Q2520" i="7"/>
  <c r="P2520" i="7"/>
  <c r="O2520" i="7"/>
  <c r="U2519" i="7"/>
  <c r="T2519" i="7"/>
  <c r="S2519" i="7"/>
  <c r="R2519" i="7"/>
  <c r="Q2519" i="7"/>
  <c r="P2519" i="7"/>
  <c r="O2519" i="7"/>
  <c r="U2518" i="7"/>
  <c r="T2518" i="7"/>
  <c r="S2518" i="7"/>
  <c r="R2518" i="7"/>
  <c r="Q2518" i="7"/>
  <c r="P2518" i="7"/>
  <c r="O2518" i="7"/>
  <c r="U2517" i="7"/>
  <c r="T2517" i="7"/>
  <c r="S2517" i="7"/>
  <c r="R2517" i="7"/>
  <c r="Q2517" i="7"/>
  <c r="P2517" i="7"/>
  <c r="O2517" i="7"/>
  <c r="U2516" i="7"/>
  <c r="T2516" i="7"/>
  <c r="S2516" i="7"/>
  <c r="R2516" i="7"/>
  <c r="Q2516" i="7"/>
  <c r="P2516" i="7"/>
  <c r="O2516" i="7"/>
  <c r="U2515" i="7"/>
  <c r="T2515" i="7"/>
  <c r="S2515" i="7"/>
  <c r="R2515" i="7"/>
  <c r="Q2515" i="7"/>
  <c r="P2515" i="7"/>
  <c r="O2515" i="7"/>
  <c r="U2514" i="7"/>
  <c r="T2514" i="7"/>
  <c r="S2514" i="7"/>
  <c r="R2514" i="7"/>
  <c r="Q2514" i="7"/>
  <c r="P2514" i="7"/>
  <c r="O2514" i="7"/>
  <c r="U2513" i="7"/>
  <c r="T2513" i="7"/>
  <c r="S2513" i="7"/>
  <c r="R2513" i="7"/>
  <c r="Q2513" i="7"/>
  <c r="P2513" i="7"/>
  <c r="O2513" i="7"/>
  <c r="U2512" i="7"/>
  <c r="T2512" i="7"/>
  <c r="S2512" i="7"/>
  <c r="R2512" i="7"/>
  <c r="Q2512" i="7"/>
  <c r="P2512" i="7"/>
  <c r="O2512" i="7"/>
  <c r="U2511" i="7"/>
  <c r="T2511" i="7"/>
  <c r="S2511" i="7"/>
  <c r="R2511" i="7"/>
  <c r="Q2511" i="7"/>
  <c r="P2511" i="7"/>
  <c r="O2511" i="7"/>
  <c r="U2510" i="7"/>
  <c r="T2510" i="7"/>
  <c r="S2510" i="7"/>
  <c r="R2510" i="7"/>
  <c r="Q2510" i="7"/>
  <c r="P2510" i="7"/>
  <c r="O2510" i="7"/>
  <c r="U2509" i="7"/>
  <c r="T2509" i="7"/>
  <c r="S2509" i="7"/>
  <c r="R2509" i="7"/>
  <c r="Q2509" i="7"/>
  <c r="P2509" i="7"/>
  <c r="O2509" i="7"/>
  <c r="U2508" i="7"/>
  <c r="T2508" i="7"/>
  <c r="S2508" i="7"/>
  <c r="R2508" i="7"/>
  <c r="Q2508" i="7"/>
  <c r="P2508" i="7"/>
  <c r="O2508" i="7"/>
  <c r="U2507" i="7"/>
  <c r="T2507" i="7"/>
  <c r="S2507" i="7"/>
  <c r="R2507" i="7"/>
  <c r="Q2507" i="7"/>
  <c r="P2507" i="7"/>
  <c r="O2507" i="7"/>
  <c r="U2506" i="7"/>
  <c r="T2506" i="7"/>
  <c r="S2506" i="7"/>
  <c r="R2506" i="7"/>
  <c r="Q2506" i="7"/>
  <c r="P2506" i="7"/>
  <c r="O2506" i="7"/>
  <c r="U2505" i="7"/>
  <c r="T2505" i="7"/>
  <c r="S2505" i="7"/>
  <c r="R2505" i="7"/>
  <c r="Q2505" i="7"/>
  <c r="P2505" i="7"/>
  <c r="O2505" i="7"/>
  <c r="U2504" i="7"/>
  <c r="T2504" i="7"/>
  <c r="S2504" i="7"/>
  <c r="R2504" i="7"/>
  <c r="Q2504" i="7"/>
  <c r="P2504" i="7"/>
  <c r="O2504" i="7"/>
  <c r="U2503" i="7"/>
  <c r="T2503" i="7"/>
  <c r="S2503" i="7"/>
  <c r="R2503" i="7"/>
  <c r="Q2503" i="7"/>
  <c r="P2503" i="7"/>
  <c r="O2503" i="7"/>
  <c r="U2502" i="7"/>
  <c r="T2502" i="7"/>
  <c r="S2502" i="7"/>
  <c r="R2502" i="7"/>
  <c r="Q2502" i="7"/>
  <c r="P2502" i="7"/>
  <c r="O2502" i="7"/>
  <c r="U2501" i="7"/>
  <c r="T2501" i="7"/>
  <c r="S2501" i="7"/>
  <c r="R2501" i="7"/>
  <c r="Q2501" i="7"/>
  <c r="P2501" i="7"/>
  <c r="O2501" i="7"/>
  <c r="U2500" i="7"/>
  <c r="T2500" i="7"/>
  <c r="S2500" i="7"/>
  <c r="R2500" i="7"/>
  <c r="Q2500" i="7"/>
  <c r="P2500" i="7"/>
  <c r="O2500" i="7"/>
  <c r="U2499" i="7"/>
  <c r="T2499" i="7"/>
  <c r="S2499" i="7"/>
  <c r="R2499" i="7"/>
  <c r="Q2499" i="7"/>
  <c r="P2499" i="7"/>
  <c r="O2499" i="7"/>
  <c r="U2498" i="7"/>
  <c r="T2498" i="7"/>
  <c r="S2498" i="7"/>
  <c r="R2498" i="7"/>
  <c r="Q2498" i="7"/>
  <c r="P2498" i="7"/>
  <c r="O2498" i="7"/>
  <c r="U2497" i="7"/>
  <c r="T2497" i="7"/>
  <c r="S2497" i="7"/>
  <c r="R2497" i="7"/>
  <c r="Q2497" i="7"/>
  <c r="P2497" i="7"/>
  <c r="O2497" i="7"/>
  <c r="U2496" i="7"/>
  <c r="T2496" i="7"/>
  <c r="S2496" i="7"/>
  <c r="R2496" i="7"/>
  <c r="Q2496" i="7"/>
  <c r="P2496" i="7"/>
  <c r="O2496" i="7"/>
  <c r="U2495" i="7"/>
  <c r="T2495" i="7"/>
  <c r="S2495" i="7"/>
  <c r="R2495" i="7"/>
  <c r="Q2495" i="7"/>
  <c r="P2495" i="7"/>
  <c r="O2495" i="7"/>
  <c r="U2494" i="7"/>
  <c r="T2494" i="7"/>
  <c r="S2494" i="7"/>
  <c r="R2494" i="7"/>
  <c r="Q2494" i="7"/>
  <c r="P2494" i="7"/>
  <c r="O2494" i="7"/>
  <c r="U2493" i="7"/>
  <c r="T2493" i="7"/>
  <c r="S2493" i="7"/>
  <c r="R2493" i="7"/>
  <c r="Q2493" i="7"/>
  <c r="P2493" i="7"/>
  <c r="O2493" i="7"/>
  <c r="U2492" i="7"/>
  <c r="T2492" i="7"/>
  <c r="S2492" i="7"/>
  <c r="R2492" i="7"/>
  <c r="Q2492" i="7"/>
  <c r="P2492" i="7"/>
  <c r="O2492" i="7"/>
  <c r="U2491" i="7"/>
  <c r="T2491" i="7"/>
  <c r="S2491" i="7"/>
  <c r="R2491" i="7"/>
  <c r="Q2491" i="7"/>
  <c r="P2491" i="7"/>
  <c r="O2491" i="7"/>
  <c r="U2490" i="7"/>
  <c r="T2490" i="7"/>
  <c r="S2490" i="7"/>
  <c r="R2490" i="7"/>
  <c r="Q2490" i="7"/>
  <c r="P2490" i="7"/>
  <c r="O2490" i="7"/>
  <c r="U2489" i="7"/>
  <c r="T2489" i="7"/>
  <c r="S2489" i="7"/>
  <c r="R2489" i="7"/>
  <c r="Q2489" i="7"/>
  <c r="P2489" i="7"/>
  <c r="O2489" i="7"/>
  <c r="U2488" i="7"/>
  <c r="T2488" i="7"/>
  <c r="S2488" i="7"/>
  <c r="R2488" i="7"/>
  <c r="Q2488" i="7"/>
  <c r="P2488" i="7"/>
  <c r="O2488" i="7"/>
  <c r="U2487" i="7"/>
  <c r="T2487" i="7"/>
  <c r="S2487" i="7"/>
  <c r="R2487" i="7"/>
  <c r="Q2487" i="7"/>
  <c r="P2487" i="7"/>
  <c r="O2487" i="7"/>
  <c r="U2486" i="7"/>
  <c r="T2486" i="7"/>
  <c r="S2486" i="7"/>
  <c r="R2486" i="7"/>
  <c r="Q2486" i="7"/>
  <c r="P2486" i="7"/>
  <c r="O2486" i="7"/>
  <c r="U2485" i="7"/>
  <c r="T2485" i="7"/>
  <c r="S2485" i="7"/>
  <c r="R2485" i="7"/>
  <c r="Q2485" i="7"/>
  <c r="P2485" i="7"/>
  <c r="O2485" i="7"/>
  <c r="U2484" i="7"/>
  <c r="T2484" i="7"/>
  <c r="S2484" i="7"/>
  <c r="R2484" i="7"/>
  <c r="Q2484" i="7"/>
  <c r="P2484" i="7"/>
  <c r="O2484" i="7"/>
  <c r="U2483" i="7"/>
  <c r="T2483" i="7"/>
  <c r="S2483" i="7"/>
  <c r="R2483" i="7"/>
  <c r="Q2483" i="7"/>
  <c r="P2483" i="7"/>
  <c r="O2483" i="7"/>
  <c r="U2482" i="7"/>
  <c r="T2482" i="7"/>
  <c r="S2482" i="7"/>
  <c r="R2482" i="7"/>
  <c r="Q2482" i="7"/>
  <c r="P2482" i="7"/>
  <c r="O2482" i="7"/>
  <c r="U2481" i="7"/>
  <c r="T2481" i="7"/>
  <c r="S2481" i="7"/>
  <c r="R2481" i="7"/>
  <c r="Q2481" i="7"/>
  <c r="P2481" i="7"/>
  <c r="O2481" i="7"/>
  <c r="U2480" i="7"/>
  <c r="T2480" i="7"/>
  <c r="S2480" i="7"/>
  <c r="R2480" i="7"/>
  <c r="Q2480" i="7"/>
  <c r="P2480" i="7"/>
  <c r="O2480" i="7"/>
  <c r="U2479" i="7"/>
  <c r="T2479" i="7"/>
  <c r="S2479" i="7"/>
  <c r="R2479" i="7"/>
  <c r="Q2479" i="7"/>
  <c r="P2479" i="7"/>
  <c r="O2479" i="7"/>
  <c r="U2478" i="7"/>
  <c r="T2478" i="7"/>
  <c r="S2478" i="7"/>
  <c r="R2478" i="7"/>
  <c r="Q2478" i="7"/>
  <c r="P2478" i="7"/>
  <c r="O2478" i="7"/>
  <c r="U2477" i="7"/>
  <c r="T2477" i="7"/>
  <c r="S2477" i="7"/>
  <c r="R2477" i="7"/>
  <c r="Q2477" i="7"/>
  <c r="P2477" i="7"/>
  <c r="O2477" i="7"/>
  <c r="U2476" i="7"/>
  <c r="T2476" i="7"/>
  <c r="S2476" i="7"/>
  <c r="R2476" i="7"/>
  <c r="Q2476" i="7"/>
  <c r="P2476" i="7"/>
  <c r="O2476" i="7"/>
  <c r="U2475" i="7"/>
  <c r="T2475" i="7"/>
  <c r="S2475" i="7"/>
  <c r="R2475" i="7"/>
  <c r="Q2475" i="7"/>
  <c r="P2475" i="7"/>
  <c r="O2475" i="7"/>
  <c r="U2474" i="7"/>
  <c r="T2474" i="7"/>
  <c r="S2474" i="7"/>
  <c r="R2474" i="7"/>
  <c r="Q2474" i="7"/>
  <c r="P2474" i="7"/>
  <c r="O2474" i="7"/>
  <c r="U2473" i="7"/>
  <c r="T2473" i="7"/>
  <c r="S2473" i="7"/>
  <c r="R2473" i="7"/>
  <c r="Q2473" i="7"/>
  <c r="P2473" i="7"/>
  <c r="O2473" i="7"/>
  <c r="U2472" i="7"/>
  <c r="T2472" i="7"/>
  <c r="S2472" i="7"/>
  <c r="R2472" i="7"/>
  <c r="Q2472" i="7"/>
  <c r="P2472" i="7"/>
  <c r="O2472" i="7"/>
  <c r="U2471" i="7"/>
  <c r="T2471" i="7"/>
  <c r="S2471" i="7"/>
  <c r="R2471" i="7"/>
  <c r="Q2471" i="7"/>
  <c r="P2471" i="7"/>
  <c r="O2471" i="7"/>
  <c r="U2470" i="7"/>
  <c r="T2470" i="7"/>
  <c r="S2470" i="7"/>
  <c r="R2470" i="7"/>
  <c r="Q2470" i="7"/>
  <c r="P2470" i="7"/>
  <c r="O2470" i="7"/>
  <c r="U2469" i="7"/>
  <c r="T2469" i="7"/>
  <c r="S2469" i="7"/>
  <c r="R2469" i="7"/>
  <c r="Q2469" i="7"/>
  <c r="P2469" i="7"/>
  <c r="O2469" i="7"/>
  <c r="U2468" i="7"/>
  <c r="T2468" i="7"/>
  <c r="S2468" i="7"/>
  <c r="R2468" i="7"/>
  <c r="Q2468" i="7"/>
  <c r="P2468" i="7"/>
  <c r="O2468" i="7"/>
  <c r="U2467" i="7"/>
  <c r="T2467" i="7"/>
  <c r="S2467" i="7"/>
  <c r="R2467" i="7"/>
  <c r="Q2467" i="7"/>
  <c r="P2467" i="7"/>
  <c r="O2467" i="7"/>
  <c r="U2466" i="7"/>
  <c r="T2466" i="7"/>
  <c r="S2466" i="7"/>
  <c r="R2466" i="7"/>
  <c r="Q2466" i="7"/>
  <c r="P2466" i="7"/>
  <c r="O2466" i="7"/>
  <c r="U2465" i="7"/>
  <c r="T2465" i="7"/>
  <c r="S2465" i="7"/>
  <c r="R2465" i="7"/>
  <c r="Q2465" i="7"/>
  <c r="P2465" i="7"/>
  <c r="O2465" i="7"/>
  <c r="U2464" i="7"/>
  <c r="T2464" i="7"/>
  <c r="S2464" i="7"/>
  <c r="R2464" i="7"/>
  <c r="Q2464" i="7"/>
  <c r="P2464" i="7"/>
  <c r="O2464" i="7"/>
  <c r="U2463" i="7"/>
  <c r="T2463" i="7"/>
  <c r="S2463" i="7"/>
  <c r="R2463" i="7"/>
  <c r="Q2463" i="7"/>
  <c r="P2463" i="7"/>
  <c r="O2463" i="7"/>
  <c r="U2462" i="7"/>
  <c r="T2462" i="7"/>
  <c r="S2462" i="7"/>
  <c r="R2462" i="7"/>
  <c r="Q2462" i="7"/>
  <c r="P2462" i="7"/>
  <c r="O2462" i="7"/>
  <c r="U2461" i="7"/>
  <c r="T2461" i="7"/>
  <c r="S2461" i="7"/>
  <c r="R2461" i="7"/>
  <c r="Q2461" i="7"/>
  <c r="P2461" i="7"/>
  <c r="O2461" i="7"/>
  <c r="U2460" i="7"/>
  <c r="T2460" i="7"/>
  <c r="S2460" i="7"/>
  <c r="R2460" i="7"/>
  <c r="Q2460" i="7"/>
  <c r="P2460" i="7"/>
  <c r="O2460" i="7"/>
  <c r="U2459" i="7"/>
  <c r="T2459" i="7"/>
  <c r="S2459" i="7"/>
  <c r="R2459" i="7"/>
  <c r="Q2459" i="7"/>
  <c r="P2459" i="7"/>
  <c r="O2459" i="7"/>
  <c r="U2458" i="7"/>
  <c r="T2458" i="7"/>
  <c r="S2458" i="7"/>
  <c r="R2458" i="7"/>
  <c r="Q2458" i="7"/>
  <c r="P2458" i="7"/>
  <c r="O2458" i="7"/>
  <c r="U2457" i="7"/>
  <c r="T2457" i="7"/>
  <c r="S2457" i="7"/>
  <c r="R2457" i="7"/>
  <c r="Q2457" i="7"/>
  <c r="P2457" i="7"/>
  <c r="O2457" i="7"/>
  <c r="U2456" i="7"/>
  <c r="T2456" i="7"/>
  <c r="S2456" i="7"/>
  <c r="R2456" i="7"/>
  <c r="Q2456" i="7"/>
  <c r="P2456" i="7"/>
  <c r="O2456" i="7"/>
  <c r="U2455" i="7"/>
  <c r="T2455" i="7"/>
  <c r="S2455" i="7"/>
  <c r="R2455" i="7"/>
  <c r="Q2455" i="7"/>
  <c r="P2455" i="7"/>
  <c r="O2455" i="7"/>
  <c r="U2454" i="7"/>
  <c r="T2454" i="7"/>
  <c r="S2454" i="7"/>
  <c r="R2454" i="7"/>
  <c r="Q2454" i="7"/>
  <c r="P2454" i="7"/>
  <c r="O2454" i="7"/>
  <c r="U2453" i="7"/>
  <c r="T2453" i="7"/>
  <c r="S2453" i="7"/>
  <c r="R2453" i="7"/>
  <c r="Q2453" i="7"/>
  <c r="P2453" i="7"/>
  <c r="O2453" i="7"/>
  <c r="U2452" i="7"/>
  <c r="T2452" i="7"/>
  <c r="S2452" i="7"/>
  <c r="R2452" i="7"/>
  <c r="Q2452" i="7"/>
  <c r="P2452" i="7"/>
  <c r="O2452" i="7"/>
  <c r="U2451" i="7"/>
  <c r="T2451" i="7"/>
  <c r="S2451" i="7"/>
  <c r="R2451" i="7"/>
  <c r="Q2451" i="7"/>
  <c r="P2451" i="7"/>
  <c r="O2451" i="7"/>
  <c r="U2450" i="7"/>
  <c r="T2450" i="7"/>
  <c r="S2450" i="7"/>
  <c r="R2450" i="7"/>
  <c r="Q2450" i="7"/>
  <c r="P2450" i="7"/>
  <c r="O2450" i="7"/>
  <c r="U2449" i="7"/>
  <c r="T2449" i="7"/>
  <c r="S2449" i="7"/>
  <c r="R2449" i="7"/>
  <c r="Q2449" i="7"/>
  <c r="P2449" i="7"/>
  <c r="O2449" i="7"/>
  <c r="U2448" i="7"/>
  <c r="T2448" i="7"/>
  <c r="S2448" i="7"/>
  <c r="R2448" i="7"/>
  <c r="Q2448" i="7"/>
  <c r="P2448" i="7"/>
  <c r="O2448" i="7"/>
  <c r="U2447" i="7"/>
  <c r="T2447" i="7"/>
  <c r="S2447" i="7"/>
  <c r="R2447" i="7"/>
  <c r="Q2447" i="7"/>
  <c r="P2447" i="7"/>
  <c r="O2447" i="7"/>
  <c r="U2446" i="7"/>
  <c r="T2446" i="7"/>
  <c r="S2446" i="7"/>
  <c r="R2446" i="7"/>
  <c r="Q2446" i="7"/>
  <c r="P2446" i="7"/>
  <c r="O2446" i="7"/>
  <c r="U2445" i="7"/>
  <c r="T2445" i="7"/>
  <c r="S2445" i="7"/>
  <c r="R2445" i="7"/>
  <c r="Q2445" i="7"/>
  <c r="P2445" i="7"/>
  <c r="O2445" i="7"/>
  <c r="U2444" i="7"/>
  <c r="T2444" i="7"/>
  <c r="S2444" i="7"/>
  <c r="R2444" i="7"/>
  <c r="Q2444" i="7"/>
  <c r="P2444" i="7"/>
  <c r="O2444" i="7"/>
  <c r="U2443" i="7"/>
  <c r="T2443" i="7"/>
  <c r="S2443" i="7"/>
  <c r="R2443" i="7"/>
  <c r="Q2443" i="7"/>
  <c r="P2443" i="7"/>
  <c r="O2443" i="7"/>
  <c r="U2442" i="7"/>
  <c r="T2442" i="7"/>
  <c r="S2442" i="7"/>
  <c r="R2442" i="7"/>
  <c r="Q2442" i="7"/>
  <c r="P2442" i="7"/>
  <c r="O2442" i="7"/>
  <c r="U2441" i="7"/>
  <c r="T2441" i="7"/>
  <c r="S2441" i="7"/>
  <c r="R2441" i="7"/>
  <c r="Q2441" i="7"/>
  <c r="P2441" i="7"/>
  <c r="O2441" i="7"/>
  <c r="U2440" i="7"/>
  <c r="T2440" i="7"/>
  <c r="S2440" i="7"/>
  <c r="R2440" i="7"/>
  <c r="Q2440" i="7"/>
  <c r="P2440" i="7"/>
  <c r="O2440" i="7"/>
  <c r="U2439" i="7"/>
  <c r="T2439" i="7"/>
  <c r="S2439" i="7"/>
  <c r="R2439" i="7"/>
  <c r="Q2439" i="7"/>
  <c r="P2439" i="7"/>
  <c r="O2439" i="7"/>
  <c r="U2438" i="7"/>
  <c r="T2438" i="7"/>
  <c r="S2438" i="7"/>
  <c r="R2438" i="7"/>
  <c r="Q2438" i="7"/>
  <c r="P2438" i="7"/>
  <c r="O2438" i="7"/>
  <c r="U2437" i="7"/>
  <c r="T2437" i="7"/>
  <c r="S2437" i="7"/>
  <c r="R2437" i="7"/>
  <c r="Q2437" i="7"/>
  <c r="P2437" i="7"/>
  <c r="O2437" i="7"/>
  <c r="U2436" i="7"/>
  <c r="T2436" i="7"/>
  <c r="S2436" i="7"/>
  <c r="R2436" i="7"/>
  <c r="Q2436" i="7"/>
  <c r="P2436" i="7"/>
  <c r="O2436" i="7"/>
  <c r="U2435" i="7"/>
  <c r="T2435" i="7"/>
  <c r="S2435" i="7"/>
  <c r="R2435" i="7"/>
  <c r="Q2435" i="7"/>
  <c r="P2435" i="7"/>
  <c r="O2435" i="7"/>
  <c r="U2434" i="7"/>
  <c r="T2434" i="7"/>
  <c r="S2434" i="7"/>
  <c r="R2434" i="7"/>
  <c r="Q2434" i="7"/>
  <c r="P2434" i="7"/>
  <c r="O2434" i="7"/>
  <c r="U2433" i="7"/>
  <c r="T2433" i="7"/>
  <c r="S2433" i="7"/>
  <c r="R2433" i="7"/>
  <c r="Q2433" i="7"/>
  <c r="P2433" i="7"/>
  <c r="O2433" i="7"/>
  <c r="U2432" i="7"/>
  <c r="T2432" i="7"/>
  <c r="S2432" i="7"/>
  <c r="R2432" i="7"/>
  <c r="Q2432" i="7"/>
  <c r="P2432" i="7"/>
  <c r="O2432" i="7"/>
  <c r="U2431" i="7"/>
  <c r="T2431" i="7"/>
  <c r="S2431" i="7"/>
  <c r="R2431" i="7"/>
  <c r="Q2431" i="7"/>
  <c r="P2431" i="7"/>
  <c r="O2431" i="7"/>
  <c r="U2430" i="7"/>
  <c r="T2430" i="7"/>
  <c r="S2430" i="7"/>
  <c r="R2430" i="7"/>
  <c r="Q2430" i="7"/>
  <c r="P2430" i="7"/>
  <c r="O2430" i="7"/>
  <c r="U2429" i="7"/>
  <c r="T2429" i="7"/>
  <c r="S2429" i="7"/>
  <c r="R2429" i="7"/>
  <c r="Q2429" i="7"/>
  <c r="P2429" i="7"/>
  <c r="O2429" i="7"/>
  <c r="U2428" i="7"/>
  <c r="T2428" i="7"/>
  <c r="S2428" i="7"/>
  <c r="R2428" i="7"/>
  <c r="Q2428" i="7"/>
  <c r="P2428" i="7"/>
  <c r="O2428" i="7"/>
  <c r="U2427" i="7"/>
  <c r="T2427" i="7"/>
  <c r="S2427" i="7"/>
  <c r="R2427" i="7"/>
  <c r="Q2427" i="7"/>
  <c r="P2427" i="7"/>
  <c r="O2427" i="7"/>
  <c r="U2426" i="7"/>
  <c r="T2426" i="7"/>
  <c r="S2426" i="7"/>
  <c r="R2426" i="7"/>
  <c r="Q2426" i="7"/>
  <c r="P2426" i="7"/>
  <c r="O2426" i="7"/>
  <c r="U2425" i="7"/>
  <c r="T2425" i="7"/>
  <c r="S2425" i="7"/>
  <c r="R2425" i="7"/>
  <c r="Q2425" i="7"/>
  <c r="P2425" i="7"/>
  <c r="O2425" i="7"/>
  <c r="U2424" i="7"/>
  <c r="T2424" i="7"/>
  <c r="S2424" i="7"/>
  <c r="R2424" i="7"/>
  <c r="Q2424" i="7"/>
  <c r="P2424" i="7"/>
  <c r="O2424" i="7"/>
  <c r="U2423" i="7"/>
  <c r="T2423" i="7"/>
  <c r="S2423" i="7"/>
  <c r="R2423" i="7"/>
  <c r="Q2423" i="7"/>
  <c r="P2423" i="7"/>
  <c r="O2423" i="7"/>
  <c r="U2422" i="7"/>
  <c r="T2422" i="7"/>
  <c r="S2422" i="7"/>
  <c r="R2422" i="7"/>
  <c r="Q2422" i="7"/>
  <c r="P2422" i="7"/>
  <c r="O2422" i="7"/>
  <c r="U2421" i="7"/>
  <c r="T2421" i="7"/>
  <c r="S2421" i="7"/>
  <c r="R2421" i="7"/>
  <c r="Q2421" i="7"/>
  <c r="P2421" i="7"/>
  <c r="O2421" i="7"/>
  <c r="U2420" i="7"/>
  <c r="T2420" i="7"/>
  <c r="S2420" i="7"/>
  <c r="R2420" i="7"/>
  <c r="Q2420" i="7"/>
  <c r="P2420" i="7"/>
  <c r="O2420" i="7"/>
  <c r="U2419" i="7"/>
  <c r="T2419" i="7"/>
  <c r="S2419" i="7"/>
  <c r="R2419" i="7"/>
  <c r="Q2419" i="7"/>
  <c r="P2419" i="7"/>
  <c r="O2419" i="7"/>
  <c r="U2418" i="7"/>
  <c r="T2418" i="7"/>
  <c r="S2418" i="7"/>
  <c r="R2418" i="7"/>
  <c r="Q2418" i="7"/>
  <c r="P2418" i="7"/>
  <c r="O2418" i="7"/>
  <c r="U2417" i="7"/>
  <c r="T2417" i="7"/>
  <c r="S2417" i="7"/>
  <c r="R2417" i="7"/>
  <c r="Q2417" i="7"/>
  <c r="P2417" i="7"/>
  <c r="O2417" i="7"/>
  <c r="U2416" i="7"/>
  <c r="T2416" i="7"/>
  <c r="S2416" i="7"/>
  <c r="R2416" i="7"/>
  <c r="Q2416" i="7"/>
  <c r="P2416" i="7"/>
  <c r="O2416" i="7"/>
  <c r="U2415" i="7"/>
  <c r="T2415" i="7"/>
  <c r="S2415" i="7"/>
  <c r="R2415" i="7"/>
  <c r="Q2415" i="7"/>
  <c r="P2415" i="7"/>
  <c r="O2415" i="7"/>
  <c r="U2414" i="7"/>
  <c r="T2414" i="7"/>
  <c r="S2414" i="7"/>
  <c r="R2414" i="7"/>
  <c r="Q2414" i="7"/>
  <c r="P2414" i="7"/>
  <c r="O2414" i="7"/>
  <c r="U2413" i="7"/>
  <c r="T2413" i="7"/>
  <c r="S2413" i="7"/>
  <c r="R2413" i="7"/>
  <c r="Q2413" i="7"/>
  <c r="P2413" i="7"/>
  <c r="O2413" i="7"/>
  <c r="U2412" i="7"/>
  <c r="T2412" i="7"/>
  <c r="S2412" i="7"/>
  <c r="R2412" i="7"/>
  <c r="Q2412" i="7"/>
  <c r="P2412" i="7"/>
  <c r="O2412" i="7"/>
  <c r="U2411" i="7"/>
  <c r="T2411" i="7"/>
  <c r="S2411" i="7"/>
  <c r="R2411" i="7"/>
  <c r="Q2411" i="7"/>
  <c r="P2411" i="7"/>
  <c r="O2411" i="7"/>
  <c r="U2410" i="7"/>
  <c r="T2410" i="7"/>
  <c r="S2410" i="7"/>
  <c r="R2410" i="7"/>
  <c r="Q2410" i="7"/>
  <c r="P2410" i="7"/>
  <c r="O2410" i="7"/>
  <c r="U2409" i="7"/>
  <c r="T2409" i="7"/>
  <c r="S2409" i="7"/>
  <c r="R2409" i="7"/>
  <c r="Q2409" i="7"/>
  <c r="P2409" i="7"/>
  <c r="O2409" i="7"/>
  <c r="U2408" i="7"/>
  <c r="T2408" i="7"/>
  <c r="S2408" i="7"/>
  <c r="R2408" i="7"/>
  <c r="Q2408" i="7"/>
  <c r="P2408" i="7"/>
  <c r="O2408" i="7"/>
  <c r="U2407" i="7"/>
  <c r="T2407" i="7"/>
  <c r="S2407" i="7"/>
  <c r="R2407" i="7"/>
  <c r="Q2407" i="7"/>
  <c r="P2407" i="7"/>
  <c r="O2407" i="7"/>
  <c r="U2406" i="7"/>
  <c r="T2406" i="7"/>
  <c r="S2406" i="7"/>
  <c r="R2406" i="7"/>
  <c r="Q2406" i="7"/>
  <c r="P2406" i="7"/>
  <c r="O2406" i="7"/>
  <c r="U2405" i="7"/>
  <c r="T2405" i="7"/>
  <c r="S2405" i="7"/>
  <c r="R2405" i="7"/>
  <c r="Q2405" i="7"/>
  <c r="P2405" i="7"/>
  <c r="O2405" i="7"/>
  <c r="U2404" i="7"/>
  <c r="T2404" i="7"/>
  <c r="S2404" i="7"/>
  <c r="R2404" i="7"/>
  <c r="Q2404" i="7"/>
  <c r="P2404" i="7"/>
  <c r="O2404" i="7"/>
  <c r="U2403" i="7"/>
  <c r="T2403" i="7"/>
  <c r="S2403" i="7"/>
  <c r="R2403" i="7"/>
  <c r="Q2403" i="7"/>
  <c r="P2403" i="7"/>
  <c r="O2403" i="7"/>
  <c r="U2402" i="7"/>
  <c r="T2402" i="7"/>
  <c r="S2402" i="7"/>
  <c r="R2402" i="7"/>
  <c r="Q2402" i="7"/>
  <c r="P2402" i="7"/>
  <c r="O2402" i="7"/>
  <c r="U2401" i="7"/>
  <c r="T2401" i="7"/>
  <c r="S2401" i="7"/>
  <c r="R2401" i="7"/>
  <c r="Q2401" i="7"/>
  <c r="P2401" i="7"/>
  <c r="O2401" i="7"/>
  <c r="U2400" i="7"/>
  <c r="T2400" i="7"/>
  <c r="S2400" i="7"/>
  <c r="R2400" i="7"/>
  <c r="Q2400" i="7"/>
  <c r="P2400" i="7"/>
  <c r="O2400" i="7"/>
  <c r="U2399" i="7"/>
  <c r="T2399" i="7"/>
  <c r="S2399" i="7"/>
  <c r="R2399" i="7"/>
  <c r="Q2399" i="7"/>
  <c r="P2399" i="7"/>
  <c r="O2399" i="7"/>
  <c r="U2398" i="7"/>
  <c r="T2398" i="7"/>
  <c r="S2398" i="7"/>
  <c r="R2398" i="7"/>
  <c r="Q2398" i="7"/>
  <c r="P2398" i="7"/>
  <c r="O2398" i="7"/>
  <c r="U2397" i="7"/>
  <c r="T2397" i="7"/>
  <c r="S2397" i="7"/>
  <c r="R2397" i="7"/>
  <c r="Q2397" i="7"/>
  <c r="P2397" i="7"/>
  <c r="O2397" i="7"/>
  <c r="U2396" i="7"/>
  <c r="T2396" i="7"/>
  <c r="S2396" i="7"/>
  <c r="R2396" i="7"/>
  <c r="Q2396" i="7"/>
  <c r="P2396" i="7"/>
  <c r="O2396" i="7"/>
  <c r="U2395" i="7"/>
  <c r="T2395" i="7"/>
  <c r="S2395" i="7"/>
  <c r="R2395" i="7"/>
  <c r="Q2395" i="7"/>
  <c r="P2395" i="7"/>
  <c r="O2395" i="7"/>
  <c r="U2394" i="7"/>
  <c r="T2394" i="7"/>
  <c r="S2394" i="7"/>
  <c r="R2394" i="7"/>
  <c r="Q2394" i="7"/>
  <c r="P2394" i="7"/>
  <c r="O2394" i="7"/>
  <c r="U2393" i="7"/>
  <c r="T2393" i="7"/>
  <c r="S2393" i="7"/>
  <c r="R2393" i="7"/>
  <c r="Q2393" i="7"/>
  <c r="P2393" i="7"/>
  <c r="O2393" i="7"/>
  <c r="U2392" i="7"/>
  <c r="T2392" i="7"/>
  <c r="S2392" i="7"/>
  <c r="R2392" i="7"/>
  <c r="Q2392" i="7"/>
  <c r="P2392" i="7"/>
  <c r="O2392" i="7"/>
  <c r="U2391" i="7"/>
  <c r="T2391" i="7"/>
  <c r="S2391" i="7"/>
  <c r="R2391" i="7"/>
  <c r="Q2391" i="7"/>
  <c r="P2391" i="7"/>
  <c r="O2391" i="7"/>
  <c r="U2390" i="7"/>
  <c r="T2390" i="7"/>
  <c r="S2390" i="7"/>
  <c r="R2390" i="7"/>
  <c r="Q2390" i="7"/>
  <c r="P2390" i="7"/>
  <c r="O2390" i="7"/>
  <c r="U2389" i="7"/>
  <c r="T2389" i="7"/>
  <c r="S2389" i="7"/>
  <c r="R2389" i="7"/>
  <c r="Q2389" i="7"/>
  <c r="P2389" i="7"/>
  <c r="O2389" i="7"/>
  <c r="U2388" i="7"/>
  <c r="T2388" i="7"/>
  <c r="S2388" i="7"/>
  <c r="R2388" i="7"/>
  <c r="Q2388" i="7"/>
  <c r="P2388" i="7"/>
  <c r="O2388" i="7"/>
  <c r="U2387" i="7"/>
  <c r="T2387" i="7"/>
  <c r="S2387" i="7"/>
  <c r="R2387" i="7"/>
  <c r="Q2387" i="7"/>
  <c r="P2387" i="7"/>
  <c r="O2387" i="7"/>
  <c r="U2386" i="7"/>
  <c r="T2386" i="7"/>
  <c r="S2386" i="7"/>
  <c r="R2386" i="7"/>
  <c r="Q2386" i="7"/>
  <c r="P2386" i="7"/>
  <c r="O2386" i="7"/>
  <c r="U2385" i="7"/>
  <c r="T2385" i="7"/>
  <c r="S2385" i="7"/>
  <c r="R2385" i="7"/>
  <c r="Q2385" i="7"/>
  <c r="P2385" i="7"/>
  <c r="O2385" i="7"/>
  <c r="U2384" i="7"/>
  <c r="T2384" i="7"/>
  <c r="S2384" i="7"/>
  <c r="R2384" i="7"/>
  <c r="Q2384" i="7"/>
  <c r="P2384" i="7"/>
  <c r="O2384" i="7"/>
  <c r="U2383" i="7"/>
  <c r="T2383" i="7"/>
  <c r="S2383" i="7"/>
  <c r="R2383" i="7"/>
  <c r="Q2383" i="7"/>
  <c r="P2383" i="7"/>
  <c r="O2383" i="7"/>
  <c r="U2382" i="7"/>
  <c r="T2382" i="7"/>
  <c r="S2382" i="7"/>
  <c r="R2382" i="7"/>
  <c r="Q2382" i="7"/>
  <c r="P2382" i="7"/>
  <c r="O2382" i="7"/>
  <c r="U2381" i="7"/>
  <c r="T2381" i="7"/>
  <c r="S2381" i="7"/>
  <c r="R2381" i="7"/>
  <c r="Q2381" i="7"/>
  <c r="P2381" i="7"/>
  <c r="O2381" i="7"/>
  <c r="U2380" i="7"/>
  <c r="T2380" i="7"/>
  <c r="S2380" i="7"/>
  <c r="R2380" i="7"/>
  <c r="Q2380" i="7"/>
  <c r="P2380" i="7"/>
  <c r="O2380" i="7"/>
  <c r="U2379" i="7"/>
  <c r="T2379" i="7"/>
  <c r="S2379" i="7"/>
  <c r="R2379" i="7"/>
  <c r="Q2379" i="7"/>
  <c r="P2379" i="7"/>
  <c r="O2379" i="7"/>
  <c r="U2378" i="7"/>
  <c r="T2378" i="7"/>
  <c r="S2378" i="7"/>
  <c r="R2378" i="7"/>
  <c r="Q2378" i="7"/>
  <c r="P2378" i="7"/>
  <c r="O2378" i="7"/>
  <c r="U2377" i="7"/>
  <c r="T2377" i="7"/>
  <c r="S2377" i="7"/>
  <c r="R2377" i="7"/>
  <c r="Q2377" i="7"/>
  <c r="P2377" i="7"/>
  <c r="O2377" i="7"/>
  <c r="U2376" i="7"/>
  <c r="T2376" i="7"/>
  <c r="S2376" i="7"/>
  <c r="R2376" i="7"/>
  <c r="Q2376" i="7"/>
  <c r="P2376" i="7"/>
  <c r="O2376" i="7"/>
  <c r="U2375" i="7"/>
  <c r="T2375" i="7"/>
  <c r="S2375" i="7"/>
  <c r="R2375" i="7"/>
  <c r="Q2375" i="7"/>
  <c r="P2375" i="7"/>
  <c r="O2375" i="7"/>
  <c r="U2374" i="7"/>
  <c r="T2374" i="7"/>
  <c r="S2374" i="7"/>
  <c r="R2374" i="7"/>
  <c r="Q2374" i="7"/>
  <c r="P2374" i="7"/>
  <c r="O2374" i="7"/>
  <c r="U2373" i="7"/>
  <c r="T2373" i="7"/>
  <c r="S2373" i="7"/>
  <c r="R2373" i="7"/>
  <c r="Q2373" i="7"/>
  <c r="P2373" i="7"/>
  <c r="O2373" i="7"/>
  <c r="U2372" i="7"/>
  <c r="T2372" i="7"/>
  <c r="S2372" i="7"/>
  <c r="R2372" i="7"/>
  <c r="Q2372" i="7"/>
  <c r="P2372" i="7"/>
  <c r="O2372" i="7"/>
  <c r="U2371" i="7"/>
  <c r="T2371" i="7"/>
  <c r="S2371" i="7"/>
  <c r="R2371" i="7"/>
  <c r="Q2371" i="7"/>
  <c r="P2371" i="7"/>
  <c r="O2371" i="7"/>
  <c r="U2370" i="7"/>
  <c r="T2370" i="7"/>
  <c r="S2370" i="7"/>
  <c r="R2370" i="7"/>
  <c r="Q2370" i="7"/>
  <c r="P2370" i="7"/>
  <c r="O2370" i="7"/>
  <c r="U2369" i="7"/>
  <c r="T2369" i="7"/>
  <c r="S2369" i="7"/>
  <c r="R2369" i="7"/>
  <c r="Q2369" i="7"/>
  <c r="P2369" i="7"/>
  <c r="O2369" i="7"/>
  <c r="U2368" i="7"/>
  <c r="T2368" i="7"/>
  <c r="S2368" i="7"/>
  <c r="R2368" i="7"/>
  <c r="Q2368" i="7"/>
  <c r="P2368" i="7"/>
  <c r="O2368" i="7"/>
  <c r="U2367" i="7"/>
  <c r="T2367" i="7"/>
  <c r="S2367" i="7"/>
  <c r="R2367" i="7"/>
  <c r="Q2367" i="7"/>
  <c r="P2367" i="7"/>
  <c r="O2367" i="7"/>
  <c r="U2366" i="7"/>
  <c r="T2366" i="7"/>
  <c r="S2366" i="7"/>
  <c r="R2366" i="7"/>
  <c r="Q2366" i="7"/>
  <c r="P2366" i="7"/>
  <c r="O2366" i="7"/>
  <c r="U2365" i="7"/>
  <c r="T2365" i="7"/>
  <c r="S2365" i="7"/>
  <c r="R2365" i="7"/>
  <c r="Q2365" i="7"/>
  <c r="P2365" i="7"/>
  <c r="O2365" i="7"/>
  <c r="U2364" i="7"/>
  <c r="T2364" i="7"/>
  <c r="S2364" i="7"/>
  <c r="R2364" i="7"/>
  <c r="Q2364" i="7"/>
  <c r="P2364" i="7"/>
  <c r="O2364" i="7"/>
  <c r="U2363" i="7"/>
  <c r="T2363" i="7"/>
  <c r="S2363" i="7"/>
  <c r="R2363" i="7"/>
  <c r="Q2363" i="7"/>
  <c r="P2363" i="7"/>
  <c r="O2363" i="7"/>
  <c r="U2362" i="7"/>
  <c r="T2362" i="7"/>
  <c r="S2362" i="7"/>
  <c r="R2362" i="7"/>
  <c r="Q2362" i="7"/>
  <c r="P2362" i="7"/>
  <c r="O2362" i="7"/>
  <c r="U2361" i="7"/>
  <c r="T2361" i="7"/>
  <c r="S2361" i="7"/>
  <c r="R2361" i="7"/>
  <c r="Q2361" i="7"/>
  <c r="P2361" i="7"/>
  <c r="O2361" i="7"/>
  <c r="U2360" i="7"/>
  <c r="T2360" i="7"/>
  <c r="S2360" i="7"/>
  <c r="R2360" i="7"/>
  <c r="Q2360" i="7"/>
  <c r="P2360" i="7"/>
  <c r="O2360" i="7"/>
  <c r="U2359" i="7"/>
  <c r="T2359" i="7"/>
  <c r="S2359" i="7"/>
  <c r="R2359" i="7"/>
  <c r="Q2359" i="7"/>
  <c r="P2359" i="7"/>
  <c r="O2359" i="7"/>
  <c r="U2358" i="7"/>
  <c r="T2358" i="7"/>
  <c r="S2358" i="7"/>
  <c r="R2358" i="7"/>
  <c r="Q2358" i="7"/>
  <c r="P2358" i="7"/>
  <c r="O2358" i="7"/>
  <c r="U2357" i="7"/>
  <c r="T2357" i="7"/>
  <c r="S2357" i="7"/>
  <c r="R2357" i="7"/>
  <c r="Q2357" i="7"/>
  <c r="P2357" i="7"/>
  <c r="O2357" i="7"/>
  <c r="U2356" i="7"/>
  <c r="T2356" i="7"/>
  <c r="S2356" i="7"/>
  <c r="R2356" i="7"/>
  <c r="Q2356" i="7"/>
  <c r="P2356" i="7"/>
  <c r="O2356" i="7"/>
  <c r="U2355" i="7"/>
  <c r="T2355" i="7"/>
  <c r="S2355" i="7"/>
  <c r="R2355" i="7"/>
  <c r="Q2355" i="7"/>
  <c r="P2355" i="7"/>
  <c r="O2355" i="7"/>
  <c r="U2354" i="7"/>
  <c r="T2354" i="7"/>
  <c r="S2354" i="7"/>
  <c r="R2354" i="7"/>
  <c r="Q2354" i="7"/>
  <c r="P2354" i="7"/>
  <c r="O2354" i="7"/>
  <c r="U2353" i="7"/>
  <c r="T2353" i="7"/>
  <c r="S2353" i="7"/>
  <c r="R2353" i="7"/>
  <c r="Q2353" i="7"/>
  <c r="P2353" i="7"/>
  <c r="O2353" i="7"/>
  <c r="U2352" i="7"/>
  <c r="T2352" i="7"/>
  <c r="S2352" i="7"/>
  <c r="R2352" i="7"/>
  <c r="Q2352" i="7"/>
  <c r="P2352" i="7"/>
  <c r="O2352" i="7"/>
  <c r="U2351" i="7"/>
  <c r="T2351" i="7"/>
  <c r="S2351" i="7"/>
  <c r="R2351" i="7"/>
  <c r="Q2351" i="7"/>
  <c r="P2351" i="7"/>
  <c r="O2351" i="7"/>
  <c r="U2350" i="7"/>
  <c r="T2350" i="7"/>
  <c r="S2350" i="7"/>
  <c r="R2350" i="7"/>
  <c r="Q2350" i="7"/>
  <c r="P2350" i="7"/>
  <c r="O2350" i="7"/>
  <c r="U2349" i="7"/>
  <c r="T2349" i="7"/>
  <c r="S2349" i="7"/>
  <c r="R2349" i="7"/>
  <c r="Q2349" i="7"/>
  <c r="P2349" i="7"/>
  <c r="O2349" i="7"/>
  <c r="U2348" i="7"/>
  <c r="T2348" i="7"/>
  <c r="S2348" i="7"/>
  <c r="R2348" i="7"/>
  <c r="Q2348" i="7"/>
  <c r="P2348" i="7"/>
  <c r="O2348" i="7"/>
  <c r="U2347" i="7"/>
  <c r="T2347" i="7"/>
  <c r="S2347" i="7"/>
  <c r="R2347" i="7"/>
  <c r="Q2347" i="7"/>
  <c r="P2347" i="7"/>
  <c r="O2347" i="7"/>
  <c r="U2346" i="7"/>
  <c r="T2346" i="7"/>
  <c r="S2346" i="7"/>
  <c r="R2346" i="7"/>
  <c r="Q2346" i="7"/>
  <c r="P2346" i="7"/>
  <c r="O2346" i="7"/>
  <c r="U2345" i="7"/>
  <c r="T2345" i="7"/>
  <c r="S2345" i="7"/>
  <c r="R2345" i="7"/>
  <c r="Q2345" i="7"/>
  <c r="P2345" i="7"/>
  <c r="O2345" i="7"/>
  <c r="U2344" i="7"/>
  <c r="T2344" i="7"/>
  <c r="S2344" i="7"/>
  <c r="R2344" i="7"/>
  <c r="Q2344" i="7"/>
  <c r="P2344" i="7"/>
  <c r="O2344" i="7"/>
  <c r="U2343" i="7"/>
  <c r="T2343" i="7"/>
  <c r="S2343" i="7"/>
  <c r="R2343" i="7"/>
  <c r="Q2343" i="7"/>
  <c r="P2343" i="7"/>
  <c r="O2343" i="7"/>
  <c r="U2342" i="7"/>
  <c r="T2342" i="7"/>
  <c r="S2342" i="7"/>
  <c r="R2342" i="7"/>
  <c r="Q2342" i="7"/>
  <c r="P2342" i="7"/>
  <c r="O2342" i="7"/>
  <c r="U2341" i="7"/>
  <c r="T2341" i="7"/>
  <c r="S2341" i="7"/>
  <c r="R2341" i="7"/>
  <c r="Q2341" i="7"/>
  <c r="P2341" i="7"/>
  <c r="O2341" i="7"/>
  <c r="U2340" i="7"/>
  <c r="T2340" i="7"/>
  <c r="S2340" i="7"/>
  <c r="R2340" i="7"/>
  <c r="Q2340" i="7"/>
  <c r="P2340" i="7"/>
  <c r="O2340" i="7"/>
  <c r="U2339" i="7"/>
  <c r="T2339" i="7"/>
  <c r="S2339" i="7"/>
  <c r="R2339" i="7"/>
  <c r="Q2339" i="7"/>
  <c r="P2339" i="7"/>
  <c r="O2339" i="7"/>
  <c r="U2338" i="7"/>
  <c r="T2338" i="7"/>
  <c r="S2338" i="7"/>
  <c r="R2338" i="7"/>
  <c r="Q2338" i="7"/>
  <c r="P2338" i="7"/>
  <c r="O2338" i="7"/>
  <c r="U2337" i="7"/>
  <c r="T2337" i="7"/>
  <c r="S2337" i="7"/>
  <c r="R2337" i="7"/>
  <c r="Q2337" i="7"/>
  <c r="P2337" i="7"/>
  <c r="O2337" i="7"/>
  <c r="U2336" i="7"/>
  <c r="T2336" i="7"/>
  <c r="S2336" i="7"/>
  <c r="R2336" i="7"/>
  <c r="Q2336" i="7"/>
  <c r="P2336" i="7"/>
  <c r="O2336" i="7"/>
  <c r="U2335" i="7"/>
  <c r="T2335" i="7"/>
  <c r="S2335" i="7"/>
  <c r="R2335" i="7"/>
  <c r="Q2335" i="7"/>
  <c r="P2335" i="7"/>
  <c r="O2335" i="7"/>
  <c r="U2334" i="7"/>
  <c r="T2334" i="7"/>
  <c r="S2334" i="7"/>
  <c r="R2334" i="7"/>
  <c r="Q2334" i="7"/>
  <c r="P2334" i="7"/>
  <c r="O2334" i="7"/>
  <c r="U2333" i="7"/>
  <c r="T2333" i="7"/>
  <c r="S2333" i="7"/>
  <c r="R2333" i="7"/>
  <c r="Q2333" i="7"/>
  <c r="P2333" i="7"/>
  <c r="O2333" i="7"/>
  <c r="U2332" i="7"/>
  <c r="T2332" i="7"/>
  <c r="S2332" i="7"/>
  <c r="R2332" i="7"/>
  <c r="Q2332" i="7"/>
  <c r="P2332" i="7"/>
  <c r="O2332" i="7"/>
  <c r="U2331" i="7"/>
  <c r="T2331" i="7"/>
  <c r="S2331" i="7"/>
  <c r="R2331" i="7"/>
  <c r="Q2331" i="7"/>
  <c r="P2331" i="7"/>
  <c r="O2331" i="7"/>
  <c r="U2330" i="7"/>
  <c r="T2330" i="7"/>
  <c r="S2330" i="7"/>
  <c r="R2330" i="7"/>
  <c r="Q2330" i="7"/>
  <c r="P2330" i="7"/>
  <c r="O2330" i="7"/>
  <c r="U2329" i="7"/>
  <c r="T2329" i="7"/>
  <c r="S2329" i="7"/>
  <c r="R2329" i="7"/>
  <c r="Q2329" i="7"/>
  <c r="P2329" i="7"/>
  <c r="O2329" i="7"/>
  <c r="U2328" i="7"/>
  <c r="T2328" i="7"/>
  <c r="S2328" i="7"/>
  <c r="R2328" i="7"/>
  <c r="Q2328" i="7"/>
  <c r="P2328" i="7"/>
  <c r="O2328" i="7"/>
  <c r="U2327" i="7"/>
  <c r="T2327" i="7"/>
  <c r="S2327" i="7"/>
  <c r="R2327" i="7"/>
  <c r="Q2327" i="7"/>
  <c r="P2327" i="7"/>
  <c r="O2327" i="7"/>
  <c r="U2326" i="7"/>
  <c r="T2326" i="7"/>
  <c r="S2326" i="7"/>
  <c r="R2326" i="7"/>
  <c r="Q2326" i="7"/>
  <c r="P2326" i="7"/>
  <c r="O2326" i="7"/>
  <c r="U2325" i="7"/>
  <c r="T2325" i="7"/>
  <c r="S2325" i="7"/>
  <c r="R2325" i="7"/>
  <c r="Q2325" i="7"/>
  <c r="P2325" i="7"/>
  <c r="O2325" i="7"/>
  <c r="U2324" i="7"/>
  <c r="T2324" i="7"/>
  <c r="S2324" i="7"/>
  <c r="R2324" i="7"/>
  <c r="Q2324" i="7"/>
  <c r="P2324" i="7"/>
  <c r="O2324" i="7"/>
  <c r="U2323" i="7"/>
  <c r="T2323" i="7"/>
  <c r="S2323" i="7"/>
  <c r="R2323" i="7"/>
  <c r="Q2323" i="7"/>
  <c r="P2323" i="7"/>
  <c r="O2323" i="7"/>
  <c r="U2322" i="7"/>
  <c r="T2322" i="7"/>
  <c r="S2322" i="7"/>
  <c r="R2322" i="7"/>
  <c r="Q2322" i="7"/>
  <c r="P2322" i="7"/>
  <c r="O2322" i="7"/>
  <c r="U2321" i="7"/>
  <c r="T2321" i="7"/>
  <c r="S2321" i="7"/>
  <c r="R2321" i="7"/>
  <c r="Q2321" i="7"/>
  <c r="P2321" i="7"/>
  <c r="O2321" i="7"/>
  <c r="U2320" i="7"/>
  <c r="T2320" i="7"/>
  <c r="S2320" i="7"/>
  <c r="R2320" i="7"/>
  <c r="Q2320" i="7"/>
  <c r="P2320" i="7"/>
  <c r="O2320" i="7"/>
  <c r="U2319" i="7"/>
  <c r="T2319" i="7"/>
  <c r="S2319" i="7"/>
  <c r="R2319" i="7"/>
  <c r="Q2319" i="7"/>
  <c r="P2319" i="7"/>
  <c r="O2319" i="7"/>
  <c r="U2318" i="7"/>
  <c r="T2318" i="7"/>
  <c r="S2318" i="7"/>
  <c r="R2318" i="7"/>
  <c r="Q2318" i="7"/>
  <c r="P2318" i="7"/>
  <c r="O2318" i="7"/>
  <c r="U2317" i="7"/>
  <c r="T2317" i="7"/>
  <c r="S2317" i="7"/>
  <c r="R2317" i="7"/>
  <c r="Q2317" i="7"/>
  <c r="P2317" i="7"/>
  <c r="O2317" i="7"/>
  <c r="U2316" i="7"/>
  <c r="T2316" i="7"/>
  <c r="S2316" i="7"/>
  <c r="R2316" i="7"/>
  <c r="Q2316" i="7"/>
  <c r="P2316" i="7"/>
  <c r="O2316" i="7"/>
  <c r="U2315" i="7"/>
  <c r="T2315" i="7"/>
  <c r="S2315" i="7"/>
  <c r="R2315" i="7"/>
  <c r="Q2315" i="7"/>
  <c r="P2315" i="7"/>
  <c r="O2315" i="7"/>
  <c r="U2314" i="7"/>
  <c r="T2314" i="7"/>
  <c r="S2314" i="7"/>
  <c r="R2314" i="7"/>
  <c r="Q2314" i="7"/>
  <c r="P2314" i="7"/>
  <c r="O2314" i="7"/>
  <c r="U2313" i="7"/>
  <c r="T2313" i="7"/>
  <c r="S2313" i="7"/>
  <c r="R2313" i="7"/>
  <c r="Q2313" i="7"/>
  <c r="P2313" i="7"/>
  <c r="O2313" i="7"/>
  <c r="U2312" i="7"/>
  <c r="T2312" i="7"/>
  <c r="S2312" i="7"/>
  <c r="R2312" i="7"/>
  <c r="Q2312" i="7"/>
  <c r="P2312" i="7"/>
  <c r="O2312" i="7"/>
  <c r="U2311" i="7"/>
  <c r="T2311" i="7"/>
  <c r="S2311" i="7"/>
  <c r="R2311" i="7"/>
  <c r="Q2311" i="7"/>
  <c r="P2311" i="7"/>
  <c r="O2311" i="7"/>
  <c r="U2310" i="7"/>
  <c r="T2310" i="7"/>
  <c r="S2310" i="7"/>
  <c r="R2310" i="7"/>
  <c r="Q2310" i="7"/>
  <c r="P2310" i="7"/>
  <c r="O2310" i="7"/>
  <c r="U2309" i="7"/>
  <c r="T2309" i="7"/>
  <c r="S2309" i="7"/>
  <c r="R2309" i="7"/>
  <c r="Q2309" i="7"/>
  <c r="P2309" i="7"/>
  <c r="O2309" i="7"/>
  <c r="U2308" i="7"/>
  <c r="T2308" i="7"/>
  <c r="S2308" i="7"/>
  <c r="R2308" i="7"/>
  <c r="Q2308" i="7"/>
  <c r="P2308" i="7"/>
  <c r="O2308" i="7"/>
  <c r="U2307" i="7"/>
  <c r="T2307" i="7"/>
  <c r="S2307" i="7"/>
  <c r="R2307" i="7"/>
  <c r="Q2307" i="7"/>
  <c r="P2307" i="7"/>
  <c r="O2307" i="7"/>
  <c r="U2306" i="7"/>
  <c r="T2306" i="7"/>
  <c r="S2306" i="7"/>
  <c r="R2306" i="7"/>
  <c r="Q2306" i="7"/>
  <c r="P2306" i="7"/>
  <c r="O2306" i="7"/>
  <c r="U2305" i="7"/>
  <c r="T2305" i="7"/>
  <c r="S2305" i="7"/>
  <c r="R2305" i="7"/>
  <c r="Q2305" i="7"/>
  <c r="P2305" i="7"/>
  <c r="O2305" i="7"/>
  <c r="U2304" i="7"/>
  <c r="T2304" i="7"/>
  <c r="S2304" i="7"/>
  <c r="R2304" i="7"/>
  <c r="Q2304" i="7"/>
  <c r="P2304" i="7"/>
  <c r="O2304" i="7"/>
  <c r="U2303" i="7"/>
  <c r="T2303" i="7"/>
  <c r="S2303" i="7"/>
  <c r="R2303" i="7"/>
  <c r="Q2303" i="7"/>
  <c r="P2303" i="7"/>
  <c r="O2303" i="7"/>
  <c r="U2302" i="7"/>
  <c r="T2302" i="7"/>
  <c r="S2302" i="7"/>
  <c r="R2302" i="7"/>
  <c r="Q2302" i="7"/>
  <c r="P2302" i="7"/>
  <c r="O2302" i="7"/>
  <c r="U2301" i="7"/>
  <c r="T2301" i="7"/>
  <c r="S2301" i="7"/>
  <c r="R2301" i="7"/>
  <c r="Q2301" i="7"/>
  <c r="P2301" i="7"/>
  <c r="O2301" i="7"/>
  <c r="U2300" i="7"/>
  <c r="T2300" i="7"/>
  <c r="S2300" i="7"/>
  <c r="R2300" i="7"/>
  <c r="Q2300" i="7"/>
  <c r="P2300" i="7"/>
  <c r="O2300" i="7"/>
  <c r="U2299" i="7"/>
  <c r="T2299" i="7"/>
  <c r="S2299" i="7"/>
  <c r="R2299" i="7"/>
  <c r="Q2299" i="7"/>
  <c r="P2299" i="7"/>
  <c r="O2299" i="7"/>
  <c r="U2298" i="7"/>
  <c r="T2298" i="7"/>
  <c r="S2298" i="7"/>
  <c r="R2298" i="7"/>
  <c r="Q2298" i="7"/>
  <c r="P2298" i="7"/>
  <c r="O2298" i="7"/>
  <c r="U2297" i="7"/>
  <c r="T2297" i="7"/>
  <c r="S2297" i="7"/>
  <c r="R2297" i="7"/>
  <c r="Q2297" i="7"/>
  <c r="P2297" i="7"/>
  <c r="O2297" i="7"/>
  <c r="U2296" i="7"/>
  <c r="T2296" i="7"/>
  <c r="S2296" i="7"/>
  <c r="R2296" i="7"/>
  <c r="Q2296" i="7"/>
  <c r="P2296" i="7"/>
  <c r="O2296" i="7"/>
  <c r="U2295" i="7"/>
  <c r="T2295" i="7"/>
  <c r="S2295" i="7"/>
  <c r="R2295" i="7"/>
  <c r="Q2295" i="7"/>
  <c r="P2295" i="7"/>
  <c r="O2295" i="7"/>
  <c r="U2294" i="7"/>
  <c r="T2294" i="7"/>
  <c r="S2294" i="7"/>
  <c r="R2294" i="7"/>
  <c r="Q2294" i="7"/>
  <c r="P2294" i="7"/>
  <c r="O2294" i="7"/>
  <c r="U2293" i="7"/>
  <c r="T2293" i="7"/>
  <c r="S2293" i="7"/>
  <c r="R2293" i="7"/>
  <c r="Q2293" i="7"/>
  <c r="P2293" i="7"/>
  <c r="O2293" i="7"/>
  <c r="U2292" i="7"/>
  <c r="T2292" i="7"/>
  <c r="S2292" i="7"/>
  <c r="R2292" i="7"/>
  <c r="Q2292" i="7"/>
  <c r="P2292" i="7"/>
  <c r="O2292" i="7"/>
  <c r="U2291" i="7"/>
  <c r="T2291" i="7"/>
  <c r="S2291" i="7"/>
  <c r="R2291" i="7"/>
  <c r="Q2291" i="7"/>
  <c r="P2291" i="7"/>
  <c r="O2291" i="7"/>
  <c r="U2290" i="7"/>
  <c r="T2290" i="7"/>
  <c r="S2290" i="7"/>
  <c r="R2290" i="7"/>
  <c r="Q2290" i="7"/>
  <c r="P2290" i="7"/>
  <c r="O2290" i="7"/>
  <c r="U2289" i="7"/>
  <c r="T2289" i="7"/>
  <c r="S2289" i="7"/>
  <c r="R2289" i="7"/>
  <c r="Q2289" i="7"/>
  <c r="P2289" i="7"/>
  <c r="O2289" i="7"/>
  <c r="U2288" i="7"/>
  <c r="T2288" i="7"/>
  <c r="S2288" i="7"/>
  <c r="R2288" i="7"/>
  <c r="Q2288" i="7"/>
  <c r="P2288" i="7"/>
  <c r="O2288" i="7"/>
  <c r="U2287" i="7"/>
  <c r="T2287" i="7"/>
  <c r="S2287" i="7"/>
  <c r="R2287" i="7"/>
  <c r="Q2287" i="7"/>
  <c r="P2287" i="7"/>
  <c r="O2287" i="7"/>
  <c r="U2286" i="7"/>
  <c r="T2286" i="7"/>
  <c r="S2286" i="7"/>
  <c r="R2286" i="7"/>
  <c r="Q2286" i="7"/>
  <c r="P2286" i="7"/>
  <c r="O2286" i="7"/>
  <c r="U2285" i="7"/>
  <c r="T2285" i="7"/>
  <c r="S2285" i="7"/>
  <c r="R2285" i="7"/>
  <c r="Q2285" i="7"/>
  <c r="P2285" i="7"/>
  <c r="O2285" i="7"/>
  <c r="U2284" i="7"/>
  <c r="T2284" i="7"/>
  <c r="S2284" i="7"/>
  <c r="R2284" i="7"/>
  <c r="Q2284" i="7"/>
  <c r="P2284" i="7"/>
  <c r="O2284" i="7"/>
  <c r="U2283" i="7"/>
  <c r="T2283" i="7"/>
  <c r="S2283" i="7"/>
  <c r="R2283" i="7"/>
  <c r="Q2283" i="7"/>
  <c r="P2283" i="7"/>
  <c r="O2283" i="7"/>
  <c r="U2282" i="7"/>
  <c r="T2282" i="7"/>
  <c r="S2282" i="7"/>
  <c r="R2282" i="7"/>
  <c r="Q2282" i="7"/>
  <c r="P2282" i="7"/>
  <c r="O2282" i="7"/>
  <c r="U2281" i="7"/>
  <c r="T2281" i="7"/>
  <c r="S2281" i="7"/>
  <c r="R2281" i="7"/>
  <c r="Q2281" i="7"/>
  <c r="P2281" i="7"/>
  <c r="O2281" i="7"/>
  <c r="U2280" i="7"/>
  <c r="T2280" i="7"/>
  <c r="S2280" i="7"/>
  <c r="R2280" i="7"/>
  <c r="Q2280" i="7"/>
  <c r="P2280" i="7"/>
  <c r="O2280" i="7"/>
  <c r="U2279" i="7"/>
  <c r="T2279" i="7"/>
  <c r="S2279" i="7"/>
  <c r="R2279" i="7"/>
  <c r="Q2279" i="7"/>
  <c r="P2279" i="7"/>
  <c r="O2279" i="7"/>
  <c r="U2278" i="7"/>
  <c r="T2278" i="7"/>
  <c r="S2278" i="7"/>
  <c r="R2278" i="7"/>
  <c r="Q2278" i="7"/>
  <c r="P2278" i="7"/>
  <c r="O2278" i="7"/>
  <c r="U2277" i="7"/>
  <c r="T2277" i="7"/>
  <c r="S2277" i="7"/>
  <c r="R2277" i="7"/>
  <c r="Q2277" i="7"/>
  <c r="P2277" i="7"/>
  <c r="O2277" i="7"/>
  <c r="U2276" i="7"/>
  <c r="T2276" i="7"/>
  <c r="S2276" i="7"/>
  <c r="R2276" i="7"/>
  <c r="Q2276" i="7"/>
  <c r="P2276" i="7"/>
  <c r="O2276" i="7"/>
  <c r="U2275" i="7"/>
  <c r="T2275" i="7"/>
  <c r="S2275" i="7"/>
  <c r="R2275" i="7"/>
  <c r="Q2275" i="7"/>
  <c r="P2275" i="7"/>
  <c r="O2275" i="7"/>
  <c r="U2274" i="7"/>
  <c r="T2274" i="7"/>
  <c r="S2274" i="7"/>
  <c r="R2274" i="7"/>
  <c r="Q2274" i="7"/>
  <c r="P2274" i="7"/>
  <c r="O2274" i="7"/>
  <c r="U2273" i="7"/>
  <c r="T2273" i="7"/>
  <c r="S2273" i="7"/>
  <c r="R2273" i="7"/>
  <c r="Q2273" i="7"/>
  <c r="P2273" i="7"/>
  <c r="O2273" i="7"/>
  <c r="U2272" i="7"/>
  <c r="T2272" i="7"/>
  <c r="S2272" i="7"/>
  <c r="R2272" i="7"/>
  <c r="Q2272" i="7"/>
  <c r="P2272" i="7"/>
  <c r="O2272" i="7"/>
  <c r="U2271" i="7"/>
  <c r="T2271" i="7"/>
  <c r="S2271" i="7"/>
  <c r="R2271" i="7"/>
  <c r="Q2271" i="7"/>
  <c r="P2271" i="7"/>
  <c r="O2271" i="7"/>
  <c r="U2270" i="7"/>
  <c r="T2270" i="7"/>
  <c r="S2270" i="7"/>
  <c r="R2270" i="7"/>
  <c r="Q2270" i="7"/>
  <c r="P2270" i="7"/>
  <c r="O2270" i="7"/>
  <c r="U2269" i="7"/>
  <c r="T2269" i="7"/>
  <c r="S2269" i="7"/>
  <c r="R2269" i="7"/>
  <c r="Q2269" i="7"/>
  <c r="P2269" i="7"/>
  <c r="O2269" i="7"/>
  <c r="U2268" i="7"/>
  <c r="T2268" i="7"/>
  <c r="S2268" i="7"/>
  <c r="R2268" i="7"/>
  <c r="Q2268" i="7"/>
  <c r="P2268" i="7"/>
  <c r="O2268" i="7"/>
  <c r="U2267" i="7"/>
  <c r="T2267" i="7"/>
  <c r="S2267" i="7"/>
  <c r="R2267" i="7"/>
  <c r="Q2267" i="7"/>
  <c r="P2267" i="7"/>
  <c r="O2267" i="7"/>
  <c r="U2266" i="7"/>
  <c r="T2266" i="7"/>
  <c r="S2266" i="7"/>
  <c r="R2266" i="7"/>
  <c r="Q2266" i="7"/>
  <c r="P2266" i="7"/>
  <c r="O2266" i="7"/>
  <c r="U2265" i="7"/>
  <c r="T2265" i="7"/>
  <c r="S2265" i="7"/>
  <c r="R2265" i="7"/>
  <c r="Q2265" i="7"/>
  <c r="P2265" i="7"/>
  <c r="O2265" i="7"/>
  <c r="U2264" i="7"/>
  <c r="T2264" i="7"/>
  <c r="S2264" i="7"/>
  <c r="R2264" i="7"/>
  <c r="Q2264" i="7"/>
  <c r="P2264" i="7"/>
  <c r="O2264" i="7"/>
  <c r="U2263" i="7"/>
  <c r="T2263" i="7"/>
  <c r="S2263" i="7"/>
  <c r="R2263" i="7"/>
  <c r="Q2263" i="7"/>
  <c r="P2263" i="7"/>
  <c r="O2263" i="7"/>
  <c r="U2262" i="7"/>
  <c r="T2262" i="7"/>
  <c r="S2262" i="7"/>
  <c r="R2262" i="7"/>
  <c r="Q2262" i="7"/>
  <c r="P2262" i="7"/>
  <c r="O2262" i="7"/>
  <c r="U2261" i="7"/>
  <c r="T2261" i="7"/>
  <c r="S2261" i="7"/>
  <c r="R2261" i="7"/>
  <c r="Q2261" i="7"/>
  <c r="P2261" i="7"/>
  <c r="O2261" i="7"/>
  <c r="U2260" i="7"/>
  <c r="T2260" i="7"/>
  <c r="S2260" i="7"/>
  <c r="R2260" i="7"/>
  <c r="Q2260" i="7"/>
  <c r="P2260" i="7"/>
  <c r="O2260" i="7"/>
  <c r="U2259" i="7"/>
  <c r="T2259" i="7"/>
  <c r="S2259" i="7"/>
  <c r="R2259" i="7"/>
  <c r="Q2259" i="7"/>
  <c r="P2259" i="7"/>
  <c r="O2259" i="7"/>
  <c r="U2258" i="7"/>
  <c r="T2258" i="7"/>
  <c r="S2258" i="7"/>
  <c r="R2258" i="7"/>
  <c r="Q2258" i="7"/>
  <c r="P2258" i="7"/>
  <c r="O2258" i="7"/>
  <c r="U2257" i="7"/>
  <c r="T2257" i="7"/>
  <c r="S2257" i="7"/>
  <c r="R2257" i="7"/>
  <c r="Q2257" i="7"/>
  <c r="P2257" i="7"/>
  <c r="O2257" i="7"/>
  <c r="U2256" i="7"/>
  <c r="T2256" i="7"/>
  <c r="S2256" i="7"/>
  <c r="R2256" i="7"/>
  <c r="Q2256" i="7"/>
  <c r="P2256" i="7"/>
  <c r="O2256" i="7"/>
  <c r="U2255" i="7"/>
  <c r="T2255" i="7"/>
  <c r="S2255" i="7"/>
  <c r="R2255" i="7"/>
  <c r="Q2255" i="7"/>
  <c r="P2255" i="7"/>
  <c r="O2255" i="7"/>
  <c r="U2254" i="7"/>
  <c r="T2254" i="7"/>
  <c r="S2254" i="7"/>
  <c r="R2254" i="7"/>
  <c r="Q2254" i="7"/>
  <c r="P2254" i="7"/>
  <c r="O2254" i="7"/>
  <c r="U2253" i="7"/>
  <c r="T2253" i="7"/>
  <c r="S2253" i="7"/>
  <c r="R2253" i="7"/>
  <c r="Q2253" i="7"/>
  <c r="P2253" i="7"/>
  <c r="O2253" i="7"/>
  <c r="U2252" i="7"/>
  <c r="T2252" i="7"/>
  <c r="S2252" i="7"/>
  <c r="R2252" i="7"/>
  <c r="Q2252" i="7"/>
  <c r="P2252" i="7"/>
  <c r="O2252" i="7"/>
  <c r="U2251" i="7"/>
  <c r="T2251" i="7"/>
  <c r="S2251" i="7"/>
  <c r="R2251" i="7"/>
  <c r="Q2251" i="7"/>
  <c r="P2251" i="7"/>
  <c r="O2251" i="7"/>
  <c r="U2250" i="7"/>
  <c r="T2250" i="7"/>
  <c r="S2250" i="7"/>
  <c r="R2250" i="7"/>
  <c r="Q2250" i="7"/>
  <c r="P2250" i="7"/>
  <c r="O2250" i="7"/>
  <c r="U2249" i="7"/>
  <c r="T2249" i="7"/>
  <c r="S2249" i="7"/>
  <c r="R2249" i="7"/>
  <c r="Q2249" i="7"/>
  <c r="P2249" i="7"/>
  <c r="O2249" i="7"/>
  <c r="U2248" i="7"/>
  <c r="T2248" i="7"/>
  <c r="S2248" i="7"/>
  <c r="R2248" i="7"/>
  <c r="Q2248" i="7"/>
  <c r="P2248" i="7"/>
  <c r="O2248" i="7"/>
  <c r="U2247" i="7"/>
  <c r="T2247" i="7"/>
  <c r="S2247" i="7"/>
  <c r="R2247" i="7"/>
  <c r="Q2247" i="7"/>
  <c r="P2247" i="7"/>
  <c r="O2247" i="7"/>
  <c r="U2246" i="7"/>
  <c r="T2246" i="7"/>
  <c r="S2246" i="7"/>
  <c r="R2246" i="7"/>
  <c r="Q2246" i="7"/>
  <c r="P2246" i="7"/>
  <c r="O2246" i="7"/>
  <c r="U2245" i="7"/>
  <c r="T2245" i="7"/>
  <c r="S2245" i="7"/>
  <c r="R2245" i="7"/>
  <c r="Q2245" i="7"/>
  <c r="P2245" i="7"/>
  <c r="O2245" i="7"/>
  <c r="U2244" i="7"/>
  <c r="T2244" i="7"/>
  <c r="S2244" i="7"/>
  <c r="R2244" i="7"/>
  <c r="Q2244" i="7"/>
  <c r="P2244" i="7"/>
  <c r="O2244" i="7"/>
  <c r="U2243" i="7"/>
  <c r="T2243" i="7"/>
  <c r="S2243" i="7"/>
  <c r="R2243" i="7"/>
  <c r="Q2243" i="7"/>
  <c r="P2243" i="7"/>
  <c r="O2243" i="7"/>
  <c r="U2242" i="7"/>
  <c r="T2242" i="7"/>
  <c r="S2242" i="7"/>
  <c r="R2242" i="7"/>
  <c r="Q2242" i="7"/>
  <c r="P2242" i="7"/>
  <c r="O2242" i="7"/>
  <c r="U2241" i="7"/>
  <c r="T2241" i="7"/>
  <c r="S2241" i="7"/>
  <c r="R2241" i="7"/>
  <c r="Q2241" i="7"/>
  <c r="P2241" i="7"/>
  <c r="O2241" i="7"/>
  <c r="U2240" i="7"/>
  <c r="T2240" i="7"/>
  <c r="S2240" i="7"/>
  <c r="R2240" i="7"/>
  <c r="Q2240" i="7"/>
  <c r="P2240" i="7"/>
  <c r="O2240" i="7"/>
  <c r="U2239" i="7"/>
  <c r="T2239" i="7"/>
  <c r="S2239" i="7"/>
  <c r="R2239" i="7"/>
  <c r="Q2239" i="7"/>
  <c r="P2239" i="7"/>
  <c r="O2239" i="7"/>
  <c r="U2238" i="7"/>
  <c r="T2238" i="7"/>
  <c r="S2238" i="7"/>
  <c r="R2238" i="7"/>
  <c r="Q2238" i="7"/>
  <c r="P2238" i="7"/>
  <c r="O2238" i="7"/>
  <c r="U2237" i="7"/>
  <c r="T2237" i="7"/>
  <c r="S2237" i="7"/>
  <c r="R2237" i="7"/>
  <c r="Q2237" i="7"/>
  <c r="P2237" i="7"/>
  <c r="O2237" i="7"/>
  <c r="U2236" i="7"/>
  <c r="T2236" i="7"/>
  <c r="S2236" i="7"/>
  <c r="R2236" i="7"/>
  <c r="Q2236" i="7"/>
  <c r="P2236" i="7"/>
  <c r="O2236" i="7"/>
  <c r="U2235" i="7"/>
  <c r="T2235" i="7"/>
  <c r="S2235" i="7"/>
  <c r="R2235" i="7"/>
  <c r="Q2235" i="7"/>
  <c r="P2235" i="7"/>
  <c r="O2235" i="7"/>
  <c r="U2234" i="7"/>
  <c r="T2234" i="7"/>
  <c r="S2234" i="7"/>
  <c r="R2234" i="7"/>
  <c r="Q2234" i="7"/>
  <c r="P2234" i="7"/>
  <c r="O2234" i="7"/>
  <c r="U2233" i="7"/>
  <c r="T2233" i="7"/>
  <c r="S2233" i="7"/>
  <c r="R2233" i="7"/>
  <c r="Q2233" i="7"/>
  <c r="P2233" i="7"/>
  <c r="O2233" i="7"/>
  <c r="U2232" i="7"/>
  <c r="T2232" i="7"/>
  <c r="S2232" i="7"/>
  <c r="R2232" i="7"/>
  <c r="Q2232" i="7"/>
  <c r="P2232" i="7"/>
  <c r="O2232" i="7"/>
  <c r="U2231" i="7"/>
  <c r="T2231" i="7"/>
  <c r="S2231" i="7"/>
  <c r="R2231" i="7"/>
  <c r="Q2231" i="7"/>
  <c r="P2231" i="7"/>
  <c r="O2231" i="7"/>
  <c r="U2230" i="7"/>
  <c r="T2230" i="7"/>
  <c r="S2230" i="7"/>
  <c r="R2230" i="7"/>
  <c r="Q2230" i="7"/>
  <c r="P2230" i="7"/>
  <c r="O2230" i="7"/>
  <c r="U2229" i="7"/>
  <c r="T2229" i="7"/>
  <c r="S2229" i="7"/>
  <c r="R2229" i="7"/>
  <c r="Q2229" i="7"/>
  <c r="P2229" i="7"/>
  <c r="O2229" i="7"/>
  <c r="U2228" i="7"/>
  <c r="T2228" i="7"/>
  <c r="S2228" i="7"/>
  <c r="R2228" i="7"/>
  <c r="Q2228" i="7"/>
  <c r="P2228" i="7"/>
  <c r="O2228" i="7"/>
  <c r="U2227" i="7"/>
  <c r="T2227" i="7"/>
  <c r="S2227" i="7"/>
  <c r="R2227" i="7"/>
  <c r="Q2227" i="7"/>
  <c r="P2227" i="7"/>
  <c r="O2227" i="7"/>
  <c r="U2226" i="7"/>
  <c r="T2226" i="7"/>
  <c r="S2226" i="7"/>
  <c r="R2226" i="7"/>
  <c r="Q2226" i="7"/>
  <c r="P2226" i="7"/>
  <c r="O2226" i="7"/>
  <c r="U2225" i="7"/>
  <c r="T2225" i="7"/>
  <c r="S2225" i="7"/>
  <c r="R2225" i="7"/>
  <c r="Q2225" i="7"/>
  <c r="P2225" i="7"/>
  <c r="O2225" i="7"/>
  <c r="U2224" i="7"/>
  <c r="T2224" i="7"/>
  <c r="S2224" i="7"/>
  <c r="R2224" i="7"/>
  <c r="Q2224" i="7"/>
  <c r="P2224" i="7"/>
  <c r="O2224" i="7"/>
  <c r="U2223" i="7"/>
  <c r="T2223" i="7"/>
  <c r="S2223" i="7"/>
  <c r="R2223" i="7"/>
  <c r="Q2223" i="7"/>
  <c r="P2223" i="7"/>
  <c r="O2223" i="7"/>
  <c r="U2222" i="7"/>
  <c r="T2222" i="7"/>
  <c r="S2222" i="7"/>
  <c r="R2222" i="7"/>
  <c r="Q2222" i="7"/>
  <c r="P2222" i="7"/>
  <c r="O2222" i="7"/>
  <c r="U2221" i="7"/>
  <c r="T2221" i="7"/>
  <c r="S2221" i="7"/>
  <c r="R2221" i="7"/>
  <c r="Q2221" i="7"/>
  <c r="P2221" i="7"/>
  <c r="O2221" i="7"/>
  <c r="U2220" i="7"/>
  <c r="T2220" i="7"/>
  <c r="S2220" i="7"/>
  <c r="R2220" i="7"/>
  <c r="Q2220" i="7"/>
  <c r="P2220" i="7"/>
  <c r="O2220" i="7"/>
  <c r="U2219" i="7"/>
  <c r="T2219" i="7"/>
  <c r="S2219" i="7"/>
  <c r="R2219" i="7"/>
  <c r="Q2219" i="7"/>
  <c r="P2219" i="7"/>
  <c r="O2219" i="7"/>
  <c r="U2218" i="7"/>
  <c r="T2218" i="7"/>
  <c r="S2218" i="7"/>
  <c r="R2218" i="7"/>
  <c r="Q2218" i="7"/>
  <c r="P2218" i="7"/>
  <c r="O2218" i="7"/>
  <c r="U2217" i="7"/>
  <c r="T2217" i="7"/>
  <c r="S2217" i="7"/>
  <c r="R2217" i="7"/>
  <c r="Q2217" i="7"/>
  <c r="P2217" i="7"/>
  <c r="O2217" i="7"/>
  <c r="U2216" i="7"/>
  <c r="T2216" i="7"/>
  <c r="S2216" i="7"/>
  <c r="R2216" i="7"/>
  <c r="Q2216" i="7"/>
  <c r="P2216" i="7"/>
  <c r="O2216" i="7"/>
  <c r="U2215" i="7"/>
  <c r="T2215" i="7"/>
  <c r="S2215" i="7"/>
  <c r="R2215" i="7"/>
  <c r="Q2215" i="7"/>
  <c r="P2215" i="7"/>
  <c r="O2215" i="7"/>
  <c r="U2214" i="7"/>
  <c r="T2214" i="7"/>
  <c r="S2214" i="7"/>
  <c r="R2214" i="7"/>
  <c r="Q2214" i="7"/>
  <c r="P2214" i="7"/>
  <c r="O2214" i="7"/>
  <c r="U2213" i="7"/>
  <c r="T2213" i="7"/>
  <c r="S2213" i="7"/>
  <c r="R2213" i="7"/>
  <c r="Q2213" i="7"/>
  <c r="P2213" i="7"/>
  <c r="O2213" i="7"/>
  <c r="U2212" i="7"/>
  <c r="T2212" i="7"/>
  <c r="S2212" i="7"/>
  <c r="R2212" i="7"/>
  <c r="Q2212" i="7"/>
  <c r="P2212" i="7"/>
  <c r="O2212" i="7"/>
  <c r="U2211" i="7"/>
  <c r="T2211" i="7"/>
  <c r="S2211" i="7"/>
  <c r="R2211" i="7"/>
  <c r="Q2211" i="7"/>
  <c r="P2211" i="7"/>
  <c r="O2211" i="7"/>
  <c r="U2210" i="7"/>
  <c r="T2210" i="7"/>
  <c r="S2210" i="7"/>
  <c r="R2210" i="7"/>
  <c r="Q2210" i="7"/>
  <c r="P2210" i="7"/>
  <c r="O2210" i="7"/>
  <c r="U2209" i="7"/>
  <c r="T2209" i="7"/>
  <c r="S2209" i="7"/>
  <c r="R2209" i="7"/>
  <c r="Q2209" i="7"/>
  <c r="P2209" i="7"/>
  <c r="O2209" i="7"/>
  <c r="U2208" i="7"/>
  <c r="T2208" i="7"/>
  <c r="S2208" i="7"/>
  <c r="R2208" i="7"/>
  <c r="Q2208" i="7"/>
  <c r="P2208" i="7"/>
  <c r="O2208" i="7"/>
  <c r="U2207" i="7"/>
  <c r="T2207" i="7"/>
  <c r="S2207" i="7"/>
  <c r="R2207" i="7"/>
  <c r="Q2207" i="7"/>
  <c r="P2207" i="7"/>
  <c r="O2207" i="7"/>
  <c r="U2206" i="7"/>
  <c r="T2206" i="7"/>
  <c r="S2206" i="7"/>
  <c r="R2206" i="7"/>
  <c r="Q2206" i="7"/>
  <c r="P2206" i="7"/>
  <c r="O2206" i="7"/>
  <c r="U2205" i="7"/>
  <c r="T2205" i="7"/>
  <c r="S2205" i="7"/>
  <c r="R2205" i="7"/>
  <c r="Q2205" i="7"/>
  <c r="P2205" i="7"/>
  <c r="O2205" i="7"/>
  <c r="U2204" i="7"/>
  <c r="T2204" i="7"/>
  <c r="S2204" i="7"/>
  <c r="R2204" i="7"/>
  <c r="Q2204" i="7"/>
  <c r="P2204" i="7"/>
  <c r="O2204" i="7"/>
  <c r="U2203" i="7"/>
  <c r="T2203" i="7"/>
  <c r="S2203" i="7"/>
  <c r="R2203" i="7"/>
  <c r="Q2203" i="7"/>
  <c r="P2203" i="7"/>
  <c r="O2203" i="7"/>
  <c r="U2202" i="7"/>
  <c r="T2202" i="7"/>
  <c r="S2202" i="7"/>
  <c r="R2202" i="7"/>
  <c r="Q2202" i="7"/>
  <c r="P2202" i="7"/>
  <c r="O2202" i="7"/>
  <c r="U2201" i="7"/>
  <c r="T2201" i="7"/>
  <c r="S2201" i="7"/>
  <c r="R2201" i="7"/>
  <c r="Q2201" i="7"/>
  <c r="P2201" i="7"/>
  <c r="O2201" i="7"/>
  <c r="U2200" i="7"/>
  <c r="T2200" i="7"/>
  <c r="S2200" i="7"/>
  <c r="R2200" i="7"/>
  <c r="Q2200" i="7"/>
  <c r="P2200" i="7"/>
  <c r="O2200" i="7"/>
  <c r="U2199" i="7"/>
  <c r="T2199" i="7"/>
  <c r="S2199" i="7"/>
  <c r="R2199" i="7"/>
  <c r="Q2199" i="7"/>
  <c r="P2199" i="7"/>
  <c r="O2199" i="7"/>
  <c r="U2198" i="7"/>
  <c r="T2198" i="7"/>
  <c r="S2198" i="7"/>
  <c r="R2198" i="7"/>
  <c r="Q2198" i="7"/>
  <c r="P2198" i="7"/>
  <c r="O2198" i="7"/>
  <c r="U2197" i="7"/>
  <c r="T2197" i="7"/>
  <c r="S2197" i="7"/>
  <c r="R2197" i="7"/>
  <c r="Q2197" i="7"/>
  <c r="P2197" i="7"/>
  <c r="O2197" i="7"/>
  <c r="U2196" i="7"/>
  <c r="T2196" i="7"/>
  <c r="S2196" i="7"/>
  <c r="R2196" i="7"/>
  <c r="Q2196" i="7"/>
  <c r="P2196" i="7"/>
  <c r="O2196" i="7"/>
  <c r="U2195" i="7"/>
  <c r="T2195" i="7"/>
  <c r="S2195" i="7"/>
  <c r="R2195" i="7"/>
  <c r="Q2195" i="7"/>
  <c r="P2195" i="7"/>
  <c r="O2195" i="7"/>
  <c r="U2194" i="7"/>
  <c r="T2194" i="7"/>
  <c r="S2194" i="7"/>
  <c r="R2194" i="7"/>
  <c r="Q2194" i="7"/>
  <c r="P2194" i="7"/>
  <c r="O2194" i="7"/>
  <c r="U2193" i="7"/>
  <c r="T2193" i="7"/>
  <c r="S2193" i="7"/>
  <c r="R2193" i="7"/>
  <c r="Q2193" i="7"/>
  <c r="P2193" i="7"/>
  <c r="O2193" i="7"/>
  <c r="U2192" i="7"/>
  <c r="T2192" i="7"/>
  <c r="S2192" i="7"/>
  <c r="R2192" i="7"/>
  <c r="Q2192" i="7"/>
  <c r="P2192" i="7"/>
  <c r="O2192" i="7"/>
  <c r="U2191" i="7"/>
  <c r="T2191" i="7"/>
  <c r="S2191" i="7"/>
  <c r="R2191" i="7"/>
  <c r="Q2191" i="7"/>
  <c r="P2191" i="7"/>
  <c r="O2191" i="7"/>
  <c r="U2190" i="7"/>
  <c r="T2190" i="7"/>
  <c r="S2190" i="7"/>
  <c r="R2190" i="7"/>
  <c r="Q2190" i="7"/>
  <c r="P2190" i="7"/>
  <c r="O2190" i="7"/>
  <c r="U2189" i="7"/>
  <c r="T2189" i="7"/>
  <c r="S2189" i="7"/>
  <c r="R2189" i="7"/>
  <c r="Q2189" i="7"/>
  <c r="P2189" i="7"/>
  <c r="O2189" i="7"/>
  <c r="U2188" i="7"/>
  <c r="T2188" i="7"/>
  <c r="S2188" i="7"/>
  <c r="R2188" i="7"/>
  <c r="Q2188" i="7"/>
  <c r="P2188" i="7"/>
  <c r="O2188" i="7"/>
  <c r="U2187" i="7"/>
  <c r="T2187" i="7"/>
  <c r="S2187" i="7"/>
  <c r="R2187" i="7"/>
  <c r="Q2187" i="7"/>
  <c r="P2187" i="7"/>
  <c r="O2187" i="7"/>
  <c r="U2186" i="7"/>
  <c r="T2186" i="7"/>
  <c r="S2186" i="7"/>
  <c r="R2186" i="7"/>
  <c r="Q2186" i="7"/>
  <c r="P2186" i="7"/>
  <c r="O2186" i="7"/>
  <c r="U2185" i="7"/>
  <c r="T2185" i="7"/>
  <c r="S2185" i="7"/>
  <c r="R2185" i="7"/>
  <c r="Q2185" i="7"/>
  <c r="P2185" i="7"/>
  <c r="O2185" i="7"/>
  <c r="U2184" i="7"/>
  <c r="T2184" i="7"/>
  <c r="S2184" i="7"/>
  <c r="R2184" i="7"/>
  <c r="Q2184" i="7"/>
  <c r="P2184" i="7"/>
  <c r="O2184" i="7"/>
  <c r="U2183" i="7"/>
  <c r="T2183" i="7"/>
  <c r="S2183" i="7"/>
  <c r="R2183" i="7"/>
  <c r="Q2183" i="7"/>
  <c r="P2183" i="7"/>
  <c r="O2183" i="7"/>
  <c r="U2182" i="7"/>
  <c r="T2182" i="7"/>
  <c r="S2182" i="7"/>
  <c r="R2182" i="7"/>
  <c r="Q2182" i="7"/>
  <c r="P2182" i="7"/>
  <c r="O2182" i="7"/>
  <c r="U2181" i="7"/>
  <c r="T2181" i="7"/>
  <c r="S2181" i="7"/>
  <c r="R2181" i="7"/>
  <c r="Q2181" i="7"/>
  <c r="P2181" i="7"/>
  <c r="O2181" i="7"/>
  <c r="U2180" i="7"/>
  <c r="T2180" i="7"/>
  <c r="S2180" i="7"/>
  <c r="R2180" i="7"/>
  <c r="Q2180" i="7"/>
  <c r="P2180" i="7"/>
  <c r="O2180" i="7"/>
  <c r="U2179" i="7"/>
  <c r="T2179" i="7"/>
  <c r="S2179" i="7"/>
  <c r="R2179" i="7"/>
  <c r="Q2179" i="7"/>
  <c r="P2179" i="7"/>
  <c r="O2179" i="7"/>
  <c r="U2178" i="7"/>
  <c r="T2178" i="7"/>
  <c r="S2178" i="7"/>
  <c r="R2178" i="7"/>
  <c r="Q2178" i="7"/>
  <c r="P2178" i="7"/>
  <c r="O2178" i="7"/>
  <c r="U2177" i="7"/>
  <c r="T2177" i="7"/>
  <c r="S2177" i="7"/>
  <c r="R2177" i="7"/>
  <c r="Q2177" i="7"/>
  <c r="P2177" i="7"/>
  <c r="O2177" i="7"/>
  <c r="U2176" i="7"/>
  <c r="T2176" i="7"/>
  <c r="S2176" i="7"/>
  <c r="R2176" i="7"/>
  <c r="Q2176" i="7"/>
  <c r="P2176" i="7"/>
  <c r="O2176" i="7"/>
  <c r="U2175" i="7"/>
  <c r="T2175" i="7"/>
  <c r="S2175" i="7"/>
  <c r="R2175" i="7"/>
  <c r="Q2175" i="7"/>
  <c r="P2175" i="7"/>
  <c r="O2175" i="7"/>
  <c r="U2174" i="7"/>
  <c r="T2174" i="7"/>
  <c r="S2174" i="7"/>
  <c r="R2174" i="7"/>
  <c r="Q2174" i="7"/>
  <c r="P2174" i="7"/>
  <c r="O2174" i="7"/>
  <c r="U2173" i="7"/>
  <c r="T2173" i="7"/>
  <c r="S2173" i="7"/>
  <c r="R2173" i="7"/>
  <c r="Q2173" i="7"/>
  <c r="P2173" i="7"/>
  <c r="O2173" i="7"/>
  <c r="U2172" i="7"/>
  <c r="T2172" i="7"/>
  <c r="S2172" i="7"/>
  <c r="R2172" i="7"/>
  <c r="Q2172" i="7"/>
  <c r="P2172" i="7"/>
  <c r="O2172" i="7"/>
  <c r="U2171" i="7"/>
  <c r="T2171" i="7"/>
  <c r="S2171" i="7"/>
  <c r="R2171" i="7"/>
  <c r="Q2171" i="7"/>
  <c r="P2171" i="7"/>
  <c r="O2171" i="7"/>
  <c r="U2170" i="7"/>
  <c r="T2170" i="7"/>
  <c r="S2170" i="7"/>
  <c r="R2170" i="7"/>
  <c r="Q2170" i="7"/>
  <c r="P2170" i="7"/>
  <c r="O2170" i="7"/>
  <c r="U2169" i="7"/>
  <c r="T2169" i="7"/>
  <c r="S2169" i="7"/>
  <c r="R2169" i="7"/>
  <c r="Q2169" i="7"/>
  <c r="P2169" i="7"/>
  <c r="O2169" i="7"/>
  <c r="U2168" i="7"/>
  <c r="T2168" i="7"/>
  <c r="S2168" i="7"/>
  <c r="R2168" i="7"/>
  <c r="Q2168" i="7"/>
  <c r="P2168" i="7"/>
  <c r="O2168" i="7"/>
  <c r="U2167" i="7"/>
  <c r="T2167" i="7"/>
  <c r="S2167" i="7"/>
  <c r="R2167" i="7"/>
  <c r="Q2167" i="7"/>
  <c r="P2167" i="7"/>
  <c r="O2167" i="7"/>
  <c r="U2166" i="7"/>
  <c r="T2166" i="7"/>
  <c r="S2166" i="7"/>
  <c r="R2166" i="7"/>
  <c r="Q2166" i="7"/>
  <c r="P2166" i="7"/>
  <c r="O2166" i="7"/>
  <c r="U2165" i="7"/>
  <c r="T2165" i="7"/>
  <c r="S2165" i="7"/>
  <c r="R2165" i="7"/>
  <c r="Q2165" i="7"/>
  <c r="P2165" i="7"/>
  <c r="O2165" i="7"/>
  <c r="U2164" i="7"/>
  <c r="T2164" i="7"/>
  <c r="S2164" i="7"/>
  <c r="R2164" i="7"/>
  <c r="Q2164" i="7"/>
  <c r="P2164" i="7"/>
  <c r="O2164" i="7"/>
  <c r="U2163" i="7"/>
  <c r="T2163" i="7"/>
  <c r="S2163" i="7"/>
  <c r="R2163" i="7"/>
  <c r="Q2163" i="7"/>
  <c r="P2163" i="7"/>
  <c r="O2163" i="7"/>
  <c r="U2162" i="7"/>
  <c r="T2162" i="7"/>
  <c r="S2162" i="7"/>
  <c r="R2162" i="7"/>
  <c r="Q2162" i="7"/>
  <c r="P2162" i="7"/>
  <c r="O2162" i="7"/>
  <c r="U2161" i="7"/>
  <c r="T2161" i="7"/>
  <c r="S2161" i="7"/>
  <c r="R2161" i="7"/>
  <c r="Q2161" i="7"/>
  <c r="P2161" i="7"/>
  <c r="O2161" i="7"/>
  <c r="U2160" i="7"/>
  <c r="T2160" i="7"/>
  <c r="S2160" i="7"/>
  <c r="R2160" i="7"/>
  <c r="Q2160" i="7"/>
  <c r="P2160" i="7"/>
  <c r="O2160" i="7"/>
  <c r="U2159" i="7"/>
  <c r="T2159" i="7"/>
  <c r="S2159" i="7"/>
  <c r="R2159" i="7"/>
  <c r="Q2159" i="7"/>
  <c r="P2159" i="7"/>
  <c r="O2159" i="7"/>
  <c r="U2158" i="7"/>
  <c r="T2158" i="7"/>
  <c r="S2158" i="7"/>
  <c r="R2158" i="7"/>
  <c r="Q2158" i="7"/>
  <c r="P2158" i="7"/>
  <c r="O2158" i="7"/>
  <c r="U2157" i="7"/>
  <c r="T2157" i="7"/>
  <c r="S2157" i="7"/>
  <c r="R2157" i="7"/>
  <c r="Q2157" i="7"/>
  <c r="P2157" i="7"/>
  <c r="O2157" i="7"/>
  <c r="U2156" i="7"/>
  <c r="T2156" i="7"/>
  <c r="S2156" i="7"/>
  <c r="R2156" i="7"/>
  <c r="Q2156" i="7"/>
  <c r="P2156" i="7"/>
  <c r="O2156" i="7"/>
  <c r="U2155" i="7"/>
  <c r="T2155" i="7"/>
  <c r="S2155" i="7"/>
  <c r="R2155" i="7"/>
  <c r="Q2155" i="7"/>
  <c r="P2155" i="7"/>
  <c r="O2155" i="7"/>
  <c r="U2154" i="7"/>
  <c r="T2154" i="7"/>
  <c r="S2154" i="7"/>
  <c r="R2154" i="7"/>
  <c r="Q2154" i="7"/>
  <c r="P2154" i="7"/>
  <c r="O2154" i="7"/>
  <c r="U2153" i="7"/>
  <c r="T2153" i="7"/>
  <c r="S2153" i="7"/>
  <c r="R2153" i="7"/>
  <c r="Q2153" i="7"/>
  <c r="P2153" i="7"/>
  <c r="O2153" i="7"/>
  <c r="U2152" i="7"/>
  <c r="T2152" i="7"/>
  <c r="S2152" i="7"/>
  <c r="R2152" i="7"/>
  <c r="Q2152" i="7"/>
  <c r="P2152" i="7"/>
  <c r="O2152" i="7"/>
  <c r="U2151" i="7"/>
  <c r="T2151" i="7"/>
  <c r="S2151" i="7"/>
  <c r="R2151" i="7"/>
  <c r="Q2151" i="7"/>
  <c r="P2151" i="7"/>
  <c r="O2151" i="7"/>
  <c r="U2150" i="7"/>
  <c r="T2150" i="7"/>
  <c r="S2150" i="7"/>
  <c r="R2150" i="7"/>
  <c r="Q2150" i="7"/>
  <c r="P2150" i="7"/>
  <c r="O2150" i="7"/>
  <c r="U2149" i="7"/>
  <c r="T2149" i="7"/>
  <c r="S2149" i="7"/>
  <c r="R2149" i="7"/>
  <c r="Q2149" i="7"/>
  <c r="P2149" i="7"/>
  <c r="O2149" i="7"/>
  <c r="U2148" i="7"/>
  <c r="T2148" i="7"/>
  <c r="S2148" i="7"/>
  <c r="R2148" i="7"/>
  <c r="Q2148" i="7"/>
  <c r="P2148" i="7"/>
  <c r="O2148" i="7"/>
  <c r="U2147" i="7"/>
  <c r="T2147" i="7"/>
  <c r="S2147" i="7"/>
  <c r="R2147" i="7"/>
  <c r="Q2147" i="7"/>
  <c r="P2147" i="7"/>
  <c r="O2147" i="7"/>
  <c r="U2146" i="7"/>
  <c r="T2146" i="7"/>
  <c r="S2146" i="7"/>
  <c r="R2146" i="7"/>
  <c r="Q2146" i="7"/>
  <c r="P2146" i="7"/>
  <c r="O2146" i="7"/>
  <c r="U2145" i="7"/>
  <c r="T2145" i="7"/>
  <c r="S2145" i="7"/>
  <c r="R2145" i="7"/>
  <c r="Q2145" i="7"/>
  <c r="P2145" i="7"/>
  <c r="O2145" i="7"/>
  <c r="U2144" i="7"/>
  <c r="T2144" i="7"/>
  <c r="S2144" i="7"/>
  <c r="R2144" i="7"/>
  <c r="Q2144" i="7"/>
  <c r="P2144" i="7"/>
  <c r="O2144" i="7"/>
  <c r="U2143" i="7"/>
  <c r="T2143" i="7"/>
  <c r="S2143" i="7"/>
  <c r="R2143" i="7"/>
  <c r="Q2143" i="7"/>
  <c r="P2143" i="7"/>
  <c r="O2143" i="7"/>
  <c r="U2142" i="7"/>
  <c r="T2142" i="7"/>
  <c r="S2142" i="7"/>
  <c r="R2142" i="7"/>
  <c r="Q2142" i="7"/>
  <c r="P2142" i="7"/>
  <c r="O2142" i="7"/>
  <c r="U2141" i="7"/>
  <c r="T2141" i="7"/>
  <c r="S2141" i="7"/>
  <c r="R2141" i="7"/>
  <c r="Q2141" i="7"/>
  <c r="P2141" i="7"/>
  <c r="O2141" i="7"/>
  <c r="U2140" i="7"/>
  <c r="T2140" i="7"/>
  <c r="S2140" i="7"/>
  <c r="R2140" i="7"/>
  <c r="Q2140" i="7"/>
  <c r="P2140" i="7"/>
  <c r="O2140" i="7"/>
  <c r="U2139" i="7"/>
  <c r="T2139" i="7"/>
  <c r="S2139" i="7"/>
  <c r="R2139" i="7"/>
  <c r="Q2139" i="7"/>
  <c r="P2139" i="7"/>
  <c r="O2139" i="7"/>
  <c r="U2138" i="7"/>
  <c r="T2138" i="7"/>
  <c r="S2138" i="7"/>
  <c r="R2138" i="7"/>
  <c r="Q2138" i="7"/>
  <c r="P2138" i="7"/>
  <c r="O2138" i="7"/>
  <c r="U2137" i="7"/>
  <c r="T2137" i="7"/>
  <c r="S2137" i="7"/>
  <c r="R2137" i="7"/>
  <c r="Q2137" i="7"/>
  <c r="P2137" i="7"/>
  <c r="O2137" i="7"/>
  <c r="U2136" i="7"/>
  <c r="T2136" i="7"/>
  <c r="S2136" i="7"/>
  <c r="R2136" i="7"/>
  <c r="Q2136" i="7"/>
  <c r="P2136" i="7"/>
  <c r="O2136" i="7"/>
  <c r="U2135" i="7"/>
  <c r="T2135" i="7"/>
  <c r="S2135" i="7"/>
  <c r="R2135" i="7"/>
  <c r="Q2135" i="7"/>
  <c r="P2135" i="7"/>
  <c r="O2135" i="7"/>
  <c r="U2134" i="7"/>
  <c r="T2134" i="7"/>
  <c r="S2134" i="7"/>
  <c r="R2134" i="7"/>
  <c r="Q2134" i="7"/>
  <c r="P2134" i="7"/>
  <c r="O2134" i="7"/>
  <c r="U2133" i="7"/>
  <c r="T2133" i="7"/>
  <c r="S2133" i="7"/>
  <c r="R2133" i="7"/>
  <c r="Q2133" i="7"/>
  <c r="P2133" i="7"/>
  <c r="O2133" i="7"/>
  <c r="U2132" i="7"/>
  <c r="T2132" i="7"/>
  <c r="S2132" i="7"/>
  <c r="R2132" i="7"/>
  <c r="Q2132" i="7"/>
  <c r="P2132" i="7"/>
  <c r="O2132" i="7"/>
  <c r="U2131" i="7"/>
  <c r="T2131" i="7"/>
  <c r="S2131" i="7"/>
  <c r="R2131" i="7"/>
  <c r="Q2131" i="7"/>
  <c r="P2131" i="7"/>
  <c r="O2131" i="7"/>
  <c r="U2130" i="7"/>
  <c r="T2130" i="7"/>
  <c r="S2130" i="7"/>
  <c r="R2130" i="7"/>
  <c r="Q2130" i="7"/>
  <c r="P2130" i="7"/>
  <c r="O2130" i="7"/>
  <c r="U2129" i="7"/>
  <c r="T2129" i="7"/>
  <c r="S2129" i="7"/>
  <c r="R2129" i="7"/>
  <c r="Q2129" i="7"/>
  <c r="P2129" i="7"/>
  <c r="O2129" i="7"/>
  <c r="U2128" i="7"/>
  <c r="T2128" i="7"/>
  <c r="S2128" i="7"/>
  <c r="R2128" i="7"/>
  <c r="Q2128" i="7"/>
  <c r="P2128" i="7"/>
  <c r="O2128" i="7"/>
  <c r="U2127" i="7"/>
  <c r="T2127" i="7"/>
  <c r="S2127" i="7"/>
  <c r="R2127" i="7"/>
  <c r="Q2127" i="7"/>
  <c r="P2127" i="7"/>
  <c r="O2127" i="7"/>
  <c r="U2126" i="7"/>
  <c r="T2126" i="7"/>
  <c r="S2126" i="7"/>
  <c r="R2126" i="7"/>
  <c r="Q2126" i="7"/>
  <c r="P2126" i="7"/>
  <c r="O2126" i="7"/>
  <c r="U2125" i="7"/>
  <c r="T2125" i="7"/>
  <c r="S2125" i="7"/>
  <c r="R2125" i="7"/>
  <c r="Q2125" i="7"/>
  <c r="P2125" i="7"/>
  <c r="O2125" i="7"/>
  <c r="U2124" i="7"/>
  <c r="T2124" i="7"/>
  <c r="S2124" i="7"/>
  <c r="R2124" i="7"/>
  <c r="Q2124" i="7"/>
  <c r="P2124" i="7"/>
  <c r="O2124" i="7"/>
  <c r="U2123" i="7"/>
  <c r="T2123" i="7"/>
  <c r="S2123" i="7"/>
  <c r="R2123" i="7"/>
  <c r="Q2123" i="7"/>
  <c r="P2123" i="7"/>
  <c r="O2123" i="7"/>
  <c r="U2122" i="7"/>
  <c r="T2122" i="7"/>
  <c r="S2122" i="7"/>
  <c r="R2122" i="7"/>
  <c r="Q2122" i="7"/>
  <c r="P2122" i="7"/>
  <c r="O2122" i="7"/>
  <c r="U2121" i="7"/>
  <c r="T2121" i="7"/>
  <c r="S2121" i="7"/>
  <c r="R2121" i="7"/>
  <c r="Q2121" i="7"/>
  <c r="P2121" i="7"/>
  <c r="O2121" i="7"/>
  <c r="U2120" i="7"/>
  <c r="T2120" i="7"/>
  <c r="S2120" i="7"/>
  <c r="R2120" i="7"/>
  <c r="Q2120" i="7"/>
  <c r="P2120" i="7"/>
  <c r="O2120" i="7"/>
  <c r="U2119" i="7"/>
  <c r="T2119" i="7"/>
  <c r="S2119" i="7"/>
  <c r="R2119" i="7"/>
  <c r="Q2119" i="7"/>
  <c r="P2119" i="7"/>
  <c r="O2119" i="7"/>
  <c r="U2118" i="7"/>
  <c r="T2118" i="7"/>
  <c r="S2118" i="7"/>
  <c r="R2118" i="7"/>
  <c r="Q2118" i="7"/>
  <c r="P2118" i="7"/>
  <c r="O2118" i="7"/>
  <c r="U2117" i="7"/>
  <c r="T2117" i="7"/>
  <c r="S2117" i="7"/>
  <c r="R2117" i="7"/>
  <c r="Q2117" i="7"/>
  <c r="P2117" i="7"/>
  <c r="O2117" i="7"/>
  <c r="U2116" i="7"/>
  <c r="T2116" i="7"/>
  <c r="S2116" i="7"/>
  <c r="R2116" i="7"/>
  <c r="Q2116" i="7"/>
  <c r="P2116" i="7"/>
  <c r="O2116" i="7"/>
  <c r="U2115" i="7"/>
  <c r="T2115" i="7"/>
  <c r="S2115" i="7"/>
  <c r="R2115" i="7"/>
  <c r="Q2115" i="7"/>
  <c r="P2115" i="7"/>
  <c r="O2115" i="7"/>
  <c r="U2114" i="7"/>
  <c r="T2114" i="7"/>
  <c r="S2114" i="7"/>
  <c r="R2114" i="7"/>
  <c r="Q2114" i="7"/>
  <c r="P2114" i="7"/>
  <c r="O2114" i="7"/>
  <c r="U2113" i="7"/>
  <c r="T2113" i="7"/>
  <c r="S2113" i="7"/>
  <c r="R2113" i="7"/>
  <c r="Q2113" i="7"/>
  <c r="P2113" i="7"/>
  <c r="O2113" i="7"/>
  <c r="U2112" i="7"/>
  <c r="T2112" i="7"/>
  <c r="S2112" i="7"/>
  <c r="R2112" i="7"/>
  <c r="Q2112" i="7"/>
  <c r="P2112" i="7"/>
  <c r="O2112" i="7"/>
  <c r="U2111" i="7"/>
  <c r="T2111" i="7"/>
  <c r="S2111" i="7"/>
  <c r="R2111" i="7"/>
  <c r="Q2111" i="7"/>
  <c r="P2111" i="7"/>
  <c r="O2111" i="7"/>
  <c r="U2110" i="7"/>
  <c r="T2110" i="7"/>
  <c r="S2110" i="7"/>
  <c r="R2110" i="7"/>
  <c r="Q2110" i="7"/>
  <c r="P2110" i="7"/>
  <c r="O2110" i="7"/>
  <c r="U2109" i="7"/>
  <c r="T2109" i="7"/>
  <c r="S2109" i="7"/>
  <c r="R2109" i="7"/>
  <c r="Q2109" i="7"/>
  <c r="P2109" i="7"/>
  <c r="O2109" i="7"/>
  <c r="U2108" i="7"/>
  <c r="T2108" i="7"/>
  <c r="S2108" i="7"/>
  <c r="R2108" i="7"/>
  <c r="Q2108" i="7"/>
  <c r="P2108" i="7"/>
  <c r="O2108" i="7"/>
  <c r="U2107" i="7"/>
  <c r="T2107" i="7"/>
  <c r="S2107" i="7"/>
  <c r="R2107" i="7"/>
  <c r="Q2107" i="7"/>
  <c r="P2107" i="7"/>
  <c r="O2107" i="7"/>
  <c r="U2106" i="7"/>
  <c r="T2106" i="7"/>
  <c r="S2106" i="7"/>
  <c r="R2106" i="7"/>
  <c r="Q2106" i="7"/>
  <c r="P2106" i="7"/>
  <c r="O2106" i="7"/>
  <c r="U2105" i="7"/>
  <c r="T2105" i="7"/>
  <c r="S2105" i="7"/>
  <c r="R2105" i="7"/>
  <c r="Q2105" i="7"/>
  <c r="P2105" i="7"/>
  <c r="O2105" i="7"/>
  <c r="U2104" i="7"/>
  <c r="T2104" i="7"/>
  <c r="S2104" i="7"/>
  <c r="R2104" i="7"/>
  <c r="Q2104" i="7"/>
  <c r="P2104" i="7"/>
  <c r="O2104" i="7"/>
  <c r="U2103" i="7"/>
  <c r="T2103" i="7"/>
  <c r="S2103" i="7"/>
  <c r="R2103" i="7"/>
  <c r="Q2103" i="7"/>
  <c r="P2103" i="7"/>
  <c r="O2103" i="7"/>
  <c r="U2102" i="7"/>
  <c r="T2102" i="7"/>
  <c r="S2102" i="7"/>
  <c r="R2102" i="7"/>
  <c r="Q2102" i="7"/>
  <c r="P2102" i="7"/>
  <c r="O2102" i="7"/>
  <c r="U2101" i="7"/>
  <c r="T2101" i="7"/>
  <c r="S2101" i="7"/>
  <c r="R2101" i="7"/>
  <c r="Q2101" i="7"/>
  <c r="P2101" i="7"/>
  <c r="O2101" i="7"/>
  <c r="U2100" i="7"/>
  <c r="T2100" i="7"/>
  <c r="S2100" i="7"/>
  <c r="R2100" i="7"/>
  <c r="Q2100" i="7"/>
  <c r="P2100" i="7"/>
  <c r="O2100" i="7"/>
  <c r="U2099" i="7"/>
  <c r="T2099" i="7"/>
  <c r="S2099" i="7"/>
  <c r="R2099" i="7"/>
  <c r="Q2099" i="7"/>
  <c r="P2099" i="7"/>
  <c r="O2099" i="7"/>
  <c r="U2098" i="7"/>
  <c r="T2098" i="7"/>
  <c r="S2098" i="7"/>
  <c r="R2098" i="7"/>
  <c r="Q2098" i="7"/>
  <c r="P2098" i="7"/>
  <c r="O2098" i="7"/>
  <c r="U2097" i="7"/>
  <c r="T2097" i="7"/>
  <c r="S2097" i="7"/>
  <c r="R2097" i="7"/>
  <c r="Q2097" i="7"/>
  <c r="P2097" i="7"/>
  <c r="O2097" i="7"/>
  <c r="U2096" i="7"/>
  <c r="T2096" i="7"/>
  <c r="S2096" i="7"/>
  <c r="R2096" i="7"/>
  <c r="Q2096" i="7"/>
  <c r="P2096" i="7"/>
  <c r="O2096" i="7"/>
  <c r="U2095" i="7"/>
  <c r="T2095" i="7"/>
  <c r="S2095" i="7"/>
  <c r="R2095" i="7"/>
  <c r="Q2095" i="7"/>
  <c r="P2095" i="7"/>
  <c r="O2095" i="7"/>
  <c r="U2094" i="7"/>
  <c r="T2094" i="7"/>
  <c r="S2094" i="7"/>
  <c r="R2094" i="7"/>
  <c r="Q2094" i="7"/>
  <c r="P2094" i="7"/>
  <c r="O2094" i="7"/>
  <c r="U2093" i="7"/>
  <c r="T2093" i="7"/>
  <c r="S2093" i="7"/>
  <c r="R2093" i="7"/>
  <c r="Q2093" i="7"/>
  <c r="P2093" i="7"/>
  <c r="O2093" i="7"/>
  <c r="U2092" i="7"/>
  <c r="T2092" i="7"/>
  <c r="S2092" i="7"/>
  <c r="R2092" i="7"/>
  <c r="Q2092" i="7"/>
  <c r="P2092" i="7"/>
  <c r="O2092" i="7"/>
  <c r="U2091" i="7"/>
  <c r="T2091" i="7"/>
  <c r="S2091" i="7"/>
  <c r="R2091" i="7"/>
  <c r="Q2091" i="7"/>
  <c r="P2091" i="7"/>
  <c r="O2091" i="7"/>
  <c r="U2090" i="7"/>
  <c r="T2090" i="7"/>
  <c r="S2090" i="7"/>
  <c r="R2090" i="7"/>
  <c r="Q2090" i="7"/>
  <c r="P2090" i="7"/>
  <c r="O2090" i="7"/>
  <c r="U2089" i="7"/>
  <c r="T2089" i="7"/>
  <c r="S2089" i="7"/>
  <c r="R2089" i="7"/>
  <c r="Q2089" i="7"/>
  <c r="P2089" i="7"/>
  <c r="O2089" i="7"/>
  <c r="U2088" i="7"/>
  <c r="T2088" i="7"/>
  <c r="S2088" i="7"/>
  <c r="R2088" i="7"/>
  <c r="Q2088" i="7"/>
  <c r="P2088" i="7"/>
  <c r="O2088" i="7"/>
  <c r="U2087" i="7"/>
  <c r="T2087" i="7"/>
  <c r="S2087" i="7"/>
  <c r="R2087" i="7"/>
  <c r="Q2087" i="7"/>
  <c r="P2087" i="7"/>
  <c r="O2087" i="7"/>
  <c r="U2086" i="7"/>
  <c r="T2086" i="7"/>
  <c r="S2086" i="7"/>
  <c r="R2086" i="7"/>
  <c r="Q2086" i="7"/>
  <c r="P2086" i="7"/>
  <c r="O2086" i="7"/>
  <c r="U2085" i="7"/>
  <c r="T2085" i="7"/>
  <c r="S2085" i="7"/>
  <c r="R2085" i="7"/>
  <c r="Q2085" i="7"/>
  <c r="P2085" i="7"/>
  <c r="O2085" i="7"/>
  <c r="U2084" i="7"/>
  <c r="T2084" i="7"/>
  <c r="S2084" i="7"/>
  <c r="R2084" i="7"/>
  <c r="Q2084" i="7"/>
  <c r="P2084" i="7"/>
  <c r="O2084" i="7"/>
  <c r="U2083" i="7"/>
  <c r="T2083" i="7"/>
  <c r="S2083" i="7"/>
  <c r="R2083" i="7"/>
  <c r="Q2083" i="7"/>
  <c r="P2083" i="7"/>
  <c r="O2083" i="7"/>
  <c r="U2082" i="7"/>
  <c r="T2082" i="7"/>
  <c r="S2082" i="7"/>
  <c r="R2082" i="7"/>
  <c r="Q2082" i="7"/>
  <c r="P2082" i="7"/>
  <c r="O2082" i="7"/>
  <c r="U2081" i="7"/>
  <c r="T2081" i="7"/>
  <c r="S2081" i="7"/>
  <c r="R2081" i="7"/>
  <c r="Q2081" i="7"/>
  <c r="P2081" i="7"/>
  <c r="O2081" i="7"/>
  <c r="U2080" i="7"/>
  <c r="T2080" i="7"/>
  <c r="S2080" i="7"/>
  <c r="R2080" i="7"/>
  <c r="Q2080" i="7"/>
  <c r="P2080" i="7"/>
  <c r="O2080" i="7"/>
  <c r="U2079" i="7"/>
  <c r="T2079" i="7"/>
  <c r="S2079" i="7"/>
  <c r="R2079" i="7"/>
  <c r="Q2079" i="7"/>
  <c r="P2079" i="7"/>
  <c r="O2079" i="7"/>
  <c r="U2078" i="7"/>
  <c r="T2078" i="7"/>
  <c r="S2078" i="7"/>
  <c r="R2078" i="7"/>
  <c r="Q2078" i="7"/>
  <c r="P2078" i="7"/>
  <c r="O2078" i="7"/>
  <c r="U2077" i="7"/>
  <c r="T2077" i="7"/>
  <c r="S2077" i="7"/>
  <c r="R2077" i="7"/>
  <c r="Q2077" i="7"/>
  <c r="P2077" i="7"/>
  <c r="O2077" i="7"/>
  <c r="U2076" i="7"/>
  <c r="T2076" i="7"/>
  <c r="S2076" i="7"/>
  <c r="R2076" i="7"/>
  <c r="Q2076" i="7"/>
  <c r="P2076" i="7"/>
  <c r="O2076" i="7"/>
  <c r="U2075" i="7"/>
  <c r="T2075" i="7"/>
  <c r="S2075" i="7"/>
  <c r="R2075" i="7"/>
  <c r="Q2075" i="7"/>
  <c r="P2075" i="7"/>
  <c r="O2075" i="7"/>
  <c r="U2074" i="7"/>
  <c r="T2074" i="7"/>
  <c r="S2074" i="7"/>
  <c r="R2074" i="7"/>
  <c r="Q2074" i="7"/>
  <c r="P2074" i="7"/>
  <c r="O2074" i="7"/>
  <c r="U2073" i="7"/>
  <c r="T2073" i="7"/>
  <c r="S2073" i="7"/>
  <c r="R2073" i="7"/>
  <c r="Q2073" i="7"/>
  <c r="P2073" i="7"/>
  <c r="O2073" i="7"/>
  <c r="U2072" i="7"/>
  <c r="T2072" i="7"/>
  <c r="S2072" i="7"/>
  <c r="R2072" i="7"/>
  <c r="Q2072" i="7"/>
  <c r="P2072" i="7"/>
  <c r="O2072" i="7"/>
  <c r="U2071" i="7"/>
  <c r="T2071" i="7"/>
  <c r="S2071" i="7"/>
  <c r="R2071" i="7"/>
  <c r="Q2071" i="7"/>
  <c r="P2071" i="7"/>
  <c r="O2071" i="7"/>
  <c r="U2070" i="7"/>
  <c r="T2070" i="7"/>
  <c r="S2070" i="7"/>
  <c r="R2070" i="7"/>
  <c r="Q2070" i="7"/>
  <c r="P2070" i="7"/>
  <c r="O2070" i="7"/>
  <c r="U2069" i="7"/>
  <c r="T2069" i="7"/>
  <c r="S2069" i="7"/>
  <c r="R2069" i="7"/>
  <c r="Q2069" i="7"/>
  <c r="P2069" i="7"/>
  <c r="O2069" i="7"/>
  <c r="U2068" i="7"/>
  <c r="T2068" i="7"/>
  <c r="S2068" i="7"/>
  <c r="R2068" i="7"/>
  <c r="Q2068" i="7"/>
  <c r="P2068" i="7"/>
  <c r="O2068" i="7"/>
  <c r="U2067" i="7"/>
  <c r="T2067" i="7"/>
  <c r="S2067" i="7"/>
  <c r="R2067" i="7"/>
  <c r="Q2067" i="7"/>
  <c r="P2067" i="7"/>
  <c r="O2067" i="7"/>
  <c r="U2066" i="7"/>
  <c r="T2066" i="7"/>
  <c r="S2066" i="7"/>
  <c r="R2066" i="7"/>
  <c r="Q2066" i="7"/>
  <c r="P2066" i="7"/>
  <c r="O2066" i="7"/>
  <c r="U2065" i="7"/>
  <c r="T2065" i="7"/>
  <c r="S2065" i="7"/>
  <c r="R2065" i="7"/>
  <c r="Q2065" i="7"/>
  <c r="P2065" i="7"/>
  <c r="O2065" i="7"/>
  <c r="U2064" i="7"/>
  <c r="T2064" i="7"/>
  <c r="S2064" i="7"/>
  <c r="R2064" i="7"/>
  <c r="Q2064" i="7"/>
  <c r="P2064" i="7"/>
  <c r="O2064" i="7"/>
  <c r="U2063" i="7"/>
  <c r="T2063" i="7"/>
  <c r="S2063" i="7"/>
  <c r="R2063" i="7"/>
  <c r="Q2063" i="7"/>
  <c r="P2063" i="7"/>
  <c r="O2063" i="7"/>
  <c r="U2062" i="7"/>
  <c r="T2062" i="7"/>
  <c r="S2062" i="7"/>
  <c r="R2062" i="7"/>
  <c r="Q2062" i="7"/>
  <c r="P2062" i="7"/>
  <c r="O2062" i="7"/>
  <c r="U2061" i="7"/>
  <c r="T2061" i="7"/>
  <c r="S2061" i="7"/>
  <c r="R2061" i="7"/>
  <c r="Q2061" i="7"/>
  <c r="P2061" i="7"/>
  <c r="O2061" i="7"/>
  <c r="U2060" i="7"/>
  <c r="T2060" i="7"/>
  <c r="S2060" i="7"/>
  <c r="R2060" i="7"/>
  <c r="Q2060" i="7"/>
  <c r="P2060" i="7"/>
  <c r="O2060" i="7"/>
  <c r="U2059" i="7"/>
  <c r="T2059" i="7"/>
  <c r="S2059" i="7"/>
  <c r="R2059" i="7"/>
  <c r="Q2059" i="7"/>
  <c r="P2059" i="7"/>
  <c r="O2059" i="7"/>
  <c r="U2058" i="7"/>
  <c r="T2058" i="7"/>
  <c r="S2058" i="7"/>
  <c r="R2058" i="7"/>
  <c r="Q2058" i="7"/>
  <c r="P2058" i="7"/>
  <c r="O2058" i="7"/>
  <c r="U2057" i="7"/>
  <c r="T2057" i="7"/>
  <c r="S2057" i="7"/>
  <c r="R2057" i="7"/>
  <c r="Q2057" i="7"/>
  <c r="P2057" i="7"/>
  <c r="O2057" i="7"/>
  <c r="U2056" i="7"/>
  <c r="T2056" i="7"/>
  <c r="S2056" i="7"/>
  <c r="R2056" i="7"/>
  <c r="Q2056" i="7"/>
  <c r="P2056" i="7"/>
  <c r="O2056" i="7"/>
  <c r="U2055" i="7"/>
  <c r="T2055" i="7"/>
  <c r="S2055" i="7"/>
  <c r="R2055" i="7"/>
  <c r="Q2055" i="7"/>
  <c r="P2055" i="7"/>
  <c r="O2055" i="7"/>
  <c r="U2054" i="7"/>
  <c r="T2054" i="7"/>
  <c r="S2054" i="7"/>
  <c r="R2054" i="7"/>
  <c r="Q2054" i="7"/>
  <c r="P2054" i="7"/>
  <c r="O2054" i="7"/>
  <c r="U2053" i="7"/>
  <c r="T2053" i="7"/>
  <c r="S2053" i="7"/>
  <c r="R2053" i="7"/>
  <c r="Q2053" i="7"/>
  <c r="P2053" i="7"/>
  <c r="O2053" i="7"/>
  <c r="U2052" i="7"/>
  <c r="T2052" i="7"/>
  <c r="S2052" i="7"/>
  <c r="R2052" i="7"/>
  <c r="Q2052" i="7"/>
  <c r="P2052" i="7"/>
  <c r="O2052" i="7"/>
  <c r="U2051" i="7"/>
  <c r="T2051" i="7"/>
  <c r="S2051" i="7"/>
  <c r="R2051" i="7"/>
  <c r="Q2051" i="7"/>
  <c r="P2051" i="7"/>
  <c r="O2051" i="7"/>
  <c r="U2050" i="7"/>
  <c r="T2050" i="7"/>
  <c r="S2050" i="7"/>
  <c r="R2050" i="7"/>
  <c r="Q2050" i="7"/>
  <c r="P2050" i="7"/>
  <c r="O2050" i="7"/>
  <c r="U2049" i="7"/>
  <c r="T2049" i="7"/>
  <c r="S2049" i="7"/>
  <c r="R2049" i="7"/>
  <c r="Q2049" i="7"/>
  <c r="P2049" i="7"/>
  <c r="O2049" i="7"/>
  <c r="U2048" i="7"/>
  <c r="T2048" i="7"/>
  <c r="S2048" i="7"/>
  <c r="R2048" i="7"/>
  <c r="Q2048" i="7"/>
  <c r="P2048" i="7"/>
  <c r="O2048" i="7"/>
  <c r="U2047" i="7"/>
  <c r="T2047" i="7"/>
  <c r="S2047" i="7"/>
  <c r="R2047" i="7"/>
  <c r="Q2047" i="7"/>
  <c r="P2047" i="7"/>
  <c r="O2047" i="7"/>
  <c r="U2046" i="7"/>
  <c r="T2046" i="7"/>
  <c r="S2046" i="7"/>
  <c r="R2046" i="7"/>
  <c r="Q2046" i="7"/>
  <c r="P2046" i="7"/>
  <c r="O2046" i="7"/>
  <c r="U2045" i="7"/>
  <c r="T2045" i="7"/>
  <c r="S2045" i="7"/>
  <c r="R2045" i="7"/>
  <c r="Q2045" i="7"/>
  <c r="P2045" i="7"/>
  <c r="O2045" i="7"/>
  <c r="U2044" i="7"/>
  <c r="T2044" i="7"/>
  <c r="S2044" i="7"/>
  <c r="R2044" i="7"/>
  <c r="Q2044" i="7"/>
  <c r="P2044" i="7"/>
  <c r="O2044" i="7"/>
  <c r="U2043" i="7"/>
  <c r="T2043" i="7"/>
  <c r="S2043" i="7"/>
  <c r="R2043" i="7"/>
  <c r="Q2043" i="7"/>
  <c r="P2043" i="7"/>
  <c r="O2043" i="7"/>
  <c r="U2042" i="7"/>
  <c r="T2042" i="7"/>
  <c r="S2042" i="7"/>
  <c r="R2042" i="7"/>
  <c r="Q2042" i="7"/>
  <c r="P2042" i="7"/>
  <c r="O2042" i="7"/>
  <c r="U2041" i="7"/>
  <c r="T2041" i="7"/>
  <c r="S2041" i="7"/>
  <c r="R2041" i="7"/>
  <c r="Q2041" i="7"/>
  <c r="P2041" i="7"/>
  <c r="O2041" i="7"/>
  <c r="U2040" i="7"/>
  <c r="T2040" i="7"/>
  <c r="S2040" i="7"/>
  <c r="R2040" i="7"/>
  <c r="Q2040" i="7"/>
  <c r="P2040" i="7"/>
  <c r="O2040" i="7"/>
  <c r="U2039" i="7"/>
  <c r="T2039" i="7"/>
  <c r="S2039" i="7"/>
  <c r="R2039" i="7"/>
  <c r="Q2039" i="7"/>
  <c r="P2039" i="7"/>
  <c r="O2039" i="7"/>
  <c r="U2038" i="7"/>
  <c r="T2038" i="7"/>
  <c r="S2038" i="7"/>
  <c r="R2038" i="7"/>
  <c r="Q2038" i="7"/>
  <c r="P2038" i="7"/>
  <c r="O2038" i="7"/>
  <c r="U2037" i="7"/>
  <c r="T2037" i="7"/>
  <c r="S2037" i="7"/>
  <c r="R2037" i="7"/>
  <c r="Q2037" i="7"/>
  <c r="P2037" i="7"/>
  <c r="O2037" i="7"/>
  <c r="U2036" i="7"/>
  <c r="T2036" i="7"/>
  <c r="S2036" i="7"/>
  <c r="R2036" i="7"/>
  <c r="Q2036" i="7"/>
  <c r="P2036" i="7"/>
  <c r="O2036" i="7"/>
  <c r="U2035" i="7"/>
  <c r="T2035" i="7"/>
  <c r="S2035" i="7"/>
  <c r="R2035" i="7"/>
  <c r="Q2035" i="7"/>
  <c r="P2035" i="7"/>
  <c r="O2035" i="7"/>
  <c r="U2034" i="7"/>
  <c r="T2034" i="7"/>
  <c r="S2034" i="7"/>
  <c r="R2034" i="7"/>
  <c r="Q2034" i="7"/>
  <c r="P2034" i="7"/>
  <c r="O2034" i="7"/>
  <c r="U2033" i="7"/>
  <c r="T2033" i="7"/>
  <c r="S2033" i="7"/>
  <c r="R2033" i="7"/>
  <c r="Q2033" i="7"/>
  <c r="P2033" i="7"/>
  <c r="O2033" i="7"/>
  <c r="U2032" i="7"/>
  <c r="T2032" i="7"/>
  <c r="S2032" i="7"/>
  <c r="R2032" i="7"/>
  <c r="Q2032" i="7"/>
  <c r="P2032" i="7"/>
  <c r="O2032" i="7"/>
  <c r="U2031" i="7"/>
  <c r="T2031" i="7"/>
  <c r="S2031" i="7"/>
  <c r="R2031" i="7"/>
  <c r="Q2031" i="7"/>
  <c r="P2031" i="7"/>
  <c r="O2031" i="7"/>
  <c r="U2030" i="7"/>
  <c r="T2030" i="7"/>
  <c r="S2030" i="7"/>
  <c r="R2030" i="7"/>
  <c r="Q2030" i="7"/>
  <c r="P2030" i="7"/>
  <c r="O2030" i="7"/>
  <c r="U2029" i="7"/>
  <c r="T2029" i="7"/>
  <c r="S2029" i="7"/>
  <c r="R2029" i="7"/>
  <c r="Q2029" i="7"/>
  <c r="P2029" i="7"/>
  <c r="O2029" i="7"/>
  <c r="U2028" i="7"/>
  <c r="T2028" i="7"/>
  <c r="S2028" i="7"/>
  <c r="R2028" i="7"/>
  <c r="Q2028" i="7"/>
  <c r="P2028" i="7"/>
  <c r="O2028" i="7"/>
  <c r="U2027" i="7"/>
  <c r="T2027" i="7"/>
  <c r="S2027" i="7"/>
  <c r="R2027" i="7"/>
  <c r="Q2027" i="7"/>
  <c r="P2027" i="7"/>
  <c r="O2027" i="7"/>
  <c r="U2026" i="7"/>
  <c r="T2026" i="7"/>
  <c r="S2026" i="7"/>
  <c r="R2026" i="7"/>
  <c r="Q2026" i="7"/>
  <c r="P2026" i="7"/>
  <c r="O2026" i="7"/>
  <c r="U2025" i="7"/>
  <c r="T2025" i="7"/>
  <c r="S2025" i="7"/>
  <c r="R2025" i="7"/>
  <c r="Q2025" i="7"/>
  <c r="P2025" i="7"/>
  <c r="O2025" i="7"/>
  <c r="U2024" i="7"/>
  <c r="T2024" i="7"/>
  <c r="S2024" i="7"/>
  <c r="R2024" i="7"/>
  <c r="Q2024" i="7"/>
  <c r="P2024" i="7"/>
  <c r="O2024" i="7"/>
  <c r="U2023" i="7"/>
  <c r="T2023" i="7"/>
  <c r="S2023" i="7"/>
  <c r="R2023" i="7"/>
  <c r="Q2023" i="7"/>
  <c r="P2023" i="7"/>
  <c r="O2023" i="7"/>
  <c r="U2022" i="7"/>
  <c r="T2022" i="7"/>
  <c r="S2022" i="7"/>
  <c r="R2022" i="7"/>
  <c r="Q2022" i="7"/>
  <c r="P2022" i="7"/>
  <c r="O2022" i="7"/>
  <c r="U2021" i="7"/>
  <c r="T2021" i="7"/>
  <c r="S2021" i="7"/>
  <c r="R2021" i="7"/>
  <c r="Q2021" i="7"/>
  <c r="P2021" i="7"/>
  <c r="O2021" i="7"/>
  <c r="U2020" i="7"/>
  <c r="T2020" i="7"/>
  <c r="S2020" i="7"/>
  <c r="R2020" i="7"/>
  <c r="Q2020" i="7"/>
  <c r="P2020" i="7"/>
  <c r="O2020" i="7"/>
  <c r="U2019" i="7"/>
  <c r="T2019" i="7"/>
  <c r="S2019" i="7"/>
  <c r="R2019" i="7"/>
  <c r="Q2019" i="7"/>
  <c r="P2019" i="7"/>
  <c r="O2019" i="7"/>
  <c r="U2018" i="7"/>
  <c r="T2018" i="7"/>
  <c r="S2018" i="7"/>
  <c r="R2018" i="7"/>
  <c r="Q2018" i="7"/>
  <c r="P2018" i="7"/>
  <c r="O2018" i="7"/>
  <c r="U2017" i="7"/>
  <c r="T2017" i="7"/>
  <c r="S2017" i="7"/>
  <c r="R2017" i="7"/>
  <c r="Q2017" i="7"/>
  <c r="P2017" i="7"/>
  <c r="O2017" i="7"/>
  <c r="U2016" i="7"/>
  <c r="T2016" i="7"/>
  <c r="S2016" i="7"/>
  <c r="R2016" i="7"/>
  <c r="Q2016" i="7"/>
  <c r="P2016" i="7"/>
  <c r="O2016" i="7"/>
  <c r="U2015" i="7"/>
  <c r="T2015" i="7"/>
  <c r="S2015" i="7"/>
  <c r="R2015" i="7"/>
  <c r="Q2015" i="7"/>
  <c r="P2015" i="7"/>
  <c r="O2015" i="7"/>
  <c r="U2014" i="7"/>
  <c r="T2014" i="7"/>
  <c r="S2014" i="7"/>
  <c r="R2014" i="7"/>
  <c r="Q2014" i="7"/>
  <c r="P2014" i="7"/>
  <c r="O2014" i="7"/>
  <c r="U2013" i="7"/>
  <c r="T2013" i="7"/>
  <c r="S2013" i="7"/>
  <c r="R2013" i="7"/>
  <c r="Q2013" i="7"/>
  <c r="P2013" i="7"/>
  <c r="O2013" i="7"/>
  <c r="U2012" i="7"/>
  <c r="T2012" i="7"/>
  <c r="S2012" i="7"/>
  <c r="R2012" i="7"/>
  <c r="Q2012" i="7"/>
  <c r="P2012" i="7"/>
  <c r="O2012" i="7"/>
  <c r="U2011" i="7"/>
  <c r="T2011" i="7"/>
  <c r="S2011" i="7"/>
  <c r="R2011" i="7"/>
  <c r="Q2011" i="7"/>
  <c r="P2011" i="7"/>
  <c r="O2011" i="7"/>
  <c r="U2010" i="7"/>
  <c r="T2010" i="7"/>
  <c r="S2010" i="7"/>
  <c r="R2010" i="7"/>
  <c r="Q2010" i="7"/>
  <c r="P2010" i="7"/>
  <c r="O2010" i="7"/>
  <c r="U2009" i="7"/>
  <c r="T2009" i="7"/>
  <c r="S2009" i="7"/>
  <c r="R2009" i="7"/>
  <c r="Q2009" i="7"/>
  <c r="P2009" i="7"/>
  <c r="O2009" i="7"/>
  <c r="U2008" i="7"/>
  <c r="T2008" i="7"/>
  <c r="S2008" i="7"/>
  <c r="R2008" i="7"/>
  <c r="Q2008" i="7"/>
  <c r="P2008" i="7"/>
  <c r="O2008" i="7"/>
  <c r="U2007" i="7"/>
  <c r="T2007" i="7"/>
  <c r="S2007" i="7"/>
  <c r="R2007" i="7"/>
  <c r="Q2007" i="7"/>
  <c r="P2007" i="7"/>
  <c r="O2007" i="7"/>
  <c r="U2006" i="7"/>
  <c r="T2006" i="7"/>
  <c r="S2006" i="7"/>
  <c r="R2006" i="7"/>
  <c r="Q2006" i="7"/>
  <c r="P2006" i="7"/>
  <c r="O2006" i="7"/>
  <c r="U2005" i="7"/>
  <c r="T2005" i="7"/>
  <c r="S2005" i="7"/>
  <c r="R2005" i="7"/>
  <c r="Q2005" i="7"/>
  <c r="P2005" i="7"/>
  <c r="O2005" i="7"/>
  <c r="U2004" i="7"/>
  <c r="T2004" i="7"/>
  <c r="S2004" i="7"/>
  <c r="R2004" i="7"/>
  <c r="Q2004" i="7"/>
  <c r="P2004" i="7"/>
  <c r="O2004" i="7"/>
  <c r="U2003" i="7"/>
  <c r="T2003" i="7"/>
  <c r="S2003" i="7"/>
  <c r="R2003" i="7"/>
  <c r="Q2003" i="7"/>
  <c r="P2003" i="7"/>
  <c r="O2003" i="7"/>
  <c r="U2002" i="7"/>
  <c r="T2002" i="7"/>
  <c r="S2002" i="7"/>
  <c r="R2002" i="7"/>
  <c r="Q2002" i="7"/>
  <c r="P2002" i="7"/>
  <c r="O2002" i="7"/>
  <c r="U2001" i="7"/>
  <c r="T2001" i="7"/>
  <c r="S2001" i="7"/>
  <c r="R2001" i="7"/>
  <c r="Q2001" i="7"/>
  <c r="P2001" i="7"/>
  <c r="O2001" i="7"/>
  <c r="U2000" i="7"/>
  <c r="T2000" i="7"/>
  <c r="S2000" i="7"/>
  <c r="R2000" i="7"/>
  <c r="Q2000" i="7"/>
  <c r="P2000" i="7"/>
  <c r="O2000" i="7"/>
  <c r="U1999" i="7"/>
  <c r="T1999" i="7"/>
  <c r="S1999" i="7"/>
  <c r="R1999" i="7"/>
  <c r="Q1999" i="7"/>
  <c r="P1999" i="7"/>
  <c r="O1999" i="7"/>
  <c r="U1998" i="7"/>
  <c r="T1998" i="7"/>
  <c r="S1998" i="7"/>
  <c r="R1998" i="7"/>
  <c r="Q1998" i="7"/>
  <c r="P1998" i="7"/>
  <c r="O1998" i="7"/>
  <c r="U1997" i="7"/>
  <c r="T1997" i="7"/>
  <c r="S1997" i="7"/>
  <c r="R1997" i="7"/>
  <c r="Q1997" i="7"/>
  <c r="P1997" i="7"/>
  <c r="O1997" i="7"/>
  <c r="U1996" i="7"/>
  <c r="T1996" i="7"/>
  <c r="S1996" i="7"/>
  <c r="R1996" i="7"/>
  <c r="Q1996" i="7"/>
  <c r="P1996" i="7"/>
  <c r="O1996" i="7"/>
  <c r="U1995" i="7"/>
  <c r="T1995" i="7"/>
  <c r="S1995" i="7"/>
  <c r="R1995" i="7"/>
  <c r="Q1995" i="7"/>
  <c r="P1995" i="7"/>
  <c r="O1995" i="7"/>
  <c r="U1994" i="7"/>
  <c r="T1994" i="7"/>
  <c r="S1994" i="7"/>
  <c r="R1994" i="7"/>
  <c r="Q1994" i="7"/>
  <c r="P1994" i="7"/>
  <c r="O1994" i="7"/>
  <c r="U1993" i="7"/>
  <c r="T1993" i="7"/>
  <c r="S1993" i="7"/>
  <c r="R1993" i="7"/>
  <c r="Q1993" i="7"/>
  <c r="P1993" i="7"/>
  <c r="O1993" i="7"/>
  <c r="U1992" i="7"/>
  <c r="T1992" i="7"/>
  <c r="S1992" i="7"/>
  <c r="R1992" i="7"/>
  <c r="Q1992" i="7"/>
  <c r="P1992" i="7"/>
  <c r="O1992" i="7"/>
  <c r="U1991" i="7"/>
  <c r="T1991" i="7"/>
  <c r="S1991" i="7"/>
  <c r="R1991" i="7"/>
  <c r="Q1991" i="7"/>
  <c r="P1991" i="7"/>
  <c r="O1991" i="7"/>
  <c r="U1990" i="7"/>
  <c r="T1990" i="7"/>
  <c r="S1990" i="7"/>
  <c r="R1990" i="7"/>
  <c r="Q1990" i="7"/>
  <c r="P1990" i="7"/>
  <c r="O1990" i="7"/>
  <c r="U1989" i="7"/>
  <c r="T1989" i="7"/>
  <c r="S1989" i="7"/>
  <c r="R1989" i="7"/>
  <c r="Q1989" i="7"/>
  <c r="P1989" i="7"/>
  <c r="O1989" i="7"/>
  <c r="U1988" i="7"/>
  <c r="T1988" i="7"/>
  <c r="S1988" i="7"/>
  <c r="R1988" i="7"/>
  <c r="Q1988" i="7"/>
  <c r="P1988" i="7"/>
  <c r="O1988" i="7"/>
  <c r="U1987" i="7"/>
  <c r="T1987" i="7"/>
  <c r="S1987" i="7"/>
  <c r="R1987" i="7"/>
  <c r="Q1987" i="7"/>
  <c r="P1987" i="7"/>
  <c r="O1987" i="7"/>
  <c r="U1986" i="7"/>
  <c r="T1986" i="7"/>
  <c r="S1986" i="7"/>
  <c r="R1986" i="7"/>
  <c r="Q1986" i="7"/>
  <c r="P1986" i="7"/>
  <c r="O1986" i="7"/>
  <c r="U1985" i="7"/>
  <c r="T1985" i="7"/>
  <c r="S1985" i="7"/>
  <c r="R1985" i="7"/>
  <c r="Q1985" i="7"/>
  <c r="P1985" i="7"/>
  <c r="O1985" i="7"/>
  <c r="U1984" i="7"/>
  <c r="T1984" i="7"/>
  <c r="S1984" i="7"/>
  <c r="R1984" i="7"/>
  <c r="Q1984" i="7"/>
  <c r="P1984" i="7"/>
  <c r="O1984" i="7"/>
  <c r="U1983" i="7"/>
  <c r="T1983" i="7"/>
  <c r="S1983" i="7"/>
  <c r="R1983" i="7"/>
  <c r="Q1983" i="7"/>
  <c r="P1983" i="7"/>
  <c r="O1983" i="7"/>
  <c r="U1982" i="7"/>
  <c r="T1982" i="7"/>
  <c r="S1982" i="7"/>
  <c r="R1982" i="7"/>
  <c r="Q1982" i="7"/>
  <c r="P1982" i="7"/>
  <c r="O1982" i="7"/>
  <c r="U1981" i="7"/>
  <c r="T1981" i="7"/>
  <c r="S1981" i="7"/>
  <c r="R1981" i="7"/>
  <c r="Q1981" i="7"/>
  <c r="P1981" i="7"/>
  <c r="O1981" i="7"/>
  <c r="U1980" i="7"/>
  <c r="T1980" i="7"/>
  <c r="S1980" i="7"/>
  <c r="R1980" i="7"/>
  <c r="Q1980" i="7"/>
  <c r="P1980" i="7"/>
  <c r="O1980" i="7"/>
  <c r="U1979" i="7"/>
  <c r="T1979" i="7"/>
  <c r="S1979" i="7"/>
  <c r="R1979" i="7"/>
  <c r="Q1979" i="7"/>
  <c r="P1979" i="7"/>
  <c r="O1979" i="7"/>
  <c r="U1978" i="7"/>
  <c r="T1978" i="7"/>
  <c r="S1978" i="7"/>
  <c r="R1978" i="7"/>
  <c r="Q1978" i="7"/>
  <c r="P1978" i="7"/>
  <c r="O1978" i="7"/>
  <c r="U1977" i="7"/>
  <c r="T1977" i="7"/>
  <c r="S1977" i="7"/>
  <c r="R1977" i="7"/>
  <c r="Q1977" i="7"/>
  <c r="P1977" i="7"/>
  <c r="O1977" i="7"/>
  <c r="U1976" i="7"/>
  <c r="T1976" i="7"/>
  <c r="S1976" i="7"/>
  <c r="R1976" i="7"/>
  <c r="Q1976" i="7"/>
  <c r="P1976" i="7"/>
  <c r="O1976" i="7"/>
  <c r="U1975" i="7"/>
  <c r="T1975" i="7"/>
  <c r="S1975" i="7"/>
  <c r="R1975" i="7"/>
  <c r="Q1975" i="7"/>
  <c r="P1975" i="7"/>
  <c r="O1975" i="7"/>
  <c r="U1974" i="7"/>
  <c r="T1974" i="7"/>
  <c r="S1974" i="7"/>
  <c r="R1974" i="7"/>
  <c r="Q1974" i="7"/>
  <c r="P1974" i="7"/>
  <c r="O1974" i="7"/>
  <c r="U1973" i="7"/>
  <c r="T1973" i="7"/>
  <c r="S1973" i="7"/>
  <c r="R1973" i="7"/>
  <c r="Q1973" i="7"/>
  <c r="P1973" i="7"/>
  <c r="O1973" i="7"/>
  <c r="U1972" i="7"/>
  <c r="T1972" i="7"/>
  <c r="S1972" i="7"/>
  <c r="R1972" i="7"/>
  <c r="Q1972" i="7"/>
  <c r="P1972" i="7"/>
  <c r="O1972" i="7"/>
  <c r="U1971" i="7"/>
  <c r="T1971" i="7"/>
  <c r="S1971" i="7"/>
  <c r="R1971" i="7"/>
  <c r="Q1971" i="7"/>
  <c r="P1971" i="7"/>
  <c r="O1971" i="7"/>
  <c r="U1970" i="7"/>
  <c r="T1970" i="7"/>
  <c r="S1970" i="7"/>
  <c r="R1970" i="7"/>
  <c r="Q1970" i="7"/>
  <c r="P1970" i="7"/>
  <c r="O1970" i="7"/>
  <c r="U1969" i="7"/>
  <c r="T1969" i="7"/>
  <c r="S1969" i="7"/>
  <c r="R1969" i="7"/>
  <c r="Q1969" i="7"/>
  <c r="P1969" i="7"/>
  <c r="O1969" i="7"/>
  <c r="U1968" i="7"/>
  <c r="T1968" i="7"/>
  <c r="S1968" i="7"/>
  <c r="R1968" i="7"/>
  <c r="Q1968" i="7"/>
  <c r="P1968" i="7"/>
  <c r="O1968" i="7"/>
  <c r="U1967" i="7"/>
  <c r="T1967" i="7"/>
  <c r="S1967" i="7"/>
  <c r="R1967" i="7"/>
  <c r="Q1967" i="7"/>
  <c r="P1967" i="7"/>
  <c r="O1967" i="7"/>
  <c r="U1966" i="7"/>
  <c r="T1966" i="7"/>
  <c r="S1966" i="7"/>
  <c r="R1966" i="7"/>
  <c r="Q1966" i="7"/>
  <c r="P1966" i="7"/>
  <c r="O1966" i="7"/>
  <c r="U1965" i="7"/>
  <c r="T1965" i="7"/>
  <c r="S1965" i="7"/>
  <c r="R1965" i="7"/>
  <c r="Q1965" i="7"/>
  <c r="P1965" i="7"/>
  <c r="O1965" i="7"/>
  <c r="U1964" i="7"/>
  <c r="T1964" i="7"/>
  <c r="S1964" i="7"/>
  <c r="R1964" i="7"/>
  <c r="Q1964" i="7"/>
  <c r="P1964" i="7"/>
  <c r="O1964" i="7"/>
  <c r="U1963" i="7"/>
  <c r="T1963" i="7"/>
  <c r="S1963" i="7"/>
  <c r="R1963" i="7"/>
  <c r="Q1963" i="7"/>
  <c r="P1963" i="7"/>
  <c r="O1963" i="7"/>
  <c r="U1962" i="7"/>
  <c r="T1962" i="7"/>
  <c r="S1962" i="7"/>
  <c r="R1962" i="7"/>
  <c r="Q1962" i="7"/>
  <c r="P1962" i="7"/>
  <c r="O1962" i="7"/>
  <c r="U1961" i="7"/>
  <c r="T1961" i="7"/>
  <c r="S1961" i="7"/>
  <c r="R1961" i="7"/>
  <c r="Q1961" i="7"/>
  <c r="P1961" i="7"/>
  <c r="O1961" i="7"/>
  <c r="U1960" i="7"/>
  <c r="T1960" i="7"/>
  <c r="S1960" i="7"/>
  <c r="R1960" i="7"/>
  <c r="Q1960" i="7"/>
  <c r="P1960" i="7"/>
  <c r="O1960" i="7"/>
  <c r="U1959" i="7"/>
  <c r="T1959" i="7"/>
  <c r="S1959" i="7"/>
  <c r="R1959" i="7"/>
  <c r="Q1959" i="7"/>
  <c r="P1959" i="7"/>
  <c r="O1959" i="7"/>
  <c r="U1958" i="7"/>
  <c r="T1958" i="7"/>
  <c r="S1958" i="7"/>
  <c r="R1958" i="7"/>
  <c r="Q1958" i="7"/>
  <c r="P1958" i="7"/>
  <c r="O1958" i="7"/>
  <c r="U1957" i="7"/>
  <c r="T1957" i="7"/>
  <c r="S1957" i="7"/>
  <c r="R1957" i="7"/>
  <c r="Q1957" i="7"/>
  <c r="P1957" i="7"/>
  <c r="O1957" i="7"/>
  <c r="U1956" i="7"/>
  <c r="T1956" i="7"/>
  <c r="S1956" i="7"/>
  <c r="R1956" i="7"/>
  <c r="Q1956" i="7"/>
  <c r="P1956" i="7"/>
  <c r="O1956" i="7"/>
  <c r="U1955" i="7"/>
  <c r="T1955" i="7"/>
  <c r="S1955" i="7"/>
  <c r="R1955" i="7"/>
  <c r="Q1955" i="7"/>
  <c r="P1955" i="7"/>
  <c r="O1955" i="7"/>
  <c r="U1954" i="7"/>
  <c r="T1954" i="7"/>
  <c r="S1954" i="7"/>
  <c r="R1954" i="7"/>
  <c r="Q1954" i="7"/>
  <c r="P1954" i="7"/>
  <c r="O1954" i="7"/>
  <c r="U1953" i="7"/>
  <c r="T1953" i="7"/>
  <c r="S1953" i="7"/>
  <c r="R1953" i="7"/>
  <c r="Q1953" i="7"/>
  <c r="P1953" i="7"/>
  <c r="O1953" i="7"/>
  <c r="U1952" i="7"/>
  <c r="T1952" i="7"/>
  <c r="S1952" i="7"/>
  <c r="R1952" i="7"/>
  <c r="Q1952" i="7"/>
  <c r="P1952" i="7"/>
  <c r="O1952" i="7"/>
  <c r="U1951" i="7"/>
  <c r="T1951" i="7"/>
  <c r="S1951" i="7"/>
  <c r="R1951" i="7"/>
  <c r="Q1951" i="7"/>
  <c r="P1951" i="7"/>
  <c r="O1951" i="7"/>
  <c r="U1950" i="7"/>
  <c r="T1950" i="7"/>
  <c r="S1950" i="7"/>
  <c r="R1950" i="7"/>
  <c r="Q1950" i="7"/>
  <c r="P1950" i="7"/>
  <c r="O1950" i="7"/>
  <c r="U1949" i="7"/>
  <c r="T1949" i="7"/>
  <c r="S1949" i="7"/>
  <c r="R1949" i="7"/>
  <c r="Q1949" i="7"/>
  <c r="P1949" i="7"/>
  <c r="O1949" i="7"/>
  <c r="U1948" i="7"/>
  <c r="T1948" i="7"/>
  <c r="S1948" i="7"/>
  <c r="R1948" i="7"/>
  <c r="Q1948" i="7"/>
  <c r="P1948" i="7"/>
  <c r="O1948" i="7"/>
  <c r="U1947" i="7"/>
  <c r="T1947" i="7"/>
  <c r="S1947" i="7"/>
  <c r="R1947" i="7"/>
  <c r="Q1947" i="7"/>
  <c r="P1947" i="7"/>
  <c r="O1947" i="7"/>
  <c r="U1946" i="7"/>
  <c r="T1946" i="7"/>
  <c r="S1946" i="7"/>
  <c r="R1946" i="7"/>
  <c r="Q1946" i="7"/>
  <c r="P1946" i="7"/>
  <c r="O1946" i="7"/>
  <c r="U1945" i="7"/>
  <c r="T1945" i="7"/>
  <c r="S1945" i="7"/>
  <c r="R1945" i="7"/>
  <c r="Q1945" i="7"/>
  <c r="P1945" i="7"/>
  <c r="O1945" i="7"/>
  <c r="U1944" i="7"/>
  <c r="T1944" i="7"/>
  <c r="S1944" i="7"/>
  <c r="R1944" i="7"/>
  <c r="Q1944" i="7"/>
  <c r="P1944" i="7"/>
  <c r="O1944" i="7"/>
  <c r="U1943" i="7"/>
  <c r="T1943" i="7"/>
  <c r="S1943" i="7"/>
  <c r="R1943" i="7"/>
  <c r="Q1943" i="7"/>
  <c r="P1943" i="7"/>
  <c r="O1943" i="7"/>
  <c r="U1942" i="7"/>
  <c r="T1942" i="7"/>
  <c r="S1942" i="7"/>
  <c r="R1942" i="7"/>
  <c r="Q1942" i="7"/>
  <c r="P1942" i="7"/>
  <c r="O1942" i="7"/>
  <c r="U1941" i="7"/>
  <c r="T1941" i="7"/>
  <c r="S1941" i="7"/>
  <c r="R1941" i="7"/>
  <c r="Q1941" i="7"/>
  <c r="P1941" i="7"/>
  <c r="O1941" i="7"/>
  <c r="U1940" i="7"/>
  <c r="T1940" i="7"/>
  <c r="S1940" i="7"/>
  <c r="R1940" i="7"/>
  <c r="Q1940" i="7"/>
  <c r="P1940" i="7"/>
  <c r="O1940" i="7"/>
  <c r="U1939" i="7"/>
  <c r="T1939" i="7"/>
  <c r="S1939" i="7"/>
  <c r="R1939" i="7"/>
  <c r="Q1939" i="7"/>
  <c r="P1939" i="7"/>
  <c r="O1939" i="7"/>
  <c r="U1938" i="7"/>
  <c r="T1938" i="7"/>
  <c r="S1938" i="7"/>
  <c r="R1938" i="7"/>
  <c r="Q1938" i="7"/>
  <c r="P1938" i="7"/>
  <c r="O1938" i="7"/>
  <c r="U1937" i="7"/>
  <c r="T1937" i="7"/>
  <c r="S1937" i="7"/>
  <c r="R1937" i="7"/>
  <c r="Q1937" i="7"/>
  <c r="P1937" i="7"/>
  <c r="O1937" i="7"/>
  <c r="U1936" i="7"/>
  <c r="T1936" i="7"/>
  <c r="S1936" i="7"/>
  <c r="R1936" i="7"/>
  <c r="Q1936" i="7"/>
  <c r="P1936" i="7"/>
  <c r="O1936" i="7"/>
  <c r="U1935" i="7"/>
  <c r="T1935" i="7"/>
  <c r="S1935" i="7"/>
  <c r="R1935" i="7"/>
  <c r="Q1935" i="7"/>
  <c r="P1935" i="7"/>
  <c r="O1935" i="7"/>
  <c r="U1934" i="7"/>
  <c r="T1934" i="7"/>
  <c r="S1934" i="7"/>
  <c r="R1934" i="7"/>
  <c r="Q1934" i="7"/>
  <c r="P1934" i="7"/>
  <c r="O1934" i="7"/>
  <c r="U1933" i="7"/>
  <c r="T1933" i="7"/>
  <c r="S1933" i="7"/>
  <c r="R1933" i="7"/>
  <c r="Q1933" i="7"/>
  <c r="P1933" i="7"/>
  <c r="O1933" i="7"/>
  <c r="U1932" i="7"/>
  <c r="T1932" i="7"/>
  <c r="S1932" i="7"/>
  <c r="R1932" i="7"/>
  <c r="Q1932" i="7"/>
  <c r="P1932" i="7"/>
  <c r="O1932" i="7"/>
  <c r="U1931" i="7"/>
  <c r="T1931" i="7"/>
  <c r="S1931" i="7"/>
  <c r="R1931" i="7"/>
  <c r="Q1931" i="7"/>
  <c r="P1931" i="7"/>
  <c r="O1931" i="7"/>
  <c r="U1930" i="7"/>
  <c r="T1930" i="7"/>
  <c r="S1930" i="7"/>
  <c r="R1930" i="7"/>
  <c r="Q1930" i="7"/>
  <c r="P1930" i="7"/>
  <c r="O1930" i="7"/>
  <c r="U1929" i="7"/>
  <c r="T1929" i="7"/>
  <c r="S1929" i="7"/>
  <c r="R1929" i="7"/>
  <c r="Q1929" i="7"/>
  <c r="P1929" i="7"/>
  <c r="O1929" i="7"/>
  <c r="U1928" i="7"/>
  <c r="T1928" i="7"/>
  <c r="S1928" i="7"/>
  <c r="R1928" i="7"/>
  <c r="Q1928" i="7"/>
  <c r="P1928" i="7"/>
  <c r="O1928" i="7"/>
  <c r="U1927" i="7"/>
  <c r="T1927" i="7"/>
  <c r="S1927" i="7"/>
  <c r="R1927" i="7"/>
  <c r="Q1927" i="7"/>
  <c r="P1927" i="7"/>
  <c r="O1927" i="7"/>
  <c r="U1926" i="7"/>
  <c r="T1926" i="7"/>
  <c r="S1926" i="7"/>
  <c r="R1926" i="7"/>
  <c r="Q1926" i="7"/>
  <c r="P1926" i="7"/>
  <c r="O1926" i="7"/>
  <c r="U1925" i="7"/>
  <c r="T1925" i="7"/>
  <c r="S1925" i="7"/>
  <c r="R1925" i="7"/>
  <c r="Q1925" i="7"/>
  <c r="P1925" i="7"/>
  <c r="O1925" i="7"/>
  <c r="U1924" i="7"/>
  <c r="T1924" i="7"/>
  <c r="S1924" i="7"/>
  <c r="R1924" i="7"/>
  <c r="Q1924" i="7"/>
  <c r="P1924" i="7"/>
  <c r="O1924" i="7"/>
  <c r="U1923" i="7"/>
  <c r="T1923" i="7"/>
  <c r="S1923" i="7"/>
  <c r="R1923" i="7"/>
  <c r="Q1923" i="7"/>
  <c r="P1923" i="7"/>
  <c r="O1923" i="7"/>
  <c r="U1922" i="7"/>
  <c r="T1922" i="7"/>
  <c r="S1922" i="7"/>
  <c r="R1922" i="7"/>
  <c r="Q1922" i="7"/>
  <c r="P1922" i="7"/>
  <c r="O1922" i="7"/>
  <c r="U1921" i="7"/>
  <c r="T1921" i="7"/>
  <c r="S1921" i="7"/>
  <c r="R1921" i="7"/>
  <c r="Q1921" i="7"/>
  <c r="P1921" i="7"/>
  <c r="O1921" i="7"/>
  <c r="U1920" i="7"/>
  <c r="T1920" i="7"/>
  <c r="S1920" i="7"/>
  <c r="R1920" i="7"/>
  <c r="Q1920" i="7"/>
  <c r="P1920" i="7"/>
  <c r="O1920" i="7"/>
  <c r="U1919" i="7"/>
  <c r="T1919" i="7"/>
  <c r="S1919" i="7"/>
  <c r="R1919" i="7"/>
  <c r="Q1919" i="7"/>
  <c r="P1919" i="7"/>
  <c r="O1919" i="7"/>
  <c r="U1918" i="7"/>
  <c r="T1918" i="7"/>
  <c r="S1918" i="7"/>
  <c r="R1918" i="7"/>
  <c r="Q1918" i="7"/>
  <c r="P1918" i="7"/>
  <c r="O1918" i="7"/>
  <c r="U1917" i="7"/>
  <c r="T1917" i="7"/>
  <c r="S1917" i="7"/>
  <c r="R1917" i="7"/>
  <c r="Q1917" i="7"/>
  <c r="P1917" i="7"/>
  <c r="O1917" i="7"/>
  <c r="U1916" i="7"/>
  <c r="T1916" i="7"/>
  <c r="S1916" i="7"/>
  <c r="R1916" i="7"/>
  <c r="Q1916" i="7"/>
  <c r="P1916" i="7"/>
  <c r="O1916" i="7"/>
  <c r="U1915" i="7"/>
  <c r="T1915" i="7"/>
  <c r="S1915" i="7"/>
  <c r="R1915" i="7"/>
  <c r="Q1915" i="7"/>
  <c r="P1915" i="7"/>
  <c r="O1915" i="7"/>
  <c r="U1914" i="7"/>
  <c r="T1914" i="7"/>
  <c r="S1914" i="7"/>
  <c r="R1914" i="7"/>
  <c r="Q1914" i="7"/>
  <c r="P1914" i="7"/>
  <c r="O1914" i="7"/>
  <c r="U1913" i="7"/>
  <c r="T1913" i="7"/>
  <c r="S1913" i="7"/>
  <c r="R1913" i="7"/>
  <c r="Q1913" i="7"/>
  <c r="P1913" i="7"/>
  <c r="O1913" i="7"/>
  <c r="U1912" i="7"/>
  <c r="T1912" i="7"/>
  <c r="S1912" i="7"/>
  <c r="R1912" i="7"/>
  <c r="Q1912" i="7"/>
  <c r="P1912" i="7"/>
  <c r="O1912" i="7"/>
  <c r="U1911" i="7"/>
  <c r="T1911" i="7"/>
  <c r="S1911" i="7"/>
  <c r="R1911" i="7"/>
  <c r="Q1911" i="7"/>
  <c r="P1911" i="7"/>
  <c r="O1911" i="7"/>
  <c r="U1910" i="7"/>
  <c r="T1910" i="7"/>
  <c r="S1910" i="7"/>
  <c r="R1910" i="7"/>
  <c r="Q1910" i="7"/>
  <c r="P1910" i="7"/>
  <c r="O1910" i="7"/>
  <c r="U1909" i="7"/>
  <c r="T1909" i="7"/>
  <c r="S1909" i="7"/>
  <c r="R1909" i="7"/>
  <c r="Q1909" i="7"/>
  <c r="P1909" i="7"/>
  <c r="O1909" i="7"/>
  <c r="U1908" i="7"/>
  <c r="T1908" i="7"/>
  <c r="S1908" i="7"/>
  <c r="R1908" i="7"/>
  <c r="Q1908" i="7"/>
  <c r="P1908" i="7"/>
  <c r="O1908" i="7"/>
  <c r="U1907" i="7"/>
  <c r="T1907" i="7"/>
  <c r="S1907" i="7"/>
  <c r="R1907" i="7"/>
  <c r="Q1907" i="7"/>
  <c r="P1907" i="7"/>
  <c r="O1907" i="7"/>
  <c r="U1906" i="7"/>
  <c r="T1906" i="7"/>
  <c r="S1906" i="7"/>
  <c r="R1906" i="7"/>
  <c r="Q1906" i="7"/>
  <c r="P1906" i="7"/>
  <c r="O1906" i="7"/>
  <c r="U1905" i="7"/>
  <c r="T1905" i="7"/>
  <c r="S1905" i="7"/>
  <c r="R1905" i="7"/>
  <c r="Q1905" i="7"/>
  <c r="P1905" i="7"/>
  <c r="O1905" i="7"/>
  <c r="U1904" i="7"/>
  <c r="T1904" i="7"/>
  <c r="S1904" i="7"/>
  <c r="R1904" i="7"/>
  <c r="Q1904" i="7"/>
  <c r="P1904" i="7"/>
  <c r="O1904" i="7"/>
  <c r="U1903" i="7"/>
  <c r="T1903" i="7"/>
  <c r="S1903" i="7"/>
  <c r="R1903" i="7"/>
  <c r="Q1903" i="7"/>
  <c r="P1903" i="7"/>
  <c r="O1903" i="7"/>
  <c r="U1902" i="7"/>
  <c r="T1902" i="7"/>
  <c r="S1902" i="7"/>
  <c r="R1902" i="7"/>
  <c r="Q1902" i="7"/>
  <c r="P1902" i="7"/>
  <c r="O1902" i="7"/>
  <c r="U1901" i="7"/>
  <c r="T1901" i="7"/>
  <c r="S1901" i="7"/>
  <c r="R1901" i="7"/>
  <c r="Q1901" i="7"/>
  <c r="P1901" i="7"/>
  <c r="O1901" i="7"/>
  <c r="U1900" i="7"/>
  <c r="T1900" i="7"/>
  <c r="S1900" i="7"/>
  <c r="R1900" i="7"/>
  <c r="Q1900" i="7"/>
  <c r="P1900" i="7"/>
  <c r="O1900" i="7"/>
  <c r="U1899" i="7"/>
  <c r="T1899" i="7"/>
  <c r="S1899" i="7"/>
  <c r="R1899" i="7"/>
  <c r="Q1899" i="7"/>
  <c r="P1899" i="7"/>
  <c r="O1899" i="7"/>
  <c r="U1898" i="7"/>
  <c r="T1898" i="7"/>
  <c r="S1898" i="7"/>
  <c r="R1898" i="7"/>
  <c r="Q1898" i="7"/>
  <c r="P1898" i="7"/>
  <c r="O1898" i="7"/>
  <c r="U1897" i="7"/>
  <c r="T1897" i="7"/>
  <c r="S1897" i="7"/>
  <c r="R1897" i="7"/>
  <c r="Q1897" i="7"/>
  <c r="P1897" i="7"/>
  <c r="O1897" i="7"/>
  <c r="U1896" i="7"/>
  <c r="T1896" i="7"/>
  <c r="S1896" i="7"/>
  <c r="R1896" i="7"/>
  <c r="Q1896" i="7"/>
  <c r="P1896" i="7"/>
  <c r="O1896" i="7"/>
  <c r="U1895" i="7"/>
  <c r="T1895" i="7"/>
  <c r="S1895" i="7"/>
  <c r="R1895" i="7"/>
  <c r="Q1895" i="7"/>
  <c r="P1895" i="7"/>
  <c r="O1895" i="7"/>
  <c r="U1894" i="7"/>
  <c r="T1894" i="7"/>
  <c r="S1894" i="7"/>
  <c r="R1894" i="7"/>
  <c r="Q1894" i="7"/>
  <c r="P1894" i="7"/>
  <c r="O1894" i="7"/>
  <c r="U1893" i="7"/>
  <c r="T1893" i="7"/>
  <c r="S1893" i="7"/>
  <c r="R1893" i="7"/>
  <c r="Q1893" i="7"/>
  <c r="P1893" i="7"/>
  <c r="O1893" i="7"/>
  <c r="U1892" i="7"/>
  <c r="T1892" i="7"/>
  <c r="S1892" i="7"/>
  <c r="R1892" i="7"/>
  <c r="Q1892" i="7"/>
  <c r="P1892" i="7"/>
  <c r="O1892" i="7"/>
  <c r="U1891" i="7"/>
  <c r="T1891" i="7"/>
  <c r="S1891" i="7"/>
  <c r="R1891" i="7"/>
  <c r="Q1891" i="7"/>
  <c r="P1891" i="7"/>
  <c r="O1891" i="7"/>
  <c r="U1890" i="7"/>
  <c r="T1890" i="7"/>
  <c r="S1890" i="7"/>
  <c r="R1890" i="7"/>
  <c r="Q1890" i="7"/>
  <c r="P1890" i="7"/>
  <c r="O1890" i="7"/>
  <c r="U1889" i="7"/>
  <c r="T1889" i="7"/>
  <c r="S1889" i="7"/>
  <c r="R1889" i="7"/>
  <c r="Q1889" i="7"/>
  <c r="P1889" i="7"/>
  <c r="O1889" i="7"/>
  <c r="U1888" i="7"/>
  <c r="T1888" i="7"/>
  <c r="S1888" i="7"/>
  <c r="R1888" i="7"/>
  <c r="Q1888" i="7"/>
  <c r="P1888" i="7"/>
  <c r="O1888" i="7"/>
  <c r="U1887" i="7"/>
  <c r="T1887" i="7"/>
  <c r="S1887" i="7"/>
  <c r="R1887" i="7"/>
  <c r="Q1887" i="7"/>
  <c r="P1887" i="7"/>
  <c r="O1887" i="7"/>
  <c r="U1886" i="7"/>
  <c r="T1886" i="7"/>
  <c r="S1886" i="7"/>
  <c r="R1886" i="7"/>
  <c r="Q1886" i="7"/>
  <c r="P1886" i="7"/>
  <c r="O1886" i="7"/>
  <c r="U1885" i="7"/>
  <c r="T1885" i="7"/>
  <c r="S1885" i="7"/>
  <c r="R1885" i="7"/>
  <c r="Q1885" i="7"/>
  <c r="P1885" i="7"/>
  <c r="O1885" i="7"/>
  <c r="U1884" i="7"/>
  <c r="T1884" i="7"/>
  <c r="S1884" i="7"/>
  <c r="R1884" i="7"/>
  <c r="Q1884" i="7"/>
  <c r="P1884" i="7"/>
  <c r="O1884" i="7"/>
  <c r="U1883" i="7"/>
  <c r="T1883" i="7"/>
  <c r="S1883" i="7"/>
  <c r="R1883" i="7"/>
  <c r="Q1883" i="7"/>
  <c r="P1883" i="7"/>
  <c r="O1883" i="7"/>
  <c r="U1882" i="7"/>
  <c r="T1882" i="7"/>
  <c r="S1882" i="7"/>
  <c r="R1882" i="7"/>
  <c r="Q1882" i="7"/>
  <c r="P1882" i="7"/>
  <c r="O1882" i="7"/>
  <c r="U1881" i="7"/>
  <c r="T1881" i="7"/>
  <c r="S1881" i="7"/>
  <c r="R1881" i="7"/>
  <c r="Q1881" i="7"/>
  <c r="P1881" i="7"/>
  <c r="O1881" i="7"/>
  <c r="U1880" i="7"/>
  <c r="T1880" i="7"/>
  <c r="S1880" i="7"/>
  <c r="R1880" i="7"/>
  <c r="Q1880" i="7"/>
  <c r="P1880" i="7"/>
  <c r="O1880" i="7"/>
  <c r="U1879" i="7"/>
  <c r="T1879" i="7"/>
  <c r="S1879" i="7"/>
  <c r="R1879" i="7"/>
  <c r="Q1879" i="7"/>
  <c r="P1879" i="7"/>
  <c r="O1879" i="7"/>
  <c r="U1878" i="7"/>
  <c r="T1878" i="7"/>
  <c r="S1878" i="7"/>
  <c r="R1878" i="7"/>
  <c r="Q1878" i="7"/>
  <c r="P1878" i="7"/>
  <c r="O1878" i="7"/>
  <c r="U1877" i="7"/>
  <c r="T1877" i="7"/>
  <c r="S1877" i="7"/>
  <c r="R1877" i="7"/>
  <c r="Q1877" i="7"/>
  <c r="P1877" i="7"/>
  <c r="O1877" i="7"/>
  <c r="U1876" i="7"/>
  <c r="T1876" i="7"/>
  <c r="S1876" i="7"/>
  <c r="R1876" i="7"/>
  <c r="Q1876" i="7"/>
  <c r="P1876" i="7"/>
  <c r="O1876" i="7"/>
  <c r="U1875" i="7"/>
  <c r="T1875" i="7"/>
  <c r="S1875" i="7"/>
  <c r="R1875" i="7"/>
  <c r="Q1875" i="7"/>
  <c r="P1875" i="7"/>
  <c r="O1875" i="7"/>
  <c r="U1874" i="7"/>
  <c r="T1874" i="7"/>
  <c r="S1874" i="7"/>
  <c r="R1874" i="7"/>
  <c r="Q1874" i="7"/>
  <c r="P1874" i="7"/>
  <c r="O1874" i="7"/>
  <c r="U1873" i="7"/>
  <c r="T1873" i="7"/>
  <c r="S1873" i="7"/>
  <c r="R1873" i="7"/>
  <c r="Q1873" i="7"/>
  <c r="P1873" i="7"/>
  <c r="O1873" i="7"/>
  <c r="U1872" i="7"/>
  <c r="T1872" i="7"/>
  <c r="S1872" i="7"/>
  <c r="R1872" i="7"/>
  <c r="Q1872" i="7"/>
  <c r="P1872" i="7"/>
  <c r="O1872" i="7"/>
  <c r="U1871" i="7"/>
  <c r="T1871" i="7"/>
  <c r="S1871" i="7"/>
  <c r="R1871" i="7"/>
  <c r="Q1871" i="7"/>
  <c r="P1871" i="7"/>
  <c r="O1871" i="7"/>
  <c r="U1870" i="7"/>
  <c r="T1870" i="7"/>
  <c r="S1870" i="7"/>
  <c r="R1870" i="7"/>
  <c r="Q1870" i="7"/>
  <c r="P1870" i="7"/>
  <c r="O1870" i="7"/>
  <c r="U1869" i="7"/>
  <c r="T1869" i="7"/>
  <c r="S1869" i="7"/>
  <c r="R1869" i="7"/>
  <c r="Q1869" i="7"/>
  <c r="P1869" i="7"/>
  <c r="O1869" i="7"/>
  <c r="U1868" i="7"/>
  <c r="T1868" i="7"/>
  <c r="S1868" i="7"/>
  <c r="R1868" i="7"/>
  <c r="Q1868" i="7"/>
  <c r="P1868" i="7"/>
  <c r="O1868" i="7"/>
  <c r="U1867" i="7"/>
  <c r="T1867" i="7"/>
  <c r="S1867" i="7"/>
  <c r="R1867" i="7"/>
  <c r="Q1867" i="7"/>
  <c r="P1867" i="7"/>
  <c r="O1867" i="7"/>
  <c r="U1866" i="7"/>
  <c r="T1866" i="7"/>
  <c r="S1866" i="7"/>
  <c r="R1866" i="7"/>
  <c r="Q1866" i="7"/>
  <c r="P1866" i="7"/>
  <c r="O1866" i="7"/>
  <c r="U1865" i="7"/>
  <c r="T1865" i="7"/>
  <c r="S1865" i="7"/>
  <c r="R1865" i="7"/>
  <c r="Q1865" i="7"/>
  <c r="P1865" i="7"/>
  <c r="O1865" i="7"/>
  <c r="U1864" i="7"/>
  <c r="T1864" i="7"/>
  <c r="S1864" i="7"/>
  <c r="R1864" i="7"/>
  <c r="Q1864" i="7"/>
  <c r="P1864" i="7"/>
  <c r="O1864" i="7"/>
  <c r="U1863" i="7"/>
  <c r="T1863" i="7"/>
  <c r="S1863" i="7"/>
  <c r="R1863" i="7"/>
  <c r="Q1863" i="7"/>
  <c r="P1863" i="7"/>
  <c r="O1863" i="7"/>
  <c r="U1862" i="7"/>
  <c r="T1862" i="7"/>
  <c r="S1862" i="7"/>
  <c r="R1862" i="7"/>
  <c r="Q1862" i="7"/>
  <c r="P1862" i="7"/>
  <c r="O1862" i="7"/>
  <c r="U1861" i="7"/>
  <c r="T1861" i="7"/>
  <c r="S1861" i="7"/>
  <c r="R1861" i="7"/>
  <c r="Q1861" i="7"/>
  <c r="P1861" i="7"/>
  <c r="O1861" i="7"/>
  <c r="U1860" i="7"/>
  <c r="T1860" i="7"/>
  <c r="S1860" i="7"/>
  <c r="R1860" i="7"/>
  <c r="Q1860" i="7"/>
  <c r="P1860" i="7"/>
  <c r="O1860" i="7"/>
  <c r="U1859" i="7"/>
  <c r="T1859" i="7"/>
  <c r="S1859" i="7"/>
  <c r="R1859" i="7"/>
  <c r="Q1859" i="7"/>
  <c r="P1859" i="7"/>
  <c r="O1859" i="7"/>
  <c r="U1858" i="7"/>
  <c r="T1858" i="7"/>
  <c r="S1858" i="7"/>
  <c r="R1858" i="7"/>
  <c r="Q1858" i="7"/>
  <c r="P1858" i="7"/>
  <c r="O1858" i="7"/>
  <c r="U1857" i="7"/>
  <c r="T1857" i="7"/>
  <c r="S1857" i="7"/>
  <c r="R1857" i="7"/>
  <c r="Q1857" i="7"/>
  <c r="P1857" i="7"/>
  <c r="O1857" i="7"/>
  <c r="U1856" i="7"/>
  <c r="T1856" i="7"/>
  <c r="S1856" i="7"/>
  <c r="R1856" i="7"/>
  <c r="Q1856" i="7"/>
  <c r="P1856" i="7"/>
  <c r="O1856" i="7"/>
  <c r="U1855" i="7"/>
  <c r="T1855" i="7"/>
  <c r="S1855" i="7"/>
  <c r="R1855" i="7"/>
  <c r="Q1855" i="7"/>
  <c r="P1855" i="7"/>
  <c r="O1855" i="7"/>
  <c r="U1854" i="7"/>
  <c r="T1854" i="7"/>
  <c r="S1854" i="7"/>
  <c r="R1854" i="7"/>
  <c r="Q1854" i="7"/>
  <c r="P1854" i="7"/>
  <c r="O1854" i="7"/>
  <c r="U1853" i="7"/>
  <c r="T1853" i="7"/>
  <c r="S1853" i="7"/>
  <c r="R1853" i="7"/>
  <c r="Q1853" i="7"/>
  <c r="P1853" i="7"/>
  <c r="O1853" i="7"/>
  <c r="U1852" i="7"/>
  <c r="T1852" i="7"/>
  <c r="S1852" i="7"/>
  <c r="R1852" i="7"/>
  <c r="Q1852" i="7"/>
  <c r="P1852" i="7"/>
  <c r="O1852" i="7"/>
  <c r="U1851" i="7"/>
  <c r="T1851" i="7"/>
  <c r="S1851" i="7"/>
  <c r="R1851" i="7"/>
  <c r="Q1851" i="7"/>
  <c r="P1851" i="7"/>
  <c r="O1851" i="7"/>
  <c r="U1850" i="7"/>
  <c r="T1850" i="7"/>
  <c r="S1850" i="7"/>
  <c r="R1850" i="7"/>
  <c r="Q1850" i="7"/>
  <c r="P1850" i="7"/>
  <c r="O1850" i="7"/>
  <c r="U1849" i="7"/>
  <c r="T1849" i="7"/>
  <c r="S1849" i="7"/>
  <c r="R1849" i="7"/>
  <c r="Q1849" i="7"/>
  <c r="P1849" i="7"/>
  <c r="O1849" i="7"/>
  <c r="U1848" i="7"/>
  <c r="T1848" i="7"/>
  <c r="S1848" i="7"/>
  <c r="R1848" i="7"/>
  <c r="Q1848" i="7"/>
  <c r="P1848" i="7"/>
  <c r="O1848" i="7"/>
  <c r="U1847" i="7"/>
  <c r="T1847" i="7"/>
  <c r="S1847" i="7"/>
  <c r="R1847" i="7"/>
  <c r="Q1847" i="7"/>
  <c r="P1847" i="7"/>
  <c r="O1847" i="7"/>
  <c r="U1846" i="7"/>
  <c r="T1846" i="7"/>
  <c r="S1846" i="7"/>
  <c r="R1846" i="7"/>
  <c r="Q1846" i="7"/>
  <c r="P1846" i="7"/>
  <c r="O1846" i="7"/>
  <c r="U1845" i="7"/>
  <c r="T1845" i="7"/>
  <c r="S1845" i="7"/>
  <c r="R1845" i="7"/>
  <c r="Q1845" i="7"/>
  <c r="P1845" i="7"/>
  <c r="O1845" i="7"/>
  <c r="U1844" i="7"/>
  <c r="T1844" i="7"/>
  <c r="S1844" i="7"/>
  <c r="R1844" i="7"/>
  <c r="Q1844" i="7"/>
  <c r="P1844" i="7"/>
  <c r="O1844" i="7"/>
  <c r="U1843" i="7"/>
  <c r="T1843" i="7"/>
  <c r="S1843" i="7"/>
  <c r="R1843" i="7"/>
  <c r="Q1843" i="7"/>
  <c r="P1843" i="7"/>
  <c r="O1843" i="7"/>
  <c r="U1842" i="7"/>
  <c r="T1842" i="7"/>
  <c r="S1842" i="7"/>
  <c r="R1842" i="7"/>
  <c r="Q1842" i="7"/>
  <c r="P1842" i="7"/>
  <c r="O1842" i="7"/>
  <c r="U1841" i="7"/>
  <c r="T1841" i="7"/>
  <c r="S1841" i="7"/>
  <c r="R1841" i="7"/>
  <c r="Q1841" i="7"/>
  <c r="P1841" i="7"/>
  <c r="O1841" i="7"/>
  <c r="U1840" i="7"/>
  <c r="T1840" i="7"/>
  <c r="S1840" i="7"/>
  <c r="R1840" i="7"/>
  <c r="Q1840" i="7"/>
  <c r="P1840" i="7"/>
  <c r="O1840" i="7"/>
  <c r="U1839" i="7"/>
  <c r="T1839" i="7"/>
  <c r="S1839" i="7"/>
  <c r="R1839" i="7"/>
  <c r="Q1839" i="7"/>
  <c r="P1839" i="7"/>
  <c r="O1839" i="7"/>
  <c r="U1838" i="7"/>
  <c r="T1838" i="7"/>
  <c r="S1838" i="7"/>
  <c r="R1838" i="7"/>
  <c r="Q1838" i="7"/>
  <c r="P1838" i="7"/>
  <c r="O1838" i="7"/>
  <c r="U1837" i="7"/>
  <c r="T1837" i="7"/>
  <c r="S1837" i="7"/>
  <c r="R1837" i="7"/>
  <c r="Q1837" i="7"/>
  <c r="P1837" i="7"/>
  <c r="O1837" i="7"/>
  <c r="U1836" i="7"/>
  <c r="T1836" i="7"/>
  <c r="S1836" i="7"/>
  <c r="R1836" i="7"/>
  <c r="Q1836" i="7"/>
  <c r="P1836" i="7"/>
  <c r="O1836" i="7"/>
  <c r="U1835" i="7"/>
  <c r="T1835" i="7"/>
  <c r="S1835" i="7"/>
  <c r="R1835" i="7"/>
  <c r="Q1835" i="7"/>
  <c r="P1835" i="7"/>
  <c r="O1835" i="7"/>
  <c r="U1834" i="7"/>
  <c r="T1834" i="7"/>
  <c r="S1834" i="7"/>
  <c r="R1834" i="7"/>
  <c r="Q1834" i="7"/>
  <c r="P1834" i="7"/>
  <c r="O1834" i="7"/>
  <c r="U1833" i="7"/>
  <c r="T1833" i="7"/>
  <c r="S1833" i="7"/>
  <c r="R1833" i="7"/>
  <c r="Q1833" i="7"/>
  <c r="P1833" i="7"/>
  <c r="O1833" i="7"/>
  <c r="U1832" i="7"/>
  <c r="T1832" i="7"/>
  <c r="S1832" i="7"/>
  <c r="R1832" i="7"/>
  <c r="Q1832" i="7"/>
  <c r="P1832" i="7"/>
  <c r="O1832" i="7"/>
  <c r="U1831" i="7"/>
  <c r="T1831" i="7"/>
  <c r="S1831" i="7"/>
  <c r="R1831" i="7"/>
  <c r="Q1831" i="7"/>
  <c r="P1831" i="7"/>
  <c r="O1831" i="7"/>
  <c r="U1830" i="7"/>
  <c r="T1830" i="7"/>
  <c r="S1830" i="7"/>
  <c r="R1830" i="7"/>
  <c r="Q1830" i="7"/>
  <c r="P1830" i="7"/>
  <c r="O1830" i="7"/>
  <c r="U1829" i="7"/>
  <c r="T1829" i="7"/>
  <c r="S1829" i="7"/>
  <c r="R1829" i="7"/>
  <c r="Q1829" i="7"/>
  <c r="P1829" i="7"/>
  <c r="O1829" i="7"/>
  <c r="U1828" i="7"/>
  <c r="T1828" i="7"/>
  <c r="S1828" i="7"/>
  <c r="R1828" i="7"/>
  <c r="Q1828" i="7"/>
  <c r="P1828" i="7"/>
  <c r="O1828" i="7"/>
  <c r="U1827" i="7"/>
  <c r="T1827" i="7"/>
  <c r="S1827" i="7"/>
  <c r="R1827" i="7"/>
  <c r="Q1827" i="7"/>
  <c r="P1827" i="7"/>
  <c r="O1827" i="7"/>
  <c r="U1826" i="7"/>
  <c r="T1826" i="7"/>
  <c r="S1826" i="7"/>
  <c r="R1826" i="7"/>
  <c r="Q1826" i="7"/>
  <c r="P1826" i="7"/>
  <c r="O1826" i="7"/>
  <c r="U1825" i="7"/>
  <c r="T1825" i="7"/>
  <c r="S1825" i="7"/>
  <c r="R1825" i="7"/>
  <c r="Q1825" i="7"/>
  <c r="P1825" i="7"/>
  <c r="O1825" i="7"/>
  <c r="U1824" i="7"/>
  <c r="T1824" i="7"/>
  <c r="S1824" i="7"/>
  <c r="R1824" i="7"/>
  <c r="Q1824" i="7"/>
  <c r="P1824" i="7"/>
  <c r="O1824" i="7"/>
  <c r="U1823" i="7"/>
  <c r="T1823" i="7"/>
  <c r="S1823" i="7"/>
  <c r="R1823" i="7"/>
  <c r="Q1823" i="7"/>
  <c r="P1823" i="7"/>
  <c r="O1823" i="7"/>
  <c r="U1822" i="7"/>
  <c r="T1822" i="7"/>
  <c r="S1822" i="7"/>
  <c r="R1822" i="7"/>
  <c r="Q1822" i="7"/>
  <c r="P1822" i="7"/>
  <c r="O1822" i="7"/>
  <c r="U1821" i="7"/>
  <c r="T1821" i="7"/>
  <c r="S1821" i="7"/>
  <c r="R1821" i="7"/>
  <c r="Q1821" i="7"/>
  <c r="P1821" i="7"/>
  <c r="O1821" i="7"/>
  <c r="U1820" i="7"/>
  <c r="T1820" i="7"/>
  <c r="S1820" i="7"/>
  <c r="R1820" i="7"/>
  <c r="Q1820" i="7"/>
  <c r="P1820" i="7"/>
  <c r="O1820" i="7"/>
  <c r="U1819" i="7"/>
  <c r="T1819" i="7"/>
  <c r="S1819" i="7"/>
  <c r="R1819" i="7"/>
  <c r="Q1819" i="7"/>
  <c r="P1819" i="7"/>
  <c r="O1819" i="7"/>
  <c r="U1818" i="7"/>
  <c r="T1818" i="7"/>
  <c r="S1818" i="7"/>
  <c r="R1818" i="7"/>
  <c r="Q1818" i="7"/>
  <c r="P1818" i="7"/>
  <c r="O1818" i="7"/>
  <c r="U1817" i="7"/>
  <c r="T1817" i="7"/>
  <c r="S1817" i="7"/>
  <c r="R1817" i="7"/>
  <c r="Q1817" i="7"/>
  <c r="P1817" i="7"/>
  <c r="O1817" i="7"/>
  <c r="U1816" i="7"/>
  <c r="T1816" i="7"/>
  <c r="S1816" i="7"/>
  <c r="R1816" i="7"/>
  <c r="Q1816" i="7"/>
  <c r="P1816" i="7"/>
  <c r="O1816" i="7"/>
  <c r="U1815" i="7"/>
  <c r="T1815" i="7"/>
  <c r="S1815" i="7"/>
  <c r="R1815" i="7"/>
  <c r="Q1815" i="7"/>
  <c r="P1815" i="7"/>
  <c r="O1815" i="7"/>
  <c r="U1814" i="7"/>
  <c r="T1814" i="7"/>
  <c r="S1814" i="7"/>
  <c r="R1814" i="7"/>
  <c r="Q1814" i="7"/>
  <c r="P1814" i="7"/>
  <c r="O1814" i="7"/>
  <c r="U1813" i="7"/>
  <c r="T1813" i="7"/>
  <c r="S1813" i="7"/>
  <c r="R1813" i="7"/>
  <c r="Q1813" i="7"/>
  <c r="P1813" i="7"/>
  <c r="O1813" i="7"/>
  <c r="U1812" i="7"/>
  <c r="T1812" i="7"/>
  <c r="S1812" i="7"/>
  <c r="R1812" i="7"/>
  <c r="Q1812" i="7"/>
  <c r="P1812" i="7"/>
  <c r="O1812" i="7"/>
  <c r="U1811" i="7"/>
  <c r="T1811" i="7"/>
  <c r="S1811" i="7"/>
  <c r="R1811" i="7"/>
  <c r="Q1811" i="7"/>
  <c r="P1811" i="7"/>
  <c r="O1811" i="7"/>
  <c r="U1810" i="7"/>
  <c r="T1810" i="7"/>
  <c r="S1810" i="7"/>
  <c r="R1810" i="7"/>
  <c r="Q1810" i="7"/>
  <c r="P1810" i="7"/>
  <c r="O1810" i="7"/>
  <c r="U1809" i="7"/>
  <c r="T1809" i="7"/>
  <c r="S1809" i="7"/>
  <c r="R1809" i="7"/>
  <c r="Q1809" i="7"/>
  <c r="P1809" i="7"/>
  <c r="O1809" i="7"/>
  <c r="U1808" i="7"/>
  <c r="T1808" i="7"/>
  <c r="S1808" i="7"/>
  <c r="R1808" i="7"/>
  <c r="Q1808" i="7"/>
  <c r="P1808" i="7"/>
  <c r="O1808" i="7"/>
  <c r="U1807" i="7"/>
  <c r="T1807" i="7"/>
  <c r="S1807" i="7"/>
  <c r="R1807" i="7"/>
  <c r="Q1807" i="7"/>
  <c r="P1807" i="7"/>
  <c r="O1807" i="7"/>
  <c r="U1806" i="7"/>
  <c r="T1806" i="7"/>
  <c r="S1806" i="7"/>
  <c r="R1806" i="7"/>
  <c r="Q1806" i="7"/>
  <c r="P1806" i="7"/>
  <c r="O1806" i="7"/>
  <c r="U1805" i="7"/>
  <c r="T1805" i="7"/>
  <c r="S1805" i="7"/>
  <c r="R1805" i="7"/>
  <c r="Q1805" i="7"/>
  <c r="P1805" i="7"/>
  <c r="O1805" i="7"/>
  <c r="U1804" i="7"/>
  <c r="T1804" i="7"/>
  <c r="S1804" i="7"/>
  <c r="R1804" i="7"/>
  <c r="Q1804" i="7"/>
  <c r="P1804" i="7"/>
  <c r="O1804" i="7"/>
  <c r="U1803" i="7"/>
  <c r="T1803" i="7"/>
  <c r="S1803" i="7"/>
  <c r="R1803" i="7"/>
  <c r="Q1803" i="7"/>
  <c r="P1803" i="7"/>
  <c r="O1803" i="7"/>
  <c r="U1802" i="7"/>
  <c r="T1802" i="7"/>
  <c r="S1802" i="7"/>
  <c r="R1802" i="7"/>
  <c r="Q1802" i="7"/>
  <c r="P1802" i="7"/>
  <c r="O1802" i="7"/>
  <c r="U1801" i="7"/>
  <c r="T1801" i="7"/>
  <c r="S1801" i="7"/>
  <c r="R1801" i="7"/>
  <c r="Q1801" i="7"/>
  <c r="P1801" i="7"/>
  <c r="O1801" i="7"/>
  <c r="U1800" i="7"/>
  <c r="T1800" i="7"/>
  <c r="S1800" i="7"/>
  <c r="R1800" i="7"/>
  <c r="Q1800" i="7"/>
  <c r="P1800" i="7"/>
  <c r="O1800" i="7"/>
  <c r="U1799" i="7"/>
  <c r="T1799" i="7"/>
  <c r="S1799" i="7"/>
  <c r="R1799" i="7"/>
  <c r="Q1799" i="7"/>
  <c r="P1799" i="7"/>
  <c r="O1799" i="7"/>
  <c r="U1798" i="7"/>
  <c r="T1798" i="7"/>
  <c r="S1798" i="7"/>
  <c r="R1798" i="7"/>
  <c r="Q1798" i="7"/>
  <c r="P1798" i="7"/>
  <c r="O1798" i="7"/>
  <c r="U1797" i="7"/>
  <c r="T1797" i="7"/>
  <c r="S1797" i="7"/>
  <c r="R1797" i="7"/>
  <c r="Q1797" i="7"/>
  <c r="P1797" i="7"/>
  <c r="O1797" i="7"/>
  <c r="U1796" i="7"/>
  <c r="T1796" i="7"/>
  <c r="S1796" i="7"/>
  <c r="R1796" i="7"/>
  <c r="Q1796" i="7"/>
  <c r="P1796" i="7"/>
  <c r="O1796" i="7"/>
  <c r="U1795" i="7"/>
  <c r="T1795" i="7"/>
  <c r="S1795" i="7"/>
  <c r="R1795" i="7"/>
  <c r="Q1795" i="7"/>
  <c r="P1795" i="7"/>
  <c r="O1795" i="7"/>
  <c r="U1794" i="7"/>
  <c r="T1794" i="7"/>
  <c r="S1794" i="7"/>
  <c r="R1794" i="7"/>
  <c r="Q1794" i="7"/>
  <c r="P1794" i="7"/>
  <c r="O1794" i="7"/>
  <c r="U1793" i="7"/>
  <c r="T1793" i="7"/>
  <c r="S1793" i="7"/>
  <c r="R1793" i="7"/>
  <c r="Q1793" i="7"/>
  <c r="P1793" i="7"/>
  <c r="O1793" i="7"/>
  <c r="U1792" i="7"/>
  <c r="T1792" i="7"/>
  <c r="S1792" i="7"/>
  <c r="R1792" i="7"/>
  <c r="Q1792" i="7"/>
  <c r="P1792" i="7"/>
  <c r="O1792" i="7"/>
  <c r="U1791" i="7"/>
  <c r="T1791" i="7"/>
  <c r="S1791" i="7"/>
  <c r="R1791" i="7"/>
  <c r="Q1791" i="7"/>
  <c r="P1791" i="7"/>
  <c r="O1791" i="7"/>
  <c r="U1790" i="7"/>
  <c r="T1790" i="7"/>
  <c r="S1790" i="7"/>
  <c r="R1790" i="7"/>
  <c r="Q1790" i="7"/>
  <c r="P1790" i="7"/>
  <c r="O1790" i="7"/>
  <c r="U1789" i="7"/>
  <c r="T1789" i="7"/>
  <c r="S1789" i="7"/>
  <c r="R1789" i="7"/>
  <c r="Q1789" i="7"/>
  <c r="P1789" i="7"/>
  <c r="O1789" i="7"/>
  <c r="U1788" i="7"/>
  <c r="T1788" i="7"/>
  <c r="S1788" i="7"/>
  <c r="R1788" i="7"/>
  <c r="Q1788" i="7"/>
  <c r="P1788" i="7"/>
  <c r="O1788" i="7"/>
  <c r="U1787" i="7"/>
  <c r="T1787" i="7"/>
  <c r="S1787" i="7"/>
  <c r="R1787" i="7"/>
  <c r="Q1787" i="7"/>
  <c r="P1787" i="7"/>
  <c r="O1787" i="7"/>
  <c r="U1786" i="7"/>
  <c r="T1786" i="7"/>
  <c r="S1786" i="7"/>
  <c r="R1786" i="7"/>
  <c r="Q1786" i="7"/>
  <c r="P1786" i="7"/>
  <c r="O1786" i="7"/>
  <c r="U1785" i="7"/>
  <c r="T1785" i="7"/>
  <c r="S1785" i="7"/>
  <c r="R1785" i="7"/>
  <c r="Q1785" i="7"/>
  <c r="P1785" i="7"/>
  <c r="O1785" i="7"/>
  <c r="U1784" i="7"/>
  <c r="T1784" i="7"/>
  <c r="S1784" i="7"/>
  <c r="R1784" i="7"/>
  <c r="Q1784" i="7"/>
  <c r="P1784" i="7"/>
  <c r="O1784" i="7"/>
  <c r="U1783" i="7"/>
  <c r="T1783" i="7"/>
  <c r="S1783" i="7"/>
  <c r="R1783" i="7"/>
  <c r="Q1783" i="7"/>
  <c r="P1783" i="7"/>
  <c r="O1783" i="7"/>
  <c r="U1782" i="7"/>
  <c r="T1782" i="7"/>
  <c r="S1782" i="7"/>
  <c r="R1782" i="7"/>
  <c r="Q1782" i="7"/>
  <c r="P1782" i="7"/>
  <c r="O1782" i="7"/>
  <c r="U1781" i="7"/>
  <c r="T1781" i="7"/>
  <c r="S1781" i="7"/>
  <c r="R1781" i="7"/>
  <c r="Q1781" i="7"/>
  <c r="P1781" i="7"/>
  <c r="O1781" i="7"/>
  <c r="U1780" i="7"/>
  <c r="T1780" i="7"/>
  <c r="S1780" i="7"/>
  <c r="R1780" i="7"/>
  <c r="Q1780" i="7"/>
  <c r="P1780" i="7"/>
  <c r="O1780" i="7"/>
  <c r="U1779" i="7"/>
  <c r="T1779" i="7"/>
  <c r="S1779" i="7"/>
  <c r="R1779" i="7"/>
  <c r="Q1779" i="7"/>
  <c r="P1779" i="7"/>
  <c r="O1779" i="7"/>
  <c r="U1778" i="7"/>
  <c r="T1778" i="7"/>
  <c r="S1778" i="7"/>
  <c r="R1778" i="7"/>
  <c r="Q1778" i="7"/>
  <c r="P1778" i="7"/>
  <c r="O1778" i="7"/>
  <c r="U1777" i="7"/>
  <c r="T1777" i="7"/>
  <c r="S1777" i="7"/>
  <c r="R1777" i="7"/>
  <c r="Q1777" i="7"/>
  <c r="P1777" i="7"/>
  <c r="O1777" i="7"/>
  <c r="U1776" i="7"/>
  <c r="T1776" i="7"/>
  <c r="S1776" i="7"/>
  <c r="R1776" i="7"/>
  <c r="Q1776" i="7"/>
  <c r="P1776" i="7"/>
  <c r="O1776" i="7"/>
  <c r="U1775" i="7"/>
  <c r="T1775" i="7"/>
  <c r="S1775" i="7"/>
  <c r="R1775" i="7"/>
  <c r="Q1775" i="7"/>
  <c r="P1775" i="7"/>
  <c r="O1775" i="7"/>
  <c r="U1774" i="7"/>
  <c r="T1774" i="7"/>
  <c r="S1774" i="7"/>
  <c r="R1774" i="7"/>
  <c r="Q1774" i="7"/>
  <c r="P1774" i="7"/>
  <c r="O1774" i="7"/>
  <c r="U1773" i="7"/>
  <c r="T1773" i="7"/>
  <c r="S1773" i="7"/>
  <c r="R1773" i="7"/>
  <c r="Q1773" i="7"/>
  <c r="P1773" i="7"/>
  <c r="O1773" i="7"/>
  <c r="U1772" i="7"/>
  <c r="T1772" i="7"/>
  <c r="S1772" i="7"/>
  <c r="R1772" i="7"/>
  <c r="Q1772" i="7"/>
  <c r="P1772" i="7"/>
  <c r="O1772" i="7"/>
  <c r="U1771" i="7"/>
  <c r="T1771" i="7"/>
  <c r="S1771" i="7"/>
  <c r="R1771" i="7"/>
  <c r="Q1771" i="7"/>
  <c r="P1771" i="7"/>
  <c r="O1771" i="7"/>
  <c r="U1770" i="7"/>
  <c r="T1770" i="7"/>
  <c r="S1770" i="7"/>
  <c r="R1770" i="7"/>
  <c r="Q1770" i="7"/>
  <c r="P1770" i="7"/>
  <c r="O1770" i="7"/>
  <c r="U1769" i="7"/>
  <c r="T1769" i="7"/>
  <c r="S1769" i="7"/>
  <c r="R1769" i="7"/>
  <c r="Q1769" i="7"/>
  <c r="P1769" i="7"/>
  <c r="O1769" i="7"/>
  <c r="U1768" i="7"/>
  <c r="T1768" i="7"/>
  <c r="S1768" i="7"/>
  <c r="R1768" i="7"/>
  <c r="Q1768" i="7"/>
  <c r="P1768" i="7"/>
  <c r="O1768" i="7"/>
  <c r="U1767" i="7"/>
  <c r="T1767" i="7"/>
  <c r="S1767" i="7"/>
  <c r="R1767" i="7"/>
  <c r="Q1767" i="7"/>
  <c r="P1767" i="7"/>
  <c r="O1767" i="7"/>
  <c r="U1766" i="7"/>
  <c r="T1766" i="7"/>
  <c r="S1766" i="7"/>
  <c r="R1766" i="7"/>
  <c r="Q1766" i="7"/>
  <c r="P1766" i="7"/>
  <c r="O1766" i="7"/>
  <c r="U1765" i="7"/>
  <c r="T1765" i="7"/>
  <c r="S1765" i="7"/>
  <c r="R1765" i="7"/>
  <c r="Q1765" i="7"/>
  <c r="P1765" i="7"/>
  <c r="O1765" i="7"/>
  <c r="U1764" i="7"/>
  <c r="T1764" i="7"/>
  <c r="S1764" i="7"/>
  <c r="R1764" i="7"/>
  <c r="Q1764" i="7"/>
  <c r="P1764" i="7"/>
  <c r="O1764" i="7"/>
  <c r="U1763" i="7"/>
  <c r="T1763" i="7"/>
  <c r="S1763" i="7"/>
  <c r="R1763" i="7"/>
  <c r="Q1763" i="7"/>
  <c r="P1763" i="7"/>
  <c r="O1763" i="7"/>
  <c r="U1762" i="7"/>
  <c r="T1762" i="7"/>
  <c r="S1762" i="7"/>
  <c r="R1762" i="7"/>
  <c r="Q1762" i="7"/>
  <c r="P1762" i="7"/>
  <c r="O1762" i="7"/>
  <c r="U1761" i="7"/>
  <c r="T1761" i="7"/>
  <c r="S1761" i="7"/>
  <c r="R1761" i="7"/>
  <c r="Q1761" i="7"/>
  <c r="P1761" i="7"/>
  <c r="O1761" i="7"/>
  <c r="U1760" i="7"/>
  <c r="T1760" i="7"/>
  <c r="S1760" i="7"/>
  <c r="R1760" i="7"/>
  <c r="Q1760" i="7"/>
  <c r="P1760" i="7"/>
  <c r="O1760" i="7"/>
  <c r="U1759" i="7"/>
  <c r="T1759" i="7"/>
  <c r="S1759" i="7"/>
  <c r="R1759" i="7"/>
  <c r="Q1759" i="7"/>
  <c r="P1759" i="7"/>
  <c r="O1759" i="7"/>
  <c r="U1758" i="7"/>
  <c r="T1758" i="7"/>
  <c r="S1758" i="7"/>
  <c r="R1758" i="7"/>
  <c r="Q1758" i="7"/>
  <c r="P1758" i="7"/>
  <c r="O1758" i="7"/>
  <c r="U1757" i="7"/>
  <c r="T1757" i="7"/>
  <c r="S1757" i="7"/>
  <c r="R1757" i="7"/>
  <c r="Q1757" i="7"/>
  <c r="P1757" i="7"/>
  <c r="O1757" i="7"/>
  <c r="U1756" i="7"/>
  <c r="T1756" i="7"/>
  <c r="S1756" i="7"/>
  <c r="R1756" i="7"/>
  <c r="Q1756" i="7"/>
  <c r="P1756" i="7"/>
  <c r="O1756" i="7"/>
  <c r="U1755" i="7"/>
  <c r="T1755" i="7"/>
  <c r="S1755" i="7"/>
  <c r="R1755" i="7"/>
  <c r="Q1755" i="7"/>
  <c r="P1755" i="7"/>
  <c r="O1755" i="7"/>
  <c r="U1754" i="7"/>
  <c r="T1754" i="7"/>
  <c r="S1754" i="7"/>
  <c r="R1754" i="7"/>
  <c r="Q1754" i="7"/>
  <c r="P1754" i="7"/>
  <c r="O1754" i="7"/>
  <c r="U1753" i="7"/>
  <c r="T1753" i="7"/>
  <c r="S1753" i="7"/>
  <c r="R1753" i="7"/>
  <c r="Q1753" i="7"/>
  <c r="P1753" i="7"/>
  <c r="O1753" i="7"/>
  <c r="U1752" i="7"/>
  <c r="T1752" i="7"/>
  <c r="S1752" i="7"/>
  <c r="R1752" i="7"/>
  <c r="Q1752" i="7"/>
  <c r="P1752" i="7"/>
  <c r="O1752" i="7"/>
  <c r="U1751" i="7"/>
  <c r="T1751" i="7"/>
  <c r="S1751" i="7"/>
  <c r="R1751" i="7"/>
  <c r="Q1751" i="7"/>
  <c r="P1751" i="7"/>
  <c r="O1751" i="7"/>
  <c r="U1750" i="7"/>
  <c r="T1750" i="7"/>
  <c r="S1750" i="7"/>
  <c r="R1750" i="7"/>
  <c r="Q1750" i="7"/>
  <c r="P1750" i="7"/>
  <c r="O1750" i="7"/>
  <c r="U1749" i="7"/>
  <c r="T1749" i="7"/>
  <c r="S1749" i="7"/>
  <c r="R1749" i="7"/>
  <c r="Q1749" i="7"/>
  <c r="P1749" i="7"/>
  <c r="O1749" i="7"/>
  <c r="U1748" i="7"/>
  <c r="T1748" i="7"/>
  <c r="S1748" i="7"/>
  <c r="R1748" i="7"/>
  <c r="Q1748" i="7"/>
  <c r="P1748" i="7"/>
  <c r="O1748" i="7"/>
  <c r="U1747" i="7"/>
  <c r="T1747" i="7"/>
  <c r="S1747" i="7"/>
  <c r="R1747" i="7"/>
  <c r="Q1747" i="7"/>
  <c r="P1747" i="7"/>
  <c r="O1747" i="7"/>
  <c r="U1746" i="7"/>
  <c r="T1746" i="7"/>
  <c r="S1746" i="7"/>
  <c r="R1746" i="7"/>
  <c r="Q1746" i="7"/>
  <c r="P1746" i="7"/>
  <c r="O1746" i="7"/>
  <c r="U1745" i="7"/>
  <c r="T1745" i="7"/>
  <c r="S1745" i="7"/>
  <c r="R1745" i="7"/>
  <c r="Q1745" i="7"/>
  <c r="P1745" i="7"/>
  <c r="O1745" i="7"/>
  <c r="U1744" i="7"/>
  <c r="T1744" i="7"/>
  <c r="S1744" i="7"/>
  <c r="R1744" i="7"/>
  <c r="Q1744" i="7"/>
  <c r="P1744" i="7"/>
  <c r="O1744" i="7"/>
  <c r="U1743" i="7"/>
  <c r="T1743" i="7"/>
  <c r="S1743" i="7"/>
  <c r="R1743" i="7"/>
  <c r="Q1743" i="7"/>
  <c r="P1743" i="7"/>
  <c r="O1743" i="7"/>
  <c r="U1742" i="7"/>
  <c r="T1742" i="7"/>
  <c r="S1742" i="7"/>
  <c r="R1742" i="7"/>
  <c r="Q1742" i="7"/>
  <c r="P1742" i="7"/>
  <c r="O1742" i="7"/>
  <c r="U1741" i="7"/>
  <c r="T1741" i="7"/>
  <c r="S1741" i="7"/>
  <c r="R1741" i="7"/>
  <c r="Q1741" i="7"/>
  <c r="P1741" i="7"/>
  <c r="O1741" i="7"/>
  <c r="U1740" i="7"/>
  <c r="T1740" i="7"/>
  <c r="S1740" i="7"/>
  <c r="R1740" i="7"/>
  <c r="Q1740" i="7"/>
  <c r="P1740" i="7"/>
  <c r="O1740" i="7"/>
  <c r="U1739" i="7"/>
  <c r="T1739" i="7"/>
  <c r="S1739" i="7"/>
  <c r="R1739" i="7"/>
  <c r="Q1739" i="7"/>
  <c r="P1739" i="7"/>
  <c r="O1739" i="7"/>
  <c r="U1738" i="7"/>
  <c r="T1738" i="7"/>
  <c r="S1738" i="7"/>
  <c r="R1738" i="7"/>
  <c r="Q1738" i="7"/>
  <c r="P1738" i="7"/>
  <c r="O1738" i="7"/>
  <c r="U1737" i="7"/>
  <c r="T1737" i="7"/>
  <c r="S1737" i="7"/>
  <c r="R1737" i="7"/>
  <c r="Q1737" i="7"/>
  <c r="P1737" i="7"/>
  <c r="O1737" i="7"/>
  <c r="U1736" i="7"/>
  <c r="T1736" i="7"/>
  <c r="S1736" i="7"/>
  <c r="R1736" i="7"/>
  <c r="Q1736" i="7"/>
  <c r="P1736" i="7"/>
  <c r="O1736" i="7"/>
  <c r="U1735" i="7"/>
  <c r="T1735" i="7"/>
  <c r="S1735" i="7"/>
  <c r="R1735" i="7"/>
  <c r="Q1735" i="7"/>
  <c r="P1735" i="7"/>
  <c r="O1735" i="7"/>
  <c r="U1734" i="7"/>
  <c r="T1734" i="7"/>
  <c r="S1734" i="7"/>
  <c r="R1734" i="7"/>
  <c r="Q1734" i="7"/>
  <c r="P1734" i="7"/>
  <c r="O1734" i="7"/>
  <c r="U1733" i="7"/>
  <c r="T1733" i="7"/>
  <c r="S1733" i="7"/>
  <c r="R1733" i="7"/>
  <c r="Q1733" i="7"/>
  <c r="P1733" i="7"/>
  <c r="O1733" i="7"/>
  <c r="U1732" i="7"/>
  <c r="T1732" i="7"/>
  <c r="S1732" i="7"/>
  <c r="R1732" i="7"/>
  <c r="Q1732" i="7"/>
  <c r="P1732" i="7"/>
  <c r="O1732" i="7"/>
  <c r="U1731" i="7"/>
  <c r="T1731" i="7"/>
  <c r="S1731" i="7"/>
  <c r="R1731" i="7"/>
  <c r="Q1731" i="7"/>
  <c r="P1731" i="7"/>
  <c r="O1731" i="7"/>
  <c r="U1730" i="7"/>
  <c r="T1730" i="7"/>
  <c r="S1730" i="7"/>
  <c r="R1730" i="7"/>
  <c r="Q1730" i="7"/>
  <c r="P1730" i="7"/>
  <c r="O1730" i="7"/>
  <c r="U1729" i="7"/>
  <c r="T1729" i="7"/>
  <c r="S1729" i="7"/>
  <c r="R1729" i="7"/>
  <c r="Q1729" i="7"/>
  <c r="P1729" i="7"/>
  <c r="O1729" i="7"/>
  <c r="U1728" i="7"/>
  <c r="T1728" i="7"/>
  <c r="S1728" i="7"/>
  <c r="R1728" i="7"/>
  <c r="Q1728" i="7"/>
  <c r="P1728" i="7"/>
  <c r="O1728" i="7"/>
  <c r="U1727" i="7"/>
  <c r="T1727" i="7"/>
  <c r="S1727" i="7"/>
  <c r="R1727" i="7"/>
  <c r="Q1727" i="7"/>
  <c r="P1727" i="7"/>
  <c r="O1727" i="7"/>
  <c r="U1726" i="7"/>
  <c r="T1726" i="7"/>
  <c r="S1726" i="7"/>
  <c r="R1726" i="7"/>
  <c r="Q1726" i="7"/>
  <c r="P1726" i="7"/>
  <c r="O1726" i="7"/>
  <c r="U1725" i="7"/>
  <c r="T1725" i="7"/>
  <c r="S1725" i="7"/>
  <c r="R1725" i="7"/>
  <c r="Q1725" i="7"/>
  <c r="P1725" i="7"/>
  <c r="O1725" i="7"/>
  <c r="U1724" i="7"/>
  <c r="T1724" i="7"/>
  <c r="S1724" i="7"/>
  <c r="R1724" i="7"/>
  <c r="Q1724" i="7"/>
  <c r="P1724" i="7"/>
  <c r="O1724" i="7"/>
  <c r="U1723" i="7"/>
  <c r="T1723" i="7"/>
  <c r="S1723" i="7"/>
  <c r="R1723" i="7"/>
  <c r="Q1723" i="7"/>
  <c r="P1723" i="7"/>
  <c r="O1723" i="7"/>
  <c r="U1722" i="7"/>
  <c r="T1722" i="7"/>
  <c r="S1722" i="7"/>
  <c r="R1722" i="7"/>
  <c r="Q1722" i="7"/>
  <c r="P1722" i="7"/>
  <c r="O1722" i="7"/>
  <c r="U1721" i="7"/>
  <c r="T1721" i="7"/>
  <c r="S1721" i="7"/>
  <c r="R1721" i="7"/>
  <c r="Q1721" i="7"/>
  <c r="P1721" i="7"/>
  <c r="O1721" i="7"/>
  <c r="U1720" i="7"/>
  <c r="T1720" i="7"/>
  <c r="S1720" i="7"/>
  <c r="R1720" i="7"/>
  <c r="Q1720" i="7"/>
  <c r="P1720" i="7"/>
  <c r="O1720" i="7"/>
  <c r="U1719" i="7"/>
  <c r="T1719" i="7"/>
  <c r="S1719" i="7"/>
  <c r="R1719" i="7"/>
  <c r="Q1719" i="7"/>
  <c r="P1719" i="7"/>
  <c r="O1719" i="7"/>
  <c r="U1718" i="7"/>
  <c r="T1718" i="7"/>
  <c r="S1718" i="7"/>
  <c r="R1718" i="7"/>
  <c r="Q1718" i="7"/>
  <c r="P1718" i="7"/>
  <c r="O1718" i="7"/>
  <c r="U1717" i="7"/>
  <c r="T1717" i="7"/>
  <c r="S1717" i="7"/>
  <c r="R1717" i="7"/>
  <c r="Q1717" i="7"/>
  <c r="P1717" i="7"/>
  <c r="O1717" i="7"/>
  <c r="U1716" i="7"/>
  <c r="T1716" i="7"/>
  <c r="S1716" i="7"/>
  <c r="R1716" i="7"/>
  <c r="Q1716" i="7"/>
  <c r="P1716" i="7"/>
  <c r="O1716" i="7"/>
  <c r="U1715" i="7"/>
  <c r="T1715" i="7"/>
  <c r="S1715" i="7"/>
  <c r="R1715" i="7"/>
  <c r="Q1715" i="7"/>
  <c r="P1715" i="7"/>
  <c r="O1715" i="7"/>
  <c r="U1714" i="7"/>
  <c r="T1714" i="7"/>
  <c r="S1714" i="7"/>
  <c r="R1714" i="7"/>
  <c r="Q1714" i="7"/>
  <c r="P1714" i="7"/>
  <c r="O1714" i="7"/>
  <c r="U1713" i="7"/>
  <c r="T1713" i="7"/>
  <c r="S1713" i="7"/>
  <c r="R1713" i="7"/>
  <c r="Q1713" i="7"/>
  <c r="P1713" i="7"/>
  <c r="O1713" i="7"/>
  <c r="U1712" i="7"/>
  <c r="T1712" i="7"/>
  <c r="S1712" i="7"/>
  <c r="R1712" i="7"/>
  <c r="Q1712" i="7"/>
  <c r="P1712" i="7"/>
  <c r="O1712" i="7"/>
  <c r="U1711" i="7"/>
  <c r="T1711" i="7"/>
  <c r="S1711" i="7"/>
  <c r="R1711" i="7"/>
  <c r="Q1711" i="7"/>
  <c r="P1711" i="7"/>
  <c r="O1711" i="7"/>
  <c r="U1710" i="7"/>
  <c r="T1710" i="7"/>
  <c r="S1710" i="7"/>
  <c r="R1710" i="7"/>
  <c r="Q1710" i="7"/>
  <c r="P1710" i="7"/>
  <c r="O1710" i="7"/>
  <c r="U1709" i="7"/>
  <c r="T1709" i="7"/>
  <c r="S1709" i="7"/>
  <c r="R1709" i="7"/>
  <c r="Q1709" i="7"/>
  <c r="P1709" i="7"/>
  <c r="O1709" i="7"/>
  <c r="U1708" i="7"/>
  <c r="T1708" i="7"/>
  <c r="S1708" i="7"/>
  <c r="R1708" i="7"/>
  <c r="Q1708" i="7"/>
  <c r="P1708" i="7"/>
  <c r="O1708" i="7"/>
  <c r="U1707" i="7"/>
  <c r="T1707" i="7"/>
  <c r="S1707" i="7"/>
  <c r="R1707" i="7"/>
  <c r="Q1707" i="7"/>
  <c r="P1707" i="7"/>
  <c r="O1707" i="7"/>
  <c r="U1706" i="7"/>
  <c r="T1706" i="7"/>
  <c r="S1706" i="7"/>
  <c r="R1706" i="7"/>
  <c r="Q1706" i="7"/>
  <c r="P1706" i="7"/>
  <c r="O1706" i="7"/>
  <c r="U1705" i="7"/>
  <c r="T1705" i="7"/>
  <c r="S1705" i="7"/>
  <c r="R1705" i="7"/>
  <c r="Q1705" i="7"/>
  <c r="P1705" i="7"/>
  <c r="O1705" i="7"/>
  <c r="U1704" i="7"/>
  <c r="T1704" i="7"/>
  <c r="S1704" i="7"/>
  <c r="R1704" i="7"/>
  <c r="Q1704" i="7"/>
  <c r="P1704" i="7"/>
  <c r="O1704" i="7"/>
  <c r="U1703" i="7"/>
  <c r="T1703" i="7"/>
  <c r="S1703" i="7"/>
  <c r="R1703" i="7"/>
  <c r="Q1703" i="7"/>
  <c r="P1703" i="7"/>
  <c r="O1703" i="7"/>
  <c r="U1702" i="7"/>
  <c r="T1702" i="7"/>
  <c r="S1702" i="7"/>
  <c r="R1702" i="7"/>
  <c r="Q1702" i="7"/>
  <c r="P1702" i="7"/>
  <c r="O1702" i="7"/>
  <c r="U1701" i="7"/>
  <c r="T1701" i="7"/>
  <c r="S1701" i="7"/>
  <c r="R1701" i="7"/>
  <c r="Q1701" i="7"/>
  <c r="P1701" i="7"/>
  <c r="O1701" i="7"/>
  <c r="U1700" i="7"/>
  <c r="T1700" i="7"/>
  <c r="S1700" i="7"/>
  <c r="R1700" i="7"/>
  <c r="Q1700" i="7"/>
  <c r="P1700" i="7"/>
  <c r="O1700" i="7"/>
  <c r="U1699" i="7"/>
  <c r="T1699" i="7"/>
  <c r="S1699" i="7"/>
  <c r="R1699" i="7"/>
  <c r="Q1699" i="7"/>
  <c r="P1699" i="7"/>
  <c r="O1699" i="7"/>
  <c r="U1698" i="7"/>
  <c r="T1698" i="7"/>
  <c r="S1698" i="7"/>
  <c r="R1698" i="7"/>
  <c r="Q1698" i="7"/>
  <c r="P1698" i="7"/>
  <c r="O1698" i="7"/>
  <c r="U1697" i="7"/>
  <c r="T1697" i="7"/>
  <c r="S1697" i="7"/>
  <c r="R1697" i="7"/>
  <c r="Q1697" i="7"/>
  <c r="P1697" i="7"/>
  <c r="O1697" i="7"/>
  <c r="U1696" i="7"/>
  <c r="T1696" i="7"/>
  <c r="S1696" i="7"/>
  <c r="R1696" i="7"/>
  <c r="Q1696" i="7"/>
  <c r="P1696" i="7"/>
  <c r="O1696" i="7"/>
  <c r="U1695" i="7"/>
  <c r="T1695" i="7"/>
  <c r="S1695" i="7"/>
  <c r="R1695" i="7"/>
  <c r="Q1695" i="7"/>
  <c r="P1695" i="7"/>
  <c r="O1695" i="7"/>
  <c r="U1694" i="7"/>
  <c r="T1694" i="7"/>
  <c r="S1694" i="7"/>
  <c r="R1694" i="7"/>
  <c r="Q1694" i="7"/>
  <c r="P1694" i="7"/>
  <c r="O1694" i="7"/>
  <c r="U1693" i="7"/>
  <c r="T1693" i="7"/>
  <c r="S1693" i="7"/>
  <c r="R1693" i="7"/>
  <c r="Q1693" i="7"/>
  <c r="P1693" i="7"/>
  <c r="O1693" i="7"/>
  <c r="U1692" i="7"/>
  <c r="T1692" i="7"/>
  <c r="S1692" i="7"/>
  <c r="R1692" i="7"/>
  <c r="Q1692" i="7"/>
  <c r="P1692" i="7"/>
  <c r="O1692" i="7"/>
  <c r="U1691" i="7"/>
  <c r="T1691" i="7"/>
  <c r="S1691" i="7"/>
  <c r="R1691" i="7"/>
  <c r="Q1691" i="7"/>
  <c r="P1691" i="7"/>
  <c r="O1691" i="7"/>
  <c r="U1690" i="7"/>
  <c r="T1690" i="7"/>
  <c r="S1690" i="7"/>
  <c r="R1690" i="7"/>
  <c r="Q1690" i="7"/>
  <c r="P1690" i="7"/>
  <c r="O1690" i="7"/>
  <c r="U1689" i="7"/>
  <c r="T1689" i="7"/>
  <c r="S1689" i="7"/>
  <c r="R1689" i="7"/>
  <c r="Q1689" i="7"/>
  <c r="P1689" i="7"/>
  <c r="O1689" i="7"/>
  <c r="U1688" i="7"/>
  <c r="T1688" i="7"/>
  <c r="S1688" i="7"/>
  <c r="R1688" i="7"/>
  <c r="Q1688" i="7"/>
  <c r="P1688" i="7"/>
  <c r="O1688" i="7"/>
  <c r="U1687" i="7"/>
  <c r="T1687" i="7"/>
  <c r="S1687" i="7"/>
  <c r="R1687" i="7"/>
  <c r="Q1687" i="7"/>
  <c r="P1687" i="7"/>
  <c r="O1687" i="7"/>
  <c r="U1686" i="7"/>
  <c r="T1686" i="7"/>
  <c r="S1686" i="7"/>
  <c r="R1686" i="7"/>
  <c r="Q1686" i="7"/>
  <c r="P1686" i="7"/>
  <c r="O1686" i="7"/>
  <c r="U1685" i="7"/>
  <c r="T1685" i="7"/>
  <c r="S1685" i="7"/>
  <c r="R1685" i="7"/>
  <c r="Q1685" i="7"/>
  <c r="P1685" i="7"/>
  <c r="O1685" i="7"/>
  <c r="U1684" i="7"/>
  <c r="T1684" i="7"/>
  <c r="S1684" i="7"/>
  <c r="R1684" i="7"/>
  <c r="Q1684" i="7"/>
  <c r="P1684" i="7"/>
  <c r="O1684" i="7"/>
  <c r="U1683" i="7"/>
  <c r="T1683" i="7"/>
  <c r="S1683" i="7"/>
  <c r="R1683" i="7"/>
  <c r="Q1683" i="7"/>
  <c r="P1683" i="7"/>
  <c r="O1683" i="7"/>
  <c r="U1682" i="7"/>
  <c r="T1682" i="7"/>
  <c r="S1682" i="7"/>
  <c r="R1682" i="7"/>
  <c r="Q1682" i="7"/>
  <c r="P1682" i="7"/>
  <c r="O1682" i="7"/>
  <c r="U1681" i="7"/>
  <c r="T1681" i="7"/>
  <c r="S1681" i="7"/>
  <c r="R1681" i="7"/>
  <c r="Q1681" i="7"/>
  <c r="P1681" i="7"/>
  <c r="O1681" i="7"/>
  <c r="U1680" i="7"/>
  <c r="T1680" i="7"/>
  <c r="S1680" i="7"/>
  <c r="R1680" i="7"/>
  <c r="Q1680" i="7"/>
  <c r="P1680" i="7"/>
  <c r="O1680" i="7"/>
  <c r="U1679" i="7"/>
  <c r="T1679" i="7"/>
  <c r="S1679" i="7"/>
  <c r="R1679" i="7"/>
  <c r="Q1679" i="7"/>
  <c r="P1679" i="7"/>
  <c r="O1679" i="7"/>
  <c r="U1678" i="7"/>
  <c r="T1678" i="7"/>
  <c r="S1678" i="7"/>
  <c r="R1678" i="7"/>
  <c r="Q1678" i="7"/>
  <c r="P1678" i="7"/>
  <c r="O1678" i="7"/>
  <c r="U1677" i="7"/>
  <c r="T1677" i="7"/>
  <c r="S1677" i="7"/>
  <c r="R1677" i="7"/>
  <c r="Q1677" i="7"/>
  <c r="P1677" i="7"/>
  <c r="O1677" i="7"/>
  <c r="U1676" i="7"/>
  <c r="T1676" i="7"/>
  <c r="S1676" i="7"/>
  <c r="R1676" i="7"/>
  <c r="Q1676" i="7"/>
  <c r="P1676" i="7"/>
  <c r="O1676" i="7"/>
  <c r="U1675" i="7"/>
  <c r="T1675" i="7"/>
  <c r="S1675" i="7"/>
  <c r="R1675" i="7"/>
  <c r="Q1675" i="7"/>
  <c r="P1675" i="7"/>
  <c r="O1675" i="7"/>
  <c r="U1674" i="7"/>
  <c r="T1674" i="7"/>
  <c r="S1674" i="7"/>
  <c r="R1674" i="7"/>
  <c r="Q1674" i="7"/>
  <c r="P1674" i="7"/>
  <c r="O1674" i="7"/>
  <c r="U1673" i="7"/>
  <c r="T1673" i="7"/>
  <c r="S1673" i="7"/>
  <c r="R1673" i="7"/>
  <c r="Q1673" i="7"/>
  <c r="P1673" i="7"/>
  <c r="O1673" i="7"/>
  <c r="U1672" i="7"/>
  <c r="T1672" i="7"/>
  <c r="S1672" i="7"/>
  <c r="R1672" i="7"/>
  <c r="Q1672" i="7"/>
  <c r="P1672" i="7"/>
  <c r="O1672" i="7"/>
  <c r="U1671" i="7"/>
  <c r="T1671" i="7"/>
  <c r="S1671" i="7"/>
  <c r="R1671" i="7"/>
  <c r="Q1671" i="7"/>
  <c r="P1671" i="7"/>
  <c r="O1671" i="7"/>
  <c r="U1670" i="7"/>
  <c r="T1670" i="7"/>
  <c r="S1670" i="7"/>
  <c r="R1670" i="7"/>
  <c r="Q1670" i="7"/>
  <c r="P1670" i="7"/>
  <c r="O1670" i="7"/>
  <c r="U1669" i="7"/>
  <c r="T1669" i="7"/>
  <c r="S1669" i="7"/>
  <c r="R1669" i="7"/>
  <c r="Q1669" i="7"/>
  <c r="P1669" i="7"/>
  <c r="O1669" i="7"/>
  <c r="U1668" i="7"/>
  <c r="T1668" i="7"/>
  <c r="S1668" i="7"/>
  <c r="R1668" i="7"/>
  <c r="Q1668" i="7"/>
  <c r="P1668" i="7"/>
  <c r="O1668" i="7"/>
  <c r="U1667" i="7"/>
  <c r="T1667" i="7"/>
  <c r="S1667" i="7"/>
  <c r="R1667" i="7"/>
  <c r="Q1667" i="7"/>
  <c r="P1667" i="7"/>
  <c r="O1667" i="7"/>
  <c r="U1666" i="7"/>
  <c r="T1666" i="7"/>
  <c r="S1666" i="7"/>
  <c r="R1666" i="7"/>
  <c r="Q1666" i="7"/>
  <c r="P1666" i="7"/>
  <c r="O1666" i="7"/>
  <c r="U1665" i="7"/>
  <c r="T1665" i="7"/>
  <c r="S1665" i="7"/>
  <c r="R1665" i="7"/>
  <c r="Q1665" i="7"/>
  <c r="P1665" i="7"/>
  <c r="O1665" i="7"/>
  <c r="U1664" i="7"/>
  <c r="T1664" i="7"/>
  <c r="S1664" i="7"/>
  <c r="R1664" i="7"/>
  <c r="Q1664" i="7"/>
  <c r="P1664" i="7"/>
  <c r="O1664" i="7"/>
  <c r="U1663" i="7"/>
  <c r="T1663" i="7"/>
  <c r="S1663" i="7"/>
  <c r="R1663" i="7"/>
  <c r="Q1663" i="7"/>
  <c r="P1663" i="7"/>
  <c r="O1663" i="7"/>
  <c r="U1662" i="7"/>
  <c r="T1662" i="7"/>
  <c r="S1662" i="7"/>
  <c r="R1662" i="7"/>
  <c r="Q1662" i="7"/>
  <c r="P1662" i="7"/>
  <c r="O1662" i="7"/>
  <c r="U1661" i="7"/>
  <c r="T1661" i="7"/>
  <c r="S1661" i="7"/>
  <c r="R1661" i="7"/>
  <c r="Q1661" i="7"/>
  <c r="P1661" i="7"/>
  <c r="O1661" i="7"/>
  <c r="U1660" i="7"/>
  <c r="T1660" i="7"/>
  <c r="S1660" i="7"/>
  <c r="R1660" i="7"/>
  <c r="Q1660" i="7"/>
  <c r="P1660" i="7"/>
  <c r="O1660" i="7"/>
  <c r="U1659" i="7"/>
  <c r="T1659" i="7"/>
  <c r="S1659" i="7"/>
  <c r="R1659" i="7"/>
  <c r="Q1659" i="7"/>
  <c r="P1659" i="7"/>
  <c r="O1659" i="7"/>
  <c r="U1658" i="7"/>
  <c r="T1658" i="7"/>
  <c r="S1658" i="7"/>
  <c r="R1658" i="7"/>
  <c r="Q1658" i="7"/>
  <c r="P1658" i="7"/>
  <c r="O1658" i="7"/>
  <c r="U1657" i="7"/>
  <c r="T1657" i="7"/>
  <c r="S1657" i="7"/>
  <c r="R1657" i="7"/>
  <c r="Q1657" i="7"/>
  <c r="P1657" i="7"/>
  <c r="O1657" i="7"/>
  <c r="U1656" i="7"/>
  <c r="T1656" i="7"/>
  <c r="S1656" i="7"/>
  <c r="R1656" i="7"/>
  <c r="Q1656" i="7"/>
  <c r="P1656" i="7"/>
  <c r="O1656" i="7"/>
  <c r="U1655" i="7"/>
  <c r="T1655" i="7"/>
  <c r="S1655" i="7"/>
  <c r="R1655" i="7"/>
  <c r="Q1655" i="7"/>
  <c r="P1655" i="7"/>
  <c r="O1655" i="7"/>
  <c r="U1654" i="7"/>
  <c r="T1654" i="7"/>
  <c r="S1654" i="7"/>
  <c r="R1654" i="7"/>
  <c r="Q1654" i="7"/>
  <c r="P1654" i="7"/>
  <c r="O1654" i="7"/>
  <c r="U1653" i="7"/>
  <c r="T1653" i="7"/>
  <c r="S1653" i="7"/>
  <c r="R1653" i="7"/>
  <c r="Q1653" i="7"/>
  <c r="P1653" i="7"/>
  <c r="O1653" i="7"/>
  <c r="U1652" i="7"/>
  <c r="T1652" i="7"/>
  <c r="S1652" i="7"/>
  <c r="R1652" i="7"/>
  <c r="Q1652" i="7"/>
  <c r="P1652" i="7"/>
  <c r="O1652" i="7"/>
  <c r="U1651" i="7"/>
  <c r="T1651" i="7"/>
  <c r="S1651" i="7"/>
  <c r="R1651" i="7"/>
  <c r="Q1651" i="7"/>
  <c r="P1651" i="7"/>
  <c r="O1651" i="7"/>
  <c r="U1650" i="7"/>
  <c r="T1650" i="7"/>
  <c r="S1650" i="7"/>
  <c r="R1650" i="7"/>
  <c r="Q1650" i="7"/>
  <c r="P1650" i="7"/>
  <c r="O1650" i="7"/>
  <c r="U1649" i="7"/>
  <c r="T1649" i="7"/>
  <c r="S1649" i="7"/>
  <c r="R1649" i="7"/>
  <c r="Q1649" i="7"/>
  <c r="P1649" i="7"/>
  <c r="O1649" i="7"/>
  <c r="U1648" i="7"/>
  <c r="T1648" i="7"/>
  <c r="S1648" i="7"/>
  <c r="R1648" i="7"/>
  <c r="Q1648" i="7"/>
  <c r="P1648" i="7"/>
  <c r="O1648" i="7"/>
  <c r="U1647" i="7"/>
  <c r="T1647" i="7"/>
  <c r="S1647" i="7"/>
  <c r="R1647" i="7"/>
  <c r="Q1647" i="7"/>
  <c r="P1647" i="7"/>
  <c r="O1647" i="7"/>
  <c r="U1646" i="7"/>
  <c r="T1646" i="7"/>
  <c r="S1646" i="7"/>
  <c r="R1646" i="7"/>
  <c r="Q1646" i="7"/>
  <c r="P1646" i="7"/>
  <c r="O1646" i="7"/>
  <c r="U1645" i="7"/>
  <c r="T1645" i="7"/>
  <c r="S1645" i="7"/>
  <c r="R1645" i="7"/>
  <c r="Q1645" i="7"/>
  <c r="P1645" i="7"/>
  <c r="O1645" i="7"/>
  <c r="U1644" i="7"/>
  <c r="T1644" i="7"/>
  <c r="S1644" i="7"/>
  <c r="R1644" i="7"/>
  <c r="Q1644" i="7"/>
  <c r="P1644" i="7"/>
  <c r="O1644" i="7"/>
  <c r="U1643" i="7"/>
  <c r="T1643" i="7"/>
  <c r="S1643" i="7"/>
  <c r="R1643" i="7"/>
  <c r="Q1643" i="7"/>
  <c r="P1643" i="7"/>
  <c r="O1643" i="7"/>
  <c r="U1642" i="7"/>
  <c r="T1642" i="7"/>
  <c r="S1642" i="7"/>
  <c r="R1642" i="7"/>
  <c r="Q1642" i="7"/>
  <c r="P1642" i="7"/>
  <c r="O1642" i="7"/>
  <c r="U1641" i="7"/>
  <c r="T1641" i="7"/>
  <c r="S1641" i="7"/>
  <c r="R1641" i="7"/>
  <c r="Q1641" i="7"/>
  <c r="P1641" i="7"/>
  <c r="O1641" i="7"/>
  <c r="U1640" i="7"/>
  <c r="T1640" i="7"/>
  <c r="S1640" i="7"/>
  <c r="R1640" i="7"/>
  <c r="Q1640" i="7"/>
  <c r="P1640" i="7"/>
  <c r="O1640" i="7"/>
  <c r="U1639" i="7"/>
  <c r="T1639" i="7"/>
  <c r="S1639" i="7"/>
  <c r="R1639" i="7"/>
  <c r="Q1639" i="7"/>
  <c r="P1639" i="7"/>
  <c r="O1639" i="7"/>
  <c r="U1638" i="7"/>
  <c r="T1638" i="7"/>
  <c r="S1638" i="7"/>
  <c r="R1638" i="7"/>
  <c r="Q1638" i="7"/>
  <c r="P1638" i="7"/>
  <c r="O1638" i="7"/>
  <c r="U1637" i="7"/>
  <c r="T1637" i="7"/>
  <c r="S1637" i="7"/>
  <c r="R1637" i="7"/>
  <c r="Q1637" i="7"/>
  <c r="P1637" i="7"/>
  <c r="O1637" i="7"/>
  <c r="U1636" i="7"/>
  <c r="T1636" i="7"/>
  <c r="S1636" i="7"/>
  <c r="R1636" i="7"/>
  <c r="Q1636" i="7"/>
  <c r="P1636" i="7"/>
  <c r="O1636" i="7"/>
  <c r="U1635" i="7"/>
  <c r="T1635" i="7"/>
  <c r="S1635" i="7"/>
  <c r="R1635" i="7"/>
  <c r="Q1635" i="7"/>
  <c r="P1635" i="7"/>
  <c r="O1635" i="7"/>
  <c r="U1634" i="7"/>
  <c r="T1634" i="7"/>
  <c r="S1634" i="7"/>
  <c r="R1634" i="7"/>
  <c r="Q1634" i="7"/>
  <c r="P1634" i="7"/>
  <c r="O1634" i="7"/>
  <c r="U1633" i="7"/>
  <c r="T1633" i="7"/>
  <c r="S1633" i="7"/>
  <c r="R1633" i="7"/>
  <c r="Q1633" i="7"/>
  <c r="P1633" i="7"/>
  <c r="O1633" i="7"/>
  <c r="U1632" i="7"/>
  <c r="T1632" i="7"/>
  <c r="S1632" i="7"/>
  <c r="R1632" i="7"/>
  <c r="Q1632" i="7"/>
  <c r="P1632" i="7"/>
  <c r="O1632" i="7"/>
  <c r="U1631" i="7"/>
  <c r="T1631" i="7"/>
  <c r="S1631" i="7"/>
  <c r="R1631" i="7"/>
  <c r="Q1631" i="7"/>
  <c r="P1631" i="7"/>
  <c r="O1631" i="7"/>
  <c r="U1630" i="7"/>
  <c r="T1630" i="7"/>
  <c r="S1630" i="7"/>
  <c r="R1630" i="7"/>
  <c r="Q1630" i="7"/>
  <c r="P1630" i="7"/>
  <c r="O1630" i="7"/>
  <c r="U1629" i="7"/>
  <c r="T1629" i="7"/>
  <c r="S1629" i="7"/>
  <c r="R1629" i="7"/>
  <c r="Q1629" i="7"/>
  <c r="P1629" i="7"/>
  <c r="O1629" i="7"/>
  <c r="U1628" i="7"/>
  <c r="T1628" i="7"/>
  <c r="S1628" i="7"/>
  <c r="R1628" i="7"/>
  <c r="Q1628" i="7"/>
  <c r="P1628" i="7"/>
  <c r="O1628" i="7"/>
  <c r="U1627" i="7"/>
  <c r="T1627" i="7"/>
  <c r="S1627" i="7"/>
  <c r="R1627" i="7"/>
  <c r="Q1627" i="7"/>
  <c r="P1627" i="7"/>
  <c r="O1627" i="7"/>
  <c r="U1626" i="7"/>
  <c r="T1626" i="7"/>
  <c r="S1626" i="7"/>
  <c r="R1626" i="7"/>
  <c r="Q1626" i="7"/>
  <c r="P1626" i="7"/>
  <c r="O1626" i="7"/>
  <c r="U1625" i="7"/>
  <c r="T1625" i="7"/>
  <c r="S1625" i="7"/>
  <c r="R1625" i="7"/>
  <c r="Q1625" i="7"/>
  <c r="P1625" i="7"/>
  <c r="O1625" i="7"/>
  <c r="U1624" i="7"/>
  <c r="T1624" i="7"/>
  <c r="S1624" i="7"/>
  <c r="R1624" i="7"/>
  <c r="Q1624" i="7"/>
  <c r="P1624" i="7"/>
  <c r="O1624" i="7"/>
  <c r="U1623" i="7"/>
  <c r="T1623" i="7"/>
  <c r="S1623" i="7"/>
  <c r="R1623" i="7"/>
  <c r="Q1623" i="7"/>
  <c r="P1623" i="7"/>
  <c r="O1623" i="7"/>
  <c r="U1622" i="7"/>
  <c r="T1622" i="7"/>
  <c r="S1622" i="7"/>
  <c r="R1622" i="7"/>
  <c r="Q1622" i="7"/>
  <c r="P1622" i="7"/>
  <c r="O1622" i="7"/>
  <c r="U1621" i="7"/>
  <c r="T1621" i="7"/>
  <c r="S1621" i="7"/>
  <c r="R1621" i="7"/>
  <c r="Q1621" i="7"/>
  <c r="P1621" i="7"/>
  <c r="O1621" i="7"/>
  <c r="U1620" i="7"/>
  <c r="T1620" i="7"/>
  <c r="S1620" i="7"/>
  <c r="R1620" i="7"/>
  <c r="Q1620" i="7"/>
  <c r="P1620" i="7"/>
  <c r="O1620" i="7"/>
  <c r="U1619" i="7"/>
  <c r="T1619" i="7"/>
  <c r="S1619" i="7"/>
  <c r="R1619" i="7"/>
  <c r="Q1619" i="7"/>
  <c r="P1619" i="7"/>
  <c r="O1619" i="7"/>
  <c r="U1618" i="7"/>
  <c r="T1618" i="7"/>
  <c r="S1618" i="7"/>
  <c r="R1618" i="7"/>
  <c r="Q1618" i="7"/>
  <c r="P1618" i="7"/>
  <c r="O1618" i="7"/>
  <c r="U1617" i="7"/>
  <c r="T1617" i="7"/>
  <c r="S1617" i="7"/>
  <c r="R1617" i="7"/>
  <c r="Q1617" i="7"/>
  <c r="P1617" i="7"/>
  <c r="O1617" i="7"/>
  <c r="U1616" i="7"/>
  <c r="T1616" i="7"/>
  <c r="S1616" i="7"/>
  <c r="R1616" i="7"/>
  <c r="Q1616" i="7"/>
  <c r="P1616" i="7"/>
  <c r="O1616" i="7"/>
  <c r="U1615" i="7"/>
  <c r="T1615" i="7"/>
  <c r="S1615" i="7"/>
  <c r="R1615" i="7"/>
  <c r="Q1615" i="7"/>
  <c r="P1615" i="7"/>
  <c r="O1615" i="7"/>
  <c r="U1614" i="7"/>
  <c r="T1614" i="7"/>
  <c r="S1614" i="7"/>
  <c r="R1614" i="7"/>
  <c r="Q1614" i="7"/>
  <c r="P1614" i="7"/>
  <c r="O1614" i="7"/>
  <c r="U1613" i="7"/>
  <c r="T1613" i="7"/>
  <c r="S1613" i="7"/>
  <c r="R1613" i="7"/>
  <c r="Q1613" i="7"/>
  <c r="P1613" i="7"/>
  <c r="O1613" i="7"/>
  <c r="U1612" i="7"/>
  <c r="T1612" i="7"/>
  <c r="S1612" i="7"/>
  <c r="R1612" i="7"/>
  <c r="Q1612" i="7"/>
  <c r="P1612" i="7"/>
  <c r="O1612" i="7"/>
  <c r="U1611" i="7"/>
  <c r="T1611" i="7"/>
  <c r="S1611" i="7"/>
  <c r="R1611" i="7"/>
  <c r="Q1611" i="7"/>
  <c r="P1611" i="7"/>
  <c r="O1611" i="7"/>
  <c r="U1610" i="7"/>
  <c r="T1610" i="7"/>
  <c r="S1610" i="7"/>
  <c r="R1610" i="7"/>
  <c r="Q1610" i="7"/>
  <c r="P1610" i="7"/>
  <c r="O1610" i="7"/>
  <c r="U1609" i="7"/>
  <c r="T1609" i="7"/>
  <c r="S1609" i="7"/>
  <c r="R1609" i="7"/>
  <c r="Q1609" i="7"/>
  <c r="P1609" i="7"/>
  <c r="O1609" i="7"/>
  <c r="U1608" i="7"/>
  <c r="T1608" i="7"/>
  <c r="S1608" i="7"/>
  <c r="R1608" i="7"/>
  <c r="Q1608" i="7"/>
  <c r="P1608" i="7"/>
  <c r="O1608" i="7"/>
  <c r="U1607" i="7"/>
  <c r="T1607" i="7"/>
  <c r="S1607" i="7"/>
  <c r="R1607" i="7"/>
  <c r="Q1607" i="7"/>
  <c r="P1607" i="7"/>
  <c r="O1607" i="7"/>
  <c r="U1606" i="7"/>
  <c r="T1606" i="7"/>
  <c r="S1606" i="7"/>
  <c r="R1606" i="7"/>
  <c r="Q1606" i="7"/>
  <c r="P1606" i="7"/>
  <c r="O1606" i="7"/>
  <c r="U1605" i="7"/>
  <c r="T1605" i="7"/>
  <c r="S1605" i="7"/>
  <c r="R1605" i="7"/>
  <c r="Q1605" i="7"/>
  <c r="P1605" i="7"/>
  <c r="O1605" i="7"/>
  <c r="U1604" i="7"/>
  <c r="T1604" i="7"/>
  <c r="S1604" i="7"/>
  <c r="R1604" i="7"/>
  <c r="Q1604" i="7"/>
  <c r="P1604" i="7"/>
  <c r="O1604" i="7"/>
  <c r="U1603" i="7"/>
  <c r="T1603" i="7"/>
  <c r="S1603" i="7"/>
  <c r="R1603" i="7"/>
  <c r="Q1603" i="7"/>
  <c r="P1603" i="7"/>
  <c r="O1603" i="7"/>
  <c r="U1602" i="7"/>
  <c r="T1602" i="7"/>
  <c r="S1602" i="7"/>
  <c r="R1602" i="7"/>
  <c r="Q1602" i="7"/>
  <c r="P1602" i="7"/>
  <c r="O1602" i="7"/>
  <c r="U1601" i="7"/>
  <c r="T1601" i="7"/>
  <c r="S1601" i="7"/>
  <c r="R1601" i="7"/>
  <c r="Q1601" i="7"/>
  <c r="P1601" i="7"/>
  <c r="O1601" i="7"/>
  <c r="U1600" i="7"/>
  <c r="T1600" i="7"/>
  <c r="S1600" i="7"/>
  <c r="R1600" i="7"/>
  <c r="Q1600" i="7"/>
  <c r="P1600" i="7"/>
  <c r="O1600" i="7"/>
  <c r="U1599" i="7"/>
  <c r="T1599" i="7"/>
  <c r="S1599" i="7"/>
  <c r="R1599" i="7"/>
  <c r="Q1599" i="7"/>
  <c r="P1599" i="7"/>
  <c r="O1599" i="7"/>
  <c r="U1598" i="7"/>
  <c r="T1598" i="7"/>
  <c r="S1598" i="7"/>
  <c r="R1598" i="7"/>
  <c r="Q1598" i="7"/>
  <c r="P1598" i="7"/>
  <c r="O1598" i="7"/>
  <c r="U1597" i="7"/>
  <c r="T1597" i="7"/>
  <c r="S1597" i="7"/>
  <c r="R1597" i="7"/>
  <c r="Q1597" i="7"/>
  <c r="P1597" i="7"/>
  <c r="O1597" i="7"/>
  <c r="U1596" i="7"/>
  <c r="T1596" i="7"/>
  <c r="S1596" i="7"/>
  <c r="R1596" i="7"/>
  <c r="Q1596" i="7"/>
  <c r="P1596" i="7"/>
  <c r="O1596" i="7"/>
  <c r="U1595" i="7"/>
  <c r="T1595" i="7"/>
  <c r="S1595" i="7"/>
  <c r="R1595" i="7"/>
  <c r="Q1595" i="7"/>
  <c r="P1595" i="7"/>
  <c r="O1595" i="7"/>
  <c r="U1594" i="7"/>
  <c r="T1594" i="7"/>
  <c r="S1594" i="7"/>
  <c r="R1594" i="7"/>
  <c r="Q1594" i="7"/>
  <c r="P1594" i="7"/>
  <c r="O1594" i="7"/>
  <c r="U1593" i="7"/>
  <c r="T1593" i="7"/>
  <c r="S1593" i="7"/>
  <c r="R1593" i="7"/>
  <c r="Q1593" i="7"/>
  <c r="P1593" i="7"/>
  <c r="O1593" i="7"/>
  <c r="U1592" i="7"/>
  <c r="T1592" i="7"/>
  <c r="S1592" i="7"/>
  <c r="R1592" i="7"/>
  <c r="Q1592" i="7"/>
  <c r="P1592" i="7"/>
  <c r="O1592" i="7"/>
  <c r="U1591" i="7"/>
  <c r="T1591" i="7"/>
  <c r="S1591" i="7"/>
  <c r="R1591" i="7"/>
  <c r="Q1591" i="7"/>
  <c r="P1591" i="7"/>
  <c r="O1591" i="7"/>
  <c r="U1590" i="7"/>
  <c r="T1590" i="7"/>
  <c r="S1590" i="7"/>
  <c r="R1590" i="7"/>
  <c r="Q1590" i="7"/>
  <c r="P1590" i="7"/>
  <c r="O1590" i="7"/>
  <c r="U1589" i="7"/>
  <c r="T1589" i="7"/>
  <c r="S1589" i="7"/>
  <c r="R1589" i="7"/>
  <c r="Q1589" i="7"/>
  <c r="P1589" i="7"/>
  <c r="O1589" i="7"/>
  <c r="U1588" i="7"/>
  <c r="T1588" i="7"/>
  <c r="S1588" i="7"/>
  <c r="R1588" i="7"/>
  <c r="Q1588" i="7"/>
  <c r="P1588" i="7"/>
  <c r="O1588" i="7"/>
  <c r="U1587" i="7"/>
  <c r="T1587" i="7"/>
  <c r="S1587" i="7"/>
  <c r="R1587" i="7"/>
  <c r="Q1587" i="7"/>
  <c r="P1587" i="7"/>
  <c r="O1587" i="7"/>
  <c r="U1586" i="7"/>
  <c r="T1586" i="7"/>
  <c r="S1586" i="7"/>
  <c r="R1586" i="7"/>
  <c r="Q1586" i="7"/>
  <c r="P1586" i="7"/>
  <c r="O1586" i="7"/>
  <c r="U1585" i="7"/>
  <c r="T1585" i="7"/>
  <c r="S1585" i="7"/>
  <c r="R1585" i="7"/>
  <c r="Q1585" i="7"/>
  <c r="P1585" i="7"/>
  <c r="O1585" i="7"/>
  <c r="U1584" i="7"/>
  <c r="T1584" i="7"/>
  <c r="S1584" i="7"/>
  <c r="R1584" i="7"/>
  <c r="Q1584" i="7"/>
  <c r="P1584" i="7"/>
  <c r="O1584" i="7"/>
  <c r="U1583" i="7"/>
  <c r="T1583" i="7"/>
  <c r="S1583" i="7"/>
  <c r="R1583" i="7"/>
  <c r="Q1583" i="7"/>
  <c r="P1583" i="7"/>
  <c r="O1583" i="7"/>
  <c r="U1582" i="7"/>
  <c r="T1582" i="7"/>
  <c r="S1582" i="7"/>
  <c r="R1582" i="7"/>
  <c r="Q1582" i="7"/>
  <c r="P1582" i="7"/>
  <c r="O1582" i="7"/>
  <c r="U1581" i="7"/>
  <c r="T1581" i="7"/>
  <c r="S1581" i="7"/>
  <c r="R1581" i="7"/>
  <c r="Q1581" i="7"/>
  <c r="P1581" i="7"/>
  <c r="O1581" i="7"/>
  <c r="U1580" i="7"/>
  <c r="T1580" i="7"/>
  <c r="S1580" i="7"/>
  <c r="R1580" i="7"/>
  <c r="Q1580" i="7"/>
  <c r="P1580" i="7"/>
  <c r="O1580" i="7"/>
  <c r="U1579" i="7"/>
  <c r="T1579" i="7"/>
  <c r="S1579" i="7"/>
  <c r="R1579" i="7"/>
  <c r="Q1579" i="7"/>
  <c r="P1579" i="7"/>
  <c r="O1579" i="7"/>
  <c r="U1578" i="7"/>
  <c r="T1578" i="7"/>
  <c r="S1578" i="7"/>
  <c r="R1578" i="7"/>
  <c r="Q1578" i="7"/>
  <c r="P1578" i="7"/>
  <c r="O1578" i="7"/>
  <c r="U1577" i="7"/>
  <c r="T1577" i="7"/>
  <c r="S1577" i="7"/>
  <c r="R1577" i="7"/>
  <c r="Q1577" i="7"/>
  <c r="P1577" i="7"/>
  <c r="O1577" i="7"/>
  <c r="U1576" i="7"/>
  <c r="T1576" i="7"/>
  <c r="S1576" i="7"/>
  <c r="R1576" i="7"/>
  <c r="Q1576" i="7"/>
  <c r="P1576" i="7"/>
  <c r="O1576" i="7"/>
  <c r="U1575" i="7"/>
  <c r="T1575" i="7"/>
  <c r="S1575" i="7"/>
  <c r="R1575" i="7"/>
  <c r="Q1575" i="7"/>
  <c r="P1575" i="7"/>
  <c r="O1575" i="7"/>
  <c r="U1574" i="7"/>
  <c r="T1574" i="7"/>
  <c r="S1574" i="7"/>
  <c r="R1574" i="7"/>
  <c r="Q1574" i="7"/>
  <c r="P1574" i="7"/>
  <c r="O1574" i="7"/>
  <c r="U1573" i="7"/>
  <c r="T1573" i="7"/>
  <c r="S1573" i="7"/>
  <c r="R1573" i="7"/>
  <c r="Q1573" i="7"/>
  <c r="P1573" i="7"/>
  <c r="O1573" i="7"/>
  <c r="U1572" i="7"/>
  <c r="T1572" i="7"/>
  <c r="S1572" i="7"/>
  <c r="R1572" i="7"/>
  <c r="Q1572" i="7"/>
  <c r="P1572" i="7"/>
  <c r="O1572" i="7"/>
  <c r="U1571" i="7"/>
  <c r="T1571" i="7"/>
  <c r="S1571" i="7"/>
  <c r="R1571" i="7"/>
  <c r="Q1571" i="7"/>
  <c r="P1571" i="7"/>
  <c r="O1571" i="7"/>
  <c r="U1570" i="7"/>
  <c r="T1570" i="7"/>
  <c r="S1570" i="7"/>
  <c r="R1570" i="7"/>
  <c r="Q1570" i="7"/>
  <c r="P1570" i="7"/>
  <c r="O1570" i="7"/>
  <c r="U1569" i="7"/>
  <c r="T1569" i="7"/>
  <c r="S1569" i="7"/>
  <c r="R1569" i="7"/>
  <c r="Q1569" i="7"/>
  <c r="P1569" i="7"/>
  <c r="O1569" i="7"/>
  <c r="U1568" i="7"/>
  <c r="T1568" i="7"/>
  <c r="S1568" i="7"/>
  <c r="R1568" i="7"/>
  <c r="Q1568" i="7"/>
  <c r="P1568" i="7"/>
  <c r="O1568" i="7"/>
  <c r="U1567" i="7"/>
  <c r="T1567" i="7"/>
  <c r="S1567" i="7"/>
  <c r="R1567" i="7"/>
  <c r="Q1567" i="7"/>
  <c r="P1567" i="7"/>
  <c r="O1567" i="7"/>
  <c r="U1566" i="7"/>
  <c r="T1566" i="7"/>
  <c r="S1566" i="7"/>
  <c r="R1566" i="7"/>
  <c r="Q1566" i="7"/>
  <c r="P1566" i="7"/>
  <c r="O1566" i="7"/>
  <c r="U1565" i="7"/>
  <c r="T1565" i="7"/>
  <c r="S1565" i="7"/>
  <c r="R1565" i="7"/>
  <c r="Q1565" i="7"/>
  <c r="P1565" i="7"/>
  <c r="O1565" i="7"/>
  <c r="U1564" i="7"/>
  <c r="T1564" i="7"/>
  <c r="S1564" i="7"/>
  <c r="R1564" i="7"/>
  <c r="Q1564" i="7"/>
  <c r="P1564" i="7"/>
  <c r="O1564" i="7"/>
  <c r="U1563" i="7"/>
  <c r="T1563" i="7"/>
  <c r="S1563" i="7"/>
  <c r="R1563" i="7"/>
  <c r="Q1563" i="7"/>
  <c r="P1563" i="7"/>
  <c r="O1563" i="7"/>
  <c r="U1562" i="7"/>
  <c r="T1562" i="7"/>
  <c r="S1562" i="7"/>
  <c r="R1562" i="7"/>
  <c r="Q1562" i="7"/>
  <c r="P1562" i="7"/>
  <c r="O1562" i="7"/>
  <c r="U1561" i="7"/>
  <c r="T1561" i="7"/>
  <c r="S1561" i="7"/>
  <c r="R1561" i="7"/>
  <c r="Q1561" i="7"/>
  <c r="P1561" i="7"/>
  <c r="O1561" i="7"/>
  <c r="U1560" i="7"/>
  <c r="T1560" i="7"/>
  <c r="S1560" i="7"/>
  <c r="R1560" i="7"/>
  <c r="Q1560" i="7"/>
  <c r="P1560" i="7"/>
  <c r="O1560" i="7"/>
  <c r="U1559" i="7"/>
  <c r="T1559" i="7"/>
  <c r="S1559" i="7"/>
  <c r="R1559" i="7"/>
  <c r="Q1559" i="7"/>
  <c r="P1559" i="7"/>
  <c r="O1559" i="7"/>
  <c r="U1558" i="7"/>
  <c r="T1558" i="7"/>
  <c r="S1558" i="7"/>
  <c r="R1558" i="7"/>
  <c r="Q1558" i="7"/>
  <c r="P1558" i="7"/>
  <c r="O1558" i="7"/>
  <c r="U1557" i="7"/>
  <c r="T1557" i="7"/>
  <c r="S1557" i="7"/>
  <c r="R1557" i="7"/>
  <c r="Q1557" i="7"/>
  <c r="P1557" i="7"/>
  <c r="O1557" i="7"/>
  <c r="U1556" i="7"/>
  <c r="T1556" i="7"/>
  <c r="S1556" i="7"/>
  <c r="R1556" i="7"/>
  <c r="Q1556" i="7"/>
  <c r="P1556" i="7"/>
  <c r="O1556" i="7"/>
  <c r="U1555" i="7"/>
  <c r="T1555" i="7"/>
  <c r="S1555" i="7"/>
  <c r="R1555" i="7"/>
  <c r="Q1555" i="7"/>
  <c r="P1555" i="7"/>
  <c r="O1555" i="7"/>
  <c r="U1554" i="7"/>
  <c r="T1554" i="7"/>
  <c r="S1554" i="7"/>
  <c r="R1554" i="7"/>
  <c r="Q1554" i="7"/>
  <c r="P1554" i="7"/>
  <c r="O1554" i="7"/>
  <c r="U1553" i="7"/>
  <c r="T1553" i="7"/>
  <c r="S1553" i="7"/>
  <c r="R1553" i="7"/>
  <c r="Q1553" i="7"/>
  <c r="P1553" i="7"/>
  <c r="O1553" i="7"/>
  <c r="U1552" i="7"/>
  <c r="T1552" i="7"/>
  <c r="S1552" i="7"/>
  <c r="R1552" i="7"/>
  <c r="Q1552" i="7"/>
  <c r="P1552" i="7"/>
  <c r="O1552" i="7"/>
  <c r="U1551" i="7"/>
  <c r="T1551" i="7"/>
  <c r="S1551" i="7"/>
  <c r="R1551" i="7"/>
  <c r="Q1551" i="7"/>
  <c r="P1551" i="7"/>
  <c r="O1551" i="7"/>
  <c r="U1550" i="7"/>
  <c r="T1550" i="7"/>
  <c r="S1550" i="7"/>
  <c r="R1550" i="7"/>
  <c r="Q1550" i="7"/>
  <c r="P1550" i="7"/>
  <c r="O1550" i="7"/>
  <c r="U1549" i="7"/>
  <c r="T1549" i="7"/>
  <c r="S1549" i="7"/>
  <c r="R1549" i="7"/>
  <c r="Q1549" i="7"/>
  <c r="P1549" i="7"/>
  <c r="O1549" i="7"/>
  <c r="U1548" i="7"/>
  <c r="T1548" i="7"/>
  <c r="S1548" i="7"/>
  <c r="R1548" i="7"/>
  <c r="Q1548" i="7"/>
  <c r="P1548" i="7"/>
  <c r="O1548" i="7"/>
  <c r="U1547" i="7"/>
  <c r="T1547" i="7"/>
  <c r="S1547" i="7"/>
  <c r="R1547" i="7"/>
  <c r="Q1547" i="7"/>
  <c r="P1547" i="7"/>
  <c r="O1547" i="7"/>
  <c r="U1546" i="7"/>
  <c r="T1546" i="7"/>
  <c r="S1546" i="7"/>
  <c r="R1546" i="7"/>
  <c r="Q1546" i="7"/>
  <c r="P1546" i="7"/>
  <c r="O1546" i="7"/>
  <c r="U1545" i="7"/>
  <c r="T1545" i="7"/>
  <c r="S1545" i="7"/>
  <c r="R1545" i="7"/>
  <c r="Q1545" i="7"/>
  <c r="P1545" i="7"/>
  <c r="O1545" i="7"/>
  <c r="U1544" i="7"/>
  <c r="T1544" i="7"/>
  <c r="S1544" i="7"/>
  <c r="R1544" i="7"/>
  <c r="Q1544" i="7"/>
  <c r="P1544" i="7"/>
  <c r="O1544" i="7"/>
  <c r="U1543" i="7"/>
  <c r="T1543" i="7"/>
  <c r="S1543" i="7"/>
  <c r="R1543" i="7"/>
  <c r="Q1543" i="7"/>
  <c r="P1543" i="7"/>
  <c r="O1543" i="7"/>
  <c r="U1542" i="7"/>
  <c r="T1542" i="7"/>
  <c r="S1542" i="7"/>
  <c r="R1542" i="7"/>
  <c r="Q1542" i="7"/>
  <c r="P1542" i="7"/>
  <c r="O1542" i="7"/>
  <c r="U1541" i="7"/>
  <c r="T1541" i="7"/>
  <c r="S1541" i="7"/>
  <c r="R1541" i="7"/>
  <c r="Q1541" i="7"/>
  <c r="P1541" i="7"/>
  <c r="O1541" i="7"/>
  <c r="U1540" i="7"/>
  <c r="T1540" i="7"/>
  <c r="S1540" i="7"/>
  <c r="R1540" i="7"/>
  <c r="Q1540" i="7"/>
  <c r="P1540" i="7"/>
  <c r="O1540" i="7"/>
  <c r="U1539" i="7"/>
  <c r="T1539" i="7"/>
  <c r="S1539" i="7"/>
  <c r="R1539" i="7"/>
  <c r="Q1539" i="7"/>
  <c r="P1539" i="7"/>
  <c r="O1539" i="7"/>
  <c r="U1538" i="7"/>
  <c r="T1538" i="7"/>
  <c r="S1538" i="7"/>
  <c r="R1538" i="7"/>
  <c r="Q1538" i="7"/>
  <c r="P1538" i="7"/>
  <c r="O1538" i="7"/>
  <c r="U1537" i="7"/>
  <c r="T1537" i="7"/>
  <c r="S1537" i="7"/>
  <c r="R1537" i="7"/>
  <c r="Q1537" i="7"/>
  <c r="P1537" i="7"/>
  <c r="O1537" i="7"/>
  <c r="U1536" i="7"/>
  <c r="T1536" i="7"/>
  <c r="S1536" i="7"/>
  <c r="R1536" i="7"/>
  <c r="Q1536" i="7"/>
  <c r="P1536" i="7"/>
  <c r="O1536" i="7"/>
  <c r="U1535" i="7"/>
  <c r="T1535" i="7"/>
  <c r="S1535" i="7"/>
  <c r="R1535" i="7"/>
  <c r="Q1535" i="7"/>
  <c r="P1535" i="7"/>
  <c r="O1535" i="7"/>
  <c r="U1534" i="7"/>
  <c r="T1534" i="7"/>
  <c r="S1534" i="7"/>
  <c r="R1534" i="7"/>
  <c r="Q1534" i="7"/>
  <c r="P1534" i="7"/>
  <c r="O1534" i="7"/>
  <c r="U1533" i="7"/>
  <c r="T1533" i="7"/>
  <c r="S1533" i="7"/>
  <c r="R1533" i="7"/>
  <c r="Q1533" i="7"/>
  <c r="P1533" i="7"/>
  <c r="O1533" i="7"/>
  <c r="U1532" i="7"/>
  <c r="T1532" i="7"/>
  <c r="S1532" i="7"/>
  <c r="R1532" i="7"/>
  <c r="Q1532" i="7"/>
  <c r="P1532" i="7"/>
  <c r="O1532" i="7"/>
  <c r="U1531" i="7"/>
  <c r="T1531" i="7"/>
  <c r="S1531" i="7"/>
  <c r="R1531" i="7"/>
  <c r="Q1531" i="7"/>
  <c r="P1531" i="7"/>
  <c r="O1531" i="7"/>
  <c r="U1530" i="7"/>
  <c r="T1530" i="7"/>
  <c r="S1530" i="7"/>
  <c r="R1530" i="7"/>
  <c r="Q1530" i="7"/>
  <c r="P1530" i="7"/>
  <c r="O1530" i="7"/>
  <c r="U1529" i="7"/>
  <c r="T1529" i="7"/>
  <c r="S1529" i="7"/>
  <c r="R1529" i="7"/>
  <c r="Q1529" i="7"/>
  <c r="P1529" i="7"/>
  <c r="O1529" i="7"/>
  <c r="U1528" i="7"/>
  <c r="T1528" i="7"/>
  <c r="S1528" i="7"/>
  <c r="R1528" i="7"/>
  <c r="Q1528" i="7"/>
  <c r="P1528" i="7"/>
  <c r="O1528" i="7"/>
  <c r="U1527" i="7"/>
  <c r="T1527" i="7"/>
  <c r="S1527" i="7"/>
  <c r="R1527" i="7"/>
  <c r="Q1527" i="7"/>
  <c r="P1527" i="7"/>
  <c r="O1527" i="7"/>
  <c r="U1526" i="7"/>
  <c r="T1526" i="7"/>
  <c r="S1526" i="7"/>
  <c r="R1526" i="7"/>
  <c r="Q1526" i="7"/>
  <c r="P1526" i="7"/>
  <c r="O1526" i="7"/>
  <c r="U1525" i="7"/>
  <c r="T1525" i="7"/>
  <c r="S1525" i="7"/>
  <c r="R1525" i="7"/>
  <c r="Q1525" i="7"/>
  <c r="P1525" i="7"/>
  <c r="O1525" i="7"/>
  <c r="U1524" i="7"/>
  <c r="T1524" i="7"/>
  <c r="S1524" i="7"/>
  <c r="R1524" i="7"/>
  <c r="Q1524" i="7"/>
  <c r="P1524" i="7"/>
  <c r="O1524" i="7"/>
  <c r="U1523" i="7"/>
  <c r="T1523" i="7"/>
  <c r="S1523" i="7"/>
  <c r="R1523" i="7"/>
  <c r="Q1523" i="7"/>
  <c r="P1523" i="7"/>
  <c r="O1523" i="7"/>
  <c r="U1522" i="7"/>
  <c r="T1522" i="7"/>
  <c r="S1522" i="7"/>
  <c r="R1522" i="7"/>
  <c r="Q1522" i="7"/>
  <c r="P1522" i="7"/>
  <c r="O1522" i="7"/>
  <c r="U1521" i="7"/>
  <c r="T1521" i="7"/>
  <c r="S1521" i="7"/>
  <c r="R1521" i="7"/>
  <c r="Q1521" i="7"/>
  <c r="P1521" i="7"/>
  <c r="O1521" i="7"/>
  <c r="U1520" i="7"/>
  <c r="T1520" i="7"/>
  <c r="S1520" i="7"/>
  <c r="R1520" i="7"/>
  <c r="Q1520" i="7"/>
  <c r="P1520" i="7"/>
  <c r="O1520" i="7"/>
  <c r="U1519" i="7"/>
  <c r="T1519" i="7"/>
  <c r="S1519" i="7"/>
  <c r="R1519" i="7"/>
  <c r="Q1519" i="7"/>
  <c r="P1519" i="7"/>
  <c r="O1519" i="7"/>
  <c r="U1518" i="7"/>
  <c r="T1518" i="7"/>
  <c r="S1518" i="7"/>
  <c r="R1518" i="7"/>
  <c r="Q1518" i="7"/>
  <c r="P1518" i="7"/>
  <c r="O1518" i="7"/>
  <c r="U1517" i="7"/>
  <c r="T1517" i="7"/>
  <c r="S1517" i="7"/>
  <c r="R1517" i="7"/>
  <c r="Q1517" i="7"/>
  <c r="P1517" i="7"/>
  <c r="O1517" i="7"/>
  <c r="U1516" i="7"/>
  <c r="T1516" i="7"/>
  <c r="S1516" i="7"/>
  <c r="R1516" i="7"/>
  <c r="Q1516" i="7"/>
  <c r="P1516" i="7"/>
  <c r="O1516" i="7"/>
  <c r="U1515" i="7"/>
  <c r="T1515" i="7"/>
  <c r="S1515" i="7"/>
  <c r="R1515" i="7"/>
  <c r="Q1515" i="7"/>
  <c r="P1515" i="7"/>
  <c r="O1515" i="7"/>
  <c r="U1514" i="7"/>
  <c r="T1514" i="7"/>
  <c r="S1514" i="7"/>
  <c r="R1514" i="7"/>
  <c r="Q1514" i="7"/>
  <c r="P1514" i="7"/>
  <c r="O1514" i="7"/>
  <c r="U1513" i="7"/>
  <c r="T1513" i="7"/>
  <c r="S1513" i="7"/>
  <c r="R1513" i="7"/>
  <c r="Q1513" i="7"/>
  <c r="P1513" i="7"/>
  <c r="O1513" i="7"/>
  <c r="U1512" i="7"/>
  <c r="T1512" i="7"/>
  <c r="S1512" i="7"/>
  <c r="R1512" i="7"/>
  <c r="Q1512" i="7"/>
  <c r="P1512" i="7"/>
  <c r="O1512" i="7"/>
  <c r="U1511" i="7"/>
  <c r="T1511" i="7"/>
  <c r="S1511" i="7"/>
  <c r="R1511" i="7"/>
  <c r="Q1511" i="7"/>
  <c r="P1511" i="7"/>
  <c r="O1511" i="7"/>
  <c r="U1510" i="7"/>
  <c r="T1510" i="7"/>
  <c r="S1510" i="7"/>
  <c r="R1510" i="7"/>
  <c r="Q1510" i="7"/>
  <c r="P1510" i="7"/>
  <c r="O1510" i="7"/>
  <c r="U1509" i="7"/>
  <c r="T1509" i="7"/>
  <c r="S1509" i="7"/>
  <c r="R1509" i="7"/>
  <c r="Q1509" i="7"/>
  <c r="P1509" i="7"/>
  <c r="O1509" i="7"/>
  <c r="U1508" i="7"/>
  <c r="T1508" i="7"/>
  <c r="S1508" i="7"/>
  <c r="R1508" i="7"/>
  <c r="Q1508" i="7"/>
  <c r="P1508" i="7"/>
  <c r="O1508" i="7"/>
  <c r="U1507" i="7"/>
  <c r="T1507" i="7"/>
  <c r="S1507" i="7"/>
  <c r="R1507" i="7"/>
  <c r="Q1507" i="7"/>
  <c r="P1507" i="7"/>
  <c r="O1507" i="7"/>
  <c r="U1506" i="7"/>
  <c r="T1506" i="7"/>
  <c r="S1506" i="7"/>
  <c r="R1506" i="7"/>
  <c r="Q1506" i="7"/>
  <c r="P1506" i="7"/>
  <c r="O1506" i="7"/>
  <c r="U1505" i="7"/>
  <c r="T1505" i="7"/>
  <c r="S1505" i="7"/>
  <c r="R1505" i="7"/>
  <c r="Q1505" i="7"/>
  <c r="P1505" i="7"/>
  <c r="O1505" i="7"/>
  <c r="U1504" i="7"/>
  <c r="T1504" i="7"/>
  <c r="S1504" i="7"/>
  <c r="R1504" i="7"/>
  <c r="Q1504" i="7"/>
  <c r="P1504" i="7"/>
  <c r="O1504" i="7"/>
  <c r="U1503" i="7"/>
  <c r="T1503" i="7"/>
  <c r="S1503" i="7"/>
  <c r="R1503" i="7"/>
  <c r="Q1503" i="7"/>
  <c r="P1503" i="7"/>
  <c r="O1503" i="7"/>
  <c r="U1502" i="7"/>
  <c r="T1502" i="7"/>
  <c r="S1502" i="7"/>
  <c r="R1502" i="7"/>
  <c r="Q1502" i="7"/>
  <c r="P1502" i="7"/>
  <c r="O1502" i="7"/>
  <c r="U1501" i="7"/>
  <c r="T1501" i="7"/>
  <c r="S1501" i="7"/>
  <c r="R1501" i="7"/>
  <c r="Q1501" i="7"/>
  <c r="P1501" i="7"/>
  <c r="O1501" i="7"/>
  <c r="U1500" i="7"/>
  <c r="T1500" i="7"/>
  <c r="S1500" i="7"/>
  <c r="R1500" i="7"/>
  <c r="Q1500" i="7"/>
  <c r="P1500" i="7"/>
  <c r="O1500" i="7"/>
  <c r="U1499" i="7"/>
  <c r="T1499" i="7"/>
  <c r="S1499" i="7"/>
  <c r="R1499" i="7"/>
  <c r="Q1499" i="7"/>
  <c r="P1499" i="7"/>
  <c r="O1499" i="7"/>
  <c r="U1498" i="7"/>
  <c r="T1498" i="7"/>
  <c r="S1498" i="7"/>
  <c r="R1498" i="7"/>
  <c r="Q1498" i="7"/>
  <c r="P1498" i="7"/>
  <c r="O1498" i="7"/>
  <c r="U1497" i="7"/>
  <c r="T1497" i="7"/>
  <c r="S1497" i="7"/>
  <c r="R1497" i="7"/>
  <c r="Q1497" i="7"/>
  <c r="P1497" i="7"/>
  <c r="O1497" i="7"/>
  <c r="U1496" i="7"/>
  <c r="T1496" i="7"/>
  <c r="S1496" i="7"/>
  <c r="R1496" i="7"/>
  <c r="Q1496" i="7"/>
  <c r="P1496" i="7"/>
  <c r="O1496" i="7"/>
  <c r="U1495" i="7"/>
  <c r="T1495" i="7"/>
  <c r="S1495" i="7"/>
  <c r="R1495" i="7"/>
  <c r="Q1495" i="7"/>
  <c r="P1495" i="7"/>
  <c r="O1495" i="7"/>
  <c r="U1494" i="7"/>
  <c r="T1494" i="7"/>
  <c r="S1494" i="7"/>
  <c r="R1494" i="7"/>
  <c r="Q1494" i="7"/>
  <c r="P1494" i="7"/>
  <c r="O1494" i="7"/>
  <c r="U1493" i="7"/>
  <c r="T1493" i="7"/>
  <c r="S1493" i="7"/>
  <c r="R1493" i="7"/>
  <c r="Q1493" i="7"/>
  <c r="P1493" i="7"/>
  <c r="O1493" i="7"/>
  <c r="U1492" i="7"/>
  <c r="T1492" i="7"/>
  <c r="S1492" i="7"/>
  <c r="R1492" i="7"/>
  <c r="Q1492" i="7"/>
  <c r="P1492" i="7"/>
  <c r="O1492" i="7"/>
  <c r="U1491" i="7"/>
  <c r="T1491" i="7"/>
  <c r="S1491" i="7"/>
  <c r="R1491" i="7"/>
  <c r="Q1491" i="7"/>
  <c r="P1491" i="7"/>
  <c r="O1491" i="7"/>
  <c r="U1490" i="7"/>
  <c r="T1490" i="7"/>
  <c r="S1490" i="7"/>
  <c r="R1490" i="7"/>
  <c r="Q1490" i="7"/>
  <c r="P1490" i="7"/>
  <c r="O1490" i="7"/>
  <c r="U1489" i="7"/>
  <c r="T1489" i="7"/>
  <c r="S1489" i="7"/>
  <c r="R1489" i="7"/>
  <c r="Q1489" i="7"/>
  <c r="P1489" i="7"/>
  <c r="O1489" i="7"/>
  <c r="U1488" i="7"/>
  <c r="T1488" i="7"/>
  <c r="S1488" i="7"/>
  <c r="R1488" i="7"/>
  <c r="Q1488" i="7"/>
  <c r="P1488" i="7"/>
  <c r="O1488" i="7"/>
  <c r="U1487" i="7"/>
  <c r="T1487" i="7"/>
  <c r="S1487" i="7"/>
  <c r="R1487" i="7"/>
  <c r="Q1487" i="7"/>
  <c r="P1487" i="7"/>
  <c r="O1487" i="7"/>
  <c r="U1486" i="7"/>
  <c r="T1486" i="7"/>
  <c r="S1486" i="7"/>
  <c r="R1486" i="7"/>
  <c r="Q1486" i="7"/>
  <c r="P1486" i="7"/>
  <c r="O1486" i="7"/>
  <c r="U1485" i="7"/>
  <c r="T1485" i="7"/>
  <c r="S1485" i="7"/>
  <c r="R1485" i="7"/>
  <c r="Q1485" i="7"/>
  <c r="P1485" i="7"/>
  <c r="O1485" i="7"/>
  <c r="U1484" i="7"/>
  <c r="T1484" i="7"/>
  <c r="S1484" i="7"/>
  <c r="R1484" i="7"/>
  <c r="Q1484" i="7"/>
  <c r="P1484" i="7"/>
  <c r="O1484" i="7"/>
  <c r="U1483" i="7"/>
  <c r="T1483" i="7"/>
  <c r="S1483" i="7"/>
  <c r="R1483" i="7"/>
  <c r="Q1483" i="7"/>
  <c r="P1483" i="7"/>
  <c r="O1483" i="7"/>
  <c r="U1482" i="7"/>
  <c r="T1482" i="7"/>
  <c r="S1482" i="7"/>
  <c r="R1482" i="7"/>
  <c r="Q1482" i="7"/>
  <c r="P1482" i="7"/>
  <c r="O1482" i="7"/>
  <c r="U1481" i="7"/>
  <c r="T1481" i="7"/>
  <c r="S1481" i="7"/>
  <c r="R1481" i="7"/>
  <c r="Q1481" i="7"/>
  <c r="P1481" i="7"/>
  <c r="O1481" i="7"/>
  <c r="U1480" i="7"/>
  <c r="T1480" i="7"/>
  <c r="S1480" i="7"/>
  <c r="R1480" i="7"/>
  <c r="Q1480" i="7"/>
  <c r="P1480" i="7"/>
  <c r="O1480" i="7"/>
  <c r="U1479" i="7"/>
  <c r="T1479" i="7"/>
  <c r="S1479" i="7"/>
  <c r="R1479" i="7"/>
  <c r="Q1479" i="7"/>
  <c r="P1479" i="7"/>
  <c r="O1479" i="7"/>
  <c r="U1478" i="7"/>
  <c r="T1478" i="7"/>
  <c r="S1478" i="7"/>
  <c r="R1478" i="7"/>
  <c r="Q1478" i="7"/>
  <c r="P1478" i="7"/>
  <c r="O1478" i="7"/>
  <c r="U1477" i="7"/>
  <c r="T1477" i="7"/>
  <c r="S1477" i="7"/>
  <c r="R1477" i="7"/>
  <c r="Q1477" i="7"/>
  <c r="P1477" i="7"/>
  <c r="O1477" i="7"/>
  <c r="U1476" i="7"/>
  <c r="T1476" i="7"/>
  <c r="S1476" i="7"/>
  <c r="R1476" i="7"/>
  <c r="Q1476" i="7"/>
  <c r="P1476" i="7"/>
  <c r="O1476" i="7"/>
  <c r="U1475" i="7"/>
  <c r="T1475" i="7"/>
  <c r="S1475" i="7"/>
  <c r="R1475" i="7"/>
  <c r="Q1475" i="7"/>
  <c r="P1475" i="7"/>
  <c r="O1475" i="7"/>
  <c r="U1474" i="7"/>
  <c r="T1474" i="7"/>
  <c r="S1474" i="7"/>
  <c r="R1474" i="7"/>
  <c r="Q1474" i="7"/>
  <c r="P1474" i="7"/>
  <c r="O1474" i="7"/>
  <c r="U1473" i="7"/>
  <c r="T1473" i="7"/>
  <c r="S1473" i="7"/>
  <c r="R1473" i="7"/>
  <c r="Q1473" i="7"/>
  <c r="P1473" i="7"/>
  <c r="O1473" i="7"/>
  <c r="U1472" i="7"/>
  <c r="T1472" i="7"/>
  <c r="S1472" i="7"/>
  <c r="R1472" i="7"/>
  <c r="Q1472" i="7"/>
  <c r="P1472" i="7"/>
  <c r="O1472" i="7"/>
  <c r="U1471" i="7"/>
  <c r="T1471" i="7"/>
  <c r="S1471" i="7"/>
  <c r="R1471" i="7"/>
  <c r="Q1471" i="7"/>
  <c r="P1471" i="7"/>
  <c r="O1471" i="7"/>
  <c r="U1470" i="7"/>
  <c r="T1470" i="7"/>
  <c r="S1470" i="7"/>
  <c r="R1470" i="7"/>
  <c r="Q1470" i="7"/>
  <c r="P1470" i="7"/>
  <c r="O1470" i="7"/>
  <c r="U1469" i="7"/>
  <c r="T1469" i="7"/>
  <c r="S1469" i="7"/>
  <c r="R1469" i="7"/>
  <c r="Q1469" i="7"/>
  <c r="P1469" i="7"/>
  <c r="O1469" i="7"/>
  <c r="U1468" i="7"/>
  <c r="T1468" i="7"/>
  <c r="S1468" i="7"/>
  <c r="R1468" i="7"/>
  <c r="Q1468" i="7"/>
  <c r="P1468" i="7"/>
  <c r="O1468" i="7"/>
  <c r="U1467" i="7"/>
  <c r="T1467" i="7"/>
  <c r="S1467" i="7"/>
  <c r="R1467" i="7"/>
  <c r="Q1467" i="7"/>
  <c r="P1467" i="7"/>
  <c r="O1467" i="7"/>
  <c r="U1466" i="7"/>
  <c r="T1466" i="7"/>
  <c r="S1466" i="7"/>
  <c r="R1466" i="7"/>
  <c r="Q1466" i="7"/>
  <c r="P1466" i="7"/>
  <c r="O1466" i="7"/>
  <c r="U1465" i="7"/>
  <c r="T1465" i="7"/>
  <c r="S1465" i="7"/>
  <c r="R1465" i="7"/>
  <c r="Q1465" i="7"/>
  <c r="P1465" i="7"/>
  <c r="O1465" i="7"/>
  <c r="U1464" i="7"/>
  <c r="T1464" i="7"/>
  <c r="S1464" i="7"/>
  <c r="R1464" i="7"/>
  <c r="Q1464" i="7"/>
  <c r="P1464" i="7"/>
  <c r="O1464" i="7"/>
  <c r="U1463" i="7"/>
  <c r="T1463" i="7"/>
  <c r="S1463" i="7"/>
  <c r="R1463" i="7"/>
  <c r="Q1463" i="7"/>
  <c r="P1463" i="7"/>
  <c r="O1463" i="7"/>
  <c r="U1462" i="7"/>
  <c r="T1462" i="7"/>
  <c r="S1462" i="7"/>
  <c r="R1462" i="7"/>
  <c r="Q1462" i="7"/>
  <c r="P1462" i="7"/>
  <c r="O1462" i="7"/>
  <c r="U1461" i="7"/>
  <c r="T1461" i="7"/>
  <c r="S1461" i="7"/>
  <c r="R1461" i="7"/>
  <c r="Q1461" i="7"/>
  <c r="P1461" i="7"/>
  <c r="O1461" i="7"/>
  <c r="U1460" i="7"/>
  <c r="T1460" i="7"/>
  <c r="S1460" i="7"/>
  <c r="R1460" i="7"/>
  <c r="Q1460" i="7"/>
  <c r="P1460" i="7"/>
  <c r="O1460" i="7"/>
  <c r="U1459" i="7"/>
  <c r="T1459" i="7"/>
  <c r="S1459" i="7"/>
  <c r="R1459" i="7"/>
  <c r="Q1459" i="7"/>
  <c r="P1459" i="7"/>
  <c r="O1459" i="7"/>
  <c r="U1458" i="7"/>
  <c r="T1458" i="7"/>
  <c r="S1458" i="7"/>
  <c r="R1458" i="7"/>
  <c r="Q1458" i="7"/>
  <c r="P1458" i="7"/>
  <c r="O1458" i="7"/>
  <c r="U1457" i="7"/>
  <c r="T1457" i="7"/>
  <c r="S1457" i="7"/>
  <c r="R1457" i="7"/>
  <c r="Q1457" i="7"/>
  <c r="P1457" i="7"/>
  <c r="O1457" i="7"/>
  <c r="U1456" i="7"/>
  <c r="T1456" i="7"/>
  <c r="S1456" i="7"/>
  <c r="R1456" i="7"/>
  <c r="Q1456" i="7"/>
  <c r="P1456" i="7"/>
  <c r="O1456" i="7"/>
  <c r="U1455" i="7"/>
  <c r="T1455" i="7"/>
  <c r="S1455" i="7"/>
  <c r="R1455" i="7"/>
  <c r="Q1455" i="7"/>
  <c r="P1455" i="7"/>
  <c r="O1455" i="7"/>
  <c r="U1454" i="7"/>
  <c r="T1454" i="7"/>
  <c r="S1454" i="7"/>
  <c r="R1454" i="7"/>
  <c r="Q1454" i="7"/>
  <c r="P1454" i="7"/>
  <c r="O1454" i="7"/>
  <c r="U1453" i="7"/>
  <c r="T1453" i="7"/>
  <c r="S1453" i="7"/>
  <c r="R1453" i="7"/>
  <c r="Q1453" i="7"/>
  <c r="P1453" i="7"/>
  <c r="O1453" i="7"/>
  <c r="U1452" i="7"/>
  <c r="T1452" i="7"/>
  <c r="S1452" i="7"/>
  <c r="R1452" i="7"/>
  <c r="Q1452" i="7"/>
  <c r="P1452" i="7"/>
  <c r="O1452" i="7"/>
  <c r="U1451" i="7"/>
  <c r="T1451" i="7"/>
  <c r="S1451" i="7"/>
  <c r="R1451" i="7"/>
  <c r="Q1451" i="7"/>
  <c r="P1451" i="7"/>
  <c r="O1451" i="7"/>
  <c r="U1450" i="7"/>
  <c r="T1450" i="7"/>
  <c r="S1450" i="7"/>
  <c r="R1450" i="7"/>
  <c r="Q1450" i="7"/>
  <c r="P1450" i="7"/>
  <c r="O1450" i="7"/>
  <c r="U1449" i="7"/>
  <c r="T1449" i="7"/>
  <c r="S1449" i="7"/>
  <c r="R1449" i="7"/>
  <c r="Q1449" i="7"/>
  <c r="P1449" i="7"/>
  <c r="O1449" i="7"/>
  <c r="U1448" i="7"/>
  <c r="T1448" i="7"/>
  <c r="S1448" i="7"/>
  <c r="R1448" i="7"/>
  <c r="Q1448" i="7"/>
  <c r="P1448" i="7"/>
  <c r="O1448" i="7"/>
  <c r="U1447" i="7"/>
  <c r="T1447" i="7"/>
  <c r="S1447" i="7"/>
  <c r="R1447" i="7"/>
  <c r="Q1447" i="7"/>
  <c r="P1447" i="7"/>
  <c r="O1447" i="7"/>
  <c r="U1446" i="7"/>
  <c r="T1446" i="7"/>
  <c r="S1446" i="7"/>
  <c r="R1446" i="7"/>
  <c r="Q1446" i="7"/>
  <c r="P1446" i="7"/>
  <c r="O1446" i="7"/>
  <c r="U1445" i="7"/>
  <c r="T1445" i="7"/>
  <c r="S1445" i="7"/>
  <c r="R1445" i="7"/>
  <c r="Q1445" i="7"/>
  <c r="P1445" i="7"/>
  <c r="O1445" i="7"/>
  <c r="U1444" i="7"/>
  <c r="T1444" i="7"/>
  <c r="S1444" i="7"/>
  <c r="R1444" i="7"/>
  <c r="Q1444" i="7"/>
  <c r="P1444" i="7"/>
  <c r="O1444" i="7"/>
  <c r="U1443" i="7"/>
  <c r="T1443" i="7"/>
  <c r="S1443" i="7"/>
  <c r="R1443" i="7"/>
  <c r="Q1443" i="7"/>
  <c r="P1443" i="7"/>
  <c r="O1443" i="7"/>
  <c r="U1442" i="7"/>
  <c r="T1442" i="7"/>
  <c r="S1442" i="7"/>
  <c r="R1442" i="7"/>
  <c r="Q1442" i="7"/>
  <c r="P1442" i="7"/>
  <c r="O1442" i="7"/>
  <c r="U1441" i="7"/>
  <c r="T1441" i="7"/>
  <c r="S1441" i="7"/>
  <c r="R1441" i="7"/>
  <c r="Q1441" i="7"/>
  <c r="P1441" i="7"/>
  <c r="O1441" i="7"/>
  <c r="U1440" i="7"/>
  <c r="T1440" i="7"/>
  <c r="S1440" i="7"/>
  <c r="R1440" i="7"/>
  <c r="Q1440" i="7"/>
  <c r="P1440" i="7"/>
  <c r="O1440" i="7"/>
  <c r="U1439" i="7"/>
  <c r="T1439" i="7"/>
  <c r="S1439" i="7"/>
  <c r="R1439" i="7"/>
  <c r="Q1439" i="7"/>
  <c r="P1439" i="7"/>
  <c r="O1439" i="7"/>
  <c r="U1438" i="7"/>
  <c r="T1438" i="7"/>
  <c r="S1438" i="7"/>
  <c r="R1438" i="7"/>
  <c r="Q1438" i="7"/>
  <c r="P1438" i="7"/>
  <c r="O1438" i="7"/>
  <c r="U1437" i="7"/>
  <c r="T1437" i="7"/>
  <c r="S1437" i="7"/>
  <c r="R1437" i="7"/>
  <c r="Q1437" i="7"/>
  <c r="P1437" i="7"/>
  <c r="O1437" i="7"/>
  <c r="U1436" i="7"/>
  <c r="T1436" i="7"/>
  <c r="S1436" i="7"/>
  <c r="R1436" i="7"/>
  <c r="Q1436" i="7"/>
  <c r="P1436" i="7"/>
  <c r="O1436" i="7"/>
  <c r="U1435" i="7"/>
  <c r="T1435" i="7"/>
  <c r="S1435" i="7"/>
  <c r="R1435" i="7"/>
  <c r="Q1435" i="7"/>
  <c r="P1435" i="7"/>
  <c r="O1435" i="7"/>
  <c r="U1434" i="7"/>
  <c r="T1434" i="7"/>
  <c r="S1434" i="7"/>
  <c r="R1434" i="7"/>
  <c r="Q1434" i="7"/>
  <c r="P1434" i="7"/>
  <c r="O1434" i="7"/>
  <c r="U1433" i="7"/>
  <c r="T1433" i="7"/>
  <c r="S1433" i="7"/>
  <c r="R1433" i="7"/>
  <c r="Q1433" i="7"/>
  <c r="P1433" i="7"/>
  <c r="O1433" i="7"/>
  <c r="U1432" i="7"/>
  <c r="T1432" i="7"/>
  <c r="S1432" i="7"/>
  <c r="R1432" i="7"/>
  <c r="Q1432" i="7"/>
  <c r="P1432" i="7"/>
  <c r="O1432" i="7"/>
  <c r="U1431" i="7"/>
  <c r="T1431" i="7"/>
  <c r="S1431" i="7"/>
  <c r="R1431" i="7"/>
  <c r="Q1431" i="7"/>
  <c r="P1431" i="7"/>
  <c r="O1431" i="7"/>
  <c r="U1430" i="7"/>
  <c r="T1430" i="7"/>
  <c r="S1430" i="7"/>
  <c r="R1430" i="7"/>
  <c r="Q1430" i="7"/>
  <c r="P1430" i="7"/>
  <c r="O1430" i="7"/>
  <c r="U1429" i="7"/>
  <c r="T1429" i="7"/>
  <c r="S1429" i="7"/>
  <c r="R1429" i="7"/>
  <c r="Q1429" i="7"/>
  <c r="P1429" i="7"/>
  <c r="O1429" i="7"/>
  <c r="U1428" i="7"/>
  <c r="T1428" i="7"/>
  <c r="S1428" i="7"/>
  <c r="R1428" i="7"/>
  <c r="Q1428" i="7"/>
  <c r="P1428" i="7"/>
  <c r="O1428" i="7"/>
  <c r="U1427" i="7"/>
  <c r="T1427" i="7"/>
  <c r="S1427" i="7"/>
  <c r="R1427" i="7"/>
  <c r="Q1427" i="7"/>
  <c r="P1427" i="7"/>
  <c r="O1427" i="7"/>
  <c r="U1426" i="7"/>
  <c r="T1426" i="7"/>
  <c r="S1426" i="7"/>
  <c r="R1426" i="7"/>
  <c r="Q1426" i="7"/>
  <c r="P1426" i="7"/>
  <c r="O1426" i="7"/>
  <c r="U1425" i="7"/>
  <c r="T1425" i="7"/>
  <c r="S1425" i="7"/>
  <c r="R1425" i="7"/>
  <c r="Q1425" i="7"/>
  <c r="P1425" i="7"/>
  <c r="O1425" i="7"/>
  <c r="U1424" i="7"/>
  <c r="T1424" i="7"/>
  <c r="S1424" i="7"/>
  <c r="R1424" i="7"/>
  <c r="Q1424" i="7"/>
  <c r="P1424" i="7"/>
  <c r="O1424" i="7"/>
  <c r="U1423" i="7"/>
  <c r="T1423" i="7"/>
  <c r="S1423" i="7"/>
  <c r="R1423" i="7"/>
  <c r="Q1423" i="7"/>
  <c r="P1423" i="7"/>
  <c r="O1423" i="7"/>
  <c r="U1422" i="7"/>
  <c r="T1422" i="7"/>
  <c r="S1422" i="7"/>
  <c r="R1422" i="7"/>
  <c r="Q1422" i="7"/>
  <c r="P1422" i="7"/>
  <c r="O1422" i="7"/>
  <c r="U1421" i="7"/>
  <c r="T1421" i="7"/>
  <c r="S1421" i="7"/>
  <c r="R1421" i="7"/>
  <c r="Q1421" i="7"/>
  <c r="P1421" i="7"/>
  <c r="O1421" i="7"/>
  <c r="U1420" i="7"/>
  <c r="T1420" i="7"/>
  <c r="S1420" i="7"/>
  <c r="R1420" i="7"/>
  <c r="Q1420" i="7"/>
  <c r="P1420" i="7"/>
  <c r="O1420" i="7"/>
  <c r="U1419" i="7"/>
  <c r="T1419" i="7"/>
  <c r="S1419" i="7"/>
  <c r="R1419" i="7"/>
  <c r="Q1419" i="7"/>
  <c r="P1419" i="7"/>
  <c r="O1419" i="7"/>
  <c r="U1418" i="7"/>
  <c r="T1418" i="7"/>
  <c r="S1418" i="7"/>
  <c r="R1418" i="7"/>
  <c r="Q1418" i="7"/>
  <c r="P1418" i="7"/>
  <c r="O1418" i="7"/>
  <c r="U1417" i="7"/>
  <c r="T1417" i="7"/>
  <c r="S1417" i="7"/>
  <c r="R1417" i="7"/>
  <c r="Q1417" i="7"/>
  <c r="P1417" i="7"/>
  <c r="O1417" i="7"/>
  <c r="U1416" i="7"/>
  <c r="T1416" i="7"/>
  <c r="S1416" i="7"/>
  <c r="R1416" i="7"/>
  <c r="Q1416" i="7"/>
  <c r="P1416" i="7"/>
  <c r="O1416" i="7"/>
  <c r="U1415" i="7"/>
  <c r="T1415" i="7"/>
  <c r="S1415" i="7"/>
  <c r="R1415" i="7"/>
  <c r="Q1415" i="7"/>
  <c r="P1415" i="7"/>
  <c r="O1415" i="7"/>
  <c r="U1414" i="7"/>
  <c r="T1414" i="7"/>
  <c r="S1414" i="7"/>
  <c r="R1414" i="7"/>
  <c r="Q1414" i="7"/>
  <c r="P1414" i="7"/>
  <c r="O1414" i="7"/>
  <c r="U1413" i="7"/>
  <c r="T1413" i="7"/>
  <c r="S1413" i="7"/>
  <c r="R1413" i="7"/>
  <c r="Q1413" i="7"/>
  <c r="P1413" i="7"/>
  <c r="O1413" i="7"/>
  <c r="U1412" i="7"/>
  <c r="T1412" i="7"/>
  <c r="S1412" i="7"/>
  <c r="R1412" i="7"/>
  <c r="Q1412" i="7"/>
  <c r="P1412" i="7"/>
  <c r="O1412" i="7"/>
  <c r="U1411" i="7"/>
  <c r="T1411" i="7"/>
  <c r="S1411" i="7"/>
  <c r="R1411" i="7"/>
  <c r="Q1411" i="7"/>
  <c r="P1411" i="7"/>
  <c r="O1411" i="7"/>
  <c r="U1410" i="7"/>
  <c r="T1410" i="7"/>
  <c r="S1410" i="7"/>
  <c r="R1410" i="7"/>
  <c r="Q1410" i="7"/>
  <c r="P1410" i="7"/>
  <c r="O1410" i="7"/>
  <c r="U1409" i="7"/>
  <c r="T1409" i="7"/>
  <c r="S1409" i="7"/>
  <c r="R1409" i="7"/>
  <c r="Q1409" i="7"/>
  <c r="P1409" i="7"/>
  <c r="O1409" i="7"/>
  <c r="U1408" i="7"/>
  <c r="T1408" i="7"/>
  <c r="S1408" i="7"/>
  <c r="R1408" i="7"/>
  <c r="Q1408" i="7"/>
  <c r="P1408" i="7"/>
  <c r="O1408" i="7"/>
  <c r="U1407" i="7"/>
  <c r="T1407" i="7"/>
  <c r="S1407" i="7"/>
  <c r="R1407" i="7"/>
  <c r="Q1407" i="7"/>
  <c r="P1407" i="7"/>
  <c r="O1407" i="7"/>
  <c r="U1406" i="7"/>
  <c r="T1406" i="7"/>
  <c r="S1406" i="7"/>
  <c r="R1406" i="7"/>
  <c r="Q1406" i="7"/>
  <c r="P1406" i="7"/>
  <c r="O1406" i="7"/>
  <c r="U1405" i="7"/>
  <c r="T1405" i="7"/>
  <c r="S1405" i="7"/>
  <c r="R1405" i="7"/>
  <c r="Q1405" i="7"/>
  <c r="P1405" i="7"/>
  <c r="O1405" i="7"/>
  <c r="U1404" i="7"/>
  <c r="T1404" i="7"/>
  <c r="S1404" i="7"/>
  <c r="R1404" i="7"/>
  <c r="Q1404" i="7"/>
  <c r="P1404" i="7"/>
  <c r="O1404" i="7"/>
  <c r="U1403" i="7"/>
  <c r="T1403" i="7"/>
  <c r="S1403" i="7"/>
  <c r="R1403" i="7"/>
  <c r="Q1403" i="7"/>
  <c r="P1403" i="7"/>
  <c r="O1403" i="7"/>
  <c r="U1402" i="7"/>
  <c r="T1402" i="7"/>
  <c r="S1402" i="7"/>
  <c r="R1402" i="7"/>
  <c r="Q1402" i="7"/>
  <c r="P1402" i="7"/>
  <c r="O1402" i="7"/>
  <c r="U1401" i="7"/>
  <c r="T1401" i="7"/>
  <c r="S1401" i="7"/>
  <c r="R1401" i="7"/>
  <c r="Q1401" i="7"/>
  <c r="P1401" i="7"/>
  <c r="O1401" i="7"/>
  <c r="U1400" i="7"/>
  <c r="T1400" i="7"/>
  <c r="S1400" i="7"/>
  <c r="R1400" i="7"/>
  <c r="Q1400" i="7"/>
  <c r="P1400" i="7"/>
  <c r="O1400" i="7"/>
  <c r="U1399" i="7"/>
  <c r="T1399" i="7"/>
  <c r="S1399" i="7"/>
  <c r="R1399" i="7"/>
  <c r="Q1399" i="7"/>
  <c r="P1399" i="7"/>
  <c r="O1399" i="7"/>
  <c r="U1398" i="7"/>
  <c r="T1398" i="7"/>
  <c r="S1398" i="7"/>
  <c r="R1398" i="7"/>
  <c r="Q1398" i="7"/>
  <c r="P1398" i="7"/>
  <c r="O1398" i="7"/>
  <c r="U1397" i="7"/>
  <c r="T1397" i="7"/>
  <c r="S1397" i="7"/>
  <c r="R1397" i="7"/>
  <c r="Q1397" i="7"/>
  <c r="P1397" i="7"/>
  <c r="O1397" i="7"/>
  <c r="U1396" i="7"/>
  <c r="T1396" i="7"/>
  <c r="S1396" i="7"/>
  <c r="R1396" i="7"/>
  <c r="Q1396" i="7"/>
  <c r="P1396" i="7"/>
  <c r="O1396" i="7"/>
  <c r="U1395" i="7"/>
  <c r="T1395" i="7"/>
  <c r="S1395" i="7"/>
  <c r="R1395" i="7"/>
  <c r="Q1395" i="7"/>
  <c r="P1395" i="7"/>
  <c r="O1395" i="7"/>
  <c r="U1394" i="7"/>
  <c r="T1394" i="7"/>
  <c r="S1394" i="7"/>
  <c r="R1394" i="7"/>
  <c r="Q1394" i="7"/>
  <c r="P1394" i="7"/>
  <c r="O1394" i="7"/>
  <c r="U1393" i="7"/>
  <c r="T1393" i="7"/>
  <c r="S1393" i="7"/>
  <c r="R1393" i="7"/>
  <c r="Q1393" i="7"/>
  <c r="P1393" i="7"/>
  <c r="O1393" i="7"/>
  <c r="U1392" i="7"/>
  <c r="T1392" i="7"/>
  <c r="S1392" i="7"/>
  <c r="R1392" i="7"/>
  <c r="Q1392" i="7"/>
  <c r="P1392" i="7"/>
  <c r="O1392" i="7"/>
  <c r="U1391" i="7"/>
  <c r="T1391" i="7"/>
  <c r="S1391" i="7"/>
  <c r="R1391" i="7"/>
  <c r="Q1391" i="7"/>
  <c r="P1391" i="7"/>
  <c r="O1391" i="7"/>
  <c r="U1390" i="7"/>
  <c r="T1390" i="7"/>
  <c r="S1390" i="7"/>
  <c r="R1390" i="7"/>
  <c r="Q1390" i="7"/>
  <c r="P1390" i="7"/>
  <c r="O1390" i="7"/>
  <c r="U1389" i="7"/>
  <c r="T1389" i="7"/>
  <c r="S1389" i="7"/>
  <c r="R1389" i="7"/>
  <c r="Q1389" i="7"/>
  <c r="P1389" i="7"/>
  <c r="O1389" i="7"/>
  <c r="U1388" i="7"/>
  <c r="T1388" i="7"/>
  <c r="S1388" i="7"/>
  <c r="R1388" i="7"/>
  <c r="Q1388" i="7"/>
  <c r="P1388" i="7"/>
  <c r="O1388" i="7"/>
  <c r="U1387" i="7"/>
  <c r="T1387" i="7"/>
  <c r="S1387" i="7"/>
  <c r="R1387" i="7"/>
  <c r="Q1387" i="7"/>
  <c r="P1387" i="7"/>
  <c r="O1387" i="7"/>
  <c r="U1386" i="7"/>
  <c r="T1386" i="7"/>
  <c r="S1386" i="7"/>
  <c r="R1386" i="7"/>
  <c r="Q1386" i="7"/>
  <c r="P1386" i="7"/>
  <c r="O1386" i="7"/>
  <c r="U1385" i="7"/>
  <c r="T1385" i="7"/>
  <c r="S1385" i="7"/>
  <c r="R1385" i="7"/>
  <c r="Q1385" i="7"/>
  <c r="P1385" i="7"/>
  <c r="O1385" i="7"/>
  <c r="U1384" i="7"/>
  <c r="T1384" i="7"/>
  <c r="S1384" i="7"/>
  <c r="R1384" i="7"/>
  <c r="Q1384" i="7"/>
  <c r="P1384" i="7"/>
  <c r="O1384" i="7"/>
  <c r="U1383" i="7"/>
  <c r="T1383" i="7"/>
  <c r="S1383" i="7"/>
  <c r="R1383" i="7"/>
  <c r="Q1383" i="7"/>
  <c r="P1383" i="7"/>
  <c r="O1383" i="7"/>
  <c r="U1382" i="7"/>
  <c r="T1382" i="7"/>
  <c r="S1382" i="7"/>
  <c r="R1382" i="7"/>
  <c r="Q1382" i="7"/>
  <c r="P1382" i="7"/>
  <c r="O1382" i="7"/>
  <c r="U1381" i="7"/>
  <c r="T1381" i="7"/>
  <c r="S1381" i="7"/>
  <c r="R1381" i="7"/>
  <c r="Q1381" i="7"/>
  <c r="P1381" i="7"/>
  <c r="O1381" i="7"/>
  <c r="U1380" i="7"/>
  <c r="T1380" i="7"/>
  <c r="S1380" i="7"/>
  <c r="R1380" i="7"/>
  <c r="Q1380" i="7"/>
  <c r="P1380" i="7"/>
  <c r="O1380" i="7"/>
  <c r="U1379" i="7"/>
  <c r="T1379" i="7"/>
  <c r="S1379" i="7"/>
  <c r="R1379" i="7"/>
  <c r="Q1379" i="7"/>
  <c r="P1379" i="7"/>
  <c r="O1379" i="7"/>
  <c r="U1378" i="7"/>
  <c r="T1378" i="7"/>
  <c r="S1378" i="7"/>
  <c r="R1378" i="7"/>
  <c r="Q1378" i="7"/>
  <c r="P1378" i="7"/>
  <c r="O1378" i="7"/>
  <c r="U1377" i="7"/>
  <c r="T1377" i="7"/>
  <c r="S1377" i="7"/>
  <c r="R1377" i="7"/>
  <c r="Q1377" i="7"/>
  <c r="P1377" i="7"/>
  <c r="O1377" i="7"/>
  <c r="U1376" i="7"/>
  <c r="T1376" i="7"/>
  <c r="S1376" i="7"/>
  <c r="R1376" i="7"/>
  <c r="Q1376" i="7"/>
  <c r="P1376" i="7"/>
  <c r="O1376" i="7"/>
  <c r="U1375" i="7"/>
  <c r="T1375" i="7"/>
  <c r="S1375" i="7"/>
  <c r="R1375" i="7"/>
  <c r="Q1375" i="7"/>
  <c r="P1375" i="7"/>
  <c r="O1375" i="7"/>
  <c r="U1374" i="7"/>
  <c r="T1374" i="7"/>
  <c r="S1374" i="7"/>
  <c r="R1374" i="7"/>
  <c r="Q1374" i="7"/>
  <c r="P1374" i="7"/>
  <c r="O1374" i="7"/>
  <c r="U1373" i="7"/>
  <c r="T1373" i="7"/>
  <c r="S1373" i="7"/>
  <c r="R1373" i="7"/>
  <c r="Q1373" i="7"/>
  <c r="P1373" i="7"/>
  <c r="O1373" i="7"/>
  <c r="U1372" i="7"/>
  <c r="T1372" i="7"/>
  <c r="S1372" i="7"/>
  <c r="R1372" i="7"/>
  <c r="Q1372" i="7"/>
  <c r="P1372" i="7"/>
  <c r="O1372" i="7"/>
  <c r="U1371" i="7"/>
  <c r="T1371" i="7"/>
  <c r="S1371" i="7"/>
  <c r="R1371" i="7"/>
  <c r="Q1371" i="7"/>
  <c r="P1371" i="7"/>
  <c r="O1371" i="7"/>
  <c r="U1370" i="7"/>
  <c r="T1370" i="7"/>
  <c r="S1370" i="7"/>
  <c r="R1370" i="7"/>
  <c r="Q1370" i="7"/>
  <c r="P1370" i="7"/>
  <c r="O1370" i="7"/>
  <c r="U1369" i="7"/>
  <c r="T1369" i="7"/>
  <c r="S1369" i="7"/>
  <c r="R1369" i="7"/>
  <c r="Q1369" i="7"/>
  <c r="P1369" i="7"/>
  <c r="O1369" i="7"/>
  <c r="U1368" i="7"/>
  <c r="T1368" i="7"/>
  <c r="S1368" i="7"/>
  <c r="R1368" i="7"/>
  <c r="Q1368" i="7"/>
  <c r="P1368" i="7"/>
  <c r="O1368" i="7"/>
  <c r="U1367" i="7"/>
  <c r="T1367" i="7"/>
  <c r="S1367" i="7"/>
  <c r="R1367" i="7"/>
  <c r="Q1367" i="7"/>
  <c r="P1367" i="7"/>
  <c r="O1367" i="7"/>
  <c r="U1366" i="7"/>
  <c r="T1366" i="7"/>
  <c r="S1366" i="7"/>
  <c r="R1366" i="7"/>
  <c r="Q1366" i="7"/>
  <c r="P1366" i="7"/>
  <c r="O1366" i="7"/>
  <c r="U1365" i="7"/>
  <c r="T1365" i="7"/>
  <c r="S1365" i="7"/>
  <c r="R1365" i="7"/>
  <c r="Q1365" i="7"/>
  <c r="P1365" i="7"/>
  <c r="O1365" i="7"/>
  <c r="U1364" i="7"/>
  <c r="T1364" i="7"/>
  <c r="S1364" i="7"/>
  <c r="R1364" i="7"/>
  <c r="Q1364" i="7"/>
  <c r="P1364" i="7"/>
  <c r="O1364" i="7"/>
  <c r="U1363" i="7"/>
  <c r="T1363" i="7"/>
  <c r="S1363" i="7"/>
  <c r="R1363" i="7"/>
  <c r="Q1363" i="7"/>
  <c r="P1363" i="7"/>
  <c r="O1363" i="7"/>
  <c r="U1362" i="7"/>
  <c r="T1362" i="7"/>
  <c r="S1362" i="7"/>
  <c r="R1362" i="7"/>
  <c r="Q1362" i="7"/>
  <c r="P1362" i="7"/>
  <c r="O1362" i="7"/>
  <c r="U1361" i="7"/>
  <c r="T1361" i="7"/>
  <c r="S1361" i="7"/>
  <c r="R1361" i="7"/>
  <c r="Q1361" i="7"/>
  <c r="P1361" i="7"/>
  <c r="O1361" i="7"/>
  <c r="U1360" i="7"/>
  <c r="T1360" i="7"/>
  <c r="S1360" i="7"/>
  <c r="R1360" i="7"/>
  <c r="Q1360" i="7"/>
  <c r="P1360" i="7"/>
  <c r="O1360" i="7"/>
  <c r="U1359" i="7"/>
  <c r="T1359" i="7"/>
  <c r="S1359" i="7"/>
  <c r="R1359" i="7"/>
  <c r="Q1359" i="7"/>
  <c r="P1359" i="7"/>
  <c r="O1359" i="7"/>
  <c r="U1358" i="7"/>
  <c r="T1358" i="7"/>
  <c r="S1358" i="7"/>
  <c r="R1358" i="7"/>
  <c r="Q1358" i="7"/>
  <c r="P1358" i="7"/>
  <c r="O1358" i="7"/>
  <c r="U1357" i="7"/>
  <c r="T1357" i="7"/>
  <c r="S1357" i="7"/>
  <c r="R1357" i="7"/>
  <c r="Q1357" i="7"/>
  <c r="P1357" i="7"/>
  <c r="O1357" i="7"/>
  <c r="U1356" i="7"/>
  <c r="T1356" i="7"/>
  <c r="S1356" i="7"/>
  <c r="R1356" i="7"/>
  <c r="Q1356" i="7"/>
  <c r="P1356" i="7"/>
  <c r="O1356" i="7"/>
  <c r="U1355" i="7"/>
  <c r="T1355" i="7"/>
  <c r="S1355" i="7"/>
  <c r="R1355" i="7"/>
  <c r="Q1355" i="7"/>
  <c r="P1355" i="7"/>
  <c r="O1355" i="7"/>
  <c r="U1354" i="7"/>
  <c r="T1354" i="7"/>
  <c r="S1354" i="7"/>
  <c r="R1354" i="7"/>
  <c r="Q1354" i="7"/>
  <c r="P1354" i="7"/>
  <c r="O1354" i="7"/>
  <c r="U1353" i="7"/>
  <c r="T1353" i="7"/>
  <c r="S1353" i="7"/>
  <c r="R1353" i="7"/>
  <c r="Q1353" i="7"/>
  <c r="P1353" i="7"/>
  <c r="O1353" i="7"/>
  <c r="U1352" i="7"/>
  <c r="T1352" i="7"/>
  <c r="S1352" i="7"/>
  <c r="R1352" i="7"/>
  <c r="Q1352" i="7"/>
  <c r="P1352" i="7"/>
  <c r="O1352" i="7"/>
  <c r="U1351" i="7"/>
  <c r="T1351" i="7"/>
  <c r="S1351" i="7"/>
  <c r="R1351" i="7"/>
  <c r="Q1351" i="7"/>
  <c r="P1351" i="7"/>
  <c r="O1351" i="7"/>
  <c r="U1350" i="7"/>
  <c r="T1350" i="7"/>
  <c r="S1350" i="7"/>
  <c r="R1350" i="7"/>
  <c r="Q1350" i="7"/>
  <c r="P1350" i="7"/>
  <c r="O1350" i="7"/>
  <c r="U1349" i="7"/>
  <c r="T1349" i="7"/>
  <c r="S1349" i="7"/>
  <c r="R1349" i="7"/>
  <c r="Q1349" i="7"/>
  <c r="P1349" i="7"/>
  <c r="O1349" i="7"/>
  <c r="U1348" i="7"/>
  <c r="T1348" i="7"/>
  <c r="S1348" i="7"/>
  <c r="R1348" i="7"/>
  <c r="Q1348" i="7"/>
  <c r="P1348" i="7"/>
  <c r="O1348" i="7"/>
  <c r="U1347" i="7"/>
  <c r="T1347" i="7"/>
  <c r="S1347" i="7"/>
  <c r="R1347" i="7"/>
  <c r="Q1347" i="7"/>
  <c r="P1347" i="7"/>
  <c r="O1347" i="7"/>
  <c r="U1346" i="7"/>
  <c r="T1346" i="7"/>
  <c r="S1346" i="7"/>
  <c r="R1346" i="7"/>
  <c r="Q1346" i="7"/>
  <c r="P1346" i="7"/>
  <c r="O1346" i="7"/>
  <c r="U1345" i="7"/>
  <c r="T1345" i="7"/>
  <c r="S1345" i="7"/>
  <c r="R1345" i="7"/>
  <c r="Q1345" i="7"/>
  <c r="P1345" i="7"/>
  <c r="O1345" i="7"/>
  <c r="U1344" i="7"/>
  <c r="T1344" i="7"/>
  <c r="S1344" i="7"/>
  <c r="R1344" i="7"/>
  <c r="Q1344" i="7"/>
  <c r="P1344" i="7"/>
  <c r="O1344" i="7"/>
  <c r="U1343" i="7"/>
  <c r="T1343" i="7"/>
  <c r="S1343" i="7"/>
  <c r="R1343" i="7"/>
  <c r="Q1343" i="7"/>
  <c r="P1343" i="7"/>
  <c r="O1343" i="7"/>
  <c r="U1342" i="7"/>
  <c r="T1342" i="7"/>
  <c r="S1342" i="7"/>
  <c r="R1342" i="7"/>
  <c r="Q1342" i="7"/>
  <c r="P1342" i="7"/>
  <c r="O1342" i="7"/>
  <c r="U1341" i="7"/>
  <c r="T1341" i="7"/>
  <c r="S1341" i="7"/>
  <c r="R1341" i="7"/>
  <c r="Q1341" i="7"/>
  <c r="P1341" i="7"/>
  <c r="O1341" i="7"/>
  <c r="U1340" i="7"/>
  <c r="T1340" i="7"/>
  <c r="S1340" i="7"/>
  <c r="R1340" i="7"/>
  <c r="Q1340" i="7"/>
  <c r="P1340" i="7"/>
  <c r="O1340" i="7"/>
  <c r="U1339" i="7"/>
  <c r="T1339" i="7"/>
  <c r="S1339" i="7"/>
  <c r="R1339" i="7"/>
  <c r="Q1339" i="7"/>
  <c r="P1339" i="7"/>
  <c r="O1339" i="7"/>
  <c r="U1338" i="7"/>
  <c r="T1338" i="7"/>
  <c r="S1338" i="7"/>
  <c r="R1338" i="7"/>
  <c r="Q1338" i="7"/>
  <c r="P1338" i="7"/>
  <c r="O1338" i="7"/>
  <c r="U1337" i="7"/>
  <c r="T1337" i="7"/>
  <c r="S1337" i="7"/>
  <c r="R1337" i="7"/>
  <c r="Q1337" i="7"/>
  <c r="P1337" i="7"/>
  <c r="O1337" i="7"/>
  <c r="U1336" i="7"/>
  <c r="T1336" i="7"/>
  <c r="S1336" i="7"/>
  <c r="R1336" i="7"/>
  <c r="Q1336" i="7"/>
  <c r="P1336" i="7"/>
  <c r="O1336" i="7"/>
  <c r="U1335" i="7"/>
  <c r="T1335" i="7"/>
  <c r="S1335" i="7"/>
  <c r="R1335" i="7"/>
  <c r="Q1335" i="7"/>
  <c r="P1335" i="7"/>
  <c r="O1335" i="7"/>
  <c r="U1334" i="7"/>
  <c r="T1334" i="7"/>
  <c r="S1334" i="7"/>
  <c r="R1334" i="7"/>
  <c r="Q1334" i="7"/>
  <c r="P1334" i="7"/>
  <c r="O1334" i="7"/>
  <c r="U1333" i="7"/>
  <c r="T1333" i="7"/>
  <c r="S1333" i="7"/>
  <c r="R1333" i="7"/>
  <c r="Q1333" i="7"/>
  <c r="P1333" i="7"/>
  <c r="O1333" i="7"/>
  <c r="U1332" i="7"/>
  <c r="T1332" i="7"/>
  <c r="S1332" i="7"/>
  <c r="R1332" i="7"/>
  <c r="Q1332" i="7"/>
  <c r="P1332" i="7"/>
  <c r="O1332" i="7"/>
  <c r="U1331" i="7"/>
  <c r="T1331" i="7"/>
  <c r="S1331" i="7"/>
  <c r="R1331" i="7"/>
  <c r="Q1331" i="7"/>
  <c r="P1331" i="7"/>
  <c r="O1331" i="7"/>
  <c r="U1330" i="7"/>
  <c r="T1330" i="7"/>
  <c r="S1330" i="7"/>
  <c r="R1330" i="7"/>
  <c r="Q1330" i="7"/>
  <c r="P1330" i="7"/>
  <c r="O1330" i="7"/>
  <c r="U1329" i="7"/>
  <c r="T1329" i="7"/>
  <c r="S1329" i="7"/>
  <c r="R1329" i="7"/>
  <c r="Q1329" i="7"/>
  <c r="P1329" i="7"/>
  <c r="O1329" i="7"/>
  <c r="U1328" i="7"/>
  <c r="T1328" i="7"/>
  <c r="S1328" i="7"/>
  <c r="R1328" i="7"/>
  <c r="Q1328" i="7"/>
  <c r="P1328" i="7"/>
  <c r="O1328" i="7"/>
  <c r="U1327" i="7"/>
  <c r="T1327" i="7"/>
  <c r="S1327" i="7"/>
  <c r="R1327" i="7"/>
  <c r="Q1327" i="7"/>
  <c r="P1327" i="7"/>
  <c r="O1327" i="7"/>
  <c r="U1326" i="7"/>
  <c r="T1326" i="7"/>
  <c r="S1326" i="7"/>
  <c r="R1326" i="7"/>
  <c r="Q1326" i="7"/>
  <c r="P1326" i="7"/>
  <c r="O1326" i="7"/>
  <c r="U1325" i="7"/>
  <c r="T1325" i="7"/>
  <c r="S1325" i="7"/>
  <c r="R1325" i="7"/>
  <c r="Q1325" i="7"/>
  <c r="P1325" i="7"/>
  <c r="O1325" i="7"/>
  <c r="U1324" i="7"/>
  <c r="T1324" i="7"/>
  <c r="S1324" i="7"/>
  <c r="R1324" i="7"/>
  <c r="Q1324" i="7"/>
  <c r="P1324" i="7"/>
  <c r="O1324" i="7"/>
  <c r="U1323" i="7"/>
  <c r="T1323" i="7"/>
  <c r="S1323" i="7"/>
  <c r="R1323" i="7"/>
  <c r="Q1323" i="7"/>
  <c r="P1323" i="7"/>
  <c r="O1323" i="7"/>
  <c r="U1322" i="7"/>
  <c r="T1322" i="7"/>
  <c r="S1322" i="7"/>
  <c r="R1322" i="7"/>
  <c r="Q1322" i="7"/>
  <c r="P1322" i="7"/>
  <c r="O1322" i="7"/>
  <c r="U1321" i="7"/>
  <c r="T1321" i="7"/>
  <c r="S1321" i="7"/>
  <c r="R1321" i="7"/>
  <c r="Q1321" i="7"/>
  <c r="P1321" i="7"/>
  <c r="O1321" i="7"/>
  <c r="U1320" i="7"/>
  <c r="T1320" i="7"/>
  <c r="S1320" i="7"/>
  <c r="R1320" i="7"/>
  <c r="Q1320" i="7"/>
  <c r="P1320" i="7"/>
  <c r="O1320" i="7"/>
  <c r="U1319" i="7"/>
  <c r="T1319" i="7"/>
  <c r="S1319" i="7"/>
  <c r="R1319" i="7"/>
  <c r="Q1319" i="7"/>
  <c r="P1319" i="7"/>
  <c r="O1319" i="7"/>
  <c r="U1318" i="7"/>
  <c r="T1318" i="7"/>
  <c r="S1318" i="7"/>
  <c r="R1318" i="7"/>
  <c r="Q1318" i="7"/>
  <c r="P1318" i="7"/>
  <c r="O1318" i="7"/>
  <c r="U1317" i="7"/>
  <c r="T1317" i="7"/>
  <c r="S1317" i="7"/>
  <c r="R1317" i="7"/>
  <c r="Q1317" i="7"/>
  <c r="P1317" i="7"/>
  <c r="O1317" i="7"/>
  <c r="U1316" i="7"/>
  <c r="T1316" i="7"/>
  <c r="S1316" i="7"/>
  <c r="R1316" i="7"/>
  <c r="Q1316" i="7"/>
  <c r="P1316" i="7"/>
  <c r="O1316" i="7"/>
  <c r="U1315" i="7"/>
  <c r="T1315" i="7"/>
  <c r="S1315" i="7"/>
  <c r="R1315" i="7"/>
  <c r="Q1315" i="7"/>
  <c r="P1315" i="7"/>
  <c r="O1315" i="7"/>
  <c r="U1314" i="7"/>
  <c r="T1314" i="7"/>
  <c r="S1314" i="7"/>
  <c r="R1314" i="7"/>
  <c r="Q1314" i="7"/>
  <c r="P1314" i="7"/>
  <c r="O1314" i="7"/>
  <c r="U1313" i="7"/>
  <c r="T1313" i="7"/>
  <c r="S1313" i="7"/>
  <c r="R1313" i="7"/>
  <c r="Q1313" i="7"/>
  <c r="P1313" i="7"/>
  <c r="O1313" i="7"/>
  <c r="U1312" i="7"/>
  <c r="T1312" i="7"/>
  <c r="S1312" i="7"/>
  <c r="R1312" i="7"/>
  <c r="Q1312" i="7"/>
  <c r="P1312" i="7"/>
  <c r="O1312" i="7"/>
  <c r="U1311" i="7"/>
  <c r="T1311" i="7"/>
  <c r="S1311" i="7"/>
  <c r="R1311" i="7"/>
  <c r="Q1311" i="7"/>
  <c r="P1311" i="7"/>
  <c r="O1311" i="7"/>
  <c r="U1310" i="7"/>
  <c r="T1310" i="7"/>
  <c r="S1310" i="7"/>
  <c r="R1310" i="7"/>
  <c r="Q1310" i="7"/>
  <c r="P1310" i="7"/>
  <c r="O1310" i="7"/>
  <c r="U1309" i="7"/>
  <c r="T1309" i="7"/>
  <c r="S1309" i="7"/>
  <c r="R1309" i="7"/>
  <c r="Q1309" i="7"/>
  <c r="P1309" i="7"/>
  <c r="O1309" i="7"/>
  <c r="U1308" i="7"/>
  <c r="T1308" i="7"/>
  <c r="S1308" i="7"/>
  <c r="R1308" i="7"/>
  <c r="Q1308" i="7"/>
  <c r="P1308" i="7"/>
  <c r="O1308" i="7"/>
  <c r="U1307" i="7"/>
  <c r="T1307" i="7"/>
  <c r="S1307" i="7"/>
  <c r="R1307" i="7"/>
  <c r="Q1307" i="7"/>
  <c r="P1307" i="7"/>
  <c r="O1307" i="7"/>
  <c r="U1306" i="7"/>
  <c r="T1306" i="7"/>
  <c r="S1306" i="7"/>
  <c r="R1306" i="7"/>
  <c r="Q1306" i="7"/>
  <c r="P1306" i="7"/>
  <c r="O1306" i="7"/>
  <c r="U1305" i="7"/>
  <c r="T1305" i="7"/>
  <c r="S1305" i="7"/>
  <c r="R1305" i="7"/>
  <c r="Q1305" i="7"/>
  <c r="P1305" i="7"/>
  <c r="O1305" i="7"/>
  <c r="U1304" i="7"/>
  <c r="T1304" i="7"/>
  <c r="S1304" i="7"/>
  <c r="R1304" i="7"/>
  <c r="Q1304" i="7"/>
  <c r="P1304" i="7"/>
  <c r="O1304" i="7"/>
  <c r="U1303" i="7"/>
  <c r="T1303" i="7"/>
  <c r="S1303" i="7"/>
  <c r="R1303" i="7"/>
  <c r="Q1303" i="7"/>
  <c r="P1303" i="7"/>
  <c r="O1303" i="7"/>
  <c r="U1302" i="7"/>
  <c r="T1302" i="7"/>
  <c r="S1302" i="7"/>
  <c r="R1302" i="7"/>
  <c r="Q1302" i="7"/>
  <c r="P1302" i="7"/>
  <c r="O1302" i="7"/>
  <c r="U1301" i="7"/>
  <c r="T1301" i="7"/>
  <c r="S1301" i="7"/>
  <c r="R1301" i="7"/>
  <c r="Q1301" i="7"/>
  <c r="P1301" i="7"/>
  <c r="O1301" i="7"/>
  <c r="U1300" i="7"/>
  <c r="T1300" i="7"/>
  <c r="S1300" i="7"/>
  <c r="R1300" i="7"/>
  <c r="Q1300" i="7"/>
  <c r="P1300" i="7"/>
  <c r="O1300" i="7"/>
  <c r="U1299" i="7"/>
  <c r="T1299" i="7"/>
  <c r="S1299" i="7"/>
  <c r="R1299" i="7"/>
  <c r="Q1299" i="7"/>
  <c r="P1299" i="7"/>
  <c r="O1299" i="7"/>
  <c r="U1298" i="7"/>
  <c r="T1298" i="7"/>
  <c r="S1298" i="7"/>
  <c r="R1298" i="7"/>
  <c r="Q1298" i="7"/>
  <c r="P1298" i="7"/>
  <c r="O1298" i="7"/>
  <c r="U1297" i="7"/>
  <c r="T1297" i="7"/>
  <c r="S1297" i="7"/>
  <c r="R1297" i="7"/>
  <c r="Q1297" i="7"/>
  <c r="P1297" i="7"/>
  <c r="O1297" i="7"/>
  <c r="U1296" i="7"/>
  <c r="T1296" i="7"/>
  <c r="S1296" i="7"/>
  <c r="R1296" i="7"/>
  <c r="Q1296" i="7"/>
  <c r="P1296" i="7"/>
  <c r="O1296" i="7"/>
  <c r="U1295" i="7"/>
  <c r="T1295" i="7"/>
  <c r="S1295" i="7"/>
  <c r="R1295" i="7"/>
  <c r="Q1295" i="7"/>
  <c r="P1295" i="7"/>
  <c r="O1295" i="7"/>
  <c r="U1294" i="7"/>
  <c r="T1294" i="7"/>
  <c r="S1294" i="7"/>
  <c r="R1294" i="7"/>
  <c r="Q1294" i="7"/>
  <c r="P1294" i="7"/>
  <c r="O1294" i="7"/>
  <c r="U1293" i="7"/>
  <c r="T1293" i="7"/>
  <c r="S1293" i="7"/>
  <c r="R1293" i="7"/>
  <c r="Q1293" i="7"/>
  <c r="P1293" i="7"/>
  <c r="O1293" i="7"/>
  <c r="U1292" i="7"/>
  <c r="T1292" i="7"/>
  <c r="S1292" i="7"/>
  <c r="R1292" i="7"/>
  <c r="Q1292" i="7"/>
  <c r="P1292" i="7"/>
  <c r="O1292" i="7"/>
  <c r="U1291" i="7"/>
  <c r="T1291" i="7"/>
  <c r="S1291" i="7"/>
  <c r="R1291" i="7"/>
  <c r="Q1291" i="7"/>
  <c r="P1291" i="7"/>
  <c r="O1291" i="7"/>
  <c r="U1290" i="7"/>
  <c r="T1290" i="7"/>
  <c r="S1290" i="7"/>
  <c r="R1290" i="7"/>
  <c r="Q1290" i="7"/>
  <c r="P1290" i="7"/>
  <c r="O1290" i="7"/>
  <c r="U1289" i="7"/>
  <c r="T1289" i="7"/>
  <c r="S1289" i="7"/>
  <c r="R1289" i="7"/>
  <c r="Q1289" i="7"/>
  <c r="P1289" i="7"/>
  <c r="O1289" i="7"/>
  <c r="U1288" i="7"/>
  <c r="T1288" i="7"/>
  <c r="S1288" i="7"/>
  <c r="R1288" i="7"/>
  <c r="Q1288" i="7"/>
  <c r="P1288" i="7"/>
  <c r="O1288" i="7"/>
  <c r="U1287" i="7"/>
  <c r="T1287" i="7"/>
  <c r="S1287" i="7"/>
  <c r="R1287" i="7"/>
  <c r="Q1287" i="7"/>
  <c r="P1287" i="7"/>
  <c r="O1287" i="7"/>
  <c r="U1286" i="7"/>
  <c r="T1286" i="7"/>
  <c r="S1286" i="7"/>
  <c r="R1286" i="7"/>
  <c r="Q1286" i="7"/>
  <c r="P1286" i="7"/>
  <c r="O1286" i="7"/>
  <c r="U1285" i="7"/>
  <c r="T1285" i="7"/>
  <c r="S1285" i="7"/>
  <c r="R1285" i="7"/>
  <c r="Q1285" i="7"/>
  <c r="P1285" i="7"/>
  <c r="O1285" i="7"/>
  <c r="U1284" i="7"/>
  <c r="T1284" i="7"/>
  <c r="S1284" i="7"/>
  <c r="R1284" i="7"/>
  <c r="Q1284" i="7"/>
  <c r="P1284" i="7"/>
  <c r="O1284" i="7"/>
  <c r="U1283" i="7"/>
  <c r="T1283" i="7"/>
  <c r="S1283" i="7"/>
  <c r="R1283" i="7"/>
  <c r="Q1283" i="7"/>
  <c r="P1283" i="7"/>
  <c r="O1283" i="7"/>
  <c r="U1282" i="7"/>
  <c r="T1282" i="7"/>
  <c r="S1282" i="7"/>
  <c r="R1282" i="7"/>
  <c r="Q1282" i="7"/>
  <c r="P1282" i="7"/>
  <c r="O1282" i="7"/>
  <c r="U1281" i="7"/>
  <c r="T1281" i="7"/>
  <c r="S1281" i="7"/>
  <c r="R1281" i="7"/>
  <c r="Q1281" i="7"/>
  <c r="P1281" i="7"/>
  <c r="O1281" i="7"/>
  <c r="U1280" i="7"/>
  <c r="T1280" i="7"/>
  <c r="S1280" i="7"/>
  <c r="R1280" i="7"/>
  <c r="Q1280" i="7"/>
  <c r="P1280" i="7"/>
  <c r="O1280" i="7"/>
  <c r="U1279" i="7"/>
  <c r="T1279" i="7"/>
  <c r="S1279" i="7"/>
  <c r="R1279" i="7"/>
  <c r="Q1279" i="7"/>
  <c r="P1279" i="7"/>
  <c r="O1279" i="7"/>
  <c r="U1278" i="7"/>
  <c r="T1278" i="7"/>
  <c r="S1278" i="7"/>
  <c r="R1278" i="7"/>
  <c r="Q1278" i="7"/>
  <c r="P1278" i="7"/>
  <c r="O1278" i="7"/>
  <c r="U1277" i="7"/>
  <c r="T1277" i="7"/>
  <c r="S1277" i="7"/>
  <c r="R1277" i="7"/>
  <c r="Q1277" i="7"/>
  <c r="P1277" i="7"/>
  <c r="O1277" i="7"/>
  <c r="U1276" i="7"/>
  <c r="T1276" i="7"/>
  <c r="S1276" i="7"/>
  <c r="R1276" i="7"/>
  <c r="Q1276" i="7"/>
  <c r="P1276" i="7"/>
  <c r="O1276" i="7"/>
  <c r="U1275" i="7"/>
  <c r="T1275" i="7"/>
  <c r="S1275" i="7"/>
  <c r="R1275" i="7"/>
  <c r="Q1275" i="7"/>
  <c r="P1275" i="7"/>
  <c r="O1275" i="7"/>
  <c r="U1274" i="7"/>
  <c r="T1274" i="7"/>
  <c r="S1274" i="7"/>
  <c r="R1274" i="7"/>
  <c r="Q1274" i="7"/>
  <c r="P1274" i="7"/>
  <c r="O1274" i="7"/>
  <c r="U1273" i="7"/>
  <c r="T1273" i="7"/>
  <c r="S1273" i="7"/>
  <c r="R1273" i="7"/>
  <c r="Q1273" i="7"/>
  <c r="P1273" i="7"/>
  <c r="O1273" i="7"/>
  <c r="U1272" i="7"/>
  <c r="T1272" i="7"/>
  <c r="S1272" i="7"/>
  <c r="R1272" i="7"/>
  <c r="Q1272" i="7"/>
  <c r="P1272" i="7"/>
  <c r="O1272" i="7"/>
  <c r="U1271" i="7"/>
  <c r="T1271" i="7"/>
  <c r="S1271" i="7"/>
  <c r="R1271" i="7"/>
  <c r="Q1271" i="7"/>
  <c r="P1271" i="7"/>
  <c r="O1271" i="7"/>
  <c r="U1270" i="7"/>
  <c r="T1270" i="7"/>
  <c r="S1270" i="7"/>
  <c r="R1270" i="7"/>
  <c r="Q1270" i="7"/>
  <c r="P1270" i="7"/>
  <c r="O1270" i="7"/>
  <c r="U1269" i="7"/>
  <c r="T1269" i="7"/>
  <c r="S1269" i="7"/>
  <c r="R1269" i="7"/>
  <c r="Q1269" i="7"/>
  <c r="P1269" i="7"/>
  <c r="O1269" i="7"/>
  <c r="U1268" i="7"/>
  <c r="T1268" i="7"/>
  <c r="S1268" i="7"/>
  <c r="R1268" i="7"/>
  <c r="Q1268" i="7"/>
  <c r="P1268" i="7"/>
  <c r="O1268" i="7"/>
  <c r="U1267" i="7"/>
  <c r="T1267" i="7"/>
  <c r="S1267" i="7"/>
  <c r="R1267" i="7"/>
  <c r="Q1267" i="7"/>
  <c r="P1267" i="7"/>
  <c r="O1267" i="7"/>
  <c r="U1266" i="7"/>
  <c r="T1266" i="7"/>
  <c r="S1266" i="7"/>
  <c r="R1266" i="7"/>
  <c r="Q1266" i="7"/>
  <c r="P1266" i="7"/>
  <c r="O1266" i="7"/>
  <c r="U1265" i="7"/>
  <c r="T1265" i="7"/>
  <c r="S1265" i="7"/>
  <c r="R1265" i="7"/>
  <c r="Q1265" i="7"/>
  <c r="P1265" i="7"/>
  <c r="O1265" i="7"/>
  <c r="U1264" i="7"/>
  <c r="T1264" i="7"/>
  <c r="S1264" i="7"/>
  <c r="R1264" i="7"/>
  <c r="Q1264" i="7"/>
  <c r="P1264" i="7"/>
  <c r="O1264" i="7"/>
  <c r="U1263" i="7"/>
  <c r="T1263" i="7"/>
  <c r="S1263" i="7"/>
  <c r="R1263" i="7"/>
  <c r="Q1263" i="7"/>
  <c r="P1263" i="7"/>
  <c r="O1263" i="7"/>
  <c r="U1262" i="7"/>
  <c r="T1262" i="7"/>
  <c r="S1262" i="7"/>
  <c r="R1262" i="7"/>
  <c r="Q1262" i="7"/>
  <c r="P1262" i="7"/>
  <c r="O1262" i="7"/>
  <c r="U1261" i="7"/>
  <c r="T1261" i="7"/>
  <c r="S1261" i="7"/>
  <c r="R1261" i="7"/>
  <c r="Q1261" i="7"/>
  <c r="P1261" i="7"/>
  <c r="O1261" i="7"/>
  <c r="U1260" i="7"/>
  <c r="T1260" i="7"/>
  <c r="S1260" i="7"/>
  <c r="R1260" i="7"/>
  <c r="Q1260" i="7"/>
  <c r="P1260" i="7"/>
  <c r="O1260" i="7"/>
  <c r="U1259" i="7"/>
  <c r="T1259" i="7"/>
  <c r="S1259" i="7"/>
  <c r="R1259" i="7"/>
  <c r="Q1259" i="7"/>
  <c r="P1259" i="7"/>
  <c r="O1259" i="7"/>
  <c r="U1258" i="7"/>
  <c r="T1258" i="7"/>
  <c r="S1258" i="7"/>
  <c r="R1258" i="7"/>
  <c r="Q1258" i="7"/>
  <c r="P1258" i="7"/>
  <c r="O1258" i="7"/>
  <c r="U1257" i="7"/>
  <c r="T1257" i="7"/>
  <c r="S1257" i="7"/>
  <c r="R1257" i="7"/>
  <c r="Q1257" i="7"/>
  <c r="P1257" i="7"/>
  <c r="O1257" i="7"/>
  <c r="U1256" i="7"/>
  <c r="T1256" i="7"/>
  <c r="S1256" i="7"/>
  <c r="R1256" i="7"/>
  <c r="Q1256" i="7"/>
  <c r="P1256" i="7"/>
  <c r="O1256" i="7"/>
  <c r="U1255" i="7"/>
  <c r="T1255" i="7"/>
  <c r="S1255" i="7"/>
  <c r="R1255" i="7"/>
  <c r="Q1255" i="7"/>
  <c r="P1255" i="7"/>
  <c r="O1255" i="7"/>
  <c r="U1254" i="7"/>
  <c r="T1254" i="7"/>
  <c r="S1254" i="7"/>
  <c r="R1254" i="7"/>
  <c r="Q1254" i="7"/>
  <c r="P1254" i="7"/>
  <c r="O1254" i="7"/>
  <c r="U1253" i="7"/>
  <c r="T1253" i="7"/>
  <c r="S1253" i="7"/>
  <c r="R1253" i="7"/>
  <c r="Q1253" i="7"/>
  <c r="P1253" i="7"/>
  <c r="O1253" i="7"/>
  <c r="U1252" i="7"/>
  <c r="T1252" i="7"/>
  <c r="S1252" i="7"/>
  <c r="R1252" i="7"/>
  <c r="Q1252" i="7"/>
  <c r="P1252" i="7"/>
  <c r="O1252" i="7"/>
  <c r="U1251" i="7"/>
  <c r="T1251" i="7"/>
  <c r="S1251" i="7"/>
  <c r="R1251" i="7"/>
  <c r="Q1251" i="7"/>
  <c r="P1251" i="7"/>
  <c r="O1251" i="7"/>
  <c r="U1250" i="7"/>
  <c r="T1250" i="7"/>
  <c r="S1250" i="7"/>
  <c r="R1250" i="7"/>
  <c r="Q1250" i="7"/>
  <c r="P1250" i="7"/>
  <c r="O1250" i="7"/>
  <c r="U1249" i="7"/>
  <c r="T1249" i="7"/>
  <c r="S1249" i="7"/>
  <c r="R1249" i="7"/>
  <c r="Q1249" i="7"/>
  <c r="P1249" i="7"/>
  <c r="O1249" i="7"/>
  <c r="U1248" i="7"/>
  <c r="T1248" i="7"/>
  <c r="S1248" i="7"/>
  <c r="R1248" i="7"/>
  <c r="Q1248" i="7"/>
  <c r="P1248" i="7"/>
  <c r="O1248" i="7"/>
  <c r="U1247" i="7"/>
  <c r="T1247" i="7"/>
  <c r="S1247" i="7"/>
  <c r="R1247" i="7"/>
  <c r="Q1247" i="7"/>
  <c r="P1247" i="7"/>
  <c r="O1247" i="7"/>
  <c r="U1246" i="7"/>
  <c r="T1246" i="7"/>
  <c r="S1246" i="7"/>
  <c r="R1246" i="7"/>
  <c r="Q1246" i="7"/>
  <c r="P1246" i="7"/>
  <c r="O1246" i="7"/>
  <c r="U1245" i="7"/>
  <c r="T1245" i="7"/>
  <c r="S1245" i="7"/>
  <c r="R1245" i="7"/>
  <c r="Q1245" i="7"/>
  <c r="P1245" i="7"/>
  <c r="O1245" i="7"/>
  <c r="U1244" i="7"/>
  <c r="T1244" i="7"/>
  <c r="S1244" i="7"/>
  <c r="R1244" i="7"/>
  <c r="Q1244" i="7"/>
  <c r="P1244" i="7"/>
  <c r="O1244" i="7"/>
  <c r="U1243" i="7"/>
  <c r="T1243" i="7"/>
  <c r="S1243" i="7"/>
  <c r="R1243" i="7"/>
  <c r="Q1243" i="7"/>
  <c r="P1243" i="7"/>
  <c r="O1243" i="7"/>
  <c r="U1242" i="7"/>
  <c r="T1242" i="7"/>
  <c r="S1242" i="7"/>
  <c r="R1242" i="7"/>
  <c r="Q1242" i="7"/>
  <c r="P1242" i="7"/>
  <c r="O1242" i="7"/>
  <c r="U1241" i="7"/>
  <c r="T1241" i="7"/>
  <c r="S1241" i="7"/>
  <c r="R1241" i="7"/>
  <c r="Q1241" i="7"/>
  <c r="P1241" i="7"/>
  <c r="O1241" i="7"/>
  <c r="U1240" i="7"/>
  <c r="T1240" i="7"/>
  <c r="S1240" i="7"/>
  <c r="R1240" i="7"/>
  <c r="Q1240" i="7"/>
  <c r="P1240" i="7"/>
  <c r="O1240" i="7"/>
  <c r="U1239" i="7"/>
  <c r="T1239" i="7"/>
  <c r="S1239" i="7"/>
  <c r="R1239" i="7"/>
  <c r="Q1239" i="7"/>
  <c r="P1239" i="7"/>
  <c r="O1239" i="7"/>
  <c r="U1238" i="7"/>
  <c r="T1238" i="7"/>
  <c r="S1238" i="7"/>
  <c r="R1238" i="7"/>
  <c r="Q1238" i="7"/>
  <c r="P1238" i="7"/>
  <c r="O1238" i="7"/>
  <c r="U1237" i="7"/>
  <c r="T1237" i="7"/>
  <c r="S1237" i="7"/>
  <c r="R1237" i="7"/>
  <c r="Q1237" i="7"/>
  <c r="P1237" i="7"/>
  <c r="O1237" i="7"/>
  <c r="U1236" i="7"/>
  <c r="T1236" i="7"/>
  <c r="S1236" i="7"/>
  <c r="R1236" i="7"/>
  <c r="Q1236" i="7"/>
  <c r="P1236" i="7"/>
  <c r="O1236" i="7"/>
  <c r="U1235" i="7"/>
  <c r="T1235" i="7"/>
  <c r="S1235" i="7"/>
  <c r="R1235" i="7"/>
  <c r="Q1235" i="7"/>
  <c r="P1235" i="7"/>
  <c r="O1235" i="7"/>
  <c r="U1234" i="7"/>
  <c r="T1234" i="7"/>
  <c r="S1234" i="7"/>
  <c r="R1234" i="7"/>
  <c r="Q1234" i="7"/>
  <c r="P1234" i="7"/>
  <c r="O1234" i="7"/>
  <c r="U1233" i="7"/>
  <c r="T1233" i="7"/>
  <c r="S1233" i="7"/>
  <c r="R1233" i="7"/>
  <c r="Q1233" i="7"/>
  <c r="P1233" i="7"/>
  <c r="O1233" i="7"/>
  <c r="U1232" i="7"/>
  <c r="T1232" i="7"/>
  <c r="S1232" i="7"/>
  <c r="R1232" i="7"/>
  <c r="Q1232" i="7"/>
  <c r="P1232" i="7"/>
  <c r="O1232" i="7"/>
  <c r="U1231" i="7"/>
  <c r="T1231" i="7"/>
  <c r="S1231" i="7"/>
  <c r="R1231" i="7"/>
  <c r="Q1231" i="7"/>
  <c r="P1231" i="7"/>
  <c r="O1231" i="7"/>
  <c r="U1230" i="7"/>
  <c r="T1230" i="7"/>
  <c r="S1230" i="7"/>
  <c r="R1230" i="7"/>
  <c r="Q1230" i="7"/>
  <c r="P1230" i="7"/>
  <c r="O1230" i="7"/>
  <c r="U1229" i="7"/>
  <c r="T1229" i="7"/>
  <c r="S1229" i="7"/>
  <c r="R1229" i="7"/>
  <c r="Q1229" i="7"/>
  <c r="P1229" i="7"/>
  <c r="O1229" i="7"/>
  <c r="U1228" i="7"/>
  <c r="T1228" i="7"/>
  <c r="S1228" i="7"/>
  <c r="R1228" i="7"/>
  <c r="Q1228" i="7"/>
  <c r="P1228" i="7"/>
  <c r="O1228" i="7"/>
  <c r="U1227" i="7"/>
  <c r="T1227" i="7"/>
  <c r="S1227" i="7"/>
  <c r="R1227" i="7"/>
  <c r="Q1227" i="7"/>
  <c r="P1227" i="7"/>
  <c r="O1227" i="7"/>
  <c r="U1226" i="7"/>
  <c r="T1226" i="7"/>
  <c r="S1226" i="7"/>
  <c r="R1226" i="7"/>
  <c r="Q1226" i="7"/>
  <c r="P1226" i="7"/>
  <c r="O1226" i="7"/>
  <c r="U1225" i="7"/>
  <c r="T1225" i="7"/>
  <c r="S1225" i="7"/>
  <c r="R1225" i="7"/>
  <c r="Q1225" i="7"/>
  <c r="P1225" i="7"/>
  <c r="O1225" i="7"/>
  <c r="U1224" i="7"/>
  <c r="T1224" i="7"/>
  <c r="S1224" i="7"/>
  <c r="R1224" i="7"/>
  <c r="Q1224" i="7"/>
  <c r="P1224" i="7"/>
  <c r="O1224" i="7"/>
  <c r="U1223" i="7"/>
  <c r="T1223" i="7"/>
  <c r="S1223" i="7"/>
  <c r="R1223" i="7"/>
  <c r="Q1223" i="7"/>
  <c r="P1223" i="7"/>
  <c r="O1223" i="7"/>
  <c r="U1222" i="7"/>
  <c r="T1222" i="7"/>
  <c r="S1222" i="7"/>
  <c r="R1222" i="7"/>
  <c r="Q1222" i="7"/>
  <c r="P1222" i="7"/>
  <c r="O1222" i="7"/>
  <c r="U1221" i="7"/>
  <c r="T1221" i="7"/>
  <c r="S1221" i="7"/>
  <c r="R1221" i="7"/>
  <c r="Q1221" i="7"/>
  <c r="P1221" i="7"/>
  <c r="O1221" i="7"/>
  <c r="U1220" i="7"/>
  <c r="T1220" i="7"/>
  <c r="S1220" i="7"/>
  <c r="R1220" i="7"/>
  <c r="Q1220" i="7"/>
  <c r="P1220" i="7"/>
  <c r="O1220" i="7"/>
  <c r="U1219" i="7"/>
  <c r="T1219" i="7"/>
  <c r="S1219" i="7"/>
  <c r="R1219" i="7"/>
  <c r="Q1219" i="7"/>
  <c r="P1219" i="7"/>
  <c r="O1219" i="7"/>
  <c r="U1218" i="7"/>
  <c r="T1218" i="7"/>
  <c r="S1218" i="7"/>
  <c r="R1218" i="7"/>
  <c r="Q1218" i="7"/>
  <c r="P1218" i="7"/>
  <c r="O1218" i="7"/>
  <c r="U1217" i="7"/>
  <c r="T1217" i="7"/>
  <c r="S1217" i="7"/>
  <c r="R1217" i="7"/>
  <c r="Q1217" i="7"/>
  <c r="P1217" i="7"/>
  <c r="O1217" i="7"/>
  <c r="U1216" i="7"/>
  <c r="T1216" i="7"/>
  <c r="S1216" i="7"/>
  <c r="R1216" i="7"/>
  <c r="Q1216" i="7"/>
  <c r="P1216" i="7"/>
  <c r="O1216" i="7"/>
  <c r="U1215" i="7"/>
  <c r="T1215" i="7"/>
  <c r="S1215" i="7"/>
  <c r="R1215" i="7"/>
  <c r="Q1215" i="7"/>
  <c r="P1215" i="7"/>
  <c r="O1215" i="7"/>
  <c r="U1214" i="7"/>
  <c r="T1214" i="7"/>
  <c r="S1214" i="7"/>
  <c r="R1214" i="7"/>
  <c r="Q1214" i="7"/>
  <c r="P1214" i="7"/>
  <c r="O1214" i="7"/>
  <c r="U1213" i="7"/>
  <c r="T1213" i="7"/>
  <c r="S1213" i="7"/>
  <c r="R1213" i="7"/>
  <c r="Q1213" i="7"/>
  <c r="P1213" i="7"/>
  <c r="O1213" i="7"/>
  <c r="U1212" i="7"/>
  <c r="T1212" i="7"/>
  <c r="S1212" i="7"/>
  <c r="R1212" i="7"/>
  <c r="Q1212" i="7"/>
  <c r="P1212" i="7"/>
  <c r="O1212" i="7"/>
  <c r="U1211" i="7"/>
  <c r="T1211" i="7"/>
  <c r="S1211" i="7"/>
  <c r="R1211" i="7"/>
  <c r="Q1211" i="7"/>
  <c r="P1211" i="7"/>
  <c r="O1211" i="7"/>
  <c r="U1210" i="7"/>
  <c r="T1210" i="7"/>
  <c r="S1210" i="7"/>
  <c r="R1210" i="7"/>
  <c r="Q1210" i="7"/>
  <c r="P1210" i="7"/>
  <c r="O1210" i="7"/>
  <c r="U1209" i="7"/>
  <c r="T1209" i="7"/>
  <c r="S1209" i="7"/>
  <c r="R1209" i="7"/>
  <c r="Q1209" i="7"/>
  <c r="P1209" i="7"/>
  <c r="O1209" i="7"/>
  <c r="U1208" i="7"/>
  <c r="T1208" i="7"/>
  <c r="S1208" i="7"/>
  <c r="R1208" i="7"/>
  <c r="Q1208" i="7"/>
  <c r="P1208" i="7"/>
  <c r="O1208" i="7"/>
  <c r="U1207" i="7"/>
  <c r="T1207" i="7"/>
  <c r="S1207" i="7"/>
  <c r="R1207" i="7"/>
  <c r="Q1207" i="7"/>
  <c r="P1207" i="7"/>
  <c r="O1207" i="7"/>
  <c r="U1206" i="7"/>
  <c r="T1206" i="7"/>
  <c r="S1206" i="7"/>
  <c r="R1206" i="7"/>
  <c r="Q1206" i="7"/>
  <c r="P1206" i="7"/>
  <c r="O1206" i="7"/>
  <c r="U1205" i="7"/>
  <c r="T1205" i="7"/>
  <c r="S1205" i="7"/>
  <c r="R1205" i="7"/>
  <c r="Q1205" i="7"/>
  <c r="P1205" i="7"/>
  <c r="O1205" i="7"/>
  <c r="U1204" i="7"/>
  <c r="T1204" i="7"/>
  <c r="S1204" i="7"/>
  <c r="R1204" i="7"/>
  <c r="Q1204" i="7"/>
  <c r="P1204" i="7"/>
  <c r="O1204" i="7"/>
  <c r="U1203" i="7"/>
  <c r="T1203" i="7"/>
  <c r="S1203" i="7"/>
  <c r="R1203" i="7"/>
  <c r="Q1203" i="7"/>
  <c r="P1203" i="7"/>
  <c r="O1203" i="7"/>
  <c r="U1202" i="7"/>
  <c r="T1202" i="7"/>
  <c r="S1202" i="7"/>
  <c r="R1202" i="7"/>
  <c r="Q1202" i="7"/>
  <c r="P1202" i="7"/>
  <c r="O1202" i="7"/>
  <c r="U1201" i="7"/>
  <c r="T1201" i="7"/>
  <c r="S1201" i="7"/>
  <c r="R1201" i="7"/>
  <c r="Q1201" i="7"/>
  <c r="P1201" i="7"/>
  <c r="O1201" i="7"/>
  <c r="U1200" i="7"/>
  <c r="T1200" i="7"/>
  <c r="S1200" i="7"/>
  <c r="R1200" i="7"/>
  <c r="Q1200" i="7"/>
  <c r="P1200" i="7"/>
  <c r="O1200" i="7"/>
  <c r="U1199" i="7"/>
  <c r="T1199" i="7"/>
  <c r="S1199" i="7"/>
  <c r="R1199" i="7"/>
  <c r="Q1199" i="7"/>
  <c r="P1199" i="7"/>
  <c r="O1199" i="7"/>
  <c r="U1198" i="7"/>
  <c r="T1198" i="7"/>
  <c r="S1198" i="7"/>
  <c r="R1198" i="7"/>
  <c r="Q1198" i="7"/>
  <c r="P1198" i="7"/>
  <c r="O1198" i="7"/>
  <c r="U1197" i="7"/>
  <c r="T1197" i="7"/>
  <c r="S1197" i="7"/>
  <c r="R1197" i="7"/>
  <c r="Q1197" i="7"/>
  <c r="P1197" i="7"/>
  <c r="O1197" i="7"/>
  <c r="U1196" i="7"/>
  <c r="T1196" i="7"/>
  <c r="S1196" i="7"/>
  <c r="R1196" i="7"/>
  <c r="Q1196" i="7"/>
  <c r="P1196" i="7"/>
  <c r="O1196" i="7"/>
  <c r="U1195" i="7"/>
  <c r="T1195" i="7"/>
  <c r="S1195" i="7"/>
  <c r="R1195" i="7"/>
  <c r="Q1195" i="7"/>
  <c r="P1195" i="7"/>
  <c r="O1195" i="7"/>
  <c r="U1194" i="7"/>
  <c r="T1194" i="7"/>
  <c r="S1194" i="7"/>
  <c r="R1194" i="7"/>
  <c r="Q1194" i="7"/>
  <c r="P1194" i="7"/>
  <c r="O1194" i="7"/>
  <c r="U1193" i="7"/>
  <c r="T1193" i="7"/>
  <c r="S1193" i="7"/>
  <c r="R1193" i="7"/>
  <c r="Q1193" i="7"/>
  <c r="P1193" i="7"/>
  <c r="O1193" i="7"/>
  <c r="U1192" i="7"/>
  <c r="T1192" i="7"/>
  <c r="S1192" i="7"/>
  <c r="R1192" i="7"/>
  <c r="Q1192" i="7"/>
  <c r="P1192" i="7"/>
  <c r="O1192" i="7"/>
  <c r="U1191" i="7"/>
  <c r="T1191" i="7"/>
  <c r="S1191" i="7"/>
  <c r="R1191" i="7"/>
  <c r="Q1191" i="7"/>
  <c r="P1191" i="7"/>
  <c r="O1191" i="7"/>
  <c r="U1190" i="7"/>
  <c r="T1190" i="7"/>
  <c r="S1190" i="7"/>
  <c r="R1190" i="7"/>
  <c r="Q1190" i="7"/>
  <c r="P1190" i="7"/>
  <c r="O1190" i="7"/>
  <c r="U1189" i="7"/>
  <c r="T1189" i="7"/>
  <c r="S1189" i="7"/>
  <c r="R1189" i="7"/>
  <c r="Q1189" i="7"/>
  <c r="P1189" i="7"/>
  <c r="O1189" i="7"/>
  <c r="U1188" i="7"/>
  <c r="T1188" i="7"/>
  <c r="S1188" i="7"/>
  <c r="R1188" i="7"/>
  <c r="Q1188" i="7"/>
  <c r="P1188" i="7"/>
  <c r="O1188" i="7"/>
  <c r="U1187" i="7"/>
  <c r="T1187" i="7"/>
  <c r="S1187" i="7"/>
  <c r="R1187" i="7"/>
  <c r="Q1187" i="7"/>
  <c r="P1187" i="7"/>
  <c r="O1187" i="7"/>
  <c r="U1186" i="7"/>
  <c r="T1186" i="7"/>
  <c r="S1186" i="7"/>
  <c r="R1186" i="7"/>
  <c r="Q1186" i="7"/>
  <c r="P1186" i="7"/>
  <c r="O1186" i="7"/>
  <c r="U1185" i="7"/>
  <c r="T1185" i="7"/>
  <c r="S1185" i="7"/>
  <c r="R1185" i="7"/>
  <c r="Q1185" i="7"/>
  <c r="P1185" i="7"/>
  <c r="O1185" i="7"/>
  <c r="U1184" i="7"/>
  <c r="T1184" i="7"/>
  <c r="S1184" i="7"/>
  <c r="R1184" i="7"/>
  <c r="Q1184" i="7"/>
  <c r="P1184" i="7"/>
  <c r="O1184" i="7"/>
  <c r="U1183" i="7"/>
  <c r="T1183" i="7"/>
  <c r="S1183" i="7"/>
  <c r="R1183" i="7"/>
  <c r="Q1183" i="7"/>
  <c r="P1183" i="7"/>
  <c r="O1183" i="7"/>
  <c r="U1182" i="7"/>
  <c r="T1182" i="7"/>
  <c r="S1182" i="7"/>
  <c r="R1182" i="7"/>
  <c r="Q1182" i="7"/>
  <c r="P1182" i="7"/>
  <c r="O1182" i="7"/>
  <c r="U1181" i="7"/>
  <c r="T1181" i="7"/>
  <c r="S1181" i="7"/>
  <c r="R1181" i="7"/>
  <c r="Q1181" i="7"/>
  <c r="P1181" i="7"/>
  <c r="O1181" i="7"/>
  <c r="U1180" i="7"/>
  <c r="T1180" i="7"/>
  <c r="S1180" i="7"/>
  <c r="R1180" i="7"/>
  <c r="Q1180" i="7"/>
  <c r="P1180" i="7"/>
  <c r="O1180" i="7"/>
  <c r="U1179" i="7"/>
  <c r="T1179" i="7"/>
  <c r="S1179" i="7"/>
  <c r="R1179" i="7"/>
  <c r="Q1179" i="7"/>
  <c r="P1179" i="7"/>
  <c r="O1179" i="7"/>
  <c r="U1178" i="7"/>
  <c r="T1178" i="7"/>
  <c r="S1178" i="7"/>
  <c r="R1178" i="7"/>
  <c r="Q1178" i="7"/>
  <c r="P1178" i="7"/>
  <c r="O1178" i="7"/>
  <c r="U1177" i="7"/>
  <c r="T1177" i="7"/>
  <c r="S1177" i="7"/>
  <c r="R1177" i="7"/>
  <c r="Q1177" i="7"/>
  <c r="P1177" i="7"/>
  <c r="O1177" i="7"/>
  <c r="U1176" i="7"/>
  <c r="T1176" i="7"/>
  <c r="S1176" i="7"/>
  <c r="R1176" i="7"/>
  <c r="Q1176" i="7"/>
  <c r="P1176" i="7"/>
  <c r="O1176" i="7"/>
  <c r="U1175" i="7"/>
  <c r="T1175" i="7"/>
  <c r="S1175" i="7"/>
  <c r="R1175" i="7"/>
  <c r="Q1175" i="7"/>
  <c r="P1175" i="7"/>
  <c r="O1175" i="7"/>
  <c r="U1174" i="7"/>
  <c r="T1174" i="7"/>
  <c r="S1174" i="7"/>
  <c r="R1174" i="7"/>
  <c r="Q1174" i="7"/>
  <c r="P1174" i="7"/>
  <c r="O1174" i="7"/>
  <c r="U1173" i="7"/>
  <c r="T1173" i="7"/>
  <c r="S1173" i="7"/>
  <c r="R1173" i="7"/>
  <c r="Q1173" i="7"/>
  <c r="P1173" i="7"/>
  <c r="O1173" i="7"/>
  <c r="U1172" i="7"/>
  <c r="T1172" i="7"/>
  <c r="S1172" i="7"/>
  <c r="R1172" i="7"/>
  <c r="Q1172" i="7"/>
  <c r="P1172" i="7"/>
  <c r="O1172" i="7"/>
  <c r="U1171" i="7"/>
  <c r="T1171" i="7"/>
  <c r="S1171" i="7"/>
  <c r="R1171" i="7"/>
  <c r="Q1171" i="7"/>
  <c r="P1171" i="7"/>
  <c r="O1171" i="7"/>
  <c r="U1170" i="7"/>
  <c r="T1170" i="7"/>
  <c r="S1170" i="7"/>
  <c r="R1170" i="7"/>
  <c r="Q1170" i="7"/>
  <c r="P1170" i="7"/>
  <c r="O1170" i="7"/>
  <c r="U1169" i="7"/>
  <c r="T1169" i="7"/>
  <c r="S1169" i="7"/>
  <c r="R1169" i="7"/>
  <c r="Q1169" i="7"/>
  <c r="P1169" i="7"/>
  <c r="O1169" i="7"/>
  <c r="U1168" i="7"/>
  <c r="T1168" i="7"/>
  <c r="S1168" i="7"/>
  <c r="R1168" i="7"/>
  <c r="Q1168" i="7"/>
  <c r="P1168" i="7"/>
  <c r="O1168" i="7"/>
  <c r="U1167" i="7"/>
  <c r="T1167" i="7"/>
  <c r="S1167" i="7"/>
  <c r="R1167" i="7"/>
  <c r="Q1167" i="7"/>
  <c r="P1167" i="7"/>
  <c r="O1167" i="7"/>
  <c r="U1166" i="7"/>
  <c r="T1166" i="7"/>
  <c r="S1166" i="7"/>
  <c r="R1166" i="7"/>
  <c r="Q1166" i="7"/>
  <c r="P1166" i="7"/>
  <c r="O1166" i="7"/>
  <c r="U1165" i="7"/>
  <c r="T1165" i="7"/>
  <c r="S1165" i="7"/>
  <c r="R1165" i="7"/>
  <c r="Q1165" i="7"/>
  <c r="P1165" i="7"/>
  <c r="O1165" i="7"/>
  <c r="U1164" i="7"/>
  <c r="T1164" i="7"/>
  <c r="S1164" i="7"/>
  <c r="R1164" i="7"/>
  <c r="Q1164" i="7"/>
  <c r="P1164" i="7"/>
  <c r="O1164" i="7"/>
  <c r="U1163" i="7"/>
  <c r="T1163" i="7"/>
  <c r="S1163" i="7"/>
  <c r="R1163" i="7"/>
  <c r="Q1163" i="7"/>
  <c r="P1163" i="7"/>
  <c r="O1163" i="7"/>
  <c r="U1162" i="7"/>
  <c r="T1162" i="7"/>
  <c r="S1162" i="7"/>
  <c r="R1162" i="7"/>
  <c r="Q1162" i="7"/>
  <c r="P1162" i="7"/>
  <c r="O1162" i="7"/>
  <c r="U1161" i="7"/>
  <c r="T1161" i="7"/>
  <c r="S1161" i="7"/>
  <c r="R1161" i="7"/>
  <c r="Q1161" i="7"/>
  <c r="P1161" i="7"/>
  <c r="O1161" i="7"/>
  <c r="U1160" i="7"/>
  <c r="T1160" i="7"/>
  <c r="S1160" i="7"/>
  <c r="R1160" i="7"/>
  <c r="Q1160" i="7"/>
  <c r="P1160" i="7"/>
  <c r="O1160" i="7"/>
  <c r="U1159" i="7"/>
  <c r="T1159" i="7"/>
  <c r="S1159" i="7"/>
  <c r="R1159" i="7"/>
  <c r="Q1159" i="7"/>
  <c r="P1159" i="7"/>
  <c r="O1159" i="7"/>
  <c r="U1158" i="7"/>
  <c r="T1158" i="7"/>
  <c r="S1158" i="7"/>
  <c r="R1158" i="7"/>
  <c r="Q1158" i="7"/>
  <c r="P1158" i="7"/>
  <c r="O1158" i="7"/>
  <c r="U1157" i="7"/>
  <c r="T1157" i="7"/>
  <c r="S1157" i="7"/>
  <c r="R1157" i="7"/>
  <c r="Q1157" i="7"/>
  <c r="P1157" i="7"/>
  <c r="O1157" i="7"/>
  <c r="U1156" i="7"/>
  <c r="T1156" i="7"/>
  <c r="S1156" i="7"/>
  <c r="R1156" i="7"/>
  <c r="Q1156" i="7"/>
  <c r="P1156" i="7"/>
  <c r="O1156" i="7"/>
  <c r="U1155" i="7"/>
  <c r="T1155" i="7"/>
  <c r="S1155" i="7"/>
  <c r="R1155" i="7"/>
  <c r="Q1155" i="7"/>
  <c r="P1155" i="7"/>
  <c r="O1155" i="7"/>
  <c r="U1154" i="7"/>
  <c r="T1154" i="7"/>
  <c r="S1154" i="7"/>
  <c r="R1154" i="7"/>
  <c r="Q1154" i="7"/>
  <c r="P1154" i="7"/>
  <c r="O1154" i="7"/>
  <c r="U1153" i="7"/>
  <c r="T1153" i="7"/>
  <c r="S1153" i="7"/>
  <c r="R1153" i="7"/>
  <c r="Q1153" i="7"/>
  <c r="P1153" i="7"/>
  <c r="O1153" i="7"/>
  <c r="U1152" i="7"/>
  <c r="T1152" i="7"/>
  <c r="S1152" i="7"/>
  <c r="R1152" i="7"/>
  <c r="Q1152" i="7"/>
  <c r="P1152" i="7"/>
  <c r="O1152" i="7"/>
  <c r="U1151" i="7"/>
  <c r="T1151" i="7"/>
  <c r="S1151" i="7"/>
  <c r="R1151" i="7"/>
  <c r="Q1151" i="7"/>
  <c r="P1151" i="7"/>
  <c r="O1151" i="7"/>
  <c r="U1150" i="7"/>
  <c r="T1150" i="7"/>
  <c r="S1150" i="7"/>
  <c r="R1150" i="7"/>
  <c r="Q1150" i="7"/>
  <c r="P1150" i="7"/>
  <c r="O1150" i="7"/>
  <c r="U1149" i="7"/>
  <c r="T1149" i="7"/>
  <c r="S1149" i="7"/>
  <c r="R1149" i="7"/>
  <c r="Q1149" i="7"/>
  <c r="P1149" i="7"/>
  <c r="O1149" i="7"/>
  <c r="U1148" i="7"/>
  <c r="T1148" i="7"/>
  <c r="S1148" i="7"/>
  <c r="R1148" i="7"/>
  <c r="Q1148" i="7"/>
  <c r="P1148" i="7"/>
  <c r="O1148" i="7"/>
  <c r="U1147" i="7"/>
  <c r="T1147" i="7"/>
  <c r="S1147" i="7"/>
  <c r="R1147" i="7"/>
  <c r="Q1147" i="7"/>
  <c r="P1147" i="7"/>
  <c r="O1147" i="7"/>
  <c r="U1146" i="7"/>
  <c r="T1146" i="7"/>
  <c r="S1146" i="7"/>
  <c r="R1146" i="7"/>
  <c r="Q1146" i="7"/>
  <c r="P1146" i="7"/>
  <c r="O1146" i="7"/>
  <c r="U1145" i="7"/>
  <c r="T1145" i="7"/>
  <c r="S1145" i="7"/>
  <c r="R1145" i="7"/>
  <c r="Q1145" i="7"/>
  <c r="P1145" i="7"/>
  <c r="O1145" i="7"/>
  <c r="U1144" i="7"/>
  <c r="T1144" i="7"/>
  <c r="S1144" i="7"/>
  <c r="R1144" i="7"/>
  <c r="Q1144" i="7"/>
  <c r="P1144" i="7"/>
  <c r="O1144" i="7"/>
  <c r="U1143" i="7"/>
  <c r="T1143" i="7"/>
  <c r="S1143" i="7"/>
  <c r="R1143" i="7"/>
  <c r="Q1143" i="7"/>
  <c r="P1143" i="7"/>
  <c r="O1143" i="7"/>
  <c r="U1142" i="7"/>
  <c r="T1142" i="7"/>
  <c r="S1142" i="7"/>
  <c r="R1142" i="7"/>
  <c r="Q1142" i="7"/>
  <c r="P1142" i="7"/>
  <c r="O1142" i="7"/>
  <c r="U1141" i="7"/>
  <c r="T1141" i="7"/>
  <c r="S1141" i="7"/>
  <c r="R1141" i="7"/>
  <c r="Q1141" i="7"/>
  <c r="P1141" i="7"/>
  <c r="O1141" i="7"/>
  <c r="U1140" i="7"/>
  <c r="T1140" i="7"/>
  <c r="S1140" i="7"/>
  <c r="R1140" i="7"/>
  <c r="Q1140" i="7"/>
  <c r="P1140" i="7"/>
  <c r="O1140" i="7"/>
  <c r="U1139" i="7"/>
  <c r="T1139" i="7"/>
  <c r="S1139" i="7"/>
  <c r="R1139" i="7"/>
  <c r="Q1139" i="7"/>
  <c r="P1139" i="7"/>
  <c r="O1139" i="7"/>
  <c r="U1138" i="7"/>
  <c r="T1138" i="7"/>
  <c r="S1138" i="7"/>
  <c r="R1138" i="7"/>
  <c r="Q1138" i="7"/>
  <c r="P1138" i="7"/>
  <c r="O1138" i="7"/>
  <c r="U1137" i="7"/>
  <c r="T1137" i="7"/>
  <c r="S1137" i="7"/>
  <c r="R1137" i="7"/>
  <c r="Q1137" i="7"/>
  <c r="P1137" i="7"/>
  <c r="O1137" i="7"/>
  <c r="U1136" i="7"/>
  <c r="T1136" i="7"/>
  <c r="S1136" i="7"/>
  <c r="R1136" i="7"/>
  <c r="Q1136" i="7"/>
  <c r="P1136" i="7"/>
  <c r="O1136" i="7"/>
  <c r="U1135" i="7"/>
  <c r="T1135" i="7"/>
  <c r="S1135" i="7"/>
  <c r="R1135" i="7"/>
  <c r="Q1135" i="7"/>
  <c r="P1135" i="7"/>
  <c r="O1135" i="7"/>
  <c r="U1134" i="7"/>
  <c r="T1134" i="7"/>
  <c r="S1134" i="7"/>
  <c r="R1134" i="7"/>
  <c r="Q1134" i="7"/>
  <c r="P1134" i="7"/>
  <c r="O1134" i="7"/>
  <c r="U1133" i="7"/>
  <c r="T1133" i="7"/>
  <c r="S1133" i="7"/>
  <c r="R1133" i="7"/>
  <c r="Q1133" i="7"/>
  <c r="P1133" i="7"/>
  <c r="O1133" i="7"/>
  <c r="U1132" i="7"/>
  <c r="T1132" i="7"/>
  <c r="S1132" i="7"/>
  <c r="R1132" i="7"/>
  <c r="Q1132" i="7"/>
  <c r="P1132" i="7"/>
  <c r="O1132" i="7"/>
  <c r="U1131" i="7"/>
  <c r="T1131" i="7"/>
  <c r="S1131" i="7"/>
  <c r="R1131" i="7"/>
  <c r="Q1131" i="7"/>
  <c r="P1131" i="7"/>
  <c r="O1131" i="7"/>
  <c r="U1130" i="7"/>
  <c r="T1130" i="7"/>
  <c r="S1130" i="7"/>
  <c r="R1130" i="7"/>
  <c r="Q1130" i="7"/>
  <c r="P1130" i="7"/>
  <c r="O1130" i="7"/>
  <c r="U1129" i="7"/>
  <c r="T1129" i="7"/>
  <c r="S1129" i="7"/>
  <c r="R1129" i="7"/>
  <c r="Q1129" i="7"/>
  <c r="P1129" i="7"/>
  <c r="O1129" i="7"/>
  <c r="U1128" i="7"/>
  <c r="T1128" i="7"/>
  <c r="S1128" i="7"/>
  <c r="R1128" i="7"/>
  <c r="Q1128" i="7"/>
  <c r="P1128" i="7"/>
  <c r="O1128" i="7"/>
  <c r="U1127" i="7"/>
  <c r="T1127" i="7"/>
  <c r="S1127" i="7"/>
  <c r="R1127" i="7"/>
  <c r="Q1127" i="7"/>
  <c r="P1127" i="7"/>
  <c r="O1127" i="7"/>
  <c r="U1126" i="7"/>
  <c r="T1126" i="7"/>
  <c r="S1126" i="7"/>
  <c r="R1126" i="7"/>
  <c r="Q1126" i="7"/>
  <c r="P1126" i="7"/>
  <c r="O1126" i="7"/>
  <c r="U1125" i="7"/>
  <c r="T1125" i="7"/>
  <c r="S1125" i="7"/>
  <c r="R1125" i="7"/>
  <c r="Q1125" i="7"/>
  <c r="P1125" i="7"/>
  <c r="O1125" i="7"/>
  <c r="U1124" i="7"/>
  <c r="T1124" i="7"/>
  <c r="S1124" i="7"/>
  <c r="R1124" i="7"/>
  <c r="Q1124" i="7"/>
  <c r="P1124" i="7"/>
  <c r="O1124" i="7"/>
  <c r="U1123" i="7"/>
  <c r="T1123" i="7"/>
  <c r="S1123" i="7"/>
  <c r="R1123" i="7"/>
  <c r="Q1123" i="7"/>
  <c r="P1123" i="7"/>
  <c r="O1123" i="7"/>
  <c r="U1122" i="7"/>
  <c r="T1122" i="7"/>
  <c r="S1122" i="7"/>
  <c r="R1122" i="7"/>
  <c r="Q1122" i="7"/>
  <c r="P1122" i="7"/>
  <c r="O1122" i="7"/>
  <c r="U1121" i="7"/>
  <c r="T1121" i="7"/>
  <c r="S1121" i="7"/>
  <c r="R1121" i="7"/>
  <c r="Q1121" i="7"/>
  <c r="P1121" i="7"/>
  <c r="O1121" i="7"/>
  <c r="U1120" i="7"/>
  <c r="T1120" i="7"/>
  <c r="S1120" i="7"/>
  <c r="R1120" i="7"/>
  <c r="Q1120" i="7"/>
  <c r="P1120" i="7"/>
  <c r="O1120" i="7"/>
  <c r="U1119" i="7"/>
  <c r="T1119" i="7"/>
  <c r="S1119" i="7"/>
  <c r="R1119" i="7"/>
  <c r="Q1119" i="7"/>
  <c r="P1119" i="7"/>
  <c r="O1119" i="7"/>
  <c r="U1118" i="7"/>
  <c r="T1118" i="7"/>
  <c r="S1118" i="7"/>
  <c r="R1118" i="7"/>
  <c r="Q1118" i="7"/>
  <c r="P1118" i="7"/>
  <c r="O1118" i="7"/>
  <c r="U1117" i="7"/>
  <c r="T1117" i="7"/>
  <c r="S1117" i="7"/>
  <c r="R1117" i="7"/>
  <c r="Q1117" i="7"/>
  <c r="P1117" i="7"/>
  <c r="O1117" i="7"/>
  <c r="U1116" i="7"/>
  <c r="T1116" i="7"/>
  <c r="S1116" i="7"/>
  <c r="R1116" i="7"/>
  <c r="Q1116" i="7"/>
  <c r="P1116" i="7"/>
  <c r="O1116" i="7"/>
  <c r="U1115" i="7"/>
  <c r="T1115" i="7"/>
  <c r="S1115" i="7"/>
  <c r="R1115" i="7"/>
  <c r="Q1115" i="7"/>
  <c r="P1115" i="7"/>
  <c r="O1115" i="7"/>
  <c r="U1114" i="7"/>
  <c r="T1114" i="7"/>
  <c r="S1114" i="7"/>
  <c r="R1114" i="7"/>
  <c r="Q1114" i="7"/>
  <c r="P1114" i="7"/>
  <c r="O1114" i="7"/>
  <c r="U1113" i="7"/>
  <c r="T1113" i="7"/>
  <c r="S1113" i="7"/>
  <c r="R1113" i="7"/>
  <c r="Q1113" i="7"/>
  <c r="P1113" i="7"/>
  <c r="O1113" i="7"/>
  <c r="U1112" i="7"/>
  <c r="T1112" i="7"/>
  <c r="S1112" i="7"/>
  <c r="R1112" i="7"/>
  <c r="Q1112" i="7"/>
  <c r="P1112" i="7"/>
  <c r="O1112" i="7"/>
  <c r="U1111" i="7"/>
  <c r="T1111" i="7"/>
  <c r="S1111" i="7"/>
  <c r="R1111" i="7"/>
  <c r="Q1111" i="7"/>
  <c r="P1111" i="7"/>
  <c r="O1111" i="7"/>
  <c r="U1110" i="7"/>
  <c r="T1110" i="7"/>
  <c r="S1110" i="7"/>
  <c r="R1110" i="7"/>
  <c r="Q1110" i="7"/>
  <c r="P1110" i="7"/>
  <c r="O1110" i="7"/>
  <c r="U1109" i="7"/>
  <c r="T1109" i="7"/>
  <c r="S1109" i="7"/>
  <c r="R1109" i="7"/>
  <c r="Q1109" i="7"/>
  <c r="P1109" i="7"/>
  <c r="O1109" i="7"/>
  <c r="U1108" i="7"/>
  <c r="T1108" i="7"/>
  <c r="S1108" i="7"/>
  <c r="R1108" i="7"/>
  <c r="Q1108" i="7"/>
  <c r="P1108" i="7"/>
  <c r="O1108" i="7"/>
  <c r="U1107" i="7"/>
  <c r="T1107" i="7"/>
  <c r="S1107" i="7"/>
  <c r="R1107" i="7"/>
  <c r="Q1107" i="7"/>
  <c r="P1107" i="7"/>
  <c r="O1107" i="7"/>
  <c r="U1106" i="7"/>
  <c r="T1106" i="7"/>
  <c r="S1106" i="7"/>
  <c r="R1106" i="7"/>
  <c r="Q1106" i="7"/>
  <c r="P1106" i="7"/>
  <c r="O1106" i="7"/>
  <c r="U1105" i="7"/>
  <c r="T1105" i="7"/>
  <c r="S1105" i="7"/>
  <c r="R1105" i="7"/>
  <c r="Q1105" i="7"/>
  <c r="P1105" i="7"/>
  <c r="O1105" i="7"/>
  <c r="U1104" i="7"/>
  <c r="T1104" i="7"/>
  <c r="S1104" i="7"/>
  <c r="R1104" i="7"/>
  <c r="Q1104" i="7"/>
  <c r="P1104" i="7"/>
  <c r="O1104" i="7"/>
  <c r="U1103" i="7"/>
  <c r="T1103" i="7"/>
  <c r="S1103" i="7"/>
  <c r="R1103" i="7"/>
  <c r="Q1103" i="7"/>
  <c r="P1103" i="7"/>
  <c r="O1103" i="7"/>
  <c r="U1102" i="7"/>
  <c r="T1102" i="7"/>
  <c r="S1102" i="7"/>
  <c r="R1102" i="7"/>
  <c r="Q1102" i="7"/>
  <c r="P1102" i="7"/>
  <c r="O1102" i="7"/>
  <c r="U1101" i="7"/>
  <c r="T1101" i="7"/>
  <c r="S1101" i="7"/>
  <c r="R1101" i="7"/>
  <c r="Q1101" i="7"/>
  <c r="P1101" i="7"/>
  <c r="O1101" i="7"/>
  <c r="U1100" i="7"/>
  <c r="T1100" i="7"/>
  <c r="S1100" i="7"/>
  <c r="R1100" i="7"/>
  <c r="Q1100" i="7"/>
  <c r="P1100" i="7"/>
  <c r="O1100" i="7"/>
  <c r="U1099" i="7"/>
  <c r="T1099" i="7"/>
  <c r="S1099" i="7"/>
  <c r="R1099" i="7"/>
  <c r="Q1099" i="7"/>
  <c r="P1099" i="7"/>
  <c r="O1099" i="7"/>
  <c r="U1098" i="7"/>
  <c r="T1098" i="7"/>
  <c r="S1098" i="7"/>
  <c r="R1098" i="7"/>
  <c r="Q1098" i="7"/>
  <c r="P1098" i="7"/>
  <c r="O1098" i="7"/>
  <c r="U1097" i="7"/>
  <c r="T1097" i="7"/>
  <c r="S1097" i="7"/>
  <c r="R1097" i="7"/>
  <c r="Q1097" i="7"/>
  <c r="P1097" i="7"/>
  <c r="O1097" i="7"/>
  <c r="U1096" i="7"/>
  <c r="T1096" i="7"/>
  <c r="S1096" i="7"/>
  <c r="R1096" i="7"/>
  <c r="Q1096" i="7"/>
  <c r="P1096" i="7"/>
  <c r="O1096" i="7"/>
  <c r="U1095" i="7"/>
  <c r="T1095" i="7"/>
  <c r="S1095" i="7"/>
  <c r="R1095" i="7"/>
  <c r="Q1095" i="7"/>
  <c r="P1095" i="7"/>
  <c r="O1095" i="7"/>
  <c r="U1094" i="7"/>
  <c r="T1094" i="7"/>
  <c r="S1094" i="7"/>
  <c r="R1094" i="7"/>
  <c r="Q1094" i="7"/>
  <c r="P1094" i="7"/>
  <c r="O1094" i="7"/>
  <c r="U1093" i="7"/>
  <c r="T1093" i="7"/>
  <c r="S1093" i="7"/>
  <c r="R1093" i="7"/>
  <c r="Q1093" i="7"/>
  <c r="P1093" i="7"/>
  <c r="O1093" i="7"/>
  <c r="U1092" i="7"/>
  <c r="T1092" i="7"/>
  <c r="S1092" i="7"/>
  <c r="R1092" i="7"/>
  <c r="Q1092" i="7"/>
  <c r="P1092" i="7"/>
  <c r="O1092" i="7"/>
  <c r="U1091" i="7"/>
  <c r="T1091" i="7"/>
  <c r="S1091" i="7"/>
  <c r="R1091" i="7"/>
  <c r="Q1091" i="7"/>
  <c r="P1091" i="7"/>
  <c r="O1091" i="7"/>
  <c r="U1090" i="7"/>
  <c r="T1090" i="7"/>
  <c r="S1090" i="7"/>
  <c r="R1090" i="7"/>
  <c r="Q1090" i="7"/>
  <c r="P1090" i="7"/>
  <c r="O1090" i="7"/>
  <c r="U1089" i="7"/>
  <c r="T1089" i="7"/>
  <c r="S1089" i="7"/>
  <c r="R1089" i="7"/>
  <c r="Q1089" i="7"/>
  <c r="P1089" i="7"/>
  <c r="O1089" i="7"/>
  <c r="U1088" i="7"/>
  <c r="T1088" i="7"/>
  <c r="S1088" i="7"/>
  <c r="R1088" i="7"/>
  <c r="Q1088" i="7"/>
  <c r="P1088" i="7"/>
  <c r="O1088" i="7"/>
  <c r="U1087" i="7"/>
  <c r="T1087" i="7"/>
  <c r="S1087" i="7"/>
  <c r="R1087" i="7"/>
  <c r="Q1087" i="7"/>
  <c r="P1087" i="7"/>
  <c r="O1087" i="7"/>
  <c r="U1086" i="7"/>
  <c r="T1086" i="7"/>
  <c r="S1086" i="7"/>
  <c r="R1086" i="7"/>
  <c r="Q1086" i="7"/>
  <c r="P1086" i="7"/>
  <c r="O1086" i="7"/>
  <c r="U1085" i="7"/>
  <c r="T1085" i="7"/>
  <c r="S1085" i="7"/>
  <c r="R1085" i="7"/>
  <c r="Q1085" i="7"/>
  <c r="P1085" i="7"/>
  <c r="O1085" i="7"/>
  <c r="U1084" i="7"/>
  <c r="T1084" i="7"/>
  <c r="S1084" i="7"/>
  <c r="R1084" i="7"/>
  <c r="Q1084" i="7"/>
  <c r="P1084" i="7"/>
  <c r="O1084" i="7"/>
  <c r="U1083" i="7"/>
  <c r="T1083" i="7"/>
  <c r="S1083" i="7"/>
  <c r="R1083" i="7"/>
  <c r="Q1083" i="7"/>
  <c r="P1083" i="7"/>
  <c r="O1083" i="7"/>
  <c r="U1082" i="7"/>
  <c r="T1082" i="7"/>
  <c r="S1082" i="7"/>
  <c r="R1082" i="7"/>
  <c r="Q1082" i="7"/>
  <c r="P1082" i="7"/>
  <c r="O1082" i="7"/>
  <c r="U1081" i="7"/>
  <c r="T1081" i="7"/>
  <c r="S1081" i="7"/>
  <c r="R1081" i="7"/>
  <c r="Q1081" i="7"/>
  <c r="P1081" i="7"/>
  <c r="O1081" i="7"/>
  <c r="U1080" i="7"/>
  <c r="T1080" i="7"/>
  <c r="S1080" i="7"/>
  <c r="R1080" i="7"/>
  <c r="Q1080" i="7"/>
  <c r="P1080" i="7"/>
  <c r="O1080" i="7"/>
  <c r="U1079" i="7"/>
  <c r="T1079" i="7"/>
  <c r="S1079" i="7"/>
  <c r="R1079" i="7"/>
  <c r="Q1079" i="7"/>
  <c r="P1079" i="7"/>
  <c r="O1079" i="7"/>
  <c r="U1078" i="7"/>
  <c r="T1078" i="7"/>
  <c r="S1078" i="7"/>
  <c r="R1078" i="7"/>
  <c r="Q1078" i="7"/>
  <c r="P1078" i="7"/>
  <c r="O1078" i="7"/>
  <c r="U1077" i="7"/>
  <c r="T1077" i="7"/>
  <c r="S1077" i="7"/>
  <c r="R1077" i="7"/>
  <c r="Q1077" i="7"/>
  <c r="P1077" i="7"/>
  <c r="O1077" i="7"/>
  <c r="U1076" i="7"/>
  <c r="T1076" i="7"/>
  <c r="S1076" i="7"/>
  <c r="R1076" i="7"/>
  <c r="Q1076" i="7"/>
  <c r="P1076" i="7"/>
  <c r="O1076" i="7"/>
  <c r="U1075" i="7"/>
  <c r="T1075" i="7"/>
  <c r="S1075" i="7"/>
  <c r="R1075" i="7"/>
  <c r="Q1075" i="7"/>
  <c r="P1075" i="7"/>
  <c r="O1075" i="7"/>
  <c r="U1074" i="7"/>
  <c r="T1074" i="7"/>
  <c r="S1074" i="7"/>
  <c r="R1074" i="7"/>
  <c r="Q1074" i="7"/>
  <c r="P1074" i="7"/>
  <c r="O1074" i="7"/>
  <c r="U1073" i="7"/>
  <c r="T1073" i="7"/>
  <c r="S1073" i="7"/>
  <c r="R1073" i="7"/>
  <c r="Q1073" i="7"/>
  <c r="P1073" i="7"/>
  <c r="O1073" i="7"/>
  <c r="U1072" i="7"/>
  <c r="T1072" i="7"/>
  <c r="S1072" i="7"/>
  <c r="R1072" i="7"/>
  <c r="Q1072" i="7"/>
  <c r="P1072" i="7"/>
  <c r="O1072" i="7"/>
  <c r="U1071" i="7"/>
  <c r="T1071" i="7"/>
  <c r="S1071" i="7"/>
  <c r="R1071" i="7"/>
  <c r="Q1071" i="7"/>
  <c r="P1071" i="7"/>
  <c r="O1071" i="7"/>
  <c r="U1070" i="7"/>
  <c r="T1070" i="7"/>
  <c r="S1070" i="7"/>
  <c r="R1070" i="7"/>
  <c r="Q1070" i="7"/>
  <c r="P1070" i="7"/>
  <c r="O1070" i="7"/>
  <c r="U1069" i="7"/>
  <c r="T1069" i="7"/>
  <c r="S1069" i="7"/>
  <c r="R1069" i="7"/>
  <c r="Q1069" i="7"/>
  <c r="P1069" i="7"/>
  <c r="O1069" i="7"/>
  <c r="U1068" i="7"/>
  <c r="T1068" i="7"/>
  <c r="S1068" i="7"/>
  <c r="R1068" i="7"/>
  <c r="Q1068" i="7"/>
  <c r="P1068" i="7"/>
  <c r="O1068" i="7"/>
  <c r="U1067" i="7"/>
  <c r="T1067" i="7"/>
  <c r="S1067" i="7"/>
  <c r="R1067" i="7"/>
  <c r="Q1067" i="7"/>
  <c r="P1067" i="7"/>
  <c r="O1067" i="7"/>
  <c r="U1066" i="7"/>
  <c r="T1066" i="7"/>
  <c r="S1066" i="7"/>
  <c r="R1066" i="7"/>
  <c r="Q1066" i="7"/>
  <c r="P1066" i="7"/>
  <c r="O1066" i="7"/>
  <c r="U1065" i="7"/>
  <c r="T1065" i="7"/>
  <c r="S1065" i="7"/>
  <c r="R1065" i="7"/>
  <c r="Q1065" i="7"/>
  <c r="P1065" i="7"/>
  <c r="O1065" i="7"/>
  <c r="U1064" i="7"/>
  <c r="T1064" i="7"/>
  <c r="S1064" i="7"/>
  <c r="R1064" i="7"/>
  <c r="Q1064" i="7"/>
  <c r="P1064" i="7"/>
  <c r="O1064" i="7"/>
  <c r="U1063" i="7"/>
  <c r="T1063" i="7"/>
  <c r="S1063" i="7"/>
  <c r="R1063" i="7"/>
  <c r="Q1063" i="7"/>
  <c r="P1063" i="7"/>
  <c r="O1063" i="7"/>
  <c r="U1062" i="7"/>
  <c r="T1062" i="7"/>
  <c r="S1062" i="7"/>
  <c r="R1062" i="7"/>
  <c r="Q1062" i="7"/>
  <c r="P1062" i="7"/>
  <c r="O1062" i="7"/>
  <c r="U1061" i="7"/>
  <c r="T1061" i="7"/>
  <c r="S1061" i="7"/>
  <c r="R1061" i="7"/>
  <c r="Q1061" i="7"/>
  <c r="P1061" i="7"/>
  <c r="O1061" i="7"/>
  <c r="U1060" i="7"/>
  <c r="T1060" i="7"/>
  <c r="S1060" i="7"/>
  <c r="R1060" i="7"/>
  <c r="Q1060" i="7"/>
  <c r="P1060" i="7"/>
  <c r="O1060" i="7"/>
  <c r="U1059" i="7"/>
  <c r="T1059" i="7"/>
  <c r="S1059" i="7"/>
  <c r="R1059" i="7"/>
  <c r="Q1059" i="7"/>
  <c r="P1059" i="7"/>
  <c r="O1059" i="7"/>
  <c r="U1058" i="7"/>
  <c r="T1058" i="7"/>
  <c r="S1058" i="7"/>
  <c r="R1058" i="7"/>
  <c r="Q1058" i="7"/>
  <c r="P1058" i="7"/>
  <c r="O1058" i="7"/>
  <c r="U1057" i="7"/>
  <c r="T1057" i="7"/>
  <c r="S1057" i="7"/>
  <c r="R1057" i="7"/>
  <c r="Q1057" i="7"/>
  <c r="P1057" i="7"/>
  <c r="O1057" i="7"/>
  <c r="U1056" i="7"/>
  <c r="T1056" i="7"/>
  <c r="S1056" i="7"/>
  <c r="R1056" i="7"/>
  <c r="Q1056" i="7"/>
  <c r="P1056" i="7"/>
  <c r="O1056" i="7"/>
  <c r="U1055" i="7"/>
  <c r="T1055" i="7"/>
  <c r="S1055" i="7"/>
  <c r="R1055" i="7"/>
  <c r="Q1055" i="7"/>
  <c r="P1055" i="7"/>
  <c r="O1055" i="7"/>
  <c r="U1054" i="7"/>
  <c r="T1054" i="7"/>
  <c r="S1054" i="7"/>
  <c r="R1054" i="7"/>
  <c r="Q1054" i="7"/>
  <c r="P1054" i="7"/>
  <c r="O1054" i="7"/>
  <c r="U1053" i="7"/>
  <c r="T1053" i="7"/>
  <c r="S1053" i="7"/>
  <c r="R1053" i="7"/>
  <c r="Q1053" i="7"/>
  <c r="P1053" i="7"/>
  <c r="O1053" i="7"/>
  <c r="U1052" i="7"/>
  <c r="T1052" i="7"/>
  <c r="S1052" i="7"/>
  <c r="R1052" i="7"/>
  <c r="Q1052" i="7"/>
  <c r="P1052" i="7"/>
  <c r="O1052" i="7"/>
  <c r="U1051" i="7"/>
  <c r="T1051" i="7"/>
  <c r="S1051" i="7"/>
  <c r="R1051" i="7"/>
  <c r="Q1051" i="7"/>
  <c r="P1051" i="7"/>
  <c r="O1051" i="7"/>
  <c r="U1050" i="7"/>
  <c r="T1050" i="7"/>
  <c r="S1050" i="7"/>
  <c r="R1050" i="7"/>
  <c r="Q1050" i="7"/>
  <c r="P1050" i="7"/>
  <c r="O1050" i="7"/>
  <c r="U1049" i="7"/>
  <c r="T1049" i="7"/>
  <c r="S1049" i="7"/>
  <c r="R1049" i="7"/>
  <c r="Q1049" i="7"/>
  <c r="P1049" i="7"/>
  <c r="O1049" i="7"/>
  <c r="U1048" i="7"/>
  <c r="T1048" i="7"/>
  <c r="S1048" i="7"/>
  <c r="R1048" i="7"/>
  <c r="Q1048" i="7"/>
  <c r="P1048" i="7"/>
  <c r="O1048" i="7"/>
  <c r="U1047" i="7"/>
  <c r="T1047" i="7"/>
  <c r="S1047" i="7"/>
  <c r="R1047" i="7"/>
  <c r="Q1047" i="7"/>
  <c r="P1047" i="7"/>
  <c r="O1047" i="7"/>
  <c r="U1046" i="7"/>
  <c r="T1046" i="7"/>
  <c r="S1046" i="7"/>
  <c r="R1046" i="7"/>
  <c r="Q1046" i="7"/>
  <c r="P1046" i="7"/>
  <c r="O1046" i="7"/>
  <c r="U1045" i="7"/>
  <c r="T1045" i="7"/>
  <c r="S1045" i="7"/>
  <c r="R1045" i="7"/>
  <c r="Q1045" i="7"/>
  <c r="P1045" i="7"/>
  <c r="O1045" i="7"/>
  <c r="U1044" i="7"/>
  <c r="T1044" i="7"/>
  <c r="S1044" i="7"/>
  <c r="R1044" i="7"/>
  <c r="Q1044" i="7"/>
  <c r="P1044" i="7"/>
  <c r="O1044" i="7"/>
  <c r="U1043" i="7"/>
  <c r="T1043" i="7"/>
  <c r="S1043" i="7"/>
  <c r="R1043" i="7"/>
  <c r="Q1043" i="7"/>
  <c r="P1043" i="7"/>
  <c r="O1043" i="7"/>
  <c r="U1042" i="7"/>
  <c r="T1042" i="7"/>
  <c r="S1042" i="7"/>
  <c r="R1042" i="7"/>
  <c r="Q1042" i="7"/>
  <c r="P1042" i="7"/>
  <c r="O1042" i="7"/>
  <c r="U1041" i="7"/>
  <c r="T1041" i="7"/>
  <c r="S1041" i="7"/>
  <c r="R1041" i="7"/>
  <c r="Q1041" i="7"/>
  <c r="P1041" i="7"/>
  <c r="O1041" i="7"/>
  <c r="U1040" i="7"/>
  <c r="T1040" i="7"/>
  <c r="S1040" i="7"/>
  <c r="R1040" i="7"/>
  <c r="Q1040" i="7"/>
  <c r="P1040" i="7"/>
  <c r="O1040" i="7"/>
  <c r="U1039" i="7"/>
  <c r="T1039" i="7"/>
  <c r="S1039" i="7"/>
  <c r="R1039" i="7"/>
  <c r="Q1039" i="7"/>
  <c r="P1039" i="7"/>
  <c r="O1039" i="7"/>
  <c r="U1038" i="7"/>
  <c r="T1038" i="7"/>
  <c r="S1038" i="7"/>
  <c r="R1038" i="7"/>
  <c r="Q1038" i="7"/>
  <c r="P1038" i="7"/>
  <c r="O1038" i="7"/>
  <c r="U1037" i="7"/>
  <c r="T1037" i="7"/>
  <c r="S1037" i="7"/>
  <c r="R1037" i="7"/>
  <c r="Q1037" i="7"/>
  <c r="P1037" i="7"/>
  <c r="O1037" i="7"/>
  <c r="U1036" i="7"/>
  <c r="T1036" i="7"/>
  <c r="S1036" i="7"/>
  <c r="R1036" i="7"/>
  <c r="Q1036" i="7"/>
  <c r="P1036" i="7"/>
  <c r="O1036" i="7"/>
  <c r="U1035" i="7"/>
  <c r="T1035" i="7"/>
  <c r="S1035" i="7"/>
  <c r="R1035" i="7"/>
  <c r="Q1035" i="7"/>
  <c r="P1035" i="7"/>
  <c r="O1035" i="7"/>
  <c r="U1034" i="7"/>
  <c r="T1034" i="7"/>
  <c r="S1034" i="7"/>
  <c r="R1034" i="7"/>
  <c r="Q1034" i="7"/>
  <c r="P1034" i="7"/>
  <c r="O1034" i="7"/>
  <c r="U1033" i="7"/>
  <c r="T1033" i="7"/>
  <c r="S1033" i="7"/>
  <c r="R1033" i="7"/>
  <c r="Q1033" i="7"/>
  <c r="P1033" i="7"/>
  <c r="O1033" i="7"/>
  <c r="U1032" i="7"/>
  <c r="T1032" i="7"/>
  <c r="S1032" i="7"/>
  <c r="R1032" i="7"/>
  <c r="Q1032" i="7"/>
  <c r="P1032" i="7"/>
  <c r="O1032" i="7"/>
  <c r="U1031" i="7"/>
  <c r="T1031" i="7"/>
  <c r="S1031" i="7"/>
  <c r="R1031" i="7"/>
  <c r="Q1031" i="7"/>
  <c r="P1031" i="7"/>
  <c r="O1031" i="7"/>
  <c r="U1030" i="7"/>
  <c r="T1030" i="7"/>
  <c r="S1030" i="7"/>
  <c r="R1030" i="7"/>
  <c r="Q1030" i="7"/>
  <c r="P1030" i="7"/>
  <c r="O1030" i="7"/>
  <c r="U1029" i="7"/>
  <c r="T1029" i="7"/>
  <c r="S1029" i="7"/>
  <c r="R1029" i="7"/>
  <c r="Q1029" i="7"/>
  <c r="P1029" i="7"/>
  <c r="O1029" i="7"/>
  <c r="U1028" i="7"/>
  <c r="T1028" i="7"/>
  <c r="S1028" i="7"/>
  <c r="R1028" i="7"/>
  <c r="Q1028" i="7"/>
  <c r="P1028" i="7"/>
  <c r="O1028" i="7"/>
  <c r="U1027" i="7"/>
  <c r="T1027" i="7"/>
  <c r="S1027" i="7"/>
  <c r="R1027" i="7"/>
  <c r="Q1027" i="7"/>
  <c r="P1027" i="7"/>
  <c r="O1027" i="7"/>
  <c r="U1026" i="7"/>
  <c r="T1026" i="7"/>
  <c r="S1026" i="7"/>
  <c r="R1026" i="7"/>
  <c r="Q1026" i="7"/>
  <c r="P1026" i="7"/>
  <c r="O1026" i="7"/>
  <c r="U1025" i="7"/>
  <c r="T1025" i="7"/>
  <c r="S1025" i="7"/>
  <c r="R1025" i="7"/>
  <c r="Q1025" i="7"/>
  <c r="P1025" i="7"/>
  <c r="O1025" i="7"/>
  <c r="U1024" i="7"/>
  <c r="T1024" i="7"/>
  <c r="S1024" i="7"/>
  <c r="R1024" i="7"/>
  <c r="Q1024" i="7"/>
  <c r="P1024" i="7"/>
  <c r="O1024" i="7"/>
  <c r="U1023" i="7"/>
  <c r="T1023" i="7"/>
  <c r="S1023" i="7"/>
  <c r="R1023" i="7"/>
  <c r="Q1023" i="7"/>
  <c r="P1023" i="7"/>
  <c r="O1023" i="7"/>
  <c r="U1022" i="7"/>
  <c r="T1022" i="7"/>
  <c r="S1022" i="7"/>
  <c r="R1022" i="7"/>
  <c r="Q1022" i="7"/>
  <c r="P1022" i="7"/>
  <c r="O1022" i="7"/>
  <c r="U1021" i="7"/>
  <c r="T1021" i="7"/>
  <c r="S1021" i="7"/>
  <c r="R1021" i="7"/>
  <c r="Q1021" i="7"/>
  <c r="P1021" i="7"/>
  <c r="O1021" i="7"/>
  <c r="U1020" i="7"/>
  <c r="T1020" i="7"/>
  <c r="S1020" i="7"/>
  <c r="R1020" i="7"/>
  <c r="Q1020" i="7"/>
  <c r="P1020" i="7"/>
  <c r="O1020" i="7"/>
  <c r="U1019" i="7"/>
  <c r="T1019" i="7"/>
  <c r="S1019" i="7"/>
  <c r="R1019" i="7"/>
  <c r="Q1019" i="7"/>
  <c r="P1019" i="7"/>
  <c r="O1019" i="7"/>
  <c r="U1018" i="7"/>
  <c r="T1018" i="7"/>
  <c r="S1018" i="7"/>
  <c r="R1018" i="7"/>
  <c r="Q1018" i="7"/>
  <c r="P1018" i="7"/>
  <c r="O1018" i="7"/>
  <c r="U1017" i="7"/>
  <c r="T1017" i="7"/>
  <c r="S1017" i="7"/>
  <c r="R1017" i="7"/>
  <c r="Q1017" i="7"/>
  <c r="P1017" i="7"/>
  <c r="O1017" i="7"/>
  <c r="U1016" i="7"/>
  <c r="T1016" i="7"/>
  <c r="S1016" i="7"/>
  <c r="R1016" i="7"/>
  <c r="Q1016" i="7"/>
  <c r="P1016" i="7"/>
  <c r="O1016" i="7"/>
  <c r="U1015" i="7"/>
  <c r="T1015" i="7"/>
  <c r="S1015" i="7"/>
  <c r="R1015" i="7"/>
  <c r="Q1015" i="7"/>
  <c r="P1015" i="7"/>
  <c r="O1015" i="7"/>
  <c r="U1014" i="7"/>
  <c r="T1014" i="7"/>
  <c r="S1014" i="7"/>
  <c r="R1014" i="7"/>
  <c r="Q1014" i="7"/>
  <c r="P1014" i="7"/>
  <c r="O1014" i="7"/>
  <c r="U1013" i="7"/>
  <c r="T1013" i="7"/>
  <c r="S1013" i="7"/>
  <c r="R1013" i="7"/>
  <c r="Q1013" i="7"/>
  <c r="P1013" i="7"/>
  <c r="O1013" i="7"/>
  <c r="U1012" i="7"/>
  <c r="T1012" i="7"/>
  <c r="S1012" i="7"/>
  <c r="R1012" i="7"/>
  <c r="Q1012" i="7"/>
  <c r="P1012" i="7"/>
  <c r="O1012" i="7"/>
  <c r="U1011" i="7"/>
  <c r="T1011" i="7"/>
  <c r="S1011" i="7"/>
  <c r="R1011" i="7"/>
  <c r="Q1011" i="7"/>
  <c r="P1011" i="7"/>
  <c r="O1011" i="7"/>
  <c r="U1010" i="7"/>
  <c r="T1010" i="7"/>
  <c r="S1010" i="7"/>
  <c r="R1010" i="7"/>
  <c r="Q1010" i="7"/>
  <c r="P1010" i="7"/>
  <c r="O1010" i="7"/>
  <c r="U1009" i="7"/>
  <c r="T1009" i="7"/>
  <c r="S1009" i="7"/>
  <c r="R1009" i="7"/>
  <c r="Q1009" i="7"/>
  <c r="P1009" i="7"/>
  <c r="O1009" i="7"/>
  <c r="U1008" i="7"/>
  <c r="T1008" i="7"/>
  <c r="S1008" i="7"/>
  <c r="R1008" i="7"/>
  <c r="Q1008" i="7"/>
  <c r="P1008" i="7"/>
  <c r="O1008" i="7"/>
  <c r="U1007" i="7"/>
  <c r="T1007" i="7"/>
  <c r="S1007" i="7"/>
  <c r="R1007" i="7"/>
  <c r="Q1007" i="7"/>
  <c r="P1007" i="7"/>
  <c r="O1007" i="7"/>
  <c r="U1006" i="7"/>
  <c r="T1006" i="7"/>
  <c r="S1006" i="7"/>
  <c r="R1006" i="7"/>
  <c r="Q1006" i="7"/>
  <c r="P1006" i="7"/>
  <c r="O1006" i="7"/>
  <c r="U1005" i="7"/>
  <c r="T1005" i="7"/>
  <c r="S1005" i="7"/>
  <c r="R1005" i="7"/>
  <c r="Q1005" i="7"/>
  <c r="P1005" i="7"/>
  <c r="O1005" i="7"/>
  <c r="U1004" i="7"/>
  <c r="T1004" i="7"/>
  <c r="S1004" i="7"/>
  <c r="R1004" i="7"/>
  <c r="Q1004" i="7"/>
  <c r="P1004" i="7"/>
  <c r="O1004" i="7"/>
  <c r="U1003" i="7"/>
  <c r="T1003" i="7"/>
  <c r="S1003" i="7"/>
  <c r="R1003" i="7"/>
  <c r="Q1003" i="7"/>
  <c r="P1003" i="7"/>
  <c r="O1003" i="7"/>
  <c r="U1002" i="7"/>
  <c r="T1002" i="7"/>
  <c r="S1002" i="7"/>
  <c r="R1002" i="7"/>
  <c r="Q1002" i="7"/>
  <c r="P1002" i="7"/>
  <c r="O1002" i="7"/>
  <c r="U1001" i="7"/>
  <c r="T1001" i="7"/>
  <c r="S1001" i="7"/>
  <c r="R1001" i="7"/>
  <c r="Q1001" i="7"/>
  <c r="P1001" i="7"/>
  <c r="O1001" i="7"/>
  <c r="U1000" i="7"/>
  <c r="T1000" i="7"/>
  <c r="S1000" i="7"/>
  <c r="R1000" i="7"/>
  <c r="Q1000" i="7"/>
  <c r="P1000" i="7"/>
  <c r="O1000" i="7"/>
  <c r="U999" i="7"/>
  <c r="T999" i="7"/>
  <c r="S999" i="7"/>
  <c r="R999" i="7"/>
  <c r="Q999" i="7"/>
  <c r="P999" i="7"/>
  <c r="O999" i="7"/>
  <c r="U998" i="7"/>
  <c r="T998" i="7"/>
  <c r="S998" i="7"/>
  <c r="R998" i="7"/>
  <c r="Q998" i="7"/>
  <c r="P998" i="7"/>
  <c r="O998" i="7"/>
  <c r="U997" i="7"/>
  <c r="T997" i="7"/>
  <c r="S997" i="7"/>
  <c r="R997" i="7"/>
  <c r="Q997" i="7"/>
  <c r="P997" i="7"/>
  <c r="O997" i="7"/>
  <c r="U996" i="7"/>
  <c r="T996" i="7"/>
  <c r="S996" i="7"/>
  <c r="R996" i="7"/>
  <c r="Q996" i="7"/>
  <c r="P996" i="7"/>
  <c r="O996" i="7"/>
  <c r="U995" i="7"/>
  <c r="T995" i="7"/>
  <c r="S995" i="7"/>
  <c r="R995" i="7"/>
  <c r="Q995" i="7"/>
  <c r="P995" i="7"/>
  <c r="O995" i="7"/>
  <c r="U994" i="7"/>
  <c r="T994" i="7"/>
  <c r="S994" i="7"/>
  <c r="R994" i="7"/>
  <c r="Q994" i="7"/>
  <c r="P994" i="7"/>
  <c r="O994" i="7"/>
  <c r="U993" i="7"/>
  <c r="T993" i="7"/>
  <c r="S993" i="7"/>
  <c r="R993" i="7"/>
  <c r="Q993" i="7"/>
  <c r="P993" i="7"/>
  <c r="O993" i="7"/>
  <c r="U992" i="7"/>
  <c r="T992" i="7"/>
  <c r="S992" i="7"/>
  <c r="R992" i="7"/>
  <c r="Q992" i="7"/>
  <c r="P992" i="7"/>
  <c r="O992" i="7"/>
  <c r="U991" i="7"/>
  <c r="T991" i="7"/>
  <c r="S991" i="7"/>
  <c r="R991" i="7"/>
  <c r="Q991" i="7"/>
  <c r="P991" i="7"/>
  <c r="O991" i="7"/>
  <c r="U990" i="7"/>
  <c r="T990" i="7"/>
  <c r="S990" i="7"/>
  <c r="R990" i="7"/>
  <c r="Q990" i="7"/>
  <c r="P990" i="7"/>
  <c r="O990" i="7"/>
  <c r="U989" i="7"/>
  <c r="T989" i="7"/>
  <c r="S989" i="7"/>
  <c r="R989" i="7"/>
  <c r="Q989" i="7"/>
  <c r="P989" i="7"/>
  <c r="O989" i="7"/>
  <c r="U988" i="7"/>
  <c r="T988" i="7"/>
  <c r="S988" i="7"/>
  <c r="R988" i="7"/>
  <c r="Q988" i="7"/>
  <c r="P988" i="7"/>
  <c r="O988" i="7"/>
  <c r="U987" i="7"/>
  <c r="T987" i="7"/>
  <c r="S987" i="7"/>
  <c r="R987" i="7"/>
  <c r="Q987" i="7"/>
  <c r="P987" i="7"/>
  <c r="O987" i="7"/>
  <c r="U986" i="7"/>
  <c r="T986" i="7"/>
  <c r="S986" i="7"/>
  <c r="R986" i="7"/>
  <c r="Q986" i="7"/>
  <c r="P986" i="7"/>
  <c r="O986" i="7"/>
  <c r="U985" i="7"/>
  <c r="T985" i="7"/>
  <c r="S985" i="7"/>
  <c r="R985" i="7"/>
  <c r="Q985" i="7"/>
  <c r="P985" i="7"/>
  <c r="O985" i="7"/>
  <c r="U984" i="7"/>
  <c r="T984" i="7"/>
  <c r="S984" i="7"/>
  <c r="R984" i="7"/>
  <c r="Q984" i="7"/>
  <c r="P984" i="7"/>
  <c r="O984" i="7"/>
  <c r="U983" i="7"/>
  <c r="T983" i="7"/>
  <c r="S983" i="7"/>
  <c r="R983" i="7"/>
  <c r="Q983" i="7"/>
  <c r="P983" i="7"/>
  <c r="O983" i="7"/>
  <c r="U982" i="7"/>
  <c r="T982" i="7"/>
  <c r="S982" i="7"/>
  <c r="R982" i="7"/>
  <c r="Q982" i="7"/>
  <c r="P982" i="7"/>
  <c r="O982" i="7"/>
  <c r="U981" i="7"/>
  <c r="T981" i="7"/>
  <c r="S981" i="7"/>
  <c r="R981" i="7"/>
  <c r="Q981" i="7"/>
  <c r="P981" i="7"/>
  <c r="O981" i="7"/>
  <c r="U980" i="7"/>
  <c r="T980" i="7"/>
  <c r="S980" i="7"/>
  <c r="R980" i="7"/>
  <c r="Q980" i="7"/>
  <c r="P980" i="7"/>
  <c r="O980" i="7"/>
  <c r="U979" i="7"/>
  <c r="T979" i="7"/>
  <c r="S979" i="7"/>
  <c r="R979" i="7"/>
  <c r="Q979" i="7"/>
  <c r="P979" i="7"/>
  <c r="O979" i="7"/>
  <c r="U978" i="7"/>
  <c r="T978" i="7"/>
  <c r="S978" i="7"/>
  <c r="R978" i="7"/>
  <c r="Q978" i="7"/>
  <c r="P978" i="7"/>
  <c r="O978" i="7"/>
  <c r="U977" i="7"/>
  <c r="T977" i="7"/>
  <c r="S977" i="7"/>
  <c r="R977" i="7"/>
  <c r="Q977" i="7"/>
  <c r="P977" i="7"/>
  <c r="O977" i="7"/>
  <c r="U976" i="7"/>
  <c r="T976" i="7"/>
  <c r="S976" i="7"/>
  <c r="R976" i="7"/>
  <c r="Q976" i="7"/>
  <c r="P976" i="7"/>
  <c r="O976" i="7"/>
  <c r="U975" i="7"/>
  <c r="T975" i="7"/>
  <c r="S975" i="7"/>
  <c r="R975" i="7"/>
  <c r="Q975" i="7"/>
  <c r="P975" i="7"/>
  <c r="O975" i="7"/>
  <c r="U974" i="7"/>
  <c r="T974" i="7"/>
  <c r="S974" i="7"/>
  <c r="R974" i="7"/>
  <c r="Q974" i="7"/>
  <c r="P974" i="7"/>
  <c r="O974" i="7"/>
  <c r="U973" i="7"/>
  <c r="T973" i="7"/>
  <c r="S973" i="7"/>
  <c r="R973" i="7"/>
  <c r="Q973" i="7"/>
  <c r="P973" i="7"/>
  <c r="O973" i="7"/>
  <c r="U972" i="7"/>
  <c r="T972" i="7"/>
  <c r="S972" i="7"/>
  <c r="R972" i="7"/>
  <c r="Q972" i="7"/>
  <c r="P972" i="7"/>
  <c r="O972" i="7"/>
  <c r="U971" i="7"/>
  <c r="T971" i="7"/>
  <c r="S971" i="7"/>
  <c r="R971" i="7"/>
  <c r="Q971" i="7"/>
  <c r="P971" i="7"/>
  <c r="O971" i="7"/>
  <c r="U970" i="7"/>
  <c r="T970" i="7"/>
  <c r="S970" i="7"/>
  <c r="R970" i="7"/>
  <c r="Q970" i="7"/>
  <c r="P970" i="7"/>
  <c r="O970" i="7"/>
  <c r="U969" i="7"/>
  <c r="T969" i="7"/>
  <c r="S969" i="7"/>
  <c r="R969" i="7"/>
  <c r="Q969" i="7"/>
  <c r="P969" i="7"/>
  <c r="O969" i="7"/>
  <c r="U968" i="7"/>
  <c r="T968" i="7"/>
  <c r="S968" i="7"/>
  <c r="R968" i="7"/>
  <c r="Q968" i="7"/>
  <c r="P968" i="7"/>
  <c r="O968" i="7"/>
  <c r="U967" i="7"/>
  <c r="T967" i="7"/>
  <c r="S967" i="7"/>
  <c r="R967" i="7"/>
  <c r="Q967" i="7"/>
  <c r="P967" i="7"/>
  <c r="O967" i="7"/>
  <c r="U966" i="7"/>
  <c r="T966" i="7"/>
  <c r="S966" i="7"/>
  <c r="R966" i="7"/>
  <c r="Q966" i="7"/>
  <c r="P966" i="7"/>
  <c r="O966" i="7"/>
  <c r="U965" i="7"/>
  <c r="T965" i="7"/>
  <c r="S965" i="7"/>
  <c r="R965" i="7"/>
  <c r="Q965" i="7"/>
  <c r="P965" i="7"/>
  <c r="O965" i="7"/>
  <c r="U964" i="7"/>
  <c r="T964" i="7"/>
  <c r="S964" i="7"/>
  <c r="R964" i="7"/>
  <c r="Q964" i="7"/>
  <c r="P964" i="7"/>
  <c r="O964" i="7"/>
  <c r="U963" i="7"/>
  <c r="T963" i="7"/>
  <c r="S963" i="7"/>
  <c r="R963" i="7"/>
  <c r="Q963" i="7"/>
  <c r="P963" i="7"/>
  <c r="O963" i="7"/>
  <c r="U962" i="7"/>
  <c r="T962" i="7"/>
  <c r="S962" i="7"/>
  <c r="R962" i="7"/>
  <c r="Q962" i="7"/>
  <c r="P962" i="7"/>
  <c r="O962" i="7"/>
  <c r="U961" i="7"/>
  <c r="T961" i="7"/>
  <c r="S961" i="7"/>
  <c r="R961" i="7"/>
  <c r="Q961" i="7"/>
  <c r="P961" i="7"/>
  <c r="O961" i="7"/>
  <c r="U960" i="7"/>
  <c r="T960" i="7"/>
  <c r="S960" i="7"/>
  <c r="R960" i="7"/>
  <c r="Q960" i="7"/>
  <c r="P960" i="7"/>
  <c r="O960" i="7"/>
  <c r="U959" i="7"/>
  <c r="T959" i="7"/>
  <c r="S959" i="7"/>
  <c r="R959" i="7"/>
  <c r="Q959" i="7"/>
  <c r="P959" i="7"/>
  <c r="O959" i="7"/>
  <c r="U958" i="7"/>
  <c r="T958" i="7"/>
  <c r="S958" i="7"/>
  <c r="R958" i="7"/>
  <c r="Q958" i="7"/>
  <c r="P958" i="7"/>
  <c r="O958" i="7"/>
  <c r="U957" i="7"/>
  <c r="T957" i="7"/>
  <c r="S957" i="7"/>
  <c r="R957" i="7"/>
  <c r="Q957" i="7"/>
  <c r="P957" i="7"/>
  <c r="O957" i="7"/>
  <c r="U956" i="7"/>
  <c r="T956" i="7"/>
  <c r="S956" i="7"/>
  <c r="R956" i="7"/>
  <c r="Q956" i="7"/>
  <c r="P956" i="7"/>
  <c r="O956" i="7"/>
  <c r="U955" i="7"/>
  <c r="T955" i="7"/>
  <c r="S955" i="7"/>
  <c r="R955" i="7"/>
  <c r="Q955" i="7"/>
  <c r="P955" i="7"/>
  <c r="O955" i="7"/>
  <c r="U954" i="7"/>
  <c r="T954" i="7"/>
  <c r="S954" i="7"/>
  <c r="R954" i="7"/>
  <c r="Q954" i="7"/>
  <c r="P954" i="7"/>
  <c r="O954" i="7"/>
  <c r="U953" i="7"/>
  <c r="T953" i="7"/>
  <c r="S953" i="7"/>
  <c r="R953" i="7"/>
  <c r="Q953" i="7"/>
  <c r="P953" i="7"/>
  <c r="O953" i="7"/>
  <c r="U952" i="7"/>
  <c r="T952" i="7"/>
  <c r="S952" i="7"/>
  <c r="R952" i="7"/>
  <c r="Q952" i="7"/>
  <c r="P952" i="7"/>
  <c r="O952" i="7"/>
  <c r="U951" i="7"/>
  <c r="T951" i="7"/>
  <c r="S951" i="7"/>
  <c r="R951" i="7"/>
  <c r="Q951" i="7"/>
  <c r="P951" i="7"/>
  <c r="O951" i="7"/>
  <c r="U950" i="7"/>
  <c r="T950" i="7"/>
  <c r="S950" i="7"/>
  <c r="R950" i="7"/>
  <c r="Q950" i="7"/>
  <c r="P950" i="7"/>
  <c r="O950" i="7"/>
  <c r="U949" i="7"/>
  <c r="T949" i="7"/>
  <c r="S949" i="7"/>
  <c r="R949" i="7"/>
  <c r="Q949" i="7"/>
  <c r="P949" i="7"/>
  <c r="O949" i="7"/>
  <c r="U948" i="7"/>
  <c r="T948" i="7"/>
  <c r="S948" i="7"/>
  <c r="R948" i="7"/>
  <c r="Q948" i="7"/>
  <c r="P948" i="7"/>
  <c r="O948" i="7"/>
  <c r="U947" i="7"/>
  <c r="T947" i="7"/>
  <c r="S947" i="7"/>
  <c r="R947" i="7"/>
  <c r="Q947" i="7"/>
  <c r="P947" i="7"/>
  <c r="O947" i="7"/>
  <c r="U946" i="7"/>
  <c r="T946" i="7"/>
  <c r="S946" i="7"/>
  <c r="R946" i="7"/>
  <c r="Q946" i="7"/>
  <c r="P946" i="7"/>
  <c r="O946" i="7"/>
  <c r="U945" i="7"/>
  <c r="T945" i="7"/>
  <c r="S945" i="7"/>
  <c r="R945" i="7"/>
  <c r="Q945" i="7"/>
  <c r="P945" i="7"/>
  <c r="O945" i="7"/>
  <c r="U944" i="7"/>
  <c r="T944" i="7"/>
  <c r="S944" i="7"/>
  <c r="R944" i="7"/>
  <c r="Q944" i="7"/>
  <c r="P944" i="7"/>
  <c r="O944" i="7"/>
  <c r="U943" i="7"/>
  <c r="T943" i="7"/>
  <c r="S943" i="7"/>
  <c r="R943" i="7"/>
  <c r="Q943" i="7"/>
  <c r="P943" i="7"/>
  <c r="O943" i="7"/>
  <c r="U942" i="7"/>
  <c r="T942" i="7"/>
  <c r="S942" i="7"/>
  <c r="R942" i="7"/>
  <c r="Q942" i="7"/>
  <c r="P942" i="7"/>
  <c r="O942" i="7"/>
  <c r="U941" i="7"/>
  <c r="T941" i="7"/>
  <c r="S941" i="7"/>
  <c r="R941" i="7"/>
  <c r="Q941" i="7"/>
  <c r="P941" i="7"/>
  <c r="O941" i="7"/>
  <c r="U940" i="7"/>
  <c r="T940" i="7"/>
  <c r="S940" i="7"/>
  <c r="R940" i="7"/>
  <c r="Q940" i="7"/>
  <c r="P940" i="7"/>
  <c r="O940" i="7"/>
  <c r="U939" i="7"/>
  <c r="T939" i="7"/>
  <c r="S939" i="7"/>
  <c r="R939" i="7"/>
  <c r="Q939" i="7"/>
  <c r="P939" i="7"/>
  <c r="O939" i="7"/>
  <c r="U938" i="7"/>
  <c r="T938" i="7"/>
  <c r="S938" i="7"/>
  <c r="R938" i="7"/>
  <c r="Q938" i="7"/>
  <c r="P938" i="7"/>
  <c r="O938" i="7"/>
  <c r="U937" i="7"/>
  <c r="T937" i="7"/>
  <c r="S937" i="7"/>
  <c r="R937" i="7"/>
  <c r="Q937" i="7"/>
  <c r="P937" i="7"/>
  <c r="O937" i="7"/>
  <c r="U936" i="7"/>
  <c r="T936" i="7"/>
  <c r="S936" i="7"/>
  <c r="R936" i="7"/>
  <c r="Q936" i="7"/>
  <c r="P936" i="7"/>
  <c r="O936" i="7"/>
  <c r="U935" i="7"/>
  <c r="T935" i="7"/>
  <c r="S935" i="7"/>
  <c r="R935" i="7"/>
  <c r="Q935" i="7"/>
  <c r="P935" i="7"/>
  <c r="O935" i="7"/>
  <c r="U934" i="7"/>
  <c r="T934" i="7"/>
  <c r="S934" i="7"/>
  <c r="R934" i="7"/>
  <c r="Q934" i="7"/>
  <c r="P934" i="7"/>
  <c r="O934" i="7"/>
  <c r="U933" i="7"/>
  <c r="T933" i="7"/>
  <c r="S933" i="7"/>
  <c r="R933" i="7"/>
  <c r="Q933" i="7"/>
  <c r="P933" i="7"/>
  <c r="O933" i="7"/>
  <c r="U932" i="7"/>
  <c r="T932" i="7"/>
  <c r="S932" i="7"/>
  <c r="R932" i="7"/>
  <c r="Q932" i="7"/>
  <c r="P932" i="7"/>
  <c r="O932" i="7"/>
  <c r="U931" i="7"/>
  <c r="T931" i="7"/>
  <c r="S931" i="7"/>
  <c r="R931" i="7"/>
  <c r="Q931" i="7"/>
  <c r="P931" i="7"/>
  <c r="O931" i="7"/>
  <c r="U930" i="7"/>
  <c r="T930" i="7"/>
  <c r="S930" i="7"/>
  <c r="R930" i="7"/>
  <c r="Q930" i="7"/>
  <c r="P930" i="7"/>
  <c r="O930" i="7"/>
  <c r="U929" i="7"/>
  <c r="T929" i="7"/>
  <c r="S929" i="7"/>
  <c r="R929" i="7"/>
  <c r="Q929" i="7"/>
  <c r="P929" i="7"/>
  <c r="O929" i="7"/>
  <c r="U928" i="7"/>
  <c r="T928" i="7"/>
  <c r="S928" i="7"/>
  <c r="R928" i="7"/>
  <c r="Q928" i="7"/>
  <c r="P928" i="7"/>
  <c r="O928" i="7"/>
  <c r="U927" i="7"/>
  <c r="T927" i="7"/>
  <c r="S927" i="7"/>
  <c r="R927" i="7"/>
  <c r="Q927" i="7"/>
  <c r="P927" i="7"/>
  <c r="O927" i="7"/>
  <c r="U926" i="7"/>
  <c r="T926" i="7"/>
  <c r="S926" i="7"/>
  <c r="R926" i="7"/>
  <c r="Q926" i="7"/>
  <c r="P926" i="7"/>
  <c r="O926" i="7"/>
  <c r="U925" i="7"/>
  <c r="T925" i="7"/>
  <c r="S925" i="7"/>
  <c r="R925" i="7"/>
  <c r="Q925" i="7"/>
  <c r="P925" i="7"/>
  <c r="O925" i="7"/>
  <c r="U924" i="7"/>
  <c r="T924" i="7"/>
  <c r="S924" i="7"/>
  <c r="R924" i="7"/>
  <c r="Q924" i="7"/>
  <c r="P924" i="7"/>
  <c r="O924" i="7"/>
  <c r="U923" i="7"/>
  <c r="T923" i="7"/>
  <c r="S923" i="7"/>
  <c r="R923" i="7"/>
  <c r="Q923" i="7"/>
  <c r="P923" i="7"/>
  <c r="O923" i="7"/>
  <c r="U922" i="7"/>
  <c r="T922" i="7"/>
  <c r="S922" i="7"/>
  <c r="R922" i="7"/>
  <c r="Q922" i="7"/>
  <c r="P922" i="7"/>
  <c r="O922" i="7"/>
  <c r="U921" i="7"/>
  <c r="T921" i="7"/>
  <c r="S921" i="7"/>
  <c r="R921" i="7"/>
  <c r="Q921" i="7"/>
  <c r="P921" i="7"/>
  <c r="O921" i="7"/>
  <c r="U920" i="7"/>
  <c r="T920" i="7"/>
  <c r="S920" i="7"/>
  <c r="R920" i="7"/>
  <c r="Q920" i="7"/>
  <c r="P920" i="7"/>
  <c r="O920" i="7"/>
  <c r="U919" i="7"/>
  <c r="T919" i="7"/>
  <c r="S919" i="7"/>
  <c r="R919" i="7"/>
  <c r="Q919" i="7"/>
  <c r="P919" i="7"/>
  <c r="O919" i="7"/>
  <c r="U918" i="7"/>
  <c r="T918" i="7"/>
  <c r="S918" i="7"/>
  <c r="R918" i="7"/>
  <c r="Q918" i="7"/>
  <c r="P918" i="7"/>
  <c r="O918" i="7"/>
  <c r="U917" i="7"/>
  <c r="T917" i="7"/>
  <c r="S917" i="7"/>
  <c r="R917" i="7"/>
  <c r="Q917" i="7"/>
  <c r="P917" i="7"/>
  <c r="O917" i="7"/>
  <c r="U916" i="7"/>
  <c r="T916" i="7"/>
  <c r="S916" i="7"/>
  <c r="R916" i="7"/>
  <c r="Q916" i="7"/>
  <c r="P916" i="7"/>
  <c r="O916" i="7"/>
  <c r="U915" i="7"/>
  <c r="T915" i="7"/>
  <c r="S915" i="7"/>
  <c r="R915" i="7"/>
  <c r="Q915" i="7"/>
  <c r="P915" i="7"/>
  <c r="O915" i="7"/>
  <c r="U914" i="7"/>
  <c r="T914" i="7"/>
  <c r="S914" i="7"/>
  <c r="R914" i="7"/>
  <c r="Q914" i="7"/>
  <c r="P914" i="7"/>
  <c r="O914" i="7"/>
  <c r="U913" i="7"/>
  <c r="T913" i="7"/>
  <c r="S913" i="7"/>
  <c r="R913" i="7"/>
  <c r="Q913" i="7"/>
  <c r="P913" i="7"/>
  <c r="O913" i="7"/>
  <c r="U912" i="7"/>
  <c r="T912" i="7"/>
  <c r="S912" i="7"/>
  <c r="R912" i="7"/>
  <c r="Q912" i="7"/>
  <c r="P912" i="7"/>
  <c r="O912" i="7"/>
  <c r="U911" i="7"/>
  <c r="T911" i="7"/>
  <c r="S911" i="7"/>
  <c r="R911" i="7"/>
  <c r="Q911" i="7"/>
  <c r="P911" i="7"/>
  <c r="O911" i="7"/>
  <c r="U910" i="7"/>
  <c r="T910" i="7"/>
  <c r="S910" i="7"/>
  <c r="R910" i="7"/>
  <c r="Q910" i="7"/>
  <c r="P910" i="7"/>
  <c r="O910" i="7"/>
  <c r="U909" i="7"/>
  <c r="T909" i="7"/>
  <c r="S909" i="7"/>
  <c r="R909" i="7"/>
  <c r="Q909" i="7"/>
  <c r="P909" i="7"/>
  <c r="O909" i="7"/>
  <c r="U908" i="7"/>
  <c r="T908" i="7"/>
  <c r="S908" i="7"/>
  <c r="R908" i="7"/>
  <c r="Q908" i="7"/>
  <c r="P908" i="7"/>
  <c r="O908" i="7"/>
  <c r="U907" i="7"/>
  <c r="T907" i="7"/>
  <c r="S907" i="7"/>
  <c r="R907" i="7"/>
  <c r="Q907" i="7"/>
  <c r="P907" i="7"/>
  <c r="O907" i="7"/>
  <c r="U906" i="7"/>
  <c r="T906" i="7"/>
  <c r="S906" i="7"/>
  <c r="R906" i="7"/>
  <c r="Q906" i="7"/>
  <c r="P906" i="7"/>
  <c r="O906" i="7"/>
  <c r="U905" i="7"/>
  <c r="T905" i="7"/>
  <c r="S905" i="7"/>
  <c r="R905" i="7"/>
  <c r="Q905" i="7"/>
  <c r="P905" i="7"/>
  <c r="O905" i="7"/>
  <c r="U904" i="7"/>
  <c r="T904" i="7"/>
  <c r="S904" i="7"/>
  <c r="R904" i="7"/>
  <c r="Q904" i="7"/>
  <c r="P904" i="7"/>
  <c r="O904" i="7"/>
  <c r="U903" i="7"/>
  <c r="T903" i="7"/>
  <c r="S903" i="7"/>
  <c r="R903" i="7"/>
  <c r="Q903" i="7"/>
  <c r="P903" i="7"/>
  <c r="O903" i="7"/>
  <c r="U902" i="7"/>
  <c r="T902" i="7"/>
  <c r="S902" i="7"/>
  <c r="R902" i="7"/>
  <c r="Q902" i="7"/>
  <c r="P902" i="7"/>
  <c r="O902" i="7"/>
  <c r="U901" i="7"/>
  <c r="T901" i="7"/>
  <c r="S901" i="7"/>
  <c r="R901" i="7"/>
  <c r="Q901" i="7"/>
  <c r="P901" i="7"/>
  <c r="O901" i="7"/>
  <c r="U900" i="7"/>
  <c r="T900" i="7"/>
  <c r="S900" i="7"/>
  <c r="R900" i="7"/>
  <c r="Q900" i="7"/>
  <c r="P900" i="7"/>
  <c r="O900" i="7"/>
  <c r="U899" i="7"/>
  <c r="T899" i="7"/>
  <c r="S899" i="7"/>
  <c r="R899" i="7"/>
  <c r="Q899" i="7"/>
  <c r="P899" i="7"/>
  <c r="O899" i="7"/>
  <c r="U898" i="7"/>
  <c r="T898" i="7"/>
  <c r="S898" i="7"/>
  <c r="R898" i="7"/>
  <c r="Q898" i="7"/>
  <c r="P898" i="7"/>
  <c r="O898" i="7"/>
  <c r="U897" i="7"/>
  <c r="T897" i="7"/>
  <c r="S897" i="7"/>
  <c r="R897" i="7"/>
  <c r="Q897" i="7"/>
  <c r="P897" i="7"/>
  <c r="O897" i="7"/>
  <c r="U896" i="7"/>
  <c r="T896" i="7"/>
  <c r="S896" i="7"/>
  <c r="R896" i="7"/>
  <c r="Q896" i="7"/>
  <c r="P896" i="7"/>
  <c r="O896" i="7"/>
  <c r="U895" i="7"/>
  <c r="T895" i="7"/>
  <c r="S895" i="7"/>
  <c r="R895" i="7"/>
  <c r="Q895" i="7"/>
  <c r="P895" i="7"/>
  <c r="O895" i="7"/>
  <c r="U894" i="7"/>
  <c r="T894" i="7"/>
  <c r="S894" i="7"/>
  <c r="R894" i="7"/>
  <c r="Q894" i="7"/>
  <c r="P894" i="7"/>
  <c r="O894" i="7"/>
  <c r="U893" i="7"/>
  <c r="T893" i="7"/>
  <c r="S893" i="7"/>
  <c r="R893" i="7"/>
  <c r="Q893" i="7"/>
  <c r="P893" i="7"/>
  <c r="O893" i="7"/>
  <c r="U892" i="7"/>
  <c r="T892" i="7"/>
  <c r="S892" i="7"/>
  <c r="R892" i="7"/>
  <c r="Q892" i="7"/>
  <c r="P892" i="7"/>
  <c r="O892" i="7"/>
  <c r="U891" i="7"/>
  <c r="T891" i="7"/>
  <c r="S891" i="7"/>
  <c r="R891" i="7"/>
  <c r="Q891" i="7"/>
  <c r="P891" i="7"/>
  <c r="O891" i="7"/>
  <c r="U890" i="7"/>
  <c r="T890" i="7"/>
  <c r="S890" i="7"/>
  <c r="R890" i="7"/>
  <c r="Q890" i="7"/>
  <c r="P890" i="7"/>
  <c r="O890" i="7"/>
  <c r="U889" i="7"/>
  <c r="T889" i="7"/>
  <c r="S889" i="7"/>
  <c r="R889" i="7"/>
  <c r="Q889" i="7"/>
  <c r="P889" i="7"/>
  <c r="O889" i="7"/>
  <c r="U888" i="7"/>
  <c r="T888" i="7"/>
  <c r="S888" i="7"/>
  <c r="R888" i="7"/>
  <c r="Q888" i="7"/>
  <c r="P888" i="7"/>
  <c r="O888" i="7"/>
  <c r="U887" i="7"/>
  <c r="T887" i="7"/>
  <c r="S887" i="7"/>
  <c r="R887" i="7"/>
  <c r="Q887" i="7"/>
  <c r="P887" i="7"/>
  <c r="O887" i="7"/>
  <c r="U886" i="7"/>
  <c r="T886" i="7"/>
  <c r="S886" i="7"/>
  <c r="R886" i="7"/>
  <c r="Q886" i="7"/>
  <c r="P886" i="7"/>
  <c r="O886" i="7"/>
  <c r="U885" i="7"/>
  <c r="T885" i="7"/>
  <c r="S885" i="7"/>
  <c r="R885" i="7"/>
  <c r="Q885" i="7"/>
  <c r="P885" i="7"/>
  <c r="O885" i="7"/>
  <c r="U884" i="7"/>
  <c r="T884" i="7"/>
  <c r="S884" i="7"/>
  <c r="R884" i="7"/>
  <c r="Q884" i="7"/>
  <c r="P884" i="7"/>
  <c r="O884" i="7"/>
  <c r="U883" i="7"/>
  <c r="T883" i="7"/>
  <c r="S883" i="7"/>
  <c r="R883" i="7"/>
  <c r="Q883" i="7"/>
  <c r="P883" i="7"/>
  <c r="O883" i="7"/>
  <c r="U882" i="7"/>
  <c r="T882" i="7"/>
  <c r="S882" i="7"/>
  <c r="R882" i="7"/>
  <c r="Q882" i="7"/>
  <c r="P882" i="7"/>
  <c r="O882" i="7"/>
  <c r="U881" i="7"/>
  <c r="T881" i="7"/>
  <c r="S881" i="7"/>
  <c r="R881" i="7"/>
  <c r="Q881" i="7"/>
  <c r="P881" i="7"/>
  <c r="O881" i="7"/>
  <c r="U880" i="7"/>
  <c r="T880" i="7"/>
  <c r="S880" i="7"/>
  <c r="R880" i="7"/>
  <c r="Q880" i="7"/>
  <c r="P880" i="7"/>
  <c r="O880" i="7"/>
  <c r="U879" i="7"/>
  <c r="T879" i="7"/>
  <c r="S879" i="7"/>
  <c r="R879" i="7"/>
  <c r="Q879" i="7"/>
  <c r="P879" i="7"/>
  <c r="O879" i="7"/>
  <c r="U878" i="7"/>
  <c r="T878" i="7"/>
  <c r="S878" i="7"/>
  <c r="R878" i="7"/>
  <c r="Q878" i="7"/>
  <c r="P878" i="7"/>
  <c r="O878" i="7"/>
  <c r="U877" i="7"/>
  <c r="T877" i="7"/>
  <c r="S877" i="7"/>
  <c r="R877" i="7"/>
  <c r="Q877" i="7"/>
  <c r="P877" i="7"/>
  <c r="O877" i="7"/>
  <c r="U876" i="7"/>
  <c r="T876" i="7"/>
  <c r="S876" i="7"/>
  <c r="R876" i="7"/>
  <c r="Q876" i="7"/>
  <c r="P876" i="7"/>
  <c r="O876" i="7"/>
  <c r="U875" i="7"/>
  <c r="T875" i="7"/>
  <c r="S875" i="7"/>
  <c r="R875" i="7"/>
  <c r="Q875" i="7"/>
  <c r="P875" i="7"/>
  <c r="O875" i="7"/>
  <c r="U874" i="7"/>
  <c r="T874" i="7"/>
  <c r="S874" i="7"/>
  <c r="R874" i="7"/>
  <c r="Q874" i="7"/>
  <c r="P874" i="7"/>
  <c r="O874" i="7"/>
  <c r="U873" i="7"/>
  <c r="T873" i="7"/>
  <c r="S873" i="7"/>
  <c r="R873" i="7"/>
  <c r="Q873" i="7"/>
  <c r="P873" i="7"/>
  <c r="O873" i="7"/>
  <c r="U872" i="7"/>
  <c r="T872" i="7"/>
  <c r="S872" i="7"/>
  <c r="R872" i="7"/>
  <c r="Q872" i="7"/>
  <c r="P872" i="7"/>
  <c r="O872" i="7"/>
  <c r="U871" i="7"/>
  <c r="T871" i="7"/>
  <c r="S871" i="7"/>
  <c r="R871" i="7"/>
  <c r="Q871" i="7"/>
  <c r="P871" i="7"/>
  <c r="O871" i="7"/>
  <c r="U870" i="7"/>
  <c r="T870" i="7"/>
  <c r="S870" i="7"/>
  <c r="R870" i="7"/>
  <c r="Q870" i="7"/>
  <c r="P870" i="7"/>
  <c r="O870" i="7"/>
  <c r="U869" i="7"/>
  <c r="T869" i="7"/>
  <c r="S869" i="7"/>
  <c r="R869" i="7"/>
  <c r="Q869" i="7"/>
  <c r="P869" i="7"/>
  <c r="O869" i="7"/>
  <c r="U868" i="7"/>
  <c r="T868" i="7"/>
  <c r="S868" i="7"/>
  <c r="R868" i="7"/>
  <c r="Q868" i="7"/>
  <c r="P868" i="7"/>
  <c r="O868" i="7"/>
  <c r="U867" i="7"/>
  <c r="T867" i="7"/>
  <c r="S867" i="7"/>
  <c r="R867" i="7"/>
  <c r="Q867" i="7"/>
  <c r="P867" i="7"/>
  <c r="O867" i="7"/>
  <c r="U866" i="7"/>
  <c r="T866" i="7"/>
  <c r="S866" i="7"/>
  <c r="R866" i="7"/>
  <c r="Q866" i="7"/>
  <c r="P866" i="7"/>
  <c r="O866" i="7"/>
  <c r="U865" i="7"/>
  <c r="T865" i="7"/>
  <c r="S865" i="7"/>
  <c r="R865" i="7"/>
  <c r="Q865" i="7"/>
  <c r="P865" i="7"/>
  <c r="O865" i="7"/>
  <c r="U864" i="7"/>
  <c r="T864" i="7"/>
  <c r="S864" i="7"/>
  <c r="R864" i="7"/>
  <c r="Q864" i="7"/>
  <c r="P864" i="7"/>
  <c r="O864" i="7"/>
  <c r="U863" i="7"/>
  <c r="T863" i="7"/>
  <c r="S863" i="7"/>
  <c r="R863" i="7"/>
  <c r="Q863" i="7"/>
  <c r="P863" i="7"/>
  <c r="O863" i="7"/>
  <c r="U862" i="7"/>
  <c r="T862" i="7"/>
  <c r="S862" i="7"/>
  <c r="R862" i="7"/>
  <c r="Q862" i="7"/>
  <c r="P862" i="7"/>
  <c r="O862" i="7"/>
  <c r="U861" i="7"/>
  <c r="T861" i="7"/>
  <c r="S861" i="7"/>
  <c r="R861" i="7"/>
  <c r="Q861" i="7"/>
  <c r="P861" i="7"/>
  <c r="O861" i="7"/>
  <c r="U860" i="7"/>
  <c r="T860" i="7"/>
  <c r="S860" i="7"/>
  <c r="R860" i="7"/>
  <c r="Q860" i="7"/>
  <c r="P860" i="7"/>
  <c r="O860" i="7"/>
  <c r="U859" i="7"/>
  <c r="T859" i="7"/>
  <c r="S859" i="7"/>
  <c r="R859" i="7"/>
  <c r="Q859" i="7"/>
  <c r="P859" i="7"/>
  <c r="O859" i="7"/>
  <c r="U858" i="7"/>
  <c r="T858" i="7"/>
  <c r="S858" i="7"/>
  <c r="R858" i="7"/>
  <c r="Q858" i="7"/>
  <c r="P858" i="7"/>
  <c r="O858" i="7"/>
  <c r="U857" i="7"/>
  <c r="T857" i="7"/>
  <c r="S857" i="7"/>
  <c r="R857" i="7"/>
  <c r="Q857" i="7"/>
  <c r="P857" i="7"/>
  <c r="O857" i="7"/>
  <c r="U856" i="7"/>
  <c r="T856" i="7"/>
  <c r="S856" i="7"/>
  <c r="R856" i="7"/>
  <c r="Q856" i="7"/>
  <c r="P856" i="7"/>
  <c r="O856" i="7"/>
  <c r="U855" i="7"/>
  <c r="T855" i="7"/>
  <c r="S855" i="7"/>
  <c r="R855" i="7"/>
  <c r="Q855" i="7"/>
  <c r="P855" i="7"/>
  <c r="O855" i="7"/>
  <c r="U854" i="7"/>
  <c r="T854" i="7"/>
  <c r="S854" i="7"/>
  <c r="R854" i="7"/>
  <c r="Q854" i="7"/>
  <c r="P854" i="7"/>
  <c r="O854" i="7"/>
  <c r="U853" i="7"/>
  <c r="T853" i="7"/>
  <c r="S853" i="7"/>
  <c r="R853" i="7"/>
  <c r="Q853" i="7"/>
  <c r="P853" i="7"/>
  <c r="O853" i="7"/>
  <c r="U852" i="7"/>
  <c r="T852" i="7"/>
  <c r="S852" i="7"/>
  <c r="R852" i="7"/>
  <c r="Q852" i="7"/>
  <c r="P852" i="7"/>
  <c r="O852" i="7"/>
  <c r="U851" i="7"/>
  <c r="T851" i="7"/>
  <c r="S851" i="7"/>
  <c r="R851" i="7"/>
  <c r="Q851" i="7"/>
  <c r="P851" i="7"/>
  <c r="O851" i="7"/>
  <c r="U850" i="7"/>
  <c r="T850" i="7"/>
  <c r="S850" i="7"/>
  <c r="R850" i="7"/>
  <c r="Q850" i="7"/>
  <c r="P850" i="7"/>
  <c r="O850" i="7"/>
  <c r="U849" i="7"/>
  <c r="T849" i="7"/>
  <c r="S849" i="7"/>
  <c r="R849" i="7"/>
  <c r="Q849" i="7"/>
  <c r="P849" i="7"/>
  <c r="O849" i="7"/>
  <c r="U848" i="7"/>
  <c r="T848" i="7"/>
  <c r="S848" i="7"/>
  <c r="R848" i="7"/>
  <c r="Q848" i="7"/>
  <c r="P848" i="7"/>
  <c r="O848" i="7"/>
  <c r="U847" i="7"/>
  <c r="T847" i="7"/>
  <c r="S847" i="7"/>
  <c r="R847" i="7"/>
  <c r="Q847" i="7"/>
  <c r="P847" i="7"/>
  <c r="O847" i="7"/>
  <c r="U846" i="7"/>
  <c r="T846" i="7"/>
  <c r="S846" i="7"/>
  <c r="R846" i="7"/>
  <c r="Q846" i="7"/>
  <c r="P846" i="7"/>
  <c r="O846" i="7"/>
  <c r="U845" i="7"/>
  <c r="T845" i="7"/>
  <c r="S845" i="7"/>
  <c r="R845" i="7"/>
  <c r="Q845" i="7"/>
  <c r="P845" i="7"/>
  <c r="O845" i="7"/>
  <c r="U844" i="7"/>
  <c r="T844" i="7"/>
  <c r="S844" i="7"/>
  <c r="R844" i="7"/>
  <c r="Q844" i="7"/>
  <c r="P844" i="7"/>
  <c r="O844" i="7"/>
  <c r="U843" i="7"/>
  <c r="T843" i="7"/>
  <c r="S843" i="7"/>
  <c r="R843" i="7"/>
  <c r="Q843" i="7"/>
  <c r="P843" i="7"/>
  <c r="O843" i="7"/>
  <c r="U842" i="7"/>
  <c r="T842" i="7"/>
  <c r="S842" i="7"/>
  <c r="R842" i="7"/>
  <c r="Q842" i="7"/>
  <c r="P842" i="7"/>
  <c r="O842" i="7"/>
  <c r="U841" i="7"/>
  <c r="T841" i="7"/>
  <c r="S841" i="7"/>
  <c r="R841" i="7"/>
  <c r="Q841" i="7"/>
  <c r="P841" i="7"/>
  <c r="O841" i="7"/>
  <c r="U840" i="7"/>
  <c r="T840" i="7"/>
  <c r="S840" i="7"/>
  <c r="R840" i="7"/>
  <c r="Q840" i="7"/>
  <c r="P840" i="7"/>
  <c r="O840" i="7"/>
  <c r="U839" i="7"/>
  <c r="T839" i="7"/>
  <c r="S839" i="7"/>
  <c r="R839" i="7"/>
  <c r="Q839" i="7"/>
  <c r="P839" i="7"/>
  <c r="O839" i="7"/>
  <c r="U838" i="7"/>
  <c r="T838" i="7"/>
  <c r="S838" i="7"/>
  <c r="R838" i="7"/>
  <c r="Q838" i="7"/>
  <c r="P838" i="7"/>
  <c r="O838" i="7"/>
  <c r="U837" i="7"/>
  <c r="T837" i="7"/>
  <c r="S837" i="7"/>
  <c r="R837" i="7"/>
  <c r="Q837" i="7"/>
  <c r="P837" i="7"/>
  <c r="O837" i="7"/>
  <c r="U836" i="7"/>
  <c r="T836" i="7"/>
  <c r="S836" i="7"/>
  <c r="R836" i="7"/>
  <c r="Q836" i="7"/>
  <c r="P836" i="7"/>
  <c r="O836" i="7"/>
  <c r="U835" i="7"/>
  <c r="T835" i="7"/>
  <c r="S835" i="7"/>
  <c r="R835" i="7"/>
  <c r="Q835" i="7"/>
  <c r="P835" i="7"/>
  <c r="O835" i="7"/>
  <c r="U834" i="7"/>
  <c r="T834" i="7"/>
  <c r="S834" i="7"/>
  <c r="R834" i="7"/>
  <c r="Q834" i="7"/>
  <c r="P834" i="7"/>
  <c r="O834" i="7"/>
  <c r="U833" i="7"/>
  <c r="T833" i="7"/>
  <c r="S833" i="7"/>
  <c r="R833" i="7"/>
  <c r="Q833" i="7"/>
  <c r="P833" i="7"/>
  <c r="O833" i="7"/>
  <c r="U832" i="7"/>
  <c r="T832" i="7"/>
  <c r="S832" i="7"/>
  <c r="R832" i="7"/>
  <c r="Q832" i="7"/>
  <c r="P832" i="7"/>
  <c r="O832" i="7"/>
  <c r="U831" i="7"/>
  <c r="T831" i="7"/>
  <c r="S831" i="7"/>
  <c r="R831" i="7"/>
  <c r="Q831" i="7"/>
  <c r="P831" i="7"/>
  <c r="O831" i="7"/>
  <c r="U830" i="7"/>
  <c r="T830" i="7"/>
  <c r="S830" i="7"/>
  <c r="R830" i="7"/>
  <c r="Q830" i="7"/>
  <c r="P830" i="7"/>
  <c r="O830" i="7"/>
  <c r="U829" i="7"/>
  <c r="T829" i="7"/>
  <c r="S829" i="7"/>
  <c r="R829" i="7"/>
  <c r="Q829" i="7"/>
  <c r="P829" i="7"/>
  <c r="O829" i="7"/>
  <c r="U828" i="7"/>
  <c r="T828" i="7"/>
  <c r="S828" i="7"/>
  <c r="R828" i="7"/>
  <c r="Q828" i="7"/>
  <c r="P828" i="7"/>
  <c r="O828" i="7"/>
  <c r="U827" i="7"/>
  <c r="T827" i="7"/>
  <c r="S827" i="7"/>
  <c r="R827" i="7"/>
  <c r="Q827" i="7"/>
  <c r="P827" i="7"/>
  <c r="O827" i="7"/>
  <c r="U826" i="7"/>
  <c r="T826" i="7"/>
  <c r="S826" i="7"/>
  <c r="R826" i="7"/>
  <c r="Q826" i="7"/>
  <c r="P826" i="7"/>
  <c r="O826" i="7"/>
  <c r="U825" i="7"/>
  <c r="T825" i="7"/>
  <c r="S825" i="7"/>
  <c r="R825" i="7"/>
  <c r="Q825" i="7"/>
  <c r="P825" i="7"/>
  <c r="O825" i="7"/>
  <c r="U824" i="7"/>
  <c r="T824" i="7"/>
  <c r="S824" i="7"/>
  <c r="R824" i="7"/>
  <c r="Q824" i="7"/>
  <c r="P824" i="7"/>
  <c r="O824" i="7"/>
  <c r="U823" i="7"/>
  <c r="T823" i="7"/>
  <c r="S823" i="7"/>
  <c r="R823" i="7"/>
  <c r="Q823" i="7"/>
  <c r="P823" i="7"/>
  <c r="O823" i="7"/>
  <c r="U822" i="7"/>
  <c r="T822" i="7"/>
  <c r="S822" i="7"/>
  <c r="R822" i="7"/>
  <c r="Q822" i="7"/>
  <c r="P822" i="7"/>
  <c r="O822" i="7"/>
  <c r="U821" i="7"/>
  <c r="T821" i="7"/>
  <c r="S821" i="7"/>
  <c r="R821" i="7"/>
  <c r="Q821" i="7"/>
  <c r="P821" i="7"/>
  <c r="O821" i="7"/>
  <c r="U820" i="7"/>
  <c r="T820" i="7"/>
  <c r="S820" i="7"/>
  <c r="R820" i="7"/>
  <c r="Q820" i="7"/>
  <c r="P820" i="7"/>
  <c r="O820" i="7"/>
  <c r="U819" i="7"/>
  <c r="T819" i="7"/>
  <c r="S819" i="7"/>
  <c r="R819" i="7"/>
  <c r="Q819" i="7"/>
  <c r="P819" i="7"/>
  <c r="O819" i="7"/>
  <c r="U818" i="7"/>
  <c r="T818" i="7"/>
  <c r="S818" i="7"/>
  <c r="R818" i="7"/>
  <c r="Q818" i="7"/>
  <c r="P818" i="7"/>
  <c r="O818" i="7"/>
  <c r="U817" i="7"/>
  <c r="T817" i="7"/>
  <c r="S817" i="7"/>
  <c r="R817" i="7"/>
  <c r="Q817" i="7"/>
  <c r="P817" i="7"/>
  <c r="O817" i="7"/>
  <c r="U816" i="7"/>
  <c r="T816" i="7"/>
  <c r="S816" i="7"/>
  <c r="R816" i="7"/>
  <c r="Q816" i="7"/>
  <c r="P816" i="7"/>
  <c r="O816" i="7"/>
  <c r="U815" i="7"/>
  <c r="T815" i="7"/>
  <c r="S815" i="7"/>
  <c r="R815" i="7"/>
  <c r="Q815" i="7"/>
  <c r="P815" i="7"/>
  <c r="O815" i="7"/>
  <c r="U814" i="7"/>
  <c r="T814" i="7"/>
  <c r="S814" i="7"/>
  <c r="R814" i="7"/>
  <c r="Q814" i="7"/>
  <c r="P814" i="7"/>
  <c r="O814" i="7"/>
  <c r="U813" i="7"/>
  <c r="T813" i="7"/>
  <c r="S813" i="7"/>
  <c r="R813" i="7"/>
  <c r="Q813" i="7"/>
  <c r="P813" i="7"/>
  <c r="O813" i="7"/>
  <c r="U812" i="7"/>
  <c r="T812" i="7"/>
  <c r="S812" i="7"/>
  <c r="R812" i="7"/>
  <c r="Q812" i="7"/>
  <c r="P812" i="7"/>
  <c r="O812" i="7"/>
  <c r="U811" i="7"/>
  <c r="T811" i="7"/>
  <c r="S811" i="7"/>
  <c r="R811" i="7"/>
  <c r="Q811" i="7"/>
  <c r="P811" i="7"/>
  <c r="O811" i="7"/>
  <c r="U810" i="7"/>
  <c r="T810" i="7"/>
  <c r="S810" i="7"/>
  <c r="R810" i="7"/>
  <c r="Q810" i="7"/>
  <c r="P810" i="7"/>
  <c r="O810" i="7"/>
  <c r="U809" i="7"/>
  <c r="T809" i="7"/>
  <c r="S809" i="7"/>
  <c r="R809" i="7"/>
  <c r="Q809" i="7"/>
  <c r="P809" i="7"/>
  <c r="O809" i="7"/>
  <c r="U808" i="7"/>
  <c r="T808" i="7"/>
  <c r="S808" i="7"/>
  <c r="R808" i="7"/>
  <c r="Q808" i="7"/>
  <c r="P808" i="7"/>
  <c r="O808" i="7"/>
  <c r="U807" i="7"/>
  <c r="T807" i="7"/>
  <c r="S807" i="7"/>
  <c r="R807" i="7"/>
  <c r="Q807" i="7"/>
  <c r="P807" i="7"/>
  <c r="O807" i="7"/>
  <c r="U806" i="7"/>
  <c r="T806" i="7"/>
  <c r="S806" i="7"/>
  <c r="R806" i="7"/>
  <c r="Q806" i="7"/>
  <c r="P806" i="7"/>
  <c r="O806" i="7"/>
  <c r="U805" i="7"/>
  <c r="T805" i="7"/>
  <c r="S805" i="7"/>
  <c r="R805" i="7"/>
  <c r="Q805" i="7"/>
  <c r="P805" i="7"/>
  <c r="O805" i="7"/>
  <c r="U804" i="7"/>
  <c r="T804" i="7"/>
  <c r="S804" i="7"/>
  <c r="R804" i="7"/>
  <c r="Q804" i="7"/>
  <c r="P804" i="7"/>
  <c r="O804" i="7"/>
  <c r="U803" i="7"/>
  <c r="T803" i="7"/>
  <c r="S803" i="7"/>
  <c r="R803" i="7"/>
  <c r="Q803" i="7"/>
  <c r="P803" i="7"/>
  <c r="O803" i="7"/>
  <c r="U802" i="7"/>
  <c r="T802" i="7"/>
  <c r="S802" i="7"/>
  <c r="R802" i="7"/>
  <c r="Q802" i="7"/>
  <c r="P802" i="7"/>
  <c r="O802" i="7"/>
  <c r="U801" i="7"/>
  <c r="T801" i="7"/>
  <c r="S801" i="7"/>
  <c r="R801" i="7"/>
  <c r="Q801" i="7"/>
  <c r="P801" i="7"/>
  <c r="O801" i="7"/>
  <c r="U800" i="7"/>
  <c r="T800" i="7"/>
  <c r="S800" i="7"/>
  <c r="R800" i="7"/>
  <c r="Q800" i="7"/>
  <c r="P800" i="7"/>
  <c r="O800" i="7"/>
  <c r="U799" i="7"/>
  <c r="T799" i="7"/>
  <c r="S799" i="7"/>
  <c r="R799" i="7"/>
  <c r="Q799" i="7"/>
  <c r="P799" i="7"/>
  <c r="O799" i="7"/>
  <c r="U798" i="7"/>
  <c r="T798" i="7"/>
  <c r="S798" i="7"/>
  <c r="R798" i="7"/>
  <c r="Q798" i="7"/>
  <c r="P798" i="7"/>
  <c r="O798" i="7"/>
  <c r="U797" i="7"/>
  <c r="T797" i="7"/>
  <c r="S797" i="7"/>
  <c r="R797" i="7"/>
  <c r="Q797" i="7"/>
  <c r="P797" i="7"/>
  <c r="O797" i="7"/>
  <c r="U796" i="7"/>
  <c r="T796" i="7"/>
  <c r="S796" i="7"/>
  <c r="R796" i="7"/>
  <c r="Q796" i="7"/>
  <c r="P796" i="7"/>
  <c r="O796" i="7"/>
  <c r="U795" i="7"/>
  <c r="T795" i="7"/>
  <c r="S795" i="7"/>
  <c r="R795" i="7"/>
  <c r="Q795" i="7"/>
  <c r="P795" i="7"/>
  <c r="O795" i="7"/>
  <c r="U794" i="7"/>
  <c r="T794" i="7"/>
  <c r="S794" i="7"/>
  <c r="R794" i="7"/>
  <c r="Q794" i="7"/>
  <c r="P794" i="7"/>
  <c r="O794" i="7"/>
  <c r="U793" i="7"/>
  <c r="T793" i="7"/>
  <c r="S793" i="7"/>
  <c r="R793" i="7"/>
  <c r="Q793" i="7"/>
  <c r="P793" i="7"/>
  <c r="O793" i="7"/>
  <c r="U792" i="7"/>
  <c r="T792" i="7"/>
  <c r="S792" i="7"/>
  <c r="R792" i="7"/>
  <c r="Q792" i="7"/>
  <c r="P792" i="7"/>
  <c r="O792" i="7"/>
  <c r="U791" i="7"/>
  <c r="T791" i="7"/>
  <c r="S791" i="7"/>
  <c r="R791" i="7"/>
  <c r="Q791" i="7"/>
  <c r="P791" i="7"/>
  <c r="O791" i="7"/>
  <c r="U790" i="7"/>
  <c r="T790" i="7"/>
  <c r="S790" i="7"/>
  <c r="R790" i="7"/>
  <c r="Q790" i="7"/>
  <c r="P790" i="7"/>
  <c r="O790" i="7"/>
  <c r="U789" i="7"/>
  <c r="T789" i="7"/>
  <c r="S789" i="7"/>
  <c r="R789" i="7"/>
  <c r="Q789" i="7"/>
  <c r="P789" i="7"/>
  <c r="O789" i="7"/>
  <c r="U788" i="7"/>
  <c r="T788" i="7"/>
  <c r="S788" i="7"/>
  <c r="R788" i="7"/>
  <c r="Q788" i="7"/>
  <c r="P788" i="7"/>
  <c r="O788" i="7"/>
  <c r="U787" i="7"/>
  <c r="T787" i="7"/>
  <c r="S787" i="7"/>
  <c r="R787" i="7"/>
  <c r="Q787" i="7"/>
  <c r="P787" i="7"/>
  <c r="O787" i="7"/>
  <c r="U786" i="7"/>
  <c r="T786" i="7"/>
  <c r="S786" i="7"/>
  <c r="R786" i="7"/>
  <c r="Q786" i="7"/>
  <c r="P786" i="7"/>
  <c r="O786" i="7"/>
  <c r="U785" i="7"/>
  <c r="T785" i="7"/>
  <c r="S785" i="7"/>
  <c r="R785" i="7"/>
  <c r="Q785" i="7"/>
  <c r="P785" i="7"/>
  <c r="O785" i="7"/>
  <c r="U784" i="7"/>
  <c r="T784" i="7"/>
  <c r="S784" i="7"/>
  <c r="R784" i="7"/>
  <c r="Q784" i="7"/>
  <c r="P784" i="7"/>
  <c r="O784" i="7"/>
  <c r="U783" i="7"/>
  <c r="T783" i="7"/>
  <c r="S783" i="7"/>
  <c r="R783" i="7"/>
  <c r="Q783" i="7"/>
  <c r="P783" i="7"/>
  <c r="O783" i="7"/>
  <c r="U782" i="7"/>
  <c r="T782" i="7"/>
  <c r="S782" i="7"/>
  <c r="R782" i="7"/>
  <c r="Q782" i="7"/>
  <c r="P782" i="7"/>
  <c r="O782" i="7"/>
  <c r="U781" i="7"/>
  <c r="T781" i="7"/>
  <c r="S781" i="7"/>
  <c r="R781" i="7"/>
  <c r="Q781" i="7"/>
  <c r="P781" i="7"/>
  <c r="O781" i="7"/>
  <c r="U780" i="7"/>
  <c r="T780" i="7"/>
  <c r="S780" i="7"/>
  <c r="R780" i="7"/>
  <c r="Q780" i="7"/>
  <c r="P780" i="7"/>
  <c r="O780" i="7"/>
  <c r="U779" i="7"/>
  <c r="T779" i="7"/>
  <c r="S779" i="7"/>
  <c r="R779" i="7"/>
  <c r="Q779" i="7"/>
  <c r="P779" i="7"/>
  <c r="O779" i="7"/>
  <c r="U778" i="7"/>
  <c r="T778" i="7"/>
  <c r="S778" i="7"/>
  <c r="R778" i="7"/>
  <c r="Q778" i="7"/>
  <c r="P778" i="7"/>
  <c r="O778" i="7"/>
  <c r="U777" i="7"/>
  <c r="T777" i="7"/>
  <c r="S777" i="7"/>
  <c r="R777" i="7"/>
  <c r="Q777" i="7"/>
  <c r="P777" i="7"/>
  <c r="O777" i="7"/>
  <c r="U776" i="7"/>
  <c r="T776" i="7"/>
  <c r="S776" i="7"/>
  <c r="R776" i="7"/>
  <c r="Q776" i="7"/>
  <c r="P776" i="7"/>
  <c r="O776" i="7"/>
  <c r="U775" i="7"/>
  <c r="T775" i="7"/>
  <c r="S775" i="7"/>
  <c r="R775" i="7"/>
  <c r="Q775" i="7"/>
  <c r="P775" i="7"/>
  <c r="O775" i="7"/>
  <c r="U774" i="7"/>
  <c r="T774" i="7"/>
  <c r="S774" i="7"/>
  <c r="R774" i="7"/>
  <c r="Q774" i="7"/>
  <c r="P774" i="7"/>
  <c r="O774" i="7"/>
  <c r="U773" i="7"/>
  <c r="T773" i="7"/>
  <c r="S773" i="7"/>
  <c r="R773" i="7"/>
  <c r="Q773" i="7"/>
  <c r="P773" i="7"/>
  <c r="O773" i="7"/>
  <c r="U772" i="7"/>
  <c r="T772" i="7"/>
  <c r="S772" i="7"/>
  <c r="R772" i="7"/>
  <c r="Q772" i="7"/>
  <c r="P772" i="7"/>
  <c r="O772" i="7"/>
  <c r="U771" i="7"/>
  <c r="T771" i="7"/>
  <c r="S771" i="7"/>
  <c r="R771" i="7"/>
  <c r="Q771" i="7"/>
  <c r="P771" i="7"/>
  <c r="O771" i="7"/>
  <c r="U770" i="7"/>
  <c r="T770" i="7"/>
  <c r="S770" i="7"/>
  <c r="R770" i="7"/>
  <c r="Q770" i="7"/>
  <c r="P770" i="7"/>
  <c r="O770" i="7"/>
  <c r="U769" i="7"/>
  <c r="T769" i="7"/>
  <c r="S769" i="7"/>
  <c r="R769" i="7"/>
  <c r="Q769" i="7"/>
  <c r="P769" i="7"/>
  <c r="O769" i="7"/>
  <c r="U768" i="7"/>
  <c r="T768" i="7"/>
  <c r="S768" i="7"/>
  <c r="R768" i="7"/>
  <c r="Q768" i="7"/>
  <c r="P768" i="7"/>
  <c r="O768" i="7"/>
  <c r="U767" i="7"/>
  <c r="T767" i="7"/>
  <c r="S767" i="7"/>
  <c r="R767" i="7"/>
  <c r="Q767" i="7"/>
  <c r="P767" i="7"/>
  <c r="O767" i="7"/>
  <c r="U766" i="7"/>
  <c r="T766" i="7"/>
  <c r="S766" i="7"/>
  <c r="R766" i="7"/>
  <c r="Q766" i="7"/>
  <c r="P766" i="7"/>
  <c r="O766" i="7"/>
  <c r="U765" i="7"/>
  <c r="T765" i="7"/>
  <c r="S765" i="7"/>
  <c r="R765" i="7"/>
  <c r="Q765" i="7"/>
  <c r="P765" i="7"/>
  <c r="O765" i="7"/>
  <c r="U764" i="7"/>
  <c r="T764" i="7"/>
  <c r="S764" i="7"/>
  <c r="R764" i="7"/>
  <c r="Q764" i="7"/>
  <c r="P764" i="7"/>
  <c r="O764" i="7"/>
  <c r="U763" i="7"/>
  <c r="T763" i="7"/>
  <c r="S763" i="7"/>
  <c r="R763" i="7"/>
  <c r="Q763" i="7"/>
  <c r="P763" i="7"/>
  <c r="O763" i="7"/>
  <c r="U762" i="7"/>
  <c r="T762" i="7"/>
  <c r="S762" i="7"/>
  <c r="R762" i="7"/>
  <c r="Q762" i="7"/>
  <c r="P762" i="7"/>
  <c r="O762" i="7"/>
  <c r="U761" i="7"/>
  <c r="T761" i="7"/>
  <c r="S761" i="7"/>
  <c r="R761" i="7"/>
  <c r="Q761" i="7"/>
  <c r="P761" i="7"/>
  <c r="O761" i="7"/>
  <c r="U760" i="7"/>
  <c r="T760" i="7"/>
  <c r="S760" i="7"/>
  <c r="R760" i="7"/>
  <c r="Q760" i="7"/>
  <c r="P760" i="7"/>
  <c r="O760" i="7"/>
  <c r="U759" i="7"/>
  <c r="T759" i="7"/>
  <c r="S759" i="7"/>
  <c r="R759" i="7"/>
  <c r="Q759" i="7"/>
  <c r="P759" i="7"/>
  <c r="O759" i="7"/>
  <c r="U758" i="7"/>
  <c r="T758" i="7"/>
  <c r="S758" i="7"/>
  <c r="R758" i="7"/>
  <c r="Q758" i="7"/>
  <c r="P758" i="7"/>
  <c r="O758" i="7"/>
  <c r="U757" i="7"/>
  <c r="T757" i="7"/>
  <c r="S757" i="7"/>
  <c r="R757" i="7"/>
  <c r="Q757" i="7"/>
  <c r="P757" i="7"/>
  <c r="O757" i="7"/>
  <c r="U756" i="7"/>
  <c r="T756" i="7"/>
  <c r="S756" i="7"/>
  <c r="R756" i="7"/>
  <c r="Q756" i="7"/>
  <c r="P756" i="7"/>
  <c r="O756" i="7"/>
  <c r="U755" i="7"/>
  <c r="T755" i="7"/>
  <c r="S755" i="7"/>
  <c r="R755" i="7"/>
  <c r="Q755" i="7"/>
  <c r="P755" i="7"/>
  <c r="O755" i="7"/>
  <c r="U754" i="7"/>
  <c r="T754" i="7"/>
  <c r="S754" i="7"/>
  <c r="R754" i="7"/>
  <c r="Q754" i="7"/>
  <c r="P754" i="7"/>
  <c r="O754" i="7"/>
  <c r="U753" i="7"/>
  <c r="T753" i="7"/>
  <c r="S753" i="7"/>
  <c r="R753" i="7"/>
  <c r="Q753" i="7"/>
  <c r="P753" i="7"/>
  <c r="O753" i="7"/>
  <c r="U752" i="7"/>
  <c r="T752" i="7"/>
  <c r="S752" i="7"/>
  <c r="R752" i="7"/>
  <c r="Q752" i="7"/>
  <c r="P752" i="7"/>
  <c r="O752" i="7"/>
  <c r="U751" i="7"/>
  <c r="T751" i="7"/>
  <c r="S751" i="7"/>
  <c r="R751" i="7"/>
  <c r="Q751" i="7"/>
  <c r="P751" i="7"/>
  <c r="O751" i="7"/>
  <c r="U750" i="7"/>
  <c r="T750" i="7"/>
  <c r="S750" i="7"/>
  <c r="R750" i="7"/>
  <c r="Q750" i="7"/>
  <c r="P750" i="7"/>
  <c r="O750" i="7"/>
  <c r="U749" i="7"/>
  <c r="T749" i="7"/>
  <c r="S749" i="7"/>
  <c r="R749" i="7"/>
  <c r="Q749" i="7"/>
  <c r="P749" i="7"/>
  <c r="O749" i="7"/>
  <c r="U748" i="7"/>
  <c r="T748" i="7"/>
  <c r="S748" i="7"/>
  <c r="R748" i="7"/>
  <c r="Q748" i="7"/>
  <c r="P748" i="7"/>
  <c r="O748" i="7"/>
  <c r="U747" i="7"/>
  <c r="T747" i="7"/>
  <c r="S747" i="7"/>
  <c r="R747" i="7"/>
  <c r="Q747" i="7"/>
  <c r="P747" i="7"/>
  <c r="O747" i="7"/>
  <c r="U746" i="7"/>
  <c r="T746" i="7"/>
  <c r="S746" i="7"/>
  <c r="R746" i="7"/>
  <c r="Q746" i="7"/>
  <c r="P746" i="7"/>
  <c r="O746" i="7"/>
  <c r="U745" i="7"/>
  <c r="T745" i="7"/>
  <c r="S745" i="7"/>
  <c r="R745" i="7"/>
  <c r="Q745" i="7"/>
  <c r="P745" i="7"/>
  <c r="O745" i="7"/>
  <c r="U744" i="7"/>
  <c r="T744" i="7"/>
  <c r="S744" i="7"/>
  <c r="R744" i="7"/>
  <c r="Q744" i="7"/>
  <c r="P744" i="7"/>
  <c r="O744" i="7"/>
  <c r="U743" i="7"/>
  <c r="T743" i="7"/>
  <c r="S743" i="7"/>
  <c r="R743" i="7"/>
  <c r="Q743" i="7"/>
  <c r="P743" i="7"/>
  <c r="O743" i="7"/>
  <c r="U742" i="7"/>
  <c r="T742" i="7"/>
  <c r="S742" i="7"/>
  <c r="R742" i="7"/>
  <c r="Q742" i="7"/>
  <c r="P742" i="7"/>
  <c r="O742" i="7"/>
  <c r="U741" i="7"/>
  <c r="T741" i="7"/>
  <c r="S741" i="7"/>
  <c r="R741" i="7"/>
  <c r="Q741" i="7"/>
  <c r="P741" i="7"/>
  <c r="O741" i="7"/>
  <c r="U740" i="7"/>
  <c r="T740" i="7"/>
  <c r="S740" i="7"/>
  <c r="R740" i="7"/>
  <c r="Q740" i="7"/>
  <c r="P740" i="7"/>
  <c r="O740" i="7"/>
  <c r="U739" i="7"/>
  <c r="T739" i="7"/>
  <c r="S739" i="7"/>
  <c r="R739" i="7"/>
  <c r="Q739" i="7"/>
  <c r="P739" i="7"/>
  <c r="O739" i="7"/>
  <c r="U738" i="7"/>
  <c r="T738" i="7"/>
  <c r="S738" i="7"/>
  <c r="R738" i="7"/>
  <c r="Q738" i="7"/>
  <c r="P738" i="7"/>
  <c r="O738" i="7"/>
  <c r="U737" i="7"/>
  <c r="T737" i="7"/>
  <c r="S737" i="7"/>
  <c r="R737" i="7"/>
  <c r="Q737" i="7"/>
  <c r="P737" i="7"/>
  <c r="O737" i="7"/>
  <c r="U736" i="7"/>
  <c r="T736" i="7"/>
  <c r="S736" i="7"/>
  <c r="R736" i="7"/>
  <c r="Q736" i="7"/>
  <c r="P736" i="7"/>
  <c r="O736" i="7"/>
  <c r="U735" i="7"/>
  <c r="T735" i="7"/>
  <c r="S735" i="7"/>
  <c r="R735" i="7"/>
  <c r="Q735" i="7"/>
  <c r="P735" i="7"/>
  <c r="O735" i="7"/>
  <c r="U734" i="7"/>
  <c r="T734" i="7"/>
  <c r="S734" i="7"/>
  <c r="R734" i="7"/>
  <c r="Q734" i="7"/>
  <c r="P734" i="7"/>
  <c r="O734" i="7"/>
  <c r="U733" i="7"/>
  <c r="T733" i="7"/>
  <c r="S733" i="7"/>
  <c r="R733" i="7"/>
  <c r="Q733" i="7"/>
  <c r="P733" i="7"/>
  <c r="O733" i="7"/>
  <c r="U732" i="7"/>
  <c r="T732" i="7"/>
  <c r="S732" i="7"/>
  <c r="R732" i="7"/>
  <c r="Q732" i="7"/>
  <c r="P732" i="7"/>
  <c r="O732" i="7"/>
  <c r="U731" i="7"/>
  <c r="T731" i="7"/>
  <c r="S731" i="7"/>
  <c r="R731" i="7"/>
  <c r="Q731" i="7"/>
  <c r="P731" i="7"/>
  <c r="O731" i="7"/>
  <c r="U730" i="7"/>
  <c r="T730" i="7"/>
  <c r="S730" i="7"/>
  <c r="R730" i="7"/>
  <c r="Q730" i="7"/>
  <c r="P730" i="7"/>
  <c r="O730" i="7"/>
  <c r="U729" i="7"/>
  <c r="T729" i="7"/>
  <c r="S729" i="7"/>
  <c r="R729" i="7"/>
  <c r="Q729" i="7"/>
  <c r="P729" i="7"/>
  <c r="O729" i="7"/>
  <c r="U728" i="7"/>
  <c r="T728" i="7"/>
  <c r="S728" i="7"/>
  <c r="R728" i="7"/>
  <c r="Q728" i="7"/>
  <c r="P728" i="7"/>
  <c r="O728" i="7"/>
  <c r="U727" i="7"/>
  <c r="T727" i="7"/>
  <c r="S727" i="7"/>
  <c r="R727" i="7"/>
  <c r="Q727" i="7"/>
  <c r="P727" i="7"/>
  <c r="O727" i="7"/>
  <c r="U726" i="7"/>
  <c r="T726" i="7"/>
  <c r="S726" i="7"/>
  <c r="R726" i="7"/>
  <c r="Q726" i="7"/>
  <c r="P726" i="7"/>
  <c r="O726" i="7"/>
  <c r="U725" i="7"/>
  <c r="T725" i="7"/>
  <c r="S725" i="7"/>
  <c r="R725" i="7"/>
  <c r="Q725" i="7"/>
  <c r="P725" i="7"/>
  <c r="O725" i="7"/>
  <c r="U724" i="7"/>
  <c r="T724" i="7"/>
  <c r="S724" i="7"/>
  <c r="R724" i="7"/>
  <c r="Q724" i="7"/>
  <c r="P724" i="7"/>
  <c r="O724" i="7"/>
  <c r="U723" i="7"/>
  <c r="T723" i="7"/>
  <c r="S723" i="7"/>
  <c r="R723" i="7"/>
  <c r="Q723" i="7"/>
  <c r="P723" i="7"/>
  <c r="O723" i="7"/>
  <c r="U722" i="7"/>
  <c r="T722" i="7"/>
  <c r="S722" i="7"/>
  <c r="R722" i="7"/>
  <c r="Q722" i="7"/>
  <c r="P722" i="7"/>
  <c r="O722" i="7"/>
  <c r="U721" i="7"/>
  <c r="T721" i="7"/>
  <c r="S721" i="7"/>
  <c r="R721" i="7"/>
  <c r="Q721" i="7"/>
  <c r="P721" i="7"/>
  <c r="O721" i="7"/>
  <c r="U720" i="7"/>
  <c r="T720" i="7"/>
  <c r="S720" i="7"/>
  <c r="R720" i="7"/>
  <c r="Q720" i="7"/>
  <c r="P720" i="7"/>
  <c r="O720" i="7"/>
  <c r="U719" i="7"/>
  <c r="T719" i="7"/>
  <c r="S719" i="7"/>
  <c r="R719" i="7"/>
  <c r="Q719" i="7"/>
  <c r="P719" i="7"/>
  <c r="O719" i="7"/>
  <c r="U718" i="7"/>
  <c r="T718" i="7"/>
  <c r="S718" i="7"/>
  <c r="R718" i="7"/>
  <c r="Q718" i="7"/>
  <c r="P718" i="7"/>
  <c r="O718" i="7"/>
  <c r="U717" i="7"/>
  <c r="T717" i="7"/>
  <c r="S717" i="7"/>
  <c r="R717" i="7"/>
  <c r="Q717" i="7"/>
  <c r="P717" i="7"/>
  <c r="O717" i="7"/>
  <c r="U716" i="7"/>
  <c r="T716" i="7"/>
  <c r="S716" i="7"/>
  <c r="R716" i="7"/>
  <c r="Q716" i="7"/>
  <c r="P716" i="7"/>
  <c r="O716" i="7"/>
  <c r="U715" i="7"/>
  <c r="T715" i="7"/>
  <c r="S715" i="7"/>
  <c r="R715" i="7"/>
  <c r="Q715" i="7"/>
  <c r="P715" i="7"/>
  <c r="O715" i="7"/>
  <c r="U714" i="7"/>
  <c r="T714" i="7"/>
  <c r="S714" i="7"/>
  <c r="R714" i="7"/>
  <c r="Q714" i="7"/>
  <c r="P714" i="7"/>
  <c r="O714" i="7"/>
  <c r="U713" i="7"/>
  <c r="T713" i="7"/>
  <c r="S713" i="7"/>
  <c r="R713" i="7"/>
  <c r="Q713" i="7"/>
  <c r="P713" i="7"/>
  <c r="O713" i="7"/>
  <c r="U712" i="7"/>
  <c r="T712" i="7"/>
  <c r="S712" i="7"/>
  <c r="R712" i="7"/>
  <c r="Q712" i="7"/>
  <c r="P712" i="7"/>
  <c r="O712" i="7"/>
  <c r="U711" i="7"/>
  <c r="T711" i="7"/>
  <c r="S711" i="7"/>
  <c r="R711" i="7"/>
  <c r="Q711" i="7"/>
  <c r="P711" i="7"/>
  <c r="O711" i="7"/>
  <c r="U710" i="7"/>
  <c r="T710" i="7"/>
  <c r="S710" i="7"/>
  <c r="R710" i="7"/>
  <c r="Q710" i="7"/>
  <c r="P710" i="7"/>
  <c r="O710" i="7"/>
  <c r="U709" i="7"/>
  <c r="T709" i="7"/>
  <c r="S709" i="7"/>
  <c r="R709" i="7"/>
  <c r="Q709" i="7"/>
  <c r="P709" i="7"/>
  <c r="O709" i="7"/>
  <c r="U708" i="7"/>
  <c r="T708" i="7"/>
  <c r="S708" i="7"/>
  <c r="R708" i="7"/>
  <c r="Q708" i="7"/>
  <c r="P708" i="7"/>
  <c r="O708" i="7"/>
  <c r="U707" i="7"/>
  <c r="T707" i="7"/>
  <c r="S707" i="7"/>
  <c r="R707" i="7"/>
  <c r="Q707" i="7"/>
  <c r="P707" i="7"/>
  <c r="O707" i="7"/>
  <c r="U706" i="7"/>
  <c r="T706" i="7"/>
  <c r="S706" i="7"/>
  <c r="R706" i="7"/>
  <c r="Q706" i="7"/>
  <c r="P706" i="7"/>
  <c r="O706" i="7"/>
  <c r="U705" i="7"/>
  <c r="T705" i="7"/>
  <c r="S705" i="7"/>
  <c r="R705" i="7"/>
  <c r="Q705" i="7"/>
  <c r="P705" i="7"/>
  <c r="O705" i="7"/>
  <c r="U704" i="7"/>
  <c r="T704" i="7"/>
  <c r="S704" i="7"/>
  <c r="R704" i="7"/>
  <c r="Q704" i="7"/>
  <c r="P704" i="7"/>
  <c r="O704" i="7"/>
  <c r="U703" i="7"/>
  <c r="T703" i="7"/>
  <c r="S703" i="7"/>
  <c r="R703" i="7"/>
  <c r="Q703" i="7"/>
  <c r="P703" i="7"/>
  <c r="O703" i="7"/>
  <c r="U702" i="7"/>
  <c r="T702" i="7"/>
  <c r="S702" i="7"/>
  <c r="R702" i="7"/>
  <c r="Q702" i="7"/>
  <c r="P702" i="7"/>
  <c r="O702" i="7"/>
  <c r="U701" i="7"/>
  <c r="T701" i="7"/>
  <c r="S701" i="7"/>
  <c r="R701" i="7"/>
  <c r="Q701" i="7"/>
  <c r="P701" i="7"/>
  <c r="O701" i="7"/>
  <c r="U700" i="7"/>
  <c r="T700" i="7"/>
  <c r="S700" i="7"/>
  <c r="R700" i="7"/>
  <c r="Q700" i="7"/>
  <c r="P700" i="7"/>
  <c r="O700" i="7"/>
  <c r="U699" i="7"/>
  <c r="T699" i="7"/>
  <c r="S699" i="7"/>
  <c r="R699" i="7"/>
  <c r="Q699" i="7"/>
  <c r="P699" i="7"/>
  <c r="O699" i="7"/>
  <c r="U698" i="7"/>
  <c r="T698" i="7"/>
  <c r="S698" i="7"/>
  <c r="R698" i="7"/>
  <c r="Q698" i="7"/>
  <c r="P698" i="7"/>
  <c r="O698" i="7"/>
  <c r="U697" i="7"/>
  <c r="T697" i="7"/>
  <c r="S697" i="7"/>
  <c r="R697" i="7"/>
  <c r="Q697" i="7"/>
  <c r="P697" i="7"/>
  <c r="O697" i="7"/>
  <c r="U696" i="7"/>
  <c r="T696" i="7"/>
  <c r="S696" i="7"/>
  <c r="R696" i="7"/>
  <c r="Q696" i="7"/>
  <c r="P696" i="7"/>
  <c r="O696" i="7"/>
  <c r="U695" i="7"/>
  <c r="T695" i="7"/>
  <c r="S695" i="7"/>
  <c r="R695" i="7"/>
  <c r="Q695" i="7"/>
  <c r="P695" i="7"/>
  <c r="O695" i="7"/>
  <c r="U694" i="7"/>
  <c r="T694" i="7"/>
  <c r="S694" i="7"/>
  <c r="R694" i="7"/>
  <c r="Q694" i="7"/>
  <c r="P694" i="7"/>
  <c r="O694" i="7"/>
  <c r="U693" i="7"/>
  <c r="T693" i="7"/>
  <c r="S693" i="7"/>
  <c r="R693" i="7"/>
  <c r="Q693" i="7"/>
  <c r="P693" i="7"/>
  <c r="O693" i="7"/>
  <c r="U692" i="7"/>
  <c r="T692" i="7"/>
  <c r="S692" i="7"/>
  <c r="R692" i="7"/>
  <c r="Q692" i="7"/>
  <c r="P692" i="7"/>
  <c r="O692" i="7"/>
  <c r="U691" i="7"/>
  <c r="T691" i="7"/>
  <c r="S691" i="7"/>
  <c r="R691" i="7"/>
  <c r="Q691" i="7"/>
  <c r="P691" i="7"/>
  <c r="O691" i="7"/>
  <c r="U690" i="7"/>
  <c r="T690" i="7"/>
  <c r="S690" i="7"/>
  <c r="R690" i="7"/>
  <c r="Q690" i="7"/>
  <c r="P690" i="7"/>
  <c r="O690" i="7"/>
  <c r="U689" i="7"/>
  <c r="T689" i="7"/>
  <c r="S689" i="7"/>
  <c r="R689" i="7"/>
  <c r="Q689" i="7"/>
  <c r="P689" i="7"/>
  <c r="O689" i="7"/>
  <c r="U688" i="7"/>
  <c r="T688" i="7"/>
  <c r="S688" i="7"/>
  <c r="R688" i="7"/>
  <c r="Q688" i="7"/>
  <c r="P688" i="7"/>
  <c r="O688" i="7"/>
  <c r="U687" i="7"/>
  <c r="T687" i="7"/>
  <c r="S687" i="7"/>
  <c r="R687" i="7"/>
  <c r="Q687" i="7"/>
  <c r="P687" i="7"/>
  <c r="O687" i="7"/>
  <c r="U686" i="7"/>
  <c r="T686" i="7"/>
  <c r="S686" i="7"/>
  <c r="R686" i="7"/>
  <c r="Q686" i="7"/>
  <c r="P686" i="7"/>
  <c r="O686" i="7"/>
  <c r="U685" i="7"/>
  <c r="T685" i="7"/>
  <c r="S685" i="7"/>
  <c r="R685" i="7"/>
  <c r="Q685" i="7"/>
  <c r="P685" i="7"/>
  <c r="O685" i="7"/>
  <c r="U684" i="7"/>
  <c r="T684" i="7"/>
  <c r="S684" i="7"/>
  <c r="R684" i="7"/>
  <c r="Q684" i="7"/>
  <c r="P684" i="7"/>
  <c r="O684" i="7"/>
  <c r="U683" i="7"/>
  <c r="T683" i="7"/>
  <c r="S683" i="7"/>
  <c r="R683" i="7"/>
  <c r="Q683" i="7"/>
  <c r="P683" i="7"/>
  <c r="O683" i="7"/>
  <c r="U682" i="7"/>
  <c r="T682" i="7"/>
  <c r="S682" i="7"/>
  <c r="R682" i="7"/>
  <c r="Q682" i="7"/>
  <c r="P682" i="7"/>
  <c r="O682" i="7"/>
  <c r="U681" i="7"/>
  <c r="T681" i="7"/>
  <c r="S681" i="7"/>
  <c r="R681" i="7"/>
  <c r="Q681" i="7"/>
  <c r="P681" i="7"/>
  <c r="O681" i="7"/>
  <c r="U680" i="7"/>
  <c r="T680" i="7"/>
  <c r="S680" i="7"/>
  <c r="R680" i="7"/>
  <c r="Q680" i="7"/>
  <c r="P680" i="7"/>
  <c r="O680" i="7"/>
  <c r="U679" i="7"/>
  <c r="T679" i="7"/>
  <c r="S679" i="7"/>
  <c r="R679" i="7"/>
  <c r="Q679" i="7"/>
  <c r="P679" i="7"/>
  <c r="O679" i="7"/>
  <c r="U678" i="7"/>
  <c r="T678" i="7"/>
  <c r="S678" i="7"/>
  <c r="R678" i="7"/>
  <c r="Q678" i="7"/>
  <c r="P678" i="7"/>
  <c r="O678" i="7"/>
  <c r="U677" i="7"/>
  <c r="T677" i="7"/>
  <c r="S677" i="7"/>
  <c r="R677" i="7"/>
  <c r="Q677" i="7"/>
  <c r="P677" i="7"/>
  <c r="O677" i="7"/>
  <c r="U676" i="7"/>
  <c r="T676" i="7"/>
  <c r="S676" i="7"/>
  <c r="R676" i="7"/>
  <c r="Q676" i="7"/>
  <c r="P676" i="7"/>
  <c r="O676" i="7"/>
  <c r="U675" i="7"/>
  <c r="T675" i="7"/>
  <c r="S675" i="7"/>
  <c r="R675" i="7"/>
  <c r="Q675" i="7"/>
  <c r="P675" i="7"/>
  <c r="O675" i="7"/>
  <c r="U674" i="7"/>
  <c r="T674" i="7"/>
  <c r="S674" i="7"/>
  <c r="R674" i="7"/>
  <c r="Q674" i="7"/>
  <c r="P674" i="7"/>
  <c r="O674" i="7"/>
  <c r="U673" i="7"/>
  <c r="T673" i="7"/>
  <c r="S673" i="7"/>
  <c r="R673" i="7"/>
  <c r="Q673" i="7"/>
  <c r="P673" i="7"/>
  <c r="O673" i="7"/>
  <c r="U672" i="7"/>
  <c r="T672" i="7"/>
  <c r="S672" i="7"/>
  <c r="R672" i="7"/>
  <c r="Q672" i="7"/>
  <c r="P672" i="7"/>
  <c r="O672" i="7"/>
  <c r="U671" i="7"/>
  <c r="T671" i="7"/>
  <c r="S671" i="7"/>
  <c r="R671" i="7"/>
  <c r="Q671" i="7"/>
  <c r="P671" i="7"/>
  <c r="O671" i="7"/>
  <c r="U670" i="7"/>
  <c r="T670" i="7"/>
  <c r="S670" i="7"/>
  <c r="R670" i="7"/>
  <c r="Q670" i="7"/>
  <c r="P670" i="7"/>
  <c r="O670" i="7"/>
  <c r="U669" i="7"/>
  <c r="T669" i="7"/>
  <c r="S669" i="7"/>
  <c r="R669" i="7"/>
  <c r="Q669" i="7"/>
  <c r="P669" i="7"/>
  <c r="O669" i="7"/>
  <c r="U668" i="7"/>
  <c r="T668" i="7"/>
  <c r="S668" i="7"/>
  <c r="R668" i="7"/>
  <c r="Q668" i="7"/>
  <c r="P668" i="7"/>
  <c r="O668" i="7"/>
  <c r="U667" i="7"/>
  <c r="T667" i="7"/>
  <c r="S667" i="7"/>
  <c r="R667" i="7"/>
  <c r="Q667" i="7"/>
  <c r="P667" i="7"/>
  <c r="O667" i="7"/>
  <c r="U666" i="7"/>
  <c r="T666" i="7"/>
  <c r="S666" i="7"/>
  <c r="R666" i="7"/>
  <c r="Q666" i="7"/>
  <c r="P666" i="7"/>
  <c r="O666" i="7"/>
  <c r="U665" i="7"/>
  <c r="T665" i="7"/>
  <c r="S665" i="7"/>
  <c r="R665" i="7"/>
  <c r="Q665" i="7"/>
  <c r="P665" i="7"/>
  <c r="O665" i="7"/>
  <c r="U664" i="7"/>
  <c r="T664" i="7"/>
  <c r="S664" i="7"/>
  <c r="R664" i="7"/>
  <c r="Q664" i="7"/>
  <c r="P664" i="7"/>
  <c r="O664" i="7"/>
  <c r="U663" i="7"/>
  <c r="T663" i="7"/>
  <c r="S663" i="7"/>
  <c r="R663" i="7"/>
  <c r="Q663" i="7"/>
  <c r="P663" i="7"/>
  <c r="O663" i="7"/>
  <c r="U662" i="7"/>
  <c r="T662" i="7"/>
  <c r="S662" i="7"/>
  <c r="R662" i="7"/>
  <c r="Q662" i="7"/>
  <c r="P662" i="7"/>
  <c r="O662" i="7"/>
  <c r="U661" i="7"/>
  <c r="T661" i="7"/>
  <c r="S661" i="7"/>
  <c r="R661" i="7"/>
  <c r="Q661" i="7"/>
  <c r="P661" i="7"/>
  <c r="O661" i="7"/>
  <c r="U660" i="7"/>
  <c r="T660" i="7"/>
  <c r="S660" i="7"/>
  <c r="R660" i="7"/>
  <c r="Q660" i="7"/>
  <c r="P660" i="7"/>
  <c r="O660" i="7"/>
  <c r="U659" i="7"/>
  <c r="T659" i="7"/>
  <c r="S659" i="7"/>
  <c r="R659" i="7"/>
  <c r="Q659" i="7"/>
  <c r="P659" i="7"/>
  <c r="O659" i="7"/>
  <c r="U658" i="7"/>
  <c r="T658" i="7"/>
  <c r="S658" i="7"/>
  <c r="R658" i="7"/>
  <c r="Q658" i="7"/>
  <c r="P658" i="7"/>
  <c r="O658" i="7"/>
  <c r="U657" i="7"/>
  <c r="T657" i="7"/>
  <c r="S657" i="7"/>
  <c r="R657" i="7"/>
  <c r="Q657" i="7"/>
  <c r="P657" i="7"/>
  <c r="O657" i="7"/>
  <c r="U656" i="7"/>
  <c r="T656" i="7"/>
  <c r="S656" i="7"/>
  <c r="R656" i="7"/>
  <c r="Q656" i="7"/>
  <c r="P656" i="7"/>
  <c r="O656" i="7"/>
  <c r="U655" i="7"/>
  <c r="T655" i="7"/>
  <c r="S655" i="7"/>
  <c r="R655" i="7"/>
  <c r="Q655" i="7"/>
  <c r="P655" i="7"/>
  <c r="O655" i="7"/>
  <c r="U654" i="7"/>
  <c r="T654" i="7"/>
  <c r="S654" i="7"/>
  <c r="R654" i="7"/>
  <c r="Q654" i="7"/>
  <c r="P654" i="7"/>
  <c r="O654" i="7"/>
  <c r="U653" i="7"/>
  <c r="T653" i="7"/>
  <c r="S653" i="7"/>
  <c r="R653" i="7"/>
  <c r="Q653" i="7"/>
  <c r="P653" i="7"/>
  <c r="O653" i="7"/>
  <c r="U652" i="7"/>
  <c r="T652" i="7"/>
  <c r="S652" i="7"/>
  <c r="R652" i="7"/>
  <c r="Q652" i="7"/>
  <c r="P652" i="7"/>
  <c r="O652" i="7"/>
  <c r="U651" i="7"/>
  <c r="T651" i="7"/>
  <c r="S651" i="7"/>
  <c r="R651" i="7"/>
  <c r="Q651" i="7"/>
  <c r="P651" i="7"/>
  <c r="O651" i="7"/>
  <c r="U650" i="7"/>
  <c r="T650" i="7"/>
  <c r="S650" i="7"/>
  <c r="R650" i="7"/>
  <c r="Q650" i="7"/>
  <c r="P650" i="7"/>
  <c r="O650" i="7"/>
  <c r="U649" i="7"/>
  <c r="T649" i="7"/>
  <c r="S649" i="7"/>
  <c r="R649" i="7"/>
  <c r="Q649" i="7"/>
  <c r="P649" i="7"/>
  <c r="O649" i="7"/>
  <c r="U648" i="7"/>
  <c r="T648" i="7"/>
  <c r="S648" i="7"/>
  <c r="R648" i="7"/>
  <c r="Q648" i="7"/>
  <c r="P648" i="7"/>
  <c r="O648" i="7"/>
  <c r="U647" i="7"/>
  <c r="T647" i="7"/>
  <c r="S647" i="7"/>
  <c r="R647" i="7"/>
  <c r="Q647" i="7"/>
  <c r="P647" i="7"/>
  <c r="O647" i="7"/>
  <c r="U646" i="7"/>
  <c r="T646" i="7"/>
  <c r="S646" i="7"/>
  <c r="R646" i="7"/>
  <c r="Q646" i="7"/>
  <c r="P646" i="7"/>
  <c r="O646" i="7"/>
  <c r="U645" i="7"/>
  <c r="T645" i="7"/>
  <c r="S645" i="7"/>
  <c r="R645" i="7"/>
  <c r="Q645" i="7"/>
  <c r="P645" i="7"/>
  <c r="O645" i="7"/>
  <c r="U644" i="7"/>
  <c r="T644" i="7"/>
  <c r="S644" i="7"/>
  <c r="R644" i="7"/>
  <c r="Q644" i="7"/>
  <c r="P644" i="7"/>
  <c r="O644" i="7"/>
  <c r="U643" i="7"/>
  <c r="T643" i="7"/>
  <c r="S643" i="7"/>
  <c r="R643" i="7"/>
  <c r="Q643" i="7"/>
  <c r="P643" i="7"/>
  <c r="O643" i="7"/>
  <c r="U642" i="7"/>
  <c r="T642" i="7"/>
  <c r="S642" i="7"/>
  <c r="R642" i="7"/>
  <c r="Q642" i="7"/>
  <c r="P642" i="7"/>
  <c r="O642" i="7"/>
  <c r="U641" i="7"/>
  <c r="T641" i="7"/>
  <c r="S641" i="7"/>
  <c r="R641" i="7"/>
  <c r="Q641" i="7"/>
  <c r="P641" i="7"/>
  <c r="O641" i="7"/>
  <c r="U640" i="7"/>
  <c r="T640" i="7"/>
  <c r="S640" i="7"/>
  <c r="R640" i="7"/>
  <c r="Q640" i="7"/>
  <c r="P640" i="7"/>
  <c r="O640" i="7"/>
  <c r="U639" i="7"/>
  <c r="T639" i="7"/>
  <c r="S639" i="7"/>
  <c r="R639" i="7"/>
  <c r="Q639" i="7"/>
  <c r="P639" i="7"/>
  <c r="O639" i="7"/>
  <c r="U638" i="7"/>
  <c r="T638" i="7"/>
  <c r="S638" i="7"/>
  <c r="R638" i="7"/>
  <c r="Q638" i="7"/>
  <c r="P638" i="7"/>
  <c r="O638" i="7"/>
  <c r="U637" i="7"/>
  <c r="T637" i="7"/>
  <c r="S637" i="7"/>
  <c r="R637" i="7"/>
  <c r="Q637" i="7"/>
  <c r="P637" i="7"/>
  <c r="O637" i="7"/>
  <c r="U636" i="7"/>
  <c r="T636" i="7"/>
  <c r="S636" i="7"/>
  <c r="R636" i="7"/>
  <c r="Q636" i="7"/>
  <c r="P636" i="7"/>
  <c r="O636" i="7"/>
  <c r="U635" i="7"/>
  <c r="T635" i="7"/>
  <c r="S635" i="7"/>
  <c r="R635" i="7"/>
  <c r="Q635" i="7"/>
  <c r="P635" i="7"/>
  <c r="O635" i="7"/>
  <c r="U634" i="7"/>
  <c r="T634" i="7"/>
  <c r="S634" i="7"/>
  <c r="R634" i="7"/>
  <c r="Q634" i="7"/>
  <c r="P634" i="7"/>
  <c r="O634" i="7"/>
  <c r="U633" i="7"/>
  <c r="T633" i="7"/>
  <c r="S633" i="7"/>
  <c r="R633" i="7"/>
  <c r="Q633" i="7"/>
  <c r="P633" i="7"/>
  <c r="O633" i="7"/>
  <c r="U632" i="7"/>
  <c r="T632" i="7"/>
  <c r="S632" i="7"/>
  <c r="R632" i="7"/>
  <c r="Q632" i="7"/>
  <c r="P632" i="7"/>
  <c r="O632" i="7"/>
  <c r="U631" i="7"/>
  <c r="T631" i="7"/>
  <c r="S631" i="7"/>
  <c r="R631" i="7"/>
  <c r="Q631" i="7"/>
  <c r="P631" i="7"/>
  <c r="O631" i="7"/>
  <c r="U630" i="7"/>
  <c r="T630" i="7"/>
  <c r="S630" i="7"/>
  <c r="R630" i="7"/>
  <c r="Q630" i="7"/>
  <c r="P630" i="7"/>
  <c r="O630" i="7"/>
  <c r="U629" i="7"/>
  <c r="T629" i="7"/>
  <c r="S629" i="7"/>
  <c r="R629" i="7"/>
  <c r="Q629" i="7"/>
  <c r="P629" i="7"/>
  <c r="O629" i="7"/>
  <c r="U628" i="7"/>
  <c r="T628" i="7"/>
  <c r="S628" i="7"/>
  <c r="R628" i="7"/>
  <c r="Q628" i="7"/>
  <c r="P628" i="7"/>
  <c r="O628" i="7"/>
  <c r="U627" i="7"/>
  <c r="T627" i="7"/>
  <c r="S627" i="7"/>
  <c r="R627" i="7"/>
  <c r="Q627" i="7"/>
  <c r="P627" i="7"/>
  <c r="O627" i="7"/>
  <c r="U626" i="7"/>
  <c r="T626" i="7"/>
  <c r="S626" i="7"/>
  <c r="R626" i="7"/>
  <c r="Q626" i="7"/>
  <c r="P626" i="7"/>
  <c r="O626" i="7"/>
  <c r="U625" i="7"/>
  <c r="T625" i="7"/>
  <c r="S625" i="7"/>
  <c r="R625" i="7"/>
  <c r="Q625" i="7"/>
  <c r="P625" i="7"/>
  <c r="O625" i="7"/>
  <c r="U624" i="7"/>
  <c r="T624" i="7"/>
  <c r="S624" i="7"/>
  <c r="R624" i="7"/>
  <c r="Q624" i="7"/>
  <c r="P624" i="7"/>
  <c r="O624" i="7"/>
  <c r="U623" i="7"/>
  <c r="T623" i="7"/>
  <c r="S623" i="7"/>
  <c r="R623" i="7"/>
  <c r="Q623" i="7"/>
  <c r="P623" i="7"/>
  <c r="O623" i="7"/>
  <c r="U622" i="7"/>
  <c r="T622" i="7"/>
  <c r="S622" i="7"/>
  <c r="R622" i="7"/>
  <c r="Q622" i="7"/>
  <c r="P622" i="7"/>
  <c r="O622" i="7"/>
  <c r="U621" i="7"/>
  <c r="T621" i="7"/>
  <c r="S621" i="7"/>
  <c r="R621" i="7"/>
  <c r="Q621" i="7"/>
  <c r="P621" i="7"/>
  <c r="O621" i="7"/>
  <c r="U620" i="7"/>
  <c r="T620" i="7"/>
  <c r="S620" i="7"/>
  <c r="R620" i="7"/>
  <c r="Q620" i="7"/>
  <c r="P620" i="7"/>
  <c r="O620" i="7"/>
  <c r="U619" i="7"/>
  <c r="T619" i="7"/>
  <c r="S619" i="7"/>
  <c r="R619" i="7"/>
  <c r="Q619" i="7"/>
  <c r="P619" i="7"/>
  <c r="O619" i="7"/>
  <c r="U618" i="7"/>
  <c r="T618" i="7"/>
  <c r="S618" i="7"/>
  <c r="R618" i="7"/>
  <c r="Q618" i="7"/>
  <c r="P618" i="7"/>
  <c r="O618" i="7"/>
  <c r="U617" i="7"/>
  <c r="T617" i="7"/>
  <c r="S617" i="7"/>
  <c r="R617" i="7"/>
  <c r="Q617" i="7"/>
  <c r="P617" i="7"/>
  <c r="O617" i="7"/>
  <c r="U616" i="7"/>
  <c r="T616" i="7"/>
  <c r="S616" i="7"/>
  <c r="R616" i="7"/>
  <c r="Q616" i="7"/>
  <c r="P616" i="7"/>
  <c r="O616" i="7"/>
  <c r="U615" i="7"/>
  <c r="T615" i="7"/>
  <c r="S615" i="7"/>
  <c r="R615" i="7"/>
  <c r="Q615" i="7"/>
  <c r="P615" i="7"/>
  <c r="O615" i="7"/>
  <c r="U614" i="7"/>
  <c r="T614" i="7"/>
  <c r="S614" i="7"/>
  <c r="R614" i="7"/>
  <c r="Q614" i="7"/>
  <c r="P614" i="7"/>
  <c r="O614" i="7"/>
  <c r="U613" i="7"/>
  <c r="T613" i="7"/>
  <c r="S613" i="7"/>
  <c r="R613" i="7"/>
  <c r="Q613" i="7"/>
  <c r="P613" i="7"/>
  <c r="O613" i="7"/>
  <c r="U612" i="7"/>
  <c r="T612" i="7"/>
  <c r="S612" i="7"/>
  <c r="R612" i="7"/>
  <c r="Q612" i="7"/>
  <c r="P612" i="7"/>
  <c r="O612" i="7"/>
  <c r="U611" i="7"/>
  <c r="T611" i="7"/>
  <c r="S611" i="7"/>
  <c r="R611" i="7"/>
  <c r="Q611" i="7"/>
  <c r="P611" i="7"/>
  <c r="O611" i="7"/>
  <c r="U610" i="7"/>
  <c r="T610" i="7"/>
  <c r="S610" i="7"/>
  <c r="R610" i="7"/>
  <c r="Q610" i="7"/>
  <c r="P610" i="7"/>
  <c r="O610" i="7"/>
  <c r="U609" i="7"/>
  <c r="T609" i="7"/>
  <c r="S609" i="7"/>
  <c r="R609" i="7"/>
  <c r="Q609" i="7"/>
  <c r="P609" i="7"/>
  <c r="O609" i="7"/>
  <c r="U608" i="7"/>
  <c r="T608" i="7"/>
  <c r="S608" i="7"/>
  <c r="R608" i="7"/>
  <c r="Q608" i="7"/>
  <c r="P608" i="7"/>
  <c r="O608" i="7"/>
  <c r="U607" i="7"/>
  <c r="T607" i="7"/>
  <c r="S607" i="7"/>
  <c r="R607" i="7"/>
  <c r="Q607" i="7"/>
  <c r="P607" i="7"/>
  <c r="O607" i="7"/>
  <c r="U606" i="7"/>
  <c r="T606" i="7"/>
  <c r="S606" i="7"/>
  <c r="R606" i="7"/>
  <c r="Q606" i="7"/>
  <c r="P606" i="7"/>
  <c r="O606" i="7"/>
  <c r="U605" i="7"/>
  <c r="T605" i="7"/>
  <c r="S605" i="7"/>
  <c r="R605" i="7"/>
  <c r="Q605" i="7"/>
  <c r="P605" i="7"/>
  <c r="O605" i="7"/>
  <c r="U604" i="7"/>
  <c r="T604" i="7"/>
  <c r="S604" i="7"/>
  <c r="R604" i="7"/>
  <c r="Q604" i="7"/>
  <c r="P604" i="7"/>
  <c r="O604" i="7"/>
  <c r="U603" i="7"/>
  <c r="T603" i="7"/>
  <c r="S603" i="7"/>
  <c r="R603" i="7"/>
  <c r="Q603" i="7"/>
  <c r="P603" i="7"/>
  <c r="O603" i="7"/>
  <c r="U602" i="7"/>
  <c r="T602" i="7"/>
  <c r="S602" i="7"/>
  <c r="R602" i="7"/>
  <c r="Q602" i="7"/>
  <c r="P602" i="7"/>
  <c r="O602" i="7"/>
  <c r="U601" i="7"/>
  <c r="T601" i="7"/>
  <c r="S601" i="7"/>
  <c r="R601" i="7"/>
  <c r="Q601" i="7"/>
  <c r="P601" i="7"/>
  <c r="O601" i="7"/>
  <c r="U600" i="7"/>
  <c r="T600" i="7"/>
  <c r="S600" i="7"/>
  <c r="R600" i="7"/>
  <c r="Q600" i="7"/>
  <c r="P600" i="7"/>
  <c r="O600" i="7"/>
  <c r="U599" i="7"/>
  <c r="T599" i="7"/>
  <c r="S599" i="7"/>
  <c r="R599" i="7"/>
  <c r="Q599" i="7"/>
  <c r="P599" i="7"/>
  <c r="O599" i="7"/>
  <c r="U598" i="7"/>
  <c r="T598" i="7"/>
  <c r="S598" i="7"/>
  <c r="R598" i="7"/>
  <c r="Q598" i="7"/>
  <c r="P598" i="7"/>
  <c r="O598" i="7"/>
  <c r="U597" i="7"/>
  <c r="T597" i="7"/>
  <c r="S597" i="7"/>
  <c r="R597" i="7"/>
  <c r="Q597" i="7"/>
  <c r="P597" i="7"/>
  <c r="O597" i="7"/>
  <c r="U596" i="7"/>
  <c r="T596" i="7"/>
  <c r="S596" i="7"/>
  <c r="R596" i="7"/>
  <c r="Q596" i="7"/>
  <c r="P596" i="7"/>
  <c r="O596" i="7"/>
  <c r="U595" i="7"/>
  <c r="T595" i="7"/>
  <c r="S595" i="7"/>
  <c r="R595" i="7"/>
  <c r="Q595" i="7"/>
  <c r="P595" i="7"/>
  <c r="O595" i="7"/>
  <c r="U594" i="7"/>
  <c r="T594" i="7"/>
  <c r="S594" i="7"/>
  <c r="R594" i="7"/>
  <c r="Q594" i="7"/>
  <c r="P594" i="7"/>
  <c r="O594" i="7"/>
  <c r="U593" i="7"/>
  <c r="T593" i="7"/>
  <c r="S593" i="7"/>
  <c r="R593" i="7"/>
  <c r="Q593" i="7"/>
  <c r="P593" i="7"/>
  <c r="O593" i="7"/>
  <c r="U592" i="7"/>
  <c r="T592" i="7"/>
  <c r="S592" i="7"/>
  <c r="R592" i="7"/>
  <c r="Q592" i="7"/>
  <c r="P592" i="7"/>
  <c r="O592" i="7"/>
  <c r="U591" i="7"/>
  <c r="T591" i="7"/>
  <c r="S591" i="7"/>
  <c r="R591" i="7"/>
  <c r="Q591" i="7"/>
  <c r="P591" i="7"/>
  <c r="O591" i="7"/>
  <c r="U590" i="7"/>
  <c r="T590" i="7"/>
  <c r="S590" i="7"/>
  <c r="R590" i="7"/>
  <c r="Q590" i="7"/>
  <c r="P590" i="7"/>
  <c r="O590" i="7"/>
  <c r="U589" i="7"/>
  <c r="T589" i="7"/>
  <c r="S589" i="7"/>
  <c r="R589" i="7"/>
  <c r="Q589" i="7"/>
  <c r="P589" i="7"/>
  <c r="O589" i="7"/>
  <c r="U588" i="7"/>
  <c r="T588" i="7"/>
  <c r="S588" i="7"/>
  <c r="R588" i="7"/>
  <c r="Q588" i="7"/>
  <c r="P588" i="7"/>
  <c r="O588" i="7"/>
  <c r="U587" i="7"/>
  <c r="T587" i="7"/>
  <c r="S587" i="7"/>
  <c r="R587" i="7"/>
  <c r="Q587" i="7"/>
  <c r="P587" i="7"/>
  <c r="O587" i="7"/>
  <c r="U586" i="7"/>
  <c r="T586" i="7"/>
  <c r="S586" i="7"/>
  <c r="R586" i="7"/>
  <c r="Q586" i="7"/>
  <c r="P586" i="7"/>
  <c r="O586" i="7"/>
  <c r="U585" i="7"/>
  <c r="T585" i="7"/>
  <c r="S585" i="7"/>
  <c r="R585" i="7"/>
  <c r="Q585" i="7"/>
  <c r="P585" i="7"/>
  <c r="O585" i="7"/>
  <c r="U584" i="7"/>
  <c r="T584" i="7"/>
  <c r="S584" i="7"/>
  <c r="R584" i="7"/>
  <c r="Q584" i="7"/>
  <c r="P584" i="7"/>
  <c r="O584" i="7"/>
  <c r="U583" i="7"/>
  <c r="T583" i="7"/>
  <c r="S583" i="7"/>
  <c r="R583" i="7"/>
  <c r="Q583" i="7"/>
  <c r="P583" i="7"/>
  <c r="O583" i="7"/>
  <c r="U582" i="7"/>
  <c r="T582" i="7"/>
  <c r="S582" i="7"/>
  <c r="R582" i="7"/>
  <c r="Q582" i="7"/>
  <c r="P582" i="7"/>
  <c r="O582" i="7"/>
  <c r="U581" i="7"/>
  <c r="T581" i="7"/>
  <c r="S581" i="7"/>
  <c r="R581" i="7"/>
  <c r="Q581" i="7"/>
  <c r="P581" i="7"/>
  <c r="O581" i="7"/>
  <c r="U580" i="7"/>
  <c r="T580" i="7"/>
  <c r="S580" i="7"/>
  <c r="R580" i="7"/>
  <c r="Q580" i="7"/>
  <c r="P580" i="7"/>
  <c r="O580" i="7"/>
  <c r="U579" i="7"/>
  <c r="T579" i="7"/>
  <c r="S579" i="7"/>
  <c r="R579" i="7"/>
  <c r="Q579" i="7"/>
  <c r="P579" i="7"/>
  <c r="O579" i="7"/>
  <c r="U578" i="7"/>
  <c r="T578" i="7"/>
  <c r="S578" i="7"/>
  <c r="R578" i="7"/>
  <c r="Q578" i="7"/>
  <c r="P578" i="7"/>
  <c r="O578" i="7"/>
  <c r="U577" i="7"/>
  <c r="T577" i="7"/>
  <c r="S577" i="7"/>
  <c r="R577" i="7"/>
  <c r="Q577" i="7"/>
  <c r="P577" i="7"/>
  <c r="O577" i="7"/>
  <c r="U576" i="7"/>
  <c r="T576" i="7"/>
  <c r="S576" i="7"/>
  <c r="R576" i="7"/>
  <c r="Q576" i="7"/>
  <c r="P576" i="7"/>
  <c r="O576" i="7"/>
  <c r="U575" i="7"/>
  <c r="T575" i="7"/>
  <c r="S575" i="7"/>
  <c r="R575" i="7"/>
  <c r="Q575" i="7"/>
  <c r="P575" i="7"/>
  <c r="O575" i="7"/>
  <c r="U574" i="7"/>
  <c r="T574" i="7"/>
  <c r="S574" i="7"/>
  <c r="R574" i="7"/>
  <c r="Q574" i="7"/>
  <c r="P574" i="7"/>
  <c r="O574" i="7"/>
  <c r="U573" i="7"/>
  <c r="T573" i="7"/>
  <c r="S573" i="7"/>
  <c r="R573" i="7"/>
  <c r="Q573" i="7"/>
  <c r="P573" i="7"/>
  <c r="O573" i="7"/>
  <c r="U572" i="7"/>
  <c r="T572" i="7"/>
  <c r="S572" i="7"/>
  <c r="R572" i="7"/>
  <c r="Q572" i="7"/>
  <c r="P572" i="7"/>
  <c r="O572" i="7"/>
  <c r="U571" i="7"/>
  <c r="T571" i="7"/>
  <c r="S571" i="7"/>
  <c r="R571" i="7"/>
  <c r="Q571" i="7"/>
  <c r="P571" i="7"/>
  <c r="O571" i="7"/>
  <c r="U570" i="7"/>
  <c r="T570" i="7"/>
  <c r="S570" i="7"/>
  <c r="R570" i="7"/>
  <c r="Q570" i="7"/>
  <c r="P570" i="7"/>
  <c r="O570" i="7"/>
  <c r="U569" i="7"/>
  <c r="T569" i="7"/>
  <c r="S569" i="7"/>
  <c r="R569" i="7"/>
  <c r="Q569" i="7"/>
  <c r="P569" i="7"/>
  <c r="O569" i="7"/>
  <c r="U568" i="7"/>
  <c r="T568" i="7"/>
  <c r="S568" i="7"/>
  <c r="R568" i="7"/>
  <c r="Q568" i="7"/>
  <c r="P568" i="7"/>
  <c r="O568" i="7"/>
  <c r="U567" i="7"/>
  <c r="T567" i="7"/>
  <c r="S567" i="7"/>
  <c r="R567" i="7"/>
  <c r="Q567" i="7"/>
  <c r="P567" i="7"/>
  <c r="O567" i="7"/>
  <c r="U566" i="7"/>
  <c r="T566" i="7"/>
  <c r="S566" i="7"/>
  <c r="R566" i="7"/>
  <c r="Q566" i="7"/>
  <c r="P566" i="7"/>
  <c r="O566" i="7"/>
  <c r="U565" i="7"/>
  <c r="T565" i="7"/>
  <c r="S565" i="7"/>
  <c r="R565" i="7"/>
  <c r="Q565" i="7"/>
  <c r="P565" i="7"/>
  <c r="O565" i="7"/>
  <c r="U564" i="7"/>
  <c r="T564" i="7"/>
  <c r="S564" i="7"/>
  <c r="R564" i="7"/>
  <c r="Q564" i="7"/>
  <c r="P564" i="7"/>
  <c r="O564" i="7"/>
  <c r="U563" i="7"/>
  <c r="T563" i="7"/>
  <c r="S563" i="7"/>
  <c r="R563" i="7"/>
  <c r="Q563" i="7"/>
  <c r="P563" i="7"/>
  <c r="O563" i="7"/>
  <c r="U562" i="7"/>
  <c r="T562" i="7"/>
  <c r="S562" i="7"/>
  <c r="R562" i="7"/>
  <c r="Q562" i="7"/>
  <c r="P562" i="7"/>
  <c r="O562" i="7"/>
  <c r="U561" i="7"/>
  <c r="T561" i="7"/>
  <c r="S561" i="7"/>
  <c r="R561" i="7"/>
  <c r="Q561" i="7"/>
  <c r="P561" i="7"/>
  <c r="O561" i="7"/>
  <c r="U560" i="7"/>
  <c r="T560" i="7"/>
  <c r="S560" i="7"/>
  <c r="R560" i="7"/>
  <c r="Q560" i="7"/>
  <c r="P560" i="7"/>
  <c r="O560" i="7"/>
  <c r="U559" i="7"/>
  <c r="T559" i="7"/>
  <c r="S559" i="7"/>
  <c r="R559" i="7"/>
  <c r="Q559" i="7"/>
  <c r="P559" i="7"/>
  <c r="O559" i="7"/>
  <c r="U558" i="7"/>
  <c r="T558" i="7"/>
  <c r="S558" i="7"/>
  <c r="R558" i="7"/>
  <c r="Q558" i="7"/>
  <c r="P558" i="7"/>
  <c r="O558" i="7"/>
  <c r="U557" i="7"/>
  <c r="T557" i="7"/>
  <c r="S557" i="7"/>
  <c r="R557" i="7"/>
  <c r="Q557" i="7"/>
  <c r="P557" i="7"/>
  <c r="O557" i="7"/>
  <c r="U556" i="7"/>
  <c r="T556" i="7"/>
  <c r="S556" i="7"/>
  <c r="R556" i="7"/>
  <c r="Q556" i="7"/>
  <c r="P556" i="7"/>
  <c r="O556" i="7"/>
  <c r="U555" i="7"/>
  <c r="T555" i="7"/>
  <c r="S555" i="7"/>
  <c r="R555" i="7"/>
  <c r="Q555" i="7"/>
  <c r="P555" i="7"/>
  <c r="O555" i="7"/>
  <c r="U554" i="7"/>
  <c r="T554" i="7"/>
  <c r="S554" i="7"/>
  <c r="R554" i="7"/>
  <c r="Q554" i="7"/>
  <c r="P554" i="7"/>
  <c r="O554" i="7"/>
  <c r="U553" i="7"/>
  <c r="T553" i="7"/>
  <c r="S553" i="7"/>
  <c r="R553" i="7"/>
  <c r="Q553" i="7"/>
  <c r="P553" i="7"/>
  <c r="O553" i="7"/>
  <c r="U552" i="7"/>
  <c r="T552" i="7"/>
  <c r="S552" i="7"/>
  <c r="R552" i="7"/>
  <c r="Q552" i="7"/>
  <c r="P552" i="7"/>
  <c r="O552" i="7"/>
  <c r="U551" i="7"/>
  <c r="T551" i="7"/>
  <c r="S551" i="7"/>
  <c r="R551" i="7"/>
  <c r="Q551" i="7"/>
  <c r="P551" i="7"/>
  <c r="O551" i="7"/>
  <c r="U550" i="7"/>
  <c r="T550" i="7"/>
  <c r="S550" i="7"/>
  <c r="R550" i="7"/>
  <c r="Q550" i="7"/>
  <c r="P550" i="7"/>
  <c r="O550" i="7"/>
  <c r="U549" i="7"/>
  <c r="T549" i="7"/>
  <c r="S549" i="7"/>
  <c r="R549" i="7"/>
  <c r="Q549" i="7"/>
  <c r="P549" i="7"/>
  <c r="O549" i="7"/>
  <c r="U548" i="7"/>
  <c r="T548" i="7"/>
  <c r="S548" i="7"/>
  <c r="R548" i="7"/>
  <c r="Q548" i="7"/>
  <c r="P548" i="7"/>
  <c r="O548" i="7"/>
  <c r="U547" i="7"/>
  <c r="T547" i="7"/>
  <c r="S547" i="7"/>
  <c r="R547" i="7"/>
  <c r="Q547" i="7"/>
  <c r="P547" i="7"/>
  <c r="O547" i="7"/>
  <c r="U546" i="7"/>
  <c r="T546" i="7"/>
  <c r="S546" i="7"/>
  <c r="R546" i="7"/>
  <c r="Q546" i="7"/>
  <c r="P546" i="7"/>
  <c r="O546" i="7"/>
  <c r="U545" i="7"/>
  <c r="T545" i="7"/>
  <c r="S545" i="7"/>
  <c r="R545" i="7"/>
  <c r="Q545" i="7"/>
  <c r="P545" i="7"/>
  <c r="O545" i="7"/>
  <c r="U544" i="7"/>
  <c r="T544" i="7"/>
  <c r="S544" i="7"/>
  <c r="R544" i="7"/>
  <c r="Q544" i="7"/>
  <c r="P544" i="7"/>
  <c r="O544" i="7"/>
  <c r="U543" i="7"/>
  <c r="T543" i="7"/>
  <c r="S543" i="7"/>
  <c r="R543" i="7"/>
  <c r="Q543" i="7"/>
  <c r="P543" i="7"/>
  <c r="O543" i="7"/>
  <c r="U542" i="7"/>
  <c r="T542" i="7"/>
  <c r="S542" i="7"/>
  <c r="R542" i="7"/>
  <c r="Q542" i="7"/>
  <c r="P542" i="7"/>
  <c r="O542" i="7"/>
  <c r="U541" i="7"/>
  <c r="T541" i="7"/>
  <c r="S541" i="7"/>
  <c r="R541" i="7"/>
  <c r="Q541" i="7"/>
  <c r="P541" i="7"/>
  <c r="O541" i="7"/>
  <c r="U540" i="7"/>
  <c r="T540" i="7"/>
  <c r="S540" i="7"/>
  <c r="R540" i="7"/>
  <c r="Q540" i="7"/>
  <c r="P540" i="7"/>
  <c r="O540" i="7"/>
  <c r="U539" i="7"/>
  <c r="T539" i="7"/>
  <c r="S539" i="7"/>
  <c r="R539" i="7"/>
  <c r="Q539" i="7"/>
  <c r="P539" i="7"/>
  <c r="O539" i="7"/>
  <c r="U538" i="7"/>
  <c r="T538" i="7"/>
  <c r="S538" i="7"/>
  <c r="R538" i="7"/>
  <c r="Q538" i="7"/>
  <c r="P538" i="7"/>
  <c r="O538" i="7"/>
  <c r="U537" i="7"/>
  <c r="T537" i="7"/>
  <c r="S537" i="7"/>
  <c r="R537" i="7"/>
  <c r="Q537" i="7"/>
  <c r="P537" i="7"/>
  <c r="O537" i="7"/>
  <c r="U536" i="7"/>
  <c r="T536" i="7"/>
  <c r="S536" i="7"/>
  <c r="R536" i="7"/>
  <c r="Q536" i="7"/>
  <c r="P536" i="7"/>
  <c r="O536" i="7"/>
  <c r="U535" i="7"/>
  <c r="T535" i="7"/>
  <c r="S535" i="7"/>
  <c r="R535" i="7"/>
  <c r="Q535" i="7"/>
  <c r="P535" i="7"/>
  <c r="O535" i="7"/>
  <c r="U534" i="7"/>
  <c r="T534" i="7"/>
  <c r="S534" i="7"/>
  <c r="R534" i="7"/>
  <c r="Q534" i="7"/>
  <c r="P534" i="7"/>
  <c r="O534" i="7"/>
  <c r="U533" i="7"/>
  <c r="T533" i="7"/>
  <c r="S533" i="7"/>
  <c r="R533" i="7"/>
  <c r="Q533" i="7"/>
  <c r="P533" i="7"/>
  <c r="O533" i="7"/>
  <c r="U532" i="7"/>
  <c r="T532" i="7"/>
  <c r="S532" i="7"/>
  <c r="R532" i="7"/>
  <c r="Q532" i="7"/>
  <c r="P532" i="7"/>
  <c r="O532" i="7"/>
  <c r="U531" i="7"/>
  <c r="T531" i="7"/>
  <c r="S531" i="7"/>
  <c r="R531" i="7"/>
  <c r="Q531" i="7"/>
  <c r="P531" i="7"/>
  <c r="O531" i="7"/>
  <c r="U530" i="7"/>
  <c r="T530" i="7"/>
  <c r="S530" i="7"/>
  <c r="R530" i="7"/>
  <c r="Q530" i="7"/>
  <c r="P530" i="7"/>
  <c r="O530" i="7"/>
  <c r="U529" i="7"/>
  <c r="T529" i="7"/>
  <c r="S529" i="7"/>
  <c r="R529" i="7"/>
  <c r="Q529" i="7"/>
  <c r="P529" i="7"/>
  <c r="O529" i="7"/>
  <c r="U528" i="7"/>
  <c r="T528" i="7"/>
  <c r="S528" i="7"/>
  <c r="R528" i="7"/>
  <c r="Q528" i="7"/>
  <c r="P528" i="7"/>
  <c r="O528" i="7"/>
  <c r="U527" i="7"/>
  <c r="T527" i="7"/>
  <c r="S527" i="7"/>
  <c r="R527" i="7"/>
  <c r="Q527" i="7"/>
  <c r="P527" i="7"/>
  <c r="O527" i="7"/>
  <c r="U526" i="7"/>
  <c r="T526" i="7"/>
  <c r="S526" i="7"/>
  <c r="R526" i="7"/>
  <c r="Q526" i="7"/>
  <c r="P526" i="7"/>
  <c r="O526" i="7"/>
  <c r="U525" i="7"/>
  <c r="T525" i="7"/>
  <c r="S525" i="7"/>
  <c r="R525" i="7"/>
  <c r="Q525" i="7"/>
  <c r="P525" i="7"/>
  <c r="O525" i="7"/>
  <c r="U524" i="7"/>
  <c r="T524" i="7"/>
  <c r="S524" i="7"/>
  <c r="R524" i="7"/>
  <c r="Q524" i="7"/>
  <c r="P524" i="7"/>
  <c r="O524" i="7"/>
  <c r="U523" i="7"/>
  <c r="T523" i="7"/>
  <c r="S523" i="7"/>
  <c r="R523" i="7"/>
  <c r="Q523" i="7"/>
  <c r="P523" i="7"/>
  <c r="O523" i="7"/>
  <c r="U522" i="7"/>
  <c r="T522" i="7"/>
  <c r="S522" i="7"/>
  <c r="R522" i="7"/>
  <c r="Q522" i="7"/>
  <c r="P522" i="7"/>
  <c r="O522" i="7"/>
  <c r="U521" i="7"/>
  <c r="T521" i="7"/>
  <c r="S521" i="7"/>
  <c r="R521" i="7"/>
  <c r="Q521" i="7"/>
  <c r="P521" i="7"/>
  <c r="O521" i="7"/>
  <c r="U520" i="7"/>
  <c r="T520" i="7"/>
  <c r="S520" i="7"/>
  <c r="R520" i="7"/>
  <c r="Q520" i="7"/>
  <c r="P520" i="7"/>
  <c r="O520" i="7"/>
  <c r="U519" i="7"/>
  <c r="T519" i="7"/>
  <c r="S519" i="7"/>
  <c r="R519" i="7"/>
  <c r="Q519" i="7"/>
  <c r="P519" i="7"/>
  <c r="O519" i="7"/>
  <c r="U518" i="7"/>
  <c r="T518" i="7"/>
  <c r="S518" i="7"/>
  <c r="R518" i="7"/>
  <c r="Q518" i="7"/>
  <c r="P518" i="7"/>
  <c r="O518" i="7"/>
  <c r="U517" i="7"/>
  <c r="T517" i="7"/>
  <c r="S517" i="7"/>
  <c r="R517" i="7"/>
  <c r="Q517" i="7"/>
  <c r="P517" i="7"/>
  <c r="O517" i="7"/>
  <c r="U516" i="7"/>
  <c r="T516" i="7"/>
  <c r="S516" i="7"/>
  <c r="R516" i="7"/>
  <c r="Q516" i="7"/>
  <c r="P516" i="7"/>
  <c r="O516" i="7"/>
  <c r="U515" i="7"/>
  <c r="T515" i="7"/>
  <c r="S515" i="7"/>
  <c r="R515" i="7"/>
  <c r="Q515" i="7"/>
  <c r="P515" i="7"/>
  <c r="O515" i="7"/>
  <c r="U514" i="7"/>
  <c r="T514" i="7"/>
  <c r="S514" i="7"/>
  <c r="R514" i="7"/>
  <c r="Q514" i="7"/>
  <c r="P514" i="7"/>
  <c r="O514" i="7"/>
  <c r="U513" i="7"/>
  <c r="T513" i="7"/>
  <c r="S513" i="7"/>
  <c r="R513" i="7"/>
  <c r="Q513" i="7"/>
  <c r="P513" i="7"/>
  <c r="O513" i="7"/>
  <c r="U512" i="7"/>
  <c r="T512" i="7"/>
  <c r="S512" i="7"/>
  <c r="R512" i="7"/>
  <c r="Q512" i="7"/>
  <c r="P512" i="7"/>
  <c r="O512" i="7"/>
  <c r="U511" i="7"/>
  <c r="T511" i="7"/>
  <c r="S511" i="7"/>
  <c r="R511" i="7"/>
  <c r="Q511" i="7"/>
  <c r="P511" i="7"/>
  <c r="O511" i="7"/>
  <c r="U510" i="7"/>
  <c r="T510" i="7"/>
  <c r="S510" i="7"/>
  <c r="R510" i="7"/>
  <c r="Q510" i="7"/>
  <c r="P510" i="7"/>
  <c r="O510" i="7"/>
  <c r="U509" i="7"/>
  <c r="T509" i="7"/>
  <c r="S509" i="7"/>
  <c r="R509" i="7"/>
  <c r="Q509" i="7"/>
  <c r="P509" i="7"/>
  <c r="O509" i="7"/>
  <c r="U508" i="7"/>
  <c r="T508" i="7"/>
  <c r="S508" i="7"/>
  <c r="R508" i="7"/>
  <c r="Q508" i="7"/>
  <c r="P508" i="7"/>
  <c r="O508" i="7"/>
  <c r="U507" i="7"/>
  <c r="T507" i="7"/>
  <c r="S507" i="7"/>
  <c r="R507" i="7"/>
  <c r="Q507" i="7"/>
  <c r="P507" i="7"/>
  <c r="O507" i="7"/>
  <c r="U506" i="7"/>
  <c r="T506" i="7"/>
  <c r="S506" i="7"/>
  <c r="R506" i="7"/>
  <c r="Q506" i="7"/>
  <c r="P506" i="7"/>
  <c r="O506" i="7"/>
  <c r="U505" i="7"/>
  <c r="T505" i="7"/>
  <c r="S505" i="7"/>
  <c r="R505" i="7"/>
  <c r="Q505" i="7"/>
  <c r="P505" i="7"/>
  <c r="O505" i="7"/>
  <c r="U504" i="7"/>
  <c r="T504" i="7"/>
  <c r="S504" i="7"/>
  <c r="R504" i="7"/>
  <c r="Q504" i="7"/>
  <c r="P504" i="7"/>
  <c r="O504" i="7"/>
  <c r="U503" i="7"/>
  <c r="T503" i="7"/>
  <c r="S503" i="7"/>
  <c r="R503" i="7"/>
  <c r="Q503" i="7"/>
  <c r="P503" i="7"/>
  <c r="O503" i="7"/>
  <c r="U502" i="7"/>
  <c r="T502" i="7"/>
  <c r="S502" i="7"/>
  <c r="R502" i="7"/>
  <c r="Q502" i="7"/>
  <c r="P502" i="7"/>
  <c r="O502" i="7"/>
  <c r="U501" i="7"/>
  <c r="T501" i="7"/>
  <c r="S501" i="7"/>
  <c r="R501" i="7"/>
  <c r="Q501" i="7"/>
  <c r="P501" i="7"/>
  <c r="O501" i="7"/>
  <c r="U500" i="7"/>
  <c r="T500" i="7"/>
  <c r="S500" i="7"/>
  <c r="R500" i="7"/>
  <c r="Q500" i="7"/>
  <c r="P500" i="7"/>
  <c r="O500" i="7"/>
  <c r="U499" i="7"/>
  <c r="T499" i="7"/>
  <c r="S499" i="7"/>
  <c r="R499" i="7"/>
  <c r="Q499" i="7"/>
  <c r="P499" i="7"/>
  <c r="O499" i="7"/>
  <c r="U498" i="7"/>
  <c r="T498" i="7"/>
  <c r="S498" i="7"/>
  <c r="R498" i="7"/>
  <c r="Q498" i="7"/>
  <c r="P498" i="7"/>
  <c r="O498" i="7"/>
  <c r="U497" i="7"/>
  <c r="T497" i="7"/>
  <c r="S497" i="7"/>
  <c r="R497" i="7"/>
  <c r="Q497" i="7"/>
  <c r="P497" i="7"/>
  <c r="O497" i="7"/>
  <c r="U496" i="7"/>
  <c r="T496" i="7"/>
  <c r="S496" i="7"/>
  <c r="R496" i="7"/>
  <c r="Q496" i="7"/>
  <c r="P496" i="7"/>
  <c r="O496" i="7"/>
  <c r="U495" i="7"/>
  <c r="T495" i="7"/>
  <c r="S495" i="7"/>
  <c r="R495" i="7"/>
  <c r="Q495" i="7"/>
  <c r="P495" i="7"/>
  <c r="O495" i="7"/>
  <c r="U494" i="7"/>
  <c r="T494" i="7"/>
  <c r="S494" i="7"/>
  <c r="R494" i="7"/>
  <c r="Q494" i="7"/>
  <c r="P494" i="7"/>
  <c r="O494" i="7"/>
  <c r="U493" i="7"/>
  <c r="T493" i="7"/>
  <c r="S493" i="7"/>
  <c r="R493" i="7"/>
  <c r="Q493" i="7"/>
  <c r="P493" i="7"/>
  <c r="O493" i="7"/>
  <c r="U492" i="7"/>
  <c r="T492" i="7"/>
  <c r="S492" i="7"/>
  <c r="R492" i="7"/>
  <c r="Q492" i="7"/>
  <c r="P492" i="7"/>
  <c r="O492" i="7"/>
  <c r="U491" i="7"/>
  <c r="T491" i="7"/>
  <c r="S491" i="7"/>
  <c r="R491" i="7"/>
  <c r="Q491" i="7"/>
  <c r="P491" i="7"/>
  <c r="O491" i="7"/>
  <c r="U490" i="7"/>
  <c r="T490" i="7"/>
  <c r="S490" i="7"/>
  <c r="R490" i="7"/>
  <c r="Q490" i="7"/>
  <c r="P490" i="7"/>
  <c r="O490" i="7"/>
  <c r="U489" i="7"/>
  <c r="T489" i="7"/>
  <c r="S489" i="7"/>
  <c r="R489" i="7"/>
  <c r="Q489" i="7"/>
  <c r="P489" i="7"/>
  <c r="O489" i="7"/>
  <c r="U488" i="7"/>
  <c r="T488" i="7"/>
  <c r="S488" i="7"/>
  <c r="R488" i="7"/>
  <c r="Q488" i="7"/>
  <c r="P488" i="7"/>
  <c r="O488" i="7"/>
  <c r="U487" i="7"/>
  <c r="T487" i="7"/>
  <c r="S487" i="7"/>
  <c r="R487" i="7"/>
  <c r="Q487" i="7"/>
  <c r="P487" i="7"/>
  <c r="O487" i="7"/>
  <c r="U486" i="7"/>
  <c r="T486" i="7"/>
  <c r="S486" i="7"/>
  <c r="R486" i="7"/>
  <c r="Q486" i="7"/>
  <c r="P486" i="7"/>
  <c r="O486" i="7"/>
  <c r="U485" i="7"/>
  <c r="T485" i="7"/>
  <c r="S485" i="7"/>
  <c r="R485" i="7"/>
  <c r="Q485" i="7"/>
  <c r="P485" i="7"/>
  <c r="O485" i="7"/>
  <c r="U484" i="7"/>
  <c r="T484" i="7"/>
  <c r="S484" i="7"/>
  <c r="R484" i="7"/>
  <c r="Q484" i="7"/>
  <c r="P484" i="7"/>
  <c r="O484" i="7"/>
  <c r="U483" i="7"/>
  <c r="T483" i="7"/>
  <c r="S483" i="7"/>
  <c r="R483" i="7"/>
  <c r="Q483" i="7"/>
  <c r="P483" i="7"/>
  <c r="O483" i="7"/>
  <c r="U482" i="7"/>
  <c r="T482" i="7"/>
  <c r="S482" i="7"/>
  <c r="R482" i="7"/>
  <c r="Q482" i="7"/>
  <c r="P482" i="7"/>
  <c r="O482" i="7"/>
  <c r="U481" i="7"/>
  <c r="T481" i="7"/>
  <c r="S481" i="7"/>
  <c r="R481" i="7"/>
  <c r="Q481" i="7"/>
  <c r="P481" i="7"/>
  <c r="O481" i="7"/>
  <c r="U480" i="7"/>
  <c r="T480" i="7"/>
  <c r="S480" i="7"/>
  <c r="R480" i="7"/>
  <c r="Q480" i="7"/>
  <c r="P480" i="7"/>
  <c r="O480" i="7"/>
  <c r="U479" i="7"/>
  <c r="T479" i="7"/>
  <c r="S479" i="7"/>
  <c r="R479" i="7"/>
  <c r="Q479" i="7"/>
  <c r="P479" i="7"/>
  <c r="O479" i="7"/>
  <c r="U478" i="7"/>
  <c r="T478" i="7"/>
  <c r="S478" i="7"/>
  <c r="R478" i="7"/>
  <c r="Q478" i="7"/>
  <c r="P478" i="7"/>
  <c r="O478" i="7"/>
  <c r="U477" i="7"/>
  <c r="T477" i="7"/>
  <c r="S477" i="7"/>
  <c r="R477" i="7"/>
  <c r="Q477" i="7"/>
  <c r="P477" i="7"/>
  <c r="O477" i="7"/>
  <c r="U476" i="7"/>
  <c r="T476" i="7"/>
  <c r="S476" i="7"/>
  <c r="R476" i="7"/>
  <c r="Q476" i="7"/>
  <c r="P476" i="7"/>
  <c r="O476" i="7"/>
  <c r="U475" i="7"/>
  <c r="T475" i="7"/>
  <c r="S475" i="7"/>
  <c r="R475" i="7"/>
  <c r="Q475" i="7"/>
  <c r="P475" i="7"/>
  <c r="O475" i="7"/>
  <c r="U474" i="7"/>
  <c r="T474" i="7"/>
  <c r="S474" i="7"/>
  <c r="R474" i="7"/>
  <c r="Q474" i="7"/>
  <c r="P474" i="7"/>
  <c r="O474" i="7"/>
  <c r="U473" i="7"/>
  <c r="T473" i="7"/>
  <c r="S473" i="7"/>
  <c r="R473" i="7"/>
  <c r="Q473" i="7"/>
  <c r="P473" i="7"/>
  <c r="O473" i="7"/>
  <c r="U472" i="7"/>
  <c r="T472" i="7"/>
  <c r="S472" i="7"/>
  <c r="R472" i="7"/>
  <c r="Q472" i="7"/>
  <c r="P472" i="7"/>
  <c r="O472" i="7"/>
  <c r="U471" i="7"/>
  <c r="T471" i="7"/>
  <c r="S471" i="7"/>
  <c r="R471" i="7"/>
  <c r="Q471" i="7"/>
  <c r="P471" i="7"/>
  <c r="O471" i="7"/>
  <c r="U470" i="7"/>
  <c r="T470" i="7"/>
  <c r="S470" i="7"/>
  <c r="R470" i="7"/>
  <c r="Q470" i="7"/>
  <c r="P470" i="7"/>
  <c r="O470" i="7"/>
  <c r="U469" i="7"/>
  <c r="T469" i="7"/>
  <c r="S469" i="7"/>
  <c r="R469" i="7"/>
  <c r="Q469" i="7"/>
  <c r="P469" i="7"/>
  <c r="O469" i="7"/>
  <c r="U468" i="7"/>
  <c r="T468" i="7"/>
  <c r="S468" i="7"/>
  <c r="R468" i="7"/>
  <c r="Q468" i="7"/>
  <c r="P468" i="7"/>
  <c r="O468" i="7"/>
  <c r="U467" i="7"/>
  <c r="T467" i="7"/>
  <c r="S467" i="7"/>
  <c r="R467" i="7"/>
  <c r="Q467" i="7"/>
  <c r="P467" i="7"/>
  <c r="O467" i="7"/>
  <c r="U466" i="7"/>
  <c r="T466" i="7"/>
  <c r="S466" i="7"/>
  <c r="R466" i="7"/>
  <c r="Q466" i="7"/>
  <c r="P466" i="7"/>
  <c r="O466" i="7"/>
  <c r="U465" i="7"/>
  <c r="T465" i="7"/>
  <c r="S465" i="7"/>
  <c r="R465" i="7"/>
  <c r="Q465" i="7"/>
  <c r="P465" i="7"/>
  <c r="O465" i="7"/>
  <c r="U464" i="7"/>
  <c r="T464" i="7"/>
  <c r="S464" i="7"/>
  <c r="R464" i="7"/>
  <c r="Q464" i="7"/>
  <c r="P464" i="7"/>
  <c r="O464" i="7"/>
  <c r="U463" i="7"/>
  <c r="T463" i="7"/>
  <c r="S463" i="7"/>
  <c r="R463" i="7"/>
  <c r="Q463" i="7"/>
  <c r="P463" i="7"/>
  <c r="O463" i="7"/>
  <c r="U462" i="7"/>
  <c r="T462" i="7"/>
  <c r="S462" i="7"/>
  <c r="R462" i="7"/>
  <c r="Q462" i="7"/>
  <c r="P462" i="7"/>
  <c r="O462" i="7"/>
  <c r="U461" i="7"/>
  <c r="T461" i="7"/>
  <c r="S461" i="7"/>
  <c r="R461" i="7"/>
  <c r="Q461" i="7"/>
  <c r="P461" i="7"/>
  <c r="O461" i="7"/>
  <c r="U460" i="7"/>
  <c r="T460" i="7"/>
  <c r="S460" i="7"/>
  <c r="R460" i="7"/>
  <c r="Q460" i="7"/>
  <c r="P460" i="7"/>
  <c r="O460" i="7"/>
  <c r="U459" i="7"/>
  <c r="T459" i="7"/>
  <c r="S459" i="7"/>
  <c r="R459" i="7"/>
  <c r="Q459" i="7"/>
  <c r="P459" i="7"/>
  <c r="O459" i="7"/>
  <c r="U458" i="7"/>
  <c r="T458" i="7"/>
  <c r="S458" i="7"/>
  <c r="R458" i="7"/>
  <c r="Q458" i="7"/>
  <c r="P458" i="7"/>
  <c r="O458" i="7"/>
  <c r="U457" i="7"/>
  <c r="T457" i="7"/>
  <c r="S457" i="7"/>
  <c r="R457" i="7"/>
  <c r="Q457" i="7"/>
  <c r="P457" i="7"/>
  <c r="O457" i="7"/>
  <c r="U456" i="7"/>
  <c r="T456" i="7"/>
  <c r="S456" i="7"/>
  <c r="R456" i="7"/>
  <c r="Q456" i="7"/>
  <c r="P456" i="7"/>
  <c r="O456" i="7"/>
  <c r="U455" i="7"/>
  <c r="T455" i="7"/>
  <c r="S455" i="7"/>
  <c r="R455" i="7"/>
  <c r="Q455" i="7"/>
  <c r="P455" i="7"/>
  <c r="O455" i="7"/>
  <c r="U454" i="7"/>
  <c r="T454" i="7"/>
  <c r="S454" i="7"/>
  <c r="R454" i="7"/>
  <c r="Q454" i="7"/>
  <c r="P454" i="7"/>
  <c r="O454" i="7"/>
  <c r="U453" i="7"/>
  <c r="T453" i="7"/>
  <c r="S453" i="7"/>
  <c r="R453" i="7"/>
  <c r="Q453" i="7"/>
  <c r="P453" i="7"/>
  <c r="O453" i="7"/>
  <c r="U452" i="7"/>
  <c r="T452" i="7"/>
  <c r="S452" i="7"/>
  <c r="R452" i="7"/>
  <c r="Q452" i="7"/>
  <c r="P452" i="7"/>
  <c r="O452" i="7"/>
  <c r="U451" i="7"/>
  <c r="T451" i="7"/>
  <c r="S451" i="7"/>
  <c r="R451" i="7"/>
  <c r="Q451" i="7"/>
  <c r="P451" i="7"/>
  <c r="O451" i="7"/>
  <c r="U450" i="7"/>
  <c r="T450" i="7"/>
  <c r="S450" i="7"/>
  <c r="R450" i="7"/>
  <c r="Q450" i="7"/>
  <c r="P450" i="7"/>
  <c r="O450" i="7"/>
  <c r="U449" i="7"/>
  <c r="T449" i="7"/>
  <c r="S449" i="7"/>
  <c r="R449" i="7"/>
  <c r="Q449" i="7"/>
  <c r="P449" i="7"/>
  <c r="O449" i="7"/>
  <c r="U448" i="7"/>
  <c r="T448" i="7"/>
  <c r="S448" i="7"/>
  <c r="R448" i="7"/>
  <c r="Q448" i="7"/>
  <c r="P448" i="7"/>
  <c r="O448" i="7"/>
  <c r="U447" i="7"/>
  <c r="T447" i="7"/>
  <c r="S447" i="7"/>
  <c r="R447" i="7"/>
  <c r="Q447" i="7"/>
  <c r="P447" i="7"/>
  <c r="O447" i="7"/>
  <c r="U446" i="7"/>
  <c r="T446" i="7"/>
  <c r="S446" i="7"/>
  <c r="R446" i="7"/>
  <c r="Q446" i="7"/>
  <c r="P446" i="7"/>
  <c r="O446" i="7"/>
  <c r="U445" i="7"/>
  <c r="T445" i="7"/>
  <c r="S445" i="7"/>
  <c r="R445" i="7"/>
  <c r="Q445" i="7"/>
  <c r="P445" i="7"/>
  <c r="O445" i="7"/>
  <c r="U444" i="7"/>
  <c r="T444" i="7"/>
  <c r="S444" i="7"/>
  <c r="R444" i="7"/>
  <c r="Q444" i="7"/>
  <c r="P444" i="7"/>
  <c r="O444" i="7"/>
  <c r="U443" i="7"/>
  <c r="T443" i="7"/>
  <c r="S443" i="7"/>
  <c r="R443" i="7"/>
  <c r="Q443" i="7"/>
  <c r="P443" i="7"/>
  <c r="O443" i="7"/>
  <c r="U442" i="7"/>
  <c r="T442" i="7"/>
  <c r="S442" i="7"/>
  <c r="R442" i="7"/>
  <c r="Q442" i="7"/>
  <c r="P442" i="7"/>
  <c r="O442" i="7"/>
  <c r="U441" i="7"/>
  <c r="T441" i="7"/>
  <c r="S441" i="7"/>
  <c r="R441" i="7"/>
  <c r="Q441" i="7"/>
  <c r="P441" i="7"/>
  <c r="O441" i="7"/>
  <c r="U440" i="7"/>
  <c r="T440" i="7"/>
  <c r="S440" i="7"/>
  <c r="R440" i="7"/>
  <c r="Q440" i="7"/>
  <c r="P440" i="7"/>
  <c r="O440" i="7"/>
  <c r="U439" i="7"/>
  <c r="T439" i="7"/>
  <c r="S439" i="7"/>
  <c r="R439" i="7"/>
  <c r="Q439" i="7"/>
  <c r="P439" i="7"/>
  <c r="O439" i="7"/>
  <c r="U438" i="7"/>
  <c r="T438" i="7"/>
  <c r="S438" i="7"/>
  <c r="R438" i="7"/>
  <c r="Q438" i="7"/>
  <c r="P438" i="7"/>
  <c r="O438" i="7"/>
  <c r="U437" i="7"/>
  <c r="T437" i="7"/>
  <c r="S437" i="7"/>
  <c r="R437" i="7"/>
  <c r="Q437" i="7"/>
  <c r="P437" i="7"/>
  <c r="O437" i="7"/>
  <c r="U436" i="7"/>
  <c r="T436" i="7"/>
  <c r="S436" i="7"/>
  <c r="R436" i="7"/>
  <c r="Q436" i="7"/>
  <c r="P436" i="7"/>
  <c r="O436" i="7"/>
  <c r="U435" i="7"/>
  <c r="T435" i="7"/>
  <c r="S435" i="7"/>
  <c r="R435" i="7"/>
  <c r="Q435" i="7"/>
  <c r="P435" i="7"/>
  <c r="O435" i="7"/>
  <c r="U434" i="7"/>
  <c r="T434" i="7"/>
  <c r="S434" i="7"/>
  <c r="R434" i="7"/>
  <c r="Q434" i="7"/>
  <c r="P434" i="7"/>
  <c r="O434" i="7"/>
  <c r="U433" i="7"/>
  <c r="T433" i="7"/>
  <c r="S433" i="7"/>
  <c r="R433" i="7"/>
  <c r="Q433" i="7"/>
  <c r="P433" i="7"/>
  <c r="O433" i="7"/>
  <c r="U432" i="7"/>
  <c r="T432" i="7"/>
  <c r="S432" i="7"/>
  <c r="R432" i="7"/>
  <c r="Q432" i="7"/>
  <c r="P432" i="7"/>
  <c r="O432" i="7"/>
  <c r="U431" i="7"/>
  <c r="T431" i="7"/>
  <c r="S431" i="7"/>
  <c r="R431" i="7"/>
  <c r="Q431" i="7"/>
  <c r="P431" i="7"/>
  <c r="O431" i="7"/>
  <c r="U430" i="7"/>
  <c r="T430" i="7"/>
  <c r="S430" i="7"/>
  <c r="R430" i="7"/>
  <c r="Q430" i="7"/>
  <c r="P430" i="7"/>
  <c r="O430" i="7"/>
  <c r="U429" i="7"/>
  <c r="T429" i="7"/>
  <c r="S429" i="7"/>
  <c r="R429" i="7"/>
  <c r="Q429" i="7"/>
  <c r="P429" i="7"/>
  <c r="O429" i="7"/>
  <c r="U428" i="7"/>
  <c r="T428" i="7"/>
  <c r="S428" i="7"/>
  <c r="R428" i="7"/>
  <c r="Q428" i="7"/>
  <c r="P428" i="7"/>
  <c r="O428" i="7"/>
  <c r="U427" i="7"/>
  <c r="T427" i="7"/>
  <c r="S427" i="7"/>
  <c r="R427" i="7"/>
  <c r="Q427" i="7"/>
  <c r="P427" i="7"/>
  <c r="O427" i="7"/>
  <c r="U426" i="7"/>
  <c r="T426" i="7"/>
  <c r="S426" i="7"/>
  <c r="R426" i="7"/>
  <c r="Q426" i="7"/>
  <c r="P426" i="7"/>
  <c r="O426" i="7"/>
  <c r="U425" i="7"/>
  <c r="T425" i="7"/>
  <c r="S425" i="7"/>
  <c r="R425" i="7"/>
  <c r="Q425" i="7"/>
  <c r="P425" i="7"/>
  <c r="O425" i="7"/>
  <c r="U424" i="7"/>
  <c r="T424" i="7"/>
  <c r="S424" i="7"/>
  <c r="R424" i="7"/>
  <c r="Q424" i="7"/>
  <c r="P424" i="7"/>
  <c r="O424" i="7"/>
  <c r="U423" i="7"/>
  <c r="T423" i="7"/>
  <c r="S423" i="7"/>
  <c r="R423" i="7"/>
  <c r="Q423" i="7"/>
  <c r="P423" i="7"/>
  <c r="O423" i="7"/>
  <c r="U422" i="7"/>
  <c r="T422" i="7"/>
  <c r="S422" i="7"/>
  <c r="R422" i="7"/>
  <c r="Q422" i="7"/>
  <c r="P422" i="7"/>
  <c r="O422" i="7"/>
  <c r="U421" i="7"/>
  <c r="T421" i="7"/>
  <c r="S421" i="7"/>
  <c r="R421" i="7"/>
  <c r="Q421" i="7"/>
  <c r="P421" i="7"/>
  <c r="O421" i="7"/>
  <c r="U420" i="7"/>
  <c r="T420" i="7"/>
  <c r="S420" i="7"/>
  <c r="R420" i="7"/>
  <c r="Q420" i="7"/>
  <c r="P420" i="7"/>
  <c r="O420" i="7"/>
  <c r="U419" i="7"/>
  <c r="T419" i="7"/>
  <c r="S419" i="7"/>
  <c r="R419" i="7"/>
  <c r="Q419" i="7"/>
  <c r="P419" i="7"/>
  <c r="O419" i="7"/>
  <c r="U418" i="7"/>
  <c r="T418" i="7"/>
  <c r="S418" i="7"/>
  <c r="R418" i="7"/>
  <c r="Q418" i="7"/>
  <c r="P418" i="7"/>
  <c r="O418" i="7"/>
  <c r="U417" i="7"/>
  <c r="T417" i="7"/>
  <c r="S417" i="7"/>
  <c r="R417" i="7"/>
  <c r="Q417" i="7"/>
  <c r="P417" i="7"/>
  <c r="O417" i="7"/>
  <c r="U416" i="7"/>
  <c r="T416" i="7"/>
  <c r="S416" i="7"/>
  <c r="R416" i="7"/>
  <c r="Q416" i="7"/>
  <c r="P416" i="7"/>
  <c r="O416" i="7"/>
  <c r="U415" i="7"/>
  <c r="T415" i="7"/>
  <c r="S415" i="7"/>
  <c r="R415" i="7"/>
  <c r="Q415" i="7"/>
  <c r="P415" i="7"/>
  <c r="O415" i="7"/>
  <c r="U414" i="7"/>
  <c r="T414" i="7"/>
  <c r="S414" i="7"/>
  <c r="R414" i="7"/>
  <c r="Q414" i="7"/>
  <c r="P414" i="7"/>
  <c r="O414" i="7"/>
  <c r="U413" i="7"/>
  <c r="T413" i="7"/>
  <c r="S413" i="7"/>
  <c r="R413" i="7"/>
  <c r="Q413" i="7"/>
  <c r="P413" i="7"/>
  <c r="O413" i="7"/>
  <c r="U412" i="7"/>
  <c r="T412" i="7"/>
  <c r="S412" i="7"/>
  <c r="R412" i="7"/>
  <c r="Q412" i="7"/>
  <c r="P412" i="7"/>
  <c r="O412" i="7"/>
  <c r="U411" i="7"/>
  <c r="T411" i="7"/>
  <c r="S411" i="7"/>
  <c r="R411" i="7"/>
  <c r="Q411" i="7"/>
  <c r="P411" i="7"/>
  <c r="O411" i="7"/>
  <c r="U410" i="7"/>
  <c r="T410" i="7"/>
  <c r="S410" i="7"/>
  <c r="R410" i="7"/>
  <c r="Q410" i="7"/>
  <c r="P410" i="7"/>
  <c r="O410" i="7"/>
  <c r="U409" i="7"/>
  <c r="T409" i="7"/>
  <c r="S409" i="7"/>
  <c r="R409" i="7"/>
  <c r="Q409" i="7"/>
  <c r="P409" i="7"/>
  <c r="O409" i="7"/>
  <c r="U408" i="7"/>
  <c r="T408" i="7"/>
  <c r="S408" i="7"/>
  <c r="R408" i="7"/>
  <c r="Q408" i="7"/>
  <c r="P408" i="7"/>
  <c r="O408" i="7"/>
  <c r="U407" i="7"/>
  <c r="T407" i="7"/>
  <c r="S407" i="7"/>
  <c r="R407" i="7"/>
  <c r="Q407" i="7"/>
  <c r="P407" i="7"/>
  <c r="O407" i="7"/>
  <c r="U406" i="7"/>
  <c r="T406" i="7"/>
  <c r="S406" i="7"/>
  <c r="R406" i="7"/>
  <c r="Q406" i="7"/>
  <c r="P406" i="7"/>
  <c r="O406" i="7"/>
  <c r="U405" i="7"/>
  <c r="T405" i="7"/>
  <c r="S405" i="7"/>
  <c r="R405" i="7"/>
  <c r="Q405" i="7"/>
  <c r="P405" i="7"/>
  <c r="O405" i="7"/>
  <c r="U404" i="7"/>
  <c r="T404" i="7"/>
  <c r="S404" i="7"/>
  <c r="R404" i="7"/>
  <c r="Q404" i="7"/>
  <c r="P404" i="7"/>
  <c r="O404" i="7"/>
  <c r="U403" i="7"/>
  <c r="T403" i="7"/>
  <c r="S403" i="7"/>
  <c r="R403" i="7"/>
  <c r="Q403" i="7"/>
  <c r="P403" i="7"/>
  <c r="O403" i="7"/>
  <c r="U402" i="7"/>
  <c r="T402" i="7"/>
  <c r="S402" i="7"/>
  <c r="R402" i="7"/>
  <c r="Q402" i="7"/>
  <c r="P402" i="7"/>
  <c r="O402" i="7"/>
  <c r="U401" i="7"/>
  <c r="T401" i="7"/>
  <c r="S401" i="7"/>
  <c r="R401" i="7"/>
  <c r="Q401" i="7"/>
  <c r="P401" i="7"/>
  <c r="O401" i="7"/>
  <c r="U400" i="7"/>
  <c r="T400" i="7"/>
  <c r="S400" i="7"/>
  <c r="R400" i="7"/>
  <c r="Q400" i="7"/>
  <c r="P400" i="7"/>
  <c r="O400" i="7"/>
  <c r="U399" i="7"/>
  <c r="T399" i="7"/>
  <c r="S399" i="7"/>
  <c r="R399" i="7"/>
  <c r="Q399" i="7"/>
  <c r="P399" i="7"/>
  <c r="O399" i="7"/>
  <c r="U398" i="7"/>
  <c r="T398" i="7"/>
  <c r="S398" i="7"/>
  <c r="R398" i="7"/>
  <c r="Q398" i="7"/>
  <c r="P398" i="7"/>
  <c r="O398" i="7"/>
  <c r="U397" i="7"/>
  <c r="T397" i="7"/>
  <c r="S397" i="7"/>
  <c r="R397" i="7"/>
  <c r="Q397" i="7"/>
  <c r="P397" i="7"/>
  <c r="O397" i="7"/>
  <c r="U396" i="7"/>
  <c r="T396" i="7"/>
  <c r="S396" i="7"/>
  <c r="R396" i="7"/>
  <c r="Q396" i="7"/>
  <c r="P396" i="7"/>
  <c r="O396" i="7"/>
  <c r="U395" i="7"/>
  <c r="T395" i="7"/>
  <c r="S395" i="7"/>
  <c r="R395" i="7"/>
  <c r="Q395" i="7"/>
  <c r="P395" i="7"/>
  <c r="O395" i="7"/>
  <c r="U394" i="7"/>
  <c r="T394" i="7"/>
  <c r="S394" i="7"/>
  <c r="R394" i="7"/>
  <c r="Q394" i="7"/>
  <c r="P394" i="7"/>
  <c r="O394" i="7"/>
  <c r="U393" i="7"/>
  <c r="T393" i="7"/>
  <c r="S393" i="7"/>
  <c r="R393" i="7"/>
  <c r="Q393" i="7"/>
  <c r="P393" i="7"/>
  <c r="O393" i="7"/>
  <c r="U392" i="7"/>
  <c r="T392" i="7"/>
  <c r="S392" i="7"/>
  <c r="R392" i="7"/>
  <c r="Q392" i="7"/>
  <c r="P392" i="7"/>
  <c r="O392" i="7"/>
  <c r="U391" i="7"/>
  <c r="T391" i="7"/>
  <c r="S391" i="7"/>
  <c r="R391" i="7"/>
  <c r="Q391" i="7"/>
  <c r="P391" i="7"/>
  <c r="O391" i="7"/>
  <c r="U390" i="7"/>
  <c r="T390" i="7"/>
  <c r="S390" i="7"/>
  <c r="R390" i="7"/>
  <c r="Q390" i="7"/>
  <c r="P390" i="7"/>
  <c r="O390" i="7"/>
  <c r="U389" i="7"/>
  <c r="T389" i="7"/>
  <c r="S389" i="7"/>
  <c r="R389" i="7"/>
  <c r="Q389" i="7"/>
  <c r="P389" i="7"/>
  <c r="O389" i="7"/>
  <c r="U388" i="7"/>
  <c r="T388" i="7"/>
  <c r="S388" i="7"/>
  <c r="R388" i="7"/>
  <c r="Q388" i="7"/>
  <c r="P388" i="7"/>
  <c r="O388" i="7"/>
  <c r="U387" i="7"/>
  <c r="T387" i="7"/>
  <c r="S387" i="7"/>
  <c r="R387" i="7"/>
  <c r="Q387" i="7"/>
  <c r="P387" i="7"/>
  <c r="O387" i="7"/>
  <c r="U386" i="7"/>
  <c r="T386" i="7"/>
  <c r="S386" i="7"/>
  <c r="R386" i="7"/>
  <c r="Q386" i="7"/>
  <c r="P386" i="7"/>
  <c r="O386" i="7"/>
  <c r="U385" i="7"/>
  <c r="T385" i="7"/>
  <c r="S385" i="7"/>
  <c r="R385" i="7"/>
  <c r="Q385" i="7"/>
  <c r="P385" i="7"/>
  <c r="O385" i="7"/>
  <c r="U384" i="7"/>
  <c r="T384" i="7"/>
  <c r="S384" i="7"/>
  <c r="R384" i="7"/>
  <c r="Q384" i="7"/>
  <c r="P384" i="7"/>
  <c r="O384" i="7"/>
  <c r="U383" i="7"/>
  <c r="T383" i="7"/>
  <c r="S383" i="7"/>
  <c r="R383" i="7"/>
  <c r="Q383" i="7"/>
  <c r="P383" i="7"/>
  <c r="O383" i="7"/>
  <c r="U382" i="7"/>
  <c r="T382" i="7"/>
  <c r="S382" i="7"/>
  <c r="R382" i="7"/>
  <c r="Q382" i="7"/>
  <c r="P382" i="7"/>
  <c r="O382" i="7"/>
  <c r="U381" i="7"/>
  <c r="T381" i="7"/>
  <c r="S381" i="7"/>
  <c r="R381" i="7"/>
  <c r="Q381" i="7"/>
  <c r="P381" i="7"/>
  <c r="O381" i="7"/>
  <c r="U380" i="7"/>
  <c r="T380" i="7"/>
  <c r="S380" i="7"/>
  <c r="R380" i="7"/>
  <c r="Q380" i="7"/>
  <c r="P380" i="7"/>
  <c r="O380" i="7"/>
  <c r="U379" i="7"/>
  <c r="T379" i="7"/>
  <c r="S379" i="7"/>
  <c r="R379" i="7"/>
  <c r="Q379" i="7"/>
  <c r="P379" i="7"/>
  <c r="O379" i="7"/>
  <c r="U378" i="7"/>
  <c r="T378" i="7"/>
  <c r="S378" i="7"/>
  <c r="R378" i="7"/>
  <c r="Q378" i="7"/>
  <c r="P378" i="7"/>
  <c r="O378" i="7"/>
  <c r="U377" i="7"/>
  <c r="T377" i="7"/>
  <c r="S377" i="7"/>
  <c r="R377" i="7"/>
  <c r="Q377" i="7"/>
  <c r="P377" i="7"/>
  <c r="O377" i="7"/>
  <c r="U376" i="7"/>
  <c r="T376" i="7"/>
  <c r="S376" i="7"/>
  <c r="R376" i="7"/>
  <c r="Q376" i="7"/>
  <c r="P376" i="7"/>
  <c r="O376" i="7"/>
  <c r="U375" i="7"/>
  <c r="T375" i="7"/>
  <c r="S375" i="7"/>
  <c r="R375" i="7"/>
  <c r="Q375" i="7"/>
  <c r="P375" i="7"/>
  <c r="O375" i="7"/>
  <c r="U374" i="7"/>
  <c r="T374" i="7"/>
  <c r="S374" i="7"/>
  <c r="R374" i="7"/>
  <c r="Q374" i="7"/>
  <c r="P374" i="7"/>
  <c r="O374" i="7"/>
  <c r="U373" i="7"/>
  <c r="T373" i="7"/>
  <c r="S373" i="7"/>
  <c r="R373" i="7"/>
  <c r="Q373" i="7"/>
  <c r="P373" i="7"/>
  <c r="O373" i="7"/>
  <c r="U372" i="7"/>
  <c r="T372" i="7"/>
  <c r="S372" i="7"/>
  <c r="R372" i="7"/>
  <c r="Q372" i="7"/>
  <c r="P372" i="7"/>
  <c r="O372" i="7"/>
  <c r="U371" i="7"/>
  <c r="T371" i="7"/>
  <c r="S371" i="7"/>
  <c r="R371" i="7"/>
  <c r="Q371" i="7"/>
  <c r="P371" i="7"/>
  <c r="O371" i="7"/>
  <c r="U370" i="7"/>
  <c r="T370" i="7"/>
  <c r="S370" i="7"/>
  <c r="R370" i="7"/>
  <c r="Q370" i="7"/>
  <c r="P370" i="7"/>
  <c r="O370" i="7"/>
  <c r="U369" i="7"/>
  <c r="T369" i="7"/>
  <c r="S369" i="7"/>
  <c r="R369" i="7"/>
  <c r="Q369" i="7"/>
  <c r="P369" i="7"/>
  <c r="O369" i="7"/>
  <c r="U368" i="7"/>
  <c r="T368" i="7"/>
  <c r="S368" i="7"/>
  <c r="R368" i="7"/>
  <c r="Q368" i="7"/>
  <c r="P368" i="7"/>
  <c r="O368" i="7"/>
  <c r="U367" i="7"/>
  <c r="T367" i="7"/>
  <c r="S367" i="7"/>
  <c r="R367" i="7"/>
  <c r="Q367" i="7"/>
  <c r="P367" i="7"/>
  <c r="O367" i="7"/>
  <c r="U366" i="7"/>
  <c r="T366" i="7"/>
  <c r="S366" i="7"/>
  <c r="R366" i="7"/>
  <c r="Q366" i="7"/>
  <c r="P366" i="7"/>
  <c r="O366" i="7"/>
  <c r="U365" i="7"/>
  <c r="T365" i="7"/>
  <c r="S365" i="7"/>
  <c r="R365" i="7"/>
  <c r="Q365" i="7"/>
  <c r="P365" i="7"/>
  <c r="O365" i="7"/>
  <c r="U364" i="7"/>
  <c r="T364" i="7"/>
  <c r="S364" i="7"/>
  <c r="R364" i="7"/>
  <c r="Q364" i="7"/>
  <c r="P364" i="7"/>
  <c r="O364" i="7"/>
  <c r="U363" i="7"/>
  <c r="T363" i="7"/>
  <c r="S363" i="7"/>
  <c r="R363" i="7"/>
  <c r="Q363" i="7"/>
  <c r="P363" i="7"/>
  <c r="O363" i="7"/>
  <c r="U362" i="7"/>
  <c r="T362" i="7"/>
  <c r="S362" i="7"/>
  <c r="R362" i="7"/>
  <c r="Q362" i="7"/>
  <c r="P362" i="7"/>
  <c r="O362" i="7"/>
  <c r="U361" i="7"/>
  <c r="T361" i="7"/>
  <c r="S361" i="7"/>
  <c r="R361" i="7"/>
  <c r="Q361" i="7"/>
  <c r="P361" i="7"/>
  <c r="O361" i="7"/>
  <c r="U360" i="7"/>
  <c r="T360" i="7"/>
  <c r="S360" i="7"/>
  <c r="R360" i="7"/>
  <c r="Q360" i="7"/>
  <c r="P360" i="7"/>
  <c r="O360" i="7"/>
  <c r="U359" i="7"/>
  <c r="T359" i="7"/>
  <c r="S359" i="7"/>
  <c r="R359" i="7"/>
  <c r="Q359" i="7"/>
  <c r="P359" i="7"/>
  <c r="O359" i="7"/>
  <c r="U358" i="7"/>
  <c r="T358" i="7"/>
  <c r="S358" i="7"/>
  <c r="R358" i="7"/>
  <c r="Q358" i="7"/>
  <c r="P358" i="7"/>
  <c r="O358" i="7"/>
  <c r="U357" i="7"/>
  <c r="T357" i="7"/>
  <c r="S357" i="7"/>
  <c r="R357" i="7"/>
  <c r="Q357" i="7"/>
  <c r="P357" i="7"/>
  <c r="O357" i="7"/>
  <c r="U356" i="7"/>
  <c r="T356" i="7"/>
  <c r="S356" i="7"/>
  <c r="R356" i="7"/>
  <c r="Q356" i="7"/>
  <c r="P356" i="7"/>
  <c r="O356" i="7"/>
  <c r="U355" i="7"/>
  <c r="T355" i="7"/>
  <c r="S355" i="7"/>
  <c r="R355" i="7"/>
  <c r="Q355" i="7"/>
  <c r="P355" i="7"/>
  <c r="O355" i="7"/>
  <c r="U354" i="7"/>
  <c r="T354" i="7"/>
  <c r="S354" i="7"/>
  <c r="R354" i="7"/>
  <c r="Q354" i="7"/>
  <c r="P354" i="7"/>
  <c r="O354" i="7"/>
  <c r="U353" i="7"/>
  <c r="T353" i="7"/>
  <c r="S353" i="7"/>
  <c r="R353" i="7"/>
  <c r="Q353" i="7"/>
  <c r="P353" i="7"/>
  <c r="O353" i="7"/>
  <c r="U352" i="7"/>
  <c r="T352" i="7"/>
  <c r="S352" i="7"/>
  <c r="R352" i="7"/>
  <c r="Q352" i="7"/>
  <c r="P352" i="7"/>
  <c r="O352" i="7"/>
  <c r="U351" i="7"/>
  <c r="T351" i="7"/>
  <c r="S351" i="7"/>
  <c r="R351" i="7"/>
  <c r="Q351" i="7"/>
  <c r="P351" i="7"/>
  <c r="O351" i="7"/>
  <c r="U350" i="7"/>
  <c r="T350" i="7"/>
  <c r="S350" i="7"/>
  <c r="R350" i="7"/>
  <c r="Q350" i="7"/>
  <c r="P350" i="7"/>
  <c r="O350" i="7"/>
  <c r="U349" i="7"/>
  <c r="T349" i="7"/>
  <c r="S349" i="7"/>
  <c r="R349" i="7"/>
  <c r="Q349" i="7"/>
  <c r="P349" i="7"/>
  <c r="O349" i="7"/>
  <c r="U348" i="7"/>
  <c r="T348" i="7"/>
  <c r="S348" i="7"/>
  <c r="R348" i="7"/>
  <c r="Q348" i="7"/>
  <c r="P348" i="7"/>
  <c r="O348" i="7"/>
  <c r="U347" i="7"/>
  <c r="T347" i="7"/>
  <c r="S347" i="7"/>
  <c r="R347" i="7"/>
  <c r="Q347" i="7"/>
  <c r="P347" i="7"/>
  <c r="O347" i="7"/>
  <c r="U346" i="7"/>
  <c r="T346" i="7"/>
  <c r="S346" i="7"/>
  <c r="R346" i="7"/>
  <c r="Q346" i="7"/>
  <c r="P346" i="7"/>
  <c r="O346" i="7"/>
  <c r="U345" i="7"/>
  <c r="T345" i="7"/>
  <c r="S345" i="7"/>
  <c r="R345" i="7"/>
  <c r="Q345" i="7"/>
  <c r="P345" i="7"/>
  <c r="O345" i="7"/>
  <c r="U344" i="7"/>
  <c r="T344" i="7"/>
  <c r="S344" i="7"/>
  <c r="R344" i="7"/>
  <c r="Q344" i="7"/>
  <c r="P344" i="7"/>
  <c r="O344" i="7"/>
  <c r="U343" i="7"/>
  <c r="T343" i="7"/>
  <c r="S343" i="7"/>
  <c r="R343" i="7"/>
  <c r="Q343" i="7"/>
  <c r="P343" i="7"/>
  <c r="O343" i="7"/>
  <c r="U342" i="7"/>
  <c r="T342" i="7"/>
  <c r="S342" i="7"/>
  <c r="R342" i="7"/>
  <c r="Q342" i="7"/>
  <c r="P342" i="7"/>
  <c r="O342" i="7"/>
  <c r="U341" i="7"/>
  <c r="T341" i="7"/>
  <c r="S341" i="7"/>
  <c r="R341" i="7"/>
  <c r="Q341" i="7"/>
  <c r="P341" i="7"/>
  <c r="O341" i="7"/>
  <c r="U340" i="7"/>
  <c r="T340" i="7"/>
  <c r="S340" i="7"/>
  <c r="R340" i="7"/>
  <c r="Q340" i="7"/>
  <c r="P340" i="7"/>
  <c r="O340" i="7"/>
  <c r="U339" i="7"/>
  <c r="T339" i="7"/>
  <c r="S339" i="7"/>
  <c r="R339" i="7"/>
  <c r="Q339" i="7"/>
  <c r="P339" i="7"/>
  <c r="O339" i="7"/>
  <c r="U338" i="7"/>
  <c r="T338" i="7"/>
  <c r="S338" i="7"/>
  <c r="R338" i="7"/>
  <c r="Q338" i="7"/>
  <c r="P338" i="7"/>
  <c r="O338" i="7"/>
  <c r="U337" i="7"/>
  <c r="T337" i="7"/>
  <c r="S337" i="7"/>
  <c r="R337" i="7"/>
  <c r="Q337" i="7"/>
  <c r="P337" i="7"/>
  <c r="O337" i="7"/>
  <c r="U336" i="7"/>
  <c r="T336" i="7"/>
  <c r="S336" i="7"/>
  <c r="R336" i="7"/>
  <c r="Q336" i="7"/>
  <c r="P336" i="7"/>
  <c r="O336" i="7"/>
  <c r="U335" i="7"/>
  <c r="T335" i="7"/>
  <c r="S335" i="7"/>
  <c r="R335" i="7"/>
  <c r="Q335" i="7"/>
  <c r="P335" i="7"/>
  <c r="O335" i="7"/>
  <c r="U334" i="7"/>
  <c r="T334" i="7"/>
  <c r="S334" i="7"/>
  <c r="R334" i="7"/>
  <c r="Q334" i="7"/>
  <c r="P334" i="7"/>
  <c r="O334" i="7"/>
  <c r="U333" i="7"/>
  <c r="T333" i="7"/>
  <c r="S333" i="7"/>
  <c r="R333" i="7"/>
  <c r="Q333" i="7"/>
  <c r="P333" i="7"/>
  <c r="O333" i="7"/>
  <c r="U332" i="7"/>
  <c r="T332" i="7"/>
  <c r="S332" i="7"/>
  <c r="R332" i="7"/>
  <c r="Q332" i="7"/>
  <c r="P332" i="7"/>
  <c r="O332" i="7"/>
  <c r="U331" i="7"/>
  <c r="T331" i="7"/>
  <c r="S331" i="7"/>
  <c r="R331" i="7"/>
  <c r="Q331" i="7"/>
  <c r="P331" i="7"/>
  <c r="O331" i="7"/>
  <c r="U330" i="7"/>
  <c r="T330" i="7"/>
  <c r="S330" i="7"/>
  <c r="R330" i="7"/>
  <c r="Q330" i="7"/>
  <c r="P330" i="7"/>
  <c r="O330" i="7"/>
  <c r="U329" i="7"/>
  <c r="T329" i="7"/>
  <c r="S329" i="7"/>
  <c r="R329" i="7"/>
  <c r="Q329" i="7"/>
  <c r="P329" i="7"/>
  <c r="O329" i="7"/>
  <c r="U328" i="7"/>
  <c r="T328" i="7"/>
  <c r="S328" i="7"/>
  <c r="R328" i="7"/>
  <c r="Q328" i="7"/>
  <c r="P328" i="7"/>
  <c r="O328" i="7"/>
  <c r="U327" i="7"/>
  <c r="T327" i="7"/>
  <c r="S327" i="7"/>
  <c r="R327" i="7"/>
  <c r="Q327" i="7"/>
  <c r="P327" i="7"/>
  <c r="O327" i="7"/>
  <c r="U326" i="7"/>
  <c r="T326" i="7"/>
  <c r="S326" i="7"/>
  <c r="R326" i="7"/>
  <c r="Q326" i="7"/>
  <c r="P326" i="7"/>
  <c r="O326" i="7"/>
  <c r="U325" i="7"/>
  <c r="T325" i="7"/>
  <c r="S325" i="7"/>
  <c r="R325" i="7"/>
  <c r="Q325" i="7"/>
  <c r="P325" i="7"/>
  <c r="O325" i="7"/>
  <c r="U324" i="7"/>
  <c r="T324" i="7"/>
  <c r="S324" i="7"/>
  <c r="R324" i="7"/>
  <c r="Q324" i="7"/>
  <c r="P324" i="7"/>
  <c r="O324" i="7"/>
  <c r="U323" i="7"/>
  <c r="T323" i="7"/>
  <c r="S323" i="7"/>
  <c r="R323" i="7"/>
  <c r="Q323" i="7"/>
  <c r="P323" i="7"/>
  <c r="O323" i="7"/>
  <c r="U322" i="7"/>
  <c r="T322" i="7"/>
  <c r="S322" i="7"/>
  <c r="R322" i="7"/>
  <c r="Q322" i="7"/>
  <c r="P322" i="7"/>
  <c r="O322" i="7"/>
  <c r="U321" i="7"/>
  <c r="T321" i="7"/>
  <c r="S321" i="7"/>
  <c r="R321" i="7"/>
  <c r="Q321" i="7"/>
  <c r="P321" i="7"/>
  <c r="O321" i="7"/>
  <c r="U320" i="7"/>
  <c r="T320" i="7"/>
  <c r="S320" i="7"/>
  <c r="R320" i="7"/>
  <c r="Q320" i="7"/>
  <c r="P320" i="7"/>
  <c r="O320" i="7"/>
  <c r="U319" i="7"/>
  <c r="T319" i="7"/>
  <c r="S319" i="7"/>
  <c r="R319" i="7"/>
  <c r="Q319" i="7"/>
  <c r="P319" i="7"/>
  <c r="O319" i="7"/>
  <c r="U318" i="7"/>
  <c r="T318" i="7"/>
  <c r="S318" i="7"/>
  <c r="R318" i="7"/>
  <c r="Q318" i="7"/>
  <c r="P318" i="7"/>
  <c r="O318" i="7"/>
  <c r="U317" i="7"/>
  <c r="T317" i="7"/>
  <c r="S317" i="7"/>
  <c r="R317" i="7"/>
  <c r="Q317" i="7"/>
  <c r="P317" i="7"/>
  <c r="O317" i="7"/>
  <c r="U316" i="7"/>
  <c r="T316" i="7"/>
  <c r="S316" i="7"/>
  <c r="R316" i="7"/>
  <c r="Q316" i="7"/>
  <c r="P316" i="7"/>
  <c r="O316" i="7"/>
  <c r="U315" i="7"/>
  <c r="T315" i="7"/>
  <c r="S315" i="7"/>
  <c r="R315" i="7"/>
  <c r="Q315" i="7"/>
  <c r="P315" i="7"/>
  <c r="O315" i="7"/>
  <c r="U314" i="7"/>
  <c r="T314" i="7"/>
  <c r="S314" i="7"/>
  <c r="R314" i="7"/>
  <c r="Q314" i="7"/>
  <c r="P314" i="7"/>
  <c r="O314" i="7"/>
  <c r="U313" i="7"/>
  <c r="T313" i="7"/>
  <c r="S313" i="7"/>
  <c r="R313" i="7"/>
  <c r="Q313" i="7"/>
  <c r="P313" i="7"/>
  <c r="O313" i="7"/>
  <c r="U312" i="7"/>
  <c r="T312" i="7"/>
  <c r="S312" i="7"/>
  <c r="R312" i="7"/>
  <c r="Q312" i="7"/>
  <c r="P312" i="7"/>
  <c r="O312" i="7"/>
  <c r="U311" i="7"/>
  <c r="T311" i="7"/>
  <c r="S311" i="7"/>
  <c r="R311" i="7"/>
  <c r="Q311" i="7"/>
  <c r="P311" i="7"/>
  <c r="O311" i="7"/>
  <c r="U310" i="7"/>
  <c r="T310" i="7"/>
  <c r="S310" i="7"/>
  <c r="R310" i="7"/>
  <c r="Q310" i="7"/>
  <c r="P310" i="7"/>
  <c r="O310" i="7"/>
  <c r="U309" i="7"/>
  <c r="T309" i="7"/>
  <c r="S309" i="7"/>
  <c r="R309" i="7"/>
  <c r="Q309" i="7"/>
  <c r="P309" i="7"/>
  <c r="O309" i="7"/>
  <c r="U308" i="7"/>
  <c r="T308" i="7"/>
  <c r="S308" i="7"/>
  <c r="R308" i="7"/>
  <c r="Q308" i="7"/>
  <c r="P308" i="7"/>
  <c r="O308" i="7"/>
  <c r="U307" i="7"/>
  <c r="T307" i="7"/>
  <c r="S307" i="7"/>
  <c r="R307" i="7"/>
  <c r="Q307" i="7"/>
  <c r="P307" i="7"/>
  <c r="O307" i="7"/>
  <c r="U306" i="7"/>
  <c r="T306" i="7"/>
  <c r="S306" i="7"/>
  <c r="R306" i="7"/>
  <c r="Q306" i="7"/>
  <c r="P306" i="7"/>
  <c r="O306" i="7"/>
  <c r="U305" i="7"/>
  <c r="T305" i="7"/>
  <c r="S305" i="7"/>
  <c r="R305" i="7"/>
  <c r="Q305" i="7"/>
  <c r="P305" i="7"/>
  <c r="O305" i="7"/>
  <c r="U304" i="7"/>
  <c r="T304" i="7"/>
  <c r="S304" i="7"/>
  <c r="R304" i="7"/>
  <c r="Q304" i="7"/>
  <c r="P304" i="7"/>
  <c r="O304" i="7"/>
  <c r="U303" i="7"/>
  <c r="T303" i="7"/>
  <c r="S303" i="7"/>
  <c r="R303" i="7"/>
  <c r="Q303" i="7"/>
  <c r="P303" i="7"/>
  <c r="O303" i="7"/>
  <c r="U302" i="7"/>
  <c r="T302" i="7"/>
  <c r="S302" i="7"/>
  <c r="R302" i="7"/>
  <c r="Q302" i="7"/>
  <c r="P302" i="7"/>
  <c r="O302" i="7"/>
  <c r="U301" i="7"/>
  <c r="T301" i="7"/>
  <c r="S301" i="7"/>
  <c r="R301" i="7"/>
  <c r="Q301" i="7"/>
  <c r="P301" i="7"/>
  <c r="O301" i="7"/>
  <c r="U300" i="7"/>
  <c r="T300" i="7"/>
  <c r="S300" i="7"/>
  <c r="R300" i="7"/>
  <c r="Q300" i="7"/>
  <c r="P300" i="7"/>
  <c r="O300" i="7"/>
  <c r="U299" i="7"/>
  <c r="T299" i="7"/>
  <c r="S299" i="7"/>
  <c r="R299" i="7"/>
  <c r="Q299" i="7"/>
  <c r="P299" i="7"/>
  <c r="O299" i="7"/>
  <c r="U298" i="7"/>
  <c r="T298" i="7"/>
  <c r="S298" i="7"/>
  <c r="R298" i="7"/>
  <c r="Q298" i="7"/>
  <c r="P298" i="7"/>
  <c r="O298" i="7"/>
  <c r="U297" i="7"/>
  <c r="T297" i="7"/>
  <c r="S297" i="7"/>
  <c r="R297" i="7"/>
  <c r="Q297" i="7"/>
  <c r="P297" i="7"/>
  <c r="O297" i="7"/>
  <c r="U296" i="7"/>
  <c r="T296" i="7"/>
  <c r="S296" i="7"/>
  <c r="R296" i="7"/>
  <c r="Q296" i="7"/>
  <c r="P296" i="7"/>
  <c r="O296" i="7"/>
  <c r="U295" i="7"/>
  <c r="T295" i="7"/>
  <c r="S295" i="7"/>
  <c r="R295" i="7"/>
  <c r="Q295" i="7"/>
  <c r="P295" i="7"/>
  <c r="O295" i="7"/>
  <c r="U294" i="7"/>
  <c r="T294" i="7"/>
  <c r="S294" i="7"/>
  <c r="R294" i="7"/>
  <c r="Q294" i="7"/>
  <c r="P294" i="7"/>
  <c r="O294" i="7"/>
  <c r="U293" i="7"/>
  <c r="T293" i="7"/>
  <c r="S293" i="7"/>
  <c r="R293" i="7"/>
  <c r="Q293" i="7"/>
  <c r="P293" i="7"/>
  <c r="O293" i="7"/>
  <c r="U292" i="7"/>
  <c r="T292" i="7"/>
  <c r="S292" i="7"/>
  <c r="R292" i="7"/>
  <c r="Q292" i="7"/>
  <c r="P292" i="7"/>
  <c r="O292" i="7"/>
  <c r="U291" i="7"/>
  <c r="T291" i="7"/>
  <c r="S291" i="7"/>
  <c r="R291" i="7"/>
  <c r="Q291" i="7"/>
  <c r="P291" i="7"/>
  <c r="O291" i="7"/>
  <c r="U290" i="7"/>
  <c r="T290" i="7"/>
  <c r="S290" i="7"/>
  <c r="R290" i="7"/>
  <c r="Q290" i="7"/>
  <c r="P290" i="7"/>
  <c r="O290" i="7"/>
  <c r="U289" i="7"/>
  <c r="T289" i="7"/>
  <c r="S289" i="7"/>
  <c r="R289" i="7"/>
  <c r="Q289" i="7"/>
  <c r="P289" i="7"/>
  <c r="O289" i="7"/>
  <c r="U288" i="7"/>
  <c r="T288" i="7"/>
  <c r="S288" i="7"/>
  <c r="R288" i="7"/>
  <c r="Q288" i="7"/>
  <c r="P288" i="7"/>
  <c r="O288" i="7"/>
  <c r="U287" i="7"/>
  <c r="T287" i="7"/>
  <c r="S287" i="7"/>
  <c r="R287" i="7"/>
  <c r="Q287" i="7"/>
  <c r="P287" i="7"/>
  <c r="O287" i="7"/>
  <c r="U286" i="7"/>
  <c r="T286" i="7"/>
  <c r="S286" i="7"/>
  <c r="R286" i="7"/>
  <c r="Q286" i="7"/>
  <c r="P286" i="7"/>
  <c r="O286" i="7"/>
  <c r="U285" i="7"/>
  <c r="T285" i="7"/>
  <c r="S285" i="7"/>
  <c r="R285" i="7"/>
  <c r="Q285" i="7"/>
  <c r="P285" i="7"/>
  <c r="O285" i="7"/>
  <c r="U284" i="7"/>
  <c r="T284" i="7"/>
  <c r="S284" i="7"/>
  <c r="R284" i="7"/>
  <c r="Q284" i="7"/>
  <c r="P284" i="7"/>
  <c r="O284" i="7"/>
  <c r="U283" i="7"/>
  <c r="T283" i="7"/>
  <c r="S283" i="7"/>
  <c r="R283" i="7"/>
  <c r="Q283" i="7"/>
  <c r="P283" i="7"/>
  <c r="O283" i="7"/>
  <c r="U282" i="7"/>
  <c r="T282" i="7"/>
  <c r="S282" i="7"/>
  <c r="R282" i="7"/>
  <c r="Q282" i="7"/>
  <c r="P282" i="7"/>
  <c r="O282" i="7"/>
  <c r="U281" i="7"/>
  <c r="T281" i="7"/>
  <c r="S281" i="7"/>
  <c r="R281" i="7"/>
  <c r="Q281" i="7"/>
  <c r="P281" i="7"/>
  <c r="O281" i="7"/>
  <c r="U280" i="7"/>
  <c r="T280" i="7"/>
  <c r="S280" i="7"/>
  <c r="R280" i="7"/>
  <c r="Q280" i="7"/>
  <c r="P280" i="7"/>
  <c r="O280" i="7"/>
  <c r="U279" i="7"/>
  <c r="T279" i="7"/>
  <c r="S279" i="7"/>
  <c r="R279" i="7"/>
  <c r="Q279" i="7"/>
  <c r="P279" i="7"/>
  <c r="O279" i="7"/>
  <c r="U278" i="7"/>
  <c r="T278" i="7"/>
  <c r="S278" i="7"/>
  <c r="R278" i="7"/>
  <c r="Q278" i="7"/>
  <c r="P278" i="7"/>
  <c r="O278" i="7"/>
  <c r="U277" i="7"/>
  <c r="T277" i="7"/>
  <c r="S277" i="7"/>
  <c r="R277" i="7"/>
  <c r="Q277" i="7"/>
  <c r="P277" i="7"/>
  <c r="O277" i="7"/>
  <c r="U276" i="7"/>
  <c r="T276" i="7"/>
  <c r="S276" i="7"/>
  <c r="R276" i="7"/>
  <c r="Q276" i="7"/>
  <c r="P276" i="7"/>
  <c r="O276" i="7"/>
  <c r="U275" i="7"/>
  <c r="T275" i="7"/>
  <c r="S275" i="7"/>
  <c r="R275" i="7"/>
  <c r="Q275" i="7"/>
  <c r="P275" i="7"/>
  <c r="O275" i="7"/>
  <c r="U274" i="7"/>
  <c r="T274" i="7"/>
  <c r="S274" i="7"/>
  <c r="R274" i="7"/>
  <c r="Q274" i="7"/>
  <c r="P274" i="7"/>
  <c r="O274" i="7"/>
  <c r="U273" i="7"/>
  <c r="T273" i="7"/>
  <c r="S273" i="7"/>
  <c r="R273" i="7"/>
  <c r="Q273" i="7"/>
  <c r="P273" i="7"/>
  <c r="O273" i="7"/>
  <c r="U272" i="7"/>
  <c r="T272" i="7"/>
  <c r="S272" i="7"/>
  <c r="R272" i="7"/>
  <c r="Q272" i="7"/>
  <c r="P272" i="7"/>
  <c r="O272" i="7"/>
  <c r="U271" i="7"/>
  <c r="T271" i="7"/>
  <c r="S271" i="7"/>
  <c r="R271" i="7"/>
  <c r="Q271" i="7"/>
  <c r="P271" i="7"/>
  <c r="O271" i="7"/>
  <c r="U270" i="7"/>
  <c r="T270" i="7"/>
  <c r="S270" i="7"/>
  <c r="R270" i="7"/>
  <c r="Q270" i="7"/>
  <c r="P270" i="7"/>
  <c r="O270" i="7"/>
  <c r="U269" i="7"/>
  <c r="T269" i="7"/>
  <c r="S269" i="7"/>
  <c r="R269" i="7"/>
  <c r="Q269" i="7"/>
  <c r="P269" i="7"/>
  <c r="O269" i="7"/>
  <c r="U268" i="7"/>
  <c r="T268" i="7"/>
  <c r="S268" i="7"/>
  <c r="R268" i="7"/>
  <c r="Q268" i="7"/>
  <c r="P268" i="7"/>
  <c r="O268" i="7"/>
  <c r="U267" i="7"/>
  <c r="T267" i="7"/>
  <c r="S267" i="7"/>
  <c r="R267" i="7"/>
  <c r="Q267" i="7"/>
  <c r="P267" i="7"/>
  <c r="O267" i="7"/>
  <c r="U266" i="7"/>
  <c r="T266" i="7"/>
  <c r="S266" i="7"/>
  <c r="R266" i="7"/>
  <c r="Q266" i="7"/>
  <c r="P266" i="7"/>
  <c r="O266" i="7"/>
  <c r="U265" i="7"/>
  <c r="T265" i="7"/>
  <c r="S265" i="7"/>
  <c r="R265" i="7"/>
  <c r="Q265" i="7"/>
  <c r="P265" i="7"/>
  <c r="O265" i="7"/>
  <c r="U264" i="7"/>
  <c r="T264" i="7"/>
  <c r="S264" i="7"/>
  <c r="R264" i="7"/>
  <c r="Q264" i="7"/>
  <c r="P264" i="7"/>
  <c r="O264" i="7"/>
  <c r="U263" i="7"/>
  <c r="T263" i="7"/>
  <c r="S263" i="7"/>
  <c r="R263" i="7"/>
  <c r="Q263" i="7"/>
  <c r="P263" i="7"/>
  <c r="O263" i="7"/>
  <c r="U262" i="7"/>
  <c r="T262" i="7"/>
  <c r="S262" i="7"/>
  <c r="R262" i="7"/>
  <c r="Q262" i="7"/>
  <c r="P262" i="7"/>
  <c r="O262" i="7"/>
  <c r="U261" i="7"/>
  <c r="T261" i="7"/>
  <c r="S261" i="7"/>
  <c r="R261" i="7"/>
  <c r="Q261" i="7"/>
  <c r="P261" i="7"/>
  <c r="O261" i="7"/>
  <c r="U260" i="7"/>
  <c r="T260" i="7"/>
  <c r="S260" i="7"/>
  <c r="R260" i="7"/>
  <c r="Q260" i="7"/>
  <c r="P260" i="7"/>
  <c r="O260" i="7"/>
  <c r="U259" i="7"/>
  <c r="T259" i="7"/>
  <c r="S259" i="7"/>
  <c r="R259" i="7"/>
  <c r="Q259" i="7"/>
  <c r="P259" i="7"/>
  <c r="O259" i="7"/>
  <c r="U258" i="7"/>
  <c r="T258" i="7"/>
  <c r="S258" i="7"/>
  <c r="R258" i="7"/>
  <c r="Q258" i="7"/>
  <c r="P258" i="7"/>
  <c r="O258" i="7"/>
  <c r="U257" i="7"/>
  <c r="T257" i="7"/>
  <c r="S257" i="7"/>
  <c r="R257" i="7"/>
  <c r="Q257" i="7"/>
  <c r="P257" i="7"/>
  <c r="O257" i="7"/>
  <c r="U256" i="7"/>
  <c r="T256" i="7"/>
  <c r="S256" i="7"/>
  <c r="R256" i="7"/>
  <c r="Q256" i="7"/>
  <c r="P256" i="7"/>
  <c r="O256" i="7"/>
  <c r="U255" i="7"/>
  <c r="T255" i="7"/>
  <c r="S255" i="7"/>
  <c r="R255" i="7"/>
  <c r="Q255" i="7"/>
  <c r="P255" i="7"/>
  <c r="O255" i="7"/>
  <c r="U254" i="7"/>
  <c r="T254" i="7"/>
  <c r="S254" i="7"/>
  <c r="R254" i="7"/>
  <c r="Q254" i="7"/>
  <c r="P254" i="7"/>
  <c r="O254" i="7"/>
  <c r="U253" i="7"/>
  <c r="T253" i="7"/>
  <c r="S253" i="7"/>
  <c r="R253" i="7"/>
  <c r="Q253" i="7"/>
  <c r="P253" i="7"/>
  <c r="O253" i="7"/>
  <c r="U252" i="7"/>
  <c r="T252" i="7"/>
  <c r="S252" i="7"/>
  <c r="R252" i="7"/>
  <c r="Q252" i="7"/>
  <c r="P252" i="7"/>
  <c r="O252" i="7"/>
  <c r="U251" i="7"/>
  <c r="T251" i="7"/>
  <c r="S251" i="7"/>
  <c r="R251" i="7"/>
  <c r="Q251" i="7"/>
  <c r="P251" i="7"/>
  <c r="O251" i="7"/>
  <c r="U250" i="7"/>
  <c r="T250" i="7"/>
  <c r="S250" i="7"/>
  <c r="R250" i="7"/>
  <c r="Q250" i="7"/>
  <c r="P250" i="7"/>
  <c r="O250" i="7"/>
  <c r="U249" i="7"/>
  <c r="T249" i="7"/>
  <c r="S249" i="7"/>
  <c r="R249" i="7"/>
  <c r="Q249" i="7"/>
  <c r="P249" i="7"/>
  <c r="O249" i="7"/>
  <c r="U248" i="7"/>
  <c r="T248" i="7"/>
  <c r="S248" i="7"/>
  <c r="R248" i="7"/>
  <c r="Q248" i="7"/>
  <c r="P248" i="7"/>
  <c r="O248" i="7"/>
  <c r="U247" i="7"/>
  <c r="T247" i="7"/>
  <c r="S247" i="7"/>
  <c r="R247" i="7"/>
  <c r="Q247" i="7"/>
  <c r="P247" i="7"/>
  <c r="O247" i="7"/>
  <c r="U246" i="7"/>
  <c r="T246" i="7"/>
  <c r="S246" i="7"/>
  <c r="R246" i="7"/>
  <c r="Q246" i="7"/>
  <c r="P246" i="7"/>
  <c r="O246" i="7"/>
  <c r="U245" i="7"/>
  <c r="T245" i="7"/>
  <c r="S245" i="7"/>
  <c r="R245" i="7"/>
  <c r="Q245" i="7"/>
  <c r="P245" i="7"/>
  <c r="O245" i="7"/>
  <c r="U244" i="7"/>
  <c r="T244" i="7"/>
  <c r="S244" i="7"/>
  <c r="R244" i="7"/>
  <c r="Q244" i="7"/>
  <c r="P244" i="7"/>
  <c r="O244" i="7"/>
  <c r="U243" i="7"/>
  <c r="T243" i="7"/>
  <c r="S243" i="7"/>
  <c r="R243" i="7"/>
  <c r="Q243" i="7"/>
  <c r="P243" i="7"/>
  <c r="O243" i="7"/>
  <c r="U242" i="7"/>
  <c r="T242" i="7"/>
  <c r="S242" i="7"/>
  <c r="R242" i="7"/>
  <c r="Q242" i="7"/>
  <c r="P242" i="7"/>
  <c r="O242" i="7"/>
  <c r="U241" i="7"/>
  <c r="T241" i="7"/>
  <c r="S241" i="7"/>
  <c r="R241" i="7"/>
  <c r="Q241" i="7"/>
  <c r="P241" i="7"/>
  <c r="O241" i="7"/>
  <c r="U240" i="7"/>
  <c r="T240" i="7"/>
  <c r="S240" i="7"/>
  <c r="R240" i="7"/>
  <c r="Q240" i="7"/>
  <c r="P240" i="7"/>
  <c r="O240" i="7"/>
  <c r="U239" i="7"/>
  <c r="T239" i="7"/>
  <c r="S239" i="7"/>
  <c r="R239" i="7"/>
  <c r="Q239" i="7"/>
  <c r="P239" i="7"/>
  <c r="O239" i="7"/>
  <c r="U238" i="7"/>
  <c r="T238" i="7"/>
  <c r="S238" i="7"/>
  <c r="R238" i="7"/>
  <c r="Q238" i="7"/>
  <c r="P238" i="7"/>
  <c r="O238" i="7"/>
  <c r="U237" i="7"/>
  <c r="T237" i="7"/>
  <c r="S237" i="7"/>
  <c r="R237" i="7"/>
  <c r="Q237" i="7"/>
  <c r="P237" i="7"/>
  <c r="O237" i="7"/>
  <c r="U236" i="7"/>
  <c r="T236" i="7"/>
  <c r="S236" i="7"/>
  <c r="R236" i="7"/>
  <c r="Q236" i="7"/>
  <c r="P236" i="7"/>
  <c r="O236" i="7"/>
  <c r="U235" i="7"/>
  <c r="T235" i="7"/>
  <c r="S235" i="7"/>
  <c r="R235" i="7"/>
  <c r="Q235" i="7"/>
  <c r="P235" i="7"/>
  <c r="O235" i="7"/>
  <c r="U234" i="7"/>
  <c r="T234" i="7"/>
  <c r="S234" i="7"/>
  <c r="R234" i="7"/>
  <c r="Q234" i="7"/>
  <c r="P234" i="7"/>
  <c r="O234" i="7"/>
  <c r="U233" i="7"/>
  <c r="T233" i="7"/>
  <c r="S233" i="7"/>
  <c r="R233" i="7"/>
  <c r="Q233" i="7"/>
  <c r="P233" i="7"/>
  <c r="O233" i="7"/>
  <c r="U232" i="7"/>
  <c r="T232" i="7"/>
  <c r="S232" i="7"/>
  <c r="R232" i="7"/>
  <c r="Q232" i="7"/>
  <c r="P232" i="7"/>
  <c r="O232" i="7"/>
  <c r="U231" i="7"/>
  <c r="T231" i="7"/>
  <c r="S231" i="7"/>
  <c r="R231" i="7"/>
  <c r="Q231" i="7"/>
  <c r="P231" i="7"/>
  <c r="O231" i="7"/>
  <c r="U230" i="7"/>
  <c r="T230" i="7"/>
  <c r="S230" i="7"/>
  <c r="R230" i="7"/>
  <c r="Q230" i="7"/>
  <c r="P230" i="7"/>
  <c r="O230" i="7"/>
  <c r="U229" i="7"/>
  <c r="T229" i="7"/>
  <c r="S229" i="7"/>
  <c r="R229" i="7"/>
  <c r="Q229" i="7"/>
  <c r="P229" i="7"/>
  <c r="O229" i="7"/>
  <c r="U228" i="7"/>
  <c r="T228" i="7"/>
  <c r="S228" i="7"/>
  <c r="R228" i="7"/>
  <c r="Q228" i="7"/>
  <c r="P228" i="7"/>
  <c r="O228" i="7"/>
  <c r="U227" i="7"/>
  <c r="T227" i="7"/>
  <c r="S227" i="7"/>
  <c r="R227" i="7"/>
  <c r="Q227" i="7"/>
  <c r="P227" i="7"/>
  <c r="O227" i="7"/>
  <c r="U226" i="7"/>
  <c r="T226" i="7"/>
  <c r="S226" i="7"/>
  <c r="R226" i="7"/>
  <c r="Q226" i="7"/>
  <c r="P226" i="7"/>
  <c r="O226" i="7"/>
  <c r="U225" i="7"/>
  <c r="T225" i="7"/>
  <c r="S225" i="7"/>
  <c r="R225" i="7"/>
  <c r="Q225" i="7"/>
  <c r="P225" i="7"/>
  <c r="O225" i="7"/>
  <c r="U224" i="7"/>
  <c r="T224" i="7"/>
  <c r="S224" i="7"/>
  <c r="R224" i="7"/>
  <c r="Q224" i="7"/>
  <c r="P224" i="7"/>
  <c r="O224" i="7"/>
  <c r="U223" i="7"/>
  <c r="T223" i="7"/>
  <c r="S223" i="7"/>
  <c r="R223" i="7"/>
  <c r="Q223" i="7"/>
  <c r="P223" i="7"/>
  <c r="O223" i="7"/>
  <c r="U222" i="7"/>
  <c r="T222" i="7"/>
  <c r="S222" i="7"/>
  <c r="R222" i="7"/>
  <c r="Q222" i="7"/>
  <c r="P222" i="7"/>
  <c r="O222" i="7"/>
  <c r="U221" i="7"/>
  <c r="T221" i="7"/>
  <c r="S221" i="7"/>
  <c r="R221" i="7"/>
  <c r="Q221" i="7"/>
  <c r="P221" i="7"/>
  <c r="O221" i="7"/>
  <c r="U220" i="7"/>
  <c r="T220" i="7"/>
  <c r="S220" i="7"/>
  <c r="R220" i="7"/>
  <c r="Q220" i="7"/>
  <c r="P220" i="7"/>
  <c r="O220" i="7"/>
  <c r="U219" i="7"/>
  <c r="T219" i="7"/>
  <c r="S219" i="7"/>
  <c r="R219" i="7"/>
  <c r="Q219" i="7"/>
  <c r="P219" i="7"/>
  <c r="O219" i="7"/>
  <c r="U218" i="7"/>
  <c r="T218" i="7"/>
  <c r="S218" i="7"/>
  <c r="R218" i="7"/>
  <c r="Q218" i="7"/>
  <c r="P218" i="7"/>
  <c r="O218" i="7"/>
  <c r="U217" i="7"/>
  <c r="T217" i="7"/>
  <c r="S217" i="7"/>
  <c r="R217" i="7"/>
  <c r="Q217" i="7"/>
  <c r="P217" i="7"/>
  <c r="O217" i="7"/>
  <c r="U216" i="7"/>
  <c r="T216" i="7"/>
  <c r="S216" i="7"/>
  <c r="R216" i="7"/>
  <c r="Q216" i="7"/>
  <c r="P216" i="7"/>
  <c r="O216" i="7"/>
  <c r="U215" i="7"/>
  <c r="T215" i="7"/>
  <c r="S215" i="7"/>
  <c r="R215" i="7"/>
  <c r="Q215" i="7"/>
  <c r="P215" i="7"/>
  <c r="O215" i="7"/>
  <c r="U214" i="7"/>
  <c r="T214" i="7"/>
  <c r="S214" i="7"/>
  <c r="R214" i="7"/>
  <c r="Q214" i="7"/>
  <c r="P214" i="7"/>
  <c r="O214" i="7"/>
  <c r="U213" i="7"/>
  <c r="T213" i="7"/>
  <c r="S213" i="7"/>
  <c r="R213" i="7"/>
  <c r="Q213" i="7"/>
  <c r="P213" i="7"/>
  <c r="O213" i="7"/>
  <c r="U212" i="7"/>
  <c r="T212" i="7"/>
  <c r="S212" i="7"/>
  <c r="R212" i="7"/>
  <c r="Q212" i="7"/>
  <c r="P212" i="7"/>
  <c r="O212" i="7"/>
  <c r="U211" i="7"/>
  <c r="T211" i="7"/>
  <c r="S211" i="7"/>
  <c r="R211" i="7"/>
  <c r="Q211" i="7"/>
  <c r="P211" i="7"/>
  <c r="O211" i="7"/>
  <c r="U210" i="7"/>
  <c r="T210" i="7"/>
  <c r="S210" i="7"/>
  <c r="R210" i="7"/>
  <c r="Q210" i="7"/>
  <c r="P210" i="7"/>
  <c r="O210" i="7"/>
  <c r="U209" i="7"/>
  <c r="T209" i="7"/>
  <c r="S209" i="7"/>
  <c r="R209" i="7"/>
  <c r="Q209" i="7"/>
  <c r="P209" i="7"/>
  <c r="O209" i="7"/>
  <c r="U208" i="7"/>
  <c r="T208" i="7"/>
  <c r="S208" i="7"/>
  <c r="R208" i="7"/>
  <c r="Q208" i="7"/>
  <c r="P208" i="7"/>
  <c r="O208" i="7"/>
  <c r="U207" i="7"/>
  <c r="T207" i="7"/>
  <c r="S207" i="7"/>
  <c r="R207" i="7"/>
  <c r="Q207" i="7"/>
  <c r="P207" i="7"/>
  <c r="O207" i="7"/>
  <c r="U206" i="7"/>
  <c r="T206" i="7"/>
  <c r="S206" i="7"/>
  <c r="R206" i="7"/>
  <c r="Q206" i="7"/>
  <c r="P206" i="7"/>
  <c r="O206" i="7"/>
  <c r="U205" i="7"/>
  <c r="T205" i="7"/>
  <c r="S205" i="7"/>
  <c r="R205" i="7"/>
  <c r="Q205" i="7"/>
  <c r="P205" i="7"/>
  <c r="O205" i="7"/>
  <c r="U204" i="7"/>
  <c r="T204" i="7"/>
  <c r="S204" i="7"/>
  <c r="R204" i="7"/>
  <c r="Q204" i="7"/>
  <c r="P204" i="7"/>
  <c r="O204" i="7"/>
  <c r="U203" i="7"/>
  <c r="T203" i="7"/>
  <c r="S203" i="7"/>
  <c r="R203" i="7"/>
  <c r="Q203" i="7"/>
  <c r="P203" i="7"/>
  <c r="O203" i="7"/>
  <c r="U202" i="7"/>
  <c r="T202" i="7"/>
  <c r="S202" i="7"/>
  <c r="R202" i="7"/>
  <c r="Q202" i="7"/>
  <c r="P202" i="7"/>
  <c r="O202" i="7"/>
  <c r="U201" i="7"/>
  <c r="T201" i="7"/>
  <c r="S201" i="7"/>
  <c r="R201" i="7"/>
  <c r="Q201" i="7"/>
  <c r="P201" i="7"/>
  <c r="O201" i="7"/>
  <c r="U200" i="7"/>
  <c r="T200" i="7"/>
  <c r="S200" i="7"/>
  <c r="R200" i="7"/>
  <c r="Q200" i="7"/>
  <c r="P200" i="7"/>
  <c r="O200" i="7"/>
  <c r="U199" i="7"/>
  <c r="T199" i="7"/>
  <c r="S199" i="7"/>
  <c r="R199" i="7"/>
  <c r="Q199" i="7"/>
  <c r="P199" i="7"/>
  <c r="O199" i="7"/>
  <c r="U198" i="7"/>
  <c r="T198" i="7"/>
  <c r="S198" i="7"/>
  <c r="R198" i="7"/>
  <c r="Q198" i="7"/>
  <c r="P198" i="7"/>
  <c r="O198" i="7"/>
  <c r="U197" i="7"/>
  <c r="T197" i="7"/>
  <c r="S197" i="7"/>
  <c r="R197" i="7"/>
  <c r="Q197" i="7"/>
  <c r="P197" i="7"/>
  <c r="O197" i="7"/>
  <c r="U196" i="7"/>
  <c r="T196" i="7"/>
  <c r="S196" i="7"/>
  <c r="R196" i="7"/>
  <c r="Q196" i="7"/>
  <c r="P196" i="7"/>
  <c r="O196" i="7"/>
  <c r="U195" i="7"/>
  <c r="T195" i="7"/>
  <c r="S195" i="7"/>
  <c r="R195" i="7"/>
  <c r="Q195" i="7"/>
  <c r="P195" i="7"/>
  <c r="O195" i="7"/>
  <c r="U194" i="7"/>
  <c r="T194" i="7"/>
  <c r="S194" i="7"/>
  <c r="R194" i="7"/>
  <c r="Q194" i="7"/>
  <c r="P194" i="7"/>
  <c r="O194" i="7"/>
  <c r="U193" i="7"/>
  <c r="T193" i="7"/>
  <c r="S193" i="7"/>
  <c r="R193" i="7"/>
  <c r="Q193" i="7"/>
  <c r="P193" i="7"/>
  <c r="O193" i="7"/>
  <c r="U192" i="7"/>
  <c r="T192" i="7"/>
  <c r="S192" i="7"/>
  <c r="R192" i="7"/>
  <c r="Q192" i="7"/>
  <c r="P192" i="7"/>
  <c r="O192" i="7"/>
  <c r="U191" i="7"/>
  <c r="T191" i="7"/>
  <c r="S191" i="7"/>
  <c r="R191" i="7"/>
  <c r="Q191" i="7"/>
  <c r="P191" i="7"/>
  <c r="O191" i="7"/>
  <c r="U190" i="7"/>
  <c r="T190" i="7"/>
  <c r="S190" i="7"/>
  <c r="R190" i="7"/>
  <c r="Q190" i="7"/>
  <c r="P190" i="7"/>
  <c r="O190" i="7"/>
  <c r="U189" i="7"/>
  <c r="T189" i="7"/>
  <c r="S189" i="7"/>
  <c r="R189" i="7"/>
  <c r="Q189" i="7"/>
  <c r="P189" i="7"/>
  <c r="O189" i="7"/>
  <c r="U188" i="7"/>
  <c r="T188" i="7"/>
  <c r="S188" i="7"/>
  <c r="R188" i="7"/>
  <c r="Q188" i="7"/>
  <c r="P188" i="7"/>
  <c r="O188" i="7"/>
  <c r="U187" i="7"/>
  <c r="T187" i="7"/>
  <c r="S187" i="7"/>
  <c r="R187" i="7"/>
  <c r="Q187" i="7"/>
  <c r="P187" i="7"/>
  <c r="O187" i="7"/>
  <c r="U186" i="7"/>
  <c r="T186" i="7"/>
  <c r="S186" i="7"/>
  <c r="R186" i="7"/>
  <c r="Q186" i="7"/>
  <c r="P186" i="7"/>
  <c r="O186" i="7"/>
  <c r="U185" i="7"/>
  <c r="T185" i="7"/>
  <c r="S185" i="7"/>
  <c r="R185" i="7"/>
  <c r="Q185" i="7"/>
  <c r="P185" i="7"/>
  <c r="O185" i="7"/>
  <c r="U184" i="7"/>
  <c r="T184" i="7"/>
  <c r="S184" i="7"/>
  <c r="R184" i="7"/>
  <c r="Q184" i="7"/>
  <c r="P184" i="7"/>
  <c r="O184" i="7"/>
  <c r="U183" i="7"/>
  <c r="T183" i="7"/>
  <c r="S183" i="7"/>
  <c r="R183" i="7"/>
  <c r="Q183" i="7"/>
  <c r="P183" i="7"/>
  <c r="O183" i="7"/>
  <c r="U182" i="7"/>
  <c r="T182" i="7"/>
  <c r="S182" i="7"/>
  <c r="R182" i="7"/>
  <c r="Q182" i="7"/>
  <c r="P182" i="7"/>
  <c r="O182" i="7"/>
  <c r="U181" i="7"/>
  <c r="T181" i="7"/>
  <c r="S181" i="7"/>
  <c r="R181" i="7"/>
  <c r="Q181" i="7"/>
  <c r="P181" i="7"/>
  <c r="O181" i="7"/>
  <c r="U180" i="7"/>
  <c r="T180" i="7"/>
  <c r="S180" i="7"/>
  <c r="R180" i="7"/>
  <c r="Q180" i="7"/>
  <c r="P180" i="7"/>
  <c r="O180" i="7"/>
  <c r="U179" i="7"/>
  <c r="T179" i="7"/>
  <c r="S179" i="7"/>
  <c r="R179" i="7"/>
  <c r="Q179" i="7"/>
  <c r="P179" i="7"/>
  <c r="O179" i="7"/>
  <c r="U178" i="7"/>
  <c r="T178" i="7"/>
  <c r="S178" i="7"/>
  <c r="R178" i="7"/>
  <c r="Q178" i="7"/>
  <c r="P178" i="7"/>
  <c r="O178" i="7"/>
  <c r="U177" i="7"/>
  <c r="T177" i="7"/>
  <c r="S177" i="7"/>
  <c r="R177" i="7"/>
  <c r="Q177" i="7"/>
  <c r="P177" i="7"/>
  <c r="O177" i="7"/>
  <c r="U176" i="7"/>
  <c r="T176" i="7"/>
  <c r="S176" i="7"/>
  <c r="R176" i="7"/>
  <c r="Q176" i="7"/>
  <c r="P176" i="7"/>
  <c r="O176" i="7"/>
  <c r="U175" i="7"/>
  <c r="T175" i="7"/>
  <c r="S175" i="7"/>
  <c r="R175" i="7"/>
  <c r="Q175" i="7"/>
  <c r="P175" i="7"/>
  <c r="O175" i="7"/>
  <c r="U174" i="7"/>
  <c r="T174" i="7"/>
  <c r="S174" i="7"/>
  <c r="R174" i="7"/>
  <c r="Q174" i="7"/>
  <c r="P174" i="7"/>
  <c r="O174" i="7"/>
  <c r="U173" i="7"/>
  <c r="T173" i="7"/>
  <c r="S173" i="7"/>
  <c r="R173" i="7"/>
  <c r="Q173" i="7"/>
  <c r="P173" i="7"/>
  <c r="O173" i="7"/>
  <c r="U172" i="7"/>
  <c r="T172" i="7"/>
  <c r="S172" i="7"/>
  <c r="R172" i="7"/>
  <c r="Q172" i="7"/>
  <c r="P172" i="7"/>
  <c r="O172" i="7"/>
  <c r="U171" i="7"/>
  <c r="T171" i="7"/>
  <c r="S171" i="7"/>
  <c r="R171" i="7"/>
  <c r="Q171" i="7"/>
  <c r="P171" i="7"/>
  <c r="O171" i="7"/>
  <c r="U170" i="7"/>
  <c r="T170" i="7"/>
  <c r="S170" i="7"/>
  <c r="R170" i="7"/>
  <c r="Q170" i="7"/>
  <c r="P170" i="7"/>
  <c r="O170" i="7"/>
  <c r="U169" i="7"/>
  <c r="T169" i="7"/>
  <c r="S169" i="7"/>
  <c r="R169" i="7"/>
  <c r="Q169" i="7"/>
  <c r="P169" i="7"/>
  <c r="O169" i="7"/>
  <c r="U168" i="7"/>
  <c r="T168" i="7"/>
  <c r="S168" i="7"/>
  <c r="R168" i="7"/>
  <c r="Q168" i="7"/>
  <c r="P168" i="7"/>
  <c r="O168" i="7"/>
  <c r="U167" i="7"/>
  <c r="T167" i="7"/>
  <c r="S167" i="7"/>
  <c r="R167" i="7"/>
  <c r="Q167" i="7"/>
  <c r="P167" i="7"/>
  <c r="O167" i="7"/>
  <c r="U166" i="7"/>
  <c r="T166" i="7"/>
  <c r="S166" i="7"/>
  <c r="R166" i="7"/>
  <c r="Q166" i="7"/>
  <c r="P166" i="7"/>
  <c r="O166" i="7"/>
  <c r="U165" i="7"/>
  <c r="T165" i="7"/>
  <c r="S165" i="7"/>
  <c r="R165" i="7"/>
  <c r="Q165" i="7"/>
  <c r="P165" i="7"/>
  <c r="O165" i="7"/>
  <c r="U164" i="7"/>
  <c r="T164" i="7"/>
  <c r="S164" i="7"/>
  <c r="R164" i="7"/>
  <c r="Q164" i="7"/>
  <c r="P164" i="7"/>
  <c r="O164" i="7"/>
  <c r="U163" i="7"/>
  <c r="T163" i="7"/>
  <c r="S163" i="7"/>
  <c r="R163" i="7"/>
  <c r="Q163" i="7"/>
  <c r="P163" i="7"/>
  <c r="O163" i="7"/>
  <c r="U162" i="7"/>
  <c r="T162" i="7"/>
  <c r="S162" i="7"/>
  <c r="R162" i="7"/>
  <c r="Q162" i="7"/>
  <c r="P162" i="7"/>
  <c r="O162" i="7"/>
  <c r="U161" i="7"/>
  <c r="T161" i="7"/>
  <c r="S161" i="7"/>
  <c r="R161" i="7"/>
  <c r="Q161" i="7"/>
  <c r="P161" i="7"/>
  <c r="O161" i="7"/>
  <c r="U160" i="7"/>
  <c r="T160" i="7"/>
  <c r="S160" i="7"/>
  <c r="R160" i="7"/>
  <c r="Q160" i="7"/>
  <c r="P160" i="7"/>
  <c r="O160" i="7"/>
  <c r="U159" i="7"/>
  <c r="T159" i="7"/>
  <c r="S159" i="7"/>
  <c r="R159" i="7"/>
  <c r="Q159" i="7"/>
  <c r="P159" i="7"/>
  <c r="O159" i="7"/>
  <c r="U158" i="7"/>
  <c r="T158" i="7"/>
  <c r="S158" i="7"/>
  <c r="R158" i="7"/>
  <c r="Q158" i="7"/>
  <c r="P158" i="7"/>
  <c r="O158" i="7"/>
  <c r="U157" i="7"/>
  <c r="T157" i="7"/>
  <c r="S157" i="7"/>
  <c r="R157" i="7"/>
  <c r="Q157" i="7"/>
  <c r="P157" i="7"/>
  <c r="O157" i="7"/>
  <c r="U156" i="7"/>
  <c r="T156" i="7"/>
  <c r="S156" i="7"/>
  <c r="R156" i="7"/>
  <c r="Q156" i="7"/>
  <c r="P156" i="7"/>
  <c r="O156" i="7"/>
  <c r="U155" i="7"/>
  <c r="T155" i="7"/>
  <c r="S155" i="7"/>
  <c r="R155" i="7"/>
  <c r="Q155" i="7"/>
  <c r="P155" i="7"/>
  <c r="O155" i="7"/>
  <c r="U154" i="7"/>
  <c r="T154" i="7"/>
  <c r="S154" i="7"/>
  <c r="R154" i="7"/>
  <c r="Q154" i="7"/>
  <c r="P154" i="7"/>
  <c r="O154" i="7"/>
  <c r="U153" i="7"/>
  <c r="T153" i="7"/>
  <c r="S153" i="7"/>
  <c r="R153" i="7"/>
  <c r="Q153" i="7"/>
  <c r="P153" i="7"/>
  <c r="O153" i="7"/>
  <c r="U152" i="7"/>
  <c r="T152" i="7"/>
  <c r="S152" i="7"/>
  <c r="R152" i="7"/>
  <c r="Q152" i="7"/>
  <c r="P152" i="7"/>
  <c r="O152" i="7"/>
  <c r="U151" i="7"/>
  <c r="T151" i="7"/>
  <c r="S151" i="7"/>
  <c r="R151" i="7"/>
  <c r="Q151" i="7"/>
  <c r="P151" i="7"/>
  <c r="O151" i="7"/>
  <c r="U150" i="7"/>
  <c r="T150" i="7"/>
  <c r="S150" i="7"/>
  <c r="R150" i="7"/>
  <c r="Q150" i="7"/>
  <c r="P150" i="7"/>
  <c r="O150" i="7"/>
  <c r="U149" i="7"/>
  <c r="T149" i="7"/>
  <c r="S149" i="7"/>
  <c r="R149" i="7"/>
  <c r="Q149" i="7"/>
  <c r="P149" i="7"/>
  <c r="O149" i="7"/>
  <c r="U148" i="7"/>
  <c r="T148" i="7"/>
  <c r="S148" i="7"/>
  <c r="R148" i="7"/>
  <c r="Q148" i="7"/>
  <c r="P148" i="7"/>
  <c r="O148" i="7"/>
  <c r="U147" i="7"/>
  <c r="T147" i="7"/>
  <c r="S147" i="7"/>
  <c r="R147" i="7"/>
  <c r="Q147" i="7"/>
  <c r="P147" i="7"/>
  <c r="O147" i="7"/>
  <c r="U146" i="7"/>
  <c r="T146" i="7"/>
  <c r="S146" i="7"/>
  <c r="R146" i="7"/>
  <c r="Q146" i="7"/>
  <c r="P146" i="7"/>
  <c r="O146" i="7"/>
  <c r="U145" i="7"/>
  <c r="T145" i="7"/>
  <c r="S145" i="7"/>
  <c r="R145" i="7"/>
  <c r="Q145" i="7"/>
  <c r="P145" i="7"/>
  <c r="O145" i="7"/>
  <c r="U144" i="7"/>
  <c r="T144" i="7"/>
  <c r="S144" i="7"/>
  <c r="R144" i="7"/>
  <c r="Q144" i="7"/>
  <c r="P144" i="7"/>
  <c r="O144" i="7"/>
  <c r="U143" i="7"/>
  <c r="T143" i="7"/>
  <c r="S143" i="7"/>
  <c r="R143" i="7"/>
  <c r="Q143" i="7"/>
  <c r="P143" i="7"/>
  <c r="O143" i="7"/>
  <c r="U142" i="7"/>
  <c r="T142" i="7"/>
  <c r="S142" i="7"/>
  <c r="R142" i="7"/>
  <c r="Q142" i="7"/>
  <c r="P142" i="7"/>
  <c r="O142" i="7"/>
  <c r="U141" i="7"/>
  <c r="T141" i="7"/>
  <c r="S141" i="7"/>
  <c r="R141" i="7"/>
  <c r="Q141" i="7"/>
  <c r="P141" i="7"/>
  <c r="O141" i="7"/>
  <c r="U140" i="7"/>
  <c r="T140" i="7"/>
  <c r="S140" i="7"/>
  <c r="R140" i="7"/>
  <c r="Q140" i="7"/>
  <c r="P140" i="7"/>
  <c r="O140" i="7"/>
  <c r="U139" i="7"/>
  <c r="T139" i="7"/>
  <c r="S139" i="7"/>
  <c r="R139" i="7"/>
  <c r="Q139" i="7"/>
  <c r="P139" i="7"/>
  <c r="O139" i="7"/>
  <c r="U138" i="7"/>
  <c r="T138" i="7"/>
  <c r="S138" i="7"/>
  <c r="R138" i="7"/>
  <c r="Q138" i="7"/>
  <c r="P138" i="7"/>
  <c r="O138" i="7"/>
  <c r="U137" i="7"/>
  <c r="T137" i="7"/>
  <c r="S137" i="7"/>
  <c r="R137" i="7"/>
  <c r="Q137" i="7"/>
  <c r="P137" i="7"/>
  <c r="O137" i="7"/>
  <c r="U136" i="7"/>
  <c r="T136" i="7"/>
  <c r="S136" i="7"/>
  <c r="R136" i="7"/>
  <c r="Q136" i="7"/>
  <c r="P136" i="7"/>
  <c r="O136" i="7"/>
  <c r="U135" i="7"/>
  <c r="T135" i="7"/>
  <c r="S135" i="7"/>
  <c r="R135" i="7"/>
  <c r="Q135" i="7"/>
  <c r="P135" i="7"/>
  <c r="O135" i="7"/>
  <c r="U134" i="7"/>
  <c r="T134" i="7"/>
  <c r="S134" i="7"/>
  <c r="R134" i="7"/>
  <c r="Q134" i="7"/>
  <c r="P134" i="7"/>
  <c r="O134" i="7"/>
  <c r="U133" i="7"/>
  <c r="T133" i="7"/>
  <c r="S133" i="7"/>
  <c r="R133" i="7"/>
  <c r="Q133" i="7"/>
  <c r="P133" i="7"/>
  <c r="O133" i="7"/>
  <c r="U132" i="7"/>
  <c r="T132" i="7"/>
  <c r="S132" i="7"/>
  <c r="R132" i="7"/>
  <c r="Q132" i="7"/>
  <c r="P132" i="7"/>
  <c r="O132" i="7"/>
  <c r="U131" i="7"/>
  <c r="T131" i="7"/>
  <c r="S131" i="7"/>
  <c r="R131" i="7"/>
  <c r="Q131" i="7"/>
  <c r="P131" i="7"/>
  <c r="O131" i="7"/>
  <c r="U130" i="7"/>
  <c r="T130" i="7"/>
  <c r="S130" i="7"/>
  <c r="R130" i="7"/>
  <c r="Q130" i="7"/>
  <c r="P130" i="7"/>
  <c r="O130" i="7"/>
  <c r="U129" i="7"/>
  <c r="T129" i="7"/>
  <c r="S129" i="7"/>
  <c r="R129" i="7"/>
  <c r="Q129" i="7"/>
  <c r="P129" i="7"/>
  <c r="O129" i="7"/>
  <c r="U128" i="7"/>
  <c r="T128" i="7"/>
  <c r="S128" i="7"/>
  <c r="R128" i="7"/>
  <c r="Q128" i="7"/>
  <c r="P128" i="7"/>
  <c r="O128" i="7"/>
  <c r="U127" i="7"/>
  <c r="T127" i="7"/>
  <c r="S127" i="7"/>
  <c r="R127" i="7"/>
  <c r="Q127" i="7"/>
  <c r="P127" i="7"/>
  <c r="O127" i="7"/>
  <c r="U126" i="7"/>
  <c r="T126" i="7"/>
  <c r="S126" i="7"/>
  <c r="R126" i="7"/>
  <c r="Q126" i="7"/>
  <c r="P126" i="7"/>
  <c r="O126" i="7"/>
  <c r="U125" i="7"/>
  <c r="T125" i="7"/>
  <c r="S125" i="7"/>
  <c r="R125" i="7"/>
  <c r="Q125" i="7"/>
  <c r="P125" i="7"/>
  <c r="O125" i="7"/>
  <c r="U124" i="7"/>
  <c r="T124" i="7"/>
  <c r="S124" i="7"/>
  <c r="R124" i="7"/>
  <c r="Q124" i="7"/>
  <c r="P124" i="7"/>
  <c r="O124" i="7"/>
  <c r="U123" i="7"/>
  <c r="T123" i="7"/>
  <c r="S123" i="7"/>
  <c r="R123" i="7"/>
  <c r="Q123" i="7"/>
  <c r="P123" i="7"/>
  <c r="O123" i="7"/>
  <c r="U122" i="7"/>
  <c r="T122" i="7"/>
  <c r="S122" i="7"/>
  <c r="R122" i="7"/>
  <c r="Q122" i="7"/>
  <c r="P122" i="7"/>
  <c r="O122" i="7"/>
  <c r="U121" i="7"/>
  <c r="T121" i="7"/>
  <c r="S121" i="7"/>
  <c r="R121" i="7"/>
  <c r="Q121" i="7"/>
  <c r="P121" i="7"/>
  <c r="O121" i="7"/>
  <c r="U120" i="7"/>
  <c r="T120" i="7"/>
  <c r="S120" i="7"/>
  <c r="R120" i="7"/>
  <c r="Q120" i="7"/>
  <c r="P120" i="7"/>
  <c r="O120" i="7"/>
  <c r="U119" i="7"/>
  <c r="T119" i="7"/>
  <c r="S119" i="7"/>
  <c r="R119" i="7"/>
  <c r="Q119" i="7"/>
  <c r="P119" i="7"/>
  <c r="O119" i="7"/>
  <c r="U118" i="7"/>
  <c r="T118" i="7"/>
  <c r="S118" i="7"/>
  <c r="R118" i="7"/>
  <c r="Q118" i="7"/>
  <c r="P118" i="7"/>
  <c r="O118" i="7"/>
  <c r="U117" i="7"/>
  <c r="T117" i="7"/>
  <c r="S117" i="7"/>
  <c r="R117" i="7"/>
  <c r="Q117" i="7"/>
  <c r="P117" i="7"/>
  <c r="O117" i="7"/>
  <c r="U116" i="7"/>
  <c r="T116" i="7"/>
  <c r="S116" i="7"/>
  <c r="R116" i="7"/>
  <c r="Q116" i="7"/>
  <c r="P116" i="7"/>
  <c r="O116" i="7"/>
  <c r="U115" i="7"/>
  <c r="T115" i="7"/>
  <c r="S115" i="7"/>
  <c r="R115" i="7"/>
  <c r="Q115" i="7"/>
  <c r="P115" i="7"/>
  <c r="O115" i="7"/>
  <c r="U114" i="7"/>
  <c r="T114" i="7"/>
  <c r="S114" i="7"/>
  <c r="R114" i="7"/>
  <c r="Q114" i="7"/>
  <c r="P114" i="7"/>
  <c r="O114" i="7"/>
  <c r="U113" i="7"/>
  <c r="T113" i="7"/>
  <c r="S113" i="7"/>
  <c r="R113" i="7"/>
  <c r="Q113" i="7"/>
  <c r="P113" i="7"/>
  <c r="O113" i="7"/>
  <c r="U112" i="7"/>
  <c r="T112" i="7"/>
  <c r="S112" i="7"/>
  <c r="R112" i="7"/>
  <c r="Q112" i="7"/>
  <c r="P112" i="7"/>
  <c r="O112" i="7"/>
  <c r="U111" i="7"/>
  <c r="T111" i="7"/>
  <c r="S111" i="7"/>
  <c r="R111" i="7"/>
  <c r="Q111" i="7"/>
  <c r="P111" i="7"/>
  <c r="O111" i="7"/>
  <c r="U110" i="7"/>
  <c r="T110" i="7"/>
  <c r="S110" i="7"/>
  <c r="R110" i="7"/>
  <c r="Q110" i="7"/>
  <c r="P110" i="7"/>
  <c r="O110" i="7"/>
  <c r="U109" i="7"/>
  <c r="T109" i="7"/>
  <c r="S109" i="7"/>
  <c r="R109" i="7"/>
  <c r="Q109" i="7"/>
  <c r="P109" i="7"/>
  <c r="O109" i="7"/>
  <c r="U108" i="7"/>
  <c r="T108" i="7"/>
  <c r="S108" i="7"/>
  <c r="R108" i="7"/>
  <c r="Q108" i="7"/>
  <c r="P108" i="7"/>
  <c r="O108" i="7"/>
  <c r="U107" i="7"/>
  <c r="T107" i="7"/>
  <c r="S107" i="7"/>
  <c r="R107" i="7"/>
  <c r="Q107" i="7"/>
  <c r="P107" i="7"/>
  <c r="O107" i="7"/>
  <c r="U106" i="7"/>
  <c r="T106" i="7"/>
  <c r="S106" i="7"/>
  <c r="R106" i="7"/>
  <c r="Q106" i="7"/>
  <c r="P106" i="7"/>
  <c r="O106" i="7"/>
  <c r="U105" i="7"/>
  <c r="T105" i="7"/>
  <c r="S105" i="7"/>
  <c r="R105" i="7"/>
  <c r="Q105" i="7"/>
  <c r="P105" i="7"/>
  <c r="O105" i="7"/>
  <c r="U104" i="7"/>
  <c r="T104" i="7"/>
  <c r="S104" i="7"/>
  <c r="R104" i="7"/>
  <c r="Q104" i="7"/>
  <c r="P104" i="7"/>
  <c r="O104" i="7"/>
  <c r="U103" i="7"/>
  <c r="T103" i="7"/>
  <c r="S103" i="7"/>
  <c r="R103" i="7"/>
  <c r="Q103" i="7"/>
  <c r="P103" i="7"/>
  <c r="O103" i="7"/>
  <c r="U102" i="7"/>
  <c r="T102" i="7"/>
  <c r="S102" i="7"/>
  <c r="R102" i="7"/>
  <c r="Q102" i="7"/>
  <c r="P102" i="7"/>
  <c r="O102" i="7"/>
  <c r="U101" i="7"/>
  <c r="T101" i="7"/>
  <c r="S101" i="7"/>
  <c r="R101" i="7"/>
  <c r="Q101" i="7"/>
  <c r="P101" i="7"/>
  <c r="O101" i="7"/>
  <c r="U100" i="7"/>
  <c r="T100" i="7"/>
  <c r="S100" i="7"/>
  <c r="R100" i="7"/>
  <c r="Q100" i="7"/>
  <c r="P100" i="7"/>
  <c r="O100" i="7"/>
  <c r="U99" i="7"/>
  <c r="T99" i="7"/>
  <c r="S99" i="7"/>
  <c r="R99" i="7"/>
  <c r="Q99" i="7"/>
  <c r="P99" i="7"/>
  <c r="O99" i="7"/>
  <c r="U98" i="7"/>
  <c r="T98" i="7"/>
  <c r="S98" i="7"/>
  <c r="R98" i="7"/>
  <c r="Q98" i="7"/>
  <c r="P98" i="7"/>
  <c r="O98" i="7"/>
  <c r="U97" i="7"/>
  <c r="T97" i="7"/>
  <c r="S97" i="7"/>
  <c r="R97" i="7"/>
  <c r="Q97" i="7"/>
  <c r="P97" i="7"/>
  <c r="O97" i="7"/>
  <c r="U96" i="7"/>
  <c r="T96" i="7"/>
  <c r="S96" i="7"/>
  <c r="R96" i="7"/>
  <c r="Q96" i="7"/>
  <c r="P96" i="7"/>
  <c r="O96" i="7"/>
  <c r="U95" i="7"/>
  <c r="T95" i="7"/>
  <c r="S95" i="7"/>
  <c r="R95" i="7"/>
  <c r="Q95" i="7"/>
  <c r="P95" i="7"/>
  <c r="O95" i="7"/>
  <c r="U94" i="7"/>
  <c r="T94" i="7"/>
  <c r="S94" i="7"/>
  <c r="R94" i="7"/>
  <c r="Q94" i="7"/>
  <c r="P94" i="7"/>
  <c r="O94" i="7"/>
  <c r="U93" i="7"/>
  <c r="T93" i="7"/>
  <c r="S93" i="7"/>
  <c r="R93" i="7"/>
  <c r="Q93" i="7"/>
  <c r="P93" i="7"/>
  <c r="O93" i="7"/>
  <c r="U92" i="7"/>
  <c r="T92" i="7"/>
  <c r="S92" i="7"/>
  <c r="R92" i="7"/>
  <c r="Q92" i="7"/>
  <c r="P92" i="7"/>
  <c r="O92" i="7"/>
  <c r="U91" i="7"/>
  <c r="T91" i="7"/>
  <c r="S91" i="7"/>
  <c r="R91" i="7"/>
  <c r="Q91" i="7"/>
  <c r="P91" i="7"/>
  <c r="O91" i="7"/>
  <c r="U90" i="7"/>
  <c r="T90" i="7"/>
  <c r="S90" i="7"/>
  <c r="R90" i="7"/>
  <c r="Q90" i="7"/>
  <c r="P90" i="7"/>
  <c r="O90" i="7"/>
  <c r="U89" i="7"/>
  <c r="T89" i="7"/>
  <c r="S89" i="7"/>
  <c r="R89" i="7"/>
  <c r="Q89" i="7"/>
  <c r="P89" i="7"/>
  <c r="O89" i="7"/>
  <c r="U88" i="7"/>
  <c r="T88" i="7"/>
  <c r="S88" i="7"/>
  <c r="R88" i="7"/>
  <c r="Q88" i="7"/>
  <c r="P88" i="7"/>
  <c r="O88" i="7"/>
  <c r="U87" i="7"/>
  <c r="T87" i="7"/>
  <c r="S87" i="7"/>
  <c r="R87" i="7"/>
  <c r="Q87" i="7"/>
  <c r="P87" i="7"/>
  <c r="O87" i="7"/>
  <c r="U86" i="7"/>
  <c r="T86" i="7"/>
  <c r="S86" i="7"/>
  <c r="R86" i="7"/>
  <c r="Q86" i="7"/>
  <c r="P86" i="7"/>
  <c r="O86" i="7"/>
  <c r="U85" i="7"/>
  <c r="T85" i="7"/>
  <c r="S85" i="7"/>
  <c r="R85" i="7"/>
  <c r="Q85" i="7"/>
  <c r="P85" i="7"/>
  <c r="O85" i="7"/>
  <c r="U84" i="7"/>
  <c r="T84" i="7"/>
  <c r="S84" i="7"/>
  <c r="R84" i="7"/>
  <c r="Q84" i="7"/>
  <c r="P84" i="7"/>
  <c r="O84" i="7"/>
  <c r="U83" i="7"/>
  <c r="T83" i="7"/>
  <c r="S83" i="7"/>
  <c r="R83" i="7"/>
  <c r="Q83" i="7"/>
  <c r="P83" i="7"/>
  <c r="O83" i="7"/>
  <c r="U82" i="7"/>
  <c r="T82" i="7"/>
  <c r="S82" i="7"/>
  <c r="R82" i="7"/>
  <c r="Q82" i="7"/>
  <c r="P82" i="7"/>
  <c r="O82" i="7"/>
  <c r="U81" i="7"/>
  <c r="T81" i="7"/>
  <c r="S81" i="7"/>
  <c r="R81" i="7"/>
  <c r="Q81" i="7"/>
  <c r="P81" i="7"/>
  <c r="O81" i="7"/>
  <c r="U80" i="7"/>
  <c r="T80" i="7"/>
  <c r="S80" i="7"/>
  <c r="R80" i="7"/>
  <c r="Q80" i="7"/>
  <c r="P80" i="7"/>
  <c r="O80" i="7"/>
  <c r="U79" i="7"/>
  <c r="T79" i="7"/>
  <c r="S79" i="7"/>
  <c r="R79" i="7"/>
  <c r="Q79" i="7"/>
  <c r="P79" i="7"/>
  <c r="O79" i="7"/>
  <c r="U78" i="7"/>
  <c r="T78" i="7"/>
  <c r="S78" i="7"/>
  <c r="R78" i="7"/>
  <c r="Q78" i="7"/>
  <c r="P78" i="7"/>
  <c r="O78" i="7"/>
  <c r="U77" i="7"/>
  <c r="T77" i="7"/>
  <c r="S77" i="7"/>
  <c r="R77" i="7"/>
  <c r="Q77" i="7"/>
  <c r="P77" i="7"/>
  <c r="O77" i="7"/>
  <c r="U76" i="7"/>
  <c r="T76" i="7"/>
  <c r="S76" i="7"/>
  <c r="R76" i="7"/>
  <c r="Q76" i="7"/>
  <c r="P76" i="7"/>
  <c r="O76" i="7"/>
  <c r="U75" i="7"/>
  <c r="T75" i="7"/>
  <c r="S75" i="7"/>
  <c r="R75" i="7"/>
  <c r="Q75" i="7"/>
  <c r="P75" i="7"/>
  <c r="O75" i="7"/>
  <c r="U74" i="7"/>
  <c r="T74" i="7"/>
  <c r="S74" i="7"/>
  <c r="R74" i="7"/>
  <c r="Q74" i="7"/>
  <c r="P74" i="7"/>
  <c r="O74" i="7"/>
  <c r="U73" i="7"/>
  <c r="T73" i="7"/>
  <c r="S73" i="7"/>
  <c r="R73" i="7"/>
  <c r="Q73" i="7"/>
  <c r="P73" i="7"/>
  <c r="O73" i="7"/>
  <c r="U72" i="7"/>
  <c r="T72" i="7"/>
  <c r="S72" i="7"/>
  <c r="R72" i="7"/>
  <c r="Q72" i="7"/>
  <c r="P72" i="7"/>
  <c r="O72" i="7"/>
  <c r="U71" i="7"/>
  <c r="T71" i="7"/>
  <c r="S71" i="7"/>
  <c r="R71" i="7"/>
  <c r="Q71" i="7"/>
  <c r="P71" i="7"/>
  <c r="O71" i="7"/>
  <c r="U70" i="7"/>
  <c r="T70" i="7"/>
  <c r="S70" i="7"/>
  <c r="R70" i="7"/>
  <c r="Q70" i="7"/>
  <c r="P70" i="7"/>
  <c r="O70" i="7"/>
  <c r="U69" i="7"/>
  <c r="T69" i="7"/>
  <c r="S69" i="7"/>
  <c r="R69" i="7"/>
  <c r="Q69" i="7"/>
  <c r="P69" i="7"/>
  <c r="O69" i="7"/>
  <c r="U68" i="7"/>
  <c r="T68" i="7"/>
  <c r="S68" i="7"/>
  <c r="R68" i="7"/>
  <c r="Q68" i="7"/>
  <c r="P68" i="7"/>
  <c r="O68" i="7"/>
  <c r="U67" i="7"/>
  <c r="T67" i="7"/>
  <c r="S67" i="7"/>
  <c r="R67" i="7"/>
  <c r="Q67" i="7"/>
  <c r="P67" i="7"/>
  <c r="O67" i="7"/>
  <c r="U66" i="7"/>
  <c r="T66" i="7"/>
  <c r="S66" i="7"/>
  <c r="R66" i="7"/>
  <c r="Q66" i="7"/>
  <c r="P66" i="7"/>
  <c r="O66" i="7"/>
  <c r="U65" i="7"/>
  <c r="T65" i="7"/>
  <c r="S65" i="7"/>
  <c r="R65" i="7"/>
  <c r="Q65" i="7"/>
  <c r="P65" i="7"/>
  <c r="O65" i="7"/>
  <c r="U64" i="7"/>
  <c r="T64" i="7"/>
  <c r="S64" i="7"/>
  <c r="R64" i="7"/>
  <c r="Q64" i="7"/>
  <c r="P64" i="7"/>
  <c r="O64" i="7"/>
  <c r="U63" i="7"/>
  <c r="T63" i="7"/>
  <c r="S63" i="7"/>
  <c r="R63" i="7"/>
  <c r="Q63" i="7"/>
  <c r="P63" i="7"/>
  <c r="O63" i="7"/>
  <c r="U62" i="7"/>
  <c r="T62" i="7"/>
  <c r="S62" i="7"/>
  <c r="R62" i="7"/>
  <c r="Q62" i="7"/>
  <c r="P62" i="7"/>
  <c r="O62" i="7"/>
  <c r="U61" i="7"/>
  <c r="T61" i="7"/>
  <c r="S61" i="7"/>
  <c r="R61" i="7"/>
  <c r="Q61" i="7"/>
  <c r="P61" i="7"/>
  <c r="O61" i="7"/>
  <c r="U60" i="7"/>
  <c r="T60" i="7"/>
  <c r="S60" i="7"/>
  <c r="R60" i="7"/>
  <c r="Q60" i="7"/>
  <c r="P60" i="7"/>
  <c r="O60" i="7"/>
  <c r="U59" i="7"/>
  <c r="T59" i="7"/>
  <c r="S59" i="7"/>
  <c r="R59" i="7"/>
  <c r="Q59" i="7"/>
  <c r="P59" i="7"/>
  <c r="O59" i="7"/>
  <c r="U58" i="7"/>
  <c r="T58" i="7"/>
  <c r="S58" i="7"/>
  <c r="R58" i="7"/>
  <c r="Q58" i="7"/>
  <c r="P58" i="7"/>
  <c r="O58" i="7"/>
  <c r="U57" i="7"/>
  <c r="T57" i="7"/>
  <c r="S57" i="7"/>
  <c r="R57" i="7"/>
  <c r="Q57" i="7"/>
  <c r="P57" i="7"/>
  <c r="O57" i="7"/>
  <c r="U56" i="7"/>
  <c r="T56" i="7"/>
  <c r="S56" i="7"/>
  <c r="R56" i="7"/>
  <c r="Q56" i="7"/>
  <c r="P56" i="7"/>
  <c r="O56" i="7"/>
  <c r="U55" i="7"/>
  <c r="T55" i="7"/>
  <c r="S55" i="7"/>
  <c r="R55" i="7"/>
  <c r="Q55" i="7"/>
  <c r="P55" i="7"/>
  <c r="O55" i="7"/>
  <c r="U54" i="7"/>
  <c r="T54" i="7"/>
  <c r="S54" i="7"/>
  <c r="R54" i="7"/>
  <c r="Q54" i="7"/>
  <c r="P54" i="7"/>
  <c r="O54" i="7"/>
  <c r="U53" i="7"/>
  <c r="T53" i="7"/>
  <c r="S53" i="7"/>
  <c r="R53" i="7"/>
  <c r="Q53" i="7"/>
  <c r="P53" i="7"/>
  <c r="O53" i="7"/>
  <c r="U52" i="7"/>
  <c r="T52" i="7"/>
  <c r="S52" i="7"/>
  <c r="R52" i="7"/>
  <c r="Q52" i="7"/>
  <c r="P52" i="7"/>
  <c r="O52" i="7"/>
  <c r="U51" i="7"/>
  <c r="T51" i="7"/>
  <c r="S51" i="7"/>
  <c r="R51" i="7"/>
  <c r="Q51" i="7"/>
  <c r="P51" i="7"/>
  <c r="O51" i="7"/>
  <c r="U50" i="7"/>
  <c r="T50" i="7"/>
  <c r="S50" i="7"/>
  <c r="R50" i="7"/>
  <c r="Q50" i="7"/>
  <c r="P50" i="7"/>
  <c r="O50" i="7"/>
  <c r="U49" i="7"/>
  <c r="T49" i="7"/>
  <c r="S49" i="7"/>
  <c r="R49" i="7"/>
  <c r="Q49" i="7"/>
  <c r="P49" i="7"/>
  <c r="O49" i="7"/>
  <c r="U48" i="7"/>
  <c r="T48" i="7"/>
  <c r="S48" i="7"/>
  <c r="R48" i="7"/>
  <c r="Q48" i="7"/>
  <c r="P48" i="7"/>
  <c r="O48" i="7"/>
  <c r="U47" i="7"/>
  <c r="T47" i="7"/>
  <c r="S47" i="7"/>
  <c r="R47" i="7"/>
  <c r="Q47" i="7"/>
  <c r="P47" i="7"/>
  <c r="O47" i="7"/>
  <c r="U46" i="7"/>
  <c r="T46" i="7"/>
  <c r="S46" i="7"/>
  <c r="R46" i="7"/>
  <c r="Q46" i="7"/>
  <c r="P46" i="7"/>
  <c r="O46" i="7"/>
  <c r="U45" i="7"/>
  <c r="T45" i="7"/>
  <c r="S45" i="7"/>
  <c r="R45" i="7"/>
  <c r="Q45" i="7"/>
  <c r="P45" i="7"/>
  <c r="O45" i="7"/>
  <c r="U44" i="7"/>
  <c r="T44" i="7"/>
  <c r="S44" i="7"/>
  <c r="R44" i="7"/>
  <c r="Q44" i="7"/>
  <c r="P44" i="7"/>
  <c r="O44" i="7"/>
  <c r="U43" i="7"/>
  <c r="T43" i="7"/>
  <c r="S43" i="7"/>
  <c r="R43" i="7"/>
  <c r="Q43" i="7"/>
  <c r="P43" i="7"/>
  <c r="O43" i="7"/>
  <c r="U42" i="7"/>
  <c r="T42" i="7"/>
  <c r="S42" i="7"/>
  <c r="R42" i="7"/>
  <c r="Q42" i="7"/>
  <c r="P42" i="7"/>
  <c r="O42" i="7"/>
  <c r="U41" i="7"/>
  <c r="T41" i="7"/>
  <c r="S41" i="7"/>
  <c r="R41" i="7"/>
  <c r="Q41" i="7"/>
  <c r="P41" i="7"/>
  <c r="O41" i="7"/>
  <c r="U40" i="7"/>
  <c r="T40" i="7"/>
  <c r="S40" i="7"/>
  <c r="R40" i="7"/>
  <c r="Q40" i="7"/>
  <c r="P40" i="7"/>
  <c r="O40" i="7"/>
  <c r="U39" i="7"/>
  <c r="T39" i="7"/>
  <c r="S39" i="7"/>
  <c r="R39" i="7"/>
  <c r="Q39" i="7"/>
  <c r="P39" i="7"/>
  <c r="O39" i="7"/>
  <c r="U38" i="7"/>
  <c r="T38" i="7"/>
  <c r="S38" i="7"/>
  <c r="R38" i="7"/>
  <c r="Q38" i="7"/>
  <c r="P38" i="7"/>
  <c r="O38" i="7"/>
  <c r="U37" i="7"/>
  <c r="T37" i="7"/>
  <c r="S37" i="7"/>
  <c r="R37" i="7"/>
  <c r="Q37" i="7"/>
  <c r="P37" i="7"/>
  <c r="O37" i="7"/>
  <c r="U36" i="7"/>
  <c r="T36" i="7"/>
  <c r="S36" i="7"/>
  <c r="R36" i="7"/>
  <c r="Q36" i="7"/>
  <c r="P36" i="7"/>
  <c r="O36" i="7"/>
  <c r="U35" i="7"/>
  <c r="T35" i="7"/>
  <c r="S35" i="7"/>
  <c r="R35" i="7"/>
  <c r="Q35" i="7"/>
  <c r="P35" i="7"/>
  <c r="O35" i="7"/>
  <c r="U34" i="7"/>
  <c r="T34" i="7"/>
  <c r="S34" i="7"/>
  <c r="R34" i="7"/>
  <c r="Q34" i="7"/>
  <c r="P34" i="7"/>
  <c r="O34" i="7"/>
  <c r="U33" i="7"/>
  <c r="T33" i="7"/>
  <c r="S33" i="7"/>
  <c r="R33" i="7"/>
  <c r="Q33" i="7"/>
  <c r="P33" i="7"/>
  <c r="O33" i="7"/>
  <c r="U32" i="7"/>
  <c r="T32" i="7"/>
  <c r="S32" i="7"/>
  <c r="R32" i="7"/>
  <c r="Q32" i="7"/>
  <c r="P32" i="7"/>
  <c r="O32" i="7"/>
  <c r="U31" i="7"/>
  <c r="T31" i="7"/>
  <c r="S31" i="7"/>
  <c r="R31" i="7"/>
  <c r="Q31" i="7"/>
  <c r="P31" i="7"/>
  <c r="O31" i="7"/>
  <c r="U30" i="7"/>
  <c r="T30" i="7"/>
  <c r="S30" i="7"/>
  <c r="R30" i="7"/>
  <c r="Q30" i="7"/>
  <c r="P30" i="7"/>
  <c r="O30" i="7"/>
  <c r="U29" i="7"/>
  <c r="T29" i="7"/>
  <c r="S29" i="7"/>
  <c r="R29" i="7"/>
  <c r="Q29" i="7"/>
  <c r="P29" i="7"/>
  <c r="O29" i="7"/>
  <c r="U28" i="7"/>
  <c r="T28" i="7"/>
  <c r="S28" i="7"/>
  <c r="R28" i="7"/>
  <c r="Q28" i="7"/>
  <c r="P28" i="7"/>
  <c r="O28" i="7"/>
  <c r="U27" i="7"/>
  <c r="T27" i="7"/>
  <c r="S27" i="7"/>
  <c r="R27" i="7"/>
  <c r="Q27" i="7"/>
  <c r="P27" i="7"/>
  <c r="O27" i="7"/>
  <c r="U26" i="7"/>
  <c r="T26" i="7"/>
  <c r="S26" i="7"/>
  <c r="R26" i="7"/>
  <c r="Q26" i="7"/>
  <c r="P26" i="7"/>
  <c r="O26" i="7"/>
  <c r="U25" i="7"/>
  <c r="T25" i="7"/>
  <c r="S25" i="7"/>
  <c r="R25" i="7"/>
  <c r="Q25" i="7"/>
  <c r="P25" i="7"/>
  <c r="O25" i="7"/>
  <c r="U24" i="7"/>
  <c r="T24" i="7"/>
  <c r="S24" i="7"/>
  <c r="R24" i="7"/>
  <c r="Q24" i="7"/>
  <c r="P24" i="7"/>
  <c r="O24" i="7"/>
  <c r="U23" i="7"/>
  <c r="T23" i="7"/>
  <c r="S23" i="7"/>
  <c r="R23" i="7"/>
  <c r="Q23" i="7"/>
  <c r="P23" i="7"/>
  <c r="O23" i="7"/>
  <c r="U22" i="7"/>
  <c r="T22" i="7"/>
  <c r="S22" i="7"/>
  <c r="R22" i="7"/>
  <c r="Q22" i="7"/>
  <c r="P22" i="7"/>
  <c r="O22" i="7"/>
  <c r="U21" i="7"/>
  <c r="T21" i="7"/>
  <c r="S21" i="7"/>
  <c r="R21" i="7"/>
  <c r="Q21" i="7"/>
  <c r="P21" i="7"/>
  <c r="O21" i="7"/>
  <c r="U20" i="7"/>
  <c r="T20" i="7"/>
  <c r="S20" i="7"/>
  <c r="R20" i="7"/>
  <c r="Q20" i="7"/>
  <c r="P20" i="7"/>
  <c r="O20" i="7"/>
  <c r="U19" i="7"/>
  <c r="T19" i="7"/>
  <c r="S19" i="7"/>
  <c r="R19" i="7"/>
  <c r="Q19" i="7"/>
  <c r="P19" i="7"/>
  <c r="O19" i="7"/>
  <c r="U18" i="7"/>
  <c r="T18" i="7"/>
  <c r="S18" i="7"/>
  <c r="R18" i="7"/>
  <c r="Q18" i="7"/>
  <c r="P18" i="7"/>
  <c r="O18" i="7"/>
  <c r="U17" i="7"/>
  <c r="T17" i="7"/>
  <c r="S17" i="7"/>
  <c r="R17" i="7"/>
  <c r="Q17" i="7"/>
  <c r="P17" i="7"/>
  <c r="O17" i="7"/>
  <c r="U16" i="7"/>
  <c r="T16" i="7"/>
  <c r="S16" i="7"/>
  <c r="R16" i="7"/>
  <c r="Q16" i="7"/>
  <c r="P16" i="7"/>
  <c r="O16" i="7"/>
  <c r="U15" i="7"/>
  <c r="T15" i="7"/>
  <c r="S15" i="7"/>
  <c r="R15" i="7"/>
  <c r="Q15" i="7"/>
  <c r="P15" i="7"/>
  <c r="O15" i="7"/>
  <c r="U14" i="7"/>
  <c r="T14" i="7"/>
  <c r="S14" i="7"/>
  <c r="R14" i="7"/>
  <c r="Q14" i="7"/>
  <c r="P14" i="7"/>
  <c r="O14" i="7"/>
  <c r="U13" i="7"/>
  <c r="T13" i="7"/>
  <c r="S13" i="7"/>
  <c r="R13" i="7"/>
  <c r="Q13" i="7"/>
  <c r="P13" i="7"/>
  <c r="O13" i="7"/>
  <c r="U12" i="7"/>
  <c r="T12" i="7"/>
  <c r="S12" i="7"/>
  <c r="R12" i="7"/>
  <c r="Q12" i="7"/>
  <c r="P12" i="7"/>
  <c r="O12" i="7"/>
  <c r="U11" i="7"/>
  <c r="T11" i="7"/>
  <c r="S11" i="7"/>
  <c r="R11" i="7"/>
  <c r="Q11" i="7"/>
  <c r="P11" i="7"/>
  <c r="O11" i="7"/>
  <c r="U10" i="7"/>
  <c r="T10" i="7"/>
  <c r="S10" i="7"/>
  <c r="R10" i="7"/>
  <c r="Q10" i="7"/>
  <c r="P10" i="7"/>
  <c r="O10" i="7"/>
  <c r="U9" i="7"/>
  <c r="T9" i="7"/>
  <c r="S9" i="7"/>
  <c r="R9" i="7"/>
  <c r="Q9" i="7"/>
  <c r="P9" i="7"/>
  <c r="O9" i="7"/>
  <c r="U8" i="7"/>
  <c r="T8" i="7"/>
  <c r="S8" i="7"/>
  <c r="R8" i="7"/>
  <c r="Q8" i="7"/>
  <c r="P8" i="7"/>
  <c r="O8" i="7"/>
  <c r="U7" i="7"/>
  <c r="T7" i="7"/>
  <c r="S7" i="7"/>
  <c r="R7" i="7"/>
  <c r="Q7" i="7"/>
  <c r="P7" i="7"/>
  <c r="O7" i="7"/>
  <c r="U6" i="7"/>
  <c r="T6" i="7"/>
  <c r="S6" i="7"/>
  <c r="R6" i="7"/>
  <c r="Q6" i="7"/>
  <c r="P6" i="7"/>
  <c r="O6" i="7"/>
  <c r="U5" i="7"/>
  <c r="T5" i="7"/>
  <c r="S5" i="7"/>
  <c r="R5" i="7"/>
  <c r="Q5" i="7"/>
  <c r="P5" i="7"/>
  <c r="O5" i="7"/>
  <c r="U4" i="7"/>
  <c r="T4" i="7"/>
  <c r="S4" i="7"/>
  <c r="R4" i="7"/>
  <c r="Q4" i="7"/>
  <c r="P4" i="7"/>
  <c r="O4" i="7"/>
  <c r="U3" i="7"/>
  <c r="T3" i="7"/>
  <c r="S3" i="7"/>
  <c r="R3" i="7"/>
  <c r="Q3" i="7"/>
  <c r="P3" i="7"/>
  <c r="O3" i="7"/>
  <c r="U2" i="7"/>
  <c r="T2" i="7"/>
  <c r="S2" i="7"/>
  <c r="R2" i="7"/>
  <c r="Q2" i="7"/>
  <c r="P2" i="7"/>
  <c r="O2" i="7"/>
  <c r="J913" i="6"/>
  <c r="I913" i="6"/>
  <c r="H913" i="6"/>
  <c r="G913" i="6"/>
  <c r="J912" i="6"/>
  <c r="I912" i="6"/>
  <c r="H912" i="6"/>
  <c r="G912" i="6"/>
  <c r="J911" i="6"/>
  <c r="I911" i="6"/>
  <c r="H911" i="6"/>
  <c r="G911" i="6"/>
  <c r="J910" i="6"/>
  <c r="I910" i="6"/>
  <c r="H910" i="6"/>
  <c r="G910" i="6"/>
  <c r="J909" i="6"/>
  <c r="I909" i="6"/>
  <c r="H909" i="6"/>
  <c r="G909" i="6"/>
  <c r="J908" i="6"/>
  <c r="I908" i="6"/>
  <c r="H908" i="6"/>
  <c r="G908" i="6"/>
  <c r="J907" i="6"/>
  <c r="I907" i="6"/>
  <c r="H907" i="6"/>
  <c r="G907" i="6"/>
  <c r="J906" i="6"/>
  <c r="I906" i="6"/>
  <c r="H906" i="6"/>
  <c r="G906" i="6"/>
  <c r="J905" i="6"/>
  <c r="I905" i="6"/>
  <c r="H905" i="6"/>
  <c r="G905" i="6"/>
  <c r="J904" i="6"/>
  <c r="I904" i="6"/>
  <c r="H904" i="6"/>
  <c r="G904" i="6"/>
  <c r="J903" i="6"/>
  <c r="I903" i="6"/>
  <c r="H903" i="6"/>
  <c r="G903" i="6"/>
  <c r="J902" i="6"/>
  <c r="I902" i="6"/>
  <c r="H902" i="6"/>
  <c r="G902" i="6"/>
  <c r="J901" i="6"/>
  <c r="I901" i="6"/>
  <c r="H901" i="6"/>
  <c r="G901" i="6"/>
  <c r="J900" i="6"/>
  <c r="I900" i="6"/>
  <c r="H900" i="6"/>
  <c r="G900" i="6"/>
  <c r="J899" i="6"/>
  <c r="I899" i="6"/>
  <c r="H899" i="6"/>
  <c r="G899" i="6"/>
  <c r="J898" i="6"/>
  <c r="I898" i="6"/>
  <c r="H898" i="6"/>
  <c r="G898" i="6"/>
  <c r="J897" i="6"/>
  <c r="I897" i="6"/>
  <c r="H897" i="6"/>
  <c r="G897" i="6"/>
  <c r="J896" i="6"/>
  <c r="I896" i="6"/>
  <c r="H896" i="6"/>
  <c r="G896" i="6"/>
  <c r="J895" i="6"/>
  <c r="I895" i="6"/>
  <c r="H895" i="6"/>
  <c r="G895" i="6"/>
  <c r="J894" i="6"/>
  <c r="I894" i="6"/>
  <c r="H894" i="6"/>
  <c r="G894" i="6"/>
  <c r="J893" i="6"/>
  <c r="I893" i="6"/>
  <c r="H893" i="6"/>
  <c r="G893" i="6"/>
  <c r="J892" i="6"/>
  <c r="I892" i="6"/>
  <c r="H892" i="6"/>
  <c r="G892" i="6"/>
  <c r="J891" i="6"/>
  <c r="I891" i="6"/>
  <c r="H891" i="6"/>
  <c r="G891" i="6"/>
  <c r="J890" i="6"/>
  <c r="I890" i="6"/>
  <c r="H890" i="6"/>
  <c r="G890" i="6"/>
  <c r="J889" i="6"/>
  <c r="I889" i="6"/>
  <c r="H889" i="6"/>
  <c r="G889" i="6"/>
  <c r="J888" i="6"/>
  <c r="I888" i="6"/>
  <c r="H888" i="6"/>
  <c r="G888" i="6"/>
  <c r="J887" i="6"/>
  <c r="I887" i="6"/>
  <c r="H887" i="6"/>
  <c r="G887" i="6"/>
  <c r="J886" i="6"/>
  <c r="I886" i="6"/>
  <c r="H886" i="6"/>
  <c r="G886" i="6"/>
  <c r="J885" i="6"/>
  <c r="I885" i="6"/>
  <c r="H885" i="6"/>
  <c r="G885" i="6"/>
  <c r="J884" i="6"/>
  <c r="I884" i="6"/>
  <c r="H884" i="6"/>
  <c r="G884" i="6"/>
  <c r="J883" i="6"/>
  <c r="I883" i="6"/>
  <c r="H883" i="6"/>
  <c r="G883" i="6"/>
  <c r="J882" i="6"/>
  <c r="I882" i="6"/>
  <c r="H882" i="6"/>
  <c r="G882" i="6"/>
  <c r="J881" i="6"/>
  <c r="I881" i="6"/>
  <c r="H881" i="6"/>
  <c r="G881" i="6"/>
  <c r="J880" i="6"/>
  <c r="I880" i="6"/>
  <c r="H880" i="6"/>
  <c r="G880" i="6"/>
  <c r="J879" i="6"/>
  <c r="I879" i="6"/>
  <c r="H879" i="6"/>
  <c r="G879" i="6"/>
  <c r="J878" i="6"/>
  <c r="I878" i="6"/>
  <c r="H878" i="6"/>
  <c r="G878" i="6"/>
  <c r="J877" i="6"/>
  <c r="I877" i="6"/>
  <c r="H877" i="6"/>
  <c r="G877" i="6"/>
  <c r="J876" i="6"/>
  <c r="I876" i="6"/>
  <c r="H876" i="6"/>
  <c r="G876" i="6"/>
  <c r="J875" i="6"/>
  <c r="I875" i="6"/>
  <c r="H875" i="6"/>
  <c r="G875" i="6"/>
  <c r="J874" i="6"/>
  <c r="I874" i="6"/>
  <c r="H874" i="6"/>
  <c r="G874" i="6"/>
  <c r="J873" i="6"/>
  <c r="I873" i="6"/>
  <c r="H873" i="6"/>
  <c r="G873" i="6"/>
  <c r="J872" i="6"/>
  <c r="I872" i="6"/>
  <c r="H872" i="6"/>
  <c r="G872" i="6"/>
  <c r="J871" i="6"/>
  <c r="I871" i="6"/>
  <c r="H871" i="6"/>
  <c r="G871" i="6"/>
  <c r="J870" i="6"/>
  <c r="I870" i="6"/>
  <c r="H870" i="6"/>
  <c r="G870" i="6"/>
  <c r="J869" i="6"/>
  <c r="I869" i="6"/>
  <c r="H869" i="6"/>
  <c r="G869" i="6"/>
  <c r="J868" i="6"/>
  <c r="I868" i="6"/>
  <c r="H868" i="6"/>
  <c r="G868" i="6"/>
  <c r="J867" i="6"/>
  <c r="I867" i="6"/>
  <c r="H867" i="6"/>
  <c r="G867" i="6"/>
  <c r="J866" i="6"/>
  <c r="I866" i="6"/>
  <c r="H866" i="6"/>
  <c r="G866" i="6"/>
  <c r="J865" i="6"/>
  <c r="I865" i="6"/>
  <c r="H865" i="6"/>
  <c r="G865" i="6"/>
  <c r="J864" i="6"/>
  <c r="I864" i="6"/>
  <c r="H864" i="6"/>
  <c r="G864" i="6"/>
  <c r="J863" i="6"/>
  <c r="I863" i="6"/>
  <c r="H863" i="6"/>
  <c r="G863" i="6"/>
  <c r="J862" i="6"/>
  <c r="I862" i="6"/>
  <c r="H862" i="6"/>
  <c r="G862" i="6"/>
  <c r="J861" i="6"/>
  <c r="I861" i="6"/>
  <c r="H861" i="6"/>
  <c r="G861" i="6"/>
  <c r="J860" i="6"/>
  <c r="I860" i="6"/>
  <c r="H860" i="6"/>
  <c r="G860" i="6"/>
  <c r="J859" i="6"/>
  <c r="I859" i="6"/>
  <c r="H859" i="6"/>
  <c r="G859" i="6"/>
  <c r="J858" i="6"/>
  <c r="I858" i="6"/>
  <c r="H858" i="6"/>
  <c r="G858" i="6"/>
  <c r="J857" i="6"/>
  <c r="I857" i="6"/>
  <c r="H857" i="6"/>
  <c r="G857" i="6"/>
  <c r="J856" i="6"/>
  <c r="I856" i="6"/>
  <c r="H856" i="6"/>
  <c r="G856" i="6"/>
  <c r="J855" i="6"/>
  <c r="I855" i="6"/>
  <c r="H855" i="6"/>
  <c r="G855" i="6"/>
  <c r="J854" i="6"/>
  <c r="I854" i="6"/>
  <c r="H854" i="6"/>
  <c r="G854" i="6"/>
  <c r="J853" i="6"/>
  <c r="I853" i="6"/>
  <c r="H853" i="6"/>
  <c r="G853" i="6"/>
  <c r="J852" i="6"/>
  <c r="I852" i="6"/>
  <c r="H852" i="6"/>
  <c r="G852" i="6"/>
  <c r="J851" i="6"/>
  <c r="I851" i="6"/>
  <c r="H851" i="6"/>
  <c r="G851" i="6"/>
  <c r="J850" i="6"/>
  <c r="I850" i="6"/>
  <c r="H850" i="6"/>
  <c r="G850" i="6"/>
  <c r="J849" i="6"/>
  <c r="I849" i="6"/>
  <c r="H849" i="6"/>
  <c r="G849" i="6"/>
  <c r="J848" i="6"/>
  <c r="I848" i="6"/>
  <c r="H848" i="6"/>
  <c r="G848" i="6"/>
  <c r="J847" i="6"/>
  <c r="I847" i="6"/>
  <c r="H847" i="6"/>
  <c r="G847" i="6"/>
  <c r="J846" i="6"/>
  <c r="I846" i="6"/>
  <c r="H846" i="6"/>
  <c r="G846" i="6"/>
  <c r="J845" i="6"/>
  <c r="I845" i="6"/>
  <c r="H845" i="6"/>
  <c r="G845" i="6"/>
  <c r="J844" i="6"/>
  <c r="I844" i="6"/>
  <c r="H844" i="6"/>
  <c r="G844" i="6"/>
  <c r="J843" i="6"/>
  <c r="I843" i="6"/>
  <c r="H843" i="6"/>
  <c r="G843" i="6"/>
  <c r="J842" i="6"/>
  <c r="I842" i="6"/>
  <c r="H842" i="6"/>
  <c r="G842" i="6"/>
  <c r="J841" i="6"/>
  <c r="I841" i="6"/>
  <c r="H841" i="6"/>
  <c r="G841" i="6"/>
  <c r="J840" i="6"/>
  <c r="I840" i="6"/>
  <c r="H840" i="6"/>
  <c r="G840" i="6"/>
  <c r="J839" i="6"/>
  <c r="I839" i="6"/>
  <c r="H839" i="6"/>
  <c r="G839" i="6"/>
  <c r="J838" i="6"/>
  <c r="I838" i="6"/>
  <c r="H838" i="6"/>
  <c r="G838" i="6"/>
  <c r="J837" i="6"/>
  <c r="I837" i="6"/>
  <c r="H837" i="6"/>
  <c r="G837" i="6"/>
  <c r="J836" i="6"/>
  <c r="I836" i="6"/>
  <c r="H836" i="6"/>
  <c r="G836" i="6"/>
  <c r="J835" i="6"/>
  <c r="I835" i="6"/>
  <c r="H835" i="6"/>
  <c r="G835" i="6"/>
  <c r="J834" i="6"/>
  <c r="I834" i="6"/>
  <c r="H834" i="6"/>
  <c r="G834" i="6"/>
  <c r="J833" i="6"/>
  <c r="I833" i="6"/>
  <c r="H833" i="6"/>
  <c r="G833" i="6"/>
  <c r="J832" i="6"/>
  <c r="I832" i="6"/>
  <c r="H832" i="6"/>
  <c r="G832" i="6"/>
  <c r="J831" i="6"/>
  <c r="I831" i="6"/>
  <c r="H831" i="6"/>
  <c r="G831" i="6"/>
  <c r="J830" i="6"/>
  <c r="I830" i="6"/>
  <c r="H830" i="6"/>
  <c r="G830" i="6"/>
  <c r="J829" i="6"/>
  <c r="I829" i="6"/>
  <c r="H829" i="6"/>
  <c r="G829" i="6"/>
  <c r="J828" i="6"/>
  <c r="I828" i="6"/>
  <c r="H828" i="6"/>
  <c r="G828" i="6"/>
  <c r="J827" i="6"/>
  <c r="I827" i="6"/>
  <c r="H827" i="6"/>
  <c r="G827" i="6"/>
  <c r="J826" i="6"/>
  <c r="I826" i="6"/>
  <c r="H826" i="6"/>
  <c r="G826" i="6"/>
  <c r="J825" i="6"/>
  <c r="I825" i="6"/>
  <c r="H825" i="6"/>
  <c r="G825" i="6"/>
  <c r="J824" i="6"/>
  <c r="I824" i="6"/>
  <c r="H824" i="6"/>
  <c r="G824" i="6"/>
  <c r="J823" i="6"/>
  <c r="I823" i="6"/>
  <c r="H823" i="6"/>
  <c r="G823" i="6"/>
  <c r="J822" i="6"/>
  <c r="I822" i="6"/>
  <c r="H822" i="6"/>
  <c r="G822" i="6"/>
  <c r="J821" i="6"/>
  <c r="I821" i="6"/>
  <c r="H821" i="6"/>
  <c r="G821" i="6"/>
  <c r="J820" i="6"/>
  <c r="I820" i="6"/>
  <c r="H820" i="6"/>
  <c r="G820" i="6"/>
  <c r="J819" i="6"/>
  <c r="I819" i="6"/>
  <c r="H819" i="6"/>
  <c r="G819" i="6"/>
  <c r="J818" i="6"/>
  <c r="I818" i="6"/>
  <c r="H818" i="6"/>
  <c r="G818" i="6"/>
  <c r="J817" i="6"/>
  <c r="I817" i="6"/>
  <c r="H817" i="6"/>
  <c r="G817" i="6"/>
  <c r="J816" i="6"/>
  <c r="I816" i="6"/>
  <c r="H816" i="6"/>
  <c r="G816" i="6"/>
  <c r="J815" i="6"/>
  <c r="I815" i="6"/>
  <c r="H815" i="6"/>
  <c r="G815" i="6"/>
  <c r="J814" i="6"/>
  <c r="I814" i="6"/>
  <c r="H814" i="6"/>
  <c r="G814" i="6"/>
  <c r="J813" i="6"/>
  <c r="I813" i="6"/>
  <c r="H813" i="6"/>
  <c r="G813" i="6"/>
  <c r="J812" i="6"/>
  <c r="I812" i="6"/>
  <c r="H812" i="6"/>
  <c r="G812" i="6"/>
  <c r="J811" i="6"/>
  <c r="I811" i="6"/>
  <c r="H811" i="6"/>
  <c r="G811" i="6"/>
  <c r="J810" i="6"/>
  <c r="I810" i="6"/>
  <c r="H810" i="6"/>
  <c r="G810" i="6"/>
  <c r="J809" i="6"/>
  <c r="I809" i="6"/>
  <c r="H809" i="6"/>
  <c r="G809" i="6"/>
  <c r="J808" i="6"/>
  <c r="I808" i="6"/>
  <c r="H808" i="6"/>
  <c r="G808" i="6"/>
  <c r="J807" i="6"/>
  <c r="I807" i="6"/>
  <c r="H807" i="6"/>
  <c r="G807" i="6"/>
  <c r="J806" i="6"/>
  <c r="I806" i="6"/>
  <c r="H806" i="6"/>
  <c r="G806" i="6"/>
  <c r="J805" i="6"/>
  <c r="I805" i="6"/>
  <c r="H805" i="6"/>
  <c r="G805" i="6"/>
  <c r="J804" i="6"/>
  <c r="I804" i="6"/>
  <c r="H804" i="6"/>
  <c r="G804" i="6"/>
  <c r="J803" i="6"/>
  <c r="I803" i="6"/>
  <c r="H803" i="6"/>
  <c r="G803" i="6"/>
  <c r="J802" i="6"/>
  <c r="I802" i="6"/>
  <c r="H802" i="6"/>
  <c r="G802" i="6"/>
  <c r="J801" i="6"/>
  <c r="I801" i="6"/>
  <c r="H801" i="6"/>
  <c r="G801" i="6"/>
  <c r="J800" i="6"/>
  <c r="I800" i="6"/>
  <c r="H800" i="6"/>
  <c r="G800" i="6"/>
  <c r="J799" i="6"/>
  <c r="I799" i="6"/>
  <c r="H799" i="6"/>
  <c r="G799" i="6"/>
  <c r="J798" i="6"/>
  <c r="I798" i="6"/>
  <c r="H798" i="6"/>
  <c r="G798" i="6"/>
  <c r="J797" i="6"/>
  <c r="I797" i="6"/>
  <c r="H797" i="6"/>
  <c r="G797" i="6"/>
  <c r="J796" i="6"/>
  <c r="I796" i="6"/>
  <c r="H796" i="6"/>
  <c r="G796" i="6"/>
  <c r="J795" i="6"/>
  <c r="I795" i="6"/>
  <c r="H795" i="6"/>
  <c r="G795" i="6"/>
  <c r="J794" i="6"/>
  <c r="I794" i="6"/>
  <c r="H794" i="6"/>
  <c r="G794" i="6"/>
  <c r="J793" i="6"/>
  <c r="I793" i="6"/>
  <c r="H793" i="6"/>
  <c r="G793" i="6"/>
  <c r="J792" i="6"/>
  <c r="I792" i="6"/>
  <c r="H792" i="6"/>
  <c r="G792" i="6"/>
  <c r="J791" i="6"/>
  <c r="I791" i="6"/>
  <c r="H791" i="6"/>
  <c r="G791" i="6"/>
  <c r="J790" i="6"/>
  <c r="I790" i="6"/>
  <c r="H790" i="6"/>
  <c r="G790" i="6"/>
  <c r="J789" i="6"/>
  <c r="I789" i="6"/>
  <c r="H789" i="6"/>
  <c r="G789" i="6"/>
  <c r="J788" i="6"/>
  <c r="I788" i="6"/>
  <c r="H788" i="6"/>
  <c r="G788" i="6"/>
  <c r="J787" i="6"/>
  <c r="I787" i="6"/>
  <c r="H787" i="6"/>
  <c r="G787" i="6"/>
  <c r="J786" i="6"/>
  <c r="I786" i="6"/>
  <c r="H786" i="6"/>
  <c r="G786" i="6"/>
  <c r="J785" i="6"/>
  <c r="I785" i="6"/>
  <c r="H785" i="6"/>
  <c r="G785" i="6"/>
  <c r="J784" i="6"/>
  <c r="I784" i="6"/>
  <c r="H784" i="6"/>
  <c r="G784" i="6"/>
  <c r="J783" i="6"/>
  <c r="I783" i="6"/>
  <c r="H783" i="6"/>
  <c r="G783" i="6"/>
  <c r="J782" i="6"/>
  <c r="I782" i="6"/>
  <c r="H782" i="6"/>
  <c r="G782" i="6"/>
  <c r="J781" i="6"/>
  <c r="I781" i="6"/>
  <c r="H781" i="6"/>
  <c r="G781" i="6"/>
  <c r="J780" i="6"/>
  <c r="I780" i="6"/>
  <c r="H780" i="6"/>
  <c r="G780" i="6"/>
  <c r="J779" i="6"/>
  <c r="I779" i="6"/>
  <c r="H779" i="6"/>
  <c r="G779" i="6"/>
  <c r="J778" i="6"/>
  <c r="I778" i="6"/>
  <c r="H778" i="6"/>
  <c r="G778" i="6"/>
  <c r="J777" i="6"/>
  <c r="I777" i="6"/>
  <c r="H777" i="6"/>
  <c r="G777" i="6"/>
  <c r="J776" i="6"/>
  <c r="I776" i="6"/>
  <c r="H776" i="6"/>
  <c r="G776" i="6"/>
  <c r="J775" i="6"/>
  <c r="I775" i="6"/>
  <c r="H775" i="6"/>
  <c r="G775" i="6"/>
  <c r="J774" i="6"/>
  <c r="I774" i="6"/>
  <c r="H774" i="6"/>
  <c r="G774" i="6"/>
  <c r="J773" i="6"/>
  <c r="I773" i="6"/>
  <c r="H773" i="6"/>
  <c r="G773" i="6"/>
  <c r="J772" i="6"/>
  <c r="I772" i="6"/>
  <c r="H772" i="6"/>
  <c r="G772" i="6"/>
  <c r="J771" i="6"/>
  <c r="I771" i="6"/>
  <c r="H771" i="6"/>
  <c r="G771" i="6"/>
  <c r="J770" i="6"/>
  <c r="I770" i="6"/>
  <c r="H770" i="6"/>
  <c r="G770" i="6"/>
  <c r="J769" i="6"/>
  <c r="I769" i="6"/>
  <c r="H769" i="6"/>
  <c r="G769" i="6"/>
  <c r="J768" i="6"/>
  <c r="I768" i="6"/>
  <c r="H768" i="6"/>
  <c r="G768" i="6"/>
  <c r="J767" i="6"/>
  <c r="I767" i="6"/>
  <c r="H767" i="6"/>
  <c r="G767" i="6"/>
  <c r="J766" i="6"/>
  <c r="I766" i="6"/>
  <c r="H766" i="6"/>
  <c r="G766" i="6"/>
  <c r="J765" i="6"/>
  <c r="I765" i="6"/>
  <c r="H765" i="6"/>
  <c r="G765" i="6"/>
  <c r="J764" i="6"/>
  <c r="I764" i="6"/>
  <c r="H764" i="6"/>
  <c r="G764" i="6"/>
  <c r="J763" i="6"/>
  <c r="I763" i="6"/>
  <c r="H763" i="6"/>
  <c r="G763" i="6"/>
  <c r="J762" i="6"/>
  <c r="I762" i="6"/>
  <c r="H762" i="6"/>
  <c r="G762" i="6"/>
  <c r="J761" i="6"/>
  <c r="I761" i="6"/>
  <c r="H761" i="6"/>
  <c r="G761" i="6"/>
  <c r="J760" i="6"/>
  <c r="I760" i="6"/>
  <c r="H760" i="6"/>
  <c r="G760" i="6"/>
  <c r="J759" i="6"/>
  <c r="I759" i="6"/>
  <c r="H759" i="6"/>
  <c r="G759" i="6"/>
  <c r="J758" i="6"/>
  <c r="I758" i="6"/>
  <c r="H758" i="6"/>
  <c r="G758" i="6"/>
  <c r="J757" i="6"/>
  <c r="I757" i="6"/>
  <c r="H757" i="6"/>
  <c r="G757" i="6"/>
  <c r="J756" i="6"/>
  <c r="I756" i="6"/>
  <c r="H756" i="6"/>
  <c r="G756" i="6"/>
  <c r="J755" i="6"/>
  <c r="I755" i="6"/>
  <c r="H755" i="6"/>
  <c r="G755" i="6"/>
  <c r="J754" i="6"/>
  <c r="I754" i="6"/>
  <c r="H754" i="6"/>
  <c r="G754" i="6"/>
  <c r="J753" i="6"/>
  <c r="I753" i="6"/>
  <c r="H753" i="6"/>
  <c r="G753" i="6"/>
  <c r="J752" i="6"/>
  <c r="I752" i="6"/>
  <c r="H752" i="6"/>
  <c r="G752" i="6"/>
  <c r="J751" i="6"/>
  <c r="I751" i="6"/>
  <c r="H751" i="6"/>
  <c r="G751" i="6"/>
  <c r="J750" i="6"/>
  <c r="I750" i="6"/>
  <c r="H750" i="6"/>
  <c r="G750" i="6"/>
  <c r="J749" i="6"/>
  <c r="I749" i="6"/>
  <c r="H749" i="6"/>
  <c r="G749" i="6"/>
  <c r="J748" i="6"/>
  <c r="I748" i="6"/>
  <c r="H748" i="6"/>
  <c r="G748" i="6"/>
  <c r="J747" i="6"/>
  <c r="I747" i="6"/>
  <c r="H747" i="6"/>
  <c r="G747" i="6"/>
  <c r="J746" i="6"/>
  <c r="I746" i="6"/>
  <c r="H746" i="6"/>
  <c r="G746" i="6"/>
  <c r="J745" i="6"/>
  <c r="I745" i="6"/>
  <c r="H745" i="6"/>
  <c r="G745" i="6"/>
  <c r="J744" i="6"/>
  <c r="I744" i="6"/>
  <c r="H744" i="6"/>
  <c r="G744" i="6"/>
  <c r="J743" i="6"/>
  <c r="I743" i="6"/>
  <c r="H743" i="6"/>
  <c r="G743" i="6"/>
  <c r="J742" i="6"/>
  <c r="I742" i="6"/>
  <c r="H742" i="6"/>
  <c r="G742" i="6"/>
  <c r="J741" i="6"/>
  <c r="I741" i="6"/>
  <c r="H741" i="6"/>
  <c r="G741" i="6"/>
  <c r="J740" i="6"/>
  <c r="I740" i="6"/>
  <c r="H740" i="6"/>
  <c r="G740" i="6"/>
  <c r="J739" i="6"/>
  <c r="I739" i="6"/>
  <c r="H739" i="6"/>
  <c r="G739" i="6"/>
  <c r="J738" i="6"/>
  <c r="I738" i="6"/>
  <c r="H738" i="6"/>
  <c r="G738" i="6"/>
  <c r="J737" i="6"/>
  <c r="I737" i="6"/>
  <c r="H737" i="6"/>
  <c r="G737" i="6"/>
  <c r="J736" i="6"/>
  <c r="I736" i="6"/>
  <c r="H736" i="6"/>
  <c r="G736" i="6"/>
  <c r="J735" i="6"/>
  <c r="I735" i="6"/>
  <c r="H735" i="6"/>
  <c r="G735" i="6"/>
  <c r="J734" i="6"/>
  <c r="I734" i="6"/>
  <c r="H734" i="6"/>
  <c r="G734" i="6"/>
  <c r="J733" i="6"/>
  <c r="I733" i="6"/>
  <c r="H733" i="6"/>
  <c r="G733" i="6"/>
  <c r="J732" i="6"/>
  <c r="I732" i="6"/>
  <c r="H732" i="6"/>
  <c r="G732" i="6"/>
  <c r="J731" i="6"/>
  <c r="I731" i="6"/>
  <c r="H731" i="6"/>
  <c r="G731" i="6"/>
  <c r="J730" i="6"/>
  <c r="I730" i="6"/>
  <c r="H730" i="6"/>
  <c r="G730" i="6"/>
  <c r="J729" i="6"/>
  <c r="I729" i="6"/>
  <c r="H729" i="6"/>
  <c r="G729" i="6"/>
  <c r="J728" i="6"/>
  <c r="I728" i="6"/>
  <c r="H728" i="6"/>
  <c r="G728" i="6"/>
  <c r="J727" i="6"/>
  <c r="I727" i="6"/>
  <c r="H727" i="6"/>
  <c r="G727" i="6"/>
  <c r="J726" i="6"/>
  <c r="I726" i="6"/>
  <c r="H726" i="6"/>
  <c r="G726" i="6"/>
  <c r="J725" i="6"/>
  <c r="I725" i="6"/>
  <c r="H725" i="6"/>
  <c r="G725" i="6"/>
  <c r="J724" i="6"/>
  <c r="I724" i="6"/>
  <c r="H724" i="6"/>
  <c r="G724" i="6"/>
  <c r="J723" i="6"/>
  <c r="I723" i="6"/>
  <c r="H723" i="6"/>
  <c r="G723" i="6"/>
  <c r="J722" i="6"/>
  <c r="I722" i="6"/>
  <c r="H722" i="6"/>
  <c r="G722" i="6"/>
  <c r="J721" i="6"/>
  <c r="I721" i="6"/>
  <c r="H721" i="6"/>
  <c r="G721" i="6"/>
  <c r="J720" i="6"/>
  <c r="I720" i="6"/>
  <c r="H720" i="6"/>
  <c r="G720" i="6"/>
  <c r="J719" i="6"/>
  <c r="I719" i="6"/>
  <c r="H719" i="6"/>
  <c r="G719" i="6"/>
  <c r="J718" i="6"/>
  <c r="I718" i="6"/>
  <c r="H718" i="6"/>
  <c r="G718" i="6"/>
  <c r="J717" i="6"/>
  <c r="I717" i="6"/>
  <c r="H717" i="6"/>
  <c r="G717" i="6"/>
  <c r="J716" i="6"/>
  <c r="I716" i="6"/>
  <c r="H716" i="6"/>
  <c r="G716" i="6"/>
  <c r="J715" i="6"/>
  <c r="I715" i="6"/>
  <c r="H715" i="6"/>
  <c r="G715" i="6"/>
  <c r="J714" i="6"/>
  <c r="I714" i="6"/>
  <c r="H714" i="6"/>
  <c r="G714" i="6"/>
  <c r="J713" i="6"/>
  <c r="I713" i="6"/>
  <c r="H713" i="6"/>
  <c r="G713" i="6"/>
  <c r="J712" i="6"/>
  <c r="I712" i="6"/>
  <c r="H712" i="6"/>
  <c r="G712" i="6"/>
  <c r="J711" i="6"/>
  <c r="I711" i="6"/>
  <c r="H711" i="6"/>
  <c r="G711" i="6"/>
  <c r="J710" i="6"/>
  <c r="I710" i="6"/>
  <c r="H710" i="6"/>
  <c r="G710" i="6"/>
  <c r="J709" i="6"/>
  <c r="I709" i="6"/>
  <c r="H709" i="6"/>
  <c r="G709" i="6"/>
  <c r="J708" i="6"/>
  <c r="I708" i="6"/>
  <c r="H708" i="6"/>
  <c r="G708" i="6"/>
  <c r="J707" i="6"/>
  <c r="I707" i="6"/>
  <c r="H707" i="6"/>
  <c r="G707" i="6"/>
  <c r="J706" i="6"/>
  <c r="I706" i="6"/>
  <c r="H706" i="6"/>
  <c r="G706" i="6"/>
  <c r="J705" i="6"/>
  <c r="I705" i="6"/>
  <c r="H705" i="6"/>
  <c r="G705" i="6"/>
  <c r="J704" i="6"/>
  <c r="I704" i="6"/>
  <c r="H704" i="6"/>
  <c r="G704" i="6"/>
  <c r="J703" i="6"/>
  <c r="I703" i="6"/>
  <c r="H703" i="6"/>
  <c r="G703" i="6"/>
  <c r="J702" i="6"/>
  <c r="I702" i="6"/>
  <c r="H702" i="6"/>
  <c r="G702" i="6"/>
  <c r="J701" i="6"/>
  <c r="I701" i="6"/>
  <c r="H701" i="6"/>
  <c r="G701" i="6"/>
  <c r="J700" i="6"/>
  <c r="I700" i="6"/>
  <c r="H700" i="6"/>
  <c r="G700" i="6"/>
  <c r="J699" i="6"/>
  <c r="I699" i="6"/>
  <c r="H699" i="6"/>
  <c r="G699" i="6"/>
  <c r="J698" i="6"/>
  <c r="I698" i="6"/>
  <c r="H698" i="6"/>
  <c r="G698" i="6"/>
  <c r="J697" i="6"/>
  <c r="I697" i="6"/>
  <c r="H697" i="6"/>
  <c r="G697" i="6"/>
  <c r="J696" i="6"/>
  <c r="I696" i="6"/>
  <c r="H696" i="6"/>
  <c r="G696" i="6"/>
  <c r="J695" i="6"/>
  <c r="I695" i="6"/>
  <c r="H695" i="6"/>
  <c r="G695" i="6"/>
  <c r="J694" i="6"/>
  <c r="I694" i="6"/>
  <c r="H694" i="6"/>
  <c r="G694" i="6"/>
  <c r="J693" i="6"/>
  <c r="I693" i="6"/>
  <c r="H693" i="6"/>
  <c r="G693" i="6"/>
  <c r="J692" i="6"/>
  <c r="I692" i="6"/>
  <c r="H692" i="6"/>
  <c r="G692" i="6"/>
  <c r="J691" i="6"/>
  <c r="I691" i="6"/>
  <c r="H691" i="6"/>
  <c r="G691" i="6"/>
  <c r="J690" i="6"/>
  <c r="I690" i="6"/>
  <c r="H690" i="6"/>
  <c r="G690" i="6"/>
  <c r="J689" i="6"/>
  <c r="I689" i="6"/>
  <c r="H689" i="6"/>
  <c r="G689" i="6"/>
  <c r="J688" i="6"/>
  <c r="I688" i="6"/>
  <c r="H688" i="6"/>
  <c r="G688" i="6"/>
  <c r="J687" i="6"/>
  <c r="I687" i="6"/>
  <c r="H687" i="6"/>
  <c r="G687" i="6"/>
  <c r="J686" i="6"/>
  <c r="I686" i="6"/>
  <c r="H686" i="6"/>
  <c r="G686" i="6"/>
  <c r="J685" i="6"/>
  <c r="I685" i="6"/>
  <c r="H685" i="6"/>
  <c r="G685" i="6"/>
  <c r="J684" i="6"/>
  <c r="I684" i="6"/>
  <c r="H684" i="6"/>
  <c r="G684" i="6"/>
  <c r="J683" i="6"/>
  <c r="I683" i="6"/>
  <c r="H683" i="6"/>
  <c r="G683" i="6"/>
  <c r="J682" i="6"/>
  <c r="I682" i="6"/>
  <c r="H682" i="6"/>
  <c r="G682" i="6"/>
  <c r="J681" i="6"/>
  <c r="I681" i="6"/>
  <c r="H681" i="6"/>
  <c r="G681" i="6"/>
  <c r="J680" i="6"/>
  <c r="I680" i="6"/>
  <c r="H680" i="6"/>
  <c r="G680" i="6"/>
  <c r="J679" i="6"/>
  <c r="I679" i="6"/>
  <c r="H679" i="6"/>
  <c r="G679" i="6"/>
  <c r="J678" i="6"/>
  <c r="I678" i="6"/>
  <c r="H678" i="6"/>
  <c r="G678" i="6"/>
  <c r="J677" i="6"/>
  <c r="I677" i="6"/>
  <c r="H677" i="6"/>
  <c r="G677" i="6"/>
  <c r="J676" i="6"/>
  <c r="I676" i="6"/>
  <c r="H676" i="6"/>
  <c r="G676" i="6"/>
  <c r="J675" i="6"/>
  <c r="I675" i="6"/>
  <c r="H675" i="6"/>
  <c r="G675" i="6"/>
  <c r="J674" i="6"/>
  <c r="I674" i="6"/>
  <c r="H674" i="6"/>
  <c r="G674" i="6"/>
  <c r="J673" i="6"/>
  <c r="I673" i="6"/>
  <c r="H673" i="6"/>
  <c r="G673" i="6"/>
  <c r="J672" i="6"/>
  <c r="I672" i="6"/>
  <c r="H672" i="6"/>
  <c r="G672" i="6"/>
  <c r="J671" i="6"/>
  <c r="I671" i="6"/>
  <c r="H671" i="6"/>
  <c r="G671" i="6"/>
  <c r="J670" i="6"/>
  <c r="I670" i="6"/>
  <c r="H670" i="6"/>
  <c r="G670" i="6"/>
  <c r="J669" i="6"/>
  <c r="I669" i="6"/>
  <c r="H669" i="6"/>
  <c r="G669" i="6"/>
  <c r="J668" i="6"/>
  <c r="I668" i="6"/>
  <c r="H668" i="6"/>
  <c r="G668" i="6"/>
  <c r="J667" i="6"/>
  <c r="I667" i="6"/>
  <c r="H667" i="6"/>
  <c r="G667" i="6"/>
  <c r="J666" i="6"/>
  <c r="I666" i="6"/>
  <c r="H666" i="6"/>
  <c r="G666" i="6"/>
  <c r="J665" i="6"/>
  <c r="I665" i="6"/>
  <c r="H665" i="6"/>
  <c r="G665" i="6"/>
  <c r="J664" i="6"/>
  <c r="I664" i="6"/>
  <c r="H664" i="6"/>
  <c r="G664" i="6"/>
  <c r="J663" i="6"/>
  <c r="I663" i="6"/>
  <c r="H663" i="6"/>
  <c r="G663" i="6"/>
  <c r="J662" i="6"/>
  <c r="I662" i="6"/>
  <c r="H662" i="6"/>
  <c r="G662" i="6"/>
  <c r="J661" i="6"/>
  <c r="I661" i="6"/>
  <c r="H661" i="6"/>
  <c r="G661" i="6"/>
  <c r="J660" i="6"/>
  <c r="I660" i="6"/>
  <c r="H660" i="6"/>
  <c r="G660" i="6"/>
  <c r="J659" i="6"/>
  <c r="I659" i="6"/>
  <c r="H659" i="6"/>
  <c r="G659" i="6"/>
  <c r="J658" i="6"/>
  <c r="I658" i="6"/>
  <c r="H658" i="6"/>
  <c r="G658" i="6"/>
  <c r="J657" i="6"/>
  <c r="I657" i="6"/>
  <c r="H657" i="6"/>
  <c r="G657" i="6"/>
  <c r="J656" i="6"/>
  <c r="I656" i="6"/>
  <c r="H656" i="6"/>
  <c r="G656" i="6"/>
  <c r="J655" i="6"/>
  <c r="I655" i="6"/>
  <c r="H655" i="6"/>
  <c r="G655" i="6"/>
  <c r="J654" i="6"/>
  <c r="I654" i="6"/>
  <c r="H654" i="6"/>
  <c r="G654" i="6"/>
  <c r="J653" i="6"/>
  <c r="I653" i="6"/>
  <c r="H653" i="6"/>
  <c r="G653" i="6"/>
  <c r="J652" i="6"/>
  <c r="I652" i="6"/>
  <c r="H652" i="6"/>
  <c r="G652" i="6"/>
  <c r="J651" i="6"/>
  <c r="I651" i="6"/>
  <c r="H651" i="6"/>
  <c r="G651" i="6"/>
  <c r="J650" i="6"/>
  <c r="I650" i="6"/>
  <c r="H650" i="6"/>
  <c r="G650" i="6"/>
  <c r="J649" i="6"/>
  <c r="I649" i="6"/>
  <c r="H649" i="6"/>
  <c r="G649" i="6"/>
  <c r="J648" i="6"/>
  <c r="I648" i="6"/>
  <c r="H648" i="6"/>
  <c r="G648" i="6"/>
  <c r="J647" i="6"/>
  <c r="I647" i="6"/>
  <c r="H647" i="6"/>
  <c r="G647" i="6"/>
  <c r="J646" i="6"/>
  <c r="I646" i="6"/>
  <c r="H646" i="6"/>
  <c r="G646" i="6"/>
  <c r="J645" i="6"/>
  <c r="I645" i="6"/>
  <c r="H645" i="6"/>
  <c r="G645" i="6"/>
  <c r="J644" i="6"/>
  <c r="I644" i="6"/>
  <c r="H644" i="6"/>
  <c r="G644" i="6"/>
  <c r="J643" i="6"/>
  <c r="I643" i="6"/>
  <c r="H643" i="6"/>
  <c r="G643" i="6"/>
  <c r="J642" i="6"/>
  <c r="I642" i="6"/>
  <c r="H642" i="6"/>
  <c r="G642" i="6"/>
  <c r="J641" i="6"/>
  <c r="I641" i="6"/>
  <c r="H641" i="6"/>
  <c r="G641" i="6"/>
  <c r="J640" i="6"/>
  <c r="I640" i="6"/>
  <c r="H640" i="6"/>
  <c r="G640" i="6"/>
  <c r="J639" i="6"/>
  <c r="I639" i="6"/>
  <c r="H639" i="6"/>
  <c r="G639" i="6"/>
  <c r="J638" i="6"/>
  <c r="I638" i="6"/>
  <c r="H638" i="6"/>
  <c r="G638" i="6"/>
  <c r="J637" i="6"/>
  <c r="I637" i="6"/>
  <c r="H637" i="6"/>
  <c r="G637" i="6"/>
  <c r="J636" i="6"/>
  <c r="I636" i="6"/>
  <c r="H636" i="6"/>
  <c r="G636" i="6"/>
  <c r="J635" i="6"/>
  <c r="I635" i="6"/>
  <c r="H635" i="6"/>
  <c r="G635" i="6"/>
  <c r="J634" i="6"/>
  <c r="I634" i="6"/>
  <c r="H634" i="6"/>
  <c r="G634" i="6"/>
  <c r="J633" i="6"/>
  <c r="I633" i="6"/>
  <c r="H633" i="6"/>
  <c r="G633" i="6"/>
  <c r="J632" i="6"/>
  <c r="I632" i="6"/>
  <c r="H632" i="6"/>
  <c r="G632" i="6"/>
  <c r="J631" i="6"/>
  <c r="I631" i="6"/>
  <c r="H631" i="6"/>
  <c r="G631" i="6"/>
  <c r="J630" i="6"/>
  <c r="I630" i="6"/>
  <c r="H630" i="6"/>
  <c r="G630" i="6"/>
  <c r="J629" i="6"/>
  <c r="I629" i="6"/>
  <c r="H629" i="6"/>
  <c r="G629" i="6"/>
  <c r="J628" i="6"/>
  <c r="I628" i="6"/>
  <c r="H628" i="6"/>
  <c r="G628" i="6"/>
  <c r="J627" i="6"/>
  <c r="I627" i="6"/>
  <c r="H627" i="6"/>
  <c r="G627" i="6"/>
  <c r="J626" i="6"/>
  <c r="I626" i="6"/>
  <c r="H626" i="6"/>
  <c r="G626" i="6"/>
  <c r="J625" i="6"/>
  <c r="I625" i="6"/>
  <c r="H625" i="6"/>
  <c r="G625" i="6"/>
  <c r="J624" i="6"/>
  <c r="I624" i="6"/>
  <c r="H624" i="6"/>
  <c r="G624" i="6"/>
  <c r="J623" i="6"/>
  <c r="I623" i="6"/>
  <c r="H623" i="6"/>
  <c r="G623" i="6"/>
  <c r="J622" i="6"/>
  <c r="I622" i="6"/>
  <c r="H622" i="6"/>
  <c r="G622" i="6"/>
  <c r="J621" i="6"/>
  <c r="I621" i="6"/>
  <c r="H621" i="6"/>
  <c r="G621" i="6"/>
  <c r="J620" i="6"/>
  <c r="I620" i="6"/>
  <c r="H620" i="6"/>
  <c r="G620" i="6"/>
  <c r="J619" i="6"/>
  <c r="I619" i="6"/>
  <c r="H619" i="6"/>
  <c r="G619" i="6"/>
  <c r="J618" i="6"/>
  <c r="I618" i="6"/>
  <c r="H618" i="6"/>
  <c r="G618" i="6"/>
  <c r="J617" i="6"/>
  <c r="I617" i="6"/>
  <c r="H617" i="6"/>
  <c r="G617" i="6"/>
  <c r="J616" i="6"/>
  <c r="I616" i="6"/>
  <c r="H616" i="6"/>
  <c r="G616" i="6"/>
  <c r="J615" i="6"/>
  <c r="I615" i="6"/>
  <c r="H615" i="6"/>
  <c r="G615" i="6"/>
  <c r="J614" i="6"/>
  <c r="I614" i="6"/>
  <c r="H614" i="6"/>
  <c r="G614" i="6"/>
  <c r="J613" i="6"/>
  <c r="I613" i="6"/>
  <c r="H613" i="6"/>
  <c r="G613" i="6"/>
  <c r="J612" i="6"/>
  <c r="I612" i="6"/>
  <c r="H612" i="6"/>
  <c r="G612" i="6"/>
  <c r="J611" i="6"/>
  <c r="I611" i="6"/>
  <c r="H611" i="6"/>
  <c r="G611" i="6"/>
  <c r="J610" i="6"/>
  <c r="I610" i="6"/>
  <c r="H610" i="6"/>
  <c r="G610" i="6"/>
  <c r="J609" i="6"/>
  <c r="I609" i="6"/>
  <c r="H609" i="6"/>
  <c r="G609" i="6"/>
  <c r="J608" i="6"/>
  <c r="I608" i="6"/>
  <c r="H608" i="6"/>
  <c r="G608" i="6"/>
  <c r="J607" i="6"/>
  <c r="I607" i="6"/>
  <c r="H607" i="6"/>
  <c r="G607" i="6"/>
  <c r="J606" i="6"/>
  <c r="I606" i="6"/>
  <c r="H606" i="6"/>
  <c r="G606" i="6"/>
  <c r="J605" i="6"/>
  <c r="I605" i="6"/>
  <c r="H605" i="6"/>
  <c r="G605" i="6"/>
  <c r="J604" i="6"/>
  <c r="I604" i="6"/>
  <c r="H604" i="6"/>
  <c r="G604" i="6"/>
  <c r="J603" i="6"/>
  <c r="I603" i="6"/>
  <c r="H603" i="6"/>
  <c r="G603" i="6"/>
  <c r="J602" i="6"/>
  <c r="I602" i="6"/>
  <c r="H602" i="6"/>
  <c r="G602" i="6"/>
  <c r="J601" i="6"/>
  <c r="I601" i="6"/>
  <c r="H601" i="6"/>
  <c r="G601" i="6"/>
  <c r="J600" i="6"/>
  <c r="I600" i="6"/>
  <c r="H600" i="6"/>
  <c r="G600" i="6"/>
  <c r="J599" i="6"/>
  <c r="I599" i="6"/>
  <c r="H599" i="6"/>
  <c r="G599" i="6"/>
  <c r="J598" i="6"/>
  <c r="I598" i="6"/>
  <c r="H598" i="6"/>
  <c r="G598" i="6"/>
  <c r="J597" i="6"/>
  <c r="I597" i="6"/>
  <c r="H597" i="6"/>
  <c r="G597" i="6"/>
  <c r="J596" i="6"/>
  <c r="I596" i="6"/>
  <c r="H596" i="6"/>
  <c r="G596" i="6"/>
  <c r="J595" i="6"/>
  <c r="I595" i="6"/>
  <c r="H595" i="6"/>
  <c r="G595" i="6"/>
  <c r="J594" i="6"/>
  <c r="I594" i="6"/>
  <c r="H594" i="6"/>
  <c r="G594" i="6"/>
  <c r="J593" i="6"/>
  <c r="I593" i="6"/>
  <c r="H593" i="6"/>
  <c r="G593" i="6"/>
  <c r="J592" i="6"/>
  <c r="I592" i="6"/>
  <c r="H592" i="6"/>
  <c r="G592" i="6"/>
  <c r="J591" i="6"/>
  <c r="I591" i="6"/>
  <c r="H591" i="6"/>
  <c r="G591" i="6"/>
  <c r="J590" i="6"/>
  <c r="I590" i="6"/>
  <c r="H590" i="6"/>
  <c r="G590" i="6"/>
  <c r="J589" i="6"/>
  <c r="I589" i="6"/>
  <c r="H589" i="6"/>
  <c r="G589" i="6"/>
  <c r="J588" i="6"/>
  <c r="I588" i="6"/>
  <c r="H588" i="6"/>
  <c r="G588" i="6"/>
  <c r="J587" i="6"/>
  <c r="I587" i="6"/>
  <c r="H587" i="6"/>
  <c r="G587" i="6"/>
  <c r="J586" i="6"/>
  <c r="I586" i="6"/>
  <c r="H586" i="6"/>
  <c r="G586" i="6"/>
  <c r="J585" i="6"/>
  <c r="I585" i="6"/>
  <c r="H585" i="6"/>
  <c r="G585" i="6"/>
  <c r="J584" i="6"/>
  <c r="I584" i="6"/>
  <c r="H584" i="6"/>
  <c r="G584" i="6"/>
  <c r="J583" i="6"/>
  <c r="I583" i="6"/>
  <c r="H583" i="6"/>
  <c r="G583" i="6"/>
  <c r="J582" i="6"/>
  <c r="I582" i="6"/>
  <c r="H582" i="6"/>
  <c r="G582" i="6"/>
  <c r="J581" i="6"/>
  <c r="I581" i="6"/>
  <c r="H581" i="6"/>
  <c r="G581" i="6"/>
  <c r="J580" i="6"/>
  <c r="I580" i="6"/>
  <c r="H580" i="6"/>
  <c r="G580" i="6"/>
  <c r="J579" i="6"/>
  <c r="I579" i="6"/>
  <c r="H579" i="6"/>
  <c r="G579" i="6"/>
  <c r="J578" i="6"/>
  <c r="I578" i="6"/>
  <c r="H578" i="6"/>
  <c r="G578" i="6"/>
  <c r="J577" i="6"/>
  <c r="I577" i="6"/>
  <c r="H577" i="6"/>
  <c r="G577" i="6"/>
  <c r="J576" i="6"/>
  <c r="I576" i="6"/>
  <c r="H576" i="6"/>
  <c r="G576" i="6"/>
  <c r="J575" i="6"/>
  <c r="I575" i="6"/>
  <c r="H575" i="6"/>
  <c r="G575" i="6"/>
  <c r="J574" i="6"/>
  <c r="I574" i="6"/>
  <c r="H574" i="6"/>
  <c r="G574" i="6"/>
  <c r="J573" i="6"/>
  <c r="I573" i="6"/>
  <c r="H573" i="6"/>
  <c r="G573" i="6"/>
  <c r="J572" i="6"/>
  <c r="I572" i="6"/>
  <c r="H572" i="6"/>
  <c r="G572" i="6"/>
  <c r="J571" i="6"/>
  <c r="I571" i="6"/>
  <c r="H571" i="6"/>
  <c r="G571" i="6"/>
  <c r="J570" i="6"/>
  <c r="I570" i="6"/>
  <c r="H570" i="6"/>
  <c r="G570" i="6"/>
  <c r="J569" i="6"/>
  <c r="I569" i="6"/>
  <c r="H569" i="6"/>
  <c r="G569" i="6"/>
  <c r="J568" i="6"/>
  <c r="I568" i="6"/>
  <c r="H568" i="6"/>
  <c r="G568" i="6"/>
  <c r="J567" i="6"/>
  <c r="I567" i="6"/>
  <c r="H567" i="6"/>
  <c r="G567" i="6"/>
  <c r="J566" i="6"/>
  <c r="I566" i="6"/>
  <c r="H566" i="6"/>
  <c r="G566" i="6"/>
  <c r="J565" i="6"/>
  <c r="I565" i="6"/>
  <c r="H565" i="6"/>
  <c r="G565" i="6"/>
  <c r="J564" i="6"/>
  <c r="I564" i="6"/>
  <c r="H564" i="6"/>
  <c r="G564" i="6"/>
  <c r="J563" i="6"/>
  <c r="I563" i="6"/>
  <c r="H563" i="6"/>
  <c r="G563" i="6"/>
  <c r="J562" i="6"/>
  <c r="I562" i="6"/>
  <c r="H562" i="6"/>
  <c r="G562" i="6"/>
  <c r="J561" i="6"/>
  <c r="I561" i="6"/>
  <c r="H561" i="6"/>
  <c r="G561" i="6"/>
  <c r="J560" i="6"/>
  <c r="I560" i="6"/>
  <c r="H560" i="6"/>
  <c r="G560" i="6"/>
  <c r="J559" i="6"/>
  <c r="I559" i="6"/>
  <c r="H559" i="6"/>
  <c r="G559" i="6"/>
  <c r="J558" i="6"/>
  <c r="I558" i="6"/>
  <c r="H558" i="6"/>
  <c r="G558" i="6"/>
  <c r="J557" i="6"/>
  <c r="I557" i="6"/>
  <c r="H557" i="6"/>
  <c r="G557" i="6"/>
  <c r="J556" i="6"/>
  <c r="I556" i="6"/>
  <c r="H556" i="6"/>
  <c r="G556" i="6"/>
  <c r="J555" i="6"/>
  <c r="I555" i="6"/>
  <c r="H555" i="6"/>
  <c r="G555" i="6"/>
  <c r="J554" i="6"/>
  <c r="I554" i="6"/>
  <c r="H554" i="6"/>
  <c r="G554" i="6"/>
  <c r="J553" i="6"/>
  <c r="I553" i="6"/>
  <c r="H553" i="6"/>
  <c r="G553" i="6"/>
  <c r="J552" i="6"/>
  <c r="I552" i="6"/>
  <c r="H552" i="6"/>
  <c r="G552" i="6"/>
  <c r="J551" i="6"/>
  <c r="I551" i="6"/>
  <c r="H551" i="6"/>
  <c r="G551" i="6"/>
  <c r="J550" i="6"/>
  <c r="I550" i="6"/>
  <c r="H550" i="6"/>
  <c r="G550" i="6"/>
  <c r="J549" i="6"/>
  <c r="I549" i="6"/>
  <c r="H549" i="6"/>
  <c r="G549" i="6"/>
  <c r="J548" i="6"/>
  <c r="I548" i="6"/>
  <c r="H548" i="6"/>
  <c r="G548" i="6"/>
  <c r="J547" i="6"/>
  <c r="I547" i="6"/>
  <c r="H547" i="6"/>
  <c r="G547" i="6"/>
  <c r="J546" i="6"/>
  <c r="I546" i="6"/>
  <c r="H546" i="6"/>
  <c r="G546" i="6"/>
  <c r="J545" i="6"/>
  <c r="I545" i="6"/>
  <c r="H545" i="6"/>
  <c r="G545" i="6"/>
  <c r="J544" i="6"/>
  <c r="I544" i="6"/>
  <c r="H544" i="6"/>
  <c r="G544" i="6"/>
  <c r="J543" i="6"/>
  <c r="I543" i="6"/>
  <c r="H543" i="6"/>
  <c r="G543" i="6"/>
  <c r="J542" i="6"/>
  <c r="I542" i="6"/>
  <c r="H542" i="6"/>
  <c r="G542" i="6"/>
  <c r="J541" i="6"/>
  <c r="I541" i="6"/>
  <c r="H541" i="6"/>
  <c r="G541" i="6"/>
  <c r="J540" i="6"/>
  <c r="I540" i="6"/>
  <c r="H540" i="6"/>
  <c r="G540" i="6"/>
  <c r="J539" i="6"/>
  <c r="I539" i="6"/>
  <c r="H539" i="6"/>
  <c r="G539" i="6"/>
  <c r="J538" i="6"/>
  <c r="I538" i="6"/>
  <c r="H538" i="6"/>
  <c r="G538" i="6"/>
  <c r="J537" i="6"/>
  <c r="I537" i="6"/>
  <c r="H537" i="6"/>
  <c r="G537" i="6"/>
  <c r="J536" i="6"/>
  <c r="I536" i="6"/>
  <c r="H536" i="6"/>
  <c r="G536" i="6"/>
  <c r="J535" i="6"/>
  <c r="I535" i="6"/>
  <c r="H535" i="6"/>
  <c r="G535" i="6"/>
  <c r="J534" i="6"/>
  <c r="I534" i="6"/>
  <c r="H534" i="6"/>
  <c r="G534" i="6"/>
  <c r="J533" i="6"/>
  <c r="I533" i="6"/>
  <c r="H533" i="6"/>
  <c r="G533" i="6"/>
  <c r="J532" i="6"/>
  <c r="I532" i="6"/>
  <c r="H532" i="6"/>
  <c r="G532" i="6"/>
  <c r="J531" i="6"/>
  <c r="I531" i="6"/>
  <c r="H531" i="6"/>
  <c r="G531" i="6"/>
  <c r="J530" i="6"/>
  <c r="I530" i="6"/>
  <c r="H530" i="6"/>
  <c r="G530" i="6"/>
  <c r="J529" i="6"/>
  <c r="I529" i="6"/>
  <c r="H529" i="6"/>
  <c r="G529" i="6"/>
  <c r="J528" i="6"/>
  <c r="I528" i="6"/>
  <c r="H528" i="6"/>
  <c r="G528" i="6"/>
  <c r="J527" i="6"/>
  <c r="I527" i="6"/>
  <c r="H527" i="6"/>
  <c r="G527" i="6"/>
  <c r="J526" i="6"/>
  <c r="I526" i="6"/>
  <c r="H526" i="6"/>
  <c r="G526" i="6"/>
  <c r="J525" i="6"/>
  <c r="I525" i="6"/>
  <c r="H525" i="6"/>
  <c r="G525" i="6"/>
  <c r="J524" i="6"/>
  <c r="I524" i="6"/>
  <c r="H524" i="6"/>
  <c r="G524" i="6"/>
  <c r="J523" i="6"/>
  <c r="I523" i="6"/>
  <c r="H523" i="6"/>
  <c r="G523" i="6"/>
  <c r="J522" i="6"/>
  <c r="I522" i="6"/>
  <c r="H522" i="6"/>
  <c r="G522" i="6"/>
  <c r="J521" i="6"/>
  <c r="I521" i="6"/>
  <c r="H521" i="6"/>
  <c r="G521" i="6"/>
  <c r="J520" i="6"/>
  <c r="I520" i="6"/>
  <c r="H520" i="6"/>
  <c r="G520" i="6"/>
  <c r="J519" i="6"/>
  <c r="I519" i="6"/>
  <c r="H519" i="6"/>
  <c r="G519" i="6"/>
  <c r="J518" i="6"/>
  <c r="I518" i="6"/>
  <c r="H518" i="6"/>
  <c r="G518" i="6"/>
  <c r="J517" i="6"/>
  <c r="I517" i="6"/>
  <c r="H517" i="6"/>
  <c r="G517" i="6"/>
  <c r="J516" i="6"/>
  <c r="I516" i="6"/>
  <c r="H516" i="6"/>
  <c r="G516" i="6"/>
  <c r="J515" i="6"/>
  <c r="I515" i="6"/>
  <c r="H515" i="6"/>
  <c r="G515" i="6"/>
  <c r="J514" i="6"/>
  <c r="I514" i="6"/>
  <c r="H514" i="6"/>
  <c r="G514" i="6"/>
  <c r="J513" i="6"/>
  <c r="I513" i="6"/>
  <c r="H513" i="6"/>
  <c r="G513" i="6"/>
  <c r="J512" i="6"/>
  <c r="I512" i="6"/>
  <c r="H512" i="6"/>
  <c r="G512" i="6"/>
  <c r="J511" i="6"/>
  <c r="I511" i="6"/>
  <c r="H511" i="6"/>
  <c r="G511" i="6"/>
  <c r="J510" i="6"/>
  <c r="I510" i="6"/>
  <c r="H510" i="6"/>
  <c r="G510" i="6"/>
  <c r="J509" i="6"/>
  <c r="I509" i="6"/>
  <c r="H509" i="6"/>
  <c r="G509" i="6"/>
  <c r="J508" i="6"/>
  <c r="I508" i="6"/>
  <c r="H508" i="6"/>
  <c r="G508" i="6"/>
  <c r="J507" i="6"/>
  <c r="I507" i="6"/>
  <c r="H507" i="6"/>
  <c r="G507" i="6"/>
  <c r="J506" i="6"/>
  <c r="I506" i="6"/>
  <c r="H506" i="6"/>
  <c r="G506" i="6"/>
  <c r="J505" i="6"/>
  <c r="I505" i="6"/>
  <c r="H505" i="6"/>
  <c r="G505" i="6"/>
  <c r="J504" i="6"/>
  <c r="I504" i="6"/>
  <c r="H504" i="6"/>
  <c r="G504" i="6"/>
  <c r="J503" i="6"/>
  <c r="I503" i="6"/>
  <c r="H503" i="6"/>
  <c r="G503" i="6"/>
  <c r="J502" i="6"/>
  <c r="I502" i="6"/>
  <c r="H502" i="6"/>
  <c r="G502" i="6"/>
  <c r="J501" i="6"/>
  <c r="I501" i="6"/>
  <c r="H501" i="6"/>
  <c r="G501" i="6"/>
  <c r="J500" i="6"/>
  <c r="I500" i="6"/>
  <c r="H500" i="6"/>
  <c r="G500" i="6"/>
  <c r="J499" i="6"/>
  <c r="I499" i="6"/>
  <c r="H499" i="6"/>
  <c r="G499" i="6"/>
  <c r="J498" i="6"/>
  <c r="I498" i="6"/>
  <c r="H498" i="6"/>
  <c r="G498" i="6"/>
  <c r="J497" i="6"/>
  <c r="I497" i="6"/>
  <c r="H497" i="6"/>
  <c r="G497" i="6"/>
  <c r="J496" i="6"/>
  <c r="I496" i="6"/>
  <c r="H496" i="6"/>
  <c r="G496" i="6"/>
  <c r="J495" i="6"/>
  <c r="I495" i="6"/>
  <c r="H495" i="6"/>
  <c r="G495" i="6"/>
  <c r="J494" i="6"/>
  <c r="I494" i="6"/>
  <c r="H494" i="6"/>
  <c r="G494" i="6"/>
  <c r="J493" i="6"/>
  <c r="I493" i="6"/>
  <c r="H493" i="6"/>
  <c r="G493" i="6"/>
  <c r="J492" i="6"/>
  <c r="I492" i="6"/>
  <c r="H492" i="6"/>
  <c r="G492" i="6"/>
  <c r="J491" i="6"/>
  <c r="I491" i="6"/>
  <c r="H491" i="6"/>
  <c r="G491" i="6"/>
  <c r="J490" i="6"/>
  <c r="I490" i="6"/>
  <c r="H490" i="6"/>
  <c r="G490" i="6"/>
  <c r="J489" i="6"/>
  <c r="I489" i="6"/>
  <c r="H489" i="6"/>
  <c r="G489" i="6"/>
  <c r="J488" i="6"/>
  <c r="I488" i="6"/>
  <c r="H488" i="6"/>
  <c r="G488" i="6"/>
  <c r="J487" i="6"/>
  <c r="I487" i="6"/>
  <c r="H487" i="6"/>
  <c r="G487" i="6"/>
  <c r="J486" i="6"/>
  <c r="I486" i="6"/>
  <c r="H486" i="6"/>
  <c r="G486" i="6"/>
  <c r="J485" i="6"/>
  <c r="I485" i="6"/>
  <c r="H485" i="6"/>
  <c r="G485" i="6"/>
  <c r="J484" i="6"/>
  <c r="I484" i="6"/>
  <c r="H484" i="6"/>
  <c r="G484" i="6"/>
  <c r="J483" i="6"/>
  <c r="I483" i="6"/>
  <c r="H483" i="6"/>
  <c r="G483" i="6"/>
  <c r="J482" i="6"/>
  <c r="I482" i="6"/>
  <c r="H482" i="6"/>
  <c r="G482" i="6"/>
  <c r="J481" i="6"/>
  <c r="I481" i="6"/>
  <c r="H481" i="6"/>
  <c r="G481" i="6"/>
  <c r="J480" i="6"/>
  <c r="I480" i="6"/>
  <c r="H480" i="6"/>
  <c r="G480" i="6"/>
  <c r="J479" i="6"/>
  <c r="I479" i="6"/>
  <c r="H479" i="6"/>
  <c r="G479" i="6"/>
  <c r="J478" i="6"/>
  <c r="I478" i="6"/>
  <c r="H478" i="6"/>
  <c r="G478" i="6"/>
  <c r="J477" i="6"/>
  <c r="I477" i="6"/>
  <c r="H477" i="6"/>
  <c r="G477" i="6"/>
  <c r="J476" i="6"/>
  <c r="I476" i="6"/>
  <c r="H476" i="6"/>
  <c r="G476" i="6"/>
  <c r="J475" i="6"/>
  <c r="I475" i="6"/>
  <c r="H475" i="6"/>
  <c r="G475" i="6"/>
  <c r="J474" i="6"/>
  <c r="I474" i="6"/>
  <c r="H474" i="6"/>
  <c r="G474" i="6"/>
  <c r="J473" i="6"/>
  <c r="I473" i="6"/>
  <c r="H473" i="6"/>
  <c r="G473" i="6"/>
  <c r="J472" i="6"/>
  <c r="I472" i="6"/>
  <c r="H472" i="6"/>
  <c r="G472" i="6"/>
  <c r="J471" i="6"/>
  <c r="I471" i="6"/>
  <c r="H471" i="6"/>
  <c r="G471" i="6"/>
  <c r="J470" i="6"/>
  <c r="I470" i="6"/>
  <c r="H470" i="6"/>
  <c r="G470" i="6"/>
  <c r="J469" i="6"/>
  <c r="I469" i="6"/>
  <c r="H469" i="6"/>
  <c r="G469" i="6"/>
  <c r="J468" i="6"/>
  <c r="I468" i="6"/>
  <c r="H468" i="6"/>
  <c r="G468" i="6"/>
  <c r="J467" i="6"/>
  <c r="I467" i="6"/>
  <c r="H467" i="6"/>
  <c r="G467" i="6"/>
  <c r="J466" i="6"/>
  <c r="I466" i="6"/>
  <c r="H466" i="6"/>
  <c r="G466" i="6"/>
  <c r="J465" i="6"/>
  <c r="I465" i="6"/>
  <c r="H465" i="6"/>
  <c r="G465" i="6"/>
  <c r="J464" i="6"/>
  <c r="I464" i="6"/>
  <c r="H464" i="6"/>
  <c r="G464" i="6"/>
  <c r="J463" i="6"/>
  <c r="I463" i="6"/>
  <c r="H463" i="6"/>
  <c r="G463" i="6"/>
  <c r="J462" i="6"/>
  <c r="I462" i="6"/>
  <c r="H462" i="6"/>
  <c r="G462" i="6"/>
  <c r="J461" i="6"/>
  <c r="I461" i="6"/>
  <c r="H461" i="6"/>
  <c r="G461" i="6"/>
  <c r="J460" i="6"/>
  <c r="I460" i="6"/>
  <c r="H460" i="6"/>
  <c r="G460" i="6"/>
  <c r="J459" i="6"/>
  <c r="I459" i="6"/>
  <c r="H459" i="6"/>
  <c r="G459" i="6"/>
  <c r="J458" i="6"/>
  <c r="I458" i="6"/>
  <c r="H458" i="6"/>
  <c r="G458" i="6"/>
  <c r="J457" i="6"/>
  <c r="I457" i="6"/>
  <c r="H457" i="6"/>
  <c r="G457" i="6"/>
  <c r="J456" i="6"/>
  <c r="I456" i="6"/>
  <c r="H456" i="6"/>
  <c r="G456" i="6"/>
  <c r="J455" i="6"/>
  <c r="I455" i="6"/>
  <c r="H455" i="6"/>
  <c r="G455" i="6"/>
  <c r="J454" i="6"/>
  <c r="I454" i="6"/>
  <c r="H454" i="6"/>
  <c r="G454" i="6"/>
  <c r="J453" i="6"/>
  <c r="I453" i="6"/>
  <c r="H453" i="6"/>
  <c r="G453" i="6"/>
  <c r="J452" i="6"/>
  <c r="I452" i="6"/>
  <c r="H452" i="6"/>
  <c r="G452" i="6"/>
  <c r="J451" i="6"/>
  <c r="I451" i="6"/>
  <c r="H451" i="6"/>
  <c r="G451" i="6"/>
  <c r="J450" i="6"/>
  <c r="I450" i="6"/>
  <c r="H450" i="6"/>
  <c r="G450" i="6"/>
  <c r="J449" i="6"/>
  <c r="I449" i="6"/>
  <c r="H449" i="6"/>
  <c r="G449" i="6"/>
  <c r="J448" i="6"/>
  <c r="I448" i="6"/>
  <c r="H448" i="6"/>
  <c r="G448" i="6"/>
  <c r="J447" i="6"/>
  <c r="I447" i="6"/>
  <c r="H447" i="6"/>
  <c r="G447" i="6"/>
  <c r="J446" i="6"/>
  <c r="I446" i="6"/>
  <c r="H446" i="6"/>
  <c r="G446" i="6"/>
  <c r="J445" i="6"/>
  <c r="I445" i="6"/>
  <c r="H445" i="6"/>
  <c r="G445" i="6"/>
  <c r="J444" i="6"/>
  <c r="I444" i="6"/>
  <c r="H444" i="6"/>
  <c r="G444" i="6"/>
  <c r="J443" i="6"/>
  <c r="I443" i="6"/>
  <c r="H443" i="6"/>
  <c r="G443" i="6"/>
  <c r="J442" i="6"/>
  <c r="I442" i="6"/>
  <c r="H442" i="6"/>
  <c r="G442" i="6"/>
  <c r="J441" i="6"/>
  <c r="I441" i="6"/>
  <c r="H441" i="6"/>
  <c r="G441" i="6"/>
  <c r="J440" i="6"/>
  <c r="I440" i="6"/>
  <c r="H440" i="6"/>
  <c r="G440" i="6"/>
  <c r="J439" i="6"/>
  <c r="I439" i="6"/>
  <c r="H439" i="6"/>
  <c r="G439" i="6"/>
  <c r="J438" i="6"/>
  <c r="I438" i="6"/>
  <c r="H438" i="6"/>
  <c r="G438" i="6"/>
  <c r="J437" i="6"/>
  <c r="I437" i="6"/>
  <c r="H437" i="6"/>
  <c r="G437" i="6"/>
  <c r="J436" i="6"/>
  <c r="I436" i="6"/>
  <c r="H436" i="6"/>
  <c r="G436" i="6"/>
  <c r="J435" i="6"/>
  <c r="I435" i="6"/>
  <c r="H435" i="6"/>
  <c r="G435" i="6"/>
  <c r="J434" i="6"/>
  <c r="I434" i="6"/>
  <c r="H434" i="6"/>
  <c r="G434" i="6"/>
  <c r="J433" i="6"/>
  <c r="I433" i="6"/>
  <c r="H433" i="6"/>
  <c r="G433" i="6"/>
  <c r="J432" i="6"/>
  <c r="I432" i="6"/>
  <c r="H432" i="6"/>
  <c r="G432" i="6"/>
  <c r="J431" i="6"/>
  <c r="I431" i="6"/>
  <c r="H431" i="6"/>
  <c r="G431" i="6"/>
  <c r="J430" i="6"/>
  <c r="I430" i="6"/>
  <c r="H430" i="6"/>
  <c r="G430" i="6"/>
  <c r="J429" i="6"/>
  <c r="I429" i="6"/>
  <c r="H429" i="6"/>
  <c r="G429" i="6"/>
  <c r="J428" i="6"/>
  <c r="I428" i="6"/>
  <c r="H428" i="6"/>
  <c r="G428" i="6"/>
  <c r="J427" i="6"/>
  <c r="I427" i="6"/>
  <c r="H427" i="6"/>
  <c r="G427" i="6"/>
  <c r="J426" i="6"/>
  <c r="I426" i="6"/>
  <c r="H426" i="6"/>
  <c r="G426" i="6"/>
  <c r="J425" i="6"/>
  <c r="I425" i="6"/>
  <c r="H425" i="6"/>
  <c r="G425" i="6"/>
  <c r="J424" i="6"/>
  <c r="I424" i="6"/>
  <c r="H424" i="6"/>
  <c r="G424" i="6"/>
  <c r="J423" i="6"/>
  <c r="I423" i="6"/>
  <c r="H423" i="6"/>
  <c r="G423" i="6"/>
  <c r="J422" i="6"/>
  <c r="I422" i="6"/>
  <c r="H422" i="6"/>
  <c r="G422" i="6"/>
  <c r="J421" i="6"/>
  <c r="I421" i="6"/>
  <c r="H421" i="6"/>
  <c r="G421" i="6"/>
  <c r="J420" i="6"/>
  <c r="I420" i="6"/>
  <c r="H420" i="6"/>
  <c r="G420" i="6"/>
  <c r="J419" i="6"/>
  <c r="I419" i="6"/>
  <c r="H419" i="6"/>
  <c r="G419" i="6"/>
  <c r="J418" i="6"/>
  <c r="I418" i="6"/>
  <c r="H418" i="6"/>
  <c r="G418" i="6"/>
  <c r="J417" i="6"/>
  <c r="I417" i="6"/>
  <c r="H417" i="6"/>
  <c r="G417" i="6"/>
  <c r="J416" i="6"/>
  <c r="I416" i="6"/>
  <c r="H416" i="6"/>
  <c r="G416" i="6"/>
  <c r="J415" i="6"/>
  <c r="I415" i="6"/>
  <c r="H415" i="6"/>
  <c r="G415" i="6"/>
  <c r="J414" i="6"/>
  <c r="I414" i="6"/>
  <c r="H414" i="6"/>
  <c r="G414" i="6"/>
  <c r="J413" i="6"/>
  <c r="I413" i="6"/>
  <c r="H413" i="6"/>
  <c r="G413" i="6"/>
  <c r="J412" i="6"/>
  <c r="I412" i="6"/>
  <c r="H412" i="6"/>
  <c r="G412" i="6"/>
  <c r="J411" i="6"/>
  <c r="I411" i="6"/>
  <c r="H411" i="6"/>
  <c r="G411" i="6"/>
  <c r="J410" i="6"/>
  <c r="I410" i="6"/>
  <c r="H410" i="6"/>
  <c r="G410" i="6"/>
  <c r="J409" i="6"/>
  <c r="I409" i="6"/>
  <c r="H409" i="6"/>
  <c r="G409" i="6"/>
  <c r="J408" i="6"/>
  <c r="I408" i="6"/>
  <c r="H408" i="6"/>
  <c r="G408" i="6"/>
  <c r="J407" i="6"/>
  <c r="I407" i="6"/>
  <c r="H407" i="6"/>
  <c r="G407" i="6"/>
  <c r="J406" i="6"/>
  <c r="I406" i="6"/>
  <c r="H406" i="6"/>
  <c r="G406" i="6"/>
  <c r="J405" i="6"/>
  <c r="I405" i="6"/>
  <c r="H405" i="6"/>
  <c r="G405" i="6"/>
  <c r="J404" i="6"/>
  <c r="I404" i="6"/>
  <c r="H404" i="6"/>
  <c r="G404" i="6"/>
  <c r="J403" i="6"/>
  <c r="I403" i="6"/>
  <c r="H403" i="6"/>
  <c r="G403" i="6"/>
  <c r="J402" i="6"/>
  <c r="I402" i="6"/>
  <c r="H402" i="6"/>
  <c r="G402" i="6"/>
  <c r="J401" i="6"/>
  <c r="I401" i="6"/>
  <c r="H401" i="6"/>
  <c r="G401" i="6"/>
  <c r="J400" i="6"/>
  <c r="I400" i="6"/>
  <c r="H400" i="6"/>
  <c r="G400" i="6"/>
  <c r="J399" i="6"/>
  <c r="I399" i="6"/>
  <c r="H399" i="6"/>
  <c r="G399" i="6"/>
  <c r="J398" i="6"/>
  <c r="I398" i="6"/>
  <c r="H398" i="6"/>
  <c r="G398" i="6"/>
  <c r="J397" i="6"/>
  <c r="I397" i="6"/>
  <c r="H397" i="6"/>
  <c r="G397" i="6"/>
  <c r="J396" i="6"/>
  <c r="I396" i="6"/>
  <c r="H396" i="6"/>
  <c r="G396" i="6"/>
  <c r="J395" i="6"/>
  <c r="I395" i="6"/>
  <c r="H395" i="6"/>
  <c r="G395" i="6"/>
  <c r="J394" i="6"/>
  <c r="I394" i="6"/>
  <c r="H394" i="6"/>
  <c r="G394" i="6"/>
  <c r="J393" i="6"/>
  <c r="I393" i="6"/>
  <c r="H393" i="6"/>
  <c r="G393" i="6"/>
  <c r="J392" i="6"/>
  <c r="I392" i="6"/>
  <c r="H392" i="6"/>
  <c r="G392" i="6"/>
  <c r="J391" i="6"/>
  <c r="I391" i="6"/>
  <c r="H391" i="6"/>
  <c r="G391" i="6"/>
  <c r="J390" i="6"/>
  <c r="I390" i="6"/>
  <c r="H390" i="6"/>
  <c r="G390" i="6"/>
  <c r="J389" i="6"/>
  <c r="I389" i="6"/>
  <c r="H389" i="6"/>
  <c r="G389" i="6"/>
  <c r="J388" i="6"/>
  <c r="I388" i="6"/>
  <c r="H388" i="6"/>
  <c r="G388" i="6"/>
  <c r="J387" i="6"/>
  <c r="I387" i="6"/>
  <c r="H387" i="6"/>
  <c r="G387" i="6"/>
  <c r="J386" i="6"/>
  <c r="I386" i="6"/>
  <c r="H386" i="6"/>
  <c r="G386" i="6"/>
  <c r="J385" i="6"/>
  <c r="I385" i="6"/>
  <c r="H385" i="6"/>
  <c r="G385" i="6"/>
  <c r="J384" i="6"/>
  <c r="I384" i="6"/>
  <c r="H384" i="6"/>
  <c r="G384" i="6"/>
  <c r="J383" i="6"/>
  <c r="I383" i="6"/>
  <c r="H383" i="6"/>
  <c r="G383" i="6"/>
  <c r="J382" i="6"/>
  <c r="I382" i="6"/>
  <c r="H382" i="6"/>
  <c r="G382" i="6"/>
  <c r="J381" i="6"/>
  <c r="I381" i="6"/>
  <c r="H381" i="6"/>
  <c r="G381" i="6"/>
  <c r="J380" i="6"/>
  <c r="I380" i="6"/>
  <c r="H380" i="6"/>
  <c r="G380" i="6"/>
  <c r="J379" i="6"/>
  <c r="I379" i="6"/>
  <c r="H379" i="6"/>
  <c r="G379" i="6"/>
  <c r="J378" i="6"/>
  <c r="I378" i="6"/>
  <c r="H378" i="6"/>
  <c r="G378" i="6"/>
  <c r="J377" i="6"/>
  <c r="I377" i="6"/>
  <c r="H377" i="6"/>
  <c r="G377" i="6"/>
  <c r="J376" i="6"/>
  <c r="I376" i="6"/>
  <c r="H376" i="6"/>
  <c r="G376" i="6"/>
  <c r="J375" i="6"/>
  <c r="I375" i="6"/>
  <c r="H375" i="6"/>
  <c r="G375" i="6"/>
  <c r="J374" i="6"/>
  <c r="I374" i="6"/>
  <c r="H374" i="6"/>
  <c r="G374" i="6"/>
  <c r="J373" i="6"/>
  <c r="I373" i="6"/>
  <c r="H373" i="6"/>
  <c r="G373" i="6"/>
  <c r="J372" i="6"/>
  <c r="I372" i="6"/>
  <c r="H372" i="6"/>
  <c r="G372" i="6"/>
  <c r="J371" i="6"/>
  <c r="I371" i="6"/>
  <c r="H371" i="6"/>
  <c r="G371" i="6"/>
  <c r="J370" i="6"/>
  <c r="I370" i="6"/>
  <c r="H370" i="6"/>
  <c r="G370" i="6"/>
  <c r="J369" i="6"/>
  <c r="I369" i="6"/>
  <c r="H369" i="6"/>
  <c r="G369" i="6"/>
  <c r="J368" i="6"/>
  <c r="I368" i="6"/>
  <c r="H368" i="6"/>
  <c r="G368" i="6"/>
  <c r="J367" i="6"/>
  <c r="I367" i="6"/>
  <c r="H367" i="6"/>
  <c r="G367" i="6"/>
  <c r="J366" i="6"/>
  <c r="I366" i="6"/>
  <c r="H366" i="6"/>
  <c r="G366" i="6"/>
  <c r="J365" i="6"/>
  <c r="I365" i="6"/>
  <c r="H365" i="6"/>
  <c r="G365" i="6"/>
  <c r="J364" i="6"/>
  <c r="I364" i="6"/>
  <c r="H364" i="6"/>
  <c r="G364" i="6"/>
  <c r="J363" i="6"/>
  <c r="I363" i="6"/>
  <c r="H363" i="6"/>
  <c r="G363" i="6"/>
  <c r="J362" i="6"/>
  <c r="I362" i="6"/>
  <c r="H362" i="6"/>
  <c r="G362" i="6"/>
  <c r="J361" i="6"/>
  <c r="I361" i="6"/>
  <c r="H361" i="6"/>
  <c r="G361" i="6"/>
  <c r="J360" i="6"/>
  <c r="I360" i="6"/>
  <c r="H360" i="6"/>
  <c r="G360" i="6"/>
  <c r="J359" i="6"/>
  <c r="I359" i="6"/>
  <c r="H359" i="6"/>
  <c r="G359" i="6"/>
  <c r="J358" i="6"/>
  <c r="I358" i="6"/>
  <c r="H358" i="6"/>
  <c r="G358" i="6"/>
  <c r="J357" i="6"/>
  <c r="I357" i="6"/>
  <c r="H357" i="6"/>
  <c r="G357" i="6"/>
  <c r="J356" i="6"/>
  <c r="I356" i="6"/>
  <c r="H356" i="6"/>
  <c r="G356" i="6"/>
  <c r="J355" i="6"/>
  <c r="I355" i="6"/>
  <c r="H355" i="6"/>
  <c r="G355" i="6"/>
  <c r="J354" i="6"/>
  <c r="I354" i="6"/>
  <c r="H354" i="6"/>
  <c r="G354" i="6"/>
  <c r="J353" i="6"/>
  <c r="I353" i="6"/>
  <c r="H353" i="6"/>
  <c r="G353" i="6"/>
  <c r="J352" i="6"/>
  <c r="I352" i="6"/>
  <c r="H352" i="6"/>
  <c r="G352" i="6"/>
  <c r="J351" i="6"/>
  <c r="I351" i="6"/>
  <c r="H351" i="6"/>
  <c r="G351" i="6"/>
  <c r="J350" i="6"/>
  <c r="I350" i="6"/>
  <c r="H350" i="6"/>
  <c r="G350" i="6"/>
  <c r="J349" i="6"/>
  <c r="I349" i="6"/>
  <c r="H349" i="6"/>
  <c r="G349" i="6"/>
  <c r="J348" i="6"/>
  <c r="I348" i="6"/>
  <c r="H348" i="6"/>
  <c r="G348" i="6"/>
  <c r="J347" i="6"/>
  <c r="I347" i="6"/>
  <c r="H347" i="6"/>
  <c r="G347" i="6"/>
  <c r="J346" i="6"/>
  <c r="I346" i="6"/>
  <c r="H346" i="6"/>
  <c r="G346" i="6"/>
  <c r="J345" i="6"/>
  <c r="I345" i="6"/>
  <c r="H345" i="6"/>
  <c r="G345" i="6"/>
  <c r="J344" i="6"/>
  <c r="I344" i="6"/>
  <c r="H344" i="6"/>
  <c r="G344" i="6"/>
  <c r="J343" i="6"/>
  <c r="I343" i="6"/>
  <c r="H343" i="6"/>
  <c r="G343" i="6"/>
  <c r="J342" i="6"/>
  <c r="I342" i="6"/>
  <c r="H342" i="6"/>
  <c r="G342" i="6"/>
  <c r="J341" i="6"/>
  <c r="I341" i="6"/>
  <c r="H341" i="6"/>
  <c r="G341" i="6"/>
  <c r="J340" i="6"/>
  <c r="I340" i="6"/>
  <c r="H340" i="6"/>
  <c r="G340" i="6"/>
  <c r="J339" i="6"/>
  <c r="I339" i="6"/>
  <c r="H339" i="6"/>
  <c r="G339" i="6"/>
  <c r="J338" i="6"/>
  <c r="I338" i="6"/>
  <c r="H338" i="6"/>
  <c r="G338" i="6"/>
  <c r="J337" i="6"/>
  <c r="I337" i="6"/>
  <c r="H337" i="6"/>
  <c r="G337" i="6"/>
  <c r="J336" i="6"/>
  <c r="I336" i="6"/>
  <c r="H336" i="6"/>
  <c r="G336" i="6"/>
  <c r="J335" i="6"/>
  <c r="I335" i="6"/>
  <c r="H335" i="6"/>
  <c r="G335" i="6"/>
  <c r="J334" i="6"/>
  <c r="I334" i="6"/>
  <c r="H334" i="6"/>
  <c r="G334" i="6"/>
  <c r="J333" i="6"/>
  <c r="I333" i="6"/>
  <c r="H333" i="6"/>
  <c r="G333" i="6"/>
  <c r="J332" i="6"/>
  <c r="I332" i="6"/>
  <c r="H332" i="6"/>
  <c r="G332" i="6"/>
  <c r="J331" i="6"/>
  <c r="I331" i="6"/>
  <c r="H331" i="6"/>
  <c r="G331" i="6"/>
  <c r="J330" i="6"/>
  <c r="I330" i="6"/>
  <c r="H330" i="6"/>
  <c r="G330" i="6"/>
  <c r="J329" i="6"/>
  <c r="I329" i="6"/>
  <c r="H329" i="6"/>
  <c r="G329" i="6"/>
  <c r="J328" i="6"/>
  <c r="I328" i="6"/>
  <c r="H328" i="6"/>
  <c r="G328" i="6"/>
  <c r="J327" i="6"/>
  <c r="I327" i="6"/>
  <c r="H327" i="6"/>
  <c r="G327" i="6"/>
  <c r="J326" i="6"/>
  <c r="I326" i="6"/>
  <c r="H326" i="6"/>
  <c r="G326" i="6"/>
  <c r="J325" i="6"/>
  <c r="I325" i="6"/>
  <c r="H325" i="6"/>
  <c r="G325" i="6"/>
  <c r="J324" i="6"/>
  <c r="I324" i="6"/>
  <c r="H324" i="6"/>
  <c r="G324" i="6"/>
  <c r="J323" i="6"/>
  <c r="I323" i="6"/>
  <c r="H323" i="6"/>
  <c r="G323" i="6"/>
  <c r="J322" i="6"/>
  <c r="I322" i="6"/>
  <c r="H322" i="6"/>
  <c r="G322" i="6"/>
  <c r="J321" i="6"/>
  <c r="I321" i="6"/>
  <c r="H321" i="6"/>
  <c r="G321" i="6"/>
  <c r="J320" i="6"/>
  <c r="I320" i="6"/>
  <c r="H320" i="6"/>
  <c r="G320" i="6"/>
  <c r="J319" i="6"/>
  <c r="I319" i="6"/>
  <c r="H319" i="6"/>
  <c r="G319" i="6"/>
  <c r="J318" i="6"/>
  <c r="I318" i="6"/>
  <c r="H318" i="6"/>
  <c r="G318" i="6"/>
  <c r="J317" i="6"/>
  <c r="I317" i="6"/>
  <c r="H317" i="6"/>
  <c r="G317" i="6"/>
  <c r="J316" i="6"/>
  <c r="I316" i="6"/>
  <c r="H316" i="6"/>
  <c r="G316" i="6"/>
  <c r="J315" i="6"/>
  <c r="I315" i="6"/>
  <c r="H315" i="6"/>
  <c r="G315" i="6"/>
  <c r="J314" i="6"/>
  <c r="I314" i="6"/>
  <c r="H314" i="6"/>
  <c r="G314" i="6"/>
  <c r="J313" i="6"/>
  <c r="I313" i="6"/>
  <c r="H313" i="6"/>
  <c r="G313" i="6"/>
  <c r="J312" i="6"/>
  <c r="I312" i="6"/>
  <c r="H312" i="6"/>
  <c r="G312" i="6"/>
  <c r="J311" i="6"/>
  <c r="I311" i="6"/>
  <c r="H311" i="6"/>
  <c r="G311" i="6"/>
  <c r="J310" i="6"/>
  <c r="I310" i="6"/>
  <c r="H310" i="6"/>
  <c r="G310" i="6"/>
  <c r="J309" i="6"/>
  <c r="I309" i="6"/>
  <c r="H309" i="6"/>
  <c r="G309" i="6"/>
  <c r="J308" i="6"/>
  <c r="I308" i="6"/>
  <c r="H308" i="6"/>
  <c r="G308" i="6"/>
  <c r="J307" i="6"/>
  <c r="I307" i="6"/>
  <c r="H307" i="6"/>
  <c r="G307" i="6"/>
  <c r="J306" i="6"/>
  <c r="I306" i="6"/>
  <c r="H306" i="6"/>
  <c r="G306" i="6"/>
  <c r="J305" i="6"/>
  <c r="I305" i="6"/>
  <c r="H305" i="6"/>
  <c r="G305" i="6"/>
  <c r="J304" i="6"/>
  <c r="I304" i="6"/>
  <c r="H304" i="6"/>
  <c r="G304" i="6"/>
  <c r="J303" i="6"/>
  <c r="I303" i="6"/>
  <c r="H303" i="6"/>
  <c r="G303" i="6"/>
  <c r="J302" i="6"/>
  <c r="I302" i="6"/>
  <c r="H302" i="6"/>
  <c r="G302" i="6"/>
  <c r="J301" i="6"/>
  <c r="I301" i="6"/>
  <c r="H301" i="6"/>
  <c r="G301" i="6"/>
  <c r="J300" i="6"/>
  <c r="I300" i="6"/>
  <c r="H300" i="6"/>
  <c r="G300" i="6"/>
  <c r="J299" i="6"/>
  <c r="I299" i="6"/>
  <c r="H299" i="6"/>
  <c r="G299" i="6"/>
  <c r="J298" i="6"/>
  <c r="I298" i="6"/>
  <c r="H298" i="6"/>
  <c r="G298" i="6"/>
  <c r="J297" i="6"/>
  <c r="I297" i="6"/>
  <c r="H297" i="6"/>
  <c r="G297" i="6"/>
  <c r="J296" i="6"/>
  <c r="I296" i="6"/>
  <c r="H296" i="6"/>
  <c r="G296" i="6"/>
  <c r="J295" i="6"/>
  <c r="I295" i="6"/>
  <c r="H295" i="6"/>
  <c r="G295" i="6"/>
  <c r="J294" i="6"/>
  <c r="I294" i="6"/>
  <c r="H294" i="6"/>
  <c r="G294" i="6"/>
  <c r="J293" i="6"/>
  <c r="I293" i="6"/>
  <c r="H293" i="6"/>
  <c r="G293" i="6"/>
  <c r="J292" i="6"/>
  <c r="I292" i="6"/>
  <c r="H292" i="6"/>
  <c r="G292" i="6"/>
  <c r="J291" i="6"/>
  <c r="I291" i="6"/>
  <c r="H291" i="6"/>
  <c r="G291" i="6"/>
  <c r="J290" i="6"/>
  <c r="I290" i="6"/>
  <c r="H290" i="6"/>
  <c r="G290" i="6"/>
  <c r="J289" i="6"/>
  <c r="I289" i="6"/>
  <c r="H289" i="6"/>
  <c r="G289" i="6"/>
  <c r="J288" i="6"/>
  <c r="I288" i="6"/>
  <c r="H288" i="6"/>
  <c r="G288" i="6"/>
  <c r="J287" i="6"/>
  <c r="I287" i="6"/>
  <c r="H287" i="6"/>
  <c r="G287" i="6"/>
  <c r="J286" i="6"/>
  <c r="I286" i="6"/>
  <c r="H286" i="6"/>
  <c r="G286" i="6"/>
  <c r="J285" i="6"/>
  <c r="I285" i="6"/>
  <c r="H285" i="6"/>
  <c r="G285" i="6"/>
  <c r="J284" i="6"/>
  <c r="I284" i="6"/>
  <c r="H284" i="6"/>
  <c r="G284" i="6"/>
  <c r="J283" i="6"/>
  <c r="I283" i="6"/>
  <c r="H283" i="6"/>
  <c r="G283" i="6"/>
  <c r="J282" i="6"/>
  <c r="I282" i="6"/>
  <c r="H282" i="6"/>
  <c r="G282" i="6"/>
  <c r="J281" i="6"/>
  <c r="I281" i="6"/>
  <c r="H281" i="6"/>
  <c r="G281" i="6"/>
  <c r="J280" i="6"/>
  <c r="I280" i="6"/>
  <c r="H280" i="6"/>
  <c r="G280" i="6"/>
  <c r="J279" i="6"/>
  <c r="I279" i="6"/>
  <c r="H279" i="6"/>
  <c r="G279" i="6"/>
  <c r="J278" i="6"/>
  <c r="I278" i="6"/>
  <c r="H278" i="6"/>
  <c r="G278" i="6"/>
  <c r="J277" i="6"/>
  <c r="I277" i="6"/>
  <c r="H277" i="6"/>
  <c r="G277" i="6"/>
  <c r="J276" i="6"/>
  <c r="I276" i="6"/>
  <c r="H276" i="6"/>
  <c r="G276" i="6"/>
  <c r="J275" i="6"/>
  <c r="I275" i="6"/>
  <c r="H275" i="6"/>
  <c r="G275" i="6"/>
  <c r="J274" i="6"/>
  <c r="I274" i="6"/>
  <c r="H274" i="6"/>
  <c r="G274" i="6"/>
  <c r="J273" i="6"/>
  <c r="I273" i="6"/>
  <c r="H273" i="6"/>
  <c r="G273" i="6"/>
  <c r="J272" i="6"/>
  <c r="I272" i="6"/>
  <c r="H272" i="6"/>
  <c r="G272" i="6"/>
  <c r="J271" i="6"/>
  <c r="I271" i="6"/>
  <c r="H271" i="6"/>
  <c r="G271" i="6"/>
  <c r="J270" i="6"/>
  <c r="I270" i="6"/>
  <c r="H270" i="6"/>
  <c r="G270" i="6"/>
  <c r="J269" i="6"/>
  <c r="I269" i="6"/>
  <c r="H269" i="6"/>
  <c r="G269" i="6"/>
  <c r="J268" i="6"/>
  <c r="I268" i="6"/>
  <c r="H268" i="6"/>
  <c r="G268" i="6"/>
  <c r="J267" i="6"/>
  <c r="I267" i="6"/>
  <c r="H267" i="6"/>
  <c r="G267" i="6"/>
  <c r="J266" i="6"/>
  <c r="I266" i="6"/>
  <c r="H266" i="6"/>
  <c r="G266" i="6"/>
  <c r="J265" i="6"/>
  <c r="I265" i="6"/>
  <c r="H265" i="6"/>
  <c r="G265" i="6"/>
  <c r="J264" i="6"/>
  <c r="I264" i="6"/>
  <c r="H264" i="6"/>
  <c r="G264" i="6"/>
  <c r="J263" i="6"/>
  <c r="I263" i="6"/>
  <c r="H263" i="6"/>
  <c r="G263" i="6"/>
  <c r="J262" i="6"/>
  <c r="I262" i="6"/>
  <c r="H262" i="6"/>
  <c r="G262" i="6"/>
  <c r="J261" i="6"/>
  <c r="I261" i="6"/>
  <c r="H261" i="6"/>
  <c r="G261" i="6"/>
  <c r="J260" i="6"/>
  <c r="I260" i="6"/>
  <c r="H260" i="6"/>
  <c r="G260" i="6"/>
  <c r="J259" i="6"/>
  <c r="I259" i="6"/>
  <c r="H259" i="6"/>
  <c r="G259" i="6"/>
  <c r="J258" i="6"/>
  <c r="I258" i="6"/>
  <c r="H258" i="6"/>
  <c r="G258" i="6"/>
  <c r="J257" i="6"/>
  <c r="I257" i="6"/>
  <c r="H257" i="6"/>
  <c r="G257" i="6"/>
  <c r="J256" i="6"/>
  <c r="I256" i="6"/>
  <c r="H256" i="6"/>
  <c r="G256" i="6"/>
  <c r="J255" i="6"/>
  <c r="I255" i="6"/>
  <c r="H255" i="6"/>
  <c r="G255" i="6"/>
  <c r="J254" i="6"/>
  <c r="I254" i="6"/>
  <c r="H254" i="6"/>
  <c r="G254" i="6"/>
  <c r="J253" i="6"/>
  <c r="I253" i="6"/>
  <c r="H253" i="6"/>
  <c r="G253" i="6"/>
  <c r="J252" i="6"/>
  <c r="I252" i="6"/>
  <c r="H252" i="6"/>
  <c r="G252" i="6"/>
  <c r="J251" i="6"/>
  <c r="I251" i="6"/>
  <c r="H251" i="6"/>
  <c r="G251" i="6"/>
  <c r="J250" i="6"/>
  <c r="I250" i="6"/>
  <c r="H250" i="6"/>
  <c r="G250" i="6"/>
  <c r="J249" i="6"/>
  <c r="I249" i="6"/>
  <c r="H249" i="6"/>
  <c r="G249" i="6"/>
  <c r="J248" i="6"/>
  <c r="I248" i="6"/>
  <c r="H248" i="6"/>
  <c r="G248" i="6"/>
  <c r="J247" i="6"/>
  <c r="I247" i="6"/>
  <c r="H247" i="6"/>
  <c r="G247" i="6"/>
  <c r="J246" i="6"/>
  <c r="I246" i="6"/>
  <c r="H246" i="6"/>
  <c r="G246" i="6"/>
  <c r="J245" i="6"/>
  <c r="I245" i="6"/>
  <c r="H245" i="6"/>
  <c r="G245" i="6"/>
  <c r="J244" i="6"/>
  <c r="I244" i="6"/>
  <c r="H244" i="6"/>
  <c r="G244" i="6"/>
  <c r="J243" i="6"/>
  <c r="I243" i="6"/>
  <c r="H243" i="6"/>
  <c r="G243" i="6"/>
  <c r="J242" i="6"/>
  <c r="I242" i="6"/>
  <c r="H242" i="6"/>
  <c r="G242" i="6"/>
  <c r="J241" i="6"/>
  <c r="I241" i="6"/>
  <c r="H241" i="6"/>
  <c r="G241" i="6"/>
  <c r="J240" i="6"/>
  <c r="I240" i="6"/>
  <c r="H240" i="6"/>
  <c r="G240" i="6"/>
  <c r="J239" i="6"/>
  <c r="I239" i="6"/>
  <c r="H239" i="6"/>
  <c r="G239" i="6"/>
  <c r="J238" i="6"/>
  <c r="I238" i="6"/>
  <c r="H238" i="6"/>
  <c r="G238" i="6"/>
  <c r="J237" i="6"/>
  <c r="I237" i="6"/>
  <c r="H237" i="6"/>
  <c r="G237" i="6"/>
  <c r="J236" i="6"/>
  <c r="I236" i="6"/>
  <c r="H236" i="6"/>
  <c r="G236" i="6"/>
  <c r="J235" i="6"/>
  <c r="I235" i="6"/>
  <c r="H235" i="6"/>
  <c r="G235" i="6"/>
  <c r="J234" i="6"/>
  <c r="I234" i="6"/>
  <c r="H234" i="6"/>
  <c r="G234" i="6"/>
  <c r="J233" i="6"/>
  <c r="I233" i="6"/>
  <c r="H233" i="6"/>
  <c r="G233" i="6"/>
  <c r="J232" i="6"/>
  <c r="I232" i="6"/>
  <c r="H232" i="6"/>
  <c r="G232" i="6"/>
  <c r="J231" i="6"/>
  <c r="I231" i="6"/>
  <c r="H231" i="6"/>
  <c r="G231" i="6"/>
  <c r="J230" i="6"/>
  <c r="I230" i="6"/>
  <c r="H230" i="6"/>
  <c r="G230" i="6"/>
  <c r="J229" i="6"/>
  <c r="I229" i="6"/>
  <c r="H229" i="6"/>
  <c r="G229" i="6"/>
  <c r="J228" i="6"/>
  <c r="I228" i="6"/>
  <c r="H228" i="6"/>
  <c r="G228" i="6"/>
  <c r="J227" i="6"/>
  <c r="I227" i="6"/>
  <c r="H227" i="6"/>
  <c r="G227" i="6"/>
  <c r="J226" i="6"/>
  <c r="I226" i="6"/>
  <c r="H226" i="6"/>
  <c r="G226" i="6"/>
  <c r="J225" i="6"/>
  <c r="I225" i="6"/>
  <c r="H225" i="6"/>
  <c r="G225" i="6"/>
  <c r="J224" i="6"/>
  <c r="I224" i="6"/>
  <c r="H224" i="6"/>
  <c r="G224" i="6"/>
  <c r="J223" i="6"/>
  <c r="I223" i="6"/>
  <c r="H223" i="6"/>
  <c r="G223" i="6"/>
  <c r="J222" i="6"/>
  <c r="I222" i="6"/>
  <c r="H222" i="6"/>
  <c r="G222" i="6"/>
  <c r="J221" i="6"/>
  <c r="I221" i="6"/>
  <c r="H221" i="6"/>
  <c r="G221" i="6"/>
  <c r="J220" i="6"/>
  <c r="I220" i="6"/>
  <c r="H220" i="6"/>
  <c r="G220" i="6"/>
  <c r="J219" i="6"/>
  <c r="I219" i="6"/>
  <c r="H219" i="6"/>
  <c r="G219" i="6"/>
  <c r="J218" i="6"/>
  <c r="I218" i="6"/>
  <c r="H218" i="6"/>
  <c r="G218" i="6"/>
  <c r="J217" i="6"/>
  <c r="I217" i="6"/>
  <c r="H217" i="6"/>
  <c r="G217" i="6"/>
  <c r="J216" i="6"/>
  <c r="I216" i="6"/>
  <c r="H216" i="6"/>
  <c r="G216" i="6"/>
  <c r="J215" i="6"/>
  <c r="I215" i="6"/>
  <c r="H215" i="6"/>
  <c r="G215" i="6"/>
  <c r="J214" i="6"/>
  <c r="I214" i="6"/>
  <c r="H214" i="6"/>
  <c r="G214" i="6"/>
  <c r="J213" i="6"/>
  <c r="I213" i="6"/>
  <c r="H213" i="6"/>
  <c r="G213" i="6"/>
  <c r="J212" i="6"/>
  <c r="I212" i="6"/>
  <c r="H212" i="6"/>
  <c r="G212" i="6"/>
  <c r="J211" i="6"/>
  <c r="I211" i="6"/>
  <c r="H211" i="6"/>
  <c r="G211" i="6"/>
  <c r="J210" i="6"/>
  <c r="I210" i="6"/>
  <c r="H210" i="6"/>
  <c r="G210" i="6"/>
  <c r="J209" i="6"/>
  <c r="I209" i="6"/>
  <c r="H209" i="6"/>
  <c r="G209" i="6"/>
  <c r="J208" i="6"/>
  <c r="I208" i="6"/>
  <c r="H208" i="6"/>
  <c r="G208" i="6"/>
  <c r="J207" i="6"/>
  <c r="I207" i="6"/>
  <c r="H207" i="6"/>
  <c r="G207" i="6"/>
  <c r="J206" i="6"/>
  <c r="I206" i="6"/>
  <c r="H206" i="6"/>
  <c r="G206" i="6"/>
  <c r="J205" i="6"/>
  <c r="I205" i="6"/>
  <c r="H205" i="6"/>
  <c r="G205" i="6"/>
  <c r="J204" i="6"/>
  <c r="I204" i="6"/>
  <c r="H204" i="6"/>
  <c r="G204" i="6"/>
  <c r="J203" i="6"/>
  <c r="I203" i="6"/>
  <c r="H203" i="6"/>
  <c r="G203" i="6"/>
  <c r="J202" i="6"/>
  <c r="I202" i="6"/>
  <c r="H202" i="6"/>
  <c r="G202" i="6"/>
  <c r="J201" i="6"/>
  <c r="I201" i="6"/>
  <c r="H201" i="6"/>
  <c r="G201" i="6"/>
  <c r="J200" i="6"/>
  <c r="I200" i="6"/>
  <c r="H200" i="6"/>
  <c r="G200" i="6"/>
  <c r="J199" i="6"/>
  <c r="I199" i="6"/>
  <c r="H199" i="6"/>
  <c r="G199" i="6"/>
  <c r="J198" i="6"/>
  <c r="I198" i="6"/>
  <c r="H198" i="6"/>
  <c r="G198" i="6"/>
  <c r="J197" i="6"/>
  <c r="I197" i="6"/>
  <c r="H197" i="6"/>
  <c r="G197" i="6"/>
  <c r="J196" i="6"/>
  <c r="I196" i="6"/>
  <c r="H196" i="6"/>
  <c r="G196" i="6"/>
  <c r="J195" i="6"/>
  <c r="I195" i="6"/>
  <c r="H195" i="6"/>
  <c r="G195" i="6"/>
  <c r="J194" i="6"/>
  <c r="I194" i="6"/>
  <c r="H194" i="6"/>
  <c r="G194" i="6"/>
  <c r="J193" i="6"/>
  <c r="I193" i="6"/>
  <c r="H193" i="6"/>
  <c r="G193" i="6"/>
  <c r="J192" i="6"/>
  <c r="I192" i="6"/>
  <c r="H192" i="6"/>
  <c r="G192" i="6"/>
  <c r="J191" i="6"/>
  <c r="I191" i="6"/>
  <c r="H191" i="6"/>
  <c r="G191" i="6"/>
  <c r="J190" i="6"/>
  <c r="I190" i="6"/>
  <c r="H190" i="6"/>
  <c r="G190" i="6"/>
  <c r="J189" i="6"/>
  <c r="I189" i="6"/>
  <c r="H189" i="6"/>
  <c r="G189" i="6"/>
  <c r="J188" i="6"/>
  <c r="I188" i="6"/>
  <c r="H188" i="6"/>
  <c r="G188" i="6"/>
  <c r="J187" i="6"/>
  <c r="I187" i="6"/>
  <c r="H187" i="6"/>
  <c r="G187" i="6"/>
  <c r="J186" i="6"/>
  <c r="I186" i="6"/>
  <c r="H186" i="6"/>
  <c r="G186" i="6"/>
  <c r="J185" i="6"/>
  <c r="I185" i="6"/>
  <c r="H185" i="6"/>
  <c r="G185" i="6"/>
  <c r="J184" i="6"/>
  <c r="I184" i="6"/>
  <c r="H184" i="6"/>
  <c r="G184" i="6"/>
  <c r="J183" i="6"/>
  <c r="I183" i="6"/>
  <c r="H183" i="6"/>
  <c r="G183" i="6"/>
  <c r="J182" i="6"/>
  <c r="I182" i="6"/>
  <c r="H182" i="6"/>
  <c r="G182" i="6"/>
  <c r="J181" i="6"/>
  <c r="I181" i="6"/>
  <c r="H181" i="6"/>
  <c r="G181" i="6"/>
  <c r="J180" i="6"/>
  <c r="I180" i="6"/>
  <c r="H180" i="6"/>
  <c r="G180" i="6"/>
  <c r="J179" i="6"/>
  <c r="I179" i="6"/>
  <c r="H179" i="6"/>
  <c r="G179" i="6"/>
  <c r="J178" i="6"/>
  <c r="I178" i="6"/>
  <c r="H178" i="6"/>
  <c r="G178" i="6"/>
  <c r="J177" i="6"/>
  <c r="I177" i="6"/>
  <c r="H177" i="6"/>
  <c r="G177" i="6"/>
  <c r="J176" i="6"/>
  <c r="I176" i="6"/>
  <c r="H176" i="6"/>
  <c r="G176" i="6"/>
  <c r="J175" i="6"/>
  <c r="I175" i="6"/>
  <c r="H175" i="6"/>
  <c r="G175" i="6"/>
  <c r="J174" i="6"/>
  <c r="I174" i="6"/>
  <c r="H174" i="6"/>
  <c r="G174" i="6"/>
  <c r="J173" i="6"/>
  <c r="I173" i="6"/>
  <c r="H173" i="6"/>
  <c r="G173" i="6"/>
  <c r="J172" i="6"/>
  <c r="I172" i="6"/>
  <c r="H172" i="6"/>
  <c r="G172" i="6"/>
  <c r="J171" i="6"/>
  <c r="I171" i="6"/>
  <c r="H171" i="6"/>
  <c r="G171" i="6"/>
  <c r="J170" i="6"/>
  <c r="I170" i="6"/>
  <c r="H170" i="6"/>
  <c r="G170" i="6"/>
  <c r="J169" i="6"/>
  <c r="I169" i="6"/>
  <c r="H169" i="6"/>
  <c r="G169" i="6"/>
  <c r="J168" i="6"/>
  <c r="I168" i="6"/>
  <c r="H168" i="6"/>
  <c r="G168" i="6"/>
  <c r="J167" i="6"/>
  <c r="I167" i="6"/>
  <c r="H167" i="6"/>
  <c r="G167" i="6"/>
  <c r="J166" i="6"/>
  <c r="I166" i="6"/>
  <c r="H166" i="6"/>
  <c r="G166" i="6"/>
  <c r="J165" i="6"/>
  <c r="I165" i="6"/>
  <c r="H165" i="6"/>
  <c r="G165" i="6"/>
  <c r="J164" i="6"/>
  <c r="I164" i="6"/>
  <c r="H164" i="6"/>
  <c r="G164" i="6"/>
  <c r="J163" i="6"/>
  <c r="I163" i="6"/>
  <c r="H163" i="6"/>
  <c r="G163" i="6"/>
  <c r="J162" i="6"/>
  <c r="I162" i="6"/>
  <c r="H162" i="6"/>
  <c r="G162" i="6"/>
  <c r="J161" i="6"/>
  <c r="I161" i="6"/>
  <c r="H161" i="6"/>
  <c r="G161" i="6"/>
  <c r="J160" i="6"/>
  <c r="I160" i="6"/>
  <c r="H160" i="6"/>
  <c r="G160" i="6"/>
  <c r="J159" i="6"/>
  <c r="I159" i="6"/>
  <c r="H159" i="6"/>
  <c r="G159" i="6"/>
  <c r="J158" i="6"/>
  <c r="I158" i="6"/>
  <c r="H158" i="6"/>
  <c r="G158" i="6"/>
  <c r="J157" i="6"/>
  <c r="I157" i="6"/>
  <c r="H157" i="6"/>
  <c r="G157" i="6"/>
  <c r="J156" i="6"/>
  <c r="I156" i="6"/>
  <c r="H156" i="6"/>
  <c r="G156" i="6"/>
  <c r="J155" i="6"/>
  <c r="I155" i="6"/>
  <c r="H155" i="6"/>
  <c r="G155" i="6"/>
  <c r="J154" i="6"/>
  <c r="I154" i="6"/>
  <c r="H154" i="6"/>
  <c r="G154" i="6"/>
  <c r="J153" i="6"/>
  <c r="I153" i="6"/>
  <c r="H153" i="6"/>
  <c r="G153" i="6"/>
  <c r="J152" i="6"/>
  <c r="I152" i="6"/>
  <c r="H152" i="6"/>
  <c r="G152" i="6"/>
  <c r="J151" i="6"/>
  <c r="I151" i="6"/>
  <c r="H151" i="6"/>
  <c r="G151" i="6"/>
  <c r="J150" i="6"/>
  <c r="I150" i="6"/>
  <c r="H150" i="6"/>
  <c r="G150" i="6"/>
  <c r="J149" i="6"/>
  <c r="I149" i="6"/>
  <c r="H149" i="6"/>
  <c r="G149" i="6"/>
  <c r="J148" i="6"/>
  <c r="I148" i="6"/>
  <c r="H148" i="6"/>
  <c r="G148" i="6"/>
  <c r="J147" i="6"/>
  <c r="I147" i="6"/>
  <c r="H147" i="6"/>
  <c r="G147" i="6"/>
  <c r="J146" i="6"/>
  <c r="I146" i="6"/>
  <c r="H146" i="6"/>
  <c r="G146" i="6"/>
  <c r="J145" i="6"/>
  <c r="I145" i="6"/>
  <c r="H145" i="6"/>
  <c r="G145" i="6"/>
  <c r="J144" i="6"/>
  <c r="I144" i="6"/>
  <c r="H144" i="6"/>
  <c r="G144" i="6"/>
  <c r="J143" i="6"/>
  <c r="I143" i="6"/>
  <c r="H143" i="6"/>
  <c r="G143" i="6"/>
  <c r="J142" i="6"/>
  <c r="I142" i="6"/>
  <c r="H142" i="6"/>
  <c r="G142" i="6"/>
  <c r="J141" i="6"/>
  <c r="I141" i="6"/>
  <c r="H141" i="6"/>
  <c r="G141" i="6"/>
  <c r="J140" i="6"/>
  <c r="I140" i="6"/>
  <c r="H140" i="6"/>
  <c r="G140" i="6"/>
  <c r="J139" i="6"/>
  <c r="I139" i="6"/>
  <c r="H139" i="6"/>
  <c r="G139" i="6"/>
  <c r="J138" i="6"/>
  <c r="I138" i="6"/>
  <c r="H138" i="6"/>
  <c r="G138" i="6"/>
  <c r="J137" i="6"/>
  <c r="I137" i="6"/>
  <c r="H137" i="6"/>
  <c r="G137" i="6"/>
  <c r="J136" i="6"/>
  <c r="I136" i="6"/>
  <c r="H136" i="6"/>
  <c r="G136" i="6"/>
  <c r="J135" i="6"/>
  <c r="I135" i="6"/>
  <c r="H135" i="6"/>
  <c r="G135" i="6"/>
  <c r="J134" i="6"/>
  <c r="I134" i="6"/>
  <c r="H134" i="6"/>
  <c r="G134" i="6"/>
  <c r="J133" i="6"/>
  <c r="I133" i="6"/>
  <c r="H133" i="6"/>
  <c r="G133" i="6"/>
  <c r="J132" i="6"/>
  <c r="I132" i="6"/>
  <c r="H132" i="6"/>
  <c r="G132" i="6"/>
  <c r="J131" i="6"/>
  <c r="I131" i="6"/>
  <c r="H131" i="6"/>
  <c r="G131" i="6"/>
  <c r="J130" i="6"/>
  <c r="I130" i="6"/>
  <c r="H130" i="6"/>
  <c r="G130" i="6"/>
  <c r="J129" i="6"/>
  <c r="I129" i="6"/>
  <c r="H129" i="6"/>
  <c r="G129" i="6"/>
  <c r="J128" i="6"/>
  <c r="I128" i="6"/>
  <c r="H128" i="6"/>
  <c r="G128" i="6"/>
  <c r="J127" i="6"/>
  <c r="I127" i="6"/>
  <c r="H127" i="6"/>
  <c r="G127" i="6"/>
  <c r="J126" i="6"/>
  <c r="I126" i="6"/>
  <c r="H126" i="6"/>
  <c r="G126" i="6"/>
  <c r="J125" i="6"/>
  <c r="I125" i="6"/>
  <c r="H125" i="6"/>
  <c r="G125" i="6"/>
  <c r="J124" i="6"/>
  <c r="I124" i="6"/>
  <c r="H124" i="6"/>
  <c r="G124" i="6"/>
  <c r="J123" i="6"/>
  <c r="I123" i="6"/>
  <c r="H123" i="6"/>
  <c r="G123" i="6"/>
  <c r="J122" i="6"/>
  <c r="I122" i="6"/>
  <c r="H122" i="6"/>
  <c r="G122" i="6"/>
  <c r="J121" i="6"/>
  <c r="I121" i="6"/>
  <c r="H121" i="6"/>
  <c r="G121" i="6"/>
  <c r="J120" i="6"/>
  <c r="I120" i="6"/>
  <c r="H120" i="6"/>
  <c r="G120" i="6"/>
  <c r="J119" i="6"/>
  <c r="I119" i="6"/>
  <c r="H119" i="6"/>
  <c r="G119" i="6"/>
  <c r="J118" i="6"/>
  <c r="I118" i="6"/>
  <c r="H118" i="6"/>
  <c r="G118" i="6"/>
  <c r="J117" i="6"/>
  <c r="I117" i="6"/>
  <c r="H117" i="6"/>
  <c r="G117" i="6"/>
  <c r="J116" i="6"/>
  <c r="I116" i="6"/>
  <c r="H116" i="6"/>
  <c r="G116" i="6"/>
  <c r="J115" i="6"/>
  <c r="I115" i="6"/>
  <c r="H115" i="6"/>
  <c r="G115" i="6"/>
  <c r="J114" i="6"/>
  <c r="I114" i="6"/>
  <c r="H114" i="6"/>
  <c r="G114" i="6"/>
  <c r="J113" i="6"/>
  <c r="I113" i="6"/>
  <c r="H113" i="6"/>
  <c r="G113" i="6"/>
  <c r="J112" i="6"/>
  <c r="I112" i="6"/>
  <c r="H112" i="6"/>
  <c r="G112" i="6"/>
  <c r="J111" i="6"/>
  <c r="I111" i="6"/>
  <c r="H111" i="6"/>
  <c r="G111" i="6"/>
  <c r="J110" i="6"/>
  <c r="I110" i="6"/>
  <c r="H110" i="6"/>
  <c r="G110" i="6"/>
  <c r="J109" i="6"/>
  <c r="I109" i="6"/>
  <c r="H109" i="6"/>
  <c r="G109" i="6"/>
  <c r="J108" i="6"/>
  <c r="I108" i="6"/>
  <c r="H108" i="6"/>
  <c r="G108" i="6"/>
  <c r="J107" i="6"/>
  <c r="I107" i="6"/>
  <c r="H107" i="6"/>
  <c r="G107" i="6"/>
  <c r="J106" i="6"/>
  <c r="I106" i="6"/>
  <c r="H106" i="6"/>
  <c r="G106" i="6"/>
  <c r="J105" i="6"/>
  <c r="I105" i="6"/>
  <c r="H105" i="6"/>
  <c r="G105" i="6"/>
  <c r="J104" i="6"/>
  <c r="I104" i="6"/>
  <c r="H104" i="6"/>
  <c r="G104" i="6"/>
  <c r="J103" i="6"/>
  <c r="I103" i="6"/>
  <c r="H103" i="6"/>
  <c r="G103" i="6"/>
  <c r="J102" i="6"/>
  <c r="I102" i="6"/>
  <c r="H102" i="6"/>
  <c r="G102" i="6"/>
  <c r="J101" i="6"/>
  <c r="I101" i="6"/>
  <c r="H101" i="6"/>
  <c r="G101" i="6"/>
  <c r="J100" i="6"/>
  <c r="I100" i="6"/>
  <c r="H100" i="6"/>
  <c r="G100" i="6"/>
  <c r="J99" i="6"/>
  <c r="I99" i="6"/>
  <c r="H99" i="6"/>
  <c r="G99" i="6"/>
  <c r="J98" i="6"/>
  <c r="I98" i="6"/>
  <c r="H98" i="6"/>
  <c r="G98" i="6"/>
  <c r="J97" i="6"/>
  <c r="I97" i="6"/>
  <c r="H97" i="6"/>
  <c r="G97" i="6"/>
  <c r="J96" i="6"/>
  <c r="I96" i="6"/>
  <c r="H96" i="6"/>
  <c r="G96" i="6"/>
  <c r="J95" i="6"/>
  <c r="I95" i="6"/>
  <c r="H95" i="6"/>
  <c r="G95" i="6"/>
  <c r="J94" i="6"/>
  <c r="I94" i="6"/>
  <c r="H94" i="6"/>
  <c r="G94" i="6"/>
  <c r="J93" i="6"/>
  <c r="I93" i="6"/>
  <c r="H93" i="6"/>
  <c r="G93" i="6"/>
  <c r="J92" i="6"/>
  <c r="I92" i="6"/>
  <c r="H92" i="6"/>
  <c r="G92" i="6"/>
  <c r="J91" i="6"/>
  <c r="I91" i="6"/>
  <c r="H91" i="6"/>
  <c r="G91" i="6"/>
  <c r="J90" i="6"/>
  <c r="I90" i="6"/>
  <c r="H90" i="6"/>
  <c r="G90" i="6"/>
  <c r="J89" i="6"/>
  <c r="I89" i="6"/>
  <c r="H89" i="6"/>
  <c r="G89" i="6"/>
  <c r="J88" i="6"/>
  <c r="I88" i="6"/>
  <c r="H88" i="6"/>
  <c r="G88" i="6"/>
  <c r="J87" i="6"/>
  <c r="I87" i="6"/>
  <c r="H87" i="6"/>
  <c r="G87" i="6"/>
  <c r="J86" i="6"/>
  <c r="I86" i="6"/>
  <c r="H86" i="6"/>
  <c r="G86" i="6"/>
  <c r="J85" i="6"/>
  <c r="I85" i="6"/>
  <c r="H85" i="6"/>
  <c r="G85" i="6"/>
  <c r="J84" i="6"/>
  <c r="I84" i="6"/>
  <c r="H84" i="6"/>
  <c r="G84" i="6"/>
  <c r="J83" i="6"/>
  <c r="I83" i="6"/>
  <c r="H83" i="6"/>
  <c r="G83" i="6"/>
  <c r="J82" i="6"/>
  <c r="I82" i="6"/>
  <c r="H82" i="6"/>
  <c r="G82" i="6"/>
  <c r="J81" i="6"/>
  <c r="I81" i="6"/>
  <c r="H81" i="6"/>
  <c r="G81" i="6"/>
  <c r="J80" i="6"/>
  <c r="I80" i="6"/>
  <c r="H80" i="6"/>
  <c r="G80" i="6"/>
  <c r="J79" i="6"/>
  <c r="I79" i="6"/>
  <c r="H79" i="6"/>
  <c r="G79" i="6"/>
  <c r="J78" i="6"/>
  <c r="I78" i="6"/>
  <c r="H78" i="6"/>
  <c r="G78" i="6"/>
  <c r="J77" i="6"/>
  <c r="I77" i="6"/>
  <c r="H77" i="6"/>
  <c r="G77" i="6"/>
  <c r="J76" i="6"/>
  <c r="I76" i="6"/>
  <c r="H76" i="6"/>
  <c r="G76" i="6"/>
  <c r="J75" i="6"/>
  <c r="I75" i="6"/>
  <c r="H75" i="6"/>
  <c r="G75" i="6"/>
  <c r="J74" i="6"/>
  <c r="I74" i="6"/>
  <c r="H74" i="6"/>
  <c r="G74" i="6"/>
  <c r="J73" i="6"/>
  <c r="I73" i="6"/>
  <c r="H73" i="6"/>
  <c r="G73" i="6"/>
  <c r="J72" i="6"/>
  <c r="I72" i="6"/>
  <c r="H72" i="6"/>
  <c r="G72" i="6"/>
  <c r="J71" i="6"/>
  <c r="I71" i="6"/>
  <c r="H71" i="6"/>
  <c r="G71" i="6"/>
  <c r="J70" i="6"/>
  <c r="I70" i="6"/>
  <c r="H70" i="6"/>
  <c r="G70" i="6"/>
  <c r="J69" i="6"/>
  <c r="I69" i="6"/>
  <c r="H69" i="6"/>
  <c r="G69" i="6"/>
  <c r="J68" i="6"/>
  <c r="I68" i="6"/>
  <c r="H68" i="6"/>
  <c r="G68" i="6"/>
  <c r="J67" i="6"/>
  <c r="I67" i="6"/>
  <c r="H67" i="6"/>
  <c r="G67" i="6"/>
  <c r="J66" i="6"/>
  <c r="I66" i="6"/>
  <c r="H66" i="6"/>
  <c r="G66" i="6"/>
  <c r="J65" i="6"/>
  <c r="I65" i="6"/>
  <c r="H65" i="6"/>
  <c r="G65" i="6"/>
  <c r="J64" i="6"/>
  <c r="I64" i="6"/>
  <c r="H64" i="6"/>
  <c r="G64" i="6"/>
  <c r="E64" i="6"/>
  <c r="F64" i="6" s="1"/>
  <c r="J63" i="6"/>
  <c r="I63" i="6"/>
  <c r="H63" i="6"/>
  <c r="G63" i="6"/>
  <c r="J62" i="6"/>
  <c r="I62" i="6"/>
  <c r="H62" i="6"/>
  <c r="G62" i="6"/>
  <c r="J61" i="6"/>
  <c r="I61" i="6"/>
  <c r="H61" i="6"/>
  <c r="G61" i="6"/>
  <c r="J60" i="6"/>
  <c r="I60" i="6"/>
  <c r="H60" i="6"/>
  <c r="G60" i="6"/>
  <c r="E60" i="6"/>
  <c r="F60" i="6" s="1"/>
  <c r="J59" i="6"/>
  <c r="I59" i="6"/>
  <c r="H59" i="6"/>
  <c r="G59" i="6"/>
  <c r="J58" i="6"/>
  <c r="I58" i="6"/>
  <c r="H58" i="6"/>
  <c r="G58" i="6"/>
  <c r="J57" i="6"/>
  <c r="I57" i="6"/>
  <c r="H57" i="6"/>
  <c r="G57" i="6"/>
  <c r="J56" i="6"/>
  <c r="I56" i="6"/>
  <c r="H56" i="6"/>
  <c r="G56" i="6"/>
  <c r="E56" i="6"/>
  <c r="F56" i="6" s="1"/>
  <c r="J55" i="6"/>
  <c r="I55" i="6"/>
  <c r="H55" i="6"/>
  <c r="G55" i="6"/>
  <c r="J54" i="6"/>
  <c r="I54" i="6"/>
  <c r="H54" i="6"/>
  <c r="G54" i="6"/>
  <c r="J53" i="6"/>
  <c r="I53" i="6"/>
  <c r="H53" i="6"/>
  <c r="G53" i="6"/>
  <c r="J52" i="6"/>
  <c r="I52" i="6"/>
  <c r="H52" i="6"/>
  <c r="G52" i="6"/>
  <c r="E52" i="6"/>
  <c r="F52" i="6" s="1"/>
  <c r="J51" i="6"/>
  <c r="I51" i="6"/>
  <c r="H51" i="6"/>
  <c r="G51" i="6"/>
  <c r="J50" i="6"/>
  <c r="I50" i="6"/>
  <c r="H50" i="6"/>
  <c r="G50" i="6"/>
  <c r="J49" i="6"/>
  <c r="I49" i="6"/>
  <c r="H49" i="6"/>
  <c r="G49" i="6"/>
  <c r="J48" i="6"/>
  <c r="I48" i="6"/>
  <c r="H48" i="6"/>
  <c r="G48" i="6"/>
  <c r="E48" i="6"/>
  <c r="F48" i="6" s="1"/>
  <c r="J47" i="6"/>
  <c r="I47" i="6"/>
  <c r="H47" i="6"/>
  <c r="G47" i="6"/>
  <c r="J46" i="6"/>
  <c r="I46" i="6"/>
  <c r="H46" i="6"/>
  <c r="G46" i="6"/>
  <c r="J45" i="6"/>
  <c r="I45" i="6"/>
  <c r="H45" i="6"/>
  <c r="G45" i="6"/>
  <c r="E45" i="6"/>
  <c r="F45" i="6" s="1"/>
  <c r="J44" i="6"/>
  <c r="I44" i="6"/>
  <c r="H44" i="6"/>
  <c r="G44" i="6"/>
  <c r="E44" i="6"/>
  <c r="F44" i="6" s="1"/>
  <c r="J43" i="6"/>
  <c r="I43" i="6"/>
  <c r="H43" i="6"/>
  <c r="G43" i="6"/>
  <c r="J42" i="6"/>
  <c r="I42" i="6"/>
  <c r="H42" i="6"/>
  <c r="G42" i="6"/>
  <c r="J41" i="6"/>
  <c r="I41" i="6"/>
  <c r="H41" i="6"/>
  <c r="G41" i="6"/>
  <c r="J40" i="6"/>
  <c r="I40" i="6"/>
  <c r="H40" i="6"/>
  <c r="G40" i="6"/>
  <c r="J39" i="6"/>
  <c r="I39" i="6"/>
  <c r="H39" i="6"/>
  <c r="G39" i="6"/>
  <c r="J38" i="6"/>
  <c r="I38" i="6"/>
  <c r="H38" i="6"/>
  <c r="G38" i="6"/>
  <c r="J37" i="6"/>
  <c r="I37" i="6"/>
  <c r="H37" i="6"/>
  <c r="G37" i="6"/>
  <c r="J36" i="6"/>
  <c r="I36" i="6"/>
  <c r="H36" i="6"/>
  <c r="G36" i="6"/>
  <c r="J35" i="6"/>
  <c r="I35" i="6"/>
  <c r="H35" i="6"/>
  <c r="G35" i="6"/>
  <c r="J34" i="6"/>
  <c r="I34" i="6"/>
  <c r="H34" i="6"/>
  <c r="G34" i="6"/>
  <c r="J33" i="6"/>
  <c r="I33" i="6"/>
  <c r="H33" i="6"/>
  <c r="G33" i="6"/>
  <c r="J32" i="6"/>
  <c r="I32" i="6"/>
  <c r="H32" i="6"/>
  <c r="G32" i="6"/>
  <c r="E32" i="6"/>
  <c r="F32" i="6" s="1"/>
  <c r="J31" i="6"/>
  <c r="I31" i="6"/>
  <c r="H31" i="6"/>
  <c r="G31" i="6"/>
  <c r="J30" i="6"/>
  <c r="I30" i="6"/>
  <c r="H30" i="6"/>
  <c r="G30" i="6"/>
  <c r="J29" i="6"/>
  <c r="I29" i="6"/>
  <c r="H29" i="6"/>
  <c r="G29" i="6"/>
  <c r="J28" i="6"/>
  <c r="I28" i="6"/>
  <c r="H28" i="6"/>
  <c r="G28" i="6"/>
  <c r="E28" i="6"/>
  <c r="F28" i="6" s="1"/>
  <c r="J27" i="6"/>
  <c r="I27" i="6"/>
  <c r="H27" i="6"/>
  <c r="G27" i="6"/>
  <c r="J26" i="6"/>
  <c r="I26" i="6"/>
  <c r="H26" i="6"/>
  <c r="G26" i="6"/>
  <c r="J25" i="6"/>
  <c r="I25" i="6"/>
  <c r="H25" i="6"/>
  <c r="G25" i="6"/>
  <c r="E25" i="6"/>
  <c r="F25" i="6" s="1"/>
  <c r="J24" i="6"/>
  <c r="I24" i="6"/>
  <c r="H24" i="6"/>
  <c r="G24" i="6"/>
  <c r="E24" i="6"/>
  <c r="F24" i="6" s="1"/>
  <c r="J23" i="6"/>
  <c r="I23" i="6"/>
  <c r="H23" i="6"/>
  <c r="G23" i="6"/>
  <c r="E23" i="6"/>
  <c r="F23" i="6" s="1"/>
  <c r="J22" i="6"/>
  <c r="I22" i="6"/>
  <c r="H22" i="6"/>
  <c r="G22" i="6"/>
  <c r="J21" i="6"/>
  <c r="I21" i="6"/>
  <c r="H21" i="6"/>
  <c r="G21" i="6"/>
  <c r="E21" i="6"/>
  <c r="F21" i="6" s="1"/>
  <c r="J20" i="6"/>
  <c r="I20" i="6"/>
  <c r="H20" i="6"/>
  <c r="G20" i="6"/>
  <c r="E20" i="6"/>
  <c r="F20" i="6" s="1"/>
  <c r="J19" i="6"/>
  <c r="I19" i="6"/>
  <c r="H19" i="6"/>
  <c r="G19" i="6"/>
  <c r="E19" i="6"/>
  <c r="F19" i="6" s="1"/>
  <c r="J18" i="6"/>
  <c r="I18" i="6"/>
  <c r="H18" i="6"/>
  <c r="G18" i="6"/>
  <c r="J17" i="6"/>
  <c r="I17" i="6"/>
  <c r="H17" i="6"/>
  <c r="G17" i="6"/>
  <c r="F17" i="6"/>
  <c r="E17" i="6"/>
  <c r="J16" i="6"/>
  <c r="I16" i="6"/>
  <c r="H16" i="6"/>
  <c r="G16" i="6"/>
  <c r="E16" i="6"/>
  <c r="F16" i="6" s="1"/>
  <c r="J15" i="6"/>
  <c r="I15" i="6"/>
  <c r="H15" i="6"/>
  <c r="G15" i="6"/>
  <c r="E15" i="6"/>
  <c r="F15" i="6" s="1"/>
  <c r="J14" i="6"/>
  <c r="I14" i="6"/>
  <c r="H14" i="6"/>
  <c r="G14" i="6"/>
  <c r="J13" i="6"/>
  <c r="I13" i="6"/>
  <c r="H13" i="6"/>
  <c r="G13" i="6"/>
  <c r="F13" i="6"/>
  <c r="E13" i="6"/>
  <c r="J12" i="6"/>
  <c r="I12" i="6"/>
  <c r="H12" i="6"/>
  <c r="G12" i="6"/>
  <c r="E12" i="6"/>
  <c r="F12" i="6" s="1"/>
  <c r="J11" i="6"/>
  <c r="I11" i="6"/>
  <c r="H11" i="6"/>
  <c r="G11" i="6"/>
  <c r="E11" i="6"/>
  <c r="F11" i="6" s="1"/>
  <c r="J10" i="6"/>
  <c r="I10" i="6"/>
  <c r="H10" i="6"/>
  <c r="G10" i="6"/>
  <c r="J9" i="6"/>
  <c r="I9" i="6"/>
  <c r="H9" i="6"/>
  <c r="G9" i="6"/>
  <c r="F9" i="6"/>
  <c r="E9" i="6"/>
  <c r="J8" i="6"/>
  <c r="I8" i="6"/>
  <c r="H8" i="6"/>
  <c r="G8" i="6"/>
  <c r="E8" i="6"/>
  <c r="F8" i="6" s="1"/>
  <c r="J7" i="6"/>
  <c r="I7" i="6"/>
  <c r="H7" i="6"/>
  <c r="G7" i="6"/>
  <c r="E7" i="6"/>
  <c r="F7" i="6" s="1"/>
  <c r="J6" i="6"/>
  <c r="I6" i="6"/>
  <c r="H6" i="6"/>
  <c r="G6" i="6"/>
  <c r="J5" i="6"/>
  <c r="I5" i="6"/>
  <c r="H5" i="6"/>
  <c r="G5" i="6"/>
  <c r="F5" i="6"/>
  <c r="E5" i="6"/>
  <c r="J4" i="6"/>
  <c r="I4" i="6"/>
  <c r="H4" i="6"/>
  <c r="G4" i="6"/>
  <c r="E4" i="6"/>
  <c r="F4" i="6" s="1"/>
  <c r="J3" i="6"/>
  <c r="I3" i="6"/>
  <c r="H3" i="6"/>
  <c r="G3" i="6"/>
  <c r="E3" i="6"/>
  <c r="F3" i="6" s="1"/>
  <c r="J2" i="6"/>
  <c r="I2" i="6"/>
  <c r="H2" i="6"/>
  <c r="G2" i="6"/>
  <c r="K51" i="5"/>
  <c r="K50" i="5"/>
  <c r="L49" i="5"/>
  <c r="K49" i="5"/>
  <c r="E550" i="6" s="1"/>
  <c r="F550" i="6" s="1"/>
  <c r="L48" i="5"/>
  <c r="K48" i="5"/>
  <c r="E204" i="6" s="1"/>
  <c r="F204" i="6" s="1"/>
  <c r="K47" i="5"/>
  <c r="E29" i="6" s="1"/>
  <c r="F29" i="6" s="1"/>
  <c r="K46" i="5"/>
  <c r="L45" i="5"/>
  <c r="K45" i="5"/>
  <c r="L44" i="5"/>
  <c r="K44" i="5"/>
  <c r="K43" i="5"/>
  <c r="K42" i="5"/>
  <c r="L41" i="5"/>
  <c r="K41" i="5"/>
  <c r="L40" i="5"/>
  <c r="K40" i="5"/>
  <c r="E487" i="6" s="1"/>
  <c r="F487" i="6" s="1"/>
  <c r="K39" i="5"/>
  <c r="E467" i="6" s="1"/>
  <c r="F467" i="6" s="1"/>
  <c r="K38" i="5"/>
  <c r="E453" i="6" s="1"/>
  <c r="F453" i="6" s="1"/>
  <c r="L37" i="5"/>
  <c r="K37" i="5"/>
  <c r="L36" i="5"/>
  <c r="K36" i="5"/>
  <c r="E332" i="6" s="1"/>
  <c r="F332" i="6" s="1"/>
  <c r="K35" i="5"/>
  <c r="L35" i="5" s="1"/>
  <c r="K34" i="5"/>
  <c r="E312" i="6" s="1"/>
  <c r="F312" i="6" s="1"/>
  <c r="L33" i="5"/>
  <c r="K33" i="5"/>
  <c r="E140" i="6" s="1"/>
  <c r="F140" i="6" s="1"/>
  <c r="L32" i="5"/>
  <c r="K32" i="5"/>
  <c r="E63" i="6" s="1"/>
  <c r="F63" i="6" s="1"/>
  <c r="K31" i="5"/>
  <c r="K30" i="5"/>
  <c r="L29" i="5"/>
  <c r="K29" i="5"/>
  <c r="L28" i="5"/>
  <c r="K28" i="5"/>
  <c r="K27" i="5"/>
  <c r="K26" i="5"/>
  <c r="L25" i="5"/>
  <c r="K25" i="5"/>
  <c r="L24" i="5"/>
  <c r="K24" i="5"/>
  <c r="E535" i="6" s="1"/>
  <c r="F535" i="6" s="1"/>
  <c r="K23" i="5"/>
  <c r="E515" i="6" s="1"/>
  <c r="F515" i="6" s="1"/>
  <c r="K22" i="5"/>
  <c r="E479" i="6" s="1"/>
  <c r="F479" i="6" s="1"/>
  <c r="L21" i="5"/>
  <c r="K21" i="5"/>
  <c r="E439" i="6" s="1"/>
  <c r="F439" i="6" s="1"/>
  <c r="L20" i="5"/>
  <c r="K20" i="5"/>
  <c r="E388" i="6" s="1"/>
  <c r="F388" i="6" s="1"/>
  <c r="K19" i="5"/>
  <c r="E386" i="6" s="1"/>
  <c r="F386" i="6" s="1"/>
  <c r="K18" i="5"/>
  <c r="E360" i="6" s="1"/>
  <c r="F360" i="6" s="1"/>
  <c r="L17" i="5"/>
  <c r="K17" i="5"/>
  <c r="E326" i="6" s="1"/>
  <c r="F326" i="6" s="1"/>
  <c r="L16" i="5"/>
  <c r="K16" i="5"/>
  <c r="E300" i="6" s="1"/>
  <c r="F300" i="6" s="1"/>
  <c r="K15" i="5"/>
  <c r="E274" i="6" s="1"/>
  <c r="F274" i="6" s="1"/>
  <c r="K14" i="5"/>
  <c r="E264" i="6" s="1"/>
  <c r="F264" i="6" s="1"/>
  <c r="L13" i="5"/>
  <c r="K13" i="5"/>
  <c r="E246" i="6" s="1"/>
  <c r="F246" i="6" s="1"/>
  <c r="L12" i="5"/>
  <c r="K12" i="5"/>
  <c r="E181" i="6" s="1"/>
  <c r="F181" i="6" s="1"/>
  <c r="K11" i="5"/>
  <c r="E111" i="6" s="1"/>
  <c r="F111" i="6" s="1"/>
  <c r="K10" i="5"/>
  <c r="E105" i="6" s="1"/>
  <c r="F105" i="6" s="1"/>
  <c r="L9" i="5"/>
  <c r="K9" i="5"/>
  <c r="L8" i="5"/>
  <c r="K8" i="5"/>
  <c r="K7" i="5"/>
  <c r="K6" i="5"/>
  <c r="E421" i="6" s="1"/>
  <c r="F421" i="6" s="1"/>
  <c r="L5" i="5"/>
  <c r="K5" i="5"/>
  <c r="E221" i="6" s="1"/>
  <c r="F221" i="6" s="1"/>
  <c r="L4" i="5"/>
  <c r="K4" i="5"/>
  <c r="E163" i="6" s="1"/>
  <c r="F163" i="6" s="1"/>
  <c r="K3" i="5"/>
  <c r="E132" i="6" s="1"/>
  <c r="F132" i="6" s="1"/>
  <c r="K2" i="5"/>
  <c r="E41" i="6" s="1"/>
  <c r="F41" i="6" s="1"/>
  <c r="A44" i="4"/>
  <c r="B44" i="4" s="1"/>
  <c r="A29" i="4"/>
  <c r="B29" i="4" s="1"/>
  <c r="A2" i="4"/>
  <c r="B2" i="4" s="1"/>
  <c r="A202" i="1"/>
  <c r="D202" i="1" s="1"/>
  <c r="E198" i="1"/>
  <c r="J198" i="1" s="1"/>
  <c r="D198" i="1"/>
  <c r="C198" i="1"/>
  <c r="B198" i="1"/>
  <c r="A198" i="1"/>
  <c r="E197" i="1"/>
  <c r="D197" i="1"/>
  <c r="C197" i="1"/>
  <c r="B197" i="1"/>
  <c r="A197" i="1"/>
  <c r="E196" i="1"/>
  <c r="D196" i="1"/>
  <c r="C196" i="1"/>
  <c r="B196" i="1"/>
  <c r="A196" i="1"/>
  <c r="E195" i="1"/>
  <c r="D195" i="1"/>
  <c r="C195" i="1"/>
  <c r="B195" i="1"/>
  <c r="A195" i="1"/>
  <c r="E194" i="1"/>
  <c r="J194" i="1" s="1"/>
  <c r="D194" i="1"/>
  <c r="C194" i="1"/>
  <c r="B194" i="1"/>
  <c r="A194" i="1"/>
  <c r="E193" i="1"/>
  <c r="D193" i="1"/>
  <c r="C193" i="1"/>
  <c r="B193" i="1"/>
  <c r="A193" i="1"/>
  <c r="E192" i="1"/>
  <c r="D192" i="1"/>
  <c r="C192" i="1"/>
  <c r="B192" i="1"/>
  <c r="A192" i="1"/>
  <c r="E191" i="1"/>
  <c r="J191" i="1" s="1"/>
  <c r="D191" i="1"/>
  <c r="C191" i="1"/>
  <c r="B191" i="1"/>
  <c r="A191" i="1"/>
  <c r="E190" i="1"/>
  <c r="D190" i="1"/>
  <c r="C190" i="1"/>
  <c r="B190" i="1"/>
  <c r="A190" i="1"/>
  <c r="E189" i="1"/>
  <c r="D189" i="1"/>
  <c r="C189" i="1"/>
  <c r="B189" i="1"/>
  <c r="A189" i="1"/>
  <c r="E188" i="1"/>
  <c r="D188" i="1"/>
  <c r="C188" i="1"/>
  <c r="B188" i="1"/>
  <c r="A188" i="1"/>
  <c r="E187" i="1"/>
  <c r="D187" i="1"/>
  <c r="C187" i="1"/>
  <c r="B187" i="1"/>
  <c r="A187" i="1"/>
  <c r="E186" i="1"/>
  <c r="D186" i="1"/>
  <c r="C186" i="1"/>
  <c r="B186" i="1"/>
  <c r="A186" i="1"/>
  <c r="E185" i="1"/>
  <c r="D185" i="1"/>
  <c r="C185" i="1"/>
  <c r="B185" i="1"/>
  <c r="A185" i="1"/>
  <c r="E184" i="1"/>
  <c r="D184" i="1"/>
  <c r="C184" i="1"/>
  <c r="B184" i="1"/>
  <c r="A184" i="1"/>
  <c r="E183" i="1"/>
  <c r="D183" i="1"/>
  <c r="C183" i="1"/>
  <c r="B183" i="1"/>
  <c r="A183" i="1"/>
  <c r="E182" i="1"/>
  <c r="J182" i="1" s="1"/>
  <c r="D182" i="1"/>
  <c r="C182" i="1"/>
  <c r="B182" i="1"/>
  <c r="A182" i="1"/>
  <c r="E181" i="1"/>
  <c r="D181" i="1"/>
  <c r="C181" i="1"/>
  <c r="B181" i="1"/>
  <c r="A181" i="1"/>
  <c r="E180" i="1"/>
  <c r="D180" i="1"/>
  <c r="C180" i="1"/>
  <c r="B180" i="1"/>
  <c r="A180" i="1"/>
  <c r="E179" i="1"/>
  <c r="D179" i="1"/>
  <c r="C179" i="1"/>
  <c r="B179" i="1"/>
  <c r="A179" i="1"/>
  <c r="E178" i="1"/>
  <c r="D178" i="1"/>
  <c r="C178" i="1"/>
  <c r="B178" i="1"/>
  <c r="A178" i="1"/>
  <c r="E177" i="1"/>
  <c r="D177" i="1"/>
  <c r="C177" i="1"/>
  <c r="B177" i="1"/>
  <c r="A177" i="1"/>
  <c r="E176" i="1"/>
  <c r="D176" i="1"/>
  <c r="C176" i="1"/>
  <c r="B176" i="1"/>
  <c r="A176" i="1"/>
  <c r="E175" i="1"/>
  <c r="D175" i="1"/>
  <c r="C175" i="1"/>
  <c r="B175" i="1"/>
  <c r="A175" i="1"/>
  <c r="E174" i="1"/>
  <c r="D174" i="1"/>
  <c r="C174" i="1"/>
  <c r="B174" i="1"/>
  <c r="A174" i="1"/>
  <c r="E173" i="1"/>
  <c r="D173" i="1"/>
  <c r="C173" i="1"/>
  <c r="B173" i="1"/>
  <c r="A173" i="1"/>
  <c r="E172" i="1"/>
  <c r="D172" i="1"/>
  <c r="C172" i="1"/>
  <c r="B172" i="1"/>
  <c r="A172" i="1"/>
  <c r="E171" i="1"/>
  <c r="D171" i="1"/>
  <c r="C171" i="1"/>
  <c r="B171" i="1"/>
  <c r="A171" i="1"/>
  <c r="E170" i="1"/>
  <c r="D170" i="1"/>
  <c r="C170" i="1"/>
  <c r="B170" i="1"/>
  <c r="A170" i="1"/>
  <c r="E169" i="1"/>
  <c r="J169" i="1" s="1"/>
  <c r="D169" i="1"/>
  <c r="C169" i="1"/>
  <c r="B169" i="1"/>
  <c r="A169" i="1"/>
  <c r="E168" i="1"/>
  <c r="J168" i="1" s="1"/>
  <c r="D168" i="1"/>
  <c r="C168" i="1"/>
  <c r="B168" i="1"/>
  <c r="A168" i="1"/>
  <c r="E167" i="1"/>
  <c r="D167" i="1"/>
  <c r="C167" i="1"/>
  <c r="B167" i="1"/>
  <c r="A167" i="1"/>
  <c r="E166" i="1"/>
  <c r="D166" i="1"/>
  <c r="C166" i="1"/>
  <c r="B166" i="1"/>
  <c r="A166" i="1"/>
  <c r="E165" i="1"/>
  <c r="D165" i="1"/>
  <c r="C165" i="1"/>
  <c r="B165" i="1"/>
  <c r="A165" i="1"/>
  <c r="E164" i="1"/>
  <c r="D164" i="1"/>
  <c r="C164" i="1"/>
  <c r="B164" i="1"/>
  <c r="A164" i="1"/>
  <c r="E163" i="1"/>
  <c r="D163" i="1"/>
  <c r="C163" i="1"/>
  <c r="B163" i="1"/>
  <c r="A163" i="1"/>
  <c r="E162" i="1"/>
  <c r="D162" i="1"/>
  <c r="C162" i="1"/>
  <c r="B162" i="1"/>
  <c r="A162" i="1"/>
  <c r="E161" i="1"/>
  <c r="J161" i="1" s="1"/>
  <c r="D161" i="1"/>
  <c r="C161" i="1"/>
  <c r="B161" i="1"/>
  <c r="A161" i="1"/>
  <c r="E160" i="1"/>
  <c r="D160" i="1"/>
  <c r="C160" i="1"/>
  <c r="B160" i="1"/>
  <c r="A160" i="1"/>
  <c r="E159" i="1"/>
  <c r="D159" i="1"/>
  <c r="C159" i="1"/>
  <c r="B159" i="1"/>
  <c r="A159" i="1"/>
  <c r="E158" i="1"/>
  <c r="D158" i="1"/>
  <c r="C158" i="1"/>
  <c r="B158" i="1"/>
  <c r="A158" i="1"/>
  <c r="E157" i="1"/>
  <c r="D157" i="1"/>
  <c r="C157" i="1"/>
  <c r="B157" i="1"/>
  <c r="A157" i="1"/>
  <c r="E156" i="1"/>
  <c r="D156" i="1"/>
  <c r="C156" i="1"/>
  <c r="B156" i="1"/>
  <c r="A156" i="1"/>
  <c r="E155" i="1"/>
  <c r="D155" i="1"/>
  <c r="C155" i="1"/>
  <c r="B155" i="1"/>
  <c r="A155" i="1"/>
  <c r="E154" i="1"/>
  <c r="D154" i="1"/>
  <c r="C154" i="1"/>
  <c r="B154" i="1"/>
  <c r="A154" i="1"/>
  <c r="E153" i="1"/>
  <c r="J153" i="1" s="1"/>
  <c r="D153" i="1"/>
  <c r="C153" i="1"/>
  <c r="B153" i="1"/>
  <c r="A153" i="1"/>
  <c r="E152" i="1"/>
  <c r="D152" i="1"/>
  <c r="C152" i="1"/>
  <c r="B152" i="1"/>
  <c r="A152" i="1"/>
  <c r="E151" i="1"/>
  <c r="D151" i="1"/>
  <c r="C151" i="1"/>
  <c r="B151" i="1"/>
  <c r="A151" i="1"/>
  <c r="E150" i="1"/>
  <c r="D150" i="1"/>
  <c r="C150" i="1"/>
  <c r="B150" i="1"/>
  <c r="A150" i="1"/>
  <c r="E149" i="1"/>
  <c r="D149" i="1"/>
  <c r="C149" i="1"/>
  <c r="B149" i="1"/>
  <c r="A149" i="1"/>
  <c r="B144" i="1"/>
  <c r="B146" i="1" s="1"/>
  <c r="M20" i="1"/>
  <c r="I92" i="1"/>
  <c r="I91" i="1"/>
  <c r="I90" i="1"/>
  <c r="I89" i="1"/>
  <c r="B92" i="1"/>
  <c r="B91" i="1"/>
  <c r="B90" i="1"/>
  <c r="B89" i="1"/>
  <c r="J14" i="1"/>
  <c r="G14" i="1"/>
  <c r="K5" i="1"/>
  <c r="J1300" i="12" l="1"/>
  <c r="J365" i="12"/>
  <c r="J1204" i="12"/>
  <c r="J748" i="12"/>
  <c r="J724" i="12"/>
  <c r="J820" i="12"/>
  <c r="F294" i="12"/>
  <c r="J1156" i="12"/>
  <c r="F846" i="12"/>
  <c r="J388" i="12"/>
  <c r="F942" i="12"/>
  <c r="J1373" i="12"/>
  <c r="J556" i="12"/>
  <c r="J965" i="12"/>
  <c r="F870" i="12"/>
  <c r="J676" i="12"/>
  <c r="J436" i="12"/>
  <c r="F798" i="12"/>
  <c r="F1254" i="12"/>
  <c r="I725" i="12"/>
  <c r="G725" i="12"/>
  <c r="H725" i="12"/>
  <c r="J268" i="12"/>
  <c r="J940" i="12"/>
  <c r="J1324" i="12"/>
  <c r="G1038" i="12"/>
  <c r="H1038" i="12"/>
  <c r="I1038" i="12"/>
  <c r="J220" i="12"/>
  <c r="G581" i="12"/>
  <c r="H581" i="12"/>
  <c r="I581" i="12"/>
  <c r="G461" i="12"/>
  <c r="H461" i="12"/>
  <c r="I461" i="12"/>
  <c r="J796" i="12"/>
  <c r="F1398" i="12"/>
  <c r="G1085" i="12"/>
  <c r="H1085" i="12"/>
  <c r="I1085" i="12"/>
  <c r="H1277" i="12"/>
  <c r="I1277" i="12"/>
  <c r="G1277" i="12"/>
  <c r="D1159" i="12"/>
  <c r="E1159" i="12"/>
  <c r="D1135" i="12"/>
  <c r="E1135" i="12"/>
  <c r="D871" i="12"/>
  <c r="E871" i="12"/>
  <c r="D775" i="12"/>
  <c r="E775" i="12"/>
  <c r="D679" i="12"/>
  <c r="E679" i="12"/>
  <c r="D511" i="12"/>
  <c r="E511" i="12"/>
  <c r="E247" i="12"/>
  <c r="D247" i="12"/>
  <c r="F990" i="12"/>
  <c r="J916" i="12"/>
  <c r="F654" i="12"/>
  <c r="J293" i="12"/>
  <c r="J1276" i="12"/>
  <c r="H846" i="12"/>
  <c r="I846" i="12"/>
  <c r="G846" i="12"/>
  <c r="I413" i="12"/>
  <c r="H413" i="12"/>
  <c r="G413" i="12"/>
  <c r="H1205" i="12"/>
  <c r="I1205" i="12"/>
  <c r="G1205" i="12"/>
  <c r="I582" i="12"/>
  <c r="G582" i="12"/>
  <c r="H582" i="12"/>
  <c r="I317" i="12"/>
  <c r="H317" i="12"/>
  <c r="G317" i="12"/>
  <c r="F1110" i="12"/>
  <c r="D1399" i="12"/>
  <c r="E1399" i="12"/>
  <c r="D943" i="12"/>
  <c r="E943" i="12"/>
  <c r="E847" i="12"/>
  <c r="D847" i="12"/>
  <c r="D655" i="12"/>
  <c r="E655" i="12"/>
  <c r="E319" i="12"/>
  <c r="D319" i="12"/>
  <c r="F319" i="12" s="1"/>
  <c r="G269" i="12"/>
  <c r="I269" i="12"/>
  <c r="H269" i="12"/>
  <c r="F1086" i="12"/>
  <c r="I798" i="12"/>
  <c r="H798" i="12"/>
  <c r="G798" i="12"/>
  <c r="G773" i="12"/>
  <c r="H773" i="12"/>
  <c r="I773" i="12"/>
  <c r="H1181" i="12"/>
  <c r="I1181" i="12"/>
  <c r="G1181" i="12"/>
  <c r="J1396" i="12"/>
  <c r="F414" i="12"/>
  <c r="F1374" i="12"/>
  <c r="J701" i="12"/>
  <c r="F558" i="12"/>
  <c r="G629" i="12"/>
  <c r="H629" i="12"/>
  <c r="I629" i="12"/>
  <c r="H845" i="12"/>
  <c r="I845" i="12"/>
  <c r="G845" i="12"/>
  <c r="I294" i="12"/>
  <c r="G294" i="12"/>
  <c r="H294" i="12"/>
  <c r="E1375" i="12"/>
  <c r="D1375" i="12"/>
  <c r="D1231" i="12"/>
  <c r="E1231" i="12"/>
  <c r="E823" i="12"/>
  <c r="D823" i="12"/>
  <c r="D751" i="12"/>
  <c r="E751" i="12"/>
  <c r="D631" i="12"/>
  <c r="E631" i="12"/>
  <c r="E391" i="12"/>
  <c r="D391" i="12"/>
  <c r="F391" i="12" s="1"/>
  <c r="G437" i="12"/>
  <c r="J437" i="12" s="1"/>
  <c r="H437" i="12"/>
  <c r="I437" i="12"/>
  <c r="F1134" i="12"/>
  <c r="H1157" i="12"/>
  <c r="I1157" i="12"/>
  <c r="G1157" i="12"/>
  <c r="G941" i="12"/>
  <c r="H941" i="12"/>
  <c r="I941" i="12"/>
  <c r="F222" i="12"/>
  <c r="J1348" i="12"/>
  <c r="F822" i="12"/>
  <c r="J1228" i="12"/>
  <c r="J892" i="12"/>
  <c r="J604" i="12"/>
  <c r="F366" i="12"/>
  <c r="G942" i="12"/>
  <c r="I942" i="12"/>
  <c r="H942" i="12"/>
  <c r="J989" i="12"/>
  <c r="J797" i="12"/>
  <c r="F606" i="12"/>
  <c r="B248" i="12"/>
  <c r="B224" i="12"/>
  <c r="B392" i="12"/>
  <c r="B368" i="12"/>
  <c r="B320" i="12"/>
  <c r="B272" i="12"/>
  <c r="B296" i="12"/>
  <c r="B344" i="12"/>
  <c r="B416" i="12"/>
  <c r="B440" i="12"/>
  <c r="B464" i="12"/>
  <c r="B488" i="12"/>
  <c r="B512" i="12"/>
  <c r="B536" i="12"/>
  <c r="B704" i="12"/>
  <c r="B584" i="12"/>
  <c r="B608" i="12"/>
  <c r="B632" i="12"/>
  <c r="B656" i="12"/>
  <c r="B728" i="12"/>
  <c r="B560" i="12"/>
  <c r="B680" i="12"/>
  <c r="B752" i="12"/>
  <c r="B776" i="12"/>
  <c r="B800" i="12"/>
  <c r="B824" i="12"/>
  <c r="B920" i="12"/>
  <c r="B944" i="12"/>
  <c r="B968" i="12"/>
  <c r="B992" i="12"/>
  <c r="B1016" i="12"/>
  <c r="B848" i="12"/>
  <c r="B872" i="12"/>
  <c r="B1040" i="12"/>
  <c r="B1088" i="12"/>
  <c r="B1112" i="12"/>
  <c r="B1136" i="12"/>
  <c r="B1160" i="12"/>
  <c r="B1184" i="12"/>
  <c r="B1208" i="12"/>
  <c r="B1232" i="12"/>
  <c r="B1256" i="12"/>
  <c r="B1280" i="12"/>
  <c r="B896" i="12"/>
  <c r="B1064" i="12"/>
  <c r="A1428" i="12"/>
  <c r="B1427" i="12"/>
  <c r="B1304" i="12"/>
  <c r="B1400" i="12"/>
  <c r="B1328" i="12"/>
  <c r="B1376" i="12"/>
  <c r="B1352" i="12"/>
  <c r="D1351" i="12"/>
  <c r="E1351" i="12"/>
  <c r="D1207" i="12"/>
  <c r="E1207" i="12"/>
  <c r="D1087" i="12"/>
  <c r="E1087" i="12"/>
  <c r="E727" i="12"/>
  <c r="D727" i="12"/>
  <c r="D607" i="12"/>
  <c r="E607" i="12"/>
  <c r="D343" i="12"/>
  <c r="E343" i="12"/>
  <c r="I318" i="12"/>
  <c r="G318" i="12"/>
  <c r="H318" i="12"/>
  <c r="H341" i="12"/>
  <c r="I341" i="12"/>
  <c r="G341" i="12"/>
  <c r="I774" i="12"/>
  <c r="H774" i="12"/>
  <c r="G774" i="12"/>
  <c r="G1014" i="12"/>
  <c r="H1014" i="12"/>
  <c r="I1014" i="12"/>
  <c r="G1037" i="12"/>
  <c r="H1037" i="12"/>
  <c r="I1037" i="12"/>
  <c r="J364" i="12"/>
  <c r="H1350" i="12"/>
  <c r="G1350" i="12"/>
  <c r="I1350" i="12"/>
  <c r="I1397" i="12"/>
  <c r="G1397" i="12"/>
  <c r="H1397" i="12"/>
  <c r="I749" i="12"/>
  <c r="G749" i="12"/>
  <c r="H749" i="12"/>
  <c r="F750" i="12"/>
  <c r="G917" i="12"/>
  <c r="H917" i="12"/>
  <c r="I917" i="12"/>
  <c r="D1327" i="12"/>
  <c r="E1327" i="12"/>
  <c r="E991" i="12"/>
  <c r="D991" i="12"/>
  <c r="D1063" i="12"/>
  <c r="E1063" i="12"/>
  <c r="D415" i="12"/>
  <c r="E415" i="12"/>
  <c r="D583" i="12"/>
  <c r="E583" i="12"/>
  <c r="E271" i="12"/>
  <c r="D271" i="12"/>
  <c r="I630" i="12"/>
  <c r="G630" i="12"/>
  <c r="H630" i="12"/>
  <c r="J1108" i="12"/>
  <c r="I1062" i="12"/>
  <c r="H1062" i="12"/>
  <c r="G1062" i="12"/>
  <c r="J1062" i="12" s="1"/>
  <c r="J893" i="12"/>
  <c r="F246" i="12"/>
  <c r="F966" i="12"/>
  <c r="H1133" i="12"/>
  <c r="I1133" i="12"/>
  <c r="G1133" i="12"/>
  <c r="G1301" i="12"/>
  <c r="I1301" i="12"/>
  <c r="H1301" i="12"/>
  <c r="F486" i="12"/>
  <c r="G605" i="12"/>
  <c r="H605" i="12"/>
  <c r="I605" i="12"/>
  <c r="H869" i="12"/>
  <c r="I869" i="12"/>
  <c r="G869" i="12"/>
  <c r="G221" i="12"/>
  <c r="I221" i="12"/>
  <c r="H221" i="12"/>
  <c r="J677" i="12"/>
  <c r="I389" i="12"/>
  <c r="H389" i="12"/>
  <c r="G389" i="12"/>
  <c r="I533" i="12"/>
  <c r="G533" i="12"/>
  <c r="H533" i="12"/>
  <c r="F894" i="12"/>
  <c r="H1109" i="12"/>
  <c r="I1109" i="12"/>
  <c r="G1109" i="12"/>
  <c r="F510" i="12"/>
  <c r="D1303" i="12"/>
  <c r="F1303" i="12" s="1"/>
  <c r="E1303" i="12"/>
  <c r="E919" i="12"/>
  <c r="D919" i="12"/>
  <c r="D1039" i="12"/>
  <c r="E1039" i="12"/>
  <c r="D487" i="12"/>
  <c r="E487" i="12"/>
  <c r="E439" i="12"/>
  <c r="D439" i="12"/>
  <c r="E295" i="12"/>
  <c r="D295" i="12"/>
  <c r="J316" i="12"/>
  <c r="F1278" i="12"/>
  <c r="J532" i="12"/>
  <c r="F438" i="12"/>
  <c r="F1302" i="12"/>
  <c r="J1036" i="12"/>
  <c r="F462" i="12"/>
  <c r="F1326" i="12"/>
  <c r="H245" i="12"/>
  <c r="G245" i="12"/>
  <c r="I245" i="12"/>
  <c r="J485" i="12"/>
  <c r="J1252" i="12"/>
  <c r="H1254" i="12"/>
  <c r="I1254" i="12"/>
  <c r="G1254" i="12"/>
  <c r="J821" i="12"/>
  <c r="G870" i="12"/>
  <c r="H870" i="12"/>
  <c r="I870" i="12"/>
  <c r="J1060" i="12"/>
  <c r="D1111" i="12"/>
  <c r="E1111" i="12"/>
  <c r="E1279" i="12"/>
  <c r="D1279" i="12"/>
  <c r="E1015" i="12"/>
  <c r="D1015" i="12"/>
  <c r="E895" i="12"/>
  <c r="D895" i="12"/>
  <c r="E463" i="12"/>
  <c r="D463" i="12"/>
  <c r="F463" i="12" s="1"/>
  <c r="D559" i="12"/>
  <c r="E559" i="12"/>
  <c r="E223" i="12"/>
  <c r="D223" i="12"/>
  <c r="H1013" i="12"/>
  <c r="G1013" i="12"/>
  <c r="I1013" i="12"/>
  <c r="H534" i="12"/>
  <c r="I534" i="12"/>
  <c r="G534" i="12"/>
  <c r="I557" i="12"/>
  <c r="G557" i="12"/>
  <c r="H557" i="12"/>
  <c r="G653" i="12"/>
  <c r="H653" i="12"/>
  <c r="I653" i="12"/>
  <c r="G1158" i="12"/>
  <c r="H1158" i="12"/>
  <c r="I1158" i="12"/>
  <c r="I678" i="12"/>
  <c r="G678" i="12"/>
  <c r="H678" i="12"/>
  <c r="H1325" i="12"/>
  <c r="I1325" i="12"/>
  <c r="G1325" i="12"/>
  <c r="J508" i="12"/>
  <c r="F726" i="12"/>
  <c r="J484" i="12"/>
  <c r="F270" i="12"/>
  <c r="H1253" i="12"/>
  <c r="G1253" i="12"/>
  <c r="I1253" i="12"/>
  <c r="F342" i="12"/>
  <c r="F1230" i="12"/>
  <c r="J1180" i="12"/>
  <c r="F918" i="12"/>
  <c r="E1255" i="12"/>
  <c r="D1255" i="12"/>
  <c r="D1183" i="12"/>
  <c r="E1183" i="12"/>
  <c r="D967" i="12"/>
  <c r="F967" i="12" s="1"/>
  <c r="E967" i="12"/>
  <c r="D799" i="12"/>
  <c r="E799" i="12"/>
  <c r="E703" i="12"/>
  <c r="D703" i="12"/>
  <c r="D535" i="12"/>
  <c r="E535" i="12"/>
  <c r="D367" i="12"/>
  <c r="F367" i="12" s="1"/>
  <c r="E367" i="12"/>
  <c r="J1229" i="12"/>
  <c r="J700" i="12"/>
  <c r="G1061" i="12"/>
  <c r="H1061" i="12"/>
  <c r="I1061" i="12"/>
  <c r="F390" i="12"/>
  <c r="F1206" i="12"/>
  <c r="I509" i="12"/>
  <c r="G509" i="12"/>
  <c r="H509" i="12"/>
  <c r="F702" i="12"/>
  <c r="F1182" i="12"/>
  <c r="J772" i="12"/>
  <c r="J868" i="12"/>
  <c r="B145" i="1"/>
  <c r="I191" i="1" s="1"/>
  <c r="F185" i="1"/>
  <c r="I165" i="1"/>
  <c r="G171" i="1"/>
  <c r="D14" i="1"/>
  <c r="I161" i="1"/>
  <c r="F181" i="1"/>
  <c r="F195" i="1"/>
  <c r="F172" i="1"/>
  <c r="G126" i="1"/>
  <c r="L127" i="1"/>
  <c r="G157" i="1"/>
  <c r="F157" i="1"/>
  <c r="I182" i="1"/>
  <c r="G183" i="1"/>
  <c r="F184" i="1"/>
  <c r="G197" i="1"/>
  <c r="C202" i="1"/>
  <c r="E202" i="1" s="1"/>
  <c r="G128" i="1"/>
  <c r="I198" i="1"/>
  <c r="G159" i="1"/>
  <c r="F159" i="1"/>
  <c r="A203" i="1"/>
  <c r="F202" i="1"/>
  <c r="M129" i="1"/>
  <c r="B131" i="1"/>
  <c r="B127" i="1"/>
  <c r="G178" i="1"/>
  <c r="F158" i="1"/>
  <c r="F128" i="1"/>
  <c r="I156" i="1"/>
  <c r="M128" i="1"/>
  <c r="G130" i="1"/>
  <c r="G177" i="1"/>
  <c r="I176" i="1"/>
  <c r="F166" i="1"/>
  <c r="I155" i="1"/>
  <c r="B129" i="1"/>
  <c r="F150" i="1"/>
  <c r="F151" i="1"/>
  <c r="G152" i="1"/>
  <c r="F179" i="1"/>
  <c r="G188" i="1"/>
  <c r="I190" i="1"/>
  <c r="I197" i="1"/>
  <c r="J21" i="1"/>
  <c r="G21" i="1"/>
  <c r="D21" i="1"/>
  <c r="I149" i="1"/>
  <c r="G150" i="1"/>
  <c r="H150" i="1" s="1"/>
  <c r="J150" i="1" s="1"/>
  <c r="I151" i="1"/>
  <c r="F153" i="1"/>
  <c r="I159" i="1"/>
  <c r="I160" i="1"/>
  <c r="G161" i="1"/>
  <c r="G167" i="1"/>
  <c r="I167" i="1"/>
  <c r="F167" i="1"/>
  <c r="F170" i="1"/>
  <c r="F171" i="1"/>
  <c r="G172" i="1"/>
  <c r="G176" i="1"/>
  <c r="G189" i="1"/>
  <c r="F189" i="1"/>
  <c r="F129" i="1"/>
  <c r="F149" i="1"/>
  <c r="I152" i="1"/>
  <c r="G153" i="1"/>
  <c r="G158" i="1"/>
  <c r="F162" i="1"/>
  <c r="F163" i="1"/>
  <c r="G164" i="1"/>
  <c r="F165" i="1"/>
  <c r="I169" i="1"/>
  <c r="G170" i="1"/>
  <c r="I171" i="1"/>
  <c r="F173" i="1"/>
  <c r="F175" i="1"/>
  <c r="I178" i="1"/>
  <c r="G181" i="1"/>
  <c r="F187" i="1"/>
  <c r="B202" i="1"/>
  <c r="L130" i="1"/>
  <c r="F126" i="1"/>
  <c r="I129" i="1"/>
  <c r="M130" i="1"/>
  <c r="I150" i="1"/>
  <c r="G151" i="1"/>
  <c r="F152" i="1"/>
  <c r="I157" i="1"/>
  <c r="F160" i="1"/>
  <c r="G160" i="1"/>
  <c r="G162" i="1"/>
  <c r="I163" i="1"/>
  <c r="G165" i="1"/>
  <c r="I172" i="1"/>
  <c r="F174" i="1"/>
  <c r="I175" i="1"/>
  <c r="I177" i="1"/>
  <c r="I180" i="1"/>
  <c r="F182" i="1"/>
  <c r="F183" i="1"/>
  <c r="G184" i="1"/>
  <c r="I162" i="1"/>
  <c r="G163" i="1"/>
  <c r="F164" i="1"/>
  <c r="I194" i="1"/>
  <c r="G195" i="1"/>
  <c r="H195" i="1" s="1"/>
  <c r="J195" i="1" s="1"/>
  <c r="F196" i="1"/>
  <c r="I174" i="1"/>
  <c r="G175" i="1"/>
  <c r="F176" i="1"/>
  <c r="I154" i="1"/>
  <c r="G155" i="1"/>
  <c r="F156" i="1"/>
  <c r="I186" i="1"/>
  <c r="G187" i="1"/>
  <c r="F188" i="1"/>
  <c r="E2" i="4"/>
  <c r="D2" i="4"/>
  <c r="C2" i="4"/>
  <c r="H2" i="4"/>
  <c r="F2" i="4"/>
  <c r="G2" i="4" s="1"/>
  <c r="E29" i="4"/>
  <c r="D29" i="4"/>
  <c r="C29" i="4"/>
  <c r="H29" i="4"/>
  <c r="F29" i="4"/>
  <c r="G29" i="4" s="1"/>
  <c r="E44" i="4"/>
  <c r="D44" i="4"/>
  <c r="C44" i="4"/>
  <c r="H44" i="4"/>
  <c r="F44" i="4"/>
  <c r="G44" i="4" s="1"/>
  <c r="E109" i="6"/>
  <c r="F109" i="6" s="1"/>
  <c r="E116" i="6"/>
  <c r="F116" i="6" s="1"/>
  <c r="E123" i="6"/>
  <c r="F123" i="6" s="1"/>
  <c r="E130" i="6"/>
  <c r="F130" i="6" s="1"/>
  <c r="E137" i="6"/>
  <c r="F137" i="6" s="1"/>
  <c r="E143" i="6"/>
  <c r="F143" i="6" s="1"/>
  <c r="E153" i="6"/>
  <c r="F153" i="6" s="1"/>
  <c r="E156" i="6"/>
  <c r="F156" i="6" s="1"/>
  <c r="E159" i="6"/>
  <c r="F159" i="6" s="1"/>
  <c r="E180" i="6"/>
  <c r="F180" i="6" s="1"/>
  <c r="E183" i="6"/>
  <c r="F183" i="6" s="1"/>
  <c r="E186" i="6"/>
  <c r="F186" i="6" s="1"/>
  <c r="E189" i="6"/>
  <c r="F189" i="6" s="1"/>
  <c r="E212" i="6"/>
  <c r="F212" i="6" s="1"/>
  <c r="E215" i="6"/>
  <c r="F215" i="6" s="1"/>
  <c r="E218" i="6"/>
  <c r="F218" i="6" s="1"/>
  <c r="E238" i="6"/>
  <c r="F238" i="6" s="1"/>
  <c r="E254" i="6"/>
  <c r="F254" i="6" s="1"/>
  <c r="E262" i="6"/>
  <c r="F262" i="6" s="1"/>
  <c r="E270" i="6"/>
  <c r="F270" i="6" s="1"/>
  <c r="E278" i="6"/>
  <c r="F278" i="6" s="1"/>
  <c r="E286" i="6"/>
  <c r="F286" i="6" s="1"/>
  <c r="E294" i="6"/>
  <c r="F294" i="6" s="1"/>
  <c r="E302" i="6"/>
  <c r="F302" i="6" s="1"/>
  <c r="E310" i="6"/>
  <c r="F310" i="6" s="1"/>
  <c r="E318" i="6"/>
  <c r="F318" i="6" s="1"/>
  <c r="E334" i="6"/>
  <c r="F334" i="6" s="1"/>
  <c r="E342" i="6"/>
  <c r="F342" i="6" s="1"/>
  <c r="E350" i="6"/>
  <c r="F350" i="6" s="1"/>
  <c r="E358" i="6"/>
  <c r="F358" i="6" s="1"/>
  <c r="E366" i="6"/>
  <c r="F366" i="6" s="1"/>
  <c r="E374" i="6"/>
  <c r="F374" i="6" s="1"/>
  <c r="E382" i="6"/>
  <c r="F382" i="6" s="1"/>
  <c r="E390" i="6"/>
  <c r="F390" i="6" s="1"/>
  <c r="E398" i="6"/>
  <c r="F398" i="6" s="1"/>
  <c r="E406" i="6"/>
  <c r="F406" i="6" s="1"/>
  <c r="E414" i="6"/>
  <c r="F414" i="6" s="1"/>
  <c r="E429" i="6"/>
  <c r="F429" i="6" s="1"/>
  <c r="E434" i="6"/>
  <c r="F434" i="6" s="1"/>
  <c r="E461" i="6"/>
  <c r="F461" i="6" s="1"/>
  <c r="E475" i="6"/>
  <c r="F475" i="6" s="1"/>
  <c r="E491" i="6"/>
  <c r="F491" i="6" s="1"/>
  <c r="E507" i="6"/>
  <c r="F507" i="6" s="1"/>
  <c r="E523" i="6"/>
  <c r="F523" i="6" s="1"/>
  <c r="E539" i="6"/>
  <c r="F539" i="6" s="1"/>
  <c r="M6711" i="7"/>
  <c r="N6711" i="7" s="1"/>
  <c r="M6710" i="7"/>
  <c r="N6710" i="7" s="1"/>
  <c r="M6713" i="7"/>
  <c r="N6713" i="7" s="1"/>
  <c r="M6712" i="7"/>
  <c r="N6712" i="7" s="1"/>
  <c r="M6427" i="7"/>
  <c r="N6427" i="7" s="1"/>
  <c r="M6426" i="7"/>
  <c r="N6426" i="7" s="1"/>
  <c r="M6418" i="7"/>
  <c r="N6418" i="7" s="1"/>
  <c r="M6480" i="7"/>
  <c r="N6480" i="7" s="1"/>
  <c r="M6479" i="7"/>
  <c r="N6479" i="7" s="1"/>
  <c r="M6429" i="7"/>
  <c r="N6429" i="7" s="1"/>
  <c r="M6428" i="7"/>
  <c r="N6428" i="7" s="1"/>
  <c r="M6236" i="7"/>
  <c r="N6236" i="7" s="1"/>
  <c r="M6043" i="7"/>
  <c r="N6043" i="7" s="1"/>
  <c r="M5995" i="7"/>
  <c r="N5995" i="7" s="1"/>
  <c r="M6227" i="7"/>
  <c r="N6227" i="7" s="1"/>
  <c r="M5998" i="7"/>
  <c r="N5998" i="7" s="1"/>
  <c r="M6000" i="7"/>
  <c r="N6000" i="7" s="1"/>
  <c r="M5865" i="7"/>
  <c r="N5865" i="7" s="1"/>
  <c r="M5999" i="7"/>
  <c r="N5999" i="7" s="1"/>
  <c r="M5997" i="7"/>
  <c r="N5997" i="7" s="1"/>
  <c r="M5983" i="7"/>
  <c r="N5983" i="7" s="1"/>
  <c r="M5996" i="7"/>
  <c r="N5996" i="7" s="1"/>
  <c r="M5659" i="7"/>
  <c r="N5659" i="7" s="1"/>
  <c r="M5658" i="7"/>
  <c r="N5658" i="7" s="1"/>
  <c r="M5657" i="7"/>
  <c r="N5657" i="7" s="1"/>
  <c r="M5716" i="7"/>
  <c r="N5716" i="7" s="1"/>
  <c r="M5656" i="7"/>
  <c r="N5656" i="7" s="1"/>
  <c r="M5655" i="7"/>
  <c r="N5655" i="7" s="1"/>
  <c r="M5167" i="7"/>
  <c r="N5167" i="7" s="1"/>
  <c r="M5171" i="7"/>
  <c r="N5171" i="7" s="1"/>
  <c r="M5170" i="7"/>
  <c r="N5170" i="7" s="1"/>
  <c r="M5169" i="7"/>
  <c r="N5169" i="7" s="1"/>
  <c r="M5168" i="7"/>
  <c r="N5168" i="7" s="1"/>
  <c r="M4736" i="7"/>
  <c r="N4736" i="7" s="1"/>
  <c r="M4883" i="7"/>
  <c r="N4883" i="7" s="1"/>
  <c r="M4400" i="7"/>
  <c r="N4400" i="7" s="1"/>
  <c r="M4190" i="7"/>
  <c r="N4190" i="7" s="1"/>
  <c r="M4619" i="7"/>
  <c r="N4619" i="7" s="1"/>
  <c r="M4149" i="7"/>
  <c r="N4149" i="7" s="1"/>
  <c r="M4125" i="7"/>
  <c r="N4125" i="7" s="1"/>
  <c r="M4148" i="7"/>
  <c r="N4148" i="7" s="1"/>
  <c r="M4132" i="7"/>
  <c r="N4132" i="7" s="1"/>
  <c r="M4131" i="7"/>
  <c r="N4131" i="7" s="1"/>
  <c r="M4401" i="7"/>
  <c r="N4401" i="7" s="1"/>
  <c r="M3726" i="7"/>
  <c r="N3726" i="7" s="1"/>
  <c r="M3933" i="7"/>
  <c r="N3933" i="7" s="1"/>
  <c r="M3932" i="7"/>
  <c r="N3932" i="7" s="1"/>
  <c r="M3931" i="7"/>
  <c r="N3931" i="7" s="1"/>
  <c r="M3930" i="7"/>
  <c r="N3930" i="7" s="1"/>
  <c r="M3482" i="7"/>
  <c r="N3482" i="7" s="1"/>
  <c r="M3481" i="7"/>
  <c r="N3481" i="7" s="1"/>
  <c r="M3728" i="7"/>
  <c r="N3728" i="7" s="1"/>
  <c r="M3967" i="7"/>
  <c r="N3967" i="7" s="1"/>
  <c r="M3727" i="7"/>
  <c r="N3727" i="7" s="1"/>
  <c r="M3169" i="7"/>
  <c r="N3169" i="7" s="1"/>
  <c r="M3168" i="7"/>
  <c r="N3168" i="7" s="1"/>
  <c r="M2920" i="7"/>
  <c r="N2920" i="7" s="1"/>
  <c r="M3167" i="7"/>
  <c r="N3167" i="7" s="1"/>
  <c r="M2919" i="7"/>
  <c r="N2919" i="7" s="1"/>
  <c r="M2918" i="7"/>
  <c r="N2918" i="7" s="1"/>
  <c r="M2921" i="7"/>
  <c r="N2921" i="7" s="1"/>
  <c r="M2795" i="7"/>
  <c r="N2795" i="7" s="1"/>
  <c r="M2917" i="7"/>
  <c r="N2917" i="7" s="1"/>
  <c r="M1991" i="7"/>
  <c r="N1991" i="7" s="1"/>
  <c r="M1823" i="7"/>
  <c r="N1823" i="7" s="1"/>
  <c r="M1990" i="7"/>
  <c r="N1990" i="7" s="1"/>
  <c r="M2117" i="7"/>
  <c r="N2117" i="7" s="1"/>
  <c r="M1989" i="7"/>
  <c r="N1989" i="7" s="1"/>
  <c r="M1693" i="7"/>
  <c r="N1693" i="7" s="1"/>
  <c r="M1988" i="7"/>
  <c r="N1988" i="7" s="1"/>
  <c r="M2193" i="7"/>
  <c r="N2193" i="7" s="1"/>
  <c r="M1987" i="7"/>
  <c r="N1987" i="7" s="1"/>
  <c r="M1971" i="7"/>
  <c r="N1971" i="7" s="1"/>
  <c r="M1986" i="7"/>
  <c r="N1986" i="7" s="1"/>
  <c r="M1069" i="7"/>
  <c r="N1069" i="7" s="1"/>
  <c r="M1037" i="7"/>
  <c r="N1037" i="7" s="1"/>
  <c r="M1468" i="7"/>
  <c r="N1468" i="7" s="1"/>
  <c r="M1467" i="7"/>
  <c r="N1467" i="7" s="1"/>
  <c r="M1466" i="7"/>
  <c r="N1466" i="7" s="1"/>
  <c r="M1386" i="7"/>
  <c r="N1386" i="7" s="1"/>
  <c r="M1385" i="7"/>
  <c r="N1385" i="7" s="1"/>
  <c r="M1121" i="7"/>
  <c r="N1121" i="7" s="1"/>
  <c r="M1070" i="7"/>
  <c r="N1070" i="7" s="1"/>
  <c r="M1038" i="7"/>
  <c r="N1038" i="7" s="1"/>
  <c r="M740" i="7"/>
  <c r="N740" i="7" s="1"/>
  <c r="M644" i="7"/>
  <c r="N644" i="7" s="1"/>
  <c r="M396" i="7"/>
  <c r="N396" i="7" s="1"/>
  <c r="M353" i="7"/>
  <c r="N353" i="7" s="1"/>
  <c r="M1073" i="7"/>
  <c r="N1073" i="7" s="1"/>
  <c r="M351" i="7"/>
  <c r="N351" i="7" s="1"/>
  <c r="M1072" i="7"/>
  <c r="N1072" i="7" s="1"/>
  <c r="M1040" i="7"/>
  <c r="N1040" i="7" s="1"/>
  <c r="M646" i="7"/>
  <c r="N646" i="7" s="1"/>
  <c r="M622" i="7"/>
  <c r="N622" i="7" s="1"/>
  <c r="M1071" i="7"/>
  <c r="N1071" i="7" s="1"/>
  <c r="M1039" i="7"/>
  <c r="N1039" i="7" s="1"/>
  <c r="M645" i="7"/>
  <c r="N645" i="7" s="1"/>
  <c r="M354" i="7"/>
  <c r="N354" i="7" s="1"/>
  <c r="M352" i="7"/>
  <c r="N352" i="7" s="1"/>
  <c r="M342" i="7"/>
  <c r="N342" i="7" s="1"/>
  <c r="M30" i="7"/>
  <c r="N30" i="7" s="1"/>
  <c r="M29" i="7"/>
  <c r="N29" i="7" s="1"/>
  <c r="M9" i="7"/>
  <c r="N9" i="7" s="1"/>
  <c r="M88" i="7"/>
  <c r="N88" i="7" s="1"/>
  <c r="M31" i="7"/>
  <c r="N31" i="7" s="1"/>
  <c r="M6331" i="7"/>
  <c r="N6331" i="7" s="1"/>
  <c r="M6330" i="7"/>
  <c r="N6330" i="7" s="1"/>
  <c r="M6329" i="7"/>
  <c r="N6329" i="7" s="1"/>
  <c r="M6463" i="7"/>
  <c r="N6463" i="7" s="1"/>
  <c r="M6462" i="7"/>
  <c r="N6462" i="7" s="1"/>
  <c r="M6326" i="7"/>
  <c r="N6326" i="7" s="1"/>
  <c r="M6327" i="7"/>
  <c r="N6327" i="7" s="1"/>
  <c r="M6020" i="7"/>
  <c r="N6020" i="7" s="1"/>
  <c r="M6019" i="7"/>
  <c r="N6019" i="7" s="1"/>
  <c r="M6161" i="7"/>
  <c r="N6161" i="7" s="1"/>
  <c r="M6160" i="7"/>
  <c r="N6160" i="7" s="1"/>
  <c r="M6159" i="7"/>
  <c r="N6159" i="7" s="1"/>
  <c r="M6158" i="7"/>
  <c r="N6158" i="7" s="1"/>
  <c r="M6328" i="7"/>
  <c r="N6328" i="7" s="1"/>
  <c r="M6250" i="7"/>
  <c r="N6250" i="7" s="1"/>
  <c r="M6021" i="7"/>
  <c r="N6021" i="7" s="1"/>
  <c r="M5885" i="7"/>
  <c r="N5885" i="7" s="1"/>
  <c r="M5884" i="7"/>
  <c r="N5884" i="7" s="1"/>
  <c r="M5883" i="7"/>
  <c r="N5883" i="7" s="1"/>
  <c r="M5699" i="7"/>
  <c r="N5699" i="7" s="1"/>
  <c r="M5882" i="7"/>
  <c r="N5882" i="7" s="1"/>
  <c r="M6018" i="7"/>
  <c r="N6018" i="7" s="1"/>
  <c r="M5881" i="7"/>
  <c r="N5881" i="7" s="1"/>
  <c r="M6017" i="7"/>
  <c r="N6017" i="7" s="1"/>
  <c r="M5880" i="7"/>
  <c r="N5880" i="7" s="1"/>
  <c r="M5879" i="7"/>
  <c r="N5879" i="7" s="1"/>
  <c r="M5701" i="7"/>
  <c r="N5701" i="7" s="1"/>
  <c r="M5700" i="7"/>
  <c r="N5700" i="7" s="1"/>
  <c r="M5698" i="7"/>
  <c r="N5698" i="7" s="1"/>
  <c r="M5697" i="7"/>
  <c r="N5697" i="7" s="1"/>
  <c r="M5696" i="7"/>
  <c r="N5696" i="7" s="1"/>
  <c r="M5546" i="7"/>
  <c r="N5546" i="7" s="1"/>
  <c r="M5695" i="7"/>
  <c r="N5695" i="7" s="1"/>
  <c r="M5544" i="7"/>
  <c r="N5544" i="7" s="1"/>
  <c r="M5543" i="7"/>
  <c r="N5543" i="7" s="1"/>
  <c r="M5702" i="7"/>
  <c r="N5702" i="7" s="1"/>
  <c r="M5542" i="7"/>
  <c r="N5542" i="7" s="1"/>
  <c r="M5408" i="7"/>
  <c r="N5408" i="7" s="1"/>
  <c r="M5545" i="7"/>
  <c r="N5545" i="7" s="1"/>
  <c r="M5407" i="7"/>
  <c r="N5407" i="7" s="1"/>
  <c r="M5406" i="7"/>
  <c r="N5406" i="7" s="1"/>
  <c r="M5405" i="7"/>
  <c r="N5405" i="7" s="1"/>
  <c r="M5404" i="7"/>
  <c r="N5404" i="7" s="1"/>
  <c r="M5403" i="7"/>
  <c r="N5403" i="7" s="1"/>
  <c r="M5402" i="7"/>
  <c r="N5402" i="7" s="1"/>
  <c r="M5113" i="7"/>
  <c r="N5113" i="7" s="1"/>
  <c r="M5112" i="7"/>
  <c r="N5112" i="7" s="1"/>
  <c r="M5111" i="7"/>
  <c r="N5111" i="7" s="1"/>
  <c r="M5110" i="7"/>
  <c r="N5110" i="7" s="1"/>
  <c r="M5109" i="7"/>
  <c r="N5109" i="7" s="1"/>
  <c r="M5116" i="7"/>
  <c r="N5116" i="7" s="1"/>
  <c r="M5108" i="7"/>
  <c r="N5108" i="7" s="1"/>
  <c r="M5115" i="7"/>
  <c r="N5115" i="7" s="1"/>
  <c r="M5107" i="7"/>
  <c r="N5107" i="7" s="1"/>
  <c r="M5114" i="7"/>
  <c r="N5114" i="7" s="1"/>
  <c r="M5106" i="7"/>
  <c r="N5106" i="7" s="1"/>
  <c r="M4721" i="7"/>
  <c r="N4721" i="7" s="1"/>
  <c r="M4720" i="7"/>
  <c r="N4720" i="7" s="1"/>
  <c r="M4724" i="7"/>
  <c r="N4724" i="7" s="1"/>
  <c r="M4722" i="7"/>
  <c r="N4722" i="7" s="1"/>
  <c r="M4634" i="7"/>
  <c r="N4634" i="7" s="1"/>
  <c r="M4175" i="7"/>
  <c r="N4175" i="7" s="1"/>
  <c r="M4174" i="7"/>
  <c r="N4174" i="7" s="1"/>
  <c r="M4719" i="7"/>
  <c r="N4719" i="7" s="1"/>
  <c r="M4173" i="7"/>
  <c r="N4173" i="7" s="1"/>
  <c r="M4300" i="7"/>
  <c r="N4300" i="7" s="1"/>
  <c r="M4172" i="7"/>
  <c r="N4172" i="7" s="1"/>
  <c r="M4723" i="7"/>
  <c r="N4723" i="7" s="1"/>
  <c r="M4299" i="7"/>
  <c r="N4299" i="7" s="1"/>
  <c r="M4171" i="7"/>
  <c r="N4171" i="7" s="1"/>
  <c r="M4170" i="7"/>
  <c r="N4170" i="7" s="1"/>
  <c r="M3718" i="7"/>
  <c r="N3718" i="7" s="1"/>
  <c r="M4053" i="7"/>
  <c r="N4053" i="7" s="1"/>
  <c r="M3717" i="7"/>
  <c r="N3717" i="7" s="1"/>
  <c r="M3852" i="7"/>
  <c r="N3852" i="7" s="1"/>
  <c r="M3716" i="7"/>
  <c r="N3716" i="7" s="1"/>
  <c r="M3851" i="7"/>
  <c r="N3851" i="7" s="1"/>
  <c r="M3715" i="7"/>
  <c r="N3715" i="7" s="1"/>
  <c r="M3714" i="7"/>
  <c r="N3714" i="7" s="1"/>
  <c r="M3371" i="7"/>
  <c r="N3371" i="7" s="1"/>
  <c r="M3211" i="7"/>
  <c r="N3211" i="7" s="1"/>
  <c r="M3370" i="7"/>
  <c r="N3370" i="7" s="1"/>
  <c r="M3210" i="7"/>
  <c r="N3210" i="7" s="1"/>
  <c r="M2810" i="7"/>
  <c r="N2810" i="7" s="1"/>
  <c r="M3374" i="7"/>
  <c r="N3374" i="7" s="1"/>
  <c r="M3214" i="7"/>
  <c r="N3214" i="7" s="1"/>
  <c r="M3373" i="7"/>
  <c r="N3373" i="7" s="1"/>
  <c r="M3213" i="7"/>
  <c r="N3213" i="7" s="1"/>
  <c r="M3372" i="7"/>
  <c r="N3372" i="7" s="1"/>
  <c r="M3212" i="7"/>
  <c r="N3212" i="7" s="1"/>
  <c r="M2172" i="7"/>
  <c r="N2172" i="7" s="1"/>
  <c r="M2331" i="7"/>
  <c r="N2331" i="7" s="1"/>
  <c r="M2809" i="7"/>
  <c r="N2809" i="7" s="1"/>
  <c r="M2808" i="7"/>
  <c r="N2808" i="7" s="1"/>
  <c r="M2657" i="7"/>
  <c r="N2657" i="7" s="1"/>
  <c r="M2807" i="7"/>
  <c r="N2807" i="7" s="1"/>
  <c r="M2656" i="7"/>
  <c r="N2656" i="7" s="1"/>
  <c r="M2806" i="7"/>
  <c r="N2806" i="7" s="1"/>
  <c r="M2655" i="7"/>
  <c r="N2655" i="7" s="1"/>
  <c r="M2654" i="7"/>
  <c r="N2654" i="7" s="1"/>
  <c r="M1799" i="7"/>
  <c r="N1799" i="7" s="1"/>
  <c r="M1671" i="7"/>
  <c r="N1671" i="7" s="1"/>
  <c r="M2022" i="7"/>
  <c r="N2022" i="7" s="1"/>
  <c r="M1798" i="7"/>
  <c r="N1798" i="7" s="1"/>
  <c r="M2021" i="7"/>
  <c r="N2021" i="7" s="1"/>
  <c r="M1797" i="7"/>
  <c r="N1797" i="7" s="1"/>
  <c r="M2020" i="7"/>
  <c r="N2020" i="7" s="1"/>
  <c r="M1796" i="7"/>
  <c r="N1796" i="7" s="1"/>
  <c r="M2173" i="7"/>
  <c r="N2173" i="7" s="1"/>
  <c r="M2171" i="7"/>
  <c r="N2171" i="7" s="1"/>
  <c r="M1795" i="7"/>
  <c r="N1795" i="7" s="1"/>
  <c r="M2170" i="7"/>
  <c r="N2170" i="7" s="1"/>
  <c r="M1802" i="7"/>
  <c r="N1802" i="7" s="1"/>
  <c r="M1794" i="7"/>
  <c r="N1794" i="7" s="1"/>
  <c r="M2169" i="7"/>
  <c r="N2169" i="7" s="1"/>
  <c r="M1801" i="7"/>
  <c r="N1801" i="7" s="1"/>
  <c r="M1800" i="7"/>
  <c r="N1800" i="7" s="1"/>
  <c r="M1270" i="7"/>
  <c r="N1270" i="7" s="1"/>
  <c r="M1102" i="7"/>
  <c r="N1102" i="7" s="1"/>
  <c r="M1269" i="7"/>
  <c r="N1269" i="7" s="1"/>
  <c r="M1101" i="7"/>
  <c r="N1101" i="7" s="1"/>
  <c r="M1268" i="7"/>
  <c r="N1268" i="7" s="1"/>
  <c r="M1100" i="7"/>
  <c r="N1100" i="7" s="1"/>
  <c r="M1443" i="7"/>
  <c r="N1443" i="7" s="1"/>
  <c r="M1267" i="7"/>
  <c r="N1267" i="7" s="1"/>
  <c r="M1099" i="7"/>
  <c r="N1099" i="7" s="1"/>
  <c r="M1442" i="7"/>
  <c r="N1442" i="7" s="1"/>
  <c r="M1098" i="7"/>
  <c r="N1098" i="7" s="1"/>
  <c r="M1441" i="7"/>
  <c r="N1441" i="7" s="1"/>
  <c r="M1672" i="7"/>
  <c r="N1672" i="7" s="1"/>
  <c r="M1440" i="7"/>
  <c r="N1440" i="7" s="1"/>
  <c r="M1096" i="7"/>
  <c r="N1096" i="7" s="1"/>
  <c r="M692" i="7"/>
  <c r="N692" i="7" s="1"/>
  <c r="M1095" i="7"/>
  <c r="N1095" i="7" s="1"/>
  <c r="M915" i="7"/>
  <c r="N915" i="7" s="1"/>
  <c r="M531" i="7"/>
  <c r="N531" i="7" s="1"/>
  <c r="M387" i="7"/>
  <c r="N387" i="7" s="1"/>
  <c r="M914" i="7"/>
  <c r="N914" i="7" s="1"/>
  <c r="M530" i="7"/>
  <c r="N530" i="7" s="1"/>
  <c r="M913" i="7"/>
  <c r="N913" i="7" s="1"/>
  <c r="M529" i="7"/>
  <c r="N529" i="7" s="1"/>
  <c r="M385" i="7"/>
  <c r="N385" i="7" s="1"/>
  <c r="M257" i="7"/>
  <c r="N257" i="7" s="1"/>
  <c r="M912" i="7"/>
  <c r="N912" i="7" s="1"/>
  <c r="M695" i="7"/>
  <c r="N695" i="7" s="1"/>
  <c r="M383" i="7"/>
  <c r="N383" i="7" s="1"/>
  <c r="M694" i="7"/>
  <c r="N694" i="7" s="1"/>
  <c r="M1097" i="7"/>
  <c r="N1097" i="7" s="1"/>
  <c r="M693" i="7"/>
  <c r="N693" i="7" s="1"/>
  <c r="M386" i="7"/>
  <c r="N386" i="7" s="1"/>
  <c r="M384" i="7"/>
  <c r="N384" i="7" s="1"/>
  <c r="M382" i="7"/>
  <c r="N382" i="7" s="1"/>
  <c r="M62" i="7"/>
  <c r="N62" i="7" s="1"/>
  <c r="M381" i="7"/>
  <c r="N381" i="7" s="1"/>
  <c r="M61" i="7"/>
  <c r="N61" i="7" s="1"/>
  <c r="M68" i="7"/>
  <c r="N68" i="7" s="1"/>
  <c r="M60" i="7"/>
  <c r="N60" i="7" s="1"/>
  <c r="M67" i="7"/>
  <c r="N67" i="7" s="1"/>
  <c r="M59" i="7"/>
  <c r="N59" i="7" s="1"/>
  <c r="M256" i="7"/>
  <c r="N256" i="7" s="1"/>
  <c r="M66" i="7"/>
  <c r="N66" i="7" s="1"/>
  <c r="M255" i="7"/>
  <c r="N255" i="7" s="1"/>
  <c r="M65" i="7"/>
  <c r="N65" i="7" s="1"/>
  <c r="M254" i="7"/>
  <c r="N254" i="7" s="1"/>
  <c r="M64" i="7"/>
  <c r="N64" i="7" s="1"/>
  <c r="M63" i="7"/>
  <c r="N63" i="7" s="1"/>
  <c r="M6639" i="7"/>
  <c r="N6639" i="7" s="1"/>
  <c r="M6638" i="7"/>
  <c r="N6638" i="7" s="1"/>
  <c r="M6756" i="7"/>
  <c r="N6756" i="7" s="1"/>
  <c r="M6755" i="7"/>
  <c r="N6755" i="7" s="1"/>
  <c r="M6754" i="7"/>
  <c r="N6754" i="7" s="1"/>
  <c r="M6753" i="7"/>
  <c r="N6753" i="7" s="1"/>
  <c r="M6339" i="7"/>
  <c r="N6339" i="7" s="1"/>
  <c r="M6482" i="7"/>
  <c r="N6482" i="7" s="1"/>
  <c r="M6481" i="7"/>
  <c r="N6481" i="7" s="1"/>
  <c r="M6342" i="7"/>
  <c r="N6342" i="7" s="1"/>
  <c r="M6640" i="7"/>
  <c r="N6640" i="7" s="1"/>
  <c r="M6340" i="7"/>
  <c r="N6340" i="7" s="1"/>
  <c r="M6044" i="7"/>
  <c r="N6044" i="7" s="1"/>
  <c r="M6343" i="7"/>
  <c r="N6343" i="7" s="1"/>
  <c r="M6341" i="7"/>
  <c r="N6341" i="7" s="1"/>
  <c r="M6258" i="7"/>
  <c r="N6258" i="7" s="1"/>
  <c r="M6167" i="7"/>
  <c r="N6167" i="7" s="1"/>
  <c r="M6166" i="7"/>
  <c r="N6166" i="7" s="1"/>
  <c r="M6165" i="7"/>
  <c r="N6165" i="7" s="1"/>
  <c r="M6045" i="7"/>
  <c r="N6045" i="7" s="1"/>
  <c r="M5901" i="7"/>
  <c r="N5901" i="7" s="1"/>
  <c r="M5900" i="7"/>
  <c r="N5900" i="7" s="1"/>
  <c r="M5899" i="7"/>
  <c r="N5899" i="7" s="1"/>
  <c r="M5723" i="7"/>
  <c r="N5723" i="7" s="1"/>
  <c r="M5902" i="7"/>
  <c r="N5902" i="7" s="1"/>
  <c r="M5721" i="7"/>
  <c r="N5721" i="7" s="1"/>
  <c r="M5565" i="7"/>
  <c r="N5565" i="7" s="1"/>
  <c r="M5720" i="7"/>
  <c r="N5720" i="7" s="1"/>
  <c r="M5564" i="7"/>
  <c r="N5564" i="7" s="1"/>
  <c r="M5719" i="7"/>
  <c r="N5719" i="7" s="1"/>
  <c r="M5563" i="7"/>
  <c r="N5563" i="7" s="1"/>
  <c r="M5718" i="7"/>
  <c r="N5718" i="7" s="1"/>
  <c r="M5717" i="7"/>
  <c r="N5717" i="7" s="1"/>
  <c r="M5569" i="7"/>
  <c r="N5569" i="7" s="1"/>
  <c r="M5568" i="7"/>
  <c r="N5568" i="7" s="1"/>
  <c r="M5725" i="7"/>
  <c r="N5725" i="7" s="1"/>
  <c r="M5567" i="7"/>
  <c r="N5567" i="7" s="1"/>
  <c r="M5724" i="7"/>
  <c r="N5724" i="7" s="1"/>
  <c r="M5722" i="7"/>
  <c r="N5722" i="7" s="1"/>
  <c r="M5566" i="7"/>
  <c r="N5566" i="7" s="1"/>
  <c r="M5430" i="7"/>
  <c r="N5430" i="7" s="1"/>
  <c r="M5428" i="7"/>
  <c r="N5428" i="7" s="1"/>
  <c r="M5427" i="7"/>
  <c r="N5427" i="7" s="1"/>
  <c r="M5175" i="7"/>
  <c r="N5175" i="7" s="1"/>
  <c r="M5436" i="7"/>
  <c r="N5436" i="7" s="1"/>
  <c r="M5182" i="7"/>
  <c r="N5182" i="7" s="1"/>
  <c r="M5174" i="7"/>
  <c r="N5174" i="7" s="1"/>
  <c r="M5435" i="7"/>
  <c r="N5435" i="7" s="1"/>
  <c r="M5434" i="7"/>
  <c r="N5434" i="7" s="1"/>
  <c r="M5433" i="7"/>
  <c r="N5433" i="7" s="1"/>
  <c r="M5432" i="7"/>
  <c r="N5432" i="7" s="1"/>
  <c r="M5431" i="7"/>
  <c r="N5431" i="7" s="1"/>
  <c r="M5429" i="7"/>
  <c r="N5429" i="7" s="1"/>
  <c r="M5177" i="7"/>
  <c r="N5177" i="7" s="1"/>
  <c r="M5173" i="7"/>
  <c r="N5173" i="7" s="1"/>
  <c r="M5176" i="7"/>
  <c r="N5176" i="7" s="1"/>
  <c r="M5172" i="7"/>
  <c r="N5172" i="7" s="1"/>
  <c r="M5181" i="7"/>
  <c r="N5181" i="7" s="1"/>
  <c r="M5180" i="7"/>
  <c r="N5180" i="7" s="1"/>
  <c r="M5179" i="7"/>
  <c r="N5179" i="7" s="1"/>
  <c r="M5178" i="7"/>
  <c r="N5178" i="7" s="1"/>
  <c r="M4745" i="7"/>
  <c r="N4745" i="7" s="1"/>
  <c r="M4737" i="7"/>
  <c r="N4737" i="7" s="1"/>
  <c r="M4744" i="7"/>
  <c r="N4744" i="7" s="1"/>
  <c r="M4743" i="7"/>
  <c r="N4743" i="7" s="1"/>
  <c r="M4969" i="7"/>
  <c r="N4969" i="7" s="1"/>
  <c r="M4910" i="7"/>
  <c r="N4910" i="7" s="1"/>
  <c r="M4742" i="7"/>
  <c r="N4742" i="7" s="1"/>
  <c r="M4968" i="7"/>
  <c r="N4968" i="7" s="1"/>
  <c r="M4909" i="7"/>
  <c r="N4909" i="7" s="1"/>
  <c r="M4741" i="7"/>
  <c r="N4741" i="7" s="1"/>
  <c r="M4740" i="7"/>
  <c r="N4740" i="7" s="1"/>
  <c r="M4747" i="7"/>
  <c r="N4747" i="7" s="1"/>
  <c r="M4746" i="7"/>
  <c r="N4746" i="7" s="1"/>
  <c r="M4738" i="7"/>
  <c r="N4738" i="7" s="1"/>
  <c r="M4645" i="7"/>
  <c r="N4645" i="7" s="1"/>
  <c r="M4536" i="7"/>
  <c r="N4536" i="7" s="1"/>
  <c r="M4432" i="7"/>
  <c r="N4432" i="7" s="1"/>
  <c r="M4312" i="7"/>
  <c r="N4312" i="7" s="1"/>
  <c r="M4192" i="7"/>
  <c r="N4192" i="7" s="1"/>
  <c r="M4064" i="7"/>
  <c r="N4064" i="7" s="1"/>
  <c r="M4739" i="7"/>
  <c r="N4739" i="7" s="1"/>
  <c r="M4644" i="7"/>
  <c r="N4644" i="7" s="1"/>
  <c r="M4311" i="7"/>
  <c r="N4311" i="7" s="1"/>
  <c r="M4191" i="7"/>
  <c r="N4191" i="7" s="1"/>
  <c r="M4063" i="7"/>
  <c r="N4063" i="7" s="1"/>
  <c r="M4643" i="7"/>
  <c r="N4643" i="7" s="1"/>
  <c r="M4310" i="7"/>
  <c r="N4310" i="7" s="1"/>
  <c r="M4309" i="7"/>
  <c r="N4309" i="7" s="1"/>
  <c r="M4308" i="7"/>
  <c r="N4308" i="7" s="1"/>
  <c r="M4307" i="7"/>
  <c r="N4307" i="7" s="1"/>
  <c r="M4195" i="7"/>
  <c r="N4195" i="7" s="1"/>
  <c r="M4194" i="7"/>
  <c r="N4194" i="7" s="1"/>
  <c r="M4537" i="7"/>
  <c r="N4537" i="7" s="1"/>
  <c r="M4433" i="7"/>
  <c r="N4433" i="7" s="1"/>
  <c r="M4193" i="7"/>
  <c r="N4193" i="7" s="1"/>
  <c r="M4062" i="7"/>
  <c r="N4062" i="7" s="1"/>
  <c r="M3734" i="7"/>
  <c r="N3734" i="7" s="1"/>
  <c r="M3630" i="7"/>
  <c r="N3630" i="7" s="1"/>
  <c r="M3518" i="7"/>
  <c r="N3518" i="7" s="1"/>
  <c r="M4061" i="7"/>
  <c r="N4061" i="7" s="1"/>
  <c r="M3861" i="7"/>
  <c r="N3861" i="7" s="1"/>
  <c r="M3733" i="7"/>
  <c r="N3733" i="7" s="1"/>
  <c r="M3629" i="7"/>
  <c r="N3629" i="7" s="1"/>
  <c r="M3860" i="7"/>
  <c r="N3860" i="7" s="1"/>
  <c r="M3732" i="7"/>
  <c r="N3732" i="7" s="1"/>
  <c r="M3524" i="7"/>
  <c r="N3524" i="7" s="1"/>
  <c r="M3971" i="7"/>
  <c r="N3971" i="7" s="1"/>
  <c r="M3731" i="7"/>
  <c r="N3731" i="7" s="1"/>
  <c r="M3523" i="7"/>
  <c r="N3523" i="7" s="1"/>
  <c r="M3970" i="7"/>
  <c r="N3970" i="7" s="1"/>
  <c r="M3730" i="7"/>
  <c r="N3730" i="7" s="1"/>
  <c r="M3634" i="7"/>
  <c r="N3634" i="7" s="1"/>
  <c r="M3522" i="7"/>
  <c r="N3522" i="7" s="1"/>
  <c r="M3969" i="7"/>
  <c r="N3969" i="7" s="1"/>
  <c r="M3729" i="7"/>
  <c r="N3729" i="7" s="1"/>
  <c r="M3633" i="7"/>
  <c r="N3633" i="7" s="1"/>
  <c r="M3521" i="7"/>
  <c r="N3521" i="7" s="1"/>
  <c r="M3968" i="7"/>
  <c r="N3968" i="7" s="1"/>
  <c r="M3736" i="7"/>
  <c r="N3736" i="7" s="1"/>
  <c r="M3632" i="7"/>
  <c r="N3632" i="7" s="1"/>
  <c r="M3520" i="7"/>
  <c r="N3520" i="7" s="1"/>
  <c r="M3735" i="7"/>
  <c r="N3735" i="7" s="1"/>
  <c r="M3631" i="7"/>
  <c r="N3631" i="7" s="1"/>
  <c r="M3519" i="7"/>
  <c r="N3519" i="7" s="1"/>
  <c r="M3387" i="7"/>
  <c r="N3387" i="7" s="1"/>
  <c r="M3235" i="7"/>
  <c r="N3235" i="7" s="1"/>
  <c r="M3227" i="7"/>
  <c r="N3227" i="7" s="1"/>
  <c r="M3075" i="7"/>
  <c r="N3075" i="7" s="1"/>
  <c r="M2827" i="7"/>
  <c r="N2827" i="7" s="1"/>
  <c r="M3386" i="7"/>
  <c r="N3386" i="7" s="1"/>
  <c r="M3234" i="7"/>
  <c r="N3234" i="7" s="1"/>
  <c r="M3226" i="7"/>
  <c r="N3226" i="7" s="1"/>
  <c r="M3074" i="7"/>
  <c r="N3074" i="7" s="1"/>
  <c r="M2826" i="7"/>
  <c r="N2826" i="7" s="1"/>
  <c r="M3385" i="7"/>
  <c r="N3385" i="7" s="1"/>
  <c r="M3233" i="7"/>
  <c r="N3233" i="7" s="1"/>
  <c r="M3073" i="7"/>
  <c r="N3073" i="7" s="1"/>
  <c r="M3232" i="7"/>
  <c r="N3232" i="7" s="1"/>
  <c r="M3072" i="7"/>
  <c r="N3072" i="7" s="1"/>
  <c r="M3231" i="7"/>
  <c r="N3231" i="7" s="1"/>
  <c r="M3071" i="7"/>
  <c r="N3071" i="7" s="1"/>
  <c r="M3230" i="7"/>
  <c r="N3230" i="7" s="1"/>
  <c r="M3070" i="7"/>
  <c r="N3070" i="7" s="1"/>
  <c r="M3229" i="7"/>
  <c r="N3229" i="7" s="1"/>
  <c r="M3069" i="7"/>
  <c r="N3069" i="7" s="1"/>
  <c r="M3236" i="7"/>
  <c r="N3236" i="7" s="1"/>
  <c r="M3228" i="7"/>
  <c r="N3228" i="7" s="1"/>
  <c r="M3068" i="7"/>
  <c r="N3068" i="7" s="1"/>
  <c r="M2948" i="7"/>
  <c r="N2948" i="7" s="1"/>
  <c r="M2468" i="7"/>
  <c r="N2468" i="7" s="1"/>
  <c r="M2196" i="7"/>
  <c r="N2196" i="7" s="1"/>
  <c r="M2467" i="7"/>
  <c r="N2467" i="7" s="1"/>
  <c r="M2674" i="7"/>
  <c r="N2674" i="7" s="1"/>
  <c r="M2466" i="7"/>
  <c r="N2466" i="7" s="1"/>
  <c r="M2673" i="7"/>
  <c r="N2673" i="7" s="1"/>
  <c r="M2585" i="7"/>
  <c r="N2585" i="7" s="1"/>
  <c r="M2465" i="7"/>
  <c r="N2465" i="7" s="1"/>
  <c r="M2672" i="7"/>
  <c r="N2672" i="7" s="1"/>
  <c r="M2584" i="7"/>
  <c r="N2584" i="7" s="1"/>
  <c r="M2464" i="7"/>
  <c r="N2464" i="7" s="1"/>
  <c r="M2344" i="7"/>
  <c r="N2344" i="7" s="1"/>
  <c r="M2671" i="7"/>
  <c r="N2671" i="7" s="1"/>
  <c r="M2583" i="7"/>
  <c r="N2583" i="7" s="1"/>
  <c r="M2463" i="7"/>
  <c r="N2463" i="7" s="1"/>
  <c r="M2670" i="7"/>
  <c r="N2670" i="7" s="1"/>
  <c r="M2470" i="7"/>
  <c r="N2470" i="7" s="1"/>
  <c r="M2462" i="7"/>
  <c r="N2462" i="7" s="1"/>
  <c r="M2669" i="7"/>
  <c r="N2669" i="7" s="1"/>
  <c r="M2469" i="7"/>
  <c r="N2469" i="7" s="1"/>
  <c r="M2461" i="7"/>
  <c r="N2461" i="7" s="1"/>
  <c r="M2343" i="7"/>
  <c r="N2343" i="7" s="1"/>
  <c r="M2199" i="7"/>
  <c r="N2199" i="7" s="1"/>
  <c r="M2031" i="7"/>
  <c r="N2031" i="7" s="1"/>
  <c r="M1695" i="7"/>
  <c r="N1695" i="7" s="1"/>
  <c r="M2198" i="7"/>
  <c r="N2198" i="7" s="1"/>
  <c r="M2030" i="7"/>
  <c r="N2030" i="7" s="1"/>
  <c r="M1830" i="7"/>
  <c r="N1830" i="7" s="1"/>
  <c r="M1694" i="7"/>
  <c r="N1694" i="7" s="1"/>
  <c r="M2197" i="7"/>
  <c r="N2197" i="7" s="1"/>
  <c r="M2195" i="7"/>
  <c r="N2195" i="7" s="1"/>
  <c r="M2029" i="7"/>
  <c r="N2029" i="7" s="1"/>
  <c r="M1829" i="7"/>
  <c r="N1829" i="7" s="1"/>
  <c r="M2194" i="7"/>
  <c r="N2194" i="7" s="1"/>
  <c r="M1828" i="7"/>
  <c r="N1828" i="7" s="1"/>
  <c r="M1827" i="7"/>
  <c r="N1827" i="7" s="1"/>
  <c r="M1699" i="7"/>
  <c r="N1699" i="7" s="1"/>
  <c r="M1826" i="7"/>
  <c r="N1826" i="7" s="1"/>
  <c r="M1825" i="7"/>
  <c r="N1825" i="7" s="1"/>
  <c r="M1697" i="7"/>
  <c r="N1697" i="7" s="1"/>
  <c r="M2032" i="7"/>
  <c r="N2032" i="7" s="1"/>
  <c r="M1824" i="7"/>
  <c r="N1824" i="7" s="1"/>
  <c r="M1470" i="7"/>
  <c r="N1470" i="7" s="1"/>
  <c r="M1286" i="7"/>
  <c r="N1286" i="7" s="1"/>
  <c r="M1126" i="7"/>
  <c r="N1126" i="7" s="1"/>
  <c r="M1469" i="7"/>
  <c r="N1469" i="7" s="1"/>
  <c r="M1285" i="7"/>
  <c r="N1285" i="7" s="1"/>
  <c r="M1125" i="7"/>
  <c r="N1125" i="7" s="1"/>
  <c r="M1698" i="7"/>
  <c r="N1698" i="7" s="1"/>
  <c r="M1696" i="7"/>
  <c r="N1696" i="7" s="1"/>
  <c r="M1284" i="7"/>
  <c r="N1284" i="7" s="1"/>
  <c r="M1124" i="7"/>
  <c r="N1124" i="7" s="1"/>
  <c r="M1475" i="7"/>
  <c r="N1475" i="7" s="1"/>
  <c r="M1283" i="7"/>
  <c r="N1283" i="7" s="1"/>
  <c r="M1131" i="7"/>
  <c r="N1131" i="7" s="1"/>
  <c r="M1123" i="7"/>
  <c r="N1123" i="7" s="1"/>
  <c r="M1474" i="7"/>
  <c r="N1474" i="7" s="1"/>
  <c r="M1282" i="7"/>
  <c r="N1282" i="7" s="1"/>
  <c r="M1130" i="7"/>
  <c r="N1130" i="7" s="1"/>
  <c r="M1122" i="7"/>
  <c r="N1122" i="7" s="1"/>
  <c r="M1473" i="7"/>
  <c r="N1473" i="7" s="1"/>
  <c r="M1129" i="7"/>
  <c r="N1129" i="7" s="1"/>
  <c r="M1472" i="7"/>
  <c r="N1472" i="7" s="1"/>
  <c r="M1288" i="7"/>
  <c r="N1288" i="7" s="1"/>
  <c r="M1128" i="7"/>
  <c r="N1128" i="7" s="1"/>
  <c r="M1471" i="7"/>
  <c r="N1471" i="7" s="1"/>
  <c r="M1287" i="7"/>
  <c r="N1287" i="7" s="1"/>
  <c r="M1127" i="7"/>
  <c r="N1127" i="7" s="1"/>
  <c r="M267" i="7"/>
  <c r="N267" i="7" s="1"/>
  <c r="M538" i="7"/>
  <c r="N538" i="7" s="1"/>
  <c r="M402" i="7"/>
  <c r="N402" i="7" s="1"/>
  <c r="M537" i="7"/>
  <c r="N537" i="7" s="1"/>
  <c r="M401" i="7"/>
  <c r="N401" i="7" s="1"/>
  <c r="M265" i="7"/>
  <c r="N265" i="7" s="1"/>
  <c r="M936" i="7"/>
  <c r="N936" i="7" s="1"/>
  <c r="M536" i="7"/>
  <c r="N536" i="7" s="1"/>
  <c r="M935" i="7"/>
  <c r="N935" i="7" s="1"/>
  <c r="M399" i="7"/>
  <c r="N399" i="7" s="1"/>
  <c r="M934" i="7"/>
  <c r="N934" i="7" s="1"/>
  <c r="M742" i="7"/>
  <c r="N742" i="7" s="1"/>
  <c r="M398" i="7"/>
  <c r="N398" i="7" s="1"/>
  <c r="M741" i="7"/>
  <c r="N741" i="7" s="1"/>
  <c r="M397" i="7"/>
  <c r="N397" i="7" s="1"/>
  <c r="M268" i="7"/>
  <c r="N268" i="7" s="1"/>
  <c r="M266" i="7"/>
  <c r="N266" i="7" s="1"/>
  <c r="M94" i="7"/>
  <c r="N94" i="7" s="1"/>
  <c r="M93" i="7"/>
  <c r="N93" i="7" s="1"/>
  <c r="M92" i="7"/>
  <c r="N92" i="7" s="1"/>
  <c r="M91" i="7"/>
  <c r="N91" i="7" s="1"/>
  <c r="M90" i="7"/>
  <c r="N90" i="7" s="1"/>
  <c r="M89" i="7"/>
  <c r="N89" i="7" s="1"/>
  <c r="M400" i="7"/>
  <c r="N400" i="7" s="1"/>
  <c r="M6507" i="7"/>
  <c r="N6507" i="7" s="1"/>
  <c r="M6267" i="7"/>
  <c r="N6267" i="7" s="1"/>
  <c r="M6506" i="7"/>
  <c r="N6506" i="7" s="1"/>
  <c r="M6505" i="7"/>
  <c r="N6505" i="7" s="1"/>
  <c r="M6361" i="7"/>
  <c r="N6361" i="7" s="1"/>
  <c r="M6504" i="7"/>
  <c r="N6504" i="7" s="1"/>
  <c r="M6360" i="7"/>
  <c r="N6360" i="7" s="1"/>
  <c r="M6503" i="7"/>
  <c r="N6503" i="7" s="1"/>
  <c r="M6502" i="7"/>
  <c r="N6502" i="7" s="1"/>
  <c r="M6501" i="7"/>
  <c r="N6501" i="7" s="1"/>
  <c r="M6508" i="7"/>
  <c r="N6508" i="7" s="1"/>
  <c r="M6060" i="7"/>
  <c r="N6060" i="7" s="1"/>
  <c r="M6059" i="7"/>
  <c r="N6059" i="7" s="1"/>
  <c r="M6058" i="7"/>
  <c r="N6058" i="7" s="1"/>
  <c r="M6266" i="7"/>
  <c r="N6266" i="7" s="1"/>
  <c r="M6176" i="7"/>
  <c r="N6176" i="7" s="1"/>
  <c r="M6062" i="7"/>
  <c r="N6062" i="7" s="1"/>
  <c r="M6061" i="7"/>
  <c r="N6061" i="7" s="1"/>
  <c r="M5909" i="7"/>
  <c r="N5909" i="7" s="1"/>
  <c r="M5913" i="7"/>
  <c r="N5913" i="7" s="1"/>
  <c r="M6057" i="7"/>
  <c r="N6057" i="7" s="1"/>
  <c r="M5912" i="7"/>
  <c r="N5912" i="7" s="1"/>
  <c r="M5911" i="7"/>
  <c r="N5911" i="7" s="1"/>
  <c r="M5910" i="7"/>
  <c r="N5910" i="7" s="1"/>
  <c r="M5743" i="7"/>
  <c r="N5743" i="7" s="1"/>
  <c r="M5742" i="7"/>
  <c r="N5742" i="7" s="1"/>
  <c r="M5741" i="7"/>
  <c r="N5741" i="7" s="1"/>
  <c r="M5587" i="7"/>
  <c r="N5587" i="7" s="1"/>
  <c r="M5740" i="7"/>
  <c r="N5740" i="7" s="1"/>
  <c r="M5586" i="7"/>
  <c r="N5586" i="7" s="1"/>
  <c r="M5585" i="7"/>
  <c r="N5585" i="7" s="1"/>
  <c r="M5584" i="7"/>
  <c r="N5584" i="7" s="1"/>
  <c r="M5583" i="7"/>
  <c r="N5583" i="7" s="1"/>
  <c r="M5582" i="7"/>
  <c r="N5582" i="7" s="1"/>
  <c r="M5454" i="7"/>
  <c r="N5454" i="7" s="1"/>
  <c r="M5446" i="7"/>
  <c r="N5446" i="7" s="1"/>
  <c r="M5450" i="7"/>
  <c r="N5450" i="7" s="1"/>
  <c r="M5449" i="7"/>
  <c r="N5449" i="7" s="1"/>
  <c r="M5207" i="7"/>
  <c r="N5207" i="7" s="1"/>
  <c r="M5448" i="7"/>
  <c r="N5448" i="7" s="1"/>
  <c r="M5206" i="7"/>
  <c r="N5206" i="7" s="1"/>
  <c r="M5447" i="7"/>
  <c r="N5447" i="7" s="1"/>
  <c r="M5453" i="7"/>
  <c r="N5453" i="7" s="1"/>
  <c r="M5211" i="7"/>
  <c r="N5211" i="7" s="1"/>
  <c r="M5452" i="7"/>
  <c r="N5452" i="7" s="1"/>
  <c r="M5451" i="7"/>
  <c r="N5451" i="7" s="1"/>
  <c r="M5210" i="7"/>
  <c r="N5210" i="7" s="1"/>
  <c r="M5209" i="7"/>
  <c r="N5209" i="7" s="1"/>
  <c r="M5205" i="7"/>
  <c r="N5205" i="7" s="1"/>
  <c r="M5208" i="7"/>
  <c r="N5208" i="7" s="1"/>
  <c r="M5204" i="7"/>
  <c r="N5204" i="7" s="1"/>
  <c r="M4769" i="7"/>
  <c r="N4769" i="7" s="1"/>
  <c r="M4665" i="7"/>
  <c r="N4665" i="7" s="1"/>
  <c r="M4768" i="7"/>
  <c r="N4768" i="7" s="1"/>
  <c r="M4664" i="7"/>
  <c r="N4664" i="7" s="1"/>
  <c r="M4767" i="7"/>
  <c r="N4767" i="7" s="1"/>
  <c r="M4662" i="7"/>
  <c r="N4662" i="7" s="1"/>
  <c r="M4770" i="7"/>
  <c r="N4770" i="7" s="1"/>
  <c r="M4328" i="7"/>
  <c r="N4328" i="7" s="1"/>
  <c r="M4214" i="7"/>
  <c r="N4214" i="7" s="1"/>
  <c r="M4663" i="7"/>
  <c r="N4663" i="7" s="1"/>
  <c r="M4661" i="7"/>
  <c r="N4661" i="7" s="1"/>
  <c r="M4213" i="7"/>
  <c r="N4213" i="7" s="1"/>
  <c r="M4666" i="7"/>
  <c r="N4666" i="7" s="1"/>
  <c r="M4660" i="7"/>
  <c r="N4660" i="7" s="1"/>
  <c r="M4212" i="7"/>
  <c r="N4212" i="7" s="1"/>
  <c r="M4068" i="7"/>
  <c r="N4068" i="7" s="1"/>
  <c r="M4659" i="7"/>
  <c r="N4659" i="7" s="1"/>
  <c r="M4211" i="7"/>
  <c r="N4211" i="7" s="1"/>
  <c r="M4330" i="7"/>
  <c r="N4330" i="7" s="1"/>
  <c r="M4329" i="7"/>
  <c r="N4329" i="7" s="1"/>
  <c r="M3869" i="7"/>
  <c r="N3869" i="7" s="1"/>
  <c r="M3757" i="7"/>
  <c r="N3757" i="7" s="1"/>
  <c r="M3868" i="7"/>
  <c r="N3868" i="7" s="1"/>
  <c r="M3756" i="7"/>
  <c r="N3756" i="7" s="1"/>
  <c r="M3755" i="7"/>
  <c r="N3755" i="7" s="1"/>
  <c r="M3250" i="7"/>
  <c r="N3250" i="7" s="1"/>
  <c r="M3401" i="7"/>
  <c r="N3401" i="7" s="1"/>
  <c r="M3249" i="7"/>
  <c r="N3249" i="7" s="1"/>
  <c r="M3400" i="7"/>
  <c r="N3400" i="7" s="1"/>
  <c r="M3248" i="7"/>
  <c r="N3248" i="7" s="1"/>
  <c r="M3399" i="7"/>
  <c r="N3399" i="7" s="1"/>
  <c r="M3398" i="7"/>
  <c r="N3398" i="7" s="1"/>
  <c r="M2846" i="7"/>
  <c r="N2846" i="7" s="1"/>
  <c r="M3397" i="7"/>
  <c r="N3397" i="7" s="1"/>
  <c r="M2700" i="7"/>
  <c r="N2700" i="7" s="1"/>
  <c r="M2699" i="7"/>
  <c r="N2699" i="7" s="1"/>
  <c r="M2849" i="7"/>
  <c r="N2849" i="7" s="1"/>
  <c r="M2698" i="7"/>
  <c r="N2698" i="7" s="1"/>
  <c r="M2848" i="7"/>
  <c r="N2848" i="7" s="1"/>
  <c r="M2697" i="7"/>
  <c r="N2697" i="7" s="1"/>
  <c r="M2361" i="7"/>
  <c r="N2361" i="7" s="1"/>
  <c r="M2217" i="7"/>
  <c r="N2217" i="7" s="1"/>
  <c r="M2847" i="7"/>
  <c r="N2847" i="7" s="1"/>
  <c r="M2696" i="7"/>
  <c r="N2696" i="7" s="1"/>
  <c r="M2360" i="7"/>
  <c r="N2360" i="7" s="1"/>
  <c r="M2695" i="7"/>
  <c r="N2695" i="7" s="1"/>
  <c r="M2694" i="7"/>
  <c r="N2694" i="7" s="1"/>
  <c r="M2358" i="7"/>
  <c r="N2358" i="7" s="1"/>
  <c r="M2701" i="7"/>
  <c r="N2701" i="7" s="1"/>
  <c r="M2693" i="7"/>
  <c r="N2693" i="7" s="1"/>
  <c r="M2359" i="7"/>
  <c r="N2359" i="7" s="1"/>
  <c r="M1711" i="7"/>
  <c r="N1711" i="7" s="1"/>
  <c r="M1710" i="7"/>
  <c r="N1710" i="7" s="1"/>
  <c r="M2045" i="7"/>
  <c r="N2045" i="7" s="1"/>
  <c r="M1853" i="7"/>
  <c r="N1853" i="7" s="1"/>
  <c r="M1709" i="7"/>
  <c r="N1709" i="7" s="1"/>
  <c r="M2216" i="7"/>
  <c r="N2216" i="7" s="1"/>
  <c r="M2044" i="7"/>
  <c r="N2044" i="7" s="1"/>
  <c r="M1852" i="7"/>
  <c r="N1852" i="7" s="1"/>
  <c r="M2043" i="7"/>
  <c r="N2043" i="7" s="1"/>
  <c r="M1851" i="7"/>
  <c r="N1851" i="7" s="1"/>
  <c r="M2042" i="7"/>
  <c r="N2042" i="7" s="1"/>
  <c r="M1850" i="7"/>
  <c r="N1850" i="7" s="1"/>
  <c r="M1708" i="7"/>
  <c r="N1708" i="7" s="1"/>
  <c r="M1502" i="7"/>
  <c r="N1502" i="7" s="1"/>
  <c r="M1150" i="7"/>
  <c r="N1150" i="7" s="1"/>
  <c r="M1501" i="7"/>
  <c r="N1501" i="7" s="1"/>
  <c r="M1301" i="7"/>
  <c r="N1301" i="7" s="1"/>
  <c r="M1149" i="7"/>
  <c r="N1149" i="7" s="1"/>
  <c r="M1500" i="7"/>
  <c r="N1500" i="7" s="1"/>
  <c r="M1300" i="7"/>
  <c r="N1300" i="7" s="1"/>
  <c r="M1148" i="7"/>
  <c r="N1148" i="7" s="1"/>
  <c r="M1499" i="7"/>
  <c r="N1499" i="7" s="1"/>
  <c r="M1299" i="7"/>
  <c r="N1299" i="7" s="1"/>
  <c r="M1147" i="7"/>
  <c r="N1147" i="7" s="1"/>
  <c r="M1498" i="7"/>
  <c r="N1498" i="7" s="1"/>
  <c r="M1146" i="7"/>
  <c r="N1146" i="7" s="1"/>
  <c r="M1505" i="7"/>
  <c r="N1505" i="7" s="1"/>
  <c r="M1497" i="7"/>
  <c r="N1497" i="7" s="1"/>
  <c r="M1504" i="7"/>
  <c r="N1504" i="7" s="1"/>
  <c r="M1503" i="7"/>
  <c r="N1503" i="7" s="1"/>
  <c r="M956" i="7"/>
  <c r="N956" i="7" s="1"/>
  <c r="M764" i="7"/>
  <c r="N764" i="7" s="1"/>
  <c r="M955" i="7"/>
  <c r="N955" i="7" s="1"/>
  <c r="M763" i="7"/>
  <c r="N763" i="7" s="1"/>
  <c r="M954" i="7"/>
  <c r="N954" i="7" s="1"/>
  <c r="M762" i="7"/>
  <c r="N762" i="7" s="1"/>
  <c r="M1151" i="7"/>
  <c r="N1151" i="7" s="1"/>
  <c r="M953" i="7"/>
  <c r="N953" i="7" s="1"/>
  <c r="M761" i="7"/>
  <c r="N761" i="7" s="1"/>
  <c r="M952" i="7"/>
  <c r="N952" i="7" s="1"/>
  <c r="M760" i="7"/>
  <c r="N760" i="7" s="1"/>
  <c r="M951" i="7"/>
  <c r="N951" i="7" s="1"/>
  <c r="M407" i="7"/>
  <c r="N407" i="7" s="1"/>
  <c r="M958" i="7"/>
  <c r="N958" i="7" s="1"/>
  <c r="M957" i="7"/>
  <c r="N957" i="7" s="1"/>
  <c r="M765" i="7"/>
  <c r="N765" i="7" s="1"/>
  <c r="M549" i="7"/>
  <c r="N549" i="7" s="1"/>
  <c r="M280" i="7"/>
  <c r="N280" i="7" s="1"/>
  <c r="M118" i="7"/>
  <c r="N118" i="7" s="1"/>
  <c r="M279" i="7"/>
  <c r="N279" i="7" s="1"/>
  <c r="M117" i="7"/>
  <c r="N117" i="7" s="1"/>
  <c r="M278" i="7"/>
  <c r="N278" i="7" s="1"/>
  <c r="M124" i="7"/>
  <c r="N124" i="7" s="1"/>
  <c r="M277" i="7"/>
  <c r="N277" i="7" s="1"/>
  <c r="M123" i="7"/>
  <c r="N123" i="7" s="1"/>
  <c r="M276" i="7"/>
  <c r="N276" i="7" s="1"/>
  <c r="M122" i="7"/>
  <c r="N122" i="7" s="1"/>
  <c r="M121" i="7"/>
  <c r="N121" i="7" s="1"/>
  <c r="M120" i="7"/>
  <c r="N120" i="7" s="1"/>
  <c r="M119" i="7"/>
  <c r="N119" i="7" s="1"/>
  <c r="M6775" i="7"/>
  <c r="N6775" i="7" s="1"/>
  <c r="M6655" i="7"/>
  <c r="N6655" i="7" s="1"/>
  <c r="M6774" i="7"/>
  <c r="N6774" i="7" s="1"/>
  <c r="M6654" i="7"/>
  <c r="N6654" i="7" s="1"/>
  <c r="M6781" i="7"/>
  <c r="N6781" i="7" s="1"/>
  <c r="M6653" i="7"/>
  <c r="N6653" i="7" s="1"/>
  <c r="M6780" i="7"/>
  <c r="N6780" i="7" s="1"/>
  <c r="M6652" i="7"/>
  <c r="N6652" i="7" s="1"/>
  <c r="M6779" i="7"/>
  <c r="N6779" i="7" s="1"/>
  <c r="M6778" i="7"/>
  <c r="N6778" i="7" s="1"/>
  <c r="M6658" i="7"/>
  <c r="N6658" i="7" s="1"/>
  <c r="M6530" i="7"/>
  <c r="N6530" i="7" s="1"/>
  <c r="M6777" i="7"/>
  <c r="N6777" i="7" s="1"/>
  <c r="M6657" i="7"/>
  <c r="N6657" i="7" s="1"/>
  <c r="M6776" i="7"/>
  <c r="N6776" i="7" s="1"/>
  <c r="M6656" i="7"/>
  <c r="N6656" i="7" s="1"/>
  <c r="M6532" i="7"/>
  <c r="N6532" i="7" s="1"/>
  <c r="M6531" i="7"/>
  <c r="N6531" i="7" s="1"/>
  <c r="M6529" i="7"/>
  <c r="N6529" i="7" s="1"/>
  <c r="M6368" i="7"/>
  <c r="N6368" i="7" s="1"/>
  <c r="M6278" i="7"/>
  <c r="N6278" i="7" s="1"/>
  <c r="M6180" i="7"/>
  <c r="N6180" i="7" s="1"/>
  <c r="M6179" i="7"/>
  <c r="N6179" i="7" s="1"/>
  <c r="M6279" i="7"/>
  <c r="N6279" i="7" s="1"/>
  <c r="M6082" i="7"/>
  <c r="N6082" i="7" s="1"/>
  <c r="M6080" i="7"/>
  <c r="N6080" i="7" s="1"/>
  <c r="M6182" i="7"/>
  <c r="N6182" i="7" s="1"/>
  <c r="M6078" i="7"/>
  <c r="N6078" i="7" s="1"/>
  <c r="M6181" i="7"/>
  <c r="N6181" i="7" s="1"/>
  <c r="M5925" i="7"/>
  <c r="N5925" i="7" s="1"/>
  <c r="M5765" i="7"/>
  <c r="N5765" i="7" s="1"/>
  <c r="M6081" i="7"/>
  <c r="N6081" i="7" s="1"/>
  <c r="M6079" i="7"/>
  <c r="N6079" i="7" s="1"/>
  <c r="M5924" i="7"/>
  <c r="N5924" i="7" s="1"/>
  <c r="M5923" i="7"/>
  <c r="N5923" i="7" s="1"/>
  <c r="M5763" i="7"/>
  <c r="N5763" i="7" s="1"/>
  <c r="M5922" i="7"/>
  <c r="N5922" i="7" s="1"/>
  <c r="M5928" i="7"/>
  <c r="N5928" i="7" s="1"/>
  <c r="M5927" i="7"/>
  <c r="N5927" i="7" s="1"/>
  <c r="M5926" i="7"/>
  <c r="N5926" i="7" s="1"/>
  <c r="M5597" i="7"/>
  <c r="N5597" i="7" s="1"/>
  <c r="M5596" i="7"/>
  <c r="N5596" i="7" s="1"/>
  <c r="M5767" i="7"/>
  <c r="N5767" i="7" s="1"/>
  <c r="M5766" i="7"/>
  <c r="N5766" i="7" s="1"/>
  <c r="M5764" i="7"/>
  <c r="N5764" i="7" s="1"/>
  <c r="M5598" i="7"/>
  <c r="N5598" i="7" s="1"/>
  <c r="M4991" i="7"/>
  <c r="N4991" i="7" s="1"/>
  <c r="M4990" i="7"/>
  <c r="N4990" i="7" s="1"/>
  <c r="M4989" i="7"/>
  <c r="N4989" i="7" s="1"/>
  <c r="M4987" i="7"/>
  <c r="N4987" i="7" s="1"/>
  <c r="M4994" i="7"/>
  <c r="N4994" i="7" s="1"/>
  <c r="M4986" i="7"/>
  <c r="N4986" i="7" s="1"/>
  <c r="M4785" i="7"/>
  <c r="N4785" i="7" s="1"/>
  <c r="M4985" i="7"/>
  <c r="N4985" i="7" s="1"/>
  <c r="M4784" i="7"/>
  <c r="N4784" i="7" s="1"/>
  <c r="M4988" i="7"/>
  <c r="N4988" i="7" s="1"/>
  <c r="M4920" i="7"/>
  <c r="N4920" i="7" s="1"/>
  <c r="M4993" i="7"/>
  <c r="N4993" i="7" s="1"/>
  <c r="M4790" i="7"/>
  <c r="N4790" i="7" s="1"/>
  <c r="M4992" i="7"/>
  <c r="N4992" i="7" s="1"/>
  <c r="M4789" i="7"/>
  <c r="N4789" i="7" s="1"/>
  <c r="M4788" i="7"/>
  <c r="N4788" i="7" s="1"/>
  <c r="M4787" i="7"/>
  <c r="N4787" i="7" s="1"/>
  <c r="M4786" i="7"/>
  <c r="N4786" i="7" s="1"/>
  <c r="M4676" i="7"/>
  <c r="N4676" i="7" s="1"/>
  <c r="M4544" i="7"/>
  <c r="N4544" i="7" s="1"/>
  <c r="M4456" i="7"/>
  <c r="N4456" i="7" s="1"/>
  <c r="M4080" i="7"/>
  <c r="N4080" i="7" s="1"/>
  <c r="M4551" i="7"/>
  <c r="N4551" i="7" s="1"/>
  <c r="M4455" i="7"/>
  <c r="N4455" i="7" s="1"/>
  <c r="M4079" i="7"/>
  <c r="N4079" i="7" s="1"/>
  <c r="M4550" i="7"/>
  <c r="N4550" i="7" s="1"/>
  <c r="M4454" i="7"/>
  <c r="N4454" i="7" s="1"/>
  <c r="M4342" i="7"/>
  <c r="N4342" i="7" s="1"/>
  <c r="M4230" i="7"/>
  <c r="N4230" i="7" s="1"/>
  <c r="M4078" i="7"/>
  <c r="N4078" i="7" s="1"/>
  <c r="M4549" i="7"/>
  <c r="N4549" i="7" s="1"/>
  <c r="M4453" i="7"/>
  <c r="N4453" i="7" s="1"/>
  <c r="M4341" i="7"/>
  <c r="N4341" i="7" s="1"/>
  <c r="M4229" i="7"/>
  <c r="N4229" i="7" s="1"/>
  <c r="M4548" i="7"/>
  <c r="N4548" i="7" s="1"/>
  <c r="M4452" i="7"/>
  <c r="N4452" i="7" s="1"/>
  <c r="M4340" i="7"/>
  <c r="N4340" i="7" s="1"/>
  <c r="M4228" i="7"/>
  <c r="N4228" i="7" s="1"/>
  <c r="M4547" i="7"/>
  <c r="N4547" i="7" s="1"/>
  <c r="M4339" i="7"/>
  <c r="N4339" i="7" s="1"/>
  <c r="M4546" i="7"/>
  <c r="N4546" i="7" s="1"/>
  <c r="M4338" i="7"/>
  <c r="N4338" i="7" s="1"/>
  <c r="M4677" i="7"/>
  <c r="N4677" i="7" s="1"/>
  <c r="M4545" i="7"/>
  <c r="N4545" i="7" s="1"/>
  <c r="M4457" i="7"/>
  <c r="N4457" i="7" s="1"/>
  <c r="M4337" i="7"/>
  <c r="N4337" i="7" s="1"/>
  <c r="M3990" i="7"/>
  <c r="N3990" i="7" s="1"/>
  <c r="M3654" i="7"/>
  <c r="N3654" i="7" s="1"/>
  <c r="M3542" i="7"/>
  <c r="N3542" i="7" s="1"/>
  <c r="M3989" i="7"/>
  <c r="N3989" i="7" s="1"/>
  <c r="M3988" i="7"/>
  <c r="N3988" i="7" s="1"/>
  <c r="M3540" i="7"/>
  <c r="N3540" i="7" s="1"/>
  <c r="M3412" i="7"/>
  <c r="N3412" i="7" s="1"/>
  <c r="M3995" i="7"/>
  <c r="N3995" i="7" s="1"/>
  <c r="M3875" i="7"/>
  <c r="N3875" i="7" s="1"/>
  <c r="M4082" i="7"/>
  <c r="N4082" i="7" s="1"/>
  <c r="M3994" i="7"/>
  <c r="N3994" i="7" s="1"/>
  <c r="M3546" i="7"/>
  <c r="N3546" i="7" s="1"/>
  <c r="M4081" i="7"/>
  <c r="N4081" i="7" s="1"/>
  <c r="M3993" i="7"/>
  <c r="N3993" i="7" s="1"/>
  <c r="M3545" i="7"/>
  <c r="N3545" i="7" s="1"/>
  <c r="M3992" i="7"/>
  <c r="N3992" i="7" s="1"/>
  <c r="M3776" i="7"/>
  <c r="N3776" i="7" s="1"/>
  <c r="M3656" i="7"/>
  <c r="N3656" i="7" s="1"/>
  <c r="M3544" i="7"/>
  <c r="N3544" i="7" s="1"/>
  <c r="M3991" i="7"/>
  <c r="N3991" i="7" s="1"/>
  <c r="M3775" i="7"/>
  <c r="N3775" i="7" s="1"/>
  <c r="M3655" i="7"/>
  <c r="N3655" i="7" s="1"/>
  <c r="M3543" i="7"/>
  <c r="N3543" i="7" s="1"/>
  <c r="M3267" i="7"/>
  <c r="N3267" i="7" s="1"/>
  <c r="M2859" i="7"/>
  <c r="N2859" i="7" s="1"/>
  <c r="M3266" i="7"/>
  <c r="N3266" i="7" s="1"/>
  <c r="M2978" i="7"/>
  <c r="N2978" i="7" s="1"/>
  <c r="M3265" i="7"/>
  <c r="N3265" i="7" s="1"/>
  <c r="M2977" i="7"/>
  <c r="N2977" i="7" s="1"/>
  <c r="M3264" i="7"/>
  <c r="N3264" i="7" s="1"/>
  <c r="M2976" i="7"/>
  <c r="N2976" i="7" s="1"/>
  <c r="M3413" i="7"/>
  <c r="N3413" i="7" s="1"/>
  <c r="M3411" i="7"/>
  <c r="N3411" i="7" s="1"/>
  <c r="M3263" i="7"/>
  <c r="N3263" i="7" s="1"/>
  <c r="M2975" i="7"/>
  <c r="N2975" i="7" s="1"/>
  <c r="M3410" i="7"/>
  <c r="N3410" i="7" s="1"/>
  <c r="M3262" i="7"/>
  <c r="N3262" i="7" s="1"/>
  <c r="M3094" i="7"/>
  <c r="N3094" i="7" s="1"/>
  <c r="M2974" i="7"/>
  <c r="N2974" i="7" s="1"/>
  <c r="M2862" i="7"/>
  <c r="N2862" i="7" s="1"/>
  <c r="M3409" i="7"/>
  <c r="N3409" i="7" s="1"/>
  <c r="M3269" i="7"/>
  <c r="N3269" i="7" s="1"/>
  <c r="M3261" i="7"/>
  <c r="N3261" i="7" s="1"/>
  <c r="M3093" i="7"/>
  <c r="N3093" i="7" s="1"/>
  <c r="M2973" i="7"/>
  <c r="N2973" i="7" s="1"/>
  <c r="M3541" i="7"/>
  <c r="N3541" i="7" s="1"/>
  <c r="M3268" i="7"/>
  <c r="N3268" i="7" s="1"/>
  <c r="M3092" i="7"/>
  <c r="N3092" i="7" s="1"/>
  <c r="M2972" i="7"/>
  <c r="N2972" i="7" s="1"/>
  <c r="M2861" i="7"/>
  <c r="N2861" i="7" s="1"/>
  <c r="M2708" i="7"/>
  <c r="N2708" i="7" s="1"/>
  <c r="M2484" i="7"/>
  <c r="N2484" i="7" s="1"/>
  <c r="M2372" i="7"/>
  <c r="N2372" i="7" s="1"/>
  <c r="M2236" i="7"/>
  <c r="N2236" i="7" s="1"/>
  <c r="M2860" i="7"/>
  <c r="N2860" i="7" s="1"/>
  <c r="M2707" i="7"/>
  <c r="N2707" i="7" s="1"/>
  <c r="M2371" i="7"/>
  <c r="N2371" i="7" s="1"/>
  <c r="M2602" i="7"/>
  <c r="N2602" i="7" s="1"/>
  <c r="M2601" i="7"/>
  <c r="N2601" i="7" s="1"/>
  <c r="M2369" i="7"/>
  <c r="N2369" i="7" s="1"/>
  <c r="M2600" i="7"/>
  <c r="N2600" i="7" s="1"/>
  <c r="M2488" i="7"/>
  <c r="N2488" i="7" s="1"/>
  <c r="M2368" i="7"/>
  <c r="N2368" i="7" s="1"/>
  <c r="M2711" i="7"/>
  <c r="N2711" i="7" s="1"/>
  <c r="M2599" i="7"/>
  <c r="N2599" i="7" s="1"/>
  <c r="M2487" i="7"/>
  <c r="N2487" i="7" s="1"/>
  <c r="M2710" i="7"/>
  <c r="N2710" i="7" s="1"/>
  <c r="M2598" i="7"/>
  <c r="N2598" i="7" s="1"/>
  <c r="M2486" i="7"/>
  <c r="N2486" i="7" s="1"/>
  <c r="M2374" i="7"/>
  <c r="N2374" i="7" s="1"/>
  <c r="M2709" i="7"/>
  <c r="N2709" i="7" s="1"/>
  <c r="M2485" i="7"/>
  <c r="N2485" i="7" s="1"/>
  <c r="M2373" i="7"/>
  <c r="N2373" i="7" s="1"/>
  <c r="M2238" i="7"/>
  <c r="N2238" i="7" s="1"/>
  <c r="M2063" i="7"/>
  <c r="N2063" i="7" s="1"/>
  <c r="M1871" i="7"/>
  <c r="N1871" i="7" s="1"/>
  <c r="M2237" i="7"/>
  <c r="N2237" i="7" s="1"/>
  <c r="M2235" i="7"/>
  <c r="N2235" i="7" s="1"/>
  <c r="M2062" i="7"/>
  <c r="N2062" i="7" s="1"/>
  <c r="M1870" i="7"/>
  <c r="N1870" i="7" s="1"/>
  <c r="M2061" i="7"/>
  <c r="N2061" i="7" s="1"/>
  <c r="M1869" i="7"/>
  <c r="N1869" i="7" s="1"/>
  <c r="M2060" i="7"/>
  <c r="N2060" i="7" s="1"/>
  <c r="M1868" i="7"/>
  <c r="N1868" i="7" s="1"/>
  <c r="M2059" i="7"/>
  <c r="N2059" i="7" s="1"/>
  <c r="M1875" i="7"/>
  <c r="N1875" i="7" s="1"/>
  <c r="M2370" i="7"/>
  <c r="N2370" i="7" s="1"/>
  <c r="M2058" i="7"/>
  <c r="N2058" i="7" s="1"/>
  <c r="M1874" i="7"/>
  <c r="N1874" i="7" s="1"/>
  <c r="M2065" i="7"/>
  <c r="N2065" i="7" s="1"/>
  <c r="M2057" i="7"/>
  <c r="N2057" i="7" s="1"/>
  <c r="M1873" i="7"/>
  <c r="N1873" i="7" s="1"/>
  <c r="M2064" i="7"/>
  <c r="N2064" i="7" s="1"/>
  <c r="M1872" i="7"/>
  <c r="N1872" i="7" s="1"/>
  <c r="M1174" i="7"/>
  <c r="N1174" i="7" s="1"/>
  <c r="M1166" i="7"/>
  <c r="N1166" i="7" s="1"/>
  <c r="M1317" i="7"/>
  <c r="N1317" i="7" s="1"/>
  <c r="M1173" i="7"/>
  <c r="N1173" i="7" s="1"/>
  <c r="M1165" i="7"/>
  <c r="N1165" i="7" s="1"/>
  <c r="M1316" i="7"/>
  <c r="N1316" i="7" s="1"/>
  <c r="M1172" i="7"/>
  <c r="N1172" i="7" s="1"/>
  <c r="M1164" i="7"/>
  <c r="N1164" i="7" s="1"/>
  <c r="M1315" i="7"/>
  <c r="N1315" i="7" s="1"/>
  <c r="M1171" i="7"/>
  <c r="N1171" i="7" s="1"/>
  <c r="M1163" i="7"/>
  <c r="N1163" i="7" s="1"/>
  <c r="M1314" i="7"/>
  <c r="N1314" i="7" s="1"/>
  <c r="M1170" i="7"/>
  <c r="N1170" i="7" s="1"/>
  <c r="M1162" i="7"/>
  <c r="N1162" i="7" s="1"/>
  <c r="M1169" i="7"/>
  <c r="N1169" i="7" s="1"/>
  <c r="M1161" i="7"/>
  <c r="N1161" i="7" s="1"/>
  <c r="M1168" i="7"/>
  <c r="N1168" i="7" s="1"/>
  <c r="M1160" i="7"/>
  <c r="N1160" i="7" s="1"/>
  <c r="M563" i="7"/>
  <c r="N563" i="7" s="1"/>
  <c r="M427" i="7"/>
  <c r="N427" i="7" s="1"/>
  <c r="M291" i="7"/>
  <c r="N291" i="7" s="1"/>
  <c r="M562" i="7"/>
  <c r="N562" i="7" s="1"/>
  <c r="M426" i="7"/>
  <c r="N426" i="7" s="1"/>
  <c r="M561" i="7"/>
  <c r="N561" i="7" s="1"/>
  <c r="M425" i="7"/>
  <c r="N425" i="7" s="1"/>
  <c r="M289" i="7"/>
  <c r="N289" i="7" s="1"/>
  <c r="M153" i="7"/>
  <c r="N153" i="7" s="1"/>
  <c r="M560" i="7"/>
  <c r="N560" i="7" s="1"/>
  <c r="M1175" i="7"/>
  <c r="N1175" i="7" s="1"/>
  <c r="M559" i="7"/>
  <c r="N559" i="7" s="1"/>
  <c r="M423" i="7"/>
  <c r="N423" i="7" s="1"/>
  <c r="M558" i="7"/>
  <c r="N558" i="7" s="1"/>
  <c r="M422" i="7"/>
  <c r="N422" i="7" s="1"/>
  <c r="M1167" i="7"/>
  <c r="N1167" i="7" s="1"/>
  <c r="M557" i="7"/>
  <c r="N557" i="7" s="1"/>
  <c r="M421" i="7"/>
  <c r="N421" i="7" s="1"/>
  <c r="M424" i="7"/>
  <c r="N424" i="7" s="1"/>
  <c r="M150" i="7"/>
  <c r="N150" i="7" s="1"/>
  <c r="E440" i="6"/>
  <c r="F440" i="6" s="1"/>
  <c r="E436" i="6"/>
  <c r="F436" i="6" s="1"/>
  <c r="E432" i="6"/>
  <c r="F432" i="6" s="1"/>
  <c r="E428" i="6"/>
  <c r="F428" i="6" s="1"/>
  <c r="E424" i="6"/>
  <c r="F424" i="6" s="1"/>
  <c r="M149" i="7"/>
  <c r="N149" i="7" s="1"/>
  <c r="M148" i="7"/>
  <c r="N148" i="7" s="1"/>
  <c r="M147" i="7"/>
  <c r="N147" i="7" s="1"/>
  <c r="M155" i="7"/>
  <c r="N155" i="7" s="1"/>
  <c r="M290" i="7"/>
  <c r="N290" i="7" s="1"/>
  <c r="M154" i="7"/>
  <c r="N154" i="7" s="1"/>
  <c r="M152" i="7"/>
  <c r="N152" i="7" s="1"/>
  <c r="M151" i="7"/>
  <c r="N151" i="7" s="1"/>
  <c r="M6807" i="7"/>
  <c r="N6807" i="7" s="1"/>
  <c r="M6671" i="7"/>
  <c r="N6671" i="7" s="1"/>
  <c r="M6806" i="7"/>
  <c r="N6806" i="7" s="1"/>
  <c r="M6670" i="7"/>
  <c r="N6670" i="7" s="1"/>
  <c r="M6805" i="7"/>
  <c r="N6805" i="7" s="1"/>
  <c r="M6669" i="7"/>
  <c r="N6669" i="7" s="1"/>
  <c r="M6804" i="7"/>
  <c r="N6804" i="7" s="1"/>
  <c r="M6803" i="7"/>
  <c r="N6803" i="7" s="1"/>
  <c r="M6802" i="7"/>
  <c r="N6802" i="7" s="1"/>
  <c r="M6570" i="7"/>
  <c r="N6570" i="7" s="1"/>
  <c r="M6801" i="7"/>
  <c r="N6801" i="7" s="1"/>
  <c r="M6800" i="7"/>
  <c r="N6800" i="7" s="1"/>
  <c r="M6572" i="7"/>
  <c r="N6572" i="7" s="1"/>
  <c r="M6571" i="7"/>
  <c r="N6571" i="7" s="1"/>
  <c r="M6386" i="7"/>
  <c r="N6386" i="7" s="1"/>
  <c r="M6385" i="7"/>
  <c r="N6385" i="7" s="1"/>
  <c r="M6384" i="7"/>
  <c r="N6384" i="7" s="1"/>
  <c r="M6383" i="7"/>
  <c r="N6383" i="7" s="1"/>
  <c r="M6286" i="7"/>
  <c r="N6286" i="7" s="1"/>
  <c r="M6573" i="7"/>
  <c r="N6573" i="7" s="1"/>
  <c r="M6287" i="7"/>
  <c r="N6287" i="7" s="1"/>
  <c r="M6285" i="7"/>
  <c r="N6285" i="7" s="1"/>
  <c r="M6194" i="7"/>
  <c r="N6194" i="7" s="1"/>
  <c r="M6113" i="7"/>
  <c r="N6113" i="7" s="1"/>
  <c r="M6112" i="7"/>
  <c r="N6112" i="7" s="1"/>
  <c r="M6111" i="7"/>
  <c r="N6111" i="7" s="1"/>
  <c r="M6289" i="7"/>
  <c r="N6289" i="7" s="1"/>
  <c r="M6110" i="7"/>
  <c r="N6110" i="7" s="1"/>
  <c r="M6288" i="7"/>
  <c r="N6288" i="7" s="1"/>
  <c r="M6109" i="7"/>
  <c r="N6109" i="7" s="1"/>
  <c r="M5949" i="7"/>
  <c r="N5949" i="7" s="1"/>
  <c r="M5789" i="7"/>
  <c r="N5789" i="7" s="1"/>
  <c r="M5948" i="7"/>
  <c r="N5948" i="7" s="1"/>
  <c r="M5787" i="7"/>
  <c r="N5787" i="7" s="1"/>
  <c r="M5786" i="7"/>
  <c r="N5786" i="7" s="1"/>
  <c r="M5784" i="7"/>
  <c r="N5784" i="7" s="1"/>
  <c r="M5951" i="7"/>
  <c r="N5951" i="7" s="1"/>
  <c r="M5950" i="7"/>
  <c r="N5950" i="7" s="1"/>
  <c r="M5791" i="7"/>
  <c r="N5791" i="7" s="1"/>
  <c r="M5492" i="7"/>
  <c r="N5492" i="7" s="1"/>
  <c r="M5790" i="7"/>
  <c r="N5790" i="7" s="1"/>
  <c r="M5788" i="7"/>
  <c r="N5788" i="7" s="1"/>
  <c r="M5785" i="7"/>
  <c r="N5785" i="7" s="1"/>
  <c r="M5491" i="7"/>
  <c r="N5491" i="7" s="1"/>
  <c r="M5617" i="7"/>
  <c r="N5617" i="7" s="1"/>
  <c r="M5616" i="7"/>
  <c r="N5616" i="7" s="1"/>
  <c r="M5488" i="7"/>
  <c r="N5488" i="7" s="1"/>
  <c r="M5615" i="7"/>
  <c r="N5615" i="7" s="1"/>
  <c r="M5614" i="7"/>
  <c r="N5614" i="7" s="1"/>
  <c r="M5312" i="7"/>
  <c r="N5312" i="7" s="1"/>
  <c r="M5311" i="7"/>
  <c r="N5311" i="7" s="1"/>
  <c r="M5490" i="7"/>
  <c r="N5490" i="7" s="1"/>
  <c r="M5493" i="7"/>
  <c r="N5493" i="7" s="1"/>
  <c r="M5489" i="7"/>
  <c r="N5489" i="7" s="1"/>
  <c r="M5314" i="7"/>
  <c r="N5314" i="7" s="1"/>
  <c r="M5017" i="7"/>
  <c r="N5017" i="7" s="1"/>
  <c r="M5024" i="7"/>
  <c r="N5024" i="7" s="1"/>
  <c r="M5016" i="7"/>
  <c r="N5016" i="7" s="1"/>
  <c r="M5023" i="7"/>
  <c r="N5023" i="7" s="1"/>
  <c r="M5015" i="7"/>
  <c r="N5015" i="7" s="1"/>
  <c r="M5022" i="7"/>
  <c r="N5022" i="7" s="1"/>
  <c r="M5014" i="7"/>
  <c r="N5014" i="7" s="1"/>
  <c r="M5313" i="7"/>
  <c r="N5313" i="7" s="1"/>
  <c r="M5021" i="7"/>
  <c r="N5021" i="7" s="1"/>
  <c r="M4925" i="7"/>
  <c r="N4925" i="7" s="1"/>
  <c r="M5019" i="7"/>
  <c r="N5019" i="7" s="1"/>
  <c r="M5018" i="7"/>
  <c r="N5018" i="7" s="1"/>
  <c r="M5020" i="7"/>
  <c r="N5020" i="7" s="1"/>
  <c r="M4825" i="7"/>
  <c r="N4825" i="7" s="1"/>
  <c r="M4817" i="7"/>
  <c r="N4817" i="7" s="1"/>
  <c r="M4824" i="7"/>
  <c r="N4824" i="7" s="1"/>
  <c r="M4930" i="7"/>
  <c r="N4930" i="7" s="1"/>
  <c r="M4823" i="7"/>
  <c r="N4823" i="7" s="1"/>
  <c r="M4929" i="7"/>
  <c r="N4929" i="7" s="1"/>
  <c r="M4822" i="7"/>
  <c r="N4822" i="7" s="1"/>
  <c r="M4686" i="7"/>
  <c r="N4686" i="7" s="1"/>
  <c r="M4928" i="7"/>
  <c r="N4928" i="7" s="1"/>
  <c r="M4821" i="7"/>
  <c r="N4821" i="7" s="1"/>
  <c r="M4685" i="7"/>
  <c r="N4685" i="7" s="1"/>
  <c r="M4927" i="7"/>
  <c r="N4927" i="7" s="1"/>
  <c r="M4820" i="7"/>
  <c r="N4820" i="7" s="1"/>
  <c r="M4926" i="7"/>
  <c r="N4926" i="7" s="1"/>
  <c r="M4924" i="7"/>
  <c r="N4924" i="7" s="1"/>
  <c r="M4819" i="7"/>
  <c r="N4819" i="7" s="1"/>
  <c r="M4826" i="7"/>
  <c r="N4826" i="7" s="1"/>
  <c r="M4818" i="7"/>
  <c r="N4818" i="7" s="1"/>
  <c r="M4360" i="7"/>
  <c r="N4360" i="7" s="1"/>
  <c r="M4567" i="7"/>
  <c r="N4567" i="7" s="1"/>
  <c r="M4359" i="7"/>
  <c r="N4359" i="7" s="1"/>
  <c r="M4095" i="7"/>
  <c r="N4095" i="7" s="1"/>
  <c r="M4566" i="7"/>
  <c r="N4566" i="7" s="1"/>
  <c r="M4358" i="7"/>
  <c r="N4358" i="7" s="1"/>
  <c r="M4094" i="7"/>
  <c r="N4094" i="7" s="1"/>
  <c r="M4565" i="7"/>
  <c r="N4565" i="7" s="1"/>
  <c r="M4485" i="7"/>
  <c r="N4485" i="7" s="1"/>
  <c r="M4357" i="7"/>
  <c r="N4357" i="7" s="1"/>
  <c r="M4093" i="7"/>
  <c r="N4093" i="7" s="1"/>
  <c r="M4564" i="7"/>
  <c r="N4564" i="7" s="1"/>
  <c r="M4484" i="7"/>
  <c r="N4484" i="7" s="1"/>
  <c r="M4356" i="7"/>
  <c r="N4356" i="7" s="1"/>
  <c r="M4092" i="7"/>
  <c r="N4092" i="7" s="1"/>
  <c r="M4563" i="7"/>
  <c r="N4563" i="7" s="1"/>
  <c r="M4483" i="7"/>
  <c r="N4483" i="7" s="1"/>
  <c r="M4355" i="7"/>
  <c r="N4355" i="7" s="1"/>
  <c r="M4243" i="7"/>
  <c r="N4243" i="7" s="1"/>
  <c r="M4091" i="7"/>
  <c r="N4091" i="7" s="1"/>
  <c r="M4011" i="7"/>
  <c r="N4011" i="7" s="1"/>
  <c r="M4684" i="7"/>
  <c r="N4684" i="7" s="1"/>
  <c r="M4562" i="7"/>
  <c r="N4562" i="7" s="1"/>
  <c r="M4482" i="7"/>
  <c r="N4482" i="7" s="1"/>
  <c r="M4354" i="7"/>
  <c r="N4354" i="7" s="1"/>
  <c r="M4242" i="7"/>
  <c r="N4242" i="7" s="1"/>
  <c r="M4687" i="7"/>
  <c r="N4687" i="7" s="1"/>
  <c r="M4481" i="7"/>
  <c r="N4481" i="7" s="1"/>
  <c r="M4353" i="7"/>
  <c r="N4353" i="7" s="1"/>
  <c r="M4241" i="7"/>
  <c r="N4241" i="7" s="1"/>
  <c r="M4008" i="7"/>
  <c r="N4008" i="7" s="1"/>
  <c r="M3566" i="7"/>
  <c r="N3566" i="7" s="1"/>
  <c r="M4007" i="7"/>
  <c r="N4007" i="7" s="1"/>
  <c r="M3436" i="7"/>
  <c r="N3436" i="7" s="1"/>
  <c r="M3803" i="7"/>
  <c r="N3803" i="7" s="1"/>
  <c r="M3571" i="7"/>
  <c r="N3571" i="7" s="1"/>
  <c r="M3802" i="7"/>
  <c r="N3802" i="7" s="1"/>
  <c r="M3666" i="7"/>
  <c r="N3666" i="7" s="1"/>
  <c r="M3570" i="7"/>
  <c r="N3570" i="7" s="1"/>
  <c r="M3801" i="7"/>
  <c r="N3801" i="7" s="1"/>
  <c r="M3665" i="7"/>
  <c r="N3665" i="7" s="1"/>
  <c r="M3569" i="7"/>
  <c r="N3569" i="7" s="1"/>
  <c r="M4010" i="7"/>
  <c r="N4010" i="7" s="1"/>
  <c r="M3888" i="7"/>
  <c r="N3888" i="7" s="1"/>
  <c r="M3568" i="7"/>
  <c r="N3568" i="7" s="1"/>
  <c r="M3432" i="7"/>
  <c r="N3432" i="7" s="1"/>
  <c r="M4009" i="7"/>
  <c r="N4009" i="7" s="1"/>
  <c r="M3887" i="7"/>
  <c r="N3887" i="7" s="1"/>
  <c r="M3567" i="7"/>
  <c r="N3567" i="7" s="1"/>
  <c r="M3437" i="7"/>
  <c r="N3437" i="7" s="1"/>
  <c r="M3435" i="7"/>
  <c r="N3435" i="7" s="1"/>
  <c r="M3299" i="7"/>
  <c r="N3299" i="7" s="1"/>
  <c r="M3107" i="7"/>
  <c r="N3107" i="7" s="1"/>
  <c r="M2875" i="7"/>
  <c r="N2875" i="7" s="1"/>
  <c r="M3434" i="7"/>
  <c r="N3434" i="7" s="1"/>
  <c r="M3298" i="7"/>
  <c r="N3298" i="7" s="1"/>
  <c r="M3106" i="7"/>
  <c r="N3106" i="7" s="1"/>
  <c r="M3433" i="7"/>
  <c r="N3433" i="7" s="1"/>
  <c r="M3431" i="7"/>
  <c r="N3431" i="7" s="1"/>
  <c r="M3105" i="7"/>
  <c r="N3105" i="7" s="1"/>
  <c r="M3001" i="7"/>
  <c r="N3001" i="7" s="1"/>
  <c r="M3104" i="7"/>
  <c r="N3104" i="7" s="1"/>
  <c r="M3000" i="7"/>
  <c r="N3000" i="7" s="1"/>
  <c r="M2880" i="7"/>
  <c r="N2880" i="7" s="1"/>
  <c r="M3103" i="7"/>
  <c r="N3103" i="7" s="1"/>
  <c r="M2999" i="7"/>
  <c r="N2999" i="7" s="1"/>
  <c r="M2879" i="7"/>
  <c r="N2879" i="7" s="1"/>
  <c r="M3302" i="7"/>
  <c r="N3302" i="7" s="1"/>
  <c r="M2998" i="7"/>
  <c r="N2998" i="7" s="1"/>
  <c r="M2878" i="7"/>
  <c r="N2878" i="7" s="1"/>
  <c r="M3301" i="7"/>
  <c r="N3301" i="7" s="1"/>
  <c r="M2997" i="7"/>
  <c r="N2997" i="7" s="1"/>
  <c r="M3300" i="7"/>
  <c r="N3300" i="7" s="1"/>
  <c r="M2620" i="7"/>
  <c r="N2620" i="7" s="1"/>
  <c r="M2508" i="7"/>
  <c r="N2508" i="7" s="1"/>
  <c r="M2268" i="7"/>
  <c r="N2268" i="7" s="1"/>
  <c r="M2619" i="7"/>
  <c r="N2619" i="7" s="1"/>
  <c r="M2507" i="7"/>
  <c r="N2507" i="7" s="1"/>
  <c r="M2618" i="7"/>
  <c r="N2618" i="7" s="1"/>
  <c r="M2617" i="7"/>
  <c r="N2617" i="7" s="1"/>
  <c r="M2393" i="7"/>
  <c r="N2393" i="7" s="1"/>
  <c r="M2265" i="7"/>
  <c r="N2265" i="7" s="1"/>
  <c r="M2616" i="7"/>
  <c r="N2616" i="7" s="1"/>
  <c r="M2392" i="7"/>
  <c r="N2392" i="7" s="1"/>
  <c r="M2735" i="7"/>
  <c r="N2735" i="7" s="1"/>
  <c r="M2877" i="7"/>
  <c r="N2877" i="7" s="1"/>
  <c r="M2734" i="7"/>
  <c r="N2734" i="7" s="1"/>
  <c r="M2510" i="7"/>
  <c r="N2510" i="7" s="1"/>
  <c r="M2881" i="7"/>
  <c r="N2881" i="7" s="1"/>
  <c r="M2876" i="7"/>
  <c r="N2876" i="7" s="1"/>
  <c r="M2733" i="7"/>
  <c r="N2733" i="7" s="1"/>
  <c r="M2509" i="7"/>
  <c r="N2509" i="7" s="1"/>
  <c r="M2269" i="7"/>
  <c r="N2269" i="7" s="1"/>
  <c r="M2391" i="7"/>
  <c r="N2391" i="7" s="1"/>
  <c r="M2263" i="7"/>
  <c r="N2263" i="7" s="1"/>
  <c r="M2079" i="7"/>
  <c r="N2079" i="7" s="1"/>
  <c r="M1903" i="7"/>
  <c r="N1903" i="7" s="1"/>
  <c r="M1743" i="7"/>
  <c r="N1743" i="7" s="1"/>
  <c r="M2078" i="7"/>
  <c r="N2078" i="7" s="1"/>
  <c r="M1902" i="7"/>
  <c r="N1902" i="7" s="1"/>
  <c r="M1750" i="7"/>
  <c r="N1750" i="7" s="1"/>
  <c r="M1742" i="7"/>
  <c r="N1742" i="7" s="1"/>
  <c r="M1901" i="7"/>
  <c r="N1901" i="7" s="1"/>
  <c r="M1749" i="7"/>
  <c r="N1749" i="7" s="1"/>
  <c r="M1900" i="7"/>
  <c r="N1900" i="7" s="1"/>
  <c r="M1748" i="7"/>
  <c r="N1748" i="7" s="1"/>
  <c r="M1899" i="7"/>
  <c r="N1899" i="7" s="1"/>
  <c r="M1747" i="7"/>
  <c r="N1747" i="7" s="1"/>
  <c r="M1746" i="7"/>
  <c r="N1746" i="7" s="1"/>
  <c r="M2267" i="7"/>
  <c r="N2267" i="7" s="1"/>
  <c r="M2081" i="7"/>
  <c r="N2081" i="7" s="1"/>
  <c r="M1745" i="7"/>
  <c r="N1745" i="7" s="1"/>
  <c r="M2266" i="7"/>
  <c r="N2266" i="7" s="1"/>
  <c r="M2264" i="7"/>
  <c r="N2264" i="7" s="1"/>
  <c r="M2080" i="7"/>
  <c r="N2080" i="7" s="1"/>
  <c r="M1744" i="7"/>
  <c r="N1744" i="7" s="1"/>
  <c r="M1582" i="7"/>
  <c r="N1582" i="7" s="1"/>
  <c r="M1326" i="7"/>
  <c r="N1326" i="7" s="1"/>
  <c r="M1198" i="7"/>
  <c r="N1198" i="7" s="1"/>
  <c r="M1581" i="7"/>
  <c r="N1581" i="7" s="1"/>
  <c r="M1197" i="7"/>
  <c r="N1197" i="7" s="1"/>
  <c r="M1580" i="7"/>
  <c r="N1580" i="7" s="1"/>
  <c r="M1196" i="7"/>
  <c r="N1196" i="7" s="1"/>
  <c r="M1579" i="7"/>
  <c r="N1579" i="7" s="1"/>
  <c r="M1195" i="7"/>
  <c r="N1195" i="7" s="1"/>
  <c r="M1578" i="7"/>
  <c r="N1578" i="7" s="1"/>
  <c r="M1330" i="7"/>
  <c r="N1330" i="7" s="1"/>
  <c r="M1202" i="7"/>
  <c r="N1202" i="7" s="1"/>
  <c r="M1194" i="7"/>
  <c r="N1194" i="7" s="1"/>
  <c r="M1577" i="7"/>
  <c r="N1577" i="7" s="1"/>
  <c r="M1329" i="7"/>
  <c r="N1329" i="7" s="1"/>
  <c r="M1201" i="7"/>
  <c r="N1201" i="7" s="1"/>
  <c r="M1193" i="7"/>
  <c r="N1193" i="7" s="1"/>
  <c r="M1328" i="7"/>
  <c r="N1328" i="7" s="1"/>
  <c r="M1200" i="7"/>
  <c r="N1200" i="7" s="1"/>
  <c r="M1192" i="7"/>
  <c r="N1192" i="7" s="1"/>
  <c r="M1583" i="7"/>
  <c r="N1583" i="7" s="1"/>
  <c r="M1327" i="7"/>
  <c r="N1327" i="7" s="1"/>
  <c r="M988" i="7"/>
  <c r="N988" i="7" s="1"/>
  <c r="M844" i="7"/>
  <c r="N844" i="7" s="1"/>
  <c r="M580" i="7"/>
  <c r="N580" i="7" s="1"/>
  <c r="M452" i="7"/>
  <c r="N452" i="7" s="1"/>
  <c r="M987" i="7"/>
  <c r="N987" i="7" s="1"/>
  <c r="M843" i="7"/>
  <c r="N843" i="7" s="1"/>
  <c r="M579" i="7"/>
  <c r="N579" i="7" s="1"/>
  <c r="M451" i="7"/>
  <c r="N451" i="7" s="1"/>
  <c r="M986" i="7"/>
  <c r="N986" i="7" s="1"/>
  <c r="M842" i="7"/>
  <c r="N842" i="7" s="1"/>
  <c r="M578" i="7"/>
  <c r="N578" i="7" s="1"/>
  <c r="M450" i="7"/>
  <c r="N450" i="7" s="1"/>
  <c r="M985" i="7"/>
  <c r="N985" i="7" s="1"/>
  <c r="M841" i="7"/>
  <c r="N841" i="7" s="1"/>
  <c r="M313" i="7"/>
  <c r="N313" i="7" s="1"/>
  <c r="M840" i="7"/>
  <c r="N840" i="7" s="1"/>
  <c r="M839" i="7"/>
  <c r="N839" i="7" s="1"/>
  <c r="M311" i="7"/>
  <c r="N311" i="7" s="1"/>
  <c r="M1199" i="7"/>
  <c r="N1199" i="7" s="1"/>
  <c r="M453" i="7"/>
  <c r="N453" i="7" s="1"/>
  <c r="M312" i="7"/>
  <c r="N312" i="7" s="1"/>
  <c r="M310" i="7"/>
  <c r="N310" i="7" s="1"/>
  <c r="M194" i="7"/>
  <c r="N194" i="7" s="1"/>
  <c r="E628" i="6"/>
  <c r="F628" i="6" s="1"/>
  <c r="E624" i="6"/>
  <c r="F624" i="6" s="1"/>
  <c r="E620" i="6"/>
  <c r="F620" i="6" s="1"/>
  <c r="E616" i="6"/>
  <c r="F616" i="6" s="1"/>
  <c r="E612" i="6"/>
  <c r="F612" i="6" s="1"/>
  <c r="E608" i="6"/>
  <c r="F608" i="6" s="1"/>
  <c r="M309" i="7"/>
  <c r="N309" i="7" s="1"/>
  <c r="M308" i="7"/>
  <c r="N308" i="7" s="1"/>
  <c r="E629" i="6"/>
  <c r="F629" i="6" s="1"/>
  <c r="E625" i="6"/>
  <c r="F625" i="6" s="1"/>
  <c r="E621" i="6"/>
  <c r="F621" i="6" s="1"/>
  <c r="E617" i="6"/>
  <c r="F617" i="6" s="1"/>
  <c r="E613" i="6"/>
  <c r="F613" i="6" s="1"/>
  <c r="E609" i="6"/>
  <c r="F609" i="6" s="1"/>
  <c r="M198" i="7"/>
  <c r="N198" i="7" s="1"/>
  <c r="E630" i="6"/>
  <c r="F630" i="6" s="1"/>
  <c r="E626" i="6"/>
  <c r="F626" i="6" s="1"/>
  <c r="E622" i="6"/>
  <c r="F622" i="6" s="1"/>
  <c r="E618" i="6"/>
  <c r="F618" i="6" s="1"/>
  <c r="E614" i="6"/>
  <c r="F614" i="6" s="1"/>
  <c r="E610" i="6"/>
  <c r="F610" i="6" s="1"/>
  <c r="M197" i="7"/>
  <c r="N197" i="7" s="1"/>
  <c r="M196" i="7"/>
  <c r="N196" i="7" s="1"/>
  <c r="E631" i="6"/>
  <c r="F631" i="6" s="1"/>
  <c r="E627" i="6"/>
  <c r="F627" i="6" s="1"/>
  <c r="E623" i="6"/>
  <c r="F623" i="6" s="1"/>
  <c r="E619" i="6"/>
  <c r="F619" i="6" s="1"/>
  <c r="E615" i="6"/>
  <c r="F615" i="6" s="1"/>
  <c r="E611" i="6"/>
  <c r="F611" i="6" s="1"/>
  <c r="M195" i="7"/>
  <c r="N195" i="7" s="1"/>
  <c r="M6847" i="7"/>
  <c r="N6847" i="7" s="1"/>
  <c r="M6687" i="7"/>
  <c r="N6687" i="7" s="1"/>
  <c r="M6607" i="7"/>
  <c r="N6607" i="7" s="1"/>
  <c r="M6599" i="7"/>
  <c r="N6599" i="7" s="1"/>
  <c r="M6846" i="7"/>
  <c r="N6846" i="7" s="1"/>
  <c r="M6686" i="7"/>
  <c r="N6686" i="7" s="1"/>
  <c r="M6845" i="7"/>
  <c r="N6845" i="7" s="1"/>
  <c r="M6605" i="7"/>
  <c r="N6605" i="7" s="1"/>
  <c r="M6597" i="7"/>
  <c r="N6597" i="7" s="1"/>
  <c r="M6844" i="7"/>
  <c r="N6844" i="7" s="1"/>
  <c r="M6843" i="7"/>
  <c r="N6843" i="7" s="1"/>
  <c r="M6603" i="7"/>
  <c r="N6603" i="7" s="1"/>
  <c r="M6842" i="7"/>
  <c r="N6842" i="7" s="1"/>
  <c r="M6602" i="7"/>
  <c r="N6602" i="7" s="1"/>
  <c r="M6841" i="7"/>
  <c r="N6841" i="7" s="1"/>
  <c r="M6689" i="7"/>
  <c r="N6689" i="7" s="1"/>
  <c r="M6688" i="7"/>
  <c r="N6688" i="7" s="1"/>
  <c r="M6403" i="7"/>
  <c r="N6403" i="7" s="1"/>
  <c r="M6315" i="7"/>
  <c r="N6315" i="7" s="1"/>
  <c r="M6402" i="7"/>
  <c r="N6402" i="7" s="1"/>
  <c r="M6314" i="7"/>
  <c r="N6314" i="7" s="1"/>
  <c r="M6601" i="7"/>
  <c r="N6601" i="7" s="1"/>
  <c r="M6606" i="7"/>
  <c r="N6606" i="7" s="1"/>
  <c r="M6604" i="7"/>
  <c r="N6604" i="7" s="1"/>
  <c r="M6600" i="7"/>
  <c r="N6600" i="7" s="1"/>
  <c r="M6598" i="7"/>
  <c r="N6598" i="7" s="1"/>
  <c r="M6214" i="7"/>
  <c r="N6214" i="7" s="1"/>
  <c r="M6404" i="7"/>
  <c r="N6404" i="7" s="1"/>
  <c r="M6316" i="7"/>
  <c r="N6316" i="7" s="1"/>
  <c r="M5971" i="7"/>
  <c r="N5971" i="7" s="1"/>
  <c r="M6138" i="7"/>
  <c r="N6138" i="7" s="1"/>
  <c r="M6137" i="7"/>
  <c r="N6137" i="7" s="1"/>
  <c r="M6215" i="7"/>
  <c r="N6215" i="7" s="1"/>
  <c r="M6213" i="7"/>
  <c r="N6213" i="7" s="1"/>
  <c r="M5968" i="7"/>
  <c r="N5968" i="7" s="1"/>
  <c r="M5834" i="7"/>
  <c r="N5834" i="7" s="1"/>
  <c r="M5832" i="7"/>
  <c r="N5832" i="7" s="1"/>
  <c r="M5970" i="7"/>
  <c r="N5970" i="7" s="1"/>
  <c r="M5831" i="7"/>
  <c r="N5831" i="7" s="1"/>
  <c r="M5969" i="7"/>
  <c r="N5969" i="7" s="1"/>
  <c r="M5637" i="7"/>
  <c r="N5637" i="7" s="1"/>
  <c r="M5517" i="7"/>
  <c r="N5517" i="7" s="1"/>
  <c r="M5833" i="7"/>
  <c r="N5833" i="7" s="1"/>
  <c r="M5636" i="7"/>
  <c r="N5636" i="7" s="1"/>
  <c r="M5516" i="7"/>
  <c r="N5516" i="7" s="1"/>
  <c r="M5635" i="7"/>
  <c r="N5635" i="7" s="1"/>
  <c r="M5523" i="7"/>
  <c r="N5523" i="7" s="1"/>
  <c r="M5515" i="7"/>
  <c r="N5515" i="7" s="1"/>
  <c r="M5522" i="7"/>
  <c r="N5522" i="7" s="1"/>
  <c r="M5514" i="7"/>
  <c r="N5514" i="7" s="1"/>
  <c r="M5520" i="7"/>
  <c r="N5520" i="7" s="1"/>
  <c r="M5519" i="7"/>
  <c r="N5519" i="7" s="1"/>
  <c r="M5638" i="7"/>
  <c r="N5638" i="7" s="1"/>
  <c r="M5518" i="7"/>
  <c r="N5518" i="7" s="1"/>
  <c r="M5360" i="7"/>
  <c r="N5360" i="7" s="1"/>
  <c r="M5513" i="7"/>
  <c r="N5513" i="7" s="1"/>
  <c r="M5359" i="7"/>
  <c r="N5359" i="7" s="1"/>
  <c r="M5366" i="7"/>
  <c r="N5366" i="7" s="1"/>
  <c r="M5358" i="7"/>
  <c r="N5358" i="7" s="1"/>
  <c r="M5365" i="7"/>
  <c r="N5365" i="7" s="1"/>
  <c r="M5357" i="7"/>
  <c r="N5357" i="7" s="1"/>
  <c r="M5364" i="7"/>
  <c r="N5364" i="7" s="1"/>
  <c r="M5363" i="7"/>
  <c r="N5363" i="7" s="1"/>
  <c r="M5362" i="7"/>
  <c r="N5362" i="7" s="1"/>
  <c r="M5521" i="7"/>
  <c r="N5521" i="7" s="1"/>
  <c r="M5361" i="7"/>
  <c r="N5361" i="7" s="1"/>
  <c r="M5065" i="7"/>
  <c r="N5065" i="7" s="1"/>
  <c r="M5064" i="7"/>
  <c r="N5064" i="7" s="1"/>
  <c r="M5063" i="7"/>
  <c r="N5063" i="7" s="1"/>
  <c r="M5062" i="7"/>
  <c r="N5062" i="7" s="1"/>
  <c r="M5061" i="7"/>
  <c r="N5061" i="7" s="1"/>
  <c r="M5060" i="7"/>
  <c r="N5060" i="7" s="1"/>
  <c r="M5067" i="7"/>
  <c r="N5067" i="7" s="1"/>
  <c r="M5059" i="7"/>
  <c r="N5059" i="7" s="1"/>
  <c r="M5066" i="7"/>
  <c r="N5066" i="7" s="1"/>
  <c r="M5058" i="7"/>
  <c r="N5058" i="7" s="1"/>
  <c r="M4944" i="7"/>
  <c r="N4944" i="7" s="1"/>
  <c r="M4943" i="7"/>
  <c r="N4943" i="7" s="1"/>
  <c r="M4856" i="7"/>
  <c r="N4856" i="7" s="1"/>
  <c r="M4704" i="7"/>
  <c r="N4704" i="7" s="1"/>
  <c r="M4855" i="7"/>
  <c r="N4855" i="7" s="1"/>
  <c r="M4854" i="7"/>
  <c r="N4854" i="7" s="1"/>
  <c r="M4702" i="7"/>
  <c r="N4702" i="7" s="1"/>
  <c r="M4701" i="7"/>
  <c r="N4701" i="7" s="1"/>
  <c r="M4945" i="7"/>
  <c r="N4945" i="7" s="1"/>
  <c r="M4376" i="7"/>
  <c r="N4376" i="7" s="1"/>
  <c r="M4272" i="7"/>
  <c r="N4272" i="7" s="1"/>
  <c r="M4583" i="7"/>
  <c r="N4583" i="7" s="1"/>
  <c r="M4519" i="7"/>
  <c r="N4519" i="7" s="1"/>
  <c r="M4375" i="7"/>
  <c r="N4375" i="7" s="1"/>
  <c r="M4271" i="7"/>
  <c r="N4271" i="7" s="1"/>
  <c r="M4582" i="7"/>
  <c r="N4582" i="7" s="1"/>
  <c r="M4518" i="7"/>
  <c r="N4518" i="7" s="1"/>
  <c r="M4382" i="7"/>
  <c r="N4382" i="7" s="1"/>
  <c r="M4270" i="7"/>
  <c r="N4270" i="7" s="1"/>
  <c r="M4703" i="7"/>
  <c r="N4703" i="7" s="1"/>
  <c r="M4581" i="7"/>
  <c r="N4581" i="7" s="1"/>
  <c r="M4517" i="7"/>
  <c r="N4517" i="7" s="1"/>
  <c r="M4381" i="7"/>
  <c r="N4381" i="7" s="1"/>
  <c r="M4269" i="7"/>
  <c r="N4269" i="7" s="1"/>
  <c r="M4516" i="7"/>
  <c r="N4516" i="7" s="1"/>
  <c r="M4380" i="7"/>
  <c r="N4380" i="7" s="1"/>
  <c r="M4268" i="7"/>
  <c r="N4268" i="7" s="1"/>
  <c r="M4036" i="7"/>
  <c r="N4036" i="7" s="1"/>
  <c r="M4515" i="7"/>
  <c r="N4515" i="7" s="1"/>
  <c r="M4379" i="7"/>
  <c r="N4379" i="7" s="1"/>
  <c r="M4267" i="7"/>
  <c r="N4267" i="7" s="1"/>
  <c r="M4035" i="7"/>
  <c r="N4035" i="7" s="1"/>
  <c r="M4514" i="7"/>
  <c r="N4514" i="7" s="1"/>
  <c r="M4378" i="7"/>
  <c r="N4378" i="7" s="1"/>
  <c r="M4513" i="7"/>
  <c r="N4513" i="7" s="1"/>
  <c r="M4377" i="7"/>
  <c r="N4377" i="7" s="1"/>
  <c r="M4273" i="7"/>
  <c r="N4273" i="7" s="1"/>
  <c r="M3686" i="7"/>
  <c r="N3686" i="7" s="1"/>
  <c r="M3606" i="7"/>
  <c r="N3606" i="7" s="1"/>
  <c r="M3829" i="7"/>
  <c r="N3829" i="7" s="1"/>
  <c r="M3605" i="7"/>
  <c r="N3605" i="7" s="1"/>
  <c r="M4114" i="7"/>
  <c r="N4114" i="7" s="1"/>
  <c r="M4038" i="7"/>
  <c r="N4038" i="7" s="1"/>
  <c r="M3828" i="7"/>
  <c r="N3828" i="7" s="1"/>
  <c r="M3692" i="7"/>
  <c r="N3692" i="7" s="1"/>
  <c r="M3604" i="7"/>
  <c r="N3604" i="7" s="1"/>
  <c r="M3452" i="7"/>
  <c r="N3452" i="7" s="1"/>
  <c r="M4113" i="7"/>
  <c r="N4113" i="7" s="1"/>
  <c r="M4037" i="7"/>
  <c r="N4037" i="7" s="1"/>
  <c r="M3827" i="7"/>
  <c r="N3827" i="7" s="1"/>
  <c r="M3691" i="7"/>
  <c r="N3691" i="7" s="1"/>
  <c r="M3603" i="7"/>
  <c r="N3603" i="7" s="1"/>
  <c r="M3690" i="7"/>
  <c r="N3690" i="7" s="1"/>
  <c r="M3602" i="7"/>
  <c r="N3602" i="7" s="1"/>
  <c r="M3689" i="7"/>
  <c r="N3689" i="7" s="1"/>
  <c r="M3601" i="7"/>
  <c r="N3601" i="7" s="1"/>
  <c r="M3688" i="7"/>
  <c r="N3688" i="7" s="1"/>
  <c r="M3456" i="7"/>
  <c r="N3456" i="7" s="1"/>
  <c r="M3687" i="7"/>
  <c r="N3687" i="7" s="1"/>
  <c r="M3455" i="7"/>
  <c r="N3455" i="7" s="1"/>
  <c r="M3339" i="7"/>
  <c r="N3339" i="7" s="1"/>
  <c r="M3027" i="7"/>
  <c r="N3027" i="7" s="1"/>
  <c r="M2899" i="7"/>
  <c r="N2899" i="7" s="1"/>
  <c r="M3338" i="7"/>
  <c r="N3338" i="7" s="1"/>
  <c r="M2898" i="7"/>
  <c r="N2898" i="7" s="1"/>
  <c r="M3337" i="7"/>
  <c r="N3337" i="7" s="1"/>
  <c r="M3344" i="7"/>
  <c r="N3344" i="7" s="1"/>
  <c r="M3336" i="7"/>
  <c r="N3336" i="7" s="1"/>
  <c r="M3128" i="7"/>
  <c r="N3128" i="7" s="1"/>
  <c r="M3032" i="7"/>
  <c r="N3032" i="7" s="1"/>
  <c r="M3343" i="7"/>
  <c r="N3343" i="7" s="1"/>
  <c r="M3335" i="7"/>
  <c r="N3335" i="7" s="1"/>
  <c r="M3127" i="7"/>
  <c r="N3127" i="7" s="1"/>
  <c r="M3031" i="7"/>
  <c r="N3031" i="7" s="1"/>
  <c r="M3454" i="7"/>
  <c r="N3454" i="7" s="1"/>
  <c r="M3342" i="7"/>
  <c r="N3342" i="7" s="1"/>
  <c r="M3334" i="7"/>
  <c r="N3334" i="7" s="1"/>
  <c r="M3126" i="7"/>
  <c r="N3126" i="7" s="1"/>
  <c r="M3030" i="7"/>
  <c r="N3030" i="7" s="1"/>
  <c r="M3453" i="7"/>
  <c r="N3453" i="7" s="1"/>
  <c r="M3341" i="7"/>
  <c r="N3341" i="7" s="1"/>
  <c r="M3333" i="7"/>
  <c r="N3333" i="7" s="1"/>
  <c r="M3125" i="7"/>
  <c r="N3125" i="7" s="1"/>
  <c r="M3029" i="7"/>
  <c r="N3029" i="7" s="1"/>
  <c r="M3340" i="7"/>
  <c r="N3340" i="7" s="1"/>
  <c r="M3332" i="7"/>
  <c r="N3332" i="7" s="1"/>
  <c r="M3124" i="7"/>
  <c r="N3124" i="7" s="1"/>
  <c r="M3028" i="7"/>
  <c r="N3028" i="7" s="1"/>
  <c r="M2636" i="7"/>
  <c r="N2636" i="7" s="1"/>
  <c r="M2548" i="7"/>
  <c r="N2548" i="7" s="1"/>
  <c r="M2635" i="7"/>
  <c r="N2635" i="7" s="1"/>
  <c r="M2547" i="7"/>
  <c r="N2547" i="7" s="1"/>
  <c r="M2307" i="7"/>
  <c r="N2307" i="7" s="1"/>
  <c r="M2634" i="7"/>
  <c r="N2634" i="7" s="1"/>
  <c r="M2546" i="7"/>
  <c r="N2546" i="7" s="1"/>
  <c r="M2897" i="7"/>
  <c r="N2897" i="7" s="1"/>
  <c r="M2769" i="7"/>
  <c r="N2769" i="7" s="1"/>
  <c r="M2633" i="7"/>
  <c r="N2633" i="7" s="1"/>
  <c r="M2545" i="7"/>
  <c r="N2545" i="7" s="1"/>
  <c r="M2409" i="7"/>
  <c r="N2409" i="7" s="1"/>
  <c r="M2305" i="7"/>
  <c r="N2305" i="7" s="1"/>
  <c r="M2632" i="7"/>
  <c r="N2632" i="7" s="1"/>
  <c r="M2544" i="7"/>
  <c r="N2544" i="7" s="1"/>
  <c r="M2408" i="7"/>
  <c r="N2408" i="7" s="1"/>
  <c r="M2304" i="7"/>
  <c r="N2304" i="7" s="1"/>
  <c r="M2631" i="7"/>
  <c r="N2631" i="7" s="1"/>
  <c r="M2551" i="7"/>
  <c r="N2551" i="7" s="1"/>
  <c r="M2543" i="7"/>
  <c r="N2543" i="7" s="1"/>
  <c r="M2550" i="7"/>
  <c r="N2550" i="7" s="1"/>
  <c r="M2542" i="7"/>
  <c r="N2542" i="7" s="1"/>
  <c r="M2637" i="7"/>
  <c r="N2637" i="7" s="1"/>
  <c r="M2549" i="7"/>
  <c r="N2549" i="7" s="1"/>
  <c r="M2103" i="7"/>
  <c r="N2103" i="7" s="1"/>
  <c r="M1935" i="7"/>
  <c r="N1935" i="7" s="1"/>
  <c r="M2102" i="7"/>
  <c r="N2102" i="7" s="1"/>
  <c r="M1934" i="7"/>
  <c r="N1934" i="7" s="1"/>
  <c r="M1638" i="7"/>
  <c r="N1638" i="7" s="1"/>
  <c r="M2101" i="7"/>
  <c r="N2101" i="7" s="1"/>
  <c r="M1933" i="7"/>
  <c r="N1933" i="7" s="1"/>
  <c r="M2100" i="7"/>
  <c r="N2100" i="7" s="1"/>
  <c r="M1932" i="7"/>
  <c r="N1932" i="7" s="1"/>
  <c r="M2410" i="7"/>
  <c r="N2410" i="7" s="1"/>
  <c r="M2099" i="7"/>
  <c r="N2099" i="7" s="1"/>
  <c r="M1787" i="7"/>
  <c r="N1787" i="7" s="1"/>
  <c r="M2306" i="7"/>
  <c r="N2306" i="7" s="1"/>
  <c r="M2098" i="7"/>
  <c r="N2098" i="7" s="1"/>
  <c r="M1786" i="7"/>
  <c r="N1786" i="7" s="1"/>
  <c r="M1937" i="7"/>
  <c r="N1937" i="7" s="1"/>
  <c r="M1785" i="7"/>
  <c r="N1785" i="7" s="1"/>
  <c r="M2104" i="7"/>
  <c r="N2104" i="7" s="1"/>
  <c r="M1936" i="7"/>
  <c r="N1936" i="7" s="1"/>
  <c r="M1640" i="7"/>
  <c r="N1640" i="7" s="1"/>
  <c r="M1350" i="7"/>
  <c r="N1350" i="7" s="1"/>
  <c r="M1238" i="7"/>
  <c r="N1238" i="7" s="1"/>
  <c r="M1639" i="7"/>
  <c r="N1639" i="7" s="1"/>
  <c r="M1637" i="7"/>
  <c r="N1637" i="7" s="1"/>
  <c r="M1349" i="7"/>
  <c r="N1349" i="7" s="1"/>
  <c r="M1237" i="7"/>
  <c r="N1237" i="7" s="1"/>
  <c r="M1636" i="7"/>
  <c r="N1636" i="7" s="1"/>
  <c r="M1348" i="7"/>
  <c r="N1348" i="7" s="1"/>
  <c r="M1236" i="7"/>
  <c r="N1236" i="7" s="1"/>
  <c r="M1635" i="7"/>
  <c r="N1635" i="7" s="1"/>
  <c r="M1347" i="7"/>
  <c r="N1347" i="7" s="1"/>
  <c r="M1235" i="7"/>
  <c r="N1235" i="7" s="1"/>
  <c r="M1644" i="7"/>
  <c r="N1644" i="7" s="1"/>
  <c r="M1634" i="7"/>
  <c r="N1634" i="7" s="1"/>
  <c r="M1234" i="7"/>
  <c r="N1234" i="7" s="1"/>
  <c r="M1643" i="7"/>
  <c r="N1643" i="7" s="1"/>
  <c r="M1233" i="7"/>
  <c r="N1233" i="7" s="1"/>
  <c r="M1642" i="7"/>
  <c r="N1642" i="7" s="1"/>
  <c r="M1240" i="7"/>
  <c r="N1240" i="7" s="1"/>
  <c r="M1232" i="7"/>
  <c r="N1232" i="7" s="1"/>
  <c r="M1641" i="7"/>
  <c r="N1641" i="7" s="1"/>
  <c r="M1351" i="7"/>
  <c r="N1351" i="7" s="1"/>
  <c r="M1239" i="7"/>
  <c r="N1239" i="7" s="1"/>
  <c r="M1231" i="7"/>
  <c r="N1231" i="7" s="1"/>
  <c r="M1006" i="7"/>
  <c r="N1006" i="7" s="1"/>
  <c r="M884" i="7"/>
  <c r="N884" i="7" s="1"/>
  <c r="M876" i="7"/>
  <c r="N876" i="7" s="1"/>
  <c r="M596" i="7"/>
  <c r="N596" i="7" s="1"/>
  <c r="M500" i="7"/>
  <c r="N500" i="7" s="1"/>
  <c r="M332" i="7"/>
  <c r="N332" i="7" s="1"/>
  <c r="M883" i="7"/>
  <c r="N883" i="7" s="1"/>
  <c r="M875" i="7"/>
  <c r="N875" i="7" s="1"/>
  <c r="M595" i="7"/>
  <c r="N595" i="7" s="1"/>
  <c r="M331" i="7"/>
  <c r="N331" i="7" s="1"/>
  <c r="M882" i="7"/>
  <c r="N882" i="7" s="1"/>
  <c r="M874" i="7"/>
  <c r="N874" i="7" s="1"/>
  <c r="M594" i="7"/>
  <c r="N594" i="7" s="1"/>
  <c r="M881" i="7"/>
  <c r="N881" i="7" s="1"/>
  <c r="M601" i="7"/>
  <c r="N601" i="7" s="1"/>
  <c r="M505" i="7"/>
  <c r="N505" i="7" s="1"/>
  <c r="M329" i="7"/>
  <c r="N329" i="7" s="1"/>
  <c r="M225" i="7"/>
  <c r="N225" i="7" s="1"/>
  <c r="M1010" i="7"/>
  <c r="N1010" i="7" s="1"/>
  <c r="M880" i="7"/>
  <c r="N880" i="7" s="1"/>
  <c r="M600" i="7"/>
  <c r="N600" i="7" s="1"/>
  <c r="M504" i="7"/>
  <c r="N504" i="7" s="1"/>
  <c r="M1009" i="7"/>
  <c r="N1009" i="7" s="1"/>
  <c r="M879" i="7"/>
  <c r="N879" i="7" s="1"/>
  <c r="M599" i="7"/>
  <c r="N599" i="7" s="1"/>
  <c r="M503" i="7"/>
  <c r="N503" i="7" s="1"/>
  <c r="M327" i="7"/>
  <c r="N327" i="7" s="1"/>
  <c r="M1008" i="7"/>
  <c r="N1008" i="7" s="1"/>
  <c r="M878" i="7"/>
  <c r="N878" i="7" s="1"/>
  <c r="M598" i="7"/>
  <c r="N598" i="7" s="1"/>
  <c r="M502" i="7"/>
  <c r="N502" i="7" s="1"/>
  <c r="M1007" i="7"/>
  <c r="N1007" i="7" s="1"/>
  <c r="M885" i="7"/>
  <c r="N885" i="7" s="1"/>
  <c r="M877" i="7"/>
  <c r="N877" i="7" s="1"/>
  <c r="M597" i="7"/>
  <c r="N597" i="7" s="1"/>
  <c r="M501" i="7"/>
  <c r="N501" i="7" s="1"/>
  <c r="M334" i="7"/>
  <c r="N334" i="7" s="1"/>
  <c r="M330" i="7"/>
  <c r="N330" i="7" s="1"/>
  <c r="M328" i="7"/>
  <c r="N328" i="7" s="1"/>
  <c r="M226" i="7"/>
  <c r="N226" i="7" s="1"/>
  <c r="M224" i="7"/>
  <c r="N224" i="7" s="1"/>
  <c r="E820" i="6"/>
  <c r="F820" i="6" s="1"/>
  <c r="E816" i="6"/>
  <c r="F816" i="6" s="1"/>
  <c r="E812" i="6"/>
  <c r="F812" i="6" s="1"/>
  <c r="E808" i="6"/>
  <c r="F808" i="6" s="1"/>
  <c r="E804" i="6"/>
  <c r="F804" i="6" s="1"/>
  <c r="E800" i="6"/>
  <c r="F800" i="6" s="1"/>
  <c r="M333" i="7"/>
  <c r="N333" i="7" s="1"/>
  <c r="M223" i="7"/>
  <c r="N223" i="7" s="1"/>
  <c r="E821" i="6"/>
  <c r="F821" i="6" s="1"/>
  <c r="E817" i="6"/>
  <c r="F817" i="6" s="1"/>
  <c r="E813" i="6"/>
  <c r="F813" i="6" s="1"/>
  <c r="E809" i="6"/>
  <c r="F809" i="6" s="1"/>
  <c r="E805" i="6"/>
  <c r="F805" i="6" s="1"/>
  <c r="E801" i="6"/>
  <c r="F801" i="6" s="1"/>
  <c r="E818" i="6"/>
  <c r="F818" i="6" s="1"/>
  <c r="E814" i="6"/>
  <c r="F814" i="6" s="1"/>
  <c r="E810" i="6"/>
  <c r="F810" i="6" s="1"/>
  <c r="E806" i="6"/>
  <c r="F806" i="6" s="1"/>
  <c r="E802" i="6"/>
  <c r="F802" i="6" s="1"/>
  <c r="E798" i="6"/>
  <c r="F798" i="6" s="1"/>
  <c r="E819" i="6"/>
  <c r="F819" i="6" s="1"/>
  <c r="E815" i="6"/>
  <c r="F815" i="6" s="1"/>
  <c r="E811" i="6"/>
  <c r="F811" i="6" s="1"/>
  <c r="E807" i="6"/>
  <c r="F807" i="6" s="1"/>
  <c r="E803" i="6"/>
  <c r="F803" i="6" s="1"/>
  <c r="E799" i="6"/>
  <c r="F799" i="6" s="1"/>
  <c r="M227" i="7"/>
  <c r="N227" i="7" s="1"/>
  <c r="M5892" i="7"/>
  <c r="N5892" i="7" s="1"/>
  <c r="M6031" i="7"/>
  <c r="N6031" i="7" s="1"/>
  <c r="M5143" i="7"/>
  <c r="N5143" i="7" s="1"/>
  <c r="M5142" i="7"/>
  <c r="N5142" i="7" s="1"/>
  <c r="M5141" i="7"/>
  <c r="N5141" i="7" s="1"/>
  <c r="M5144" i="7"/>
  <c r="N5144" i="7" s="1"/>
  <c r="M5140" i="7"/>
  <c r="N5140" i="7" s="1"/>
  <c r="M3927" i="7"/>
  <c r="N3927" i="7" s="1"/>
  <c r="M3219" i="7"/>
  <c r="N3219" i="7" s="1"/>
  <c r="M3162" i="7"/>
  <c r="N3162" i="7" s="1"/>
  <c r="M3220" i="7"/>
  <c r="N3220" i="7" s="1"/>
  <c r="M2180" i="7"/>
  <c r="N2180" i="7" s="1"/>
  <c r="M2339" i="7"/>
  <c r="N2339" i="7" s="1"/>
  <c r="M2181" i="7"/>
  <c r="N2181" i="7" s="1"/>
  <c r="M1460" i="7"/>
  <c r="N1460" i="7" s="1"/>
  <c r="M1459" i="7"/>
  <c r="N1459" i="7" s="1"/>
  <c r="M1458" i="7"/>
  <c r="N1458" i="7" s="1"/>
  <c r="M1457" i="7"/>
  <c r="N1457" i="7" s="1"/>
  <c r="M1456" i="7"/>
  <c r="N1456" i="7" s="1"/>
  <c r="M1455" i="7"/>
  <c r="N1455" i="7" s="1"/>
  <c r="M724" i="7"/>
  <c r="N724" i="7" s="1"/>
  <c r="M723" i="7"/>
  <c r="N723" i="7" s="1"/>
  <c r="M722" i="7"/>
  <c r="N722" i="7" s="1"/>
  <c r="M721" i="7"/>
  <c r="N721" i="7" s="1"/>
  <c r="M720" i="7"/>
  <c r="N720" i="7" s="1"/>
  <c r="M719" i="7"/>
  <c r="N719" i="7" s="1"/>
  <c r="M726" i="7"/>
  <c r="N726" i="7" s="1"/>
  <c r="M718" i="7"/>
  <c r="N718" i="7" s="1"/>
  <c r="M725" i="7"/>
  <c r="N725" i="7" s="1"/>
  <c r="M717" i="7"/>
  <c r="N717" i="7" s="1"/>
  <c r="M261" i="7"/>
  <c r="N261" i="7" s="1"/>
  <c r="M81" i="7"/>
  <c r="N81" i="7" s="1"/>
  <c r="M25" i="7"/>
  <c r="N25" i="7" s="1"/>
  <c r="M80" i="7"/>
  <c r="N80" i="7" s="1"/>
  <c r="M24" i="7"/>
  <c r="N24" i="7" s="1"/>
  <c r="M6076" i="7"/>
  <c r="N6076" i="7" s="1"/>
  <c r="M6002" i="7"/>
  <c r="N6002" i="7" s="1"/>
  <c r="M5256" i="7"/>
  <c r="N5256" i="7" s="1"/>
  <c r="M5255" i="7"/>
  <c r="N5255" i="7" s="1"/>
  <c r="M5254" i="7"/>
  <c r="N5254" i="7" s="1"/>
  <c r="M5253" i="7"/>
  <c r="N5253" i="7" s="1"/>
  <c r="M5259" i="7"/>
  <c r="N5259" i="7" s="1"/>
  <c r="M5258" i="7"/>
  <c r="N5258" i="7" s="1"/>
  <c r="M5477" i="7"/>
  <c r="N5477" i="7" s="1"/>
  <c r="M5257" i="7"/>
  <c r="N5257" i="7" s="1"/>
  <c r="M3935" i="7"/>
  <c r="N3935" i="7" s="1"/>
  <c r="M1542" i="7"/>
  <c r="N1542" i="7" s="1"/>
  <c r="M1541" i="7"/>
  <c r="N1541" i="7" s="1"/>
  <c r="M1540" i="7"/>
  <c r="N1540" i="7" s="1"/>
  <c r="M1539" i="7"/>
  <c r="N1539" i="7" s="1"/>
  <c r="M1544" i="7"/>
  <c r="N1544" i="7" s="1"/>
  <c r="M1543" i="7"/>
  <c r="N1543" i="7" s="1"/>
  <c r="M1391" i="7"/>
  <c r="N1391" i="7" s="1"/>
  <c r="M651" i="7"/>
  <c r="N651" i="7" s="1"/>
  <c r="M650" i="7"/>
  <c r="N650" i="7" s="1"/>
  <c r="M793" i="7"/>
  <c r="N793" i="7" s="1"/>
  <c r="M792" i="7"/>
  <c r="N792" i="7" s="1"/>
  <c r="M791" i="7"/>
  <c r="N791" i="7" s="1"/>
  <c r="M790" i="7"/>
  <c r="N790" i="7" s="1"/>
  <c r="M789" i="7"/>
  <c r="N789" i="7" s="1"/>
  <c r="M145" i="7"/>
  <c r="N145" i="7" s="1"/>
  <c r="M288" i="7"/>
  <c r="N288" i="7" s="1"/>
  <c r="M6815" i="7"/>
  <c r="N6815" i="7" s="1"/>
  <c r="M6814" i="7"/>
  <c r="N6814" i="7" s="1"/>
  <c r="M6813" i="7"/>
  <c r="N6813" i="7" s="1"/>
  <c r="M6675" i="7"/>
  <c r="N6675" i="7" s="1"/>
  <c r="M6578" i="7"/>
  <c r="N6578" i="7" s="1"/>
  <c r="M6816" i="7"/>
  <c r="N6816" i="7" s="1"/>
  <c r="M6579" i="7"/>
  <c r="N6579" i="7" s="1"/>
  <c r="M6577" i="7"/>
  <c r="N6577" i="7" s="1"/>
  <c r="M6438" i="7"/>
  <c r="N6438" i="7" s="1"/>
  <c r="M6390" i="7"/>
  <c r="N6390" i="7" s="1"/>
  <c r="M6437" i="7"/>
  <c r="N6437" i="7" s="1"/>
  <c r="M6292" i="7"/>
  <c r="N6292" i="7" s="1"/>
  <c r="M6124" i="7"/>
  <c r="N6124" i="7" s="1"/>
  <c r="M6123" i="7"/>
  <c r="N6123" i="7" s="1"/>
  <c r="M6122" i="7"/>
  <c r="N6122" i="7" s="1"/>
  <c r="M6293" i="7"/>
  <c r="N6293" i="7" s="1"/>
  <c r="M6008" i="7"/>
  <c r="N6008" i="7" s="1"/>
  <c r="M5797" i="7"/>
  <c r="N5797" i="7" s="1"/>
  <c r="M5800" i="7"/>
  <c r="N5800" i="7" s="1"/>
  <c r="M6009" i="7"/>
  <c r="N6009" i="7" s="1"/>
  <c r="M5799" i="7"/>
  <c r="N5799" i="7" s="1"/>
  <c r="M5798" i="7"/>
  <c r="N5798" i="7" s="1"/>
  <c r="M5499" i="7"/>
  <c r="N5499" i="7" s="1"/>
  <c r="M5320" i="7"/>
  <c r="N5320" i="7" s="1"/>
  <c r="M5319" i="7"/>
  <c r="N5319" i="7" s="1"/>
  <c r="M5325" i="7"/>
  <c r="N5325" i="7" s="1"/>
  <c r="M5323" i="7"/>
  <c r="N5323" i="7" s="1"/>
  <c r="M5322" i="7"/>
  <c r="N5322" i="7" s="1"/>
  <c r="M5321" i="7"/>
  <c r="N5321" i="7" s="1"/>
  <c r="M5324" i="7"/>
  <c r="N5324" i="7" s="1"/>
  <c r="M5031" i="7"/>
  <c r="N5031" i="7" s="1"/>
  <c r="M5030" i="7"/>
  <c r="N5030" i="7" s="1"/>
  <c r="M5029" i="7"/>
  <c r="N5029" i="7" s="1"/>
  <c r="M4833" i="7"/>
  <c r="N4833" i="7" s="1"/>
  <c r="M4832" i="7"/>
  <c r="N4832" i="7" s="1"/>
  <c r="M4836" i="7"/>
  <c r="N4836" i="7" s="1"/>
  <c r="M5028" i="7"/>
  <c r="N5028" i="7" s="1"/>
  <c r="M4835" i="7"/>
  <c r="N4835" i="7" s="1"/>
  <c r="M4834" i="7"/>
  <c r="N4834" i="7" s="1"/>
  <c r="M4692" i="7"/>
  <c r="N4692" i="7" s="1"/>
  <c r="M4247" i="7"/>
  <c r="N4247" i="7" s="1"/>
  <c r="M4494" i="7"/>
  <c r="N4494" i="7" s="1"/>
  <c r="M4406" i="7"/>
  <c r="N4406" i="7" s="1"/>
  <c r="M4246" i="7"/>
  <c r="N4246" i="7" s="1"/>
  <c r="M4493" i="7"/>
  <c r="N4493" i="7" s="1"/>
  <c r="M4606" i="7"/>
  <c r="N4606" i="7" s="1"/>
  <c r="M4492" i="7"/>
  <c r="N4492" i="7" s="1"/>
  <c r="M4140" i="7"/>
  <c r="N4140" i="7" s="1"/>
  <c r="M4605" i="7"/>
  <c r="N4605" i="7" s="1"/>
  <c r="M4491" i="7"/>
  <c r="N4491" i="7" s="1"/>
  <c r="M4139" i="7"/>
  <c r="N4139" i="7" s="1"/>
  <c r="M4604" i="7"/>
  <c r="N4604" i="7" s="1"/>
  <c r="M4490" i="7"/>
  <c r="N4490" i="7" s="1"/>
  <c r="M4603" i="7"/>
  <c r="N4603" i="7" s="1"/>
  <c r="M3581" i="7"/>
  <c r="N3581" i="7" s="1"/>
  <c r="M4018" i="7"/>
  <c r="N4018" i="7" s="1"/>
  <c r="M3580" i="7"/>
  <c r="N3580" i="7" s="1"/>
  <c r="M3811" i="7"/>
  <c r="N3811" i="7" s="1"/>
  <c r="M3579" i="7"/>
  <c r="N3579" i="7" s="1"/>
  <c r="M3810" i="7"/>
  <c r="N3810" i="7" s="1"/>
  <c r="M3674" i="7"/>
  <c r="N3674" i="7" s="1"/>
  <c r="M3578" i="7"/>
  <c r="N3578" i="7" s="1"/>
  <c r="M3809" i="7"/>
  <c r="N3809" i="7" s="1"/>
  <c r="M3673" i="7"/>
  <c r="N3673" i="7" s="1"/>
  <c r="M3577" i="7"/>
  <c r="N3577" i="7" s="1"/>
  <c r="M4138" i="7"/>
  <c r="N4138" i="7" s="1"/>
  <c r="M2883" i="7"/>
  <c r="N2883" i="7" s="1"/>
  <c r="M3010" i="7"/>
  <c r="N3010" i="7" s="1"/>
  <c r="M3113" i="7"/>
  <c r="N3113" i="7" s="1"/>
  <c r="M3184" i="7"/>
  <c r="N3184" i="7" s="1"/>
  <c r="M3183" i="7"/>
  <c r="N3183" i="7" s="1"/>
  <c r="M2927" i="7"/>
  <c r="N2927" i="7" s="1"/>
  <c r="M3310" i="7"/>
  <c r="N3310" i="7" s="1"/>
  <c r="M3309" i="7"/>
  <c r="N3309" i="7" s="1"/>
  <c r="M3149" i="7"/>
  <c r="N3149" i="7" s="1"/>
  <c r="M2516" i="7"/>
  <c r="N2516" i="7" s="1"/>
  <c r="M2436" i="7"/>
  <c r="N2436" i="7" s="1"/>
  <c r="M2515" i="7"/>
  <c r="N2515" i="7" s="1"/>
  <c r="M2435" i="7"/>
  <c r="N2435" i="7" s="1"/>
  <c r="M2275" i="7"/>
  <c r="N2275" i="7" s="1"/>
  <c r="M2514" i="7"/>
  <c r="N2514" i="7" s="1"/>
  <c r="M2434" i="7"/>
  <c r="N2434" i="7" s="1"/>
  <c r="M2433" i="7"/>
  <c r="N2433" i="7" s="1"/>
  <c r="M2744" i="7"/>
  <c r="N2744" i="7" s="1"/>
  <c r="M2743" i="7"/>
  <c r="N2743" i="7" s="1"/>
  <c r="M2437" i="7"/>
  <c r="N2437" i="7" s="1"/>
  <c r="M2143" i="7"/>
  <c r="N2143" i="7" s="1"/>
  <c r="M1999" i="7"/>
  <c r="N1999" i="7" s="1"/>
  <c r="M1911" i="7"/>
  <c r="N1911" i="7" s="1"/>
  <c r="M2142" i="7"/>
  <c r="N2142" i="7" s="1"/>
  <c r="M2086" i="7"/>
  <c r="N2086" i="7" s="1"/>
  <c r="M1910" i="7"/>
  <c r="N1910" i="7" s="1"/>
  <c r="M2085" i="7"/>
  <c r="N2085" i="7" s="1"/>
  <c r="M1765" i="7"/>
  <c r="N1765" i="7" s="1"/>
  <c r="M2144" i="7"/>
  <c r="N2144" i="7" s="1"/>
  <c r="M2000" i="7"/>
  <c r="N2000" i="7" s="1"/>
  <c r="M1912" i="7"/>
  <c r="N1912" i="7" s="1"/>
  <c r="M1598" i="7"/>
  <c r="N1598" i="7" s="1"/>
  <c r="M1597" i="7"/>
  <c r="N1597" i="7" s="1"/>
  <c r="M1596" i="7"/>
  <c r="N1596" i="7" s="1"/>
  <c r="M1412" i="7"/>
  <c r="N1412" i="7" s="1"/>
  <c r="M1595" i="7"/>
  <c r="N1595" i="7" s="1"/>
  <c r="M1411" i="7"/>
  <c r="N1411" i="7" s="1"/>
  <c r="M1211" i="7"/>
  <c r="N1211" i="7" s="1"/>
  <c r="M1210" i="7"/>
  <c r="N1210" i="7" s="1"/>
  <c r="M1209" i="7"/>
  <c r="N1209" i="7" s="1"/>
  <c r="M1208" i="7"/>
  <c r="N1208" i="7" s="1"/>
  <c r="M1599" i="7"/>
  <c r="N1599" i="7" s="1"/>
  <c r="M1335" i="7"/>
  <c r="N1335" i="7" s="1"/>
  <c r="M467" i="7"/>
  <c r="N467" i="7" s="1"/>
  <c r="M466" i="7"/>
  <c r="N466" i="7" s="1"/>
  <c r="M465" i="7"/>
  <c r="N465" i="7" s="1"/>
  <c r="M463" i="7"/>
  <c r="N463" i="7" s="1"/>
  <c r="M319" i="7"/>
  <c r="N319" i="7" s="1"/>
  <c r="M854" i="7"/>
  <c r="N854" i="7" s="1"/>
  <c r="M853" i="7"/>
  <c r="N853" i="7" s="1"/>
  <c r="M320" i="7"/>
  <c r="N320" i="7" s="1"/>
  <c r="E676" i="6"/>
  <c r="F676" i="6" s="1"/>
  <c r="E672" i="6"/>
  <c r="F672" i="6" s="1"/>
  <c r="E668" i="6"/>
  <c r="F668" i="6" s="1"/>
  <c r="E664" i="6"/>
  <c r="F664" i="6" s="1"/>
  <c r="E660" i="6"/>
  <c r="F660" i="6" s="1"/>
  <c r="E656" i="6"/>
  <c r="F656" i="6" s="1"/>
  <c r="M365" i="7"/>
  <c r="N365" i="7" s="1"/>
  <c r="M202" i="7"/>
  <c r="N202" i="7" s="1"/>
  <c r="E677" i="6"/>
  <c r="F677" i="6" s="1"/>
  <c r="E673" i="6"/>
  <c r="F673" i="6" s="1"/>
  <c r="E669" i="6"/>
  <c r="F669" i="6" s="1"/>
  <c r="E665" i="6"/>
  <c r="F665" i="6" s="1"/>
  <c r="E661" i="6"/>
  <c r="F661" i="6" s="1"/>
  <c r="E657" i="6"/>
  <c r="F657" i="6" s="1"/>
  <c r="E678" i="6"/>
  <c r="F678" i="6" s="1"/>
  <c r="E674" i="6"/>
  <c r="F674" i="6" s="1"/>
  <c r="E670" i="6"/>
  <c r="F670" i="6" s="1"/>
  <c r="E666" i="6"/>
  <c r="F666" i="6" s="1"/>
  <c r="E662" i="6"/>
  <c r="F662" i="6" s="1"/>
  <c r="E658" i="6"/>
  <c r="F658" i="6" s="1"/>
  <c r="M464" i="7"/>
  <c r="N464" i="7" s="1"/>
  <c r="E679" i="6"/>
  <c r="F679" i="6" s="1"/>
  <c r="E675" i="6"/>
  <c r="F675" i="6" s="1"/>
  <c r="E671" i="6"/>
  <c r="F671" i="6" s="1"/>
  <c r="E667" i="6"/>
  <c r="F667" i="6" s="1"/>
  <c r="E663" i="6"/>
  <c r="F663" i="6" s="1"/>
  <c r="E659" i="6"/>
  <c r="F659" i="6" s="1"/>
  <c r="M6855" i="7"/>
  <c r="N6855" i="7" s="1"/>
  <c r="M6615" i="7"/>
  <c r="N6615" i="7" s="1"/>
  <c r="M6854" i="7"/>
  <c r="N6854" i="7" s="1"/>
  <c r="M6853" i="7"/>
  <c r="N6853" i="7" s="1"/>
  <c r="M6619" i="7"/>
  <c r="N6619" i="7" s="1"/>
  <c r="M6618" i="7"/>
  <c r="N6618" i="7" s="1"/>
  <c r="M6857" i="7"/>
  <c r="N6857" i="7" s="1"/>
  <c r="M6856" i="7"/>
  <c r="N6856" i="7" s="1"/>
  <c r="M6617" i="7"/>
  <c r="N6617" i="7" s="1"/>
  <c r="M6448" i="7"/>
  <c r="N6448" i="7" s="1"/>
  <c r="M6616" i="7"/>
  <c r="N6616" i="7" s="1"/>
  <c r="M6405" i="7"/>
  <c r="N6405" i="7" s="1"/>
  <c r="M6242" i="7"/>
  <c r="N6242" i="7" s="1"/>
  <c r="M6144" i="7"/>
  <c r="N6144" i="7" s="1"/>
  <c r="M6320" i="7"/>
  <c r="N6320" i="7" s="1"/>
  <c r="M6143" i="7"/>
  <c r="N6143" i="7" s="1"/>
  <c r="M6319" i="7"/>
  <c r="N6319" i="7" s="1"/>
  <c r="M6142" i="7"/>
  <c r="N6142" i="7" s="1"/>
  <c r="M6141" i="7"/>
  <c r="N6141" i="7" s="1"/>
  <c r="M5845" i="7"/>
  <c r="N5845" i="7" s="1"/>
  <c r="M5844" i="7"/>
  <c r="N5844" i="7" s="1"/>
  <c r="M5843" i="7"/>
  <c r="N5843" i="7" s="1"/>
  <c r="M5850" i="7"/>
  <c r="N5850" i="7" s="1"/>
  <c r="M5849" i="7"/>
  <c r="N5849" i="7" s="1"/>
  <c r="M5848" i="7"/>
  <c r="N5848" i="7" s="1"/>
  <c r="M5847" i="7"/>
  <c r="N5847" i="7" s="1"/>
  <c r="M5846" i="7"/>
  <c r="N5846" i="7" s="1"/>
  <c r="M5682" i="7"/>
  <c r="N5682" i="7" s="1"/>
  <c r="M5528" i="7"/>
  <c r="N5528" i="7" s="1"/>
  <c r="M5383" i="7"/>
  <c r="N5383" i="7" s="1"/>
  <c r="M5382" i="7"/>
  <c r="N5382" i="7" s="1"/>
  <c r="M5381" i="7"/>
  <c r="N5381" i="7" s="1"/>
  <c r="M5380" i="7"/>
  <c r="N5380" i="7" s="1"/>
  <c r="M5529" i="7"/>
  <c r="N5529" i="7" s="1"/>
  <c r="M5379" i="7"/>
  <c r="N5379" i="7" s="1"/>
  <c r="M5378" i="7"/>
  <c r="N5378" i="7" s="1"/>
  <c r="M5073" i="7"/>
  <c r="N5073" i="7" s="1"/>
  <c r="M5072" i="7"/>
  <c r="N5072" i="7" s="1"/>
  <c r="M5071" i="7"/>
  <c r="N5071" i="7" s="1"/>
  <c r="M5074" i="7"/>
  <c r="N5074" i="7" s="1"/>
  <c r="M4608" i="7"/>
  <c r="N4608" i="7" s="1"/>
  <c r="M4901" i="7"/>
  <c r="N4901" i="7" s="1"/>
  <c r="M4860" i="7"/>
  <c r="N4860" i="7" s="1"/>
  <c r="M4584" i="7"/>
  <c r="N4584" i="7" s="1"/>
  <c r="M4416" i="7"/>
  <c r="N4416" i="7" s="1"/>
  <c r="M4040" i="7"/>
  <c r="N4040" i="7" s="1"/>
  <c r="M4415" i="7"/>
  <c r="N4415" i="7" s="1"/>
  <c r="M4143" i="7"/>
  <c r="N4143" i="7" s="1"/>
  <c r="M4630" i="7"/>
  <c r="N4630" i="7" s="1"/>
  <c r="M4414" i="7"/>
  <c r="N4414" i="7" s="1"/>
  <c r="M4607" i="7"/>
  <c r="N4607" i="7" s="1"/>
  <c r="M4413" i="7"/>
  <c r="N4413" i="7" s="1"/>
  <c r="M4523" i="7"/>
  <c r="N4523" i="7" s="1"/>
  <c r="M4283" i="7"/>
  <c r="N4283" i="7" s="1"/>
  <c r="M4522" i="7"/>
  <c r="N4522" i="7" s="1"/>
  <c r="M4282" i="7"/>
  <c r="N4282" i="7" s="1"/>
  <c r="M4417" i="7"/>
  <c r="N4417" i="7" s="1"/>
  <c r="M4281" i="7"/>
  <c r="N4281" i="7" s="1"/>
  <c r="M4042" i="7"/>
  <c r="N4042" i="7" s="1"/>
  <c r="M4041" i="7"/>
  <c r="N4041" i="7" s="1"/>
  <c r="M3460" i="7"/>
  <c r="N3460" i="7" s="1"/>
  <c r="M3835" i="7"/>
  <c r="N3835" i="7" s="1"/>
  <c r="M3834" i="7"/>
  <c r="N3834" i="7" s="1"/>
  <c r="M3833" i="7"/>
  <c r="N3833" i="7" s="1"/>
  <c r="M3832" i="7"/>
  <c r="N3832" i="7" s="1"/>
  <c r="M3496" i="7"/>
  <c r="N3496" i="7" s="1"/>
  <c r="M3495" i="7"/>
  <c r="N3495" i="7" s="1"/>
  <c r="M3355" i="7"/>
  <c r="N3355" i="7" s="1"/>
  <c r="M3155" i="7"/>
  <c r="N3155" i="7" s="1"/>
  <c r="M2931" i="7"/>
  <c r="N2931" i="7" s="1"/>
  <c r="M3354" i="7"/>
  <c r="N3354" i="7" s="1"/>
  <c r="M3353" i="7"/>
  <c r="N3353" i="7" s="1"/>
  <c r="M3193" i="7"/>
  <c r="N3193" i="7" s="1"/>
  <c r="M3494" i="7"/>
  <c r="N3494" i="7" s="1"/>
  <c r="M3352" i="7"/>
  <c r="N3352" i="7" s="1"/>
  <c r="M3192" i="7"/>
  <c r="N3192" i="7" s="1"/>
  <c r="M3493" i="7"/>
  <c r="N3493" i="7" s="1"/>
  <c r="M3038" i="7"/>
  <c r="N3038" i="7" s="1"/>
  <c r="M3459" i="7"/>
  <c r="N3459" i="7" s="1"/>
  <c r="M3157" i="7"/>
  <c r="N3157" i="7" s="1"/>
  <c r="M3037" i="7"/>
  <c r="N3037" i="7" s="1"/>
  <c r="M3356" i="7"/>
  <c r="N3356" i="7" s="1"/>
  <c r="M3156" i="7"/>
  <c r="N3156" i="7" s="1"/>
  <c r="M2932" i="7"/>
  <c r="N2932" i="7" s="1"/>
  <c r="M2411" i="7"/>
  <c r="N2411" i="7" s="1"/>
  <c r="M2562" i="7"/>
  <c r="N2562" i="7" s="1"/>
  <c r="M2901" i="7"/>
  <c r="N2901" i="7" s="1"/>
  <c r="M2561" i="7"/>
  <c r="N2561" i="7" s="1"/>
  <c r="M2313" i="7"/>
  <c r="N2313" i="7" s="1"/>
  <c r="M2900" i="7"/>
  <c r="N2900" i="7" s="1"/>
  <c r="M2560" i="7"/>
  <c r="N2560" i="7" s="1"/>
  <c r="M2775" i="7"/>
  <c r="N2775" i="7" s="1"/>
  <c r="M2559" i="7"/>
  <c r="N2559" i="7" s="1"/>
  <c r="M2774" i="7"/>
  <c r="N2774" i="7" s="1"/>
  <c r="M2438" i="7"/>
  <c r="N2438" i="7" s="1"/>
  <c r="M2773" i="7"/>
  <c r="N2773" i="7" s="1"/>
  <c r="M2007" i="7"/>
  <c r="N2007" i="7" s="1"/>
  <c r="M1951" i="7"/>
  <c r="N1951" i="7" s="1"/>
  <c r="M2006" i="7"/>
  <c r="N2006" i="7" s="1"/>
  <c r="M1950" i="7"/>
  <c r="N1950" i="7" s="1"/>
  <c r="M1654" i="7"/>
  <c r="N1654" i="7" s="1"/>
  <c r="M2149" i="7"/>
  <c r="N2149" i="7" s="1"/>
  <c r="M2005" i="7"/>
  <c r="N2005" i="7" s="1"/>
  <c r="M1949" i="7"/>
  <c r="N1949" i="7" s="1"/>
  <c r="M1948" i="7"/>
  <c r="N1948" i="7" s="1"/>
  <c r="M1947" i="7"/>
  <c r="N1947" i="7" s="1"/>
  <c r="M1946" i="7"/>
  <c r="N1946" i="7" s="1"/>
  <c r="M1953" i="7"/>
  <c r="N1953" i="7" s="1"/>
  <c r="M1945" i="7"/>
  <c r="N1945" i="7" s="1"/>
  <c r="M2008" i="7"/>
  <c r="N2008" i="7" s="1"/>
  <c r="M1952" i="7"/>
  <c r="N1952" i="7" s="1"/>
  <c r="M1422" i="7"/>
  <c r="N1422" i="7" s="1"/>
  <c r="M1246" i="7"/>
  <c r="N1246" i="7" s="1"/>
  <c r="M1421" i="7"/>
  <c r="N1421" i="7" s="1"/>
  <c r="M1245" i="7"/>
  <c r="N1245" i="7" s="1"/>
  <c r="M1420" i="7"/>
  <c r="N1420" i="7" s="1"/>
  <c r="M1657" i="7"/>
  <c r="N1657" i="7" s="1"/>
  <c r="M1419" i="7"/>
  <c r="N1419" i="7" s="1"/>
  <c r="M1059" i="7"/>
  <c r="N1059" i="7" s="1"/>
  <c r="M1656" i="7"/>
  <c r="N1656" i="7" s="1"/>
  <c r="M1655" i="7"/>
  <c r="N1655" i="7" s="1"/>
  <c r="M1653" i="7"/>
  <c r="N1653" i="7" s="1"/>
  <c r="M1652" i="7"/>
  <c r="N1652" i="7" s="1"/>
  <c r="M1248" i="7"/>
  <c r="N1248" i="7" s="1"/>
  <c r="M1247" i="7"/>
  <c r="N1247" i="7" s="1"/>
  <c r="M892" i="7"/>
  <c r="N892" i="7" s="1"/>
  <c r="M508" i="7"/>
  <c r="N508" i="7" s="1"/>
  <c r="M372" i="7"/>
  <c r="N372" i="7" s="1"/>
  <c r="M891" i="7"/>
  <c r="N891" i="7" s="1"/>
  <c r="M507" i="7"/>
  <c r="N507" i="7" s="1"/>
  <c r="M1060" i="7"/>
  <c r="N1060" i="7" s="1"/>
  <c r="M1014" i="7"/>
  <c r="N1014" i="7" s="1"/>
  <c r="M674" i="7"/>
  <c r="N674" i="7" s="1"/>
  <c r="M673" i="7"/>
  <c r="N673" i="7" s="1"/>
  <c r="M233" i="7"/>
  <c r="N233" i="7" s="1"/>
  <c r="M895" i="7"/>
  <c r="N895" i="7" s="1"/>
  <c r="M511" i="7"/>
  <c r="N511" i="7" s="1"/>
  <c r="M335" i="7"/>
  <c r="N335" i="7" s="1"/>
  <c r="M894" i="7"/>
  <c r="N894" i="7" s="1"/>
  <c r="M510" i="7"/>
  <c r="N510" i="7" s="1"/>
  <c r="M893" i="7"/>
  <c r="N893" i="7" s="1"/>
  <c r="M509" i="7"/>
  <c r="N509" i="7" s="1"/>
  <c r="E868" i="6"/>
  <c r="F868" i="6" s="1"/>
  <c r="E864" i="6"/>
  <c r="F864" i="6" s="1"/>
  <c r="E860" i="6"/>
  <c r="F860" i="6" s="1"/>
  <c r="E856" i="6"/>
  <c r="F856" i="6" s="1"/>
  <c r="E852" i="6"/>
  <c r="F852" i="6" s="1"/>
  <c r="E848" i="6"/>
  <c r="F848" i="6" s="1"/>
  <c r="M232" i="7"/>
  <c r="N232" i="7" s="1"/>
  <c r="E869" i="6"/>
  <c r="F869" i="6" s="1"/>
  <c r="E865" i="6"/>
  <c r="F865" i="6" s="1"/>
  <c r="E861" i="6"/>
  <c r="F861" i="6" s="1"/>
  <c r="E857" i="6"/>
  <c r="F857" i="6" s="1"/>
  <c r="E853" i="6"/>
  <c r="F853" i="6" s="1"/>
  <c r="E849" i="6"/>
  <c r="F849" i="6" s="1"/>
  <c r="M231" i="7"/>
  <c r="N231" i="7" s="1"/>
  <c r="M230" i="7"/>
  <c r="N230" i="7" s="1"/>
  <c r="E866" i="6"/>
  <c r="F866" i="6" s="1"/>
  <c r="E862" i="6"/>
  <c r="F862" i="6" s="1"/>
  <c r="E858" i="6"/>
  <c r="F858" i="6" s="1"/>
  <c r="E854" i="6"/>
  <c r="F854" i="6" s="1"/>
  <c r="E850" i="6"/>
  <c r="F850" i="6" s="1"/>
  <c r="E846" i="6"/>
  <c r="F846" i="6" s="1"/>
  <c r="M49" i="7"/>
  <c r="N49" i="7" s="1"/>
  <c r="M48" i="7"/>
  <c r="N48" i="7" s="1"/>
  <c r="E867" i="6"/>
  <c r="F867" i="6" s="1"/>
  <c r="E863" i="6"/>
  <c r="F863" i="6" s="1"/>
  <c r="E859" i="6"/>
  <c r="F859" i="6" s="1"/>
  <c r="E855" i="6"/>
  <c r="F855" i="6" s="1"/>
  <c r="E851" i="6"/>
  <c r="F851" i="6" s="1"/>
  <c r="E847" i="6"/>
  <c r="F847" i="6" s="1"/>
  <c r="M47" i="7"/>
  <c r="N47" i="7" s="1"/>
  <c r="M6698" i="7"/>
  <c r="N6698" i="7" s="1"/>
  <c r="M6697" i="7"/>
  <c r="N6697" i="7" s="1"/>
  <c r="M6632" i="7"/>
  <c r="N6632" i="7" s="1"/>
  <c r="M6420" i="7"/>
  <c r="N6420" i="7" s="1"/>
  <c r="M6223" i="7"/>
  <c r="N6223" i="7" s="1"/>
  <c r="M5869" i="7"/>
  <c r="N5869" i="7" s="1"/>
  <c r="M5781" i="7"/>
  <c r="N5781" i="7" s="1"/>
  <c r="M5985" i="7"/>
  <c r="N5985" i="7" s="1"/>
  <c r="M5984" i="7"/>
  <c r="N5984" i="7" s="1"/>
  <c r="M5981" i="7"/>
  <c r="N5981" i="7" s="1"/>
  <c r="M5667" i="7"/>
  <c r="N5667" i="7" s="1"/>
  <c r="M5536" i="7"/>
  <c r="N5536" i="7" s="1"/>
  <c r="M5296" i="7"/>
  <c r="N5296" i="7" s="1"/>
  <c r="M5295" i="7"/>
  <c r="N5295" i="7" s="1"/>
  <c r="M5086" i="7"/>
  <c r="N5086" i="7" s="1"/>
  <c r="M5013" i="7"/>
  <c r="N5013" i="7" s="1"/>
  <c r="M4952" i="7"/>
  <c r="N4952" i="7" s="1"/>
  <c r="M4814" i="7"/>
  <c r="N4814" i="7" s="1"/>
  <c r="M4152" i="7"/>
  <c r="N4152" i="7" s="1"/>
  <c r="M4135" i="7"/>
  <c r="N4135" i="7" s="1"/>
  <c r="M4598" i="7"/>
  <c r="N4598" i="7" s="1"/>
  <c r="M4134" i="7"/>
  <c r="N4134" i="7" s="1"/>
  <c r="M4126" i="7"/>
  <c r="N4126" i="7" s="1"/>
  <c r="M4419" i="7"/>
  <c r="N4419" i="7" s="1"/>
  <c r="M4625" i="7"/>
  <c r="N4625" i="7" s="1"/>
  <c r="M3565" i="7"/>
  <c r="N3565" i="7" s="1"/>
  <c r="M3920" i="7"/>
  <c r="N3920" i="7" s="1"/>
  <c r="M3919" i="7"/>
  <c r="N3919" i="7" s="1"/>
  <c r="M3911" i="7"/>
  <c r="N3911" i="7" s="1"/>
  <c r="M3703" i="7"/>
  <c r="N3703" i="7" s="1"/>
  <c r="M3177" i="7"/>
  <c r="N3177" i="7" s="1"/>
  <c r="M3470" i="7"/>
  <c r="N3470" i="7" s="1"/>
  <c r="M3053" i="7"/>
  <c r="N3053" i="7" s="1"/>
  <c r="M2419" i="7"/>
  <c r="N2419" i="7" s="1"/>
  <c r="M2791" i="7"/>
  <c r="N2791" i="7" s="1"/>
  <c r="M2119" i="7"/>
  <c r="N2119" i="7" s="1"/>
  <c r="M1973" i="7"/>
  <c r="N1973" i="7" s="1"/>
  <c r="M1996" i="7"/>
  <c r="N1996" i="7" s="1"/>
  <c r="M1972" i="7"/>
  <c r="N1972" i="7" s="1"/>
  <c r="M1995" i="7"/>
  <c r="N1995" i="7" s="1"/>
  <c r="M2137" i="7"/>
  <c r="N2137" i="7" s="1"/>
  <c r="M1077" i="7"/>
  <c r="N1077" i="7" s="1"/>
  <c r="M1403" i="7"/>
  <c r="N1403" i="7" s="1"/>
  <c r="M1402" i="7"/>
  <c r="N1402" i="7" s="1"/>
  <c r="M1401" i="7"/>
  <c r="N1401" i="7" s="1"/>
  <c r="M660" i="7"/>
  <c r="N660" i="7" s="1"/>
  <c r="M628" i="7"/>
  <c r="N628" i="7" s="1"/>
  <c r="M627" i="7"/>
  <c r="N627" i="7" s="1"/>
  <c r="M359" i="7"/>
  <c r="N359" i="7" s="1"/>
  <c r="M343" i="7"/>
  <c r="N343" i="7" s="1"/>
  <c r="M1078" i="7"/>
  <c r="N1078" i="7" s="1"/>
  <c r="M1076" i="7"/>
  <c r="N1076" i="7" s="1"/>
  <c r="M1046" i="7"/>
  <c r="N1046" i="7" s="1"/>
  <c r="M661" i="7"/>
  <c r="N661" i="7" s="1"/>
  <c r="M629" i="7"/>
  <c r="N629" i="7" s="1"/>
  <c r="M14" i="7"/>
  <c r="N14" i="7" s="1"/>
  <c r="E564" i="6"/>
  <c r="F564" i="6" s="1"/>
  <c r="E560" i="6"/>
  <c r="F560" i="6" s="1"/>
  <c r="E556" i="6"/>
  <c r="F556" i="6" s="1"/>
  <c r="E552" i="6"/>
  <c r="F552" i="6" s="1"/>
  <c r="E548" i="6"/>
  <c r="F548" i="6" s="1"/>
  <c r="E544" i="6"/>
  <c r="F544" i="6" s="1"/>
  <c r="M13" i="7"/>
  <c r="N13" i="7" s="1"/>
  <c r="M12" i="7"/>
  <c r="N12" i="7" s="1"/>
  <c r="E565" i="6"/>
  <c r="F565" i="6" s="1"/>
  <c r="E561" i="6"/>
  <c r="F561" i="6" s="1"/>
  <c r="E557" i="6"/>
  <c r="F557" i="6" s="1"/>
  <c r="E553" i="6"/>
  <c r="F553" i="6" s="1"/>
  <c r="E549" i="6"/>
  <c r="F549" i="6" s="1"/>
  <c r="E545" i="6"/>
  <c r="F545" i="6" s="1"/>
  <c r="M11" i="7"/>
  <c r="N11" i="7" s="1"/>
  <c r="M10" i="7"/>
  <c r="N10" i="7" s="1"/>
  <c r="E563" i="6"/>
  <c r="F563" i="6" s="1"/>
  <c r="E559" i="6"/>
  <c r="F559" i="6" s="1"/>
  <c r="E555" i="6"/>
  <c r="F555" i="6" s="1"/>
  <c r="E551" i="6"/>
  <c r="F551" i="6" s="1"/>
  <c r="E547" i="6"/>
  <c r="F547" i="6" s="1"/>
  <c r="M39" i="7"/>
  <c r="N39" i="7" s="1"/>
  <c r="E33" i="6"/>
  <c r="F33" i="6" s="1"/>
  <c r="E37" i="6"/>
  <c r="F37" i="6" s="1"/>
  <c r="E49" i="6"/>
  <c r="F49" i="6" s="1"/>
  <c r="E53" i="6"/>
  <c r="F53" i="6" s="1"/>
  <c r="E57" i="6"/>
  <c r="F57" i="6" s="1"/>
  <c r="E61" i="6"/>
  <c r="F61" i="6" s="1"/>
  <c r="E65" i="6"/>
  <c r="F65" i="6" s="1"/>
  <c r="E69" i="6"/>
  <c r="F69" i="6" s="1"/>
  <c r="E73" i="6"/>
  <c r="F73" i="6" s="1"/>
  <c r="E77" i="6"/>
  <c r="F77" i="6" s="1"/>
  <c r="E81" i="6"/>
  <c r="F81" i="6" s="1"/>
  <c r="E85" i="6"/>
  <c r="F85" i="6" s="1"/>
  <c r="E89" i="6"/>
  <c r="F89" i="6" s="1"/>
  <c r="E93" i="6"/>
  <c r="F93" i="6" s="1"/>
  <c r="E97" i="6"/>
  <c r="F97" i="6" s="1"/>
  <c r="E101" i="6"/>
  <c r="F101" i="6" s="1"/>
  <c r="E112" i="6"/>
  <c r="F112" i="6" s="1"/>
  <c r="E119" i="6"/>
  <c r="F119" i="6" s="1"/>
  <c r="E126" i="6"/>
  <c r="F126" i="6" s="1"/>
  <c r="E146" i="6"/>
  <c r="F146" i="6" s="1"/>
  <c r="E162" i="6"/>
  <c r="F162" i="6" s="1"/>
  <c r="E168" i="6"/>
  <c r="F168" i="6" s="1"/>
  <c r="E171" i="6"/>
  <c r="F171" i="6" s="1"/>
  <c r="E174" i="6"/>
  <c r="F174" i="6" s="1"/>
  <c r="E177" i="6"/>
  <c r="F177" i="6" s="1"/>
  <c r="E200" i="6"/>
  <c r="F200" i="6" s="1"/>
  <c r="E203" i="6"/>
  <c r="F203" i="6" s="1"/>
  <c r="E206" i="6"/>
  <c r="F206" i="6" s="1"/>
  <c r="E209" i="6"/>
  <c r="F209" i="6" s="1"/>
  <c r="E232" i="6"/>
  <c r="F232" i="6" s="1"/>
  <c r="E235" i="6"/>
  <c r="F235" i="6" s="1"/>
  <c r="E243" i="6"/>
  <c r="F243" i="6" s="1"/>
  <c r="E251" i="6"/>
  <c r="F251" i="6" s="1"/>
  <c r="E259" i="6"/>
  <c r="F259" i="6" s="1"/>
  <c r="E267" i="6"/>
  <c r="F267" i="6" s="1"/>
  <c r="E275" i="6"/>
  <c r="F275" i="6" s="1"/>
  <c r="E283" i="6"/>
  <c r="F283" i="6" s="1"/>
  <c r="E291" i="6"/>
  <c r="F291" i="6" s="1"/>
  <c r="E299" i="6"/>
  <c r="F299" i="6" s="1"/>
  <c r="E307" i="6"/>
  <c r="F307" i="6" s="1"/>
  <c r="E315" i="6"/>
  <c r="F315" i="6" s="1"/>
  <c r="E323" i="6"/>
  <c r="F323" i="6" s="1"/>
  <c r="E331" i="6"/>
  <c r="F331" i="6" s="1"/>
  <c r="E339" i="6"/>
  <c r="F339" i="6" s="1"/>
  <c r="E347" i="6"/>
  <c r="F347" i="6" s="1"/>
  <c r="E355" i="6"/>
  <c r="F355" i="6" s="1"/>
  <c r="E363" i="6"/>
  <c r="F363" i="6" s="1"/>
  <c r="E371" i="6"/>
  <c r="F371" i="6" s="1"/>
  <c r="E379" i="6"/>
  <c r="F379" i="6" s="1"/>
  <c r="E387" i="6"/>
  <c r="F387" i="6" s="1"/>
  <c r="E395" i="6"/>
  <c r="F395" i="6" s="1"/>
  <c r="E403" i="6"/>
  <c r="F403" i="6" s="1"/>
  <c r="E411" i="6"/>
  <c r="F411" i="6" s="1"/>
  <c r="E419" i="6"/>
  <c r="F419" i="6" s="1"/>
  <c r="E441" i="6"/>
  <c r="F441" i="6" s="1"/>
  <c r="E446" i="6"/>
  <c r="F446" i="6" s="1"/>
  <c r="E451" i="6"/>
  <c r="F451" i="6" s="1"/>
  <c r="E470" i="6"/>
  <c r="F470" i="6" s="1"/>
  <c r="E486" i="6"/>
  <c r="F486" i="6" s="1"/>
  <c r="E502" i="6"/>
  <c r="F502" i="6" s="1"/>
  <c r="E518" i="6"/>
  <c r="F518" i="6" s="1"/>
  <c r="E534" i="6"/>
  <c r="F534" i="6" s="1"/>
  <c r="E554" i="6"/>
  <c r="F554" i="6" s="1"/>
  <c r="E108" i="6"/>
  <c r="F108" i="6" s="1"/>
  <c r="E115" i="6"/>
  <c r="F115" i="6" s="1"/>
  <c r="E122" i="6"/>
  <c r="F122" i="6" s="1"/>
  <c r="E133" i="6"/>
  <c r="F133" i="6" s="1"/>
  <c r="E136" i="6"/>
  <c r="F136" i="6" s="1"/>
  <c r="E139" i="6"/>
  <c r="F139" i="6" s="1"/>
  <c r="E149" i="6"/>
  <c r="F149" i="6" s="1"/>
  <c r="E152" i="6"/>
  <c r="F152" i="6" s="1"/>
  <c r="E155" i="6"/>
  <c r="F155" i="6" s="1"/>
  <c r="E165" i="6"/>
  <c r="F165" i="6" s="1"/>
  <c r="E188" i="6"/>
  <c r="F188" i="6" s="1"/>
  <c r="E191" i="6"/>
  <c r="F191" i="6" s="1"/>
  <c r="E194" i="6"/>
  <c r="F194" i="6" s="1"/>
  <c r="E197" i="6"/>
  <c r="F197" i="6" s="1"/>
  <c r="E220" i="6"/>
  <c r="F220" i="6" s="1"/>
  <c r="E223" i="6"/>
  <c r="F223" i="6" s="1"/>
  <c r="E226" i="6"/>
  <c r="F226" i="6" s="1"/>
  <c r="E229" i="6"/>
  <c r="F229" i="6" s="1"/>
  <c r="E240" i="6"/>
  <c r="F240" i="6" s="1"/>
  <c r="E248" i="6"/>
  <c r="F248" i="6" s="1"/>
  <c r="E256" i="6"/>
  <c r="F256" i="6" s="1"/>
  <c r="E272" i="6"/>
  <c r="F272" i="6" s="1"/>
  <c r="E280" i="6"/>
  <c r="F280" i="6" s="1"/>
  <c r="E288" i="6"/>
  <c r="F288" i="6" s="1"/>
  <c r="E296" i="6"/>
  <c r="F296" i="6" s="1"/>
  <c r="E304" i="6"/>
  <c r="F304" i="6" s="1"/>
  <c r="E320" i="6"/>
  <c r="F320" i="6" s="1"/>
  <c r="E328" i="6"/>
  <c r="F328" i="6" s="1"/>
  <c r="E336" i="6"/>
  <c r="F336" i="6" s="1"/>
  <c r="E344" i="6"/>
  <c r="F344" i="6" s="1"/>
  <c r="E352" i="6"/>
  <c r="F352" i="6" s="1"/>
  <c r="E368" i="6"/>
  <c r="F368" i="6" s="1"/>
  <c r="E376" i="6"/>
  <c r="F376" i="6" s="1"/>
  <c r="E384" i="6"/>
  <c r="F384" i="6" s="1"/>
  <c r="E392" i="6"/>
  <c r="F392" i="6" s="1"/>
  <c r="E400" i="6"/>
  <c r="F400" i="6" s="1"/>
  <c r="E408" i="6"/>
  <c r="F408" i="6" s="1"/>
  <c r="E416" i="6"/>
  <c r="F416" i="6" s="1"/>
  <c r="E426" i="6"/>
  <c r="F426" i="6" s="1"/>
  <c r="E431" i="6"/>
  <c r="F431" i="6" s="1"/>
  <c r="E458" i="6"/>
  <c r="F458" i="6" s="1"/>
  <c r="E463" i="6"/>
  <c r="F463" i="6" s="1"/>
  <c r="E495" i="6"/>
  <c r="F495" i="6" s="1"/>
  <c r="E511" i="6"/>
  <c r="F511" i="6" s="1"/>
  <c r="E527" i="6"/>
  <c r="F527" i="6" s="1"/>
  <c r="E543" i="6"/>
  <c r="F543" i="6" s="1"/>
  <c r="E558" i="6"/>
  <c r="F558" i="6" s="1"/>
  <c r="A3" i="4"/>
  <c r="A30" i="4"/>
  <c r="A45" i="4"/>
  <c r="M5097" i="7"/>
  <c r="N5097" i="7" s="1"/>
  <c r="M5096" i="7"/>
  <c r="N5096" i="7" s="1"/>
  <c r="M5095" i="7"/>
  <c r="N5095" i="7" s="1"/>
  <c r="M5099" i="7"/>
  <c r="N5099" i="7" s="1"/>
  <c r="M5098" i="7"/>
  <c r="N5098" i="7" s="1"/>
  <c r="M3924" i="7"/>
  <c r="N3924" i="7" s="1"/>
  <c r="M3923" i="7"/>
  <c r="N3923" i="7" s="1"/>
  <c r="M3915" i="7"/>
  <c r="N3915" i="7" s="1"/>
  <c r="M3159" i="7"/>
  <c r="N3159" i="7" s="1"/>
  <c r="M3158" i="7"/>
  <c r="N3158" i="7" s="1"/>
  <c r="M2124" i="7"/>
  <c r="N2124" i="7" s="1"/>
  <c r="M2123" i="7"/>
  <c r="N2123" i="7" s="1"/>
  <c r="M2113" i="7"/>
  <c r="N2113" i="7" s="1"/>
  <c r="M2112" i="7"/>
  <c r="N2112" i="7" s="1"/>
  <c r="M1364" i="7"/>
  <c r="N1364" i="7" s="1"/>
  <c r="M1363" i="7"/>
  <c r="N1363" i="7" s="1"/>
  <c r="M1362" i="7"/>
  <c r="N1362" i="7" s="1"/>
  <c r="M1433" i="7"/>
  <c r="N1433" i="7" s="1"/>
  <c r="M1361" i="7"/>
  <c r="N1361" i="7" s="1"/>
  <c r="M1360" i="7"/>
  <c r="N1360" i="7" s="1"/>
  <c r="M612" i="7"/>
  <c r="N612" i="7" s="1"/>
  <c r="M635" i="7"/>
  <c r="N635" i="7" s="1"/>
  <c r="M611" i="7"/>
  <c r="N611" i="7" s="1"/>
  <c r="M613" i="7"/>
  <c r="N613" i="7" s="1"/>
  <c r="M54" i="7"/>
  <c r="N54" i="7" s="1"/>
  <c r="M6" i="7"/>
  <c r="N6" i="7" s="1"/>
  <c r="M19" i="7"/>
  <c r="N19" i="7" s="1"/>
  <c r="M18" i="7"/>
  <c r="N18" i="7" s="1"/>
  <c r="M6716" i="7"/>
  <c r="N6716" i="7" s="1"/>
  <c r="M6715" i="7"/>
  <c r="N6715" i="7" s="1"/>
  <c r="M6714" i="7"/>
  <c r="N6714" i="7" s="1"/>
  <c r="M6696" i="7"/>
  <c r="N6696" i="7" s="1"/>
  <c r="M6419" i="7"/>
  <c r="N6419" i="7" s="1"/>
  <c r="M6433" i="7"/>
  <c r="N6433" i="7" s="1"/>
  <c r="M6432" i="7"/>
  <c r="N6432" i="7" s="1"/>
  <c r="M6528" i="7"/>
  <c r="N6528" i="7" s="1"/>
  <c r="M6431" i="7"/>
  <c r="N6431" i="7" s="1"/>
  <c r="M6527" i="7"/>
  <c r="N6527" i="7" s="1"/>
  <c r="M6430" i="7"/>
  <c r="N6430" i="7" s="1"/>
  <c r="M6003" i="7"/>
  <c r="N6003" i="7" s="1"/>
  <c r="M6228" i="7"/>
  <c r="N6228" i="7" s="1"/>
  <c r="M6077" i="7"/>
  <c r="N6077" i="7" s="1"/>
  <c r="M5868" i="7"/>
  <c r="N5868" i="7" s="1"/>
  <c r="M6004" i="7"/>
  <c r="N6004" i="7" s="1"/>
  <c r="M5867" i="7"/>
  <c r="N5867" i="7" s="1"/>
  <c r="M5866" i="7"/>
  <c r="N5866" i="7" s="1"/>
  <c r="M5661" i="7"/>
  <c r="N5661" i="7" s="1"/>
  <c r="M5666" i="7"/>
  <c r="N5666" i="7" s="1"/>
  <c r="M5665" i="7"/>
  <c r="N5665" i="7" s="1"/>
  <c r="M5664" i="7"/>
  <c r="N5664" i="7" s="1"/>
  <c r="M5663" i="7"/>
  <c r="N5663" i="7" s="1"/>
  <c r="M5662" i="7"/>
  <c r="N5662" i="7" s="1"/>
  <c r="M5264" i="7"/>
  <c r="N5264" i="7" s="1"/>
  <c r="M5263" i="7"/>
  <c r="N5263" i="7" s="1"/>
  <c r="M5262" i="7"/>
  <c r="N5262" i="7" s="1"/>
  <c r="M5261" i="7"/>
  <c r="N5261" i="7" s="1"/>
  <c r="M5260" i="7"/>
  <c r="N5260" i="7" s="1"/>
  <c r="M5085" i="7"/>
  <c r="N5085" i="7" s="1"/>
  <c r="M4984" i="7"/>
  <c r="N4984" i="7" s="1"/>
  <c r="M4783" i="7"/>
  <c r="N4783" i="7" s="1"/>
  <c r="M4894" i="7"/>
  <c r="N4894" i="7" s="1"/>
  <c r="M4893" i="7"/>
  <c r="N4893" i="7" s="1"/>
  <c r="M4885" i="7"/>
  <c r="N4885" i="7" s="1"/>
  <c r="M4892" i="7"/>
  <c r="N4892" i="7" s="1"/>
  <c r="M4884" i="7"/>
  <c r="N4884" i="7" s="1"/>
  <c r="M4621" i="7"/>
  <c r="N4621" i="7" s="1"/>
  <c r="M4151" i="7"/>
  <c r="N4151" i="7" s="1"/>
  <c r="M4620" i="7"/>
  <c r="N4620" i="7" s="1"/>
  <c r="M4150" i="7"/>
  <c r="N4150" i="7" s="1"/>
  <c r="M4133" i="7"/>
  <c r="N4133" i="7" s="1"/>
  <c r="M4595" i="7"/>
  <c r="N4595" i="7" s="1"/>
  <c r="M4451" i="7"/>
  <c r="N4451" i="7" s="1"/>
  <c r="M4227" i="7"/>
  <c r="N4227" i="7" s="1"/>
  <c r="M4594" i="7"/>
  <c r="N4594" i="7" s="1"/>
  <c r="M4450" i="7"/>
  <c r="N4450" i="7" s="1"/>
  <c r="M3918" i="7"/>
  <c r="N3918" i="7" s="1"/>
  <c r="M3774" i="7"/>
  <c r="N3774" i="7" s="1"/>
  <c r="M3702" i="7"/>
  <c r="N3702" i="7" s="1"/>
  <c r="M3917" i="7"/>
  <c r="N3917" i="7" s="1"/>
  <c r="M3773" i="7"/>
  <c r="N3773" i="7" s="1"/>
  <c r="M3701" i="7"/>
  <c r="N3701" i="7" s="1"/>
  <c r="M3653" i="7"/>
  <c r="N3653" i="7" s="1"/>
  <c r="M3772" i="7"/>
  <c r="N3772" i="7" s="1"/>
  <c r="M3484" i="7"/>
  <c r="N3484" i="7" s="1"/>
  <c r="M3938" i="7"/>
  <c r="N3938" i="7" s="1"/>
  <c r="M3937" i="7"/>
  <c r="N3937" i="7" s="1"/>
  <c r="M3936" i="7"/>
  <c r="N3936" i="7" s="1"/>
  <c r="M3259" i="7"/>
  <c r="N3259" i="7" s="1"/>
  <c r="M2971" i="7"/>
  <c r="N2971" i="7" s="1"/>
  <c r="M2923" i="7"/>
  <c r="N2923" i="7" s="1"/>
  <c r="M3486" i="7"/>
  <c r="N3486" i="7" s="1"/>
  <c r="M2922" i="7"/>
  <c r="N2922" i="7" s="1"/>
  <c r="M3485" i="7"/>
  <c r="N3485" i="7" s="1"/>
  <c r="M3483" i="7"/>
  <c r="N3483" i="7" s="1"/>
  <c r="M3144" i="7"/>
  <c r="N3144" i="7" s="1"/>
  <c r="M3143" i="7"/>
  <c r="N3143" i="7" s="1"/>
  <c r="M3173" i="7"/>
  <c r="N3173" i="7" s="1"/>
  <c r="M2925" i="7"/>
  <c r="N2925" i="7" s="1"/>
  <c r="M3260" i="7"/>
  <c r="N3260" i="7" s="1"/>
  <c r="M3172" i="7"/>
  <c r="N3172" i="7" s="1"/>
  <c r="M3052" i="7"/>
  <c r="N3052" i="7" s="1"/>
  <c r="M2924" i="7"/>
  <c r="N2924" i="7" s="1"/>
  <c r="M2428" i="7"/>
  <c r="N2428" i="7" s="1"/>
  <c r="M2706" i="7"/>
  <c r="N2706" i="7" s="1"/>
  <c r="M2705" i="7"/>
  <c r="N2705" i="7" s="1"/>
  <c r="M2233" i="7"/>
  <c r="N2233" i="7" s="1"/>
  <c r="M2431" i="7"/>
  <c r="N2431" i="7" s="1"/>
  <c r="M2430" i="7"/>
  <c r="N2430" i="7" s="1"/>
  <c r="M2429" i="7"/>
  <c r="N2429" i="7" s="1"/>
  <c r="M2135" i="7"/>
  <c r="N2135" i="7" s="1"/>
  <c r="M2134" i="7"/>
  <c r="N2134" i="7" s="1"/>
  <c r="M2118" i="7"/>
  <c r="N2118" i="7" s="1"/>
  <c r="M2234" i="7"/>
  <c r="N2234" i="7" s="1"/>
  <c r="M2133" i="7"/>
  <c r="N2133" i="7" s="1"/>
  <c r="M1867" i="7"/>
  <c r="N1867" i="7" s="1"/>
  <c r="M1866" i="7"/>
  <c r="N1866" i="7" s="1"/>
  <c r="M2136" i="7"/>
  <c r="N2136" i="7" s="1"/>
  <c r="M1992" i="7"/>
  <c r="N1992" i="7" s="1"/>
  <c r="M1075" i="7"/>
  <c r="N1075" i="7" s="1"/>
  <c r="M1043" i="7"/>
  <c r="N1043" i="7" s="1"/>
  <c r="M1394" i="7"/>
  <c r="N1394" i="7" s="1"/>
  <c r="M1074" i="7"/>
  <c r="N1074" i="7" s="1"/>
  <c r="M1042" i="7"/>
  <c r="N1042" i="7" s="1"/>
  <c r="M1393" i="7"/>
  <c r="N1393" i="7" s="1"/>
  <c r="M1313" i="7"/>
  <c r="N1313" i="7" s="1"/>
  <c r="M1392" i="7"/>
  <c r="N1392" i="7" s="1"/>
  <c r="M652" i="7"/>
  <c r="N652" i="7" s="1"/>
  <c r="M420" i="7"/>
  <c r="N420" i="7" s="1"/>
  <c r="M356" i="7"/>
  <c r="N356" i="7" s="1"/>
  <c r="M419" i="7"/>
  <c r="N419" i="7" s="1"/>
  <c r="M355" i="7"/>
  <c r="N355" i="7" s="1"/>
  <c r="M626" i="7"/>
  <c r="N626" i="7" s="1"/>
  <c r="M625" i="7"/>
  <c r="N625" i="7" s="1"/>
  <c r="M624" i="7"/>
  <c r="N624" i="7" s="1"/>
  <c r="M1041" i="7"/>
  <c r="N1041" i="7" s="1"/>
  <c r="M623" i="7"/>
  <c r="N623" i="7" s="1"/>
  <c r="M653" i="7"/>
  <c r="N653" i="7" s="1"/>
  <c r="E420" i="6"/>
  <c r="F420" i="6" s="1"/>
  <c r="M146" i="7"/>
  <c r="N146" i="7" s="1"/>
  <c r="M33" i="7"/>
  <c r="N33" i="7" s="1"/>
  <c r="M6751" i="7"/>
  <c r="N6751" i="7" s="1"/>
  <c r="M6743" i="7"/>
  <c r="N6743" i="7" s="1"/>
  <c r="M6750" i="7"/>
  <c r="N6750" i="7" s="1"/>
  <c r="M6742" i="7"/>
  <c r="N6742" i="7" s="1"/>
  <c r="M6749" i="7"/>
  <c r="N6749" i="7" s="1"/>
  <c r="M6741" i="7"/>
  <c r="N6741" i="7" s="1"/>
  <c r="M6637" i="7"/>
  <c r="N6637" i="7" s="1"/>
  <c r="M6748" i="7"/>
  <c r="N6748" i="7" s="1"/>
  <c r="M6740" i="7"/>
  <c r="N6740" i="7" s="1"/>
  <c r="M6636" i="7"/>
  <c r="N6636" i="7" s="1"/>
  <c r="M6747" i="7"/>
  <c r="N6747" i="7" s="1"/>
  <c r="M6739" i="7"/>
  <c r="N6739" i="7" s="1"/>
  <c r="M6635" i="7"/>
  <c r="N6635" i="7" s="1"/>
  <c r="M6746" i="7"/>
  <c r="N6746" i="7" s="1"/>
  <c r="M6745" i="7"/>
  <c r="N6745" i="7" s="1"/>
  <c r="M6744" i="7"/>
  <c r="N6744" i="7" s="1"/>
  <c r="M6467" i="7"/>
  <c r="N6467" i="7" s="1"/>
  <c r="M6251" i="7"/>
  <c r="N6251" i="7" s="1"/>
  <c r="M6466" i="7"/>
  <c r="N6466" i="7" s="1"/>
  <c r="M6465" i="7"/>
  <c r="N6465" i="7" s="1"/>
  <c r="M6472" i="7"/>
  <c r="N6472" i="7" s="1"/>
  <c r="M6464" i="7"/>
  <c r="N6464" i="7" s="1"/>
  <c r="M6471" i="7"/>
  <c r="N6471" i="7" s="1"/>
  <c r="M6470" i="7"/>
  <c r="N6470" i="7" s="1"/>
  <c r="M6334" i="7"/>
  <c r="N6334" i="7" s="1"/>
  <c r="M6254" i="7"/>
  <c r="N6254" i="7" s="1"/>
  <c r="M6469" i="7"/>
  <c r="N6469" i="7" s="1"/>
  <c r="M6468" i="7"/>
  <c r="N6468" i="7" s="1"/>
  <c r="M6332" i="7"/>
  <c r="N6332" i="7" s="1"/>
  <c r="M6252" i="7"/>
  <c r="N6252" i="7" s="1"/>
  <c r="M6255" i="7"/>
  <c r="N6255" i="7" s="1"/>
  <c r="M6253" i="7"/>
  <c r="N6253" i="7" s="1"/>
  <c r="M6164" i="7"/>
  <c r="N6164" i="7" s="1"/>
  <c r="M6163" i="7"/>
  <c r="N6163" i="7" s="1"/>
  <c r="M6335" i="7"/>
  <c r="N6335" i="7" s="1"/>
  <c r="M6333" i="7"/>
  <c r="N6333" i="7" s="1"/>
  <c r="M6162" i="7"/>
  <c r="N6162" i="7" s="1"/>
  <c r="M6022" i="7"/>
  <c r="N6022" i="7" s="1"/>
  <c r="M5707" i="7"/>
  <c r="N5707" i="7" s="1"/>
  <c r="M6025" i="7"/>
  <c r="N6025" i="7" s="1"/>
  <c r="M5888" i="7"/>
  <c r="N5888" i="7" s="1"/>
  <c r="M6024" i="7"/>
  <c r="N6024" i="7" s="1"/>
  <c r="M5887" i="7"/>
  <c r="N5887" i="7" s="1"/>
  <c r="M6023" i="7"/>
  <c r="N6023" i="7" s="1"/>
  <c r="M5886" i="7"/>
  <c r="N5886" i="7" s="1"/>
  <c r="M5549" i="7"/>
  <c r="N5549" i="7" s="1"/>
  <c r="M5548" i="7"/>
  <c r="N5548" i="7" s="1"/>
  <c r="M5555" i="7"/>
  <c r="N5555" i="7" s="1"/>
  <c r="M5547" i="7"/>
  <c r="N5547" i="7" s="1"/>
  <c r="M5706" i="7"/>
  <c r="N5706" i="7" s="1"/>
  <c r="M5554" i="7"/>
  <c r="N5554" i="7" s="1"/>
  <c r="M5705" i="7"/>
  <c r="N5705" i="7" s="1"/>
  <c r="M5704" i="7"/>
  <c r="N5704" i="7" s="1"/>
  <c r="M5552" i="7"/>
  <c r="N5552" i="7" s="1"/>
  <c r="M5703" i="7"/>
  <c r="N5703" i="7" s="1"/>
  <c r="M5551" i="7"/>
  <c r="N5551" i="7" s="1"/>
  <c r="M5550" i="7"/>
  <c r="N5550" i="7" s="1"/>
  <c r="M5414" i="7"/>
  <c r="N5414" i="7" s="1"/>
  <c r="M5413" i="7"/>
  <c r="N5413" i="7" s="1"/>
  <c r="M5412" i="7"/>
  <c r="N5412" i="7" s="1"/>
  <c r="M5411" i="7"/>
  <c r="N5411" i="7" s="1"/>
  <c r="M5410" i="7"/>
  <c r="N5410" i="7" s="1"/>
  <c r="M5553" i="7"/>
  <c r="N5553" i="7" s="1"/>
  <c r="M5409" i="7"/>
  <c r="N5409" i="7" s="1"/>
  <c r="M5121" i="7"/>
  <c r="N5121" i="7" s="1"/>
  <c r="M5120" i="7"/>
  <c r="N5120" i="7" s="1"/>
  <c r="M5119" i="7"/>
  <c r="N5119" i="7" s="1"/>
  <c r="M4967" i="7"/>
  <c r="N4967" i="7" s="1"/>
  <c r="M5126" i="7"/>
  <c r="N5126" i="7" s="1"/>
  <c r="M5118" i="7"/>
  <c r="N5118" i="7" s="1"/>
  <c r="M5125" i="7"/>
  <c r="N5125" i="7" s="1"/>
  <c r="M5117" i="7"/>
  <c r="N5117" i="7" s="1"/>
  <c r="M4965" i="7"/>
  <c r="N4965" i="7" s="1"/>
  <c r="M5124" i="7"/>
  <c r="N5124" i="7" s="1"/>
  <c r="M5123" i="7"/>
  <c r="N5123" i="7" s="1"/>
  <c r="M4963" i="7"/>
  <c r="N4963" i="7" s="1"/>
  <c r="M5122" i="7"/>
  <c r="N5122" i="7" s="1"/>
  <c r="M4905" i="7"/>
  <c r="N4905" i="7" s="1"/>
  <c r="M4904" i="7"/>
  <c r="N4904" i="7" s="1"/>
  <c r="M4640" i="7"/>
  <c r="N4640" i="7" s="1"/>
  <c r="M4726" i="7"/>
  <c r="N4726" i="7" s="1"/>
  <c r="M4638" i="7"/>
  <c r="N4638" i="7" s="1"/>
  <c r="M4966" i="7"/>
  <c r="N4966" i="7" s="1"/>
  <c r="M4964" i="7"/>
  <c r="N4964" i="7" s="1"/>
  <c r="M4962" i="7"/>
  <c r="N4962" i="7" s="1"/>
  <c r="M4725" i="7"/>
  <c r="N4725" i="7" s="1"/>
  <c r="M4961" i="7"/>
  <c r="N4961" i="7" s="1"/>
  <c r="M4908" i="7"/>
  <c r="N4908" i="7" s="1"/>
  <c r="M4960" i="7"/>
  <c r="N4960" i="7" s="1"/>
  <c r="M4907" i="7"/>
  <c r="N4907" i="7" s="1"/>
  <c r="M4906" i="7"/>
  <c r="N4906" i="7" s="1"/>
  <c r="M4176" i="7"/>
  <c r="N4176" i="7" s="1"/>
  <c r="M4056" i="7"/>
  <c r="N4056" i="7" s="1"/>
  <c r="M4535" i="7"/>
  <c r="N4535" i="7" s="1"/>
  <c r="M4183" i="7"/>
  <c r="N4183" i="7" s="1"/>
  <c r="M4055" i="7"/>
  <c r="N4055" i="7" s="1"/>
  <c r="M4430" i="7"/>
  <c r="N4430" i="7" s="1"/>
  <c r="M4302" i="7"/>
  <c r="N4302" i="7" s="1"/>
  <c r="M4182" i="7"/>
  <c r="N4182" i="7" s="1"/>
  <c r="M4429" i="7"/>
  <c r="N4429" i="7" s="1"/>
  <c r="M4301" i="7"/>
  <c r="N4301" i="7" s="1"/>
  <c r="M4181" i="7"/>
  <c r="N4181" i="7" s="1"/>
  <c r="M4639" i="7"/>
  <c r="N4639" i="7" s="1"/>
  <c r="M4428" i="7"/>
  <c r="N4428" i="7" s="1"/>
  <c r="M4180" i="7"/>
  <c r="N4180" i="7" s="1"/>
  <c r="M4060" i="7"/>
  <c r="N4060" i="7" s="1"/>
  <c r="M4637" i="7"/>
  <c r="N4637" i="7" s="1"/>
  <c r="M4179" i="7"/>
  <c r="N4179" i="7" s="1"/>
  <c r="M4059" i="7"/>
  <c r="N4059" i="7" s="1"/>
  <c r="M4636" i="7"/>
  <c r="N4636" i="7" s="1"/>
  <c r="M4178" i="7"/>
  <c r="N4178" i="7" s="1"/>
  <c r="M4635" i="7"/>
  <c r="N4635" i="7" s="1"/>
  <c r="M4177" i="7"/>
  <c r="N4177" i="7" s="1"/>
  <c r="M4058" i="7"/>
  <c r="N4058" i="7" s="1"/>
  <c r="M4054" i="7"/>
  <c r="N4054" i="7" s="1"/>
  <c r="M3966" i="7"/>
  <c r="N3966" i="7" s="1"/>
  <c r="M3854" i="7"/>
  <c r="N3854" i="7" s="1"/>
  <c r="M3510" i="7"/>
  <c r="N3510" i="7" s="1"/>
  <c r="M4057" i="7"/>
  <c r="N4057" i="7" s="1"/>
  <c r="M3965" i="7"/>
  <c r="N3965" i="7" s="1"/>
  <c r="M3853" i="7"/>
  <c r="N3853" i="7" s="1"/>
  <c r="M3964" i="7"/>
  <c r="N3964" i="7" s="1"/>
  <c r="M3628" i="7"/>
  <c r="N3628" i="7" s="1"/>
  <c r="M3516" i="7"/>
  <c r="N3516" i="7" s="1"/>
  <c r="M3963" i="7"/>
  <c r="N3963" i="7" s="1"/>
  <c r="M3627" i="7"/>
  <c r="N3627" i="7" s="1"/>
  <c r="M3515" i="7"/>
  <c r="N3515" i="7" s="1"/>
  <c r="M3962" i="7"/>
  <c r="N3962" i="7" s="1"/>
  <c r="M3626" i="7"/>
  <c r="N3626" i="7" s="1"/>
  <c r="M3514" i="7"/>
  <c r="N3514" i="7" s="1"/>
  <c r="M3625" i="7"/>
  <c r="N3625" i="7" s="1"/>
  <c r="M3513" i="7"/>
  <c r="N3513" i="7" s="1"/>
  <c r="M3720" i="7"/>
  <c r="N3720" i="7" s="1"/>
  <c r="M3512" i="7"/>
  <c r="N3512" i="7" s="1"/>
  <c r="M3719" i="7"/>
  <c r="N3719" i="7" s="1"/>
  <c r="M3511" i="7"/>
  <c r="N3511" i="7" s="1"/>
  <c r="M3509" i="7"/>
  <c r="N3509" i="7" s="1"/>
  <c r="M3379" i="7"/>
  <c r="N3379" i="7" s="1"/>
  <c r="M3067" i="7"/>
  <c r="N3067" i="7" s="1"/>
  <c r="M2811" i="7"/>
  <c r="N2811" i="7" s="1"/>
  <c r="M3378" i="7"/>
  <c r="N3378" i="7" s="1"/>
  <c r="M3066" i="7"/>
  <c r="N3066" i="7" s="1"/>
  <c r="M2946" i="7"/>
  <c r="N2946" i="7" s="1"/>
  <c r="M3377" i="7"/>
  <c r="N3377" i="7" s="1"/>
  <c r="M3217" i="7"/>
  <c r="N3217" i="7" s="1"/>
  <c r="M3065" i="7"/>
  <c r="N3065" i="7" s="1"/>
  <c r="M3376" i="7"/>
  <c r="N3376" i="7" s="1"/>
  <c r="M3216" i="7"/>
  <c r="N3216" i="7" s="1"/>
  <c r="M3064" i="7"/>
  <c r="N3064" i="7" s="1"/>
  <c r="M2944" i="7"/>
  <c r="N2944" i="7" s="1"/>
  <c r="M3375" i="7"/>
  <c r="N3375" i="7" s="1"/>
  <c r="M3215" i="7"/>
  <c r="N3215" i="7" s="1"/>
  <c r="M2943" i="7"/>
  <c r="N2943" i="7" s="1"/>
  <c r="M2942" i="7"/>
  <c r="N2942" i="7" s="1"/>
  <c r="M2941" i="7"/>
  <c r="N2941" i="7" s="1"/>
  <c r="M3380" i="7"/>
  <c r="N3380" i="7" s="1"/>
  <c r="M2815" i="7"/>
  <c r="N2815" i="7" s="1"/>
  <c r="M2660" i="7"/>
  <c r="N2660" i="7" s="1"/>
  <c r="M2580" i="7"/>
  <c r="N2580" i="7" s="1"/>
  <c r="M2452" i="7"/>
  <c r="N2452" i="7" s="1"/>
  <c r="M2332" i="7"/>
  <c r="N2332" i="7" s="1"/>
  <c r="M2814" i="7"/>
  <c r="N2814" i="7" s="1"/>
  <c r="M2659" i="7"/>
  <c r="N2659" i="7" s="1"/>
  <c r="M2579" i="7"/>
  <c r="N2579" i="7" s="1"/>
  <c r="M2451" i="7"/>
  <c r="N2451" i="7" s="1"/>
  <c r="M2813" i="7"/>
  <c r="N2813" i="7" s="1"/>
  <c r="M2658" i="7"/>
  <c r="N2658" i="7" s="1"/>
  <c r="M2578" i="7"/>
  <c r="N2578" i="7" s="1"/>
  <c r="M2450" i="7"/>
  <c r="N2450" i="7" s="1"/>
  <c r="M2945" i="7"/>
  <c r="N2945" i="7" s="1"/>
  <c r="M2812" i="7"/>
  <c r="N2812" i="7" s="1"/>
  <c r="M2457" i="7"/>
  <c r="N2457" i="7" s="1"/>
  <c r="M2449" i="7"/>
  <c r="N2449" i="7" s="1"/>
  <c r="M2337" i="7"/>
  <c r="N2337" i="7" s="1"/>
  <c r="M2456" i="7"/>
  <c r="N2456" i="7" s="1"/>
  <c r="M2336" i="7"/>
  <c r="N2336" i="7" s="1"/>
  <c r="M2455" i="7"/>
  <c r="N2455" i="7" s="1"/>
  <c r="M2817" i="7"/>
  <c r="N2817" i="7" s="1"/>
  <c r="M2662" i="7"/>
  <c r="N2662" i="7" s="1"/>
  <c r="M2454" i="7"/>
  <c r="N2454" i="7" s="1"/>
  <c r="M2334" i="7"/>
  <c r="N2334" i="7" s="1"/>
  <c r="M2816" i="7"/>
  <c r="N2816" i="7" s="1"/>
  <c r="M2661" i="7"/>
  <c r="N2661" i="7" s="1"/>
  <c r="M2581" i="7"/>
  <c r="N2581" i="7" s="1"/>
  <c r="M2453" i="7"/>
  <c r="N2453" i="7" s="1"/>
  <c r="M2333" i="7"/>
  <c r="N2333" i="7" s="1"/>
  <c r="M2177" i="7"/>
  <c r="N2177" i="7" s="1"/>
  <c r="M2023" i="7"/>
  <c r="N2023" i="7" s="1"/>
  <c r="M1807" i="7"/>
  <c r="N1807" i="7" s="1"/>
  <c r="M1679" i="7"/>
  <c r="N1679" i="7" s="1"/>
  <c r="M2176" i="7"/>
  <c r="N2176" i="7" s="1"/>
  <c r="M1806" i="7"/>
  <c r="N1806" i="7" s="1"/>
  <c r="M1678" i="7"/>
  <c r="N1678" i="7" s="1"/>
  <c r="M2175" i="7"/>
  <c r="N2175" i="7" s="1"/>
  <c r="M1805" i="7"/>
  <c r="N1805" i="7" s="1"/>
  <c r="M2174" i="7"/>
  <c r="N2174" i="7" s="1"/>
  <c r="M1804" i="7"/>
  <c r="N1804" i="7" s="1"/>
  <c r="M2335" i="7"/>
  <c r="N2335" i="7" s="1"/>
  <c r="M1811" i="7"/>
  <c r="N1811" i="7" s="1"/>
  <c r="M1803" i="7"/>
  <c r="N1803" i="7" s="1"/>
  <c r="M1675" i="7"/>
  <c r="N1675" i="7" s="1"/>
  <c r="M2338" i="7"/>
  <c r="N2338" i="7" s="1"/>
  <c r="M1810" i="7"/>
  <c r="N1810" i="7" s="1"/>
  <c r="M1809" i="7"/>
  <c r="N1809" i="7" s="1"/>
  <c r="M2178" i="7"/>
  <c r="N2178" i="7" s="1"/>
  <c r="M2024" i="7"/>
  <c r="N2024" i="7" s="1"/>
  <c r="M1808" i="7"/>
  <c r="N1808" i="7" s="1"/>
  <c r="M1446" i="7"/>
  <c r="N1446" i="7" s="1"/>
  <c r="M1278" i="7"/>
  <c r="N1278" i="7" s="1"/>
  <c r="M1110" i="7"/>
  <c r="N1110" i="7" s="1"/>
  <c r="M1445" i="7"/>
  <c r="N1445" i="7" s="1"/>
  <c r="M1277" i="7"/>
  <c r="N1277" i="7" s="1"/>
  <c r="M1109" i="7"/>
  <c r="N1109" i="7" s="1"/>
  <c r="M1444" i="7"/>
  <c r="N1444" i="7" s="1"/>
  <c r="M1276" i="7"/>
  <c r="N1276" i="7" s="1"/>
  <c r="M1108" i="7"/>
  <c r="N1108" i="7" s="1"/>
  <c r="M1681" i="7"/>
  <c r="N1681" i="7" s="1"/>
  <c r="M1677" i="7"/>
  <c r="N1677" i="7" s="1"/>
  <c r="M1275" i="7"/>
  <c r="N1275" i="7" s="1"/>
  <c r="M1107" i="7"/>
  <c r="N1107" i="7" s="1"/>
  <c r="M1680" i="7"/>
  <c r="N1680" i="7" s="1"/>
  <c r="M1676" i="7"/>
  <c r="N1676" i="7" s="1"/>
  <c r="M1674" i="7"/>
  <c r="N1674" i="7" s="1"/>
  <c r="M1274" i="7"/>
  <c r="N1274" i="7" s="1"/>
  <c r="M1106" i="7"/>
  <c r="N1106" i="7" s="1"/>
  <c r="M1673" i="7"/>
  <c r="N1673" i="7" s="1"/>
  <c r="M1449" i="7"/>
  <c r="N1449" i="7" s="1"/>
  <c r="M1273" i="7"/>
  <c r="N1273" i="7" s="1"/>
  <c r="M1448" i="7"/>
  <c r="N1448" i="7" s="1"/>
  <c r="M1272" i="7"/>
  <c r="N1272" i="7" s="1"/>
  <c r="M1112" i="7"/>
  <c r="N1112" i="7" s="1"/>
  <c r="M1104" i="7"/>
  <c r="N1104" i="7" s="1"/>
  <c r="M1447" i="7"/>
  <c r="N1447" i="7" s="1"/>
  <c r="M1271" i="7"/>
  <c r="N1271" i="7" s="1"/>
  <c r="M916" i="7"/>
  <c r="N916" i="7" s="1"/>
  <c r="M708" i="7"/>
  <c r="N708" i="7" s="1"/>
  <c r="M700" i="7"/>
  <c r="N700" i="7" s="1"/>
  <c r="M532" i="7"/>
  <c r="N532" i="7" s="1"/>
  <c r="M388" i="7"/>
  <c r="N388" i="7" s="1"/>
  <c r="M707" i="7"/>
  <c r="N707" i="7" s="1"/>
  <c r="M699" i="7"/>
  <c r="N699" i="7" s="1"/>
  <c r="M706" i="7"/>
  <c r="N706" i="7" s="1"/>
  <c r="M698" i="7"/>
  <c r="N698" i="7" s="1"/>
  <c r="M1105" i="7"/>
  <c r="N1105" i="7" s="1"/>
  <c r="M1103" i="7"/>
  <c r="N1103" i="7" s="1"/>
  <c r="M921" i="7"/>
  <c r="N921" i="7" s="1"/>
  <c r="M705" i="7"/>
  <c r="N705" i="7" s="1"/>
  <c r="M697" i="7"/>
  <c r="N697" i="7" s="1"/>
  <c r="M920" i="7"/>
  <c r="N920" i="7" s="1"/>
  <c r="M704" i="7"/>
  <c r="N704" i="7" s="1"/>
  <c r="M696" i="7"/>
  <c r="N696" i="7" s="1"/>
  <c r="M919" i="7"/>
  <c r="N919" i="7" s="1"/>
  <c r="M703" i="7"/>
  <c r="N703" i="7" s="1"/>
  <c r="M391" i="7"/>
  <c r="N391" i="7" s="1"/>
  <c r="M918" i="7"/>
  <c r="N918" i="7" s="1"/>
  <c r="M702" i="7"/>
  <c r="N702" i="7" s="1"/>
  <c r="M534" i="7"/>
  <c r="N534" i="7" s="1"/>
  <c r="M1113" i="7"/>
  <c r="N1113" i="7" s="1"/>
  <c r="M1111" i="7"/>
  <c r="N1111" i="7" s="1"/>
  <c r="M917" i="7"/>
  <c r="N917" i="7" s="1"/>
  <c r="M709" i="7"/>
  <c r="N709" i="7" s="1"/>
  <c r="M701" i="7"/>
  <c r="N701" i="7" s="1"/>
  <c r="M533" i="7"/>
  <c r="N533" i="7" s="1"/>
  <c r="M392" i="7"/>
  <c r="N392" i="7" s="1"/>
  <c r="M390" i="7"/>
  <c r="N390" i="7" s="1"/>
  <c r="M70" i="7"/>
  <c r="N70" i="7" s="1"/>
  <c r="M389" i="7"/>
  <c r="N389" i="7" s="1"/>
  <c r="M69" i="7"/>
  <c r="N69" i="7" s="1"/>
  <c r="M75" i="7"/>
  <c r="N75" i="7" s="1"/>
  <c r="M258" i="7"/>
  <c r="N258" i="7" s="1"/>
  <c r="M74" i="7"/>
  <c r="N74" i="7" s="1"/>
  <c r="M73" i="7"/>
  <c r="N73" i="7" s="1"/>
  <c r="M72" i="7"/>
  <c r="N72" i="7" s="1"/>
  <c r="M71" i="7"/>
  <c r="N71" i="7" s="1"/>
  <c r="M6483" i="7"/>
  <c r="N6483" i="7" s="1"/>
  <c r="M6347" i="7"/>
  <c r="N6347" i="7" s="1"/>
  <c r="M6259" i="7"/>
  <c r="N6259" i="7" s="1"/>
  <c r="M6490" i="7"/>
  <c r="N6490" i="7" s="1"/>
  <c r="M6346" i="7"/>
  <c r="N6346" i="7" s="1"/>
  <c r="M6489" i="7"/>
  <c r="N6489" i="7" s="1"/>
  <c r="M6345" i="7"/>
  <c r="N6345" i="7" s="1"/>
  <c r="M6488" i="7"/>
  <c r="N6488" i="7" s="1"/>
  <c r="M6487" i="7"/>
  <c r="N6487" i="7" s="1"/>
  <c r="M6486" i="7"/>
  <c r="N6486" i="7" s="1"/>
  <c r="M6350" i="7"/>
  <c r="N6350" i="7" s="1"/>
  <c r="M6262" i="7"/>
  <c r="N6262" i="7" s="1"/>
  <c r="M6485" i="7"/>
  <c r="N6485" i="7" s="1"/>
  <c r="M6484" i="7"/>
  <c r="N6484" i="7" s="1"/>
  <c r="M6348" i="7"/>
  <c r="N6348" i="7" s="1"/>
  <c r="M6260" i="7"/>
  <c r="N6260" i="7" s="1"/>
  <c r="M6171" i="7"/>
  <c r="N6171" i="7" s="1"/>
  <c r="M6051" i="7"/>
  <c r="N6051" i="7" s="1"/>
  <c r="M6170" i="7"/>
  <c r="N6170" i="7" s="1"/>
  <c r="M6050" i="7"/>
  <c r="N6050" i="7" s="1"/>
  <c r="M6344" i="7"/>
  <c r="N6344" i="7" s="1"/>
  <c r="M6169" i="7"/>
  <c r="N6169" i="7" s="1"/>
  <c r="M6168" i="7"/>
  <c r="N6168" i="7" s="1"/>
  <c r="M6048" i="7"/>
  <c r="N6048" i="7" s="1"/>
  <c r="M6349" i="7"/>
  <c r="N6349" i="7" s="1"/>
  <c r="M6261" i="7"/>
  <c r="N6261" i="7" s="1"/>
  <c r="M6046" i="7"/>
  <c r="N6046" i="7" s="1"/>
  <c r="M6049" i="7"/>
  <c r="N6049" i="7" s="1"/>
  <c r="M6047" i="7"/>
  <c r="N6047" i="7" s="1"/>
  <c r="M5731" i="7"/>
  <c r="N5731" i="7" s="1"/>
  <c r="M5904" i="7"/>
  <c r="N5904" i="7" s="1"/>
  <c r="M5903" i="7"/>
  <c r="N5903" i="7" s="1"/>
  <c r="M5573" i="7"/>
  <c r="N5573" i="7" s="1"/>
  <c r="M5730" i="7"/>
  <c r="N5730" i="7" s="1"/>
  <c r="M5572" i="7"/>
  <c r="N5572" i="7" s="1"/>
  <c r="M5729" i="7"/>
  <c r="N5729" i="7" s="1"/>
  <c r="M5571" i="7"/>
  <c r="N5571" i="7" s="1"/>
  <c r="M5728" i="7"/>
  <c r="N5728" i="7" s="1"/>
  <c r="M5570" i="7"/>
  <c r="N5570" i="7" s="1"/>
  <c r="M5727" i="7"/>
  <c r="N5727" i="7" s="1"/>
  <c r="M5726" i="7"/>
  <c r="N5726" i="7" s="1"/>
  <c r="M5574" i="7"/>
  <c r="N5574" i="7" s="1"/>
  <c r="M4753" i="7"/>
  <c r="N4753" i="7" s="1"/>
  <c r="M4649" i="7"/>
  <c r="N4649" i="7" s="1"/>
  <c r="M4752" i="7"/>
  <c r="N4752" i="7" s="1"/>
  <c r="M4648" i="7"/>
  <c r="N4648" i="7" s="1"/>
  <c r="M4751" i="7"/>
  <c r="N4751" i="7" s="1"/>
  <c r="M4750" i="7"/>
  <c r="N4750" i="7" s="1"/>
  <c r="M4646" i="7"/>
  <c r="N4646" i="7" s="1"/>
  <c r="M4749" i="7"/>
  <c r="N4749" i="7" s="1"/>
  <c r="M4748" i="7"/>
  <c r="N4748" i="7" s="1"/>
  <c r="M4650" i="7"/>
  <c r="N4650" i="7" s="1"/>
  <c r="M4647" i="7"/>
  <c r="N4647" i="7" s="1"/>
  <c r="M4199" i="7"/>
  <c r="N4199" i="7" s="1"/>
  <c r="M4318" i="7"/>
  <c r="N4318" i="7" s="1"/>
  <c r="M4198" i="7"/>
  <c r="N4198" i="7" s="1"/>
  <c r="M4317" i="7"/>
  <c r="N4317" i="7" s="1"/>
  <c r="M4197" i="7"/>
  <c r="N4197" i="7" s="1"/>
  <c r="M4316" i="7"/>
  <c r="N4316" i="7" s="1"/>
  <c r="M4196" i="7"/>
  <c r="N4196" i="7" s="1"/>
  <c r="M4315" i="7"/>
  <c r="N4315" i="7" s="1"/>
  <c r="M4314" i="7"/>
  <c r="N4314" i="7" s="1"/>
  <c r="M4313" i="7"/>
  <c r="N4313" i="7" s="1"/>
  <c r="M3974" i="7"/>
  <c r="N3974" i="7" s="1"/>
  <c r="M3862" i="7"/>
  <c r="N3862" i="7" s="1"/>
  <c r="M3526" i="7"/>
  <c r="N3526" i="7" s="1"/>
  <c r="M4065" i="7"/>
  <c r="N4065" i="7" s="1"/>
  <c r="M3973" i="7"/>
  <c r="N3973" i="7" s="1"/>
  <c r="M3637" i="7"/>
  <c r="N3637" i="7" s="1"/>
  <c r="M3972" i="7"/>
  <c r="N3972" i="7" s="1"/>
  <c r="M3740" i="7"/>
  <c r="N3740" i="7" s="1"/>
  <c r="M3636" i="7"/>
  <c r="N3636" i="7" s="1"/>
  <c r="M3739" i="7"/>
  <c r="N3739" i="7" s="1"/>
  <c r="M3635" i="7"/>
  <c r="N3635" i="7" s="1"/>
  <c r="M3738" i="7"/>
  <c r="N3738" i="7" s="1"/>
  <c r="M3737" i="7"/>
  <c r="N3737" i="7" s="1"/>
  <c r="M3975" i="7"/>
  <c r="N3975" i="7" s="1"/>
  <c r="M3863" i="7"/>
  <c r="N3863" i="7" s="1"/>
  <c r="M3525" i="7"/>
  <c r="N3525" i="7" s="1"/>
  <c r="M3391" i="7"/>
  <c r="N3391" i="7" s="1"/>
  <c r="M3239" i="7"/>
  <c r="N3239" i="7" s="1"/>
  <c r="M3390" i="7"/>
  <c r="N3390" i="7" s="1"/>
  <c r="M3238" i="7"/>
  <c r="N3238" i="7" s="1"/>
  <c r="M3389" i="7"/>
  <c r="N3389" i="7" s="1"/>
  <c r="M3237" i="7"/>
  <c r="N3237" i="7" s="1"/>
  <c r="M3388" i="7"/>
  <c r="N3388" i="7" s="1"/>
  <c r="M2831" i="7"/>
  <c r="N2831" i="7" s="1"/>
  <c r="M2676" i="7"/>
  <c r="N2676" i="7" s="1"/>
  <c r="M2204" i="7"/>
  <c r="N2204" i="7" s="1"/>
  <c r="M2830" i="7"/>
  <c r="N2830" i="7" s="1"/>
  <c r="M2675" i="7"/>
  <c r="N2675" i="7" s="1"/>
  <c r="M2347" i="7"/>
  <c r="N2347" i="7" s="1"/>
  <c r="M2829" i="7"/>
  <c r="N2829" i="7" s="1"/>
  <c r="M2828" i="7"/>
  <c r="N2828" i="7" s="1"/>
  <c r="M2345" i="7"/>
  <c r="N2345" i="7" s="1"/>
  <c r="M2471" i="7"/>
  <c r="N2471" i="7" s="1"/>
  <c r="M2833" i="7"/>
  <c r="N2833" i="7" s="1"/>
  <c r="M2678" i="7"/>
  <c r="N2678" i="7" s="1"/>
  <c r="M2832" i="7"/>
  <c r="N2832" i="7" s="1"/>
  <c r="M2677" i="7"/>
  <c r="N2677" i="7" s="1"/>
  <c r="M1831" i="7"/>
  <c r="N1831" i="7" s="1"/>
  <c r="M2346" i="7"/>
  <c r="N2346" i="7" s="1"/>
  <c r="M2208" i="7"/>
  <c r="N2208" i="7" s="1"/>
  <c r="M2207" i="7"/>
  <c r="N2207" i="7" s="1"/>
  <c r="M1837" i="7"/>
  <c r="N1837" i="7" s="1"/>
  <c r="M2206" i="7"/>
  <c r="N2206" i="7" s="1"/>
  <c r="M1836" i="7"/>
  <c r="N1836" i="7" s="1"/>
  <c r="M2205" i="7"/>
  <c r="N2205" i="7" s="1"/>
  <c r="M2203" i="7"/>
  <c r="N2203" i="7" s="1"/>
  <c r="M1835" i="7"/>
  <c r="N1835" i="7" s="1"/>
  <c r="M2202" i="7"/>
  <c r="N2202" i="7" s="1"/>
  <c r="M1834" i="7"/>
  <c r="N1834" i="7" s="1"/>
  <c r="M2201" i="7"/>
  <c r="N2201" i="7" s="1"/>
  <c r="M2033" i="7"/>
  <c r="N2033" i="7" s="1"/>
  <c r="M1833" i="7"/>
  <c r="N1833" i="7" s="1"/>
  <c r="M2200" i="7"/>
  <c r="N2200" i="7" s="1"/>
  <c r="M1832" i="7"/>
  <c r="N1832" i="7" s="1"/>
  <c r="M1294" i="7"/>
  <c r="N1294" i="7" s="1"/>
  <c r="M1134" i="7"/>
  <c r="N1134" i="7" s="1"/>
  <c r="M1293" i="7"/>
  <c r="N1293" i="7" s="1"/>
  <c r="M1133" i="7"/>
  <c r="N1133" i="7" s="1"/>
  <c r="M1292" i="7"/>
  <c r="N1292" i="7" s="1"/>
  <c r="M1132" i="7"/>
  <c r="N1132" i="7" s="1"/>
  <c r="M1291" i="7"/>
  <c r="N1291" i="7" s="1"/>
  <c r="M1290" i="7"/>
  <c r="N1290" i="7" s="1"/>
  <c r="M1297" i="7"/>
  <c r="N1297" i="7" s="1"/>
  <c r="M1289" i="7"/>
  <c r="N1289" i="7" s="1"/>
  <c r="M1137" i="7"/>
  <c r="N1137" i="7" s="1"/>
  <c r="M1296" i="7"/>
  <c r="N1296" i="7" s="1"/>
  <c r="M1136" i="7"/>
  <c r="N1136" i="7" s="1"/>
  <c r="M1295" i="7"/>
  <c r="N1295" i="7" s="1"/>
  <c r="M540" i="7"/>
  <c r="N540" i="7" s="1"/>
  <c r="M539" i="7"/>
  <c r="N539" i="7" s="1"/>
  <c r="M403" i="7"/>
  <c r="N403" i="7" s="1"/>
  <c r="M544" i="7"/>
  <c r="N544" i="7" s="1"/>
  <c r="M543" i="7"/>
  <c r="N543" i="7" s="1"/>
  <c r="M542" i="7"/>
  <c r="N542" i="7" s="1"/>
  <c r="M1135" i="7"/>
  <c r="N1135" i="7" s="1"/>
  <c r="M541" i="7"/>
  <c r="N541" i="7" s="1"/>
  <c r="M102" i="7"/>
  <c r="N102" i="7" s="1"/>
  <c r="M101" i="7"/>
  <c r="N101" i="7" s="1"/>
  <c r="M100" i="7"/>
  <c r="N100" i="7" s="1"/>
  <c r="M99" i="7"/>
  <c r="N99" i="7" s="1"/>
  <c r="M98" i="7"/>
  <c r="N98" i="7" s="1"/>
  <c r="M97" i="7"/>
  <c r="N97" i="7" s="1"/>
  <c r="M96" i="7"/>
  <c r="N96" i="7" s="1"/>
  <c r="M269" i="7"/>
  <c r="N269" i="7" s="1"/>
  <c r="M95" i="7"/>
  <c r="N95" i="7" s="1"/>
  <c r="M6767" i="7"/>
  <c r="N6767" i="7" s="1"/>
  <c r="M6647" i="7"/>
  <c r="N6647" i="7" s="1"/>
  <c r="M6766" i="7"/>
  <c r="N6766" i="7" s="1"/>
  <c r="M6646" i="7"/>
  <c r="N6646" i="7" s="1"/>
  <c r="M6765" i="7"/>
  <c r="N6765" i="7" s="1"/>
  <c r="M6645" i="7"/>
  <c r="N6645" i="7" s="1"/>
  <c r="M6644" i="7"/>
  <c r="N6644" i="7" s="1"/>
  <c r="M6768" i="7"/>
  <c r="N6768" i="7" s="1"/>
  <c r="M6515" i="7"/>
  <c r="N6515" i="7" s="1"/>
  <c r="M6363" i="7"/>
  <c r="N6363" i="7" s="1"/>
  <c r="M6514" i="7"/>
  <c r="N6514" i="7" s="1"/>
  <c r="M6362" i="7"/>
  <c r="N6362" i="7" s="1"/>
  <c r="M6513" i="7"/>
  <c r="N6513" i="7" s="1"/>
  <c r="M6512" i="7"/>
  <c r="N6512" i="7" s="1"/>
  <c r="M6511" i="7"/>
  <c r="N6511" i="7" s="1"/>
  <c r="M6366" i="7"/>
  <c r="N6366" i="7" s="1"/>
  <c r="M6270" i="7"/>
  <c r="N6270" i="7" s="1"/>
  <c r="M6517" i="7"/>
  <c r="N6517" i="7" s="1"/>
  <c r="M6516" i="7"/>
  <c r="N6516" i="7" s="1"/>
  <c r="M6364" i="7"/>
  <c r="N6364" i="7" s="1"/>
  <c r="M6268" i="7"/>
  <c r="N6268" i="7" s="1"/>
  <c r="M6068" i="7"/>
  <c r="N6068" i="7" s="1"/>
  <c r="M6067" i="7"/>
  <c r="N6067" i="7" s="1"/>
  <c r="M6066" i="7"/>
  <c r="N6066" i="7" s="1"/>
  <c r="M6269" i="7"/>
  <c r="N6269" i="7" s="1"/>
  <c r="M6064" i="7"/>
  <c r="N6064" i="7" s="1"/>
  <c r="M6365" i="7"/>
  <c r="N6365" i="7" s="1"/>
  <c r="M6069" i="7"/>
  <c r="N6069" i="7" s="1"/>
  <c r="M5917" i="7"/>
  <c r="N5917" i="7" s="1"/>
  <c r="M6065" i="7"/>
  <c r="N6065" i="7" s="1"/>
  <c r="M5916" i="7"/>
  <c r="N5916" i="7" s="1"/>
  <c r="M5915" i="7"/>
  <c r="N5915" i="7" s="1"/>
  <c r="M5747" i="7"/>
  <c r="N5747" i="7" s="1"/>
  <c r="M5914" i="7"/>
  <c r="N5914" i="7" s="1"/>
  <c r="M5918" i="7"/>
  <c r="N5918" i="7" s="1"/>
  <c r="M5589" i="7"/>
  <c r="N5589" i="7" s="1"/>
  <c r="M5588" i="7"/>
  <c r="N5588" i="7" s="1"/>
  <c r="M5749" i="7"/>
  <c r="N5749" i="7" s="1"/>
  <c r="M5748" i="7"/>
  <c r="N5748" i="7" s="1"/>
  <c r="M5746" i="7"/>
  <c r="N5746" i="7" s="1"/>
  <c r="M5592" i="7"/>
  <c r="N5592" i="7" s="1"/>
  <c r="M5745" i="7"/>
  <c r="N5745" i="7" s="1"/>
  <c r="M5591" i="7"/>
  <c r="N5591" i="7" s="1"/>
  <c r="M5744" i="7"/>
  <c r="N5744" i="7" s="1"/>
  <c r="M5590" i="7"/>
  <c r="N5590" i="7" s="1"/>
  <c r="M5460" i="7"/>
  <c r="N5460" i="7" s="1"/>
  <c r="M5224" i="7"/>
  <c r="N5224" i="7" s="1"/>
  <c r="M5459" i="7"/>
  <c r="N5459" i="7" s="1"/>
  <c r="M5223" i="7"/>
  <c r="N5223" i="7" s="1"/>
  <c r="M5458" i="7"/>
  <c r="N5458" i="7" s="1"/>
  <c r="M5230" i="7"/>
  <c r="N5230" i="7" s="1"/>
  <c r="M5222" i="7"/>
  <c r="N5222" i="7" s="1"/>
  <c r="M5457" i="7"/>
  <c r="N5457" i="7" s="1"/>
  <c r="M5456" i="7"/>
  <c r="N5456" i="7" s="1"/>
  <c r="M5455" i="7"/>
  <c r="N5455" i="7" s="1"/>
  <c r="M5227" i="7"/>
  <c r="N5227" i="7" s="1"/>
  <c r="M5219" i="7"/>
  <c r="N5219" i="7" s="1"/>
  <c r="M5225" i="7"/>
  <c r="N5225" i="7" s="1"/>
  <c r="M5220" i="7"/>
  <c r="N5220" i="7" s="1"/>
  <c r="M5218" i="7"/>
  <c r="N5218" i="7" s="1"/>
  <c r="M4975" i="7"/>
  <c r="N4975" i="7" s="1"/>
  <c r="M4917" i="7"/>
  <c r="N4917" i="7" s="1"/>
  <c r="M5229" i="7"/>
  <c r="N5229" i="7" s="1"/>
  <c r="M5228" i="7"/>
  <c r="N5228" i="7" s="1"/>
  <c r="M5226" i="7"/>
  <c r="N5226" i="7" s="1"/>
  <c r="M5221" i="7"/>
  <c r="N5221" i="7" s="1"/>
  <c r="M4978" i="7"/>
  <c r="N4978" i="7" s="1"/>
  <c r="M4977" i="7"/>
  <c r="N4977" i="7" s="1"/>
  <c r="M4976" i="7"/>
  <c r="N4976" i="7" s="1"/>
  <c r="M4974" i="7"/>
  <c r="N4974" i="7" s="1"/>
  <c r="M4775" i="7"/>
  <c r="N4775" i="7" s="1"/>
  <c r="M4774" i="7"/>
  <c r="N4774" i="7" s="1"/>
  <c r="M4773" i="7"/>
  <c r="N4773" i="7" s="1"/>
  <c r="M4916" i="7"/>
  <c r="N4916" i="7" s="1"/>
  <c r="M4772" i="7"/>
  <c r="N4772" i="7" s="1"/>
  <c r="M4771" i="7"/>
  <c r="N4771" i="7" s="1"/>
  <c r="M4440" i="7"/>
  <c r="N4440" i="7" s="1"/>
  <c r="M4216" i="7"/>
  <c r="N4216" i="7" s="1"/>
  <c r="M4072" i="7"/>
  <c r="N4072" i="7" s="1"/>
  <c r="M4215" i="7"/>
  <c r="N4215" i="7" s="1"/>
  <c r="M4071" i="7"/>
  <c r="N4071" i="7" s="1"/>
  <c r="M4668" i="7"/>
  <c r="N4668" i="7" s="1"/>
  <c r="M4070" i="7"/>
  <c r="N4070" i="7" s="1"/>
  <c r="M4667" i="7"/>
  <c r="N4667" i="7" s="1"/>
  <c r="M4332" i="7"/>
  <c r="N4332" i="7" s="1"/>
  <c r="M4539" i="7"/>
  <c r="N4539" i="7" s="1"/>
  <c r="M4331" i="7"/>
  <c r="N4331" i="7" s="1"/>
  <c r="M4217" i="7"/>
  <c r="N4217" i="7" s="1"/>
  <c r="M3870" i="7"/>
  <c r="N3870" i="7" s="1"/>
  <c r="M3646" i="7"/>
  <c r="N3646" i="7" s="1"/>
  <c r="M3534" i="7"/>
  <c r="N3534" i="7" s="1"/>
  <c r="M4069" i="7"/>
  <c r="N4069" i="7" s="1"/>
  <c r="M3645" i="7"/>
  <c r="N3645" i="7" s="1"/>
  <c r="M4074" i="7"/>
  <c r="N4074" i="7" s="1"/>
  <c r="M3644" i="7"/>
  <c r="N3644" i="7" s="1"/>
  <c r="M3532" i="7"/>
  <c r="N3532" i="7" s="1"/>
  <c r="M3404" i="7"/>
  <c r="N3404" i="7" s="1"/>
  <c r="M4073" i="7"/>
  <c r="N4073" i="7" s="1"/>
  <c r="M3763" i="7"/>
  <c r="N3763" i="7" s="1"/>
  <c r="M3531" i="7"/>
  <c r="N3531" i="7" s="1"/>
  <c r="M3986" i="7"/>
  <c r="N3986" i="7" s="1"/>
  <c r="M3762" i="7"/>
  <c r="N3762" i="7" s="1"/>
  <c r="M3530" i="7"/>
  <c r="N3530" i="7" s="1"/>
  <c r="M3985" i="7"/>
  <c r="N3985" i="7" s="1"/>
  <c r="M3873" i="7"/>
  <c r="N3873" i="7" s="1"/>
  <c r="M3761" i="7"/>
  <c r="N3761" i="7" s="1"/>
  <c r="M3529" i="7"/>
  <c r="N3529" i="7" s="1"/>
  <c r="M3984" i="7"/>
  <c r="N3984" i="7" s="1"/>
  <c r="M3872" i="7"/>
  <c r="N3872" i="7" s="1"/>
  <c r="M3536" i="7"/>
  <c r="N3536" i="7" s="1"/>
  <c r="M3528" i="7"/>
  <c r="N3528" i="7" s="1"/>
  <c r="M3871" i="7"/>
  <c r="N3871" i="7" s="1"/>
  <c r="M3647" i="7"/>
  <c r="N3647" i="7" s="1"/>
  <c r="M3535" i="7"/>
  <c r="N3535" i="7" s="1"/>
  <c r="M3405" i="7"/>
  <c r="N3405" i="7" s="1"/>
  <c r="M3403" i="7"/>
  <c r="N3403" i="7" s="1"/>
  <c r="M3083" i="7"/>
  <c r="N3083" i="7" s="1"/>
  <c r="M2851" i="7"/>
  <c r="N2851" i="7" s="1"/>
  <c r="M3533" i="7"/>
  <c r="N3533" i="7" s="1"/>
  <c r="M3402" i="7"/>
  <c r="N3402" i="7" s="1"/>
  <c r="M3082" i="7"/>
  <c r="N3082" i="7" s="1"/>
  <c r="M2850" i="7"/>
  <c r="N2850" i="7" s="1"/>
  <c r="M3081" i="7"/>
  <c r="N3081" i="7" s="1"/>
  <c r="M2960" i="7"/>
  <c r="N2960" i="7" s="1"/>
  <c r="M2959" i="7"/>
  <c r="N2959" i="7" s="1"/>
  <c r="M3254" i="7"/>
  <c r="N3254" i="7" s="1"/>
  <c r="M2958" i="7"/>
  <c r="N2958" i="7" s="1"/>
  <c r="M3253" i="7"/>
  <c r="N3253" i="7" s="1"/>
  <c r="M2957" i="7"/>
  <c r="N2957" i="7" s="1"/>
  <c r="M3084" i="7"/>
  <c r="N3084" i="7" s="1"/>
  <c r="M2596" i="7"/>
  <c r="N2596" i="7" s="1"/>
  <c r="M2364" i="7"/>
  <c r="N2364" i="7" s="1"/>
  <c r="M2220" i="7"/>
  <c r="N2220" i="7" s="1"/>
  <c r="M2595" i="7"/>
  <c r="N2595" i="7" s="1"/>
  <c r="M2363" i="7"/>
  <c r="N2363" i="7" s="1"/>
  <c r="M2853" i="7"/>
  <c r="N2853" i="7" s="1"/>
  <c r="M2594" i="7"/>
  <c r="N2594" i="7" s="1"/>
  <c r="M2852" i="7"/>
  <c r="N2852" i="7" s="1"/>
  <c r="M2593" i="7"/>
  <c r="N2593" i="7" s="1"/>
  <c r="M2225" i="7"/>
  <c r="N2225" i="7" s="1"/>
  <c r="M2592" i="7"/>
  <c r="N2592" i="7" s="1"/>
  <c r="M2703" i="7"/>
  <c r="N2703" i="7" s="1"/>
  <c r="M2591" i="7"/>
  <c r="N2591" i="7" s="1"/>
  <c r="M2479" i="7"/>
  <c r="N2479" i="7" s="1"/>
  <c r="M2702" i="7"/>
  <c r="N2702" i="7" s="1"/>
  <c r="M2478" i="7"/>
  <c r="N2478" i="7" s="1"/>
  <c r="M2961" i="7"/>
  <c r="N2961" i="7" s="1"/>
  <c r="M2477" i="7"/>
  <c r="N2477" i="7" s="1"/>
  <c r="M2222" i="7"/>
  <c r="N2222" i="7" s="1"/>
  <c r="M2047" i="7"/>
  <c r="N2047" i="7" s="1"/>
  <c r="M1855" i="7"/>
  <c r="N1855" i="7" s="1"/>
  <c r="M2362" i="7"/>
  <c r="N2362" i="7" s="1"/>
  <c r="M2221" i="7"/>
  <c r="N2221" i="7" s="1"/>
  <c r="M2219" i="7"/>
  <c r="N2219" i="7" s="1"/>
  <c r="M2046" i="7"/>
  <c r="N2046" i="7" s="1"/>
  <c r="M1854" i="7"/>
  <c r="N1854" i="7" s="1"/>
  <c r="M2052" i="7"/>
  <c r="N2052" i="7" s="1"/>
  <c r="M2051" i="7"/>
  <c r="N2051" i="7" s="1"/>
  <c r="M1715" i="7"/>
  <c r="N1715" i="7" s="1"/>
  <c r="M2227" i="7"/>
  <c r="N2227" i="7" s="1"/>
  <c r="M2050" i="7"/>
  <c r="N2050" i="7" s="1"/>
  <c r="M1858" i="7"/>
  <c r="N1858" i="7" s="1"/>
  <c r="M1714" i="7"/>
  <c r="N1714" i="7" s="1"/>
  <c r="M2226" i="7"/>
  <c r="N2226" i="7" s="1"/>
  <c r="M2224" i="7"/>
  <c r="N2224" i="7" s="1"/>
  <c r="M2049" i="7"/>
  <c r="N2049" i="7" s="1"/>
  <c r="M1857" i="7"/>
  <c r="N1857" i="7" s="1"/>
  <c r="M1713" i="7"/>
  <c r="N1713" i="7" s="1"/>
  <c r="M2223" i="7"/>
  <c r="N2223" i="7" s="1"/>
  <c r="M2048" i="7"/>
  <c r="N2048" i="7" s="1"/>
  <c r="M1856" i="7"/>
  <c r="N1856" i="7" s="1"/>
  <c r="M1712" i="7"/>
  <c r="N1712" i="7" s="1"/>
  <c r="M1526" i="7"/>
  <c r="N1526" i="7" s="1"/>
  <c r="M1518" i="7"/>
  <c r="N1518" i="7" s="1"/>
  <c r="M1302" i="7"/>
  <c r="N1302" i="7" s="1"/>
  <c r="M1525" i="7"/>
  <c r="N1525" i="7" s="1"/>
  <c r="M1517" i="7"/>
  <c r="N1517" i="7" s="1"/>
  <c r="M1524" i="7"/>
  <c r="N1524" i="7" s="1"/>
  <c r="M1523" i="7"/>
  <c r="N1523" i="7" s="1"/>
  <c r="M1307" i="7"/>
  <c r="N1307" i="7" s="1"/>
  <c r="M1522" i="7"/>
  <c r="N1522" i="7" s="1"/>
  <c r="M1306" i="7"/>
  <c r="N1306" i="7" s="1"/>
  <c r="M1521" i="7"/>
  <c r="N1521" i="7" s="1"/>
  <c r="M1305" i="7"/>
  <c r="N1305" i="7" s="1"/>
  <c r="M1153" i="7"/>
  <c r="N1153" i="7" s="1"/>
  <c r="M1716" i="7"/>
  <c r="N1716" i="7" s="1"/>
  <c r="M1520" i="7"/>
  <c r="N1520" i="7" s="1"/>
  <c r="M1304" i="7"/>
  <c r="N1304" i="7" s="1"/>
  <c r="M1152" i="7"/>
  <c r="N1152" i="7" s="1"/>
  <c r="M1519" i="7"/>
  <c r="N1519" i="7" s="1"/>
  <c r="M1303" i="7"/>
  <c r="N1303" i="7" s="1"/>
  <c r="M964" i="7"/>
  <c r="N964" i="7" s="1"/>
  <c r="M772" i="7"/>
  <c r="N772" i="7" s="1"/>
  <c r="M412" i="7"/>
  <c r="N412" i="7" s="1"/>
  <c r="M963" i="7"/>
  <c r="N963" i="7" s="1"/>
  <c r="M771" i="7"/>
  <c r="N771" i="7" s="1"/>
  <c r="M411" i="7"/>
  <c r="N411" i="7" s="1"/>
  <c r="M283" i="7"/>
  <c r="N283" i="7" s="1"/>
  <c r="M962" i="7"/>
  <c r="N962" i="7" s="1"/>
  <c r="M770" i="7"/>
  <c r="N770" i="7" s="1"/>
  <c r="M554" i="7"/>
  <c r="N554" i="7" s="1"/>
  <c r="M410" i="7"/>
  <c r="N410" i="7" s="1"/>
  <c r="M961" i="7"/>
  <c r="N961" i="7" s="1"/>
  <c r="M769" i="7"/>
  <c r="N769" i="7" s="1"/>
  <c r="M553" i="7"/>
  <c r="N553" i="7" s="1"/>
  <c r="M409" i="7"/>
  <c r="N409" i="7" s="1"/>
  <c r="M281" i="7"/>
  <c r="N281" i="7" s="1"/>
  <c r="M960" i="7"/>
  <c r="N960" i="7" s="1"/>
  <c r="M768" i="7"/>
  <c r="N768" i="7" s="1"/>
  <c r="M552" i="7"/>
  <c r="N552" i="7" s="1"/>
  <c r="M775" i="7"/>
  <c r="N775" i="7" s="1"/>
  <c r="M551" i="7"/>
  <c r="N551" i="7" s="1"/>
  <c r="M774" i="7"/>
  <c r="N774" i="7" s="1"/>
  <c r="M550" i="7"/>
  <c r="N550" i="7" s="1"/>
  <c r="M414" i="7"/>
  <c r="N414" i="7" s="1"/>
  <c r="M965" i="7"/>
  <c r="N965" i="7" s="1"/>
  <c r="M773" i="7"/>
  <c r="N773" i="7" s="1"/>
  <c r="M413" i="7"/>
  <c r="N413" i="7" s="1"/>
  <c r="M284" i="7"/>
  <c r="N284" i="7" s="1"/>
  <c r="M282" i="7"/>
  <c r="N282" i="7" s="1"/>
  <c r="M133" i="7"/>
  <c r="N133" i="7" s="1"/>
  <c r="M132" i="7"/>
  <c r="N132" i="7" s="1"/>
  <c r="M131" i="7"/>
  <c r="N131" i="7" s="1"/>
  <c r="M408" i="7"/>
  <c r="N408" i="7" s="1"/>
  <c r="M6371" i="7"/>
  <c r="N6371" i="7" s="1"/>
  <c r="M6370" i="7"/>
  <c r="N6370" i="7" s="1"/>
  <c r="M6369" i="7"/>
  <c r="N6369" i="7" s="1"/>
  <c r="M6550" i="7"/>
  <c r="N6550" i="7" s="1"/>
  <c r="M6549" i="7"/>
  <c r="N6549" i="7" s="1"/>
  <c r="M6374" i="7"/>
  <c r="N6374" i="7" s="1"/>
  <c r="M6548" i="7"/>
  <c r="N6548" i="7" s="1"/>
  <c r="M6372" i="7"/>
  <c r="N6372" i="7" s="1"/>
  <c r="M6092" i="7"/>
  <c r="N6092" i="7" s="1"/>
  <c r="M6373" i="7"/>
  <c r="N6373" i="7" s="1"/>
  <c r="M6096" i="7"/>
  <c r="N6096" i="7" s="1"/>
  <c r="M6094" i="7"/>
  <c r="N6094" i="7" s="1"/>
  <c r="M6093" i="7"/>
  <c r="N6093" i="7" s="1"/>
  <c r="M5933" i="7"/>
  <c r="N5933" i="7" s="1"/>
  <c r="M6095" i="7"/>
  <c r="N6095" i="7" s="1"/>
  <c r="M5932" i="7"/>
  <c r="N5932" i="7" s="1"/>
  <c r="M5936" i="7"/>
  <c r="N5936" i="7" s="1"/>
  <c r="M5935" i="7"/>
  <c r="N5935" i="7" s="1"/>
  <c r="M5934" i="7"/>
  <c r="N5934" i="7" s="1"/>
  <c r="M4801" i="7"/>
  <c r="N4801" i="7" s="1"/>
  <c r="M4800" i="7"/>
  <c r="N4800" i="7" s="1"/>
  <c r="M4799" i="7"/>
  <c r="N4799" i="7" s="1"/>
  <c r="M4678" i="7"/>
  <c r="N4678" i="7" s="1"/>
  <c r="M4236" i="7"/>
  <c r="N4236" i="7" s="1"/>
  <c r="M4345" i="7"/>
  <c r="N4345" i="7" s="1"/>
  <c r="M3877" i="7"/>
  <c r="N3877" i="7" s="1"/>
  <c r="M3788" i="7"/>
  <c r="N3788" i="7" s="1"/>
  <c r="M3787" i="7"/>
  <c r="N3787" i="7" s="1"/>
  <c r="M3786" i="7"/>
  <c r="N3786" i="7" s="1"/>
  <c r="M3785" i="7"/>
  <c r="N3785" i="7" s="1"/>
  <c r="M3416" i="7"/>
  <c r="N3416" i="7" s="1"/>
  <c r="M3282" i="7"/>
  <c r="N3282" i="7" s="1"/>
  <c r="M3415" i="7"/>
  <c r="N3415" i="7" s="1"/>
  <c r="M3281" i="7"/>
  <c r="N3281" i="7" s="1"/>
  <c r="M3280" i="7"/>
  <c r="N3280" i="7" s="1"/>
  <c r="M3279" i="7"/>
  <c r="N3279" i="7" s="1"/>
  <c r="M3278" i="7"/>
  <c r="N3278" i="7" s="1"/>
  <c r="M2863" i="7"/>
  <c r="N2863" i="7" s="1"/>
  <c r="M2724" i="7"/>
  <c r="N2724" i="7" s="1"/>
  <c r="M2380" i="7"/>
  <c r="N2380" i="7" s="1"/>
  <c r="M2723" i="7"/>
  <c r="N2723" i="7" s="1"/>
  <c r="M2379" i="7"/>
  <c r="N2379" i="7" s="1"/>
  <c r="M2722" i="7"/>
  <c r="N2722" i="7" s="1"/>
  <c r="M2721" i="7"/>
  <c r="N2721" i="7" s="1"/>
  <c r="M2720" i="7"/>
  <c r="N2720" i="7" s="1"/>
  <c r="M2719" i="7"/>
  <c r="N2719" i="7" s="1"/>
  <c r="M2864" i="7"/>
  <c r="N2864" i="7" s="1"/>
  <c r="M2725" i="7"/>
  <c r="N2725" i="7" s="1"/>
  <c r="M2381" i="7"/>
  <c r="N2381" i="7" s="1"/>
  <c r="M2378" i="7"/>
  <c r="N2378" i="7" s="1"/>
  <c r="M2248" i="7"/>
  <c r="N2248" i="7" s="1"/>
  <c r="M2247" i="7"/>
  <c r="N2247" i="7" s="1"/>
  <c r="M2246" i="7"/>
  <c r="N2246" i="7" s="1"/>
  <c r="M297" i="7"/>
  <c r="N297" i="7" s="1"/>
  <c r="M169" i="7"/>
  <c r="N169" i="7" s="1"/>
  <c r="M295" i="7"/>
  <c r="N295" i="7" s="1"/>
  <c r="M172" i="7"/>
  <c r="N172" i="7" s="1"/>
  <c r="E484" i="6"/>
  <c r="F484" i="6" s="1"/>
  <c r="E480" i="6"/>
  <c r="F480" i="6" s="1"/>
  <c r="M171" i="7"/>
  <c r="N171" i="7" s="1"/>
  <c r="M170" i="7"/>
  <c r="N170" i="7" s="1"/>
  <c r="M168" i="7"/>
  <c r="N168" i="7" s="1"/>
  <c r="E485" i="6"/>
  <c r="F485" i="6" s="1"/>
  <c r="E481" i="6"/>
  <c r="F481" i="6" s="1"/>
  <c r="M167" i="7"/>
  <c r="N167" i="7" s="1"/>
  <c r="M298" i="7"/>
  <c r="N298" i="7" s="1"/>
  <c r="M296" i="7"/>
  <c r="N296" i="7" s="1"/>
  <c r="M294" i="7"/>
  <c r="N294" i="7" s="1"/>
  <c r="M293" i="7"/>
  <c r="N293" i="7" s="1"/>
  <c r="M173" i="7"/>
  <c r="N173" i="7" s="1"/>
  <c r="M6575" i="7"/>
  <c r="N6575" i="7" s="1"/>
  <c r="M6812" i="7"/>
  <c r="N6812" i="7" s="1"/>
  <c r="M6811" i="7"/>
  <c r="N6811" i="7" s="1"/>
  <c r="M6810" i="7"/>
  <c r="N6810" i="7" s="1"/>
  <c r="M6674" i="7"/>
  <c r="N6674" i="7" s="1"/>
  <c r="M6809" i="7"/>
  <c r="N6809" i="7" s="1"/>
  <c r="M6673" i="7"/>
  <c r="N6673" i="7" s="1"/>
  <c r="M6808" i="7"/>
  <c r="N6808" i="7" s="1"/>
  <c r="M6672" i="7"/>
  <c r="N6672" i="7" s="1"/>
  <c r="M6387" i="7"/>
  <c r="N6387" i="7" s="1"/>
  <c r="M6291" i="7"/>
  <c r="N6291" i="7" s="1"/>
  <c r="M6576" i="7"/>
  <c r="N6576" i="7" s="1"/>
  <c r="M6574" i="7"/>
  <c r="N6574" i="7" s="1"/>
  <c r="M6389" i="7"/>
  <c r="N6389" i="7" s="1"/>
  <c r="M6388" i="7"/>
  <c r="N6388" i="7" s="1"/>
  <c r="M6196" i="7"/>
  <c r="N6196" i="7" s="1"/>
  <c r="M6116" i="7"/>
  <c r="N6116" i="7" s="1"/>
  <c r="M6203" i="7"/>
  <c r="N6203" i="7" s="1"/>
  <c r="M6195" i="7"/>
  <c r="N6195" i="7" s="1"/>
  <c r="M6115" i="7"/>
  <c r="N6115" i="7" s="1"/>
  <c r="M5955" i="7"/>
  <c r="N5955" i="7" s="1"/>
  <c r="M6202" i="7"/>
  <c r="N6202" i="7" s="1"/>
  <c r="M6114" i="7"/>
  <c r="N6114" i="7" s="1"/>
  <c r="M6201" i="7"/>
  <c r="N6201" i="7" s="1"/>
  <c r="M6121" i="7"/>
  <c r="N6121" i="7" s="1"/>
  <c r="M6200" i="7"/>
  <c r="N6200" i="7" s="1"/>
  <c r="M6120" i="7"/>
  <c r="N6120" i="7" s="1"/>
  <c r="M6290" i="7"/>
  <c r="N6290" i="7" s="1"/>
  <c r="M6199" i="7"/>
  <c r="N6199" i="7" s="1"/>
  <c r="M6119" i="7"/>
  <c r="N6119" i="7" s="1"/>
  <c r="M6198" i="7"/>
  <c r="N6198" i="7" s="1"/>
  <c r="M6118" i="7"/>
  <c r="N6118" i="7" s="1"/>
  <c r="M6197" i="7"/>
  <c r="N6197" i="7" s="1"/>
  <c r="M6117" i="7"/>
  <c r="N6117" i="7" s="1"/>
  <c r="M5958" i="7"/>
  <c r="N5958" i="7" s="1"/>
  <c r="M5957" i="7"/>
  <c r="N5957" i="7" s="1"/>
  <c r="M5956" i="7"/>
  <c r="N5956" i="7" s="1"/>
  <c r="M5795" i="7"/>
  <c r="N5795" i="7" s="1"/>
  <c r="M5954" i="7"/>
  <c r="N5954" i="7" s="1"/>
  <c r="M5794" i="7"/>
  <c r="N5794" i="7" s="1"/>
  <c r="M5953" i="7"/>
  <c r="N5953" i="7" s="1"/>
  <c r="M5952" i="7"/>
  <c r="N5952" i="7" s="1"/>
  <c r="M5792" i="7"/>
  <c r="N5792" i="7" s="1"/>
  <c r="M5960" i="7"/>
  <c r="N5960" i="7" s="1"/>
  <c r="M5959" i="7"/>
  <c r="N5959" i="7" s="1"/>
  <c r="M5621" i="7"/>
  <c r="N5621" i="7" s="1"/>
  <c r="M5793" i="7"/>
  <c r="N5793" i="7" s="1"/>
  <c r="M5620" i="7"/>
  <c r="N5620" i="7" s="1"/>
  <c r="M5796" i="7"/>
  <c r="N5796" i="7" s="1"/>
  <c r="M5619" i="7"/>
  <c r="N5619" i="7" s="1"/>
  <c r="M5618" i="7"/>
  <c r="N5618" i="7" s="1"/>
  <c r="M5496" i="7"/>
  <c r="N5496" i="7" s="1"/>
  <c r="M5494" i="7"/>
  <c r="N5494" i="7" s="1"/>
  <c r="M5498" i="7"/>
  <c r="N5498" i="7" s="1"/>
  <c r="M5318" i="7"/>
  <c r="N5318" i="7" s="1"/>
  <c r="M5497" i="7"/>
  <c r="N5497" i="7" s="1"/>
  <c r="M5495" i="7"/>
  <c r="N5495" i="7" s="1"/>
  <c r="M5317" i="7"/>
  <c r="N5317" i="7" s="1"/>
  <c r="M5315" i="7"/>
  <c r="N5315" i="7" s="1"/>
  <c r="M5025" i="7"/>
  <c r="N5025" i="7" s="1"/>
  <c r="M4933" i="7"/>
  <c r="N4933" i="7" s="1"/>
  <c r="M5316" i="7"/>
  <c r="N5316" i="7" s="1"/>
  <c r="M5027" i="7"/>
  <c r="N5027" i="7" s="1"/>
  <c r="M5026" i="7"/>
  <c r="N5026" i="7" s="1"/>
  <c r="M4934" i="7"/>
  <c r="N4934" i="7" s="1"/>
  <c r="M4932" i="7"/>
  <c r="N4932" i="7" s="1"/>
  <c r="M4689" i="7"/>
  <c r="N4689" i="7" s="1"/>
  <c r="M4931" i="7"/>
  <c r="N4931" i="7" s="1"/>
  <c r="M4688" i="7"/>
  <c r="N4688" i="7" s="1"/>
  <c r="M4831" i="7"/>
  <c r="N4831" i="7" s="1"/>
  <c r="M4830" i="7"/>
  <c r="N4830" i="7" s="1"/>
  <c r="M4829" i="7"/>
  <c r="N4829" i="7" s="1"/>
  <c r="M4828" i="7"/>
  <c r="N4828" i="7" s="1"/>
  <c r="M4827" i="7"/>
  <c r="N4827" i="7" s="1"/>
  <c r="M4935" i="7"/>
  <c r="N4935" i="7" s="1"/>
  <c r="M4690" i="7"/>
  <c r="N4690" i="7" s="1"/>
  <c r="M4568" i="7"/>
  <c r="N4568" i="7" s="1"/>
  <c r="M4488" i="7"/>
  <c r="N4488" i="7" s="1"/>
  <c r="M4096" i="7"/>
  <c r="N4096" i="7" s="1"/>
  <c r="M4691" i="7"/>
  <c r="N4691" i="7" s="1"/>
  <c r="M4487" i="7"/>
  <c r="N4487" i="7" s="1"/>
  <c r="M4486" i="7"/>
  <c r="N4486" i="7" s="1"/>
  <c r="M4245" i="7"/>
  <c r="N4245" i="7" s="1"/>
  <c r="M4572" i="7"/>
  <c r="N4572" i="7" s="1"/>
  <c r="M4364" i="7"/>
  <c r="N4364" i="7" s="1"/>
  <c r="M4244" i="7"/>
  <c r="N4244" i="7" s="1"/>
  <c r="M4012" i="7"/>
  <c r="N4012" i="7" s="1"/>
  <c r="M4571" i="7"/>
  <c r="N4571" i="7" s="1"/>
  <c r="M4363" i="7"/>
  <c r="N4363" i="7" s="1"/>
  <c r="M4570" i="7"/>
  <c r="N4570" i="7" s="1"/>
  <c r="M4362" i="7"/>
  <c r="N4362" i="7" s="1"/>
  <c r="M4569" i="7"/>
  <c r="N4569" i="7" s="1"/>
  <c r="M4489" i="7"/>
  <c r="N4489" i="7" s="1"/>
  <c r="M4361" i="7"/>
  <c r="N4361" i="7" s="1"/>
  <c r="M3806" i="7"/>
  <c r="N3806" i="7" s="1"/>
  <c r="M3670" i="7"/>
  <c r="N3670" i="7" s="1"/>
  <c r="M3574" i="7"/>
  <c r="N3574" i="7" s="1"/>
  <c r="M3893" i="7"/>
  <c r="N3893" i="7" s="1"/>
  <c r="M3805" i="7"/>
  <c r="N3805" i="7" s="1"/>
  <c r="M3669" i="7"/>
  <c r="N3669" i="7" s="1"/>
  <c r="M3573" i="7"/>
  <c r="N3573" i="7" s="1"/>
  <c r="M4098" i="7"/>
  <c r="N4098" i="7" s="1"/>
  <c r="M3892" i="7"/>
  <c r="N3892" i="7" s="1"/>
  <c r="M3804" i="7"/>
  <c r="N3804" i="7" s="1"/>
  <c r="M3668" i="7"/>
  <c r="N3668" i="7" s="1"/>
  <c r="M3572" i="7"/>
  <c r="N3572" i="7" s="1"/>
  <c r="M4097" i="7"/>
  <c r="N4097" i="7" s="1"/>
  <c r="M4017" i="7"/>
  <c r="N4017" i="7" s="1"/>
  <c r="M3891" i="7"/>
  <c r="N3891" i="7" s="1"/>
  <c r="M3667" i="7"/>
  <c r="N3667" i="7" s="1"/>
  <c r="M4016" i="7"/>
  <c r="N4016" i="7" s="1"/>
  <c r="M3890" i="7"/>
  <c r="N3890" i="7" s="1"/>
  <c r="M3442" i="7"/>
  <c r="N3442" i="7" s="1"/>
  <c r="M4015" i="7"/>
  <c r="N4015" i="7" s="1"/>
  <c r="M3889" i="7"/>
  <c r="N3889" i="7" s="1"/>
  <c r="M4014" i="7"/>
  <c r="N4014" i="7" s="1"/>
  <c r="M3808" i="7"/>
  <c r="N3808" i="7" s="1"/>
  <c r="M3672" i="7"/>
  <c r="N3672" i="7" s="1"/>
  <c r="M3576" i="7"/>
  <c r="N3576" i="7" s="1"/>
  <c r="M3440" i="7"/>
  <c r="N3440" i="7" s="1"/>
  <c r="M4013" i="7"/>
  <c r="N4013" i="7" s="1"/>
  <c r="M3807" i="7"/>
  <c r="N3807" i="7" s="1"/>
  <c r="M3671" i="7"/>
  <c r="N3671" i="7" s="1"/>
  <c r="M3575" i="7"/>
  <c r="N3575" i="7" s="1"/>
  <c r="M3307" i="7"/>
  <c r="N3307" i="7" s="1"/>
  <c r="M3003" i="7"/>
  <c r="N3003" i="7" s="1"/>
  <c r="M3306" i="7"/>
  <c r="N3306" i="7" s="1"/>
  <c r="M3002" i="7"/>
  <c r="N3002" i="7" s="1"/>
  <c r="M2882" i="7"/>
  <c r="N2882" i="7" s="1"/>
  <c r="M3305" i="7"/>
  <c r="N3305" i="7" s="1"/>
  <c r="M3009" i="7"/>
  <c r="N3009" i="7" s="1"/>
  <c r="M3304" i="7"/>
  <c r="N3304" i="7" s="1"/>
  <c r="M3112" i="7"/>
  <c r="N3112" i="7" s="1"/>
  <c r="M3008" i="7"/>
  <c r="N3008" i="7" s="1"/>
  <c r="M3303" i="7"/>
  <c r="N3303" i="7" s="1"/>
  <c r="M3111" i="7"/>
  <c r="N3111" i="7" s="1"/>
  <c r="M3007" i="7"/>
  <c r="N3007" i="7" s="1"/>
  <c r="M3110" i="7"/>
  <c r="N3110" i="7" s="1"/>
  <c r="M3006" i="7"/>
  <c r="N3006" i="7" s="1"/>
  <c r="M3443" i="7"/>
  <c r="N3443" i="7" s="1"/>
  <c r="M3441" i="7"/>
  <c r="N3441" i="7" s="1"/>
  <c r="M3439" i="7"/>
  <c r="N3439" i="7" s="1"/>
  <c r="M3109" i="7"/>
  <c r="N3109" i="7" s="1"/>
  <c r="M3005" i="7"/>
  <c r="N3005" i="7" s="1"/>
  <c r="M3438" i="7"/>
  <c r="N3438" i="7" s="1"/>
  <c r="M3308" i="7"/>
  <c r="N3308" i="7" s="1"/>
  <c r="M3108" i="7"/>
  <c r="N3108" i="7" s="1"/>
  <c r="M3004" i="7"/>
  <c r="N3004" i="7" s="1"/>
  <c r="M2740" i="7"/>
  <c r="N2740" i="7" s="1"/>
  <c r="M2396" i="7"/>
  <c r="N2396" i="7" s="1"/>
  <c r="M2739" i="7"/>
  <c r="N2739" i="7" s="1"/>
  <c r="M2395" i="7"/>
  <c r="N2395" i="7" s="1"/>
  <c r="M2738" i="7"/>
  <c r="N2738" i="7" s="1"/>
  <c r="M2737" i="7"/>
  <c r="N2737" i="7" s="1"/>
  <c r="M2513" i="7"/>
  <c r="N2513" i="7" s="1"/>
  <c r="M2273" i="7"/>
  <c r="N2273" i="7" s="1"/>
  <c r="M2736" i="7"/>
  <c r="N2736" i="7" s="1"/>
  <c r="M2512" i="7"/>
  <c r="N2512" i="7" s="1"/>
  <c r="M2623" i="7"/>
  <c r="N2623" i="7" s="1"/>
  <c r="M2511" i="7"/>
  <c r="N2511" i="7" s="1"/>
  <c r="M2742" i="7"/>
  <c r="N2742" i="7" s="1"/>
  <c r="M2622" i="7"/>
  <c r="N2622" i="7" s="1"/>
  <c r="M2398" i="7"/>
  <c r="N2398" i="7" s="1"/>
  <c r="M2741" i="7"/>
  <c r="N2741" i="7" s="1"/>
  <c r="M2621" i="7"/>
  <c r="N2621" i="7" s="1"/>
  <c r="M2397" i="7"/>
  <c r="N2397" i="7" s="1"/>
  <c r="M1759" i="7"/>
  <c r="N1759" i="7" s="1"/>
  <c r="M1751" i="7"/>
  <c r="N1751" i="7" s="1"/>
  <c r="M2394" i="7"/>
  <c r="N2394" i="7" s="1"/>
  <c r="M1758" i="7"/>
  <c r="N1758" i="7" s="1"/>
  <c r="M1909" i="7"/>
  <c r="N1909" i="7" s="1"/>
  <c r="M1757" i="7"/>
  <c r="N1757" i="7" s="1"/>
  <c r="M2084" i="7"/>
  <c r="N2084" i="7" s="1"/>
  <c r="M1908" i="7"/>
  <c r="N1908" i="7" s="1"/>
  <c r="M1764" i="7"/>
  <c r="N1764" i="7" s="1"/>
  <c r="M1756" i="7"/>
  <c r="N1756" i="7" s="1"/>
  <c r="M2083" i="7"/>
  <c r="N2083" i="7" s="1"/>
  <c r="M1907" i="7"/>
  <c r="N1907" i="7" s="1"/>
  <c r="M1763" i="7"/>
  <c r="N1763" i="7" s="1"/>
  <c r="M1755" i="7"/>
  <c r="N1755" i="7" s="1"/>
  <c r="M2274" i="7"/>
  <c r="N2274" i="7" s="1"/>
  <c r="M2272" i="7"/>
  <c r="N2272" i="7" s="1"/>
  <c r="M2082" i="7"/>
  <c r="N2082" i="7" s="1"/>
  <c r="M1906" i="7"/>
  <c r="N1906" i="7" s="1"/>
  <c r="M1762" i="7"/>
  <c r="N1762" i="7" s="1"/>
  <c r="M1754" i="7"/>
  <c r="N1754" i="7" s="1"/>
  <c r="M2271" i="7"/>
  <c r="N2271" i="7" s="1"/>
  <c r="M1905" i="7"/>
  <c r="N1905" i="7" s="1"/>
  <c r="M1761" i="7"/>
  <c r="N1761" i="7" s="1"/>
  <c r="M1753" i="7"/>
  <c r="N1753" i="7" s="1"/>
  <c r="M2270" i="7"/>
  <c r="N2270" i="7" s="1"/>
  <c r="M1904" i="7"/>
  <c r="N1904" i="7" s="1"/>
  <c r="M1760" i="7"/>
  <c r="N1760" i="7" s="1"/>
  <c r="M1752" i="7"/>
  <c r="N1752" i="7" s="1"/>
  <c r="M1590" i="7"/>
  <c r="N1590" i="7" s="1"/>
  <c r="M1334" i="7"/>
  <c r="N1334" i="7" s="1"/>
  <c r="M1206" i="7"/>
  <c r="N1206" i="7" s="1"/>
  <c r="M1589" i="7"/>
  <c r="N1589" i="7" s="1"/>
  <c r="M1333" i="7"/>
  <c r="N1333" i="7" s="1"/>
  <c r="M1205" i="7"/>
  <c r="N1205" i="7" s="1"/>
  <c r="M1588" i="7"/>
  <c r="N1588" i="7" s="1"/>
  <c r="M1332" i="7"/>
  <c r="N1332" i="7" s="1"/>
  <c r="M1204" i="7"/>
  <c r="N1204" i="7" s="1"/>
  <c r="M1587" i="7"/>
  <c r="N1587" i="7" s="1"/>
  <c r="M1331" i="7"/>
  <c r="N1331" i="7" s="1"/>
  <c r="M1203" i="7"/>
  <c r="N1203" i="7" s="1"/>
  <c r="M1594" i="7"/>
  <c r="N1594" i="7" s="1"/>
  <c r="M1586" i="7"/>
  <c r="N1586" i="7" s="1"/>
  <c r="M1593" i="7"/>
  <c r="N1593" i="7" s="1"/>
  <c r="M1585" i="7"/>
  <c r="N1585" i="7" s="1"/>
  <c r="M1592" i="7"/>
  <c r="N1592" i="7" s="1"/>
  <c r="M1584" i="7"/>
  <c r="N1584" i="7" s="1"/>
  <c r="M1591" i="7"/>
  <c r="N1591" i="7" s="1"/>
  <c r="M852" i="7"/>
  <c r="N852" i="7" s="1"/>
  <c r="M460" i="7"/>
  <c r="N460" i="7" s="1"/>
  <c r="M316" i="7"/>
  <c r="N316" i="7" s="1"/>
  <c r="M851" i="7"/>
  <c r="N851" i="7" s="1"/>
  <c r="M459" i="7"/>
  <c r="N459" i="7" s="1"/>
  <c r="M315" i="7"/>
  <c r="N315" i="7" s="1"/>
  <c r="M850" i="7"/>
  <c r="N850" i="7" s="1"/>
  <c r="M458" i="7"/>
  <c r="N458" i="7" s="1"/>
  <c r="M849" i="7"/>
  <c r="N849" i="7" s="1"/>
  <c r="M457" i="7"/>
  <c r="N457" i="7" s="1"/>
  <c r="M201" i="7"/>
  <c r="N201" i="7" s="1"/>
  <c r="M848" i="7"/>
  <c r="N848" i="7" s="1"/>
  <c r="M1207" i="7"/>
  <c r="N1207" i="7" s="1"/>
  <c r="M991" i="7"/>
  <c r="N991" i="7" s="1"/>
  <c r="M847" i="7"/>
  <c r="N847" i="7" s="1"/>
  <c r="M455" i="7"/>
  <c r="N455" i="7" s="1"/>
  <c r="M990" i="7"/>
  <c r="N990" i="7" s="1"/>
  <c r="M846" i="7"/>
  <c r="N846" i="7" s="1"/>
  <c r="M462" i="7"/>
  <c r="N462" i="7" s="1"/>
  <c r="M454" i="7"/>
  <c r="N454" i="7" s="1"/>
  <c r="M989" i="7"/>
  <c r="N989" i="7" s="1"/>
  <c r="M845" i="7"/>
  <c r="N845" i="7" s="1"/>
  <c r="M581" i="7"/>
  <c r="N581" i="7" s="1"/>
  <c r="M461" i="7"/>
  <c r="N461" i="7" s="1"/>
  <c r="M456" i="7"/>
  <c r="N456" i="7" s="1"/>
  <c r="M318" i="7"/>
  <c r="N318" i="7" s="1"/>
  <c r="M314" i="7"/>
  <c r="N314" i="7" s="1"/>
  <c r="E652" i="6"/>
  <c r="F652" i="6" s="1"/>
  <c r="E648" i="6"/>
  <c r="F648" i="6" s="1"/>
  <c r="E644" i="6"/>
  <c r="F644" i="6" s="1"/>
  <c r="E640" i="6"/>
  <c r="F640" i="6" s="1"/>
  <c r="E636" i="6"/>
  <c r="F636" i="6" s="1"/>
  <c r="E632" i="6"/>
  <c r="F632" i="6" s="1"/>
  <c r="M317" i="7"/>
  <c r="N317" i="7" s="1"/>
  <c r="M200" i="7"/>
  <c r="N200" i="7" s="1"/>
  <c r="E653" i="6"/>
  <c r="F653" i="6" s="1"/>
  <c r="E649" i="6"/>
  <c r="F649" i="6" s="1"/>
  <c r="E645" i="6"/>
  <c r="F645" i="6" s="1"/>
  <c r="E641" i="6"/>
  <c r="F641" i="6" s="1"/>
  <c r="E637" i="6"/>
  <c r="F637" i="6" s="1"/>
  <c r="E633" i="6"/>
  <c r="F633" i="6" s="1"/>
  <c r="M199" i="7"/>
  <c r="N199" i="7" s="1"/>
  <c r="E654" i="6"/>
  <c r="F654" i="6" s="1"/>
  <c r="E650" i="6"/>
  <c r="F650" i="6" s="1"/>
  <c r="E646" i="6"/>
  <c r="F646" i="6" s="1"/>
  <c r="E642" i="6"/>
  <c r="F642" i="6" s="1"/>
  <c r="E638" i="6"/>
  <c r="F638" i="6" s="1"/>
  <c r="E634" i="6"/>
  <c r="F634" i="6" s="1"/>
  <c r="E655" i="6"/>
  <c r="F655" i="6" s="1"/>
  <c r="E651" i="6"/>
  <c r="F651" i="6" s="1"/>
  <c r="E647" i="6"/>
  <c r="F647" i="6" s="1"/>
  <c r="E643" i="6"/>
  <c r="F643" i="6" s="1"/>
  <c r="E639" i="6"/>
  <c r="F639" i="6" s="1"/>
  <c r="E635" i="6"/>
  <c r="F635" i="6" s="1"/>
  <c r="M6140" i="7"/>
  <c r="N6140" i="7" s="1"/>
  <c r="M6139" i="7"/>
  <c r="N6139" i="7" s="1"/>
  <c r="M5972" i="7"/>
  <c r="N5972" i="7" s="1"/>
  <c r="M5525" i="7"/>
  <c r="N5525" i="7" s="1"/>
  <c r="M5524" i="7"/>
  <c r="N5524" i="7" s="1"/>
  <c r="M5527" i="7"/>
  <c r="N5527" i="7" s="1"/>
  <c r="M5526" i="7"/>
  <c r="N5526" i="7" s="1"/>
  <c r="M5376" i="7"/>
  <c r="N5376" i="7" s="1"/>
  <c r="M5368" i="7"/>
  <c r="N5368" i="7" s="1"/>
  <c r="M5375" i="7"/>
  <c r="N5375" i="7" s="1"/>
  <c r="M5367" i="7"/>
  <c r="N5367" i="7" s="1"/>
  <c r="M5374" i="7"/>
  <c r="N5374" i="7" s="1"/>
  <c r="M5373" i="7"/>
  <c r="N5373" i="7" s="1"/>
  <c r="M5372" i="7"/>
  <c r="N5372" i="7" s="1"/>
  <c r="M5371" i="7"/>
  <c r="N5371" i="7" s="1"/>
  <c r="M5370" i="7"/>
  <c r="N5370" i="7" s="1"/>
  <c r="M5377" i="7"/>
  <c r="N5377" i="7" s="1"/>
  <c r="M5369" i="7"/>
  <c r="N5369" i="7" s="1"/>
  <c r="M1646" i="7"/>
  <c r="N1646" i="7" s="1"/>
  <c r="M1789" i="7"/>
  <c r="N1789" i="7" s="1"/>
  <c r="M1788" i="7"/>
  <c r="N1788" i="7" s="1"/>
  <c r="M1650" i="7"/>
  <c r="N1650" i="7" s="1"/>
  <c r="M1649" i="7"/>
  <c r="N1649" i="7" s="1"/>
  <c r="M1648" i="7"/>
  <c r="N1648" i="7" s="1"/>
  <c r="M1647" i="7"/>
  <c r="N1647" i="7" s="1"/>
  <c r="M1645" i="7"/>
  <c r="N1645" i="7" s="1"/>
  <c r="M1011" i="7"/>
  <c r="N1011" i="7" s="1"/>
  <c r="M1651" i="7"/>
  <c r="N1651" i="7" s="1"/>
  <c r="M890" i="7"/>
  <c r="N890" i="7" s="1"/>
  <c r="M1013" i="7"/>
  <c r="N1013" i="7" s="1"/>
  <c r="M889" i="7"/>
  <c r="N889" i="7" s="1"/>
  <c r="M1012" i="7"/>
  <c r="N1012" i="7" s="1"/>
  <c r="M888" i="7"/>
  <c r="N888" i="7" s="1"/>
  <c r="M887" i="7"/>
  <c r="N887" i="7" s="1"/>
  <c r="M886" i="7"/>
  <c r="N886" i="7" s="1"/>
  <c r="E844" i="6"/>
  <c r="F844" i="6" s="1"/>
  <c r="E845" i="6"/>
  <c r="F845" i="6" s="1"/>
  <c r="E841" i="6"/>
  <c r="F841" i="6" s="1"/>
  <c r="E842" i="6"/>
  <c r="F842" i="6" s="1"/>
  <c r="M229" i="7"/>
  <c r="N229" i="7" s="1"/>
  <c r="M228" i="7"/>
  <c r="N228" i="7" s="1"/>
  <c r="E843" i="6"/>
  <c r="F843" i="6" s="1"/>
  <c r="M5199" i="7"/>
  <c r="N5199" i="7" s="1"/>
  <c r="M5198" i="7"/>
  <c r="N5198" i="7" s="1"/>
  <c r="M5203" i="7"/>
  <c r="N5203" i="7" s="1"/>
  <c r="M5195" i="7"/>
  <c r="N5195" i="7" s="1"/>
  <c r="M5202" i="7"/>
  <c r="N5202" i="7" s="1"/>
  <c r="M5201" i="7"/>
  <c r="N5201" i="7" s="1"/>
  <c r="M5197" i="7"/>
  <c r="N5197" i="7" s="1"/>
  <c r="M5200" i="7"/>
  <c r="N5200" i="7" s="1"/>
  <c r="M5196" i="7"/>
  <c r="N5196" i="7" s="1"/>
  <c r="M5194" i="7"/>
  <c r="N5194" i="7" s="1"/>
  <c r="M3934" i="7"/>
  <c r="N3934" i="7" s="1"/>
  <c r="M3750" i="7"/>
  <c r="N3750" i="7" s="1"/>
  <c r="M3754" i="7"/>
  <c r="N3754" i="7" s="1"/>
  <c r="M3753" i="7"/>
  <c r="N3753" i="7" s="1"/>
  <c r="M3752" i="7"/>
  <c r="N3752" i="7" s="1"/>
  <c r="M3751" i="7"/>
  <c r="N3751" i="7" s="1"/>
  <c r="M3170" i="7"/>
  <c r="N3170" i="7" s="1"/>
  <c r="M1707" i="7"/>
  <c r="N1707" i="7" s="1"/>
  <c r="M1494" i="7"/>
  <c r="N1494" i="7" s="1"/>
  <c r="M1493" i="7"/>
  <c r="N1493" i="7" s="1"/>
  <c r="M1389" i="7"/>
  <c r="N1389" i="7" s="1"/>
  <c r="M1492" i="7"/>
  <c r="N1492" i="7" s="1"/>
  <c r="M1388" i="7"/>
  <c r="N1388" i="7" s="1"/>
  <c r="M1491" i="7"/>
  <c r="N1491" i="7" s="1"/>
  <c r="M1387" i="7"/>
  <c r="N1387" i="7" s="1"/>
  <c r="M1490" i="7"/>
  <c r="N1490" i="7" s="1"/>
  <c r="M1496" i="7"/>
  <c r="N1496" i="7" s="1"/>
  <c r="M1495" i="7"/>
  <c r="N1495" i="7" s="1"/>
  <c r="M756" i="7"/>
  <c r="N756" i="7" s="1"/>
  <c r="M755" i="7"/>
  <c r="N755" i="7" s="1"/>
  <c r="M648" i="7"/>
  <c r="N648" i="7" s="1"/>
  <c r="M759" i="7"/>
  <c r="N759" i="7" s="1"/>
  <c r="M647" i="7"/>
  <c r="N647" i="7" s="1"/>
  <c r="M758" i="7"/>
  <c r="N758" i="7" s="1"/>
  <c r="M757" i="7"/>
  <c r="N757" i="7" s="1"/>
  <c r="M116" i="7"/>
  <c r="N116" i="7" s="1"/>
  <c r="M115" i="7"/>
  <c r="N115" i="7" s="1"/>
  <c r="M114" i="7"/>
  <c r="N114" i="7" s="1"/>
  <c r="M113" i="7"/>
  <c r="N113" i="7" s="1"/>
  <c r="M32" i="7"/>
  <c r="N32" i="7" s="1"/>
  <c r="M6538" i="7"/>
  <c r="N6538" i="7" s="1"/>
  <c r="M6534" i="7"/>
  <c r="N6534" i="7" s="1"/>
  <c r="M6533" i="7"/>
  <c r="N6533" i="7" s="1"/>
  <c r="M6537" i="7"/>
  <c r="N6537" i="7" s="1"/>
  <c r="M6536" i="7"/>
  <c r="N6536" i="7" s="1"/>
  <c r="M6535" i="7"/>
  <c r="N6535" i="7" s="1"/>
  <c r="M6084" i="7"/>
  <c r="N6084" i="7" s="1"/>
  <c r="M6083" i="7"/>
  <c r="N6083" i="7" s="1"/>
  <c r="M6086" i="7"/>
  <c r="N6086" i="7" s="1"/>
  <c r="M6085" i="7"/>
  <c r="N6085" i="7" s="1"/>
  <c r="M5930" i="7"/>
  <c r="N5930" i="7" s="1"/>
  <c r="M5929" i="7"/>
  <c r="N5929" i="7" s="1"/>
  <c r="M6087" i="7"/>
  <c r="N6087" i="7" s="1"/>
  <c r="M5267" i="7"/>
  <c r="N5267" i="7" s="1"/>
  <c r="M5266" i="7"/>
  <c r="N5266" i="7" s="1"/>
  <c r="M5265" i="7"/>
  <c r="N5265" i="7" s="1"/>
  <c r="M4793" i="7"/>
  <c r="N4793" i="7" s="1"/>
  <c r="M4792" i="7"/>
  <c r="N4792" i="7" s="1"/>
  <c r="M4791" i="7"/>
  <c r="N4791" i="7" s="1"/>
  <c r="M4794" i="7"/>
  <c r="N4794" i="7" s="1"/>
  <c r="M3782" i="7"/>
  <c r="N3782" i="7" s="1"/>
  <c r="M3941" i="7"/>
  <c r="N3941" i="7" s="1"/>
  <c r="M3781" i="7"/>
  <c r="N3781" i="7" s="1"/>
  <c r="M3940" i="7"/>
  <c r="N3940" i="7" s="1"/>
  <c r="M3876" i="7"/>
  <c r="N3876" i="7" s="1"/>
  <c r="M3780" i="7"/>
  <c r="N3780" i="7" s="1"/>
  <c r="M3939" i="7"/>
  <c r="N3939" i="7" s="1"/>
  <c r="M3779" i="7"/>
  <c r="N3779" i="7" s="1"/>
  <c r="M3778" i="7"/>
  <c r="N3778" i="7" s="1"/>
  <c r="M3777" i="7"/>
  <c r="N3777" i="7" s="1"/>
  <c r="M3175" i="7"/>
  <c r="N3175" i="7" s="1"/>
  <c r="M3270" i="7"/>
  <c r="N3270" i="7" s="1"/>
  <c r="M3174" i="7"/>
  <c r="N3174" i="7" s="1"/>
  <c r="M2241" i="7"/>
  <c r="N2241" i="7" s="1"/>
  <c r="M2712" i="7"/>
  <c r="N2712" i="7" s="1"/>
  <c r="M2376" i="7"/>
  <c r="N2376" i="7" s="1"/>
  <c r="M2375" i="7"/>
  <c r="N2375" i="7" s="1"/>
  <c r="M2243" i="7"/>
  <c r="N2243" i="7" s="1"/>
  <c r="M2242" i="7"/>
  <c r="N2242" i="7" s="1"/>
  <c r="M2240" i="7"/>
  <c r="N2240" i="7" s="1"/>
  <c r="M2239" i="7"/>
  <c r="N2239" i="7" s="1"/>
  <c r="M1728" i="7"/>
  <c r="N1728" i="7" s="1"/>
  <c r="M1550" i="7"/>
  <c r="N1550" i="7" s="1"/>
  <c r="M1549" i="7"/>
  <c r="N1549" i="7" s="1"/>
  <c r="M1548" i="7"/>
  <c r="N1548" i="7" s="1"/>
  <c r="M1396" i="7"/>
  <c r="N1396" i="7" s="1"/>
  <c r="M1547" i="7"/>
  <c r="N1547" i="7" s="1"/>
  <c r="M1395" i="7"/>
  <c r="N1395" i="7" s="1"/>
  <c r="M1546" i="7"/>
  <c r="N1546" i="7" s="1"/>
  <c r="M1545" i="7"/>
  <c r="N1545" i="7" s="1"/>
  <c r="M796" i="7"/>
  <c r="N796" i="7" s="1"/>
  <c r="M795" i="7"/>
  <c r="N795" i="7" s="1"/>
  <c r="M794" i="7"/>
  <c r="N794" i="7" s="1"/>
  <c r="M161" i="7"/>
  <c r="N161" i="7" s="1"/>
  <c r="M800" i="7"/>
  <c r="N800" i="7" s="1"/>
  <c r="M799" i="7"/>
  <c r="N799" i="7" s="1"/>
  <c r="M655" i="7"/>
  <c r="N655" i="7" s="1"/>
  <c r="M798" i="7"/>
  <c r="N798" i="7" s="1"/>
  <c r="M654" i="7"/>
  <c r="N654" i="7" s="1"/>
  <c r="M797" i="7"/>
  <c r="N797" i="7" s="1"/>
  <c r="M160" i="7"/>
  <c r="N160" i="7" s="1"/>
  <c r="E452" i="6"/>
  <c r="F452" i="6" s="1"/>
  <c r="E448" i="6"/>
  <c r="F448" i="6" s="1"/>
  <c r="E444" i="6"/>
  <c r="F444" i="6" s="1"/>
  <c r="M159" i="7"/>
  <c r="N159" i="7" s="1"/>
  <c r="M158" i="7"/>
  <c r="N158" i="7" s="1"/>
  <c r="M36" i="7"/>
  <c r="N36" i="7" s="1"/>
  <c r="M157" i="7"/>
  <c r="N157" i="7" s="1"/>
  <c r="M35" i="7"/>
  <c r="N35" i="7" s="1"/>
  <c r="M156" i="7"/>
  <c r="N156" i="7" s="1"/>
  <c r="M34" i="7"/>
  <c r="N34" i="7" s="1"/>
  <c r="M292" i="7"/>
  <c r="N292" i="7" s="1"/>
  <c r="M6817" i="7"/>
  <c r="N6817" i="7" s="1"/>
  <c r="M6582" i="7"/>
  <c r="N6582" i="7" s="1"/>
  <c r="M6581" i="7"/>
  <c r="N6581" i="7" s="1"/>
  <c r="M6440" i="7"/>
  <c r="N6440" i="7" s="1"/>
  <c r="M6580" i="7"/>
  <c r="N6580" i="7" s="1"/>
  <c r="M6439" i="7"/>
  <c r="N6439" i="7" s="1"/>
  <c r="M6294" i="7"/>
  <c r="N6294" i="7" s="1"/>
  <c r="M6204" i="7"/>
  <c r="N6204" i="7" s="1"/>
  <c r="M6295" i="7"/>
  <c r="N6295" i="7" s="1"/>
  <c r="M6239" i="7"/>
  <c r="N6239" i="7" s="1"/>
  <c r="M6125" i="7"/>
  <c r="N6125" i="7" s="1"/>
  <c r="M5805" i="7"/>
  <c r="N5805" i="7" s="1"/>
  <c r="M5803" i="7"/>
  <c r="N5803" i="7" s="1"/>
  <c r="M5802" i="7"/>
  <c r="N5802" i="7" s="1"/>
  <c r="M5807" i="7"/>
  <c r="N5807" i="7" s="1"/>
  <c r="M5801" i="7"/>
  <c r="N5801" i="7" s="1"/>
  <c r="M5806" i="7"/>
  <c r="N5806" i="7" s="1"/>
  <c r="M5804" i="7"/>
  <c r="N5804" i="7" s="1"/>
  <c r="M5674" i="7"/>
  <c r="N5674" i="7" s="1"/>
  <c r="M5673" i="7"/>
  <c r="N5673" i="7" s="1"/>
  <c r="M5672" i="7"/>
  <c r="N5672" i="7" s="1"/>
  <c r="M5671" i="7"/>
  <c r="N5671" i="7" s="1"/>
  <c r="M5328" i="7"/>
  <c r="N5328" i="7" s="1"/>
  <c r="M5327" i="7"/>
  <c r="N5327" i="7" s="1"/>
  <c r="M5326" i="7"/>
  <c r="N5326" i="7" s="1"/>
  <c r="M5331" i="7"/>
  <c r="N5331" i="7" s="1"/>
  <c r="M5330" i="7"/>
  <c r="N5330" i="7" s="1"/>
  <c r="M5033" i="7"/>
  <c r="N5033" i="7" s="1"/>
  <c r="M5032" i="7"/>
  <c r="N5032" i="7" s="1"/>
  <c r="M5329" i="7"/>
  <c r="N5329" i="7" s="1"/>
  <c r="M5034" i="7"/>
  <c r="N5034" i="7" s="1"/>
  <c r="M4897" i="7"/>
  <c r="N4897" i="7" s="1"/>
  <c r="M4841" i="7"/>
  <c r="N4841" i="7" s="1"/>
  <c r="M4896" i="7"/>
  <c r="N4896" i="7" s="1"/>
  <c r="M4840" i="7"/>
  <c r="N4840" i="7" s="1"/>
  <c r="M4839" i="7"/>
  <c r="N4839" i="7" s="1"/>
  <c r="M4838" i="7"/>
  <c r="N4838" i="7" s="1"/>
  <c r="M4837" i="7"/>
  <c r="N4837" i="7" s="1"/>
  <c r="M4936" i="7"/>
  <c r="N4936" i="7" s="1"/>
  <c r="M4898" i="7"/>
  <c r="N4898" i="7" s="1"/>
  <c r="M4496" i="7"/>
  <c r="N4496" i="7" s="1"/>
  <c r="M4408" i="7"/>
  <c r="N4408" i="7" s="1"/>
  <c r="M4248" i="7"/>
  <c r="N4248" i="7" s="1"/>
  <c r="M4495" i="7"/>
  <c r="N4495" i="7" s="1"/>
  <c r="M4407" i="7"/>
  <c r="N4407" i="7" s="1"/>
  <c r="M4366" i="7"/>
  <c r="N4366" i="7" s="1"/>
  <c r="M4254" i="7"/>
  <c r="N4254" i="7" s="1"/>
  <c r="M4629" i="7"/>
  <c r="N4629" i="7" s="1"/>
  <c r="M4365" i="7"/>
  <c r="N4365" i="7" s="1"/>
  <c r="M4253" i="7"/>
  <c r="N4253" i="7" s="1"/>
  <c r="M4252" i="7"/>
  <c r="N4252" i="7" s="1"/>
  <c r="M4020" i="7"/>
  <c r="N4020" i="7" s="1"/>
  <c r="M4499" i="7"/>
  <c r="N4499" i="7" s="1"/>
  <c r="M4251" i="7"/>
  <c r="N4251" i="7" s="1"/>
  <c r="M4019" i="7"/>
  <c r="N4019" i="7" s="1"/>
  <c r="M4498" i="7"/>
  <c r="N4498" i="7" s="1"/>
  <c r="M4250" i="7"/>
  <c r="N4250" i="7" s="1"/>
  <c r="M4497" i="7"/>
  <c r="N4497" i="7" s="1"/>
  <c r="M4409" i="7"/>
  <c r="N4409" i="7" s="1"/>
  <c r="M4249" i="7"/>
  <c r="N4249" i="7" s="1"/>
  <c r="M3814" i="7"/>
  <c r="N3814" i="7" s="1"/>
  <c r="M3582" i="7"/>
  <c r="N3582" i="7" s="1"/>
  <c r="M3813" i="7"/>
  <c r="N3813" i="7" s="1"/>
  <c r="M3812" i="7"/>
  <c r="N3812" i="7" s="1"/>
  <c r="M3444" i="7"/>
  <c r="N3444" i="7" s="1"/>
  <c r="M4021" i="7"/>
  <c r="N4021" i="7" s="1"/>
  <c r="M3675" i="7"/>
  <c r="N3675" i="7" s="1"/>
  <c r="M3490" i="7"/>
  <c r="N3490" i="7" s="1"/>
  <c r="M3816" i="7"/>
  <c r="N3816" i="7" s="1"/>
  <c r="M3815" i="7"/>
  <c r="N3815" i="7" s="1"/>
  <c r="M3187" i="7"/>
  <c r="N3187" i="7" s="1"/>
  <c r="M3011" i="7"/>
  <c r="N3011" i="7" s="1"/>
  <c r="M3186" i="7"/>
  <c r="N3186" i="7" s="1"/>
  <c r="M3185" i="7"/>
  <c r="N3185" i="7" s="1"/>
  <c r="M3312" i="7"/>
  <c r="N3312" i="7" s="1"/>
  <c r="M3152" i="7"/>
  <c r="N3152" i="7" s="1"/>
  <c r="M3016" i="7"/>
  <c r="N3016" i="7" s="1"/>
  <c r="M2928" i="7"/>
  <c r="N2928" i="7" s="1"/>
  <c r="M3491" i="7"/>
  <c r="N3491" i="7" s="1"/>
  <c r="M3311" i="7"/>
  <c r="N3311" i="7" s="1"/>
  <c r="M3151" i="7"/>
  <c r="N3151" i="7" s="1"/>
  <c r="M3015" i="7"/>
  <c r="N3015" i="7" s="1"/>
  <c r="M3150" i="7"/>
  <c r="N3150" i="7" s="1"/>
  <c r="M3014" i="7"/>
  <c r="N3014" i="7" s="1"/>
  <c r="M2886" i="7"/>
  <c r="N2886" i="7" s="1"/>
  <c r="M3013" i="7"/>
  <c r="N3013" i="7" s="1"/>
  <c r="M3012" i="7"/>
  <c r="N3012" i="7" s="1"/>
  <c r="M2884" i="7"/>
  <c r="N2884" i="7" s="1"/>
  <c r="M2748" i="7"/>
  <c r="N2748" i="7" s="1"/>
  <c r="M2276" i="7"/>
  <c r="N2276" i="7" s="1"/>
  <c r="M2747" i="7"/>
  <c r="N2747" i="7" s="1"/>
  <c r="M2746" i="7"/>
  <c r="N2746" i="7" s="1"/>
  <c r="M2522" i="7"/>
  <c r="N2522" i="7" s="1"/>
  <c r="M2745" i="7"/>
  <c r="N2745" i="7" s="1"/>
  <c r="M2521" i="7"/>
  <c r="N2521" i="7" s="1"/>
  <c r="M2520" i="7"/>
  <c r="N2520" i="7" s="1"/>
  <c r="M2519" i="7"/>
  <c r="N2519" i="7" s="1"/>
  <c r="M2518" i="7"/>
  <c r="N2518" i="7" s="1"/>
  <c r="M2885" i="7"/>
  <c r="N2885" i="7" s="1"/>
  <c r="M2749" i="7"/>
  <c r="N2749" i="7" s="1"/>
  <c r="M2517" i="7"/>
  <c r="N2517" i="7" s="1"/>
  <c r="M2277" i="7"/>
  <c r="N2277" i="7" s="1"/>
  <c r="M1917" i="7"/>
  <c r="N1917" i="7" s="1"/>
  <c r="M1916" i="7"/>
  <c r="N1916" i="7" s="1"/>
  <c r="M1915" i="7"/>
  <c r="N1915" i="7" s="1"/>
  <c r="M2002" i="7"/>
  <c r="N2002" i="7" s="1"/>
  <c r="M1914" i="7"/>
  <c r="N1914" i="7" s="1"/>
  <c r="M2145" i="7"/>
  <c r="N2145" i="7" s="1"/>
  <c r="M2001" i="7"/>
  <c r="N2001" i="7" s="1"/>
  <c r="M1913" i="7"/>
  <c r="N1913" i="7" s="1"/>
  <c r="M1414" i="7"/>
  <c r="N1414" i="7" s="1"/>
  <c r="M1214" i="7"/>
  <c r="N1214" i="7" s="1"/>
  <c r="M1605" i="7"/>
  <c r="N1605" i="7" s="1"/>
  <c r="M1413" i="7"/>
  <c r="N1413" i="7" s="1"/>
  <c r="M1213" i="7"/>
  <c r="N1213" i="7" s="1"/>
  <c r="M1604" i="7"/>
  <c r="N1604" i="7" s="1"/>
  <c r="M1212" i="7"/>
  <c r="N1212" i="7" s="1"/>
  <c r="M1603" i="7"/>
  <c r="N1603" i="7" s="1"/>
  <c r="M1339" i="7"/>
  <c r="N1339" i="7" s="1"/>
  <c r="M1602" i="7"/>
  <c r="N1602" i="7" s="1"/>
  <c r="M1338" i="7"/>
  <c r="N1338" i="7" s="1"/>
  <c r="M1601" i="7"/>
  <c r="N1601" i="7" s="1"/>
  <c r="M1337" i="7"/>
  <c r="N1337" i="7" s="1"/>
  <c r="M1600" i="7"/>
  <c r="N1600" i="7" s="1"/>
  <c r="M1336" i="7"/>
  <c r="N1336" i="7" s="1"/>
  <c r="M668" i="7"/>
  <c r="N668" i="7" s="1"/>
  <c r="M468" i="7"/>
  <c r="N468" i="7" s="1"/>
  <c r="M667" i="7"/>
  <c r="N667" i="7" s="1"/>
  <c r="M475" i="7"/>
  <c r="N475" i="7" s="1"/>
  <c r="M858" i="7"/>
  <c r="N858" i="7" s="1"/>
  <c r="M474" i="7"/>
  <c r="N474" i="7" s="1"/>
  <c r="M857" i="7"/>
  <c r="N857" i="7" s="1"/>
  <c r="M473" i="7"/>
  <c r="N473" i="7" s="1"/>
  <c r="M992" i="7"/>
  <c r="N992" i="7" s="1"/>
  <c r="M856" i="7"/>
  <c r="N856" i="7" s="1"/>
  <c r="M472" i="7"/>
  <c r="N472" i="7" s="1"/>
  <c r="M855" i="7"/>
  <c r="N855" i="7" s="1"/>
  <c r="M671" i="7"/>
  <c r="N671" i="7" s="1"/>
  <c r="M471" i="7"/>
  <c r="N471" i="7" s="1"/>
  <c r="M670" i="7"/>
  <c r="N670" i="7" s="1"/>
  <c r="M470" i="7"/>
  <c r="N470" i="7" s="1"/>
  <c r="M669" i="7"/>
  <c r="N669" i="7" s="1"/>
  <c r="M469" i="7"/>
  <c r="N469" i="7" s="1"/>
  <c r="M366" i="7"/>
  <c r="N366" i="7" s="1"/>
  <c r="M204" i="7"/>
  <c r="N204" i="7" s="1"/>
  <c r="E700" i="6"/>
  <c r="F700" i="6" s="1"/>
  <c r="E696" i="6"/>
  <c r="F696" i="6" s="1"/>
  <c r="E692" i="6"/>
  <c r="F692" i="6" s="1"/>
  <c r="E688" i="6"/>
  <c r="F688" i="6" s="1"/>
  <c r="E684" i="6"/>
  <c r="F684" i="6" s="1"/>
  <c r="E680" i="6"/>
  <c r="F680" i="6" s="1"/>
  <c r="M203" i="7"/>
  <c r="N203" i="7" s="1"/>
  <c r="M44" i="7"/>
  <c r="N44" i="7" s="1"/>
  <c r="E701" i="6"/>
  <c r="F701" i="6" s="1"/>
  <c r="E697" i="6"/>
  <c r="F697" i="6" s="1"/>
  <c r="E693" i="6"/>
  <c r="F693" i="6" s="1"/>
  <c r="E689" i="6"/>
  <c r="F689" i="6" s="1"/>
  <c r="E685" i="6"/>
  <c r="F685" i="6" s="1"/>
  <c r="E681" i="6"/>
  <c r="F681" i="6" s="1"/>
  <c r="E702" i="6"/>
  <c r="F702" i="6" s="1"/>
  <c r="E698" i="6"/>
  <c r="F698" i="6" s="1"/>
  <c r="E694" i="6"/>
  <c r="F694" i="6" s="1"/>
  <c r="E690" i="6"/>
  <c r="F690" i="6" s="1"/>
  <c r="E686" i="6"/>
  <c r="F686" i="6" s="1"/>
  <c r="E682" i="6"/>
  <c r="F682" i="6" s="1"/>
  <c r="M206" i="7"/>
  <c r="N206" i="7" s="1"/>
  <c r="E703" i="6"/>
  <c r="F703" i="6" s="1"/>
  <c r="E699" i="6"/>
  <c r="F699" i="6" s="1"/>
  <c r="E695" i="6"/>
  <c r="F695" i="6" s="1"/>
  <c r="E691" i="6"/>
  <c r="F691" i="6" s="1"/>
  <c r="E687" i="6"/>
  <c r="F687" i="6" s="1"/>
  <c r="E683" i="6"/>
  <c r="F683" i="6" s="1"/>
  <c r="M205" i="7"/>
  <c r="N205" i="7" s="1"/>
  <c r="M6623" i="7"/>
  <c r="N6623" i="7" s="1"/>
  <c r="M6621" i="7"/>
  <c r="N6621" i="7" s="1"/>
  <c r="M6450" i="7"/>
  <c r="N6450" i="7" s="1"/>
  <c r="M6449" i="7"/>
  <c r="N6449" i="7" s="1"/>
  <c r="M6321" i="7"/>
  <c r="N6321" i="7" s="1"/>
  <c r="M6408" i="7"/>
  <c r="N6408" i="7" s="1"/>
  <c r="M6622" i="7"/>
  <c r="N6622" i="7" s="1"/>
  <c r="M6620" i="7"/>
  <c r="N6620" i="7" s="1"/>
  <c r="M6407" i="7"/>
  <c r="N6407" i="7" s="1"/>
  <c r="M6406" i="7"/>
  <c r="N6406" i="7" s="1"/>
  <c r="M6148" i="7"/>
  <c r="N6148" i="7" s="1"/>
  <c r="M6147" i="7"/>
  <c r="N6147" i="7" s="1"/>
  <c r="M6243" i="7"/>
  <c r="N6243" i="7" s="1"/>
  <c r="M6146" i="7"/>
  <c r="N6146" i="7" s="1"/>
  <c r="M6145" i="7"/>
  <c r="N6145" i="7" s="1"/>
  <c r="M5852" i="7"/>
  <c r="N5852" i="7" s="1"/>
  <c r="M5851" i="7"/>
  <c r="N5851" i="7" s="1"/>
  <c r="M5683" i="7"/>
  <c r="N5683" i="7" s="1"/>
  <c r="M5685" i="7"/>
  <c r="N5685" i="7" s="1"/>
  <c r="M5684" i="7"/>
  <c r="N5684" i="7" s="1"/>
  <c r="M5639" i="7"/>
  <c r="N5639" i="7" s="1"/>
  <c r="M5384" i="7"/>
  <c r="N5384" i="7" s="1"/>
  <c r="M5387" i="7"/>
  <c r="N5387" i="7" s="1"/>
  <c r="M5386" i="7"/>
  <c r="N5386" i="7" s="1"/>
  <c r="M5385" i="7"/>
  <c r="N5385" i="7" s="1"/>
  <c r="M4865" i="7"/>
  <c r="N4865" i="7" s="1"/>
  <c r="M4864" i="7"/>
  <c r="N4864" i="7" s="1"/>
  <c r="M4863" i="7"/>
  <c r="N4863" i="7" s="1"/>
  <c r="M4862" i="7"/>
  <c r="N4862" i="7" s="1"/>
  <c r="M4861" i="7"/>
  <c r="N4861" i="7" s="1"/>
  <c r="M4867" i="7"/>
  <c r="N4867" i="7" s="1"/>
  <c r="M4866" i="7"/>
  <c r="N4866" i="7" s="1"/>
  <c r="M4384" i="7"/>
  <c r="N4384" i="7" s="1"/>
  <c r="M4144" i="7"/>
  <c r="N4144" i="7" s="1"/>
  <c r="M4631" i="7"/>
  <c r="N4631" i="7" s="1"/>
  <c r="M4286" i="7"/>
  <c r="N4286" i="7" s="1"/>
  <c r="M4285" i="7"/>
  <c r="N4285" i="7" s="1"/>
  <c r="M4284" i="7"/>
  <c r="N4284" i="7" s="1"/>
  <c r="M4044" i="7"/>
  <c r="N4044" i="7" s="1"/>
  <c r="M4115" i="7"/>
  <c r="N4115" i="7" s="1"/>
  <c r="M4043" i="7"/>
  <c r="N4043" i="7" s="1"/>
  <c r="M4385" i="7"/>
  <c r="N4385" i="7" s="1"/>
  <c r="M3838" i="7"/>
  <c r="N3838" i="7" s="1"/>
  <c r="M4045" i="7"/>
  <c r="N4045" i="7" s="1"/>
  <c r="M3837" i="7"/>
  <c r="N3837" i="7" s="1"/>
  <c r="M3836" i="7"/>
  <c r="N3836" i="7" s="1"/>
  <c r="M3612" i="7"/>
  <c r="N3612" i="7" s="1"/>
  <c r="M3955" i="7"/>
  <c r="N3955" i="7" s="1"/>
  <c r="M3954" i="7"/>
  <c r="N3954" i="7" s="1"/>
  <c r="M3498" i="7"/>
  <c r="N3498" i="7" s="1"/>
  <c r="M3497" i="7"/>
  <c r="N3497" i="7" s="1"/>
  <c r="M3839" i="7"/>
  <c r="N3839" i="7" s="1"/>
  <c r="M3195" i="7"/>
  <c r="N3195" i="7" s="1"/>
  <c r="M3194" i="7"/>
  <c r="N3194" i="7" s="1"/>
  <c r="M3361" i="7"/>
  <c r="N3361" i="7" s="1"/>
  <c r="M3360" i="7"/>
  <c r="N3360" i="7" s="1"/>
  <c r="M3359" i="7"/>
  <c r="N3359" i="7" s="1"/>
  <c r="M3358" i="7"/>
  <c r="N3358" i="7" s="1"/>
  <c r="M3357" i="7"/>
  <c r="N3357" i="7" s="1"/>
  <c r="M2933" i="7"/>
  <c r="N2933" i="7" s="1"/>
  <c r="M3196" i="7"/>
  <c r="N3196" i="7" s="1"/>
  <c r="M2780" i="7"/>
  <c r="N2780" i="7" s="1"/>
  <c r="M2779" i="7"/>
  <c r="N2779" i="7" s="1"/>
  <c r="M2315" i="7"/>
  <c r="N2315" i="7" s="1"/>
  <c r="M2778" i="7"/>
  <c r="N2778" i="7" s="1"/>
  <c r="M2777" i="7"/>
  <c r="N2777" i="7" s="1"/>
  <c r="M2776" i="7"/>
  <c r="N2776" i="7" s="1"/>
  <c r="M2440" i="7"/>
  <c r="N2440" i="7" s="1"/>
  <c r="M2439" i="7"/>
  <c r="N2439" i="7" s="1"/>
  <c r="M2151" i="7"/>
  <c r="N2151" i="7" s="1"/>
  <c r="M2314" i="7"/>
  <c r="N2314" i="7" s="1"/>
  <c r="M2150" i="7"/>
  <c r="N2150" i="7" s="1"/>
  <c r="M1957" i="7"/>
  <c r="N1957" i="7" s="1"/>
  <c r="M1956" i="7"/>
  <c r="N1956" i="7" s="1"/>
  <c r="M2011" i="7"/>
  <c r="N2011" i="7" s="1"/>
  <c r="M1955" i="7"/>
  <c r="N1955" i="7" s="1"/>
  <c r="M1659" i="7"/>
  <c r="N1659" i="7" s="1"/>
  <c r="M2010" i="7"/>
  <c r="N2010" i="7" s="1"/>
  <c r="M1954" i="7"/>
  <c r="N1954" i="7" s="1"/>
  <c r="M2009" i="7"/>
  <c r="N2009" i="7" s="1"/>
  <c r="M1658" i="7"/>
  <c r="N1658" i="7" s="1"/>
  <c r="M1249" i="7"/>
  <c r="N1249" i="7" s="1"/>
  <c r="M1016" i="7"/>
  <c r="N1016" i="7" s="1"/>
  <c r="M676" i="7"/>
  <c r="N676" i="7" s="1"/>
  <c r="M1015" i="7"/>
  <c r="N1015" i="7" s="1"/>
  <c r="M899" i="7"/>
  <c r="N899" i="7" s="1"/>
  <c r="M675" i="7"/>
  <c r="N675" i="7" s="1"/>
  <c r="M898" i="7"/>
  <c r="N898" i="7" s="1"/>
  <c r="M897" i="7"/>
  <c r="N897" i="7" s="1"/>
  <c r="M513" i="7"/>
  <c r="N513" i="7" s="1"/>
  <c r="M896" i="7"/>
  <c r="N896" i="7" s="1"/>
  <c r="M512" i="7"/>
  <c r="N512" i="7" s="1"/>
  <c r="M336" i="7"/>
  <c r="N336" i="7" s="1"/>
  <c r="M236" i="7"/>
  <c r="N236" i="7" s="1"/>
  <c r="E888" i="6"/>
  <c r="F888" i="6" s="1"/>
  <c r="E884" i="6"/>
  <c r="F884" i="6" s="1"/>
  <c r="E880" i="6"/>
  <c r="F880" i="6" s="1"/>
  <c r="E876" i="6"/>
  <c r="F876" i="6" s="1"/>
  <c r="E872" i="6"/>
  <c r="F872" i="6" s="1"/>
  <c r="M373" i="7"/>
  <c r="N373" i="7" s="1"/>
  <c r="M235" i="7"/>
  <c r="N235" i="7" s="1"/>
  <c r="M234" i="7"/>
  <c r="N234" i="7" s="1"/>
  <c r="E889" i="6"/>
  <c r="F889" i="6" s="1"/>
  <c r="E885" i="6"/>
  <c r="F885" i="6" s="1"/>
  <c r="E881" i="6"/>
  <c r="F881" i="6" s="1"/>
  <c r="E877" i="6"/>
  <c r="F877" i="6" s="1"/>
  <c r="E873" i="6"/>
  <c r="F873" i="6" s="1"/>
  <c r="M240" i="7"/>
  <c r="N240" i="7" s="1"/>
  <c r="E886" i="6"/>
  <c r="F886" i="6" s="1"/>
  <c r="E882" i="6"/>
  <c r="F882" i="6" s="1"/>
  <c r="E878" i="6"/>
  <c r="F878" i="6" s="1"/>
  <c r="E874" i="6"/>
  <c r="F874" i="6" s="1"/>
  <c r="E870" i="6"/>
  <c r="F870" i="6" s="1"/>
  <c r="M239" i="7"/>
  <c r="N239" i="7" s="1"/>
  <c r="M238" i="7"/>
  <c r="N238" i="7" s="1"/>
  <c r="E887" i="6"/>
  <c r="F887" i="6" s="1"/>
  <c r="E883" i="6"/>
  <c r="F883" i="6" s="1"/>
  <c r="E879" i="6"/>
  <c r="F879" i="6" s="1"/>
  <c r="E875" i="6"/>
  <c r="F875" i="6" s="1"/>
  <c r="E871" i="6"/>
  <c r="F871" i="6" s="1"/>
  <c r="M237" i="7"/>
  <c r="N237" i="7" s="1"/>
  <c r="M6435" i="7"/>
  <c r="N6435" i="7" s="1"/>
  <c r="M6421" i="7"/>
  <c r="N6421" i="7" s="1"/>
  <c r="M6106" i="7"/>
  <c r="N6106" i="7" s="1"/>
  <c r="M6237" i="7"/>
  <c r="N6237" i="7" s="1"/>
  <c r="M6006" i="7"/>
  <c r="N6006" i="7" s="1"/>
  <c r="M5871" i="7"/>
  <c r="N5871" i="7" s="1"/>
  <c r="M5870" i="7"/>
  <c r="N5870" i="7" s="1"/>
  <c r="M5669" i="7"/>
  <c r="N5669" i="7" s="1"/>
  <c r="M5668" i="7"/>
  <c r="N5668" i="7" s="1"/>
  <c r="M5303" i="7"/>
  <c r="N5303" i="7" s="1"/>
  <c r="M5302" i="7"/>
  <c r="N5302" i="7" s="1"/>
  <c r="M5301" i="7"/>
  <c r="N5301" i="7" s="1"/>
  <c r="M5299" i="7"/>
  <c r="N5299" i="7" s="1"/>
  <c r="M5298" i="7"/>
  <c r="N5298" i="7" s="1"/>
  <c r="M5297" i="7"/>
  <c r="N5297" i="7" s="1"/>
  <c r="M5300" i="7"/>
  <c r="N5300" i="7" s="1"/>
  <c r="M4886" i="7"/>
  <c r="N4886" i="7" s="1"/>
  <c r="M4626" i="7"/>
  <c r="N4626" i="7" s="1"/>
  <c r="M4153" i="7"/>
  <c r="N4153" i="7" s="1"/>
  <c r="M3946" i="7"/>
  <c r="N3946" i="7" s="1"/>
  <c r="M3921" i="7"/>
  <c r="N3921" i="7" s="1"/>
  <c r="M3472" i="7"/>
  <c r="N3472" i="7" s="1"/>
  <c r="M3471" i="7"/>
  <c r="N3471" i="7" s="1"/>
  <c r="M2926" i="7"/>
  <c r="N2926" i="7" s="1"/>
  <c r="M2797" i="7"/>
  <c r="N2797" i="7" s="1"/>
  <c r="M2796" i="7"/>
  <c r="N2796" i="7" s="1"/>
  <c r="M2015" i="7"/>
  <c r="N2015" i="7" s="1"/>
  <c r="M2262" i="7"/>
  <c r="N2262" i="7" s="1"/>
  <c r="M2014" i="7"/>
  <c r="N2014" i="7" s="1"/>
  <c r="M2120" i="7"/>
  <c r="N2120" i="7" s="1"/>
  <c r="M2016" i="7"/>
  <c r="N2016" i="7" s="1"/>
  <c r="M1405" i="7"/>
  <c r="N1405" i="7" s="1"/>
  <c r="M1404" i="7"/>
  <c r="N1404" i="7" s="1"/>
  <c r="M1062" i="7"/>
  <c r="N1062" i="7" s="1"/>
  <c r="M664" i="7"/>
  <c r="N664" i="7" s="1"/>
  <c r="M1079" i="7"/>
  <c r="N1079" i="7" s="1"/>
  <c r="M663" i="7"/>
  <c r="N663" i="7" s="1"/>
  <c r="M631" i="7"/>
  <c r="N631" i="7" s="1"/>
  <c r="M662" i="7"/>
  <c r="N662" i="7" s="1"/>
  <c r="M630" i="7"/>
  <c r="N630" i="7" s="1"/>
  <c r="M344" i="7"/>
  <c r="N344" i="7" s="1"/>
  <c r="E580" i="6"/>
  <c r="F580" i="6" s="1"/>
  <c r="E576" i="6"/>
  <c r="F576" i="6" s="1"/>
  <c r="E572" i="6"/>
  <c r="F572" i="6" s="1"/>
  <c r="E568" i="6"/>
  <c r="F568" i="6" s="1"/>
  <c r="M4" i="7"/>
  <c r="N4" i="7" s="1"/>
  <c r="E581" i="6"/>
  <c r="F581" i="6" s="1"/>
  <c r="E577" i="6"/>
  <c r="F577" i="6" s="1"/>
  <c r="E573" i="6"/>
  <c r="F573" i="6" s="1"/>
  <c r="E569" i="6"/>
  <c r="F569" i="6" s="1"/>
  <c r="E582" i="6"/>
  <c r="F582" i="6" s="1"/>
  <c r="M40" i="7"/>
  <c r="N40" i="7" s="1"/>
  <c r="E583" i="6"/>
  <c r="F583" i="6" s="1"/>
  <c r="E579" i="6"/>
  <c r="F579" i="6" s="1"/>
  <c r="E575" i="6"/>
  <c r="F575" i="6" s="1"/>
  <c r="E571" i="6"/>
  <c r="F571" i="6" s="1"/>
  <c r="E567" i="6"/>
  <c r="F567" i="6" s="1"/>
  <c r="E36" i="6"/>
  <c r="F36" i="6" s="1"/>
  <c r="E40" i="6"/>
  <c r="F40" i="6" s="1"/>
  <c r="E68" i="6"/>
  <c r="F68" i="6" s="1"/>
  <c r="E72" i="6"/>
  <c r="F72" i="6" s="1"/>
  <c r="E76" i="6"/>
  <c r="F76" i="6" s="1"/>
  <c r="E80" i="6"/>
  <c r="F80" i="6" s="1"/>
  <c r="E84" i="6"/>
  <c r="F84" i="6" s="1"/>
  <c r="E88" i="6"/>
  <c r="F88" i="6" s="1"/>
  <c r="E92" i="6"/>
  <c r="F92" i="6" s="1"/>
  <c r="E96" i="6"/>
  <c r="F96" i="6" s="1"/>
  <c r="E100" i="6"/>
  <c r="F100" i="6" s="1"/>
  <c r="E104" i="6"/>
  <c r="F104" i="6" s="1"/>
  <c r="E118" i="6"/>
  <c r="F118" i="6" s="1"/>
  <c r="E129" i="6"/>
  <c r="F129" i="6" s="1"/>
  <c r="E142" i="6"/>
  <c r="F142" i="6" s="1"/>
  <c r="E158" i="6"/>
  <c r="F158" i="6" s="1"/>
  <c r="E176" i="6"/>
  <c r="F176" i="6" s="1"/>
  <c r="E179" i="6"/>
  <c r="F179" i="6" s="1"/>
  <c r="E182" i="6"/>
  <c r="F182" i="6" s="1"/>
  <c r="E185" i="6"/>
  <c r="F185" i="6" s="1"/>
  <c r="E208" i="6"/>
  <c r="F208" i="6" s="1"/>
  <c r="E211" i="6"/>
  <c r="F211" i="6" s="1"/>
  <c r="E214" i="6"/>
  <c r="F214" i="6" s="1"/>
  <c r="E217" i="6"/>
  <c r="F217" i="6" s="1"/>
  <c r="E237" i="6"/>
  <c r="F237" i="6" s="1"/>
  <c r="E245" i="6"/>
  <c r="F245" i="6" s="1"/>
  <c r="E253" i="6"/>
  <c r="F253" i="6" s="1"/>
  <c r="E261" i="6"/>
  <c r="F261" i="6" s="1"/>
  <c r="E269" i="6"/>
  <c r="F269" i="6" s="1"/>
  <c r="E277" i="6"/>
  <c r="F277" i="6" s="1"/>
  <c r="E285" i="6"/>
  <c r="F285" i="6" s="1"/>
  <c r="E293" i="6"/>
  <c r="F293" i="6" s="1"/>
  <c r="E301" i="6"/>
  <c r="F301" i="6" s="1"/>
  <c r="E309" i="6"/>
  <c r="F309" i="6" s="1"/>
  <c r="E317" i="6"/>
  <c r="F317" i="6" s="1"/>
  <c r="E325" i="6"/>
  <c r="F325" i="6" s="1"/>
  <c r="E333" i="6"/>
  <c r="F333" i="6" s="1"/>
  <c r="E341" i="6"/>
  <c r="F341" i="6" s="1"/>
  <c r="E349" i="6"/>
  <c r="F349" i="6" s="1"/>
  <c r="E357" i="6"/>
  <c r="F357" i="6" s="1"/>
  <c r="E365" i="6"/>
  <c r="F365" i="6" s="1"/>
  <c r="E373" i="6"/>
  <c r="F373" i="6" s="1"/>
  <c r="E381" i="6"/>
  <c r="F381" i="6" s="1"/>
  <c r="E389" i="6"/>
  <c r="F389" i="6" s="1"/>
  <c r="E397" i="6"/>
  <c r="F397" i="6" s="1"/>
  <c r="E405" i="6"/>
  <c r="F405" i="6" s="1"/>
  <c r="E413" i="6"/>
  <c r="F413" i="6" s="1"/>
  <c r="E433" i="6"/>
  <c r="F433" i="6" s="1"/>
  <c r="E438" i="6"/>
  <c r="F438" i="6" s="1"/>
  <c r="E443" i="6"/>
  <c r="F443" i="6" s="1"/>
  <c r="E474" i="6"/>
  <c r="F474" i="6" s="1"/>
  <c r="E490" i="6"/>
  <c r="F490" i="6" s="1"/>
  <c r="E506" i="6"/>
  <c r="F506" i="6" s="1"/>
  <c r="E522" i="6"/>
  <c r="F522" i="6" s="1"/>
  <c r="E538" i="6"/>
  <c r="F538" i="6" s="1"/>
  <c r="E562" i="6"/>
  <c r="F562" i="6" s="1"/>
  <c r="L2" i="5"/>
  <c r="L6" i="5"/>
  <c r="L10" i="5"/>
  <c r="L14" i="5"/>
  <c r="L18" i="5"/>
  <c r="L22" i="5"/>
  <c r="L26" i="5"/>
  <c r="L30" i="5"/>
  <c r="L34" i="5"/>
  <c r="L38" i="5"/>
  <c r="L42" i="5"/>
  <c r="L46" i="5"/>
  <c r="L50" i="5"/>
  <c r="E107" i="6"/>
  <c r="F107" i="6" s="1"/>
  <c r="E114" i="6"/>
  <c r="F114" i="6" s="1"/>
  <c r="E125" i="6"/>
  <c r="F125" i="6" s="1"/>
  <c r="E135" i="6"/>
  <c r="F135" i="6" s="1"/>
  <c r="E145" i="6"/>
  <c r="F145" i="6" s="1"/>
  <c r="E148" i="6"/>
  <c r="F148" i="6" s="1"/>
  <c r="E151" i="6"/>
  <c r="F151" i="6" s="1"/>
  <c r="E161" i="6"/>
  <c r="F161" i="6" s="1"/>
  <c r="E164" i="6"/>
  <c r="F164" i="6" s="1"/>
  <c r="E167" i="6"/>
  <c r="F167" i="6" s="1"/>
  <c r="E170" i="6"/>
  <c r="F170" i="6" s="1"/>
  <c r="E173" i="6"/>
  <c r="F173" i="6" s="1"/>
  <c r="E196" i="6"/>
  <c r="F196" i="6" s="1"/>
  <c r="E199" i="6"/>
  <c r="F199" i="6" s="1"/>
  <c r="E202" i="6"/>
  <c r="F202" i="6" s="1"/>
  <c r="E205" i="6"/>
  <c r="F205" i="6" s="1"/>
  <c r="E228" i="6"/>
  <c r="F228" i="6" s="1"/>
  <c r="E231" i="6"/>
  <c r="F231" i="6" s="1"/>
  <c r="E234" i="6"/>
  <c r="F234" i="6" s="1"/>
  <c r="E242" i="6"/>
  <c r="F242" i="6" s="1"/>
  <c r="E250" i="6"/>
  <c r="F250" i="6" s="1"/>
  <c r="E258" i="6"/>
  <c r="F258" i="6" s="1"/>
  <c r="E266" i="6"/>
  <c r="F266" i="6" s="1"/>
  <c r="E282" i="6"/>
  <c r="F282" i="6" s="1"/>
  <c r="E290" i="6"/>
  <c r="F290" i="6" s="1"/>
  <c r="E298" i="6"/>
  <c r="F298" i="6" s="1"/>
  <c r="E306" i="6"/>
  <c r="F306" i="6" s="1"/>
  <c r="E314" i="6"/>
  <c r="F314" i="6" s="1"/>
  <c r="E322" i="6"/>
  <c r="F322" i="6" s="1"/>
  <c r="E330" i="6"/>
  <c r="F330" i="6" s="1"/>
  <c r="E338" i="6"/>
  <c r="F338" i="6" s="1"/>
  <c r="E346" i="6"/>
  <c r="F346" i="6" s="1"/>
  <c r="E354" i="6"/>
  <c r="F354" i="6" s="1"/>
  <c r="E362" i="6"/>
  <c r="F362" i="6" s="1"/>
  <c r="E370" i="6"/>
  <c r="F370" i="6" s="1"/>
  <c r="E378" i="6"/>
  <c r="F378" i="6" s="1"/>
  <c r="E394" i="6"/>
  <c r="F394" i="6" s="1"/>
  <c r="E402" i="6"/>
  <c r="F402" i="6" s="1"/>
  <c r="E410" i="6"/>
  <c r="F410" i="6" s="1"/>
  <c r="E418" i="6"/>
  <c r="F418" i="6" s="1"/>
  <c r="E423" i="6"/>
  <c r="F423" i="6" s="1"/>
  <c r="E445" i="6"/>
  <c r="F445" i="6" s="1"/>
  <c r="E450" i="6"/>
  <c r="F450" i="6" s="1"/>
  <c r="E455" i="6"/>
  <c r="F455" i="6" s="1"/>
  <c r="E483" i="6"/>
  <c r="F483" i="6" s="1"/>
  <c r="E499" i="6"/>
  <c r="F499" i="6" s="1"/>
  <c r="E531" i="6"/>
  <c r="F531" i="6" s="1"/>
  <c r="E566" i="6"/>
  <c r="F566" i="6" s="1"/>
  <c r="M6473" i="7"/>
  <c r="N6473" i="7" s="1"/>
  <c r="M6424" i="7"/>
  <c r="N6424" i="7" s="1"/>
  <c r="M6423" i="7"/>
  <c r="N6423" i="7" s="1"/>
  <c r="M6234" i="7"/>
  <c r="N6234" i="7" s="1"/>
  <c r="M6233" i="7"/>
  <c r="N6233" i="7" s="1"/>
  <c r="M5990" i="7"/>
  <c r="N5990" i="7" s="1"/>
  <c r="M6256" i="7"/>
  <c r="N6256" i="7" s="1"/>
  <c r="M6225" i="7"/>
  <c r="N6225" i="7" s="1"/>
  <c r="M5989" i="7"/>
  <c r="N5989" i="7" s="1"/>
  <c r="M5860" i="7"/>
  <c r="N5860" i="7" s="1"/>
  <c r="M5988" i="7"/>
  <c r="N5988" i="7" s="1"/>
  <c r="M5982" i="7"/>
  <c r="N5982" i="7" s="1"/>
  <c r="M5709" i="7"/>
  <c r="N5709" i="7" s="1"/>
  <c r="M5708" i="7"/>
  <c r="N5708" i="7" s="1"/>
  <c r="M5650" i="7"/>
  <c r="N5650" i="7" s="1"/>
  <c r="M5649" i="7"/>
  <c r="N5649" i="7" s="1"/>
  <c r="M5139" i="7"/>
  <c r="N5139" i="7" s="1"/>
  <c r="M5138" i="7"/>
  <c r="N5138" i="7" s="1"/>
  <c r="M5137" i="7"/>
  <c r="N5137" i="7" s="1"/>
  <c r="M5136" i="7"/>
  <c r="N5136" i="7" s="1"/>
  <c r="M4880" i="7"/>
  <c r="N4880" i="7" s="1"/>
  <c r="M4616" i="7"/>
  <c r="N4616" i="7" s="1"/>
  <c r="M4879" i="7"/>
  <c r="N4879" i="7" s="1"/>
  <c r="M4727" i="7"/>
  <c r="N4727" i="7" s="1"/>
  <c r="M4878" i="7"/>
  <c r="N4878" i="7" s="1"/>
  <c r="M4392" i="7"/>
  <c r="N4392" i="7" s="1"/>
  <c r="M4184" i="7"/>
  <c r="N4184" i="7" s="1"/>
  <c r="M4128" i="7"/>
  <c r="N4128" i="7" s="1"/>
  <c r="M4120" i="7"/>
  <c r="N4120" i="7" s="1"/>
  <c r="M4391" i="7"/>
  <c r="N4391" i="7" s="1"/>
  <c r="M4615" i="7"/>
  <c r="N4615" i="7" s="1"/>
  <c r="M4394" i="7"/>
  <c r="N4394" i="7" s="1"/>
  <c r="M4393" i="7"/>
  <c r="N4393" i="7" s="1"/>
  <c r="M4145" i="7"/>
  <c r="N4145" i="7" s="1"/>
  <c r="M3926" i="7"/>
  <c r="N3926" i="7" s="1"/>
  <c r="M4146" i="7"/>
  <c r="N4146" i="7" s="1"/>
  <c r="M3466" i="7"/>
  <c r="N3466" i="7" s="1"/>
  <c r="M3721" i="7"/>
  <c r="N3721" i="7" s="1"/>
  <c r="M4121" i="7"/>
  <c r="N4121" i="7" s="1"/>
  <c r="M3477" i="7"/>
  <c r="N3477" i="7" s="1"/>
  <c r="M2907" i="7"/>
  <c r="N2907" i="7" s="1"/>
  <c r="M3218" i="7"/>
  <c r="N3218" i="7" s="1"/>
  <c r="M2906" i="7"/>
  <c r="N2906" i="7" s="1"/>
  <c r="M3161" i="7"/>
  <c r="N3161" i="7" s="1"/>
  <c r="M3160" i="7"/>
  <c r="N3160" i="7" s="1"/>
  <c r="M3517" i="7"/>
  <c r="N3517" i="7" s="1"/>
  <c r="M3467" i="7"/>
  <c r="N3467" i="7" s="1"/>
  <c r="M2459" i="7"/>
  <c r="N2459" i="7" s="1"/>
  <c r="M2458" i="7"/>
  <c r="N2458" i="7" s="1"/>
  <c r="M2793" i="7"/>
  <c r="N2793" i="7" s="1"/>
  <c r="M2664" i="7"/>
  <c r="N2664" i="7" s="1"/>
  <c r="M2424" i="7"/>
  <c r="N2424" i="7" s="1"/>
  <c r="M2909" i="7"/>
  <c r="N2909" i="7" s="1"/>
  <c r="M2663" i="7"/>
  <c r="N2663" i="7" s="1"/>
  <c r="M2415" i="7"/>
  <c r="N2415" i="7" s="1"/>
  <c r="M2908" i="7"/>
  <c r="N2908" i="7" s="1"/>
  <c r="M2582" i="7"/>
  <c r="N2582" i="7" s="1"/>
  <c r="M2127" i="7"/>
  <c r="N2127" i="7" s="1"/>
  <c r="M1815" i="7"/>
  <c r="N1815" i="7" s="1"/>
  <c r="M2126" i="7"/>
  <c r="N2126" i="7" s="1"/>
  <c r="M1814" i="7"/>
  <c r="N1814" i="7" s="1"/>
  <c r="M2125" i="7"/>
  <c r="N2125" i="7" s="1"/>
  <c r="M1813" i="7"/>
  <c r="N1813" i="7" s="1"/>
  <c r="M1980" i="7"/>
  <c r="N1980" i="7" s="1"/>
  <c r="M1812" i="7"/>
  <c r="N1812" i="7" s="1"/>
  <c r="M1979" i="7"/>
  <c r="N1979" i="7" s="1"/>
  <c r="M1978" i="7"/>
  <c r="N1978" i="7" s="1"/>
  <c r="M2179" i="7"/>
  <c r="N2179" i="7" s="1"/>
  <c r="M2025" i="7"/>
  <c r="N2025" i="7" s="1"/>
  <c r="M1977" i="7"/>
  <c r="N1977" i="7" s="1"/>
  <c r="M2128" i="7"/>
  <c r="N2128" i="7" s="1"/>
  <c r="M1816" i="7"/>
  <c r="N1816" i="7" s="1"/>
  <c r="M1454" i="7"/>
  <c r="N1454" i="7" s="1"/>
  <c r="M1366" i="7"/>
  <c r="N1366" i="7" s="1"/>
  <c r="M1029" i="7"/>
  <c r="N1029" i="7" s="1"/>
  <c r="M1027" i="7"/>
  <c r="N1027" i="7" s="1"/>
  <c r="M1369" i="7"/>
  <c r="N1369" i="7" s="1"/>
  <c r="M1368" i="7"/>
  <c r="N1368" i="7" s="1"/>
  <c r="M1367" i="7"/>
  <c r="N1367" i="7" s="1"/>
  <c r="M1064" i="7"/>
  <c r="N1064" i="7" s="1"/>
  <c r="M716" i="7"/>
  <c r="N716" i="7" s="1"/>
  <c r="M348" i="7"/>
  <c r="N348" i="7" s="1"/>
  <c r="M340" i="7"/>
  <c r="N340" i="7" s="1"/>
  <c r="M1063" i="7"/>
  <c r="N1063" i="7" s="1"/>
  <c r="M1031" i="7"/>
  <c r="N1031" i="7" s="1"/>
  <c r="M715" i="7"/>
  <c r="N715" i="7" s="1"/>
  <c r="M347" i="7"/>
  <c r="N347" i="7" s="1"/>
  <c r="M1030" i="7"/>
  <c r="N1030" i="7" s="1"/>
  <c r="M1028" i="7"/>
  <c r="N1028" i="7" s="1"/>
  <c r="M393" i="7"/>
  <c r="N393" i="7" s="1"/>
  <c r="M616" i="7"/>
  <c r="N616" i="7" s="1"/>
  <c r="M927" i="7"/>
  <c r="N927" i="7" s="1"/>
  <c r="M639" i="7"/>
  <c r="N639" i="7" s="1"/>
  <c r="M615" i="7"/>
  <c r="N615" i="7" s="1"/>
  <c r="M638" i="7"/>
  <c r="N638" i="7" s="1"/>
  <c r="M614" i="7"/>
  <c r="N614" i="7" s="1"/>
  <c r="M637" i="7"/>
  <c r="N637" i="7" s="1"/>
  <c r="M22" i="7"/>
  <c r="N22" i="7" s="1"/>
  <c r="M341" i="7"/>
  <c r="N341" i="7" s="1"/>
  <c r="M2" i="7"/>
  <c r="N2" i="7" s="1"/>
  <c r="M79" i="7"/>
  <c r="N79" i="7" s="1"/>
  <c r="M23" i="7"/>
  <c r="N23" i="7" s="1"/>
  <c r="M6799" i="7"/>
  <c r="N6799" i="7" s="1"/>
  <c r="M6719" i="7"/>
  <c r="N6719" i="7" s="1"/>
  <c r="M6798" i="7"/>
  <c r="N6798" i="7" s="1"/>
  <c r="M6694" i="7"/>
  <c r="N6694" i="7" s="1"/>
  <c r="M6700" i="7"/>
  <c r="N6700" i="7" s="1"/>
  <c r="M6699" i="7"/>
  <c r="N6699" i="7" s="1"/>
  <c r="M6721" i="7"/>
  <c r="N6721" i="7" s="1"/>
  <c r="M6720" i="7"/>
  <c r="N6720" i="7" s="1"/>
  <c r="M6569" i="7"/>
  <c r="N6569" i="7" s="1"/>
  <c r="M6238" i="7"/>
  <c r="N6238" i="7" s="1"/>
  <c r="M6230" i="7"/>
  <c r="N6230" i="7" s="1"/>
  <c r="M6436" i="7"/>
  <c r="N6436" i="7" s="1"/>
  <c r="M6224" i="7"/>
  <c r="N6224" i="7" s="1"/>
  <c r="M6108" i="7"/>
  <c r="N6108" i="7" s="1"/>
  <c r="M6107" i="7"/>
  <c r="N6107" i="7" s="1"/>
  <c r="M6229" i="7"/>
  <c r="N6229" i="7" s="1"/>
  <c r="M6007" i="7"/>
  <c r="N6007" i="7" s="1"/>
  <c r="M5872" i="7"/>
  <c r="N5872" i="7" s="1"/>
  <c r="M5783" i="7"/>
  <c r="N5783" i="7" s="1"/>
  <c r="M5782" i="7"/>
  <c r="N5782" i="7" s="1"/>
  <c r="M5670" i="7"/>
  <c r="N5670" i="7" s="1"/>
  <c r="M5304" i="7"/>
  <c r="N5304" i="7" s="1"/>
  <c r="M5310" i="7"/>
  <c r="N5310" i="7" s="1"/>
  <c r="M5309" i="7"/>
  <c r="N5309" i="7" s="1"/>
  <c r="M5307" i="7"/>
  <c r="N5307" i="7" s="1"/>
  <c r="M5306" i="7"/>
  <c r="N5306" i="7" s="1"/>
  <c r="M5305" i="7"/>
  <c r="N5305" i="7" s="1"/>
  <c r="M5308" i="7"/>
  <c r="N5308" i="7" s="1"/>
  <c r="M5087" i="7"/>
  <c r="N5087" i="7" s="1"/>
  <c r="M4816" i="7"/>
  <c r="N4816" i="7" s="1"/>
  <c r="M4600" i="7"/>
  <c r="N4600" i="7" s="1"/>
  <c r="M4895" i="7"/>
  <c r="N4895" i="7" s="1"/>
  <c r="M4887" i="7"/>
  <c r="N4887" i="7" s="1"/>
  <c r="M4815" i="7"/>
  <c r="N4815" i="7" s="1"/>
  <c r="M4602" i="7"/>
  <c r="N4602" i="7" s="1"/>
  <c r="M4136" i="7"/>
  <c r="N4136" i="7" s="1"/>
  <c r="M4601" i="7"/>
  <c r="N4601" i="7" s="1"/>
  <c r="M4599" i="7"/>
  <c r="N4599" i="7" s="1"/>
  <c r="M4127" i="7"/>
  <c r="N4127" i="7" s="1"/>
  <c r="M4422" i="7"/>
  <c r="N4422" i="7" s="1"/>
  <c r="M4405" i="7"/>
  <c r="N4405" i="7" s="1"/>
  <c r="M4628" i="7"/>
  <c r="N4628" i="7" s="1"/>
  <c r="M4404" i="7"/>
  <c r="N4404" i="7" s="1"/>
  <c r="M4627" i="7"/>
  <c r="N4627" i="7" s="1"/>
  <c r="M4403" i="7"/>
  <c r="N4403" i="7" s="1"/>
  <c r="M3949" i="7"/>
  <c r="N3949" i="7" s="1"/>
  <c r="M3948" i="7"/>
  <c r="N3948" i="7" s="1"/>
  <c r="M3947" i="7"/>
  <c r="N3947" i="7" s="1"/>
  <c r="M3489" i="7"/>
  <c r="N3489" i="7" s="1"/>
  <c r="M3473" i="7"/>
  <c r="N3473" i="7" s="1"/>
  <c r="M3912" i="7"/>
  <c r="N3912" i="7" s="1"/>
  <c r="M3800" i="7"/>
  <c r="N3800" i="7" s="1"/>
  <c r="M4137" i="7"/>
  <c r="N4137" i="7" s="1"/>
  <c r="M3799" i="7"/>
  <c r="N3799" i="7" s="1"/>
  <c r="M3179" i="7"/>
  <c r="N3179" i="7" s="1"/>
  <c r="M3147" i="7"/>
  <c r="N3147" i="7" s="1"/>
  <c r="M3178" i="7"/>
  <c r="N3178" i="7" s="1"/>
  <c r="M3050" i="7"/>
  <c r="N3050" i="7" s="1"/>
  <c r="M2874" i="7"/>
  <c r="N2874" i="7" s="1"/>
  <c r="M3297" i="7"/>
  <c r="N3297" i="7" s="1"/>
  <c r="M3055" i="7"/>
  <c r="N3055" i="7" s="1"/>
  <c r="M3182" i="7"/>
  <c r="N3182" i="7" s="1"/>
  <c r="M3054" i="7"/>
  <c r="N3054" i="7" s="1"/>
  <c r="M3465" i="7"/>
  <c r="N3465" i="7" s="1"/>
  <c r="M3181" i="7"/>
  <c r="N3181" i="7" s="1"/>
  <c r="M3180" i="7"/>
  <c r="N3180" i="7" s="1"/>
  <c r="M3148" i="7"/>
  <c r="N3148" i="7" s="1"/>
  <c r="M2996" i="7"/>
  <c r="N2996" i="7" s="1"/>
  <c r="M2420" i="7"/>
  <c r="N2420" i="7" s="1"/>
  <c r="M2422" i="7"/>
  <c r="N2422" i="7" s="1"/>
  <c r="M2390" i="7"/>
  <c r="N2390" i="7" s="1"/>
  <c r="M2421" i="7"/>
  <c r="N2421" i="7" s="1"/>
  <c r="M1998" i="7"/>
  <c r="N1998" i="7" s="1"/>
  <c r="M2141" i="7"/>
  <c r="N2141" i="7" s="1"/>
  <c r="M1997" i="7"/>
  <c r="N1997" i="7" s="1"/>
  <c r="M2140" i="7"/>
  <c r="N2140" i="7" s="1"/>
  <c r="M2139" i="7"/>
  <c r="N2139" i="7" s="1"/>
  <c r="M2138" i="7"/>
  <c r="N2138" i="7" s="1"/>
  <c r="M1898" i="7"/>
  <c r="N1898" i="7" s="1"/>
  <c r="M1574" i="7"/>
  <c r="N1574" i="7" s="1"/>
  <c r="M1406" i="7"/>
  <c r="N1406" i="7" s="1"/>
  <c r="M1573" i="7"/>
  <c r="N1573" i="7" s="1"/>
  <c r="M1572" i="7"/>
  <c r="N1572" i="7" s="1"/>
  <c r="M1051" i="7"/>
  <c r="N1051" i="7" s="1"/>
  <c r="M1410" i="7"/>
  <c r="N1410" i="7" s="1"/>
  <c r="M1050" i="7"/>
  <c r="N1050" i="7" s="1"/>
  <c r="M1409" i="7"/>
  <c r="N1409" i="7" s="1"/>
  <c r="M1576" i="7"/>
  <c r="N1576" i="7" s="1"/>
  <c r="M1408" i="7"/>
  <c r="N1408" i="7" s="1"/>
  <c r="M1575" i="7"/>
  <c r="N1575" i="7" s="1"/>
  <c r="M1407" i="7"/>
  <c r="N1407" i="7" s="1"/>
  <c r="M364" i="7"/>
  <c r="N364" i="7" s="1"/>
  <c r="M1191" i="7"/>
  <c r="N1191" i="7" s="1"/>
  <c r="M363" i="7"/>
  <c r="N363" i="7" s="1"/>
  <c r="M666" i="7"/>
  <c r="N666" i="7" s="1"/>
  <c r="M1081" i="7"/>
  <c r="N1081" i="7" s="1"/>
  <c r="M1049" i="7"/>
  <c r="N1049" i="7" s="1"/>
  <c r="M665" i="7"/>
  <c r="N665" i="7" s="1"/>
  <c r="M633" i="7"/>
  <c r="N633" i="7" s="1"/>
  <c r="M577" i="7"/>
  <c r="N577" i="7" s="1"/>
  <c r="M361" i="7"/>
  <c r="N361" i="7" s="1"/>
  <c r="M345" i="7"/>
  <c r="N345" i="7" s="1"/>
  <c r="M193" i="7"/>
  <c r="N193" i="7" s="1"/>
  <c r="M1080" i="7"/>
  <c r="N1080" i="7" s="1"/>
  <c r="M1052" i="7"/>
  <c r="N1052" i="7" s="1"/>
  <c r="M1048" i="7"/>
  <c r="N1048" i="7" s="1"/>
  <c r="M632" i="7"/>
  <c r="N632" i="7" s="1"/>
  <c r="M1047" i="7"/>
  <c r="N1047" i="7" s="1"/>
  <c r="M838" i="7"/>
  <c r="N838" i="7" s="1"/>
  <c r="M362" i="7"/>
  <c r="N362" i="7" s="1"/>
  <c r="M360" i="7"/>
  <c r="N360" i="7" s="1"/>
  <c r="M192" i="7"/>
  <c r="N192" i="7" s="1"/>
  <c r="E604" i="6"/>
  <c r="F604" i="6" s="1"/>
  <c r="E600" i="6"/>
  <c r="F600" i="6" s="1"/>
  <c r="E596" i="6"/>
  <c r="F596" i="6" s="1"/>
  <c r="E592" i="6"/>
  <c r="F592" i="6" s="1"/>
  <c r="E588" i="6"/>
  <c r="F588" i="6" s="1"/>
  <c r="E584" i="6"/>
  <c r="F584" i="6" s="1"/>
  <c r="E605" i="6"/>
  <c r="F605" i="6" s="1"/>
  <c r="E601" i="6"/>
  <c r="F601" i="6" s="1"/>
  <c r="E597" i="6"/>
  <c r="F597" i="6" s="1"/>
  <c r="E593" i="6"/>
  <c r="F593" i="6" s="1"/>
  <c r="E589" i="6"/>
  <c r="F589" i="6" s="1"/>
  <c r="E585" i="6"/>
  <c r="F585" i="6" s="1"/>
  <c r="M43" i="7"/>
  <c r="N43" i="7" s="1"/>
  <c r="M42" i="7"/>
  <c r="N42" i="7" s="1"/>
  <c r="E606" i="6"/>
  <c r="F606" i="6" s="1"/>
  <c r="E602" i="6"/>
  <c r="F602" i="6" s="1"/>
  <c r="E598" i="6"/>
  <c r="F598" i="6" s="1"/>
  <c r="E594" i="6"/>
  <c r="F594" i="6" s="1"/>
  <c r="E590" i="6"/>
  <c r="F590" i="6" s="1"/>
  <c r="E586" i="6"/>
  <c r="F586" i="6" s="1"/>
  <c r="M41" i="7"/>
  <c r="N41" i="7" s="1"/>
  <c r="E607" i="6"/>
  <c r="F607" i="6" s="1"/>
  <c r="E603" i="6"/>
  <c r="F603" i="6" s="1"/>
  <c r="E599" i="6"/>
  <c r="F599" i="6" s="1"/>
  <c r="E595" i="6"/>
  <c r="F595" i="6" s="1"/>
  <c r="E591" i="6"/>
  <c r="F591" i="6" s="1"/>
  <c r="E587" i="6"/>
  <c r="F587" i="6" s="1"/>
  <c r="M15" i="7"/>
  <c r="N15" i="7" s="1"/>
  <c r="M6028" i="7"/>
  <c r="N6028" i="7" s="1"/>
  <c r="M6027" i="7"/>
  <c r="N6027" i="7" s="1"/>
  <c r="M6030" i="7"/>
  <c r="N6030" i="7" s="1"/>
  <c r="M6029" i="7"/>
  <c r="N6029" i="7" s="1"/>
  <c r="M5891" i="7"/>
  <c r="N5891" i="7" s="1"/>
  <c r="M5890" i="7"/>
  <c r="N5890" i="7" s="1"/>
  <c r="M6026" i="7"/>
  <c r="N6026" i="7" s="1"/>
  <c r="M5889" i="7"/>
  <c r="N5889" i="7" s="1"/>
  <c r="M5418" i="7"/>
  <c r="N5418" i="7" s="1"/>
  <c r="M5417" i="7"/>
  <c r="N5417" i="7" s="1"/>
  <c r="M5135" i="7"/>
  <c r="N5135" i="7" s="1"/>
  <c r="M5127" i="7"/>
  <c r="N5127" i="7" s="1"/>
  <c r="M5416" i="7"/>
  <c r="N5416" i="7" s="1"/>
  <c r="M5415" i="7"/>
  <c r="N5415" i="7" s="1"/>
  <c r="M5420" i="7"/>
  <c r="N5420" i="7" s="1"/>
  <c r="M5419" i="7"/>
  <c r="N5419" i="7" s="1"/>
  <c r="M5131" i="7"/>
  <c r="N5131" i="7" s="1"/>
  <c r="M5130" i="7"/>
  <c r="N5130" i="7" s="1"/>
  <c r="M5129" i="7"/>
  <c r="N5129" i="7" s="1"/>
  <c r="M5128" i="7"/>
  <c r="N5128" i="7" s="1"/>
  <c r="M5134" i="7"/>
  <c r="N5134" i="7" s="1"/>
  <c r="M5133" i="7"/>
  <c r="N5133" i="7" s="1"/>
  <c r="M5132" i="7"/>
  <c r="N5132" i="7" s="1"/>
  <c r="M1683" i="7"/>
  <c r="N1683" i="7" s="1"/>
  <c r="M1453" i="7"/>
  <c r="N1453" i="7" s="1"/>
  <c r="M1684" i="7"/>
  <c r="N1684" i="7" s="1"/>
  <c r="M1682" i="7"/>
  <c r="N1682" i="7" s="1"/>
  <c r="M1452" i="7"/>
  <c r="N1452" i="7" s="1"/>
  <c r="M1451" i="7"/>
  <c r="N1451" i="7" s="1"/>
  <c r="M1450" i="7"/>
  <c r="N1450" i="7" s="1"/>
  <c r="M924" i="7"/>
  <c r="N924" i="7" s="1"/>
  <c r="M923" i="7"/>
  <c r="N923" i="7" s="1"/>
  <c r="M259" i="7"/>
  <c r="N259" i="7" s="1"/>
  <c r="M922" i="7"/>
  <c r="N922" i="7" s="1"/>
  <c r="M714" i="7"/>
  <c r="N714" i="7" s="1"/>
  <c r="M713" i="7"/>
  <c r="N713" i="7" s="1"/>
  <c r="M712" i="7"/>
  <c r="N712" i="7" s="1"/>
  <c r="M711" i="7"/>
  <c r="N711" i="7" s="1"/>
  <c r="M926" i="7"/>
  <c r="N926" i="7" s="1"/>
  <c r="M710" i="7"/>
  <c r="N710" i="7" s="1"/>
  <c r="M925" i="7"/>
  <c r="N925" i="7" s="1"/>
  <c r="M78" i="7"/>
  <c r="N78" i="7" s="1"/>
  <c r="M77" i="7"/>
  <c r="N77" i="7" s="1"/>
  <c r="M76" i="7"/>
  <c r="N76" i="7" s="1"/>
  <c r="M260" i="7"/>
  <c r="N260" i="7" s="1"/>
  <c r="M6491" i="7"/>
  <c r="N6491" i="7" s="1"/>
  <c r="M6353" i="7"/>
  <c r="N6353" i="7" s="1"/>
  <c r="M6496" i="7"/>
  <c r="N6496" i="7" s="1"/>
  <c r="M6495" i="7"/>
  <c r="N6495" i="7" s="1"/>
  <c r="M6494" i="7"/>
  <c r="N6494" i="7" s="1"/>
  <c r="M6493" i="7"/>
  <c r="N6493" i="7" s="1"/>
  <c r="M6492" i="7"/>
  <c r="N6492" i="7" s="1"/>
  <c r="M6052" i="7"/>
  <c r="N6052" i="7" s="1"/>
  <c r="M6352" i="7"/>
  <c r="N6352" i="7" s="1"/>
  <c r="M6351" i="7"/>
  <c r="N6351" i="7" s="1"/>
  <c r="M5905" i="7"/>
  <c r="N5905" i="7" s="1"/>
  <c r="M5732" i="7"/>
  <c r="N5732" i="7" s="1"/>
  <c r="M5577" i="7"/>
  <c r="N5577" i="7" s="1"/>
  <c r="M5576" i="7"/>
  <c r="N5576" i="7" s="1"/>
  <c r="M5575" i="7"/>
  <c r="N5575" i="7" s="1"/>
  <c r="M5438" i="7"/>
  <c r="N5438" i="7" s="1"/>
  <c r="M5440" i="7"/>
  <c r="N5440" i="7" s="1"/>
  <c r="M5439" i="7"/>
  <c r="N5439" i="7" s="1"/>
  <c r="M5437" i="7"/>
  <c r="N5437" i="7" s="1"/>
  <c r="M5183" i="7"/>
  <c r="N5183" i="7" s="1"/>
  <c r="M5443" i="7"/>
  <c r="N5443" i="7" s="1"/>
  <c r="M5442" i="7"/>
  <c r="N5442" i="7" s="1"/>
  <c r="M5441" i="7"/>
  <c r="N5441" i="7" s="1"/>
  <c r="M5189" i="7"/>
  <c r="N5189" i="7" s="1"/>
  <c r="M5188" i="7"/>
  <c r="N5188" i="7" s="1"/>
  <c r="M5187" i="7"/>
  <c r="N5187" i="7" s="1"/>
  <c r="M5186" i="7"/>
  <c r="N5186" i="7" s="1"/>
  <c r="M5185" i="7"/>
  <c r="N5185" i="7" s="1"/>
  <c r="M5184" i="7"/>
  <c r="N5184" i="7" s="1"/>
  <c r="M4757" i="7"/>
  <c r="N4757" i="7" s="1"/>
  <c r="M4756" i="7"/>
  <c r="N4756" i="7" s="1"/>
  <c r="M4755" i="7"/>
  <c r="N4755" i="7" s="1"/>
  <c r="M4754" i="7"/>
  <c r="N4754" i="7" s="1"/>
  <c r="M4320" i="7"/>
  <c r="N4320" i="7" s="1"/>
  <c r="M4200" i="7"/>
  <c r="N4200" i="7" s="1"/>
  <c r="M4319" i="7"/>
  <c r="N4319" i="7" s="1"/>
  <c r="M4653" i="7"/>
  <c r="N4653" i="7" s="1"/>
  <c r="M4652" i="7"/>
  <c r="N4652" i="7" s="1"/>
  <c r="M4651" i="7"/>
  <c r="N4651" i="7" s="1"/>
  <c r="M4321" i="7"/>
  <c r="N4321" i="7" s="1"/>
  <c r="M4201" i="7"/>
  <c r="N4201" i="7" s="1"/>
  <c r="M3742" i="7"/>
  <c r="N3742" i="7" s="1"/>
  <c r="M3741" i="7"/>
  <c r="N3741" i="7" s="1"/>
  <c r="M3743" i="7"/>
  <c r="N3743" i="7" s="1"/>
  <c r="M3243" i="7"/>
  <c r="N3243" i="7" s="1"/>
  <c r="M2835" i="7"/>
  <c r="N2835" i="7" s="1"/>
  <c r="M3242" i="7"/>
  <c r="N3242" i="7" s="1"/>
  <c r="M2834" i="7"/>
  <c r="N2834" i="7" s="1"/>
  <c r="M3241" i="7"/>
  <c r="N3241" i="7" s="1"/>
  <c r="M3392" i="7"/>
  <c r="N3392" i="7" s="1"/>
  <c r="M3240" i="7"/>
  <c r="N3240" i="7" s="1"/>
  <c r="M2838" i="7"/>
  <c r="N2838" i="7" s="1"/>
  <c r="M2684" i="7"/>
  <c r="N2684" i="7" s="1"/>
  <c r="M2348" i="7"/>
  <c r="N2348" i="7" s="1"/>
  <c r="M2683" i="7"/>
  <c r="N2683" i="7" s="1"/>
  <c r="M2682" i="7"/>
  <c r="N2682" i="7" s="1"/>
  <c r="M2681" i="7"/>
  <c r="N2681" i="7" s="1"/>
  <c r="M2680" i="7"/>
  <c r="N2680" i="7" s="1"/>
  <c r="M2679" i="7"/>
  <c r="N2679" i="7" s="1"/>
  <c r="M2839" i="7"/>
  <c r="N2839" i="7" s="1"/>
  <c r="M2837" i="7"/>
  <c r="N2837" i="7" s="1"/>
  <c r="M2836" i="7"/>
  <c r="N2836" i="7" s="1"/>
  <c r="M2685" i="7"/>
  <c r="N2685" i="7" s="1"/>
  <c r="M2349" i="7"/>
  <c r="N2349" i="7" s="1"/>
  <c r="M2209" i="7"/>
  <c r="N2209" i="7" s="1"/>
  <c r="M1701" i="7"/>
  <c r="N1701" i="7" s="1"/>
  <c r="M2210" i="7"/>
  <c r="N2210" i="7" s="1"/>
  <c r="M1478" i="7"/>
  <c r="N1478" i="7" s="1"/>
  <c r="M1477" i="7"/>
  <c r="N1477" i="7" s="1"/>
  <c r="M1700" i="7"/>
  <c r="N1700" i="7" s="1"/>
  <c r="M1476" i="7"/>
  <c r="N1476" i="7" s="1"/>
  <c r="M1481" i="7"/>
  <c r="N1481" i="7" s="1"/>
  <c r="M1480" i="7"/>
  <c r="N1480" i="7" s="1"/>
  <c r="M1479" i="7"/>
  <c r="N1479" i="7" s="1"/>
  <c r="M940" i="7"/>
  <c r="N940" i="7" s="1"/>
  <c r="M748" i="7"/>
  <c r="N748" i="7" s="1"/>
  <c r="M939" i="7"/>
  <c r="N939" i="7" s="1"/>
  <c r="M747" i="7"/>
  <c r="N747" i="7" s="1"/>
  <c r="M938" i="7"/>
  <c r="N938" i="7" s="1"/>
  <c r="M746" i="7"/>
  <c r="N746" i="7" s="1"/>
  <c r="M937" i="7"/>
  <c r="N937" i="7" s="1"/>
  <c r="M745" i="7"/>
  <c r="N745" i="7" s="1"/>
  <c r="M744" i="7"/>
  <c r="N744" i="7" s="1"/>
  <c r="M943" i="7"/>
  <c r="N943" i="7" s="1"/>
  <c r="M743" i="7"/>
  <c r="N743" i="7" s="1"/>
  <c r="M942" i="7"/>
  <c r="N942" i="7" s="1"/>
  <c r="M941" i="7"/>
  <c r="N941" i="7" s="1"/>
  <c r="M749" i="7"/>
  <c r="N749" i="7" s="1"/>
  <c r="M108" i="7"/>
  <c r="N108" i="7" s="1"/>
  <c r="M107" i="7"/>
  <c r="N107" i="7" s="1"/>
  <c r="M272" i="7"/>
  <c r="N272" i="7" s="1"/>
  <c r="M106" i="7"/>
  <c r="N106" i="7" s="1"/>
  <c r="M271" i="7"/>
  <c r="N271" i="7" s="1"/>
  <c r="M105" i="7"/>
  <c r="N105" i="7" s="1"/>
  <c r="M270" i="7"/>
  <c r="N270" i="7" s="1"/>
  <c r="M104" i="7"/>
  <c r="N104" i="7" s="1"/>
  <c r="M103" i="7"/>
  <c r="N103" i="7" s="1"/>
  <c r="M6773" i="7"/>
  <c r="N6773" i="7" s="1"/>
  <c r="M6772" i="7"/>
  <c r="N6772" i="7" s="1"/>
  <c r="M6771" i="7"/>
  <c r="N6771" i="7" s="1"/>
  <c r="M6651" i="7"/>
  <c r="N6651" i="7" s="1"/>
  <c r="M6770" i="7"/>
  <c r="N6770" i="7" s="1"/>
  <c r="M6650" i="7"/>
  <c r="N6650" i="7" s="1"/>
  <c r="M6522" i="7"/>
  <c r="N6522" i="7" s="1"/>
  <c r="M6769" i="7"/>
  <c r="N6769" i="7" s="1"/>
  <c r="M6649" i="7"/>
  <c r="N6649" i="7" s="1"/>
  <c r="M6648" i="7"/>
  <c r="N6648" i="7" s="1"/>
  <c r="M6524" i="7"/>
  <c r="N6524" i="7" s="1"/>
  <c r="M6275" i="7"/>
  <c r="N6275" i="7" s="1"/>
  <c r="M6523" i="7"/>
  <c r="N6523" i="7" s="1"/>
  <c r="M6521" i="7"/>
  <c r="N6521" i="7" s="1"/>
  <c r="M6520" i="7"/>
  <c r="N6520" i="7" s="1"/>
  <c r="M6519" i="7"/>
  <c r="N6519" i="7" s="1"/>
  <c r="M6367" i="7"/>
  <c r="N6367" i="7" s="1"/>
  <c r="M6518" i="7"/>
  <c r="N6518" i="7" s="1"/>
  <c r="M6526" i="7"/>
  <c r="N6526" i="7" s="1"/>
  <c r="M6525" i="7"/>
  <c r="N6525" i="7" s="1"/>
  <c r="M6276" i="7"/>
  <c r="N6276" i="7" s="1"/>
  <c r="M6274" i="7"/>
  <c r="N6274" i="7" s="1"/>
  <c r="M6075" i="7"/>
  <c r="N6075" i="7" s="1"/>
  <c r="M6277" i="7"/>
  <c r="N6277" i="7" s="1"/>
  <c r="M6273" i="7"/>
  <c r="N6273" i="7" s="1"/>
  <c r="M6178" i="7"/>
  <c r="N6178" i="7" s="1"/>
  <c r="M6074" i="7"/>
  <c r="N6074" i="7" s="1"/>
  <c r="M6272" i="7"/>
  <c r="N6272" i="7" s="1"/>
  <c r="M6177" i="7"/>
  <c r="N6177" i="7" s="1"/>
  <c r="M6271" i="7"/>
  <c r="N6271" i="7" s="1"/>
  <c r="M6072" i="7"/>
  <c r="N6072" i="7" s="1"/>
  <c r="M6070" i="7"/>
  <c r="N6070" i="7" s="1"/>
  <c r="M5757" i="7"/>
  <c r="N5757" i="7" s="1"/>
  <c r="M5755" i="7"/>
  <c r="N5755" i="7" s="1"/>
  <c r="M5921" i="7"/>
  <c r="N5921" i="7" s="1"/>
  <c r="M6073" i="7"/>
  <c r="N6073" i="7" s="1"/>
  <c r="M6071" i="7"/>
  <c r="N6071" i="7" s="1"/>
  <c r="M5920" i="7"/>
  <c r="N5920" i="7" s="1"/>
  <c r="M5919" i="7"/>
  <c r="N5919" i="7" s="1"/>
  <c r="M5753" i="7"/>
  <c r="N5753" i="7" s="1"/>
  <c r="M5752" i="7"/>
  <c r="N5752" i="7" s="1"/>
  <c r="M5468" i="7"/>
  <c r="N5468" i="7" s="1"/>
  <c r="M5751" i="7"/>
  <c r="N5751" i="7" s="1"/>
  <c r="M5595" i="7"/>
  <c r="N5595" i="7" s="1"/>
  <c r="M5762" i="7"/>
  <c r="N5762" i="7" s="1"/>
  <c r="M5750" i="7"/>
  <c r="N5750" i="7" s="1"/>
  <c r="M5594" i="7"/>
  <c r="N5594" i="7" s="1"/>
  <c r="M5761" i="7"/>
  <c r="N5761" i="7" s="1"/>
  <c r="M5593" i="7"/>
  <c r="N5593" i="7" s="1"/>
  <c r="M5760" i="7"/>
  <c r="N5760" i="7" s="1"/>
  <c r="M5759" i="7"/>
  <c r="N5759" i="7" s="1"/>
  <c r="M5758" i="7"/>
  <c r="N5758" i="7" s="1"/>
  <c r="M5756" i="7"/>
  <c r="N5756" i="7" s="1"/>
  <c r="M5754" i="7"/>
  <c r="N5754" i="7" s="1"/>
  <c r="M5470" i="7"/>
  <c r="N5470" i="7" s="1"/>
  <c r="M5462" i="7"/>
  <c r="N5462" i="7" s="1"/>
  <c r="M5240" i="7"/>
  <c r="N5240" i="7" s="1"/>
  <c r="M5232" i="7"/>
  <c r="N5232" i="7" s="1"/>
  <c r="M5239" i="7"/>
  <c r="N5239" i="7" s="1"/>
  <c r="M5231" i="7"/>
  <c r="N5231" i="7" s="1"/>
  <c r="M5238" i="7"/>
  <c r="N5238" i="7" s="1"/>
  <c r="M5469" i="7"/>
  <c r="N5469" i="7" s="1"/>
  <c r="M5467" i="7"/>
  <c r="N5467" i="7" s="1"/>
  <c r="M5237" i="7"/>
  <c r="N5237" i="7" s="1"/>
  <c r="M5466" i="7"/>
  <c r="N5466" i="7" s="1"/>
  <c r="M5465" i="7"/>
  <c r="N5465" i="7" s="1"/>
  <c r="M5235" i="7"/>
  <c r="N5235" i="7" s="1"/>
  <c r="M5464" i="7"/>
  <c r="N5464" i="7" s="1"/>
  <c r="M5242" i="7"/>
  <c r="N5242" i="7" s="1"/>
  <c r="M5463" i="7"/>
  <c r="N5463" i="7" s="1"/>
  <c r="M5461" i="7"/>
  <c r="N5461" i="7" s="1"/>
  <c r="M5233" i="7"/>
  <c r="N5233" i="7" s="1"/>
  <c r="M5241" i="7"/>
  <c r="N5241" i="7" s="1"/>
  <c r="M4983" i="7"/>
  <c r="N4983" i="7" s="1"/>
  <c r="M4981" i="7"/>
  <c r="N4981" i="7" s="1"/>
  <c r="M4979" i="7"/>
  <c r="N4979" i="7" s="1"/>
  <c r="M5236" i="7"/>
  <c r="N5236" i="7" s="1"/>
  <c r="M5234" i="7"/>
  <c r="N5234" i="7" s="1"/>
  <c r="M4777" i="7"/>
  <c r="N4777" i="7" s="1"/>
  <c r="M4673" i="7"/>
  <c r="N4673" i="7" s="1"/>
  <c r="M4776" i="7"/>
  <c r="N4776" i="7" s="1"/>
  <c r="M4672" i="7"/>
  <c r="N4672" i="7" s="1"/>
  <c r="M4982" i="7"/>
  <c r="N4982" i="7" s="1"/>
  <c r="M4980" i="7"/>
  <c r="N4980" i="7" s="1"/>
  <c r="M4919" i="7"/>
  <c r="N4919" i="7" s="1"/>
  <c r="M4782" i="7"/>
  <c r="N4782" i="7" s="1"/>
  <c r="M4670" i="7"/>
  <c r="N4670" i="7" s="1"/>
  <c r="M4918" i="7"/>
  <c r="N4918" i="7" s="1"/>
  <c r="M4781" i="7"/>
  <c r="N4781" i="7" s="1"/>
  <c r="M4780" i="7"/>
  <c r="N4780" i="7" s="1"/>
  <c r="M4779" i="7"/>
  <c r="N4779" i="7" s="1"/>
  <c r="M4778" i="7"/>
  <c r="N4778" i="7" s="1"/>
  <c r="M4448" i="7"/>
  <c r="N4448" i="7" s="1"/>
  <c r="M4336" i="7"/>
  <c r="N4336" i="7" s="1"/>
  <c r="M4224" i="7"/>
  <c r="N4224" i="7" s="1"/>
  <c r="M4675" i="7"/>
  <c r="N4675" i="7" s="1"/>
  <c r="M4671" i="7"/>
  <c r="N4671" i="7" s="1"/>
  <c r="M4669" i="7"/>
  <c r="N4669" i="7" s="1"/>
  <c r="M4543" i="7"/>
  <c r="N4543" i="7" s="1"/>
  <c r="M4447" i="7"/>
  <c r="N4447" i="7" s="1"/>
  <c r="M4335" i="7"/>
  <c r="N4335" i="7" s="1"/>
  <c r="M4223" i="7"/>
  <c r="N4223" i="7" s="1"/>
  <c r="M4674" i="7"/>
  <c r="N4674" i="7" s="1"/>
  <c r="M4542" i="7"/>
  <c r="N4542" i="7" s="1"/>
  <c r="M4446" i="7"/>
  <c r="N4446" i="7" s="1"/>
  <c r="M4334" i="7"/>
  <c r="N4334" i="7" s="1"/>
  <c r="M4222" i="7"/>
  <c r="N4222" i="7" s="1"/>
  <c r="M4541" i="7"/>
  <c r="N4541" i="7" s="1"/>
  <c r="M4445" i="7"/>
  <c r="N4445" i="7" s="1"/>
  <c r="M4333" i="7"/>
  <c r="N4333" i="7" s="1"/>
  <c r="M4221" i="7"/>
  <c r="N4221" i="7" s="1"/>
  <c r="M4540" i="7"/>
  <c r="N4540" i="7" s="1"/>
  <c r="M4444" i="7"/>
  <c r="N4444" i="7" s="1"/>
  <c r="M4220" i="7"/>
  <c r="N4220" i="7" s="1"/>
  <c r="M4076" i="7"/>
  <c r="N4076" i="7" s="1"/>
  <c r="M4443" i="7"/>
  <c r="N4443" i="7" s="1"/>
  <c r="M4219" i="7"/>
  <c r="N4219" i="7" s="1"/>
  <c r="M4075" i="7"/>
  <c r="N4075" i="7" s="1"/>
  <c r="M4442" i="7"/>
  <c r="N4442" i="7" s="1"/>
  <c r="M4226" i="7"/>
  <c r="N4226" i="7" s="1"/>
  <c r="M4218" i="7"/>
  <c r="N4218" i="7" s="1"/>
  <c r="M4449" i="7"/>
  <c r="N4449" i="7" s="1"/>
  <c r="M4441" i="7"/>
  <c r="N4441" i="7" s="1"/>
  <c r="M4225" i="7"/>
  <c r="N4225" i="7" s="1"/>
  <c r="M3766" i="7"/>
  <c r="N3766" i="7" s="1"/>
  <c r="M3765" i="7"/>
  <c r="N3765" i="7" s="1"/>
  <c r="M3764" i="7"/>
  <c r="N3764" i="7" s="1"/>
  <c r="M3652" i="7"/>
  <c r="N3652" i="7" s="1"/>
  <c r="M4077" i="7"/>
  <c r="N4077" i="7" s="1"/>
  <c r="M3987" i="7"/>
  <c r="N3987" i="7" s="1"/>
  <c r="M3771" i="7"/>
  <c r="N3771" i="7" s="1"/>
  <c r="M3651" i="7"/>
  <c r="N3651" i="7" s="1"/>
  <c r="M3539" i="7"/>
  <c r="N3539" i="7" s="1"/>
  <c r="M3874" i="7"/>
  <c r="N3874" i="7" s="1"/>
  <c r="M3770" i="7"/>
  <c r="N3770" i="7" s="1"/>
  <c r="M3650" i="7"/>
  <c r="N3650" i="7" s="1"/>
  <c r="M3538" i="7"/>
  <c r="N3538" i="7" s="1"/>
  <c r="M3769" i="7"/>
  <c r="N3769" i="7" s="1"/>
  <c r="M3649" i="7"/>
  <c r="N3649" i="7" s="1"/>
  <c r="M3537" i="7"/>
  <c r="N3537" i="7" s="1"/>
  <c r="M3768" i="7"/>
  <c r="N3768" i="7" s="1"/>
  <c r="M3648" i="7"/>
  <c r="N3648" i="7" s="1"/>
  <c r="M3408" i="7"/>
  <c r="N3408" i="7" s="1"/>
  <c r="M3767" i="7"/>
  <c r="N3767" i="7" s="1"/>
  <c r="M3091" i="7"/>
  <c r="N3091" i="7" s="1"/>
  <c r="M2963" i="7"/>
  <c r="N2963" i="7" s="1"/>
  <c r="M3258" i="7"/>
  <c r="N3258" i="7" s="1"/>
  <c r="M3090" i="7"/>
  <c r="N3090" i="7" s="1"/>
  <c r="M2970" i="7"/>
  <c r="N2970" i="7" s="1"/>
  <c r="M2962" i="7"/>
  <c r="N2962" i="7" s="1"/>
  <c r="M2858" i="7"/>
  <c r="N2858" i="7" s="1"/>
  <c r="M3257" i="7"/>
  <c r="N3257" i="7" s="1"/>
  <c r="M3089" i="7"/>
  <c r="N3089" i="7" s="1"/>
  <c r="M2969" i="7"/>
  <c r="N2969" i="7" s="1"/>
  <c r="M3256" i="7"/>
  <c r="N3256" i="7" s="1"/>
  <c r="M3088" i="7"/>
  <c r="N3088" i="7" s="1"/>
  <c r="M2968" i="7"/>
  <c r="N2968" i="7" s="1"/>
  <c r="M3255" i="7"/>
  <c r="N3255" i="7" s="1"/>
  <c r="M3087" i="7"/>
  <c r="N3087" i="7" s="1"/>
  <c r="M2967" i="7"/>
  <c r="N2967" i="7" s="1"/>
  <c r="M3086" i="7"/>
  <c r="N3086" i="7" s="1"/>
  <c r="M2966" i="7"/>
  <c r="N2966" i="7" s="1"/>
  <c r="M2854" i="7"/>
  <c r="N2854" i="7" s="1"/>
  <c r="M3407" i="7"/>
  <c r="N3407" i="7" s="1"/>
  <c r="M3085" i="7"/>
  <c r="N3085" i="7" s="1"/>
  <c r="M2965" i="7"/>
  <c r="N2965" i="7" s="1"/>
  <c r="M3406" i="7"/>
  <c r="N3406" i="7" s="1"/>
  <c r="M2964" i="7"/>
  <c r="N2964" i="7" s="1"/>
  <c r="M2857" i="7"/>
  <c r="N2857" i="7" s="1"/>
  <c r="M2228" i="7"/>
  <c r="N2228" i="7" s="1"/>
  <c r="M2856" i="7"/>
  <c r="N2856" i="7" s="1"/>
  <c r="M2483" i="7"/>
  <c r="N2483" i="7" s="1"/>
  <c r="M2855" i="7"/>
  <c r="N2855" i="7" s="1"/>
  <c r="M2482" i="7"/>
  <c r="N2482" i="7" s="1"/>
  <c r="M2481" i="7"/>
  <c r="N2481" i="7" s="1"/>
  <c r="M2704" i="7"/>
  <c r="N2704" i="7" s="1"/>
  <c r="M2480" i="7"/>
  <c r="N2480" i="7" s="1"/>
  <c r="M2366" i="7"/>
  <c r="N2366" i="7" s="1"/>
  <c r="M2597" i="7"/>
  <c r="N2597" i="7" s="1"/>
  <c r="M2365" i="7"/>
  <c r="N2365" i="7" s="1"/>
  <c r="M2055" i="7"/>
  <c r="N2055" i="7" s="1"/>
  <c r="M1863" i="7"/>
  <c r="N1863" i="7" s="1"/>
  <c r="M1719" i="7"/>
  <c r="N1719" i="7" s="1"/>
  <c r="M2054" i="7"/>
  <c r="N2054" i="7" s="1"/>
  <c r="M1862" i="7"/>
  <c r="N1862" i="7" s="1"/>
  <c r="M1718" i="7"/>
  <c r="N1718" i="7" s="1"/>
  <c r="M2232" i="7"/>
  <c r="N2232" i="7" s="1"/>
  <c r="M2053" i="7"/>
  <c r="N2053" i="7" s="1"/>
  <c r="M1861" i="7"/>
  <c r="N1861" i="7" s="1"/>
  <c r="M1717" i="7"/>
  <c r="N1717" i="7" s="1"/>
  <c r="M2231" i="7"/>
  <c r="N2231" i="7" s="1"/>
  <c r="M1860" i="7"/>
  <c r="N1860" i="7" s="1"/>
  <c r="M2367" i="7"/>
  <c r="N2367" i="7" s="1"/>
  <c r="M2230" i="7"/>
  <c r="N2230" i="7" s="1"/>
  <c r="M1859" i="7"/>
  <c r="N1859" i="7" s="1"/>
  <c r="M2229" i="7"/>
  <c r="N2229" i="7" s="1"/>
  <c r="M1865" i="7"/>
  <c r="N1865" i="7" s="1"/>
  <c r="M1721" i="7"/>
  <c r="N1721" i="7" s="1"/>
  <c r="M2056" i="7"/>
  <c r="N2056" i="7" s="1"/>
  <c r="M1864" i="7"/>
  <c r="N1864" i="7" s="1"/>
  <c r="M1720" i="7"/>
  <c r="N1720" i="7" s="1"/>
  <c r="M1310" i="7"/>
  <c r="N1310" i="7" s="1"/>
  <c r="M1158" i="7"/>
  <c r="N1158" i="7" s="1"/>
  <c r="M1533" i="7"/>
  <c r="N1533" i="7" s="1"/>
  <c r="M1309" i="7"/>
  <c r="N1309" i="7" s="1"/>
  <c r="M1157" i="7"/>
  <c r="N1157" i="7" s="1"/>
  <c r="M1532" i="7"/>
  <c r="N1532" i="7" s="1"/>
  <c r="M1308" i="7"/>
  <c r="N1308" i="7" s="1"/>
  <c r="M1156" i="7"/>
  <c r="N1156" i="7" s="1"/>
  <c r="M1531" i="7"/>
  <c r="N1531" i="7" s="1"/>
  <c r="M1155" i="7"/>
  <c r="N1155" i="7" s="1"/>
  <c r="M1530" i="7"/>
  <c r="N1530" i="7" s="1"/>
  <c r="M1154" i="7"/>
  <c r="N1154" i="7" s="1"/>
  <c r="M1529" i="7"/>
  <c r="N1529" i="7" s="1"/>
  <c r="M1528" i="7"/>
  <c r="N1528" i="7" s="1"/>
  <c r="M1312" i="7"/>
  <c r="N1312" i="7" s="1"/>
  <c r="M1527" i="7"/>
  <c r="N1527" i="7" s="1"/>
  <c r="M1311" i="7"/>
  <c r="N1311" i="7" s="1"/>
  <c r="M780" i="7"/>
  <c r="N780" i="7" s="1"/>
  <c r="M556" i="7"/>
  <c r="N556" i="7" s="1"/>
  <c r="M1159" i="7"/>
  <c r="N1159" i="7" s="1"/>
  <c r="M779" i="7"/>
  <c r="N779" i="7" s="1"/>
  <c r="M555" i="7"/>
  <c r="N555" i="7" s="1"/>
  <c r="M970" i="7"/>
  <c r="N970" i="7" s="1"/>
  <c r="M778" i="7"/>
  <c r="N778" i="7" s="1"/>
  <c r="M418" i="7"/>
  <c r="N418" i="7" s="1"/>
  <c r="M969" i="7"/>
  <c r="N969" i="7" s="1"/>
  <c r="M785" i="7"/>
  <c r="N785" i="7" s="1"/>
  <c r="M777" i="7"/>
  <c r="N777" i="7" s="1"/>
  <c r="M417" i="7"/>
  <c r="N417" i="7" s="1"/>
  <c r="M968" i="7"/>
  <c r="N968" i="7" s="1"/>
  <c r="M784" i="7"/>
  <c r="N784" i="7" s="1"/>
  <c r="M776" i="7"/>
  <c r="N776" i="7" s="1"/>
  <c r="M967" i="7"/>
  <c r="N967" i="7" s="1"/>
  <c r="M783" i="7"/>
  <c r="N783" i="7" s="1"/>
  <c r="M415" i="7"/>
  <c r="N415" i="7" s="1"/>
  <c r="M966" i="7"/>
  <c r="N966" i="7" s="1"/>
  <c r="M782" i="7"/>
  <c r="N782" i="7" s="1"/>
  <c r="M781" i="7"/>
  <c r="N781" i="7" s="1"/>
  <c r="M134" i="7"/>
  <c r="N134" i="7" s="1"/>
  <c r="M416" i="7"/>
  <c r="N416" i="7" s="1"/>
  <c r="M140" i="7"/>
  <c r="N140" i="7" s="1"/>
  <c r="M139" i="7"/>
  <c r="N139" i="7" s="1"/>
  <c r="M138" i="7"/>
  <c r="N138" i="7" s="1"/>
  <c r="M137" i="7"/>
  <c r="N137" i="7" s="1"/>
  <c r="M286" i="7"/>
  <c r="N286" i="7" s="1"/>
  <c r="M136" i="7"/>
  <c r="N136" i="7" s="1"/>
  <c r="M285" i="7"/>
  <c r="N285" i="7" s="1"/>
  <c r="M135" i="7"/>
  <c r="N135" i="7" s="1"/>
  <c r="M6663" i="7"/>
  <c r="N6663" i="7" s="1"/>
  <c r="M6790" i="7"/>
  <c r="N6790" i="7" s="1"/>
  <c r="M6662" i="7"/>
  <c r="N6662" i="7" s="1"/>
  <c r="M6789" i="7"/>
  <c r="N6789" i="7" s="1"/>
  <c r="M6661" i="7"/>
  <c r="N6661" i="7" s="1"/>
  <c r="M6788" i="7"/>
  <c r="N6788" i="7" s="1"/>
  <c r="M6660" i="7"/>
  <c r="N6660" i="7" s="1"/>
  <c r="M6787" i="7"/>
  <c r="N6787" i="7" s="1"/>
  <c r="M6659" i="7"/>
  <c r="N6659" i="7" s="1"/>
  <c r="M6786" i="7"/>
  <c r="N6786" i="7" s="1"/>
  <c r="M6554" i="7"/>
  <c r="N6554" i="7" s="1"/>
  <c r="M6785" i="7"/>
  <c r="N6785" i="7" s="1"/>
  <c r="M6664" i="7"/>
  <c r="N6664" i="7" s="1"/>
  <c r="M6556" i="7"/>
  <c r="N6556" i="7" s="1"/>
  <c r="M6283" i="7"/>
  <c r="N6283" i="7" s="1"/>
  <c r="M6555" i="7"/>
  <c r="N6555" i="7" s="1"/>
  <c r="M6553" i="7"/>
  <c r="N6553" i="7" s="1"/>
  <c r="M6552" i="7"/>
  <c r="N6552" i="7" s="1"/>
  <c r="M6551" i="7"/>
  <c r="N6551" i="7" s="1"/>
  <c r="M6375" i="7"/>
  <c r="N6375" i="7" s="1"/>
  <c r="M6558" i="7"/>
  <c r="N6558" i="7" s="1"/>
  <c r="M6557" i="7"/>
  <c r="N6557" i="7" s="1"/>
  <c r="M6284" i="7"/>
  <c r="N6284" i="7" s="1"/>
  <c r="M6188" i="7"/>
  <c r="N6188" i="7" s="1"/>
  <c r="M6100" i="7"/>
  <c r="N6100" i="7" s="1"/>
  <c r="M6187" i="7"/>
  <c r="N6187" i="7" s="1"/>
  <c r="M6099" i="7"/>
  <c r="N6099" i="7" s="1"/>
  <c r="M6186" i="7"/>
  <c r="N6186" i="7" s="1"/>
  <c r="M6185" i="7"/>
  <c r="N6185" i="7" s="1"/>
  <c r="M6184" i="7"/>
  <c r="N6184" i="7" s="1"/>
  <c r="M6183" i="7"/>
  <c r="N6183" i="7" s="1"/>
  <c r="M6102" i="7"/>
  <c r="N6102" i="7" s="1"/>
  <c r="M6282" i="7"/>
  <c r="N6282" i="7" s="1"/>
  <c r="M6101" i="7"/>
  <c r="N6101" i="7" s="1"/>
  <c r="M5941" i="7"/>
  <c r="N5941" i="7" s="1"/>
  <c r="M5940" i="7"/>
  <c r="N5940" i="7" s="1"/>
  <c r="M5939" i="7"/>
  <c r="N5939" i="7" s="1"/>
  <c r="M5771" i="7"/>
  <c r="N5771" i="7" s="1"/>
  <c r="M5938" i="7"/>
  <c r="N5938" i="7" s="1"/>
  <c r="M5942" i="7"/>
  <c r="N5942" i="7" s="1"/>
  <c r="M5605" i="7"/>
  <c r="N5605" i="7" s="1"/>
  <c r="M5604" i="7"/>
  <c r="N5604" i="7" s="1"/>
  <c r="M5603" i="7"/>
  <c r="N5603" i="7" s="1"/>
  <c r="M5602" i="7"/>
  <c r="N5602" i="7" s="1"/>
  <c r="M5609" i="7"/>
  <c r="N5609" i="7" s="1"/>
  <c r="M5601" i="7"/>
  <c r="N5601" i="7" s="1"/>
  <c r="M5608" i="7"/>
  <c r="N5608" i="7" s="1"/>
  <c r="M5600" i="7"/>
  <c r="N5600" i="7" s="1"/>
  <c r="M5607" i="7"/>
  <c r="N5607" i="7" s="1"/>
  <c r="M5599" i="7"/>
  <c r="N5599" i="7" s="1"/>
  <c r="M5772" i="7"/>
  <c r="N5772" i="7" s="1"/>
  <c r="M5770" i="7"/>
  <c r="N5770" i="7" s="1"/>
  <c r="M5606" i="7"/>
  <c r="N5606" i="7" s="1"/>
  <c r="M5280" i="7"/>
  <c r="N5280" i="7" s="1"/>
  <c r="M5279" i="7"/>
  <c r="N5279" i="7" s="1"/>
  <c r="M5278" i="7"/>
  <c r="N5278" i="7" s="1"/>
  <c r="M5482" i="7"/>
  <c r="N5482" i="7" s="1"/>
  <c r="M5481" i="7"/>
  <c r="N5481" i="7" s="1"/>
  <c r="M5480" i="7"/>
  <c r="N5480" i="7" s="1"/>
  <c r="M5282" i="7"/>
  <c r="N5282" i="7" s="1"/>
  <c r="M4999" i="7"/>
  <c r="N4999" i="7" s="1"/>
  <c r="M4998" i="7"/>
  <c r="N4998" i="7" s="1"/>
  <c r="M5281" i="7"/>
  <c r="N5281" i="7" s="1"/>
  <c r="M4997" i="7"/>
  <c r="N4997" i="7" s="1"/>
  <c r="M5002" i="7"/>
  <c r="N5002" i="7" s="1"/>
  <c r="M4922" i="7"/>
  <c r="N4922" i="7" s="1"/>
  <c r="M4809" i="7"/>
  <c r="N4809" i="7" s="1"/>
  <c r="M4681" i="7"/>
  <c r="N4681" i="7" s="1"/>
  <c r="M4808" i="7"/>
  <c r="N4808" i="7" s="1"/>
  <c r="M4680" i="7"/>
  <c r="N4680" i="7" s="1"/>
  <c r="M4807" i="7"/>
  <c r="N4807" i="7" s="1"/>
  <c r="M4806" i="7"/>
  <c r="N4806" i="7" s="1"/>
  <c r="M4805" i="7"/>
  <c r="N4805" i="7" s="1"/>
  <c r="M5001" i="7"/>
  <c r="N5001" i="7" s="1"/>
  <c r="M4804" i="7"/>
  <c r="N4804" i="7" s="1"/>
  <c r="M5000" i="7"/>
  <c r="N5000" i="7" s="1"/>
  <c r="M4803" i="7"/>
  <c r="N4803" i="7" s="1"/>
  <c r="M4802" i="7"/>
  <c r="N4802" i="7" s="1"/>
  <c r="M4552" i="7"/>
  <c r="N4552" i="7" s="1"/>
  <c r="M4464" i="7"/>
  <c r="N4464" i="7" s="1"/>
  <c r="M4558" i="7"/>
  <c r="N4558" i="7" s="1"/>
  <c r="M4350" i="7"/>
  <c r="N4350" i="7" s="1"/>
  <c r="M4238" i="7"/>
  <c r="N4238" i="7" s="1"/>
  <c r="M4086" i="7"/>
  <c r="N4086" i="7" s="1"/>
  <c r="M4557" i="7"/>
  <c r="N4557" i="7" s="1"/>
  <c r="M4469" i="7"/>
  <c r="N4469" i="7" s="1"/>
  <c r="M4349" i="7"/>
  <c r="N4349" i="7" s="1"/>
  <c r="M4237" i="7"/>
  <c r="N4237" i="7" s="1"/>
  <c r="M4556" i="7"/>
  <c r="N4556" i="7" s="1"/>
  <c r="M4468" i="7"/>
  <c r="N4468" i="7" s="1"/>
  <c r="M4348" i="7"/>
  <c r="N4348" i="7" s="1"/>
  <c r="M4084" i="7"/>
  <c r="N4084" i="7" s="1"/>
  <c r="M4555" i="7"/>
  <c r="N4555" i="7" s="1"/>
  <c r="M4467" i="7"/>
  <c r="N4467" i="7" s="1"/>
  <c r="M4347" i="7"/>
  <c r="N4347" i="7" s="1"/>
  <c r="M4083" i="7"/>
  <c r="N4083" i="7" s="1"/>
  <c r="M4003" i="7"/>
  <c r="N4003" i="7" s="1"/>
  <c r="M4554" i="7"/>
  <c r="N4554" i="7" s="1"/>
  <c r="M4466" i="7"/>
  <c r="N4466" i="7" s="1"/>
  <c r="M4346" i="7"/>
  <c r="N4346" i="7" s="1"/>
  <c r="M4679" i="7"/>
  <c r="N4679" i="7" s="1"/>
  <c r="M4553" i="7"/>
  <c r="N4553" i="7" s="1"/>
  <c r="M4465" i="7"/>
  <c r="N4465" i="7" s="1"/>
  <c r="M3558" i="7"/>
  <c r="N3558" i="7" s="1"/>
  <c r="M3550" i="7"/>
  <c r="N3550" i="7" s="1"/>
  <c r="M3661" i="7"/>
  <c r="N3661" i="7" s="1"/>
  <c r="M3660" i="7"/>
  <c r="N3660" i="7" s="1"/>
  <c r="M3556" i="7"/>
  <c r="N3556" i="7" s="1"/>
  <c r="M3420" i="7"/>
  <c r="N3420" i="7" s="1"/>
  <c r="M4005" i="7"/>
  <c r="N4005" i="7" s="1"/>
  <c r="M3795" i="7"/>
  <c r="N3795" i="7" s="1"/>
  <c r="M3659" i="7"/>
  <c r="N3659" i="7" s="1"/>
  <c r="M3555" i="7"/>
  <c r="N3555" i="7" s="1"/>
  <c r="M4004" i="7"/>
  <c r="N4004" i="7" s="1"/>
  <c r="M4002" i="7"/>
  <c r="N4002" i="7" s="1"/>
  <c r="M3794" i="7"/>
  <c r="N3794" i="7" s="1"/>
  <c r="M3658" i="7"/>
  <c r="N3658" i="7" s="1"/>
  <c r="M3554" i="7"/>
  <c r="N3554" i="7" s="1"/>
  <c r="M4085" i="7"/>
  <c r="N4085" i="7" s="1"/>
  <c r="M4001" i="7"/>
  <c r="N4001" i="7" s="1"/>
  <c r="M3881" i="7"/>
  <c r="N3881" i="7" s="1"/>
  <c r="M3793" i="7"/>
  <c r="N3793" i="7" s="1"/>
  <c r="M3657" i="7"/>
  <c r="N3657" i="7" s="1"/>
  <c r="M3553" i="7"/>
  <c r="N3553" i="7" s="1"/>
  <c r="M4000" i="7"/>
  <c r="N4000" i="7" s="1"/>
  <c r="M3880" i="7"/>
  <c r="N3880" i="7" s="1"/>
  <c r="M3792" i="7"/>
  <c r="N3792" i="7" s="1"/>
  <c r="M3552" i="7"/>
  <c r="N3552" i="7" s="1"/>
  <c r="M3879" i="7"/>
  <c r="N3879" i="7" s="1"/>
  <c r="M3791" i="7"/>
  <c r="N3791" i="7" s="1"/>
  <c r="M3559" i="7"/>
  <c r="N3559" i="7" s="1"/>
  <c r="M3551" i="7"/>
  <c r="N3551" i="7" s="1"/>
  <c r="M3421" i="7"/>
  <c r="N3421" i="7" s="1"/>
  <c r="M3419" i="7"/>
  <c r="N3419" i="7" s="1"/>
  <c r="M3291" i="7"/>
  <c r="N3291" i="7" s="1"/>
  <c r="M2987" i="7"/>
  <c r="N2987" i="7" s="1"/>
  <c r="M2867" i="7"/>
  <c r="N2867" i="7" s="1"/>
  <c r="M3418" i="7"/>
  <c r="N3418" i="7" s="1"/>
  <c r="M3290" i="7"/>
  <c r="N3290" i="7" s="1"/>
  <c r="M2986" i="7"/>
  <c r="N2986" i="7" s="1"/>
  <c r="M2866" i="7"/>
  <c r="N2866" i="7" s="1"/>
  <c r="M3417" i="7"/>
  <c r="N3417" i="7" s="1"/>
  <c r="M3289" i="7"/>
  <c r="N3289" i="7" s="1"/>
  <c r="M3097" i="7"/>
  <c r="N3097" i="7" s="1"/>
  <c r="M2985" i="7"/>
  <c r="N2985" i="7" s="1"/>
  <c r="M3557" i="7"/>
  <c r="N3557" i="7" s="1"/>
  <c r="M3288" i="7"/>
  <c r="N3288" i="7" s="1"/>
  <c r="M3096" i="7"/>
  <c r="N3096" i="7" s="1"/>
  <c r="M2984" i="7"/>
  <c r="N2984" i="7" s="1"/>
  <c r="M3287" i="7"/>
  <c r="N3287" i="7" s="1"/>
  <c r="M3095" i="7"/>
  <c r="N3095" i="7" s="1"/>
  <c r="M3286" i="7"/>
  <c r="N3286" i="7" s="1"/>
  <c r="M2870" i="7"/>
  <c r="N2870" i="7" s="1"/>
  <c r="M3423" i="7"/>
  <c r="N3423" i="7" s="1"/>
  <c r="M3293" i="7"/>
  <c r="N3293" i="7" s="1"/>
  <c r="M3285" i="7"/>
  <c r="N3285" i="7" s="1"/>
  <c r="M2989" i="7"/>
  <c r="N2989" i="7" s="1"/>
  <c r="M3422" i="7"/>
  <c r="N3422" i="7" s="1"/>
  <c r="M3292" i="7"/>
  <c r="N3292" i="7" s="1"/>
  <c r="M2988" i="7"/>
  <c r="N2988" i="7" s="1"/>
  <c r="M2604" i="7"/>
  <c r="N2604" i="7" s="1"/>
  <c r="M2500" i="7"/>
  <c r="N2500" i="7" s="1"/>
  <c r="M2492" i="7"/>
  <c r="N2492" i="7" s="1"/>
  <c r="M2252" i="7"/>
  <c r="N2252" i="7" s="1"/>
  <c r="M2603" i="7"/>
  <c r="N2603" i="7" s="1"/>
  <c r="M2499" i="7"/>
  <c r="N2499" i="7" s="1"/>
  <c r="M2491" i="7"/>
  <c r="N2491" i="7" s="1"/>
  <c r="M2498" i="7"/>
  <c r="N2498" i="7" s="1"/>
  <c r="M2497" i="7"/>
  <c r="N2497" i="7" s="1"/>
  <c r="M2249" i="7"/>
  <c r="N2249" i="7" s="1"/>
  <c r="M2728" i="7"/>
  <c r="N2728" i="7" s="1"/>
  <c r="M2608" i="7"/>
  <c r="N2608" i="7" s="1"/>
  <c r="M2496" i="7"/>
  <c r="N2496" i="7" s="1"/>
  <c r="M2727" i="7"/>
  <c r="N2727" i="7" s="1"/>
  <c r="M2607" i="7"/>
  <c r="N2607" i="7" s="1"/>
  <c r="M2495" i="7"/>
  <c r="N2495" i="7" s="1"/>
  <c r="M2869" i="7"/>
  <c r="N2869" i="7" s="1"/>
  <c r="M2865" i="7"/>
  <c r="N2865" i="7" s="1"/>
  <c r="M2726" i="7"/>
  <c r="N2726" i="7" s="1"/>
  <c r="M2606" i="7"/>
  <c r="N2606" i="7" s="1"/>
  <c r="M2494" i="7"/>
  <c r="N2494" i="7" s="1"/>
  <c r="M2382" i="7"/>
  <c r="N2382" i="7" s="1"/>
  <c r="M2868" i="7"/>
  <c r="N2868" i="7" s="1"/>
  <c r="M2605" i="7"/>
  <c r="N2605" i="7" s="1"/>
  <c r="M2493" i="7"/>
  <c r="N2493" i="7" s="1"/>
  <c r="M2253" i="7"/>
  <c r="N2253" i="7" s="1"/>
  <c r="M1887" i="7"/>
  <c r="N1887" i="7" s="1"/>
  <c r="M1886" i="7"/>
  <c r="N1886" i="7" s="1"/>
  <c r="M2251" i="7"/>
  <c r="N2251" i="7" s="1"/>
  <c r="M2069" i="7"/>
  <c r="N2069" i="7" s="1"/>
  <c r="M1885" i="7"/>
  <c r="N1885" i="7" s="1"/>
  <c r="M2250" i="7"/>
  <c r="N2250" i="7" s="1"/>
  <c r="M2068" i="7"/>
  <c r="N2068" i="7" s="1"/>
  <c r="M1884" i="7"/>
  <c r="N1884" i="7" s="1"/>
  <c r="M2383" i="7"/>
  <c r="N2383" i="7" s="1"/>
  <c r="M2067" i="7"/>
  <c r="N2067" i="7" s="1"/>
  <c r="M1883" i="7"/>
  <c r="N1883" i="7" s="1"/>
  <c r="M1731" i="7"/>
  <c r="N1731" i="7" s="1"/>
  <c r="M2066" i="7"/>
  <c r="N2066" i="7" s="1"/>
  <c r="M1882" i="7"/>
  <c r="N1882" i="7" s="1"/>
  <c r="M1730" i="7"/>
  <c r="N1730" i="7" s="1"/>
  <c r="M1729" i="7"/>
  <c r="N1729" i="7" s="1"/>
  <c r="M1558" i="7"/>
  <c r="N1558" i="7" s="1"/>
  <c r="M1318" i="7"/>
  <c r="N1318" i="7" s="1"/>
  <c r="M1182" i="7"/>
  <c r="N1182" i="7" s="1"/>
  <c r="M1181" i="7"/>
  <c r="N1181" i="7" s="1"/>
  <c r="M1732" i="7"/>
  <c r="N1732" i="7" s="1"/>
  <c r="M1323" i="7"/>
  <c r="N1323" i="7" s="1"/>
  <c r="M1187" i="7"/>
  <c r="N1187" i="7" s="1"/>
  <c r="M1322" i="7"/>
  <c r="N1322" i="7" s="1"/>
  <c r="M1186" i="7"/>
  <c r="N1186" i="7" s="1"/>
  <c r="M1561" i="7"/>
  <c r="N1561" i="7" s="1"/>
  <c r="M1321" i="7"/>
  <c r="N1321" i="7" s="1"/>
  <c r="M1185" i="7"/>
  <c r="N1185" i="7" s="1"/>
  <c r="M1560" i="7"/>
  <c r="N1560" i="7" s="1"/>
  <c r="M1320" i="7"/>
  <c r="N1320" i="7" s="1"/>
  <c r="M1184" i="7"/>
  <c r="N1184" i="7" s="1"/>
  <c r="M1559" i="7"/>
  <c r="N1559" i="7" s="1"/>
  <c r="M1319" i="7"/>
  <c r="N1319" i="7" s="1"/>
  <c r="M820" i="7"/>
  <c r="N820" i="7" s="1"/>
  <c r="M436" i="7"/>
  <c r="N436" i="7" s="1"/>
  <c r="M979" i="7"/>
  <c r="N979" i="7" s="1"/>
  <c r="M827" i="7"/>
  <c r="N827" i="7" s="1"/>
  <c r="M819" i="7"/>
  <c r="N819" i="7" s="1"/>
  <c r="M571" i="7"/>
  <c r="N571" i="7" s="1"/>
  <c r="M299" i="7"/>
  <c r="N299" i="7" s="1"/>
  <c r="M978" i="7"/>
  <c r="N978" i="7" s="1"/>
  <c r="M826" i="7"/>
  <c r="N826" i="7" s="1"/>
  <c r="M818" i="7"/>
  <c r="N818" i="7" s="1"/>
  <c r="M570" i="7"/>
  <c r="N570" i="7" s="1"/>
  <c r="M1183" i="7"/>
  <c r="N1183" i="7" s="1"/>
  <c r="M977" i="7"/>
  <c r="N977" i="7" s="1"/>
  <c r="M825" i="7"/>
  <c r="N825" i="7" s="1"/>
  <c r="M817" i="7"/>
  <c r="N817" i="7" s="1"/>
  <c r="M569" i="7"/>
  <c r="N569" i="7" s="1"/>
  <c r="M441" i="7"/>
  <c r="N441" i="7" s="1"/>
  <c r="M177" i="7"/>
  <c r="N177" i="7" s="1"/>
  <c r="M976" i="7"/>
  <c r="N976" i="7" s="1"/>
  <c r="M824" i="7"/>
  <c r="N824" i="7" s="1"/>
  <c r="M816" i="7"/>
  <c r="N816" i="7" s="1"/>
  <c r="M568" i="7"/>
  <c r="N568" i="7" s="1"/>
  <c r="M975" i="7"/>
  <c r="N975" i="7" s="1"/>
  <c r="M823" i="7"/>
  <c r="N823" i="7" s="1"/>
  <c r="M815" i="7"/>
  <c r="N815" i="7" s="1"/>
  <c r="M567" i="7"/>
  <c r="N567" i="7" s="1"/>
  <c r="M439" i="7"/>
  <c r="N439" i="7" s="1"/>
  <c r="M974" i="7"/>
  <c r="N974" i="7" s="1"/>
  <c r="M822" i="7"/>
  <c r="N822" i="7" s="1"/>
  <c r="M566" i="7"/>
  <c r="N566" i="7" s="1"/>
  <c r="M438" i="7"/>
  <c r="N438" i="7" s="1"/>
  <c r="M821" i="7"/>
  <c r="N821" i="7" s="1"/>
  <c r="M437" i="7"/>
  <c r="N437" i="7" s="1"/>
  <c r="E516" i="6"/>
  <c r="F516" i="6" s="1"/>
  <c r="E512" i="6"/>
  <c r="F512" i="6" s="1"/>
  <c r="E508" i="6"/>
  <c r="F508" i="6" s="1"/>
  <c r="E504" i="6"/>
  <c r="F504" i="6" s="1"/>
  <c r="E500" i="6"/>
  <c r="F500" i="6" s="1"/>
  <c r="E496" i="6"/>
  <c r="F496" i="6" s="1"/>
  <c r="M180" i="7"/>
  <c r="N180" i="7" s="1"/>
  <c r="E517" i="6"/>
  <c r="F517" i="6" s="1"/>
  <c r="E513" i="6"/>
  <c r="F513" i="6" s="1"/>
  <c r="E509" i="6"/>
  <c r="F509" i="6" s="1"/>
  <c r="E505" i="6"/>
  <c r="F505" i="6" s="1"/>
  <c r="E501" i="6"/>
  <c r="F501" i="6" s="1"/>
  <c r="E497" i="6"/>
  <c r="F497" i="6" s="1"/>
  <c r="M301" i="7"/>
  <c r="N301" i="7" s="1"/>
  <c r="M179" i="7"/>
  <c r="N179" i="7" s="1"/>
  <c r="M440" i="7"/>
  <c r="N440" i="7" s="1"/>
  <c r="M300" i="7"/>
  <c r="N300" i="7" s="1"/>
  <c r="M178" i="7"/>
  <c r="N178" i="7" s="1"/>
  <c r="M176" i="7"/>
  <c r="N176" i="7" s="1"/>
  <c r="M6823" i="7"/>
  <c r="N6823" i="7" s="1"/>
  <c r="M6679" i="7"/>
  <c r="N6679" i="7" s="1"/>
  <c r="M6583" i="7"/>
  <c r="N6583" i="7" s="1"/>
  <c r="M6822" i="7"/>
  <c r="N6822" i="7" s="1"/>
  <c r="M6678" i="7"/>
  <c r="N6678" i="7" s="1"/>
  <c r="M6821" i="7"/>
  <c r="N6821" i="7" s="1"/>
  <c r="M6677" i="7"/>
  <c r="N6677" i="7" s="1"/>
  <c r="M6820" i="7"/>
  <c r="N6820" i="7" s="1"/>
  <c r="M6676" i="7"/>
  <c r="N6676" i="7" s="1"/>
  <c r="M6819" i="7"/>
  <c r="N6819" i="7" s="1"/>
  <c r="M6826" i="7"/>
  <c r="N6826" i="7" s="1"/>
  <c r="M6818" i="7"/>
  <c r="N6818" i="7" s="1"/>
  <c r="M6682" i="7"/>
  <c r="N6682" i="7" s="1"/>
  <c r="M6586" i="7"/>
  <c r="N6586" i="7" s="1"/>
  <c r="M6825" i="7"/>
  <c r="N6825" i="7" s="1"/>
  <c r="M6681" i="7"/>
  <c r="N6681" i="7" s="1"/>
  <c r="M6824" i="7"/>
  <c r="N6824" i="7" s="1"/>
  <c r="M6680" i="7"/>
  <c r="N6680" i="7" s="1"/>
  <c r="M6395" i="7"/>
  <c r="N6395" i="7" s="1"/>
  <c r="M6299" i="7"/>
  <c r="N6299" i="7" s="1"/>
  <c r="M6587" i="7"/>
  <c r="N6587" i="7" s="1"/>
  <c r="M6585" i="7"/>
  <c r="N6585" i="7" s="1"/>
  <c r="M6394" i="7"/>
  <c r="N6394" i="7" s="1"/>
  <c r="M6584" i="7"/>
  <c r="N6584" i="7" s="1"/>
  <c r="M6393" i="7"/>
  <c r="N6393" i="7" s="1"/>
  <c r="M6392" i="7"/>
  <c r="N6392" i="7" s="1"/>
  <c r="M6391" i="7"/>
  <c r="N6391" i="7" s="1"/>
  <c r="M6302" i="7"/>
  <c r="N6302" i="7" s="1"/>
  <c r="M6397" i="7"/>
  <c r="N6397" i="7" s="1"/>
  <c r="M6396" i="7"/>
  <c r="N6396" i="7" s="1"/>
  <c r="M6300" i="7"/>
  <c r="N6300" i="7" s="1"/>
  <c r="M5963" i="7"/>
  <c r="N5963" i="7" s="1"/>
  <c r="M6304" i="7"/>
  <c r="N6304" i="7" s="1"/>
  <c r="M6298" i="7"/>
  <c r="N6298" i="7" s="1"/>
  <c r="M6129" i="7"/>
  <c r="N6129" i="7" s="1"/>
  <c r="M6303" i="7"/>
  <c r="N6303" i="7" s="1"/>
  <c r="M6301" i="7"/>
  <c r="N6301" i="7" s="1"/>
  <c r="M6297" i="7"/>
  <c r="N6297" i="7" s="1"/>
  <c r="M6128" i="7"/>
  <c r="N6128" i="7" s="1"/>
  <c r="M6296" i="7"/>
  <c r="N6296" i="7" s="1"/>
  <c r="M6127" i="7"/>
  <c r="N6127" i="7" s="1"/>
  <c r="M6206" i="7"/>
  <c r="N6206" i="7" s="1"/>
  <c r="M6126" i="7"/>
  <c r="N6126" i="7" s="1"/>
  <c r="M6205" i="7"/>
  <c r="N6205" i="7" s="1"/>
  <c r="M5813" i="7"/>
  <c r="N5813" i="7" s="1"/>
  <c r="M5811" i="7"/>
  <c r="N5811" i="7" s="1"/>
  <c r="M5810" i="7"/>
  <c r="N5810" i="7" s="1"/>
  <c r="M5964" i="7"/>
  <c r="N5964" i="7" s="1"/>
  <c r="M5962" i="7"/>
  <c r="N5962" i="7" s="1"/>
  <c r="M5961" i="7"/>
  <c r="N5961" i="7" s="1"/>
  <c r="M5808" i="7"/>
  <c r="N5808" i="7" s="1"/>
  <c r="M5500" i="7"/>
  <c r="N5500" i="7" s="1"/>
  <c r="M5627" i="7"/>
  <c r="N5627" i="7" s="1"/>
  <c r="M5507" i="7"/>
  <c r="N5507" i="7" s="1"/>
  <c r="M5809" i="7"/>
  <c r="N5809" i="7" s="1"/>
  <c r="M5626" i="7"/>
  <c r="N5626" i="7" s="1"/>
  <c r="M5506" i="7"/>
  <c r="N5506" i="7" s="1"/>
  <c r="M5814" i="7"/>
  <c r="N5814" i="7" s="1"/>
  <c r="M5812" i="7"/>
  <c r="N5812" i="7" s="1"/>
  <c r="M5625" i="7"/>
  <c r="N5625" i="7" s="1"/>
  <c r="M5624" i="7"/>
  <c r="N5624" i="7" s="1"/>
  <c r="M5504" i="7"/>
  <c r="N5504" i="7" s="1"/>
  <c r="M5623" i="7"/>
  <c r="N5623" i="7" s="1"/>
  <c r="M5622" i="7"/>
  <c r="N5622" i="7" s="1"/>
  <c r="M5502" i="7"/>
  <c r="N5502" i="7" s="1"/>
  <c r="M5336" i="7"/>
  <c r="N5336" i="7" s="1"/>
  <c r="M5335" i="7"/>
  <c r="N5335" i="7" s="1"/>
  <c r="M5342" i="7"/>
  <c r="N5342" i="7" s="1"/>
  <c r="M5334" i="7"/>
  <c r="N5334" i="7" s="1"/>
  <c r="M5505" i="7"/>
  <c r="N5505" i="7" s="1"/>
  <c r="M5503" i="7"/>
  <c r="N5503" i="7" s="1"/>
  <c r="M5501" i="7"/>
  <c r="N5501" i="7" s="1"/>
  <c r="M5341" i="7"/>
  <c r="N5341" i="7" s="1"/>
  <c r="M5333" i="7"/>
  <c r="N5333" i="7" s="1"/>
  <c r="M5340" i="7"/>
  <c r="N5340" i="7" s="1"/>
  <c r="M5332" i="7"/>
  <c r="N5332" i="7" s="1"/>
  <c r="M5339" i="7"/>
  <c r="N5339" i="7" s="1"/>
  <c r="M5338" i="7"/>
  <c r="N5338" i="7" s="1"/>
  <c r="M5041" i="7"/>
  <c r="N5041" i="7" s="1"/>
  <c r="M5040" i="7"/>
  <c r="N5040" i="7" s="1"/>
  <c r="M5337" i="7"/>
  <c r="N5337" i="7" s="1"/>
  <c r="M5039" i="7"/>
  <c r="N5039" i="7" s="1"/>
  <c r="M5038" i="7"/>
  <c r="N5038" i="7" s="1"/>
  <c r="M5037" i="7"/>
  <c r="N5037" i="7" s="1"/>
  <c r="M5043" i="7"/>
  <c r="N5043" i="7" s="1"/>
  <c r="M5035" i="7"/>
  <c r="N5035" i="7" s="1"/>
  <c r="M5042" i="7"/>
  <c r="N5042" i="7" s="1"/>
  <c r="M4697" i="7"/>
  <c r="N4697" i="7" s="1"/>
  <c r="M4696" i="7"/>
  <c r="N4696" i="7" s="1"/>
  <c r="M4846" i="7"/>
  <c r="N4846" i="7" s="1"/>
  <c r="M4694" i="7"/>
  <c r="N4694" i="7" s="1"/>
  <c r="M5036" i="7"/>
  <c r="N5036" i="7" s="1"/>
  <c r="M4938" i="7"/>
  <c r="N4938" i="7" s="1"/>
  <c r="M4845" i="7"/>
  <c r="N4845" i="7" s="1"/>
  <c r="M4693" i="7"/>
  <c r="N4693" i="7" s="1"/>
  <c r="M4937" i="7"/>
  <c r="N4937" i="7" s="1"/>
  <c r="M4844" i="7"/>
  <c r="N4844" i="7" s="1"/>
  <c r="M4843" i="7"/>
  <c r="N4843" i="7" s="1"/>
  <c r="M4842" i="7"/>
  <c r="N4842" i="7" s="1"/>
  <c r="M4698" i="7"/>
  <c r="N4698" i="7" s="1"/>
  <c r="M4368" i="7"/>
  <c r="N4368" i="7" s="1"/>
  <c r="M4256" i="7"/>
  <c r="N4256" i="7" s="1"/>
  <c r="M4104" i="7"/>
  <c r="N4104" i="7" s="1"/>
  <c r="M4695" i="7"/>
  <c r="N4695" i="7" s="1"/>
  <c r="M4575" i="7"/>
  <c r="N4575" i="7" s="1"/>
  <c r="M4367" i="7"/>
  <c r="N4367" i="7" s="1"/>
  <c r="M4255" i="7"/>
  <c r="N4255" i="7" s="1"/>
  <c r="M4103" i="7"/>
  <c r="N4103" i="7" s="1"/>
  <c r="M4574" i="7"/>
  <c r="N4574" i="7" s="1"/>
  <c r="M4502" i="7"/>
  <c r="N4502" i="7" s="1"/>
  <c r="M4102" i="7"/>
  <c r="N4102" i="7" s="1"/>
  <c r="M4573" i="7"/>
  <c r="N4573" i="7" s="1"/>
  <c r="M4501" i="7"/>
  <c r="N4501" i="7" s="1"/>
  <c r="M4101" i="7"/>
  <c r="N4101" i="7" s="1"/>
  <c r="M4500" i="7"/>
  <c r="N4500" i="7" s="1"/>
  <c r="M4260" i="7"/>
  <c r="N4260" i="7" s="1"/>
  <c r="M4100" i="7"/>
  <c r="N4100" i="7" s="1"/>
  <c r="M4371" i="7"/>
  <c r="N4371" i="7" s="1"/>
  <c r="M4259" i="7"/>
  <c r="N4259" i="7" s="1"/>
  <c r="M4099" i="7"/>
  <c r="N4099" i="7" s="1"/>
  <c r="M4370" i="7"/>
  <c r="N4370" i="7" s="1"/>
  <c r="M4258" i="7"/>
  <c r="N4258" i="7" s="1"/>
  <c r="M4369" i="7"/>
  <c r="N4369" i="7" s="1"/>
  <c r="M4257" i="7"/>
  <c r="N4257" i="7" s="1"/>
  <c r="M4024" i="7"/>
  <c r="N4024" i="7" s="1"/>
  <c r="M3894" i="7"/>
  <c r="N3894" i="7" s="1"/>
  <c r="M3822" i="7"/>
  <c r="N3822" i="7" s="1"/>
  <c r="M3678" i="7"/>
  <c r="N3678" i="7" s="1"/>
  <c r="M4023" i="7"/>
  <c r="N4023" i="7" s="1"/>
  <c r="M3821" i="7"/>
  <c r="N3821" i="7" s="1"/>
  <c r="M3677" i="7"/>
  <c r="N3677" i="7" s="1"/>
  <c r="M3589" i="7"/>
  <c r="N3589" i="7" s="1"/>
  <c r="M4022" i="7"/>
  <c r="N4022" i="7" s="1"/>
  <c r="M3900" i="7"/>
  <c r="N3900" i="7" s="1"/>
  <c r="M3820" i="7"/>
  <c r="N3820" i="7" s="1"/>
  <c r="M3676" i="7"/>
  <c r="N3676" i="7" s="1"/>
  <c r="M3588" i="7"/>
  <c r="N3588" i="7" s="1"/>
  <c r="M3899" i="7"/>
  <c r="N3899" i="7" s="1"/>
  <c r="M3819" i="7"/>
  <c r="N3819" i="7" s="1"/>
  <c r="M3683" i="7"/>
  <c r="N3683" i="7" s="1"/>
  <c r="M3587" i="7"/>
  <c r="N3587" i="7" s="1"/>
  <c r="M3898" i="7"/>
  <c r="N3898" i="7" s="1"/>
  <c r="M3818" i="7"/>
  <c r="N3818" i="7" s="1"/>
  <c r="M3682" i="7"/>
  <c r="N3682" i="7" s="1"/>
  <c r="M3586" i="7"/>
  <c r="N3586" i="7" s="1"/>
  <c r="M3897" i="7"/>
  <c r="N3897" i="7" s="1"/>
  <c r="M3817" i="7"/>
  <c r="N3817" i="7" s="1"/>
  <c r="M3681" i="7"/>
  <c r="N3681" i="7" s="1"/>
  <c r="M3585" i="7"/>
  <c r="N3585" i="7" s="1"/>
  <c r="M3896" i="7"/>
  <c r="N3896" i="7" s="1"/>
  <c r="M3680" i="7"/>
  <c r="N3680" i="7" s="1"/>
  <c r="M3584" i="7"/>
  <c r="N3584" i="7" s="1"/>
  <c r="M4105" i="7"/>
  <c r="N4105" i="7" s="1"/>
  <c r="M4025" i="7"/>
  <c r="N4025" i="7" s="1"/>
  <c r="M3895" i="7"/>
  <c r="N3895" i="7" s="1"/>
  <c r="M3679" i="7"/>
  <c r="N3679" i="7" s="1"/>
  <c r="M3583" i="7"/>
  <c r="N3583" i="7" s="1"/>
  <c r="M3315" i="7"/>
  <c r="N3315" i="7" s="1"/>
  <c r="M3115" i="7"/>
  <c r="N3115" i="7" s="1"/>
  <c r="M3019" i="7"/>
  <c r="N3019" i="7" s="1"/>
  <c r="M2891" i="7"/>
  <c r="N2891" i="7" s="1"/>
  <c r="M3314" i="7"/>
  <c r="N3314" i="7" s="1"/>
  <c r="M3114" i="7"/>
  <c r="N3114" i="7" s="1"/>
  <c r="M3018" i="7"/>
  <c r="N3018" i="7" s="1"/>
  <c r="M2890" i="7"/>
  <c r="N2890" i="7" s="1"/>
  <c r="M3321" i="7"/>
  <c r="N3321" i="7" s="1"/>
  <c r="M3313" i="7"/>
  <c r="N3313" i="7" s="1"/>
  <c r="M3017" i="7"/>
  <c r="N3017" i="7" s="1"/>
  <c r="M3320" i="7"/>
  <c r="N3320" i="7" s="1"/>
  <c r="M2888" i="7"/>
  <c r="N2888" i="7" s="1"/>
  <c r="M3319" i="7"/>
  <c r="N3319" i="7" s="1"/>
  <c r="M3119" i="7"/>
  <c r="N3119" i="7" s="1"/>
  <c r="M2887" i="7"/>
  <c r="N2887" i="7" s="1"/>
  <c r="M3446" i="7"/>
  <c r="N3446" i="7" s="1"/>
  <c r="M3318" i="7"/>
  <c r="N3318" i="7" s="1"/>
  <c r="M3118" i="7"/>
  <c r="N3118" i="7" s="1"/>
  <c r="M3445" i="7"/>
  <c r="N3445" i="7" s="1"/>
  <c r="M3317" i="7"/>
  <c r="N3317" i="7" s="1"/>
  <c r="M3117" i="7"/>
  <c r="N3117" i="7" s="1"/>
  <c r="M3021" i="7"/>
  <c r="N3021" i="7" s="1"/>
  <c r="M3316" i="7"/>
  <c r="N3316" i="7" s="1"/>
  <c r="M3116" i="7"/>
  <c r="N3116" i="7" s="1"/>
  <c r="M3020" i="7"/>
  <c r="N3020" i="7" s="1"/>
  <c r="M2532" i="7"/>
  <c r="N2532" i="7" s="1"/>
  <c r="M2524" i="7"/>
  <c r="N2524" i="7" s="1"/>
  <c r="M2284" i="7"/>
  <c r="N2284" i="7" s="1"/>
  <c r="M2889" i="7"/>
  <c r="N2889" i="7" s="1"/>
  <c r="M2531" i="7"/>
  <c r="N2531" i="7" s="1"/>
  <c r="M2523" i="7"/>
  <c r="N2523" i="7" s="1"/>
  <c r="M2403" i="7"/>
  <c r="N2403" i="7" s="1"/>
  <c r="M2283" i="7"/>
  <c r="N2283" i="7" s="1"/>
  <c r="M2892" i="7"/>
  <c r="N2892" i="7" s="1"/>
  <c r="M2754" i="7"/>
  <c r="N2754" i="7" s="1"/>
  <c r="M2530" i="7"/>
  <c r="N2530" i="7" s="1"/>
  <c r="M2753" i="7"/>
  <c r="N2753" i="7" s="1"/>
  <c r="M2625" i="7"/>
  <c r="N2625" i="7" s="1"/>
  <c r="M2529" i="7"/>
  <c r="N2529" i="7" s="1"/>
  <c r="M2401" i="7"/>
  <c r="N2401" i="7" s="1"/>
  <c r="M2289" i="7"/>
  <c r="N2289" i="7" s="1"/>
  <c r="M2281" i="7"/>
  <c r="N2281" i="7" s="1"/>
  <c r="M2752" i="7"/>
  <c r="N2752" i="7" s="1"/>
  <c r="M2624" i="7"/>
  <c r="N2624" i="7" s="1"/>
  <c r="M2528" i="7"/>
  <c r="N2528" i="7" s="1"/>
  <c r="M2400" i="7"/>
  <c r="N2400" i="7" s="1"/>
  <c r="M2288" i="7"/>
  <c r="N2288" i="7" s="1"/>
  <c r="M2751" i="7"/>
  <c r="N2751" i="7" s="1"/>
  <c r="M2527" i="7"/>
  <c r="N2527" i="7" s="1"/>
  <c r="M2399" i="7"/>
  <c r="N2399" i="7" s="1"/>
  <c r="M2750" i="7"/>
  <c r="N2750" i="7" s="1"/>
  <c r="M2526" i="7"/>
  <c r="N2526" i="7" s="1"/>
  <c r="M2533" i="7"/>
  <c r="N2533" i="7" s="1"/>
  <c r="M2525" i="7"/>
  <c r="N2525" i="7" s="1"/>
  <c r="M2285" i="7"/>
  <c r="N2285" i="7" s="1"/>
  <c r="M2087" i="7"/>
  <c r="N2087" i="7" s="1"/>
  <c r="M1919" i="7"/>
  <c r="N1919" i="7" s="1"/>
  <c r="M1767" i="7"/>
  <c r="N1767" i="7" s="1"/>
  <c r="M1918" i="7"/>
  <c r="N1918" i="7" s="1"/>
  <c r="M1766" i="7"/>
  <c r="N1766" i="7" s="1"/>
  <c r="M1773" i="7"/>
  <c r="N1773" i="7" s="1"/>
  <c r="M1772" i="7"/>
  <c r="N1772" i="7" s="1"/>
  <c r="M2282" i="7"/>
  <c r="N2282" i="7" s="1"/>
  <c r="M2280" i="7"/>
  <c r="N2280" i="7" s="1"/>
  <c r="M2091" i="7"/>
  <c r="N2091" i="7" s="1"/>
  <c r="M1771" i="7"/>
  <c r="N1771" i="7" s="1"/>
  <c r="M2287" i="7"/>
  <c r="N2287" i="7" s="1"/>
  <c r="M2279" i="7"/>
  <c r="N2279" i="7" s="1"/>
  <c r="M2090" i="7"/>
  <c r="N2090" i="7" s="1"/>
  <c r="M1770" i="7"/>
  <c r="N1770" i="7" s="1"/>
  <c r="M2402" i="7"/>
  <c r="N2402" i="7" s="1"/>
  <c r="M2290" i="7"/>
  <c r="N2290" i="7" s="1"/>
  <c r="M2286" i="7"/>
  <c r="N2286" i="7" s="1"/>
  <c r="M2278" i="7"/>
  <c r="N2278" i="7" s="1"/>
  <c r="M2089" i="7"/>
  <c r="N2089" i="7" s="1"/>
  <c r="M1921" i="7"/>
  <c r="N1921" i="7" s="1"/>
  <c r="M1769" i="7"/>
  <c r="N1769" i="7" s="1"/>
  <c r="M2088" i="7"/>
  <c r="N2088" i="7" s="1"/>
  <c r="M1920" i="7"/>
  <c r="N1920" i="7" s="1"/>
  <c r="M1768" i="7"/>
  <c r="N1768" i="7" s="1"/>
  <c r="M1614" i="7"/>
  <c r="N1614" i="7" s="1"/>
  <c r="M1606" i="7"/>
  <c r="N1606" i="7" s="1"/>
  <c r="M1222" i="7"/>
  <c r="N1222" i="7" s="1"/>
  <c r="M1613" i="7"/>
  <c r="N1613" i="7" s="1"/>
  <c r="M1341" i="7"/>
  <c r="N1341" i="7" s="1"/>
  <c r="M1221" i="7"/>
  <c r="N1221" i="7" s="1"/>
  <c r="M1612" i="7"/>
  <c r="N1612" i="7" s="1"/>
  <c r="M1340" i="7"/>
  <c r="N1340" i="7" s="1"/>
  <c r="M1220" i="7"/>
  <c r="N1220" i="7" s="1"/>
  <c r="M1611" i="7"/>
  <c r="N1611" i="7" s="1"/>
  <c r="M1219" i="7"/>
  <c r="N1219" i="7" s="1"/>
  <c r="M1618" i="7"/>
  <c r="N1618" i="7" s="1"/>
  <c r="M1610" i="7"/>
  <c r="N1610" i="7" s="1"/>
  <c r="M1218" i="7"/>
  <c r="N1218" i="7" s="1"/>
  <c r="M1617" i="7"/>
  <c r="N1617" i="7" s="1"/>
  <c r="M1609" i="7"/>
  <c r="N1609" i="7" s="1"/>
  <c r="M1217" i="7"/>
  <c r="N1217" i="7" s="1"/>
  <c r="M1616" i="7"/>
  <c r="N1616" i="7" s="1"/>
  <c r="M1608" i="7"/>
  <c r="N1608" i="7" s="1"/>
  <c r="M1224" i="7"/>
  <c r="N1224" i="7" s="1"/>
  <c r="M1216" i="7"/>
  <c r="N1216" i="7" s="1"/>
  <c r="M1615" i="7"/>
  <c r="N1615" i="7" s="1"/>
  <c r="M1607" i="7"/>
  <c r="N1607" i="7" s="1"/>
  <c r="M1223" i="7"/>
  <c r="N1223" i="7" s="1"/>
  <c r="M1215" i="7"/>
  <c r="N1215" i="7" s="1"/>
  <c r="M996" i="7"/>
  <c r="N996" i="7" s="1"/>
  <c r="M860" i="7"/>
  <c r="N860" i="7" s="1"/>
  <c r="M476" i="7"/>
  <c r="N476" i="7" s="1"/>
  <c r="M995" i="7"/>
  <c r="N995" i="7" s="1"/>
  <c r="M859" i="7"/>
  <c r="N859" i="7" s="1"/>
  <c r="M587" i="7"/>
  <c r="N587" i="7" s="1"/>
  <c r="M994" i="7"/>
  <c r="N994" i="7" s="1"/>
  <c r="M586" i="7"/>
  <c r="N586" i="7" s="1"/>
  <c r="M482" i="7"/>
  <c r="N482" i="7" s="1"/>
  <c r="M993" i="7"/>
  <c r="N993" i="7" s="1"/>
  <c r="M585" i="7"/>
  <c r="N585" i="7" s="1"/>
  <c r="M481" i="7"/>
  <c r="N481" i="7" s="1"/>
  <c r="M321" i="7"/>
  <c r="N321" i="7" s="1"/>
  <c r="M209" i="7"/>
  <c r="N209" i="7" s="1"/>
  <c r="M584" i="7"/>
  <c r="N584" i="7" s="1"/>
  <c r="M480" i="7"/>
  <c r="N480" i="7" s="1"/>
  <c r="M999" i="7"/>
  <c r="N999" i="7" s="1"/>
  <c r="M863" i="7"/>
  <c r="N863" i="7" s="1"/>
  <c r="M583" i="7"/>
  <c r="N583" i="7" s="1"/>
  <c r="M479" i="7"/>
  <c r="N479" i="7" s="1"/>
  <c r="M998" i="7"/>
  <c r="N998" i="7" s="1"/>
  <c r="M862" i="7"/>
  <c r="N862" i="7" s="1"/>
  <c r="M582" i="7"/>
  <c r="N582" i="7" s="1"/>
  <c r="M478" i="7"/>
  <c r="N478" i="7" s="1"/>
  <c r="M997" i="7"/>
  <c r="N997" i="7" s="1"/>
  <c r="M861" i="7"/>
  <c r="N861" i="7" s="1"/>
  <c r="M477" i="7"/>
  <c r="N477" i="7" s="1"/>
  <c r="M322" i="7"/>
  <c r="N322" i="7" s="1"/>
  <c r="E724" i="6"/>
  <c r="F724" i="6" s="1"/>
  <c r="E720" i="6"/>
  <c r="F720" i="6" s="1"/>
  <c r="E716" i="6"/>
  <c r="F716" i="6" s="1"/>
  <c r="E712" i="6"/>
  <c r="F712" i="6" s="1"/>
  <c r="E708" i="6"/>
  <c r="F708" i="6" s="1"/>
  <c r="E704" i="6"/>
  <c r="F704" i="6" s="1"/>
  <c r="E725" i="6"/>
  <c r="F725" i="6" s="1"/>
  <c r="E721" i="6"/>
  <c r="F721" i="6" s="1"/>
  <c r="E717" i="6"/>
  <c r="F717" i="6" s="1"/>
  <c r="E713" i="6"/>
  <c r="F713" i="6" s="1"/>
  <c r="E709" i="6"/>
  <c r="F709" i="6" s="1"/>
  <c r="E705" i="6"/>
  <c r="F705" i="6" s="1"/>
  <c r="M210" i="7"/>
  <c r="N210" i="7" s="1"/>
  <c r="M208" i="7"/>
  <c r="N208" i="7" s="1"/>
  <c r="E726" i="6"/>
  <c r="F726" i="6" s="1"/>
  <c r="E722" i="6"/>
  <c r="F722" i="6" s="1"/>
  <c r="E718" i="6"/>
  <c r="F718" i="6" s="1"/>
  <c r="E714" i="6"/>
  <c r="F714" i="6" s="1"/>
  <c r="E710" i="6"/>
  <c r="F710" i="6" s="1"/>
  <c r="E706" i="6"/>
  <c r="F706" i="6" s="1"/>
  <c r="M207" i="7"/>
  <c r="N207" i="7" s="1"/>
  <c r="E727" i="6"/>
  <c r="F727" i="6" s="1"/>
  <c r="E723" i="6"/>
  <c r="F723" i="6" s="1"/>
  <c r="E719" i="6"/>
  <c r="F719" i="6" s="1"/>
  <c r="E715" i="6"/>
  <c r="F715" i="6" s="1"/>
  <c r="E711" i="6"/>
  <c r="F711" i="6" s="1"/>
  <c r="E707" i="6"/>
  <c r="F707" i="6" s="1"/>
  <c r="M6631" i="7"/>
  <c r="N6631" i="7" s="1"/>
  <c r="M6693" i="7"/>
  <c r="N6693" i="7" s="1"/>
  <c r="M6629" i="7"/>
  <c r="N6629" i="7" s="1"/>
  <c r="M6692" i="7"/>
  <c r="N6692" i="7" s="1"/>
  <c r="M6628" i="7"/>
  <c r="N6628" i="7" s="1"/>
  <c r="M6859" i="7"/>
  <c r="N6859" i="7" s="1"/>
  <c r="M6691" i="7"/>
  <c r="N6691" i="7" s="1"/>
  <c r="M6627" i="7"/>
  <c r="N6627" i="7" s="1"/>
  <c r="M6858" i="7"/>
  <c r="N6858" i="7" s="1"/>
  <c r="M6690" i="7"/>
  <c r="N6690" i="7" s="1"/>
  <c r="M6626" i="7"/>
  <c r="N6626" i="7" s="1"/>
  <c r="M6625" i="7"/>
  <c r="N6625" i="7" s="1"/>
  <c r="M6630" i="7"/>
  <c r="N6630" i="7" s="1"/>
  <c r="M6411" i="7"/>
  <c r="N6411" i="7" s="1"/>
  <c r="M6323" i="7"/>
  <c r="N6323" i="7" s="1"/>
  <c r="M6410" i="7"/>
  <c r="N6410" i="7" s="1"/>
  <c r="M6322" i="7"/>
  <c r="N6322" i="7" s="1"/>
  <c r="M6409" i="7"/>
  <c r="N6409" i="7" s="1"/>
  <c r="M6624" i="7"/>
  <c r="N6624" i="7" s="1"/>
  <c r="M6413" i="7"/>
  <c r="N6413" i="7" s="1"/>
  <c r="M6412" i="7"/>
  <c r="N6412" i="7" s="1"/>
  <c r="M6324" i="7"/>
  <c r="N6324" i="7" s="1"/>
  <c r="M6221" i="7"/>
  <c r="N6221" i="7" s="1"/>
  <c r="M5979" i="7"/>
  <c r="N5979" i="7" s="1"/>
  <c r="M6220" i="7"/>
  <c r="N6220" i="7" s="1"/>
  <c r="M6219" i="7"/>
  <c r="N6219" i="7" s="1"/>
  <c r="M6218" i="7"/>
  <c r="N6218" i="7" s="1"/>
  <c r="M6217" i="7"/>
  <c r="N6217" i="7" s="1"/>
  <c r="M6216" i="7"/>
  <c r="N6216" i="7" s="1"/>
  <c r="M6150" i="7"/>
  <c r="N6150" i="7" s="1"/>
  <c r="M6149" i="7"/>
  <c r="N6149" i="7" s="1"/>
  <c r="M5980" i="7"/>
  <c r="N5980" i="7" s="1"/>
  <c r="M5978" i="7"/>
  <c r="N5978" i="7" s="1"/>
  <c r="M5853" i="7"/>
  <c r="N5853" i="7" s="1"/>
  <c r="M5977" i="7"/>
  <c r="N5977" i="7" s="1"/>
  <c r="M5976" i="7"/>
  <c r="N5976" i="7" s="1"/>
  <c r="M5859" i="7"/>
  <c r="N5859" i="7" s="1"/>
  <c r="M5975" i="7"/>
  <c r="N5975" i="7" s="1"/>
  <c r="M5858" i="7"/>
  <c r="N5858" i="7" s="1"/>
  <c r="M5974" i="7"/>
  <c r="N5974" i="7" s="1"/>
  <c r="M5857" i="7"/>
  <c r="N5857" i="7" s="1"/>
  <c r="M5973" i="7"/>
  <c r="N5973" i="7" s="1"/>
  <c r="M5856" i="7"/>
  <c r="N5856" i="7" s="1"/>
  <c r="M5855" i="7"/>
  <c r="N5855" i="7" s="1"/>
  <c r="M5854" i="7"/>
  <c r="N5854" i="7" s="1"/>
  <c r="M5645" i="7"/>
  <c r="N5645" i="7" s="1"/>
  <c r="M5533" i="7"/>
  <c r="N5533" i="7" s="1"/>
  <c r="M5644" i="7"/>
  <c r="N5644" i="7" s="1"/>
  <c r="M5532" i="7"/>
  <c r="N5532" i="7" s="1"/>
  <c r="M5643" i="7"/>
  <c r="N5643" i="7" s="1"/>
  <c r="M5531" i="7"/>
  <c r="N5531" i="7" s="1"/>
  <c r="M5642" i="7"/>
  <c r="N5642" i="7" s="1"/>
  <c r="M5530" i="7"/>
  <c r="N5530" i="7" s="1"/>
  <c r="M5641" i="7"/>
  <c r="N5641" i="7" s="1"/>
  <c r="M5640" i="7"/>
  <c r="N5640" i="7" s="1"/>
  <c r="M5646" i="7"/>
  <c r="N5646" i="7" s="1"/>
  <c r="M5534" i="7"/>
  <c r="N5534" i="7" s="1"/>
  <c r="M5392" i="7"/>
  <c r="N5392" i="7" s="1"/>
  <c r="M5391" i="7"/>
  <c r="N5391" i="7" s="1"/>
  <c r="M5390" i="7"/>
  <c r="N5390" i="7" s="1"/>
  <c r="M5389" i="7"/>
  <c r="N5389" i="7" s="1"/>
  <c r="M5388" i="7"/>
  <c r="N5388" i="7" s="1"/>
  <c r="M5395" i="7"/>
  <c r="N5395" i="7" s="1"/>
  <c r="M5394" i="7"/>
  <c r="N5394" i="7" s="1"/>
  <c r="M5393" i="7"/>
  <c r="N5393" i="7" s="1"/>
  <c r="M5081" i="7"/>
  <c r="N5081" i="7" s="1"/>
  <c r="M5080" i="7"/>
  <c r="N5080" i="7" s="1"/>
  <c r="M5079" i="7"/>
  <c r="N5079" i="7" s="1"/>
  <c r="M5078" i="7"/>
  <c r="N5078" i="7" s="1"/>
  <c r="M5077" i="7"/>
  <c r="N5077" i="7" s="1"/>
  <c r="M4949" i="7"/>
  <c r="N4949" i="7" s="1"/>
  <c r="M5076" i="7"/>
  <c r="N5076" i="7" s="1"/>
  <c r="M5083" i="7"/>
  <c r="N5083" i="7" s="1"/>
  <c r="M5075" i="7"/>
  <c r="N5075" i="7" s="1"/>
  <c r="M5082" i="7"/>
  <c r="N5082" i="7" s="1"/>
  <c r="M4873" i="7"/>
  <c r="N4873" i="7" s="1"/>
  <c r="M4705" i="7"/>
  <c r="N4705" i="7" s="1"/>
  <c r="M4872" i="7"/>
  <c r="N4872" i="7" s="1"/>
  <c r="M4871" i="7"/>
  <c r="N4871" i="7" s="1"/>
  <c r="M4870" i="7"/>
  <c r="N4870" i="7" s="1"/>
  <c r="M4710" i="7"/>
  <c r="N4710" i="7" s="1"/>
  <c r="M4950" i="7"/>
  <c r="N4950" i="7" s="1"/>
  <c r="M4948" i="7"/>
  <c r="N4948" i="7" s="1"/>
  <c r="M4877" i="7"/>
  <c r="N4877" i="7" s="1"/>
  <c r="M4869" i="7"/>
  <c r="N4869" i="7" s="1"/>
  <c r="M4709" i="7"/>
  <c r="N4709" i="7" s="1"/>
  <c r="M4947" i="7"/>
  <c r="N4947" i="7" s="1"/>
  <c r="M4876" i="7"/>
  <c r="N4876" i="7" s="1"/>
  <c r="M4868" i="7"/>
  <c r="N4868" i="7" s="1"/>
  <c r="M4708" i="7"/>
  <c r="N4708" i="7" s="1"/>
  <c r="M4946" i="7"/>
  <c r="N4946" i="7" s="1"/>
  <c r="M4875" i="7"/>
  <c r="N4875" i="7" s="1"/>
  <c r="M4874" i="7"/>
  <c r="N4874" i="7" s="1"/>
  <c r="M4706" i="7"/>
  <c r="N4706" i="7" s="1"/>
  <c r="M4528" i="7"/>
  <c r="N4528" i="7" s="1"/>
  <c r="M4288" i="7"/>
  <c r="N4288" i="7" s="1"/>
  <c r="M4048" i="7"/>
  <c r="N4048" i="7" s="1"/>
  <c r="M4527" i="7"/>
  <c r="N4527" i="7" s="1"/>
  <c r="M4295" i="7"/>
  <c r="N4295" i="7" s="1"/>
  <c r="M4287" i="7"/>
  <c r="N4287" i="7" s="1"/>
  <c r="M4119" i="7"/>
  <c r="N4119" i="7" s="1"/>
  <c r="M4047" i="7"/>
  <c r="N4047" i="7" s="1"/>
  <c r="M4526" i="7"/>
  <c r="N4526" i="7" s="1"/>
  <c r="M4294" i="7"/>
  <c r="N4294" i="7" s="1"/>
  <c r="M4118" i="7"/>
  <c r="N4118" i="7" s="1"/>
  <c r="M4589" i="7"/>
  <c r="N4589" i="7" s="1"/>
  <c r="M4525" i="7"/>
  <c r="N4525" i="7" s="1"/>
  <c r="M4389" i="7"/>
  <c r="N4389" i="7" s="1"/>
  <c r="M4293" i="7"/>
  <c r="N4293" i="7" s="1"/>
  <c r="M4117" i="7"/>
  <c r="N4117" i="7" s="1"/>
  <c r="M4588" i="7"/>
  <c r="N4588" i="7" s="1"/>
  <c r="M4524" i="7"/>
  <c r="N4524" i="7" s="1"/>
  <c r="M4388" i="7"/>
  <c r="N4388" i="7" s="1"/>
  <c r="M4292" i="7"/>
  <c r="N4292" i="7" s="1"/>
  <c r="M4116" i="7"/>
  <c r="N4116" i="7" s="1"/>
  <c r="M4707" i="7"/>
  <c r="N4707" i="7" s="1"/>
  <c r="M4587" i="7"/>
  <c r="N4587" i="7" s="1"/>
  <c r="M4387" i="7"/>
  <c r="N4387" i="7" s="1"/>
  <c r="M4291" i="7"/>
  <c r="N4291" i="7" s="1"/>
  <c r="M4586" i="7"/>
  <c r="N4586" i="7" s="1"/>
  <c r="M4386" i="7"/>
  <c r="N4386" i="7" s="1"/>
  <c r="M4290" i="7"/>
  <c r="N4290" i="7" s="1"/>
  <c r="M4585" i="7"/>
  <c r="N4585" i="7" s="1"/>
  <c r="M4289" i="7"/>
  <c r="N4289" i="7" s="1"/>
  <c r="M4046" i="7"/>
  <c r="N4046" i="7" s="1"/>
  <c r="M3910" i="7"/>
  <c r="N3910" i="7" s="1"/>
  <c r="M3694" i="7"/>
  <c r="N3694" i="7" s="1"/>
  <c r="M3614" i="7"/>
  <c r="N3614" i="7" s="1"/>
  <c r="M4049" i="7"/>
  <c r="N4049" i="7" s="1"/>
  <c r="M3909" i="7"/>
  <c r="N3909" i="7" s="1"/>
  <c r="M3613" i="7"/>
  <c r="N3613" i="7" s="1"/>
  <c r="M3908" i="7"/>
  <c r="N3908" i="7" s="1"/>
  <c r="M3619" i="7"/>
  <c r="N3619" i="7" s="1"/>
  <c r="M3842" i="7"/>
  <c r="N3842" i="7" s="1"/>
  <c r="M3618" i="7"/>
  <c r="N3618" i="7" s="1"/>
  <c r="M3841" i="7"/>
  <c r="N3841" i="7" s="1"/>
  <c r="M3617" i="7"/>
  <c r="N3617" i="7" s="1"/>
  <c r="M3840" i="7"/>
  <c r="N3840" i="7" s="1"/>
  <c r="M3616" i="7"/>
  <c r="N3616" i="7" s="1"/>
  <c r="M3464" i="7"/>
  <c r="N3464" i="7" s="1"/>
  <c r="M3695" i="7"/>
  <c r="N3695" i="7" s="1"/>
  <c r="M3615" i="7"/>
  <c r="N3615" i="7" s="1"/>
  <c r="M3463" i="7"/>
  <c r="N3463" i="7" s="1"/>
  <c r="M3363" i="7"/>
  <c r="N3363" i="7" s="1"/>
  <c r="M3139" i="7"/>
  <c r="N3139" i="7" s="1"/>
  <c r="M3131" i="7"/>
  <c r="N3131" i="7" s="1"/>
  <c r="M3043" i="7"/>
  <c r="N3043" i="7" s="1"/>
  <c r="M3362" i="7"/>
  <c r="N3362" i="7" s="1"/>
  <c r="M3138" i="7"/>
  <c r="N3138" i="7" s="1"/>
  <c r="M3130" i="7"/>
  <c r="N3130" i="7" s="1"/>
  <c r="M3042" i="7"/>
  <c r="N3042" i="7" s="1"/>
  <c r="M2786" i="7"/>
  <c r="N2786" i="7" s="1"/>
  <c r="M3137" i="7"/>
  <c r="N3137" i="7" s="1"/>
  <c r="M3129" i="7"/>
  <c r="N3129" i="7" s="1"/>
  <c r="M3049" i="7"/>
  <c r="N3049" i="7" s="1"/>
  <c r="M3041" i="7"/>
  <c r="N3041" i="7" s="1"/>
  <c r="M3136" i="7"/>
  <c r="N3136" i="7" s="1"/>
  <c r="M3048" i="7"/>
  <c r="N3048" i="7" s="1"/>
  <c r="M3040" i="7"/>
  <c r="N3040" i="7" s="1"/>
  <c r="M2904" i="7"/>
  <c r="N2904" i="7" s="1"/>
  <c r="M3135" i="7"/>
  <c r="N3135" i="7" s="1"/>
  <c r="M3047" i="7"/>
  <c r="N3047" i="7" s="1"/>
  <c r="M3039" i="7"/>
  <c r="N3039" i="7" s="1"/>
  <c r="M2903" i="7"/>
  <c r="N2903" i="7" s="1"/>
  <c r="M3462" i="7"/>
  <c r="N3462" i="7" s="1"/>
  <c r="M3134" i="7"/>
  <c r="N3134" i="7" s="1"/>
  <c r="M3046" i="7"/>
  <c r="N3046" i="7" s="1"/>
  <c r="M2902" i="7"/>
  <c r="N2902" i="7" s="1"/>
  <c r="M3461" i="7"/>
  <c r="N3461" i="7" s="1"/>
  <c r="M3133" i="7"/>
  <c r="N3133" i="7" s="1"/>
  <c r="M3045" i="7"/>
  <c r="N3045" i="7" s="1"/>
  <c r="M3364" i="7"/>
  <c r="N3364" i="7" s="1"/>
  <c r="M3140" i="7"/>
  <c r="N3140" i="7" s="1"/>
  <c r="M3132" i="7"/>
  <c r="N3132" i="7" s="1"/>
  <c r="M3044" i="7"/>
  <c r="N3044" i="7" s="1"/>
  <c r="M2789" i="7"/>
  <c r="N2789" i="7" s="1"/>
  <c r="M2564" i="7"/>
  <c r="N2564" i="7" s="1"/>
  <c r="M2412" i="7"/>
  <c r="N2412" i="7" s="1"/>
  <c r="M2316" i="7"/>
  <c r="N2316" i="7" s="1"/>
  <c r="M2788" i="7"/>
  <c r="N2788" i="7" s="1"/>
  <c r="M2563" i="7"/>
  <c r="N2563" i="7" s="1"/>
  <c r="M2787" i="7"/>
  <c r="N2787" i="7" s="1"/>
  <c r="M2642" i="7"/>
  <c r="N2642" i="7" s="1"/>
  <c r="M2570" i="7"/>
  <c r="N2570" i="7" s="1"/>
  <c r="M2785" i="7"/>
  <c r="N2785" i="7" s="1"/>
  <c r="M2641" i="7"/>
  <c r="N2641" i="7" s="1"/>
  <c r="M2569" i="7"/>
  <c r="N2569" i="7" s="1"/>
  <c r="M2321" i="7"/>
  <c r="N2321" i="7" s="1"/>
  <c r="M2784" i="7"/>
  <c r="N2784" i="7" s="1"/>
  <c r="M2640" i="7"/>
  <c r="N2640" i="7" s="1"/>
  <c r="M2568" i="7"/>
  <c r="N2568" i="7" s="1"/>
  <c r="M2320" i="7"/>
  <c r="N2320" i="7" s="1"/>
  <c r="M2905" i="7"/>
  <c r="N2905" i="7" s="1"/>
  <c r="M2783" i="7"/>
  <c r="N2783" i="7" s="1"/>
  <c r="M2639" i="7"/>
  <c r="N2639" i="7" s="1"/>
  <c r="M2567" i="7"/>
  <c r="N2567" i="7" s="1"/>
  <c r="M2782" i="7"/>
  <c r="N2782" i="7" s="1"/>
  <c r="M2638" i="7"/>
  <c r="N2638" i="7" s="1"/>
  <c r="M2566" i="7"/>
  <c r="N2566" i="7" s="1"/>
  <c r="M2318" i="7"/>
  <c r="N2318" i="7" s="1"/>
  <c r="M2790" i="7"/>
  <c r="N2790" i="7" s="1"/>
  <c r="M2781" i="7"/>
  <c r="N2781" i="7" s="1"/>
  <c r="M2565" i="7"/>
  <c r="N2565" i="7" s="1"/>
  <c r="M2413" i="7"/>
  <c r="N2413" i="7" s="1"/>
  <c r="M2317" i="7"/>
  <c r="N2317" i="7" s="1"/>
  <c r="M2111" i="7"/>
  <c r="N2111" i="7" s="1"/>
  <c r="M1967" i="7"/>
  <c r="N1967" i="7" s="1"/>
  <c r="M1959" i="7"/>
  <c r="N1959" i="7" s="1"/>
  <c r="M1791" i="7"/>
  <c r="N1791" i="7" s="1"/>
  <c r="M2110" i="7"/>
  <c r="N2110" i="7" s="1"/>
  <c r="M1966" i="7"/>
  <c r="N1966" i="7" s="1"/>
  <c r="M1958" i="7"/>
  <c r="N1958" i="7" s="1"/>
  <c r="M1790" i="7"/>
  <c r="N1790" i="7" s="1"/>
  <c r="M1662" i="7"/>
  <c r="N1662" i="7" s="1"/>
  <c r="M2109" i="7"/>
  <c r="N2109" i="7" s="1"/>
  <c r="M1965" i="7"/>
  <c r="N1965" i="7" s="1"/>
  <c r="M2108" i="7"/>
  <c r="N2108" i="7" s="1"/>
  <c r="M1964" i="7"/>
  <c r="N1964" i="7" s="1"/>
  <c r="M2319" i="7"/>
  <c r="N2319" i="7" s="1"/>
  <c r="M2107" i="7"/>
  <c r="N2107" i="7" s="1"/>
  <c r="M1963" i="7"/>
  <c r="N1963" i="7" s="1"/>
  <c r="M1667" i="7"/>
  <c r="N1667" i="7" s="1"/>
  <c r="M2322" i="7"/>
  <c r="N2322" i="7" s="1"/>
  <c r="M2106" i="7"/>
  <c r="N2106" i="7" s="1"/>
  <c r="M1962" i="7"/>
  <c r="N1962" i="7" s="1"/>
  <c r="M1961" i="7"/>
  <c r="N1961" i="7" s="1"/>
  <c r="M1968" i="7"/>
  <c r="N1968" i="7" s="1"/>
  <c r="M1960" i="7"/>
  <c r="N1960" i="7" s="1"/>
  <c r="M1664" i="7"/>
  <c r="N1664" i="7" s="1"/>
  <c r="M1254" i="7"/>
  <c r="N1254" i="7" s="1"/>
  <c r="M1663" i="7"/>
  <c r="N1663" i="7" s="1"/>
  <c r="M1661" i="7"/>
  <c r="N1661" i="7" s="1"/>
  <c r="M1253" i="7"/>
  <c r="N1253" i="7" s="1"/>
  <c r="M1660" i="7"/>
  <c r="N1660" i="7" s="1"/>
  <c r="M1356" i="7"/>
  <c r="N1356" i="7" s="1"/>
  <c r="M1260" i="7"/>
  <c r="N1260" i="7" s="1"/>
  <c r="M1252" i="7"/>
  <c r="N1252" i="7" s="1"/>
  <c r="M1355" i="7"/>
  <c r="N1355" i="7" s="1"/>
  <c r="M1259" i="7"/>
  <c r="N1259" i="7" s="1"/>
  <c r="M1251" i="7"/>
  <c r="N1251" i="7" s="1"/>
  <c r="M1019" i="7"/>
  <c r="N1019" i="7" s="1"/>
  <c r="M1354" i="7"/>
  <c r="N1354" i="7" s="1"/>
  <c r="M1258" i="7"/>
  <c r="N1258" i="7" s="1"/>
  <c r="M1250" i="7"/>
  <c r="N1250" i="7" s="1"/>
  <c r="M1353" i="7"/>
  <c r="N1353" i="7" s="1"/>
  <c r="M1257" i="7"/>
  <c r="N1257" i="7" s="1"/>
  <c r="M1666" i="7"/>
  <c r="N1666" i="7" s="1"/>
  <c r="M1352" i="7"/>
  <c r="N1352" i="7" s="1"/>
  <c r="M1256" i="7"/>
  <c r="N1256" i="7" s="1"/>
  <c r="M1665" i="7"/>
  <c r="N1665" i="7" s="1"/>
  <c r="M1255" i="7"/>
  <c r="N1255" i="7" s="1"/>
  <c r="M900" i="7"/>
  <c r="N900" i="7" s="1"/>
  <c r="M604" i="7"/>
  <c r="N604" i="7" s="1"/>
  <c r="M516" i="7"/>
  <c r="N516" i="7" s="1"/>
  <c r="M603" i="7"/>
  <c r="N603" i="7" s="1"/>
  <c r="M515" i="7"/>
  <c r="N515" i="7" s="1"/>
  <c r="M339" i="7"/>
  <c r="N339" i="7" s="1"/>
  <c r="M243" i="7"/>
  <c r="N243" i="7" s="1"/>
  <c r="M1024" i="7"/>
  <c r="N1024" i="7" s="1"/>
  <c r="M906" i="7"/>
  <c r="N906" i="7" s="1"/>
  <c r="M602" i="7"/>
  <c r="N602" i="7" s="1"/>
  <c r="M514" i="7"/>
  <c r="N514" i="7" s="1"/>
  <c r="M1023" i="7"/>
  <c r="N1023" i="7" s="1"/>
  <c r="M905" i="7"/>
  <c r="N905" i="7" s="1"/>
  <c r="M521" i="7"/>
  <c r="N521" i="7" s="1"/>
  <c r="M337" i="7"/>
  <c r="N337" i="7" s="1"/>
  <c r="M241" i="7"/>
  <c r="N241" i="7" s="1"/>
  <c r="M1022" i="7"/>
  <c r="N1022" i="7" s="1"/>
  <c r="M904" i="7"/>
  <c r="N904" i="7" s="1"/>
  <c r="M520" i="7"/>
  <c r="N520" i="7" s="1"/>
  <c r="M1021" i="7"/>
  <c r="N1021" i="7" s="1"/>
  <c r="M903" i="7"/>
  <c r="N903" i="7" s="1"/>
  <c r="M607" i="7"/>
  <c r="N607" i="7" s="1"/>
  <c r="M519" i="7"/>
  <c r="N519" i="7" s="1"/>
  <c r="M1020" i="7"/>
  <c r="N1020" i="7" s="1"/>
  <c r="M1018" i="7"/>
  <c r="N1018" i="7" s="1"/>
  <c r="M902" i="7"/>
  <c r="N902" i="7" s="1"/>
  <c r="M606" i="7"/>
  <c r="N606" i="7" s="1"/>
  <c r="M518" i="7"/>
  <c r="N518" i="7" s="1"/>
  <c r="M1017" i="7"/>
  <c r="N1017" i="7" s="1"/>
  <c r="M901" i="7"/>
  <c r="N901" i="7" s="1"/>
  <c r="M605" i="7"/>
  <c r="N605" i="7" s="1"/>
  <c r="M517" i="7"/>
  <c r="N517" i="7" s="1"/>
  <c r="M338" i="7"/>
  <c r="N338" i="7" s="1"/>
  <c r="M248" i="7"/>
  <c r="N248" i="7" s="1"/>
  <c r="E912" i="6"/>
  <c r="F912" i="6" s="1"/>
  <c r="E908" i="6"/>
  <c r="F908" i="6" s="1"/>
  <c r="E904" i="6"/>
  <c r="F904" i="6" s="1"/>
  <c r="E900" i="6"/>
  <c r="F900" i="6" s="1"/>
  <c r="E896" i="6"/>
  <c r="F896" i="6" s="1"/>
  <c r="E892" i="6"/>
  <c r="F892" i="6" s="1"/>
  <c r="M247" i="7"/>
  <c r="N247" i="7" s="1"/>
  <c r="M246" i="7"/>
  <c r="N246" i="7" s="1"/>
  <c r="E913" i="6"/>
  <c r="F913" i="6" s="1"/>
  <c r="E909" i="6"/>
  <c r="F909" i="6" s="1"/>
  <c r="E905" i="6"/>
  <c r="F905" i="6" s="1"/>
  <c r="E901" i="6"/>
  <c r="F901" i="6" s="1"/>
  <c r="E897" i="6"/>
  <c r="F897" i="6" s="1"/>
  <c r="E893" i="6"/>
  <c r="F893" i="6" s="1"/>
  <c r="M245" i="7"/>
  <c r="N245" i="7" s="1"/>
  <c r="M244" i="7"/>
  <c r="N244" i="7" s="1"/>
  <c r="M242" i="7"/>
  <c r="N242" i="7" s="1"/>
  <c r="E910" i="6"/>
  <c r="F910" i="6" s="1"/>
  <c r="E906" i="6"/>
  <c r="F906" i="6" s="1"/>
  <c r="E902" i="6"/>
  <c r="F902" i="6" s="1"/>
  <c r="E898" i="6"/>
  <c r="F898" i="6" s="1"/>
  <c r="E894" i="6"/>
  <c r="F894" i="6" s="1"/>
  <c r="E890" i="6"/>
  <c r="F890" i="6" s="1"/>
  <c r="E911" i="6"/>
  <c r="F911" i="6" s="1"/>
  <c r="E907" i="6"/>
  <c r="F907" i="6" s="1"/>
  <c r="E903" i="6"/>
  <c r="F903" i="6" s="1"/>
  <c r="E899" i="6"/>
  <c r="F899" i="6" s="1"/>
  <c r="E895" i="6"/>
  <c r="F895" i="6" s="1"/>
  <c r="E891" i="6"/>
  <c r="F891" i="6" s="1"/>
  <c r="M6783" i="7"/>
  <c r="N6783" i="7" s="1"/>
  <c r="M6782" i="7"/>
  <c r="N6782" i="7" s="1"/>
  <c r="M6718" i="7"/>
  <c r="N6718" i="7" s="1"/>
  <c r="M6717" i="7"/>
  <c r="N6717" i="7" s="1"/>
  <c r="M6546" i="7"/>
  <c r="N6546" i="7" s="1"/>
  <c r="M6784" i="7"/>
  <c r="N6784" i="7" s="1"/>
  <c r="M6544" i="7"/>
  <c r="N6544" i="7" s="1"/>
  <c r="M6543" i="7"/>
  <c r="N6543" i="7" s="1"/>
  <c r="M6434" i="7"/>
  <c r="N6434" i="7" s="1"/>
  <c r="M6542" i="7"/>
  <c r="N6542" i="7" s="1"/>
  <c r="M6541" i="7"/>
  <c r="N6541" i="7" s="1"/>
  <c r="M6540" i="7"/>
  <c r="N6540" i="7" s="1"/>
  <c r="M6539" i="7"/>
  <c r="N6539" i="7" s="1"/>
  <c r="M6547" i="7"/>
  <c r="N6547" i="7" s="1"/>
  <c r="M6545" i="7"/>
  <c r="N6545" i="7" s="1"/>
  <c r="M6281" i="7"/>
  <c r="N6281" i="7" s="1"/>
  <c r="M6280" i="7"/>
  <c r="N6280" i="7" s="1"/>
  <c r="M6091" i="7"/>
  <c r="N6091" i="7" s="1"/>
  <c r="M6090" i="7"/>
  <c r="N6090" i="7" s="1"/>
  <c r="M6088" i="7"/>
  <c r="N6088" i="7" s="1"/>
  <c r="M5931" i="7"/>
  <c r="N5931" i="7" s="1"/>
  <c r="M6089" i="7"/>
  <c r="N6089" i="7" s="1"/>
  <c r="M5769" i="7"/>
  <c r="N5769" i="7" s="1"/>
  <c r="M5768" i="7"/>
  <c r="N5768" i="7" s="1"/>
  <c r="M5478" i="7"/>
  <c r="N5478" i="7" s="1"/>
  <c r="M5272" i="7"/>
  <c r="N5272" i="7" s="1"/>
  <c r="M5271" i="7"/>
  <c r="N5271" i="7" s="1"/>
  <c r="M5270" i="7"/>
  <c r="N5270" i="7" s="1"/>
  <c r="M5269" i="7"/>
  <c r="N5269" i="7" s="1"/>
  <c r="M5479" i="7"/>
  <c r="N5479" i="7" s="1"/>
  <c r="M5273" i="7"/>
  <c r="N5273" i="7" s="1"/>
  <c r="M5268" i="7"/>
  <c r="N5268" i="7" s="1"/>
  <c r="M4995" i="7"/>
  <c r="N4995" i="7" s="1"/>
  <c r="M4921" i="7"/>
  <c r="N4921" i="7" s="1"/>
  <c r="M4624" i="7"/>
  <c r="N4624" i="7" s="1"/>
  <c r="M4798" i="7"/>
  <c r="N4798" i="7" s="1"/>
  <c r="M4996" i="7"/>
  <c r="N4996" i="7" s="1"/>
  <c r="M4797" i="7"/>
  <c r="N4797" i="7" s="1"/>
  <c r="M4796" i="7"/>
  <c r="N4796" i="7" s="1"/>
  <c r="M4795" i="7"/>
  <c r="N4795" i="7" s="1"/>
  <c r="M4622" i="7"/>
  <c r="N4622" i="7" s="1"/>
  <c r="M4344" i="7"/>
  <c r="N4344" i="7" s="1"/>
  <c r="M4232" i="7"/>
  <c r="N4232" i="7" s="1"/>
  <c r="M4463" i="7"/>
  <c r="N4463" i="7" s="1"/>
  <c r="M4343" i="7"/>
  <c r="N4343" i="7" s="1"/>
  <c r="M4231" i="7"/>
  <c r="N4231" i="7" s="1"/>
  <c r="M4462" i="7"/>
  <c r="N4462" i="7" s="1"/>
  <c r="M4597" i="7"/>
  <c r="N4597" i="7" s="1"/>
  <c r="M4461" i="7"/>
  <c r="N4461" i="7" s="1"/>
  <c r="M4596" i="7"/>
  <c r="N4596" i="7" s="1"/>
  <c r="M4460" i="7"/>
  <c r="N4460" i="7" s="1"/>
  <c r="M4459" i="7"/>
  <c r="N4459" i="7" s="1"/>
  <c r="M4235" i="7"/>
  <c r="N4235" i="7" s="1"/>
  <c r="M4458" i="7"/>
  <c r="N4458" i="7" s="1"/>
  <c r="M4402" i="7"/>
  <c r="N4402" i="7" s="1"/>
  <c r="M4234" i="7"/>
  <c r="N4234" i="7" s="1"/>
  <c r="M4623" i="7"/>
  <c r="N4623" i="7" s="1"/>
  <c r="M4233" i="7"/>
  <c r="N4233" i="7" s="1"/>
  <c r="M3998" i="7"/>
  <c r="N3998" i="7" s="1"/>
  <c r="M3942" i="7"/>
  <c r="N3942" i="7" s="1"/>
  <c r="M3997" i="7"/>
  <c r="N3997" i="7" s="1"/>
  <c r="M3996" i="7"/>
  <c r="N3996" i="7" s="1"/>
  <c r="M3548" i="7"/>
  <c r="N3548" i="7" s="1"/>
  <c r="M3547" i="7"/>
  <c r="N3547" i="7" s="1"/>
  <c r="M3945" i="7"/>
  <c r="N3945" i="7" s="1"/>
  <c r="M3944" i="7"/>
  <c r="N3944" i="7" s="1"/>
  <c r="M3784" i="7"/>
  <c r="N3784" i="7" s="1"/>
  <c r="M3488" i="7"/>
  <c r="N3488" i="7" s="1"/>
  <c r="M3999" i="7"/>
  <c r="N3999" i="7" s="1"/>
  <c r="M3943" i="7"/>
  <c r="N3943" i="7" s="1"/>
  <c r="M3783" i="7"/>
  <c r="N3783" i="7" s="1"/>
  <c r="M3487" i="7"/>
  <c r="N3487" i="7" s="1"/>
  <c r="M3275" i="7"/>
  <c r="N3275" i="7" s="1"/>
  <c r="M2979" i="7"/>
  <c r="N2979" i="7" s="1"/>
  <c r="M3274" i="7"/>
  <c r="N3274" i="7" s="1"/>
  <c r="M3146" i="7"/>
  <c r="N3146" i="7" s="1"/>
  <c r="M3273" i="7"/>
  <c r="N3273" i="7" s="1"/>
  <c r="M3145" i="7"/>
  <c r="N3145" i="7" s="1"/>
  <c r="M3414" i="7"/>
  <c r="N3414" i="7" s="1"/>
  <c r="M3272" i="7"/>
  <c r="N3272" i="7" s="1"/>
  <c r="M3271" i="7"/>
  <c r="N3271" i="7" s="1"/>
  <c r="M2983" i="7"/>
  <c r="N2983" i="7" s="1"/>
  <c r="M3549" i="7"/>
  <c r="N3549" i="7" s="1"/>
  <c r="M2982" i="7"/>
  <c r="N2982" i="7" s="1"/>
  <c r="M3277" i="7"/>
  <c r="N3277" i="7" s="1"/>
  <c r="M2981" i="7"/>
  <c r="N2981" i="7" s="1"/>
  <c r="M3276" i="7"/>
  <c r="N3276" i="7" s="1"/>
  <c r="M2980" i="7"/>
  <c r="N2980" i="7" s="1"/>
  <c r="M2716" i="7"/>
  <c r="N2716" i="7" s="1"/>
  <c r="M2244" i="7"/>
  <c r="N2244" i="7" s="1"/>
  <c r="M2715" i="7"/>
  <c r="N2715" i="7" s="1"/>
  <c r="M2714" i="7"/>
  <c r="N2714" i="7" s="1"/>
  <c r="M2490" i="7"/>
  <c r="N2490" i="7" s="1"/>
  <c r="M2713" i="7"/>
  <c r="N2713" i="7" s="1"/>
  <c r="M2489" i="7"/>
  <c r="N2489" i="7" s="1"/>
  <c r="M2377" i="7"/>
  <c r="N2377" i="7" s="1"/>
  <c r="M2432" i="7"/>
  <c r="N2432" i="7" s="1"/>
  <c r="M2718" i="7"/>
  <c r="N2718" i="7" s="1"/>
  <c r="M2717" i="7"/>
  <c r="N2717" i="7" s="1"/>
  <c r="M2245" i="7"/>
  <c r="N2245" i="7" s="1"/>
  <c r="M1879" i="7"/>
  <c r="N1879" i="7" s="1"/>
  <c r="M1878" i="7"/>
  <c r="N1878" i="7" s="1"/>
  <c r="M1877" i="7"/>
  <c r="N1877" i="7" s="1"/>
  <c r="M1876" i="7"/>
  <c r="N1876" i="7" s="1"/>
  <c r="M1994" i="7"/>
  <c r="N1994" i="7" s="1"/>
  <c r="M1993" i="7"/>
  <c r="N1993" i="7" s="1"/>
  <c r="M1881" i="7"/>
  <c r="N1881" i="7" s="1"/>
  <c r="M1880" i="7"/>
  <c r="N1880" i="7" s="1"/>
  <c r="M1398" i="7"/>
  <c r="N1398" i="7" s="1"/>
  <c r="M1397" i="7"/>
  <c r="N1397" i="7" s="1"/>
  <c r="M1045" i="7"/>
  <c r="N1045" i="7" s="1"/>
  <c r="M1180" i="7"/>
  <c r="N1180" i="7" s="1"/>
  <c r="M1179" i="7"/>
  <c r="N1179" i="7" s="1"/>
  <c r="M1554" i="7"/>
  <c r="N1554" i="7" s="1"/>
  <c r="M1178" i="7"/>
  <c r="N1178" i="7" s="1"/>
  <c r="M1553" i="7"/>
  <c r="N1553" i="7" s="1"/>
  <c r="M1177" i="7"/>
  <c r="N1177" i="7" s="1"/>
  <c r="M1552" i="7"/>
  <c r="N1552" i="7" s="1"/>
  <c r="M1176" i="7"/>
  <c r="N1176" i="7" s="1"/>
  <c r="M1551" i="7"/>
  <c r="N1551" i="7" s="1"/>
  <c r="M1399" i="7"/>
  <c r="N1399" i="7" s="1"/>
  <c r="M972" i="7"/>
  <c r="N972" i="7" s="1"/>
  <c r="M804" i="7"/>
  <c r="N804" i="7" s="1"/>
  <c r="M564" i="7"/>
  <c r="N564" i="7" s="1"/>
  <c r="M428" i="7"/>
  <c r="N428" i="7" s="1"/>
  <c r="M803" i="7"/>
  <c r="N803" i="7" s="1"/>
  <c r="M435" i="7"/>
  <c r="N435" i="7" s="1"/>
  <c r="M802" i="7"/>
  <c r="N802" i="7" s="1"/>
  <c r="M434" i="7"/>
  <c r="N434" i="7" s="1"/>
  <c r="M801" i="7"/>
  <c r="N801" i="7" s="1"/>
  <c r="M433" i="7"/>
  <c r="N433" i="7" s="1"/>
  <c r="M808" i="7"/>
  <c r="N808" i="7" s="1"/>
  <c r="M656" i="7"/>
  <c r="N656" i="7" s="1"/>
  <c r="M807" i="7"/>
  <c r="N807" i="7" s="1"/>
  <c r="M431" i="7"/>
  <c r="N431" i="7" s="1"/>
  <c r="M1044" i="7"/>
  <c r="N1044" i="7" s="1"/>
  <c r="M806" i="7"/>
  <c r="N806" i="7" s="1"/>
  <c r="M430" i="7"/>
  <c r="N430" i="7" s="1"/>
  <c r="M805" i="7"/>
  <c r="N805" i="7" s="1"/>
  <c r="M565" i="7"/>
  <c r="N565" i="7" s="1"/>
  <c r="M429" i="7"/>
  <c r="N429" i="7" s="1"/>
  <c r="M358" i="7"/>
  <c r="N358" i="7" s="1"/>
  <c r="M162" i="7"/>
  <c r="N162" i="7" s="1"/>
  <c r="E476" i="6"/>
  <c r="F476" i="6" s="1"/>
  <c r="E472" i="6"/>
  <c r="F472" i="6" s="1"/>
  <c r="E468" i="6"/>
  <c r="F468" i="6" s="1"/>
  <c r="E464" i="6"/>
  <c r="F464" i="6" s="1"/>
  <c r="E460" i="6"/>
  <c r="F460" i="6" s="1"/>
  <c r="E456" i="6"/>
  <c r="F456" i="6" s="1"/>
  <c r="M357" i="7"/>
  <c r="N357" i="7" s="1"/>
  <c r="E477" i="6"/>
  <c r="F477" i="6" s="1"/>
  <c r="E473" i="6"/>
  <c r="F473" i="6" s="1"/>
  <c r="E469" i="6"/>
  <c r="F469" i="6" s="1"/>
  <c r="E465" i="6"/>
  <c r="F465" i="6" s="1"/>
  <c r="M166" i="7"/>
  <c r="N166" i="7" s="1"/>
  <c r="M165" i="7"/>
  <c r="N165" i="7" s="1"/>
  <c r="M432" i="7"/>
  <c r="N432" i="7" s="1"/>
  <c r="M164" i="7"/>
  <c r="N164" i="7" s="1"/>
  <c r="M163" i="7"/>
  <c r="N163" i="7" s="1"/>
  <c r="M6830" i="7"/>
  <c r="N6830" i="7" s="1"/>
  <c r="M6829" i="7"/>
  <c r="N6829" i="7" s="1"/>
  <c r="M6828" i="7"/>
  <c r="N6828" i="7" s="1"/>
  <c r="M6724" i="7"/>
  <c r="N6724" i="7" s="1"/>
  <c r="M6827" i="7"/>
  <c r="N6827" i="7" s="1"/>
  <c r="M6723" i="7"/>
  <c r="N6723" i="7" s="1"/>
  <c r="M6683" i="7"/>
  <c r="N6683" i="7" s="1"/>
  <c r="M6722" i="7"/>
  <c r="N6722" i="7" s="1"/>
  <c r="M6588" i="7"/>
  <c r="N6588" i="7" s="1"/>
  <c r="M6441" i="7"/>
  <c r="N6441" i="7" s="1"/>
  <c r="M6589" i="7"/>
  <c r="N6589" i="7" s="1"/>
  <c r="M6132" i="7"/>
  <c r="N6132" i="7" s="1"/>
  <c r="M6131" i="7"/>
  <c r="N6131" i="7" s="1"/>
  <c r="M6305" i="7"/>
  <c r="N6305" i="7" s="1"/>
  <c r="M6130" i="7"/>
  <c r="N6130" i="7" s="1"/>
  <c r="M6207" i="7"/>
  <c r="N6207" i="7" s="1"/>
  <c r="M5819" i="7"/>
  <c r="N5819" i="7" s="1"/>
  <c r="M5675" i="7"/>
  <c r="N5675" i="7" s="1"/>
  <c r="M5818" i="7"/>
  <c r="N5818" i="7" s="1"/>
  <c r="M5816" i="7"/>
  <c r="N5816" i="7" s="1"/>
  <c r="M5815" i="7"/>
  <c r="N5815" i="7" s="1"/>
  <c r="M5679" i="7"/>
  <c r="N5679" i="7" s="1"/>
  <c r="M5678" i="7"/>
  <c r="N5678" i="7" s="1"/>
  <c r="M5508" i="7"/>
  <c r="N5508" i="7" s="1"/>
  <c r="M5677" i="7"/>
  <c r="N5677" i="7" s="1"/>
  <c r="M5676" i="7"/>
  <c r="N5676" i="7" s="1"/>
  <c r="M5817" i="7"/>
  <c r="N5817" i="7" s="1"/>
  <c r="M5344" i="7"/>
  <c r="N5344" i="7" s="1"/>
  <c r="M5343" i="7"/>
  <c r="N5343" i="7" s="1"/>
  <c r="M5349" i="7"/>
  <c r="N5349" i="7" s="1"/>
  <c r="M5348" i="7"/>
  <c r="N5348" i="7" s="1"/>
  <c r="M5347" i="7"/>
  <c r="N5347" i="7" s="1"/>
  <c r="M5346" i="7"/>
  <c r="N5346" i="7" s="1"/>
  <c r="M5345" i="7"/>
  <c r="N5345" i="7" s="1"/>
  <c r="M5049" i="7"/>
  <c r="N5049" i="7" s="1"/>
  <c r="M5048" i="7"/>
  <c r="N5048" i="7" s="1"/>
  <c r="M5047" i="7"/>
  <c r="N5047" i="7" s="1"/>
  <c r="M5046" i="7"/>
  <c r="N5046" i="7" s="1"/>
  <c r="M5045" i="7"/>
  <c r="N5045" i="7" s="1"/>
  <c r="M5044" i="7"/>
  <c r="N5044" i="7" s="1"/>
  <c r="M4847" i="7"/>
  <c r="N4847" i="7" s="1"/>
  <c r="M4899" i="7"/>
  <c r="N4899" i="7" s="1"/>
  <c r="M4504" i="7"/>
  <c r="N4504" i="7" s="1"/>
  <c r="M4503" i="7"/>
  <c r="N4503" i="7" s="1"/>
  <c r="M4263" i="7"/>
  <c r="N4263" i="7" s="1"/>
  <c r="M4262" i="7"/>
  <c r="N4262" i="7" s="1"/>
  <c r="M4261" i="7"/>
  <c r="N4261" i="7" s="1"/>
  <c r="M4372" i="7"/>
  <c r="N4372" i="7" s="1"/>
  <c r="M4028" i="7"/>
  <c r="N4028" i="7" s="1"/>
  <c r="M4027" i="7"/>
  <c r="N4027" i="7" s="1"/>
  <c r="M4505" i="7"/>
  <c r="N4505" i="7" s="1"/>
  <c r="M3950" i="7"/>
  <c r="N3950" i="7" s="1"/>
  <c r="M3590" i="7"/>
  <c r="N3590" i="7" s="1"/>
  <c r="M3492" i="7"/>
  <c r="N3492" i="7" s="1"/>
  <c r="M4030" i="7"/>
  <c r="N4030" i="7" s="1"/>
  <c r="M4026" i="7"/>
  <c r="N4026" i="7" s="1"/>
  <c r="M3592" i="7"/>
  <c r="N3592" i="7" s="1"/>
  <c r="M4029" i="7"/>
  <c r="N4029" i="7" s="1"/>
  <c r="M3951" i="7"/>
  <c r="N3951" i="7" s="1"/>
  <c r="M3823" i="7"/>
  <c r="N3823" i="7" s="1"/>
  <c r="M3591" i="7"/>
  <c r="N3591" i="7" s="1"/>
  <c r="M3447" i="7"/>
  <c r="N3447" i="7" s="1"/>
  <c r="M3323" i="7"/>
  <c r="N3323" i="7" s="1"/>
  <c r="M3322" i="7"/>
  <c r="N3322" i="7" s="1"/>
  <c r="M3153" i="7"/>
  <c r="N3153" i="7" s="1"/>
  <c r="M3120" i="7"/>
  <c r="N3120" i="7" s="1"/>
  <c r="M3023" i="7"/>
  <c r="N3023" i="7" s="1"/>
  <c r="M3022" i="7"/>
  <c r="N3022" i="7" s="1"/>
  <c r="M3325" i="7"/>
  <c r="N3325" i="7" s="1"/>
  <c r="M3324" i="7"/>
  <c r="N3324" i="7" s="1"/>
  <c r="M3188" i="7"/>
  <c r="N3188" i="7" s="1"/>
  <c r="M2756" i="7"/>
  <c r="N2756" i="7" s="1"/>
  <c r="M2404" i="7"/>
  <c r="N2404" i="7" s="1"/>
  <c r="M2292" i="7"/>
  <c r="N2292" i="7" s="1"/>
  <c r="M2755" i="7"/>
  <c r="N2755" i="7" s="1"/>
  <c r="M2291" i="7"/>
  <c r="N2291" i="7" s="1"/>
  <c r="M2626" i="7"/>
  <c r="N2626" i="7" s="1"/>
  <c r="M2537" i="7"/>
  <c r="N2537" i="7" s="1"/>
  <c r="M2760" i="7"/>
  <c r="N2760" i="7" s="1"/>
  <c r="M2536" i="7"/>
  <c r="N2536" i="7" s="1"/>
  <c r="M2296" i="7"/>
  <c r="N2296" i="7" s="1"/>
  <c r="M2759" i="7"/>
  <c r="N2759" i="7" s="1"/>
  <c r="M2535" i="7"/>
  <c r="N2535" i="7" s="1"/>
  <c r="M2758" i="7"/>
  <c r="N2758" i="7" s="1"/>
  <c r="M2534" i="7"/>
  <c r="N2534" i="7" s="1"/>
  <c r="M2294" i="7"/>
  <c r="N2294" i="7" s="1"/>
  <c r="M2757" i="7"/>
  <c r="N2757" i="7" s="1"/>
  <c r="M2293" i="7"/>
  <c r="N2293" i="7" s="1"/>
  <c r="M2295" i="7"/>
  <c r="N2295" i="7" s="1"/>
  <c r="M2092" i="7"/>
  <c r="N2092" i="7" s="1"/>
  <c r="M1923" i="7"/>
  <c r="N1923" i="7" s="1"/>
  <c r="M2146" i="7"/>
  <c r="N2146" i="7" s="1"/>
  <c r="M1922" i="7"/>
  <c r="N1922" i="7" s="1"/>
  <c r="M1622" i="7"/>
  <c r="N1622" i="7" s="1"/>
  <c r="M1342" i="7"/>
  <c r="N1342" i="7" s="1"/>
  <c r="M1621" i="7"/>
  <c r="N1621" i="7" s="1"/>
  <c r="M1053" i="7"/>
  <c r="N1053" i="7" s="1"/>
  <c r="M1620" i="7"/>
  <c r="N1620" i="7" s="1"/>
  <c r="M1619" i="7"/>
  <c r="N1619" i="7" s="1"/>
  <c r="M1418" i="7"/>
  <c r="N1418" i="7" s="1"/>
  <c r="M1625" i="7"/>
  <c r="N1625" i="7" s="1"/>
  <c r="M1417" i="7"/>
  <c r="N1417" i="7" s="1"/>
  <c r="M1225" i="7"/>
  <c r="N1225" i="7" s="1"/>
  <c r="M1624" i="7"/>
  <c r="N1624" i="7" s="1"/>
  <c r="M1416" i="7"/>
  <c r="N1416" i="7" s="1"/>
  <c r="M1623" i="7"/>
  <c r="N1623" i="7" s="1"/>
  <c r="M1415" i="7"/>
  <c r="N1415" i="7" s="1"/>
  <c r="M1343" i="7"/>
  <c r="N1343" i="7" s="1"/>
  <c r="M868" i="7"/>
  <c r="N868" i="7" s="1"/>
  <c r="M484" i="7"/>
  <c r="N484" i="7" s="1"/>
  <c r="M867" i="7"/>
  <c r="N867" i="7" s="1"/>
  <c r="M483" i="7"/>
  <c r="N483" i="7" s="1"/>
  <c r="M323" i="7"/>
  <c r="N323" i="7" s="1"/>
  <c r="M866" i="7"/>
  <c r="N866" i="7" s="1"/>
  <c r="M1055" i="7"/>
  <c r="N1055" i="7" s="1"/>
  <c r="M865" i="7"/>
  <c r="N865" i="7" s="1"/>
  <c r="M489" i="7"/>
  <c r="N489" i="7" s="1"/>
  <c r="M1054" i="7"/>
  <c r="N1054" i="7" s="1"/>
  <c r="M864" i="7"/>
  <c r="N864" i="7" s="1"/>
  <c r="M488" i="7"/>
  <c r="N488" i="7" s="1"/>
  <c r="M487" i="7"/>
  <c r="N487" i="7" s="1"/>
  <c r="M367" i="7"/>
  <c r="N367" i="7" s="1"/>
  <c r="M486" i="7"/>
  <c r="N486" i="7" s="1"/>
  <c r="M869" i="7"/>
  <c r="N869" i="7" s="1"/>
  <c r="M485" i="7"/>
  <c r="N485" i="7" s="1"/>
  <c r="M368" i="7"/>
  <c r="N368" i="7" s="1"/>
  <c r="M214" i="7"/>
  <c r="N214" i="7" s="1"/>
  <c r="E748" i="6"/>
  <c r="F748" i="6" s="1"/>
  <c r="E744" i="6"/>
  <c r="F744" i="6" s="1"/>
  <c r="E740" i="6"/>
  <c r="F740" i="6" s="1"/>
  <c r="E736" i="6"/>
  <c r="F736" i="6" s="1"/>
  <c r="E732" i="6"/>
  <c r="F732" i="6" s="1"/>
  <c r="E728" i="6"/>
  <c r="F728" i="6" s="1"/>
  <c r="M213" i="7"/>
  <c r="N213" i="7" s="1"/>
  <c r="M45" i="7"/>
  <c r="N45" i="7" s="1"/>
  <c r="M212" i="7"/>
  <c r="N212" i="7" s="1"/>
  <c r="E749" i="6"/>
  <c r="F749" i="6" s="1"/>
  <c r="E745" i="6"/>
  <c r="F745" i="6" s="1"/>
  <c r="E741" i="6"/>
  <c r="F741" i="6" s="1"/>
  <c r="E737" i="6"/>
  <c r="F737" i="6" s="1"/>
  <c r="E733" i="6"/>
  <c r="F733" i="6" s="1"/>
  <c r="E729" i="6"/>
  <c r="F729" i="6" s="1"/>
  <c r="M211" i="7"/>
  <c r="N211" i="7" s="1"/>
  <c r="E750" i="6"/>
  <c r="F750" i="6" s="1"/>
  <c r="E746" i="6"/>
  <c r="F746" i="6" s="1"/>
  <c r="E742" i="6"/>
  <c r="F742" i="6" s="1"/>
  <c r="E738" i="6"/>
  <c r="F738" i="6" s="1"/>
  <c r="E734" i="6"/>
  <c r="F734" i="6" s="1"/>
  <c r="E730" i="6"/>
  <c r="F730" i="6" s="1"/>
  <c r="M216" i="7"/>
  <c r="N216" i="7" s="1"/>
  <c r="E751" i="6"/>
  <c r="F751" i="6" s="1"/>
  <c r="E747" i="6"/>
  <c r="F747" i="6" s="1"/>
  <c r="E743" i="6"/>
  <c r="F743" i="6" s="1"/>
  <c r="E739" i="6"/>
  <c r="F739" i="6" s="1"/>
  <c r="E735" i="6"/>
  <c r="F735" i="6" s="1"/>
  <c r="E731" i="6"/>
  <c r="F731" i="6" s="1"/>
  <c r="M215" i="7"/>
  <c r="N215" i="7" s="1"/>
  <c r="M5986" i="7"/>
  <c r="N5986" i="7" s="1"/>
  <c r="M5094" i="7"/>
  <c r="N5094" i="7" s="1"/>
  <c r="M5093" i="7"/>
  <c r="N5093" i="7" s="1"/>
  <c r="M1358" i="7"/>
  <c r="N1358" i="7" s="1"/>
  <c r="M1357" i="7"/>
  <c r="N1357" i="7" s="1"/>
  <c r="M1359" i="7"/>
  <c r="N1359" i="7" s="1"/>
  <c r="M610" i="7"/>
  <c r="N610" i="7" s="1"/>
  <c r="M609" i="7"/>
  <c r="N609" i="7" s="1"/>
  <c r="M608" i="7"/>
  <c r="N608" i="7" s="1"/>
  <c r="M686" i="7"/>
  <c r="N686" i="7" s="1"/>
  <c r="M5" i="7"/>
  <c r="N5" i="7" s="1"/>
  <c r="M6702" i="7"/>
  <c r="N6702" i="7" s="1"/>
  <c r="M6725" i="7"/>
  <c r="N6725" i="7" s="1"/>
  <c r="M6701" i="7"/>
  <c r="N6701" i="7" s="1"/>
  <c r="M6443" i="7"/>
  <c r="N6443" i="7" s="1"/>
  <c r="M6442" i="7"/>
  <c r="N6442" i="7" s="1"/>
  <c r="M6422" i="7"/>
  <c r="N6422" i="7" s="1"/>
  <c r="M6240" i="7"/>
  <c r="N6240" i="7" s="1"/>
  <c r="M5874" i="7"/>
  <c r="N5874" i="7" s="1"/>
  <c r="M5873" i="7"/>
  <c r="N5873" i="7" s="1"/>
  <c r="M6010" i="7"/>
  <c r="N6010" i="7" s="1"/>
  <c r="M5537" i="7"/>
  <c r="N5537" i="7" s="1"/>
  <c r="M5057" i="7"/>
  <c r="N5057" i="7" s="1"/>
  <c r="M5088" i="7"/>
  <c r="N5088" i="7" s="1"/>
  <c r="M4953" i="7"/>
  <c r="N4953" i="7" s="1"/>
  <c r="M4888" i="7"/>
  <c r="N4888" i="7" s="1"/>
  <c r="M4712" i="7"/>
  <c r="N4712" i="7" s="1"/>
  <c r="M4142" i="7"/>
  <c r="N4142" i="7" s="1"/>
  <c r="M4141" i="7"/>
  <c r="N4141" i="7" s="1"/>
  <c r="M4711" i="7"/>
  <c r="N4711" i="7" s="1"/>
  <c r="M4154" i="7"/>
  <c r="N4154" i="7" s="1"/>
  <c r="M3922" i="7"/>
  <c r="N3922" i="7" s="1"/>
  <c r="M3914" i="7"/>
  <c r="N3914" i="7" s="1"/>
  <c r="M3706" i="7"/>
  <c r="N3706" i="7" s="1"/>
  <c r="M3474" i="7"/>
  <c r="N3474" i="7" s="1"/>
  <c r="M3913" i="7"/>
  <c r="N3913" i="7" s="1"/>
  <c r="M3705" i="7"/>
  <c r="N3705" i="7" s="1"/>
  <c r="M3697" i="7"/>
  <c r="N3697" i="7" s="1"/>
  <c r="M3704" i="7"/>
  <c r="N3704" i="7" s="1"/>
  <c r="M3475" i="7"/>
  <c r="N3475" i="7" s="1"/>
  <c r="M3154" i="7"/>
  <c r="N3154" i="7" s="1"/>
  <c r="M2799" i="7"/>
  <c r="N2799" i="7" s="1"/>
  <c r="M2798" i="7"/>
  <c r="N2798" i="7" s="1"/>
  <c r="M2801" i="7"/>
  <c r="N2801" i="7" s="1"/>
  <c r="M2800" i="7"/>
  <c r="N2800" i="7" s="1"/>
  <c r="M1974" i="7"/>
  <c r="N1974" i="7" s="1"/>
  <c r="M2147" i="7"/>
  <c r="N2147" i="7" s="1"/>
  <c r="M2003" i="7"/>
  <c r="N2003" i="7" s="1"/>
  <c r="M1931" i="7"/>
  <c r="N1931" i="7" s="1"/>
  <c r="M2122" i="7"/>
  <c r="N2122" i="7" s="1"/>
  <c r="M2121" i="7"/>
  <c r="N2121" i="7" s="1"/>
  <c r="M1346" i="7"/>
  <c r="N1346" i="7" s="1"/>
  <c r="M1082" i="7"/>
  <c r="N1082" i="7" s="1"/>
  <c r="M1056" i="7"/>
  <c r="N1056" i="7" s="1"/>
  <c r="M634" i="7"/>
  <c r="N634" i="7" s="1"/>
  <c r="M672" i="7"/>
  <c r="N672" i="7" s="1"/>
  <c r="M346" i="7"/>
  <c r="N346" i="7" s="1"/>
  <c r="M46" i="7"/>
  <c r="N46" i="7" s="1"/>
  <c r="E796" i="6"/>
  <c r="F796" i="6" s="1"/>
  <c r="E792" i="6"/>
  <c r="F792" i="6" s="1"/>
  <c r="E788" i="6"/>
  <c r="F788" i="6" s="1"/>
  <c r="E784" i="6"/>
  <c r="F784" i="6" s="1"/>
  <c r="E780" i="6"/>
  <c r="F780" i="6" s="1"/>
  <c r="E776" i="6"/>
  <c r="F776" i="6" s="1"/>
  <c r="E797" i="6"/>
  <c r="F797" i="6" s="1"/>
  <c r="E793" i="6"/>
  <c r="F793" i="6" s="1"/>
  <c r="E789" i="6"/>
  <c r="F789" i="6" s="1"/>
  <c r="E785" i="6"/>
  <c r="F785" i="6" s="1"/>
  <c r="E781" i="6"/>
  <c r="F781" i="6" s="1"/>
  <c r="E777" i="6"/>
  <c r="F777" i="6" s="1"/>
  <c r="E794" i="6"/>
  <c r="F794" i="6" s="1"/>
  <c r="E790" i="6"/>
  <c r="F790" i="6" s="1"/>
  <c r="E786" i="6"/>
  <c r="F786" i="6" s="1"/>
  <c r="E782" i="6"/>
  <c r="F782" i="6" s="1"/>
  <c r="E778" i="6"/>
  <c r="F778" i="6" s="1"/>
  <c r="M17" i="7"/>
  <c r="N17" i="7" s="1"/>
  <c r="M16" i="7"/>
  <c r="N16" i="7" s="1"/>
  <c r="E795" i="6"/>
  <c r="F795" i="6" s="1"/>
  <c r="E791" i="6"/>
  <c r="F791" i="6" s="1"/>
  <c r="E787" i="6"/>
  <c r="F787" i="6" s="1"/>
  <c r="E783" i="6"/>
  <c r="F783" i="6" s="1"/>
  <c r="E779" i="6"/>
  <c r="F779" i="6" s="1"/>
  <c r="E27" i="6"/>
  <c r="F27" i="6" s="1"/>
  <c r="E31" i="6"/>
  <c r="F31" i="6" s="1"/>
  <c r="E35" i="6"/>
  <c r="F35" i="6" s="1"/>
  <c r="E39" i="6"/>
  <c r="F39" i="6" s="1"/>
  <c r="E43" i="6"/>
  <c r="F43" i="6" s="1"/>
  <c r="E47" i="6"/>
  <c r="F47" i="6" s="1"/>
  <c r="E51" i="6"/>
  <c r="F51" i="6" s="1"/>
  <c r="E55" i="6"/>
  <c r="F55" i="6" s="1"/>
  <c r="E59" i="6"/>
  <c r="F59" i="6" s="1"/>
  <c r="E67" i="6"/>
  <c r="F67" i="6" s="1"/>
  <c r="E71" i="6"/>
  <c r="F71" i="6" s="1"/>
  <c r="E75" i="6"/>
  <c r="F75" i="6" s="1"/>
  <c r="E79" i="6"/>
  <c r="F79" i="6" s="1"/>
  <c r="E83" i="6"/>
  <c r="F83" i="6" s="1"/>
  <c r="E87" i="6"/>
  <c r="F87" i="6" s="1"/>
  <c r="E91" i="6"/>
  <c r="F91" i="6" s="1"/>
  <c r="E95" i="6"/>
  <c r="F95" i="6" s="1"/>
  <c r="E99" i="6"/>
  <c r="F99" i="6" s="1"/>
  <c r="E103" i="6"/>
  <c r="F103" i="6" s="1"/>
  <c r="E110" i="6"/>
  <c r="F110" i="6" s="1"/>
  <c r="E121" i="6"/>
  <c r="F121" i="6" s="1"/>
  <c r="E128" i="6"/>
  <c r="F128" i="6" s="1"/>
  <c r="E138" i="6"/>
  <c r="F138" i="6" s="1"/>
  <c r="E154" i="6"/>
  <c r="F154" i="6" s="1"/>
  <c r="E184" i="6"/>
  <c r="F184" i="6" s="1"/>
  <c r="E187" i="6"/>
  <c r="F187" i="6" s="1"/>
  <c r="E190" i="6"/>
  <c r="F190" i="6" s="1"/>
  <c r="E193" i="6"/>
  <c r="F193" i="6" s="1"/>
  <c r="E216" i="6"/>
  <c r="F216" i="6" s="1"/>
  <c r="E219" i="6"/>
  <c r="F219" i="6" s="1"/>
  <c r="E222" i="6"/>
  <c r="F222" i="6" s="1"/>
  <c r="E225" i="6"/>
  <c r="F225" i="6" s="1"/>
  <c r="E239" i="6"/>
  <c r="F239" i="6" s="1"/>
  <c r="E247" i="6"/>
  <c r="F247" i="6" s="1"/>
  <c r="E255" i="6"/>
  <c r="F255" i="6" s="1"/>
  <c r="E263" i="6"/>
  <c r="F263" i="6" s="1"/>
  <c r="E271" i="6"/>
  <c r="F271" i="6" s="1"/>
  <c r="E279" i="6"/>
  <c r="F279" i="6" s="1"/>
  <c r="E287" i="6"/>
  <c r="F287" i="6" s="1"/>
  <c r="E295" i="6"/>
  <c r="F295" i="6" s="1"/>
  <c r="E303" i="6"/>
  <c r="F303" i="6" s="1"/>
  <c r="E311" i="6"/>
  <c r="F311" i="6" s="1"/>
  <c r="E319" i="6"/>
  <c r="F319" i="6" s="1"/>
  <c r="E327" i="6"/>
  <c r="F327" i="6" s="1"/>
  <c r="E335" i="6"/>
  <c r="F335" i="6" s="1"/>
  <c r="E343" i="6"/>
  <c r="F343" i="6" s="1"/>
  <c r="E351" i="6"/>
  <c r="F351" i="6" s="1"/>
  <c r="E359" i="6"/>
  <c r="F359" i="6" s="1"/>
  <c r="E367" i="6"/>
  <c r="F367" i="6" s="1"/>
  <c r="E375" i="6"/>
  <c r="F375" i="6" s="1"/>
  <c r="E383" i="6"/>
  <c r="F383" i="6" s="1"/>
  <c r="E391" i="6"/>
  <c r="F391" i="6" s="1"/>
  <c r="E399" i="6"/>
  <c r="F399" i="6" s="1"/>
  <c r="E407" i="6"/>
  <c r="F407" i="6" s="1"/>
  <c r="E415" i="6"/>
  <c r="F415" i="6" s="1"/>
  <c r="E425" i="6"/>
  <c r="F425" i="6" s="1"/>
  <c r="E430" i="6"/>
  <c r="F430" i="6" s="1"/>
  <c r="E435" i="6"/>
  <c r="F435" i="6" s="1"/>
  <c r="E457" i="6"/>
  <c r="F457" i="6" s="1"/>
  <c r="E462" i="6"/>
  <c r="F462" i="6" s="1"/>
  <c r="E478" i="6"/>
  <c r="F478" i="6" s="1"/>
  <c r="E494" i="6"/>
  <c r="F494" i="6" s="1"/>
  <c r="E510" i="6"/>
  <c r="F510" i="6" s="1"/>
  <c r="E526" i="6"/>
  <c r="F526" i="6" s="1"/>
  <c r="E542" i="6"/>
  <c r="F542" i="6" s="1"/>
  <c r="E570" i="6"/>
  <c r="F570" i="6" s="1"/>
  <c r="L3" i="5"/>
  <c r="L7" i="5"/>
  <c r="L11" i="5"/>
  <c r="L15" i="5"/>
  <c r="L19" i="5"/>
  <c r="L23" i="5"/>
  <c r="L27" i="5"/>
  <c r="L31" i="5"/>
  <c r="L39" i="5"/>
  <c r="L43" i="5"/>
  <c r="L47" i="5"/>
  <c r="L51" i="5"/>
  <c r="E106" i="6"/>
  <c r="F106" i="6" s="1"/>
  <c r="E117" i="6"/>
  <c r="F117" i="6" s="1"/>
  <c r="E124" i="6"/>
  <c r="F124" i="6" s="1"/>
  <c r="E131" i="6"/>
  <c r="F131" i="6" s="1"/>
  <c r="E141" i="6"/>
  <c r="F141" i="6" s="1"/>
  <c r="E144" i="6"/>
  <c r="F144" i="6" s="1"/>
  <c r="E147" i="6"/>
  <c r="F147" i="6" s="1"/>
  <c r="E157" i="6"/>
  <c r="F157" i="6" s="1"/>
  <c r="E160" i="6"/>
  <c r="F160" i="6" s="1"/>
  <c r="E172" i="6"/>
  <c r="F172" i="6" s="1"/>
  <c r="E175" i="6"/>
  <c r="F175" i="6" s="1"/>
  <c r="E178" i="6"/>
  <c r="F178" i="6" s="1"/>
  <c r="E207" i="6"/>
  <c r="F207" i="6" s="1"/>
  <c r="E210" i="6"/>
  <c r="F210" i="6" s="1"/>
  <c r="E213" i="6"/>
  <c r="F213" i="6" s="1"/>
  <c r="E236" i="6"/>
  <c r="F236" i="6" s="1"/>
  <c r="E244" i="6"/>
  <c r="F244" i="6" s="1"/>
  <c r="E252" i="6"/>
  <c r="F252" i="6" s="1"/>
  <c r="E260" i="6"/>
  <c r="F260" i="6" s="1"/>
  <c r="E268" i="6"/>
  <c r="F268" i="6" s="1"/>
  <c r="E276" i="6"/>
  <c r="F276" i="6" s="1"/>
  <c r="E284" i="6"/>
  <c r="F284" i="6" s="1"/>
  <c r="E292" i="6"/>
  <c r="F292" i="6" s="1"/>
  <c r="E308" i="6"/>
  <c r="F308" i="6" s="1"/>
  <c r="E316" i="6"/>
  <c r="F316" i="6" s="1"/>
  <c r="E324" i="6"/>
  <c r="F324" i="6" s="1"/>
  <c r="E340" i="6"/>
  <c r="F340" i="6" s="1"/>
  <c r="E348" i="6"/>
  <c r="F348" i="6" s="1"/>
  <c r="E356" i="6"/>
  <c r="F356" i="6" s="1"/>
  <c r="E364" i="6"/>
  <c r="F364" i="6" s="1"/>
  <c r="E372" i="6"/>
  <c r="F372" i="6" s="1"/>
  <c r="E380" i="6"/>
  <c r="F380" i="6" s="1"/>
  <c r="E396" i="6"/>
  <c r="F396" i="6" s="1"/>
  <c r="E404" i="6"/>
  <c r="F404" i="6" s="1"/>
  <c r="E412" i="6"/>
  <c r="F412" i="6" s="1"/>
  <c r="E437" i="6"/>
  <c r="F437" i="6" s="1"/>
  <c r="E442" i="6"/>
  <c r="F442" i="6" s="1"/>
  <c r="E447" i="6"/>
  <c r="F447" i="6" s="1"/>
  <c r="E471" i="6"/>
  <c r="F471" i="6" s="1"/>
  <c r="E503" i="6"/>
  <c r="F503" i="6" s="1"/>
  <c r="E519" i="6"/>
  <c r="F519" i="6" s="1"/>
  <c r="E574" i="6"/>
  <c r="F574" i="6" s="1"/>
  <c r="M6707" i="7"/>
  <c r="N6707" i="7" s="1"/>
  <c r="M6706" i="7"/>
  <c r="N6706" i="7" s="1"/>
  <c r="M6705" i="7"/>
  <c r="N6705" i="7" s="1"/>
  <c r="M6752" i="7"/>
  <c r="N6752" i="7" s="1"/>
  <c r="M6704" i="7"/>
  <c r="N6704" i="7" s="1"/>
  <c r="M6474" i="7"/>
  <c r="N6474" i="7" s="1"/>
  <c r="M6425" i="7"/>
  <c r="N6425" i="7" s="1"/>
  <c r="M6416" i="7"/>
  <c r="N6416" i="7" s="1"/>
  <c r="M6226" i="7"/>
  <c r="N6226" i="7" s="1"/>
  <c r="M5992" i="7"/>
  <c r="N5992" i="7" s="1"/>
  <c r="M5861" i="7"/>
  <c r="N5861" i="7" s="1"/>
  <c r="M5991" i="7"/>
  <c r="N5991" i="7" s="1"/>
  <c r="M5994" i="7"/>
  <c r="N5994" i="7" s="1"/>
  <c r="M5993" i="7"/>
  <c r="N5993" i="7" s="1"/>
  <c r="M5653" i="7"/>
  <c r="N5653" i="7" s="1"/>
  <c r="M5710" i="7"/>
  <c r="N5710" i="7" s="1"/>
  <c r="M5652" i="7"/>
  <c r="N5652" i="7" s="1"/>
  <c r="M5651" i="7"/>
  <c r="N5651" i="7" s="1"/>
  <c r="M5654" i="7"/>
  <c r="N5654" i="7" s="1"/>
  <c r="M5151" i="7"/>
  <c r="N5151" i="7" s="1"/>
  <c r="M5150" i="7"/>
  <c r="N5150" i="7" s="1"/>
  <c r="M5145" i="7"/>
  <c r="N5145" i="7" s="1"/>
  <c r="M5149" i="7"/>
  <c r="N5149" i="7" s="1"/>
  <c r="M5148" i="7"/>
  <c r="N5148" i="7" s="1"/>
  <c r="M5147" i="7"/>
  <c r="N5147" i="7" s="1"/>
  <c r="M5146" i="7"/>
  <c r="N5146" i="7" s="1"/>
  <c r="M4881" i="7"/>
  <c r="N4881" i="7" s="1"/>
  <c r="M4729" i="7"/>
  <c r="N4729" i="7" s="1"/>
  <c r="M4728" i="7"/>
  <c r="N4728" i="7" s="1"/>
  <c r="M4891" i="7"/>
  <c r="N4891" i="7" s="1"/>
  <c r="M4592" i="7"/>
  <c r="N4592" i="7" s="1"/>
  <c r="M4591" i="7"/>
  <c r="N4591" i="7" s="1"/>
  <c r="M4431" i="7"/>
  <c r="N4431" i="7" s="1"/>
  <c r="M4398" i="7"/>
  <c r="N4398" i="7" s="1"/>
  <c r="M4397" i="7"/>
  <c r="N4397" i="7" s="1"/>
  <c r="M4396" i="7"/>
  <c r="N4396" i="7" s="1"/>
  <c r="M4617" i="7"/>
  <c r="N4617" i="7" s="1"/>
  <c r="M4395" i="7"/>
  <c r="N4395" i="7" s="1"/>
  <c r="M4147" i="7"/>
  <c r="N4147" i="7" s="1"/>
  <c r="M4593" i="7"/>
  <c r="N4593" i="7" s="1"/>
  <c r="M3468" i="7"/>
  <c r="N3468" i="7" s="1"/>
  <c r="M3699" i="7"/>
  <c r="N3699" i="7" s="1"/>
  <c r="M3722" i="7"/>
  <c r="N3722" i="7" s="1"/>
  <c r="M3698" i="7"/>
  <c r="N3698" i="7" s="1"/>
  <c r="M4122" i="7"/>
  <c r="N4122" i="7" s="1"/>
  <c r="M3928" i="7"/>
  <c r="N3928" i="7" s="1"/>
  <c r="M3480" i="7"/>
  <c r="N3480" i="7" s="1"/>
  <c r="M3479" i="7"/>
  <c r="N3479" i="7" s="1"/>
  <c r="M3163" i="7"/>
  <c r="N3163" i="7" s="1"/>
  <c r="M3051" i="7"/>
  <c r="N3051" i="7" s="1"/>
  <c r="M2947" i="7"/>
  <c r="N2947" i="7" s="1"/>
  <c r="M2915" i="7"/>
  <c r="N2915" i="7" s="1"/>
  <c r="M2914" i="7"/>
  <c r="N2914" i="7" s="1"/>
  <c r="M2912" i="7"/>
  <c r="N2912" i="7" s="1"/>
  <c r="M2911" i="7"/>
  <c r="N2911" i="7" s="1"/>
  <c r="M3222" i="7"/>
  <c r="N3222" i="7" s="1"/>
  <c r="M2910" i="7"/>
  <c r="N2910" i="7" s="1"/>
  <c r="M3469" i="7"/>
  <c r="N3469" i="7" s="1"/>
  <c r="M3221" i="7"/>
  <c r="N3221" i="7" s="1"/>
  <c r="M3478" i="7"/>
  <c r="N3478" i="7" s="1"/>
  <c r="M3164" i="7"/>
  <c r="N3164" i="7" s="1"/>
  <c r="M2460" i="7"/>
  <c r="N2460" i="7" s="1"/>
  <c r="M2427" i="7"/>
  <c r="N2427" i="7" s="1"/>
  <c r="M2665" i="7"/>
  <c r="N2665" i="7" s="1"/>
  <c r="M2425" i="7"/>
  <c r="N2425" i="7" s="1"/>
  <c r="M2416" i="7"/>
  <c r="N2416" i="7" s="1"/>
  <c r="M2913" i="7"/>
  <c r="N2913" i="7" s="1"/>
  <c r="M2426" i="7"/>
  <c r="N2426" i="7" s="1"/>
  <c r="M1982" i="7"/>
  <c r="N1982" i="7" s="1"/>
  <c r="M1981" i="7"/>
  <c r="N1981" i="7" s="1"/>
  <c r="M2131" i="7"/>
  <c r="N2131" i="7" s="1"/>
  <c r="M2115" i="7"/>
  <c r="N2115" i="7" s="1"/>
  <c r="M2130" i="7"/>
  <c r="N2130" i="7" s="1"/>
  <c r="M2114" i="7"/>
  <c r="N2114" i="7" s="1"/>
  <c r="M1970" i="7"/>
  <c r="N1970" i="7" s="1"/>
  <c r="M2129" i="7"/>
  <c r="N2129" i="7" s="1"/>
  <c r="M1969" i="7"/>
  <c r="N1969" i="7" s="1"/>
  <c r="M1817" i="7"/>
  <c r="N1817" i="7" s="1"/>
  <c r="M1374" i="7"/>
  <c r="N1374" i="7" s="1"/>
  <c r="M1373" i="7"/>
  <c r="N1373" i="7" s="1"/>
  <c r="M1372" i="7"/>
  <c r="N1372" i="7" s="1"/>
  <c r="M1116" i="7"/>
  <c r="N1116" i="7" s="1"/>
  <c r="M1379" i="7"/>
  <c r="N1379" i="7" s="1"/>
  <c r="M1371" i="7"/>
  <c r="N1371" i="7" s="1"/>
  <c r="M1115" i="7"/>
  <c r="N1115" i="7" s="1"/>
  <c r="M1067" i="7"/>
  <c r="N1067" i="7" s="1"/>
  <c r="M1035" i="7"/>
  <c r="N1035" i="7" s="1"/>
  <c r="M1378" i="7"/>
  <c r="N1378" i="7" s="1"/>
  <c r="M1370" i="7"/>
  <c r="N1370" i="7" s="1"/>
  <c r="M1114" i="7"/>
  <c r="N1114" i="7" s="1"/>
  <c r="M1066" i="7"/>
  <c r="N1066" i="7" s="1"/>
  <c r="M1034" i="7"/>
  <c r="N1034" i="7" s="1"/>
  <c r="M1377" i="7"/>
  <c r="N1377" i="7" s="1"/>
  <c r="M1376" i="7"/>
  <c r="N1376" i="7" s="1"/>
  <c r="M1375" i="7"/>
  <c r="N1375" i="7" s="1"/>
  <c r="M1032" i="7"/>
  <c r="N1032" i="7" s="1"/>
  <c r="M642" i="7"/>
  <c r="N642" i="7" s="1"/>
  <c r="M618" i="7"/>
  <c r="N618" i="7" s="1"/>
  <c r="M394" i="7"/>
  <c r="N394" i="7" s="1"/>
  <c r="M641" i="7"/>
  <c r="N641" i="7" s="1"/>
  <c r="M617" i="7"/>
  <c r="N617" i="7" s="1"/>
  <c r="M928" i="7"/>
  <c r="N928" i="7" s="1"/>
  <c r="M728" i="7"/>
  <c r="N728" i="7" s="1"/>
  <c r="M640" i="7"/>
  <c r="N640" i="7" s="1"/>
  <c r="M727" i="7"/>
  <c r="N727" i="7" s="1"/>
  <c r="M1065" i="7"/>
  <c r="N1065" i="7" s="1"/>
  <c r="M1033" i="7"/>
  <c r="N1033" i="7" s="1"/>
  <c r="M349" i="7"/>
  <c r="N349" i="7" s="1"/>
  <c r="M26" i="7"/>
  <c r="N26" i="7" s="1"/>
  <c r="M8" i="7"/>
  <c r="N8" i="7" s="1"/>
  <c r="M7" i="7"/>
  <c r="N7" i="7" s="1"/>
  <c r="M6727" i="7"/>
  <c r="N6727" i="7" s="1"/>
  <c r="M6734" i="7"/>
  <c r="N6734" i="7" s="1"/>
  <c r="M6733" i="7"/>
  <c r="N6733" i="7" s="1"/>
  <c r="M6732" i="7"/>
  <c r="N6732" i="7" s="1"/>
  <c r="M6731" i="7"/>
  <c r="N6731" i="7" s="1"/>
  <c r="M6730" i="7"/>
  <c r="N6730" i="7" s="1"/>
  <c r="M6634" i="7"/>
  <c r="N6634" i="7" s="1"/>
  <c r="M6729" i="7"/>
  <c r="N6729" i="7" s="1"/>
  <c r="M6633" i="7"/>
  <c r="N6633" i="7" s="1"/>
  <c r="M6728" i="7"/>
  <c r="N6728" i="7" s="1"/>
  <c r="M6451" i="7"/>
  <c r="N6451" i="7" s="1"/>
  <c r="M6455" i="7"/>
  <c r="N6455" i="7" s="1"/>
  <c r="M6454" i="7"/>
  <c r="N6454" i="7" s="1"/>
  <c r="M6453" i="7"/>
  <c r="N6453" i="7" s="1"/>
  <c r="M6452" i="7"/>
  <c r="N6452" i="7" s="1"/>
  <c r="M6244" i="7"/>
  <c r="N6244" i="7" s="1"/>
  <c r="M6325" i="7"/>
  <c r="N6325" i="7" s="1"/>
  <c r="M6156" i="7"/>
  <c r="N6156" i="7" s="1"/>
  <c r="M6012" i="7"/>
  <c r="N6012" i="7" s="1"/>
  <c r="M6155" i="7"/>
  <c r="N6155" i="7" s="1"/>
  <c r="M6011" i="7"/>
  <c r="N6011" i="7" s="1"/>
  <c r="M6245" i="7"/>
  <c r="N6245" i="7" s="1"/>
  <c r="M6154" i="7"/>
  <c r="N6154" i="7" s="1"/>
  <c r="M6153" i="7"/>
  <c r="N6153" i="7" s="1"/>
  <c r="M6152" i="7"/>
  <c r="N6152" i="7" s="1"/>
  <c r="M6151" i="7"/>
  <c r="N6151" i="7" s="1"/>
  <c r="M6014" i="7"/>
  <c r="N6014" i="7" s="1"/>
  <c r="M5877" i="7"/>
  <c r="N5877" i="7" s="1"/>
  <c r="M5876" i="7"/>
  <c r="N5876" i="7" s="1"/>
  <c r="M5875" i="7"/>
  <c r="N5875" i="7" s="1"/>
  <c r="M6015" i="7"/>
  <c r="N6015" i="7" s="1"/>
  <c r="M6013" i="7"/>
  <c r="N6013" i="7" s="1"/>
  <c r="M5689" i="7"/>
  <c r="N5689" i="7" s="1"/>
  <c r="M5688" i="7"/>
  <c r="N5688" i="7" s="1"/>
  <c r="M5687" i="7"/>
  <c r="N5687" i="7" s="1"/>
  <c r="M5539" i="7"/>
  <c r="N5539" i="7" s="1"/>
  <c r="M5686" i="7"/>
  <c r="N5686" i="7" s="1"/>
  <c r="M5538" i="7"/>
  <c r="N5538" i="7" s="1"/>
  <c r="M5690" i="7"/>
  <c r="N5690" i="7" s="1"/>
  <c r="M5400" i="7"/>
  <c r="N5400" i="7" s="1"/>
  <c r="M5399" i="7"/>
  <c r="N5399" i="7" s="1"/>
  <c r="M5398" i="7"/>
  <c r="N5398" i="7" s="1"/>
  <c r="M5397" i="7"/>
  <c r="N5397" i="7" s="1"/>
  <c r="M5396" i="7"/>
  <c r="N5396" i="7" s="1"/>
  <c r="M5089" i="7"/>
  <c r="N5089" i="7" s="1"/>
  <c r="M5092" i="7"/>
  <c r="N5092" i="7" s="1"/>
  <c r="M5091" i="7"/>
  <c r="N5091" i="7" s="1"/>
  <c r="M4955" i="7"/>
  <c r="N4955" i="7" s="1"/>
  <c r="M5090" i="7"/>
  <c r="N5090" i="7" s="1"/>
  <c r="M4954" i="7"/>
  <c r="N4954" i="7" s="1"/>
  <c r="M4713" i="7"/>
  <c r="N4713" i="7" s="1"/>
  <c r="M4632" i="7"/>
  <c r="N4632" i="7" s="1"/>
  <c r="M4903" i="7"/>
  <c r="N4903" i="7" s="1"/>
  <c r="M4902" i="7"/>
  <c r="N4902" i="7" s="1"/>
  <c r="M4714" i="7"/>
  <c r="N4714" i="7" s="1"/>
  <c r="M4424" i="7"/>
  <c r="N4424" i="7" s="1"/>
  <c r="M4296" i="7"/>
  <c r="N4296" i="7" s="1"/>
  <c r="M4160" i="7"/>
  <c r="N4160" i="7" s="1"/>
  <c r="M4715" i="7"/>
  <c r="N4715" i="7" s="1"/>
  <c r="M4423" i="7"/>
  <c r="N4423" i="7" s="1"/>
  <c r="M4159" i="7"/>
  <c r="N4159" i="7" s="1"/>
  <c r="M4534" i="7"/>
  <c r="N4534" i="7" s="1"/>
  <c r="M4158" i="7"/>
  <c r="N4158" i="7" s="1"/>
  <c r="M4533" i="7"/>
  <c r="N4533" i="7" s="1"/>
  <c r="M4157" i="7"/>
  <c r="N4157" i="7" s="1"/>
  <c r="M4532" i="7"/>
  <c r="N4532" i="7" s="1"/>
  <c r="M4156" i="7"/>
  <c r="N4156" i="7" s="1"/>
  <c r="M4052" i="7"/>
  <c r="N4052" i="7" s="1"/>
  <c r="M4531" i="7"/>
  <c r="N4531" i="7" s="1"/>
  <c r="M4155" i="7"/>
  <c r="N4155" i="7" s="1"/>
  <c r="M4051" i="7"/>
  <c r="N4051" i="7" s="1"/>
  <c r="M4530" i="7"/>
  <c r="N4530" i="7" s="1"/>
  <c r="M4298" i="7"/>
  <c r="N4298" i="7" s="1"/>
  <c r="M4529" i="7"/>
  <c r="N4529" i="7" s="1"/>
  <c r="M4297" i="7"/>
  <c r="N4297" i="7" s="1"/>
  <c r="M4161" i="7"/>
  <c r="N4161" i="7" s="1"/>
  <c r="M4162" i="7"/>
  <c r="N4162" i="7" s="1"/>
  <c r="M4050" i="7"/>
  <c r="N4050" i="7" s="1"/>
  <c r="M3958" i="7"/>
  <c r="N3958" i="7" s="1"/>
  <c r="M3846" i="7"/>
  <c r="N3846" i="7" s="1"/>
  <c r="M3710" i="7"/>
  <c r="N3710" i="7" s="1"/>
  <c r="M3622" i="7"/>
  <c r="N3622" i="7" s="1"/>
  <c r="M3957" i="7"/>
  <c r="N3957" i="7" s="1"/>
  <c r="M3845" i="7"/>
  <c r="N3845" i="7" s="1"/>
  <c r="M3709" i="7"/>
  <c r="N3709" i="7" s="1"/>
  <c r="M3621" i="7"/>
  <c r="N3621" i="7" s="1"/>
  <c r="M3956" i="7"/>
  <c r="N3956" i="7" s="1"/>
  <c r="M3844" i="7"/>
  <c r="N3844" i="7" s="1"/>
  <c r="M3708" i="7"/>
  <c r="N3708" i="7" s="1"/>
  <c r="M3620" i="7"/>
  <c r="N3620" i="7" s="1"/>
  <c r="M3500" i="7"/>
  <c r="N3500" i="7" s="1"/>
  <c r="M3843" i="7"/>
  <c r="N3843" i="7" s="1"/>
  <c r="M3707" i="7"/>
  <c r="N3707" i="7" s="1"/>
  <c r="M3506" i="7"/>
  <c r="N3506" i="7" s="1"/>
  <c r="M3849" i="7"/>
  <c r="N3849" i="7" s="1"/>
  <c r="M3505" i="7"/>
  <c r="N3505" i="7" s="1"/>
  <c r="M3848" i="7"/>
  <c r="N3848" i="7" s="1"/>
  <c r="M3504" i="7"/>
  <c r="N3504" i="7" s="1"/>
  <c r="M3959" i="7"/>
  <c r="N3959" i="7" s="1"/>
  <c r="M3847" i="7"/>
  <c r="N3847" i="7" s="1"/>
  <c r="M3623" i="7"/>
  <c r="N3623" i="7" s="1"/>
  <c r="M3503" i="7"/>
  <c r="N3503" i="7" s="1"/>
  <c r="M3203" i="7"/>
  <c r="N3203" i="7" s="1"/>
  <c r="M3059" i="7"/>
  <c r="N3059" i="7" s="1"/>
  <c r="M2803" i="7"/>
  <c r="N2803" i="7" s="1"/>
  <c r="M3202" i="7"/>
  <c r="N3202" i="7" s="1"/>
  <c r="M3058" i="7"/>
  <c r="N3058" i="7" s="1"/>
  <c r="M2802" i="7"/>
  <c r="N2802" i="7" s="1"/>
  <c r="M3369" i="7"/>
  <c r="N3369" i="7" s="1"/>
  <c r="M3201" i="7"/>
  <c r="N3201" i="7" s="1"/>
  <c r="M3057" i="7"/>
  <c r="N3057" i="7" s="1"/>
  <c r="M3368" i="7"/>
  <c r="N3368" i="7" s="1"/>
  <c r="M3200" i="7"/>
  <c r="N3200" i="7" s="1"/>
  <c r="M3056" i="7"/>
  <c r="N3056" i="7" s="1"/>
  <c r="M2936" i="7"/>
  <c r="N2936" i="7" s="1"/>
  <c r="M3367" i="7"/>
  <c r="N3367" i="7" s="1"/>
  <c r="M3199" i="7"/>
  <c r="N3199" i="7" s="1"/>
  <c r="M2935" i="7"/>
  <c r="N2935" i="7" s="1"/>
  <c r="M3502" i="7"/>
  <c r="N3502" i="7" s="1"/>
  <c r="M3366" i="7"/>
  <c r="N3366" i="7" s="1"/>
  <c r="M3198" i="7"/>
  <c r="N3198" i="7" s="1"/>
  <c r="M3062" i="7"/>
  <c r="N3062" i="7" s="1"/>
  <c r="M2934" i="7"/>
  <c r="N2934" i="7" s="1"/>
  <c r="M3501" i="7"/>
  <c r="N3501" i="7" s="1"/>
  <c r="M3499" i="7"/>
  <c r="N3499" i="7" s="1"/>
  <c r="M3365" i="7"/>
  <c r="N3365" i="7" s="1"/>
  <c r="M3197" i="7"/>
  <c r="N3197" i="7" s="1"/>
  <c r="M3061" i="7"/>
  <c r="N3061" i="7" s="1"/>
  <c r="M3204" i="7"/>
  <c r="N3204" i="7" s="1"/>
  <c r="M3060" i="7"/>
  <c r="N3060" i="7" s="1"/>
  <c r="M2644" i="7"/>
  <c r="N2644" i="7" s="1"/>
  <c r="M2572" i="7"/>
  <c r="N2572" i="7" s="1"/>
  <c r="M2444" i="7"/>
  <c r="N2444" i="7" s="1"/>
  <c r="M2324" i="7"/>
  <c r="N2324" i="7" s="1"/>
  <c r="M2643" i="7"/>
  <c r="N2643" i="7" s="1"/>
  <c r="M2571" i="7"/>
  <c r="N2571" i="7" s="1"/>
  <c r="M2443" i="7"/>
  <c r="N2443" i="7" s="1"/>
  <c r="M2323" i="7"/>
  <c r="N2323" i="7" s="1"/>
  <c r="M2442" i="7"/>
  <c r="N2442" i="7" s="1"/>
  <c r="M2577" i="7"/>
  <c r="N2577" i="7" s="1"/>
  <c r="M2441" i="7"/>
  <c r="N2441" i="7" s="1"/>
  <c r="M2329" i="7"/>
  <c r="N2329" i="7" s="1"/>
  <c r="M2648" i="7"/>
  <c r="N2648" i="7" s="1"/>
  <c r="M2576" i="7"/>
  <c r="N2576" i="7" s="1"/>
  <c r="M2328" i="7"/>
  <c r="N2328" i="7" s="1"/>
  <c r="M2647" i="7"/>
  <c r="N2647" i="7" s="1"/>
  <c r="M2575" i="7"/>
  <c r="N2575" i="7" s="1"/>
  <c r="M2447" i="7"/>
  <c r="N2447" i="7" s="1"/>
  <c r="M2805" i="7"/>
  <c r="N2805" i="7" s="1"/>
  <c r="M2646" i="7"/>
  <c r="N2646" i="7" s="1"/>
  <c r="M2574" i="7"/>
  <c r="N2574" i="7" s="1"/>
  <c r="M2446" i="7"/>
  <c r="N2446" i="7" s="1"/>
  <c r="M2326" i="7"/>
  <c r="N2326" i="7" s="1"/>
  <c r="M2804" i="7"/>
  <c r="N2804" i="7" s="1"/>
  <c r="M2645" i="7"/>
  <c r="N2645" i="7" s="1"/>
  <c r="M2573" i="7"/>
  <c r="N2573" i="7" s="1"/>
  <c r="M2445" i="7"/>
  <c r="N2445" i="7" s="1"/>
  <c r="M2325" i="7"/>
  <c r="N2325" i="7" s="1"/>
  <c r="M2327" i="7"/>
  <c r="N2327" i="7" s="1"/>
  <c r="M2159" i="7"/>
  <c r="N2159" i="7" s="1"/>
  <c r="M2330" i="7"/>
  <c r="N2330" i="7" s="1"/>
  <c r="M2158" i="7"/>
  <c r="N2158" i="7" s="1"/>
  <c r="M1670" i="7"/>
  <c r="N1670" i="7" s="1"/>
  <c r="M2157" i="7"/>
  <c r="N2157" i="7" s="1"/>
  <c r="M2156" i="7"/>
  <c r="N2156" i="7" s="1"/>
  <c r="M2163" i="7"/>
  <c r="N2163" i="7" s="1"/>
  <c r="M2155" i="7"/>
  <c r="N2155" i="7" s="1"/>
  <c r="M2019" i="7"/>
  <c r="N2019" i="7" s="1"/>
  <c r="M2162" i="7"/>
  <c r="N2162" i="7" s="1"/>
  <c r="M2154" i="7"/>
  <c r="N2154" i="7" s="1"/>
  <c r="M2018" i="7"/>
  <c r="N2018" i="7" s="1"/>
  <c r="M2161" i="7"/>
  <c r="N2161" i="7" s="1"/>
  <c r="M2153" i="7"/>
  <c r="N2153" i="7" s="1"/>
  <c r="M2017" i="7"/>
  <c r="N2017" i="7" s="1"/>
  <c r="M2160" i="7"/>
  <c r="N2160" i="7" s="1"/>
  <c r="M2152" i="7"/>
  <c r="N2152" i="7" s="1"/>
  <c r="M1792" i="7"/>
  <c r="N1792" i="7" s="1"/>
  <c r="M1430" i="7"/>
  <c r="N1430" i="7" s="1"/>
  <c r="M1262" i="7"/>
  <c r="N1262" i="7" s="1"/>
  <c r="M1429" i="7"/>
  <c r="N1429" i="7" s="1"/>
  <c r="M1261" i="7"/>
  <c r="N1261" i="7" s="1"/>
  <c r="M1085" i="7"/>
  <c r="N1085" i="7" s="1"/>
  <c r="M1428" i="7"/>
  <c r="N1428" i="7" s="1"/>
  <c r="M1427" i="7"/>
  <c r="N1427" i="7" s="1"/>
  <c r="M1083" i="7"/>
  <c r="N1083" i="7" s="1"/>
  <c r="M1426" i="7"/>
  <c r="N1426" i="7" s="1"/>
  <c r="M1669" i="7"/>
  <c r="N1669" i="7" s="1"/>
  <c r="M1425" i="7"/>
  <c r="N1425" i="7" s="1"/>
  <c r="M1265" i="7"/>
  <c r="N1265" i="7" s="1"/>
  <c r="M1668" i="7"/>
  <c r="N1668" i="7" s="1"/>
  <c r="M1432" i="7"/>
  <c r="N1432" i="7" s="1"/>
  <c r="M1424" i="7"/>
  <c r="N1424" i="7" s="1"/>
  <c r="M1264" i="7"/>
  <c r="N1264" i="7" s="1"/>
  <c r="M1431" i="7"/>
  <c r="N1431" i="7" s="1"/>
  <c r="M1423" i="7"/>
  <c r="N1423" i="7" s="1"/>
  <c r="M1263" i="7"/>
  <c r="N1263" i="7" s="1"/>
  <c r="M908" i="7"/>
  <c r="N908" i="7" s="1"/>
  <c r="M684" i="7"/>
  <c r="N684" i="7" s="1"/>
  <c r="M524" i="7"/>
  <c r="N524" i="7" s="1"/>
  <c r="M907" i="7"/>
  <c r="N907" i="7" s="1"/>
  <c r="M683" i="7"/>
  <c r="N683" i="7" s="1"/>
  <c r="M523" i="7"/>
  <c r="N523" i="7" s="1"/>
  <c r="M251" i="7"/>
  <c r="N251" i="7" s="1"/>
  <c r="M682" i="7"/>
  <c r="N682" i="7" s="1"/>
  <c r="M522" i="7"/>
  <c r="N522" i="7" s="1"/>
  <c r="M681" i="7"/>
  <c r="N681" i="7" s="1"/>
  <c r="M377" i="7"/>
  <c r="N377" i="7" s="1"/>
  <c r="M249" i="7"/>
  <c r="N249" i="7" s="1"/>
  <c r="M1086" i="7"/>
  <c r="N1086" i="7" s="1"/>
  <c r="M1084" i="7"/>
  <c r="N1084" i="7" s="1"/>
  <c r="M680" i="7"/>
  <c r="N680" i="7" s="1"/>
  <c r="M528" i="7"/>
  <c r="N528" i="7" s="1"/>
  <c r="M679" i="7"/>
  <c r="N679" i="7" s="1"/>
  <c r="M527" i="7"/>
  <c r="N527" i="7" s="1"/>
  <c r="M375" i="7"/>
  <c r="N375" i="7" s="1"/>
  <c r="M678" i="7"/>
  <c r="N678" i="7" s="1"/>
  <c r="M526" i="7"/>
  <c r="N526" i="7" s="1"/>
  <c r="M909" i="7"/>
  <c r="N909" i="7" s="1"/>
  <c r="M685" i="7"/>
  <c r="N685" i="7" s="1"/>
  <c r="M677" i="7"/>
  <c r="N677" i="7" s="1"/>
  <c r="M525" i="7"/>
  <c r="N525" i="7" s="1"/>
  <c r="M378" i="7"/>
  <c r="N378" i="7" s="1"/>
  <c r="M376" i="7"/>
  <c r="N376" i="7" s="1"/>
  <c r="M374" i="7"/>
  <c r="N374" i="7" s="1"/>
  <c r="M252" i="7"/>
  <c r="N252" i="7" s="1"/>
  <c r="M250" i="7"/>
  <c r="N250" i="7" s="1"/>
  <c r="M53" i="7"/>
  <c r="N53" i="7" s="1"/>
  <c r="M52" i="7"/>
  <c r="N52" i="7" s="1"/>
  <c r="M51" i="7"/>
  <c r="N51" i="7" s="1"/>
  <c r="M50" i="7"/>
  <c r="N50" i="7" s="1"/>
  <c r="M253" i="7"/>
  <c r="N253" i="7" s="1"/>
  <c r="M6475" i="7"/>
  <c r="N6475" i="7" s="1"/>
  <c r="M6338" i="7"/>
  <c r="N6338" i="7" s="1"/>
  <c r="M6337" i="7"/>
  <c r="N6337" i="7" s="1"/>
  <c r="M6478" i="7"/>
  <c r="N6478" i="7" s="1"/>
  <c r="M6477" i="7"/>
  <c r="N6477" i="7" s="1"/>
  <c r="M6476" i="7"/>
  <c r="N6476" i="7" s="1"/>
  <c r="M6036" i="7"/>
  <c r="N6036" i="7" s="1"/>
  <c r="M6336" i="7"/>
  <c r="N6336" i="7" s="1"/>
  <c r="M6035" i="7"/>
  <c r="N6035" i="7" s="1"/>
  <c r="M6042" i="7"/>
  <c r="N6042" i="7" s="1"/>
  <c r="M6038" i="7"/>
  <c r="N6038" i="7" s="1"/>
  <c r="M6037" i="7"/>
  <c r="N6037" i="7" s="1"/>
  <c r="M5893" i="7"/>
  <c r="N5893" i="7" s="1"/>
  <c r="M5898" i="7"/>
  <c r="N5898" i="7" s="1"/>
  <c r="M6034" i="7"/>
  <c r="N6034" i="7" s="1"/>
  <c r="M5897" i="7"/>
  <c r="N5897" i="7" s="1"/>
  <c r="M6041" i="7"/>
  <c r="N6041" i="7" s="1"/>
  <c r="M6033" i="7"/>
  <c r="N6033" i="7" s="1"/>
  <c r="M5896" i="7"/>
  <c r="N5896" i="7" s="1"/>
  <c r="M6040" i="7"/>
  <c r="N6040" i="7" s="1"/>
  <c r="M6032" i="7"/>
  <c r="N6032" i="7" s="1"/>
  <c r="M5895" i="7"/>
  <c r="N5895" i="7" s="1"/>
  <c r="M6039" i="7"/>
  <c r="N6039" i="7" s="1"/>
  <c r="M5894" i="7"/>
  <c r="N5894" i="7" s="1"/>
  <c r="M5711" i="7"/>
  <c r="N5711" i="7" s="1"/>
  <c r="M5557" i="7"/>
  <c r="N5557" i="7" s="1"/>
  <c r="M5556" i="7"/>
  <c r="N5556" i="7" s="1"/>
  <c r="M5562" i="7"/>
  <c r="N5562" i="7" s="1"/>
  <c r="M5561" i="7"/>
  <c r="N5561" i="7" s="1"/>
  <c r="M5714" i="7"/>
  <c r="N5714" i="7" s="1"/>
  <c r="M5560" i="7"/>
  <c r="N5560" i="7" s="1"/>
  <c r="M5713" i="7"/>
  <c r="N5713" i="7" s="1"/>
  <c r="M5559" i="7"/>
  <c r="N5559" i="7" s="1"/>
  <c r="M5712" i="7"/>
  <c r="N5712" i="7" s="1"/>
  <c r="M5558" i="7"/>
  <c r="N5558" i="7" s="1"/>
  <c r="M5422" i="7"/>
  <c r="N5422" i="7" s="1"/>
  <c r="M5159" i="7"/>
  <c r="N5159" i="7" s="1"/>
  <c r="M5426" i="7"/>
  <c r="N5426" i="7" s="1"/>
  <c r="M5158" i="7"/>
  <c r="N5158" i="7" s="1"/>
  <c r="M5425" i="7"/>
  <c r="N5425" i="7" s="1"/>
  <c r="M5424" i="7"/>
  <c r="N5424" i="7" s="1"/>
  <c r="M5423" i="7"/>
  <c r="N5423" i="7" s="1"/>
  <c r="M5421" i="7"/>
  <c r="N5421" i="7" s="1"/>
  <c r="M5157" i="7"/>
  <c r="N5157" i="7" s="1"/>
  <c r="M5160" i="7"/>
  <c r="N5160" i="7" s="1"/>
  <c r="M5156" i="7"/>
  <c r="N5156" i="7" s="1"/>
  <c r="M5155" i="7"/>
  <c r="N5155" i="7" s="1"/>
  <c r="M5154" i="7"/>
  <c r="N5154" i="7" s="1"/>
  <c r="M5153" i="7"/>
  <c r="N5153" i="7" s="1"/>
  <c r="M5152" i="7"/>
  <c r="N5152" i="7" s="1"/>
  <c r="M4735" i="7"/>
  <c r="N4735" i="7" s="1"/>
  <c r="M4734" i="7"/>
  <c r="N4734" i="7" s="1"/>
  <c r="M4733" i="7"/>
  <c r="N4733" i="7" s="1"/>
  <c r="M4732" i="7"/>
  <c r="N4732" i="7" s="1"/>
  <c r="M4730" i="7"/>
  <c r="N4730" i="7" s="1"/>
  <c r="M4304" i="7"/>
  <c r="N4304" i="7" s="1"/>
  <c r="M4303" i="7"/>
  <c r="N4303" i="7" s="1"/>
  <c r="M4731" i="7"/>
  <c r="N4731" i="7" s="1"/>
  <c r="M4642" i="7"/>
  <c r="N4642" i="7" s="1"/>
  <c r="M4189" i="7"/>
  <c r="N4189" i="7" s="1"/>
  <c r="M4641" i="7"/>
  <c r="N4641" i="7" s="1"/>
  <c r="M4188" i="7"/>
  <c r="N4188" i="7" s="1"/>
  <c r="M4187" i="7"/>
  <c r="N4187" i="7" s="1"/>
  <c r="M4306" i="7"/>
  <c r="N4306" i="7" s="1"/>
  <c r="M4186" i="7"/>
  <c r="N4186" i="7" s="1"/>
  <c r="M4305" i="7"/>
  <c r="N4305" i="7" s="1"/>
  <c r="M4185" i="7"/>
  <c r="N4185" i="7" s="1"/>
  <c r="M3725" i="7"/>
  <c r="N3725" i="7" s="1"/>
  <c r="M3724" i="7"/>
  <c r="N3724" i="7" s="1"/>
  <c r="M3859" i="7"/>
  <c r="N3859" i="7" s="1"/>
  <c r="M3723" i="7"/>
  <c r="N3723" i="7" s="1"/>
  <c r="M3858" i="7"/>
  <c r="N3858" i="7" s="1"/>
  <c r="M3857" i="7"/>
  <c r="N3857" i="7" s="1"/>
  <c r="M3856" i="7"/>
  <c r="N3856" i="7" s="1"/>
  <c r="M3855" i="7"/>
  <c r="N3855" i="7" s="1"/>
  <c r="M2819" i="7"/>
  <c r="N2819" i="7" s="1"/>
  <c r="M2818" i="7"/>
  <c r="N2818" i="7" s="1"/>
  <c r="M3225" i="7"/>
  <c r="N3225" i="7" s="1"/>
  <c r="M3384" i="7"/>
  <c r="N3384" i="7" s="1"/>
  <c r="M3224" i="7"/>
  <c r="N3224" i="7" s="1"/>
  <c r="M3383" i="7"/>
  <c r="N3383" i="7" s="1"/>
  <c r="M3223" i="7"/>
  <c r="N3223" i="7" s="1"/>
  <c r="M3382" i="7"/>
  <c r="N3382" i="7" s="1"/>
  <c r="M3381" i="7"/>
  <c r="N3381" i="7" s="1"/>
  <c r="M2668" i="7"/>
  <c r="N2668" i="7" s="1"/>
  <c r="M2340" i="7"/>
  <c r="N2340" i="7" s="1"/>
  <c r="M2188" i="7"/>
  <c r="N2188" i="7" s="1"/>
  <c r="M2667" i="7"/>
  <c r="N2667" i="7" s="1"/>
  <c r="M2825" i="7"/>
  <c r="N2825" i="7" s="1"/>
  <c r="M2666" i="7"/>
  <c r="N2666" i="7" s="1"/>
  <c r="M2824" i="7"/>
  <c r="N2824" i="7" s="1"/>
  <c r="M2823" i="7"/>
  <c r="N2823" i="7" s="1"/>
  <c r="M2822" i="7"/>
  <c r="N2822" i="7" s="1"/>
  <c r="M2821" i="7"/>
  <c r="N2821" i="7" s="1"/>
  <c r="M2342" i="7"/>
  <c r="N2342" i="7" s="1"/>
  <c r="M2820" i="7"/>
  <c r="N2820" i="7" s="1"/>
  <c r="M2341" i="7"/>
  <c r="N2341" i="7" s="1"/>
  <c r="M2189" i="7"/>
  <c r="N2189" i="7" s="1"/>
  <c r="M2187" i="7"/>
  <c r="N2187" i="7" s="1"/>
  <c r="M1687" i="7"/>
  <c r="N1687" i="7" s="1"/>
  <c r="M2186" i="7"/>
  <c r="N2186" i="7" s="1"/>
  <c r="M1822" i="7"/>
  <c r="N1822" i="7" s="1"/>
  <c r="M1686" i="7"/>
  <c r="N1686" i="7" s="1"/>
  <c r="M2185" i="7"/>
  <c r="N2185" i="7" s="1"/>
  <c r="M1821" i="7"/>
  <c r="N1821" i="7" s="1"/>
  <c r="M2184" i="7"/>
  <c r="N2184" i="7" s="1"/>
  <c r="M2028" i="7"/>
  <c r="N2028" i="7" s="1"/>
  <c r="M1820" i="7"/>
  <c r="N1820" i="7" s="1"/>
  <c r="M2183" i="7"/>
  <c r="N2183" i="7" s="1"/>
  <c r="M2027" i="7"/>
  <c r="N2027" i="7" s="1"/>
  <c r="M1819" i="7"/>
  <c r="N1819" i="7" s="1"/>
  <c r="M1691" i="7"/>
  <c r="N1691" i="7" s="1"/>
  <c r="M2192" i="7"/>
  <c r="N2192" i="7" s="1"/>
  <c r="M2182" i="7"/>
  <c r="N2182" i="7" s="1"/>
  <c r="M2026" i="7"/>
  <c r="N2026" i="7" s="1"/>
  <c r="M1818" i="7"/>
  <c r="N1818" i="7" s="1"/>
  <c r="M2191" i="7"/>
  <c r="N2191" i="7" s="1"/>
  <c r="M2190" i="7"/>
  <c r="N2190" i="7" s="1"/>
  <c r="M1692" i="7"/>
  <c r="N1692" i="7" s="1"/>
  <c r="M1690" i="7"/>
  <c r="N1690" i="7" s="1"/>
  <c r="M1462" i="7"/>
  <c r="N1462" i="7" s="1"/>
  <c r="M1118" i="7"/>
  <c r="N1118" i="7" s="1"/>
  <c r="M1689" i="7"/>
  <c r="N1689" i="7" s="1"/>
  <c r="M1685" i="7"/>
  <c r="N1685" i="7" s="1"/>
  <c r="M1461" i="7"/>
  <c r="N1461" i="7" s="1"/>
  <c r="M1117" i="7"/>
  <c r="N1117" i="7" s="1"/>
  <c r="M1688" i="7"/>
  <c r="N1688" i="7" s="1"/>
  <c r="M1465" i="7"/>
  <c r="N1465" i="7" s="1"/>
  <c r="M1281" i="7"/>
  <c r="N1281" i="7" s="1"/>
  <c r="M1464" i="7"/>
  <c r="N1464" i="7" s="1"/>
  <c r="M1280" i="7"/>
  <c r="N1280" i="7" s="1"/>
  <c r="M1120" i="7"/>
  <c r="N1120" i="7" s="1"/>
  <c r="M1463" i="7"/>
  <c r="N1463" i="7" s="1"/>
  <c r="M1279" i="7"/>
  <c r="N1279" i="7" s="1"/>
  <c r="M932" i="7"/>
  <c r="N932" i="7" s="1"/>
  <c r="M732" i="7"/>
  <c r="N732" i="7" s="1"/>
  <c r="M931" i="7"/>
  <c r="N931" i="7" s="1"/>
  <c r="M731" i="7"/>
  <c r="N731" i="7" s="1"/>
  <c r="M395" i="7"/>
  <c r="N395" i="7" s="1"/>
  <c r="M930" i="7"/>
  <c r="N930" i="7" s="1"/>
  <c r="M738" i="7"/>
  <c r="N738" i="7" s="1"/>
  <c r="M730" i="7"/>
  <c r="N730" i="7" s="1"/>
  <c r="M1119" i="7"/>
  <c r="N1119" i="7" s="1"/>
  <c r="M929" i="7"/>
  <c r="N929" i="7" s="1"/>
  <c r="M737" i="7"/>
  <c r="N737" i="7" s="1"/>
  <c r="M729" i="7"/>
  <c r="N729" i="7" s="1"/>
  <c r="M736" i="7"/>
  <c r="N736" i="7" s="1"/>
  <c r="M735" i="7"/>
  <c r="N735" i="7" s="1"/>
  <c r="M535" i="7"/>
  <c r="N535" i="7" s="1"/>
  <c r="M734" i="7"/>
  <c r="N734" i="7" s="1"/>
  <c r="M933" i="7"/>
  <c r="N933" i="7" s="1"/>
  <c r="M733" i="7"/>
  <c r="N733" i="7" s="1"/>
  <c r="M264" i="7"/>
  <c r="N264" i="7" s="1"/>
  <c r="M86" i="7"/>
  <c r="N86" i="7" s="1"/>
  <c r="M263" i="7"/>
  <c r="N263" i="7" s="1"/>
  <c r="M85" i="7"/>
  <c r="N85" i="7" s="1"/>
  <c r="M262" i="7"/>
  <c r="N262" i="7" s="1"/>
  <c r="M84" i="7"/>
  <c r="N84" i="7" s="1"/>
  <c r="M83" i="7"/>
  <c r="N83" i="7" s="1"/>
  <c r="M82" i="7"/>
  <c r="N82" i="7" s="1"/>
  <c r="M87" i="7"/>
  <c r="N87" i="7" s="1"/>
  <c r="M6759" i="7"/>
  <c r="N6759" i="7" s="1"/>
  <c r="M6758" i="7"/>
  <c r="N6758" i="7" s="1"/>
  <c r="M6757" i="7"/>
  <c r="N6757" i="7" s="1"/>
  <c r="M6764" i="7"/>
  <c r="N6764" i="7" s="1"/>
  <c r="M6763" i="7"/>
  <c r="N6763" i="7" s="1"/>
  <c r="M6643" i="7"/>
  <c r="N6643" i="7" s="1"/>
  <c r="M6762" i="7"/>
  <c r="N6762" i="7" s="1"/>
  <c r="M6642" i="7"/>
  <c r="N6642" i="7" s="1"/>
  <c r="M6761" i="7"/>
  <c r="N6761" i="7" s="1"/>
  <c r="M6641" i="7"/>
  <c r="N6641" i="7" s="1"/>
  <c r="M6760" i="7"/>
  <c r="N6760" i="7" s="1"/>
  <c r="M6499" i="7"/>
  <c r="N6499" i="7" s="1"/>
  <c r="M6355" i="7"/>
  <c r="N6355" i="7" s="1"/>
  <c r="M6498" i="7"/>
  <c r="N6498" i="7" s="1"/>
  <c r="M6354" i="7"/>
  <c r="N6354" i="7" s="1"/>
  <c r="M6497" i="7"/>
  <c r="N6497" i="7" s="1"/>
  <c r="M6359" i="7"/>
  <c r="N6359" i="7" s="1"/>
  <c r="M6358" i="7"/>
  <c r="N6358" i="7" s="1"/>
  <c r="M6500" i="7"/>
  <c r="N6500" i="7" s="1"/>
  <c r="M6356" i="7"/>
  <c r="N6356" i="7" s="1"/>
  <c r="M6357" i="7"/>
  <c r="N6357" i="7" s="1"/>
  <c r="M6172" i="7"/>
  <c r="N6172" i="7" s="1"/>
  <c r="M6265" i="7"/>
  <c r="N6265" i="7" s="1"/>
  <c r="M6056" i="7"/>
  <c r="N6056" i="7" s="1"/>
  <c r="M6264" i="7"/>
  <c r="N6264" i="7" s="1"/>
  <c r="M6175" i="7"/>
  <c r="N6175" i="7" s="1"/>
  <c r="M6263" i="7"/>
  <c r="N6263" i="7" s="1"/>
  <c r="M6174" i="7"/>
  <c r="N6174" i="7" s="1"/>
  <c r="M6054" i="7"/>
  <c r="N6054" i="7" s="1"/>
  <c r="M6173" i="7"/>
  <c r="N6173" i="7" s="1"/>
  <c r="M6053" i="7"/>
  <c r="N6053" i="7" s="1"/>
  <c r="M5908" i="7"/>
  <c r="N5908" i="7" s="1"/>
  <c r="M5907" i="7"/>
  <c r="N5907" i="7" s="1"/>
  <c r="M5739" i="7"/>
  <c r="N5739" i="7" s="1"/>
  <c r="M5906" i="7"/>
  <c r="N5906" i="7" s="1"/>
  <c r="M6055" i="7"/>
  <c r="N6055" i="7" s="1"/>
  <c r="M5733" i="7"/>
  <c r="N5733" i="7" s="1"/>
  <c r="M5581" i="7"/>
  <c r="N5581" i="7" s="1"/>
  <c r="M5660" i="7"/>
  <c r="N5660" i="7" s="1"/>
  <c r="M5580" i="7"/>
  <c r="N5580" i="7" s="1"/>
  <c r="M5579" i="7"/>
  <c r="N5579" i="7" s="1"/>
  <c r="M5738" i="7"/>
  <c r="N5738" i="7" s="1"/>
  <c r="M5578" i="7"/>
  <c r="N5578" i="7" s="1"/>
  <c r="M5737" i="7"/>
  <c r="N5737" i="7" s="1"/>
  <c r="M5736" i="7"/>
  <c r="N5736" i="7" s="1"/>
  <c r="M5735" i="7"/>
  <c r="N5735" i="7" s="1"/>
  <c r="M5734" i="7"/>
  <c r="N5734" i="7" s="1"/>
  <c r="M5191" i="7"/>
  <c r="N5191" i="7" s="1"/>
  <c r="M5190" i="7"/>
  <c r="N5190" i="7" s="1"/>
  <c r="M5445" i="7"/>
  <c r="N5445" i="7" s="1"/>
  <c r="M5444" i="7"/>
  <c r="N5444" i="7" s="1"/>
  <c r="M5193" i="7"/>
  <c r="N5193" i="7" s="1"/>
  <c r="M5192" i="7"/>
  <c r="N5192" i="7" s="1"/>
  <c r="M4973" i="7"/>
  <c r="N4973" i="7" s="1"/>
  <c r="M4971" i="7"/>
  <c r="N4971" i="7" s="1"/>
  <c r="M4913" i="7"/>
  <c r="N4913" i="7" s="1"/>
  <c r="M4761" i="7"/>
  <c r="N4761" i="7" s="1"/>
  <c r="M4657" i="7"/>
  <c r="N4657" i="7" s="1"/>
  <c r="M4912" i="7"/>
  <c r="N4912" i="7" s="1"/>
  <c r="M4760" i="7"/>
  <c r="N4760" i="7" s="1"/>
  <c r="M4656" i="7"/>
  <c r="N4656" i="7" s="1"/>
  <c r="M4972" i="7"/>
  <c r="N4972" i="7" s="1"/>
  <c r="M4970" i="7"/>
  <c r="N4970" i="7" s="1"/>
  <c r="M4911" i="7"/>
  <c r="N4911" i="7" s="1"/>
  <c r="M4759" i="7"/>
  <c r="N4759" i="7" s="1"/>
  <c r="M4766" i="7"/>
  <c r="N4766" i="7" s="1"/>
  <c r="M4758" i="7"/>
  <c r="N4758" i="7" s="1"/>
  <c r="M4654" i="7"/>
  <c r="N4654" i="7" s="1"/>
  <c r="M4765" i="7"/>
  <c r="N4765" i="7" s="1"/>
  <c r="M4764" i="7"/>
  <c r="N4764" i="7" s="1"/>
  <c r="M4915" i="7"/>
  <c r="N4915" i="7" s="1"/>
  <c r="M4763" i="7"/>
  <c r="N4763" i="7" s="1"/>
  <c r="M4914" i="7"/>
  <c r="N4914" i="7" s="1"/>
  <c r="M4762" i="7"/>
  <c r="N4762" i="7" s="1"/>
  <c r="M4208" i="7"/>
  <c r="N4208" i="7" s="1"/>
  <c r="M4439" i="7"/>
  <c r="N4439" i="7" s="1"/>
  <c r="M4327" i="7"/>
  <c r="N4327" i="7" s="1"/>
  <c r="M4207" i="7"/>
  <c r="N4207" i="7" s="1"/>
  <c r="M4438" i="7"/>
  <c r="N4438" i="7" s="1"/>
  <c r="M4326" i="7"/>
  <c r="N4326" i="7" s="1"/>
  <c r="M4206" i="7"/>
  <c r="N4206" i="7" s="1"/>
  <c r="M4437" i="7"/>
  <c r="N4437" i="7" s="1"/>
  <c r="M4325" i="7"/>
  <c r="N4325" i="7" s="1"/>
  <c r="M4205" i="7"/>
  <c r="N4205" i="7" s="1"/>
  <c r="M4436" i="7"/>
  <c r="N4436" i="7" s="1"/>
  <c r="M4324" i="7"/>
  <c r="N4324" i="7" s="1"/>
  <c r="M4204" i="7"/>
  <c r="N4204" i="7" s="1"/>
  <c r="M4655" i="7"/>
  <c r="N4655" i="7" s="1"/>
  <c r="M4435" i="7"/>
  <c r="N4435" i="7" s="1"/>
  <c r="M4323" i="7"/>
  <c r="N4323" i="7" s="1"/>
  <c r="M4203" i="7"/>
  <c r="N4203" i="7" s="1"/>
  <c r="M4067" i="7"/>
  <c r="N4067" i="7" s="1"/>
  <c r="M4658" i="7"/>
  <c r="N4658" i="7" s="1"/>
  <c r="M4538" i="7"/>
  <c r="N4538" i="7" s="1"/>
  <c r="M4434" i="7"/>
  <c r="N4434" i="7" s="1"/>
  <c r="M4322" i="7"/>
  <c r="N4322" i="7" s="1"/>
  <c r="M4210" i="7"/>
  <c r="N4210" i="7" s="1"/>
  <c r="M4202" i="7"/>
  <c r="N4202" i="7" s="1"/>
  <c r="M4209" i="7"/>
  <c r="N4209" i="7" s="1"/>
  <c r="M4066" i="7"/>
  <c r="N4066" i="7" s="1"/>
  <c r="M3982" i="7"/>
  <c r="N3982" i="7" s="1"/>
  <c r="M3638" i="7"/>
  <c r="N3638" i="7" s="1"/>
  <c r="M3981" i="7"/>
  <c r="N3981" i="7" s="1"/>
  <c r="M3749" i="7"/>
  <c r="N3749" i="7" s="1"/>
  <c r="M3980" i="7"/>
  <c r="N3980" i="7" s="1"/>
  <c r="M3748" i="7"/>
  <c r="N3748" i="7" s="1"/>
  <c r="M3979" i="7"/>
  <c r="N3979" i="7" s="1"/>
  <c r="M3867" i="7"/>
  <c r="N3867" i="7" s="1"/>
  <c r="M3747" i="7"/>
  <c r="N3747" i="7" s="1"/>
  <c r="M3643" i="7"/>
  <c r="N3643" i="7" s="1"/>
  <c r="M3978" i="7"/>
  <c r="N3978" i="7" s="1"/>
  <c r="M3866" i="7"/>
  <c r="N3866" i="7" s="1"/>
  <c r="M3746" i="7"/>
  <c r="N3746" i="7" s="1"/>
  <c r="M3642" i="7"/>
  <c r="N3642" i="7" s="1"/>
  <c r="M3977" i="7"/>
  <c r="N3977" i="7" s="1"/>
  <c r="M3865" i="7"/>
  <c r="N3865" i="7" s="1"/>
  <c r="M3745" i="7"/>
  <c r="N3745" i="7" s="1"/>
  <c r="M3641" i="7"/>
  <c r="N3641" i="7" s="1"/>
  <c r="M3976" i="7"/>
  <c r="N3976" i="7" s="1"/>
  <c r="M3864" i="7"/>
  <c r="N3864" i="7" s="1"/>
  <c r="M3744" i="7"/>
  <c r="N3744" i="7" s="1"/>
  <c r="M3640" i="7"/>
  <c r="N3640" i="7" s="1"/>
  <c r="M3983" i="7"/>
  <c r="N3983" i="7" s="1"/>
  <c r="M3639" i="7"/>
  <c r="N3639" i="7" s="1"/>
  <c r="M3527" i="7"/>
  <c r="N3527" i="7" s="1"/>
  <c r="M3395" i="7"/>
  <c r="N3395" i="7" s="1"/>
  <c r="M2955" i="7"/>
  <c r="N2955" i="7" s="1"/>
  <c r="M2843" i="7"/>
  <c r="N2843" i="7" s="1"/>
  <c r="M3394" i="7"/>
  <c r="N3394" i="7" s="1"/>
  <c r="M2954" i="7"/>
  <c r="N2954" i="7" s="1"/>
  <c r="M2842" i="7"/>
  <c r="N2842" i="7" s="1"/>
  <c r="M3393" i="7"/>
  <c r="N3393" i="7" s="1"/>
  <c r="M3080" i="7"/>
  <c r="N3080" i="7" s="1"/>
  <c r="M2952" i="7"/>
  <c r="N2952" i="7" s="1"/>
  <c r="M3247" i="7"/>
  <c r="N3247" i="7" s="1"/>
  <c r="M3079" i="7"/>
  <c r="N3079" i="7" s="1"/>
  <c r="M2951" i="7"/>
  <c r="N2951" i="7" s="1"/>
  <c r="M3246" i="7"/>
  <c r="N3246" i="7" s="1"/>
  <c r="M3078" i="7"/>
  <c r="N3078" i="7" s="1"/>
  <c r="M2950" i="7"/>
  <c r="N2950" i="7" s="1"/>
  <c r="M3245" i="7"/>
  <c r="N3245" i="7" s="1"/>
  <c r="M3077" i="7"/>
  <c r="N3077" i="7" s="1"/>
  <c r="M2949" i="7"/>
  <c r="N2949" i="7" s="1"/>
  <c r="M3396" i="7"/>
  <c r="N3396" i="7" s="1"/>
  <c r="M3244" i="7"/>
  <c r="N3244" i="7" s="1"/>
  <c r="M3076" i="7"/>
  <c r="N3076" i="7" s="1"/>
  <c r="M2956" i="7"/>
  <c r="N2956" i="7" s="1"/>
  <c r="M2692" i="7"/>
  <c r="N2692" i="7" s="1"/>
  <c r="M2588" i="7"/>
  <c r="N2588" i="7" s="1"/>
  <c r="M2476" i="7"/>
  <c r="N2476" i="7" s="1"/>
  <c r="M2356" i="7"/>
  <c r="N2356" i="7" s="1"/>
  <c r="M2212" i="7"/>
  <c r="N2212" i="7" s="1"/>
  <c r="M2953" i="7"/>
  <c r="N2953" i="7" s="1"/>
  <c r="M2691" i="7"/>
  <c r="N2691" i="7" s="1"/>
  <c r="M2587" i="7"/>
  <c r="N2587" i="7" s="1"/>
  <c r="M2475" i="7"/>
  <c r="N2475" i="7" s="1"/>
  <c r="M2355" i="7"/>
  <c r="N2355" i="7" s="1"/>
  <c r="M2690" i="7"/>
  <c r="N2690" i="7" s="1"/>
  <c r="M2586" i="7"/>
  <c r="N2586" i="7" s="1"/>
  <c r="M2474" i="7"/>
  <c r="N2474" i="7" s="1"/>
  <c r="M2689" i="7"/>
  <c r="N2689" i="7" s="1"/>
  <c r="M2473" i="7"/>
  <c r="N2473" i="7" s="1"/>
  <c r="M2353" i="7"/>
  <c r="N2353" i="7" s="1"/>
  <c r="M2845" i="7"/>
  <c r="N2845" i="7" s="1"/>
  <c r="M2841" i="7"/>
  <c r="N2841" i="7" s="1"/>
  <c r="M2688" i="7"/>
  <c r="N2688" i="7" s="1"/>
  <c r="M2472" i="7"/>
  <c r="N2472" i="7" s="1"/>
  <c r="M2352" i="7"/>
  <c r="N2352" i="7" s="1"/>
  <c r="M2844" i="7"/>
  <c r="N2844" i="7" s="1"/>
  <c r="M2840" i="7"/>
  <c r="N2840" i="7" s="1"/>
  <c r="M2687" i="7"/>
  <c r="N2687" i="7" s="1"/>
  <c r="M2686" i="7"/>
  <c r="N2686" i="7" s="1"/>
  <c r="M2590" i="7"/>
  <c r="N2590" i="7" s="1"/>
  <c r="M2350" i="7"/>
  <c r="N2350" i="7" s="1"/>
  <c r="M2589" i="7"/>
  <c r="N2589" i="7" s="1"/>
  <c r="M2357" i="7"/>
  <c r="N2357" i="7" s="1"/>
  <c r="M2039" i="7"/>
  <c r="N2039" i="7" s="1"/>
  <c r="M1847" i="7"/>
  <c r="N1847" i="7" s="1"/>
  <c r="M1839" i="7"/>
  <c r="N1839" i="7" s="1"/>
  <c r="M1703" i="7"/>
  <c r="N1703" i="7" s="1"/>
  <c r="M2038" i="7"/>
  <c r="N2038" i="7" s="1"/>
  <c r="M1846" i="7"/>
  <c r="N1846" i="7" s="1"/>
  <c r="M1838" i="7"/>
  <c r="N1838" i="7" s="1"/>
  <c r="M1702" i="7"/>
  <c r="N1702" i="7" s="1"/>
  <c r="M2037" i="7"/>
  <c r="N2037" i="7" s="1"/>
  <c r="M1845" i="7"/>
  <c r="N1845" i="7" s="1"/>
  <c r="M2036" i="7"/>
  <c r="N2036" i="7" s="1"/>
  <c r="M1844" i="7"/>
  <c r="N1844" i="7" s="1"/>
  <c r="M2351" i="7"/>
  <c r="N2351" i="7" s="1"/>
  <c r="M2215" i="7"/>
  <c r="N2215" i="7" s="1"/>
  <c r="M2035" i="7"/>
  <c r="N2035" i="7" s="1"/>
  <c r="M1843" i="7"/>
  <c r="N1843" i="7" s="1"/>
  <c r="M2354" i="7"/>
  <c r="N2354" i="7" s="1"/>
  <c r="M2214" i="7"/>
  <c r="N2214" i="7" s="1"/>
  <c r="M2034" i="7"/>
  <c r="N2034" i="7" s="1"/>
  <c r="M1842" i="7"/>
  <c r="N1842" i="7" s="1"/>
  <c r="M1706" i="7"/>
  <c r="N1706" i="7" s="1"/>
  <c r="M2213" i="7"/>
  <c r="N2213" i="7" s="1"/>
  <c r="M2211" i="7"/>
  <c r="N2211" i="7" s="1"/>
  <c r="M2041" i="7"/>
  <c r="N2041" i="7" s="1"/>
  <c r="M1849" i="7"/>
  <c r="N1849" i="7" s="1"/>
  <c r="M1841" i="7"/>
  <c r="N1841" i="7" s="1"/>
  <c r="M1705" i="7"/>
  <c r="N1705" i="7" s="1"/>
  <c r="M2040" i="7"/>
  <c r="N2040" i="7" s="1"/>
  <c r="M1848" i="7"/>
  <c r="N1848" i="7" s="1"/>
  <c r="M1840" i="7"/>
  <c r="N1840" i="7" s="1"/>
  <c r="M1704" i="7"/>
  <c r="N1704" i="7" s="1"/>
  <c r="M1486" i="7"/>
  <c r="N1486" i="7" s="1"/>
  <c r="M1142" i="7"/>
  <c r="N1142" i="7" s="1"/>
  <c r="M1485" i="7"/>
  <c r="N1485" i="7" s="1"/>
  <c r="M1141" i="7"/>
  <c r="N1141" i="7" s="1"/>
  <c r="M1484" i="7"/>
  <c r="N1484" i="7" s="1"/>
  <c r="M1140" i="7"/>
  <c r="N1140" i="7" s="1"/>
  <c r="M1483" i="7"/>
  <c r="N1483" i="7" s="1"/>
  <c r="M1139" i="7"/>
  <c r="N1139" i="7" s="1"/>
  <c r="M1482" i="7"/>
  <c r="N1482" i="7" s="1"/>
  <c r="M1298" i="7"/>
  <c r="N1298" i="7" s="1"/>
  <c r="M1138" i="7"/>
  <c r="N1138" i="7" s="1"/>
  <c r="M1489" i="7"/>
  <c r="N1489" i="7" s="1"/>
  <c r="M1145" i="7"/>
  <c r="N1145" i="7" s="1"/>
  <c r="M1488" i="7"/>
  <c r="N1488" i="7" s="1"/>
  <c r="M1144" i="7"/>
  <c r="N1144" i="7" s="1"/>
  <c r="M1487" i="7"/>
  <c r="N1487" i="7" s="1"/>
  <c r="M948" i="7"/>
  <c r="N948" i="7" s="1"/>
  <c r="M548" i="7"/>
  <c r="N548" i="7" s="1"/>
  <c r="M404" i="7"/>
  <c r="N404" i="7" s="1"/>
  <c r="M947" i="7"/>
  <c r="N947" i="7" s="1"/>
  <c r="M547" i="7"/>
  <c r="N547" i="7" s="1"/>
  <c r="M275" i="7"/>
  <c r="N275" i="7" s="1"/>
  <c r="M946" i="7"/>
  <c r="N946" i="7" s="1"/>
  <c r="M754" i="7"/>
  <c r="N754" i="7" s="1"/>
  <c r="M546" i="7"/>
  <c r="N546" i="7" s="1"/>
  <c r="M945" i="7"/>
  <c r="N945" i="7" s="1"/>
  <c r="M753" i="7"/>
  <c r="N753" i="7" s="1"/>
  <c r="M545" i="7"/>
  <c r="N545" i="7" s="1"/>
  <c r="M273" i="7"/>
  <c r="N273" i="7" s="1"/>
  <c r="M944" i="7"/>
  <c r="N944" i="7" s="1"/>
  <c r="M752" i="7"/>
  <c r="N752" i="7" s="1"/>
  <c r="M1143" i="7"/>
  <c r="N1143" i="7" s="1"/>
  <c r="M751" i="7"/>
  <c r="N751" i="7" s="1"/>
  <c r="M950" i="7"/>
  <c r="N950" i="7" s="1"/>
  <c r="M750" i="7"/>
  <c r="N750" i="7" s="1"/>
  <c r="M406" i="7"/>
  <c r="N406" i="7" s="1"/>
  <c r="M949" i="7"/>
  <c r="N949" i="7" s="1"/>
  <c r="M405" i="7"/>
  <c r="N405" i="7" s="1"/>
  <c r="M110" i="7"/>
  <c r="N110" i="7" s="1"/>
  <c r="M109" i="7"/>
  <c r="N109" i="7" s="1"/>
  <c r="M274" i="7"/>
  <c r="N274" i="7" s="1"/>
  <c r="M112" i="7"/>
  <c r="N112" i="7" s="1"/>
  <c r="M111" i="7"/>
  <c r="N111" i="7" s="1"/>
  <c r="M5476" i="7"/>
  <c r="N5476" i="7" s="1"/>
  <c r="M5474" i="7"/>
  <c r="N5474" i="7" s="1"/>
  <c r="M5248" i="7"/>
  <c r="N5248" i="7" s="1"/>
  <c r="M5473" i="7"/>
  <c r="N5473" i="7" s="1"/>
  <c r="M5247" i="7"/>
  <c r="N5247" i="7" s="1"/>
  <c r="M5472" i="7"/>
  <c r="N5472" i="7" s="1"/>
  <c r="M5246" i="7"/>
  <c r="N5246" i="7" s="1"/>
  <c r="M5471" i="7"/>
  <c r="N5471" i="7" s="1"/>
  <c r="M5245" i="7"/>
  <c r="N5245" i="7" s="1"/>
  <c r="M5251" i="7"/>
  <c r="N5251" i="7" s="1"/>
  <c r="M5243" i="7"/>
  <c r="N5243" i="7" s="1"/>
  <c r="M5250" i="7"/>
  <c r="N5250" i="7" s="1"/>
  <c r="M5475" i="7"/>
  <c r="N5475" i="7" s="1"/>
  <c r="M5244" i="7"/>
  <c r="N5244" i="7" s="1"/>
  <c r="M5249" i="7"/>
  <c r="N5249" i="7" s="1"/>
  <c r="M5252" i="7"/>
  <c r="N5252" i="7" s="1"/>
  <c r="M1727" i="7"/>
  <c r="N1727" i="7" s="1"/>
  <c r="M1726" i="7"/>
  <c r="N1726" i="7" s="1"/>
  <c r="M1725" i="7"/>
  <c r="N1725" i="7" s="1"/>
  <c r="M1723" i="7"/>
  <c r="N1723" i="7" s="1"/>
  <c r="M1722" i="7"/>
  <c r="N1722" i="7" s="1"/>
  <c r="M1534" i="7"/>
  <c r="N1534" i="7" s="1"/>
  <c r="M1724" i="7"/>
  <c r="N1724" i="7" s="1"/>
  <c r="M1538" i="7"/>
  <c r="N1538" i="7" s="1"/>
  <c r="M1537" i="7"/>
  <c r="N1537" i="7" s="1"/>
  <c r="M1536" i="7"/>
  <c r="N1536" i="7" s="1"/>
  <c r="M1535" i="7"/>
  <c r="N1535" i="7" s="1"/>
  <c r="M788" i="7"/>
  <c r="N788" i="7" s="1"/>
  <c r="M971" i="7"/>
  <c r="N971" i="7" s="1"/>
  <c r="M787" i="7"/>
  <c r="N787" i="7" s="1"/>
  <c r="M786" i="7"/>
  <c r="N786" i="7" s="1"/>
  <c r="M287" i="7"/>
  <c r="N287" i="7" s="1"/>
  <c r="M142" i="7"/>
  <c r="N142" i="7" s="1"/>
  <c r="M141" i="7"/>
  <c r="N141" i="7" s="1"/>
  <c r="M144" i="7"/>
  <c r="N144" i="7" s="1"/>
  <c r="M143" i="7"/>
  <c r="N143" i="7" s="1"/>
  <c r="M6791" i="7"/>
  <c r="N6791" i="7" s="1"/>
  <c r="M6567" i="7"/>
  <c r="N6567" i="7" s="1"/>
  <c r="M6559" i="7"/>
  <c r="N6559" i="7" s="1"/>
  <c r="M6797" i="7"/>
  <c r="N6797" i="7" s="1"/>
  <c r="M6796" i="7"/>
  <c r="N6796" i="7" s="1"/>
  <c r="M6668" i="7"/>
  <c r="N6668" i="7" s="1"/>
  <c r="M6795" i="7"/>
  <c r="N6795" i="7" s="1"/>
  <c r="M6667" i="7"/>
  <c r="N6667" i="7" s="1"/>
  <c r="M6794" i="7"/>
  <c r="N6794" i="7" s="1"/>
  <c r="M6666" i="7"/>
  <c r="N6666" i="7" s="1"/>
  <c r="M6562" i="7"/>
  <c r="N6562" i="7" s="1"/>
  <c r="M6793" i="7"/>
  <c r="N6793" i="7" s="1"/>
  <c r="M6665" i="7"/>
  <c r="N6665" i="7" s="1"/>
  <c r="M6792" i="7"/>
  <c r="N6792" i="7" s="1"/>
  <c r="M6379" i="7"/>
  <c r="N6379" i="7" s="1"/>
  <c r="M6378" i="7"/>
  <c r="N6378" i="7" s="1"/>
  <c r="M6568" i="7"/>
  <c r="N6568" i="7" s="1"/>
  <c r="M6566" i="7"/>
  <c r="N6566" i="7" s="1"/>
  <c r="M6377" i="7"/>
  <c r="N6377" i="7" s="1"/>
  <c r="M6565" i="7"/>
  <c r="N6565" i="7" s="1"/>
  <c r="M6376" i="7"/>
  <c r="N6376" i="7" s="1"/>
  <c r="M6564" i="7"/>
  <c r="N6564" i="7" s="1"/>
  <c r="M6563" i="7"/>
  <c r="N6563" i="7" s="1"/>
  <c r="M6561" i="7"/>
  <c r="N6561" i="7" s="1"/>
  <c r="M6382" i="7"/>
  <c r="N6382" i="7" s="1"/>
  <c r="M6560" i="7"/>
  <c r="N6560" i="7" s="1"/>
  <c r="M6381" i="7"/>
  <c r="N6381" i="7" s="1"/>
  <c r="M6380" i="7"/>
  <c r="N6380" i="7" s="1"/>
  <c r="M6193" i="7"/>
  <c r="N6193" i="7" s="1"/>
  <c r="M6192" i="7"/>
  <c r="N6192" i="7" s="1"/>
  <c r="M6104" i="7"/>
  <c r="N6104" i="7" s="1"/>
  <c r="M6191" i="7"/>
  <c r="N6191" i="7" s="1"/>
  <c r="M6103" i="7"/>
  <c r="N6103" i="7" s="1"/>
  <c r="M6190" i="7"/>
  <c r="N6190" i="7" s="1"/>
  <c r="M6189" i="7"/>
  <c r="N6189" i="7" s="1"/>
  <c r="M5773" i="7"/>
  <c r="N5773" i="7" s="1"/>
  <c r="M5947" i="7"/>
  <c r="N5947" i="7" s="1"/>
  <c r="M5779" i="7"/>
  <c r="N5779" i="7" s="1"/>
  <c r="M5946" i="7"/>
  <c r="N5946" i="7" s="1"/>
  <c r="M5945" i="7"/>
  <c r="N5945" i="7" s="1"/>
  <c r="M5944" i="7"/>
  <c r="N5944" i="7" s="1"/>
  <c r="M5943" i="7"/>
  <c r="N5943" i="7" s="1"/>
  <c r="M6105" i="7"/>
  <c r="N6105" i="7" s="1"/>
  <c r="M5613" i="7"/>
  <c r="N5613" i="7" s="1"/>
  <c r="M5612" i="7"/>
  <c r="N5612" i="7" s="1"/>
  <c r="M5484" i="7"/>
  <c r="N5484" i="7" s="1"/>
  <c r="M5611" i="7"/>
  <c r="N5611" i="7" s="1"/>
  <c r="M5780" i="7"/>
  <c r="N5780" i="7" s="1"/>
  <c r="M5778" i="7"/>
  <c r="N5778" i="7" s="1"/>
  <c r="M5610" i="7"/>
  <c r="N5610" i="7" s="1"/>
  <c r="M5777" i="7"/>
  <c r="N5777" i="7" s="1"/>
  <c r="M5776" i="7"/>
  <c r="N5776" i="7" s="1"/>
  <c r="M5775" i="7"/>
  <c r="N5775" i="7" s="1"/>
  <c r="M5774" i="7"/>
  <c r="N5774" i="7" s="1"/>
  <c r="M5486" i="7"/>
  <c r="N5486" i="7" s="1"/>
  <c r="M5288" i="7"/>
  <c r="N5288" i="7" s="1"/>
  <c r="M5287" i="7"/>
  <c r="N5287" i="7" s="1"/>
  <c r="M5294" i="7"/>
  <c r="N5294" i="7" s="1"/>
  <c r="M5286" i="7"/>
  <c r="N5286" i="7" s="1"/>
  <c r="M5487" i="7"/>
  <c r="N5487" i="7" s="1"/>
  <c r="M5485" i="7"/>
  <c r="N5485" i="7" s="1"/>
  <c r="M5483" i="7"/>
  <c r="N5483" i="7" s="1"/>
  <c r="M5293" i="7"/>
  <c r="N5293" i="7" s="1"/>
  <c r="M5285" i="7"/>
  <c r="N5285" i="7" s="1"/>
  <c r="M5291" i="7"/>
  <c r="N5291" i="7" s="1"/>
  <c r="M5283" i="7"/>
  <c r="N5283" i="7" s="1"/>
  <c r="M5290" i="7"/>
  <c r="N5290" i="7" s="1"/>
  <c r="M5289" i="7"/>
  <c r="N5289" i="7" s="1"/>
  <c r="M5009" i="7"/>
  <c r="N5009" i="7" s="1"/>
  <c r="M5292" i="7"/>
  <c r="N5292" i="7" s="1"/>
  <c r="M5008" i="7"/>
  <c r="N5008" i="7" s="1"/>
  <c r="M5007" i="7"/>
  <c r="N5007" i="7" s="1"/>
  <c r="M5006" i="7"/>
  <c r="N5006" i="7" s="1"/>
  <c r="M5005" i="7"/>
  <c r="N5005" i="7" s="1"/>
  <c r="M5284" i="7"/>
  <c r="N5284" i="7" s="1"/>
  <c r="M5011" i="7"/>
  <c r="N5011" i="7" s="1"/>
  <c r="M5003" i="7"/>
  <c r="N5003" i="7" s="1"/>
  <c r="M5010" i="7"/>
  <c r="N5010" i="7" s="1"/>
  <c r="M5012" i="7"/>
  <c r="N5012" i="7" s="1"/>
  <c r="M4813" i="7"/>
  <c r="N4813" i="7" s="1"/>
  <c r="M4812" i="7"/>
  <c r="N4812" i="7" s="1"/>
  <c r="M5004" i="7"/>
  <c r="N5004" i="7" s="1"/>
  <c r="M4811" i="7"/>
  <c r="N4811" i="7" s="1"/>
  <c r="M4923" i="7"/>
  <c r="N4923" i="7" s="1"/>
  <c r="M4810" i="7"/>
  <c r="N4810" i="7" s="1"/>
  <c r="M4682" i="7"/>
  <c r="N4682" i="7" s="1"/>
  <c r="M4560" i="7"/>
  <c r="N4560" i="7" s="1"/>
  <c r="M4480" i="7"/>
  <c r="N4480" i="7" s="1"/>
  <c r="M4472" i="7"/>
  <c r="N4472" i="7" s="1"/>
  <c r="M4352" i="7"/>
  <c r="N4352" i="7" s="1"/>
  <c r="M4240" i="7"/>
  <c r="N4240" i="7" s="1"/>
  <c r="M4088" i="7"/>
  <c r="N4088" i="7" s="1"/>
  <c r="M4559" i="7"/>
  <c r="N4559" i="7" s="1"/>
  <c r="M4479" i="7"/>
  <c r="N4479" i="7" s="1"/>
  <c r="M4471" i="7"/>
  <c r="N4471" i="7" s="1"/>
  <c r="M4351" i="7"/>
  <c r="N4351" i="7" s="1"/>
  <c r="M4239" i="7"/>
  <c r="N4239" i="7" s="1"/>
  <c r="M4087" i="7"/>
  <c r="N4087" i="7" s="1"/>
  <c r="M4478" i="7"/>
  <c r="N4478" i="7" s="1"/>
  <c r="M4470" i="7"/>
  <c r="N4470" i="7" s="1"/>
  <c r="M4477" i="7"/>
  <c r="N4477" i="7" s="1"/>
  <c r="M4476" i="7"/>
  <c r="N4476" i="7" s="1"/>
  <c r="M4475" i="7"/>
  <c r="N4475" i="7" s="1"/>
  <c r="M4474" i="7"/>
  <c r="N4474" i="7" s="1"/>
  <c r="M4683" i="7"/>
  <c r="N4683" i="7" s="1"/>
  <c r="M4561" i="7"/>
  <c r="N4561" i="7" s="1"/>
  <c r="M4473" i="7"/>
  <c r="N4473" i="7" s="1"/>
  <c r="M3886" i="7"/>
  <c r="N3886" i="7" s="1"/>
  <c r="M3798" i="7"/>
  <c r="N3798" i="7" s="1"/>
  <c r="M3662" i="7"/>
  <c r="N3662" i="7" s="1"/>
  <c r="M3885" i="7"/>
  <c r="N3885" i="7" s="1"/>
  <c r="M3797" i="7"/>
  <c r="N3797" i="7" s="1"/>
  <c r="M4006" i="7"/>
  <c r="N4006" i="7" s="1"/>
  <c r="M3884" i="7"/>
  <c r="N3884" i="7" s="1"/>
  <c r="M3796" i="7"/>
  <c r="N3796" i="7" s="1"/>
  <c r="M3564" i="7"/>
  <c r="N3564" i="7" s="1"/>
  <c r="M3428" i="7"/>
  <c r="N3428" i="7" s="1"/>
  <c r="M3883" i="7"/>
  <c r="N3883" i="7" s="1"/>
  <c r="M3563" i="7"/>
  <c r="N3563" i="7" s="1"/>
  <c r="M3882" i="7"/>
  <c r="N3882" i="7" s="1"/>
  <c r="M3562" i="7"/>
  <c r="N3562" i="7" s="1"/>
  <c r="M3561" i="7"/>
  <c r="N3561" i="7" s="1"/>
  <c r="M4090" i="7"/>
  <c r="N4090" i="7" s="1"/>
  <c r="M3664" i="7"/>
  <c r="N3664" i="7" s="1"/>
  <c r="M3560" i="7"/>
  <c r="N3560" i="7" s="1"/>
  <c r="M3424" i="7"/>
  <c r="N3424" i="7" s="1"/>
  <c r="M4089" i="7"/>
  <c r="N4089" i="7" s="1"/>
  <c r="M3663" i="7"/>
  <c r="N3663" i="7" s="1"/>
  <c r="M3099" i="7"/>
  <c r="N3099" i="7" s="1"/>
  <c r="M2995" i="7"/>
  <c r="N2995" i="7" s="1"/>
  <c r="M3098" i="7"/>
  <c r="N3098" i="7" s="1"/>
  <c r="M2994" i="7"/>
  <c r="N2994" i="7" s="1"/>
  <c r="M2993" i="7"/>
  <c r="N2993" i="7" s="1"/>
  <c r="M3430" i="7"/>
  <c r="N3430" i="7" s="1"/>
  <c r="M3296" i="7"/>
  <c r="N3296" i="7" s="1"/>
  <c r="M2992" i="7"/>
  <c r="N2992" i="7" s="1"/>
  <c r="M3429" i="7"/>
  <c r="N3429" i="7" s="1"/>
  <c r="M3427" i="7"/>
  <c r="N3427" i="7" s="1"/>
  <c r="M3295" i="7"/>
  <c r="N3295" i="7" s="1"/>
  <c r="M2991" i="7"/>
  <c r="N2991" i="7" s="1"/>
  <c r="M2871" i="7"/>
  <c r="N2871" i="7" s="1"/>
  <c r="M3426" i="7"/>
  <c r="N3426" i="7" s="1"/>
  <c r="M3294" i="7"/>
  <c r="N3294" i="7" s="1"/>
  <c r="M3102" i="7"/>
  <c r="N3102" i="7" s="1"/>
  <c r="M2990" i="7"/>
  <c r="N2990" i="7" s="1"/>
  <c r="M3425" i="7"/>
  <c r="N3425" i="7" s="1"/>
  <c r="M3101" i="7"/>
  <c r="N3101" i="7" s="1"/>
  <c r="M3100" i="7"/>
  <c r="N3100" i="7" s="1"/>
  <c r="M2732" i="7"/>
  <c r="N2732" i="7" s="1"/>
  <c r="M2612" i="7"/>
  <c r="N2612" i="7" s="1"/>
  <c r="M2388" i="7"/>
  <c r="N2388" i="7" s="1"/>
  <c r="M2260" i="7"/>
  <c r="N2260" i="7" s="1"/>
  <c r="M2731" i="7"/>
  <c r="N2731" i="7" s="1"/>
  <c r="M2611" i="7"/>
  <c r="N2611" i="7" s="1"/>
  <c r="M2387" i="7"/>
  <c r="N2387" i="7" s="1"/>
  <c r="M2730" i="7"/>
  <c r="N2730" i="7" s="1"/>
  <c r="M2610" i="7"/>
  <c r="N2610" i="7" s="1"/>
  <c r="M2506" i="7"/>
  <c r="N2506" i="7" s="1"/>
  <c r="M2729" i="7"/>
  <c r="N2729" i="7" s="1"/>
  <c r="M2609" i="7"/>
  <c r="N2609" i="7" s="1"/>
  <c r="M2505" i="7"/>
  <c r="N2505" i="7" s="1"/>
  <c r="M2385" i="7"/>
  <c r="N2385" i="7" s="1"/>
  <c r="M2257" i="7"/>
  <c r="N2257" i="7" s="1"/>
  <c r="M2504" i="7"/>
  <c r="N2504" i="7" s="1"/>
  <c r="M2384" i="7"/>
  <c r="N2384" i="7" s="1"/>
  <c r="M2615" i="7"/>
  <c r="N2615" i="7" s="1"/>
  <c r="M2503" i="7"/>
  <c r="N2503" i="7" s="1"/>
  <c r="M2873" i="7"/>
  <c r="N2873" i="7" s="1"/>
  <c r="M2614" i="7"/>
  <c r="N2614" i="7" s="1"/>
  <c r="M2502" i="7"/>
  <c r="N2502" i="7" s="1"/>
  <c r="M2872" i="7"/>
  <c r="N2872" i="7" s="1"/>
  <c r="M2613" i="7"/>
  <c r="N2613" i="7" s="1"/>
  <c r="M2501" i="7"/>
  <c r="N2501" i="7" s="1"/>
  <c r="M2389" i="7"/>
  <c r="N2389" i="7" s="1"/>
  <c r="M2261" i="7"/>
  <c r="N2261" i="7" s="1"/>
  <c r="M2259" i="7"/>
  <c r="N2259" i="7" s="1"/>
  <c r="M2071" i="7"/>
  <c r="N2071" i="7" s="1"/>
  <c r="M1895" i="7"/>
  <c r="N1895" i="7" s="1"/>
  <c r="M1735" i="7"/>
  <c r="N1735" i="7" s="1"/>
  <c r="M2258" i="7"/>
  <c r="N2258" i="7" s="1"/>
  <c r="M2256" i="7"/>
  <c r="N2256" i="7" s="1"/>
  <c r="M2070" i="7"/>
  <c r="N2070" i="7" s="1"/>
  <c r="M1894" i="7"/>
  <c r="N1894" i="7" s="1"/>
  <c r="M1734" i="7"/>
  <c r="N1734" i="7" s="1"/>
  <c r="M2255" i="7"/>
  <c r="N2255" i="7" s="1"/>
  <c r="M2077" i="7"/>
  <c r="N2077" i="7" s="1"/>
  <c r="M1893" i="7"/>
  <c r="N1893" i="7" s="1"/>
  <c r="M1741" i="7"/>
  <c r="N1741" i="7" s="1"/>
  <c r="M1733" i="7"/>
  <c r="N1733" i="7" s="1"/>
  <c r="M2254" i="7"/>
  <c r="N2254" i="7" s="1"/>
  <c r="M2076" i="7"/>
  <c r="N2076" i="7" s="1"/>
  <c r="M1892" i="7"/>
  <c r="N1892" i="7" s="1"/>
  <c r="M1740" i="7"/>
  <c r="N1740" i="7" s="1"/>
  <c r="M2075" i="7"/>
  <c r="N2075" i="7" s="1"/>
  <c r="M1891" i="7"/>
  <c r="N1891" i="7" s="1"/>
  <c r="M1739" i="7"/>
  <c r="N1739" i="7" s="1"/>
  <c r="M2386" i="7"/>
  <c r="N2386" i="7" s="1"/>
  <c r="M2074" i="7"/>
  <c r="N2074" i="7" s="1"/>
  <c r="M1890" i="7"/>
  <c r="N1890" i="7" s="1"/>
  <c r="M1738" i="7"/>
  <c r="N1738" i="7" s="1"/>
  <c r="M2073" i="7"/>
  <c r="N2073" i="7" s="1"/>
  <c r="M1897" i="7"/>
  <c r="N1897" i="7" s="1"/>
  <c r="M1889" i="7"/>
  <c r="N1889" i="7" s="1"/>
  <c r="M1737" i="7"/>
  <c r="N1737" i="7" s="1"/>
  <c r="M2072" i="7"/>
  <c r="N2072" i="7" s="1"/>
  <c r="M1896" i="7"/>
  <c r="N1896" i="7" s="1"/>
  <c r="M1888" i="7"/>
  <c r="N1888" i="7" s="1"/>
  <c r="M1736" i="7"/>
  <c r="N1736" i="7" s="1"/>
  <c r="M1566" i="7"/>
  <c r="N1566" i="7" s="1"/>
  <c r="M1190" i="7"/>
  <c r="N1190" i="7" s="1"/>
  <c r="M1565" i="7"/>
  <c r="N1565" i="7" s="1"/>
  <c r="M1325" i="7"/>
  <c r="N1325" i="7" s="1"/>
  <c r="M1189" i="7"/>
  <c r="N1189" i="7" s="1"/>
  <c r="M1564" i="7"/>
  <c r="N1564" i="7" s="1"/>
  <c r="M1324" i="7"/>
  <c r="N1324" i="7" s="1"/>
  <c r="M1188" i="7"/>
  <c r="N1188" i="7" s="1"/>
  <c r="M1571" i="7"/>
  <c r="N1571" i="7" s="1"/>
  <c r="M1563" i="7"/>
  <c r="N1563" i="7" s="1"/>
  <c r="M1570" i="7"/>
  <c r="N1570" i="7" s="1"/>
  <c r="M1562" i="7"/>
  <c r="N1562" i="7" s="1"/>
  <c r="M1569" i="7"/>
  <c r="N1569" i="7" s="1"/>
  <c r="M1568" i="7"/>
  <c r="N1568" i="7" s="1"/>
  <c r="M1567" i="7"/>
  <c r="N1567" i="7" s="1"/>
  <c r="M980" i="7"/>
  <c r="N980" i="7" s="1"/>
  <c r="M836" i="7"/>
  <c r="N836" i="7" s="1"/>
  <c r="M828" i="7"/>
  <c r="N828" i="7" s="1"/>
  <c r="M572" i="7"/>
  <c r="N572" i="7" s="1"/>
  <c r="M444" i="7"/>
  <c r="N444" i="7" s="1"/>
  <c r="M835" i="7"/>
  <c r="N835" i="7" s="1"/>
  <c r="M443" i="7"/>
  <c r="N443" i="7" s="1"/>
  <c r="M307" i="7"/>
  <c r="N307" i="7" s="1"/>
  <c r="M834" i="7"/>
  <c r="N834" i="7" s="1"/>
  <c r="M442" i="7"/>
  <c r="N442" i="7" s="1"/>
  <c r="M833" i="7"/>
  <c r="N833" i="7" s="1"/>
  <c r="M449" i="7"/>
  <c r="N449" i="7" s="1"/>
  <c r="M305" i="7"/>
  <c r="N305" i="7" s="1"/>
  <c r="M185" i="7"/>
  <c r="N185" i="7" s="1"/>
  <c r="M984" i="7"/>
  <c r="N984" i="7" s="1"/>
  <c r="M832" i="7"/>
  <c r="N832" i="7" s="1"/>
  <c r="M576" i="7"/>
  <c r="N576" i="7" s="1"/>
  <c r="M983" i="7"/>
  <c r="N983" i="7" s="1"/>
  <c r="M831" i="7"/>
  <c r="N831" i="7" s="1"/>
  <c r="M575" i="7"/>
  <c r="N575" i="7" s="1"/>
  <c r="M447" i="7"/>
  <c r="N447" i="7" s="1"/>
  <c r="M303" i="7"/>
  <c r="N303" i="7" s="1"/>
  <c r="M982" i="7"/>
  <c r="N982" i="7" s="1"/>
  <c r="M830" i="7"/>
  <c r="N830" i="7" s="1"/>
  <c r="M574" i="7"/>
  <c r="N574" i="7" s="1"/>
  <c r="M446" i="7"/>
  <c r="N446" i="7" s="1"/>
  <c r="M981" i="7"/>
  <c r="N981" i="7" s="1"/>
  <c r="M837" i="7"/>
  <c r="N837" i="7" s="1"/>
  <c r="M829" i="7"/>
  <c r="N829" i="7" s="1"/>
  <c r="M573" i="7"/>
  <c r="N573" i="7" s="1"/>
  <c r="M445" i="7"/>
  <c r="N445" i="7" s="1"/>
  <c r="M182" i="7"/>
  <c r="N182" i="7" s="1"/>
  <c r="E540" i="6"/>
  <c r="F540" i="6" s="1"/>
  <c r="E536" i="6"/>
  <c r="F536" i="6" s="1"/>
  <c r="E532" i="6"/>
  <c r="F532" i="6" s="1"/>
  <c r="E528" i="6"/>
  <c r="F528" i="6" s="1"/>
  <c r="E524" i="6"/>
  <c r="F524" i="6" s="1"/>
  <c r="E520" i="6"/>
  <c r="F520" i="6" s="1"/>
  <c r="M191" i="7"/>
  <c r="N191" i="7" s="1"/>
  <c r="M181" i="7"/>
  <c r="N181" i="7" s="1"/>
  <c r="M448" i="7"/>
  <c r="N448" i="7" s="1"/>
  <c r="M306" i="7"/>
  <c r="N306" i="7" s="1"/>
  <c r="M304" i="7"/>
  <c r="N304" i="7" s="1"/>
  <c r="M302" i="7"/>
  <c r="N302" i="7" s="1"/>
  <c r="M190" i="7"/>
  <c r="N190" i="7" s="1"/>
  <c r="E541" i="6"/>
  <c r="F541" i="6" s="1"/>
  <c r="E537" i="6"/>
  <c r="F537" i="6" s="1"/>
  <c r="E533" i="6"/>
  <c r="F533" i="6" s="1"/>
  <c r="E529" i="6"/>
  <c r="F529" i="6" s="1"/>
  <c r="E525" i="6"/>
  <c r="F525" i="6" s="1"/>
  <c r="E521" i="6"/>
  <c r="F521" i="6" s="1"/>
  <c r="M189" i="7"/>
  <c r="N189" i="7" s="1"/>
  <c r="M188" i="7"/>
  <c r="N188" i="7" s="1"/>
  <c r="M187" i="7"/>
  <c r="N187" i="7" s="1"/>
  <c r="M186" i="7"/>
  <c r="N186" i="7" s="1"/>
  <c r="M184" i="7"/>
  <c r="N184" i="7" s="1"/>
  <c r="M183" i="7"/>
  <c r="N183" i="7" s="1"/>
  <c r="M6839" i="7"/>
  <c r="N6839" i="7" s="1"/>
  <c r="M6831" i="7"/>
  <c r="N6831" i="7" s="1"/>
  <c r="M6591" i="7"/>
  <c r="N6591" i="7" s="1"/>
  <c r="M6838" i="7"/>
  <c r="N6838" i="7" s="1"/>
  <c r="M6837" i="7"/>
  <c r="N6837" i="7" s="1"/>
  <c r="M6685" i="7"/>
  <c r="N6685" i="7" s="1"/>
  <c r="M6836" i="7"/>
  <c r="N6836" i="7" s="1"/>
  <c r="M6684" i="7"/>
  <c r="N6684" i="7" s="1"/>
  <c r="M6835" i="7"/>
  <c r="N6835" i="7" s="1"/>
  <c r="M6834" i="7"/>
  <c r="N6834" i="7" s="1"/>
  <c r="M6594" i="7"/>
  <c r="N6594" i="7" s="1"/>
  <c r="M6833" i="7"/>
  <c r="N6833" i="7" s="1"/>
  <c r="M6840" i="7"/>
  <c r="N6840" i="7" s="1"/>
  <c r="M6832" i="7"/>
  <c r="N6832" i="7" s="1"/>
  <c r="M6307" i="7"/>
  <c r="N6307" i="7" s="1"/>
  <c r="M6306" i="7"/>
  <c r="N6306" i="7" s="1"/>
  <c r="M6401" i="7"/>
  <c r="N6401" i="7" s="1"/>
  <c r="M6313" i="7"/>
  <c r="N6313" i="7" s="1"/>
  <c r="M6400" i="7"/>
  <c r="N6400" i="7" s="1"/>
  <c r="M6596" i="7"/>
  <c r="N6596" i="7" s="1"/>
  <c r="M6399" i="7"/>
  <c r="N6399" i="7" s="1"/>
  <c r="M6595" i="7"/>
  <c r="N6595" i="7" s="1"/>
  <c r="M6593" i="7"/>
  <c r="N6593" i="7" s="1"/>
  <c r="M6398" i="7"/>
  <c r="N6398" i="7" s="1"/>
  <c r="M6310" i="7"/>
  <c r="N6310" i="7" s="1"/>
  <c r="M6592" i="7"/>
  <c r="N6592" i="7" s="1"/>
  <c r="M6590" i="7"/>
  <c r="N6590" i="7" s="1"/>
  <c r="M6308" i="7"/>
  <c r="N6308" i="7" s="1"/>
  <c r="M6212" i="7"/>
  <c r="N6212" i="7" s="1"/>
  <c r="M6211" i="7"/>
  <c r="N6211" i="7" s="1"/>
  <c r="M6210" i="7"/>
  <c r="N6210" i="7" s="1"/>
  <c r="M6312" i="7"/>
  <c r="N6312" i="7" s="1"/>
  <c r="M6209" i="7"/>
  <c r="N6209" i="7" s="1"/>
  <c r="M6311" i="7"/>
  <c r="N6311" i="7" s="1"/>
  <c r="M6309" i="7"/>
  <c r="N6309" i="7" s="1"/>
  <c r="M6208" i="7"/>
  <c r="N6208" i="7" s="1"/>
  <c r="M6136" i="7"/>
  <c r="N6136" i="7" s="1"/>
  <c r="M6135" i="7"/>
  <c r="N6135" i="7" s="1"/>
  <c r="M6134" i="7"/>
  <c r="N6134" i="7" s="1"/>
  <c r="M6133" i="7"/>
  <c r="N6133" i="7" s="1"/>
  <c r="M5829" i="7"/>
  <c r="N5829" i="7" s="1"/>
  <c r="M5821" i="7"/>
  <c r="N5821" i="7" s="1"/>
  <c r="M5967" i="7"/>
  <c r="N5967" i="7" s="1"/>
  <c r="M5966" i="7"/>
  <c r="N5966" i="7" s="1"/>
  <c r="M5827" i="7"/>
  <c r="N5827" i="7" s="1"/>
  <c r="M5965" i="7"/>
  <c r="N5965" i="7" s="1"/>
  <c r="M5826" i="7"/>
  <c r="N5826" i="7" s="1"/>
  <c r="M5824" i="7"/>
  <c r="N5824" i="7" s="1"/>
  <c r="M5823" i="7"/>
  <c r="N5823" i="7" s="1"/>
  <c r="M5830" i="7"/>
  <c r="N5830" i="7" s="1"/>
  <c r="M5828" i="7"/>
  <c r="N5828" i="7" s="1"/>
  <c r="M5629" i="7"/>
  <c r="N5629" i="7" s="1"/>
  <c r="M5509" i="7"/>
  <c r="N5509" i="7" s="1"/>
  <c r="M5628" i="7"/>
  <c r="N5628" i="7" s="1"/>
  <c r="M5634" i="7"/>
  <c r="N5634" i="7" s="1"/>
  <c r="M5633" i="7"/>
  <c r="N5633" i="7" s="1"/>
  <c r="M5632" i="7"/>
  <c r="N5632" i="7" s="1"/>
  <c r="M5512" i="7"/>
  <c r="N5512" i="7" s="1"/>
  <c r="M5822" i="7"/>
  <c r="N5822" i="7" s="1"/>
  <c r="M5820" i="7"/>
  <c r="N5820" i="7" s="1"/>
  <c r="M5631" i="7"/>
  <c r="N5631" i="7" s="1"/>
  <c r="M5511" i="7"/>
  <c r="N5511" i="7" s="1"/>
  <c r="M5825" i="7"/>
  <c r="N5825" i="7" s="1"/>
  <c r="M5630" i="7"/>
  <c r="N5630" i="7" s="1"/>
  <c r="M5510" i="7"/>
  <c r="N5510" i="7" s="1"/>
  <c r="M5352" i="7"/>
  <c r="N5352" i="7" s="1"/>
  <c r="M5351" i="7"/>
  <c r="N5351" i="7" s="1"/>
  <c r="M5350" i="7"/>
  <c r="N5350" i="7" s="1"/>
  <c r="M5356" i="7"/>
  <c r="N5356" i="7" s="1"/>
  <c r="M5355" i="7"/>
  <c r="N5355" i="7" s="1"/>
  <c r="M5354" i="7"/>
  <c r="N5354" i="7" s="1"/>
  <c r="M5353" i="7"/>
  <c r="N5353" i="7" s="1"/>
  <c r="M5056" i="7"/>
  <c r="N5056" i="7" s="1"/>
  <c r="M5055" i="7"/>
  <c r="N5055" i="7" s="1"/>
  <c r="M5054" i="7"/>
  <c r="N5054" i="7" s="1"/>
  <c r="M5053" i="7"/>
  <c r="N5053" i="7" s="1"/>
  <c r="M4941" i="7"/>
  <c r="N4941" i="7" s="1"/>
  <c r="M5052" i="7"/>
  <c r="N5052" i="7" s="1"/>
  <c r="M5051" i="7"/>
  <c r="N5051" i="7" s="1"/>
  <c r="M5050" i="7"/>
  <c r="N5050" i="7" s="1"/>
  <c r="M4849" i="7"/>
  <c r="N4849" i="7" s="1"/>
  <c r="M4848" i="7"/>
  <c r="N4848" i="7" s="1"/>
  <c r="M4942" i="7"/>
  <c r="N4942" i="7" s="1"/>
  <c r="M4940" i="7"/>
  <c r="N4940" i="7" s="1"/>
  <c r="M4939" i="7"/>
  <c r="N4939" i="7" s="1"/>
  <c r="M4853" i="7"/>
  <c r="N4853" i="7" s="1"/>
  <c r="M4852" i="7"/>
  <c r="N4852" i="7" s="1"/>
  <c r="M4851" i="7"/>
  <c r="N4851" i="7" s="1"/>
  <c r="M4850" i="7"/>
  <c r="N4850" i="7" s="1"/>
  <c r="M4576" i="7"/>
  <c r="N4576" i="7" s="1"/>
  <c r="M4512" i="7"/>
  <c r="N4512" i="7" s="1"/>
  <c r="M4264" i="7"/>
  <c r="N4264" i="7" s="1"/>
  <c r="M4112" i="7"/>
  <c r="N4112" i="7" s="1"/>
  <c r="M4511" i="7"/>
  <c r="N4511" i="7" s="1"/>
  <c r="M4111" i="7"/>
  <c r="N4111" i="7" s="1"/>
  <c r="M4700" i="7"/>
  <c r="N4700" i="7" s="1"/>
  <c r="M4510" i="7"/>
  <c r="N4510" i="7" s="1"/>
  <c r="M4374" i="7"/>
  <c r="N4374" i="7" s="1"/>
  <c r="M4110" i="7"/>
  <c r="N4110" i="7" s="1"/>
  <c r="M4699" i="7"/>
  <c r="N4699" i="7" s="1"/>
  <c r="M4509" i="7"/>
  <c r="N4509" i="7" s="1"/>
  <c r="M4373" i="7"/>
  <c r="N4373" i="7" s="1"/>
  <c r="M4109" i="7"/>
  <c r="N4109" i="7" s="1"/>
  <c r="M4580" i="7"/>
  <c r="N4580" i="7" s="1"/>
  <c r="M4508" i="7"/>
  <c r="N4508" i="7" s="1"/>
  <c r="M4108" i="7"/>
  <c r="N4108" i="7" s="1"/>
  <c r="M4579" i="7"/>
  <c r="N4579" i="7" s="1"/>
  <c r="M4507" i="7"/>
  <c r="N4507" i="7" s="1"/>
  <c r="M4107" i="7"/>
  <c r="N4107" i="7" s="1"/>
  <c r="M4578" i="7"/>
  <c r="N4578" i="7" s="1"/>
  <c r="M4506" i="7"/>
  <c r="N4506" i="7" s="1"/>
  <c r="M4266" i="7"/>
  <c r="N4266" i="7" s="1"/>
  <c r="M4577" i="7"/>
  <c r="N4577" i="7" s="1"/>
  <c r="M4265" i="7"/>
  <c r="N4265" i="7" s="1"/>
  <c r="M3902" i="7"/>
  <c r="N3902" i="7" s="1"/>
  <c r="M3598" i="7"/>
  <c r="N3598" i="7" s="1"/>
  <c r="M3901" i="7"/>
  <c r="N3901" i="7" s="1"/>
  <c r="M3685" i="7"/>
  <c r="N3685" i="7" s="1"/>
  <c r="M3597" i="7"/>
  <c r="N3597" i="7" s="1"/>
  <c r="M4034" i="7"/>
  <c r="N4034" i="7" s="1"/>
  <c r="M3684" i="7"/>
  <c r="N3684" i="7" s="1"/>
  <c r="M3596" i="7"/>
  <c r="N3596" i="7" s="1"/>
  <c r="M4033" i="7"/>
  <c r="N4033" i="7" s="1"/>
  <c r="M3907" i="7"/>
  <c r="N3907" i="7" s="1"/>
  <c r="M3595" i="7"/>
  <c r="N3595" i="7" s="1"/>
  <c r="M4032" i="7"/>
  <c r="N4032" i="7" s="1"/>
  <c r="M3906" i="7"/>
  <c r="N3906" i="7" s="1"/>
  <c r="M3826" i="7"/>
  <c r="N3826" i="7" s="1"/>
  <c r="M3594" i="7"/>
  <c r="N3594" i="7" s="1"/>
  <c r="M3450" i="7"/>
  <c r="N3450" i="7" s="1"/>
  <c r="M4031" i="7"/>
  <c r="N4031" i="7" s="1"/>
  <c r="M3905" i="7"/>
  <c r="N3905" i="7" s="1"/>
  <c r="M3825" i="7"/>
  <c r="N3825" i="7" s="1"/>
  <c r="M3593" i="7"/>
  <c r="N3593" i="7" s="1"/>
  <c r="M4106" i="7"/>
  <c r="N4106" i="7" s="1"/>
  <c r="M3904" i="7"/>
  <c r="N3904" i="7" s="1"/>
  <c r="M3824" i="7"/>
  <c r="N3824" i="7" s="1"/>
  <c r="M3600" i="7"/>
  <c r="N3600" i="7" s="1"/>
  <c r="M3448" i="7"/>
  <c r="N3448" i="7" s="1"/>
  <c r="M3903" i="7"/>
  <c r="N3903" i="7" s="1"/>
  <c r="M3599" i="7"/>
  <c r="N3599" i="7" s="1"/>
  <c r="M3331" i="7"/>
  <c r="N3331" i="7" s="1"/>
  <c r="M3123" i="7"/>
  <c r="N3123" i="7" s="1"/>
  <c r="M3330" i="7"/>
  <c r="N3330" i="7" s="1"/>
  <c r="M3122" i="7"/>
  <c r="N3122" i="7" s="1"/>
  <c r="M3026" i="7"/>
  <c r="N3026" i="7" s="1"/>
  <c r="M3329" i="7"/>
  <c r="N3329" i="7" s="1"/>
  <c r="M3121" i="7"/>
  <c r="N3121" i="7" s="1"/>
  <c r="M3025" i="7"/>
  <c r="N3025" i="7" s="1"/>
  <c r="M3328" i="7"/>
  <c r="N3328" i="7" s="1"/>
  <c r="M3024" i="7"/>
  <c r="N3024" i="7" s="1"/>
  <c r="M2896" i="7"/>
  <c r="N2896" i="7" s="1"/>
  <c r="M3327" i="7"/>
  <c r="N3327" i="7" s="1"/>
  <c r="M2895" i="7"/>
  <c r="N2895" i="7" s="1"/>
  <c r="M3326" i="7"/>
  <c r="N3326" i="7" s="1"/>
  <c r="M2894" i="7"/>
  <c r="N2894" i="7" s="1"/>
  <c r="M3451" i="7"/>
  <c r="N3451" i="7" s="1"/>
  <c r="M3449" i="7"/>
  <c r="N3449" i="7" s="1"/>
  <c r="M2764" i="7"/>
  <c r="N2764" i="7" s="1"/>
  <c r="M2628" i="7"/>
  <c r="N2628" i="7" s="1"/>
  <c r="M2540" i="7"/>
  <c r="N2540" i="7" s="1"/>
  <c r="M2300" i="7"/>
  <c r="N2300" i="7" s="1"/>
  <c r="M2893" i="7"/>
  <c r="N2893" i="7" s="1"/>
  <c r="M2763" i="7"/>
  <c r="N2763" i="7" s="1"/>
  <c r="M2627" i="7"/>
  <c r="N2627" i="7" s="1"/>
  <c r="M2539" i="7"/>
  <c r="N2539" i="7" s="1"/>
  <c r="M2299" i="7"/>
  <c r="N2299" i="7" s="1"/>
  <c r="M2762" i="7"/>
  <c r="N2762" i="7" s="1"/>
  <c r="M2538" i="7"/>
  <c r="N2538" i="7" s="1"/>
  <c r="M2761" i="7"/>
  <c r="N2761" i="7" s="1"/>
  <c r="M2297" i="7"/>
  <c r="N2297" i="7" s="1"/>
  <c r="M2768" i="7"/>
  <c r="N2768" i="7" s="1"/>
  <c r="M2767" i="7"/>
  <c r="N2767" i="7" s="1"/>
  <c r="M2407" i="7"/>
  <c r="N2407" i="7" s="1"/>
  <c r="M2766" i="7"/>
  <c r="N2766" i="7" s="1"/>
  <c r="M2630" i="7"/>
  <c r="N2630" i="7" s="1"/>
  <c r="M2406" i="7"/>
  <c r="N2406" i="7" s="1"/>
  <c r="M2302" i="7"/>
  <c r="N2302" i="7" s="1"/>
  <c r="M2765" i="7"/>
  <c r="N2765" i="7" s="1"/>
  <c r="M2629" i="7"/>
  <c r="N2629" i="7" s="1"/>
  <c r="M2541" i="7"/>
  <c r="N2541" i="7" s="1"/>
  <c r="M2405" i="7"/>
  <c r="N2405" i="7" s="1"/>
  <c r="M2301" i="7"/>
  <c r="N2301" i="7" s="1"/>
  <c r="M2095" i="7"/>
  <c r="N2095" i="7" s="1"/>
  <c r="M1927" i="7"/>
  <c r="N1927" i="7" s="1"/>
  <c r="M1783" i="7"/>
  <c r="N1783" i="7" s="1"/>
  <c r="M1775" i="7"/>
  <c r="N1775" i="7" s="1"/>
  <c r="M2298" i="7"/>
  <c r="N2298" i="7" s="1"/>
  <c r="M2094" i="7"/>
  <c r="N2094" i="7" s="1"/>
  <c r="M1926" i="7"/>
  <c r="N1926" i="7" s="1"/>
  <c r="M1782" i="7"/>
  <c r="N1782" i="7" s="1"/>
  <c r="M1774" i="7"/>
  <c r="N1774" i="7" s="1"/>
  <c r="M2093" i="7"/>
  <c r="N2093" i="7" s="1"/>
  <c r="M1925" i="7"/>
  <c r="N1925" i="7" s="1"/>
  <c r="M1781" i="7"/>
  <c r="N1781" i="7" s="1"/>
  <c r="M1924" i="7"/>
  <c r="N1924" i="7" s="1"/>
  <c r="M1780" i="7"/>
  <c r="N1780" i="7" s="1"/>
  <c r="M2303" i="7"/>
  <c r="N2303" i="7" s="1"/>
  <c r="M1779" i="7"/>
  <c r="N1779" i="7" s="1"/>
  <c r="M1930" i="7"/>
  <c r="N1930" i="7" s="1"/>
  <c r="M1778" i="7"/>
  <c r="N1778" i="7" s="1"/>
  <c r="M2097" i="7"/>
  <c r="N2097" i="7" s="1"/>
  <c r="M1929" i="7"/>
  <c r="N1929" i="7" s="1"/>
  <c r="M1777" i="7"/>
  <c r="N1777" i="7" s="1"/>
  <c r="M2096" i="7"/>
  <c r="N2096" i="7" s="1"/>
  <c r="M1928" i="7"/>
  <c r="N1928" i="7" s="1"/>
  <c r="M1784" i="7"/>
  <c r="N1784" i="7" s="1"/>
  <c r="M1776" i="7"/>
  <c r="N1776" i="7" s="1"/>
  <c r="M1630" i="7"/>
  <c r="N1630" i="7" s="1"/>
  <c r="M1230" i="7"/>
  <c r="N1230" i="7" s="1"/>
  <c r="M1629" i="7"/>
  <c r="N1629" i="7" s="1"/>
  <c r="M1229" i="7"/>
  <c r="N1229" i="7" s="1"/>
  <c r="M1628" i="7"/>
  <c r="N1628" i="7" s="1"/>
  <c r="M1228" i="7"/>
  <c r="N1228" i="7" s="1"/>
  <c r="M1627" i="7"/>
  <c r="N1627" i="7" s="1"/>
  <c r="M1227" i="7"/>
  <c r="N1227" i="7" s="1"/>
  <c r="M1003" i="7"/>
  <c r="N1003" i="7" s="1"/>
  <c r="M1626" i="7"/>
  <c r="N1626" i="7" s="1"/>
  <c r="M1226" i="7"/>
  <c r="N1226" i="7" s="1"/>
  <c r="M1633" i="7"/>
  <c r="N1633" i="7" s="1"/>
  <c r="M1345" i="7"/>
  <c r="N1345" i="7" s="1"/>
  <c r="M1632" i="7"/>
  <c r="N1632" i="7" s="1"/>
  <c r="M1344" i="7"/>
  <c r="N1344" i="7" s="1"/>
  <c r="M1631" i="7"/>
  <c r="N1631" i="7" s="1"/>
  <c r="M588" i="7"/>
  <c r="N588" i="7" s="1"/>
  <c r="M492" i="7"/>
  <c r="N492" i="7" s="1"/>
  <c r="M324" i="7"/>
  <c r="N324" i="7" s="1"/>
  <c r="M1005" i="7"/>
  <c r="N1005" i="7" s="1"/>
  <c r="M499" i="7"/>
  <c r="N499" i="7" s="1"/>
  <c r="M491" i="7"/>
  <c r="N491" i="7" s="1"/>
  <c r="M1004" i="7"/>
  <c r="N1004" i="7" s="1"/>
  <c r="M1002" i="7"/>
  <c r="N1002" i="7" s="1"/>
  <c r="M498" i="7"/>
  <c r="N498" i="7" s="1"/>
  <c r="M490" i="7"/>
  <c r="N490" i="7" s="1"/>
  <c r="M1001" i="7"/>
  <c r="N1001" i="7" s="1"/>
  <c r="M873" i="7"/>
  <c r="N873" i="7" s="1"/>
  <c r="M593" i="7"/>
  <c r="N593" i="7" s="1"/>
  <c r="M497" i="7"/>
  <c r="N497" i="7" s="1"/>
  <c r="M217" i="7"/>
  <c r="N217" i="7" s="1"/>
  <c r="M1000" i="7"/>
  <c r="N1000" i="7" s="1"/>
  <c r="M872" i="7"/>
  <c r="N872" i="7" s="1"/>
  <c r="M592" i="7"/>
  <c r="N592" i="7" s="1"/>
  <c r="M496" i="7"/>
  <c r="N496" i="7" s="1"/>
  <c r="M871" i="7"/>
  <c r="N871" i="7" s="1"/>
  <c r="M591" i="7"/>
  <c r="N591" i="7" s="1"/>
  <c r="M495" i="7"/>
  <c r="N495" i="7" s="1"/>
  <c r="M870" i="7"/>
  <c r="N870" i="7" s="1"/>
  <c r="M590" i="7"/>
  <c r="N590" i="7" s="1"/>
  <c r="M494" i="7"/>
  <c r="N494" i="7" s="1"/>
  <c r="M589" i="7"/>
  <c r="N589" i="7" s="1"/>
  <c r="M493" i="7"/>
  <c r="N493" i="7" s="1"/>
  <c r="M326" i="7"/>
  <c r="N326" i="7" s="1"/>
  <c r="E772" i="6"/>
  <c r="F772" i="6" s="1"/>
  <c r="E768" i="6"/>
  <c r="F768" i="6" s="1"/>
  <c r="E764" i="6"/>
  <c r="F764" i="6" s="1"/>
  <c r="E760" i="6"/>
  <c r="F760" i="6" s="1"/>
  <c r="E756" i="6"/>
  <c r="F756" i="6" s="1"/>
  <c r="E752" i="6"/>
  <c r="F752" i="6" s="1"/>
  <c r="M325" i="7"/>
  <c r="N325" i="7" s="1"/>
  <c r="M222" i="7"/>
  <c r="N222" i="7" s="1"/>
  <c r="E773" i="6"/>
  <c r="F773" i="6" s="1"/>
  <c r="E769" i="6"/>
  <c r="F769" i="6" s="1"/>
  <c r="E765" i="6"/>
  <c r="F765" i="6" s="1"/>
  <c r="E761" i="6"/>
  <c r="F761" i="6" s="1"/>
  <c r="E757" i="6"/>
  <c r="F757" i="6" s="1"/>
  <c r="E753" i="6"/>
  <c r="F753" i="6" s="1"/>
  <c r="M221" i="7"/>
  <c r="N221" i="7" s="1"/>
  <c r="M220" i="7"/>
  <c r="N220" i="7" s="1"/>
  <c r="E774" i="6"/>
  <c r="F774" i="6" s="1"/>
  <c r="E770" i="6"/>
  <c r="F770" i="6" s="1"/>
  <c r="E766" i="6"/>
  <c r="F766" i="6" s="1"/>
  <c r="E762" i="6"/>
  <c r="F762" i="6" s="1"/>
  <c r="E758" i="6"/>
  <c r="F758" i="6" s="1"/>
  <c r="E754" i="6"/>
  <c r="F754" i="6" s="1"/>
  <c r="M219" i="7"/>
  <c r="N219" i="7" s="1"/>
  <c r="M218" i="7"/>
  <c r="N218" i="7" s="1"/>
  <c r="E775" i="6"/>
  <c r="F775" i="6" s="1"/>
  <c r="E771" i="6"/>
  <c r="F771" i="6" s="1"/>
  <c r="E767" i="6"/>
  <c r="F767" i="6" s="1"/>
  <c r="E763" i="6"/>
  <c r="F763" i="6" s="1"/>
  <c r="E759" i="6"/>
  <c r="F759" i="6" s="1"/>
  <c r="E755" i="6"/>
  <c r="F755" i="6" s="1"/>
  <c r="M6735" i="7"/>
  <c r="N6735" i="7" s="1"/>
  <c r="M6703" i="7"/>
  <c r="N6703" i="7" s="1"/>
  <c r="M6738" i="7"/>
  <c r="N6738" i="7" s="1"/>
  <c r="M6737" i="7"/>
  <c r="N6737" i="7" s="1"/>
  <c r="M6736" i="7"/>
  <c r="N6736" i="7" s="1"/>
  <c r="M6459" i="7"/>
  <c r="N6459" i="7" s="1"/>
  <c r="M6458" i="7"/>
  <c r="N6458" i="7" s="1"/>
  <c r="M6457" i="7"/>
  <c r="N6457" i="7" s="1"/>
  <c r="M6456" i="7"/>
  <c r="N6456" i="7" s="1"/>
  <c r="M6246" i="7"/>
  <c r="N6246" i="7" s="1"/>
  <c r="M6461" i="7"/>
  <c r="N6461" i="7" s="1"/>
  <c r="M6460" i="7"/>
  <c r="N6460" i="7" s="1"/>
  <c r="M6249" i="7"/>
  <c r="N6249" i="7" s="1"/>
  <c r="M6248" i="7"/>
  <c r="N6248" i="7" s="1"/>
  <c r="M5987" i="7"/>
  <c r="N5987" i="7" s="1"/>
  <c r="M6247" i="7"/>
  <c r="N6247" i="7" s="1"/>
  <c r="M6232" i="7"/>
  <c r="N6232" i="7" s="1"/>
  <c r="M6231" i="7"/>
  <c r="N6231" i="7" s="1"/>
  <c r="M6157" i="7"/>
  <c r="N6157" i="7" s="1"/>
  <c r="M5691" i="7"/>
  <c r="N5691" i="7" s="1"/>
  <c r="M6016" i="7"/>
  <c r="N6016" i="7" s="1"/>
  <c r="M5878" i="7"/>
  <c r="N5878" i="7" s="1"/>
  <c r="M5541" i="7"/>
  <c r="N5541" i="7" s="1"/>
  <c r="M5540" i="7"/>
  <c r="N5540" i="7" s="1"/>
  <c r="M5694" i="7"/>
  <c r="N5694" i="7" s="1"/>
  <c r="M5648" i="7"/>
  <c r="N5648" i="7" s="1"/>
  <c r="M5693" i="7"/>
  <c r="N5693" i="7" s="1"/>
  <c r="M5647" i="7"/>
  <c r="N5647" i="7" s="1"/>
  <c r="M5692" i="7"/>
  <c r="N5692" i="7" s="1"/>
  <c r="M5401" i="7"/>
  <c r="N5401" i="7" s="1"/>
  <c r="M5105" i="7"/>
  <c r="N5105" i="7" s="1"/>
  <c r="M5104" i="7"/>
  <c r="N5104" i="7" s="1"/>
  <c r="M5103" i="7"/>
  <c r="N5103" i="7" s="1"/>
  <c r="M5102" i="7"/>
  <c r="N5102" i="7" s="1"/>
  <c r="M5101" i="7"/>
  <c r="N5101" i="7" s="1"/>
  <c r="M4957" i="7"/>
  <c r="N4957" i="7" s="1"/>
  <c r="M5100" i="7"/>
  <c r="N5100" i="7" s="1"/>
  <c r="M4958" i="7"/>
  <c r="N4958" i="7" s="1"/>
  <c r="M4956" i="7"/>
  <c r="N4956" i="7" s="1"/>
  <c r="M4889" i="7"/>
  <c r="N4889" i="7" s="1"/>
  <c r="M4718" i="7"/>
  <c r="N4718" i="7" s="1"/>
  <c r="M4717" i="7"/>
  <c r="N4717" i="7" s="1"/>
  <c r="M4716" i="7"/>
  <c r="N4716" i="7" s="1"/>
  <c r="M4959" i="7"/>
  <c r="N4959" i="7" s="1"/>
  <c r="M4890" i="7"/>
  <c r="N4890" i="7" s="1"/>
  <c r="M4612" i="7"/>
  <c r="N4612" i="7" s="1"/>
  <c r="M4168" i="7"/>
  <c r="N4168" i="7" s="1"/>
  <c r="M4633" i="7"/>
  <c r="N4633" i="7" s="1"/>
  <c r="M4611" i="7"/>
  <c r="N4611" i="7" s="1"/>
  <c r="M4167" i="7"/>
  <c r="N4167" i="7" s="1"/>
  <c r="M4610" i="7"/>
  <c r="N4610" i="7" s="1"/>
  <c r="M4590" i="7"/>
  <c r="N4590" i="7" s="1"/>
  <c r="M4390" i="7"/>
  <c r="N4390" i="7" s="1"/>
  <c r="M4166" i="7"/>
  <c r="N4166" i="7" s="1"/>
  <c r="M4609" i="7"/>
  <c r="N4609" i="7" s="1"/>
  <c r="M4165" i="7"/>
  <c r="N4165" i="7" s="1"/>
  <c r="M4164" i="7"/>
  <c r="N4164" i="7" s="1"/>
  <c r="M4427" i="7"/>
  <c r="N4427" i="7" s="1"/>
  <c r="M4163" i="7"/>
  <c r="N4163" i="7" s="1"/>
  <c r="M4614" i="7"/>
  <c r="N4614" i="7" s="1"/>
  <c r="M4426" i="7"/>
  <c r="N4426" i="7" s="1"/>
  <c r="M4613" i="7"/>
  <c r="N4613" i="7" s="1"/>
  <c r="M4425" i="7"/>
  <c r="N4425" i="7" s="1"/>
  <c r="M4169" i="7"/>
  <c r="N4169" i="7" s="1"/>
  <c r="M3925" i="7"/>
  <c r="N3925" i="7" s="1"/>
  <c r="M3508" i="7"/>
  <c r="N3508" i="7" s="1"/>
  <c r="M3476" i="7"/>
  <c r="N3476" i="7" s="1"/>
  <c r="M3850" i="7"/>
  <c r="N3850" i="7" s="1"/>
  <c r="M3961" i="7"/>
  <c r="N3961" i="7" s="1"/>
  <c r="M3713" i="7"/>
  <c r="N3713" i="7" s="1"/>
  <c r="M3960" i="7"/>
  <c r="N3960" i="7" s="1"/>
  <c r="M3712" i="7"/>
  <c r="N3712" i="7" s="1"/>
  <c r="M3624" i="7"/>
  <c r="N3624" i="7" s="1"/>
  <c r="M3711" i="7"/>
  <c r="N3711" i="7" s="1"/>
  <c r="M3507" i="7"/>
  <c r="N3507" i="7" s="1"/>
  <c r="M2939" i="7"/>
  <c r="N2939" i="7" s="1"/>
  <c r="M2938" i="7"/>
  <c r="N2938" i="7" s="1"/>
  <c r="M3209" i="7"/>
  <c r="N3209" i="7" s="1"/>
  <c r="M3208" i="7"/>
  <c r="N3208" i="7" s="1"/>
  <c r="M3207" i="7"/>
  <c r="N3207" i="7" s="1"/>
  <c r="M3063" i="7"/>
  <c r="N3063" i="7" s="1"/>
  <c r="M3206" i="7"/>
  <c r="N3206" i="7" s="1"/>
  <c r="M3205" i="7"/>
  <c r="N3205" i="7" s="1"/>
  <c r="M3141" i="7"/>
  <c r="N3141" i="7" s="1"/>
  <c r="M2940" i="7"/>
  <c r="N2940" i="7" s="1"/>
  <c r="M2652" i="7"/>
  <c r="N2652" i="7" s="1"/>
  <c r="M2651" i="7"/>
  <c r="N2651" i="7" s="1"/>
  <c r="M2650" i="7"/>
  <c r="N2650" i="7" s="1"/>
  <c r="M2649" i="7"/>
  <c r="N2649" i="7" s="1"/>
  <c r="M2448" i="7"/>
  <c r="N2448" i="7" s="1"/>
  <c r="M2937" i="7"/>
  <c r="N2937" i="7" s="1"/>
  <c r="M2792" i="7"/>
  <c r="N2792" i="7" s="1"/>
  <c r="M2423" i="7"/>
  <c r="N2423" i="7" s="1"/>
  <c r="M2653" i="7"/>
  <c r="N2653" i="7" s="1"/>
  <c r="M2167" i="7"/>
  <c r="N2167" i="7" s="1"/>
  <c r="M1975" i="7"/>
  <c r="N1975" i="7" s="1"/>
  <c r="M2166" i="7"/>
  <c r="N2166" i="7" s="1"/>
  <c r="M2165" i="7"/>
  <c r="N2165" i="7" s="1"/>
  <c r="M2164" i="7"/>
  <c r="N2164" i="7" s="1"/>
  <c r="M1793" i="7"/>
  <c r="N1793" i="7" s="1"/>
  <c r="M2168" i="7"/>
  <c r="N2168" i="7" s="1"/>
  <c r="M1976" i="7"/>
  <c r="N1976" i="7" s="1"/>
  <c r="M1438" i="7"/>
  <c r="N1438" i="7" s="1"/>
  <c r="M1437" i="7"/>
  <c r="N1437" i="7" s="1"/>
  <c r="M1365" i="7"/>
  <c r="N1365" i="7" s="1"/>
  <c r="M1093" i="7"/>
  <c r="N1093" i="7" s="1"/>
  <c r="M1436" i="7"/>
  <c r="N1436" i="7" s="1"/>
  <c r="M1435" i="7"/>
  <c r="N1435" i="7" s="1"/>
  <c r="M1091" i="7"/>
  <c r="N1091" i="7" s="1"/>
  <c r="M1434" i="7"/>
  <c r="N1434" i="7" s="1"/>
  <c r="M1266" i="7"/>
  <c r="N1266" i="7" s="1"/>
  <c r="M1090" i="7"/>
  <c r="N1090" i="7" s="1"/>
  <c r="M1026" i="7"/>
  <c r="N1026" i="7" s="1"/>
  <c r="M1439" i="7"/>
  <c r="N1439" i="7" s="1"/>
  <c r="M636" i="7"/>
  <c r="N636" i="7" s="1"/>
  <c r="M380" i="7"/>
  <c r="N380" i="7" s="1"/>
  <c r="M1089" i="7"/>
  <c r="N1089" i="7" s="1"/>
  <c r="M1025" i="7"/>
  <c r="N1025" i="7" s="1"/>
  <c r="M691" i="7"/>
  <c r="N691" i="7" s="1"/>
  <c r="M379" i="7"/>
  <c r="N379" i="7" s="1"/>
  <c r="M1094" i="7"/>
  <c r="N1094" i="7" s="1"/>
  <c r="M1092" i="7"/>
  <c r="N1092" i="7" s="1"/>
  <c r="M1088" i="7"/>
  <c r="N1088" i="7" s="1"/>
  <c r="M690" i="7"/>
  <c r="N690" i="7" s="1"/>
  <c r="M1087" i="7"/>
  <c r="N1087" i="7" s="1"/>
  <c r="M689" i="7"/>
  <c r="N689" i="7" s="1"/>
  <c r="M688" i="7"/>
  <c r="N688" i="7" s="1"/>
  <c r="M911" i="7"/>
  <c r="N911" i="7" s="1"/>
  <c r="M687" i="7"/>
  <c r="N687" i="7" s="1"/>
  <c r="M910" i="7"/>
  <c r="N910" i="7" s="1"/>
  <c r="M21" i="7"/>
  <c r="N21" i="7" s="1"/>
  <c r="M20" i="7"/>
  <c r="N20" i="7" s="1"/>
  <c r="M58" i="7"/>
  <c r="N58" i="7" s="1"/>
  <c r="M57" i="7"/>
  <c r="N57" i="7" s="1"/>
  <c r="M56" i="7"/>
  <c r="N56" i="7" s="1"/>
  <c r="M55" i="7"/>
  <c r="N55" i="7" s="1"/>
  <c r="M6510" i="7"/>
  <c r="N6510" i="7" s="1"/>
  <c r="M6509" i="7"/>
  <c r="N6509" i="7" s="1"/>
  <c r="M6063" i="7"/>
  <c r="N6063" i="7" s="1"/>
  <c r="M6001" i="7"/>
  <c r="N6001" i="7" s="1"/>
  <c r="M5215" i="7"/>
  <c r="N5215" i="7" s="1"/>
  <c r="M5214" i="7"/>
  <c r="N5214" i="7" s="1"/>
  <c r="M5217" i="7"/>
  <c r="N5217" i="7" s="1"/>
  <c r="M5213" i="7"/>
  <c r="N5213" i="7" s="1"/>
  <c r="M5216" i="7"/>
  <c r="N5216" i="7" s="1"/>
  <c r="M5212" i="7"/>
  <c r="N5212" i="7" s="1"/>
  <c r="M3758" i="7"/>
  <c r="N3758" i="7" s="1"/>
  <c r="M3760" i="7"/>
  <c r="N3760" i="7" s="1"/>
  <c r="M3759" i="7"/>
  <c r="N3759" i="7" s="1"/>
  <c r="M3251" i="7"/>
  <c r="N3251" i="7" s="1"/>
  <c r="M3171" i="7"/>
  <c r="N3171" i="7" s="1"/>
  <c r="M3252" i="7"/>
  <c r="N3252" i="7" s="1"/>
  <c r="M2218" i="7"/>
  <c r="N2218" i="7" s="1"/>
  <c r="M1510" i="7"/>
  <c r="N1510" i="7" s="1"/>
  <c r="M1390" i="7"/>
  <c r="N1390" i="7" s="1"/>
  <c r="M1509" i="7"/>
  <c r="N1509" i="7" s="1"/>
  <c r="M1516" i="7"/>
  <c r="N1516" i="7" s="1"/>
  <c r="M1508" i="7"/>
  <c r="N1508" i="7" s="1"/>
  <c r="M1515" i="7"/>
  <c r="N1515" i="7" s="1"/>
  <c r="M1507" i="7"/>
  <c r="N1507" i="7" s="1"/>
  <c r="M1514" i="7"/>
  <c r="N1514" i="7" s="1"/>
  <c r="M1506" i="7"/>
  <c r="N1506" i="7" s="1"/>
  <c r="M1513" i="7"/>
  <c r="N1513" i="7" s="1"/>
  <c r="M1512" i="7"/>
  <c r="N1512" i="7" s="1"/>
  <c r="M1511" i="7"/>
  <c r="N1511" i="7" s="1"/>
  <c r="M649" i="7"/>
  <c r="N649" i="7" s="1"/>
  <c r="M959" i="7"/>
  <c r="N959" i="7" s="1"/>
  <c r="M767" i="7"/>
  <c r="N767" i="7" s="1"/>
  <c r="M766" i="7"/>
  <c r="N766" i="7" s="1"/>
  <c r="M126" i="7"/>
  <c r="N126" i="7" s="1"/>
  <c r="M125" i="7"/>
  <c r="N125" i="7" s="1"/>
  <c r="M130" i="7"/>
  <c r="N130" i="7" s="1"/>
  <c r="M129" i="7"/>
  <c r="N129" i="7" s="1"/>
  <c r="M128" i="7"/>
  <c r="N128" i="7" s="1"/>
  <c r="M127" i="7"/>
  <c r="N127" i="7" s="1"/>
  <c r="M6098" i="7"/>
  <c r="N6098" i="7" s="1"/>
  <c r="M6097" i="7"/>
  <c r="N6097" i="7" s="1"/>
  <c r="M6005" i="7"/>
  <c r="N6005" i="7" s="1"/>
  <c r="M5937" i="7"/>
  <c r="N5937" i="7" s="1"/>
  <c r="M5277" i="7"/>
  <c r="N5277" i="7" s="1"/>
  <c r="M5275" i="7"/>
  <c r="N5275" i="7" s="1"/>
  <c r="M5274" i="7"/>
  <c r="N5274" i="7" s="1"/>
  <c r="M5276" i="7"/>
  <c r="N5276" i="7" s="1"/>
  <c r="M3878" i="7"/>
  <c r="N3878" i="7" s="1"/>
  <c r="M3790" i="7"/>
  <c r="N3790" i="7" s="1"/>
  <c r="M3789" i="7"/>
  <c r="N3789" i="7" s="1"/>
  <c r="M3283" i="7"/>
  <c r="N3283" i="7" s="1"/>
  <c r="M3176" i="7"/>
  <c r="N3176" i="7" s="1"/>
  <c r="M3284" i="7"/>
  <c r="N3284" i="7" s="1"/>
  <c r="M1557" i="7"/>
  <c r="N1557" i="7" s="1"/>
  <c r="M1556" i="7"/>
  <c r="N1556" i="7" s="1"/>
  <c r="M1555" i="7"/>
  <c r="N1555" i="7" s="1"/>
  <c r="M1400" i="7"/>
  <c r="N1400" i="7" s="1"/>
  <c r="M812" i="7"/>
  <c r="N812" i="7" s="1"/>
  <c r="M811" i="7"/>
  <c r="N811" i="7" s="1"/>
  <c r="M659" i="7"/>
  <c r="N659" i="7" s="1"/>
  <c r="M810" i="7"/>
  <c r="N810" i="7" s="1"/>
  <c r="M658" i="7"/>
  <c r="N658" i="7" s="1"/>
  <c r="M809" i="7"/>
  <c r="N809" i="7" s="1"/>
  <c r="M657" i="7"/>
  <c r="N657" i="7" s="1"/>
  <c r="M814" i="7"/>
  <c r="N814" i="7" s="1"/>
  <c r="M973" i="7"/>
  <c r="N973" i="7" s="1"/>
  <c r="M813" i="7"/>
  <c r="N813" i="7" s="1"/>
  <c r="M38" i="7"/>
  <c r="N38" i="7" s="1"/>
  <c r="E492" i="6"/>
  <c r="F492" i="6" s="1"/>
  <c r="E488" i="6"/>
  <c r="F488" i="6" s="1"/>
  <c r="M37" i="7"/>
  <c r="N37" i="7" s="1"/>
  <c r="E493" i="6"/>
  <c r="F493" i="6" s="1"/>
  <c r="E489" i="6"/>
  <c r="F489" i="6" s="1"/>
  <c r="M175" i="7"/>
  <c r="N175" i="7" s="1"/>
  <c r="M174" i="7"/>
  <c r="N174" i="7" s="1"/>
  <c r="M6726" i="7"/>
  <c r="N6726" i="7" s="1"/>
  <c r="M6613" i="7"/>
  <c r="N6613" i="7" s="1"/>
  <c r="M6852" i="7"/>
  <c r="N6852" i="7" s="1"/>
  <c r="M6851" i="7"/>
  <c r="N6851" i="7" s="1"/>
  <c r="M6611" i="7"/>
  <c r="N6611" i="7" s="1"/>
  <c r="M6850" i="7"/>
  <c r="N6850" i="7" s="1"/>
  <c r="M6610" i="7"/>
  <c r="N6610" i="7" s="1"/>
  <c r="M6849" i="7"/>
  <c r="N6849" i="7" s="1"/>
  <c r="M6848" i="7"/>
  <c r="N6848" i="7" s="1"/>
  <c r="M6609" i="7"/>
  <c r="N6609" i="7" s="1"/>
  <c r="M6614" i="7"/>
  <c r="N6614" i="7" s="1"/>
  <c r="M6612" i="7"/>
  <c r="N6612" i="7" s="1"/>
  <c r="M6608" i="7"/>
  <c r="N6608" i="7" s="1"/>
  <c r="M6447" i="7"/>
  <c r="N6447" i="7" s="1"/>
  <c r="M6446" i="7"/>
  <c r="N6446" i="7" s="1"/>
  <c r="M6318" i="7"/>
  <c r="N6318" i="7" s="1"/>
  <c r="M6445" i="7"/>
  <c r="N6445" i="7" s="1"/>
  <c r="M6444" i="7"/>
  <c r="N6444" i="7" s="1"/>
  <c r="M6241" i="7"/>
  <c r="N6241" i="7" s="1"/>
  <c r="M6317" i="7"/>
  <c r="N6317" i="7" s="1"/>
  <c r="M5837" i="7"/>
  <c r="N5837" i="7" s="1"/>
  <c r="M5836" i="7"/>
  <c r="N5836" i="7" s="1"/>
  <c r="M5835" i="7"/>
  <c r="N5835" i="7" s="1"/>
  <c r="M5842" i="7"/>
  <c r="N5842" i="7" s="1"/>
  <c r="M5840" i="7"/>
  <c r="N5840" i="7" s="1"/>
  <c r="M5839" i="7"/>
  <c r="N5839" i="7" s="1"/>
  <c r="M5838" i="7"/>
  <c r="N5838" i="7" s="1"/>
  <c r="M5681" i="7"/>
  <c r="N5681" i="7" s="1"/>
  <c r="M5841" i="7"/>
  <c r="N5841" i="7" s="1"/>
  <c r="M5680" i="7"/>
  <c r="N5680" i="7" s="1"/>
  <c r="M5070" i="7"/>
  <c r="N5070" i="7" s="1"/>
  <c r="M5069" i="7"/>
  <c r="N5069" i="7" s="1"/>
  <c r="M5068" i="7"/>
  <c r="N5068" i="7" s="1"/>
  <c r="M4857" i="7"/>
  <c r="N4857" i="7" s="1"/>
  <c r="M4900" i="7"/>
  <c r="N4900" i="7" s="1"/>
  <c r="M4859" i="7"/>
  <c r="N4859" i="7" s="1"/>
  <c r="M4858" i="7"/>
  <c r="N4858" i="7" s="1"/>
  <c r="M4520" i="7"/>
  <c r="N4520" i="7" s="1"/>
  <c r="M4280" i="7"/>
  <c r="N4280" i="7" s="1"/>
  <c r="M4383" i="7"/>
  <c r="N4383" i="7" s="1"/>
  <c r="M4279" i="7"/>
  <c r="N4279" i="7" s="1"/>
  <c r="M4278" i="7"/>
  <c r="N4278" i="7" s="1"/>
  <c r="M4277" i="7"/>
  <c r="N4277" i="7" s="1"/>
  <c r="M4412" i="7"/>
  <c r="N4412" i="7" s="1"/>
  <c r="M4276" i="7"/>
  <c r="N4276" i="7" s="1"/>
  <c r="M4411" i="7"/>
  <c r="N4411" i="7" s="1"/>
  <c r="M4275" i="7"/>
  <c r="N4275" i="7" s="1"/>
  <c r="M4410" i="7"/>
  <c r="N4410" i="7" s="1"/>
  <c r="M4274" i="7"/>
  <c r="N4274" i="7" s="1"/>
  <c r="M4521" i="7"/>
  <c r="N4521" i="7" s="1"/>
  <c r="M3830" i="7"/>
  <c r="N3830" i="7" s="1"/>
  <c r="M4039" i="7"/>
  <c r="N4039" i="7" s="1"/>
  <c r="M3693" i="7"/>
  <c r="N3693" i="7" s="1"/>
  <c r="M3611" i="7"/>
  <c r="N3611" i="7" s="1"/>
  <c r="M3610" i="7"/>
  <c r="N3610" i="7" s="1"/>
  <c r="M3458" i="7"/>
  <c r="N3458" i="7" s="1"/>
  <c r="M3953" i="7"/>
  <c r="N3953" i="7" s="1"/>
  <c r="M3609" i="7"/>
  <c r="N3609" i="7" s="1"/>
  <c r="M3952" i="7"/>
  <c r="N3952" i="7" s="1"/>
  <c r="M3608" i="7"/>
  <c r="N3608" i="7" s="1"/>
  <c r="M3831" i="7"/>
  <c r="N3831" i="7" s="1"/>
  <c r="M3607" i="7"/>
  <c r="N3607" i="7" s="1"/>
  <c r="M3347" i="7"/>
  <c r="N3347" i="7" s="1"/>
  <c r="M3035" i="7"/>
  <c r="N3035" i="7" s="1"/>
  <c r="M3346" i="7"/>
  <c r="N3346" i="7" s="1"/>
  <c r="M3034" i="7"/>
  <c r="N3034" i="7" s="1"/>
  <c r="M2930" i="7"/>
  <c r="N2930" i="7" s="1"/>
  <c r="M3345" i="7"/>
  <c r="N3345" i="7" s="1"/>
  <c r="M3033" i="7"/>
  <c r="N3033" i="7" s="1"/>
  <c r="M3351" i="7"/>
  <c r="N3351" i="7" s="1"/>
  <c r="M3191" i="7"/>
  <c r="N3191" i="7" s="1"/>
  <c r="M3350" i="7"/>
  <c r="N3350" i="7" s="1"/>
  <c r="M3190" i="7"/>
  <c r="N3190" i="7" s="1"/>
  <c r="M3457" i="7"/>
  <c r="N3457" i="7" s="1"/>
  <c r="M3349" i="7"/>
  <c r="N3349" i="7" s="1"/>
  <c r="M3189" i="7"/>
  <c r="N3189" i="7" s="1"/>
  <c r="M3348" i="7"/>
  <c r="N3348" i="7" s="1"/>
  <c r="M3036" i="7"/>
  <c r="N3036" i="7" s="1"/>
  <c r="M2772" i="7"/>
  <c r="N2772" i="7" s="1"/>
  <c r="M2556" i="7"/>
  <c r="N2556" i="7" s="1"/>
  <c r="M2308" i="7"/>
  <c r="N2308" i="7" s="1"/>
  <c r="M2771" i="7"/>
  <c r="N2771" i="7" s="1"/>
  <c r="M2555" i="7"/>
  <c r="N2555" i="7" s="1"/>
  <c r="M2770" i="7"/>
  <c r="N2770" i="7" s="1"/>
  <c r="M2554" i="7"/>
  <c r="N2554" i="7" s="1"/>
  <c r="M2553" i="7"/>
  <c r="N2553" i="7" s="1"/>
  <c r="M2552" i="7"/>
  <c r="N2552" i="7" s="1"/>
  <c r="M2312" i="7"/>
  <c r="N2312" i="7" s="1"/>
  <c r="M2558" i="7"/>
  <c r="N2558" i="7" s="1"/>
  <c r="M2310" i="7"/>
  <c r="N2310" i="7" s="1"/>
  <c r="M2929" i="7"/>
  <c r="N2929" i="7" s="1"/>
  <c r="M2557" i="7"/>
  <c r="N2557" i="7" s="1"/>
  <c r="M2309" i="7"/>
  <c r="N2309" i="7" s="1"/>
  <c r="M2311" i="7"/>
  <c r="N2311" i="7" s="1"/>
  <c r="M1943" i="7"/>
  <c r="N1943" i="7" s="1"/>
  <c r="M1942" i="7"/>
  <c r="N1942" i="7" s="1"/>
  <c r="M1941" i="7"/>
  <c r="N1941" i="7" s="1"/>
  <c r="M2148" i="7"/>
  <c r="N2148" i="7" s="1"/>
  <c r="M2004" i="7"/>
  <c r="N2004" i="7" s="1"/>
  <c r="M1940" i="7"/>
  <c r="N1940" i="7" s="1"/>
  <c r="M1939" i="7"/>
  <c r="N1939" i="7" s="1"/>
  <c r="M1938" i="7"/>
  <c r="N1938" i="7" s="1"/>
  <c r="M2105" i="7"/>
  <c r="N2105" i="7" s="1"/>
  <c r="M1944" i="7"/>
  <c r="N1944" i="7" s="1"/>
  <c r="M1244" i="7"/>
  <c r="N1244" i="7" s="1"/>
  <c r="M1243" i="7"/>
  <c r="N1243" i="7" s="1"/>
  <c r="M1242" i="7"/>
  <c r="N1242" i="7" s="1"/>
  <c r="M1058" i="7"/>
  <c r="N1058" i="7" s="1"/>
  <c r="M1241" i="7"/>
  <c r="N1241" i="7" s="1"/>
  <c r="M1057" i="7"/>
  <c r="N1057" i="7" s="1"/>
  <c r="M371" i="7"/>
  <c r="N371" i="7" s="1"/>
  <c r="M506" i="7"/>
  <c r="N506" i="7" s="1"/>
  <c r="M369" i="7"/>
  <c r="N369" i="7" s="1"/>
  <c r="M370" i="7"/>
  <c r="N370" i="7" s="1"/>
  <c r="E840" i="6"/>
  <c r="F840" i="6" s="1"/>
  <c r="E836" i="6"/>
  <c r="F836" i="6" s="1"/>
  <c r="E832" i="6"/>
  <c r="F832" i="6" s="1"/>
  <c r="E828" i="6"/>
  <c r="F828" i="6" s="1"/>
  <c r="E824" i="6"/>
  <c r="F824" i="6" s="1"/>
  <c r="E837" i="6"/>
  <c r="F837" i="6" s="1"/>
  <c r="E833" i="6"/>
  <c r="F833" i="6" s="1"/>
  <c r="E829" i="6"/>
  <c r="F829" i="6" s="1"/>
  <c r="E825" i="6"/>
  <c r="F825" i="6" s="1"/>
  <c r="E838" i="6"/>
  <c r="F838" i="6" s="1"/>
  <c r="E834" i="6"/>
  <c r="F834" i="6" s="1"/>
  <c r="E830" i="6"/>
  <c r="F830" i="6" s="1"/>
  <c r="E826" i="6"/>
  <c r="F826" i="6" s="1"/>
  <c r="E822" i="6"/>
  <c r="F822" i="6" s="1"/>
  <c r="E839" i="6"/>
  <c r="F839" i="6" s="1"/>
  <c r="E835" i="6"/>
  <c r="F835" i="6" s="1"/>
  <c r="E831" i="6"/>
  <c r="F831" i="6" s="1"/>
  <c r="E827" i="6"/>
  <c r="F827" i="6" s="1"/>
  <c r="E823" i="6"/>
  <c r="F823" i="6" s="1"/>
  <c r="M6695" i="7"/>
  <c r="N6695" i="7" s="1"/>
  <c r="M6709" i="7"/>
  <c r="N6709" i="7" s="1"/>
  <c r="M6860" i="7"/>
  <c r="N6860" i="7" s="1"/>
  <c r="M6708" i="7"/>
  <c r="N6708" i="7" s="1"/>
  <c r="M6417" i="7"/>
  <c r="N6417" i="7" s="1"/>
  <c r="M6415" i="7"/>
  <c r="N6415" i="7" s="1"/>
  <c r="M6414" i="7"/>
  <c r="N6414" i="7" s="1"/>
  <c r="M6222" i="7"/>
  <c r="N6222" i="7" s="1"/>
  <c r="M6257" i="7"/>
  <c r="N6257" i="7" s="1"/>
  <c r="M6235" i="7"/>
  <c r="N6235" i="7" s="1"/>
  <c r="M5715" i="7"/>
  <c r="N5715" i="7" s="1"/>
  <c r="M5864" i="7"/>
  <c r="N5864" i="7" s="1"/>
  <c r="M5863" i="7"/>
  <c r="N5863" i="7" s="1"/>
  <c r="M5862" i="7"/>
  <c r="N5862" i="7" s="1"/>
  <c r="M5535" i="7"/>
  <c r="N5535" i="7" s="1"/>
  <c r="M5166" i="7"/>
  <c r="N5166" i="7" s="1"/>
  <c r="M5161" i="7"/>
  <c r="N5161" i="7" s="1"/>
  <c r="M5165" i="7"/>
  <c r="N5165" i="7" s="1"/>
  <c r="M5164" i="7"/>
  <c r="N5164" i="7" s="1"/>
  <c r="M5084" i="7"/>
  <c r="N5084" i="7" s="1"/>
  <c r="M5163" i="7"/>
  <c r="N5163" i="7" s="1"/>
  <c r="M5162" i="7"/>
  <c r="N5162" i="7" s="1"/>
  <c r="M4951" i="7"/>
  <c r="N4951" i="7" s="1"/>
  <c r="M4882" i="7"/>
  <c r="N4882" i="7" s="1"/>
  <c r="M4399" i="7"/>
  <c r="N4399" i="7" s="1"/>
  <c r="M4421" i="7"/>
  <c r="N4421" i="7" s="1"/>
  <c r="M4618" i="7"/>
  <c r="N4618" i="7" s="1"/>
  <c r="M4420" i="7"/>
  <c r="N4420" i="7" s="1"/>
  <c r="M4124" i="7"/>
  <c r="N4124" i="7" s="1"/>
  <c r="M4123" i="7"/>
  <c r="N4123" i="7" s="1"/>
  <c r="M4418" i="7"/>
  <c r="N4418" i="7" s="1"/>
  <c r="M4130" i="7"/>
  <c r="N4130" i="7" s="1"/>
  <c r="M3916" i="7"/>
  <c r="N3916" i="7" s="1"/>
  <c r="M3700" i="7"/>
  <c r="N3700" i="7" s="1"/>
  <c r="M4129" i="7"/>
  <c r="N4129" i="7" s="1"/>
  <c r="M3929" i="7"/>
  <c r="N3929" i="7" s="1"/>
  <c r="M3696" i="7"/>
  <c r="N3696" i="7" s="1"/>
  <c r="M2794" i="7"/>
  <c r="N2794" i="7" s="1"/>
  <c r="M3166" i="7"/>
  <c r="N3166" i="7" s="1"/>
  <c r="M3142" i="7"/>
  <c r="N3142" i="7" s="1"/>
  <c r="M3165" i="7"/>
  <c r="N3165" i="7" s="1"/>
  <c r="M2916" i="7"/>
  <c r="N2916" i="7" s="1"/>
  <c r="M2417" i="7"/>
  <c r="N2417" i="7" s="1"/>
  <c r="M2414" i="7"/>
  <c r="N2414" i="7" s="1"/>
  <c r="M1983" i="7"/>
  <c r="N1983" i="7" s="1"/>
  <c r="M2418" i="7"/>
  <c r="N2418" i="7" s="1"/>
  <c r="M2013" i="7"/>
  <c r="N2013" i="7" s="1"/>
  <c r="M2132" i="7"/>
  <c r="N2132" i="7" s="1"/>
  <c r="M2116" i="7"/>
  <c r="N2116" i="7" s="1"/>
  <c r="M2012" i="7"/>
  <c r="N2012" i="7" s="1"/>
  <c r="M1985" i="7"/>
  <c r="N1985" i="7" s="1"/>
  <c r="M1984" i="7"/>
  <c r="N1984" i="7" s="1"/>
  <c r="M1382" i="7"/>
  <c r="N1382" i="7" s="1"/>
  <c r="M1381" i="7"/>
  <c r="N1381" i="7" s="1"/>
  <c r="M1061" i="7"/>
  <c r="N1061" i="7" s="1"/>
  <c r="M1380" i="7"/>
  <c r="N1380" i="7" s="1"/>
  <c r="M1384" i="7"/>
  <c r="N1384" i="7" s="1"/>
  <c r="M1383" i="7"/>
  <c r="N1383" i="7" s="1"/>
  <c r="M1068" i="7"/>
  <c r="N1068" i="7" s="1"/>
  <c r="M1036" i="7"/>
  <c r="N1036" i="7" s="1"/>
  <c r="M620" i="7"/>
  <c r="N620" i="7" s="1"/>
  <c r="M739" i="7"/>
  <c r="N739" i="7" s="1"/>
  <c r="M643" i="7"/>
  <c r="N643" i="7" s="1"/>
  <c r="M619" i="7"/>
  <c r="N619" i="7" s="1"/>
  <c r="M621" i="7"/>
  <c r="N621" i="7" s="1"/>
  <c r="M350" i="7"/>
  <c r="N350" i="7" s="1"/>
  <c r="M28" i="7"/>
  <c r="N28" i="7" s="1"/>
  <c r="M27" i="7"/>
  <c r="N27" i="7" s="1"/>
  <c r="M3" i="7"/>
  <c r="N3" i="7" s="1"/>
  <c r="E2" i="6"/>
  <c r="F2" i="6" s="1"/>
  <c r="E6" i="6"/>
  <c r="F6" i="6" s="1"/>
  <c r="E10" i="6"/>
  <c r="F10" i="6" s="1"/>
  <c r="E14" i="6"/>
  <c r="F14" i="6" s="1"/>
  <c r="E18" i="6"/>
  <c r="F18" i="6" s="1"/>
  <c r="E22" i="6"/>
  <c r="F22" i="6" s="1"/>
  <c r="E26" i="6"/>
  <c r="F26" i="6" s="1"/>
  <c r="E30" i="6"/>
  <c r="F30" i="6" s="1"/>
  <c r="E34" i="6"/>
  <c r="F34" i="6" s="1"/>
  <c r="E38" i="6"/>
  <c r="F38" i="6" s="1"/>
  <c r="E42" i="6"/>
  <c r="F42" i="6" s="1"/>
  <c r="E46" i="6"/>
  <c r="F46" i="6" s="1"/>
  <c r="E50" i="6"/>
  <c r="F50" i="6" s="1"/>
  <c r="E54" i="6"/>
  <c r="F54" i="6" s="1"/>
  <c r="E58" i="6"/>
  <c r="F58" i="6" s="1"/>
  <c r="E62" i="6"/>
  <c r="F62" i="6" s="1"/>
  <c r="E66" i="6"/>
  <c r="F66" i="6" s="1"/>
  <c r="E70" i="6"/>
  <c r="F70" i="6" s="1"/>
  <c r="E74" i="6"/>
  <c r="F74" i="6" s="1"/>
  <c r="E78" i="6"/>
  <c r="F78" i="6" s="1"/>
  <c r="E82" i="6"/>
  <c r="F82" i="6" s="1"/>
  <c r="E86" i="6"/>
  <c r="F86" i="6" s="1"/>
  <c r="E90" i="6"/>
  <c r="F90" i="6" s="1"/>
  <c r="E94" i="6"/>
  <c r="F94" i="6" s="1"/>
  <c r="E98" i="6"/>
  <c r="F98" i="6" s="1"/>
  <c r="E102" i="6"/>
  <c r="F102" i="6" s="1"/>
  <c r="E113" i="6"/>
  <c r="F113" i="6" s="1"/>
  <c r="E120" i="6"/>
  <c r="F120" i="6" s="1"/>
  <c r="E127" i="6"/>
  <c r="F127" i="6" s="1"/>
  <c r="E134" i="6"/>
  <c r="F134" i="6" s="1"/>
  <c r="E150" i="6"/>
  <c r="F150" i="6" s="1"/>
  <c r="E166" i="6"/>
  <c r="F166" i="6" s="1"/>
  <c r="E169" i="6"/>
  <c r="F169" i="6" s="1"/>
  <c r="E192" i="6"/>
  <c r="F192" i="6" s="1"/>
  <c r="E195" i="6"/>
  <c r="F195" i="6" s="1"/>
  <c r="E198" i="6"/>
  <c r="F198" i="6" s="1"/>
  <c r="E201" i="6"/>
  <c r="F201" i="6" s="1"/>
  <c r="E224" i="6"/>
  <c r="F224" i="6" s="1"/>
  <c r="E227" i="6"/>
  <c r="F227" i="6" s="1"/>
  <c r="E230" i="6"/>
  <c r="F230" i="6" s="1"/>
  <c r="E233" i="6"/>
  <c r="F233" i="6" s="1"/>
  <c r="E241" i="6"/>
  <c r="F241" i="6" s="1"/>
  <c r="E249" i="6"/>
  <c r="F249" i="6" s="1"/>
  <c r="E257" i="6"/>
  <c r="F257" i="6" s="1"/>
  <c r="E265" i="6"/>
  <c r="F265" i="6" s="1"/>
  <c r="E273" i="6"/>
  <c r="F273" i="6" s="1"/>
  <c r="E281" i="6"/>
  <c r="F281" i="6" s="1"/>
  <c r="E289" i="6"/>
  <c r="F289" i="6" s="1"/>
  <c r="E297" i="6"/>
  <c r="F297" i="6" s="1"/>
  <c r="E305" i="6"/>
  <c r="F305" i="6" s="1"/>
  <c r="E313" i="6"/>
  <c r="F313" i="6" s="1"/>
  <c r="E321" i="6"/>
  <c r="F321" i="6" s="1"/>
  <c r="E329" i="6"/>
  <c r="F329" i="6" s="1"/>
  <c r="E337" i="6"/>
  <c r="F337" i="6" s="1"/>
  <c r="E345" i="6"/>
  <c r="F345" i="6" s="1"/>
  <c r="E353" i="6"/>
  <c r="F353" i="6" s="1"/>
  <c r="E361" i="6"/>
  <c r="F361" i="6" s="1"/>
  <c r="E369" i="6"/>
  <c r="F369" i="6" s="1"/>
  <c r="E377" i="6"/>
  <c r="F377" i="6" s="1"/>
  <c r="E385" i="6"/>
  <c r="F385" i="6" s="1"/>
  <c r="E393" i="6"/>
  <c r="F393" i="6" s="1"/>
  <c r="E401" i="6"/>
  <c r="F401" i="6" s="1"/>
  <c r="E409" i="6"/>
  <c r="F409" i="6" s="1"/>
  <c r="E417" i="6"/>
  <c r="F417" i="6" s="1"/>
  <c r="E422" i="6"/>
  <c r="F422" i="6" s="1"/>
  <c r="E427" i="6"/>
  <c r="F427" i="6" s="1"/>
  <c r="E449" i="6"/>
  <c r="F449" i="6" s="1"/>
  <c r="E454" i="6"/>
  <c r="F454" i="6" s="1"/>
  <c r="E459" i="6"/>
  <c r="F459" i="6" s="1"/>
  <c r="E466" i="6"/>
  <c r="F466" i="6" s="1"/>
  <c r="E482" i="6"/>
  <c r="F482" i="6" s="1"/>
  <c r="E498" i="6"/>
  <c r="F498" i="6" s="1"/>
  <c r="E514" i="6"/>
  <c r="F514" i="6" s="1"/>
  <c r="E530" i="6"/>
  <c r="F530" i="6" s="1"/>
  <c r="E546" i="6"/>
  <c r="F546" i="6" s="1"/>
  <c r="E578" i="6"/>
  <c r="F578" i="6" s="1"/>
  <c r="J845" i="12" l="1"/>
  <c r="J869" i="12"/>
  <c r="J773" i="12"/>
  <c r="J798" i="12"/>
  <c r="J245" i="12"/>
  <c r="H171" i="1"/>
  <c r="J171" i="1" s="1"/>
  <c r="F154" i="1"/>
  <c r="I128" i="1"/>
  <c r="F161" i="1"/>
  <c r="G154" i="1"/>
  <c r="A10" i="1" s="1"/>
  <c r="I127" i="1"/>
  <c r="B130" i="1"/>
  <c r="L129" i="1"/>
  <c r="G169" i="1"/>
  <c r="M127" i="1"/>
  <c r="F192" i="1"/>
  <c r="F168" i="1"/>
  <c r="I183" i="1"/>
  <c r="B128" i="1"/>
  <c r="I184" i="1"/>
  <c r="A14" i="1"/>
  <c r="I130" i="1"/>
  <c r="G182" i="1"/>
  <c r="I158" i="1"/>
  <c r="G173" i="1"/>
  <c r="I181" i="1"/>
  <c r="F90" i="1" s="1"/>
  <c r="G174" i="1"/>
  <c r="G166" i="1"/>
  <c r="F190" i="1"/>
  <c r="I173" i="1"/>
  <c r="F191" i="1"/>
  <c r="I195" i="1"/>
  <c r="G180" i="1"/>
  <c r="I126" i="1"/>
  <c r="I166" i="1"/>
  <c r="I170" i="1"/>
  <c r="G196" i="1"/>
  <c r="L126" i="1"/>
  <c r="I179" i="1"/>
  <c r="F127" i="1"/>
  <c r="G186" i="1"/>
  <c r="F178" i="1"/>
  <c r="J91" i="1" s="1"/>
  <c r="G127" i="1"/>
  <c r="H127" i="1" s="1"/>
  <c r="G191" i="1"/>
  <c r="G194" i="1"/>
  <c r="F180" i="1"/>
  <c r="B126" i="1"/>
  <c r="C126" i="1" s="1"/>
  <c r="G156" i="1"/>
  <c r="I196" i="1"/>
  <c r="I192" i="1"/>
  <c r="G193" i="1"/>
  <c r="H193" i="1" s="1"/>
  <c r="J193" i="1" s="1"/>
  <c r="H174" i="1"/>
  <c r="J174" i="1" s="1"/>
  <c r="G179" i="1"/>
  <c r="K92" i="1" s="1"/>
  <c r="F130" i="1"/>
  <c r="I187" i="1"/>
  <c r="I188" i="1"/>
  <c r="G129" i="1"/>
  <c r="I185" i="1"/>
  <c r="I193" i="1"/>
  <c r="G168" i="1"/>
  <c r="F197" i="1"/>
  <c r="C92" i="1" s="1"/>
  <c r="F194" i="1"/>
  <c r="F193" i="1"/>
  <c r="G185" i="1"/>
  <c r="K91" i="1" s="1"/>
  <c r="F186" i="1"/>
  <c r="F177" i="1"/>
  <c r="C89" i="1" s="1"/>
  <c r="L128" i="1"/>
  <c r="N130" i="1" s="1"/>
  <c r="F198" i="1"/>
  <c r="G198" i="1"/>
  <c r="D92" i="1" s="1"/>
  <c r="M126" i="1"/>
  <c r="F169" i="1"/>
  <c r="F155" i="1"/>
  <c r="G192" i="1"/>
  <c r="I168" i="1"/>
  <c r="M92" i="1" s="1"/>
  <c r="G190" i="1"/>
  <c r="D90" i="1" s="1"/>
  <c r="G149" i="1"/>
  <c r="I189" i="1"/>
  <c r="M90" i="1" s="1"/>
  <c r="I153" i="1"/>
  <c r="J10" i="1" s="1"/>
  <c r="I164" i="1"/>
  <c r="J557" i="12"/>
  <c r="F631" i="12"/>
  <c r="F847" i="12"/>
  <c r="J413" i="12"/>
  <c r="F1279" i="12"/>
  <c r="F415" i="12"/>
  <c r="F727" i="12"/>
  <c r="J294" i="12"/>
  <c r="J1038" i="12"/>
  <c r="J1325" i="12"/>
  <c r="F919" i="12"/>
  <c r="J846" i="12"/>
  <c r="F247" i="12"/>
  <c r="J461" i="12"/>
  <c r="J1205" i="12"/>
  <c r="F703" i="12"/>
  <c r="F1255" i="12"/>
  <c r="J1013" i="12"/>
  <c r="F895" i="12"/>
  <c r="J749" i="12"/>
  <c r="J389" i="12"/>
  <c r="H895" i="12"/>
  <c r="G895" i="12"/>
  <c r="I895" i="12"/>
  <c r="H1303" i="12"/>
  <c r="I1303" i="12"/>
  <c r="G1303" i="12"/>
  <c r="E1304" i="12"/>
  <c r="D1304" i="12"/>
  <c r="E1256" i="12"/>
  <c r="D1256" i="12"/>
  <c r="D1040" i="12"/>
  <c r="E1040" i="12"/>
  <c r="E824" i="12"/>
  <c r="D824" i="12"/>
  <c r="D632" i="12"/>
  <c r="E632" i="12"/>
  <c r="D440" i="12"/>
  <c r="E440" i="12"/>
  <c r="D224" i="12"/>
  <c r="E224" i="12"/>
  <c r="I366" i="12"/>
  <c r="G366" i="12"/>
  <c r="H366" i="12"/>
  <c r="H1374" i="12"/>
  <c r="G1374" i="12"/>
  <c r="I1374" i="12"/>
  <c r="G319" i="12"/>
  <c r="H319" i="12"/>
  <c r="I319" i="12"/>
  <c r="H247" i="12"/>
  <c r="G247" i="12"/>
  <c r="I247" i="12"/>
  <c r="H510" i="12"/>
  <c r="I510" i="12"/>
  <c r="G510" i="12"/>
  <c r="J1301" i="12"/>
  <c r="F343" i="12"/>
  <c r="F1207" i="12"/>
  <c r="D1232" i="12"/>
  <c r="E1232" i="12"/>
  <c r="D872" i="12"/>
  <c r="E872" i="12"/>
  <c r="E800" i="12"/>
  <c r="D800" i="12"/>
  <c r="D608" i="12"/>
  <c r="E608" i="12"/>
  <c r="E416" i="12"/>
  <c r="D416" i="12"/>
  <c r="E248" i="12"/>
  <c r="D248" i="12"/>
  <c r="F248" i="12" s="1"/>
  <c r="J941" i="12"/>
  <c r="G391" i="12"/>
  <c r="I391" i="12"/>
  <c r="H391" i="12"/>
  <c r="I414" i="12"/>
  <c r="G414" i="12"/>
  <c r="H414" i="12"/>
  <c r="F1399" i="12"/>
  <c r="F871" i="12"/>
  <c r="G918" i="12"/>
  <c r="H918" i="12"/>
  <c r="I918" i="12"/>
  <c r="J509" i="12"/>
  <c r="F799" i="12"/>
  <c r="G726" i="12"/>
  <c r="H726" i="12"/>
  <c r="I726" i="12"/>
  <c r="H438" i="12"/>
  <c r="I438" i="12"/>
  <c r="G438" i="12"/>
  <c r="G1230" i="12"/>
  <c r="H1230" i="12"/>
  <c r="I1230" i="12"/>
  <c r="J534" i="12"/>
  <c r="F223" i="12"/>
  <c r="F1015" i="12"/>
  <c r="F487" i="12"/>
  <c r="J1109" i="12"/>
  <c r="J1133" i="12"/>
  <c r="F583" i="12"/>
  <c r="F1327" i="12"/>
  <c r="J341" i="12"/>
  <c r="B225" i="12"/>
  <c r="B273" i="12"/>
  <c r="B369" i="12"/>
  <c r="B249" i="12"/>
  <c r="B441" i="12"/>
  <c r="B465" i="12"/>
  <c r="B489" i="12"/>
  <c r="B345" i="12"/>
  <c r="B321" i="12"/>
  <c r="B297" i="12"/>
  <c r="B393" i="12"/>
  <c r="B417" i="12"/>
  <c r="B513" i="12"/>
  <c r="B537" i="12"/>
  <c r="B705" i="12"/>
  <c r="B729" i="12"/>
  <c r="B561" i="12"/>
  <c r="B585" i="12"/>
  <c r="B609" i="12"/>
  <c r="B633" i="12"/>
  <c r="B657" i="12"/>
  <c r="B777" i="12"/>
  <c r="B801" i="12"/>
  <c r="B825" i="12"/>
  <c r="B849" i="12"/>
  <c r="B681" i="12"/>
  <c r="B897" i="12"/>
  <c r="B753" i="12"/>
  <c r="B873" i="12"/>
  <c r="B945" i="12"/>
  <c r="B993" i="12"/>
  <c r="B1041" i="12"/>
  <c r="B1017" i="12"/>
  <c r="B1065" i="12"/>
  <c r="B1089" i="12"/>
  <c r="B1113" i="12"/>
  <c r="B1137" i="12"/>
  <c r="B1161" i="12"/>
  <c r="B1185" i="12"/>
  <c r="B1209" i="12"/>
  <c r="B1233" i="12"/>
  <c r="B1257" i="12"/>
  <c r="B1281" i="12"/>
  <c r="B921" i="12"/>
  <c r="B969" i="12"/>
  <c r="B1305" i="12"/>
  <c r="B1329" i="12"/>
  <c r="B1353" i="12"/>
  <c r="B1377" i="12"/>
  <c r="B1401" i="12"/>
  <c r="B1428" i="12"/>
  <c r="A1429" i="12"/>
  <c r="D1208" i="12"/>
  <c r="E1208" i="12"/>
  <c r="E848" i="12"/>
  <c r="D848" i="12"/>
  <c r="E776" i="12"/>
  <c r="D776" i="12"/>
  <c r="D584" i="12"/>
  <c r="E584" i="12"/>
  <c r="E344" i="12"/>
  <c r="D344" i="12"/>
  <c r="F344" i="12" s="1"/>
  <c r="I606" i="12"/>
  <c r="G606" i="12"/>
  <c r="H606" i="12"/>
  <c r="J1157" i="12"/>
  <c r="F1231" i="12"/>
  <c r="G1110" i="12"/>
  <c r="H1110" i="12"/>
  <c r="I1110" i="12"/>
  <c r="G1206" i="12"/>
  <c r="H1206" i="12"/>
  <c r="I1206" i="12"/>
  <c r="G967" i="12"/>
  <c r="H967" i="12"/>
  <c r="I967" i="12"/>
  <c r="I342" i="12"/>
  <c r="H342" i="12"/>
  <c r="G342" i="12"/>
  <c r="J1158" i="12"/>
  <c r="J870" i="12"/>
  <c r="H1278" i="12"/>
  <c r="G1278" i="12"/>
  <c r="I1278" i="12"/>
  <c r="J1397" i="12"/>
  <c r="J1037" i="12"/>
  <c r="F607" i="12"/>
  <c r="F1351" i="12"/>
  <c r="D1184" i="12"/>
  <c r="F1184" i="12" s="1"/>
  <c r="E1184" i="12"/>
  <c r="E1016" i="12"/>
  <c r="D1016" i="12"/>
  <c r="D752" i="12"/>
  <c r="E752" i="12"/>
  <c r="E704" i="12"/>
  <c r="D704" i="12"/>
  <c r="E296" i="12"/>
  <c r="D296" i="12"/>
  <c r="F1375" i="12"/>
  <c r="J1181" i="12"/>
  <c r="F655" i="12"/>
  <c r="J317" i="12"/>
  <c r="F511" i="12"/>
  <c r="F1135" i="12"/>
  <c r="J1085" i="12"/>
  <c r="J581" i="12"/>
  <c r="H1279" i="12"/>
  <c r="I1279" i="12"/>
  <c r="G1279" i="12"/>
  <c r="F1039" i="12"/>
  <c r="G415" i="12"/>
  <c r="H415" i="12"/>
  <c r="I415" i="12"/>
  <c r="H727" i="12"/>
  <c r="G727" i="12"/>
  <c r="I727" i="12"/>
  <c r="D1352" i="12"/>
  <c r="E1352" i="12"/>
  <c r="D1160" i="12"/>
  <c r="E1160" i="12"/>
  <c r="D992" i="12"/>
  <c r="E992" i="12"/>
  <c r="E680" i="12"/>
  <c r="D680" i="12"/>
  <c r="D536" i="12"/>
  <c r="E536" i="12"/>
  <c r="D272" i="12"/>
  <c r="E272" i="12"/>
  <c r="I822" i="12"/>
  <c r="H822" i="12"/>
  <c r="G822" i="12"/>
  <c r="H631" i="12"/>
  <c r="I631" i="12"/>
  <c r="G631" i="12"/>
  <c r="G1086" i="12"/>
  <c r="H1086" i="12"/>
  <c r="I1086" i="12"/>
  <c r="H847" i="12"/>
  <c r="G847" i="12"/>
  <c r="I847" i="12"/>
  <c r="H1398" i="12"/>
  <c r="G1398" i="12"/>
  <c r="I1398" i="12"/>
  <c r="F535" i="12"/>
  <c r="F1183" i="12"/>
  <c r="J1253" i="12"/>
  <c r="F559" i="12"/>
  <c r="J1254" i="12"/>
  <c r="H1326" i="12"/>
  <c r="G1326" i="12"/>
  <c r="I1326" i="12"/>
  <c r="F295" i="12"/>
  <c r="I919" i="12"/>
  <c r="G919" i="12"/>
  <c r="H919" i="12"/>
  <c r="G894" i="12"/>
  <c r="H894" i="12"/>
  <c r="I894" i="12"/>
  <c r="J605" i="12"/>
  <c r="G966" i="12"/>
  <c r="H966" i="12"/>
  <c r="I966" i="12"/>
  <c r="J630" i="12"/>
  <c r="J917" i="12"/>
  <c r="E1376" i="12"/>
  <c r="D1376" i="12"/>
  <c r="F1376" i="12" s="1"/>
  <c r="D1064" i="12"/>
  <c r="E1064" i="12"/>
  <c r="D1136" i="12"/>
  <c r="E1136" i="12"/>
  <c r="E968" i="12"/>
  <c r="D968" i="12"/>
  <c r="D560" i="12"/>
  <c r="E560" i="12"/>
  <c r="D512" i="12"/>
  <c r="E512" i="12"/>
  <c r="D320" i="12"/>
  <c r="E320" i="12"/>
  <c r="G1134" i="12"/>
  <c r="H1134" i="12"/>
  <c r="I1134" i="12"/>
  <c r="J629" i="12"/>
  <c r="I654" i="12"/>
  <c r="G654" i="12"/>
  <c r="H654" i="12"/>
  <c r="F679" i="12"/>
  <c r="F1159" i="12"/>
  <c r="J725" i="12"/>
  <c r="H1302" i="12"/>
  <c r="G1302" i="12"/>
  <c r="I1302" i="12"/>
  <c r="G367" i="12"/>
  <c r="I367" i="12"/>
  <c r="H367" i="12"/>
  <c r="I390" i="12"/>
  <c r="H390" i="12"/>
  <c r="G390" i="12"/>
  <c r="G1182" i="12"/>
  <c r="H1182" i="12"/>
  <c r="I1182" i="12"/>
  <c r="H703" i="12"/>
  <c r="G703" i="12"/>
  <c r="I703" i="12"/>
  <c r="I1255" i="12"/>
  <c r="G1255" i="12"/>
  <c r="H1255" i="12"/>
  <c r="J653" i="12"/>
  <c r="H462" i="12"/>
  <c r="I462" i="12"/>
  <c r="G462" i="12"/>
  <c r="H486" i="12"/>
  <c r="I486" i="12"/>
  <c r="G486" i="12"/>
  <c r="G246" i="12"/>
  <c r="H246" i="12"/>
  <c r="I246" i="12"/>
  <c r="F1063" i="12"/>
  <c r="I750" i="12"/>
  <c r="H750" i="12"/>
  <c r="G750" i="12"/>
  <c r="J1350" i="12"/>
  <c r="J1014" i="12"/>
  <c r="J318" i="12"/>
  <c r="E1328" i="12"/>
  <c r="D1328" i="12"/>
  <c r="E896" i="12"/>
  <c r="D896" i="12"/>
  <c r="D1112" i="12"/>
  <c r="E1112" i="12"/>
  <c r="D944" i="12"/>
  <c r="E944" i="12"/>
  <c r="D728" i="12"/>
  <c r="F728" i="12" s="1"/>
  <c r="E728" i="12"/>
  <c r="D488" i="12"/>
  <c r="E488" i="12"/>
  <c r="D368" i="12"/>
  <c r="E368" i="12"/>
  <c r="H222" i="12"/>
  <c r="I222" i="12"/>
  <c r="G222" i="12"/>
  <c r="F751" i="12"/>
  <c r="I558" i="12"/>
  <c r="H558" i="12"/>
  <c r="G558" i="12"/>
  <c r="J1277" i="12"/>
  <c r="G463" i="12"/>
  <c r="H463" i="12"/>
  <c r="I463" i="12"/>
  <c r="I702" i="12"/>
  <c r="G702" i="12"/>
  <c r="H702" i="12"/>
  <c r="J1061" i="12"/>
  <c r="I270" i="12"/>
  <c r="H270" i="12"/>
  <c r="G270" i="12"/>
  <c r="J678" i="12"/>
  <c r="F1111" i="12"/>
  <c r="F439" i="12"/>
  <c r="J533" i="12"/>
  <c r="J221" i="12"/>
  <c r="F271" i="12"/>
  <c r="F991" i="12"/>
  <c r="J774" i="12"/>
  <c r="F1087" i="12"/>
  <c r="E1400" i="12"/>
  <c r="D1400" i="12"/>
  <c r="F1400" i="12" s="1"/>
  <c r="E1280" i="12"/>
  <c r="D1280" i="12"/>
  <c r="D1088" i="12"/>
  <c r="E1088" i="12"/>
  <c r="E920" i="12"/>
  <c r="D920" i="12"/>
  <c r="D656" i="12"/>
  <c r="E656" i="12"/>
  <c r="D464" i="12"/>
  <c r="E464" i="12"/>
  <c r="D392" i="12"/>
  <c r="E392" i="12"/>
  <c r="J942" i="12"/>
  <c r="F823" i="12"/>
  <c r="J269" i="12"/>
  <c r="F943" i="12"/>
  <c r="J582" i="12"/>
  <c r="G990" i="12"/>
  <c r="H990" i="12"/>
  <c r="I990" i="12"/>
  <c r="F775" i="12"/>
  <c r="H181" i="1"/>
  <c r="J181" i="1" s="1"/>
  <c r="H126" i="1"/>
  <c r="H155" i="1"/>
  <c r="J155" i="1" s="1"/>
  <c r="H156" i="1"/>
  <c r="J156" i="1" s="1"/>
  <c r="H129" i="1"/>
  <c r="C131" i="1"/>
  <c r="C127" i="1"/>
  <c r="C129" i="1"/>
  <c r="C130" i="1"/>
  <c r="H163" i="1"/>
  <c r="J163" i="1" s="1"/>
  <c r="H160" i="1"/>
  <c r="J160" i="1" s="1"/>
  <c r="H185" i="1"/>
  <c r="J185" i="1" s="1"/>
  <c r="H167" i="1"/>
  <c r="J167" i="1" s="1"/>
  <c r="H184" i="1"/>
  <c r="J184" i="1" s="1"/>
  <c r="H187" i="1"/>
  <c r="J187" i="1" s="1"/>
  <c r="H182" i="1"/>
  <c r="H173" i="1"/>
  <c r="J173" i="1" s="1"/>
  <c r="H179" i="1"/>
  <c r="J179" i="1" s="1"/>
  <c r="H130" i="1"/>
  <c r="H191" i="1"/>
  <c r="F92" i="1"/>
  <c r="H158" i="1"/>
  <c r="J158" i="1" s="1"/>
  <c r="H172" i="1"/>
  <c r="J172" i="1" s="1"/>
  <c r="H128" i="1"/>
  <c r="H175" i="1"/>
  <c r="J175" i="1" s="1"/>
  <c r="J92" i="1"/>
  <c r="H159" i="1"/>
  <c r="J159" i="1" s="1"/>
  <c r="H162" i="1"/>
  <c r="J162" i="1" s="1"/>
  <c r="J89" i="1"/>
  <c r="C91" i="1"/>
  <c r="H152" i="1"/>
  <c r="J152" i="1" s="1"/>
  <c r="H192" i="1"/>
  <c r="J192" i="1" s="1"/>
  <c r="B3" i="4"/>
  <c r="A4" i="4"/>
  <c r="H188" i="1"/>
  <c r="J188" i="1" s="1"/>
  <c r="J90" i="1"/>
  <c r="C90" i="1"/>
  <c r="H164" i="1"/>
  <c r="J164" i="1" s="1"/>
  <c r="D89" i="1"/>
  <c r="H189" i="1"/>
  <c r="J189" i="1" s="1"/>
  <c r="H169" i="1"/>
  <c r="H149" i="1"/>
  <c r="H196" i="1"/>
  <c r="J196" i="1" s="1"/>
  <c r="H177" i="1"/>
  <c r="J177" i="1" s="1"/>
  <c r="H166" i="1"/>
  <c r="J166" i="1" s="1"/>
  <c r="H183" i="1"/>
  <c r="J183" i="1" s="1"/>
  <c r="H157" i="1"/>
  <c r="J157" i="1" s="1"/>
  <c r="H176" i="1"/>
  <c r="J176" i="1" s="1"/>
  <c r="H151" i="1"/>
  <c r="J151" i="1" s="1"/>
  <c r="K90" i="1"/>
  <c r="B203" i="1"/>
  <c r="D203" i="1"/>
  <c r="C203" i="1"/>
  <c r="A204" i="1"/>
  <c r="F203" i="1"/>
  <c r="H180" i="1"/>
  <c r="J180" i="1" s="1"/>
  <c r="C128" i="1"/>
  <c r="H165" i="1"/>
  <c r="J165" i="1" s="1"/>
  <c r="H153" i="1"/>
  <c r="M89" i="1"/>
  <c r="F91" i="1"/>
  <c r="H198" i="1"/>
  <c r="B45" i="4"/>
  <c r="A46" i="4"/>
  <c r="B30" i="4"/>
  <c r="A31" i="4"/>
  <c r="H170" i="1"/>
  <c r="J170" i="1" s="1"/>
  <c r="H161" i="1"/>
  <c r="H168" i="1"/>
  <c r="J1206" i="12" l="1"/>
  <c r="J654" i="12"/>
  <c r="J414" i="12"/>
  <c r="J1279" i="12"/>
  <c r="E92" i="1"/>
  <c r="K89" i="1"/>
  <c r="H190" i="1"/>
  <c r="J190" i="1" s="1"/>
  <c r="M91" i="1"/>
  <c r="D10" i="1"/>
  <c r="G10" i="1" s="1"/>
  <c r="H194" i="1"/>
  <c r="N129" i="1"/>
  <c r="H154" i="1"/>
  <c r="J154" i="1" s="1"/>
  <c r="N127" i="1"/>
  <c r="H178" i="1"/>
  <c r="J178" i="1" s="1"/>
  <c r="N128" i="1"/>
  <c r="N126" i="1"/>
  <c r="H186" i="1"/>
  <c r="J186" i="1" s="1"/>
  <c r="F89" i="1"/>
  <c r="D91" i="1"/>
  <c r="H197" i="1"/>
  <c r="J197" i="1" s="1"/>
  <c r="J463" i="12"/>
  <c r="F944" i="12"/>
  <c r="J246" i="12"/>
  <c r="J1182" i="12"/>
  <c r="J1302" i="12"/>
  <c r="J319" i="12"/>
  <c r="F704" i="12"/>
  <c r="F416" i="12"/>
  <c r="F392" i="12"/>
  <c r="F536" i="12"/>
  <c r="J990" i="12"/>
  <c r="F1280" i="12"/>
  <c r="J894" i="12"/>
  <c r="F680" i="12"/>
  <c r="J438" i="12"/>
  <c r="J366" i="12"/>
  <c r="F896" i="12"/>
  <c r="J1134" i="12"/>
  <c r="J727" i="12"/>
  <c r="F1088" i="12"/>
  <c r="G1088" i="12" s="1"/>
  <c r="J462" i="12"/>
  <c r="J967" i="12"/>
  <c r="F776" i="12"/>
  <c r="G776" i="12" s="1"/>
  <c r="I1088" i="12"/>
  <c r="G271" i="12"/>
  <c r="I271" i="12"/>
  <c r="H271" i="12"/>
  <c r="I944" i="12"/>
  <c r="G944" i="12"/>
  <c r="H944" i="12"/>
  <c r="G1184" i="12"/>
  <c r="H1184" i="12"/>
  <c r="I1184" i="12"/>
  <c r="E921" i="12"/>
  <c r="D921" i="12"/>
  <c r="D1113" i="12"/>
  <c r="E1113" i="12"/>
  <c r="E753" i="12"/>
  <c r="D753" i="12"/>
  <c r="D633" i="12"/>
  <c r="E633" i="12"/>
  <c r="D417" i="12"/>
  <c r="E417" i="12"/>
  <c r="D249" i="12"/>
  <c r="E249" i="12"/>
  <c r="G1207" i="12"/>
  <c r="H1207" i="12"/>
  <c r="I1207" i="12"/>
  <c r="F1304" i="12"/>
  <c r="J486" i="12"/>
  <c r="J1255" i="12"/>
  <c r="J390" i="12"/>
  <c r="F560" i="12"/>
  <c r="F272" i="12"/>
  <c r="G1135" i="12"/>
  <c r="H1135" i="12"/>
  <c r="I1135" i="12"/>
  <c r="H704" i="12"/>
  <c r="G704" i="12"/>
  <c r="I704" i="12"/>
  <c r="D1281" i="12"/>
  <c r="E1281" i="12"/>
  <c r="D1089" i="12"/>
  <c r="E1089" i="12"/>
  <c r="E897" i="12"/>
  <c r="D897" i="12"/>
  <c r="D609" i="12"/>
  <c r="E609" i="12"/>
  <c r="E393" i="12"/>
  <c r="D393" i="12"/>
  <c r="E369" i="12"/>
  <c r="D369" i="12"/>
  <c r="G487" i="12"/>
  <c r="H487" i="12"/>
  <c r="I487" i="12"/>
  <c r="F608" i="12"/>
  <c r="G343" i="12"/>
  <c r="I343" i="12"/>
  <c r="H343" i="12"/>
  <c r="F632" i="12"/>
  <c r="G1376" i="12"/>
  <c r="H1376" i="12"/>
  <c r="I1376" i="12"/>
  <c r="H1280" i="12"/>
  <c r="I1280" i="12"/>
  <c r="G1280" i="12"/>
  <c r="J1326" i="12"/>
  <c r="J1086" i="12"/>
  <c r="F1160" i="12"/>
  <c r="F464" i="12"/>
  <c r="J558" i="12"/>
  <c r="F368" i="12"/>
  <c r="F1112" i="12"/>
  <c r="J750" i="12"/>
  <c r="F968" i="12"/>
  <c r="J1398" i="12"/>
  <c r="J631" i="12"/>
  <c r="J415" i="12"/>
  <c r="I511" i="12"/>
  <c r="G511" i="12"/>
  <c r="H511" i="12"/>
  <c r="H1351" i="12"/>
  <c r="I1351" i="12"/>
  <c r="G1351" i="12"/>
  <c r="J606" i="12"/>
  <c r="F848" i="12"/>
  <c r="E1401" i="12"/>
  <c r="D1401" i="12"/>
  <c r="D1257" i="12"/>
  <c r="E1257" i="12"/>
  <c r="D1065" i="12"/>
  <c r="E1065" i="12"/>
  <c r="D681" i="12"/>
  <c r="E681" i="12"/>
  <c r="D585" i="12"/>
  <c r="E585" i="12"/>
  <c r="E297" i="12"/>
  <c r="D297" i="12"/>
  <c r="E273" i="12"/>
  <c r="D273" i="12"/>
  <c r="G1015" i="12"/>
  <c r="H1015" i="12"/>
  <c r="I1015" i="12"/>
  <c r="J918" i="12"/>
  <c r="J391" i="12"/>
  <c r="F800" i="12"/>
  <c r="F824" i="12"/>
  <c r="J1303" i="12"/>
  <c r="I1039" i="12"/>
  <c r="G1039" i="12"/>
  <c r="H1039" i="12"/>
  <c r="H607" i="12"/>
  <c r="I607" i="12"/>
  <c r="G607" i="12"/>
  <c r="J342" i="12"/>
  <c r="D1377" i="12"/>
  <c r="E1377" i="12"/>
  <c r="E1233" i="12"/>
  <c r="D1233" i="12"/>
  <c r="E1017" i="12"/>
  <c r="D1017" i="12"/>
  <c r="F1017" i="12" s="1"/>
  <c r="E849" i="12"/>
  <c r="D849" i="12"/>
  <c r="E561" i="12"/>
  <c r="D561" i="12"/>
  <c r="E321" i="12"/>
  <c r="D321" i="12"/>
  <c r="D225" i="12"/>
  <c r="E225" i="12"/>
  <c r="G223" i="12"/>
  <c r="H223" i="12"/>
  <c r="I223" i="12"/>
  <c r="H871" i="12"/>
  <c r="G871" i="12"/>
  <c r="I871" i="12"/>
  <c r="J510" i="12"/>
  <c r="F656" i="12"/>
  <c r="H559" i="12"/>
  <c r="I559" i="12"/>
  <c r="G559" i="12"/>
  <c r="D1353" i="12"/>
  <c r="E1353" i="12"/>
  <c r="E1209" i="12"/>
  <c r="D1209" i="12"/>
  <c r="E1041" i="12"/>
  <c r="D1041" i="12"/>
  <c r="D825" i="12"/>
  <c r="E825" i="12"/>
  <c r="E729" i="12"/>
  <c r="D729" i="12"/>
  <c r="F729" i="12" s="1"/>
  <c r="D345" i="12"/>
  <c r="E345" i="12"/>
  <c r="H1399" i="12"/>
  <c r="I1399" i="12"/>
  <c r="G1399" i="12"/>
  <c r="H248" i="12"/>
  <c r="G248" i="12"/>
  <c r="I248" i="12"/>
  <c r="G439" i="12"/>
  <c r="H439" i="12"/>
  <c r="I439" i="12"/>
  <c r="J702" i="12"/>
  <c r="F488" i="12"/>
  <c r="G680" i="12"/>
  <c r="H680" i="12"/>
  <c r="I680" i="12"/>
  <c r="F1352" i="12"/>
  <c r="H655" i="12"/>
  <c r="I655" i="12"/>
  <c r="G655" i="12"/>
  <c r="F752" i="12"/>
  <c r="H344" i="12"/>
  <c r="G344" i="12"/>
  <c r="I344" i="12"/>
  <c r="G775" i="12"/>
  <c r="H775" i="12"/>
  <c r="I775" i="12"/>
  <c r="G823" i="12"/>
  <c r="H823" i="12"/>
  <c r="I823" i="12"/>
  <c r="F920" i="12"/>
  <c r="G1087" i="12"/>
  <c r="H1087" i="12"/>
  <c r="I1087" i="12"/>
  <c r="G1111" i="12"/>
  <c r="H1111" i="12"/>
  <c r="I1111" i="12"/>
  <c r="H751" i="12"/>
  <c r="I751" i="12"/>
  <c r="G751" i="12"/>
  <c r="J751" i="12" s="1"/>
  <c r="F1328" i="12"/>
  <c r="I1063" i="12"/>
  <c r="H1063" i="12"/>
  <c r="G1063" i="12"/>
  <c r="F320" i="12"/>
  <c r="F1136" i="12"/>
  <c r="J919" i="12"/>
  <c r="J847" i="12"/>
  <c r="J822" i="12"/>
  <c r="F1016" i="12"/>
  <c r="F1208" i="12"/>
  <c r="D1329" i="12"/>
  <c r="E1329" i="12"/>
  <c r="E1185" i="12"/>
  <c r="D1185" i="12"/>
  <c r="E993" i="12"/>
  <c r="D993" i="12"/>
  <c r="D801" i="12"/>
  <c r="E801" i="12"/>
  <c r="E705" i="12"/>
  <c r="D705" i="12"/>
  <c r="D489" i="12"/>
  <c r="E489" i="12"/>
  <c r="H1327" i="12"/>
  <c r="I1327" i="12"/>
  <c r="G1327" i="12"/>
  <c r="J726" i="12"/>
  <c r="F872" i="12"/>
  <c r="J1374" i="12"/>
  <c r="F224" i="12"/>
  <c r="F1040" i="12"/>
  <c r="G1159" i="12"/>
  <c r="H1159" i="12"/>
  <c r="I1159" i="12"/>
  <c r="G536" i="12"/>
  <c r="H536" i="12"/>
  <c r="I536" i="12"/>
  <c r="J703" i="12"/>
  <c r="H679" i="12"/>
  <c r="I679" i="12"/>
  <c r="G679" i="12"/>
  <c r="I728" i="12"/>
  <c r="G728" i="12"/>
  <c r="H728" i="12"/>
  <c r="J367" i="12"/>
  <c r="J966" i="12"/>
  <c r="G1183" i="12"/>
  <c r="H1183" i="12"/>
  <c r="I1183" i="12"/>
  <c r="H1375" i="12"/>
  <c r="I1375" i="12"/>
  <c r="G1375" i="12"/>
  <c r="J1110" i="12"/>
  <c r="D1305" i="12"/>
  <c r="E1305" i="12"/>
  <c r="D1161" i="12"/>
  <c r="E1161" i="12"/>
  <c r="E945" i="12"/>
  <c r="D945" i="12"/>
  <c r="D777" i="12"/>
  <c r="E777" i="12"/>
  <c r="D537" i="12"/>
  <c r="E537" i="12"/>
  <c r="E465" i="12"/>
  <c r="D465" i="12"/>
  <c r="H583" i="12"/>
  <c r="I583" i="12"/>
  <c r="G583" i="12"/>
  <c r="G799" i="12"/>
  <c r="H799" i="12"/>
  <c r="I799" i="12"/>
  <c r="G416" i="12"/>
  <c r="H416" i="12"/>
  <c r="I416" i="12"/>
  <c r="F1256" i="12"/>
  <c r="J895" i="12"/>
  <c r="I392" i="12"/>
  <c r="H392" i="12"/>
  <c r="G392" i="12"/>
  <c r="J392" i="12" s="1"/>
  <c r="I943" i="12"/>
  <c r="G943" i="12"/>
  <c r="H943" i="12"/>
  <c r="G1400" i="12"/>
  <c r="H1400" i="12"/>
  <c r="I1400" i="12"/>
  <c r="I896" i="12"/>
  <c r="G896" i="12"/>
  <c r="H896" i="12"/>
  <c r="J222" i="12"/>
  <c r="H991" i="12"/>
  <c r="I991" i="12"/>
  <c r="G991" i="12"/>
  <c r="J270" i="12"/>
  <c r="F512" i="12"/>
  <c r="F1064" i="12"/>
  <c r="G295" i="12"/>
  <c r="I295" i="12"/>
  <c r="H295" i="12"/>
  <c r="I535" i="12"/>
  <c r="G535" i="12"/>
  <c r="H535" i="12"/>
  <c r="F992" i="12"/>
  <c r="F296" i="12"/>
  <c r="J1278" i="12"/>
  <c r="G1231" i="12"/>
  <c r="H1231" i="12"/>
  <c r="I1231" i="12"/>
  <c r="F584" i="12"/>
  <c r="B226" i="12"/>
  <c r="B298" i="12"/>
  <c r="B322" i="12"/>
  <c r="B250" i="12"/>
  <c r="B274" i="12"/>
  <c r="B418" i="12"/>
  <c r="B370" i="12"/>
  <c r="B442" i="12"/>
  <c r="B466" i="12"/>
  <c r="B490" i="12"/>
  <c r="B394" i="12"/>
  <c r="B346" i="12"/>
  <c r="B586" i="12"/>
  <c r="B610" i="12"/>
  <c r="B634" i="12"/>
  <c r="B658" i="12"/>
  <c r="B682" i="12"/>
  <c r="B706" i="12"/>
  <c r="B730" i="12"/>
  <c r="B754" i="12"/>
  <c r="B514" i="12"/>
  <c r="B538" i="12"/>
  <c r="B778" i="12"/>
  <c r="B802" i="12"/>
  <c r="B826" i="12"/>
  <c r="B850" i="12"/>
  <c r="B874" i="12"/>
  <c r="B898" i="12"/>
  <c r="B562" i="12"/>
  <c r="B922" i="12"/>
  <c r="B994" i="12"/>
  <c r="B1066" i="12"/>
  <c r="B970" i="12"/>
  <c r="B1018" i="12"/>
  <c r="B946" i="12"/>
  <c r="B1042" i="12"/>
  <c r="B1090" i="12"/>
  <c r="B1114" i="12"/>
  <c r="B1138" i="12"/>
  <c r="B1282" i="12"/>
  <c r="B1306" i="12"/>
  <c r="B1330" i="12"/>
  <c r="B1354" i="12"/>
  <c r="B1378" i="12"/>
  <c r="B1402" i="12"/>
  <c r="B1429" i="12"/>
  <c r="B1186" i="12"/>
  <c r="B1210" i="12"/>
  <c r="B1162" i="12"/>
  <c r="B1234" i="12"/>
  <c r="B1258" i="12"/>
  <c r="A1430" i="12"/>
  <c r="E969" i="12"/>
  <c r="D969" i="12"/>
  <c r="D1137" i="12"/>
  <c r="E1137" i="12"/>
  <c r="D873" i="12"/>
  <c r="E873" i="12"/>
  <c r="D657" i="12"/>
  <c r="E657" i="12"/>
  <c r="D513" i="12"/>
  <c r="E513" i="12"/>
  <c r="D441" i="12"/>
  <c r="E441" i="12"/>
  <c r="J1230" i="12"/>
  <c r="F1232" i="12"/>
  <c r="J247" i="12"/>
  <c r="F440" i="12"/>
  <c r="L90" i="1"/>
  <c r="L91" i="1"/>
  <c r="E89" i="1"/>
  <c r="L89" i="1"/>
  <c r="L92" i="1"/>
  <c r="E203" i="1"/>
  <c r="E90" i="1"/>
  <c r="J149" i="1"/>
  <c r="B4" i="4"/>
  <c r="A5" i="4"/>
  <c r="E3" i="4"/>
  <c r="D3" i="4"/>
  <c r="C3" i="4"/>
  <c r="H3" i="4"/>
  <c r="F3" i="4"/>
  <c r="G3" i="4" s="1"/>
  <c r="B46" i="4"/>
  <c r="A47" i="4"/>
  <c r="B31" i="4"/>
  <c r="A32" i="4"/>
  <c r="E30" i="4"/>
  <c r="D30" i="4"/>
  <c r="C30" i="4"/>
  <c r="H30" i="4"/>
  <c r="F30" i="4"/>
  <c r="G30" i="4" s="1"/>
  <c r="E45" i="4"/>
  <c r="D45" i="4"/>
  <c r="C45" i="4"/>
  <c r="H45" i="4"/>
  <c r="F45" i="4"/>
  <c r="G45" i="4" s="1"/>
  <c r="D204" i="1"/>
  <c r="C204" i="1"/>
  <c r="A205" i="1"/>
  <c r="F204" i="1"/>
  <c r="B204" i="1"/>
  <c r="E91" i="1"/>
  <c r="J1087" i="12" l="1"/>
  <c r="J1376" i="12"/>
  <c r="J487" i="12"/>
  <c r="J1159" i="12"/>
  <c r="J1207" i="12"/>
  <c r="J991" i="12"/>
  <c r="A21" i="1"/>
  <c r="J728" i="12"/>
  <c r="J536" i="12"/>
  <c r="J1231" i="12"/>
  <c r="F465" i="12"/>
  <c r="J704" i="12"/>
  <c r="F1185" i="12"/>
  <c r="I776" i="12"/>
  <c r="F1377" i="12"/>
  <c r="G1377" i="12" s="1"/>
  <c r="H776" i="12"/>
  <c r="F705" i="12"/>
  <c r="F825" i="12"/>
  <c r="F849" i="12"/>
  <c r="J1111" i="12"/>
  <c r="F1257" i="12"/>
  <c r="J343" i="12"/>
  <c r="F1281" i="12"/>
  <c r="H1088" i="12"/>
  <c r="J1088" i="12" s="1"/>
  <c r="F657" i="12"/>
  <c r="J896" i="12"/>
  <c r="F1401" i="12"/>
  <c r="G1208" i="12"/>
  <c r="H1208" i="12"/>
  <c r="I1208" i="12"/>
  <c r="G656" i="12"/>
  <c r="H656" i="12"/>
  <c r="I656" i="12"/>
  <c r="J223" i="12"/>
  <c r="F273" i="12"/>
  <c r="J1351" i="12"/>
  <c r="G632" i="12"/>
  <c r="H632" i="12"/>
  <c r="I632" i="12"/>
  <c r="F369" i="12"/>
  <c r="F633" i="12"/>
  <c r="E1258" i="12"/>
  <c r="D1258" i="12"/>
  <c r="E1378" i="12"/>
  <c r="D1378" i="12"/>
  <c r="D1042" i="12"/>
  <c r="E1042" i="12"/>
  <c r="D898" i="12"/>
  <c r="E898" i="12"/>
  <c r="D754" i="12"/>
  <c r="E754" i="12"/>
  <c r="D346" i="12"/>
  <c r="E346" i="12"/>
  <c r="D250" i="12"/>
  <c r="E250" i="12"/>
  <c r="J295" i="12"/>
  <c r="J943" i="12"/>
  <c r="G465" i="12"/>
  <c r="H465" i="12"/>
  <c r="I465" i="12"/>
  <c r="F801" i="12"/>
  <c r="G1016" i="12"/>
  <c r="H1016" i="12"/>
  <c r="I1016" i="12"/>
  <c r="F1209" i="12"/>
  <c r="H849" i="12"/>
  <c r="G849" i="12"/>
  <c r="J849" i="12" s="1"/>
  <c r="I849" i="12"/>
  <c r="G824" i="12"/>
  <c r="H824" i="12"/>
  <c r="I824" i="12"/>
  <c r="F1065" i="12"/>
  <c r="I968" i="12"/>
  <c r="G968" i="12"/>
  <c r="H968" i="12"/>
  <c r="F1089" i="12"/>
  <c r="J1135" i="12"/>
  <c r="F753" i="12"/>
  <c r="J776" i="12"/>
  <c r="G657" i="12"/>
  <c r="H657" i="12"/>
  <c r="I657" i="12"/>
  <c r="B251" i="12"/>
  <c r="B227" i="12"/>
  <c r="B347" i="12"/>
  <c r="B299" i="12"/>
  <c r="B275" i="12"/>
  <c r="B371" i="12"/>
  <c r="B419" i="12"/>
  <c r="B323" i="12"/>
  <c r="B491" i="12"/>
  <c r="B515" i="12"/>
  <c r="B539" i="12"/>
  <c r="B563" i="12"/>
  <c r="B443" i="12"/>
  <c r="B395" i="12"/>
  <c r="B587" i="12"/>
  <c r="B611" i="12"/>
  <c r="B635" i="12"/>
  <c r="B659" i="12"/>
  <c r="B683" i="12"/>
  <c r="B707" i="12"/>
  <c r="B467" i="12"/>
  <c r="B851" i="12"/>
  <c r="B899" i="12"/>
  <c r="B779" i="12"/>
  <c r="B803" i="12"/>
  <c r="B755" i="12"/>
  <c r="B1019" i="12"/>
  <c r="B923" i="12"/>
  <c r="B1043" i="12"/>
  <c r="B1067" i="12"/>
  <c r="B827" i="12"/>
  <c r="B875" i="12"/>
  <c r="B971" i="12"/>
  <c r="B995" i="12"/>
  <c r="B731" i="12"/>
  <c r="B947" i="12"/>
  <c r="B1139" i="12"/>
  <c r="B1283" i="12"/>
  <c r="A1431" i="12"/>
  <c r="B1235" i="12"/>
  <c r="B1307" i="12"/>
  <c r="B1331" i="12"/>
  <c r="B1355" i="12"/>
  <c r="B1379" i="12"/>
  <c r="B1403" i="12"/>
  <c r="B1091" i="12"/>
  <c r="B1259" i="12"/>
  <c r="B1115" i="12"/>
  <c r="B1163" i="12"/>
  <c r="B1187" i="12"/>
  <c r="B1211" i="12"/>
  <c r="B1430" i="12"/>
  <c r="D1402" i="12"/>
  <c r="E1402" i="12"/>
  <c r="E1090" i="12"/>
  <c r="D1090" i="12"/>
  <c r="D562" i="12"/>
  <c r="E562" i="12"/>
  <c r="E514" i="12"/>
  <c r="D514" i="12"/>
  <c r="D586" i="12"/>
  <c r="E586" i="12"/>
  <c r="D274" i="12"/>
  <c r="E274" i="12"/>
  <c r="J1327" i="12"/>
  <c r="F873" i="12"/>
  <c r="D1234" i="12"/>
  <c r="F1234" i="12" s="1"/>
  <c r="E1234" i="12"/>
  <c r="E1354" i="12"/>
  <c r="D1354" i="12"/>
  <c r="E946" i="12"/>
  <c r="D946" i="12"/>
  <c r="E874" i="12"/>
  <c r="D874" i="12"/>
  <c r="D730" i="12"/>
  <c r="E730" i="12"/>
  <c r="E394" i="12"/>
  <c r="D394" i="12"/>
  <c r="D322" i="12"/>
  <c r="E322" i="12"/>
  <c r="I296" i="12"/>
  <c r="H296" i="12"/>
  <c r="G296" i="12"/>
  <c r="G1064" i="12"/>
  <c r="H1064" i="12"/>
  <c r="I1064" i="12"/>
  <c r="J416" i="12"/>
  <c r="F1161" i="12"/>
  <c r="J679" i="12"/>
  <c r="F993" i="12"/>
  <c r="G1328" i="12"/>
  <c r="H1328" i="12"/>
  <c r="I1328" i="12"/>
  <c r="J775" i="12"/>
  <c r="G1352" i="12"/>
  <c r="H1352" i="12"/>
  <c r="I1352" i="12"/>
  <c r="J439" i="12"/>
  <c r="F345" i="12"/>
  <c r="J607" i="12"/>
  <c r="G800" i="12"/>
  <c r="H800" i="12"/>
  <c r="I800" i="12"/>
  <c r="F297" i="12"/>
  <c r="J1280" i="12"/>
  <c r="F393" i="12"/>
  <c r="I272" i="12"/>
  <c r="H272" i="12"/>
  <c r="G272" i="12"/>
  <c r="J272" i="12" s="1"/>
  <c r="H1257" i="12"/>
  <c r="G1257" i="12"/>
  <c r="I1257" i="12"/>
  <c r="I1112" i="12"/>
  <c r="G1112" i="12"/>
  <c r="H1112" i="12"/>
  <c r="H1281" i="12"/>
  <c r="I1281" i="12"/>
  <c r="G1281" i="12"/>
  <c r="H560" i="12"/>
  <c r="G560" i="12"/>
  <c r="I560" i="12"/>
  <c r="J271" i="12"/>
  <c r="I920" i="12"/>
  <c r="G920" i="12"/>
  <c r="H920" i="12"/>
  <c r="J248" i="12"/>
  <c r="F1353" i="12"/>
  <c r="J871" i="12"/>
  <c r="F225" i="12"/>
  <c r="I1401" i="12"/>
  <c r="G1401" i="12"/>
  <c r="H1401" i="12"/>
  <c r="J511" i="12"/>
  <c r="I368" i="12"/>
  <c r="G368" i="12"/>
  <c r="H368" i="12"/>
  <c r="G608" i="12"/>
  <c r="H608" i="12"/>
  <c r="I608" i="12"/>
  <c r="F249" i="12"/>
  <c r="F1113" i="12"/>
  <c r="J1184" i="12"/>
  <c r="E1330" i="12"/>
  <c r="D1330" i="12"/>
  <c r="D1018" i="12"/>
  <c r="E1018" i="12"/>
  <c r="D850" i="12"/>
  <c r="E850" i="12"/>
  <c r="D706" i="12"/>
  <c r="E706" i="12"/>
  <c r="D490" i="12"/>
  <c r="E490" i="12"/>
  <c r="D298" i="12"/>
  <c r="E298" i="12"/>
  <c r="I992" i="12"/>
  <c r="G992" i="12"/>
  <c r="H992" i="12"/>
  <c r="G512" i="12"/>
  <c r="H512" i="12"/>
  <c r="I512" i="12"/>
  <c r="H1017" i="12"/>
  <c r="G1017" i="12"/>
  <c r="I1017" i="12"/>
  <c r="F1137" i="12"/>
  <c r="E1162" i="12"/>
  <c r="D1162" i="12"/>
  <c r="E1306" i="12"/>
  <c r="D1306" i="12"/>
  <c r="D970" i="12"/>
  <c r="E970" i="12"/>
  <c r="D826" i="12"/>
  <c r="E826" i="12"/>
  <c r="D682" i="12"/>
  <c r="E682" i="12"/>
  <c r="D466" i="12"/>
  <c r="E466" i="12"/>
  <c r="D226" i="12"/>
  <c r="E226" i="12"/>
  <c r="F537" i="12"/>
  <c r="F1305" i="12"/>
  <c r="J1183" i="12"/>
  <c r="G1040" i="12"/>
  <c r="H1040" i="12"/>
  <c r="I1040" i="12"/>
  <c r="H1185" i="12"/>
  <c r="I1185" i="12"/>
  <c r="G1185" i="12"/>
  <c r="J344" i="12"/>
  <c r="G224" i="12"/>
  <c r="I224" i="12"/>
  <c r="H224" i="12"/>
  <c r="F489" i="12"/>
  <c r="I1136" i="12"/>
  <c r="H1136" i="12"/>
  <c r="G1136" i="12"/>
  <c r="J680" i="12"/>
  <c r="J559" i="12"/>
  <c r="F321" i="12"/>
  <c r="F1233" i="12"/>
  <c r="F585" i="12"/>
  <c r="F609" i="12"/>
  <c r="F921" i="12"/>
  <c r="F441" i="12"/>
  <c r="F969" i="12"/>
  <c r="D1210" i="12"/>
  <c r="E1210" i="12"/>
  <c r="E1282" i="12"/>
  <c r="D1282" i="12"/>
  <c r="E1066" i="12"/>
  <c r="D1066" i="12"/>
  <c r="D802" i="12"/>
  <c r="E802" i="12"/>
  <c r="E658" i="12"/>
  <c r="D658" i="12"/>
  <c r="D442" i="12"/>
  <c r="E442" i="12"/>
  <c r="G584" i="12"/>
  <c r="H584" i="12"/>
  <c r="I584" i="12"/>
  <c r="J535" i="12"/>
  <c r="J799" i="12"/>
  <c r="F513" i="12"/>
  <c r="F777" i="12"/>
  <c r="I320" i="12"/>
  <c r="H320" i="12"/>
  <c r="G320" i="12"/>
  <c r="H752" i="12"/>
  <c r="I752" i="12"/>
  <c r="G752" i="12"/>
  <c r="H488" i="12"/>
  <c r="I488" i="12"/>
  <c r="G488" i="12"/>
  <c r="J1399" i="12"/>
  <c r="G825" i="12"/>
  <c r="H825" i="12"/>
  <c r="I825" i="12"/>
  <c r="J1039" i="12"/>
  <c r="H848" i="12"/>
  <c r="G848" i="12"/>
  <c r="I848" i="12"/>
  <c r="G464" i="12"/>
  <c r="H464" i="12"/>
  <c r="I464" i="12"/>
  <c r="F897" i="12"/>
  <c r="F417" i="12"/>
  <c r="J944" i="12"/>
  <c r="G1232" i="12"/>
  <c r="H1232" i="12"/>
  <c r="I1232" i="12"/>
  <c r="I729" i="12"/>
  <c r="H729" i="12"/>
  <c r="G729" i="12"/>
  <c r="D1186" i="12"/>
  <c r="E1186" i="12"/>
  <c r="E1138" i="12"/>
  <c r="D1138" i="12"/>
  <c r="D994" i="12"/>
  <c r="E994" i="12"/>
  <c r="D778" i="12"/>
  <c r="E778" i="12"/>
  <c r="E634" i="12"/>
  <c r="D634" i="12"/>
  <c r="E370" i="12"/>
  <c r="D370" i="12"/>
  <c r="J583" i="12"/>
  <c r="G705" i="12"/>
  <c r="H705" i="12"/>
  <c r="I705" i="12"/>
  <c r="I440" i="12"/>
  <c r="G440" i="12"/>
  <c r="H440" i="12"/>
  <c r="E1114" i="12"/>
  <c r="D1114" i="12"/>
  <c r="D922" i="12"/>
  <c r="E922" i="12"/>
  <c r="E538" i="12"/>
  <c r="D538" i="12"/>
  <c r="E610" i="12"/>
  <c r="D610" i="12"/>
  <c r="D418" i="12"/>
  <c r="E418" i="12"/>
  <c r="J1400" i="12"/>
  <c r="G1256" i="12"/>
  <c r="H1256" i="12"/>
  <c r="I1256" i="12"/>
  <c r="F945" i="12"/>
  <c r="J1375" i="12"/>
  <c r="G872" i="12"/>
  <c r="H872" i="12"/>
  <c r="I872" i="12"/>
  <c r="F1329" i="12"/>
  <c r="J1063" i="12"/>
  <c r="J823" i="12"/>
  <c r="J655" i="12"/>
  <c r="F1041" i="12"/>
  <c r="F561" i="12"/>
  <c r="J1015" i="12"/>
  <c r="F681" i="12"/>
  <c r="G1160" i="12"/>
  <c r="H1160" i="12"/>
  <c r="I1160" i="12"/>
  <c r="G1304" i="12"/>
  <c r="H1304" i="12"/>
  <c r="I1304" i="12"/>
  <c r="E31" i="4"/>
  <c r="D31" i="4"/>
  <c r="C31" i="4"/>
  <c r="H31" i="4"/>
  <c r="F31" i="4"/>
  <c r="G31" i="4" s="1"/>
  <c r="B5" i="4"/>
  <c r="A6" i="4"/>
  <c r="B47" i="4"/>
  <c r="A48" i="4"/>
  <c r="E4" i="4"/>
  <c r="D4" i="4"/>
  <c r="C4" i="4"/>
  <c r="H4" i="4"/>
  <c r="F4" i="4"/>
  <c r="G4" i="4" s="1"/>
  <c r="E204" i="1"/>
  <c r="M102" i="1"/>
  <c r="J101" i="1"/>
  <c r="L99" i="1"/>
  <c r="B103" i="1"/>
  <c r="D101" i="1"/>
  <c r="F99" i="1"/>
  <c r="L102" i="1"/>
  <c r="I101" i="1"/>
  <c r="K99" i="1"/>
  <c r="F102" i="1"/>
  <c r="C101" i="1"/>
  <c r="E99" i="1"/>
  <c r="L103" i="1"/>
  <c r="L101" i="1"/>
  <c r="J99" i="1"/>
  <c r="C102" i="1"/>
  <c r="C100" i="1"/>
  <c r="K103" i="1"/>
  <c r="K101" i="1"/>
  <c r="I99" i="1"/>
  <c r="B102" i="1"/>
  <c r="B100" i="1"/>
  <c r="J103" i="1"/>
  <c r="M100" i="1"/>
  <c r="F103" i="1"/>
  <c r="F101" i="1"/>
  <c r="D99" i="1"/>
  <c r="K102" i="1"/>
  <c r="M99" i="1"/>
  <c r="F100" i="1"/>
  <c r="E103" i="1"/>
  <c r="E100" i="1"/>
  <c r="C103" i="1"/>
  <c r="M103" i="1"/>
  <c r="J100" i="1"/>
  <c r="E101" i="1"/>
  <c r="J102" i="1"/>
  <c r="I102" i="1"/>
  <c r="D103" i="1"/>
  <c r="D100" i="1"/>
  <c r="M101" i="1"/>
  <c r="C99" i="1"/>
  <c r="I103" i="1"/>
  <c r="I100" i="1"/>
  <c r="B101" i="1"/>
  <c r="L100" i="1"/>
  <c r="E102" i="1"/>
  <c r="B99" i="1"/>
  <c r="K100" i="1"/>
  <c r="D102" i="1"/>
  <c r="B32" i="4"/>
  <c r="A33" i="4"/>
  <c r="E46" i="4"/>
  <c r="D46" i="4"/>
  <c r="C46" i="4"/>
  <c r="H46" i="4"/>
  <c r="F46" i="4"/>
  <c r="G46" i="4" s="1"/>
  <c r="F205" i="1"/>
  <c r="B205" i="1"/>
  <c r="A206" i="1"/>
  <c r="D205" i="1"/>
  <c r="C205" i="1"/>
  <c r="J488" i="12" l="1"/>
  <c r="J608" i="12"/>
  <c r="F370" i="12"/>
  <c r="F1138" i="12"/>
  <c r="F1282" i="12"/>
  <c r="F226" i="12"/>
  <c r="I226" i="12" s="1"/>
  <c r="F970" i="12"/>
  <c r="G970" i="12" s="1"/>
  <c r="F298" i="12"/>
  <c r="F1018" i="12"/>
  <c r="G1018" i="12" s="1"/>
  <c r="F562" i="12"/>
  <c r="I562" i="12" s="1"/>
  <c r="F610" i="12"/>
  <c r="I1377" i="12"/>
  <c r="J1352" i="12"/>
  <c r="F322" i="12"/>
  <c r="F274" i="12"/>
  <c r="H1377" i="12"/>
  <c r="J1377" i="12" s="1"/>
  <c r="F1162" i="12"/>
  <c r="J1281" i="12"/>
  <c r="F394" i="12"/>
  <c r="F1354" i="12"/>
  <c r="F466" i="12"/>
  <c r="F490" i="12"/>
  <c r="J1160" i="12"/>
  <c r="J705" i="12"/>
  <c r="J825" i="12"/>
  <c r="J320" i="12"/>
  <c r="J1136" i="12"/>
  <c r="J1185" i="12"/>
  <c r="J1401" i="12"/>
  <c r="F730" i="12"/>
  <c r="J824" i="12"/>
  <c r="J872" i="12"/>
  <c r="F994" i="12"/>
  <c r="J464" i="12"/>
  <c r="J584" i="12"/>
  <c r="G1138" i="12"/>
  <c r="H1138" i="12"/>
  <c r="I1138" i="12"/>
  <c r="G681" i="12"/>
  <c r="H681" i="12"/>
  <c r="I681" i="12"/>
  <c r="G1329" i="12"/>
  <c r="H1329" i="12"/>
  <c r="I1329" i="12"/>
  <c r="J1256" i="12"/>
  <c r="G969" i="12"/>
  <c r="H969" i="12"/>
  <c r="I969" i="12"/>
  <c r="J224" i="12"/>
  <c r="H226" i="12"/>
  <c r="I970" i="12"/>
  <c r="H970" i="12"/>
  <c r="I298" i="12"/>
  <c r="G298" i="12"/>
  <c r="H298" i="12"/>
  <c r="G225" i="12"/>
  <c r="H225" i="12"/>
  <c r="I225" i="12"/>
  <c r="G562" i="12"/>
  <c r="H562" i="12"/>
  <c r="D1187" i="12"/>
  <c r="E1187" i="12"/>
  <c r="E1331" i="12"/>
  <c r="D1331" i="12"/>
  <c r="D731" i="12"/>
  <c r="E731" i="12"/>
  <c r="D1019" i="12"/>
  <c r="E1019" i="12"/>
  <c r="D683" i="12"/>
  <c r="E683" i="12"/>
  <c r="D539" i="12"/>
  <c r="F539" i="12" s="1"/>
  <c r="E539" i="12"/>
  <c r="E347" i="12"/>
  <c r="D347" i="12"/>
  <c r="F347" i="12" s="1"/>
  <c r="G801" i="12"/>
  <c r="H801" i="12"/>
  <c r="I801" i="12"/>
  <c r="F1378" i="12"/>
  <c r="F1066" i="12"/>
  <c r="I537" i="12"/>
  <c r="G537" i="12"/>
  <c r="H537" i="12"/>
  <c r="J729" i="12"/>
  <c r="I897" i="12"/>
  <c r="G897" i="12"/>
  <c r="H897" i="12"/>
  <c r="F922" i="12"/>
  <c r="F778" i="12"/>
  <c r="F802" i="12"/>
  <c r="I441" i="12"/>
  <c r="G441" i="12"/>
  <c r="H441" i="12"/>
  <c r="G1305" i="12"/>
  <c r="H1305" i="12"/>
  <c r="I1305" i="12"/>
  <c r="F1306" i="12"/>
  <c r="F1330" i="12"/>
  <c r="J560" i="12"/>
  <c r="H297" i="12"/>
  <c r="G297" i="12"/>
  <c r="I297" i="12"/>
  <c r="H1161" i="12"/>
  <c r="I1161" i="12"/>
  <c r="G1161" i="12"/>
  <c r="F946" i="12"/>
  <c r="F1090" i="12"/>
  <c r="D1163" i="12"/>
  <c r="E1163" i="12"/>
  <c r="D1307" i="12"/>
  <c r="E1307" i="12"/>
  <c r="E995" i="12"/>
  <c r="D995" i="12"/>
  <c r="E755" i="12"/>
  <c r="D755" i="12"/>
  <c r="D659" i="12"/>
  <c r="E659" i="12"/>
  <c r="D515" i="12"/>
  <c r="E515" i="12"/>
  <c r="E227" i="12"/>
  <c r="D227" i="12"/>
  <c r="H1089" i="12"/>
  <c r="I1089" i="12"/>
  <c r="G1089" i="12"/>
  <c r="F346" i="12"/>
  <c r="J632" i="12"/>
  <c r="G561" i="12"/>
  <c r="H561" i="12"/>
  <c r="I561" i="12"/>
  <c r="H490" i="12"/>
  <c r="I490" i="12"/>
  <c r="G490" i="12"/>
  <c r="J368" i="12"/>
  <c r="G1353" i="12"/>
  <c r="H1353" i="12"/>
  <c r="I1353" i="12"/>
  <c r="J1257" i="12"/>
  <c r="I322" i="12"/>
  <c r="G322" i="12"/>
  <c r="H322" i="12"/>
  <c r="I274" i="12"/>
  <c r="H274" i="12"/>
  <c r="G274" i="12"/>
  <c r="D1115" i="12"/>
  <c r="E1115" i="12"/>
  <c r="E1235" i="12"/>
  <c r="D1235" i="12"/>
  <c r="D971" i="12"/>
  <c r="E971" i="12"/>
  <c r="D803" i="12"/>
  <c r="E803" i="12"/>
  <c r="D635" i="12"/>
  <c r="E635" i="12"/>
  <c r="D491" i="12"/>
  <c r="E491" i="12"/>
  <c r="D251" i="12"/>
  <c r="E251" i="12"/>
  <c r="F1258" i="12"/>
  <c r="G1162" i="12"/>
  <c r="H1162" i="12"/>
  <c r="I1162" i="12"/>
  <c r="J512" i="12"/>
  <c r="I394" i="12"/>
  <c r="G394" i="12"/>
  <c r="H394" i="12"/>
  <c r="H1354" i="12"/>
  <c r="G1354" i="12"/>
  <c r="I1354" i="12"/>
  <c r="D1259" i="12"/>
  <c r="E1259" i="12"/>
  <c r="B252" i="12"/>
  <c r="B348" i="12"/>
  <c r="B324" i="12"/>
  <c r="B228" i="12"/>
  <c r="B420" i="12"/>
  <c r="B276" i="12"/>
  <c r="B300" i="12"/>
  <c r="B492" i="12"/>
  <c r="B396" i="12"/>
  <c r="B468" i="12"/>
  <c r="B516" i="12"/>
  <c r="B372" i="12"/>
  <c r="B444" i="12"/>
  <c r="B588" i="12"/>
  <c r="B612" i="12"/>
  <c r="B636" i="12"/>
  <c r="B660" i="12"/>
  <c r="B684" i="12"/>
  <c r="B540" i="12"/>
  <c r="B564" i="12"/>
  <c r="B852" i="12"/>
  <c r="B876" i="12"/>
  <c r="B780" i="12"/>
  <c r="B804" i="12"/>
  <c r="B828" i="12"/>
  <c r="B924" i="12"/>
  <c r="B948" i="12"/>
  <c r="B972" i="12"/>
  <c r="B996" i="12"/>
  <c r="B1020" i="12"/>
  <c r="B900" i="12"/>
  <c r="B708" i="12"/>
  <c r="B756" i="12"/>
  <c r="B732" i="12"/>
  <c r="B1044" i="12"/>
  <c r="B1092" i="12"/>
  <c r="B1116" i="12"/>
  <c r="B1140" i="12"/>
  <c r="B1164" i="12"/>
  <c r="B1188" i="12"/>
  <c r="B1212" i="12"/>
  <c r="B1236" i="12"/>
  <c r="B1260" i="12"/>
  <c r="B1284" i="12"/>
  <c r="B1068" i="12"/>
  <c r="B1431" i="12"/>
  <c r="A1432" i="12"/>
  <c r="B1356" i="12"/>
  <c r="B1404" i="12"/>
  <c r="B1308" i="12"/>
  <c r="B1332" i="12"/>
  <c r="B1380" i="12"/>
  <c r="D875" i="12"/>
  <c r="E875" i="12"/>
  <c r="D779" i="12"/>
  <c r="E779" i="12"/>
  <c r="D611" i="12"/>
  <c r="E611" i="12"/>
  <c r="E323" i="12"/>
  <c r="D323" i="12"/>
  <c r="J968" i="12"/>
  <c r="J465" i="12"/>
  <c r="F754" i="12"/>
  <c r="H273" i="12"/>
  <c r="G273" i="12"/>
  <c r="I273" i="12"/>
  <c r="J656" i="12"/>
  <c r="H466" i="12"/>
  <c r="I466" i="12"/>
  <c r="G466" i="12"/>
  <c r="F418" i="12"/>
  <c r="I370" i="12"/>
  <c r="H370" i="12"/>
  <c r="G370" i="12"/>
  <c r="F706" i="12"/>
  <c r="H1113" i="12"/>
  <c r="I1113" i="12"/>
  <c r="G1113" i="12"/>
  <c r="J800" i="12"/>
  <c r="F586" i="12"/>
  <c r="F1402" i="12"/>
  <c r="D1091" i="12"/>
  <c r="E1091" i="12"/>
  <c r="E827" i="12"/>
  <c r="D827" i="12"/>
  <c r="F827" i="12" s="1"/>
  <c r="E899" i="12"/>
  <c r="D899" i="12"/>
  <c r="D587" i="12"/>
  <c r="F587" i="12" s="1"/>
  <c r="E587" i="12"/>
  <c r="D419" i="12"/>
  <c r="E419" i="12"/>
  <c r="H1209" i="12"/>
  <c r="I1209" i="12"/>
  <c r="G1209" i="12"/>
  <c r="J1209" i="12" s="1"/>
  <c r="I610" i="12"/>
  <c r="G610" i="12"/>
  <c r="H610" i="12"/>
  <c r="J1232" i="12"/>
  <c r="J848" i="12"/>
  <c r="G777" i="12"/>
  <c r="H777" i="12"/>
  <c r="I777" i="12"/>
  <c r="F442" i="12"/>
  <c r="G585" i="12"/>
  <c r="H585" i="12"/>
  <c r="I585" i="12"/>
  <c r="H489" i="12"/>
  <c r="I489" i="12"/>
  <c r="G489" i="12"/>
  <c r="H1137" i="12"/>
  <c r="I1137" i="12"/>
  <c r="G1137" i="12"/>
  <c r="J992" i="12"/>
  <c r="H249" i="12"/>
  <c r="I249" i="12"/>
  <c r="G249" i="12"/>
  <c r="J920" i="12"/>
  <c r="J1064" i="12"/>
  <c r="F514" i="12"/>
  <c r="E1403" i="12"/>
  <c r="D1403" i="12"/>
  <c r="D1283" i="12"/>
  <c r="E1283" i="12"/>
  <c r="D1067" i="12"/>
  <c r="E1067" i="12"/>
  <c r="E851" i="12"/>
  <c r="D851" i="12"/>
  <c r="E395" i="12"/>
  <c r="D395" i="12"/>
  <c r="E371" i="12"/>
  <c r="D371" i="12"/>
  <c r="F371" i="12" s="1"/>
  <c r="J657" i="12"/>
  <c r="G1065" i="12"/>
  <c r="H1065" i="12"/>
  <c r="I1065" i="12"/>
  <c r="F898" i="12"/>
  <c r="G633" i="12"/>
  <c r="H633" i="12"/>
  <c r="I633" i="12"/>
  <c r="F1114" i="12"/>
  <c r="G609" i="12"/>
  <c r="H609" i="12"/>
  <c r="I609" i="12"/>
  <c r="F682" i="12"/>
  <c r="G945" i="12"/>
  <c r="H945" i="12"/>
  <c r="I945" i="12"/>
  <c r="F538" i="12"/>
  <c r="J440" i="12"/>
  <c r="F634" i="12"/>
  <c r="I513" i="12"/>
  <c r="G513" i="12"/>
  <c r="H513" i="12"/>
  <c r="F658" i="12"/>
  <c r="H1233" i="12"/>
  <c r="G1233" i="12"/>
  <c r="I1233" i="12"/>
  <c r="F826" i="12"/>
  <c r="F850" i="12"/>
  <c r="G345" i="12"/>
  <c r="H345" i="12"/>
  <c r="I345" i="12"/>
  <c r="J1328" i="12"/>
  <c r="J296" i="12"/>
  <c r="H730" i="12"/>
  <c r="I730" i="12"/>
  <c r="G730" i="12"/>
  <c r="H1234" i="12"/>
  <c r="G1234" i="12"/>
  <c r="I1234" i="12"/>
  <c r="D1379" i="12"/>
  <c r="E1379" i="12"/>
  <c r="D1139" i="12"/>
  <c r="E1139" i="12"/>
  <c r="D1043" i="12"/>
  <c r="E1043" i="12"/>
  <c r="D467" i="12"/>
  <c r="E467" i="12"/>
  <c r="D443" i="12"/>
  <c r="E443" i="12"/>
  <c r="D275" i="12"/>
  <c r="E275" i="12"/>
  <c r="G369" i="12"/>
  <c r="I369" i="12"/>
  <c r="H369" i="12"/>
  <c r="J1208" i="12"/>
  <c r="G921" i="12"/>
  <c r="H921" i="12"/>
  <c r="I921" i="12"/>
  <c r="J1304" i="12"/>
  <c r="G1041" i="12"/>
  <c r="H1041" i="12"/>
  <c r="I1041" i="12"/>
  <c r="H1282" i="12"/>
  <c r="G1282" i="12"/>
  <c r="I1282" i="12"/>
  <c r="F1186" i="12"/>
  <c r="H417" i="12"/>
  <c r="I417" i="12"/>
  <c r="G417" i="12"/>
  <c r="J752" i="12"/>
  <c r="F1210" i="12"/>
  <c r="H321" i="12"/>
  <c r="I321" i="12"/>
  <c r="G321" i="12"/>
  <c r="J1040" i="12"/>
  <c r="J1017" i="12"/>
  <c r="J1112" i="12"/>
  <c r="I393" i="12"/>
  <c r="G393" i="12"/>
  <c r="H393" i="12"/>
  <c r="G993" i="12"/>
  <c r="H993" i="12"/>
  <c r="I993" i="12"/>
  <c r="F874" i="12"/>
  <c r="G873" i="12"/>
  <c r="H873" i="12"/>
  <c r="I873" i="12"/>
  <c r="D1211" i="12"/>
  <c r="E1211" i="12"/>
  <c r="E1355" i="12"/>
  <c r="D1355" i="12"/>
  <c r="D947" i="12"/>
  <c r="E947" i="12"/>
  <c r="E923" i="12"/>
  <c r="D923" i="12"/>
  <c r="D707" i="12"/>
  <c r="E707" i="12"/>
  <c r="E563" i="12"/>
  <c r="D563" i="12"/>
  <c r="E299" i="12"/>
  <c r="D299" i="12"/>
  <c r="G753" i="12"/>
  <c r="H753" i="12"/>
  <c r="I753" i="12"/>
  <c r="J1016" i="12"/>
  <c r="F250" i="12"/>
  <c r="F1042" i="12"/>
  <c r="E5" i="4"/>
  <c r="D5" i="4"/>
  <c r="C5" i="4"/>
  <c r="H5" i="4"/>
  <c r="F5" i="4"/>
  <c r="G5" i="4" s="1"/>
  <c r="B48" i="4"/>
  <c r="A49" i="4"/>
  <c r="E205" i="1"/>
  <c r="E47" i="4"/>
  <c r="D47" i="4"/>
  <c r="C47" i="4"/>
  <c r="H47" i="4"/>
  <c r="F47" i="4"/>
  <c r="B33" i="4"/>
  <c r="A34" i="4"/>
  <c r="B6" i="4"/>
  <c r="A7" i="4"/>
  <c r="E32" i="4"/>
  <c r="D32" i="4"/>
  <c r="C32" i="4"/>
  <c r="H32" i="4"/>
  <c r="F32" i="4"/>
  <c r="G32" i="4" s="1"/>
  <c r="A207" i="1"/>
  <c r="F206" i="1"/>
  <c r="D206" i="1"/>
  <c r="C206" i="1"/>
  <c r="B206" i="1"/>
  <c r="J730" i="12" l="1"/>
  <c r="J345" i="12"/>
  <c r="J945" i="12"/>
  <c r="J633" i="12"/>
  <c r="J370" i="12"/>
  <c r="J394" i="12"/>
  <c r="F251" i="12"/>
  <c r="F971" i="12"/>
  <c r="J490" i="12"/>
  <c r="J1089" i="12"/>
  <c r="F395" i="12"/>
  <c r="F1403" i="12"/>
  <c r="F1259" i="12"/>
  <c r="J681" i="12"/>
  <c r="F947" i="12"/>
  <c r="J1041" i="12"/>
  <c r="F1355" i="12"/>
  <c r="J489" i="12"/>
  <c r="J561" i="12"/>
  <c r="I1018" i="12"/>
  <c r="F563" i="12"/>
  <c r="F275" i="12"/>
  <c r="F1139" i="12"/>
  <c r="F875" i="12"/>
  <c r="J1162" i="12"/>
  <c r="F1067" i="12"/>
  <c r="F803" i="12"/>
  <c r="J1353" i="12"/>
  <c r="H1018" i="12"/>
  <c r="G226" i="12"/>
  <c r="J297" i="12"/>
  <c r="G706" i="12"/>
  <c r="H706" i="12"/>
  <c r="I706" i="12"/>
  <c r="E1332" i="12"/>
  <c r="D1332" i="12"/>
  <c r="D1068" i="12"/>
  <c r="E1068" i="12"/>
  <c r="E1116" i="12"/>
  <c r="D1116" i="12"/>
  <c r="D996" i="12"/>
  <c r="E996" i="12"/>
  <c r="D852" i="12"/>
  <c r="E852" i="12"/>
  <c r="D444" i="12"/>
  <c r="E444" i="12"/>
  <c r="D420" i="12"/>
  <c r="E420" i="12"/>
  <c r="J1354" i="12"/>
  <c r="J274" i="12"/>
  <c r="G922" i="12"/>
  <c r="H922" i="12"/>
  <c r="I922" i="12"/>
  <c r="I1066" i="12"/>
  <c r="H1066" i="12"/>
  <c r="G1066" i="12"/>
  <c r="G539" i="12"/>
  <c r="H539" i="12"/>
  <c r="I539" i="12"/>
  <c r="J225" i="12"/>
  <c r="G395" i="12"/>
  <c r="H395" i="12"/>
  <c r="I395" i="12"/>
  <c r="G1042" i="12"/>
  <c r="H1042" i="12"/>
  <c r="I1042" i="12"/>
  <c r="E1308" i="12"/>
  <c r="D1308" i="12"/>
  <c r="E1284" i="12"/>
  <c r="D1284" i="12"/>
  <c r="D1092" i="12"/>
  <c r="E1092" i="12"/>
  <c r="D972" i="12"/>
  <c r="E972" i="12"/>
  <c r="D564" i="12"/>
  <c r="E564" i="12"/>
  <c r="D372" i="12"/>
  <c r="E372" i="12"/>
  <c r="D228" i="12"/>
  <c r="E228" i="12"/>
  <c r="H1258" i="12"/>
  <c r="G1258" i="12"/>
  <c r="I1258" i="12"/>
  <c r="G803" i="12"/>
  <c r="H803" i="12"/>
  <c r="I803" i="12"/>
  <c r="H1378" i="12"/>
  <c r="I1378" i="12"/>
  <c r="G1378" i="12"/>
  <c r="J970" i="12"/>
  <c r="J969" i="12"/>
  <c r="H1355" i="12"/>
  <c r="I1355" i="12"/>
  <c r="G1355" i="12"/>
  <c r="J369" i="12"/>
  <c r="F1043" i="12"/>
  <c r="H850" i="12"/>
  <c r="I850" i="12"/>
  <c r="G850" i="12"/>
  <c r="J513" i="12"/>
  <c r="G682" i="12"/>
  <c r="H682" i="12"/>
  <c r="I682" i="12"/>
  <c r="H898" i="12"/>
  <c r="G898" i="12"/>
  <c r="I898" i="12"/>
  <c r="J321" i="12"/>
  <c r="G1186" i="12"/>
  <c r="H1186" i="12"/>
  <c r="I1186" i="12"/>
  <c r="I826" i="12"/>
  <c r="H826" i="12"/>
  <c r="G826" i="12"/>
  <c r="F851" i="12"/>
  <c r="J1137" i="12"/>
  <c r="J585" i="12"/>
  <c r="J610" i="12"/>
  <c r="H1402" i="12"/>
  <c r="I1402" i="12"/>
  <c r="G1402" i="12"/>
  <c r="J273" i="12"/>
  <c r="F611" i="12"/>
  <c r="E1260" i="12"/>
  <c r="D1260" i="12"/>
  <c r="D1044" i="12"/>
  <c r="E1044" i="12"/>
  <c r="E948" i="12"/>
  <c r="D948" i="12"/>
  <c r="D540" i="12"/>
  <c r="E540" i="12"/>
  <c r="D516" i="12"/>
  <c r="E516" i="12"/>
  <c r="D324" i="12"/>
  <c r="E324" i="12"/>
  <c r="I346" i="12"/>
  <c r="G346" i="12"/>
  <c r="H346" i="12"/>
  <c r="F515" i="12"/>
  <c r="F1307" i="12"/>
  <c r="J1305" i="12"/>
  <c r="J897" i="12"/>
  <c r="F683" i="12"/>
  <c r="F1187" i="12"/>
  <c r="J226" i="12"/>
  <c r="G947" i="12"/>
  <c r="H947" i="12"/>
  <c r="I947" i="12"/>
  <c r="H874" i="12"/>
  <c r="I874" i="12"/>
  <c r="G874" i="12"/>
  <c r="H514" i="12"/>
  <c r="I514" i="12"/>
  <c r="G514" i="12"/>
  <c r="H442" i="12"/>
  <c r="I442" i="12"/>
  <c r="G442" i="12"/>
  <c r="H587" i="12"/>
  <c r="I587" i="12"/>
  <c r="G587" i="12"/>
  <c r="I586" i="12"/>
  <c r="G586" i="12"/>
  <c r="H586" i="12"/>
  <c r="E1404" i="12"/>
  <c r="D1404" i="12"/>
  <c r="F1404" i="12" s="1"/>
  <c r="E1236" i="12"/>
  <c r="D1236" i="12"/>
  <c r="D732" i="12"/>
  <c r="E732" i="12"/>
  <c r="D924" i="12"/>
  <c r="E924" i="12"/>
  <c r="D684" i="12"/>
  <c r="E684" i="12"/>
  <c r="E468" i="12"/>
  <c r="D468" i="12"/>
  <c r="D348" i="12"/>
  <c r="E348" i="12"/>
  <c r="H251" i="12"/>
  <c r="I251" i="12"/>
  <c r="G251" i="12"/>
  <c r="I971" i="12"/>
  <c r="G971" i="12"/>
  <c r="H971" i="12"/>
  <c r="J1018" i="12"/>
  <c r="J1138" i="12"/>
  <c r="J993" i="12"/>
  <c r="F1211" i="12"/>
  <c r="J1282" i="12"/>
  <c r="J921" i="12"/>
  <c r="J609" i="12"/>
  <c r="J1065" i="12"/>
  <c r="F899" i="12"/>
  <c r="I418" i="12"/>
  <c r="H418" i="12"/>
  <c r="G418" i="12"/>
  <c r="G754" i="12"/>
  <c r="H754" i="12"/>
  <c r="I754" i="12"/>
  <c r="F779" i="12"/>
  <c r="E1356" i="12"/>
  <c r="D1356" i="12"/>
  <c r="F1356" i="12" s="1"/>
  <c r="D1212" i="12"/>
  <c r="E1212" i="12"/>
  <c r="D756" i="12"/>
  <c r="E756" i="12"/>
  <c r="D828" i="12"/>
  <c r="E828" i="12"/>
  <c r="D660" i="12"/>
  <c r="E660" i="12"/>
  <c r="D396" i="12"/>
  <c r="E396" i="12"/>
  <c r="D252" i="12"/>
  <c r="E252" i="12"/>
  <c r="F1235" i="12"/>
  <c r="J322" i="12"/>
  <c r="F659" i="12"/>
  <c r="F1163" i="12"/>
  <c r="J441" i="12"/>
  <c r="J801" i="12"/>
  <c r="F1019" i="12"/>
  <c r="F419" i="12"/>
  <c r="H250" i="12"/>
  <c r="G250" i="12"/>
  <c r="I250" i="12"/>
  <c r="G1139" i="12"/>
  <c r="H1139" i="12"/>
  <c r="I1139" i="12"/>
  <c r="F923" i="12"/>
  <c r="J393" i="12"/>
  <c r="G1210" i="12"/>
  <c r="H1210" i="12"/>
  <c r="I1210" i="12"/>
  <c r="F443" i="12"/>
  <c r="F1379" i="12"/>
  <c r="J1233" i="12"/>
  <c r="H538" i="12"/>
  <c r="I538" i="12"/>
  <c r="G538" i="12"/>
  <c r="G1114" i="12"/>
  <c r="H1114" i="12"/>
  <c r="I1114" i="12"/>
  <c r="I1067" i="12"/>
  <c r="H1067" i="12"/>
  <c r="G1067" i="12"/>
  <c r="J1113" i="12"/>
  <c r="J466" i="12"/>
  <c r="D1188" i="12"/>
  <c r="F1188" i="12" s="1"/>
  <c r="E1188" i="12"/>
  <c r="D708" i="12"/>
  <c r="F708" i="12" s="1"/>
  <c r="E708" i="12"/>
  <c r="E804" i="12"/>
  <c r="D804" i="12"/>
  <c r="D636" i="12"/>
  <c r="F636" i="12" s="1"/>
  <c r="E636" i="12"/>
  <c r="D492" i="12"/>
  <c r="F492" i="12" s="1"/>
  <c r="E492" i="12"/>
  <c r="F491" i="12"/>
  <c r="F755" i="12"/>
  <c r="G1090" i="12"/>
  <c r="H1090" i="12"/>
  <c r="I1090" i="12"/>
  <c r="G347" i="12"/>
  <c r="H347" i="12"/>
  <c r="I347" i="12"/>
  <c r="J562" i="12"/>
  <c r="J298" i="12"/>
  <c r="J1329" i="12"/>
  <c r="G563" i="12"/>
  <c r="H563" i="12"/>
  <c r="I563" i="12"/>
  <c r="G371" i="12"/>
  <c r="I371" i="12"/>
  <c r="H371" i="12"/>
  <c r="J249" i="12"/>
  <c r="J777" i="12"/>
  <c r="G827" i="12"/>
  <c r="H827" i="12"/>
  <c r="I827" i="12"/>
  <c r="H875" i="12"/>
  <c r="G875" i="12"/>
  <c r="I875" i="12"/>
  <c r="B229" i="12"/>
  <c r="B373" i="12"/>
  <c r="B325" i="12"/>
  <c r="B253" i="12"/>
  <c r="B445" i="12"/>
  <c r="B469" i="12"/>
  <c r="B493" i="12"/>
  <c r="B301" i="12"/>
  <c r="B349" i="12"/>
  <c r="B277" i="12"/>
  <c r="B421" i="12"/>
  <c r="B397" i="12"/>
  <c r="B517" i="12"/>
  <c r="B565" i="12"/>
  <c r="B541" i="12"/>
  <c r="B685" i="12"/>
  <c r="B589" i="12"/>
  <c r="B613" i="12"/>
  <c r="B637" i="12"/>
  <c r="B661" i="12"/>
  <c r="B757" i="12"/>
  <c r="B781" i="12"/>
  <c r="B805" i="12"/>
  <c r="B829" i="12"/>
  <c r="B853" i="12"/>
  <c r="B709" i="12"/>
  <c r="B733" i="12"/>
  <c r="B877" i="12"/>
  <c r="B901" i="12"/>
  <c r="B1021" i="12"/>
  <c r="B973" i="12"/>
  <c r="B997" i="12"/>
  <c r="B1045" i="12"/>
  <c r="B949" i="12"/>
  <c r="B1069" i="12"/>
  <c r="B1093" i="12"/>
  <c r="B1117" i="12"/>
  <c r="B1141" i="12"/>
  <c r="B1165" i="12"/>
  <c r="B1189" i="12"/>
  <c r="B1213" i="12"/>
  <c r="B1237" i="12"/>
  <c r="B1261" i="12"/>
  <c r="B1285" i="12"/>
  <c r="B925" i="12"/>
  <c r="B1309" i="12"/>
  <c r="B1333" i="12"/>
  <c r="B1357" i="12"/>
  <c r="B1381" i="12"/>
  <c r="B1405" i="12"/>
  <c r="B1432" i="12"/>
  <c r="A1433" i="12"/>
  <c r="E1164" i="12"/>
  <c r="D1164" i="12"/>
  <c r="D900" i="12"/>
  <c r="E900" i="12"/>
  <c r="D780" i="12"/>
  <c r="E780" i="12"/>
  <c r="D612" i="12"/>
  <c r="E612" i="12"/>
  <c r="E300" i="12"/>
  <c r="D300" i="12"/>
  <c r="H1259" i="12"/>
  <c r="I1259" i="12"/>
  <c r="G1259" i="12"/>
  <c r="G946" i="12"/>
  <c r="H946" i="12"/>
  <c r="I946" i="12"/>
  <c r="H1330" i="12"/>
  <c r="I1330" i="12"/>
  <c r="G1330" i="12"/>
  <c r="I802" i="12"/>
  <c r="H802" i="12"/>
  <c r="G802" i="12"/>
  <c r="J537" i="12"/>
  <c r="F731" i="12"/>
  <c r="I994" i="12"/>
  <c r="G994" i="12"/>
  <c r="H994" i="12"/>
  <c r="H1403" i="12"/>
  <c r="I1403" i="12"/>
  <c r="G1403" i="12"/>
  <c r="F1091" i="12"/>
  <c r="G275" i="12"/>
  <c r="H275" i="12"/>
  <c r="I275" i="12"/>
  <c r="I634" i="12"/>
  <c r="G634" i="12"/>
  <c r="H634" i="12"/>
  <c r="F707" i="12"/>
  <c r="J753" i="12"/>
  <c r="F299" i="12"/>
  <c r="J873" i="12"/>
  <c r="J417" i="12"/>
  <c r="F467" i="12"/>
  <c r="J1234" i="12"/>
  <c r="I658" i="12"/>
  <c r="G658" i="12"/>
  <c r="H658" i="12"/>
  <c r="F1283" i="12"/>
  <c r="F323" i="12"/>
  <c r="D1380" i="12"/>
  <c r="E1380" i="12"/>
  <c r="D1140" i="12"/>
  <c r="F1140" i="12" s="1"/>
  <c r="E1140" i="12"/>
  <c r="D1020" i="12"/>
  <c r="E1020" i="12"/>
  <c r="E876" i="12"/>
  <c r="D876" i="12"/>
  <c r="D588" i="12"/>
  <c r="E588" i="12"/>
  <c r="E276" i="12"/>
  <c r="D276" i="12"/>
  <c r="F635" i="12"/>
  <c r="F1115" i="12"/>
  <c r="F227" i="12"/>
  <c r="F995" i="12"/>
  <c r="J1161" i="12"/>
  <c r="H1306" i="12"/>
  <c r="I1306" i="12"/>
  <c r="G1306" i="12"/>
  <c r="I778" i="12"/>
  <c r="H778" i="12"/>
  <c r="G778" i="12"/>
  <c r="F1331" i="12"/>
  <c r="E206" i="1"/>
  <c r="B34" i="4"/>
  <c r="A35" i="4"/>
  <c r="B207" i="1"/>
  <c r="C207" i="1"/>
  <c r="D207" i="1"/>
  <c r="E207" i="1" s="1"/>
  <c r="A208" i="1"/>
  <c r="F207" i="1"/>
  <c r="E33" i="4"/>
  <c r="D33" i="4"/>
  <c r="C33" i="4"/>
  <c r="H33" i="4"/>
  <c r="F33" i="4"/>
  <c r="G33" i="4" s="1"/>
  <c r="E48" i="4"/>
  <c r="D48" i="4"/>
  <c r="C48" i="4"/>
  <c r="H48" i="4"/>
  <c r="F48" i="4"/>
  <c r="G48" i="4" s="1"/>
  <c r="B7" i="4"/>
  <c r="A8" i="4"/>
  <c r="E6" i="4"/>
  <c r="D6" i="4"/>
  <c r="C6" i="4"/>
  <c r="H6" i="4"/>
  <c r="F6" i="4"/>
  <c r="G6" i="4" s="1"/>
  <c r="G47" i="4"/>
  <c r="B49" i="4"/>
  <c r="A50" i="4"/>
  <c r="J1403" i="12" l="1"/>
  <c r="J802" i="12"/>
  <c r="J442" i="12"/>
  <c r="F804" i="12"/>
  <c r="J1067" i="12"/>
  <c r="F516" i="12"/>
  <c r="F564" i="12"/>
  <c r="F1020" i="12"/>
  <c r="H1020" i="12" s="1"/>
  <c r="J946" i="12"/>
  <c r="J1258" i="12"/>
  <c r="F780" i="12"/>
  <c r="G780" i="12" s="1"/>
  <c r="F540" i="12"/>
  <c r="J1330" i="12"/>
  <c r="J875" i="12"/>
  <c r="F1092" i="12"/>
  <c r="F420" i="12"/>
  <c r="J1355" i="12"/>
  <c r="F612" i="12"/>
  <c r="I612" i="12" s="1"/>
  <c r="J658" i="12"/>
  <c r="F828" i="12"/>
  <c r="J971" i="12"/>
  <c r="I1020" i="12"/>
  <c r="G1020" i="12"/>
  <c r="G492" i="12"/>
  <c r="H492" i="12"/>
  <c r="I492" i="12"/>
  <c r="G1163" i="12"/>
  <c r="H1163" i="12"/>
  <c r="I1163" i="12"/>
  <c r="H540" i="12"/>
  <c r="G540" i="12"/>
  <c r="I540" i="12"/>
  <c r="H611" i="12"/>
  <c r="I611" i="12"/>
  <c r="G611" i="12"/>
  <c r="H851" i="12"/>
  <c r="G851" i="12"/>
  <c r="I851" i="12"/>
  <c r="F1284" i="12"/>
  <c r="I420" i="12"/>
  <c r="H420" i="12"/>
  <c r="G420" i="12"/>
  <c r="H635" i="12"/>
  <c r="I635" i="12"/>
  <c r="G635" i="12"/>
  <c r="J635" i="12" s="1"/>
  <c r="H707" i="12"/>
  <c r="G707" i="12"/>
  <c r="I707" i="12"/>
  <c r="G612" i="12"/>
  <c r="H612" i="12"/>
  <c r="E925" i="12"/>
  <c r="D925" i="12"/>
  <c r="D1117" i="12"/>
  <c r="E1117" i="12"/>
  <c r="E901" i="12"/>
  <c r="D901" i="12"/>
  <c r="D757" i="12"/>
  <c r="F757" i="12" s="1"/>
  <c r="E757" i="12"/>
  <c r="D517" i="12"/>
  <c r="E517" i="12"/>
  <c r="E445" i="12"/>
  <c r="D445" i="12"/>
  <c r="G1188" i="12"/>
  <c r="H1188" i="12"/>
  <c r="I1188" i="12"/>
  <c r="G1356" i="12"/>
  <c r="H1356" i="12"/>
  <c r="I1356" i="12"/>
  <c r="J1306" i="12"/>
  <c r="F276" i="12"/>
  <c r="D1405" i="12"/>
  <c r="E1405" i="12"/>
  <c r="D1285" i="12"/>
  <c r="E1285" i="12"/>
  <c r="D1093" i="12"/>
  <c r="E1093" i="12"/>
  <c r="E877" i="12"/>
  <c r="D877" i="12"/>
  <c r="D661" i="12"/>
  <c r="E661" i="12"/>
  <c r="E397" i="12"/>
  <c r="D397" i="12"/>
  <c r="D253" i="12"/>
  <c r="E253" i="12"/>
  <c r="J347" i="12"/>
  <c r="J1114" i="12"/>
  <c r="J250" i="12"/>
  <c r="H659" i="12"/>
  <c r="I659" i="12"/>
  <c r="G659" i="12"/>
  <c r="F660" i="12"/>
  <c r="H899" i="12"/>
  <c r="G899" i="12"/>
  <c r="I899" i="12"/>
  <c r="F348" i="12"/>
  <c r="F732" i="12"/>
  <c r="J587" i="12"/>
  <c r="J346" i="12"/>
  <c r="F948" i="12"/>
  <c r="J826" i="12"/>
  <c r="J898" i="12"/>
  <c r="J1378" i="12"/>
  <c r="F372" i="12"/>
  <c r="J395" i="12"/>
  <c r="I1140" i="12"/>
  <c r="G1140" i="12"/>
  <c r="H1140" i="12"/>
  <c r="J634" i="12"/>
  <c r="J1259" i="12"/>
  <c r="D1381" i="12"/>
  <c r="E1381" i="12"/>
  <c r="D1261" i="12"/>
  <c r="E1261" i="12"/>
  <c r="D1069" i="12"/>
  <c r="F1069" i="12" s="1"/>
  <c r="E1069" i="12"/>
  <c r="D733" i="12"/>
  <c r="E733" i="12"/>
  <c r="D637" i="12"/>
  <c r="E637" i="12"/>
  <c r="E421" i="12"/>
  <c r="D421" i="12"/>
  <c r="F421" i="12" s="1"/>
  <c r="D325" i="12"/>
  <c r="F325" i="12" s="1"/>
  <c r="E325" i="12"/>
  <c r="J827" i="12"/>
  <c r="J563" i="12"/>
  <c r="G636" i="12"/>
  <c r="H636" i="12"/>
  <c r="I636" i="12"/>
  <c r="J538" i="12"/>
  <c r="J1210" i="12"/>
  <c r="G779" i="12"/>
  <c r="H779" i="12"/>
  <c r="I779" i="12"/>
  <c r="F468" i="12"/>
  <c r="F1236" i="12"/>
  <c r="J874" i="12"/>
  <c r="G1187" i="12"/>
  <c r="H1187" i="12"/>
  <c r="I1187" i="12"/>
  <c r="J1402" i="12"/>
  <c r="I1043" i="12"/>
  <c r="G1043" i="12"/>
  <c r="H1043" i="12"/>
  <c r="F1308" i="12"/>
  <c r="F444" i="12"/>
  <c r="F1068" i="12"/>
  <c r="H683" i="12"/>
  <c r="I683" i="12"/>
  <c r="G683" i="12"/>
  <c r="H564" i="12"/>
  <c r="I564" i="12"/>
  <c r="G564" i="12"/>
  <c r="F1332" i="12"/>
  <c r="G1404" i="12"/>
  <c r="H1404" i="12"/>
  <c r="I1404" i="12"/>
  <c r="F324" i="12"/>
  <c r="F1044" i="12"/>
  <c r="J922" i="12"/>
  <c r="F852" i="12"/>
  <c r="F1380" i="12"/>
  <c r="J994" i="12"/>
  <c r="D1333" i="12"/>
  <c r="E1333" i="12"/>
  <c r="E1213" i="12"/>
  <c r="D1213" i="12"/>
  <c r="D1045" i="12"/>
  <c r="E1045" i="12"/>
  <c r="D853" i="12"/>
  <c r="F853" i="12" s="1"/>
  <c r="E853" i="12"/>
  <c r="D589" i="12"/>
  <c r="E589" i="12"/>
  <c r="E349" i="12"/>
  <c r="D349" i="12"/>
  <c r="E229" i="12"/>
  <c r="D229" i="12"/>
  <c r="J1090" i="12"/>
  <c r="H1331" i="12"/>
  <c r="I1331" i="12"/>
  <c r="G1331" i="12"/>
  <c r="H995" i="12"/>
  <c r="I995" i="12"/>
  <c r="G995" i="12"/>
  <c r="J995" i="12" s="1"/>
  <c r="F876" i="12"/>
  <c r="G323" i="12"/>
  <c r="I323" i="12"/>
  <c r="H323" i="12"/>
  <c r="F300" i="12"/>
  <c r="F1164" i="12"/>
  <c r="D1309" i="12"/>
  <c r="E1309" i="12"/>
  <c r="E1189" i="12"/>
  <c r="D1189" i="12"/>
  <c r="D997" i="12"/>
  <c r="E997" i="12"/>
  <c r="D829" i="12"/>
  <c r="E829" i="12"/>
  <c r="E685" i="12"/>
  <c r="D685" i="12"/>
  <c r="F685" i="12" s="1"/>
  <c r="D301" i="12"/>
  <c r="E301" i="12"/>
  <c r="H755" i="12"/>
  <c r="G755" i="12"/>
  <c r="I755" i="12"/>
  <c r="G1019" i="12"/>
  <c r="H1019" i="12"/>
  <c r="I1019" i="12"/>
  <c r="F252" i="12"/>
  <c r="F756" i="12"/>
  <c r="J754" i="12"/>
  <c r="J251" i="12"/>
  <c r="F684" i="12"/>
  <c r="F1260" i="12"/>
  <c r="J682" i="12"/>
  <c r="F972" i="12"/>
  <c r="G467" i="12"/>
  <c r="H467" i="12"/>
  <c r="I467" i="12"/>
  <c r="G804" i="12"/>
  <c r="H804" i="12"/>
  <c r="I804" i="12"/>
  <c r="G419" i="12"/>
  <c r="I419" i="12"/>
  <c r="H419" i="12"/>
  <c r="H1235" i="12"/>
  <c r="G1235" i="12"/>
  <c r="I1235" i="12"/>
  <c r="G828" i="12"/>
  <c r="H828" i="12"/>
  <c r="I828" i="12"/>
  <c r="F588" i="12"/>
  <c r="F900" i="12"/>
  <c r="G1283" i="12"/>
  <c r="H1283" i="12"/>
  <c r="I1283" i="12"/>
  <c r="G299" i="12"/>
  <c r="H299" i="12"/>
  <c r="I299" i="12"/>
  <c r="J275" i="12"/>
  <c r="H731" i="12"/>
  <c r="G731" i="12"/>
  <c r="I731" i="12"/>
  <c r="E1165" i="12"/>
  <c r="D1165" i="12"/>
  <c r="D973" i="12"/>
  <c r="E973" i="12"/>
  <c r="E805" i="12"/>
  <c r="D805" i="12"/>
  <c r="E541" i="12"/>
  <c r="D541" i="12"/>
  <c r="D493" i="12"/>
  <c r="E493" i="12"/>
  <c r="G491" i="12"/>
  <c r="H491" i="12"/>
  <c r="I491" i="12"/>
  <c r="H708" i="12"/>
  <c r="G708" i="12"/>
  <c r="I708" i="12"/>
  <c r="H1379" i="12"/>
  <c r="I1379" i="12"/>
  <c r="G1379" i="12"/>
  <c r="J418" i="12"/>
  <c r="G1211" i="12"/>
  <c r="H1211" i="12"/>
  <c r="I1211" i="12"/>
  <c r="H1307" i="12"/>
  <c r="I1307" i="12"/>
  <c r="G1307" i="12"/>
  <c r="G516" i="12"/>
  <c r="H516" i="12"/>
  <c r="I516" i="12"/>
  <c r="J1186" i="12"/>
  <c r="J803" i="12"/>
  <c r="J1042" i="12"/>
  <c r="J539" i="12"/>
  <c r="F996" i="12"/>
  <c r="D1357" i="12"/>
  <c r="E1357" i="12"/>
  <c r="E1237" i="12"/>
  <c r="D1237" i="12"/>
  <c r="D949" i="12"/>
  <c r="F949" i="12" s="1"/>
  <c r="E949" i="12"/>
  <c r="D709" i="12"/>
  <c r="E709" i="12"/>
  <c r="D613" i="12"/>
  <c r="E613" i="12"/>
  <c r="D277" i="12"/>
  <c r="E277" i="12"/>
  <c r="D373" i="12"/>
  <c r="E373" i="12"/>
  <c r="I923" i="12"/>
  <c r="H923" i="12"/>
  <c r="G923" i="12"/>
  <c r="J778" i="12"/>
  <c r="G227" i="12"/>
  <c r="H227" i="12"/>
  <c r="I227" i="12"/>
  <c r="G1115" i="12"/>
  <c r="H1115" i="12"/>
  <c r="I1115" i="12"/>
  <c r="G1091" i="12"/>
  <c r="H1091" i="12"/>
  <c r="I1091" i="12"/>
  <c r="B230" i="12"/>
  <c r="B254" i="12"/>
  <c r="B398" i="12"/>
  <c r="B326" i="12"/>
  <c r="B278" i="12"/>
  <c r="B350" i="12"/>
  <c r="B374" i="12"/>
  <c r="B446" i="12"/>
  <c r="B470" i="12"/>
  <c r="B494" i="12"/>
  <c r="B302" i="12"/>
  <c r="B566" i="12"/>
  <c r="B590" i="12"/>
  <c r="B614" i="12"/>
  <c r="B638" i="12"/>
  <c r="B662" i="12"/>
  <c r="B686" i="12"/>
  <c r="B710" i="12"/>
  <c r="B734" i="12"/>
  <c r="B758" i="12"/>
  <c r="B518" i="12"/>
  <c r="B422" i="12"/>
  <c r="B542" i="12"/>
  <c r="B782" i="12"/>
  <c r="B806" i="12"/>
  <c r="B830" i="12"/>
  <c r="B854" i="12"/>
  <c r="B878" i="12"/>
  <c r="B902" i="12"/>
  <c r="B974" i="12"/>
  <c r="B1022" i="12"/>
  <c r="B950" i="12"/>
  <c r="B998" i="12"/>
  <c r="B926" i="12"/>
  <c r="B1070" i="12"/>
  <c r="B1094" i="12"/>
  <c r="B1118" i="12"/>
  <c r="B1142" i="12"/>
  <c r="B1046" i="12"/>
  <c r="B1310" i="12"/>
  <c r="B1334" i="12"/>
  <c r="B1358" i="12"/>
  <c r="B1382" i="12"/>
  <c r="B1406" i="12"/>
  <c r="A1434" i="12"/>
  <c r="B1262" i="12"/>
  <c r="B1166" i="12"/>
  <c r="B1190" i="12"/>
  <c r="B1238" i="12"/>
  <c r="B1286" i="12"/>
  <c r="B1214" i="12"/>
  <c r="B1433" i="12"/>
  <c r="D1141" i="12"/>
  <c r="E1141" i="12"/>
  <c r="D1021" i="12"/>
  <c r="E1021" i="12"/>
  <c r="D781" i="12"/>
  <c r="E781" i="12"/>
  <c r="D565" i="12"/>
  <c r="E565" i="12"/>
  <c r="D469" i="12"/>
  <c r="E469" i="12"/>
  <c r="J371" i="12"/>
  <c r="G443" i="12"/>
  <c r="H443" i="12"/>
  <c r="I443" i="12"/>
  <c r="J1139" i="12"/>
  <c r="F396" i="12"/>
  <c r="F1212" i="12"/>
  <c r="F924" i="12"/>
  <c r="J586" i="12"/>
  <c r="J514" i="12"/>
  <c r="J947" i="12"/>
  <c r="I515" i="12"/>
  <c r="G515" i="12"/>
  <c r="H515" i="12"/>
  <c r="J850" i="12"/>
  <c r="F228" i="12"/>
  <c r="I1092" i="12"/>
  <c r="G1092" i="12"/>
  <c r="H1092" i="12"/>
  <c r="J1066" i="12"/>
  <c r="F1116" i="12"/>
  <c r="J706" i="12"/>
  <c r="E34" i="4"/>
  <c r="D34" i="4"/>
  <c r="C34" i="4"/>
  <c r="H34" i="4"/>
  <c r="F34" i="4"/>
  <c r="D208" i="1"/>
  <c r="C208" i="1"/>
  <c r="F208" i="1"/>
  <c r="B208" i="1"/>
  <c r="A209" i="1"/>
  <c r="B8" i="4"/>
  <c r="A9" i="4"/>
  <c r="E7" i="4"/>
  <c r="D7" i="4"/>
  <c r="C7" i="4"/>
  <c r="H7" i="4"/>
  <c r="F7" i="4"/>
  <c r="G7" i="4" s="1"/>
  <c r="B50" i="4"/>
  <c r="A51" i="4"/>
  <c r="E49" i="4"/>
  <c r="D49" i="4"/>
  <c r="C49" i="4"/>
  <c r="H49" i="4"/>
  <c r="F49" i="4"/>
  <c r="B35" i="4"/>
  <c r="A36" i="4"/>
  <c r="J708" i="12" l="1"/>
  <c r="J420" i="12"/>
  <c r="J1043" i="12"/>
  <c r="J636" i="12"/>
  <c r="F637" i="12"/>
  <c r="F1381" i="12"/>
  <c r="F1285" i="12"/>
  <c r="H1285" i="12" s="1"/>
  <c r="J683" i="12"/>
  <c r="I780" i="12"/>
  <c r="F1237" i="12"/>
  <c r="J923" i="12"/>
  <c r="F1357" i="12"/>
  <c r="J1379" i="12"/>
  <c r="F973" i="12"/>
  <c r="J1307" i="12"/>
  <c r="F1165" i="12"/>
  <c r="H780" i="12"/>
  <c r="J755" i="12"/>
  <c r="J1020" i="12"/>
  <c r="J1235" i="12"/>
  <c r="J899" i="12"/>
  <c r="F805" i="12"/>
  <c r="F229" i="12"/>
  <c r="J564" i="12"/>
  <c r="F373" i="12"/>
  <c r="J1163" i="12"/>
  <c r="G757" i="12"/>
  <c r="H757" i="12"/>
  <c r="I757" i="12"/>
  <c r="F901" i="12"/>
  <c r="J612" i="12"/>
  <c r="F1189" i="12"/>
  <c r="J323" i="12"/>
  <c r="F589" i="12"/>
  <c r="F1333" i="12"/>
  <c r="F733" i="12"/>
  <c r="H372" i="12"/>
  <c r="I372" i="12"/>
  <c r="G372" i="12"/>
  <c r="G348" i="12"/>
  <c r="H348" i="12"/>
  <c r="I348" i="12"/>
  <c r="F661" i="12"/>
  <c r="F1405" i="12"/>
  <c r="J1188" i="12"/>
  <c r="H228" i="12"/>
  <c r="I228" i="12"/>
  <c r="G228" i="12"/>
  <c r="I924" i="12"/>
  <c r="G924" i="12"/>
  <c r="H924" i="12"/>
  <c r="I1381" i="12"/>
  <c r="G1381" i="12"/>
  <c r="H1381" i="12"/>
  <c r="I1212" i="12"/>
  <c r="G1212" i="12"/>
  <c r="H1212" i="12"/>
  <c r="F1141" i="12"/>
  <c r="E1190" i="12"/>
  <c r="D1190" i="12"/>
  <c r="D1310" i="12"/>
  <c r="E1310" i="12"/>
  <c r="D950" i="12"/>
  <c r="E950" i="12"/>
  <c r="D782" i="12"/>
  <c r="E782" i="12"/>
  <c r="D662" i="12"/>
  <c r="F662" i="12" s="1"/>
  <c r="E662" i="12"/>
  <c r="D446" i="12"/>
  <c r="E446" i="12"/>
  <c r="J227" i="12"/>
  <c r="H1237" i="12"/>
  <c r="G1237" i="12"/>
  <c r="I1237" i="12"/>
  <c r="G805" i="12"/>
  <c r="H805" i="12"/>
  <c r="I805" i="12"/>
  <c r="J731" i="12"/>
  <c r="J1283" i="12"/>
  <c r="F997" i="12"/>
  <c r="E1166" i="12"/>
  <c r="D1166" i="12"/>
  <c r="F1166" i="12" s="1"/>
  <c r="D1046" i="12"/>
  <c r="E1046" i="12"/>
  <c r="E1022" i="12"/>
  <c r="D1022" i="12"/>
  <c r="E542" i="12"/>
  <c r="D542" i="12"/>
  <c r="E638" i="12"/>
  <c r="D638" i="12"/>
  <c r="D374" i="12"/>
  <c r="E374" i="12"/>
  <c r="F277" i="12"/>
  <c r="J1211" i="12"/>
  <c r="G588" i="12"/>
  <c r="H588" i="12"/>
  <c r="I588" i="12"/>
  <c r="I972" i="12"/>
  <c r="H972" i="12"/>
  <c r="G972" i="12"/>
  <c r="J972" i="12" s="1"/>
  <c r="G252" i="12"/>
  <c r="I252" i="12"/>
  <c r="H252" i="12"/>
  <c r="F301" i="12"/>
  <c r="I876" i="12"/>
  <c r="G876" i="12"/>
  <c r="H876" i="12"/>
  <c r="J1404" i="12"/>
  <c r="G1068" i="12"/>
  <c r="H1068" i="12"/>
  <c r="I1068" i="12"/>
  <c r="J779" i="12"/>
  <c r="J780" i="12"/>
  <c r="F877" i="12"/>
  <c r="G276" i="12"/>
  <c r="I276" i="12"/>
  <c r="H276" i="12"/>
  <c r="F445" i="12"/>
  <c r="J707" i="12"/>
  <c r="G1284" i="12"/>
  <c r="H1284" i="12"/>
  <c r="I1284" i="12"/>
  <c r="J540" i="12"/>
  <c r="J492" i="12"/>
  <c r="E1238" i="12"/>
  <c r="D1238" i="12"/>
  <c r="E1334" i="12"/>
  <c r="D1334" i="12"/>
  <c r="D998" i="12"/>
  <c r="E998" i="12"/>
  <c r="D806" i="12"/>
  <c r="E806" i="12"/>
  <c r="E686" i="12"/>
  <c r="D686" i="12"/>
  <c r="D470" i="12"/>
  <c r="F470" i="12" s="1"/>
  <c r="E470" i="12"/>
  <c r="D230" i="12"/>
  <c r="E230" i="12"/>
  <c r="G373" i="12"/>
  <c r="H373" i="12"/>
  <c r="I373" i="12"/>
  <c r="G949" i="12"/>
  <c r="H949" i="12"/>
  <c r="I949" i="12"/>
  <c r="G732" i="12"/>
  <c r="H732" i="12"/>
  <c r="I732" i="12"/>
  <c r="H396" i="12"/>
  <c r="I396" i="12"/>
  <c r="G396" i="12"/>
  <c r="B279" i="12"/>
  <c r="B255" i="12"/>
  <c r="B327" i="12"/>
  <c r="B303" i="12"/>
  <c r="B231" i="12"/>
  <c r="B375" i="12"/>
  <c r="B351" i="12"/>
  <c r="B423" i="12"/>
  <c r="B447" i="12"/>
  <c r="B519" i="12"/>
  <c r="B543" i="12"/>
  <c r="B567" i="12"/>
  <c r="B471" i="12"/>
  <c r="B591" i="12"/>
  <c r="B615" i="12"/>
  <c r="B639" i="12"/>
  <c r="B663" i="12"/>
  <c r="B687" i="12"/>
  <c r="B711" i="12"/>
  <c r="B399" i="12"/>
  <c r="B495" i="12"/>
  <c r="B759" i="12"/>
  <c r="B735" i="12"/>
  <c r="B879" i="12"/>
  <c r="B783" i="12"/>
  <c r="B855" i="12"/>
  <c r="B975" i="12"/>
  <c r="B1047" i="12"/>
  <c r="B1071" i="12"/>
  <c r="B903" i="12"/>
  <c r="B951" i="12"/>
  <c r="B807" i="12"/>
  <c r="B831" i="12"/>
  <c r="B927" i="12"/>
  <c r="B999" i="12"/>
  <c r="B1023" i="12"/>
  <c r="B1434" i="12"/>
  <c r="B1167" i="12"/>
  <c r="B1191" i="12"/>
  <c r="B1263" i="12"/>
  <c r="B1311" i="12"/>
  <c r="B1335" i="12"/>
  <c r="B1359" i="12"/>
  <c r="B1383" i="12"/>
  <c r="B1407" i="12"/>
  <c r="B1095" i="12"/>
  <c r="B1119" i="12"/>
  <c r="B1215" i="12"/>
  <c r="B1239" i="12"/>
  <c r="B1287" i="12"/>
  <c r="B1143" i="12"/>
  <c r="A1435" i="12"/>
  <c r="E1118" i="12"/>
  <c r="D1118" i="12"/>
  <c r="D902" i="12"/>
  <c r="E902" i="12"/>
  <c r="E518" i="12"/>
  <c r="D518" i="12"/>
  <c r="E590" i="12"/>
  <c r="D590" i="12"/>
  <c r="E278" i="12"/>
  <c r="D278" i="12"/>
  <c r="F613" i="12"/>
  <c r="G1357" i="12"/>
  <c r="H1357" i="12"/>
  <c r="I1357" i="12"/>
  <c r="J516" i="12"/>
  <c r="J491" i="12"/>
  <c r="G973" i="12"/>
  <c r="H973" i="12"/>
  <c r="I973" i="12"/>
  <c r="J419" i="12"/>
  <c r="G685" i="12"/>
  <c r="H685" i="12"/>
  <c r="I685" i="12"/>
  <c r="G853" i="12"/>
  <c r="I853" i="12"/>
  <c r="H853" i="12"/>
  <c r="G1380" i="12"/>
  <c r="H1380" i="12"/>
  <c r="I1380" i="12"/>
  <c r="G1332" i="12"/>
  <c r="H1332" i="12"/>
  <c r="I1332" i="12"/>
  <c r="I444" i="12"/>
  <c r="G444" i="12"/>
  <c r="H444" i="12"/>
  <c r="G325" i="12"/>
  <c r="H325" i="12"/>
  <c r="I325" i="12"/>
  <c r="G1069" i="12"/>
  <c r="H1069" i="12"/>
  <c r="I1069" i="12"/>
  <c r="F1117" i="12"/>
  <c r="G637" i="12"/>
  <c r="H637" i="12"/>
  <c r="I637" i="12"/>
  <c r="F469" i="12"/>
  <c r="J467" i="12"/>
  <c r="J515" i="12"/>
  <c r="F565" i="12"/>
  <c r="D1262" i="12"/>
  <c r="E1262" i="12"/>
  <c r="E1142" i="12"/>
  <c r="D1142" i="12"/>
  <c r="D974" i="12"/>
  <c r="E974" i="12"/>
  <c r="E422" i="12"/>
  <c r="D422" i="12"/>
  <c r="E614" i="12"/>
  <c r="D614" i="12"/>
  <c r="D350" i="12"/>
  <c r="F350" i="12" s="1"/>
  <c r="E350" i="12"/>
  <c r="J1091" i="12"/>
  <c r="F781" i="12"/>
  <c r="D1214" i="12"/>
  <c r="E1214" i="12"/>
  <c r="D1406" i="12"/>
  <c r="E1406" i="12"/>
  <c r="E1094" i="12"/>
  <c r="D1094" i="12"/>
  <c r="D878" i="12"/>
  <c r="E878" i="12"/>
  <c r="D758" i="12"/>
  <c r="E758" i="12"/>
  <c r="E566" i="12"/>
  <c r="D566" i="12"/>
  <c r="E326" i="12"/>
  <c r="D326" i="12"/>
  <c r="H1165" i="12"/>
  <c r="I1165" i="12"/>
  <c r="G1165" i="12"/>
  <c r="F1309" i="12"/>
  <c r="I229" i="12"/>
  <c r="H229" i="12"/>
  <c r="G229" i="12"/>
  <c r="H852" i="12"/>
  <c r="I852" i="12"/>
  <c r="G852" i="12"/>
  <c r="I1308" i="12"/>
  <c r="G1308" i="12"/>
  <c r="H1308" i="12"/>
  <c r="J1187" i="12"/>
  <c r="G421" i="12"/>
  <c r="H421" i="12"/>
  <c r="I421" i="12"/>
  <c r="F925" i="12"/>
  <c r="J851" i="12"/>
  <c r="E1382" i="12"/>
  <c r="D1382" i="12"/>
  <c r="F1382" i="12" s="1"/>
  <c r="E1070" i="12"/>
  <c r="D1070" i="12"/>
  <c r="D854" i="12"/>
  <c r="E854" i="12"/>
  <c r="E734" i="12"/>
  <c r="D734" i="12"/>
  <c r="E302" i="12"/>
  <c r="D302" i="12"/>
  <c r="F302" i="12" s="1"/>
  <c r="E398" i="12"/>
  <c r="D398" i="12"/>
  <c r="J1115" i="12"/>
  <c r="F709" i="12"/>
  <c r="F493" i="12"/>
  <c r="J299" i="12"/>
  <c r="J828" i="12"/>
  <c r="H1260" i="12"/>
  <c r="I1260" i="12"/>
  <c r="G1260" i="12"/>
  <c r="J1019" i="12"/>
  <c r="G1164" i="12"/>
  <c r="H1164" i="12"/>
  <c r="I1164" i="12"/>
  <c r="F1045" i="12"/>
  <c r="F1261" i="12"/>
  <c r="I948" i="12"/>
  <c r="G948" i="12"/>
  <c r="H948" i="12"/>
  <c r="G660" i="12"/>
  <c r="H660" i="12"/>
  <c r="I660" i="12"/>
  <c r="F253" i="12"/>
  <c r="F1093" i="12"/>
  <c r="F517" i="12"/>
  <c r="I324" i="12"/>
  <c r="H324" i="12"/>
  <c r="G324" i="12"/>
  <c r="G468" i="12"/>
  <c r="H468" i="12"/>
  <c r="I468" i="12"/>
  <c r="I900" i="12"/>
  <c r="G900" i="12"/>
  <c r="H900" i="12"/>
  <c r="G756" i="12"/>
  <c r="H756" i="12"/>
  <c r="I756" i="12"/>
  <c r="I1116" i="12"/>
  <c r="G1116" i="12"/>
  <c r="H1116" i="12"/>
  <c r="I996" i="12"/>
  <c r="G996" i="12"/>
  <c r="H996" i="12"/>
  <c r="J1092" i="12"/>
  <c r="J443" i="12"/>
  <c r="F1021" i="12"/>
  <c r="D1286" i="12"/>
  <c r="E1286" i="12"/>
  <c r="E1358" i="12"/>
  <c r="D1358" i="12"/>
  <c r="D926" i="12"/>
  <c r="E926" i="12"/>
  <c r="D830" i="12"/>
  <c r="F830" i="12" s="1"/>
  <c r="E830" i="12"/>
  <c r="D710" i="12"/>
  <c r="E710" i="12"/>
  <c r="E494" i="12"/>
  <c r="D494" i="12"/>
  <c r="D254" i="12"/>
  <c r="E254" i="12"/>
  <c r="F541" i="12"/>
  <c r="J804" i="12"/>
  <c r="G684" i="12"/>
  <c r="H684" i="12"/>
  <c r="I684" i="12"/>
  <c r="F829" i="12"/>
  <c r="I300" i="12"/>
  <c r="G300" i="12"/>
  <c r="H300" i="12"/>
  <c r="J1331" i="12"/>
  <c r="F349" i="12"/>
  <c r="F1213" i="12"/>
  <c r="G1044" i="12"/>
  <c r="H1044" i="12"/>
  <c r="I1044" i="12"/>
  <c r="H1236" i="12"/>
  <c r="G1236" i="12"/>
  <c r="I1236" i="12"/>
  <c r="J1140" i="12"/>
  <c r="J659" i="12"/>
  <c r="F397" i="12"/>
  <c r="J1356" i="12"/>
  <c r="J611" i="12"/>
  <c r="E35" i="4"/>
  <c r="D35" i="4"/>
  <c r="C35" i="4"/>
  <c r="H35" i="4"/>
  <c r="F35" i="4"/>
  <c r="G35" i="4" s="1"/>
  <c r="F209" i="1"/>
  <c r="D209" i="1"/>
  <c r="C209" i="1"/>
  <c r="B209" i="1"/>
  <c r="A210" i="1"/>
  <c r="B36" i="4"/>
  <c r="A37" i="4"/>
  <c r="G49" i="4"/>
  <c r="B51" i="4"/>
  <c r="A52" i="4"/>
  <c r="B9" i="4"/>
  <c r="A10" i="4"/>
  <c r="G34" i="4"/>
  <c r="E50" i="4"/>
  <c r="D50" i="4"/>
  <c r="C50" i="4"/>
  <c r="H50" i="4"/>
  <c r="F50" i="4"/>
  <c r="E8" i="4"/>
  <c r="D8" i="4"/>
  <c r="C8" i="4"/>
  <c r="H8" i="4"/>
  <c r="F8" i="4"/>
  <c r="G8" i="4" s="1"/>
  <c r="E208" i="1"/>
  <c r="J421" i="12" l="1"/>
  <c r="J1357" i="12"/>
  <c r="J325" i="12"/>
  <c r="J852" i="12"/>
  <c r="J468" i="12"/>
  <c r="J300" i="12"/>
  <c r="F950" i="12"/>
  <c r="J372" i="12"/>
  <c r="F614" i="12"/>
  <c r="J1068" i="12"/>
  <c r="J252" i="12"/>
  <c r="J1044" i="12"/>
  <c r="J1308" i="12"/>
  <c r="J973" i="12"/>
  <c r="F1214" i="12"/>
  <c r="J876" i="12"/>
  <c r="F638" i="12"/>
  <c r="I1285" i="12"/>
  <c r="F566" i="12"/>
  <c r="J1069" i="12"/>
  <c r="J732" i="12"/>
  <c r="G1285" i="12"/>
  <c r="J900" i="12"/>
  <c r="J324" i="12"/>
  <c r="F518" i="12"/>
  <c r="G397" i="12"/>
  <c r="H397" i="12"/>
  <c r="I397" i="12"/>
  <c r="J1236" i="12"/>
  <c r="G541" i="12"/>
  <c r="H541" i="12"/>
  <c r="I541" i="12"/>
  <c r="I830" i="12"/>
  <c r="H830" i="12"/>
  <c r="G830" i="12"/>
  <c r="I493" i="12"/>
  <c r="G493" i="12"/>
  <c r="H493" i="12"/>
  <c r="J1165" i="12"/>
  <c r="F758" i="12"/>
  <c r="G1214" i="12"/>
  <c r="H1214" i="12"/>
  <c r="I1214" i="12"/>
  <c r="J853" i="12"/>
  <c r="F590" i="12"/>
  <c r="B256" i="12"/>
  <c r="B232" i="12"/>
  <c r="B328" i="12"/>
  <c r="B352" i="12"/>
  <c r="B280" i="12"/>
  <c r="B304" i="12"/>
  <c r="B424" i="12"/>
  <c r="B472" i="12"/>
  <c r="B376" i="12"/>
  <c r="B448" i="12"/>
  <c r="B568" i="12"/>
  <c r="B520" i="12"/>
  <c r="B496" i="12"/>
  <c r="B400" i="12"/>
  <c r="B544" i="12"/>
  <c r="B592" i="12"/>
  <c r="B616" i="12"/>
  <c r="B640" i="12"/>
  <c r="B760" i="12"/>
  <c r="B664" i="12"/>
  <c r="B736" i="12"/>
  <c r="B784" i="12"/>
  <c r="B808" i="12"/>
  <c r="B832" i="12"/>
  <c r="B928" i="12"/>
  <c r="B952" i="12"/>
  <c r="B976" i="12"/>
  <c r="B1000" i="12"/>
  <c r="B1024" i="12"/>
  <c r="B712" i="12"/>
  <c r="B688" i="12"/>
  <c r="B856" i="12"/>
  <c r="B880" i="12"/>
  <c r="B1048" i="12"/>
  <c r="B1096" i="12"/>
  <c r="B1120" i="12"/>
  <c r="B1144" i="12"/>
  <c r="B1168" i="12"/>
  <c r="B1192" i="12"/>
  <c r="B1216" i="12"/>
  <c r="B1240" i="12"/>
  <c r="B1264" i="12"/>
  <c r="B1288" i="12"/>
  <c r="B904" i="12"/>
  <c r="B1072" i="12"/>
  <c r="A1436" i="12"/>
  <c r="B1435" i="12"/>
  <c r="B1360" i="12"/>
  <c r="B1408" i="12"/>
  <c r="B1312" i="12"/>
  <c r="B1336" i="12"/>
  <c r="B1384" i="12"/>
  <c r="D1095" i="12"/>
  <c r="E1095" i="12"/>
  <c r="D1167" i="12"/>
  <c r="E1167" i="12"/>
  <c r="E903" i="12"/>
  <c r="D903" i="12"/>
  <c r="E759" i="12"/>
  <c r="D759" i="12"/>
  <c r="D591" i="12"/>
  <c r="E591" i="12"/>
  <c r="D375" i="12"/>
  <c r="E375" i="12"/>
  <c r="F686" i="12"/>
  <c r="F1238" i="12"/>
  <c r="I445" i="12"/>
  <c r="G445" i="12"/>
  <c r="H445" i="12"/>
  <c r="F1022" i="12"/>
  <c r="G950" i="12"/>
  <c r="H950" i="12"/>
  <c r="I950" i="12"/>
  <c r="J660" i="12"/>
  <c r="J1164" i="12"/>
  <c r="G709" i="12"/>
  <c r="H709" i="12"/>
  <c r="I709" i="12"/>
  <c r="H277" i="12"/>
  <c r="G277" i="12"/>
  <c r="J277" i="12" s="1"/>
  <c r="I277" i="12"/>
  <c r="H901" i="12"/>
  <c r="I901" i="12"/>
  <c r="G901" i="12"/>
  <c r="G925" i="12"/>
  <c r="H925" i="12"/>
  <c r="I925" i="12"/>
  <c r="D1407" i="12"/>
  <c r="E1407" i="12"/>
  <c r="D1071" i="12"/>
  <c r="E1071" i="12"/>
  <c r="E495" i="12"/>
  <c r="D495" i="12"/>
  <c r="D471" i="12"/>
  <c r="E471" i="12"/>
  <c r="E231" i="12"/>
  <c r="D231" i="12"/>
  <c r="F254" i="12"/>
  <c r="F974" i="12"/>
  <c r="J1332" i="12"/>
  <c r="H518" i="12"/>
  <c r="I518" i="12"/>
  <c r="G518" i="12"/>
  <c r="D1383" i="12"/>
  <c r="F1383" i="12" s="1"/>
  <c r="E1383" i="12"/>
  <c r="E1023" i="12"/>
  <c r="D1023" i="12"/>
  <c r="F1023" i="12" s="1"/>
  <c r="D1047" i="12"/>
  <c r="F1047" i="12" s="1"/>
  <c r="E1047" i="12"/>
  <c r="E399" i="12"/>
  <c r="D399" i="12"/>
  <c r="D567" i="12"/>
  <c r="E567" i="12"/>
  <c r="D303" i="12"/>
  <c r="E303" i="12"/>
  <c r="J373" i="12"/>
  <c r="F446" i="12"/>
  <c r="F1310" i="12"/>
  <c r="J1381" i="12"/>
  <c r="G781" i="12"/>
  <c r="H781" i="12"/>
  <c r="I781" i="12"/>
  <c r="F926" i="12"/>
  <c r="J756" i="12"/>
  <c r="F854" i="12"/>
  <c r="F878" i="12"/>
  <c r="G469" i="12"/>
  <c r="H469" i="12"/>
  <c r="I469" i="12"/>
  <c r="G829" i="12"/>
  <c r="H829" i="12"/>
  <c r="I829" i="12"/>
  <c r="F494" i="12"/>
  <c r="F1358" i="12"/>
  <c r="J996" i="12"/>
  <c r="J948" i="12"/>
  <c r="J1260" i="12"/>
  <c r="F398" i="12"/>
  <c r="F1070" i="12"/>
  <c r="F326" i="12"/>
  <c r="F1094" i="12"/>
  <c r="F1142" i="12"/>
  <c r="J685" i="12"/>
  <c r="D1143" i="12"/>
  <c r="E1143" i="12"/>
  <c r="D1359" i="12"/>
  <c r="E1359" i="12"/>
  <c r="E999" i="12"/>
  <c r="D999" i="12"/>
  <c r="D975" i="12"/>
  <c r="F975" i="12" s="1"/>
  <c r="E975" i="12"/>
  <c r="E711" i="12"/>
  <c r="D711" i="12"/>
  <c r="D543" i="12"/>
  <c r="E543" i="12"/>
  <c r="E327" i="12"/>
  <c r="D327" i="12"/>
  <c r="F806" i="12"/>
  <c r="J276" i="12"/>
  <c r="F374" i="12"/>
  <c r="F1046" i="12"/>
  <c r="J805" i="12"/>
  <c r="F1190" i="12"/>
  <c r="G1405" i="12"/>
  <c r="H1405" i="12"/>
  <c r="I1405" i="12"/>
  <c r="G733" i="12"/>
  <c r="H733" i="12"/>
  <c r="I733" i="12"/>
  <c r="D1287" i="12"/>
  <c r="E1287" i="12"/>
  <c r="D1335" i="12"/>
  <c r="E1335" i="12"/>
  <c r="D927" i="12"/>
  <c r="E927" i="12"/>
  <c r="D855" i="12"/>
  <c r="E855" i="12"/>
  <c r="D687" i="12"/>
  <c r="E687" i="12"/>
  <c r="D519" i="12"/>
  <c r="E519" i="12"/>
  <c r="E255" i="12"/>
  <c r="D255" i="12"/>
  <c r="H877" i="12"/>
  <c r="G877" i="12"/>
  <c r="I877" i="12"/>
  <c r="I638" i="12"/>
  <c r="G638" i="12"/>
  <c r="H638" i="12"/>
  <c r="G1166" i="12"/>
  <c r="H1166" i="12"/>
  <c r="I1166" i="12"/>
  <c r="G662" i="12"/>
  <c r="H662" i="12"/>
  <c r="I662" i="12"/>
  <c r="G661" i="12"/>
  <c r="H661" i="12"/>
  <c r="I661" i="12"/>
  <c r="I1333" i="12"/>
  <c r="G1333" i="12"/>
  <c r="H1333" i="12"/>
  <c r="J757" i="12"/>
  <c r="J229" i="12"/>
  <c r="H1213" i="12"/>
  <c r="I1213" i="12"/>
  <c r="G1213" i="12"/>
  <c r="H1093" i="12"/>
  <c r="I1093" i="12"/>
  <c r="G1093" i="12"/>
  <c r="J1093" i="12" s="1"/>
  <c r="H1261" i="12"/>
  <c r="I1261" i="12"/>
  <c r="G1261" i="12"/>
  <c r="I302" i="12"/>
  <c r="H302" i="12"/>
  <c r="G302" i="12"/>
  <c r="H1382" i="12"/>
  <c r="G1382" i="12"/>
  <c r="I1382" i="12"/>
  <c r="G566" i="12"/>
  <c r="J566" i="12" s="1"/>
  <c r="H566" i="12"/>
  <c r="I566" i="12"/>
  <c r="I614" i="12"/>
  <c r="G614" i="12"/>
  <c r="H614" i="12"/>
  <c r="J637" i="12"/>
  <c r="J1380" i="12"/>
  <c r="G613" i="12"/>
  <c r="J613" i="12" s="1"/>
  <c r="H613" i="12"/>
  <c r="I613" i="12"/>
  <c r="F902" i="12"/>
  <c r="E1239" i="12"/>
  <c r="D1239" i="12"/>
  <c r="D1311" i="12"/>
  <c r="F1311" i="12" s="1"/>
  <c r="E1311" i="12"/>
  <c r="E831" i="12"/>
  <c r="D831" i="12"/>
  <c r="D783" i="12"/>
  <c r="E783" i="12"/>
  <c r="E663" i="12"/>
  <c r="D663" i="12"/>
  <c r="E447" i="12"/>
  <c r="D447" i="12"/>
  <c r="D279" i="12"/>
  <c r="E279" i="12"/>
  <c r="F230" i="12"/>
  <c r="F998" i="12"/>
  <c r="J1237" i="12"/>
  <c r="H1141" i="12"/>
  <c r="I1141" i="12"/>
  <c r="G1141" i="12"/>
  <c r="J924" i="12"/>
  <c r="G589" i="12"/>
  <c r="H589" i="12"/>
  <c r="I589" i="12"/>
  <c r="I350" i="12"/>
  <c r="G350" i="12"/>
  <c r="H350" i="12"/>
  <c r="I349" i="12"/>
  <c r="H349" i="12"/>
  <c r="G349" i="12"/>
  <c r="J684" i="12"/>
  <c r="F710" i="12"/>
  <c r="F1286" i="12"/>
  <c r="J1116" i="12"/>
  <c r="H253" i="12"/>
  <c r="I253" i="12"/>
  <c r="G253" i="12"/>
  <c r="G1045" i="12"/>
  <c r="H1045" i="12"/>
  <c r="I1045" i="12"/>
  <c r="F1406" i="12"/>
  <c r="F1262" i="12"/>
  <c r="H1117" i="12"/>
  <c r="I1117" i="12"/>
  <c r="G1117" i="12"/>
  <c r="J444" i="12"/>
  <c r="F278" i="12"/>
  <c r="F1118" i="12"/>
  <c r="D1215" i="12"/>
  <c r="E1215" i="12"/>
  <c r="E1263" i="12"/>
  <c r="D1263" i="12"/>
  <c r="E807" i="12"/>
  <c r="D807" i="12"/>
  <c r="D879" i="12"/>
  <c r="E879" i="12"/>
  <c r="D639" i="12"/>
  <c r="E639" i="12"/>
  <c r="D423" i="12"/>
  <c r="F423" i="12" s="1"/>
  <c r="E423" i="12"/>
  <c r="F1334" i="12"/>
  <c r="J1284" i="12"/>
  <c r="G301" i="12"/>
  <c r="I301" i="12"/>
  <c r="H301" i="12"/>
  <c r="F542" i="12"/>
  <c r="G997" i="12"/>
  <c r="H997" i="12"/>
  <c r="I997" i="12"/>
  <c r="F782" i="12"/>
  <c r="J1285" i="12"/>
  <c r="I517" i="12"/>
  <c r="G517" i="12"/>
  <c r="H517" i="12"/>
  <c r="H1021" i="12"/>
  <c r="G1021" i="12"/>
  <c r="I1021" i="12"/>
  <c r="F734" i="12"/>
  <c r="G1309" i="12"/>
  <c r="H1309" i="12"/>
  <c r="I1309" i="12"/>
  <c r="F422" i="12"/>
  <c r="G565" i="12"/>
  <c r="H565" i="12"/>
  <c r="I565" i="12"/>
  <c r="D1119" i="12"/>
  <c r="E1119" i="12"/>
  <c r="D1191" i="12"/>
  <c r="F1191" i="12" s="1"/>
  <c r="E1191" i="12"/>
  <c r="D951" i="12"/>
  <c r="E951" i="12"/>
  <c r="E735" i="12"/>
  <c r="D735" i="12"/>
  <c r="F735" i="12" s="1"/>
  <c r="D615" i="12"/>
  <c r="E615" i="12"/>
  <c r="D351" i="12"/>
  <c r="E351" i="12"/>
  <c r="J396" i="12"/>
  <c r="J949" i="12"/>
  <c r="H470" i="12"/>
  <c r="I470" i="12"/>
  <c r="G470" i="12"/>
  <c r="J588" i="12"/>
  <c r="J1212" i="12"/>
  <c r="J228" i="12"/>
  <c r="J348" i="12"/>
  <c r="H1189" i="12"/>
  <c r="I1189" i="12"/>
  <c r="G1189" i="12"/>
  <c r="E209" i="1"/>
  <c r="B52" i="4"/>
  <c r="A53" i="4"/>
  <c r="B37" i="4"/>
  <c r="A38" i="4"/>
  <c r="E51" i="4"/>
  <c r="D51" i="4"/>
  <c r="C51" i="4"/>
  <c r="H51" i="4"/>
  <c r="F51" i="4"/>
  <c r="G51" i="4" s="1"/>
  <c r="E36" i="4"/>
  <c r="D36" i="4"/>
  <c r="C36" i="4"/>
  <c r="H36" i="4"/>
  <c r="F36" i="4"/>
  <c r="G36" i="4" s="1"/>
  <c r="G50" i="4"/>
  <c r="B10" i="4"/>
  <c r="A11" i="4"/>
  <c r="A211" i="1"/>
  <c r="D210" i="1"/>
  <c r="C210" i="1"/>
  <c r="B210" i="1"/>
  <c r="F210" i="1"/>
  <c r="E9" i="4"/>
  <c r="D9" i="4"/>
  <c r="C9" i="4"/>
  <c r="H9" i="4"/>
  <c r="F9" i="4"/>
  <c r="G9" i="4" s="1"/>
  <c r="J1117" i="12" l="1"/>
  <c r="J253" i="12"/>
  <c r="F255" i="12"/>
  <c r="J733" i="12"/>
  <c r="J1309" i="12"/>
  <c r="J301" i="12"/>
  <c r="F879" i="12"/>
  <c r="F783" i="12"/>
  <c r="F495" i="12"/>
  <c r="J925" i="12"/>
  <c r="J1261" i="12"/>
  <c r="J1214" i="12"/>
  <c r="F279" i="12"/>
  <c r="F1071" i="12"/>
  <c r="F231" i="12"/>
  <c r="F663" i="12"/>
  <c r="F1239" i="12"/>
  <c r="F855" i="12"/>
  <c r="F1143" i="12"/>
  <c r="J781" i="12"/>
  <c r="F567" i="12"/>
  <c r="G567" i="12" s="1"/>
  <c r="J493" i="12"/>
  <c r="G1143" i="12"/>
  <c r="H1143" i="12"/>
  <c r="I1143" i="12"/>
  <c r="I567" i="12"/>
  <c r="H1383" i="12"/>
  <c r="I1383" i="12"/>
  <c r="G1383" i="12"/>
  <c r="G231" i="12"/>
  <c r="H231" i="12"/>
  <c r="I231" i="12"/>
  <c r="H1238" i="12"/>
  <c r="G1238" i="12"/>
  <c r="I1238" i="12"/>
  <c r="F903" i="12"/>
  <c r="E1312" i="12"/>
  <c r="D1312" i="12"/>
  <c r="E904" i="12"/>
  <c r="D904" i="12"/>
  <c r="D1120" i="12"/>
  <c r="E1120" i="12"/>
  <c r="D1000" i="12"/>
  <c r="E1000" i="12"/>
  <c r="D664" i="12"/>
  <c r="E664" i="12"/>
  <c r="D520" i="12"/>
  <c r="E520" i="12"/>
  <c r="D352" i="12"/>
  <c r="E352" i="12"/>
  <c r="J565" i="12"/>
  <c r="J997" i="12"/>
  <c r="G1190" i="12"/>
  <c r="H1190" i="12"/>
  <c r="I1190" i="12"/>
  <c r="J1189" i="12"/>
  <c r="H879" i="12"/>
  <c r="I879" i="12"/>
  <c r="G879" i="12"/>
  <c r="I278" i="12"/>
  <c r="G278" i="12"/>
  <c r="H278" i="12"/>
  <c r="H230" i="12"/>
  <c r="I230" i="12"/>
  <c r="G230" i="12"/>
  <c r="G783" i="12"/>
  <c r="H783" i="12"/>
  <c r="I783" i="12"/>
  <c r="J1213" i="12"/>
  <c r="H255" i="12"/>
  <c r="G255" i="12"/>
  <c r="I255" i="12"/>
  <c r="J470" i="12"/>
  <c r="F615" i="12"/>
  <c r="F1119" i="12"/>
  <c r="G734" i="12"/>
  <c r="I734" i="12"/>
  <c r="H734" i="12"/>
  <c r="I782" i="12"/>
  <c r="H782" i="12"/>
  <c r="G782" i="12"/>
  <c r="F807" i="12"/>
  <c r="J1045" i="12"/>
  <c r="J349" i="12"/>
  <c r="J589" i="12"/>
  <c r="F831" i="12"/>
  <c r="J1166" i="12"/>
  <c r="F927" i="12"/>
  <c r="I806" i="12"/>
  <c r="H806" i="12"/>
  <c r="G806" i="12"/>
  <c r="J469" i="12"/>
  <c r="F399" i="12"/>
  <c r="F1407" i="12"/>
  <c r="H686" i="12"/>
  <c r="I686" i="12"/>
  <c r="G686" i="12"/>
  <c r="E1408" i="12"/>
  <c r="D1408" i="12"/>
  <c r="E1288" i="12"/>
  <c r="D1288" i="12"/>
  <c r="D1096" i="12"/>
  <c r="E1096" i="12"/>
  <c r="D976" i="12"/>
  <c r="F976" i="12" s="1"/>
  <c r="E976" i="12"/>
  <c r="D760" i="12"/>
  <c r="F760" i="12" s="1"/>
  <c r="E760" i="12"/>
  <c r="D568" i="12"/>
  <c r="F568" i="12" s="1"/>
  <c r="E568" i="12"/>
  <c r="D328" i="12"/>
  <c r="E328" i="12"/>
  <c r="G758" i="12"/>
  <c r="H758" i="12"/>
  <c r="I758" i="12"/>
  <c r="H735" i="12"/>
  <c r="G735" i="12"/>
  <c r="J735" i="12" s="1"/>
  <c r="I735" i="12"/>
  <c r="H1334" i="12"/>
  <c r="G1334" i="12"/>
  <c r="I1334" i="12"/>
  <c r="G279" i="12"/>
  <c r="H279" i="12"/>
  <c r="I279" i="12"/>
  <c r="G975" i="12"/>
  <c r="I975" i="12"/>
  <c r="H975" i="12"/>
  <c r="G1142" i="12"/>
  <c r="H1142" i="12"/>
  <c r="I1142" i="12"/>
  <c r="H1358" i="12"/>
  <c r="G1358" i="12"/>
  <c r="I1358" i="12"/>
  <c r="I878" i="12"/>
  <c r="G878" i="12"/>
  <c r="H878" i="12"/>
  <c r="H1310" i="12"/>
  <c r="I1310" i="12"/>
  <c r="G1310" i="12"/>
  <c r="J518" i="12"/>
  <c r="E1360" i="12"/>
  <c r="D1360" i="12"/>
  <c r="E1264" i="12"/>
  <c r="D1264" i="12"/>
  <c r="F1264" i="12" s="1"/>
  <c r="E1048" i="12"/>
  <c r="D1048" i="12"/>
  <c r="D952" i="12"/>
  <c r="F952" i="12" s="1"/>
  <c r="E952" i="12"/>
  <c r="D640" i="12"/>
  <c r="E640" i="12"/>
  <c r="D448" i="12"/>
  <c r="E448" i="12"/>
  <c r="D232" i="12"/>
  <c r="F232" i="12" s="1"/>
  <c r="E232" i="12"/>
  <c r="J1021" i="12"/>
  <c r="F1263" i="12"/>
  <c r="J1141" i="12"/>
  <c r="F447" i="12"/>
  <c r="J661" i="12"/>
  <c r="J638" i="12"/>
  <c r="F519" i="12"/>
  <c r="F1335" i="12"/>
  <c r="J1405" i="12"/>
  <c r="F327" i="12"/>
  <c r="F999" i="12"/>
  <c r="G1094" i="12"/>
  <c r="H1094" i="12"/>
  <c r="I1094" i="12"/>
  <c r="H494" i="12"/>
  <c r="G494" i="12"/>
  <c r="I494" i="12"/>
  <c r="H854" i="12"/>
  <c r="G854" i="12"/>
  <c r="I854" i="12"/>
  <c r="H446" i="12"/>
  <c r="I446" i="12"/>
  <c r="G446" i="12"/>
  <c r="F471" i="12"/>
  <c r="J950" i="12"/>
  <c r="F375" i="12"/>
  <c r="F1167" i="12"/>
  <c r="E1240" i="12"/>
  <c r="D1240" i="12"/>
  <c r="E880" i="12"/>
  <c r="D880" i="12"/>
  <c r="D928" i="12"/>
  <c r="E928" i="12"/>
  <c r="D616" i="12"/>
  <c r="E616" i="12"/>
  <c r="D376" i="12"/>
  <c r="E376" i="12"/>
  <c r="D256" i="12"/>
  <c r="F256" i="12" s="1"/>
  <c r="E256" i="12"/>
  <c r="J541" i="12"/>
  <c r="B233" i="12"/>
  <c r="B305" i="12"/>
  <c r="B329" i="12"/>
  <c r="B353" i="12"/>
  <c r="B257" i="12"/>
  <c r="B281" i="12"/>
  <c r="B425" i="12"/>
  <c r="B449" i="12"/>
  <c r="B473" i="12"/>
  <c r="B377" i="12"/>
  <c r="B545" i="12"/>
  <c r="B401" i="12"/>
  <c r="B569" i="12"/>
  <c r="B497" i="12"/>
  <c r="B521" i="12"/>
  <c r="B737" i="12"/>
  <c r="B665" i="12"/>
  <c r="B761" i="12"/>
  <c r="B593" i="12"/>
  <c r="B617" i="12"/>
  <c r="B641" i="12"/>
  <c r="B785" i="12"/>
  <c r="B809" i="12"/>
  <c r="B833" i="12"/>
  <c r="B857" i="12"/>
  <c r="B689" i="12"/>
  <c r="B905" i="12"/>
  <c r="B929" i="12"/>
  <c r="B713" i="12"/>
  <c r="B953" i="12"/>
  <c r="B1001" i="12"/>
  <c r="B881" i="12"/>
  <c r="B1049" i="12"/>
  <c r="B1097" i="12"/>
  <c r="B1121" i="12"/>
  <c r="B1145" i="12"/>
  <c r="B1169" i="12"/>
  <c r="B1193" i="12"/>
  <c r="B1217" i="12"/>
  <c r="B1241" i="12"/>
  <c r="B1265" i="12"/>
  <c r="B1025" i="12"/>
  <c r="B977" i="12"/>
  <c r="B1073" i="12"/>
  <c r="B1289" i="12"/>
  <c r="B1313" i="12"/>
  <c r="B1337" i="12"/>
  <c r="B1361" i="12"/>
  <c r="B1385" i="12"/>
  <c r="B1409" i="12"/>
  <c r="B1436" i="12"/>
  <c r="A1437" i="12"/>
  <c r="E1216" i="12"/>
  <c r="D1216" i="12"/>
  <c r="D856" i="12"/>
  <c r="E856" i="12"/>
  <c r="E832" i="12"/>
  <c r="D832" i="12"/>
  <c r="D592" i="12"/>
  <c r="E592" i="12"/>
  <c r="E472" i="12"/>
  <c r="D472" i="12"/>
  <c r="I590" i="12"/>
  <c r="G590" i="12"/>
  <c r="H590" i="12"/>
  <c r="G423" i="12"/>
  <c r="H423" i="12"/>
  <c r="I423" i="12"/>
  <c r="I1047" i="12"/>
  <c r="G1047" i="12"/>
  <c r="J1047" i="12" s="1"/>
  <c r="H1047" i="12"/>
  <c r="H1262" i="12"/>
  <c r="G1262" i="12"/>
  <c r="I1262" i="12"/>
  <c r="J350" i="12"/>
  <c r="H663" i="12"/>
  <c r="I663" i="12"/>
  <c r="G663" i="12"/>
  <c r="J663" i="12" s="1"/>
  <c r="G1239" i="12"/>
  <c r="H1239" i="12"/>
  <c r="I1239" i="12"/>
  <c r="J1382" i="12"/>
  <c r="F687" i="12"/>
  <c r="F1287" i="12"/>
  <c r="I1070" i="12"/>
  <c r="H1070" i="12"/>
  <c r="G1070" i="12"/>
  <c r="G926" i="12"/>
  <c r="I926" i="12"/>
  <c r="H926" i="12"/>
  <c r="H1023" i="12"/>
  <c r="I1023" i="12"/>
  <c r="G1023" i="12"/>
  <c r="J1023" i="12" s="1"/>
  <c r="J901" i="12"/>
  <c r="F591" i="12"/>
  <c r="F1095" i="12"/>
  <c r="D1192" i="12"/>
  <c r="E1192" i="12"/>
  <c r="E688" i="12"/>
  <c r="D688" i="12"/>
  <c r="F688" i="12" s="1"/>
  <c r="E808" i="12"/>
  <c r="D808" i="12"/>
  <c r="D544" i="12"/>
  <c r="E544" i="12"/>
  <c r="D424" i="12"/>
  <c r="E424" i="12"/>
  <c r="I326" i="12"/>
  <c r="H326" i="12"/>
  <c r="G326" i="12"/>
  <c r="J326" i="12" s="1"/>
  <c r="H495" i="12"/>
  <c r="G495" i="12"/>
  <c r="I495" i="12"/>
  <c r="I1022" i="12"/>
  <c r="G1022" i="12"/>
  <c r="H1022" i="12"/>
  <c r="J517" i="12"/>
  <c r="F639" i="12"/>
  <c r="F1215" i="12"/>
  <c r="H1406" i="12"/>
  <c r="G1406" i="12"/>
  <c r="I1406" i="12"/>
  <c r="H1286" i="12"/>
  <c r="I1286" i="12"/>
  <c r="G1286" i="12"/>
  <c r="J1286" i="12" s="1"/>
  <c r="J614" i="12"/>
  <c r="J662" i="12"/>
  <c r="J877" i="12"/>
  <c r="G1046" i="12"/>
  <c r="H1046" i="12"/>
  <c r="I1046" i="12"/>
  <c r="F543" i="12"/>
  <c r="F1359" i="12"/>
  <c r="I398" i="12"/>
  <c r="G398" i="12"/>
  <c r="H398" i="12"/>
  <c r="J829" i="12"/>
  <c r="F303" i="12"/>
  <c r="G974" i="12"/>
  <c r="H974" i="12"/>
  <c r="I974" i="12"/>
  <c r="J709" i="12"/>
  <c r="J445" i="12"/>
  <c r="F759" i="12"/>
  <c r="E1384" i="12"/>
  <c r="D1384" i="12"/>
  <c r="D1168" i="12"/>
  <c r="E1168" i="12"/>
  <c r="D712" i="12"/>
  <c r="E712" i="12"/>
  <c r="E784" i="12"/>
  <c r="D784" i="12"/>
  <c r="E400" i="12"/>
  <c r="D400" i="12"/>
  <c r="F400" i="12" s="1"/>
  <c r="E304" i="12"/>
  <c r="D304" i="12"/>
  <c r="F304" i="12" s="1"/>
  <c r="J830" i="12"/>
  <c r="H1311" i="12"/>
  <c r="I1311" i="12"/>
  <c r="G1311" i="12"/>
  <c r="F951" i="12"/>
  <c r="I422" i="12"/>
  <c r="G422" i="12"/>
  <c r="H422" i="12"/>
  <c r="G542" i="12"/>
  <c r="H542" i="12"/>
  <c r="I542" i="12"/>
  <c r="F351" i="12"/>
  <c r="G1191" i="12"/>
  <c r="H1191" i="12"/>
  <c r="I1191" i="12"/>
  <c r="G1118" i="12"/>
  <c r="H1118" i="12"/>
  <c r="I1118" i="12"/>
  <c r="G710" i="12"/>
  <c r="H710" i="12"/>
  <c r="I710" i="12"/>
  <c r="I998" i="12"/>
  <c r="G998" i="12"/>
  <c r="H998" i="12"/>
  <c r="G902" i="12"/>
  <c r="H902" i="12"/>
  <c r="I902" i="12"/>
  <c r="J302" i="12"/>
  <c r="J1333" i="12"/>
  <c r="H855" i="12"/>
  <c r="G855" i="12"/>
  <c r="I855" i="12"/>
  <c r="I374" i="12"/>
  <c r="H374" i="12"/>
  <c r="G374" i="12"/>
  <c r="F711" i="12"/>
  <c r="I254" i="12"/>
  <c r="G254" i="12"/>
  <c r="H254" i="12"/>
  <c r="H1071" i="12"/>
  <c r="I1071" i="12"/>
  <c r="G1071" i="12"/>
  <c r="E1336" i="12"/>
  <c r="D1336" i="12"/>
  <c r="D1072" i="12"/>
  <c r="E1072" i="12"/>
  <c r="D1144" i="12"/>
  <c r="E1144" i="12"/>
  <c r="D1024" i="12"/>
  <c r="E1024" i="12"/>
  <c r="E736" i="12"/>
  <c r="D736" i="12"/>
  <c r="E496" i="12"/>
  <c r="D496" i="12"/>
  <c r="D280" i="12"/>
  <c r="E280" i="12"/>
  <c r="J397" i="12"/>
  <c r="B211" i="1"/>
  <c r="A212" i="1"/>
  <c r="F211" i="1"/>
  <c r="D211" i="1"/>
  <c r="E211" i="1" s="1"/>
  <c r="C211" i="1"/>
  <c r="B11" i="4"/>
  <c r="A12" i="4"/>
  <c r="E52" i="4"/>
  <c r="D52" i="4"/>
  <c r="C52" i="4"/>
  <c r="H52" i="4"/>
  <c r="F52" i="4"/>
  <c r="E210" i="1"/>
  <c r="B38" i="4"/>
  <c r="A39" i="4"/>
  <c r="E37" i="4"/>
  <c r="D37" i="4"/>
  <c r="C37" i="4"/>
  <c r="H37" i="4"/>
  <c r="F37" i="4"/>
  <c r="G37" i="4" s="1"/>
  <c r="E10" i="4"/>
  <c r="D10" i="4"/>
  <c r="C10" i="4"/>
  <c r="H10" i="4"/>
  <c r="F10" i="4"/>
  <c r="B53" i="4"/>
  <c r="A54" i="4"/>
  <c r="J975" i="12" l="1"/>
  <c r="J1310" i="12"/>
  <c r="J783" i="12"/>
  <c r="J1311" i="12"/>
  <c r="J495" i="12"/>
  <c r="F544" i="12"/>
  <c r="I544" i="12" s="1"/>
  <c r="F904" i="12"/>
  <c r="F472" i="12"/>
  <c r="F1240" i="12"/>
  <c r="F1024" i="12"/>
  <c r="J902" i="12"/>
  <c r="J542" i="12"/>
  <c r="F640" i="12"/>
  <c r="J734" i="12"/>
  <c r="F712" i="12"/>
  <c r="F616" i="12"/>
  <c r="F1216" i="12"/>
  <c r="F496" i="12"/>
  <c r="J1238" i="12"/>
  <c r="H567" i="12"/>
  <c r="J926" i="12"/>
  <c r="J590" i="12"/>
  <c r="F928" i="12"/>
  <c r="I928" i="12" s="1"/>
  <c r="J494" i="12"/>
  <c r="F1144" i="12"/>
  <c r="J855" i="12"/>
  <c r="J998" i="12"/>
  <c r="J422" i="12"/>
  <c r="J374" i="12"/>
  <c r="J710" i="12"/>
  <c r="H759" i="12"/>
  <c r="G759" i="12"/>
  <c r="I759" i="12"/>
  <c r="H544" i="12"/>
  <c r="G544" i="12"/>
  <c r="G1095" i="12"/>
  <c r="H1095" i="12"/>
  <c r="I1095" i="12"/>
  <c r="H568" i="12"/>
  <c r="I568" i="12"/>
  <c r="G568" i="12"/>
  <c r="H903" i="12"/>
  <c r="G903" i="12"/>
  <c r="I903" i="12"/>
  <c r="G928" i="12"/>
  <c r="G471" i="12"/>
  <c r="H471" i="12"/>
  <c r="I471" i="12"/>
  <c r="H1335" i="12"/>
  <c r="I1335" i="12"/>
  <c r="G1335" i="12"/>
  <c r="D1409" i="12"/>
  <c r="E1409" i="12"/>
  <c r="D1025" i="12"/>
  <c r="E1025" i="12"/>
  <c r="D1097" i="12"/>
  <c r="E1097" i="12"/>
  <c r="D689" i="12"/>
  <c r="E689" i="12"/>
  <c r="E761" i="12"/>
  <c r="D761" i="12"/>
  <c r="D377" i="12"/>
  <c r="E377" i="12"/>
  <c r="D305" i="12"/>
  <c r="E305" i="12"/>
  <c r="G616" i="12"/>
  <c r="H616" i="12"/>
  <c r="I616" i="12"/>
  <c r="G375" i="12"/>
  <c r="H375" i="12"/>
  <c r="I375" i="12"/>
  <c r="G327" i="12"/>
  <c r="H327" i="12"/>
  <c r="I327" i="12"/>
  <c r="H1263" i="12"/>
  <c r="I1263" i="12"/>
  <c r="G1263" i="12"/>
  <c r="G640" i="12"/>
  <c r="H640" i="12"/>
  <c r="I640" i="12"/>
  <c r="J1071" i="12"/>
  <c r="J398" i="12"/>
  <c r="H1215" i="12"/>
  <c r="I1215" i="12"/>
  <c r="G1215" i="12"/>
  <c r="F808" i="12"/>
  <c r="H591" i="12"/>
  <c r="I591" i="12"/>
  <c r="G591" i="12"/>
  <c r="J1070" i="12"/>
  <c r="J1239" i="12"/>
  <c r="F856" i="12"/>
  <c r="D1385" i="12"/>
  <c r="F1385" i="12" s="1"/>
  <c r="E1385" i="12"/>
  <c r="E1265" i="12"/>
  <c r="D1265" i="12"/>
  <c r="E1049" i="12"/>
  <c r="D1049" i="12"/>
  <c r="E857" i="12"/>
  <c r="D857" i="12"/>
  <c r="F857" i="12" s="1"/>
  <c r="D665" i="12"/>
  <c r="E665" i="12"/>
  <c r="E473" i="12"/>
  <c r="D473" i="12"/>
  <c r="E233" i="12"/>
  <c r="D233" i="12"/>
  <c r="J1358" i="12"/>
  <c r="F1408" i="12"/>
  <c r="J806" i="12"/>
  <c r="G1119" i="12"/>
  <c r="H1119" i="12"/>
  <c r="I1119" i="12"/>
  <c r="J879" i="12"/>
  <c r="F1000" i="12"/>
  <c r="G472" i="12"/>
  <c r="H472" i="12"/>
  <c r="I472" i="12"/>
  <c r="I952" i="12"/>
  <c r="G952" i="12"/>
  <c r="J952" i="12" s="1"/>
  <c r="H952" i="12"/>
  <c r="I760" i="12"/>
  <c r="G760" i="12"/>
  <c r="H760" i="12"/>
  <c r="G807" i="12"/>
  <c r="H807" i="12"/>
  <c r="I807" i="12"/>
  <c r="H615" i="12"/>
  <c r="I615" i="12"/>
  <c r="G615" i="12"/>
  <c r="G1024" i="12"/>
  <c r="H1024" i="12"/>
  <c r="I1024" i="12"/>
  <c r="D1337" i="12"/>
  <c r="E1337" i="12"/>
  <c r="D1217" i="12"/>
  <c r="F1217" i="12" s="1"/>
  <c r="E1217" i="12"/>
  <c r="E1001" i="12"/>
  <c r="D1001" i="12"/>
  <c r="D809" i="12"/>
  <c r="E809" i="12"/>
  <c r="D521" i="12"/>
  <c r="E521" i="12"/>
  <c r="E425" i="12"/>
  <c r="D425" i="12"/>
  <c r="F880" i="12"/>
  <c r="J446" i="12"/>
  <c r="I519" i="12"/>
  <c r="G519" i="12"/>
  <c r="H519" i="12"/>
  <c r="F1048" i="12"/>
  <c r="J279" i="12"/>
  <c r="J686" i="12"/>
  <c r="J782" i="12"/>
  <c r="J230" i="12"/>
  <c r="F352" i="12"/>
  <c r="F1120" i="12"/>
  <c r="J567" i="12"/>
  <c r="J758" i="12"/>
  <c r="I976" i="12"/>
  <c r="G976" i="12"/>
  <c r="H976" i="12"/>
  <c r="I927" i="12"/>
  <c r="G927" i="12"/>
  <c r="H927" i="12"/>
  <c r="G904" i="12"/>
  <c r="H904" i="12"/>
  <c r="I904" i="12"/>
  <c r="H1359" i="12"/>
  <c r="I1359" i="12"/>
  <c r="G1359" i="12"/>
  <c r="F1168" i="12"/>
  <c r="G543" i="12"/>
  <c r="H543" i="12"/>
  <c r="I543" i="12"/>
  <c r="G256" i="12"/>
  <c r="H256" i="12"/>
  <c r="I256" i="12"/>
  <c r="I232" i="12"/>
  <c r="G232" i="12"/>
  <c r="H232" i="12"/>
  <c r="G496" i="12"/>
  <c r="H496" i="12"/>
  <c r="I496" i="12"/>
  <c r="H687" i="12"/>
  <c r="I687" i="12"/>
  <c r="G687" i="12"/>
  <c r="F592" i="12"/>
  <c r="E1289" i="12"/>
  <c r="D1289" i="12"/>
  <c r="E1169" i="12"/>
  <c r="D1169" i="12"/>
  <c r="D713" i="12"/>
  <c r="E713" i="12"/>
  <c r="D641" i="12"/>
  <c r="E641" i="12"/>
  <c r="D569" i="12"/>
  <c r="E569" i="12"/>
  <c r="E257" i="12"/>
  <c r="D257" i="12"/>
  <c r="G1240" i="12"/>
  <c r="H1240" i="12"/>
  <c r="I1240" i="12"/>
  <c r="H1264" i="12"/>
  <c r="I1264" i="12"/>
  <c r="G1264" i="12"/>
  <c r="J1264" i="12" s="1"/>
  <c r="J1142" i="12"/>
  <c r="J1334" i="12"/>
  <c r="J255" i="12"/>
  <c r="F520" i="12"/>
  <c r="H712" i="12"/>
  <c r="G712" i="12"/>
  <c r="I712" i="12"/>
  <c r="H639" i="12"/>
  <c r="I639" i="12"/>
  <c r="G639" i="12"/>
  <c r="I1216" i="12"/>
  <c r="G1216" i="12"/>
  <c r="H1216" i="12"/>
  <c r="E1361" i="12"/>
  <c r="D1361" i="12"/>
  <c r="F1361" i="12" s="1"/>
  <c r="D1241" i="12"/>
  <c r="E1241" i="12"/>
  <c r="D881" i="12"/>
  <c r="E881" i="12"/>
  <c r="D833" i="12"/>
  <c r="F833" i="12" s="1"/>
  <c r="E833" i="12"/>
  <c r="D737" i="12"/>
  <c r="E737" i="12"/>
  <c r="D449" i="12"/>
  <c r="E449" i="12"/>
  <c r="G304" i="12"/>
  <c r="H304" i="12"/>
  <c r="I304" i="12"/>
  <c r="F280" i="12"/>
  <c r="J254" i="12"/>
  <c r="I400" i="12"/>
  <c r="G400" i="12"/>
  <c r="H400" i="12"/>
  <c r="J974" i="12"/>
  <c r="J1022" i="12"/>
  <c r="F1072" i="12"/>
  <c r="J1191" i="12"/>
  <c r="I951" i="12"/>
  <c r="G951" i="12"/>
  <c r="H951" i="12"/>
  <c r="F1384" i="12"/>
  <c r="G303" i="12"/>
  <c r="H303" i="12"/>
  <c r="I303" i="12"/>
  <c r="F424" i="12"/>
  <c r="F1192" i="12"/>
  <c r="J423" i="12"/>
  <c r="F832" i="12"/>
  <c r="E1073" i="12"/>
  <c r="D1073" i="12"/>
  <c r="D1145" i="12"/>
  <c r="E1145" i="12"/>
  <c r="E929" i="12"/>
  <c r="D929" i="12"/>
  <c r="F929" i="12" s="1"/>
  <c r="D617" i="12"/>
  <c r="E617" i="12"/>
  <c r="D401" i="12"/>
  <c r="F401" i="12" s="1"/>
  <c r="E401" i="12"/>
  <c r="E353" i="12"/>
  <c r="D353" i="12"/>
  <c r="F376" i="12"/>
  <c r="J1094" i="12"/>
  <c r="G447" i="12"/>
  <c r="H447" i="12"/>
  <c r="I447" i="12"/>
  <c r="F448" i="12"/>
  <c r="J878" i="12"/>
  <c r="F328" i="12"/>
  <c r="F1096" i="12"/>
  <c r="H1407" i="12"/>
  <c r="I1407" i="12"/>
  <c r="G1407" i="12"/>
  <c r="G831" i="12"/>
  <c r="H831" i="12"/>
  <c r="I831" i="12"/>
  <c r="F1312" i="12"/>
  <c r="J231" i="12"/>
  <c r="J1118" i="12"/>
  <c r="G688" i="12"/>
  <c r="H688" i="12"/>
  <c r="I688" i="12"/>
  <c r="G1287" i="12"/>
  <c r="H1287" i="12"/>
  <c r="I1287" i="12"/>
  <c r="B234" i="12"/>
  <c r="B354" i="12"/>
  <c r="B258" i="12"/>
  <c r="B330" i="12"/>
  <c r="B378" i="12"/>
  <c r="B426" i="12"/>
  <c r="B450" i="12"/>
  <c r="B474" i="12"/>
  <c r="B282" i="12"/>
  <c r="B306" i="12"/>
  <c r="B594" i="12"/>
  <c r="B618" i="12"/>
  <c r="B642" i="12"/>
  <c r="B666" i="12"/>
  <c r="B690" i="12"/>
  <c r="B714" i="12"/>
  <c r="B738" i="12"/>
  <c r="B762" i="12"/>
  <c r="B546" i="12"/>
  <c r="B498" i="12"/>
  <c r="B522" i="12"/>
  <c r="B402" i="12"/>
  <c r="B570" i="12"/>
  <c r="B786" i="12"/>
  <c r="B810" i="12"/>
  <c r="B834" i="12"/>
  <c r="B858" i="12"/>
  <c r="B882" i="12"/>
  <c r="B906" i="12"/>
  <c r="B954" i="12"/>
  <c r="B1002" i="12"/>
  <c r="B930" i="12"/>
  <c r="B978" i="12"/>
  <c r="B1026" i="12"/>
  <c r="B1098" i="12"/>
  <c r="B1122" i="12"/>
  <c r="B1146" i="12"/>
  <c r="B1218" i="12"/>
  <c r="B1266" i="12"/>
  <c r="B1290" i="12"/>
  <c r="B1314" i="12"/>
  <c r="B1338" i="12"/>
  <c r="B1362" i="12"/>
  <c r="B1386" i="12"/>
  <c r="B1410" i="12"/>
  <c r="B1437" i="12"/>
  <c r="B1170" i="12"/>
  <c r="B1194" i="12"/>
  <c r="B1074" i="12"/>
  <c r="B1242" i="12"/>
  <c r="B1050" i="12"/>
  <c r="A1438" i="12"/>
  <c r="E1313" i="12"/>
  <c r="D1313" i="12"/>
  <c r="E1193" i="12"/>
  <c r="D1193" i="12"/>
  <c r="D953" i="12"/>
  <c r="E953" i="12"/>
  <c r="D785" i="12"/>
  <c r="E785" i="12"/>
  <c r="D497" i="12"/>
  <c r="F497" i="12" s="1"/>
  <c r="E497" i="12"/>
  <c r="E281" i="12"/>
  <c r="D281" i="12"/>
  <c r="F736" i="12"/>
  <c r="F1336" i="12"/>
  <c r="H711" i="12"/>
  <c r="G711" i="12"/>
  <c r="I711" i="12"/>
  <c r="G351" i="12"/>
  <c r="H351" i="12"/>
  <c r="I351" i="12"/>
  <c r="F784" i="12"/>
  <c r="J1046" i="12"/>
  <c r="J1406" i="12"/>
  <c r="J1262" i="12"/>
  <c r="D977" i="12"/>
  <c r="E977" i="12"/>
  <c r="D1121" i="12"/>
  <c r="E1121" i="12"/>
  <c r="D905" i="12"/>
  <c r="E905" i="12"/>
  <c r="D593" i="12"/>
  <c r="E593" i="12"/>
  <c r="D545" i="12"/>
  <c r="E545" i="12"/>
  <c r="D329" i="12"/>
  <c r="E329" i="12"/>
  <c r="G1167" i="12"/>
  <c r="H1167" i="12"/>
  <c r="I1167" i="12"/>
  <c r="J854" i="12"/>
  <c r="H999" i="12"/>
  <c r="I999" i="12"/>
  <c r="G999" i="12"/>
  <c r="F1360" i="12"/>
  <c r="F1288" i="12"/>
  <c r="G399" i="12"/>
  <c r="H399" i="12"/>
  <c r="I399" i="12"/>
  <c r="J278" i="12"/>
  <c r="J1190" i="12"/>
  <c r="F664" i="12"/>
  <c r="J1383" i="12"/>
  <c r="J1143" i="12"/>
  <c r="D212" i="1"/>
  <c r="E212" i="1" s="1"/>
  <c r="C212" i="1"/>
  <c r="B212" i="1"/>
  <c r="F212" i="1"/>
  <c r="A213" i="1"/>
  <c r="G10" i="4"/>
  <c r="B54" i="4"/>
  <c r="A55" i="4"/>
  <c r="B55" i="4" s="1"/>
  <c r="B39" i="4"/>
  <c r="A40" i="4"/>
  <c r="B40" i="4" s="1"/>
  <c r="B12" i="4"/>
  <c r="A13" i="4"/>
  <c r="E38" i="4"/>
  <c r="D38" i="4"/>
  <c r="C38" i="4"/>
  <c r="H38" i="4"/>
  <c r="F38" i="4"/>
  <c r="G38" i="4" s="1"/>
  <c r="G52" i="4"/>
  <c r="E11" i="4"/>
  <c r="D11" i="4"/>
  <c r="C11" i="4"/>
  <c r="H11" i="4"/>
  <c r="F11" i="4"/>
  <c r="G11" i="4" s="1"/>
  <c r="E53" i="4"/>
  <c r="D53" i="4"/>
  <c r="C53" i="4"/>
  <c r="H53" i="4"/>
  <c r="F53" i="4"/>
  <c r="J999" i="12" l="1"/>
  <c r="J375" i="12"/>
  <c r="J1216" i="12"/>
  <c r="J591" i="12"/>
  <c r="F713" i="12"/>
  <c r="J976" i="12"/>
  <c r="F1289" i="12"/>
  <c r="J496" i="12"/>
  <c r="J904" i="12"/>
  <c r="F665" i="12"/>
  <c r="H928" i="12"/>
  <c r="J928" i="12" s="1"/>
  <c r="J759" i="12"/>
  <c r="J831" i="12"/>
  <c r="F809" i="12"/>
  <c r="J472" i="12"/>
  <c r="J447" i="12"/>
  <c r="F617" i="12"/>
  <c r="G617" i="12" s="1"/>
  <c r="J951" i="12"/>
  <c r="J687" i="12"/>
  <c r="J1359" i="12"/>
  <c r="F281" i="12"/>
  <c r="F353" i="12"/>
  <c r="J615" i="12"/>
  <c r="J903" i="12"/>
  <c r="H281" i="12"/>
  <c r="G281" i="12"/>
  <c r="I281" i="12"/>
  <c r="G1361" i="12"/>
  <c r="H1361" i="12"/>
  <c r="I1361" i="12"/>
  <c r="H1217" i="12"/>
  <c r="I1217" i="12"/>
  <c r="G1217" i="12"/>
  <c r="G665" i="12"/>
  <c r="H665" i="12"/>
  <c r="I665" i="12"/>
  <c r="I1385" i="12"/>
  <c r="G1385" i="12"/>
  <c r="H1385" i="12"/>
  <c r="J1215" i="12"/>
  <c r="J1263" i="12"/>
  <c r="F761" i="12"/>
  <c r="F329" i="12"/>
  <c r="G1289" i="12"/>
  <c r="H1289" i="12"/>
  <c r="I1289" i="12"/>
  <c r="G1048" i="12"/>
  <c r="H1048" i="12"/>
  <c r="I1048" i="12"/>
  <c r="J1119" i="12"/>
  <c r="G857" i="12"/>
  <c r="H857" i="12"/>
  <c r="I857" i="12"/>
  <c r="G856" i="12"/>
  <c r="H856" i="12"/>
  <c r="I856" i="12"/>
  <c r="F1409" i="12"/>
  <c r="G1360" i="12"/>
  <c r="H1360" i="12"/>
  <c r="I1360" i="12"/>
  <c r="I617" i="12"/>
  <c r="F1313" i="12"/>
  <c r="D1194" i="12"/>
  <c r="E1194" i="12"/>
  <c r="E1290" i="12"/>
  <c r="D1290" i="12"/>
  <c r="E930" i="12"/>
  <c r="D930" i="12"/>
  <c r="D786" i="12"/>
  <c r="E786" i="12"/>
  <c r="E714" i="12"/>
  <c r="D714" i="12"/>
  <c r="D474" i="12"/>
  <c r="E474" i="12"/>
  <c r="I1096" i="12"/>
  <c r="G1096" i="12"/>
  <c r="H1096" i="12"/>
  <c r="G376" i="12"/>
  <c r="H376" i="12"/>
  <c r="I376" i="12"/>
  <c r="H424" i="12"/>
  <c r="I424" i="12"/>
  <c r="G424" i="12"/>
  <c r="G280" i="12"/>
  <c r="H280" i="12"/>
  <c r="I280" i="12"/>
  <c r="F569" i="12"/>
  <c r="J543" i="12"/>
  <c r="I1120" i="12"/>
  <c r="G1120" i="12"/>
  <c r="H1120" i="12"/>
  <c r="F521" i="12"/>
  <c r="F1337" i="12"/>
  <c r="J1335" i="12"/>
  <c r="D1074" i="12"/>
  <c r="E1074" i="12"/>
  <c r="D1314" i="12"/>
  <c r="E1314" i="12"/>
  <c r="E978" i="12"/>
  <c r="D978" i="12"/>
  <c r="D810" i="12"/>
  <c r="E810" i="12"/>
  <c r="E738" i="12"/>
  <c r="D738" i="12"/>
  <c r="D282" i="12"/>
  <c r="E282" i="12"/>
  <c r="E234" i="12"/>
  <c r="D234" i="12"/>
  <c r="F737" i="12"/>
  <c r="I497" i="12"/>
  <c r="G497" i="12"/>
  <c r="H497" i="12"/>
  <c r="G1312" i="12"/>
  <c r="H1312" i="12"/>
  <c r="I1312" i="12"/>
  <c r="G328" i="12"/>
  <c r="H328" i="12"/>
  <c r="I328" i="12"/>
  <c r="I353" i="12"/>
  <c r="G353" i="12"/>
  <c r="H353" i="12"/>
  <c r="H1072" i="12"/>
  <c r="G1072" i="12"/>
  <c r="I1072" i="12"/>
  <c r="G833" i="12"/>
  <c r="H833" i="12"/>
  <c r="I833" i="12"/>
  <c r="G592" i="12"/>
  <c r="J592" i="12" s="1"/>
  <c r="H592" i="12"/>
  <c r="I592" i="12"/>
  <c r="J232" i="12"/>
  <c r="G1168" i="12"/>
  <c r="H1168" i="12"/>
  <c r="I1168" i="12"/>
  <c r="J927" i="12"/>
  <c r="G352" i="12"/>
  <c r="J352" i="12" s="1"/>
  <c r="I352" i="12"/>
  <c r="H352" i="12"/>
  <c r="J519" i="12"/>
  <c r="J807" i="12"/>
  <c r="G1408" i="12"/>
  <c r="H1408" i="12"/>
  <c r="I1408" i="12"/>
  <c r="F233" i="12"/>
  <c r="F1049" i="12"/>
  <c r="J616" i="12"/>
  <c r="F689" i="12"/>
  <c r="J1095" i="12"/>
  <c r="F1193" i="12"/>
  <c r="J711" i="12"/>
  <c r="G520" i="12"/>
  <c r="H520" i="12"/>
  <c r="I520" i="12"/>
  <c r="G809" i="12"/>
  <c r="H809" i="12"/>
  <c r="I809" i="12"/>
  <c r="E1338" i="12"/>
  <c r="D1338" i="12"/>
  <c r="D1026" i="12"/>
  <c r="E1026" i="12"/>
  <c r="D834" i="12"/>
  <c r="E834" i="12"/>
  <c r="E762" i="12"/>
  <c r="D762" i="12"/>
  <c r="D306" i="12"/>
  <c r="E306" i="12"/>
  <c r="D354" i="12"/>
  <c r="E354" i="12"/>
  <c r="J712" i="12"/>
  <c r="F545" i="12"/>
  <c r="F977" i="12"/>
  <c r="E1266" i="12"/>
  <c r="D1266" i="12"/>
  <c r="B235" i="12"/>
  <c r="B379" i="12"/>
  <c r="B355" i="12"/>
  <c r="B259" i="12"/>
  <c r="B331" i="12"/>
  <c r="B307" i="12"/>
  <c r="B283" i="12"/>
  <c r="B403" i="12"/>
  <c r="B427" i="12"/>
  <c r="B499" i="12"/>
  <c r="B523" i="12"/>
  <c r="B547" i="12"/>
  <c r="B571" i="12"/>
  <c r="B475" i="12"/>
  <c r="B595" i="12"/>
  <c r="B619" i="12"/>
  <c r="B643" i="12"/>
  <c r="B667" i="12"/>
  <c r="B691" i="12"/>
  <c r="B715" i="12"/>
  <c r="B451" i="12"/>
  <c r="B739" i="12"/>
  <c r="B763" i="12"/>
  <c r="B787" i="12"/>
  <c r="B1051" i="12"/>
  <c r="B1075" i="12"/>
  <c r="B811" i="12"/>
  <c r="B835" i="12"/>
  <c r="B859" i="12"/>
  <c r="B883" i="12"/>
  <c r="B1003" i="12"/>
  <c r="B1027" i="12"/>
  <c r="B955" i="12"/>
  <c r="B907" i="12"/>
  <c r="B931" i="12"/>
  <c r="B979" i="12"/>
  <c r="B1267" i="12"/>
  <c r="A1439" i="12"/>
  <c r="B1099" i="12"/>
  <c r="B1291" i="12"/>
  <c r="B1315" i="12"/>
  <c r="B1339" i="12"/>
  <c r="B1363" i="12"/>
  <c r="B1387" i="12"/>
  <c r="B1411" i="12"/>
  <c r="B1123" i="12"/>
  <c r="B1243" i="12"/>
  <c r="B1147" i="12"/>
  <c r="B1171" i="12"/>
  <c r="B1195" i="12"/>
  <c r="B1219" i="12"/>
  <c r="B1438" i="12"/>
  <c r="E1218" i="12"/>
  <c r="D1218" i="12"/>
  <c r="E954" i="12"/>
  <c r="D954" i="12"/>
  <c r="E402" i="12"/>
  <c r="D402" i="12"/>
  <c r="E666" i="12"/>
  <c r="D666" i="12"/>
  <c r="E426" i="12"/>
  <c r="D426" i="12"/>
  <c r="J1287" i="12"/>
  <c r="F1145" i="12"/>
  <c r="F641" i="12"/>
  <c r="F593" i="12"/>
  <c r="F785" i="12"/>
  <c r="E1410" i="12"/>
  <c r="D1410" i="12"/>
  <c r="E1146" i="12"/>
  <c r="D1146" i="12"/>
  <c r="E906" i="12"/>
  <c r="D906" i="12"/>
  <c r="E522" i="12"/>
  <c r="D522" i="12"/>
  <c r="F522" i="12" s="1"/>
  <c r="E642" i="12"/>
  <c r="D642" i="12"/>
  <c r="E378" i="12"/>
  <c r="D378" i="12"/>
  <c r="G448" i="12"/>
  <c r="H448" i="12"/>
  <c r="I448" i="12"/>
  <c r="F1073" i="12"/>
  <c r="J303" i="12"/>
  <c r="J304" i="12"/>
  <c r="F881" i="12"/>
  <c r="J639" i="12"/>
  <c r="F1001" i="12"/>
  <c r="J1024" i="12"/>
  <c r="J760" i="12"/>
  <c r="I1000" i="12"/>
  <c r="G1000" i="12"/>
  <c r="H1000" i="12"/>
  <c r="F473" i="12"/>
  <c r="F1265" i="12"/>
  <c r="J327" i="12"/>
  <c r="F305" i="12"/>
  <c r="F1097" i="12"/>
  <c r="J544" i="12"/>
  <c r="G664" i="12"/>
  <c r="H664" i="12"/>
  <c r="I664" i="12"/>
  <c r="F1121" i="12"/>
  <c r="J351" i="12"/>
  <c r="D1050" i="12"/>
  <c r="E1050" i="12"/>
  <c r="D1386" i="12"/>
  <c r="E1386" i="12"/>
  <c r="E1122" i="12"/>
  <c r="D1122" i="12"/>
  <c r="E882" i="12"/>
  <c r="D882" i="12"/>
  <c r="E498" i="12"/>
  <c r="D498" i="12"/>
  <c r="F498" i="12" s="1"/>
  <c r="E618" i="12"/>
  <c r="D618" i="12"/>
  <c r="D330" i="12"/>
  <c r="F330" i="12" s="1"/>
  <c r="E330" i="12"/>
  <c r="G1384" i="12"/>
  <c r="H1384" i="12"/>
  <c r="I1384" i="12"/>
  <c r="J1240" i="12"/>
  <c r="H713" i="12"/>
  <c r="I713" i="12"/>
  <c r="G713" i="12"/>
  <c r="H880" i="12"/>
  <c r="I880" i="12"/>
  <c r="G880" i="12"/>
  <c r="J568" i="12"/>
  <c r="G929" i="12"/>
  <c r="H929" i="12"/>
  <c r="I929" i="12"/>
  <c r="G1192" i="12"/>
  <c r="H1192" i="12"/>
  <c r="I1192" i="12"/>
  <c r="D1170" i="12"/>
  <c r="E1170" i="12"/>
  <c r="E1002" i="12"/>
  <c r="D1002" i="12"/>
  <c r="E570" i="12"/>
  <c r="D570" i="12"/>
  <c r="E690" i="12"/>
  <c r="D690" i="12"/>
  <c r="D450" i="12"/>
  <c r="E450" i="12"/>
  <c r="J399" i="12"/>
  <c r="G1336" i="12"/>
  <c r="H1336" i="12"/>
  <c r="I1336" i="12"/>
  <c r="G401" i="12"/>
  <c r="H401" i="12"/>
  <c r="I401" i="12"/>
  <c r="H1288" i="12"/>
  <c r="G1288" i="12"/>
  <c r="I1288" i="12"/>
  <c r="J1167" i="12"/>
  <c r="F905" i="12"/>
  <c r="G784" i="12"/>
  <c r="H784" i="12"/>
  <c r="I784" i="12"/>
  <c r="G736" i="12"/>
  <c r="H736" i="12"/>
  <c r="I736" i="12"/>
  <c r="F953" i="12"/>
  <c r="D1242" i="12"/>
  <c r="E1242" i="12"/>
  <c r="E1362" i="12"/>
  <c r="D1362" i="12"/>
  <c r="E1098" i="12"/>
  <c r="D1098" i="12"/>
  <c r="F1098" i="12" s="1"/>
  <c r="D858" i="12"/>
  <c r="E858" i="12"/>
  <c r="E546" i="12"/>
  <c r="D546" i="12"/>
  <c r="E594" i="12"/>
  <c r="D594" i="12"/>
  <c r="D258" i="12"/>
  <c r="E258" i="12"/>
  <c r="J688" i="12"/>
  <c r="J1407" i="12"/>
  <c r="G832" i="12"/>
  <c r="H832" i="12"/>
  <c r="I832" i="12"/>
  <c r="J400" i="12"/>
  <c r="F449" i="12"/>
  <c r="F1241" i="12"/>
  <c r="F257" i="12"/>
  <c r="F1169" i="12"/>
  <c r="J256" i="12"/>
  <c r="F425" i="12"/>
  <c r="G808" i="12"/>
  <c r="H808" i="12"/>
  <c r="I808" i="12"/>
  <c r="J640" i="12"/>
  <c r="F377" i="12"/>
  <c r="F1025" i="12"/>
  <c r="J471" i="12"/>
  <c r="I1144" i="12"/>
  <c r="G1144" i="12"/>
  <c r="H1144" i="12"/>
  <c r="F213" i="1"/>
  <c r="A214" i="1"/>
  <c r="D213" i="1"/>
  <c r="B213" i="1"/>
  <c r="C213" i="1"/>
  <c r="G53" i="4"/>
  <c r="E55" i="4"/>
  <c r="D55" i="4"/>
  <c r="C55" i="4"/>
  <c r="H55" i="4"/>
  <c r="F55" i="4"/>
  <c r="G55" i="4" s="1"/>
  <c r="E54" i="4"/>
  <c r="D54" i="4"/>
  <c r="C54" i="4"/>
  <c r="H54" i="4"/>
  <c r="F54" i="4"/>
  <c r="G54" i="4" s="1"/>
  <c r="B13" i="4"/>
  <c r="A14" i="4"/>
  <c r="E12" i="4"/>
  <c r="D12" i="4"/>
  <c r="C12" i="4"/>
  <c r="H12" i="4"/>
  <c r="F12" i="4"/>
  <c r="G12" i="4" s="1"/>
  <c r="E40" i="4"/>
  <c r="D40" i="4"/>
  <c r="C40" i="4"/>
  <c r="H40" i="4"/>
  <c r="F40" i="4"/>
  <c r="G40" i="4" s="1"/>
  <c r="E39" i="4"/>
  <c r="D39" i="4"/>
  <c r="C39" i="4"/>
  <c r="H39" i="4"/>
  <c r="F39" i="4"/>
  <c r="J520" i="12" l="1"/>
  <c r="J497" i="12"/>
  <c r="J832" i="12"/>
  <c r="F1242" i="12"/>
  <c r="F666" i="12"/>
  <c r="J1312" i="12"/>
  <c r="F282" i="12"/>
  <c r="F1314" i="12"/>
  <c r="F1026" i="12"/>
  <c r="J448" i="12"/>
  <c r="F306" i="12"/>
  <c r="J1408" i="12"/>
  <c r="J1144" i="12"/>
  <c r="J808" i="12"/>
  <c r="F690" i="12"/>
  <c r="J1384" i="12"/>
  <c r="H617" i="12"/>
  <c r="F1002" i="12"/>
  <c r="J1192" i="12"/>
  <c r="J713" i="12"/>
  <c r="G953" i="12"/>
  <c r="H953" i="12"/>
  <c r="I953" i="12"/>
  <c r="H425" i="12"/>
  <c r="I425" i="12"/>
  <c r="G425" i="12"/>
  <c r="F546" i="12"/>
  <c r="J784" i="12"/>
  <c r="J401" i="12"/>
  <c r="F1122" i="12"/>
  <c r="G473" i="12"/>
  <c r="H473" i="12"/>
  <c r="I473" i="12"/>
  <c r="F378" i="12"/>
  <c r="F1146" i="12"/>
  <c r="H1145" i="12"/>
  <c r="I1145" i="12"/>
  <c r="G1145" i="12"/>
  <c r="F954" i="12"/>
  <c r="D1171" i="12"/>
  <c r="E1171" i="12"/>
  <c r="D1315" i="12"/>
  <c r="E1315" i="12"/>
  <c r="E907" i="12"/>
  <c r="D907" i="12"/>
  <c r="E1075" i="12"/>
  <c r="D1075" i="12"/>
  <c r="D667" i="12"/>
  <c r="E667" i="12"/>
  <c r="D499" i="12"/>
  <c r="E499" i="12"/>
  <c r="D379" i="12"/>
  <c r="E379" i="12"/>
  <c r="F354" i="12"/>
  <c r="G1026" i="12"/>
  <c r="H1026" i="12"/>
  <c r="I1026" i="12"/>
  <c r="I233" i="12"/>
  <c r="G233" i="12"/>
  <c r="H233" i="12"/>
  <c r="J1120" i="12"/>
  <c r="J424" i="12"/>
  <c r="J617" i="12"/>
  <c r="J856" i="12"/>
  <c r="J1385" i="12"/>
  <c r="D1147" i="12"/>
  <c r="E1147" i="12"/>
  <c r="E1291" i="12"/>
  <c r="D1291" i="12"/>
  <c r="D955" i="12"/>
  <c r="E955" i="12"/>
  <c r="D1051" i="12"/>
  <c r="E1051" i="12"/>
  <c r="D643" i="12"/>
  <c r="E643" i="12"/>
  <c r="E427" i="12"/>
  <c r="D427" i="12"/>
  <c r="D235" i="12"/>
  <c r="E235" i="12"/>
  <c r="F1338" i="12"/>
  <c r="I282" i="12"/>
  <c r="H282" i="12"/>
  <c r="G282" i="12"/>
  <c r="H1314" i="12"/>
  <c r="G1314" i="12"/>
  <c r="I1314" i="12"/>
  <c r="F1290" i="12"/>
  <c r="J664" i="12"/>
  <c r="J1000" i="12"/>
  <c r="F642" i="12"/>
  <c r="F1410" i="12"/>
  <c r="F426" i="12"/>
  <c r="F1218" i="12"/>
  <c r="D1243" i="12"/>
  <c r="E1243" i="12"/>
  <c r="D1099" i="12"/>
  <c r="E1099" i="12"/>
  <c r="D1027" i="12"/>
  <c r="E1027" i="12"/>
  <c r="D787" i="12"/>
  <c r="E787" i="12"/>
  <c r="D619" i="12"/>
  <c r="E619" i="12"/>
  <c r="D403" i="12"/>
  <c r="E403" i="12"/>
  <c r="F1266" i="12"/>
  <c r="I306" i="12"/>
  <c r="H306" i="12"/>
  <c r="G306" i="12"/>
  <c r="J353" i="12"/>
  <c r="F738" i="12"/>
  <c r="F474" i="12"/>
  <c r="J1289" i="12"/>
  <c r="H1242" i="12"/>
  <c r="G1242" i="12"/>
  <c r="I1242" i="12"/>
  <c r="G905" i="12"/>
  <c r="H905" i="12"/>
  <c r="I905" i="12"/>
  <c r="F762" i="12"/>
  <c r="H1193" i="12"/>
  <c r="I1193" i="12"/>
  <c r="G1193" i="12"/>
  <c r="F1074" i="12"/>
  <c r="F714" i="12"/>
  <c r="J1360" i="12"/>
  <c r="J857" i="12"/>
  <c r="I329" i="12"/>
  <c r="G329" i="12"/>
  <c r="H329" i="12"/>
  <c r="J1361" i="12"/>
  <c r="G881" i="12"/>
  <c r="H881" i="12"/>
  <c r="I881" i="12"/>
  <c r="H1025" i="12"/>
  <c r="G1025" i="12"/>
  <c r="I1025" i="12"/>
  <c r="H1169" i="12"/>
  <c r="I1169" i="12"/>
  <c r="G1169" i="12"/>
  <c r="B260" i="12"/>
  <c r="B236" i="12"/>
  <c r="B356" i="12"/>
  <c r="B284" i="12"/>
  <c r="B308" i="12"/>
  <c r="B332" i="12"/>
  <c r="B380" i="12"/>
  <c r="B428" i="12"/>
  <c r="B452" i="12"/>
  <c r="B404" i="12"/>
  <c r="B548" i="12"/>
  <c r="B500" i="12"/>
  <c r="B524" i="12"/>
  <c r="B476" i="12"/>
  <c r="B692" i="12"/>
  <c r="B572" i="12"/>
  <c r="B596" i="12"/>
  <c r="B620" i="12"/>
  <c r="B644" i="12"/>
  <c r="B716" i="12"/>
  <c r="B740" i="12"/>
  <c r="B908" i="12"/>
  <c r="B668" i="12"/>
  <c r="B764" i="12"/>
  <c r="B788" i="12"/>
  <c r="B812" i="12"/>
  <c r="B836" i="12"/>
  <c r="B932" i="12"/>
  <c r="B956" i="12"/>
  <c r="B980" i="12"/>
  <c r="B1004" i="12"/>
  <c r="B1028" i="12"/>
  <c r="B884" i="12"/>
  <c r="B1052" i="12"/>
  <c r="B860" i="12"/>
  <c r="B1100" i="12"/>
  <c r="B1124" i="12"/>
  <c r="B1148" i="12"/>
  <c r="B1172" i="12"/>
  <c r="B1196" i="12"/>
  <c r="B1220" i="12"/>
  <c r="B1244" i="12"/>
  <c r="B1268" i="12"/>
  <c r="B1076" i="12"/>
  <c r="B1439" i="12"/>
  <c r="A1440" i="12"/>
  <c r="B1340" i="12"/>
  <c r="B1292" i="12"/>
  <c r="B1388" i="12"/>
  <c r="B1316" i="12"/>
  <c r="B1364" i="12"/>
  <c r="B1412" i="12"/>
  <c r="G1098" i="12"/>
  <c r="H1098" i="12"/>
  <c r="I1098" i="12"/>
  <c r="J1288" i="12"/>
  <c r="J1168" i="12"/>
  <c r="I569" i="12"/>
  <c r="H569" i="12"/>
  <c r="G569" i="12"/>
  <c r="F1194" i="12"/>
  <c r="I761" i="12"/>
  <c r="H761" i="12"/>
  <c r="G761" i="12"/>
  <c r="J665" i="12"/>
  <c r="F570" i="12"/>
  <c r="I330" i="12"/>
  <c r="H330" i="12"/>
  <c r="G330" i="12"/>
  <c r="H1097" i="12"/>
  <c r="I1097" i="12"/>
  <c r="G1097" i="12"/>
  <c r="G1073" i="12"/>
  <c r="H1073" i="12"/>
  <c r="I1073" i="12"/>
  <c r="J736" i="12"/>
  <c r="G785" i="12"/>
  <c r="H785" i="12"/>
  <c r="I785" i="12"/>
  <c r="J809" i="12"/>
  <c r="I689" i="12"/>
  <c r="H689" i="12"/>
  <c r="G689" i="12"/>
  <c r="J689" i="12" s="1"/>
  <c r="J833" i="12"/>
  <c r="G737" i="12"/>
  <c r="H737" i="12"/>
  <c r="I737" i="12"/>
  <c r="F810" i="12"/>
  <c r="G1337" i="12"/>
  <c r="H1337" i="12"/>
  <c r="I1337" i="12"/>
  <c r="J376" i="12"/>
  <c r="G1313" i="12"/>
  <c r="H1313" i="12"/>
  <c r="I1313" i="12"/>
  <c r="G1409" i="12"/>
  <c r="H1409" i="12"/>
  <c r="I1409" i="12"/>
  <c r="J281" i="12"/>
  <c r="D1123" i="12"/>
  <c r="E1123" i="12"/>
  <c r="E1003" i="12"/>
  <c r="D1003" i="12"/>
  <c r="D763" i="12"/>
  <c r="E763" i="12"/>
  <c r="D595" i="12"/>
  <c r="E595" i="12"/>
  <c r="E283" i="12"/>
  <c r="D283" i="12"/>
  <c r="F283" i="12" s="1"/>
  <c r="H1241" i="12"/>
  <c r="G1241" i="12"/>
  <c r="I1241" i="12"/>
  <c r="J929" i="12"/>
  <c r="H498" i="12"/>
  <c r="I498" i="12"/>
  <c r="G498" i="12"/>
  <c r="H522" i="12"/>
  <c r="I522" i="12"/>
  <c r="G522" i="12"/>
  <c r="G666" i="12"/>
  <c r="H666" i="12"/>
  <c r="I666" i="12"/>
  <c r="D1411" i="12"/>
  <c r="E1411" i="12"/>
  <c r="D883" i="12"/>
  <c r="E883" i="12"/>
  <c r="D739" i="12"/>
  <c r="E739" i="12"/>
  <c r="D475" i="12"/>
  <c r="E475" i="12"/>
  <c r="E307" i="12"/>
  <c r="D307" i="12"/>
  <c r="G977" i="12"/>
  <c r="H977" i="12"/>
  <c r="I977" i="12"/>
  <c r="G449" i="12"/>
  <c r="H449" i="12"/>
  <c r="I449" i="12"/>
  <c r="F258" i="12"/>
  <c r="F1050" i="12"/>
  <c r="G305" i="12"/>
  <c r="H305" i="12"/>
  <c r="I305" i="12"/>
  <c r="E1387" i="12"/>
  <c r="D1387" i="12"/>
  <c r="D1267" i="12"/>
  <c r="E1267" i="12"/>
  <c r="E859" i="12"/>
  <c r="D859" i="12"/>
  <c r="F859" i="12" s="1"/>
  <c r="E451" i="12"/>
  <c r="D451" i="12"/>
  <c r="E571" i="12"/>
  <c r="D571" i="12"/>
  <c r="D331" i="12"/>
  <c r="E331" i="12"/>
  <c r="G545" i="12"/>
  <c r="H545" i="12"/>
  <c r="I545" i="12"/>
  <c r="F594" i="12"/>
  <c r="F1362" i="12"/>
  <c r="F450" i="12"/>
  <c r="F1170" i="12"/>
  <c r="J880" i="12"/>
  <c r="F882" i="12"/>
  <c r="G1001" i="12"/>
  <c r="H1001" i="12"/>
  <c r="I1001" i="12"/>
  <c r="F906" i="12"/>
  <c r="G593" i="12"/>
  <c r="H593" i="12"/>
  <c r="I593" i="12"/>
  <c r="F402" i="12"/>
  <c r="D1219" i="12"/>
  <c r="F1219" i="12" s="1"/>
  <c r="E1219" i="12"/>
  <c r="D1363" i="12"/>
  <c r="E1363" i="12"/>
  <c r="D979" i="12"/>
  <c r="E979" i="12"/>
  <c r="E835" i="12"/>
  <c r="D835" i="12"/>
  <c r="D715" i="12"/>
  <c r="E715" i="12"/>
  <c r="D547" i="12"/>
  <c r="E547" i="12"/>
  <c r="D259" i="12"/>
  <c r="E259" i="12"/>
  <c r="F834" i="12"/>
  <c r="J328" i="12"/>
  <c r="F234" i="12"/>
  <c r="F978" i="12"/>
  <c r="I521" i="12"/>
  <c r="G521" i="12"/>
  <c r="H521" i="12"/>
  <c r="F786" i="12"/>
  <c r="J1217" i="12"/>
  <c r="F618" i="12"/>
  <c r="G377" i="12"/>
  <c r="H377" i="12"/>
  <c r="I377" i="12"/>
  <c r="H257" i="12"/>
  <c r="I257" i="12"/>
  <c r="G257" i="12"/>
  <c r="F858" i="12"/>
  <c r="J1336" i="12"/>
  <c r="H1002" i="12"/>
  <c r="I1002" i="12"/>
  <c r="G1002" i="12"/>
  <c r="F1386" i="12"/>
  <c r="I690" i="12"/>
  <c r="H690" i="12"/>
  <c r="G690" i="12"/>
  <c r="H1121" i="12"/>
  <c r="I1121" i="12"/>
  <c r="G1121" i="12"/>
  <c r="H1265" i="12"/>
  <c r="I1265" i="12"/>
  <c r="G1265" i="12"/>
  <c r="G641" i="12"/>
  <c r="H641" i="12"/>
  <c r="I641" i="12"/>
  <c r="D1195" i="12"/>
  <c r="E1195" i="12"/>
  <c r="E1339" i="12"/>
  <c r="D1339" i="12"/>
  <c r="D931" i="12"/>
  <c r="E931" i="12"/>
  <c r="E811" i="12"/>
  <c r="D811" i="12"/>
  <c r="D691" i="12"/>
  <c r="E691" i="12"/>
  <c r="D523" i="12"/>
  <c r="E523" i="12"/>
  <c r="D355" i="12"/>
  <c r="E355" i="12"/>
  <c r="G1049" i="12"/>
  <c r="H1049" i="12"/>
  <c r="I1049" i="12"/>
  <c r="J1072" i="12"/>
  <c r="J280" i="12"/>
  <c r="J1096" i="12"/>
  <c r="F930" i="12"/>
  <c r="J1048" i="12"/>
  <c r="E213" i="1"/>
  <c r="A215" i="1"/>
  <c r="B214" i="1"/>
  <c r="F214" i="1"/>
  <c r="D214" i="1"/>
  <c r="C214" i="1"/>
  <c r="E13" i="4"/>
  <c r="D13" i="4"/>
  <c r="C13" i="4"/>
  <c r="H13" i="4"/>
  <c r="F13" i="4"/>
  <c r="B14" i="4"/>
  <c r="A15" i="4"/>
  <c r="G39" i="4"/>
  <c r="J1121" i="12" l="1"/>
  <c r="J521" i="12"/>
  <c r="J425" i="12"/>
  <c r="J329" i="12"/>
  <c r="F307" i="12"/>
  <c r="F595" i="12"/>
  <c r="F259" i="12"/>
  <c r="F979" i="12"/>
  <c r="J593" i="12"/>
  <c r="F1387" i="12"/>
  <c r="H1387" i="12" s="1"/>
  <c r="J1169" i="12"/>
  <c r="F379" i="12"/>
  <c r="F715" i="12"/>
  <c r="F811" i="12"/>
  <c r="J1002" i="12"/>
  <c r="F451" i="12"/>
  <c r="H595" i="12"/>
  <c r="I595" i="12"/>
  <c r="G595" i="12"/>
  <c r="E1364" i="12"/>
  <c r="D1364" i="12"/>
  <c r="D1124" i="12"/>
  <c r="E1124" i="12"/>
  <c r="D956" i="12"/>
  <c r="E956" i="12"/>
  <c r="D740" i="12"/>
  <c r="E740" i="12"/>
  <c r="D524" i="12"/>
  <c r="E524" i="12"/>
  <c r="E308" i="12"/>
  <c r="D308" i="12"/>
  <c r="F308" i="12" s="1"/>
  <c r="H1410" i="12"/>
  <c r="I1410" i="12"/>
  <c r="G1410" i="12"/>
  <c r="J282" i="12"/>
  <c r="G379" i="12"/>
  <c r="H379" i="12"/>
  <c r="I379" i="12"/>
  <c r="J1337" i="12"/>
  <c r="H570" i="12"/>
  <c r="I570" i="12"/>
  <c r="G570" i="12"/>
  <c r="D1076" i="12"/>
  <c r="E1076" i="12"/>
  <c r="E1100" i="12"/>
  <c r="D1100" i="12"/>
  <c r="D932" i="12"/>
  <c r="E932" i="12"/>
  <c r="D716" i="12"/>
  <c r="E716" i="12"/>
  <c r="D500" i="12"/>
  <c r="E500" i="12"/>
  <c r="D284" i="12"/>
  <c r="E284" i="12"/>
  <c r="J1025" i="12"/>
  <c r="H1266" i="12"/>
  <c r="G1266" i="12"/>
  <c r="I1266" i="12"/>
  <c r="F1027" i="12"/>
  <c r="I642" i="12"/>
  <c r="G642" i="12"/>
  <c r="H642" i="12"/>
  <c r="J233" i="12"/>
  <c r="G1146" i="12"/>
  <c r="H1146" i="12"/>
  <c r="I1146" i="12"/>
  <c r="I546" i="12"/>
  <c r="G546" i="12"/>
  <c r="H546" i="12"/>
  <c r="G978" i="12"/>
  <c r="H978" i="12"/>
  <c r="I978" i="12"/>
  <c r="J666" i="12"/>
  <c r="F763" i="12"/>
  <c r="J1409" i="12"/>
  <c r="I810" i="12"/>
  <c r="H810" i="12"/>
  <c r="G810" i="12"/>
  <c r="J1073" i="12"/>
  <c r="E1316" i="12"/>
  <c r="D1316" i="12"/>
  <c r="E1268" i="12"/>
  <c r="D1268" i="12"/>
  <c r="D860" i="12"/>
  <c r="E860" i="12"/>
  <c r="E836" i="12"/>
  <c r="D836" i="12"/>
  <c r="D644" i="12"/>
  <c r="E644" i="12"/>
  <c r="D548" i="12"/>
  <c r="E548" i="12"/>
  <c r="E356" i="12"/>
  <c r="D356" i="12"/>
  <c r="H762" i="12"/>
  <c r="I762" i="12"/>
  <c r="G762" i="12"/>
  <c r="H474" i="12"/>
  <c r="I474" i="12"/>
  <c r="G474" i="12"/>
  <c r="F643" i="12"/>
  <c r="F1147" i="12"/>
  <c r="F499" i="12"/>
  <c r="F1315" i="12"/>
  <c r="I378" i="12"/>
  <c r="H378" i="12"/>
  <c r="G378" i="12"/>
  <c r="I259" i="12"/>
  <c r="H259" i="12"/>
  <c r="G259" i="12"/>
  <c r="F571" i="12"/>
  <c r="G1387" i="12"/>
  <c r="F523" i="12"/>
  <c r="F547" i="12"/>
  <c r="F1363" i="12"/>
  <c r="I594" i="12"/>
  <c r="G594" i="12"/>
  <c r="H594" i="12"/>
  <c r="G451" i="12"/>
  <c r="H451" i="12"/>
  <c r="I451" i="12"/>
  <c r="J449" i="12"/>
  <c r="F691" i="12"/>
  <c r="F1195" i="12"/>
  <c r="J377" i="12"/>
  <c r="H234" i="12"/>
  <c r="I234" i="12"/>
  <c r="G234" i="12"/>
  <c r="F739" i="12"/>
  <c r="J522" i="12"/>
  <c r="J1241" i="12"/>
  <c r="F1003" i="12"/>
  <c r="J1097" i="12"/>
  <c r="J761" i="12"/>
  <c r="E1388" i="12"/>
  <c r="D1388" i="12"/>
  <c r="E1244" i="12"/>
  <c r="D1244" i="12"/>
  <c r="D1052" i="12"/>
  <c r="E1052" i="12"/>
  <c r="D812" i="12"/>
  <c r="E812" i="12"/>
  <c r="D620" i="12"/>
  <c r="E620" i="12"/>
  <c r="E404" i="12"/>
  <c r="D404" i="12"/>
  <c r="D236" i="12"/>
  <c r="E236" i="12"/>
  <c r="I738" i="12"/>
  <c r="H738" i="12"/>
  <c r="G738" i="12"/>
  <c r="F403" i="12"/>
  <c r="F1099" i="12"/>
  <c r="H1338" i="12"/>
  <c r="G1338" i="12"/>
  <c r="I1338" i="12"/>
  <c r="G906" i="12"/>
  <c r="H906" i="12"/>
  <c r="I906" i="12"/>
  <c r="H1362" i="12"/>
  <c r="I1362" i="12"/>
  <c r="G1362" i="12"/>
  <c r="E1292" i="12"/>
  <c r="D1292" i="12"/>
  <c r="E1220" i="12"/>
  <c r="D1220" i="12"/>
  <c r="D884" i="12"/>
  <c r="E884" i="12"/>
  <c r="E788" i="12"/>
  <c r="D788" i="12"/>
  <c r="D596" i="12"/>
  <c r="E596" i="12"/>
  <c r="D452" i="12"/>
  <c r="F452" i="12" s="1"/>
  <c r="E452" i="12"/>
  <c r="E260" i="12"/>
  <c r="D260" i="12"/>
  <c r="F260" i="12" s="1"/>
  <c r="H714" i="12"/>
  <c r="I714" i="12"/>
  <c r="G714" i="12"/>
  <c r="H1290" i="12"/>
  <c r="G1290" i="12"/>
  <c r="I1290" i="12"/>
  <c r="F1051" i="12"/>
  <c r="F667" i="12"/>
  <c r="F1171" i="12"/>
  <c r="F475" i="12"/>
  <c r="G811" i="12"/>
  <c r="H811" i="12"/>
  <c r="I811" i="12"/>
  <c r="I618" i="12"/>
  <c r="G618" i="12"/>
  <c r="H618" i="12"/>
  <c r="H715" i="12"/>
  <c r="I715" i="12"/>
  <c r="G715" i="12"/>
  <c r="G1219" i="12"/>
  <c r="H1219" i="12"/>
  <c r="I1219" i="12"/>
  <c r="J1001" i="12"/>
  <c r="H859" i="12"/>
  <c r="G859" i="12"/>
  <c r="I859" i="12"/>
  <c r="J1049" i="12"/>
  <c r="J690" i="12"/>
  <c r="H858" i="12"/>
  <c r="G858" i="12"/>
  <c r="I858" i="12"/>
  <c r="F835" i="12"/>
  <c r="I402" i="12"/>
  <c r="G402" i="12"/>
  <c r="H402" i="12"/>
  <c r="G882" i="12"/>
  <c r="H882" i="12"/>
  <c r="I882" i="12"/>
  <c r="J545" i="12"/>
  <c r="J305" i="12"/>
  <c r="J977" i="12"/>
  <c r="F883" i="12"/>
  <c r="G283" i="12"/>
  <c r="I283" i="12"/>
  <c r="H283" i="12"/>
  <c r="J1313" i="12"/>
  <c r="J737" i="12"/>
  <c r="D1196" i="12"/>
  <c r="E1196" i="12"/>
  <c r="D1028" i="12"/>
  <c r="E1028" i="12"/>
  <c r="D764" i="12"/>
  <c r="F764" i="12" s="1"/>
  <c r="E764" i="12"/>
  <c r="D572" i="12"/>
  <c r="E572" i="12"/>
  <c r="D428" i="12"/>
  <c r="E428" i="12"/>
  <c r="J881" i="12"/>
  <c r="J905" i="12"/>
  <c r="F619" i="12"/>
  <c r="F1243" i="12"/>
  <c r="J1026" i="12"/>
  <c r="F1075" i="12"/>
  <c r="G954" i="12"/>
  <c r="H954" i="12"/>
  <c r="I954" i="12"/>
  <c r="J473" i="12"/>
  <c r="F1339" i="12"/>
  <c r="H1386" i="12"/>
  <c r="G1386" i="12"/>
  <c r="I1386" i="12"/>
  <c r="G979" i="12"/>
  <c r="H979" i="12"/>
  <c r="I979" i="12"/>
  <c r="H450" i="12"/>
  <c r="I450" i="12"/>
  <c r="G450" i="12"/>
  <c r="G1050" i="12"/>
  <c r="H1050" i="12"/>
  <c r="I1050" i="12"/>
  <c r="G307" i="12"/>
  <c r="H307" i="12"/>
  <c r="I307" i="12"/>
  <c r="J498" i="12"/>
  <c r="F1123" i="12"/>
  <c r="J785" i="12"/>
  <c r="J330" i="12"/>
  <c r="G1194" i="12"/>
  <c r="H1194" i="12"/>
  <c r="I1194" i="12"/>
  <c r="J1098" i="12"/>
  <c r="E1340" i="12"/>
  <c r="D1340" i="12"/>
  <c r="D1172" i="12"/>
  <c r="E1172" i="12"/>
  <c r="D1004" i="12"/>
  <c r="E1004" i="12"/>
  <c r="E668" i="12"/>
  <c r="D668" i="12"/>
  <c r="E692" i="12"/>
  <c r="D692" i="12"/>
  <c r="D380" i="12"/>
  <c r="E380" i="12"/>
  <c r="G1074" i="12"/>
  <c r="H1074" i="12"/>
  <c r="I1074" i="12"/>
  <c r="J306" i="12"/>
  <c r="G1218" i="12"/>
  <c r="H1218" i="12"/>
  <c r="I1218" i="12"/>
  <c r="J1314" i="12"/>
  <c r="F235" i="12"/>
  <c r="F955" i="12"/>
  <c r="I354" i="12"/>
  <c r="H354" i="12"/>
  <c r="G354" i="12"/>
  <c r="J1145" i="12"/>
  <c r="G1122" i="12"/>
  <c r="H1122" i="12"/>
  <c r="I1122" i="12"/>
  <c r="J641" i="12"/>
  <c r="J257" i="12"/>
  <c r="I786" i="12"/>
  <c r="H786" i="12"/>
  <c r="G786" i="12"/>
  <c r="I834" i="12"/>
  <c r="H834" i="12"/>
  <c r="G834" i="12"/>
  <c r="J834" i="12" s="1"/>
  <c r="G930" i="12"/>
  <c r="H930" i="12"/>
  <c r="I930" i="12"/>
  <c r="F355" i="12"/>
  <c r="F931" i="12"/>
  <c r="J1265" i="12"/>
  <c r="G1170" i="12"/>
  <c r="H1170" i="12"/>
  <c r="I1170" i="12"/>
  <c r="F331" i="12"/>
  <c r="F1267" i="12"/>
  <c r="I258" i="12"/>
  <c r="H258" i="12"/>
  <c r="G258" i="12"/>
  <c r="F1411" i="12"/>
  <c r="J569" i="12"/>
  <c r="E1412" i="12"/>
  <c r="D1412" i="12"/>
  <c r="B237" i="12"/>
  <c r="B261" i="12"/>
  <c r="B309" i="12"/>
  <c r="B405" i="12"/>
  <c r="B285" i="12"/>
  <c r="B333" i="12"/>
  <c r="B429" i="12"/>
  <c r="B453" i="12"/>
  <c r="B477" i="12"/>
  <c r="B357" i="12"/>
  <c r="B501" i="12"/>
  <c r="B525" i="12"/>
  <c r="B549" i="12"/>
  <c r="B381" i="12"/>
  <c r="B717" i="12"/>
  <c r="B669" i="12"/>
  <c r="B573" i="12"/>
  <c r="B597" i="12"/>
  <c r="B621" i="12"/>
  <c r="B645" i="12"/>
  <c r="B693" i="12"/>
  <c r="B765" i="12"/>
  <c r="B789" i="12"/>
  <c r="B813" i="12"/>
  <c r="B837" i="12"/>
  <c r="B861" i="12"/>
  <c r="B909" i="12"/>
  <c r="B741" i="12"/>
  <c r="B885" i="12"/>
  <c r="B933" i="12"/>
  <c r="B957" i="12"/>
  <c r="B1005" i="12"/>
  <c r="B1029" i="12"/>
  <c r="B1053" i="12"/>
  <c r="B1101" i="12"/>
  <c r="B1125" i="12"/>
  <c r="B1149" i="12"/>
  <c r="B1173" i="12"/>
  <c r="B1197" i="12"/>
  <c r="B1221" i="12"/>
  <c r="B1245" i="12"/>
  <c r="B1269" i="12"/>
  <c r="B981" i="12"/>
  <c r="B1077" i="12"/>
  <c r="B1293" i="12"/>
  <c r="B1317" i="12"/>
  <c r="B1341" i="12"/>
  <c r="B1365" i="12"/>
  <c r="B1389" i="12"/>
  <c r="B1413" i="12"/>
  <c r="A1441" i="12"/>
  <c r="B1440" i="12"/>
  <c r="E1148" i="12"/>
  <c r="D1148" i="12"/>
  <c r="D980" i="12"/>
  <c r="F980" i="12" s="1"/>
  <c r="E980" i="12"/>
  <c r="D908" i="12"/>
  <c r="E908" i="12"/>
  <c r="D476" i="12"/>
  <c r="E476" i="12"/>
  <c r="D332" i="12"/>
  <c r="E332" i="12"/>
  <c r="J1193" i="12"/>
  <c r="J1242" i="12"/>
  <c r="F787" i="12"/>
  <c r="H426" i="12"/>
  <c r="I426" i="12"/>
  <c r="G426" i="12"/>
  <c r="F427" i="12"/>
  <c r="F1291" i="12"/>
  <c r="F907" i="12"/>
  <c r="J953" i="12"/>
  <c r="B215" i="1"/>
  <c r="F215" i="1"/>
  <c r="D215" i="1"/>
  <c r="E215" i="1" s="1"/>
  <c r="C215" i="1"/>
  <c r="A216" i="1"/>
  <c r="B15" i="4"/>
  <c r="A16" i="4"/>
  <c r="E14" i="4"/>
  <c r="D14" i="4"/>
  <c r="C14" i="4"/>
  <c r="H14" i="4"/>
  <c r="F14" i="4"/>
  <c r="G14" i="4" s="1"/>
  <c r="E214" i="1"/>
  <c r="G13" i="4"/>
  <c r="J859" i="12" l="1"/>
  <c r="J811" i="12"/>
  <c r="J1218" i="12"/>
  <c r="J882" i="12"/>
  <c r="J1219" i="12"/>
  <c r="J283" i="12"/>
  <c r="J715" i="12"/>
  <c r="J378" i="12"/>
  <c r="J570" i="12"/>
  <c r="F1028" i="12"/>
  <c r="F788" i="12"/>
  <c r="J1362" i="12"/>
  <c r="F404" i="12"/>
  <c r="F1244" i="12"/>
  <c r="J474" i="12"/>
  <c r="F1268" i="12"/>
  <c r="J595" i="12"/>
  <c r="F1388" i="12"/>
  <c r="F1316" i="12"/>
  <c r="F428" i="12"/>
  <c r="F332" i="12"/>
  <c r="H332" i="12" s="1"/>
  <c r="I1387" i="12"/>
  <c r="J1387" i="12" s="1"/>
  <c r="F1004" i="12"/>
  <c r="F1196" i="12"/>
  <c r="J426" i="12"/>
  <c r="F1100" i="12"/>
  <c r="F1292" i="12"/>
  <c r="F356" i="12"/>
  <c r="G332" i="12"/>
  <c r="D1293" i="12"/>
  <c r="E1293" i="12"/>
  <c r="E1197" i="12"/>
  <c r="D1197" i="12"/>
  <c r="D957" i="12"/>
  <c r="E957" i="12"/>
  <c r="E789" i="12"/>
  <c r="D789" i="12"/>
  <c r="E717" i="12"/>
  <c r="D717" i="12"/>
  <c r="G331" i="12"/>
  <c r="H331" i="12"/>
  <c r="I331" i="12"/>
  <c r="H1291" i="12"/>
  <c r="I1291" i="12"/>
  <c r="G1291" i="12"/>
  <c r="F1148" i="12"/>
  <c r="D1317" i="12"/>
  <c r="E1317" i="12"/>
  <c r="D1221" i="12"/>
  <c r="E1221" i="12"/>
  <c r="D1005" i="12"/>
  <c r="E1005" i="12"/>
  <c r="D813" i="12"/>
  <c r="E813" i="12"/>
  <c r="D669" i="12"/>
  <c r="E669" i="12"/>
  <c r="E453" i="12"/>
  <c r="D453" i="12"/>
  <c r="F1412" i="12"/>
  <c r="G1267" i="12"/>
  <c r="H1267" i="12"/>
  <c r="I1267" i="12"/>
  <c r="F668" i="12"/>
  <c r="J1290" i="12"/>
  <c r="I452" i="12"/>
  <c r="G452" i="12"/>
  <c r="H452" i="12"/>
  <c r="J906" i="12"/>
  <c r="F812" i="12"/>
  <c r="J594" i="12"/>
  <c r="G571" i="12"/>
  <c r="H571" i="12"/>
  <c r="I571" i="12"/>
  <c r="I499" i="12"/>
  <c r="G499" i="12"/>
  <c r="H499" i="12"/>
  <c r="J810" i="12"/>
  <c r="J978" i="12"/>
  <c r="F932" i="12"/>
  <c r="F956" i="12"/>
  <c r="G1003" i="12"/>
  <c r="H1003" i="12"/>
  <c r="I1003" i="12"/>
  <c r="G1195" i="12"/>
  <c r="H1195" i="12"/>
  <c r="I1195" i="12"/>
  <c r="J259" i="12"/>
  <c r="G1147" i="12"/>
  <c r="H1147" i="12"/>
  <c r="I1147" i="12"/>
  <c r="I356" i="12"/>
  <c r="H356" i="12"/>
  <c r="G356" i="12"/>
  <c r="I1100" i="12"/>
  <c r="G1100" i="12"/>
  <c r="H1100" i="12"/>
  <c r="I308" i="12"/>
  <c r="G308" i="12"/>
  <c r="H308" i="12"/>
  <c r="E1173" i="12"/>
  <c r="D1173" i="12"/>
  <c r="E933" i="12"/>
  <c r="D933" i="12"/>
  <c r="D765" i="12"/>
  <c r="E765" i="12"/>
  <c r="D381" i="12"/>
  <c r="E381" i="12"/>
  <c r="E333" i="12"/>
  <c r="D333" i="12"/>
  <c r="J930" i="12"/>
  <c r="G955" i="12"/>
  <c r="H955" i="12"/>
  <c r="I955" i="12"/>
  <c r="J307" i="12"/>
  <c r="H883" i="12"/>
  <c r="G883" i="12"/>
  <c r="J883" i="12" s="1"/>
  <c r="I883" i="12"/>
  <c r="J402" i="12"/>
  <c r="G475" i="12"/>
  <c r="H475" i="12"/>
  <c r="I475" i="12"/>
  <c r="J714" i="12"/>
  <c r="F596" i="12"/>
  <c r="J1338" i="12"/>
  <c r="F236" i="12"/>
  <c r="F1052" i="12"/>
  <c r="H691" i="12"/>
  <c r="I691" i="12"/>
  <c r="G691" i="12"/>
  <c r="H1363" i="12"/>
  <c r="I1363" i="12"/>
  <c r="G1363" i="12"/>
  <c r="J1363" i="12" s="1"/>
  <c r="H643" i="12"/>
  <c r="I643" i="12"/>
  <c r="G643" i="12"/>
  <c r="F860" i="12"/>
  <c r="J546" i="12"/>
  <c r="J642" i="12"/>
  <c r="F284" i="12"/>
  <c r="F1124" i="12"/>
  <c r="G427" i="12"/>
  <c r="H427" i="12"/>
  <c r="I427" i="12"/>
  <c r="G1028" i="12"/>
  <c r="H1028" i="12"/>
  <c r="I1028" i="12"/>
  <c r="B238" i="12"/>
  <c r="B262" i="12"/>
  <c r="B286" i="12"/>
  <c r="B334" i="12"/>
  <c r="B310" i="12"/>
  <c r="B358" i="12"/>
  <c r="B430" i="12"/>
  <c r="B454" i="12"/>
  <c r="B478" i="12"/>
  <c r="B406" i="12"/>
  <c r="B382" i="12"/>
  <c r="B574" i="12"/>
  <c r="B598" i="12"/>
  <c r="B622" i="12"/>
  <c r="B646" i="12"/>
  <c r="B670" i="12"/>
  <c r="B694" i="12"/>
  <c r="B718" i="12"/>
  <c r="B742" i="12"/>
  <c r="B502" i="12"/>
  <c r="B526" i="12"/>
  <c r="B550" i="12"/>
  <c r="B766" i="12"/>
  <c r="B790" i="12"/>
  <c r="B814" i="12"/>
  <c r="B838" i="12"/>
  <c r="B862" i="12"/>
  <c r="B886" i="12"/>
  <c r="B910" i="12"/>
  <c r="B934" i="12"/>
  <c r="B1030" i="12"/>
  <c r="B982" i="12"/>
  <c r="B1078" i="12"/>
  <c r="B1054" i="12"/>
  <c r="B958" i="12"/>
  <c r="B1006" i="12"/>
  <c r="B1102" i="12"/>
  <c r="B1126" i="12"/>
  <c r="B1150" i="12"/>
  <c r="B1222" i="12"/>
  <c r="B1294" i="12"/>
  <c r="B1318" i="12"/>
  <c r="B1342" i="12"/>
  <c r="B1366" i="12"/>
  <c r="B1390" i="12"/>
  <c r="B1414" i="12"/>
  <c r="A1442" i="12"/>
  <c r="B1246" i="12"/>
  <c r="B1174" i="12"/>
  <c r="B1270" i="12"/>
  <c r="B1198" i="12"/>
  <c r="B1441" i="12"/>
  <c r="I1196" i="12"/>
  <c r="G1196" i="12"/>
  <c r="H1196" i="12"/>
  <c r="G1171" i="12"/>
  <c r="H1171" i="12"/>
  <c r="I1171" i="12"/>
  <c r="G788" i="12"/>
  <c r="H788" i="12"/>
  <c r="I788" i="12"/>
  <c r="G404" i="12"/>
  <c r="H404" i="12"/>
  <c r="I404" i="12"/>
  <c r="H1244" i="12"/>
  <c r="I1244" i="12"/>
  <c r="G1244" i="12"/>
  <c r="I547" i="12"/>
  <c r="H547" i="12"/>
  <c r="G547" i="12"/>
  <c r="G1268" i="12"/>
  <c r="H1268" i="12"/>
  <c r="I1268" i="12"/>
  <c r="J379" i="12"/>
  <c r="F1364" i="12"/>
  <c r="G835" i="12"/>
  <c r="H835" i="12"/>
  <c r="I835" i="12"/>
  <c r="H667" i="12"/>
  <c r="I667" i="12"/>
  <c r="G667" i="12"/>
  <c r="H739" i="12"/>
  <c r="I739" i="12"/>
  <c r="G739" i="12"/>
  <c r="I523" i="12"/>
  <c r="G523" i="12"/>
  <c r="H523" i="12"/>
  <c r="F548" i="12"/>
  <c r="G763" i="12"/>
  <c r="H763" i="12"/>
  <c r="I763" i="12"/>
  <c r="G1027" i="12"/>
  <c r="H1027" i="12"/>
  <c r="I1027" i="12"/>
  <c r="F500" i="12"/>
  <c r="F1076" i="12"/>
  <c r="F524" i="12"/>
  <c r="D429" i="12"/>
  <c r="F429" i="12" s="1"/>
  <c r="E429" i="12"/>
  <c r="I1292" i="12"/>
  <c r="G1292" i="12"/>
  <c r="H1292" i="12"/>
  <c r="D1149" i="12"/>
  <c r="E1149" i="12"/>
  <c r="E885" i="12"/>
  <c r="D885" i="12"/>
  <c r="F885" i="12" s="1"/>
  <c r="D693" i="12"/>
  <c r="E693" i="12"/>
  <c r="D549" i="12"/>
  <c r="E549" i="12"/>
  <c r="E285" i="12"/>
  <c r="D285" i="12"/>
  <c r="F285" i="12" s="1"/>
  <c r="G787" i="12"/>
  <c r="H787" i="12"/>
  <c r="I787" i="12"/>
  <c r="F380" i="12"/>
  <c r="F572" i="12"/>
  <c r="J618" i="12"/>
  <c r="I1051" i="12"/>
  <c r="G1051" i="12"/>
  <c r="H1051" i="12"/>
  <c r="G403" i="12"/>
  <c r="H403" i="12"/>
  <c r="I403" i="12"/>
  <c r="G1388" i="12"/>
  <c r="H1388" i="12"/>
  <c r="I1388" i="12"/>
  <c r="J234" i="12"/>
  <c r="G1316" i="12"/>
  <c r="H1316" i="12"/>
  <c r="I1316" i="12"/>
  <c r="G235" i="12"/>
  <c r="H235" i="12"/>
  <c r="I235" i="12"/>
  <c r="J1074" i="12"/>
  <c r="G428" i="12"/>
  <c r="H428" i="12"/>
  <c r="I428" i="12"/>
  <c r="D1413" i="12"/>
  <c r="E1413" i="12"/>
  <c r="D1077" i="12"/>
  <c r="E1077" i="12"/>
  <c r="D1125" i="12"/>
  <c r="E1125" i="12"/>
  <c r="E741" i="12"/>
  <c r="D741" i="12"/>
  <c r="D645" i="12"/>
  <c r="E645" i="12"/>
  <c r="D525" i="12"/>
  <c r="E525" i="12"/>
  <c r="E405" i="12"/>
  <c r="D405" i="12"/>
  <c r="F405" i="12" s="1"/>
  <c r="H1411" i="12"/>
  <c r="I1411" i="12"/>
  <c r="G1411" i="12"/>
  <c r="J1170" i="12"/>
  <c r="G1099" i="12"/>
  <c r="H1099" i="12"/>
  <c r="I1099" i="12"/>
  <c r="F908" i="12"/>
  <c r="D1389" i="12"/>
  <c r="E1389" i="12"/>
  <c r="D981" i="12"/>
  <c r="E981" i="12"/>
  <c r="D1101" i="12"/>
  <c r="E1101" i="12"/>
  <c r="E909" i="12"/>
  <c r="D909" i="12"/>
  <c r="F909" i="12" s="1"/>
  <c r="D621" i="12"/>
  <c r="E621" i="12"/>
  <c r="D501" i="12"/>
  <c r="E501" i="12"/>
  <c r="D309" i="12"/>
  <c r="E309" i="12"/>
  <c r="J258" i="12"/>
  <c r="J1122" i="12"/>
  <c r="F1172" i="12"/>
  <c r="J1050" i="12"/>
  <c r="J1386" i="12"/>
  <c r="I260" i="12"/>
  <c r="G260" i="12"/>
  <c r="H260" i="12"/>
  <c r="D1365" i="12"/>
  <c r="E1365" i="12"/>
  <c r="D1269" i="12"/>
  <c r="E1269" i="12"/>
  <c r="D1053" i="12"/>
  <c r="E1053" i="12"/>
  <c r="E861" i="12"/>
  <c r="D861" i="12"/>
  <c r="F861" i="12" s="1"/>
  <c r="D597" i="12"/>
  <c r="E597" i="12"/>
  <c r="D357" i="12"/>
  <c r="E357" i="12"/>
  <c r="D261" i="12"/>
  <c r="E261" i="12"/>
  <c r="I931" i="12"/>
  <c r="G931" i="12"/>
  <c r="H931" i="12"/>
  <c r="J786" i="12"/>
  <c r="F692" i="12"/>
  <c r="F1340" i="12"/>
  <c r="G1123" i="12"/>
  <c r="H1123" i="12"/>
  <c r="I1123" i="12"/>
  <c r="J450" i="12"/>
  <c r="H1243" i="12"/>
  <c r="I1243" i="12"/>
  <c r="G1243" i="12"/>
  <c r="J858" i="12"/>
  <c r="F884" i="12"/>
  <c r="J738" i="12"/>
  <c r="F620" i="12"/>
  <c r="J451" i="12"/>
  <c r="J762" i="12"/>
  <c r="F644" i="12"/>
  <c r="J1146" i="12"/>
  <c r="J1266" i="12"/>
  <c r="F716" i="12"/>
  <c r="J1410" i="12"/>
  <c r="F740" i="12"/>
  <c r="F476" i="12"/>
  <c r="G1004" i="12"/>
  <c r="H1004" i="12"/>
  <c r="I1004" i="12"/>
  <c r="J1194" i="12"/>
  <c r="J979" i="12"/>
  <c r="J954" i="12"/>
  <c r="G1075" i="12"/>
  <c r="H1075" i="12"/>
  <c r="I1075" i="12"/>
  <c r="H907" i="12"/>
  <c r="G907" i="12"/>
  <c r="I907" i="12"/>
  <c r="I980" i="12"/>
  <c r="G980" i="12"/>
  <c r="H980" i="12"/>
  <c r="D1341" i="12"/>
  <c r="E1341" i="12"/>
  <c r="D1245" i="12"/>
  <c r="E1245" i="12"/>
  <c r="D1029" i="12"/>
  <c r="E1029" i="12"/>
  <c r="E837" i="12"/>
  <c r="D837" i="12"/>
  <c r="D573" i="12"/>
  <c r="E573" i="12"/>
  <c r="E477" i="12"/>
  <c r="D477" i="12"/>
  <c r="E237" i="12"/>
  <c r="D237" i="12"/>
  <c r="G355" i="12"/>
  <c r="I355" i="12"/>
  <c r="H355" i="12"/>
  <c r="J354" i="12"/>
  <c r="H1339" i="12"/>
  <c r="I1339" i="12"/>
  <c r="G1339" i="12"/>
  <c r="J1339" i="12" s="1"/>
  <c r="H619" i="12"/>
  <c r="I619" i="12"/>
  <c r="G619" i="12"/>
  <c r="G764" i="12"/>
  <c r="H764" i="12"/>
  <c r="I764" i="12"/>
  <c r="F1220" i="12"/>
  <c r="H1315" i="12"/>
  <c r="I1315" i="12"/>
  <c r="G1315" i="12"/>
  <c r="F836" i="12"/>
  <c r="E15" i="4"/>
  <c r="D15" i="4"/>
  <c r="C15" i="4"/>
  <c r="H15" i="4"/>
  <c r="F15" i="4"/>
  <c r="G15" i="4" s="1"/>
  <c r="D216" i="1"/>
  <c r="E216" i="1" s="1"/>
  <c r="C216" i="1"/>
  <c r="B216" i="1"/>
  <c r="A217" i="1"/>
  <c r="F216" i="1"/>
  <c r="B16" i="4"/>
  <c r="A17" i="4"/>
  <c r="J403" i="12" l="1"/>
  <c r="J1243" i="12"/>
  <c r="J1027" i="12"/>
  <c r="J331" i="12"/>
  <c r="J980" i="12"/>
  <c r="J835" i="12"/>
  <c r="F237" i="12"/>
  <c r="F1413" i="12"/>
  <c r="I332" i="12"/>
  <c r="J1316" i="12"/>
  <c r="J1051" i="12"/>
  <c r="F357" i="12"/>
  <c r="F621" i="12"/>
  <c r="F1389" i="12"/>
  <c r="J1003" i="12"/>
  <c r="J1028" i="12"/>
  <c r="F765" i="12"/>
  <c r="J1147" i="12"/>
  <c r="J907" i="12"/>
  <c r="F1269" i="12"/>
  <c r="J1388" i="12"/>
  <c r="F549" i="12"/>
  <c r="H549" i="12" s="1"/>
  <c r="J235" i="12"/>
  <c r="G572" i="12"/>
  <c r="H572" i="12"/>
  <c r="I572" i="12"/>
  <c r="I549" i="12"/>
  <c r="G549" i="12"/>
  <c r="J1292" i="12"/>
  <c r="B239" i="12"/>
  <c r="B287" i="12"/>
  <c r="B335" i="12"/>
  <c r="B263" i="12"/>
  <c r="B311" i="12"/>
  <c r="B407" i="12"/>
  <c r="B479" i="12"/>
  <c r="B359" i="12"/>
  <c r="B503" i="12"/>
  <c r="B527" i="12"/>
  <c r="B551" i="12"/>
  <c r="B383" i="12"/>
  <c r="B455" i="12"/>
  <c r="B575" i="12"/>
  <c r="B599" i="12"/>
  <c r="B623" i="12"/>
  <c r="B647" i="12"/>
  <c r="B671" i="12"/>
  <c r="B695" i="12"/>
  <c r="B719" i="12"/>
  <c r="B431" i="12"/>
  <c r="B887" i="12"/>
  <c r="B863" i="12"/>
  <c r="B911" i="12"/>
  <c r="B767" i="12"/>
  <c r="B791" i="12"/>
  <c r="B743" i="12"/>
  <c r="B1031" i="12"/>
  <c r="B1055" i="12"/>
  <c r="B1079" i="12"/>
  <c r="B983" i="12"/>
  <c r="B815" i="12"/>
  <c r="B839" i="12"/>
  <c r="B935" i="12"/>
  <c r="B959" i="12"/>
  <c r="B1007" i="12"/>
  <c r="B1103" i="12"/>
  <c r="B1442" i="12"/>
  <c r="B1175" i="12"/>
  <c r="B1247" i="12"/>
  <c r="B1295" i="12"/>
  <c r="B1319" i="12"/>
  <c r="B1343" i="12"/>
  <c r="B1367" i="12"/>
  <c r="B1391" i="12"/>
  <c r="B1415" i="12"/>
  <c r="B1127" i="12"/>
  <c r="B1199" i="12"/>
  <c r="B1151" i="12"/>
  <c r="B1271" i="12"/>
  <c r="B1223" i="12"/>
  <c r="A1443" i="12"/>
  <c r="E1150" i="12"/>
  <c r="D1150" i="12"/>
  <c r="D1030" i="12"/>
  <c r="E1030" i="12"/>
  <c r="D766" i="12"/>
  <c r="E766" i="12"/>
  <c r="E646" i="12"/>
  <c r="D646" i="12"/>
  <c r="E430" i="12"/>
  <c r="D430" i="12"/>
  <c r="J691" i="12"/>
  <c r="F1221" i="12"/>
  <c r="F1197" i="12"/>
  <c r="F261" i="12"/>
  <c r="F1053" i="12"/>
  <c r="F501" i="12"/>
  <c r="F981" i="12"/>
  <c r="J1411" i="12"/>
  <c r="F645" i="12"/>
  <c r="I1413" i="12"/>
  <c r="G1413" i="12"/>
  <c r="H1413" i="12"/>
  <c r="G380" i="12"/>
  <c r="H380" i="12"/>
  <c r="I380" i="12"/>
  <c r="J739" i="12"/>
  <c r="E1414" i="12"/>
  <c r="D1414" i="12"/>
  <c r="E1126" i="12"/>
  <c r="D1126" i="12"/>
  <c r="E934" i="12"/>
  <c r="D934" i="12"/>
  <c r="E550" i="12"/>
  <c r="D550" i="12"/>
  <c r="E622" i="12"/>
  <c r="D622" i="12"/>
  <c r="E358" i="12"/>
  <c r="D358" i="12"/>
  <c r="H860" i="12"/>
  <c r="I860" i="12"/>
  <c r="G860" i="12"/>
  <c r="G765" i="12"/>
  <c r="H765" i="12"/>
  <c r="I765" i="12"/>
  <c r="I956" i="12"/>
  <c r="G956" i="12"/>
  <c r="H956" i="12"/>
  <c r="H716" i="12"/>
  <c r="I716" i="12"/>
  <c r="G716" i="12"/>
  <c r="G884" i="12"/>
  <c r="I884" i="12"/>
  <c r="H884" i="12"/>
  <c r="J1123" i="12"/>
  <c r="G1220" i="12"/>
  <c r="H1220" i="12"/>
  <c r="I1220" i="12"/>
  <c r="F1029" i="12"/>
  <c r="G1340" i="12"/>
  <c r="H1340" i="12"/>
  <c r="I1340" i="12"/>
  <c r="F741" i="12"/>
  <c r="F693" i="12"/>
  <c r="G1364" i="12"/>
  <c r="H1364" i="12"/>
  <c r="I1364" i="12"/>
  <c r="J1244" i="12"/>
  <c r="J788" i="12"/>
  <c r="E1390" i="12"/>
  <c r="D1390" i="12"/>
  <c r="E1102" i="12"/>
  <c r="D1102" i="12"/>
  <c r="D910" i="12"/>
  <c r="F910" i="12" s="1"/>
  <c r="E910" i="12"/>
  <c r="E526" i="12"/>
  <c r="D526" i="12"/>
  <c r="E598" i="12"/>
  <c r="D598" i="12"/>
  <c r="D310" i="12"/>
  <c r="F310" i="12" s="1"/>
  <c r="E310" i="12"/>
  <c r="J643" i="12"/>
  <c r="J475" i="12"/>
  <c r="J955" i="12"/>
  <c r="F933" i="12"/>
  <c r="J1100" i="12"/>
  <c r="I932" i="12"/>
  <c r="G932" i="12"/>
  <c r="H932" i="12"/>
  <c r="J571" i="12"/>
  <c r="G668" i="12"/>
  <c r="H668" i="12"/>
  <c r="I668" i="12"/>
  <c r="F669" i="12"/>
  <c r="F1317" i="12"/>
  <c r="F717" i="12"/>
  <c r="G885" i="12"/>
  <c r="H885" i="12"/>
  <c r="I885" i="12"/>
  <c r="G429" i="12"/>
  <c r="I429" i="12"/>
  <c r="H429" i="12"/>
  <c r="D1198" i="12"/>
  <c r="E1198" i="12"/>
  <c r="E1366" i="12"/>
  <c r="D1366" i="12"/>
  <c r="D1006" i="12"/>
  <c r="E1006" i="12"/>
  <c r="D886" i="12"/>
  <c r="E886" i="12"/>
  <c r="E502" i="12"/>
  <c r="D502" i="12"/>
  <c r="F502" i="12" s="1"/>
  <c r="D574" i="12"/>
  <c r="E574" i="12"/>
  <c r="E334" i="12"/>
  <c r="D334" i="12"/>
  <c r="F334" i="12" s="1"/>
  <c r="G1052" i="12"/>
  <c r="H1052" i="12"/>
  <c r="I1052" i="12"/>
  <c r="I1148" i="12"/>
  <c r="G1148" i="12"/>
  <c r="H1148" i="12"/>
  <c r="F1293" i="12"/>
  <c r="H909" i="12"/>
  <c r="G909" i="12"/>
  <c r="I909" i="12"/>
  <c r="I908" i="12"/>
  <c r="H908" i="12"/>
  <c r="G908" i="12"/>
  <c r="G405" i="12"/>
  <c r="J405" i="12" s="1"/>
  <c r="H405" i="12"/>
  <c r="I405" i="12"/>
  <c r="J428" i="12"/>
  <c r="J787" i="12"/>
  <c r="G524" i="12"/>
  <c r="H524" i="12"/>
  <c r="I524" i="12"/>
  <c r="J763" i="12"/>
  <c r="J667" i="12"/>
  <c r="E1342" i="12"/>
  <c r="D1342" i="12"/>
  <c r="D958" i="12"/>
  <c r="F958" i="12" s="1"/>
  <c r="E958" i="12"/>
  <c r="D862" i="12"/>
  <c r="E862" i="12"/>
  <c r="D742" i="12"/>
  <c r="F742" i="12" s="1"/>
  <c r="E742" i="12"/>
  <c r="D382" i="12"/>
  <c r="F382" i="12" s="1"/>
  <c r="E382" i="12"/>
  <c r="D286" i="12"/>
  <c r="F286" i="12" s="1"/>
  <c r="E286" i="12"/>
  <c r="J427" i="12"/>
  <c r="G236" i="12"/>
  <c r="H236" i="12"/>
  <c r="I236" i="12"/>
  <c r="F333" i="12"/>
  <c r="F1173" i="12"/>
  <c r="J356" i="12"/>
  <c r="G812" i="12"/>
  <c r="H812" i="12"/>
  <c r="I812" i="12"/>
  <c r="F813" i="12"/>
  <c r="J1291" i="12"/>
  <c r="F789" i="12"/>
  <c r="J1004" i="12"/>
  <c r="F1365" i="12"/>
  <c r="F1125" i="12"/>
  <c r="I285" i="12"/>
  <c r="G285" i="12"/>
  <c r="H285" i="12"/>
  <c r="H1076" i="12"/>
  <c r="G1076" i="12"/>
  <c r="I1076" i="12"/>
  <c r="H548" i="12"/>
  <c r="I548" i="12"/>
  <c r="G548" i="12"/>
  <c r="J1171" i="12"/>
  <c r="D1270" i="12"/>
  <c r="F1270" i="12" s="1"/>
  <c r="E1270" i="12"/>
  <c r="D1318" i="12"/>
  <c r="F1318" i="12" s="1"/>
  <c r="E1318" i="12"/>
  <c r="E1054" i="12"/>
  <c r="D1054" i="12"/>
  <c r="D838" i="12"/>
  <c r="E838" i="12"/>
  <c r="E718" i="12"/>
  <c r="D718" i="12"/>
  <c r="D406" i="12"/>
  <c r="E406" i="12"/>
  <c r="D262" i="12"/>
  <c r="F262" i="12" s="1"/>
  <c r="E262" i="12"/>
  <c r="I1124" i="12"/>
  <c r="G1124" i="12"/>
  <c r="H1124" i="12"/>
  <c r="J1195" i="12"/>
  <c r="J1267" i="12"/>
  <c r="I237" i="12"/>
  <c r="H237" i="12"/>
  <c r="G237" i="12"/>
  <c r="F477" i="12"/>
  <c r="G692" i="12"/>
  <c r="H692" i="12"/>
  <c r="I692" i="12"/>
  <c r="H1269" i="12"/>
  <c r="G1269" i="12"/>
  <c r="I1269" i="12"/>
  <c r="G1172" i="12"/>
  <c r="H1172" i="12"/>
  <c r="I1172" i="12"/>
  <c r="I1389" i="12"/>
  <c r="H1389" i="12"/>
  <c r="G1389" i="12"/>
  <c r="F1245" i="12"/>
  <c r="G644" i="12"/>
  <c r="H644" i="12"/>
  <c r="I644" i="12"/>
  <c r="F597" i="12"/>
  <c r="F1149" i="12"/>
  <c r="G500" i="12"/>
  <c r="H500" i="12"/>
  <c r="I500" i="12"/>
  <c r="J1268" i="12"/>
  <c r="E1174" i="12"/>
  <c r="D1174" i="12"/>
  <c r="E1294" i="12"/>
  <c r="D1294" i="12"/>
  <c r="D1078" i="12"/>
  <c r="E1078" i="12"/>
  <c r="D814" i="12"/>
  <c r="E814" i="12"/>
  <c r="D694" i="12"/>
  <c r="E694" i="12"/>
  <c r="D478" i="12"/>
  <c r="E478" i="12"/>
  <c r="E238" i="12"/>
  <c r="D238" i="12"/>
  <c r="G284" i="12"/>
  <c r="I284" i="12"/>
  <c r="H284" i="12"/>
  <c r="G596" i="12"/>
  <c r="H596" i="12"/>
  <c r="I596" i="12"/>
  <c r="J499" i="12"/>
  <c r="G1412" i="12"/>
  <c r="H1412" i="12"/>
  <c r="I1412" i="12"/>
  <c r="F1005" i="12"/>
  <c r="J332" i="12"/>
  <c r="G357" i="12"/>
  <c r="H357" i="12"/>
  <c r="I357" i="12"/>
  <c r="G621" i="12"/>
  <c r="H621" i="12"/>
  <c r="I621" i="12"/>
  <c r="G836" i="12"/>
  <c r="H836" i="12"/>
  <c r="I836" i="12"/>
  <c r="J764" i="12"/>
  <c r="J1315" i="12"/>
  <c r="J619" i="12"/>
  <c r="F573" i="12"/>
  <c r="F1341" i="12"/>
  <c r="I476" i="12"/>
  <c r="H476" i="12"/>
  <c r="G476" i="12"/>
  <c r="J931" i="12"/>
  <c r="H861" i="12"/>
  <c r="I861" i="12"/>
  <c r="G861" i="12"/>
  <c r="J355" i="12"/>
  <c r="F837" i="12"/>
  <c r="J1075" i="12"/>
  <c r="I740" i="12"/>
  <c r="H740" i="12"/>
  <c r="G740" i="12"/>
  <c r="G620" i="12"/>
  <c r="H620" i="12"/>
  <c r="I620" i="12"/>
  <c r="J260" i="12"/>
  <c r="F309" i="12"/>
  <c r="F1101" i="12"/>
  <c r="J1099" i="12"/>
  <c r="F525" i="12"/>
  <c r="F1077" i="12"/>
  <c r="J523" i="12"/>
  <c r="J547" i="12"/>
  <c r="J404" i="12"/>
  <c r="J1196" i="12"/>
  <c r="D1246" i="12"/>
  <c r="E1246" i="12"/>
  <c r="E1222" i="12"/>
  <c r="D1222" i="12"/>
  <c r="D982" i="12"/>
  <c r="E982" i="12"/>
  <c r="D790" i="12"/>
  <c r="E790" i="12"/>
  <c r="E670" i="12"/>
  <c r="D670" i="12"/>
  <c r="D454" i="12"/>
  <c r="E454" i="12"/>
  <c r="F381" i="12"/>
  <c r="J308" i="12"/>
  <c r="J452" i="12"/>
  <c r="F453" i="12"/>
  <c r="F957" i="12"/>
  <c r="B17" i="4"/>
  <c r="A18" i="4"/>
  <c r="E16" i="4"/>
  <c r="D16" i="4"/>
  <c r="C16" i="4"/>
  <c r="H16" i="4"/>
  <c r="F16" i="4"/>
  <c r="G16" i="4" s="1"/>
  <c r="F217" i="1"/>
  <c r="D217" i="1"/>
  <c r="E217" i="1" s="1"/>
  <c r="C217" i="1"/>
  <c r="B217" i="1"/>
  <c r="A218" i="1"/>
  <c r="J476" i="12" l="1"/>
  <c r="J932" i="12"/>
  <c r="J1076" i="12"/>
  <c r="J861" i="12"/>
  <c r="F574" i="12"/>
  <c r="J885" i="12"/>
  <c r="F478" i="12"/>
  <c r="J692" i="12"/>
  <c r="J1124" i="12"/>
  <c r="F1174" i="12"/>
  <c r="J548" i="12"/>
  <c r="F862" i="12"/>
  <c r="J1220" i="12"/>
  <c r="J380" i="12"/>
  <c r="F1246" i="12"/>
  <c r="J572" i="12"/>
  <c r="F238" i="12"/>
  <c r="J357" i="12"/>
  <c r="J285" i="12"/>
  <c r="J236" i="12"/>
  <c r="J908" i="12"/>
  <c r="J1148" i="12"/>
  <c r="I574" i="12"/>
  <c r="G574" i="12"/>
  <c r="H574" i="12"/>
  <c r="F1102" i="12"/>
  <c r="J1364" i="12"/>
  <c r="F934" i="12"/>
  <c r="I501" i="12"/>
  <c r="G501" i="12"/>
  <c r="H501" i="12"/>
  <c r="F646" i="12"/>
  <c r="D1415" i="12"/>
  <c r="E1415" i="12"/>
  <c r="E1079" i="12"/>
  <c r="D1079" i="12"/>
  <c r="E887" i="12"/>
  <c r="D887" i="12"/>
  <c r="D575" i="12"/>
  <c r="E575" i="12"/>
  <c r="D407" i="12"/>
  <c r="E407" i="12"/>
  <c r="F838" i="12"/>
  <c r="H862" i="12"/>
  <c r="I862" i="12"/>
  <c r="G862" i="12"/>
  <c r="H502" i="12"/>
  <c r="I502" i="12"/>
  <c r="G502" i="12"/>
  <c r="I717" i="12"/>
  <c r="G717" i="12"/>
  <c r="H717" i="12"/>
  <c r="I310" i="12"/>
  <c r="H310" i="12"/>
  <c r="G310" i="12"/>
  <c r="G693" i="12"/>
  <c r="H693" i="12"/>
  <c r="I693" i="12"/>
  <c r="G1053" i="12"/>
  <c r="H1053" i="12"/>
  <c r="I1053" i="12"/>
  <c r="B240" i="12"/>
  <c r="B264" i="12"/>
  <c r="B288" i="12"/>
  <c r="B360" i="12"/>
  <c r="B312" i="12"/>
  <c r="B384" i="12"/>
  <c r="B336" i="12"/>
  <c r="B408" i="12"/>
  <c r="B432" i="12"/>
  <c r="B456" i="12"/>
  <c r="B504" i="12"/>
  <c r="B528" i="12"/>
  <c r="B480" i="12"/>
  <c r="B552" i="12"/>
  <c r="B720" i="12"/>
  <c r="B576" i="12"/>
  <c r="B600" i="12"/>
  <c r="B624" i="12"/>
  <c r="B648" i="12"/>
  <c r="B672" i="12"/>
  <c r="B768" i="12"/>
  <c r="B792" i="12"/>
  <c r="B816" i="12"/>
  <c r="B840" i="12"/>
  <c r="B888" i="12"/>
  <c r="B936" i="12"/>
  <c r="B960" i="12"/>
  <c r="B984" i="12"/>
  <c r="B1008" i="12"/>
  <c r="B864" i="12"/>
  <c r="B744" i="12"/>
  <c r="B696" i="12"/>
  <c r="B1032" i="12"/>
  <c r="B1104" i="12"/>
  <c r="B1128" i="12"/>
  <c r="B1152" i="12"/>
  <c r="B1176" i="12"/>
  <c r="B1200" i="12"/>
  <c r="B1224" i="12"/>
  <c r="B1248" i="12"/>
  <c r="B1272" i="12"/>
  <c r="B1080" i="12"/>
  <c r="B1056" i="12"/>
  <c r="B912" i="12"/>
  <c r="A1444" i="12"/>
  <c r="B1443" i="12"/>
  <c r="B1320" i="12"/>
  <c r="B1344" i="12"/>
  <c r="B1392" i="12"/>
  <c r="B1368" i="12"/>
  <c r="B1416" i="12"/>
  <c r="B1296" i="12"/>
  <c r="E1391" i="12"/>
  <c r="D1391" i="12"/>
  <c r="D1103" i="12"/>
  <c r="E1103" i="12"/>
  <c r="D1055" i="12"/>
  <c r="E1055" i="12"/>
  <c r="D431" i="12"/>
  <c r="E431" i="12"/>
  <c r="D455" i="12"/>
  <c r="E455" i="12"/>
  <c r="E311" i="12"/>
  <c r="D311" i="12"/>
  <c r="F790" i="12"/>
  <c r="J596" i="12"/>
  <c r="G837" i="12"/>
  <c r="H837" i="12"/>
  <c r="I837" i="12"/>
  <c r="J836" i="12"/>
  <c r="H1005" i="12"/>
  <c r="G1005" i="12"/>
  <c r="I1005" i="12"/>
  <c r="F694" i="12"/>
  <c r="J1172" i="12"/>
  <c r="J237" i="12"/>
  <c r="F1054" i="12"/>
  <c r="H1125" i="12"/>
  <c r="I1125" i="12"/>
  <c r="G1125" i="12"/>
  <c r="J812" i="12"/>
  <c r="J524" i="12"/>
  <c r="F1198" i="12"/>
  <c r="G1317" i="12"/>
  <c r="I1317" i="12"/>
  <c r="H1317" i="12"/>
  <c r="F598" i="12"/>
  <c r="F1390" i="12"/>
  <c r="H741" i="12"/>
  <c r="I741" i="12"/>
  <c r="G741" i="12"/>
  <c r="J956" i="12"/>
  <c r="F358" i="12"/>
  <c r="F1126" i="12"/>
  <c r="H261" i="12"/>
  <c r="I261" i="12"/>
  <c r="G261" i="12"/>
  <c r="D1367" i="12"/>
  <c r="E1367" i="12"/>
  <c r="D1007" i="12"/>
  <c r="E1007" i="12"/>
  <c r="D1031" i="12"/>
  <c r="E1031" i="12"/>
  <c r="E719" i="12"/>
  <c r="D719" i="12"/>
  <c r="D383" i="12"/>
  <c r="E383" i="12"/>
  <c r="E263" i="12"/>
  <c r="D263" i="12"/>
  <c r="F263" i="12" s="1"/>
  <c r="H669" i="12"/>
  <c r="I669" i="12"/>
  <c r="G669" i="12"/>
  <c r="J669" i="12" s="1"/>
  <c r="J1413" i="12"/>
  <c r="H1197" i="12"/>
  <c r="I1197" i="12"/>
  <c r="G1197" i="12"/>
  <c r="F766" i="12"/>
  <c r="D1223" i="12"/>
  <c r="E1223" i="12"/>
  <c r="D1343" i="12"/>
  <c r="F1343" i="12" s="1"/>
  <c r="E1343" i="12"/>
  <c r="E959" i="12"/>
  <c r="D959" i="12"/>
  <c r="F959" i="12" s="1"/>
  <c r="E743" i="12"/>
  <c r="D743" i="12"/>
  <c r="F743" i="12" s="1"/>
  <c r="E695" i="12"/>
  <c r="D695" i="12"/>
  <c r="E551" i="12"/>
  <c r="D551" i="12"/>
  <c r="D335" i="12"/>
  <c r="E335" i="12"/>
  <c r="H1173" i="12"/>
  <c r="I1173" i="12"/>
  <c r="G1173" i="12"/>
  <c r="F1342" i="12"/>
  <c r="J909" i="12"/>
  <c r="J1052" i="12"/>
  <c r="F886" i="12"/>
  <c r="G933" i="12"/>
  <c r="H933" i="12"/>
  <c r="I933" i="12"/>
  <c r="F526" i="12"/>
  <c r="F622" i="12"/>
  <c r="F1414" i="12"/>
  <c r="H1221" i="12"/>
  <c r="I1221" i="12"/>
  <c r="G1221" i="12"/>
  <c r="J1221" i="12" s="1"/>
  <c r="D1271" i="12"/>
  <c r="E1271" i="12"/>
  <c r="D1319" i="12"/>
  <c r="E1319" i="12"/>
  <c r="D935" i="12"/>
  <c r="F935" i="12" s="1"/>
  <c r="E935" i="12"/>
  <c r="D791" i="12"/>
  <c r="E791" i="12"/>
  <c r="D671" i="12"/>
  <c r="E671" i="12"/>
  <c r="D527" i="12"/>
  <c r="E527" i="12"/>
  <c r="D287" i="12"/>
  <c r="F287" i="12" s="1"/>
  <c r="E287" i="12"/>
  <c r="J644" i="12"/>
  <c r="I262" i="12"/>
  <c r="G262" i="12"/>
  <c r="H262" i="12"/>
  <c r="I286" i="12"/>
  <c r="H286" i="12"/>
  <c r="G286" i="12"/>
  <c r="G958" i="12"/>
  <c r="H958" i="12"/>
  <c r="I958" i="12"/>
  <c r="F1222" i="12"/>
  <c r="G573" i="12"/>
  <c r="H573" i="12"/>
  <c r="I573" i="12"/>
  <c r="J284" i="12"/>
  <c r="F814" i="12"/>
  <c r="H1245" i="12"/>
  <c r="I1245" i="12"/>
  <c r="G1245" i="12"/>
  <c r="J1269" i="12"/>
  <c r="F454" i="12"/>
  <c r="H238" i="12"/>
  <c r="G238" i="12"/>
  <c r="I238" i="12"/>
  <c r="J1389" i="12"/>
  <c r="F406" i="12"/>
  <c r="H1318" i="12"/>
  <c r="G1318" i="12"/>
  <c r="I1318" i="12"/>
  <c r="G789" i="12"/>
  <c r="H789" i="12"/>
  <c r="I789" i="12"/>
  <c r="H333" i="12"/>
  <c r="I333" i="12"/>
  <c r="G333" i="12"/>
  <c r="I382" i="12"/>
  <c r="H382" i="12"/>
  <c r="G382" i="12"/>
  <c r="I334" i="12"/>
  <c r="G334" i="12"/>
  <c r="H334" i="12"/>
  <c r="J429" i="12"/>
  <c r="J1340" i="12"/>
  <c r="J884" i="12"/>
  <c r="G645" i="12"/>
  <c r="H645" i="12"/>
  <c r="I645" i="12"/>
  <c r="F1030" i="12"/>
  <c r="D1151" i="12"/>
  <c r="E1151" i="12"/>
  <c r="D1295" i="12"/>
  <c r="E1295" i="12"/>
  <c r="E839" i="12"/>
  <c r="D839" i="12"/>
  <c r="D767" i="12"/>
  <c r="E767" i="12"/>
  <c r="D647" i="12"/>
  <c r="E647" i="12"/>
  <c r="D503" i="12"/>
  <c r="E503" i="12"/>
  <c r="E239" i="12"/>
  <c r="D239" i="12"/>
  <c r="G597" i="12"/>
  <c r="H597" i="12"/>
  <c r="I597" i="12"/>
  <c r="I309" i="12"/>
  <c r="H309" i="12"/>
  <c r="G309" i="12"/>
  <c r="I1365" i="12"/>
  <c r="G1365" i="12"/>
  <c r="H1365" i="12"/>
  <c r="G1077" i="12"/>
  <c r="I1077" i="12"/>
  <c r="H1077" i="12"/>
  <c r="J620" i="12"/>
  <c r="J621" i="12"/>
  <c r="J1412" i="12"/>
  <c r="F670" i="12"/>
  <c r="I525" i="12"/>
  <c r="G525" i="12"/>
  <c r="H525" i="12"/>
  <c r="J740" i="12"/>
  <c r="F1078" i="12"/>
  <c r="J500" i="12"/>
  <c r="F718" i="12"/>
  <c r="G1293" i="12"/>
  <c r="H1293" i="12"/>
  <c r="I1293" i="12"/>
  <c r="F1006" i="12"/>
  <c r="J668" i="12"/>
  <c r="H1029" i="12"/>
  <c r="G1029" i="12"/>
  <c r="I1029" i="12"/>
  <c r="J716" i="12"/>
  <c r="J765" i="12"/>
  <c r="F550" i="12"/>
  <c r="F430" i="12"/>
  <c r="F1150" i="12"/>
  <c r="D1199" i="12"/>
  <c r="E1199" i="12"/>
  <c r="E1247" i="12"/>
  <c r="D1247" i="12"/>
  <c r="E815" i="12"/>
  <c r="D815" i="12"/>
  <c r="D911" i="12"/>
  <c r="E911" i="12"/>
  <c r="D623" i="12"/>
  <c r="E623" i="12"/>
  <c r="D359" i="12"/>
  <c r="F359" i="12" s="1"/>
  <c r="E359" i="12"/>
  <c r="I453" i="12"/>
  <c r="G453" i="12"/>
  <c r="H453" i="12"/>
  <c r="H1101" i="12"/>
  <c r="I1101" i="12"/>
  <c r="G1101" i="12"/>
  <c r="H478" i="12"/>
  <c r="I478" i="12"/>
  <c r="G478" i="12"/>
  <c r="G1174" i="12"/>
  <c r="H1174" i="12"/>
  <c r="I1174" i="12"/>
  <c r="I477" i="12"/>
  <c r="G477" i="12"/>
  <c r="H477" i="12"/>
  <c r="H381" i="12"/>
  <c r="G381" i="12"/>
  <c r="I381" i="12"/>
  <c r="F982" i="12"/>
  <c r="G1341" i="12"/>
  <c r="H1341" i="12"/>
  <c r="I1341" i="12"/>
  <c r="G957" i="12"/>
  <c r="H957" i="12"/>
  <c r="I957" i="12"/>
  <c r="H1246" i="12"/>
  <c r="G1246" i="12"/>
  <c r="I1246" i="12"/>
  <c r="F1294" i="12"/>
  <c r="H1149" i="12"/>
  <c r="I1149" i="12"/>
  <c r="G1149" i="12"/>
  <c r="H1270" i="12"/>
  <c r="I1270" i="12"/>
  <c r="G1270" i="12"/>
  <c r="G813" i="12"/>
  <c r="H813" i="12"/>
  <c r="I813" i="12"/>
  <c r="G742" i="12"/>
  <c r="H742" i="12"/>
  <c r="I742" i="12"/>
  <c r="F1366" i="12"/>
  <c r="I910" i="12"/>
  <c r="G910" i="12"/>
  <c r="H910" i="12"/>
  <c r="J860" i="12"/>
  <c r="G981" i="12"/>
  <c r="H981" i="12"/>
  <c r="I981" i="12"/>
  <c r="D1127" i="12"/>
  <c r="E1127" i="12"/>
  <c r="D1175" i="12"/>
  <c r="E1175" i="12"/>
  <c r="D983" i="12"/>
  <c r="F983" i="12" s="1"/>
  <c r="E983" i="12"/>
  <c r="E863" i="12"/>
  <c r="D863" i="12"/>
  <c r="D599" i="12"/>
  <c r="E599" i="12"/>
  <c r="D479" i="12"/>
  <c r="E479" i="12"/>
  <c r="J549" i="12"/>
  <c r="B18" i="4"/>
  <c r="A19" i="4"/>
  <c r="A219" i="1"/>
  <c r="F218" i="1"/>
  <c r="C218" i="1"/>
  <c r="B218" i="1"/>
  <c r="D218" i="1"/>
  <c r="E218" i="1" s="1"/>
  <c r="E17" i="4"/>
  <c r="D17" i="4"/>
  <c r="C17" i="4"/>
  <c r="H17" i="4"/>
  <c r="F17" i="4"/>
  <c r="G17" i="4" s="1"/>
  <c r="J333" i="12" l="1"/>
  <c r="J1245" i="12"/>
  <c r="J813" i="12"/>
  <c r="J1341" i="12"/>
  <c r="J645" i="12"/>
  <c r="F1391" i="12"/>
  <c r="F1295" i="12"/>
  <c r="J262" i="12"/>
  <c r="J837" i="12"/>
  <c r="F431" i="12"/>
  <c r="J574" i="12"/>
  <c r="F1151" i="12"/>
  <c r="J1270" i="12"/>
  <c r="F647" i="12"/>
  <c r="F1055" i="12"/>
  <c r="J478" i="12"/>
  <c r="J789" i="12"/>
  <c r="F695" i="12"/>
  <c r="F863" i="12"/>
  <c r="J1174" i="12"/>
  <c r="J453" i="12"/>
  <c r="G550" i="12"/>
  <c r="H550" i="12"/>
  <c r="I550" i="12"/>
  <c r="J525" i="12"/>
  <c r="J1077" i="12"/>
  <c r="F503" i="12"/>
  <c r="F479" i="12"/>
  <c r="F1175" i="12"/>
  <c r="J910" i="12"/>
  <c r="H1294" i="12"/>
  <c r="G1294" i="12"/>
  <c r="I1294" i="12"/>
  <c r="F623" i="12"/>
  <c r="F1199" i="12"/>
  <c r="H1078" i="12"/>
  <c r="I1078" i="12"/>
  <c r="G1078" i="12"/>
  <c r="F767" i="12"/>
  <c r="J238" i="12"/>
  <c r="J286" i="12"/>
  <c r="F551" i="12"/>
  <c r="F719" i="12"/>
  <c r="J261" i="12"/>
  <c r="G694" i="12"/>
  <c r="H694" i="12"/>
  <c r="I694" i="12"/>
  <c r="E1368" i="12"/>
  <c r="D1368" i="12"/>
  <c r="E912" i="12"/>
  <c r="D912" i="12"/>
  <c r="D1152" i="12"/>
  <c r="E1152" i="12"/>
  <c r="D984" i="12"/>
  <c r="E984" i="12"/>
  <c r="D672" i="12"/>
  <c r="F672" i="12" s="1"/>
  <c r="E672" i="12"/>
  <c r="D528" i="12"/>
  <c r="E528" i="12"/>
  <c r="D360" i="12"/>
  <c r="E360" i="12"/>
  <c r="J502" i="12"/>
  <c r="F407" i="12"/>
  <c r="F1415" i="12"/>
  <c r="G1150" i="12"/>
  <c r="H1150" i="12"/>
  <c r="I1150" i="12"/>
  <c r="F239" i="12"/>
  <c r="F839" i="12"/>
  <c r="J382" i="12"/>
  <c r="G287" i="12"/>
  <c r="I287" i="12"/>
  <c r="H287" i="12"/>
  <c r="I935" i="12"/>
  <c r="G935" i="12"/>
  <c r="H935" i="12"/>
  <c r="H1414" i="12"/>
  <c r="G1414" i="12"/>
  <c r="I1414" i="12"/>
  <c r="H1343" i="12"/>
  <c r="I1343" i="12"/>
  <c r="G1343" i="12"/>
  <c r="H1390" i="12"/>
  <c r="G1390" i="12"/>
  <c r="I1390" i="12"/>
  <c r="J1125" i="12"/>
  <c r="I790" i="12"/>
  <c r="H790" i="12"/>
  <c r="G790" i="12"/>
  <c r="I1055" i="12"/>
  <c r="H1055" i="12"/>
  <c r="G1055" i="12"/>
  <c r="E1392" i="12"/>
  <c r="D1392" i="12"/>
  <c r="D1056" i="12"/>
  <c r="E1056" i="12"/>
  <c r="D1128" i="12"/>
  <c r="E1128" i="12"/>
  <c r="D960" i="12"/>
  <c r="E960" i="12"/>
  <c r="D648" i="12"/>
  <c r="E648" i="12"/>
  <c r="D504" i="12"/>
  <c r="E504" i="12"/>
  <c r="D288" i="12"/>
  <c r="E288" i="12"/>
  <c r="J693" i="12"/>
  <c r="I646" i="12"/>
  <c r="G646" i="12"/>
  <c r="H646" i="12"/>
  <c r="H454" i="12"/>
  <c r="I454" i="12"/>
  <c r="G454" i="12"/>
  <c r="I622" i="12"/>
  <c r="G622" i="12"/>
  <c r="H622" i="12"/>
  <c r="H1342" i="12"/>
  <c r="G1342" i="12"/>
  <c r="I1342" i="12"/>
  <c r="H695" i="12"/>
  <c r="G695" i="12"/>
  <c r="I695" i="12"/>
  <c r="I598" i="12"/>
  <c r="G598" i="12"/>
  <c r="H598" i="12"/>
  <c r="J1005" i="12"/>
  <c r="F311" i="12"/>
  <c r="E1344" i="12"/>
  <c r="D1344" i="12"/>
  <c r="D1080" i="12"/>
  <c r="F1080" i="12" s="1"/>
  <c r="E1080" i="12"/>
  <c r="D1104" i="12"/>
  <c r="E1104" i="12"/>
  <c r="E936" i="12"/>
  <c r="D936" i="12"/>
  <c r="D624" i="12"/>
  <c r="F624" i="12" s="1"/>
  <c r="E624" i="12"/>
  <c r="D456" i="12"/>
  <c r="F456" i="12" s="1"/>
  <c r="E456" i="12"/>
  <c r="E264" i="12"/>
  <c r="D264" i="12"/>
  <c r="J310" i="12"/>
  <c r="F575" i="12"/>
  <c r="J1318" i="12"/>
  <c r="J573" i="12"/>
  <c r="F527" i="12"/>
  <c r="F1319" i="12"/>
  <c r="H526" i="12"/>
  <c r="I526" i="12"/>
  <c r="G526" i="12"/>
  <c r="J1173" i="12"/>
  <c r="F1223" i="12"/>
  <c r="F1031" i="12"/>
  <c r="G1126" i="12"/>
  <c r="H1126" i="12"/>
  <c r="I1126" i="12"/>
  <c r="F1103" i="12"/>
  <c r="E1320" i="12"/>
  <c r="D1320" i="12"/>
  <c r="D1272" i="12"/>
  <c r="F1272" i="12" s="1"/>
  <c r="E1272" i="12"/>
  <c r="D1032" i="12"/>
  <c r="F1032" i="12" s="1"/>
  <c r="E1032" i="12"/>
  <c r="D888" i="12"/>
  <c r="E888" i="12"/>
  <c r="D600" i="12"/>
  <c r="E600" i="12"/>
  <c r="E432" i="12"/>
  <c r="D432" i="12"/>
  <c r="D240" i="12"/>
  <c r="E240" i="12"/>
  <c r="J862" i="12"/>
  <c r="F887" i="12"/>
  <c r="J501" i="12"/>
  <c r="F599" i="12"/>
  <c r="F911" i="12"/>
  <c r="H430" i="12"/>
  <c r="I430" i="12"/>
  <c r="G430" i="12"/>
  <c r="G1006" i="12"/>
  <c r="H1006" i="12"/>
  <c r="I1006" i="12"/>
  <c r="F815" i="12"/>
  <c r="H743" i="12"/>
  <c r="G743" i="12"/>
  <c r="I743" i="12"/>
  <c r="I766" i="12"/>
  <c r="H766" i="12"/>
  <c r="G766" i="12"/>
  <c r="H263" i="12"/>
  <c r="I263" i="12"/>
  <c r="G263" i="12"/>
  <c r="I358" i="12"/>
  <c r="G358" i="12"/>
  <c r="H358" i="12"/>
  <c r="I1054" i="12"/>
  <c r="H1054" i="12"/>
  <c r="G1054" i="12"/>
  <c r="H1391" i="12"/>
  <c r="I1391" i="12"/>
  <c r="G1391" i="12"/>
  <c r="E1248" i="12"/>
  <c r="D1248" i="12"/>
  <c r="D696" i="12"/>
  <c r="E696" i="12"/>
  <c r="E840" i="12"/>
  <c r="D840" i="12"/>
  <c r="D576" i="12"/>
  <c r="E576" i="12"/>
  <c r="E408" i="12"/>
  <c r="D408" i="12"/>
  <c r="F1127" i="12"/>
  <c r="H1366" i="12"/>
  <c r="G1366" i="12"/>
  <c r="I1366" i="12"/>
  <c r="J1246" i="12"/>
  <c r="G982" i="12"/>
  <c r="H982" i="12"/>
  <c r="I982" i="12"/>
  <c r="J981" i="12"/>
  <c r="J742" i="12"/>
  <c r="J1149" i="12"/>
  <c r="F1247" i="12"/>
  <c r="J1293" i="12"/>
  <c r="H670" i="12"/>
  <c r="I670" i="12"/>
  <c r="G670" i="12"/>
  <c r="J1365" i="12"/>
  <c r="I406" i="12"/>
  <c r="H406" i="12"/>
  <c r="G406" i="12"/>
  <c r="F671" i="12"/>
  <c r="F1271" i="12"/>
  <c r="J1197" i="12"/>
  <c r="F1007" i="12"/>
  <c r="J1317" i="12"/>
  <c r="F455" i="12"/>
  <c r="B241" i="12"/>
  <c r="B289" i="12"/>
  <c r="B361" i="12"/>
  <c r="B337" i="12"/>
  <c r="B265" i="12"/>
  <c r="B313" i="12"/>
  <c r="B433" i="12"/>
  <c r="B457" i="12"/>
  <c r="B481" i="12"/>
  <c r="B385" i="12"/>
  <c r="B409" i="12"/>
  <c r="B505" i="12"/>
  <c r="B529" i="12"/>
  <c r="B673" i="12"/>
  <c r="B721" i="12"/>
  <c r="B553" i="12"/>
  <c r="B577" i="12"/>
  <c r="B601" i="12"/>
  <c r="B625" i="12"/>
  <c r="B649" i="12"/>
  <c r="B769" i="12"/>
  <c r="B793" i="12"/>
  <c r="B817" i="12"/>
  <c r="B841" i="12"/>
  <c r="B865" i="12"/>
  <c r="B745" i="12"/>
  <c r="B889" i="12"/>
  <c r="B697" i="12"/>
  <c r="B1009" i="12"/>
  <c r="B913" i="12"/>
  <c r="B985" i="12"/>
  <c r="B961" i="12"/>
  <c r="B1033" i="12"/>
  <c r="B1057" i="12"/>
  <c r="B1081" i="12"/>
  <c r="B1105" i="12"/>
  <c r="B1129" i="12"/>
  <c r="B1153" i="12"/>
  <c r="B1177" i="12"/>
  <c r="B1201" i="12"/>
  <c r="B1225" i="12"/>
  <c r="B1249" i="12"/>
  <c r="B1273" i="12"/>
  <c r="B937" i="12"/>
  <c r="B1297" i="12"/>
  <c r="B1321" i="12"/>
  <c r="B1345" i="12"/>
  <c r="B1369" i="12"/>
  <c r="B1393" i="12"/>
  <c r="B1417" i="12"/>
  <c r="B1444" i="12"/>
  <c r="E1224" i="12"/>
  <c r="D1224" i="12"/>
  <c r="E744" i="12"/>
  <c r="D744" i="12"/>
  <c r="E816" i="12"/>
  <c r="D816" i="12"/>
  <c r="E720" i="12"/>
  <c r="D720" i="12"/>
  <c r="D336" i="12"/>
  <c r="E336" i="12"/>
  <c r="F1079" i="12"/>
  <c r="G934" i="12"/>
  <c r="H934" i="12"/>
  <c r="I934" i="12"/>
  <c r="J597" i="12"/>
  <c r="G983" i="12"/>
  <c r="H983" i="12"/>
  <c r="I983" i="12"/>
  <c r="I718" i="12"/>
  <c r="G718" i="12"/>
  <c r="H718" i="12"/>
  <c r="H647" i="12"/>
  <c r="I647" i="12"/>
  <c r="G647" i="12"/>
  <c r="G1151" i="12"/>
  <c r="H1151" i="12"/>
  <c r="I1151" i="12"/>
  <c r="J933" i="12"/>
  <c r="H959" i="12"/>
  <c r="I959" i="12"/>
  <c r="G959" i="12"/>
  <c r="J741" i="12"/>
  <c r="G1198" i="12"/>
  <c r="H1198" i="12"/>
  <c r="I1198" i="12"/>
  <c r="E1296" i="12"/>
  <c r="D1296" i="12"/>
  <c r="D1200" i="12"/>
  <c r="E1200" i="12"/>
  <c r="E864" i="12"/>
  <c r="D864" i="12"/>
  <c r="E792" i="12"/>
  <c r="D792" i="12"/>
  <c r="D552" i="12"/>
  <c r="E552" i="12"/>
  <c r="E384" i="12"/>
  <c r="D384" i="12"/>
  <c r="J1053" i="12"/>
  <c r="J717" i="12"/>
  <c r="I838" i="12"/>
  <c r="H838" i="12"/>
  <c r="G838" i="12"/>
  <c r="J381" i="12"/>
  <c r="H1295" i="12"/>
  <c r="I1295" i="12"/>
  <c r="G1295" i="12"/>
  <c r="G1222" i="12"/>
  <c r="H1222" i="12"/>
  <c r="I1222" i="12"/>
  <c r="J957" i="12"/>
  <c r="G359" i="12"/>
  <c r="H359" i="12"/>
  <c r="I359" i="12"/>
  <c r="J477" i="12"/>
  <c r="J1101" i="12"/>
  <c r="J1029" i="12"/>
  <c r="J309" i="12"/>
  <c r="G1030" i="12"/>
  <c r="H1030" i="12"/>
  <c r="I1030" i="12"/>
  <c r="J334" i="12"/>
  <c r="I814" i="12"/>
  <c r="H814" i="12"/>
  <c r="G814" i="12"/>
  <c r="J958" i="12"/>
  <c r="F791" i="12"/>
  <c r="I886" i="12"/>
  <c r="G886" i="12"/>
  <c r="H886" i="12"/>
  <c r="F335" i="12"/>
  <c r="F383" i="12"/>
  <c r="F1367" i="12"/>
  <c r="G431" i="12"/>
  <c r="H431" i="12"/>
  <c r="I431" i="12"/>
  <c r="D1416" i="12"/>
  <c r="E1416" i="12"/>
  <c r="D1176" i="12"/>
  <c r="E1176" i="12"/>
  <c r="D1008" i="12"/>
  <c r="E1008" i="12"/>
  <c r="E768" i="12"/>
  <c r="D768" i="12"/>
  <c r="D480" i="12"/>
  <c r="E480" i="12"/>
  <c r="D312" i="12"/>
  <c r="E312" i="12"/>
  <c r="G1102" i="12"/>
  <c r="H1102" i="12"/>
  <c r="I1102" i="12"/>
  <c r="E18" i="4"/>
  <c r="D18" i="4"/>
  <c r="C18" i="4"/>
  <c r="H18" i="4"/>
  <c r="F18" i="4"/>
  <c r="G18" i="4" s="1"/>
  <c r="B19" i="4"/>
  <c r="A20" i="4"/>
  <c r="B219" i="1"/>
  <c r="D219" i="1"/>
  <c r="E219" i="1" s="1"/>
  <c r="C219" i="1"/>
  <c r="A220" i="1"/>
  <c r="F219" i="1"/>
  <c r="J1078" i="12" l="1"/>
  <c r="J1295" i="12"/>
  <c r="J647" i="12"/>
  <c r="J1222" i="12"/>
  <c r="J1198" i="12"/>
  <c r="J1151" i="12"/>
  <c r="J1150" i="12"/>
  <c r="F240" i="12"/>
  <c r="J406" i="12"/>
  <c r="F840" i="12"/>
  <c r="F936" i="12"/>
  <c r="J287" i="12"/>
  <c r="J550" i="12"/>
  <c r="J1030" i="12"/>
  <c r="J838" i="12"/>
  <c r="F552" i="12"/>
  <c r="J718" i="12"/>
  <c r="F744" i="12"/>
  <c r="F696" i="12"/>
  <c r="J1006" i="12"/>
  <c r="F888" i="12"/>
  <c r="F1104" i="12"/>
  <c r="J598" i="12"/>
  <c r="J1055" i="12"/>
  <c r="J1390" i="12"/>
  <c r="F792" i="12"/>
  <c r="J670" i="12"/>
  <c r="F408" i="12"/>
  <c r="F1248" i="12"/>
  <c r="J430" i="12"/>
  <c r="G1272" i="12"/>
  <c r="H1272" i="12"/>
  <c r="I1272" i="12"/>
  <c r="G1223" i="12"/>
  <c r="I1223" i="12"/>
  <c r="H1223" i="12"/>
  <c r="G624" i="12"/>
  <c r="H624" i="12"/>
  <c r="I624" i="12"/>
  <c r="F1368" i="12"/>
  <c r="H623" i="12"/>
  <c r="I623" i="12"/>
  <c r="G623" i="12"/>
  <c r="D1249" i="12"/>
  <c r="E1249" i="12"/>
  <c r="D745" i="12"/>
  <c r="E745" i="12"/>
  <c r="E385" i="12"/>
  <c r="D385" i="12"/>
  <c r="D289" i="12"/>
  <c r="E289" i="12"/>
  <c r="G1247" i="12"/>
  <c r="H1247" i="12"/>
  <c r="I1247" i="12"/>
  <c r="G840" i="12"/>
  <c r="H840" i="12"/>
  <c r="I840" i="12"/>
  <c r="G815" i="12"/>
  <c r="H815" i="12"/>
  <c r="I815" i="12"/>
  <c r="H599" i="12"/>
  <c r="I599" i="12"/>
  <c r="G599" i="12"/>
  <c r="G792" i="12"/>
  <c r="J792" i="12" s="1"/>
  <c r="H792" i="12"/>
  <c r="I792" i="12"/>
  <c r="J934" i="12"/>
  <c r="D1393" i="12"/>
  <c r="E1393" i="12"/>
  <c r="D1033" i="12"/>
  <c r="E1033" i="12"/>
  <c r="E865" i="12"/>
  <c r="D865" i="12"/>
  <c r="D577" i="12"/>
  <c r="E577" i="12"/>
  <c r="E481" i="12"/>
  <c r="D481" i="12"/>
  <c r="D241" i="12"/>
  <c r="E241" i="12"/>
  <c r="D1437" i="12"/>
  <c r="E1439" i="12"/>
  <c r="E1440" i="12"/>
  <c r="D1440" i="12"/>
  <c r="D1438" i="12"/>
  <c r="D1436" i="12"/>
  <c r="J1366" i="12"/>
  <c r="J1054" i="12"/>
  <c r="F1320" i="12"/>
  <c r="H575" i="12"/>
  <c r="I575" i="12"/>
  <c r="G575" i="12"/>
  <c r="I936" i="12"/>
  <c r="G936" i="12"/>
  <c r="H936" i="12"/>
  <c r="G311" i="12"/>
  <c r="I311" i="12"/>
  <c r="H311" i="12"/>
  <c r="F504" i="12"/>
  <c r="F1056" i="12"/>
  <c r="H1415" i="12"/>
  <c r="I1415" i="12"/>
  <c r="G1415" i="12"/>
  <c r="G672" i="12"/>
  <c r="H672" i="12"/>
  <c r="I672" i="12"/>
  <c r="D1441" i="12"/>
  <c r="D1417" i="12"/>
  <c r="E1417" i="12"/>
  <c r="E1422" i="12"/>
  <c r="E1421" i="12"/>
  <c r="D1421" i="12"/>
  <c r="D1422" i="12"/>
  <c r="E1423" i="12"/>
  <c r="D1426" i="12"/>
  <c r="E1425" i="12"/>
  <c r="E1428" i="12"/>
  <c r="D1423" i="12"/>
  <c r="E1424" i="12"/>
  <c r="D1425" i="12"/>
  <c r="D1428" i="12"/>
  <c r="E1426" i="12"/>
  <c r="E1429" i="12"/>
  <c r="E1427" i="12"/>
  <c r="D1424" i="12"/>
  <c r="D1427" i="12"/>
  <c r="D1429" i="12"/>
  <c r="E1432" i="12"/>
  <c r="E1430" i="12"/>
  <c r="E1431" i="12"/>
  <c r="D1430" i="12"/>
  <c r="D1431" i="12"/>
  <c r="E1433" i="12"/>
  <c r="D1432" i="12"/>
  <c r="E1434" i="12"/>
  <c r="E1435" i="12"/>
  <c r="D1434" i="12"/>
  <c r="D1435" i="12"/>
  <c r="E1436" i="12"/>
  <c r="D1433" i="12"/>
  <c r="E1437" i="12"/>
  <c r="D1057" i="12"/>
  <c r="E1057" i="12"/>
  <c r="D601" i="12"/>
  <c r="E601" i="12"/>
  <c r="J431" i="12"/>
  <c r="G744" i="12"/>
  <c r="H744" i="12"/>
  <c r="I744" i="12"/>
  <c r="D1225" i="12"/>
  <c r="E1225" i="12"/>
  <c r="J1102" i="12"/>
  <c r="F1008" i="12"/>
  <c r="H1367" i="12"/>
  <c r="I1367" i="12"/>
  <c r="G1367" i="12"/>
  <c r="J814" i="12"/>
  <c r="I1079" i="12"/>
  <c r="G1079" i="12"/>
  <c r="H1079" i="12"/>
  <c r="D1369" i="12"/>
  <c r="E1369" i="12"/>
  <c r="E1201" i="12"/>
  <c r="D1201" i="12"/>
  <c r="D961" i="12"/>
  <c r="E961" i="12"/>
  <c r="D841" i="12"/>
  <c r="F841" i="12" s="1"/>
  <c r="E841" i="12"/>
  <c r="D553" i="12"/>
  <c r="E553" i="12"/>
  <c r="E457" i="12"/>
  <c r="D457" i="12"/>
  <c r="G455" i="12"/>
  <c r="H455" i="12"/>
  <c r="I455" i="12"/>
  <c r="J766" i="12"/>
  <c r="H887" i="12"/>
  <c r="I887" i="12"/>
  <c r="G887" i="12"/>
  <c r="F600" i="12"/>
  <c r="J526" i="12"/>
  <c r="J1342" i="12"/>
  <c r="F1392" i="12"/>
  <c r="J1414" i="12"/>
  <c r="E1441" i="12"/>
  <c r="G407" i="12"/>
  <c r="H407" i="12"/>
  <c r="I407" i="12"/>
  <c r="J1294" i="12"/>
  <c r="G791" i="12"/>
  <c r="H791" i="12"/>
  <c r="I791" i="12"/>
  <c r="F1224" i="12"/>
  <c r="D1345" i="12"/>
  <c r="E1345" i="12"/>
  <c r="E1177" i="12"/>
  <c r="D1177" i="12"/>
  <c r="D985" i="12"/>
  <c r="E985" i="12"/>
  <c r="D817" i="12"/>
  <c r="E817" i="12"/>
  <c r="D721" i="12"/>
  <c r="E721" i="12"/>
  <c r="E433" i="12"/>
  <c r="D433" i="12"/>
  <c r="G1127" i="12"/>
  <c r="H1127" i="12"/>
  <c r="I1127" i="12"/>
  <c r="H696" i="12"/>
  <c r="G696" i="12"/>
  <c r="I696" i="12"/>
  <c r="G1103" i="12"/>
  <c r="H1103" i="12"/>
  <c r="I1103" i="12"/>
  <c r="F264" i="12"/>
  <c r="J646" i="12"/>
  <c r="F648" i="12"/>
  <c r="F984" i="12"/>
  <c r="G767" i="12"/>
  <c r="H767" i="12"/>
  <c r="I767" i="12"/>
  <c r="I1104" i="12"/>
  <c r="H1104" i="12"/>
  <c r="G1104" i="12"/>
  <c r="G839" i="12"/>
  <c r="H839" i="12"/>
  <c r="I839" i="12"/>
  <c r="J694" i="12"/>
  <c r="G383" i="12"/>
  <c r="I383" i="12"/>
  <c r="H383" i="12"/>
  <c r="F864" i="12"/>
  <c r="F312" i="12"/>
  <c r="F1176" i="12"/>
  <c r="G335" i="12"/>
  <c r="H335" i="12"/>
  <c r="I335" i="12"/>
  <c r="J959" i="12"/>
  <c r="F720" i="12"/>
  <c r="D1297" i="12"/>
  <c r="E1297" i="12"/>
  <c r="D1129" i="12"/>
  <c r="E1129" i="12"/>
  <c r="D1009" i="12"/>
  <c r="F1009" i="12" s="1"/>
  <c r="E1009" i="12"/>
  <c r="D769" i="12"/>
  <c r="E769" i="12"/>
  <c r="D529" i="12"/>
  <c r="E529" i="12"/>
  <c r="D265" i="12"/>
  <c r="E265" i="12"/>
  <c r="J358" i="12"/>
  <c r="H1319" i="12"/>
  <c r="I1319" i="12"/>
  <c r="G1319" i="12"/>
  <c r="J622" i="12"/>
  <c r="F960" i="12"/>
  <c r="J935" i="12"/>
  <c r="G239" i="12"/>
  <c r="H239" i="12"/>
  <c r="I239" i="12"/>
  <c r="F360" i="12"/>
  <c r="F1152" i="12"/>
  <c r="G1175" i="12"/>
  <c r="H1175" i="12"/>
  <c r="I1175" i="12"/>
  <c r="D1153" i="12"/>
  <c r="F1153" i="12" s="1"/>
  <c r="E1153" i="12"/>
  <c r="D793" i="12"/>
  <c r="E793" i="12"/>
  <c r="D313" i="12"/>
  <c r="E313" i="12"/>
  <c r="G1007" i="12"/>
  <c r="H1007" i="12"/>
  <c r="I1007" i="12"/>
  <c r="G408" i="12"/>
  <c r="I408" i="12"/>
  <c r="H408" i="12"/>
  <c r="G1248" i="12"/>
  <c r="H1248" i="12"/>
  <c r="I1248" i="12"/>
  <c r="E1438" i="12"/>
  <c r="H888" i="12"/>
  <c r="I888" i="12"/>
  <c r="G888" i="12"/>
  <c r="D1439" i="12"/>
  <c r="C1439" i="12" s="1"/>
  <c r="E937" i="12"/>
  <c r="D937" i="12"/>
  <c r="D1105" i="12"/>
  <c r="E1105" i="12"/>
  <c r="E697" i="12"/>
  <c r="D697" i="12"/>
  <c r="D649" i="12"/>
  <c r="E649" i="12"/>
  <c r="D505" i="12"/>
  <c r="E505" i="12"/>
  <c r="E337" i="12"/>
  <c r="D337" i="12"/>
  <c r="F337" i="12" s="1"/>
  <c r="I1271" i="12"/>
  <c r="G1271" i="12"/>
  <c r="H1271" i="12"/>
  <c r="J982" i="12"/>
  <c r="J1391" i="12"/>
  <c r="J743" i="12"/>
  <c r="G240" i="12"/>
  <c r="H240" i="12"/>
  <c r="I240" i="12"/>
  <c r="G1032" i="12"/>
  <c r="H1032" i="12"/>
  <c r="I1032" i="12"/>
  <c r="J1126" i="12"/>
  <c r="I527" i="12"/>
  <c r="G527" i="12"/>
  <c r="H527" i="12"/>
  <c r="H456" i="12"/>
  <c r="I456" i="12"/>
  <c r="G456" i="12"/>
  <c r="H1080" i="12"/>
  <c r="G1080" i="12"/>
  <c r="I1080" i="12"/>
  <c r="J1343" i="12"/>
  <c r="F912" i="12"/>
  <c r="H719" i="12"/>
  <c r="I719" i="12"/>
  <c r="G719" i="12"/>
  <c r="G479" i="12"/>
  <c r="H479" i="12"/>
  <c r="I479" i="12"/>
  <c r="H552" i="12"/>
  <c r="G552" i="12"/>
  <c r="I552" i="12"/>
  <c r="J983" i="12"/>
  <c r="F336" i="12"/>
  <c r="D1321" i="12"/>
  <c r="E1321" i="12"/>
  <c r="D913" i="12"/>
  <c r="E913" i="12"/>
  <c r="D673" i="12"/>
  <c r="E673" i="12"/>
  <c r="F384" i="12"/>
  <c r="F480" i="12"/>
  <c r="F1416" i="12"/>
  <c r="J886" i="12"/>
  <c r="F1200" i="12"/>
  <c r="F768" i="12"/>
  <c r="J359" i="12"/>
  <c r="F1296" i="12"/>
  <c r="F816" i="12"/>
  <c r="D1273" i="12"/>
  <c r="E1273" i="12"/>
  <c r="D1081" i="12"/>
  <c r="E1081" i="12"/>
  <c r="E889" i="12"/>
  <c r="D889" i="12"/>
  <c r="F889" i="12" s="1"/>
  <c r="D625" i="12"/>
  <c r="F625" i="12" s="1"/>
  <c r="E625" i="12"/>
  <c r="E409" i="12"/>
  <c r="D409" i="12"/>
  <c r="E361" i="12"/>
  <c r="D361" i="12"/>
  <c r="H671" i="12"/>
  <c r="I671" i="12"/>
  <c r="G671" i="12"/>
  <c r="F576" i="12"/>
  <c r="J263" i="12"/>
  <c r="H911" i="12"/>
  <c r="I911" i="12"/>
  <c r="G911" i="12"/>
  <c r="J911" i="12" s="1"/>
  <c r="F432" i="12"/>
  <c r="I1031" i="12"/>
  <c r="G1031" i="12"/>
  <c r="H1031" i="12"/>
  <c r="F1344" i="12"/>
  <c r="J695" i="12"/>
  <c r="J454" i="12"/>
  <c r="F288" i="12"/>
  <c r="F1128" i="12"/>
  <c r="J790" i="12"/>
  <c r="F528" i="12"/>
  <c r="G551" i="12"/>
  <c r="H551" i="12"/>
  <c r="I551" i="12"/>
  <c r="G1199" i="12"/>
  <c r="H1199" i="12"/>
  <c r="I1199" i="12"/>
  <c r="I503" i="12"/>
  <c r="G503" i="12"/>
  <c r="H503" i="12"/>
  <c r="H863" i="12"/>
  <c r="G863" i="12"/>
  <c r="I863" i="12"/>
  <c r="E19" i="4"/>
  <c r="D19" i="4"/>
  <c r="C19" i="4"/>
  <c r="H19" i="4"/>
  <c r="F19" i="4"/>
  <c r="G19" i="4" s="1"/>
  <c r="D220" i="1"/>
  <c r="C220" i="1"/>
  <c r="A221" i="1"/>
  <c r="F220" i="1"/>
  <c r="B220" i="1"/>
  <c r="B20" i="4"/>
  <c r="A21" i="4"/>
  <c r="C1432" i="12" l="1"/>
  <c r="J1103" i="12"/>
  <c r="J623" i="12"/>
  <c r="J1079" i="12"/>
  <c r="F937" i="12"/>
  <c r="J1415" i="12"/>
  <c r="F241" i="12"/>
  <c r="F1033" i="12"/>
  <c r="G1033" i="12" s="1"/>
  <c r="F745" i="12"/>
  <c r="G745" i="12" s="1"/>
  <c r="F1321" i="12"/>
  <c r="G1321" i="12" s="1"/>
  <c r="J479" i="12"/>
  <c r="F769" i="12"/>
  <c r="G769" i="12" s="1"/>
  <c r="C1423" i="12"/>
  <c r="F361" i="12"/>
  <c r="F1273" i="12"/>
  <c r="F961" i="12"/>
  <c r="C1433" i="12"/>
  <c r="C1431" i="12"/>
  <c r="J887" i="12"/>
  <c r="J744" i="12"/>
  <c r="C1430" i="12"/>
  <c r="C1426" i="12"/>
  <c r="C1441" i="12"/>
  <c r="C1435" i="12"/>
  <c r="F1369" i="12"/>
  <c r="H241" i="12"/>
  <c r="G241" i="12"/>
  <c r="I241" i="12"/>
  <c r="I1033" i="12"/>
  <c r="H745" i="12"/>
  <c r="I745" i="12"/>
  <c r="G768" i="12"/>
  <c r="H768" i="12"/>
  <c r="I768" i="12"/>
  <c r="G1344" i="12"/>
  <c r="H1344" i="12"/>
  <c r="I1344" i="12"/>
  <c r="H1273" i="12"/>
  <c r="G1273" i="12"/>
  <c r="I1273" i="12"/>
  <c r="G1416" i="12"/>
  <c r="H1416" i="12"/>
  <c r="I1416" i="12"/>
  <c r="I1321" i="12"/>
  <c r="G360" i="12"/>
  <c r="H360" i="12"/>
  <c r="I360" i="12"/>
  <c r="H720" i="12"/>
  <c r="G720" i="12"/>
  <c r="I720" i="12"/>
  <c r="I264" i="12"/>
  <c r="H264" i="12"/>
  <c r="G264" i="12"/>
  <c r="C1429" i="12"/>
  <c r="J551" i="12"/>
  <c r="G576" i="12"/>
  <c r="H576" i="12"/>
  <c r="I576" i="12"/>
  <c r="G480" i="12"/>
  <c r="H480" i="12"/>
  <c r="I480" i="12"/>
  <c r="I336" i="12"/>
  <c r="H336" i="12"/>
  <c r="G336" i="12"/>
  <c r="J336" i="12" s="1"/>
  <c r="J719" i="12"/>
  <c r="J456" i="12"/>
  <c r="F649" i="12"/>
  <c r="J888" i="12"/>
  <c r="F793" i="12"/>
  <c r="J1127" i="12"/>
  <c r="F985" i="12"/>
  <c r="J791" i="12"/>
  <c r="F1225" i="12"/>
  <c r="F1057" i="12"/>
  <c r="C1427" i="12"/>
  <c r="J936" i="12"/>
  <c r="C1436" i="12"/>
  <c r="F481" i="12"/>
  <c r="J624" i="12"/>
  <c r="I889" i="12"/>
  <c r="G889" i="12"/>
  <c r="H889" i="12"/>
  <c r="F673" i="12"/>
  <c r="J552" i="12"/>
  <c r="H912" i="12"/>
  <c r="I912" i="12"/>
  <c r="G912" i="12"/>
  <c r="J335" i="12"/>
  <c r="G1392" i="12"/>
  <c r="H1392" i="12"/>
  <c r="I1392" i="12"/>
  <c r="G841" i="12"/>
  <c r="H841" i="12"/>
  <c r="I841" i="12"/>
  <c r="J503" i="12"/>
  <c r="G528" i="12"/>
  <c r="H528" i="12"/>
  <c r="I528" i="12"/>
  <c r="J1031" i="12"/>
  <c r="J671" i="12"/>
  <c r="G625" i="12"/>
  <c r="H625" i="12"/>
  <c r="I625" i="12"/>
  <c r="G816" i="12"/>
  <c r="H816" i="12"/>
  <c r="I816" i="12"/>
  <c r="H384" i="12"/>
  <c r="I384" i="12"/>
  <c r="G384" i="12"/>
  <c r="J1032" i="12"/>
  <c r="J1271" i="12"/>
  <c r="F697" i="12"/>
  <c r="J408" i="12"/>
  <c r="E1442" i="12"/>
  <c r="H1009" i="12"/>
  <c r="G1009" i="12"/>
  <c r="I1009" i="12"/>
  <c r="J383" i="12"/>
  <c r="F433" i="12"/>
  <c r="F1177" i="12"/>
  <c r="J455" i="12"/>
  <c r="G961" i="12"/>
  <c r="H961" i="12"/>
  <c r="I961" i="12"/>
  <c r="C1424" i="12"/>
  <c r="C1438" i="12"/>
  <c r="F1393" i="12"/>
  <c r="J1247" i="12"/>
  <c r="F1249" i="12"/>
  <c r="G600" i="12"/>
  <c r="H600" i="12"/>
  <c r="I600" i="12"/>
  <c r="F457" i="12"/>
  <c r="F1201" i="12"/>
  <c r="J1367" i="12"/>
  <c r="F1417" i="12"/>
  <c r="G1056" i="12"/>
  <c r="H1056" i="12"/>
  <c r="I1056" i="12"/>
  <c r="J575" i="12"/>
  <c r="C1440" i="12"/>
  <c r="F577" i="12"/>
  <c r="J815" i="12"/>
  <c r="F289" i="12"/>
  <c r="J1223" i="12"/>
  <c r="I1296" i="12"/>
  <c r="G1296" i="12"/>
  <c r="H1296" i="12"/>
  <c r="F865" i="12"/>
  <c r="F385" i="12"/>
  <c r="I1128" i="12"/>
  <c r="G1128" i="12"/>
  <c r="H1128" i="12"/>
  <c r="G432" i="12"/>
  <c r="H432" i="12"/>
  <c r="I432" i="12"/>
  <c r="H337" i="12"/>
  <c r="G337" i="12"/>
  <c r="I337" i="12"/>
  <c r="F1129" i="12"/>
  <c r="G504" i="12"/>
  <c r="H504" i="12"/>
  <c r="I504" i="12"/>
  <c r="H288" i="12"/>
  <c r="G288" i="12"/>
  <c r="I288" i="12"/>
  <c r="F1105" i="12"/>
  <c r="J1007" i="12"/>
  <c r="I960" i="12"/>
  <c r="G960" i="12"/>
  <c r="H960" i="12"/>
  <c r="G1176" i="12"/>
  <c r="H1176" i="12"/>
  <c r="I1176" i="12"/>
  <c r="I984" i="12"/>
  <c r="G984" i="12"/>
  <c r="H984" i="12"/>
  <c r="J696" i="12"/>
  <c r="F721" i="12"/>
  <c r="F1345" i="12"/>
  <c r="J407" i="12"/>
  <c r="J1199" i="12"/>
  <c r="G937" i="12"/>
  <c r="H937" i="12"/>
  <c r="I937" i="12"/>
  <c r="J1175" i="12"/>
  <c r="F529" i="12"/>
  <c r="F1297" i="12"/>
  <c r="H312" i="12"/>
  <c r="G312" i="12"/>
  <c r="I312" i="12"/>
  <c r="J839" i="12"/>
  <c r="G648" i="12"/>
  <c r="H648" i="12"/>
  <c r="I648" i="12"/>
  <c r="G1224" i="12"/>
  <c r="H1224" i="12"/>
  <c r="I1224" i="12"/>
  <c r="F553" i="12"/>
  <c r="G1369" i="12"/>
  <c r="H1369" i="12"/>
  <c r="I1369" i="12"/>
  <c r="G1008" i="12"/>
  <c r="H1008" i="12"/>
  <c r="I1008" i="12"/>
  <c r="C1434" i="12"/>
  <c r="C1428" i="12"/>
  <c r="C1422" i="12"/>
  <c r="G1320" i="12"/>
  <c r="I1320" i="12"/>
  <c r="H1320" i="12"/>
  <c r="C1437" i="12"/>
  <c r="G1368" i="12"/>
  <c r="H1368" i="12"/>
  <c r="I1368" i="12"/>
  <c r="H1153" i="12"/>
  <c r="I1153" i="12"/>
  <c r="G1153" i="12"/>
  <c r="J239" i="12"/>
  <c r="D1442" i="12"/>
  <c r="F265" i="12"/>
  <c r="J767" i="12"/>
  <c r="I361" i="12"/>
  <c r="G361" i="12"/>
  <c r="H361" i="12"/>
  <c r="J527" i="12"/>
  <c r="J240" i="12"/>
  <c r="F1081" i="12"/>
  <c r="G1200" i="12"/>
  <c r="H1200" i="12"/>
  <c r="I1200" i="12"/>
  <c r="F913" i="12"/>
  <c r="J863" i="12"/>
  <c r="F409" i="12"/>
  <c r="J1080" i="12"/>
  <c r="F505" i="12"/>
  <c r="J1248" i="12"/>
  <c r="F313" i="12"/>
  <c r="I1152" i="12"/>
  <c r="G1152" i="12"/>
  <c r="H1152" i="12"/>
  <c r="J1319" i="12"/>
  <c r="H864" i="12"/>
  <c r="G864" i="12"/>
  <c r="I864" i="12"/>
  <c r="J1104" i="12"/>
  <c r="F817" i="12"/>
  <c r="F601" i="12"/>
  <c r="C1425" i="12"/>
  <c r="C1421" i="12"/>
  <c r="J672" i="12"/>
  <c r="J311" i="12"/>
  <c r="J599" i="12"/>
  <c r="J840" i="12"/>
  <c r="J1272" i="12"/>
  <c r="E220" i="1"/>
  <c r="F221" i="1"/>
  <c r="B221" i="1"/>
  <c r="C221" i="1"/>
  <c r="A222" i="1"/>
  <c r="D221" i="1"/>
  <c r="E221" i="1" s="1"/>
  <c r="E20" i="4"/>
  <c r="D20" i="4"/>
  <c r="C20" i="4"/>
  <c r="H20" i="4"/>
  <c r="F20" i="4"/>
  <c r="G20" i="4" s="1"/>
  <c r="B21" i="4"/>
  <c r="A22" i="4"/>
  <c r="J745" i="12" l="1"/>
  <c r="J432" i="12"/>
  <c r="J360" i="12"/>
  <c r="J1273" i="12"/>
  <c r="J961" i="12"/>
  <c r="J984" i="12"/>
  <c r="J816" i="12"/>
  <c r="J528" i="12"/>
  <c r="J576" i="12"/>
  <c r="E1443" i="12"/>
  <c r="H1321" i="12"/>
  <c r="J960" i="12"/>
  <c r="J600" i="12"/>
  <c r="I769" i="12"/>
  <c r="J1152" i="12"/>
  <c r="J1128" i="12"/>
  <c r="H769" i="12"/>
  <c r="J769" i="12" s="1"/>
  <c r="H1033" i="12"/>
  <c r="J1033" i="12" s="1"/>
  <c r="J1369" i="12"/>
  <c r="J384" i="12"/>
  <c r="J264" i="12"/>
  <c r="H1417" i="12"/>
  <c r="G1417" i="12"/>
  <c r="I1417" i="12"/>
  <c r="H697" i="12"/>
  <c r="I697" i="12"/>
  <c r="G697" i="12"/>
  <c r="I505" i="12"/>
  <c r="G505" i="12"/>
  <c r="H505" i="12"/>
  <c r="G913" i="12"/>
  <c r="H913" i="12"/>
  <c r="I913" i="12"/>
  <c r="J1153" i="12"/>
  <c r="G817" i="12"/>
  <c r="H817" i="12"/>
  <c r="I817" i="12"/>
  <c r="J361" i="12"/>
  <c r="J1320" i="12"/>
  <c r="J648" i="12"/>
  <c r="J504" i="12"/>
  <c r="J1056" i="12"/>
  <c r="H1249" i="12"/>
  <c r="G1249" i="12"/>
  <c r="I1249" i="12"/>
  <c r="J1392" i="12"/>
  <c r="J889" i="12"/>
  <c r="H1225" i="12"/>
  <c r="I1225" i="12"/>
  <c r="G1225" i="12"/>
  <c r="J720" i="12"/>
  <c r="H1177" i="12"/>
  <c r="I1177" i="12"/>
  <c r="G1177" i="12"/>
  <c r="G553" i="12"/>
  <c r="H553" i="12"/>
  <c r="I553" i="12"/>
  <c r="J937" i="12"/>
  <c r="H1105" i="12"/>
  <c r="I1105" i="12"/>
  <c r="G1105" i="12"/>
  <c r="G1393" i="12"/>
  <c r="H1393" i="12"/>
  <c r="I1393" i="12"/>
  <c r="G433" i="12"/>
  <c r="H433" i="12"/>
  <c r="I433" i="12"/>
  <c r="J912" i="12"/>
  <c r="G985" i="12"/>
  <c r="H985" i="12"/>
  <c r="I985" i="12"/>
  <c r="J1321" i="12"/>
  <c r="H1129" i="12"/>
  <c r="I1129" i="12"/>
  <c r="G1129" i="12"/>
  <c r="H265" i="12"/>
  <c r="I265" i="12"/>
  <c r="G265" i="12"/>
  <c r="J312" i="12"/>
  <c r="J337" i="12"/>
  <c r="I385" i="12"/>
  <c r="G385" i="12"/>
  <c r="H385" i="12"/>
  <c r="G577" i="12"/>
  <c r="H577" i="12"/>
  <c r="I577" i="12"/>
  <c r="H1201" i="12"/>
  <c r="I1201" i="12"/>
  <c r="G1201" i="12"/>
  <c r="G481" i="12"/>
  <c r="H481" i="12"/>
  <c r="I481" i="12"/>
  <c r="J1344" i="12"/>
  <c r="J1200" i="12"/>
  <c r="J625" i="12"/>
  <c r="G793" i="12"/>
  <c r="H793" i="12"/>
  <c r="I793" i="12"/>
  <c r="D1443" i="12"/>
  <c r="C1442" i="12"/>
  <c r="J1224" i="12"/>
  <c r="G1297" i="12"/>
  <c r="H1297" i="12"/>
  <c r="I1297" i="12"/>
  <c r="G1345" i="12"/>
  <c r="H1345" i="12"/>
  <c r="I1345" i="12"/>
  <c r="J1176" i="12"/>
  <c r="J1009" i="12"/>
  <c r="J841" i="12"/>
  <c r="J1416" i="12"/>
  <c r="G289" i="12"/>
  <c r="H289" i="12"/>
  <c r="I289" i="12"/>
  <c r="J1368" i="12"/>
  <c r="J288" i="12"/>
  <c r="H865" i="12"/>
  <c r="G865" i="12"/>
  <c r="I865" i="12"/>
  <c r="H457" i="12"/>
  <c r="I457" i="12"/>
  <c r="G457" i="12"/>
  <c r="G409" i="12"/>
  <c r="H409" i="12"/>
  <c r="I409" i="12"/>
  <c r="J1008" i="12"/>
  <c r="I529" i="12"/>
  <c r="G529" i="12"/>
  <c r="H529" i="12"/>
  <c r="G721" i="12"/>
  <c r="H721" i="12"/>
  <c r="I721" i="12"/>
  <c r="J1296" i="12"/>
  <c r="G673" i="12"/>
  <c r="H673" i="12"/>
  <c r="I673" i="12"/>
  <c r="G649" i="12"/>
  <c r="H649" i="12"/>
  <c r="I649" i="12"/>
  <c r="J480" i="12"/>
  <c r="J768" i="12"/>
  <c r="J241" i="12"/>
  <c r="G313" i="12"/>
  <c r="H313" i="12"/>
  <c r="I313" i="12"/>
  <c r="J864" i="12"/>
  <c r="I1081" i="12"/>
  <c r="G1081" i="12"/>
  <c r="H1081" i="12"/>
  <c r="G601" i="12"/>
  <c r="H601" i="12"/>
  <c r="I601" i="12"/>
  <c r="G1057" i="12"/>
  <c r="H1057" i="12"/>
  <c r="I1057" i="12"/>
  <c r="E21" i="4"/>
  <c r="D21" i="4"/>
  <c r="C21" i="4"/>
  <c r="H21" i="4"/>
  <c r="F21" i="4"/>
  <c r="B22" i="4"/>
  <c r="A23" i="4"/>
  <c r="A223" i="1"/>
  <c r="F222" i="1"/>
  <c r="D222" i="1"/>
  <c r="E222" i="1" s="1"/>
  <c r="C222" i="1"/>
  <c r="B222" i="1"/>
  <c r="J1225" i="12" l="1"/>
  <c r="C1443" i="12"/>
  <c r="J985" i="12"/>
  <c r="J1201" i="12"/>
  <c r="J409" i="12"/>
  <c r="J721" i="12"/>
  <c r="E1444" i="12"/>
  <c r="J1249" i="12"/>
  <c r="J457" i="12"/>
  <c r="J577" i="12"/>
  <c r="J1057" i="12"/>
  <c r="J1129" i="12"/>
  <c r="J697" i="12"/>
  <c r="J1105" i="12"/>
  <c r="J505" i="12"/>
  <c r="J817" i="12"/>
  <c r="J385" i="12"/>
  <c r="J649" i="12"/>
  <c r="J1345" i="12"/>
  <c r="J529" i="12"/>
  <c r="J481" i="12"/>
  <c r="J601" i="12"/>
  <c r="J673" i="12"/>
  <c r="J1297" i="12"/>
  <c r="J793" i="12"/>
  <c r="J313" i="12"/>
  <c r="J289" i="12"/>
  <c r="J553" i="12"/>
  <c r="J913" i="12"/>
  <c r="J1417" i="12"/>
  <c r="D1444" i="12"/>
  <c r="J433" i="12"/>
  <c r="J865" i="12"/>
  <c r="J1081" i="12"/>
  <c r="J265" i="12"/>
  <c r="J1393" i="12"/>
  <c r="J1177" i="12"/>
  <c r="B23" i="4"/>
  <c r="A24" i="4"/>
  <c r="B223" i="1"/>
  <c r="F223" i="1"/>
  <c r="D223" i="1"/>
  <c r="C223" i="1"/>
  <c r="A224" i="1"/>
  <c r="E22" i="4"/>
  <c r="D22" i="4"/>
  <c r="C22" i="4"/>
  <c r="H22" i="4"/>
  <c r="F22" i="4"/>
  <c r="G22" i="4" s="1"/>
  <c r="G21" i="4"/>
  <c r="C1444" i="12" l="1"/>
  <c r="B24" i="4"/>
  <c r="A25" i="4"/>
  <c r="B25" i="4" s="1"/>
  <c r="D224" i="1"/>
  <c r="E224" i="1" s="1"/>
  <c r="C224" i="1"/>
  <c r="F224" i="1"/>
  <c r="B224" i="1"/>
  <c r="A225" i="1"/>
  <c r="E23" i="4"/>
  <c r="D23" i="4"/>
  <c r="C23" i="4"/>
  <c r="H23" i="4"/>
  <c r="F23" i="4"/>
  <c r="G23" i="4" s="1"/>
  <c r="E223" i="1"/>
  <c r="E24" i="4" l="1"/>
  <c r="D24" i="4"/>
  <c r="C24" i="4"/>
  <c r="H24" i="4"/>
  <c r="F24" i="4"/>
  <c r="G24" i="4" s="1"/>
  <c r="F225" i="1"/>
  <c r="D225" i="1"/>
  <c r="E225" i="1" s="1"/>
  <c r="C225" i="1"/>
  <c r="B225" i="1"/>
  <c r="E25" i="4"/>
  <c r="D25" i="4"/>
  <c r="C25" i="4"/>
  <c r="H25" i="4"/>
  <c r="F25" i="4"/>
  <c r="G25" i="4" s="1"/>
</calcChain>
</file>

<file path=xl/sharedStrings.xml><?xml version="1.0" encoding="utf-8"?>
<sst xmlns="http://schemas.openxmlformats.org/spreadsheetml/2006/main" count="37671" uniqueCount="7291">
  <si>
    <t>ATTAINMENT TARGET</t>
  </si>
  <si>
    <t>STALLED DEAL DAYS</t>
  </si>
  <si>
    <t>DATA THROUGH</t>
  </si>
  <si>
    <t>Trailing 12 Months</t>
  </si>
  <si>
    <t>BOOKINGS WON</t>
  </si>
  <si>
    <t>QUOTA</t>
  </si>
  <si>
    <t>ATTAINMENT %</t>
  </si>
  <si>
    <t>PIPELINE GENERATED</t>
  </si>
  <si>
    <t>vs. quota, selected window</t>
  </si>
  <si>
    <t>total quota, selected window</t>
  </si>
  <si>
    <t>bookings won ÷ quota</t>
  </si>
  <si>
    <t>new pipeline created</t>
  </si>
  <si>
    <t>WIN RATE</t>
  </si>
  <si>
    <t>AVG SALES CYCLE</t>
  </si>
  <si>
    <t>OPEN PIPELINE $</t>
  </si>
  <si>
    <t>ACTIVE REPS</t>
  </si>
  <si>
    <t>won ÷ (won + lost), closed in window</t>
  </si>
  <si>
    <t>created → closed, won deals</t>
  </si>
  <si>
    <t>current snapshot, all open deals</t>
  </si>
  <si>
    <t>current active headcount</t>
  </si>
  <si>
    <t>Team</t>
  </si>
  <si>
    <t>Active Reps</t>
  </si>
  <si>
    <t>Quota</t>
  </si>
  <si>
    <t>Bookings Won</t>
  </si>
  <si>
    <t>Attainment %</t>
  </si>
  <si>
    <t>Pipeline Generated</t>
  </si>
  <si>
    <t>Inside Sales</t>
  </si>
  <si>
    <t>Mid-Market</t>
  </si>
  <si>
    <t>Enterprise</t>
  </si>
  <si>
    <t>Strategic</t>
  </si>
  <si>
    <t>Region</t>
  </si>
  <si>
    <t>NAMER</t>
  </si>
  <si>
    <t>EMEA</t>
  </si>
  <si>
    <t>APAC</t>
  </si>
  <si>
    <t>LATAM</t>
  </si>
  <si>
    <t>TOP 5 PERFORMERS</t>
  </si>
  <si>
    <t>Rank</t>
  </si>
  <si>
    <t>Rep Name</t>
  </si>
  <si>
    <t>REPS NEEDING ATTENTION  (LOWEST ATTAINMENT)</t>
  </si>
  <si>
    <t>Stage</t>
  </si>
  <si>
    <t>Count</t>
  </si>
  <si>
    <t>% of Created</t>
  </si>
  <si>
    <t>Created</t>
  </si>
  <si>
    <t>Reached Qualified</t>
  </si>
  <si>
    <t>Reached Meeting</t>
  </si>
  <si>
    <t>Reached Proposal</t>
  </si>
  <si>
    <t>Reached Negotiation</t>
  </si>
  <si>
    <t>Won</t>
  </si>
  <si>
    <t>Source</t>
  </si>
  <si>
    <t>Lost</t>
  </si>
  <si>
    <t>Win Rate</t>
  </si>
  <si>
    <t>Won $ Value</t>
  </si>
  <si>
    <t>Outbound Prospecting</t>
  </si>
  <si>
    <t>Inbound Marketing</t>
  </si>
  <si>
    <t>Referral</t>
  </si>
  <si>
    <t>Partner</t>
  </si>
  <si>
    <t>Event / Conference</t>
  </si>
  <si>
    <t>Lost Reason</t>
  </si>
  <si>
    <t>$ Value</t>
  </si>
  <si>
    <t>% of Total Lost</t>
  </si>
  <si>
    <t>Budget</t>
  </si>
  <si>
    <t>Lost to Competitor</t>
  </si>
  <si>
    <t>No Decision / Timing</t>
  </si>
  <si>
    <t>Bad Fit</t>
  </si>
  <si>
    <t>Champion Left</t>
  </si>
  <si>
    <t>REPS BELOW TARGET</t>
  </si>
  <si>
    <t>STALLED OPEN DEALS</t>
  </si>
  <si>
    <t>STALLED PIPELINE $</t>
  </si>
  <si>
    <t>LARGEST STALLED DEAL</t>
  </si>
  <si>
    <t>active reps below attainment target</t>
  </si>
  <si>
    <t>open &gt;90 days, no decision</t>
  </si>
  <si>
    <t>value tied up in stalled deals</t>
  </si>
  <si>
    <t>single largest at-risk opportunity</t>
  </si>
  <si>
    <t>Data model: Dim_Reps, Fact_Quota, Fact_Pipeline, Dim_Date, Monthly_Summary (all values USD-normalized). All figures recalculate automatically from the Reporting Month, Performance Window, Attainment Target and Stalled Deal Days controls above. Supporting calculations are on this sheet below row 300 (grouped/collapsed).</t>
  </si>
  <si>
    <t>SUPPORTING CALCULATIONS  —  AUTO-UPDATING, DO NOT EDIT BELOW THIS LINE  (grouped/collapsed; expand the row outline at left to audit)</t>
  </si>
  <si>
    <t>Reporting Month Start (from dropdown)</t>
  </si>
  <si>
    <t>Window Start</t>
  </si>
  <si>
    <t>Window End (last day of reporting month)</t>
  </si>
  <si>
    <t>Rep_ID</t>
  </si>
  <si>
    <t>Rep_Name</t>
  </si>
  <si>
    <t>Status</t>
  </si>
  <si>
    <t>Quota (window)</t>
  </si>
  <si>
    <t>Bookings Won (window)</t>
  </si>
  <si>
    <t>Pipeline Gen (window)</t>
  </si>
  <si>
    <t>Rank Key (internal)</t>
  </si>
  <si>
    <t>MonthStart</t>
  </si>
  <si>
    <t>Month+Year</t>
  </si>
  <si>
    <t>SALES COMMISSION CALCULATOR</t>
  </si>
  <si>
    <t>ELIGIBILITY THRESHOLD</t>
  </si>
  <si>
    <t>ACCELERATOR BREAKPOINT</t>
  </si>
  <si>
    <t>Role</t>
  </si>
  <si>
    <t>Base Rate (Tier 1, ≤100% quota)</t>
  </si>
  <si>
    <t>Accelerator Rate (Tier 2)</t>
  </si>
  <si>
    <t>Super-Accelerator Rate (Tier 3)</t>
  </si>
  <si>
    <t>SDR / Inside Sales Rep</t>
  </si>
  <si>
    <t>Mid-Market AE</t>
  </si>
  <si>
    <t>Enterprise AE</t>
  </si>
  <si>
    <t>Senior Enterprise AE</t>
  </si>
  <si>
    <t>TOTAL COMMISSION PAYOUT</t>
  </si>
  <si>
    <t>TOTAL BOOKINGS WON</t>
  </si>
  <si>
    <t>COMPANY ATTAINMENT %</t>
  </si>
  <si>
    <t>AVG EFFECTIVE COMMISSION RATE</t>
  </si>
  <si>
    <t>all eligible reps, selected window</t>
  </si>
  <si>
    <t>same window</t>
  </si>
  <si>
    <t>blended payout ÷ bookings won</t>
  </si>
  <si>
    <t>ELIGIBLE REPS</t>
  </si>
  <si>
    <t>REPS BELOW THRESHOLD</t>
  </si>
  <si>
    <t>AVG PAYOUT PER ELIGIBLE REP</t>
  </si>
  <si>
    <t>ACCELERATOR $ PAID (TIER 2+3)</t>
  </si>
  <si>
    <t>active reps ≥ eligibility threshold</t>
  </si>
  <si>
    <t>active reps earning $0 commission</t>
  </si>
  <si>
    <t>total payout ÷ eligible headcount</t>
  </si>
  <si>
    <t>commission earned above Tier 1</t>
  </si>
  <si>
    <t>Eligible Reps</t>
  </si>
  <si>
    <t>Total Commission</t>
  </si>
  <si>
    <t>Avg Effective Rate</t>
  </si>
  <si>
    <t>Eligible?</t>
  </si>
  <si>
    <t>Tier 1 $</t>
  </si>
  <si>
    <t>Tier 2 $</t>
  </si>
  <si>
    <t>Tier 3 $</t>
  </si>
  <si>
    <t>Effective Rate %</t>
  </si>
  <si>
    <t>Data model: Dim_Reps, Fact_Quota, Fact_Pipeline (all values USD-normalized). Commission rates and tier breakpoints above are illustrative editable assumptions, not the company's actual comp plan. All figures recalculate automatically from the Reporting Month, Performance Window, Eligibility Threshold and Accelerator Breakpoint controls, and the rate table above. Supporting calculations are on this sheet below row 300 (grouped/collapsed).</t>
  </si>
  <si>
    <t>Base Rate</t>
  </si>
  <si>
    <t>Accelerator Rate</t>
  </si>
  <si>
    <t>Super-Accelerator Rate</t>
  </si>
  <si>
    <t>Tier1$</t>
  </si>
  <si>
    <t>Tier2$</t>
  </si>
  <si>
    <t>Tier3$</t>
  </si>
  <si>
    <t>Commission$</t>
  </si>
  <si>
    <t>Tier 2+3 $ (Accelerator)</t>
  </si>
  <si>
    <t>PIPELINE COVERAGE &amp; GAP-TO-GOAL</t>
  </si>
  <si>
    <t>TARGET COVERAGE RATIO</t>
  </si>
  <si>
    <t>Rest of Quarter</t>
  </si>
  <si>
    <t>TOTAL GAP TO GOAL</t>
  </si>
  <si>
    <t>TOTAL OPEN PIPELINE</t>
  </si>
  <si>
    <t>COMPANY COVERAGE RATIO</t>
  </si>
  <si>
    <t>COMPANY REQUIRED WIN RATE</t>
  </si>
  <si>
    <t>remaining quota, goal period</t>
  </si>
  <si>
    <t>open pipeline ÷ gap to goal</t>
  </si>
  <si>
    <t>% of open pipeline that must convert</t>
  </si>
  <si>
    <t>REPS BELOW TARGET COVERAGE</t>
  </si>
  <si>
    <t>REPS AT RISK  (BELOW OWN PACE)</t>
  </si>
  <si>
    <t>REPS GOAL ALREADY ACHIEVED</t>
  </si>
  <si>
    <t>AVG COVERAGE RATIO  (ACTIVE, WITH GAP)</t>
  </si>
  <si>
    <t>active reps under the target ratio</t>
  </si>
  <si>
    <t>required win rate exceeds own historical rate</t>
  </si>
  <si>
    <t>quota already met for the goal period</t>
  </si>
  <si>
    <t>unweighted average across at-risk reps</t>
  </si>
  <si>
    <t>Gap to Goal</t>
  </si>
  <si>
    <t>Open Pipeline</t>
  </si>
  <si>
    <t>Coverage Ratio</t>
  </si>
  <si>
    <t>Target</t>
  </si>
  <si>
    <t>Required Win Rate</t>
  </si>
  <si>
    <t>Historical Win Rate</t>
  </si>
  <si>
    <t>Data model: Dim_Reps, Fact_Quota, Fact_Pipeline (all values USD-normalized). Gap to Goal = quota for the selected goal period minus bookings won so far in that period (floored at $0). Open Pipeline is a current snapshot of all open deals (not limited to the goal period). Coverage Ratio = Open Pipeline ÷ Gap to Goal; Required Win Rate = Gap to Goal ÷ Open Pipeline (the share of open pipeline that must convert to close the gap), compared against each rep's own trailing-12-month win rate (falls back to the company win rate for reps with few closed deals). Target Coverage Ratio above is an editable assumption/benchmark, not a guarantee. All figures recalculate automatically from the controls above. Supporting calculations are on this sheet below row 300 (grouped/collapsed).</t>
  </si>
  <si>
    <t>Goal Period Start</t>
  </si>
  <si>
    <t>Goal Period End</t>
  </si>
  <si>
    <t>Data Through (actuals counted up to here)</t>
  </si>
  <si>
    <t>Company Win Rate (T12M, fallback for low-volume reps)</t>
  </si>
  <si>
    <t>Quota (Goal Period)</t>
  </si>
  <si>
    <t>Won (Period-to-Date)</t>
  </si>
  <si>
    <t>Open Pipeline $</t>
  </si>
  <si>
    <t>Won (T12M)</t>
  </si>
  <si>
    <t>Lost (T12M)</t>
  </si>
  <si>
    <t>Month</t>
  </si>
  <si>
    <t>Year</t>
  </si>
  <si>
    <t>Total Quota</t>
  </si>
  <si>
    <t>Total Bookings Won</t>
  </si>
  <si>
    <t>Pipeline_Generated</t>
  </si>
  <si>
    <t>2024 ONLY</t>
  </si>
  <si>
    <t>2025 ONLY</t>
  </si>
  <si>
    <t>Manager</t>
  </si>
  <si>
    <t>Hire_Date</t>
  </si>
  <si>
    <t>Termination_Date</t>
  </si>
  <si>
    <t>Full_Ramped_Monthly_Quota_USD</t>
  </si>
  <si>
    <t>Rate_Code_Generalized</t>
  </si>
  <si>
    <t>Full_Ramped_Monthly_Quota_Local</t>
  </si>
  <si>
    <t>R003</t>
  </si>
  <si>
    <t>Lucas Cohen</t>
  </si>
  <si>
    <t>Marcus Webb</t>
  </si>
  <si>
    <t>Active</t>
  </si>
  <si>
    <t>R008</t>
  </si>
  <si>
    <t>Milo Weber</t>
  </si>
  <si>
    <t>R010</t>
  </si>
  <si>
    <t>Sam Schmidt</t>
  </si>
  <si>
    <t>R013</t>
  </si>
  <si>
    <t>Noah Kim</t>
  </si>
  <si>
    <t>Elena Ferraro</t>
  </si>
  <si>
    <t>R026</t>
  </si>
  <si>
    <t>Jamie Santos</t>
  </si>
  <si>
    <t>Departed</t>
  </si>
  <si>
    <t>R036</t>
  </si>
  <si>
    <t>Zara Duarte</t>
  </si>
  <si>
    <t>R001</t>
  </si>
  <si>
    <t>Karim Rossi</t>
  </si>
  <si>
    <t>Priya Nair</t>
  </si>
  <si>
    <t>R005</t>
  </si>
  <si>
    <t>Alex Okafor</t>
  </si>
  <si>
    <t>Tom Reyes</t>
  </si>
  <si>
    <t>R006</t>
  </si>
  <si>
    <t>Lucas Okafor</t>
  </si>
  <si>
    <t>R007</t>
  </si>
  <si>
    <t>Sara Duarte</t>
  </si>
  <si>
    <t>R011</t>
  </si>
  <si>
    <t>Riley Haddad</t>
  </si>
  <si>
    <t>R014</t>
  </si>
  <si>
    <t>Karim Alvarez</t>
  </si>
  <si>
    <t>R015</t>
  </si>
  <si>
    <t>Sam Castro</t>
  </si>
  <si>
    <t>R016</t>
  </si>
  <si>
    <t>Petra Larsen</t>
  </si>
  <si>
    <t>R017</t>
  </si>
  <si>
    <t>Lea Weber</t>
  </si>
  <si>
    <t>R020</t>
  </si>
  <si>
    <t>Jamie Silva</t>
  </si>
  <si>
    <t>R022</t>
  </si>
  <si>
    <t>Jamie Schmidt</t>
  </si>
  <si>
    <t>R023</t>
  </si>
  <si>
    <t>Priya Weber</t>
  </si>
  <si>
    <t>R024</t>
  </si>
  <si>
    <t>Riley Duarte</t>
  </si>
  <si>
    <t>R027</t>
  </si>
  <si>
    <t>Casey Muller</t>
  </si>
  <si>
    <t>R030</t>
  </si>
  <si>
    <t>Lea Petrov</t>
  </si>
  <si>
    <t>R032</t>
  </si>
  <si>
    <t>Alex Muller</t>
  </si>
  <si>
    <t>R033</t>
  </si>
  <si>
    <t>Liam Muller</t>
  </si>
  <si>
    <t>R037</t>
  </si>
  <si>
    <t>Liam Castro</t>
  </si>
  <si>
    <t>R038</t>
  </si>
  <si>
    <t>Ben Silva</t>
  </si>
  <si>
    <t>R041</t>
  </si>
  <si>
    <t>Lucas Duarte</t>
  </si>
  <si>
    <t>R043</t>
  </si>
  <si>
    <t>Milo Castro</t>
  </si>
  <si>
    <t>R045</t>
  </si>
  <si>
    <t>Hugo Santos</t>
  </si>
  <si>
    <t>R047</t>
  </si>
  <si>
    <t>Noah Adler</t>
  </si>
  <si>
    <t>R050</t>
  </si>
  <si>
    <t>Kenji Weber</t>
  </si>
  <si>
    <t>R004</t>
  </si>
  <si>
    <t>Jonas Sato</t>
  </si>
  <si>
    <t>Daniel Kwon</t>
  </si>
  <si>
    <t>R009</t>
  </si>
  <si>
    <t>Karim Rivera</t>
  </si>
  <si>
    <t>Sofia Marchetti</t>
  </si>
  <si>
    <t>R018</t>
  </si>
  <si>
    <t>Ana Sato</t>
  </si>
  <si>
    <t>R019</t>
  </si>
  <si>
    <t>Chloe Petrov</t>
  </si>
  <si>
    <t>R021</t>
  </si>
  <si>
    <t>Rafael Weber</t>
  </si>
  <si>
    <t>R025</t>
  </si>
  <si>
    <t>Erik Kim</t>
  </si>
  <si>
    <t>R028</t>
  </si>
  <si>
    <t>Ana Kim</t>
  </si>
  <si>
    <t>R029</t>
  </si>
  <si>
    <t>Felix Okafor</t>
  </si>
  <si>
    <t>R031</t>
  </si>
  <si>
    <t>Morgan Larsen</t>
  </si>
  <si>
    <t>R039</t>
  </si>
  <si>
    <t>Morgan Weber</t>
  </si>
  <si>
    <t>R040</t>
  </si>
  <si>
    <t>Erik Duarte</t>
  </si>
  <si>
    <t>R042</t>
  </si>
  <si>
    <t>Yuki Dubois</t>
  </si>
  <si>
    <t>R046</t>
  </si>
  <si>
    <t>Morgan Rivera</t>
  </si>
  <si>
    <t>R048</t>
  </si>
  <si>
    <t>Ivy Adler</t>
  </si>
  <si>
    <t>R049</t>
  </si>
  <si>
    <t>Olivia Cohen</t>
  </si>
  <si>
    <t>R002</t>
  </si>
  <si>
    <t>Sana Rossi</t>
  </si>
  <si>
    <t>Grace Lindqvist</t>
  </si>
  <si>
    <t>R012</t>
  </si>
  <si>
    <t>Sara Andersson</t>
  </si>
  <si>
    <t>R034</t>
  </si>
  <si>
    <t>Cameron Lund</t>
  </si>
  <si>
    <t>R035</t>
  </si>
  <si>
    <t>Fatima Rossi</t>
  </si>
  <si>
    <t>R044</t>
  </si>
  <si>
    <t>Taylor Adler</t>
  </si>
  <si>
    <t>Period_Start_Date</t>
  </si>
  <si>
    <t>Tenure_Months_At_Period</t>
  </si>
  <si>
    <t>Quota_Amount_USD</t>
  </si>
  <si>
    <t>Quota_Amount_Local</t>
  </si>
  <si>
    <t>Rep_Role</t>
  </si>
  <si>
    <t>Rep_Team</t>
  </si>
  <si>
    <t>Rep_Region</t>
  </si>
  <si>
    <t>PeriodStart_MonthYear</t>
  </si>
  <si>
    <t>Opportunity_ID</t>
  </si>
  <si>
    <t>Created_Date</t>
  </si>
  <si>
    <t>Stage_Qualified_Date</t>
  </si>
  <si>
    <t>Stage_Meeting_Date</t>
  </si>
  <si>
    <t>Stage_Proposal_Date</t>
  </si>
  <si>
    <t>Stage_Negotiation_Date</t>
  </si>
  <si>
    <t>Closed_Date</t>
  </si>
  <si>
    <t>Pipeline_Amount_USD</t>
  </si>
  <si>
    <t>Lost_Reason</t>
  </si>
  <si>
    <t>Pipeline_Amount_Local2</t>
  </si>
  <si>
    <t>Created_MonthYear</t>
  </si>
  <si>
    <t>Closed_MonthYear</t>
  </si>
  <si>
    <t>Cycle_days</t>
  </si>
  <si>
    <t>OPP-00972</t>
  </si>
  <si>
    <t>Open</t>
  </si>
  <si>
    <t>OPP-01352</t>
  </si>
  <si>
    <t>OPP-04264</t>
  </si>
  <si>
    <t>OPP-00233</t>
  </si>
  <si>
    <t>OPP-00252</t>
  </si>
  <si>
    <t>OPP-01113</t>
  </si>
  <si>
    <t>OPP-01114</t>
  </si>
  <si>
    <t>OPP-01456</t>
  </si>
  <si>
    <t>OPP-04220</t>
  </si>
  <si>
    <t>OPP-04221</t>
  </si>
  <si>
    <t>OPP-04222</t>
  </si>
  <si>
    <t>OPP-04223</t>
  </si>
  <si>
    <t>OPP-04224</t>
  </si>
  <si>
    <t>OPP-04370</t>
  </si>
  <si>
    <t>OPP-05889</t>
  </si>
  <si>
    <t>OPP-05890</t>
  </si>
  <si>
    <t>OPP-00253</t>
  </si>
  <si>
    <t>OPP-00255</t>
  </si>
  <si>
    <t>OPP-00379</t>
  </si>
  <si>
    <t>OPP-00382</t>
  </si>
  <si>
    <t>OPP-00974</t>
  </si>
  <si>
    <t>OPP-00975</t>
  </si>
  <si>
    <t>OPP-01005</t>
  </si>
  <si>
    <t>OPP-01007</t>
  </si>
  <si>
    <t>OPP-01112</t>
  </si>
  <si>
    <t>OPP-01351</t>
  </si>
  <si>
    <t>OPP-01353</t>
  </si>
  <si>
    <t>OPP-01454</t>
  </si>
  <si>
    <t>OPP-01455</t>
  </si>
  <si>
    <t>OPP-01458</t>
  </si>
  <si>
    <t>OPP-02221</t>
  </si>
  <si>
    <t>OPP-03085</t>
  </si>
  <si>
    <t>OPP-03373</t>
  </si>
  <si>
    <t>OPP-03375</t>
  </si>
  <si>
    <t>OPP-03377</t>
  </si>
  <si>
    <t>OPP-03626</t>
  </si>
  <si>
    <t>OPP-03628</t>
  </si>
  <si>
    <t>OPP-04225</t>
  </si>
  <si>
    <t>OPP-04263</t>
  </si>
  <si>
    <t>OPP-04368</t>
  </si>
  <si>
    <t>OPP-04371</t>
  </si>
  <si>
    <t>OPP-04372</t>
  </si>
  <si>
    <t>OPP-05134</t>
  </si>
  <si>
    <t>OPP-05560</t>
  </si>
  <si>
    <t>OPP-05891</t>
  </si>
  <si>
    <t>OPP-06438</t>
  </si>
  <si>
    <t>OPP-06440</t>
  </si>
  <si>
    <t>OPP-06442</t>
  </si>
  <si>
    <t>OPP-00189</t>
  </si>
  <si>
    <t>OPP-00192</t>
  </si>
  <si>
    <t>OPP-00196</t>
  </si>
  <si>
    <t>OPP-00197</t>
  </si>
  <si>
    <t>OPP-00254</t>
  </si>
  <si>
    <t>OPP-00380</t>
  </si>
  <si>
    <t>OPP-00381</t>
  </si>
  <si>
    <t>OPP-00383</t>
  </si>
  <si>
    <t>OPP-00384</t>
  </si>
  <si>
    <t>OPP-00527</t>
  </si>
  <si>
    <t>OPP-00529</t>
  </si>
  <si>
    <t>OPP-00530</t>
  </si>
  <si>
    <t>OPP-00531</t>
  </si>
  <si>
    <t>OPP-00532</t>
  </si>
  <si>
    <t>OPP-00534</t>
  </si>
  <si>
    <t>OPP-00537</t>
  </si>
  <si>
    <t>OPP-00538</t>
  </si>
  <si>
    <t>OPP-00539</t>
  </si>
  <si>
    <t>OPP-00540</t>
  </si>
  <si>
    <t>OPP-00788</t>
  </si>
  <si>
    <t>OPP-00789</t>
  </si>
  <si>
    <t>OPP-00791</t>
  </si>
  <si>
    <t>OPP-00792</t>
  </si>
  <si>
    <t>OPP-00793</t>
  </si>
  <si>
    <t>OPP-00794</t>
  </si>
  <si>
    <t>OPP-00795</t>
  </si>
  <si>
    <t>OPP-00855</t>
  </si>
  <si>
    <t>OPP-00857</t>
  </si>
  <si>
    <t>OPP-00859</t>
  </si>
  <si>
    <t>OPP-00973</t>
  </si>
  <si>
    <t>OPP-01004</t>
  </si>
  <si>
    <t>OPP-01006</t>
  </si>
  <si>
    <t>OPP-01249</t>
  </si>
  <si>
    <t>OPP-01250</t>
  </si>
  <si>
    <t>OPP-01251</t>
  </si>
  <si>
    <t>OPP-01253</t>
  </si>
  <si>
    <t>OPP-01254</t>
  </si>
  <si>
    <t>OPP-01257</t>
  </si>
  <si>
    <t>OPP-01457</t>
  </si>
  <si>
    <t>OPP-01668</t>
  </si>
  <si>
    <t>OPP-01670</t>
  </si>
  <si>
    <t>OPP-01673</t>
  </si>
  <si>
    <t>OPP-01675</t>
  </si>
  <si>
    <t>OPP-01676</t>
  </si>
  <si>
    <t>OPP-01677</t>
  </si>
  <si>
    <t>OPP-01856</t>
  </si>
  <si>
    <t>OPP-01857</t>
  </si>
  <si>
    <t>OPP-01858</t>
  </si>
  <si>
    <t>OPP-01859</t>
  </si>
  <si>
    <t>OPP-01860</t>
  </si>
  <si>
    <t>OPP-01861</t>
  </si>
  <si>
    <t>OPP-01862</t>
  </si>
  <si>
    <t>OPP-01864</t>
  </si>
  <si>
    <t>OPP-01918</t>
  </si>
  <si>
    <t>OPP-01920</t>
  </si>
  <si>
    <t>OPP-01921</t>
  </si>
  <si>
    <t>OPP-01922</t>
  </si>
  <si>
    <t>OPP-01923</t>
  </si>
  <si>
    <t>OPP-01924</t>
  </si>
  <si>
    <t>OPP-02174</t>
  </si>
  <si>
    <t>OPP-02175</t>
  </si>
  <si>
    <t>OPP-02176</t>
  </si>
  <si>
    <t>OPP-02179</t>
  </si>
  <si>
    <t>OPP-02219</t>
  </si>
  <si>
    <t>OPP-02220</t>
  </si>
  <si>
    <t>OPP-02222</t>
  </si>
  <si>
    <t>OPP-02223</t>
  </si>
  <si>
    <t>OPP-02359</t>
  </si>
  <si>
    <t>OPP-02360</t>
  </si>
  <si>
    <t>OPP-02363</t>
  </si>
  <si>
    <t>OPP-02364</t>
  </si>
  <si>
    <t>OPP-02365</t>
  </si>
  <si>
    <t>OPP-02367</t>
  </si>
  <si>
    <t>OPP-02368</t>
  </si>
  <si>
    <t>OPP-02369</t>
  </si>
  <si>
    <t>OPP-02425</t>
  </si>
  <si>
    <t>OPP-02426</t>
  </si>
  <si>
    <t>OPP-02427</t>
  </si>
  <si>
    <t>OPP-02428</t>
  </si>
  <si>
    <t>OPP-02429</t>
  </si>
  <si>
    <t>OPP-02430</t>
  </si>
  <si>
    <t>OPP-02622</t>
  </si>
  <si>
    <t>OPP-02624</t>
  </si>
  <si>
    <t>OPP-02627</t>
  </si>
  <si>
    <t>OPP-02868</t>
  </si>
  <si>
    <t>OPP-02869</t>
  </si>
  <si>
    <t>OPP-02871</t>
  </si>
  <si>
    <t>OPP-02873</t>
  </si>
  <si>
    <t>OPP-02874</t>
  </si>
  <si>
    <t>OPP-02875</t>
  </si>
  <si>
    <t>OPP-02876</t>
  </si>
  <si>
    <t>OPP-02926</t>
  </si>
  <si>
    <t>OPP-02927</t>
  </si>
  <si>
    <t>OPP-02929</t>
  </si>
  <si>
    <t>OPP-02930</t>
  </si>
  <si>
    <t>OPP-02965</t>
  </si>
  <si>
    <t>OPP-03084</t>
  </si>
  <si>
    <t>OPP-03321</t>
  </si>
  <si>
    <t>OPP-03323</t>
  </si>
  <si>
    <t>OPP-03324</t>
  </si>
  <si>
    <t>OPP-03325</t>
  </si>
  <si>
    <t>OPP-03326</t>
  </si>
  <si>
    <t>OPP-03327</t>
  </si>
  <si>
    <t>OPP-03328</t>
  </si>
  <si>
    <t>OPP-03329</t>
  </si>
  <si>
    <t>OPP-03330</t>
  </si>
  <si>
    <t>OPP-03370</t>
  </si>
  <si>
    <t>OPP-03371</t>
  </si>
  <si>
    <t>OPP-03372</t>
  </si>
  <si>
    <t>OPP-03374</t>
  </si>
  <si>
    <t>OPP-03376</t>
  </si>
  <si>
    <t>OPP-03378</t>
  </si>
  <si>
    <t>OPP-03520</t>
  </si>
  <si>
    <t>OPP-03521</t>
  </si>
  <si>
    <t>OPP-03522</t>
  </si>
  <si>
    <t>OPP-03523</t>
  </si>
  <si>
    <t>OPP-03524</t>
  </si>
  <si>
    <t>OPP-03604</t>
  </si>
  <si>
    <t>OPP-03606</t>
  </si>
  <si>
    <t>OPP-03609</t>
  </si>
  <si>
    <t>OPP-03610</t>
  </si>
  <si>
    <t>OPP-03612</t>
  </si>
  <si>
    <t>OPP-03613</t>
  </si>
  <si>
    <t>OPP-03615</t>
  </si>
  <si>
    <t>OPP-03627</t>
  </si>
  <si>
    <t>OPP-03629</t>
  </si>
  <si>
    <t>OPP-03864</t>
  </si>
  <si>
    <t>OPP-03865</t>
  </si>
  <si>
    <t>OPP-03866</t>
  </si>
  <si>
    <t>OPP-03869</t>
  </si>
  <si>
    <t>OPP-03871</t>
  </si>
  <si>
    <t>OPP-04107</t>
  </si>
  <si>
    <t>OPP-04108</t>
  </si>
  <si>
    <t>OPP-04109</t>
  </si>
  <si>
    <t>OPP-04111</t>
  </si>
  <si>
    <t>OPP-04112</t>
  </si>
  <si>
    <t>OPP-04113</t>
  </si>
  <si>
    <t>OPP-04118</t>
  </si>
  <si>
    <t>OPP-04119</t>
  </si>
  <si>
    <t>OPP-04120</t>
  </si>
  <si>
    <t>OPP-04122</t>
  </si>
  <si>
    <t>OPP-04123</t>
  </si>
  <si>
    <t>OPP-04367</t>
  </si>
  <si>
    <t>OPP-04369</t>
  </si>
  <si>
    <t>OPP-04603</t>
  </si>
  <si>
    <t>OPP-04606</t>
  </si>
  <si>
    <t>OPP-04607</t>
  </si>
  <si>
    <t>OPP-04608</t>
  </si>
  <si>
    <t>OPP-04609</t>
  </si>
  <si>
    <t>OPP-04838</t>
  </si>
  <si>
    <t>OPP-04839</t>
  </si>
  <si>
    <t>OPP-04842</t>
  </si>
  <si>
    <t>OPP-04991</t>
  </si>
  <si>
    <t>OPP-05131</t>
  </si>
  <si>
    <t>OPP-05132</t>
  </si>
  <si>
    <t>OPP-05133</t>
  </si>
  <si>
    <t>OPP-05135</t>
  </si>
  <si>
    <t>OPP-05397</t>
  </si>
  <si>
    <t>OPP-05398</t>
  </si>
  <si>
    <t>OPP-05399</t>
  </si>
  <si>
    <t>OPP-05401</t>
  </si>
  <si>
    <t>OPP-05554</t>
  </si>
  <si>
    <t>OPP-05555</t>
  </si>
  <si>
    <t>OPP-05556</t>
  </si>
  <si>
    <t>OPP-05557</t>
  </si>
  <si>
    <t>OPP-05558</t>
  </si>
  <si>
    <t>OPP-05559</t>
  </si>
  <si>
    <t>OPP-05796</t>
  </si>
  <si>
    <t>OPP-05797</t>
  </si>
  <si>
    <t>OPP-05798</t>
  </si>
  <si>
    <t>OPP-05800</t>
  </si>
  <si>
    <t>OPP-05802</t>
  </si>
  <si>
    <t>OPP-05804</t>
  </si>
  <si>
    <t>OPP-06105</t>
  </si>
  <si>
    <t>OPP-06106</t>
  </si>
  <si>
    <t>OPP-06114</t>
  </si>
  <si>
    <t>OPP-06115</t>
  </si>
  <si>
    <t>OPP-06116</t>
  </si>
  <si>
    <t>OPP-06287</t>
  </si>
  <si>
    <t>OPP-06288</t>
  </si>
  <si>
    <t>OPP-06435</t>
  </si>
  <si>
    <t>OPP-06436</t>
  </si>
  <si>
    <t>OPP-06437</t>
  </si>
  <si>
    <t>OPP-06441</t>
  </si>
  <si>
    <t>OPP-06548</t>
  </si>
  <si>
    <t>OPP-06550</t>
  </si>
  <si>
    <t>OPP-06551</t>
  </si>
  <si>
    <t>OPP-06552</t>
  </si>
  <si>
    <t>OPP-06553</t>
  </si>
  <si>
    <t>OPP-06554</t>
  </si>
  <si>
    <t>OPP-06555</t>
  </si>
  <si>
    <t>OPP-06811</t>
  </si>
  <si>
    <t>OPP-06812</t>
  </si>
  <si>
    <t>OPP-06813</t>
  </si>
  <si>
    <t>OPP-06815</t>
  </si>
  <si>
    <t>OPP-06816</t>
  </si>
  <si>
    <t>OPP-06818</t>
  </si>
  <si>
    <t>OPP-06819</t>
  </si>
  <si>
    <t>OPP-06821</t>
  </si>
  <si>
    <t>OPP-00190</t>
  </si>
  <si>
    <t>OPP-00191</t>
  </si>
  <si>
    <t>OPP-00193</t>
  </si>
  <si>
    <t>OPP-00194</t>
  </si>
  <si>
    <t>OPP-00195</t>
  </si>
  <si>
    <t>OPP-00528</t>
  </si>
  <si>
    <t>OPP-00533</t>
  </si>
  <si>
    <t>OPP-00535</t>
  </si>
  <si>
    <t>OPP-00536</t>
  </si>
  <si>
    <t>OPP-00790</t>
  </si>
  <si>
    <t>OPP-00856</t>
  </si>
  <si>
    <t>OPP-00858</t>
  </si>
  <si>
    <t>OPP-01003</t>
  </si>
  <si>
    <t>OPP-01252</t>
  </si>
  <si>
    <t>OPP-01255</t>
  </si>
  <si>
    <t>OPP-01256</t>
  </si>
  <si>
    <t>OPP-01669</t>
  </si>
  <si>
    <t>OPP-01671</t>
  </si>
  <si>
    <t>OPP-01672</t>
  </si>
  <si>
    <t>OPP-01674</t>
  </si>
  <si>
    <t>OPP-01863</t>
  </si>
  <si>
    <t>OPP-01917</t>
  </si>
  <si>
    <t>OPP-01919</t>
  </si>
  <si>
    <t>OPP-01925</t>
  </si>
  <si>
    <t>OPP-02177</t>
  </si>
  <si>
    <t>OPP-02178</t>
  </si>
  <si>
    <t>OPP-02180</t>
  </si>
  <si>
    <t>OPP-02357</t>
  </si>
  <si>
    <t>OPP-02358</t>
  </si>
  <si>
    <t>OPP-02361</t>
  </si>
  <si>
    <t>OPP-02362</t>
  </si>
  <si>
    <t>OPP-02366</t>
  </si>
  <si>
    <t>OPP-02623</t>
  </si>
  <si>
    <t>OPP-02625</t>
  </si>
  <si>
    <t>OPP-02626</t>
  </si>
  <si>
    <t>OPP-02628</t>
  </si>
  <si>
    <t>OPP-02870</t>
  </si>
  <si>
    <t>OPP-02872</t>
  </si>
  <si>
    <t>OPP-02928</t>
  </si>
  <si>
    <t>OPP-02966</t>
  </si>
  <si>
    <t>OPP-03320</t>
  </si>
  <si>
    <t>OPP-03322</t>
  </si>
  <si>
    <t>OPP-03331</t>
  </si>
  <si>
    <t>OPP-03379</t>
  </si>
  <si>
    <t>OPP-03603</t>
  </si>
  <si>
    <t>OPP-03605</t>
  </si>
  <si>
    <t>OPP-03607</t>
  </si>
  <si>
    <t>OPP-03608</t>
  </si>
  <si>
    <t>OPP-03611</t>
  </si>
  <si>
    <t>OPP-03614</t>
  </si>
  <si>
    <t>OPP-03867</t>
  </si>
  <si>
    <t>OPP-03868</t>
  </si>
  <si>
    <t>OPP-03870</t>
  </si>
  <si>
    <t>OPP-04110</t>
  </si>
  <si>
    <t>OPP-04114</t>
  </si>
  <si>
    <t>OPP-04115</t>
  </si>
  <si>
    <t>OPP-04116</t>
  </si>
  <si>
    <t>OPP-04117</t>
  </si>
  <si>
    <t>OPP-04121</t>
  </si>
  <si>
    <t>OPP-04601</t>
  </si>
  <si>
    <t>OPP-04602</t>
  </si>
  <si>
    <t>OPP-04604</t>
  </si>
  <si>
    <t>OPP-04605</t>
  </si>
  <si>
    <t>OPP-04610</t>
  </si>
  <si>
    <t>OPP-04611</t>
  </si>
  <si>
    <t>OPP-04840</t>
  </si>
  <si>
    <t>OPP-04841</t>
  </si>
  <si>
    <t>OPP-04843</t>
  </si>
  <si>
    <t>OPP-04844</t>
  </si>
  <si>
    <t>OPP-04845</t>
  </si>
  <si>
    <t>OPP-04990</t>
  </si>
  <si>
    <t>OPP-04992</t>
  </si>
  <si>
    <t>OPP-05396</t>
  </si>
  <si>
    <t>OPP-05400</t>
  </si>
  <si>
    <t>OPP-05561</t>
  </si>
  <si>
    <t>OPP-05799</t>
  </si>
  <si>
    <t>OPP-05801</t>
  </si>
  <si>
    <t>OPP-05803</t>
  </si>
  <si>
    <t>OPP-06107</t>
  </si>
  <si>
    <t>OPP-06108</t>
  </si>
  <si>
    <t>OPP-06109</t>
  </si>
  <si>
    <t>OPP-06110</t>
  </si>
  <si>
    <t>OPP-06111</t>
  </si>
  <si>
    <t>OPP-06112</t>
  </si>
  <si>
    <t>OPP-06113</t>
  </si>
  <si>
    <t>OPP-06117</t>
  </si>
  <si>
    <t>OPP-06439</t>
  </si>
  <si>
    <t>OPP-06549</t>
  </si>
  <si>
    <t>OPP-06814</t>
  </si>
  <si>
    <t>OPP-06817</t>
  </si>
  <si>
    <t>OPP-06820</t>
  </si>
  <si>
    <t>OPP-00908</t>
  </si>
  <si>
    <t>OPP-00910</t>
  </si>
  <si>
    <t>OPP-01387</t>
  </si>
  <si>
    <t>OPP-04189</t>
  </si>
  <si>
    <t>OPP-04237</t>
  </si>
  <si>
    <t>OPP-04316</t>
  </si>
  <si>
    <t>OPP-05859</t>
  </si>
  <si>
    <t>OPP-00906</t>
  </si>
  <si>
    <t>OPP-00907</t>
  </si>
  <si>
    <t>OPP-01053</t>
  </si>
  <si>
    <t>OPP-01321</t>
  </si>
  <si>
    <t>OPP-01382</t>
  </si>
  <si>
    <t>OPP-01383</t>
  </si>
  <si>
    <t>OPP-01384</t>
  </si>
  <si>
    <t>OPP-01385</t>
  </si>
  <si>
    <t>OPP-03019</t>
  </si>
  <si>
    <t>OPP-03022</t>
  </si>
  <si>
    <t>OPP-03441</t>
  </si>
  <si>
    <t>OPP-03448</t>
  </si>
  <si>
    <t>OPP-04190</t>
  </si>
  <si>
    <t>OPP-04311</t>
  </si>
  <si>
    <t>OPP-04312</t>
  </si>
  <si>
    <t>OPP-04313</t>
  </si>
  <si>
    <t>OPP-04314</t>
  </si>
  <si>
    <t>OPP-04315</t>
  </si>
  <si>
    <t>OPP-04934</t>
  </si>
  <si>
    <t>OPP-05051</t>
  </si>
  <si>
    <t>OPP-05496</t>
  </si>
  <si>
    <t>OPP-05499</t>
  </si>
  <si>
    <t>OPP-06203</t>
  </si>
  <si>
    <t>OPP-06204</t>
  </si>
  <si>
    <t>OPP-06205</t>
  </si>
  <si>
    <t>OPP-06357</t>
  </si>
  <si>
    <t>OPP-06483</t>
  </si>
  <si>
    <t>OPP-00075</t>
  </si>
  <si>
    <t>OPP-00077</t>
  </si>
  <si>
    <t>OPP-00078</t>
  </si>
  <si>
    <t>OPP-00084</t>
  </si>
  <si>
    <t>OPP-00085</t>
  </si>
  <si>
    <t>OPP-00307</t>
  </si>
  <si>
    <t>OPP-00308</t>
  </si>
  <si>
    <t>OPP-00413</t>
  </si>
  <si>
    <t>OPP-00414</t>
  </si>
  <si>
    <t>OPP-00417</t>
  </si>
  <si>
    <t>OPP-00419</t>
  </si>
  <si>
    <t>OPP-00420</t>
  </si>
  <si>
    <t>OPP-00421</t>
  </si>
  <si>
    <t>OPP-00422</t>
  </si>
  <si>
    <t>OPP-00663</t>
  </si>
  <si>
    <t>OPP-00664</t>
  </si>
  <si>
    <t>OPP-00665</t>
  </si>
  <si>
    <t>OPP-00666</t>
  </si>
  <si>
    <t>OPP-00667</t>
  </si>
  <si>
    <t>OPP-00909</t>
  </si>
  <si>
    <t>OPP-01054</t>
  </si>
  <si>
    <t>OPP-01141</t>
  </si>
  <si>
    <t>OPP-01386</t>
  </si>
  <si>
    <t>OPP-01540</t>
  </si>
  <si>
    <t>OPP-01541</t>
  </si>
  <si>
    <t>OPP-01542</t>
  </si>
  <si>
    <t>OPP-01543</t>
  </si>
  <si>
    <t>OPP-01544</t>
  </si>
  <si>
    <t>OPP-01545</t>
  </si>
  <si>
    <t>OPP-01737</t>
  </si>
  <si>
    <t>OPP-02036</t>
  </si>
  <si>
    <t>OPP-02038</t>
  </si>
  <si>
    <t>OPP-02039</t>
  </si>
  <si>
    <t>OPP-02256</t>
  </si>
  <si>
    <t>OPP-02514</t>
  </si>
  <si>
    <t>OPP-02515</t>
  </si>
  <si>
    <t>OPP-02518</t>
  </si>
  <si>
    <t>OPP-02519</t>
  </si>
  <si>
    <t>OPP-02520</t>
  </si>
  <si>
    <t>OPP-02522</t>
  </si>
  <si>
    <t>OPP-02524</t>
  </si>
  <si>
    <t>OPP-02750</t>
  </si>
  <si>
    <t>OPP-02751</t>
  </si>
  <si>
    <t>OPP-02752</t>
  </si>
  <si>
    <t>OPP-02753</t>
  </si>
  <si>
    <t>OPP-03020</t>
  </si>
  <si>
    <t>OPP-03021</t>
  </si>
  <si>
    <t>OPP-03189</t>
  </si>
  <si>
    <t>OPP-03190</t>
  </si>
  <si>
    <t>OPP-03194</t>
  </si>
  <si>
    <t>OPP-03195</t>
  </si>
  <si>
    <t>OPP-03197</t>
  </si>
  <si>
    <t>OPP-03198</t>
  </si>
  <si>
    <t>OPP-03201</t>
  </si>
  <si>
    <t>OPP-03438</t>
  </si>
  <si>
    <t>OPP-03439</t>
  </si>
  <si>
    <t>OPP-03440</t>
  </si>
  <si>
    <t>OPP-03442</t>
  </si>
  <si>
    <t>OPP-03444</t>
  </si>
  <si>
    <t>OPP-03445</t>
  </si>
  <si>
    <t>OPP-03446</t>
  </si>
  <si>
    <t>OPP-03449</t>
  </si>
  <si>
    <t>OPP-03739</t>
  </si>
  <si>
    <t>OPP-03746</t>
  </si>
  <si>
    <t>OPP-03747</t>
  </si>
  <si>
    <t>OPP-03748</t>
  </si>
  <si>
    <t>OPP-03749</t>
  </si>
  <si>
    <t>OPP-03750</t>
  </si>
  <si>
    <t>OPP-03985</t>
  </si>
  <si>
    <t>OPP-03986</t>
  </si>
  <si>
    <t>OPP-03987</t>
  </si>
  <si>
    <t>OPP-03988</t>
  </si>
  <si>
    <t>OPP-03989</t>
  </si>
  <si>
    <t>OPP-03993</t>
  </si>
  <si>
    <t>OPP-03994</t>
  </si>
  <si>
    <t>OPP-03997</t>
  </si>
  <si>
    <t>OPP-04479</t>
  </si>
  <si>
    <t>OPP-04480</t>
  </si>
  <si>
    <t>OPP-04481</t>
  </si>
  <si>
    <t>OPP-04482</t>
  </si>
  <si>
    <t>OPP-04724</t>
  </si>
  <si>
    <t>OPP-04725</t>
  </si>
  <si>
    <t>OPP-04726</t>
  </si>
  <si>
    <t>OPP-04727</t>
  </si>
  <si>
    <t>OPP-04728</t>
  </si>
  <si>
    <t>OPP-04729</t>
  </si>
  <si>
    <t>OPP-04730</t>
  </si>
  <si>
    <t>OPP-04731</t>
  </si>
  <si>
    <t>OPP-04732</t>
  </si>
  <si>
    <t>OPP-04933</t>
  </si>
  <si>
    <t>OPP-04935</t>
  </si>
  <si>
    <t>OPP-04936</t>
  </si>
  <si>
    <t>OPP-04937</t>
  </si>
  <si>
    <t>OPP-04938</t>
  </si>
  <si>
    <t>OPP-05050</t>
  </si>
  <si>
    <t>OPP-05052</t>
  </si>
  <si>
    <t>OPP-05053</t>
  </si>
  <si>
    <t>OPP-05054</t>
  </si>
  <si>
    <t>OPP-05055</t>
  </si>
  <si>
    <t>OPP-05056</t>
  </si>
  <si>
    <t>OPP-05057</t>
  </si>
  <si>
    <t>OPP-05058</t>
  </si>
  <si>
    <t>OPP-05260</t>
  </si>
  <si>
    <t>OPP-05261</t>
  </si>
  <si>
    <t>OPP-05262</t>
  </si>
  <si>
    <t>OPP-05263</t>
  </si>
  <si>
    <t>OPP-05264</t>
  </si>
  <si>
    <t>OPP-05265</t>
  </si>
  <si>
    <t>OPP-05266</t>
  </si>
  <si>
    <t>OPP-05492</t>
  </si>
  <si>
    <t>OPP-05493</t>
  </si>
  <si>
    <t>OPP-05494</t>
  </si>
  <si>
    <t>OPP-05495</t>
  </si>
  <si>
    <t>OPP-05497</t>
  </si>
  <si>
    <t>OPP-05498</t>
  </si>
  <si>
    <t>OPP-05500</t>
  </si>
  <si>
    <t>OPP-05673</t>
  </si>
  <si>
    <t>OPP-05675</t>
  </si>
  <si>
    <t>OPP-05677</t>
  </si>
  <si>
    <t>OPP-05678</t>
  </si>
  <si>
    <t>OPP-05679</t>
  </si>
  <si>
    <t>OPP-05680</t>
  </si>
  <si>
    <t>OPP-05682</t>
  </si>
  <si>
    <t>OPP-05683</t>
  </si>
  <si>
    <t>OPP-05684</t>
  </si>
  <si>
    <t>OPP-05685</t>
  </si>
  <si>
    <t>OPP-05982</t>
  </si>
  <si>
    <t>OPP-05983</t>
  </si>
  <si>
    <t>OPP-05989</t>
  </si>
  <si>
    <t>OPP-05991</t>
  </si>
  <si>
    <t>OPP-05993</t>
  </si>
  <si>
    <t>OPP-05994</t>
  </si>
  <si>
    <t>OPP-06206</t>
  </si>
  <si>
    <t>OPP-06358</t>
  </si>
  <si>
    <t>OPP-06359</t>
  </si>
  <si>
    <t>OPP-06360</t>
  </si>
  <si>
    <t>OPP-06361</t>
  </si>
  <si>
    <t>OPP-06362</t>
  </si>
  <si>
    <t>OPP-06481</t>
  </si>
  <si>
    <t>OPP-06482</t>
  </si>
  <si>
    <t>OPP-06662</t>
  </si>
  <si>
    <t>OPP-06664</t>
  </si>
  <si>
    <t>OPP-06667</t>
  </si>
  <si>
    <t>OPP-06668</t>
  </si>
  <si>
    <t>OPP-06669</t>
  </si>
  <si>
    <t>OPP-06671</t>
  </si>
  <si>
    <t>OPP-06672</t>
  </si>
  <si>
    <t>OPP-06675</t>
  </si>
  <si>
    <t>OPP-00074</t>
  </si>
  <si>
    <t>OPP-00076</t>
  </si>
  <si>
    <t>OPP-00079</t>
  </si>
  <si>
    <t>OPP-00080</t>
  </si>
  <si>
    <t>OPP-00081</t>
  </si>
  <si>
    <t>OPP-00082</t>
  </si>
  <si>
    <t>OPP-00083</t>
  </si>
  <si>
    <t>OPP-00415</t>
  </si>
  <si>
    <t>OPP-00416</t>
  </si>
  <si>
    <t>OPP-00418</t>
  </si>
  <si>
    <t>OPP-00661</t>
  </si>
  <si>
    <t>OPP-00662</t>
  </si>
  <si>
    <t>OPP-00668</t>
  </si>
  <si>
    <t>OPP-01140</t>
  </si>
  <si>
    <t>OPP-01537</t>
  </si>
  <si>
    <t>OPP-01538</t>
  </si>
  <si>
    <t>OPP-01539</t>
  </si>
  <si>
    <t>OPP-01736</t>
  </si>
  <si>
    <t>OPP-01738</t>
  </si>
  <si>
    <t>OPP-01739</t>
  </si>
  <si>
    <t>OPP-01740</t>
  </si>
  <si>
    <t>OPP-01741</t>
  </si>
  <si>
    <t>OPP-01742</t>
  </si>
  <si>
    <t>OPP-02037</t>
  </si>
  <si>
    <t>OPP-02040</t>
  </si>
  <si>
    <t>OPP-02041</t>
  </si>
  <si>
    <t>OPP-02042</t>
  </si>
  <si>
    <t>OPP-02257</t>
  </si>
  <si>
    <t>OPP-02513</t>
  </si>
  <si>
    <t>OPP-02516</t>
  </si>
  <si>
    <t>OPP-02517</t>
  </si>
  <si>
    <t>OPP-02521</t>
  </si>
  <si>
    <t>OPP-02523</t>
  </si>
  <si>
    <t>OPP-02748</t>
  </si>
  <si>
    <t>OPP-02749</t>
  </si>
  <si>
    <t>OPP-03191</t>
  </si>
  <si>
    <t>OPP-03192</t>
  </si>
  <si>
    <t>OPP-03193</t>
  </si>
  <si>
    <t>OPP-03196</t>
  </si>
  <si>
    <t>OPP-03199</t>
  </si>
  <si>
    <t>OPP-03200</t>
  </si>
  <si>
    <t>OPP-03202</t>
  </si>
  <si>
    <t>OPP-03443</t>
  </si>
  <si>
    <t>OPP-03447</t>
  </si>
  <si>
    <t>OPP-03740</t>
  </si>
  <si>
    <t>OPP-03741</t>
  </si>
  <si>
    <t>OPP-03742</t>
  </si>
  <si>
    <t>OPP-03743</t>
  </si>
  <si>
    <t>OPP-03744</t>
  </si>
  <si>
    <t>OPP-03745</t>
  </si>
  <si>
    <t>OPP-03990</t>
  </si>
  <si>
    <t>OPP-03991</t>
  </si>
  <si>
    <t>OPP-03992</t>
  </si>
  <si>
    <t>OPP-03995</t>
  </si>
  <si>
    <t>OPP-03996</t>
  </si>
  <si>
    <t>OPP-04317</t>
  </si>
  <si>
    <t>OPP-04478</t>
  </si>
  <si>
    <t>OPP-04483</t>
  </si>
  <si>
    <t>OPP-04484</t>
  </si>
  <si>
    <t>OPP-04723</t>
  </si>
  <si>
    <t>OPP-05254</t>
  </si>
  <si>
    <t>OPP-05255</t>
  </si>
  <si>
    <t>OPP-05256</t>
  </si>
  <si>
    <t>OPP-05257</t>
  </si>
  <si>
    <t>OPP-05258</t>
  </si>
  <si>
    <t>OPP-05259</t>
  </si>
  <si>
    <t>OPP-05670</t>
  </si>
  <si>
    <t>OPP-05671</t>
  </si>
  <si>
    <t>OPP-05672</t>
  </si>
  <si>
    <t>OPP-05674</t>
  </si>
  <si>
    <t>OPP-05676</t>
  </si>
  <si>
    <t>OPP-05681</t>
  </si>
  <si>
    <t>OPP-05981</t>
  </si>
  <si>
    <t>OPP-05984</t>
  </si>
  <si>
    <t>OPP-05985</t>
  </si>
  <si>
    <t>OPP-05986</t>
  </si>
  <si>
    <t>OPP-05987</t>
  </si>
  <si>
    <t>OPP-05988</t>
  </si>
  <si>
    <t>OPP-05990</t>
  </si>
  <si>
    <t>OPP-05992</t>
  </si>
  <si>
    <t>OPP-06663</t>
  </si>
  <si>
    <t>OPP-06665</t>
  </si>
  <si>
    <t>OPP-06666</t>
  </si>
  <si>
    <t>OPP-06670</t>
  </si>
  <si>
    <t>OPP-06673</t>
  </si>
  <si>
    <t>OPP-06674</t>
  </si>
  <si>
    <t>OPP-00234</t>
  </si>
  <si>
    <t>OPP-00235</t>
  </si>
  <si>
    <t>OPP-00237</t>
  </si>
  <si>
    <t>OPP-00256</t>
  </si>
  <si>
    <t>OPP-00257</t>
  </si>
  <si>
    <t>OPP-00259</t>
  </si>
  <si>
    <t>OPP-00978</t>
  </si>
  <si>
    <t>OPP-00981</t>
  </si>
  <si>
    <t>OPP-00982</t>
  </si>
  <si>
    <t>OPP-01120</t>
  </si>
  <si>
    <t>OPP-01122</t>
  </si>
  <si>
    <t>OPP-01354</t>
  </si>
  <si>
    <t>OPP-01355</t>
  </si>
  <si>
    <t>OPP-01356</t>
  </si>
  <si>
    <t>OPP-01463</t>
  </si>
  <si>
    <t>OPP-03086</t>
  </si>
  <si>
    <t>OPP-03089</t>
  </si>
  <si>
    <t>OPP-03090</t>
  </si>
  <si>
    <t>OPP-03091</t>
  </si>
  <si>
    <t>OPP-04227</t>
  </si>
  <si>
    <t>OPP-04228</t>
  </si>
  <si>
    <t>OPP-04230</t>
  </si>
  <si>
    <t>OPP-04265</t>
  </si>
  <si>
    <t>OPP-04267</t>
  </si>
  <si>
    <t>OPP-04374</t>
  </si>
  <si>
    <t>OPP-04377</t>
  </si>
  <si>
    <t>OPP-05892</t>
  </si>
  <si>
    <t>OPP-00258</t>
  </si>
  <si>
    <t>OPP-00388</t>
  </si>
  <si>
    <t>OPP-00976</t>
  </si>
  <si>
    <t>OPP-00980</t>
  </si>
  <si>
    <t>OPP-00983</t>
  </si>
  <si>
    <t>OPP-01115</t>
  </si>
  <si>
    <t>OPP-01116</t>
  </si>
  <si>
    <t>OPP-01121</t>
  </si>
  <si>
    <t>OPP-01358</t>
  </si>
  <si>
    <t>OPP-01459</t>
  </si>
  <si>
    <t>OPP-01460</t>
  </si>
  <si>
    <t>OPP-01462</t>
  </si>
  <si>
    <t>OPP-02224</t>
  </si>
  <si>
    <t>OPP-02225</t>
  </si>
  <si>
    <t>OPP-02434</t>
  </si>
  <si>
    <t>OPP-02969</t>
  </si>
  <si>
    <t>OPP-02970</t>
  </si>
  <si>
    <t>OPP-03087</t>
  </si>
  <si>
    <t>OPP-03088</t>
  </si>
  <si>
    <t>OPP-03382</t>
  </si>
  <si>
    <t>OPP-03387</t>
  </si>
  <si>
    <t>OPP-03529</t>
  </si>
  <si>
    <t>OPP-03634</t>
  </si>
  <si>
    <t>OPP-03635</t>
  </si>
  <si>
    <t>OPP-03637</t>
  </si>
  <si>
    <t>OPP-04226</t>
  </si>
  <si>
    <t>OPP-04229</t>
  </si>
  <si>
    <t>OPP-04266</t>
  </si>
  <si>
    <t>OPP-04268</t>
  </si>
  <si>
    <t>OPP-04269</t>
  </si>
  <si>
    <t>OPP-04375</t>
  </si>
  <si>
    <t>OPP-04376</t>
  </si>
  <si>
    <t>OPP-05138</t>
  </si>
  <si>
    <t>OPP-05140</t>
  </si>
  <si>
    <t>OPP-05141</t>
  </si>
  <si>
    <t>OPP-05142</t>
  </si>
  <si>
    <t>OPP-05145</t>
  </si>
  <si>
    <t>OPP-05893</t>
  </si>
  <si>
    <t>OPP-06447</t>
  </si>
  <si>
    <t>OPP-06448</t>
  </si>
  <si>
    <t>OPP-06559</t>
  </si>
  <si>
    <t>OPP-06562</t>
  </si>
  <si>
    <t>OPP-00198</t>
  </si>
  <si>
    <t>OPP-00199</t>
  </si>
  <si>
    <t>OPP-00200</t>
  </si>
  <si>
    <t>OPP-00202</t>
  </si>
  <si>
    <t>OPP-00203</t>
  </si>
  <si>
    <t>OPP-00204</t>
  </si>
  <si>
    <t>OPP-00206</t>
  </si>
  <si>
    <t>OPP-00207</t>
  </si>
  <si>
    <t>OPP-00208</t>
  </si>
  <si>
    <t>OPP-00236</t>
  </si>
  <si>
    <t>OPP-00385</t>
  </si>
  <si>
    <t>OPP-00387</t>
  </si>
  <si>
    <t>OPP-00389</t>
  </si>
  <si>
    <t>OPP-00391</t>
  </si>
  <si>
    <t>OPP-00392</t>
  </si>
  <si>
    <t>OPP-00542</t>
  </si>
  <si>
    <t>OPP-00543</t>
  </si>
  <si>
    <t>OPP-00545</t>
  </si>
  <si>
    <t>OPP-00548</t>
  </si>
  <si>
    <t>OPP-00796</t>
  </si>
  <si>
    <t>OPP-00798</t>
  </si>
  <si>
    <t>OPP-00799</t>
  </si>
  <si>
    <t>OPP-00800</t>
  </si>
  <si>
    <t>OPP-00801</t>
  </si>
  <si>
    <t>OPP-00802</t>
  </si>
  <si>
    <t>OPP-00803</t>
  </si>
  <si>
    <t>OPP-00805</t>
  </si>
  <si>
    <t>OPP-00806</t>
  </si>
  <si>
    <t>OPP-00807</t>
  </si>
  <si>
    <t>OPP-00809</t>
  </si>
  <si>
    <t>OPP-00810</t>
  </si>
  <si>
    <t>OPP-00813</t>
  </si>
  <si>
    <t>OPP-00815</t>
  </si>
  <si>
    <t>OPP-00864</t>
  </si>
  <si>
    <t>OPP-00866</t>
  </si>
  <si>
    <t>OPP-00867</t>
  </si>
  <si>
    <t>OPP-00868</t>
  </si>
  <si>
    <t>OPP-00869</t>
  </si>
  <si>
    <t>OPP-00977</t>
  </si>
  <si>
    <t>OPP-00979</t>
  </si>
  <si>
    <t>OPP-01008</t>
  </si>
  <si>
    <t>OPP-01009</t>
  </si>
  <si>
    <t>OPP-01010</t>
  </si>
  <si>
    <t>OPP-01011</t>
  </si>
  <si>
    <t>OPP-01012</t>
  </si>
  <si>
    <t>OPP-01013</t>
  </si>
  <si>
    <t>OPP-01014</t>
  </si>
  <si>
    <t>OPP-01015</t>
  </si>
  <si>
    <t>OPP-01016</t>
  </si>
  <si>
    <t>OPP-01017</t>
  </si>
  <si>
    <t>OPP-01118</t>
  </si>
  <si>
    <t>OPP-01119</t>
  </si>
  <si>
    <t>OPP-01260</t>
  </si>
  <si>
    <t>OPP-01262</t>
  </si>
  <si>
    <t>OPP-01264</t>
  </si>
  <si>
    <t>OPP-01265</t>
  </si>
  <si>
    <t>OPP-01266</t>
  </si>
  <si>
    <t>OPP-01267</t>
  </si>
  <si>
    <t>OPP-01268</t>
  </si>
  <si>
    <t>OPP-01269</t>
  </si>
  <si>
    <t>OPP-01270</t>
  </si>
  <si>
    <t>OPP-01272</t>
  </si>
  <si>
    <t>OPP-01357</t>
  </si>
  <si>
    <t>OPP-01461</t>
  </si>
  <si>
    <t>OPP-01680</t>
  </si>
  <si>
    <t>OPP-01681</t>
  </si>
  <si>
    <t>OPP-01926</t>
  </si>
  <si>
    <t>OPP-01927</t>
  </si>
  <si>
    <t>OPP-01931</t>
  </si>
  <si>
    <t>OPP-01932</t>
  </si>
  <si>
    <t>OPP-01934</t>
  </si>
  <si>
    <t>OPP-01935</t>
  </si>
  <si>
    <t>OPP-01936</t>
  </si>
  <si>
    <t>OPP-02182</t>
  </si>
  <si>
    <t>OPP-02186</t>
  </si>
  <si>
    <t>OPP-02187</t>
  </si>
  <si>
    <t>OPP-02188</t>
  </si>
  <si>
    <t>OPP-02189</t>
  </si>
  <si>
    <t>OPP-02226</t>
  </si>
  <si>
    <t>OPP-02227</t>
  </si>
  <si>
    <t>OPP-02228</t>
  </si>
  <si>
    <t>OPP-02229</t>
  </si>
  <si>
    <t>OPP-02230</t>
  </si>
  <si>
    <t>OPP-02370</t>
  </si>
  <si>
    <t>OPP-02372</t>
  </si>
  <si>
    <t>OPP-02375</t>
  </si>
  <si>
    <t>OPP-02377</t>
  </si>
  <si>
    <t>OPP-02378</t>
  </si>
  <si>
    <t>OPP-02379</t>
  </si>
  <si>
    <t>OPP-02432</t>
  </si>
  <si>
    <t>OPP-02433</t>
  </si>
  <si>
    <t>OPP-02629</t>
  </si>
  <si>
    <t>OPP-02630</t>
  </si>
  <si>
    <t>OPP-02631</t>
  </si>
  <si>
    <t>OPP-02636</t>
  </si>
  <si>
    <t>OPP-02637</t>
  </si>
  <si>
    <t>OPP-02639</t>
  </si>
  <si>
    <t>OPP-02640</t>
  </si>
  <si>
    <t>OPP-02641</t>
  </si>
  <si>
    <t>OPP-02877</t>
  </si>
  <si>
    <t>OPP-02878</t>
  </si>
  <si>
    <t>OPP-02880</t>
  </si>
  <si>
    <t>OPP-02883</t>
  </si>
  <si>
    <t>OPP-02884</t>
  </si>
  <si>
    <t>OPP-02885</t>
  </si>
  <si>
    <t>OPP-02886</t>
  </si>
  <si>
    <t>OPP-02887</t>
  </si>
  <si>
    <t>OPP-02889</t>
  </si>
  <si>
    <t>OPP-02891</t>
  </si>
  <si>
    <t>OPP-02932</t>
  </si>
  <si>
    <t>OPP-02933</t>
  </si>
  <si>
    <t>OPP-02934</t>
  </si>
  <si>
    <t>OPP-02967</t>
  </si>
  <si>
    <t>OPP-02968</t>
  </si>
  <si>
    <t>OPP-02971</t>
  </si>
  <si>
    <t>OPP-02972</t>
  </si>
  <si>
    <t>OPP-02973</t>
  </si>
  <si>
    <t>OPP-03380</t>
  </si>
  <si>
    <t>OPP-03381</t>
  </si>
  <si>
    <t>OPP-03383</t>
  </si>
  <si>
    <t>OPP-03384</t>
  </si>
  <si>
    <t>OPP-03385</t>
  </si>
  <si>
    <t>OPP-03386</t>
  </si>
  <si>
    <t>OPP-03388</t>
  </si>
  <si>
    <t>OPP-03525</t>
  </si>
  <si>
    <t>OPP-03526</t>
  </si>
  <si>
    <t>OPP-03528</t>
  </si>
  <si>
    <t>OPP-03530</t>
  </si>
  <si>
    <t>OPP-03531</t>
  </si>
  <si>
    <t>OPP-03532</t>
  </si>
  <si>
    <t>OPP-03533</t>
  </si>
  <si>
    <t>OPP-03534</t>
  </si>
  <si>
    <t>OPP-03630</t>
  </si>
  <si>
    <t>OPP-03631</t>
  </si>
  <si>
    <t>OPP-03632</t>
  </si>
  <si>
    <t>OPP-03636</t>
  </si>
  <si>
    <t>OPP-03638</t>
  </si>
  <si>
    <t>OPP-03639</t>
  </si>
  <si>
    <t>OPP-03872</t>
  </si>
  <si>
    <t>OPP-03874</t>
  </si>
  <si>
    <t>OPP-03875</t>
  </si>
  <si>
    <t>OPP-03876</t>
  </si>
  <si>
    <t>OPP-03877</t>
  </si>
  <si>
    <t>OPP-03878</t>
  </si>
  <si>
    <t>OPP-03879</t>
  </si>
  <si>
    <t>OPP-03880</t>
  </si>
  <si>
    <t>OPP-03882</t>
  </si>
  <si>
    <t>OPP-03886</t>
  </si>
  <si>
    <t>OPP-03888</t>
  </si>
  <si>
    <t>OPP-03889</t>
  </si>
  <si>
    <t>OPP-03890</t>
  </si>
  <si>
    <t>OPP-04124</t>
  </si>
  <si>
    <t>OPP-04129</t>
  </si>
  <si>
    <t>OPP-04130</t>
  </si>
  <si>
    <t>OPP-04131</t>
  </si>
  <si>
    <t>OPP-04132</t>
  </si>
  <si>
    <t>OPP-04133</t>
  </si>
  <si>
    <t>OPP-04134</t>
  </si>
  <si>
    <t>OPP-04136</t>
  </si>
  <si>
    <t>OPP-04137</t>
  </si>
  <si>
    <t>OPP-04138</t>
  </si>
  <si>
    <t>OPP-04373</t>
  </si>
  <si>
    <t>OPP-04614</t>
  </si>
  <si>
    <t>OPP-04615</t>
  </si>
  <si>
    <t>OPP-04616</t>
  </si>
  <si>
    <t>OPP-04618</t>
  </si>
  <si>
    <t>OPP-04619</t>
  </si>
  <si>
    <t>OPP-04621</t>
  </si>
  <si>
    <t>OPP-04846</t>
  </si>
  <si>
    <t>OPP-04847</t>
  </si>
  <si>
    <t>OPP-04849</t>
  </si>
  <si>
    <t>OPP-04850</t>
  </si>
  <si>
    <t>OPP-04851</t>
  </si>
  <si>
    <t>OPP-04852</t>
  </si>
  <si>
    <t>OPP-04855</t>
  </si>
  <si>
    <t>OPP-04856</t>
  </si>
  <si>
    <t>OPP-04993</t>
  </si>
  <si>
    <t>OPP-04994</t>
  </si>
  <si>
    <t>OPP-05136</t>
  </si>
  <si>
    <t>OPP-05137</t>
  </si>
  <si>
    <t>OPP-05139</t>
  </si>
  <si>
    <t>OPP-05143</t>
  </si>
  <si>
    <t>OPP-05402</t>
  </si>
  <si>
    <t>OPP-05403</t>
  </si>
  <si>
    <t>OPP-05404</t>
  </si>
  <si>
    <t>OPP-05410</t>
  </si>
  <si>
    <t>OPP-05412</t>
  </si>
  <si>
    <t>OPP-05562</t>
  </si>
  <si>
    <t>OPP-05563</t>
  </si>
  <si>
    <t>OPP-05564</t>
  </si>
  <si>
    <t>OPP-05565</t>
  </si>
  <si>
    <t>OPP-05566</t>
  </si>
  <si>
    <t>OPP-05567</t>
  </si>
  <si>
    <t>OPP-05808</t>
  </si>
  <si>
    <t>OPP-05811</t>
  </si>
  <si>
    <t>OPP-05812</t>
  </si>
  <si>
    <t>OPP-05814</t>
  </si>
  <si>
    <t>OPP-06118</t>
  </si>
  <si>
    <t>OPP-06119</t>
  </si>
  <si>
    <t>OPP-06120</t>
  </si>
  <si>
    <t>OPP-06121</t>
  </si>
  <si>
    <t>OPP-06124</t>
  </si>
  <si>
    <t>OPP-06126</t>
  </si>
  <si>
    <t>OPP-06128</t>
  </si>
  <si>
    <t>OPP-06129</t>
  </si>
  <si>
    <t>OPP-06130</t>
  </si>
  <si>
    <t>OPP-06131</t>
  </si>
  <si>
    <t>OPP-06132</t>
  </si>
  <si>
    <t>OPP-06134</t>
  </si>
  <si>
    <t>OPP-06291</t>
  </si>
  <si>
    <t>OPP-06292</t>
  </si>
  <si>
    <t>OPP-06293</t>
  </si>
  <si>
    <t>OPP-06294</t>
  </si>
  <si>
    <t>OPP-06296</t>
  </si>
  <si>
    <t>OPP-06443</t>
  </si>
  <si>
    <t>OPP-06444</t>
  </si>
  <si>
    <t>OPP-06445</t>
  </si>
  <si>
    <t>OPP-06446</t>
  </si>
  <si>
    <t>OPP-06449</t>
  </si>
  <si>
    <t>OPP-06557</t>
  </si>
  <si>
    <t>OPP-06560</t>
  </si>
  <si>
    <t>OPP-06561</t>
  </si>
  <si>
    <t>OPP-06563</t>
  </si>
  <si>
    <t>OPP-06823</t>
  </si>
  <si>
    <t>OPP-06824</t>
  </si>
  <si>
    <t>OPP-06829</t>
  </si>
  <si>
    <t>OPP-06831</t>
  </si>
  <si>
    <t>OPP-06832</t>
  </si>
  <si>
    <t>OPP-06833</t>
  </si>
  <si>
    <t>OPP-06836</t>
  </si>
  <si>
    <t>OPP-00201</t>
  </si>
  <si>
    <t>OPP-00205</t>
  </si>
  <si>
    <t>OPP-00209</t>
  </si>
  <si>
    <t>OPP-00386</t>
  </si>
  <si>
    <t>OPP-00390</t>
  </si>
  <si>
    <t>OPP-00541</t>
  </si>
  <si>
    <t>OPP-00544</t>
  </si>
  <si>
    <t>OPP-00546</t>
  </si>
  <si>
    <t>OPP-00547</t>
  </si>
  <si>
    <t>OPP-00797</t>
  </si>
  <si>
    <t>OPP-00804</t>
  </si>
  <si>
    <t>OPP-00808</t>
  </si>
  <si>
    <t>OPP-00811</t>
  </si>
  <si>
    <t>OPP-00812</t>
  </si>
  <si>
    <t>OPP-00814</t>
  </si>
  <si>
    <t>OPP-00860</t>
  </si>
  <si>
    <t>OPP-00861</t>
  </si>
  <si>
    <t>OPP-00862</t>
  </si>
  <si>
    <t>OPP-00863</t>
  </si>
  <si>
    <t>OPP-00865</t>
  </si>
  <si>
    <t>OPP-00984</t>
  </si>
  <si>
    <t>OPP-01117</t>
  </si>
  <si>
    <t>OPP-01258</t>
  </si>
  <si>
    <t>OPP-01259</t>
  </si>
  <si>
    <t>OPP-01261</t>
  </si>
  <si>
    <t>OPP-01263</t>
  </si>
  <si>
    <t>OPP-01271</t>
  </si>
  <si>
    <t>OPP-01678</t>
  </si>
  <si>
    <t>OPP-01679</t>
  </si>
  <si>
    <t>OPP-01682</t>
  </si>
  <si>
    <t>OPP-01928</t>
  </si>
  <si>
    <t>OPP-01929</t>
  </si>
  <si>
    <t>OPP-01930</t>
  </si>
  <si>
    <t>OPP-01933</t>
  </si>
  <si>
    <t>OPP-01937</t>
  </si>
  <si>
    <t>OPP-01938</t>
  </si>
  <si>
    <t>OPP-01939</t>
  </si>
  <si>
    <t>OPP-02181</t>
  </si>
  <si>
    <t>OPP-02183</t>
  </si>
  <si>
    <t>OPP-02184</t>
  </si>
  <si>
    <t>OPP-02185</t>
  </si>
  <si>
    <t>OPP-02190</t>
  </si>
  <si>
    <t>OPP-02191</t>
  </si>
  <si>
    <t>OPP-02192</t>
  </si>
  <si>
    <t>OPP-02371</t>
  </si>
  <si>
    <t>OPP-02373</t>
  </si>
  <si>
    <t>OPP-02374</t>
  </si>
  <si>
    <t>OPP-02376</t>
  </si>
  <si>
    <t>OPP-02380</t>
  </si>
  <si>
    <t>OPP-02381</t>
  </si>
  <si>
    <t>OPP-02382</t>
  </si>
  <si>
    <t>OPP-02383</t>
  </si>
  <si>
    <t>OPP-02431</t>
  </si>
  <si>
    <t>OPP-02632</t>
  </si>
  <si>
    <t>OPP-02633</t>
  </si>
  <si>
    <t>OPP-02634</t>
  </si>
  <si>
    <t>OPP-02635</t>
  </si>
  <si>
    <t>OPP-02638</t>
  </si>
  <si>
    <t>OPP-02642</t>
  </si>
  <si>
    <t>OPP-02879</t>
  </si>
  <si>
    <t>OPP-02881</t>
  </si>
  <si>
    <t>OPP-02882</t>
  </si>
  <si>
    <t>OPP-02888</t>
  </si>
  <si>
    <t>OPP-02890</t>
  </si>
  <si>
    <t>OPP-02931</t>
  </si>
  <si>
    <t>OPP-03527</t>
  </si>
  <si>
    <t>OPP-03633</t>
  </si>
  <si>
    <t>OPP-03873</t>
  </si>
  <si>
    <t>OPP-03881</t>
  </si>
  <si>
    <t>OPP-03883</t>
  </si>
  <si>
    <t>OPP-03884</t>
  </si>
  <si>
    <t>OPP-03885</t>
  </si>
  <si>
    <t>OPP-03887</t>
  </si>
  <si>
    <t>OPP-04125</t>
  </si>
  <si>
    <t>OPP-04126</t>
  </si>
  <si>
    <t>OPP-04127</t>
  </si>
  <si>
    <t>OPP-04128</t>
  </si>
  <si>
    <t>OPP-04135</t>
  </si>
  <si>
    <t>OPP-04612</t>
  </si>
  <si>
    <t>OPP-04613</t>
  </si>
  <si>
    <t>OPP-04617</t>
  </si>
  <si>
    <t>OPP-04620</t>
  </si>
  <si>
    <t>OPP-04848</t>
  </si>
  <si>
    <t>OPP-04853</t>
  </si>
  <si>
    <t>OPP-04854</t>
  </si>
  <si>
    <t>OPP-05144</t>
  </si>
  <si>
    <t>OPP-05405</t>
  </si>
  <si>
    <t>OPP-05406</t>
  </si>
  <si>
    <t>OPP-05407</t>
  </si>
  <si>
    <t>OPP-05408</t>
  </si>
  <si>
    <t>OPP-05409</t>
  </si>
  <si>
    <t>OPP-05411</t>
  </si>
  <si>
    <t>OPP-05413</t>
  </si>
  <si>
    <t>OPP-05805</t>
  </si>
  <si>
    <t>OPP-05806</t>
  </si>
  <si>
    <t>OPP-05807</t>
  </si>
  <si>
    <t>OPP-05809</t>
  </si>
  <si>
    <t>OPP-05810</t>
  </si>
  <si>
    <t>OPP-05813</t>
  </si>
  <si>
    <t>OPP-06122</t>
  </si>
  <si>
    <t>OPP-06123</t>
  </si>
  <si>
    <t>OPP-06125</t>
  </si>
  <si>
    <t>OPP-06127</t>
  </si>
  <si>
    <t>OPP-06133</t>
  </si>
  <si>
    <t>OPP-06289</t>
  </si>
  <si>
    <t>OPP-06290</t>
  </si>
  <si>
    <t>OPP-06295</t>
  </si>
  <si>
    <t>OPP-06450</t>
  </si>
  <si>
    <t>OPP-06556</t>
  </si>
  <si>
    <t>OPP-06558</t>
  </si>
  <si>
    <t>OPP-06822</t>
  </si>
  <si>
    <t>OPP-06825</t>
  </si>
  <si>
    <t>OPP-06826</t>
  </si>
  <si>
    <t>OPP-06827</t>
  </si>
  <si>
    <t>OPP-06828</t>
  </si>
  <si>
    <t>OPP-06830</t>
  </si>
  <si>
    <t>OPP-06834</t>
  </si>
  <si>
    <t>OPP-06835</t>
  </si>
  <si>
    <t>OPP-00310</t>
  </si>
  <si>
    <t>OPP-00311</t>
  </si>
  <si>
    <t>OPP-00911</t>
  </si>
  <si>
    <t>OPP-00912</t>
  </si>
  <si>
    <t>OPP-00914</t>
  </si>
  <si>
    <t>OPP-00916</t>
  </si>
  <si>
    <t>OPP-00917</t>
  </si>
  <si>
    <t>OPP-01058</t>
  </si>
  <si>
    <t>OPP-01062</t>
  </si>
  <si>
    <t>OPP-01063</t>
  </si>
  <si>
    <t>OPP-01064</t>
  </si>
  <si>
    <t>OPP-01324</t>
  </si>
  <si>
    <t>OPP-01390</t>
  </si>
  <si>
    <t>OPP-01394</t>
  </si>
  <si>
    <t>OPP-01396</t>
  </si>
  <si>
    <t>OPP-01397</t>
  </si>
  <si>
    <t>OPP-03023</t>
  </si>
  <si>
    <t>OPP-03025</t>
  </si>
  <si>
    <t>OPP-03028</t>
  </si>
  <si>
    <t>OPP-03450</t>
  </si>
  <si>
    <t>OPP-03456</t>
  </si>
  <si>
    <t>OPP-04193</t>
  </si>
  <si>
    <t>OPP-04318</t>
  </si>
  <si>
    <t>OPP-04319</t>
  </si>
  <si>
    <t>OPP-04320</t>
  </si>
  <si>
    <t>OPP-04321</t>
  </si>
  <si>
    <t>OPP-04323</t>
  </si>
  <si>
    <t>OPP-04326</t>
  </si>
  <si>
    <t>OPP-05502</t>
  </si>
  <si>
    <t>OPP-05504</t>
  </si>
  <si>
    <t>OPP-05505</t>
  </si>
  <si>
    <t>OPP-05860</t>
  </si>
  <si>
    <t>OPP-06208</t>
  </si>
  <si>
    <t>OPP-06210</t>
  </si>
  <si>
    <t>OPP-06366</t>
  </si>
  <si>
    <t>OPP-06367</t>
  </si>
  <si>
    <t>OPP-01323</t>
  </si>
  <si>
    <t>OPP-04239</t>
  </si>
  <si>
    <t>OPP-00913</t>
  </si>
  <si>
    <t>OPP-00915</t>
  </si>
  <si>
    <t>OPP-01055</t>
  </si>
  <si>
    <t>OPP-01059</t>
  </si>
  <si>
    <t>OPP-01060</t>
  </si>
  <si>
    <t>OPP-01322</t>
  </si>
  <si>
    <t>OPP-01388</t>
  </si>
  <si>
    <t>OPP-01389</t>
  </si>
  <si>
    <t>OPP-01391</t>
  </si>
  <si>
    <t>OPP-01392</t>
  </si>
  <si>
    <t>OPP-01395</t>
  </si>
  <si>
    <t>OPP-03024</t>
  </si>
  <si>
    <t>OPP-03026</t>
  </si>
  <si>
    <t>OPP-04191</t>
  </si>
  <si>
    <t>OPP-04192</t>
  </si>
  <si>
    <t>OPP-04194</t>
  </si>
  <si>
    <t>OPP-04238</t>
  </si>
  <si>
    <t>OPP-04324</t>
  </si>
  <si>
    <t>OPP-04325</t>
  </si>
  <si>
    <t>OPP-05861</t>
  </si>
  <si>
    <t>OPP-00086</t>
  </si>
  <si>
    <t>OPP-00088</t>
  </si>
  <si>
    <t>OPP-00090</t>
  </si>
  <si>
    <t>OPP-00092</t>
  </si>
  <si>
    <t>OPP-00309</t>
  </si>
  <si>
    <t>OPP-00312</t>
  </si>
  <si>
    <t>OPP-00313</t>
  </si>
  <si>
    <t>OPP-00314</t>
  </si>
  <si>
    <t>OPP-00315</t>
  </si>
  <si>
    <t>OPP-00317</t>
  </si>
  <si>
    <t>OPP-00318</t>
  </si>
  <si>
    <t>OPP-00319</t>
  </si>
  <si>
    <t>OPP-00423</t>
  </si>
  <si>
    <t>OPP-00424</t>
  </si>
  <si>
    <t>OPP-00426</t>
  </si>
  <si>
    <t>OPP-00427</t>
  </si>
  <si>
    <t>OPP-00428</t>
  </si>
  <si>
    <t>OPP-00429</t>
  </si>
  <si>
    <t>OPP-00433</t>
  </si>
  <si>
    <t>OPP-00434</t>
  </si>
  <si>
    <t>OPP-00669</t>
  </si>
  <si>
    <t>OPP-00671</t>
  </si>
  <si>
    <t>OPP-00672</t>
  </si>
  <si>
    <t>OPP-00673</t>
  </si>
  <si>
    <t>OPP-00674</t>
  </si>
  <si>
    <t>OPP-00675</t>
  </si>
  <si>
    <t>OPP-00681</t>
  </si>
  <si>
    <t>OPP-00683</t>
  </si>
  <si>
    <t>OPP-00684</t>
  </si>
  <si>
    <t>OPP-00685</t>
  </si>
  <si>
    <t>OPP-00687</t>
  </si>
  <si>
    <t>OPP-01056</t>
  </si>
  <si>
    <t>OPP-01057</t>
  </si>
  <si>
    <t>OPP-01061</t>
  </si>
  <si>
    <t>OPP-01142</t>
  </si>
  <si>
    <t>OPP-01143</t>
  </si>
  <si>
    <t>OPP-01144</t>
  </si>
  <si>
    <t>OPP-01146</t>
  </si>
  <si>
    <t>OPP-01393</t>
  </si>
  <si>
    <t>OPP-01547</t>
  </si>
  <si>
    <t>OPP-01552</t>
  </si>
  <si>
    <t>OPP-01553</t>
  </si>
  <si>
    <t>OPP-01555</t>
  </si>
  <si>
    <t>OPP-01556</t>
  </si>
  <si>
    <t>OPP-01558</t>
  </si>
  <si>
    <t>OPP-01559</t>
  </si>
  <si>
    <t>OPP-01560</t>
  </si>
  <si>
    <t>OPP-01561</t>
  </si>
  <si>
    <t>OPP-01562</t>
  </si>
  <si>
    <t>OPP-01743</t>
  </si>
  <si>
    <t>OPP-01745</t>
  </si>
  <si>
    <t>OPP-01747</t>
  </si>
  <si>
    <t>OPP-01752</t>
  </si>
  <si>
    <t>OPP-01753</t>
  </si>
  <si>
    <t>OPP-01757</t>
  </si>
  <si>
    <t>OPP-02043</t>
  </si>
  <si>
    <t>OPP-02044</t>
  </si>
  <si>
    <t>OPP-02045</t>
  </si>
  <si>
    <t>OPP-02046</t>
  </si>
  <si>
    <t>OPP-02047</t>
  </si>
  <si>
    <t>OPP-02048</t>
  </si>
  <si>
    <t>OPP-02050</t>
  </si>
  <si>
    <t>OPP-02051</t>
  </si>
  <si>
    <t>OPP-02259</t>
  </si>
  <si>
    <t>OPP-02260</t>
  </si>
  <si>
    <t>OPP-02261</t>
  </si>
  <si>
    <t>OPP-02263</t>
  </si>
  <si>
    <t>OPP-02264</t>
  </si>
  <si>
    <t>OPP-02265</t>
  </si>
  <si>
    <t>OPP-02530</t>
  </si>
  <si>
    <t>OPP-02531</t>
  </si>
  <si>
    <t>OPP-02755</t>
  </si>
  <si>
    <t>OPP-02756</t>
  </si>
  <si>
    <t>OPP-02757</t>
  </si>
  <si>
    <t>OPP-02761</t>
  </si>
  <si>
    <t>OPP-02762</t>
  </si>
  <si>
    <t>OPP-02763</t>
  </si>
  <si>
    <t>OPP-03203</t>
  </si>
  <si>
    <t>OPP-03205</t>
  </si>
  <si>
    <t>OPP-03206</t>
  </si>
  <si>
    <t>OPP-03207</t>
  </si>
  <si>
    <t>OPP-03208</t>
  </si>
  <si>
    <t>OPP-03209</t>
  </si>
  <si>
    <t>OPP-03211</t>
  </si>
  <si>
    <t>OPP-03212</t>
  </si>
  <si>
    <t>OPP-03214</t>
  </si>
  <si>
    <t>OPP-03215</t>
  </si>
  <si>
    <t>OPP-03216</t>
  </si>
  <si>
    <t>OPP-03217</t>
  </si>
  <si>
    <t>OPP-03218</t>
  </si>
  <si>
    <t>OPP-03219</t>
  </si>
  <si>
    <t>OPP-03221</t>
  </si>
  <si>
    <t>OPP-03222</t>
  </si>
  <si>
    <t>OPP-03451</t>
  </si>
  <si>
    <t>OPP-03452</t>
  </si>
  <si>
    <t>OPP-03453</t>
  </si>
  <si>
    <t>OPP-03454</t>
  </si>
  <si>
    <t>OPP-03455</t>
  </si>
  <si>
    <t>OPP-03754</t>
  </si>
  <si>
    <t>OPP-03755</t>
  </si>
  <si>
    <t>OPP-03757</t>
  </si>
  <si>
    <t>OPP-03758</t>
  </si>
  <si>
    <t>OPP-03759</t>
  </si>
  <si>
    <t>OPP-03761</t>
  </si>
  <si>
    <t>OPP-03762</t>
  </si>
  <si>
    <t>OPP-04000</t>
  </si>
  <si>
    <t>OPP-04001</t>
  </si>
  <si>
    <t>OPP-04002</t>
  </si>
  <si>
    <t>OPP-04322</t>
  </si>
  <si>
    <t>OPP-04486</t>
  </si>
  <si>
    <t>OPP-04487</t>
  </si>
  <si>
    <t>OPP-04489</t>
  </si>
  <si>
    <t>OPP-04490</t>
  </si>
  <si>
    <t>OPP-04492</t>
  </si>
  <si>
    <t>OPP-04494</t>
  </si>
  <si>
    <t>OPP-04495</t>
  </si>
  <si>
    <t>OPP-04496</t>
  </si>
  <si>
    <t>OPP-04497</t>
  </si>
  <si>
    <t>OPP-04499</t>
  </si>
  <si>
    <t>OPP-04500</t>
  </si>
  <si>
    <t>OPP-04734</t>
  </si>
  <si>
    <t>OPP-04735</t>
  </si>
  <si>
    <t>OPP-04737</t>
  </si>
  <si>
    <t>OPP-04738</t>
  </si>
  <si>
    <t>OPP-04739</t>
  </si>
  <si>
    <t>OPP-04940</t>
  </si>
  <si>
    <t>OPP-04941</t>
  </si>
  <si>
    <t>OPP-04942</t>
  </si>
  <si>
    <t>OPP-04943</t>
  </si>
  <si>
    <t>OPP-05062</t>
  </si>
  <si>
    <t>OPP-05063</t>
  </si>
  <si>
    <t>OPP-05065</t>
  </si>
  <si>
    <t>OPP-05267</t>
  </si>
  <si>
    <t>OPP-05268</t>
  </si>
  <si>
    <t>OPP-05269</t>
  </si>
  <si>
    <t>OPP-05270</t>
  </si>
  <si>
    <t>OPP-05271</t>
  </si>
  <si>
    <t>OPP-05274</t>
  </si>
  <si>
    <t>OPP-05275</t>
  </si>
  <si>
    <t>OPP-05276</t>
  </si>
  <si>
    <t>OPP-05277</t>
  </si>
  <si>
    <t>OPP-05278</t>
  </si>
  <si>
    <t>OPP-05503</t>
  </si>
  <si>
    <t>OPP-05686</t>
  </si>
  <si>
    <t>OPP-05687</t>
  </si>
  <si>
    <t>OPP-05689</t>
  </si>
  <si>
    <t>OPP-05690</t>
  </si>
  <si>
    <t>OPP-05691</t>
  </si>
  <si>
    <t>OPP-05995</t>
  </si>
  <si>
    <t>OPP-05996</t>
  </si>
  <si>
    <t>OPP-05998</t>
  </si>
  <si>
    <t>OPP-06000</t>
  </si>
  <si>
    <t>OPP-06001</t>
  </si>
  <si>
    <t>OPP-06003</t>
  </si>
  <si>
    <t>OPP-06004</t>
  </si>
  <si>
    <t>OPP-06006</t>
  </si>
  <si>
    <t>OPP-06007</t>
  </si>
  <si>
    <t>OPP-06008</t>
  </si>
  <si>
    <t>OPP-06207</t>
  </si>
  <si>
    <t>OPP-06209</t>
  </si>
  <si>
    <t>OPP-06211</t>
  </si>
  <si>
    <t>OPP-06212</t>
  </si>
  <si>
    <t>OPP-06363</t>
  </si>
  <si>
    <t>OPP-06364</t>
  </si>
  <si>
    <t>OPP-06365</t>
  </si>
  <si>
    <t>OPP-06368</t>
  </si>
  <si>
    <t>OPP-06484</t>
  </si>
  <si>
    <t>OPP-06677</t>
  </si>
  <si>
    <t>OPP-06679</t>
  </si>
  <si>
    <t>OPP-06680</t>
  </si>
  <si>
    <t>OPP-06681</t>
  </si>
  <si>
    <t>OPP-06683</t>
  </si>
  <si>
    <t>OPP-06684</t>
  </si>
  <si>
    <t>OPP-06685</t>
  </si>
  <si>
    <t>OPP-06687</t>
  </si>
  <si>
    <t>OPP-06688</t>
  </si>
  <si>
    <t>OPP-06690</t>
  </si>
  <si>
    <t>OPP-06691</t>
  </si>
  <si>
    <t>OPP-00087</t>
  </si>
  <si>
    <t>OPP-00089</t>
  </si>
  <si>
    <t>OPP-00091</t>
  </si>
  <si>
    <t>OPP-00093</t>
  </si>
  <si>
    <t>OPP-00094</t>
  </si>
  <si>
    <t>OPP-00316</t>
  </si>
  <si>
    <t>OPP-00425</t>
  </si>
  <si>
    <t>OPP-00430</t>
  </si>
  <si>
    <t>OPP-00431</t>
  </si>
  <si>
    <t>OPP-00432</t>
  </si>
  <si>
    <t>OPP-00670</t>
  </si>
  <si>
    <t>OPP-00676</t>
  </si>
  <si>
    <t>OPP-00677</t>
  </si>
  <si>
    <t>OPP-00678</t>
  </si>
  <si>
    <t>OPP-00679</t>
  </si>
  <si>
    <t>OPP-00680</t>
  </si>
  <si>
    <t>OPP-00682</t>
  </si>
  <si>
    <t>OPP-00686</t>
  </si>
  <si>
    <t>OPP-01145</t>
  </si>
  <si>
    <t>OPP-01147</t>
  </si>
  <si>
    <t>OPP-01148</t>
  </si>
  <si>
    <t>OPP-01546</t>
  </si>
  <si>
    <t>OPP-01548</t>
  </si>
  <si>
    <t>OPP-01549</t>
  </si>
  <si>
    <t>OPP-01550</t>
  </si>
  <si>
    <t>OPP-01551</t>
  </si>
  <si>
    <t>OPP-01554</t>
  </si>
  <si>
    <t>OPP-01557</t>
  </si>
  <si>
    <t>OPP-01744</t>
  </si>
  <si>
    <t>OPP-01746</t>
  </si>
  <si>
    <t>OPP-01748</t>
  </si>
  <si>
    <t>OPP-01749</t>
  </si>
  <si>
    <t>OPP-01750</t>
  </si>
  <si>
    <t>OPP-01751</t>
  </si>
  <si>
    <t>OPP-01754</t>
  </si>
  <si>
    <t>OPP-01755</t>
  </si>
  <si>
    <t>OPP-01756</t>
  </si>
  <si>
    <t>OPP-02049</t>
  </si>
  <si>
    <t>OPP-02258</t>
  </si>
  <si>
    <t>OPP-02262</t>
  </si>
  <si>
    <t>OPP-02266</t>
  </si>
  <si>
    <t>OPP-02525</t>
  </si>
  <si>
    <t>OPP-02526</t>
  </si>
  <si>
    <t>OPP-02527</t>
  </si>
  <si>
    <t>OPP-02528</t>
  </si>
  <si>
    <t>OPP-02529</t>
  </si>
  <si>
    <t>OPP-02532</t>
  </si>
  <si>
    <t>OPP-02754</t>
  </si>
  <si>
    <t>OPP-02758</t>
  </si>
  <si>
    <t>OPP-02759</t>
  </si>
  <si>
    <t>OPP-02760</t>
  </si>
  <si>
    <t>OPP-02764</t>
  </si>
  <si>
    <t>OPP-03027</t>
  </si>
  <si>
    <t>OPP-03204</t>
  </si>
  <si>
    <t>OPP-03210</t>
  </si>
  <si>
    <t>OPP-03213</t>
  </si>
  <si>
    <t>OPP-03220</t>
  </si>
  <si>
    <t>OPP-03751</t>
  </si>
  <si>
    <t>OPP-03752</t>
  </si>
  <si>
    <t>OPP-03753</t>
  </si>
  <si>
    <t>OPP-03756</t>
  </si>
  <si>
    <t>OPP-03760</t>
  </si>
  <si>
    <t>OPP-03763</t>
  </si>
  <si>
    <t>OPP-03998</t>
  </si>
  <si>
    <t>OPP-03999</t>
  </si>
  <si>
    <t>OPP-04485</t>
  </si>
  <si>
    <t>OPP-04488</t>
  </si>
  <si>
    <t>OPP-04491</t>
  </si>
  <si>
    <t>OPP-04493</t>
  </si>
  <si>
    <t>OPP-04498</t>
  </si>
  <si>
    <t>OPP-04733</t>
  </si>
  <si>
    <t>OPP-04736</t>
  </si>
  <si>
    <t>OPP-04740</t>
  </si>
  <si>
    <t>OPP-04741</t>
  </si>
  <si>
    <t>OPP-04939</t>
  </si>
  <si>
    <t>OPP-05059</t>
  </si>
  <si>
    <t>OPP-05060</t>
  </si>
  <si>
    <t>OPP-05061</t>
  </si>
  <si>
    <t>OPP-05064</t>
  </si>
  <si>
    <t>OPP-05272</t>
  </si>
  <si>
    <t>OPP-05273</t>
  </si>
  <si>
    <t>OPP-05501</t>
  </si>
  <si>
    <t>OPP-05506</t>
  </si>
  <si>
    <t>OPP-05688</t>
  </si>
  <si>
    <t>OPP-05692</t>
  </si>
  <si>
    <t>OPP-05862</t>
  </si>
  <si>
    <t>OPP-05997</t>
  </si>
  <si>
    <t>OPP-05999</t>
  </si>
  <si>
    <t>OPP-06002</t>
  </si>
  <si>
    <t>OPP-06005</t>
  </si>
  <si>
    <t>OPP-06009</t>
  </si>
  <si>
    <t>OPP-06676</t>
  </si>
  <si>
    <t>OPP-06678</t>
  </si>
  <si>
    <t>OPP-06682</t>
  </si>
  <si>
    <t>OPP-06686</t>
  </si>
  <si>
    <t>OPP-06689</t>
  </si>
  <si>
    <t>OPP-00238</t>
  </si>
  <si>
    <t>OPP-00239</t>
  </si>
  <si>
    <t>OPP-00240</t>
  </si>
  <si>
    <t>OPP-00260</t>
  </si>
  <si>
    <t>OPP-00261</t>
  </si>
  <si>
    <t>OPP-00262</t>
  </si>
  <si>
    <t>OPP-00263</t>
  </si>
  <si>
    <t>OPP-00265</t>
  </si>
  <si>
    <t>OPP-00398</t>
  </si>
  <si>
    <t>OPP-00986</t>
  </si>
  <si>
    <t>OPP-00987</t>
  </si>
  <si>
    <t>OPP-00988</t>
  </si>
  <si>
    <t>OPP-00989</t>
  </si>
  <si>
    <t>OPP-01123</t>
  </si>
  <si>
    <t>OPP-01124</t>
  </si>
  <si>
    <t>OPP-01125</t>
  </si>
  <si>
    <t>OPP-01126</t>
  </si>
  <si>
    <t>OPP-01127</t>
  </si>
  <si>
    <t>OPP-01128</t>
  </si>
  <si>
    <t>OPP-01129</t>
  </si>
  <si>
    <t>OPP-01130</t>
  </si>
  <si>
    <t>OPP-01131</t>
  </si>
  <si>
    <t>OPP-01132</t>
  </si>
  <si>
    <t>OPP-01359</t>
  </si>
  <si>
    <t>OPP-01360</t>
  </si>
  <si>
    <t>OPP-01361</t>
  </si>
  <si>
    <t>OPP-01362</t>
  </si>
  <si>
    <t>OPP-01363</t>
  </si>
  <si>
    <t>OPP-01464</t>
  </si>
  <si>
    <t>OPP-01467</t>
  </si>
  <si>
    <t>OPP-02231</t>
  </si>
  <si>
    <t>OPP-02234</t>
  </si>
  <si>
    <t>OPP-02238</t>
  </si>
  <si>
    <t>OPP-02445</t>
  </si>
  <si>
    <t>OPP-02976</t>
  </si>
  <si>
    <t>OPP-03092</t>
  </si>
  <si>
    <t>OPP-03093</t>
  </si>
  <si>
    <t>OPP-03094</t>
  </si>
  <si>
    <t>OPP-03394</t>
  </si>
  <si>
    <t>OPP-03395</t>
  </si>
  <si>
    <t>OPP-03535</t>
  </si>
  <si>
    <t>OPP-03536</t>
  </si>
  <si>
    <t>OPP-03538</t>
  </si>
  <si>
    <t>OPP-03643</t>
  </si>
  <si>
    <t>OPP-04231</t>
  </si>
  <si>
    <t>OPP-04232</t>
  </si>
  <si>
    <t>OPP-04233</t>
  </si>
  <si>
    <t>OPP-04270</t>
  </si>
  <si>
    <t>OPP-04271</t>
  </si>
  <si>
    <t>OPP-04378</t>
  </si>
  <si>
    <t>OPP-04379</t>
  </si>
  <si>
    <t>OPP-04384</t>
  </si>
  <si>
    <t>OPP-04386</t>
  </si>
  <si>
    <t>OPP-04387</t>
  </si>
  <si>
    <t>OPP-04997</t>
  </si>
  <si>
    <t>OPP-04998</t>
  </si>
  <si>
    <t>OPP-05146</t>
  </si>
  <si>
    <t>OPP-05153</t>
  </si>
  <si>
    <t>OPP-05568</t>
  </si>
  <si>
    <t>OPP-05571</t>
  </si>
  <si>
    <t>OPP-05576</t>
  </si>
  <si>
    <t>OPP-05578</t>
  </si>
  <si>
    <t>OPP-06451</t>
  </si>
  <si>
    <t>OPP-06452</t>
  </si>
  <si>
    <t>OPP-06454</t>
  </si>
  <si>
    <t>OPP-06459</t>
  </si>
  <si>
    <t>OPP-00212</t>
  </si>
  <si>
    <t>OPP-00213</t>
  </si>
  <si>
    <t>OPP-00215</t>
  </si>
  <si>
    <t>OPP-00216</t>
  </si>
  <si>
    <t>OPP-00217</t>
  </si>
  <si>
    <t>OPP-00218</t>
  </si>
  <si>
    <t>OPP-00219</t>
  </si>
  <si>
    <t>OPP-00220</t>
  </si>
  <si>
    <t>OPP-00221</t>
  </si>
  <si>
    <t>OPP-00222</t>
  </si>
  <si>
    <t>OPP-00264</t>
  </si>
  <si>
    <t>OPP-00393</t>
  </si>
  <si>
    <t>OPP-00394</t>
  </si>
  <si>
    <t>OPP-00395</t>
  </si>
  <si>
    <t>OPP-00396</t>
  </si>
  <si>
    <t>OPP-00397</t>
  </si>
  <si>
    <t>OPP-00399</t>
  </si>
  <si>
    <t>OPP-00550</t>
  </si>
  <si>
    <t>OPP-00552</t>
  </si>
  <si>
    <t>OPP-00553</t>
  </si>
  <si>
    <t>OPP-00554</t>
  </si>
  <si>
    <t>OPP-00820</t>
  </si>
  <si>
    <t>OPP-00821</t>
  </si>
  <si>
    <t>OPP-00824</t>
  </si>
  <si>
    <t>OPP-00826</t>
  </si>
  <si>
    <t>OPP-00827</t>
  </si>
  <si>
    <t>OPP-00828</t>
  </si>
  <si>
    <t>OPP-00870</t>
  </si>
  <si>
    <t>OPP-00872</t>
  </si>
  <si>
    <t>OPP-00874</t>
  </si>
  <si>
    <t>OPP-00875</t>
  </si>
  <si>
    <t>OPP-00985</t>
  </si>
  <si>
    <t>OPP-01018</t>
  </si>
  <si>
    <t>OPP-01019</t>
  </si>
  <si>
    <t>OPP-01020</t>
  </si>
  <si>
    <t>OPP-01021</t>
  </si>
  <si>
    <t>OPP-01022</t>
  </si>
  <si>
    <t>OPP-01023</t>
  </si>
  <si>
    <t>OPP-01274</t>
  </si>
  <si>
    <t>OPP-01275</t>
  </si>
  <si>
    <t>OPP-01279</t>
  </si>
  <si>
    <t>OPP-01282</t>
  </si>
  <si>
    <t>OPP-01284</t>
  </si>
  <si>
    <t>OPP-01465</t>
  </si>
  <si>
    <t>OPP-01466</t>
  </si>
  <si>
    <t>OPP-01469</t>
  </si>
  <si>
    <t>OPP-01684</t>
  </si>
  <si>
    <t>OPP-01687</t>
  </si>
  <si>
    <t>OPP-01688</t>
  </si>
  <si>
    <t>OPP-01691</t>
  </si>
  <si>
    <t>OPP-01692</t>
  </si>
  <si>
    <t>OPP-01694</t>
  </si>
  <si>
    <t>OPP-01695</t>
  </si>
  <si>
    <t>OPP-01940</t>
  </si>
  <si>
    <t>OPP-01942</t>
  </si>
  <si>
    <t>OPP-01943</t>
  </si>
  <si>
    <t>OPP-01944</t>
  </si>
  <si>
    <t>OPP-01946</t>
  </si>
  <si>
    <t>OPP-01947</t>
  </si>
  <si>
    <t>OPP-02193</t>
  </si>
  <si>
    <t>OPP-02194</t>
  </si>
  <si>
    <t>OPP-02195</t>
  </si>
  <si>
    <t>OPP-02196</t>
  </si>
  <si>
    <t>OPP-02197</t>
  </si>
  <si>
    <t>OPP-02199</t>
  </si>
  <si>
    <t>OPP-02201</t>
  </si>
  <si>
    <t>OPP-02203</t>
  </si>
  <si>
    <t>OPP-02232</t>
  </si>
  <si>
    <t>OPP-02233</t>
  </si>
  <si>
    <t>OPP-02235</t>
  </si>
  <si>
    <t>OPP-02237</t>
  </si>
  <si>
    <t>OPP-02239</t>
  </si>
  <si>
    <t>OPP-02240</t>
  </si>
  <si>
    <t>OPP-02241</t>
  </si>
  <si>
    <t>OPP-02384</t>
  </si>
  <si>
    <t>OPP-02385</t>
  </si>
  <si>
    <t>OPP-02386</t>
  </si>
  <si>
    <t>OPP-02387</t>
  </si>
  <si>
    <t>OPP-02388</t>
  </si>
  <si>
    <t>OPP-02389</t>
  </si>
  <si>
    <t>OPP-02391</t>
  </si>
  <si>
    <t>OPP-02393</t>
  </si>
  <si>
    <t>OPP-02394</t>
  </si>
  <si>
    <t>OPP-02435</t>
  </si>
  <si>
    <t>OPP-02436</t>
  </si>
  <si>
    <t>OPP-02437</t>
  </si>
  <si>
    <t>OPP-02438</t>
  </si>
  <si>
    <t>OPP-02439</t>
  </si>
  <si>
    <t>OPP-02440</t>
  </si>
  <si>
    <t>OPP-02441</t>
  </si>
  <si>
    <t>OPP-02442</t>
  </si>
  <si>
    <t>OPP-02443</t>
  </si>
  <si>
    <t>OPP-02444</t>
  </si>
  <si>
    <t>OPP-02446</t>
  </si>
  <si>
    <t>OPP-02643</t>
  </si>
  <si>
    <t>OPP-02644</t>
  </si>
  <si>
    <t>OPP-02645</t>
  </si>
  <si>
    <t>OPP-02646</t>
  </si>
  <si>
    <t>OPP-02648</t>
  </si>
  <si>
    <t>OPP-02649</t>
  </si>
  <si>
    <t>OPP-02650</t>
  </si>
  <si>
    <t>OPP-02651</t>
  </si>
  <si>
    <t>OPP-02653</t>
  </si>
  <si>
    <t>OPP-02656</t>
  </si>
  <si>
    <t>OPP-02892</t>
  </si>
  <si>
    <t>OPP-02893</t>
  </si>
  <si>
    <t>OPP-02894</t>
  </si>
  <si>
    <t>OPP-02895</t>
  </si>
  <si>
    <t>OPP-02897</t>
  </si>
  <si>
    <t>OPP-02899</t>
  </si>
  <si>
    <t>OPP-02900</t>
  </si>
  <si>
    <t>OPP-02936</t>
  </si>
  <si>
    <t>OPP-02941</t>
  </si>
  <si>
    <t>OPP-02942</t>
  </si>
  <si>
    <t>OPP-02943</t>
  </si>
  <si>
    <t>OPP-02945</t>
  </si>
  <si>
    <t>OPP-02974</t>
  </si>
  <si>
    <t>OPP-02975</t>
  </si>
  <si>
    <t>OPP-02977</t>
  </si>
  <si>
    <t>OPP-02978</t>
  </si>
  <si>
    <t>OPP-02979</t>
  </si>
  <si>
    <t>OPP-02980</t>
  </si>
  <si>
    <t>OPP-03389</t>
  </si>
  <si>
    <t>OPP-03391</t>
  </si>
  <si>
    <t>OPP-03392</t>
  </si>
  <si>
    <t>OPP-03393</t>
  </si>
  <si>
    <t>OPP-03396</t>
  </si>
  <si>
    <t>OPP-03397</t>
  </si>
  <si>
    <t>OPP-03537</t>
  </si>
  <si>
    <t>OPP-03539</t>
  </si>
  <si>
    <t>OPP-03540</t>
  </si>
  <si>
    <t>OPP-03541</t>
  </si>
  <si>
    <t>OPP-03640</t>
  </si>
  <si>
    <t>OPP-03641</t>
  </si>
  <si>
    <t>OPP-03642</t>
  </si>
  <si>
    <t>OPP-03891</t>
  </si>
  <si>
    <t>OPP-03895</t>
  </si>
  <si>
    <t>OPP-03896</t>
  </si>
  <si>
    <t>OPP-03898</t>
  </si>
  <si>
    <t>OPP-04139</t>
  </si>
  <si>
    <t>OPP-04140</t>
  </si>
  <si>
    <t>OPP-04141</t>
  </si>
  <si>
    <t>OPP-04142</t>
  </si>
  <si>
    <t>OPP-04143</t>
  </si>
  <si>
    <t>OPP-04146</t>
  </si>
  <si>
    <t>OPP-04148</t>
  </si>
  <si>
    <t>OPP-04149</t>
  </si>
  <si>
    <t>OPP-04154</t>
  </si>
  <si>
    <t>OPP-04155</t>
  </si>
  <si>
    <t>OPP-04380</t>
  </si>
  <si>
    <t>OPP-04381</t>
  </si>
  <si>
    <t>OPP-04382</t>
  </si>
  <si>
    <t>OPP-04383</t>
  </si>
  <si>
    <t>OPP-04385</t>
  </si>
  <si>
    <t>OPP-04622</t>
  </si>
  <si>
    <t>OPP-04625</t>
  </si>
  <si>
    <t>OPP-04630</t>
  </si>
  <si>
    <t>OPP-04631</t>
  </si>
  <si>
    <t>OPP-04632</t>
  </si>
  <si>
    <t>OPP-04635</t>
  </si>
  <si>
    <t>OPP-04636</t>
  </si>
  <si>
    <t>OPP-04860</t>
  </si>
  <si>
    <t>OPP-04864</t>
  </si>
  <si>
    <t>OPP-04866</t>
  </si>
  <si>
    <t>OPP-04869</t>
  </si>
  <si>
    <t>OPP-04870</t>
  </si>
  <si>
    <t>OPP-04873</t>
  </si>
  <si>
    <t>OPP-04874</t>
  </si>
  <si>
    <t>OPP-04875</t>
  </si>
  <si>
    <t>OPP-04876</t>
  </si>
  <si>
    <t>OPP-04877</t>
  </si>
  <si>
    <t>OPP-04880</t>
  </si>
  <si>
    <t>OPP-04995</t>
  </si>
  <si>
    <t>OPP-04999</t>
  </si>
  <si>
    <t>OPP-05000</t>
  </si>
  <si>
    <t>OPP-05001</t>
  </si>
  <si>
    <t>OPP-05002</t>
  </si>
  <si>
    <t>OPP-05147</t>
  </si>
  <si>
    <t>OPP-05148</t>
  </si>
  <si>
    <t>OPP-05149</t>
  </si>
  <si>
    <t>OPP-05150</t>
  </si>
  <si>
    <t>OPP-05151</t>
  </si>
  <si>
    <t>OPP-05152</t>
  </si>
  <si>
    <t>OPP-05414</t>
  </si>
  <si>
    <t>OPP-05416</t>
  </si>
  <si>
    <t>OPP-05417</t>
  </si>
  <si>
    <t>OPP-05419</t>
  </si>
  <si>
    <t>OPP-05420</t>
  </si>
  <si>
    <t>OPP-05421</t>
  </si>
  <si>
    <t>OPP-05423</t>
  </si>
  <si>
    <t>OPP-05424</t>
  </si>
  <si>
    <t>OPP-05425</t>
  </si>
  <si>
    <t>OPP-05430</t>
  </si>
  <si>
    <t>OPP-05431</t>
  </si>
  <si>
    <t>OPP-05432</t>
  </si>
  <si>
    <t>OPP-05433</t>
  </si>
  <si>
    <t>OPP-05569</t>
  </si>
  <si>
    <t>OPP-05570</t>
  </si>
  <si>
    <t>OPP-05572</t>
  </si>
  <si>
    <t>OPP-05573</t>
  </si>
  <si>
    <t>OPP-05574</t>
  </si>
  <si>
    <t>OPP-05575</t>
  </si>
  <si>
    <t>OPP-05577</t>
  </si>
  <si>
    <t>OPP-05815</t>
  </si>
  <si>
    <t>OPP-05818</t>
  </si>
  <si>
    <t>OPP-05819</t>
  </si>
  <si>
    <t>OPP-05820</t>
  </si>
  <si>
    <t>OPP-05825</t>
  </si>
  <si>
    <t>OPP-05827</t>
  </si>
  <si>
    <t>OPP-05828</t>
  </si>
  <si>
    <t>OPP-05833</t>
  </si>
  <si>
    <t>OPP-06135</t>
  </si>
  <si>
    <t>OPP-06136</t>
  </si>
  <si>
    <t>OPP-06138</t>
  </si>
  <si>
    <t>OPP-06139</t>
  </si>
  <si>
    <t>OPP-06140</t>
  </si>
  <si>
    <t>OPP-06141</t>
  </si>
  <si>
    <t>OPP-06143</t>
  </si>
  <si>
    <t>OPP-06145</t>
  </si>
  <si>
    <t>OPP-06146</t>
  </si>
  <si>
    <t>OPP-06147</t>
  </si>
  <si>
    <t>OPP-06148</t>
  </si>
  <si>
    <t>OPP-06297</t>
  </si>
  <si>
    <t>OPP-06299</t>
  </si>
  <si>
    <t>OPP-06300</t>
  </si>
  <si>
    <t>OPP-06302</t>
  </si>
  <si>
    <t>OPP-06303</t>
  </si>
  <si>
    <t>OPP-06304</t>
  </si>
  <si>
    <t>OPP-06305</t>
  </si>
  <si>
    <t>OPP-06453</t>
  </si>
  <si>
    <t>OPP-06455</t>
  </si>
  <si>
    <t>OPP-06456</t>
  </si>
  <si>
    <t>OPP-06457</t>
  </si>
  <si>
    <t>OPP-06458</t>
  </si>
  <si>
    <t>OPP-06460</t>
  </si>
  <si>
    <t>OPP-06564</t>
  </si>
  <si>
    <t>OPP-06565</t>
  </si>
  <si>
    <t>OPP-06837</t>
  </si>
  <si>
    <t>OPP-06838</t>
  </si>
  <si>
    <t>OPP-06839</t>
  </si>
  <si>
    <t>OPP-06840</t>
  </si>
  <si>
    <t>OPP-06841</t>
  </si>
  <si>
    <t>OPP-06842</t>
  </si>
  <si>
    <t>OPP-06844</t>
  </si>
  <si>
    <t>OPP-06845</t>
  </si>
  <si>
    <t>OPP-00210</t>
  </si>
  <si>
    <t>OPP-00211</t>
  </si>
  <si>
    <t>OPP-00214</t>
  </si>
  <si>
    <t>OPP-00549</t>
  </si>
  <si>
    <t>OPP-00551</t>
  </si>
  <si>
    <t>OPP-00816</t>
  </si>
  <si>
    <t>OPP-00817</t>
  </si>
  <si>
    <t>OPP-00818</t>
  </si>
  <si>
    <t>OPP-00819</t>
  </si>
  <si>
    <t>OPP-00822</t>
  </si>
  <si>
    <t>OPP-00823</t>
  </si>
  <si>
    <t>OPP-00825</t>
  </si>
  <si>
    <t>OPP-00829</t>
  </si>
  <si>
    <t>OPP-00830</t>
  </si>
  <si>
    <t>OPP-00871</t>
  </si>
  <si>
    <t>OPP-00873</t>
  </si>
  <si>
    <t>OPP-00876</t>
  </si>
  <si>
    <t>OPP-01273</t>
  </si>
  <si>
    <t>OPP-01276</t>
  </si>
  <si>
    <t>OPP-01277</t>
  </si>
  <si>
    <t>OPP-01278</t>
  </si>
  <si>
    <t>OPP-01280</t>
  </si>
  <si>
    <t>OPP-01281</t>
  </si>
  <si>
    <t>OPP-01283</t>
  </si>
  <si>
    <t>OPP-01285</t>
  </si>
  <si>
    <t>OPP-01468</t>
  </si>
  <si>
    <t>OPP-01683</t>
  </si>
  <si>
    <t>OPP-01685</t>
  </si>
  <si>
    <t>OPP-01686</t>
  </si>
  <si>
    <t>OPP-01689</t>
  </si>
  <si>
    <t>OPP-01690</t>
  </si>
  <si>
    <t>OPP-01693</t>
  </si>
  <si>
    <t>OPP-01941</t>
  </si>
  <si>
    <t>OPP-01945</t>
  </si>
  <si>
    <t>OPP-02198</t>
  </si>
  <si>
    <t>OPP-02200</t>
  </si>
  <si>
    <t>OPP-02202</t>
  </si>
  <si>
    <t>OPP-02204</t>
  </si>
  <si>
    <t>OPP-02205</t>
  </si>
  <si>
    <t>OPP-02236</t>
  </si>
  <si>
    <t>OPP-02390</t>
  </si>
  <si>
    <t>OPP-02392</t>
  </si>
  <si>
    <t>OPP-02395</t>
  </si>
  <si>
    <t>OPP-02396</t>
  </si>
  <si>
    <t>OPP-02647</t>
  </si>
  <si>
    <t>OPP-02652</t>
  </si>
  <si>
    <t>OPP-02654</t>
  </si>
  <si>
    <t>OPP-02655</t>
  </si>
  <si>
    <t>OPP-02657</t>
  </si>
  <si>
    <t>OPP-02896</t>
  </si>
  <si>
    <t>OPP-02898</t>
  </si>
  <si>
    <t>OPP-02901</t>
  </si>
  <si>
    <t>OPP-02902</t>
  </si>
  <si>
    <t>OPP-02903</t>
  </si>
  <si>
    <t>OPP-02935</t>
  </si>
  <si>
    <t>OPP-02937</t>
  </si>
  <si>
    <t>OPP-02938</t>
  </si>
  <si>
    <t>OPP-02939</t>
  </si>
  <si>
    <t>OPP-02940</t>
  </si>
  <si>
    <t>OPP-02944</t>
  </si>
  <si>
    <t>OPP-03390</t>
  </si>
  <si>
    <t>OPP-03892</t>
  </si>
  <si>
    <t>OPP-03893</t>
  </si>
  <si>
    <t>OPP-03894</t>
  </si>
  <si>
    <t>OPP-03897</t>
  </si>
  <si>
    <t>OPP-04144</t>
  </si>
  <si>
    <t>OPP-04145</t>
  </si>
  <si>
    <t>OPP-04147</t>
  </si>
  <si>
    <t>OPP-04150</t>
  </si>
  <si>
    <t>OPP-04151</t>
  </si>
  <si>
    <t>OPP-04152</t>
  </si>
  <si>
    <t>OPP-04153</t>
  </si>
  <si>
    <t>OPP-04156</t>
  </si>
  <si>
    <t>OPP-04157</t>
  </si>
  <si>
    <t>OPP-04623</t>
  </si>
  <si>
    <t>OPP-04624</t>
  </si>
  <si>
    <t>OPP-04626</t>
  </si>
  <si>
    <t>OPP-04627</t>
  </si>
  <si>
    <t>OPP-04628</t>
  </si>
  <si>
    <t>OPP-04629</t>
  </si>
  <si>
    <t>OPP-04633</t>
  </si>
  <si>
    <t>OPP-04634</t>
  </si>
  <si>
    <t>OPP-04637</t>
  </si>
  <si>
    <t>OPP-04857</t>
  </si>
  <si>
    <t>OPP-04858</t>
  </si>
  <si>
    <t>OPP-04859</t>
  </si>
  <si>
    <t>OPP-04861</t>
  </si>
  <si>
    <t>OPP-04862</t>
  </si>
  <si>
    <t>OPP-04863</t>
  </si>
  <si>
    <t>OPP-04865</t>
  </si>
  <si>
    <t>OPP-04867</t>
  </si>
  <si>
    <t>OPP-04868</t>
  </si>
  <si>
    <t>OPP-04871</t>
  </si>
  <si>
    <t>OPP-04872</t>
  </si>
  <si>
    <t>OPP-04878</t>
  </si>
  <si>
    <t>OPP-04879</t>
  </si>
  <si>
    <t>OPP-04881</t>
  </si>
  <si>
    <t>OPP-04996</t>
  </si>
  <si>
    <t>OPP-05415</t>
  </si>
  <si>
    <t>OPP-05418</t>
  </si>
  <si>
    <t>OPP-05422</t>
  </si>
  <si>
    <t>OPP-05426</t>
  </si>
  <si>
    <t>OPP-05427</t>
  </si>
  <si>
    <t>OPP-05428</t>
  </si>
  <si>
    <t>OPP-05429</t>
  </si>
  <si>
    <t>OPP-05434</t>
  </si>
  <si>
    <t>OPP-05816</t>
  </si>
  <si>
    <t>OPP-05817</t>
  </si>
  <si>
    <t>OPP-05821</t>
  </si>
  <si>
    <t>OPP-05822</t>
  </si>
  <si>
    <t>OPP-05823</t>
  </si>
  <si>
    <t>OPP-05824</t>
  </si>
  <si>
    <t>OPP-05826</t>
  </si>
  <si>
    <t>OPP-05829</t>
  </si>
  <si>
    <t>OPP-05830</t>
  </si>
  <si>
    <t>OPP-05831</t>
  </si>
  <si>
    <t>OPP-05832</t>
  </si>
  <si>
    <t>OPP-06137</t>
  </si>
  <si>
    <t>OPP-06142</t>
  </si>
  <si>
    <t>OPP-06144</t>
  </si>
  <si>
    <t>OPP-06298</t>
  </si>
  <si>
    <t>OPP-06301</t>
  </si>
  <si>
    <t>OPP-06843</t>
  </si>
  <si>
    <t>OPP-06846</t>
  </si>
  <si>
    <t>OPP-00095</t>
  </si>
  <si>
    <t>OPP-00321</t>
  </si>
  <si>
    <t>OPP-00436</t>
  </si>
  <si>
    <t>OPP-00438</t>
  </si>
  <si>
    <t>OPP-00439</t>
  </si>
  <si>
    <t>OPP-00440</t>
  </si>
  <si>
    <t>OPP-00442</t>
  </si>
  <si>
    <t>OPP-00443</t>
  </si>
  <si>
    <t>OPP-00444</t>
  </si>
  <si>
    <t>OPP-00445</t>
  </si>
  <si>
    <t>OPP-00446</t>
  </si>
  <si>
    <t>OPP-00688</t>
  </si>
  <si>
    <t>OPP-00689</t>
  </si>
  <si>
    <t>OPP-00690</t>
  </si>
  <si>
    <t>OPP-00691</t>
  </si>
  <si>
    <t>OPP-00692</t>
  </si>
  <si>
    <t>OPP-00693</t>
  </si>
  <si>
    <t>OPP-00695</t>
  </si>
  <si>
    <t>OPP-00696</t>
  </si>
  <si>
    <t>OPP-00697</t>
  </si>
  <si>
    <t>OPP-00919</t>
  </si>
  <si>
    <t>OPP-00920</t>
  </si>
  <si>
    <t>OPP-00923</t>
  </si>
  <si>
    <t>OPP-00925</t>
  </si>
  <si>
    <t>OPP-00927</t>
  </si>
  <si>
    <t>OPP-01067</t>
  </si>
  <si>
    <t>OPP-01150</t>
  </si>
  <si>
    <t>OPP-01151</t>
  </si>
  <si>
    <t>OPP-01152</t>
  </si>
  <si>
    <t>OPP-01153</t>
  </si>
  <si>
    <t>OPP-01155</t>
  </si>
  <si>
    <t>OPP-01401</t>
  </si>
  <si>
    <t>OPP-01563</t>
  </si>
  <si>
    <t>OPP-01564</t>
  </si>
  <si>
    <t>OPP-01565</t>
  </si>
  <si>
    <t>OPP-01567</t>
  </si>
  <si>
    <t>OPP-01568</t>
  </si>
  <si>
    <t>OPP-01569</t>
  </si>
  <si>
    <t>OPP-01573</t>
  </si>
  <si>
    <t>OPP-01758</t>
  </si>
  <si>
    <t>OPP-01760</t>
  </si>
  <si>
    <t>OPP-01761</t>
  </si>
  <si>
    <t>OPP-01762</t>
  </si>
  <si>
    <t>OPP-01763</t>
  </si>
  <si>
    <t>OPP-01764</t>
  </si>
  <si>
    <t>OPP-01765</t>
  </si>
  <si>
    <t>OPP-02053</t>
  </si>
  <si>
    <t>OPP-02055</t>
  </si>
  <si>
    <t>OPP-02056</t>
  </si>
  <si>
    <t>OPP-02058</t>
  </si>
  <si>
    <t>OPP-02061</t>
  </si>
  <si>
    <t>OPP-02062</t>
  </si>
  <si>
    <t>OPP-02063</t>
  </si>
  <si>
    <t>OPP-02064</t>
  </si>
  <si>
    <t>OPP-02066</t>
  </si>
  <si>
    <t>OPP-02069</t>
  </si>
  <si>
    <t>OPP-02070</t>
  </si>
  <si>
    <t>OPP-02071</t>
  </si>
  <si>
    <t>OPP-02267</t>
  </si>
  <si>
    <t>OPP-02270</t>
  </si>
  <si>
    <t>OPP-02271</t>
  </si>
  <si>
    <t>OPP-02272</t>
  </si>
  <si>
    <t>OPP-02535</t>
  </si>
  <si>
    <t>OPP-02536</t>
  </si>
  <si>
    <t>OPP-02537</t>
  </si>
  <si>
    <t>OPP-02541</t>
  </si>
  <si>
    <t>OPP-02542</t>
  </si>
  <si>
    <t>OPP-02765</t>
  </si>
  <si>
    <t>OPP-02766</t>
  </si>
  <si>
    <t>OPP-02767</t>
  </si>
  <si>
    <t>OPP-02768</t>
  </si>
  <si>
    <t>OPP-02770</t>
  </si>
  <si>
    <t>OPP-02774</t>
  </si>
  <si>
    <t>OPP-02775</t>
  </si>
  <si>
    <t>OPP-03030</t>
  </si>
  <si>
    <t>OPP-03031</t>
  </si>
  <si>
    <t>OPP-03223</t>
  </si>
  <si>
    <t>OPP-03224</t>
  </si>
  <si>
    <t>OPP-03225</t>
  </si>
  <si>
    <t>OPP-03227</t>
  </si>
  <si>
    <t>OPP-03228</t>
  </si>
  <si>
    <t>OPP-03233</t>
  </si>
  <si>
    <t>OPP-03236</t>
  </si>
  <si>
    <t>OPP-03238</t>
  </si>
  <si>
    <t>OPP-03458</t>
  </si>
  <si>
    <t>OPP-03459</t>
  </si>
  <si>
    <t>OPP-03460</t>
  </si>
  <si>
    <t>OPP-03461</t>
  </si>
  <si>
    <t>OPP-03462</t>
  </si>
  <si>
    <t>OPP-03464</t>
  </si>
  <si>
    <t>OPP-03764</t>
  </si>
  <si>
    <t>OPP-03767</t>
  </si>
  <si>
    <t>OPP-03769</t>
  </si>
  <si>
    <t>OPP-03770</t>
  </si>
  <si>
    <t>OPP-03771</t>
  </si>
  <si>
    <t>OPP-03772</t>
  </si>
  <si>
    <t>OPP-04004</t>
  </si>
  <si>
    <t>OPP-04005</t>
  </si>
  <si>
    <t>OPP-04007</t>
  </si>
  <si>
    <t>OPP-04009</t>
  </si>
  <si>
    <t>OPP-04011</t>
  </si>
  <si>
    <t>OPP-04012</t>
  </si>
  <si>
    <t>OPP-04014</t>
  </si>
  <si>
    <t>OPP-04016</t>
  </si>
  <si>
    <t>OPP-04017</t>
  </si>
  <si>
    <t>OPP-04018</t>
  </si>
  <si>
    <t>OPP-04329</t>
  </si>
  <si>
    <t>OPP-04502</t>
  </si>
  <si>
    <t>OPP-04503</t>
  </si>
  <si>
    <t>OPP-04504</t>
  </si>
  <si>
    <t>OPP-04505</t>
  </si>
  <si>
    <t>OPP-04508</t>
  </si>
  <si>
    <t>OPP-04742</t>
  </si>
  <si>
    <t>OPP-04746</t>
  </si>
  <si>
    <t>OPP-04747</t>
  </si>
  <si>
    <t>OPP-04748</t>
  </si>
  <si>
    <t>OPP-04749</t>
  </si>
  <si>
    <t>OPP-04750</t>
  </si>
  <si>
    <t>OPP-04944</t>
  </si>
  <si>
    <t>OPP-04948</t>
  </si>
  <si>
    <t>OPP-04949</t>
  </si>
  <si>
    <t>OPP-05067</t>
  </si>
  <si>
    <t>OPP-05068</t>
  </si>
  <si>
    <t>OPP-05069</t>
  </si>
  <si>
    <t>OPP-05071</t>
  </si>
  <si>
    <t>OPP-05072</t>
  </si>
  <si>
    <t>OPP-05283</t>
  </si>
  <si>
    <t>OPP-05285</t>
  </si>
  <si>
    <t>OPP-05286</t>
  </si>
  <si>
    <t>OPP-05287</t>
  </si>
  <si>
    <t>OPP-05508</t>
  </si>
  <si>
    <t>OPP-05509</t>
  </si>
  <si>
    <t>OPP-05693</t>
  </si>
  <si>
    <t>OPP-05696</t>
  </si>
  <si>
    <t>OPP-05697</t>
  </si>
  <si>
    <t>OPP-05699</t>
  </si>
  <si>
    <t>OPP-05700</t>
  </si>
  <si>
    <t>OPP-05701</t>
  </si>
  <si>
    <t>OPP-05702</t>
  </si>
  <si>
    <t>OPP-05863</t>
  </si>
  <si>
    <t>OPP-06010</t>
  </si>
  <si>
    <t>OPP-06012</t>
  </si>
  <si>
    <t>OPP-06013</t>
  </si>
  <si>
    <t>OPP-06016</t>
  </si>
  <si>
    <t>OPP-06018</t>
  </si>
  <si>
    <t>OPP-06020</t>
  </si>
  <si>
    <t>OPP-06213</t>
  </si>
  <si>
    <t>OPP-06214</t>
  </si>
  <si>
    <t>OPP-06215</t>
  </si>
  <si>
    <t>OPP-06216</t>
  </si>
  <si>
    <t>OPP-06217</t>
  </si>
  <si>
    <t>OPP-06220</t>
  </si>
  <si>
    <t>OPP-06221</t>
  </si>
  <si>
    <t>OPP-06372</t>
  </si>
  <si>
    <t>OPP-06373</t>
  </si>
  <si>
    <t>OPP-06374</t>
  </si>
  <si>
    <t>OPP-06375</t>
  </si>
  <si>
    <t>OPP-06376</t>
  </si>
  <si>
    <t>OPP-06377</t>
  </si>
  <si>
    <t>OPP-06378</t>
  </si>
  <si>
    <t>OPP-06380</t>
  </si>
  <si>
    <t>OPP-06381</t>
  </si>
  <si>
    <t>OPP-06486</t>
  </si>
  <si>
    <t>OPP-06487</t>
  </si>
  <si>
    <t>OPP-06490</t>
  </si>
  <si>
    <t>OPP-06491</t>
  </si>
  <si>
    <t>OPP-06692</t>
  </si>
  <si>
    <t>OPP-06695</t>
  </si>
  <si>
    <t>OPP-06696</t>
  </si>
  <si>
    <t>OPP-06698</t>
  </si>
  <si>
    <t>OPP-06700</t>
  </si>
  <si>
    <t>OPP-06701</t>
  </si>
  <si>
    <t>OPP-06702</t>
  </si>
  <si>
    <t>OPP-06703</t>
  </si>
  <si>
    <t>OPP-06705</t>
  </si>
  <si>
    <t>OPP-06706</t>
  </si>
  <si>
    <t>OPP-06707</t>
  </si>
  <si>
    <t>OPP-01066</t>
  </si>
  <si>
    <t>OPP-01068</t>
  </si>
  <si>
    <t>OPP-01405</t>
  </si>
  <si>
    <t>OPP-04196</t>
  </si>
  <si>
    <t>OPP-04197</t>
  </si>
  <si>
    <t>OPP-05864</t>
  </si>
  <si>
    <t>OPP-00320</t>
  </si>
  <si>
    <t>OPP-00322</t>
  </si>
  <si>
    <t>OPP-00918</t>
  </si>
  <si>
    <t>OPP-00922</t>
  </si>
  <si>
    <t>OPP-00924</t>
  </si>
  <si>
    <t>OPP-00926</t>
  </si>
  <si>
    <t>OPP-01065</t>
  </si>
  <si>
    <t>OPP-01069</t>
  </si>
  <si>
    <t>OPP-01326</t>
  </si>
  <si>
    <t>OPP-01327</t>
  </si>
  <si>
    <t>OPP-01329</t>
  </si>
  <si>
    <t>OPP-01398</t>
  </si>
  <si>
    <t>OPP-01399</t>
  </si>
  <si>
    <t>OPP-01400</t>
  </si>
  <si>
    <t>OPP-01402</t>
  </si>
  <si>
    <t>OPP-01403</t>
  </si>
  <si>
    <t>OPP-01404</t>
  </si>
  <si>
    <t>OPP-03029</t>
  </si>
  <si>
    <t>OPP-03457</t>
  </si>
  <si>
    <t>OPP-03463</t>
  </si>
  <si>
    <t>OPP-04195</t>
  </si>
  <si>
    <t>OPP-04198</t>
  </si>
  <si>
    <t>OPP-04327</t>
  </si>
  <si>
    <t>OPP-04328</t>
  </si>
  <si>
    <t>OPP-04945</t>
  </si>
  <si>
    <t>OPP-04950</t>
  </si>
  <si>
    <t>OPP-05066</t>
  </si>
  <si>
    <t>OPP-05070</t>
  </si>
  <si>
    <t>OPP-05865</t>
  </si>
  <si>
    <t>OPP-06219</t>
  </si>
  <si>
    <t>OPP-06369</t>
  </si>
  <si>
    <t>OPP-06370</t>
  </si>
  <si>
    <t>OPP-06371</t>
  </si>
  <si>
    <t>OPP-06379</t>
  </si>
  <si>
    <t>OPP-06485</t>
  </si>
  <si>
    <t>OPP-06488</t>
  </si>
  <si>
    <t>OPP-06489</t>
  </si>
  <si>
    <t>OPP-01325</t>
  </si>
  <si>
    <t>OPP-01328</t>
  </si>
  <si>
    <t>OPP-04240</t>
  </si>
  <si>
    <t>OPP-04241</t>
  </si>
  <si>
    <t>OPP-04242</t>
  </si>
  <si>
    <t>OPP-00096</t>
  </si>
  <si>
    <t>OPP-00097</t>
  </si>
  <si>
    <t>OPP-00098</t>
  </si>
  <si>
    <t>OPP-00435</t>
  </si>
  <si>
    <t>OPP-00437</t>
  </si>
  <si>
    <t>OPP-00441</t>
  </si>
  <si>
    <t>OPP-00694</t>
  </si>
  <si>
    <t>OPP-00698</t>
  </si>
  <si>
    <t>OPP-00921</t>
  </si>
  <si>
    <t>OPP-01149</t>
  </si>
  <si>
    <t>OPP-01154</t>
  </si>
  <si>
    <t>OPP-01156</t>
  </si>
  <si>
    <t>OPP-01566</t>
  </si>
  <si>
    <t>OPP-01570</t>
  </si>
  <si>
    <t>OPP-01571</t>
  </si>
  <si>
    <t>OPP-01572</t>
  </si>
  <si>
    <t>OPP-01759</t>
  </si>
  <si>
    <t>OPP-02052</t>
  </si>
  <si>
    <t>OPP-02054</t>
  </si>
  <si>
    <t>OPP-02057</t>
  </si>
  <si>
    <t>OPP-02059</t>
  </si>
  <si>
    <t>OPP-02060</t>
  </si>
  <si>
    <t>OPP-02065</t>
  </si>
  <si>
    <t>OPP-02067</t>
  </si>
  <si>
    <t>OPP-02068</t>
  </si>
  <si>
    <t>OPP-02268</t>
  </si>
  <si>
    <t>OPP-02269</t>
  </si>
  <si>
    <t>OPP-02273</t>
  </si>
  <si>
    <t>OPP-02274</t>
  </si>
  <si>
    <t>OPP-02533</t>
  </si>
  <si>
    <t>OPP-02534</t>
  </si>
  <si>
    <t>OPP-02538</t>
  </si>
  <si>
    <t>OPP-02539</t>
  </si>
  <si>
    <t>OPP-02540</t>
  </si>
  <si>
    <t>OPP-02543</t>
  </si>
  <si>
    <t>OPP-02544</t>
  </si>
  <si>
    <t>OPP-02769</t>
  </si>
  <si>
    <t>OPP-02771</t>
  </si>
  <si>
    <t>OPP-02772</t>
  </si>
  <si>
    <t>OPP-02773</t>
  </si>
  <si>
    <t>OPP-03226</t>
  </si>
  <si>
    <t>OPP-03229</t>
  </si>
  <si>
    <t>OPP-03230</t>
  </si>
  <si>
    <t>OPP-03231</t>
  </si>
  <si>
    <t>OPP-03232</t>
  </si>
  <si>
    <t>OPP-03234</t>
  </si>
  <si>
    <t>OPP-03235</t>
  </si>
  <si>
    <t>OPP-03237</t>
  </si>
  <si>
    <t>OPP-03239</t>
  </si>
  <si>
    <t>OPP-03765</t>
  </si>
  <si>
    <t>OPP-03766</t>
  </si>
  <si>
    <t>OPP-03768</t>
  </si>
  <si>
    <t>OPP-03773</t>
  </si>
  <si>
    <t>OPP-04003</t>
  </si>
  <si>
    <t>OPP-04006</t>
  </si>
  <si>
    <t>OPP-04008</t>
  </si>
  <si>
    <t>OPP-04010</t>
  </si>
  <si>
    <t>OPP-04013</t>
  </si>
  <si>
    <t>OPP-04015</t>
  </si>
  <si>
    <t>OPP-04019</t>
  </si>
  <si>
    <t>OPP-04020</t>
  </si>
  <si>
    <t>OPP-04501</t>
  </si>
  <si>
    <t>OPP-04506</t>
  </si>
  <si>
    <t>OPP-04507</t>
  </si>
  <si>
    <t>OPP-04509</t>
  </si>
  <si>
    <t>OPP-04743</t>
  </si>
  <si>
    <t>OPP-04744</t>
  </si>
  <si>
    <t>OPP-04745</t>
  </si>
  <si>
    <t>OPP-04946</t>
  </si>
  <si>
    <t>OPP-04947</t>
  </si>
  <si>
    <t>OPP-05279</t>
  </si>
  <si>
    <t>OPP-05280</t>
  </si>
  <si>
    <t>OPP-05281</t>
  </si>
  <si>
    <t>OPP-05282</t>
  </si>
  <si>
    <t>OPP-05284</t>
  </si>
  <si>
    <t>OPP-05507</t>
  </si>
  <si>
    <t>OPP-05694</t>
  </si>
  <si>
    <t>OPP-05695</t>
  </si>
  <si>
    <t>OPP-05698</t>
  </si>
  <si>
    <t>OPP-05703</t>
  </si>
  <si>
    <t>OPP-05704</t>
  </si>
  <si>
    <t>OPP-06011</t>
  </si>
  <si>
    <t>OPP-06014</t>
  </si>
  <si>
    <t>OPP-06015</t>
  </si>
  <si>
    <t>OPP-06017</t>
  </si>
  <si>
    <t>OPP-06019</t>
  </si>
  <si>
    <t>OPP-06021</t>
  </si>
  <si>
    <t>OPP-06022</t>
  </si>
  <si>
    <t>OPP-06218</t>
  </si>
  <si>
    <t>OPP-06693</t>
  </si>
  <si>
    <t>OPP-06694</t>
  </si>
  <si>
    <t>OPP-06697</t>
  </si>
  <si>
    <t>OPP-06699</t>
  </si>
  <si>
    <t>OPP-06704</t>
  </si>
  <si>
    <t>OPP-06708</t>
  </si>
  <si>
    <t>OPP-00244</t>
  </si>
  <si>
    <t>OPP-00246</t>
  </si>
  <si>
    <t>OPP-01098</t>
  </si>
  <si>
    <t>OPP-01099</t>
  </si>
  <si>
    <t>OPP-01346</t>
  </si>
  <si>
    <t>OPP-01435</t>
  </si>
  <si>
    <t>OPP-03067</t>
  </si>
  <si>
    <t>OPP-04211</t>
  </si>
  <si>
    <t>OPP-04255</t>
  </si>
  <si>
    <t>OPP-05880</t>
  </si>
  <si>
    <t>OPP-05881</t>
  </si>
  <si>
    <t>OPP-00243</t>
  </si>
  <si>
    <t>OPP-00245</t>
  </si>
  <si>
    <t>OPP-00956</t>
  </si>
  <si>
    <t>OPP-00958</t>
  </si>
  <si>
    <t>OPP-00959</t>
  </si>
  <si>
    <t>OPP-00960</t>
  </si>
  <si>
    <t>OPP-01095</t>
  </si>
  <si>
    <t>OPP-01096</t>
  </si>
  <si>
    <t>OPP-01097</t>
  </si>
  <si>
    <t>OPP-01345</t>
  </si>
  <si>
    <t>OPP-03062</t>
  </si>
  <si>
    <t>OPP-03063</t>
  </si>
  <si>
    <t>OPP-03064</t>
  </si>
  <si>
    <t>OPP-03065</t>
  </si>
  <si>
    <t>OPP-04210</t>
  </si>
  <si>
    <t>OPP-04345</t>
  </si>
  <si>
    <t>OPP-04347</t>
  </si>
  <si>
    <t>OPP-04348</t>
  </si>
  <si>
    <t>OPP-04349</t>
  </si>
  <si>
    <t>OPP-04974</t>
  </si>
  <si>
    <t>OPP-04976</t>
  </si>
  <si>
    <t>OPP-04977</t>
  </si>
  <si>
    <t>OPP-05118</t>
  </si>
  <si>
    <t>OPP-05538</t>
  </si>
  <si>
    <t>OPP-05882</t>
  </si>
  <si>
    <t>OPP-06267</t>
  </si>
  <si>
    <t>OPP-06417</t>
  </si>
  <si>
    <t>OPP-06527</t>
  </si>
  <si>
    <t>OPP-06529</t>
  </si>
  <si>
    <t>OPP-00137</t>
  </si>
  <si>
    <t>OPP-00139</t>
  </si>
  <si>
    <t>OPP-00140</t>
  </si>
  <si>
    <t>OPP-00141</t>
  </si>
  <si>
    <t>OPP-00142</t>
  </si>
  <si>
    <t>OPP-00143</t>
  </si>
  <si>
    <t>OPP-00144</t>
  </si>
  <si>
    <t>OPP-00147</t>
  </si>
  <si>
    <t>OPP-00148</t>
  </si>
  <si>
    <t>OPP-00150</t>
  </si>
  <si>
    <t>OPP-00151</t>
  </si>
  <si>
    <t>OPP-00153</t>
  </si>
  <si>
    <t>OPP-00361</t>
  </si>
  <si>
    <t>OPP-00362</t>
  </si>
  <si>
    <t>OPP-00363</t>
  </si>
  <si>
    <t>OPP-00364</t>
  </si>
  <si>
    <t>OPP-00365</t>
  </si>
  <si>
    <t>OPP-00492</t>
  </si>
  <si>
    <t>OPP-00493</t>
  </si>
  <si>
    <t>OPP-00495</t>
  </si>
  <si>
    <t>OPP-00496</t>
  </si>
  <si>
    <t>OPP-00497</t>
  </si>
  <si>
    <t>OPP-00758</t>
  </si>
  <si>
    <t>OPP-00760</t>
  </si>
  <si>
    <t>OPP-00761</t>
  </si>
  <si>
    <t>OPP-00762</t>
  </si>
  <si>
    <t>OPP-00765</t>
  </si>
  <si>
    <t>OPP-00957</t>
  </si>
  <si>
    <t>OPP-00995</t>
  </si>
  <si>
    <t>OPP-00996</t>
  </si>
  <si>
    <t>OPP-01203</t>
  </si>
  <si>
    <t>OPP-01204</t>
  </si>
  <si>
    <t>OPP-01205</t>
  </si>
  <si>
    <t>OPP-01207</t>
  </si>
  <si>
    <t>OPP-01208</t>
  </si>
  <si>
    <t>OPP-01209</t>
  </si>
  <si>
    <t>OPP-01210</t>
  </si>
  <si>
    <t>OPP-01212</t>
  </si>
  <si>
    <t>OPP-01213</t>
  </si>
  <si>
    <t>OPP-01214</t>
  </si>
  <si>
    <t>OPP-01215</t>
  </si>
  <si>
    <t>OPP-01434</t>
  </si>
  <si>
    <t>OPP-01630</t>
  </si>
  <si>
    <t>OPP-01631</t>
  </si>
  <si>
    <t>OPP-01632</t>
  </si>
  <si>
    <t>OPP-01633</t>
  </si>
  <si>
    <t>OPP-01636</t>
  </si>
  <si>
    <t>OPP-01637</t>
  </si>
  <si>
    <t>OPP-01823</t>
  </si>
  <si>
    <t>OPP-01824</t>
  </si>
  <si>
    <t>OPP-01825</t>
  </si>
  <si>
    <t>OPP-01827</t>
  </si>
  <si>
    <t>OPP-01828</t>
  </si>
  <si>
    <t>OPP-01829</t>
  </si>
  <si>
    <t>OPP-01830</t>
  </si>
  <si>
    <t>OPP-01831</t>
  </si>
  <si>
    <t>OPP-01834</t>
  </si>
  <si>
    <t>OPP-01903</t>
  </si>
  <si>
    <t>OPP-01906</t>
  </si>
  <si>
    <t>OPP-02142</t>
  </si>
  <si>
    <t>OPP-02144</t>
  </si>
  <si>
    <t>OPP-02145</t>
  </si>
  <si>
    <t>OPP-02146</t>
  </si>
  <si>
    <t>OPP-02148</t>
  </si>
  <si>
    <t>OPP-02327</t>
  </si>
  <si>
    <t>OPP-02331</t>
  </si>
  <si>
    <t>OPP-02416</t>
  </si>
  <si>
    <t>OPP-02586</t>
  </si>
  <si>
    <t>OPP-02587</t>
  </si>
  <si>
    <t>OPP-02589</t>
  </si>
  <si>
    <t>OPP-02590</t>
  </si>
  <si>
    <t>OPP-02592</t>
  </si>
  <si>
    <t>OPP-02594</t>
  </si>
  <si>
    <t>OPP-02595</t>
  </si>
  <si>
    <t>OPP-02596</t>
  </si>
  <si>
    <t>OPP-02597</t>
  </si>
  <si>
    <t>OPP-02836</t>
  </si>
  <si>
    <t>OPP-02837</t>
  </si>
  <si>
    <t>OPP-02838</t>
  </si>
  <si>
    <t>OPP-02840</t>
  </si>
  <si>
    <t>OPP-02842</t>
  </si>
  <si>
    <t>OPP-03066</t>
  </si>
  <si>
    <t>OPP-03068</t>
  </si>
  <si>
    <t>OPP-03280</t>
  </si>
  <si>
    <t>OPP-03281</t>
  </si>
  <si>
    <t>OPP-03284</t>
  </si>
  <si>
    <t>OPP-03286</t>
  </si>
  <si>
    <t>OPP-03344</t>
  </si>
  <si>
    <t>OPP-03345</t>
  </si>
  <si>
    <t>OPP-03347</t>
  </si>
  <si>
    <t>OPP-03348</t>
  </si>
  <si>
    <t>OPP-03349</t>
  </si>
  <si>
    <t>OPP-03499</t>
  </si>
  <si>
    <t>OPP-03500</t>
  </si>
  <si>
    <t>OPP-03574</t>
  </si>
  <si>
    <t>OPP-03577</t>
  </si>
  <si>
    <t>OPP-03578</t>
  </si>
  <si>
    <t>OPP-03824</t>
  </si>
  <si>
    <t>OPP-03825</t>
  </si>
  <si>
    <t>OPP-03826</t>
  </si>
  <si>
    <t>OPP-03829</t>
  </si>
  <si>
    <t>OPP-03830</t>
  </si>
  <si>
    <t>OPP-04069</t>
  </si>
  <si>
    <t>OPP-04070</t>
  </si>
  <si>
    <t>OPP-04072</t>
  </si>
  <si>
    <t>OPP-04074</t>
  </si>
  <si>
    <t>OPP-04075</t>
  </si>
  <si>
    <t>OPP-04077</t>
  </si>
  <si>
    <t>OPP-04079</t>
  </si>
  <si>
    <t>OPP-04080</t>
  </si>
  <si>
    <t>OPP-04256</t>
  </si>
  <si>
    <t>OPP-04566</t>
  </si>
  <si>
    <t>OPP-04567</t>
  </si>
  <si>
    <t>OPP-04568</t>
  </si>
  <si>
    <t>OPP-04569</t>
  </si>
  <si>
    <t>OPP-04570</t>
  </si>
  <si>
    <t>OPP-04571</t>
  </si>
  <si>
    <t>OPP-04572</t>
  </si>
  <si>
    <t>OPP-04789</t>
  </si>
  <si>
    <t>OPP-04791</t>
  </si>
  <si>
    <t>OPP-04792</t>
  </si>
  <si>
    <t>OPP-04795</t>
  </si>
  <si>
    <t>OPP-04796</t>
  </si>
  <si>
    <t>OPP-04975</t>
  </si>
  <si>
    <t>OPP-05116</t>
  </si>
  <si>
    <t>OPP-05117</t>
  </si>
  <si>
    <t>OPP-05346</t>
  </si>
  <si>
    <t>OPP-05348</t>
  </si>
  <si>
    <t>OPP-05349</t>
  </si>
  <si>
    <t>OPP-05350</t>
  </si>
  <si>
    <t>OPP-05351</t>
  </si>
  <si>
    <t>OPP-05352</t>
  </si>
  <si>
    <t>OPP-05353</t>
  </si>
  <si>
    <t>OPP-05354</t>
  </si>
  <si>
    <t>OPP-05355</t>
  </si>
  <si>
    <t>OPP-05356</t>
  </si>
  <si>
    <t>OPP-05358</t>
  </si>
  <si>
    <t>OPP-05359</t>
  </si>
  <si>
    <t>OPP-05363</t>
  </si>
  <si>
    <t>OPP-05534</t>
  </si>
  <si>
    <t>OPP-05536</t>
  </si>
  <si>
    <t>OPP-05537</t>
  </si>
  <si>
    <t>OPP-05539</t>
  </si>
  <si>
    <t>OPP-05540</t>
  </si>
  <si>
    <t>OPP-05541</t>
  </si>
  <si>
    <t>OPP-05759</t>
  </si>
  <si>
    <t>OPP-05763</t>
  </si>
  <si>
    <t>OPP-05764</t>
  </si>
  <si>
    <t>OPP-05765</t>
  </si>
  <si>
    <t>OPP-05766</t>
  </si>
  <si>
    <t>OPP-05767</t>
  </si>
  <si>
    <t>OPP-05768</t>
  </si>
  <si>
    <t>OPP-06072</t>
  </si>
  <si>
    <t>OPP-06073</t>
  </si>
  <si>
    <t>OPP-06075</t>
  </si>
  <si>
    <t>OPP-06076</t>
  </si>
  <si>
    <t>OPP-06262</t>
  </si>
  <si>
    <t>OPP-06263</t>
  </si>
  <si>
    <t>OPP-06264</t>
  </si>
  <si>
    <t>OPP-06265</t>
  </si>
  <si>
    <t>OPP-06266</t>
  </si>
  <si>
    <t>OPP-06416</t>
  </si>
  <si>
    <t>OPP-06526</t>
  </si>
  <si>
    <t>OPP-06528</t>
  </si>
  <si>
    <t>OPP-06779</t>
  </si>
  <si>
    <t>OPP-06780</t>
  </si>
  <si>
    <t>OPP-06781</t>
  </si>
  <si>
    <t>OPP-06782</t>
  </si>
  <si>
    <t>OPP-06783</t>
  </si>
  <si>
    <t>OPP-06784</t>
  </si>
  <si>
    <t>OPP-06787</t>
  </si>
  <si>
    <t>OPP-00138</t>
  </si>
  <si>
    <t>OPP-00145</t>
  </si>
  <si>
    <t>OPP-00146</t>
  </si>
  <si>
    <t>OPP-00149</t>
  </si>
  <si>
    <t>OPP-00152</t>
  </si>
  <si>
    <t>OPP-00154</t>
  </si>
  <si>
    <t>OPP-00155</t>
  </si>
  <si>
    <t>OPP-00156</t>
  </si>
  <si>
    <t>OPP-00494</t>
  </si>
  <si>
    <t>OPP-00756</t>
  </si>
  <si>
    <t>OPP-00757</t>
  </si>
  <si>
    <t>OPP-00759</t>
  </si>
  <si>
    <t>OPP-00763</t>
  </si>
  <si>
    <t>OPP-00764</t>
  </si>
  <si>
    <t>OPP-00766</t>
  </si>
  <si>
    <t>OPP-00767</t>
  </si>
  <si>
    <t>OPP-00994</t>
  </si>
  <si>
    <t>OPP-01206</t>
  </si>
  <si>
    <t>OPP-01211</t>
  </si>
  <si>
    <t>OPP-01216</t>
  </si>
  <si>
    <t>OPP-01634</t>
  </si>
  <si>
    <t>OPP-01635</t>
  </si>
  <si>
    <t>OPP-01826</t>
  </si>
  <si>
    <t>OPP-01832</t>
  </si>
  <si>
    <t>OPP-01833</t>
  </si>
  <si>
    <t>OPP-01904</t>
  </si>
  <si>
    <t>OPP-01905</t>
  </si>
  <si>
    <t>OPP-02136</t>
  </si>
  <si>
    <t>OPP-02137</t>
  </si>
  <si>
    <t>OPP-02138</t>
  </si>
  <si>
    <t>OPP-02139</t>
  </si>
  <si>
    <t>OPP-02140</t>
  </si>
  <si>
    <t>OPP-02141</t>
  </si>
  <si>
    <t>OPP-02143</t>
  </si>
  <si>
    <t>OPP-02147</t>
  </si>
  <si>
    <t>OPP-02328</t>
  </si>
  <si>
    <t>OPP-02329</t>
  </si>
  <si>
    <t>OPP-02330</t>
  </si>
  <si>
    <t>OPP-02332</t>
  </si>
  <si>
    <t>OPP-02588</t>
  </si>
  <si>
    <t>OPP-02591</t>
  </si>
  <si>
    <t>OPP-02593</t>
  </si>
  <si>
    <t>OPP-02835</t>
  </si>
  <si>
    <t>OPP-02839</t>
  </si>
  <si>
    <t>OPP-02841</t>
  </si>
  <si>
    <t>OPP-03282</t>
  </si>
  <si>
    <t>OPP-03283</t>
  </si>
  <si>
    <t>OPP-03285</t>
  </si>
  <si>
    <t>OPP-03287</t>
  </si>
  <si>
    <t>OPP-03288</t>
  </si>
  <si>
    <t>OPP-03289</t>
  </si>
  <si>
    <t>OPP-03290</t>
  </si>
  <si>
    <t>OPP-03343</t>
  </si>
  <si>
    <t>OPP-03346</t>
  </si>
  <si>
    <t>OPP-03498</t>
  </si>
  <si>
    <t>OPP-03575</t>
  </si>
  <si>
    <t>OPP-03576</t>
  </si>
  <si>
    <t>OPP-03579</t>
  </si>
  <si>
    <t>OPP-03580</t>
  </si>
  <si>
    <t>OPP-03827</t>
  </si>
  <si>
    <t>OPP-03828</t>
  </si>
  <si>
    <t>OPP-04067</t>
  </si>
  <si>
    <t>OPP-04068</t>
  </si>
  <si>
    <t>OPP-04071</t>
  </si>
  <si>
    <t>OPP-04073</t>
  </si>
  <si>
    <t>OPP-04076</t>
  </si>
  <si>
    <t>OPP-04078</t>
  </si>
  <si>
    <t>OPP-04346</t>
  </si>
  <si>
    <t>OPP-04565</t>
  </si>
  <si>
    <t>OPP-04573</t>
  </si>
  <si>
    <t>OPP-04574</t>
  </si>
  <si>
    <t>OPP-04790</t>
  </si>
  <si>
    <t>OPP-04793</t>
  </si>
  <si>
    <t>OPP-04794</t>
  </si>
  <si>
    <t>OPP-04797</t>
  </si>
  <si>
    <t>OPP-04798</t>
  </si>
  <si>
    <t>OPP-05347</t>
  </si>
  <si>
    <t>OPP-05357</t>
  </si>
  <si>
    <t>OPP-05360</t>
  </si>
  <si>
    <t>OPP-05361</t>
  </si>
  <si>
    <t>OPP-05362</t>
  </si>
  <si>
    <t>OPP-05535</t>
  </si>
  <si>
    <t>OPP-05760</t>
  </si>
  <si>
    <t>OPP-05761</t>
  </si>
  <si>
    <t>OPP-05762</t>
  </si>
  <si>
    <t>OPP-06071</t>
  </si>
  <si>
    <t>OPP-06074</t>
  </si>
  <si>
    <t>OPP-06077</t>
  </si>
  <si>
    <t>OPP-06415</t>
  </si>
  <si>
    <t>OPP-06785</t>
  </si>
  <si>
    <t>OPP-06786</t>
  </si>
  <si>
    <t>OPP-01344</t>
  </si>
  <si>
    <t>OPP-00892</t>
  </si>
  <si>
    <t>OPP-01045</t>
  </si>
  <si>
    <t>OPP-01310</t>
  </si>
  <si>
    <t>OPP-01311</t>
  </si>
  <si>
    <t>OPP-04182</t>
  </si>
  <si>
    <t>OPP-04300</t>
  </si>
  <si>
    <t>OPP-04301</t>
  </si>
  <si>
    <t>OPP-04302</t>
  </si>
  <si>
    <t>OPP-00292</t>
  </si>
  <si>
    <t>OPP-00895</t>
  </si>
  <si>
    <t>OPP-01042</t>
  </si>
  <si>
    <t>OPP-01043</t>
  </si>
  <si>
    <t>OPP-01044</t>
  </si>
  <si>
    <t>OPP-03006</t>
  </si>
  <si>
    <t>OPP-03007</t>
  </si>
  <si>
    <t>OPP-03008</t>
  </si>
  <si>
    <t>OPP-03009</t>
  </si>
  <si>
    <t>OPP-03425</t>
  </si>
  <si>
    <t>OPP-04912</t>
  </si>
  <si>
    <t>OPP-04913</t>
  </si>
  <si>
    <t>OPP-04916</t>
  </si>
  <si>
    <t>OPP-04917</t>
  </si>
  <si>
    <t>OPP-04918</t>
  </si>
  <si>
    <t>OPP-06341</t>
  </si>
  <si>
    <t>OPP-06469</t>
  </si>
  <si>
    <t>OPP-06470</t>
  </si>
  <si>
    <t>OPP-00034</t>
  </si>
  <si>
    <t>OPP-00035</t>
  </si>
  <si>
    <t>OPP-00039</t>
  </si>
  <si>
    <t>OPP-00041</t>
  </si>
  <si>
    <t>OPP-00042</t>
  </si>
  <si>
    <t>OPP-00044</t>
  </si>
  <si>
    <t>OPP-00045</t>
  </si>
  <si>
    <t>OPP-00293</t>
  </si>
  <si>
    <t>OPP-00616</t>
  </si>
  <si>
    <t>OPP-00618</t>
  </si>
  <si>
    <t>OPP-00619</t>
  </si>
  <si>
    <t>OPP-00620</t>
  </si>
  <si>
    <t>OPP-00621</t>
  </si>
  <si>
    <t>OPP-00623</t>
  </si>
  <si>
    <t>OPP-00625</t>
  </si>
  <si>
    <t>OPP-00626</t>
  </si>
  <si>
    <t>OPP-00628</t>
  </si>
  <si>
    <t>OPP-00893</t>
  </si>
  <si>
    <t>OPP-00896</t>
  </si>
  <si>
    <t>OPP-01041</t>
  </si>
  <si>
    <t>OPP-01499</t>
  </si>
  <si>
    <t>OPP-01501</t>
  </si>
  <si>
    <t>OPP-01502</t>
  </si>
  <si>
    <t>OPP-01503</t>
  </si>
  <si>
    <t>OPP-01504</t>
  </si>
  <si>
    <t>OPP-01505</t>
  </si>
  <si>
    <t>OPP-01507</t>
  </si>
  <si>
    <t>OPP-01508</t>
  </si>
  <si>
    <t>OPP-01510</t>
  </si>
  <si>
    <t>OPP-01511</t>
  </si>
  <si>
    <t>OPP-01717</t>
  </si>
  <si>
    <t>OPP-02002</t>
  </si>
  <si>
    <t>OPP-02003</t>
  </si>
  <si>
    <t>OPP-02004</t>
  </si>
  <si>
    <t>OPP-02008</t>
  </si>
  <si>
    <t>OPP-02010</t>
  </si>
  <si>
    <t>OPP-02479</t>
  </si>
  <si>
    <t>OPP-02482</t>
  </si>
  <si>
    <t>OPP-02483</t>
  </si>
  <si>
    <t>OPP-02722</t>
  </si>
  <si>
    <t>OPP-02723</t>
  </si>
  <si>
    <t>OPP-02724</t>
  </si>
  <si>
    <t>OPP-02725</t>
  </si>
  <si>
    <t>OPP-03150</t>
  </si>
  <si>
    <t>OPP-03152</t>
  </si>
  <si>
    <t>OPP-03154</t>
  </si>
  <si>
    <t>OPP-03156</t>
  </si>
  <si>
    <t>OPP-03158</t>
  </si>
  <si>
    <t>OPP-03424</t>
  </si>
  <si>
    <t>OPP-03426</t>
  </si>
  <si>
    <t>OPP-03689</t>
  </si>
  <si>
    <t>OPP-03690</t>
  </si>
  <si>
    <t>OPP-03691</t>
  </si>
  <si>
    <t>OPP-03692</t>
  </si>
  <si>
    <t>OPP-03694</t>
  </si>
  <si>
    <t>OPP-03697</t>
  </si>
  <si>
    <t>OPP-03699</t>
  </si>
  <si>
    <t>OPP-03701</t>
  </si>
  <si>
    <t>OPP-03702</t>
  </si>
  <si>
    <t>OPP-03703</t>
  </si>
  <si>
    <t>OPP-03954</t>
  </si>
  <si>
    <t>OPP-03956</t>
  </si>
  <si>
    <t>OPP-03957</t>
  </si>
  <si>
    <t>OPP-03959</t>
  </si>
  <si>
    <t>OPP-03964</t>
  </si>
  <si>
    <t>OPP-03966</t>
  </si>
  <si>
    <t>OPP-04445</t>
  </si>
  <si>
    <t>OPP-04446</t>
  </si>
  <si>
    <t>OPP-04448</t>
  </si>
  <si>
    <t>OPP-04451</t>
  </si>
  <si>
    <t>OPP-04686</t>
  </si>
  <si>
    <t>OPP-04689</t>
  </si>
  <si>
    <t>OPP-04691</t>
  </si>
  <si>
    <t>OPP-04914</t>
  </si>
  <si>
    <t>OPP-04915</t>
  </si>
  <si>
    <t>OPP-04919</t>
  </si>
  <si>
    <t>OPP-05033</t>
  </si>
  <si>
    <t>OPP-05034</t>
  </si>
  <si>
    <t>OPP-05035</t>
  </si>
  <si>
    <t>OPP-05036</t>
  </si>
  <si>
    <t>OPP-05037</t>
  </si>
  <si>
    <t>OPP-05038</t>
  </si>
  <si>
    <t>OPP-05204</t>
  </si>
  <si>
    <t>OPP-05205</t>
  </si>
  <si>
    <t>OPP-05206</t>
  </si>
  <si>
    <t>OPP-05208</t>
  </si>
  <si>
    <t>OPP-05209</t>
  </si>
  <si>
    <t>OPP-05210</t>
  </si>
  <si>
    <t>OPP-05211</t>
  </si>
  <si>
    <t>OPP-05212</t>
  </si>
  <si>
    <t>OPP-05213</t>
  </si>
  <si>
    <t>OPP-05214</t>
  </si>
  <si>
    <t>OPP-05215</t>
  </si>
  <si>
    <t>OPP-05476</t>
  </si>
  <si>
    <t>OPP-05477</t>
  </si>
  <si>
    <t>OPP-05478</t>
  </si>
  <si>
    <t>OPP-05480</t>
  </si>
  <si>
    <t>OPP-05632</t>
  </si>
  <si>
    <t>OPP-05633</t>
  </si>
  <si>
    <t>OPP-05634</t>
  </si>
  <si>
    <t>OPP-05635</t>
  </si>
  <si>
    <t>OPP-05942</t>
  </si>
  <si>
    <t>OPP-05944</t>
  </si>
  <si>
    <t>OPP-05945</t>
  </si>
  <si>
    <t>OPP-05947</t>
  </si>
  <si>
    <t>OPP-05948</t>
  </si>
  <si>
    <t>OPP-05949</t>
  </si>
  <si>
    <t>OPP-05951</t>
  </si>
  <si>
    <t>OPP-05952</t>
  </si>
  <si>
    <t>OPP-05953</t>
  </si>
  <si>
    <t>OPP-05955</t>
  </si>
  <si>
    <t>OPP-06186</t>
  </si>
  <si>
    <t>OPP-06187</t>
  </si>
  <si>
    <t>OPP-06188</t>
  </si>
  <si>
    <t>OPP-06189</t>
  </si>
  <si>
    <t>OPP-06190</t>
  </si>
  <si>
    <t>OPP-06191</t>
  </si>
  <si>
    <t>OPP-06192</t>
  </si>
  <si>
    <t>OPP-06342</t>
  </si>
  <si>
    <t>OPP-06343</t>
  </si>
  <si>
    <t>OPP-06344</t>
  </si>
  <si>
    <t>OPP-06345</t>
  </si>
  <si>
    <t>OPP-06623</t>
  </si>
  <si>
    <t>OPP-06625</t>
  </si>
  <si>
    <t>OPP-06627</t>
  </si>
  <si>
    <t>OPP-06628</t>
  </si>
  <si>
    <t>OPP-06629</t>
  </si>
  <si>
    <t>OPP-06631</t>
  </si>
  <si>
    <t>OPP-06632</t>
  </si>
  <si>
    <t>OPP-06635</t>
  </si>
  <si>
    <t>OPP-00033</t>
  </si>
  <si>
    <t>OPP-00036</t>
  </si>
  <si>
    <t>OPP-00037</t>
  </si>
  <si>
    <t>OPP-00038</t>
  </si>
  <si>
    <t>OPP-00040</t>
  </si>
  <si>
    <t>OPP-00043</t>
  </si>
  <si>
    <t>OPP-00046</t>
  </si>
  <si>
    <t>OPP-00617</t>
  </si>
  <si>
    <t>OPP-00622</t>
  </si>
  <si>
    <t>OPP-00624</t>
  </si>
  <si>
    <t>OPP-00627</t>
  </si>
  <si>
    <t>OPP-00894</t>
  </si>
  <si>
    <t>OPP-01500</t>
  </si>
  <si>
    <t>OPP-01506</t>
  </si>
  <si>
    <t>OPP-01509</t>
  </si>
  <si>
    <t>OPP-02005</t>
  </si>
  <si>
    <t>OPP-02006</t>
  </si>
  <si>
    <t>OPP-02007</t>
  </si>
  <si>
    <t>OPP-02009</t>
  </si>
  <si>
    <t>OPP-02011</t>
  </si>
  <si>
    <t>OPP-02480</t>
  </si>
  <si>
    <t>OPP-02481</t>
  </si>
  <si>
    <t>OPP-02484</t>
  </si>
  <si>
    <t>OPP-02485</t>
  </si>
  <si>
    <t>OPP-02486</t>
  </si>
  <si>
    <t>OPP-02487</t>
  </si>
  <si>
    <t>OPP-02726</t>
  </si>
  <si>
    <t>OPP-03151</t>
  </si>
  <si>
    <t>OPP-03153</t>
  </si>
  <si>
    <t>OPP-03155</t>
  </si>
  <si>
    <t>OPP-03157</t>
  </si>
  <si>
    <t>OPP-03159</t>
  </si>
  <si>
    <t>OPP-03693</t>
  </si>
  <si>
    <t>OPP-03695</t>
  </si>
  <si>
    <t>OPP-03696</t>
  </si>
  <si>
    <t>OPP-03698</t>
  </si>
  <si>
    <t>OPP-03700</t>
  </si>
  <si>
    <t>OPP-03704</t>
  </si>
  <si>
    <t>OPP-03955</t>
  </si>
  <si>
    <t>OPP-03958</t>
  </si>
  <si>
    <t>OPP-03960</t>
  </si>
  <si>
    <t>OPP-03961</t>
  </si>
  <si>
    <t>OPP-03962</t>
  </si>
  <si>
    <t>OPP-03963</t>
  </si>
  <si>
    <t>OPP-03965</t>
  </si>
  <si>
    <t>OPP-04447</t>
  </si>
  <si>
    <t>OPP-04449</t>
  </si>
  <si>
    <t>OPP-04450</t>
  </si>
  <si>
    <t>OPP-04452</t>
  </si>
  <si>
    <t>OPP-04453</t>
  </si>
  <si>
    <t>OPP-04687</t>
  </si>
  <si>
    <t>OPP-04688</t>
  </si>
  <si>
    <t>OPP-04690</t>
  </si>
  <si>
    <t>OPP-05207</t>
  </si>
  <si>
    <t>OPP-05216</t>
  </si>
  <si>
    <t>OPP-05479</t>
  </si>
  <si>
    <t>OPP-05628</t>
  </si>
  <si>
    <t>OPP-05629</t>
  </si>
  <si>
    <t>OPP-05630</t>
  </si>
  <si>
    <t>OPP-05631</t>
  </si>
  <si>
    <t>OPP-05939</t>
  </si>
  <si>
    <t>OPP-05940</t>
  </si>
  <si>
    <t>OPP-05941</t>
  </si>
  <si>
    <t>OPP-05943</t>
  </si>
  <si>
    <t>OPP-05946</t>
  </si>
  <si>
    <t>OPP-05950</t>
  </si>
  <si>
    <t>OPP-05954</t>
  </si>
  <si>
    <t>OPP-06624</t>
  </si>
  <si>
    <t>OPP-06626</t>
  </si>
  <si>
    <t>OPP-06630</t>
  </si>
  <si>
    <t>OPP-06633</t>
  </si>
  <si>
    <t>OPP-06634</t>
  </si>
  <si>
    <t>OPP-00121</t>
  </si>
  <si>
    <t>OPP-00122</t>
  </si>
  <si>
    <t>OPP-00124</t>
  </si>
  <si>
    <t>OPP-00126</t>
  </si>
  <si>
    <t>OPP-00127</t>
  </si>
  <si>
    <t>OPP-00129</t>
  </si>
  <si>
    <t>OPP-00349</t>
  </si>
  <si>
    <t>OPP-00351</t>
  </si>
  <si>
    <t>OPP-00352</t>
  </si>
  <si>
    <t>OPP-00353</t>
  </si>
  <si>
    <t>OPP-00354</t>
  </si>
  <si>
    <t>OPP-00477</t>
  </si>
  <si>
    <t>OPP-00478</t>
  </si>
  <si>
    <t>OPP-00480</t>
  </si>
  <si>
    <t>OPP-00481</t>
  </si>
  <si>
    <t>OPP-00733</t>
  </si>
  <si>
    <t>OPP-00736</t>
  </si>
  <si>
    <t>OPP-00739</t>
  </si>
  <si>
    <t>OPP-00741</t>
  </si>
  <si>
    <t>OPP-00742</t>
  </si>
  <si>
    <t>OPP-00946</t>
  </si>
  <si>
    <t>OPP-00947</t>
  </si>
  <si>
    <t>OPP-01091</t>
  </si>
  <si>
    <t>OPP-01187</t>
  </si>
  <si>
    <t>OPP-01192</t>
  </si>
  <si>
    <t>OPP-01194</t>
  </si>
  <si>
    <t>OPP-01616</t>
  </si>
  <si>
    <t>OPP-01617</t>
  </si>
  <si>
    <t>OPP-01618</t>
  </si>
  <si>
    <t>OPP-01620</t>
  </si>
  <si>
    <t>OPP-01621</t>
  </si>
  <si>
    <t>OPP-01622</t>
  </si>
  <si>
    <t>OPP-01798</t>
  </si>
  <si>
    <t>OPP-01799</t>
  </si>
  <si>
    <t>OPP-01803</t>
  </si>
  <si>
    <t>OPP-01805</t>
  </si>
  <si>
    <t>OPP-01881</t>
  </si>
  <si>
    <t>OPP-01882</t>
  </si>
  <si>
    <t>OPP-01886</t>
  </si>
  <si>
    <t>OPP-01887</t>
  </si>
  <si>
    <t>OPP-01890</t>
  </si>
  <si>
    <t>OPP-01891</t>
  </si>
  <si>
    <t>OPP-01892</t>
  </si>
  <si>
    <t>OPP-02115</t>
  </si>
  <si>
    <t>OPP-02116</t>
  </si>
  <si>
    <t>OPP-02118</t>
  </si>
  <si>
    <t>OPP-02121</t>
  </si>
  <si>
    <t>OPP-02122</t>
  </si>
  <si>
    <t>OPP-02124</t>
  </si>
  <si>
    <t>OPP-02125</t>
  </si>
  <si>
    <t>OPP-02304</t>
  </si>
  <si>
    <t>OPP-02305</t>
  </si>
  <si>
    <t>OPP-02307</t>
  </si>
  <si>
    <t>OPP-02308</t>
  </si>
  <si>
    <t>OPP-02309</t>
  </si>
  <si>
    <t>OPP-02311</t>
  </si>
  <si>
    <t>OPP-02312</t>
  </si>
  <si>
    <t>OPP-02313</t>
  </si>
  <si>
    <t>OPP-02314</t>
  </si>
  <si>
    <t>OPP-02571</t>
  </si>
  <si>
    <t>OPP-02573</t>
  </si>
  <si>
    <t>OPP-02823</t>
  </si>
  <si>
    <t>OPP-03050</t>
  </si>
  <si>
    <t>OPP-03053</t>
  </si>
  <si>
    <t>OPP-03266</t>
  </si>
  <si>
    <t>OPP-03267</t>
  </si>
  <si>
    <t>OPP-03268</t>
  </si>
  <si>
    <t>OPP-03269</t>
  </si>
  <si>
    <t>OPP-03270</t>
  </si>
  <si>
    <t>OPP-03336</t>
  </si>
  <si>
    <t>OPP-03482</t>
  </si>
  <si>
    <t>OPP-03483</t>
  </si>
  <si>
    <t>OPP-03484</t>
  </si>
  <si>
    <t>OPP-03485</t>
  </si>
  <si>
    <t>OPP-03486</t>
  </si>
  <si>
    <t>OPP-03487</t>
  </si>
  <si>
    <t>OPP-03556</t>
  </si>
  <si>
    <t>OPP-03557</t>
  </si>
  <si>
    <t>OPP-03558</t>
  </si>
  <si>
    <t>OPP-03559</t>
  </si>
  <si>
    <t>OPP-03560</t>
  </si>
  <si>
    <t>OPP-03561</t>
  </si>
  <si>
    <t>OPP-03562</t>
  </si>
  <si>
    <t>OPP-03809</t>
  </si>
  <si>
    <t>OPP-03812</t>
  </si>
  <si>
    <t>OPP-03813</t>
  </si>
  <si>
    <t>OPP-04044</t>
  </si>
  <si>
    <t>OPP-04046</t>
  </si>
  <si>
    <t>OPP-04047</t>
  </si>
  <si>
    <t>OPP-04048</t>
  </si>
  <si>
    <t>OPP-04550</t>
  </si>
  <si>
    <t>OPP-04551</t>
  </si>
  <si>
    <t>OPP-04552</t>
  </si>
  <si>
    <t>OPP-04775</t>
  </si>
  <si>
    <t>OPP-04777</t>
  </si>
  <si>
    <t>OPP-04778</t>
  </si>
  <si>
    <t>OPP-04779</t>
  </si>
  <si>
    <t>OPP-04780</t>
  </si>
  <si>
    <t>OPP-04781</t>
  </si>
  <si>
    <t>OPP-04782</t>
  </si>
  <si>
    <t>OPP-04964</t>
  </si>
  <si>
    <t>OPP-04967</t>
  </si>
  <si>
    <t>OPP-05104</t>
  </si>
  <si>
    <t>OPP-05105</t>
  </si>
  <si>
    <t>OPP-05106</t>
  </si>
  <si>
    <t>OPP-05108</t>
  </si>
  <si>
    <t>OPP-05110</t>
  </si>
  <si>
    <t>OPP-05326</t>
  </si>
  <si>
    <t>OPP-05327</t>
  </si>
  <si>
    <t>OPP-05331</t>
  </si>
  <si>
    <t>OPP-05332</t>
  </si>
  <si>
    <t>OPP-05333</t>
  </si>
  <si>
    <t>OPP-05525</t>
  </si>
  <si>
    <t>OPP-05526</t>
  </si>
  <si>
    <t>OPP-05527</t>
  </si>
  <si>
    <t>OPP-05528</t>
  </si>
  <si>
    <t>OPP-05529</t>
  </si>
  <si>
    <t>OPP-05530</t>
  </si>
  <si>
    <t>OPP-05736</t>
  </si>
  <si>
    <t>OPP-05738</t>
  </si>
  <si>
    <t>OPP-05739</t>
  </si>
  <si>
    <t>OPP-05740</t>
  </si>
  <si>
    <t>OPP-05742</t>
  </si>
  <si>
    <t>OPP-05744</t>
  </si>
  <si>
    <t>OPP-05745</t>
  </si>
  <si>
    <t>OPP-05747</t>
  </si>
  <si>
    <t>OPP-06056</t>
  </si>
  <si>
    <t>OPP-06246</t>
  </si>
  <si>
    <t>OPP-06247</t>
  </si>
  <si>
    <t>OPP-06250</t>
  </si>
  <si>
    <t>OPP-06403</t>
  </si>
  <si>
    <t>OPP-06404</t>
  </si>
  <si>
    <t>OPP-06407</t>
  </si>
  <si>
    <t>OPP-06512</t>
  </si>
  <si>
    <t>OPP-06513</t>
  </si>
  <si>
    <t>OPP-06514</t>
  </si>
  <si>
    <t>OPP-06515</t>
  </si>
  <si>
    <t>OPP-06516</t>
  </si>
  <si>
    <t>OPP-06752</t>
  </si>
  <si>
    <t>OPP-06753</t>
  </si>
  <si>
    <t>OPP-06754</t>
  </si>
  <si>
    <t>OPP-06755</t>
  </si>
  <si>
    <t>OPP-06756</t>
  </si>
  <si>
    <t>OPP-06758</t>
  </si>
  <si>
    <t>OPP-06759</t>
  </si>
  <si>
    <t>OPP-06760</t>
  </si>
  <si>
    <t>OPP-06761</t>
  </si>
  <si>
    <t>OPP-06762</t>
  </si>
  <si>
    <t>OPP-04207</t>
  </si>
  <si>
    <t>OPP-00350</t>
  </si>
  <si>
    <t>OPP-00951</t>
  </si>
  <si>
    <t>OPP-01339</t>
  </si>
  <si>
    <t>OPP-01422</t>
  </si>
  <si>
    <t>OPP-04251</t>
  </si>
  <si>
    <t>OPP-04252</t>
  </si>
  <si>
    <t>OPP-05873</t>
  </si>
  <si>
    <t>OPP-05874</t>
  </si>
  <si>
    <t>OPP-05875</t>
  </si>
  <si>
    <t>OPP-05876</t>
  </si>
  <si>
    <t>OPP-00123</t>
  </si>
  <si>
    <t>OPP-00125</t>
  </si>
  <si>
    <t>OPP-00128</t>
  </si>
  <si>
    <t>OPP-00130</t>
  </si>
  <si>
    <t>OPP-00475</t>
  </si>
  <si>
    <t>OPP-00476</t>
  </si>
  <si>
    <t>OPP-00479</t>
  </si>
  <si>
    <t>OPP-00482</t>
  </si>
  <si>
    <t>OPP-00483</t>
  </si>
  <si>
    <t>OPP-00731</t>
  </si>
  <si>
    <t>OPP-00732</t>
  </si>
  <si>
    <t>OPP-00734</t>
  </si>
  <si>
    <t>OPP-00735</t>
  </si>
  <si>
    <t>OPP-00737</t>
  </si>
  <si>
    <t>OPP-00738</t>
  </si>
  <si>
    <t>OPP-00740</t>
  </si>
  <si>
    <t>OPP-01185</t>
  </si>
  <si>
    <t>OPP-01186</t>
  </si>
  <si>
    <t>OPP-01188</t>
  </si>
  <si>
    <t>OPP-01189</t>
  </si>
  <si>
    <t>OPP-01190</t>
  </si>
  <si>
    <t>OPP-01191</t>
  </si>
  <si>
    <t>OPP-01193</t>
  </si>
  <si>
    <t>OPP-01195</t>
  </si>
  <si>
    <t>OPP-01615</t>
  </si>
  <si>
    <t>OPP-01619</t>
  </si>
  <si>
    <t>OPP-01800</t>
  </si>
  <si>
    <t>OPP-01801</t>
  </si>
  <si>
    <t>OPP-01802</t>
  </si>
  <si>
    <t>OPP-01804</t>
  </si>
  <si>
    <t>OPP-01806</t>
  </si>
  <si>
    <t>OPP-01807</t>
  </si>
  <si>
    <t>OPP-01883</t>
  </si>
  <si>
    <t>OPP-01884</t>
  </si>
  <si>
    <t>OPP-01885</t>
  </si>
  <si>
    <t>OPP-01888</t>
  </si>
  <si>
    <t>OPP-01889</t>
  </si>
  <si>
    <t>OPP-01893</t>
  </si>
  <si>
    <t>OPP-02113</t>
  </si>
  <si>
    <t>OPP-02114</t>
  </si>
  <si>
    <t>OPP-02117</t>
  </si>
  <si>
    <t>OPP-02119</t>
  </si>
  <si>
    <t>OPP-02120</t>
  </si>
  <si>
    <t>OPP-02123</t>
  </si>
  <si>
    <t>OPP-02306</t>
  </si>
  <si>
    <t>OPP-02310</t>
  </si>
  <si>
    <t>OPP-02315</t>
  </si>
  <si>
    <t>OPP-02316</t>
  </si>
  <si>
    <t>OPP-02568</t>
  </si>
  <si>
    <t>OPP-02569</t>
  </si>
  <si>
    <t>OPP-02570</t>
  </si>
  <si>
    <t>OPP-02572</t>
  </si>
  <si>
    <t>OPP-02819</t>
  </si>
  <si>
    <t>OPP-02820</t>
  </si>
  <si>
    <t>OPP-02821</t>
  </si>
  <si>
    <t>OPP-02822</t>
  </si>
  <si>
    <t>OPP-02824</t>
  </si>
  <si>
    <t>OPP-03271</t>
  </si>
  <si>
    <t>OPP-03272</t>
  </si>
  <si>
    <t>OPP-03273</t>
  </si>
  <si>
    <t>OPP-03274</t>
  </si>
  <si>
    <t>OPP-03563</t>
  </si>
  <si>
    <t>OPP-03564</t>
  </si>
  <si>
    <t>OPP-03806</t>
  </si>
  <si>
    <t>OPP-03807</t>
  </si>
  <si>
    <t>OPP-03808</t>
  </si>
  <si>
    <t>OPP-03810</t>
  </si>
  <si>
    <t>OPP-03811</t>
  </si>
  <si>
    <t>OPP-03814</t>
  </si>
  <si>
    <t>OPP-04043</t>
  </si>
  <si>
    <t>OPP-04045</t>
  </si>
  <si>
    <t>OPP-04049</t>
  </si>
  <si>
    <t>OPP-04342</t>
  </si>
  <si>
    <t>OPP-04547</t>
  </si>
  <si>
    <t>OPP-04548</t>
  </si>
  <si>
    <t>OPP-04549</t>
  </si>
  <si>
    <t>OPP-04553</t>
  </si>
  <si>
    <t>OPP-04554</t>
  </si>
  <si>
    <t>OPP-04555</t>
  </si>
  <si>
    <t>OPP-04556</t>
  </si>
  <si>
    <t>OPP-04776</t>
  </si>
  <si>
    <t>OPP-04965</t>
  </si>
  <si>
    <t>OPP-05102</t>
  </si>
  <si>
    <t>OPP-05103</t>
  </si>
  <si>
    <t>OPP-05107</t>
  </si>
  <si>
    <t>OPP-05323</t>
  </si>
  <si>
    <t>OPP-05324</t>
  </si>
  <si>
    <t>OPP-05325</t>
  </si>
  <si>
    <t>OPP-05328</t>
  </si>
  <si>
    <t>OPP-05329</t>
  </si>
  <si>
    <t>OPP-05330</t>
  </si>
  <si>
    <t>OPP-05737</t>
  </si>
  <si>
    <t>OPP-05741</t>
  </si>
  <si>
    <t>OPP-05743</t>
  </si>
  <si>
    <t>OPP-05746</t>
  </si>
  <si>
    <t>OPP-06053</t>
  </si>
  <si>
    <t>OPP-06054</t>
  </si>
  <si>
    <t>OPP-06055</t>
  </si>
  <si>
    <t>OPP-06402</t>
  </si>
  <si>
    <t>OPP-06405</t>
  </si>
  <si>
    <t>OPP-06757</t>
  </si>
  <si>
    <t>OPP-06763</t>
  </si>
  <si>
    <t>OPP-06764</t>
  </si>
  <si>
    <t>OPP-06765</t>
  </si>
  <si>
    <t>OPP-00948</t>
  </si>
  <si>
    <t>OPP-00949</t>
  </si>
  <si>
    <t>OPP-00950</t>
  </si>
  <si>
    <t>OPP-00952</t>
  </si>
  <si>
    <t>OPP-01085</t>
  </si>
  <si>
    <t>OPP-01086</t>
  </si>
  <si>
    <t>OPP-01087</t>
  </si>
  <si>
    <t>OPP-01088</t>
  </si>
  <si>
    <t>OPP-01089</t>
  </si>
  <si>
    <t>OPP-01090</t>
  </si>
  <si>
    <t>OPP-01340</t>
  </si>
  <si>
    <t>OPP-01421</t>
  </si>
  <si>
    <t>OPP-01423</t>
  </si>
  <si>
    <t>OPP-01424</t>
  </si>
  <si>
    <t>OPP-01425</t>
  </si>
  <si>
    <t>OPP-01426</t>
  </si>
  <si>
    <t>OPP-03049</t>
  </si>
  <si>
    <t>OPP-03051</t>
  </si>
  <si>
    <t>OPP-03052</t>
  </si>
  <si>
    <t>OPP-03054</t>
  </si>
  <si>
    <t>OPP-04250</t>
  </si>
  <si>
    <t>OPP-04966</t>
  </si>
  <si>
    <t>OPP-05109</t>
  </si>
  <si>
    <t>OPP-06248</t>
  </si>
  <si>
    <t>OPP-06249</t>
  </si>
  <si>
    <t>OPP-06401</t>
  </si>
  <si>
    <t>OPP-06406</t>
  </si>
  <si>
    <t>OPP-06511</t>
  </si>
  <si>
    <t>OPP-00018</t>
  </si>
  <si>
    <t>OPP-00020</t>
  </si>
  <si>
    <t>OPP-00021</t>
  </si>
  <si>
    <t>OPP-00281</t>
  </si>
  <si>
    <t>OPP-00282</t>
  </si>
  <si>
    <t>OPP-00284</t>
  </si>
  <si>
    <t>OPP-00285</t>
  </si>
  <si>
    <t>OPP-00590</t>
  </si>
  <si>
    <t>OPP-00592</t>
  </si>
  <si>
    <t>OPP-00593</t>
  </si>
  <si>
    <t>OPP-00595</t>
  </si>
  <si>
    <t>OPP-00596</t>
  </si>
  <si>
    <t>OPP-00599</t>
  </si>
  <si>
    <t>OPP-01034</t>
  </si>
  <si>
    <t>OPP-01491</t>
  </si>
  <si>
    <t>OPP-01978</t>
  </si>
  <si>
    <t>OPP-01981</t>
  </si>
  <si>
    <t>OPP-01982</t>
  </si>
  <si>
    <t>OPP-01983</t>
  </si>
  <si>
    <t>OPP-01986</t>
  </si>
  <si>
    <t>OPP-01987</t>
  </si>
  <si>
    <t>OPP-01989</t>
  </si>
  <si>
    <t>OPP-01990</t>
  </si>
  <si>
    <t>OPP-02462</t>
  </si>
  <si>
    <t>OPP-02463</t>
  </si>
  <si>
    <t>OPP-02464</t>
  </si>
  <si>
    <t>OPP-02468</t>
  </si>
  <si>
    <t>OPP-02470</t>
  </si>
  <si>
    <t>OPP-02698</t>
  </si>
  <si>
    <t>OPP-02700</t>
  </si>
  <si>
    <t>OPP-02701</t>
  </si>
  <si>
    <t>OPP-02703</t>
  </si>
  <si>
    <t>OPP-02704</t>
  </si>
  <si>
    <t>OPP-02707</t>
  </si>
  <si>
    <t>OPP-02708</t>
  </si>
  <si>
    <t>OPP-02710</t>
  </si>
  <si>
    <t>OPP-02711</t>
  </si>
  <si>
    <t>OPP-02999</t>
  </si>
  <si>
    <t>OPP-03125</t>
  </si>
  <si>
    <t>OPP-03126</t>
  </si>
  <si>
    <t>OPP-03127</t>
  </si>
  <si>
    <t>OPP-03128</t>
  </si>
  <si>
    <t>OPP-03130</t>
  </si>
  <si>
    <t>OPP-03132</t>
  </si>
  <si>
    <t>OPP-03133</t>
  </si>
  <si>
    <t>OPP-03412</t>
  </si>
  <si>
    <t>OPP-03414</t>
  </si>
  <si>
    <t>OPP-03415</t>
  </si>
  <si>
    <t>OPP-03417</t>
  </si>
  <si>
    <t>OPP-03418</t>
  </si>
  <si>
    <t>OPP-03669</t>
  </si>
  <si>
    <t>OPP-03671</t>
  </si>
  <si>
    <t>OPP-03672</t>
  </si>
  <si>
    <t>OPP-03674</t>
  </si>
  <si>
    <t>OPP-03675</t>
  </si>
  <si>
    <t>OPP-03676</t>
  </si>
  <si>
    <t>OPP-03933</t>
  </si>
  <si>
    <t>OPP-03934</t>
  </si>
  <si>
    <t>OPP-03936</t>
  </si>
  <si>
    <t>OPP-03937</t>
  </si>
  <si>
    <t>OPP-03938</t>
  </si>
  <si>
    <t>OPP-03942</t>
  </si>
  <si>
    <t>OPP-04286</t>
  </si>
  <si>
    <t>OPP-04424</t>
  </si>
  <si>
    <t>OPP-04427</t>
  </si>
  <si>
    <t>OPP-04430</t>
  </si>
  <si>
    <t>OPP-04431</t>
  </si>
  <si>
    <t>OPP-04433</t>
  </si>
  <si>
    <t>OPP-04665</t>
  </si>
  <si>
    <t>OPP-04667</t>
  </si>
  <si>
    <t>OPP-04670</t>
  </si>
  <si>
    <t>OPP-04671</t>
  </si>
  <si>
    <t>OPP-04672</t>
  </si>
  <si>
    <t>OPP-04675</t>
  </si>
  <si>
    <t>OPP-04676</t>
  </si>
  <si>
    <t>OPP-04677</t>
  </si>
  <si>
    <t>OPP-04905</t>
  </si>
  <si>
    <t>OPP-05025</t>
  </si>
  <si>
    <t>OPP-05026</t>
  </si>
  <si>
    <t>OPP-05027</t>
  </si>
  <si>
    <t>OPP-05028</t>
  </si>
  <si>
    <t>OPP-05030</t>
  </si>
  <si>
    <t>OPP-05031</t>
  </si>
  <si>
    <t>OPP-05177</t>
  </si>
  <si>
    <t>OPP-05178</t>
  </si>
  <si>
    <t>OPP-05180</t>
  </si>
  <si>
    <t>OPP-05185</t>
  </si>
  <si>
    <t>OPP-05187</t>
  </si>
  <si>
    <t>OPP-05464</t>
  </si>
  <si>
    <t>OPP-05466</t>
  </si>
  <si>
    <t>OPP-05610</t>
  </si>
  <si>
    <t>OPP-05612</t>
  </si>
  <si>
    <t>OPP-05613</t>
  </si>
  <si>
    <t>OPP-05918</t>
  </si>
  <si>
    <t>OPP-05920</t>
  </si>
  <si>
    <t>OPP-05921</t>
  </si>
  <si>
    <t>OPP-05924</t>
  </si>
  <si>
    <t>OPP-05926</t>
  </si>
  <si>
    <t>OPP-05927</t>
  </si>
  <si>
    <t>OPP-06176</t>
  </si>
  <si>
    <t>OPP-06177</t>
  </si>
  <si>
    <t>OPP-06178</t>
  </si>
  <si>
    <t>OPP-06179</t>
  </si>
  <si>
    <t>OPP-06331</t>
  </si>
  <si>
    <t>OPP-06335</t>
  </si>
  <si>
    <t>OPP-06594</t>
  </si>
  <si>
    <t>OPP-06597</t>
  </si>
  <si>
    <t>OPP-06598</t>
  </si>
  <si>
    <t>OPP-06599</t>
  </si>
  <si>
    <t>OPP-06600</t>
  </si>
  <si>
    <t>OPP-06603</t>
  </si>
  <si>
    <t>OPP-06604</t>
  </si>
  <si>
    <t>OPP-06606</t>
  </si>
  <si>
    <t>OPP-06609</t>
  </si>
  <si>
    <t>OPP-06613</t>
  </si>
  <si>
    <t>OPP-06615</t>
  </si>
  <si>
    <t>OPP-04290</t>
  </si>
  <si>
    <t>OPP-01035</t>
  </si>
  <si>
    <t>OPP-03001</t>
  </si>
  <si>
    <t>OPP-04179</t>
  </si>
  <si>
    <t>OPP-04287</t>
  </si>
  <si>
    <t>OPP-04289</t>
  </si>
  <si>
    <t>OPP-00013</t>
  </si>
  <si>
    <t>OPP-00014</t>
  </si>
  <si>
    <t>OPP-00015</t>
  </si>
  <si>
    <t>OPP-00016</t>
  </si>
  <si>
    <t>OPP-00017</t>
  </si>
  <si>
    <t>OPP-00019</t>
  </si>
  <si>
    <t>OPP-00022</t>
  </si>
  <si>
    <t>OPP-00286</t>
  </si>
  <si>
    <t>OPP-00591</t>
  </si>
  <si>
    <t>OPP-00594</t>
  </si>
  <si>
    <t>OPP-00597</t>
  </si>
  <si>
    <t>OPP-00598</t>
  </si>
  <si>
    <t>OPP-01483</t>
  </si>
  <si>
    <t>OPP-01484</t>
  </si>
  <si>
    <t>OPP-01485</t>
  </si>
  <si>
    <t>OPP-01486</t>
  </si>
  <si>
    <t>OPP-01487</t>
  </si>
  <si>
    <t>OPP-01488</t>
  </si>
  <si>
    <t>OPP-01489</t>
  </si>
  <si>
    <t>OPP-01490</t>
  </si>
  <si>
    <t>OPP-01979</t>
  </si>
  <si>
    <t>OPP-01980</t>
  </si>
  <si>
    <t>OPP-01984</t>
  </si>
  <si>
    <t>OPP-01985</t>
  </si>
  <si>
    <t>OPP-01988</t>
  </si>
  <si>
    <t>OPP-02465</t>
  </si>
  <si>
    <t>OPP-02466</t>
  </si>
  <si>
    <t>OPP-02467</t>
  </si>
  <si>
    <t>OPP-02469</t>
  </si>
  <si>
    <t>OPP-02697</t>
  </si>
  <si>
    <t>OPP-02699</t>
  </si>
  <si>
    <t>OPP-02702</t>
  </si>
  <si>
    <t>OPP-02705</t>
  </si>
  <si>
    <t>OPP-02706</t>
  </si>
  <si>
    <t>OPP-02709</t>
  </si>
  <si>
    <t>OPP-02712</t>
  </si>
  <si>
    <t>OPP-03129</t>
  </si>
  <si>
    <t>OPP-03131</t>
  </si>
  <si>
    <t>OPP-03134</t>
  </si>
  <si>
    <t>OPP-03668</t>
  </si>
  <si>
    <t>OPP-03670</t>
  </si>
  <si>
    <t>OPP-03673</t>
  </si>
  <si>
    <t>OPP-03932</t>
  </si>
  <si>
    <t>OPP-03935</t>
  </si>
  <si>
    <t>OPP-03939</t>
  </si>
  <si>
    <t>OPP-03940</t>
  </si>
  <si>
    <t>OPP-03941</t>
  </si>
  <si>
    <t>OPP-04425</t>
  </si>
  <si>
    <t>OPP-04426</t>
  </si>
  <si>
    <t>OPP-04428</t>
  </si>
  <si>
    <t>OPP-04429</t>
  </si>
  <si>
    <t>OPP-04432</t>
  </si>
  <si>
    <t>OPP-04666</t>
  </si>
  <si>
    <t>OPP-04668</t>
  </si>
  <si>
    <t>OPP-04669</t>
  </si>
  <si>
    <t>OPP-04673</t>
  </si>
  <si>
    <t>OPP-04674</t>
  </si>
  <si>
    <t>OPP-04906</t>
  </si>
  <si>
    <t>OPP-05179</t>
  </si>
  <si>
    <t>OPP-05181</t>
  </si>
  <si>
    <t>OPP-05182</t>
  </si>
  <si>
    <t>OPP-05183</t>
  </si>
  <si>
    <t>OPP-05184</t>
  </si>
  <si>
    <t>OPP-05186</t>
  </si>
  <si>
    <t>OPP-05465</t>
  </si>
  <si>
    <t>OPP-05611</t>
  </si>
  <si>
    <t>OPP-05614</t>
  </si>
  <si>
    <t>OPP-05615</t>
  </si>
  <si>
    <t>OPP-05917</t>
  </si>
  <si>
    <t>OPP-05919</t>
  </si>
  <si>
    <t>OPP-05922</t>
  </si>
  <si>
    <t>OPP-05923</t>
  </si>
  <si>
    <t>OPP-05925</t>
  </si>
  <si>
    <t>OPP-06595</t>
  </si>
  <si>
    <t>OPP-06596</t>
  </si>
  <si>
    <t>OPP-06601</t>
  </si>
  <si>
    <t>OPP-06602</t>
  </si>
  <si>
    <t>OPP-06605</t>
  </si>
  <si>
    <t>OPP-06607</t>
  </si>
  <si>
    <t>OPP-06608</t>
  </si>
  <si>
    <t>OPP-06610</t>
  </si>
  <si>
    <t>OPP-06611</t>
  </si>
  <si>
    <t>OPP-06612</t>
  </si>
  <si>
    <t>OPP-06614</t>
  </si>
  <si>
    <t>OPP-06616</t>
  </si>
  <si>
    <t>OPP-00283</t>
  </si>
  <si>
    <t>OPP-01305</t>
  </si>
  <si>
    <t>OPP-02998</t>
  </si>
  <si>
    <t>OPP-03000</t>
  </si>
  <si>
    <t>OPP-03413</t>
  </si>
  <si>
    <t>OPP-03416</t>
  </si>
  <si>
    <t>OPP-04288</t>
  </si>
  <si>
    <t>OPP-04291</t>
  </si>
  <si>
    <t>OPP-04904</t>
  </si>
  <si>
    <t>OPP-05023</t>
  </si>
  <si>
    <t>OPP-05024</t>
  </si>
  <si>
    <t>OPP-05029</t>
  </si>
  <si>
    <t>OPP-05467</t>
  </si>
  <si>
    <t>OPP-05848</t>
  </si>
  <si>
    <t>OPP-06332</t>
  </si>
  <si>
    <t>OPP-06333</t>
  </si>
  <si>
    <t>OPP-06334</t>
  </si>
  <si>
    <t>OPP-00247</t>
  </si>
  <si>
    <t>OPP-00248</t>
  </si>
  <si>
    <t>OPP-00962</t>
  </si>
  <si>
    <t>OPP-00964</t>
  </si>
  <si>
    <t>OPP-00999</t>
  </si>
  <si>
    <t>OPP-01100</t>
  </si>
  <si>
    <t>OPP-01102</t>
  </si>
  <si>
    <t>OPP-01347</t>
  </si>
  <si>
    <t>OPP-01348</t>
  </si>
  <si>
    <t>OPP-01436</t>
  </si>
  <si>
    <t>OPP-01437</t>
  </si>
  <si>
    <t>OPP-01438</t>
  </si>
  <si>
    <t>OPP-02212</t>
  </si>
  <si>
    <t>OPP-02417</t>
  </si>
  <si>
    <t>OPP-03071</t>
  </si>
  <si>
    <t>OPP-03072</t>
  </si>
  <si>
    <t>OPP-03351</t>
  </si>
  <si>
    <t>OPP-03352</t>
  </si>
  <si>
    <t>OPP-03618</t>
  </si>
  <si>
    <t>OPP-04213</t>
  </si>
  <si>
    <t>OPP-04351</t>
  </si>
  <si>
    <t>OPP-04354</t>
  </si>
  <si>
    <t>OPP-04355</t>
  </si>
  <si>
    <t>OPP-04356</t>
  </si>
  <si>
    <t>OPP-04357</t>
  </si>
  <si>
    <t>OPP-04978</t>
  </si>
  <si>
    <t>OPP-04981</t>
  </si>
  <si>
    <t>OPP-05121</t>
  </si>
  <si>
    <t>OPP-05122</t>
  </si>
  <si>
    <t>OPP-05124</t>
  </si>
  <si>
    <t>OPP-05547</t>
  </si>
  <si>
    <t>OPP-06272</t>
  </si>
  <si>
    <t>OPP-06273</t>
  </si>
  <si>
    <t>OPP-06278</t>
  </si>
  <si>
    <t>OPP-06423</t>
  </si>
  <si>
    <t>OPP-06426</t>
  </si>
  <si>
    <t>OPP-06530</t>
  </si>
  <si>
    <t>OPP-06532</t>
  </si>
  <si>
    <t>OPP-06536</t>
  </si>
  <si>
    <t>OPP-00157</t>
  </si>
  <si>
    <t>OPP-00158</t>
  </si>
  <si>
    <t>OPP-00159</t>
  </si>
  <si>
    <t>OPP-00160</t>
  </si>
  <si>
    <t>OPP-00162</t>
  </si>
  <si>
    <t>OPP-00163</t>
  </si>
  <si>
    <t>OPP-00164</t>
  </si>
  <si>
    <t>OPP-00168</t>
  </si>
  <si>
    <t>OPP-00366</t>
  </si>
  <si>
    <t>OPP-00367</t>
  </si>
  <si>
    <t>OPP-00368</t>
  </si>
  <si>
    <t>OPP-00369</t>
  </si>
  <si>
    <t>OPP-00370</t>
  </si>
  <si>
    <t>OPP-00499</t>
  </si>
  <si>
    <t>OPP-00500</t>
  </si>
  <si>
    <t>OPP-00502</t>
  </si>
  <si>
    <t>OPP-00504</t>
  </si>
  <si>
    <t>OPP-00507</t>
  </si>
  <si>
    <t>OPP-00770</t>
  </si>
  <si>
    <t>OPP-00772</t>
  </si>
  <si>
    <t>OPP-00776</t>
  </si>
  <si>
    <t>OPP-00961</t>
  </si>
  <si>
    <t>OPP-00997</t>
  </si>
  <si>
    <t>OPP-00998</t>
  </si>
  <si>
    <t>OPP-01101</t>
  </si>
  <si>
    <t>OPP-01105</t>
  </si>
  <si>
    <t>OPP-01217</t>
  </si>
  <si>
    <t>OPP-01218</t>
  </si>
  <si>
    <t>OPP-01222</t>
  </si>
  <si>
    <t>OPP-01640</t>
  </si>
  <si>
    <t>OPP-01641</t>
  </si>
  <si>
    <t>OPP-01642</t>
  </si>
  <si>
    <t>OPP-01644</t>
  </si>
  <si>
    <t>OPP-01645</t>
  </si>
  <si>
    <t>OPP-01646</t>
  </si>
  <si>
    <t>OPP-01647</t>
  </si>
  <si>
    <t>OPP-01648</t>
  </si>
  <si>
    <t>OPP-01649</t>
  </si>
  <si>
    <t>OPP-01650</t>
  </si>
  <si>
    <t>OPP-01651</t>
  </si>
  <si>
    <t>OPP-01837</t>
  </si>
  <si>
    <t>OPP-01839</t>
  </si>
  <si>
    <t>OPP-01841</t>
  </si>
  <si>
    <t>OPP-01907</t>
  </si>
  <si>
    <t>OPP-01908</t>
  </si>
  <si>
    <t>OPP-01909</t>
  </si>
  <si>
    <t>OPP-01911</t>
  </si>
  <si>
    <t>OPP-02152</t>
  </si>
  <si>
    <t>OPP-02153</t>
  </si>
  <si>
    <t>OPP-02154</t>
  </si>
  <si>
    <t>OPP-02156</t>
  </si>
  <si>
    <t>OPP-02334</t>
  </si>
  <si>
    <t>OPP-02338</t>
  </si>
  <si>
    <t>OPP-02339</t>
  </si>
  <si>
    <t>OPP-02418</t>
  </si>
  <si>
    <t>OPP-02419</t>
  </si>
  <si>
    <t>OPP-02599</t>
  </si>
  <si>
    <t>OPP-02601</t>
  </si>
  <si>
    <t>OPP-02844</t>
  </si>
  <si>
    <t>OPP-02845</t>
  </si>
  <si>
    <t>OPP-02848</t>
  </si>
  <si>
    <t>OPP-02849</t>
  </si>
  <si>
    <t>OPP-03069</t>
  </si>
  <si>
    <t>OPP-03070</t>
  </si>
  <si>
    <t>OPP-03291</t>
  </si>
  <si>
    <t>OPP-03292</t>
  </si>
  <si>
    <t>OPP-03293</t>
  </si>
  <si>
    <t>OPP-03296</t>
  </si>
  <si>
    <t>OPP-03299</t>
  </si>
  <si>
    <t>OPP-03300</t>
  </si>
  <si>
    <t>OPP-03301</t>
  </si>
  <si>
    <t>OPP-03302</t>
  </si>
  <si>
    <t>OPP-03304</t>
  </si>
  <si>
    <t>OPP-03350</t>
  </si>
  <si>
    <t>OPP-03501</t>
  </si>
  <si>
    <t>OPP-03503</t>
  </si>
  <si>
    <t>OPP-03504</t>
  </si>
  <si>
    <t>OPP-03505</t>
  </si>
  <si>
    <t>OPP-03506</t>
  </si>
  <si>
    <t>OPP-03507</t>
  </si>
  <si>
    <t>OPP-03508</t>
  </si>
  <si>
    <t>OPP-03581</t>
  </si>
  <si>
    <t>OPP-03582</t>
  </si>
  <si>
    <t>OPP-03583</t>
  </si>
  <si>
    <t>OPP-03584</t>
  </si>
  <si>
    <t>OPP-03585</t>
  </si>
  <si>
    <t>OPP-03616</t>
  </si>
  <si>
    <t>OPP-03617</t>
  </si>
  <si>
    <t>OPP-03831</t>
  </si>
  <si>
    <t>OPP-03833</t>
  </si>
  <si>
    <t>OPP-03836</t>
  </si>
  <si>
    <t>OPP-03839</t>
  </si>
  <si>
    <t>OPP-03840</t>
  </si>
  <si>
    <t>OPP-03841</t>
  </si>
  <si>
    <t>OPP-03842</t>
  </si>
  <si>
    <t>OPP-03843</t>
  </si>
  <si>
    <t>OPP-03844</t>
  </si>
  <si>
    <t>OPP-04081</t>
  </si>
  <si>
    <t>OPP-04083</t>
  </si>
  <si>
    <t>OPP-04088</t>
  </si>
  <si>
    <t>OPP-04350</t>
  </si>
  <si>
    <t>OPP-04575</t>
  </si>
  <si>
    <t>OPP-04576</t>
  </si>
  <si>
    <t>OPP-04577</t>
  </si>
  <si>
    <t>OPP-04578</t>
  </si>
  <si>
    <t>OPP-04583</t>
  </si>
  <si>
    <t>OPP-04799</t>
  </si>
  <si>
    <t>OPP-04804</t>
  </si>
  <si>
    <t>OPP-04806</t>
  </si>
  <si>
    <t>OPP-04807</t>
  </si>
  <si>
    <t>OPP-04809</t>
  </si>
  <si>
    <t>OPP-04810</t>
  </si>
  <si>
    <t>OPP-04979</t>
  </si>
  <si>
    <t>OPP-04980</t>
  </si>
  <si>
    <t>OPP-05119</t>
  </si>
  <si>
    <t>OPP-05123</t>
  </si>
  <si>
    <t>OPP-05364</t>
  </si>
  <si>
    <t>OPP-05365</t>
  </si>
  <si>
    <t>OPP-05366</t>
  </si>
  <si>
    <t>OPP-05368</t>
  </si>
  <si>
    <t>OPP-05369</t>
  </si>
  <si>
    <t>OPP-05370</t>
  </si>
  <si>
    <t>OPP-05372</t>
  </si>
  <si>
    <t>OPP-05373</t>
  </si>
  <si>
    <t>OPP-05374</t>
  </si>
  <si>
    <t>OPP-05543</t>
  </si>
  <si>
    <t>OPP-05544</t>
  </si>
  <si>
    <t>OPP-05545</t>
  </si>
  <si>
    <t>OPP-05546</t>
  </si>
  <si>
    <t>OPP-05770</t>
  </si>
  <si>
    <t>OPP-05771</t>
  </si>
  <si>
    <t>OPP-05773</t>
  </si>
  <si>
    <t>OPP-05775</t>
  </si>
  <si>
    <t>OPP-05776</t>
  </si>
  <si>
    <t>OPP-05778</t>
  </si>
  <si>
    <t>OPP-06079</t>
  </si>
  <si>
    <t>OPP-06080</t>
  </si>
  <si>
    <t>OPP-06081</t>
  </si>
  <si>
    <t>OPP-06082</t>
  </si>
  <si>
    <t>OPP-06083</t>
  </si>
  <si>
    <t>OPP-06084</t>
  </si>
  <si>
    <t>OPP-06085</t>
  </si>
  <si>
    <t>OPP-06088</t>
  </si>
  <si>
    <t>OPP-06089</t>
  </si>
  <si>
    <t>OPP-06090</t>
  </si>
  <si>
    <t>OPP-06092</t>
  </si>
  <si>
    <t>OPP-06094</t>
  </si>
  <si>
    <t>OPP-06095</t>
  </si>
  <si>
    <t>OPP-06268</t>
  </si>
  <si>
    <t>OPP-06269</t>
  </si>
  <si>
    <t>OPP-06271</t>
  </si>
  <si>
    <t>OPP-06274</t>
  </si>
  <si>
    <t>OPP-06275</t>
  </si>
  <si>
    <t>OPP-06276</t>
  </si>
  <si>
    <t>OPP-06279</t>
  </si>
  <si>
    <t>OPP-06418</t>
  </si>
  <si>
    <t>OPP-06420</t>
  </si>
  <si>
    <t>OPP-06421</t>
  </si>
  <si>
    <t>OPP-06422</t>
  </si>
  <si>
    <t>OPP-06424</t>
  </si>
  <si>
    <t>OPP-06531</t>
  </si>
  <si>
    <t>OPP-06533</t>
  </si>
  <si>
    <t>OPP-06534</t>
  </si>
  <si>
    <t>OPP-06535</t>
  </si>
  <si>
    <t>OPP-06537</t>
  </si>
  <si>
    <t>OPP-06790</t>
  </si>
  <si>
    <t>OPP-06792</t>
  </si>
  <si>
    <t>OPP-06794</t>
  </si>
  <si>
    <t>OPP-00161</t>
  </si>
  <si>
    <t>OPP-00165</t>
  </si>
  <si>
    <t>OPP-00166</t>
  </si>
  <si>
    <t>OPP-00167</t>
  </si>
  <si>
    <t>OPP-00169</t>
  </si>
  <si>
    <t>OPP-00498</t>
  </si>
  <si>
    <t>OPP-00501</t>
  </si>
  <si>
    <t>OPP-00503</t>
  </si>
  <si>
    <t>OPP-00505</t>
  </si>
  <si>
    <t>OPP-00506</t>
  </si>
  <si>
    <t>OPP-00768</t>
  </si>
  <si>
    <t>OPP-00769</t>
  </si>
  <si>
    <t>OPP-00771</t>
  </si>
  <si>
    <t>OPP-00773</t>
  </si>
  <si>
    <t>OPP-00774</t>
  </si>
  <si>
    <t>OPP-00775</t>
  </si>
  <si>
    <t>OPP-01219</t>
  </si>
  <si>
    <t>OPP-01220</t>
  </si>
  <si>
    <t>OPP-01221</t>
  </si>
  <si>
    <t>OPP-01223</t>
  </si>
  <si>
    <t>OPP-01638</t>
  </si>
  <si>
    <t>OPP-01639</t>
  </si>
  <si>
    <t>OPP-01643</t>
  </si>
  <si>
    <t>OPP-01835</t>
  </si>
  <si>
    <t>OPP-01836</t>
  </si>
  <si>
    <t>OPP-01838</t>
  </si>
  <si>
    <t>OPP-01840</t>
  </si>
  <si>
    <t>OPP-01910</t>
  </si>
  <si>
    <t>OPP-02149</t>
  </si>
  <si>
    <t>OPP-02150</t>
  </si>
  <si>
    <t>OPP-02151</t>
  </si>
  <si>
    <t>OPP-02155</t>
  </si>
  <si>
    <t>OPP-02333</t>
  </si>
  <si>
    <t>OPP-02335</t>
  </si>
  <si>
    <t>OPP-02336</t>
  </si>
  <si>
    <t>OPP-02337</t>
  </si>
  <si>
    <t>OPP-02340</t>
  </si>
  <si>
    <t>OPP-02598</t>
  </si>
  <si>
    <t>OPP-02600</t>
  </si>
  <si>
    <t>OPP-02602</t>
  </si>
  <si>
    <t>OPP-02603</t>
  </si>
  <si>
    <t>OPP-02843</t>
  </si>
  <si>
    <t>OPP-02846</t>
  </si>
  <si>
    <t>OPP-02847</t>
  </si>
  <si>
    <t>OPP-03294</t>
  </si>
  <si>
    <t>OPP-03295</t>
  </si>
  <si>
    <t>OPP-03297</t>
  </si>
  <si>
    <t>OPP-03298</t>
  </si>
  <si>
    <t>OPP-03303</t>
  </si>
  <si>
    <t>OPP-03502</t>
  </si>
  <si>
    <t>OPP-03586</t>
  </si>
  <si>
    <t>OPP-03587</t>
  </si>
  <si>
    <t>OPP-03832</t>
  </si>
  <si>
    <t>OPP-03834</t>
  </si>
  <si>
    <t>OPP-03835</t>
  </si>
  <si>
    <t>OPP-03837</t>
  </si>
  <si>
    <t>OPP-03838</t>
  </si>
  <si>
    <t>OPP-03845</t>
  </si>
  <si>
    <t>OPP-03846</t>
  </si>
  <si>
    <t>OPP-04082</t>
  </si>
  <si>
    <t>OPP-04084</t>
  </si>
  <si>
    <t>OPP-04085</t>
  </si>
  <si>
    <t>OPP-04086</t>
  </si>
  <si>
    <t>OPP-04087</t>
  </si>
  <si>
    <t>OPP-04089</t>
  </si>
  <si>
    <t>OPP-04090</t>
  </si>
  <si>
    <t>OPP-04579</t>
  </si>
  <si>
    <t>OPP-04580</t>
  </si>
  <si>
    <t>OPP-04581</t>
  </si>
  <si>
    <t>OPP-04582</t>
  </si>
  <si>
    <t>OPP-04584</t>
  </si>
  <si>
    <t>OPP-04585</t>
  </si>
  <si>
    <t>OPP-04586</t>
  </si>
  <si>
    <t>OPP-04800</t>
  </si>
  <si>
    <t>OPP-04801</t>
  </si>
  <si>
    <t>OPP-04802</t>
  </si>
  <si>
    <t>OPP-04803</t>
  </si>
  <si>
    <t>OPP-04805</t>
  </si>
  <si>
    <t>OPP-04808</t>
  </si>
  <si>
    <t>OPP-05120</t>
  </si>
  <si>
    <t>OPP-05367</t>
  </si>
  <si>
    <t>OPP-05371</t>
  </si>
  <si>
    <t>OPP-05542</t>
  </si>
  <si>
    <t>OPP-05769</t>
  </si>
  <si>
    <t>OPP-05772</t>
  </si>
  <si>
    <t>OPP-05774</t>
  </si>
  <si>
    <t>OPP-05777</t>
  </si>
  <si>
    <t>OPP-06078</t>
  </si>
  <si>
    <t>OPP-06086</t>
  </si>
  <si>
    <t>OPP-06087</t>
  </si>
  <si>
    <t>OPP-06091</t>
  </si>
  <si>
    <t>OPP-06093</t>
  </si>
  <si>
    <t>OPP-06270</t>
  </si>
  <si>
    <t>OPP-06277</t>
  </si>
  <si>
    <t>OPP-06419</t>
  </si>
  <si>
    <t>OPP-06425</t>
  </si>
  <si>
    <t>OPP-06788</t>
  </si>
  <si>
    <t>OPP-06789</t>
  </si>
  <si>
    <t>OPP-06791</t>
  </si>
  <si>
    <t>OPP-06793</t>
  </si>
  <si>
    <t>OPP-04353</t>
  </si>
  <si>
    <t>OPP-00963</t>
  </si>
  <si>
    <t>OPP-00965</t>
  </si>
  <si>
    <t>OPP-01103</t>
  </si>
  <si>
    <t>OPP-01104</t>
  </si>
  <si>
    <t>OPP-04212</t>
  </si>
  <si>
    <t>OPP-04257</t>
  </si>
  <si>
    <t>OPP-04258</t>
  </si>
  <si>
    <t>OPP-04352</t>
  </si>
  <si>
    <t>OPP-05883</t>
  </si>
  <si>
    <t>OPP-05884</t>
  </si>
  <si>
    <t>OPP-00297</t>
  </si>
  <si>
    <t>OPP-00898</t>
  </si>
  <si>
    <t>OPP-01046</t>
  </si>
  <si>
    <t>OPP-01048</t>
  </si>
  <si>
    <t>OPP-01050</t>
  </si>
  <si>
    <t>OPP-01374</t>
  </si>
  <si>
    <t>OPP-01375</t>
  </si>
  <si>
    <t>OPP-03011</t>
  </si>
  <si>
    <t>OPP-03013</t>
  </si>
  <si>
    <t>OPP-03014</t>
  </si>
  <si>
    <t>OPP-03016</t>
  </si>
  <si>
    <t>OPP-03429</t>
  </si>
  <si>
    <t>OPP-03431</t>
  </si>
  <si>
    <t>OPP-04303</t>
  </si>
  <si>
    <t>OPP-05039</t>
  </si>
  <si>
    <t>OPP-05040</t>
  </si>
  <si>
    <t>OPP-05481</t>
  </si>
  <si>
    <t>OPP-06346</t>
  </si>
  <si>
    <t>OPP-06347</t>
  </si>
  <si>
    <t>OPP-06348</t>
  </si>
  <si>
    <t>OPP-06349</t>
  </si>
  <si>
    <t>OPP-06471</t>
  </si>
  <si>
    <t>OPP-06473</t>
  </si>
  <si>
    <t>OPP-00048</t>
  </si>
  <si>
    <t>OPP-00051</t>
  </si>
  <si>
    <t>OPP-00052</t>
  </si>
  <si>
    <t>OPP-00053</t>
  </si>
  <si>
    <t>OPP-00055</t>
  </si>
  <si>
    <t>OPP-00056</t>
  </si>
  <si>
    <t>OPP-00057</t>
  </si>
  <si>
    <t>OPP-00058</t>
  </si>
  <si>
    <t>OPP-00295</t>
  </si>
  <si>
    <t>OPP-00296</t>
  </si>
  <si>
    <t>OPP-00629</t>
  </si>
  <si>
    <t>OPP-00630</t>
  </si>
  <si>
    <t>OPP-00632</t>
  </si>
  <si>
    <t>OPP-00633</t>
  </si>
  <si>
    <t>OPP-00634</t>
  </si>
  <si>
    <t>OPP-00635</t>
  </si>
  <si>
    <t>OPP-00636</t>
  </si>
  <si>
    <t>OPP-00640</t>
  </si>
  <si>
    <t>OPP-00897</t>
  </si>
  <si>
    <t>OPP-01512</t>
  </si>
  <si>
    <t>OPP-01513</t>
  </si>
  <si>
    <t>OPP-01516</t>
  </si>
  <si>
    <t>OPP-01518</t>
  </si>
  <si>
    <t>OPP-01520</t>
  </si>
  <si>
    <t>OPP-01522</t>
  </si>
  <si>
    <t>OPP-01524</t>
  </si>
  <si>
    <t>OPP-01720</t>
  </si>
  <si>
    <t>OPP-01721</t>
  </si>
  <si>
    <t>OPP-02013</t>
  </si>
  <si>
    <t>OPP-02488</t>
  </si>
  <si>
    <t>OPP-02489</t>
  </si>
  <si>
    <t>OPP-02491</t>
  </si>
  <si>
    <t>OPP-02492</t>
  </si>
  <si>
    <t>OPP-02493</t>
  </si>
  <si>
    <t>OPP-02494</t>
  </si>
  <si>
    <t>OPP-02495</t>
  </si>
  <si>
    <t>OPP-02496</t>
  </si>
  <si>
    <t>OPP-02500</t>
  </si>
  <si>
    <t>OPP-02727</t>
  </si>
  <si>
    <t>OPP-02729</t>
  </si>
  <si>
    <t>OPP-02731</t>
  </si>
  <si>
    <t>OPP-03160</t>
  </si>
  <si>
    <t>OPP-03161</t>
  </si>
  <si>
    <t>OPP-03163</t>
  </si>
  <si>
    <t>OPP-03165</t>
  </si>
  <si>
    <t>OPP-03167</t>
  </si>
  <si>
    <t>OPP-03168</t>
  </si>
  <si>
    <t>OPP-03169</t>
  </si>
  <si>
    <t>OPP-03427</t>
  </si>
  <si>
    <t>OPP-03428</t>
  </si>
  <si>
    <t>OPP-03430</t>
  </si>
  <si>
    <t>OPP-03706</t>
  </si>
  <si>
    <t>OPP-03708</t>
  </si>
  <si>
    <t>OPP-03709</t>
  </si>
  <si>
    <t>OPP-03710</t>
  </si>
  <si>
    <t>OPP-03711</t>
  </si>
  <si>
    <t>OPP-03713</t>
  </si>
  <si>
    <t>OPP-03714</t>
  </si>
  <si>
    <t>OPP-03716</t>
  </si>
  <si>
    <t>OPP-03717</t>
  </si>
  <si>
    <t>OPP-03718</t>
  </si>
  <si>
    <t>OPP-03967</t>
  </si>
  <si>
    <t>OPP-03968</t>
  </si>
  <si>
    <t>OPP-03971</t>
  </si>
  <si>
    <t>OPP-03972</t>
  </si>
  <si>
    <t>OPP-03974</t>
  </si>
  <si>
    <t>OPP-04184</t>
  </si>
  <si>
    <t>OPP-04454</t>
  </si>
  <si>
    <t>OPP-04456</t>
  </si>
  <si>
    <t>OPP-04457</t>
  </si>
  <si>
    <t>OPP-04458</t>
  </si>
  <si>
    <t>OPP-04459</t>
  </si>
  <si>
    <t>OPP-04460</t>
  </si>
  <si>
    <t>OPP-04694</t>
  </si>
  <si>
    <t>OPP-04695</t>
  </si>
  <si>
    <t>OPP-04696</t>
  </si>
  <si>
    <t>OPP-04700</t>
  </si>
  <si>
    <t>OPP-04701</t>
  </si>
  <si>
    <t>OPP-04920</t>
  </si>
  <si>
    <t>OPP-04921</t>
  </si>
  <si>
    <t>OPP-04923</t>
  </si>
  <si>
    <t>OPP-04924</t>
  </si>
  <si>
    <t>OPP-04926</t>
  </si>
  <si>
    <t>OPP-05042</t>
  </si>
  <si>
    <t>OPP-05218</t>
  </si>
  <si>
    <t>OPP-05220</t>
  </si>
  <si>
    <t>OPP-05221</t>
  </si>
  <si>
    <t>OPP-05223</t>
  </si>
  <si>
    <t>OPP-05225</t>
  </si>
  <si>
    <t>OPP-05229</t>
  </si>
  <si>
    <t>OPP-05231</t>
  </si>
  <si>
    <t>OPP-05482</t>
  </si>
  <si>
    <t>OPP-05483</t>
  </si>
  <si>
    <t>OPP-05484</t>
  </si>
  <si>
    <t>OPP-05636</t>
  </si>
  <si>
    <t>OPP-05637</t>
  </si>
  <si>
    <t>OPP-05638</t>
  </si>
  <si>
    <t>OPP-05639</t>
  </si>
  <si>
    <t>OPP-05642</t>
  </si>
  <si>
    <t>OPP-05643</t>
  </si>
  <si>
    <t>OPP-05644</t>
  </si>
  <si>
    <t>OPP-05645</t>
  </si>
  <si>
    <t>OPP-05956</t>
  </si>
  <si>
    <t>OPP-05957</t>
  </si>
  <si>
    <t>OPP-05961</t>
  </si>
  <si>
    <t>OPP-05963</t>
  </si>
  <si>
    <t>OPP-05965</t>
  </si>
  <si>
    <t>OPP-05967</t>
  </si>
  <si>
    <t>OPP-06193</t>
  </si>
  <si>
    <t>OPP-06194</t>
  </si>
  <si>
    <t>OPP-06195</t>
  </si>
  <si>
    <t>OPP-06196</t>
  </si>
  <si>
    <t>OPP-06198</t>
  </si>
  <si>
    <t>OPP-06472</t>
  </si>
  <si>
    <t>OPP-06636</t>
  </si>
  <si>
    <t>OPP-06637</t>
  </si>
  <si>
    <t>OPP-06638</t>
  </si>
  <si>
    <t>OPP-06639</t>
  </si>
  <si>
    <t>OPP-06640</t>
  </si>
  <si>
    <t>OPP-06642</t>
  </si>
  <si>
    <t>OPP-06643</t>
  </si>
  <si>
    <t>OPP-00047</t>
  </si>
  <si>
    <t>OPP-00049</t>
  </si>
  <si>
    <t>OPP-00050</t>
  </si>
  <si>
    <t>OPP-00054</t>
  </si>
  <si>
    <t>OPP-00294</t>
  </si>
  <si>
    <t>OPP-00631</t>
  </si>
  <si>
    <t>OPP-00637</t>
  </si>
  <si>
    <t>OPP-00638</t>
  </si>
  <si>
    <t>OPP-00639</t>
  </si>
  <si>
    <t>OPP-01514</t>
  </si>
  <si>
    <t>OPP-01515</t>
  </si>
  <si>
    <t>OPP-01517</t>
  </si>
  <si>
    <t>OPP-01519</t>
  </si>
  <si>
    <t>OPP-01521</t>
  </si>
  <si>
    <t>OPP-01523</t>
  </si>
  <si>
    <t>OPP-01718</t>
  </si>
  <si>
    <t>OPP-01719</t>
  </si>
  <si>
    <t>OPP-01722</t>
  </si>
  <si>
    <t>OPP-02012</t>
  </si>
  <si>
    <t>OPP-02014</t>
  </si>
  <si>
    <t>OPP-02015</t>
  </si>
  <si>
    <t>OPP-02016</t>
  </si>
  <si>
    <t>OPP-02017</t>
  </si>
  <si>
    <t>OPP-02018</t>
  </si>
  <si>
    <t>OPP-02490</t>
  </si>
  <si>
    <t>OPP-02497</t>
  </si>
  <si>
    <t>OPP-02498</t>
  </si>
  <si>
    <t>OPP-02499</t>
  </si>
  <si>
    <t>OPP-02728</t>
  </si>
  <si>
    <t>OPP-02730</t>
  </si>
  <si>
    <t>OPP-02732</t>
  </si>
  <si>
    <t>OPP-02733</t>
  </si>
  <si>
    <t>OPP-02734</t>
  </si>
  <si>
    <t>OPP-03010</t>
  </si>
  <si>
    <t>OPP-03162</t>
  </si>
  <si>
    <t>OPP-03164</t>
  </si>
  <si>
    <t>OPP-03166</t>
  </si>
  <si>
    <t>OPP-03705</t>
  </si>
  <si>
    <t>OPP-03707</t>
  </si>
  <si>
    <t>OPP-03712</t>
  </si>
  <si>
    <t>OPP-03715</t>
  </si>
  <si>
    <t>OPP-03719</t>
  </si>
  <si>
    <t>OPP-03969</t>
  </si>
  <si>
    <t>OPP-03970</t>
  </si>
  <si>
    <t>OPP-03973</t>
  </si>
  <si>
    <t>OPP-04455</t>
  </si>
  <si>
    <t>OPP-04461</t>
  </si>
  <si>
    <t>OPP-04692</t>
  </si>
  <si>
    <t>OPP-04693</t>
  </si>
  <si>
    <t>OPP-04697</t>
  </si>
  <si>
    <t>OPP-04698</t>
  </si>
  <si>
    <t>OPP-04699</t>
  </si>
  <si>
    <t>OPP-04702</t>
  </si>
  <si>
    <t>OPP-04922</t>
  </si>
  <si>
    <t>OPP-04925</t>
  </si>
  <si>
    <t>OPP-05041</t>
  </si>
  <si>
    <t>OPP-05217</t>
  </si>
  <si>
    <t>OPP-05219</t>
  </si>
  <si>
    <t>OPP-05222</t>
  </si>
  <si>
    <t>OPP-05224</t>
  </si>
  <si>
    <t>OPP-05226</t>
  </si>
  <si>
    <t>OPP-05227</t>
  </si>
  <si>
    <t>OPP-05228</t>
  </si>
  <si>
    <t>OPP-05230</t>
  </si>
  <si>
    <t>OPP-05640</t>
  </si>
  <si>
    <t>OPP-05641</t>
  </si>
  <si>
    <t>OPP-05958</t>
  </si>
  <si>
    <t>OPP-05959</t>
  </si>
  <si>
    <t>OPP-05960</t>
  </si>
  <si>
    <t>OPP-05962</t>
  </si>
  <si>
    <t>OPP-05964</t>
  </si>
  <si>
    <t>OPP-05966</t>
  </si>
  <si>
    <t>OPP-05968</t>
  </si>
  <si>
    <t>OPP-06197</t>
  </si>
  <si>
    <t>OPP-06641</t>
  </si>
  <si>
    <t>OPP-06644</t>
  </si>
  <si>
    <t>OPP-01312</t>
  </si>
  <si>
    <t>OPP-05852</t>
  </si>
  <si>
    <t>OPP-01047</t>
  </si>
  <si>
    <t>OPP-01049</t>
  </si>
  <si>
    <t>OPP-01313</t>
  </si>
  <si>
    <t>OPP-03012</t>
  </si>
  <si>
    <t>OPP-03015</t>
  </si>
  <si>
    <t>OPP-04183</t>
  </si>
  <si>
    <t>OPP-05853</t>
  </si>
  <si>
    <t>OPP-05854</t>
  </si>
  <si>
    <t>OPP-05855</t>
  </si>
  <si>
    <t>OPP-00173</t>
  </si>
  <si>
    <t>OPP-00175</t>
  </si>
  <si>
    <t>OPP-00176</t>
  </si>
  <si>
    <t>OPP-00179</t>
  </si>
  <si>
    <t>OPP-00373</t>
  </si>
  <si>
    <t>OPP-00374</t>
  </si>
  <si>
    <t>OPP-00375</t>
  </si>
  <si>
    <t>OPP-00508</t>
  </si>
  <si>
    <t>OPP-00509</t>
  </si>
  <si>
    <t>OPP-00511</t>
  </si>
  <si>
    <t>OPP-00512</t>
  </si>
  <si>
    <t>OPP-00513</t>
  </si>
  <si>
    <t>OPP-00777</t>
  </si>
  <si>
    <t>OPP-00778</t>
  </si>
  <si>
    <t>OPP-00966</t>
  </si>
  <si>
    <t>OPP-01106</t>
  </si>
  <si>
    <t>OPP-01227</t>
  </si>
  <si>
    <t>OPP-01229</t>
  </si>
  <si>
    <t>OPP-01231</t>
  </si>
  <si>
    <t>OPP-01439</t>
  </si>
  <si>
    <t>OPP-01440</t>
  </si>
  <si>
    <t>OPP-01443</t>
  </si>
  <si>
    <t>OPP-01652</t>
  </si>
  <si>
    <t>OPP-01653</t>
  </si>
  <si>
    <t>OPP-01654</t>
  </si>
  <si>
    <t>OPP-01656</t>
  </si>
  <si>
    <t>OPP-01657</t>
  </si>
  <si>
    <t>OPP-01658</t>
  </si>
  <si>
    <t>OPP-01659</t>
  </si>
  <si>
    <t>OPP-01660</t>
  </si>
  <si>
    <t>OPP-01842</t>
  </si>
  <si>
    <t>OPP-01843</t>
  </si>
  <si>
    <t>OPP-01846</t>
  </si>
  <si>
    <t>OPP-01847</t>
  </si>
  <si>
    <t>OPP-01912</t>
  </si>
  <si>
    <t>OPP-01913</t>
  </si>
  <si>
    <t>OPP-01914</t>
  </si>
  <si>
    <t>OPP-02157</t>
  </si>
  <si>
    <t>OPP-02159</t>
  </si>
  <si>
    <t>OPP-02160</t>
  </si>
  <si>
    <t>OPP-02162</t>
  </si>
  <si>
    <t>OPP-02163</t>
  </si>
  <si>
    <t>OPP-02165</t>
  </si>
  <si>
    <t>OPP-02213</t>
  </si>
  <si>
    <t>OPP-02214</t>
  </si>
  <si>
    <t>OPP-02216</t>
  </si>
  <si>
    <t>OPP-02217</t>
  </si>
  <si>
    <t>OPP-02218</t>
  </si>
  <si>
    <t>OPP-02341</t>
  </si>
  <si>
    <t>OPP-02343</t>
  </si>
  <si>
    <t>OPP-02344</t>
  </si>
  <si>
    <t>OPP-02420</t>
  </si>
  <si>
    <t>OPP-02421</t>
  </si>
  <si>
    <t>OPP-02422</t>
  </si>
  <si>
    <t>OPP-02604</t>
  </si>
  <si>
    <t>OPP-02609</t>
  </si>
  <si>
    <t>OPP-02610</t>
  </si>
  <si>
    <t>OPP-02850</t>
  </si>
  <si>
    <t>OPP-02852</t>
  </si>
  <si>
    <t>OPP-02853</t>
  </si>
  <si>
    <t>OPP-02854</t>
  </si>
  <si>
    <t>OPP-02855</t>
  </si>
  <si>
    <t>OPP-02856</t>
  </si>
  <si>
    <t>OPP-02857</t>
  </si>
  <si>
    <t>OPP-02858</t>
  </si>
  <si>
    <t>OPP-03073</t>
  </si>
  <si>
    <t>OPP-03074</t>
  </si>
  <si>
    <t>OPP-03075</t>
  </si>
  <si>
    <t>OPP-03305</t>
  </si>
  <si>
    <t>OPP-03306</t>
  </si>
  <si>
    <t>OPP-03353</t>
  </si>
  <si>
    <t>OPP-03355</t>
  </si>
  <si>
    <t>OPP-03356</t>
  </si>
  <si>
    <t>OPP-03358</t>
  </si>
  <si>
    <t>OPP-03361</t>
  </si>
  <si>
    <t>OPP-03362</t>
  </si>
  <si>
    <t>OPP-03509</t>
  </si>
  <si>
    <t>OPP-03512</t>
  </si>
  <si>
    <t>OPP-03588</t>
  </si>
  <si>
    <t>OPP-03589</t>
  </si>
  <si>
    <t>OPP-03590</t>
  </si>
  <si>
    <t>OPP-03592</t>
  </si>
  <si>
    <t>OPP-03619</t>
  </si>
  <si>
    <t>OPP-03620</t>
  </si>
  <si>
    <t>OPP-03849</t>
  </si>
  <si>
    <t>OPP-03850</t>
  </si>
  <si>
    <t>OPP-03851</t>
  </si>
  <si>
    <t>OPP-03852</t>
  </si>
  <si>
    <t>OPP-03854</t>
  </si>
  <si>
    <t>OPP-04092</t>
  </si>
  <si>
    <t>OPP-04094</t>
  </si>
  <si>
    <t>OPP-04097</t>
  </si>
  <si>
    <t>OPP-04358</t>
  </si>
  <si>
    <t>OPP-04361</t>
  </si>
  <si>
    <t>OPP-04587</t>
  </si>
  <si>
    <t>OPP-04588</t>
  </si>
  <si>
    <t>OPP-04591</t>
  </si>
  <si>
    <t>OPP-04811</t>
  </si>
  <si>
    <t>OPP-04813</t>
  </si>
  <si>
    <t>OPP-04814</t>
  </si>
  <si>
    <t>OPP-04816</t>
  </si>
  <si>
    <t>OPP-04818</t>
  </si>
  <si>
    <t>OPP-04982</t>
  </si>
  <si>
    <t>OPP-04983</t>
  </si>
  <si>
    <t>OPP-04984</t>
  </si>
  <si>
    <t>OPP-05125</t>
  </si>
  <si>
    <t>OPP-05126</t>
  </si>
  <si>
    <t>OPP-05127</t>
  </si>
  <si>
    <t>OPP-05128</t>
  </si>
  <si>
    <t>OPP-05129</t>
  </si>
  <si>
    <t>OPP-05375</t>
  </si>
  <si>
    <t>OPP-05378</t>
  </si>
  <si>
    <t>OPP-05379</t>
  </si>
  <si>
    <t>OPP-05380</t>
  </si>
  <si>
    <t>OPP-05382</t>
  </si>
  <si>
    <t>OPP-05385</t>
  </si>
  <si>
    <t>OPP-05548</t>
  </si>
  <si>
    <t>OPP-05782</t>
  </si>
  <si>
    <t>OPP-05783</t>
  </si>
  <si>
    <t>OPP-05787</t>
  </si>
  <si>
    <t>OPP-06096</t>
  </si>
  <si>
    <t>OPP-06097</t>
  </si>
  <si>
    <t>OPP-06098</t>
  </si>
  <si>
    <t>OPP-06280</t>
  </si>
  <si>
    <t>OPP-06283</t>
  </si>
  <si>
    <t>OPP-06427</t>
  </si>
  <si>
    <t>OPP-06428</t>
  </si>
  <si>
    <t>OPP-06429</t>
  </si>
  <si>
    <t>OPP-06430</t>
  </si>
  <si>
    <t>OPP-06539</t>
  </si>
  <si>
    <t>OPP-06540</t>
  </si>
  <si>
    <t>OPP-06541</t>
  </si>
  <si>
    <t>OPP-06542</t>
  </si>
  <si>
    <t>OPP-06795</t>
  </si>
  <si>
    <t>OPP-06799</t>
  </si>
  <si>
    <t>OPP-06800</t>
  </si>
  <si>
    <t>OPP-00170</t>
  </si>
  <si>
    <t>OPP-00171</t>
  </si>
  <si>
    <t>OPP-00172</t>
  </si>
  <si>
    <t>OPP-00174</t>
  </si>
  <si>
    <t>OPP-00177</t>
  </si>
  <si>
    <t>OPP-00178</t>
  </si>
  <si>
    <t>OPP-00180</t>
  </si>
  <si>
    <t>OPP-00371</t>
  </si>
  <si>
    <t>OPP-00510</t>
  </si>
  <si>
    <t>OPP-00514</t>
  </si>
  <si>
    <t>OPP-00779</t>
  </si>
  <si>
    <t>OPP-00780</t>
  </si>
  <si>
    <t>OPP-01224</t>
  </si>
  <si>
    <t>OPP-01225</t>
  </si>
  <si>
    <t>OPP-01226</t>
  </si>
  <si>
    <t>OPP-01228</t>
  </si>
  <si>
    <t>OPP-01230</t>
  </si>
  <si>
    <t>OPP-01655</t>
  </si>
  <si>
    <t>OPP-01661</t>
  </si>
  <si>
    <t>OPP-01844</t>
  </si>
  <si>
    <t>OPP-01845</t>
  </si>
  <si>
    <t>OPP-02158</t>
  </si>
  <si>
    <t>OPP-02161</t>
  </si>
  <si>
    <t>OPP-02164</t>
  </si>
  <si>
    <t>OPP-02166</t>
  </si>
  <si>
    <t>OPP-02342</t>
  </si>
  <si>
    <t>OPP-02345</t>
  </si>
  <si>
    <t>OPP-02605</t>
  </si>
  <si>
    <t>OPP-02606</t>
  </si>
  <si>
    <t>OPP-02607</t>
  </si>
  <si>
    <t>OPP-02608</t>
  </si>
  <si>
    <t>OPP-02851</t>
  </si>
  <si>
    <t>OPP-03307</t>
  </si>
  <si>
    <t>OPP-03360</t>
  </si>
  <si>
    <t>OPP-03591</t>
  </si>
  <si>
    <t>OPP-03621</t>
  </si>
  <si>
    <t>OPP-03847</t>
  </si>
  <si>
    <t>OPP-03848</t>
  </si>
  <si>
    <t>OPP-03853</t>
  </si>
  <si>
    <t>OPP-04091</t>
  </si>
  <si>
    <t>OPP-04093</t>
  </si>
  <si>
    <t>OPP-04095</t>
  </si>
  <si>
    <t>OPP-04096</t>
  </si>
  <si>
    <t>OPP-04098</t>
  </si>
  <si>
    <t>OPP-04589</t>
  </si>
  <si>
    <t>OPP-04590</t>
  </si>
  <si>
    <t>OPP-04812</t>
  </si>
  <si>
    <t>OPP-04815</t>
  </si>
  <si>
    <t>OPP-04817</t>
  </si>
  <si>
    <t>OPP-04819</t>
  </si>
  <si>
    <t>OPP-04820</t>
  </si>
  <si>
    <t>OPP-05376</t>
  </si>
  <si>
    <t>OPP-05377</t>
  </si>
  <si>
    <t>OPP-05381</t>
  </si>
  <si>
    <t>OPP-05383</t>
  </si>
  <si>
    <t>OPP-05384</t>
  </si>
  <si>
    <t>OPP-05386</t>
  </si>
  <si>
    <t>OPP-05387</t>
  </si>
  <si>
    <t>OPP-05779</t>
  </si>
  <si>
    <t>OPP-05780</t>
  </si>
  <si>
    <t>OPP-05781</t>
  </si>
  <si>
    <t>OPP-05784</t>
  </si>
  <si>
    <t>OPP-05785</t>
  </si>
  <si>
    <t>OPP-05786</t>
  </si>
  <si>
    <t>OPP-05788</t>
  </si>
  <si>
    <t>OPP-06796</t>
  </si>
  <si>
    <t>OPP-06797</t>
  </si>
  <si>
    <t>OPP-06798</t>
  </si>
  <si>
    <t>OPP-04215</t>
  </si>
  <si>
    <t>OPP-04360</t>
  </si>
  <si>
    <t>OPP-05886</t>
  </si>
  <si>
    <t>OPP-05887</t>
  </si>
  <si>
    <t>OPP-00251</t>
  </si>
  <si>
    <t>OPP-01350</t>
  </si>
  <si>
    <t>OPP-03076</t>
  </si>
  <si>
    <t>OPP-03080</t>
  </si>
  <si>
    <t>OPP-04214</t>
  </si>
  <si>
    <t>OPP-04216</t>
  </si>
  <si>
    <t>OPP-04259</t>
  </si>
  <si>
    <t>OPP-05885</t>
  </si>
  <si>
    <t>OPP-00249</t>
  </si>
  <si>
    <t>OPP-00250</t>
  </si>
  <si>
    <t>OPP-00372</t>
  </si>
  <si>
    <t>OPP-00967</t>
  </si>
  <si>
    <t>OPP-01000</t>
  </si>
  <si>
    <t>OPP-01107</t>
  </si>
  <si>
    <t>OPP-01349</t>
  </si>
  <si>
    <t>OPP-01441</t>
  </si>
  <si>
    <t>OPP-01442</t>
  </si>
  <si>
    <t>OPP-01444</t>
  </si>
  <si>
    <t>OPP-01445</t>
  </si>
  <si>
    <t>OPP-02215</t>
  </si>
  <si>
    <t>OPP-02962</t>
  </si>
  <si>
    <t>OPP-03077</t>
  </si>
  <si>
    <t>OPP-03078</t>
  </si>
  <si>
    <t>OPP-03079</t>
  </si>
  <si>
    <t>OPP-03354</t>
  </si>
  <si>
    <t>OPP-03357</t>
  </si>
  <si>
    <t>OPP-03359</t>
  </si>
  <si>
    <t>OPP-03510</t>
  </si>
  <si>
    <t>OPP-03511</t>
  </si>
  <si>
    <t>OPP-03513</t>
  </si>
  <si>
    <t>OPP-03514</t>
  </si>
  <si>
    <t>OPP-04260</t>
  </si>
  <si>
    <t>OPP-04359</t>
  </si>
  <si>
    <t>OPP-04362</t>
  </si>
  <si>
    <t>OPP-04363</t>
  </si>
  <si>
    <t>OPP-05549</t>
  </si>
  <si>
    <t>OPP-05550</t>
  </si>
  <si>
    <t>OPP-06281</t>
  </si>
  <si>
    <t>OPP-06282</t>
  </si>
  <si>
    <t>OPP-06538</t>
  </si>
  <si>
    <t>OPP-06543</t>
  </si>
  <si>
    <t>OPP-00059</t>
  </si>
  <si>
    <t>OPP-00060</t>
  </si>
  <si>
    <t>OPP-00063</t>
  </si>
  <si>
    <t>OPP-00065</t>
  </si>
  <si>
    <t>OPP-00298</t>
  </si>
  <si>
    <t>OPP-00299</t>
  </si>
  <si>
    <t>OPP-00641</t>
  </si>
  <si>
    <t>OPP-00644</t>
  </si>
  <si>
    <t>OPP-00647</t>
  </si>
  <si>
    <t>OPP-00651</t>
  </si>
  <si>
    <t>OPP-00652</t>
  </si>
  <si>
    <t>OPP-01376</t>
  </si>
  <si>
    <t>OPP-01525</t>
  </si>
  <si>
    <t>OPP-01528</t>
  </si>
  <si>
    <t>OPP-01529</t>
  </si>
  <si>
    <t>OPP-01532</t>
  </si>
  <si>
    <t>OPP-01723</t>
  </si>
  <si>
    <t>OPP-01724</t>
  </si>
  <si>
    <t>OPP-01726</t>
  </si>
  <si>
    <t>OPP-01727</t>
  </si>
  <si>
    <t>OPP-02020</t>
  </si>
  <si>
    <t>OPP-02021</t>
  </si>
  <si>
    <t>OPP-02022</t>
  </si>
  <si>
    <t>OPP-02024</t>
  </si>
  <si>
    <t>OPP-02025</t>
  </si>
  <si>
    <t>OPP-02026</t>
  </si>
  <si>
    <t>OPP-02027</t>
  </si>
  <si>
    <t>OPP-02028</t>
  </si>
  <si>
    <t>OPP-02504</t>
  </si>
  <si>
    <t>OPP-02508</t>
  </si>
  <si>
    <t>OPP-02509</t>
  </si>
  <si>
    <t>OPP-02738</t>
  </si>
  <si>
    <t>OPP-03170</t>
  </si>
  <si>
    <t>OPP-03172</t>
  </si>
  <si>
    <t>OPP-03173</t>
  </si>
  <si>
    <t>OPP-03174</t>
  </si>
  <si>
    <t>OPP-03175</t>
  </si>
  <si>
    <t>OPP-03177</t>
  </si>
  <si>
    <t>OPP-03179</t>
  </si>
  <si>
    <t>OPP-03181</t>
  </si>
  <si>
    <t>OPP-03432</t>
  </si>
  <si>
    <t>OPP-03433</t>
  </si>
  <si>
    <t>OPP-03434</t>
  </si>
  <si>
    <t>OPP-03435</t>
  </si>
  <si>
    <t>OPP-03721</t>
  </si>
  <si>
    <t>OPP-03723</t>
  </si>
  <si>
    <t>OPP-03724</t>
  </si>
  <si>
    <t>OPP-03725</t>
  </si>
  <si>
    <t>OPP-03726</t>
  </si>
  <si>
    <t>OPP-03728</t>
  </si>
  <si>
    <t>OPP-03978</t>
  </si>
  <si>
    <t>OPP-04462</t>
  </si>
  <si>
    <t>OPP-04466</t>
  </si>
  <si>
    <t>OPP-04469</t>
  </si>
  <si>
    <t>OPP-04470</t>
  </si>
  <si>
    <t>OPP-04471</t>
  </si>
  <si>
    <t>OPP-04703</t>
  </si>
  <si>
    <t>OPP-04706</t>
  </si>
  <si>
    <t>OPP-04707</t>
  </si>
  <si>
    <t>OPP-04708</t>
  </si>
  <si>
    <t>OPP-04710</t>
  </si>
  <si>
    <t>OPP-04711</t>
  </si>
  <si>
    <t>OPP-04928</t>
  </si>
  <si>
    <t>OPP-05043</t>
  </si>
  <si>
    <t>OPP-05044</t>
  </si>
  <si>
    <t>OPP-05045</t>
  </si>
  <si>
    <t>OPP-05234</t>
  </si>
  <si>
    <t>OPP-05237</t>
  </si>
  <si>
    <t>OPP-05238</t>
  </si>
  <si>
    <t>OPP-05240</t>
  </si>
  <si>
    <t>OPP-05485</t>
  </si>
  <si>
    <t>OPP-05486</t>
  </si>
  <si>
    <t>OPP-05487</t>
  </si>
  <si>
    <t>OPP-05488</t>
  </si>
  <si>
    <t>OPP-05489</t>
  </si>
  <si>
    <t>OPP-05647</t>
  </si>
  <si>
    <t>OPP-05650</t>
  </si>
  <si>
    <t>OPP-05653</t>
  </si>
  <si>
    <t>OPP-05655</t>
  </si>
  <si>
    <t>OPP-05969</t>
  </si>
  <si>
    <t>OPP-05970</t>
  </si>
  <si>
    <t>OPP-05973</t>
  </si>
  <si>
    <t>OPP-05974</t>
  </si>
  <si>
    <t>OPP-06199</t>
  </si>
  <si>
    <t>OPP-06350</t>
  </si>
  <si>
    <t>OPP-06351</t>
  </si>
  <si>
    <t>OPP-06353</t>
  </si>
  <si>
    <t>OPP-06474</t>
  </si>
  <si>
    <t>OPP-06476</t>
  </si>
  <si>
    <t>OPP-06477</t>
  </si>
  <si>
    <t>OPP-06645</t>
  </si>
  <si>
    <t>OPP-06646</t>
  </si>
  <si>
    <t>OPP-06649</t>
  </si>
  <si>
    <t>OPP-06650</t>
  </si>
  <si>
    <t>OPP-00061</t>
  </si>
  <si>
    <t>OPP-00062</t>
  </si>
  <si>
    <t>OPP-00064</t>
  </si>
  <si>
    <t>OPP-00407</t>
  </si>
  <si>
    <t>OPP-00642</t>
  </si>
  <si>
    <t>OPP-00643</t>
  </si>
  <si>
    <t>OPP-00645</t>
  </si>
  <si>
    <t>OPP-00646</t>
  </si>
  <si>
    <t>OPP-00648</t>
  </si>
  <si>
    <t>OPP-00649</t>
  </si>
  <si>
    <t>OPP-00650</t>
  </si>
  <si>
    <t>OPP-01526</t>
  </si>
  <si>
    <t>OPP-01527</t>
  </si>
  <si>
    <t>OPP-01530</t>
  </si>
  <si>
    <t>OPP-01531</t>
  </si>
  <si>
    <t>OPP-01725</t>
  </si>
  <si>
    <t>OPP-02019</t>
  </si>
  <si>
    <t>OPP-02023</t>
  </si>
  <si>
    <t>OPP-02252</t>
  </si>
  <si>
    <t>OPP-02501</t>
  </si>
  <si>
    <t>OPP-02502</t>
  </si>
  <si>
    <t>OPP-02503</t>
  </si>
  <si>
    <t>OPP-02505</t>
  </si>
  <si>
    <t>OPP-02506</t>
  </si>
  <si>
    <t>OPP-02507</t>
  </si>
  <si>
    <t>OPP-02735</t>
  </si>
  <si>
    <t>OPP-02736</t>
  </si>
  <si>
    <t>OPP-02737</t>
  </si>
  <si>
    <t>OPP-03171</t>
  </si>
  <si>
    <t>OPP-03176</t>
  </si>
  <si>
    <t>OPP-03178</t>
  </si>
  <si>
    <t>OPP-03180</t>
  </si>
  <si>
    <t>OPP-03182</t>
  </si>
  <si>
    <t>OPP-03720</t>
  </si>
  <si>
    <t>OPP-03722</t>
  </si>
  <si>
    <t>OPP-03727</t>
  </si>
  <si>
    <t>OPP-03729</t>
  </si>
  <si>
    <t>OPP-03975</t>
  </si>
  <si>
    <t>OPP-03976</t>
  </si>
  <si>
    <t>OPP-03977</t>
  </si>
  <si>
    <t>OPP-03979</t>
  </si>
  <si>
    <t>OPP-04463</t>
  </si>
  <si>
    <t>OPP-04464</t>
  </si>
  <si>
    <t>OPP-04465</t>
  </si>
  <si>
    <t>OPP-04467</t>
  </si>
  <si>
    <t>OPP-04468</t>
  </si>
  <si>
    <t>OPP-04704</t>
  </si>
  <si>
    <t>OPP-04705</t>
  </si>
  <si>
    <t>OPP-04709</t>
  </si>
  <si>
    <t>OPP-05232</t>
  </si>
  <si>
    <t>OPP-05233</t>
  </si>
  <si>
    <t>OPP-05235</t>
  </si>
  <si>
    <t>OPP-05236</t>
  </si>
  <si>
    <t>OPP-05239</t>
  </si>
  <si>
    <t>OPP-05241</t>
  </si>
  <si>
    <t>OPP-05242</t>
  </si>
  <si>
    <t>OPP-05646</t>
  </si>
  <si>
    <t>OPP-05648</t>
  </si>
  <si>
    <t>OPP-05649</t>
  </si>
  <si>
    <t>OPP-05651</t>
  </si>
  <si>
    <t>OPP-05652</t>
  </si>
  <si>
    <t>OPP-05654</t>
  </si>
  <si>
    <t>OPP-05656</t>
  </si>
  <si>
    <t>OPP-05971</t>
  </si>
  <si>
    <t>OPP-05972</t>
  </si>
  <si>
    <t>OPP-06475</t>
  </si>
  <si>
    <t>OPP-06647</t>
  </si>
  <si>
    <t>OPP-06648</t>
  </si>
  <si>
    <t>OPP-06651</t>
  </si>
  <si>
    <t>OPP-06652</t>
  </si>
  <si>
    <t>OPP-00899</t>
  </si>
  <si>
    <t>OPP-00901</t>
  </si>
  <si>
    <t>OPP-01051</t>
  </si>
  <si>
    <t>OPP-01314</t>
  </si>
  <si>
    <t>OPP-01317</t>
  </si>
  <si>
    <t>OPP-01377</t>
  </si>
  <si>
    <t>OPP-04186</t>
  </si>
  <si>
    <t>OPP-04306</t>
  </si>
  <si>
    <t>OPP-00900</t>
  </si>
  <si>
    <t>OPP-01315</t>
  </si>
  <si>
    <t>OPP-01316</t>
  </si>
  <si>
    <t>OPP-01378</t>
  </si>
  <si>
    <t>OPP-01379</t>
  </si>
  <si>
    <t>OPP-03017</t>
  </si>
  <si>
    <t>OPP-04185</t>
  </si>
  <si>
    <t>OPP-04187</t>
  </si>
  <si>
    <t>OPP-04304</t>
  </si>
  <si>
    <t>OPP-04305</t>
  </si>
  <si>
    <t>OPP-04927</t>
  </si>
  <si>
    <t>OPP-04929</t>
  </si>
  <si>
    <t>OPP-04930</t>
  </si>
  <si>
    <t>OPP-05856</t>
  </si>
  <si>
    <t>OPP-05857</t>
  </si>
  <si>
    <t>OPP-06352</t>
  </si>
  <si>
    <t>OPP-06478</t>
  </si>
  <si>
    <t>OPP-00936</t>
  </si>
  <si>
    <t>OPP-00937</t>
  </si>
  <si>
    <t>OPP-01080</t>
  </si>
  <si>
    <t>OPP-01415</t>
  </si>
  <si>
    <t>OPP-01417</t>
  </si>
  <si>
    <t>OPP-03042</t>
  </si>
  <si>
    <t>OPP-03043</t>
  </si>
  <si>
    <t>OPP-04203</t>
  </si>
  <si>
    <t>OPP-04247</t>
  </si>
  <si>
    <t>OPP-05869</t>
  </si>
  <si>
    <t>OPP-00106</t>
  </si>
  <si>
    <t>OPP-00108</t>
  </si>
  <si>
    <t>OPP-00110</t>
  </si>
  <si>
    <t>OPP-00112</t>
  </si>
  <si>
    <t>OPP-00113</t>
  </si>
  <si>
    <t>OPP-00114</t>
  </si>
  <si>
    <t>OPP-00115</t>
  </si>
  <si>
    <t>OPP-00116</t>
  </si>
  <si>
    <t>OPP-00331</t>
  </si>
  <si>
    <t>OPP-00332</t>
  </si>
  <si>
    <t>OPP-00333</t>
  </si>
  <si>
    <t>OPP-00334</t>
  </si>
  <si>
    <t>OPP-00336</t>
  </si>
  <si>
    <t>OPP-00337</t>
  </si>
  <si>
    <t>OPP-00338</t>
  </si>
  <si>
    <t>OPP-00460</t>
  </si>
  <si>
    <t>OPP-00461</t>
  </si>
  <si>
    <t>OPP-00462</t>
  </si>
  <si>
    <t>OPP-00464</t>
  </si>
  <si>
    <t>OPP-00465</t>
  </si>
  <si>
    <t>OPP-00466</t>
  </si>
  <si>
    <t>OPP-00715</t>
  </si>
  <si>
    <t>OPP-00716</t>
  </si>
  <si>
    <t>OPP-00717</t>
  </si>
  <si>
    <t>OPP-00718</t>
  </si>
  <si>
    <t>OPP-00719</t>
  </si>
  <si>
    <t>OPP-00720</t>
  </si>
  <si>
    <t>OPP-00721</t>
  </si>
  <si>
    <t>OPP-00722</t>
  </si>
  <si>
    <t>OPP-00935</t>
  </si>
  <si>
    <t>OPP-01171</t>
  </si>
  <si>
    <t>OPP-01172</t>
  </si>
  <si>
    <t>OPP-01173</t>
  </si>
  <si>
    <t>OPP-01174</t>
  </si>
  <si>
    <t>OPP-01175</t>
  </si>
  <si>
    <t>OPP-01413</t>
  </si>
  <si>
    <t>OPP-01592</t>
  </si>
  <si>
    <t>OPP-01597</t>
  </si>
  <si>
    <t>OPP-01598</t>
  </si>
  <si>
    <t>OPP-01599</t>
  </si>
  <si>
    <t>OPP-01600</t>
  </si>
  <si>
    <t>OPP-01778</t>
  </si>
  <si>
    <t>OPP-01780</t>
  </si>
  <si>
    <t>OPP-01782</t>
  </si>
  <si>
    <t>OPP-01783</t>
  </si>
  <si>
    <t>OPP-01871</t>
  </si>
  <si>
    <t>OPP-01872</t>
  </si>
  <si>
    <t>OPP-02084</t>
  </si>
  <si>
    <t>OPP-02085</t>
  </si>
  <si>
    <t>OPP-02086</t>
  </si>
  <si>
    <t>OPP-02088</t>
  </si>
  <si>
    <t>OPP-02090</t>
  </si>
  <si>
    <t>OPP-02092</t>
  </si>
  <si>
    <t>OPP-02093</t>
  </si>
  <si>
    <t>OPP-02095</t>
  </si>
  <si>
    <t>OPP-02098</t>
  </si>
  <si>
    <t>OPP-02286</t>
  </si>
  <si>
    <t>OPP-02288</t>
  </si>
  <si>
    <t>OPP-02289</t>
  </si>
  <si>
    <t>OPP-02291</t>
  </si>
  <si>
    <t>OPP-02558</t>
  </si>
  <si>
    <t>OPP-02559</t>
  </si>
  <si>
    <t>OPP-02560</t>
  </si>
  <si>
    <t>OPP-02792</t>
  </si>
  <si>
    <t>OPP-02794</t>
  </si>
  <si>
    <t>OPP-02796</t>
  </si>
  <si>
    <t>OPP-02798</t>
  </si>
  <si>
    <t>OPP-02799</t>
  </si>
  <si>
    <t>OPP-02801</t>
  </si>
  <si>
    <t>OPP-02802</t>
  </si>
  <si>
    <t>OPP-02803</t>
  </si>
  <si>
    <t>OPP-02804</t>
  </si>
  <si>
    <t>OPP-03041</t>
  </si>
  <si>
    <t>OPP-03248</t>
  </si>
  <si>
    <t>OPP-03250</t>
  </si>
  <si>
    <t>OPP-03251</t>
  </si>
  <si>
    <t>OPP-03468</t>
  </si>
  <si>
    <t>OPP-03469</t>
  </si>
  <si>
    <t>OPP-03470</t>
  </si>
  <si>
    <t>OPP-03472</t>
  </si>
  <si>
    <t>OPP-03474</t>
  </si>
  <si>
    <t>OPP-03550</t>
  </si>
  <si>
    <t>OPP-03788</t>
  </si>
  <si>
    <t>OPP-03793</t>
  </si>
  <si>
    <t>OPP-04033</t>
  </si>
  <si>
    <t>OPP-04035</t>
  </si>
  <si>
    <t>OPP-04523</t>
  </si>
  <si>
    <t>OPP-04525</t>
  </si>
  <si>
    <t>OPP-04526</t>
  </si>
  <si>
    <t>OPP-04761</t>
  </si>
  <si>
    <t>OPP-04765</t>
  </si>
  <si>
    <t>OPP-04955</t>
  </si>
  <si>
    <t>OPP-04957</t>
  </si>
  <si>
    <t>OPP-05084</t>
  </si>
  <si>
    <t>OPP-05085</t>
  </si>
  <si>
    <t>OPP-05086</t>
  </si>
  <si>
    <t>OPP-05087</t>
  </si>
  <si>
    <t>OPP-05089</t>
  </si>
  <si>
    <t>OPP-05090</t>
  </si>
  <si>
    <t>OPP-05091</t>
  </si>
  <si>
    <t>OPP-05302</t>
  </si>
  <si>
    <t>OPP-05303</t>
  </si>
  <si>
    <t>OPP-05306</t>
  </si>
  <si>
    <t>OPP-05307</t>
  </si>
  <si>
    <t>OPP-05308</t>
  </si>
  <si>
    <t>OPP-05311</t>
  </si>
  <si>
    <t>OPP-05521</t>
  </si>
  <si>
    <t>OPP-05522</t>
  </si>
  <si>
    <t>OPP-05523</t>
  </si>
  <si>
    <t>OPP-05723</t>
  </si>
  <si>
    <t>OPP-05724</t>
  </si>
  <si>
    <t>OPP-05726</t>
  </si>
  <si>
    <t>OPP-06031</t>
  </si>
  <si>
    <t>OPP-06032</t>
  </si>
  <si>
    <t>OPP-06035</t>
  </si>
  <si>
    <t>OPP-06037</t>
  </si>
  <si>
    <t>OPP-06042</t>
  </si>
  <si>
    <t>OPP-06044</t>
  </si>
  <si>
    <t>OPP-06045</t>
  </si>
  <si>
    <t>OPP-06233</t>
  </si>
  <si>
    <t>OPP-06234</t>
  </si>
  <si>
    <t>OPP-06235</t>
  </si>
  <si>
    <t>OPP-06237</t>
  </si>
  <si>
    <t>OPP-06238</t>
  </si>
  <si>
    <t>OPP-06241</t>
  </si>
  <si>
    <t>OPP-06242</t>
  </si>
  <si>
    <t>OPP-06392</t>
  </si>
  <si>
    <t>OPP-06395</t>
  </si>
  <si>
    <t>OPP-06397</t>
  </si>
  <si>
    <t>OPP-06498</t>
  </si>
  <si>
    <t>OPP-06499</t>
  </si>
  <si>
    <t>OPP-06500</t>
  </si>
  <si>
    <t>OPP-06725</t>
  </si>
  <si>
    <t>OPP-06726</t>
  </si>
  <si>
    <t>OPP-06727</t>
  </si>
  <si>
    <t>OPP-06728</t>
  </si>
  <si>
    <t>OPP-06729</t>
  </si>
  <si>
    <t>OPP-06730</t>
  </si>
  <si>
    <t>OPP-06731</t>
  </si>
  <si>
    <t>OPP-06734</t>
  </si>
  <si>
    <t>OPP-06735</t>
  </si>
  <si>
    <t>OPP-00107</t>
  </si>
  <si>
    <t>OPP-00109</t>
  </si>
  <si>
    <t>OPP-00111</t>
  </si>
  <si>
    <t>OPP-00463</t>
  </si>
  <si>
    <t>OPP-00467</t>
  </si>
  <si>
    <t>OPP-00713</t>
  </si>
  <si>
    <t>OPP-00714</t>
  </si>
  <si>
    <t>OPP-01168</t>
  </si>
  <si>
    <t>OPP-01169</t>
  </si>
  <si>
    <t>OPP-01170</t>
  </si>
  <si>
    <t>OPP-01176</t>
  </si>
  <si>
    <t>OPP-01590</t>
  </si>
  <si>
    <t>OPP-01591</t>
  </si>
  <si>
    <t>OPP-01593</t>
  </si>
  <si>
    <t>OPP-01594</t>
  </si>
  <si>
    <t>OPP-01595</t>
  </si>
  <si>
    <t>OPP-01596</t>
  </si>
  <si>
    <t>OPP-01777</t>
  </si>
  <si>
    <t>OPP-01779</t>
  </si>
  <si>
    <t>OPP-01781</t>
  </si>
  <si>
    <t>OPP-01784</t>
  </si>
  <si>
    <t>OPP-01785</t>
  </si>
  <si>
    <t>OPP-01786</t>
  </si>
  <si>
    <t>OPP-01869</t>
  </si>
  <si>
    <t>OPP-01870</t>
  </si>
  <si>
    <t>OPP-01873</t>
  </si>
  <si>
    <t>OPP-02087</t>
  </si>
  <si>
    <t>OPP-02089</t>
  </si>
  <si>
    <t>OPP-02091</t>
  </si>
  <si>
    <t>OPP-02094</t>
  </si>
  <si>
    <t>OPP-02096</t>
  </si>
  <si>
    <t>OPP-02097</t>
  </si>
  <si>
    <t>OPP-02285</t>
  </si>
  <si>
    <t>OPP-02287</t>
  </si>
  <si>
    <t>OPP-02290</t>
  </si>
  <si>
    <t>OPP-02556</t>
  </si>
  <si>
    <t>OPP-02557</t>
  </si>
  <si>
    <t>OPP-02793</t>
  </si>
  <si>
    <t>OPP-02795</t>
  </si>
  <si>
    <t>OPP-02797</t>
  </si>
  <si>
    <t>OPP-02800</t>
  </si>
  <si>
    <t>OPP-03249</t>
  </si>
  <si>
    <t>OPP-03252</t>
  </si>
  <si>
    <t>OPP-03253</t>
  </si>
  <si>
    <t>OPP-03254</t>
  </si>
  <si>
    <t>OPP-03255</t>
  </si>
  <si>
    <t>OPP-03256</t>
  </si>
  <si>
    <t>OPP-03471</t>
  </si>
  <si>
    <t>OPP-03473</t>
  </si>
  <si>
    <t>OPP-03551</t>
  </si>
  <si>
    <t>OPP-03789</t>
  </si>
  <si>
    <t>OPP-03790</t>
  </si>
  <si>
    <t>OPP-03791</t>
  </si>
  <si>
    <t>OPP-03792</t>
  </si>
  <si>
    <t>OPP-03794</t>
  </si>
  <si>
    <t>OPP-04034</t>
  </si>
  <si>
    <t>OPP-04036</t>
  </si>
  <si>
    <t>OPP-04522</t>
  </si>
  <si>
    <t>OPP-04524</t>
  </si>
  <si>
    <t>OPP-04527</t>
  </si>
  <si>
    <t>OPP-04528</t>
  </si>
  <si>
    <t>OPP-04529</t>
  </si>
  <si>
    <t>OPP-04530</t>
  </si>
  <si>
    <t>OPP-04531</t>
  </si>
  <si>
    <t>OPP-04532</t>
  </si>
  <si>
    <t>OPP-04760</t>
  </si>
  <si>
    <t>OPP-04762</t>
  </si>
  <si>
    <t>OPP-04763</t>
  </si>
  <si>
    <t>OPP-04764</t>
  </si>
  <si>
    <t>OPP-05093</t>
  </si>
  <si>
    <t>OPP-05095</t>
  </si>
  <si>
    <t>OPP-05301</t>
  </si>
  <si>
    <t>OPP-05304</t>
  </si>
  <si>
    <t>OPP-05305</t>
  </si>
  <si>
    <t>OPP-05309</t>
  </si>
  <si>
    <t>OPP-05310</t>
  </si>
  <si>
    <t>OPP-05520</t>
  </si>
  <si>
    <t>OPP-05725</t>
  </si>
  <si>
    <t>OPP-05727</t>
  </si>
  <si>
    <t>OPP-06033</t>
  </si>
  <si>
    <t>OPP-06034</t>
  </si>
  <si>
    <t>OPP-06036</t>
  </si>
  <si>
    <t>OPP-06038</t>
  </si>
  <si>
    <t>OPP-06039</t>
  </si>
  <si>
    <t>OPP-06040</t>
  </si>
  <si>
    <t>OPP-06041</t>
  </si>
  <si>
    <t>OPP-06043</t>
  </si>
  <si>
    <t>OPP-06239</t>
  </si>
  <si>
    <t>OPP-06501</t>
  </si>
  <si>
    <t>OPP-06502</t>
  </si>
  <si>
    <t>OPP-06723</t>
  </si>
  <si>
    <t>OPP-06724</t>
  </si>
  <si>
    <t>OPP-06732</t>
  </si>
  <si>
    <t>OPP-06733</t>
  </si>
  <si>
    <t>OPP-00335</t>
  </si>
  <si>
    <t>OPP-00933</t>
  </si>
  <si>
    <t>OPP-00934</t>
  </si>
  <si>
    <t>OPP-00938</t>
  </si>
  <si>
    <t>OPP-00939</t>
  </si>
  <si>
    <t>OPP-01076</t>
  </si>
  <si>
    <t>OPP-01077</t>
  </si>
  <si>
    <t>OPP-01078</t>
  </si>
  <si>
    <t>OPP-01079</t>
  </si>
  <si>
    <t>OPP-01336</t>
  </si>
  <si>
    <t>OPP-01414</t>
  </si>
  <si>
    <t>OPP-01416</t>
  </si>
  <si>
    <t>OPP-03467</t>
  </si>
  <si>
    <t>OPP-04334</t>
  </si>
  <si>
    <t>OPP-04335</t>
  </si>
  <si>
    <t>OPP-04336</t>
  </si>
  <si>
    <t>OPP-04956</t>
  </si>
  <si>
    <t>OPP-05088</t>
  </si>
  <si>
    <t>OPP-05092</t>
  </si>
  <si>
    <t>OPP-05094</t>
  </si>
  <si>
    <t>OPP-06232</t>
  </si>
  <si>
    <t>OPP-06236</t>
  </si>
  <si>
    <t>OPP-06240</t>
  </si>
  <si>
    <t>OPP-06391</t>
  </si>
  <si>
    <t>OPP-06393</t>
  </si>
  <si>
    <t>OPP-06394</t>
  </si>
  <si>
    <t>OPP-06396</t>
  </si>
  <si>
    <t>OPP-06398</t>
  </si>
  <si>
    <t>OPP-01335</t>
  </si>
  <si>
    <t>OPP-04204</t>
  </si>
  <si>
    <t>OPP-01301</t>
  </si>
  <si>
    <t>OPP-01302</t>
  </si>
  <si>
    <t>OPP-04282</t>
  </si>
  <si>
    <t>OPP-00001</t>
  </si>
  <si>
    <t>OPP-00004</t>
  </si>
  <si>
    <t>OPP-00271</t>
  </si>
  <si>
    <t>OPP-00273</t>
  </si>
  <si>
    <t>OPP-00274</t>
  </si>
  <si>
    <t>OPP-00573</t>
  </si>
  <si>
    <t>OPP-00574</t>
  </si>
  <si>
    <t>OPP-00576</t>
  </si>
  <si>
    <t>OPP-01032</t>
  </si>
  <si>
    <t>OPP-01475</t>
  </si>
  <si>
    <t>OPP-01476</t>
  </si>
  <si>
    <t>OPP-01962</t>
  </si>
  <si>
    <t>OPP-01963</t>
  </si>
  <si>
    <t>OPP-01964</t>
  </si>
  <si>
    <t>OPP-01965</t>
  </si>
  <si>
    <t>OPP-01966</t>
  </si>
  <si>
    <t>OPP-01967</t>
  </si>
  <si>
    <t>OPP-02453</t>
  </si>
  <si>
    <t>OPP-02677</t>
  </si>
  <si>
    <t>OPP-02678</t>
  </si>
  <si>
    <t>OPP-02679</t>
  </si>
  <si>
    <t>OPP-02680</t>
  </si>
  <si>
    <t>OPP-02681</t>
  </si>
  <si>
    <t>OPP-02682</t>
  </si>
  <si>
    <t>OPP-02683</t>
  </si>
  <si>
    <t>OPP-02684</t>
  </si>
  <si>
    <t>OPP-02686</t>
  </si>
  <si>
    <t>OPP-02989</t>
  </si>
  <si>
    <t>OPP-02992</t>
  </si>
  <si>
    <t>OPP-03100</t>
  </si>
  <si>
    <t>OPP-03101</t>
  </si>
  <si>
    <t>OPP-03104</t>
  </si>
  <si>
    <t>OPP-03106</t>
  </si>
  <si>
    <t>OPP-03110</t>
  </si>
  <si>
    <t>OPP-03113</t>
  </si>
  <si>
    <t>OPP-03401</t>
  </si>
  <si>
    <t>OPP-03402</t>
  </si>
  <si>
    <t>OPP-03404</t>
  </si>
  <si>
    <t>OPP-03405</t>
  </si>
  <si>
    <t>OPP-03406</t>
  </si>
  <si>
    <t>OPP-03407</t>
  </si>
  <si>
    <t>OPP-03649</t>
  </si>
  <si>
    <t>OPP-03651</t>
  </si>
  <si>
    <t>OPP-03652</t>
  </si>
  <si>
    <t>OPP-03653</t>
  </si>
  <si>
    <t>OPP-03654</t>
  </si>
  <si>
    <t>OPP-03656</t>
  </si>
  <si>
    <t>OPP-03907</t>
  </si>
  <si>
    <t>OPP-03908</t>
  </si>
  <si>
    <t>OPP-03909</t>
  </si>
  <si>
    <t>OPP-03910</t>
  </si>
  <si>
    <t>OPP-03911</t>
  </si>
  <si>
    <t>OPP-03912</t>
  </si>
  <si>
    <t>OPP-03913</t>
  </si>
  <si>
    <t>OPP-03914</t>
  </si>
  <si>
    <t>OPP-03915</t>
  </si>
  <si>
    <t>OPP-03916</t>
  </si>
  <si>
    <t>OPP-03919</t>
  </si>
  <si>
    <t>OPP-04395</t>
  </si>
  <si>
    <t>OPP-04398</t>
  </si>
  <si>
    <t>OPP-04400</t>
  </si>
  <si>
    <t>OPP-04402</t>
  </si>
  <si>
    <t>OPP-04404</t>
  </si>
  <si>
    <t>OPP-04649</t>
  </si>
  <si>
    <t>OPP-04650</t>
  </si>
  <si>
    <t>OPP-04652</t>
  </si>
  <si>
    <t>OPP-04656</t>
  </si>
  <si>
    <t>OPP-04891</t>
  </si>
  <si>
    <t>OPP-04892</t>
  </si>
  <si>
    <t>OPP-04895</t>
  </si>
  <si>
    <t>OPP-04897</t>
  </si>
  <si>
    <t>OPP-04898</t>
  </si>
  <si>
    <t>OPP-05011</t>
  </si>
  <si>
    <t>OPP-05012</t>
  </si>
  <si>
    <t>OPP-05013</t>
  </si>
  <si>
    <t>OPP-05014</t>
  </si>
  <si>
    <t>OPP-05015</t>
  </si>
  <si>
    <t>OPP-05160</t>
  </si>
  <si>
    <t>OPP-05161</t>
  </si>
  <si>
    <t>OPP-05164</t>
  </si>
  <si>
    <t>OPP-05454</t>
  </si>
  <si>
    <t>OPP-05455</t>
  </si>
  <si>
    <t>OPP-05456</t>
  </si>
  <si>
    <t>OPP-05587</t>
  </si>
  <si>
    <t>OPP-05589</t>
  </si>
  <si>
    <t>OPP-05590</t>
  </si>
  <si>
    <t>OPP-05591</t>
  </si>
  <si>
    <t>OPP-05592</t>
  </si>
  <si>
    <t>OPP-05594</t>
  </si>
  <si>
    <t>OPP-05596</t>
  </si>
  <si>
    <t>OPP-05894</t>
  </si>
  <si>
    <t>OPP-05896</t>
  </si>
  <si>
    <t>OPP-05897</t>
  </si>
  <si>
    <t>OPP-05899</t>
  </si>
  <si>
    <t>OPP-05900</t>
  </si>
  <si>
    <t>OPP-05901</t>
  </si>
  <si>
    <t>OPP-05903</t>
  </si>
  <si>
    <t>OPP-06170</t>
  </si>
  <si>
    <t>OPP-06171</t>
  </si>
  <si>
    <t>OPP-06322</t>
  </si>
  <si>
    <t>OPP-06324</t>
  </si>
  <si>
    <t>OPP-06570</t>
  </si>
  <si>
    <t>OPP-06571</t>
  </si>
  <si>
    <t>OPP-06572</t>
  </si>
  <si>
    <t>OPP-06575</t>
  </si>
  <si>
    <t>OPP-06579</t>
  </si>
  <si>
    <t>OPP-00002</t>
  </si>
  <si>
    <t>OPP-00003</t>
  </si>
  <si>
    <t>OPP-00005</t>
  </si>
  <si>
    <t>OPP-00006</t>
  </si>
  <si>
    <t>OPP-00007</t>
  </si>
  <si>
    <t>OPP-00008</t>
  </si>
  <si>
    <t>OPP-00575</t>
  </si>
  <si>
    <t>OPP-01477</t>
  </si>
  <si>
    <t>OPP-01478</t>
  </si>
  <si>
    <t>OPP-01968</t>
  </si>
  <si>
    <t>OPP-02454</t>
  </si>
  <si>
    <t>OPP-02685</t>
  </si>
  <si>
    <t>OPP-02687</t>
  </si>
  <si>
    <t>OPP-02688</t>
  </si>
  <si>
    <t>OPP-02689</t>
  </si>
  <si>
    <t>OPP-03102</t>
  </si>
  <si>
    <t>OPP-03103</t>
  </si>
  <si>
    <t>OPP-03105</t>
  </si>
  <si>
    <t>OPP-03107</t>
  </si>
  <si>
    <t>OPP-03108</t>
  </si>
  <si>
    <t>OPP-03109</t>
  </si>
  <si>
    <t>OPP-03111</t>
  </si>
  <si>
    <t>OPP-03112</t>
  </si>
  <si>
    <t>OPP-03648</t>
  </si>
  <si>
    <t>OPP-03650</t>
  </si>
  <si>
    <t>OPP-03655</t>
  </si>
  <si>
    <t>OPP-03657</t>
  </si>
  <si>
    <t>OPP-03658</t>
  </si>
  <si>
    <t>OPP-03659</t>
  </si>
  <si>
    <t>OPP-03660</t>
  </si>
  <si>
    <t>OPP-03917</t>
  </si>
  <si>
    <t>OPP-03918</t>
  </si>
  <si>
    <t>OPP-03920</t>
  </si>
  <si>
    <t>OPP-04396</t>
  </si>
  <si>
    <t>OPP-04397</t>
  </si>
  <si>
    <t>OPP-04399</t>
  </si>
  <si>
    <t>OPP-04401</t>
  </si>
  <si>
    <t>OPP-04403</t>
  </si>
  <si>
    <t>OPP-04405</t>
  </si>
  <si>
    <t>OPP-04648</t>
  </si>
  <si>
    <t>OPP-04651</t>
  </si>
  <si>
    <t>OPP-04653</t>
  </si>
  <si>
    <t>OPP-04654</t>
  </si>
  <si>
    <t>OPP-04655</t>
  </si>
  <si>
    <t>OPP-05162</t>
  </si>
  <si>
    <t>OPP-05163</t>
  </si>
  <si>
    <t>OPP-05165</t>
  </si>
  <si>
    <t>OPP-05588</t>
  </si>
  <si>
    <t>OPP-05593</t>
  </si>
  <si>
    <t>OPP-05595</t>
  </si>
  <si>
    <t>OPP-05597</t>
  </si>
  <si>
    <t>OPP-05598</t>
  </si>
  <si>
    <t>OPP-05895</t>
  </si>
  <si>
    <t>OPP-05898</t>
  </si>
  <si>
    <t>OPP-05902</t>
  </si>
  <si>
    <t>OPP-06321</t>
  </si>
  <si>
    <t>OPP-06573</t>
  </si>
  <si>
    <t>OPP-06574</t>
  </si>
  <si>
    <t>OPP-06576</t>
  </si>
  <si>
    <t>OPP-06577</t>
  </si>
  <si>
    <t>OPP-06578</t>
  </si>
  <si>
    <t>OPP-00272</t>
  </si>
  <si>
    <t>OPP-01029</t>
  </si>
  <si>
    <t>OPP-01030</t>
  </si>
  <si>
    <t>OPP-01031</t>
  </si>
  <si>
    <t>OPP-02990</t>
  </si>
  <si>
    <t>OPP-02991</t>
  </si>
  <si>
    <t>OPP-03403</t>
  </si>
  <si>
    <t>OPP-03408</t>
  </si>
  <si>
    <t>OPP-04175</t>
  </si>
  <si>
    <t>OPP-04279</t>
  </si>
  <si>
    <t>OPP-04280</t>
  </si>
  <si>
    <t>OPP-04281</t>
  </si>
  <si>
    <t>OPP-04283</t>
  </si>
  <si>
    <t>OPP-04893</t>
  </si>
  <si>
    <t>OPP-04894</t>
  </si>
  <si>
    <t>OPP-04896</t>
  </si>
  <si>
    <t>OPP-04899</t>
  </si>
  <si>
    <t>OPP-06323</t>
  </si>
  <si>
    <t>OPP-06325</t>
  </si>
  <si>
    <t>OPP-00339</t>
  </si>
  <si>
    <t>OPP-00341</t>
  </si>
  <si>
    <t>OPP-00342</t>
  </si>
  <si>
    <t>OPP-00344</t>
  </si>
  <si>
    <t>OPP-00346</t>
  </si>
  <si>
    <t>OPP-00348</t>
  </si>
  <si>
    <t>OPP-00940</t>
  </si>
  <si>
    <t>OPP-00944</t>
  </si>
  <si>
    <t>OPP-01081</t>
  </si>
  <si>
    <t>OPP-01337</t>
  </si>
  <si>
    <t>OPP-01418</t>
  </si>
  <si>
    <t>OPP-03045</t>
  </si>
  <si>
    <t>OPP-03048</t>
  </si>
  <si>
    <t>OPP-03475</t>
  </si>
  <si>
    <t>OPP-03478</t>
  </si>
  <si>
    <t>OPP-03481</t>
  </si>
  <si>
    <t>OPP-04206</t>
  </si>
  <si>
    <t>OPP-04249</t>
  </si>
  <si>
    <t>OPP-04339</t>
  </si>
  <si>
    <t>OPP-04340</t>
  </si>
  <si>
    <t>OPP-05101</t>
  </si>
  <si>
    <t>OPP-06399</t>
  </si>
  <si>
    <t>OPP-06504</t>
  </si>
  <si>
    <t>OPP-00120</t>
  </si>
  <si>
    <t>OPP-00345</t>
  </si>
  <si>
    <t>OPP-00470</t>
  </si>
  <si>
    <t>OPP-00723</t>
  </si>
  <si>
    <t>OPP-00724</t>
  </si>
  <si>
    <t>OPP-00726</t>
  </si>
  <si>
    <t>OPP-00728</t>
  </si>
  <si>
    <t>OPP-00729</t>
  </si>
  <si>
    <t>OPP-00730</t>
  </si>
  <si>
    <t>OPP-01177</t>
  </si>
  <si>
    <t>OPP-01178</t>
  </si>
  <si>
    <t>OPP-01601</t>
  </si>
  <si>
    <t>OPP-01603</t>
  </si>
  <si>
    <t>OPP-01609</t>
  </si>
  <si>
    <t>OPP-01788</t>
  </si>
  <si>
    <t>OPP-01789</t>
  </si>
  <si>
    <t>OPP-01790</t>
  </si>
  <si>
    <t>OPP-01796</t>
  </si>
  <si>
    <t>OPP-01797</t>
  </si>
  <si>
    <t>OPP-01875</t>
  </si>
  <si>
    <t>OPP-01877</t>
  </si>
  <si>
    <t>OPP-01880</t>
  </si>
  <si>
    <t>OPP-02101</t>
  </si>
  <si>
    <t>OPP-02103</t>
  </si>
  <si>
    <t>OPP-02108</t>
  </si>
  <si>
    <t>OPP-02110</t>
  </si>
  <si>
    <t>OPP-02112</t>
  </si>
  <si>
    <t>OPP-02293</t>
  </si>
  <si>
    <t>OPP-02294</t>
  </si>
  <si>
    <t>OPP-02295</t>
  </si>
  <si>
    <t>OPP-02298</t>
  </si>
  <si>
    <t>OPP-02300</t>
  </si>
  <si>
    <t>OPP-02301</t>
  </si>
  <si>
    <t>OPP-02302</t>
  </si>
  <si>
    <t>OPP-02303</t>
  </si>
  <si>
    <t>OPP-02562</t>
  </si>
  <si>
    <t>OPP-02565</t>
  </si>
  <si>
    <t>OPP-02808</t>
  </si>
  <si>
    <t>OPP-02811</t>
  </si>
  <si>
    <t>OPP-02812</t>
  </si>
  <si>
    <t>OPP-02815</t>
  </si>
  <si>
    <t>OPP-02816</t>
  </si>
  <si>
    <t>OPP-02817</t>
  </si>
  <si>
    <t>OPP-02818</t>
  </si>
  <si>
    <t>OPP-03257</t>
  </si>
  <si>
    <t>OPP-03261</t>
  </si>
  <si>
    <t>OPP-03554</t>
  </si>
  <si>
    <t>OPP-03796</t>
  </si>
  <si>
    <t>OPP-03804</t>
  </si>
  <si>
    <t>OPP-03805</t>
  </si>
  <si>
    <t>OPP-04037</t>
  </si>
  <si>
    <t>OPP-04038</t>
  </si>
  <si>
    <t>OPP-04533</t>
  </si>
  <si>
    <t>OPP-04534</t>
  </si>
  <si>
    <t>OPP-04535</t>
  </si>
  <si>
    <t>OPP-04544</t>
  </si>
  <si>
    <t>OPP-04769</t>
  </si>
  <si>
    <t>OPP-04770</t>
  </si>
  <si>
    <t>OPP-04772</t>
  </si>
  <si>
    <t>OPP-04774</t>
  </si>
  <si>
    <t>OPP-04960</t>
  </si>
  <si>
    <t>OPP-05314</t>
  </si>
  <si>
    <t>OPP-05315</t>
  </si>
  <si>
    <t>OPP-05316</t>
  </si>
  <si>
    <t>OPP-05318</t>
  </si>
  <si>
    <t>OPP-05319</t>
  </si>
  <si>
    <t>OPP-05320</t>
  </si>
  <si>
    <t>OPP-05729</t>
  </si>
  <si>
    <t>OPP-05731</t>
  </si>
  <si>
    <t>OPP-06046</t>
  </si>
  <si>
    <t>OPP-06048</t>
  </si>
  <si>
    <t>OPP-06051</t>
  </si>
  <si>
    <t>OPP-06052</t>
  </si>
  <si>
    <t>OPP-06736</t>
  </si>
  <si>
    <t>OPP-06740</t>
  </si>
  <si>
    <t>OPP-06741</t>
  </si>
  <si>
    <t>OPP-06742</t>
  </si>
  <si>
    <t>OPP-06743</t>
  </si>
  <si>
    <t>OPP-06749</t>
  </si>
  <si>
    <t>OPP-05870</t>
  </si>
  <si>
    <t>OPP-05872</t>
  </si>
  <si>
    <t>OPP-00117</t>
  </si>
  <si>
    <t>OPP-00118</t>
  </si>
  <si>
    <t>OPP-00119</t>
  </si>
  <si>
    <t>OPP-00340</t>
  </si>
  <si>
    <t>OPP-00343</t>
  </si>
  <si>
    <t>OPP-00347</t>
  </si>
  <si>
    <t>OPP-00468</t>
  </si>
  <si>
    <t>OPP-00469</t>
  </si>
  <si>
    <t>OPP-00471</t>
  </si>
  <si>
    <t>OPP-00472</t>
  </si>
  <si>
    <t>OPP-00473</t>
  </si>
  <si>
    <t>OPP-00474</t>
  </si>
  <si>
    <t>OPP-00725</t>
  </si>
  <si>
    <t>OPP-00727</t>
  </si>
  <si>
    <t>OPP-00945</t>
  </si>
  <si>
    <t>OPP-01082</t>
  </si>
  <si>
    <t>OPP-01083</t>
  </si>
  <si>
    <t>OPP-01179</t>
  </si>
  <si>
    <t>OPP-01180</t>
  </si>
  <si>
    <t>OPP-01181</t>
  </si>
  <si>
    <t>OPP-01182</t>
  </si>
  <si>
    <t>OPP-01183</t>
  </si>
  <si>
    <t>OPP-01184</t>
  </si>
  <si>
    <t>OPP-01419</t>
  </si>
  <si>
    <t>OPP-01602</t>
  </si>
  <si>
    <t>OPP-01604</t>
  </si>
  <si>
    <t>OPP-01605</t>
  </si>
  <si>
    <t>OPP-01606</t>
  </si>
  <si>
    <t>OPP-01607</t>
  </si>
  <si>
    <t>OPP-01608</t>
  </si>
  <si>
    <t>OPP-01610</t>
  </si>
  <si>
    <t>OPP-01611</t>
  </si>
  <si>
    <t>OPP-01612</t>
  </si>
  <si>
    <t>OPP-01613</t>
  </si>
  <si>
    <t>OPP-01614</t>
  </si>
  <si>
    <t>OPP-01787</t>
  </si>
  <si>
    <t>OPP-01791</t>
  </si>
  <si>
    <t>OPP-01792</t>
  </si>
  <si>
    <t>OPP-01793</t>
  </si>
  <si>
    <t>OPP-01794</t>
  </si>
  <si>
    <t>OPP-01795</t>
  </si>
  <si>
    <t>OPP-01874</t>
  </si>
  <si>
    <t>OPP-01876</t>
  </si>
  <si>
    <t>OPP-01878</t>
  </si>
  <si>
    <t>OPP-01879</t>
  </si>
  <si>
    <t>OPP-02099</t>
  </si>
  <si>
    <t>OPP-02100</t>
  </si>
  <si>
    <t>OPP-02102</t>
  </si>
  <si>
    <t>OPP-02104</t>
  </si>
  <si>
    <t>OPP-02105</t>
  </si>
  <si>
    <t>OPP-02106</t>
  </si>
  <si>
    <t>OPP-02107</t>
  </si>
  <si>
    <t>OPP-02109</t>
  </si>
  <si>
    <t>OPP-02111</t>
  </si>
  <si>
    <t>OPP-02292</t>
  </si>
  <si>
    <t>OPP-02296</t>
  </si>
  <si>
    <t>OPP-02297</t>
  </si>
  <si>
    <t>OPP-02299</t>
  </si>
  <si>
    <t>OPP-02561</t>
  </si>
  <si>
    <t>OPP-02563</t>
  </si>
  <si>
    <t>OPP-02564</t>
  </si>
  <si>
    <t>OPP-02566</t>
  </si>
  <si>
    <t>OPP-02567</t>
  </si>
  <si>
    <t>OPP-02805</t>
  </si>
  <si>
    <t>OPP-02806</t>
  </si>
  <si>
    <t>OPP-02807</t>
  </si>
  <si>
    <t>OPP-02809</t>
  </si>
  <si>
    <t>OPP-02810</t>
  </si>
  <si>
    <t>OPP-02813</t>
  </si>
  <si>
    <t>OPP-02814</t>
  </si>
  <si>
    <t>OPP-03046</t>
  </si>
  <si>
    <t>OPP-03258</t>
  </si>
  <si>
    <t>OPP-03259</t>
  </si>
  <si>
    <t>OPP-03260</t>
  </si>
  <si>
    <t>OPP-03262</t>
  </si>
  <si>
    <t>OPP-03263</t>
  </si>
  <si>
    <t>OPP-03264</t>
  </si>
  <si>
    <t>OPP-03265</t>
  </si>
  <si>
    <t>OPP-03332</t>
  </si>
  <si>
    <t>OPP-03333</t>
  </si>
  <si>
    <t>OPP-03334</t>
  </si>
  <si>
    <t>OPP-03335</t>
  </si>
  <si>
    <t>OPP-03476</t>
  </si>
  <si>
    <t>OPP-03477</t>
  </si>
  <si>
    <t>OPP-03479</t>
  </si>
  <si>
    <t>OPP-03480</t>
  </si>
  <si>
    <t>OPP-03552</t>
  </si>
  <si>
    <t>OPP-03553</t>
  </si>
  <si>
    <t>OPP-03555</t>
  </si>
  <si>
    <t>OPP-03795</t>
  </si>
  <si>
    <t>OPP-03797</t>
  </si>
  <si>
    <t>OPP-03798</t>
  </si>
  <si>
    <t>OPP-03799</t>
  </si>
  <si>
    <t>OPP-03800</t>
  </si>
  <si>
    <t>OPP-03801</t>
  </si>
  <si>
    <t>OPP-03802</t>
  </si>
  <si>
    <t>OPP-03803</t>
  </si>
  <si>
    <t>OPP-04039</t>
  </si>
  <si>
    <t>OPP-04040</t>
  </si>
  <si>
    <t>OPP-04041</t>
  </si>
  <si>
    <t>OPP-04042</t>
  </si>
  <si>
    <t>OPP-04205</t>
  </si>
  <si>
    <t>OPP-04337</t>
  </si>
  <si>
    <t>OPP-04338</t>
  </si>
  <si>
    <t>OPP-04536</t>
  </si>
  <si>
    <t>OPP-04537</t>
  </si>
  <si>
    <t>OPP-04538</t>
  </si>
  <si>
    <t>OPP-04539</t>
  </si>
  <si>
    <t>OPP-04540</t>
  </si>
  <si>
    <t>OPP-04541</t>
  </si>
  <si>
    <t>OPP-04542</t>
  </si>
  <si>
    <t>OPP-04543</t>
  </si>
  <si>
    <t>OPP-04545</t>
  </si>
  <si>
    <t>OPP-04546</t>
  </si>
  <si>
    <t>OPP-04766</t>
  </si>
  <si>
    <t>OPP-04767</t>
  </si>
  <si>
    <t>OPP-04768</t>
  </si>
  <si>
    <t>OPP-04771</t>
  </si>
  <si>
    <t>OPP-04773</t>
  </si>
  <si>
    <t>OPP-04958</t>
  </si>
  <si>
    <t>OPP-04959</t>
  </si>
  <si>
    <t>OPP-04961</t>
  </si>
  <si>
    <t>OPP-04962</t>
  </si>
  <si>
    <t>OPP-04963</t>
  </si>
  <si>
    <t>OPP-05096</t>
  </si>
  <si>
    <t>OPP-05097</t>
  </si>
  <si>
    <t>OPP-05098</t>
  </si>
  <si>
    <t>OPP-05099</t>
  </si>
  <si>
    <t>OPP-05100</t>
  </si>
  <si>
    <t>OPP-05312</t>
  </si>
  <si>
    <t>OPP-05313</t>
  </si>
  <si>
    <t>OPP-05317</t>
  </si>
  <si>
    <t>OPP-05321</t>
  </si>
  <si>
    <t>OPP-05322</t>
  </si>
  <si>
    <t>OPP-05524</t>
  </si>
  <si>
    <t>OPP-05728</t>
  </si>
  <si>
    <t>OPP-05730</t>
  </si>
  <si>
    <t>OPP-05732</t>
  </si>
  <si>
    <t>OPP-05733</t>
  </si>
  <si>
    <t>OPP-05734</t>
  </si>
  <si>
    <t>OPP-05735</t>
  </si>
  <si>
    <t>OPP-06047</t>
  </si>
  <si>
    <t>OPP-06049</t>
  </si>
  <si>
    <t>OPP-06050</t>
  </si>
  <si>
    <t>OPP-06243</t>
  </si>
  <si>
    <t>OPP-06244</t>
  </si>
  <si>
    <t>OPP-06245</t>
  </si>
  <si>
    <t>OPP-06400</t>
  </si>
  <si>
    <t>OPP-06503</t>
  </si>
  <si>
    <t>OPP-06505</t>
  </si>
  <si>
    <t>OPP-06506</t>
  </si>
  <si>
    <t>OPP-06507</t>
  </si>
  <si>
    <t>OPP-06508</t>
  </si>
  <si>
    <t>OPP-06509</t>
  </si>
  <si>
    <t>OPP-06510</t>
  </si>
  <si>
    <t>OPP-06737</t>
  </si>
  <si>
    <t>OPP-06738</t>
  </si>
  <si>
    <t>OPP-06739</t>
  </si>
  <si>
    <t>OPP-06744</t>
  </si>
  <si>
    <t>OPP-06745</t>
  </si>
  <si>
    <t>OPP-06746</t>
  </si>
  <si>
    <t>OPP-06747</t>
  </si>
  <si>
    <t>OPP-06748</t>
  </si>
  <si>
    <t>OPP-06750</t>
  </si>
  <si>
    <t>OPP-06751</t>
  </si>
  <si>
    <t>OPP-00941</t>
  </si>
  <si>
    <t>OPP-00942</t>
  </si>
  <si>
    <t>OPP-00943</t>
  </si>
  <si>
    <t>OPP-01084</t>
  </si>
  <si>
    <t>OPP-01338</t>
  </si>
  <si>
    <t>OPP-01420</t>
  </si>
  <si>
    <t>OPP-03044</t>
  </si>
  <si>
    <t>OPP-03047</t>
  </si>
  <si>
    <t>OPP-04248</t>
  </si>
  <si>
    <t>OPP-04341</t>
  </si>
  <si>
    <t>OPP-05871</t>
  </si>
  <si>
    <t>OPP-00275</t>
  </si>
  <si>
    <t>OPP-00279</t>
  </si>
  <si>
    <t>OPP-01033</t>
  </si>
  <si>
    <t>OPP-02994</t>
  </si>
  <si>
    <t>OPP-02995</t>
  </si>
  <si>
    <t>OPP-02997</t>
  </si>
  <si>
    <t>OPP-04284</t>
  </si>
  <si>
    <t>OPP-05016</t>
  </si>
  <si>
    <t>OPP-05018</t>
  </si>
  <si>
    <t>OPP-05020</t>
  </si>
  <si>
    <t>OPP-05463</t>
  </si>
  <si>
    <t>OPP-06173</t>
  </si>
  <si>
    <t>OPP-06328</t>
  </si>
  <si>
    <t>OPP-00009</t>
  </si>
  <si>
    <t>OPP-00011</t>
  </si>
  <si>
    <t>OPP-00579</t>
  </si>
  <si>
    <t>OPP-00582</t>
  </si>
  <si>
    <t>OPP-00584</t>
  </si>
  <si>
    <t>OPP-00585</t>
  </si>
  <si>
    <t>OPP-00589</t>
  </si>
  <si>
    <t>OPP-01479</t>
  </si>
  <si>
    <t>OPP-01480</t>
  </si>
  <si>
    <t>OPP-01969</t>
  </si>
  <si>
    <t>OPP-01970</t>
  </si>
  <si>
    <t>OPP-01973</t>
  </si>
  <si>
    <t>OPP-01974</t>
  </si>
  <si>
    <t>OPP-01975</t>
  </si>
  <si>
    <t>OPP-02456</t>
  </si>
  <si>
    <t>OPP-02461</t>
  </si>
  <si>
    <t>OPP-02691</t>
  </si>
  <si>
    <t>OPP-02693</t>
  </si>
  <si>
    <t>OPP-03123</t>
  </si>
  <si>
    <t>OPP-03410</t>
  </si>
  <si>
    <t>OPP-03661</t>
  </si>
  <si>
    <t>OPP-03927</t>
  </si>
  <si>
    <t>OPP-04407</t>
  </si>
  <si>
    <t>OPP-04408</t>
  </si>
  <si>
    <t>OPP-04410</t>
  </si>
  <si>
    <t>OPP-04413</t>
  </si>
  <si>
    <t>OPP-04414</t>
  </si>
  <si>
    <t>OPP-04415</t>
  </si>
  <si>
    <t>OPP-04419</t>
  </si>
  <si>
    <t>OPP-04657</t>
  </si>
  <si>
    <t>OPP-04658</t>
  </si>
  <si>
    <t>OPP-04661</t>
  </si>
  <si>
    <t>OPP-04662</t>
  </si>
  <si>
    <t>OPP-04663</t>
  </si>
  <si>
    <t>OPP-05019</t>
  </si>
  <si>
    <t>OPP-05169</t>
  </si>
  <si>
    <t>OPP-05172</t>
  </si>
  <si>
    <t>OPP-05601</t>
  </si>
  <si>
    <t>OPP-05602</t>
  </si>
  <si>
    <t>OPP-05607</t>
  </si>
  <si>
    <t>OPP-05609</t>
  </si>
  <si>
    <t>OPP-05907</t>
  </si>
  <si>
    <t>OPP-05911</t>
  </si>
  <si>
    <t>OPP-05915</t>
  </si>
  <si>
    <t>OPP-06584</t>
  </si>
  <si>
    <t>OPP-06587</t>
  </si>
  <si>
    <t>OPP-06590</t>
  </si>
  <si>
    <t>OPP-06591</t>
  </si>
  <si>
    <t>OPP-06592</t>
  </si>
  <si>
    <t>OPP-01303</t>
  </si>
  <si>
    <t>OPP-04177</t>
  </si>
  <si>
    <t>OPP-05846</t>
  </si>
  <si>
    <t>OPP-00010</t>
  </si>
  <si>
    <t>OPP-00012</t>
  </si>
  <si>
    <t>OPP-00276</t>
  </si>
  <si>
    <t>OPP-00277</t>
  </si>
  <si>
    <t>OPP-00278</t>
  </si>
  <si>
    <t>OPP-00280</t>
  </si>
  <si>
    <t>OPP-00577</t>
  </si>
  <si>
    <t>OPP-00578</t>
  </si>
  <si>
    <t>OPP-00580</t>
  </si>
  <si>
    <t>OPP-00581</t>
  </si>
  <si>
    <t>OPP-00583</t>
  </si>
  <si>
    <t>OPP-00586</t>
  </si>
  <si>
    <t>OPP-00587</t>
  </si>
  <si>
    <t>OPP-00588</t>
  </si>
  <si>
    <t>OPP-01481</t>
  </si>
  <si>
    <t>OPP-01482</t>
  </si>
  <si>
    <t>OPP-01971</t>
  </si>
  <si>
    <t>OPP-01972</t>
  </si>
  <si>
    <t>OPP-01976</t>
  </si>
  <si>
    <t>OPP-01977</t>
  </si>
  <si>
    <t>OPP-02455</t>
  </si>
  <si>
    <t>OPP-02457</t>
  </si>
  <si>
    <t>OPP-02458</t>
  </si>
  <si>
    <t>OPP-02459</t>
  </si>
  <si>
    <t>OPP-02460</t>
  </si>
  <si>
    <t>OPP-02690</t>
  </si>
  <si>
    <t>OPP-02692</t>
  </si>
  <si>
    <t>OPP-02694</t>
  </si>
  <si>
    <t>OPP-02695</t>
  </si>
  <si>
    <t>OPP-02696</t>
  </si>
  <si>
    <t>OPP-02993</t>
  </si>
  <si>
    <t>OPP-03114</t>
  </si>
  <si>
    <t>OPP-03115</t>
  </si>
  <si>
    <t>OPP-03116</t>
  </si>
  <si>
    <t>OPP-03117</t>
  </si>
  <si>
    <t>OPP-03118</t>
  </si>
  <si>
    <t>OPP-03119</t>
  </si>
  <si>
    <t>OPP-03120</t>
  </si>
  <si>
    <t>OPP-03121</t>
  </si>
  <si>
    <t>OPP-03122</t>
  </si>
  <si>
    <t>OPP-03124</t>
  </si>
  <si>
    <t>OPP-03409</t>
  </si>
  <si>
    <t>OPP-03411</t>
  </si>
  <si>
    <t>OPP-03662</t>
  </si>
  <si>
    <t>OPP-03663</t>
  </si>
  <si>
    <t>OPP-03664</t>
  </si>
  <si>
    <t>OPP-03665</t>
  </si>
  <si>
    <t>OPP-03666</t>
  </si>
  <si>
    <t>OPP-03667</t>
  </si>
  <si>
    <t>OPP-03921</t>
  </si>
  <si>
    <t>OPP-03922</t>
  </si>
  <si>
    <t>OPP-03923</t>
  </si>
  <si>
    <t>OPP-03924</t>
  </si>
  <si>
    <t>OPP-03925</t>
  </si>
  <si>
    <t>OPP-03926</t>
  </si>
  <si>
    <t>OPP-03928</t>
  </si>
  <si>
    <t>OPP-03929</t>
  </si>
  <si>
    <t>OPP-03930</t>
  </si>
  <si>
    <t>OPP-03931</t>
  </si>
  <si>
    <t>OPP-04178</t>
  </si>
  <si>
    <t>OPP-04406</t>
  </si>
  <si>
    <t>OPP-04409</t>
  </si>
  <si>
    <t>OPP-04411</t>
  </si>
  <si>
    <t>OPP-04412</t>
  </si>
  <si>
    <t>OPP-04416</t>
  </si>
  <si>
    <t>OPP-04417</t>
  </si>
  <si>
    <t>OPP-04418</t>
  </si>
  <si>
    <t>OPP-04420</t>
  </si>
  <si>
    <t>OPP-04421</t>
  </si>
  <si>
    <t>OPP-04422</t>
  </si>
  <si>
    <t>OPP-04423</t>
  </si>
  <si>
    <t>OPP-04659</t>
  </si>
  <si>
    <t>OPP-04660</t>
  </si>
  <si>
    <t>OPP-04664</t>
  </si>
  <si>
    <t>OPP-04900</t>
  </si>
  <si>
    <t>OPP-04901</t>
  </si>
  <si>
    <t>OPP-04902</t>
  </si>
  <si>
    <t>OPP-04903</t>
  </si>
  <si>
    <t>OPP-05017</t>
  </si>
  <si>
    <t>OPP-05021</t>
  </si>
  <si>
    <t>OPP-05022</t>
  </si>
  <si>
    <t>OPP-05166</t>
  </si>
  <si>
    <t>OPP-05167</t>
  </si>
  <si>
    <t>OPP-05168</t>
  </si>
  <si>
    <t>OPP-05170</t>
  </si>
  <si>
    <t>OPP-05171</t>
  </si>
  <si>
    <t>OPP-05173</t>
  </si>
  <si>
    <t>OPP-05174</t>
  </si>
  <si>
    <t>OPP-05175</t>
  </si>
  <si>
    <t>OPP-05176</t>
  </si>
  <si>
    <t>OPP-05457</t>
  </si>
  <si>
    <t>OPP-05458</t>
  </si>
  <si>
    <t>OPP-05459</t>
  </si>
  <si>
    <t>OPP-05460</t>
  </si>
  <si>
    <t>OPP-05461</t>
  </si>
  <si>
    <t>OPP-05462</t>
  </si>
  <si>
    <t>OPP-05599</t>
  </si>
  <si>
    <t>OPP-05600</t>
  </si>
  <si>
    <t>OPP-05603</t>
  </si>
  <si>
    <t>OPP-05604</t>
  </si>
  <si>
    <t>OPP-05605</t>
  </si>
  <si>
    <t>OPP-05606</t>
  </si>
  <si>
    <t>OPP-05608</t>
  </si>
  <si>
    <t>OPP-05847</t>
  </si>
  <si>
    <t>OPP-05904</t>
  </si>
  <si>
    <t>OPP-05905</t>
  </si>
  <si>
    <t>OPP-05906</t>
  </si>
  <si>
    <t>OPP-05908</t>
  </si>
  <si>
    <t>OPP-05909</t>
  </si>
  <si>
    <t>OPP-05910</t>
  </si>
  <si>
    <t>OPP-05912</t>
  </si>
  <si>
    <t>OPP-05913</t>
  </si>
  <si>
    <t>OPP-05914</t>
  </si>
  <si>
    <t>OPP-05916</t>
  </si>
  <si>
    <t>OPP-06172</t>
  </si>
  <si>
    <t>OPP-06174</t>
  </si>
  <si>
    <t>OPP-06175</t>
  </si>
  <si>
    <t>OPP-06326</t>
  </si>
  <si>
    <t>OPP-06327</t>
  </si>
  <si>
    <t>OPP-06329</t>
  </si>
  <si>
    <t>OPP-06330</t>
  </si>
  <si>
    <t>OPP-06580</t>
  </si>
  <si>
    <t>OPP-06581</t>
  </si>
  <si>
    <t>OPP-06582</t>
  </si>
  <si>
    <t>OPP-06583</t>
  </si>
  <si>
    <t>OPP-06585</t>
  </si>
  <si>
    <t>OPP-06586</t>
  </si>
  <si>
    <t>OPP-06588</t>
  </si>
  <si>
    <t>OPP-06589</t>
  </si>
  <si>
    <t>OPP-06593</t>
  </si>
  <si>
    <t>OPP-01304</t>
  </si>
  <si>
    <t>OPP-02996</t>
  </si>
  <si>
    <t>OPP-04176</t>
  </si>
  <si>
    <t>OPP-04285</t>
  </si>
  <si>
    <t>OPP-05845</t>
  </si>
  <si>
    <t>OPP-00223</t>
  </si>
  <si>
    <t>OPP-00228</t>
  </si>
  <si>
    <t>OPP-00229</t>
  </si>
  <si>
    <t>OPP-00230</t>
  </si>
  <si>
    <t>OPP-00241</t>
  </si>
  <si>
    <t>OPP-00242</t>
  </si>
  <si>
    <t>OPP-00266</t>
  </si>
  <si>
    <t>OPP-00267</t>
  </si>
  <si>
    <t>OPP-00268</t>
  </si>
  <si>
    <t>OPP-00269</t>
  </si>
  <si>
    <t>OPP-00270</t>
  </si>
  <si>
    <t>OPP-00400</t>
  </si>
  <si>
    <t>OPP-00401</t>
  </si>
  <si>
    <t>OPP-00403</t>
  </si>
  <si>
    <t>OPP-00404</t>
  </si>
  <si>
    <t>OPP-00405</t>
  </si>
  <si>
    <t>OPP-00406</t>
  </si>
  <si>
    <t>OPP-00555</t>
  </si>
  <si>
    <t>OPP-00557</t>
  </si>
  <si>
    <t>OPP-00558</t>
  </si>
  <si>
    <t>OPP-00562</t>
  </si>
  <si>
    <t>OPP-00563</t>
  </si>
  <si>
    <t>OPP-00564</t>
  </si>
  <si>
    <t>OPP-00565</t>
  </si>
  <si>
    <t>OPP-00568</t>
  </si>
  <si>
    <t>OPP-00569</t>
  </si>
  <si>
    <t>OPP-00571</t>
  </si>
  <si>
    <t>OPP-00572</t>
  </si>
  <si>
    <t>OPP-00833</t>
  </si>
  <si>
    <t>OPP-00835</t>
  </si>
  <si>
    <t>OPP-00836</t>
  </si>
  <si>
    <t>OPP-00837</t>
  </si>
  <si>
    <t>OPP-00839</t>
  </si>
  <si>
    <t>OPP-00841</t>
  </si>
  <si>
    <t>OPP-00843</t>
  </si>
  <si>
    <t>OPP-00844</t>
  </si>
  <si>
    <t>OPP-00845</t>
  </si>
  <si>
    <t>OPP-00846</t>
  </si>
  <si>
    <t>OPP-00877</t>
  </si>
  <si>
    <t>OPP-00878</t>
  </si>
  <si>
    <t>OPP-00879</t>
  </si>
  <si>
    <t>OPP-00881</t>
  </si>
  <si>
    <t>OPP-00883</t>
  </si>
  <si>
    <t>OPP-00884</t>
  </si>
  <si>
    <t>OPP-00886</t>
  </si>
  <si>
    <t>OPP-00888</t>
  </si>
  <si>
    <t>OPP-00890</t>
  </si>
  <si>
    <t>OPP-00990</t>
  </si>
  <si>
    <t>OPP-00991</t>
  </si>
  <si>
    <t>OPP-00992</t>
  </si>
  <si>
    <t>OPP-00993</t>
  </si>
  <si>
    <t>OPP-01024</t>
  </si>
  <si>
    <t>OPP-01025</t>
  </si>
  <si>
    <t>OPP-01026</t>
  </si>
  <si>
    <t>OPP-01027</t>
  </si>
  <si>
    <t>OPP-01028</t>
  </si>
  <si>
    <t>OPP-01133</t>
  </si>
  <si>
    <t>OPP-01134</t>
  </si>
  <si>
    <t>OPP-01135</t>
  </si>
  <si>
    <t>OPP-01136</t>
  </si>
  <si>
    <t>OPP-01137</t>
  </si>
  <si>
    <t>OPP-01138</t>
  </si>
  <si>
    <t>OPP-01139</t>
  </si>
  <si>
    <t>OPP-01287</t>
  </si>
  <si>
    <t>OPP-01288</t>
  </si>
  <si>
    <t>OPP-01289</t>
  </si>
  <si>
    <t>OPP-01290</t>
  </si>
  <si>
    <t>OPP-01295</t>
  </si>
  <si>
    <t>OPP-01296</t>
  </si>
  <si>
    <t>OPP-01297</t>
  </si>
  <si>
    <t>OPP-01298</t>
  </si>
  <si>
    <t>OPP-01300</t>
  </si>
  <si>
    <t>OPP-01364</t>
  </si>
  <si>
    <t>OPP-01365</t>
  </si>
  <si>
    <t>OPP-01366</t>
  </si>
  <si>
    <t>OPP-01367</t>
  </si>
  <si>
    <t>OPP-01368</t>
  </si>
  <si>
    <t>OPP-01369</t>
  </si>
  <si>
    <t>OPP-01470</t>
  </si>
  <si>
    <t>OPP-01471</t>
  </si>
  <si>
    <t>OPP-01472</t>
  </si>
  <si>
    <t>OPP-01473</t>
  </si>
  <si>
    <t>OPP-01474</t>
  </si>
  <si>
    <t>OPP-01696</t>
  </si>
  <si>
    <t>OPP-01697</t>
  </si>
  <si>
    <t>OPP-01698</t>
  </si>
  <si>
    <t>OPP-01699</t>
  </si>
  <si>
    <t>OPP-01701</t>
  </si>
  <si>
    <t>OPP-01705</t>
  </si>
  <si>
    <t>OPP-01706</t>
  </si>
  <si>
    <t>OPP-01712</t>
  </si>
  <si>
    <t>OPP-01714</t>
  </si>
  <si>
    <t>OPP-01715</t>
  </si>
  <si>
    <t>OPP-01716</t>
  </si>
  <si>
    <t>OPP-01949</t>
  </si>
  <si>
    <t>OPP-01950</t>
  </si>
  <si>
    <t>OPP-01951</t>
  </si>
  <si>
    <t>OPP-01956</t>
  </si>
  <si>
    <t>OPP-01957</t>
  </si>
  <si>
    <t>OPP-01959</t>
  </si>
  <si>
    <t>OPP-01961</t>
  </si>
  <si>
    <t>OPP-02206</t>
  </si>
  <si>
    <t>OPP-02208</t>
  </si>
  <si>
    <t>OPP-02209</t>
  </si>
  <si>
    <t>OPP-02211</t>
  </si>
  <si>
    <t>OPP-02242</t>
  </si>
  <si>
    <t>OPP-02243</t>
  </si>
  <si>
    <t>OPP-02244</t>
  </si>
  <si>
    <t>OPP-02245</t>
  </si>
  <si>
    <t>OPP-02246</t>
  </si>
  <si>
    <t>OPP-02247</t>
  </si>
  <si>
    <t>OPP-02248</t>
  </si>
  <si>
    <t>OPP-02249</t>
  </si>
  <si>
    <t>OPP-02250</t>
  </si>
  <si>
    <t>OPP-02251</t>
  </si>
  <si>
    <t>OPP-02397</t>
  </si>
  <si>
    <t>OPP-02398</t>
  </si>
  <si>
    <t>OPP-02402</t>
  </si>
  <si>
    <t>OPP-02403</t>
  </si>
  <si>
    <t>OPP-02405</t>
  </si>
  <si>
    <t>OPP-02406</t>
  </si>
  <si>
    <t>OPP-02409</t>
  </si>
  <si>
    <t>OPP-02412</t>
  </si>
  <si>
    <t>OPP-02447</t>
  </si>
  <si>
    <t>OPP-02448</t>
  </si>
  <si>
    <t>OPP-02449</t>
  </si>
  <si>
    <t>OPP-02450</t>
  </si>
  <si>
    <t>OPP-02451</t>
  </si>
  <si>
    <t>OPP-02452</t>
  </si>
  <si>
    <t>OPP-02658</t>
  </si>
  <si>
    <t>OPP-02659</t>
  </si>
  <si>
    <t>OPP-02660</t>
  </si>
  <si>
    <t>OPP-02661</t>
  </si>
  <si>
    <t>OPP-02664</t>
  </si>
  <si>
    <t>OPP-02665</t>
  </si>
  <si>
    <t>OPP-02666</t>
  </si>
  <si>
    <t>OPP-02667</t>
  </si>
  <si>
    <t>OPP-02668</t>
  </si>
  <si>
    <t>OPP-02671</t>
  </si>
  <si>
    <t>OPP-02672</t>
  </si>
  <si>
    <t>OPP-02675</t>
  </si>
  <si>
    <t>OPP-02676</t>
  </si>
  <si>
    <t>OPP-02905</t>
  </si>
  <si>
    <t>OPP-02906</t>
  </si>
  <si>
    <t>OPP-02909</t>
  </si>
  <si>
    <t>OPP-02910</t>
  </si>
  <si>
    <t>OPP-02911</t>
  </si>
  <si>
    <t>OPP-02913</t>
  </si>
  <si>
    <t>OPP-02914</t>
  </si>
  <si>
    <t>OPP-02916</t>
  </si>
  <si>
    <t>OPP-02917</t>
  </si>
  <si>
    <t>OPP-02920</t>
  </si>
  <si>
    <t>OPP-02921</t>
  </si>
  <si>
    <t>OPP-02922</t>
  </si>
  <si>
    <t>OPP-02946</t>
  </si>
  <si>
    <t>OPP-02949</t>
  </si>
  <si>
    <t>OPP-02951</t>
  </si>
  <si>
    <t>OPP-02954</t>
  </si>
  <si>
    <t>OPP-02955</t>
  </si>
  <si>
    <t>OPP-02956</t>
  </si>
  <si>
    <t>OPP-02957</t>
  </si>
  <si>
    <t>OPP-02958</t>
  </si>
  <si>
    <t>OPP-02959</t>
  </si>
  <si>
    <t>OPP-02960</t>
  </si>
  <si>
    <t>OPP-02981</t>
  </si>
  <si>
    <t>OPP-02982</t>
  </si>
  <si>
    <t>OPP-02983</t>
  </si>
  <si>
    <t>OPP-02985</t>
  </si>
  <si>
    <t>OPP-02986</t>
  </si>
  <si>
    <t>OPP-02987</t>
  </si>
  <si>
    <t>OPP-02988</t>
  </si>
  <si>
    <t>OPP-03095</t>
  </si>
  <si>
    <t>OPP-03096</t>
  </si>
  <si>
    <t>OPP-03097</t>
  </si>
  <si>
    <t>OPP-03098</t>
  </si>
  <si>
    <t>OPP-03099</t>
  </si>
  <si>
    <t>OPP-03398</t>
  </si>
  <si>
    <t>OPP-03399</t>
  </si>
  <si>
    <t>OPP-03400</t>
  </si>
  <si>
    <t>OPP-03542</t>
  </si>
  <si>
    <t>OPP-03544</t>
  </si>
  <si>
    <t>OPP-03545</t>
  </si>
  <si>
    <t>OPP-03546</t>
  </si>
  <si>
    <t>OPP-03548</t>
  </si>
  <si>
    <t>OPP-03549</t>
  </si>
  <si>
    <t>OPP-03644</t>
  </si>
  <si>
    <t>OPP-03645</t>
  </si>
  <si>
    <t>OPP-03646</t>
  </si>
  <si>
    <t>OPP-03647</t>
  </si>
  <si>
    <t>OPP-03900</t>
  </si>
  <si>
    <t>OPP-03901</t>
  </si>
  <si>
    <t>OPP-03902</t>
  </si>
  <si>
    <t>OPP-03903</t>
  </si>
  <si>
    <t>OPP-03904</t>
  </si>
  <si>
    <t>OPP-04158</t>
  </si>
  <si>
    <t>OPP-04160</t>
  </si>
  <si>
    <t>OPP-04161</t>
  </si>
  <si>
    <t>OPP-04162</t>
  </si>
  <si>
    <t>OPP-04163</t>
  </si>
  <si>
    <t>OPP-04164</t>
  </si>
  <si>
    <t>OPP-04165</t>
  </si>
  <si>
    <t>OPP-04166</t>
  </si>
  <si>
    <t>OPP-04168</t>
  </si>
  <si>
    <t>OPP-04171</t>
  </si>
  <si>
    <t>OPP-04172</t>
  </si>
  <si>
    <t>OPP-04173</t>
  </si>
  <si>
    <t>OPP-04234</t>
  </si>
  <si>
    <t>OPP-04235</t>
  </si>
  <si>
    <t>OPP-04272</t>
  </si>
  <si>
    <t>OPP-04273</t>
  </si>
  <si>
    <t>OPP-04274</t>
  </si>
  <si>
    <t>OPP-04275</t>
  </si>
  <si>
    <t>OPP-04276</t>
  </si>
  <si>
    <t>OPP-04277</t>
  </si>
  <si>
    <t>OPP-04278</t>
  </si>
  <si>
    <t>OPP-04388</t>
  </si>
  <si>
    <t>OPP-04389</t>
  </si>
  <si>
    <t>OPP-04390</t>
  </si>
  <si>
    <t>OPP-04391</t>
  </si>
  <si>
    <t>OPP-04392</t>
  </si>
  <si>
    <t>OPP-04393</t>
  </si>
  <si>
    <t>OPP-04394</t>
  </si>
  <si>
    <t>OPP-04640</t>
  </si>
  <si>
    <t>OPP-04641</t>
  </si>
  <si>
    <t>OPP-04642</t>
  </si>
  <si>
    <t>OPP-04647</t>
  </si>
  <si>
    <t>OPP-04882</t>
  </si>
  <si>
    <t>OPP-04883</t>
  </si>
  <si>
    <t>OPP-04888</t>
  </si>
  <si>
    <t>OPP-04889</t>
  </si>
  <si>
    <t>OPP-05003</t>
  </si>
  <si>
    <t>OPP-05004</t>
  </si>
  <si>
    <t>OPP-05006</t>
  </si>
  <si>
    <t>OPP-05007</t>
  </si>
  <si>
    <t>OPP-05008</t>
  </si>
  <si>
    <t>OPP-05009</t>
  </si>
  <si>
    <t>OPP-05010</t>
  </si>
  <si>
    <t>OPP-05154</t>
  </si>
  <si>
    <t>OPP-05155</t>
  </si>
  <si>
    <t>OPP-05156</t>
  </si>
  <si>
    <t>OPP-05157</t>
  </si>
  <si>
    <t>OPP-05158</t>
  </si>
  <si>
    <t>OPP-05159</t>
  </si>
  <si>
    <t>OPP-05435</t>
  </si>
  <si>
    <t>OPP-05437</t>
  </si>
  <si>
    <t>OPP-05438</t>
  </si>
  <si>
    <t>OPP-05440</t>
  </si>
  <si>
    <t>OPP-05442</t>
  </si>
  <si>
    <t>OPP-05444</t>
  </si>
  <si>
    <t>OPP-05446</t>
  </si>
  <si>
    <t>OPP-05450</t>
  </si>
  <si>
    <t>OPP-05451</t>
  </si>
  <si>
    <t>OPP-05452</t>
  </si>
  <si>
    <t>OPP-05453</t>
  </si>
  <si>
    <t>OPP-05579</t>
  </si>
  <si>
    <t>OPP-05580</t>
  </si>
  <si>
    <t>OPP-05581</t>
  </si>
  <si>
    <t>OPP-05582</t>
  </si>
  <si>
    <t>OPP-05583</t>
  </si>
  <si>
    <t>OPP-05584</t>
  </si>
  <si>
    <t>OPP-05586</t>
  </si>
  <si>
    <t>OPP-05835</t>
  </si>
  <si>
    <t>OPP-05837</t>
  </si>
  <si>
    <t>OPP-05839</t>
  </si>
  <si>
    <t>OPP-05840</t>
  </si>
  <si>
    <t>OPP-05841</t>
  </si>
  <si>
    <t>OPP-05842</t>
  </si>
  <si>
    <t>OPP-05843</t>
  </si>
  <si>
    <t>OPP-06149</t>
  </si>
  <si>
    <t>OPP-06152</t>
  </si>
  <si>
    <t>OPP-06153</t>
  </si>
  <si>
    <t>OPP-06155</t>
  </si>
  <si>
    <t>OPP-06156</t>
  </si>
  <si>
    <t>OPP-06158</t>
  </si>
  <si>
    <t>OPP-06159</t>
  </si>
  <si>
    <t>OPP-06160</t>
  </si>
  <si>
    <t>OPP-06163</t>
  </si>
  <si>
    <t>OPP-06167</t>
  </si>
  <si>
    <t>OPP-06306</t>
  </si>
  <si>
    <t>OPP-06307</t>
  </si>
  <si>
    <t>OPP-06308</t>
  </si>
  <si>
    <t>OPP-06309</t>
  </si>
  <si>
    <t>OPP-06310</t>
  </si>
  <si>
    <t>OPP-06311</t>
  </si>
  <si>
    <t>OPP-06312</t>
  </si>
  <si>
    <t>OPP-06314</t>
  </si>
  <si>
    <t>OPP-06315</t>
  </si>
  <si>
    <t>OPP-06317</t>
  </si>
  <si>
    <t>OPP-06318</t>
  </si>
  <si>
    <t>OPP-06461</t>
  </si>
  <si>
    <t>OPP-06462</t>
  </si>
  <si>
    <t>OPP-06465</t>
  </si>
  <si>
    <t>OPP-06466</t>
  </si>
  <si>
    <t>OPP-06467</t>
  </si>
  <si>
    <t>OPP-06468</t>
  </si>
  <si>
    <t>OPP-06566</t>
  </si>
  <si>
    <t>OPP-06567</t>
  </si>
  <si>
    <t>OPP-06568</t>
  </si>
  <si>
    <t>OPP-06569</t>
  </si>
  <si>
    <t>OPP-06847</t>
  </si>
  <si>
    <t>OPP-06848</t>
  </si>
  <si>
    <t>OPP-06849</t>
  </si>
  <si>
    <t>OPP-06854</t>
  </si>
  <si>
    <t>OPP-06856</t>
  </si>
  <si>
    <t>OPP-06857</t>
  </si>
  <si>
    <t>OPP-06858</t>
  </si>
  <si>
    <t>OPP-06859</t>
  </si>
  <si>
    <t>OPP-00224</t>
  </si>
  <si>
    <t>OPP-00225</t>
  </si>
  <si>
    <t>OPP-00226</t>
  </si>
  <si>
    <t>OPP-00227</t>
  </si>
  <si>
    <t>OPP-00231</t>
  </si>
  <si>
    <t>OPP-00402</t>
  </si>
  <si>
    <t>OPP-00556</t>
  </si>
  <si>
    <t>OPP-00559</t>
  </si>
  <si>
    <t>OPP-00560</t>
  </si>
  <si>
    <t>OPP-00561</t>
  </si>
  <si>
    <t>OPP-00566</t>
  </si>
  <si>
    <t>OPP-00567</t>
  </si>
  <si>
    <t>OPP-00570</t>
  </si>
  <si>
    <t>OPP-00831</t>
  </si>
  <si>
    <t>OPP-00832</t>
  </si>
  <si>
    <t>OPP-00834</t>
  </si>
  <si>
    <t>OPP-00838</t>
  </si>
  <si>
    <t>OPP-00840</t>
  </si>
  <si>
    <t>OPP-00842</t>
  </si>
  <si>
    <t>OPP-00880</t>
  </si>
  <si>
    <t>OPP-00882</t>
  </si>
  <si>
    <t>OPP-00885</t>
  </si>
  <si>
    <t>OPP-00887</t>
  </si>
  <si>
    <t>OPP-00889</t>
  </si>
  <si>
    <t>OPP-00891</t>
  </si>
  <si>
    <t>OPP-01286</t>
  </si>
  <si>
    <t>OPP-01291</t>
  </si>
  <si>
    <t>OPP-01292</t>
  </si>
  <si>
    <t>OPP-01293</t>
  </si>
  <si>
    <t>OPP-01294</t>
  </si>
  <si>
    <t>OPP-01299</t>
  </si>
  <si>
    <t>OPP-01700</t>
  </si>
  <si>
    <t>OPP-01702</t>
  </si>
  <si>
    <t>OPP-01703</t>
  </si>
  <si>
    <t>OPP-01704</t>
  </si>
  <si>
    <t>OPP-01707</t>
  </si>
  <si>
    <t>OPP-01708</t>
  </si>
  <si>
    <t>OPP-01709</t>
  </si>
  <si>
    <t>OPP-01710</t>
  </si>
  <si>
    <t>OPP-01711</t>
  </si>
  <si>
    <t>OPP-01713</t>
  </si>
  <si>
    <t>OPP-01948</t>
  </si>
  <si>
    <t>OPP-01952</t>
  </si>
  <si>
    <t>OPP-01953</t>
  </si>
  <si>
    <t>OPP-01954</t>
  </si>
  <si>
    <t>OPP-01955</t>
  </si>
  <si>
    <t>OPP-01958</t>
  </si>
  <si>
    <t>OPP-01960</t>
  </si>
  <si>
    <t>OPP-02207</t>
  </si>
  <si>
    <t>OPP-02210</t>
  </si>
  <si>
    <t>OPP-02399</t>
  </si>
  <si>
    <t>OPP-02400</t>
  </si>
  <si>
    <t>OPP-02401</t>
  </si>
  <si>
    <t>OPP-02404</t>
  </si>
  <si>
    <t>OPP-02407</t>
  </si>
  <si>
    <t>OPP-02408</t>
  </si>
  <si>
    <t>OPP-02410</t>
  </si>
  <si>
    <t>OPP-02411</t>
  </si>
  <si>
    <t>OPP-02413</t>
  </si>
  <si>
    <t>OPP-02662</t>
  </si>
  <si>
    <t>OPP-02663</t>
  </si>
  <si>
    <t>OPP-02669</t>
  </si>
  <si>
    <t>OPP-02670</t>
  </si>
  <si>
    <t>OPP-02673</t>
  </si>
  <si>
    <t>OPP-02674</t>
  </si>
  <si>
    <t>OPP-02904</t>
  </si>
  <si>
    <t>OPP-02907</t>
  </si>
  <si>
    <t>OPP-02908</t>
  </si>
  <si>
    <t>OPP-02912</t>
  </si>
  <si>
    <t>OPP-02915</t>
  </si>
  <si>
    <t>OPP-02918</t>
  </si>
  <si>
    <t>OPP-02919</t>
  </si>
  <si>
    <t>OPP-02923</t>
  </si>
  <si>
    <t>OPP-02924</t>
  </si>
  <si>
    <t>OPP-02925</t>
  </si>
  <si>
    <t>OPP-02947</t>
  </si>
  <si>
    <t>OPP-02948</t>
  </si>
  <si>
    <t>OPP-02950</t>
  </si>
  <si>
    <t>OPP-02952</t>
  </si>
  <si>
    <t>OPP-02953</t>
  </si>
  <si>
    <t>OPP-02961</t>
  </si>
  <si>
    <t>OPP-02984</t>
  </si>
  <si>
    <t>OPP-03543</t>
  </si>
  <si>
    <t>OPP-03547</t>
  </si>
  <si>
    <t>OPP-03899</t>
  </si>
  <si>
    <t>OPP-03905</t>
  </si>
  <si>
    <t>OPP-03906</t>
  </si>
  <si>
    <t>OPP-04159</t>
  </si>
  <si>
    <t>OPP-04167</t>
  </si>
  <si>
    <t>OPP-04169</t>
  </si>
  <si>
    <t>OPP-04170</t>
  </si>
  <si>
    <t>OPP-04174</t>
  </si>
  <si>
    <t>OPP-04638</t>
  </si>
  <si>
    <t>OPP-04639</t>
  </si>
  <si>
    <t>OPP-04643</t>
  </si>
  <si>
    <t>OPP-04644</t>
  </si>
  <si>
    <t>OPP-04645</t>
  </si>
  <si>
    <t>OPP-04646</t>
  </si>
  <si>
    <t>OPP-04884</t>
  </si>
  <si>
    <t>OPP-04885</t>
  </si>
  <si>
    <t>OPP-04886</t>
  </si>
  <si>
    <t>OPP-04887</t>
  </si>
  <si>
    <t>OPP-04890</t>
  </si>
  <si>
    <t>OPP-05005</t>
  </si>
  <si>
    <t>OPP-05436</t>
  </si>
  <si>
    <t>OPP-05439</t>
  </si>
  <si>
    <t>OPP-05441</t>
  </si>
  <si>
    <t>OPP-05443</t>
  </si>
  <si>
    <t>OPP-05445</t>
  </si>
  <si>
    <t>OPP-05447</t>
  </si>
  <si>
    <t>OPP-05448</t>
  </si>
  <si>
    <t>OPP-05449</t>
  </si>
  <si>
    <t>OPP-05585</t>
  </si>
  <si>
    <t>OPP-05834</t>
  </si>
  <si>
    <t>OPP-05836</t>
  </si>
  <si>
    <t>OPP-05838</t>
  </si>
  <si>
    <t>OPP-05844</t>
  </si>
  <si>
    <t>OPP-06150</t>
  </si>
  <si>
    <t>OPP-06151</t>
  </si>
  <si>
    <t>OPP-06154</t>
  </si>
  <si>
    <t>OPP-06157</t>
  </si>
  <si>
    <t>OPP-06161</t>
  </si>
  <si>
    <t>OPP-06162</t>
  </si>
  <si>
    <t>OPP-06164</t>
  </si>
  <si>
    <t>OPP-06165</t>
  </si>
  <si>
    <t>OPP-06166</t>
  </si>
  <si>
    <t>OPP-06168</t>
  </si>
  <si>
    <t>OPP-06169</t>
  </si>
  <si>
    <t>OPP-06313</t>
  </si>
  <si>
    <t>OPP-06316</t>
  </si>
  <si>
    <t>OPP-06319</t>
  </si>
  <si>
    <t>OPP-06320</t>
  </si>
  <si>
    <t>OPP-06463</t>
  </si>
  <si>
    <t>OPP-06464</t>
  </si>
  <si>
    <t>OPP-06850</t>
  </si>
  <si>
    <t>OPP-06851</t>
  </si>
  <si>
    <t>OPP-06852</t>
  </si>
  <si>
    <t>OPP-06853</t>
  </si>
  <si>
    <t>OPP-06855</t>
  </si>
  <si>
    <t>OPP-01332</t>
  </si>
  <si>
    <t>OPP-04201</t>
  </si>
  <si>
    <t>OPP-05866</t>
  </si>
  <si>
    <t>OPP-00099</t>
  </si>
  <si>
    <t>OPP-00104</t>
  </si>
  <si>
    <t>OPP-00323</t>
  </si>
  <si>
    <t>OPP-00325</t>
  </si>
  <si>
    <t>OPP-00449</t>
  </si>
  <si>
    <t>OPP-00452</t>
  </si>
  <si>
    <t>OPP-00455</t>
  </si>
  <si>
    <t>OPP-00456</t>
  </si>
  <si>
    <t>OPP-00457</t>
  </si>
  <si>
    <t>OPP-00699</t>
  </si>
  <si>
    <t>OPP-00700</t>
  </si>
  <si>
    <t>OPP-00701</t>
  </si>
  <si>
    <t>OPP-00702</t>
  </si>
  <si>
    <t>OPP-00704</t>
  </si>
  <si>
    <t>OPP-00705</t>
  </si>
  <si>
    <t>OPP-00706</t>
  </si>
  <si>
    <t>OPP-00708</t>
  </si>
  <si>
    <t>OPP-00712</t>
  </si>
  <si>
    <t>OPP-01158</t>
  </si>
  <si>
    <t>OPP-01160</t>
  </si>
  <si>
    <t>OPP-01161</t>
  </si>
  <si>
    <t>OPP-01162</t>
  </si>
  <si>
    <t>OPP-01164</t>
  </si>
  <si>
    <t>OPP-01165</t>
  </si>
  <si>
    <t>OPP-01166</t>
  </si>
  <si>
    <t>OPP-01575</t>
  </si>
  <si>
    <t>OPP-01576</t>
  </si>
  <si>
    <t>OPP-01578</t>
  </si>
  <si>
    <t>OPP-01580</t>
  </si>
  <si>
    <t>OPP-01583</t>
  </si>
  <si>
    <t>OPP-01586</t>
  </si>
  <si>
    <t>OPP-01589</t>
  </si>
  <si>
    <t>OPP-01766</t>
  </si>
  <si>
    <t>OPP-01767</t>
  </si>
  <si>
    <t>OPP-01770</t>
  </si>
  <si>
    <t>OPP-01772</t>
  </si>
  <si>
    <t>OPP-01775</t>
  </si>
  <si>
    <t>OPP-01866</t>
  </si>
  <si>
    <t>OPP-01867</t>
  </si>
  <si>
    <t>OPP-01868</t>
  </si>
  <si>
    <t>OPP-02074</t>
  </si>
  <si>
    <t>OPP-02075</t>
  </si>
  <si>
    <t>OPP-02080</t>
  </si>
  <si>
    <t>OPP-02082</t>
  </si>
  <si>
    <t>OPP-02275</t>
  </si>
  <si>
    <t>OPP-02276</t>
  </si>
  <si>
    <t>OPP-02278</t>
  </si>
  <si>
    <t>OPP-02280</t>
  </si>
  <si>
    <t>OPP-02281</t>
  </si>
  <si>
    <t>OPP-02283</t>
  </si>
  <si>
    <t>OPP-02545</t>
  </si>
  <si>
    <t>OPP-02546</t>
  </si>
  <si>
    <t>OPP-02549</t>
  </si>
  <si>
    <t>OPP-02550</t>
  </si>
  <si>
    <t>OPP-02552</t>
  </si>
  <si>
    <t>OPP-02777</t>
  </si>
  <si>
    <t>OPP-02785</t>
  </si>
  <si>
    <t>OPP-02788</t>
  </si>
  <si>
    <t>OPP-03241</t>
  </si>
  <si>
    <t>OPP-03243</t>
  </si>
  <si>
    <t>OPP-03247</t>
  </si>
  <si>
    <t>OPP-03775</t>
  </si>
  <si>
    <t>OPP-03776</t>
  </si>
  <si>
    <t>OPP-03778</t>
  </si>
  <si>
    <t>OPP-03779</t>
  </si>
  <si>
    <t>OPP-03780</t>
  </si>
  <si>
    <t>OPP-03781</t>
  </si>
  <si>
    <t>OPP-03782</t>
  </si>
  <si>
    <t>OPP-03783</t>
  </si>
  <si>
    <t>OPP-03785</t>
  </si>
  <si>
    <t>OPP-03786</t>
  </si>
  <si>
    <t>OPP-03787</t>
  </si>
  <si>
    <t>OPP-04024</t>
  </si>
  <si>
    <t>OPP-04025</t>
  </si>
  <si>
    <t>OPP-04029</t>
  </si>
  <si>
    <t>OPP-04032</t>
  </si>
  <si>
    <t>OPP-04510</t>
  </si>
  <si>
    <t>OPP-04513</t>
  </si>
  <si>
    <t>OPP-04514</t>
  </si>
  <si>
    <t>OPP-04519</t>
  </si>
  <si>
    <t>OPP-04752</t>
  </si>
  <si>
    <t>OPP-04754</t>
  </si>
  <si>
    <t>OPP-04755</t>
  </si>
  <si>
    <t>OPP-04758</t>
  </si>
  <si>
    <t>OPP-05291</t>
  </si>
  <si>
    <t>OPP-05292</t>
  </si>
  <si>
    <t>OPP-05293</t>
  </si>
  <si>
    <t>OPP-05294</t>
  </si>
  <si>
    <t>OPP-05295</t>
  </si>
  <si>
    <t>OPP-05298</t>
  </si>
  <si>
    <t>OPP-05705</t>
  </si>
  <si>
    <t>OPP-05707</t>
  </si>
  <si>
    <t>OPP-05712</t>
  </si>
  <si>
    <t>OPP-05716</t>
  </si>
  <si>
    <t>OPP-05717</t>
  </si>
  <si>
    <t>OPP-05718</t>
  </si>
  <si>
    <t>OPP-05720</t>
  </si>
  <si>
    <t>OPP-06025</t>
  </si>
  <si>
    <t>OPP-06026</t>
  </si>
  <si>
    <t>OPP-06028</t>
  </si>
  <si>
    <t>OPP-06029</t>
  </si>
  <si>
    <t>OPP-06495</t>
  </si>
  <si>
    <t>OPP-06710</t>
  </si>
  <si>
    <t>OPP-06711</t>
  </si>
  <si>
    <t>OPP-06712</t>
  </si>
  <si>
    <t>OPP-06713</t>
  </si>
  <si>
    <t>OPP-06715</t>
  </si>
  <si>
    <t>OPP-06720</t>
  </si>
  <si>
    <t>OPP-06722</t>
  </si>
  <si>
    <t>OPP-00326</t>
  </si>
  <si>
    <t>OPP-00330</t>
  </si>
  <si>
    <t>OPP-00930</t>
  </si>
  <si>
    <t>OPP-00932</t>
  </si>
  <si>
    <t>OPP-01071</t>
  </si>
  <si>
    <t>OPP-01072</t>
  </si>
  <si>
    <t>OPP-01073</t>
  </si>
  <si>
    <t>OPP-01075</t>
  </si>
  <si>
    <t>OPP-01406</t>
  </si>
  <si>
    <t>OPP-01407</t>
  </si>
  <si>
    <t>OPP-01410</t>
  </si>
  <si>
    <t>OPP-01411</t>
  </si>
  <si>
    <t>OPP-01412</t>
  </si>
  <si>
    <t>OPP-02077</t>
  </si>
  <si>
    <t>OPP-03032</t>
  </si>
  <si>
    <t>OPP-03033</t>
  </si>
  <si>
    <t>OPP-03034</t>
  </si>
  <si>
    <t>OPP-03036</t>
  </si>
  <si>
    <t>OPP-03037</t>
  </si>
  <si>
    <t>OPP-03040</t>
  </si>
  <si>
    <t>OPP-04199</t>
  </si>
  <si>
    <t>OPP-04245</t>
  </si>
  <si>
    <t>OPP-04246</t>
  </si>
  <si>
    <t>OPP-04333</t>
  </si>
  <si>
    <t>OPP-05073</t>
  </si>
  <si>
    <t>OPP-05076</t>
  </si>
  <si>
    <t>OPP-05078</t>
  </si>
  <si>
    <t>OPP-05079</t>
  </si>
  <si>
    <t>OPP-05510</t>
  </si>
  <si>
    <t>OPP-05511</t>
  </si>
  <si>
    <t>OPP-05515</t>
  </si>
  <si>
    <t>OPP-05517</t>
  </si>
  <si>
    <t>OPP-05519</t>
  </si>
  <si>
    <t>OPP-06225</t>
  </si>
  <si>
    <t>OPP-06227</t>
  </si>
  <si>
    <t>OPP-06387</t>
  </si>
  <si>
    <t>OPP-06492</t>
  </si>
  <si>
    <t>OPP-06494</t>
  </si>
  <si>
    <t>OPP-06497</t>
  </si>
  <si>
    <t>OPP-00100</t>
  </si>
  <si>
    <t>OPP-00101</t>
  </si>
  <si>
    <t>OPP-00102</t>
  </si>
  <si>
    <t>OPP-00103</t>
  </si>
  <si>
    <t>OPP-00105</t>
  </si>
  <si>
    <t>OPP-00324</t>
  </si>
  <si>
    <t>OPP-00327</t>
  </si>
  <si>
    <t>OPP-00328</t>
  </si>
  <si>
    <t>OPP-00329</t>
  </si>
  <si>
    <t>OPP-00447</t>
  </si>
  <si>
    <t>OPP-00448</t>
  </si>
  <si>
    <t>OPP-00450</t>
  </si>
  <si>
    <t>OPP-00451</t>
  </si>
  <si>
    <t>OPP-00453</t>
  </si>
  <si>
    <t>OPP-00454</t>
  </si>
  <si>
    <t>OPP-00458</t>
  </si>
  <si>
    <t>OPP-00459</t>
  </si>
  <si>
    <t>OPP-00703</t>
  </si>
  <si>
    <t>OPP-00707</t>
  </si>
  <si>
    <t>OPP-00709</t>
  </si>
  <si>
    <t>OPP-00710</t>
  </si>
  <si>
    <t>OPP-00711</t>
  </si>
  <si>
    <t>OPP-00929</t>
  </si>
  <si>
    <t>OPP-00931</t>
  </si>
  <si>
    <t>OPP-01074</t>
  </si>
  <si>
    <t>OPP-01157</t>
  </si>
  <si>
    <t>OPP-01159</t>
  </si>
  <si>
    <t>OPP-01163</t>
  </si>
  <si>
    <t>OPP-01167</t>
  </si>
  <si>
    <t>OPP-01334</t>
  </si>
  <si>
    <t>OPP-01408</t>
  </si>
  <si>
    <t>OPP-01574</t>
  </si>
  <si>
    <t>OPP-01577</t>
  </si>
  <si>
    <t>OPP-01579</t>
  </si>
  <si>
    <t>OPP-01581</t>
  </si>
  <si>
    <t>OPP-01582</t>
  </si>
  <si>
    <t>OPP-01584</t>
  </si>
  <si>
    <t>OPP-01585</t>
  </si>
  <si>
    <t>OPP-01587</t>
  </si>
  <si>
    <t>OPP-01588</t>
  </si>
  <si>
    <t>OPP-01768</t>
  </si>
  <si>
    <t>OPP-01769</t>
  </si>
  <si>
    <t>OPP-01771</t>
  </si>
  <si>
    <t>OPP-01773</t>
  </si>
  <si>
    <t>OPP-01774</t>
  </si>
  <si>
    <t>OPP-01776</t>
  </si>
  <si>
    <t>OPP-01865</t>
  </si>
  <si>
    <t>OPP-02072</t>
  </si>
  <si>
    <t>OPP-02073</t>
  </si>
  <si>
    <t>OPP-02076</t>
  </si>
  <si>
    <t>OPP-02078</t>
  </si>
  <si>
    <t>OPP-02079</t>
  </si>
  <si>
    <t>OPP-02081</t>
  </si>
  <si>
    <t>OPP-02083</t>
  </si>
  <si>
    <t>OPP-02277</t>
  </si>
  <si>
    <t>OPP-02279</t>
  </si>
  <si>
    <t>OPP-02282</t>
  </si>
  <si>
    <t>OPP-02284</t>
  </si>
  <si>
    <t>OPP-02547</t>
  </si>
  <si>
    <t>OPP-02548</t>
  </si>
  <si>
    <t>OPP-02551</t>
  </si>
  <si>
    <t>OPP-02553</t>
  </si>
  <si>
    <t>OPP-02554</t>
  </si>
  <si>
    <t>OPP-02555</t>
  </si>
  <si>
    <t>OPP-02776</t>
  </si>
  <si>
    <t>OPP-02778</t>
  </si>
  <si>
    <t>OPP-02779</t>
  </si>
  <si>
    <t>OPP-02780</t>
  </si>
  <si>
    <t>OPP-02781</t>
  </si>
  <si>
    <t>OPP-02782</t>
  </si>
  <si>
    <t>OPP-02783</t>
  </si>
  <si>
    <t>OPP-02784</t>
  </si>
  <si>
    <t>OPP-02786</t>
  </si>
  <si>
    <t>OPP-02787</t>
  </si>
  <si>
    <t>OPP-02789</t>
  </si>
  <si>
    <t>OPP-02790</t>
  </si>
  <si>
    <t>OPP-02791</t>
  </si>
  <si>
    <t>OPP-03240</t>
  </si>
  <si>
    <t>OPP-03242</t>
  </si>
  <si>
    <t>OPP-03244</t>
  </si>
  <si>
    <t>OPP-03245</t>
  </si>
  <si>
    <t>OPP-03246</t>
  </si>
  <si>
    <t>OPP-03465</t>
  </si>
  <si>
    <t>OPP-03466</t>
  </si>
  <si>
    <t>OPP-03774</t>
  </si>
  <si>
    <t>OPP-03777</t>
  </si>
  <si>
    <t>OPP-03784</t>
  </si>
  <si>
    <t>OPP-04021</t>
  </si>
  <si>
    <t>OPP-04022</t>
  </si>
  <si>
    <t>OPP-04023</t>
  </si>
  <si>
    <t>OPP-04026</t>
  </si>
  <si>
    <t>OPP-04027</t>
  </si>
  <si>
    <t>OPP-04028</t>
  </si>
  <si>
    <t>OPP-04030</t>
  </si>
  <si>
    <t>OPP-04031</t>
  </si>
  <si>
    <t>OPP-04202</t>
  </si>
  <si>
    <t>OPP-04331</t>
  </si>
  <si>
    <t>OPP-04332</t>
  </si>
  <si>
    <t>OPP-04511</t>
  </si>
  <si>
    <t>OPP-04512</t>
  </si>
  <si>
    <t>OPP-04515</t>
  </si>
  <si>
    <t>OPP-04516</t>
  </si>
  <si>
    <t>OPP-04517</t>
  </si>
  <si>
    <t>OPP-04518</t>
  </si>
  <si>
    <t>OPP-04520</t>
  </si>
  <si>
    <t>OPP-04521</t>
  </si>
  <si>
    <t>OPP-04751</t>
  </si>
  <si>
    <t>OPP-04753</t>
  </si>
  <si>
    <t>OPP-04756</t>
  </si>
  <si>
    <t>OPP-04757</t>
  </si>
  <si>
    <t>OPP-04759</t>
  </si>
  <si>
    <t>OPP-04951</t>
  </si>
  <si>
    <t>OPP-04952</t>
  </si>
  <si>
    <t>OPP-04953</t>
  </si>
  <si>
    <t>OPP-04954</t>
  </si>
  <si>
    <t>OPP-05074</t>
  </si>
  <si>
    <t>OPP-05075</t>
  </si>
  <si>
    <t>OPP-05077</t>
  </si>
  <si>
    <t>OPP-05080</t>
  </si>
  <si>
    <t>OPP-05081</t>
  </si>
  <si>
    <t>OPP-05082</t>
  </si>
  <si>
    <t>OPP-05083</t>
  </si>
  <si>
    <t>OPP-05288</t>
  </si>
  <si>
    <t>OPP-05289</t>
  </si>
  <si>
    <t>OPP-05290</t>
  </si>
  <si>
    <t>OPP-05296</t>
  </si>
  <si>
    <t>OPP-05297</t>
  </si>
  <si>
    <t>OPP-05299</t>
  </si>
  <si>
    <t>OPP-05300</t>
  </si>
  <si>
    <t>OPP-05512</t>
  </si>
  <si>
    <t>OPP-05513</t>
  </si>
  <si>
    <t>OPP-05514</t>
  </si>
  <si>
    <t>OPP-05516</t>
  </si>
  <si>
    <t>OPP-05518</t>
  </si>
  <si>
    <t>OPP-05706</t>
  </si>
  <si>
    <t>OPP-05708</t>
  </si>
  <si>
    <t>OPP-05709</t>
  </si>
  <si>
    <t>OPP-05710</t>
  </si>
  <si>
    <t>OPP-05711</t>
  </si>
  <si>
    <t>OPP-05713</t>
  </si>
  <si>
    <t>OPP-05714</t>
  </si>
  <si>
    <t>OPP-05715</t>
  </si>
  <si>
    <t>OPP-05719</t>
  </si>
  <si>
    <t>OPP-05721</t>
  </si>
  <si>
    <t>OPP-05722</t>
  </si>
  <si>
    <t>OPP-06023</t>
  </si>
  <si>
    <t>OPP-06024</t>
  </si>
  <si>
    <t>OPP-06027</t>
  </si>
  <si>
    <t>OPP-06030</t>
  </si>
  <si>
    <t>OPP-06222</t>
  </si>
  <si>
    <t>OPP-06223</t>
  </si>
  <si>
    <t>OPP-06224</t>
  </si>
  <si>
    <t>OPP-06226</t>
  </si>
  <si>
    <t>OPP-06228</t>
  </si>
  <si>
    <t>OPP-06229</t>
  </si>
  <si>
    <t>OPP-06230</t>
  </si>
  <si>
    <t>OPP-06231</t>
  </si>
  <si>
    <t>OPP-06382</t>
  </si>
  <si>
    <t>OPP-06383</t>
  </si>
  <si>
    <t>OPP-06384</t>
  </si>
  <si>
    <t>OPP-06385</t>
  </si>
  <si>
    <t>OPP-06386</t>
  </si>
  <si>
    <t>OPP-06388</t>
  </si>
  <si>
    <t>OPP-06389</t>
  </si>
  <si>
    <t>OPP-06390</t>
  </si>
  <si>
    <t>OPP-06493</t>
  </si>
  <si>
    <t>OPP-06496</t>
  </si>
  <si>
    <t>OPP-06709</t>
  </si>
  <si>
    <t>OPP-06714</t>
  </si>
  <si>
    <t>OPP-06716</t>
  </si>
  <si>
    <t>OPP-06717</t>
  </si>
  <si>
    <t>OPP-06718</t>
  </si>
  <si>
    <t>OPP-06719</t>
  </si>
  <si>
    <t>OPP-06721</t>
  </si>
  <si>
    <t>OPP-00928</t>
  </si>
  <si>
    <t>OPP-01070</t>
  </si>
  <si>
    <t>OPP-01330</t>
  </si>
  <si>
    <t>OPP-01331</t>
  </si>
  <si>
    <t>OPP-01333</t>
  </si>
  <si>
    <t>OPP-01409</t>
  </si>
  <si>
    <t>OPP-03035</t>
  </si>
  <si>
    <t>OPP-03038</t>
  </si>
  <si>
    <t>OPP-03039</t>
  </si>
  <si>
    <t>OPP-04200</t>
  </si>
  <si>
    <t>OPP-04243</t>
  </si>
  <si>
    <t>OPP-04244</t>
  </si>
  <si>
    <t>OPP-04330</t>
  </si>
  <si>
    <t>OPP-05867</t>
  </si>
  <si>
    <t>OPP-05868</t>
  </si>
  <si>
    <t>OPP-00185</t>
  </si>
  <si>
    <t>OPP-00187</t>
  </si>
  <si>
    <t>OPP-00188</t>
  </si>
  <si>
    <t>OPP-00376</t>
  </si>
  <si>
    <t>OPP-00516</t>
  </si>
  <si>
    <t>OPP-00518</t>
  </si>
  <si>
    <t>OPP-00519</t>
  </si>
  <si>
    <t>OPP-00521</t>
  </si>
  <si>
    <t>OPP-00523</t>
  </si>
  <si>
    <t>OPP-00524</t>
  </si>
  <si>
    <t>OPP-00525</t>
  </si>
  <si>
    <t>OPP-00781</t>
  </si>
  <si>
    <t>OPP-00782</t>
  </si>
  <si>
    <t>OPP-00785</t>
  </si>
  <si>
    <t>OPP-00850</t>
  </si>
  <si>
    <t>OPP-00852</t>
  </si>
  <si>
    <t>OPP-00854</t>
  </si>
  <si>
    <t>OPP-01002</t>
  </si>
  <si>
    <t>OPP-01232</t>
  </si>
  <si>
    <t>OPP-01233</t>
  </si>
  <si>
    <t>OPP-01236</t>
  </si>
  <si>
    <t>OPP-01237</t>
  </si>
  <si>
    <t>OPP-01238</t>
  </si>
  <si>
    <t>OPP-01244</t>
  </si>
  <si>
    <t>OPP-01662</t>
  </si>
  <si>
    <t>OPP-01663</t>
  </si>
  <si>
    <t>OPP-01664</t>
  </si>
  <si>
    <t>OPP-01667</t>
  </si>
  <si>
    <t>OPP-01850</t>
  </si>
  <si>
    <t>OPP-01855</t>
  </si>
  <si>
    <t>OPP-01915</t>
  </si>
  <si>
    <t>OPP-02167</t>
  </si>
  <si>
    <t>OPP-02169</t>
  </si>
  <si>
    <t>OPP-02171</t>
  </si>
  <si>
    <t>OPP-02346</t>
  </si>
  <si>
    <t>OPP-02350</t>
  </si>
  <si>
    <t>OPP-02351</t>
  </si>
  <si>
    <t>OPP-02355</t>
  </si>
  <si>
    <t>OPP-02356</t>
  </si>
  <si>
    <t>OPP-02611</t>
  </si>
  <si>
    <t>OPP-02612</t>
  </si>
  <si>
    <t>OPP-02615</t>
  </si>
  <si>
    <t>OPP-02618</t>
  </si>
  <si>
    <t>OPP-02620</t>
  </si>
  <si>
    <t>OPP-02862</t>
  </si>
  <si>
    <t>OPP-02865</t>
  </si>
  <si>
    <t>OPP-02867</t>
  </si>
  <si>
    <t>OPP-03309</t>
  </si>
  <si>
    <t>OPP-03310</t>
  </si>
  <si>
    <t>OPP-03311</t>
  </si>
  <si>
    <t>OPP-03313</t>
  </si>
  <si>
    <t>OPP-03314</t>
  </si>
  <si>
    <t>OPP-03316</t>
  </si>
  <si>
    <t>OPP-03319</t>
  </si>
  <si>
    <t>OPP-03367</t>
  </si>
  <si>
    <t>OPP-03369</t>
  </si>
  <si>
    <t>OPP-03516</t>
  </si>
  <si>
    <t>OPP-03596</t>
  </si>
  <si>
    <t>OPP-03597</t>
  </si>
  <si>
    <t>OPP-03598</t>
  </si>
  <si>
    <t>OPP-03599</t>
  </si>
  <si>
    <t>OPP-03600</t>
  </si>
  <si>
    <t>OPP-03622</t>
  </si>
  <si>
    <t>OPP-03855</t>
  </si>
  <si>
    <t>OPP-03856</t>
  </si>
  <si>
    <t>OPP-03858</t>
  </si>
  <si>
    <t>OPP-03859</t>
  </si>
  <si>
    <t>OPP-03863</t>
  </si>
  <si>
    <t>OPP-04100</t>
  </si>
  <si>
    <t>OPP-04101</t>
  </si>
  <si>
    <t>OPP-04102</t>
  </si>
  <si>
    <t>OPP-04103</t>
  </si>
  <si>
    <t>OPP-04104</t>
  </si>
  <si>
    <t>OPP-04595</t>
  </si>
  <si>
    <t>OPP-04596</t>
  </si>
  <si>
    <t>OPP-04597</t>
  </si>
  <si>
    <t>OPP-04599</t>
  </si>
  <si>
    <t>OPP-04824</t>
  </si>
  <si>
    <t>OPP-04825</t>
  </si>
  <si>
    <t>OPP-04826</t>
  </si>
  <si>
    <t>OPP-04828</t>
  </si>
  <si>
    <t>OPP-04829</t>
  </si>
  <si>
    <t>OPP-04830</t>
  </si>
  <si>
    <t>OPP-04832</t>
  </si>
  <si>
    <t>OPP-04834</t>
  </si>
  <si>
    <t>OPP-04837</t>
  </si>
  <si>
    <t>OPP-05388</t>
  </si>
  <si>
    <t>OPP-05390</t>
  </si>
  <si>
    <t>OPP-05392</t>
  </si>
  <si>
    <t>OPP-05393</t>
  </si>
  <si>
    <t>OPP-05792</t>
  </si>
  <si>
    <t>OPP-05793</t>
  </si>
  <si>
    <t>OPP-05794</t>
  </si>
  <si>
    <t>OPP-06100</t>
  </si>
  <si>
    <t>OPP-06101</t>
  </si>
  <si>
    <t>OPP-06103</t>
  </si>
  <si>
    <t>OPP-06104</t>
  </si>
  <si>
    <t>OPP-06286</t>
  </si>
  <si>
    <t>OPP-06801</t>
  </si>
  <si>
    <t>OPP-06802</t>
  </si>
  <si>
    <t>OPP-06803</t>
  </si>
  <si>
    <t>OPP-06805</t>
  </si>
  <si>
    <t>OPP-06807</t>
  </si>
  <si>
    <t>OPP-06808</t>
  </si>
  <si>
    <t>OPP-06809</t>
  </si>
  <si>
    <t>OPP-06810</t>
  </si>
  <si>
    <t>OPP-04218</t>
  </si>
  <si>
    <t>OPP-00969</t>
  </si>
  <si>
    <t>OPP-01450</t>
  </si>
  <si>
    <t>OPP-04217</t>
  </si>
  <si>
    <t>OPP-04219</t>
  </si>
  <si>
    <t>OPP-00232</t>
  </si>
  <si>
    <t>OPP-00377</t>
  </si>
  <si>
    <t>OPP-00968</t>
  </si>
  <si>
    <t>OPP-00970</t>
  </si>
  <si>
    <t>OPP-00971</t>
  </si>
  <si>
    <t>OPP-01108</t>
  </si>
  <si>
    <t>OPP-01109</t>
  </si>
  <si>
    <t>OPP-01110</t>
  </si>
  <si>
    <t>OPP-01111</t>
  </si>
  <si>
    <t>OPP-01446</t>
  </si>
  <si>
    <t>OPP-01447</t>
  </si>
  <si>
    <t>OPP-01448</t>
  </si>
  <si>
    <t>OPP-01451</t>
  </si>
  <si>
    <t>OPP-01452</t>
  </si>
  <si>
    <t>OPP-01453</t>
  </si>
  <si>
    <t>OPP-02423</t>
  </si>
  <si>
    <t>OPP-02963</t>
  </si>
  <si>
    <t>OPP-03082</t>
  </si>
  <si>
    <t>OPP-03083</t>
  </si>
  <si>
    <t>OPP-03624</t>
  </si>
  <si>
    <t>OPP-04261</t>
  </si>
  <si>
    <t>OPP-04364</t>
  </si>
  <si>
    <t>OPP-04985</t>
  </si>
  <si>
    <t>OPP-04987</t>
  </si>
  <si>
    <t>OPP-05888</t>
  </si>
  <si>
    <t>OPP-00181</t>
  </si>
  <si>
    <t>OPP-00182</t>
  </si>
  <si>
    <t>OPP-00183</t>
  </si>
  <si>
    <t>OPP-00184</t>
  </si>
  <si>
    <t>OPP-00186</t>
  </si>
  <si>
    <t>OPP-00378</t>
  </si>
  <si>
    <t>OPP-00515</t>
  </si>
  <si>
    <t>OPP-00517</t>
  </si>
  <si>
    <t>OPP-00520</t>
  </si>
  <si>
    <t>OPP-00522</t>
  </si>
  <si>
    <t>OPP-00526</t>
  </si>
  <si>
    <t>OPP-00783</t>
  </si>
  <si>
    <t>OPP-00784</t>
  </si>
  <si>
    <t>OPP-00786</t>
  </si>
  <si>
    <t>OPP-00787</t>
  </si>
  <si>
    <t>OPP-00847</t>
  </si>
  <si>
    <t>OPP-00848</t>
  </si>
  <si>
    <t>OPP-00849</t>
  </si>
  <si>
    <t>OPP-00851</t>
  </si>
  <si>
    <t>OPP-00853</t>
  </si>
  <si>
    <t>OPP-01001</t>
  </si>
  <si>
    <t>OPP-01234</t>
  </si>
  <si>
    <t>OPP-01235</t>
  </si>
  <si>
    <t>OPP-01239</t>
  </si>
  <si>
    <t>OPP-01240</t>
  </si>
  <si>
    <t>OPP-01241</t>
  </si>
  <si>
    <t>OPP-01242</t>
  </si>
  <si>
    <t>OPP-01243</t>
  </si>
  <si>
    <t>OPP-01245</t>
  </si>
  <si>
    <t>OPP-01246</t>
  </si>
  <si>
    <t>OPP-01247</t>
  </si>
  <si>
    <t>OPP-01248</t>
  </si>
  <si>
    <t>OPP-01449</t>
  </si>
  <si>
    <t>OPP-01665</t>
  </si>
  <si>
    <t>OPP-01666</t>
  </si>
  <si>
    <t>OPP-01848</t>
  </si>
  <si>
    <t>OPP-01849</t>
  </si>
  <si>
    <t>OPP-01851</t>
  </si>
  <si>
    <t>OPP-01852</t>
  </si>
  <si>
    <t>OPP-01853</t>
  </si>
  <si>
    <t>OPP-01854</t>
  </si>
  <si>
    <t>OPP-01916</t>
  </si>
  <si>
    <t>OPP-02168</t>
  </si>
  <si>
    <t>OPP-02170</t>
  </si>
  <si>
    <t>OPP-02172</t>
  </si>
  <si>
    <t>OPP-02173</t>
  </si>
  <si>
    <t>OPP-02347</t>
  </si>
  <si>
    <t>OPP-02348</t>
  </si>
  <si>
    <t>OPP-02349</t>
  </si>
  <si>
    <t>OPP-02352</t>
  </si>
  <si>
    <t>OPP-02353</t>
  </si>
  <si>
    <t>OPP-02354</t>
  </si>
  <si>
    <t>OPP-02424</t>
  </si>
  <si>
    <t>OPP-02613</t>
  </si>
  <si>
    <t>OPP-02614</t>
  </si>
  <si>
    <t>OPP-02616</t>
  </si>
  <si>
    <t>OPP-02617</t>
  </si>
  <si>
    <t>OPP-02619</t>
  </si>
  <si>
    <t>OPP-02621</t>
  </si>
  <si>
    <t>OPP-02859</t>
  </si>
  <si>
    <t>OPP-02860</t>
  </si>
  <si>
    <t>OPP-02861</t>
  </si>
  <si>
    <t>OPP-02863</t>
  </si>
  <si>
    <t>OPP-02864</t>
  </si>
  <si>
    <t>OPP-02866</t>
  </si>
  <si>
    <t>OPP-02964</t>
  </si>
  <si>
    <t>OPP-03081</t>
  </si>
  <si>
    <t>OPP-03308</t>
  </si>
  <si>
    <t>OPP-03312</t>
  </si>
  <si>
    <t>OPP-03315</t>
  </si>
  <si>
    <t>OPP-03317</t>
  </si>
  <si>
    <t>OPP-03318</t>
  </si>
  <si>
    <t>OPP-03363</t>
  </si>
  <si>
    <t>OPP-03364</t>
  </si>
  <si>
    <t>OPP-03365</t>
  </si>
  <si>
    <t>OPP-03366</t>
  </si>
  <si>
    <t>OPP-03368</t>
  </si>
  <si>
    <t>OPP-03515</t>
  </si>
  <si>
    <t>OPP-03517</t>
  </si>
  <si>
    <t>OPP-03518</t>
  </si>
  <si>
    <t>OPP-03519</t>
  </si>
  <si>
    <t>OPP-03593</t>
  </si>
  <si>
    <t>OPP-03594</t>
  </si>
  <si>
    <t>OPP-03595</t>
  </si>
  <si>
    <t>OPP-03601</t>
  </si>
  <si>
    <t>OPP-03602</t>
  </si>
  <si>
    <t>OPP-03623</t>
  </si>
  <si>
    <t>OPP-03625</t>
  </si>
  <si>
    <t>OPP-03857</t>
  </si>
  <si>
    <t>OPP-03860</t>
  </si>
  <si>
    <t>OPP-03861</t>
  </si>
  <si>
    <t>OPP-03862</t>
  </si>
  <si>
    <t>OPP-04099</t>
  </si>
  <si>
    <t>OPP-04105</t>
  </si>
  <si>
    <t>OPP-04106</t>
  </si>
  <si>
    <t>OPP-04262</t>
  </si>
  <si>
    <t>OPP-04365</t>
  </si>
  <si>
    <t>OPP-04366</t>
  </si>
  <si>
    <t>OPP-04592</t>
  </si>
  <si>
    <t>OPP-04593</t>
  </si>
  <si>
    <t>OPP-04594</t>
  </si>
  <si>
    <t>OPP-04598</t>
  </si>
  <si>
    <t>OPP-04600</t>
  </si>
  <si>
    <t>OPP-04821</t>
  </si>
  <si>
    <t>OPP-04822</t>
  </si>
  <si>
    <t>OPP-04823</t>
  </si>
  <si>
    <t>OPP-04827</t>
  </si>
  <si>
    <t>OPP-04831</t>
  </si>
  <si>
    <t>OPP-04833</t>
  </si>
  <si>
    <t>OPP-04835</t>
  </si>
  <si>
    <t>OPP-04836</t>
  </si>
  <si>
    <t>OPP-04986</t>
  </si>
  <si>
    <t>OPP-04988</t>
  </si>
  <si>
    <t>OPP-04989</t>
  </si>
  <si>
    <t>OPP-05130</t>
  </si>
  <si>
    <t>OPP-05389</t>
  </si>
  <si>
    <t>OPP-05391</t>
  </si>
  <si>
    <t>OPP-05394</t>
  </si>
  <si>
    <t>OPP-05395</t>
  </si>
  <si>
    <t>OPP-05551</t>
  </si>
  <si>
    <t>OPP-05552</t>
  </si>
  <si>
    <t>OPP-05553</t>
  </si>
  <si>
    <t>OPP-05789</t>
  </si>
  <si>
    <t>OPP-05790</t>
  </si>
  <si>
    <t>OPP-05791</t>
  </si>
  <si>
    <t>OPP-05795</t>
  </si>
  <si>
    <t>OPP-06099</t>
  </si>
  <si>
    <t>OPP-06102</t>
  </si>
  <si>
    <t>OPP-06284</t>
  </si>
  <si>
    <t>OPP-06285</t>
  </si>
  <si>
    <t>OPP-06431</t>
  </si>
  <si>
    <t>OPP-06432</t>
  </si>
  <si>
    <t>OPP-06433</t>
  </si>
  <si>
    <t>OPP-06434</t>
  </si>
  <si>
    <t>OPP-06544</t>
  </si>
  <si>
    <t>OPP-06545</t>
  </si>
  <si>
    <t>OPP-06546</t>
  </si>
  <si>
    <t>OPP-06547</t>
  </si>
  <si>
    <t>OPP-06804</t>
  </si>
  <si>
    <t>OPP-06806</t>
  </si>
  <si>
    <t>OPP-00066</t>
  </si>
  <si>
    <t>OPP-00067</t>
  </si>
  <si>
    <t>OPP-00068</t>
  </si>
  <si>
    <t>OPP-00069</t>
  </si>
  <si>
    <t>OPP-00071</t>
  </si>
  <si>
    <t>OPP-00073</t>
  </si>
  <si>
    <t>OPP-00305</t>
  </si>
  <si>
    <t>OPP-00408</t>
  </si>
  <si>
    <t>OPP-00409</t>
  </si>
  <si>
    <t>OPP-00410</t>
  </si>
  <si>
    <t>OPP-00411</t>
  </si>
  <si>
    <t>OPP-00655</t>
  </si>
  <si>
    <t>OPP-00657</t>
  </si>
  <si>
    <t>OPP-00660</t>
  </si>
  <si>
    <t>OPP-01533</t>
  </si>
  <si>
    <t>OPP-01534</t>
  </si>
  <si>
    <t>OPP-01536</t>
  </si>
  <si>
    <t>OPP-01730</t>
  </si>
  <si>
    <t>OPP-01733</t>
  </si>
  <si>
    <t>OPP-01734</t>
  </si>
  <si>
    <t>OPP-01735</t>
  </si>
  <si>
    <t>OPP-02030</t>
  </si>
  <si>
    <t>OPP-02031</t>
  </si>
  <si>
    <t>OPP-02033</t>
  </si>
  <si>
    <t>OPP-02035</t>
  </si>
  <si>
    <t>OPP-02253</t>
  </si>
  <si>
    <t>OPP-02739</t>
  </si>
  <si>
    <t>OPP-02744</t>
  </si>
  <si>
    <t>OPP-03184</t>
  </si>
  <si>
    <t>OPP-03186</t>
  </si>
  <si>
    <t>OPP-03187</t>
  </si>
  <si>
    <t>OPP-03188</t>
  </si>
  <si>
    <t>OPP-03730</t>
  </si>
  <si>
    <t>OPP-03731</t>
  </si>
  <si>
    <t>OPP-03732</t>
  </si>
  <si>
    <t>OPP-03733</t>
  </si>
  <si>
    <t>OPP-03734</t>
  </si>
  <si>
    <t>OPP-03736</t>
  </si>
  <si>
    <t>OPP-03980</t>
  </si>
  <si>
    <t>OPP-03981</t>
  </si>
  <si>
    <t>OPP-03982</t>
  </si>
  <si>
    <t>OPP-03983</t>
  </si>
  <si>
    <t>OPP-03984</t>
  </si>
  <si>
    <t>OPP-04474</t>
  </si>
  <si>
    <t>OPP-04712</t>
  </si>
  <si>
    <t>OPP-04713</t>
  </si>
  <si>
    <t>OPP-04714</t>
  </si>
  <si>
    <t>OPP-04715</t>
  </si>
  <si>
    <t>OPP-04716</t>
  </si>
  <si>
    <t>OPP-04717</t>
  </si>
  <si>
    <t>OPP-04718</t>
  </si>
  <si>
    <t>OPP-04719</t>
  </si>
  <si>
    <t>OPP-04720</t>
  </si>
  <si>
    <t>OPP-05048</t>
  </si>
  <si>
    <t>OPP-05246</t>
  </si>
  <si>
    <t>OPP-05250</t>
  </si>
  <si>
    <t>OPP-05491</t>
  </si>
  <si>
    <t>OPP-05657</t>
  </si>
  <si>
    <t>OPP-05660</t>
  </si>
  <si>
    <t>OPP-05662</t>
  </si>
  <si>
    <t>OPP-05663</t>
  </si>
  <si>
    <t>OPP-05669</t>
  </si>
  <si>
    <t>OPP-05976</t>
  </si>
  <si>
    <t>OPP-05977</t>
  </si>
  <si>
    <t>OPP-05979</t>
  </si>
  <si>
    <t>OPP-06653</t>
  </si>
  <si>
    <t>OPP-06654</t>
  </si>
  <si>
    <t>OPP-06655</t>
  </si>
  <si>
    <t>OPP-06656</t>
  </si>
  <si>
    <t>OPP-06658</t>
  </si>
  <si>
    <t>OPP-06660</t>
  </si>
  <si>
    <t>OPP-01320</t>
  </si>
  <si>
    <t>OPP-04188</t>
  </si>
  <si>
    <t>OPP-04307</t>
  </si>
  <si>
    <t>OPP-00905</t>
  </si>
  <si>
    <t>OPP-01052</t>
  </si>
  <si>
    <t>OPP-01380</t>
  </si>
  <si>
    <t>OPP-03018</t>
  </si>
  <si>
    <t>OPP-04308</t>
  </si>
  <si>
    <t>OPP-04309</t>
  </si>
  <si>
    <t>OPP-00301</t>
  </si>
  <si>
    <t>OPP-00302</t>
  </si>
  <si>
    <t>OPP-00902</t>
  </si>
  <si>
    <t>OPP-00904</t>
  </si>
  <si>
    <t>OPP-01318</t>
  </si>
  <si>
    <t>OPP-01381</t>
  </si>
  <si>
    <t>OPP-04236</t>
  </si>
  <si>
    <t>OPP-04310</t>
  </si>
  <si>
    <t>OPP-05047</t>
  </si>
  <si>
    <t>OPP-05858</t>
  </si>
  <si>
    <t>OPP-06201</t>
  </si>
  <si>
    <t>OPP-06355</t>
  </si>
  <si>
    <t>OPP-06480</t>
  </si>
  <si>
    <t>OPP-00070</t>
  </si>
  <si>
    <t>OPP-00072</t>
  </si>
  <si>
    <t>OPP-00300</t>
  </si>
  <si>
    <t>OPP-00303</t>
  </si>
  <si>
    <t>OPP-00304</t>
  </si>
  <si>
    <t>OPP-00306</t>
  </si>
  <si>
    <t>OPP-00412</t>
  </si>
  <si>
    <t>OPP-00653</t>
  </si>
  <si>
    <t>OPP-00654</t>
  </si>
  <si>
    <t>OPP-00656</t>
  </si>
  <si>
    <t>OPP-00658</t>
  </si>
  <si>
    <t>OPP-00659</t>
  </si>
  <si>
    <t>OPP-00903</t>
  </si>
  <si>
    <t>OPP-01319</t>
  </si>
  <si>
    <t>OPP-01535</t>
  </si>
  <si>
    <t>OPP-01728</t>
  </si>
  <si>
    <t>OPP-01729</t>
  </si>
  <si>
    <t>OPP-01731</t>
  </si>
  <si>
    <t>OPP-01732</t>
  </si>
  <si>
    <t>OPP-02029</t>
  </si>
  <si>
    <t>OPP-02032</t>
  </si>
  <si>
    <t>OPP-02034</t>
  </si>
  <si>
    <t>OPP-02254</t>
  </si>
  <si>
    <t>OPP-02255</t>
  </si>
  <si>
    <t>OPP-02510</t>
  </si>
  <si>
    <t>OPP-02511</t>
  </si>
  <si>
    <t>OPP-02512</t>
  </si>
  <si>
    <t>OPP-02740</t>
  </si>
  <si>
    <t>OPP-02741</t>
  </si>
  <si>
    <t>OPP-02742</t>
  </si>
  <si>
    <t>OPP-02743</t>
  </si>
  <si>
    <t>OPP-02745</t>
  </si>
  <si>
    <t>OPP-02746</t>
  </si>
  <si>
    <t>OPP-02747</t>
  </si>
  <si>
    <t>OPP-03183</t>
  </si>
  <si>
    <t>OPP-03185</t>
  </si>
  <si>
    <t>OPP-03436</t>
  </si>
  <si>
    <t>OPP-03437</t>
  </si>
  <si>
    <t>OPP-03735</t>
  </si>
  <si>
    <t>OPP-03737</t>
  </si>
  <si>
    <t>OPP-03738</t>
  </si>
  <si>
    <t>OPP-04472</t>
  </si>
  <si>
    <t>OPP-04473</t>
  </si>
  <si>
    <t>OPP-04475</t>
  </si>
  <si>
    <t>OPP-04476</t>
  </si>
  <si>
    <t>OPP-04477</t>
  </si>
  <si>
    <t>OPP-04721</t>
  </si>
  <si>
    <t>OPP-04722</t>
  </si>
  <si>
    <t>OPP-04931</t>
  </si>
  <si>
    <t>OPP-04932</t>
  </si>
  <si>
    <t>OPP-05046</t>
  </si>
  <si>
    <t>OPP-05049</t>
  </si>
  <si>
    <t>OPP-05243</t>
  </si>
  <si>
    <t>OPP-05244</t>
  </si>
  <si>
    <t>OPP-05245</t>
  </si>
  <si>
    <t>OPP-05247</t>
  </si>
  <si>
    <t>OPP-05248</t>
  </si>
  <si>
    <t>OPP-05249</t>
  </si>
  <si>
    <t>OPP-05251</t>
  </si>
  <si>
    <t>OPP-05252</t>
  </si>
  <si>
    <t>OPP-05253</t>
  </si>
  <si>
    <t>OPP-05490</t>
  </si>
  <si>
    <t>OPP-05658</t>
  </si>
  <si>
    <t>OPP-05659</t>
  </si>
  <si>
    <t>OPP-05661</t>
  </si>
  <si>
    <t>OPP-05664</t>
  </si>
  <si>
    <t>OPP-05665</t>
  </si>
  <si>
    <t>OPP-05666</t>
  </si>
  <si>
    <t>OPP-05667</t>
  </si>
  <si>
    <t>OPP-05668</t>
  </si>
  <si>
    <t>OPP-05975</t>
  </si>
  <si>
    <t>OPP-05978</t>
  </si>
  <si>
    <t>OPP-05980</t>
  </si>
  <si>
    <t>OPP-06200</t>
  </si>
  <si>
    <t>OPP-06202</t>
  </si>
  <si>
    <t>OPP-06354</t>
  </si>
  <si>
    <t>OPP-06356</t>
  </si>
  <si>
    <t>OPP-06479</t>
  </si>
  <si>
    <t>OPP-06657</t>
  </si>
  <si>
    <t>OPP-06659</t>
  </si>
  <si>
    <t>OPP-06661</t>
  </si>
  <si>
    <t>OPP-00131</t>
  </si>
  <si>
    <t>OPP-00484</t>
  </si>
  <si>
    <t>OPP-00485</t>
  </si>
  <si>
    <t>OPP-00486</t>
  </si>
  <si>
    <t>OPP-00488</t>
  </si>
  <si>
    <t>OPP-00489</t>
  </si>
  <si>
    <t>OPP-00490</t>
  </si>
  <si>
    <t>OPP-00743</t>
  </si>
  <si>
    <t>OPP-00748</t>
  </si>
  <si>
    <t>OPP-00750</t>
  </si>
  <si>
    <t>OPP-00754</t>
  </si>
  <si>
    <t>OPP-01196</t>
  </si>
  <si>
    <t>OPP-01197</t>
  </si>
  <si>
    <t>OPP-01202</t>
  </si>
  <si>
    <t>OPP-01623</t>
  </si>
  <si>
    <t>OPP-01624</t>
  </si>
  <si>
    <t>OPP-01625</t>
  </si>
  <si>
    <t>OPP-01628</t>
  </si>
  <si>
    <t>OPP-01629</t>
  </si>
  <si>
    <t>OPP-01809</t>
  </si>
  <si>
    <t>OPP-01812</t>
  </si>
  <si>
    <t>OPP-01813</t>
  </si>
  <si>
    <t>OPP-01815</t>
  </si>
  <si>
    <t>OPP-01816</t>
  </si>
  <si>
    <t>OPP-01819</t>
  </si>
  <si>
    <t>OPP-01822</t>
  </si>
  <si>
    <t>OPP-01896</t>
  </si>
  <si>
    <t>OPP-01897</t>
  </si>
  <si>
    <t>OPP-01898</t>
  </si>
  <si>
    <t>OPP-02127</t>
  </si>
  <si>
    <t>OPP-02129</t>
  </si>
  <si>
    <t>OPP-02131</t>
  </si>
  <si>
    <t>OPP-02132</t>
  </si>
  <si>
    <t>OPP-02134</t>
  </si>
  <si>
    <t>OPP-02135</t>
  </si>
  <si>
    <t>OPP-02323</t>
  </si>
  <si>
    <t>OPP-02325</t>
  </si>
  <si>
    <t>OPP-02575</t>
  </si>
  <si>
    <t>OPP-02577</t>
  </si>
  <si>
    <t>OPP-02582</t>
  </si>
  <si>
    <t>OPP-02583</t>
  </si>
  <si>
    <t>OPP-02584</t>
  </si>
  <si>
    <t>OPP-02825</t>
  </si>
  <si>
    <t>OPP-03276</t>
  </si>
  <si>
    <t>OPP-03566</t>
  </si>
  <si>
    <t>OPP-03567</t>
  </si>
  <si>
    <t>OPP-03568</t>
  </si>
  <si>
    <t>OPP-03569</t>
  </si>
  <si>
    <t>OPP-03570</t>
  </si>
  <si>
    <t>OPP-03573</t>
  </si>
  <si>
    <t>OPP-03817</t>
  </si>
  <si>
    <t>OPP-04050</t>
  </si>
  <si>
    <t>OPP-04051</t>
  </si>
  <si>
    <t>OPP-04052</t>
  </si>
  <si>
    <t>OPP-04054</t>
  </si>
  <si>
    <t>OPP-04055</t>
  </si>
  <si>
    <t>OPP-04065</t>
  </si>
  <si>
    <t>OPP-04066</t>
  </si>
  <si>
    <t>OPP-04557</t>
  </si>
  <si>
    <t>OPP-04558</t>
  </si>
  <si>
    <t>OPP-04560</t>
  </si>
  <si>
    <t>OPP-04563</t>
  </si>
  <si>
    <t>OPP-04784</t>
  </si>
  <si>
    <t>OPP-04786</t>
  </si>
  <si>
    <t>OPP-04788</t>
  </si>
  <si>
    <t>OPP-04970</t>
  </si>
  <si>
    <t>OPP-05334</t>
  </si>
  <si>
    <t>OPP-05337</t>
  </si>
  <si>
    <t>OPP-05340</t>
  </si>
  <si>
    <t>OPP-05342</t>
  </si>
  <si>
    <t>OPP-05343</t>
  </si>
  <si>
    <t>OPP-05344</t>
  </si>
  <si>
    <t>OPP-05345</t>
  </si>
  <si>
    <t>OPP-05749</t>
  </si>
  <si>
    <t>OPP-05753</t>
  </si>
  <si>
    <t>OPP-05754</t>
  </si>
  <si>
    <t>OPP-05757</t>
  </si>
  <si>
    <t>OPP-06058</t>
  </si>
  <si>
    <t>OPP-06069</t>
  </si>
  <si>
    <t>OPP-06070</t>
  </si>
  <si>
    <t>OPP-06408</t>
  </si>
  <si>
    <t>OPP-06518</t>
  </si>
  <si>
    <t>OPP-06519</t>
  </si>
  <si>
    <t>OPP-06523</t>
  </si>
  <si>
    <t>OPP-06766</t>
  </si>
  <si>
    <t>OPP-06769</t>
  </si>
  <si>
    <t>OPP-06771</t>
  </si>
  <si>
    <t>OPP-06772</t>
  </si>
  <si>
    <t>OPP-06777</t>
  </si>
  <si>
    <t>OPP-01341</t>
  </si>
  <si>
    <t>OPP-01342</t>
  </si>
  <si>
    <t>OPP-01092</t>
  </si>
  <si>
    <t>OPP-01343</t>
  </si>
  <si>
    <t>OPP-01427</t>
  </si>
  <si>
    <t>OPP-03059</t>
  </si>
  <si>
    <t>OPP-04208</t>
  </si>
  <si>
    <t>OPP-04253</t>
  </si>
  <si>
    <t>OPP-05877</t>
  </si>
  <si>
    <t>OPP-00954</t>
  </si>
  <si>
    <t>OPP-00955</t>
  </si>
  <si>
    <t>OPP-01093</t>
  </si>
  <si>
    <t>OPP-01430</t>
  </si>
  <si>
    <t>OPP-01431</t>
  </si>
  <si>
    <t>OPP-01432</t>
  </si>
  <si>
    <t>OPP-01433</t>
  </si>
  <si>
    <t>OPP-03056</t>
  </si>
  <si>
    <t>OPP-03057</t>
  </si>
  <si>
    <t>OPP-03058</t>
  </si>
  <si>
    <t>OPP-03061</t>
  </si>
  <si>
    <t>OPP-03494</t>
  </si>
  <si>
    <t>OPP-04254</t>
  </si>
  <si>
    <t>OPP-04344</t>
  </si>
  <si>
    <t>OPP-04971</t>
  </si>
  <si>
    <t>OPP-04973</t>
  </si>
  <si>
    <t>OPP-05111</t>
  </si>
  <si>
    <t>OPP-05113</t>
  </si>
  <si>
    <t>OPP-05533</t>
  </si>
  <si>
    <t>OPP-05878</t>
  </si>
  <si>
    <t>OPP-05879</t>
  </si>
  <si>
    <t>OPP-06252</t>
  </si>
  <si>
    <t>OPP-06256</t>
  </si>
  <si>
    <t>OPP-06258</t>
  </si>
  <si>
    <t>OPP-06259</t>
  </si>
  <si>
    <t>OPP-06413</t>
  </si>
  <si>
    <t>OPP-06517</t>
  </si>
  <si>
    <t>OPP-06521</t>
  </si>
  <si>
    <t>OPP-00132</t>
  </si>
  <si>
    <t>OPP-00133</t>
  </si>
  <si>
    <t>OPP-00134</t>
  </si>
  <si>
    <t>OPP-00135</t>
  </si>
  <si>
    <t>OPP-00136</t>
  </si>
  <si>
    <t>OPP-00355</t>
  </si>
  <si>
    <t>OPP-00356</t>
  </si>
  <si>
    <t>OPP-00357</t>
  </si>
  <si>
    <t>OPP-00358</t>
  </si>
  <si>
    <t>OPP-00359</t>
  </si>
  <si>
    <t>OPP-00360</t>
  </si>
  <si>
    <t>OPP-00487</t>
  </si>
  <si>
    <t>OPP-00491</t>
  </si>
  <si>
    <t>OPP-00744</t>
  </si>
  <si>
    <t>OPP-00745</t>
  </si>
  <si>
    <t>OPP-00746</t>
  </si>
  <si>
    <t>OPP-00747</t>
  </si>
  <si>
    <t>OPP-00749</t>
  </si>
  <si>
    <t>OPP-00751</t>
  </si>
  <si>
    <t>OPP-00752</t>
  </si>
  <si>
    <t>OPP-00753</t>
  </si>
  <si>
    <t>OPP-00755</t>
  </si>
  <si>
    <t>OPP-00953</t>
  </si>
  <si>
    <t>OPP-01094</t>
  </si>
  <si>
    <t>OPP-01198</t>
  </si>
  <si>
    <t>OPP-01199</t>
  </si>
  <si>
    <t>OPP-01200</t>
  </si>
  <si>
    <t>OPP-01201</t>
  </si>
  <si>
    <t>OPP-01428</t>
  </si>
  <si>
    <t>OPP-01429</t>
  </si>
  <si>
    <t>OPP-01626</t>
  </si>
  <si>
    <t>OPP-01627</t>
  </si>
  <si>
    <t>OPP-01808</t>
  </si>
  <si>
    <t>OPP-01810</t>
  </si>
  <si>
    <t>OPP-01811</t>
  </si>
  <si>
    <t>OPP-01814</t>
  </si>
  <si>
    <t>OPP-01817</t>
  </si>
  <si>
    <t>OPP-01818</t>
  </si>
  <si>
    <t>OPP-01820</t>
  </si>
  <si>
    <t>OPP-01821</t>
  </si>
  <si>
    <t>OPP-01894</t>
  </si>
  <si>
    <t>OPP-01895</t>
  </si>
  <si>
    <t>OPP-01899</t>
  </si>
  <si>
    <t>OPP-01900</t>
  </si>
  <si>
    <t>OPP-01901</t>
  </si>
  <si>
    <t>OPP-01902</t>
  </si>
  <si>
    <t>OPP-02126</t>
  </si>
  <si>
    <t>OPP-02128</t>
  </si>
  <si>
    <t>OPP-02130</t>
  </si>
  <si>
    <t>OPP-02133</t>
  </si>
  <si>
    <t>OPP-02317</t>
  </si>
  <si>
    <t>OPP-02318</t>
  </si>
  <si>
    <t>OPP-02319</t>
  </si>
  <si>
    <t>OPP-02320</t>
  </si>
  <si>
    <t>OPP-02321</t>
  </si>
  <si>
    <t>OPP-02322</t>
  </si>
  <si>
    <t>OPP-02324</t>
  </si>
  <si>
    <t>OPP-02326</t>
  </si>
  <si>
    <t>OPP-02414</t>
  </si>
  <si>
    <t>OPP-02415</t>
  </si>
  <si>
    <t>OPP-02574</t>
  </si>
  <si>
    <t>OPP-02576</t>
  </si>
  <si>
    <t>OPP-02578</t>
  </si>
  <si>
    <t>OPP-02579</t>
  </si>
  <si>
    <t>OPP-02580</t>
  </si>
  <si>
    <t>OPP-02581</t>
  </si>
  <si>
    <t>OPP-02585</t>
  </si>
  <si>
    <t>OPP-02826</t>
  </si>
  <si>
    <t>OPP-02827</t>
  </si>
  <si>
    <t>OPP-02828</t>
  </si>
  <si>
    <t>OPP-02829</t>
  </si>
  <si>
    <t>OPP-02830</t>
  </si>
  <si>
    <t>OPP-02831</t>
  </si>
  <si>
    <t>OPP-02832</t>
  </si>
  <si>
    <t>OPP-02833</t>
  </si>
  <si>
    <t>OPP-02834</t>
  </si>
  <si>
    <t>OPP-03055</t>
  </si>
  <si>
    <t>OPP-03060</t>
  </si>
  <si>
    <t>OPP-03275</t>
  </si>
  <si>
    <t>OPP-03277</t>
  </si>
  <si>
    <t>OPP-03278</t>
  </si>
  <si>
    <t>OPP-03279</t>
  </si>
  <si>
    <t>OPP-03337</t>
  </si>
  <si>
    <t>OPP-03338</t>
  </si>
  <si>
    <t>OPP-03339</t>
  </si>
  <si>
    <t>OPP-03340</t>
  </si>
  <si>
    <t>OPP-03341</t>
  </si>
  <si>
    <t>OPP-03342</t>
  </si>
  <si>
    <t>OPP-03488</t>
  </si>
  <si>
    <t>OPP-03489</t>
  </si>
  <si>
    <t>OPP-03490</t>
  </si>
  <si>
    <t>OPP-03491</t>
  </si>
  <si>
    <t>OPP-03492</t>
  </si>
  <si>
    <t>OPP-03493</t>
  </si>
  <si>
    <t>OPP-03495</t>
  </si>
  <si>
    <t>OPP-03496</t>
  </si>
  <si>
    <t>OPP-03497</t>
  </si>
  <si>
    <t>OPP-03565</t>
  </si>
  <si>
    <t>OPP-03571</t>
  </si>
  <si>
    <t>OPP-03572</t>
  </si>
  <si>
    <t>OPP-03815</t>
  </si>
  <si>
    <t>OPP-03816</t>
  </si>
  <si>
    <t>OPP-03818</t>
  </si>
  <si>
    <t>OPP-03819</t>
  </si>
  <si>
    <t>OPP-03820</t>
  </si>
  <si>
    <t>OPP-03821</t>
  </si>
  <si>
    <t>OPP-03822</t>
  </si>
  <si>
    <t>OPP-03823</t>
  </si>
  <si>
    <t>OPP-04053</t>
  </si>
  <si>
    <t>OPP-04056</t>
  </si>
  <si>
    <t>OPP-04057</t>
  </si>
  <si>
    <t>OPP-04058</t>
  </si>
  <si>
    <t>OPP-04059</t>
  </si>
  <si>
    <t>OPP-04060</t>
  </si>
  <si>
    <t>OPP-04061</t>
  </si>
  <si>
    <t>OPP-04062</t>
  </si>
  <si>
    <t>OPP-04063</t>
  </si>
  <si>
    <t>OPP-04064</t>
  </si>
  <si>
    <t>OPP-04343</t>
  </si>
  <si>
    <t>OPP-04559</t>
  </si>
  <si>
    <t>OPP-04561</t>
  </si>
  <si>
    <t>OPP-04562</t>
  </si>
  <si>
    <t>OPP-04564</t>
  </si>
  <si>
    <t>OPP-04783</t>
  </si>
  <si>
    <t>OPP-04785</t>
  </si>
  <si>
    <t>OPP-04787</t>
  </si>
  <si>
    <t>OPP-04968</t>
  </si>
  <si>
    <t>OPP-04969</t>
  </si>
  <si>
    <t>OPP-04972</t>
  </si>
  <si>
    <t>OPP-05112</t>
  </si>
  <si>
    <t>OPP-05114</t>
  </si>
  <si>
    <t>OPP-05115</t>
  </si>
  <si>
    <t>OPP-05335</t>
  </si>
  <si>
    <t>OPP-05336</t>
  </si>
  <si>
    <t>OPP-05338</t>
  </si>
  <si>
    <t>OPP-05339</t>
  </si>
  <si>
    <t>OPP-05341</t>
  </si>
  <si>
    <t>OPP-05531</t>
  </si>
  <si>
    <t>OPP-05532</t>
  </si>
  <si>
    <t>OPP-05748</t>
  </si>
  <si>
    <t>OPP-05750</t>
  </si>
  <si>
    <t>OPP-05751</t>
  </si>
  <si>
    <t>OPP-05752</t>
  </si>
  <si>
    <t>OPP-05755</t>
  </si>
  <si>
    <t>OPP-05756</t>
  </si>
  <si>
    <t>OPP-05758</t>
  </si>
  <si>
    <t>OPP-06057</t>
  </si>
  <si>
    <t>OPP-06059</t>
  </si>
  <si>
    <t>OPP-06060</t>
  </si>
  <si>
    <t>OPP-06061</t>
  </si>
  <si>
    <t>OPP-06062</t>
  </si>
  <si>
    <t>OPP-06063</t>
  </si>
  <si>
    <t>OPP-06064</t>
  </si>
  <si>
    <t>OPP-06065</t>
  </si>
  <si>
    <t>OPP-06066</t>
  </si>
  <si>
    <t>OPP-06067</t>
  </si>
  <si>
    <t>OPP-06068</t>
  </si>
  <si>
    <t>OPP-06251</t>
  </si>
  <si>
    <t>OPP-06253</t>
  </si>
  <si>
    <t>OPP-06254</t>
  </si>
  <si>
    <t>OPP-06255</t>
  </si>
  <si>
    <t>OPP-06257</t>
  </si>
  <si>
    <t>OPP-06260</t>
  </si>
  <si>
    <t>OPP-06261</t>
  </si>
  <si>
    <t>OPP-06409</t>
  </si>
  <si>
    <t>OPP-06410</t>
  </si>
  <si>
    <t>OPP-06411</t>
  </si>
  <si>
    <t>OPP-06412</t>
  </si>
  <si>
    <t>OPP-06414</t>
  </si>
  <si>
    <t>OPP-06520</t>
  </si>
  <si>
    <t>OPP-06522</t>
  </si>
  <si>
    <t>OPP-06524</t>
  </si>
  <si>
    <t>OPP-06525</t>
  </si>
  <si>
    <t>OPP-06767</t>
  </si>
  <si>
    <t>OPP-06768</t>
  </si>
  <si>
    <t>OPP-06770</t>
  </si>
  <si>
    <t>OPP-06773</t>
  </si>
  <si>
    <t>OPP-06774</t>
  </si>
  <si>
    <t>OPP-06775</t>
  </si>
  <si>
    <t>OPP-06776</t>
  </si>
  <si>
    <t>OPP-06778</t>
  </si>
  <si>
    <t>OPP-04209</t>
  </si>
  <si>
    <t>OPP-00026</t>
  </si>
  <si>
    <t>OPP-00030</t>
  </si>
  <si>
    <t>OPP-00603</t>
  </si>
  <si>
    <t>OPP-00605</t>
  </si>
  <si>
    <t>OPP-00609</t>
  </si>
  <si>
    <t>OPP-01492</t>
  </si>
  <si>
    <t>OPP-01494</t>
  </si>
  <si>
    <t>OPP-01496</t>
  </si>
  <si>
    <t>OPP-01992</t>
  </si>
  <si>
    <t>OPP-01993</t>
  </si>
  <si>
    <t>OPP-02000</t>
  </si>
  <si>
    <t>OPP-02473</t>
  </si>
  <si>
    <t>OPP-02474</t>
  </si>
  <si>
    <t>OPP-02475</t>
  </si>
  <si>
    <t>OPP-02478</t>
  </si>
  <si>
    <t>OPP-02717</t>
  </si>
  <si>
    <t>OPP-02718</t>
  </si>
  <si>
    <t>OPP-02719</t>
  </si>
  <si>
    <t>OPP-02721</t>
  </si>
  <si>
    <t>OPP-03135</t>
  </si>
  <si>
    <t>OPP-03138</t>
  </si>
  <si>
    <t>OPP-03139</t>
  </si>
  <si>
    <t>OPP-03143</t>
  </si>
  <si>
    <t>OPP-03144</t>
  </si>
  <si>
    <t>OPP-03147</t>
  </si>
  <si>
    <t>OPP-03148</t>
  </si>
  <si>
    <t>OPP-03677</t>
  </si>
  <si>
    <t>OPP-03681</t>
  </si>
  <si>
    <t>OPP-03682</t>
  </si>
  <si>
    <t>OPP-03683</t>
  </si>
  <si>
    <t>OPP-03684</t>
  </si>
  <si>
    <t>OPP-03686</t>
  </si>
  <si>
    <t>OPP-03943</t>
  </si>
  <si>
    <t>OPP-03944</t>
  </si>
  <si>
    <t>OPP-03948</t>
  </si>
  <si>
    <t>OPP-03953</t>
  </si>
  <si>
    <t>OPP-04435</t>
  </si>
  <si>
    <t>OPP-04436</t>
  </si>
  <si>
    <t>OPP-04442</t>
  </si>
  <si>
    <t>OPP-04681</t>
  </si>
  <si>
    <t>OPP-04683</t>
  </si>
  <si>
    <t>OPP-04684</t>
  </si>
  <si>
    <t>OPP-04907</t>
  </si>
  <si>
    <t>OPP-05188</t>
  </si>
  <si>
    <t>OPP-05190</t>
  </si>
  <si>
    <t>OPP-05192</t>
  </si>
  <si>
    <t>OPP-05193</t>
  </si>
  <si>
    <t>OPP-05194</t>
  </si>
  <si>
    <t>OPP-05198</t>
  </si>
  <si>
    <t>OPP-05200</t>
  </si>
  <si>
    <t>OPP-05471</t>
  </si>
  <si>
    <t>OPP-05619</t>
  </si>
  <si>
    <t>OPP-05624</t>
  </si>
  <si>
    <t>OPP-05929</t>
  </si>
  <si>
    <t>OPP-05931</t>
  </si>
  <si>
    <t>OPP-05934</t>
  </si>
  <si>
    <t>OPP-05935</t>
  </si>
  <si>
    <t>OPP-06617</t>
  </si>
  <si>
    <t>OPP-06619</t>
  </si>
  <si>
    <t>OPP-06620</t>
  </si>
  <si>
    <t>OPP-06621</t>
  </si>
  <si>
    <t>OPP-04296</t>
  </si>
  <si>
    <t>OPP-01308</t>
  </si>
  <si>
    <t>OPP-03005</t>
  </si>
  <si>
    <t>OPP-04180</t>
  </si>
  <si>
    <t>OPP-04181</t>
  </si>
  <si>
    <t>OPP-04294</t>
  </si>
  <si>
    <t>OPP-04299</t>
  </si>
  <si>
    <t>OPP-05850</t>
  </si>
  <si>
    <t>OPP-05851</t>
  </si>
  <si>
    <t>OPP-00291</t>
  </si>
  <si>
    <t>OPP-01037</t>
  </si>
  <si>
    <t>OPP-01038</t>
  </si>
  <si>
    <t>OPP-01039</t>
  </si>
  <si>
    <t>OPP-01040</t>
  </si>
  <si>
    <t>OPP-01307</t>
  </si>
  <si>
    <t>OPP-01309</t>
  </si>
  <si>
    <t>OPP-01370</t>
  </si>
  <si>
    <t>OPP-01371</t>
  </si>
  <si>
    <t>OPP-01372</t>
  </si>
  <si>
    <t>OPP-01373</t>
  </si>
  <si>
    <t>OPP-03002</t>
  </si>
  <si>
    <t>OPP-03003</t>
  </si>
  <si>
    <t>OPP-03004</t>
  </si>
  <si>
    <t>OPP-03420</t>
  </si>
  <si>
    <t>OPP-03422</t>
  </si>
  <si>
    <t>OPP-04292</t>
  </si>
  <si>
    <t>OPP-04293</t>
  </si>
  <si>
    <t>OPP-04298</t>
  </si>
  <si>
    <t>OPP-05469</t>
  </si>
  <si>
    <t>OPP-05470</t>
  </si>
  <si>
    <t>OPP-05475</t>
  </si>
  <si>
    <t>OPP-05849</t>
  </si>
  <si>
    <t>OPP-06182</t>
  </si>
  <si>
    <t>OPP-00023</t>
  </si>
  <si>
    <t>OPP-00024</t>
  </si>
  <si>
    <t>OPP-00025</t>
  </si>
  <si>
    <t>OPP-00027</t>
  </si>
  <si>
    <t>OPP-00028</t>
  </si>
  <si>
    <t>OPP-00029</t>
  </si>
  <si>
    <t>OPP-00031</t>
  </si>
  <si>
    <t>OPP-00032</t>
  </si>
  <si>
    <t>OPP-00287</t>
  </si>
  <si>
    <t>OPP-00288</t>
  </si>
  <si>
    <t>OPP-00289</t>
  </si>
  <si>
    <t>OPP-00290</t>
  </si>
  <si>
    <t>OPP-00600</t>
  </si>
  <si>
    <t>OPP-00601</t>
  </si>
  <si>
    <t>OPP-00602</t>
  </si>
  <si>
    <t>OPP-00604</t>
  </si>
  <si>
    <t>OPP-00606</t>
  </si>
  <si>
    <t>OPP-00607</t>
  </si>
  <si>
    <t>OPP-00608</t>
  </si>
  <si>
    <t>OPP-00610</t>
  </si>
  <si>
    <t>OPP-00611</t>
  </si>
  <si>
    <t>OPP-00612</t>
  </si>
  <si>
    <t>OPP-00613</t>
  </si>
  <si>
    <t>OPP-00614</t>
  </si>
  <si>
    <t>OPP-00615</t>
  </si>
  <si>
    <t>OPP-01036</t>
  </si>
  <si>
    <t>OPP-01493</t>
  </si>
  <si>
    <t>OPP-01495</t>
  </si>
  <si>
    <t>OPP-01497</t>
  </si>
  <si>
    <t>OPP-01498</t>
  </si>
  <si>
    <t>OPP-01991</t>
  </si>
  <si>
    <t>OPP-01994</t>
  </si>
  <si>
    <t>OPP-01995</t>
  </si>
  <si>
    <t>OPP-01996</t>
  </si>
  <si>
    <t>OPP-01997</t>
  </si>
  <si>
    <t>OPP-01998</t>
  </si>
  <si>
    <t>OPP-01999</t>
  </si>
  <si>
    <t>OPP-02001</t>
  </si>
  <si>
    <t>OPP-02471</t>
  </si>
  <si>
    <t>OPP-02472</t>
  </si>
  <si>
    <t>OPP-02476</t>
  </si>
  <si>
    <t>OPP-02477</t>
  </si>
  <si>
    <t>OPP-02713</t>
  </si>
  <si>
    <t>OPP-02714</t>
  </si>
  <si>
    <t>OPP-02715</t>
  </si>
  <si>
    <t>OPP-02716</t>
  </si>
  <si>
    <t>OPP-02720</t>
  </si>
  <si>
    <t>OPP-03136</t>
  </si>
  <si>
    <t>OPP-03137</t>
  </si>
  <si>
    <t>OPP-03140</t>
  </si>
  <si>
    <t>OPP-03141</t>
  </si>
  <si>
    <t>OPP-03142</t>
  </si>
  <si>
    <t>OPP-03145</t>
  </si>
  <si>
    <t>OPP-03146</t>
  </si>
  <si>
    <t>OPP-03149</t>
  </si>
  <si>
    <t>OPP-03419</t>
  </si>
  <si>
    <t>OPP-03421</t>
  </si>
  <si>
    <t>OPP-03423</t>
  </si>
  <si>
    <t>OPP-03678</t>
  </si>
  <si>
    <t>OPP-03679</t>
  </si>
  <si>
    <t>OPP-03680</t>
  </si>
  <si>
    <t>OPP-03685</t>
  </si>
  <si>
    <t>OPP-03687</t>
  </si>
  <si>
    <t>OPP-03688</t>
  </si>
  <si>
    <t>OPP-03945</t>
  </si>
  <si>
    <t>OPP-03946</t>
  </si>
  <si>
    <t>OPP-03947</t>
  </si>
  <si>
    <t>OPP-03949</t>
  </si>
  <si>
    <t>OPP-03950</t>
  </si>
  <si>
    <t>OPP-03951</t>
  </si>
  <si>
    <t>OPP-03952</t>
  </si>
  <si>
    <t>OPP-04295</t>
  </si>
  <si>
    <t>OPP-04297</t>
  </si>
  <si>
    <t>OPP-04434</t>
  </si>
  <si>
    <t>OPP-04437</t>
  </si>
  <si>
    <t>OPP-04438</t>
  </si>
  <si>
    <t>OPP-04439</t>
  </si>
  <si>
    <t>OPP-04440</t>
  </si>
  <si>
    <t>OPP-04441</t>
  </si>
  <si>
    <t>OPP-04443</t>
  </si>
  <si>
    <t>OPP-04444</t>
  </si>
  <si>
    <t>OPP-04678</t>
  </si>
  <si>
    <t>OPP-04679</t>
  </si>
  <si>
    <t>OPP-04680</t>
  </si>
  <si>
    <t>OPP-04682</t>
  </si>
  <si>
    <t>OPP-04685</t>
  </si>
  <si>
    <t>OPP-04908</t>
  </si>
  <si>
    <t>OPP-04909</t>
  </si>
  <si>
    <t>OPP-04910</t>
  </si>
  <si>
    <t>OPP-04911</t>
  </si>
  <si>
    <t>OPP-05032</t>
  </si>
  <si>
    <t>OPP-05189</t>
  </si>
  <si>
    <t>OPP-05191</t>
  </si>
  <si>
    <t>OPP-05195</t>
  </si>
  <si>
    <t>OPP-05196</t>
  </si>
  <si>
    <t>OPP-05197</t>
  </si>
  <si>
    <t>OPP-05199</t>
  </si>
  <si>
    <t>OPP-05201</t>
  </si>
  <si>
    <t>OPP-05202</t>
  </si>
  <si>
    <t>OPP-05203</t>
  </si>
  <si>
    <t>OPP-05468</t>
  </si>
  <si>
    <t>OPP-05472</t>
  </si>
  <si>
    <t>OPP-05473</t>
  </si>
  <si>
    <t>OPP-05474</t>
  </si>
  <si>
    <t>OPP-05616</t>
  </si>
  <si>
    <t>OPP-05617</t>
  </si>
  <si>
    <t>OPP-05618</t>
  </si>
  <si>
    <t>OPP-05620</t>
  </si>
  <si>
    <t>OPP-05621</t>
  </si>
  <si>
    <t>OPP-05622</t>
  </si>
  <si>
    <t>OPP-05623</t>
  </si>
  <si>
    <t>OPP-05625</t>
  </si>
  <si>
    <t>OPP-05626</t>
  </si>
  <si>
    <t>OPP-05627</t>
  </si>
  <si>
    <t>OPP-05928</t>
  </si>
  <si>
    <t>OPP-05930</t>
  </si>
  <si>
    <t>OPP-05932</t>
  </si>
  <si>
    <t>OPP-05933</t>
  </si>
  <si>
    <t>OPP-05936</t>
  </si>
  <si>
    <t>OPP-05937</t>
  </si>
  <si>
    <t>OPP-05938</t>
  </si>
  <si>
    <t>OPP-06180</t>
  </si>
  <si>
    <t>OPP-06181</t>
  </si>
  <si>
    <t>OPP-06183</t>
  </si>
  <si>
    <t>OPP-06184</t>
  </si>
  <si>
    <t>OPP-06185</t>
  </si>
  <si>
    <t>OPP-06336</t>
  </si>
  <si>
    <t>OPP-06337</t>
  </si>
  <si>
    <t>OPP-06338</t>
  </si>
  <si>
    <t>OPP-06339</t>
  </si>
  <si>
    <t>OPP-06340</t>
  </si>
  <si>
    <t>OPP-06618</t>
  </si>
  <si>
    <t>OPP-06622</t>
  </si>
  <si>
    <t>OPP-01306</t>
  </si>
  <si>
    <t>Date</t>
  </si>
  <si>
    <t>Quarter</t>
  </si>
  <si>
    <t>YearQuarter</t>
  </si>
  <si>
    <t>MonthName</t>
  </si>
  <si>
    <t>MonthShort</t>
  </si>
  <si>
    <t>MonthYear</t>
  </si>
  <si>
    <t>MonthStartDate</t>
  </si>
  <si>
    <t>Day</t>
  </si>
  <si>
    <t>WeekdayName</t>
  </si>
  <si>
    <t>IsWeekend</t>
  </si>
  <si>
    <t>WeekOfYear</t>
  </si>
  <si>
    <t>Q1</t>
  </si>
  <si>
    <t>2024-Q1</t>
  </si>
  <si>
    <t>January</t>
  </si>
  <si>
    <t>Jan</t>
  </si>
  <si>
    <t>Jan 2024</t>
  </si>
  <si>
    <t>Monday</t>
  </si>
  <si>
    <t>Tuesday</t>
  </si>
  <si>
    <t>Wednesday</t>
  </si>
  <si>
    <t>Thursday</t>
  </si>
  <si>
    <t>Friday</t>
  </si>
  <si>
    <t>Saturday</t>
  </si>
  <si>
    <t>Sunday</t>
  </si>
  <si>
    <t>February</t>
  </si>
  <si>
    <t>Feb</t>
  </si>
  <si>
    <t>Feb 2024</t>
  </si>
  <si>
    <t>March</t>
  </si>
  <si>
    <t>Mar</t>
  </si>
  <si>
    <t>Mar 2024</t>
  </si>
  <si>
    <t>Q2</t>
  </si>
  <si>
    <t>2024-Q2</t>
  </si>
  <si>
    <t>April</t>
  </si>
  <si>
    <t>Apr</t>
  </si>
  <si>
    <t>Apr 2024</t>
  </si>
  <si>
    <t>May</t>
  </si>
  <si>
    <t>May 2024</t>
  </si>
  <si>
    <t>June</t>
  </si>
  <si>
    <t>Jun</t>
  </si>
  <si>
    <t>Jun 2024</t>
  </si>
  <si>
    <t>Q3</t>
  </si>
  <si>
    <t>2024-Q3</t>
  </si>
  <si>
    <t>July</t>
  </si>
  <si>
    <t>Jul</t>
  </si>
  <si>
    <t>Jul 2024</t>
  </si>
  <si>
    <t>August</t>
  </si>
  <si>
    <t>Aug</t>
  </si>
  <si>
    <t>Aug 2024</t>
  </si>
  <si>
    <t>September</t>
  </si>
  <si>
    <t>Sep</t>
  </si>
  <si>
    <t>Sep 2024</t>
  </si>
  <si>
    <t>Q4</t>
  </si>
  <si>
    <t>2024-Q4</t>
  </si>
  <si>
    <t>October</t>
  </si>
  <si>
    <t>Oct</t>
  </si>
  <si>
    <t>Oct 2024</t>
  </si>
  <si>
    <t>November</t>
  </si>
  <si>
    <t>Nov</t>
  </si>
  <si>
    <t>Nov 2024</t>
  </si>
  <si>
    <t>December</t>
  </si>
  <si>
    <t>Dec</t>
  </si>
  <si>
    <t>Dec 2024</t>
  </si>
  <si>
    <t>2025-Q1</t>
  </si>
  <si>
    <t>Jan 2025</t>
  </si>
  <si>
    <t>Feb 2025</t>
  </si>
  <si>
    <t>Mar 2025</t>
  </si>
  <si>
    <t>2025-Q2</t>
  </si>
  <si>
    <t>Apr 2025</t>
  </si>
  <si>
    <t>May 2025</t>
  </si>
  <si>
    <t>Jun 2025</t>
  </si>
  <si>
    <t>2025-Q3</t>
  </si>
  <si>
    <t>Jul 2025</t>
  </si>
  <si>
    <t>Aug 2025</t>
  </si>
  <si>
    <t>Sep 2025</t>
  </si>
  <si>
    <t>2025-Q4</t>
  </si>
  <si>
    <t>Oct 2025</t>
  </si>
  <si>
    <t>Nov 2025</t>
  </si>
  <si>
    <t>Dec 2025</t>
  </si>
  <si>
    <t>Currency</t>
  </si>
  <si>
    <t>Rate</t>
  </si>
  <si>
    <t>USD</t>
  </si>
  <si>
    <t>JPY</t>
  </si>
  <si>
    <t>CZK</t>
  </si>
  <si>
    <t>DKK</t>
  </si>
  <si>
    <t>GBP</t>
  </si>
  <si>
    <t>HUF</t>
  </si>
  <si>
    <t>PLN</t>
  </si>
  <si>
    <t>RON</t>
  </si>
  <si>
    <t>SEK</t>
  </si>
  <si>
    <t>CHF</t>
  </si>
  <si>
    <t>ISK</t>
  </si>
  <si>
    <t>NOK</t>
  </si>
  <si>
    <t>TRY</t>
  </si>
  <si>
    <t>AUD</t>
  </si>
  <si>
    <t>BRL</t>
  </si>
  <si>
    <t>CAD</t>
  </si>
  <si>
    <t>CNY</t>
  </si>
  <si>
    <t>HKD</t>
  </si>
  <si>
    <t>IDR</t>
  </si>
  <si>
    <t>ILS</t>
  </si>
  <si>
    <t>INR</t>
  </si>
  <si>
    <t>KRW</t>
  </si>
  <si>
    <t>MXN</t>
  </si>
  <si>
    <t>MYR</t>
  </si>
  <si>
    <t>NZD</t>
  </si>
  <si>
    <t>PHP</t>
  </si>
  <si>
    <t>SGD</t>
  </si>
  <si>
    <t>THB</t>
  </si>
  <si>
    <t>ZAR</t>
  </si>
  <si>
    <t>EUR</t>
  </si>
  <si>
    <t>Date of Source:</t>
  </si>
  <si>
    <t>Base Currency:</t>
  </si>
  <si>
    <t>Source:</t>
  </si>
  <si>
    <t>https://www.ecb.europa.eu/stats/policy_and_exchange_rates/euro_reference_exchange_rates/html/index.en.html</t>
  </si>
  <si>
    <t>PERFORMANCE WINDOW (drop down)</t>
  </si>
  <si>
    <t>Illustrative comp-plan model for analysis purposes only.  Rates and tier structure below are editable assumptions, not the company's actual compensation plan.</t>
  </si>
  <si>
    <t>COMMISSION TREND for 24-MONTH HISTORY</t>
  </si>
  <si>
    <r>
      <t>COMP PLAN ASSUMPTIONS</t>
    </r>
    <r>
      <rPr>
        <b/>
        <sz val="18"/>
        <color rgb="FFC00000"/>
        <rFont val="Calibri"/>
        <family val="2"/>
      </rPr>
      <t xml:space="preserve"> (EDITABLE, ILLUSTRATIVE RATES BY ROLE)</t>
    </r>
  </si>
  <si>
    <t>REPORTING MONTH (drop down)</t>
  </si>
  <si>
    <t>SUPPORTING CALCULATIONS COMMISSION CALCULATOR:  AUTO-UPDATING, DO NOT EDIT BELOW THIS LINE  (grouped/collapsed; expand the row outline at left to audit)</t>
  </si>
  <si>
    <t>SUPPORTING CALCULATIONS  PIPELINE COVERAGE:  AUTO-UPDATING, DO NOT EDIT BELOW THIS LINE  (grouped/collapsed; expand the row outline at left to audit)</t>
  </si>
  <si>
    <t>GOAL PERIOD (drop down)</t>
  </si>
  <si>
    <t>PER-REP COVERAGE RANKED BY RISK (LOWEST COVERAGE to HIGHEST COVERAGE)</t>
  </si>
  <si>
    <t>SALES REP PERFORMANCE EXECUTIVE SUMMARY</t>
  </si>
  <si>
    <t>RISK FLAGS !! ATTENTION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</si>
</sst>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mmm\ yyyy"/>
    <numFmt numFmtId="165" formatCode="\$#,##0,\K"/>
    <numFmt numFmtId="166" formatCode="0.0%"/>
    <numFmt numFmtId="167" formatCode="0.0&quot; days&quot;"/>
    <numFmt numFmtId="168" formatCode="\$#,##0"/>
    <numFmt numFmtId="169" formatCode="yyyy\-mm\-dd"/>
    <numFmt numFmtId="170" formatCode="0.0\x"/>
    <numFmt numFmtId="171" formatCode="m/d/yyyy"/>
    <numFmt numFmtId="172" formatCode="_(* #,##0_);_(* \(#,##0\);_(* \-??_);_(@_)"/>
    <numFmt numFmtId="173" formatCode="_(* #,##0.00_);_(* \(#,##0.00\);_(* \-??_);_(@_)"/>
    <numFmt numFmtId="174" formatCode="_(* #,##0.000_);_(* \(#,##0.000\);_(* \-??_);_(@_)"/>
    <numFmt numFmtId="175" formatCode="d\-mmm\-yyyy"/>
    <numFmt numFmtId="176" formatCode="_(* #,##0.0000000_);_(* \(#,##0.0000000\);_(* \-??_);_(@_)"/>
  </numFmts>
  <fonts count="44" x14ac:knownFonts="1">
    <font>
      <sz val="11"/>
      <color theme="1"/>
      <name val="Calibri"/>
      <family val="2"/>
      <charset val="1"/>
    </font>
    <font>
      <sz val="12"/>
      <color theme="1"/>
      <name val="Calibri"/>
      <family val="2"/>
      <scheme val="minor"/>
    </font>
    <font>
      <b/>
      <sz val="9"/>
      <color rgb="FF808080"/>
      <name val="Calibri"/>
      <family val="2"/>
    </font>
    <font>
      <b/>
      <sz val="11"/>
      <color rgb="FF0000FF"/>
      <name val="Calibri"/>
      <family val="2"/>
    </font>
    <font>
      <b/>
      <sz val="11"/>
      <color rgb="FF1F497D"/>
      <name val="Calibri"/>
      <family val="2"/>
    </font>
    <font>
      <b/>
      <sz val="18"/>
      <color rgb="FF1F497D"/>
      <name val="Calibri"/>
      <family val="2"/>
    </font>
    <font>
      <b/>
      <sz val="10"/>
      <color rgb="FFFFFFFF"/>
      <name val="Calibri"/>
      <family val="2"/>
    </font>
    <font>
      <sz val="10"/>
      <color rgb="FF000000"/>
      <name val="Calibri"/>
      <family val="2"/>
    </font>
    <font>
      <b/>
      <sz val="9"/>
      <color rgb="FFFFFFFF"/>
      <name val="Calibri"/>
      <family val="2"/>
    </font>
    <font>
      <sz val="9"/>
      <color rgb="FF000000"/>
      <name val="Calibri"/>
      <family val="2"/>
    </font>
    <font>
      <sz val="10"/>
      <color rgb="FF000000"/>
      <name val="Calibri"/>
      <family val="2"/>
    </font>
    <font>
      <b/>
      <sz val="11"/>
      <color theme="1"/>
      <name val="Calibri"/>
      <family val="2"/>
      <charset val="1"/>
    </font>
    <font>
      <sz val="11"/>
      <color theme="1"/>
      <name val="Calibri"/>
      <family val="2"/>
      <charset val="1"/>
    </font>
    <font>
      <sz val="9"/>
      <color rgb="FF000000"/>
      <name val="Calibri"/>
      <family val="2"/>
    </font>
    <font>
      <b/>
      <sz val="9"/>
      <color rgb="FFFFFFFF"/>
      <name val="Calibri"/>
      <family val="2"/>
    </font>
    <font>
      <sz val="8"/>
      <color rgb="FF000000"/>
      <name val="Calibri"/>
      <family val="2"/>
    </font>
    <font>
      <b/>
      <sz val="9"/>
      <color rgb="FF808080"/>
      <name val="Calibri"/>
      <family val="2"/>
    </font>
    <font>
      <b/>
      <sz val="10"/>
      <color rgb="FFFFFFFF"/>
      <name val="Calibri"/>
      <family val="2"/>
    </font>
    <font>
      <i/>
      <sz val="8"/>
      <color rgb="FF808080"/>
      <name val="Calibri"/>
      <family val="2"/>
    </font>
    <font>
      <b/>
      <sz val="18"/>
      <color rgb="FF1F497D"/>
      <name val="Calibri"/>
      <family val="2"/>
    </font>
    <font>
      <b/>
      <sz val="11"/>
      <color rgb="FF0000FF"/>
      <name val="Calibri"/>
      <family val="2"/>
    </font>
    <font>
      <b/>
      <sz val="11"/>
      <color rgb="FF1F497D"/>
      <name val="Calibri"/>
      <family val="2"/>
    </font>
    <font>
      <i/>
      <sz val="9"/>
      <color theme="1"/>
      <name val="Calibri"/>
      <family val="2"/>
    </font>
    <font>
      <sz val="11"/>
      <color theme="1"/>
      <name val="Calibri"/>
      <family val="2"/>
    </font>
    <font>
      <sz val="9"/>
      <color theme="1"/>
      <name val="Calibri"/>
      <family val="2"/>
    </font>
    <font>
      <b/>
      <sz val="9"/>
      <color theme="1"/>
      <name val="Calibri"/>
      <family val="2"/>
    </font>
    <font>
      <b/>
      <sz val="12"/>
      <color theme="1"/>
      <name val="Calibri"/>
      <family val="2"/>
    </font>
    <font>
      <sz val="10"/>
      <color rgb="FFC00000"/>
      <name val="Calibri"/>
      <family val="2"/>
    </font>
    <font>
      <sz val="10"/>
      <color theme="1"/>
      <name val="Calibri"/>
      <family val="2"/>
    </font>
    <font>
      <sz val="12"/>
      <color theme="1"/>
      <name val="Calibri"/>
      <family val="2"/>
    </font>
    <font>
      <b/>
      <sz val="24"/>
      <color rgb="FFFFFFFF"/>
      <name val="Calibri"/>
      <family val="2"/>
    </font>
    <font>
      <sz val="14"/>
      <color theme="1"/>
      <name val="Calibri"/>
      <family val="2"/>
    </font>
    <font>
      <b/>
      <sz val="18"/>
      <color rgb="FFFFFFFF"/>
      <name val="Calibri"/>
      <family val="2"/>
    </font>
    <font>
      <sz val="18"/>
      <color theme="1"/>
      <name val="Calibri"/>
      <family val="2"/>
    </font>
    <font>
      <b/>
      <sz val="18"/>
      <color rgb="FFC00000"/>
      <name val="Calibri"/>
      <family val="2"/>
    </font>
    <font>
      <b/>
      <sz val="14"/>
      <color theme="1"/>
      <name val="Calibri"/>
      <family val="2"/>
    </font>
    <font>
      <i/>
      <sz val="10"/>
      <color theme="1"/>
      <name val="Calibri"/>
      <family val="2"/>
    </font>
    <font>
      <sz val="8"/>
      <color theme="1"/>
      <name val="Calibri"/>
      <family val="2"/>
    </font>
    <font>
      <sz val="8"/>
      <color rgb="FFC00000"/>
      <name val="Calibri"/>
      <family val="2"/>
    </font>
    <font>
      <sz val="18"/>
      <color rgb="FFC00000"/>
      <name val="Calibri"/>
      <family val="2"/>
    </font>
    <font>
      <b/>
      <sz val="26"/>
      <color rgb="FFFFFFFF"/>
      <name val="Calibri"/>
      <family val="2"/>
    </font>
    <font>
      <b/>
      <sz val="11"/>
      <color rgb="FFFFFFFF"/>
      <name val="Calibri"/>
      <family val="2"/>
    </font>
    <font>
      <b/>
      <sz val="10"/>
      <color theme="0"/>
      <name val="Calibri"/>
      <family val="2"/>
    </font>
    <font>
      <sz val="8"/>
      <color rgb="FF808080"/>
      <name val="Calibri"/>
      <family val="2"/>
    </font>
  </fonts>
  <fills count="14">
    <fill>
      <patternFill patternType="none"/>
    </fill>
    <fill>
      <patternFill patternType="gray125"/>
    </fill>
    <fill>
      <patternFill patternType="solid">
        <fgColor rgb="FFFFF2CC"/>
        <bgColor rgb="FFF2F2F2"/>
      </patternFill>
    </fill>
    <fill>
      <patternFill patternType="solid">
        <fgColor rgb="FFF2F2F2"/>
        <bgColor rgb="FFFFFFFF"/>
      </patternFill>
    </fill>
    <fill>
      <patternFill patternType="solid">
        <fgColor rgb="FF4F81BD"/>
        <bgColor rgb="FF31859C"/>
      </patternFill>
    </fill>
    <fill>
      <patternFill patternType="solid">
        <fgColor rgb="FF9BBB59"/>
        <bgColor rgb="FFB3B3B3"/>
      </patternFill>
    </fill>
    <fill>
      <patternFill patternType="solid">
        <fgColor rgb="FFC0504D"/>
        <bgColor rgb="FF993366"/>
      </patternFill>
    </fill>
    <fill>
      <patternFill patternType="solid">
        <fgColor rgb="FFD9D9D9"/>
        <bgColor rgb="FFD8E4BC"/>
      </patternFill>
    </fill>
    <fill>
      <patternFill patternType="solid">
        <fgColor theme="4" tint="0.59987182226020086"/>
        <bgColor rgb="FFB8CCE4"/>
      </patternFill>
    </fill>
    <fill>
      <patternFill patternType="solid">
        <fgColor theme="4" tint="0.79989013336588644"/>
        <bgColor rgb="FFD9D9D9"/>
      </patternFill>
    </fill>
    <fill>
      <patternFill patternType="solid">
        <fgColor rgb="FFC00000"/>
        <bgColor rgb="FF878787"/>
      </patternFill>
    </fill>
    <fill>
      <patternFill patternType="solid">
        <fgColor rgb="FFC00000"/>
        <bgColor indexed="64"/>
      </patternFill>
    </fill>
    <fill>
      <patternFill patternType="solid">
        <fgColor rgb="FF002060"/>
        <bgColor rgb="FF003366"/>
      </patternFill>
    </fill>
    <fill>
      <patternFill patternType="solid">
        <fgColor rgb="FF1E497D"/>
        <bgColor rgb="FF31859C"/>
      </patternFill>
    </fill>
  </fills>
  <borders count="18">
    <border>
      <left/>
      <right/>
      <top/>
      <bottom/>
      <diagonal/>
    </border>
    <border>
      <left style="thin">
        <color rgb="FFBFBFBF"/>
      </left>
      <right style="thin">
        <color rgb="FFBFBFBF"/>
      </right>
      <top style="thin">
        <color rgb="FFBFBFBF"/>
      </top>
      <bottom style="thin">
        <color rgb="FFBFBFBF"/>
      </bottom>
      <diagonal/>
    </border>
    <border>
      <left/>
      <right/>
      <top/>
      <bottom style="thin">
        <color auto="1"/>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style="thin">
        <color rgb="FFBFBFBF"/>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BFBFBF"/>
      </right>
      <top style="thin">
        <color indexed="64"/>
      </top>
      <bottom style="thin">
        <color indexed="64"/>
      </bottom>
      <diagonal/>
    </border>
    <border>
      <left style="thin">
        <color rgb="FFBFBFBF"/>
      </left>
      <right style="thin">
        <color rgb="FFBFBFBF"/>
      </right>
      <top style="thin">
        <color indexed="64"/>
      </top>
      <bottom style="thin">
        <color indexed="64"/>
      </bottom>
      <diagonal/>
    </border>
    <border>
      <left style="thin">
        <color rgb="FFBFBFBF"/>
      </left>
      <right/>
      <top style="thin">
        <color indexed="64"/>
      </top>
      <bottom style="thin">
        <color indexed="64"/>
      </bottom>
      <diagonal/>
    </border>
    <border>
      <left/>
      <right style="thin">
        <color rgb="FFBFBFBF"/>
      </right>
      <top style="thin">
        <color indexed="64"/>
      </top>
      <bottom style="thin">
        <color indexed="64"/>
      </bottom>
      <diagonal/>
    </border>
    <border>
      <left style="thin">
        <color rgb="FFBFBFBF"/>
      </left>
      <right style="thin">
        <color indexed="64"/>
      </right>
      <top style="thin">
        <color indexed="64"/>
      </top>
      <bottom style="thin">
        <color indexed="64"/>
      </bottom>
      <diagonal/>
    </border>
  </borders>
  <cellStyleXfs count="3">
    <xf numFmtId="0" fontId="0" fillId="0" borderId="0"/>
    <xf numFmtId="0" fontId="12" fillId="0" borderId="0"/>
    <xf numFmtId="0" fontId="1" fillId="0" borderId="0"/>
  </cellStyleXfs>
  <cellXfs count="176">
    <xf numFmtId="0" fontId="0" fillId="0" borderId="0" xfId="0"/>
    <xf numFmtId="0" fontId="6" fillId="4" borderId="1" xfId="0" applyFont="1" applyFill="1" applyBorder="1" applyAlignment="1">
      <alignment horizontal="center" vertical="center"/>
    </xf>
    <xf numFmtId="0" fontId="7" fillId="0" borderId="1" xfId="0" applyFont="1" applyBorder="1" applyAlignment="1">
      <alignment horizontal="left" vertical="center" indent="1"/>
    </xf>
    <xf numFmtId="1" fontId="7" fillId="0" borderId="1" xfId="0" applyNumberFormat="1" applyFont="1" applyBorder="1" applyAlignment="1">
      <alignment horizontal="center" vertical="center"/>
    </xf>
    <xf numFmtId="168" fontId="7" fillId="0" borderId="1" xfId="0" applyNumberFormat="1" applyFont="1" applyBorder="1" applyAlignment="1">
      <alignment horizontal="center" vertical="center"/>
    </xf>
    <xf numFmtId="166" fontId="7" fillId="0" borderId="1" xfId="0" applyNumberFormat="1" applyFont="1" applyBorder="1" applyAlignment="1">
      <alignment horizontal="center" vertical="center"/>
    </xf>
    <xf numFmtId="0" fontId="7" fillId="3" borderId="1" xfId="0" applyFont="1" applyFill="1" applyBorder="1" applyAlignment="1">
      <alignment horizontal="left" vertical="center" indent="1"/>
    </xf>
    <xf numFmtId="1" fontId="7" fillId="3" borderId="1" xfId="0" applyNumberFormat="1" applyFont="1" applyFill="1" applyBorder="1" applyAlignment="1">
      <alignment horizontal="center" vertical="center"/>
    </xf>
    <xf numFmtId="168" fontId="7" fillId="3" borderId="1" xfId="0" applyNumberFormat="1" applyFont="1" applyFill="1" applyBorder="1" applyAlignment="1">
      <alignment horizontal="center" vertical="center"/>
    </xf>
    <xf numFmtId="166" fontId="7" fillId="3" borderId="1" xfId="0" applyNumberFormat="1" applyFont="1" applyFill="1" applyBorder="1" applyAlignment="1">
      <alignment horizontal="center" vertical="center"/>
    </xf>
    <xf numFmtId="0" fontId="7" fillId="0" borderId="1" xfId="0" applyFont="1" applyBorder="1" applyAlignment="1">
      <alignment horizontal="center" vertical="center"/>
    </xf>
    <xf numFmtId="0" fontId="7" fillId="3" borderId="1" xfId="0" applyFont="1" applyFill="1" applyBorder="1" applyAlignment="1">
      <alignment horizontal="center" vertical="center"/>
    </xf>
    <xf numFmtId="3" fontId="7" fillId="0" borderId="1" xfId="0" applyNumberFormat="1" applyFont="1" applyBorder="1" applyAlignment="1">
      <alignment horizontal="center" vertical="center"/>
    </xf>
    <xf numFmtId="3" fontId="7" fillId="3" borderId="1" xfId="0" applyNumberFormat="1" applyFont="1" applyFill="1" applyBorder="1" applyAlignment="1">
      <alignment horizontal="center" vertical="center"/>
    </xf>
    <xf numFmtId="164" fontId="7" fillId="3" borderId="1" xfId="0" applyNumberFormat="1" applyFont="1" applyFill="1" applyBorder="1"/>
    <xf numFmtId="169" fontId="7" fillId="3" borderId="1" xfId="0" applyNumberFormat="1" applyFont="1" applyFill="1" applyBorder="1"/>
    <xf numFmtId="0" fontId="8" fillId="7" borderId="0" xfId="0" applyFont="1" applyFill="1" applyAlignment="1">
      <alignment horizontal="center" vertical="center"/>
    </xf>
    <xf numFmtId="0" fontId="9" fillId="0" borderId="0" xfId="0" applyFont="1"/>
    <xf numFmtId="168" fontId="9" fillId="0" borderId="0" xfId="0" applyNumberFormat="1" applyFont="1"/>
    <xf numFmtId="166" fontId="9" fillId="0" borderId="0" xfId="0" applyNumberFormat="1" applyFont="1"/>
    <xf numFmtId="10" fontId="9" fillId="0" borderId="0" xfId="0" applyNumberFormat="1" applyFont="1"/>
    <xf numFmtId="0" fontId="9" fillId="3" borderId="0" xfId="0" applyFont="1" applyFill="1"/>
    <xf numFmtId="168" fontId="9" fillId="3" borderId="0" xfId="0" applyNumberFormat="1" applyFont="1" applyFill="1"/>
    <xf numFmtId="166" fontId="9" fillId="3" borderId="0" xfId="0" applyNumberFormat="1" applyFont="1" applyFill="1"/>
    <xf numFmtId="10" fontId="9" fillId="3" borderId="0" xfId="0" applyNumberFormat="1" applyFont="1" applyFill="1"/>
    <xf numFmtId="164" fontId="9" fillId="0" borderId="0" xfId="0" applyNumberFormat="1" applyFont="1"/>
    <xf numFmtId="164" fontId="9" fillId="3" borderId="0" xfId="0" applyNumberFormat="1" applyFont="1" applyFill="1"/>
    <xf numFmtId="0" fontId="6" fillId="4" borderId="1" xfId="0" applyFont="1" applyFill="1" applyBorder="1" applyAlignment="1">
      <alignment horizontal="center" vertical="center" wrapText="1"/>
    </xf>
    <xf numFmtId="0" fontId="11" fillId="0" borderId="2" xfId="0" applyFont="1" applyBorder="1" applyAlignment="1">
      <alignment wrapText="1"/>
    </xf>
    <xf numFmtId="0" fontId="0" fillId="0" borderId="0" xfId="0" applyAlignment="1">
      <alignment wrapText="1"/>
    </xf>
    <xf numFmtId="171" fontId="0" fillId="0" borderId="0" xfId="0" applyNumberFormat="1"/>
    <xf numFmtId="172" fontId="0" fillId="0" borderId="0" xfId="0" applyNumberFormat="1"/>
    <xf numFmtId="9" fontId="0" fillId="0" borderId="0" xfId="0" applyNumberFormat="1"/>
    <xf numFmtId="173" fontId="0" fillId="0" borderId="0" xfId="0" applyNumberFormat="1"/>
    <xf numFmtId="171" fontId="0" fillId="8" borderId="3" xfId="0" applyNumberFormat="1" applyFill="1" applyBorder="1"/>
    <xf numFmtId="0" fontId="0" fillId="8" borderId="4" xfId="0" applyFill="1" applyBorder="1"/>
    <xf numFmtId="172" fontId="0" fillId="8" borderId="4" xfId="0" applyNumberFormat="1" applyFill="1" applyBorder="1"/>
    <xf numFmtId="9" fontId="0" fillId="8" borderId="4" xfId="0" applyNumberFormat="1" applyFill="1" applyBorder="1"/>
    <xf numFmtId="173" fontId="0" fillId="8" borderId="5" xfId="0" applyNumberFormat="1" applyFill="1" applyBorder="1"/>
    <xf numFmtId="171" fontId="0" fillId="9" borderId="3" xfId="0" applyNumberFormat="1" applyFill="1" applyBorder="1"/>
    <xf numFmtId="171" fontId="0" fillId="9" borderId="6" xfId="0" applyNumberFormat="1" applyFill="1" applyBorder="1"/>
    <xf numFmtId="0" fontId="0" fillId="8" borderId="7" xfId="0" applyFill="1" applyBorder="1"/>
    <xf numFmtId="172" fontId="0" fillId="8" borderId="7" xfId="0" applyNumberFormat="1" applyFill="1" applyBorder="1"/>
    <xf numFmtId="9" fontId="0" fillId="8" borderId="7" xfId="0" applyNumberFormat="1" applyFill="1" applyBorder="1"/>
    <xf numFmtId="173" fontId="0" fillId="8" borderId="8" xfId="0" applyNumberFormat="1" applyFill="1" applyBorder="1"/>
    <xf numFmtId="174" fontId="0" fillId="0" borderId="0" xfId="0" applyNumberFormat="1"/>
    <xf numFmtId="0" fontId="11" fillId="0" borderId="0" xfId="0" applyFont="1" applyAlignment="1">
      <alignment wrapText="1"/>
    </xf>
    <xf numFmtId="173" fontId="11" fillId="0" borderId="0" xfId="0" applyNumberFormat="1" applyFont="1" applyAlignment="1">
      <alignment wrapText="1"/>
    </xf>
    <xf numFmtId="174" fontId="11" fillId="0" borderId="0" xfId="0" applyNumberFormat="1" applyFont="1" applyAlignment="1">
      <alignment wrapText="1"/>
    </xf>
    <xf numFmtId="169" fontId="0" fillId="0" borderId="0" xfId="0" applyNumberFormat="1"/>
    <xf numFmtId="0" fontId="11" fillId="0" borderId="0" xfId="0" applyFont="1"/>
    <xf numFmtId="175" fontId="11" fillId="0" borderId="0" xfId="0" applyNumberFormat="1" applyFont="1"/>
    <xf numFmtId="176" fontId="0" fillId="0" borderId="0" xfId="0" applyNumberFormat="1"/>
    <xf numFmtId="175" fontId="0" fillId="0" borderId="0" xfId="0" applyNumberFormat="1"/>
    <xf numFmtId="0" fontId="12" fillId="0" borderId="0" xfId="1"/>
    <xf numFmtId="168" fontId="13" fillId="3" borderId="0" xfId="1" applyNumberFormat="1" applyFont="1" applyFill="1"/>
    <xf numFmtId="0" fontId="13" fillId="3" borderId="0" xfId="1" applyFont="1" applyFill="1"/>
    <xf numFmtId="164" fontId="13" fillId="3" borderId="0" xfId="1" applyNumberFormat="1" applyFont="1" applyFill="1"/>
    <xf numFmtId="168" fontId="13" fillId="0" borderId="0" xfId="1" applyNumberFormat="1" applyFont="1"/>
    <xf numFmtId="0" fontId="13" fillId="0" borderId="0" xfId="1" applyFont="1"/>
    <xf numFmtId="164" fontId="13" fillId="0" borderId="0" xfId="1" applyNumberFormat="1" applyFont="1"/>
    <xf numFmtId="0" fontId="14" fillId="7" borderId="0" xfId="1" applyFont="1" applyFill="1" applyAlignment="1">
      <alignment horizontal="center" vertical="center"/>
    </xf>
    <xf numFmtId="168" fontId="15" fillId="3" borderId="0" xfId="1" applyNumberFormat="1" applyFont="1" applyFill="1"/>
    <xf numFmtId="0" fontId="15" fillId="3" borderId="0" xfId="1" applyFont="1" applyFill="1"/>
    <xf numFmtId="164" fontId="15" fillId="3" borderId="0" xfId="1" applyNumberFormat="1" applyFont="1" applyFill="1"/>
    <xf numFmtId="168" fontId="15" fillId="0" borderId="0" xfId="1" applyNumberFormat="1" applyFont="1"/>
    <xf numFmtId="0" fontId="15" fillId="0" borderId="0" xfId="1" applyFont="1"/>
    <xf numFmtId="164" fontId="15" fillId="0" borderId="0" xfId="1" applyNumberFormat="1" applyFont="1"/>
    <xf numFmtId="10" fontId="13" fillId="3" borderId="0" xfId="1" applyNumberFormat="1" applyFont="1" applyFill="1"/>
    <xf numFmtId="166" fontId="13" fillId="3" borderId="0" xfId="1" applyNumberFormat="1" applyFont="1" applyFill="1"/>
    <xf numFmtId="10" fontId="13" fillId="0" borderId="0" xfId="1" applyNumberFormat="1" applyFont="1"/>
    <xf numFmtId="166" fontId="13" fillId="0" borderId="0" xfId="1" applyNumberFormat="1" applyFont="1"/>
    <xf numFmtId="169" fontId="10" fillId="3" borderId="1" xfId="1" applyNumberFormat="1" applyFont="1" applyFill="1" applyBorder="1"/>
    <xf numFmtId="164" fontId="10" fillId="3" borderId="1" xfId="1" applyNumberFormat="1" applyFont="1" applyFill="1" applyBorder="1"/>
    <xf numFmtId="10" fontId="13" fillId="3" borderId="1" xfId="1" applyNumberFormat="1" applyFont="1" applyFill="1" applyBorder="1" applyAlignment="1">
      <alignment horizontal="center" vertical="center"/>
    </xf>
    <xf numFmtId="168" fontId="13" fillId="3" borderId="1" xfId="1" applyNumberFormat="1" applyFont="1" applyFill="1" applyBorder="1" applyAlignment="1">
      <alignment horizontal="center" vertical="center"/>
    </xf>
    <xf numFmtId="0" fontId="13" fillId="3" borderId="1" xfId="1" applyFont="1" applyFill="1" applyBorder="1" applyAlignment="1">
      <alignment horizontal="center" vertical="center"/>
    </xf>
    <xf numFmtId="166" fontId="13" fillId="3" borderId="1" xfId="1" applyNumberFormat="1" applyFont="1" applyFill="1" applyBorder="1" applyAlignment="1">
      <alignment horizontal="center" vertical="center"/>
    </xf>
    <xf numFmtId="1" fontId="13" fillId="3" borderId="1" xfId="1" applyNumberFormat="1" applyFont="1" applyFill="1" applyBorder="1" applyAlignment="1">
      <alignment horizontal="center" vertical="center"/>
    </xf>
    <xf numFmtId="10" fontId="13" fillId="0" borderId="1" xfId="1" applyNumberFormat="1" applyFont="1" applyBorder="1" applyAlignment="1">
      <alignment horizontal="center" vertical="center"/>
    </xf>
    <xf numFmtId="168" fontId="13" fillId="0" borderId="1" xfId="1" applyNumberFormat="1" applyFont="1" applyBorder="1" applyAlignment="1">
      <alignment horizontal="center" vertical="center"/>
    </xf>
    <xf numFmtId="0" fontId="13" fillId="0" borderId="1" xfId="1" applyFont="1" applyBorder="1" applyAlignment="1">
      <alignment horizontal="center" vertical="center"/>
    </xf>
    <xf numFmtId="166" fontId="13" fillId="0" borderId="1" xfId="1" applyNumberFormat="1" applyFont="1" applyBorder="1" applyAlignment="1">
      <alignment horizontal="center" vertical="center"/>
    </xf>
    <xf numFmtId="1" fontId="13" fillId="0" borderId="1" xfId="1" applyNumberFormat="1" applyFont="1" applyBorder="1" applyAlignment="1">
      <alignment horizontal="center" vertical="center"/>
    </xf>
    <xf numFmtId="0" fontId="17" fillId="4" borderId="1" xfId="1" applyFont="1" applyFill="1" applyBorder="1" applyAlignment="1">
      <alignment horizontal="center" vertical="center" wrapText="1"/>
    </xf>
    <xf numFmtId="10" fontId="10" fillId="3" borderId="1" xfId="1" applyNumberFormat="1" applyFont="1" applyFill="1" applyBorder="1" applyAlignment="1">
      <alignment horizontal="center" vertical="center"/>
    </xf>
    <xf numFmtId="168" fontId="10" fillId="3" borderId="1" xfId="1" applyNumberFormat="1" applyFont="1" applyFill="1" applyBorder="1" applyAlignment="1">
      <alignment horizontal="center" vertical="center"/>
    </xf>
    <xf numFmtId="1" fontId="10" fillId="3" borderId="1" xfId="1" applyNumberFormat="1" applyFont="1" applyFill="1" applyBorder="1" applyAlignment="1">
      <alignment horizontal="center" vertical="center"/>
    </xf>
    <xf numFmtId="0" fontId="10" fillId="3" borderId="1" xfId="1" applyFont="1" applyFill="1" applyBorder="1" applyAlignment="1">
      <alignment horizontal="left" vertical="center" indent="1"/>
    </xf>
    <xf numFmtId="10" fontId="10" fillId="0" borderId="1" xfId="1" applyNumberFormat="1" applyFont="1" applyBorder="1" applyAlignment="1">
      <alignment horizontal="center" vertical="center"/>
    </xf>
    <xf numFmtId="168" fontId="10" fillId="0" borderId="1" xfId="1" applyNumberFormat="1" applyFont="1" applyBorder="1" applyAlignment="1">
      <alignment horizontal="center" vertical="center"/>
    </xf>
    <xf numFmtId="1" fontId="10" fillId="0" borderId="1" xfId="1" applyNumberFormat="1" applyFont="1" applyBorder="1" applyAlignment="1">
      <alignment horizontal="center" vertical="center"/>
    </xf>
    <xf numFmtId="0" fontId="10" fillId="0" borderId="1" xfId="1" applyFont="1" applyBorder="1" applyAlignment="1">
      <alignment horizontal="left" vertical="center" indent="1"/>
    </xf>
    <xf numFmtId="0" fontId="17" fillId="4" borderId="1" xfId="1" applyFont="1" applyFill="1" applyBorder="1" applyAlignment="1">
      <alignment horizontal="center" vertical="center"/>
    </xf>
    <xf numFmtId="166" fontId="20" fillId="2" borderId="1" xfId="1" applyNumberFormat="1" applyFont="1" applyFill="1" applyBorder="1"/>
    <xf numFmtId="170" fontId="13" fillId="3" borderId="0" xfId="1" applyNumberFormat="1" applyFont="1" applyFill="1"/>
    <xf numFmtId="170" fontId="13" fillId="0" borderId="0" xfId="1" applyNumberFormat="1" applyFont="1"/>
    <xf numFmtId="166" fontId="10" fillId="3" borderId="1" xfId="1" applyNumberFormat="1" applyFont="1" applyFill="1" applyBorder="1"/>
    <xf numFmtId="170" fontId="13" fillId="3" borderId="1" xfId="1" applyNumberFormat="1" applyFont="1" applyFill="1" applyBorder="1" applyAlignment="1">
      <alignment horizontal="center" vertical="center"/>
    </xf>
    <xf numFmtId="170" fontId="13" fillId="0" borderId="1" xfId="1" applyNumberFormat="1" applyFont="1" applyBorder="1" applyAlignment="1">
      <alignment horizontal="center" vertical="center"/>
    </xf>
    <xf numFmtId="170" fontId="10" fillId="3" borderId="1" xfId="1" applyNumberFormat="1" applyFont="1" applyFill="1" applyBorder="1" applyAlignment="1">
      <alignment horizontal="center" vertical="center"/>
    </xf>
    <xf numFmtId="170" fontId="10" fillId="0" borderId="1" xfId="1" applyNumberFormat="1" applyFont="1" applyBorder="1" applyAlignment="1">
      <alignment horizontal="center" vertical="center"/>
    </xf>
    <xf numFmtId="0" fontId="23" fillId="0" borderId="0" xfId="1" applyFont="1"/>
    <xf numFmtId="0" fontId="26" fillId="0" borderId="0" xfId="1" applyFont="1" applyAlignment="1">
      <alignment vertical="center" wrapText="1"/>
    </xf>
    <xf numFmtId="0" fontId="24" fillId="0" borderId="0" xfId="1" applyFont="1"/>
    <xf numFmtId="0" fontId="28" fillId="0" borderId="0" xfId="1" applyFont="1"/>
    <xf numFmtId="0" fontId="12" fillId="0" borderId="0" xfId="1" applyAlignment="1">
      <alignment wrapText="1"/>
    </xf>
    <xf numFmtId="0" fontId="31" fillId="0" borderId="0" xfId="1" applyFont="1"/>
    <xf numFmtId="0" fontId="33" fillId="0" borderId="0" xfId="1" applyFont="1"/>
    <xf numFmtId="0" fontId="16" fillId="0" borderId="0" xfId="1" applyFont="1" applyAlignment="1">
      <alignment wrapText="1"/>
    </xf>
    <xf numFmtId="0" fontId="12" fillId="11" borderId="0" xfId="1" applyFill="1"/>
    <xf numFmtId="0" fontId="13" fillId="0" borderId="1" xfId="1" applyFont="1" applyBorder="1" applyAlignment="1">
      <alignment horizontal="center" vertical="center" wrapText="1"/>
    </xf>
    <xf numFmtId="0" fontId="13" fillId="3" borderId="1" xfId="1" applyFont="1" applyFill="1" applyBorder="1" applyAlignment="1">
      <alignment horizontal="center" vertical="center" wrapText="1"/>
    </xf>
    <xf numFmtId="0" fontId="18" fillId="0" borderId="0" xfId="1" applyFont="1" applyAlignment="1">
      <alignment wrapText="1"/>
    </xf>
    <xf numFmtId="0" fontId="23" fillId="0" borderId="0" xfId="0" applyFont="1"/>
    <xf numFmtId="0" fontId="24" fillId="0" borderId="0" xfId="0" applyFont="1" applyAlignment="1">
      <alignment vertical="center" wrapText="1"/>
    </xf>
    <xf numFmtId="0" fontId="37" fillId="0" borderId="0" xfId="0" applyFont="1" applyAlignment="1">
      <alignment wrapText="1"/>
    </xf>
    <xf numFmtId="0" fontId="37" fillId="0" borderId="0" xfId="0" applyFont="1" applyAlignment="1">
      <alignment horizontal="left" wrapText="1"/>
    </xf>
    <xf numFmtId="0" fontId="6" fillId="13" borderId="1" xfId="0" applyFont="1" applyFill="1" applyBorder="1" applyAlignment="1">
      <alignment horizontal="center" vertical="center"/>
    </xf>
    <xf numFmtId="0" fontId="39" fillId="0" borderId="0" xfId="1" applyFont="1"/>
    <xf numFmtId="0" fontId="2" fillId="0" borderId="0" xfId="0" applyFont="1" applyAlignment="1">
      <alignment wrapText="1"/>
    </xf>
    <xf numFmtId="0" fontId="22" fillId="0" borderId="0" xfId="1" applyFont="1" applyAlignment="1">
      <alignment horizontal="center" wrapText="1"/>
    </xf>
    <xf numFmtId="0" fontId="22" fillId="0" borderId="0" xfId="1" applyFont="1" applyAlignment="1">
      <alignment wrapText="1"/>
    </xf>
    <xf numFmtId="0" fontId="17" fillId="13" borderId="1" xfId="2" applyFont="1" applyFill="1" applyBorder="1" applyAlignment="1">
      <alignment horizontal="center" vertical="center"/>
    </xf>
    <xf numFmtId="0" fontId="23" fillId="11" borderId="0" xfId="1" applyFont="1" applyFill="1"/>
    <xf numFmtId="0" fontId="31" fillId="0" borderId="0" xfId="1" applyFont="1" applyAlignment="1">
      <alignment wrapText="1"/>
    </xf>
    <xf numFmtId="0" fontId="17" fillId="13" borderId="1" xfId="1" applyFont="1" applyFill="1" applyBorder="1" applyAlignment="1">
      <alignment horizontal="center" vertical="center" wrapText="1"/>
    </xf>
    <xf numFmtId="0" fontId="42" fillId="13" borderId="1" xfId="1" applyFont="1" applyFill="1" applyBorder="1" applyAlignment="1">
      <alignment horizontal="center" vertical="center"/>
    </xf>
    <xf numFmtId="0" fontId="42" fillId="13" borderId="1" xfId="0" applyFont="1" applyFill="1" applyBorder="1" applyAlignment="1">
      <alignment horizontal="center" vertical="center" wrapText="1"/>
    </xf>
    <xf numFmtId="0" fontId="42" fillId="13" borderId="1" xfId="0" applyFont="1" applyFill="1" applyBorder="1" applyAlignment="1">
      <alignment horizontal="center" vertical="center"/>
    </xf>
    <xf numFmtId="0" fontId="25" fillId="0" borderId="0" xfId="1" applyFont="1" applyAlignment="1">
      <alignment horizontal="center" vertical="center"/>
    </xf>
    <xf numFmtId="0" fontId="29" fillId="0" borderId="0" xfId="1" applyFont="1" applyAlignment="1">
      <alignment horizontal="left" vertical="center" wrapText="1"/>
    </xf>
    <xf numFmtId="0" fontId="32" fillId="12" borderId="0" xfId="1" applyFont="1" applyFill="1" applyAlignment="1">
      <alignment horizontal="center" vertical="center"/>
    </xf>
    <xf numFmtId="0" fontId="35" fillId="0" borderId="1" xfId="1" applyFont="1" applyBorder="1" applyAlignment="1">
      <alignment horizontal="center" vertical="center"/>
    </xf>
    <xf numFmtId="0" fontId="41" fillId="10" borderId="0" xfId="1" applyFont="1" applyFill="1" applyAlignment="1">
      <alignment horizontal="center" vertical="center"/>
    </xf>
    <xf numFmtId="0" fontId="36" fillId="0" borderId="1" xfId="1" applyFont="1" applyBorder="1" applyAlignment="1">
      <alignment horizontal="center" vertical="center"/>
    </xf>
    <xf numFmtId="0" fontId="24" fillId="0" borderId="0" xfId="1" applyFont="1" applyAlignment="1">
      <alignment horizontal="left" wrapText="1"/>
    </xf>
    <xf numFmtId="1" fontId="19" fillId="3" borderId="1" xfId="1" applyNumberFormat="1" applyFont="1" applyFill="1" applyBorder="1" applyAlignment="1">
      <alignment horizontal="center" vertical="center"/>
    </xf>
    <xf numFmtId="168" fontId="19" fillId="3" borderId="1" xfId="1" applyNumberFormat="1" applyFont="1" applyFill="1" applyBorder="1" applyAlignment="1">
      <alignment horizontal="center" vertical="center"/>
    </xf>
    <xf numFmtId="165" fontId="19" fillId="3" borderId="1" xfId="1" applyNumberFormat="1" applyFont="1" applyFill="1" applyBorder="1" applyAlignment="1">
      <alignment horizontal="center" vertical="center"/>
    </xf>
    <xf numFmtId="166" fontId="19" fillId="3" borderId="1" xfId="1" applyNumberFormat="1" applyFont="1" applyFill="1" applyBorder="1" applyAlignment="1">
      <alignment horizontal="center" vertical="center"/>
    </xf>
    <xf numFmtId="10" fontId="19" fillId="3" borderId="1" xfId="1" applyNumberFormat="1" applyFont="1" applyFill="1" applyBorder="1" applyAlignment="1">
      <alignment horizontal="center" vertical="center"/>
    </xf>
    <xf numFmtId="0" fontId="40" fillId="12" borderId="0" xfId="1" applyFont="1" applyFill="1" applyAlignment="1">
      <alignment horizontal="center" vertical="center"/>
    </xf>
    <xf numFmtId="0" fontId="23" fillId="0" borderId="0" xfId="1" applyFont="1" applyAlignment="1">
      <alignment horizontal="center" vertical="center"/>
    </xf>
    <xf numFmtId="0" fontId="27" fillId="0" borderId="0" xfId="1" applyFont="1" applyAlignment="1">
      <alignment horizontal="center" vertical="center"/>
    </xf>
    <xf numFmtId="164" fontId="3" fillId="2" borderId="13" xfId="0" applyNumberFormat="1" applyFont="1" applyFill="1" applyBorder="1" applyAlignment="1">
      <alignment horizontal="center" vertical="center"/>
    </xf>
    <xf numFmtId="164" fontId="3" fillId="2" borderId="14" xfId="0" applyNumberFormat="1" applyFont="1" applyFill="1" applyBorder="1" applyAlignment="1">
      <alignment horizontal="center" vertical="center"/>
    </xf>
    <xf numFmtId="0" fontId="20" fillId="2" borderId="10" xfId="1" applyFont="1" applyFill="1" applyBorder="1" applyAlignment="1">
      <alignment horizontal="center" vertical="center"/>
    </xf>
    <xf numFmtId="9" fontId="20" fillId="2" borderId="10" xfId="1" applyNumberFormat="1" applyFont="1" applyFill="1" applyBorder="1" applyAlignment="1">
      <alignment horizontal="center" vertical="center"/>
    </xf>
    <xf numFmtId="170" fontId="20" fillId="2" borderId="11" xfId="1" applyNumberFormat="1" applyFont="1" applyFill="1" applyBorder="1" applyAlignment="1">
      <alignment horizontal="center" vertical="center"/>
    </xf>
    <xf numFmtId="170" fontId="20" fillId="2" borderId="12" xfId="1" applyNumberFormat="1" applyFont="1" applyFill="1" applyBorder="1" applyAlignment="1">
      <alignment horizontal="center" vertical="center"/>
    </xf>
    <xf numFmtId="0" fontId="17" fillId="10" borderId="0" xfId="1" applyFont="1" applyFill="1" applyAlignment="1">
      <alignment horizontal="center" vertical="center"/>
    </xf>
    <xf numFmtId="0" fontId="43" fillId="0" borderId="0" xfId="1" applyFont="1" applyAlignment="1">
      <alignment horizontal="left" wrapText="1"/>
    </xf>
    <xf numFmtId="0" fontId="35" fillId="0" borderId="1" xfId="1" applyFont="1" applyBorder="1" applyAlignment="1">
      <alignment horizontal="center" vertical="center" wrapText="1"/>
    </xf>
    <xf numFmtId="170" fontId="19" fillId="3" borderId="1" xfId="1" applyNumberFormat="1" applyFont="1" applyFill="1" applyBorder="1" applyAlignment="1">
      <alignment horizontal="center" vertical="center"/>
    </xf>
    <xf numFmtId="0" fontId="20" fillId="2" borderId="14" xfId="1" applyFont="1" applyFill="1" applyBorder="1" applyAlignment="1">
      <alignment horizontal="center" vertical="center"/>
    </xf>
    <xf numFmtId="0" fontId="20" fillId="2" borderId="15" xfId="1" applyFont="1" applyFill="1" applyBorder="1" applyAlignment="1">
      <alignment horizontal="center" vertical="center"/>
    </xf>
    <xf numFmtId="0" fontId="21" fillId="3" borderId="16" xfId="1" applyFont="1" applyFill="1" applyBorder="1" applyAlignment="1">
      <alignment horizontal="center" vertical="center"/>
    </xf>
    <xf numFmtId="0" fontId="21" fillId="3" borderId="17" xfId="1" applyFont="1" applyFill="1" applyBorder="1" applyAlignment="1">
      <alignment horizontal="center" vertical="center"/>
    </xf>
    <xf numFmtId="9" fontId="3" fillId="2" borderId="10" xfId="0" applyNumberFormat="1" applyFont="1" applyFill="1" applyBorder="1" applyAlignment="1">
      <alignment horizontal="center" vertical="center"/>
    </xf>
    <xf numFmtId="1" fontId="3" fillId="2" borderId="10" xfId="0" applyNumberFormat="1" applyFont="1" applyFill="1" applyBorder="1" applyAlignment="1">
      <alignment horizontal="center" vertical="center"/>
    </xf>
    <xf numFmtId="0" fontId="38" fillId="0" borderId="9" xfId="0" applyFont="1" applyBorder="1" applyAlignment="1">
      <alignment horizontal="left" vertical="center" wrapText="1"/>
    </xf>
    <xf numFmtId="0" fontId="38" fillId="0" borderId="0" xfId="0" applyFont="1" applyAlignment="1">
      <alignment horizontal="left" vertical="center" wrapText="1"/>
    </xf>
    <xf numFmtId="0" fontId="37" fillId="0" borderId="0" xfId="0" applyFont="1" applyAlignment="1">
      <alignment horizontal="left" wrapText="1"/>
    </xf>
    <xf numFmtId="1" fontId="5" fillId="3" borderId="1" xfId="0" applyNumberFormat="1" applyFont="1" applyFill="1" applyBorder="1" applyAlignment="1">
      <alignment horizontal="center" vertical="center"/>
    </xf>
    <xf numFmtId="165" fontId="5" fillId="3" borderId="1" xfId="0" applyNumberFormat="1" applyFont="1" applyFill="1" applyBorder="1" applyAlignment="1">
      <alignment horizontal="center" vertical="center"/>
    </xf>
    <xf numFmtId="168" fontId="5" fillId="3" borderId="1" xfId="0" applyNumberFormat="1" applyFont="1" applyFill="1" applyBorder="1" applyAlignment="1">
      <alignment horizontal="center" vertical="center"/>
    </xf>
    <xf numFmtId="0" fontId="34" fillId="12" borderId="0" xfId="1" applyFont="1" applyFill="1" applyAlignment="1">
      <alignment horizontal="center" vertical="center"/>
    </xf>
    <xf numFmtId="0" fontId="6" fillId="5" borderId="0" xfId="0" applyFont="1" applyFill="1" applyAlignment="1">
      <alignment horizontal="center" vertical="center"/>
    </xf>
    <xf numFmtId="0" fontId="6" fillId="6" borderId="0" xfId="0" applyFont="1" applyFill="1" applyAlignment="1">
      <alignment horizontal="center" vertical="center"/>
    </xf>
    <xf numFmtId="166" fontId="5" fillId="3" borderId="1" xfId="0" applyNumberFormat="1" applyFont="1" applyFill="1" applyBorder="1" applyAlignment="1">
      <alignment horizontal="center" vertical="center"/>
    </xf>
    <xf numFmtId="167" fontId="5" fillId="3" borderId="1" xfId="0" applyNumberFormat="1" applyFont="1" applyFill="1" applyBorder="1" applyAlignment="1">
      <alignment horizontal="center" vertical="center"/>
    </xf>
    <xf numFmtId="0" fontId="30" fillId="12" borderId="0" xfId="1" applyFont="1" applyFill="1" applyAlignment="1">
      <alignment horizontal="center" vertical="center"/>
    </xf>
    <xf numFmtId="164" fontId="3" fillId="2" borderId="10" xfId="0" applyNumberFormat="1" applyFont="1" applyFill="1" applyBorder="1" applyAlignment="1">
      <alignment horizontal="center" vertical="center"/>
    </xf>
    <xf numFmtId="0" fontId="3" fillId="2" borderId="10" xfId="0" applyFont="1" applyFill="1" applyBorder="1" applyAlignment="1">
      <alignment horizontal="center" vertical="center"/>
    </xf>
    <xf numFmtId="0" fontId="4" fillId="3" borderId="10" xfId="0" applyFont="1" applyFill="1" applyBorder="1" applyAlignment="1">
      <alignment horizontal="center" vertical="center"/>
    </xf>
  </cellXfs>
  <cellStyles count="3">
    <cellStyle name="Normal" xfId="0" builtinId="0"/>
    <cellStyle name="Normal 2" xfId="1" xr:uid="{366EA21A-4EDB-2644-92A8-972CF24E3E8A}"/>
    <cellStyle name="Normal 3" xfId="2" xr:uid="{FCACDE09-D8D7-DE4E-8110-F2A82BC77838}"/>
  </cellStyles>
  <dxfs count="15">
    <dxf>
      <fill>
        <patternFill>
          <bgColor rgb="FFD8E4BC"/>
        </patternFill>
      </fill>
    </dxf>
    <dxf>
      <fill>
        <patternFill>
          <bgColor rgb="FFF2DCDB"/>
        </patternFill>
      </fill>
    </dxf>
    <dxf>
      <fill>
        <patternFill>
          <bgColor rgb="FFD8E4BC"/>
        </patternFill>
      </fill>
    </dxf>
    <dxf>
      <fill>
        <patternFill>
          <bgColor rgb="FFF2DCDB"/>
        </patternFill>
      </fill>
    </dxf>
    <dxf>
      <fill>
        <patternFill>
          <bgColor rgb="FFD8E4BC"/>
        </patternFill>
      </fill>
    </dxf>
    <dxf>
      <fill>
        <patternFill>
          <bgColor rgb="FFF2DCDB"/>
        </patternFill>
      </fill>
    </dxf>
    <dxf>
      <fill>
        <patternFill>
          <bgColor rgb="FFD8E4BC"/>
        </patternFill>
      </fill>
    </dxf>
    <dxf>
      <fill>
        <patternFill>
          <bgColor rgb="FFD8E4BC"/>
        </patternFill>
      </fill>
    </dxf>
    <dxf>
      <fill>
        <patternFill>
          <bgColor rgb="FFFFF2CC"/>
        </patternFill>
      </fill>
    </dxf>
    <dxf>
      <fill>
        <patternFill>
          <bgColor rgb="FFF2DCDB"/>
        </patternFill>
      </fill>
    </dxf>
    <dxf>
      <fill>
        <patternFill>
          <bgColor rgb="FFFFF2CC"/>
        </patternFill>
      </fill>
    </dxf>
    <dxf>
      <fill>
        <patternFill>
          <bgColor rgb="FFF2DCDB"/>
        </patternFill>
      </fill>
    </dxf>
    <dxf>
      <fill>
        <patternFill>
          <bgColor rgb="FFD8E4BC"/>
        </patternFill>
      </fill>
    </dxf>
    <dxf>
      <fill>
        <patternFill>
          <bgColor rgb="FFF2DCDB"/>
        </patternFill>
      </fill>
    </dxf>
    <dxf>
      <fill>
        <patternFill>
          <bgColor rgb="FFF2DCDB"/>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B050"/>
      <rgbColor rgb="FFBFBFBF"/>
      <rgbColor rgb="FF808080"/>
      <rgbColor rgb="FFB8CCE4"/>
      <rgbColor rgb="FFC0504D"/>
      <rgbColor rgb="FFFFF2CC"/>
      <rgbColor rgb="FFDCE6F2"/>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F2F2F2"/>
      <rgbColor rgb="FFD8E4BC"/>
      <rgbColor rgb="FFD9D9D9"/>
      <rgbColor rgb="FF9BC2E6"/>
      <rgbColor rgb="FFFF99CC"/>
      <rgbColor rgb="FFB3B3B3"/>
      <rgbColor rgb="FFF2DCDB"/>
      <rgbColor rgb="FF4F81BD"/>
      <rgbColor rgb="FF4BACC6"/>
      <rgbColor rgb="FF9BBB59"/>
      <rgbColor rgb="FFFFCC00"/>
      <rgbColor rgb="FFF79646"/>
      <rgbColor rgb="FFFF6600"/>
      <rgbColor rgb="FF8064A2"/>
      <rgbColor rgb="FF878787"/>
      <rgbColor rgb="FF003366"/>
      <rgbColor rgb="FF31859C"/>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mruColors>
      <color rgb="FF1E49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Commission Payout — 24-Month Trend (Base vs. Accelerator)</a:t>
            </a:r>
          </a:p>
        </c:rich>
      </c:tx>
      <c:overlay val="0"/>
      <c:spPr>
        <a:noFill/>
        <a:ln w="0">
          <a:noFill/>
        </a:ln>
      </c:spPr>
    </c:title>
    <c:autoTitleDeleted val="0"/>
    <c:plotArea>
      <c:layout/>
      <c:barChart>
        <c:barDir val="col"/>
        <c:grouping val="stacked"/>
        <c:varyColors val="0"/>
        <c:ser>
          <c:idx val="0"/>
          <c:order val="0"/>
          <c:tx>
            <c:strRef>
              <c:f>'Commission Calculator'!$D$1420</c:f>
              <c:strCache>
                <c:ptCount val="1"/>
                <c:pt idx="0">
                  <c:v>Tier 1 $</c:v>
                </c:pt>
              </c:strCache>
            </c:strRef>
          </c:tx>
          <c:spPr>
            <a:solidFill>
              <a:srgbClr val="B8CCE4"/>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'Commission Calculator'!$B$1421:$B$1444</c:f>
              <c:strCache>
                <c:ptCount val="24"/>
                <c:pt idx="0">
                  <c:v>Jan 2024</c:v>
                </c:pt>
                <c:pt idx="1">
                  <c:v>Feb 2024</c:v>
                </c:pt>
                <c:pt idx="2">
                  <c:v>Mar 2024</c:v>
                </c:pt>
                <c:pt idx="3">
                  <c:v>Apr 2024</c:v>
                </c:pt>
                <c:pt idx="4">
                  <c:v>May 2024</c:v>
                </c:pt>
                <c:pt idx="5">
                  <c:v>Jun 2024</c:v>
                </c:pt>
                <c:pt idx="6">
                  <c:v>Jul 2024</c:v>
                </c:pt>
                <c:pt idx="7">
                  <c:v>Aug 2024</c:v>
                </c:pt>
                <c:pt idx="8">
                  <c:v>Sep 2024</c:v>
                </c:pt>
                <c:pt idx="9">
                  <c:v>Oct 2024</c:v>
                </c:pt>
                <c:pt idx="10">
                  <c:v>Nov 2024</c:v>
                </c:pt>
                <c:pt idx="11">
                  <c:v>Dec 2024</c:v>
                </c:pt>
                <c:pt idx="12">
                  <c:v>Jan 2025</c:v>
                </c:pt>
                <c:pt idx="13">
                  <c:v>Feb 2025</c:v>
                </c:pt>
                <c:pt idx="14">
                  <c:v>Mar 2025</c:v>
                </c:pt>
                <c:pt idx="15">
                  <c:v>Apr 2025</c:v>
                </c:pt>
                <c:pt idx="16">
                  <c:v>May 2025</c:v>
                </c:pt>
                <c:pt idx="17">
                  <c:v>Jun 2025</c:v>
                </c:pt>
                <c:pt idx="18">
                  <c:v>Jul 2025</c:v>
                </c:pt>
                <c:pt idx="19">
                  <c:v>Aug 2025</c:v>
                </c:pt>
                <c:pt idx="20">
                  <c:v>Sep 2025</c:v>
                </c:pt>
                <c:pt idx="21">
                  <c:v>Oct 2025</c:v>
                </c:pt>
                <c:pt idx="22">
                  <c:v>Nov 2025</c:v>
                </c:pt>
                <c:pt idx="23">
                  <c:v>Dec 2025</c:v>
                </c:pt>
              </c:strCache>
            </c:strRef>
          </c:cat>
          <c:val>
            <c:numRef>
              <c:f>'Commission Calculator'!$D$1421:$D$1444</c:f>
              <c:numCache>
                <c:formatCode>\$#,##0</c:formatCode>
                <c:ptCount val="24"/>
                <c:pt idx="0">
                  <c:v>1578</c:v>
                </c:pt>
                <c:pt idx="1">
                  <c:v>8102</c:v>
                </c:pt>
                <c:pt idx="2">
                  <c:v>12407</c:v>
                </c:pt>
                <c:pt idx="3">
                  <c:v>15927</c:v>
                </c:pt>
                <c:pt idx="4">
                  <c:v>13912</c:v>
                </c:pt>
                <c:pt idx="5">
                  <c:v>19379</c:v>
                </c:pt>
                <c:pt idx="6">
                  <c:v>24596</c:v>
                </c:pt>
                <c:pt idx="7">
                  <c:v>19207</c:v>
                </c:pt>
                <c:pt idx="8">
                  <c:v>21698</c:v>
                </c:pt>
                <c:pt idx="9">
                  <c:v>24742</c:v>
                </c:pt>
                <c:pt idx="10">
                  <c:v>21729</c:v>
                </c:pt>
                <c:pt idx="11">
                  <c:v>25572</c:v>
                </c:pt>
                <c:pt idx="12">
                  <c:v>32241</c:v>
                </c:pt>
                <c:pt idx="13">
                  <c:v>21648</c:v>
                </c:pt>
                <c:pt idx="14">
                  <c:v>28943</c:v>
                </c:pt>
                <c:pt idx="15">
                  <c:v>20907</c:v>
                </c:pt>
                <c:pt idx="16">
                  <c:v>27437</c:v>
                </c:pt>
                <c:pt idx="17">
                  <c:v>23360</c:v>
                </c:pt>
                <c:pt idx="18">
                  <c:v>21423</c:v>
                </c:pt>
                <c:pt idx="19">
                  <c:v>22731</c:v>
                </c:pt>
                <c:pt idx="20">
                  <c:v>31900</c:v>
                </c:pt>
                <c:pt idx="21">
                  <c:v>34153</c:v>
                </c:pt>
                <c:pt idx="22">
                  <c:v>33522</c:v>
                </c:pt>
                <c:pt idx="23">
                  <c:v>37131</c:v>
                </c:pt>
              </c:numCache>
            </c:numRef>
          </c:val>
          <c:extLst>
            <c:ext xmlns:c16="http://schemas.microsoft.com/office/drawing/2014/chart" uri="{C3380CC4-5D6E-409C-BE32-E72D297353CC}">
              <c16:uniqueId val="{00000000-C493-D946-9C85-1D3F0CC1993A}"/>
            </c:ext>
          </c:extLst>
        </c:ser>
        <c:ser>
          <c:idx val="1"/>
          <c:order val="1"/>
          <c:tx>
            <c:strRef>
              <c:f>'Commission Calculator'!$E$1420</c:f>
              <c:strCache>
                <c:ptCount val="1"/>
                <c:pt idx="0">
                  <c:v>Tier 2+3 $ (Accelerator)</c:v>
                </c:pt>
              </c:strCache>
            </c:strRef>
          </c:tx>
          <c:spPr>
            <a:solidFill>
              <a:srgbClr val="F79646"/>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'Commission Calculator'!$B$1421:$B$1444</c:f>
              <c:strCache>
                <c:ptCount val="24"/>
                <c:pt idx="0">
                  <c:v>Jan 2024</c:v>
                </c:pt>
                <c:pt idx="1">
                  <c:v>Feb 2024</c:v>
                </c:pt>
                <c:pt idx="2">
                  <c:v>Mar 2024</c:v>
                </c:pt>
                <c:pt idx="3">
                  <c:v>Apr 2024</c:v>
                </c:pt>
                <c:pt idx="4">
                  <c:v>May 2024</c:v>
                </c:pt>
                <c:pt idx="5">
                  <c:v>Jun 2024</c:v>
                </c:pt>
                <c:pt idx="6">
                  <c:v>Jul 2024</c:v>
                </c:pt>
                <c:pt idx="7">
                  <c:v>Aug 2024</c:v>
                </c:pt>
                <c:pt idx="8">
                  <c:v>Sep 2024</c:v>
                </c:pt>
                <c:pt idx="9">
                  <c:v>Oct 2024</c:v>
                </c:pt>
                <c:pt idx="10">
                  <c:v>Nov 2024</c:v>
                </c:pt>
                <c:pt idx="11">
                  <c:v>Dec 2024</c:v>
                </c:pt>
                <c:pt idx="12">
                  <c:v>Jan 2025</c:v>
                </c:pt>
                <c:pt idx="13">
                  <c:v>Feb 2025</c:v>
                </c:pt>
                <c:pt idx="14">
                  <c:v>Mar 2025</c:v>
                </c:pt>
                <c:pt idx="15">
                  <c:v>Apr 2025</c:v>
                </c:pt>
                <c:pt idx="16">
                  <c:v>May 2025</c:v>
                </c:pt>
                <c:pt idx="17">
                  <c:v>Jun 2025</c:v>
                </c:pt>
                <c:pt idx="18">
                  <c:v>Jul 2025</c:v>
                </c:pt>
                <c:pt idx="19">
                  <c:v>Aug 2025</c:v>
                </c:pt>
                <c:pt idx="20">
                  <c:v>Sep 2025</c:v>
                </c:pt>
                <c:pt idx="21">
                  <c:v>Oct 2025</c:v>
                </c:pt>
                <c:pt idx="22">
                  <c:v>Nov 2025</c:v>
                </c:pt>
                <c:pt idx="23">
                  <c:v>Dec 2025</c:v>
                </c:pt>
              </c:strCache>
            </c:strRef>
          </c:cat>
          <c:val>
            <c:numRef>
              <c:f>'Commission Calculator'!$E$1421:$E$1444</c:f>
              <c:numCache>
                <c:formatCode>\$#,##0</c:formatCode>
                <c:ptCount val="24"/>
                <c:pt idx="0">
                  <c:v>85</c:v>
                </c:pt>
                <c:pt idx="1">
                  <c:v>4448</c:v>
                </c:pt>
                <c:pt idx="2">
                  <c:v>12907</c:v>
                </c:pt>
                <c:pt idx="3">
                  <c:v>8385</c:v>
                </c:pt>
                <c:pt idx="4">
                  <c:v>21956</c:v>
                </c:pt>
                <c:pt idx="5">
                  <c:v>15216</c:v>
                </c:pt>
                <c:pt idx="6">
                  <c:v>55291</c:v>
                </c:pt>
                <c:pt idx="7">
                  <c:v>19433.5</c:v>
                </c:pt>
                <c:pt idx="8">
                  <c:v>5349</c:v>
                </c:pt>
                <c:pt idx="9">
                  <c:v>25625.5</c:v>
                </c:pt>
                <c:pt idx="10">
                  <c:v>35556.5</c:v>
                </c:pt>
                <c:pt idx="11">
                  <c:v>79321</c:v>
                </c:pt>
                <c:pt idx="12">
                  <c:v>99696</c:v>
                </c:pt>
                <c:pt idx="13">
                  <c:v>27769</c:v>
                </c:pt>
                <c:pt idx="14">
                  <c:v>39633.5</c:v>
                </c:pt>
                <c:pt idx="15">
                  <c:v>18097</c:v>
                </c:pt>
                <c:pt idx="16">
                  <c:v>28967.5</c:v>
                </c:pt>
                <c:pt idx="17">
                  <c:v>14391</c:v>
                </c:pt>
                <c:pt idx="18">
                  <c:v>26834</c:v>
                </c:pt>
                <c:pt idx="19">
                  <c:v>68315</c:v>
                </c:pt>
                <c:pt idx="20">
                  <c:v>53867.5</c:v>
                </c:pt>
                <c:pt idx="21">
                  <c:v>30510</c:v>
                </c:pt>
                <c:pt idx="22">
                  <c:v>42069</c:v>
                </c:pt>
                <c:pt idx="23">
                  <c:v>62674.5</c:v>
                </c:pt>
              </c:numCache>
            </c:numRef>
          </c:val>
          <c:extLst>
            <c:ext xmlns:c16="http://schemas.microsoft.com/office/drawing/2014/chart" uri="{C3380CC4-5D6E-409C-BE32-E72D297353CC}">
              <c16:uniqueId val="{00000001-C493-D946-9C85-1D3F0CC1993A}"/>
            </c:ext>
          </c:extLst>
        </c:ser>
        <c:dLbls>
          <c:showLegendKey val="0"/>
          <c:showVal val="0"/>
          <c:showCatName val="0"/>
          <c:showSerName val="0"/>
          <c:showPercent val="0"/>
          <c:showBubbleSize val="0"/>
        </c:dLbls>
        <c:gapWidth val="150"/>
        <c:overlap val="100"/>
        <c:axId val="78752598"/>
        <c:axId val="90523411"/>
      </c:barChart>
      <c:catAx>
        <c:axId val="78752598"/>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0523411"/>
        <c:crosses val="autoZero"/>
        <c:auto val="1"/>
        <c:lblAlgn val="ctr"/>
        <c:lblOffset val="100"/>
        <c:noMultiLvlLbl val="0"/>
      </c:catAx>
      <c:valAx>
        <c:axId val="90523411"/>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USD</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875259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Effective Commission Rate — 24-Month Trend</a:t>
            </a:r>
          </a:p>
        </c:rich>
      </c:tx>
      <c:overlay val="0"/>
      <c:spPr>
        <a:noFill/>
        <a:ln w="0">
          <a:noFill/>
        </a:ln>
      </c:spPr>
    </c:title>
    <c:autoTitleDeleted val="0"/>
    <c:plotArea>
      <c:layout/>
      <c:lineChart>
        <c:grouping val="standard"/>
        <c:varyColors val="0"/>
        <c:ser>
          <c:idx val="0"/>
          <c:order val="0"/>
          <c:tx>
            <c:strRef>
              <c:f>'Commission Calculator'!$C$1420</c:f>
              <c:strCache>
                <c:ptCount val="1"/>
                <c:pt idx="0">
                  <c:v>Total Commission</c:v>
                </c:pt>
              </c:strCache>
            </c:strRef>
          </c:tx>
          <c:spPr>
            <a:ln w="24840">
              <a:solidFill>
                <a:srgbClr val="1F497D"/>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'Commission Calculator'!$B$1421:$B$1444</c:f>
              <c:strCache>
                <c:ptCount val="24"/>
                <c:pt idx="0">
                  <c:v>Jan 2024</c:v>
                </c:pt>
                <c:pt idx="1">
                  <c:v>Feb 2024</c:v>
                </c:pt>
                <c:pt idx="2">
                  <c:v>Mar 2024</c:v>
                </c:pt>
                <c:pt idx="3">
                  <c:v>Apr 2024</c:v>
                </c:pt>
                <c:pt idx="4">
                  <c:v>May 2024</c:v>
                </c:pt>
                <c:pt idx="5">
                  <c:v>Jun 2024</c:v>
                </c:pt>
                <c:pt idx="6">
                  <c:v>Jul 2024</c:v>
                </c:pt>
                <c:pt idx="7">
                  <c:v>Aug 2024</c:v>
                </c:pt>
                <c:pt idx="8">
                  <c:v>Sep 2024</c:v>
                </c:pt>
                <c:pt idx="9">
                  <c:v>Oct 2024</c:v>
                </c:pt>
                <c:pt idx="10">
                  <c:v>Nov 2024</c:v>
                </c:pt>
                <c:pt idx="11">
                  <c:v>Dec 2024</c:v>
                </c:pt>
                <c:pt idx="12">
                  <c:v>Jan 2025</c:v>
                </c:pt>
                <c:pt idx="13">
                  <c:v>Feb 2025</c:v>
                </c:pt>
                <c:pt idx="14">
                  <c:v>Mar 2025</c:v>
                </c:pt>
                <c:pt idx="15">
                  <c:v>Apr 2025</c:v>
                </c:pt>
                <c:pt idx="16">
                  <c:v>May 2025</c:v>
                </c:pt>
                <c:pt idx="17">
                  <c:v>Jun 2025</c:v>
                </c:pt>
                <c:pt idx="18">
                  <c:v>Jul 2025</c:v>
                </c:pt>
                <c:pt idx="19">
                  <c:v>Aug 2025</c:v>
                </c:pt>
                <c:pt idx="20">
                  <c:v>Sep 2025</c:v>
                </c:pt>
                <c:pt idx="21">
                  <c:v>Oct 2025</c:v>
                </c:pt>
                <c:pt idx="22">
                  <c:v>Nov 2025</c:v>
                </c:pt>
                <c:pt idx="23">
                  <c:v>Dec 2025</c:v>
                </c:pt>
              </c:strCache>
            </c:strRef>
          </c:cat>
          <c:val>
            <c:numRef>
              <c:f>'Commission Calculator'!$C$1421:$C$1444</c:f>
              <c:numCache>
                <c:formatCode>\$#,##0</c:formatCode>
                <c:ptCount val="24"/>
                <c:pt idx="0">
                  <c:v>1663</c:v>
                </c:pt>
                <c:pt idx="1">
                  <c:v>12550</c:v>
                </c:pt>
                <c:pt idx="2">
                  <c:v>25314</c:v>
                </c:pt>
                <c:pt idx="3">
                  <c:v>24312</c:v>
                </c:pt>
                <c:pt idx="4">
                  <c:v>35868</c:v>
                </c:pt>
                <c:pt idx="5">
                  <c:v>34595</c:v>
                </c:pt>
                <c:pt idx="6">
                  <c:v>79887</c:v>
                </c:pt>
                <c:pt idx="7">
                  <c:v>38640.5</c:v>
                </c:pt>
                <c:pt idx="8">
                  <c:v>27047</c:v>
                </c:pt>
                <c:pt idx="9">
                  <c:v>50367.5</c:v>
                </c:pt>
                <c:pt idx="10">
                  <c:v>57285.5</c:v>
                </c:pt>
                <c:pt idx="11">
                  <c:v>104893</c:v>
                </c:pt>
                <c:pt idx="12">
                  <c:v>131937</c:v>
                </c:pt>
                <c:pt idx="13">
                  <c:v>49417</c:v>
                </c:pt>
                <c:pt idx="14">
                  <c:v>68576.5</c:v>
                </c:pt>
                <c:pt idx="15">
                  <c:v>39004</c:v>
                </c:pt>
                <c:pt idx="16">
                  <c:v>56404.5</c:v>
                </c:pt>
                <c:pt idx="17">
                  <c:v>37751</c:v>
                </c:pt>
                <c:pt idx="18">
                  <c:v>48257</c:v>
                </c:pt>
                <c:pt idx="19">
                  <c:v>91046</c:v>
                </c:pt>
                <c:pt idx="20">
                  <c:v>85767.5</c:v>
                </c:pt>
                <c:pt idx="21">
                  <c:v>64663</c:v>
                </c:pt>
                <c:pt idx="22">
                  <c:v>75591</c:v>
                </c:pt>
                <c:pt idx="23">
                  <c:v>99805.5</c:v>
                </c:pt>
              </c:numCache>
            </c:numRef>
          </c:val>
          <c:smooth val="0"/>
          <c:extLst>
            <c:ext xmlns:c16="http://schemas.microsoft.com/office/drawing/2014/chart" uri="{C3380CC4-5D6E-409C-BE32-E72D297353CC}">
              <c16:uniqueId val="{00000000-4477-814E-98A5-753FAA57898A}"/>
            </c:ext>
          </c:extLst>
        </c:ser>
        <c:dLbls>
          <c:showLegendKey val="0"/>
          <c:showVal val="0"/>
          <c:showCatName val="0"/>
          <c:showSerName val="0"/>
          <c:showPercent val="0"/>
          <c:showBubbleSize val="0"/>
        </c:dLbls>
        <c:hiLowLines>
          <c:spPr>
            <a:ln w="0">
              <a:noFill/>
            </a:ln>
          </c:spPr>
        </c:hiLowLines>
        <c:smooth val="0"/>
        <c:axId val="83587273"/>
        <c:axId val="43244406"/>
      </c:lineChart>
      <c:catAx>
        <c:axId val="83587273"/>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3244406"/>
        <c:crosses val="autoZero"/>
        <c:auto val="1"/>
        <c:lblAlgn val="ctr"/>
        <c:lblOffset val="100"/>
        <c:noMultiLvlLbl val="0"/>
      </c:catAx>
      <c:valAx>
        <c:axId val="43244406"/>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USD</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358727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Total Commission </a:t>
            </a:r>
            <a:r>
              <a:rPr lang="en-US" sz="1800" b="1" u="sng" strike="noStrike" spc="-1">
                <a:solidFill>
                  <a:srgbClr val="000000"/>
                </a:solidFill>
                <a:latin typeface="Calibri"/>
              </a:rPr>
              <a:t>by Role</a:t>
            </a:r>
          </a:p>
        </c:rich>
      </c:tx>
      <c:overlay val="0"/>
      <c:spPr>
        <a:noFill/>
        <a:ln w="0">
          <a:noFill/>
        </a:ln>
      </c:spPr>
    </c:title>
    <c:autoTitleDeleted val="0"/>
    <c:plotArea>
      <c:layout/>
      <c:barChart>
        <c:barDir val="col"/>
        <c:grouping val="clustered"/>
        <c:varyColors val="0"/>
        <c:ser>
          <c:idx val="0"/>
          <c:order val="0"/>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'Commission Calculator'!$A$83:$A$86</c:f>
              <c:strCache>
                <c:ptCount val="4"/>
                <c:pt idx="0">
                  <c:v>SDR / Inside Sales Rep</c:v>
                </c:pt>
                <c:pt idx="1">
                  <c:v>Mid-Market AE</c:v>
                </c:pt>
                <c:pt idx="2">
                  <c:v>Enterprise AE</c:v>
                </c:pt>
                <c:pt idx="3">
                  <c:v>Senior Enterprise AE</c:v>
                </c:pt>
              </c:strCache>
            </c:strRef>
          </c:cat>
          <c:val>
            <c:numRef>
              <c:f>'Commission Calculator'!$D$83:$D$86</c:f>
              <c:numCache>
                <c:formatCode>\$#,##0</c:formatCode>
                <c:ptCount val="4"/>
                <c:pt idx="0">
                  <c:v>112484</c:v>
                </c:pt>
                <c:pt idx="1">
                  <c:v>146810.5</c:v>
                </c:pt>
                <c:pt idx="2">
                  <c:v>156646</c:v>
                </c:pt>
                <c:pt idx="3">
                  <c:v>166628</c:v>
                </c:pt>
              </c:numCache>
            </c:numRef>
          </c:val>
          <c:extLst>
            <c:ext xmlns:c16="http://schemas.microsoft.com/office/drawing/2014/chart" uri="{C3380CC4-5D6E-409C-BE32-E72D297353CC}">
              <c16:uniqueId val="{00000000-42F0-1446-A1AB-9AA339884BE5}"/>
            </c:ext>
          </c:extLst>
        </c:ser>
        <c:dLbls>
          <c:showLegendKey val="0"/>
          <c:showVal val="0"/>
          <c:showCatName val="0"/>
          <c:showSerName val="0"/>
          <c:showPercent val="0"/>
          <c:showBubbleSize val="0"/>
        </c:dLbls>
        <c:gapWidth val="150"/>
        <c:axId val="37067388"/>
        <c:axId val="6312460"/>
      </c:barChart>
      <c:catAx>
        <c:axId val="37067388"/>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312460"/>
        <c:crosses val="autoZero"/>
        <c:auto val="1"/>
        <c:lblAlgn val="ctr"/>
        <c:lblOffset val="100"/>
        <c:noMultiLvlLbl val="0"/>
      </c:catAx>
      <c:valAx>
        <c:axId val="6312460"/>
        <c:scaling>
          <c:orientation val="minMax"/>
        </c:scaling>
        <c:delete val="0"/>
        <c:axPos val="l"/>
        <c:majorGridlines>
          <c:spPr>
            <a:ln w="0">
              <a:solidFill>
                <a:srgbClr val="B3B3B3"/>
              </a:solidFill>
            </a:ln>
          </c:spPr>
        </c:majorGridlines>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706738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Total Commission </a:t>
            </a:r>
            <a:r>
              <a:rPr lang="en-US" sz="1800" b="1" u="sng" strike="noStrike" spc="-1">
                <a:solidFill>
                  <a:srgbClr val="000000"/>
                </a:solidFill>
                <a:latin typeface="Calibri"/>
              </a:rPr>
              <a:t>by Team</a:t>
            </a:r>
          </a:p>
        </c:rich>
      </c:tx>
      <c:overlay val="0"/>
      <c:spPr>
        <a:noFill/>
        <a:ln w="0">
          <a:noFill/>
        </a:ln>
      </c:spPr>
    </c:title>
    <c:autoTitleDeleted val="0"/>
    <c:plotArea>
      <c:layout/>
      <c:barChart>
        <c:barDir val="col"/>
        <c:grouping val="clustered"/>
        <c:varyColors val="0"/>
        <c:ser>
          <c:idx val="0"/>
          <c:order val="0"/>
          <c:spPr>
            <a:solidFill>
              <a:srgbClr val="9BBB5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'Commission Calculator'!$G$83:$G$86</c:f>
              <c:strCache>
                <c:ptCount val="4"/>
                <c:pt idx="0">
                  <c:v>Inside Sales</c:v>
                </c:pt>
                <c:pt idx="1">
                  <c:v>Mid-Market</c:v>
                </c:pt>
                <c:pt idx="2">
                  <c:v>Enterprise</c:v>
                </c:pt>
                <c:pt idx="3">
                  <c:v>Strategic</c:v>
                </c:pt>
              </c:strCache>
            </c:strRef>
          </c:cat>
          <c:val>
            <c:numRef>
              <c:f>'Commission Calculator'!$J$83:$J$86</c:f>
              <c:numCache>
                <c:formatCode>\$#,##0</c:formatCode>
                <c:ptCount val="4"/>
                <c:pt idx="0">
                  <c:v>112484</c:v>
                </c:pt>
                <c:pt idx="1">
                  <c:v>146810.5</c:v>
                </c:pt>
                <c:pt idx="2">
                  <c:v>156646</c:v>
                </c:pt>
                <c:pt idx="3">
                  <c:v>166628</c:v>
                </c:pt>
              </c:numCache>
            </c:numRef>
          </c:val>
          <c:extLst>
            <c:ext xmlns:c16="http://schemas.microsoft.com/office/drawing/2014/chart" uri="{C3380CC4-5D6E-409C-BE32-E72D297353CC}">
              <c16:uniqueId val="{00000000-9A85-C747-B19D-D79AB05F5860}"/>
            </c:ext>
          </c:extLst>
        </c:ser>
        <c:dLbls>
          <c:showLegendKey val="0"/>
          <c:showVal val="0"/>
          <c:showCatName val="0"/>
          <c:showSerName val="0"/>
          <c:showPercent val="0"/>
          <c:showBubbleSize val="0"/>
        </c:dLbls>
        <c:gapWidth val="150"/>
        <c:axId val="36355775"/>
        <c:axId val="5207516"/>
      </c:barChart>
      <c:catAx>
        <c:axId val="36355775"/>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207516"/>
        <c:crosses val="autoZero"/>
        <c:auto val="1"/>
        <c:lblAlgn val="ctr"/>
        <c:lblOffset val="100"/>
        <c:noMultiLvlLbl val="0"/>
      </c:catAx>
      <c:valAx>
        <c:axId val="5207516"/>
        <c:scaling>
          <c:orientation val="minMax"/>
        </c:scaling>
        <c:delete val="0"/>
        <c:axPos val="l"/>
        <c:majorGridlines>
          <c:spPr>
            <a:ln w="0">
              <a:solidFill>
                <a:srgbClr val="B3B3B3"/>
              </a:solidFill>
            </a:ln>
          </c:spPr>
        </c:majorGridlines>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635577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Gap to Goal vs. Open Pipeline by Team</a:t>
            </a:r>
          </a:p>
        </c:rich>
      </c:tx>
      <c:overlay val="0"/>
      <c:spPr>
        <a:noFill/>
        <a:ln w="0">
          <a:noFill/>
        </a:ln>
      </c:spPr>
    </c:title>
    <c:autoTitleDeleted val="0"/>
    <c:plotArea>
      <c:layout/>
      <c:barChart>
        <c:barDir val="col"/>
        <c:grouping val="clustered"/>
        <c:varyColors val="0"/>
        <c:ser>
          <c:idx val="0"/>
          <c:order val="0"/>
          <c:tx>
            <c:strRef>
              <c:f>'Pipeline Coverage'!$C$35</c:f>
              <c:strCache>
                <c:ptCount val="1"/>
                <c:pt idx="0">
                  <c:v>Gap to Goal</c:v>
                </c:pt>
              </c:strCache>
            </c:strRef>
          </c:tx>
          <c:spPr>
            <a:solidFill>
              <a:srgbClr val="C0504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'Pipeline Coverage'!$A$36:$A$39</c:f>
              <c:strCache>
                <c:ptCount val="4"/>
                <c:pt idx="0">
                  <c:v>Inside Sales</c:v>
                </c:pt>
                <c:pt idx="1">
                  <c:v>Mid-Market</c:v>
                </c:pt>
                <c:pt idx="2">
                  <c:v>Enterprise</c:v>
                </c:pt>
                <c:pt idx="3">
                  <c:v>Strategic</c:v>
                </c:pt>
              </c:strCache>
            </c:strRef>
          </c:cat>
          <c:val>
            <c:numRef>
              <c:f>'Pipeline Coverage'!$C$36:$C$39</c:f>
              <c:numCache>
                <c:formatCode>\$#,##0</c:formatCode>
                <c:ptCount val="4"/>
                <c:pt idx="0">
                  <c:v>439200</c:v>
                </c:pt>
                <c:pt idx="1">
                  <c:v>426700</c:v>
                </c:pt>
                <c:pt idx="2">
                  <c:v>231800</c:v>
                </c:pt>
                <c:pt idx="3">
                  <c:v>505400</c:v>
                </c:pt>
              </c:numCache>
            </c:numRef>
          </c:val>
          <c:extLst>
            <c:ext xmlns:c16="http://schemas.microsoft.com/office/drawing/2014/chart" uri="{C3380CC4-5D6E-409C-BE32-E72D297353CC}">
              <c16:uniqueId val="{00000000-E018-1540-8324-24CE354BAB61}"/>
            </c:ext>
          </c:extLst>
        </c:ser>
        <c:ser>
          <c:idx val="1"/>
          <c:order val="1"/>
          <c:tx>
            <c:strRef>
              <c:f>'Pipeline Coverage'!$D$35</c:f>
              <c:strCache>
                <c:ptCount val="1"/>
                <c:pt idx="0">
                  <c:v>Open Pipeline</c:v>
                </c:pt>
              </c:strCache>
            </c:strRef>
          </c:tx>
          <c:spPr>
            <a:solidFill>
              <a:srgbClr val="9BC2E6"/>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'Pipeline Coverage'!$A$36:$A$39</c:f>
              <c:strCache>
                <c:ptCount val="4"/>
                <c:pt idx="0">
                  <c:v>Inside Sales</c:v>
                </c:pt>
                <c:pt idx="1">
                  <c:v>Mid-Market</c:v>
                </c:pt>
                <c:pt idx="2">
                  <c:v>Enterprise</c:v>
                </c:pt>
                <c:pt idx="3">
                  <c:v>Strategic</c:v>
                </c:pt>
              </c:strCache>
            </c:strRef>
          </c:cat>
          <c:val>
            <c:numRef>
              <c:f>'Pipeline Coverage'!$D$36:$D$39</c:f>
              <c:numCache>
                <c:formatCode>\$#,##0</c:formatCode>
                <c:ptCount val="4"/>
                <c:pt idx="0">
                  <c:v>734400</c:v>
                </c:pt>
                <c:pt idx="1">
                  <c:v>1245800</c:v>
                </c:pt>
                <c:pt idx="2">
                  <c:v>2761100</c:v>
                </c:pt>
                <c:pt idx="3">
                  <c:v>2533800</c:v>
                </c:pt>
              </c:numCache>
            </c:numRef>
          </c:val>
          <c:extLst>
            <c:ext xmlns:c16="http://schemas.microsoft.com/office/drawing/2014/chart" uri="{C3380CC4-5D6E-409C-BE32-E72D297353CC}">
              <c16:uniqueId val="{00000001-E018-1540-8324-24CE354BAB61}"/>
            </c:ext>
          </c:extLst>
        </c:ser>
        <c:dLbls>
          <c:showLegendKey val="0"/>
          <c:showVal val="0"/>
          <c:showCatName val="0"/>
          <c:showSerName val="0"/>
          <c:showPercent val="0"/>
          <c:showBubbleSize val="0"/>
        </c:dLbls>
        <c:gapWidth val="150"/>
        <c:axId val="95159897"/>
        <c:axId val="97324551"/>
      </c:barChart>
      <c:catAx>
        <c:axId val="95159897"/>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7324551"/>
        <c:crosses val="autoZero"/>
        <c:auto val="1"/>
        <c:lblAlgn val="ctr"/>
        <c:lblOffset val="100"/>
        <c:noMultiLvlLbl val="0"/>
      </c:catAx>
      <c:valAx>
        <c:axId val="97324551"/>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USD</a:t>
                </a:r>
              </a:p>
            </c:rich>
          </c:tx>
          <c:overlay val="0"/>
          <c:spPr>
            <a:noFill/>
            <a:ln w="0">
              <a:noFill/>
            </a:ln>
          </c:spPr>
        </c:title>
        <c:numFmt formatCode="\$#,##0"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515989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Coverage Ratio by Team vs. Target</a:t>
            </a:r>
          </a:p>
        </c:rich>
      </c:tx>
      <c:overlay val="0"/>
      <c:spPr>
        <a:noFill/>
        <a:ln w="0">
          <a:noFill/>
        </a:ln>
      </c:spPr>
    </c:title>
    <c:autoTitleDeleted val="0"/>
    <c:plotArea>
      <c:layout/>
      <c:barChart>
        <c:barDir val="col"/>
        <c:grouping val="clustered"/>
        <c:varyColors val="0"/>
        <c:ser>
          <c:idx val="0"/>
          <c:order val="0"/>
          <c:tx>
            <c:strRef>
              <c:f>'Pipeline Coverage'!$E$35</c:f>
              <c:strCache>
                <c:ptCount val="1"/>
                <c:pt idx="0">
                  <c:v>Coverage Ratio</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'Pipeline Coverage'!$A$36:$A$39</c:f>
              <c:strCache>
                <c:ptCount val="4"/>
                <c:pt idx="0">
                  <c:v>Inside Sales</c:v>
                </c:pt>
                <c:pt idx="1">
                  <c:v>Mid-Market</c:v>
                </c:pt>
                <c:pt idx="2">
                  <c:v>Enterprise</c:v>
                </c:pt>
                <c:pt idx="3">
                  <c:v>Strategic</c:v>
                </c:pt>
              </c:strCache>
            </c:strRef>
          </c:cat>
          <c:val>
            <c:numRef>
              <c:f>'Pipeline Coverage'!$E$36:$E$39</c:f>
              <c:numCache>
                <c:formatCode>0.0\x</c:formatCode>
                <c:ptCount val="4"/>
                <c:pt idx="0">
                  <c:v>1.6721311475409837</c:v>
                </c:pt>
                <c:pt idx="1">
                  <c:v>2.9196156550269512</c:v>
                </c:pt>
                <c:pt idx="2">
                  <c:v>11.911561691113029</c:v>
                </c:pt>
                <c:pt idx="3">
                  <c:v>5.0134546893549663</c:v>
                </c:pt>
              </c:numCache>
            </c:numRef>
          </c:val>
          <c:extLst>
            <c:ext xmlns:c16="http://schemas.microsoft.com/office/drawing/2014/chart" uri="{C3380CC4-5D6E-409C-BE32-E72D297353CC}">
              <c16:uniqueId val="{00000000-6B45-4544-AFFA-E83DF01286EF}"/>
            </c:ext>
          </c:extLst>
        </c:ser>
        <c:dLbls>
          <c:showLegendKey val="0"/>
          <c:showVal val="0"/>
          <c:showCatName val="0"/>
          <c:showSerName val="0"/>
          <c:showPercent val="0"/>
          <c:showBubbleSize val="0"/>
        </c:dLbls>
        <c:gapWidth val="150"/>
        <c:axId val="63731129"/>
        <c:axId val="37384804"/>
      </c:barChart>
      <c:lineChart>
        <c:grouping val="standard"/>
        <c:varyColors val="0"/>
        <c:ser>
          <c:idx val="1"/>
          <c:order val="1"/>
          <c:tx>
            <c:strRef>
              <c:f>'Pipeline Coverage'!$F$35</c:f>
              <c:strCache>
                <c:ptCount val="1"/>
                <c:pt idx="0">
                  <c:v>Target</c:v>
                </c:pt>
              </c:strCache>
            </c:strRef>
          </c:tx>
          <c:spPr>
            <a:ln w="24840">
              <a:solidFill>
                <a:srgbClr val="C0504D"/>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'Pipeline Coverage'!$A$36:$A$39</c:f>
              <c:strCache>
                <c:ptCount val="4"/>
                <c:pt idx="0">
                  <c:v>Inside Sales</c:v>
                </c:pt>
                <c:pt idx="1">
                  <c:v>Mid-Market</c:v>
                </c:pt>
                <c:pt idx="2">
                  <c:v>Enterprise</c:v>
                </c:pt>
                <c:pt idx="3">
                  <c:v>Strategic</c:v>
                </c:pt>
              </c:strCache>
            </c:strRef>
          </c:cat>
          <c:val>
            <c:numRef>
              <c:f>'Pipeline Coverage'!$F$36:$F$39</c:f>
              <c:numCache>
                <c:formatCode>0.0\x</c:formatCode>
                <c:ptCount val="4"/>
                <c:pt idx="0">
                  <c:v>3</c:v>
                </c:pt>
                <c:pt idx="1">
                  <c:v>3</c:v>
                </c:pt>
                <c:pt idx="2">
                  <c:v>3</c:v>
                </c:pt>
                <c:pt idx="3">
                  <c:v>3</c:v>
                </c:pt>
              </c:numCache>
            </c:numRef>
          </c:val>
          <c:smooth val="0"/>
          <c:extLst>
            <c:ext xmlns:c16="http://schemas.microsoft.com/office/drawing/2014/chart" uri="{C3380CC4-5D6E-409C-BE32-E72D297353CC}">
              <c16:uniqueId val="{00000001-6B45-4544-AFFA-E83DF01286EF}"/>
            </c:ext>
          </c:extLst>
        </c:ser>
        <c:dLbls>
          <c:showLegendKey val="0"/>
          <c:showVal val="0"/>
          <c:showCatName val="0"/>
          <c:showSerName val="0"/>
          <c:showPercent val="0"/>
          <c:showBubbleSize val="0"/>
        </c:dLbls>
        <c:hiLowLines>
          <c:spPr>
            <a:ln w="0">
              <a:noFill/>
            </a:ln>
          </c:spPr>
        </c:hiLowLines>
        <c:marker val="1"/>
        <c:smooth val="0"/>
        <c:axId val="63731129"/>
        <c:axId val="37384804"/>
      </c:lineChart>
      <c:catAx>
        <c:axId val="63731129"/>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7384804"/>
        <c:crosses val="autoZero"/>
        <c:auto val="1"/>
        <c:lblAlgn val="ctr"/>
        <c:lblOffset val="100"/>
        <c:noMultiLvlLbl val="0"/>
      </c:catAx>
      <c:valAx>
        <c:axId val="37384804"/>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Coverage Ratio (x)</a:t>
                </a:r>
              </a:p>
            </c:rich>
          </c:tx>
          <c:overlay val="0"/>
          <c:spPr>
            <a:noFill/>
            <a:ln w="0">
              <a:noFill/>
            </a:ln>
          </c:spPr>
        </c:title>
        <c:numFmt formatCode="0.0\x"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373112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Coverage Ratio by Region vs. Target</a:t>
            </a:r>
          </a:p>
        </c:rich>
      </c:tx>
      <c:overlay val="0"/>
      <c:spPr>
        <a:noFill/>
        <a:ln w="0">
          <a:noFill/>
        </a:ln>
      </c:spPr>
    </c:title>
    <c:autoTitleDeleted val="0"/>
    <c:plotArea>
      <c:layout/>
      <c:barChart>
        <c:barDir val="col"/>
        <c:grouping val="clustered"/>
        <c:varyColors val="0"/>
        <c:ser>
          <c:idx val="0"/>
          <c:order val="0"/>
          <c:tx>
            <c:strRef>
              <c:f>'Pipeline Coverage'!$L$35</c:f>
              <c:strCache>
                <c:ptCount val="1"/>
                <c:pt idx="0">
                  <c:v>Coverage Ratio</c:v>
                </c:pt>
              </c:strCache>
            </c:strRef>
          </c:tx>
          <c:spPr>
            <a:solidFill>
              <a:srgbClr val="9BBB59"/>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'Pipeline Coverage'!$H$36:$H$39</c:f>
              <c:strCache>
                <c:ptCount val="4"/>
                <c:pt idx="0">
                  <c:v>NAMER</c:v>
                </c:pt>
                <c:pt idx="1">
                  <c:v>EMEA</c:v>
                </c:pt>
                <c:pt idx="2">
                  <c:v>APAC</c:v>
                </c:pt>
                <c:pt idx="3">
                  <c:v>LATAM</c:v>
                </c:pt>
              </c:strCache>
            </c:strRef>
          </c:cat>
          <c:val>
            <c:numRef>
              <c:f>'Pipeline Coverage'!$L$36:$L$39</c:f>
              <c:numCache>
                <c:formatCode>0.0\x</c:formatCode>
                <c:ptCount val="4"/>
                <c:pt idx="0">
                  <c:v>5.6749669873608752</c:v>
                </c:pt>
                <c:pt idx="1">
                  <c:v>5.5437302423603789</c:v>
                </c:pt>
                <c:pt idx="2">
                  <c:v>3.8864620598757296</c:v>
                </c:pt>
                <c:pt idx="3">
                  <c:v>3.2675376313547289</c:v>
                </c:pt>
              </c:numCache>
            </c:numRef>
          </c:val>
          <c:extLst>
            <c:ext xmlns:c16="http://schemas.microsoft.com/office/drawing/2014/chart" uri="{C3380CC4-5D6E-409C-BE32-E72D297353CC}">
              <c16:uniqueId val="{00000000-0C6A-D44A-B525-25ED3290AC65}"/>
            </c:ext>
          </c:extLst>
        </c:ser>
        <c:dLbls>
          <c:showLegendKey val="0"/>
          <c:showVal val="0"/>
          <c:showCatName val="0"/>
          <c:showSerName val="0"/>
          <c:showPercent val="0"/>
          <c:showBubbleSize val="0"/>
        </c:dLbls>
        <c:gapWidth val="150"/>
        <c:axId val="1250574"/>
        <c:axId val="7076998"/>
      </c:barChart>
      <c:lineChart>
        <c:grouping val="standard"/>
        <c:varyColors val="0"/>
        <c:ser>
          <c:idx val="1"/>
          <c:order val="1"/>
          <c:tx>
            <c:strRef>
              <c:f>'Pipeline Coverage'!$M$35</c:f>
              <c:strCache>
                <c:ptCount val="1"/>
                <c:pt idx="0">
                  <c:v>Target</c:v>
                </c:pt>
              </c:strCache>
            </c:strRef>
          </c:tx>
          <c:spPr>
            <a:ln w="24840">
              <a:solidFill>
                <a:srgbClr val="C0504D"/>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'Pipeline Coverage'!$H$36:$H$39</c:f>
              <c:strCache>
                <c:ptCount val="4"/>
                <c:pt idx="0">
                  <c:v>NAMER</c:v>
                </c:pt>
                <c:pt idx="1">
                  <c:v>EMEA</c:v>
                </c:pt>
                <c:pt idx="2">
                  <c:v>APAC</c:v>
                </c:pt>
                <c:pt idx="3">
                  <c:v>LATAM</c:v>
                </c:pt>
              </c:strCache>
            </c:strRef>
          </c:cat>
          <c:val>
            <c:numRef>
              <c:f>'Pipeline Coverage'!$M$36:$M$39</c:f>
              <c:numCache>
                <c:formatCode>0.0\x</c:formatCode>
                <c:ptCount val="4"/>
                <c:pt idx="0">
                  <c:v>3</c:v>
                </c:pt>
                <c:pt idx="1">
                  <c:v>3</c:v>
                </c:pt>
                <c:pt idx="2">
                  <c:v>3</c:v>
                </c:pt>
                <c:pt idx="3">
                  <c:v>3</c:v>
                </c:pt>
              </c:numCache>
            </c:numRef>
          </c:val>
          <c:smooth val="0"/>
          <c:extLst>
            <c:ext xmlns:c16="http://schemas.microsoft.com/office/drawing/2014/chart" uri="{C3380CC4-5D6E-409C-BE32-E72D297353CC}">
              <c16:uniqueId val="{00000001-0C6A-D44A-B525-25ED3290AC65}"/>
            </c:ext>
          </c:extLst>
        </c:ser>
        <c:dLbls>
          <c:showLegendKey val="0"/>
          <c:showVal val="0"/>
          <c:showCatName val="0"/>
          <c:showSerName val="0"/>
          <c:showPercent val="0"/>
          <c:showBubbleSize val="0"/>
        </c:dLbls>
        <c:hiLowLines>
          <c:spPr>
            <a:ln w="0">
              <a:noFill/>
            </a:ln>
          </c:spPr>
        </c:hiLowLines>
        <c:marker val="1"/>
        <c:smooth val="0"/>
        <c:axId val="1250574"/>
        <c:axId val="7076998"/>
      </c:lineChart>
      <c:catAx>
        <c:axId val="1250574"/>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076998"/>
        <c:crosses val="autoZero"/>
        <c:auto val="1"/>
        <c:lblAlgn val="ctr"/>
        <c:lblOffset val="100"/>
        <c:noMultiLvlLbl val="0"/>
      </c:catAx>
      <c:valAx>
        <c:axId val="7076998"/>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Coverage Ratio (x)</a:t>
                </a:r>
              </a:p>
            </c:rich>
          </c:tx>
          <c:overlay val="0"/>
          <c:spPr>
            <a:noFill/>
            <a:ln w="0">
              <a:noFill/>
            </a:ln>
          </c:spPr>
        </c:title>
        <c:numFmt formatCode="0.0\x"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25057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Bookings Won vs. Quota: 24-Month Trend</a:t>
            </a:r>
          </a:p>
        </c:rich>
      </c:tx>
      <c:overlay val="0"/>
      <c:spPr>
        <a:noFill/>
        <a:ln w="0">
          <a:noFill/>
        </a:ln>
      </c:spPr>
    </c:title>
    <c:autoTitleDeleted val="0"/>
    <c:plotArea>
      <c:layout/>
      <c:barChart>
        <c:barDir val="col"/>
        <c:grouping val="clustered"/>
        <c:varyColors val="0"/>
        <c:ser>
          <c:idx val="0"/>
          <c:order val="0"/>
          <c:tx>
            <c:strRef>
              <c:f>'Executive Summary'!$C$201</c:f>
              <c:strCache>
                <c:ptCount val="1"/>
                <c:pt idx="0">
                  <c:v>Quota</c:v>
                </c:pt>
              </c:strCache>
            </c:strRef>
          </c:tx>
          <c:spPr>
            <a:solidFill>
              <a:srgbClr val="B8CCE4"/>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'Executive Summary'!$B$202:$B$225</c:f>
              <c:strCache>
                <c:ptCount val="24"/>
                <c:pt idx="0">
                  <c:v>Jan 2024</c:v>
                </c:pt>
                <c:pt idx="1">
                  <c:v>Feb 2024</c:v>
                </c:pt>
                <c:pt idx="2">
                  <c:v>Mar 2024</c:v>
                </c:pt>
                <c:pt idx="3">
                  <c:v>Apr 2024</c:v>
                </c:pt>
                <c:pt idx="4">
                  <c:v>May 2024</c:v>
                </c:pt>
                <c:pt idx="5">
                  <c:v>Jun 2024</c:v>
                </c:pt>
                <c:pt idx="6">
                  <c:v>Jul 2024</c:v>
                </c:pt>
                <c:pt idx="7">
                  <c:v>Aug 2024</c:v>
                </c:pt>
                <c:pt idx="8">
                  <c:v>Sep 2024</c:v>
                </c:pt>
                <c:pt idx="9">
                  <c:v>Oct 2024</c:v>
                </c:pt>
                <c:pt idx="10">
                  <c:v>Nov 2024</c:v>
                </c:pt>
                <c:pt idx="11">
                  <c:v>Dec 2024</c:v>
                </c:pt>
                <c:pt idx="12">
                  <c:v>Jan 2025</c:v>
                </c:pt>
                <c:pt idx="13">
                  <c:v>Feb 2025</c:v>
                </c:pt>
                <c:pt idx="14">
                  <c:v>Mar 2025</c:v>
                </c:pt>
                <c:pt idx="15">
                  <c:v>Apr 2025</c:v>
                </c:pt>
                <c:pt idx="16">
                  <c:v>May 2025</c:v>
                </c:pt>
                <c:pt idx="17">
                  <c:v>Jun 2025</c:v>
                </c:pt>
                <c:pt idx="18">
                  <c:v>Jul 2025</c:v>
                </c:pt>
                <c:pt idx="19">
                  <c:v>Aug 2025</c:v>
                </c:pt>
                <c:pt idx="20">
                  <c:v>Sep 2025</c:v>
                </c:pt>
                <c:pt idx="21">
                  <c:v>Oct 2025</c:v>
                </c:pt>
                <c:pt idx="22">
                  <c:v>Nov 2025</c:v>
                </c:pt>
                <c:pt idx="23">
                  <c:v>Dec 2025</c:v>
                </c:pt>
              </c:strCache>
            </c:strRef>
          </c:cat>
          <c:val>
            <c:numRef>
              <c:f>'Executive Summary'!$C$202:$C$225</c:f>
              <c:numCache>
                <c:formatCode>\$#,##0</c:formatCode>
                <c:ptCount val="24"/>
                <c:pt idx="0">
                  <c:v>573900</c:v>
                </c:pt>
                <c:pt idx="1">
                  <c:v>598300</c:v>
                </c:pt>
                <c:pt idx="2">
                  <c:v>624300</c:v>
                </c:pt>
                <c:pt idx="3">
                  <c:v>647600</c:v>
                </c:pt>
                <c:pt idx="4">
                  <c:v>665200</c:v>
                </c:pt>
                <c:pt idx="5">
                  <c:v>693900</c:v>
                </c:pt>
                <c:pt idx="6">
                  <c:v>735600</c:v>
                </c:pt>
                <c:pt idx="7">
                  <c:v>773600</c:v>
                </c:pt>
                <c:pt idx="8">
                  <c:v>794400</c:v>
                </c:pt>
                <c:pt idx="9">
                  <c:v>814200</c:v>
                </c:pt>
                <c:pt idx="10">
                  <c:v>816700</c:v>
                </c:pt>
                <c:pt idx="11">
                  <c:v>829400</c:v>
                </c:pt>
                <c:pt idx="12">
                  <c:v>827900</c:v>
                </c:pt>
                <c:pt idx="13">
                  <c:v>850500</c:v>
                </c:pt>
                <c:pt idx="14">
                  <c:v>863300</c:v>
                </c:pt>
                <c:pt idx="15">
                  <c:v>881000</c:v>
                </c:pt>
                <c:pt idx="16">
                  <c:v>912800</c:v>
                </c:pt>
                <c:pt idx="17">
                  <c:v>945900</c:v>
                </c:pt>
                <c:pt idx="18">
                  <c:v>1003700</c:v>
                </c:pt>
                <c:pt idx="19">
                  <c:v>1021700</c:v>
                </c:pt>
                <c:pt idx="20">
                  <c:v>1065600</c:v>
                </c:pt>
                <c:pt idx="21">
                  <c:v>1031300</c:v>
                </c:pt>
                <c:pt idx="22">
                  <c:v>991100</c:v>
                </c:pt>
                <c:pt idx="23">
                  <c:v>992100</c:v>
                </c:pt>
              </c:numCache>
            </c:numRef>
          </c:val>
          <c:extLst>
            <c:ext xmlns:c16="http://schemas.microsoft.com/office/drawing/2014/chart" uri="{C3380CC4-5D6E-409C-BE32-E72D297353CC}">
              <c16:uniqueId val="{00000000-9BD0-5944-9BC3-9FBFF20DDF55}"/>
            </c:ext>
          </c:extLst>
        </c:ser>
        <c:ser>
          <c:idx val="1"/>
          <c:order val="1"/>
          <c:tx>
            <c:strRef>
              <c:f>'Executive Summary'!$D$201</c:f>
              <c:strCache>
                <c:ptCount val="1"/>
                <c:pt idx="0">
                  <c:v>Bookings Won</c:v>
                </c:pt>
              </c:strCache>
            </c:strRef>
          </c:tx>
          <c:spPr>
            <a:solidFill>
              <a:srgbClr val="1F497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'Executive Summary'!$B$202:$B$225</c:f>
              <c:strCache>
                <c:ptCount val="24"/>
                <c:pt idx="0">
                  <c:v>Jan 2024</c:v>
                </c:pt>
                <c:pt idx="1">
                  <c:v>Feb 2024</c:v>
                </c:pt>
                <c:pt idx="2">
                  <c:v>Mar 2024</c:v>
                </c:pt>
                <c:pt idx="3">
                  <c:v>Apr 2024</c:v>
                </c:pt>
                <c:pt idx="4">
                  <c:v>May 2024</c:v>
                </c:pt>
                <c:pt idx="5">
                  <c:v>Jun 2024</c:v>
                </c:pt>
                <c:pt idx="6">
                  <c:v>Jul 2024</c:v>
                </c:pt>
                <c:pt idx="7">
                  <c:v>Aug 2024</c:v>
                </c:pt>
                <c:pt idx="8">
                  <c:v>Sep 2024</c:v>
                </c:pt>
                <c:pt idx="9">
                  <c:v>Oct 2024</c:v>
                </c:pt>
                <c:pt idx="10">
                  <c:v>Nov 2024</c:v>
                </c:pt>
                <c:pt idx="11">
                  <c:v>Dec 2024</c:v>
                </c:pt>
                <c:pt idx="12">
                  <c:v>Jan 2025</c:v>
                </c:pt>
                <c:pt idx="13">
                  <c:v>Feb 2025</c:v>
                </c:pt>
                <c:pt idx="14">
                  <c:v>Mar 2025</c:v>
                </c:pt>
                <c:pt idx="15">
                  <c:v>Apr 2025</c:v>
                </c:pt>
                <c:pt idx="16">
                  <c:v>May 2025</c:v>
                </c:pt>
                <c:pt idx="17">
                  <c:v>Jun 2025</c:v>
                </c:pt>
                <c:pt idx="18">
                  <c:v>Jul 2025</c:v>
                </c:pt>
                <c:pt idx="19">
                  <c:v>Aug 2025</c:v>
                </c:pt>
                <c:pt idx="20">
                  <c:v>Sep 2025</c:v>
                </c:pt>
                <c:pt idx="21">
                  <c:v>Oct 2025</c:v>
                </c:pt>
                <c:pt idx="22">
                  <c:v>Nov 2025</c:v>
                </c:pt>
                <c:pt idx="23">
                  <c:v>Dec 2025</c:v>
                </c:pt>
              </c:strCache>
            </c:strRef>
          </c:cat>
          <c:val>
            <c:numRef>
              <c:f>'Executive Summary'!$D$202:$D$225</c:f>
              <c:numCache>
                <c:formatCode>\$#,##0</c:formatCode>
                <c:ptCount val="24"/>
                <c:pt idx="0">
                  <c:v>81300</c:v>
                </c:pt>
                <c:pt idx="1">
                  <c:v>299400</c:v>
                </c:pt>
                <c:pt idx="2">
                  <c:v>453100</c:v>
                </c:pt>
                <c:pt idx="3">
                  <c:v>483600</c:v>
                </c:pt>
                <c:pt idx="4">
                  <c:v>573900</c:v>
                </c:pt>
                <c:pt idx="5">
                  <c:v>598700</c:v>
                </c:pt>
                <c:pt idx="6">
                  <c:v>961100</c:v>
                </c:pt>
                <c:pt idx="7">
                  <c:v>634700</c:v>
                </c:pt>
                <c:pt idx="8">
                  <c:v>535500</c:v>
                </c:pt>
                <c:pt idx="9">
                  <c:v>816600</c:v>
                </c:pt>
                <c:pt idx="10">
                  <c:v>874600</c:v>
                </c:pt>
                <c:pt idx="11">
                  <c:v>1196100</c:v>
                </c:pt>
                <c:pt idx="12">
                  <c:v>1412000</c:v>
                </c:pt>
                <c:pt idx="13">
                  <c:v>803800</c:v>
                </c:pt>
                <c:pt idx="14">
                  <c:v>964300</c:v>
                </c:pt>
                <c:pt idx="15">
                  <c:v>728800</c:v>
                </c:pt>
                <c:pt idx="16">
                  <c:v>932800</c:v>
                </c:pt>
                <c:pt idx="17">
                  <c:v>706000</c:v>
                </c:pt>
                <c:pt idx="18">
                  <c:v>806000</c:v>
                </c:pt>
                <c:pt idx="19">
                  <c:v>1086400</c:v>
                </c:pt>
                <c:pt idx="20">
                  <c:v>1155500</c:v>
                </c:pt>
                <c:pt idx="21">
                  <c:v>1066300</c:v>
                </c:pt>
                <c:pt idx="22">
                  <c:v>1312500</c:v>
                </c:pt>
                <c:pt idx="23">
                  <c:v>1419000</c:v>
                </c:pt>
              </c:numCache>
            </c:numRef>
          </c:val>
          <c:extLst>
            <c:ext xmlns:c16="http://schemas.microsoft.com/office/drawing/2014/chart" uri="{C3380CC4-5D6E-409C-BE32-E72D297353CC}">
              <c16:uniqueId val="{00000001-9BD0-5944-9BC3-9FBFF20DDF55}"/>
            </c:ext>
          </c:extLst>
        </c:ser>
        <c:dLbls>
          <c:showLegendKey val="0"/>
          <c:showVal val="0"/>
          <c:showCatName val="0"/>
          <c:showSerName val="0"/>
          <c:showPercent val="0"/>
          <c:showBubbleSize val="0"/>
        </c:dLbls>
        <c:gapWidth val="150"/>
        <c:axId val="7288081"/>
        <c:axId val="73142819"/>
      </c:barChart>
      <c:lineChart>
        <c:grouping val="standard"/>
        <c:varyColors val="0"/>
        <c:ser>
          <c:idx val="2"/>
          <c:order val="2"/>
          <c:tx>
            <c:strRef>
              <c:f>'Executive Summary'!$E$201</c:f>
              <c:strCache>
                <c:ptCount val="1"/>
                <c:pt idx="0">
                  <c:v>Attainment %</c:v>
                </c:pt>
              </c:strCache>
            </c:strRef>
          </c:tx>
          <c:spPr>
            <a:ln w="24840">
              <a:solidFill>
                <a:srgbClr val="F79646"/>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'Executive Summary'!$B$202:$B$225</c:f>
              <c:strCache>
                <c:ptCount val="24"/>
                <c:pt idx="0">
                  <c:v>Jan 2024</c:v>
                </c:pt>
                <c:pt idx="1">
                  <c:v>Feb 2024</c:v>
                </c:pt>
                <c:pt idx="2">
                  <c:v>Mar 2024</c:v>
                </c:pt>
                <c:pt idx="3">
                  <c:v>Apr 2024</c:v>
                </c:pt>
                <c:pt idx="4">
                  <c:v>May 2024</c:v>
                </c:pt>
                <c:pt idx="5">
                  <c:v>Jun 2024</c:v>
                </c:pt>
                <c:pt idx="6">
                  <c:v>Jul 2024</c:v>
                </c:pt>
                <c:pt idx="7">
                  <c:v>Aug 2024</c:v>
                </c:pt>
                <c:pt idx="8">
                  <c:v>Sep 2024</c:v>
                </c:pt>
                <c:pt idx="9">
                  <c:v>Oct 2024</c:v>
                </c:pt>
                <c:pt idx="10">
                  <c:v>Nov 2024</c:v>
                </c:pt>
                <c:pt idx="11">
                  <c:v>Dec 2024</c:v>
                </c:pt>
                <c:pt idx="12">
                  <c:v>Jan 2025</c:v>
                </c:pt>
                <c:pt idx="13">
                  <c:v>Feb 2025</c:v>
                </c:pt>
                <c:pt idx="14">
                  <c:v>Mar 2025</c:v>
                </c:pt>
                <c:pt idx="15">
                  <c:v>Apr 2025</c:v>
                </c:pt>
                <c:pt idx="16">
                  <c:v>May 2025</c:v>
                </c:pt>
                <c:pt idx="17">
                  <c:v>Jun 2025</c:v>
                </c:pt>
                <c:pt idx="18">
                  <c:v>Jul 2025</c:v>
                </c:pt>
                <c:pt idx="19">
                  <c:v>Aug 2025</c:v>
                </c:pt>
                <c:pt idx="20">
                  <c:v>Sep 2025</c:v>
                </c:pt>
                <c:pt idx="21">
                  <c:v>Oct 2025</c:v>
                </c:pt>
                <c:pt idx="22">
                  <c:v>Nov 2025</c:v>
                </c:pt>
                <c:pt idx="23">
                  <c:v>Dec 2025</c:v>
                </c:pt>
              </c:strCache>
            </c:strRef>
          </c:cat>
          <c:val>
            <c:numRef>
              <c:f>'Executive Summary'!$E$202:$E$225</c:f>
              <c:numCache>
                <c:formatCode>0.0%</c:formatCode>
                <c:ptCount val="24"/>
                <c:pt idx="0">
                  <c:v>0.14166231050705697</c:v>
                </c:pt>
                <c:pt idx="1">
                  <c:v>0.50041785057663379</c:v>
                </c:pt>
                <c:pt idx="2">
                  <c:v>0.72577286560948262</c:v>
                </c:pt>
                <c:pt idx="3">
                  <c:v>0.74675725756639899</c:v>
                </c:pt>
                <c:pt idx="4">
                  <c:v>0.8627480457005412</c:v>
                </c:pt>
                <c:pt idx="5">
                  <c:v>0.86280443867992507</c:v>
                </c:pt>
                <c:pt idx="6">
                  <c:v>1.306552474170745</c:v>
                </c:pt>
                <c:pt idx="7">
                  <c:v>0.82044984488107553</c:v>
                </c:pt>
                <c:pt idx="8">
                  <c:v>0.67409365558912382</c:v>
                </c:pt>
                <c:pt idx="9">
                  <c:v>1.0029476787030214</c:v>
                </c:pt>
                <c:pt idx="10">
                  <c:v>1.0708950655075302</c:v>
                </c:pt>
                <c:pt idx="11">
                  <c:v>1.4421268386785628</c:v>
                </c:pt>
                <c:pt idx="12">
                  <c:v>1.7055199903369973</c:v>
                </c:pt>
                <c:pt idx="13">
                  <c:v>0.94509112286890062</c:v>
                </c:pt>
                <c:pt idx="14">
                  <c:v>1.1169929340901192</c:v>
                </c:pt>
                <c:pt idx="15">
                  <c:v>0.82724177071509652</c:v>
                </c:pt>
                <c:pt idx="16">
                  <c:v>1.0219106047326907</c:v>
                </c:pt>
                <c:pt idx="17">
                  <c:v>0.74637910984247802</c:v>
                </c:pt>
                <c:pt idx="18">
                  <c:v>0.80302879346418254</c:v>
                </c:pt>
                <c:pt idx="19">
                  <c:v>1.0633258294998531</c:v>
                </c:pt>
                <c:pt idx="20">
                  <c:v>1.0843656156156156</c:v>
                </c:pt>
                <c:pt idx="21">
                  <c:v>1.0339377484728014</c:v>
                </c:pt>
                <c:pt idx="22">
                  <c:v>1.3242861467056806</c:v>
                </c:pt>
                <c:pt idx="23">
                  <c:v>1.4302993649833686</c:v>
                </c:pt>
              </c:numCache>
            </c:numRef>
          </c:val>
          <c:smooth val="0"/>
          <c:extLst>
            <c:ext xmlns:c16="http://schemas.microsoft.com/office/drawing/2014/chart" uri="{C3380CC4-5D6E-409C-BE32-E72D297353CC}">
              <c16:uniqueId val="{00000002-9BD0-5944-9BC3-9FBFF20DDF55}"/>
            </c:ext>
          </c:extLst>
        </c:ser>
        <c:dLbls>
          <c:showLegendKey val="0"/>
          <c:showVal val="0"/>
          <c:showCatName val="0"/>
          <c:showSerName val="0"/>
          <c:showPercent val="0"/>
          <c:showBubbleSize val="0"/>
        </c:dLbls>
        <c:hiLowLines>
          <c:spPr>
            <a:ln w="0">
              <a:noFill/>
            </a:ln>
          </c:spPr>
        </c:hiLowLines>
        <c:marker val="1"/>
        <c:smooth val="0"/>
        <c:axId val="28069087"/>
        <c:axId val="19383929"/>
      </c:lineChart>
      <c:catAx>
        <c:axId val="7288081"/>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3142819"/>
        <c:crosses val="autoZero"/>
        <c:auto val="1"/>
        <c:lblAlgn val="ctr"/>
        <c:lblOffset val="100"/>
        <c:noMultiLvlLbl val="0"/>
      </c:catAx>
      <c:valAx>
        <c:axId val="7314281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USD</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288081"/>
        <c:crosses val="autoZero"/>
        <c:crossBetween val="between"/>
      </c:valAx>
      <c:catAx>
        <c:axId val="28069087"/>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9383929"/>
        <c:crosses val="autoZero"/>
        <c:auto val="1"/>
        <c:lblAlgn val="ctr"/>
        <c:lblOffset val="100"/>
        <c:noMultiLvlLbl val="0"/>
      </c:catAx>
      <c:valAx>
        <c:axId val="19383929"/>
        <c:scaling>
          <c:orientation val="minMax"/>
        </c:scaling>
        <c:delete val="0"/>
        <c:axPos val="r"/>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Attainment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8069087"/>
        <c:crosses val="max"/>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Pipeline Generated: 24-Month Trend</a:t>
            </a:r>
          </a:p>
        </c:rich>
      </c:tx>
      <c:overlay val="0"/>
      <c:spPr>
        <a:noFill/>
        <a:ln w="0">
          <a:noFill/>
        </a:ln>
      </c:spPr>
    </c:title>
    <c:autoTitleDeleted val="0"/>
    <c:plotArea>
      <c:layout/>
      <c:lineChart>
        <c:grouping val="standard"/>
        <c:varyColors val="0"/>
        <c:ser>
          <c:idx val="0"/>
          <c:order val="0"/>
          <c:tx>
            <c:strRef>
              <c:f>'Executive Summary'!$F$201</c:f>
              <c:strCache>
                <c:ptCount val="1"/>
                <c:pt idx="0">
                  <c:v>Pipeline Generated</c:v>
                </c:pt>
              </c:strCache>
            </c:strRef>
          </c:tx>
          <c:spPr>
            <a:ln w="21960">
              <a:solidFill>
                <a:srgbClr val="4F81BD"/>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'Executive Summary'!$B$202:$B$225</c:f>
              <c:strCache>
                <c:ptCount val="24"/>
                <c:pt idx="0">
                  <c:v>Jan 2024</c:v>
                </c:pt>
                <c:pt idx="1">
                  <c:v>Feb 2024</c:v>
                </c:pt>
                <c:pt idx="2">
                  <c:v>Mar 2024</c:v>
                </c:pt>
                <c:pt idx="3">
                  <c:v>Apr 2024</c:v>
                </c:pt>
                <c:pt idx="4">
                  <c:v>May 2024</c:v>
                </c:pt>
                <c:pt idx="5">
                  <c:v>Jun 2024</c:v>
                </c:pt>
                <c:pt idx="6">
                  <c:v>Jul 2024</c:v>
                </c:pt>
                <c:pt idx="7">
                  <c:v>Aug 2024</c:v>
                </c:pt>
                <c:pt idx="8">
                  <c:v>Sep 2024</c:v>
                </c:pt>
                <c:pt idx="9">
                  <c:v>Oct 2024</c:v>
                </c:pt>
                <c:pt idx="10">
                  <c:v>Nov 2024</c:v>
                </c:pt>
                <c:pt idx="11">
                  <c:v>Dec 2024</c:v>
                </c:pt>
                <c:pt idx="12">
                  <c:v>Jan 2025</c:v>
                </c:pt>
                <c:pt idx="13">
                  <c:v>Feb 2025</c:v>
                </c:pt>
                <c:pt idx="14">
                  <c:v>Mar 2025</c:v>
                </c:pt>
                <c:pt idx="15">
                  <c:v>Apr 2025</c:v>
                </c:pt>
                <c:pt idx="16">
                  <c:v>May 2025</c:v>
                </c:pt>
                <c:pt idx="17">
                  <c:v>Jun 2025</c:v>
                </c:pt>
                <c:pt idx="18">
                  <c:v>Jul 2025</c:v>
                </c:pt>
                <c:pt idx="19">
                  <c:v>Aug 2025</c:v>
                </c:pt>
                <c:pt idx="20">
                  <c:v>Sep 2025</c:v>
                </c:pt>
                <c:pt idx="21">
                  <c:v>Oct 2025</c:v>
                </c:pt>
                <c:pt idx="22">
                  <c:v>Nov 2025</c:v>
                </c:pt>
                <c:pt idx="23">
                  <c:v>Dec 2025</c:v>
                </c:pt>
              </c:strCache>
            </c:strRef>
          </c:cat>
          <c:val>
            <c:numRef>
              <c:f>'Executive Summary'!$F$202:$F$225</c:f>
              <c:numCache>
                <c:formatCode>\$#,##0</c:formatCode>
                <c:ptCount val="24"/>
                <c:pt idx="0">
                  <c:v>1605300</c:v>
                </c:pt>
                <c:pt idx="1">
                  <c:v>1791600</c:v>
                </c:pt>
                <c:pt idx="2">
                  <c:v>1719600</c:v>
                </c:pt>
                <c:pt idx="3">
                  <c:v>2236300</c:v>
                </c:pt>
                <c:pt idx="4">
                  <c:v>2015800</c:v>
                </c:pt>
                <c:pt idx="5">
                  <c:v>2268000</c:v>
                </c:pt>
                <c:pt idx="6">
                  <c:v>1722000</c:v>
                </c:pt>
                <c:pt idx="7">
                  <c:v>1619600</c:v>
                </c:pt>
                <c:pt idx="8">
                  <c:v>2543700</c:v>
                </c:pt>
                <c:pt idx="9">
                  <c:v>3671400</c:v>
                </c:pt>
                <c:pt idx="10">
                  <c:v>3628500</c:v>
                </c:pt>
                <c:pt idx="11">
                  <c:v>3499800</c:v>
                </c:pt>
                <c:pt idx="12">
                  <c:v>2539100</c:v>
                </c:pt>
                <c:pt idx="13">
                  <c:v>2702700</c:v>
                </c:pt>
                <c:pt idx="14">
                  <c:v>3188500</c:v>
                </c:pt>
                <c:pt idx="15">
                  <c:v>3031700</c:v>
                </c:pt>
                <c:pt idx="16">
                  <c:v>3151800</c:v>
                </c:pt>
                <c:pt idx="17">
                  <c:v>3239700</c:v>
                </c:pt>
                <c:pt idx="18">
                  <c:v>3197100</c:v>
                </c:pt>
                <c:pt idx="19">
                  <c:v>2518200</c:v>
                </c:pt>
                <c:pt idx="20">
                  <c:v>3768800</c:v>
                </c:pt>
                <c:pt idx="21">
                  <c:v>4770400</c:v>
                </c:pt>
                <c:pt idx="22">
                  <c:v>4408100</c:v>
                </c:pt>
                <c:pt idx="23">
                  <c:v>4503800</c:v>
                </c:pt>
              </c:numCache>
            </c:numRef>
          </c:val>
          <c:smooth val="0"/>
          <c:extLst>
            <c:ext xmlns:c16="http://schemas.microsoft.com/office/drawing/2014/chart" uri="{C3380CC4-5D6E-409C-BE32-E72D297353CC}">
              <c16:uniqueId val="{00000000-A5C2-F346-8BBA-DC8D3AF0DAF6}"/>
            </c:ext>
          </c:extLst>
        </c:ser>
        <c:dLbls>
          <c:showLegendKey val="0"/>
          <c:showVal val="0"/>
          <c:showCatName val="0"/>
          <c:showSerName val="0"/>
          <c:showPercent val="0"/>
          <c:showBubbleSize val="0"/>
        </c:dLbls>
        <c:hiLowLines>
          <c:spPr>
            <a:ln w="0">
              <a:noFill/>
            </a:ln>
          </c:spPr>
        </c:hiLowLines>
        <c:smooth val="0"/>
        <c:axId val="27029941"/>
        <c:axId val="39731148"/>
      </c:lineChart>
      <c:catAx>
        <c:axId val="27029941"/>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9731148"/>
        <c:crosses val="autoZero"/>
        <c:auto val="1"/>
        <c:lblAlgn val="ctr"/>
        <c:lblOffset val="100"/>
        <c:noMultiLvlLbl val="0"/>
      </c:catAx>
      <c:valAx>
        <c:axId val="3973114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USD</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702994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Attainment % by Team</a:t>
            </a:r>
          </a:p>
        </c:rich>
      </c:tx>
      <c:overlay val="0"/>
      <c:spPr>
        <a:noFill/>
        <a:ln w="0">
          <a:noFill/>
        </a:ln>
      </c:spPr>
    </c:title>
    <c:autoTitleDeleted val="0"/>
    <c:plotArea>
      <c:layout/>
      <c:barChart>
        <c:barDir val="col"/>
        <c:grouping val="clustered"/>
        <c:varyColors val="0"/>
        <c:ser>
          <c:idx val="0"/>
          <c:order val="0"/>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'Executive Summary'!$A$89:$A$92</c:f>
              <c:strCache>
                <c:ptCount val="4"/>
                <c:pt idx="0">
                  <c:v>Inside Sales</c:v>
                </c:pt>
                <c:pt idx="1">
                  <c:v>Mid-Market</c:v>
                </c:pt>
                <c:pt idx="2">
                  <c:v>Enterprise</c:v>
                </c:pt>
                <c:pt idx="3">
                  <c:v>Strategic</c:v>
                </c:pt>
              </c:strCache>
            </c:strRef>
          </c:cat>
          <c:val>
            <c:numRef>
              <c:f>'Executive Summary'!$E$89:$E$92</c:f>
              <c:numCache>
                <c:formatCode>0.0%</c:formatCode>
                <c:ptCount val="4"/>
                <c:pt idx="0">
                  <c:v>0.96926650823743021</c:v>
                </c:pt>
                <c:pt idx="1">
                  <c:v>1.0957016747793087</c:v>
                </c:pt>
                <c:pt idx="2">
                  <c:v>1.1529847064627528</c:v>
                </c:pt>
                <c:pt idx="3">
                  <c:v>0.94689666835785558</c:v>
                </c:pt>
              </c:numCache>
            </c:numRef>
          </c:val>
          <c:extLst>
            <c:ext xmlns:c16="http://schemas.microsoft.com/office/drawing/2014/chart" uri="{C3380CC4-5D6E-409C-BE32-E72D297353CC}">
              <c16:uniqueId val="{00000000-8F5C-2649-AB08-0281DAF3F980}"/>
            </c:ext>
          </c:extLst>
        </c:ser>
        <c:dLbls>
          <c:showLegendKey val="0"/>
          <c:showVal val="0"/>
          <c:showCatName val="0"/>
          <c:showSerName val="0"/>
          <c:showPercent val="0"/>
          <c:showBubbleSize val="0"/>
        </c:dLbls>
        <c:gapWidth val="150"/>
        <c:axId val="97459361"/>
        <c:axId val="75891800"/>
      </c:barChart>
      <c:catAx>
        <c:axId val="97459361"/>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5891800"/>
        <c:crosses val="autoZero"/>
        <c:auto val="1"/>
        <c:lblAlgn val="ctr"/>
        <c:lblOffset val="100"/>
        <c:noMultiLvlLbl val="0"/>
      </c:catAx>
      <c:valAx>
        <c:axId val="75891800"/>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745936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Attainment % by Region</a:t>
            </a:r>
          </a:p>
        </c:rich>
      </c:tx>
      <c:overlay val="0"/>
      <c:spPr>
        <a:noFill/>
        <a:ln w="0">
          <a:noFill/>
        </a:ln>
      </c:spPr>
    </c:title>
    <c:autoTitleDeleted val="0"/>
    <c:plotArea>
      <c:layout/>
      <c:barChart>
        <c:barDir val="col"/>
        <c:grouping val="clustered"/>
        <c:varyColors val="0"/>
        <c:ser>
          <c:idx val="0"/>
          <c:order val="0"/>
          <c:spPr>
            <a:solidFill>
              <a:srgbClr val="9BBB5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'Executive Summary'!$H$89:$H$92</c:f>
              <c:strCache>
                <c:ptCount val="4"/>
                <c:pt idx="0">
                  <c:v>NAMER</c:v>
                </c:pt>
                <c:pt idx="1">
                  <c:v>EMEA</c:v>
                </c:pt>
                <c:pt idx="2">
                  <c:v>APAC</c:v>
                </c:pt>
                <c:pt idx="3">
                  <c:v>LATAM</c:v>
                </c:pt>
              </c:strCache>
            </c:strRef>
          </c:cat>
          <c:val>
            <c:numRef>
              <c:f>'Executive Summary'!$L$89:$L$92</c:f>
              <c:numCache>
                <c:formatCode>0.0%</c:formatCode>
                <c:ptCount val="4"/>
                <c:pt idx="0">
                  <c:v>0.99467176920812483</c:v>
                </c:pt>
                <c:pt idx="1">
                  <c:v>1.0857303476061089</c:v>
                </c:pt>
                <c:pt idx="2">
                  <c:v>0.97752392255767373</c:v>
                </c:pt>
                <c:pt idx="3">
                  <c:v>1.0844581565753952</c:v>
                </c:pt>
              </c:numCache>
            </c:numRef>
          </c:val>
          <c:extLst>
            <c:ext xmlns:c16="http://schemas.microsoft.com/office/drawing/2014/chart" uri="{C3380CC4-5D6E-409C-BE32-E72D297353CC}">
              <c16:uniqueId val="{00000000-248E-FF47-87BA-86F1F79285BE}"/>
            </c:ext>
          </c:extLst>
        </c:ser>
        <c:dLbls>
          <c:showLegendKey val="0"/>
          <c:showVal val="0"/>
          <c:showCatName val="0"/>
          <c:showSerName val="0"/>
          <c:showPercent val="0"/>
          <c:showBubbleSize val="0"/>
        </c:dLbls>
        <c:gapWidth val="150"/>
        <c:axId val="73036000"/>
        <c:axId val="40356882"/>
      </c:barChart>
      <c:catAx>
        <c:axId val="73036000"/>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0356882"/>
        <c:crosses val="autoZero"/>
        <c:auto val="1"/>
        <c:lblAlgn val="ctr"/>
        <c:lblOffset val="100"/>
        <c:noMultiLvlLbl val="0"/>
      </c:catAx>
      <c:valAx>
        <c:axId val="40356882"/>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303600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Pipeline Funnel (Created → Won)</a:t>
            </a:r>
          </a:p>
        </c:rich>
      </c:tx>
      <c:overlay val="0"/>
      <c:spPr>
        <a:noFill/>
        <a:ln w="0">
          <a:noFill/>
        </a:ln>
      </c:spPr>
    </c:title>
    <c:autoTitleDeleted val="0"/>
    <c:plotArea>
      <c:layout/>
      <c:barChart>
        <c:barDir val="bar"/>
        <c:grouping val="clustered"/>
        <c:varyColors val="0"/>
        <c:ser>
          <c:idx val="0"/>
          <c:order val="0"/>
          <c:spPr>
            <a:solidFill>
              <a:srgbClr val="1F497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'Executive Summary'!$A$126:$A$131</c:f>
              <c:strCache>
                <c:ptCount val="6"/>
                <c:pt idx="0">
                  <c:v>Created</c:v>
                </c:pt>
                <c:pt idx="1">
                  <c:v>Reached Qualified</c:v>
                </c:pt>
                <c:pt idx="2">
                  <c:v>Reached Meeting</c:v>
                </c:pt>
                <c:pt idx="3">
                  <c:v>Reached Proposal</c:v>
                </c:pt>
                <c:pt idx="4">
                  <c:v>Reached Negotiation</c:v>
                </c:pt>
                <c:pt idx="5">
                  <c:v>Won</c:v>
                </c:pt>
              </c:strCache>
            </c:strRef>
          </c:cat>
          <c:val>
            <c:numRef>
              <c:f>'Executive Summary'!$B$126:$B$131</c:f>
              <c:numCache>
                <c:formatCode>#,##0</c:formatCode>
                <c:ptCount val="6"/>
                <c:pt idx="0">
                  <c:v>3560</c:v>
                </c:pt>
                <c:pt idx="1">
                  <c:v>3560</c:v>
                </c:pt>
                <c:pt idx="2">
                  <c:v>3199</c:v>
                </c:pt>
                <c:pt idx="3">
                  <c:v>2626</c:v>
                </c:pt>
                <c:pt idx="4">
                  <c:v>1915</c:v>
                </c:pt>
                <c:pt idx="5">
                  <c:v>1242</c:v>
                </c:pt>
              </c:numCache>
            </c:numRef>
          </c:val>
          <c:extLst>
            <c:ext xmlns:c16="http://schemas.microsoft.com/office/drawing/2014/chart" uri="{C3380CC4-5D6E-409C-BE32-E72D297353CC}">
              <c16:uniqueId val="{00000000-27FE-4842-9398-CA25A7B84B56}"/>
            </c:ext>
          </c:extLst>
        </c:ser>
        <c:dLbls>
          <c:showLegendKey val="0"/>
          <c:showVal val="0"/>
          <c:showCatName val="0"/>
          <c:showSerName val="0"/>
          <c:showPercent val="0"/>
          <c:showBubbleSize val="0"/>
        </c:dLbls>
        <c:gapWidth val="150"/>
        <c:axId val="95802912"/>
        <c:axId val="72663735"/>
      </c:barChart>
      <c:catAx>
        <c:axId val="95802912"/>
        <c:scaling>
          <c:orientation val="minMax"/>
        </c:scaling>
        <c:delete val="0"/>
        <c:axPos val="l"/>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2663735"/>
        <c:crosses val="autoZero"/>
        <c:auto val="1"/>
        <c:lblAlgn val="ctr"/>
        <c:lblOffset val="100"/>
        <c:noMultiLvlLbl val="0"/>
      </c:catAx>
      <c:valAx>
        <c:axId val="72663735"/>
        <c:scaling>
          <c:orientation val="minMax"/>
        </c:scaling>
        <c:delete val="0"/>
        <c:axPos val="b"/>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580291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Win Rate by Source</a:t>
            </a:r>
          </a:p>
        </c:rich>
      </c:tx>
      <c:overlay val="0"/>
      <c:spPr>
        <a:noFill/>
        <a:ln w="0">
          <a:noFill/>
        </a:ln>
      </c:spPr>
    </c:title>
    <c:autoTitleDeleted val="0"/>
    <c:plotArea>
      <c:layout/>
      <c:barChart>
        <c:barDir val="col"/>
        <c:grouping val="clustered"/>
        <c:varyColors val="0"/>
        <c:ser>
          <c:idx val="0"/>
          <c:order val="0"/>
          <c:spPr>
            <a:solidFill>
              <a:srgbClr val="F79646"/>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'Executive Summary'!$E$126:$E$130</c:f>
              <c:strCache>
                <c:ptCount val="5"/>
                <c:pt idx="0">
                  <c:v>Outbound Prospecting</c:v>
                </c:pt>
                <c:pt idx="1">
                  <c:v>Inbound Marketing</c:v>
                </c:pt>
                <c:pt idx="2">
                  <c:v>Referral</c:v>
                </c:pt>
                <c:pt idx="3">
                  <c:v>Partner</c:v>
                </c:pt>
                <c:pt idx="4">
                  <c:v>Event / Conference</c:v>
                </c:pt>
              </c:strCache>
            </c:strRef>
          </c:cat>
          <c:val>
            <c:numRef>
              <c:f>'Executive Summary'!$H$126:$H$130</c:f>
              <c:numCache>
                <c:formatCode>0.0%</c:formatCode>
                <c:ptCount val="5"/>
                <c:pt idx="0">
                  <c:v>0.34785714285714286</c:v>
                </c:pt>
                <c:pt idx="1">
                  <c:v>0.33856502242152464</c:v>
                </c:pt>
                <c:pt idx="2">
                  <c:v>0.35477178423236516</c:v>
                </c:pt>
                <c:pt idx="3">
                  <c:v>0.36405529953917048</c:v>
                </c:pt>
                <c:pt idx="4">
                  <c:v>0.33333333333333331</c:v>
                </c:pt>
              </c:numCache>
            </c:numRef>
          </c:val>
          <c:extLst>
            <c:ext xmlns:c16="http://schemas.microsoft.com/office/drawing/2014/chart" uri="{C3380CC4-5D6E-409C-BE32-E72D297353CC}">
              <c16:uniqueId val="{00000000-675C-6B45-9B3C-20B337288CE9}"/>
            </c:ext>
          </c:extLst>
        </c:ser>
        <c:dLbls>
          <c:showLegendKey val="0"/>
          <c:showVal val="0"/>
          <c:showCatName val="0"/>
          <c:showSerName val="0"/>
          <c:showPercent val="0"/>
          <c:showBubbleSize val="0"/>
        </c:dLbls>
        <c:gapWidth val="150"/>
        <c:axId val="90555026"/>
        <c:axId val="20148065"/>
      </c:barChart>
      <c:catAx>
        <c:axId val="90555026"/>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0148065"/>
        <c:crosses val="autoZero"/>
        <c:auto val="1"/>
        <c:lblAlgn val="ctr"/>
        <c:lblOffset val="100"/>
        <c:noMultiLvlLbl val="0"/>
      </c:catAx>
      <c:valAx>
        <c:axId val="20148065"/>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055502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Lost Reason Breakdown</a:t>
            </a:r>
          </a:p>
        </c:rich>
      </c:tx>
      <c:overlay val="0"/>
      <c:spPr>
        <a:noFill/>
        <a:ln w="0">
          <a:noFill/>
        </a:ln>
      </c:spPr>
    </c:title>
    <c:autoTitleDeleted val="0"/>
    <c:plotArea>
      <c:layout/>
      <c:pieChart>
        <c:varyColors val="1"/>
        <c:ser>
          <c:idx val="0"/>
          <c:order val="0"/>
          <c:spPr>
            <a:solidFill>
              <a:srgbClr val="4F81BD"/>
            </a:solidFill>
            <a:ln w="0">
              <a:noFill/>
            </a:ln>
          </c:spPr>
          <c:dPt>
            <c:idx val="0"/>
            <c:bubble3D val="0"/>
            <c:spPr>
              <a:solidFill>
                <a:srgbClr val="4F81BD"/>
              </a:solidFill>
              <a:ln w="0">
                <a:noFill/>
              </a:ln>
            </c:spPr>
            <c:extLst>
              <c:ext xmlns:c16="http://schemas.microsoft.com/office/drawing/2014/chart" uri="{C3380CC4-5D6E-409C-BE32-E72D297353CC}">
                <c16:uniqueId val="{00000001-E31F-374D-B7C8-EC632128E80C}"/>
              </c:ext>
            </c:extLst>
          </c:dPt>
          <c:dPt>
            <c:idx val="1"/>
            <c:bubble3D val="0"/>
            <c:spPr>
              <a:solidFill>
                <a:srgbClr val="C0504D"/>
              </a:solidFill>
              <a:ln w="0">
                <a:noFill/>
              </a:ln>
            </c:spPr>
            <c:extLst>
              <c:ext xmlns:c16="http://schemas.microsoft.com/office/drawing/2014/chart" uri="{C3380CC4-5D6E-409C-BE32-E72D297353CC}">
                <c16:uniqueId val="{00000003-E31F-374D-B7C8-EC632128E80C}"/>
              </c:ext>
            </c:extLst>
          </c:dPt>
          <c:dPt>
            <c:idx val="2"/>
            <c:bubble3D val="0"/>
            <c:spPr>
              <a:solidFill>
                <a:srgbClr val="9BBB59"/>
              </a:solidFill>
              <a:ln w="0">
                <a:noFill/>
              </a:ln>
            </c:spPr>
            <c:extLst>
              <c:ext xmlns:c16="http://schemas.microsoft.com/office/drawing/2014/chart" uri="{C3380CC4-5D6E-409C-BE32-E72D297353CC}">
                <c16:uniqueId val="{00000005-E31F-374D-B7C8-EC632128E80C}"/>
              </c:ext>
            </c:extLst>
          </c:dPt>
          <c:dPt>
            <c:idx val="3"/>
            <c:bubble3D val="0"/>
            <c:spPr>
              <a:solidFill>
                <a:srgbClr val="8064A2"/>
              </a:solidFill>
              <a:ln w="0">
                <a:noFill/>
              </a:ln>
            </c:spPr>
            <c:extLst>
              <c:ext xmlns:c16="http://schemas.microsoft.com/office/drawing/2014/chart" uri="{C3380CC4-5D6E-409C-BE32-E72D297353CC}">
                <c16:uniqueId val="{00000007-E31F-374D-B7C8-EC632128E80C}"/>
              </c:ext>
            </c:extLst>
          </c:dPt>
          <c:dPt>
            <c:idx val="4"/>
            <c:bubble3D val="0"/>
            <c:spPr>
              <a:solidFill>
                <a:srgbClr val="4BACC6"/>
              </a:solidFill>
              <a:ln w="0">
                <a:noFill/>
              </a:ln>
            </c:spPr>
            <c:extLst>
              <c:ext xmlns:c16="http://schemas.microsoft.com/office/drawing/2014/chart" uri="{C3380CC4-5D6E-409C-BE32-E72D297353CC}">
                <c16:uniqueId val="{00000009-E31F-374D-B7C8-EC632128E80C}"/>
              </c:ext>
            </c:extLst>
          </c:dPt>
          <c:dLbls>
            <c:dLbl>
              <c:idx val="0"/>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E31F-374D-B7C8-EC632128E80C}"/>
                </c:ext>
              </c:extLst>
            </c:dLbl>
            <c:dLbl>
              <c:idx val="1"/>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E31F-374D-B7C8-EC632128E80C}"/>
                </c:ext>
              </c:extLst>
            </c:dLbl>
            <c:dLbl>
              <c:idx val="2"/>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5-E31F-374D-B7C8-EC632128E80C}"/>
                </c:ext>
              </c:extLst>
            </c:dLbl>
            <c:dLbl>
              <c:idx val="3"/>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7-E31F-374D-B7C8-EC632128E80C}"/>
                </c:ext>
              </c:extLst>
            </c:dLbl>
            <c:dLbl>
              <c:idx val="4"/>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9-E31F-374D-B7C8-EC632128E80C}"/>
                </c:ext>
              </c:extLst>
            </c:dLbl>
            <c:spPr>
              <a:noFill/>
              <a:ln>
                <a:noFill/>
              </a:ln>
              <a:effectLst/>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separator>
</c:separator>
            <c:showLeaderLines val="1"/>
            <c:extLst>
              <c:ext xmlns:c15="http://schemas.microsoft.com/office/drawing/2012/chart" uri="{CE6537A1-D6FC-4f65-9D91-7224C49458BB}"/>
            </c:extLst>
          </c:dLbls>
          <c:cat>
            <c:strRef>
              <c:f>'Executive Summary'!$K$126:$K$130</c:f>
              <c:strCache>
                <c:ptCount val="5"/>
                <c:pt idx="0">
                  <c:v>Budget</c:v>
                </c:pt>
                <c:pt idx="1">
                  <c:v>Lost to Competitor</c:v>
                </c:pt>
                <c:pt idx="2">
                  <c:v>No Decision / Timing</c:v>
                </c:pt>
                <c:pt idx="3">
                  <c:v>Bad Fit</c:v>
                </c:pt>
                <c:pt idx="4">
                  <c:v>Champion Left</c:v>
                </c:pt>
              </c:strCache>
            </c:strRef>
          </c:cat>
          <c:val>
            <c:numRef>
              <c:f>'Executive Summary'!$L$126:$L$130</c:f>
              <c:numCache>
                <c:formatCode>#,##0</c:formatCode>
                <c:ptCount val="5"/>
                <c:pt idx="0">
                  <c:v>667</c:v>
                </c:pt>
                <c:pt idx="1">
                  <c:v>634</c:v>
                </c:pt>
                <c:pt idx="2">
                  <c:v>460</c:v>
                </c:pt>
                <c:pt idx="3">
                  <c:v>253</c:v>
                </c:pt>
                <c:pt idx="4">
                  <c:v>252</c:v>
                </c:pt>
              </c:numCache>
            </c:numRef>
          </c:val>
          <c:extLst>
            <c:ext xmlns:c16="http://schemas.microsoft.com/office/drawing/2014/chart" uri="{C3380CC4-5D6E-409C-BE32-E72D297353CC}">
              <c16:uniqueId val="{0000000A-E31F-374D-B7C8-EC632128E80C}"/>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oneCellAnchor>
    <xdr:from>
      <xdr:col>0</xdr:col>
      <xdr:colOff>283308</xdr:colOff>
      <xdr:row>30</xdr:row>
      <xdr:rowOff>0</xdr:rowOff>
    </xdr:from>
    <xdr:ext cx="15386538" cy="2354385"/>
    <xdr:graphicFrame macro="">
      <xdr:nvGraphicFramePr>
        <xdr:cNvPr id="2" name="Chart 1">
          <a:extLst>
            <a:ext uri="{FF2B5EF4-FFF2-40B4-BE49-F238E27FC236}">
              <a16:creationId xmlns:a16="http://schemas.microsoft.com/office/drawing/2014/main" id="{CCA03FE9-B9DD-0C42-A251-019E6D2AAB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283307</xdr:colOff>
      <xdr:row>43</xdr:row>
      <xdr:rowOff>19538</xdr:rowOff>
    </xdr:from>
    <xdr:ext cx="15386539" cy="3135924"/>
    <xdr:graphicFrame macro="">
      <xdr:nvGraphicFramePr>
        <xdr:cNvPr id="3" name="Chart 2">
          <a:extLst>
            <a:ext uri="{FF2B5EF4-FFF2-40B4-BE49-F238E27FC236}">
              <a16:creationId xmlns:a16="http://schemas.microsoft.com/office/drawing/2014/main" id="{67608B90-0CF3-A945-AF9A-508C9F17CD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478693</xdr:colOff>
      <xdr:row>63</xdr:row>
      <xdr:rowOff>9770</xdr:rowOff>
    </xdr:from>
    <xdr:ext cx="6222240" cy="3239160"/>
    <xdr:graphicFrame macro="">
      <xdr:nvGraphicFramePr>
        <xdr:cNvPr id="4" name="Chart 3">
          <a:extLst>
            <a:ext uri="{FF2B5EF4-FFF2-40B4-BE49-F238E27FC236}">
              <a16:creationId xmlns:a16="http://schemas.microsoft.com/office/drawing/2014/main" id="{67E9143F-C846-1F49-8E10-B8589F5490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5</xdr:col>
      <xdr:colOff>498231</xdr:colOff>
      <xdr:row>62</xdr:row>
      <xdr:rowOff>166077</xdr:rowOff>
    </xdr:from>
    <xdr:ext cx="6204960" cy="3301999"/>
    <xdr:graphicFrame macro="">
      <xdr:nvGraphicFramePr>
        <xdr:cNvPr id="5" name="Chart 4">
          <a:extLst>
            <a:ext uri="{FF2B5EF4-FFF2-40B4-BE49-F238E27FC236}">
              <a16:creationId xmlns:a16="http://schemas.microsoft.com/office/drawing/2014/main" id="{DF097BC7-3C09-9044-B339-8F62CDFED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1</xdr:colOff>
      <xdr:row>20</xdr:row>
      <xdr:rowOff>63499</xdr:rowOff>
    </xdr:from>
    <xdr:ext cx="6948714" cy="2367643"/>
    <xdr:graphicFrame macro="">
      <xdr:nvGraphicFramePr>
        <xdr:cNvPr id="2" name="Chart 1">
          <a:extLst>
            <a:ext uri="{FF2B5EF4-FFF2-40B4-BE49-F238E27FC236}">
              <a16:creationId xmlns:a16="http://schemas.microsoft.com/office/drawing/2014/main" id="{9AF497A8-05F9-D340-B53F-B3CBC36258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644071</xdr:colOff>
      <xdr:row>20</xdr:row>
      <xdr:rowOff>63500</xdr:rowOff>
    </xdr:from>
    <xdr:ext cx="7066643" cy="2367643"/>
    <xdr:graphicFrame macro="">
      <xdr:nvGraphicFramePr>
        <xdr:cNvPr id="3" name="Chart 2">
          <a:extLst>
            <a:ext uri="{FF2B5EF4-FFF2-40B4-BE49-F238E27FC236}">
              <a16:creationId xmlns:a16="http://schemas.microsoft.com/office/drawing/2014/main" id="{8D65F122-D8FC-EE48-AF56-EC51F09AE9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843645</xdr:colOff>
      <xdr:row>42</xdr:row>
      <xdr:rowOff>18143</xdr:rowOff>
    </xdr:from>
    <xdr:ext cx="12364356" cy="3239520"/>
    <xdr:graphicFrame macro="">
      <xdr:nvGraphicFramePr>
        <xdr:cNvPr id="4" name="Chart 3">
          <a:extLst>
            <a:ext uri="{FF2B5EF4-FFF2-40B4-BE49-F238E27FC236}">
              <a16:creationId xmlns:a16="http://schemas.microsoft.com/office/drawing/2014/main" id="{B3B795D6-56F0-6B4E-BA64-F97C1D9D32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996462</xdr:colOff>
      <xdr:row>28</xdr:row>
      <xdr:rowOff>156307</xdr:rowOff>
    </xdr:from>
    <xdr:to>
      <xdr:col>13</xdr:col>
      <xdr:colOff>328009</xdr:colOff>
      <xdr:row>45</xdr:row>
      <xdr:rowOff>150642</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996461</xdr:colOff>
      <xdr:row>47</xdr:row>
      <xdr:rowOff>185616</xdr:rowOff>
    </xdr:from>
    <xdr:to>
      <xdr:col>13</xdr:col>
      <xdr:colOff>328008</xdr:colOff>
      <xdr:row>64</xdr:row>
      <xdr:rowOff>180311</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322384</xdr:colOff>
      <xdr:row>69</xdr:row>
      <xdr:rowOff>0</xdr:rowOff>
    </xdr:from>
    <xdr:to>
      <xdr:col>5</xdr:col>
      <xdr:colOff>934744</xdr:colOff>
      <xdr:row>85</xdr:row>
      <xdr:rowOff>190080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732693</xdr:colOff>
      <xdr:row>69</xdr:row>
      <xdr:rowOff>19539</xdr:rowOff>
    </xdr:from>
    <xdr:to>
      <xdr:col>13</xdr:col>
      <xdr:colOff>5920</xdr:colOff>
      <xdr:row>86</xdr:row>
      <xdr:rowOff>14234</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xdr:colOff>
      <xdr:row>107</xdr:row>
      <xdr:rowOff>87923</xdr:rowOff>
    </xdr:from>
    <xdr:to>
      <xdr:col>3</xdr:col>
      <xdr:colOff>693617</xdr:colOff>
      <xdr:row>123</xdr:row>
      <xdr:rowOff>9770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859692</xdr:colOff>
      <xdr:row>107</xdr:row>
      <xdr:rowOff>68384</xdr:rowOff>
    </xdr:from>
    <xdr:to>
      <xdr:col>9</xdr:col>
      <xdr:colOff>693616</xdr:colOff>
      <xdr:row>123</xdr:row>
      <xdr:rowOff>9770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810848</xdr:colOff>
      <xdr:row>107</xdr:row>
      <xdr:rowOff>58616</xdr:rowOff>
    </xdr:from>
    <xdr:to>
      <xdr:col>14</xdr:col>
      <xdr:colOff>58616</xdr:colOff>
      <xdr:row>122</xdr:row>
      <xdr:rowOff>185615</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Monthly_Summary" displayName="Monthly_Summary" ref="A1:H25" totalsRowShown="0">
  <autoFilter ref="A1:H25" xr:uid="{00000000-0009-0000-0100-000003000000}"/>
  <tableColumns count="8">
    <tableColumn id="1" xr3:uid="{00000000-0010-0000-0000-000001000000}" name="MonthStart"/>
    <tableColumn id="2" xr3:uid="{00000000-0010-0000-0000-000002000000}" name="Month+Year"/>
    <tableColumn id="3" xr3:uid="{00000000-0010-0000-0000-000003000000}" name="Month"/>
    <tableColumn id="4" xr3:uid="{00000000-0010-0000-0000-000004000000}" name="Year"/>
    <tableColumn id="5" xr3:uid="{00000000-0010-0000-0000-000005000000}" name="Total Quota"/>
    <tableColumn id="6" xr3:uid="{00000000-0010-0000-0000-000006000000}" name="Total Bookings Won"/>
    <tableColumn id="7" xr3:uid="{00000000-0010-0000-0000-000007000000}" name="Attainment %"/>
    <tableColumn id="8" xr3:uid="{00000000-0010-0000-0000-000008000000}" name="Pipeline_Generated"/>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Summary_2025" displayName="Summary_2025" ref="A43:H55" totalsRowShown="0">
  <autoFilter ref="A43:H55" xr:uid="{00000000-0009-0000-0100-000007000000}"/>
  <tableColumns count="8">
    <tableColumn id="1" xr3:uid="{00000000-0010-0000-0100-000001000000}" name="MonthStart"/>
    <tableColumn id="2" xr3:uid="{00000000-0010-0000-0100-000002000000}" name="Month+Year"/>
    <tableColumn id="3" xr3:uid="{00000000-0010-0000-0100-000003000000}" name="Month"/>
    <tableColumn id="4" xr3:uid="{00000000-0010-0000-0100-000004000000}" name="Year"/>
    <tableColumn id="5" xr3:uid="{00000000-0010-0000-0100-000005000000}" name="Total Quota"/>
    <tableColumn id="6" xr3:uid="{00000000-0010-0000-0100-000006000000}" name="Total Bookings Won"/>
    <tableColumn id="7" xr3:uid="{00000000-0010-0000-0100-000007000000}" name="Attainment %"/>
    <tableColumn id="8" xr3:uid="{00000000-0010-0000-0100-000008000000}" name="Pipeline_Generated"/>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Summary_24Month" displayName="Summary_24Month" ref="A28:H40" totalsRowShown="0">
  <autoFilter ref="A28:H40" xr:uid="{00000000-0009-0000-0100-000008000000}"/>
  <tableColumns count="8">
    <tableColumn id="1" xr3:uid="{00000000-0010-0000-0200-000001000000}" name="MonthStart"/>
    <tableColumn id="2" xr3:uid="{00000000-0010-0000-0200-000002000000}" name="Month+Year"/>
    <tableColumn id="3" xr3:uid="{00000000-0010-0000-0200-000003000000}" name="Month"/>
    <tableColumn id="4" xr3:uid="{00000000-0010-0000-0200-000004000000}" name="Year"/>
    <tableColumn id="5" xr3:uid="{00000000-0010-0000-0200-000005000000}" name="Total Quota"/>
    <tableColumn id="6" xr3:uid="{00000000-0010-0000-0200-000006000000}" name="Total Bookings Won"/>
    <tableColumn id="7" xr3:uid="{00000000-0010-0000-0200-000007000000}" name="Attainment %"/>
    <tableColumn id="8" xr3:uid="{00000000-0010-0000-0200-000008000000}" name="Pipeline_Generated"/>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Reps_tbl" displayName="Reps_tbl" ref="A1:L51" totalsRowShown="0">
  <autoFilter ref="A1:L51" xr:uid="{00000000-0009-0000-0100-000006000000}"/>
  <tableColumns count="12">
    <tableColumn id="1" xr3:uid="{00000000-0010-0000-0300-000001000000}" name="Rep_ID"/>
    <tableColumn id="2" xr3:uid="{00000000-0010-0000-0300-000002000000}" name="Rep_Name"/>
    <tableColumn id="3" xr3:uid="{00000000-0010-0000-0300-000003000000}" name="Role"/>
    <tableColumn id="4" xr3:uid="{00000000-0010-0000-0300-000004000000}" name="Team"/>
    <tableColumn id="5" xr3:uid="{00000000-0010-0000-0300-000005000000}" name="Region"/>
    <tableColumn id="6" xr3:uid="{00000000-0010-0000-0300-000006000000}" name="Manager"/>
    <tableColumn id="7" xr3:uid="{00000000-0010-0000-0300-000007000000}" name="Hire_Date"/>
    <tableColumn id="8" xr3:uid="{00000000-0010-0000-0300-000008000000}" name="Status"/>
    <tableColumn id="9" xr3:uid="{00000000-0010-0000-0300-000009000000}" name="Termination_Date"/>
    <tableColumn id="10" xr3:uid="{00000000-0010-0000-0300-00000A000000}" name="Full_Ramped_Monthly_Quota_USD"/>
    <tableColumn id="11" xr3:uid="{00000000-0010-0000-0300-00000B000000}" name="Rate_Code_Generalized"/>
    <tableColumn id="12" xr3:uid="{00000000-0010-0000-0300-00000C000000}" name="Full_Ramped_Monthly_Quota_Local"/>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Quota_tbl" displayName="Quota_tbl" ref="A1:J913" totalsRowShown="0">
  <autoFilter ref="A1:J913" xr:uid="{00000000-0009-0000-0100-000005000000}"/>
  <tableColumns count="10">
    <tableColumn id="1" xr3:uid="{00000000-0010-0000-0400-000001000000}" name="Rep_ID"/>
    <tableColumn id="2" xr3:uid="{00000000-0010-0000-0400-000002000000}" name="Period_Start_Date"/>
    <tableColumn id="3" xr3:uid="{00000000-0010-0000-0400-000003000000}" name="Tenure_Months_At_Period"/>
    <tableColumn id="4" xr3:uid="{00000000-0010-0000-0400-000004000000}" name="Quota_Amount_USD"/>
    <tableColumn id="5" xr3:uid="{00000000-0010-0000-0400-000005000000}" name="Rate_Code_Generalized"/>
    <tableColumn id="6" xr3:uid="{00000000-0010-0000-0400-000006000000}" name="Quota_Amount_Local"/>
    <tableColumn id="7" xr3:uid="{00000000-0010-0000-0400-000007000000}" name="Rep_Role"/>
    <tableColumn id="8" xr3:uid="{00000000-0010-0000-0400-000008000000}" name="Rep_Team"/>
    <tableColumn id="9" xr3:uid="{00000000-0010-0000-0400-000009000000}" name="Rep_Region"/>
    <tableColumn id="10" xr3:uid="{00000000-0010-0000-0400-00000A000000}" name="PeriodStart_MonthYear"/>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5000000}" name="Pipeline_tbl" displayName="Pipeline_tbl" ref="A1:U6860" totalsRowShown="0">
  <autoFilter ref="A1:U6860" xr:uid="{00000000-0009-0000-0100-000004000000}"/>
  <tableColumns count="21">
    <tableColumn id="1" xr3:uid="{00000000-0010-0000-0500-000001000000}" name="Opportunity_ID"/>
    <tableColumn id="2" xr3:uid="{00000000-0010-0000-0500-000002000000}" name="Rep_ID"/>
    <tableColumn id="3" xr3:uid="{00000000-0010-0000-0500-000003000000}" name="Source"/>
    <tableColumn id="4" xr3:uid="{00000000-0010-0000-0500-000004000000}" name="Created_Date"/>
    <tableColumn id="5" xr3:uid="{00000000-0010-0000-0500-000005000000}" name="Stage_Qualified_Date"/>
    <tableColumn id="6" xr3:uid="{00000000-0010-0000-0500-000006000000}" name="Stage_Meeting_Date"/>
    <tableColumn id="7" xr3:uid="{00000000-0010-0000-0500-000007000000}" name="Stage_Proposal_Date"/>
    <tableColumn id="8" xr3:uid="{00000000-0010-0000-0500-000008000000}" name="Stage_Negotiation_Date"/>
    <tableColumn id="9" xr3:uid="{00000000-0010-0000-0500-000009000000}" name="Closed_Date"/>
    <tableColumn id="10" xr3:uid="{00000000-0010-0000-0500-00000A000000}" name="Status"/>
    <tableColumn id="11" xr3:uid="{00000000-0010-0000-0500-00000B000000}" name="Pipeline_Amount_USD"/>
    <tableColumn id="12" xr3:uid="{00000000-0010-0000-0500-00000C000000}" name="Lost_Reason"/>
    <tableColumn id="13" xr3:uid="{00000000-0010-0000-0500-00000D000000}" name="Rate_Code_Generalized"/>
    <tableColumn id="14" xr3:uid="{00000000-0010-0000-0500-00000E000000}" name="Pipeline_Amount_Local2"/>
    <tableColumn id="15" xr3:uid="{00000000-0010-0000-0500-00000F000000}" name="Rep_Name"/>
    <tableColumn id="16" xr3:uid="{00000000-0010-0000-0500-000010000000}" name="Rep_Role"/>
    <tableColumn id="17" xr3:uid="{00000000-0010-0000-0500-000011000000}" name="Rep_Team"/>
    <tableColumn id="18" xr3:uid="{00000000-0010-0000-0500-000012000000}" name="Rep_Region"/>
    <tableColumn id="19" xr3:uid="{00000000-0010-0000-0500-000013000000}" name="Created_MonthYear"/>
    <tableColumn id="20" xr3:uid="{00000000-0010-0000-0500-000014000000}" name="Closed_MonthYear"/>
    <tableColumn id="21" xr3:uid="{00000000-0010-0000-0500-000015000000}" name="Cycle_days"/>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6000000}" name="Date_tbl" displayName="Date_tbl" ref="A1:M732" totalsRowShown="0">
  <autoFilter ref="A1:M732" xr:uid="{00000000-0009-0000-0100-000001000000}"/>
  <tableColumns count="13">
    <tableColumn id="1" xr3:uid="{00000000-0010-0000-0600-000001000000}" name="Date"/>
    <tableColumn id="2" xr3:uid="{00000000-0010-0000-0600-000002000000}" name="Year"/>
    <tableColumn id="3" xr3:uid="{00000000-0010-0000-0600-000003000000}" name="Quarter"/>
    <tableColumn id="4" xr3:uid="{00000000-0010-0000-0600-000004000000}" name="YearQuarter"/>
    <tableColumn id="5" xr3:uid="{00000000-0010-0000-0600-000005000000}" name="Month"/>
    <tableColumn id="6" xr3:uid="{00000000-0010-0000-0600-000006000000}" name="MonthName"/>
    <tableColumn id="7" xr3:uid="{00000000-0010-0000-0600-000007000000}" name="MonthShort"/>
    <tableColumn id="8" xr3:uid="{00000000-0010-0000-0600-000008000000}" name="MonthYear"/>
    <tableColumn id="9" xr3:uid="{00000000-0010-0000-0600-000009000000}" name="MonthStartDate"/>
    <tableColumn id="10" xr3:uid="{00000000-0010-0000-0600-00000A000000}" name="Day"/>
    <tableColumn id="11" xr3:uid="{00000000-0010-0000-0600-00000B000000}" name="WeekdayName"/>
    <tableColumn id="12" xr3:uid="{00000000-0010-0000-0600-00000C000000}" name="IsWeekend"/>
    <tableColumn id="13" xr3:uid="{00000000-0010-0000-0600-00000D000000}" name="WeekOfYear"/>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7000000}" name="FX_Rate" displayName="FX_Rate" ref="A1:B31" totalsRowShown="0">
  <autoFilter ref="A1:B31" xr:uid="{00000000-0009-0000-0100-000002000000}"/>
  <tableColumns count="2">
    <tableColumn id="1" xr3:uid="{00000000-0010-0000-0700-000001000000}" name="Currency"/>
    <tableColumn id="2" xr3:uid="{00000000-0010-0000-0700-000002000000}" name="Rat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75503-222C-DF48-9477-865BB051C55A}">
  <sheetPr>
    <pageSetUpPr fitToPage="1"/>
  </sheetPr>
  <dimension ref="A1:P1445"/>
  <sheetViews>
    <sheetView showGridLines="0" tabSelected="1" zoomScale="110" zoomScaleNormal="110" workbookViewId="0">
      <pane ySplit="6" topLeftCell="A7" activePane="bottomLeft" state="frozen"/>
      <selection pane="bottomLeft" activeCell="I15" sqref="I15"/>
    </sheetView>
  </sheetViews>
  <sheetFormatPr baseColWidth="10" defaultColWidth="8.6640625" defaultRowHeight="15" outlineLevelRow="1" x14ac:dyDescent="0.2"/>
  <cols>
    <col min="1" max="1" width="21" style="54" customWidth="1"/>
    <col min="2" max="4" width="20" style="54" customWidth="1"/>
    <col min="5" max="14" width="13" style="54" customWidth="1"/>
    <col min="15" max="16384" width="8.6640625" style="54"/>
  </cols>
  <sheetData>
    <row r="1" spans="1:14" ht="33.75" customHeight="1" x14ac:dyDescent="0.2">
      <c r="A1" s="142" t="s">
        <v>87</v>
      </c>
      <c r="B1" s="142"/>
      <c r="C1" s="142"/>
      <c r="D1" s="142"/>
      <c r="E1" s="142"/>
      <c r="F1" s="142"/>
      <c r="G1" s="142"/>
      <c r="H1" s="142"/>
      <c r="I1" s="142"/>
      <c r="J1" s="142"/>
      <c r="K1" s="142"/>
      <c r="L1" s="142"/>
      <c r="M1" s="142"/>
      <c r="N1" s="142"/>
    </row>
    <row r="2" spans="1:14" s="102" customFormat="1" ht="19.5" customHeight="1" x14ac:dyDescent="0.2">
      <c r="A2" s="143" t="str">
        <f>"Performance window: "&amp;D6&amp;"   |   Reporting month: "&amp;TEXT(A6,"mmm yyyy")&amp;"   |   Prepared September 1, 2026"</f>
        <v>Performance window: Trailing 12 Months   |   Reporting month: Aug 2025   |   Prepared September 1, 2026</v>
      </c>
      <c r="B2" s="143"/>
      <c r="C2" s="143"/>
      <c r="D2" s="143"/>
      <c r="E2" s="143"/>
      <c r="F2" s="143"/>
      <c r="G2" s="143"/>
      <c r="H2" s="143"/>
      <c r="I2" s="143"/>
      <c r="J2" s="143"/>
      <c r="K2" s="143"/>
      <c r="L2" s="143"/>
      <c r="M2" s="143"/>
      <c r="N2" s="143"/>
    </row>
    <row r="3" spans="1:14" ht="12" customHeight="1" x14ac:dyDescent="0.2">
      <c r="A3" s="144" t="s">
        <v>7281</v>
      </c>
      <c r="B3" s="144"/>
      <c r="C3" s="144"/>
      <c r="D3" s="144"/>
      <c r="E3" s="144"/>
      <c r="F3" s="144"/>
      <c r="G3" s="144"/>
      <c r="H3" s="144"/>
      <c r="I3" s="144"/>
      <c r="J3" s="144"/>
      <c r="K3" s="144"/>
      <c r="L3" s="144"/>
      <c r="M3" s="144"/>
      <c r="N3" s="144"/>
    </row>
    <row r="5" spans="1:14" s="102" customFormat="1" ht="13.5" customHeight="1" x14ac:dyDescent="0.2">
      <c r="A5" s="130" t="s">
        <v>7284</v>
      </c>
      <c r="B5" s="130"/>
      <c r="C5" s="130"/>
      <c r="D5" s="130" t="s">
        <v>7280</v>
      </c>
      <c r="E5" s="130"/>
      <c r="F5" s="130"/>
      <c r="G5" s="130" t="s">
        <v>88</v>
      </c>
      <c r="H5" s="130"/>
      <c r="I5" s="130" t="s">
        <v>89</v>
      </c>
      <c r="J5" s="130"/>
    </row>
    <row r="6" spans="1:14" ht="19.5" customHeight="1" x14ac:dyDescent="0.2">
      <c r="A6" s="145">
        <v>45870</v>
      </c>
      <c r="B6" s="146"/>
      <c r="C6" s="146"/>
      <c r="D6" s="147" t="s">
        <v>3</v>
      </c>
      <c r="E6" s="147"/>
      <c r="F6" s="147"/>
      <c r="G6" s="148">
        <v>0.5</v>
      </c>
      <c r="H6" s="148"/>
      <c r="I6" s="148">
        <v>1.5</v>
      </c>
      <c r="J6" s="148"/>
    </row>
    <row r="8" spans="1:14" s="108" customFormat="1" ht="31" customHeight="1" x14ac:dyDescent="0.3">
      <c r="A8" s="132" t="s">
        <v>7283</v>
      </c>
      <c r="B8" s="132"/>
      <c r="C8" s="132"/>
      <c r="D8" s="132"/>
      <c r="E8" s="132"/>
      <c r="F8" s="132"/>
      <c r="G8" s="132"/>
      <c r="H8" s="132"/>
      <c r="I8" s="132"/>
      <c r="J8" s="132"/>
      <c r="K8" s="132"/>
      <c r="L8" s="132"/>
      <c r="M8" s="132"/>
      <c r="N8" s="132"/>
    </row>
    <row r="9" spans="1:14" ht="15" customHeight="1" x14ac:dyDescent="0.2">
      <c r="A9" s="131" t="str">
        <f>"Tier 1: on-target commission up to 100% of quota, at the Base Rate; Tier 2: bookings from 100% up to "&amp;TEXT(I6,"0%")&amp;" of quota, at the Accelerator Rate; Tier 3: bookings beyond "&amp;TEXT(I6,"0%")&amp;" of quota, at the Super-Accelerator Rate; Note: Reps below the eligibility threshold ("&amp;TEXT($G$6,"0%")&amp;" attainment) earn $0 commission this window."</f>
        <v>Tier 1: on-target commission up to 100% of quota, at the Base Rate; Tier 2: bookings from 100% up to 150% of quota, at the Accelerator Rate; Tier 3: bookings beyond 150% of quota, at the Super-Accelerator Rate; Note: Reps below the eligibility threshold (50% attainment) earn $0 commission this window.</v>
      </c>
      <c r="B9" s="131"/>
      <c r="C9" s="131"/>
      <c r="D9" s="131"/>
      <c r="E9" s="131"/>
      <c r="F9" s="131"/>
      <c r="G9" s="131"/>
      <c r="H9" s="131"/>
      <c r="I9" s="131"/>
      <c r="J9" s="131"/>
      <c r="K9" s="131"/>
      <c r="L9" s="131"/>
      <c r="M9" s="131"/>
    </row>
    <row r="10" spans="1:14" ht="15" customHeight="1" x14ac:dyDescent="0.2">
      <c r="A10" s="131"/>
      <c r="B10" s="131"/>
      <c r="C10" s="131"/>
      <c r="D10" s="131"/>
      <c r="E10" s="131"/>
      <c r="F10" s="131"/>
      <c r="G10" s="131"/>
      <c r="H10" s="131"/>
      <c r="I10" s="131"/>
      <c r="J10" s="131"/>
      <c r="K10" s="131"/>
      <c r="L10" s="131"/>
      <c r="M10" s="131"/>
    </row>
    <row r="11" spans="1:14" s="102" customFormat="1" ht="30" customHeight="1" x14ac:dyDescent="0.2">
      <c r="A11" s="131"/>
      <c r="B11" s="131"/>
      <c r="C11" s="131"/>
      <c r="D11" s="131"/>
      <c r="E11" s="131"/>
      <c r="F11" s="131"/>
      <c r="G11" s="131"/>
      <c r="H11" s="131"/>
      <c r="I11" s="131"/>
      <c r="J11" s="131"/>
      <c r="K11" s="131"/>
      <c r="L11" s="131"/>
      <c r="M11" s="131"/>
      <c r="N11" s="103"/>
    </row>
    <row r="12" spans="1:14" ht="30" customHeight="1" x14ac:dyDescent="0.2">
      <c r="A12" s="84" t="s">
        <v>90</v>
      </c>
      <c r="B12" s="84" t="s">
        <v>91</v>
      </c>
      <c r="C12" s="84" t="s">
        <v>92</v>
      </c>
      <c r="D12" s="84" t="s">
        <v>93</v>
      </c>
    </row>
    <row r="13" spans="1:14" ht="15" customHeight="1" x14ac:dyDescent="0.2">
      <c r="A13" s="92" t="s">
        <v>94</v>
      </c>
      <c r="B13" s="94">
        <v>0.03</v>
      </c>
      <c r="C13" s="94">
        <v>0.05</v>
      </c>
      <c r="D13" s="94">
        <v>7.0000000000000007E-2</v>
      </c>
    </row>
    <row r="14" spans="1:14" ht="15" customHeight="1" x14ac:dyDescent="0.2">
      <c r="A14" s="88" t="s">
        <v>95</v>
      </c>
      <c r="B14" s="94">
        <v>0.05</v>
      </c>
      <c r="C14" s="94">
        <v>0.08</v>
      </c>
      <c r="D14" s="94">
        <v>0.11</v>
      </c>
    </row>
    <row r="15" spans="1:14" ht="15" customHeight="1" x14ac:dyDescent="0.2">
      <c r="A15" s="92" t="s">
        <v>96</v>
      </c>
      <c r="B15" s="94">
        <v>0.06</v>
      </c>
      <c r="C15" s="94">
        <v>0.1</v>
      </c>
      <c r="D15" s="94">
        <v>0.14000000000000001</v>
      </c>
    </row>
    <row r="16" spans="1:14" ht="15" customHeight="1" x14ac:dyDescent="0.2">
      <c r="A16" s="88" t="s">
        <v>97</v>
      </c>
      <c r="B16" s="94">
        <v>7.0000000000000007E-2</v>
      </c>
      <c r="C16" s="94">
        <v>0.11</v>
      </c>
      <c r="D16" s="94">
        <v>0.16</v>
      </c>
    </row>
    <row r="18" spans="1:14" s="108" customFormat="1" ht="31" customHeight="1" x14ac:dyDescent="0.3">
      <c r="A18" s="132" t="str">
        <f>"COMMISSION PAYOUT SUMMARY for: " &amp;D6&amp;""</f>
        <v>COMMISSION PAYOUT SUMMARY for: Trailing 12 Months</v>
      </c>
      <c r="B18" s="132"/>
      <c r="C18" s="132"/>
      <c r="D18" s="132"/>
      <c r="E18" s="132"/>
      <c r="F18" s="132"/>
      <c r="G18" s="132"/>
      <c r="H18" s="132"/>
      <c r="I18" s="132"/>
      <c r="J18" s="132"/>
      <c r="K18" s="132"/>
      <c r="L18" s="132"/>
      <c r="M18" s="132"/>
      <c r="N18" s="132"/>
    </row>
    <row r="20" spans="1:14" s="107" customFormat="1" ht="22" customHeight="1" x14ac:dyDescent="0.25">
      <c r="A20" s="133" t="s">
        <v>98</v>
      </c>
      <c r="B20" s="133"/>
      <c r="C20" s="133"/>
      <c r="D20" s="133" t="s">
        <v>99</v>
      </c>
      <c r="E20" s="133"/>
      <c r="F20" s="133"/>
      <c r="G20" s="133" t="s">
        <v>100</v>
      </c>
      <c r="H20" s="133"/>
      <c r="I20" s="133"/>
      <c r="J20" s="133" t="s">
        <v>101</v>
      </c>
      <c r="K20" s="133"/>
      <c r="L20" s="133"/>
    </row>
    <row r="21" spans="1:14" ht="30" customHeight="1" x14ac:dyDescent="0.2">
      <c r="A21" s="138">
        <f>SUM($N$165:$N$214)</f>
        <v>582568.5</v>
      </c>
      <c r="B21" s="138"/>
      <c r="C21" s="138"/>
      <c r="D21" s="139">
        <f>SUM($H$165:$H$214)</f>
        <v>10862900</v>
      </c>
      <c r="E21" s="139"/>
      <c r="F21" s="139"/>
      <c r="G21" s="140">
        <f>IFERROR(SUM($H$165:$H$214)/SUM($G$165:$G$214),"")</f>
        <v>1.0285376130284525</v>
      </c>
      <c r="H21" s="140"/>
      <c r="I21" s="140"/>
      <c r="J21" s="141">
        <f>IFERROR(SUM($N$165:$N$214)/SUM($H$165:$H$214),"")</f>
        <v>5.3629187417724551E-2</v>
      </c>
      <c r="K21" s="141"/>
      <c r="L21" s="141"/>
    </row>
    <row r="22" spans="1:14" s="105" customFormat="1" ht="12.75" customHeight="1" x14ac:dyDescent="0.2">
      <c r="A22" s="135" t="s">
        <v>102</v>
      </c>
      <c r="B22" s="135"/>
      <c r="C22" s="135"/>
      <c r="D22" s="135" t="s">
        <v>103</v>
      </c>
      <c r="E22" s="135"/>
      <c r="F22" s="135"/>
      <c r="G22" s="135" t="s">
        <v>10</v>
      </c>
      <c r="H22" s="135"/>
      <c r="I22" s="135"/>
      <c r="J22" s="135" t="s">
        <v>104</v>
      </c>
      <c r="K22" s="135"/>
      <c r="L22" s="135"/>
    </row>
    <row r="24" spans="1:14" s="107" customFormat="1" ht="22" customHeight="1" x14ac:dyDescent="0.25">
      <c r="A24" s="133" t="s">
        <v>105</v>
      </c>
      <c r="B24" s="133"/>
      <c r="C24" s="133"/>
      <c r="D24" s="133" t="s">
        <v>106</v>
      </c>
      <c r="E24" s="133"/>
      <c r="F24" s="133"/>
      <c r="G24" s="133" t="s">
        <v>107</v>
      </c>
      <c r="H24" s="133"/>
      <c r="I24" s="133"/>
      <c r="J24" s="133" t="s">
        <v>108</v>
      </c>
      <c r="K24" s="133"/>
      <c r="L24" s="133"/>
    </row>
    <row r="25" spans="1:14" ht="30" customHeight="1" x14ac:dyDescent="0.2">
      <c r="A25" s="137">
        <f>COUNTIFS($F$165:$F$214,"Active",$J$165:$J$214,TRUE())</f>
        <v>37</v>
      </c>
      <c r="B25" s="137"/>
      <c r="C25" s="137"/>
      <c r="D25" s="137">
        <f>COUNTIFS($F$165:$F$214,"Active",$J$165:$J$214,FALSE())</f>
        <v>5</v>
      </c>
      <c r="E25" s="137"/>
      <c r="F25" s="137"/>
      <c r="G25" s="138">
        <f>IFERROR(SUM($N$165:$N$214)/COUNTIFS($F$165:$F$214,"Active",$J$165:$J$214,TRUE()),"")</f>
        <v>15745.094594594595</v>
      </c>
      <c r="H25" s="138"/>
      <c r="I25" s="138"/>
      <c r="J25" s="138">
        <f>SUM($L$165:$L$214)+SUM($M$165:$M$214)</f>
        <v>122882.5</v>
      </c>
      <c r="K25" s="138"/>
      <c r="L25" s="138"/>
    </row>
    <row r="26" spans="1:14" s="105" customFormat="1" ht="12.75" customHeight="1" x14ac:dyDescent="0.2">
      <c r="A26" s="135" t="s">
        <v>109</v>
      </c>
      <c r="B26" s="135"/>
      <c r="C26" s="135"/>
      <c r="D26" s="135" t="s">
        <v>110</v>
      </c>
      <c r="E26" s="135"/>
      <c r="F26" s="135"/>
      <c r="G26" s="135" t="s">
        <v>111</v>
      </c>
      <c r="H26" s="135"/>
      <c r="I26" s="135"/>
      <c r="J26" s="135" t="s">
        <v>112</v>
      </c>
      <c r="K26" s="135"/>
      <c r="L26" s="135"/>
    </row>
    <row r="29" spans="1:14" s="108" customFormat="1" ht="31" customHeight="1" x14ac:dyDescent="0.3">
      <c r="A29" s="132" t="s">
        <v>7282</v>
      </c>
      <c r="B29" s="132"/>
      <c r="C29" s="132"/>
      <c r="D29" s="132"/>
      <c r="E29" s="132"/>
      <c r="F29" s="132"/>
      <c r="G29" s="132"/>
      <c r="H29" s="132"/>
      <c r="I29" s="132"/>
      <c r="J29" s="132"/>
      <c r="K29" s="132"/>
      <c r="L29" s="132"/>
      <c r="M29" s="132"/>
      <c r="N29" s="132"/>
    </row>
    <row r="62" spans="1:14" s="108" customFormat="1" ht="31" customHeight="1" x14ac:dyDescent="0.3">
      <c r="A62" s="132" t="str">
        <f xml:space="preserve"> "COMMISSION BY ROLE &amp; TEAM for: " &amp;D6&amp;""</f>
        <v>COMMISSION BY ROLE &amp; TEAM for: Trailing 12 Months</v>
      </c>
      <c r="B62" s="132"/>
      <c r="C62" s="132"/>
      <c r="D62" s="132"/>
      <c r="E62" s="132"/>
      <c r="F62" s="132"/>
      <c r="G62" s="132"/>
      <c r="H62" s="132"/>
      <c r="I62" s="132"/>
      <c r="J62" s="132"/>
      <c r="K62" s="132"/>
      <c r="L62" s="132"/>
      <c r="M62" s="132"/>
      <c r="N62" s="132"/>
    </row>
    <row r="67" ht="18" customHeight="1" x14ac:dyDescent="0.2"/>
    <row r="68" ht="15" customHeight="1" x14ac:dyDescent="0.2"/>
    <row r="69" ht="15" customHeight="1" x14ac:dyDescent="0.2"/>
    <row r="70" ht="15" customHeight="1" x14ac:dyDescent="0.2"/>
    <row r="71" ht="15" customHeight="1" x14ac:dyDescent="0.2"/>
    <row r="79" ht="18" customHeight="1" x14ac:dyDescent="0.2"/>
    <row r="80" ht="15" customHeight="1" x14ac:dyDescent="0.2"/>
    <row r="81" spans="1:14" ht="15" customHeight="1" x14ac:dyDescent="0.2"/>
    <row r="82" spans="1:14" s="106" customFormat="1" ht="25" customHeight="1" x14ac:dyDescent="0.2">
      <c r="A82" s="123" t="s">
        <v>90</v>
      </c>
      <c r="B82" s="84" t="s">
        <v>113</v>
      </c>
      <c r="C82" s="84" t="s">
        <v>23</v>
      </c>
      <c r="D82" s="84" t="s">
        <v>114</v>
      </c>
      <c r="E82" s="84" t="s">
        <v>115</v>
      </c>
      <c r="G82" s="123" t="s">
        <v>20</v>
      </c>
      <c r="H82" s="84" t="s">
        <v>113</v>
      </c>
      <c r="I82" s="84" t="s">
        <v>23</v>
      </c>
      <c r="J82" s="84" t="s">
        <v>114</v>
      </c>
      <c r="K82" s="84" t="s">
        <v>115</v>
      </c>
    </row>
    <row r="83" spans="1:14" ht="15" customHeight="1" x14ac:dyDescent="0.2">
      <c r="A83" s="92" t="s">
        <v>94</v>
      </c>
      <c r="B83" s="91">
        <f>COUNTIFS($C$165:$C$214,A83,$F$165:$F$214,"Active",$J$165:$J$214,TRUE())</f>
        <v>20</v>
      </c>
      <c r="C83" s="90">
        <f>SUMIF($C$165:$C$214,A83,$H$165:$H$214)</f>
        <v>3630000</v>
      </c>
      <c r="D83" s="90">
        <f>SUMIF($C$165:$C$214,A83,$N$165:$N$214)</f>
        <v>112484</v>
      </c>
      <c r="E83" s="89">
        <f>IFERROR(D83/C83,"")</f>
        <v>3.0987327823691461E-2</v>
      </c>
      <c r="G83" s="92" t="s">
        <v>26</v>
      </c>
      <c r="H83" s="91">
        <f>COUNTIFS($D$165:$D$214,G83,$F$165:$F$214,"Active",$J$165:$J$214,TRUE())</f>
        <v>20</v>
      </c>
      <c r="I83" s="90">
        <f>SUMIF($D$165:$D$214,G83,$H$165:$H$214)</f>
        <v>3630000</v>
      </c>
      <c r="J83" s="90">
        <f>SUMIF($D$165:$D$214,G83,$N$165:$N$214)</f>
        <v>112484</v>
      </c>
      <c r="K83" s="89">
        <f>IFERROR(J83/I83,"")</f>
        <v>3.0987327823691461E-2</v>
      </c>
    </row>
    <row r="84" spans="1:14" x14ac:dyDescent="0.2">
      <c r="A84" s="88" t="s">
        <v>95</v>
      </c>
      <c r="B84" s="87">
        <f>COUNTIFS($C$165:$C$214,A84,$F$165:$F$214,"Active",$J$165:$J$214,TRUE())</f>
        <v>10</v>
      </c>
      <c r="C84" s="86">
        <f>SUMIF($C$165:$C$214,A84,$H$165:$H$214)</f>
        <v>2656200</v>
      </c>
      <c r="D84" s="86">
        <f>SUMIF($C$165:$C$214,A84,$N$165:$N$214)</f>
        <v>146810.5</v>
      </c>
      <c r="E84" s="85">
        <f>IFERROR(D84/C84,"")</f>
        <v>5.5270875687071758E-2</v>
      </c>
      <c r="G84" s="88" t="s">
        <v>27</v>
      </c>
      <c r="H84" s="87">
        <f>COUNTIFS($D$165:$D$214,G84,$F$165:$F$214,"Active",$J$165:$J$214,TRUE())</f>
        <v>10</v>
      </c>
      <c r="I84" s="86">
        <f>SUMIF($D$165:$D$214,G84,$H$165:$H$214)</f>
        <v>2656200</v>
      </c>
      <c r="J84" s="86">
        <f>SUMIF($D$165:$D$214,G84,$N$165:$N$214)</f>
        <v>146810.5</v>
      </c>
      <c r="K84" s="85">
        <f>IFERROR(J84/I84,"")</f>
        <v>5.5270875687071758E-2</v>
      </c>
    </row>
    <row r="85" spans="1:14" x14ac:dyDescent="0.2">
      <c r="A85" s="92" t="s">
        <v>96</v>
      </c>
      <c r="B85" s="91">
        <f>COUNTIFS($C$165:$C$214,A85,$F$165:$F$214,"Active",$J$165:$J$214,TRUE())</f>
        <v>4</v>
      </c>
      <c r="C85" s="90">
        <f>SUMIF($C$165:$C$214,A85,$H$165:$H$214)</f>
        <v>2337100</v>
      </c>
      <c r="D85" s="90">
        <f>SUMIF($C$165:$C$214,A85,$N$165:$N$214)</f>
        <v>156646</v>
      </c>
      <c r="E85" s="89">
        <f>IFERROR(D85/C85,"")</f>
        <v>6.7025801206623589E-2</v>
      </c>
      <c r="G85" s="92" t="s">
        <v>28</v>
      </c>
      <c r="H85" s="91">
        <f>COUNTIFS($D$165:$D$214,G85,$F$165:$F$214,"Active",$J$165:$J$214,TRUE())</f>
        <v>4</v>
      </c>
      <c r="I85" s="90">
        <f>SUMIF($D$165:$D$214,G85,$H$165:$H$214)</f>
        <v>2337100</v>
      </c>
      <c r="J85" s="90">
        <f>SUMIF($D$165:$D$214,G85,$N$165:$N$214)</f>
        <v>156646</v>
      </c>
      <c r="K85" s="89">
        <f>IFERROR(J85/I85,"")</f>
        <v>6.7025801206623589E-2</v>
      </c>
    </row>
    <row r="86" spans="1:14" x14ac:dyDescent="0.2">
      <c r="A86" s="88" t="s">
        <v>97</v>
      </c>
      <c r="B86" s="87">
        <f>COUNTIFS($C$165:$C$214,A86,$F$165:$F$214,"Active",$J$165:$J$214,TRUE())</f>
        <v>3</v>
      </c>
      <c r="C86" s="86">
        <f>SUMIF($C$165:$C$214,A86,$H$165:$H$214)</f>
        <v>2239600</v>
      </c>
      <c r="D86" s="86">
        <f>SUMIF($C$165:$C$214,A86,$N$165:$N$214)</f>
        <v>166628</v>
      </c>
      <c r="E86" s="85">
        <f>IFERROR(D86/C86,"")</f>
        <v>7.4400785854616902E-2</v>
      </c>
      <c r="G86" s="88" t="s">
        <v>29</v>
      </c>
      <c r="H86" s="87">
        <f>COUNTIFS($D$165:$D$214,G86,$F$165:$F$214,"Active",$J$165:$J$214,TRUE())</f>
        <v>3</v>
      </c>
      <c r="I86" s="86">
        <f>SUMIF($D$165:$D$214,G86,$H$165:$H$214)</f>
        <v>2239600</v>
      </c>
      <c r="J86" s="86">
        <f>SUMIF($D$165:$D$214,G86,$N$165:$N$214)</f>
        <v>166628</v>
      </c>
      <c r="K86" s="85">
        <f>IFERROR(J86/I86,"")</f>
        <v>7.4400785854616902E-2</v>
      </c>
    </row>
    <row r="89" spans="1:14" s="108" customFormat="1" ht="31" customHeight="1" x14ac:dyDescent="0.3">
      <c r="A89" s="132" t="str">
        <f>"PER-REP COMMISSION for: " &amp;D6&amp;" (RANKED BY PAYOUT)"</f>
        <v>PER-REP COMMISSION for: Trailing 12 Months (RANKED BY PAYOUT)</v>
      </c>
      <c r="B89" s="132"/>
      <c r="C89" s="132"/>
      <c r="D89" s="132"/>
      <c r="E89" s="132"/>
      <c r="F89" s="132"/>
      <c r="G89" s="132"/>
      <c r="H89" s="132"/>
      <c r="I89" s="132"/>
      <c r="J89" s="132"/>
      <c r="K89" s="132"/>
      <c r="L89" s="132"/>
      <c r="M89" s="132"/>
      <c r="N89" s="132"/>
    </row>
    <row r="91" spans="1:14" ht="27.75" customHeight="1" x14ac:dyDescent="0.2">
      <c r="A91" s="123" t="s">
        <v>36</v>
      </c>
      <c r="B91" s="84" t="s">
        <v>37</v>
      </c>
      <c r="C91" s="84" t="s">
        <v>90</v>
      </c>
      <c r="D91" s="84" t="s">
        <v>20</v>
      </c>
      <c r="E91" s="84" t="s">
        <v>30</v>
      </c>
      <c r="F91" s="84" t="s">
        <v>22</v>
      </c>
      <c r="G91" s="84" t="s">
        <v>23</v>
      </c>
      <c r="H91" s="84" t="s">
        <v>24</v>
      </c>
      <c r="I91" s="84" t="s">
        <v>116</v>
      </c>
      <c r="J91" s="84" t="s">
        <v>117</v>
      </c>
      <c r="K91" s="84" t="s">
        <v>118</v>
      </c>
      <c r="L91" s="84" t="s">
        <v>119</v>
      </c>
      <c r="M91" s="84" t="s">
        <v>114</v>
      </c>
      <c r="N91" s="84" t="s">
        <v>120</v>
      </c>
    </row>
    <row r="92" spans="1:14" ht="15" customHeight="1" x14ac:dyDescent="0.2">
      <c r="A92" s="83">
        <v>1</v>
      </c>
      <c r="B92" s="81" t="str">
        <f>IFERROR(INDEX($B$165:$B$214,MATCH(LARGE($P$165:$P$214,1),$P$165:$P$214,0)),"")</f>
        <v>Fatima Rossi</v>
      </c>
      <c r="C92" s="81" t="str">
        <f>IFERROR(INDEX($C$165:$C$214,MATCH(LARGE($P$165:$P$214,1),$P$165:$P$214,0)),"")</f>
        <v>Senior Enterprise AE</v>
      </c>
      <c r="D92" s="81" t="str">
        <f>IFERROR(INDEX($D$165:$D$214,MATCH(LARGE($P$165:$P$214,1),$P$165:$P$214,0)),"")</f>
        <v>Strategic</v>
      </c>
      <c r="E92" s="81" t="str">
        <f>IFERROR(INDEX($E$165:$E$214,MATCH(LARGE($P$165:$P$214,1),$P$165:$P$214,0)),"")</f>
        <v>NAMER</v>
      </c>
      <c r="F92" s="80">
        <f>IFERROR(INDEX($G$165:$G$214,MATCH(LARGE($P$165:$P$214,1),$P$165:$P$214,0)),"")</f>
        <v>565500</v>
      </c>
      <c r="G92" s="80">
        <f>IFERROR(INDEX($H$165:$H$214,MATCH(LARGE($P$165:$P$214,1),$P$165:$P$214,0)),"")</f>
        <v>719200</v>
      </c>
      <c r="H92" s="82">
        <f>IFERROR(INDEX($I$165:$I$214,MATCH(LARGE($P$165:$P$214,1),$P$165:$P$214,0)),"")</f>
        <v>1.2717948717948717</v>
      </c>
      <c r="I92" s="81" t="b">
        <f>IFERROR(INDEX($J$165:$J$214,MATCH(LARGE($P$165:$P$214,1),$P$165:$P$214,0)),"")</f>
        <v>1</v>
      </c>
      <c r="J92" s="80">
        <f>IFERROR(INDEX($K$165:$K$214,MATCH(LARGE($P$165:$P$214,1),$P$165:$P$214,0)),"")</f>
        <v>39585.000000000007</v>
      </c>
      <c r="K92" s="80">
        <f>IFERROR(INDEX($L$165:$L$214,MATCH(LARGE($P$165:$P$214,1),$P$165:$P$214,0)),"")</f>
        <v>16907</v>
      </c>
      <c r="L92" s="80">
        <f>IFERROR(INDEX($M$165:$M$214,MATCH(LARGE($P$165:$P$214,1),$P$165:$P$214,0)),"")</f>
        <v>0</v>
      </c>
      <c r="M92" s="80">
        <f>IFERROR(INDEX($N$165:$N$214,MATCH(LARGE($P$165:$P$214,1),$P$165:$P$214,0)),"")</f>
        <v>56492.000000000007</v>
      </c>
      <c r="N92" s="79">
        <f>IFERROR(INDEX($O$165:$O$214,MATCH(LARGE($P$165:$P$214,1),$P$165:$P$214,0)),"")</f>
        <v>7.8548387096774197E-2</v>
      </c>
    </row>
    <row r="93" spans="1:14" ht="15" customHeight="1" x14ac:dyDescent="0.2">
      <c r="A93" s="78">
        <v>2</v>
      </c>
      <c r="B93" s="76" t="str">
        <f>IFERROR(INDEX($B$165:$B$214,MATCH(LARGE($P$165:$P$214,2),$P$165:$P$214,0)),"")</f>
        <v>Cameron Lund</v>
      </c>
      <c r="C93" s="76" t="str">
        <f>IFERROR(INDEX($C$165:$C$214,MATCH(LARGE($P$165:$P$214,2),$P$165:$P$214,0)),"")</f>
        <v>Senior Enterprise AE</v>
      </c>
      <c r="D93" s="76" t="str">
        <f>IFERROR(INDEX($D$165:$D$214,MATCH(LARGE($P$165:$P$214,2),$P$165:$P$214,0)),"")</f>
        <v>Strategic</v>
      </c>
      <c r="E93" s="76" t="str">
        <f>IFERROR(INDEX($E$165:$E$214,MATCH(LARGE($P$165:$P$214,2),$P$165:$P$214,0)),"")</f>
        <v>LATAM</v>
      </c>
      <c r="F93" s="75">
        <f>IFERROR(INDEX($G$165:$G$214,MATCH(LARGE($P$165:$P$214,2),$P$165:$P$214,0)),"")</f>
        <v>575500</v>
      </c>
      <c r="G93" s="75">
        <f>IFERROR(INDEX($H$165:$H$214,MATCH(LARGE($P$165:$P$214,2),$P$165:$P$214,0)),"")</f>
        <v>668200</v>
      </c>
      <c r="H93" s="77">
        <f>IFERROR(INDEX($I$165:$I$214,MATCH(LARGE($P$165:$P$214,2),$P$165:$P$214,0)),"")</f>
        <v>1.1610773240660295</v>
      </c>
      <c r="I93" s="76" t="b">
        <f>IFERROR(INDEX($J$165:$J$214,MATCH(LARGE($P$165:$P$214,2),$P$165:$P$214,0)),"")</f>
        <v>1</v>
      </c>
      <c r="J93" s="75">
        <f>IFERROR(INDEX($K$165:$K$214,MATCH(LARGE($P$165:$P$214,2),$P$165:$P$214,0)),"")</f>
        <v>40285.000000000007</v>
      </c>
      <c r="K93" s="75">
        <f>IFERROR(INDEX($L$165:$L$214,MATCH(LARGE($P$165:$P$214,2),$P$165:$P$214,0)),"")</f>
        <v>10197</v>
      </c>
      <c r="L93" s="75">
        <f>IFERROR(INDEX($M$165:$M$214,MATCH(LARGE($P$165:$P$214,2),$P$165:$P$214,0)),"")</f>
        <v>0</v>
      </c>
      <c r="M93" s="75">
        <f>IFERROR(INDEX($N$165:$N$214,MATCH(LARGE($P$165:$P$214,2),$P$165:$P$214,0)),"")</f>
        <v>50482.000000000007</v>
      </c>
      <c r="N93" s="74">
        <f>IFERROR(INDEX($O$165:$O$214,MATCH(LARGE($P$165:$P$214,2),$P$165:$P$214,0)),"")</f>
        <v>7.5549236755462448E-2</v>
      </c>
    </row>
    <row r="94" spans="1:14" ht="15" customHeight="1" x14ac:dyDescent="0.2">
      <c r="A94" s="83">
        <v>3</v>
      </c>
      <c r="B94" s="81" t="str">
        <f>IFERROR(INDEX($B$165:$B$214,MATCH(LARGE($P$165:$P$214,3),$P$165:$P$214,0)),"")</f>
        <v>Sara Andersson</v>
      </c>
      <c r="C94" s="81" t="str">
        <f>IFERROR(INDEX($C$165:$C$214,MATCH(LARGE($P$165:$P$214,3),$P$165:$P$214,0)),"")</f>
        <v>Senior Enterprise AE</v>
      </c>
      <c r="D94" s="81" t="str">
        <f>IFERROR(INDEX($D$165:$D$214,MATCH(LARGE($P$165:$P$214,3),$P$165:$P$214,0)),"")</f>
        <v>Strategic</v>
      </c>
      <c r="E94" s="81" t="str">
        <f>IFERROR(INDEX($E$165:$E$214,MATCH(LARGE($P$165:$P$214,3),$P$165:$P$214,0)),"")</f>
        <v>APAC</v>
      </c>
      <c r="F94" s="80">
        <f>IFERROR(INDEX($G$165:$G$214,MATCH(LARGE($P$165:$P$214,3),$P$165:$P$214,0)),"")</f>
        <v>575900</v>
      </c>
      <c r="G94" s="80">
        <f>IFERROR(INDEX($H$165:$H$214,MATCH(LARGE($P$165:$P$214,3),$P$165:$P$214,0)),"")</f>
        <v>478200</v>
      </c>
      <c r="H94" s="82">
        <f>IFERROR(INDEX($I$165:$I$214,MATCH(LARGE($P$165:$P$214,3),$P$165:$P$214,0)),"")</f>
        <v>0.83035249175204029</v>
      </c>
      <c r="I94" s="81" t="b">
        <f>IFERROR(INDEX($J$165:$J$214,MATCH(LARGE($P$165:$P$214,3),$P$165:$P$214,0)),"")</f>
        <v>1</v>
      </c>
      <c r="J94" s="80">
        <f>IFERROR(INDEX($K$165:$K$214,MATCH(LARGE($P$165:$P$214,3),$P$165:$P$214,0)),"")</f>
        <v>33474</v>
      </c>
      <c r="K94" s="80">
        <f>IFERROR(INDEX($L$165:$L$214,MATCH(LARGE($P$165:$P$214,3),$P$165:$P$214,0)),"")</f>
        <v>0</v>
      </c>
      <c r="L94" s="80">
        <f>IFERROR(INDEX($M$165:$M$214,MATCH(LARGE($P$165:$P$214,3),$P$165:$P$214,0)),"")</f>
        <v>0</v>
      </c>
      <c r="M94" s="80">
        <f>IFERROR(INDEX($N$165:$N$214,MATCH(LARGE($P$165:$P$214,3),$P$165:$P$214,0)),"")</f>
        <v>33474</v>
      </c>
      <c r="N94" s="79">
        <f>IFERROR(INDEX($O$165:$O$214,MATCH(LARGE($P$165:$P$214,3),$P$165:$P$214,0)),"")</f>
        <v>7.0000000000000007E-2</v>
      </c>
    </row>
    <row r="95" spans="1:14" ht="15" customHeight="1" x14ac:dyDescent="0.2">
      <c r="A95" s="78">
        <v>4</v>
      </c>
      <c r="B95" s="76" t="str">
        <f>IFERROR(INDEX($B$165:$B$214,MATCH(LARGE($P$165:$P$214,4),$P$165:$P$214,0)),"")</f>
        <v>Milo Weber</v>
      </c>
      <c r="C95" s="76" t="str">
        <f>IFERROR(INDEX($C$165:$C$214,MATCH(LARGE($P$165:$P$214,4),$P$165:$P$214,0)),"")</f>
        <v>Enterprise AE</v>
      </c>
      <c r="D95" s="76" t="str">
        <f>IFERROR(INDEX($D$165:$D$214,MATCH(LARGE($P$165:$P$214,4),$P$165:$P$214,0)),"")</f>
        <v>Enterprise</v>
      </c>
      <c r="E95" s="76" t="str">
        <f>IFERROR(INDEX($E$165:$E$214,MATCH(LARGE($P$165:$P$214,4),$P$165:$P$214,0)),"")</f>
        <v>NAMER</v>
      </c>
      <c r="F95" s="75">
        <f>IFERROR(INDEX($G$165:$G$214,MATCH(LARGE($P$165:$P$214,4),$P$165:$P$214,0)),"")</f>
        <v>387900</v>
      </c>
      <c r="G95" s="75">
        <f>IFERROR(INDEX($H$165:$H$214,MATCH(LARGE($P$165:$P$214,4),$P$165:$P$214,0)),"")</f>
        <v>473100</v>
      </c>
      <c r="H95" s="77">
        <f>IFERROR(INDEX($I$165:$I$214,MATCH(LARGE($P$165:$P$214,4),$P$165:$P$214,0)),"")</f>
        <v>1.2196442382057231</v>
      </c>
      <c r="I95" s="76" t="b">
        <f>IFERROR(INDEX($J$165:$J$214,MATCH(LARGE($P$165:$P$214,4),$P$165:$P$214,0)),"")</f>
        <v>1</v>
      </c>
      <c r="J95" s="75">
        <f>IFERROR(INDEX($K$165:$K$214,MATCH(LARGE($P$165:$P$214,4),$P$165:$P$214,0)),"")</f>
        <v>23274</v>
      </c>
      <c r="K95" s="75">
        <f>IFERROR(INDEX($L$165:$L$214,MATCH(LARGE($P$165:$P$214,4),$P$165:$P$214,0)),"")</f>
        <v>8520</v>
      </c>
      <c r="L95" s="75">
        <f>IFERROR(INDEX($M$165:$M$214,MATCH(LARGE($P$165:$P$214,4),$P$165:$P$214,0)),"")</f>
        <v>0</v>
      </c>
      <c r="M95" s="75">
        <f>IFERROR(INDEX($N$165:$N$214,MATCH(LARGE($P$165:$P$214,4),$P$165:$P$214,0)),"")</f>
        <v>31794</v>
      </c>
      <c r="N95" s="74">
        <f>IFERROR(INDEX($O$165:$O$214,MATCH(LARGE($P$165:$P$214,4),$P$165:$P$214,0)),"")</f>
        <v>6.720355104629043E-2</v>
      </c>
    </row>
    <row r="96" spans="1:14" ht="15" customHeight="1" x14ac:dyDescent="0.2">
      <c r="A96" s="83">
        <v>5</v>
      </c>
      <c r="B96" s="81" t="str">
        <f>IFERROR(INDEX($B$165:$B$214,MATCH(LARGE($P$165:$P$214,5),$P$165:$P$214,0)),"")</f>
        <v>Sam Schmidt</v>
      </c>
      <c r="C96" s="81" t="str">
        <f>IFERROR(INDEX($C$165:$C$214,MATCH(LARGE($P$165:$P$214,5),$P$165:$P$214,0)),"")</f>
        <v>Enterprise AE</v>
      </c>
      <c r="D96" s="81" t="str">
        <f>IFERROR(INDEX($D$165:$D$214,MATCH(LARGE($P$165:$P$214,5),$P$165:$P$214,0)),"")</f>
        <v>Enterprise</v>
      </c>
      <c r="E96" s="81" t="str">
        <f>IFERROR(INDEX($E$165:$E$214,MATCH(LARGE($P$165:$P$214,5),$P$165:$P$214,0)),"")</f>
        <v>EMEA</v>
      </c>
      <c r="F96" s="80">
        <f>IFERROR(INDEX($G$165:$G$214,MATCH(LARGE($P$165:$P$214,5),$P$165:$P$214,0)),"")</f>
        <v>381100</v>
      </c>
      <c r="G96" s="80">
        <f>IFERROR(INDEX($H$165:$H$214,MATCH(LARGE($P$165:$P$214,5),$P$165:$P$214,0)),"")</f>
        <v>450300</v>
      </c>
      <c r="H96" s="82">
        <f>IFERROR(INDEX($I$165:$I$214,MATCH(LARGE($P$165:$P$214,5),$P$165:$P$214,0)),"")</f>
        <v>1.1815796378903174</v>
      </c>
      <c r="I96" s="81" t="b">
        <f>IFERROR(INDEX($J$165:$J$214,MATCH(LARGE($P$165:$P$214,5),$P$165:$P$214,0)),"")</f>
        <v>1</v>
      </c>
      <c r="J96" s="80">
        <f>IFERROR(INDEX($K$165:$K$214,MATCH(LARGE($P$165:$P$214,5),$P$165:$P$214,0)),"")</f>
        <v>22866</v>
      </c>
      <c r="K96" s="80">
        <f>IFERROR(INDEX($L$165:$L$214,MATCH(LARGE($P$165:$P$214,5),$P$165:$P$214,0)),"")</f>
        <v>6920</v>
      </c>
      <c r="L96" s="80">
        <f>IFERROR(INDEX($M$165:$M$214,MATCH(LARGE($P$165:$P$214,5),$P$165:$P$214,0)),"")</f>
        <v>0</v>
      </c>
      <c r="M96" s="80">
        <f>IFERROR(INDEX($N$165:$N$214,MATCH(LARGE($P$165:$P$214,5),$P$165:$P$214,0)),"")</f>
        <v>29786</v>
      </c>
      <c r="N96" s="79">
        <f>IFERROR(INDEX($O$165:$O$214,MATCH(LARGE($P$165:$P$214,5),$P$165:$P$214,0)),"")</f>
        <v>6.6147013102376195E-2</v>
      </c>
    </row>
    <row r="97" spans="1:14" ht="15" customHeight="1" x14ac:dyDescent="0.2">
      <c r="A97" s="78">
        <v>6</v>
      </c>
      <c r="B97" s="76" t="str">
        <f>IFERROR(INDEX($B$165:$B$214,MATCH(LARGE($P$165:$P$214,6),$P$165:$P$214,0)),"")</f>
        <v>Zara Duarte</v>
      </c>
      <c r="C97" s="76" t="str">
        <f>IFERROR(INDEX($C$165:$C$214,MATCH(LARGE($P$165:$P$214,6),$P$165:$P$214,0)),"")</f>
        <v>Enterprise AE</v>
      </c>
      <c r="D97" s="76" t="str">
        <f>IFERROR(INDEX($D$165:$D$214,MATCH(LARGE($P$165:$P$214,6),$P$165:$P$214,0)),"")</f>
        <v>Enterprise</v>
      </c>
      <c r="E97" s="76" t="str">
        <f>IFERROR(INDEX($E$165:$E$214,MATCH(LARGE($P$165:$P$214,6),$P$165:$P$214,0)),"")</f>
        <v>NAMER</v>
      </c>
      <c r="F97" s="75">
        <f>IFERROR(INDEX($G$165:$G$214,MATCH(LARGE($P$165:$P$214,6),$P$165:$P$214,0)),"")</f>
        <v>380500</v>
      </c>
      <c r="G97" s="75">
        <f>IFERROR(INDEX($H$165:$H$214,MATCH(LARGE($P$165:$P$214,6),$P$165:$P$214,0)),"")</f>
        <v>423000</v>
      </c>
      <c r="H97" s="77">
        <f>IFERROR(INDEX($I$165:$I$214,MATCH(LARGE($P$165:$P$214,6),$P$165:$P$214,0)),"")</f>
        <v>1.1116951379763469</v>
      </c>
      <c r="I97" s="76" t="b">
        <f>IFERROR(INDEX($J$165:$J$214,MATCH(LARGE($P$165:$P$214,6),$P$165:$P$214,0)),"")</f>
        <v>1</v>
      </c>
      <c r="J97" s="75">
        <f>IFERROR(INDEX($K$165:$K$214,MATCH(LARGE($P$165:$P$214,6),$P$165:$P$214,0)),"")</f>
        <v>22830</v>
      </c>
      <c r="K97" s="75">
        <f>IFERROR(INDEX($L$165:$L$214,MATCH(LARGE($P$165:$P$214,6),$P$165:$P$214,0)),"")</f>
        <v>4250</v>
      </c>
      <c r="L97" s="75">
        <f>IFERROR(INDEX($M$165:$M$214,MATCH(LARGE($P$165:$P$214,6),$P$165:$P$214,0)),"")</f>
        <v>0</v>
      </c>
      <c r="M97" s="75">
        <f>IFERROR(INDEX($N$165:$N$214,MATCH(LARGE($P$165:$P$214,6),$P$165:$P$214,0)),"")</f>
        <v>27080</v>
      </c>
      <c r="N97" s="74">
        <f>IFERROR(INDEX($O$165:$O$214,MATCH(LARGE($P$165:$P$214,6),$P$165:$P$214,0)),"")</f>
        <v>6.4018912529550831E-2</v>
      </c>
    </row>
    <row r="98" spans="1:14" ht="15" customHeight="1" x14ac:dyDescent="0.2">
      <c r="A98" s="83">
        <v>7</v>
      </c>
      <c r="B98" s="81" t="str">
        <f>IFERROR(INDEX($B$165:$B$214,MATCH(LARGE($P$165:$P$214,7),$P$165:$P$214,0)),"")</f>
        <v>Erik Duarte</v>
      </c>
      <c r="C98" s="81" t="str">
        <f>IFERROR(INDEX($C$165:$C$214,MATCH(LARGE($P$165:$P$214,7),$P$165:$P$214,0)),"")</f>
        <v>Mid-Market AE</v>
      </c>
      <c r="D98" s="81" t="str">
        <f>IFERROR(INDEX($D$165:$D$214,MATCH(LARGE($P$165:$P$214,7),$P$165:$P$214,0)),"")</f>
        <v>Mid-Market</v>
      </c>
      <c r="E98" s="81" t="str">
        <f>IFERROR(INDEX($E$165:$E$214,MATCH(LARGE($P$165:$P$214,7),$P$165:$P$214,0)),"")</f>
        <v>EMEA</v>
      </c>
      <c r="F98" s="80">
        <f>IFERROR(INDEX($G$165:$G$214,MATCH(LARGE($P$165:$P$214,7),$P$165:$P$214,0)),"")</f>
        <v>263800</v>
      </c>
      <c r="G98" s="80">
        <f>IFERROR(INDEX($H$165:$H$214,MATCH(LARGE($P$165:$P$214,7),$P$165:$P$214,0)),"")</f>
        <v>397800</v>
      </c>
      <c r="H98" s="82">
        <f>IFERROR(INDEX($I$165:$I$214,MATCH(LARGE($P$165:$P$214,7),$P$165:$P$214,0)),"")</f>
        <v>1.5079605761940864</v>
      </c>
      <c r="I98" s="81" t="b">
        <f>IFERROR(INDEX($J$165:$J$214,MATCH(LARGE($P$165:$P$214,7),$P$165:$P$214,0)),"")</f>
        <v>1</v>
      </c>
      <c r="J98" s="80">
        <f>IFERROR(INDEX($K$165:$K$214,MATCH(LARGE($P$165:$P$214,7),$P$165:$P$214,0)),"")</f>
        <v>13190</v>
      </c>
      <c r="K98" s="80">
        <f>IFERROR(INDEX($L$165:$L$214,MATCH(LARGE($P$165:$P$214,7),$P$165:$P$214,0)),"")</f>
        <v>10552</v>
      </c>
      <c r="L98" s="80">
        <f>IFERROR(INDEX($M$165:$M$214,MATCH(LARGE($P$165:$P$214,7),$P$165:$P$214,0)),"")</f>
        <v>231</v>
      </c>
      <c r="M98" s="80">
        <f>IFERROR(INDEX($N$165:$N$214,MATCH(LARGE($P$165:$P$214,7),$P$165:$P$214,0)),"")</f>
        <v>23973</v>
      </c>
      <c r="N98" s="79">
        <f>IFERROR(INDEX($O$165:$O$214,MATCH(LARGE($P$165:$P$214,7),$P$165:$P$214,0)),"")</f>
        <v>6.0263951734539967E-2</v>
      </c>
    </row>
    <row r="99" spans="1:14" ht="15" customHeight="1" x14ac:dyDescent="0.2">
      <c r="A99" s="78">
        <v>8</v>
      </c>
      <c r="B99" s="76" t="str">
        <f>IFERROR(INDEX($B$165:$B$214,MATCH(LARGE($P$165:$P$214,8),$P$165:$P$214,0)),"")</f>
        <v>Noah Kim</v>
      </c>
      <c r="C99" s="76" t="str">
        <f>IFERROR(INDEX($C$165:$C$214,MATCH(LARGE($P$165:$P$214,8),$P$165:$P$214,0)),"")</f>
        <v>Enterprise AE</v>
      </c>
      <c r="D99" s="76" t="str">
        <f>IFERROR(INDEX($D$165:$D$214,MATCH(LARGE($P$165:$P$214,8),$P$165:$P$214,0)),"")</f>
        <v>Enterprise</v>
      </c>
      <c r="E99" s="76" t="str">
        <f>IFERROR(INDEX($E$165:$E$214,MATCH(LARGE($P$165:$P$214,8),$P$165:$P$214,0)),"")</f>
        <v>LATAM</v>
      </c>
      <c r="F99" s="75">
        <f>IFERROR(INDEX($G$165:$G$214,MATCH(LARGE($P$165:$P$214,8),$P$165:$P$214,0)),"")</f>
        <v>385300</v>
      </c>
      <c r="G99" s="75">
        <f>IFERROR(INDEX($H$165:$H$214,MATCH(LARGE($P$165:$P$214,8),$P$165:$P$214,0)),"")</f>
        <v>369900</v>
      </c>
      <c r="H99" s="77">
        <f>IFERROR(INDEX($I$165:$I$214,MATCH(LARGE($P$165:$P$214,8),$P$165:$P$214,0)),"")</f>
        <v>0.96003114456267846</v>
      </c>
      <c r="I99" s="76" t="b">
        <f>IFERROR(INDEX($J$165:$J$214,MATCH(LARGE($P$165:$P$214,8),$P$165:$P$214,0)),"")</f>
        <v>1</v>
      </c>
      <c r="J99" s="75">
        <f>IFERROR(INDEX($K$165:$K$214,MATCH(LARGE($P$165:$P$214,8),$P$165:$P$214,0)),"")</f>
        <v>22194</v>
      </c>
      <c r="K99" s="75">
        <f>IFERROR(INDEX($L$165:$L$214,MATCH(LARGE($P$165:$P$214,8),$P$165:$P$214,0)),"")</f>
        <v>0</v>
      </c>
      <c r="L99" s="75">
        <f>IFERROR(INDEX($M$165:$M$214,MATCH(LARGE($P$165:$P$214,8),$P$165:$P$214,0)),"")</f>
        <v>0</v>
      </c>
      <c r="M99" s="75">
        <f>IFERROR(INDEX($N$165:$N$214,MATCH(LARGE($P$165:$P$214,8),$P$165:$P$214,0)),"")</f>
        <v>22194</v>
      </c>
      <c r="N99" s="74">
        <f>IFERROR(INDEX($O$165:$O$214,MATCH(LARGE($P$165:$P$214,8),$P$165:$P$214,0)),"")</f>
        <v>0.06</v>
      </c>
    </row>
    <row r="100" spans="1:14" ht="15" customHeight="1" x14ac:dyDescent="0.2">
      <c r="A100" s="83">
        <v>9</v>
      </c>
      <c r="B100" s="81" t="str">
        <f>IFERROR(INDEX($B$165:$B$214,MATCH(LARGE($P$165:$P$214,9),$P$165:$P$214,0)),"")</f>
        <v>Yuki Dubois</v>
      </c>
      <c r="C100" s="81" t="str">
        <f>IFERROR(INDEX($C$165:$C$214,MATCH(LARGE($P$165:$P$214,9),$P$165:$P$214,0)),"")</f>
        <v>Mid-Market AE</v>
      </c>
      <c r="D100" s="81" t="str">
        <f>IFERROR(INDEX($D$165:$D$214,MATCH(LARGE($P$165:$P$214,9),$P$165:$P$214,0)),"")</f>
        <v>Mid-Market</v>
      </c>
      <c r="E100" s="81" t="str">
        <f>IFERROR(INDEX($E$165:$E$214,MATCH(LARGE($P$165:$P$214,9),$P$165:$P$214,0)),"")</f>
        <v>LATAM</v>
      </c>
      <c r="F100" s="80">
        <f>IFERROR(INDEX($G$165:$G$214,MATCH(LARGE($P$165:$P$214,9),$P$165:$P$214,0)),"")</f>
        <v>264100</v>
      </c>
      <c r="G100" s="80">
        <f>IFERROR(INDEX($H$165:$H$214,MATCH(LARGE($P$165:$P$214,9),$P$165:$P$214,0)),"")</f>
        <v>360400</v>
      </c>
      <c r="H100" s="82">
        <f>IFERROR(INDEX($I$165:$I$214,MATCH(LARGE($P$165:$P$214,9),$P$165:$P$214,0)),"")</f>
        <v>1.3646346081029912</v>
      </c>
      <c r="I100" s="81" t="b">
        <f>IFERROR(INDEX($J$165:$J$214,MATCH(LARGE($P$165:$P$214,9),$P$165:$P$214,0)),"")</f>
        <v>1</v>
      </c>
      <c r="J100" s="80">
        <f>IFERROR(INDEX($K$165:$K$214,MATCH(LARGE($P$165:$P$214,9),$P$165:$P$214,0)),"")</f>
        <v>13205</v>
      </c>
      <c r="K100" s="80">
        <f>IFERROR(INDEX($L$165:$L$214,MATCH(LARGE($P$165:$P$214,9),$P$165:$P$214,0)),"")</f>
        <v>7704</v>
      </c>
      <c r="L100" s="80">
        <f>IFERROR(INDEX($M$165:$M$214,MATCH(LARGE($P$165:$P$214,9),$P$165:$P$214,0)),"")</f>
        <v>0</v>
      </c>
      <c r="M100" s="80">
        <f>IFERROR(INDEX($N$165:$N$214,MATCH(LARGE($P$165:$P$214,9),$P$165:$P$214,0)),"")</f>
        <v>20909</v>
      </c>
      <c r="N100" s="79">
        <f>IFERROR(INDEX($O$165:$O$214,MATCH(LARGE($P$165:$P$214,9),$P$165:$P$214,0)),"")</f>
        <v>5.8016093229744728E-2</v>
      </c>
    </row>
    <row r="101" spans="1:14" ht="15" customHeight="1" x14ac:dyDescent="0.2">
      <c r="A101" s="78">
        <v>10</v>
      </c>
      <c r="B101" s="76" t="str">
        <f>IFERROR(INDEX($B$165:$B$214,MATCH(LARGE($P$165:$P$214,10),$P$165:$P$214,0)),"")</f>
        <v>Felix Okafor</v>
      </c>
      <c r="C101" s="76" t="str">
        <f>IFERROR(INDEX($C$165:$C$214,MATCH(LARGE($P$165:$P$214,10),$P$165:$P$214,0)),"")</f>
        <v>Mid-Market AE</v>
      </c>
      <c r="D101" s="76" t="str">
        <f>IFERROR(INDEX($D$165:$D$214,MATCH(LARGE($P$165:$P$214,10),$P$165:$P$214,0)),"")</f>
        <v>Mid-Market</v>
      </c>
      <c r="E101" s="76" t="str">
        <f>IFERROR(INDEX($E$165:$E$214,MATCH(LARGE($P$165:$P$214,10),$P$165:$P$214,0)),"")</f>
        <v>EMEA</v>
      </c>
      <c r="F101" s="75">
        <f>IFERROR(INDEX($G$165:$G$214,MATCH(LARGE($P$165:$P$214,10),$P$165:$P$214,0)),"")</f>
        <v>263400</v>
      </c>
      <c r="G101" s="75">
        <f>IFERROR(INDEX($H$165:$H$214,MATCH(LARGE($P$165:$P$214,10),$P$165:$P$214,0)),"")</f>
        <v>354500</v>
      </c>
      <c r="H101" s="77">
        <f>IFERROR(INDEX($I$165:$I$214,MATCH(LARGE($P$165:$P$214,10),$P$165:$P$214,0)),"")</f>
        <v>1.3458618071374335</v>
      </c>
      <c r="I101" s="76" t="b">
        <f>IFERROR(INDEX($J$165:$J$214,MATCH(LARGE($P$165:$P$214,10),$P$165:$P$214,0)),"")</f>
        <v>1</v>
      </c>
      <c r="J101" s="75">
        <f>IFERROR(INDEX($K$165:$K$214,MATCH(LARGE($P$165:$P$214,10),$P$165:$P$214,0)),"")</f>
        <v>13170</v>
      </c>
      <c r="K101" s="75">
        <f>IFERROR(INDEX($L$165:$L$214,MATCH(LARGE($P$165:$P$214,10),$P$165:$P$214,0)),"")</f>
        <v>7288</v>
      </c>
      <c r="L101" s="75">
        <f>IFERROR(INDEX($M$165:$M$214,MATCH(LARGE($P$165:$P$214,10),$P$165:$P$214,0)),"")</f>
        <v>0</v>
      </c>
      <c r="M101" s="75">
        <f>IFERROR(INDEX($N$165:$N$214,MATCH(LARGE($P$165:$P$214,10),$P$165:$P$214,0)),"")</f>
        <v>20458</v>
      </c>
      <c r="N101" s="74">
        <f>IFERROR(INDEX($O$165:$O$214,MATCH(LARGE($P$165:$P$214,10),$P$165:$P$214,0)),"")</f>
        <v>5.7709449929478136E-2</v>
      </c>
    </row>
    <row r="102" spans="1:14" ht="15" customHeight="1" x14ac:dyDescent="0.2">
      <c r="A102" s="83">
        <v>11</v>
      </c>
      <c r="B102" s="81" t="str">
        <f>IFERROR(INDEX($B$165:$B$214,MATCH(LARGE($P$165:$P$214,11),$P$165:$P$214,0)),"")</f>
        <v>Ivy Adler</v>
      </c>
      <c r="C102" s="81" t="str">
        <f>IFERROR(INDEX($C$165:$C$214,MATCH(LARGE($P$165:$P$214,11),$P$165:$P$214,0)),"")</f>
        <v>Mid-Market AE</v>
      </c>
      <c r="D102" s="81" t="str">
        <f>IFERROR(INDEX($D$165:$D$214,MATCH(LARGE($P$165:$P$214,11),$P$165:$P$214,0)),"")</f>
        <v>Mid-Market</v>
      </c>
      <c r="E102" s="81" t="str">
        <f>IFERROR(INDEX($E$165:$E$214,MATCH(LARGE($P$165:$P$214,11),$P$165:$P$214,0)),"")</f>
        <v>APAC</v>
      </c>
      <c r="F102" s="80">
        <f>IFERROR(INDEX($G$165:$G$214,MATCH(LARGE($P$165:$P$214,11),$P$165:$P$214,0)),"")</f>
        <v>267800</v>
      </c>
      <c r="G102" s="80">
        <f>IFERROR(INDEX($H$165:$H$214,MATCH(LARGE($P$165:$P$214,11),$P$165:$P$214,0)),"")</f>
        <v>319800</v>
      </c>
      <c r="H102" s="82">
        <f>IFERROR(INDEX($I$165:$I$214,MATCH(LARGE($P$165:$P$214,11),$P$165:$P$214,0)),"")</f>
        <v>1.1941747572815533</v>
      </c>
      <c r="I102" s="81" t="b">
        <f>IFERROR(INDEX($J$165:$J$214,MATCH(LARGE($P$165:$P$214,11),$P$165:$P$214,0)),"")</f>
        <v>1</v>
      </c>
      <c r="J102" s="80">
        <f>IFERROR(INDEX($K$165:$K$214,MATCH(LARGE($P$165:$P$214,11),$P$165:$P$214,0)),"")</f>
        <v>13390</v>
      </c>
      <c r="K102" s="80">
        <f>IFERROR(INDEX($L$165:$L$214,MATCH(LARGE($P$165:$P$214,11),$P$165:$P$214,0)),"")</f>
        <v>4160</v>
      </c>
      <c r="L102" s="80">
        <f>IFERROR(INDEX($M$165:$M$214,MATCH(LARGE($P$165:$P$214,11),$P$165:$P$214,0)),"")</f>
        <v>0</v>
      </c>
      <c r="M102" s="80">
        <f>IFERROR(INDEX($N$165:$N$214,MATCH(LARGE($P$165:$P$214,11),$P$165:$P$214,0)),"")</f>
        <v>17550</v>
      </c>
      <c r="N102" s="79">
        <f>IFERROR(INDEX($O$165:$O$214,MATCH(LARGE($P$165:$P$214,11),$P$165:$P$214,0)),"")</f>
        <v>5.4878048780487805E-2</v>
      </c>
    </row>
    <row r="103" spans="1:14" ht="15" customHeight="1" x14ac:dyDescent="0.2">
      <c r="A103" s="78">
        <v>12</v>
      </c>
      <c r="B103" s="76" t="str">
        <f>IFERROR(INDEX($B$165:$B$214,MATCH(LARGE($P$165:$P$214,12),$P$165:$P$214,0)),"")</f>
        <v>Jonas Sato</v>
      </c>
      <c r="C103" s="76" t="str">
        <f>IFERROR(INDEX($C$165:$C$214,MATCH(LARGE($P$165:$P$214,12),$P$165:$P$214,0)),"")</f>
        <v>Mid-Market AE</v>
      </c>
      <c r="D103" s="76" t="str">
        <f>IFERROR(INDEX($D$165:$D$214,MATCH(LARGE($P$165:$P$214,12),$P$165:$P$214,0)),"")</f>
        <v>Mid-Market</v>
      </c>
      <c r="E103" s="76" t="str">
        <f>IFERROR(INDEX($E$165:$E$214,MATCH(LARGE($P$165:$P$214,12),$P$165:$P$214,0)),"")</f>
        <v>LATAM</v>
      </c>
      <c r="F103" s="75">
        <f>IFERROR(INDEX($G$165:$G$214,MATCH(LARGE($P$165:$P$214,12),$P$165:$P$214,0)),"")</f>
        <v>262900</v>
      </c>
      <c r="G103" s="75">
        <f>IFERROR(INDEX($H$165:$H$214,MATCH(LARGE($P$165:$P$214,12),$P$165:$P$214,0)),"")</f>
        <v>271800</v>
      </c>
      <c r="H103" s="77">
        <f>IFERROR(INDEX($I$165:$I$214,MATCH(LARGE($P$165:$P$214,12),$P$165:$P$214,0)),"")</f>
        <v>1.0338531761125904</v>
      </c>
      <c r="I103" s="76" t="b">
        <f>IFERROR(INDEX($J$165:$J$214,MATCH(LARGE($P$165:$P$214,12),$P$165:$P$214,0)),"")</f>
        <v>1</v>
      </c>
      <c r="J103" s="75">
        <f>IFERROR(INDEX($K$165:$K$214,MATCH(LARGE($P$165:$P$214,12),$P$165:$P$214,0)),"")</f>
        <v>13145</v>
      </c>
      <c r="K103" s="75">
        <f>IFERROR(INDEX($L$165:$L$214,MATCH(LARGE($P$165:$P$214,12),$P$165:$P$214,0)),"")</f>
        <v>712</v>
      </c>
      <c r="L103" s="75">
        <f>IFERROR(INDEX($M$165:$M$214,MATCH(LARGE($P$165:$P$214,12),$P$165:$P$214,0)),"")</f>
        <v>0</v>
      </c>
      <c r="M103" s="75">
        <f>IFERROR(INDEX($N$165:$N$214,MATCH(LARGE($P$165:$P$214,12),$P$165:$P$214,0)),"")</f>
        <v>13857</v>
      </c>
      <c r="N103" s="74">
        <f>IFERROR(INDEX($O$165:$O$214,MATCH(LARGE($P$165:$P$214,12),$P$165:$P$214,0)),"")</f>
        <v>5.0982339955849887E-2</v>
      </c>
    </row>
    <row r="104" spans="1:14" ht="15" customHeight="1" x14ac:dyDescent="0.2">
      <c r="A104" s="83">
        <v>13</v>
      </c>
      <c r="B104" s="81" t="str">
        <f>IFERROR(INDEX($B$165:$B$214,MATCH(LARGE($P$165:$P$214,13),$P$165:$P$214,0)),"")</f>
        <v>Morgan Weber</v>
      </c>
      <c r="C104" s="81" t="str">
        <f>IFERROR(INDEX($C$165:$C$214,MATCH(LARGE($P$165:$P$214,13),$P$165:$P$214,0)),"")</f>
        <v>Mid-Market AE</v>
      </c>
      <c r="D104" s="81" t="str">
        <f>IFERROR(INDEX($D$165:$D$214,MATCH(LARGE($P$165:$P$214,13),$P$165:$P$214,0)),"")</f>
        <v>Mid-Market</v>
      </c>
      <c r="E104" s="81" t="str">
        <f>IFERROR(INDEX($E$165:$E$214,MATCH(LARGE($P$165:$P$214,13),$P$165:$P$214,0)),"")</f>
        <v>NAMER</v>
      </c>
      <c r="F104" s="80">
        <f>IFERROR(INDEX($G$165:$G$214,MATCH(LARGE($P$165:$P$214,13),$P$165:$P$214,0)),"")</f>
        <v>262000</v>
      </c>
      <c r="G104" s="80">
        <f>IFERROR(INDEX($H$165:$H$214,MATCH(LARGE($P$165:$P$214,13),$P$165:$P$214,0)),"")</f>
        <v>218400</v>
      </c>
      <c r="H104" s="82">
        <f>IFERROR(INDEX($I$165:$I$214,MATCH(LARGE($P$165:$P$214,13),$P$165:$P$214,0)),"")</f>
        <v>0.833587786259542</v>
      </c>
      <c r="I104" s="81" t="b">
        <f>IFERROR(INDEX($J$165:$J$214,MATCH(LARGE($P$165:$P$214,13),$P$165:$P$214,0)),"")</f>
        <v>1</v>
      </c>
      <c r="J104" s="80">
        <f>IFERROR(INDEX($K$165:$K$214,MATCH(LARGE($P$165:$P$214,13),$P$165:$P$214,0)),"")</f>
        <v>10920</v>
      </c>
      <c r="K104" s="80">
        <f>IFERROR(INDEX($L$165:$L$214,MATCH(LARGE($P$165:$P$214,13),$P$165:$P$214,0)),"")</f>
        <v>0</v>
      </c>
      <c r="L104" s="80">
        <f>IFERROR(INDEX($M$165:$M$214,MATCH(LARGE($P$165:$P$214,13),$P$165:$P$214,0)),"")</f>
        <v>0</v>
      </c>
      <c r="M104" s="80">
        <f>IFERROR(INDEX($N$165:$N$214,MATCH(LARGE($P$165:$P$214,13),$P$165:$P$214,0)),"")</f>
        <v>10920</v>
      </c>
      <c r="N104" s="79">
        <f>IFERROR(INDEX($O$165:$O$214,MATCH(LARGE($P$165:$P$214,13),$P$165:$P$214,0)),"")</f>
        <v>0.05</v>
      </c>
    </row>
    <row r="105" spans="1:14" ht="15" customHeight="1" x14ac:dyDescent="0.2">
      <c r="A105" s="78">
        <v>14</v>
      </c>
      <c r="B105" s="76" t="str">
        <f>IFERROR(INDEX($B$165:$B$214,MATCH(LARGE($P$165:$P$214,14),$P$165:$P$214,0)),"")</f>
        <v>Olivia Cohen</v>
      </c>
      <c r="C105" s="76" t="str">
        <f>IFERROR(INDEX($C$165:$C$214,MATCH(LARGE($P$165:$P$214,14),$P$165:$P$214,0)),"")</f>
        <v>Mid-Market AE</v>
      </c>
      <c r="D105" s="76" t="str">
        <f>IFERROR(INDEX($D$165:$D$214,MATCH(LARGE($P$165:$P$214,14),$P$165:$P$214,0)),"")</f>
        <v>Mid-Market</v>
      </c>
      <c r="E105" s="76" t="str">
        <f>IFERROR(INDEX($E$165:$E$214,MATCH(LARGE($P$165:$P$214,14),$P$165:$P$214,0)),"")</f>
        <v>APAC</v>
      </c>
      <c r="F105" s="75">
        <f>IFERROR(INDEX($G$165:$G$214,MATCH(LARGE($P$165:$P$214,14),$P$165:$P$214,0)),"")</f>
        <v>265200</v>
      </c>
      <c r="G105" s="75">
        <f>IFERROR(INDEX($H$165:$H$214,MATCH(LARGE($P$165:$P$214,14),$P$165:$P$214,0)),"")</f>
        <v>204200</v>
      </c>
      <c r="H105" s="77">
        <f>IFERROR(INDEX($I$165:$I$214,MATCH(LARGE($P$165:$P$214,14),$P$165:$P$214,0)),"")</f>
        <v>0.76998491704374061</v>
      </c>
      <c r="I105" s="76" t="b">
        <f>IFERROR(INDEX($J$165:$J$214,MATCH(LARGE($P$165:$P$214,14),$P$165:$P$214,0)),"")</f>
        <v>1</v>
      </c>
      <c r="J105" s="75">
        <f>IFERROR(INDEX($K$165:$K$214,MATCH(LARGE($P$165:$P$214,14),$P$165:$P$214,0)),"")</f>
        <v>10210</v>
      </c>
      <c r="K105" s="75">
        <f>IFERROR(INDEX($L$165:$L$214,MATCH(LARGE($P$165:$P$214,14),$P$165:$P$214,0)),"")</f>
        <v>0</v>
      </c>
      <c r="L105" s="75">
        <f>IFERROR(INDEX($M$165:$M$214,MATCH(LARGE($P$165:$P$214,14),$P$165:$P$214,0)),"")</f>
        <v>0</v>
      </c>
      <c r="M105" s="75">
        <f>IFERROR(INDEX($N$165:$N$214,MATCH(LARGE($P$165:$P$214,14),$P$165:$P$214,0)),"")</f>
        <v>10210</v>
      </c>
      <c r="N105" s="74">
        <f>IFERROR(INDEX($O$165:$O$214,MATCH(LARGE($P$165:$P$214,14),$P$165:$P$214,0)),"")</f>
        <v>0.05</v>
      </c>
    </row>
    <row r="106" spans="1:14" ht="15" customHeight="1" x14ac:dyDescent="0.2">
      <c r="A106" s="83">
        <v>15</v>
      </c>
      <c r="B106" s="81" t="str">
        <f>IFERROR(INDEX($B$165:$B$214,MATCH(LARGE($P$165:$P$214,15),$P$165:$P$214,0)),"")</f>
        <v>Lucas Okafor</v>
      </c>
      <c r="C106" s="81" t="str">
        <f>IFERROR(INDEX($C$165:$C$214,MATCH(LARGE($P$165:$P$214,15),$P$165:$P$214,0)),"")</f>
        <v>SDR / Inside Sales Rep</v>
      </c>
      <c r="D106" s="81" t="str">
        <f>IFERROR(INDEX($D$165:$D$214,MATCH(LARGE($P$165:$P$214,15),$P$165:$P$214,0)),"")</f>
        <v>Inside Sales</v>
      </c>
      <c r="E106" s="81" t="str">
        <f>IFERROR(INDEX($E$165:$E$214,MATCH(LARGE($P$165:$P$214,15),$P$165:$P$214,0)),"")</f>
        <v>APAC</v>
      </c>
      <c r="F106" s="80">
        <f>IFERROR(INDEX($G$165:$G$214,MATCH(LARGE($P$165:$P$214,15),$P$165:$P$214,0)),"")</f>
        <v>185300</v>
      </c>
      <c r="G106" s="80">
        <f>IFERROR(INDEX($H$165:$H$214,MATCH(LARGE($P$165:$P$214,15),$P$165:$P$214,0)),"")</f>
        <v>237400</v>
      </c>
      <c r="H106" s="82">
        <f>IFERROR(INDEX($I$165:$I$214,MATCH(LARGE($P$165:$P$214,15),$P$165:$P$214,0)),"")</f>
        <v>1.2811656772800863</v>
      </c>
      <c r="I106" s="81" t="b">
        <f>IFERROR(INDEX($J$165:$J$214,MATCH(LARGE($P$165:$P$214,15),$P$165:$P$214,0)),"")</f>
        <v>1</v>
      </c>
      <c r="J106" s="80">
        <f>IFERROR(INDEX($K$165:$K$214,MATCH(LARGE($P$165:$P$214,15),$P$165:$P$214,0)),"")</f>
        <v>5559</v>
      </c>
      <c r="K106" s="80">
        <f>IFERROR(INDEX($L$165:$L$214,MATCH(LARGE($P$165:$P$214,15),$P$165:$P$214,0)),"")</f>
        <v>2605</v>
      </c>
      <c r="L106" s="80">
        <f>IFERROR(INDEX($M$165:$M$214,MATCH(LARGE($P$165:$P$214,15),$P$165:$P$214,0)),"")</f>
        <v>0</v>
      </c>
      <c r="M106" s="80">
        <f>IFERROR(INDEX($N$165:$N$214,MATCH(LARGE($P$165:$P$214,15),$P$165:$P$214,0)),"")</f>
        <v>8164</v>
      </c>
      <c r="N106" s="79">
        <f>IFERROR(INDEX($O$165:$O$214,MATCH(LARGE($P$165:$P$214,15),$P$165:$P$214,0)),"")</f>
        <v>3.4389216512215673E-2</v>
      </c>
    </row>
    <row r="107" spans="1:14" ht="15" customHeight="1" x14ac:dyDescent="0.2">
      <c r="A107" s="78">
        <v>16</v>
      </c>
      <c r="B107" s="76" t="str">
        <f>IFERROR(INDEX($B$165:$B$214,MATCH(LARGE($P$165:$P$214,16),$P$165:$P$214,0)),"")</f>
        <v>Lucas Duarte</v>
      </c>
      <c r="C107" s="76" t="str">
        <f>IFERROR(INDEX($C$165:$C$214,MATCH(LARGE($P$165:$P$214,16),$P$165:$P$214,0)),"")</f>
        <v>SDR / Inside Sales Rep</v>
      </c>
      <c r="D107" s="76" t="str">
        <f>IFERROR(INDEX($D$165:$D$214,MATCH(LARGE($P$165:$P$214,16),$P$165:$P$214,0)),"")</f>
        <v>Inside Sales</v>
      </c>
      <c r="E107" s="76" t="str">
        <f>IFERROR(INDEX($E$165:$E$214,MATCH(LARGE($P$165:$P$214,16),$P$165:$P$214,0)),"")</f>
        <v>LATAM</v>
      </c>
      <c r="F107" s="75">
        <f>IFERROR(INDEX($G$165:$G$214,MATCH(LARGE($P$165:$P$214,16),$P$165:$P$214,0)),"")</f>
        <v>185800</v>
      </c>
      <c r="G107" s="75">
        <f>IFERROR(INDEX($H$165:$H$214,MATCH(LARGE($P$165:$P$214,16),$P$165:$P$214,0)),"")</f>
        <v>236300</v>
      </c>
      <c r="H107" s="77">
        <f>IFERROR(INDEX($I$165:$I$214,MATCH(LARGE($P$165:$P$214,16),$P$165:$P$214,0)),"")</f>
        <v>1.2717976318622175</v>
      </c>
      <c r="I107" s="76" t="b">
        <f>IFERROR(INDEX($J$165:$J$214,MATCH(LARGE($P$165:$P$214,16),$P$165:$P$214,0)),"")</f>
        <v>1</v>
      </c>
      <c r="J107" s="75">
        <f>IFERROR(INDEX($K$165:$K$214,MATCH(LARGE($P$165:$P$214,16),$P$165:$P$214,0)),"")</f>
        <v>5574</v>
      </c>
      <c r="K107" s="75">
        <f>IFERROR(INDEX($L$165:$L$214,MATCH(LARGE($P$165:$P$214,16),$P$165:$P$214,0)),"")</f>
        <v>2525</v>
      </c>
      <c r="L107" s="75">
        <f>IFERROR(INDEX($M$165:$M$214,MATCH(LARGE($P$165:$P$214,16),$P$165:$P$214,0)),"")</f>
        <v>0</v>
      </c>
      <c r="M107" s="75">
        <f>IFERROR(INDEX($N$165:$N$214,MATCH(LARGE($P$165:$P$214,16),$P$165:$P$214,0)),"")</f>
        <v>8099</v>
      </c>
      <c r="N107" s="74">
        <f>IFERROR(INDEX($O$165:$O$214,MATCH(LARGE($P$165:$P$214,16),$P$165:$P$214,0)),"")</f>
        <v>3.4274227676682187E-2</v>
      </c>
    </row>
    <row r="108" spans="1:14" ht="15" customHeight="1" x14ac:dyDescent="0.2">
      <c r="A108" s="83">
        <v>17</v>
      </c>
      <c r="B108" s="81" t="str">
        <f>IFERROR(INDEX($B$165:$B$214,MATCH(LARGE($P$165:$P$214,17),$P$165:$P$214,0)),"")</f>
        <v>Alex Muller</v>
      </c>
      <c r="C108" s="81" t="str">
        <f>IFERROR(INDEX($C$165:$C$214,MATCH(LARGE($P$165:$P$214,17),$P$165:$P$214,0)),"")</f>
        <v>SDR / Inside Sales Rep</v>
      </c>
      <c r="D108" s="81" t="str">
        <f>IFERROR(INDEX($D$165:$D$214,MATCH(LARGE($P$165:$P$214,17),$P$165:$P$214,0)),"")</f>
        <v>Inside Sales</v>
      </c>
      <c r="E108" s="81" t="str">
        <f>IFERROR(INDEX($E$165:$E$214,MATCH(LARGE($P$165:$P$214,17),$P$165:$P$214,0)),"")</f>
        <v>NAMER</v>
      </c>
      <c r="F108" s="80">
        <f>IFERROR(INDEX($G$165:$G$214,MATCH(LARGE($P$165:$P$214,17),$P$165:$P$214,0)),"")</f>
        <v>185300</v>
      </c>
      <c r="G108" s="80">
        <f>IFERROR(INDEX($H$165:$H$214,MATCH(LARGE($P$165:$P$214,17),$P$165:$P$214,0)),"")</f>
        <v>230600</v>
      </c>
      <c r="H108" s="82">
        <f>IFERROR(INDEX($I$165:$I$214,MATCH(LARGE($P$165:$P$214,17),$P$165:$P$214,0)),"")</f>
        <v>1.2444684295736643</v>
      </c>
      <c r="I108" s="81" t="b">
        <f>IFERROR(INDEX($J$165:$J$214,MATCH(LARGE($P$165:$P$214,17),$P$165:$P$214,0)),"")</f>
        <v>1</v>
      </c>
      <c r="J108" s="80">
        <f>IFERROR(INDEX($K$165:$K$214,MATCH(LARGE($P$165:$P$214,17),$P$165:$P$214,0)),"")</f>
        <v>5559</v>
      </c>
      <c r="K108" s="80">
        <f>IFERROR(INDEX($L$165:$L$214,MATCH(LARGE($P$165:$P$214,17),$P$165:$P$214,0)),"")</f>
        <v>2265</v>
      </c>
      <c r="L108" s="80">
        <f>IFERROR(INDEX($M$165:$M$214,MATCH(LARGE($P$165:$P$214,17),$P$165:$P$214,0)),"")</f>
        <v>0</v>
      </c>
      <c r="M108" s="80">
        <f>IFERROR(INDEX($N$165:$N$214,MATCH(LARGE($P$165:$P$214,17),$P$165:$P$214,0)),"")</f>
        <v>7824</v>
      </c>
      <c r="N108" s="79">
        <f>IFERROR(INDEX($O$165:$O$214,MATCH(LARGE($P$165:$P$214,17),$P$165:$P$214,0)),"")</f>
        <v>3.3928881179531654E-2</v>
      </c>
    </row>
    <row r="109" spans="1:14" ht="15" customHeight="1" x14ac:dyDescent="0.2">
      <c r="A109" s="78">
        <v>18</v>
      </c>
      <c r="B109" s="76" t="str">
        <f>IFERROR(INDEX($B$165:$B$214,MATCH(LARGE($P$165:$P$214,18),$P$165:$P$214,0)),"")</f>
        <v>Kenji Weber</v>
      </c>
      <c r="C109" s="76" t="str">
        <f>IFERROR(INDEX($C$165:$C$214,MATCH(LARGE($P$165:$P$214,18),$P$165:$P$214,0)),"")</f>
        <v>SDR / Inside Sales Rep</v>
      </c>
      <c r="D109" s="76" t="str">
        <f>IFERROR(INDEX($D$165:$D$214,MATCH(LARGE($P$165:$P$214,18),$P$165:$P$214,0)),"")</f>
        <v>Inside Sales</v>
      </c>
      <c r="E109" s="76" t="str">
        <f>IFERROR(INDEX($E$165:$E$214,MATCH(LARGE($P$165:$P$214,18),$P$165:$P$214,0)),"")</f>
        <v>APAC</v>
      </c>
      <c r="F109" s="75">
        <f>IFERROR(INDEX($G$165:$G$214,MATCH(LARGE($P$165:$P$214,18),$P$165:$P$214,0)),"")</f>
        <v>185100</v>
      </c>
      <c r="G109" s="75">
        <f>IFERROR(INDEX($H$165:$H$214,MATCH(LARGE($P$165:$P$214,18),$P$165:$P$214,0)),"")</f>
        <v>216500</v>
      </c>
      <c r="H109" s="77">
        <f>IFERROR(INDEX($I$165:$I$214,MATCH(LARGE($P$165:$P$214,18),$P$165:$P$214,0)),"")</f>
        <v>1.169638033495408</v>
      </c>
      <c r="I109" s="76" t="b">
        <f>IFERROR(INDEX($J$165:$J$214,MATCH(LARGE($P$165:$P$214,18),$P$165:$P$214,0)),"")</f>
        <v>1</v>
      </c>
      <c r="J109" s="75">
        <f>IFERROR(INDEX($K$165:$K$214,MATCH(LARGE($P$165:$P$214,18),$P$165:$P$214,0)),"")</f>
        <v>5553</v>
      </c>
      <c r="K109" s="75">
        <f>IFERROR(INDEX($L$165:$L$214,MATCH(LARGE($P$165:$P$214,18),$P$165:$P$214,0)),"")</f>
        <v>1570</v>
      </c>
      <c r="L109" s="75">
        <f>IFERROR(INDEX($M$165:$M$214,MATCH(LARGE($P$165:$P$214,18),$P$165:$P$214,0)),"")</f>
        <v>0</v>
      </c>
      <c r="M109" s="75">
        <f>IFERROR(INDEX($N$165:$N$214,MATCH(LARGE($P$165:$P$214,18),$P$165:$P$214,0)),"")</f>
        <v>7123</v>
      </c>
      <c r="N109" s="74">
        <f>IFERROR(INDEX($O$165:$O$214,MATCH(LARGE($P$165:$P$214,18),$P$165:$P$214,0)),"")</f>
        <v>3.2900692840646652E-2</v>
      </c>
    </row>
    <row r="110" spans="1:14" ht="15" customHeight="1" x14ac:dyDescent="0.2">
      <c r="A110" s="83">
        <v>19</v>
      </c>
      <c r="B110" s="81" t="str">
        <f>IFERROR(INDEX($B$165:$B$214,MATCH(LARGE($P$165:$P$214,19),$P$165:$P$214,0)),"")</f>
        <v>Milo Castro</v>
      </c>
      <c r="C110" s="81" t="str">
        <f>IFERROR(INDEX($C$165:$C$214,MATCH(LARGE($P$165:$P$214,19),$P$165:$P$214,0)),"")</f>
        <v>SDR / Inside Sales Rep</v>
      </c>
      <c r="D110" s="81" t="str">
        <f>IFERROR(INDEX($D$165:$D$214,MATCH(LARGE($P$165:$P$214,19),$P$165:$P$214,0)),"")</f>
        <v>Inside Sales</v>
      </c>
      <c r="E110" s="81" t="str">
        <f>IFERROR(INDEX($E$165:$E$214,MATCH(LARGE($P$165:$P$214,19),$P$165:$P$214,0)),"")</f>
        <v>LATAM</v>
      </c>
      <c r="F110" s="80">
        <f>IFERROR(INDEX($G$165:$G$214,MATCH(LARGE($P$165:$P$214,19),$P$165:$P$214,0)),"")</f>
        <v>185800</v>
      </c>
      <c r="G110" s="80">
        <f>IFERROR(INDEX($H$165:$H$214,MATCH(LARGE($P$165:$P$214,19),$P$165:$P$214,0)),"")</f>
        <v>212800</v>
      </c>
      <c r="H110" s="82">
        <f>IFERROR(INDEX($I$165:$I$214,MATCH(LARGE($P$165:$P$214,19),$P$165:$P$214,0)),"")</f>
        <v>1.1453175457481162</v>
      </c>
      <c r="I110" s="81" t="b">
        <f>IFERROR(INDEX($J$165:$J$214,MATCH(LARGE($P$165:$P$214,19),$P$165:$P$214,0)),"")</f>
        <v>1</v>
      </c>
      <c r="J110" s="80">
        <f>IFERROR(INDEX($K$165:$K$214,MATCH(LARGE($P$165:$P$214,19),$P$165:$P$214,0)),"")</f>
        <v>5574</v>
      </c>
      <c r="K110" s="80">
        <f>IFERROR(INDEX($L$165:$L$214,MATCH(LARGE($P$165:$P$214,19),$P$165:$P$214,0)),"")</f>
        <v>1350</v>
      </c>
      <c r="L110" s="80">
        <f>IFERROR(INDEX($M$165:$M$214,MATCH(LARGE($P$165:$P$214,19),$P$165:$P$214,0)),"")</f>
        <v>0</v>
      </c>
      <c r="M110" s="80">
        <f>IFERROR(INDEX($N$165:$N$214,MATCH(LARGE($P$165:$P$214,19),$P$165:$P$214,0)),"")</f>
        <v>6924</v>
      </c>
      <c r="N110" s="79">
        <f>IFERROR(INDEX($O$165:$O$214,MATCH(LARGE($P$165:$P$214,19),$P$165:$P$214,0)),"")</f>
        <v>3.2537593984962407E-2</v>
      </c>
    </row>
    <row r="111" spans="1:14" ht="15" customHeight="1" x14ac:dyDescent="0.2">
      <c r="A111" s="78">
        <v>20</v>
      </c>
      <c r="B111" s="76" t="str">
        <f>IFERROR(INDEX($B$165:$B$214,MATCH(LARGE($P$165:$P$214,20),$P$165:$P$214,0)),"")</f>
        <v>Liam Muller</v>
      </c>
      <c r="C111" s="76" t="str">
        <f>IFERROR(INDEX($C$165:$C$214,MATCH(LARGE($P$165:$P$214,20),$P$165:$P$214,0)),"")</f>
        <v>SDR / Inside Sales Rep</v>
      </c>
      <c r="D111" s="76" t="str">
        <f>IFERROR(INDEX($D$165:$D$214,MATCH(LARGE($P$165:$P$214,20),$P$165:$P$214,0)),"")</f>
        <v>Inside Sales</v>
      </c>
      <c r="E111" s="76" t="str">
        <f>IFERROR(INDEX($E$165:$E$214,MATCH(LARGE($P$165:$P$214,20),$P$165:$P$214,0)),"")</f>
        <v>EMEA</v>
      </c>
      <c r="F111" s="75">
        <f>IFERROR(INDEX($G$165:$G$214,MATCH(LARGE($P$165:$P$214,20),$P$165:$P$214,0)),"")</f>
        <v>184200</v>
      </c>
      <c r="G111" s="75">
        <f>IFERROR(INDEX($H$165:$H$214,MATCH(LARGE($P$165:$P$214,20),$P$165:$P$214,0)),"")</f>
        <v>203600</v>
      </c>
      <c r="H111" s="77">
        <f>IFERROR(INDEX($I$165:$I$214,MATCH(LARGE($P$165:$P$214,20),$P$165:$P$214,0)),"")</f>
        <v>1.1053203040173725</v>
      </c>
      <c r="I111" s="76" t="b">
        <f>IFERROR(INDEX($J$165:$J$214,MATCH(LARGE($P$165:$P$214,20),$P$165:$P$214,0)),"")</f>
        <v>1</v>
      </c>
      <c r="J111" s="75">
        <f>IFERROR(INDEX($K$165:$K$214,MATCH(LARGE($P$165:$P$214,20),$P$165:$P$214,0)),"")</f>
        <v>5526</v>
      </c>
      <c r="K111" s="75">
        <f>IFERROR(INDEX($L$165:$L$214,MATCH(LARGE($P$165:$P$214,20),$P$165:$P$214,0)),"")</f>
        <v>970</v>
      </c>
      <c r="L111" s="75">
        <f>IFERROR(INDEX($M$165:$M$214,MATCH(LARGE($P$165:$P$214,20),$P$165:$P$214,0)),"")</f>
        <v>0</v>
      </c>
      <c r="M111" s="75">
        <f>IFERROR(INDEX($N$165:$N$214,MATCH(LARGE($P$165:$P$214,20),$P$165:$P$214,0)),"")</f>
        <v>6496</v>
      </c>
      <c r="N111" s="74">
        <f>IFERROR(INDEX($O$165:$O$214,MATCH(LARGE($P$165:$P$214,20),$P$165:$P$214,0)),"")</f>
        <v>3.1905697445972492E-2</v>
      </c>
    </row>
    <row r="112" spans="1:14" ht="15" customHeight="1" x14ac:dyDescent="0.2">
      <c r="A112" s="83">
        <v>21</v>
      </c>
      <c r="B112" s="81" t="str">
        <f>IFERROR(INDEX($B$165:$B$214,MATCH(LARGE($P$165:$P$214,21),$P$165:$P$214,0)),"")</f>
        <v>Liam Castro</v>
      </c>
      <c r="C112" s="81" t="str">
        <f>IFERROR(INDEX($C$165:$C$214,MATCH(LARGE($P$165:$P$214,21),$P$165:$P$214,0)),"")</f>
        <v>SDR / Inside Sales Rep</v>
      </c>
      <c r="D112" s="81" t="str">
        <f>IFERROR(INDEX($D$165:$D$214,MATCH(LARGE($P$165:$P$214,21),$P$165:$P$214,0)),"")</f>
        <v>Inside Sales</v>
      </c>
      <c r="E112" s="81" t="str">
        <f>IFERROR(INDEX($E$165:$E$214,MATCH(LARGE($P$165:$P$214,21),$P$165:$P$214,0)),"")</f>
        <v>NAMER</v>
      </c>
      <c r="F112" s="80">
        <f>IFERROR(INDEX($G$165:$G$214,MATCH(LARGE($P$165:$P$214,21),$P$165:$P$214,0)),"")</f>
        <v>186000</v>
      </c>
      <c r="G112" s="80">
        <f>IFERROR(INDEX($H$165:$H$214,MATCH(LARGE($P$165:$P$214,21),$P$165:$P$214,0)),"")</f>
        <v>189300</v>
      </c>
      <c r="H112" s="82">
        <f>IFERROR(INDEX($I$165:$I$214,MATCH(LARGE($P$165:$P$214,21),$P$165:$P$214,0)),"")</f>
        <v>1.017741935483871</v>
      </c>
      <c r="I112" s="81" t="b">
        <f>IFERROR(INDEX($J$165:$J$214,MATCH(LARGE($P$165:$P$214,21),$P$165:$P$214,0)),"")</f>
        <v>1</v>
      </c>
      <c r="J112" s="80">
        <f>IFERROR(INDEX($K$165:$K$214,MATCH(LARGE($P$165:$P$214,21),$P$165:$P$214,0)),"")</f>
        <v>5580</v>
      </c>
      <c r="K112" s="80">
        <f>IFERROR(INDEX($L$165:$L$214,MATCH(LARGE($P$165:$P$214,21),$P$165:$P$214,0)),"")</f>
        <v>165</v>
      </c>
      <c r="L112" s="80">
        <f>IFERROR(INDEX($M$165:$M$214,MATCH(LARGE($P$165:$P$214,21),$P$165:$P$214,0)),"")</f>
        <v>0</v>
      </c>
      <c r="M112" s="80">
        <f>IFERROR(INDEX($N$165:$N$214,MATCH(LARGE($P$165:$P$214,21),$P$165:$P$214,0)),"")</f>
        <v>5745</v>
      </c>
      <c r="N112" s="79">
        <f>IFERROR(INDEX($O$165:$O$214,MATCH(LARGE($P$165:$P$214,21),$P$165:$P$214,0)),"")</f>
        <v>3.0348652931854198E-2</v>
      </c>
    </row>
    <row r="113" spans="1:14" ht="15" customHeight="1" x14ac:dyDescent="0.2">
      <c r="A113" s="78">
        <v>22</v>
      </c>
      <c r="B113" s="76" t="str">
        <f>IFERROR(INDEX($B$165:$B$214,MATCH(LARGE($P$165:$P$214,22),$P$165:$P$214,0)),"")</f>
        <v>Karim Alvarez</v>
      </c>
      <c r="C113" s="76" t="str">
        <f>IFERROR(INDEX($C$165:$C$214,MATCH(LARGE($P$165:$P$214,22),$P$165:$P$214,0)),"")</f>
        <v>SDR / Inside Sales Rep</v>
      </c>
      <c r="D113" s="76" t="str">
        <f>IFERROR(INDEX($D$165:$D$214,MATCH(LARGE($P$165:$P$214,22),$P$165:$P$214,0)),"")</f>
        <v>Inside Sales</v>
      </c>
      <c r="E113" s="76" t="str">
        <f>IFERROR(INDEX($E$165:$E$214,MATCH(LARGE($P$165:$P$214,22),$P$165:$P$214,0)),"")</f>
        <v>EMEA</v>
      </c>
      <c r="F113" s="75">
        <f>IFERROR(INDEX($G$165:$G$214,MATCH(LARGE($P$165:$P$214,22),$P$165:$P$214,0)),"")</f>
        <v>185900</v>
      </c>
      <c r="G113" s="75">
        <f>IFERROR(INDEX($H$165:$H$214,MATCH(LARGE($P$165:$P$214,22),$P$165:$P$214,0)),"")</f>
        <v>187100</v>
      </c>
      <c r="H113" s="77">
        <f>IFERROR(INDEX($I$165:$I$214,MATCH(LARGE($P$165:$P$214,22),$P$165:$P$214,0)),"")</f>
        <v>1.0064550833781603</v>
      </c>
      <c r="I113" s="76" t="b">
        <f>IFERROR(INDEX($J$165:$J$214,MATCH(LARGE($P$165:$P$214,22),$P$165:$P$214,0)),"")</f>
        <v>1</v>
      </c>
      <c r="J113" s="75">
        <f>IFERROR(INDEX($K$165:$K$214,MATCH(LARGE($P$165:$P$214,22),$P$165:$P$214,0)),"")</f>
        <v>5577</v>
      </c>
      <c r="K113" s="75">
        <f>IFERROR(INDEX($L$165:$L$214,MATCH(LARGE($P$165:$P$214,22),$P$165:$P$214,0)),"")</f>
        <v>60</v>
      </c>
      <c r="L113" s="75">
        <f>IFERROR(INDEX($M$165:$M$214,MATCH(LARGE($P$165:$P$214,22),$P$165:$P$214,0)),"")</f>
        <v>0</v>
      </c>
      <c r="M113" s="75">
        <f>IFERROR(INDEX($N$165:$N$214,MATCH(LARGE($P$165:$P$214,22),$P$165:$P$214,0)),"")</f>
        <v>5637</v>
      </c>
      <c r="N113" s="74">
        <f>IFERROR(INDEX($O$165:$O$214,MATCH(LARGE($P$165:$P$214,22),$P$165:$P$214,0)),"")</f>
        <v>3.0128273650454302E-2</v>
      </c>
    </row>
    <row r="114" spans="1:14" ht="15" customHeight="1" x14ac:dyDescent="0.2">
      <c r="A114" s="83">
        <v>23</v>
      </c>
      <c r="B114" s="81" t="str">
        <f>IFERROR(INDEX($B$165:$B$214,MATCH(LARGE($P$165:$P$214,23),$P$165:$P$214,0)),"")</f>
        <v>Lea Weber</v>
      </c>
      <c r="C114" s="81" t="str">
        <f>IFERROR(INDEX($C$165:$C$214,MATCH(LARGE($P$165:$P$214,23),$P$165:$P$214,0)),"")</f>
        <v>SDR / Inside Sales Rep</v>
      </c>
      <c r="D114" s="81" t="str">
        <f>IFERROR(INDEX($D$165:$D$214,MATCH(LARGE($P$165:$P$214,23),$P$165:$P$214,0)),"")</f>
        <v>Inside Sales</v>
      </c>
      <c r="E114" s="81" t="str">
        <f>IFERROR(INDEX($E$165:$E$214,MATCH(LARGE($P$165:$P$214,23),$P$165:$P$214,0)),"")</f>
        <v>EMEA</v>
      </c>
      <c r="F114" s="80">
        <f>IFERROR(INDEX($G$165:$G$214,MATCH(LARGE($P$165:$P$214,23),$P$165:$P$214,0)),"")</f>
        <v>185700</v>
      </c>
      <c r="G114" s="80">
        <f>IFERROR(INDEX($H$165:$H$214,MATCH(LARGE($P$165:$P$214,23),$P$165:$P$214,0)),"")</f>
        <v>185500</v>
      </c>
      <c r="H114" s="82">
        <f>IFERROR(INDEX($I$165:$I$214,MATCH(LARGE($P$165:$P$214,23),$P$165:$P$214,0)),"")</f>
        <v>0.99892299407646745</v>
      </c>
      <c r="I114" s="81" t="b">
        <f>IFERROR(INDEX($J$165:$J$214,MATCH(LARGE($P$165:$P$214,23),$P$165:$P$214,0)),"")</f>
        <v>1</v>
      </c>
      <c r="J114" s="80">
        <f>IFERROR(INDEX($K$165:$K$214,MATCH(LARGE($P$165:$P$214,23),$P$165:$P$214,0)),"")</f>
        <v>5565</v>
      </c>
      <c r="K114" s="80">
        <f>IFERROR(INDEX($L$165:$L$214,MATCH(LARGE($P$165:$P$214,23),$P$165:$P$214,0)),"")</f>
        <v>0</v>
      </c>
      <c r="L114" s="80">
        <f>IFERROR(INDEX($M$165:$M$214,MATCH(LARGE($P$165:$P$214,23),$P$165:$P$214,0)),"")</f>
        <v>0</v>
      </c>
      <c r="M114" s="80">
        <f>IFERROR(INDEX($N$165:$N$214,MATCH(LARGE($P$165:$P$214,23),$P$165:$P$214,0)),"")</f>
        <v>5565</v>
      </c>
      <c r="N114" s="79">
        <f>IFERROR(INDEX($O$165:$O$214,MATCH(LARGE($P$165:$P$214,23),$P$165:$P$214,0)),"")</f>
        <v>0.03</v>
      </c>
    </row>
    <row r="115" spans="1:14" ht="15" customHeight="1" x14ac:dyDescent="0.2">
      <c r="A115" s="78">
        <v>24</v>
      </c>
      <c r="B115" s="76" t="str">
        <f>IFERROR(INDEX($B$165:$B$214,MATCH(LARGE($P$165:$P$214,24),$P$165:$P$214,0)),"")</f>
        <v>Priya Weber</v>
      </c>
      <c r="C115" s="76" t="str">
        <f>IFERROR(INDEX($C$165:$C$214,MATCH(LARGE($P$165:$P$214,24),$P$165:$P$214,0)),"")</f>
        <v>SDR / Inside Sales Rep</v>
      </c>
      <c r="D115" s="76" t="str">
        <f>IFERROR(INDEX($D$165:$D$214,MATCH(LARGE($P$165:$P$214,24),$P$165:$P$214,0)),"")</f>
        <v>Inside Sales</v>
      </c>
      <c r="E115" s="76" t="str">
        <f>IFERROR(INDEX($E$165:$E$214,MATCH(LARGE($P$165:$P$214,24),$P$165:$P$214,0)),"")</f>
        <v>NAMER</v>
      </c>
      <c r="F115" s="75">
        <f>IFERROR(INDEX($G$165:$G$214,MATCH(LARGE($P$165:$P$214,24),$P$165:$P$214,0)),"")</f>
        <v>188700</v>
      </c>
      <c r="G115" s="75">
        <f>IFERROR(INDEX($H$165:$H$214,MATCH(LARGE($P$165:$P$214,24),$P$165:$P$214,0)),"")</f>
        <v>183800</v>
      </c>
      <c r="H115" s="77">
        <f>IFERROR(INDEX($I$165:$I$214,MATCH(LARGE($P$165:$P$214,24),$P$165:$P$214,0)),"")</f>
        <v>0.97403285638579751</v>
      </c>
      <c r="I115" s="76" t="b">
        <f>IFERROR(INDEX($J$165:$J$214,MATCH(LARGE($P$165:$P$214,24),$P$165:$P$214,0)),"")</f>
        <v>1</v>
      </c>
      <c r="J115" s="75">
        <f>IFERROR(INDEX($K$165:$K$214,MATCH(LARGE($P$165:$P$214,24),$P$165:$P$214,0)),"")</f>
        <v>5514</v>
      </c>
      <c r="K115" s="75">
        <f>IFERROR(INDEX($L$165:$L$214,MATCH(LARGE($P$165:$P$214,24),$P$165:$P$214,0)),"")</f>
        <v>0</v>
      </c>
      <c r="L115" s="75">
        <f>IFERROR(INDEX($M$165:$M$214,MATCH(LARGE($P$165:$P$214,24),$P$165:$P$214,0)),"")</f>
        <v>0</v>
      </c>
      <c r="M115" s="75">
        <f>IFERROR(INDEX($N$165:$N$214,MATCH(LARGE($P$165:$P$214,24),$P$165:$P$214,0)),"")</f>
        <v>5514</v>
      </c>
      <c r="N115" s="74">
        <f>IFERROR(INDEX($O$165:$O$214,MATCH(LARGE($P$165:$P$214,24),$P$165:$P$214,0)),"")</f>
        <v>0.03</v>
      </c>
    </row>
    <row r="116" spans="1:14" ht="15" customHeight="1" x14ac:dyDescent="0.2">
      <c r="A116" s="83">
        <v>25</v>
      </c>
      <c r="B116" s="81" t="str">
        <f>IFERROR(INDEX($B$165:$B$214,MATCH(LARGE($P$165:$P$214,25),$P$165:$P$214,0)),"")</f>
        <v>Alex Okafor</v>
      </c>
      <c r="C116" s="81" t="str">
        <f>IFERROR(INDEX($C$165:$C$214,MATCH(LARGE($P$165:$P$214,25),$P$165:$P$214,0)),"")</f>
        <v>SDR / Inside Sales Rep</v>
      </c>
      <c r="D116" s="81" t="str">
        <f>IFERROR(INDEX($D$165:$D$214,MATCH(LARGE($P$165:$P$214,25),$P$165:$P$214,0)),"")</f>
        <v>Inside Sales</v>
      </c>
      <c r="E116" s="81" t="str">
        <f>IFERROR(INDEX($E$165:$E$214,MATCH(LARGE($P$165:$P$214,25),$P$165:$P$214,0)),"")</f>
        <v>EMEA</v>
      </c>
      <c r="F116" s="80">
        <f>IFERROR(INDEX($G$165:$G$214,MATCH(LARGE($P$165:$P$214,25),$P$165:$P$214,0)),"")</f>
        <v>182700</v>
      </c>
      <c r="G116" s="80">
        <f>IFERROR(INDEX($H$165:$H$214,MATCH(LARGE($P$165:$P$214,25),$P$165:$P$214,0)),"")</f>
        <v>176600</v>
      </c>
      <c r="H116" s="82">
        <f>IFERROR(INDEX($I$165:$I$214,MATCH(LARGE($P$165:$P$214,25),$P$165:$P$214,0)),"")</f>
        <v>0.96661193212917351</v>
      </c>
      <c r="I116" s="81" t="b">
        <f>IFERROR(INDEX($J$165:$J$214,MATCH(LARGE($P$165:$P$214,25),$P$165:$P$214,0)),"")</f>
        <v>1</v>
      </c>
      <c r="J116" s="80">
        <f>IFERROR(INDEX($K$165:$K$214,MATCH(LARGE($P$165:$P$214,25),$P$165:$P$214,0)),"")</f>
        <v>5298</v>
      </c>
      <c r="K116" s="80">
        <f>IFERROR(INDEX($L$165:$L$214,MATCH(LARGE($P$165:$P$214,25),$P$165:$P$214,0)),"")</f>
        <v>0</v>
      </c>
      <c r="L116" s="80">
        <f>IFERROR(INDEX($M$165:$M$214,MATCH(LARGE($P$165:$P$214,25),$P$165:$P$214,0)),"")</f>
        <v>0</v>
      </c>
      <c r="M116" s="80">
        <f>IFERROR(INDEX($N$165:$N$214,MATCH(LARGE($P$165:$P$214,25),$P$165:$P$214,0)),"")</f>
        <v>5298</v>
      </c>
      <c r="N116" s="79">
        <f>IFERROR(INDEX($O$165:$O$214,MATCH(LARGE($P$165:$P$214,25),$P$165:$P$214,0)),"")</f>
        <v>0.03</v>
      </c>
    </row>
    <row r="117" spans="1:14" ht="15" customHeight="1" x14ac:dyDescent="0.2">
      <c r="A117" s="78">
        <v>26</v>
      </c>
      <c r="B117" s="76" t="str">
        <f>IFERROR(INDEX($B$165:$B$214,MATCH(LARGE($P$165:$P$214,26),$P$165:$P$214,0)),"")</f>
        <v>Jamie Schmidt</v>
      </c>
      <c r="C117" s="76" t="str">
        <f>IFERROR(INDEX($C$165:$C$214,MATCH(LARGE($P$165:$P$214,26),$P$165:$P$214,0)),"")</f>
        <v>SDR / Inside Sales Rep</v>
      </c>
      <c r="D117" s="76" t="str">
        <f>IFERROR(INDEX($D$165:$D$214,MATCH(LARGE($P$165:$P$214,26),$P$165:$P$214,0)),"")</f>
        <v>Inside Sales</v>
      </c>
      <c r="E117" s="76" t="str">
        <f>IFERROR(INDEX($E$165:$E$214,MATCH(LARGE($P$165:$P$214,26),$P$165:$P$214,0)),"")</f>
        <v>APAC</v>
      </c>
      <c r="F117" s="75">
        <f>IFERROR(INDEX($G$165:$G$214,MATCH(LARGE($P$165:$P$214,26),$P$165:$P$214,0)),"")</f>
        <v>187400</v>
      </c>
      <c r="G117" s="75">
        <f>IFERROR(INDEX($H$165:$H$214,MATCH(LARGE($P$165:$P$214,26),$P$165:$P$214,0)),"")</f>
        <v>172600</v>
      </c>
      <c r="H117" s="77">
        <f>IFERROR(INDEX($I$165:$I$214,MATCH(LARGE($P$165:$P$214,26),$P$165:$P$214,0)),"")</f>
        <v>0.92102454642475984</v>
      </c>
      <c r="I117" s="76" t="b">
        <f>IFERROR(INDEX($J$165:$J$214,MATCH(LARGE($P$165:$P$214,26),$P$165:$P$214,0)),"")</f>
        <v>1</v>
      </c>
      <c r="J117" s="75">
        <f>IFERROR(INDEX($K$165:$K$214,MATCH(LARGE($P$165:$P$214,26),$P$165:$P$214,0)),"")</f>
        <v>5178</v>
      </c>
      <c r="K117" s="75">
        <f>IFERROR(INDEX($L$165:$L$214,MATCH(LARGE($P$165:$P$214,26),$P$165:$P$214,0)),"")</f>
        <v>0</v>
      </c>
      <c r="L117" s="75">
        <f>IFERROR(INDEX($M$165:$M$214,MATCH(LARGE($P$165:$P$214,26),$P$165:$P$214,0)),"")</f>
        <v>0</v>
      </c>
      <c r="M117" s="75">
        <f>IFERROR(INDEX($N$165:$N$214,MATCH(LARGE($P$165:$P$214,26),$P$165:$P$214,0)),"")</f>
        <v>5178</v>
      </c>
      <c r="N117" s="74">
        <f>IFERROR(INDEX($O$165:$O$214,MATCH(LARGE($P$165:$P$214,26),$P$165:$P$214,0)),"")</f>
        <v>0.03</v>
      </c>
    </row>
    <row r="118" spans="1:14" ht="15" customHeight="1" x14ac:dyDescent="0.2">
      <c r="A118" s="83">
        <v>27</v>
      </c>
      <c r="B118" s="81" t="str">
        <f>IFERROR(INDEX($B$165:$B$214,MATCH(LARGE($P$165:$P$214,27),$P$165:$P$214,0)),"")</f>
        <v>Ben Silva</v>
      </c>
      <c r="C118" s="81" t="str">
        <f>IFERROR(INDEX($C$165:$C$214,MATCH(LARGE($P$165:$P$214,27),$P$165:$P$214,0)),"")</f>
        <v>SDR / Inside Sales Rep</v>
      </c>
      <c r="D118" s="81" t="str">
        <f>IFERROR(INDEX($D$165:$D$214,MATCH(LARGE($P$165:$P$214,27),$P$165:$P$214,0)),"")</f>
        <v>Inside Sales</v>
      </c>
      <c r="E118" s="81" t="str">
        <f>IFERROR(INDEX($E$165:$E$214,MATCH(LARGE($P$165:$P$214,27),$P$165:$P$214,0)),"")</f>
        <v>LATAM</v>
      </c>
      <c r="F118" s="80">
        <f>IFERROR(INDEX($G$165:$G$214,MATCH(LARGE($P$165:$P$214,27),$P$165:$P$214,0)),"")</f>
        <v>186700</v>
      </c>
      <c r="G118" s="80">
        <f>IFERROR(INDEX($H$165:$H$214,MATCH(LARGE($P$165:$P$214,27),$P$165:$P$214,0)),"")</f>
        <v>166200</v>
      </c>
      <c r="H118" s="82">
        <f>IFERROR(INDEX($I$165:$I$214,MATCH(LARGE($P$165:$P$214,27),$P$165:$P$214,0)),"")</f>
        <v>0.89019817889662556</v>
      </c>
      <c r="I118" s="81" t="b">
        <f>IFERROR(INDEX($J$165:$J$214,MATCH(LARGE($P$165:$P$214,27),$P$165:$P$214,0)),"")</f>
        <v>1</v>
      </c>
      <c r="J118" s="80">
        <f>IFERROR(INDEX($K$165:$K$214,MATCH(LARGE($P$165:$P$214,27),$P$165:$P$214,0)),"")</f>
        <v>4986</v>
      </c>
      <c r="K118" s="80">
        <f>IFERROR(INDEX($L$165:$L$214,MATCH(LARGE($P$165:$P$214,27),$P$165:$P$214,0)),"")</f>
        <v>0</v>
      </c>
      <c r="L118" s="80">
        <f>IFERROR(INDEX($M$165:$M$214,MATCH(LARGE($P$165:$P$214,27),$P$165:$P$214,0)),"")</f>
        <v>0</v>
      </c>
      <c r="M118" s="80">
        <f>IFERROR(INDEX($N$165:$N$214,MATCH(LARGE($P$165:$P$214,27),$P$165:$P$214,0)),"")</f>
        <v>4986</v>
      </c>
      <c r="N118" s="79">
        <f>IFERROR(INDEX($O$165:$O$214,MATCH(LARGE($P$165:$P$214,27),$P$165:$P$214,0)),"")</f>
        <v>0.03</v>
      </c>
    </row>
    <row r="119" spans="1:14" ht="15" customHeight="1" x14ac:dyDescent="0.2">
      <c r="A119" s="78">
        <v>28</v>
      </c>
      <c r="B119" s="76" t="str">
        <f>IFERROR(INDEX($B$165:$B$214,MATCH(LARGE($P$165:$P$214,28),$P$165:$P$214,0)),"")</f>
        <v>Karim Rossi</v>
      </c>
      <c r="C119" s="76" t="str">
        <f>IFERROR(INDEX($C$165:$C$214,MATCH(LARGE($P$165:$P$214,28),$P$165:$P$214,0)),"")</f>
        <v>SDR / Inside Sales Rep</v>
      </c>
      <c r="D119" s="76" t="str">
        <f>IFERROR(INDEX($D$165:$D$214,MATCH(LARGE($P$165:$P$214,28),$P$165:$P$214,0)),"")</f>
        <v>Inside Sales</v>
      </c>
      <c r="E119" s="76" t="str">
        <f>IFERROR(INDEX($E$165:$E$214,MATCH(LARGE($P$165:$P$214,28),$P$165:$P$214,0)),"")</f>
        <v>NAMER</v>
      </c>
      <c r="F119" s="75">
        <f>IFERROR(INDEX($G$165:$G$214,MATCH(LARGE($P$165:$P$214,28),$P$165:$P$214,0)),"")</f>
        <v>186500</v>
      </c>
      <c r="G119" s="75">
        <f>IFERROR(INDEX($H$165:$H$214,MATCH(LARGE($P$165:$P$214,28),$P$165:$P$214,0)),"")</f>
        <v>156600</v>
      </c>
      <c r="H119" s="77">
        <f>IFERROR(INDEX($I$165:$I$214,MATCH(LARGE($P$165:$P$214,28),$P$165:$P$214,0)),"")</f>
        <v>0.83967828418230561</v>
      </c>
      <c r="I119" s="76" t="b">
        <f>IFERROR(INDEX($J$165:$J$214,MATCH(LARGE($P$165:$P$214,28),$P$165:$P$214,0)),"")</f>
        <v>1</v>
      </c>
      <c r="J119" s="75">
        <f>IFERROR(INDEX($K$165:$K$214,MATCH(LARGE($P$165:$P$214,28),$P$165:$P$214,0)),"")</f>
        <v>4698</v>
      </c>
      <c r="K119" s="75">
        <f>IFERROR(INDEX($L$165:$L$214,MATCH(LARGE($P$165:$P$214,28),$P$165:$P$214,0)),"")</f>
        <v>0</v>
      </c>
      <c r="L119" s="75">
        <f>IFERROR(INDEX($M$165:$M$214,MATCH(LARGE($P$165:$P$214,28),$P$165:$P$214,0)),"")</f>
        <v>0</v>
      </c>
      <c r="M119" s="75">
        <f>IFERROR(INDEX($N$165:$N$214,MATCH(LARGE($P$165:$P$214,28),$P$165:$P$214,0)),"")</f>
        <v>4698</v>
      </c>
      <c r="N119" s="74">
        <f>IFERROR(INDEX($O$165:$O$214,MATCH(LARGE($P$165:$P$214,28),$P$165:$P$214,0)),"")</f>
        <v>0.03</v>
      </c>
    </row>
    <row r="120" spans="1:14" ht="15" customHeight="1" x14ac:dyDescent="0.2">
      <c r="A120" s="83">
        <v>29</v>
      </c>
      <c r="B120" s="81" t="str">
        <f>IFERROR(INDEX($B$165:$B$214,MATCH(LARGE($P$165:$P$214,29),$P$165:$P$214,0)),"")</f>
        <v>Jamie Silva</v>
      </c>
      <c r="C120" s="81" t="str">
        <f>IFERROR(INDEX($C$165:$C$214,MATCH(LARGE($P$165:$P$214,29),$P$165:$P$214,0)),"")</f>
        <v>SDR / Inside Sales Rep</v>
      </c>
      <c r="D120" s="81" t="str">
        <f>IFERROR(INDEX($D$165:$D$214,MATCH(LARGE($P$165:$P$214,29),$P$165:$P$214,0)),"")</f>
        <v>Inside Sales</v>
      </c>
      <c r="E120" s="81" t="str">
        <f>IFERROR(INDEX($E$165:$E$214,MATCH(LARGE($P$165:$P$214,29),$P$165:$P$214,0)),"")</f>
        <v>EMEA</v>
      </c>
      <c r="F120" s="80">
        <f>IFERROR(INDEX($G$165:$G$214,MATCH(LARGE($P$165:$P$214,29),$P$165:$P$214,0)),"")</f>
        <v>182600</v>
      </c>
      <c r="G120" s="80">
        <f>IFERROR(INDEX($H$165:$H$214,MATCH(LARGE($P$165:$P$214,29),$P$165:$P$214,0)),"")</f>
        <v>151800</v>
      </c>
      <c r="H120" s="82">
        <f>IFERROR(INDEX($I$165:$I$214,MATCH(LARGE($P$165:$P$214,29),$P$165:$P$214,0)),"")</f>
        <v>0.83132530120481929</v>
      </c>
      <c r="I120" s="81" t="b">
        <f>IFERROR(INDEX($J$165:$J$214,MATCH(LARGE($P$165:$P$214,29),$P$165:$P$214,0)),"")</f>
        <v>1</v>
      </c>
      <c r="J120" s="80">
        <f>IFERROR(INDEX($K$165:$K$214,MATCH(LARGE($P$165:$P$214,29),$P$165:$P$214,0)),"")</f>
        <v>4554</v>
      </c>
      <c r="K120" s="80">
        <f>IFERROR(INDEX($L$165:$L$214,MATCH(LARGE($P$165:$P$214,29),$P$165:$P$214,0)),"")</f>
        <v>0</v>
      </c>
      <c r="L120" s="80">
        <f>IFERROR(INDEX($M$165:$M$214,MATCH(LARGE($P$165:$P$214,29),$P$165:$P$214,0)),"")</f>
        <v>0</v>
      </c>
      <c r="M120" s="80">
        <f>IFERROR(INDEX($N$165:$N$214,MATCH(LARGE($P$165:$P$214,29),$P$165:$P$214,0)),"")</f>
        <v>4554</v>
      </c>
      <c r="N120" s="79">
        <f>IFERROR(INDEX($O$165:$O$214,MATCH(LARGE($P$165:$P$214,29),$P$165:$P$214,0)),"")</f>
        <v>0.03</v>
      </c>
    </row>
    <row r="121" spans="1:14" ht="15" customHeight="1" x14ac:dyDescent="0.2">
      <c r="A121" s="78">
        <v>30</v>
      </c>
      <c r="B121" s="76" t="str">
        <f>IFERROR(INDEX($B$165:$B$214,MATCH(LARGE($P$165:$P$214,30),$P$165:$P$214,0)),"")</f>
        <v>Hugo Santos</v>
      </c>
      <c r="C121" s="76" t="str">
        <f>IFERROR(INDEX($C$165:$C$214,MATCH(LARGE($P$165:$P$214,30),$P$165:$P$214,0)),"")</f>
        <v>SDR / Inside Sales Rep</v>
      </c>
      <c r="D121" s="76" t="str">
        <f>IFERROR(INDEX($D$165:$D$214,MATCH(LARGE($P$165:$P$214,30),$P$165:$P$214,0)),"")</f>
        <v>Inside Sales</v>
      </c>
      <c r="E121" s="76" t="str">
        <f>IFERROR(INDEX($E$165:$E$214,MATCH(LARGE($P$165:$P$214,30),$P$165:$P$214,0)),"")</f>
        <v>EMEA</v>
      </c>
      <c r="F121" s="75">
        <f>IFERROR(INDEX($G$165:$G$214,MATCH(LARGE($P$165:$P$214,30),$P$165:$P$214,0)),"")</f>
        <v>187100</v>
      </c>
      <c r="G121" s="75">
        <f>IFERROR(INDEX($H$165:$H$214,MATCH(LARGE($P$165:$P$214,30),$P$165:$P$214,0)),"")</f>
        <v>147000</v>
      </c>
      <c r="H121" s="77">
        <f>IFERROR(INDEX($I$165:$I$214,MATCH(LARGE($P$165:$P$214,30),$P$165:$P$214,0)),"")</f>
        <v>0.78567610903260288</v>
      </c>
      <c r="I121" s="76" t="b">
        <f>IFERROR(INDEX($J$165:$J$214,MATCH(LARGE($P$165:$P$214,30),$P$165:$P$214,0)),"")</f>
        <v>1</v>
      </c>
      <c r="J121" s="75">
        <f>IFERROR(INDEX($K$165:$K$214,MATCH(LARGE($P$165:$P$214,30),$P$165:$P$214,0)),"")</f>
        <v>4410</v>
      </c>
      <c r="K121" s="75">
        <f>IFERROR(INDEX($L$165:$L$214,MATCH(LARGE($P$165:$P$214,30),$P$165:$P$214,0)),"")</f>
        <v>0</v>
      </c>
      <c r="L121" s="75">
        <f>IFERROR(INDEX($M$165:$M$214,MATCH(LARGE($P$165:$P$214,30),$P$165:$P$214,0)),"")</f>
        <v>0</v>
      </c>
      <c r="M121" s="75">
        <f>IFERROR(INDEX($N$165:$N$214,MATCH(LARGE($P$165:$P$214,30),$P$165:$P$214,0)),"")</f>
        <v>4410</v>
      </c>
      <c r="N121" s="74">
        <f>IFERROR(INDEX($O$165:$O$214,MATCH(LARGE($P$165:$P$214,30),$P$165:$P$214,0)),"")</f>
        <v>0.03</v>
      </c>
    </row>
    <row r="122" spans="1:14" ht="15" customHeight="1" x14ac:dyDescent="0.2">
      <c r="A122" s="83">
        <v>31</v>
      </c>
      <c r="B122" s="81" t="str">
        <f>IFERROR(INDEX($B$165:$B$214,MATCH(LARGE($P$165:$P$214,31),$P$165:$P$214,0)),"")</f>
        <v>Ana Kim</v>
      </c>
      <c r="C122" s="81" t="str">
        <f>IFERROR(INDEX($C$165:$C$214,MATCH(LARGE($P$165:$P$214,31),$P$165:$P$214,0)),"")</f>
        <v>Mid-Market AE</v>
      </c>
      <c r="D122" s="81" t="str">
        <f>IFERROR(INDEX($D$165:$D$214,MATCH(LARGE($P$165:$P$214,31),$P$165:$P$214,0)),"")</f>
        <v>Mid-Market</v>
      </c>
      <c r="E122" s="81" t="str">
        <f>IFERROR(INDEX($E$165:$E$214,MATCH(LARGE($P$165:$P$214,31),$P$165:$P$214,0)),"")</f>
        <v>APAC</v>
      </c>
      <c r="F122" s="80">
        <f>IFERROR(INDEX($G$165:$G$214,MATCH(LARGE($P$165:$P$214,31),$P$165:$P$214,0)),"")</f>
        <v>117900</v>
      </c>
      <c r="G122" s="80">
        <f>IFERROR(INDEX($H$165:$H$214,MATCH(LARGE($P$165:$P$214,31),$P$165:$P$214,0)),"")</f>
        <v>78500</v>
      </c>
      <c r="H122" s="82">
        <f>IFERROR(INDEX($I$165:$I$214,MATCH(LARGE($P$165:$P$214,31),$P$165:$P$214,0)),"")</f>
        <v>0.66581849024597117</v>
      </c>
      <c r="I122" s="81" t="b">
        <f>IFERROR(INDEX($J$165:$J$214,MATCH(LARGE($P$165:$P$214,31),$P$165:$P$214,0)),"")</f>
        <v>1</v>
      </c>
      <c r="J122" s="80">
        <f>IFERROR(INDEX($K$165:$K$214,MATCH(LARGE($P$165:$P$214,31),$P$165:$P$214,0)),"")</f>
        <v>3925</v>
      </c>
      <c r="K122" s="80">
        <f>IFERROR(INDEX($L$165:$L$214,MATCH(LARGE($P$165:$P$214,31),$P$165:$P$214,0)),"")</f>
        <v>0</v>
      </c>
      <c r="L122" s="80">
        <f>IFERROR(INDEX($M$165:$M$214,MATCH(LARGE($P$165:$P$214,31),$P$165:$P$214,0)),"")</f>
        <v>0</v>
      </c>
      <c r="M122" s="80">
        <f>IFERROR(INDEX($N$165:$N$214,MATCH(LARGE($P$165:$P$214,31),$P$165:$P$214,0)),"")</f>
        <v>3925</v>
      </c>
      <c r="N122" s="79">
        <f>IFERROR(INDEX($O$165:$O$214,MATCH(LARGE($P$165:$P$214,31),$P$165:$P$214,0)),"")</f>
        <v>0.05</v>
      </c>
    </row>
    <row r="123" spans="1:14" ht="15" customHeight="1" x14ac:dyDescent="0.2">
      <c r="A123" s="78">
        <v>32</v>
      </c>
      <c r="B123" s="76" t="str">
        <f>IFERROR(INDEX($B$165:$B$214,MATCH(LARGE($P$165:$P$214,32),$P$165:$P$214,0)),"")</f>
        <v>Riley Haddad</v>
      </c>
      <c r="C123" s="76" t="str">
        <f>IFERROR(INDEX($C$165:$C$214,MATCH(LARGE($P$165:$P$214,32),$P$165:$P$214,0)),"")</f>
        <v>SDR / Inside Sales Rep</v>
      </c>
      <c r="D123" s="76" t="str">
        <f>IFERROR(INDEX($D$165:$D$214,MATCH(LARGE($P$165:$P$214,32),$P$165:$P$214,0)),"")</f>
        <v>Inside Sales</v>
      </c>
      <c r="E123" s="76" t="str">
        <f>IFERROR(INDEX($E$165:$E$214,MATCH(LARGE($P$165:$P$214,32),$P$165:$P$214,0)),"")</f>
        <v>APAC</v>
      </c>
      <c r="F123" s="75">
        <f>IFERROR(INDEX($G$165:$G$214,MATCH(LARGE($P$165:$P$214,32),$P$165:$P$214,0)),"")</f>
        <v>166400</v>
      </c>
      <c r="G123" s="75">
        <f>IFERROR(INDEX($H$165:$H$214,MATCH(LARGE($P$165:$P$214,32),$P$165:$P$214,0)),"")</f>
        <v>122200</v>
      </c>
      <c r="H123" s="77">
        <f>IFERROR(INDEX($I$165:$I$214,MATCH(LARGE($P$165:$P$214,32),$P$165:$P$214,0)),"")</f>
        <v>0.734375</v>
      </c>
      <c r="I123" s="76" t="b">
        <f>IFERROR(INDEX($J$165:$J$214,MATCH(LARGE($P$165:$P$214,32),$P$165:$P$214,0)),"")</f>
        <v>1</v>
      </c>
      <c r="J123" s="75">
        <f>IFERROR(INDEX($K$165:$K$214,MATCH(LARGE($P$165:$P$214,32),$P$165:$P$214,0)),"")</f>
        <v>3666</v>
      </c>
      <c r="K123" s="75">
        <f>IFERROR(INDEX($L$165:$L$214,MATCH(LARGE($P$165:$P$214,32),$P$165:$P$214,0)),"")</f>
        <v>0</v>
      </c>
      <c r="L123" s="75">
        <f>IFERROR(INDEX($M$165:$M$214,MATCH(LARGE($P$165:$P$214,32),$P$165:$P$214,0)),"")</f>
        <v>0</v>
      </c>
      <c r="M123" s="75">
        <f>IFERROR(INDEX($N$165:$N$214,MATCH(LARGE($P$165:$P$214,32),$P$165:$P$214,0)),"")</f>
        <v>3666</v>
      </c>
      <c r="N123" s="74">
        <f>IFERROR(INDEX($O$165:$O$214,MATCH(LARGE($P$165:$P$214,32),$P$165:$P$214,0)),"")</f>
        <v>0.03</v>
      </c>
    </row>
    <row r="124" spans="1:14" ht="15" customHeight="1" x14ac:dyDescent="0.2">
      <c r="A124" s="83">
        <v>33</v>
      </c>
      <c r="B124" s="81" t="str">
        <f>IFERROR(INDEX($B$165:$B$214,MATCH(LARGE($P$165:$P$214,33),$P$165:$P$214,0)),"")</f>
        <v>Ana Sato</v>
      </c>
      <c r="C124" s="81" t="str">
        <f>IFERROR(INDEX($C$165:$C$214,MATCH(LARGE($P$165:$P$214,33),$P$165:$P$214,0)),"")</f>
        <v>Mid-Market AE</v>
      </c>
      <c r="D124" s="81" t="str">
        <f>IFERROR(INDEX($D$165:$D$214,MATCH(LARGE($P$165:$P$214,33),$P$165:$P$214,0)),"")</f>
        <v>Mid-Market</v>
      </c>
      <c r="E124" s="81" t="str">
        <f>IFERROR(INDEX($E$165:$E$214,MATCH(LARGE($P$165:$P$214,33),$P$165:$P$214,0)),"")</f>
        <v>APAC</v>
      </c>
      <c r="F124" s="80">
        <f>IFERROR(INDEX($G$165:$G$214,MATCH(LARGE($P$165:$P$214,33),$P$165:$P$214,0)),"")</f>
        <v>32300</v>
      </c>
      <c r="G124" s="80">
        <f>IFERROR(INDEX($H$165:$H$214,MATCH(LARGE($P$165:$P$214,33),$P$165:$P$214,0)),"")</f>
        <v>37000</v>
      </c>
      <c r="H124" s="82">
        <f>IFERROR(INDEX($I$165:$I$214,MATCH(LARGE($P$165:$P$214,33),$P$165:$P$214,0)),"")</f>
        <v>1.1455108359133126</v>
      </c>
      <c r="I124" s="81" t="b">
        <f>IFERROR(INDEX($J$165:$J$214,MATCH(LARGE($P$165:$P$214,33),$P$165:$P$214,0)),"")</f>
        <v>1</v>
      </c>
      <c r="J124" s="80">
        <f>IFERROR(INDEX($K$165:$K$214,MATCH(LARGE($P$165:$P$214,33),$P$165:$P$214,0)),"")</f>
        <v>1615</v>
      </c>
      <c r="K124" s="80">
        <f>IFERROR(INDEX($L$165:$L$214,MATCH(LARGE($P$165:$P$214,33),$P$165:$P$214,0)),"")</f>
        <v>376</v>
      </c>
      <c r="L124" s="80">
        <f>IFERROR(INDEX($M$165:$M$214,MATCH(LARGE($P$165:$P$214,33),$P$165:$P$214,0)),"")</f>
        <v>0</v>
      </c>
      <c r="M124" s="80">
        <f>IFERROR(INDEX($N$165:$N$214,MATCH(LARGE($P$165:$P$214,33),$P$165:$P$214,0)),"")</f>
        <v>1991</v>
      </c>
      <c r="N124" s="79">
        <f>IFERROR(INDEX($O$165:$O$214,MATCH(LARGE($P$165:$P$214,33),$P$165:$P$214,0)),"")</f>
        <v>5.3810810810810808E-2</v>
      </c>
    </row>
    <row r="125" spans="1:14" ht="15" customHeight="1" x14ac:dyDescent="0.2">
      <c r="A125" s="78">
        <v>34</v>
      </c>
      <c r="B125" s="76" t="str">
        <f>IFERROR(INDEX($B$165:$B$214,MATCH(LARGE($P$165:$P$214,34),$P$165:$P$214,0)),"")</f>
        <v>Petra Larsen</v>
      </c>
      <c r="C125" s="76" t="str">
        <f>IFERROR(INDEX($C$165:$C$214,MATCH(LARGE($P$165:$P$214,34),$P$165:$P$214,0)),"")</f>
        <v>SDR / Inside Sales Rep</v>
      </c>
      <c r="D125" s="76" t="str">
        <f>IFERROR(INDEX($D$165:$D$214,MATCH(LARGE($P$165:$P$214,34),$P$165:$P$214,0)),"")</f>
        <v>Inside Sales</v>
      </c>
      <c r="E125" s="76" t="str">
        <f>IFERROR(INDEX($E$165:$E$214,MATCH(LARGE($P$165:$P$214,34),$P$165:$P$214,0)),"")</f>
        <v>EMEA</v>
      </c>
      <c r="F125" s="75">
        <f>IFERROR(INDEX($G$165:$G$214,MATCH(LARGE($P$165:$P$214,34),$P$165:$P$214,0)),"")</f>
        <v>118100</v>
      </c>
      <c r="G125" s="75">
        <f>IFERROR(INDEX($H$165:$H$214,MATCH(LARGE($P$165:$P$214,34),$P$165:$P$214,0)),"")</f>
        <v>63400</v>
      </c>
      <c r="H125" s="77">
        <f>IFERROR(INDEX($I$165:$I$214,MATCH(LARGE($P$165:$P$214,34),$P$165:$P$214,0)),"")</f>
        <v>0.53683319220999148</v>
      </c>
      <c r="I125" s="76" t="b">
        <f>IFERROR(INDEX($J$165:$J$214,MATCH(LARGE($P$165:$P$214,34),$P$165:$P$214,0)),"")</f>
        <v>1</v>
      </c>
      <c r="J125" s="75">
        <f>IFERROR(INDEX($K$165:$K$214,MATCH(LARGE($P$165:$P$214,34),$P$165:$P$214,0)),"")</f>
        <v>1902</v>
      </c>
      <c r="K125" s="75">
        <f>IFERROR(INDEX($L$165:$L$214,MATCH(LARGE($P$165:$P$214,34),$P$165:$P$214,0)),"")</f>
        <v>0</v>
      </c>
      <c r="L125" s="75">
        <f>IFERROR(INDEX($M$165:$M$214,MATCH(LARGE($P$165:$P$214,34),$P$165:$P$214,0)),"")</f>
        <v>0</v>
      </c>
      <c r="M125" s="75">
        <f>IFERROR(INDEX($N$165:$N$214,MATCH(LARGE($P$165:$P$214,34),$P$165:$P$214,0)),"")</f>
        <v>1902</v>
      </c>
      <c r="N125" s="74">
        <f>IFERROR(INDEX($O$165:$O$214,MATCH(LARGE($P$165:$P$214,34),$P$165:$P$214,0)),"")</f>
        <v>0.03</v>
      </c>
    </row>
    <row r="126" spans="1:14" ht="15" customHeight="1" x14ac:dyDescent="0.2">
      <c r="A126" s="83">
        <v>35</v>
      </c>
      <c r="B126" s="81" t="str">
        <f>IFERROR(INDEX($B$165:$B$214,MATCH(LARGE($P$165:$P$214,35),$P$165:$P$214,0)),"")</f>
        <v>Morgan Larsen</v>
      </c>
      <c r="C126" s="81" t="str">
        <f>IFERROR(INDEX($C$165:$C$214,MATCH(LARGE($P$165:$P$214,35),$P$165:$P$214,0)),"")</f>
        <v>Mid-Market AE</v>
      </c>
      <c r="D126" s="81" t="str">
        <f>IFERROR(INDEX($D$165:$D$214,MATCH(LARGE($P$165:$P$214,35),$P$165:$P$214,0)),"")</f>
        <v>Mid-Market</v>
      </c>
      <c r="E126" s="81" t="str">
        <f>IFERROR(INDEX($E$165:$E$214,MATCH(LARGE($P$165:$P$214,35),$P$165:$P$214,0)),"")</f>
        <v>NAMER</v>
      </c>
      <c r="F126" s="80">
        <f>IFERROR(INDEX($G$165:$G$214,MATCH(LARGE($P$165:$P$214,35),$P$165:$P$214,0)),"")</f>
        <v>32200</v>
      </c>
      <c r="G126" s="80">
        <f>IFERROR(INDEX($H$165:$H$214,MATCH(LARGE($P$165:$P$214,35),$P$165:$P$214,0)),"")</f>
        <v>20300</v>
      </c>
      <c r="H126" s="82">
        <f>IFERROR(INDEX($I$165:$I$214,MATCH(LARGE($P$165:$P$214,35),$P$165:$P$214,0)),"")</f>
        <v>0.63043478260869568</v>
      </c>
      <c r="I126" s="81" t="b">
        <f>IFERROR(INDEX($J$165:$J$214,MATCH(LARGE($P$165:$P$214,35),$P$165:$P$214,0)),"")</f>
        <v>1</v>
      </c>
      <c r="J126" s="80">
        <f>IFERROR(INDEX($K$165:$K$214,MATCH(LARGE($P$165:$P$214,35),$P$165:$P$214,0)),"")</f>
        <v>1015</v>
      </c>
      <c r="K126" s="80">
        <f>IFERROR(INDEX($L$165:$L$214,MATCH(LARGE($P$165:$P$214,35),$P$165:$P$214,0)),"")</f>
        <v>0</v>
      </c>
      <c r="L126" s="80">
        <f>IFERROR(INDEX($M$165:$M$214,MATCH(LARGE($P$165:$P$214,35),$P$165:$P$214,0)),"")</f>
        <v>0</v>
      </c>
      <c r="M126" s="80">
        <f>IFERROR(INDEX($N$165:$N$214,MATCH(LARGE($P$165:$P$214,35),$P$165:$P$214,0)),"")</f>
        <v>1015</v>
      </c>
      <c r="N126" s="79">
        <f>IFERROR(INDEX($O$165:$O$214,MATCH(LARGE($P$165:$P$214,35),$P$165:$P$214,0)),"")</f>
        <v>0.05</v>
      </c>
    </row>
    <row r="127" spans="1:14" ht="15" customHeight="1" x14ac:dyDescent="0.2">
      <c r="A127" s="78">
        <v>36</v>
      </c>
      <c r="B127" s="76" t="str">
        <f>IFERROR(INDEX($B$165:$B$214,MATCH(LARGE($P$165:$P$214,36),$P$165:$P$214,0)),"")</f>
        <v>Sara Duarte</v>
      </c>
      <c r="C127" s="76" t="str">
        <f>IFERROR(INDEX($C$165:$C$214,MATCH(LARGE($P$165:$P$214,36),$P$165:$P$214,0)),"")</f>
        <v>SDR / Inside Sales Rep</v>
      </c>
      <c r="D127" s="76" t="str">
        <f>IFERROR(INDEX($D$165:$D$214,MATCH(LARGE($P$165:$P$214,36),$P$165:$P$214,0)),"")</f>
        <v>Inside Sales</v>
      </c>
      <c r="E127" s="76" t="str">
        <f>IFERROR(INDEX($E$165:$E$214,MATCH(LARGE($P$165:$P$214,36),$P$165:$P$214,0)),"")</f>
        <v>APAC</v>
      </c>
      <c r="F127" s="75">
        <f>IFERROR(INDEX($G$165:$G$214,MATCH(LARGE($P$165:$P$214,36),$P$165:$P$214,0)),"")</f>
        <v>11100</v>
      </c>
      <c r="G127" s="75">
        <f>IFERROR(INDEX($H$165:$H$214,MATCH(LARGE($P$165:$P$214,36),$P$165:$P$214,0)),"")</f>
        <v>5800</v>
      </c>
      <c r="H127" s="77">
        <f>IFERROR(INDEX($I$165:$I$214,MATCH(LARGE($P$165:$P$214,36),$P$165:$P$214,0)),"")</f>
        <v>0.52252252252252251</v>
      </c>
      <c r="I127" s="76" t="b">
        <f>IFERROR(INDEX($J$165:$J$214,MATCH(LARGE($P$165:$P$214,36),$P$165:$P$214,0)),"")</f>
        <v>1</v>
      </c>
      <c r="J127" s="75">
        <f>IFERROR(INDEX($K$165:$K$214,MATCH(LARGE($P$165:$P$214,36),$P$165:$P$214,0)),"")</f>
        <v>174</v>
      </c>
      <c r="K127" s="75">
        <f>IFERROR(INDEX($L$165:$L$214,MATCH(LARGE($P$165:$P$214,36),$P$165:$P$214,0)),"")</f>
        <v>0</v>
      </c>
      <c r="L127" s="75">
        <f>IFERROR(INDEX($M$165:$M$214,MATCH(LARGE($P$165:$P$214,36),$P$165:$P$214,0)),"")</f>
        <v>0</v>
      </c>
      <c r="M127" s="75">
        <f>IFERROR(INDEX($N$165:$N$214,MATCH(LARGE($P$165:$P$214,36),$P$165:$P$214,0)),"")</f>
        <v>174</v>
      </c>
      <c r="N127" s="74">
        <f>IFERROR(INDEX($O$165:$O$214,MATCH(LARGE($P$165:$P$214,36),$P$165:$P$214,0)),"")</f>
        <v>0.03</v>
      </c>
    </row>
    <row r="128" spans="1:14" ht="15" customHeight="1" x14ac:dyDescent="0.2">
      <c r="A128" s="83">
        <v>37</v>
      </c>
      <c r="B128" s="81" t="str">
        <f>IFERROR(INDEX($B$165:$B$214,MATCH(LARGE($P$165:$P$214,37),$P$165:$P$214,0)),"")</f>
        <v>Noah Adler</v>
      </c>
      <c r="C128" s="81" t="str">
        <f>IFERROR(INDEX($C$165:$C$214,MATCH(LARGE($P$165:$P$214,37),$P$165:$P$214,0)),"")</f>
        <v>SDR / Inside Sales Rep</v>
      </c>
      <c r="D128" s="81" t="str">
        <f>IFERROR(INDEX($D$165:$D$214,MATCH(LARGE($P$165:$P$214,37),$P$165:$P$214,0)),"")</f>
        <v>Inside Sales</v>
      </c>
      <c r="E128" s="81" t="str">
        <f>IFERROR(INDEX($E$165:$E$214,MATCH(LARGE($P$165:$P$214,37),$P$165:$P$214,0)),"")</f>
        <v>NAMER</v>
      </c>
      <c r="F128" s="80">
        <f>IFERROR(INDEX($G$165:$G$214,MATCH(LARGE($P$165:$P$214,37),$P$165:$P$214,0)),"")</f>
        <v>4000</v>
      </c>
      <c r="G128" s="80">
        <f>IFERROR(INDEX($H$165:$H$214,MATCH(LARGE($P$165:$P$214,37),$P$165:$P$214,0)),"")</f>
        <v>3100</v>
      </c>
      <c r="H128" s="82">
        <f>IFERROR(INDEX($I$165:$I$214,MATCH(LARGE($P$165:$P$214,37),$P$165:$P$214,0)),"")</f>
        <v>0.77500000000000002</v>
      </c>
      <c r="I128" s="81" t="b">
        <f>IFERROR(INDEX($J$165:$J$214,MATCH(LARGE($P$165:$P$214,37),$P$165:$P$214,0)),"")</f>
        <v>1</v>
      </c>
      <c r="J128" s="80">
        <f>IFERROR(INDEX($K$165:$K$214,MATCH(LARGE($P$165:$P$214,37),$P$165:$P$214,0)),"")</f>
        <v>93</v>
      </c>
      <c r="K128" s="80">
        <f>IFERROR(INDEX($L$165:$L$214,MATCH(LARGE($P$165:$P$214,37),$P$165:$P$214,0)),"")</f>
        <v>0</v>
      </c>
      <c r="L128" s="80">
        <f>IFERROR(INDEX($M$165:$M$214,MATCH(LARGE($P$165:$P$214,37),$P$165:$P$214,0)),"")</f>
        <v>0</v>
      </c>
      <c r="M128" s="80">
        <f>IFERROR(INDEX($N$165:$N$214,MATCH(LARGE($P$165:$P$214,37),$P$165:$P$214,0)),"")</f>
        <v>93</v>
      </c>
      <c r="N128" s="79">
        <f>IFERROR(INDEX($O$165:$O$214,MATCH(LARGE($P$165:$P$214,37),$P$165:$P$214,0)),"")</f>
        <v>0.03</v>
      </c>
    </row>
    <row r="129" spans="1:14" ht="15" customHeight="1" x14ac:dyDescent="0.2">
      <c r="A129" s="78">
        <v>38</v>
      </c>
      <c r="B129" s="76" t="str">
        <f>IFERROR(INDEX($B$165:$B$214,MATCH(LARGE($P$165:$P$214,38),$P$165:$P$214,0)),"")</f>
        <v>Erik Kim</v>
      </c>
      <c r="C129" s="76" t="str">
        <f>IFERROR(INDEX($C$165:$C$214,MATCH(LARGE($P$165:$P$214,38),$P$165:$P$214,0)),"")</f>
        <v>Mid-Market AE</v>
      </c>
      <c r="D129" s="76" t="str">
        <f>IFERROR(INDEX($D$165:$D$214,MATCH(LARGE($P$165:$P$214,38),$P$165:$P$214,0)),"")</f>
        <v>Mid-Market</v>
      </c>
      <c r="E129" s="76" t="str">
        <f>IFERROR(INDEX($E$165:$E$214,MATCH(LARGE($P$165:$P$214,38),$P$165:$P$214,0)),"")</f>
        <v>NAMER</v>
      </c>
      <c r="F129" s="75">
        <f>IFERROR(INDEX($G$165:$G$214,MATCH(LARGE($P$165:$P$214,38),$P$165:$P$214,0)),"")</f>
        <v>15600</v>
      </c>
      <c r="G129" s="75">
        <f>IFERROR(INDEX($H$165:$H$214,MATCH(LARGE($P$165:$P$214,38),$P$165:$P$214,0)),"")</f>
        <v>0</v>
      </c>
      <c r="H129" s="77">
        <f>IFERROR(INDEX($I$165:$I$214,MATCH(LARGE($P$165:$P$214,38),$P$165:$P$214,0)),"")</f>
        <v>0</v>
      </c>
      <c r="I129" s="76" t="b">
        <f>IFERROR(INDEX($J$165:$J$214,MATCH(LARGE($P$165:$P$214,38),$P$165:$P$214,0)),"")</f>
        <v>0</v>
      </c>
      <c r="J129" s="75">
        <f>IFERROR(INDEX($K$165:$K$214,MATCH(LARGE($P$165:$P$214,38),$P$165:$P$214,0)),"")</f>
        <v>0</v>
      </c>
      <c r="K129" s="75">
        <f>IFERROR(INDEX($L$165:$L$214,MATCH(LARGE($P$165:$P$214,38),$P$165:$P$214,0)),"")</f>
        <v>0</v>
      </c>
      <c r="L129" s="75">
        <f>IFERROR(INDEX($M$165:$M$214,MATCH(LARGE($P$165:$P$214,38),$P$165:$P$214,0)),"")</f>
        <v>0</v>
      </c>
      <c r="M129" s="75">
        <f>IFERROR(INDEX($N$165:$N$214,MATCH(LARGE($P$165:$P$214,38),$P$165:$P$214,0)),"")</f>
        <v>0</v>
      </c>
      <c r="N129" s="74" t="str">
        <f>IFERROR(INDEX($O$165:$O$214,MATCH(LARGE($P$165:$P$214,38),$P$165:$P$214,0)),"")</f>
        <v/>
      </c>
    </row>
    <row r="130" spans="1:14" ht="15" customHeight="1" x14ac:dyDescent="0.2">
      <c r="A130" s="83">
        <v>39</v>
      </c>
      <c r="B130" s="81" t="str">
        <f>IFERROR(INDEX($B$165:$B$214,MATCH(LARGE($P$165:$P$214,39),$P$165:$P$214,0)),"")</f>
        <v>Rafael Weber</v>
      </c>
      <c r="C130" s="81" t="str">
        <f>IFERROR(INDEX($C$165:$C$214,MATCH(LARGE($P$165:$P$214,39),$P$165:$P$214,0)),"")</f>
        <v>Mid-Market AE</v>
      </c>
      <c r="D130" s="81" t="str">
        <f>IFERROR(INDEX($D$165:$D$214,MATCH(LARGE($P$165:$P$214,39),$P$165:$P$214,0)),"")</f>
        <v>Mid-Market</v>
      </c>
      <c r="E130" s="81" t="str">
        <f>IFERROR(INDEX($E$165:$E$214,MATCH(LARGE($P$165:$P$214,39),$P$165:$P$214,0)),"")</f>
        <v>APAC</v>
      </c>
      <c r="F130" s="80">
        <f>IFERROR(INDEX($G$165:$G$214,MATCH(LARGE($P$165:$P$214,39),$P$165:$P$214,0)),"")</f>
        <v>78700</v>
      </c>
      <c r="G130" s="80">
        <f>IFERROR(INDEX($H$165:$H$214,MATCH(LARGE($P$165:$P$214,39),$P$165:$P$214,0)),"")</f>
        <v>28000</v>
      </c>
      <c r="H130" s="82">
        <f>IFERROR(INDEX($I$165:$I$214,MATCH(LARGE($P$165:$P$214,39),$P$165:$P$214,0)),"")</f>
        <v>0.35578144853875476</v>
      </c>
      <c r="I130" s="81" t="b">
        <f>IFERROR(INDEX($J$165:$J$214,MATCH(LARGE($P$165:$P$214,39),$P$165:$P$214,0)),"")</f>
        <v>0</v>
      </c>
      <c r="J130" s="80">
        <f>IFERROR(INDEX($K$165:$K$214,MATCH(LARGE($P$165:$P$214,39),$P$165:$P$214,0)),"")</f>
        <v>0</v>
      </c>
      <c r="K130" s="80">
        <f>IFERROR(INDEX($L$165:$L$214,MATCH(LARGE($P$165:$P$214,39),$P$165:$P$214,0)),"")</f>
        <v>0</v>
      </c>
      <c r="L130" s="80">
        <f>IFERROR(INDEX($M$165:$M$214,MATCH(LARGE($P$165:$P$214,39),$P$165:$P$214,0)),"")</f>
        <v>0</v>
      </c>
      <c r="M130" s="80">
        <f>IFERROR(INDEX($N$165:$N$214,MATCH(LARGE($P$165:$P$214,39),$P$165:$P$214,0)),"")</f>
        <v>0</v>
      </c>
      <c r="N130" s="79">
        <f>IFERROR(INDEX($O$165:$O$214,MATCH(LARGE($P$165:$P$214,39),$P$165:$P$214,0)),"")</f>
        <v>0</v>
      </c>
    </row>
    <row r="131" spans="1:14" ht="15" customHeight="1" x14ac:dyDescent="0.2">
      <c r="A131" s="78">
        <v>40</v>
      </c>
      <c r="B131" s="76" t="str">
        <f>IFERROR(INDEX($B$165:$B$214,MATCH(LARGE($P$165:$P$214,40),$P$165:$P$214,0)),"")</f>
        <v>Karim Rivera</v>
      </c>
      <c r="C131" s="76" t="str">
        <f>IFERROR(INDEX($C$165:$C$214,MATCH(LARGE($P$165:$P$214,40),$P$165:$P$214,0)),"")</f>
        <v>Mid-Market AE</v>
      </c>
      <c r="D131" s="76" t="str">
        <f>IFERROR(INDEX($D$165:$D$214,MATCH(LARGE($P$165:$P$214,40),$P$165:$P$214,0)),"")</f>
        <v>Mid-Market</v>
      </c>
      <c r="E131" s="76" t="str">
        <f>IFERROR(INDEX($E$165:$E$214,MATCH(LARGE($P$165:$P$214,40),$P$165:$P$214,0)),"")</f>
        <v>APAC</v>
      </c>
      <c r="F131" s="75">
        <f>IFERROR(INDEX($G$165:$G$214,MATCH(LARGE($P$165:$P$214,40),$P$165:$P$214,0)),"")</f>
        <v>55600</v>
      </c>
      <c r="G131" s="75">
        <f>IFERROR(INDEX($H$165:$H$214,MATCH(LARGE($P$165:$P$214,40),$P$165:$P$214,0)),"")</f>
        <v>0</v>
      </c>
      <c r="H131" s="77">
        <f>IFERROR(INDEX($I$165:$I$214,MATCH(LARGE($P$165:$P$214,40),$P$165:$P$214,0)),"")</f>
        <v>0</v>
      </c>
      <c r="I131" s="76" t="b">
        <f>IFERROR(INDEX($J$165:$J$214,MATCH(LARGE($P$165:$P$214,40),$P$165:$P$214,0)),"")</f>
        <v>0</v>
      </c>
      <c r="J131" s="75">
        <f>IFERROR(INDEX($K$165:$K$214,MATCH(LARGE($P$165:$P$214,40),$P$165:$P$214,0)),"")</f>
        <v>0</v>
      </c>
      <c r="K131" s="75">
        <f>IFERROR(INDEX($L$165:$L$214,MATCH(LARGE($P$165:$P$214,40),$P$165:$P$214,0)),"")</f>
        <v>0</v>
      </c>
      <c r="L131" s="75">
        <f>IFERROR(INDEX($M$165:$M$214,MATCH(LARGE($P$165:$P$214,40),$P$165:$P$214,0)),"")</f>
        <v>0</v>
      </c>
      <c r="M131" s="75">
        <f>IFERROR(INDEX($N$165:$N$214,MATCH(LARGE($P$165:$P$214,40),$P$165:$P$214,0)),"")</f>
        <v>0</v>
      </c>
      <c r="N131" s="74" t="str">
        <f>IFERROR(INDEX($O$165:$O$214,MATCH(LARGE($P$165:$P$214,40),$P$165:$P$214,0)),"")</f>
        <v/>
      </c>
    </row>
    <row r="132" spans="1:14" ht="15" customHeight="1" x14ac:dyDescent="0.2">
      <c r="A132" s="83">
        <v>41</v>
      </c>
      <c r="B132" s="81" t="str">
        <f>IFERROR(INDEX($B$165:$B$214,MATCH(LARGE($P$165:$P$214,41),$P$165:$P$214,0)),"")</f>
        <v>Riley Duarte</v>
      </c>
      <c r="C132" s="81" t="str">
        <f>IFERROR(INDEX($C$165:$C$214,MATCH(LARGE($P$165:$P$214,41),$P$165:$P$214,0)),"")</f>
        <v>SDR / Inside Sales Rep</v>
      </c>
      <c r="D132" s="81" t="str">
        <f>IFERROR(INDEX($D$165:$D$214,MATCH(LARGE($P$165:$P$214,41),$P$165:$P$214,0)),"")</f>
        <v>Inside Sales</v>
      </c>
      <c r="E132" s="81" t="str">
        <f>IFERROR(INDEX($E$165:$E$214,MATCH(LARGE($P$165:$P$214,41),$P$165:$P$214,0)),"")</f>
        <v>APAC</v>
      </c>
      <c r="F132" s="80">
        <f>IFERROR(INDEX($G$165:$G$214,MATCH(LARGE($P$165:$P$214,41),$P$165:$P$214,0)),"")</f>
        <v>0</v>
      </c>
      <c r="G132" s="80">
        <f>IFERROR(INDEX($H$165:$H$214,MATCH(LARGE($P$165:$P$214,41),$P$165:$P$214,0)),"")</f>
        <v>0</v>
      </c>
      <c r="H132" s="82" t="str">
        <f>IFERROR(INDEX($I$165:$I$214,MATCH(LARGE($P$165:$P$214,41),$P$165:$P$214,0)),"")</f>
        <v/>
      </c>
      <c r="I132" s="81" t="b">
        <f>IFERROR(INDEX($J$165:$J$214,MATCH(LARGE($P$165:$P$214,41),$P$165:$P$214,0)),"")</f>
        <v>0</v>
      </c>
      <c r="J132" s="80">
        <f>IFERROR(INDEX($K$165:$K$214,MATCH(LARGE($P$165:$P$214,41),$P$165:$P$214,0)),"")</f>
        <v>0</v>
      </c>
      <c r="K132" s="80">
        <f>IFERROR(INDEX($L$165:$L$214,MATCH(LARGE($P$165:$P$214,41),$P$165:$P$214,0)),"")</f>
        <v>0</v>
      </c>
      <c r="L132" s="80">
        <f>IFERROR(INDEX($M$165:$M$214,MATCH(LARGE($P$165:$P$214,41),$P$165:$P$214,0)),"")</f>
        <v>0</v>
      </c>
      <c r="M132" s="80">
        <f>IFERROR(INDEX($N$165:$N$214,MATCH(LARGE($P$165:$P$214,41),$P$165:$P$214,0)),"")</f>
        <v>0</v>
      </c>
      <c r="N132" s="79" t="str">
        <f>IFERROR(INDEX($O$165:$O$214,MATCH(LARGE($P$165:$P$214,41),$P$165:$P$214,0)),"")</f>
        <v/>
      </c>
    </row>
    <row r="133" spans="1:14" ht="15" customHeight="1" x14ac:dyDescent="0.2">
      <c r="A133" s="78">
        <v>42</v>
      </c>
      <c r="B133" s="76" t="str">
        <f>IFERROR(INDEX($B$165:$B$214,MATCH(LARGE($P$165:$P$214,42),$P$165:$P$214,0)),"")</f>
        <v>Lucas Cohen</v>
      </c>
      <c r="C133" s="76" t="str">
        <f>IFERROR(INDEX($C$165:$C$214,MATCH(LARGE($P$165:$P$214,42),$P$165:$P$214,0)),"")</f>
        <v>Enterprise AE</v>
      </c>
      <c r="D133" s="76" t="str">
        <f>IFERROR(INDEX($D$165:$D$214,MATCH(LARGE($P$165:$P$214,42),$P$165:$P$214,0)),"")</f>
        <v>Enterprise</v>
      </c>
      <c r="E133" s="76" t="str">
        <f>IFERROR(INDEX($E$165:$E$214,MATCH(LARGE($P$165:$P$214,42),$P$165:$P$214,0)),"")</f>
        <v>NAMER</v>
      </c>
      <c r="F133" s="75">
        <f>IFERROR(INDEX($G$165:$G$214,MATCH(LARGE($P$165:$P$214,42),$P$165:$P$214,0)),"")</f>
        <v>111800</v>
      </c>
      <c r="G133" s="75">
        <f>IFERROR(INDEX($H$165:$H$214,MATCH(LARGE($P$165:$P$214,42),$P$165:$P$214,0)),"")</f>
        <v>22000</v>
      </c>
      <c r="H133" s="77">
        <f>IFERROR(INDEX($I$165:$I$214,MATCH(LARGE($P$165:$P$214,42),$P$165:$P$214,0)),"")</f>
        <v>0.1967799642218247</v>
      </c>
      <c r="I133" s="76" t="b">
        <f>IFERROR(INDEX($J$165:$J$214,MATCH(LARGE($P$165:$P$214,42),$P$165:$P$214,0)),"")</f>
        <v>0</v>
      </c>
      <c r="J133" s="75">
        <f>IFERROR(INDEX($K$165:$K$214,MATCH(LARGE($P$165:$P$214,42),$P$165:$P$214,0)),"")</f>
        <v>0</v>
      </c>
      <c r="K133" s="75">
        <f>IFERROR(INDEX($L$165:$L$214,MATCH(LARGE($P$165:$P$214,42),$P$165:$P$214,0)),"")</f>
        <v>0</v>
      </c>
      <c r="L133" s="75">
        <f>IFERROR(INDEX($M$165:$M$214,MATCH(LARGE($P$165:$P$214,42),$P$165:$P$214,0)),"")</f>
        <v>0</v>
      </c>
      <c r="M133" s="75">
        <f>IFERROR(INDEX($N$165:$N$214,MATCH(LARGE($P$165:$P$214,42),$P$165:$P$214,0)),"")</f>
        <v>0</v>
      </c>
      <c r="N133" s="74">
        <f>IFERROR(INDEX($O$165:$O$214,MATCH(LARGE($P$165:$P$214,42),$P$165:$P$214,0)),"")</f>
        <v>0</v>
      </c>
    </row>
    <row r="134" spans="1:14" ht="15" customHeight="1" x14ac:dyDescent="0.2">
      <c r="A134" s="83">
        <v>43</v>
      </c>
      <c r="B134" s="81" t="str">
        <f>IFERROR(INDEX($B$165:$B$214,MATCH(LARGE($P$165:$P$214,43),$P$165:$P$214,0)),"")</f>
        <v/>
      </c>
      <c r="C134" s="81" t="str">
        <f>IFERROR(INDEX($C$165:$C$214,MATCH(LARGE($P$165:$P$214,43),$P$165:$P$214,0)),"")</f>
        <v/>
      </c>
      <c r="D134" s="81" t="str">
        <f>IFERROR(INDEX($D$165:$D$214,MATCH(LARGE($P$165:$P$214,43),$P$165:$P$214,0)),"")</f>
        <v/>
      </c>
      <c r="E134" s="81" t="str">
        <f>IFERROR(INDEX($E$165:$E$214,MATCH(LARGE($P$165:$P$214,43),$P$165:$P$214,0)),"")</f>
        <v/>
      </c>
      <c r="F134" s="80" t="str">
        <f>IFERROR(INDEX($G$165:$G$214,MATCH(LARGE($P$165:$P$214,43),$P$165:$P$214,0)),"")</f>
        <v/>
      </c>
      <c r="G134" s="80" t="str">
        <f>IFERROR(INDEX($H$165:$H$214,MATCH(LARGE($P$165:$P$214,43),$P$165:$P$214,0)),"")</f>
        <v/>
      </c>
      <c r="H134" s="82" t="str">
        <f>IFERROR(INDEX($I$165:$I$214,MATCH(LARGE($P$165:$P$214,43),$P$165:$P$214,0)),"")</f>
        <v/>
      </c>
      <c r="I134" s="81" t="str">
        <f>IFERROR(INDEX($J$165:$J$214,MATCH(LARGE($P$165:$P$214,43),$P$165:$P$214,0)),"")</f>
        <v/>
      </c>
      <c r="J134" s="80" t="str">
        <f>IFERROR(INDEX($K$165:$K$214,MATCH(LARGE($P$165:$P$214,43),$P$165:$P$214,0)),"")</f>
        <v/>
      </c>
      <c r="K134" s="80" t="str">
        <f>IFERROR(INDEX($L$165:$L$214,MATCH(LARGE($P$165:$P$214,43),$P$165:$P$214,0)),"")</f>
        <v/>
      </c>
      <c r="L134" s="80" t="str">
        <f>IFERROR(INDEX($M$165:$M$214,MATCH(LARGE($P$165:$P$214,43),$P$165:$P$214,0)),"")</f>
        <v/>
      </c>
      <c r="M134" s="80" t="str">
        <f>IFERROR(INDEX($N$165:$N$214,MATCH(LARGE($P$165:$P$214,43),$P$165:$P$214,0)),"")</f>
        <v/>
      </c>
      <c r="N134" s="79" t="str">
        <f>IFERROR(INDEX($O$165:$O$214,MATCH(LARGE($P$165:$P$214,43),$P$165:$P$214,0)),"")</f>
        <v/>
      </c>
    </row>
    <row r="135" spans="1:14" ht="15" customHeight="1" x14ac:dyDescent="0.2">
      <c r="A135" s="78">
        <v>44</v>
      </c>
      <c r="B135" s="76" t="str">
        <f>IFERROR(INDEX($B$165:$B$214,MATCH(LARGE($P$165:$P$214,44),$P$165:$P$214,0)),"")</f>
        <v/>
      </c>
      <c r="C135" s="76" t="str">
        <f>IFERROR(INDEX($C$165:$C$214,MATCH(LARGE($P$165:$P$214,44),$P$165:$P$214,0)),"")</f>
        <v/>
      </c>
      <c r="D135" s="76" t="str">
        <f>IFERROR(INDEX($D$165:$D$214,MATCH(LARGE($P$165:$P$214,44),$P$165:$P$214,0)),"")</f>
        <v/>
      </c>
      <c r="E135" s="76" t="str">
        <f>IFERROR(INDEX($E$165:$E$214,MATCH(LARGE($P$165:$P$214,44),$P$165:$P$214,0)),"")</f>
        <v/>
      </c>
      <c r="F135" s="75" t="str">
        <f>IFERROR(INDEX($G$165:$G$214,MATCH(LARGE($P$165:$P$214,44),$P$165:$P$214,0)),"")</f>
        <v/>
      </c>
      <c r="G135" s="75" t="str">
        <f>IFERROR(INDEX($H$165:$H$214,MATCH(LARGE($P$165:$P$214,44),$P$165:$P$214,0)),"")</f>
        <v/>
      </c>
      <c r="H135" s="77" t="str">
        <f>IFERROR(INDEX($I$165:$I$214,MATCH(LARGE($P$165:$P$214,44),$P$165:$P$214,0)),"")</f>
        <v/>
      </c>
      <c r="I135" s="76" t="str">
        <f>IFERROR(INDEX($J$165:$J$214,MATCH(LARGE($P$165:$P$214,44),$P$165:$P$214,0)),"")</f>
        <v/>
      </c>
      <c r="J135" s="75" t="str">
        <f>IFERROR(INDEX($K$165:$K$214,MATCH(LARGE($P$165:$P$214,44),$P$165:$P$214,0)),"")</f>
        <v/>
      </c>
      <c r="K135" s="75" t="str">
        <f>IFERROR(INDEX($L$165:$L$214,MATCH(LARGE($P$165:$P$214,44),$P$165:$P$214,0)),"")</f>
        <v/>
      </c>
      <c r="L135" s="75" t="str">
        <f>IFERROR(INDEX($M$165:$M$214,MATCH(LARGE($P$165:$P$214,44),$P$165:$P$214,0)),"")</f>
        <v/>
      </c>
      <c r="M135" s="75" t="str">
        <f>IFERROR(INDEX($N$165:$N$214,MATCH(LARGE($P$165:$P$214,44),$P$165:$P$214,0)),"")</f>
        <v/>
      </c>
      <c r="N135" s="74" t="str">
        <f>IFERROR(INDEX($O$165:$O$214,MATCH(LARGE($P$165:$P$214,44),$P$165:$P$214,0)),"")</f>
        <v/>
      </c>
    </row>
    <row r="136" spans="1:14" ht="15" customHeight="1" x14ac:dyDescent="0.2">
      <c r="A136" s="83">
        <v>45</v>
      </c>
      <c r="B136" s="81" t="str">
        <f>IFERROR(INDEX($B$165:$B$214,MATCH(LARGE($P$165:$P$214,45),$P$165:$P$214,0)),"")</f>
        <v/>
      </c>
      <c r="C136" s="81" t="str">
        <f>IFERROR(INDEX($C$165:$C$214,MATCH(LARGE($P$165:$P$214,45),$P$165:$P$214,0)),"")</f>
        <v/>
      </c>
      <c r="D136" s="81" t="str">
        <f>IFERROR(INDEX($D$165:$D$214,MATCH(LARGE($P$165:$P$214,45),$P$165:$P$214,0)),"")</f>
        <v/>
      </c>
      <c r="E136" s="81" t="str">
        <f>IFERROR(INDEX($E$165:$E$214,MATCH(LARGE($P$165:$P$214,45),$P$165:$P$214,0)),"")</f>
        <v/>
      </c>
      <c r="F136" s="80" t="str">
        <f>IFERROR(INDEX($G$165:$G$214,MATCH(LARGE($P$165:$P$214,45),$P$165:$P$214,0)),"")</f>
        <v/>
      </c>
      <c r="G136" s="80" t="str">
        <f>IFERROR(INDEX($H$165:$H$214,MATCH(LARGE($P$165:$P$214,45),$P$165:$P$214,0)),"")</f>
        <v/>
      </c>
      <c r="H136" s="82" t="str">
        <f>IFERROR(INDEX($I$165:$I$214,MATCH(LARGE($P$165:$P$214,45),$P$165:$P$214,0)),"")</f>
        <v/>
      </c>
      <c r="I136" s="81" t="str">
        <f>IFERROR(INDEX($J$165:$J$214,MATCH(LARGE($P$165:$P$214,45),$P$165:$P$214,0)),"")</f>
        <v/>
      </c>
      <c r="J136" s="80" t="str">
        <f>IFERROR(INDEX($K$165:$K$214,MATCH(LARGE($P$165:$P$214,45),$P$165:$P$214,0)),"")</f>
        <v/>
      </c>
      <c r="K136" s="80" t="str">
        <f>IFERROR(INDEX($L$165:$L$214,MATCH(LARGE($P$165:$P$214,45),$P$165:$P$214,0)),"")</f>
        <v/>
      </c>
      <c r="L136" s="80" t="str">
        <f>IFERROR(INDEX($M$165:$M$214,MATCH(LARGE($P$165:$P$214,45),$P$165:$P$214,0)),"")</f>
        <v/>
      </c>
      <c r="M136" s="80" t="str">
        <f>IFERROR(INDEX($N$165:$N$214,MATCH(LARGE($P$165:$P$214,45),$P$165:$P$214,0)),"")</f>
        <v/>
      </c>
      <c r="N136" s="79" t="str">
        <f>IFERROR(INDEX($O$165:$O$214,MATCH(LARGE($P$165:$P$214,45),$P$165:$P$214,0)),"")</f>
        <v/>
      </c>
    </row>
    <row r="137" spans="1:14" ht="15" customHeight="1" x14ac:dyDescent="0.2">
      <c r="A137" s="78">
        <v>46</v>
      </c>
      <c r="B137" s="76" t="str">
        <f>IFERROR(INDEX($B$165:$B$214,MATCH(LARGE($P$165:$P$214,46),$P$165:$P$214,0)),"")</f>
        <v/>
      </c>
      <c r="C137" s="76" t="str">
        <f>IFERROR(INDEX($C$165:$C$214,MATCH(LARGE($P$165:$P$214,46),$P$165:$P$214,0)),"")</f>
        <v/>
      </c>
      <c r="D137" s="76" t="str">
        <f>IFERROR(INDEX($D$165:$D$214,MATCH(LARGE($P$165:$P$214,46),$P$165:$P$214,0)),"")</f>
        <v/>
      </c>
      <c r="E137" s="76" t="str">
        <f>IFERROR(INDEX($E$165:$E$214,MATCH(LARGE($P$165:$P$214,46),$P$165:$P$214,0)),"")</f>
        <v/>
      </c>
      <c r="F137" s="75" t="str">
        <f>IFERROR(INDEX($G$165:$G$214,MATCH(LARGE($P$165:$P$214,46),$P$165:$P$214,0)),"")</f>
        <v/>
      </c>
      <c r="G137" s="75" t="str">
        <f>IFERROR(INDEX($H$165:$H$214,MATCH(LARGE($P$165:$P$214,46),$P$165:$P$214,0)),"")</f>
        <v/>
      </c>
      <c r="H137" s="77" t="str">
        <f>IFERROR(INDEX($I$165:$I$214,MATCH(LARGE($P$165:$P$214,46),$P$165:$P$214,0)),"")</f>
        <v/>
      </c>
      <c r="I137" s="76" t="str">
        <f>IFERROR(INDEX($J$165:$J$214,MATCH(LARGE($P$165:$P$214,46),$P$165:$P$214,0)),"")</f>
        <v/>
      </c>
      <c r="J137" s="75" t="str">
        <f>IFERROR(INDEX($K$165:$K$214,MATCH(LARGE($P$165:$P$214,46),$P$165:$P$214,0)),"")</f>
        <v/>
      </c>
      <c r="K137" s="75" t="str">
        <f>IFERROR(INDEX($L$165:$L$214,MATCH(LARGE($P$165:$P$214,46),$P$165:$P$214,0)),"")</f>
        <v/>
      </c>
      <c r="L137" s="75" t="str">
        <f>IFERROR(INDEX($M$165:$M$214,MATCH(LARGE($P$165:$P$214,46),$P$165:$P$214,0)),"")</f>
        <v/>
      </c>
      <c r="M137" s="75" t="str">
        <f>IFERROR(INDEX($N$165:$N$214,MATCH(LARGE($P$165:$P$214,46),$P$165:$P$214,0)),"")</f>
        <v/>
      </c>
      <c r="N137" s="74" t="str">
        <f>IFERROR(INDEX($O$165:$O$214,MATCH(LARGE($P$165:$P$214,46),$P$165:$P$214,0)),"")</f>
        <v/>
      </c>
    </row>
    <row r="138" spans="1:14" ht="15" customHeight="1" x14ac:dyDescent="0.2">
      <c r="A138" s="83">
        <v>47</v>
      </c>
      <c r="B138" s="81" t="str">
        <f>IFERROR(INDEX($B$165:$B$214,MATCH(LARGE($P$165:$P$214,47),$P$165:$P$214,0)),"")</f>
        <v/>
      </c>
      <c r="C138" s="81" t="str">
        <f>IFERROR(INDEX($C$165:$C$214,MATCH(LARGE($P$165:$P$214,47),$P$165:$P$214,0)),"")</f>
        <v/>
      </c>
      <c r="D138" s="81" t="str">
        <f>IFERROR(INDEX($D$165:$D$214,MATCH(LARGE($P$165:$P$214,47),$P$165:$P$214,0)),"")</f>
        <v/>
      </c>
      <c r="E138" s="81" t="str">
        <f>IFERROR(INDEX($E$165:$E$214,MATCH(LARGE($P$165:$P$214,47),$P$165:$P$214,0)),"")</f>
        <v/>
      </c>
      <c r="F138" s="80" t="str">
        <f>IFERROR(INDEX($G$165:$G$214,MATCH(LARGE($P$165:$P$214,47),$P$165:$P$214,0)),"")</f>
        <v/>
      </c>
      <c r="G138" s="80" t="str">
        <f>IFERROR(INDEX($H$165:$H$214,MATCH(LARGE($P$165:$P$214,47),$P$165:$P$214,0)),"")</f>
        <v/>
      </c>
      <c r="H138" s="82" t="str">
        <f>IFERROR(INDEX($I$165:$I$214,MATCH(LARGE($P$165:$P$214,47),$P$165:$P$214,0)),"")</f>
        <v/>
      </c>
      <c r="I138" s="81" t="str">
        <f>IFERROR(INDEX($J$165:$J$214,MATCH(LARGE($P$165:$P$214,47),$P$165:$P$214,0)),"")</f>
        <v/>
      </c>
      <c r="J138" s="80" t="str">
        <f>IFERROR(INDEX($K$165:$K$214,MATCH(LARGE($P$165:$P$214,47),$P$165:$P$214,0)),"")</f>
        <v/>
      </c>
      <c r="K138" s="80" t="str">
        <f>IFERROR(INDEX($L$165:$L$214,MATCH(LARGE($P$165:$P$214,47),$P$165:$P$214,0)),"")</f>
        <v/>
      </c>
      <c r="L138" s="80" t="str">
        <f>IFERROR(INDEX($M$165:$M$214,MATCH(LARGE($P$165:$P$214,47),$P$165:$P$214,0)),"")</f>
        <v/>
      </c>
      <c r="M138" s="80" t="str">
        <f>IFERROR(INDEX($N$165:$N$214,MATCH(LARGE($P$165:$P$214,47),$P$165:$P$214,0)),"")</f>
        <v/>
      </c>
      <c r="N138" s="79" t="str">
        <f>IFERROR(INDEX($O$165:$O$214,MATCH(LARGE($P$165:$P$214,47),$P$165:$P$214,0)),"")</f>
        <v/>
      </c>
    </row>
    <row r="139" spans="1:14" ht="15" customHeight="1" x14ac:dyDescent="0.2">
      <c r="A139" s="78">
        <v>48</v>
      </c>
      <c r="B139" s="76" t="str">
        <f>IFERROR(INDEX($B$165:$B$214,MATCH(LARGE($P$165:$P$214,48),$P$165:$P$214,0)),"")</f>
        <v/>
      </c>
      <c r="C139" s="76" t="str">
        <f>IFERROR(INDEX($C$165:$C$214,MATCH(LARGE($P$165:$P$214,48),$P$165:$P$214,0)),"")</f>
        <v/>
      </c>
      <c r="D139" s="76" t="str">
        <f>IFERROR(INDEX($D$165:$D$214,MATCH(LARGE($P$165:$P$214,48),$P$165:$P$214,0)),"")</f>
        <v/>
      </c>
      <c r="E139" s="76" t="str">
        <f>IFERROR(INDEX($E$165:$E$214,MATCH(LARGE($P$165:$P$214,48),$P$165:$P$214,0)),"")</f>
        <v/>
      </c>
      <c r="F139" s="75" t="str">
        <f>IFERROR(INDEX($G$165:$G$214,MATCH(LARGE($P$165:$P$214,48),$P$165:$P$214,0)),"")</f>
        <v/>
      </c>
      <c r="G139" s="75" t="str">
        <f>IFERROR(INDEX($H$165:$H$214,MATCH(LARGE($P$165:$P$214,48),$P$165:$P$214,0)),"")</f>
        <v/>
      </c>
      <c r="H139" s="77" t="str">
        <f>IFERROR(INDEX($I$165:$I$214,MATCH(LARGE($P$165:$P$214,48),$P$165:$P$214,0)),"")</f>
        <v/>
      </c>
      <c r="I139" s="76" t="str">
        <f>IFERROR(INDEX($J$165:$J$214,MATCH(LARGE($P$165:$P$214,48),$P$165:$P$214,0)),"")</f>
        <v/>
      </c>
      <c r="J139" s="75" t="str">
        <f>IFERROR(INDEX($K$165:$K$214,MATCH(LARGE($P$165:$P$214,48),$P$165:$P$214,0)),"")</f>
        <v/>
      </c>
      <c r="K139" s="75" t="str">
        <f>IFERROR(INDEX($L$165:$L$214,MATCH(LARGE($P$165:$P$214,48),$P$165:$P$214,0)),"")</f>
        <v/>
      </c>
      <c r="L139" s="75" t="str">
        <f>IFERROR(INDEX($M$165:$M$214,MATCH(LARGE($P$165:$P$214,48),$P$165:$P$214,0)),"")</f>
        <v/>
      </c>
      <c r="M139" s="75" t="str">
        <f>IFERROR(INDEX($N$165:$N$214,MATCH(LARGE($P$165:$P$214,48),$P$165:$P$214,0)),"")</f>
        <v/>
      </c>
      <c r="N139" s="74" t="str">
        <f>IFERROR(INDEX($O$165:$O$214,MATCH(LARGE($P$165:$P$214,48),$P$165:$P$214,0)),"")</f>
        <v/>
      </c>
    </row>
    <row r="140" spans="1:14" ht="15" customHeight="1" x14ac:dyDescent="0.2">
      <c r="A140" s="83">
        <v>49</v>
      </c>
      <c r="B140" s="81" t="str">
        <f>IFERROR(INDEX($B$165:$B$214,MATCH(LARGE($P$165:$P$214,49),$P$165:$P$214,0)),"")</f>
        <v/>
      </c>
      <c r="C140" s="81" t="str">
        <f>IFERROR(INDEX($C$165:$C$214,MATCH(LARGE($P$165:$P$214,49),$P$165:$P$214,0)),"")</f>
        <v/>
      </c>
      <c r="D140" s="81" t="str">
        <f>IFERROR(INDEX($D$165:$D$214,MATCH(LARGE($P$165:$P$214,49),$P$165:$P$214,0)),"")</f>
        <v/>
      </c>
      <c r="E140" s="81" t="str">
        <f>IFERROR(INDEX($E$165:$E$214,MATCH(LARGE($P$165:$P$214,49),$P$165:$P$214,0)),"")</f>
        <v/>
      </c>
      <c r="F140" s="80" t="str">
        <f>IFERROR(INDEX($G$165:$G$214,MATCH(LARGE($P$165:$P$214,49),$P$165:$P$214,0)),"")</f>
        <v/>
      </c>
      <c r="G140" s="80" t="str">
        <f>IFERROR(INDEX($H$165:$H$214,MATCH(LARGE($P$165:$P$214,49),$P$165:$P$214,0)),"")</f>
        <v/>
      </c>
      <c r="H140" s="82" t="str">
        <f>IFERROR(INDEX($I$165:$I$214,MATCH(LARGE($P$165:$P$214,49),$P$165:$P$214,0)),"")</f>
        <v/>
      </c>
      <c r="I140" s="81" t="str">
        <f>IFERROR(INDEX($J$165:$J$214,MATCH(LARGE($P$165:$P$214,49),$P$165:$P$214,0)),"")</f>
        <v/>
      </c>
      <c r="J140" s="80" t="str">
        <f>IFERROR(INDEX($K$165:$K$214,MATCH(LARGE($P$165:$P$214,49),$P$165:$P$214,0)),"")</f>
        <v/>
      </c>
      <c r="K140" s="80" t="str">
        <f>IFERROR(INDEX($L$165:$L$214,MATCH(LARGE($P$165:$P$214,49),$P$165:$P$214,0)),"")</f>
        <v/>
      </c>
      <c r="L140" s="80" t="str">
        <f>IFERROR(INDEX($M$165:$M$214,MATCH(LARGE($P$165:$P$214,49),$P$165:$P$214,0)),"")</f>
        <v/>
      </c>
      <c r="M140" s="80" t="str">
        <f>IFERROR(INDEX($N$165:$N$214,MATCH(LARGE($P$165:$P$214,49),$P$165:$P$214,0)),"")</f>
        <v/>
      </c>
      <c r="N140" s="79" t="str">
        <f>IFERROR(INDEX($O$165:$O$214,MATCH(LARGE($P$165:$P$214,49),$P$165:$P$214,0)),"")</f>
        <v/>
      </c>
    </row>
    <row r="141" spans="1:14" ht="15" customHeight="1" x14ac:dyDescent="0.2">
      <c r="A141" s="78">
        <v>50</v>
      </c>
      <c r="B141" s="76" t="str">
        <f>IFERROR(INDEX($B$165:$B$214,MATCH(LARGE($P$165:$P$214,50),$P$165:$P$214,0)),"")</f>
        <v/>
      </c>
      <c r="C141" s="76" t="str">
        <f>IFERROR(INDEX($C$165:$C$214,MATCH(LARGE($P$165:$P$214,50),$P$165:$P$214,0)),"")</f>
        <v/>
      </c>
      <c r="D141" s="76" t="str">
        <f>IFERROR(INDEX($D$165:$D$214,MATCH(LARGE($P$165:$P$214,50),$P$165:$P$214,0)),"")</f>
        <v/>
      </c>
      <c r="E141" s="76" t="str">
        <f>IFERROR(INDEX($E$165:$E$214,MATCH(LARGE($P$165:$P$214,50),$P$165:$P$214,0)),"")</f>
        <v/>
      </c>
      <c r="F141" s="75" t="str">
        <f>IFERROR(INDEX($G$165:$G$214,MATCH(LARGE($P$165:$P$214,50),$P$165:$P$214,0)),"")</f>
        <v/>
      </c>
      <c r="G141" s="75" t="str">
        <f>IFERROR(INDEX($H$165:$H$214,MATCH(LARGE($P$165:$P$214,50),$P$165:$P$214,0)),"")</f>
        <v/>
      </c>
      <c r="H141" s="77" t="str">
        <f>IFERROR(INDEX($I$165:$I$214,MATCH(LARGE($P$165:$P$214,50),$P$165:$P$214,0)),"")</f>
        <v/>
      </c>
      <c r="I141" s="76" t="str">
        <f>IFERROR(INDEX($J$165:$J$214,MATCH(LARGE($P$165:$P$214,50),$P$165:$P$214,0)),"")</f>
        <v/>
      </c>
      <c r="J141" s="75" t="str">
        <f>IFERROR(INDEX($K$165:$K$214,MATCH(LARGE($P$165:$P$214,50),$P$165:$P$214,0)),"")</f>
        <v/>
      </c>
      <c r="K141" s="75" t="str">
        <f>IFERROR(INDEX($L$165:$L$214,MATCH(LARGE($P$165:$P$214,50),$P$165:$P$214,0)),"")</f>
        <v/>
      </c>
      <c r="L141" s="75" t="str">
        <f>IFERROR(INDEX($M$165:$M$214,MATCH(LARGE($P$165:$P$214,50),$P$165:$P$214,0)),"")</f>
        <v/>
      </c>
      <c r="M141" s="75" t="str">
        <f>IFERROR(INDEX($N$165:$N$214,MATCH(LARGE($P$165:$P$214,50),$P$165:$P$214,0)),"")</f>
        <v/>
      </c>
      <c r="N141" s="74" t="str">
        <f>IFERROR(INDEX($O$165:$O$214,MATCH(LARGE($P$165:$P$214,50),$P$165:$P$214,0)),"")</f>
        <v/>
      </c>
    </row>
    <row r="143" spans="1:14" s="104" customFormat="1" ht="33.75" customHeight="1" x14ac:dyDescent="0.15">
      <c r="A143" s="136" t="s">
        <v>121</v>
      </c>
      <c r="B143" s="136"/>
      <c r="C143" s="136"/>
      <c r="D143" s="136"/>
      <c r="E143" s="136"/>
      <c r="F143" s="136"/>
      <c r="G143" s="136"/>
      <c r="H143" s="136"/>
      <c r="I143" s="136"/>
      <c r="J143" s="122"/>
      <c r="K143" s="122"/>
      <c r="L143" s="122"/>
      <c r="M143" s="122"/>
      <c r="N143" s="122"/>
    </row>
    <row r="144" spans="1:14" s="104" customFormat="1" ht="33.75" customHeight="1" x14ac:dyDescent="0.15">
      <c r="A144" s="121"/>
      <c r="B144" s="121"/>
      <c r="C144" s="121"/>
      <c r="D144" s="121"/>
      <c r="E144" s="121"/>
      <c r="F144" s="121"/>
      <c r="G144" s="121"/>
      <c r="H144" s="121"/>
      <c r="I144" s="121"/>
      <c r="J144" s="121"/>
      <c r="K144" s="121"/>
      <c r="L144" s="121"/>
      <c r="M144" s="121"/>
      <c r="N144" s="121"/>
    </row>
    <row r="145" spans="1:16" s="104" customFormat="1" ht="33.75" customHeight="1" x14ac:dyDescent="0.15">
      <c r="A145" s="121"/>
      <c r="B145" s="121"/>
      <c r="C145" s="121"/>
      <c r="D145" s="121"/>
      <c r="E145" s="121"/>
      <c r="F145" s="121"/>
      <c r="G145" s="121"/>
      <c r="H145" s="121"/>
      <c r="I145" s="121"/>
      <c r="J145" s="121"/>
      <c r="K145" s="121"/>
      <c r="L145" s="121"/>
      <c r="M145" s="121"/>
      <c r="N145" s="121"/>
    </row>
    <row r="151" spans="1:16" s="124" customFormat="1" ht="19.5" customHeight="1" x14ac:dyDescent="0.2">
      <c r="A151" s="134" t="s">
        <v>7285</v>
      </c>
      <c r="B151" s="134"/>
      <c r="C151" s="134"/>
      <c r="D151" s="134"/>
      <c r="E151" s="134"/>
      <c r="F151" s="134"/>
      <c r="G151" s="134"/>
      <c r="H151" s="134"/>
      <c r="I151" s="134"/>
      <c r="J151" s="134"/>
      <c r="K151" s="134"/>
      <c r="L151" s="134"/>
      <c r="M151" s="134"/>
      <c r="N151" s="134"/>
      <c r="O151" s="134"/>
      <c r="P151" s="134"/>
    </row>
    <row r="152" spans="1:16" ht="15" customHeight="1" outlineLevel="1" x14ac:dyDescent="0.2"/>
    <row r="153" spans="1:16" ht="27" outlineLevel="1" x14ac:dyDescent="0.2">
      <c r="A153" s="109" t="s">
        <v>75</v>
      </c>
      <c r="B153" s="73">
        <f>A6</f>
        <v>45870</v>
      </c>
    </row>
    <row r="154" spans="1:16" outlineLevel="1" x14ac:dyDescent="0.2">
      <c r="A154" s="109" t="s">
        <v>76</v>
      </c>
      <c r="B154" s="73">
        <f>IF(D6="All Time",MIN(Monthly_Summary[MonthStart]),IF(D6="Year to Date",DATE(YEAR($B$153),1,1),EDATE($B$153,-11)))</f>
        <v>45536</v>
      </c>
    </row>
    <row r="155" spans="1:16" ht="27" outlineLevel="1" x14ac:dyDescent="0.2">
      <c r="A155" s="109" t="s">
        <v>77</v>
      </c>
      <c r="B155" s="72">
        <f>EOMONTH($B$153,0)</f>
        <v>45900</v>
      </c>
    </row>
    <row r="156" spans="1:16" ht="15" customHeight="1" outlineLevel="1" x14ac:dyDescent="0.2"/>
    <row r="157" spans="1:16" ht="15" customHeight="1" outlineLevel="1" x14ac:dyDescent="0.2">
      <c r="A157" s="61" t="s">
        <v>90</v>
      </c>
      <c r="B157" s="61" t="s">
        <v>122</v>
      </c>
      <c r="C157" s="61" t="s">
        <v>123</v>
      </c>
      <c r="D157" s="61" t="s">
        <v>124</v>
      </c>
    </row>
    <row r="158" spans="1:16" ht="15" customHeight="1" outlineLevel="1" x14ac:dyDescent="0.2">
      <c r="A158" s="59" t="str">
        <f t="shared" ref="A158:D161" si="0">A13</f>
        <v>SDR / Inside Sales Rep</v>
      </c>
      <c r="B158" s="71">
        <f t="shared" si="0"/>
        <v>0.03</v>
      </c>
      <c r="C158" s="71">
        <f t="shared" si="0"/>
        <v>0.05</v>
      </c>
      <c r="D158" s="71">
        <f t="shared" si="0"/>
        <v>7.0000000000000007E-2</v>
      </c>
    </row>
    <row r="159" spans="1:16" ht="15" customHeight="1" outlineLevel="1" x14ac:dyDescent="0.2">
      <c r="A159" s="59" t="str">
        <f t="shared" si="0"/>
        <v>Mid-Market AE</v>
      </c>
      <c r="B159" s="71">
        <f t="shared" si="0"/>
        <v>0.05</v>
      </c>
      <c r="C159" s="71">
        <f t="shared" si="0"/>
        <v>0.08</v>
      </c>
      <c r="D159" s="71">
        <f t="shared" si="0"/>
        <v>0.11</v>
      </c>
    </row>
    <row r="160" spans="1:16" ht="15" customHeight="1" outlineLevel="1" x14ac:dyDescent="0.2">
      <c r="A160" s="59" t="str">
        <f t="shared" si="0"/>
        <v>Enterprise AE</v>
      </c>
      <c r="B160" s="71">
        <f t="shared" si="0"/>
        <v>0.06</v>
      </c>
      <c r="C160" s="71">
        <f t="shared" si="0"/>
        <v>0.1</v>
      </c>
      <c r="D160" s="71">
        <f t="shared" si="0"/>
        <v>0.14000000000000001</v>
      </c>
    </row>
    <row r="161" spans="1:16" ht="15" customHeight="1" outlineLevel="1" x14ac:dyDescent="0.2">
      <c r="A161" s="59" t="str">
        <f t="shared" si="0"/>
        <v>Senior Enterprise AE</v>
      </c>
      <c r="B161" s="71">
        <f t="shared" si="0"/>
        <v>7.0000000000000007E-2</v>
      </c>
      <c r="C161" s="71">
        <f t="shared" si="0"/>
        <v>0.11</v>
      </c>
      <c r="D161" s="71">
        <f t="shared" si="0"/>
        <v>0.16</v>
      </c>
    </row>
    <row r="162" spans="1:16" ht="15" customHeight="1" outlineLevel="1" x14ac:dyDescent="0.2"/>
    <row r="163" spans="1:16" ht="15" customHeight="1" outlineLevel="1" x14ac:dyDescent="0.2"/>
    <row r="164" spans="1:16" ht="15" customHeight="1" outlineLevel="1" x14ac:dyDescent="0.2">
      <c r="A164" s="61" t="s">
        <v>78</v>
      </c>
      <c r="B164" s="61" t="s">
        <v>79</v>
      </c>
      <c r="C164" s="61" t="s">
        <v>90</v>
      </c>
      <c r="D164" s="61" t="s">
        <v>20</v>
      </c>
      <c r="E164" s="61" t="s">
        <v>30</v>
      </c>
      <c r="F164" s="61" t="s">
        <v>80</v>
      </c>
      <c r="G164" s="61" t="s">
        <v>81</v>
      </c>
      <c r="H164" s="61" t="s">
        <v>82</v>
      </c>
      <c r="I164" s="61" t="s">
        <v>24</v>
      </c>
      <c r="J164" s="61" t="s">
        <v>116</v>
      </c>
      <c r="K164" s="61" t="s">
        <v>117</v>
      </c>
      <c r="L164" s="61" t="s">
        <v>118</v>
      </c>
      <c r="M164" s="61" t="s">
        <v>119</v>
      </c>
      <c r="N164" s="61" t="s">
        <v>114</v>
      </c>
      <c r="O164" s="61" t="s">
        <v>120</v>
      </c>
      <c r="P164" s="61" t="s">
        <v>84</v>
      </c>
    </row>
    <row r="165" spans="1:16" ht="15" customHeight="1" outlineLevel="1" x14ac:dyDescent="0.2">
      <c r="A165" s="59" t="str">
        <f>Dim_Reps!A2</f>
        <v>R003</v>
      </c>
      <c r="B165" s="59" t="str">
        <f>Dim_Reps!B2</f>
        <v>Lucas Cohen</v>
      </c>
      <c r="C165" s="59" t="str">
        <f>Dim_Reps!C2</f>
        <v>Enterprise AE</v>
      </c>
      <c r="D165" s="59" t="str">
        <f>Dim_Reps!D2</f>
        <v>Enterprise</v>
      </c>
      <c r="E165" s="59" t="str">
        <f>Dim_Reps!E2</f>
        <v>NAMER</v>
      </c>
      <c r="F165" s="59" t="str">
        <f>Dim_Reps!H2</f>
        <v>Active</v>
      </c>
      <c r="G165" s="58">
        <f>SUMIFS(Fact_Quota!$D:$D,Fact_Quota!$A:$A,$A165,Fact_Quota!$B:$B,"&gt;="&amp;$B$154,Fact_Quota!$B:$B,"&lt;="&amp;$B$153)</f>
        <v>111800</v>
      </c>
      <c r="H165" s="58">
        <f>SUMIFS(Fact_Pipeline!$K:$K,Fact_Pipeline!$B:$B,$A165,Fact_Pipeline!$J:$J,"Won",Fact_Pipeline!$I:$I,"&gt;="&amp;$B$154,Fact_Pipeline!$I:$I,"&lt;="&amp;$B$155)</f>
        <v>22000</v>
      </c>
      <c r="I165" s="71">
        <f t="shared" ref="I165:I196" si="1">IFERROR(H165/G165,"")</f>
        <v>0.1967799642218247</v>
      </c>
      <c r="J165" s="59" t="b">
        <f>AND(G165&gt;0,IFERROR(I165&gt;=G6,FALSE()))</f>
        <v>0</v>
      </c>
      <c r="K165" s="58">
        <f t="shared" ref="K165:K196" si="2">IF(J165,MIN(H165,G165)*IFERROR(INDEX($B$158:$B$161,MATCH(C165,$A$158:$A$161,0)),0),0)</f>
        <v>0</v>
      </c>
      <c r="L165" s="58">
        <f>IF(J165,MAX(0,MIN(H165,I6*G165)-G165)*IFERROR(INDEX($C$158:$C$161,MATCH(C165,$A$158:$A$161,0)),0),0)</f>
        <v>0</v>
      </c>
      <c r="M165" s="58">
        <f>IF(J165,MAX(0,H165-I6*G165)*IFERROR(INDEX($D$158:$D$161,MATCH(C165,$A$158:$A$161,0)),0),0)</f>
        <v>0</v>
      </c>
      <c r="N165" s="58">
        <f t="shared" ref="N165:N196" si="3">K165+L165+M165</f>
        <v>0</v>
      </c>
      <c r="O165" s="70">
        <f t="shared" ref="O165:O196" si="4">IFERROR(N165/H165,"")</f>
        <v>0</v>
      </c>
      <c r="P165" s="59">
        <f t="shared" ref="P165:P196" si="5">IF(F165="Active",N165+(ROW()/10000000),"")</f>
        <v>1.6500000000000001E-5</v>
      </c>
    </row>
    <row r="166" spans="1:16" ht="15" customHeight="1" outlineLevel="1" x14ac:dyDescent="0.2">
      <c r="A166" s="56" t="str">
        <f>Dim_Reps!A3</f>
        <v>R008</v>
      </c>
      <c r="B166" s="56" t="str">
        <f>Dim_Reps!B3</f>
        <v>Milo Weber</v>
      </c>
      <c r="C166" s="56" t="str">
        <f>Dim_Reps!C3</f>
        <v>Enterprise AE</v>
      </c>
      <c r="D166" s="56" t="str">
        <f>Dim_Reps!D3</f>
        <v>Enterprise</v>
      </c>
      <c r="E166" s="56" t="str">
        <f>Dim_Reps!E3</f>
        <v>NAMER</v>
      </c>
      <c r="F166" s="56" t="str">
        <f>Dim_Reps!H3</f>
        <v>Active</v>
      </c>
      <c r="G166" s="55">
        <f>SUMIFS(Fact_Quota!$D:$D,Fact_Quota!$A:$A,$A166,Fact_Quota!$B:$B,"&gt;="&amp;$B$154,Fact_Quota!$B:$B,"&lt;="&amp;$B$153)</f>
        <v>387900</v>
      </c>
      <c r="H166" s="55">
        <f>SUMIFS(Fact_Pipeline!$K:$K,Fact_Pipeline!$B:$B,$A166,Fact_Pipeline!$J:$J,"Won",Fact_Pipeline!$I:$I,"&gt;="&amp;$B$154,Fact_Pipeline!$I:$I,"&lt;="&amp;$B$155)</f>
        <v>473100</v>
      </c>
      <c r="I166" s="69">
        <f t="shared" si="1"/>
        <v>1.2196442382057231</v>
      </c>
      <c r="J166" s="56" t="b">
        <f>AND(G166&gt;0,IFERROR(I166&gt;=G6,FALSE()))</f>
        <v>1</v>
      </c>
      <c r="K166" s="55">
        <f t="shared" si="2"/>
        <v>23274</v>
      </c>
      <c r="L166" s="55">
        <f>IF(J166,MAX(0,MIN(H166,I6*G166)-G166)*IFERROR(INDEX($C$158:$C$161,MATCH(C166,$A$158:$A$161,0)),0),0)</f>
        <v>8520</v>
      </c>
      <c r="M166" s="55">
        <f>IF(J166,MAX(0,H166-I6*G166)*IFERROR(INDEX($D$158:$D$161,MATCH(C166,$A$158:$A$161,0)),0),0)</f>
        <v>0</v>
      </c>
      <c r="N166" s="55">
        <f t="shared" si="3"/>
        <v>31794</v>
      </c>
      <c r="O166" s="68">
        <f t="shared" si="4"/>
        <v>6.720355104629043E-2</v>
      </c>
      <c r="P166" s="56">
        <f t="shared" si="5"/>
        <v>31794.000016599999</v>
      </c>
    </row>
    <row r="167" spans="1:16" ht="15" customHeight="1" outlineLevel="1" x14ac:dyDescent="0.2">
      <c r="A167" s="59" t="str">
        <f>Dim_Reps!A4</f>
        <v>R010</v>
      </c>
      <c r="B167" s="59" t="str">
        <f>Dim_Reps!B4</f>
        <v>Sam Schmidt</v>
      </c>
      <c r="C167" s="59" t="str">
        <f>Dim_Reps!C4</f>
        <v>Enterprise AE</v>
      </c>
      <c r="D167" s="59" t="str">
        <f>Dim_Reps!D4</f>
        <v>Enterprise</v>
      </c>
      <c r="E167" s="59" t="str">
        <f>Dim_Reps!E4</f>
        <v>EMEA</v>
      </c>
      <c r="F167" s="59" t="str">
        <f>Dim_Reps!H4</f>
        <v>Active</v>
      </c>
      <c r="G167" s="58">
        <f>SUMIFS(Fact_Quota!$D:$D,Fact_Quota!$A:$A,$A167,Fact_Quota!$B:$B,"&gt;="&amp;$B$154,Fact_Quota!$B:$B,"&lt;="&amp;$B$153)</f>
        <v>381100</v>
      </c>
      <c r="H167" s="58">
        <f>SUMIFS(Fact_Pipeline!$K:$K,Fact_Pipeline!$B:$B,$A167,Fact_Pipeline!$J:$J,"Won",Fact_Pipeline!$I:$I,"&gt;="&amp;$B$154,Fact_Pipeline!$I:$I,"&lt;="&amp;$B$155)</f>
        <v>450300</v>
      </c>
      <c r="I167" s="71">
        <f t="shared" si="1"/>
        <v>1.1815796378903174</v>
      </c>
      <c r="J167" s="59" t="b">
        <f>AND(G167&gt;0,IFERROR(I167&gt;=G6,FALSE()))</f>
        <v>1</v>
      </c>
      <c r="K167" s="58">
        <f t="shared" si="2"/>
        <v>22866</v>
      </c>
      <c r="L167" s="58">
        <f>IF(J167,MAX(0,MIN(H167,I6*G167)-G167)*IFERROR(INDEX($C$158:$C$161,MATCH(C167,$A$158:$A$161,0)),0),0)</f>
        <v>6920</v>
      </c>
      <c r="M167" s="58">
        <f>IF(J167,MAX(0,H167-I6*G167)*IFERROR(INDEX($D$158:$D$161,MATCH(C167,$A$158:$A$161,0)),0),0)</f>
        <v>0</v>
      </c>
      <c r="N167" s="58">
        <f t="shared" si="3"/>
        <v>29786</v>
      </c>
      <c r="O167" s="70">
        <f t="shared" si="4"/>
        <v>6.6147013102376195E-2</v>
      </c>
      <c r="P167" s="59">
        <f t="shared" si="5"/>
        <v>29786.0000167</v>
      </c>
    </row>
    <row r="168" spans="1:16" ht="15" customHeight="1" outlineLevel="1" x14ac:dyDescent="0.2">
      <c r="A168" s="56" t="str">
        <f>Dim_Reps!A5</f>
        <v>R013</v>
      </c>
      <c r="B168" s="56" t="str">
        <f>Dim_Reps!B5</f>
        <v>Noah Kim</v>
      </c>
      <c r="C168" s="56" t="str">
        <f>Dim_Reps!C5</f>
        <v>Enterprise AE</v>
      </c>
      <c r="D168" s="56" t="str">
        <f>Dim_Reps!D5</f>
        <v>Enterprise</v>
      </c>
      <c r="E168" s="56" t="str">
        <f>Dim_Reps!E5</f>
        <v>LATAM</v>
      </c>
      <c r="F168" s="56" t="str">
        <f>Dim_Reps!H5</f>
        <v>Active</v>
      </c>
      <c r="G168" s="55">
        <f>SUMIFS(Fact_Quota!$D:$D,Fact_Quota!$A:$A,$A168,Fact_Quota!$B:$B,"&gt;="&amp;$B$154,Fact_Quota!$B:$B,"&lt;="&amp;$B$153)</f>
        <v>385300</v>
      </c>
      <c r="H168" s="55">
        <f>SUMIFS(Fact_Pipeline!$K:$K,Fact_Pipeline!$B:$B,$A168,Fact_Pipeline!$J:$J,"Won",Fact_Pipeline!$I:$I,"&gt;="&amp;$B$154,Fact_Pipeline!$I:$I,"&lt;="&amp;$B$155)</f>
        <v>369900</v>
      </c>
      <c r="I168" s="69">
        <f t="shared" si="1"/>
        <v>0.96003114456267846</v>
      </c>
      <c r="J168" s="56" t="b">
        <f>AND(G168&gt;0,IFERROR(I168&gt;=G6,FALSE()))</f>
        <v>1</v>
      </c>
      <c r="K168" s="55">
        <f t="shared" si="2"/>
        <v>22194</v>
      </c>
      <c r="L168" s="55">
        <f>IF(J168,MAX(0,MIN(H168,I6*G168)-G168)*IFERROR(INDEX($C$158:$C$161,MATCH(C168,$A$158:$A$161,0)),0),0)</f>
        <v>0</v>
      </c>
      <c r="M168" s="55">
        <f>IF(J168,MAX(0,H168-I6*G168)*IFERROR(INDEX($D$158:$D$161,MATCH(C168,$A$158:$A$161,0)),0),0)</f>
        <v>0</v>
      </c>
      <c r="N168" s="55">
        <f t="shared" si="3"/>
        <v>22194</v>
      </c>
      <c r="O168" s="68">
        <f t="shared" si="4"/>
        <v>0.06</v>
      </c>
      <c r="P168" s="56">
        <f t="shared" si="5"/>
        <v>22194.000016800001</v>
      </c>
    </row>
    <row r="169" spans="1:16" ht="15" customHeight="1" outlineLevel="1" x14ac:dyDescent="0.2">
      <c r="A169" s="59" t="str">
        <f>Dim_Reps!A6</f>
        <v>R026</v>
      </c>
      <c r="B169" s="59" t="str">
        <f>Dim_Reps!B6</f>
        <v>Jamie Santos</v>
      </c>
      <c r="C169" s="59" t="str">
        <f>Dim_Reps!C6</f>
        <v>Enterprise AE</v>
      </c>
      <c r="D169" s="59" t="str">
        <f>Dim_Reps!D6</f>
        <v>Enterprise</v>
      </c>
      <c r="E169" s="59" t="str">
        <f>Dim_Reps!E6</f>
        <v>APAC</v>
      </c>
      <c r="F169" s="59" t="str">
        <f>Dim_Reps!H6</f>
        <v>Departed</v>
      </c>
      <c r="G169" s="58">
        <f>SUMIFS(Fact_Quota!$D:$D,Fact_Quota!$A:$A,$A169,Fact_Quota!$B:$B,"&gt;="&amp;$B$154,Fact_Quota!$B:$B,"&lt;="&amp;$B$153)</f>
        <v>380400</v>
      </c>
      <c r="H169" s="58">
        <f>SUMIFS(Fact_Pipeline!$K:$K,Fact_Pipeline!$B:$B,$A169,Fact_Pipeline!$J:$J,"Won",Fact_Pipeline!$I:$I,"&gt;="&amp;$B$154,Fact_Pipeline!$I:$I,"&lt;="&amp;$B$155)</f>
        <v>598800</v>
      </c>
      <c r="I169" s="71">
        <f t="shared" si="1"/>
        <v>1.5741324921135647</v>
      </c>
      <c r="J169" s="59" t="b">
        <f>AND(G169&gt;0,IFERROR(I169&gt;=G6,FALSE()))</f>
        <v>1</v>
      </c>
      <c r="K169" s="58">
        <f t="shared" si="2"/>
        <v>22824</v>
      </c>
      <c r="L169" s="58">
        <f>IF(J169,MAX(0,MIN(H169,I6*G169)-G169)*IFERROR(INDEX($C$158:$C$161,MATCH(C169,$A$158:$A$161,0)),0),0)</f>
        <v>19020</v>
      </c>
      <c r="M169" s="58">
        <f>IF(J169,MAX(0,H169-I6*G169)*IFERROR(INDEX($D$158:$D$161,MATCH(C169,$A$158:$A$161,0)),0),0)</f>
        <v>3948.0000000000005</v>
      </c>
      <c r="N169" s="58">
        <f t="shared" si="3"/>
        <v>45792</v>
      </c>
      <c r="O169" s="70">
        <f t="shared" si="4"/>
        <v>7.6472945891783564E-2</v>
      </c>
      <c r="P169" s="59" t="str">
        <f t="shared" si="5"/>
        <v/>
      </c>
    </row>
    <row r="170" spans="1:16" ht="15" customHeight="1" outlineLevel="1" x14ac:dyDescent="0.2">
      <c r="A170" s="56" t="str">
        <f>Dim_Reps!A7</f>
        <v>R036</v>
      </c>
      <c r="B170" s="56" t="str">
        <f>Dim_Reps!B7</f>
        <v>Zara Duarte</v>
      </c>
      <c r="C170" s="56" t="str">
        <f>Dim_Reps!C7</f>
        <v>Enterprise AE</v>
      </c>
      <c r="D170" s="56" t="str">
        <f>Dim_Reps!D7</f>
        <v>Enterprise</v>
      </c>
      <c r="E170" s="56" t="str">
        <f>Dim_Reps!E7</f>
        <v>NAMER</v>
      </c>
      <c r="F170" s="56" t="str">
        <f>Dim_Reps!H7</f>
        <v>Active</v>
      </c>
      <c r="G170" s="55">
        <f>SUMIFS(Fact_Quota!$D:$D,Fact_Quota!$A:$A,$A170,Fact_Quota!$B:$B,"&gt;="&amp;$B$154,Fact_Quota!$B:$B,"&lt;="&amp;$B$153)</f>
        <v>380500</v>
      </c>
      <c r="H170" s="55">
        <f>SUMIFS(Fact_Pipeline!$K:$K,Fact_Pipeline!$B:$B,$A170,Fact_Pipeline!$J:$J,"Won",Fact_Pipeline!$I:$I,"&gt;="&amp;$B$154,Fact_Pipeline!$I:$I,"&lt;="&amp;$B$155)</f>
        <v>423000</v>
      </c>
      <c r="I170" s="69">
        <f t="shared" si="1"/>
        <v>1.1116951379763469</v>
      </c>
      <c r="J170" s="56" t="b">
        <f>AND(G170&gt;0,IFERROR(I170&gt;=G6,FALSE()))</f>
        <v>1</v>
      </c>
      <c r="K170" s="55">
        <f t="shared" si="2"/>
        <v>22830</v>
      </c>
      <c r="L170" s="55">
        <f>IF(J170,MAX(0,MIN(H170,I6*G170)-G170)*IFERROR(INDEX($C$158:$C$161,MATCH(C170,$A$158:$A$161,0)),0),0)</f>
        <v>4250</v>
      </c>
      <c r="M170" s="55">
        <f>IF(J170,MAX(0,H170-I6*G170)*IFERROR(INDEX($D$158:$D$161,MATCH(C170,$A$158:$A$161,0)),0),0)</f>
        <v>0</v>
      </c>
      <c r="N170" s="55">
        <f t="shared" si="3"/>
        <v>27080</v>
      </c>
      <c r="O170" s="68">
        <f t="shared" si="4"/>
        <v>6.4018912529550831E-2</v>
      </c>
      <c r="P170" s="56">
        <f t="shared" si="5"/>
        <v>27080.000016999998</v>
      </c>
    </row>
    <row r="171" spans="1:16" ht="15" customHeight="1" outlineLevel="1" x14ac:dyDescent="0.2">
      <c r="A171" s="59" t="str">
        <f>Dim_Reps!A8</f>
        <v>R001</v>
      </c>
      <c r="B171" s="59" t="str">
        <f>Dim_Reps!B8</f>
        <v>Karim Rossi</v>
      </c>
      <c r="C171" s="59" t="str">
        <f>Dim_Reps!C8</f>
        <v>SDR / Inside Sales Rep</v>
      </c>
      <c r="D171" s="59" t="str">
        <f>Dim_Reps!D8</f>
        <v>Inside Sales</v>
      </c>
      <c r="E171" s="59" t="str">
        <f>Dim_Reps!E8</f>
        <v>NAMER</v>
      </c>
      <c r="F171" s="59" t="str">
        <f>Dim_Reps!H8</f>
        <v>Active</v>
      </c>
      <c r="G171" s="58">
        <f>SUMIFS(Fact_Quota!$D:$D,Fact_Quota!$A:$A,$A171,Fact_Quota!$B:$B,"&gt;="&amp;$B$154,Fact_Quota!$B:$B,"&lt;="&amp;$B$153)</f>
        <v>186500</v>
      </c>
      <c r="H171" s="58">
        <f>SUMIFS(Fact_Pipeline!$K:$K,Fact_Pipeline!$B:$B,$A171,Fact_Pipeline!$J:$J,"Won",Fact_Pipeline!$I:$I,"&gt;="&amp;$B$154,Fact_Pipeline!$I:$I,"&lt;="&amp;$B$155)</f>
        <v>156600</v>
      </c>
      <c r="I171" s="71">
        <f t="shared" si="1"/>
        <v>0.83967828418230561</v>
      </c>
      <c r="J171" s="59" t="b">
        <f>AND(G171&gt;0,IFERROR(I171&gt;=G6,FALSE()))</f>
        <v>1</v>
      </c>
      <c r="K171" s="58">
        <f t="shared" si="2"/>
        <v>4698</v>
      </c>
      <c r="L171" s="58">
        <f>IF(J171,MAX(0,MIN(H171,I6*G171)-G171)*IFERROR(INDEX($C$158:$C$161,MATCH(C171,$A$158:$A$161,0)),0),0)</f>
        <v>0</v>
      </c>
      <c r="M171" s="58">
        <f>IF(J171,MAX(0,H171-I6*G171)*IFERROR(INDEX($D$158:$D$161,MATCH(C171,$A$158:$A$161,0)),0),0)</f>
        <v>0</v>
      </c>
      <c r="N171" s="58">
        <f t="shared" si="3"/>
        <v>4698</v>
      </c>
      <c r="O171" s="70">
        <f t="shared" si="4"/>
        <v>0.03</v>
      </c>
      <c r="P171" s="59">
        <f t="shared" si="5"/>
        <v>4698.0000171000002</v>
      </c>
    </row>
    <row r="172" spans="1:16" ht="15" customHeight="1" outlineLevel="1" x14ac:dyDescent="0.2">
      <c r="A172" s="56" t="str">
        <f>Dim_Reps!A9</f>
        <v>R005</v>
      </c>
      <c r="B172" s="56" t="str">
        <f>Dim_Reps!B9</f>
        <v>Alex Okafor</v>
      </c>
      <c r="C172" s="56" t="str">
        <f>Dim_Reps!C9</f>
        <v>SDR / Inside Sales Rep</v>
      </c>
      <c r="D172" s="56" t="str">
        <f>Dim_Reps!D9</f>
        <v>Inside Sales</v>
      </c>
      <c r="E172" s="56" t="str">
        <f>Dim_Reps!E9</f>
        <v>EMEA</v>
      </c>
      <c r="F172" s="56" t="str">
        <f>Dim_Reps!H9</f>
        <v>Active</v>
      </c>
      <c r="G172" s="55">
        <f>SUMIFS(Fact_Quota!$D:$D,Fact_Quota!$A:$A,$A172,Fact_Quota!$B:$B,"&gt;="&amp;$B$154,Fact_Quota!$B:$B,"&lt;="&amp;$B$153)</f>
        <v>182700</v>
      </c>
      <c r="H172" s="55">
        <f>SUMIFS(Fact_Pipeline!$K:$K,Fact_Pipeline!$B:$B,$A172,Fact_Pipeline!$J:$J,"Won",Fact_Pipeline!$I:$I,"&gt;="&amp;$B$154,Fact_Pipeline!$I:$I,"&lt;="&amp;$B$155)</f>
        <v>176600</v>
      </c>
      <c r="I172" s="69">
        <f t="shared" si="1"/>
        <v>0.96661193212917351</v>
      </c>
      <c r="J172" s="56" t="b">
        <f>AND(G172&gt;0,IFERROR(I172&gt;=G6,FALSE()))</f>
        <v>1</v>
      </c>
      <c r="K172" s="55">
        <f t="shared" si="2"/>
        <v>5298</v>
      </c>
      <c r="L172" s="55">
        <f>IF(J172,MAX(0,MIN(H172,I6*G172)-G172)*IFERROR(INDEX($C$158:$C$161,MATCH(C172,$A$158:$A$161,0)),0),0)</f>
        <v>0</v>
      </c>
      <c r="M172" s="55">
        <f>IF(J172,MAX(0,H172-I6*G172)*IFERROR(INDEX($D$158:$D$161,MATCH(C172,$A$158:$A$161,0)),0),0)</f>
        <v>0</v>
      </c>
      <c r="N172" s="55">
        <f t="shared" si="3"/>
        <v>5298</v>
      </c>
      <c r="O172" s="68">
        <f t="shared" si="4"/>
        <v>0.03</v>
      </c>
      <c r="P172" s="56">
        <f t="shared" si="5"/>
        <v>5298.0000172</v>
      </c>
    </row>
    <row r="173" spans="1:16" ht="15" customHeight="1" outlineLevel="1" x14ac:dyDescent="0.2">
      <c r="A173" s="59" t="str">
        <f>Dim_Reps!A10</f>
        <v>R006</v>
      </c>
      <c r="B173" s="59" t="str">
        <f>Dim_Reps!B10</f>
        <v>Lucas Okafor</v>
      </c>
      <c r="C173" s="59" t="str">
        <f>Dim_Reps!C10</f>
        <v>SDR / Inside Sales Rep</v>
      </c>
      <c r="D173" s="59" t="str">
        <f>Dim_Reps!D10</f>
        <v>Inside Sales</v>
      </c>
      <c r="E173" s="59" t="str">
        <f>Dim_Reps!E10</f>
        <v>APAC</v>
      </c>
      <c r="F173" s="59" t="str">
        <f>Dim_Reps!H10</f>
        <v>Active</v>
      </c>
      <c r="G173" s="58">
        <f>SUMIFS(Fact_Quota!$D:$D,Fact_Quota!$A:$A,$A173,Fact_Quota!$B:$B,"&gt;="&amp;$B$154,Fact_Quota!$B:$B,"&lt;="&amp;$B$153)</f>
        <v>185300</v>
      </c>
      <c r="H173" s="58">
        <f>SUMIFS(Fact_Pipeline!$K:$K,Fact_Pipeline!$B:$B,$A173,Fact_Pipeline!$J:$J,"Won",Fact_Pipeline!$I:$I,"&gt;="&amp;$B$154,Fact_Pipeline!$I:$I,"&lt;="&amp;$B$155)</f>
        <v>237400</v>
      </c>
      <c r="I173" s="71">
        <f t="shared" si="1"/>
        <v>1.2811656772800863</v>
      </c>
      <c r="J173" s="59" t="b">
        <f>AND(G173&gt;0,IFERROR(I173&gt;=G6,FALSE()))</f>
        <v>1</v>
      </c>
      <c r="K173" s="58">
        <f t="shared" si="2"/>
        <v>5559</v>
      </c>
      <c r="L173" s="58">
        <f>IF(J173,MAX(0,MIN(H173,I6*G173)-G173)*IFERROR(INDEX($C$158:$C$161,MATCH(C173,$A$158:$A$161,0)),0),0)</f>
        <v>2605</v>
      </c>
      <c r="M173" s="58">
        <f>IF(J173,MAX(0,H173-I6*G173)*IFERROR(INDEX($D$158:$D$161,MATCH(C173,$A$158:$A$161,0)),0),0)</f>
        <v>0</v>
      </c>
      <c r="N173" s="58">
        <f t="shared" si="3"/>
        <v>8164</v>
      </c>
      <c r="O173" s="70">
        <f t="shared" si="4"/>
        <v>3.4389216512215673E-2</v>
      </c>
      <c r="P173" s="59">
        <f t="shared" si="5"/>
        <v>8164.0000172999999</v>
      </c>
    </row>
    <row r="174" spans="1:16" ht="15" customHeight="1" outlineLevel="1" x14ac:dyDescent="0.2">
      <c r="A174" s="56" t="str">
        <f>Dim_Reps!A11</f>
        <v>R007</v>
      </c>
      <c r="B174" s="56" t="str">
        <f>Dim_Reps!B11</f>
        <v>Sara Duarte</v>
      </c>
      <c r="C174" s="56" t="str">
        <f>Dim_Reps!C11</f>
        <v>SDR / Inside Sales Rep</v>
      </c>
      <c r="D174" s="56" t="str">
        <f>Dim_Reps!D11</f>
        <v>Inside Sales</v>
      </c>
      <c r="E174" s="56" t="str">
        <f>Dim_Reps!E11</f>
        <v>APAC</v>
      </c>
      <c r="F174" s="56" t="str">
        <f>Dim_Reps!H11</f>
        <v>Active</v>
      </c>
      <c r="G174" s="55">
        <f>SUMIFS(Fact_Quota!$D:$D,Fact_Quota!$A:$A,$A174,Fact_Quota!$B:$B,"&gt;="&amp;$B$154,Fact_Quota!$B:$B,"&lt;="&amp;$B$153)</f>
        <v>11100</v>
      </c>
      <c r="H174" s="55">
        <f>SUMIFS(Fact_Pipeline!$K:$K,Fact_Pipeline!$B:$B,$A174,Fact_Pipeline!$J:$J,"Won",Fact_Pipeline!$I:$I,"&gt;="&amp;$B$154,Fact_Pipeline!$I:$I,"&lt;="&amp;$B$155)</f>
        <v>5800</v>
      </c>
      <c r="I174" s="69">
        <f t="shared" si="1"/>
        <v>0.52252252252252251</v>
      </c>
      <c r="J174" s="56" t="b">
        <f>AND(G174&gt;0,IFERROR(I174&gt;=G6,FALSE()))</f>
        <v>1</v>
      </c>
      <c r="K174" s="55">
        <f t="shared" si="2"/>
        <v>174</v>
      </c>
      <c r="L174" s="55">
        <f>IF(J174,MAX(0,MIN(H174,I6*G174)-G174)*IFERROR(INDEX($C$158:$C$161,MATCH(C174,$A$158:$A$161,0)),0),0)</f>
        <v>0</v>
      </c>
      <c r="M174" s="55">
        <f>IF(J174,MAX(0,H174-I6*G174)*IFERROR(INDEX($D$158:$D$161,MATCH(C174,$A$158:$A$161,0)),0),0)</f>
        <v>0</v>
      </c>
      <c r="N174" s="55">
        <f t="shared" si="3"/>
        <v>174</v>
      </c>
      <c r="O174" s="68">
        <f t="shared" si="4"/>
        <v>0.03</v>
      </c>
      <c r="P174" s="56">
        <f t="shared" si="5"/>
        <v>174.00001739999999</v>
      </c>
    </row>
    <row r="175" spans="1:16" ht="15" customHeight="1" outlineLevel="1" x14ac:dyDescent="0.2">
      <c r="A175" s="59" t="str">
        <f>Dim_Reps!A12</f>
        <v>R011</v>
      </c>
      <c r="B175" s="59" t="str">
        <f>Dim_Reps!B12</f>
        <v>Riley Haddad</v>
      </c>
      <c r="C175" s="59" t="str">
        <f>Dim_Reps!C12</f>
        <v>SDR / Inside Sales Rep</v>
      </c>
      <c r="D175" s="59" t="str">
        <f>Dim_Reps!D12</f>
        <v>Inside Sales</v>
      </c>
      <c r="E175" s="59" t="str">
        <f>Dim_Reps!E12</f>
        <v>APAC</v>
      </c>
      <c r="F175" s="59" t="str">
        <f>Dim_Reps!H12</f>
        <v>Active</v>
      </c>
      <c r="G175" s="58">
        <f>SUMIFS(Fact_Quota!$D:$D,Fact_Quota!$A:$A,$A175,Fact_Quota!$B:$B,"&gt;="&amp;$B$154,Fact_Quota!$B:$B,"&lt;="&amp;$B$153)</f>
        <v>166400</v>
      </c>
      <c r="H175" s="58">
        <f>SUMIFS(Fact_Pipeline!$K:$K,Fact_Pipeline!$B:$B,$A175,Fact_Pipeline!$J:$J,"Won",Fact_Pipeline!$I:$I,"&gt;="&amp;$B$154,Fact_Pipeline!$I:$I,"&lt;="&amp;$B$155)</f>
        <v>122200</v>
      </c>
      <c r="I175" s="71">
        <f t="shared" si="1"/>
        <v>0.734375</v>
      </c>
      <c r="J175" s="59" t="b">
        <f>AND(G175&gt;0,IFERROR(I175&gt;=G6,FALSE()))</f>
        <v>1</v>
      </c>
      <c r="K175" s="58">
        <f t="shared" si="2"/>
        <v>3666</v>
      </c>
      <c r="L175" s="58">
        <f>IF(J175,MAX(0,MIN(H175,I6*G175)-G175)*IFERROR(INDEX($C$158:$C$161,MATCH(C175,$A$158:$A$161,0)),0),0)</f>
        <v>0</v>
      </c>
      <c r="M175" s="58">
        <f>IF(J175,MAX(0,H175-I6*G175)*IFERROR(INDEX($D$158:$D$161,MATCH(C175,$A$158:$A$161,0)),0),0)</f>
        <v>0</v>
      </c>
      <c r="N175" s="58">
        <f t="shared" si="3"/>
        <v>3666</v>
      </c>
      <c r="O175" s="70">
        <f t="shared" si="4"/>
        <v>0.03</v>
      </c>
      <c r="P175" s="59">
        <f t="shared" si="5"/>
        <v>3666.0000175</v>
      </c>
    </row>
    <row r="176" spans="1:16" ht="15" customHeight="1" outlineLevel="1" x14ac:dyDescent="0.2">
      <c r="A176" s="56" t="str">
        <f>Dim_Reps!A13</f>
        <v>R014</v>
      </c>
      <c r="B176" s="56" t="str">
        <f>Dim_Reps!B13</f>
        <v>Karim Alvarez</v>
      </c>
      <c r="C176" s="56" t="str">
        <f>Dim_Reps!C13</f>
        <v>SDR / Inside Sales Rep</v>
      </c>
      <c r="D176" s="56" t="str">
        <f>Dim_Reps!D13</f>
        <v>Inside Sales</v>
      </c>
      <c r="E176" s="56" t="str">
        <f>Dim_Reps!E13</f>
        <v>EMEA</v>
      </c>
      <c r="F176" s="56" t="str">
        <f>Dim_Reps!H13</f>
        <v>Active</v>
      </c>
      <c r="G176" s="55">
        <f>SUMIFS(Fact_Quota!$D:$D,Fact_Quota!$A:$A,$A176,Fact_Quota!$B:$B,"&gt;="&amp;$B$154,Fact_Quota!$B:$B,"&lt;="&amp;$B$153)</f>
        <v>185900</v>
      </c>
      <c r="H176" s="55">
        <f>SUMIFS(Fact_Pipeline!$K:$K,Fact_Pipeline!$B:$B,$A176,Fact_Pipeline!$J:$J,"Won",Fact_Pipeline!$I:$I,"&gt;="&amp;$B$154,Fact_Pipeline!$I:$I,"&lt;="&amp;$B$155)</f>
        <v>187100</v>
      </c>
      <c r="I176" s="69">
        <f t="shared" si="1"/>
        <v>1.0064550833781603</v>
      </c>
      <c r="J176" s="56" t="b">
        <f>AND(G176&gt;0,IFERROR(I176&gt;=G6,FALSE()))</f>
        <v>1</v>
      </c>
      <c r="K176" s="55">
        <f t="shared" si="2"/>
        <v>5577</v>
      </c>
      <c r="L176" s="55">
        <f>IF(J176,MAX(0,MIN(H176,I6*G176)-G176)*IFERROR(INDEX($C$158:$C$161,MATCH(C176,$A$158:$A$161,0)),0),0)</f>
        <v>60</v>
      </c>
      <c r="M176" s="55">
        <f>IF(J176,MAX(0,H176-I6*G176)*IFERROR(INDEX($D$158:$D$161,MATCH(C176,$A$158:$A$161,0)),0),0)</f>
        <v>0</v>
      </c>
      <c r="N176" s="55">
        <f t="shared" si="3"/>
        <v>5637</v>
      </c>
      <c r="O176" s="68">
        <f t="shared" si="4"/>
        <v>3.0128273650454302E-2</v>
      </c>
      <c r="P176" s="56">
        <f t="shared" si="5"/>
        <v>5637.0000176000003</v>
      </c>
    </row>
    <row r="177" spans="1:16" ht="15" customHeight="1" outlineLevel="1" x14ac:dyDescent="0.2">
      <c r="A177" s="59" t="str">
        <f>Dim_Reps!A14</f>
        <v>R015</v>
      </c>
      <c r="B177" s="59" t="str">
        <f>Dim_Reps!B14</f>
        <v>Sam Castro</v>
      </c>
      <c r="C177" s="59" t="str">
        <f>Dim_Reps!C14</f>
        <v>SDR / Inside Sales Rep</v>
      </c>
      <c r="D177" s="59" t="str">
        <f>Dim_Reps!D14</f>
        <v>Inside Sales</v>
      </c>
      <c r="E177" s="59" t="str">
        <f>Dim_Reps!E14</f>
        <v>APAC</v>
      </c>
      <c r="F177" s="59" t="str">
        <f>Dim_Reps!H14</f>
        <v>Departed</v>
      </c>
      <c r="G177" s="58">
        <f>SUMIFS(Fact_Quota!$D:$D,Fact_Quota!$A:$A,$A177,Fact_Quota!$B:$B,"&gt;="&amp;$B$154,Fact_Quota!$B:$B,"&lt;="&amp;$B$153)</f>
        <v>187100</v>
      </c>
      <c r="H177" s="58">
        <f>SUMIFS(Fact_Pipeline!$K:$K,Fact_Pipeline!$B:$B,$A177,Fact_Pipeline!$J:$J,"Won",Fact_Pipeline!$I:$I,"&gt;="&amp;$B$154,Fact_Pipeline!$I:$I,"&lt;="&amp;$B$155)</f>
        <v>136600</v>
      </c>
      <c r="I177" s="71">
        <f t="shared" si="1"/>
        <v>0.73009086050240513</v>
      </c>
      <c r="J177" s="59" t="b">
        <f>AND(G177&gt;0,IFERROR(I177&gt;=G6,FALSE()))</f>
        <v>1</v>
      </c>
      <c r="K177" s="58">
        <f t="shared" si="2"/>
        <v>4098</v>
      </c>
      <c r="L177" s="58">
        <f>IF(J177,MAX(0,MIN(H177,I6*G177)-G177)*IFERROR(INDEX($C$158:$C$161,MATCH(C177,$A$158:$A$161,0)),0),0)</f>
        <v>0</v>
      </c>
      <c r="M177" s="58">
        <f>IF(J177,MAX(0,H177-I6*G177)*IFERROR(INDEX($D$158:$D$161,MATCH(C177,$A$158:$A$161,0)),0),0)</f>
        <v>0</v>
      </c>
      <c r="N177" s="58">
        <f t="shared" si="3"/>
        <v>4098</v>
      </c>
      <c r="O177" s="70">
        <f t="shared" si="4"/>
        <v>0.03</v>
      </c>
      <c r="P177" s="59" t="str">
        <f t="shared" si="5"/>
        <v/>
      </c>
    </row>
    <row r="178" spans="1:16" ht="15" customHeight="1" outlineLevel="1" x14ac:dyDescent="0.2">
      <c r="A178" s="56" t="str">
        <f>Dim_Reps!A15</f>
        <v>R016</v>
      </c>
      <c r="B178" s="56" t="str">
        <f>Dim_Reps!B15</f>
        <v>Petra Larsen</v>
      </c>
      <c r="C178" s="56" t="str">
        <f>Dim_Reps!C15</f>
        <v>SDR / Inside Sales Rep</v>
      </c>
      <c r="D178" s="56" t="str">
        <f>Dim_Reps!D15</f>
        <v>Inside Sales</v>
      </c>
      <c r="E178" s="56" t="str">
        <f>Dim_Reps!E15</f>
        <v>EMEA</v>
      </c>
      <c r="F178" s="56" t="str">
        <f>Dim_Reps!H15</f>
        <v>Active</v>
      </c>
      <c r="G178" s="55">
        <f>SUMIFS(Fact_Quota!$D:$D,Fact_Quota!$A:$A,$A178,Fact_Quota!$B:$B,"&gt;="&amp;$B$154,Fact_Quota!$B:$B,"&lt;="&amp;$B$153)</f>
        <v>118100</v>
      </c>
      <c r="H178" s="55">
        <f>SUMIFS(Fact_Pipeline!$K:$K,Fact_Pipeline!$B:$B,$A178,Fact_Pipeline!$J:$J,"Won",Fact_Pipeline!$I:$I,"&gt;="&amp;$B$154,Fact_Pipeline!$I:$I,"&lt;="&amp;$B$155)</f>
        <v>63400</v>
      </c>
      <c r="I178" s="69">
        <f t="shared" si="1"/>
        <v>0.53683319220999148</v>
      </c>
      <c r="J178" s="56" t="b">
        <f>AND(G178&gt;0,IFERROR(I178&gt;=G6,FALSE()))</f>
        <v>1</v>
      </c>
      <c r="K178" s="55">
        <f t="shared" si="2"/>
        <v>1902</v>
      </c>
      <c r="L178" s="55">
        <f>IF(J178,MAX(0,MIN(H178,I6*G178)-G178)*IFERROR(INDEX($C$158:$C$161,MATCH(C178,$A$158:$A$161,0)),0),0)</f>
        <v>0</v>
      </c>
      <c r="M178" s="55">
        <f>IF(J178,MAX(0,H178-I6*G178)*IFERROR(INDEX($D$158:$D$161,MATCH(C178,$A$158:$A$161,0)),0),0)</f>
        <v>0</v>
      </c>
      <c r="N178" s="55">
        <f t="shared" si="3"/>
        <v>1902</v>
      </c>
      <c r="O178" s="68">
        <f t="shared" si="4"/>
        <v>0.03</v>
      </c>
      <c r="P178" s="56">
        <f t="shared" si="5"/>
        <v>1902.0000178</v>
      </c>
    </row>
    <row r="179" spans="1:16" ht="15" customHeight="1" outlineLevel="1" x14ac:dyDescent="0.2">
      <c r="A179" s="59" t="str">
        <f>Dim_Reps!A16</f>
        <v>R017</v>
      </c>
      <c r="B179" s="59" t="str">
        <f>Dim_Reps!B16</f>
        <v>Lea Weber</v>
      </c>
      <c r="C179" s="59" t="str">
        <f>Dim_Reps!C16</f>
        <v>SDR / Inside Sales Rep</v>
      </c>
      <c r="D179" s="59" t="str">
        <f>Dim_Reps!D16</f>
        <v>Inside Sales</v>
      </c>
      <c r="E179" s="59" t="str">
        <f>Dim_Reps!E16</f>
        <v>EMEA</v>
      </c>
      <c r="F179" s="59" t="str">
        <f>Dim_Reps!H16</f>
        <v>Active</v>
      </c>
      <c r="G179" s="58">
        <f>SUMIFS(Fact_Quota!$D:$D,Fact_Quota!$A:$A,$A179,Fact_Quota!$B:$B,"&gt;="&amp;$B$154,Fact_Quota!$B:$B,"&lt;="&amp;$B$153)</f>
        <v>185700</v>
      </c>
      <c r="H179" s="58">
        <f>SUMIFS(Fact_Pipeline!$K:$K,Fact_Pipeline!$B:$B,$A179,Fact_Pipeline!$J:$J,"Won",Fact_Pipeline!$I:$I,"&gt;="&amp;$B$154,Fact_Pipeline!$I:$I,"&lt;="&amp;$B$155)</f>
        <v>185500</v>
      </c>
      <c r="I179" s="71">
        <f t="shared" si="1"/>
        <v>0.99892299407646745</v>
      </c>
      <c r="J179" s="59" t="b">
        <f>AND(G179&gt;0,IFERROR(I179&gt;=G6,FALSE()))</f>
        <v>1</v>
      </c>
      <c r="K179" s="58">
        <f t="shared" si="2"/>
        <v>5565</v>
      </c>
      <c r="L179" s="58">
        <f>IF(J179,MAX(0,MIN(H179,I6*G179)-G179)*IFERROR(INDEX($C$158:$C$161,MATCH(C179,$A$158:$A$161,0)),0),0)</f>
        <v>0</v>
      </c>
      <c r="M179" s="58">
        <f>IF(J179,MAX(0,H179-I6*G179)*IFERROR(INDEX($D$158:$D$161,MATCH(C179,$A$158:$A$161,0)),0),0)</f>
        <v>0</v>
      </c>
      <c r="N179" s="58">
        <f t="shared" si="3"/>
        <v>5565</v>
      </c>
      <c r="O179" s="70">
        <f t="shared" si="4"/>
        <v>0.03</v>
      </c>
      <c r="P179" s="59">
        <f t="shared" si="5"/>
        <v>5565.0000178999999</v>
      </c>
    </row>
    <row r="180" spans="1:16" ht="15" customHeight="1" outlineLevel="1" x14ac:dyDescent="0.2">
      <c r="A180" s="56" t="str">
        <f>Dim_Reps!A17</f>
        <v>R020</v>
      </c>
      <c r="B180" s="56" t="str">
        <f>Dim_Reps!B17</f>
        <v>Jamie Silva</v>
      </c>
      <c r="C180" s="56" t="str">
        <f>Dim_Reps!C17</f>
        <v>SDR / Inside Sales Rep</v>
      </c>
      <c r="D180" s="56" t="str">
        <f>Dim_Reps!D17</f>
        <v>Inside Sales</v>
      </c>
      <c r="E180" s="56" t="str">
        <f>Dim_Reps!E17</f>
        <v>EMEA</v>
      </c>
      <c r="F180" s="56" t="str">
        <f>Dim_Reps!H17</f>
        <v>Active</v>
      </c>
      <c r="G180" s="55">
        <f>SUMIFS(Fact_Quota!$D:$D,Fact_Quota!$A:$A,$A180,Fact_Quota!$B:$B,"&gt;="&amp;$B$154,Fact_Quota!$B:$B,"&lt;="&amp;$B$153)</f>
        <v>182600</v>
      </c>
      <c r="H180" s="55">
        <f>SUMIFS(Fact_Pipeline!$K:$K,Fact_Pipeline!$B:$B,$A180,Fact_Pipeline!$J:$J,"Won",Fact_Pipeline!$I:$I,"&gt;="&amp;$B$154,Fact_Pipeline!$I:$I,"&lt;="&amp;$B$155)</f>
        <v>151800</v>
      </c>
      <c r="I180" s="69">
        <f t="shared" si="1"/>
        <v>0.83132530120481929</v>
      </c>
      <c r="J180" s="56" t="b">
        <f>AND(G180&gt;0,IFERROR(I180&gt;=G6,FALSE()))</f>
        <v>1</v>
      </c>
      <c r="K180" s="55">
        <f t="shared" si="2"/>
        <v>4554</v>
      </c>
      <c r="L180" s="55">
        <f>IF(J180,MAX(0,MIN(H180,I6*G180)-G180)*IFERROR(INDEX($C$158:$C$161,MATCH(C180,$A$158:$A$161,0)),0),0)</f>
        <v>0</v>
      </c>
      <c r="M180" s="55">
        <f>IF(J180,MAX(0,H180-I6*G180)*IFERROR(INDEX($D$158:$D$161,MATCH(C180,$A$158:$A$161,0)),0),0)</f>
        <v>0</v>
      </c>
      <c r="N180" s="55">
        <f t="shared" si="3"/>
        <v>4554</v>
      </c>
      <c r="O180" s="68">
        <f t="shared" si="4"/>
        <v>0.03</v>
      </c>
      <c r="P180" s="56">
        <f t="shared" si="5"/>
        <v>4554.0000179999997</v>
      </c>
    </row>
    <row r="181" spans="1:16" ht="15" customHeight="1" outlineLevel="1" x14ac:dyDescent="0.2">
      <c r="A181" s="59" t="str">
        <f>Dim_Reps!A18</f>
        <v>R022</v>
      </c>
      <c r="B181" s="59" t="str">
        <f>Dim_Reps!B18</f>
        <v>Jamie Schmidt</v>
      </c>
      <c r="C181" s="59" t="str">
        <f>Dim_Reps!C18</f>
        <v>SDR / Inside Sales Rep</v>
      </c>
      <c r="D181" s="59" t="str">
        <f>Dim_Reps!D18</f>
        <v>Inside Sales</v>
      </c>
      <c r="E181" s="59" t="str">
        <f>Dim_Reps!E18</f>
        <v>APAC</v>
      </c>
      <c r="F181" s="59" t="str">
        <f>Dim_Reps!H18</f>
        <v>Active</v>
      </c>
      <c r="G181" s="58">
        <f>SUMIFS(Fact_Quota!$D:$D,Fact_Quota!$A:$A,$A181,Fact_Quota!$B:$B,"&gt;="&amp;$B$154,Fact_Quota!$B:$B,"&lt;="&amp;$B$153)</f>
        <v>187400</v>
      </c>
      <c r="H181" s="58">
        <f>SUMIFS(Fact_Pipeline!$K:$K,Fact_Pipeline!$B:$B,$A181,Fact_Pipeline!$J:$J,"Won",Fact_Pipeline!$I:$I,"&gt;="&amp;$B$154,Fact_Pipeline!$I:$I,"&lt;="&amp;$B$155)</f>
        <v>172600</v>
      </c>
      <c r="I181" s="71">
        <f t="shared" si="1"/>
        <v>0.92102454642475984</v>
      </c>
      <c r="J181" s="59" t="b">
        <f>AND(G181&gt;0,IFERROR(I181&gt;=G6,FALSE()))</f>
        <v>1</v>
      </c>
      <c r="K181" s="58">
        <f t="shared" si="2"/>
        <v>5178</v>
      </c>
      <c r="L181" s="58">
        <f>IF(J181,MAX(0,MIN(H181,I6*G181)-G181)*IFERROR(INDEX($C$158:$C$161,MATCH(C181,$A$158:$A$161,0)),0),0)</f>
        <v>0</v>
      </c>
      <c r="M181" s="58">
        <f>IF(J181,MAX(0,H181-I6*G181)*IFERROR(INDEX($D$158:$D$161,MATCH(C181,$A$158:$A$161,0)),0),0)</f>
        <v>0</v>
      </c>
      <c r="N181" s="58">
        <f t="shared" si="3"/>
        <v>5178</v>
      </c>
      <c r="O181" s="70">
        <f t="shared" si="4"/>
        <v>0.03</v>
      </c>
      <c r="P181" s="59">
        <f t="shared" si="5"/>
        <v>5178.0000180999996</v>
      </c>
    </row>
    <row r="182" spans="1:16" ht="15" customHeight="1" outlineLevel="1" x14ac:dyDescent="0.2">
      <c r="A182" s="56" t="str">
        <f>Dim_Reps!A19</f>
        <v>R023</v>
      </c>
      <c r="B182" s="56" t="str">
        <f>Dim_Reps!B19</f>
        <v>Priya Weber</v>
      </c>
      <c r="C182" s="56" t="str">
        <f>Dim_Reps!C19</f>
        <v>SDR / Inside Sales Rep</v>
      </c>
      <c r="D182" s="56" t="str">
        <f>Dim_Reps!D19</f>
        <v>Inside Sales</v>
      </c>
      <c r="E182" s="56" t="str">
        <f>Dim_Reps!E19</f>
        <v>NAMER</v>
      </c>
      <c r="F182" s="56" t="str">
        <f>Dim_Reps!H19</f>
        <v>Active</v>
      </c>
      <c r="G182" s="55">
        <f>SUMIFS(Fact_Quota!$D:$D,Fact_Quota!$A:$A,$A182,Fact_Quota!$B:$B,"&gt;="&amp;$B$154,Fact_Quota!$B:$B,"&lt;="&amp;$B$153)</f>
        <v>188700</v>
      </c>
      <c r="H182" s="55">
        <f>SUMIFS(Fact_Pipeline!$K:$K,Fact_Pipeline!$B:$B,$A182,Fact_Pipeline!$J:$J,"Won",Fact_Pipeline!$I:$I,"&gt;="&amp;$B$154,Fact_Pipeline!$I:$I,"&lt;="&amp;$B$155)</f>
        <v>183800</v>
      </c>
      <c r="I182" s="69">
        <f t="shared" si="1"/>
        <v>0.97403285638579751</v>
      </c>
      <c r="J182" s="56" t="b">
        <f>AND(G182&gt;0,IFERROR(I182&gt;=G6,FALSE()))</f>
        <v>1</v>
      </c>
      <c r="K182" s="55">
        <f t="shared" si="2"/>
        <v>5514</v>
      </c>
      <c r="L182" s="55">
        <f>IF(J182,MAX(0,MIN(H182,I6*G182)-G182)*IFERROR(INDEX($C$158:$C$161,MATCH(C182,$A$158:$A$161,0)),0),0)</f>
        <v>0</v>
      </c>
      <c r="M182" s="55">
        <f>IF(J182,MAX(0,H182-I6*G182)*IFERROR(INDEX($D$158:$D$161,MATCH(C182,$A$158:$A$161,0)),0),0)</f>
        <v>0</v>
      </c>
      <c r="N182" s="55">
        <f t="shared" si="3"/>
        <v>5514</v>
      </c>
      <c r="O182" s="68">
        <f t="shared" si="4"/>
        <v>0.03</v>
      </c>
      <c r="P182" s="56">
        <f t="shared" si="5"/>
        <v>5514.0000182000003</v>
      </c>
    </row>
    <row r="183" spans="1:16" ht="15" customHeight="1" outlineLevel="1" x14ac:dyDescent="0.2">
      <c r="A183" s="59" t="str">
        <f>Dim_Reps!A20</f>
        <v>R024</v>
      </c>
      <c r="B183" s="59" t="str">
        <f>Dim_Reps!B20</f>
        <v>Riley Duarte</v>
      </c>
      <c r="C183" s="59" t="str">
        <f>Dim_Reps!C20</f>
        <v>SDR / Inside Sales Rep</v>
      </c>
      <c r="D183" s="59" t="str">
        <f>Dim_Reps!D20</f>
        <v>Inside Sales</v>
      </c>
      <c r="E183" s="59" t="str">
        <f>Dim_Reps!E20</f>
        <v>APAC</v>
      </c>
      <c r="F183" s="59" t="str">
        <f>Dim_Reps!H20</f>
        <v>Active</v>
      </c>
      <c r="G183" s="58">
        <f>SUMIFS(Fact_Quota!$D:$D,Fact_Quota!$A:$A,$A183,Fact_Quota!$B:$B,"&gt;="&amp;$B$154,Fact_Quota!$B:$B,"&lt;="&amp;$B$153)</f>
        <v>0</v>
      </c>
      <c r="H183" s="58">
        <f>SUMIFS(Fact_Pipeline!$K:$K,Fact_Pipeline!$B:$B,$A183,Fact_Pipeline!$J:$J,"Won",Fact_Pipeline!$I:$I,"&gt;="&amp;$B$154,Fact_Pipeline!$I:$I,"&lt;="&amp;$B$155)</f>
        <v>0</v>
      </c>
      <c r="I183" s="71" t="str">
        <f t="shared" si="1"/>
        <v/>
      </c>
      <c r="J183" s="59" t="b">
        <f>AND(G183&gt;0,IFERROR(I183&gt;=G6,FALSE()))</f>
        <v>0</v>
      </c>
      <c r="K183" s="58">
        <f t="shared" si="2"/>
        <v>0</v>
      </c>
      <c r="L183" s="58">
        <f>IF(J183,MAX(0,MIN(H183,I6*G183)-G183)*IFERROR(INDEX($C$158:$C$161,MATCH(C183,$A$158:$A$161,0)),0),0)</f>
        <v>0</v>
      </c>
      <c r="M183" s="58">
        <f>IF(J183,MAX(0,H183-I6*G183)*IFERROR(INDEX($D$158:$D$161,MATCH(C183,$A$158:$A$161,0)),0),0)</f>
        <v>0</v>
      </c>
      <c r="N183" s="58">
        <f t="shared" si="3"/>
        <v>0</v>
      </c>
      <c r="O183" s="70" t="str">
        <f t="shared" si="4"/>
        <v/>
      </c>
      <c r="P183" s="59">
        <f t="shared" si="5"/>
        <v>1.8300000000000001E-5</v>
      </c>
    </row>
    <row r="184" spans="1:16" ht="15" customHeight="1" outlineLevel="1" x14ac:dyDescent="0.2">
      <c r="A184" s="56" t="str">
        <f>Dim_Reps!A21</f>
        <v>R027</v>
      </c>
      <c r="B184" s="56" t="str">
        <f>Dim_Reps!B21</f>
        <v>Casey Muller</v>
      </c>
      <c r="C184" s="56" t="str">
        <f>Dim_Reps!C21</f>
        <v>SDR / Inside Sales Rep</v>
      </c>
      <c r="D184" s="56" t="str">
        <f>Dim_Reps!D21</f>
        <v>Inside Sales</v>
      </c>
      <c r="E184" s="56" t="str">
        <f>Dim_Reps!E21</f>
        <v>LATAM</v>
      </c>
      <c r="F184" s="56" t="str">
        <f>Dim_Reps!H21</f>
        <v>Departed</v>
      </c>
      <c r="G184" s="55">
        <f>SUMIFS(Fact_Quota!$D:$D,Fact_Quota!$A:$A,$A184,Fact_Quota!$B:$B,"&gt;="&amp;$B$154,Fact_Quota!$B:$B,"&lt;="&amp;$B$153)</f>
        <v>187200</v>
      </c>
      <c r="H184" s="55">
        <f>SUMIFS(Fact_Pipeline!$K:$K,Fact_Pipeline!$B:$B,$A184,Fact_Pipeline!$J:$J,"Won",Fact_Pipeline!$I:$I,"&gt;="&amp;$B$154,Fact_Pipeline!$I:$I,"&lt;="&amp;$B$155)</f>
        <v>201600</v>
      </c>
      <c r="I184" s="69">
        <f t="shared" si="1"/>
        <v>1.0769230769230769</v>
      </c>
      <c r="J184" s="56" t="b">
        <f>AND(G184&gt;0,IFERROR(I184&gt;=G6,FALSE()))</f>
        <v>1</v>
      </c>
      <c r="K184" s="55">
        <f t="shared" si="2"/>
        <v>5616</v>
      </c>
      <c r="L184" s="55">
        <f>IF(J184,MAX(0,MIN(H184,I6*G184)-G184)*IFERROR(INDEX($C$158:$C$161,MATCH(C184,$A$158:$A$161,0)),0),0)</f>
        <v>720</v>
      </c>
      <c r="M184" s="55">
        <f>IF(J184,MAX(0,H184-I6*G184)*IFERROR(INDEX($D$158:$D$161,MATCH(C184,$A$158:$A$161,0)),0),0)</f>
        <v>0</v>
      </c>
      <c r="N184" s="55">
        <f t="shared" si="3"/>
        <v>6336</v>
      </c>
      <c r="O184" s="68">
        <f t="shared" si="4"/>
        <v>3.1428571428571431E-2</v>
      </c>
      <c r="P184" s="56" t="str">
        <f t="shared" si="5"/>
        <v/>
      </c>
    </row>
    <row r="185" spans="1:16" ht="15" customHeight="1" outlineLevel="1" x14ac:dyDescent="0.2">
      <c r="A185" s="59" t="str">
        <f>Dim_Reps!A22</f>
        <v>R030</v>
      </c>
      <c r="B185" s="59" t="str">
        <f>Dim_Reps!B22</f>
        <v>Lea Petrov</v>
      </c>
      <c r="C185" s="59" t="str">
        <f>Dim_Reps!C22</f>
        <v>SDR / Inside Sales Rep</v>
      </c>
      <c r="D185" s="59" t="str">
        <f>Dim_Reps!D22</f>
        <v>Inside Sales</v>
      </c>
      <c r="E185" s="59" t="str">
        <f>Dim_Reps!E22</f>
        <v>LATAM</v>
      </c>
      <c r="F185" s="59" t="str">
        <f>Dim_Reps!H22</f>
        <v>Departed</v>
      </c>
      <c r="G185" s="58">
        <f>SUMIFS(Fact_Quota!$D:$D,Fact_Quota!$A:$A,$A185,Fact_Quota!$B:$B,"&gt;="&amp;$B$154,Fact_Quota!$B:$B,"&lt;="&amp;$B$153)</f>
        <v>100400</v>
      </c>
      <c r="H185" s="58">
        <f>SUMIFS(Fact_Pipeline!$K:$K,Fact_Pipeline!$B:$B,$A185,Fact_Pipeline!$J:$J,"Won",Fact_Pipeline!$I:$I,"&gt;="&amp;$B$154,Fact_Pipeline!$I:$I,"&lt;="&amp;$B$155)</f>
        <v>43600</v>
      </c>
      <c r="I185" s="71">
        <f t="shared" si="1"/>
        <v>0.43426294820717132</v>
      </c>
      <c r="J185" s="59" t="b">
        <f>AND(G185&gt;0,IFERROR(I185&gt;=G6,FALSE()))</f>
        <v>0</v>
      </c>
      <c r="K185" s="58">
        <f t="shared" si="2"/>
        <v>0</v>
      </c>
      <c r="L185" s="58">
        <f>IF(J185,MAX(0,MIN(H185,I6*G185)-G185)*IFERROR(INDEX($C$158:$C$161,MATCH(C185,$A$158:$A$161,0)),0),0)</f>
        <v>0</v>
      </c>
      <c r="M185" s="58">
        <f>IF(J185,MAX(0,H185-I6*G185)*IFERROR(INDEX($D$158:$D$161,MATCH(C185,$A$158:$A$161,0)),0),0)</f>
        <v>0</v>
      </c>
      <c r="N185" s="58">
        <f t="shared" si="3"/>
        <v>0</v>
      </c>
      <c r="O185" s="70">
        <f t="shared" si="4"/>
        <v>0</v>
      </c>
      <c r="P185" s="59" t="str">
        <f t="shared" si="5"/>
        <v/>
      </c>
    </row>
    <row r="186" spans="1:16" ht="15" customHeight="1" outlineLevel="1" x14ac:dyDescent="0.2">
      <c r="A186" s="56" t="str">
        <f>Dim_Reps!A23</f>
        <v>R032</v>
      </c>
      <c r="B186" s="56" t="str">
        <f>Dim_Reps!B23</f>
        <v>Alex Muller</v>
      </c>
      <c r="C186" s="56" t="str">
        <f>Dim_Reps!C23</f>
        <v>SDR / Inside Sales Rep</v>
      </c>
      <c r="D186" s="56" t="str">
        <f>Dim_Reps!D23</f>
        <v>Inside Sales</v>
      </c>
      <c r="E186" s="56" t="str">
        <f>Dim_Reps!E23</f>
        <v>NAMER</v>
      </c>
      <c r="F186" s="56" t="str">
        <f>Dim_Reps!H23</f>
        <v>Active</v>
      </c>
      <c r="G186" s="55">
        <f>SUMIFS(Fact_Quota!$D:$D,Fact_Quota!$A:$A,$A186,Fact_Quota!$B:$B,"&gt;="&amp;$B$154,Fact_Quota!$B:$B,"&lt;="&amp;$B$153)</f>
        <v>185300</v>
      </c>
      <c r="H186" s="55">
        <f>SUMIFS(Fact_Pipeline!$K:$K,Fact_Pipeline!$B:$B,$A186,Fact_Pipeline!$J:$J,"Won",Fact_Pipeline!$I:$I,"&gt;="&amp;$B$154,Fact_Pipeline!$I:$I,"&lt;="&amp;$B$155)</f>
        <v>230600</v>
      </c>
      <c r="I186" s="69">
        <f t="shared" si="1"/>
        <v>1.2444684295736643</v>
      </c>
      <c r="J186" s="56" t="b">
        <f>AND(G186&gt;0,IFERROR(I186&gt;=G6,FALSE()))</f>
        <v>1</v>
      </c>
      <c r="K186" s="55">
        <f t="shared" si="2"/>
        <v>5559</v>
      </c>
      <c r="L186" s="55">
        <f>IF(J186,MAX(0,MIN(H186,I6*G186)-G186)*IFERROR(INDEX($C$158:$C$161,MATCH(C186,$A$158:$A$161,0)),0),0)</f>
        <v>2265</v>
      </c>
      <c r="M186" s="55">
        <f>IF(J186,MAX(0,H186-I6*G186)*IFERROR(INDEX($D$158:$D$161,MATCH(C186,$A$158:$A$161,0)),0),0)</f>
        <v>0</v>
      </c>
      <c r="N186" s="55">
        <f t="shared" si="3"/>
        <v>7824</v>
      </c>
      <c r="O186" s="68">
        <f t="shared" si="4"/>
        <v>3.3928881179531654E-2</v>
      </c>
      <c r="P186" s="56">
        <f t="shared" si="5"/>
        <v>7824.0000185999997</v>
      </c>
    </row>
    <row r="187" spans="1:16" ht="15" customHeight="1" outlineLevel="1" x14ac:dyDescent="0.2">
      <c r="A187" s="59" t="str">
        <f>Dim_Reps!A24</f>
        <v>R033</v>
      </c>
      <c r="B187" s="59" t="str">
        <f>Dim_Reps!B24</f>
        <v>Liam Muller</v>
      </c>
      <c r="C187" s="59" t="str">
        <f>Dim_Reps!C24</f>
        <v>SDR / Inside Sales Rep</v>
      </c>
      <c r="D187" s="59" t="str">
        <f>Dim_Reps!D24</f>
        <v>Inside Sales</v>
      </c>
      <c r="E187" s="59" t="str">
        <f>Dim_Reps!E24</f>
        <v>EMEA</v>
      </c>
      <c r="F187" s="59" t="str">
        <f>Dim_Reps!H24</f>
        <v>Active</v>
      </c>
      <c r="G187" s="58">
        <f>SUMIFS(Fact_Quota!$D:$D,Fact_Quota!$A:$A,$A187,Fact_Quota!$B:$B,"&gt;="&amp;$B$154,Fact_Quota!$B:$B,"&lt;="&amp;$B$153)</f>
        <v>184200</v>
      </c>
      <c r="H187" s="58">
        <f>SUMIFS(Fact_Pipeline!$K:$K,Fact_Pipeline!$B:$B,$A187,Fact_Pipeline!$J:$J,"Won",Fact_Pipeline!$I:$I,"&gt;="&amp;$B$154,Fact_Pipeline!$I:$I,"&lt;="&amp;$B$155)</f>
        <v>203600</v>
      </c>
      <c r="I187" s="71">
        <f t="shared" si="1"/>
        <v>1.1053203040173725</v>
      </c>
      <c r="J187" s="59" t="b">
        <f>AND(G187&gt;0,IFERROR(I187&gt;=G6,FALSE()))</f>
        <v>1</v>
      </c>
      <c r="K187" s="58">
        <f t="shared" si="2"/>
        <v>5526</v>
      </c>
      <c r="L187" s="58">
        <f>IF(J187,MAX(0,MIN(H187,I6*G187)-G187)*IFERROR(INDEX($C$158:$C$161,MATCH(C187,$A$158:$A$161,0)),0),0)</f>
        <v>970</v>
      </c>
      <c r="M187" s="58">
        <f>IF(J187,MAX(0,H187-I6*G187)*IFERROR(INDEX($D$158:$D$161,MATCH(C187,$A$158:$A$161,0)),0),0)</f>
        <v>0</v>
      </c>
      <c r="N187" s="58">
        <f t="shared" si="3"/>
        <v>6496</v>
      </c>
      <c r="O187" s="70">
        <f t="shared" si="4"/>
        <v>3.1905697445972492E-2</v>
      </c>
      <c r="P187" s="59">
        <f t="shared" si="5"/>
        <v>6496.0000186999996</v>
      </c>
    </row>
    <row r="188" spans="1:16" ht="15" customHeight="1" outlineLevel="1" x14ac:dyDescent="0.2">
      <c r="A188" s="56" t="str">
        <f>Dim_Reps!A25</f>
        <v>R037</v>
      </c>
      <c r="B188" s="56" t="str">
        <f>Dim_Reps!B25</f>
        <v>Liam Castro</v>
      </c>
      <c r="C188" s="56" t="str">
        <f>Dim_Reps!C25</f>
        <v>SDR / Inside Sales Rep</v>
      </c>
      <c r="D188" s="56" t="str">
        <f>Dim_Reps!D25</f>
        <v>Inside Sales</v>
      </c>
      <c r="E188" s="56" t="str">
        <f>Dim_Reps!E25</f>
        <v>NAMER</v>
      </c>
      <c r="F188" s="56" t="str">
        <f>Dim_Reps!H25</f>
        <v>Active</v>
      </c>
      <c r="G188" s="55">
        <f>SUMIFS(Fact_Quota!$D:$D,Fact_Quota!$A:$A,$A188,Fact_Quota!$B:$B,"&gt;="&amp;$B$154,Fact_Quota!$B:$B,"&lt;="&amp;$B$153)</f>
        <v>186000</v>
      </c>
      <c r="H188" s="55">
        <f>SUMIFS(Fact_Pipeline!$K:$K,Fact_Pipeline!$B:$B,$A188,Fact_Pipeline!$J:$J,"Won",Fact_Pipeline!$I:$I,"&gt;="&amp;$B$154,Fact_Pipeline!$I:$I,"&lt;="&amp;$B$155)</f>
        <v>189300</v>
      </c>
      <c r="I188" s="69">
        <f t="shared" si="1"/>
        <v>1.017741935483871</v>
      </c>
      <c r="J188" s="56" t="b">
        <f>AND(G188&gt;0,IFERROR(I188&gt;=G6,FALSE()))</f>
        <v>1</v>
      </c>
      <c r="K188" s="55">
        <f t="shared" si="2"/>
        <v>5580</v>
      </c>
      <c r="L188" s="55">
        <f>IF(J188,MAX(0,MIN(H188,I6*G188)-G188)*IFERROR(INDEX($C$158:$C$161,MATCH(C188,$A$158:$A$161,0)),0),0)</f>
        <v>165</v>
      </c>
      <c r="M188" s="55">
        <f>IF(J188,MAX(0,H188-I6*G188)*IFERROR(INDEX($D$158:$D$161,MATCH(C188,$A$158:$A$161,0)),0),0)</f>
        <v>0</v>
      </c>
      <c r="N188" s="55">
        <f t="shared" si="3"/>
        <v>5745</v>
      </c>
      <c r="O188" s="68">
        <f t="shared" si="4"/>
        <v>3.0348652931854198E-2</v>
      </c>
      <c r="P188" s="56">
        <f t="shared" si="5"/>
        <v>5745.0000188000004</v>
      </c>
    </row>
    <row r="189" spans="1:16" ht="15" customHeight="1" outlineLevel="1" x14ac:dyDescent="0.2">
      <c r="A189" s="59" t="str">
        <f>Dim_Reps!A26</f>
        <v>R038</v>
      </c>
      <c r="B189" s="59" t="str">
        <f>Dim_Reps!B26</f>
        <v>Ben Silva</v>
      </c>
      <c r="C189" s="59" t="str">
        <f>Dim_Reps!C26</f>
        <v>SDR / Inside Sales Rep</v>
      </c>
      <c r="D189" s="59" t="str">
        <f>Dim_Reps!D26</f>
        <v>Inside Sales</v>
      </c>
      <c r="E189" s="59" t="str">
        <f>Dim_Reps!E26</f>
        <v>LATAM</v>
      </c>
      <c r="F189" s="59" t="str">
        <f>Dim_Reps!H26</f>
        <v>Active</v>
      </c>
      <c r="G189" s="58">
        <f>SUMIFS(Fact_Quota!$D:$D,Fact_Quota!$A:$A,$A189,Fact_Quota!$B:$B,"&gt;="&amp;$B$154,Fact_Quota!$B:$B,"&lt;="&amp;$B$153)</f>
        <v>186700</v>
      </c>
      <c r="H189" s="58">
        <f>SUMIFS(Fact_Pipeline!$K:$K,Fact_Pipeline!$B:$B,$A189,Fact_Pipeline!$J:$J,"Won",Fact_Pipeline!$I:$I,"&gt;="&amp;$B$154,Fact_Pipeline!$I:$I,"&lt;="&amp;$B$155)</f>
        <v>166200</v>
      </c>
      <c r="I189" s="71">
        <f t="shared" si="1"/>
        <v>0.89019817889662556</v>
      </c>
      <c r="J189" s="59" t="b">
        <f>AND(G189&gt;0,IFERROR(I189&gt;=G6,FALSE()))</f>
        <v>1</v>
      </c>
      <c r="K189" s="58">
        <f t="shared" si="2"/>
        <v>4986</v>
      </c>
      <c r="L189" s="58">
        <f>IF(J189,MAX(0,MIN(H189,I6*G189)-G189)*IFERROR(INDEX($C$158:$C$161,MATCH(C189,$A$158:$A$161,0)),0),0)</f>
        <v>0</v>
      </c>
      <c r="M189" s="58">
        <f>IF(J189,MAX(0,H189-I6*G189)*IFERROR(INDEX($D$158:$D$161,MATCH(C189,$A$158:$A$161,0)),0),0)</f>
        <v>0</v>
      </c>
      <c r="N189" s="58">
        <f t="shared" si="3"/>
        <v>4986</v>
      </c>
      <c r="O189" s="70">
        <f t="shared" si="4"/>
        <v>0.03</v>
      </c>
      <c r="P189" s="59">
        <f t="shared" si="5"/>
        <v>4986.0000189000002</v>
      </c>
    </row>
    <row r="190" spans="1:16" ht="15" customHeight="1" outlineLevel="1" x14ac:dyDescent="0.2">
      <c r="A190" s="56" t="str">
        <f>Dim_Reps!A27</f>
        <v>R041</v>
      </c>
      <c r="B190" s="56" t="str">
        <f>Dim_Reps!B27</f>
        <v>Lucas Duarte</v>
      </c>
      <c r="C190" s="56" t="str">
        <f>Dim_Reps!C27</f>
        <v>SDR / Inside Sales Rep</v>
      </c>
      <c r="D190" s="56" t="str">
        <f>Dim_Reps!D27</f>
        <v>Inside Sales</v>
      </c>
      <c r="E190" s="56" t="str">
        <f>Dim_Reps!E27</f>
        <v>LATAM</v>
      </c>
      <c r="F190" s="56" t="str">
        <f>Dim_Reps!H27</f>
        <v>Active</v>
      </c>
      <c r="G190" s="55">
        <f>SUMIFS(Fact_Quota!$D:$D,Fact_Quota!$A:$A,$A190,Fact_Quota!$B:$B,"&gt;="&amp;$B$154,Fact_Quota!$B:$B,"&lt;="&amp;$B$153)</f>
        <v>185800</v>
      </c>
      <c r="H190" s="55">
        <f>SUMIFS(Fact_Pipeline!$K:$K,Fact_Pipeline!$B:$B,$A190,Fact_Pipeline!$J:$J,"Won",Fact_Pipeline!$I:$I,"&gt;="&amp;$B$154,Fact_Pipeline!$I:$I,"&lt;="&amp;$B$155)</f>
        <v>236300</v>
      </c>
      <c r="I190" s="69">
        <f t="shared" si="1"/>
        <v>1.2717976318622175</v>
      </c>
      <c r="J190" s="56" t="b">
        <f>AND(G190&gt;0,IFERROR(I190&gt;=G6,FALSE()))</f>
        <v>1</v>
      </c>
      <c r="K190" s="55">
        <f t="shared" si="2"/>
        <v>5574</v>
      </c>
      <c r="L190" s="55">
        <f>IF(J190,MAX(0,MIN(H190,I6*G190)-G190)*IFERROR(INDEX($C$158:$C$161,MATCH(C190,$A$158:$A$161,0)),0),0)</f>
        <v>2525</v>
      </c>
      <c r="M190" s="55">
        <f>IF(J190,MAX(0,H190-I6*G190)*IFERROR(INDEX($D$158:$D$161,MATCH(C190,$A$158:$A$161,0)),0),0)</f>
        <v>0</v>
      </c>
      <c r="N190" s="55">
        <f t="shared" si="3"/>
        <v>8099</v>
      </c>
      <c r="O190" s="68">
        <f t="shared" si="4"/>
        <v>3.4274227676682187E-2</v>
      </c>
      <c r="P190" s="56">
        <f t="shared" si="5"/>
        <v>8099.0000190000001</v>
      </c>
    </row>
    <row r="191" spans="1:16" ht="15" customHeight="1" outlineLevel="1" x14ac:dyDescent="0.2">
      <c r="A191" s="59" t="str">
        <f>Dim_Reps!A28</f>
        <v>R043</v>
      </c>
      <c r="B191" s="59" t="str">
        <f>Dim_Reps!B28</f>
        <v>Milo Castro</v>
      </c>
      <c r="C191" s="59" t="str">
        <f>Dim_Reps!C28</f>
        <v>SDR / Inside Sales Rep</v>
      </c>
      <c r="D191" s="59" t="str">
        <f>Dim_Reps!D28</f>
        <v>Inside Sales</v>
      </c>
      <c r="E191" s="59" t="str">
        <f>Dim_Reps!E28</f>
        <v>LATAM</v>
      </c>
      <c r="F191" s="59" t="str">
        <f>Dim_Reps!H28</f>
        <v>Active</v>
      </c>
      <c r="G191" s="58">
        <f>SUMIFS(Fact_Quota!$D:$D,Fact_Quota!$A:$A,$A191,Fact_Quota!$B:$B,"&gt;="&amp;$B$154,Fact_Quota!$B:$B,"&lt;="&amp;$B$153)</f>
        <v>185800</v>
      </c>
      <c r="H191" s="58">
        <f>SUMIFS(Fact_Pipeline!$K:$K,Fact_Pipeline!$B:$B,$A191,Fact_Pipeline!$J:$J,"Won",Fact_Pipeline!$I:$I,"&gt;="&amp;$B$154,Fact_Pipeline!$I:$I,"&lt;="&amp;$B$155)</f>
        <v>212800</v>
      </c>
      <c r="I191" s="71">
        <f t="shared" si="1"/>
        <v>1.1453175457481162</v>
      </c>
      <c r="J191" s="59" t="b">
        <f>AND(G191&gt;0,IFERROR(I191&gt;=G6,FALSE()))</f>
        <v>1</v>
      </c>
      <c r="K191" s="58">
        <f t="shared" si="2"/>
        <v>5574</v>
      </c>
      <c r="L191" s="58">
        <f>IF(J191,MAX(0,MIN(H191,I6*G191)-G191)*IFERROR(INDEX($C$158:$C$161,MATCH(C191,$A$158:$A$161,0)),0),0)</f>
        <v>1350</v>
      </c>
      <c r="M191" s="58">
        <f>IF(J191,MAX(0,H191-I6*G191)*IFERROR(INDEX($D$158:$D$161,MATCH(C191,$A$158:$A$161,0)),0),0)</f>
        <v>0</v>
      </c>
      <c r="N191" s="58">
        <f t="shared" si="3"/>
        <v>6924</v>
      </c>
      <c r="O191" s="70">
        <f t="shared" si="4"/>
        <v>3.2537593984962407E-2</v>
      </c>
      <c r="P191" s="59">
        <f t="shared" si="5"/>
        <v>6924.0000190999999</v>
      </c>
    </row>
    <row r="192" spans="1:16" ht="15" customHeight="1" outlineLevel="1" x14ac:dyDescent="0.2">
      <c r="A192" s="56" t="str">
        <f>Dim_Reps!A29</f>
        <v>R045</v>
      </c>
      <c r="B192" s="56" t="str">
        <f>Dim_Reps!B29</f>
        <v>Hugo Santos</v>
      </c>
      <c r="C192" s="56" t="str">
        <f>Dim_Reps!C29</f>
        <v>SDR / Inside Sales Rep</v>
      </c>
      <c r="D192" s="56" t="str">
        <f>Dim_Reps!D29</f>
        <v>Inside Sales</v>
      </c>
      <c r="E192" s="56" t="str">
        <f>Dim_Reps!E29</f>
        <v>EMEA</v>
      </c>
      <c r="F192" s="56" t="str">
        <f>Dim_Reps!H29</f>
        <v>Active</v>
      </c>
      <c r="G192" s="55">
        <f>SUMIFS(Fact_Quota!$D:$D,Fact_Quota!$A:$A,$A192,Fact_Quota!$B:$B,"&gt;="&amp;$B$154,Fact_Quota!$B:$B,"&lt;="&amp;$B$153)</f>
        <v>187100</v>
      </c>
      <c r="H192" s="55">
        <f>SUMIFS(Fact_Pipeline!$K:$K,Fact_Pipeline!$B:$B,$A192,Fact_Pipeline!$J:$J,"Won",Fact_Pipeline!$I:$I,"&gt;="&amp;$B$154,Fact_Pipeline!$I:$I,"&lt;="&amp;$B$155)</f>
        <v>147000</v>
      </c>
      <c r="I192" s="69">
        <f t="shared" si="1"/>
        <v>0.78567610903260288</v>
      </c>
      <c r="J192" s="56" t="b">
        <f>AND(G192&gt;0,IFERROR(I192&gt;=G6,FALSE()))</f>
        <v>1</v>
      </c>
      <c r="K192" s="55">
        <f t="shared" si="2"/>
        <v>4410</v>
      </c>
      <c r="L192" s="55">
        <f>IF(J192,MAX(0,MIN(H192,I6*G192)-G192)*IFERROR(INDEX($C$158:$C$161,MATCH(C192,$A$158:$A$161,0)),0),0)</f>
        <v>0</v>
      </c>
      <c r="M192" s="55">
        <f>IF(J192,MAX(0,H192-I6*G192)*IFERROR(INDEX($D$158:$D$161,MATCH(C192,$A$158:$A$161,0)),0),0)</f>
        <v>0</v>
      </c>
      <c r="N192" s="55">
        <f t="shared" si="3"/>
        <v>4410</v>
      </c>
      <c r="O192" s="68">
        <f t="shared" si="4"/>
        <v>0.03</v>
      </c>
      <c r="P192" s="56">
        <f t="shared" si="5"/>
        <v>4410.0000191999998</v>
      </c>
    </row>
    <row r="193" spans="1:16" ht="15" customHeight="1" outlineLevel="1" x14ac:dyDescent="0.2">
      <c r="A193" s="59" t="str">
        <f>Dim_Reps!A30</f>
        <v>R047</v>
      </c>
      <c r="B193" s="59" t="str">
        <f>Dim_Reps!B30</f>
        <v>Noah Adler</v>
      </c>
      <c r="C193" s="59" t="str">
        <f>Dim_Reps!C30</f>
        <v>SDR / Inside Sales Rep</v>
      </c>
      <c r="D193" s="59" t="str">
        <f>Dim_Reps!D30</f>
        <v>Inside Sales</v>
      </c>
      <c r="E193" s="59" t="str">
        <f>Dim_Reps!E30</f>
        <v>NAMER</v>
      </c>
      <c r="F193" s="59" t="str">
        <f>Dim_Reps!H30</f>
        <v>Active</v>
      </c>
      <c r="G193" s="58">
        <f>SUMIFS(Fact_Quota!$D:$D,Fact_Quota!$A:$A,$A193,Fact_Quota!$B:$B,"&gt;="&amp;$B$154,Fact_Quota!$B:$B,"&lt;="&amp;$B$153)</f>
        <v>4000</v>
      </c>
      <c r="H193" s="58">
        <f>SUMIFS(Fact_Pipeline!$K:$K,Fact_Pipeline!$B:$B,$A193,Fact_Pipeline!$J:$J,"Won",Fact_Pipeline!$I:$I,"&gt;="&amp;$B$154,Fact_Pipeline!$I:$I,"&lt;="&amp;$B$155)</f>
        <v>3100</v>
      </c>
      <c r="I193" s="71">
        <f t="shared" si="1"/>
        <v>0.77500000000000002</v>
      </c>
      <c r="J193" s="59" t="b">
        <f>AND(G193&gt;0,IFERROR(I193&gt;=G6,FALSE()))</f>
        <v>1</v>
      </c>
      <c r="K193" s="58">
        <f t="shared" si="2"/>
        <v>93</v>
      </c>
      <c r="L193" s="58">
        <f>IF(J193,MAX(0,MIN(H193,I6*G193)-G193)*IFERROR(INDEX($C$158:$C$161,MATCH(C193,$A$158:$A$161,0)),0),0)</f>
        <v>0</v>
      </c>
      <c r="M193" s="58">
        <f>IF(J193,MAX(0,H193-I6*G193)*IFERROR(INDEX($D$158:$D$161,MATCH(C193,$A$158:$A$161,0)),0),0)</f>
        <v>0</v>
      </c>
      <c r="N193" s="58">
        <f t="shared" si="3"/>
        <v>93</v>
      </c>
      <c r="O193" s="70">
        <f t="shared" si="4"/>
        <v>0.03</v>
      </c>
      <c r="P193" s="59">
        <f t="shared" si="5"/>
        <v>93.000019300000005</v>
      </c>
    </row>
    <row r="194" spans="1:16" ht="15" customHeight="1" outlineLevel="1" x14ac:dyDescent="0.2">
      <c r="A194" s="56" t="str">
        <f>Dim_Reps!A31</f>
        <v>R050</v>
      </c>
      <c r="B194" s="56" t="str">
        <f>Dim_Reps!B31</f>
        <v>Kenji Weber</v>
      </c>
      <c r="C194" s="56" t="str">
        <f>Dim_Reps!C31</f>
        <v>SDR / Inside Sales Rep</v>
      </c>
      <c r="D194" s="56" t="str">
        <f>Dim_Reps!D31</f>
        <v>Inside Sales</v>
      </c>
      <c r="E194" s="56" t="str">
        <f>Dim_Reps!E31</f>
        <v>APAC</v>
      </c>
      <c r="F194" s="56" t="str">
        <f>Dim_Reps!H31</f>
        <v>Active</v>
      </c>
      <c r="G194" s="55">
        <f>SUMIFS(Fact_Quota!$D:$D,Fact_Quota!$A:$A,$A194,Fact_Quota!$B:$B,"&gt;="&amp;$B$154,Fact_Quota!$B:$B,"&lt;="&amp;$B$153)</f>
        <v>185100</v>
      </c>
      <c r="H194" s="55">
        <f>SUMIFS(Fact_Pipeline!$K:$K,Fact_Pipeline!$B:$B,$A194,Fact_Pipeline!$J:$J,"Won",Fact_Pipeline!$I:$I,"&gt;="&amp;$B$154,Fact_Pipeline!$I:$I,"&lt;="&amp;$B$155)</f>
        <v>216500</v>
      </c>
      <c r="I194" s="69">
        <f t="shared" si="1"/>
        <v>1.169638033495408</v>
      </c>
      <c r="J194" s="56" t="b">
        <f>AND(G194&gt;0,IFERROR(I194&gt;=G6,FALSE()))</f>
        <v>1</v>
      </c>
      <c r="K194" s="55">
        <f t="shared" si="2"/>
        <v>5553</v>
      </c>
      <c r="L194" s="55">
        <f>IF(J194,MAX(0,MIN(H194,I6*G194)-G194)*IFERROR(INDEX($C$158:$C$161,MATCH(C194,$A$158:$A$161,0)),0),0)</f>
        <v>1570</v>
      </c>
      <c r="M194" s="55">
        <f>IF(J194,MAX(0,H194-I6*G194)*IFERROR(INDEX($D$158:$D$161,MATCH(C194,$A$158:$A$161,0)),0),0)</f>
        <v>0</v>
      </c>
      <c r="N194" s="55">
        <f t="shared" si="3"/>
        <v>7123</v>
      </c>
      <c r="O194" s="68">
        <f t="shared" si="4"/>
        <v>3.2900692840646652E-2</v>
      </c>
      <c r="P194" s="56">
        <f t="shared" si="5"/>
        <v>7123.0000194000004</v>
      </c>
    </row>
    <row r="195" spans="1:16" ht="15" customHeight="1" outlineLevel="1" x14ac:dyDescent="0.2">
      <c r="A195" s="59" t="str">
        <f>Dim_Reps!A32</f>
        <v>R004</v>
      </c>
      <c r="B195" s="59" t="str">
        <f>Dim_Reps!B32</f>
        <v>Jonas Sato</v>
      </c>
      <c r="C195" s="59" t="str">
        <f>Dim_Reps!C32</f>
        <v>Mid-Market AE</v>
      </c>
      <c r="D195" s="59" t="str">
        <f>Dim_Reps!D32</f>
        <v>Mid-Market</v>
      </c>
      <c r="E195" s="59" t="str">
        <f>Dim_Reps!E32</f>
        <v>LATAM</v>
      </c>
      <c r="F195" s="59" t="str">
        <f>Dim_Reps!H32</f>
        <v>Active</v>
      </c>
      <c r="G195" s="58">
        <f>SUMIFS(Fact_Quota!$D:$D,Fact_Quota!$A:$A,$A195,Fact_Quota!$B:$B,"&gt;="&amp;$B$154,Fact_Quota!$B:$B,"&lt;="&amp;$B$153)</f>
        <v>262900</v>
      </c>
      <c r="H195" s="58">
        <f>SUMIFS(Fact_Pipeline!$K:$K,Fact_Pipeline!$B:$B,$A195,Fact_Pipeline!$J:$J,"Won",Fact_Pipeline!$I:$I,"&gt;="&amp;$B$154,Fact_Pipeline!$I:$I,"&lt;="&amp;$B$155)</f>
        <v>271800</v>
      </c>
      <c r="I195" s="71">
        <f t="shared" si="1"/>
        <v>1.0338531761125904</v>
      </c>
      <c r="J195" s="59" t="b">
        <f>AND(G195&gt;0,IFERROR(I195&gt;=G6,FALSE()))</f>
        <v>1</v>
      </c>
      <c r="K195" s="58">
        <f t="shared" si="2"/>
        <v>13145</v>
      </c>
      <c r="L195" s="58">
        <f>IF(J195,MAX(0,MIN(H195,I6*G195)-G195)*IFERROR(INDEX($C$158:$C$161,MATCH(C195,$A$158:$A$161,0)),0),0)</f>
        <v>712</v>
      </c>
      <c r="M195" s="58">
        <f>IF(J195,MAX(0,H195-I6*G195)*IFERROR(INDEX($D$158:$D$161,MATCH(C195,$A$158:$A$161,0)),0),0)</f>
        <v>0</v>
      </c>
      <c r="N195" s="58">
        <f t="shared" si="3"/>
        <v>13857</v>
      </c>
      <c r="O195" s="70">
        <f t="shared" si="4"/>
        <v>5.0982339955849887E-2</v>
      </c>
      <c r="P195" s="59">
        <f t="shared" si="5"/>
        <v>13857.000019499999</v>
      </c>
    </row>
    <row r="196" spans="1:16" ht="15" customHeight="1" outlineLevel="1" x14ac:dyDescent="0.2">
      <c r="A196" s="56" t="str">
        <f>Dim_Reps!A33</f>
        <v>R009</v>
      </c>
      <c r="B196" s="56" t="str">
        <f>Dim_Reps!B33</f>
        <v>Karim Rivera</v>
      </c>
      <c r="C196" s="56" t="str">
        <f>Dim_Reps!C33</f>
        <v>Mid-Market AE</v>
      </c>
      <c r="D196" s="56" t="str">
        <f>Dim_Reps!D33</f>
        <v>Mid-Market</v>
      </c>
      <c r="E196" s="56" t="str">
        <f>Dim_Reps!E33</f>
        <v>APAC</v>
      </c>
      <c r="F196" s="56" t="str">
        <f>Dim_Reps!H33</f>
        <v>Active</v>
      </c>
      <c r="G196" s="55">
        <f>SUMIFS(Fact_Quota!$D:$D,Fact_Quota!$A:$A,$A196,Fact_Quota!$B:$B,"&gt;="&amp;$B$154,Fact_Quota!$B:$B,"&lt;="&amp;$B$153)</f>
        <v>55600</v>
      </c>
      <c r="H196" s="55">
        <f>SUMIFS(Fact_Pipeline!$K:$K,Fact_Pipeline!$B:$B,$A196,Fact_Pipeline!$J:$J,"Won",Fact_Pipeline!$I:$I,"&gt;="&amp;$B$154,Fact_Pipeline!$I:$I,"&lt;="&amp;$B$155)</f>
        <v>0</v>
      </c>
      <c r="I196" s="69">
        <f t="shared" si="1"/>
        <v>0</v>
      </c>
      <c r="J196" s="56" t="b">
        <f>AND(G196&gt;0,IFERROR(I196&gt;=G6,FALSE()))</f>
        <v>0</v>
      </c>
      <c r="K196" s="55">
        <f t="shared" si="2"/>
        <v>0</v>
      </c>
      <c r="L196" s="55">
        <f>IF(J196,MAX(0,MIN(H196,I6*G196)-G196)*IFERROR(INDEX($C$158:$C$161,MATCH(C196,$A$158:$A$161,0)),0),0)</f>
        <v>0</v>
      </c>
      <c r="M196" s="55">
        <f>IF(J196,MAX(0,H196-I6*G196)*IFERROR(INDEX($D$158:$D$161,MATCH(C196,$A$158:$A$161,0)),0),0)</f>
        <v>0</v>
      </c>
      <c r="N196" s="55">
        <f t="shared" si="3"/>
        <v>0</v>
      </c>
      <c r="O196" s="68" t="str">
        <f t="shared" si="4"/>
        <v/>
      </c>
      <c r="P196" s="56">
        <f t="shared" si="5"/>
        <v>1.9599999999999999E-5</v>
      </c>
    </row>
    <row r="197" spans="1:16" ht="15" customHeight="1" outlineLevel="1" x14ac:dyDescent="0.2">
      <c r="A197" s="59" t="str">
        <f>Dim_Reps!A34</f>
        <v>R018</v>
      </c>
      <c r="B197" s="59" t="str">
        <f>Dim_Reps!B34</f>
        <v>Ana Sato</v>
      </c>
      <c r="C197" s="59" t="str">
        <f>Dim_Reps!C34</f>
        <v>Mid-Market AE</v>
      </c>
      <c r="D197" s="59" t="str">
        <f>Dim_Reps!D34</f>
        <v>Mid-Market</v>
      </c>
      <c r="E197" s="59" t="str">
        <f>Dim_Reps!E34</f>
        <v>APAC</v>
      </c>
      <c r="F197" s="59" t="str">
        <f>Dim_Reps!H34</f>
        <v>Active</v>
      </c>
      <c r="G197" s="58">
        <f>SUMIFS(Fact_Quota!$D:$D,Fact_Quota!$A:$A,$A197,Fact_Quota!$B:$B,"&gt;="&amp;$B$154,Fact_Quota!$B:$B,"&lt;="&amp;$B$153)</f>
        <v>32300</v>
      </c>
      <c r="H197" s="58">
        <f>SUMIFS(Fact_Pipeline!$K:$K,Fact_Pipeline!$B:$B,$A197,Fact_Pipeline!$J:$J,"Won",Fact_Pipeline!$I:$I,"&gt;="&amp;$B$154,Fact_Pipeline!$I:$I,"&lt;="&amp;$B$155)</f>
        <v>37000</v>
      </c>
      <c r="I197" s="71">
        <f t="shared" ref="I197:I228" si="6">IFERROR(H197/G197,"")</f>
        <v>1.1455108359133126</v>
      </c>
      <c r="J197" s="59" t="b">
        <f>AND(G197&gt;0,IFERROR(I197&gt;=G6,FALSE()))</f>
        <v>1</v>
      </c>
      <c r="K197" s="58">
        <f t="shared" ref="K197:K228" si="7">IF(J197,MIN(H197,G197)*IFERROR(INDEX($B$158:$B$161,MATCH(C197,$A$158:$A$161,0)),0),0)</f>
        <v>1615</v>
      </c>
      <c r="L197" s="58">
        <f>IF(J197,MAX(0,MIN(H197,I6*G197)-G197)*IFERROR(INDEX($C$158:$C$161,MATCH(C197,$A$158:$A$161,0)),0),0)</f>
        <v>376</v>
      </c>
      <c r="M197" s="58">
        <f>IF(J197,MAX(0,H197-I6*G197)*IFERROR(INDEX($D$158:$D$161,MATCH(C197,$A$158:$A$161,0)),0),0)</f>
        <v>0</v>
      </c>
      <c r="N197" s="58">
        <f t="shared" ref="N197:N228" si="8">K197+L197+M197</f>
        <v>1991</v>
      </c>
      <c r="O197" s="70">
        <f t="shared" ref="O197:O228" si="9">IFERROR(N197/H197,"")</f>
        <v>5.3810810810810808E-2</v>
      </c>
      <c r="P197" s="59">
        <f t="shared" ref="P197:P214" si="10">IF(F197="Active",N197+(ROW()/10000000),"")</f>
        <v>1991.0000196999999</v>
      </c>
    </row>
    <row r="198" spans="1:16" ht="15" customHeight="1" outlineLevel="1" x14ac:dyDescent="0.2">
      <c r="A198" s="56" t="str">
        <f>Dim_Reps!A35</f>
        <v>R019</v>
      </c>
      <c r="B198" s="56" t="str">
        <f>Dim_Reps!B35</f>
        <v>Chloe Petrov</v>
      </c>
      <c r="C198" s="56" t="str">
        <f>Dim_Reps!C35</f>
        <v>Mid-Market AE</v>
      </c>
      <c r="D198" s="56" t="str">
        <f>Dim_Reps!D35</f>
        <v>Mid-Market</v>
      </c>
      <c r="E198" s="56" t="str">
        <f>Dim_Reps!E35</f>
        <v>EMEA</v>
      </c>
      <c r="F198" s="56" t="str">
        <f>Dim_Reps!H35</f>
        <v>Departed</v>
      </c>
      <c r="G198" s="55">
        <f>SUMIFS(Fact_Quota!$D:$D,Fact_Quota!$A:$A,$A198,Fact_Quota!$B:$B,"&gt;="&amp;$B$154,Fact_Quota!$B:$B,"&lt;="&amp;$B$153)</f>
        <v>0</v>
      </c>
      <c r="H198" s="55">
        <f>SUMIFS(Fact_Pipeline!$K:$K,Fact_Pipeline!$B:$B,$A198,Fact_Pipeline!$J:$J,"Won",Fact_Pipeline!$I:$I,"&gt;="&amp;$B$154,Fact_Pipeline!$I:$I,"&lt;="&amp;$B$155)</f>
        <v>0</v>
      </c>
      <c r="I198" s="69" t="str">
        <f t="shared" si="6"/>
        <v/>
      </c>
      <c r="J198" s="56" t="b">
        <f>AND(G198&gt;0,IFERROR(I198&gt;=G6,FALSE()))</f>
        <v>0</v>
      </c>
      <c r="K198" s="55">
        <f t="shared" si="7"/>
        <v>0</v>
      </c>
      <c r="L198" s="55">
        <f>IF(J198,MAX(0,MIN(H198,I6*G198)-G198)*IFERROR(INDEX($C$158:$C$161,MATCH(C198,$A$158:$A$161,0)),0),0)</f>
        <v>0</v>
      </c>
      <c r="M198" s="55">
        <f>IF(J198,MAX(0,H198-I6*G198)*IFERROR(INDEX($D$158:$D$161,MATCH(C198,$A$158:$A$161,0)),0),0)</f>
        <v>0</v>
      </c>
      <c r="N198" s="55">
        <f t="shared" si="8"/>
        <v>0</v>
      </c>
      <c r="O198" s="68" t="str">
        <f t="shared" si="9"/>
        <v/>
      </c>
      <c r="P198" s="56" t="str">
        <f t="shared" si="10"/>
        <v/>
      </c>
    </row>
    <row r="199" spans="1:16" ht="15" customHeight="1" outlineLevel="1" x14ac:dyDescent="0.2">
      <c r="A199" s="59" t="str">
        <f>Dim_Reps!A36</f>
        <v>R021</v>
      </c>
      <c r="B199" s="59" t="str">
        <f>Dim_Reps!B36</f>
        <v>Rafael Weber</v>
      </c>
      <c r="C199" s="59" t="str">
        <f>Dim_Reps!C36</f>
        <v>Mid-Market AE</v>
      </c>
      <c r="D199" s="59" t="str">
        <f>Dim_Reps!D36</f>
        <v>Mid-Market</v>
      </c>
      <c r="E199" s="59" t="str">
        <f>Dim_Reps!E36</f>
        <v>APAC</v>
      </c>
      <c r="F199" s="59" t="str">
        <f>Dim_Reps!H36</f>
        <v>Active</v>
      </c>
      <c r="G199" s="58">
        <f>SUMIFS(Fact_Quota!$D:$D,Fact_Quota!$A:$A,$A199,Fact_Quota!$B:$B,"&gt;="&amp;$B$154,Fact_Quota!$B:$B,"&lt;="&amp;$B$153)</f>
        <v>78700</v>
      </c>
      <c r="H199" s="58">
        <f>SUMIFS(Fact_Pipeline!$K:$K,Fact_Pipeline!$B:$B,$A199,Fact_Pipeline!$J:$J,"Won",Fact_Pipeline!$I:$I,"&gt;="&amp;$B$154,Fact_Pipeline!$I:$I,"&lt;="&amp;$B$155)</f>
        <v>28000</v>
      </c>
      <c r="I199" s="71">
        <f t="shared" si="6"/>
        <v>0.35578144853875476</v>
      </c>
      <c r="J199" s="59" t="b">
        <f>AND(G199&gt;0,IFERROR(I199&gt;=G6,FALSE()))</f>
        <v>0</v>
      </c>
      <c r="K199" s="58">
        <f t="shared" si="7"/>
        <v>0</v>
      </c>
      <c r="L199" s="58">
        <f>IF(J199,MAX(0,MIN(H199,I6*G199)-G199)*IFERROR(INDEX($C$158:$C$161,MATCH(C199,$A$158:$A$161,0)),0),0)</f>
        <v>0</v>
      </c>
      <c r="M199" s="58">
        <f>IF(J199,MAX(0,H199-I6*G199)*IFERROR(INDEX($D$158:$D$161,MATCH(C199,$A$158:$A$161,0)),0),0)</f>
        <v>0</v>
      </c>
      <c r="N199" s="58">
        <f t="shared" si="8"/>
        <v>0</v>
      </c>
      <c r="O199" s="70">
        <f t="shared" si="9"/>
        <v>0</v>
      </c>
      <c r="P199" s="59">
        <f t="shared" si="10"/>
        <v>1.9899999999999999E-5</v>
      </c>
    </row>
    <row r="200" spans="1:16" ht="15" customHeight="1" outlineLevel="1" x14ac:dyDescent="0.2">
      <c r="A200" s="56" t="str">
        <f>Dim_Reps!A37</f>
        <v>R025</v>
      </c>
      <c r="B200" s="56" t="str">
        <f>Dim_Reps!B37</f>
        <v>Erik Kim</v>
      </c>
      <c r="C200" s="56" t="str">
        <f>Dim_Reps!C37</f>
        <v>Mid-Market AE</v>
      </c>
      <c r="D200" s="56" t="str">
        <f>Dim_Reps!D37</f>
        <v>Mid-Market</v>
      </c>
      <c r="E200" s="56" t="str">
        <f>Dim_Reps!E37</f>
        <v>NAMER</v>
      </c>
      <c r="F200" s="56" t="str">
        <f>Dim_Reps!H37</f>
        <v>Active</v>
      </c>
      <c r="G200" s="55">
        <f>SUMIFS(Fact_Quota!$D:$D,Fact_Quota!$A:$A,$A200,Fact_Quota!$B:$B,"&gt;="&amp;$B$154,Fact_Quota!$B:$B,"&lt;="&amp;$B$153)</f>
        <v>15600</v>
      </c>
      <c r="H200" s="55">
        <f>SUMIFS(Fact_Pipeline!$K:$K,Fact_Pipeline!$B:$B,$A200,Fact_Pipeline!$J:$J,"Won",Fact_Pipeline!$I:$I,"&gt;="&amp;$B$154,Fact_Pipeline!$I:$I,"&lt;="&amp;$B$155)</f>
        <v>0</v>
      </c>
      <c r="I200" s="69">
        <f t="shared" si="6"/>
        <v>0</v>
      </c>
      <c r="J200" s="56" t="b">
        <f>AND(G200&gt;0,IFERROR(I200&gt;=G6,FALSE()))</f>
        <v>0</v>
      </c>
      <c r="K200" s="55">
        <f t="shared" si="7"/>
        <v>0</v>
      </c>
      <c r="L200" s="55">
        <f>IF(J200,MAX(0,MIN(H200,I6*G200)-G200)*IFERROR(INDEX($C$158:$C$161,MATCH(C200,$A$158:$A$161,0)),0),0)</f>
        <v>0</v>
      </c>
      <c r="M200" s="55">
        <f>IF(J200,MAX(0,H200-I6*G200)*IFERROR(INDEX($D$158:$D$161,MATCH(C200,$A$158:$A$161,0)),0),0)</f>
        <v>0</v>
      </c>
      <c r="N200" s="55">
        <f t="shared" si="8"/>
        <v>0</v>
      </c>
      <c r="O200" s="68" t="str">
        <f t="shared" si="9"/>
        <v/>
      </c>
      <c r="P200" s="56">
        <f t="shared" si="10"/>
        <v>2.0000000000000002E-5</v>
      </c>
    </row>
    <row r="201" spans="1:16" ht="15" customHeight="1" outlineLevel="1" x14ac:dyDescent="0.2">
      <c r="A201" s="59" t="str">
        <f>Dim_Reps!A38</f>
        <v>R028</v>
      </c>
      <c r="B201" s="59" t="str">
        <f>Dim_Reps!B38</f>
        <v>Ana Kim</v>
      </c>
      <c r="C201" s="59" t="str">
        <f>Dim_Reps!C38</f>
        <v>Mid-Market AE</v>
      </c>
      <c r="D201" s="59" t="str">
        <f>Dim_Reps!D38</f>
        <v>Mid-Market</v>
      </c>
      <c r="E201" s="59" t="str">
        <f>Dim_Reps!E38</f>
        <v>APAC</v>
      </c>
      <c r="F201" s="59" t="str">
        <f>Dim_Reps!H38</f>
        <v>Active</v>
      </c>
      <c r="G201" s="58">
        <f>SUMIFS(Fact_Quota!$D:$D,Fact_Quota!$A:$A,$A201,Fact_Quota!$B:$B,"&gt;="&amp;$B$154,Fact_Quota!$B:$B,"&lt;="&amp;$B$153)</f>
        <v>117900</v>
      </c>
      <c r="H201" s="58">
        <f>SUMIFS(Fact_Pipeline!$K:$K,Fact_Pipeline!$B:$B,$A201,Fact_Pipeline!$J:$J,"Won",Fact_Pipeline!$I:$I,"&gt;="&amp;$B$154,Fact_Pipeline!$I:$I,"&lt;="&amp;$B$155)</f>
        <v>78500</v>
      </c>
      <c r="I201" s="71">
        <f t="shared" si="6"/>
        <v>0.66581849024597117</v>
      </c>
      <c r="J201" s="59" t="b">
        <f>AND(G201&gt;0,IFERROR(I201&gt;=G6,FALSE()))</f>
        <v>1</v>
      </c>
      <c r="K201" s="58">
        <f t="shared" si="7"/>
        <v>3925</v>
      </c>
      <c r="L201" s="58">
        <f>IF(J201,MAX(0,MIN(H201,I6*G201)-G201)*IFERROR(INDEX($C$158:$C$161,MATCH(C201,$A$158:$A$161,0)),0),0)</f>
        <v>0</v>
      </c>
      <c r="M201" s="58">
        <f>IF(J201,MAX(0,H201-I6*G201)*IFERROR(INDEX($D$158:$D$161,MATCH(C201,$A$158:$A$161,0)),0),0)</f>
        <v>0</v>
      </c>
      <c r="N201" s="58">
        <f t="shared" si="8"/>
        <v>3925</v>
      </c>
      <c r="O201" s="70">
        <f t="shared" si="9"/>
        <v>0.05</v>
      </c>
      <c r="P201" s="59">
        <f t="shared" si="10"/>
        <v>3925.0000200999998</v>
      </c>
    </row>
    <row r="202" spans="1:16" ht="15" customHeight="1" outlineLevel="1" x14ac:dyDescent="0.2">
      <c r="A202" s="56" t="str">
        <f>Dim_Reps!A39</f>
        <v>R029</v>
      </c>
      <c r="B202" s="56" t="str">
        <f>Dim_Reps!B39</f>
        <v>Felix Okafor</v>
      </c>
      <c r="C202" s="56" t="str">
        <f>Dim_Reps!C39</f>
        <v>Mid-Market AE</v>
      </c>
      <c r="D202" s="56" t="str">
        <f>Dim_Reps!D39</f>
        <v>Mid-Market</v>
      </c>
      <c r="E202" s="56" t="str">
        <f>Dim_Reps!E39</f>
        <v>EMEA</v>
      </c>
      <c r="F202" s="56" t="str">
        <f>Dim_Reps!H39</f>
        <v>Active</v>
      </c>
      <c r="G202" s="55">
        <f>SUMIFS(Fact_Quota!$D:$D,Fact_Quota!$A:$A,$A202,Fact_Quota!$B:$B,"&gt;="&amp;$B$154,Fact_Quota!$B:$B,"&lt;="&amp;$B$153)</f>
        <v>263400</v>
      </c>
      <c r="H202" s="55">
        <f>SUMIFS(Fact_Pipeline!$K:$K,Fact_Pipeline!$B:$B,$A202,Fact_Pipeline!$J:$J,"Won",Fact_Pipeline!$I:$I,"&gt;="&amp;$B$154,Fact_Pipeline!$I:$I,"&lt;="&amp;$B$155)</f>
        <v>354500</v>
      </c>
      <c r="I202" s="69">
        <f t="shared" si="6"/>
        <v>1.3458618071374335</v>
      </c>
      <c r="J202" s="56" t="b">
        <f>AND(G202&gt;0,IFERROR(I202&gt;=G6,FALSE()))</f>
        <v>1</v>
      </c>
      <c r="K202" s="55">
        <f t="shared" si="7"/>
        <v>13170</v>
      </c>
      <c r="L202" s="55">
        <f>IF(J202,MAX(0,MIN(H202,I6*G202)-G202)*IFERROR(INDEX($C$158:$C$161,MATCH(C202,$A$158:$A$161,0)),0),0)</f>
        <v>7288</v>
      </c>
      <c r="M202" s="55">
        <f>IF(J202,MAX(0,H202-I6*G202)*IFERROR(INDEX($D$158:$D$161,MATCH(C202,$A$158:$A$161,0)),0),0)</f>
        <v>0</v>
      </c>
      <c r="N202" s="55">
        <f t="shared" si="8"/>
        <v>20458</v>
      </c>
      <c r="O202" s="68">
        <f t="shared" si="9"/>
        <v>5.7709449929478136E-2</v>
      </c>
      <c r="P202" s="56">
        <f t="shared" si="10"/>
        <v>20458.000020200001</v>
      </c>
    </row>
    <row r="203" spans="1:16" ht="15" customHeight="1" outlineLevel="1" x14ac:dyDescent="0.2">
      <c r="A203" s="59" t="str">
        <f>Dim_Reps!A40</f>
        <v>R031</v>
      </c>
      <c r="B203" s="59" t="str">
        <f>Dim_Reps!B40</f>
        <v>Morgan Larsen</v>
      </c>
      <c r="C203" s="59" t="str">
        <f>Dim_Reps!C40</f>
        <v>Mid-Market AE</v>
      </c>
      <c r="D203" s="59" t="str">
        <f>Dim_Reps!D40</f>
        <v>Mid-Market</v>
      </c>
      <c r="E203" s="59" t="str">
        <f>Dim_Reps!E40</f>
        <v>NAMER</v>
      </c>
      <c r="F203" s="59" t="str">
        <f>Dim_Reps!H40</f>
        <v>Active</v>
      </c>
      <c r="G203" s="58">
        <f>SUMIFS(Fact_Quota!$D:$D,Fact_Quota!$A:$A,$A203,Fact_Quota!$B:$B,"&gt;="&amp;$B$154,Fact_Quota!$B:$B,"&lt;="&amp;$B$153)</f>
        <v>32200</v>
      </c>
      <c r="H203" s="58">
        <f>SUMIFS(Fact_Pipeline!$K:$K,Fact_Pipeline!$B:$B,$A203,Fact_Pipeline!$J:$J,"Won",Fact_Pipeline!$I:$I,"&gt;="&amp;$B$154,Fact_Pipeline!$I:$I,"&lt;="&amp;$B$155)</f>
        <v>20300</v>
      </c>
      <c r="I203" s="71">
        <f t="shared" si="6"/>
        <v>0.63043478260869568</v>
      </c>
      <c r="J203" s="59" t="b">
        <f>AND(G203&gt;0,IFERROR(I203&gt;=G6,FALSE()))</f>
        <v>1</v>
      </c>
      <c r="K203" s="58">
        <f t="shared" si="7"/>
        <v>1015</v>
      </c>
      <c r="L203" s="58">
        <f>IF(J203,MAX(0,MIN(H203,I6*G203)-G203)*IFERROR(INDEX($C$158:$C$161,MATCH(C203,$A$158:$A$161,0)),0),0)</f>
        <v>0</v>
      </c>
      <c r="M203" s="58">
        <f>IF(J203,MAX(0,H203-I6*G203)*IFERROR(INDEX($D$158:$D$161,MATCH(C203,$A$158:$A$161,0)),0),0)</f>
        <v>0</v>
      </c>
      <c r="N203" s="58">
        <f t="shared" si="8"/>
        <v>1015</v>
      </c>
      <c r="O203" s="70">
        <f t="shared" si="9"/>
        <v>0.05</v>
      </c>
      <c r="P203" s="59">
        <f t="shared" si="10"/>
        <v>1015.0000203</v>
      </c>
    </row>
    <row r="204" spans="1:16" ht="15" customHeight="1" outlineLevel="1" x14ac:dyDescent="0.2">
      <c r="A204" s="56" t="str">
        <f>Dim_Reps!A41</f>
        <v>R039</v>
      </c>
      <c r="B204" s="56" t="str">
        <f>Dim_Reps!B41</f>
        <v>Morgan Weber</v>
      </c>
      <c r="C204" s="56" t="str">
        <f>Dim_Reps!C41</f>
        <v>Mid-Market AE</v>
      </c>
      <c r="D204" s="56" t="str">
        <f>Dim_Reps!D41</f>
        <v>Mid-Market</v>
      </c>
      <c r="E204" s="56" t="str">
        <f>Dim_Reps!E41</f>
        <v>NAMER</v>
      </c>
      <c r="F204" s="56" t="str">
        <f>Dim_Reps!H41</f>
        <v>Active</v>
      </c>
      <c r="G204" s="55">
        <f>SUMIFS(Fact_Quota!$D:$D,Fact_Quota!$A:$A,$A204,Fact_Quota!$B:$B,"&gt;="&amp;$B$154,Fact_Quota!$B:$B,"&lt;="&amp;$B$153)</f>
        <v>262000</v>
      </c>
      <c r="H204" s="55">
        <f>SUMIFS(Fact_Pipeline!$K:$K,Fact_Pipeline!$B:$B,$A204,Fact_Pipeline!$J:$J,"Won",Fact_Pipeline!$I:$I,"&gt;="&amp;$B$154,Fact_Pipeline!$I:$I,"&lt;="&amp;$B$155)</f>
        <v>218400</v>
      </c>
      <c r="I204" s="69">
        <f t="shared" si="6"/>
        <v>0.833587786259542</v>
      </c>
      <c r="J204" s="56" t="b">
        <f>AND(G204&gt;0,IFERROR(I204&gt;=G6,FALSE()))</f>
        <v>1</v>
      </c>
      <c r="K204" s="55">
        <f t="shared" si="7"/>
        <v>10920</v>
      </c>
      <c r="L204" s="55">
        <f>IF(J204,MAX(0,MIN(H204,I6*G204)-G204)*IFERROR(INDEX($C$158:$C$161,MATCH(C204,$A$158:$A$161,0)),0),0)</f>
        <v>0</v>
      </c>
      <c r="M204" s="55">
        <f>IF(J204,MAX(0,H204-I6*G204)*IFERROR(INDEX($D$158:$D$161,MATCH(C204,$A$158:$A$161,0)),0),0)</f>
        <v>0</v>
      </c>
      <c r="N204" s="55">
        <f t="shared" si="8"/>
        <v>10920</v>
      </c>
      <c r="O204" s="68">
        <f t="shared" si="9"/>
        <v>0.05</v>
      </c>
      <c r="P204" s="56">
        <f t="shared" si="10"/>
        <v>10920.000020400001</v>
      </c>
    </row>
    <row r="205" spans="1:16" ht="15" customHeight="1" outlineLevel="1" x14ac:dyDescent="0.2">
      <c r="A205" s="59" t="str">
        <f>Dim_Reps!A42</f>
        <v>R040</v>
      </c>
      <c r="B205" s="59" t="str">
        <f>Dim_Reps!B42</f>
        <v>Erik Duarte</v>
      </c>
      <c r="C205" s="59" t="str">
        <f>Dim_Reps!C42</f>
        <v>Mid-Market AE</v>
      </c>
      <c r="D205" s="59" t="str">
        <f>Dim_Reps!D42</f>
        <v>Mid-Market</v>
      </c>
      <c r="E205" s="59" t="str">
        <f>Dim_Reps!E42</f>
        <v>EMEA</v>
      </c>
      <c r="F205" s="59" t="str">
        <f>Dim_Reps!H42</f>
        <v>Active</v>
      </c>
      <c r="G205" s="58">
        <f>SUMIFS(Fact_Quota!$D:$D,Fact_Quota!$A:$A,$A205,Fact_Quota!$B:$B,"&gt;="&amp;$B$154,Fact_Quota!$B:$B,"&lt;="&amp;$B$153)</f>
        <v>263800</v>
      </c>
      <c r="H205" s="58">
        <f>SUMIFS(Fact_Pipeline!$K:$K,Fact_Pipeline!$B:$B,$A205,Fact_Pipeline!$J:$J,"Won",Fact_Pipeline!$I:$I,"&gt;="&amp;$B$154,Fact_Pipeline!$I:$I,"&lt;="&amp;$B$155)</f>
        <v>397800</v>
      </c>
      <c r="I205" s="71">
        <f t="shared" si="6"/>
        <v>1.5079605761940864</v>
      </c>
      <c r="J205" s="59" t="b">
        <f>AND(G205&gt;0,IFERROR(I205&gt;=G6,FALSE()))</f>
        <v>1</v>
      </c>
      <c r="K205" s="58">
        <f t="shared" si="7"/>
        <v>13190</v>
      </c>
      <c r="L205" s="58">
        <f>IF(J205,MAX(0,MIN(H205,I6*G205)-G205)*IFERROR(INDEX($C$158:$C$161,MATCH(C205,$A$158:$A$161,0)),0),0)</f>
        <v>10552</v>
      </c>
      <c r="M205" s="58">
        <f>IF(J205,MAX(0,H205-I6*G205)*IFERROR(INDEX($D$158:$D$161,MATCH(C205,$A$158:$A$161,0)),0),0)</f>
        <v>231</v>
      </c>
      <c r="N205" s="58">
        <f t="shared" si="8"/>
        <v>23973</v>
      </c>
      <c r="O205" s="70">
        <f t="shared" si="9"/>
        <v>6.0263951734539967E-2</v>
      </c>
      <c r="P205" s="59">
        <f t="shared" si="10"/>
        <v>23973.0000205</v>
      </c>
    </row>
    <row r="206" spans="1:16" ht="15" customHeight="1" outlineLevel="1" x14ac:dyDescent="0.2">
      <c r="A206" s="56" t="str">
        <f>Dim_Reps!A43</f>
        <v>R042</v>
      </c>
      <c r="B206" s="56" t="str">
        <f>Dim_Reps!B43</f>
        <v>Yuki Dubois</v>
      </c>
      <c r="C206" s="56" t="str">
        <f>Dim_Reps!C43</f>
        <v>Mid-Market AE</v>
      </c>
      <c r="D206" s="56" t="str">
        <f>Dim_Reps!D43</f>
        <v>Mid-Market</v>
      </c>
      <c r="E206" s="56" t="str">
        <f>Dim_Reps!E43</f>
        <v>LATAM</v>
      </c>
      <c r="F206" s="56" t="str">
        <f>Dim_Reps!H43</f>
        <v>Active</v>
      </c>
      <c r="G206" s="55">
        <f>SUMIFS(Fact_Quota!$D:$D,Fact_Quota!$A:$A,$A206,Fact_Quota!$B:$B,"&gt;="&amp;$B$154,Fact_Quota!$B:$B,"&lt;="&amp;$B$153)</f>
        <v>264100</v>
      </c>
      <c r="H206" s="55">
        <f>SUMIFS(Fact_Pipeline!$K:$K,Fact_Pipeline!$B:$B,$A206,Fact_Pipeline!$J:$J,"Won",Fact_Pipeline!$I:$I,"&gt;="&amp;$B$154,Fact_Pipeline!$I:$I,"&lt;="&amp;$B$155)</f>
        <v>360400</v>
      </c>
      <c r="I206" s="69">
        <f t="shared" si="6"/>
        <v>1.3646346081029912</v>
      </c>
      <c r="J206" s="56" t="b">
        <f>AND(G206&gt;0,IFERROR(I206&gt;=G6,FALSE()))</f>
        <v>1</v>
      </c>
      <c r="K206" s="55">
        <f t="shared" si="7"/>
        <v>13205</v>
      </c>
      <c r="L206" s="55">
        <f>IF(J206,MAX(0,MIN(H206,I6*G206)-G206)*IFERROR(INDEX($C$158:$C$161,MATCH(C206,$A$158:$A$161,0)),0),0)</f>
        <v>7704</v>
      </c>
      <c r="M206" s="55">
        <f>IF(J206,MAX(0,H206-I6*G206)*IFERROR(INDEX($D$158:$D$161,MATCH(C206,$A$158:$A$161,0)),0),0)</f>
        <v>0</v>
      </c>
      <c r="N206" s="55">
        <f t="shared" si="8"/>
        <v>20909</v>
      </c>
      <c r="O206" s="68">
        <f t="shared" si="9"/>
        <v>5.8016093229744728E-2</v>
      </c>
      <c r="P206" s="56">
        <f t="shared" si="10"/>
        <v>20909.0000206</v>
      </c>
    </row>
    <row r="207" spans="1:16" ht="15" customHeight="1" outlineLevel="1" x14ac:dyDescent="0.2">
      <c r="A207" s="59" t="str">
        <f>Dim_Reps!A44</f>
        <v>R046</v>
      </c>
      <c r="B207" s="59" t="str">
        <f>Dim_Reps!B44</f>
        <v>Morgan Rivera</v>
      </c>
      <c r="C207" s="59" t="str">
        <f>Dim_Reps!C44</f>
        <v>Mid-Market AE</v>
      </c>
      <c r="D207" s="59" t="str">
        <f>Dim_Reps!D44</f>
        <v>Mid-Market</v>
      </c>
      <c r="E207" s="59" t="str">
        <f>Dim_Reps!E44</f>
        <v>NAMER</v>
      </c>
      <c r="F207" s="59" t="str">
        <f>Dim_Reps!H44</f>
        <v>Departed</v>
      </c>
      <c r="G207" s="58">
        <f>SUMIFS(Fact_Quota!$D:$D,Fact_Quota!$A:$A,$A207,Fact_Quota!$B:$B,"&gt;="&amp;$B$154,Fact_Quota!$B:$B,"&lt;="&amp;$B$153)</f>
        <v>242700</v>
      </c>
      <c r="H207" s="58">
        <f>SUMIFS(Fact_Pipeline!$K:$K,Fact_Pipeline!$B:$B,$A207,Fact_Pipeline!$J:$J,"Won",Fact_Pipeline!$I:$I,"&gt;="&amp;$B$154,Fact_Pipeline!$I:$I,"&lt;="&amp;$B$155)</f>
        <v>365500</v>
      </c>
      <c r="I207" s="71">
        <f t="shared" si="6"/>
        <v>1.5059744540585085</v>
      </c>
      <c r="J207" s="59" t="b">
        <f>AND(G207&gt;0,IFERROR(I207&gt;=G6,FALSE()))</f>
        <v>1</v>
      </c>
      <c r="K207" s="58">
        <f t="shared" si="7"/>
        <v>12135</v>
      </c>
      <c r="L207" s="58">
        <f>IF(J207,MAX(0,MIN(H207,I6*G207)-G207)*IFERROR(INDEX($C$158:$C$161,MATCH(C207,$A$158:$A$161,0)),0),0)</f>
        <v>9708</v>
      </c>
      <c r="M207" s="58">
        <f>IF(J207,MAX(0,H207-I6*G207)*IFERROR(INDEX($D$158:$D$161,MATCH(C207,$A$158:$A$161,0)),0),0)</f>
        <v>159.5</v>
      </c>
      <c r="N207" s="58">
        <f t="shared" si="8"/>
        <v>22002.5</v>
      </c>
      <c r="O207" s="70">
        <f t="shared" si="9"/>
        <v>6.0198358413132695E-2</v>
      </c>
      <c r="P207" s="59" t="str">
        <f t="shared" si="10"/>
        <v/>
      </c>
    </row>
    <row r="208" spans="1:16" ht="15" customHeight="1" outlineLevel="1" x14ac:dyDescent="0.2">
      <c r="A208" s="56" t="str">
        <f>Dim_Reps!A45</f>
        <v>R048</v>
      </c>
      <c r="B208" s="56" t="str">
        <f>Dim_Reps!B45</f>
        <v>Ivy Adler</v>
      </c>
      <c r="C208" s="56" t="str">
        <f>Dim_Reps!C45</f>
        <v>Mid-Market AE</v>
      </c>
      <c r="D208" s="56" t="str">
        <f>Dim_Reps!D45</f>
        <v>Mid-Market</v>
      </c>
      <c r="E208" s="56" t="str">
        <f>Dim_Reps!E45</f>
        <v>APAC</v>
      </c>
      <c r="F208" s="56" t="str">
        <f>Dim_Reps!H45</f>
        <v>Active</v>
      </c>
      <c r="G208" s="55">
        <f>SUMIFS(Fact_Quota!$D:$D,Fact_Quota!$A:$A,$A208,Fact_Quota!$B:$B,"&gt;="&amp;$B$154,Fact_Quota!$B:$B,"&lt;="&amp;$B$153)</f>
        <v>267800</v>
      </c>
      <c r="H208" s="55">
        <f>SUMIFS(Fact_Pipeline!$K:$K,Fact_Pipeline!$B:$B,$A208,Fact_Pipeline!$J:$J,"Won",Fact_Pipeline!$I:$I,"&gt;="&amp;$B$154,Fact_Pipeline!$I:$I,"&lt;="&amp;$B$155)</f>
        <v>319800</v>
      </c>
      <c r="I208" s="69">
        <f t="shared" si="6"/>
        <v>1.1941747572815533</v>
      </c>
      <c r="J208" s="56" t="b">
        <f>AND(G208&gt;0,IFERROR(I208&gt;=G6,FALSE()))</f>
        <v>1</v>
      </c>
      <c r="K208" s="55">
        <f t="shared" si="7"/>
        <v>13390</v>
      </c>
      <c r="L208" s="55">
        <f>IF(J208,MAX(0,MIN(H208,I6*G208)-G208)*IFERROR(INDEX($C$158:$C$161,MATCH(C208,$A$158:$A$161,0)),0),0)</f>
        <v>4160</v>
      </c>
      <c r="M208" s="55">
        <f>IF(J208,MAX(0,H208-I6*G208)*IFERROR(INDEX($D$158:$D$161,MATCH(C208,$A$158:$A$161,0)),0),0)</f>
        <v>0</v>
      </c>
      <c r="N208" s="55">
        <f t="shared" si="8"/>
        <v>17550</v>
      </c>
      <c r="O208" s="68">
        <f t="shared" si="9"/>
        <v>5.4878048780487805E-2</v>
      </c>
      <c r="P208" s="56">
        <f t="shared" si="10"/>
        <v>17550.000020799998</v>
      </c>
    </row>
    <row r="209" spans="1:16" ht="15" customHeight="1" outlineLevel="1" x14ac:dyDescent="0.2">
      <c r="A209" s="59" t="str">
        <f>Dim_Reps!A46</f>
        <v>R049</v>
      </c>
      <c r="B209" s="59" t="str">
        <f>Dim_Reps!B46</f>
        <v>Olivia Cohen</v>
      </c>
      <c r="C209" s="59" t="str">
        <f>Dim_Reps!C46</f>
        <v>Mid-Market AE</v>
      </c>
      <c r="D209" s="59" t="str">
        <f>Dim_Reps!D46</f>
        <v>Mid-Market</v>
      </c>
      <c r="E209" s="59" t="str">
        <f>Dim_Reps!E46</f>
        <v>APAC</v>
      </c>
      <c r="F209" s="59" t="str">
        <f>Dim_Reps!H46</f>
        <v>Active</v>
      </c>
      <c r="G209" s="58">
        <f>SUMIFS(Fact_Quota!$D:$D,Fact_Quota!$A:$A,$A209,Fact_Quota!$B:$B,"&gt;="&amp;$B$154,Fact_Quota!$B:$B,"&lt;="&amp;$B$153)</f>
        <v>265200</v>
      </c>
      <c r="H209" s="58">
        <f>SUMIFS(Fact_Pipeline!$K:$K,Fact_Pipeline!$B:$B,$A209,Fact_Pipeline!$J:$J,"Won",Fact_Pipeline!$I:$I,"&gt;="&amp;$B$154,Fact_Pipeline!$I:$I,"&lt;="&amp;$B$155)</f>
        <v>204200</v>
      </c>
      <c r="I209" s="71">
        <f t="shared" si="6"/>
        <v>0.76998491704374061</v>
      </c>
      <c r="J209" s="59" t="b">
        <f>AND(G209&gt;0,IFERROR(I209&gt;=G6,FALSE()))</f>
        <v>1</v>
      </c>
      <c r="K209" s="58">
        <f t="shared" si="7"/>
        <v>10210</v>
      </c>
      <c r="L209" s="58">
        <f>IF(J209,MAX(0,MIN(H209,I6*G209)-G209)*IFERROR(INDEX($C$158:$C$161,MATCH(C209,$A$158:$A$161,0)),0),0)</f>
        <v>0</v>
      </c>
      <c r="M209" s="58">
        <f>IF(J209,MAX(0,H209-I6*G209)*IFERROR(INDEX($D$158:$D$161,MATCH(C209,$A$158:$A$161,0)),0),0)</f>
        <v>0</v>
      </c>
      <c r="N209" s="58">
        <f t="shared" si="8"/>
        <v>10210</v>
      </c>
      <c r="O209" s="70">
        <f t="shared" si="9"/>
        <v>0.05</v>
      </c>
      <c r="P209" s="59">
        <f t="shared" si="10"/>
        <v>10210.000020900001</v>
      </c>
    </row>
    <row r="210" spans="1:16" ht="15" customHeight="1" outlineLevel="1" x14ac:dyDescent="0.2">
      <c r="A210" s="56" t="str">
        <f>Dim_Reps!A47</f>
        <v>R002</v>
      </c>
      <c r="B210" s="56" t="str">
        <f>Dim_Reps!B47</f>
        <v>Sana Rossi</v>
      </c>
      <c r="C210" s="56" t="str">
        <f>Dim_Reps!C47</f>
        <v>Senior Enterprise AE</v>
      </c>
      <c r="D210" s="56" t="str">
        <f>Dim_Reps!D47</f>
        <v>Strategic</v>
      </c>
      <c r="E210" s="56" t="str">
        <f>Dim_Reps!E47</f>
        <v>NAMER</v>
      </c>
      <c r="F210" s="56" t="str">
        <f>Dim_Reps!H47</f>
        <v>Departed</v>
      </c>
      <c r="G210" s="55">
        <f>SUMIFS(Fact_Quota!$D:$D,Fact_Quota!$A:$A,$A210,Fact_Quota!$B:$B,"&gt;="&amp;$B$154,Fact_Quota!$B:$B,"&lt;="&amp;$B$153)</f>
        <v>73200</v>
      </c>
      <c r="H210" s="55">
        <f>SUMIFS(Fact_Pipeline!$K:$K,Fact_Pipeline!$B:$B,$A210,Fact_Pipeline!$J:$J,"Won",Fact_Pipeline!$I:$I,"&gt;="&amp;$B$154,Fact_Pipeline!$I:$I,"&lt;="&amp;$B$155)</f>
        <v>0</v>
      </c>
      <c r="I210" s="69">
        <f t="shared" si="6"/>
        <v>0</v>
      </c>
      <c r="J210" s="56" t="b">
        <f>AND(G210&gt;0,IFERROR(I210&gt;=G6,FALSE()))</f>
        <v>0</v>
      </c>
      <c r="K210" s="55">
        <f t="shared" si="7"/>
        <v>0</v>
      </c>
      <c r="L210" s="55">
        <f>IF(J210,MAX(0,MIN(H210,I6*G210)-G210)*IFERROR(INDEX($C$158:$C$161,MATCH(C210,$A$158:$A$161,0)),0),0)</f>
        <v>0</v>
      </c>
      <c r="M210" s="55">
        <f>IF(J210,MAX(0,H210-I6*G210)*IFERROR(INDEX($D$158:$D$161,MATCH(C210,$A$158:$A$161,0)),0),0)</f>
        <v>0</v>
      </c>
      <c r="N210" s="55">
        <f t="shared" si="8"/>
        <v>0</v>
      </c>
      <c r="O210" s="68" t="str">
        <f t="shared" si="9"/>
        <v/>
      </c>
      <c r="P210" s="56" t="str">
        <f t="shared" si="10"/>
        <v/>
      </c>
    </row>
    <row r="211" spans="1:16" ht="15" customHeight="1" outlineLevel="1" x14ac:dyDescent="0.2">
      <c r="A211" s="59" t="str">
        <f>Dim_Reps!A48</f>
        <v>R012</v>
      </c>
      <c r="B211" s="59" t="str">
        <f>Dim_Reps!B48</f>
        <v>Sara Andersson</v>
      </c>
      <c r="C211" s="59" t="str">
        <f>Dim_Reps!C48</f>
        <v>Senior Enterprise AE</v>
      </c>
      <c r="D211" s="59" t="str">
        <f>Dim_Reps!D48</f>
        <v>Strategic</v>
      </c>
      <c r="E211" s="59" t="str">
        <f>Dim_Reps!E48</f>
        <v>APAC</v>
      </c>
      <c r="F211" s="59" t="str">
        <f>Dim_Reps!H48</f>
        <v>Active</v>
      </c>
      <c r="G211" s="58">
        <f>SUMIFS(Fact_Quota!$D:$D,Fact_Quota!$A:$A,$A211,Fact_Quota!$B:$B,"&gt;="&amp;$B$154,Fact_Quota!$B:$B,"&lt;="&amp;$B$153)</f>
        <v>575900</v>
      </c>
      <c r="H211" s="58">
        <f>SUMIFS(Fact_Pipeline!$K:$K,Fact_Pipeline!$B:$B,$A211,Fact_Pipeline!$J:$J,"Won",Fact_Pipeline!$I:$I,"&gt;="&amp;$B$154,Fact_Pipeline!$I:$I,"&lt;="&amp;$B$155)</f>
        <v>478200</v>
      </c>
      <c r="I211" s="71">
        <f t="shared" si="6"/>
        <v>0.83035249175204029</v>
      </c>
      <c r="J211" s="59" t="b">
        <f>AND(G211&gt;0,IFERROR(I211&gt;=G6,FALSE()))</f>
        <v>1</v>
      </c>
      <c r="K211" s="58">
        <f t="shared" si="7"/>
        <v>33474</v>
      </c>
      <c r="L211" s="58">
        <f>IF(J211,MAX(0,MIN(H211,I6*G211)-G211)*IFERROR(INDEX($C$158:$C$161,MATCH(C211,$A$158:$A$161,0)),0),0)</f>
        <v>0</v>
      </c>
      <c r="M211" s="58">
        <f>IF(J211,MAX(0,H211-I6*G211)*IFERROR(INDEX($D$158:$D$161,MATCH(C211,$A$158:$A$161,0)),0),0)</f>
        <v>0</v>
      </c>
      <c r="N211" s="58">
        <f t="shared" si="8"/>
        <v>33474</v>
      </c>
      <c r="O211" s="70">
        <f t="shared" si="9"/>
        <v>7.0000000000000007E-2</v>
      </c>
      <c r="P211" s="59">
        <f t="shared" si="10"/>
        <v>33474.000021100001</v>
      </c>
    </row>
    <row r="212" spans="1:16" ht="15" customHeight="1" outlineLevel="1" x14ac:dyDescent="0.2">
      <c r="A212" s="56" t="str">
        <f>Dim_Reps!A49</f>
        <v>R034</v>
      </c>
      <c r="B212" s="56" t="str">
        <f>Dim_Reps!B49</f>
        <v>Cameron Lund</v>
      </c>
      <c r="C212" s="56" t="str">
        <f>Dim_Reps!C49</f>
        <v>Senior Enterprise AE</v>
      </c>
      <c r="D212" s="56" t="str">
        <f>Dim_Reps!D49</f>
        <v>Strategic</v>
      </c>
      <c r="E212" s="56" t="str">
        <f>Dim_Reps!E49</f>
        <v>LATAM</v>
      </c>
      <c r="F212" s="56" t="str">
        <f>Dim_Reps!H49</f>
        <v>Active</v>
      </c>
      <c r="G212" s="55">
        <f>SUMIFS(Fact_Quota!$D:$D,Fact_Quota!$A:$A,$A212,Fact_Quota!$B:$B,"&gt;="&amp;$B$154,Fact_Quota!$B:$B,"&lt;="&amp;$B$153)</f>
        <v>575500</v>
      </c>
      <c r="H212" s="55">
        <f>SUMIFS(Fact_Pipeline!$K:$K,Fact_Pipeline!$B:$B,$A212,Fact_Pipeline!$J:$J,"Won",Fact_Pipeline!$I:$I,"&gt;="&amp;$B$154,Fact_Pipeline!$I:$I,"&lt;="&amp;$B$155)</f>
        <v>668200</v>
      </c>
      <c r="I212" s="69">
        <f t="shared" si="6"/>
        <v>1.1610773240660295</v>
      </c>
      <c r="J212" s="56" t="b">
        <f>AND(G212&gt;0,IFERROR(I212&gt;=G6,FALSE()))</f>
        <v>1</v>
      </c>
      <c r="K212" s="55">
        <f t="shared" si="7"/>
        <v>40285.000000000007</v>
      </c>
      <c r="L212" s="55">
        <f>IF(J212,MAX(0,MIN(H212,I6*G212)-G212)*IFERROR(INDEX($C$158:$C$161,MATCH(C212,$A$158:$A$161,0)),0),0)</f>
        <v>10197</v>
      </c>
      <c r="M212" s="55">
        <f>IF(J212,MAX(0,H212-I6*G212)*IFERROR(INDEX($D$158:$D$161,MATCH(C212,$A$158:$A$161,0)),0),0)</f>
        <v>0</v>
      </c>
      <c r="N212" s="55">
        <f t="shared" si="8"/>
        <v>50482.000000000007</v>
      </c>
      <c r="O212" s="68">
        <f t="shared" si="9"/>
        <v>7.5549236755462448E-2</v>
      </c>
      <c r="P212" s="56">
        <f t="shared" si="10"/>
        <v>50482.000021200009</v>
      </c>
    </row>
    <row r="213" spans="1:16" ht="15" customHeight="1" outlineLevel="1" x14ac:dyDescent="0.2">
      <c r="A213" s="59" t="str">
        <f>Dim_Reps!A50</f>
        <v>R035</v>
      </c>
      <c r="B213" s="59" t="str">
        <f>Dim_Reps!B50</f>
        <v>Fatima Rossi</v>
      </c>
      <c r="C213" s="59" t="str">
        <f>Dim_Reps!C50</f>
        <v>Senior Enterprise AE</v>
      </c>
      <c r="D213" s="59" t="str">
        <f>Dim_Reps!D50</f>
        <v>Strategic</v>
      </c>
      <c r="E213" s="59" t="str">
        <f>Dim_Reps!E50</f>
        <v>NAMER</v>
      </c>
      <c r="F213" s="59" t="str">
        <f>Dim_Reps!H50</f>
        <v>Active</v>
      </c>
      <c r="G213" s="58">
        <f>SUMIFS(Fact_Quota!$D:$D,Fact_Quota!$A:$A,$A213,Fact_Quota!$B:$B,"&gt;="&amp;$B$154,Fact_Quota!$B:$B,"&lt;="&amp;$B$153)</f>
        <v>565500</v>
      </c>
      <c r="H213" s="58">
        <f>SUMIFS(Fact_Pipeline!$K:$K,Fact_Pipeline!$B:$B,$A213,Fact_Pipeline!$J:$J,"Won",Fact_Pipeline!$I:$I,"&gt;="&amp;$B$154,Fact_Pipeline!$I:$I,"&lt;="&amp;$B$155)</f>
        <v>719200</v>
      </c>
      <c r="I213" s="71">
        <f t="shared" si="6"/>
        <v>1.2717948717948717</v>
      </c>
      <c r="J213" s="59" t="b">
        <f>AND(G213&gt;0,IFERROR(I213&gt;=G6,FALSE()))</f>
        <v>1</v>
      </c>
      <c r="K213" s="58">
        <f t="shared" si="7"/>
        <v>39585.000000000007</v>
      </c>
      <c r="L213" s="58">
        <f>IF(J213,MAX(0,MIN(H213,I6*G213)-G213)*IFERROR(INDEX($C$158:$C$161,MATCH(C213,$A$158:$A$161,0)),0),0)</f>
        <v>16907</v>
      </c>
      <c r="M213" s="58">
        <f>IF(J213,MAX(0,H213-I6*G213)*IFERROR(INDEX($D$158:$D$161,MATCH(C213,$A$158:$A$161,0)),0),0)</f>
        <v>0</v>
      </c>
      <c r="N213" s="58">
        <f t="shared" si="8"/>
        <v>56492.000000000007</v>
      </c>
      <c r="O213" s="70">
        <f t="shared" si="9"/>
        <v>7.8548387096774197E-2</v>
      </c>
      <c r="P213" s="59">
        <f t="shared" si="10"/>
        <v>56492.000021300009</v>
      </c>
    </row>
    <row r="214" spans="1:16" ht="15" customHeight="1" outlineLevel="1" x14ac:dyDescent="0.2">
      <c r="A214" s="56" t="str">
        <f>Dim_Reps!A51</f>
        <v>R044</v>
      </c>
      <c r="B214" s="56" t="str">
        <f>Dim_Reps!B51</f>
        <v>Taylor Adler</v>
      </c>
      <c r="C214" s="56" t="str">
        <f>Dim_Reps!C51</f>
        <v>Senior Enterprise AE</v>
      </c>
      <c r="D214" s="56" t="str">
        <f>Dim_Reps!D51</f>
        <v>Strategic</v>
      </c>
      <c r="E214" s="56" t="str">
        <f>Dim_Reps!E51</f>
        <v>NAMER</v>
      </c>
      <c r="F214" s="56" t="str">
        <f>Dim_Reps!H51</f>
        <v>Departed</v>
      </c>
      <c r="G214" s="55">
        <f>SUMIFS(Fact_Quota!$D:$D,Fact_Quota!$A:$A,$A214,Fact_Quota!$B:$B,"&gt;="&amp;$B$154,Fact_Quota!$B:$B,"&lt;="&amp;$B$153)</f>
        <v>575100</v>
      </c>
      <c r="H214" s="55">
        <f>SUMIFS(Fact_Pipeline!$K:$K,Fact_Pipeline!$B:$B,$A214,Fact_Pipeline!$J:$J,"Won",Fact_Pipeline!$I:$I,"&gt;="&amp;$B$154,Fact_Pipeline!$I:$I,"&lt;="&amp;$B$155)</f>
        <v>374000</v>
      </c>
      <c r="I214" s="69">
        <f t="shared" si="6"/>
        <v>0.65032168318553296</v>
      </c>
      <c r="J214" s="56" t="b">
        <f>AND(G214&gt;0,IFERROR(I214&gt;=G6,FALSE()))</f>
        <v>1</v>
      </c>
      <c r="K214" s="55">
        <f t="shared" si="7"/>
        <v>26180.000000000004</v>
      </c>
      <c r="L214" s="55">
        <f>IF(J214,MAX(0,MIN(H214,I6*G214)-G214)*IFERROR(INDEX($C$158:$C$161,MATCH(C214,$A$158:$A$161,0)),0),0)</f>
        <v>0</v>
      </c>
      <c r="M214" s="55">
        <f>IF(J214,MAX(0,H214-I6*G214)*IFERROR(INDEX($D$158:$D$161,MATCH(C214,$A$158:$A$161,0)),0),0)</f>
        <v>0</v>
      </c>
      <c r="N214" s="55">
        <f t="shared" si="8"/>
        <v>26180.000000000004</v>
      </c>
      <c r="O214" s="68">
        <f t="shared" si="9"/>
        <v>7.0000000000000007E-2</v>
      </c>
      <c r="P214" s="56" t="str">
        <f t="shared" si="10"/>
        <v/>
      </c>
    </row>
    <row r="215" spans="1:16" ht="15" customHeight="1" outlineLevel="1" x14ac:dyDescent="0.2"/>
    <row r="216" spans="1:16" ht="15" customHeight="1" outlineLevel="1" x14ac:dyDescent="0.2"/>
    <row r="217" spans="1:16" ht="15" customHeight="1" outlineLevel="1" x14ac:dyDescent="0.2">
      <c r="A217" s="61" t="s">
        <v>78</v>
      </c>
      <c r="B217" s="61" t="s">
        <v>85</v>
      </c>
      <c r="C217" s="61" t="s">
        <v>90</v>
      </c>
      <c r="D217" s="61" t="s">
        <v>22</v>
      </c>
      <c r="E217" s="61" t="s">
        <v>47</v>
      </c>
      <c r="F217" s="61" t="s">
        <v>116</v>
      </c>
      <c r="G217" s="61" t="s">
        <v>125</v>
      </c>
      <c r="H217" s="61" t="s">
        <v>126</v>
      </c>
      <c r="I217" s="61" t="s">
        <v>127</v>
      </c>
      <c r="J217" s="61" t="s">
        <v>128</v>
      </c>
    </row>
    <row r="218" spans="1:16" ht="15" customHeight="1" outlineLevel="1" x14ac:dyDescent="0.2">
      <c r="A218" s="66" t="str">
        <f t="shared" ref="A218:A241" si="11">$A$165</f>
        <v>R003</v>
      </c>
      <c r="B218" s="67">
        <f>$A$1421</f>
        <v>45292</v>
      </c>
      <c r="C218" s="66" t="str">
        <f t="shared" ref="C218:C241" si="12">$C$165</f>
        <v>Enterprise AE</v>
      </c>
      <c r="D218" s="65">
        <f>SUMIFS(Fact_Quota!$D:$D,Fact_Quota!$A:$A,$A218,Fact_Quota!$B:$B,"&gt;="&amp;B218,Fact_Quota!$B:$B,"&lt;"&amp;EDATE(B218,1))</f>
        <v>0</v>
      </c>
      <c r="E218" s="65">
        <f>SUMIFS(Fact_Pipeline!$K:$K,Fact_Pipeline!$B:$B,$A218,Fact_Pipeline!$J:$J,"Won",Fact_Pipeline!$I:$I,"&gt;="&amp;B218,Fact_Pipeline!$I:$I,"&lt;"&amp;EDATE(B218,1))</f>
        <v>0</v>
      </c>
      <c r="F218" s="66" t="b">
        <f>AND(D218&gt;0,IFERROR(E218/D218&gt;=G6,FALSE()))</f>
        <v>0</v>
      </c>
      <c r="G218" s="65">
        <f t="shared" ref="G218:G281" si="13">IF(F218,MIN(E218,D218)*IFERROR(INDEX($B$158:$B$161,MATCH(C218,$A$158:$A$161,0)),0),0)</f>
        <v>0</v>
      </c>
      <c r="H218" s="65">
        <f>IF(F218,MAX(0,MIN(E218,I6*D218)-D218)*IFERROR(INDEX($C$158:$C$161,MATCH(C218,$A$158:$A$161,0)),0),0)</f>
        <v>0</v>
      </c>
      <c r="I218" s="65">
        <f>IF(F218,MAX(0,E218-I6*D218)*IFERROR(INDEX($D$158:$D$161,MATCH(C218,$A$158:$A$161,0)),0),0)</f>
        <v>0</v>
      </c>
      <c r="J218" s="65">
        <f t="shared" ref="J218:J281" si="14">G218+H218+I218</f>
        <v>0</v>
      </c>
    </row>
    <row r="219" spans="1:16" ht="15" customHeight="1" outlineLevel="1" x14ac:dyDescent="0.2">
      <c r="A219" s="66" t="str">
        <f t="shared" si="11"/>
        <v>R003</v>
      </c>
      <c r="B219" s="67">
        <f>$A$1422</f>
        <v>45323</v>
      </c>
      <c r="C219" s="66" t="str">
        <f t="shared" si="12"/>
        <v>Enterprise AE</v>
      </c>
      <c r="D219" s="65">
        <f>SUMIFS(Fact_Quota!$D:$D,Fact_Quota!$A:$A,$A219,Fact_Quota!$B:$B,"&gt;="&amp;B219,Fact_Quota!$B:$B,"&lt;"&amp;EDATE(B219,1))</f>
        <v>0</v>
      </c>
      <c r="E219" s="65">
        <f>SUMIFS(Fact_Pipeline!$K:$K,Fact_Pipeline!$B:$B,$A219,Fact_Pipeline!$J:$J,"Won",Fact_Pipeline!$I:$I,"&gt;="&amp;B219,Fact_Pipeline!$I:$I,"&lt;"&amp;EDATE(B219,1))</f>
        <v>0</v>
      </c>
      <c r="F219" s="66" t="b">
        <f>AND(D219&gt;0,IFERROR(E219/D219&gt;=G6,FALSE()))</f>
        <v>0</v>
      </c>
      <c r="G219" s="65">
        <f t="shared" si="13"/>
        <v>0</v>
      </c>
      <c r="H219" s="65">
        <f>IF(F219,MAX(0,MIN(E219,I6*D219)-D219)*IFERROR(INDEX($C$158:$C$161,MATCH(C219,$A$158:$A$161,0)),0),0)</f>
        <v>0</v>
      </c>
      <c r="I219" s="65">
        <f>IF(F219,MAX(0,E219-I6*D219)*IFERROR(INDEX($D$158:$D$161,MATCH(C219,$A$158:$A$161,0)),0),0)</f>
        <v>0</v>
      </c>
      <c r="J219" s="65">
        <f t="shared" si="14"/>
        <v>0</v>
      </c>
    </row>
    <row r="220" spans="1:16" ht="15" customHeight="1" outlineLevel="1" x14ac:dyDescent="0.2">
      <c r="A220" s="66" t="str">
        <f t="shared" si="11"/>
        <v>R003</v>
      </c>
      <c r="B220" s="67">
        <f>$A$1423</f>
        <v>45352</v>
      </c>
      <c r="C220" s="66" t="str">
        <f t="shared" si="12"/>
        <v>Enterprise AE</v>
      </c>
      <c r="D220" s="65">
        <f>SUMIFS(Fact_Quota!$D:$D,Fact_Quota!$A:$A,$A220,Fact_Quota!$B:$B,"&gt;="&amp;B220,Fact_Quota!$B:$B,"&lt;"&amp;EDATE(B220,1))</f>
        <v>0</v>
      </c>
      <c r="E220" s="65">
        <f>SUMIFS(Fact_Pipeline!$K:$K,Fact_Pipeline!$B:$B,$A220,Fact_Pipeline!$J:$J,"Won",Fact_Pipeline!$I:$I,"&gt;="&amp;B220,Fact_Pipeline!$I:$I,"&lt;"&amp;EDATE(B220,1))</f>
        <v>0</v>
      </c>
      <c r="F220" s="66" t="b">
        <f>AND(D220&gt;0,IFERROR(E220/D220&gt;=G6,FALSE()))</f>
        <v>0</v>
      </c>
      <c r="G220" s="65">
        <f t="shared" si="13"/>
        <v>0</v>
      </c>
      <c r="H220" s="65">
        <f>IF(F220,MAX(0,MIN(E220,I6*D220)-D220)*IFERROR(INDEX($C$158:$C$161,MATCH(C220,$A$158:$A$161,0)),0),0)</f>
        <v>0</v>
      </c>
      <c r="I220" s="65">
        <f>IF(F220,MAX(0,E220-I6*D220)*IFERROR(INDEX($D$158:$D$161,MATCH(C220,$A$158:$A$161,0)),0),0)</f>
        <v>0</v>
      </c>
      <c r="J220" s="65">
        <f t="shared" si="14"/>
        <v>0</v>
      </c>
    </row>
    <row r="221" spans="1:16" ht="15" customHeight="1" outlineLevel="1" x14ac:dyDescent="0.2">
      <c r="A221" s="66" t="str">
        <f t="shared" si="11"/>
        <v>R003</v>
      </c>
      <c r="B221" s="67">
        <f>$A$1424</f>
        <v>45383</v>
      </c>
      <c r="C221" s="66" t="str">
        <f t="shared" si="12"/>
        <v>Enterprise AE</v>
      </c>
      <c r="D221" s="65">
        <f>SUMIFS(Fact_Quota!$D:$D,Fact_Quota!$A:$A,$A221,Fact_Quota!$B:$B,"&gt;="&amp;B221,Fact_Quota!$B:$B,"&lt;"&amp;EDATE(B221,1))</f>
        <v>0</v>
      </c>
      <c r="E221" s="65">
        <f>SUMIFS(Fact_Pipeline!$K:$K,Fact_Pipeline!$B:$B,$A221,Fact_Pipeline!$J:$J,"Won",Fact_Pipeline!$I:$I,"&gt;="&amp;B221,Fact_Pipeline!$I:$I,"&lt;"&amp;EDATE(B221,1))</f>
        <v>0</v>
      </c>
      <c r="F221" s="66" t="b">
        <f>AND(D221&gt;0,IFERROR(E221/D221&gt;=G6,FALSE()))</f>
        <v>0</v>
      </c>
      <c r="G221" s="65">
        <f t="shared" si="13"/>
        <v>0</v>
      </c>
      <c r="H221" s="65">
        <f>IF(F221,MAX(0,MIN(E221,I6*D221)-D221)*IFERROR(INDEX($C$158:$C$161,MATCH(C221,$A$158:$A$161,0)),0),0)</f>
        <v>0</v>
      </c>
      <c r="I221" s="65">
        <f>IF(F221,MAX(0,E221-I6*D221)*IFERROR(INDEX($D$158:$D$161,MATCH(C221,$A$158:$A$161,0)),0),0)</f>
        <v>0</v>
      </c>
      <c r="J221" s="65">
        <f t="shared" si="14"/>
        <v>0</v>
      </c>
    </row>
    <row r="222" spans="1:16" ht="15" customHeight="1" outlineLevel="1" x14ac:dyDescent="0.2">
      <c r="A222" s="66" t="str">
        <f t="shared" si="11"/>
        <v>R003</v>
      </c>
      <c r="B222" s="67">
        <f>$A$1425</f>
        <v>45413</v>
      </c>
      <c r="C222" s="66" t="str">
        <f t="shared" si="12"/>
        <v>Enterprise AE</v>
      </c>
      <c r="D222" s="65">
        <f>SUMIFS(Fact_Quota!$D:$D,Fact_Quota!$A:$A,$A222,Fact_Quota!$B:$B,"&gt;="&amp;B222,Fact_Quota!$B:$B,"&lt;"&amp;EDATE(B222,1))</f>
        <v>0</v>
      </c>
      <c r="E222" s="65">
        <f>SUMIFS(Fact_Pipeline!$K:$K,Fact_Pipeline!$B:$B,$A222,Fact_Pipeline!$J:$J,"Won",Fact_Pipeline!$I:$I,"&gt;="&amp;B222,Fact_Pipeline!$I:$I,"&lt;"&amp;EDATE(B222,1))</f>
        <v>0</v>
      </c>
      <c r="F222" s="66" t="b">
        <f>AND(D222&gt;0,IFERROR(E222/D222&gt;=G6,FALSE()))</f>
        <v>0</v>
      </c>
      <c r="G222" s="65">
        <f t="shared" si="13"/>
        <v>0</v>
      </c>
      <c r="H222" s="65">
        <f>IF(F222,MAX(0,MIN(E222,I6*D222)-D222)*IFERROR(INDEX($C$158:$C$161,MATCH(C222,$A$158:$A$161,0)),0),0)</f>
        <v>0</v>
      </c>
      <c r="I222" s="65">
        <f>IF(F222,MAX(0,E222-I6*D222)*IFERROR(INDEX($D$158:$D$161,MATCH(C222,$A$158:$A$161,0)),0),0)</f>
        <v>0</v>
      </c>
      <c r="J222" s="65">
        <f t="shared" si="14"/>
        <v>0</v>
      </c>
    </row>
    <row r="223" spans="1:16" ht="15" customHeight="1" outlineLevel="1" x14ac:dyDescent="0.2">
      <c r="A223" s="66" t="str">
        <f t="shared" si="11"/>
        <v>R003</v>
      </c>
      <c r="B223" s="67">
        <f>$A$1426</f>
        <v>45444</v>
      </c>
      <c r="C223" s="66" t="str">
        <f t="shared" si="12"/>
        <v>Enterprise AE</v>
      </c>
      <c r="D223" s="65">
        <f>SUMIFS(Fact_Quota!$D:$D,Fact_Quota!$A:$A,$A223,Fact_Quota!$B:$B,"&gt;="&amp;B223,Fact_Quota!$B:$B,"&lt;"&amp;EDATE(B223,1))</f>
        <v>0</v>
      </c>
      <c r="E223" s="65">
        <f>SUMIFS(Fact_Pipeline!$K:$K,Fact_Pipeline!$B:$B,$A223,Fact_Pipeline!$J:$J,"Won",Fact_Pipeline!$I:$I,"&gt;="&amp;B223,Fact_Pipeline!$I:$I,"&lt;"&amp;EDATE(B223,1))</f>
        <v>0</v>
      </c>
      <c r="F223" s="66" t="b">
        <f>AND(D223&gt;0,IFERROR(E223/D223&gt;=G6,FALSE()))</f>
        <v>0</v>
      </c>
      <c r="G223" s="65">
        <f t="shared" si="13"/>
        <v>0</v>
      </c>
      <c r="H223" s="65">
        <f>IF(F223,MAX(0,MIN(E223,I6*D223)-D223)*IFERROR(INDEX($C$158:$C$161,MATCH(C223,$A$158:$A$161,0)),0),0)</f>
        <v>0</v>
      </c>
      <c r="I223" s="65">
        <f>IF(F223,MAX(0,E223-I6*D223)*IFERROR(INDEX($D$158:$D$161,MATCH(C223,$A$158:$A$161,0)),0),0)</f>
        <v>0</v>
      </c>
      <c r="J223" s="65">
        <f t="shared" si="14"/>
        <v>0</v>
      </c>
    </row>
    <row r="224" spans="1:16" ht="15" customHeight="1" outlineLevel="1" x14ac:dyDescent="0.2">
      <c r="A224" s="66" t="str">
        <f t="shared" si="11"/>
        <v>R003</v>
      </c>
      <c r="B224" s="67">
        <f>$A$1427</f>
        <v>45474</v>
      </c>
      <c r="C224" s="66" t="str">
        <f t="shared" si="12"/>
        <v>Enterprise AE</v>
      </c>
      <c r="D224" s="65">
        <f>SUMIFS(Fact_Quota!$D:$D,Fact_Quota!$A:$A,$A224,Fact_Quota!$B:$B,"&gt;="&amp;B224,Fact_Quota!$B:$B,"&lt;"&amp;EDATE(B224,1))</f>
        <v>0</v>
      </c>
      <c r="E224" s="65">
        <f>SUMIFS(Fact_Pipeline!$K:$K,Fact_Pipeline!$B:$B,$A224,Fact_Pipeline!$J:$J,"Won",Fact_Pipeline!$I:$I,"&gt;="&amp;B224,Fact_Pipeline!$I:$I,"&lt;"&amp;EDATE(B224,1))</f>
        <v>0</v>
      </c>
      <c r="F224" s="66" t="b">
        <f>AND(D224&gt;0,IFERROR(E224/D224&gt;=G6,FALSE()))</f>
        <v>0</v>
      </c>
      <c r="G224" s="65">
        <f t="shared" si="13"/>
        <v>0</v>
      </c>
      <c r="H224" s="65">
        <f>IF(F224,MAX(0,MIN(E224,I6*D224)-D224)*IFERROR(INDEX($C$158:$C$161,MATCH(C224,$A$158:$A$161,0)),0),0)</f>
        <v>0</v>
      </c>
      <c r="I224" s="65">
        <f>IF(F224,MAX(0,E224-I6*D224)*IFERROR(INDEX($D$158:$D$161,MATCH(C224,$A$158:$A$161,0)),0),0)</f>
        <v>0</v>
      </c>
      <c r="J224" s="65">
        <f t="shared" si="14"/>
        <v>0</v>
      </c>
    </row>
    <row r="225" spans="1:10" ht="15" customHeight="1" outlineLevel="1" x14ac:dyDescent="0.2">
      <c r="A225" s="66" t="str">
        <f t="shared" si="11"/>
        <v>R003</v>
      </c>
      <c r="B225" s="67">
        <f>$A$1428</f>
        <v>45505</v>
      </c>
      <c r="C225" s="66" t="str">
        <f t="shared" si="12"/>
        <v>Enterprise AE</v>
      </c>
      <c r="D225" s="65">
        <f>SUMIFS(Fact_Quota!$D:$D,Fact_Quota!$A:$A,$A225,Fact_Quota!$B:$B,"&gt;="&amp;B225,Fact_Quota!$B:$B,"&lt;"&amp;EDATE(B225,1))</f>
        <v>0</v>
      </c>
      <c r="E225" s="65">
        <f>SUMIFS(Fact_Pipeline!$K:$K,Fact_Pipeline!$B:$B,$A225,Fact_Pipeline!$J:$J,"Won",Fact_Pipeline!$I:$I,"&gt;="&amp;B225,Fact_Pipeline!$I:$I,"&lt;"&amp;EDATE(B225,1))</f>
        <v>0</v>
      </c>
      <c r="F225" s="66" t="b">
        <f>AND(D225&gt;0,IFERROR(E225/D225&gt;=G6,FALSE()))</f>
        <v>0</v>
      </c>
      <c r="G225" s="65">
        <f t="shared" si="13"/>
        <v>0</v>
      </c>
      <c r="H225" s="65">
        <f>IF(F225,MAX(0,MIN(E225,I6*D225)-D225)*IFERROR(INDEX($C$158:$C$161,MATCH(C225,$A$158:$A$161,0)),0),0)</f>
        <v>0</v>
      </c>
      <c r="I225" s="65">
        <f>IF(F225,MAX(0,E225-I6*D225)*IFERROR(INDEX($D$158:$D$161,MATCH(C225,$A$158:$A$161,0)),0),0)</f>
        <v>0</v>
      </c>
      <c r="J225" s="65">
        <f t="shared" si="14"/>
        <v>0</v>
      </c>
    </row>
    <row r="226" spans="1:10" ht="15" customHeight="1" outlineLevel="1" x14ac:dyDescent="0.2">
      <c r="A226" s="66" t="str">
        <f t="shared" si="11"/>
        <v>R003</v>
      </c>
      <c r="B226" s="67">
        <f>$A$1429</f>
        <v>45536</v>
      </c>
      <c r="C226" s="66" t="str">
        <f t="shared" si="12"/>
        <v>Enterprise AE</v>
      </c>
      <c r="D226" s="65">
        <f>SUMIFS(Fact_Quota!$D:$D,Fact_Quota!$A:$A,$A226,Fact_Quota!$B:$B,"&gt;="&amp;B226,Fact_Quota!$B:$B,"&lt;"&amp;EDATE(B226,1))</f>
        <v>0</v>
      </c>
      <c r="E226" s="65">
        <f>SUMIFS(Fact_Pipeline!$K:$K,Fact_Pipeline!$B:$B,$A226,Fact_Pipeline!$J:$J,"Won",Fact_Pipeline!$I:$I,"&gt;="&amp;B226,Fact_Pipeline!$I:$I,"&lt;"&amp;EDATE(B226,1))</f>
        <v>0</v>
      </c>
      <c r="F226" s="66" t="b">
        <f>AND(D226&gt;0,IFERROR(E226/D226&gt;=G6,FALSE()))</f>
        <v>0</v>
      </c>
      <c r="G226" s="65">
        <f t="shared" si="13"/>
        <v>0</v>
      </c>
      <c r="H226" s="65">
        <f>IF(F226,MAX(0,MIN(E226,I6*D226)-D226)*IFERROR(INDEX($C$158:$C$161,MATCH(C226,$A$158:$A$161,0)),0),0)</f>
        <v>0</v>
      </c>
      <c r="I226" s="65">
        <f>IF(F226,MAX(0,E226-I6*D226)*IFERROR(INDEX($D$158:$D$161,MATCH(C226,$A$158:$A$161,0)),0),0)</f>
        <v>0</v>
      </c>
      <c r="J226" s="65">
        <f t="shared" si="14"/>
        <v>0</v>
      </c>
    </row>
    <row r="227" spans="1:10" ht="15" customHeight="1" outlineLevel="1" x14ac:dyDescent="0.2">
      <c r="A227" s="66" t="str">
        <f t="shared" si="11"/>
        <v>R003</v>
      </c>
      <c r="B227" s="67">
        <f>$A$1430</f>
        <v>45566</v>
      </c>
      <c r="C227" s="66" t="str">
        <f t="shared" si="12"/>
        <v>Enterprise AE</v>
      </c>
      <c r="D227" s="65">
        <f>SUMIFS(Fact_Quota!$D:$D,Fact_Quota!$A:$A,$A227,Fact_Quota!$B:$B,"&gt;="&amp;B227,Fact_Quota!$B:$B,"&lt;"&amp;EDATE(B227,1))</f>
        <v>0</v>
      </c>
      <c r="E227" s="65">
        <f>SUMIFS(Fact_Pipeline!$K:$K,Fact_Pipeline!$B:$B,$A227,Fact_Pipeline!$J:$J,"Won",Fact_Pipeline!$I:$I,"&gt;="&amp;B227,Fact_Pipeline!$I:$I,"&lt;"&amp;EDATE(B227,1))</f>
        <v>0</v>
      </c>
      <c r="F227" s="66" t="b">
        <f>AND(D227&gt;0,IFERROR(E227/D227&gt;=G6,FALSE()))</f>
        <v>0</v>
      </c>
      <c r="G227" s="65">
        <f t="shared" si="13"/>
        <v>0</v>
      </c>
      <c r="H227" s="65">
        <f>IF(F227,MAX(0,MIN(E227,I6*D227)-D227)*IFERROR(INDEX($C$158:$C$161,MATCH(C227,$A$158:$A$161,0)),0),0)</f>
        <v>0</v>
      </c>
      <c r="I227" s="65">
        <f>IF(F227,MAX(0,E227-I6*D227)*IFERROR(INDEX($D$158:$D$161,MATCH(C227,$A$158:$A$161,0)),0),0)</f>
        <v>0</v>
      </c>
      <c r="J227" s="65">
        <f t="shared" si="14"/>
        <v>0</v>
      </c>
    </row>
    <row r="228" spans="1:10" ht="15" customHeight="1" outlineLevel="1" x14ac:dyDescent="0.2">
      <c r="A228" s="66" t="str">
        <f t="shared" si="11"/>
        <v>R003</v>
      </c>
      <c r="B228" s="67">
        <f>$A$1431</f>
        <v>45597</v>
      </c>
      <c r="C228" s="66" t="str">
        <f t="shared" si="12"/>
        <v>Enterprise AE</v>
      </c>
      <c r="D228" s="65">
        <f>SUMIFS(Fact_Quota!$D:$D,Fact_Quota!$A:$A,$A228,Fact_Quota!$B:$B,"&gt;="&amp;B228,Fact_Quota!$B:$B,"&lt;"&amp;EDATE(B228,1))</f>
        <v>0</v>
      </c>
      <c r="E228" s="65">
        <f>SUMIFS(Fact_Pipeline!$K:$K,Fact_Pipeline!$B:$B,$A228,Fact_Pipeline!$J:$J,"Won",Fact_Pipeline!$I:$I,"&gt;="&amp;B228,Fact_Pipeline!$I:$I,"&lt;"&amp;EDATE(B228,1))</f>
        <v>0</v>
      </c>
      <c r="F228" s="66" t="b">
        <f>AND(D228&gt;0,IFERROR(E228/D228&gt;=G6,FALSE()))</f>
        <v>0</v>
      </c>
      <c r="G228" s="65">
        <f t="shared" si="13"/>
        <v>0</v>
      </c>
      <c r="H228" s="65">
        <f>IF(F228,MAX(0,MIN(E228,I6*D228)-D228)*IFERROR(INDEX($C$158:$C$161,MATCH(C228,$A$158:$A$161,0)),0),0)</f>
        <v>0</v>
      </c>
      <c r="I228" s="65">
        <f>IF(F228,MAX(0,E228-I6*D228)*IFERROR(INDEX($D$158:$D$161,MATCH(C228,$A$158:$A$161,0)),0),0)</f>
        <v>0</v>
      </c>
      <c r="J228" s="65">
        <f t="shared" si="14"/>
        <v>0</v>
      </c>
    </row>
    <row r="229" spans="1:10" ht="15" customHeight="1" outlineLevel="1" x14ac:dyDescent="0.2">
      <c r="A229" s="66" t="str">
        <f t="shared" si="11"/>
        <v>R003</v>
      </c>
      <c r="B229" s="67">
        <f>$A$1432</f>
        <v>45627</v>
      </c>
      <c r="C229" s="66" t="str">
        <f t="shared" si="12"/>
        <v>Enterprise AE</v>
      </c>
      <c r="D229" s="65">
        <f>SUMIFS(Fact_Quota!$D:$D,Fact_Quota!$A:$A,$A229,Fact_Quota!$B:$B,"&gt;="&amp;B229,Fact_Quota!$B:$B,"&lt;"&amp;EDATE(B229,1))</f>
        <v>0</v>
      </c>
      <c r="E229" s="65">
        <f>SUMIFS(Fact_Pipeline!$K:$K,Fact_Pipeline!$B:$B,$A229,Fact_Pipeline!$J:$J,"Won",Fact_Pipeline!$I:$I,"&gt;="&amp;B229,Fact_Pipeline!$I:$I,"&lt;"&amp;EDATE(B229,1))</f>
        <v>0</v>
      </c>
      <c r="F229" s="66" t="b">
        <f>AND(D229&gt;0,IFERROR(E229/D229&gt;=G6,FALSE()))</f>
        <v>0</v>
      </c>
      <c r="G229" s="65">
        <f t="shared" si="13"/>
        <v>0</v>
      </c>
      <c r="H229" s="65">
        <f>IF(F229,MAX(0,MIN(E229,I6*D229)-D229)*IFERROR(INDEX($C$158:$C$161,MATCH(C229,$A$158:$A$161,0)),0),0)</f>
        <v>0</v>
      </c>
      <c r="I229" s="65">
        <f>IF(F229,MAX(0,E229-I6*D229)*IFERROR(INDEX($D$158:$D$161,MATCH(C229,$A$158:$A$161,0)),0),0)</f>
        <v>0</v>
      </c>
      <c r="J229" s="65">
        <f t="shared" si="14"/>
        <v>0</v>
      </c>
    </row>
    <row r="230" spans="1:10" ht="15" customHeight="1" outlineLevel="1" x14ac:dyDescent="0.2">
      <c r="A230" s="66" t="str">
        <f t="shared" si="11"/>
        <v>R003</v>
      </c>
      <c r="B230" s="67">
        <f>$A$1433</f>
        <v>45658</v>
      </c>
      <c r="C230" s="66" t="str">
        <f t="shared" si="12"/>
        <v>Enterprise AE</v>
      </c>
      <c r="D230" s="65">
        <f>SUMIFS(Fact_Quota!$D:$D,Fact_Quota!$A:$A,$A230,Fact_Quota!$B:$B,"&gt;="&amp;B230,Fact_Quota!$B:$B,"&lt;"&amp;EDATE(B230,1))</f>
        <v>0</v>
      </c>
      <c r="E230" s="65">
        <f>SUMIFS(Fact_Pipeline!$K:$K,Fact_Pipeline!$B:$B,$A230,Fact_Pipeline!$J:$J,"Won",Fact_Pipeline!$I:$I,"&gt;="&amp;B230,Fact_Pipeline!$I:$I,"&lt;"&amp;EDATE(B230,1))</f>
        <v>0</v>
      </c>
      <c r="F230" s="66" t="b">
        <f>AND(D230&gt;0,IFERROR(E230/D230&gt;=G6,FALSE()))</f>
        <v>0</v>
      </c>
      <c r="G230" s="65">
        <f t="shared" si="13"/>
        <v>0</v>
      </c>
      <c r="H230" s="65">
        <f>IF(F230,MAX(0,MIN(E230,I6*D230)-D230)*IFERROR(INDEX($C$158:$C$161,MATCH(C230,$A$158:$A$161,0)),0),0)</f>
        <v>0</v>
      </c>
      <c r="I230" s="65">
        <f>IF(F230,MAX(0,E230-I6*D230)*IFERROR(INDEX($D$158:$D$161,MATCH(C230,$A$158:$A$161,0)),0),0)</f>
        <v>0</v>
      </c>
      <c r="J230" s="65">
        <f t="shared" si="14"/>
        <v>0</v>
      </c>
    </row>
    <row r="231" spans="1:10" ht="15" customHeight="1" outlineLevel="1" x14ac:dyDescent="0.2">
      <c r="A231" s="66" t="str">
        <f t="shared" si="11"/>
        <v>R003</v>
      </c>
      <c r="B231" s="67">
        <f>$A$1434</f>
        <v>45689</v>
      </c>
      <c r="C231" s="66" t="str">
        <f t="shared" si="12"/>
        <v>Enterprise AE</v>
      </c>
      <c r="D231" s="65">
        <f>SUMIFS(Fact_Quota!$D:$D,Fact_Quota!$A:$A,$A231,Fact_Quota!$B:$B,"&gt;="&amp;B231,Fact_Quota!$B:$B,"&lt;"&amp;EDATE(B231,1))</f>
        <v>0</v>
      </c>
      <c r="E231" s="65">
        <f>SUMIFS(Fact_Pipeline!$K:$K,Fact_Pipeline!$B:$B,$A231,Fact_Pipeline!$J:$J,"Won",Fact_Pipeline!$I:$I,"&gt;="&amp;B231,Fact_Pipeline!$I:$I,"&lt;"&amp;EDATE(B231,1))</f>
        <v>0</v>
      </c>
      <c r="F231" s="66" t="b">
        <f>AND(D231&gt;0,IFERROR(E231/D231&gt;=G6,FALSE()))</f>
        <v>0</v>
      </c>
      <c r="G231" s="65">
        <f t="shared" si="13"/>
        <v>0</v>
      </c>
      <c r="H231" s="65">
        <f>IF(F231,MAX(0,MIN(E231,I6*D231)-D231)*IFERROR(INDEX($C$158:$C$161,MATCH(C231,$A$158:$A$161,0)),0),0)</f>
        <v>0</v>
      </c>
      <c r="I231" s="65">
        <f>IF(F231,MAX(0,E231-I6*D231)*IFERROR(INDEX($D$158:$D$161,MATCH(C231,$A$158:$A$161,0)),0),0)</f>
        <v>0</v>
      </c>
      <c r="J231" s="65">
        <f t="shared" si="14"/>
        <v>0</v>
      </c>
    </row>
    <row r="232" spans="1:10" ht="15" customHeight="1" outlineLevel="1" x14ac:dyDescent="0.2">
      <c r="A232" s="66" t="str">
        <f t="shared" si="11"/>
        <v>R003</v>
      </c>
      <c r="B232" s="67">
        <f>$A$1435</f>
        <v>45717</v>
      </c>
      <c r="C232" s="66" t="str">
        <f t="shared" si="12"/>
        <v>Enterprise AE</v>
      </c>
      <c r="D232" s="65">
        <f>SUMIFS(Fact_Quota!$D:$D,Fact_Quota!$A:$A,$A232,Fact_Quota!$B:$B,"&gt;="&amp;B232,Fact_Quota!$B:$B,"&lt;"&amp;EDATE(B232,1))</f>
        <v>0</v>
      </c>
      <c r="E232" s="65">
        <f>SUMIFS(Fact_Pipeline!$K:$K,Fact_Pipeline!$B:$B,$A232,Fact_Pipeline!$J:$J,"Won",Fact_Pipeline!$I:$I,"&gt;="&amp;B232,Fact_Pipeline!$I:$I,"&lt;"&amp;EDATE(B232,1))</f>
        <v>0</v>
      </c>
      <c r="F232" s="66" t="b">
        <f>AND(D232&gt;0,IFERROR(E232/D232&gt;=G6,FALSE()))</f>
        <v>0</v>
      </c>
      <c r="G232" s="65">
        <f t="shared" si="13"/>
        <v>0</v>
      </c>
      <c r="H232" s="65">
        <f>IF(F232,MAX(0,MIN(E232,I6*D232)-D232)*IFERROR(INDEX($C$158:$C$161,MATCH(C232,$A$158:$A$161,0)),0),0)</f>
        <v>0</v>
      </c>
      <c r="I232" s="65">
        <f>IF(F232,MAX(0,E232-I6*D232)*IFERROR(INDEX($D$158:$D$161,MATCH(C232,$A$158:$A$161,0)),0),0)</f>
        <v>0</v>
      </c>
      <c r="J232" s="65">
        <f t="shared" si="14"/>
        <v>0</v>
      </c>
    </row>
    <row r="233" spans="1:10" ht="15" customHeight="1" outlineLevel="1" x14ac:dyDescent="0.2">
      <c r="A233" s="66" t="str">
        <f t="shared" si="11"/>
        <v>R003</v>
      </c>
      <c r="B233" s="67">
        <f>$A$1436</f>
        <v>45748</v>
      </c>
      <c r="C233" s="66" t="str">
        <f t="shared" si="12"/>
        <v>Enterprise AE</v>
      </c>
      <c r="D233" s="65">
        <f>SUMIFS(Fact_Quota!$D:$D,Fact_Quota!$A:$A,$A233,Fact_Quota!$B:$B,"&gt;="&amp;B233,Fact_Quota!$B:$B,"&lt;"&amp;EDATE(B233,1))</f>
        <v>8400</v>
      </c>
      <c r="E233" s="65">
        <f>SUMIFS(Fact_Pipeline!$K:$K,Fact_Pipeline!$B:$B,$A233,Fact_Pipeline!$J:$J,"Won",Fact_Pipeline!$I:$I,"&gt;="&amp;B233,Fact_Pipeline!$I:$I,"&lt;"&amp;EDATE(B233,1))</f>
        <v>0</v>
      </c>
      <c r="F233" s="66" t="b">
        <f>AND(D233&gt;0,IFERROR(E233/D233&gt;=G6,FALSE()))</f>
        <v>0</v>
      </c>
      <c r="G233" s="65">
        <f t="shared" si="13"/>
        <v>0</v>
      </c>
      <c r="H233" s="65">
        <f>IF(F233,MAX(0,MIN(E233,I6*D233)-D233)*IFERROR(INDEX($C$158:$C$161,MATCH(C233,$A$158:$A$161,0)),0),0)</f>
        <v>0</v>
      </c>
      <c r="I233" s="65">
        <f>IF(F233,MAX(0,E233-I6*D233)*IFERROR(INDEX($D$158:$D$161,MATCH(C233,$A$158:$A$161,0)),0),0)</f>
        <v>0</v>
      </c>
      <c r="J233" s="65">
        <f t="shared" si="14"/>
        <v>0</v>
      </c>
    </row>
    <row r="234" spans="1:10" ht="15" customHeight="1" outlineLevel="1" x14ac:dyDescent="0.2">
      <c r="A234" s="66" t="str">
        <f t="shared" si="11"/>
        <v>R003</v>
      </c>
      <c r="B234" s="67">
        <f>$A$1437</f>
        <v>45778</v>
      </c>
      <c r="C234" s="66" t="str">
        <f t="shared" si="12"/>
        <v>Enterprise AE</v>
      </c>
      <c r="D234" s="65">
        <f>SUMIFS(Fact_Quota!$D:$D,Fact_Quota!$A:$A,$A234,Fact_Quota!$B:$B,"&gt;="&amp;B234,Fact_Quota!$B:$B,"&lt;"&amp;EDATE(B234,1))</f>
        <v>16000</v>
      </c>
      <c r="E234" s="65">
        <f>SUMIFS(Fact_Pipeline!$K:$K,Fact_Pipeline!$B:$B,$A234,Fact_Pipeline!$J:$J,"Won",Fact_Pipeline!$I:$I,"&gt;="&amp;B234,Fact_Pipeline!$I:$I,"&lt;"&amp;EDATE(B234,1))</f>
        <v>0</v>
      </c>
      <c r="F234" s="66" t="b">
        <f>AND(D234&gt;0,IFERROR(E234/D234&gt;=G6,FALSE()))</f>
        <v>0</v>
      </c>
      <c r="G234" s="65">
        <f t="shared" si="13"/>
        <v>0</v>
      </c>
      <c r="H234" s="65">
        <f>IF(F234,MAX(0,MIN(E234,I6*D234)-D234)*IFERROR(INDEX($C$158:$C$161,MATCH(C234,$A$158:$A$161,0)),0),0)</f>
        <v>0</v>
      </c>
      <c r="I234" s="65">
        <f>IF(F234,MAX(0,E234-I6*D234)*IFERROR(INDEX($D$158:$D$161,MATCH(C234,$A$158:$A$161,0)),0),0)</f>
        <v>0</v>
      </c>
      <c r="J234" s="65">
        <f t="shared" si="14"/>
        <v>0</v>
      </c>
    </row>
    <row r="235" spans="1:10" ht="15" customHeight="1" outlineLevel="1" x14ac:dyDescent="0.2">
      <c r="A235" s="66" t="str">
        <f t="shared" si="11"/>
        <v>R003</v>
      </c>
      <c r="B235" s="67">
        <f>$A$1438</f>
        <v>45809</v>
      </c>
      <c r="C235" s="66" t="str">
        <f t="shared" si="12"/>
        <v>Enterprise AE</v>
      </c>
      <c r="D235" s="65">
        <f>SUMIFS(Fact_Quota!$D:$D,Fact_Quota!$A:$A,$A235,Fact_Quota!$B:$B,"&gt;="&amp;B235,Fact_Quota!$B:$B,"&lt;"&amp;EDATE(B235,1))</f>
        <v>25100</v>
      </c>
      <c r="E235" s="65">
        <f>SUMIFS(Fact_Pipeline!$K:$K,Fact_Pipeline!$B:$B,$A235,Fact_Pipeline!$J:$J,"Won",Fact_Pipeline!$I:$I,"&gt;="&amp;B235,Fact_Pipeline!$I:$I,"&lt;"&amp;EDATE(B235,1))</f>
        <v>0</v>
      </c>
      <c r="F235" s="66" t="b">
        <f>AND(D235&gt;0,IFERROR(E235/D235&gt;=G6,FALSE()))</f>
        <v>0</v>
      </c>
      <c r="G235" s="65">
        <f t="shared" si="13"/>
        <v>0</v>
      </c>
      <c r="H235" s="65">
        <f>IF(F235,MAX(0,MIN(E235,I6*D235)-D235)*IFERROR(INDEX($C$158:$C$161,MATCH(C235,$A$158:$A$161,0)),0),0)</f>
        <v>0</v>
      </c>
      <c r="I235" s="65">
        <f>IF(F235,MAX(0,E235-I6*D235)*IFERROR(INDEX($D$158:$D$161,MATCH(C235,$A$158:$A$161,0)),0),0)</f>
        <v>0</v>
      </c>
      <c r="J235" s="65">
        <f t="shared" si="14"/>
        <v>0</v>
      </c>
    </row>
    <row r="236" spans="1:10" ht="15" customHeight="1" outlineLevel="1" x14ac:dyDescent="0.2">
      <c r="A236" s="66" t="str">
        <f t="shared" si="11"/>
        <v>R003</v>
      </c>
      <c r="B236" s="67">
        <f>$A$1439</f>
        <v>45839</v>
      </c>
      <c r="C236" s="66" t="str">
        <f t="shared" si="12"/>
        <v>Enterprise AE</v>
      </c>
      <c r="D236" s="65">
        <f>SUMIFS(Fact_Quota!$D:$D,Fact_Quota!$A:$A,$A236,Fact_Quota!$B:$B,"&gt;="&amp;B236,Fact_Quota!$B:$B,"&lt;"&amp;EDATE(B236,1))</f>
        <v>29500</v>
      </c>
      <c r="E236" s="65">
        <f>SUMIFS(Fact_Pipeline!$K:$K,Fact_Pipeline!$B:$B,$A236,Fact_Pipeline!$J:$J,"Won",Fact_Pipeline!$I:$I,"&gt;="&amp;B236,Fact_Pipeline!$I:$I,"&lt;"&amp;EDATE(B236,1))</f>
        <v>0</v>
      </c>
      <c r="F236" s="66" t="b">
        <f>AND(D236&gt;0,IFERROR(E236/D236&gt;=G6,FALSE()))</f>
        <v>0</v>
      </c>
      <c r="G236" s="65">
        <f t="shared" si="13"/>
        <v>0</v>
      </c>
      <c r="H236" s="65">
        <f>IF(F236,MAX(0,MIN(E236,I6*D236)-D236)*IFERROR(INDEX($C$158:$C$161,MATCH(C236,$A$158:$A$161,0)),0),0)</f>
        <v>0</v>
      </c>
      <c r="I236" s="65">
        <f>IF(F236,MAX(0,E236-I6*D236)*IFERROR(INDEX($D$158:$D$161,MATCH(C236,$A$158:$A$161,0)),0),0)</f>
        <v>0</v>
      </c>
      <c r="J236" s="65">
        <f t="shared" si="14"/>
        <v>0</v>
      </c>
    </row>
    <row r="237" spans="1:10" ht="15" customHeight="1" outlineLevel="1" x14ac:dyDescent="0.2">
      <c r="A237" s="66" t="str">
        <f t="shared" si="11"/>
        <v>R003</v>
      </c>
      <c r="B237" s="67">
        <f>$A$1440</f>
        <v>45870</v>
      </c>
      <c r="C237" s="66" t="str">
        <f t="shared" si="12"/>
        <v>Enterprise AE</v>
      </c>
      <c r="D237" s="65">
        <f>SUMIFS(Fact_Quota!$D:$D,Fact_Quota!$A:$A,$A237,Fact_Quota!$B:$B,"&gt;="&amp;B237,Fact_Quota!$B:$B,"&lt;"&amp;EDATE(B237,1))</f>
        <v>32800</v>
      </c>
      <c r="E237" s="65">
        <f>SUMIFS(Fact_Pipeline!$K:$K,Fact_Pipeline!$B:$B,$A237,Fact_Pipeline!$J:$J,"Won",Fact_Pipeline!$I:$I,"&gt;="&amp;B237,Fact_Pipeline!$I:$I,"&lt;"&amp;EDATE(B237,1))</f>
        <v>22000</v>
      </c>
      <c r="F237" s="66" t="b">
        <f>AND(D237&gt;0,IFERROR(E237/D237&gt;=G6,FALSE()))</f>
        <v>1</v>
      </c>
      <c r="G237" s="65">
        <f t="shared" si="13"/>
        <v>1320</v>
      </c>
      <c r="H237" s="65">
        <f>IF(F237,MAX(0,MIN(E237,I6*D237)-D237)*IFERROR(INDEX($C$158:$C$161,MATCH(C237,$A$158:$A$161,0)),0),0)</f>
        <v>0</v>
      </c>
      <c r="I237" s="65">
        <f>IF(F237,MAX(0,E237-I6*D237)*IFERROR(INDEX($D$158:$D$161,MATCH(C237,$A$158:$A$161,0)),0),0)</f>
        <v>0</v>
      </c>
      <c r="J237" s="65">
        <f t="shared" si="14"/>
        <v>1320</v>
      </c>
    </row>
    <row r="238" spans="1:10" ht="15" customHeight="1" outlineLevel="1" x14ac:dyDescent="0.2">
      <c r="A238" s="66" t="str">
        <f t="shared" si="11"/>
        <v>R003</v>
      </c>
      <c r="B238" s="67">
        <f>$A$1441</f>
        <v>45901</v>
      </c>
      <c r="C238" s="66" t="str">
        <f t="shared" si="12"/>
        <v>Enterprise AE</v>
      </c>
      <c r="D238" s="65">
        <f>SUMIFS(Fact_Quota!$D:$D,Fact_Quota!$A:$A,$A238,Fact_Quota!$B:$B,"&gt;="&amp;B238,Fact_Quota!$B:$B,"&lt;"&amp;EDATE(B238,1))</f>
        <v>32100</v>
      </c>
      <c r="E238" s="65">
        <f>SUMIFS(Fact_Pipeline!$K:$K,Fact_Pipeline!$B:$B,$A238,Fact_Pipeline!$J:$J,"Won",Fact_Pipeline!$I:$I,"&gt;="&amp;B238,Fact_Pipeline!$I:$I,"&lt;"&amp;EDATE(B238,1))</f>
        <v>0</v>
      </c>
      <c r="F238" s="66" t="b">
        <f>AND(D238&gt;0,IFERROR(E238/D238&gt;=G6,FALSE()))</f>
        <v>0</v>
      </c>
      <c r="G238" s="65">
        <f t="shared" si="13"/>
        <v>0</v>
      </c>
      <c r="H238" s="65">
        <f>IF(F238,MAX(0,MIN(E238,I6*D238)-D238)*IFERROR(INDEX($C$158:$C$161,MATCH(C238,$A$158:$A$161,0)),0),0)</f>
        <v>0</v>
      </c>
      <c r="I238" s="65">
        <f>IF(F238,MAX(0,E238-I6*D238)*IFERROR(INDEX($D$158:$D$161,MATCH(C238,$A$158:$A$161,0)),0),0)</f>
        <v>0</v>
      </c>
      <c r="J238" s="65">
        <f t="shared" si="14"/>
        <v>0</v>
      </c>
    </row>
    <row r="239" spans="1:10" ht="15" customHeight="1" outlineLevel="1" x14ac:dyDescent="0.2">
      <c r="A239" s="66" t="str">
        <f t="shared" si="11"/>
        <v>R003</v>
      </c>
      <c r="B239" s="67">
        <f>$A$1442</f>
        <v>45931</v>
      </c>
      <c r="C239" s="66" t="str">
        <f t="shared" si="12"/>
        <v>Enterprise AE</v>
      </c>
      <c r="D239" s="65">
        <f>SUMIFS(Fact_Quota!$D:$D,Fact_Quota!$A:$A,$A239,Fact_Quota!$B:$B,"&gt;="&amp;B239,Fact_Quota!$B:$B,"&lt;"&amp;EDATE(B239,1))</f>
        <v>31700</v>
      </c>
      <c r="E239" s="65">
        <f>SUMIFS(Fact_Pipeline!$K:$K,Fact_Pipeline!$B:$B,$A239,Fact_Pipeline!$J:$J,"Won",Fact_Pipeline!$I:$I,"&gt;="&amp;B239,Fact_Pipeline!$I:$I,"&lt;"&amp;EDATE(B239,1))</f>
        <v>31900</v>
      </c>
      <c r="F239" s="66" t="b">
        <f>AND(D239&gt;0,IFERROR(E239/D239&gt;=G6,FALSE()))</f>
        <v>1</v>
      </c>
      <c r="G239" s="65">
        <f t="shared" si="13"/>
        <v>1902</v>
      </c>
      <c r="H239" s="65">
        <f>IF(F239,MAX(0,MIN(E239,I6*D239)-D239)*IFERROR(INDEX($C$158:$C$161,MATCH(C239,$A$158:$A$161,0)),0),0)</f>
        <v>20</v>
      </c>
      <c r="I239" s="65">
        <f>IF(F239,MAX(0,E239-I6*D239)*IFERROR(INDEX($D$158:$D$161,MATCH(C239,$A$158:$A$161,0)),0),0)</f>
        <v>0</v>
      </c>
      <c r="J239" s="65">
        <f t="shared" si="14"/>
        <v>1922</v>
      </c>
    </row>
    <row r="240" spans="1:10" ht="15" customHeight="1" outlineLevel="1" x14ac:dyDescent="0.2">
      <c r="A240" s="66" t="str">
        <f t="shared" si="11"/>
        <v>R003</v>
      </c>
      <c r="B240" s="67">
        <f>$A$1443</f>
        <v>45962</v>
      </c>
      <c r="C240" s="66" t="str">
        <f t="shared" si="12"/>
        <v>Enterprise AE</v>
      </c>
      <c r="D240" s="65">
        <f>SUMIFS(Fact_Quota!$D:$D,Fact_Quota!$A:$A,$A240,Fact_Quota!$B:$B,"&gt;="&amp;B240,Fact_Quota!$B:$B,"&lt;"&amp;EDATE(B240,1))</f>
        <v>32100</v>
      </c>
      <c r="E240" s="65">
        <f>SUMIFS(Fact_Pipeline!$K:$K,Fact_Pipeline!$B:$B,$A240,Fact_Pipeline!$J:$J,"Won",Fact_Pipeline!$I:$I,"&gt;="&amp;B240,Fact_Pipeline!$I:$I,"&lt;"&amp;EDATE(B240,1))</f>
        <v>0</v>
      </c>
      <c r="F240" s="66" t="b">
        <f>AND(D240&gt;0,IFERROR(E240/D240&gt;=G6,FALSE()))</f>
        <v>0</v>
      </c>
      <c r="G240" s="65">
        <f t="shared" si="13"/>
        <v>0</v>
      </c>
      <c r="H240" s="65">
        <f>IF(F240,MAX(0,MIN(E240,I6*D240)-D240)*IFERROR(INDEX($C$158:$C$161,MATCH(C240,$A$158:$A$161,0)),0),0)</f>
        <v>0</v>
      </c>
      <c r="I240" s="65">
        <f>IF(F240,MAX(0,E240-I6*D240)*IFERROR(INDEX($D$158:$D$161,MATCH(C240,$A$158:$A$161,0)),0),0)</f>
        <v>0</v>
      </c>
      <c r="J240" s="65">
        <f t="shared" si="14"/>
        <v>0</v>
      </c>
    </row>
    <row r="241" spans="1:10" ht="15" customHeight="1" outlineLevel="1" x14ac:dyDescent="0.2">
      <c r="A241" s="66" t="str">
        <f t="shared" si="11"/>
        <v>R003</v>
      </c>
      <c r="B241" s="67">
        <f>$A$1444</f>
        <v>45992</v>
      </c>
      <c r="C241" s="66" t="str">
        <f t="shared" si="12"/>
        <v>Enterprise AE</v>
      </c>
      <c r="D241" s="65">
        <f>SUMIFS(Fact_Quota!$D:$D,Fact_Quota!$A:$A,$A241,Fact_Quota!$B:$B,"&gt;="&amp;B241,Fact_Quota!$B:$B,"&lt;"&amp;EDATE(B241,1))</f>
        <v>30100</v>
      </c>
      <c r="E241" s="65">
        <f>SUMIFS(Fact_Pipeline!$K:$K,Fact_Pipeline!$B:$B,$A241,Fact_Pipeline!$J:$J,"Won",Fact_Pipeline!$I:$I,"&gt;="&amp;B241,Fact_Pipeline!$I:$I,"&lt;"&amp;EDATE(B241,1))</f>
        <v>65000</v>
      </c>
      <c r="F241" s="66" t="b">
        <f>AND(D241&gt;0,IFERROR(E241/D241&gt;=G6,FALSE()))</f>
        <v>1</v>
      </c>
      <c r="G241" s="65">
        <f t="shared" si="13"/>
        <v>1806</v>
      </c>
      <c r="H241" s="65">
        <f>IF(F241,MAX(0,MIN(E241,I6*D241)-D241)*IFERROR(INDEX($C$158:$C$161,MATCH(C241,$A$158:$A$161,0)),0),0)</f>
        <v>1505</v>
      </c>
      <c r="I241" s="65">
        <f>IF(F241,MAX(0,E241-I6*D241)*IFERROR(INDEX($D$158:$D$161,MATCH(C241,$A$158:$A$161,0)),0),0)</f>
        <v>2779.0000000000005</v>
      </c>
      <c r="J241" s="65">
        <f t="shared" si="14"/>
        <v>6090</v>
      </c>
    </row>
    <row r="242" spans="1:10" ht="15" customHeight="1" outlineLevel="1" x14ac:dyDescent="0.2">
      <c r="A242" s="63" t="str">
        <f t="shared" ref="A242:A265" si="15">$A$166</f>
        <v>R008</v>
      </c>
      <c r="B242" s="64">
        <f>$A$1421</f>
        <v>45292</v>
      </c>
      <c r="C242" s="63" t="str">
        <f t="shared" ref="C242:C265" si="16">$C$166</f>
        <v>Enterprise AE</v>
      </c>
      <c r="D242" s="62">
        <f>SUMIFS(Fact_Quota!$D:$D,Fact_Quota!$A:$A,$A242,Fact_Quota!$B:$B,"&gt;="&amp;B242,Fact_Quota!$B:$B,"&lt;"&amp;EDATE(B242,1))</f>
        <v>0</v>
      </c>
      <c r="E242" s="62">
        <f>SUMIFS(Fact_Pipeline!$K:$K,Fact_Pipeline!$B:$B,$A242,Fact_Pipeline!$J:$J,"Won",Fact_Pipeline!$I:$I,"&gt;="&amp;B242,Fact_Pipeline!$I:$I,"&lt;"&amp;EDATE(B242,1))</f>
        <v>0</v>
      </c>
      <c r="F242" s="63" t="b">
        <f>AND(D242&gt;0,IFERROR(E242/D242&gt;=G6,FALSE()))</f>
        <v>0</v>
      </c>
      <c r="G242" s="62">
        <f t="shared" si="13"/>
        <v>0</v>
      </c>
      <c r="H242" s="62">
        <f>IF(F242,MAX(0,MIN(E242,I6*D242)-D242)*IFERROR(INDEX($C$158:$C$161,MATCH(C242,$A$158:$A$161,0)),0),0)</f>
        <v>0</v>
      </c>
      <c r="I242" s="62">
        <f>IF(F242,MAX(0,E242-I6*D242)*IFERROR(INDEX($D$158:$D$161,MATCH(C242,$A$158:$A$161,0)),0),0)</f>
        <v>0</v>
      </c>
      <c r="J242" s="62">
        <f t="shared" si="14"/>
        <v>0</v>
      </c>
    </row>
    <row r="243" spans="1:10" ht="15" customHeight="1" outlineLevel="1" x14ac:dyDescent="0.2">
      <c r="A243" s="63" t="str">
        <f t="shared" si="15"/>
        <v>R008</v>
      </c>
      <c r="B243" s="64">
        <f>$A$1422</f>
        <v>45323</v>
      </c>
      <c r="C243" s="63" t="str">
        <f t="shared" si="16"/>
        <v>Enterprise AE</v>
      </c>
      <c r="D243" s="62">
        <f>SUMIFS(Fact_Quota!$D:$D,Fact_Quota!$A:$A,$A243,Fact_Quota!$B:$B,"&gt;="&amp;B243,Fact_Quota!$B:$B,"&lt;"&amp;EDATE(B243,1))</f>
        <v>0</v>
      </c>
      <c r="E243" s="62">
        <f>SUMIFS(Fact_Pipeline!$K:$K,Fact_Pipeline!$B:$B,$A243,Fact_Pipeline!$J:$J,"Won",Fact_Pipeline!$I:$I,"&gt;="&amp;B243,Fact_Pipeline!$I:$I,"&lt;"&amp;EDATE(B243,1))</f>
        <v>0</v>
      </c>
      <c r="F243" s="63" t="b">
        <f>AND(D243&gt;0,IFERROR(E243/D243&gt;=G6,FALSE()))</f>
        <v>0</v>
      </c>
      <c r="G243" s="62">
        <f t="shared" si="13"/>
        <v>0</v>
      </c>
      <c r="H243" s="62">
        <f>IF(F243,MAX(0,MIN(E243,I6*D243)-D243)*IFERROR(INDEX($C$158:$C$161,MATCH(C243,$A$158:$A$161,0)),0),0)</f>
        <v>0</v>
      </c>
      <c r="I243" s="62">
        <f>IF(F243,MAX(0,E243-I6*D243)*IFERROR(INDEX($D$158:$D$161,MATCH(C243,$A$158:$A$161,0)),0),0)</f>
        <v>0</v>
      </c>
      <c r="J243" s="62">
        <f t="shared" si="14"/>
        <v>0</v>
      </c>
    </row>
    <row r="244" spans="1:10" ht="15" customHeight="1" outlineLevel="1" x14ac:dyDescent="0.2">
      <c r="A244" s="63" t="str">
        <f t="shared" si="15"/>
        <v>R008</v>
      </c>
      <c r="B244" s="64">
        <f>$A$1423</f>
        <v>45352</v>
      </c>
      <c r="C244" s="63" t="str">
        <f t="shared" si="16"/>
        <v>Enterprise AE</v>
      </c>
      <c r="D244" s="62">
        <f>SUMIFS(Fact_Quota!$D:$D,Fact_Quota!$A:$A,$A244,Fact_Quota!$B:$B,"&gt;="&amp;B244,Fact_Quota!$B:$B,"&lt;"&amp;EDATE(B244,1))</f>
        <v>0</v>
      </c>
      <c r="E244" s="62">
        <f>SUMIFS(Fact_Pipeline!$K:$K,Fact_Pipeline!$B:$B,$A244,Fact_Pipeline!$J:$J,"Won",Fact_Pipeline!$I:$I,"&gt;="&amp;B244,Fact_Pipeline!$I:$I,"&lt;"&amp;EDATE(B244,1))</f>
        <v>0</v>
      </c>
      <c r="F244" s="63" t="b">
        <f>AND(D244&gt;0,IFERROR(E244/D244&gt;=G6,FALSE()))</f>
        <v>0</v>
      </c>
      <c r="G244" s="62">
        <f t="shared" si="13"/>
        <v>0</v>
      </c>
      <c r="H244" s="62">
        <f>IF(F244,MAX(0,MIN(E244,I6*D244)-D244)*IFERROR(INDEX($C$158:$C$161,MATCH(C244,$A$158:$A$161,0)),0),0)</f>
        <v>0</v>
      </c>
      <c r="I244" s="62">
        <f>IF(F244,MAX(0,E244-I6*D244)*IFERROR(INDEX($D$158:$D$161,MATCH(C244,$A$158:$A$161,0)),0),0)</f>
        <v>0</v>
      </c>
      <c r="J244" s="62">
        <f t="shared" si="14"/>
        <v>0</v>
      </c>
    </row>
    <row r="245" spans="1:10" ht="15" customHeight="1" outlineLevel="1" x14ac:dyDescent="0.2">
      <c r="A245" s="63" t="str">
        <f t="shared" si="15"/>
        <v>R008</v>
      </c>
      <c r="B245" s="64">
        <f>$A$1424</f>
        <v>45383</v>
      </c>
      <c r="C245" s="63" t="str">
        <f t="shared" si="16"/>
        <v>Enterprise AE</v>
      </c>
      <c r="D245" s="62">
        <f>SUMIFS(Fact_Quota!$D:$D,Fact_Quota!$A:$A,$A245,Fact_Quota!$B:$B,"&gt;="&amp;B245,Fact_Quota!$B:$B,"&lt;"&amp;EDATE(B245,1))</f>
        <v>7800</v>
      </c>
      <c r="E245" s="62">
        <f>SUMIFS(Fact_Pipeline!$K:$K,Fact_Pipeline!$B:$B,$A245,Fact_Pipeline!$J:$J,"Won",Fact_Pipeline!$I:$I,"&gt;="&amp;B245,Fact_Pipeline!$I:$I,"&lt;"&amp;EDATE(B245,1))</f>
        <v>0</v>
      </c>
      <c r="F245" s="63" t="b">
        <f>AND(D245&gt;0,IFERROR(E245/D245&gt;=G6,FALSE()))</f>
        <v>0</v>
      </c>
      <c r="G245" s="62">
        <f t="shared" si="13"/>
        <v>0</v>
      </c>
      <c r="H245" s="62">
        <f>IF(F245,MAX(0,MIN(E245,I6*D245)-D245)*IFERROR(INDEX($C$158:$C$161,MATCH(C245,$A$158:$A$161,0)),0),0)</f>
        <v>0</v>
      </c>
      <c r="I245" s="62">
        <f>IF(F245,MAX(0,E245-I6*D245)*IFERROR(INDEX($D$158:$D$161,MATCH(C245,$A$158:$A$161,0)),0),0)</f>
        <v>0</v>
      </c>
      <c r="J245" s="62">
        <f t="shared" si="14"/>
        <v>0</v>
      </c>
    </row>
    <row r="246" spans="1:10" ht="15" customHeight="1" outlineLevel="1" x14ac:dyDescent="0.2">
      <c r="A246" s="63" t="str">
        <f t="shared" si="15"/>
        <v>R008</v>
      </c>
      <c r="B246" s="64">
        <f>$A$1425</f>
        <v>45413</v>
      </c>
      <c r="C246" s="63" t="str">
        <f t="shared" si="16"/>
        <v>Enterprise AE</v>
      </c>
      <c r="D246" s="62">
        <f>SUMIFS(Fact_Quota!$D:$D,Fact_Quota!$A:$A,$A246,Fact_Quota!$B:$B,"&gt;="&amp;B246,Fact_Quota!$B:$B,"&lt;"&amp;EDATE(B246,1))</f>
        <v>16100</v>
      </c>
      <c r="E246" s="62">
        <f>SUMIFS(Fact_Pipeline!$K:$K,Fact_Pipeline!$B:$B,$A246,Fact_Pipeline!$J:$J,"Won",Fact_Pipeline!$I:$I,"&gt;="&amp;B246,Fact_Pipeline!$I:$I,"&lt;"&amp;EDATE(B246,1))</f>
        <v>0</v>
      </c>
      <c r="F246" s="63" t="b">
        <f>AND(D246&gt;0,IFERROR(E246/D246&gt;=G6,FALSE()))</f>
        <v>0</v>
      </c>
      <c r="G246" s="62">
        <f t="shared" si="13"/>
        <v>0</v>
      </c>
      <c r="H246" s="62">
        <f>IF(F246,MAX(0,MIN(E246,I6*D246)-D246)*IFERROR(INDEX($C$158:$C$161,MATCH(C246,$A$158:$A$161,0)),0),0)</f>
        <v>0</v>
      </c>
      <c r="I246" s="62">
        <f>IF(F246,MAX(0,E246-I6*D246)*IFERROR(INDEX($D$158:$D$161,MATCH(C246,$A$158:$A$161,0)),0),0)</f>
        <v>0</v>
      </c>
      <c r="J246" s="62">
        <f t="shared" si="14"/>
        <v>0</v>
      </c>
    </row>
    <row r="247" spans="1:10" ht="15" customHeight="1" outlineLevel="1" x14ac:dyDescent="0.2">
      <c r="A247" s="63" t="str">
        <f t="shared" si="15"/>
        <v>R008</v>
      </c>
      <c r="B247" s="64">
        <f>$A$1426</f>
        <v>45444</v>
      </c>
      <c r="C247" s="63" t="str">
        <f t="shared" si="16"/>
        <v>Enterprise AE</v>
      </c>
      <c r="D247" s="62">
        <f>SUMIFS(Fact_Quota!$D:$D,Fact_Quota!$A:$A,$A247,Fact_Quota!$B:$B,"&gt;="&amp;B247,Fact_Quota!$B:$B,"&lt;"&amp;EDATE(B247,1))</f>
        <v>24200</v>
      </c>
      <c r="E247" s="62">
        <f>SUMIFS(Fact_Pipeline!$K:$K,Fact_Pipeline!$B:$B,$A247,Fact_Pipeline!$J:$J,"Won",Fact_Pipeline!$I:$I,"&gt;="&amp;B247,Fact_Pipeline!$I:$I,"&lt;"&amp;EDATE(B247,1))</f>
        <v>0</v>
      </c>
      <c r="F247" s="63" t="b">
        <f>AND(D247&gt;0,IFERROR(E247/D247&gt;=G6,FALSE()))</f>
        <v>0</v>
      </c>
      <c r="G247" s="62">
        <f t="shared" si="13"/>
        <v>0</v>
      </c>
      <c r="H247" s="62">
        <f>IF(F247,MAX(0,MIN(E247,I6*D247)-D247)*IFERROR(INDEX($C$158:$C$161,MATCH(C247,$A$158:$A$161,0)),0),0)</f>
        <v>0</v>
      </c>
      <c r="I247" s="62">
        <f>IF(F247,MAX(0,E247-I6*D247)*IFERROR(INDEX($D$158:$D$161,MATCH(C247,$A$158:$A$161,0)),0),0)</f>
        <v>0</v>
      </c>
      <c r="J247" s="62">
        <f t="shared" si="14"/>
        <v>0</v>
      </c>
    </row>
    <row r="248" spans="1:10" ht="15" customHeight="1" outlineLevel="1" x14ac:dyDescent="0.2">
      <c r="A248" s="63" t="str">
        <f t="shared" si="15"/>
        <v>R008</v>
      </c>
      <c r="B248" s="64">
        <f>$A$1427</f>
        <v>45474</v>
      </c>
      <c r="C248" s="63" t="str">
        <f t="shared" si="16"/>
        <v>Enterprise AE</v>
      </c>
      <c r="D248" s="62">
        <f>SUMIFS(Fact_Quota!$D:$D,Fact_Quota!$A:$A,$A248,Fact_Quota!$B:$B,"&gt;="&amp;B248,Fact_Quota!$B:$B,"&lt;"&amp;EDATE(B248,1))</f>
        <v>31300</v>
      </c>
      <c r="E248" s="62">
        <f>SUMIFS(Fact_Pipeline!$K:$K,Fact_Pipeline!$B:$B,$A248,Fact_Pipeline!$J:$J,"Won",Fact_Pipeline!$I:$I,"&gt;="&amp;B248,Fact_Pipeline!$I:$I,"&lt;"&amp;EDATE(B248,1))</f>
        <v>0</v>
      </c>
      <c r="F248" s="63" t="b">
        <f>AND(D248&gt;0,IFERROR(E248/D248&gt;=G6,FALSE()))</f>
        <v>0</v>
      </c>
      <c r="G248" s="62">
        <f t="shared" si="13"/>
        <v>0</v>
      </c>
      <c r="H248" s="62">
        <f>IF(F248,MAX(0,MIN(E248,I6*D248)-D248)*IFERROR(INDEX($C$158:$C$161,MATCH(C248,$A$158:$A$161,0)),0),0)</f>
        <v>0</v>
      </c>
      <c r="I248" s="62">
        <f>IF(F248,MAX(0,E248-I6*D248)*IFERROR(INDEX($D$158:$D$161,MATCH(C248,$A$158:$A$161,0)),0),0)</f>
        <v>0</v>
      </c>
      <c r="J248" s="62">
        <f t="shared" si="14"/>
        <v>0</v>
      </c>
    </row>
    <row r="249" spans="1:10" ht="15" customHeight="1" outlineLevel="1" x14ac:dyDescent="0.2">
      <c r="A249" s="63" t="str">
        <f t="shared" si="15"/>
        <v>R008</v>
      </c>
      <c r="B249" s="64">
        <f>$A$1428</f>
        <v>45505</v>
      </c>
      <c r="C249" s="63" t="str">
        <f t="shared" si="16"/>
        <v>Enterprise AE</v>
      </c>
      <c r="D249" s="62">
        <f>SUMIFS(Fact_Quota!$D:$D,Fact_Quota!$A:$A,$A249,Fact_Quota!$B:$B,"&gt;="&amp;B249,Fact_Quota!$B:$B,"&lt;"&amp;EDATE(B249,1))</f>
        <v>33800</v>
      </c>
      <c r="E249" s="62">
        <f>SUMIFS(Fact_Pipeline!$K:$K,Fact_Pipeline!$B:$B,$A249,Fact_Pipeline!$J:$J,"Won",Fact_Pipeline!$I:$I,"&gt;="&amp;B249,Fact_Pipeline!$I:$I,"&lt;"&amp;EDATE(B249,1))</f>
        <v>37200</v>
      </c>
      <c r="F249" s="63" t="b">
        <f>AND(D249&gt;0,IFERROR(E249/D249&gt;=G6,FALSE()))</f>
        <v>1</v>
      </c>
      <c r="G249" s="62">
        <f t="shared" si="13"/>
        <v>2028</v>
      </c>
      <c r="H249" s="62">
        <f>IF(F249,MAX(0,MIN(E249,I6*D249)-D249)*IFERROR(INDEX($C$158:$C$161,MATCH(C249,$A$158:$A$161,0)),0),0)</f>
        <v>340</v>
      </c>
      <c r="I249" s="62">
        <f>IF(F249,MAX(0,E249-I6*D249)*IFERROR(INDEX($D$158:$D$161,MATCH(C249,$A$158:$A$161,0)),0),0)</f>
        <v>0</v>
      </c>
      <c r="J249" s="62">
        <f t="shared" si="14"/>
        <v>2368</v>
      </c>
    </row>
    <row r="250" spans="1:10" ht="15" customHeight="1" outlineLevel="1" x14ac:dyDescent="0.2">
      <c r="A250" s="63" t="str">
        <f t="shared" si="15"/>
        <v>R008</v>
      </c>
      <c r="B250" s="64">
        <f>$A$1429</f>
        <v>45536</v>
      </c>
      <c r="C250" s="63" t="str">
        <f t="shared" si="16"/>
        <v>Enterprise AE</v>
      </c>
      <c r="D250" s="62">
        <f>SUMIFS(Fact_Quota!$D:$D,Fact_Quota!$A:$A,$A250,Fact_Quota!$B:$B,"&gt;="&amp;B250,Fact_Quota!$B:$B,"&lt;"&amp;EDATE(B250,1))</f>
        <v>32500</v>
      </c>
      <c r="E250" s="62">
        <f>SUMIFS(Fact_Pipeline!$K:$K,Fact_Pipeline!$B:$B,$A250,Fact_Pipeline!$J:$J,"Won",Fact_Pipeline!$I:$I,"&gt;="&amp;B250,Fact_Pipeline!$I:$I,"&lt;"&amp;EDATE(B250,1))</f>
        <v>42100</v>
      </c>
      <c r="F250" s="63" t="b">
        <f>AND(D250&gt;0,IFERROR(E250/D250&gt;=G6,FALSE()))</f>
        <v>1</v>
      </c>
      <c r="G250" s="62">
        <f t="shared" si="13"/>
        <v>1950</v>
      </c>
      <c r="H250" s="62">
        <f>IF(F250,MAX(0,MIN(E250,I6*D250)-D250)*IFERROR(INDEX($C$158:$C$161,MATCH(C250,$A$158:$A$161,0)),0),0)</f>
        <v>960</v>
      </c>
      <c r="I250" s="62">
        <f>IF(F250,MAX(0,E250-I6*D250)*IFERROR(INDEX($D$158:$D$161,MATCH(C250,$A$158:$A$161,0)),0),0)</f>
        <v>0</v>
      </c>
      <c r="J250" s="62">
        <f t="shared" si="14"/>
        <v>2910</v>
      </c>
    </row>
    <row r="251" spans="1:10" ht="15" customHeight="1" outlineLevel="1" x14ac:dyDescent="0.2">
      <c r="A251" s="63" t="str">
        <f t="shared" si="15"/>
        <v>R008</v>
      </c>
      <c r="B251" s="64">
        <f>$A$1430</f>
        <v>45566</v>
      </c>
      <c r="C251" s="63" t="str">
        <f t="shared" si="16"/>
        <v>Enterprise AE</v>
      </c>
      <c r="D251" s="62">
        <f>SUMIFS(Fact_Quota!$D:$D,Fact_Quota!$A:$A,$A251,Fact_Quota!$B:$B,"&gt;="&amp;B251,Fact_Quota!$B:$B,"&lt;"&amp;EDATE(B251,1))</f>
        <v>30900</v>
      </c>
      <c r="E251" s="62">
        <f>SUMIFS(Fact_Pipeline!$K:$K,Fact_Pipeline!$B:$B,$A251,Fact_Pipeline!$J:$J,"Won",Fact_Pipeline!$I:$I,"&gt;="&amp;B251,Fact_Pipeline!$I:$I,"&lt;"&amp;EDATE(B251,1))</f>
        <v>16600</v>
      </c>
      <c r="F251" s="63" t="b">
        <f>AND(D251&gt;0,IFERROR(E251/D251&gt;=G6,FALSE()))</f>
        <v>1</v>
      </c>
      <c r="G251" s="62">
        <f t="shared" si="13"/>
        <v>996</v>
      </c>
      <c r="H251" s="62">
        <f>IF(F251,MAX(0,MIN(E251,I6*D251)-D251)*IFERROR(INDEX($C$158:$C$161,MATCH(C251,$A$158:$A$161,0)),0),0)</f>
        <v>0</v>
      </c>
      <c r="I251" s="62">
        <f>IF(F251,MAX(0,E251-I6*D251)*IFERROR(INDEX($D$158:$D$161,MATCH(C251,$A$158:$A$161,0)),0),0)</f>
        <v>0</v>
      </c>
      <c r="J251" s="62">
        <f t="shared" si="14"/>
        <v>996</v>
      </c>
    </row>
    <row r="252" spans="1:10" ht="15" customHeight="1" outlineLevel="1" x14ac:dyDescent="0.2">
      <c r="A252" s="63" t="str">
        <f t="shared" si="15"/>
        <v>R008</v>
      </c>
      <c r="B252" s="64">
        <f>$A$1431</f>
        <v>45597</v>
      </c>
      <c r="C252" s="63" t="str">
        <f t="shared" si="16"/>
        <v>Enterprise AE</v>
      </c>
      <c r="D252" s="62">
        <f>SUMIFS(Fact_Quota!$D:$D,Fact_Quota!$A:$A,$A252,Fact_Quota!$B:$B,"&gt;="&amp;B252,Fact_Quota!$B:$B,"&lt;"&amp;EDATE(B252,1))</f>
        <v>32600</v>
      </c>
      <c r="E252" s="62">
        <f>SUMIFS(Fact_Pipeline!$K:$K,Fact_Pipeline!$B:$B,$A252,Fact_Pipeline!$J:$J,"Won",Fact_Pipeline!$I:$I,"&gt;="&amp;B252,Fact_Pipeline!$I:$I,"&lt;"&amp;EDATE(B252,1))</f>
        <v>99500</v>
      </c>
      <c r="F252" s="63" t="b">
        <f>AND(D252&gt;0,IFERROR(E252/D252&gt;=G6,FALSE()))</f>
        <v>1</v>
      </c>
      <c r="G252" s="62">
        <f t="shared" si="13"/>
        <v>1956</v>
      </c>
      <c r="H252" s="62">
        <f>IF(F252,MAX(0,MIN(E252,I6*D252)-D252)*IFERROR(INDEX($C$158:$C$161,MATCH(C252,$A$158:$A$161,0)),0),0)</f>
        <v>1630</v>
      </c>
      <c r="I252" s="62">
        <f>IF(F252,MAX(0,E252-I6*D252)*IFERROR(INDEX($D$158:$D$161,MATCH(C252,$A$158:$A$161,0)),0),0)</f>
        <v>7084.0000000000009</v>
      </c>
      <c r="J252" s="62">
        <f t="shared" si="14"/>
        <v>10670</v>
      </c>
    </row>
    <row r="253" spans="1:10" ht="15" customHeight="1" outlineLevel="1" x14ac:dyDescent="0.2">
      <c r="A253" s="63" t="str">
        <f t="shared" si="15"/>
        <v>R008</v>
      </c>
      <c r="B253" s="64">
        <f>$A$1432</f>
        <v>45627</v>
      </c>
      <c r="C253" s="63" t="str">
        <f t="shared" si="16"/>
        <v>Enterprise AE</v>
      </c>
      <c r="D253" s="62">
        <f>SUMIFS(Fact_Quota!$D:$D,Fact_Quota!$A:$A,$A253,Fact_Quota!$B:$B,"&gt;="&amp;B253,Fact_Quota!$B:$B,"&lt;"&amp;EDATE(B253,1))</f>
        <v>31100</v>
      </c>
      <c r="E253" s="62">
        <f>SUMIFS(Fact_Pipeline!$K:$K,Fact_Pipeline!$B:$B,$A253,Fact_Pipeline!$J:$J,"Won",Fact_Pipeline!$I:$I,"&gt;="&amp;B253,Fact_Pipeline!$I:$I,"&lt;"&amp;EDATE(B253,1))</f>
        <v>209100</v>
      </c>
      <c r="F253" s="63" t="b">
        <f>AND(D253&gt;0,IFERROR(E253/D253&gt;=G6,FALSE()))</f>
        <v>1</v>
      </c>
      <c r="G253" s="62">
        <f t="shared" si="13"/>
        <v>1866</v>
      </c>
      <c r="H253" s="62">
        <f>IF(F253,MAX(0,MIN(E253,I6*D253)-D253)*IFERROR(INDEX($C$158:$C$161,MATCH(C253,$A$158:$A$161,0)),0),0)</f>
        <v>1555</v>
      </c>
      <c r="I253" s="62">
        <f>IF(F253,MAX(0,E253-I6*D253)*IFERROR(INDEX($D$158:$D$161,MATCH(C253,$A$158:$A$161,0)),0),0)</f>
        <v>22743.000000000004</v>
      </c>
      <c r="J253" s="62">
        <f t="shared" si="14"/>
        <v>26164.000000000004</v>
      </c>
    </row>
    <row r="254" spans="1:10" ht="15" customHeight="1" outlineLevel="1" x14ac:dyDescent="0.2">
      <c r="A254" s="63" t="str">
        <f t="shared" si="15"/>
        <v>R008</v>
      </c>
      <c r="B254" s="64">
        <f>$A$1433</f>
        <v>45658</v>
      </c>
      <c r="C254" s="63" t="str">
        <f t="shared" si="16"/>
        <v>Enterprise AE</v>
      </c>
      <c r="D254" s="62">
        <f>SUMIFS(Fact_Quota!$D:$D,Fact_Quota!$A:$A,$A254,Fact_Quota!$B:$B,"&gt;="&amp;B254,Fact_Quota!$B:$B,"&lt;"&amp;EDATE(B254,1))</f>
        <v>32800</v>
      </c>
      <c r="E254" s="62">
        <f>SUMIFS(Fact_Pipeline!$K:$K,Fact_Pipeline!$B:$B,$A254,Fact_Pipeline!$J:$J,"Won",Fact_Pipeline!$I:$I,"&gt;="&amp;B254,Fact_Pipeline!$I:$I,"&lt;"&amp;EDATE(B254,1))</f>
        <v>38100</v>
      </c>
      <c r="F254" s="63" t="b">
        <f>AND(D254&gt;0,IFERROR(E254/D254&gt;=G6,FALSE()))</f>
        <v>1</v>
      </c>
      <c r="G254" s="62">
        <f t="shared" si="13"/>
        <v>1968</v>
      </c>
      <c r="H254" s="62">
        <f>IF(F254,MAX(0,MIN(E254,I6*D254)-D254)*IFERROR(INDEX($C$158:$C$161,MATCH(C254,$A$158:$A$161,0)),0),0)</f>
        <v>530</v>
      </c>
      <c r="I254" s="62">
        <f>IF(F254,MAX(0,E254-I6*D254)*IFERROR(INDEX($D$158:$D$161,MATCH(C254,$A$158:$A$161,0)),0),0)</f>
        <v>0</v>
      </c>
      <c r="J254" s="62">
        <f t="shared" si="14"/>
        <v>2498</v>
      </c>
    </row>
    <row r="255" spans="1:10" ht="15" customHeight="1" outlineLevel="1" x14ac:dyDescent="0.2">
      <c r="A255" s="63" t="str">
        <f t="shared" si="15"/>
        <v>R008</v>
      </c>
      <c r="B255" s="64">
        <f>$A$1434</f>
        <v>45689</v>
      </c>
      <c r="C255" s="63" t="str">
        <f t="shared" si="16"/>
        <v>Enterprise AE</v>
      </c>
      <c r="D255" s="62">
        <f>SUMIFS(Fact_Quota!$D:$D,Fact_Quota!$A:$A,$A255,Fact_Quota!$B:$B,"&gt;="&amp;B255,Fact_Quota!$B:$B,"&lt;"&amp;EDATE(B255,1))</f>
        <v>33100</v>
      </c>
      <c r="E255" s="62">
        <f>SUMIFS(Fact_Pipeline!$K:$K,Fact_Pipeline!$B:$B,$A255,Fact_Pipeline!$J:$J,"Won",Fact_Pipeline!$I:$I,"&gt;="&amp;B255,Fact_Pipeline!$I:$I,"&lt;"&amp;EDATE(B255,1))</f>
        <v>0</v>
      </c>
      <c r="F255" s="63" t="b">
        <f>AND(D255&gt;0,IFERROR(E255/D255&gt;=G6,FALSE()))</f>
        <v>0</v>
      </c>
      <c r="G255" s="62">
        <f t="shared" si="13"/>
        <v>0</v>
      </c>
      <c r="H255" s="62">
        <f>IF(F255,MAX(0,MIN(E255,I6*D255)-D255)*IFERROR(INDEX($C$158:$C$161,MATCH(C255,$A$158:$A$161,0)),0),0)</f>
        <v>0</v>
      </c>
      <c r="I255" s="62">
        <f>IF(F255,MAX(0,E255-I6*D255)*IFERROR(INDEX($D$158:$D$161,MATCH(C255,$A$158:$A$161,0)),0),0)</f>
        <v>0</v>
      </c>
      <c r="J255" s="62">
        <f t="shared" si="14"/>
        <v>0</v>
      </c>
    </row>
    <row r="256" spans="1:10" ht="15" customHeight="1" outlineLevel="1" x14ac:dyDescent="0.2">
      <c r="A256" s="63" t="str">
        <f t="shared" si="15"/>
        <v>R008</v>
      </c>
      <c r="B256" s="64">
        <f>$A$1435</f>
        <v>45717</v>
      </c>
      <c r="C256" s="63" t="str">
        <f t="shared" si="16"/>
        <v>Enterprise AE</v>
      </c>
      <c r="D256" s="62">
        <f>SUMIFS(Fact_Quota!$D:$D,Fact_Quota!$A:$A,$A256,Fact_Quota!$B:$B,"&gt;="&amp;B256,Fact_Quota!$B:$B,"&lt;"&amp;EDATE(B256,1))</f>
        <v>31200</v>
      </c>
      <c r="E256" s="62">
        <f>SUMIFS(Fact_Pipeline!$K:$K,Fact_Pipeline!$B:$B,$A256,Fact_Pipeline!$J:$J,"Won",Fact_Pipeline!$I:$I,"&gt;="&amp;B256,Fact_Pipeline!$I:$I,"&lt;"&amp;EDATE(B256,1))</f>
        <v>38500</v>
      </c>
      <c r="F256" s="63" t="b">
        <f>AND(D256&gt;0,IFERROR(E256/D256&gt;=G6,FALSE()))</f>
        <v>1</v>
      </c>
      <c r="G256" s="62">
        <f t="shared" si="13"/>
        <v>1872</v>
      </c>
      <c r="H256" s="62">
        <f>IF(F256,MAX(0,MIN(E256,I6*D256)-D256)*IFERROR(INDEX($C$158:$C$161,MATCH(C256,$A$158:$A$161,0)),0),0)</f>
        <v>730</v>
      </c>
      <c r="I256" s="62">
        <f>IF(F256,MAX(0,E256-I6*D256)*IFERROR(INDEX($D$158:$D$161,MATCH(C256,$A$158:$A$161,0)),0),0)</f>
        <v>0</v>
      </c>
      <c r="J256" s="62">
        <f t="shared" si="14"/>
        <v>2602</v>
      </c>
    </row>
    <row r="257" spans="1:10" ht="15" customHeight="1" outlineLevel="1" x14ac:dyDescent="0.2">
      <c r="A257" s="63" t="str">
        <f t="shared" si="15"/>
        <v>R008</v>
      </c>
      <c r="B257" s="64">
        <f>$A$1436</f>
        <v>45748</v>
      </c>
      <c r="C257" s="63" t="str">
        <f t="shared" si="16"/>
        <v>Enterprise AE</v>
      </c>
      <c r="D257" s="62">
        <f>SUMIFS(Fact_Quota!$D:$D,Fact_Quota!$A:$A,$A257,Fact_Quota!$B:$B,"&gt;="&amp;B257,Fact_Quota!$B:$B,"&lt;"&amp;EDATE(B257,1))</f>
        <v>32900</v>
      </c>
      <c r="E257" s="62">
        <f>SUMIFS(Fact_Pipeline!$K:$K,Fact_Pipeline!$B:$B,$A257,Fact_Pipeline!$J:$J,"Won",Fact_Pipeline!$I:$I,"&gt;="&amp;B257,Fact_Pipeline!$I:$I,"&lt;"&amp;EDATE(B257,1))</f>
        <v>15000</v>
      </c>
      <c r="F257" s="63" t="b">
        <f>AND(D257&gt;0,IFERROR(E257/D257&gt;=G6,FALSE()))</f>
        <v>0</v>
      </c>
      <c r="G257" s="62">
        <f t="shared" si="13"/>
        <v>0</v>
      </c>
      <c r="H257" s="62">
        <f>IF(F257,MAX(0,MIN(E257,I6*D257)-D257)*IFERROR(INDEX($C$158:$C$161,MATCH(C257,$A$158:$A$161,0)),0),0)</f>
        <v>0</v>
      </c>
      <c r="I257" s="62">
        <f>IF(F257,MAX(0,E257-I6*D257)*IFERROR(INDEX($D$158:$D$161,MATCH(C257,$A$158:$A$161,0)),0),0)</f>
        <v>0</v>
      </c>
      <c r="J257" s="62">
        <f t="shared" si="14"/>
        <v>0</v>
      </c>
    </row>
    <row r="258" spans="1:10" ht="15" customHeight="1" outlineLevel="1" x14ac:dyDescent="0.2">
      <c r="A258" s="63" t="str">
        <f t="shared" si="15"/>
        <v>R008</v>
      </c>
      <c r="B258" s="64">
        <f>$A$1437</f>
        <v>45778</v>
      </c>
      <c r="C258" s="63" t="str">
        <f t="shared" si="16"/>
        <v>Enterprise AE</v>
      </c>
      <c r="D258" s="62">
        <f>SUMIFS(Fact_Quota!$D:$D,Fact_Quota!$A:$A,$A258,Fact_Quota!$B:$B,"&gt;="&amp;B258,Fact_Quota!$B:$B,"&lt;"&amp;EDATE(B258,1))</f>
        <v>32400</v>
      </c>
      <c r="E258" s="62">
        <f>SUMIFS(Fact_Pipeline!$K:$K,Fact_Pipeline!$B:$B,$A258,Fact_Pipeline!$J:$J,"Won",Fact_Pipeline!$I:$I,"&gt;="&amp;B258,Fact_Pipeline!$I:$I,"&lt;"&amp;EDATE(B258,1))</f>
        <v>0</v>
      </c>
      <c r="F258" s="63" t="b">
        <f>AND(D258&gt;0,IFERROR(E258/D258&gt;=G6,FALSE()))</f>
        <v>0</v>
      </c>
      <c r="G258" s="62">
        <f t="shared" si="13"/>
        <v>0</v>
      </c>
      <c r="H258" s="62">
        <f>IF(F258,MAX(0,MIN(E258,I6*D258)-D258)*IFERROR(INDEX($C$158:$C$161,MATCH(C258,$A$158:$A$161,0)),0),0)</f>
        <v>0</v>
      </c>
      <c r="I258" s="62">
        <f>IF(F258,MAX(0,E258-I6*D258)*IFERROR(INDEX($D$158:$D$161,MATCH(C258,$A$158:$A$161,0)),0),0)</f>
        <v>0</v>
      </c>
      <c r="J258" s="62">
        <f t="shared" si="14"/>
        <v>0</v>
      </c>
    </row>
    <row r="259" spans="1:10" ht="15" customHeight="1" outlineLevel="1" x14ac:dyDescent="0.2">
      <c r="A259" s="63" t="str">
        <f t="shared" si="15"/>
        <v>R008</v>
      </c>
      <c r="B259" s="64">
        <f>$A$1438</f>
        <v>45809</v>
      </c>
      <c r="C259" s="63" t="str">
        <f t="shared" si="16"/>
        <v>Enterprise AE</v>
      </c>
      <c r="D259" s="62">
        <f>SUMIFS(Fact_Quota!$D:$D,Fact_Quota!$A:$A,$A259,Fact_Quota!$B:$B,"&gt;="&amp;B259,Fact_Quota!$B:$B,"&lt;"&amp;EDATE(B259,1))</f>
        <v>32800</v>
      </c>
      <c r="E259" s="62">
        <f>SUMIFS(Fact_Pipeline!$K:$K,Fact_Pipeline!$B:$B,$A259,Fact_Pipeline!$J:$J,"Won",Fact_Pipeline!$I:$I,"&gt;="&amp;B259,Fact_Pipeline!$I:$I,"&lt;"&amp;EDATE(B259,1))</f>
        <v>0</v>
      </c>
      <c r="F259" s="63" t="b">
        <f>AND(D259&gt;0,IFERROR(E259/D259&gt;=G6,FALSE()))</f>
        <v>0</v>
      </c>
      <c r="G259" s="62">
        <f t="shared" si="13"/>
        <v>0</v>
      </c>
      <c r="H259" s="62">
        <f>IF(F259,MAX(0,MIN(E259,I6*D259)-D259)*IFERROR(INDEX($C$158:$C$161,MATCH(C259,$A$158:$A$161,0)),0),0)</f>
        <v>0</v>
      </c>
      <c r="I259" s="62">
        <f>IF(F259,MAX(0,E259-I6*D259)*IFERROR(INDEX($D$158:$D$161,MATCH(C259,$A$158:$A$161,0)),0),0)</f>
        <v>0</v>
      </c>
      <c r="J259" s="62">
        <f t="shared" si="14"/>
        <v>0</v>
      </c>
    </row>
    <row r="260" spans="1:10" ht="15" customHeight="1" outlineLevel="1" x14ac:dyDescent="0.2">
      <c r="A260" s="63" t="str">
        <f t="shared" si="15"/>
        <v>R008</v>
      </c>
      <c r="B260" s="64">
        <f>$A$1439</f>
        <v>45839</v>
      </c>
      <c r="C260" s="63" t="str">
        <f t="shared" si="16"/>
        <v>Enterprise AE</v>
      </c>
      <c r="D260" s="62">
        <f>SUMIFS(Fact_Quota!$D:$D,Fact_Quota!$A:$A,$A260,Fact_Quota!$B:$B,"&gt;="&amp;B260,Fact_Quota!$B:$B,"&lt;"&amp;EDATE(B260,1))</f>
        <v>33800</v>
      </c>
      <c r="E260" s="62">
        <f>SUMIFS(Fact_Pipeline!$K:$K,Fact_Pipeline!$B:$B,$A260,Fact_Pipeline!$J:$J,"Won",Fact_Pipeline!$I:$I,"&gt;="&amp;B260,Fact_Pipeline!$I:$I,"&lt;"&amp;EDATE(B260,1))</f>
        <v>14200</v>
      </c>
      <c r="F260" s="63" t="b">
        <f>AND(D260&gt;0,IFERROR(E260/D260&gt;=G6,FALSE()))</f>
        <v>0</v>
      </c>
      <c r="G260" s="62">
        <f t="shared" si="13"/>
        <v>0</v>
      </c>
      <c r="H260" s="62">
        <f>IF(F260,MAX(0,MIN(E260,I6*D260)-D260)*IFERROR(INDEX($C$158:$C$161,MATCH(C260,$A$158:$A$161,0)),0),0)</f>
        <v>0</v>
      </c>
      <c r="I260" s="62">
        <f>IF(F260,MAX(0,E260-I6*D260)*IFERROR(INDEX($D$158:$D$161,MATCH(C260,$A$158:$A$161,0)),0),0)</f>
        <v>0</v>
      </c>
      <c r="J260" s="62">
        <f t="shared" si="14"/>
        <v>0</v>
      </c>
    </row>
    <row r="261" spans="1:10" ht="15" customHeight="1" outlineLevel="1" x14ac:dyDescent="0.2">
      <c r="A261" s="63" t="str">
        <f t="shared" si="15"/>
        <v>R008</v>
      </c>
      <c r="B261" s="64">
        <f>$A$1440</f>
        <v>45870</v>
      </c>
      <c r="C261" s="63" t="str">
        <f t="shared" si="16"/>
        <v>Enterprise AE</v>
      </c>
      <c r="D261" s="62">
        <f>SUMIFS(Fact_Quota!$D:$D,Fact_Quota!$A:$A,$A261,Fact_Quota!$B:$B,"&gt;="&amp;B261,Fact_Quota!$B:$B,"&lt;"&amp;EDATE(B261,1))</f>
        <v>31800</v>
      </c>
      <c r="E261" s="62">
        <f>SUMIFS(Fact_Pipeline!$K:$K,Fact_Pipeline!$B:$B,$A261,Fact_Pipeline!$J:$J,"Won",Fact_Pipeline!$I:$I,"&gt;="&amp;B261,Fact_Pipeline!$I:$I,"&lt;"&amp;EDATE(B261,1))</f>
        <v>0</v>
      </c>
      <c r="F261" s="63" t="b">
        <f>AND(D261&gt;0,IFERROR(E261/D261&gt;=G6,FALSE()))</f>
        <v>0</v>
      </c>
      <c r="G261" s="62">
        <f t="shared" si="13"/>
        <v>0</v>
      </c>
      <c r="H261" s="62">
        <f>IF(F261,MAX(0,MIN(E261,I6*D261)-D261)*IFERROR(INDEX($C$158:$C$161,MATCH(C261,$A$158:$A$161,0)),0),0)</f>
        <v>0</v>
      </c>
      <c r="I261" s="62">
        <f>IF(F261,MAX(0,E261-I6*D261)*IFERROR(INDEX($D$158:$D$161,MATCH(C261,$A$158:$A$161,0)),0),0)</f>
        <v>0</v>
      </c>
      <c r="J261" s="62">
        <f t="shared" si="14"/>
        <v>0</v>
      </c>
    </row>
    <row r="262" spans="1:10" ht="15" customHeight="1" outlineLevel="1" x14ac:dyDescent="0.2">
      <c r="A262" s="63" t="str">
        <f t="shared" si="15"/>
        <v>R008</v>
      </c>
      <c r="B262" s="64">
        <f>$A$1441</f>
        <v>45901</v>
      </c>
      <c r="C262" s="63" t="str">
        <f t="shared" si="16"/>
        <v>Enterprise AE</v>
      </c>
      <c r="D262" s="62">
        <f>SUMIFS(Fact_Quota!$D:$D,Fact_Quota!$A:$A,$A262,Fact_Quota!$B:$B,"&gt;="&amp;B262,Fact_Quota!$B:$B,"&lt;"&amp;EDATE(B262,1))</f>
        <v>31300</v>
      </c>
      <c r="E262" s="62">
        <f>SUMIFS(Fact_Pipeline!$K:$K,Fact_Pipeline!$B:$B,$A262,Fact_Pipeline!$J:$J,"Won",Fact_Pipeline!$I:$I,"&gt;="&amp;B262,Fact_Pipeline!$I:$I,"&lt;"&amp;EDATE(B262,1))</f>
        <v>138600</v>
      </c>
      <c r="F262" s="63" t="b">
        <f>AND(D262&gt;0,IFERROR(E262/D262&gt;=G6,FALSE()))</f>
        <v>1</v>
      </c>
      <c r="G262" s="62">
        <f t="shared" si="13"/>
        <v>1878</v>
      </c>
      <c r="H262" s="62">
        <f>IF(F262,MAX(0,MIN(E262,I6*D262)-D262)*IFERROR(INDEX($C$158:$C$161,MATCH(C262,$A$158:$A$161,0)),0),0)</f>
        <v>1565</v>
      </c>
      <c r="I262" s="62">
        <f>IF(F262,MAX(0,E262-I6*D262)*IFERROR(INDEX($D$158:$D$161,MATCH(C262,$A$158:$A$161,0)),0),0)</f>
        <v>12831.000000000002</v>
      </c>
      <c r="J262" s="62">
        <f t="shared" si="14"/>
        <v>16274.000000000002</v>
      </c>
    </row>
    <row r="263" spans="1:10" ht="15" customHeight="1" outlineLevel="1" x14ac:dyDescent="0.2">
      <c r="A263" s="63" t="str">
        <f t="shared" si="15"/>
        <v>R008</v>
      </c>
      <c r="B263" s="64">
        <f>$A$1442</f>
        <v>45931</v>
      </c>
      <c r="C263" s="63" t="str">
        <f t="shared" si="16"/>
        <v>Enterprise AE</v>
      </c>
      <c r="D263" s="62">
        <f>SUMIFS(Fact_Quota!$D:$D,Fact_Quota!$A:$A,$A263,Fact_Quota!$B:$B,"&gt;="&amp;B263,Fact_Quota!$B:$B,"&lt;"&amp;EDATE(B263,1))</f>
        <v>31100</v>
      </c>
      <c r="E263" s="62">
        <f>SUMIFS(Fact_Pipeline!$K:$K,Fact_Pipeline!$B:$B,$A263,Fact_Pipeline!$J:$J,"Won",Fact_Pipeline!$I:$I,"&gt;="&amp;B263,Fact_Pipeline!$I:$I,"&lt;"&amp;EDATE(B263,1))</f>
        <v>43100</v>
      </c>
      <c r="F263" s="63" t="b">
        <f>AND(D263&gt;0,IFERROR(E263/D263&gt;=G6,FALSE()))</f>
        <v>1</v>
      </c>
      <c r="G263" s="62">
        <f t="shared" si="13"/>
        <v>1866</v>
      </c>
      <c r="H263" s="62">
        <f>IF(F263,MAX(0,MIN(E263,I6*D263)-D263)*IFERROR(INDEX($C$158:$C$161,MATCH(C263,$A$158:$A$161,0)),0),0)</f>
        <v>1200</v>
      </c>
      <c r="I263" s="62">
        <f>IF(F263,MAX(0,E263-I6*D263)*IFERROR(INDEX($D$158:$D$161,MATCH(C263,$A$158:$A$161,0)),0),0)</f>
        <v>0</v>
      </c>
      <c r="J263" s="62">
        <f t="shared" si="14"/>
        <v>3066</v>
      </c>
    </row>
    <row r="264" spans="1:10" ht="15" customHeight="1" outlineLevel="1" x14ac:dyDescent="0.2">
      <c r="A264" s="63" t="str">
        <f t="shared" si="15"/>
        <v>R008</v>
      </c>
      <c r="B264" s="64">
        <f>$A$1443</f>
        <v>45962</v>
      </c>
      <c r="C264" s="63" t="str">
        <f t="shared" si="16"/>
        <v>Enterprise AE</v>
      </c>
      <c r="D264" s="62">
        <f>SUMIFS(Fact_Quota!$D:$D,Fact_Quota!$A:$A,$A264,Fact_Quota!$B:$B,"&gt;="&amp;B264,Fact_Quota!$B:$B,"&lt;"&amp;EDATE(B264,1))</f>
        <v>31200</v>
      </c>
      <c r="E264" s="62">
        <f>SUMIFS(Fact_Pipeline!$K:$K,Fact_Pipeline!$B:$B,$A264,Fact_Pipeline!$J:$J,"Won",Fact_Pipeline!$I:$I,"&gt;="&amp;B264,Fact_Pipeline!$I:$I,"&lt;"&amp;EDATE(B264,1))</f>
        <v>0</v>
      </c>
      <c r="F264" s="63" t="b">
        <f>AND(D264&gt;0,IFERROR(E264/D264&gt;=G6,FALSE()))</f>
        <v>0</v>
      </c>
      <c r="G264" s="62">
        <f t="shared" si="13"/>
        <v>0</v>
      </c>
      <c r="H264" s="62">
        <f>IF(F264,MAX(0,MIN(E264,I6*D264)-D264)*IFERROR(INDEX($C$158:$C$161,MATCH(C264,$A$158:$A$161,0)),0),0)</f>
        <v>0</v>
      </c>
      <c r="I264" s="62">
        <f>IF(F264,MAX(0,E264-I6*D264)*IFERROR(INDEX($D$158:$D$161,MATCH(C264,$A$158:$A$161,0)),0),0)</f>
        <v>0</v>
      </c>
      <c r="J264" s="62">
        <f t="shared" si="14"/>
        <v>0</v>
      </c>
    </row>
    <row r="265" spans="1:10" ht="15" customHeight="1" outlineLevel="1" x14ac:dyDescent="0.2">
      <c r="A265" s="63" t="str">
        <f t="shared" si="15"/>
        <v>R008</v>
      </c>
      <c r="B265" s="64">
        <f>$A$1444</f>
        <v>45992</v>
      </c>
      <c r="C265" s="63" t="str">
        <f t="shared" si="16"/>
        <v>Enterprise AE</v>
      </c>
      <c r="D265" s="62">
        <f>SUMIFS(Fact_Quota!$D:$D,Fact_Quota!$A:$A,$A265,Fact_Quota!$B:$B,"&gt;="&amp;B265,Fact_Quota!$B:$B,"&lt;"&amp;EDATE(B265,1))</f>
        <v>31900</v>
      </c>
      <c r="E265" s="62">
        <f>SUMIFS(Fact_Pipeline!$K:$K,Fact_Pipeline!$B:$B,$A265,Fact_Pipeline!$J:$J,"Won",Fact_Pipeline!$I:$I,"&gt;="&amp;B265,Fact_Pipeline!$I:$I,"&lt;"&amp;EDATE(B265,1))</f>
        <v>28800</v>
      </c>
      <c r="F265" s="63" t="b">
        <f>AND(D265&gt;0,IFERROR(E265/D265&gt;=G6,FALSE()))</f>
        <v>1</v>
      </c>
      <c r="G265" s="62">
        <f t="shared" si="13"/>
        <v>1728</v>
      </c>
      <c r="H265" s="62">
        <f>IF(F265,MAX(0,MIN(E265,I6*D265)-D265)*IFERROR(INDEX($C$158:$C$161,MATCH(C265,$A$158:$A$161,0)),0),0)</f>
        <v>0</v>
      </c>
      <c r="I265" s="62">
        <f>IF(F265,MAX(0,E265-I6*D265)*IFERROR(INDEX($D$158:$D$161,MATCH(C265,$A$158:$A$161,0)),0),0)</f>
        <v>0</v>
      </c>
      <c r="J265" s="62">
        <f t="shared" si="14"/>
        <v>1728</v>
      </c>
    </row>
    <row r="266" spans="1:10" ht="15" customHeight="1" outlineLevel="1" x14ac:dyDescent="0.2">
      <c r="A266" s="66" t="str">
        <f t="shared" ref="A266:A289" si="17">$A$167</f>
        <v>R010</v>
      </c>
      <c r="B266" s="67">
        <f>$A$1421</f>
        <v>45292</v>
      </c>
      <c r="C266" s="66" t="str">
        <f t="shared" ref="C266:C289" si="18">$C$167</f>
        <v>Enterprise AE</v>
      </c>
      <c r="D266" s="65">
        <f>SUMIFS(Fact_Quota!$D:$D,Fact_Quota!$A:$A,$A266,Fact_Quota!$B:$B,"&gt;="&amp;B266,Fact_Quota!$B:$B,"&lt;"&amp;EDATE(B266,1))</f>
        <v>31200</v>
      </c>
      <c r="E266" s="65">
        <f>SUMIFS(Fact_Pipeline!$K:$K,Fact_Pipeline!$B:$B,$A266,Fact_Pipeline!$J:$J,"Won",Fact_Pipeline!$I:$I,"&gt;="&amp;B266,Fact_Pipeline!$I:$I,"&lt;"&amp;EDATE(B266,1))</f>
        <v>0</v>
      </c>
      <c r="F266" s="66" t="b">
        <f>AND(D266&gt;0,IFERROR(E266/D266&gt;=G6,FALSE()))</f>
        <v>0</v>
      </c>
      <c r="G266" s="65">
        <f t="shared" si="13"/>
        <v>0</v>
      </c>
      <c r="H266" s="65">
        <f>IF(F266,MAX(0,MIN(E266,I6*D266)-D266)*IFERROR(INDEX($C$158:$C$161,MATCH(C266,$A$158:$A$161,0)),0),0)</f>
        <v>0</v>
      </c>
      <c r="I266" s="65">
        <f>IF(F266,MAX(0,E266-I6*D266)*IFERROR(INDEX($D$158:$D$161,MATCH(C266,$A$158:$A$161,0)),0),0)</f>
        <v>0</v>
      </c>
      <c r="J266" s="65">
        <f t="shared" si="14"/>
        <v>0</v>
      </c>
    </row>
    <row r="267" spans="1:10" ht="15" customHeight="1" outlineLevel="1" x14ac:dyDescent="0.2">
      <c r="A267" s="66" t="str">
        <f t="shared" si="17"/>
        <v>R010</v>
      </c>
      <c r="B267" s="67">
        <f>$A$1422</f>
        <v>45323</v>
      </c>
      <c r="C267" s="66" t="str">
        <f t="shared" si="18"/>
        <v>Enterprise AE</v>
      </c>
      <c r="D267" s="65">
        <f>SUMIFS(Fact_Quota!$D:$D,Fact_Quota!$A:$A,$A267,Fact_Quota!$B:$B,"&gt;="&amp;B267,Fact_Quota!$B:$B,"&lt;"&amp;EDATE(B267,1))</f>
        <v>31000</v>
      </c>
      <c r="E267" s="65">
        <f>SUMIFS(Fact_Pipeline!$K:$K,Fact_Pipeline!$B:$B,$A267,Fact_Pipeline!$J:$J,"Won",Fact_Pipeline!$I:$I,"&gt;="&amp;B267,Fact_Pipeline!$I:$I,"&lt;"&amp;EDATE(B267,1))</f>
        <v>0</v>
      </c>
      <c r="F267" s="66" t="b">
        <f>AND(D267&gt;0,IFERROR(E267/D267&gt;=G6,FALSE()))</f>
        <v>0</v>
      </c>
      <c r="G267" s="65">
        <f t="shared" si="13"/>
        <v>0</v>
      </c>
      <c r="H267" s="65">
        <f>IF(F267,MAX(0,MIN(E267,I6*D267)-D267)*IFERROR(INDEX($C$158:$C$161,MATCH(C267,$A$158:$A$161,0)),0),0)</f>
        <v>0</v>
      </c>
      <c r="I267" s="65">
        <f>IF(F267,MAX(0,E267-I6*D267)*IFERROR(INDEX($D$158:$D$161,MATCH(C267,$A$158:$A$161,0)),0),0)</f>
        <v>0</v>
      </c>
      <c r="J267" s="65">
        <f t="shared" si="14"/>
        <v>0</v>
      </c>
    </row>
    <row r="268" spans="1:10" ht="15" customHeight="1" outlineLevel="1" x14ac:dyDescent="0.2">
      <c r="A268" s="66" t="str">
        <f t="shared" si="17"/>
        <v>R010</v>
      </c>
      <c r="B268" s="67">
        <f>$A$1423</f>
        <v>45352</v>
      </c>
      <c r="C268" s="66" t="str">
        <f t="shared" si="18"/>
        <v>Enterprise AE</v>
      </c>
      <c r="D268" s="65">
        <f>SUMIFS(Fact_Quota!$D:$D,Fact_Quota!$A:$A,$A268,Fact_Quota!$B:$B,"&gt;="&amp;B268,Fact_Quota!$B:$B,"&lt;"&amp;EDATE(B268,1))</f>
        <v>32500</v>
      </c>
      <c r="E268" s="65">
        <f>SUMIFS(Fact_Pipeline!$K:$K,Fact_Pipeline!$B:$B,$A268,Fact_Pipeline!$J:$J,"Won",Fact_Pipeline!$I:$I,"&gt;="&amp;B268,Fact_Pipeline!$I:$I,"&lt;"&amp;EDATE(B268,1))</f>
        <v>27800</v>
      </c>
      <c r="F268" s="66" t="b">
        <f>AND(D268&gt;0,IFERROR(E268/D268&gt;=G6,FALSE()))</f>
        <v>1</v>
      </c>
      <c r="G268" s="65">
        <f t="shared" si="13"/>
        <v>1668</v>
      </c>
      <c r="H268" s="65">
        <f>IF(F268,MAX(0,MIN(E268,I6*D268)-D268)*IFERROR(INDEX($C$158:$C$161,MATCH(C268,$A$158:$A$161,0)),0),0)</f>
        <v>0</v>
      </c>
      <c r="I268" s="65">
        <f>IF(F268,MAX(0,E268-I6*D268)*IFERROR(INDEX($D$158:$D$161,MATCH(C268,$A$158:$A$161,0)),0),0)</f>
        <v>0</v>
      </c>
      <c r="J268" s="65">
        <f t="shared" si="14"/>
        <v>1668</v>
      </c>
    </row>
    <row r="269" spans="1:10" ht="15" customHeight="1" outlineLevel="1" x14ac:dyDescent="0.2">
      <c r="A269" s="66" t="str">
        <f t="shared" si="17"/>
        <v>R010</v>
      </c>
      <c r="B269" s="67">
        <f>$A$1424</f>
        <v>45383</v>
      </c>
      <c r="C269" s="66" t="str">
        <f t="shared" si="18"/>
        <v>Enterprise AE</v>
      </c>
      <c r="D269" s="65">
        <f>SUMIFS(Fact_Quota!$D:$D,Fact_Quota!$A:$A,$A269,Fact_Quota!$B:$B,"&gt;="&amp;B269,Fact_Quota!$B:$B,"&lt;"&amp;EDATE(B269,1))</f>
        <v>31800</v>
      </c>
      <c r="E269" s="65">
        <f>SUMIFS(Fact_Pipeline!$K:$K,Fact_Pipeline!$B:$B,$A269,Fact_Pipeline!$J:$J,"Won",Fact_Pipeline!$I:$I,"&gt;="&amp;B269,Fact_Pipeline!$I:$I,"&lt;"&amp;EDATE(B269,1))</f>
        <v>0</v>
      </c>
      <c r="F269" s="66" t="b">
        <f>AND(D269&gt;0,IFERROR(E269/D269&gt;=G6,FALSE()))</f>
        <v>0</v>
      </c>
      <c r="G269" s="65">
        <f t="shared" si="13"/>
        <v>0</v>
      </c>
      <c r="H269" s="65">
        <f>IF(F269,MAX(0,MIN(E269,I6*D269)-D269)*IFERROR(INDEX($C$158:$C$161,MATCH(C269,$A$158:$A$161,0)),0),0)</f>
        <v>0</v>
      </c>
      <c r="I269" s="65">
        <f>IF(F269,MAX(0,E269-I6*D269)*IFERROR(INDEX($D$158:$D$161,MATCH(C269,$A$158:$A$161,0)),0),0)</f>
        <v>0</v>
      </c>
      <c r="J269" s="65">
        <f t="shared" si="14"/>
        <v>0</v>
      </c>
    </row>
    <row r="270" spans="1:10" ht="15" customHeight="1" outlineLevel="1" x14ac:dyDescent="0.2">
      <c r="A270" s="66" t="str">
        <f t="shared" si="17"/>
        <v>R010</v>
      </c>
      <c r="B270" s="67">
        <f>$A$1425</f>
        <v>45413</v>
      </c>
      <c r="C270" s="66" t="str">
        <f t="shared" si="18"/>
        <v>Enterprise AE</v>
      </c>
      <c r="D270" s="65">
        <f>SUMIFS(Fact_Quota!$D:$D,Fact_Quota!$A:$A,$A270,Fact_Quota!$B:$B,"&gt;="&amp;B270,Fact_Quota!$B:$B,"&lt;"&amp;EDATE(B270,1))</f>
        <v>32700</v>
      </c>
      <c r="E270" s="65">
        <f>SUMIFS(Fact_Pipeline!$K:$K,Fact_Pipeline!$B:$B,$A270,Fact_Pipeline!$J:$J,"Won",Fact_Pipeline!$I:$I,"&gt;="&amp;B270,Fact_Pipeline!$I:$I,"&lt;"&amp;EDATE(B270,1))</f>
        <v>0</v>
      </c>
      <c r="F270" s="66" t="b">
        <f>AND(D270&gt;0,IFERROR(E270/D270&gt;=G6,FALSE()))</f>
        <v>0</v>
      </c>
      <c r="G270" s="65">
        <f t="shared" si="13"/>
        <v>0</v>
      </c>
      <c r="H270" s="65">
        <f>IF(F270,MAX(0,MIN(E270,I6*D270)-D270)*IFERROR(INDEX($C$158:$C$161,MATCH(C270,$A$158:$A$161,0)),0),0)</f>
        <v>0</v>
      </c>
      <c r="I270" s="65">
        <f>IF(F270,MAX(0,E270-I6*D270)*IFERROR(INDEX($D$158:$D$161,MATCH(C270,$A$158:$A$161,0)),0),0)</f>
        <v>0</v>
      </c>
      <c r="J270" s="65">
        <f t="shared" si="14"/>
        <v>0</v>
      </c>
    </row>
    <row r="271" spans="1:10" ht="15" customHeight="1" outlineLevel="1" x14ac:dyDescent="0.2">
      <c r="A271" s="66" t="str">
        <f t="shared" si="17"/>
        <v>R010</v>
      </c>
      <c r="B271" s="67">
        <f>$A$1426</f>
        <v>45444</v>
      </c>
      <c r="C271" s="66" t="str">
        <f t="shared" si="18"/>
        <v>Enterprise AE</v>
      </c>
      <c r="D271" s="65">
        <f>SUMIFS(Fact_Quota!$D:$D,Fact_Quota!$A:$A,$A271,Fact_Quota!$B:$B,"&gt;="&amp;B271,Fact_Quota!$B:$B,"&lt;"&amp;EDATE(B271,1))</f>
        <v>32500</v>
      </c>
      <c r="E271" s="65">
        <f>SUMIFS(Fact_Pipeline!$K:$K,Fact_Pipeline!$B:$B,$A271,Fact_Pipeline!$J:$J,"Won",Fact_Pipeline!$I:$I,"&gt;="&amp;B271,Fact_Pipeline!$I:$I,"&lt;"&amp;EDATE(B271,1))</f>
        <v>18900</v>
      </c>
      <c r="F271" s="66" t="b">
        <f>AND(D271&gt;0,IFERROR(E271/D271&gt;=G6,FALSE()))</f>
        <v>1</v>
      </c>
      <c r="G271" s="65">
        <f t="shared" si="13"/>
        <v>1134</v>
      </c>
      <c r="H271" s="65">
        <f>IF(F271,MAX(0,MIN(E271,I6*D271)-D271)*IFERROR(INDEX($C$158:$C$161,MATCH(C271,$A$158:$A$161,0)),0),0)</f>
        <v>0</v>
      </c>
      <c r="I271" s="65">
        <f>IF(F271,MAX(0,E271-I6*D271)*IFERROR(INDEX($D$158:$D$161,MATCH(C271,$A$158:$A$161,0)),0),0)</f>
        <v>0</v>
      </c>
      <c r="J271" s="65">
        <f t="shared" si="14"/>
        <v>1134</v>
      </c>
    </row>
    <row r="272" spans="1:10" ht="15" customHeight="1" outlineLevel="1" x14ac:dyDescent="0.2">
      <c r="A272" s="66" t="str">
        <f t="shared" si="17"/>
        <v>R010</v>
      </c>
      <c r="B272" s="67">
        <f>$A$1427</f>
        <v>45474</v>
      </c>
      <c r="C272" s="66" t="str">
        <f t="shared" si="18"/>
        <v>Enterprise AE</v>
      </c>
      <c r="D272" s="65">
        <f>SUMIFS(Fact_Quota!$D:$D,Fact_Quota!$A:$A,$A272,Fact_Quota!$B:$B,"&gt;="&amp;B272,Fact_Quota!$B:$B,"&lt;"&amp;EDATE(B272,1))</f>
        <v>31900</v>
      </c>
      <c r="E272" s="65">
        <f>SUMIFS(Fact_Pipeline!$K:$K,Fact_Pipeline!$B:$B,$A272,Fact_Pipeline!$J:$J,"Won",Fact_Pipeline!$I:$I,"&gt;="&amp;B272,Fact_Pipeline!$I:$I,"&lt;"&amp;EDATE(B272,1))</f>
        <v>49500</v>
      </c>
      <c r="F272" s="66" t="b">
        <f>AND(D272&gt;0,IFERROR(E272/D272&gt;=G6,FALSE()))</f>
        <v>1</v>
      </c>
      <c r="G272" s="65">
        <f t="shared" si="13"/>
        <v>1914</v>
      </c>
      <c r="H272" s="65">
        <f>IF(F272,MAX(0,MIN(E272,I6*D272)-D272)*IFERROR(INDEX($C$158:$C$161,MATCH(C272,$A$158:$A$161,0)),0),0)</f>
        <v>1595</v>
      </c>
      <c r="I272" s="65">
        <f>IF(F272,MAX(0,E272-I6*D272)*IFERROR(INDEX($D$158:$D$161,MATCH(C272,$A$158:$A$161,0)),0),0)</f>
        <v>231.00000000000003</v>
      </c>
      <c r="J272" s="65">
        <f t="shared" si="14"/>
        <v>3740</v>
      </c>
    </row>
    <row r="273" spans="1:10" ht="15" customHeight="1" outlineLevel="1" x14ac:dyDescent="0.2">
      <c r="A273" s="66" t="str">
        <f t="shared" si="17"/>
        <v>R010</v>
      </c>
      <c r="B273" s="67">
        <f>$A$1428</f>
        <v>45505</v>
      </c>
      <c r="C273" s="66" t="str">
        <f t="shared" si="18"/>
        <v>Enterprise AE</v>
      </c>
      <c r="D273" s="65">
        <f>SUMIFS(Fact_Quota!$D:$D,Fact_Quota!$A:$A,$A273,Fact_Quota!$B:$B,"&gt;="&amp;B273,Fact_Quota!$B:$B,"&lt;"&amp;EDATE(B273,1))</f>
        <v>31200</v>
      </c>
      <c r="E273" s="65">
        <f>SUMIFS(Fact_Pipeline!$K:$K,Fact_Pipeline!$B:$B,$A273,Fact_Pipeline!$J:$J,"Won",Fact_Pipeline!$I:$I,"&gt;="&amp;B273,Fact_Pipeline!$I:$I,"&lt;"&amp;EDATE(B273,1))</f>
        <v>25400</v>
      </c>
      <c r="F273" s="66" t="b">
        <f>AND(D273&gt;0,IFERROR(E273/D273&gt;=G6,FALSE()))</f>
        <v>1</v>
      </c>
      <c r="G273" s="65">
        <f t="shared" si="13"/>
        <v>1524</v>
      </c>
      <c r="H273" s="65">
        <f>IF(F273,MAX(0,MIN(E273,I6*D273)-D273)*IFERROR(INDEX($C$158:$C$161,MATCH(C273,$A$158:$A$161,0)),0),0)</f>
        <v>0</v>
      </c>
      <c r="I273" s="65">
        <f>IF(F273,MAX(0,E273-I6*D273)*IFERROR(INDEX($D$158:$D$161,MATCH(C273,$A$158:$A$161,0)),0),0)</f>
        <v>0</v>
      </c>
      <c r="J273" s="65">
        <f t="shared" si="14"/>
        <v>1524</v>
      </c>
    </row>
    <row r="274" spans="1:10" ht="15" customHeight="1" outlineLevel="1" x14ac:dyDescent="0.2">
      <c r="A274" s="66" t="str">
        <f t="shared" si="17"/>
        <v>R010</v>
      </c>
      <c r="B274" s="67">
        <f>$A$1429</f>
        <v>45536</v>
      </c>
      <c r="C274" s="66" t="str">
        <f t="shared" si="18"/>
        <v>Enterprise AE</v>
      </c>
      <c r="D274" s="65">
        <f>SUMIFS(Fact_Quota!$D:$D,Fact_Quota!$A:$A,$A274,Fact_Quota!$B:$B,"&gt;="&amp;B274,Fact_Quota!$B:$B,"&lt;"&amp;EDATE(B274,1))</f>
        <v>30500</v>
      </c>
      <c r="E274" s="65">
        <f>SUMIFS(Fact_Pipeline!$K:$K,Fact_Pipeline!$B:$B,$A274,Fact_Pipeline!$J:$J,"Won",Fact_Pipeline!$I:$I,"&gt;="&amp;B274,Fact_Pipeline!$I:$I,"&lt;"&amp;EDATE(B274,1))</f>
        <v>0</v>
      </c>
      <c r="F274" s="66" t="b">
        <f>AND(D274&gt;0,IFERROR(E274/D274&gt;=G6,FALSE()))</f>
        <v>0</v>
      </c>
      <c r="G274" s="65">
        <f t="shared" si="13"/>
        <v>0</v>
      </c>
      <c r="H274" s="65">
        <f>IF(F274,MAX(0,MIN(E274,I6*D274)-D274)*IFERROR(INDEX($C$158:$C$161,MATCH(C274,$A$158:$A$161,0)),0),0)</f>
        <v>0</v>
      </c>
      <c r="I274" s="65">
        <f>IF(F274,MAX(0,E274-I6*D274)*IFERROR(INDEX($D$158:$D$161,MATCH(C274,$A$158:$A$161,0)),0),0)</f>
        <v>0</v>
      </c>
      <c r="J274" s="65">
        <f t="shared" si="14"/>
        <v>0</v>
      </c>
    </row>
    <row r="275" spans="1:10" ht="15" customHeight="1" outlineLevel="1" x14ac:dyDescent="0.2">
      <c r="A275" s="66" t="str">
        <f t="shared" si="17"/>
        <v>R010</v>
      </c>
      <c r="B275" s="67">
        <f>$A$1430</f>
        <v>45566</v>
      </c>
      <c r="C275" s="66" t="str">
        <f t="shared" si="18"/>
        <v>Enterprise AE</v>
      </c>
      <c r="D275" s="65">
        <f>SUMIFS(Fact_Quota!$D:$D,Fact_Quota!$A:$A,$A275,Fact_Quota!$B:$B,"&gt;="&amp;B275,Fact_Quota!$B:$B,"&lt;"&amp;EDATE(B275,1))</f>
        <v>31600</v>
      </c>
      <c r="E275" s="65">
        <f>SUMIFS(Fact_Pipeline!$K:$K,Fact_Pipeline!$B:$B,$A275,Fact_Pipeline!$J:$J,"Won",Fact_Pipeline!$I:$I,"&gt;="&amp;B275,Fact_Pipeline!$I:$I,"&lt;"&amp;EDATE(B275,1))</f>
        <v>0</v>
      </c>
      <c r="F275" s="66" t="b">
        <f>AND(D275&gt;0,IFERROR(E275/D275&gt;=G6,FALSE()))</f>
        <v>0</v>
      </c>
      <c r="G275" s="65">
        <f t="shared" si="13"/>
        <v>0</v>
      </c>
      <c r="H275" s="65">
        <f>IF(F275,MAX(0,MIN(E275,I6*D275)-D275)*IFERROR(INDEX($C$158:$C$161,MATCH(C275,$A$158:$A$161,0)),0),0)</f>
        <v>0</v>
      </c>
      <c r="I275" s="65">
        <f>IF(F275,MAX(0,E275-I6*D275)*IFERROR(INDEX($D$158:$D$161,MATCH(C275,$A$158:$A$161,0)),0),0)</f>
        <v>0</v>
      </c>
      <c r="J275" s="65">
        <f t="shared" si="14"/>
        <v>0</v>
      </c>
    </row>
    <row r="276" spans="1:10" ht="15" customHeight="1" outlineLevel="1" x14ac:dyDescent="0.2">
      <c r="A276" s="66" t="str">
        <f t="shared" si="17"/>
        <v>R010</v>
      </c>
      <c r="B276" s="67">
        <f>$A$1431</f>
        <v>45597</v>
      </c>
      <c r="C276" s="66" t="str">
        <f t="shared" si="18"/>
        <v>Enterprise AE</v>
      </c>
      <c r="D276" s="65">
        <f>SUMIFS(Fact_Quota!$D:$D,Fact_Quota!$A:$A,$A276,Fact_Quota!$B:$B,"&gt;="&amp;B276,Fact_Quota!$B:$B,"&lt;"&amp;EDATE(B276,1))</f>
        <v>32800</v>
      </c>
      <c r="E276" s="65">
        <f>SUMIFS(Fact_Pipeline!$K:$K,Fact_Pipeline!$B:$B,$A276,Fact_Pipeline!$J:$J,"Won",Fact_Pipeline!$I:$I,"&gt;="&amp;B276,Fact_Pipeline!$I:$I,"&lt;"&amp;EDATE(B276,1))</f>
        <v>122400</v>
      </c>
      <c r="F276" s="66" t="b">
        <f>AND(D276&gt;0,IFERROR(E276/D276&gt;=G6,FALSE()))</f>
        <v>1</v>
      </c>
      <c r="G276" s="65">
        <f t="shared" si="13"/>
        <v>1968</v>
      </c>
      <c r="H276" s="65">
        <f>IF(F276,MAX(0,MIN(E276,I6*D276)-D276)*IFERROR(INDEX($C$158:$C$161,MATCH(C276,$A$158:$A$161,0)),0),0)</f>
        <v>1640</v>
      </c>
      <c r="I276" s="65">
        <f>IF(F276,MAX(0,E276-I6*D276)*IFERROR(INDEX($D$158:$D$161,MATCH(C276,$A$158:$A$161,0)),0),0)</f>
        <v>10248.000000000002</v>
      </c>
      <c r="J276" s="65">
        <f t="shared" si="14"/>
        <v>13856.000000000002</v>
      </c>
    </row>
    <row r="277" spans="1:10" ht="15" customHeight="1" outlineLevel="1" x14ac:dyDescent="0.2">
      <c r="A277" s="66" t="str">
        <f t="shared" si="17"/>
        <v>R010</v>
      </c>
      <c r="B277" s="67">
        <f>$A$1432</f>
        <v>45627</v>
      </c>
      <c r="C277" s="66" t="str">
        <f t="shared" si="18"/>
        <v>Enterprise AE</v>
      </c>
      <c r="D277" s="65">
        <f>SUMIFS(Fact_Quota!$D:$D,Fact_Quota!$A:$A,$A277,Fact_Quota!$B:$B,"&gt;="&amp;B277,Fact_Quota!$B:$B,"&lt;"&amp;EDATE(B277,1))</f>
        <v>32200</v>
      </c>
      <c r="E277" s="65">
        <f>SUMIFS(Fact_Pipeline!$K:$K,Fact_Pipeline!$B:$B,$A277,Fact_Pipeline!$J:$J,"Won",Fact_Pipeline!$I:$I,"&gt;="&amp;B277,Fact_Pipeline!$I:$I,"&lt;"&amp;EDATE(B277,1))</f>
        <v>0</v>
      </c>
      <c r="F277" s="66" t="b">
        <f>AND(D277&gt;0,IFERROR(E277/D277&gt;=G6,FALSE()))</f>
        <v>0</v>
      </c>
      <c r="G277" s="65">
        <f t="shared" si="13"/>
        <v>0</v>
      </c>
      <c r="H277" s="65">
        <f>IF(F277,MAX(0,MIN(E277,I6*D277)-D277)*IFERROR(INDEX($C$158:$C$161,MATCH(C277,$A$158:$A$161,0)),0),0)</f>
        <v>0</v>
      </c>
      <c r="I277" s="65">
        <f>IF(F277,MAX(0,E277-I6*D277)*IFERROR(INDEX($D$158:$D$161,MATCH(C277,$A$158:$A$161,0)),0),0)</f>
        <v>0</v>
      </c>
      <c r="J277" s="65">
        <f t="shared" si="14"/>
        <v>0</v>
      </c>
    </row>
    <row r="278" spans="1:10" ht="15" customHeight="1" outlineLevel="1" x14ac:dyDescent="0.2">
      <c r="A278" s="66" t="str">
        <f t="shared" si="17"/>
        <v>R010</v>
      </c>
      <c r="B278" s="67">
        <f>$A$1433</f>
        <v>45658</v>
      </c>
      <c r="C278" s="66" t="str">
        <f t="shared" si="18"/>
        <v>Enterprise AE</v>
      </c>
      <c r="D278" s="65">
        <f>SUMIFS(Fact_Quota!$D:$D,Fact_Quota!$A:$A,$A278,Fact_Quota!$B:$B,"&gt;="&amp;B278,Fact_Quota!$B:$B,"&lt;"&amp;EDATE(B278,1))</f>
        <v>30800</v>
      </c>
      <c r="E278" s="65">
        <f>SUMIFS(Fact_Pipeline!$K:$K,Fact_Pipeline!$B:$B,$A278,Fact_Pipeline!$J:$J,"Won",Fact_Pipeline!$I:$I,"&gt;="&amp;B278,Fact_Pipeline!$I:$I,"&lt;"&amp;EDATE(B278,1))</f>
        <v>90400</v>
      </c>
      <c r="F278" s="66" t="b">
        <f>AND(D278&gt;0,IFERROR(E278/D278&gt;=G6,FALSE()))</f>
        <v>1</v>
      </c>
      <c r="G278" s="65">
        <f t="shared" si="13"/>
        <v>1848</v>
      </c>
      <c r="H278" s="65">
        <f>IF(F278,MAX(0,MIN(E278,I6*D278)-D278)*IFERROR(INDEX($C$158:$C$161,MATCH(C278,$A$158:$A$161,0)),0),0)</f>
        <v>1540</v>
      </c>
      <c r="I278" s="65">
        <f>IF(F278,MAX(0,E278-I6*D278)*IFERROR(INDEX($D$158:$D$161,MATCH(C278,$A$158:$A$161,0)),0),0)</f>
        <v>6188.0000000000009</v>
      </c>
      <c r="J278" s="65">
        <f t="shared" si="14"/>
        <v>9576</v>
      </c>
    </row>
    <row r="279" spans="1:10" ht="15" customHeight="1" outlineLevel="1" x14ac:dyDescent="0.2">
      <c r="A279" s="66" t="str">
        <f t="shared" si="17"/>
        <v>R010</v>
      </c>
      <c r="B279" s="67">
        <f>$A$1434</f>
        <v>45689</v>
      </c>
      <c r="C279" s="66" t="str">
        <f t="shared" si="18"/>
        <v>Enterprise AE</v>
      </c>
      <c r="D279" s="65">
        <f>SUMIFS(Fact_Quota!$D:$D,Fact_Quota!$A:$A,$A279,Fact_Quota!$B:$B,"&gt;="&amp;B279,Fact_Quota!$B:$B,"&lt;"&amp;EDATE(B279,1))</f>
        <v>32200</v>
      </c>
      <c r="E279" s="65">
        <f>SUMIFS(Fact_Pipeline!$K:$K,Fact_Pipeline!$B:$B,$A279,Fact_Pipeline!$J:$J,"Won",Fact_Pipeline!$I:$I,"&gt;="&amp;B279,Fact_Pipeline!$I:$I,"&lt;"&amp;EDATE(B279,1))</f>
        <v>69600</v>
      </c>
      <c r="F279" s="66" t="b">
        <f>AND(D279&gt;0,IFERROR(E279/D279&gt;=G6,FALSE()))</f>
        <v>1</v>
      </c>
      <c r="G279" s="65">
        <f t="shared" si="13"/>
        <v>1932</v>
      </c>
      <c r="H279" s="65">
        <f>IF(F279,MAX(0,MIN(E279,I6*D279)-D279)*IFERROR(INDEX($C$158:$C$161,MATCH(C279,$A$158:$A$161,0)),0),0)</f>
        <v>1610</v>
      </c>
      <c r="I279" s="65">
        <f>IF(F279,MAX(0,E279-I6*D279)*IFERROR(INDEX($D$158:$D$161,MATCH(C279,$A$158:$A$161,0)),0),0)</f>
        <v>2982.0000000000005</v>
      </c>
      <c r="J279" s="65">
        <f t="shared" si="14"/>
        <v>6524</v>
      </c>
    </row>
    <row r="280" spans="1:10" ht="15" customHeight="1" outlineLevel="1" x14ac:dyDescent="0.2">
      <c r="A280" s="66" t="str">
        <f t="shared" si="17"/>
        <v>R010</v>
      </c>
      <c r="B280" s="67">
        <f>$A$1435</f>
        <v>45717</v>
      </c>
      <c r="C280" s="66" t="str">
        <f t="shared" si="18"/>
        <v>Enterprise AE</v>
      </c>
      <c r="D280" s="65">
        <f>SUMIFS(Fact_Quota!$D:$D,Fact_Quota!$A:$A,$A280,Fact_Quota!$B:$B,"&gt;="&amp;B280,Fact_Quota!$B:$B,"&lt;"&amp;EDATE(B280,1))</f>
        <v>32400</v>
      </c>
      <c r="E280" s="65">
        <f>SUMIFS(Fact_Pipeline!$K:$K,Fact_Pipeline!$B:$B,$A280,Fact_Pipeline!$J:$J,"Won",Fact_Pipeline!$I:$I,"&gt;="&amp;B280,Fact_Pipeline!$I:$I,"&lt;"&amp;EDATE(B280,1))</f>
        <v>0</v>
      </c>
      <c r="F280" s="66" t="b">
        <f>AND(D280&gt;0,IFERROR(E280/D280&gt;=G6,FALSE()))</f>
        <v>0</v>
      </c>
      <c r="G280" s="65">
        <f t="shared" si="13"/>
        <v>0</v>
      </c>
      <c r="H280" s="65">
        <f>IF(F280,MAX(0,MIN(E280,I6*D280)-D280)*IFERROR(INDEX($C$158:$C$161,MATCH(C280,$A$158:$A$161,0)),0),0)</f>
        <v>0</v>
      </c>
      <c r="I280" s="65">
        <f>IF(F280,MAX(0,E280-I6*D280)*IFERROR(INDEX($D$158:$D$161,MATCH(C280,$A$158:$A$161,0)),0),0)</f>
        <v>0</v>
      </c>
      <c r="J280" s="65">
        <f t="shared" si="14"/>
        <v>0</v>
      </c>
    </row>
    <row r="281" spans="1:10" ht="15" customHeight="1" outlineLevel="1" x14ac:dyDescent="0.2">
      <c r="A281" s="66" t="str">
        <f t="shared" si="17"/>
        <v>R010</v>
      </c>
      <c r="B281" s="67">
        <f>$A$1436</f>
        <v>45748</v>
      </c>
      <c r="C281" s="66" t="str">
        <f t="shared" si="18"/>
        <v>Enterprise AE</v>
      </c>
      <c r="D281" s="65">
        <f>SUMIFS(Fact_Quota!$D:$D,Fact_Quota!$A:$A,$A281,Fact_Quota!$B:$B,"&gt;="&amp;B281,Fact_Quota!$B:$B,"&lt;"&amp;EDATE(B281,1))</f>
        <v>31200</v>
      </c>
      <c r="E281" s="65">
        <f>SUMIFS(Fact_Pipeline!$K:$K,Fact_Pipeline!$B:$B,$A281,Fact_Pipeline!$J:$J,"Won",Fact_Pipeline!$I:$I,"&gt;="&amp;B281,Fact_Pipeline!$I:$I,"&lt;"&amp;EDATE(B281,1))</f>
        <v>0</v>
      </c>
      <c r="F281" s="66" t="b">
        <f>AND(D281&gt;0,IFERROR(E281/D281&gt;=G6,FALSE()))</f>
        <v>0</v>
      </c>
      <c r="G281" s="65">
        <f t="shared" si="13"/>
        <v>0</v>
      </c>
      <c r="H281" s="65">
        <f>IF(F281,MAX(0,MIN(E281,I6*D281)-D281)*IFERROR(INDEX($C$158:$C$161,MATCH(C281,$A$158:$A$161,0)),0),0)</f>
        <v>0</v>
      </c>
      <c r="I281" s="65">
        <f>IF(F281,MAX(0,E281-I6*D281)*IFERROR(INDEX($D$158:$D$161,MATCH(C281,$A$158:$A$161,0)),0),0)</f>
        <v>0</v>
      </c>
      <c r="J281" s="65">
        <f t="shared" si="14"/>
        <v>0</v>
      </c>
    </row>
    <row r="282" spans="1:10" ht="15" customHeight="1" outlineLevel="1" x14ac:dyDescent="0.2">
      <c r="A282" s="66" t="str">
        <f t="shared" si="17"/>
        <v>R010</v>
      </c>
      <c r="B282" s="67">
        <f>$A$1437</f>
        <v>45778</v>
      </c>
      <c r="C282" s="66" t="str">
        <f t="shared" si="18"/>
        <v>Enterprise AE</v>
      </c>
      <c r="D282" s="65">
        <f>SUMIFS(Fact_Quota!$D:$D,Fact_Quota!$A:$A,$A282,Fact_Quota!$B:$B,"&gt;="&amp;B282,Fact_Quota!$B:$B,"&lt;"&amp;EDATE(B282,1))</f>
        <v>32100</v>
      </c>
      <c r="E282" s="65">
        <f>SUMIFS(Fact_Pipeline!$K:$K,Fact_Pipeline!$B:$B,$A282,Fact_Pipeline!$J:$J,"Won",Fact_Pipeline!$I:$I,"&gt;="&amp;B282,Fact_Pipeline!$I:$I,"&lt;"&amp;EDATE(B282,1))</f>
        <v>44100</v>
      </c>
      <c r="F282" s="66" t="b">
        <f>AND(D282&gt;0,IFERROR(E282/D282&gt;=G6,FALSE()))</f>
        <v>1</v>
      </c>
      <c r="G282" s="65">
        <f t="shared" ref="G282:G345" si="19">IF(F282,MIN(E282,D282)*IFERROR(INDEX($B$158:$B$161,MATCH(C282,$A$158:$A$161,0)),0),0)</f>
        <v>1926</v>
      </c>
      <c r="H282" s="65">
        <f>IF(F282,MAX(0,MIN(E282,I6*D282)-D282)*IFERROR(INDEX($C$158:$C$161,MATCH(C282,$A$158:$A$161,0)),0),0)</f>
        <v>1200</v>
      </c>
      <c r="I282" s="65">
        <f>IF(F282,MAX(0,E282-I6*D282)*IFERROR(INDEX($D$158:$D$161,MATCH(C282,$A$158:$A$161,0)),0),0)</f>
        <v>0</v>
      </c>
      <c r="J282" s="65">
        <f t="shared" ref="J282:J345" si="20">G282+H282+I282</f>
        <v>3126</v>
      </c>
    </row>
    <row r="283" spans="1:10" ht="15" customHeight="1" outlineLevel="1" x14ac:dyDescent="0.2">
      <c r="A283" s="66" t="str">
        <f t="shared" si="17"/>
        <v>R010</v>
      </c>
      <c r="B283" s="67">
        <f>$A$1438</f>
        <v>45809</v>
      </c>
      <c r="C283" s="66" t="str">
        <f t="shared" si="18"/>
        <v>Enterprise AE</v>
      </c>
      <c r="D283" s="65">
        <f>SUMIFS(Fact_Quota!$D:$D,Fact_Quota!$A:$A,$A283,Fact_Quota!$B:$B,"&gt;="&amp;B283,Fact_Quota!$B:$B,"&lt;"&amp;EDATE(B283,1))</f>
        <v>32100</v>
      </c>
      <c r="E283" s="65">
        <f>SUMIFS(Fact_Pipeline!$K:$K,Fact_Pipeline!$B:$B,$A283,Fact_Pipeline!$J:$J,"Won",Fact_Pipeline!$I:$I,"&gt;="&amp;B283,Fact_Pipeline!$I:$I,"&lt;"&amp;EDATE(B283,1))</f>
        <v>0</v>
      </c>
      <c r="F283" s="66" t="b">
        <f>AND(D283&gt;0,IFERROR(E283/D283&gt;=G6,FALSE()))</f>
        <v>0</v>
      </c>
      <c r="G283" s="65">
        <f t="shared" si="19"/>
        <v>0</v>
      </c>
      <c r="H283" s="65">
        <f>IF(F283,MAX(0,MIN(E283,I6*D283)-D283)*IFERROR(INDEX($C$158:$C$161,MATCH(C283,$A$158:$A$161,0)),0),0)</f>
        <v>0</v>
      </c>
      <c r="I283" s="65">
        <f>IF(F283,MAX(0,E283-I6*D283)*IFERROR(INDEX($D$158:$D$161,MATCH(C283,$A$158:$A$161,0)),0),0)</f>
        <v>0</v>
      </c>
      <c r="J283" s="65">
        <f t="shared" si="20"/>
        <v>0</v>
      </c>
    </row>
    <row r="284" spans="1:10" ht="15" customHeight="1" outlineLevel="1" x14ac:dyDescent="0.2">
      <c r="A284" s="66" t="str">
        <f t="shared" si="17"/>
        <v>R010</v>
      </c>
      <c r="B284" s="67">
        <f>$A$1439</f>
        <v>45839</v>
      </c>
      <c r="C284" s="66" t="str">
        <f t="shared" si="18"/>
        <v>Enterprise AE</v>
      </c>
      <c r="D284" s="65">
        <f>SUMIFS(Fact_Quota!$D:$D,Fact_Quota!$A:$A,$A284,Fact_Quota!$B:$B,"&gt;="&amp;B284,Fact_Quota!$B:$B,"&lt;"&amp;EDATE(B284,1))</f>
        <v>30900</v>
      </c>
      <c r="E284" s="65">
        <f>SUMIFS(Fact_Pipeline!$K:$K,Fact_Pipeline!$B:$B,$A284,Fact_Pipeline!$J:$J,"Won",Fact_Pipeline!$I:$I,"&gt;="&amp;B284,Fact_Pipeline!$I:$I,"&lt;"&amp;EDATE(B284,1))</f>
        <v>29900</v>
      </c>
      <c r="F284" s="66" t="b">
        <f>AND(D284&gt;0,IFERROR(E284/D284&gt;=G6,FALSE()))</f>
        <v>1</v>
      </c>
      <c r="G284" s="65">
        <f t="shared" si="19"/>
        <v>1794</v>
      </c>
      <c r="H284" s="65">
        <f>IF(F284,MAX(0,MIN(E284,I6*D284)-D284)*IFERROR(INDEX($C$158:$C$161,MATCH(C284,$A$158:$A$161,0)),0),0)</f>
        <v>0</v>
      </c>
      <c r="I284" s="65">
        <f>IF(F284,MAX(0,E284-I6*D284)*IFERROR(INDEX($D$158:$D$161,MATCH(C284,$A$158:$A$161,0)),0),0)</f>
        <v>0</v>
      </c>
      <c r="J284" s="65">
        <f t="shared" si="20"/>
        <v>1794</v>
      </c>
    </row>
    <row r="285" spans="1:10" ht="15" customHeight="1" outlineLevel="1" x14ac:dyDescent="0.2">
      <c r="A285" s="66" t="str">
        <f t="shared" si="17"/>
        <v>R010</v>
      </c>
      <c r="B285" s="67">
        <f>$A$1440</f>
        <v>45870</v>
      </c>
      <c r="C285" s="66" t="str">
        <f t="shared" si="18"/>
        <v>Enterprise AE</v>
      </c>
      <c r="D285" s="65">
        <f>SUMIFS(Fact_Quota!$D:$D,Fact_Quota!$A:$A,$A285,Fact_Quota!$B:$B,"&gt;="&amp;B285,Fact_Quota!$B:$B,"&lt;"&amp;EDATE(B285,1))</f>
        <v>32300</v>
      </c>
      <c r="E285" s="65">
        <f>SUMIFS(Fact_Pipeline!$K:$K,Fact_Pipeline!$B:$B,$A285,Fact_Pipeline!$J:$J,"Won",Fact_Pipeline!$I:$I,"&gt;="&amp;B285,Fact_Pipeline!$I:$I,"&lt;"&amp;EDATE(B285,1))</f>
        <v>93900</v>
      </c>
      <c r="F285" s="66" t="b">
        <f>AND(D285&gt;0,IFERROR(E285/D285&gt;=G6,FALSE()))</f>
        <v>1</v>
      </c>
      <c r="G285" s="65">
        <f t="shared" si="19"/>
        <v>1938</v>
      </c>
      <c r="H285" s="65">
        <f>IF(F285,MAX(0,MIN(E285,I6*D285)-D285)*IFERROR(INDEX($C$158:$C$161,MATCH(C285,$A$158:$A$161,0)),0),0)</f>
        <v>1615</v>
      </c>
      <c r="I285" s="65">
        <f>IF(F285,MAX(0,E285-I6*D285)*IFERROR(INDEX($D$158:$D$161,MATCH(C285,$A$158:$A$161,0)),0),0)</f>
        <v>6363.0000000000009</v>
      </c>
      <c r="J285" s="65">
        <f t="shared" si="20"/>
        <v>9916</v>
      </c>
    </row>
    <row r="286" spans="1:10" ht="15" customHeight="1" outlineLevel="1" x14ac:dyDescent="0.2">
      <c r="A286" s="66" t="str">
        <f t="shared" si="17"/>
        <v>R010</v>
      </c>
      <c r="B286" s="67">
        <f>$A$1441</f>
        <v>45901</v>
      </c>
      <c r="C286" s="66" t="str">
        <f t="shared" si="18"/>
        <v>Enterprise AE</v>
      </c>
      <c r="D286" s="65">
        <f>SUMIFS(Fact_Quota!$D:$D,Fact_Quota!$A:$A,$A286,Fact_Quota!$B:$B,"&gt;="&amp;B286,Fact_Quota!$B:$B,"&lt;"&amp;EDATE(B286,1))</f>
        <v>32500</v>
      </c>
      <c r="E286" s="65">
        <f>SUMIFS(Fact_Pipeline!$K:$K,Fact_Pipeline!$B:$B,$A286,Fact_Pipeline!$J:$J,"Won",Fact_Pipeline!$I:$I,"&gt;="&amp;B286,Fact_Pipeline!$I:$I,"&lt;"&amp;EDATE(B286,1))</f>
        <v>56600</v>
      </c>
      <c r="F286" s="66" t="b">
        <f>AND(D286&gt;0,IFERROR(E286/D286&gt;=G6,FALSE()))</f>
        <v>1</v>
      </c>
      <c r="G286" s="65">
        <f t="shared" si="19"/>
        <v>1950</v>
      </c>
      <c r="H286" s="65">
        <f>IF(F286,MAX(0,MIN(E286,I6*D286)-D286)*IFERROR(INDEX($C$158:$C$161,MATCH(C286,$A$158:$A$161,0)),0),0)</f>
        <v>1625</v>
      </c>
      <c r="I286" s="65">
        <f>IF(F286,MAX(0,E286-I6*D286)*IFERROR(INDEX($D$158:$D$161,MATCH(C286,$A$158:$A$161,0)),0),0)</f>
        <v>1099</v>
      </c>
      <c r="J286" s="65">
        <f t="shared" si="20"/>
        <v>4674</v>
      </c>
    </row>
    <row r="287" spans="1:10" ht="15" customHeight="1" outlineLevel="1" x14ac:dyDescent="0.2">
      <c r="A287" s="66" t="str">
        <f t="shared" si="17"/>
        <v>R010</v>
      </c>
      <c r="B287" s="67">
        <f>$A$1442</f>
        <v>45931</v>
      </c>
      <c r="C287" s="66" t="str">
        <f t="shared" si="18"/>
        <v>Enterprise AE</v>
      </c>
      <c r="D287" s="65">
        <f>SUMIFS(Fact_Quota!$D:$D,Fact_Quota!$A:$A,$A287,Fact_Quota!$B:$B,"&gt;="&amp;B287,Fact_Quota!$B:$B,"&lt;"&amp;EDATE(B287,1))</f>
        <v>33000</v>
      </c>
      <c r="E287" s="65">
        <f>SUMIFS(Fact_Pipeline!$K:$K,Fact_Pipeline!$B:$B,$A287,Fact_Pipeline!$J:$J,"Won",Fact_Pipeline!$I:$I,"&gt;="&amp;B287,Fact_Pipeline!$I:$I,"&lt;"&amp;EDATE(B287,1))</f>
        <v>31800</v>
      </c>
      <c r="F287" s="66" t="b">
        <f>AND(D287&gt;0,IFERROR(E287/D287&gt;=G6,FALSE()))</f>
        <v>1</v>
      </c>
      <c r="G287" s="65">
        <f t="shared" si="19"/>
        <v>1908</v>
      </c>
      <c r="H287" s="65">
        <f>IF(F287,MAX(0,MIN(E287,I6*D287)-D287)*IFERROR(INDEX($C$158:$C$161,MATCH(C287,$A$158:$A$161,0)),0),0)</f>
        <v>0</v>
      </c>
      <c r="I287" s="65">
        <f>IF(F287,MAX(0,E287-I6*D287)*IFERROR(INDEX($D$158:$D$161,MATCH(C287,$A$158:$A$161,0)),0),0)</f>
        <v>0</v>
      </c>
      <c r="J287" s="65">
        <f t="shared" si="20"/>
        <v>1908</v>
      </c>
    </row>
    <row r="288" spans="1:10" ht="15" customHeight="1" outlineLevel="1" x14ac:dyDescent="0.2">
      <c r="A288" s="66" t="str">
        <f t="shared" si="17"/>
        <v>R010</v>
      </c>
      <c r="B288" s="67">
        <f>$A$1443</f>
        <v>45962</v>
      </c>
      <c r="C288" s="66" t="str">
        <f t="shared" si="18"/>
        <v>Enterprise AE</v>
      </c>
      <c r="D288" s="65">
        <f>SUMIFS(Fact_Quota!$D:$D,Fact_Quota!$A:$A,$A288,Fact_Quota!$B:$B,"&gt;="&amp;B288,Fact_Quota!$B:$B,"&lt;"&amp;EDATE(B288,1))</f>
        <v>33000</v>
      </c>
      <c r="E288" s="65">
        <f>SUMIFS(Fact_Pipeline!$K:$K,Fact_Pipeline!$B:$B,$A288,Fact_Pipeline!$J:$J,"Won",Fact_Pipeline!$I:$I,"&gt;="&amp;B288,Fact_Pipeline!$I:$I,"&lt;"&amp;EDATE(B288,1))</f>
        <v>0</v>
      </c>
      <c r="F288" s="66" t="b">
        <f>AND(D288&gt;0,IFERROR(E288/D288&gt;=G6,FALSE()))</f>
        <v>0</v>
      </c>
      <c r="G288" s="65">
        <f t="shared" si="19"/>
        <v>0</v>
      </c>
      <c r="H288" s="65">
        <f>IF(F288,MAX(0,MIN(E288,I6*D288)-D288)*IFERROR(INDEX($C$158:$C$161,MATCH(C288,$A$158:$A$161,0)),0),0)</f>
        <v>0</v>
      </c>
      <c r="I288" s="65">
        <f>IF(F288,MAX(0,E288-I6*D288)*IFERROR(INDEX($D$158:$D$161,MATCH(C288,$A$158:$A$161,0)),0),0)</f>
        <v>0</v>
      </c>
      <c r="J288" s="65">
        <f t="shared" si="20"/>
        <v>0</v>
      </c>
    </row>
    <row r="289" spans="1:10" ht="15" customHeight="1" outlineLevel="1" x14ac:dyDescent="0.2">
      <c r="A289" s="66" t="str">
        <f t="shared" si="17"/>
        <v>R010</v>
      </c>
      <c r="B289" s="67">
        <f>$A$1444</f>
        <v>45992</v>
      </c>
      <c r="C289" s="66" t="str">
        <f t="shared" si="18"/>
        <v>Enterprise AE</v>
      </c>
      <c r="D289" s="65">
        <f>SUMIFS(Fact_Quota!$D:$D,Fact_Quota!$A:$A,$A289,Fact_Quota!$B:$B,"&gt;="&amp;B289,Fact_Quota!$B:$B,"&lt;"&amp;EDATE(B289,1))</f>
        <v>30700</v>
      </c>
      <c r="E289" s="65">
        <f>SUMIFS(Fact_Pipeline!$K:$K,Fact_Pipeline!$B:$B,$A289,Fact_Pipeline!$J:$J,"Won",Fact_Pipeline!$I:$I,"&gt;="&amp;B289,Fact_Pipeline!$I:$I,"&lt;"&amp;EDATE(B289,1))</f>
        <v>73200</v>
      </c>
      <c r="F289" s="66" t="b">
        <f>AND(D289&gt;0,IFERROR(E289/D289&gt;=G6,FALSE()))</f>
        <v>1</v>
      </c>
      <c r="G289" s="65">
        <f t="shared" si="19"/>
        <v>1842</v>
      </c>
      <c r="H289" s="65">
        <f>IF(F289,MAX(0,MIN(E289,I6*D289)-D289)*IFERROR(INDEX($C$158:$C$161,MATCH(C289,$A$158:$A$161,0)),0),0)</f>
        <v>1535</v>
      </c>
      <c r="I289" s="65">
        <f>IF(F289,MAX(0,E289-I6*D289)*IFERROR(INDEX($D$158:$D$161,MATCH(C289,$A$158:$A$161,0)),0),0)</f>
        <v>3801.0000000000005</v>
      </c>
      <c r="J289" s="65">
        <f t="shared" si="20"/>
        <v>7178</v>
      </c>
    </row>
    <row r="290" spans="1:10" ht="15" customHeight="1" outlineLevel="1" x14ac:dyDescent="0.2">
      <c r="A290" s="63" t="str">
        <f t="shared" ref="A290:A313" si="21">$A$168</f>
        <v>R013</v>
      </c>
      <c r="B290" s="64">
        <f>$A$1421</f>
        <v>45292</v>
      </c>
      <c r="C290" s="63" t="str">
        <f t="shared" ref="C290:C313" si="22">$C$168</f>
        <v>Enterprise AE</v>
      </c>
      <c r="D290" s="62">
        <f>SUMIFS(Fact_Quota!$D:$D,Fact_Quota!$A:$A,$A290,Fact_Quota!$B:$B,"&gt;="&amp;B290,Fact_Quota!$B:$B,"&lt;"&amp;EDATE(B290,1))</f>
        <v>0</v>
      </c>
      <c r="E290" s="62">
        <f>SUMIFS(Fact_Pipeline!$K:$K,Fact_Pipeline!$B:$B,$A290,Fact_Pipeline!$J:$J,"Won",Fact_Pipeline!$I:$I,"&gt;="&amp;B290,Fact_Pipeline!$I:$I,"&lt;"&amp;EDATE(B290,1))</f>
        <v>0</v>
      </c>
      <c r="F290" s="63" t="b">
        <f>AND(D290&gt;0,IFERROR(E290/D290&gt;=G6,FALSE()))</f>
        <v>0</v>
      </c>
      <c r="G290" s="62">
        <f t="shared" si="19"/>
        <v>0</v>
      </c>
      <c r="H290" s="62">
        <f>IF(F290,MAX(0,MIN(E290,I6*D290)-D290)*IFERROR(INDEX($C$158:$C$161,MATCH(C290,$A$158:$A$161,0)),0),0)</f>
        <v>0</v>
      </c>
      <c r="I290" s="62">
        <f>IF(F290,MAX(0,E290-I6*D290)*IFERROR(INDEX($D$158:$D$161,MATCH(C290,$A$158:$A$161,0)),0),0)</f>
        <v>0</v>
      </c>
      <c r="J290" s="62">
        <f t="shared" si="20"/>
        <v>0</v>
      </c>
    </row>
    <row r="291" spans="1:10" ht="15" customHeight="1" outlineLevel="1" x14ac:dyDescent="0.2">
      <c r="A291" s="63" t="str">
        <f t="shared" si="21"/>
        <v>R013</v>
      </c>
      <c r="B291" s="64">
        <f>$A$1422</f>
        <v>45323</v>
      </c>
      <c r="C291" s="63" t="str">
        <f t="shared" si="22"/>
        <v>Enterprise AE</v>
      </c>
      <c r="D291" s="62">
        <f>SUMIFS(Fact_Quota!$D:$D,Fact_Quota!$A:$A,$A291,Fact_Quota!$B:$B,"&gt;="&amp;B291,Fact_Quota!$B:$B,"&lt;"&amp;EDATE(B291,1))</f>
        <v>0</v>
      </c>
      <c r="E291" s="62">
        <f>SUMIFS(Fact_Pipeline!$K:$K,Fact_Pipeline!$B:$B,$A291,Fact_Pipeline!$J:$J,"Won",Fact_Pipeline!$I:$I,"&gt;="&amp;B291,Fact_Pipeline!$I:$I,"&lt;"&amp;EDATE(B291,1))</f>
        <v>0</v>
      </c>
      <c r="F291" s="63" t="b">
        <f>AND(D291&gt;0,IFERROR(E291/D291&gt;=G6,FALSE()))</f>
        <v>0</v>
      </c>
      <c r="G291" s="62">
        <f t="shared" si="19"/>
        <v>0</v>
      </c>
      <c r="H291" s="62">
        <f>IF(F291,MAX(0,MIN(E291,I6*D291)-D291)*IFERROR(INDEX($C$158:$C$161,MATCH(C291,$A$158:$A$161,0)),0),0)</f>
        <v>0</v>
      </c>
      <c r="I291" s="62">
        <f>IF(F291,MAX(0,E291-I6*D291)*IFERROR(INDEX($D$158:$D$161,MATCH(C291,$A$158:$A$161,0)),0),0)</f>
        <v>0</v>
      </c>
      <c r="J291" s="62">
        <f t="shared" si="20"/>
        <v>0</v>
      </c>
    </row>
    <row r="292" spans="1:10" ht="15" customHeight="1" outlineLevel="1" x14ac:dyDescent="0.2">
      <c r="A292" s="63" t="str">
        <f t="shared" si="21"/>
        <v>R013</v>
      </c>
      <c r="B292" s="64">
        <f>$A$1423</f>
        <v>45352</v>
      </c>
      <c r="C292" s="63" t="str">
        <f t="shared" si="22"/>
        <v>Enterprise AE</v>
      </c>
      <c r="D292" s="62">
        <f>SUMIFS(Fact_Quota!$D:$D,Fact_Quota!$A:$A,$A292,Fact_Quota!$B:$B,"&gt;="&amp;B292,Fact_Quota!$B:$B,"&lt;"&amp;EDATE(B292,1))</f>
        <v>0</v>
      </c>
      <c r="E292" s="62">
        <f>SUMIFS(Fact_Pipeline!$K:$K,Fact_Pipeline!$B:$B,$A292,Fact_Pipeline!$J:$J,"Won",Fact_Pipeline!$I:$I,"&gt;="&amp;B292,Fact_Pipeline!$I:$I,"&lt;"&amp;EDATE(B292,1))</f>
        <v>0</v>
      </c>
      <c r="F292" s="63" t="b">
        <f>AND(D292&gt;0,IFERROR(E292/D292&gt;=G6,FALSE()))</f>
        <v>0</v>
      </c>
      <c r="G292" s="62">
        <f t="shared" si="19"/>
        <v>0</v>
      </c>
      <c r="H292" s="62">
        <f>IF(F292,MAX(0,MIN(E292,I6*D292)-D292)*IFERROR(INDEX($C$158:$C$161,MATCH(C292,$A$158:$A$161,0)),0),0)</f>
        <v>0</v>
      </c>
      <c r="I292" s="62">
        <f>IF(F292,MAX(0,E292-I6*D292)*IFERROR(INDEX($D$158:$D$161,MATCH(C292,$A$158:$A$161,0)),0),0)</f>
        <v>0</v>
      </c>
      <c r="J292" s="62">
        <f t="shared" si="20"/>
        <v>0</v>
      </c>
    </row>
    <row r="293" spans="1:10" ht="15" customHeight="1" outlineLevel="1" x14ac:dyDescent="0.2">
      <c r="A293" s="63" t="str">
        <f t="shared" si="21"/>
        <v>R013</v>
      </c>
      <c r="B293" s="64">
        <f>$A$1424</f>
        <v>45383</v>
      </c>
      <c r="C293" s="63" t="str">
        <f t="shared" si="22"/>
        <v>Enterprise AE</v>
      </c>
      <c r="D293" s="62">
        <f>SUMIFS(Fact_Quota!$D:$D,Fact_Quota!$A:$A,$A293,Fact_Quota!$B:$B,"&gt;="&amp;B293,Fact_Quota!$B:$B,"&lt;"&amp;EDATE(B293,1))</f>
        <v>7900</v>
      </c>
      <c r="E293" s="62">
        <f>SUMIFS(Fact_Pipeline!$K:$K,Fact_Pipeline!$B:$B,$A293,Fact_Pipeline!$J:$J,"Won",Fact_Pipeline!$I:$I,"&gt;="&amp;B293,Fact_Pipeline!$I:$I,"&lt;"&amp;EDATE(B293,1))</f>
        <v>0</v>
      </c>
      <c r="F293" s="63" t="b">
        <f>AND(D293&gt;0,IFERROR(E293/D293&gt;=G6,FALSE()))</f>
        <v>0</v>
      </c>
      <c r="G293" s="62">
        <f t="shared" si="19"/>
        <v>0</v>
      </c>
      <c r="H293" s="62">
        <f>IF(F293,MAX(0,MIN(E293,I6*D293)-D293)*IFERROR(INDEX($C$158:$C$161,MATCH(C293,$A$158:$A$161,0)),0),0)</f>
        <v>0</v>
      </c>
      <c r="I293" s="62">
        <f>IF(F293,MAX(0,E293-I6*D293)*IFERROR(INDEX($D$158:$D$161,MATCH(C293,$A$158:$A$161,0)),0),0)</f>
        <v>0</v>
      </c>
      <c r="J293" s="62">
        <f t="shared" si="20"/>
        <v>0</v>
      </c>
    </row>
    <row r="294" spans="1:10" ht="15" customHeight="1" outlineLevel="1" x14ac:dyDescent="0.2">
      <c r="A294" s="63" t="str">
        <f t="shared" si="21"/>
        <v>R013</v>
      </c>
      <c r="B294" s="64">
        <f>$A$1425</f>
        <v>45413</v>
      </c>
      <c r="C294" s="63" t="str">
        <f t="shared" si="22"/>
        <v>Enterprise AE</v>
      </c>
      <c r="D294" s="62">
        <f>SUMIFS(Fact_Quota!$D:$D,Fact_Quota!$A:$A,$A294,Fact_Quota!$B:$B,"&gt;="&amp;B294,Fact_Quota!$B:$B,"&lt;"&amp;EDATE(B294,1))</f>
        <v>15800</v>
      </c>
      <c r="E294" s="62">
        <f>SUMIFS(Fact_Pipeline!$K:$K,Fact_Pipeline!$B:$B,$A294,Fact_Pipeline!$J:$J,"Won",Fact_Pipeline!$I:$I,"&gt;="&amp;B294,Fact_Pipeline!$I:$I,"&lt;"&amp;EDATE(B294,1))</f>
        <v>0</v>
      </c>
      <c r="F294" s="63" t="b">
        <f>AND(D294&gt;0,IFERROR(E294/D294&gt;=G6,FALSE()))</f>
        <v>0</v>
      </c>
      <c r="G294" s="62">
        <f t="shared" si="19"/>
        <v>0</v>
      </c>
      <c r="H294" s="62">
        <f>IF(F294,MAX(0,MIN(E294,I6*D294)-D294)*IFERROR(INDEX($C$158:$C$161,MATCH(C294,$A$158:$A$161,0)),0),0)</f>
        <v>0</v>
      </c>
      <c r="I294" s="62">
        <f>IF(F294,MAX(0,E294-I6*D294)*IFERROR(INDEX($D$158:$D$161,MATCH(C294,$A$158:$A$161,0)),0),0)</f>
        <v>0</v>
      </c>
      <c r="J294" s="62">
        <f t="shared" si="20"/>
        <v>0</v>
      </c>
    </row>
    <row r="295" spans="1:10" ht="15" customHeight="1" outlineLevel="1" x14ac:dyDescent="0.2">
      <c r="A295" s="63" t="str">
        <f t="shared" si="21"/>
        <v>R013</v>
      </c>
      <c r="B295" s="64">
        <f>$A$1426</f>
        <v>45444</v>
      </c>
      <c r="C295" s="63" t="str">
        <f t="shared" si="22"/>
        <v>Enterprise AE</v>
      </c>
      <c r="D295" s="62">
        <f>SUMIFS(Fact_Quota!$D:$D,Fact_Quota!$A:$A,$A295,Fact_Quota!$B:$B,"&gt;="&amp;B295,Fact_Quota!$B:$B,"&lt;"&amp;EDATE(B295,1))</f>
        <v>23500</v>
      </c>
      <c r="E295" s="62">
        <f>SUMIFS(Fact_Pipeline!$K:$K,Fact_Pipeline!$B:$B,$A295,Fact_Pipeline!$J:$J,"Won",Fact_Pipeline!$I:$I,"&gt;="&amp;B295,Fact_Pipeline!$I:$I,"&lt;"&amp;EDATE(B295,1))</f>
        <v>55800</v>
      </c>
      <c r="F295" s="63" t="b">
        <f>AND(D295&gt;0,IFERROR(E295/D295&gt;=G6,FALSE()))</f>
        <v>1</v>
      </c>
      <c r="G295" s="62">
        <f t="shared" si="19"/>
        <v>1410</v>
      </c>
      <c r="H295" s="62">
        <f>IF(F295,MAX(0,MIN(E295,I6*D295)-D295)*IFERROR(INDEX($C$158:$C$161,MATCH(C295,$A$158:$A$161,0)),0),0)</f>
        <v>1175</v>
      </c>
      <c r="I295" s="62">
        <f>IF(F295,MAX(0,E295-I6*D295)*IFERROR(INDEX($D$158:$D$161,MATCH(C295,$A$158:$A$161,0)),0),0)</f>
        <v>2877.0000000000005</v>
      </c>
      <c r="J295" s="62">
        <f t="shared" si="20"/>
        <v>5462</v>
      </c>
    </row>
    <row r="296" spans="1:10" ht="15" customHeight="1" outlineLevel="1" x14ac:dyDescent="0.2">
      <c r="A296" s="63" t="str">
        <f t="shared" si="21"/>
        <v>R013</v>
      </c>
      <c r="B296" s="64">
        <f>$A$1427</f>
        <v>45474</v>
      </c>
      <c r="C296" s="63" t="str">
        <f t="shared" si="22"/>
        <v>Enterprise AE</v>
      </c>
      <c r="D296" s="62">
        <f>SUMIFS(Fact_Quota!$D:$D,Fact_Quota!$A:$A,$A296,Fact_Quota!$B:$B,"&gt;="&amp;B296,Fact_Quota!$B:$B,"&lt;"&amp;EDATE(B296,1))</f>
        <v>33700</v>
      </c>
      <c r="E296" s="62">
        <f>SUMIFS(Fact_Pipeline!$K:$K,Fact_Pipeline!$B:$B,$A296,Fact_Pipeline!$J:$J,"Won",Fact_Pipeline!$I:$I,"&gt;="&amp;B296,Fact_Pipeline!$I:$I,"&lt;"&amp;EDATE(B296,1))</f>
        <v>0</v>
      </c>
      <c r="F296" s="63" t="b">
        <f>AND(D296&gt;0,IFERROR(E296/D296&gt;=G6,FALSE()))</f>
        <v>0</v>
      </c>
      <c r="G296" s="62">
        <f t="shared" si="19"/>
        <v>0</v>
      </c>
      <c r="H296" s="62">
        <f>IF(F296,MAX(0,MIN(E296,I6*D296)-D296)*IFERROR(INDEX($C$158:$C$161,MATCH(C296,$A$158:$A$161,0)),0),0)</f>
        <v>0</v>
      </c>
      <c r="I296" s="62">
        <f>IF(F296,MAX(0,E296-I6*D296)*IFERROR(INDEX($D$158:$D$161,MATCH(C296,$A$158:$A$161,0)),0),0)</f>
        <v>0</v>
      </c>
      <c r="J296" s="62">
        <f t="shared" si="20"/>
        <v>0</v>
      </c>
    </row>
    <row r="297" spans="1:10" ht="15" customHeight="1" outlineLevel="1" x14ac:dyDescent="0.2">
      <c r="A297" s="63" t="str">
        <f t="shared" si="21"/>
        <v>R013</v>
      </c>
      <c r="B297" s="64">
        <f>$A$1428</f>
        <v>45505</v>
      </c>
      <c r="C297" s="63" t="str">
        <f t="shared" si="22"/>
        <v>Enterprise AE</v>
      </c>
      <c r="D297" s="62">
        <f>SUMIFS(Fact_Quota!$D:$D,Fact_Quota!$A:$A,$A297,Fact_Quota!$B:$B,"&gt;="&amp;B297,Fact_Quota!$B:$B,"&lt;"&amp;EDATE(B297,1))</f>
        <v>32400</v>
      </c>
      <c r="E297" s="62">
        <f>SUMIFS(Fact_Pipeline!$K:$K,Fact_Pipeline!$B:$B,$A297,Fact_Pipeline!$J:$J,"Won",Fact_Pipeline!$I:$I,"&gt;="&amp;B297,Fact_Pipeline!$I:$I,"&lt;"&amp;EDATE(B297,1))</f>
        <v>75400</v>
      </c>
      <c r="F297" s="63" t="b">
        <f>AND(D297&gt;0,IFERROR(E297/D297&gt;=G6,FALSE()))</f>
        <v>1</v>
      </c>
      <c r="G297" s="62">
        <f t="shared" si="19"/>
        <v>1944</v>
      </c>
      <c r="H297" s="62">
        <f>IF(F297,MAX(0,MIN(E297,I6*D297)-D297)*IFERROR(INDEX($C$158:$C$161,MATCH(C297,$A$158:$A$161,0)),0),0)</f>
        <v>1620</v>
      </c>
      <c r="I297" s="62">
        <f>IF(F297,MAX(0,E297-I6*D297)*IFERROR(INDEX($D$158:$D$161,MATCH(C297,$A$158:$A$161,0)),0),0)</f>
        <v>3752.0000000000005</v>
      </c>
      <c r="J297" s="62">
        <f t="shared" si="20"/>
        <v>7316</v>
      </c>
    </row>
    <row r="298" spans="1:10" ht="15" customHeight="1" outlineLevel="1" x14ac:dyDescent="0.2">
      <c r="A298" s="63" t="str">
        <f t="shared" si="21"/>
        <v>R013</v>
      </c>
      <c r="B298" s="64">
        <f>$A$1429</f>
        <v>45536</v>
      </c>
      <c r="C298" s="63" t="str">
        <f t="shared" si="22"/>
        <v>Enterprise AE</v>
      </c>
      <c r="D298" s="62">
        <f>SUMIFS(Fact_Quota!$D:$D,Fact_Quota!$A:$A,$A298,Fact_Quota!$B:$B,"&gt;="&amp;B298,Fact_Quota!$B:$B,"&lt;"&amp;EDATE(B298,1))</f>
        <v>30800</v>
      </c>
      <c r="E298" s="62">
        <f>SUMIFS(Fact_Pipeline!$K:$K,Fact_Pipeline!$B:$B,$A298,Fact_Pipeline!$J:$J,"Won",Fact_Pipeline!$I:$I,"&gt;="&amp;B298,Fact_Pipeline!$I:$I,"&lt;"&amp;EDATE(B298,1))</f>
        <v>0</v>
      </c>
      <c r="F298" s="63" t="b">
        <f>AND(D298&gt;0,IFERROR(E298/D298&gt;=G6,FALSE()))</f>
        <v>0</v>
      </c>
      <c r="G298" s="62">
        <f t="shared" si="19"/>
        <v>0</v>
      </c>
      <c r="H298" s="62">
        <f>IF(F298,MAX(0,MIN(E298,I6*D298)-D298)*IFERROR(INDEX($C$158:$C$161,MATCH(C298,$A$158:$A$161,0)),0),0)</f>
        <v>0</v>
      </c>
      <c r="I298" s="62">
        <f>IF(F298,MAX(0,E298-I6*D298)*IFERROR(INDEX($D$158:$D$161,MATCH(C298,$A$158:$A$161,0)),0),0)</f>
        <v>0</v>
      </c>
      <c r="J298" s="62">
        <f t="shared" si="20"/>
        <v>0</v>
      </c>
    </row>
    <row r="299" spans="1:10" ht="15" customHeight="1" outlineLevel="1" x14ac:dyDescent="0.2">
      <c r="A299" s="63" t="str">
        <f t="shared" si="21"/>
        <v>R013</v>
      </c>
      <c r="B299" s="64">
        <f>$A$1430</f>
        <v>45566</v>
      </c>
      <c r="C299" s="63" t="str">
        <f t="shared" si="22"/>
        <v>Enterprise AE</v>
      </c>
      <c r="D299" s="62">
        <f>SUMIFS(Fact_Quota!$D:$D,Fact_Quota!$A:$A,$A299,Fact_Quota!$B:$B,"&gt;="&amp;B299,Fact_Quota!$B:$B,"&lt;"&amp;EDATE(B299,1))</f>
        <v>32900</v>
      </c>
      <c r="E299" s="62">
        <f>SUMIFS(Fact_Pipeline!$K:$K,Fact_Pipeline!$B:$B,$A299,Fact_Pipeline!$J:$J,"Won",Fact_Pipeline!$I:$I,"&gt;="&amp;B299,Fact_Pipeline!$I:$I,"&lt;"&amp;EDATE(B299,1))</f>
        <v>0</v>
      </c>
      <c r="F299" s="63" t="b">
        <f>AND(D299&gt;0,IFERROR(E299/D299&gt;=G6,FALSE()))</f>
        <v>0</v>
      </c>
      <c r="G299" s="62">
        <f t="shared" si="19"/>
        <v>0</v>
      </c>
      <c r="H299" s="62">
        <f>IF(F299,MAX(0,MIN(E299,I6*D299)-D299)*IFERROR(INDEX($C$158:$C$161,MATCH(C299,$A$158:$A$161,0)),0),0)</f>
        <v>0</v>
      </c>
      <c r="I299" s="62">
        <f>IF(F299,MAX(0,E299-I6*D299)*IFERROR(INDEX($D$158:$D$161,MATCH(C299,$A$158:$A$161,0)),0),0)</f>
        <v>0</v>
      </c>
      <c r="J299" s="62">
        <f t="shared" si="20"/>
        <v>0</v>
      </c>
    </row>
    <row r="300" spans="1:10" ht="15" customHeight="1" outlineLevel="1" x14ac:dyDescent="0.2">
      <c r="A300" s="63" t="str">
        <f t="shared" si="21"/>
        <v>R013</v>
      </c>
      <c r="B300" s="64">
        <f>$A$1431</f>
        <v>45597</v>
      </c>
      <c r="C300" s="63" t="str">
        <f t="shared" si="22"/>
        <v>Enterprise AE</v>
      </c>
      <c r="D300" s="62">
        <f>SUMIFS(Fact_Quota!$D:$D,Fact_Quota!$A:$A,$A300,Fact_Quota!$B:$B,"&gt;="&amp;B300,Fact_Quota!$B:$B,"&lt;"&amp;EDATE(B300,1))</f>
        <v>34000</v>
      </c>
      <c r="E300" s="62">
        <f>SUMIFS(Fact_Pipeline!$K:$K,Fact_Pipeline!$B:$B,$A300,Fact_Pipeline!$J:$J,"Won",Fact_Pipeline!$I:$I,"&gt;="&amp;B300,Fact_Pipeline!$I:$I,"&lt;"&amp;EDATE(B300,1))</f>
        <v>21200</v>
      </c>
      <c r="F300" s="63" t="b">
        <f>AND(D300&gt;0,IFERROR(E300/D300&gt;=G6,FALSE()))</f>
        <v>1</v>
      </c>
      <c r="G300" s="62">
        <f t="shared" si="19"/>
        <v>1272</v>
      </c>
      <c r="H300" s="62">
        <f>IF(F300,MAX(0,MIN(E300,I6*D300)-D300)*IFERROR(INDEX($C$158:$C$161,MATCH(C300,$A$158:$A$161,0)),0),0)</f>
        <v>0</v>
      </c>
      <c r="I300" s="62">
        <f>IF(F300,MAX(0,E300-I6*D300)*IFERROR(INDEX($D$158:$D$161,MATCH(C300,$A$158:$A$161,0)),0),0)</f>
        <v>0</v>
      </c>
      <c r="J300" s="62">
        <f t="shared" si="20"/>
        <v>1272</v>
      </c>
    </row>
    <row r="301" spans="1:10" ht="15" customHeight="1" outlineLevel="1" x14ac:dyDescent="0.2">
      <c r="A301" s="63" t="str">
        <f t="shared" si="21"/>
        <v>R013</v>
      </c>
      <c r="B301" s="64">
        <f>$A$1432</f>
        <v>45627</v>
      </c>
      <c r="C301" s="63" t="str">
        <f t="shared" si="22"/>
        <v>Enterprise AE</v>
      </c>
      <c r="D301" s="62">
        <f>SUMIFS(Fact_Quota!$D:$D,Fact_Quota!$A:$A,$A301,Fact_Quota!$B:$B,"&gt;="&amp;B301,Fact_Quota!$B:$B,"&lt;"&amp;EDATE(B301,1))</f>
        <v>33000</v>
      </c>
      <c r="E301" s="62">
        <f>SUMIFS(Fact_Pipeline!$K:$K,Fact_Pipeline!$B:$B,$A301,Fact_Pipeline!$J:$J,"Won",Fact_Pipeline!$I:$I,"&gt;="&amp;B301,Fact_Pipeline!$I:$I,"&lt;"&amp;EDATE(B301,1))</f>
        <v>25100</v>
      </c>
      <c r="F301" s="63" t="b">
        <f>AND(D301&gt;0,IFERROR(E301/D301&gt;=G6,FALSE()))</f>
        <v>1</v>
      </c>
      <c r="G301" s="62">
        <f t="shared" si="19"/>
        <v>1506</v>
      </c>
      <c r="H301" s="62">
        <f>IF(F301,MAX(0,MIN(E301,I6*D301)-D301)*IFERROR(INDEX($C$158:$C$161,MATCH(C301,$A$158:$A$161,0)),0),0)</f>
        <v>0</v>
      </c>
      <c r="I301" s="62">
        <f>IF(F301,MAX(0,E301-I6*D301)*IFERROR(INDEX($D$158:$D$161,MATCH(C301,$A$158:$A$161,0)),0),0)</f>
        <v>0</v>
      </c>
      <c r="J301" s="62">
        <f t="shared" si="20"/>
        <v>1506</v>
      </c>
    </row>
    <row r="302" spans="1:10" ht="15" customHeight="1" outlineLevel="1" x14ac:dyDescent="0.2">
      <c r="A302" s="63" t="str">
        <f t="shared" si="21"/>
        <v>R013</v>
      </c>
      <c r="B302" s="64">
        <f>$A$1433</f>
        <v>45658</v>
      </c>
      <c r="C302" s="63" t="str">
        <f t="shared" si="22"/>
        <v>Enterprise AE</v>
      </c>
      <c r="D302" s="62">
        <f>SUMIFS(Fact_Quota!$D:$D,Fact_Quota!$A:$A,$A302,Fact_Quota!$B:$B,"&gt;="&amp;B302,Fact_Quota!$B:$B,"&lt;"&amp;EDATE(B302,1))</f>
        <v>30500</v>
      </c>
      <c r="E302" s="62">
        <f>SUMIFS(Fact_Pipeline!$K:$K,Fact_Pipeline!$B:$B,$A302,Fact_Pipeline!$J:$J,"Won",Fact_Pipeline!$I:$I,"&gt;="&amp;B302,Fact_Pipeline!$I:$I,"&lt;"&amp;EDATE(B302,1))</f>
        <v>222200</v>
      </c>
      <c r="F302" s="63" t="b">
        <f>AND(D302&gt;0,IFERROR(E302/D302&gt;=G6,FALSE()))</f>
        <v>1</v>
      </c>
      <c r="G302" s="62">
        <f t="shared" si="19"/>
        <v>1830</v>
      </c>
      <c r="H302" s="62">
        <f>IF(F302,MAX(0,MIN(E302,I6*D302)-D302)*IFERROR(INDEX($C$158:$C$161,MATCH(C302,$A$158:$A$161,0)),0),0)</f>
        <v>1525</v>
      </c>
      <c r="I302" s="62">
        <f>IF(F302,MAX(0,E302-I6*D302)*IFERROR(INDEX($D$158:$D$161,MATCH(C302,$A$158:$A$161,0)),0),0)</f>
        <v>24703.000000000004</v>
      </c>
      <c r="J302" s="62">
        <f t="shared" si="20"/>
        <v>28058.000000000004</v>
      </c>
    </row>
    <row r="303" spans="1:10" ht="15" customHeight="1" outlineLevel="1" x14ac:dyDescent="0.2">
      <c r="A303" s="63" t="str">
        <f t="shared" si="21"/>
        <v>R013</v>
      </c>
      <c r="B303" s="64">
        <f>$A$1434</f>
        <v>45689</v>
      </c>
      <c r="C303" s="63" t="str">
        <f t="shared" si="22"/>
        <v>Enterprise AE</v>
      </c>
      <c r="D303" s="62">
        <f>SUMIFS(Fact_Quota!$D:$D,Fact_Quota!$A:$A,$A303,Fact_Quota!$B:$B,"&gt;="&amp;B303,Fact_Quota!$B:$B,"&lt;"&amp;EDATE(B303,1))</f>
        <v>31500</v>
      </c>
      <c r="E303" s="62">
        <f>SUMIFS(Fact_Pipeline!$K:$K,Fact_Pipeline!$B:$B,$A303,Fact_Pipeline!$J:$J,"Won",Fact_Pipeline!$I:$I,"&gt;="&amp;B303,Fact_Pipeline!$I:$I,"&lt;"&amp;EDATE(B303,1))</f>
        <v>25600</v>
      </c>
      <c r="F303" s="63" t="b">
        <f>AND(D303&gt;0,IFERROR(E303/D303&gt;=G6,FALSE()))</f>
        <v>1</v>
      </c>
      <c r="G303" s="62">
        <f t="shared" si="19"/>
        <v>1536</v>
      </c>
      <c r="H303" s="62">
        <f>IF(F303,MAX(0,MIN(E303,I6*D303)-D303)*IFERROR(INDEX($C$158:$C$161,MATCH(C303,$A$158:$A$161,0)),0),0)</f>
        <v>0</v>
      </c>
      <c r="I303" s="62">
        <f>IF(F303,MAX(0,E303-I6*D303)*IFERROR(INDEX($D$158:$D$161,MATCH(C303,$A$158:$A$161,0)),0),0)</f>
        <v>0</v>
      </c>
      <c r="J303" s="62">
        <f t="shared" si="20"/>
        <v>1536</v>
      </c>
    </row>
    <row r="304" spans="1:10" ht="15" customHeight="1" outlineLevel="1" x14ac:dyDescent="0.2">
      <c r="A304" s="63" t="str">
        <f t="shared" si="21"/>
        <v>R013</v>
      </c>
      <c r="B304" s="64">
        <f>$A$1435</f>
        <v>45717</v>
      </c>
      <c r="C304" s="63" t="str">
        <f t="shared" si="22"/>
        <v>Enterprise AE</v>
      </c>
      <c r="D304" s="62">
        <f>SUMIFS(Fact_Quota!$D:$D,Fact_Quota!$A:$A,$A304,Fact_Quota!$B:$B,"&gt;="&amp;B304,Fact_Quota!$B:$B,"&lt;"&amp;EDATE(B304,1))</f>
        <v>33200</v>
      </c>
      <c r="E304" s="62">
        <f>SUMIFS(Fact_Pipeline!$K:$K,Fact_Pipeline!$B:$B,$A304,Fact_Pipeline!$J:$J,"Won",Fact_Pipeline!$I:$I,"&gt;="&amp;B304,Fact_Pipeline!$I:$I,"&lt;"&amp;EDATE(B304,1))</f>
        <v>0</v>
      </c>
      <c r="F304" s="63" t="b">
        <f>AND(D304&gt;0,IFERROR(E304/D304&gt;=G6,FALSE()))</f>
        <v>0</v>
      </c>
      <c r="G304" s="62">
        <f t="shared" si="19"/>
        <v>0</v>
      </c>
      <c r="H304" s="62">
        <f>IF(F304,MAX(0,MIN(E304,I6*D304)-D304)*IFERROR(INDEX($C$158:$C$161,MATCH(C304,$A$158:$A$161,0)),0),0)</f>
        <v>0</v>
      </c>
      <c r="I304" s="62">
        <f>IF(F304,MAX(0,E304-I6*D304)*IFERROR(INDEX($D$158:$D$161,MATCH(C304,$A$158:$A$161,0)),0),0)</f>
        <v>0</v>
      </c>
      <c r="J304" s="62">
        <f t="shared" si="20"/>
        <v>0</v>
      </c>
    </row>
    <row r="305" spans="1:10" ht="15" customHeight="1" outlineLevel="1" x14ac:dyDescent="0.2">
      <c r="A305" s="63" t="str">
        <f t="shared" si="21"/>
        <v>R013</v>
      </c>
      <c r="B305" s="64">
        <f>$A$1436</f>
        <v>45748</v>
      </c>
      <c r="C305" s="63" t="str">
        <f t="shared" si="22"/>
        <v>Enterprise AE</v>
      </c>
      <c r="D305" s="62">
        <f>SUMIFS(Fact_Quota!$D:$D,Fact_Quota!$A:$A,$A305,Fact_Quota!$B:$B,"&gt;="&amp;B305,Fact_Quota!$B:$B,"&lt;"&amp;EDATE(B305,1))</f>
        <v>31300</v>
      </c>
      <c r="E305" s="62">
        <f>SUMIFS(Fact_Pipeline!$K:$K,Fact_Pipeline!$B:$B,$A305,Fact_Pipeline!$J:$J,"Won",Fact_Pipeline!$I:$I,"&gt;="&amp;B305,Fact_Pipeline!$I:$I,"&lt;"&amp;EDATE(B305,1))</f>
        <v>0</v>
      </c>
      <c r="F305" s="63" t="b">
        <f>AND(D305&gt;0,IFERROR(E305/D305&gt;=G6,FALSE()))</f>
        <v>0</v>
      </c>
      <c r="G305" s="62">
        <f t="shared" si="19"/>
        <v>0</v>
      </c>
      <c r="H305" s="62">
        <f>IF(F305,MAX(0,MIN(E305,I6*D305)-D305)*IFERROR(INDEX($C$158:$C$161,MATCH(C305,$A$158:$A$161,0)),0),0)</f>
        <v>0</v>
      </c>
      <c r="I305" s="62">
        <f>IF(F305,MAX(0,E305-I6*D305)*IFERROR(INDEX($D$158:$D$161,MATCH(C305,$A$158:$A$161,0)),0),0)</f>
        <v>0</v>
      </c>
      <c r="J305" s="62">
        <f t="shared" si="20"/>
        <v>0</v>
      </c>
    </row>
    <row r="306" spans="1:10" ht="15" customHeight="1" outlineLevel="1" x14ac:dyDescent="0.2">
      <c r="A306" s="63" t="str">
        <f t="shared" si="21"/>
        <v>R013</v>
      </c>
      <c r="B306" s="64">
        <f>$A$1437</f>
        <v>45778</v>
      </c>
      <c r="C306" s="63" t="str">
        <f t="shared" si="22"/>
        <v>Enterprise AE</v>
      </c>
      <c r="D306" s="62">
        <f>SUMIFS(Fact_Quota!$D:$D,Fact_Quota!$A:$A,$A306,Fact_Quota!$B:$B,"&gt;="&amp;B306,Fact_Quota!$B:$B,"&lt;"&amp;EDATE(B306,1))</f>
        <v>32400</v>
      </c>
      <c r="E306" s="62">
        <f>SUMIFS(Fact_Pipeline!$K:$K,Fact_Pipeline!$B:$B,$A306,Fact_Pipeline!$J:$J,"Won",Fact_Pipeline!$I:$I,"&gt;="&amp;B306,Fact_Pipeline!$I:$I,"&lt;"&amp;EDATE(B306,1))</f>
        <v>31000</v>
      </c>
      <c r="F306" s="63" t="b">
        <f>AND(D306&gt;0,IFERROR(E306/D306&gt;=G6,FALSE()))</f>
        <v>1</v>
      </c>
      <c r="G306" s="62">
        <f t="shared" si="19"/>
        <v>1860</v>
      </c>
      <c r="H306" s="62">
        <f>IF(F306,MAX(0,MIN(E306,I6*D306)-D306)*IFERROR(INDEX($C$158:$C$161,MATCH(C306,$A$158:$A$161,0)),0),0)</f>
        <v>0</v>
      </c>
      <c r="I306" s="62">
        <f>IF(F306,MAX(0,E306-I6*D306)*IFERROR(INDEX($D$158:$D$161,MATCH(C306,$A$158:$A$161,0)),0),0)</f>
        <v>0</v>
      </c>
      <c r="J306" s="62">
        <f t="shared" si="20"/>
        <v>1860</v>
      </c>
    </row>
    <row r="307" spans="1:10" ht="15" customHeight="1" outlineLevel="1" x14ac:dyDescent="0.2">
      <c r="A307" s="63" t="str">
        <f t="shared" si="21"/>
        <v>R013</v>
      </c>
      <c r="B307" s="64">
        <f>$A$1438</f>
        <v>45809</v>
      </c>
      <c r="C307" s="63" t="str">
        <f t="shared" si="22"/>
        <v>Enterprise AE</v>
      </c>
      <c r="D307" s="62">
        <f>SUMIFS(Fact_Quota!$D:$D,Fact_Quota!$A:$A,$A307,Fact_Quota!$B:$B,"&gt;="&amp;B307,Fact_Quota!$B:$B,"&lt;"&amp;EDATE(B307,1))</f>
        <v>32700</v>
      </c>
      <c r="E307" s="62">
        <f>SUMIFS(Fact_Pipeline!$K:$K,Fact_Pipeline!$B:$B,$A307,Fact_Pipeline!$J:$J,"Won",Fact_Pipeline!$I:$I,"&gt;="&amp;B307,Fact_Pipeline!$I:$I,"&lt;"&amp;EDATE(B307,1))</f>
        <v>29600</v>
      </c>
      <c r="F307" s="63" t="b">
        <f>AND(D307&gt;0,IFERROR(E307/D307&gt;=G6,FALSE()))</f>
        <v>1</v>
      </c>
      <c r="G307" s="62">
        <f t="shared" si="19"/>
        <v>1776</v>
      </c>
      <c r="H307" s="62">
        <f>IF(F307,MAX(0,MIN(E307,I6*D307)-D307)*IFERROR(INDEX($C$158:$C$161,MATCH(C307,$A$158:$A$161,0)),0),0)</f>
        <v>0</v>
      </c>
      <c r="I307" s="62">
        <f>IF(F307,MAX(0,E307-I6*D307)*IFERROR(INDEX($D$158:$D$161,MATCH(C307,$A$158:$A$161,0)),0),0)</f>
        <v>0</v>
      </c>
      <c r="J307" s="62">
        <f t="shared" si="20"/>
        <v>1776</v>
      </c>
    </row>
    <row r="308" spans="1:10" ht="15" customHeight="1" outlineLevel="1" x14ac:dyDescent="0.2">
      <c r="A308" s="63" t="str">
        <f t="shared" si="21"/>
        <v>R013</v>
      </c>
      <c r="B308" s="64">
        <f>$A$1439</f>
        <v>45839</v>
      </c>
      <c r="C308" s="63" t="str">
        <f t="shared" si="22"/>
        <v>Enterprise AE</v>
      </c>
      <c r="D308" s="62">
        <f>SUMIFS(Fact_Quota!$D:$D,Fact_Quota!$A:$A,$A308,Fact_Quota!$B:$B,"&gt;="&amp;B308,Fact_Quota!$B:$B,"&lt;"&amp;EDATE(B308,1))</f>
        <v>31100</v>
      </c>
      <c r="E308" s="62">
        <f>SUMIFS(Fact_Pipeline!$K:$K,Fact_Pipeline!$B:$B,$A308,Fact_Pipeline!$J:$J,"Won",Fact_Pipeline!$I:$I,"&gt;="&amp;B308,Fact_Pipeline!$I:$I,"&lt;"&amp;EDATE(B308,1))</f>
        <v>0</v>
      </c>
      <c r="F308" s="63" t="b">
        <f>AND(D308&gt;0,IFERROR(E308/D308&gt;=G6,FALSE()))</f>
        <v>0</v>
      </c>
      <c r="G308" s="62">
        <f t="shared" si="19"/>
        <v>0</v>
      </c>
      <c r="H308" s="62">
        <f>IF(F308,MAX(0,MIN(E308,I6*D308)-D308)*IFERROR(INDEX($C$158:$C$161,MATCH(C308,$A$158:$A$161,0)),0),0)</f>
        <v>0</v>
      </c>
      <c r="I308" s="62">
        <f>IF(F308,MAX(0,E308-I6*D308)*IFERROR(INDEX($D$158:$D$161,MATCH(C308,$A$158:$A$161,0)),0),0)</f>
        <v>0</v>
      </c>
      <c r="J308" s="62">
        <f t="shared" si="20"/>
        <v>0</v>
      </c>
    </row>
    <row r="309" spans="1:10" ht="15" customHeight="1" outlineLevel="1" x14ac:dyDescent="0.2">
      <c r="A309" s="63" t="str">
        <f t="shared" si="21"/>
        <v>R013</v>
      </c>
      <c r="B309" s="64">
        <f>$A$1440</f>
        <v>45870</v>
      </c>
      <c r="C309" s="63" t="str">
        <f t="shared" si="22"/>
        <v>Enterprise AE</v>
      </c>
      <c r="D309" s="62">
        <f>SUMIFS(Fact_Quota!$D:$D,Fact_Quota!$A:$A,$A309,Fact_Quota!$B:$B,"&gt;="&amp;B309,Fact_Quota!$B:$B,"&lt;"&amp;EDATE(B309,1))</f>
        <v>31900</v>
      </c>
      <c r="E309" s="62">
        <f>SUMIFS(Fact_Pipeline!$K:$K,Fact_Pipeline!$B:$B,$A309,Fact_Pipeline!$J:$J,"Won",Fact_Pipeline!$I:$I,"&gt;="&amp;B309,Fact_Pipeline!$I:$I,"&lt;"&amp;EDATE(B309,1))</f>
        <v>15200</v>
      </c>
      <c r="F309" s="63" t="b">
        <f>AND(D309&gt;0,IFERROR(E309/D309&gt;=G6,FALSE()))</f>
        <v>0</v>
      </c>
      <c r="G309" s="62">
        <f t="shared" si="19"/>
        <v>0</v>
      </c>
      <c r="H309" s="62">
        <f>IF(F309,MAX(0,MIN(E309,I6*D309)-D309)*IFERROR(INDEX($C$158:$C$161,MATCH(C309,$A$158:$A$161,0)),0),0)</f>
        <v>0</v>
      </c>
      <c r="I309" s="62">
        <f>IF(F309,MAX(0,E309-I6*D309)*IFERROR(INDEX($D$158:$D$161,MATCH(C309,$A$158:$A$161,0)),0),0)</f>
        <v>0</v>
      </c>
      <c r="J309" s="62">
        <f t="shared" si="20"/>
        <v>0</v>
      </c>
    </row>
    <row r="310" spans="1:10" ht="15" customHeight="1" outlineLevel="1" x14ac:dyDescent="0.2">
      <c r="A310" s="63" t="str">
        <f t="shared" si="21"/>
        <v>R013</v>
      </c>
      <c r="B310" s="64">
        <f>$A$1441</f>
        <v>45901</v>
      </c>
      <c r="C310" s="63" t="str">
        <f t="shared" si="22"/>
        <v>Enterprise AE</v>
      </c>
      <c r="D310" s="62">
        <f>SUMIFS(Fact_Quota!$D:$D,Fact_Quota!$A:$A,$A310,Fact_Quota!$B:$B,"&gt;="&amp;B310,Fact_Quota!$B:$B,"&lt;"&amp;EDATE(B310,1))</f>
        <v>28900</v>
      </c>
      <c r="E310" s="62">
        <f>SUMIFS(Fact_Pipeline!$K:$K,Fact_Pipeline!$B:$B,$A310,Fact_Pipeline!$J:$J,"Won",Fact_Pipeline!$I:$I,"&gt;="&amp;B310,Fact_Pipeline!$I:$I,"&lt;"&amp;EDATE(B310,1))</f>
        <v>0</v>
      </c>
      <c r="F310" s="63" t="b">
        <f>AND(D310&gt;0,IFERROR(E310/D310&gt;=G6,FALSE()))</f>
        <v>0</v>
      </c>
      <c r="G310" s="62">
        <f t="shared" si="19"/>
        <v>0</v>
      </c>
      <c r="H310" s="62">
        <f>IF(F310,MAX(0,MIN(E310,I6*D310)-D310)*IFERROR(INDEX($C$158:$C$161,MATCH(C310,$A$158:$A$161,0)),0),0)</f>
        <v>0</v>
      </c>
      <c r="I310" s="62">
        <f>IF(F310,MAX(0,E310-I6*D310)*IFERROR(INDEX($D$158:$D$161,MATCH(C310,$A$158:$A$161,0)),0),0)</f>
        <v>0</v>
      </c>
      <c r="J310" s="62">
        <f t="shared" si="20"/>
        <v>0</v>
      </c>
    </row>
    <row r="311" spans="1:10" ht="15" customHeight="1" outlineLevel="1" x14ac:dyDescent="0.2">
      <c r="A311" s="63" t="str">
        <f t="shared" si="21"/>
        <v>R013</v>
      </c>
      <c r="B311" s="64">
        <f>$A$1442</f>
        <v>45931</v>
      </c>
      <c r="C311" s="63" t="str">
        <f t="shared" si="22"/>
        <v>Enterprise AE</v>
      </c>
      <c r="D311" s="62">
        <f>SUMIFS(Fact_Quota!$D:$D,Fact_Quota!$A:$A,$A311,Fact_Quota!$B:$B,"&gt;="&amp;B311,Fact_Quota!$B:$B,"&lt;"&amp;EDATE(B311,1))</f>
        <v>31000</v>
      </c>
      <c r="E311" s="62">
        <f>SUMIFS(Fact_Pipeline!$K:$K,Fact_Pipeline!$B:$B,$A311,Fact_Pipeline!$J:$J,"Won",Fact_Pipeline!$I:$I,"&gt;="&amp;B311,Fact_Pipeline!$I:$I,"&lt;"&amp;EDATE(B311,1))</f>
        <v>0</v>
      </c>
      <c r="F311" s="63" t="b">
        <f>AND(D311&gt;0,IFERROR(E311/D311&gt;=G6,FALSE()))</f>
        <v>0</v>
      </c>
      <c r="G311" s="62">
        <f t="shared" si="19"/>
        <v>0</v>
      </c>
      <c r="H311" s="62">
        <f>IF(F311,MAX(0,MIN(E311,I6*D311)-D311)*IFERROR(INDEX($C$158:$C$161,MATCH(C311,$A$158:$A$161,0)),0),0)</f>
        <v>0</v>
      </c>
      <c r="I311" s="62">
        <f>IF(F311,MAX(0,E311-I6*D311)*IFERROR(INDEX($D$158:$D$161,MATCH(C311,$A$158:$A$161,0)),0),0)</f>
        <v>0</v>
      </c>
      <c r="J311" s="62">
        <f t="shared" si="20"/>
        <v>0</v>
      </c>
    </row>
    <row r="312" spans="1:10" ht="15" customHeight="1" outlineLevel="1" x14ac:dyDescent="0.2">
      <c r="A312" s="63" t="str">
        <f t="shared" si="21"/>
        <v>R013</v>
      </c>
      <c r="B312" s="64">
        <f>$A$1443</f>
        <v>45962</v>
      </c>
      <c r="C312" s="63" t="str">
        <f t="shared" si="22"/>
        <v>Enterprise AE</v>
      </c>
      <c r="D312" s="62">
        <f>SUMIFS(Fact_Quota!$D:$D,Fact_Quota!$A:$A,$A312,Fact_Quota!$B:$B,"&gt;="&amp;B312,Fact_Quota!$B:$B,"&lt;"&amp;EDATE(B312,1))</f>
        <v>31800</v>
      </c>
      <c r="E312" s="62">
        <f>SUMIFS(Fact_Pipeline!$K:$K,Fact_Pipeline!$B:$B,$A312,Fact_Pipeline!$J:$J,"Won",Fact_Pipeline!$I:$I,"&gt;="&amp;B312,Fact_Pipeline!$I:$I,"&lt;"&amp;EDATE(B312,1))</f>
        <v>86100</v>
      </c>
      <c r="F312" s="63" t="b">
        <f>AND(D312&gt;0,IFERROR(E312/D312&gt;=G6,FALSE()))</f>
        <v>1</v>
      </c>
      <c r="G312" s="62">
        <f t="shared" si="19"/>
        <v>1908</v>
      </c>
      <c r="H312" s="62">
        <f>IF(F312,MAX(0,MIN(E312,I6*D312)-D312)*IFERROR(INDEX($C$158:$C$161,MATCH(C312,$A$158:$A$161,0)),0),0)</f>
        <v>1590</v>
      </c>
      <c r="I312" s="62">
        <f>IF(F312,MAX(0,E312-I6*D312)*IFERROR(INDEX($D$158:$D$161,MATCH(C312,$A$158:$A$161,0)),0),0)</f>
        <v>5376.0000000000009</v>
      </c>
      <c r="J312" s="62">
        <f t="shared" si="20"/>
        <v>8874</v>
      </c>
    </row>
    <row r="313" spans="1:10" ht="15" customHeight="1" outlineLevel="1" x14ac:dyDescent="0.2">
      <c r="A313" s="63" t="str">
        <f t="shared" si="21"/>
        <v>R013</v>
      </c>
      <c r="B313" s="64">
        <f>$A$1444</f>
        <v>45992</v>
      </c>
      <c r="C313" s="63" t="str">
        <f t="shared" si="22"/>
        <v>Enterprise AE</v>
      </c>
      <c r="D313" s="62">
        <f>SUMIFS(Fact_Quota!$D:$D,Fact_Quota!$A:$A,$A313,Fact_Quota!$B:$B,"&gt;="&amp;B313,Fact_Quota!$B:$B,"&lt;"&amp;EDATE(B313,1))</f>
        <v>30800</v>
      </c>
      <c r="E313" s="62">
        <f>SUMIFS(Fact_Pipeline!$K:$K,Fact_Pipeline!$B:$B,$A313,Fact_Pipeline!$J:$J,"Won",Fact_Pipeline!$I:$I,"&gt;="&amp;B313,Fact_Pipeline!$I:$I,"&lt;"&amp;EDATE(B313,1))</f>
        <v>124000</v>
      </c>
      <c r="F313" s="63" t="b">
        <f>AND(D313&gt;0,IFERROR(E313/D313&gt;=G6,FALSE()))</f>
        <v>1</v>
      </c>
      <c r="G313" s="62">
        <f t="shared" si="19"/>
        <v>1848</v>
      </c>
      <c r="H313" s="62">
        <f>IF(F313,MAX(0,MIN(E313,I6*D313)-D313)*IFERROR(INDEX($C$158:$C$161,MATCH(C313,$A$158:$A$161,0)),0),0)</f>
        <v>1540</v>
      </c>
      <c r="I313" s="62">
        <f>IF(F313,MAX(0,E313-I6*D313)*IFERROR(INDEX($D$158:$D$161,MATCH(C313,$A$158:$A$161,0)),0),0)</f>
        <v>10892.000000000002</v>
      </c>
      <c r="J313" s="62">
        <f t="shared" si="20"/>
        <v>14280.000000000002</v>
      </c>
    </row>
    <row r="314" spans="1:10" ht="15" customHeight="1" outlineLevel="1" x14ac:dyDescent="0.2">
      <c r="A314" s="66" t="str">
        <f t="shared" ref="A314:A337" si="23">$A$169</f>
        <v>R026</v>
      </c>
      <c r="B314" s="67">
        <f>$A$1421</f>
        <v>45292</v>
      </c>
      <c r="C314" s="66" t="str">
        <f t="shared" ref="C314:C337" si="24">$C$169</f>
        <v>Enterprise AE</v>
      </c>
      <c r="D314" s="65">
        <f>SUMIFS(Fact_Quota!$D:$D,Fact_Quota!$A:$A,$A314,Fact_Quota!$B:$B,"&gt;="&amp;B314,Fact_Quota!$B:$B,"&lt;"&amp;EDATE(B314,1))</f>
        <v>25200</v>
      </c>
      <c r="E314" s="65">
        <f>SUMIFS(Fact_Pipeline!$K:$K,Fact_Pipeline!$B:$B,$A314,Fact_Pipeline!$J:$J,"Won",Fact_Pipeline!$I:$I,"&gt;="&amp;B314,Fact_Pipeline!$I:$I,"&lt;"&amp;EDATE(B314,1))</f>
        <v>0</v>
      </c>
      <c r="F314" s="66" t="b">
        <f>AND(D314&gt;0,IFERROR(E314/D314&gt;=G6,FALSE()))</f>
        <v>0</v>
      </c>
      <c r="G314" s="65">
        <f t="shared" si="19"/>
        <v>0</v>
      </c>
      <c r="H314" s="65">
        <f>IF(F314,MAX(0,MIN(E314,I6*D314)-D314)*IFERROR(INDEX($C$158:$C$161,MATCH(C314,$A$158:$A$161,0)),0),0)</f>
        <v>0</v>
      </c>
      <c r="I314" s="65">
        <f>IF(F314,MAX(0,E314-I6*D314)*IFERROR(INDEX($D$158:$D$161,MATCH(C314,$A$158:$A$161,0)),0),0)</f>
        <v>0</v>
      </c>
      <c r="J314" s="65">
        <f t="shared" si="20"/>
        <v>0</v>
      </c>
    </row>
    <row r="315" spans="1:10" ht="15" customHeight="1" outlineLevel="1" x14ac:dyDescent="0.2">
      <c r="A315" s="66" t="str">
        <f t="shared" si="23"/>
        <v>R026</v>
      </c>
      <c r="B315" s="67">
        <f>$A$1422</f>
        <v>45323</v>
      </c>
      <c r="C315" s="66" t="str">
        <f t="shared" si="24"/>
        <v>Enterprise AE</v>
      </c>
      <c r="D315" s="65">
        <f>SUMIFS(Fact_Quota!$D:$D,Fact_Quota!$A:$A,$A315,Fact_Quota!$B:$B,"&gt;="&amp;B315,Fact_Quota!$B:$B,"&lt;"&amp;EDATE(B315,1))</f>
        <v>30700</v>
      </c>
      <c r="E315" s="65">
        <f>SUMIFS(Fact_Pipeline!$K:$K,Fact_Pipeline!$B:$B,$A315,Fact_Pipeline!$J:$J,"Won",Fact_Pipeline!$I:$I,"&gt;="&amp;B315,Fact_Pipeline!$I:$I,"&lt;"&amp;EDATE(B315,1))</f>
        <v>0</v>
      </c>
      <c r="F315" s="66" t="b">
        <f>AND(D315&gt;0,IFERROR(E315/D315&gt;=G6,FALSE()))</f>
        <v>0</v>
      </c>
      <c r="G315" s="65">
        <f t="shared" si="19"/>
        <v>0</v>
      </c>
      <c r="H315" s="65">
        <f>IF(F315,MAX(0,MIN(E315,I6*D315)-D315)*IFERROR(INDEX($C$158:$C$161,MATCH(C315,$A$158:$A$161,0)),0),0)</f>
        <v>0</v>
      </c>
      <c r="I315" s="65">
        <f>IF(F315,MAX(0,E315-I6*D315)*IFERROR(INDEX($D$158:$D$161,MATCH(C315,$A$158:$A$161,0)),0),0)</f>
        <v>0</v>
      </c>
      <c r="J315" s="65">
        <f t="shared" si="20"/>
        <v>0</v>
      </c>
    </row>
    <row r="316" spans="1:10" ht="15" customHeight="1" outlineLevel="1" x14ac:dyDescent="0.2">
      <c r="A316" s="66" t="str">
        <f t="shared" si="23"/>
        <v>R026</v>
      </c>
      <c r="B316" s="67">
        <f>$A$1423</f>
        <v>45352</v>
      </c>
      <c r="C316" s="66" t="str">
        <f t="shared" si="24"/>
        <v>Enterprise AE</v>
      </c>
      <c r="D316" s="65">
        <f>SUMIFS(Fact_Quota!$D:$D,Fact_Quota!$A:$A,$A316,Fact_Quota!$B:$B,"&gt;="&amp;B316,Fact_Quota!$B:$B,"&lt;"&amp;EDATE(B316,1))</f>
        <v>30400</v>
      </c>
      <c r="E316" s="65">
        <f>SUMIFS(Fact_Pipeline!$K:$K,Fact_Pipeline!$B:$B,$A316,Fact_Pipeline!$J:$J,"Won",Fact_Pipeline!$I:$I,"&gt;="&amp;B316,Fact_Pipeline!$I:$I,"&lt;"&amp;EDATE(B316,1))</f>
        <v>79900</v>
      </c>
      <c r="F316" s="66" t="b">
        <f>AND(D316&gt;0,IFERROR(E316/D316&gt;=G6,FALSE()))</f>
        <v>1</v>
      </c>
      <c r="G316" s="65">
        <f t="shared" si="19"/>
        <v>1824</v>
      </c>
      <c r="H316" s="65">
        <f>IF(F316,MAX(0,MIN(E316,I6*D316)-D316)*IFERROR(INDEX($C$158:$C$161,MATCH(C316,$A$158:$A$161,0)),0),0)</f>
        <v>1520</v>
      </c>
      <c r="I316" s="65">
        <f>IF(F316,MAX(0,E316-I6*D316)*IFERROR(INDEX($D$158:$D$161,MATCH(C316,$A$158:$A$161,0)),0),0)</f>
        <v>4802.0000000000009</v>
      </c>
      <c r="J316" s="65">
        <f t="shared" si="20"/>
        <v>8146.0000000000009</v>
      </c>
    </row>
    <row r="317" spans="1:10" ht="15" customHeight="1" outlineLevel="1" x14ac:dyDescent="0.2">
      <c r="A317" s="66" t="str">
        <f t="shared" si="23"/>
        <v>R026</v>
      </c>
      <c r="B317" s="67">
        <f>$A$1424</f>
        <v>45383</v>
      </c>
      <c r="C317" s="66" t="str">
        <f t="shared" si="24"/>
        <v>Enterprise AE</v>
      </c>
      <c r="D317" s="65">
        <f>SUMIFS(Fact_Quota!$D:$D,Fact_Quota!$A:$A,$A317,Fact_Quota!$B:$B,"&gt;="&amp;B317,Fact_Quota!$B:$B,"&lt;"&amp;EDATE(B317,1))</f>
        <v>31900</v>
      </c>
      <c r="E317" s="65">
        <f>SUMIFS(Fact_Pipeline!$K:$K,Fact_Pipeline!$B:$B,$A317,Fact_Pipeline!$J:$J,"Won",Fact_Pipeline!$I:$I,"&gt;="&amp;B317,Fact_Pipeline!$I:$I,"&lt;"&amp;EDATE(B317,1))</f>
        <v>29300</v>
      </c>
      <c r="F317" s="66" t="b">
        <f>AND(D317&gt;0,IFERROR(E317/D317&gt;=G6,FALSE()))</f>
        <v>1</v>
      </c>
      <c r="G317" s="65">
        <f t="shared" si="19"/>
        <v>1758</v>
      </c>
      <c r="H317" s="65">
        <f>IF(F317,MAX(0,MIN(E317,I6*D317)-D317)*IFERROR(INDEX($C$158:$C$161,MATCH(C317,$A$158:$A$161,0)),0),0)</f>
        <v>0</v>
      </c>
      <c r="I317" s="65">
        <f>IF(F317,MAX(0,E317-I6*D317)*IFERROR(INDEX($D$158:$D$161,MATCH(C317,$A$158:$A$161,0)),0),0)</f>
        <v>0</v>
      </c>
      <c r="J317" s="65">
        <f t="shared" si="20"/>
        <v>1758</v>
      </c>
    </row>
    <row r="318" spans="1:10" ht="15" customHeight="1" outlineLevel="1" x14ac:dyDescent="0.2">
      <c r="A318" s="66" t="str">
        <f t="shared" si="23"/>
        <v>R026</v>
      </c>
      <c r="B318" s="67">
        <f>$A$1425</f>
        <v>45413</v>
      </c>
      <c r="C318" s="66" t="str">
        <f t="shared" si="24"/>
        <v>Enterprise AE</v>
      </c>
      <c r="D318" s="65">
        <f>SUMIFS(Fact_Quota!$D:$D,Fact_Quota!$A:$A,$A318,Fact_Quota!$B:$B,"&gt;="&amp;B318,Fact_Quota!$B:$B,"&lt;"&amp;EDATE(B318,1))</f>
        <v>32400</v>
      </c>
      <c r="E318" s="65">
        <f>SUMIFS(Fact_Pipeline!$K:$K,Fact_Pipeline!$B:$B,$A318,Fact_Pipeline!$J:$J,"Won",Fact_Pipeline!$I:$I,"&gt;="&amp;B318,Fact_Pipeline!$I:$I,"&lt;"&amp;EDATE(B318,1))</f>
        <v>23800</v>
      </c>
      <c r="F318" s="66" t="b">
        <f>AND(D318&gt;0,IFERROR(E318/D318&gt;=G6,FALSE()))</f>
        <v>1</v>
      </c>
      <c r="G318" s="65">
        <f t="shared" si="19"/>
        <v>1428</v>
      </c>
      <c r="H318" s="65">
        <f>IF(F318,MAX(0,MIN(E318,I6*D318)-D318)*IFERROR(INDEX($C$158:$C$161,MATCH(C318,$A$158:$A$161,0)),0),0)</f>
        <v>0</v>
      </c>
      <c r="I318" s="65">
        <f>IF(F318,MAX(0,E318-I6*D318)*IFERROR(INDEX($D$158:$D$161,MATCH(C318,$A$158:$A$161,0)),0),0)</f>
        <v>0</v>
      </c>
      <c r="J318" s="65">
        <f t="shared" si="20"/>
        <v>1428</v>
      </c>
    </row>
    <row r="319" spans="1:10" ht="15" customHeight="1" outlineLevel="1" x14ac:dyDescent="0.2">
      <c r="A319" s="66" t="str">
        <f t="shared" si="23"/>
        <v>R026</v>
      </c>
      <c r="B319" s="67">
        <f>$A$1426</f>
        <v>45444</v>
      </c>
      <c r="C319" s="66" t="str">
        <f t="shared" si="24"/>
        <v>Enterprise AE</v>
      </c>
      <c r="D319" s="65">
        <f>SUMIFS(Fact_Quota!$D:$D,Fact_Quota!$A:$A,$A319,Fact_Quota!$B:$B,"&gt;="&amp;B319,Fact_Quota!$B:$B,"&lt;"&amp;EDATE(B319,1))</f>
        <v>32000</v>
      </c>
      <c r="E319" s="65">
        <f>SUMIFS(Fact_Pipeline!$K:$K,Fact_Pipeline!$B:$B,$A319,Fact_Pipeline!$J:$J,"Won",Fact_Pipeline!$I:$I,"&gt;="&amp;B319,Fact_Pipeline!$I:$I,"&lt;"&amp;EDATE(B319,1))</f>
        <v>0</v>
      </c>
      <c r="F319" s="66" t="b">
        <f>AND(D319&gt;0,IFERROR(E319/D319&gt;=G6,FALSE()))</f>
        <v>0</v>
      </c>
      <c r="G319" s="65">
        <f t="shared" si="19"/>
        <v>0</v>
      </c>
      <c r="H319" s="65">
        <f>IF(F319,MAX(0,MIN(E319,I6*D319)-D319)*IFERROR(INDEX($C$158:$C$161,MATCH(C319,$A$158:$A$161,0)),0),0)</f>
        <v>0</v>
      </c>
      <c r="I319" s="65">
        <f>IF(F319,MAX(0,E319-I6*D319)*IFERROR(INDEX($D$158:$D$161,MATCH(C319,$A$158:$A$161,0)),0),0)</f>
        <v>0</v>
      </c>
      <c r="J319" s="65">
        <f t="shared" si="20"/>
        <v>0</v>
      </c>
    </row>
    <row r="320" spans="1:10" ht="15" customHeight="1" outlineLevel="1" x14ac:dyDescent="0.2">
      <c r="A320" s="66" t="str">
        <f t="shared" si="23"/>
        <v>R026</v>
      </c>
      <c r="B320" s="67">
        <f>$A$1427</f>
        <v>45474</v>
      </c>
      <c r="C320" s="66" t="str">
        <f t="shared" si="24"/>
        <v>Enterprise AE</v>
      </c>
      <c r="D320" s="65">
        <f>SUMIFS(Fact_Quota!$D:$D,Fact_Quota!$A:$A,$A320,Fact_Quota!$B:$B,"&gt;="&amp;B320,Fact_Quota!$B:$B,"&lt;"&amp;EDATE(B320,1))</f>
        <v>30000</v>
      </c>
      <c r="E320" s="65">
        <f>SUMIFS(Fact_Pipeline!$K:$K,Fact_Pipeline!$B:$B,$A320,Fact_Pipeline!$J:$J,"Won",Fact_Pipeline!$I:$I,"&gt;="&amp;B320,Fact_Pipeline!$I:$I,"&lt;"&amp;EDATE(B320,1))</f>
        <v>0</v>
      </c>
      <c r="F320" s="66" t="b">
        <f>AND(D320&gt;0,IFERROR(E320/D320&gt;=G6,FALSE()))</f>
        <v>0</v>
      </c>
      <c r="G320" s="65">
        <f t="shared" si="19"/>
        <v>0</v>
      </c>
      <c r="H320" s="65">
        <f>IF(F320,MAX(0,MIN(E320,I6*D320)-D320)*IFERROR(INDEX($C$158:$C$161,MATCH(C320,$A$158:$A$161,0)),0),0)</f>
        <v>0</v>
      </c>
      <c r="I320" s="65">
        <f>IF(F320,MAX(0,E320-I6*D320)*IFERROR(INDEX($D$158:$D$161,MATCH(C320,$A$158:$A$161,0)),0),0)</f>
        <v>0</v>
      </c>
      <c r="J320" s="65">
        <f t="shared" si="20"/>
        <v>0</v>
      </c>
    </row>
    <row r="321" spans="1:10" ht="15" customHeight="1" outlineLevel="1" x14ac:dyDescent="0.2">
      <c r="A321" s="66" t="str">
        <f t="shared" si="23"/>
        <v>R026</v>
      </c>
      <c r="B321" s="67">
        <f>$A$1428</f>
        <v>45505</v>
      </c>
      <c r="C321" s="66" t="str">
        <f t="shared" si="24"/>
        <v>Enterprise AE</v>
      </c>
      <c r="D321" s="65">
        <f>SUMIFS(Fact_Quota!$D:$D,Fact_Quota!$A:$A,$A321,Fact_Quota!$B:$B,"&gt;="&amp;B321,Fact_Quota!$B:$B,"&lt;"&amp;EDATE(B321,1))</f>
        <v>31900</v>
      </c>
      <c r="E321" s="65">
        <f>SUMIFS(Fact_Pipeline!$K:$K,Fact_Pipeline!$B:$B,$A321,Fact_Pipeline!$J:$J,"Won",Fact_Pipeline!$I:$I,"&gt;="&amp;B321,Fact_Pipeline!$I:$I,"&lt;"&amp;EDATE(B321,1))</f>
        <v>64700</v>
      </c>
      <c r="F321" s="66" t="b">
        <f>AND(D321&gt;0,IFERROR(E321/D321&gt;=G6,FALSE()))</f>
        <v>1</v>
      </c>
      <c r="G321" s="65">
        <f t="shared" si="19"/>
        <v>1914</v>
      </c>
      <c r="H321" s="65">
        <f>IF(F321,MAX(0,MIN(E321,I6*D321)-D321)*IFERROR(INDEX($C$158:$C$161,MATCH(C321,$A$158:$A$161,0)),0),0)</f>
        <v>1595</v>
      </c>
      <c r="I321" s="65">
        <f>IF(F321,MAX(0,E321-I6*D321)*IFERROR(INDEX($D$158:$D$161,MATCH(C321,$A$158:$A$161,0)),0),0)</f>
        <v>2359</v>
      </c>
      <c r="J321" s="65">
        <f t="shared" si="20"/>
        <v>5868</v>
      </c>
    </row>
    <row r="322" spans="1:10" ht="15" customHeight="1" outlineLevel="1" x14ac:dyDescent="0.2">
      <c r="A322" s="66" t="str">
        <f t="shared" si="23"/>
        <v>R026</v>
      </c>
      <c r="B322" s="67">
        <f>$A$1429</f>
        <v>45536</v>
      </c>
      <c r="C322" s="66" t="str">
        <f t="shared" si="24"/>
        <v>Enterprise AE</v>
      </c>
      <c r="D322" s="65">
        <f>SUMIFS(Fact_Quota!$D:$D,Fact_Quota!$A:$A,$A322,Fact_Quota!$B:$B,"&gt;="&amp;B322,Fact_Quota!$B:$B,"&lt;"&amp;EDATE(B322,1))</f>
        <v>30700</v>
      </c>
      <c r="E322" s="65">
        <f>SUMIFS(Fact_Pipeline!$K:$K,Fact_Pipeline!$B:$B,$A322,Fact_Pipeline!$J:$J,"Won",Fact_Pipeline!$I:$I,"&gt;="&amp;B322,Fact_Pipeline!$I:$I,"&lt;"&amp;EDATE(B322,1))</f>
        <v>39100</v>
      </c>
      <c r="F322" s="66" t="b">
        <f>AND(D322&gt;0,IFERROR(E322/D322&gt;=G6,FALSE()))</f>
        <v>1</v>
      </c>
      <c r="G322" s="65">
        <f t="shared" si="19"/>
        <v>1842</v>
      </c>
      <c r="H322" s="65">
        <f>IF(F322,MAX(0,MIN(E322,I6*D322)-D322)*IFERROR(INDEX($C$158:$C$161,MATCH(C322,$A$158:$A$161,0)),0),0)</f>
        <v>840</v>
      </c>
      <c r="I322" s="65">
        <f>IF(F322,MAX(0,E322-I6*D322)*IFERROR(INDEX($D$158:$D$161,MATCH(C322,$A$158:$A$161,0)),0),0)</f>
        <v>0</v>
      </c>
      <c r="J322" s="65">
        <f t="shared" si="20"/>
        <v>2682</v>
      </c>
    </row>
    <row r="323" spans="1:10" ht="15" customHeight="1" outlineLevel="1" x14ac:dyDescent="0.2">
      <c r="A323" s="66" t="str">
        <f t="shared" si="23"/>
        <v>R026</v>
      </c>
      <c r="B323" s="67">
        <f>$A$1430</f>
        <v>45566</v>
      </c>
      <c r="C323" s="66" t="str">
        <f t="shared" si="24"/>
        <v>Enterprise AE</v>
      </c>
      <c r="D323" s="65">
        <f>SUMIFS(Fact_Quota!$D:$D,Fact_Quota!$A:$A,$A323,Fact_Quota!$B:$B,"&gt;="&amp;B323,Fact_Quota!$B:$B,"&lt;"&amp;EDATE(B323,1))</f>
        <v>32600</v>
      </c>
      <c r="E323" s="65">
        <f>SUMIFS(Fact_Pipeline!$K:$K,Fact_Pipeline!$B:$B,$A323,Fact_Pipeline!$J:$J,"Won",Fact_Pipeline!$I:$I,"&gt;="&amp;B323,Fact_Pipeline!$I:$I,"&lt;"&amp;EDATE(B323,1))</f>
        <v>89000</v>
      </c>
      <c r="F323" s="66" t="b">
        <f>AND(D323&gt;0,IFERROR(E323/D323&gt;=G6,FALSE()))</f>
        <v>1</v>
      </c>
      <c r="G323" s="65">
        <f t="shared" si="19"/>
        <v>1956</v>
      </c>
      <c r="H323" s="65">
        <f>IF(F323,MAX(0,MIN(E323,I6*D323)-D323)*IFERROR(INDEX($C$158:$C$161,MATCH(C323,$A$158:$A$161,0)),0),0)</f>
        <v>1630</v>
      </c>
      <c r="I323" s="65">
        <f>IF(F323,MAX(0,E323-I6*D323)*IFERROR(INDEX($D$158:$D$161,MATCH(C323,$A$158:$A$161,0)),0),0)</f>
        <v>5614.0000000000009</v>
      </c>
      <c r="J323" s="65">
        <f t="shared" si="20"/>
        <v>9200</v>
      </c>
    </row>
    <row r="324" spans="1:10" ht="15" customHeight="1" outlineLevel="1" x14ac:dyDescent="0.2">
      <c r="A324" s="66" t="str">
        <f t="shared" si="23"/>
        <v>R026</v>
      </c>
      <c r="B324" s="67">
        <f>$A$1431</f>
        <v>45597</v>
      </c>
      <c r="C324" s="66" t="str">
        <f t="shared" si="24"/>
        <v>Enterprise AE</v>
      </c>
      <c r="D324" s="65">
        <f>SUMIFS(Fact_Quota!$D:$D,Fact_Quota!$A:$A,$A324,Fact_Quota!$B:$B,"&gt;="&amp;B324,Fact_Quota!$B:$B,"&lt;"&amp;EDATE(B324,1))</f>
        <v>32400</v>
      </c>
      <c r="E324" s="65">
        <f>SUMIFS(Fact_Pipeline!$K:$K,Fact_Pipeline!$B:$B,$A324,Fact_Pipeline!$J:$J,"Won",Fact_Pipeline!$I:$I,"&gt;="&amp;B324,Fact_Pipeline!$I:$I,"&lt;"&amp;EDATE(B324,1))</f>
        <v>28600</v>
      </c>
      <c r="F324" s="66" t="b">
        <f>AND(D324&gt;0,IFERROR(E324/D324&gt;=G6,FALSE()))</f>
        <v>1</v>
      </c>
      <c r="G324" s="65">
        <f t="shared" si="19"/>
        <v>1716</v>
      </c>
      <c r="H324" s="65">
        <f>IF(F324,MAX(0,MIN(E324,I6*D324)-D324)*IFERROR(INDEX($C$158:$C$161,MATCH(C324,$A$158:$A$161,0)),0),0)</f>
        <v>0</v>
      </c>
      <c r="I324" s="65">
        <f>IF(F324,MAX(0,E324-I6*D324)*IFERROR(INDEX($D$158:$D$161,MATCH(C324,$A$158:$A$161,0)),0),0)</f>
        <v>0</v>
      </c>
      <c r="J324" s="65">
        <f t="shared" si="20"/>
        <v>1716</v>
      </c>
    </row>
    <row r="325" spans="1:10" ht="15" customHeight="1" outlineLevel="1" x14ac:dyDescent="0.2">
      <c r="A325" s="66" t="str">
        <f t="shared" si="23"/>
        <v>R026</v>
      </c>
      <c r="B325" s="67">
        <f>$A$1432</f>
        <v>45627</v>
      </c>
      <c r="C325" s="66" t="str">
        <f t="shared" si="24"/>
        <v>Enterprise AE</v>
      </c>
      <c r="D325" s="65">
        <f>SUMIFS(Fact_Quota!$D:$D,Fact_Quota!$A:$A,$A325,Fact_Quota!$B:$B,"&gt;="&amp;B325,Fact_Quota!$B:$B,"&lt;"&amp;EDATE(B325,1))</f>
        <v>31100</v>
      </c>
      <c r="E325" s="65">
        <f>SUMIFS(Fact_Pipeline!$K:$K,Fact_Pipeline!$B:$B,$A325,Fact_Pipeline!$J:$J,"Won",Fact_Pipeline!$I:$I,"&gt;="&amp;B325,Fact_Pipeline!$I:$I,"&lt;"&amp;EDATE(B325,1))</f>
        <v>0</v>
      </c>
      <c r="F325" s="66" t="b">
        <f>AND(D325&gt;0,IFERROR(E325/D325&gt;=G6,FALSE()))</f>
        <v>0</v>
      </c>
      <c r="G325" s="65">
        <f t="shared" si="19"/>
        <v>0</v>
      </c>
      <c r="H325" s="65">
        <f>IF(F325,MAX(0,MIN(E325,I6*D325)-D325)*IFERROR(INDEX($C$158:$C$161,MATCH(C325,$A$158:$A$161,0)),0),0)</f>
        <v>0</v>
      </c>
      <c r="I325" s="65">
        <f>IF(F325,MAX(0,E325-I6*D325)*IFERROR(INDEX($D$158:$D$161,MATCH(C325,$A$158:$A$161,0)),0),0)</f>
        <v>0</v>
      </c>
      <c r="J325" s="65">
        <f t="shared" si="20"/>
        <v>0</v>
      </c>
    </row>
    <row r="326" spans="1:10" ht="15" customHeight="1" outlineLevel="1" x14ac:dyDescent="0.2">
      <c r="A326" s="66" t="str">
        <f t="shared" si="23"/>
        <v>R026</v>
      </c>
      <c r="B326" s="67">
        <f>$A$1433</f>
        <v>45658</v>
      </c>
      <c r="C326" s="66" t="str">
        <f t="shared" si="24"/>
        <v>Enterprise AE</v>
      </c>
      <c r="D326" s="65">
        <f>SUMIFS(Fact_Quota!$D:$D,Fact_Quota!$A:$A,$A326,Fact_Quota!$B:$B,"&gt;="&amp;B326,Fact_Quota!$B:$B,"&lt;"&amp;EDATE(B326,1))</f>
        <v>31500</v>
      </c>
      <c r="E326" s="65">
        <f>SUMIFS(Fact_Pipeline!$K:$K,Fact_Pipeline!$B:$B,$A326,Fact_Pipeline!$J:$J,"Won",Fact_Pipeline!$I:$I,"&gt;="&amp;B326,Fact_Pipeline!$I:$I,"&lt;"&amp;EDATE(B326,1))</f>
        <v>0</v>
      </c>
      <c r="F326" s="66" t="b">
        <f>AND(D326&gt;0,IFERROR(E326/D326&gt;=G6,FALSE()))</f>
        <v>0</v>
      </c>
      <c r="G326" s="65">
        <f t="shared" si="19"/>
        <v>0</v>
      </c>
      <c r="H326" s="65">
        <f>IF(F326,MAX(0,MIN(E326,I6*D326)-D326)*IFERROR(INDEX($C$158:$C$161,MATCH(C326,$A$158:$A$161,0)),0),0)</f>
        <v>0</v>
      </c>
      <c r="I326" s="65">
        <f>IF(F326,MAX(0,E326-I6*D326)*IFERROR(INDEX($D$158:$D$161,MATCH(C326,$A$158:$A$161,0)),0),0)</f>
        <v>0</v>
      </c>
      <c r="J326" s="65">
        <f t="shared" si="20"/>
        <v>0</v>
      </c>
    </row>
    <row r="327" spans="1:10" ht="15" customHeight="1" outlineLevel="1" x14ac:dyDescent="0.2">
      <c r="A327" s="66" t="str">
        <f t="shared" si="23"/>
        <v>R026</v>
      </c>
      <c r="B327" s="67">
        <f>$A$1434</f>
        <v>45689</v>
      </c>
      <c r="C327" s="66" t="str">
        <f t="shared" si="24"/>
        <v>Enterprise AE</v>
      </c>
      <c r="D327" s="65">
        <f>SUMIFS(Fact_Quota!$D:$D,Fact_Quota!$A:$A,$A327,Fact_Quota!$B:$B,"&gt;="&amp;B327,Fact_Quota!$B:$B,"&lt;"&amp;EDATE(B327,1))</f>
        <v>31000</v>
      </c>
      <c r="E327" s="65">
        <f>SUMIFS(Fact_Pipeline!$K:$K,Fact_Pipeline!$B:$B,$A327,Fact_Pipeline!$J:$J,"Won",Fact_Pipeline!$I:$I,"&gt;="&amp;B327,Fact_Pipeline!$I:$I,"&lt;"&amp;EDATE(B327,1))</f>
        <v>21000</v>
      </c>
      <c r="F327" s="66" t="b">
        <f>AND(D327&gt;0,IFERROR(E327/D327&gt;=G6,FALSE()))</f>
        <v>1</v>
      </c>
      <c r="G327" s="65">
        <f t="shared" si="19"/>
        <v>1260</v>
      </c>
      <c r="H327" s="65">
        <f>IF(F327,MAX(0,MIN(E327,I6*D327)-D327)*IFERROR(INDEX($C$158:$C$161,MATCH(C327,$A$158:$A$161,0)),0),0)</f>
        <v>0</v>
      </c>
      <c r="I327" s="65">
        <f>IF(F327,MAX(0,E327-I6*D327)*IFERROR(INDEX($D$158:$D$161,MATCH(C327,$A$158:$A$161,0)),0),0)</f>
        <v>0</v>
      </c>
      <c r="J327" s="65">
        <f t="shared" si="20"/>
        <v>1260</v>
      </c>
    </row>
    <row r="328" spans="1:10" ht="15" customHeight="1" outlineLevel="1" x14ac:dyDescent="0.2">
      <c r="A328" s="66" t="str">
        <f t="shared" si="23"/>
        <v>R026</v>
      </c>
      <c r="B328" s="67">
        <f>$A$1435</f>
        <v>45717</v>
      </c>
      <c r="C328" s="66" t="str">
        <f t="shared" si="24"/>
        <v>Enterprise AE</v>
      </c>
      <c r="D328" s="65">
        <f>SUMIFS(Fact_Quota!$D:$D,Fact_Quota!$A:$A,$A328,Fact_Quota!$B:$B,"&gt;="&amp;B328,Fact_Quota!$B:$B,"&lt;"&amp;EDATE(B328,1))</f>
        <v>31900</v>
      </c>
      <c r="E328" s="65">
        <f>SUMIFS(Fact_Pipeline!$K:$K,Fact_Pipeline!$B:$B,$A328,Fact_Pipeline!$J:$J,"Won",Fact_Pipeline!$I:$I,"&gt;="&amp;B328,Fact_Pipeline!$I:$I,"&lt;"&amp;EDATE(B328,1))</f>
        <v>0</v>
      </c>
      <c r="F328" s="66" t="b">
        <f>AND(D328&gt;0,IFERROR(E328/D328&gt;=G6,FALSE()))</f>
        <v>0</v>
      </c>
      <c r="G328" s="65">
        <f t="shared" si="19"/>
        <v>0</v>
      </c>
      <c r="H328" s="65">
        <f>IF(F328,MAX(0,MIN(E328,I6*D328)-D328)*IFERROR(INDEX($C$158:$C$161,MATCH(C328,$A$158:$A$161,0)),0),0)</f>
        <v>0</v>
      </c>
      <c r="I328" s="65">
        <f>IF(F328,MAX(0,E328-I6*D328)*IFERROR(INDEX($D$158:$D$161,MATCH(C328,$A$158:$A$161,0)),0),0)</f>
        <v>0</v>
      </c>
      <c r="J328" s="65">
        <f t="shared" si="20"/>
        <v>0</v>
      </c>
    </row>
    <row r="329" spans="1:10" ht="15" customHeight="1" outlineLevel="1" x14ac:dyDescent="0.2">
      <c r="A329" s="66" t="str">
        <f t="shared" si="23"/>
        <v>R026</v>
      </c>
      <c r="B329" s="67">
        <f>$A$1436</f>
        <v>45748</v>
      </c>
      <c r="C329" s="66" t="str">
        <f t="shared" si="24"/>
        <v>Enterprise AE</v>
      </c>
      <c r="D329" s="65">
        <f>SUMIFS(Fact_Quota!$D:$D,Fact_Quota!$A:$A,$A329,Fact_Quota!$B:$B,"&gt;="&amp;B329,Fact_Quota!$B:$B,"&lt;"&amp;EDATE(B329,1))</f>
        <v>32900</v>
      </c>
      <c r="E329" s="65">
        <f>SUMIFS(Fact_Pipeline!$K:$K,Fact_Pipeline!$B:$B,$A329,Fact_Pipeline!$J:$J,"Won",Fact_Pipeline!$I:$I,"&gt;="&amp;B329,Fact_Pipeline!$I:$I,"&lt;"&amp;EDATE(B329,1))</f>
        <v>44100</v>
      </c>
      <c r="F329" s="66" t="b">
        <f>AND(D329&gt;0,IFERROR(E329/D329&gt;=G6,FALSE()))</f>
        <v>1</v>
      </c>
      <c r="G329" s="65">
        <f t="shared" si="19"/>
        <v>1974</v>
      </c>
      <c r="H329" s="65">
        <f>IF(F329,MAX(0,MIN(E329,I6*D329)-D329)*IFERROR(INDEX($C$158:$C$161,MATCH(C329,$A$158:$A$161,0)),0),0)</f>
        <v>1120</v>
      </c>
      <c r="I329" s="65">
        <f>IF(F329,MAX(0,E329-I6*D329)*IFERROR(INDEX($D$158:$D$161,MATCH(C329,$A$158:$A$161,0)),0),0)</f>
        <v>0</v>
      </c>
      <c r="J329" s="65">
        <f t="shared" si="20"/>
        <v>3094</v>
      </c>
    </row>
    <row r="330" spans="1:10" ht="15" customHeight="1" outlineLevel="1" x14ac:dyDescent="0.2">
      <c r="A330" s="66" t="str">
        <f t="shared" si="23"/>
        <v>R026</v>
      </c>
      <c r="B330" s="67">
        <f>$A$1437</f>
        <v>45778</v>
      </c>
      <c r="C330" s="66" t="str">
        <f t="shared" si="24"/>
        <v>Enterprise AE</v>
      </c>
      <c r="D330" s="65">
        <f>SUMIFS(Fact_Quota!$D:$D,Fact_Quota!$A:$A,$A330,Fact_Quota!$B:$B,"&gt;="&amp;B330,Fact_Quota!$B:$B,"&lt;"&amp;EDATE(B330,1))</f>
        <v>31100</v>
      </c>
      <c r="E330" s="65">
        <f>SUMIFS(Fact_Pipeline!$K:$K,Fact_Pipeline!$B:$B,$A330,Fact_Pipeline!$J:$J,"Won",Fact_Pipeline!$I:$I,"&gt;="&amp;B330,Fact_Pipeline!$I:$I,"&lt;"&amp;EDATE(B330,1))</f>
        <v>105000</v>
      </c>
      <c r="F330" s="66" t="b">
        <f>AND(D330&gt;0,IFERROR(E330/D330&gt;=G6,FALSE()))</f>
        <v>1</v>
      </c>
      <c r="G330" s="65">
        <f t="shared" si="19"/>
        <v>1866</v>
      </c>
      <c r="H330" s="65">
        <f>IF(F330,MAX(0,MIN(E330,I6*D330)-D330)*IFERROR(INDEX($C$158:$C$161,MATCH(C330,$A$158:$A$161,0)),0),0)</f>
        <v>1555</v>
      </c>
      <c r="I330" s="65">
        <f>IF(F330,MAX(0,E330-I6*D330)*IFERROR(INDEX($D$158:$D$161,MATCH(C330,$A$158:$A$161,0)),0),0)</f>
        <v>8169.0000000000009</v>
      </c>
      <c r="J330" s="65">
        <f t="shared" si="20"/>
        <v>11590</v>
      </c>
    </row>
    <row r="331" spans="1:10" ht="15" customHeight="1" outlineLevel="1" x14ac:dyDescent="0.2">
      <c r="A331" s="66" t="str">
        <f t="shared" si="23"/>
        <v>R026</v>
      </c>
      <c r="B331" s="67">
        <f>$A$1438</f>
        <v>45809</v>
      </c>
      <c r="C331" s="66" t="str">
        <f t="shared" si="24"/>
        <v>Enterprise AE</v>
      </c>
      <c r="D331" s="65">
        <f>SUMIFS(Fact_Quota!$D:$D,Fact_Quota!$A:$A,$A331,Fact_Quota!$B:$B,"&gt;="&amp;B331,Fact_Quota!$B:$B,"&lt;"&amp;EDATE(B331,1))</f>
        <v>32500</v>
      </c>
      <c r="E331" s="65">
        <f>SUMIFS(Fact_Pipeline!$K:$K,Fact_Pipeline!$B:$B,$A331,Fact_Pipeline!$J:$J,"Won",Fact_Pipeline!$I:$I,"&gt;="&amp;B331,Fact_Pipeline!$I:$I,"&lt;"&amp;EDATE(B331,1))</f>
        <v>28200</v>
      </c>
      <c r="F331" s="66" t="b">
        <f>AND(D331&gt;0,IFERROR(E331/D331&gt;=G6,FALSE()))</f>
        <v>1</v>
      </c>
      <c r="G331" s="65">
        <f t="shared" si="19"/>
        <v>1692</v>
      </c>
      <c r="H331" s="65">
        <f>IF(F331,MAX(0,MIN(E331,I6*D331)-D331)*IFERROR(INDEX($C$158:$C$161,MATCH(C331,$A$158:$A$161,0)),0),0)</f>
        <v>0</v>
      </c>
      <c r="I331" s="65">
        <f>IF(F331,MAX(0,E331-I6*D331)*IFERROR(INDEX($D$158:$D$161,MATCH(C331,$A$158:$A$161,0)),0),0)</f>
        <v>0</v>
      </c>
      <c r="J331" s="65">
        <f t="shared" si="20"/>
        <v>1692</v>
      </c>
    </row>
    <row r="332" spans="1:10" ht="15" customHeight="1" outlineLevel="1" x14ac:dyDescent="0.2">
      <c r="A332" s="66" t="str">
        <f t="shared" si="23"/>
        <v>R026</v>
      </c>
      <c r="B332" s="67">
        <f>$A$1439</f>
        <v>45839</v>
      </c>
      <c r="C332" s="66" t="str">
        <f t="shared" si="24"/>
        <v>Enterprise AE</v>
      </c>
      <c r="D332" s="65">
        <f>SUMIFS(Fact_Quota!$D:$D,Fact_Quota!$A:$A,$A332,Fact_Quota!$B:$B,"&gt;="&amp;B332,Fact_Quota!$B:$B,"&lt;"&amp;EDATE(B332,1))</f>
        <v>31500</v>
      </c>
      <c r="E332" s="65">
        <f>SUMIFS(Fact_Pipeline!$K:$K,Fact_Pipeline!$B:$B,$A332,Fact_Pipeline!$J:$J,"Won",Fact_Pipeline!$I:$I,"&gt;="&amp;B332,Fact_Pipeline!$I:$I,"&lt;"&amp;EDATE(B332,1))</f>
        <v>121500</v>
      </c>
      <c r="F332" s="66" t="b">
        <f>AND(D332&gt;0,IFERROR(E332/D332&gt;=G6,FALSE()))</f>
        <v>1</v>
      </c>
      <c r="G332" s="65">
        <f t="shared" si="19"/>
        <v>1890</v>
      </c>
      <c r="H332" s="65">
        <f>IF(F332,MAX(0,MIN(E332,I6*D332)-D332)*IFERROR(INDEX($C$158:$C$161,MATCH(C332,$A$158:$A$161,0)),0),0)</f>
        <v>1575</v>
      </c>
      <c r="I332" s="65">
        <f>IF(F332,MAX(0,E332-I6*D332)*IFERROR(INDEX($D$158:$D$161,MATCH(C332,$A$158:$A$161,0)),0),0)</f>
        <v>10395.000000000002</v>
      </c>
      <c r="J332" s="65">
        <f t="shared" si="20"/>
        <v>13860.000000000002</v>
      </c>
    </row>
    <row r="333" spans="1:10" ht="15" customHeight="1" outlineLevel="1" x14ac:dyDescent="0.2">
      <c r="A333" s="66" t="str">
        <f t="shared" si="23"/>
        <v>R026</v>
      </c>
      <c r="B333" s="67">
        <f>$A$1440</f>
        <v>45870</v>
      </c>
      <c r="C333" s="66" t="str">
        <f t="shared" si="24"/>
        <v>Enterprise AE</v>
      </c>
      <c r="D333" s="65">
        <f>SUMIFS(Fact_Quota!$D:$D,Fact_Quota!$A:$A,$A333,Fact_Quota!$B:$B,"&gt;="&amp;B333,Fact_Quota!$B:$B,"&lt;"&amp;EDATE(B333,1))</f>
        <v>31200</v>
      </c>
      <c r="E333" s="65">
        <f>SUMIFS(Fact_Pipeline!$K:$K,Fact_Pipeline!$B:$B,$A333,Fact_Pipeline!$J:$J,"Won",Fact_Pipeline!$I:$I,"&gt;="&amp;B333,Fact_Pipeline!$I:$I,"&lt;"&amp;EDATE(B333,1))</f>
        <v>122300</v>
      </c>
      <c r="F333" s="66" t="b">
        <f>AND(D333&gt;0,IFERROR(E333/D333&gt;=G6,FALSE()))</f>
        <v>1</v>
      </c>
      <c r="G333" s="65">
        <f t="shared" si="19"/>
        <v>1872</v>
      </c>
      <c r="H333" s="65">
        <f>IF(F333,MAX(0,MIN(E333,I6*D333)-D333)*IFERROR(INDEX($C$158:$C$161,MATCH(C333,$A$158:$A$161,0)),0),0)</f>
        <v>1560</v>
      </c>
      <c r="I333" s="65">
        <f>IF(F333,MAX(0,E333-I6*D333)*IFERROR(INDEX($D$158:$D$161,MATCH(C333,$A$158:$A$161,0)),0),0)</f>
        <v>10570.000000000002</v>
      </c>
      <c r="J333" s="65">
        <f t="shared" si="20"/>
        <v>14002.000000000002</v>
      </c>
    </row>
    <row r="334" spans="1:10" ht="15" customHeight="1" outlineLevel="1" x14ac:dyDescent="0.2">
      <c r="A334" s="66" t="str">
        <f t="shared" si="23"/>
        <v>R026</v>
      </c>
      <c r="B334" s="67">
        <f>$A$1441</f>
        <v>45901</v>
      </c>
      <c r="C334" s="66" t="str">
        <f t="shared" si="24"/>
        <v>Enterprise AE</v>
      </c>
      <c r="D334" s="65">
        <f>SUMIFS(Fact_Quota!$D:$D,Fact_Quota!$A:$A,$A334,Fact_Quota!$B:$B,"&gt;="&amp;B334,Fact_Quota!$B:$B,"&lt;"&amp;EDATE(B334,1))</f>
        <v>31900</v>
      </c>
      <c r="E334" s="65">
        <f>SUMIFS(Fact_Pipeline!$K:$K,Fact_Pipeline!$B:$B,$A334,Fact_Pipeline!$J:$J,"Won",Fact_Pipeline!$I:$I,"&gt;="&amp;B334,Fact_Pipeline!$I:$I,"&lt;"&amp;EDATE(B334,1))</f>
        <v>60200</v>
      </c>
      <c r="F334" s="66" t="b">
        <f>AND(D334&gt;0,IFERROR(E334/D334&gt;=G6,FALSE()))</f>
        <v>1</v>
      </c>
      <c r="G334" s="65">
        <f t="shared" si="19"/>
        <v>1914</v>
      </c>
      <c r="H334" s="65">
        <f>IF(F334,MAX(0,MIN(E334,I6*D334)-D334)*IFERROR(INDEX($C$158:$C$161,MATCH(C334,$A$158:$A$161,0)),0),0)</f>
        <v>1595</v>
      </c>
      <c r="I334" s="65">
        <f>IF(F334,MAX(0,E334-I6*D334)*IFERROR(INDEX($D$158:$D$161,MATCH(C334,$A$158:$A$161,0)),0),0)</f>
        <v>1729.0000000000002</v>
      </c>
      <c r="J334" s="65">
        <f t="shared" si="20"/>
        <v>5238</v>
      </c>
    </row>
    <row r="335" spans="1:10" ht="15" customHeight="1" outlineLevel="1" x14ac:dyDescent="0.2">
      <c r="A335" s="66" t="str">
        <f t="shared" si="23"/>
        <v>R026</v>
      </c>
      <c r="B335" s="67">
        <f>$A$1442</f>
        <v>45931</v>
      </c>
      <c r="C335" s="66" t="str">
        <f t="shared" si="24"/>
        <v>Enterprise AE</v>
      </c>
      <c r="D335" s="65">
        <f>SUMIFS(Fact_Quota!$D:$D,Fact_Quota!$A:$A,$A335,Fact_Quota!$B:$B,"&gt;="&amp;B335,Fact_Quota!$B:$B,"&lt;"&amp;EDATE(B335,1))</f>
        <v>31000</v>
      </c>
      <c r="E335" s="65">
        <f>SUMIFS(Fact_Pipeline!$K:$K,Fact_Pipeline!$B:$B,$A335,Fact_Pipeline!$J:$J,"Won",Fact_Pipeline!$I:$I,"&gt;="&amp;B335,Fact_Pipeline!$I:$I,"&lt;"&amp;EDATE(B335,1))</f>
        <v>81700</v>
      </c>
      <c r="F335" s="66" t="b">
        <f>AND(D335&gt;0,IFERROR(E335/D335&gt;=G6,FALSE()))</f>
        <v>1</v>
      </c>
      <c r="G335" s="65">
        <f t="shared" si="19"/>
        <v>1860</v>
      </c>
      <c r="H335" s="65">
        <f>IF(F335,MAX(0,MIN(E335,I6*D335)-D335)*IFERROR(INDEX($C$158:$C$161,MATCH(C335,$A$158:$A$161,0)),0),0)</f>
        <v>1550</v>
      </c>
      <c r="I335" s="65">
        <f>IF(F335,MAX(0,E335-I6*D335)*IFERROR(INDEX($D$158:$D$161,MATCH(C335,$A$158:$A$161,0)),0),0)</f>
        <v>4928.0000000000009</v>
      </c>
      <c r="J335" s="65">
        <f t="shared" si="20"/>
        <v>8338</v>
      </c>
    </row>
    <row r="336" spans="1:10" ht="15" customHeight="1" outlineLevel="1" x14ac:dyDescent="0.2">
      <c r="A336" s="66" t="str">
        <f t="shared" si="23"/>
        <v>R026</v>
      </c>
      <c r="B336" s="67">
        <f>$A$1443</f>
        <v>45962</v>
      </c>
      <c r="C336" s="66" t="str">
        <f t="shared" si="24"/>
        <v>Enterprise AE</v>
      </c>
      <c r="D336" s="65">
        <f>SUMIFS(Fact_Quota!$D:$D,Fact_Quota!$A:$A,$A336,Fact_Quota!$B:$B,"&gt;="&amp;B336,Fact_Quota!$B:$B,"&lt;"&amp;EDATE(B336,1))</f>
        <v>31500</v>
      </c>
      <c r="E336" s="65">
        <f>SUMIFS(Fact_Pipeline!$K:$K,Fact_Pipeline!$B:$B,$A336,Fact_Pipeline!$J:$J,"Won",Fact_Pipeline!$I:$I,"&gt;="&amp;B336,Fact_Pipeline!$I:$I,"&lt;"&amp;EDATE(B336,1))</f>
        <v>0</v>
      </c>
      <c r="F336" s="66" t="b">
        <f>AND(D336&gt;0,IFERROR(E336/D336&gt;=G6,FALSE()))</f>
        <v>0</v>
      </c>
      <c r="G336" s="65">
        <f t="shared" si="19"/>
        <v>0</v>
      </c>
      <c r="H336" s="65">
        <f>IF(F336,MAX(0,MIN(E336,I6*D336)-D336)*IFERROR(INDEX($C$158:$C$161,MATCH(C336,$A$158:$A$161,0)),0),0)</f>
        <v>0</v>
      </c>
      <c r="I336" s="65">
        <f>IF(F336,MAX(0,E336-I6*D336)*IFERROR(INDEX($D$158:$D$161,MATCH(C336,$A$158:$A$161,0)),0),0)</f>
        <v>0</v>
      </c>
      <c r="J336" s="65">
        <f t="shared" si="20"/>
        <v>0</v>
      </c>
    </row>
    <row r="337" spans="1:10" ht="15" customHeight="1" outlineLevel="1" x14ac:dyDescent="0.2">
      <c r="A337" s="66" t="str">
        <f t="shared" si="23"/>
        <v>R026</v>
      </c>
      <c r="B337" s="67">
        <f>$A$1444</f>
        <v>45992</v>
      </c>
      <c r="C337" s="66" t="str">
        <f t="shared" si="24"/>
        <v>Enterprise AE</v>
      </c>
      <c r="D337" s="65">
        <f>SUMIFS(Fact_Quota!$D:$D,Fact_Quota!$A:$A,$A337,Fact_Quota!$B:$B,"&gt;="&amp;B337,Fact_Quota!$B:$B,"&lt;"&amp;EDATE(B337,1))</f>
        <v>30900</v>
      </c>
      <c r="E337" s="65">
        <f>SUMIFS(Fact_Pipeline!$K:$K,Fact_Pipeline!$B:$B,$A337,Fact_Pipeline!$J:$J,"Won",Fact_Pipeline!$I:$I,"&gt;="&amp;B337,Fact_Pipeline!$I:$I,"&lt;"&amp;EDATE(B337,1))</f>
        <v>33200</v>
      </c>
      <c r="F337" s="66" t="b">
        <f>AND(D337&gt;0,IFERROR(E337/D337&gt;=G6,FALSE()))</f>
        <v>1</v>
      </c>
      <c r="G337" s="65">
        <f t="shared" si="19"/>
        <v>1854</v>
      </c>
      <c r="H337" s="65">
        <f>IF(F337,MAX(0,MIN(E337,I6*D337)-D337)*IFERROR(INDEX($C$158:$C$161,MATCH(C337,$A$158:$A$161,0)),0),0)</f>
        <v>230</v>
      </c>
      <c r="I337" s="65">
        <f>IF(F337,MAX(0,E337-I6*D337)*IFERROR(INDEX($D$158:$D$161,MATCH(C337,$A$158:$A$161,0)),0),0)</f>
        <v>0</v>
      </c>
      <c r="J337" s="65">
        <f t="shared" si="20"/>
        <v>2084</v>
      </c>
    </row>
    <row r="338" spans="1:10" ht="15" customHeight="1" outlineLevel="1" x14ac:dyDescent="0.2">
      <c r="A338" s="63" t="str">
        <f t="shared" ref="A338:A361" si="25">$A$170</f>
        <v>R036</v>
      </c>
      <c r="B338" s="64">
        <f>$A$1421</f>
        <v>45292</v>
      </c>
      <c r="C338" s="63" t="str">
        <f t="shared" ref="C338:C361" si="26">$C$170</f>
        <v>Enterprise AE</v>
      </c>
      <c r="D338" s="62">
        <f>SUMIFS(Fact_Quota!$D:$D,Fact_Quota!$A:$A,$A338,Fact_Quota!$B:$B,"&gt;="&amp;B338,Fact_Quota!$B:$B,"&lt;"&amp;EDATE(B338,1))</f>
        <v>33800</v>
      </c>
      <c r="E338" s="62">
        <f>SUMIFS(Fact_Pipeline!$K:$K,Fact_Pipeline!$B:$B,$A338,Fact_Pipeline!$J:$J,"Won",Fact_Pipeline!$I:$I,"&gt;="&amp;B338,Fact_Pipeline!$I:$I,"&lt;"&amp;EDATE(B338,1))</f>
        <v>0</v>
      </c>
      <c r="F338" s="63" t="b">
        <f>AND(D338&gt;0,IFERROR(E338/D338&gt;=G6,FALSE()))</f>
        <v>0</v>
      </c>
      <c r="G338" s="62">
        <f t="shared" si="19"/>
        <v>0</v>
      </c>
      <c r="H338" s="62">
        <f>IF(F338,MAX(0,MIN(E338,I6*D338)-D338)*IFERROR(INDEX($C$158:$C$161,MATCH(C338,$A$158:$A$161,0)),0),0)</f>
        <v>0</v>
      </c>
      <c r="I338" s="62">
        <f>IF(F338,MAX(0,E338-I6*D338)*IFERROR(INDEX($D$158:$D$161,MATCH(C338,$A$158:$A$161,0)),0),0)</f>
        <v>0</v>
      </c>
      <c r="J338" s="62">
        <f t="shared" si="20"/>
        <v>0</v>
      </c>
    </row>
    <row r="339" spans="1:10" ht="15" customHeight="1" outlineLevel="1" x14ac:dyDescent="0.2">
      <c r="A339" s="63" t="str">
        <f t="shared" si="25"/>
        <v>R036</v>
      </c>
      <c r="B339" s="64">
        <f>$A$1422</f>
        <v>45323</v>
      </c>
      <c r="C339" s="63" t="str">
        <f t="shared" si="26"/>
        <v>Enterprise AE</v>
      </c>
      <c r="D339" s="62">
        <f>SUMIFS(Fact_Quota!$D:$D,Fact_Quota!$A:$A,$A339,Fact_Quota!$B:$B,"&gt;="&amp;B339,Fact_Quota!$B:$B,"&lt;"&amp;EDATE(B339,1))</f>
        <v>33300</v>
      </c>
      <c r="E339" s="62">
        <f>SUMIFS(Fact_Pipeline!$K:$K,Fact_Pipeline!$B:$B,$A339,Fact_Pipeline!$J:$J,"Won",Fact_Pipeline!$I:$I,"&gt;="&amp;B339,Fact_Pipeline!$I:$I,"&lt;"&amp;EDATE(B339,1))</f>
        <v>0</v>
      </c>
      <c r="F339" s="63" t="b">
        <f>AND(D339&gt;0,IFERROR(E339/D339&gt;=G6,FALSE()))</f>
        <v>0</v>
      </c>
      <c r="G339" s="62">
        <f t="shared" si="19"/>
        <v>0</v>
      </c>
      <c r="H339" s="62">
        <f>IF(F339,MAX(0,MIN(E339,I6*D339)-D339)*IFERROR(INDEX($C$158:$C$161,MATCH(C339,$A$158:$A$161,0)),0),0)</f>
        <v>0</v>
      </c>
      <c r="I339" s="62">
        <f>IF(F339,MAX(0,E339-I6*D339)*IFERROR(INDEX($D$158:$D$161,MATCH(C339,$A$158:$A$161,0)),0),0)</f>
        <v>0</v>
      </c>
      <c r="J339" s="62">
        <f t="shared" si="20"/>
        <v>0</v>
      </c>
    </row>
    <row r="340" spans="1:10" ht="15" customHeight="1" outlineLevel="1" x14ac:dyDescent="0.2">
      <c r="A340" s="63" t="str">
        <f t="shared" si="25"/>
        <v>R036</v>
      </c>
      <c r="B340" s="64">
        <f>$A$1423</f>
        <v>45352</v>
      </c>
      <c r="C340" s="63" t="str">
        <f t="shared" si="26"/>
        <v>Enterprise AE</v>
      </c>
      <c r="D340" s="62">
        <f>SUMIFS(Fact_Quota!$D:$D,Fact_Quota!$A:$A,$A340,Fact_Quota!$B:$B,"&gt;="&amp;B340,Fact_Quota!$B:$B,"&lt;"&amp;EDATE(B340,1))</f>
        <v>33500</v>
      </c>
      <c r="E340" s="62">
        <f>SUMIFS(Fact_Pipeline!$K:$K,Fact_Pipeline!$B:$B,$A340,Fact_Pipeline!$J:$J,"Won",Fact_Pipeline!$I:$I,"&gt;="&amp;B340,Fact_Pipeline!$I:$I,"&lt;"&amp;EDATE(B340,1))</f>
        <v>44800</v>
      </c>
      <c r="F340" s="63" t="b">
        <f>AND(D340&gt;0,IFERROR(E340/D340&gt;=G6,FALSE()))</f>
        <v>1</v>
      </c>
      <c r="G340" s="62">
        <f t="shared" si="19"/>
        <v>2010</v>
      </c>
      <c r="H340" s="62">
        <f>IF(F340,MAX(0,MIN(E340,I6*D340)-D340)*IFERROR(INDEX($C$158:$C$161,MATCH(C340,$A$158:$A$161,0)),0),0)</f>
        <v>1130</v>
      </c>
      <c r="I340" s="62">
        <f>IF(F340,MAX(0,E340-I6*D340)*IFERROR(INDEX($D$158:$D$161,MATCH(C340,$A$158:$A$161,0)),0),0)</f>
        <v>0</v>
      </c>
      <c r="J340" s="62">
        <f t="shared" si="20"/>
        <v>3140</v>
      </c>
    </row>
    <row r="341" spans="1:10" ht="15" customHeight="1" outlineLevel="1" x14ac:dyDescent="0.2">
      <c r="A341" s="63" t="str">
        <f t="shared" si="25"/>
        <v>R036</v>
      </c>
      <c r="B341" s="64">
        <f>$A$1424</f>
        <v>45383</v>
      </c>
      <c r="C341" s="63" t="str">
        <f t="shared" si="26"/>
        <v>Enterprise AE</v>
      </c>
      <c r="D341" s="62">
        <f>SUMIFS(Fact_Quota!$D:$D,Fact_Quota!$A:$A,$A341,Fact_Quota!$B:$B,"&gt;="&amp;B341,Fact_Quota!$B:$B,"&lt;"&amp;EDATE(B341,1))</f>
        <v>31500</v>
      </c>
      <c r="E341" s="62">
        <f>SUMIFS(Fact_Pipeline!$K:$K,Fact_Pipeline!$B:$B,$A341,Fact_Pipeline!$J:$J,"Won",Fact_Pipeline!$I:$I,"&gt;="&amp;B341,Fact_Pipeline!$I:$I,"&lt;"&amp;EDATE(B341,1))</f>
        <v>24000</v>
      </c>
      <c r="F341" s="63" t="b">
        <f>AND(D341&gt;0,IFERROR(E341/D341&gt;=G6,FALSE()))</f>
        <v>1</v>
      </c>
      <c r="G341" s="62">
        <f t="shared" si="19"/>
        <v>1440</v>
      </c>
      <c r="H341" s="62">
        <f>IF(F341,MAX(0,MIN(E341,I6*D341)-D341)*IFERROR(INDEX($C$158:$C$161,MATCH(C341,$A$158:$A$161,0)),0),0)</f>
        <v>0</v>
      </c>
      <c r="I341" s="62">
        <f>IF(F341,MAX(0,E341-I6*D341)*IFERROR(INDEX($D$158:$D$161,MATCH(C341,$A$158:$A$161,0)),0),0)</f>
        <v>0</v>
      </c>
      <c r="J341" s="62">
        <f t="shared" si="20"/>
        <v>1440</v>
      </c>
    </row>
    <row r="342" spans="1:10" ht="15" customHeight="1" outlineLevel="1" x14ac:dyDescent="0.2">
      <c r="A342" s="63" t="str">
        <f t="shared" si="25"/>
        <v>R036</v>
      </c>
      <c r="B342" s="64">
        <f>$A$1425</f>
        <v>45413</v>
      </c>
      <c r="C342" s="63" t="str">
        <f t="shared" si="26"/>
        <v>Enterprise AE</v>
      </c>
      <c r="D342" s="62">
        <f>SUMIFS(Fact_Quota!$D:$D,Fact_Quota!$A:$A,$A342,Fact_Quota!$B:$B,"&gt;="&amp;B342,Fact_Quota!$B:$B,"&lt;"&amp;EDATE(B342,1))</f>
        <v>31000</v>
      </c>
      <c r="E342" s="62">
        <f>SUMIFS(Fact_Pipeline!$K:$K,Fact_Pipeline!$B:$B,$A342,Fact_Pipeline!$J:$J,"Won",Fact_Pipeline!$I:$I,"&gt;="&amp;B342,Fact_Pipeline!$I:$I,"&lt;"&amp;EDATE(B342,1))</f>
        <v>116300</v>
      </c>
      <c r="F342" s="63" t="b">
        <f>AND(D342&gt;0,IFERROR(E342/D342&gt;=G6,FALSE()))</f>
        <v>1</v>
      </c>
      <c r="G342" s="62">
        <f t="shared" si="19"/>
        <v>1860</v>
      </c>
      <c r="H342" s="62">
        <f>IF(F342,MAX(0,MIN(E342,I6*D342)-D342)*IFERROR(INDEX($C$158:$C$161,MATCH(C342,$A$158:$A$161,0)),0),0)</f>
        <v>1550</v>
      </c>
      <c r="I342" s="62">
        <f>IF(F342,MAX(0,E342-I6*D342)*IFERROR(INDEX($D$158:$D$161,MATCH(C342,$A$158:$A$161,0)),0),0)</f>
        <v>9772.0000000000018</v>
      </c>
      <c r="J342" s="62">
        <f t="shared" si="20"/>
        <v>13182.000000000002</v>
      </c>
    </row>
    <row r="343" spans="1:10" ht="15" customHeight="1" outlineLevel="1" x14ac:dyDescent="0.2">
      <c r="A343" s="63" t="str">
        <f t="shared" si="25"/>
        <v>R036</v>
      </c>
      <c r="B343" s="64">
        <f>$A$1426</f>
        <v>45444</v>
      </c>
      <c r="C343" s="63" t="str">
        <f t="shared" si="26"/>
        <v>Enterprise AE</v>
      </c>
      <c r="D343" s="62">
        <f>SUMIFS(Fact_Quota!$D:$D,Fact_Quota!$A:$A,$A343,Fact_Quota!$B:$B,"&gt;="&amp;B343,Fact_Quota!$B:$B,"&lt;"&amp;EDATE(B343,1))</f>
        <v>31900</v>
      </c>
      <c r="E343" s="62">
        <f>SUMIFS(Fact_Pipeline!$K:$K,Fact_Pipeline!$B:$B,$A343,Fact_Pipeline!$J:$J,"Won",Fact_Pipeline!$I:$I,"&gt;="&amp;B343,Fact_Pipeline!$I:$I,"&lt;"&amp;EDATE(B343,1))</f>
        <v>0</v>
      </c>
      <c r="F343" s="63" t="b">
        <f>AND(D343&gt;0,IFERROR(E343/D343&gt;=G6,FALSE()))</f>
        <v>0</v>
      </c>
      <c r="G343" s="62">
        <f t="shared" si="19"/>
        <v>0</v>
      </c>
      <c r="H343" s="62">
        <f>IF(F343,MAX(0,MIN(E343,I6*D343)-D343)*IFERROR(INDEX($C$158:$C$161,MATCH(C343,$A$158:$A$161,0)),0),0)</f>
        <v>0</v>
      </c>
      <c r="I343" s="62">
        <f>IF(F343,MAX(0,E343-I6*D343)*IFERROR(INDEX($D$158:$D$161,MATCH(C343,$A$158:$A$161,0)),0),0)</f>
        <v>0</v>
      </c>
      <c r="J343" s="62">
        <f t="shared" si="20"/>
        <v>0</v>
      </c>
    </row>
    <row r="344" spans="1:10" ht="15" customHeight="1" outlineLevel="1" x14ac:dyDescent="0.2">
      <c r="A344" s="63" t="str">
        <f t="shared" si="25"/>
        <v>R036</v>
      </c>
      <c r="B344" s="64">
        <f>$A$1427</f>
        <v>45474</v>
      </c>
      <c r="C344" s="63" t="str">
        <f t="shared" si="26"/>
        <v>Enterprise AE</v>
      </c>
      <c r="D344" s="62">
        <f>SUMIFS(Fact_Quota!$D:$D,Fact_Quota!$A:$A,$A344,Fact_Quota!$B:$B,"&gt;="&amp;B344,Fact_Quota!$B:$B,"&lt;"&amp;EDATE(B344,1))</f>
        <v>32100</v>
      </c>
      <c r="E344" s="62">
        <f>SUMIFS(Fact_Pipeline!$K:$K,Fact_Pipeline!$B:$B,$A344,Fact_Pipeline!$J:$J,"Won",Fact_Pipeline!$I:$I,"&gt;="&amp;B344,Fact_Pipeline!$I:$I,"&lt;"&amp;EDATE(B344,1))</f>
        <v>39900</v>
      </c>
      <c r="F344" s="63" t="b">
        <f>AND(D344&gt;0,IFERROR(E344/D344&gt;=G6,FALSE()))</f>
        <v>1</v>
      </c>
      <c r="G344" s="62">
        <f t="shared" si="19"/>
        <v>1926</v>
      </c>
      <c r="H344" s="62">
        <f>IF(F344,MAX(0,MIN(E344,I6*D344)-D344)*IFERROR(INDEX($C$158:$C$161,MATCH(C344,$A$158:$A$161,0)),0),0)</f>
        <v>780</v>
      </c>
      <c r="I344" s="62">
        <f>IF(F344,MAX(0,E344-I6*D344)*IFERROR(INDEX($D$158:$D$161,MATCH(C344,$A$158:$A$161,0)),0),0)</f>
        <v>0</v>
      </c>
      <c r="J344" s="62">
        <f t="shared" si="20"/>
        <v>2706</v>
      </c>
    </row>
    <row r="345" spans="1:10" ht="15" customHeight="1" outlineLevel="1" x14ac:dyDescent="0.2">
      <c r="A345" s="63" t="str">
        <f t="shared" si="25"/>
        <v>R036</v>
      </c>
      <c r="B345" s="64">
        <f>$A$1428</f>
        <v>45505</v>
      </c>
      <c r="C345" s="63" t="str">
        <f t="shared" si="26"/>
        <v>Enterprise AE</v>
      </c>
      <c r="D345" s="62">
        <f>SUMIFS(Fact_Quota!$D:$D,Fact_Quota!$A:$A,$A345,Fact_Quota!$B:$B,"&gt;="&amp;B345,Fact_Quota!$B:$B,"&lt;"&amp;EDATE(B345,1))</f>
        <v>33100</v>
      </c>
      <c r="E345" s="62">
        <f>SUMIFS(Fact_Pipeline!$K:$K,Fact_Pipeline!$B:$B,$A345,Fact_Pipeline!$J:$J,"Won",Fact_Pipeline!$I:$I,"&gt;="&amp;B345,Fact_Pipeline!$I:$I,"&lt;"&amp;EDATE(B345,1))</f>
        <v>28000</v>
      </c>
      <c r="F345" s="63" t="b">
        <f>AND(D345&gt;0,IFERROR(E345/D345&gt;=G6,FALSE()))</f>
        <v>1</v>
      </c>
      <c r="G345" s="62">
        <f t="shared" si="19"/>
        <v>1680</v>
      </c>
      <c r="H345" s="62">
        <f>IF(F345,MAX(0,MIN(E345,I6*D345)-D345)*IFERROR(INDEX($C$158:$C$161,MATCH(C345,$A$158:$A$161,0)),0),0)</f>
        <v>0</v>
      </c>
      <c r="I345" s="62">
        <f>IF(F345,MAX(0,E345-I6*D345)*IFERROR(INDEX($D$158:$D$161,MATCH(C345,$A$158:$A$161,0)),0),0)</f>
        <v>0</v>
      </c>
      <c r="J345" s="62">
        <f t="shared" si="20"/>
        <v>1680</v>
      </c>
    </row>
    <row r="346" spans="1:10" ht="15" customHeight="1" outlineLevel="1" x14ac:dyDescent="0.2">
      <c r="A346" s="63" t="str">
        <f t="shared" si="25"/>
        <v>R036</v>
      </c>
      <c r="B346" s="64">
        <f>$A$1429</f>
        <v>45536</v>
      </c>
      <c r="C346" s="63" t="str">
        <f t="shared" si="26"/>
        <v>Enterprise AE</v>
      </c>
      <c r="D346" s="62">
        <f>SUMIFS(Fact_Quota!$D:$D,Fact_Quota!$A:$A,$A346,Fact_Quota!$B:$B,"&gt;="&amp;B346,Fact_Quota!$B:$B,"&lt;"&amp;EDATE(B346,1))</f>
        <v>30400</v>
      </c>
      <c r="E346" s="62">
        <f>SUMIFS(Fact_Pipeline!$K:$K,Fact_Pipeline!$B:$B,$A346,Fact_Pipeline!$J:$J,"Won",Fact_Pipeline!$I:$I,"&gt;="&amp;B346,Fact_Pipeline!$I:$I,"&lt;"&amp;EDATE(B346,1))</f>
        <v>28800</v>
      </c>
      <c r="F346" s="63" t="b">
        <f>AND(D346&gt;0,IFERROR(E346/D346&gt;=G6,FALSE()))</f>
        <v>1</v>
      </c>
      <c r="G346" s="62">
        <f t="shared" ref="G346:G409" si="27">IF(F346,MIN(E346,D346)*IFERROR(INDEX($B$158:$B$161,MATCH(C346,$A$158:$A$161,0)),0),0)</f>
        <v>1728</v>
      </c>
      <c r="H346" s="62">
        <f>IF(F346,MAX(0,MIN(E346,I6*D346)-D346)*IFERROR(INDEX($C$158:$C$161,MATCH(C346,$A$158:$A$161,0)),0),0)</f>
        <v>0</v>
      </c>
      <c r="I346" s="62">
        <f>IF(F346,MAX(0,E346-I6*D346)*IFERROR(INDEX($D$158:$D$161,MATCH(C346,$A$158:$A$161,0)),0),0)</f>
        <v>0</v>
      </c>
      <c r="J346" s="62">
        <f t="shared" ref="J346:J409" si="28">G346+H346+I346</f>
        <v>1728</v>
      </c>
    </row>
    <row r="347" spans="1:10" ht="15" customHeight="1" outlineLevel="1" x14ac:dyDescent="0.2">
      <c r="A347" s="63" t="str">
        <f t="shared" si="25"/>
        <v>R036</v>
      </c>
      <c r="B347" s="64">
        <f>$A$1430</f>
        <v>45566</v>
      </c>
      <c r="C347" s="63" t="str">
        <f t="shared" si="26"/>
        <v>Enterprise AE</v>
      </c>
      <c r="D347" s="62">
        <f>SUMIFS(Fact_Quota!$D:$D,Fact_Quota!$A:$A,$A347,Fact_Quota!$B:$B,"&gt;="&amp;B347,Fact_Quota!$B:$B,"&lt;"&amp;EDATE(B347,1))</f>
        <v>33500</v>
      </c>
      <c r="E347" s="62">
        <f>SUMIFS(Fact_Pipeline!$K:$K,Fact_Pipeline!$B:$B,$A347,Fact_Pipeline!$J:$J,"Won",Fact_Pipeline!$I:$I,"&gt;="&amp;B347,Fact_Pipeline!$I:$I,"&lt;"&amp;EDATE(B347,1))</f>
        <v>0</v>
      </c>
      <c r="F347" s="63" t="b">
        <f>AND(D347&gt;0,IFERROR(E347/D347&gt;=G6,FALSE()))</f>
        <v>0</v>
      </c>
      <c r="G347" s="62">
        <f t="shared" si="27"/>
        <v>0</v>
      </c>
      <c r="H347" s="62">
        <f>IF(F347,MAX(0,MIN(E347,I6*D347)-D347)*IFERROR(INDEX($C$158:$C$161,MATCH(C347,$A$158:$A$161,0)),0),0)</f>
        <v>0</v>
      </c>
      <c r="I347" s="62">
        <f>IF(F347,MAX(0,E347-I6*D347)*IFERROR(INDEX($D$158:$D$161,MATCH(C347,$A$158:$A$161,0)),0),0)</f>
        <v>0</v>
      </c>
      <c r="J347" s="62">
        <f t="shared" si="28"/>
        <v>0</v>
      </c>
    </row>
    <row r="348" spans="1:10" ht="15" customHeight="1" outlineLevel="1" x14ac:dyDescent="0.2">
      <c r="A348" s="63" t="str">
        <f t="shared" si="25"/>
        <v>R036</v>
      </c>
      <c r="B348" s="64">
        <f>$A$1431</f>
        <v>45597</v>
      </c>
      <c r="C348" s="63" t="str">
        <f t="shared" si="26"/>
        <v>Enterprise AE</v>
      </c>
      <c r="D348" s="62">
        <f>SUMIFS(Fact_Quota!$D:$D,Fact_Quota!$A:$A,$A348,Fact_Quota!$B:$B,"&gt;="&amp;B348,Fact_Quota!$B:$B,"&lt;"&amp;EDATE(B348,1))</f>
        <v>31800</v>
      </c>
      <c r="E348" s="62">
        <f>SUMIFS(Fact_Pipeline!$K:$K,Fact_Pipeline!$B:$B,$A348,Fact_Pipeline!$J:$J,"Won",Fact_Pipeline!$I:$I,"&gt;="&amp;B348,Fact_Pipeline!$I:$I,"&lt;"&amp;EDATE(B348,1))</f>
        <v>22600</v>
      </c>
      <c r="F348" s="63" t="b">
        <f>AND(D348&gt;0,IFERROR(E348/D348&gt;=G6,FALSE()))</f>
        <v>1</v>
      </c>
      <c r="G348" s="62">
        <f t="shared" si="27"/>
        <v>1356</v>
      </c>
      <c r="H348" s="62">
        <f>IF(F348,MAX(0,MIN(E348,I6*D348)-D348)*IFERROR(INDEX($C$158:$C$161,MATCH(C348,$A$158:$A$161,0)),0),0)</f>
        <v>0</v>
      </c>
      <c r="I348" s="62">
        <f>IF(F348,MAX(0,E348-I6*D348)*IFERROR(INDEX($D$158:$D$161,MATCH(C348,$A$158:$A$161,0)),0),0)</f>
        <v>0</v>
      </c>
      <c r="J348" s="62">
        <f t="shared" si="28"/>
        <v>1356</v>
      </c>
    </row>
    <row r="349" spans="1:10" ht="15" customHeight="1" outlineLevel="1" x14ac:dyDescent="0.2">
      <c r="A349" s="63" t="str">
        <f t="shared" si="25"/>
        <v>R036</v>
      </c>
      <c r="B349" s="64">
        <f>$A$1432</f>
        <v>45627</v>
      </c>
      <c r="C349" s="63" t="str">
        <f t="shared" si="26"/>
        <v>Enterprise AE</v>
      </c>
      <c r="D349" s="62">
        <f>SUMIFS(Fact_Quota!$D:$D,Fact_Quota!$A:$A,$A349,Fact_Quota!$B:$B,"&gt;="&amp;B349,Fact_Quota!$B:$B,"&lt;"&amp;EDATE(B349,1))</f>
        <v>31600</v>
      </c>
      <c r="E349" s="62">
        <f>SUMIFS(Fact_Pipeline!$K:$K,Fact_Pipeline!$B:$B,$A349,Fact_Pipeline!$J:$J,"Won",Fact_Pipeline!$I:$I,"&gt;="&amp;B349,Fact_Pipeline!$I:$I,"&lt;"&amp;EDATE(B349,1))</f>
        <v>141400</v>
      </c>
      <c r="F349" s="63" t="b">
        <f>AND(D349&gt;0,IFERROR(E349/D349&gt;=G6,FALSE()))</f>
        <v>1</v>
      </c>
      <c r="G349" s="62">
        <f t="shared" si="27"/>
        <v>1896</v>
      </c>
      <c r="H349" s="62">
        <f>IF(F349,MAX(0,MIN(E349,I6*D349)-D349)*IFERROR(INDEX($C$158:$C$161,MATCH(C349,$A$158:$A$161,0)),0),0)</f>
        <v>1580</v>
      </c>
      <c r="I349" s="62">
        <f>IF(F349,MAX(0,E349-I6*D349)*IFERROR(INDEX($D$158:$D$161,MATCH(C349,$A$158:$A$161,0)),0),0)</f>
        <v>13160.000000000002</v>
      </c>
      <c r="J349" s="62">
        <f t="shared" si="28"/>
        <v>16636</v>
      </c>
    </row>
    <row r="350" spans="1:10" ht="15" customHeight="1" outlineLevel="1" x14ac:dyDescent="0.2">
      <c r="A350" s="63" t="str">
        <f t="shared" si="25"/>
        <v>R036</v>
      </c>
      <c r="B350" s="64">
        <f>$A$1433</f>
        <v>45658</v>
      </c>
      <c r="C350" s="63" t="str">
        <f t="shared" si="26"/>
        <v>Enterprise AE</v>
      </c>
      <c r="D350" s="62">
        <f>SUMIFS(Fact_Quota!$D:$D,Fact_Quota!$A:$A,$A350,Fact_Quota!$B:$B,"&gt;="&amp;B350,Fact_Quota!$B:$B,"&lt;"&amp;EDATE(B350,1))</f>
        <v>31000</v>
      </c>
      <c r="E350" s="62">
        <f>SUMIFS(Fact_Pipeline!$K:$K,Fact_Pipeline!$B:$B,$A350,Fact_Pipeline!$J:$J,"Won",Fact_Pipeline!$I:$I,"&gt;="&amp;B350,Fact_Pipeline!$I:$I,"&lt;"&amp;EDATE(B350,1))</f>
        <v>21900</v>
      </c>
      <c r="F350" s="63" t="b">
        <f>AND(D350&gt;0,IFERROR(E350/D350&gt;=G6,FALSE()))</f>
        <v>1</v>
      </c>
      <c r="G350" s="62">
        <f t="shared" si="27"/>
        <v>1314</v>
      </c>
      <c r="H350" s="62">
        <f>IF(F350,MAX(0,MIN(E350,I6*D350)-D350)*IFERROR(INDEX($C$158:$C$161,MATCH(C350,$A$158:$A$161,0)),0),0)</f>
        <v>0</v>
      </c>
      <c r="I350" s="62">
        <f>IF(F350,MAX(0,E350-I6*D350)*IFERROR(INDEX($D$158:$D$161,MATCH(C350,$A$158:$A$161,0)),0),0)</f>
        <v>0</v>
      </c>
      <c r="J350" s="62">
        <f t="shared" si="28"/>
        <v>1314</v>
      </c>
    </row>
    <row r="351" spans="1:10" ht="15" customHeight="1" outlineLevel="1" x14ac:dyDescent="0.2">
      <c r="A351" s="63" t="str">
        <f t="shared" si="25"/>
        <v>R036</v>
      </c>
      <c r="B351" s="64">
        <f>$A$1434</f>
        <v>45689</v>
      </c>
      <c r="C351" s="63" t="str">
        <f t="shared" si="26"/>
        <v>Enterprise AE</v>
      </c>
      <c r="D351" s="62">
        <f>SUMIFS(Fact_Quota!$D:$D,Fact_Quota!$A:$A,$A351,Fact_Quota!$B:$B,"&gt;="&amp;B351,Fact_Quota!$B:$B,"&lt;"&amp;EDATE(B351,1))</f>
        <v>30400</v>
      </c>
      <c r="E351" s="62">
        <f>SUMIFS(Fact_Pipeline!$K:$K,Fact_Pipeline!$B:$B,$A351,Fact_Pipeline!$J:$J,"Won",Fact_Pipeline!$I:$I,"&gt;="&amp;B351,Fact_Pipeline!$I:$I,"&lt;"&amp;EDATE(B351,1))</f>
        <v>0</v>
      </c>
      <c r="F351" s="63" t="b">
        <f>AND(D351&gt;0,IFERROR(E351/D351&gt;=G6,FALSE()))</f>
        <v>0</v>
      </c>
      <c r="G351" s="62">
        <f t="shared" si="27"/>
        <v>0</v>
      </c>
      <c r="H351" s="62">
        <f>IF(F351,MAX(0,MIN(E351,I6*D351)-D351)*IFERROR(INDEX($C$158:$C$161,MATCH(C351,$A$158:$A$161,0)),0),0)</f>
        <v>0</v>
      </c>
      <c r="I351" s="62">
        <f>IF(F351,MAX(0,E351-I6*D351)*IFERROR(INDEX($D$158:$D$161,MATCH(C351,$A$158:$A$161,0)),0),0)</f>
        <v>0</v>
      </c>
      <c r="J351" s="62">
        <f t="shared" si="28"/>
        <v>0</v>
      </c>
    </row>
    <row r="352" spans="1:10" ht="15" customHeight="1" outlineLevel="1" x14ac:dyDescent="0.2">
      <c r="A352" s="63" t="str">
        <f t="shared" si="25"/>
        <v>R036</v>
      </c>
      <c r="B352" s="64">
        <f>$A$1435</f>
        <v>45717</v>
      </c>
      <c r="C352" s="63" t="str">
        <f t="shared" si="26"/>
        <v>Enterprise AE</v>
      </c>
      <c r="D352" s="62">
        <f>SUMIFS(Fact_Quota!$D:$D,Fact_Quota!$A:$A,$A352,Fact_Quota!$B:$B,"&gt;="&amp;B352,Fact_Quota!$B:$B,"&lt;"&amp;EDATE(B352,1))</f>
        <v>32800</v>
      </c>
      <c r="E352" s="62">
        <f>SUMIFS(Fact_Pipeline!$K:$K,Fact_Pipeline!$B:$B,$A352,Fact_Pipeline!$J:$J,"Won",Fact_Pipeline!$I:$I,"&gt;="&amp;B352,Fact_Pipeline!$I:$I,"&lt;"&amp;EDATE(B352,1))</f>
        <v>75500</v>
      </c>
      <c r="F352" s="63" t="b">
        <f>AND(D352&gt;0,IFERROR(E352/D352&gt;=G6,FALSE()))</f>
        <v>1</v>
      </c>
      <c r="G352" s="62">
        <f t="shared" si="27"/>
        <v>1968</v>
      </c>
      <c r="H352" s="62">
        <f>IF(F352,MAX(0,MIN(E352,I6*D352)-D352)*IFERROR(INDEX($C$158:$C$161,MATCH(C352,$A$158:$A$161,0)),0),0)</f>
        <v>1640</v>
      </c>
      <c r="I352" s="62">
        <f>IF(F352,MAX(0,E352-I6*D352)*IFERROR(INDEX($D$158:$D$161,MATCH(C352,$A$158:$A$161,0)),0),0)</f>
        <v>3682.0000000000005</v>
      </c>
      <c r="J352" s="62">
        <f t="shared" si="28"/>
        <v>7290</v>
      </c>
    </row>
    <row r="353" spans="1:10" ht="15" customHeight="1" outlineLevel="1" x14ac:dyDescent="0.2">
      <c r="A353" s="63" t="str">
        <f t="shared" si="25"/>
        <v>R036</v>
      </c>
      <c r="B353" s="64">
        <f>$A$1436</f>
        <v>45748</v>
      </c>
      <c r="C353" s="63" t="str">
        <f t="shared" si="26"/>
        <v>Enterprise AE</v>
      </c>
      <c r="D353" s="62">
        <f>SUMIFS(Fact_Quota!$D:$D,Fact_Quota!$A:$A,$A353,Fact_Quota!$B:$B,"&gt;="&amp;B353,Fact_Quota!$B:$B,"&lt;"&amp;EDATE(B353,1))</f>
        <v>32100</v>
      </c>
      <c r="E353" s="62">
        <f>SUMIFS(Fact_Pipeline!$K:$K,Fact_Pipeline!$B:$B,$A353,Fact_Pipeline!$J:$J,"Won",Fact_Pipeline!$I:$I,"&gt;="&amp;B353,Fact_Pipeline!$I:$I,"&lt;"&amp;EDATE(B353,1))</f>
        <v>0</v>
      </c>
      <c r="F353" s="63" t="b">
        <f>AND(D353&gt;0,IFERROR(E353/D353&gt;=G6,FALSE()))</f>
        <v>0</v>
      </c>
      <c r="G353" s="62">
        <f t="shared" si="27"/>
        <v>0</v>
      </c>
      <c r="H353" s="62">
        <f>IF(F353,MAX(0,MIN(E353,I6*D353)-D353)*IFERROR(INDEX($C$158:$C$161,MATCH(C353,$A$158:$A$161,0)),0),0)</f>
        <v>0</v>
      </c>
      <c r="I353" s="62">
        <f>IF(F353,MAX(0,E353-I6*D353)*IFERROR(INDEX($D$158:$D$161,MATCH(C353,$A$158:$A$161,0)),0),0)</f>
        <v>0</v>
      </c>
      <c r="J353" s="62">
        <f t="shared" si="28"/>
        <v>0</v>
      </c>
    </row>
    <row r="354" spans="1:10" ht="15" customHeight="1" outlineLevel="1" x14ac:dyDescent="0.2">
      <c r="A354" s="63" t="str">
        <f t="shared" si="25"/>
        <v>R036</v>
      </c>
      <c r="B354" s="64">
        <f>$A$1437</f>
        <v>45778</v>
      </c>
      <c r="C354" s="63" t="str">
        <f t="shared" si="26"/>
        <v>Enterprise AE</v>
      </c>
      <c r="D354" s="62">
        <f>SUMIFS(Fact_Quota!$D:$D,Fact_Quota!$A:$A,$A354,Fact_Quota!$B:$B,"&gt;="&amp;B354,Fact_Quota!$B:$B,"&lt;"&amp;EDATE(B354,1))</f>
        <v>30800</v>
      </c>
      <c r="E354" s="62">
        <f>SUMIFS(Fact_Pipeline!$K:$K,Fact_Pipeline!$B:$B,$A354,Fact_Pipeline!$J:$J,"Won",Fact_Pipeline!$I:$I,"&gt;="&amp;B354,Fact_Pipeline!$I:$I,"&lt;"&amp;EDATE(B354,1))</f>
        <v>0</v>
      </c>
      <c r="F354" s="63" t="b">
        <f>AND(D354&gt;0,IFERROR(E354/D354&gt;=G6,FALSE()))</f>
        <v>0</v>
      </c>
      <c r="G354" s="62">
        <f t="shared" si="27"/>
        <v>0</v>
      </c>
      <c r="H354" s="62">
        <f>IF(F354,MAX(0,MIN(E354,I6*D354)-D354)*IFERROR(INDEX($C$158:$C$161,MATCH(C354,$A$158:$A$161,0)),0),0)</f>
        <v>0</v>
      </c>
      <c r="I354" s="62">
        <f>IF(F354,MAX(0,E354-I6*D354)*IFERROR(INDEX($D$158:$D$161,MATCH(C354,$A$158:$A$161,0)),0),0)</f>
        <v>0</v>
      </c>
      <c r="J354" s="62">
        <f t="shared" si="28"/>
        <v>0</v>
      </c>
    </row>
    <row r="355" spans="1:10" ht="15" customHeight="1" outlineLevel="1" x14ac:dyDescent="0.2">
      <c r="A355" s="63" t="str">
        <f t="shared" si="25"/>
        <v>R036</v>
      </c>
      <c r="B355" s="64">
        <f>$A$1438</f>
        <v>45809</v>
      </c>
      <c r="C355" s="63" t="str">
        <f t="shared" si="26"/>
        <v>Enterprise AE</v>
      </c>
      <c r="D355" s="62">
        <f>SUMIFS(Fact_Quota!$D:$D,Fact_Quota!$A:$A,$A355,Fact_Quota!$B:$B,"&gt;="&amp;B355,Fact_Quota!$B:$B,"&lt;"&amp;EDATE(B355,1))</f>
        <v>30800</v>
      </c>
      <c r="E355" s="62">
        <f>SUMIFS(Fact_Pipeline!$K:$K,Fact_Pipeline!$B:$B,$A355,Fact_Pipeline!$J:$J,"Won",Fact_Pipeline!$I:$I,"&gt;="&amp;B355,Fact_Pipeline!$I:$I,"&lt;"&amp;EDATE(B355,1))</f>
        <v>0</v>
      </c>
      <c r="F355" s="63" t="b">
        <f>AND(D355&gt;0,IFERROR(E355/D355&gt;=G6,FALSE()))</f>
        <v>0</v>
      </c>
      <c r="G355" s="62">
        <f t="shared" si="27"/>
        <v>0</v>
      </c>
      <c r="H355" s="62">
        <f>IF(F355,MAX(0,MIN(E355,I6*D355)-D355)*IFERROR(INDEX($C$158:$C$161,MATCH(C355,$A$158:$A$161,0)),0),0)</f>
        <v>0</v>
      </c>
      <c r="I355" s="62">
        <f>IF(F355,MAX(0,E355-I6*D355)*IFERROR(INDEX($D$158:$D$161,MATCH(C355,$A$158:$A$161,0)),0),0)</f>
        <v>0</v>
      </c>
      <c r="J355" s="62">
        <f t="shared" si="28"/>
        <v>0</v>
      </c>
    </row>
    <row r="356" spans="1:10" ht="15" customHeight="1" outlineLevel="1" x14ac:dyDescent="0.2">
      <c r="A356" s="63" t="str">
        <f t="shared" si="25"/>
        <v>R036</v>
      </c>
      <c r="B356" s="64">
        <f>$A$1439</f>
        <v>45839</v>
      </c>
      <c r="C356" s="63" t="str">
        <f t="shared" si="26"/>
        <v>Enterprise AE</v>
      </c>
      <c r="D356" s="62">
        <f>SUMIFS(Fact_Quota!$D:$D,Fact_Quota!$A:$A,$A356,Fact_Quota!$B:$B,"&gt;="&amp;B356,Fact_Quota!$B:$B,"&lt;"&amp;EDATE(B356,1))</f>
        <v>31700</v>
      </c>
      <c r="E356" s="62">
        <f>SUMIFS(Fact_Pipeline!$K:$K,Fact_Pipeline!$B:$B,$A356,Fact_Pipeline!$J:$J,"Won",Fact_Pipeline!$I:$I,"&gt;="&amp;B356,Fact_Pipeline!$I:$I,"&lt;"&amp;EDATE(B356,1))</f>
        <v>55500</v>
      </c>
      <c r="F356" s="63" t="b">
        <f>AND(D356&gt;0,IFERROR(E356/D356&gt;=G6,FALSE()))</f>
        <v>1</v>
      </c>
      <c r="G356" s="62">
        <f t="shared" si="27"/>
        <v>1902</v>
      </c>
      <c r="H356" s="62">
        <f>IF(F356,MAX(0,MIN(E356,I6*D356)-D356)*IFERROR(INDEX($C$158:$C$161,MATCH(C356,$A$158:$A$161,0)),0),0)</f>
        <v>1585</v>
      </c>
      <c r="I356" s="62">
        <f>IF(F356,MAX(0,E356-I6*D356)*IFERROR(INDEX($D$158:$D$161,MATCH(C356,$A$158:$A$161,0)),0),0)</f>
        <v>1113</v>
      </c>
      <c r="J356" s="62">
        <f t="shared" si="28"/>
        <v>4600</v>
      </c>
    </row>
    <row r="357" spans="1:10" ht="15" customHeight="1" outlineLevel="1" x14ac:dyDescent="0.2">
      <c r="A357" s="63" t="str">
        <f t="shared" si="25"/>
        <v>R036</v>
      </c>
      <c r="B357" s="64">
        <f>$A$1440</f>
        <v>45870</v>
      </c>
      <c r="C357" s="63" t="str">
        <f t="shared" si="26"/>
        <v>Enterprise AE</v>
      </c>
      <c r="D357" s="62">
        <f>SUMIFS(Fact_Quota!$D:$D,Fact_Quota!$A:$A,$A357,Fact_Quota!$B:$B,"&gt;="&amp;B357,Fact_Quota!$B:$B,"&lt;"&amp;EDATE(B357,1))</f>
        <v>33600</v>
      </c>
      <c r="E357" s="62">
        <f>SUMIFS(Fact_Pipeline!$K:$K,Fact_Pipeline!$B:$B,$A357,Fact_Pipeline!$J:$J,"Won",Fact_Pipeline!$I:$I,"&gt;="&amp;B357,Fact_Pipeline!$I:$I,"&lt;"&amp;EDATE(B357,1))</f>
        <v>77300</v>
      </c>
      <c r="F357" s="63" t="b">
        <f>AND(D357&gt;0,IFERROR(E357/D357&gt;=G6,FALSE()))</f>
        <v>1</v>
      </c>
      <c r="G357" s="62">
        <f t="shared" si="27"/>
        <v>2016</v>
      </c>
      <c r="H357" s="62">
        <f>IF(F357,MAX(0,MIN(E357,I6*D357)-D357)*IFERROR(INDEX($C$158:$C$161,MATCH(C357,$A$158:$A$161,0)),0),0)</f>
        <v>1680</v>
      </c>
      <c r="I357" s="62">
        <f>IF(F357,MAX(0,E357-I6*D357)*IFERROR(INDEX($D$158:$D$161,MATCH(C357,$A$158:$A$161,0)),0),0)</f>
        <v>3766.0000000000005</v>
      </c>
      <c r="J357" s="62">
        <f t="shared" si="28"/>
        <v>7462</v>
      </c>
    </row>
    <row r="358" spans="1:10" ht="15" customHeight="1" outlineLevel="1" x14ac:dyDescent="0.2">
      <c r="A358" s="63" t="str">
        <f t="shared" si="25"/>
        <v>R036</v>
      </c>
      <c r="B358" s="64">
        <f>$A$1441</f>
        <v>45901</v>
      </c>
      <c r="C358" s="63" t="str">
        <f t="shared" si="26"/>
        <v>Enterprise AE</v>
      </c>
      <c r="D358" s="62">
        <f>SUMIFS(Fact_Quota!$D:$D,Fact_Quota!$A:$A,$A358,Fact_Quota!$B:$B,"&gt;="&amp;B358,Fact_Quota!$B:$B,"&lt;"&amp;EDATE(B358,1))</f>
        <v>31800</v>
      </c>
      <c r="E358" s="62">
        <f>SUMIFS(Fact_Pipeline!$K:$K,Fact_Pipeline!$B:$B,$A358,Fact_Pipeline!$J:$J,"Won",Fact_Pipeline!$I:$I,"&gt;="&amp;B358,Fact_Pipeline!$I:$I,"&lt;"&amp;EDATE(B358,1))</f>
        <v>117100</v>
      </c>
      <c r="F358" s="63" t="b">
        <f>AND(D358&gt;0,IFERROR(E358/D358&gt;=G6,FALSE()))</f>
        <v>1</v>
      </c>
      <c r="G358" s="62">
        <f t="shared" si="27"/>
        <v>1908</v>
      </c>
      <c r="H358" s="62">
        <f>IF(F358,MAX(0,MIN(E358,I6*D358)-D358)*IFERROR(INDEX($C$158:$C$161,MATCH(C358,$A$158:$A$161,0)),0),0)</f>
        <v>1590</v>
      </c>
      <c r="I358" s="62">
        <f>IF(F358,MAX(0,E358-I6*D358)*IFERROR(INDEX($D$158:$D$161,MATCH(C358,$A$158:$A$161,0)),0),0)</f>
        <v>9716.0000000000018</v>
      </c>
      <c r="J358" s="62">
        <f t="shared" si="28"/>
        <v>13214.000000000002</v>
      </c>
    </row>
    <row r="359" spans="1:10" ht="15" customHeight="1" outlineLevel="1" x14ac:dyDescent="0.2">
      <c r="A359" s="63" t="str">
        <f t="shared" si="25"/>
        <v>R036</v>
      </c>
      <c r="B359" s="64">
        <f>$A$1442</f>
        <v>45931</v>
      </c>
      <c r="C359" s="63" t="str">
        <f t="shared" si="26"/>
        <v>Enterprise AE</v>
      </c>
      <c r="D359" s="62">
        <f>SUMIFS(Fact_Quota!$D:$D,Fact_Quota!$A:$A,$A359,Fact_Quota!$B:$B,"&gt;="&amp;B359,Fact_Quota!$B:$B,"&lt;"&amp;EDATE(B359,1))</f>
        <v>30600</v>
      </c>
      <c r="E359" s="62">
        <f>SUMIFS(Fact_Pipeline!$K:$K,Fact_Pipeline!$B:$B,$A359,Fact_Pipeline!$J:$J,"Won",Fact_Pipeline!$I:$I,"&gt;="&amp;B359,Fact_Pipeline!$I:$I,"&lt;"&amp;EDATE(B359,1))</f>
        <v>30800</v>
      </c>
      <c r="F359" s="63" t="b">
        <f>AND(D359&gt;0,IFERROR(E359/D359&gt;=G6,FALSE()))</f>
        <v>1</v>
      </c>
      <c r="G359" s="62">
        <f t="shared" si="27"/>
        <v>1836</v>
      </c>
      <c r="H359" s="62">
        <f>IF(F359,MAX(0,MIN(E359,I6*D359)-D359)*IFERROR(INDEX($C$158:$C$161,MATCH(C359,$A$158:$A$161,0)),0),0)</f>
        <v>20</v>
      </c>
      <c r="I359" s="62">
        <f>IF(F359,MAX(0,E359-I6*D359)*IFERROR(INDEX($D$158:$D$161,MATCH(C359,$A$158:$A$161,0)),0),0)</f>
        <v>0</v>
      </c>
      <c r="J359" s="62">
        <f t="shared" si="28"/>
        <v>1856</v>
      </c>
    </row>
    <row r="360" spans="1:10" ht="15" customHeight="1" outlineLevel="1" x14ac:dyDescent="0.2">
      <c r="A360" s="63" t="str">
        <f t="shared" si="25"/>
        <v>R036</v>
      </c>
      <c r="B360" s="64">
        <f>$A$1443</f>
        <v>45962</v>
      </c>
      <c r="C360" s="63" t="str">
        <f t="shared" si="26"/>
        <v>Enterprise AE</v>
      </c>
      <c r="D360" s="62">
        <f>SUMIFS(Fact_Quota!$D:$D,Fact_Quota!$A:$A,$A360,Fact_Quota!$B:$B,"&gt;="&amp;B360,Fact_Quota!$B:$B,"&lt;"&amp;EDATE(B360,1))</f>
        <v>31800</v>
      </c>
      <c r="E360" s="62">
        <f>SUMIFS(Fact_Pipeline!$K:$K,Fact_Pipeline!$B:$B,$A360,Fact_Pipeline!$J:$J,"Won",Fact_Pipeline!$I:$I,"&gt;="&amp;B360,Fact_Pipeline!$I:$I,"&lt;"&amp;EDATE(B360,1))</f>
        <v>126300</v>
      </c>
      <c r="F360" s="63" t="b">
        <f>AND(D360&gt;0,IFERROR(E360/D360&gt;=G6,FALSE()))</f>
        <v>1</v>
      </c>
      <c r="G360" s="62">
        <f t="shared" si="27"/>
        <v>1908</v>
      </c>
      <c r="H360" s="62">
        <f>IF(F360,MAX(0,MIN(E360,I6*D360)-D360)*IFERROR(INDEX($C$158:$C$161,MATCH(C360,$A$158:$A$161,0)),0),0)</f>
        <v>1590</v>
      </c>
      <c r="I360" s="62">
        <f>IF(F360,MAX(0,E360-I6*D360)*IFERROR(INDEX($D$158:$D$161,MATCH(C360,$A$158:$A$161,0)),0),0)</f>
        <v>11004.000000000002</v>
      </c>
      <c r="J360" s="62">
        <f t="shared" si="28"/>
        <v>14502.000000000002</v>
      </c>
    </row>
    <row r="361" spans="1:10" ht="15" customHeight="1" outlineLevel="1" x14ac:dyDescent="0.2">
      <c r="A361" s="63" t="str">
        <f t="shared" si="25"/>
        <v>R036</v>
      </c>
      <c r="B361" s="64">
        <f>$A$1444</f>
        <v>45992</v>
      </c>
      <c r="C361" s="63" t="str">
        <f t="shared" si="26"/>
        <v>Enterprise AE</v>
      </c>
      <c r="D361" s="62">
        <f>SUMIFS(Fact_Quota!$D:$D,Fact_Quota!$A:$A,$A361,Fact_Quota!$B:$B,"&gt;="&amp;B361,Fact_Quota!$B:$B,"&lt;"&amp;EDATE(B361,1))</f>
        <v>31700</v>
      </c>
      <c r="E361" s="62">
        <f>SUMIFS(Fact_Pipeline!$K:$K,Fact_Pipeline!$B:$B,$A361,Fact_Pipeline!$J:$J,"Won",Fact_Pipeline!$I:$I,"&gt;="&amp;B361,Fact_Pipeline!$I:$I,"&lt;"&amp;EDATE(B361,1))</f>
        <v>96300</v>
      </c>
      <c r="F361" s="63" t="b">
        <f>AND(D361&gt;0,IFERROR(E361/D361&gt;=G6,FALSE()))</f>
        <v>1</v>
      </c>
      <c r="G361" s="62">
        <f t="shared" si="27"/>
        <v>1902</v>
      </c>
      <c r="H361" s="62">
        <f>IF(F361,MAX(0,MIN(E361,I6*D361)-D361)*IFERROR(INDEX($C$158:$C$161,MATCH(C361,$A$158:$A$161,0)),0),0)</f>
        <v>1585</v>
      </c>
      <c r="I361" s="62">
        <f>IF(F361,MAX(0,E361-I6*D361)*IFERROR(INDEX($D$158:$D$161,MATCH(C361,$A$158:$A$161,0)),0),0)</f>
        <v>6825.0000000000009</v>
      </c>
      <c r="J361" s="62">
        <f t="shared" si="28"/>
        <v>10312</v>
      </c>
    </row>
    <row r="362" spans="1:10" ht="15" customHeight="1" outlineLevel="1" x14ac:dyDescent="0.2">
      <c r="A362" s="66" t="str">
        <f t="shared" ref="A362:A385" si="29">$A$171</f>
        <v>R001</v>
      </c>
      <c r="B362" s="67">
        <f>$A$1421</f>
        <v>45292</v>
      </c>
      <c r="C362" s="66" t="str">
        <f t="shared" ref="C362:C385" si="30">$C$171</f>
        <v>SDR / Inside Sales Rep</v>
      </c>
      <c r="D362" s="65">
        <f>SUMIFS(Fact_Quota!$D:$D,Fact_Quota!$A:$A,$A362,Fact_Quota!$B:$B,"&gt;="&amp;B362,Fact_Quota!$B:$B,"&lt;"&amp;EDATE(B362,1))</f>
        <v>15800</v>
      </c>
      <c r="E362" s="65">
        <f>SUMIFS(Fact_Pipeline!$K:$K,Fact_Pipeline!$B:$B,$A362,Fact_Pipeline!$J:$J,"Won",Fact_Pipeline!$I:$I,"&gt;="&amp;B362,Fact_Pipeline!$I:$I,"&lt;"&amp;EDATE(B362,1))</f>
        <v>7800</v>
      </c>
      <c r="F362" s="66" t="b">
        <f>AND(D362&gt;0,IFERROR(E362/D362&gt;=G6,FALSE()))</f>
        <v>0</v>
      </c>
      <c r="G362" s="65">
        <f t="shared" si="27"/>
        <v>0</v>
      </c>
      <c r="H362" s="65">
        <f>IF(F362,MAX(0,MIN(E362,I6*D362)-D362)*IFERROR(INDEX($C$158:$C$161,MATCH(C362,$A$158:$A$161,0)),0),0)</f>
        <v>0</v>
      </c>
      <c r="I362" s="65">
        <f>IF(F362,MAX(0,E362-I6*D362)*IFERROR(INDEX($D$158:$D$161,MATCH(C362,$A$158:$A$161,0)),0),0)</f>
        <v>0</v>
      </c>
      <c r="J362" s="65">
        <f t="shared" si="28"/>
        <v>0</v>
      </c>
    </row>
    <row r="363" spans="1:10" ht="15" customHeight="1" outlineLevel="1" x14ac:dyDescent="0.2">
      <c r="A363" s="66" t="str">
        <f t="shared" si="29"/>
        <v>R001</v>
      </c>
      <c r="B363" s="67">
        <f>$A$1422</f>
        <v>45323</v>
      </c>
      <c r="C363" s="66" t="str">
        <f t="shared" si="30"/>
        <v>SDR / Inside Sales Rep</v>
      </c>
      <c r="D363" s="65">
        <f>SUMIFS(Fact_Quota!$D:$D,Fact_Quota!$A:$A,$A363,Fact_Quota!$B:$B,"&gt;="&amp;B363,Fact_Quota!$B:$B,"&lt;"&amp;EDATE(B363,1))</f>
        <v>15600</v>
      </c>
      <c r="E363" s="65">
        <f>SUMIFS(Fact_Pipeline!$K:$K,Fact_Pipeline!$B:$B,$A363,Fact_Pipeline!$J:$J,"Won",Fact_Pipeline!$I:$I,"&gt;="&amp;B363,Fact_Pipeline!$I:$I,"&lt;"&amp;EDATE(B363,1))</f>
        <v>6900</v>
      </c>
      <c r="F363" s="66" t="b">
        <f>AND(D363&gt;0,IFERROR(E363/D363&gt;=G6,FALSE()))</f>
        <v>0</v>
      </c>
      <c r="G363" s="65">
        <f t="shared" si="27"/>
        <v>0</v>
      </c>
      <c r="H363" s="65">
        <f>IF(F363,MAX(0,MIN(E363,I6*D363)-D363)*IFERROR(INDEX($C$158:$C$161,MATCH(C363,$A$158:$A$161,0)),0),0)</f>
        <v>0</v>
      </c>
      <c r="I363" s="65">
        <f>IF(F363,MAX(0,E363-I6*D363)*IFERROR(INDEX($D$158:$D$161,MATCH(C363,$A$158:$A$161,0)),0),0)</f>
        <v>0</v>
      </c>
      <c r="J363" s="65">
        <f t="shared" si="28"/>
        <v>0</v>
      </c>
    </row>
    <row r="364" spans="1:10" ht="15" customHeight="1" outlineLevel="1" x14ac:dyDescent="0.2">
      <c r="A364" s="66" t="str">
        <f t="shared" si="29"/>
        <v>R001</v>
      </c>
      <c r="B364" s="67">
        <f>$A$1423</f>
        <v>45352</v>
      </c>
      <c r="C364" s="66" t="str">
        <f t="shared" si="30"/>
        <v>SDR / Inside Sales Rep</v>
      </c>
      <c r="D364" s="65">
        <f>SUMIFS(Fact_Quota!$D:$D,Fact_Quota!$A:$A,$A364,Fact_Quota!$B:$B,"&gt;="&amp;B364,Fact_Quota!$B:$B,"&lt;"&amp;EDATE(B364,1))</f>
        <v>15400</v>
      </c>
      <c r="E364" s="65">
        <f>SUMIFS(Fact_Pipeline!$K:$K,Fact_Pipeline!$B:$B,$A364,Fact_Pipeline!$J:$J,"Won",Fact_Pipeline!$I:$I,"&gt;="&amp;B364,Fact_Pipeline!$I:$I,"&lt;"&amp;EDATE(B364,1))</f>
        <v>9100</v>
      </c>
      <c r="F364" s="66" t="b">
        <f>AND(D364&gt;0,IFERROR(E364/D364&gt;=G6,FALSE()))</f>
        <v>1</v>
      </c>
      <c r="G364" s="65">
        <f t="shared" si="27"/>
        <v>273</v>
      </c>
      <c r="H364" s="65">
        <f>IF(F364,MAX(0,MIN(E364,I6*D364)-D364)*IFERROR(INDEX($C$158:$C$161,MATCH(C364,$A$158:$A$161,0)),0),0)</f>
        <v>0</v>
      </c>
      <c r="I364" s="65">
        <f>IF(F364,MAX(0,E364-I6*D364)*IFERROR(INDEX($D$158:$D$161,MATCH(C364,$A$158:$A$161,0)),0),0)</f>
        <v>0</v>
      </c>
      <c r="J364" s="65">
        <f t="shared" si="28"/>
        <v>273</v>
      </c>
    </row>
    <row r="365" spans="1:10" ht="15" customHeight="1" outlineLevel="1" x14ac:dyDescent="0.2">
      <c r="A365" s="66" t="str">
        <f t="shared" si="29"/>
        <v>R001</v>
      </c>
      <c r="B365" s="67">
        <f>$A$1424</f>
        <v>45383</v>
      </c>
      <c r="C365" s="66" t="str">
        <f t="shared" si="30"/>
        <v>SDR / Inside Sales Rep</v>
      </c>
      <c r="D365" s="65">
        <f>SUMIFS(Fact_Quota!$D:$D,Fact_Quota!$A:$A,$A365,Fact_Quota!$B:$B,"&gt;="&amp;B365,Fact_Quota!$B:$B,"&lt;"&amp;EDATE(B365,1))</f>
        <v>15400</v>
      </c>
      <c r="E365" s="65">
        <f>SUMIFS(Fact_Pipeline!$K:$K,Fact_Pipeline!$B:$B,$A365,Fact_Pipeline!$J:$J,"Won",Fact_Pipeline!$I:$I,"&gt;="&amp;B365,Fact_Pipeline!$I:$I,"&lt;"&amp;EDATE(B365,1))</f>
        <v>9000</v>
      </c>
      <c r="F365" s="66" t="b">
        <f>AND(D365&gt;0,IFERROR(E365/D365&gt;=G6,FALSE()))</f>
        <v>1</v>
      </c>
      <c r="G365" s="65">
        <f t="shared" si="27"/>
        <v>270</v>
      </c>
      <c r="H365" s="65">
        <f>IF(F365,MAX(0,MIN(E365,I6*D365)-D365)*IFERROR(INDEX($C$158:$C$161,MATCH(C365,$A$158:$A$161,0)),0),0)</f>
        <v>0</v>
      </c>
      <c r="I365" s="65">
        <f>IF(F365,MAX(0,E365-I6*D365)*IFERROR(INDEX($D$158:$D$161,MATCH(C365,$A$158:$A$161,0)),0),0)</f>
        <v>0</v>
      </c>
      <c r="J365" s="65">
        <f t="shared" si="28"/>
        <v>270</v>
      </c>
    </row>
    <row r="366" spans="1:10" ht="15" customHeight="1" outlineLevel="1" x14ac:dyDescent="0.2">
      <c r="A366" s="66" t="str">
        <f t="shared" si="29"/>
        <v>R001</v>
      </c>
      <c r="B366" s="67">
        <f>$A$1425</f>
        <v>45413</v>
      </c>
      <c r="C366" s="66" t="str">
        <f t="shared" si="30"/>
        <v>SDR / Inside Sales Rep</v>
      </c>
      <c r="D366" s="65">
        <f>SUMIFS(Fact_Quota!$D:$D,Fact_Quota!$A:$A,$A366,Fact_Quota!$B:$B,"&gt;="&amp;B366,Fact_Quota!$B:$B,"&lt;"&amp;EDATE(B366,1))</f>
        <v>14800</v>
      </c>
      <c r="E366" s="65">
        <f>SUMIFS(Fact_Pipeline!$K:$K,Fact_Pipeline!$B:$B,$A366,Fact_Pipeline!$J:$J,"Won",Fact_Pipeline!$I:$I,"&gt;="&amp;B366,Fact_Pipeline!$I:$I,"&lt;"&amp;EDATE(B366,1))</f>
        <v>8100</v>
      </c>
      <c r="F366" s="66" t="b">
        <f>AND(D366&gt;0,IFERROR(E366/D366&gt;=G6,FALSE()))</f>
        <v>1</v>
      </c>
      <c r="G366" s="65">
        <f t="shared" si="27"/>
        <v>243</v>
      </c>
      <c r="H366" s="65">
        <f>IF(F366,MAX(0,MIN(E366,I6*D366)-D366)*IFERROR(INDEX($C$158:$C$161,MATCH(C366,$A$158:$A$161,0)),0),0)</f>
        <v>0</v>
      </c>
      <c r="I366" s="65">
        <f>IF(F366,MAX(0,E366-I6*D366)*IFERROR(INDEX($D$158:$D$161,MATCH(C366,$A$158:$A$161,0)),0),0)</f>
        <v>0</v>
      </c>
      <c r="J366" s="65">
        <f t="shared" si="28"/>
        <v>243</v>
      </c>
    </row>
    <row r="367" spans="1:10" ht="15" customHeight="1" outlineLevel="1" x14ac:dyDescent="0.2">
      <c r="A367" s="66" t="str">
        <f t="shared" si="29"/>
        <v>R001</v>
      </c>
      <c r="B367" s="67">
        <f>$A$1426</f>
        <v>45444</v>
      </c>
      <c r="C367" s="66" t="str">
        <f t="shared" si="30"/>
        <v>SDR / Inside Sales Rep</v>
      </c>
      <c r="D367" s="65">
        <f>SUMIFS(Fact_Quota!$D:$D,Fact_Quota!$A:$A,$A367,Fact_Quota!$B:$B,"&gt;="&amp;B367,Fact_Quota!$B:$B,"&lt;"&amp;EDATE(B367,1))</f>
        <v>15200</v>
      </c>
      <c r="E367" s="65">
        <f>SUMIFS(Fact_Pipeline!$K:$K,Fact_Pipeline!$B:$B,$A367,Fact_Pipeline!$J:$J,"Won",Fact_Pipeline!$I:$I,"&gt;="&amp;B367,Fact_Pipeline!$I:$I,"&lt;"&amp;EDATE(B367,1))</f>
        <v>22300</v>
      </c>
      <c r="F367" s="66" t="b">
        <f>AND(D367&gt;0,IFERROR(E367/D367&gt;=G6,FALSE()))</f>
        <v>1</v>
      </c>
      <c r="G367" s="65">
        <f t="shared" si="27"/>
        <v>456</v>
      </c>
      <c r="H367" s="65">
        <f>IF(F367,MAX(0,MIN(E367,I6*D367)-D367)*IFERROR(INDEX($C$158:$C$161,MATCH(C367,$A$158:$A$161,0)),0),0)</f>
        <v>355</v>
      </c>
      <c r="I367" s="65">
        <f>IF(F367,MAX(0,E367-I6*D367)*IFERROR(INDEX($D$158:$D$161,MATCH(C367,$A$158:$A$161,0)),0),0)</f>
        <v>0</v>
      </c>
      <c r="J367" s="65">
        <f t="shared" si="28"/>
        <v>811</v>
      </c>
    </row>
    <row r="368" spans="1:10" ht="15" customHeight="1" outlineLevel="1" x14ac:dyDescent="0.2">
      <c r="A368" s="66" t="str">
        <f t="shared" si="29"/>
        <v>R001</v>
      </c>
      <c r="B368" s="67">
        <f>$A$1427</f>
        <v>45474</v>
      </c>
      <c r="C368" s="66" t="str">
        <f t="shared" si="30"/>
        <v>SDR / Inside Sales Rep</v>
      </c>
      <c r="D368" s="65">
        <f>SUMIFS(Fact_Quota!$D:$D,Fact_Quota!$A:$A,$A368,Fact_Quota!$B:$B,"&gt;="&amp;B368,Fact_Quota!$B:$B,"&lt;"&amp;EDATE(B368,1))</f>
        <v>15300</v>
      </c>
      <c r="E368" s="65">
        <f>SUMIFS(Fact_Pipeline!$K:$K,Fact_Pipeline!$B:$B,$A368,Fact_Pipeline!$J:$J,"Won",Fact_Pipeline!$I:$I,"&gt;="&amp;B368,Fact_Pipeline!$I:$I,"&lt;"&amp;EDATE(B368,1))</f>
        <v>12600</v>
      </c>
      <c r="F368" s="66" t="b">
        <f>AND(D368&gt;0,IFERROR(E368/D368&gt;=G6,FALSE()))</f>
        <v>1</v>
      </c>
      <c r="G368" s="65">
        <f t="shared" si="27"/>
        <v>378</v>
      </c>
      <c r="H368" s="65">
        <f>IF(F368,MAX(0,MIN(E368,I6*D368)-D368)*IFERROR(INDEX($C$158:$C$161,MATCH(C368,$A$158:$A$161,0)),0),0)</f>
        <v>0</v>
      </c>
      <c r="I368" s="65">
        <f>IF(F368,MAX(0,E368-I6*D368)*IFERROR(INDEX($D$158:$D$161,MATCH(C368,$A$158:$A$161,0)),0),0)</f>
        <v>0</v>
      </c>
      <c r="J368" s="65">
        <f t="shared" si="28"/>
        <v>378</v>
      </c>
    </row>
    <row r="369" spans="1:10" ht="15" customHeight="1" outlineLevel="1" x14ac:dyDescent="0.2">
      <c r="A369" s="66" t="str">
        <f t="shared" si="29"/>
        <v>R001</v>
      </c>
      <c r="B369" s="67">
        <f>$A$1428</f>
        <v>45505</v>
      </c>
      <c r="C369" s="66" t="str">
        <f t="shared" si="30"/>
        <v>SDR / Inside Sales Rep</v>
      </c>
      <c r="D369" s="65">
        <f>SUMIFS(Fact_Quota!$D:$D,Fact_Quota!$A:$A,$A369,Fact_Quota!$B:$B,"&gt;="&amp;B369,Fact_Quota!$B:$B,"&lt;"&amp;EDATE(B369,1))</f>
        <v>16000</v>
      </c>
      <c r="E369" s="65">
        <f>SUMIFS(Fact_Pipeline!$K:$K,Fact_Pipeline!$B:$B,$A369,Fact_Pipeline!$J:$J,"Won",Fact_Pipeline!$I:$I,"&gt;="&amp;B369,Fact_Pipeline!$I:$I,"&lt;"&amp;EDATE(B369,1))</f>
        <v>9000</v>
      </c>
      <c r="F369" s="66" t="b">
        <f>AND(D369&gt;0,IFERROR(E369/D369&gt;=G6,FALSE()))</f>
        <v>1</v>
      </c>
      <c r="G369" s="65">
        <f t="shared" si="27"/>
        <v>270</v>
      </c>
      <c r="H369" s="65">
        <f>IF(F369,MAX(0,MIN(E369,I6*D369)-D369)*IFERROR(INDEX($C$158:$C$161,MATCH(C369,$A$158:$A$161,0)),0),0)</f>
        <v>0</v>
      </c>
      <c r="I369" s="65">
        <f>IF(F369,MAX(0,E369-I6*D369)*IFERROR(INDEX($D$158:$D$161,MATCH(C369,$A$158:$A$161,0)),0),0)</f>
        <v>0</v>
      </c>
      <c r="J369" s="65">
        <f t="shared" si="28"/>
        <v>270</v>
      </c>
    </row>
    <row r="370" spans="1:10" ht="15" customHeight="1" outlineLevel="1" x14ac:dyDescent="0.2">
      <c r="A370" s="66" t="str">
        <f t="shared" si="29"/>
        <v>R001</v>
      </c>
      <c r="B370" s="67">
        <f>$A$1429</f>
        <v>45536</v>
      </c>
      <c r="C370" s="66" t="str">
        <f t="shared" si="30"/>
        <v>SDR / Inside Sales Rep</v>
      </c>
      <c r="D370" s="65">
        <f>SUMIFS(Fact_Quota!$D:$D,Fact_Quota!$A:$A,$A370,Fact_Quota!$B:$B,"&gt;="&amp;B370,Fact_Quota!$B:$B,"&lt;"&amp;EDATE(B370,1))</f>
        <v>15700</v>
      </c>
      <c r="E370" s="65">
        <f>SUMIFS(Fact_Pipeline!$K:$K,Fact_Pipeline!$B:$B,$A370,Fact_Pipeline!$J:$J,"Won",Fact_Pipeline!$I:$I,"&gt;="&amp;B370,Fact_Pipeline!$I:$I,"&lt;"&amp;EDATE(B370,1))</f>
        <v>12100</v>
      </c>
      <c r="F370" s="66" t="b">
        <f>AND(D370&gt;0,IFERROR(E370/D370&gt;=G6,FALSE()))</f>
        <v>1</v>
      </c>
      <c r="G370" s="65">
        <f t="shared" si="27"/>
        <v>363</v>
      </c>
      <c r="H370" s="65">
        <f>IF(F370,MAX(0,MIN(E370,I6*D370)-D370)*IFERROR(INDEX($C$158:$C$161,MATCH(C370,$A$158:$A$161,0)),0),0)</f>
        <v>0</v>
      </c>
      <c r="I370" s="65">
        <f>IF(F370,MAX(0,E370-I6*D370)*IFERROR(INDEX($D$158:$D$161,MATCH(C370,$A$158:$A$161,0)),0),0)</f>
        <v>0</v>
      </c>
      <c r="J370" s="65">
        <f t="shared" si="28"/>
        <v>363</v>
      </c>
    </row>
    <row r="371" spans="1:10" ht="15" customHeight="1" outlineLevel="1" x14ac:dyDescent="0.2">
      <c r="A371" s="66" t="str">
        <f t="shared" si="29"/>
        <v>R001</v>
      </c>
      <c r="B371" s="67">
        <f>$A$1430</f>
        <v>45566</v>
      </c>
      <c r="C371" s="66" t="str">
        <f t="shared" si="30"/>
        <v>SDR / Inside Sales Rep</v>
      </c>
      <c r="D371" s="65">
        <f>SUMIFS(Fact_Quota!$D:$D,Fact_Quota!$A:$A,$A371,Fact_Quota!$B:$B,"&gt;="&amp;B371,Fact_Quota!$B:$B,"&lt;"&amp;EDATE(B371,1))</f>
        <v>14700</v>
      </c>
      <c r="E371" s="65">
        <f>SUMIFS(Fact_Pipeline!$K:$K,Fact_Pipeline!$B:$B,$A371,Fact_Pipeline!$J:$J,"Won",Fact_Pipeline!$I:$I,"&gt;="&amp;B371,Fact_Pipeline!$I:$I,"&lt;"&amp;EDATE(B371,1))</f>
        <v>12100</v>
      </c>
      <c r="F371" s="66" t="b">
        <f>AND(D371&gt;0,IFERROR(E371/D371&gt;=G6,FALSE()))</f>
        <v>1</v>
      </c>
      <c r="G371" s="65">
        <f t="shared" si="27"/>
        <v>363</v>
      </c>
      <c r="H371" s="65">
        <f>IF(F371,MAX(0,MIN(E371,I6*D371)-D371)*IFERROR(INDEX($C$158:$C$161,MATCH(C371,$A$158:$A$161,0)),0),0)</f>
        <v>0</v>
      </c>
      <c r="I371" s="65">
        <f>IF(F371,MAX(0,E371-I6*D371)*IFERROR(INDEX($D$158:$D$161,MATCH(C371,$A$158:$A$161,0)),0),0)</f>
        <v>0</v>
      </c>
      <c r="J371" s="65">
        <f t="shared" si="28"/>
        <v>363</v>
      </c>
    </row>
    <row r="372" spans="1:10" ht="15" customHeight="1" outlineLevel="1" x14ac:dyDescent="0.2">
      <c r="A372" s="66" t="str">
        <f t="shared" si="29"/>
        <v>R001</v>
      </c>
      <c r="B372" s="67">
        <f>$A$1431</f>
        <v>45597</v>
      </c>
      <c r="C372" s="66" t="str">
        <f t="shared" si="30"/>
        <v>SDR / Inside Sales Rep</v>
      </c>
      <c r="D372" s="65">
        <f>SUMIFS(Fact_Quota!$D:$D,Fact_Quota!$A:$A,$A372,Fact_Quota!$B:$B,"&gt;="&amp;B372,Fact_Quota!$B:$B,"&lt;"&amp;EDATE(B372,1))</f>
        <v>15700</v>
      </c>
      <c r="E372" s="65">
        <f>SUMIFS(Fact_Pipeline!$K:$K,Fact_Pipeline!$B:$B,$A372,Fact_Pipeline!$J:$J,"Won",Fact_Pipeline!$I:$I,"&gt;="&amp;B372,Fact_Pipeline!$I:$I,"&lt;"&amp;EDATE(B372,1))</f>
        <v>10100</v>
      </c>
      <c r="F372" s="66" t="b">
        <f>AND(D372&gt;0,IFERROR(E372/D372&gt;=G6,FALSE()))</f>
        <v>1</v>
      </c>
      <c r="G372" s="65">
        <f t="shared" si="27"/>
        <v>303</v>
      </c>
      <c r="H372" s="65">
        <f>IF(F372,MAX(0,MIN(E372,I6*D372)-D372)*IFERROR(INDEX($C$158:$C$161,MATCH(C372,$A$158:$A$161,0)),0),0)</f>
        <v>0</v>
      </c>
      <c r="I372" s="65">
        <f>IF(F372,MAX(0,E372-I6*D372)*IFERROR(INDEX($D$158:$D$161,MATCH(C372,$A$158:$A$161,0)),0),0)</f>
        <v>0</v>
      </c>
      <c r="J372" s="65">
        <f t="shared" si="28"/>
        <v>303</v>
      </c>
    </row>
    <row r="373" spans="1:10" ht="15" customHeight="1" outlineLevel="1" x14ac:dyDescent="0.2">
      <c r="A373" s="66" t="str">
        <f t="shared" si="29"/>
        <v>R001</v>
      </c>
      <c r="B373" s="67">
        <f>$A$1432</f>
        <v>45627</v>
      </c>
      <c r="C373" s="66" t="str">
        <f t="shared" si="30"/>
        <v>SDR / Inside Sales Rep</v>
      </c>
      <c r="D373" s="65">
        <f>SUMIFS(Fact_Quota!$D:$D,Fact_Quota!$A:$A,$A373,Fact_Quota!$B:$B,"&gt;="&amp;B373,Fact_Quota!$B:$B,"&lt;"&amp;EDATE(B373,1))</f>
        <v>15300</v>
      </c>
      <c r="E373" s="65">
        <f>SUMIFS(Fact_Pipeline!$K:$K,Fact_Pipeline!$B:$B,$A373,Fact_Pipeline!$J:$J,"Won",Fact_Pipeline!$I:$I,"&gt;="&amp;B373,Fact_Pipeline!$I:$I,"&lt;"&amp;EDATE(B373,1))</f>
        <v>10900</v>
      </c>
      <c r="F373" s="66" t="b">
        <f>AND(D373&gt;0,IFERROR(E373/D373&gt;=G6,FALSE()))</f>
        <v>1</v>
      </c>
      <c r="G373" s="65">
        <f t="shared" si="27"/>
        <v>327</v>
      </c>
      <c r="H373" s="65">
        <f>IF(F373,MAX(0,MIN(E373,I6*D373)-D373)*IFERROR(INDEX($C$158:$C$161,MATCH(C373,$A$158:$A$161,0)),0),0)</f>
        <v>0</v>
      </c>
      <c r="I373" s="65">
        <f>IF(F373,MAX(0,E373-I6*D373)*IFERROR(INDEX($D$158:$D$161,MATCH(C373,$A$158:$A$161,0)),0),0)</f>
        <v>0</v>
      </c>
      <c r="J373" s="65">
        <f t="shared" si="28"/>
        <v>327</v>
      </c>
    </row>
    <row r="374" spans="1:10" ht="15" customHeight="1" outlineLevel="1" x14ac:dyDescent="0.2">
      <c r="A374" s="66" t="str">
        <f t="shared" si="29"/>
        <v>R001</v>
      </c>
      <c r="B374" s="67">
        <f>$A$1433</f>
        <v>45658</v>
      </c>
      <c r="C374" s="66" t="str">
        <f t="shared" si="30"/>
        <v>SDR / Inside Sales Rep</v>
      </c>
      <c r="D374" s="65">
        <f>SUMIFS(Fact_Quota!$D:$D,Fact_Quota!$A:$A,$A374,Fact_Quota!$B:$B,"&gt;="&amp;B374,Fact_Quota!$B:$B,"&lt;"&amp;EDATE(B374,1))</f>
        <v>15200</v>
      </c>
      <c r="E374" s="65">
        <f>SUMIFS(Fact_Pipeline!$K:$K,Fact_Pipeline!$B:$B,$A374,Fact_Pipeline!$J:$J,"Won",Fact_Pipeline!$I:$I,"&gt;="&amp;B374,Fact_Pipeline!$I:$I,"&lt;"&amp;EDATE(B374,1))</f>
        <v>24800</v>
      </c>
      <c r="F374" s="66" t="b">
        <f>AND(D374&gt;0,IFERROR(E374/D374&gt;=G6,FALSE()))</f>
        <v>1</v>
      </c>
      <c r="G374" s="65">
        <f t="shared" si="27"/>
        <v>456</v>
      </c>
      <c r="H374" s="65">
        <f>IF(F374,MAX(0,MIN(E374,I6*D374)-D374)*IFERROR(INDEX($C$158:$C$161,MATCH(C374,$A$158:$A$161,0)),0),0)</f>
        <v>380</v>
      </c>
      <c r="I374" s="65">
        <f>IF(F374,MAX(0,E374-I6*D374)*IFERROR(INDEX($D$158:$D$161,MATCH(C374,$A$158:$A$161,0)),0),0)</f>
        <v>140</v>
      </c>
      <c r="J374" s="65">
        <f t="shared" si="28"/>
        <v>976</v>
      </c>
    </row>
    <row r="375" spans="1:10" ht="15" customHeight="1" outlineLevel="1" x14ac:dyDescent="0.2">
      <c r="A375" s="66" t="str">
        <f t="shared" si="29"/>
        <v>R001</v>
      </c>
      <c r="B375" s="67">
        <f>$A$1434</f>
        <v>45689</v>
      </c>
      <c r="C375" s="66" t="str">
        <f t="shared" si="30"/>
        <v>SDR / Inside Sales Rep</v>
      </c>
      <c r="D375" s="65">
        <f>SUMIFS(Fact_Quota!$D:$D,Fact_Quota!$A:$A,$A375,Fact_Quota!$B:$B,"&gt;="&amp;B375,Fact_Quota!$B:$B,"&lt;"&amp;EDATE(B375,1))</f>
        <v>15800</v>
      </c>
      <c r="E375" s="65">
        <f>SUMIFS(Fact_Pipeline!$K:$K,Fact_Pipeline!$B:$B,$A375,Fact_Pipeline!$J:$J,"Won",Fact_Pipeline!$I:$I,"&gt;="&amp;B375,Fact_Pipeline!$I:$I,"&lt;"&amp;EDATE(B375,1))</f>
        <v>8000</v>
      </c>
      <c r="F375" s="66" t="b">
        <f>AND(D375&gt;0,IFERROR(E375/D375&gt;=G6,FALSE()))</f>
        <v>1</v>
      </c>
      <c r="G375" s="65">
        <f t="shared" si="27"/>
        <v>240</v>
      </c>
      <c r="H375" s="65">
        <f>IF(F375,MAX(0,MIN(E375,I6*D375)-D375)*IFERROR(INDEX($C$158:$C$161,MATCH(C375,$A$158:$A$161,0)),0),0)</f>
        <v>0</v>
      </c>
      <c r="I375" s="65">
        <f>IF(F375,MAX(0,E375-I6*D375)*IFERROR(INDEX($D$158:$D$161,MATCH(C375,$A$158:$A$161,0)),0),0)</f>
        <v>0</v>
      </c>
      <c r="J375" s="65">
        <f t="shared" si="28"/>
        <v>240</v>
      </c>
    </row>
    <row r="376" spans="1:10" ht="15" customHeight="1" outlineLevel="1" x14ac:dyDescent="0.2">
      <c r="A376" s="66" t="str">
        <f t="shared" si="29"/>
        <v>R001</v>
      </c>
      <c r="B376" s="67">
        <f>$A$1435</f>
        <v>45717</v>
      </c>
      <c r="C376" s="66" t="str">
        <f t="shared" si="30"/>
        <v>SDR / Inside Sales Rep</v>
      </c>
      <c r="D376" s="65">
        <f>SUMIFS(Fact_Quota!$D:$D,Fact_Quota!$A:$A,$A376,Fact_Quota!$B:$B,"&gt;="&amp;B376,Fact_Quota!$B:$B,"&lt;"&amp;EDATE(B376,1))</f>
        <v>16000</v>
      </c>
      <c r="E376" s="65">
        <f>SUMIFS(Fact_Pipeline!$K:$K,Fact_Pipeline!$B:$B,$A376,Fact_Pipeline!$J:$J,"Won",Fact_Pipeline!$I:$I,"&gt;="&amp;B376,Fact_Pipeline!$I:$I,"&lt;"&amp;EDATE(B376,1))</f>
        <v>4100</v>
      </c>
      <c r="F376" s="66" t="b">
        <f>AND(D376&gt;0,IFERROR(E376/D376&gt;=G6,FALSE()))</f>
        <v>0</v>
      </c>
      <c r="G376" s="65">
        <f t="shared" si="27"/>
        <v>0</v>
      </c>
      <c r="H376" s="65">
        <f>IF(F376,MAX(0,MIN(E376,I6*D376)-D376)*IFERROR(INDEX($C$158:$C$161,MATCH(C376,$A$158:$A$161,0)),0),0)</f>
        <v>0</v>
      </c>
      <c r="I376" s="65">
        <f>IF(F376,MAX(0,E376-I6*D376)*IFERROR(INDEX($D$158:$D$161,MATCH(C376,$A$158:$A$161,0)),0),0)</f>
        <v>0</v>
      </c>
      <c r="J376" s="65">
        <f t="shared" si="28"/>
        <v>0</v>
      </c>
    </row>
    <row r="377" spans="1:10" ht="15" customHeight="1" outlineLevel="1" x14ac:dyDescent="0.2">
      <c r="A377" s="66" t="str">
        <f t="shared" si="29"/>
        <v>R001</v>
      </c>
      <c r="B377" s="67">
        <f>$A$1436</f>
        <v>45748</v>
      </c>
      <c r="C377" s="66" t="str">
        <f t="shared" si="30"/>
        <v>SDR / Inside Sales Rep</v>
      </c>
      <c r="D377" s="65">
        <f>SUMIFS(Fact_Quota!$D:$D,Fact_Quota!$A:$A,$A377,Fact_Quota!$B:$B,"&gt;="&amp;B377,Fact_Quota!$B:$B,"&lt;"&amp;EDATE(B377,1))</f>
        <v>15900</v>
      </c>
      <c r="E377" s="65">
        <f>SUMIFS(Fact_Pipeline!$K:$K,Fact_Pipeline!$B:$B,$A377,Fact_Pipeline!$J:$J,"Won",Fact_Pipeline!$I:$I,"&gt;="&amp;B377,Fact_Pipeline!$I:$I,"&lt;"&amp;EDATE(B377,1))</f>
        <v>2400</v>
      </c>
      <c r="F377" s="66" t="b">
        <f>AND(D377&gt;0,IFERROR(E377/D377&gt;=G6,FALSE()))</f>
        <v>0</v>
      </c>
      <c r="G377" s="65">
        <f t="shared" si="27"/>
        <v>0</v>
      </c>
      <c r="H377" s="65">
        <f>IF(F377,MAX(0,MIN(E377,I6*D377)-D377)*IFERROR(INDEX($C$158:$C$161,MATCH(C377,$A$158:$A$161,0)),0),0)</f>
        <v>0</v>
      </c>
      <c r="I377" s="65">
        <f>IF(F377,MAX(0,E377-I6*D377)*IFERROR(INDEX($D$158:$D$161,MATCH(C377,$A$158:$A$161,0)),0),0)</f>
        <v>0</v>
      </c>
      <c r="J377" s="65">
        <f t="shared" si="28"/>
        <v>0</v>
      </c>
    </row>
    <row r="378" spans="1:10" ht="15" customHeight="1" outlineLevel="1" x14ac:dyDescent="0.2">
      <c r="A378" s="66" t="str">
        <f t="shared" si="29"/>
        <v>R001</v>
      </c>
      <c r="B378" s="67">
        <f>$A$1437</f>
        <v>45778</v>
      </c>
      <c r="C378" s="66" t="str">
        <f t="shared" si="30"/>
        <v>SDR / Inside Sales Rep</v>
      </c>
      <c r="D378" s="65">
        <f>SUMIFS(Fact_Quota!$D:$D,Fact_Quota!$A:$A,$A378,Fact_Quota!$B:$B,"&gt;="&amp;B378,Fact_Quota!$B:$B,"&lt;"&amp;EDATE(B378,1))</f>
        <v>15100</v>
      </c>
      <c r="E378" s="65">
        <f>SUMIFS(Fact_Pipeline!$K:$K,Fact_Pipeline!$B:$B,$A378,Fact_Pipeline!$J:$J,"Won",Fact_Pipeline!$I:$I,"&gt;="&amp;B378,Fact_Pipeline!$I:$I,"&lt;"&amp;EDATE(B378,1))</f>
        <v>24000</v>
      </c>
      <c r="F378" s="66" t="b">
        <f>AND(D378&gt;0,IFERROR(E378/D378&gt;=G6,FALSE()))</f>
        <v>1</v>
      </c>
      <c r="G378" s="65">
        <f t="shared" si="27"/>
        <v>453</v>
      </c>
      <c r="H378" s="65">
        <f>IF(F378,MAX(0,MIN(E378,I6*D378)-D378)*IFERROR(INDEX($C$158:$C$161,MATCH(C378,$A$158:$A$161,0)),0),0)</f>
        <v>377.5</v>
      </c>
      <c r="I378" s="65">
        <f>IF(F378,MAX(0,E378-I6*D378)*IFERROR(INDEX($D$158:$D$161,MATCH(C378,$A$158:$A$161,0)),0),0)</f>
        <v>94.500000000000014</v>
      </c>
      <c r="J378" s="65">
        <f t="shared" si="28"/>
        <v>925</v>
      </c>
    </row>
    <row r="379" spans="1:10" ht="15" customHeight="1" outlineLevel="1" x14ac:dyDescent="0.2">
      <c r="A379" s="66" t="str">
        <f t="shared" si="29"/>
        <v>R001</v>
      </c>
      <c r="B379" s="67">
        <f>$A$1438</f>
        <v>45809</v>
      </c>
      <c r="C379" s="66" t="str">
        <f t="shared" si="30"/>
        <v>SDR / Inside Sales Rep</v>
      </c>
      <c r="D379" s="65">
        <f>SUMIFS(Fact_Quota!$D:$D,Fact_Quota!$A:$A,$A379,Fact_Quota!$B:$B,"&gt;="&amp;B379,Fact_Quota!$B:$B,"&lt;"&amp;EDATE(B379,1))</f>
        <v>15400</v>
      </c>
      <c r="E379" s="65">
        <f>SUMIFS(Fact_Pipeline!$K:$K,Fact_Pipeline!$B:$B,$A379,Fact_Pipeline!$J:$J,"Won",Fact_Pipeline!$I:$I,"&gt;="&amp;B379,Fact_Pipeline!$I:$I,"&lt;"&amp;EDATE(B379,1))</f>
        <v>22600</v>
      </c>
      <c r="F379" s="66" t="b">
        <f>AND(D379&gt;0,IFERROR(E379/D379&gt;=G6,FALSE()))</f>
        <v>1</v>
      </c>
      <c r="G379" s="65">
        <f t="shared" si="27"/>
        <v>462</v>
      </c>
      <c r="H379" s="65">
        <f>IF(F379,MAX(0,MIN(E379,I6*D379)-D379)*IFERROR(INDEX($C$158:$C$161,MATCH(C379,$A$158:$A$161,0)),0),0)</f>
        <v>360</v>
      </c>
      <c r="I379" s="65">
        <f>IF(F379,MAX(0,E379-I6*D379)*IFERROR(INDEX($D$158:$D$161,MATCH(C379,$A$158:$A$161,0)),0),0)</f>
        <v>0</v>
      </c>
      <c r="J379" s="65">
        <f t="shared" si="28"/>
        <v>822</v>
      </c>
    </row>
    <row r="380" spans="1:10" ht="15" customHeight="1" outlineLevel="1" x14ac:dyDescent="0.2">
      <c r="A380" s="66" t="str">
        <f t="shared" si="29"/>
        <v>R001</v>
      </c>
      <c r="B380" s="67">
        <f>$A$1439</f>
        <v>45839</v>
      </c>
      <c r="C380" s="66" t="str">
        <f t="shared" si="30"/>
        <v>SDR / Inside Sales Rep</v>
      </c>
      <c r="D380" s="65">
        <f>SUMIFS(Fact_Quota!$D:$D,Fact_Quota!$A:$A,$A380,Fact_Quota!$B:$B,"&gt;="&amp;B380,Fact_Quota!$B:$B,"&lt;"&amp;EDATE(B380,1))</f>
        <v>15700</v>
      </c>
      <c r="E380" s="65">
        <f>SUMIFS(Fact_Pipeline!$K:$K,Fact_Pipeline!$B:$B,$A380,Fact_Pipeline!$J:$J,"Won",Fact_Pipeline!$I:$I,"&gt;="&amp;B380,Fact_Pipeline!$I:$I,"&lt;"&amp;EDATE(B380,1))</f>
        <v>15200</v>
      </c>
      <c r="F380" s="66" t="b">
        <f>AND(D380&gt;0,IFERROR(E380/D380&gt;=G6,FALSE()))</f>
        <v>1</v>
      </c>
      <c r="G380" s="65">
        <f t="shared" si="27"/>
        <v>456</v>
      </c>
      <c r="H380" s="65">
        <f>IF(F380,MAX(0,MIN(E380,I6*D380)-D380)*IFERROR(INDEX($C$158:$C$161,MATCH(C380,$A$158:$A$161,0)),0),0)</f>
        <v>0</v>
      </c>
      <c r="I380" s="65">
        <f>IF(F380,MAX(0,E380-I6*D380)*IFERROR(INDEX($D$158:$D$161,MATCH(C380,$A$158:$A$161,0)),0),0)</f>
        <v>0</v>
      </c>
      <c r="J380" s="65">
        <f t="shared" si="28"/>
        <v>456</v>
      </c>
    </row>
    <row r="381" spans="1:10" ht="15" customHeight="1" outlineLevel="1" x14ac:dyDescent="0.2">
      <c r="A381" s="66" t="str">
        <f t="shared" si="29"/>
        <v>R001</v>
      </c>
      <c r="B381" s="67">
        <f>$A$1440</f>
        <v>45870</v>
      </c>
      <c r="C381" s="66" t="str">
        <f t="shared" si="30"/>
        <v>SDR / Inside Sales Rep</v>
      </c>
      <c r="D381" s="65">
        <f>SUMIFS(Fact_Quota!$D:$D,Fact_Quota!$A:$A,$A381,Fact_Quota!$B:$B,"&gt;="&amp;B381,Fact_Quota!$B:$B,"&lt;"&amp;EDATE(B381,1))</f>
        <v>16000</v>
      </c>
      <c r="E381" s="65">
        <f>SUMIFS(Fact_Pipeline!$K:$K,Fact_Pipeline!$B:$B,$A381,Fact_Pipeline!$J:$J,"Won",Fact_Pipeline!$I:$I,"&gt;="&amp;B381,Fact_Pipeline!$I:$I,"&lt;"&amp;EDATE(B381,1))</f>
        <v>10300</v>
      </c>
      <c r="F381" s="66" t="b">
        <f>AND(D381&gt;0,IFERROR(E381/D381&gt;=G6,FALSE()))</f>
        <v>1</v>
      </c>
      <c r="G381" s="65">
        <f t="shared" si="27"/>
        <v>309</v>
      </c>
      <c r="H381" s="65">
        <f>IF(F381,MAX(0,MIN(E381,I6*D381)-D381)*IFERROR(INDEX($C$158:$C$161,MATCH(C381,$A$158:$A$161,0)),0),0)</f>
        <v>0</v>
      </c>
      <c r="I381" s="65">
        <f>IF(F381,MAX(0,E381-I6*D381)*IFERROR(INDEX($D$158:$D$161,MATCH(C381,$A$158:$A$161,0)),0),0)</f>
        <v>0</v>
      </c>
      <c r="J381" s="65">
        <f t="shared" si="28"/>
        <v>309</v>
      </c>
    </row>
    <row r="382" spans="1:10" ht="15" customHeight="1" outlineLevel="1" x14ac:dyDescent="0.2">
      <c r="A382" s="66" t="str">
        <f t="shared" si="29"/>
        <v>R001</v>
      </c>
      <c r="B382" s="67">
        <f>$A$1441</f>
        <v>45901</v>
      </c>
      <c r="C382" s="66" t="str">
        <f t="shared" si="30"/>
        <v>SDR / Inside Sales Rep</v>
      </c>
      <c r="D382" s="65">
        <f>SUMIFS(Fact_Quota!$D:$D,Fact_Quota!$A:$A,$A382,Fact_Quota!$B:$B,"&gt;="&amp;B382,Fact_Quota!$B:$B,"&lt;"&amp;EDATE(B382,1))</f>
        <v>15300</v>
      </c>
      <c r="E382" s="65">
        <f>SUMIFS(Fact_Pipeline!$K:$K,Fact_Pipeline!$B:$B,$A382,Fact_Pipeline!$J:$J,"Won",Fact_Pipeline!$I:$I,"&gt;="&amp;B382,Fact_Pipeline!$I:$I,"&lt;"&amp;EDATE(B382,1))</f>
        <v>29900</v>
      </c>
      <c r="F382" s="66" t="b">
        <f>AND(D382&gt;0,IFERROR(E382/D382&gt;=G6,FALSE()))</f>
        <v>1</v>
      </c>
      <c r="G382" s="65">
        <f t="shared" si="27"/>
        <v>459</v>
      </c>
      <c r="H382" s="65">
        <f>IF(F382,MAX(0,MIN(E382,I6*D382)-D382)*IFERROR(INDEX($C$158:$C$161,MATCH(C382,$A$158:$A$161,0)),0),0)</f>
        <v>382.5</v>
      </c>
      <c r="I382" s="65">
        <f>IF(F382,MAX(0,E382-I6*D382)*IFERROR(INDEX($D$158:$D$161,MATCH(C382,$A$158:$A$161,0)),0),0)</f>
        <v>486.50000000000006</v>
      </c>
      <c r="J382" s="65">
        <f t="shared" si="28"/>
        <v>1328</v>
      </c>
    </row>
    <row r="383" spans="1:10" ht="15" customHeight="1" outlineLevel="1" x14ac:dyDescent="0.2">
      <c r="A383" s="66" t="str">
        <f t="shared" si="29"/>
        <v>R001</v>
      </c>
      <c r="B383" s="67">
        <f>$A$1442</f>
        <v>45931</v>
      </c>
      <c r="C383" s="66" t="str">
        <f t="shared" si="30"/>
        <v>SDR / Inside Sales Rep</v>
      </c>
      <c r="D383" s="65">
        <f>SUMIFS(Fact_Quota!$D:$D,Fact_Quota!$A:$A,$A383,Fact_Quota!$B:$B,"&gt;="&amp;B383,Fact_Quota!$B:$B,"&lt;"&amp;EDATE(B383,1))</f>
        <v>15400</v>
      </c>
      <c r="E383" s="65">
        <f>SUMIFS(Fact_Pipeline!$K:$K,Fact_Pipeline!$B:$B,$A383,Fact_Pipeline!$J:$J,"Won",Fact_Pipeline!$I:$I,"&gt;="&amp;B383,Fact_Pipeline!$I:$I,"&lt;"&amp;EDATE(B383,1))</f>
        <v>5500</v>
      </c>
      <c r="F383" s="66" t="b">
        <f>AND(D383&gt;0,IFERROR(E383/D383&gt;=G6,FALSE()))</f>
        <v>0</v>
      </c>
      <c r="G383" s="65">
        <f t="shared" si="27"/>
        <v>0</v>
      </c>
      <c r="H383" s="65">
        <f>IF(F383,MAX(0,MIN(E383,I6*D383)-D383)*IFERROR(INDEX($C$158:$C$161,MATCH(C383,$A$158:$A$161,0)),0),0)</f>
        <v>0</v>
      </c>
      <c r="I383" s="65">
        <f>IF(F383,MAX(0,E383-I6*D383)*IFERROR(INDEX($D$158:$D$161,MATCH(C383,$A$158:$A$161,0)),0),0)</f>
        <v>0</v>
      </c>
      <c r="J383" s="65">
        <f t="shared" si="28"/>
        <v>0</v>
      </c>
    </row>
    <row r="384" spans="1:10" ht="15" customHeight="1" outlineLevel="1" x14ac:dyDescent="0.2">
      <c r="A384" s="66" t="str">
        <f t="shared" si="29"/>
        <v>R001</v>
      </c>
      <c r="B384" s="67">
        <f>$A$1443</f>
        <v>45962</v>
      </c>
      <c r="C384" s="66" t="str">
        <f t="shared" si="30"/>
        <v>SDR / Inside Sales Rep</v>
      </c>
      <c r="D384" s="65">
        <f>SUMIFS(Fact_Quota!$D:$D,Fact_Quota!$A:$A,$A384,Fact_Quota!$B:$B,"&gt;="&amp;B384,Fact_Quota!$B:$B,"&lt;"&amp;EDATE(B384,1))</f>
        <v>15000</v>
      </c>
      <c r="E384" s="65">
        <f>SUMIFS(Fact_Pipeline!$K:$K,Fact_Pipeline!$B:$B,$A384,Fact_Pipeline!$J:$J,"Won",Fact_Pipeline!$I:$I,"&gt;="&amp;B384,Fact_Pipeline!$I:$I,"&lt;"&amp;EDATE(B384,1))</f>
        <v>18100</v>
      </c>
      <c r="F384" s="66" t="b">
        <f>AND(D384&gt;0,IFERROR(E384/D384&gt;=G6,FALSE()))</f>
        <v>1</v>
      </c>
      <c r="G384" s="65">
        <f t="shared" si="27"/>
        <v>450</v>
      </c>
      <c r="H384" s="65">
        <f>IF(F384,MAX(0,MIN(E384,I6*D384)-D384)*IFERROR(INDEX($C$158:$C$161,MATCH(C384,$A$158:$A$161,0)),0),0)</f>
        <v>155</v>
      </c>
      <c r="I384" s="65">
        <f>IF(F384,MAX(0,E384-I6*D384)*IFERROR(INDEX($D$158:$D$161,MATCH(C384,$A$158:$A$161,0)),0),0)</f>
        <v>0</v>
      </c>
      <c r="J384" s="65">
        <f t="shared" si="28"/>
        <v>605</v>
      </c>
    </row>
    <row r="385" spans="1:10" ht="15" customHeight="1" outlineLevel="1" x14ac:dyDescent="0.2">
      <c r="A385" s="66" t="str">
        <f t="shared" si="29"/>
        <v>R001</v>
      </c>
      <c r="B385" s="67">
        <f>$A$1444</f>
        <v>45992</v>
      </c>
      <c r="C385" s="66" t="str">
        <f t="shared" si="30"/>
        <v>SDR / Inside Sales Rep</v>
      </c>
      <c r="D385" s="65">
        <f>SUMIFS(Fact_Quota!$D:$D,Fact_Quota!$A:$A,$A385,Fact_Quota!$B:$B,"&gt;="&amp;B385,Fact_Quota!$B:$B,"&lt;"&amp;EDATE(B385,1))</f>
        <v>14900</v>
      </c>
      <c r="E385" s="65">
        <f>SUMIFS(Fact_Pipeline!$K:$K,Fact_Pipeline!$B:$B,$A385,Fact_Pipeline!$J:$J,"Won",Fact_Pipeline!$I:$I,"&gt;="&amp;B385,Fact_Pipeline!$I:$I,"&lt;"&amp;EDATE(B385,1))</f>
        <v>17200</v>
      </c>
      <c r="F385" s="66" t="b">
        <f>AND(D385&gt;0,IFERROR(E385/D385&gt;=G6,FALSE()))</f>
        <v>1</v>
      </c>
      <c r="G385" s="65">
        <f t="shared" si="27"/>
        <v>447</v>
      </c>
      <c r="H385" s="65">
        <f>IF(F385,MAX(0,MIN(E385,I6*D385)-D385)*IFERROR(INDEX($C$158:$C$161,MATCH(C385,$A$158:$A$161,0)),0),0)</f>
        <v>115</v>
      </c>
      <c r="I385" s="65">
        <f>IF(F385,MAX(0,E385-I6*D385)*IFERROR(INDEX($D$158:$D$161,MATCH(C385,$A$158:$A$161,0)),0),0)</f>
        <v>0</v>
      </c>
      <c r="J385" s="65">
        <f t="shared" si="28"/>
        <v>562</v>
      </c>
    </row>
    <row r="386" spans="1:10" ht="15" customHeight="1" outlineLevel="1" x14ac:dyDescent="0.2">
      <c r="A386" s="63" t="str">
        <f t="shared" ref="A386:A409" si="31">$A$172</f>
        <v>R005</v>
      </c>
      <c r="B386" s="64">
        <f>$A$1421</f>
        <v>45292</v>
      </c>
      <c r="C386" s="63" t="str">
        <f t="shared" ref="C386:C409" si="32">$C$172</f>
        <v>SDR / Inside Sales Rep</v>
      </c>
      <c r="D386" s="62">
        <f>SUMIFS(Fact_Quota!$D:$D,Fact_Quota!$A:$A,$A386,Fact_Quota!$B:$B,"&gt;="&amp;B386,Fact_Quota!$B:$B,"&lt;"&amp;EDATE(B386,1))</f>
        <v>0</v>
      </c>
      <c r="E386" s="62">
        <f>SUMIFS(Fact_Pipeline!$K:$K,Fact_Pipeline!$B:$B,$A386,Fact_Pipeline!$J:$J,"Won",Fact_Pipeline!$I:$I,"&gt;="&amp;B386,Fact_Pipeline!$I:$I,"&lt;"&amp;EDATE(B386,1))</f>
        <v>0</v>
      </c>
      <c r="F386" s="63" t="b">
        <f>AND(D386&gt;0,IFERROR(E386/D386&gt;=G6,FALSE()))</f>
        <v>0</v>
      </c>
      <c r="G386" s="62">
        <f t="shared" si="27"/>
        <v>0</v>
      </c>
      <c r="H386" s="62">
        <f>IF(F386,MAX(0,MIN(E386,I6*D386)-D386)*IFERROR(INDEX($C$158:$C$161,MATCH(C386,$A$158:$A$161,0)),0),0)</f>
        <v>0</v>
      </c>
      <c r="I386" s="62">
        <f>IF(F386,MAX(0,E386-I6*D386)*IFERROR(INDEX($D$158:$D$161,MATCH(C386,$A$158:$A$161,0)),0),0)</f>
        <v>0</v>
      </c>
      <c r="J386" s="62">
        <f t="shared" si="28"/>
        <v>0</v>
      </c>
    </row>
    <row r="387" spans="1:10" ht="15" customHeight="1" outlineLevel="1" x14ac:dyDescent="0.2">
      <c r="A387" s="63" t="str">
        <f t="shared" si="31"/>
        <v>R005</v>
      </c>
      <c r="B387" s="64">
        <f>$A$1422</f>
        <v>45323</v>
      </c>
      <c r="C387" s="63" t="str">
        <f t="shared" si="32"/>
        <v>SDR / Inside Sales Rep</v>
      </c>
      <c r="D387" s="62">
        <f>SUMIFS(Fact_Quota!$D:$D,Fact_Quota!$A:$A,$A387,Fact_Quota!$B:$B,"&gt;="&amp;B387,Fact_Quota!$B:$B,"&lt;"&amp;EDATE(B387,1))</f>
        <v>0</v>
      </c>
      <c r="E387" s="62">
        <f>SUMIFS(Fact_Pipeline!$K:$K,Fact_Pipeline!$B:$B,$A387,Fact_Pipeline!$J:$J,"Won",Fact_Pipeline!$I:$I,"&gt;="&amp;B387,Fact_Pipeline!$I:$I,"&lt;"&amp;EDATE(B387,1))</f>
        <v>0</v>
      </c>
      <c r="F387" s="63" t="b">
        <f>AND(D387&gt;0,IFERROR(E387/D387&gt;=G6,FALSE()))</f>
        <v>0</v>
      </c>
      <c r="G387" s="62">
        <f t="shared" si="27"/>
        <v>0</v>
      </c>
      <c r="H387" s="62">
        <f>IF(F387,MAX(0,MIN(E387,I6*D387)-D387)*IFERROR(INDEX($C$158:$C$161,MATCH(C387,$A$158:$A$161,0)),0),0)</f>
        <v>0</v>
      </c>
      <c r="I387" s="62">
        <f>IF(F387,MAX(0,E387-I6*D387)*IFERROR(INDEX($D$158:$D$161,MATCH(C387,$A$158:$A$161,0)),0),0)</f>
        <v>0</v>
      </c>
      <c r="J387" s="62">
        <f t="shared" si="28"/>
        <v>0</v>
      </c>
    </row>
    <row r="388" spans="1:10" ht="15" customHeight="1" outlineLevel="1" x14ac:dyDescent="0.2">
      <c r="A388" s="63" t="str">
        <f t="shared" si="31"/>
        <v>R005</v>
      </c>
      <c r="B388" s="64">
        <f>$A$1423</f>
        <v>45352</v>
      </c>
      <c r="C388" s="63" t="str">
        <f t="shared" si="32"/>
        <v>SDR / Inside Sales Rep</v>
      </c>
      <c r="D388" s="62">
        <f>SUMIFS(Fact_Quota!$D:$D,Fact_Quota!$A:$A,$A388,Fact_Quota!$B:$B,"&gt;="&amp;B388,Fact_Quota!$B:$B,"&lt;"&amp;EDATE(B388,1))</f>
        <v>0</v>
      </c>
      <c r="E388" s="62">
        <f>SUMIFS(Fact_Pipeline!$K:$K,Fact_Pipeline!$B:$B,$A388,Fact_Pipeline!$J:$J,"Won",Fact_Pipeline!$I:$I,"&gt;="&amp;B388,Fact_Pipeline!$I:$I,"&lt;"&amp;EDATE(B388,1))</f>
        <v>0</v>
      </c>
      <c r="F388" s="63" t="b">
        <f>AND(D388&gt;0,IFERROR(E388/D388&gt;=G6,FALSE()))</f>
        <v>0</v>
      </c>
      <c r="G388" s="62">
        <f t="shared" si="27"/>
        <v>0</v>
      </c>
      <c r="H388" s="62">
        <f>IF(F388,MAX(0,MIN(E388,I6*D388)-D388)*IFERROR(INDEX($C$158:$C$161,MATCH(C388,$A$158:$A$161,0)),0),0)</f>
        <v>0</v>
      </c>
      <c r="I388" s="62">
        <f>IF(F388,MAX(0,E388-I6*D388)*IFERROR(INDEX($D$158:$D$161,MATCH(C388,$A$158:$A$161,0)),0),0)</f>
        <v>0</v>
      </c>
      <c r="J388" s="62">
        <f t="shared" si="28"/>
        <v>0</v>
      </c>
    </row>
    <row r="389" spans="1:10" ht="15" customHeight="1" outlineLevel="1" x14ac:dyDescent="0.2">
      <c r="A389" s="63" t="str">
        <f t="shared" si="31"/>
        <v>R005</v>
      </c>
      <c r="B389" s="64">
        <f>$A$1424</f>
        <v>45383</v>
      </c>
      <c r="C389" s="63" t="str">
        <f t="shared" si="32"/>
        <v>SDR / Inside Sales Rep</v>
      </c>
      <c r="D389" s="62">
        <f>SUMIFS(Fact_Quota!$D:$D,Fact_Quota!$A:$A,$A389,Fact_Quota!$B:$B,"&gt;="&amp;B389,Fact_Quota!$B:$B,"&lt;"&amp;EDATE(B389,1))</f>
        <v>0</v>
      </c>
      <c r="E389" s="62">
        <f>SUMIFS(Fact_Pipeline!$K:$K,Fact_Pipeline!$B:$B,$A389,Fact_Pipeline!$J:$J,"Won",Fact_Pipeline!$I:$I,"&gt;="&amp;B389,Fact_Pipeline!$I:$I,"&lt;"&amp;EDATE(B389,1))</f>
        <v>0</v>
      </c>
      <c r="F389" s="63" t="b">
        <f>AND(D389&gt;0,IFERROR(E389/D389&gt;=G6,FALSE()))</f>
        <v>0</v>
      </c>
      <c r="G389" s="62">
        <f t="shared" si="27"/>
        <v>0</v>
      </c>
      <c r="H389" s="62">
        <f>IF(F389,MAX(0,MIN(E389,I6*D389)-D389)*IFERROR(INDEX($C$158:$C$161,MATCH(C389,$A$158:$A$161,0)),0),0)</f>
        <v>0</v>
      </c>
      <c r="I389" s="62">
        <f>IF(F389,MAX(0,E389-I6*D389)*IFERROR(INDEX($D$158:$D$161,MATCH(C389,$A$158:$A$161,0)),0),0)</f>
        <v>0</v>
      </c>
      <c r="J389" s="62">
        <f t="shared" si="28"/>
        <v>0</v>
      </c>
    </row>
    <row r="390" spans="1:10" ht="15" customHeight="1" outlineLevel="1" x14ac:dyDescent="0.2">
      <c r="A390" s="63" t="str">
        <f t="shared" si="31"/>
        <v>R005</v>
      </c>
      <c r="B390" s="64">
        <f>$A$1425</f>
        <v>45413</v>
      </c>
      <c r="C390" s="63" t="str">
        <f t="shared" si="32"/>
        <v>SDR / Inside Sales Rep</v>
      </c>
      <c r="D390" s="62">
        <f>SUMIFS(Fact_Quota!$D:$D,Fact_Quota!$A:$A,$A390,Fact_Quota!$B:$B,"&gt;="&amp;B390,Fact_Quota!$B:$B,"&lt;"&amp;EDATE(B390,1))</f>
        <v>0</v>
      </c>
      <c r="E390" s="62">
        <f>SUMIFS(Fact_Pipeline!$K:$K,Fact_Pipeline!$B:$B,$A390,Fact_Pipeline!$J:$J,"Won",Fact_Pipeline!$I:$I,"&gt;="&amp;B390,Fact_Pipeline!$I:$I,"&lt;"&amp;EDATE(B390,1))</f>
        <v>0</v>
      </c>
      <c r="F390" s="63" t="b">
        <f>AND(D390&gt;0,IFERROR(E390/D390&gt;=G6,FALSE()))</f>
        <v>0</v>
      </c>
      <c r="G390" s="62">
        <f t="shared" si="27"/>
        <v>0</v>
      </c>
      <c r="H390" s="62">
        <f>IF(F390,MAX(0,MIN(E390,I6*D390)-D390)*IFERROR(INDEX($C$158:$C$161,MATCH(C390,$A$158:$A$161,0)),0),0)</f>
        <v>0</v>
      </c>
      <c r="I390" s="62">
        <f>IF(F390,MAX(0,E390-I6*D390)*IFERROR(INDEX($D$158:$D$161,MATCH(C390,$A$158:$A$161,0)),0),0)</f>
        <v>0</v>
      </c>
      <c r="J390" s="62">
        <f t="shared" si="28"/>
        <v>0</v>
      </c>
    </row>
    <row r="391" spans="1:10" ht="15" customHeight="1" outlineLevel="1" x14ac:dyDescent="0.2">
      <c r="A391" s="63" t="str">
        <f t="shared" si="31"/>
        <v>R005</v>
      </c>
      <c r="B391" s="64">
        <f>$A$1426</f>
        <v>45444</v>
      </c>
      <c r="C391" s="63" t="str">
        <f t="shared" si="32"/>
        <v>SDR / Inside Sales Rep</v>
      </c>
      <c r="D391" s="62">
        <f>SUMIFS(Fact_Quota!$D:$D,Fact_Quota!$A:$A,$A391,Fact_Quota!$B:$B,"&gt;="&amp;B391,Fact_Quota!$B:$B,"&lt;"&amp;EDATE(B391,1))</f>
        <v>0</v>
      </c>
      <c r="E391" s="62">
        <f>SUMIFS(Fact_Pipeline!$K:$K,Fact_Pipeline!$B:$B,$A391,Fact_Pipeline!$J:$J,"Won",Fact_Pipeline!$I:$I,"&gt;="&amp;B391,Fact_Pipeline!$I:$I,"&lt;"&amp;EDATE(B391,1))</f>
        <v>0</v>
      </c>
      <c r="F391" s="63" t="b">
        <f>AND(D391&gt;0,IFERROR(E391/D391&gt;=G6,FALSE()))</f>
        <v>0</v>
      </c>
      <c r="G391" s="62">
        <f t="shared" si="27"/>
        <v>0</v>
      </c>
      <c r="H391" s="62">
        <f>IF(F391,MAX(0,MIN(E391,I6*D391)-D391)*IFERROR(INDEX($C$158:$C$161,MATCH(C391,$A$158:$A$161,0)),0),0)</f>
        <v>0</v>
      </c>
      <c r="I391" s="62">
        <f>IF(F391,MAX(0,E391-I6*D391)*IFERROR(INDEX($D$158:$D$161,MATCH(C391,$A$158:$A$161,0)),0),0)</f>
        <v>0</v>
      </c>
      <c r="J391" s="62">
        <f t="shared" si="28"/>
        <v>0</v>
      </c>
    </row>
    <row r="392" spans="1:10" ht="15" customHeight="1" outlineLevel="1" x14ac:dyDescent="0.2">
      <c r="A392" s="63" t="str">
        <f t="shared" si="31"/>
        <v>R005</v>
      </c>
      <c r="B392" s="64">
        <f>$A$1427</f>
        <v>45474</v>
      </c>
      <c r="C392" s="63" t="str">
        <f t="shared" si="32"/>
        <v>SDR / Inside Sales Rep</v>
      </c>
      <c r="D392" s="62">
        <f>SUMIFS(Fact_Quota!$D:$D,Fact_Quota!$A:$A,$A392,Fact_Quota!$B:$B,"&gt;="&amp;B392,Fact_Quota!$B:$B,"&lt;"&amp;EDATE(B392,1))</f>
        <v>3900</v>
      </c>
      <c r="E392" s="62">
        <f>SUMIFS(Fact_Pipeline!$K:$K,Fact_Pipeline!$B:$B,$A392,Fact_Pipeline!$J:$J,"Won",Fact_Pipeline!$I:$I,"&gt;="&amp;B392,Fact_Pipeline!$I:$I,"&lt;"&amp;EDATE(B392,1))</f>
        <v>3800</v>
      </c>
      <c r="F392" s="63" t="b">
        <f>AND(D392&gt;0,IFERROR(E392/D392&gt;=G6,FALSE()))</f>
        <v>1</v>
      </c>
      <c r="G392" s="62">
        <f t="shared" si="27"/>
        <v>114</v>
      </c>
      <c r="H392" s="62">
        <f>IF(F392,MAX(0,MIN(E392,I6*D392)-D392)*IFERROR(INDEX($C$158:$C$161,MATCH(C392,$A$158:$A$161,0)),0),0)</f>
        <v>0</v>
      </c>
      <c r="I392" s="62">
        <f>IF(F392,MAX(0,E392-I6*D392)*IFERROR(INDEX($D$158:$D$161,MATCH(C392,$A$158:$A$161,0)),0),0)</f>
        <v>0</v>
      </c>
      <c r="J392" s="62">
        <f t="shared" si="28"/>
        <v>114</v>
      </c>
    </row>
    <row r="393" spans="1:10" ht="15" customHeight="1" outlineLevel="1" x14ac:dyDescent="0.2">
      <c r="A393" s="63" t="str">
        <f t="shared" si="31"/>
        <v>R005</v>
      </c>
      <c r="B393" s="64">
        <f>$A$1428</f>
        <v>45505</v>
      </c>
      <c r="C393" s="63" t="str">
        <f t="shared" si="32"/>
        <v>SDR / Inside Sales Rep</v>
      </c>
      <c r="D393" s="62">
        <f>SUMIFS(Fact_Quota!$D:$D,Fact_Quota!$A:$A,$A393,Fact_Quota!$B:$B,"&gt;="&amp;B393,Fact_Quota!$B:$B,"&lt;"&amp;EDATE(B393,1))</f>
        <v>7800</v>
      </c>
      <c r="E393" s="62">
        <f>SUMIFS(Fact_Pipeline!$K:$K,Fact_Pipeline!$B:$B,$A393,Fact_Pipeline!$J:$J,"Won",Fact_Pipeline!$I:$I,"&gt;="&amp;B393,Fact_Pipeline!$I:$I,"&lt;"&amp;EDATE(B393,1))</f>
        <v>3200</v>
      </c>
      <c r="F393" s="63" t="b">
        <f>AND(D393&gt;0,IFERROR(E393/D393&gt;=G6,FALSE()))</f>
        <v>0</v>
      </c>
      <c r="G393" s="62">
        <f t="shared" si="27"/>
        <v>0</v>
      </c>
      <c r="H393" s="62">
        <f>IF(F393,MAX(0,MIN(E393,I6*D393)-D393)*IFERROR(INDEX($C$158:$C$161,MATCH(C393,$A$158:$A$161,0)),0),0)</f>
        <v>0</v>
      </c>
      <c r="I393" s="62">
        <f>IF(F393,MAX(0,E393-I6*D393)*IFERROR(INDEX($D$158:$D$161,MATCH(C393,$A$158:$A$161,0)),0),0)</f>
        <v>0</v>
      </c>
      <c r="J393" s="62">
        <f t="shared" si="28"/>
        <v>0</v>
      </c>
    </row>
    <row r="394" spans="1:10" ht="15" customHeight="1" outlineLevel="1" x14ac:dyDescent="0.2">
      <c r="A394" s="63" t="str">
        <f t="shared" si="31"/>
        <v>R005</v>
      </c>
      <c r="B394" s="64">
        <f>$A$1429</f>
        <v>45536</v>
      </c>
      <c r="C394" s="63" t="str">
        <f t="shared" si="32"/>
        <v>SDR / Inside Sales Rep</v>
      </c>
      <c r="D394" s="62">
        <f>SUMIFS(Fact_Quota!$D:$D,Fact_Quota!$A:$A,$A394,Fact_Quota!$B:$B,"&gt;="&amp;B394,Fact_Quota!$B:$B,"&lt;"&amp;EDATE(B394,1))</f>
        <v>12300</v>
      </c>
      <c r="E394" s="62">
        <f>SUMIFS(Fact_Pipeline!$K:$K,Fact_Pipeline!$B:$B,$A394,Fact_Pipeline!$J:$J,"Won",Fact_Pipeline!$I:$I,"&gt;="&amp;B394,Fact_Pipeline!$I:$I,"&lt;"&amp;EDATE(B394,1))</f>
        <v>2100</v>
      </c>
      <c r="F394" s="63" t="b">
        <f>AND(D394&gt;0,IFERROR(E394/D394&gt;=G6,FALSE()))</f>
        <v>0</v>
      </c>
      <c r="G394" s="62">
        <f t="shared" si="27"/>
        <v>0</v>
      </c>
      <c r="H394" s="62">
        <f>IF(F394,MAX(0,MIN(E394,I6*D394)-D394)*IFERROR(INDEX($C$158:$C$161,MATCH(C394,$A$158:$A$161,0)),0),0)</f>
        <v>0</v>
      </c>
      <c r="I394" s="62">
        <f>IF(F394,MAX(0,E394-I6*D394)*IFERROR(INDEX($D$158:$D$161,MATCH(C394,$A$158:$A$161,0)),0),0)</f>
        <v>0</v>
      </c>
      <c r="J394" s="62">
        <f t="shared" si="28"/>
        <v>0</v>
      </c>
    </row>
    <row r="395" spans="1:10" ht="15" customHeight="1" outlineLevel="1" x14ac:dyDescent="0.2">
      <c r="A395" s="63" t="str">
        <f t="shared" si="31"/>
        <v>R005</v>
      </c>
      <c r="B395" s="64">
        <f>$A$1430</f>
        <v>45566</v>
      </c>
      <c r="C395" s="63" t="str">
        <f t="shared" si="32"/>
        <v>SDR / Inside Sales Rep</v>
      </c>
      <c r="D395" s="62">
        <f>SUMIFS(Fact_Quota!$D:$D,Fact_Quota!$A:$A,$A395,Fact_Quota!$B:$B,"&gt;="&amp;B395,Fact_Quota!$B:$B,"&lt;"&amp;EDATE(B395,1))</f>
        <v>15600</v>
      </c>
      <c r="E395" s="62">
        <f>SUMIFS(Fact_Pipeline!$K:$K,Fact_Pipeline!$B:$B,$A395,Fact_Pipeline!$J:$J,"Won",Fact_Pipeline!$I:$I,"&gt;="&amp;B395,Fact_Pipeline!$I:$I,"&lt;"&amp;EDATE(B395,1))</f>
        <v>18400</v>
      </c>
      <c r="F395" s="63" t="b">
        <f>AND(D395&gt;0,IFERROR(E395/D395&gt;=G6,FALSE()))</f>
        <v>1</v>
      </c>
      <c r="G395" s="62">
        <f t="shared" si="27"/>
        <v>468</v>
      </c>
      <c r="H395" s="62">
        <f>IF(F395,MAX(0,MIN(E395,I6*D395)-D395)*IFERROR(INDEX($C$158:$C$161,MATCH(C395,$A$158:$A$161,0)),0),0)</f>
        <v>140</v>
      </c>
      <c r="I395" s="62">
        <f>IF(F395,MAX(0,E395-I6*D395)*IFERROR(INDEX($D$158:$D$161,MATCH(C395,$A$158:$A$161,0)),0),0)</f>
        <v>0</v>
      </c>
      <c r="J395" s="62">
        <f t="shared" si="28"/>
        <v>608</v>
      </c>
    </row>
    <row r="396" spans="1:10" ht="15" customHeight="1" outlineLevel="1" x14ac:dyDescent="0.2">
      <c r="A396" s="63" t="str">
        <f t="shared" si="31"/>
        <v>R005</v>
      </c>
      <c r="B396" s="64">
        <f>$A$1431</f>
        <v>45597</v>
      </c>
      <c r="C396" s="63" t="str">
        <f t="shared" si="32"/>
        <v>SDR / Inside Sales Rep</v>
      </c>
      <c r="D396" s="62">
        <f>SUMIFS(Fact_Quota!$D:$D,Fact_Quota!$A:$A,$A396,Fact_Quota!$B:$B,"&gt;="&amp;B396,Fact_Quota!$B:$B,"&lt;"&amp;EDATE(B396,1))</f>
        <v>15600</v>
      </c>
      <c r="E396" s="62">
        <f>SUMIFS(Fact_Pipeline!$K:$K,Fact_Pipeline!$B:$B,$A396,Fact_Pipeline!$J:$J,"Won",Fact_Pipeline!$I:$I,"&gt;="&amp;B396,Fact_Pipeline!$I:$I,"&lt;"&amp;EDATE(B396,1))</f>
        <v>15900</v>
      </c>
      <c r="F396" s="63" t="b">
        <f>AND(D396&gt;0,IFERROR(E396/D396&gt;=G6,FALSE()))</f>
        <v>1</v>
      </c>
      <c r="G396" s="62">
        <f t="shared" si="27"/>
        <v>468</v>
      </c>
      <c r="H396" s="62">
        <f>IF(F396,MAX(0,MIN(E396,I6*D396)-D396)*IFERROR(INDEX($C$158:$C$161,MATCH(C396,$A$158:$A$161,0)),0),0)</f>
        <v>15</v>
      </c>
      <c r="I396" s="62">
        <f>IF(F396,MAX(0,E396-I6*D396)*IFERROR(INDEX($D$158:$D$161,MATCH(C396,$A$158:$A$161,0)),0),0)</f>
        <v>0</v>
      </c>
      <c r="J396" s="62">
        <f t="shared" si="28"/>
        <v>483</v>
      </c>
    </row>
    <row r="397" spans="1:10" ht="15" customHeight="1" outlineLevel="1" x14ac:dyDescent="0.2">
      <c r="A397" s="63" t="str">
        <f t="shared" si="31"/>
        <v>R005</v>
      </c>
      <c r="B397" s="64">
        <f>$A$1432</f>
        <v>45627</v>
      </c>
      <c r="C397" s="63" t="str">
        <f t="shared" si="32"/>
        <v>SDR / Inside Sales Rep</v>
      </c>
      <c r="D397" s="62">
        <f>SUMIFS(Fact_Quota!$D:$D,Fact_Quota!$A:$A,$A397,Fact_Quota!$B:$B,"&gt;="&amp;B397,Fact_Quota!$B:$B,"&lt;"&amp;EDATE(B397,1))</f>
        <v>15500</v>
      </c>
      <c r="E397" s="62">
        <f>SUMIFS(Fact_Pipeline!$K:$K,Fact_Pipeline!$B:$B,$A397,Fact_Pipeline!$J:$J,"Won",Fact_Pipeline!$I:$I,"&gt;="&amp;B397,Fact_Pipeline!$I:$I,"&lt;"&amp;EDATE(B397,1))</f>
        <v>18200</v>
      </c>
      <c r="F397" s="63" t="b">
        <f>AND(D397&gt;0,IFERROR(E397/D397&gt;=G6,FALSE()))</f>
        <v>1</v>
      </c>
      <c r="G397" s="62">
        <f t="shared" si="27"/>
        <v>465</v>
      </c>
      <c r="H397" s="62">
        <f>IF(F397,MAX(0,MIN(E397,I6*D397)-D397)*IFERROR(INDEX($C$158:$C$161,MATCH(C397,$A$158:$A$161,0)),0),0)</f>
        <v>135</v>
      </c>
      <c r="I397" s="62">
        <f>IF(F397,MAX(0,E397-I6*D397)*IFERROR(INDEX($D$158:$D$161,MATCH(C397,$A$158:$A$161,0)),0),0)</f>
        <v>0</v>
      </c>
      <c r="J397" s="62">
        <f t="shared" si="28"/>
        <v>600</v>
      </c>
    </row>
    <row r="398" spans="1:10" ht="15" customHeight="1" outlineLevel="1" x14ac:dyDescent="0.2">
      <c r="A398" s="63" t="str">
        <f t="shared" si="31"/>
        <v>R005</v>
      </c>
      <c r="B398" s="64">
        <f>$A$1433</f>
        <v>45658</v>
      </c>
      <c r="C398" s="63" t="str">
        <f t="shared" si="32"/>
        <v>SDR / Inside Sales Rep</v>
      </c>
      <c r="D398" s="62">
        <f>SUMIFS(Fact_Quota!$D:$D,Fact_Quota!$A:$A,$A398,Fact_Quota!$B:$B,"&gt;="&amp;B398,Fact_Quota!$B:$B,"&lt;"&amp;EDATE(B398,1))</f>
        <v>14600</v>
      </c>
      <c r="E398" s="62">
        <f>SUMIFS(Fact_Pipeline!$K:$K,Fact_Pipeline!$B:$B,$A398,Fact_Pipeline!$J:$J,"Won",Fact_Pipeline!$I:$I,"&gt;="&amp;B398,Fact_Pipeline!$I:$I,"&lt;"&amp;EDATE(B398,1))</f>
        <v>12200</v>
      </c>
      <c r="F398" s="63" t="b">
        <f>AND(D398&gt;0,IFERROR(E398/D398&gt;=G6,FALSE()))</f>
        <v>1</v>
      </c>
      <c r="G398" s="62">
        <f t="shared" si="27"/>
        <v>366</v>
      </c>
      <c r="H398" s="62">
        <f>IF(F398,MAX(0,MIN(E398,I6*D398)-D398)*IFERROR(INDEX($C$158:$C$161,MATCH(C398,$A$158:$A$161,0)),0),0)</f>
        <v>0</v>
      </c>
      <c r="I398" s="62">
        <f>IF(F398,MAX(0,E398-I6*D398)*IFERROR(INDEX($D$158:$D$161,MATCH(C398,$A$158:$A$161,0)),0),0)</f>
        <v>0</v>
      </c>
      <c r="J398" s="62">
        <f t="shared" si="28"/>
        <v>366</v>
      </c>
    </row>
    <row r="399" spans="1:10" ht="15" customHeight="1" outlineLevel="1" x14ac:dyDescent="0.2">
      <c r="A399" s="63" t="str">
        <f t="shared" si="31"/>
        <v>R005</v>
      </c>
      <c r="B399" s="64">
        <f>$A$1434</f>
        <v>45689</v>
      </c>
      <c r="C399" s="63" t="str">
        <f t="shared" si="32"/>
        <v>SDR / Inside Sales Rep</v>
      </c>
      <c r="D399" s="62">
        <f>SUMIFS(Fact_Quota!$D:$D,Fact_Quota!$A:$A,$A399,Fact_Quota!$B:$B,"&gt;="&amp;B399,Fact_Quota!$B:$B,"&lt;"&amp;EDATE(B399,1))</f>
        <v>15500</v>
      </c>
      <c r="E399" s="62">
        <f>SUMIFS(Fact_Pipeline!$K:$K,Fact_Pipeline!$B:$B,$A399,Fact_Pipeline!$J:$J,"Won",Fact_Pipeline!$I:$I,"&gt;="&amp;B399,Fact_Pipeline!$I:$I,"&lt;"&amp;EDATE(B399,1))</f>
        <v>24600</v>
      </c>
      <c r="F399" s="63" t="b">
        <f>AND(D399&gt;0,IFERROR(E399/D399&gt;=G6,FALSE()))</f>
        <v>1</v>
      </c>
      <c r="G399" s="62">
        <f t="shared" si="27"/>
        <v>465</v>
      </c>
      <c r="H399" s="62">
        <f>IF(F399,MAX(0,MIN(E399,I6*D399)-D399)*IFERROR(INDEX($C$158:$C$161,MATCH(C399,$A$158:$A$161,0)),0),0)</f>
        <v>387.5</v>
      </c>
      <c r="I399" s="62">
        <f>IF(F399,MAX(0,E399-I6*D399)*IFERROR(INDEX($D$158:$D$161,MATCH(C399,$A$158:$A$161,0)),0),0)</f>
        <v>94.500000000000014</v>
      </c>
      <c r="J399" s="62">
        <f t="shared" si="28"/>
        <v>947</v>
      </c>
    </row>
    <row r="400" spans="1:10" ht="15" customHeight="1" outlineLevel="1" x14ac:dyDescent="0.2">
      <c r="A400" s="63" t="str">
        <f t="shared" si="31"/>
        <v>R005</v>
      </c>
      <c r="B400" s="64">
        <f>$A$1435</f>
        <v>45717</v>
      </c>
      <c r="C400" s="63" t="str">
        <f t="shared" si="32"/>
        <v>SDR / Inside Sales Rep</v>
      </c>
      <c r="D400" s="62">
        <f>SUMIFS(Fact_Quota!$D:$D,Fact_Quota!$A:$A,$A400,Fact_Quota!$B:$B,"&gt;="&amp;B400,Fact_Quota!$B:$B,"&lt;"&amp;EDATE(B400,1))</f>
        <v>15500</v>
      </c>
      <c r="E400" s="62">
        <f>SUMIFS(Fact_Pipeline!$K:$K,Fact_Pipeline!$B:$B,$A400,Fact_Pipeline!$J:$J,"Won",Fact_Pipeline!$I:$I,"&gt;="&amp;B400,Fact_Pipeline!$I:$I,"&lt;"&amp;EDATE(B400,1))</f>
        <v>8100</v>
      </c>
      <c r="F400" s="63" t="b">
        <f>AND(D400&gt;0,IFERROR(E400/D400&gt;=G6,FALSE()))</f>
        <v>1</v>
      </c>
      <c r="G400" s="62">
        <f t="shared" si="27"/>
        <v>243</v>
      </c>
      <c r="H400" s="62">
        <f>IF(F400,MAX(0,MIN(E400,I6*D400)-D400)*IFERROR(INDEX($C$158:$C$161,MATCH(C400,$A$158:$A$161,0)),0),0)</f>
        <v>0</v>
      </c>
      <c r="I400" s="62">
        <f>IF(F400,MAX(0,E400-I6*D400)*IFERROR(INDEX($D$158:$D$161,MATCH(C400,$A$158:$A$161,0)),0),0)</f>
        <v>0</v>
      </c>
      <c r="J400" s="62">
        <f t="shared" si="28"/>
        <v>243</v>
      </c>
    </row>
    <row r="401" spans="1:10" ht="15" customHeight="1" outlineLevel="1" x14ac:dyDescent="0.2">
      <c r="A401" s="63" t="str">
        <f t="shared" si="31"/>
        <v>R005</v>
      </c>
      <c r="B401" s="64">
        <f>$A$1436</f>
        <v>45748</v>
      </c>
      <c r="C401" s="63" t="str">
        <f t="shared" si="32"/>
        <v>SDR / Inside Sales Rep</v>
      </c>
      <c r="D401" s="62">
        <f>SUMIFS(Fact_Quota!$D:$D,Fact_Quota!$A:$A,$A401,Fact_Quota!$B:$B,"&gt;="&amp;B401,Fact_Quota!$B:$B,"&lt;"&amp;EDATE(B401,1))</f>
        <v>16600</v>
      </c>
      <c r="E401" s="62">
        <f>SUMIFS(Fact_Pipeline!$K:$K,Fact_Pipeline!$B:$B,$A401,Fact_Pipeline!$J:$J,"Won",Fact_Pipeline!$I:$I,"&gt;="&amp;B401,Fact_Pipeline!$I:$I,"&lt;"&amp;EDATE(B401,1))</f>
        <v>22800</v>
      </c>
      <c r="F401" s="63" t="b">
        <f>AND(D401&gt;0,IFERROR(E401/D401&gt;=G6,FALSE()))</f>
        <v>1</v>
      </c>
      <c r="G401" s="62">
        <f t="shared" si="27"/>
        <v>498</v>
      </c>
      <c r="H401" s="62">
        <f>IF(F401,MAX(0,MIN(E401,I6*D401)-D401)*IFERROR(INDEX($C$158:$C$161,MATCH(C401,$A$158:$A$161,0)),0),0)</f>
        <v>310</v>
      </c>
      <c r="I401" s="62">
        <f>IF(F401,MAX(0,E401-I6*D401)*IFERROR(INDEX($D$158:$D$161,MATCH(C401,$A$158:$A$161,0)),0),0)</f>
        <v>0</v>
      </c>
      <c r="J401" s="62">
        <f t="shared" si="28"/>
        <v>808</v>
      </c>
    </row>
    <row r="402" spans="1:10" ht="15" customHeight="1" outlineLevel="1" x14ac:dyDescent="0.2">
      <c r="A402" s="63" t="str">
        <f t="shared" si="31"/>
        <v>R005</v>
      </c>
      <c r="B402" s="64">
        <f>$A$1437</f>
        <v>45778</v>
      </c>
      <c r="C402" s="63" t="str">
        <f t="shared" si="32"/>
        <v>SDR / Inside Sales Rep</v>
      </c>
      <c r="D402" s="62">
        <f>SUMIFS(Fact_Quota!$D:$D,Fact_Quota!$A:$A,$A402,Fact_Quota!$B:$B,"&gt;="&amp;B402,Fact_Quota!$B:$B,"&lt;"&amp;EDATE(B402,1))</f>
        <v>15400</v>
      </c>
      <c r="E402" s="62">
        <f>SUMIFS(Fact_Pipeline!$K:$K,Fact_Pipeline!$B:$B,$A402,Fact_Pipeline!$J:$J,"Won",Fact_Pipeline!$I:$I,"&gt;="&amp;B402,Fact_Pipeline!$I:$I,"&lt;"&amp;EDATE(B402,1))</f>
        <v>5400</v>
      </c>
      <c r="F402" s="63" t="b">
        <f>AND(D402&gt;0,IFERROR(E402/D402&gt;=G6,FALSE()))</f>
        <v>0</v>
      </c>
      <c r="G402" s="62">
        <f t="shared" si="27"/>
        <v>0</v>
      </c>
      <c r="H402" s="62">
        <f>IF(F402,MAX(0,MIN(E402,I6*D402)-D402)*IFERROR(INDEX($C$158:$C$161,MATCH(C402,$A$158:$A$161,0)),0),0)</f>
        <v>0</v>
      </c>
      <c r="I402" s="62">
        <f>IF(F402,MAX(0,E402-I6*D402)*IFERROR(INDEX($D$158:$D$161,MATCH(C402,$A$158:$A$161,0)),0),0)</f>
        <v>0</v>
      </c>
      <c r="J402" s="62">
        <f t="shared" si="28"/>
        <v>0</v>
      </c>
    </row>
    <row r="403" spans="1:10" ht="15" customHeight="1" outlineLevel="1" x14ac:dyDescent="0.2">
      <c r="A403" s="63" t="str">
        <f t="shared" si="31"/>
        <v>R005</v>
      </c>
      <c r="B403" s="64">
        <f>$A$1438</f>
        <v>45809</v>
      </c>
      <c r="C403" s="63" t="str">
        <f t="shared" si="32"/>
        <v>SDR / Inside Sales Rep</v>
      </c>
      <c r="D403" s="62">
        <f>SUMIFS(Fact_Quota!$D:$D,Fact_Quota!$A:$A,$A403,Fact_Quota!$B:$B,"&gt;="&amp;B403,Fact_Quota!$B:$B,"&lt;"&amp;EDATE(B403,1))</f>
        <v>15600</v>
      </c>
      <c r="E403" s="62">
        <f>SUMIFS(Fact_Pipeline!$K:$K,Fact_Pipeline!$B:$B,$A403,Fact_Pipeline!$J:$J,"Won",Fact_Pipeline!$I:$I,"&gt;="&amp;B403,Fact_Pipeline!$I:$I,"&lt;"&amp;EDATE(B403,1))</f>
        <v>7400</v>
      </c>
      <c r="F403" s="63" t="b">
        <f>AND(D403&gt;0,IFERROR(E403/D403&gt;=G6,FALSE()))</f>
        <v>0</v>
      </c>
      <c r="G403" s="62">
        <f t="shared" si="27"/>
        <v>0</v>
      </c>
      <c r="H403" s="62">
        <f>IF(F403,MAX(0,MIN(E403,I6*D403)-D403)*IFERROR(INDEX($C$158:$C$161,MATCH(C403,$A$158:$A$161,0)),0),0)</f>
        <v>0</v>
      </c>
      <c r="I403" s="62">
        <f>IF(F403,MAX(0,E403-I6*D403)*IFERROR(INDEX($D$158:$D$161,MATCH(C403,$A$158:$A$161,0)),0),0)</f>
        <v>0</v>
      </c>
      <c r="J403" s="62">
        <f t="shared" si="28"/>
        <v>0</v>
      </c>
    </row>
    <row r="404" spans="1:10" ht="15" customHeight="1" outlineLevel="1" x14ac:dyDescent="0.2">
      <c r="A404" s="63" t="str">
        <f t="shared" si="31"/>
        <v>R005</v>
      </c>
      <c r="B404" s="64">
        <f>$A$1439</f>
        <v>45839</v>
      </c>
      <c r="C404" s="63" t="str">
        <f t="shared" si="32"/>
        <v>SDR / Inside Sales Rep</v>
      </c>
      <c r="D404" s="62">
        <f>SUMIFS(Fact_Quota!$D:$D,Fact_Quota!$A:$A,$A404,Fact_Quota!$B:$B,"&gt;="&amp;B404,Fact_Quota!$B:$B,"&lt;"&amp;EDATE(B404,1))</f>
        <v>15500</v>
      </c>
      <c r="E404" s="62">
        <f>SUMIFS(Fact_Pipeline!$K:$K,Fact_Pipeline!$B:$B,$A404,Fact_Pipeline!$J:$J,"Won",Fact_Pipeline!$I:$I,"&gt;="&amp;B404,Fact_Pipeline!$I:$I,"&lt;"&amp;EDATE(B404,1))</f>
        <v>24400</v>
      </c>
      <c r="F404" s="63" t="b">
        <f>AND(D404&gt;0,IFERROR(E404/D404&gt;=G6,FALSE()))</f>
        <v>1</v>
      </c>
      <c r="G404" s="62">
        <f t="shared" si="27"/>
        <v>465</v>
      </c>
      <c r="H404" s="62">
        <f>IF(F404,MAX(0,MIN(E404,I6*D404)-D404)*IFERROR(INDEX($C$158:$C$161,MATCH(C404,$A$158:$A$161,0)),0),0)</f>
        <v>387.5</v>
      </c>
      <c r="I404" s="62">
        <f>IF(F404,MAX(0,E404-I6*D404)*IFERROR(INDEX($D$158:$D$161,MATCH(C404,$A$158:$A$161,0)),0),0)</f>
        <v>80.500000000000014</v>
      </c>
      <c r="J404" s="62">
        <f t="shared" si="28"/>
        <v>933</v>
      </c>
    </row>
    <row r="405" spans="1:10" ht="15" customHeight="1" outlineLevel="1" x14ac:dyDescent="0.2">
      <c r="A405" s="63" t="str">
        <f t="shared" si="31"/>
        <v>R005</v>
      </c>
      <c r="B405" s="64">
        <f>$A$1440</f>
        <v>45870</v>
      </c>
      <c r="C405" s="63" t="str">
        <f t="shared" si="32"/>
        <v>SDR / Inside Sales Rep</v>
      </c>
      <c r="D405" s="62">
        <f>SUMIFS(Fact_Quota!$D:$D,Fact_Quota!$A:$A,$A405,Fact_Quota!$B:$B,"&gt;="&amp;B405,Fact_Quota!$B:$B,"&lt;"&amp;EDATE(B405,1))</f>
        <v>15000</v>
      </c>
      <c r="E405" s="62">
        <f>SUMIFS(Fact_Pipeline!$K:$K,Fact_Pipeline!$B:$B,$A405,Fact_Pipeline!$J:$J,"Won",Fact_Pipeline!$I:$I,"&gt;="&amp;B405,Fact_Pipeline!$I:$I,"&lt;"&amp;EDATE(B405,1))</f>
        <v>17100</v>
      </c>
      <c r="F405" s="63" t="b">
        <f>AND(D405&gt;0,IFERROR(E405/D405&gt;=G6,FALSE()))</f>
        <v>1</v>
      </c>
      <c r="G405" s="62">
        <f t="shared" si="27"/>
        <v>450</v>
      </c>
      <c r="H405" s="62">
        <f>IF(F405,MAX(0,MIN(E405,I6*D405)-D405)*IFERROR(INDEX($C$158:$C$161,MATCH(C405,$A$158:$A$161,0)),0),0)</f>
        <v>105</v>
      </c>
      <c r="I405" s="62">
        <f>IF(F405,MAX(0,E405-I6*D405)*IFERROR(INDEX($D$158:$D$161,MATCH(C405,$A$158:$A$161,0)),0),0)</f>
        <v>0</v>
      </c>
      <c r="J405" s="62">
        <f t="shared" si="28"/>
        <v>555</v>
      </c>
    </row>
    <row r="406" spans="1:10" ht="15" customHeight="1" outlineLevel="1" x14ac:dyDescent="0.2">
      <c r="A406" s="63" t="str">
        <f t="shared" si="31"/>
        <v>R005</v>
      </c>
      <c r="B406" s="64">
        <f>$A$1441</f>
        <v>45901</v>
      </c>
      <c r="C406" s="63" t="str">
        <f t="shared" si="32"/>
        <v>SDR / Inside Sales Rep</v>
      </c>
      <c r="D406" s="62">
        <f>SUMIFS(Fact_Quota!$D:$D,Fact_Quota!$A:$A,$A406,Fact_Quota!$B:$B,"&gt;="&amp;B406,Fact_Quota!$B:$B,"&lt;"&amp;EDATE(B406,1))</f>
        <v>16000</v>
      </c>
      <c r="E406" s="62">
        <f>SUMIFS(Fact_Pipeline!$K:$K,Fact_Pipeline!$B:$B,$A406,Fact_Pipeline!$J:$J,"Won",Fact_Pipeline!$I:$I,"&gt;="&amp;B406,Fact_Pipeline!$I:$I,"&lt;"&amp;EDATE(B406,1))</f>
        <v>11600</v>
      </c>
      <c r="F406" s="63" t="b">
        <f>AND(D406&gt;0,IFERROR(E406/D406&gt;=G6,FALSE()))</f>
        <v>1</v>
      </c>
      <c r="G406" s="62">
        <f t="shared" si="27"/>
        <v>348</v>
      </c>
      <c r="H406" s="62">
        <f>IF(F406,MAX(0,MIN(E406,I6*D406)-D406)*IFERROR(INDEX($C$158:$C$161,MATCH(C406,$A$158:$A$161,0)),0),0)</f>
        <v>0</v>
      </c>
      <c r="I406" s="62">
        <f>IF(F406,MAX(0,E406-I6*D406)*IFERROR(INDEX($D$158:$D$161,MATCH(C406,$A$158:$A$161,0)),0),0)</f>
        <v>0</v>
      </c>
      <c r="J406" s="62">
        <f t="shared" si="28"/>
        <v>348</v>
      </c>
    </row>
    <row r="407" spans="1:10" ht="15" customHeight="1" outlineLevel="1" x14ac:dyDescent="0.2">
      <c r="A407" s="63" t="str">
        <f t="shared" si="31"/>
        <v>R005</v>
      </c>
      <c r="B407" s="64">
        <f>$A$1442</f>
        <v>45931</v>
      </c>
      <c r="C407" s="63" t="str">
        <f t="shared" si="32"/>
        <v>SDR / Inside Sales Rep</v>
      </c>
      <c r="D407" s="62">
        <f>SUMIFS(Fact_Quota!$D:$D,Fact_Quota!$A:$A,$A407,Fact_Quota!$B:$B,"&gt;="&amp;B407,Fact_Quota!$B:$B,"&lt;"&amp;EDATE(B407,1))</f>
        <v>15800</v>
      </c>
      <c r="E407" s="62">
        <f>SUMIFS(Fact_Pipeline!$K:$K,Fact_Pipeline!$B:$B,$A407,Fact_Pipeline!$J:$J,"Won",Fact_Pipeline!$I:$I,"&gt;="&amp;B407,Fact_Pipeline!$I:$I,"&lt;"&amp;EDATE(B407,1))</f>
        <v>17100</v>
      </c>
      <c r="F407" s="63" t="b">
        <f>AND(D407&gt;0,IFERROR(E407/D407&gt;=G6,FALSE()))</f>
        <v>1</v>
      </c>
      <c r="G407" s="62">
        <f t="shared" si="27"/>
        <v>474</v>
      </c>
      <c r="H407" s="62">
        <f>IF(F407,MAX(0,MIN(E407,I6*D407)-D407)*IFERROR(INDEX($C$158:$C$161,MATCH(C407,$A$158:$A$161,0)),0),0)</f>
        <v>65</v>
      </c>
      <c r="I407" s="62">
        <f>IF(F407,MAX(0,E407-I6*D407)*IFERROR(INDEX($D$158:$D$161,MATCH(C407,$A$158:$A$161,0)),0),0)</f>
        <v>0</v>
      </c>
      <c r="J407" s="62">
        <f t="shared" si="28"/>
        <v>539</v>
      </c>
    </row>
    <row r="408" spans="1:10" ht="15" customHeight="1" outlineLevel="1" x14ac:dyDescent="0.2">
      <c r="A408" s="63" t="str">
        <f t="shared" si="31"/>
        <v>R005</v>
      </c>
      <c r="B408" s="64">
        <f>$A$1443</f>
        <v>45962</v>
      </c>
      <c r="C408" s="63" t="str">
        <f t="shared" si="32"/>
        <v>SDR / Inside Sales Rep</v>
      </c>
      <c r="D408" s="62">
        <f>SUMIFS(Fact_Quota!$D:$D,Fact_Quota!$A:$A,$A408,Fact_Quota!$B:$B,"&gt;="&amp;B408,Fact_Quota!$B:$B,"&lt;"&amp;EDATE(B408,1))</f>
        <v>15900</v>
      </c>
      <c r="E408" s="62">
        <f>SUMIFS(Fact_Pipeline!$K:$K,Fact_Pipeline!$B:$B,$A408,Fact_Pipeline!$J:$J,"Won",Fact_Pipeline!$I:$I,"&gt;="&amp;B408,Fact_Pipeline!$I:$I,"&lt;"&amp;EDATE(B408,1))</f>
        <v>7000</v>
      </c>
      <c r="F408" s="63" t="b">
        <f>AND(D408&gt;0,IFERROR(E408/D408&gt;=G6,FALSE()))</f>
        <v>0</v>
      </c>
      <c r="G408" s="62">
        <f t="shared" si="27"/>
        <v>0</v>
      </c>
      <c r="H408" s="62">
        <f>IF(F408,MAX(0,MIN(E408,I6*D408)-D408)*IFERROR(INDEX($C$158:$C$161,MATCH(C408,$A$158:$A$161,0)),0),0)</f>
        <v>0</v>
      </c>
      <c r="I408" s="62">
        <f>IF(F408,MAX(0,E408-I6*D408)*IFERROR(INDEX($D$158:$D$161,MATCH(C408,$A$158:$A$161,0)),0),0)</f>
        <v>0</v>
      </c>
      <c r="J408" s="62">
        <f t="shared" si="28"/>
        <v>0</v>
      </c>
    </row>
    <row r="409" spans="1:10" ht="15" customHeight="1" outlineLevel="1" x14ac:dyDescent="0.2">
      <c r="A409" s="63" t="str">
        <f t="shared" si="31"/>
        <v>R005</v>
      </c>
      <c r="B409" s="64">
        <f>$A$1444</f>
        <v>45992</v>
      </c>
      <c r="C409" s="63" t="str">
        <f t="shared" si="32"/>
        <v>SDR / Inside Sales Rep</v>
      </c>
      <c r="D409" s="62">
        <f>SUMIFS(Fact_Quota!$D:$D,Fact_Quota!$A:$A,$A409,Fact_Quota!$B:$B,"&gt;="&amp;B409,Fact_Quota!$B:$B,"&lt;"&amp;EDATE(B409,1))</f>
        <v>15100</v>
      </c>
      <c r="E409" s="62">
        <f>SUMIFS(Fact_Pipeline!$K:$K,Fact_Pipeline!$B:$B,$A409,Fact_Pipeline!$J:$J,"Won",Fact_Pipeline!$I:$I,"&gt;="&amp;B409,Fact_Pipeline!$I:$I,"&lt;"&amp;EDATE(B409,1))</f>
        <v>20000</v>
      </c>
      <c r="F409" s="63" t="b">
        <f>AND(D409&gt;0,IFERROR(E409/D409&gt;=G6,FALSE()))</f>
        <v>1</v>
      </c>
      <c r="G409" s="62">
        <f t="shared" si="27"/>
        <v>453</v>
      </c>
      <c r="H409" s="62">
        <f>IF(F409,MAX(0,MIN(E409,I6*D409)-D409)*IFERROR(INDEX($C$158:$C$161,MATCH(C409,$A$158:$A$161,0)),0),0)</f>
        <v>245</v>
      </c>
      <c r="I409" s="62">
        <f>IF(F409,MAX(0,E409-I6*D409)*IFERROR(INDEX($D$158:$D$161,MATCH(C409,$A$158:$A$161,0)),0),0)</f>
        <v>0</v>
      </c>
      <c r="J409" s="62">
        <f t="shared" si="28"/>
        <v>698</v>
      </c>
    </row>
    <row r="410" spans="1:10" ht="15" customHeight="1" outlineLevel="1" x14ac:dyDescent="0.2">
      <c r="A410" s="66" t="str">
        <f t="shared" ref="A410:A433" si="33">$A$173</f>
        <v>R006</v>
      </c>
      <c r="B410" s="67">
        <f>$A$1421</f>
        <v>45292</v>
      </c>
      <c r="C410" s="66" t="str">
        <f t="shared" ref="C410:C433" si="34">$C$173</f>
        <v>SDR / Inside Sales Rep</v>
      </c>
      <c r="D410" s="65">
        <f>SUMIFS(Fact_Quota!$D:$D,Fact_Quota!$A:$A,$A410,Fact_Quota!$B:$B,"&gt;="&amp;B410,Fact_Quota!$B:$B,"&lt;"&amp;EDATE(B410,1))</f>
        <v>16200</v>
      </c>
      <c r="E410" s="65">
        <f>SUMIFS(Fact_Pipeline!$K:$K,Fact_Pipeline!$B:$B,$A410,Fact_Pipeline!$J:$J,"Won",Fact_Pipeline!$I:$I,"&gt;="&amp;B410,Fact_Pipeline!$I:$I,"&lt;"&amp;EDATE(B410,1))</f>
        <v>0</v>
      </c>
      <c r="F410" s="66" t="b">
        <f>AND(D410&gt;0,IFERROR(E410/D410&gt;=G6,FALSE()))</f>
        <v>0</v>
      </c>
      <c r="G410" s="65">
        <f t="shared" ref="G410:G473" si="35">IF(F410,MIN(E410,D410)*IFERROR(INDEX($B$158:$B$161,MATCH(C410,$A$158:$A$161,0)),0),0)</f>
        <v>0</v>
      </c>
      <c r="H410" s="65">
        <f>IF(F410,MAX(0,MIN(E410,I6*D410)-D410)*IFERROR(INDEX($C$158:$C$161,MATCH(C410,$A$158:$A$161,0)),0),0)</f>
        <v>0</v>
      </c>
      <c r="I410" s="65">
        <f>IF(F410,MAX(0,E410-I6*D410)*IFERROR(INDEX($D$158:$D$161,MATCH(C410,$A$158:$A$161,0)),0),0)</f>
        <v>0</v>
      </c>
      <c r="J410" s="65">
        <f t="shared" ref="J410:J473" si="36">G410+H410+I410</f>
        <v>0</v>
      </c>
    </row>
    <row r="411" spans="1:10" ht="15" customHeight="1" outlineLevel="1" x14ac:dyDescent="0.2">
      <c r="A411" s="66" t="str">
        <f t="shared" si="33"/>
        <v>R006</v>
      </c>
      <c r="B411" s="67">
        <f>$A$1422</f>
        <v>45323</v>
      </c>
      <c r="C411" s="66" t="str">
        <f t="shared" si="34"/>
        <v>SDR / Inside Sales Rep</v>
      </c>
      <c r="D411" s="65">
        <f>SUMIFS(Fact_Quota!$D:$D,Fact_Quota!$A:$A,$A411,Fact_Quota!$B:$B,"&gt;="&amp;B411,Fact_Quota!$B:$B,"&lt;"&amp;EDATE(B411,1))</f>
        <v>14800</v>
      </c>
      <c r="E411" s="65">
        <f>SUMIFS(Fact_Pipeline!$K:$K,Fact_Pipeline!$B:$B,$A411,Fact_Pipeline!$J:$J,"Won",Fact_Pipeline!$I:$I,"&gt;="&amp;B411,Fact_Pipeline!$I:$I,"&lt;"&amp;EDATE(B411,1))</f>
        <v>10800</v>
      </c>
      <c r="F411" s="66" t="b">
        <f>AND(D411&gt;0,IFERROR(E411/D411&gt;=G6,FALSE()))</f>
        <v>1</v>
      </c>
      <c r="G411" s="65">
        <f t="shared" si="35"/>
        <v>324</v>
      </c>
      <c r="H411" s="65">
        <f>IF(F411,MAX(0,MIN(E411,I6*D411)-D411)*IFERROR(INDEX($C$158:$C$161,MATCH(C411,$A$158:$A$161,0)),0),0)</f>
        <v>0</v>
      </c>
      <c r="I411" s="65">
        <f>IF(F411,MAX(0,E411-I6*D411)*IFERROR(INDEX($D$158:$D$161,MATCH(C411,$A$158:$A$161,0)),0),0)</f>
        <v>0</v>
      </c>
      <c r="J411" s="65">
        <f t="shared" si="36"/>
        <v>324</v>
      </c>
    </row>
    <row r="412" spans="1:10" ht="15" customHeight="1" outlineLevel="1" x14ac:dyDescent="0.2">
      <c r="A412" s="66" t="str">
        <f t="shared" si="33"/>
        <v>R006</v>
      </c>
      <c r="B412" s="67">
        <f>$A$1423</f>
        <v>45352</v>
      </c>
      <c r="C412" s="66" t="str">
        <f t="shared" si="34"/>
        <v>SDR / Inside Sales Rep</v>
      </c>
      <c r="D412" s="65">
        <f>SUMIFS(Fact_Quota!$D:$D,Fact_Quota!$A:$A,$A412,Fact_Quota!$B:$B,"&gt;="&amp;B412,Fact_Quota!$B:$B,"&lt;"&amp;EDATE(B412,1))</f>
        <v>15800</v>
      </c>
      <c r="E412" s="65">
        <f>SUMIFS(Fact_Pipeline!$K:$K,Fact_Pipeline!$B:$B,$A412,Fact_Pipeline!$J:$J,"Won",Fact_Pipeline!$I:$I,"&gt;="&amp;B412,Fact_Pipeline!$I:$I,"&lt;"&amp;EDATE(B412,1))</f>
        <v>13900</v>
      </c>
      <c r="F412" s="66" t="b">
        <f>AND(D412&gt;0,IFERROR(E412/D412&gt;=G6,FALSE()))</f>
        <v>1</v>
      </c>
      <c r="G412" s="65">
        <f t="shared" si="35"/>
        <v>417</v>
      </c>
      <c r="H412" s="65">
        <f>IF(F412,MAX(0,MIN(E412,I6*D412)-D412)*IFERROR(INDEX($C$158:$C$161,MATCH(C412,$A$158:$A$161,0)),0),0)</f>
        <v>0</v>
      </c>
      <c r="I412" s="65">
        <f>IF(F412,MAX(0,E412-I6*D412)*IFERROR(INDEX($D$158:$D$161,MATCH(C412,$A$158:$A$161,0)),0),0)</f>
        <v>0</v>
      </c>
      <c r="J412" s="65">
        <f t="shared" si="36"/>
        <v>417</v>
      </c>
    </row>
    <row r="413" spans="1:10" ht="15" customHeight="1" outlineLevel="1" x14ac:dyDescent="0.2">
      <c r="A413" s="66" t="str">
        <f t="shared" si="33"/>
        <v>R006</v>
      </c>
      <c r="B413" s="67">
        <f>$A$1424</f>
        <v>45383</v>
      </c>
      <c r="C413" s="66" t="str">
        <f t="shared" si="34"/>
        <v>SDR / Inside Sales Rep</v>
      </c>
      <c r="D413" s="65">
        <f>SUMIFS(Fact_Quota!$D:$D,Fact_Quota!$A:$A,$A413,Fact_Quota!$B:$B,"&gt;="&amp;B413,Fact_Quota!$B:$B,"&lt;"&amp;EDATE(B413,1))</f>
        <v>16500</v>
      </c>
      <c r="E413" s="65">
        <f>SUMIFS(Fact_Pipeline!$K:$K,Fact_Pipeline!$B:$B,$A413,Fact_Pipeline!$J:$J,"Won",Fact_Pipeline!$I:$I,"&gt;="&amp;B413,Fact_Pipeline!$I:$I,"&lt;"&amp;EDATE(B413,1))</f>
        <v>19600</v>
      </c>
      <c r="F413" s="66" t="b">
        <f>AND(D413&gt;0,IFERROR(E413/D413&gt;=G6,FALSE()))</f>
        <v>1</v>
      </c>
      <c r="G413" s="65">
        <f t="shared" si="35"/>
        <v>495</v>
      </c>
      <c r="H413" s="65">
        <f>IF(F413,MAX(0,MIN(E413,I6*D413)-D413)*IFERROR(INDEX($C$158:$C$161,MATCH(C413,$A$158:$A$161,0)),0),0)</f>
        <v>155</v>
      </c>
      <c r="I413" s="65">
        <f>IF(F413,MAX(0,E413-I6*D413)*IFERROR(INDEX($D$158:$D$161,MATCH(C413,$A$158:$A$161,0)),0),0)</f>
        <v>0</v>
      </c>
      <c r="J413" s="65">
        <f t="shared" si="36"/>
        <v>650</v>
      </c>
    </row>
    <row r="414" spans="1:10" ht="15" customHeight="1" outlineLevel="1" x14ac:dyDescent="0.2">
      <c r="A414" s="66" t="str">
        <f t="shared" si="33"/>
        <v>R006</v>
      </c>
      <c r="B414" s="67">
        <f>$A$1425</f>
        <v>45413</v>
      </c>
      <c r="C414" s="66" t="str">
        <f t="shared" si="34"/>
        <v>SDR / Inside Sales Rep</v>
      </c>
      <c r="D414" s="65">
        <f>SUMIFS(Fact_Quota!$D:$D,Fact_Quota!$A:$A,$A414,Fact_Quota!$B:$B,"&gt;="&amp;B414,Fact_Quota!$B:$B,"&lt;"&amp;EDATE(B414,1))</f>
        <v>15000</v>
      </c>
      <c r="E414" s="65">
        <f>SUMIFS(Fact_Pipeline!$K:$K,Fact_Pipeline!$B:$B,$A414,Fact_Pipeline!$J:$J,"Won",Fact_Pipeline!$I:$I,"&gt;="&amp;B414,Fact_Pipeline!$I:$I,"&lt;"&amp;EDATE(B414,1))</f>
        <v>13300</v>
      </c>
      <c r="F414" s="66" t="b">
        <f>AND(D414&gt;0,IFERROR(E414/D414&gt;=G6,FALSE()))</f>
        <v>1</v>
      </c>
      <c r="G414" s="65">
        <f t="shared" si="35"/>
        <v>399</v>
      </c>
      <c r="H414" s="65">
        <f>IF(F414,MAX(0,MIN(E414,I6*D414)-D414)*IFERROR(INDEX($C$158:$C$161,MATCH(C414,$A$158:$A$161,0)),0),0)</f>
        <v>0</v>
      </c>
      <c r="I414" s="65">
        <f>IF(F414,MAX(0,E414-I6*D414)*IFERROR(INDEX($D$158:$D$161,MATCH(C414,$A$158:$A$161,0)),0),0)</f>
        <v>0</v>
      </c>
      <c r="J414" s="65">
        <f t="shared" si="36"/>
        <v>399</v>
      </c>
    </row>
    <row r="415" spans="1:10" ht="15" customHeight="1" outlineLevel="1" x14ac:dyDescent="0.2">
      <c r="A415" s="66" t="str">
        <f t="shared" si="33"/>
        <v>R006</v>
      </c>
      <c r="B415" s="67">
        <f>$A$1426</f>
        <v>45444</v>
      </c>
      <c r="C415" s="66" t="str">
        <f t="shared" si="34"/>
        <v>SDR / Inside Sales Rep</v>
      </c>
      <c r="D415" s="65">
        <f>SUMIFS(Fact_Quota!$D:$D,Fact_Quota!$A:$A,$A415,Fact_Quota!$B:$B,"&gt;="&amp;B415,Fact_Quota!$B:$B,"&lt;"&amp;EDATE(B415,1))</f>
        <v>15200</v>
      </c>
      <c r="E415" s="65">
        <f>SUMIFS(Fact_Pipeline!$K:$K,Fact_Pipeline!$B:$B,$A415,Fact_Pipeline!$J:$J,"Won",Fact_Pipeline!$I:$I,"&gt;="&amp;B415,Fact_Pipeline!$I:$I,"&lt;"&amp;EDATE(B415,1))</f>
        <v>21600</v>
      </c>
      <c r="F415" s="66" t="b">
        <f>AND(D415&gt;0,IFERROR(E415/D415&gt;=G6,FALSE()))</f>
        <v>1</v>
      </c>
      <c r="G415" s="65">
        <f t="shared" si="35"/>
        <v>456</v>
      </c>
      <c r="H415" s="65">
        <f>IF(F415,MAX(0,MIN(E415,I6*D415)-D415)*IFERROR(INDEX($C$158:$C$161,MATCH(C415,$A$158:$A$161,0)),0),0)</f>
        <v>320</v>
      </c>
      <c r="I415" s="65">
        <f>IF(F415,MAX(0,E415-I6*D415)*IFERROR(INDEX($D$158:$D$161,MATCH(C415,$A$158:$A$161,0)),0),0)</f>
        <v>0</v>
      </c>
      <c r="J415" s="65">
        <f t="shared" si="36"/>
        <v>776</v>
      </c>
    </row>
    <row r="416" spans="1:10" ht="15" customHeight="1" outlineLevel="1" x14ac:dyDescent="0.2">
      <c r="A416" s="66" t="str">
        <f t="shared" si="33"/>
        <v>R006</v>
      </c>
      <c r="B416" s="67">
        <f>$A$1427</f>
        <v>45474</v>
      </c>
      <c r="C416" s="66" t="str">
        <f t="shared" si="34"/>
        <v>SDR / Inside Sales Rep</v>
      </c>
      <c r="D416" s="65">
        <f>SUMIFS(Fact_Quota!$D:$D,Fact_Quota!$A:$A,$A416,Fact_Quota!$B:$B,"&gt;="&amp;B416,Fact_Quota!$B:$B,"&lt;"&amp;EDATE(B416,1))</f>
        <v>15500</v>
      </c>
      <c r="E416" s="65">
        <f>SUMIFS(Fact_Pipeline!$K:$K,Fact_Pipeline!$B:$B,$A416,Fact_Pipeline!$J:$J,"Won",Fact_Pipeline!$I:$I,"&gt;="&amp;B416,Fact_Pipeline!$I:$I,"&lt;"&amp;EDATE(B416,1))</f>
        <v>20300</v>
      </c>
      <c r="F416" s="66" t="b">
        <f>AND(D416&gt;0,IFERROR(E416/D416&gt;=G6,FALSE()))</f>
        <v>1</v>
      </c>
      <c r="G416" s="65">
        <f t="shared" si="35"/>
        <v>465</v>
      </c>
      <c r="H416" s="65">
        <f>IF(F416,MAX(0,MIN(E416,I6*D416)-D416)*IFERROR(INDEX($C$158:$C$161,MATCH(C416,$A$158:$A$161,0)),0),0)</f>
        <v>240</v>
      </c>
      <c r="I416" s="65">
        <f>IF(F416,MAX(0,E416-I6*D416)*IFERROR(INDEX($D$158:$D$161,MATCH(C416,$A$158:$A$161,0)),0),0)</f>
        <v>0</v>
      </c>
      <c r="J416" s="65">
        <f t="shared" si="36"/>
        <v>705</v>
      </c>
    </row>
    <row r="417" spans="1:10" ht="15" customHeight="1" outlineLevel="1" x14ac:dyDescent="0.2">
      <c r="A417" s="66" t="str">
        <f t="shared" si="33"/>
        <v>R006</v>
      </c>
      <c r="B417" s="67">
        <f>$A$1428</f>
        <v>45505</v>
      </c>
      <c r="C417" s="66" t="str">
        <f t="shared" si="34"/>
        <v>SDR / Inside Sales Rep</v>
      </c>
      <c r="D417" s="65">
        <f>SUMIFS(Fact_Quota!$D:$D,Fact_Quota!$A:$A,$A417,Fact_Quota!$B:$B,"&gt;="&amp;B417,Fact_Quota!$B:$B,"&lt;"&amp;EDATE(B417,1))</f>
        <v>15300</v>
      </c>
      <c r="E417" s="65">
        <f>SUMIFS(Fact_Pipeline!$K:$K,Fact_Pipeline!$B:$B,$A417,Fact_Pipeline!$J:$J,"Won",Fact_Pipeline!$I:$I,"&gt;="&amp;B417,Fact_Pipeline!$I:$I,"&lt;"&amp;EDATE(B417,1))</f>
        <v>4600</v>
      </c>
      <c r="F417" s="66" t="b">
        <f>AND(D417&gt;0,IFERROR(E417/D417&gt;=G6,FALSE()))</f>
        <v>0</v>
      </c>
      <c r="G417" s="65">
        <f t="shared" si="35"/>
        <v>0</v>
      </c>
      <c r="H417" s="65">
        <f>IF(F417,MAX(0,MIN(E417,I6*D417)-D417)*IFERROR(INDEX($C$158:$C$161,MATCH(C417,$A$158:$A$161,0)),0),0)</f>
        <v>0</v>
      </c>
      <c r="I417" s="65">
        <f>IF(F417,MAX(0,E417-I6*D417)*IFERROR(INDEX($D$158:$D$161,MATCH(C417,$A$158:$A$161,0)),0),0)</f>
        <v>0</v>
      </c>
      <c r="J417" s="65">
        <f t="shared" si="36"/>
        <v>0</v>
      </c>
    </row>
    <row r="418" spans="1:10" ht="15" customHeight="1" outlineLevel="1" x14ac:dyDescent="0.2">
      <c r="A418" s="66" t="str">
        <f t="shared" si="33"/>
        <v>R006</v>
      </c>
      <c r="B418" s="67">
        <f>$A$1429</f>
        <v>45536</v>
      </c>
      <c r="C418" s="66" t="str">
        <f t="shared" si="34"/>
        <v>SDR / Inside Sales Rep</v>
      </c>
      <c r="D418" s="65">
        <f>SUMIFS(Fact_Quota!$D:$D,Fact_Quota!$A:$A,$A418,Fact_Quota!$B:$B,"&gt;="&amp;B418,Fact_Quota!$B:$B,"&lt;"&amp;EDATE(B418,1))</f>
        <v>14800</v>
      </c>
      <c r="E418" s="65">
        <f>SUMIFS(Fact_Pipeline!$K:$K,Fact_Pipeline!$B:$B,$A418,Fact_Pipeline!$J:$J,"Won",Fact_Pipeline!$I:$I,"&gt;="&amp;B418,Fact_Pipeline!$I:$I,"&lt;"&amp;EDATE(B418,1))</f>
        <v>13600</v>
      </c>
      <c r="F418" s="66" t="b">
        <f>AND(D418&gt;0,IFERROR(E418/D418&gt;=G6,FALSE()))</f>
        <v>1</v>
      </c>
      <c r="G418" s="65">
        <f t="shared" si="35"/>
        <v>408</v>
      </c>
      <c r="H418" s="65">
        <f>IF(F418,MAX(0,MIN(E418,I6*D418)-D418)*IFERROR(INDEX($C$158:$C$161,MATCH(C418,$A$158:$A$161,0)),0),0)</f>
        <v>0</v>
      </c>
      <c r="I418" s="65">
        <f>IF(F418,MAX(0,E418-I6*D418)*IFERROR(INDEX($D$158:$D$161,MATCH(C418,$A$158:$A$161,0)),0),0)</f>
        <v>0</v>
      </c>
      <c r="J418" s="65">
        <f t="shared" si="36"/>
        <v>408</v>
      </c>
    </row>
    <row r="419" spans="1:10" ht="15" customHeight="1" outlineLevel="1" x14ac:dyDescent="0.2">
      <c r="A419" s="66" t="str">
        <f t="shared" si="33"/>
        <v>R006</v>
      </c>
      <c r="B419" s="67">
        <f>$A$1430</f>
        <v>45566</v>
      </c>
      <c r="C419" s="66" t="str">
        <f t="shared" si="34"/>
        <v>SDR / Inside Sales Rep</v>
      </c>
      <c r="D419" s="65">
        <f>SUMIFS(Fact_Quota!$D:$D,Fact_Quota!$A:$A,$A419,Fact_Quota!$B:$B,"&gt;="&amp;B419,Fact_Quota!$B:$B,"&lt;"&amp;EDATE(B419,1))</f>
        <v>15500</v>
      </c>
      <c r="E419" s="65">
        <f>SUMIFS(Fact_Pipeline!$K:$K,Fact_Pipeline!$B:$B,$A419,Fact_Pipeline!$J:$J,"Won",Fact_Pipeline!$I:$I,"&gt;="&amp;B419,Fact_Pipeline!$I:$I,"&lt;"&amp;EDATE(B419,1))</f>
        <v>17600</v>
      </c>
      <c r="F419" s="66" t="b">
        <f>AND(D419&gt;0,IFERROR(E419/D419&gt;=G6,FALSE()))</f>
        <v>1</v>
      </c>
      <c r="G419" s="65">
        <f t="shared" si="35"/>
        <v>465</v>
      </c>
      <c r="H419" s="65">
        <f>IF(F419,MAX(0,MIN(E419,I6*D419)-D419)*IFERROR(INDEX($C$158:$C$161,MATCH(C419,$A$158:$A$161,0)),0),0)</f>
        <v>105</v>
      </c>
      <c r="I419" s="65">
        <f>IF(F419,MAX(0,E419-I6*D419)*IFERROR(INDEX($D$158:$D$161,MATCH(C419,$A$158:$A$161,0)),0),0)</f>
        <v>0</v>
      </c>
      <c r="J419" s="65">
        <f t="shared" si="36"/>
        <v>570</v>
      </c>
    </row>
    <row r="420" spans="1:10" ht="15" customHeight="1" outlineLevel="1" x14ac:dyDescent="0.2">
      <c r="A420" s="66" t="str">
        <f t="shared" si="33"/>
        <v>R006</v>
      </c>
      <c r="B420" s="67">
        <f>$A$1431</f>
        <v>45597</v>
      </c>
      <c r="C420" s="66" t="str">
        <f t="shared" si="34"/>
        <v>SDR / Inside Sales Rep</v>
      </c>
      <c r="D420" s="65">
        <f>SUMIFS(Fact_Quota!$D:$D,Fact_Quota!$A:$A,$A420,Fact_Quota!$B:$B,"&gt;="&amp;B420,Fact_Quota!$B:$B,"&lt;"&amp;EDATE(B420,1))</f>
        <v>15000</v>
      </c>
      <c r="E420" s="65">
        <f>SUMIFS(Fact_Pipeline!$K:$K,Fact_Pipeline!$B:$B,$A420,Fact_Pipeline!$J:$J,"Won",Fact_Pipeline!$I:$I,"&gt;="&amp;B420,Fact_Pipeline!$I:$I,"&lt;"&amp;EDATE(B420,1))</f>
        <v>36100</v>
      </c>
      <c r="F420" s="66" t="b">
        <f>AND(D420&gt;0,IFERROR(E420/D420&gt;=G6,FALSE()))</f>
        <v>1</v>
      </c>
      <c r="G420" s="65">
        <f t="shared" si="35"/>
        <v>450</v>
      </c>
      <c r="H420" s="65">
        <f>IF(F420,MAX(0,MIN(E420,I6*D420)-D420)*IFERROR(INDEX($C$158:$C$161,MATCH(C420,$A$158:$A$161,0)),0),0)</f>
        <v>375</v>
      </c>
      <c r="I420" s="65">
        <f>IF(F420,MAX(0,E420-I6*D420)*IFERROR(INDEX($D$158:$D$161,MATCH(C420,$A$158:$A$161,0)),0),0)</f>
        <v>952.00000000000011</v>
      </c>
      <c r="J420" s="65">
        <f t="shared" si="36"/>
        <v>1777</v>
      </c>
    </row>
    <row r="421" spans="1:10" ht="15" customHeight="1" outlineLevel="1" x14ac:dyDescent="0.2">
      <c r="A421" s="66" t="str">
        <f t="shared" si="33"/>
        <v>R006</v>
      </c>
      <c r="B421" s="67">
        <f>$A$1432</f>
        <v>45627</v>
      </c>
      <c r="C421" s="66" t="str">
        <f t="shared" si="34"/>
        <v>SDR / Inside Sales Rep</v>
      </c>
      <c r="D421" s="65">
        <f>SUMIFS(Fact_Quota!$D:$D,Fact_Quota!$A:$A,$A421,Fact_Quota!$B:$B,"&gt;="&amp;B421,Fact_Quota!$B:$B,"&lt;"&amp;EDATE(B421,1))</f>
        <v>15700</v>
      </c>
      <c r="E421" s="65">
        <f>SUMIFS(Fact_Pipeline!$K:$K,Fact_Pipeline!$B:$B,$A421,Fact_Pipeline!$J:$J,"Won",Fact_Pipeline!$I:$I,"&gt;="&amp;B421,Fact_Pipeline!$I:$I,"&lt;"&amp;EDATE(B421,1))</f>
        <v>30000</v>
      </c>
      <c r="F421" s="66" t="b">
        <f>AND(D421&gt;0,IFERROR(E421/D421&gt;=G6,FALSE()))</f>
        <v>1</v>
      </c>
      <c r="G421" s="65">
        <f t="shared" si="35"/>
        <v>471</v>
      </c>
      <c r="H421" s="65">
        <f>IF(F421,MAX(0,MIN(E421,I6*D421)-D421)*IFERROR(INDEX($C$158:$C$161,MATCH(C421,$A$158:$A$161,0)),0),0)</f>
        <v>392.5</v>
      </c>
      <c r="I421" s="65">
        <f>IF(F421,MAX(0,E421-I6*D421)*IFERROR(INDEX($D$158:$D$161,MATCH(C421,$A$158:$A$161,0)),0),0)</f>
        <v>451.50000000000006</v>
      </c>
      <c r="J421" s="65">
        <f t="shared" si="36"/>
        <v>1315</v>
      </c>
    </row>
    <row r="422" spans="1:10" ht="15" customHeight="1" outlineLevel="1" x14ac:dyDescent="0.2">
      <c r="A422" s="66" t="str">
        <f t="shared" si="33"/>
        <v>R006</v>
      </c>
      <c r="B422" s="67">
        <f>$A$1433</f>
        <v>45658</v>
      </c>
      <c r="C422" s="66" t="str">
        <f t="shared" si="34"/>
        <v>SDR / Inside Sales Rep</v>
      </c>
      <c r="D422" s="65">
        <f>SUMIFS(Fact_Quota!$D:$D,Fact_Quota!$A:$A,$A422,Fact_Quota!$B:$B,"&gt;="&amp;B422,Fact_Quota!$B:$B,"&lt;"&amp;EDATE(B422,1))</f>
        <v>15100</v>
      </c>
      <c r="E422" s="65">
        <f>SUMIFS(Fact_Pipeline!$K:$K,Fact_Pipeline!$B:$B,$A422,Fact_Pipeline!$J:$J,"Won",Fact_Pipeline!$I:$I,"&gt;="&amp;B422,Fact_Pipeline!$I:$I,"&lt;"&amp;EDATE(B422,1))</f>
        <v>6000</v>
      </c>
      <c r="F422" s="66" t="b">
        <f>AND(D422&gt;0,IFERROR(E422/D422&gt;=G6,FALSE()))</f>
        <v>0</v>
      </c>
      <c r="G422" s="65">
        <f t="shared" si="35"/>
        <v>0</v>
      </c>
      <c r="H422" s="65">
        <f>IF(F422,MAX(0,MIN(E422,I6*D422)-D422)*IFERROR(INDEX($C$158:$C$161,MATCH(C422,$A$158:$A$161,0)),0),0)</f>
        <v>0</v>
      </c>
      <c r="I422" s="65">
        <f>IF(F422,MAX(0,E422-I6*D422)*IFERROR(INDEX($D$158:$D$161,MATCH(C422,$A$158:$A$161,0)),0),0)</f>
        <v>0</v>
      </c>
      <c r="J422" s="65">
        <f t="shared" si="36"/>
        <v>0</v>
      </c>
    </row>
    <row r="423" spans="1:10" ht="15" customHeight="1" outlineLevel="1" x14ac:dyDescent="0.2">
      <c r="A423" s="66" t="str">
        <f t="shared" si="33"/>
        <v>R006</v>
      </c>
      <c r="B423" s="67">
        <f>$A$1434</f>
        <v>45689</v>
      </c>
      <c r="C423" s="66" t="str">
        <f t="shared" si="34"/>
        <v>SDR / Inside Sales Rep</v>
      </c>
      <c r="D423" s="65">
        <f>SUMIFS(Fact_Quota!$D:$D,Fact_Quota!$A:$A,$A423,Fact_Quota!$B:$B,"&gt;="&amp;B423,Fact_Quota!$B:$B,"&lt;"&amp;EDATE(B423,1))</f>
        <v>16200</v>
      </c>
      <c r="E423" s="65">
        <f>SUMIFS(Fact_Pipeline!$K:$K,Fact_Pipeline!$B:$B,$A423,Fact_Pipeline!$J:$J,"Won",Fact_Pipeline!$I:$I,"&gt;="&amp;B423,Fact_Pipeline!$I:$I,"&lt;"&amp;EDATE(B423,1))</f>
        <v>32800</v>
      </c>
      <c r="F423" s="66" t="b">
        <f>AND(D423&gt;0,IFERROR(E423/D423&gt;=G6,FALSE()))</f>
        <v>1</v>
      </c>
      <c r="G423" s="65">
        <f t="shared" si="35"/>
        <v>486</v>
      </c>
      <c r="H423" s="65">
        <f>IF(F423,MAX(0,MIN(E423,I6*D423)-D423)*IFERROR(INDEX($C$158:$C$161,MATCH(C423,$A$158:$A$161,0)),0),0)</f>
        <v>405</v>
      </c>
      <c r="I423" s="65">
        <f>IF(F423,MAX(0,E423-I6*D423)*IFERROR(INDEX($D$158:$D$161,MATCH(C423,$A$158:$A$161,0)),0),0)</f>
        <v>595</v>
      </c>
      <c r="J423" s="65">
        <f t="shared" si="36"/>
        <v>1486</v>
      </c>
    </row>
    <row r="424" spans="1:10" ht="15" customHeight="1" outlineLevel="1" x14ac:dyDescent="0.2">
      <c r="A424" s="66" t="str">
        <f t="shared" si="33"/>
        <v>R006</v>
      </c>
      <c r="B424" s="67">
        <f>$A$1435</f>
        <v>45717</v>
      </c>
      <c r="C424" s="66" t="str">
        <f t="shared" si="34"/>
        <v>SDR / Inside Sales Rep</v>
      </c>
      <c r="D424" s="65">
        <f>SUMIFS(Fact_Quota!$D:$D,Fact_Quota!$A:$A,$A424,Fact_Quota!$B:$B,"&gt;="&amp;B424,Fact_Quota!$B:$B,"&lt;"&amp;EDATE(B424,1))</f>
        <v>15100</v>
      </c>
      <c r="E424" s="65">
        <f>SUMIFS(Fact_Pipeline!$K:$K,Fact_Pipeline!$B:$B,$A424,Fact_Pipeline!$J:$J,"Won",Fact_Pipeline!$I:$I,"&gt;="&amp;B424,Fact_Pipeline!$I:$I,"&lt;"&amp;EDATE(B424,1))</f>
        <v>12400</v>
      </c>
      <c r="F424" s="66" t="b">
        <f>AND(D424&gt;0,IFERROR(E424/D424&gt;=G6,FALSE()))</f>
        <v>1</v>
      </c>
      <c r="G424" s="65">
        <f t="shared" si="35"/>
        <v>372</v>
      </c>
      <c r="H424" s="65">
        <f>IF(F424,MAX(0,MIN(E424,I6*D424)-D424)*IFERROR(INDEX($C$158:$C$161,MATCH(C424,$A$158:$A$161,0)),0),0)</f>
        <v>0</v>
      </c>
      <c r="I424" s="65">
        <f>IF(F424,MAX(0,E424-I6*D424)*IFERROR(INDEX($D$158:$D$161,MATCH(C424,$A$158:$A$161,0)),0),0)</f>
        <v>0</v>
      </c>
      <c r="J424" s="65">
        <f t="shared" si="36"/>
        <v>372</v>
      </c>
    </row>
    <row r="425" spans="1:10" ht="15" customHeight="1" outlineLevel="1" x14ac:dyDescent="0.2">
      <c r="A425" s="66" t="str">
        <f t="shared" si="33"/>
        <v>R006</v>
      </c>
      <c r="B425" s="67">
        <f>$A$1436</f>
        <v>45748</v>
      </c>
      <c r="C425" s="66" t="str">
        <f t="shared" si="34"/>
        <v>SDR / Inside Sales Rep</v>
      </c>
      <c r="D425" s="65">
        <f>SUMIFS(Fact_Quota!$D:$D,Fact_Quota!$A:$A,$A425,Fact_Quota!$B:$B,"&gt;="&amp;B425,Fact_Quota!$B:$B,"&lt;"&amp;EDATE(B425,1))</f>
        <v>15400</v>
      </c>
      <c r="E425" s="65">
        <f>SUMIFS(Fact_Pipeline!$K:$K,Fact_Pipeline!$B:$B,$A425,Fact_Pipeline!$J:$J,"Won",Fact_Pipeline!$I:$I,"&gt;="&amp;B425,Fact_Pipeline!$I:$I,"&lt;"&amp;EDATE(B425,1))</f>
        <v>26800</v>
      </c>
      <c r="F425" s="66" t="b">
        <f>AND(D425&gt;0,IFERROR(E425/D425&gt;=G6,FALSE()))</f>
        <v>1</v>
      </c>
      <c r="G425" s="65">
        <f t="shared" si="35"/>
        <v>462</v>
      </c>
      <c r="H425" s="65">
        <f>IF(F425,MAX(0,MIN(E425,I6*D425)-D425)*IFERROR(INDEX($C$158:$C$161,MATCH(C425,$A$158:$A$161,0)),0),0)</f>
        <v>385</v>
      </c>
      <c r="I425" s="65">
        <f>IF(F425,MAX(0,E425-I6*D425)*IFERROR(INDEX($D$158:$D$161,MATCH(C425,$A$158:$A$161,0)),0),0)</f>
        <v>259</v>
      </c>
      <c r="J425" s="65">
        <f t="shared" si="36"/>
        <v>1106</v>
      </c>
    </row>
    <row r="426" spans="1:10" ht="15" customHeight="1" outlineLevel="1" x14ac:dyDescent="0.2">
      <c r="A426" s="66" t="str">
        <f t="shared" si="33"/>
        <v>R006</v>
      </c>
      <c r="B426" s="67">
        <f>$A$1437</f>
        <v>45778</v>
      </c>
      <c r="C426" s="66" t="str">
        <f t="shared" si="34"/>
        <v>SDR / Inside Sales Rep</v>
      </c>
      <c r="D426" s="65">
        <f>SUMIFS(Fact_Quota!$D:$D,Fact_Quota!$A:$A,$A426,Fact_Quota!$B:$B,"&gt;="&amp;B426,Fact_Quota!$B:$B,"&lt;"&amp;EDATE(B426,1))</f>
        <v>15900</v>
      </c>
      <c r="E426" s="65">
        <f>SUMIFS(Fact_Pipeline!$K:$K,Fact_Pipeline!$B:$B,$A426,Fact_Pipeline!$J:$J,"Won",Fact_Pipeline!$I:$I,"&gt;="&amp;B426,Fact_Pipeline!$I:$I,"&lt;"&amp;EDATE(B426,1))</f>
        <v>24100</v>
      </c>
      <c r="F426" s="66" t="b">
        <f>AND(D426&gt;0,IFERROR(E426/D426&gt;=G6,FALSE()))</f>
        <v>1</v>
      </c>
      <c r="G426" s="65">
        <f t="shared" si="35"/>
        <v>477</v>
      </c>
      <c r="H426" s="65">
        <f>IF(F426,MAX(0,MIN(E426,I6*D426)-D426)*IFERROR(INDEX($C$158:$C$161,MATCH(C426,$A$158:$A$161,0)),0),0)</f>
        <v>397.5</v>
      </c>
      <c r="I426" s="65">
        <f>IF(F426,MAX(0,E426-I6*D426)*IFERROR(INDEX($D$158:$D$161,MATCH(C426,$A$158:$A$161,0)),0),0)</f>
        <v>17.5</v>
      </c>
      <c r="J426" s="65">
        <f t="shared" si="36"/>
        <v>892</v>
      </c>
    </row>
    <row r="427" spans="1:10" ht="15" customHeight="1" outlineLevel="1" x14ac:dyDescent="0.2">
      <c r="A427" s="66" t="str">
        <f t="shared" si="33"/>
        <v>R006</v>
      </c>
      <c r="B427" s="67">
        <f>$A$1438</f>
        <v>45809</v>
      </c>
      <c r="C427" s="66" t="str">
        <f t="shared" si="34"/>
        <v>SDR / Inside Sales Rep</v>
      </c>
      <c r="D427" s="65">
        <f>SUMIFS(Fact_Quota!$D:$D,Fact_Quota!$A:$A,$A427,Fact_Quota!$B:$B,"&gt;="&amp;B427,Fact_Quota!$B:$B,"&lt;"&amp;EDATE(B427,1))</f>
        <v>14900</v>
      </c>
      <c r="E427" s="65">
        <f>SUMIFS(Fact_Pipeline!$K:$K,Fact_Pipeline!$B:$B,$A427,Fact_Pipeline!$J:$J,"Won",Fact_Pipeline!$I:$I,"&gt;="&amp;B427,Fact_Pipeline!$I:$I,"&lt;"&amp;EDATE(B427,1))</f>
        <v>22500</v>
      </c>
      <c r="F427" s="66" t="b">
        <f>AND(D427&gt;0,IFERROR(E427/D427&gt;=G6,FALSE()))</f>
        <v>1</v>
      </c>
      <c r="G427" s="65">
        <f t="shared" si="35"/>
        <v>447</v>
      </c>
      <c r="H427" s="65">
        <f>IF(F427,MAX(0,MIN(E427,I6*D427)-D427)*IFERROR(INDEX($C$158:$C$161,MATCH(C427,$A$158:$A$161,0)),0),0)</f>
        <v>372.5</v>
      </c>
      <c r="I427" s="65">
        <f>IF(F427,MAX(0,E427-I6*D427)*IFERROR(INDEX($D$158:$D$161,MATCH(C427,$A$158:$A$161,0)),0),0)</f>
        <v>10.500000000000002</v>
      </c>
      <c r="J427" s="65">
        <f t="shared" si="36"/>
        <v>830</v>
      </c>
    </row>
    <row r="428" spans="1:10" ht="15" customHeight="1" outlineLevel="1" x14ac:dyDescent="0.2">
      <c r="A428" s="66" t="str">
        <f t="shared" si="33"/>
        <v>R006</v>
      </c>
      <c r="B428" s="67">
        <f>$A$1439</f>
        <v>45839</v>
      </c>
      <c r="C428" s="66" t="str">
        <f t="shared" si="34"/>
        <v>SDR / Inside Sales Rep</v>
      </c>
      <c r="D428" s="65">
        <f>SUMIFS(Fact_Quota!$D:$D,Fact_Quota!$A:$A,$A428,Fact_Quota!$B:$B,"&gt;="&amp;B428,Fact_Quota!$B:$B,"&lt;"&amp;EDATE(B428,1))</f>
        <v>15600</v>
      </c>
      <c r="E428" s="65">
        <f>SUMIFS(Fact_Pipeline!$K:$K,Fact_Pipeline!$B:$B,$A428,Fact_Pipeline!$J:$J,"Won",Fact_Pipeline!$I:$I,"&gt;="&amp;B428,Fact_Pipeline!$I:$I,"&lt;"&amp;EDATE(B428,1))</f>
        <v>9200</v>
      </c>
      <c r="F428" s="66" t="b">
        <f>AND(D428&gt;0,IFERROR(E428/D428&gt;=G6,FALSE()))</f>
        <v>1</v>
      </c>
      <c r="G428" s="65">
        <f t="shared" si="35"/>
        <v>276</v>
      </c>
      <c r="H428" s="65">
        <f>IF(F428,MAX(0,MIN(E428,I6*D428)-D428)*IFERROR(INDEX($C$158:$C$161,MATCH(C428,$A$158:$A$161,0)),0),0)</f>
        <v>0</v>
      </c>
      <c r="I428" s="65">
        <f>IF(F428,MAX(0,E428-I6*D428)*IFERROR(INDEX($D$158:$D$161,MATCH(C428,$A$158:$A$161,0)),0),0)</f>
        <v>0</v>
      </c>
      <c r="J428" s="65">
        <f t="shared" si="36"/>
        <v>276</v>
      </c>
    </row>
    <row r="429" spans="1:10" ht="15" customHeight="1" outlineLevel="1" x14ac:dyDescent="0.2">
      <c r="A429" s="66" t="str">
        <f t="shared" si="33"/>
        <v>R006</v>
      </c>
      <c r="B429" s="67">
        <f>$A$1440</f>
        <v>45870</v>
      </c>
      <c r="C429" s="66" t="str">
        <f t="shared" si="34"/>
        <v>SDR / Inside Sales Rep</v>
      </c>
      <c r="D429" s="65">
        <f>SUMIFS(Fact_Quota!$D:$D,Fact_Quota!$A:$A,$A429,Fact_Quota!$B:$B,"&gt;="&amp;B429,Fact_Quota!$B:$B,"&lt;"&amp;EDATE(B429,1))</f>
        <v>16100</v>
      </c>
      <c r="E429" s="65">
        <f>SUMIFS(Fact_Pipeline!$K:$K,Fact_Pipeline!$B:$B,$A429,Fact_Pipeline!$J:$J,"Won",Fact_Pipeline!$I:$I,"&gt;="&amp;B429,Fact_Pipeline!$I:$I,"&lt;"&amp;EDATE(B429,1))</f>
        <v>6300</v>
      </c>
      <c r="F429" s="66" t="b">
        <f>AND(D429&gt;0,IFERROR(E429/D429&gt;=G6,FALSE()))</f>
        <v>0</v>
      </c>
      <c r="G429" s="65">
        <f t="shared" si="35"/>
        <v>0</v>
      </c>
      <c r="H429" s="65">
        <f>IF(F429,MAX(0,MIN(E429,I6*D429)-D429)*IFERROR(INDEX($C$158:$C$161,MATCH(C429,$A$158:$A$161,0)),0),0)</f>
        <v>0</v>
      </c>
      <c r="I429" s="65">
        <f>IF(F429,MAX(0,E429-I6*D429)*IFERROR(INDEX($D$158:$D$161,MATCH(C429,$A$158:$A$161,0)),0),0)</f>
        <v>0</v>
      </c>
      <c r="J429" s="65">
        <f t="shared" si="36"/>
        <v>0</v>
      </c>
    </row>
    <row r="430" spans="1:10" ht="15" customHeight="1" outlineLevel="1" x14ac:dyDescent="0.2">
      <c r="A430" s="66" t="str">
        <f t="shared" si="33"/>
        <v>R006</v>
      </c>
      <c r="B430" s="67">
        <f>$A$1441</f>
        <v>45901</v>
      </c>
      <c r="C430" s="66" t="str">
        <f t="shared" si="34"/>
        <v>SDR / Inside Sales Rep</v>
      </c>
      <c r="D430" s="65">
        <f>SUMIFS(Fact_Quota!$D:$D,Fact_Quota!$A:$A,$A430,Fact_Quota!$B:$B,"&gt;="&amp;B430,Fact_Quota!$B:$B,"&lt;"&amp;EDATE(B430,1))</f>
        <v>14800</v>
      </c>
      <c r="E430" s="65">
        <f>SUMIFS(Fact_Pipeline!$K:$K,Fact_Pipeline!$B:$B,$A430,Fact_Pipeline!$J:$J,"Won",Fact_Pipeline!$I:$I,"&gt;="&amp;B430,Fact_Pipeline!$I:$I,"&lt;"&amp;EDATE(B430,1))</f>
        <v>8900</v>
      </c>
      <c r="F430" s="66" t="b">
        <f>AND(D430&gt;0,IFERROR(E430/D430&gt;=G6,FALSE()))</f>
        <v>1</v>
      </c>
      <c r="G430" s="65">
        <f t="shared" si="35"/>
        <v>267</v>
      </c>
      <c r="H430" s="65">
        <f>IF(F430,MAX(0,MIN(E430,I6*D430)-D430)*IFERROR(INDEX($C$158:$C$161,MATCH(C430,$A$158:$A$161,0)),0),0)</f>
        <v>0</v>
      </c>
      <c r="I430" s="65">
        <f>IF(F430,MAX(0,E430-I6*D430)*IFERROR(INDEX($D$158:$D$161,MATCH(C430,$A$158:$A$161,0)),0),0)</f>
        <v>0</v>
      </c>
      <c r="J430" s="65">
        <f t="shared" si="36"/>
        <v>267</v>
      </c>
    </row>
    <row r="431" spans="1:10" ht="15" customHeight="1" outlineLevel="1" x14ac:dyDescent="0.2">
      <c r="A431" s="66" t="str">
        <f t="shared" si="33"/>
        <v>R006</v>
      </c>
      <c r="B431" s="67">
        <f>$A$1442</f>
        <v>45931</v>
      </c>
      <c r="C431" s="66" t="str">
        <f t="shared" si="34"/>
        <v>SDR / Inside Sales Rep</v>
      </c>
      <c r="D431" s="65">
        <f>SUMIFS(Fact_Quota!$D:$D,Fact_Quota!$A:$A,$A431,Fact_Quota!$B:$B,"&gt;="&amp;B431,Fact_Quota!$B:$B,"&lt;"&amp;EDATE(B431,1))</f>
        <v>15600</v>
      </c>
      <c r="E431" s="65">
        <f>SUMIFS(Fact_Pipeline!$K:$K,Fact_Pipeline!$B:$B,$A431,Fact_Pipeline!$J:$J,"Won",Fact_Pipeline!$I:$I,"&gt;="&amp;B431,Fact_Pipeline!$I:$I,"&lt;"&amp;EDATE(B431,1))</f>
        <v>31500</v>
      </c>
      <c r="F431" s="66" t="b">
        <f>AND(D431&gt;0,IFERROR(E431/D431&gt;=G6,FALSE()))</f>
        <v>1</v>
      </c>
      <c r="G431" s="65">
        <f t="shared" si="35"/>
        <v>468</v>
      </c>
      <c r="H431" s="65">
        <f>IF(F431,MAX(0,MIN(E431,I6*D431)-D431)*IFERROR(INDEX($C$158:$C$161,MATCH(C431,$A$158:$A$161,0)),0),0)</f>
        <v>390</v>
      </c>
      <c r="I431" s="65">
        <f>IF(F431,MAX(0,E431-I6*D431)*IFERROR(INDEX($D$158:$D$161,MATCH(C431,$A$158:$A$161,0)),0),0)</f>
        <v>567</v>
      </c>
      <c r="J431" s="65">
        <f t="shared" si="36"/>
        <v>1425</v>
      </c>
    </row>
    <row r="432" spans="1:10" ht="15" customHeight="1" outlineLevel="1" x14ac:dyDescent="0.2">
      <c r="A432" s="66" t="str">
        <f t="shared" si="33"/>
        <v>R006</v>
      </c>
      <c r="B432" s="67">
        <f>$A$1443</f>
        <v>45962</v>
      </c>
      <c r="C432" s="66" t="str">
        <f t="shared" si="34"/>
        <v>SDR / Inside Sales Rep</v>
      </c>
      <c r="D432" s="65">
        <f>SUMIFS(Fact_Quota!$D:$D,Fact_Quota!$A:$A,$A432,Fact_Quota!$B:$B,"&gt;="&amp;B432,Fact_Quota!$B:$B,"&lt;"&amp;EDATE(B432,1))</f>
        <v>15600</v>
      </c>
      <c r="E432" s="65">
        <f>SUMIFS(Fact_Pipeline!$K:$K,Fact_Pipeline!$B:$B,$A432,Fact_Pipeline!$J:$J,"Won",Fact_Pipeline!$I:$I,"&gt;="&amp;B432,Fact_Pipeline!$I:$I,"&lt;"&amp;EDATE(B432,1))</f>
        <v>24900</v>
      </c>
      <c r="F432" s="66" t="b">
        <f>AND(D432&gt;0,IFERROR(E432/D432&gt;=G6,FALSE()))</f>
        <v>1</v>
      </c>
      <c r="G432" s="65">
        <f t="shared" si="35"/>
        <v>468</v>
      </c>
      <c r="H432" s="65">
        <f>IF(F432,MAX(0,MIN(E432,I6*D432)-D432)*IFERROR(INDEX($C$158:$C$161,MATCH(C432,$A$158:$A$161,0)),0),0)</f>
        <v>390</v>
      </c>
      <c r="I432" s="65">
        <f>IF(F432,MAX(0,E432-I6*D432)*IFERROR(INDEX($D$158:$D$161,MATCH(C432,$A$158:$A$161,0)),0),0)</f>
        <v>105.00000000000001</v>
      </c>
      <c r="J432" s="65">
        <f t="shared" si="36"/>
        <v>963</v>
      </c>
    </row>
    <row r="433" spans="1:10" ht="15" customHeight="1" outlineLevel="1" x14ac:dyDescent="0.2">
      <c r="A433" s="66" t="str">
        <f t="shared" si="33"/>
        <v>R006</v>
      </c>
      <c r="B433" s="67">
        <f>$A$1444</f>
        <v>45992</v>
      </c>
      <c r="C433" s="66" t="str">
        <f t="shared" si="34"/>
        <v>SDR / Inside Sales Rep</v>
      </c>
      <c r="D433" s="65">
        <f>SUMIFS(Fact_Quota!$D:$D,Fact_Quota!$A:$A,$A433,Fact_Quota!$B:$B,"&gt;="&amp;B433,Fact_Quota!$B:$B,"&lt;"&amp;EDATE(B433,1))</f>
        <v>15900</v>
      </c>
      <c r="E433" s="65">
        <f>SUMIFS(Fact_Pipeline!$K:$K,Fact_Pipeline!$B:$B,$A433,Fact_Pipeline!$J:$J,"Won",Fact_Pipeline!$I:$I,"&gt;="&amp;B433,Fact_Pipeline!$I:$I,"&lt;"&amp;EDATE(B433,1))</f>
        <v>16800</v>
      </c>
      <c r="F433" s="66" t="b">
        <f>AND(D433&gt;0,IFERROR(E433/D433&gt;=G6,FALSE()))</f>
        <v>1</v>
      </c>
      <c r="G433" s="65">
        <f t="shared" si="35"/>
        <v>477</v>
      </c>
      <c r="H433" s="65">
        <f>IF(F433,MAX(0,MIN(E433,I6*D433)-D433)*IFERROR(INDEX($C$158:$C$161,MATCH(C433,$A$158:$A$161,0)),0),0)</f>
        <v>45</v>
      </c>
      <c r="I433" s="65">
        <f>IF(F433,MAX(0,E433-I6*D433)*IFERROR(INDEX($D$158:$D$161,MATCH(C433,$A$158:$A$161,0)),0),0)</f>
        <v>0</v>
      </c>
      <c r="J433" s="65">
        <f t="shared" si="36"/>
        <v>522</v>
      </c>
    </row>
    <row r="434" spans="1:10" ht="15" customHeight="1" outlineLevel="1" x14ac:dyDescent="0.2">
      <c r="A434" s="63" t="str">
        <f t="shared" ref="A434:A457" si="37">$A$174</f>
        <v>R007</v>
      </c>
      <c r="B434" s="64">
        <f>$A$1421</f>
        <v>45292</v>
      </c>
      <c r="C434" s="63" t="str">
        <f t="shared" ref="C434:C457" si="38">$C$174</f>
        <v>SDR / Inside Sales Rep</v>
      </c>
      <c r="D434" s="62">
        <f>SUMIFS(Fact_Quota!$D:$D,Fact_Quota!$A:$A,$A434,Fact_Quota!$B:$B,"&gt;="&amp;B434,Fact_Quota!$B:$B,"&lt;"&amp;EDATE(B434,1))</f>
        <v>0</v>
      </c>
      <c r="E434" s="62">
        <f>SUMIFS(Fact_Pipeline!$K:$K,Fact_Pipeline!$B:$B,$A434,Fact_Pipeline!$J:$J,"Won",Fact_Pipeline!$I:$I,"&gt;="&amp;B434,Fact_Pipeline!$I:$I,"&lt;"&amp;EDATE(B434,1))</f>
        <v>0</v>
      </c>
      <c r="F434" s="63" t="b">
        <f>AND(D434&gt;0,IFERROR(E434/D434&gt;=G6,FALSE()))</f>
        <v>0</v>
      </c>
      <c r="G434" s="62">
        <f t="shared" si="35"/>
        <v>0</v>
      </c>
      <c r="H434" s="62">
        <f>IF(F434,MAX(0,MIN(E434,I6*D434)-D434)*IFERROR(INDEX($C$158:$C$161,MATCH(C434,$A$158:$A$161,0)),0),0)</f>
        <v>0</v>
      </c>
      <c r="I434" s="62">
        <f>IF(F434,MAX(0,E434-I6*D434)*IFERROR(INDEX($D$158:$D$161,MATCH(C434,$A$158:$A$161,0)),0),0)</f>
        <v>0</v>
      </c>
      <c r="J434" s="62">
        <f t="shared" si="36"/>
        <v>0</v>
      </c>
    </row>
    <row r="435" spans="1:10" ht="15" customHeight="1" outlineLevel="1" x14ac:dyDescent="0.2">
      <c r="A435" s="63" t="str">
        <f t="shared" si="37"/>
        <v>R007</v>
      </c>
      <c r="B435" s="64">
        <f>$A$1422</f>
        <v>45323</v>
      </c>
      <c r="C435" s="63" t="str">
        <f t="shared" si="38"/>
        <v>SDR / Inside Sales Rep</v>
      </c>
      <c r="D435" s="62">
        <f>SUMIFS(Fact_Quota!$D:$D,Fact_Quota!$A:$A,$A435,Fact_Quota!$B:$B,"&gt;="&amp;B435,Fact_Quota!$B:$B,"&lt;"&amp;EDATE(B435,1))</f>
        <v>0</v>
      </c>
      <c r="E435" s="62">
        <f>SUMIFS(Fact_Pipeline!$K:$K,Fact_Pipeline!$B:$B,$A435,Fact_Pipeline!$J:$J,"Won",Fact_Pipeline!$I:$I,"&gt;="&amp;B435,Fact_Pipeline!$I:$I,"&lt;"&amp;EDATE(B435,1))</f>
        <v>0</v>
      </c>
      <c r="F435" s="63" t="b">
        <f>AND(D435&gt;0,IFERROR(E435/D435&gt;=G6,FALSE()))</f>
        <v>0</v>
      </c>
      <c r="G435" s="62">
        <f t="shared" si="35"/>
        <v>0</v>
      </c>
      <c r="H435" s="62">
        <f>IF(F435,MAX(0,MIN(E435,I6*D435)-D435)*IFERROR(INDEX($C$158:$C$161,MATCH(C435,$A$158:$A$161,0)),0),0)</f>
        <v>0</v>
      </c>
      <c r="I435" s="62">
        <f>IF(F435,MAX(0,E435-I6*D435)*IFERROR(INDEX($D$158:$D$161,MATCH(C435,$A$158:$A$161,0)),0),0)</f>
        <v>0</v>
      </c>
      <c r="J435" s="62">
        <f t="shared" si="36"/>
        <v>0</v>
      </c>
    </row>
    <row r="436" spans="1:10" ht="15" customHeight="1" outlineLevel="1" x14ac:dyDescent="0.2">
      <c r="A436" s="63" t="str">
        <f t="shared" si="37"/>
        <v>R007</v>
      </c>
      <c r="B436" s="64">
        <f>$A$1423</f>
        <v>45352</v>
      </c>
      <c r="C436" s="63" t="str">
        <f t="shared" si="38"/>
        <v>SDR / Inside Sales Rep</v>
      </c>
      <c r="D436" s="62">
        <f>SUMIFS(Fact_Quota!$D:$D,Fact_Quota!$A:$A,$A436,Fact_Quota!$B:$B,"&gt;="&amp;B436,Fact_Quota!$B:$B,"&lt;"&amp;EDATE(B436,1))</f>
        <v>0</v>
      </c>
      <c r="E436" s="62">
        <f>SUMIFS(Fact_Pipeline!$K:$K,Fact_Pipeline!$B:$B,$A436,Fact_Pipeline!$J:$J,"Won",Fact_Pipeline!$I:$I,"&gt;="&amp;B436,Fact_Pipeline!$I:$I,"&lt;"&amp;EDATE(B436,1))</f>
        <v>0</v>
      </c>
      <c r="F436" s="63" t="b">
        <f>AND(D436&gt;0,IFERROR(E436/D436&gt;=G6,FALSE()))</f>
        <v>0</v>
      </c>
      <c r="G436" s="62">
        <f t="shared" si="35"/>
        <v>0</v>
      </c>
      <c r="H436" s="62">
        <f>IF(F436,MAX(0,MIN(E436,I6*D436)-D436)*IFERROR(INDEX($C$158:$C$161,MATCH(C436,$A$158:$A$161,0)),0),0)</f>
        <v>0</v>
      </c>
      <c r="I436" s="62">
        <f>IF(F436,MAX(0,E436-I6*D436)*IFERROR(INDEX($D$158:$D$161,MATCH(C436,$A$158:$A$161,0)),0),0)</f>
        <v>0</v>
      </c>
      <c r="J436" s="62">
        <f t="shared" si="36"/>
        <v>0</v>
      </c>
    </row>
    <row r="437" spans="1:10" ht="15" customHeight="1" outlineLevel="1" x14ac:dyDescent="0.2">
      <c r="A437" s="63" t="str">
        <f t="shared" si="37"/>
        <v>R007</v>
      </c>
      <c r="B437" s="64">
        <f>$A$1424</f>
        <v>45383</v>
      </c>
      <c r="C437" s="63" t="str">
        <f t="shared" si="38"/>
        <v>SDR / Inside Sales Rep</v>
      </c>
      <c r="D437" s="62">
        <f>SUMIFS(Fact_Quota!$D:$D,Fact_Quota!$A:$A,$A437,Fact_Quota!$B:$B,"&gt;="&amp;B437,Fact_Quota!$B:$B,"&lt;"&amp;EDATE(B437,1))</f>
        <v>0</v>
      </c>
      <c r="E437" s="62">
        <f>SUMIFS(Fact_Pipeline!$K:$K,Fact_Pipeline!$B:$B,$A437,Fact_Pipeline!$J:$J,"Won",Fact_Pipeline!$I:$I,"&gt;="&amp;B437,Fact_Pipeline!$I:$I,"&lt;"&amp;EDATE(B437,1))</f>
        <v>0</v>
      </c>
      <c r="F437" s="63" t="b">
        <f>AND(D437&gt;0,IFERROR(E437/D437&gt;=G6,FALSE()))</f>
        <v>0</v>
      </c>
      <c r="G437" s="62">
        <f t="shared" si="35"/>
        <v>0</v>
      </c>
      <c r="H437" s="62">
        <f>IF(F437,MAX(0,MIN(E437,I6*D437)-D437)*IFERROR(INDEX($C$158:$C$161,MATCH(C437,$A$158:$A$161,0)),0),0)</f>
        <v>0</v>
      </c>
      <c r="I437" s="62">
        <f>IF(F437,MAX(0,E437-I6*D437)*IFERROR(INDEX($D$158:$D$161,MATCH(C437,$A$158:$A$161,0)),0),0)</f>
        <v>0</v>
      </c>
      <c r="J437" s="62">
        <f t="shared" si="36"/>
        <v>0</v>
      </c>
    </row>
    <row r="438" spans="1:10" ht="15" customHeight="1" outlineLevel="1" x14ac:dyDescent="0.2">
      <c r="A438" s="63" t="str">
        <f t="shared" si="37"/>
        <v>R007</v>
      </c>
      <c r="B438" s="64">
        <f>$A$1425</f>
        <v>45413</v>
      </c>
      <c r="C438" s="63" t="str">
        <f t="shared" si="38"/>
        <v>SDR / Inside Sales Rep</v>
      </c>
      <c r="D438" s="62">
        <f>SUMIFS(Fact_Quota!$D:$D,Fact_Quota!$A:$A,$A438,Fact_Quota!$B:$B,"&gt;="&amp;B438,Fact_Quota!$B:$B,"&lt;"&amp;EDATE(B438,1))</f>
        <v>0</v>
      </c>
      <c r="E438" s="62">
        <f>SUMIFS(Fact_Pipeline!$K:$K,Fact_Pipeline!$B:$B,$A438,Fact_Pipeline!$J:$J,"Won",Fact_Pipeline!$I:$I,"&gt;="&amp;B438,Fact_Pipeline!$I:$I,"&lt;"&amp;EDATE(B438,1))</f>
        <v>0</v>
      </c>
      <c r="F438" s="63" t="b">
        <f>AND(D438&gt;0,IFERROR(E438/D438&gt;=G6,FALSE()))</f>
        <v>0</v>
      </c>
      <c r="G438" s="62">
        <f t="shared" si="35"/>
        <v>0</v>
      </c>
      <c r="H438" s="62">
        <f>IF(F438,MAX(0,MIN(E438,I6*D438)-D438)*IFERROR(INDEX($C$158:$C$161,MATCH(C438,$A$158:$A$161,0)),0),0)</f>
        <v>0</v>
      </c>
      <c r="I438" s="62">
        <f>IF(F438,MAX(0,E438-I6*D438)*IFERROR(INDEX($D$158:$D$161,MATCH(C438,$A$158:$A$161,0)),0),0)</f>
        <v>0</v>
      </c>
      <c r="J438" s="62">
        <f t="shared" si="36"/>
        <v>0</v>
      </c>
    </row>
    <row r="439" spans="1:10" ht="15" customHeight="1" outlineLevel="1" x14ac:dyDescent="0.2">
      <c r="A439" s="63" t="str">
        <f t="shared" si="37"/>
        <v>R007</v>
      </c>
      <c r="B439" s="64">
        <f>$A$1426</f>
        <v>45444</v>
      </c>
      <c r="C439" s="63" t="str">
        <f t="shared" si="38"/>
        <v>SDR / Inside Sales Rep</v>
      </c>
      <c r="D439" s="62">
        <f>SUMIFS(Fact_Quota!$D:$D,Fact_Quota!$A:$A,$A439,Fact_Quota!$B:$B,"&gt;="&amp;B439,Fact_Quota!$B:$B,"&lt;"&amp;EDATE(B439,1))</f>
        <v>0</v>
      </c>
      <c r="E439" s="62">
        <f>SUMIFS(Fact_Pipeline!$K:$K,Fact_Pipeline!$B:$B,$A439,Fact_Pipeline!$J:$J,"Won",Fact_Pipeline!$I:$I,"&gt;="&amp;B439,Fact_Pipeline!$I:$I,"&lt;"&amp;EDATE(B439,1))</f>
        <v>0</v>
      </c>
      <c r="F439" s="63" t="b">
        <f>AND(D439&gt;0,IFERROR(E439/D439&gt;=G6,FALSE()))</f>
        <v>0</v>
      </c>
      <c r="G439" s="62">
        <f t="shared" si="35"/>
        <v>0</v>
      </c>
      <c r="H439" s="62">
        <f>IF(F439,MAX(0,MIN(E439,I6*D439)-D439)*IFERROR(INDEX($C$158:$C$161,MATCH(C439,$A$158:$A$161,0)),0),0)</f>
        <v>0</v>
      </c>
      <c r="I439" s="62">
        <f>IF(F439,MAX(0,E439-I6*D439)*IFERROR(INDEX($D$158:$D$161,MATCH(C439,$A$158:$A$161,0)),0),0)</f>
        <v>0</v>
      </c>
      <c r="J439" s="62">
        <f t="shared" si="36"/>
        <v>0</v>
      </c>
    </row>
    <row r="440" spans="1:10" ht="15" customHeight="1" outlineLevel="1" x14ac:dyDescent="0.2">
      <c r="A440" s="63" t="str">
        <f t="shared" si="37"/>
        <v>R007</v>
      </c>
      <c r="B440" s="64">
        <f>$A$1427</f>
        <v>45474</v>
      </c>
      <c r="C440" s="63" t="str">
        <f t="shared" si="38"/>
        <v>SDR / Inside Sales Rep</v>
      </c>
      <c r="D440" s="62">
        <f>SUMIFS(Fact_Quota!$D:$D,Fact_Quota!$A:$A,$A440,Fact_Quota!$B:$B,"&gt;="&amp;B440,Fact_Quota!$B:$B,"&lt;"&amp;EDATE(B440,1))</f>
        <v>0</v>
      </c>
      <c r="E440" s="62">
        <f>SUMIFS(Fact_Pipeline!$K:$K,Fact_Pipeline!$B:$B,$A440,Fact_Pipeline!$J:$J,"Won",Fact_Pipeline!$I:$I,"&gt;="&amp;B440,Fact_Pipeline!$I:$I,"&lt;"&amp;EDATE(B440,1))</f>
        <v>0</v>
      </c>
      <c r="F440" s="63" t="b">
        <f>AND(D440&gt;0,IFERROR(E440/D440&gt;=G6,FALSE()))</f>
        <v>0</v>
      </c>
      <c r="G440" s="62">
        <f t="shared" si="35"/>
        <v>0</v>
      </c>
      <c r="H440" s="62">
        <f>IF(F440,MAX(0,MIN(E440,I6*D440)-D440)*IFERROR(INDEX($C$158:$C$161,MATCH(C440,$A$158:$A$161,0)),0),0)</f>
        <v>0</v>
      </c>
      <c r="I440" s="62">
        <f>IF(F440,MAX(0,E440-I6*D440)*IFERROR(INDEX($D$158:$D$161,MATCH(C440,$A$158:$A$161,0)),0),0)</f>
        <v>0</v>
      </c>
      <c r="J440" s="62">
        <f t="shared" si="36"/>
        <v>0</v>
      </c>
    </row>
    <row r="441" spans="1:10" ht="15" customHeight="1" outlineLevel="1" x14ac:dyDescent="0.2">
      <c r="A441" s="63" t="str">
        <f t="shared" si="37"/>
        <v>R007</v>
      </c>
      <c r="B441" s="64">
        <f>$A$1428</f>
        <v>45505</v>
      </c>
      <c r="C441" s="63" t="str">
        <f t="shared" si="38"/>
        <v>SDR / Inside Sales Rep</v>
      </c>
      <c r="D441" s="62">
        <f>SUMIFS(Fact_Quota!$D:$D,Fact_Quota!$A:$A,$A441,Fact_Quota!$B:$B,"&gt;="&amp;B441,Fact_Quota!$B:$B,"&lt;"&amp;EDATE(B441,1))</f>
        <v>0</v>
      </c>
      <c r="E441" s="62">
        <f>SUMIFS(Fact_Pipeline!$K:$K,Fact_Pipeline!$B:$B,$A441,Fact_Pipeline!$J:$J,"Won",Fact_Pipeline!$I:$I,"&gt;="&amp;B441,Fact_Pipeline!$I:$I,"&lt;"&amp;EDATE(B441,1))</f>
        <v>0</v>
      </c>
      <c r="F441" s="63" t="b">
        <f>AND(D441&gt;0,IFERROR(E441/D441&gt;=G6,FALSE()))</f>
        <v>0</v>
      </c>
      <c r="G441" s="62">
        <f t="shared" si="35"/>
        <v>0</v>
      </c>
      <c r="H441" s="62">
        <f>IF(F441,MAX(0,MIN(E441,I6*D441)-D441)*IFERROR(INDEX($C$158:$C$161,MATCH(C441,$A$158:$A$161,0)),0),0)</f>
        <v>0</v>
      </c>
      <c r="I441" s="62">
        <f>IF(F441,MAX(0,E441-I6*D441)*IFERROR(INDEX($D$158:$D$161,MATCH(C441,$A$158:$A$161,0)),0),0)</f>
        <v>0</v>
      </c>
      <c r="J441" s="62">
        <f t="shared" si="36"/>
        <v>0</v>
      </c>
    </row>
    <row r="442" spans="1:10" ht="15" customHeight="1" outlineLevel="1" x14ac:dyDescent="0.2">
      <c r="A442" s="63" t="str">
        <f t="shared" si="37"/>
        <v>R007</v>
      </c>
      <c r="B442" s="64">
        <f>$A$1429</f>
        <v>45536</v>
      </c>
      <c r="C442" s="63" t="str">
        <f t="shared" si="38"/>
        <v>SDR / Inside Sales Rep</v>
      </c>
      <c r="D442" s="62">
        <f>SUMIFS(Fact_Quota!$D:$D,Fact_Quota!$A:$A,$A442,Fact_Quota!$B:$B,"&gt;="&amp;B442,Fact_Quota!$B:$B,"&lt;"&amp;EDATE(B442,1))</f>
        <v>0</v>
      </c>
      <c r="E442" s="62">
        <f>SUMIFS(Fact_Pipeline!$K:$K,Fact_Pipeline!$B:$B,$A442,Fact_Pipeline!$J:$J,"Won",Fact_Pipeline!$I:$I,"&gt;="&amp;B442,Fact_Pipeline!$I:$I,"&lt;"&amp;EDATE(B442,1))</f>
        <v>0</v>
      </c>
      <c r="F442" s="63" t="b">
        <f>AND(D442&gt;0,IFERROR(E442/D442&gt;=G6,FALSE()))</f>
        <v>0</v>
      </c>
      <c r="G442" s="62">
        <f t="shared" si="35"/>
        <v>0</v>
      </c>
      <c r="H442" s="62">
        <f>IF(F442,MAX(0,MIN(E442,I6*D442)-D442)*IFERROR(INDEX($C$158:$C$161,MATCH(C442,$A$158:$A$161,0)),0),0)</f>
        <v>0</v>
      </c>
      <c r="I442" s="62">
        <f>IF(F442,MAX(0,E442-I6*D442)*IFERROR(INDEX($D$158:$D$161,MATCH(C442,$A$158:$A$161,0)),0),0)</f>
        <v>0</v>
      </c>
      <c r="J442" s="62">
        <f t="shared" si="36"/>
        <v>0</v>
      </c>
    </row>
    <row r="443" spans="1:10" ht="15" customHeight="1" outlineLevel="1" x14ac:dyDescent="0.2">
      <c r="A443" s="63" t="str">
        <f t="shared" si="37"/>
        <v>R007</v>
      </c>
      <c r="B443" s="64">
        <f>$A$1430</f>
        <v>45566</v>
      </c>
      <c r="C443" s="63" t="str">
        <f t="shared" si="38"/>
        <v>SDR / Inside Sales Rep</v>
      </c>
      <c r="D443" s="62">
        <f>SUMIFS(Fact_Quota!$D:$D,Fact_Quota!$A:$A,$A443,Fact_Quota!$B:$B,"&gt;="&amp;B443,Fact_Quota!$B:$B,"&lt;"&amp;EDATE(B443,1))</f>
        <v>0</v>
      </c>
      <c r="E443" s="62">
        <f>SUMIFS(Fact_Pipeline!$K:$K,Fact_Pipeline!$B:$B,$A443,Fact_Pipeline!$J:$J,"Won",Fact_Pipeline!$I:$I,"&gt;="&amp;B443,Fact_Pipeline!$I:$I,"&lt;"&amp;EDATE(B443,1))</f>
        <v>0</v>
      </c>
      <c r="F443" s="63" t="b">
        <f>AND(D443&gt;0,IFERROR(E443/D443&gt;=G6,FALSE()))</f>
        <v>0</v>
      </c>
      <c r="G443" s="62">
        <f t="shared" si="35"/>
        <v>0</v>
      </c>
      <c r="H443" s="62">
        <f>IF(F443,MAX(0,MIN(E443,I6*D443)-D443)*IFERROR(INDEX($C$158:$C$161,MATCH(C443,$A$158:$A$161,0)),0),0)</f>
        <v>0</v>
      </c>
      <c r="I443" s="62">
        <f>IF(F443,MAX(0,E443-I6*D443)*IFERROR(INDEX($D$158:$D$161,MATCH(C443,$A$158:$A$161,0)),0),0)</f>
        <v>0</v>
      </c>
      <c r="J443" s="62">
        <f t="shared" si="36"/>
        <v>0</v>
      </c>
    </row>
    <row r="444" spans="1:10" ht="15" customHeight="1" outlineLevel="1" x14ac:dyDescent="0.2">
      <c r="A444" s="63" t="str">
        <f t="shared" si="37"/>
        <v>R007</v>
      </c>
      <c r="B444" s="64">
        <f>$A$1431</f>
        <v>45597</v>
      </c>
      <c r="C444" s="63" t="str">
        <f t="shared" si="38"/>
        <v>SDR / Inside Sales Rep</v>
      </c>
      <c r="D444" s="62">
        <f>SUMIFS(Fact_Quota!$D:$D,Fact_Quota!$A:$A,$A444,Fact_Quota!$B:$B,"&gt;="&amp;B444,Fact_Quota!$B:$B,"&lt;"&amp;EDATE(B444,1))</f>
        <v>0</v>
      </c>
      <c r="E444" s="62">
        <f>SUMIFS(Fact_Pipeline!$K:$K,Fact_Pipeline!$B:$B,$A444,Fact_Pipeline!$J:$J,"Won",Fact_Pipeline!$I:$I,"&gt;="&amp;B444,Fact_Pipeline!$I:$I,"&lt;"&amp;EDATE(B444,1))</f>
        <v>0</v>
      </c>
      <c r="F444" s="63" t="b">
        <f>AND(D444&gt;0,IFERROR(E444/D444&gt;=G6,FALSE()))</f>
        <v>0</v>
      </c>
      <c r="G444" s="62">
        <f t="shared" si="35"/>
        <v>0</v>
      </c>
      <c r="H444" s="62">
        <f>IF(F444,MAX(0,MIN(E444,I6*D444)-D444)*IFERROR(INDEX($C$158:$C$161,MATCH(C444,$A$158:$A$161,0)),0),0)</f>
        <v>0</v>
      </c>
      <c r="I444" s="62">
        <f>IF(F444,MAX(0,E444-I6*D444)*IFERROR(INDEX($D$158:$D$161,MATCH(C444,$A$158:$A$161,0)),0),0)</f>
        <v>0</v>
      </c>
      <c r="J444" s="62">
        <f t="shared" si="36"/>
        <v>0</v>
      </c>
    </row>
    <row r="445" spans="1:10" ht="15" customHeight="1" outlineLevel="1" x14ac:dyDescent="0.2">
      <c r="A445" s="63" t="str">
        <f t="shared" si="37"/>
        <v>R007</v>
      </c>
      <c r="B445" s="64">
        <f>$A$1432</f>
        <v>45627</v>
      </c>
      <c r="C445" s="63" t="str">
        <f t="shared" si="38"/>
        <v>SDR / Inside Sales Rep</v>
      </c>
      <c r="D445" s="62">
        <f>SUMIFS(Fact_Quota!$D:$D,Fact_Quota!$A:$A,$A445,Fact_Quota!$B:$B,"&gt;="&amp;B445,Fact_Quota!$B:$B,"&lt;"&amp;EDATE(B445,1))</f>
        <v>0</v>
      </c>
      <c r="E445" s="62">
        <f>SUMIFS(Fact_Pipeline!$K:$K,Fact_Pipeline!$B:$B,$A445,Fact_Pipeline!$J:$J,"Won",Fact_Pipeline!$I:$I,"&gt;="&amp;B445,Fact_Pipeline!$I:$I,"&lt;"&amp;EDATE(B445,1))</f>
        <v>0</v>
      </c>
      <c r="F445" s="63" t="b">
        <f>AND(D445&gt;0,IFERROR(E445/D445&gt;=G6,FALSE()))</f>
        <v>0</v>
      </c>
      <c r="G445" s="62">
        <f t="shared" si="35"/>
        <v>0</v>
      </c>
      <c r="H445" s="62">
        <f>IF(F445,MAX(0,MIN(E445,I6*D445)-D445)*IFERROR(INDEX($C$158:$C$161,MATCH(C445,$A$158:$A$161,0)),0),0)</f>
        <v>0</v>
      </c>
      <c r="I445" s="62">
        <f>IF(F445,MAX(0,E445-I6*D445)*IFERROR(INDEX($D$158:$D$161,MATCH(C445,$A$158:$A$161,0)),0),0)</f>
        <v>0</v>
      </c>
      <c r="J445" s="62">
        <f t="shared" si="36"/>
        <v>0</v>
      </c>
    </row>
    <row r="446" spans="1:10" ht="15" customHeight="1" outlineLevel="1" x14ac:dyDescent="0.2">
      <c r="A446" s="63" t="str">
        <f t="shared" si="37"/>
        <v>R007</v>
      </c>
      <c r="B446" s="64">
        <f>$A$1433</f>
        <v>45658</v>
      </c>
      <c r="C446" s="63" t="str">
        <f t="shared" si="38"/>
        <v>SDR / Inside Sales Rep</v>
      </c>
      <c r="D446" s="62">
        <f>SUMIFS(Fact_Quota!$D:$D,Fact_Quota!$A:$A,$A446,Fact_Quota!$B:$B,"&gt;="&amp;B446,Fact_Quota!$B:$B,"&lt;"&amp;EDATE(B446,1))</f>
        <v>0</v>
      </c>
      <c r="E446" s="62">
        <f>SUMIFS(Fact_Pipeline!$K:$K,Fact_Pipeline!$B:$B,$A446,Fact_Pipeline!$J:$J,"Won",Fact_Pipeline!$I:$I,"&gt;="&amp;B446,Fact_Pipeline!$I:$I,"&lt;"&amp;EDATE(B446,1))</f>
        <v>0</v>
      </c>
      <c r="F446" s="63" t="b">
        <f>AND(D446&gt;0,IFERROR(E446/D446&gt;=G6,FALSE()))</f>
        <v>0</v>
      </c>
      <c r="G446" s="62">
        <f t="shared" si="35"/>
        <v>0</v>
      </c>
      <c r="H446" s="62">
        <f>IF(F446,MAX(0,MIN(E446,I6*D446)-D446)*IFERROR(INDEX($C$158:$C$161,MATCH(C446,$A$158:$A$161,0)),0),0)</f>
        <v>0</v>
      </c>
      <c r="I446" s="62">
        <f>IF(F446,MAX(0,E446-I6*D446)*IFERROR(INDEX($D$158:$D$161,MATCH(C446,$A$158:$A$161,0)),0),0)</f>
        <v>0</v>
      </c>
      <c r="J446" s="62">
        <f t="shared" si="36"/>
        <v>0</v>
      </c>
    </row>
    <row r="447" spans="1:10" ht="15" customHeight="1" outlineLevel="1" x14ac:dyDescent="0.2">
      <c r="A447" s="63" t="str">
        <f t="shared" si="37"/>
        <v>R007</v>
      </c>
      <c r="B447" s="64">
        <f>$A$1434</f>
        <v>45689</v>
      </c>
      <c r="C447" s="63" t="str">
        <f t="shared" si="38"/>
        <v>SDR / Inside Sales Rep</v>
      </c>
      <c r="D447" s="62">
        <f>SUMIFS(Fact_Quota!$D:$D,Fact_Quota!$A:$A,$A447,Fact_Quota!$B:$B,"&gt;="&amp;B447,Fact_Quota!$B:$B,"&lt;"&amp;EDATE(B447,1))</f>
        <v>0</v>
      </c>
      <c r="E447" s="62">
        <f>SUMIFS(Fact_Pipeline!$K:$K,Fact_Pipeline!$B:$B,$A447,Fact_Pipeline!$J:$J,"Won",Fact_Pipeline!$I:$I,"&gt;="&amp;B447,Fact_Pipeline!$I:$I,"&lt;"&amp;EDATE(B447,1))</f>
        <v>0</v>
      </c>
      <c r="F447" s="63" t="b">
        <f>AND(D447&gt;0,IFERROR(E447/D447&gt;=G6,FALSE()))</f>
        <v>0</v>
      </c>
      <c r="G447" s="62">
        <f t="shared" si="35"/>
        <v>0</v>
      </c>
      <c r="H447" s="62">
        <f>IF(F447,MAX(0,MIN(E447,I6*D447)-D447)*IFERROR(INDEX($C$158:$C$161,MATCH(C447,$A$158:$A$161,0)),0),0)</f>
        <v>0</v>
      </c>
      <c r="I447" s="62">
        <f>IF(F447,MAX(0,E447-I6*D447)*IFERROR(INDEX($D$158:$D$161,MATCH(C447,$A$158:$A$161,0)),0),0)</f>
        <v>0</v>
      </c>
      <c r="J447" s="62">
        <f t="shared" si="36"/>
        <v>0</v>
      </c>
    </row>
    <row r="448" spans="1:10" ht="15" customHeight="1" outlineLevel="1" x14ac:dyDescent="0.2">
      <c r="A448" s="63" t="str">
        <f t="shared" si="37"/>
        <v>R007</v>
      </c>
      <c r="B448" s="64">
        <f>$A$1435</f>
        <v>45717</v>
      </c>
      <c r="C448" s="63" t="str">
        <f t="shared" si="38"/>
        <v>SDR / Inside Sales Rep</v>
      </c>
      <c r="D448" s="62">
        <f>SUMIFS(Fact_Quota!$D:$D,Fact_Quota!$A:$A,$A448,Fact_Quota!$B:$B,"&gt;="&amp;B448,Fact_Quota!$B:$B,"&lt;"&amp;EDATE(B448,1))</f>
        <v>0</v>
      </c>
      <c r="E448" s="62">
        <f>SUMIFS(Fact_Pipeline!$K:$K,Fact_Pipeline!$B:$B,$A448,Fact_Pipeline!$J:$J,"Won",Fact_Pipeline!$I:$I,"&gt;="&amp;B448,Fact_Pipeline!$I:$I,"&lt;"&amp;EDATE(B448,1))</f>
        <v>0</v>
      </c>
      <c r="F448" s="63" t="b">
        <f>AND(D448&gt;0,IFERROR(E448/D448&gt;=G6,FALSE()))</f>
        <v>0</v>
      </c>
      <c r="G448" s="62">
        <f t="shared" si="35"/>
        <v>0</v>
      </c>
      <c r="H448" s="62">
        <f>IF(F448,MAX(0,MIN(E448,I6*D448)-D448)*IFERROR(INDEX($C$158:$C$161,MATCH(C448,$A$158:$A$161,0)),0),0)</f>
        <v>0</v>
      </c>
      <c r="I448" s="62">
        <f>IF(F448,MAX(0,E448-I6*D448)*IFERROR(INDEX($D$158:$D$161,MATCH(C448,$A$158:$A$161,0)),0),0)</f>
        <v>0</v>
      </c>
      <c r="J448" s="62">
        <f t="shared" si="36"/>
        <v>0</v>
      </c>
    </row>
    <row r="449" spans="1:10" ht="15" customHeight="1" outlineLevel="1" x14ac:dyDescent="0.2">
      <c r="A449" s="63" t="str">
        <f t="shared" si="37"/>
        <v>R007</v>
      </c>
      <c r="B449" s="64">
        <f>$A$1436</f>
        <v>45748</v>
      </c>
      <c r="C449" s="63" t="str">
        <f t="shared" si="38"/>
        <v>SDR / Inside Sales Rep</v>
      </c>
      <c r="D449" s="62">
        <f>SUMIFS(Fact_Quota!$D:$D,Fact_Quota!$A:$A,$A449,Fact_Quota!$B:$B,"&gt;="&amp;B449,Fact_Quota!$B:$B,"&lt;"&amp;EDATE(B449,1))</f>
        <v>0</v>
      </c>
      <c r="E449" s="62">
        <f>SUMIFS(Fact_Pipeline!$K:$K,Fact_Pipeline!$B:$B,$A449,Fact_Pipeline!$J:$J,"Won",Fact_Pipeline!$I:$I,"&gt;="&amp;B449,Fact_Pipeline!$I:$I,"&lt;"&amp;EDATE(B449,1))</f>
        <v>0</v>
      </c>
      <c r="F449" s="63" t="b">
        <f>AND(D449&gt;0,IFERROR(E449/D449&gt;=G6,FALSE()))</f>
        <v>0</v>
      </c>
      <c r="G449" s="62">
        <f t="shared" si="35"/>
        <v>0</v>
      </c>
      <c r="H449" s="62">
        <f>IF(F449,MAX(0,MIN(E449,I6*D449)-D449)*IFERROR(INDEX($C$158:$C$161,MATCH(C449,$A$158:$A$161,0)),0),0)</f>
        <v>0</v>
      </c>
      <c r="I449" s="62">
        <f>IF(F449,MAX(0,E449-I6*D449)*IFERROR(INDEX($D$158:$D$161,MATCH(C449,$A$158:$A$161,0)),0),0)</f>
        <v>0</v>
      </c>
      <c r="J449" s="62">
        <f t="shared" si="36"/>
        <v>0</v>
      </c>
    </row>
    <row r="450" spans="1:10" ht="15" customHeight="1" outlineLevel="1" x14ac:dyDescent="0.2">
      <c r="A450" s="63" t="str">
        <f t="shared" si="37"/>
        <v>R007</v>
      </c>
      <c r="B450" s="64">
        <f>$A$1437</f>
        <v>45778</v>
      </c>
      <c r="C450" s="63" t="str">
        <f t="shared" si="38"/>
        <v>SDR / Inside Sales Rep</v>
      </c>
      <c r="D450" s="62">
        <f>SUMIFS(Fact_Quota!$D:$D,Fact_Quota!$A:$A,$A450,Fact_Quota!$B:$B,"&gt;="&amp;B450,Fact_Quota!$B:$B,"&lt;"&amp;EDATE(B450,1))</f>
        <v>0</v>
      </c>
      <c r="E450" s="62">
        <f>SUMIFS(Fact_Pipeline!$K:$K,Fact_Pipeline!$B:$B,$A450,Fact_Pipeline!$J:$J,"Won",Fact_Pipeline!$I:$I,"&gt;="&amp;B450,Fact_Pipeline!$I:$I,"&lt;"&amp;EDATE(B450,1))</f>
        <v>0</v>
      </c>
      <c r="F450" s="63" t="b">
        <f>AND(D450&gt;0,IFERROR(E450/D450&gt;=G6,FALSE()))</f>
        <v>0</v>
      </c>
      <c r="G450" s="62">
        <f t="shared" si="35"/>
        <v>0</v>
      </c>
      <c r="H450" s="62">
        <f>IF(F450,MAX(0,MIN(E450,I6*D450)-D450)*IFERROR(INDEX($C$158:$C$161,MATCH(C450,$A$158:$A$161,0)),0),0)</f>
        <v>0</v>
      </c>
      <c r="I450" s="62">
        <f>IF(F450,MAX(0,E450-I6*D450)*IFERROR(INDEX($D$158:$D$161,MATCH(C450,$A$158:$A$161,0)),0),0)</f>
        <v>0</v>
      </c>
      <c r="J450" s="62">
        <f t="shared" si="36"/>
        <v>0</v>
      </c>
    </row>
    <row r="451" spans="1:10" ht="15" customHeight="1" outlineLevel="1" x14ac:dyDescent="0.2">
      <c r="A451" s="63" t="str">
        <f t="shared" si="37"/>
        <v>R007</v>
      </c>
      <c r="B451" s="64">
        <f>$A$1438</f>
        <v>45809</v>
      </c>
      <c r="C451" s="63" t="str">
        <f t="shared" si="38"/>
        <v>SDR / Inside Sales Rep</v>
      </c>
      <c r="D451" s="62">
        <f>SUMIFS(Fact_Quota!$D:$D,Fact_Quota!$A:$A,$A451,Fact_Quota!$B:$B,"&gt;="&amp;B451,Fact_Quota!$B:$B,"&lt;"&amp;EDATE(B451,1))</f>
        <v>0</v>
      </c>
      <c r="E451" s="62">
        <f>SUMIFS(Fact_Pipeline!$K:$K,Fact_Pipeline!$B:$B,$A451,Fact_Pipeline!$J:$J,"Won",Fact_Pipeline!$I:$I,"&gt;="&amp;B451,Fact_Pipeline!$I:$I,"&lt;"&amp;EDATE(B451,1))</f>
        <v>0</v>
      </c>
      <c r="F451" s="63" t="b">
        <f>AND(D451&gt;0,IFERROR(E451/D451&gt;=G6,FALSE()))</f>
        <v>0</v>
      </c>
      <c r="G451" s="62">
        <f t="shared" si="35"/>
        <v>0</v>
      </c>
      <c r="H451" s="62">
        <f>IF(F451,MAX(0,MIN(E451,I6*D451)-D451)*IFERROR(INDEX($C$158:$C$161,MATCH(C451,$A$158:$A$161,0)),0),0)</f>
        <v>0</v>
      </c>
      <c r="I451" s="62">
        <f>IF(F451,MAX(0,E451-I6*D451)*IFERROR(INDEX($D$158:$D$161,MATCH(C451,$A$158:$A$161,0)),0),0)</f>
        <v>0</v>
      </c>
      <c r="J451" s="62">
        <f t="shared" si="36"/>
        <v>0</v>
      </c>
    </row>
    <row r="452" spans="1:10" ht="15" customHeight="1" outlineLevel="1" x14ac:dyDescent="0.2">
      <c r="A452" s="63" t="str">
        <f t="shared" si="37"/>
        <v>R007</v>
      </c>
      <c r="B452" s="64">
        <f>$A$1439</f>
        <v>45839</v>
      </c>
      <c r="C452" s="63" t="str">
        <f t="shared" si="38"/>
        <v>SDR / Inside Sales Rep</v>
      </c>
      <c r="D452" s="62">
        <f>SUMIFS(Fact_Quota!$D:$D,Fact_Quota!$A:$A,$A452,Fact_Quota!$B:$B,"&gt;="&amp;B452,Fact_Quota!$B:$B,"&lt;"&amp;EDATE(B452,1))</f>
        <v>3700</v>
      </c>
      <c r="E452" s="62">
        <f>SUMIFS(Fact_Pipeline!$K:$K,Fact_Pipeline!$B:$B,$A452,Fact_Pipeline!$J:$J,"Won",Fact_Pipeline!$I:$I,"&gt;="&amp;B452,Fact_Pipeline!$I:$I,"&lt;"&amp;EDATE(B452,1))</f>
        <v>0</v>
      </c>
      <c r="F452" s="63" t="b">
        <f>AND(D452&gt;0,IFERROR(E452/D452&gt;=G6,FALSE()))</f>
        <v>0</v>
      </c>
      <c r="G452" s="62">
        <f t="shared" si="35"/>
        <v>0</v>
      </c>
      <c r="H452" s="62">
        <f>IF(F452,MAX(0,MIN(E452,I6*D452)-D452)*IFERROR(INDEX($C$158:$C$161,MATCH(C452,$A$158:$A$161,0)),0),0)</f>
        <v>0</v>
      </c>
      <c r="I452" s="62">
        <f>IF(F452,MAX(0,E452-I6*D452)*IFERROR(INDEX($D$158:$D$161,MATCH(C452,$A$158:$A$161,0)),0),0)</f>
        <v>0</v>
      </c>
      <c r="J452" s="62">
        <f t="shared" si="36"/>
        <v>0</v>
      </c>
    </row>
    <row r="453" spans="1:10" ht="15" customHeight="1" outlineLevel="1" x14ac:dyDescent="0.2">
      <c r="A453" s="63" t="str">
        <f t="shared" si="37"/>
        <v>R007</v>
      </c>
      <c r="B453" s="64">
        <f>$A$1440</f>
        <v>45870</v>
      </c>
      <c r="C453" s="63" t="str">
        <f t="shared" si="38"/>
        <v>SDR / Inside Sales Rep</v>
      </c>
      <c r="D453" s="62">
        <f>SUMIFS(Fact_Quota!$D:$D,Fact_Quota!$A:$A,$A453,Fact_Quota!$B:$B,"&gt;="&amp;B453,Fact_Quota!$B:$B,"&lt;"&amp;EDATE(B453,1))</f>
        <v>7400</v>
      </c>
      <c r="E453" s="62">
        <f>SUMIFS(Fact_Pipeline!$K:$K,Fact_Pipeline!$B:$B,$A453,Fact_Pipeline!$J:$J,"Won",Fact_Pipeline!$I:$I,"&gt;="&amp;B453,Fact_Pipeline!$I:$I,"&lt;"&amp;EDATE(B453,1))</f>
        <v>5800</v>
      </c>
      <c r="F453" s="63" t="b">
        <f>AND(D453&gt;0,IFERROR(E453/D453&gt;=G6,FALSE()))</f>
        <v>1</v>
      </c>
      <c r="G453" s="62">
        <f t="shared" si="35"/>
        <v>174</v>
      </c>
      <c r="H453" s="62">
        <f>IF(F453,MAX(0,MIN(E453,I6*D453)-D453)*IFERROR(INDEX($C$158:$C$161,MATCH(C453,$A$158:$A$161,0)),0),0)</f>
        <v>0</v>
      </c>
      <c r="I453" s="62">
        <f>IF(F453,MAX(0,E453-I6*D453)*IFERROR(INDEX($D$158:$D$161,MATCH(C453,$A$158:$A$161,0)),0),0)</f>
        <v>0</v>
      </c>
      <c r="J453" s="62">
        <f t="shared" si="36"/>
        <v>174</v>
      </c>
    </row>
    <row r="454" spans="1:10" ht="15" customHeight="1" outlineLevel="1" x14ac:dyDescent="0.2">
      <c r="A454" s="63" t="str">
        <f t="shared" si="37"/>
        <v>R007</v>
      </c>
      <c r="B454" s="64">
        <f>$A$1441</f>
        <v>45901</v>
      </c>
      <c r="C454" s="63" t="str">
        <f t="shared" si="38"/>
        <v>SDR / Inside Sales Rep</v>
      </c>
      <c r="D454" s="62">
        <f>SUMIFS(Fact_Quota!$D:$D,Fact_Quota!$A:$A,$A454,Fact_Quota!$B:$B,"&gt;="&amp;B454,Fact_Quota!$B:$B,"&lt;"&amp;EDATE(B454,1))</f>
        <v>11800</v>
      </c>
      <c r="E454" s="62">
        <f>SUMIFS(Fact_Pipeline!$K:$K,Fact_Pipeline!$B:$B,$A454,Fact_Pipeline!$J:$J,"Won",Fact_Pipeline!$I:$I,"&gt;="&amp;B454,Fact_Pipeline!$I:$I,"&lt;"&amp;EDATE(B454,1))</f>
        <v>11400</v>
      </c>
      <c r="F454" s="63" t="b">
        <f>AND(D454&gt;0,IFERROR(E454/D454&gt;=G6,FALSE()))</f>
        <v>1</v>
      </c>
      <c r="G454" s="62">
        <f t="shared" si="35"/>
        <v>342</v>
      </c>
      <c r="H454" s="62">
        <f>IF(F454,MAX(0,MIN(E454,I6*D454)-D454)*IFERROR(INDEX($C$158:$C$161,MATCH(C454,$A$158:$A$161,0)),0),0)</f>
        <v>0</v>
      </c>
      <c r="I454" s="62">
        <f>IF(F454,MAX(0,E454-I6*D454)*IFERROR(INDEX($D$158:$D$161,MATCH(C454,$A$158:$A$161,0)),0),0)</f>
        <v>0</v>
      </c>
      <c r="J454" s="62">
        <f t="shared" si="36"/>
        <v>342</v>
      </c>
    </row>
    <row r="455" spans="1:10" ht="15" customHeight="1" outlineLevel="1" x14ac:dyDescent="0.2">
      <c r="A455" s="63" t="str">
        <f t="shared" si="37"/>
        <v>R007</v>
      </c>
      <c r="B455" s="64">
        <f>$A$1442</f>
        <v>45931</v>
      </c>
      <c r="C455" s="63" t="str">
        <f t="shared" si="38"/>
        <v>SDR / Inside Sales Rep</v>
      </c>
      <c r="D455" s="62">
        <f>SUMIFS(Fact_Quota!$D:$D,Fact_Quota!$A:$A,$A455,Fact_Quota!$B:$B,"&gt;="&amp;B455,Fact_Quota!$B:$B,"&lt;"&amp;EDATE(B455,1))</f>
        <v>15600</v>
      </c>
      <c r="E455" s="62">
        <f>SUMIFS(Fact_Pipeline!$K:$K,Fact_Pipeline!$B:$B,$A455,Fact_Pipeline!$J:$J,"Won",Fact_Pipeline!$I:$I,"&gt;="&amp;B455,Fact_Pipeline!$I:$I,"&lt;"&amp;EDATE(B455,1))</f>
        <v>20000</v>
      </c>
      <c r="F455" s="63" t="b">
        <f>AND(D455&gt;0,IFERROR(E455/D455&gt;=G6,FALSE()))</f>
        <v>1</v>
      </c>
      <c r="G455" s="62">
        <f t="shared" si="35"/>
        <v>468</v>
      </c>
      <c r="H455" s="62">
        <f>IF(F455,MAX(0,MIN(E455,I6*D455)-D455)*IFERROR(INDEX($C$158:$C$161,MATCH(C455,$A$158:$A$161,0)),0),0)</f>
        <v>220</v>
      </c>
      <c r="I455" s="62">
        <f>IF(F455,MAX(0,E455-I6*D455)*IFERROR(INDEX($D$158:$D$161,MATCH(C455,$A$158:$A$161,0)),0),0)</f>
        <v>0</v>
      </c>
      <c r="J455" s="62">
        <f t="shared" si="36"/>
        <v>688</v>
      </c>
    </row>
    <row r="456" spans="1:10" ht="15" customHeight="1" outlineLevel="1" x14ac:dyDescent="0.2">
      <c r="A456" s="63" t="str">
        <f t="shared" si="37"/>
        <v>R007</v>
      </c>
      <c r="B456" s="64">
        <f>$A$1443</f>
        <v>45962</v>
      </c>
      <c r="C456" s="63" t="str">
        <f t="shared" si="38"/>
        <v>SDR / Inside Sales Rep</v>
      </c>
      <c r="D456" s="62">
        <f>SUMIFS(Fact_Quota!$D:$D,Fact_Quota!$A:$A,$A456,Fact_Quota!$B:$B,"&gt;="&amp;B456,Fact_Quota!$B:$B,"&lt;"&amp;EDATE(B456,1))</f>
        <v>15600</v>
      </c>
      <c r="E456" s="62">
        <f>SUMIFS(Fact_Pipeline!$K:$K,Fact_Pipeline!$B:$B,$A456,Fact_Pipeline!$J:$J,"Won",Fact_Pipeline!$I:$I,"&gt;="&amp;B456,Fact_Pipeline!$I:$I,"&lt;"&amp;EDATE(B456,1))</f>
        <v>16000</v>
      </c>
      <c r="F456" s="63" t="b">
        <f>AND(D456&gt;0,IFERROR(E456/D456&gt;=G6,FALSE()))</f>
        <v>1</v>
      </c>
      <c r="G456" s="62">
        <f t="shared" si="35"/>
        <v>468</v>
      </c>
      <c r="H456" s="62">
        <f>IF(F456,MAX(0,MIN(E456,I6*D456)-D456)*IFERROR(INDEX($C$158:$C$161,MATCH(C456,$A$158:$A$161,0)),0),0)</f>
        <v>20</v>
      </c>
      <c r="I456" s="62">
        <f>IF(F456,MAX(0,E456-I6*D456)*IFERROR(INDEX($D$158:$D$161,MATCH(C456,$A$158:$A$161,0)),0),0)</f>
        <v>0</v>
      </c>
      <c r="J456" s="62">
        <f t="shared" si="36"/>
        <v>488</v>
      </c>
    </row>
    <row r="457" spans="1:10" ht="15" customHeight="1" outlineLevel="1" x14ac:dyDescent="0.2">
      <c r="A457" s="63" t="str">
        <f t="shared" si="37"/>
        <v>R007</v>
      </c>
      <c r="B457" s="64">
        <f>$A$1444</f>
        <v>45992</v>
      </c>
      <c r="C457" s="63" t="str">
        <f t="shared" si="38"/>
        <v>SDR / Inside Sales Rep</v>
      </c>
      <c r="D457" s="62">
        <f>SUMIFS(Fact_Quota!$D:$D,Fact_Quota!$A:$A,$A457,Fact_Quota!$B:$B,"&gt;="&amp;B457,Fact_Quota!$B:$B,"&lt;"&amp;EDATE(B457,1))</f>
        <v>15700</v>
      </c>
      <c r="E457" s="62">
        <f>SUMIFS(Fact_Pipeline!$K:$K,Fact_Pipeline!$B:$B,$A457,Fact_Pipeline!$J:$J,"Won",Fact_Pipeline!$I:$I,"&gt;="&amp;B457,Fact_Pipeline!$I:$I,"&lt;"&amp;EDATE(B457,1))</f>
        <v>26400</v>
      </c>
      <c r="F457" s="63" t="b">
        <f>AND(D457&gt;0,IFERROR(E457/D457&gt;=G6,FALSE()))</f>
        <v>1</v>
      </c>
      <c r="G457" s="62">
        <f t="shared" si="35"/>
        <v>471</v>
      </c>
      <c r="H457" s="62">
        <f>IF(F457,MAX(0,MIN(E457,I6*D457)-D457)*IFERROR(INDEX($C$158:$C$161,MATCH(C457,$A$158:$A$161,0)),0),0)</f>
        <v>392.5</v>
      </c>
      <c r="I457" s="62">
        <f>IF(F457,MAX(0,E457-I6*D457)*IFERROR(INDEX($D$158:$D$161,MATCH(C457,$A$158:$A$161,0)),0),0)</f>
        <v>199.50000000000003</v>
      </c>
      <c r="J457" s="62">
        <f t="shared" si="36"/>
        <v>1063</v>
      </c>
    </row>
    <row r="458" spans="1:10" ht="15" customHeight="1" outlineLevel="1" x14ac:dyDescent="0.2">
      <c r="A458" s="66" t="str">
        <f t="shared" ref="A458:A481" si="39">$A$175</f>
        <v>R011</v>
      </c>
      <c r="B458" s="67">
        <f>$A$1421</f>
        <v>45292</v>
      </c>
      <c r="C458" s="66" t="str">
        <f t="shared" ref="C458:C481" si="40">$C$175</f>
        <v>SDR / Inside Sales Rep</v>
      </c>
      <c r="D458" s="65">
        <f>SUMIFS(Fact_Quota!$D:$D,Fact_Quota!$A:$A,$A458,Fact_Quota!$B:$B,"&gt;="&amp;B458,Fact_Quota!$B:$B,"&lt;"&amp;EDATE(B458,1))</f>
        <v>0</v>
      </c>
      <c r="E458" s="65">
        <f>SUMIFS(Fact_Pipeline!$K:$K,Fact_Pipeline!$B:$B,$A458,Fact_Pipeline!$J:$J,"Won",Fact_Pipeline!$I:$I,"&gt;="&amp;B458,Fact_Pipeline!$I:$I,"&lt;"&amp;EDATE(B458,1))</f>
        <v>0</v>
      </c>
      <c r="F458" s="66" t="b">
        <f>AND(D458&gt;0,IFERROR(E458/D458&gt;=G6,FALSE()))</f>
        <v>0</v>
      </c>
      <c r="G458" s="65">
        <f t="shared" si="35"/>
        <v>0</v>
      </c>
      <c r="H458" s="65">
        <f>IF(F458,MAX(0,MIN(E458,I6*D458)-D458)*IFERROR(INDEX($C$158:$C$161,MATCH(C458,$A$158:$A$161,0)),0),0)</f>
        <v>0</v>
      </c>
      <c r="I458" s="65">
        <f>IF(F458,MAX(0,E458-I6*D458)*IFERROR(INDEX($D$158:$D$161,MATCH(C458,$A$158:$A$161,0)),0),0)</f>
        <v>0</v>
      </c>
      <c r="J458" s="65">
        <f t="shared" si="36"/>
        <v>0</v>
      </c>
    </row>
    <row r="459" spans="1:10" ht="15" customHeight="1" outlineLevel="1" x14ac:dyDescent="0.2">
      <c r="A459" s="66" t="str">
        <f t="shared" si="39"/>
        <v>R011</v>
      </c>
      <c r="B459" s="67">
        <f>$A$1422</f>
        <v>45323</v>
      </c>
      <c r="C459" s="66" t="str">
        <f t="shared" si="40"/>
        <v>SDR / Inside Sales Rep</v>
      </c>
      <c r="D459" s="65">
        <f>SUMIFS(Fact_Quota!$D:$D,Fact_Quota!$A:$A,$A459,Fact_Quota!$B:$B,"&gt;="&amp;B459,Fact_Quota!$B:$B,"&lt;"&amp;EDATE(B459,1))</f>
        <v>0</v>
      </c>
      <c r="E459" s="65">
        <f>SUMIFS(Fact_Pipeline!$K:$K,Fact_Pipeline!$B:$B,$A459,Fact_Pipeline!$J:$J,"Won",Fact_Pipeline!$I:$I,"&gt;="&amp;B459,Fact_Pipeline!$I:$I,"&lt;"&amp;EDATE(B459,1))</f>
        <v>0</v>
      </c>
      <c r="F459" s="66" t="b">
        <f>AND(D459&gt;0,IFERROR(E459/D459&gt;=G6,FALSE()))</f>
        <v>0</v>
      </c>
      <c r="G459" s="65">
        <f t="shared" si="35"/>
        <v>0</v>
      </c>
      <c r="H459" s="65">
        <f>IF(F459,MAX(0,MIN(E459,I6*D459)-D459)*IFERROR(INDEX($C$158:$C$161,MATCH(C459,$A$158:$A$161,0)),0),0)</f>
        <v>0</v>
      </c>
      <c r="I459" s="65">
        <f>IF(F459,MAX(0,E459-I6*D459)*IFERROR(INDEX($D$158:$D$161,MATCH(C459,$A$158:$A$161,0)),0),0)</f>
        <v>0</v>
      </c>
      <c r="J459" s="65">
        <f t="shared" si="36"/>
        <v>0</v>
      </c>
    </row>
    <row r="460" spans="1:10" ht="15" customHeight="1" outlineLevel="1" x14ac:dyDescent="0.2">
      <c r="A460" s="66" t="str">
        <f t="shared" si="39"/>
        <v>R011</v>
      </c>
      <c r="B460" s="67">
        <f>$A$1423</f>
        <v>45352</v>
      </c>
      <c r="C460" s="66" t="str">
        <f t="shared" si="40"/>
        <v>SDR / Inside Sales Rep</v>
      </c>
      <c r="D460" s="65">
        <f>SUMIFS(Fact_Quota!$D:$D,Fact_Quota!$A:$A,$A460,Fact_Quota!$B:$B,"&gt;="&amp;B460,Fact_Quota!$B:$B,"&lt;"&amp;EDATE(B460,1))</f>
        <v>0</v>
      </c>
      <c r="E460" s="65">
        <f>SUMIFS(Fact_Pipeline!$K:$K,Fact_Pipeline!$B:$B,$A460,Fact_Pipeline!$J:$J,"Won",Fact_Pipeline!$I:$I,"&gt;="&amp;B460,Fact_Pipeline!$I:$I,"&lt;"&amp;EDATE(B460,1))</f>
        <v>0</v>
      </c>
      <c r="F460" s="66" t="b">
        <f>AND(D460&gt;0,IFERROR(E460/D460&gt;=G6,FALSE()))</f>
        <v>0</v>
      </c>
      <c r="G460" s="65">
        <f t="shared" si="35"/>
        <v>0</v>
      </c>
      <c r="H460" s="65">
        <f>IF(F460,MAX(0,MIN(E460,I6*D460)-D460)*IFERROR(INDEX($C$158:$C$161,MATCH(C460,$A$158:$A$161,0)),0),0)</f>
        <v>0</v>
      </c>
      <c r="I460" s="65">
        <f>IF(F460,MAX(0,E460-I6*D460)*IFERROR(INDEX($D$158:$D$161,MATCH(C460,$A$158:$A$161,0)),0),0)</f>
        <v>0</v>
      </c>
      <c r="J460" s="65">
        <f t="shared" si="36"/>
        <v>0</v>
      </c>
    </row>
    <row r="461" spans="1:10" ht="15" customHeight="1" outlineLevel="1" x14ac:dyDescent="0.2">
      <c r="A461" s="66" t="str">
        <f t="shared" si="39"/>
        <v>R011</v>
      </c>
      <c r="B461" s="67">
        <f>$A$1424</f>
        <v>45383</v>
      </c>
      <c r="C461" s="66" t="str">
        <f t="shared" si="40"/>
        <v>SDR / Inside Sales Rep</v>
      </c>
      <c r="D461" s="65">
        <f>SUMIFS(Fact_Quota!$D:$D,Fact_Quota!$A:$A,$A461,Fact_Quota!$B:$B,"&gt;="&amp;B461,Fact_Quota!$B:$B,"&lt;"&amp;EDATE(B461,1))</f>
        <v>0</v>
      </c>
      <c r="E461" s="65">
        <f>SUMIFS(Fact_Pipeline!$K:$K,Fact_Pipeline!$B:$B,$A461,Fact_Pipeline!$J:$J,"Won",Fact_Pipeline!$I:$I,"&gt;="&amp;B461,Fact_Pipeline!$I:$I,"&lt;"&amp;EDATE(B461,1))</f>
        <v>0</v>
      </c>
      <c r="F461" s="66" t="b">
        <f>AND(D461&gt;0,IFERROR(E461/D461&gt;=G6,FALSE()))</f>
        <v>0</v>
      </c>
      <c r="G461" s="65">
        <f t="shared" si="35"/>
        <v>0</v>
      </c>
      <c r="H461" s="65">
        <f>IF(F461,MAX(0,MIN(E461,I6*D461)-D461)*IFERROR(INDEX($C$158:$C$161,MATCH(C461,$A$158:$A$161,0)),0),0)</f>
        <v>0</v>
      </c>
      <c r="I461" s="65">
        <f>IF(F461,MAX(0,E461-I6*D461)*IFERROR(INDEX($D$158:$D$161,MATCH(C461,$A$158:$A$161,0)),0),0)</f>
        <v>0</v>
      </c>
      <c r="J461" s="65">
        <f t="shared" si="36"/>
        <v>0</v>
      </c>
    </row>
    <row r="462" spans="1:10" ht="15" customHeight="1" outlineLevel="1" x14ac:dyDescent="0.2">
      <c r="A462" s="66" t="str">
        <f t="shared" si="39"/>
        <v>R011</v>
      </c>
      <c r="B462" s="67">
        <f>$A$1425</f>
        <v>45413</v>
      </c>
      <c r="C462" s="66" t="str">
        <f t="shared" si="40"/>
        <v>SDR / Inside Sales Rep</v>
      </c>
      <c r="D462" s="65">
        <f>SUMIFS(Fact_Quota!$D:$D,Fact_Quota!$A:$A,$A462,Fact_Quota!$B:$B,"&gt;="&amp;B462,Fact_Quota!$B:$B,"&lt;"&amp;EDATE(B462,1))</f>
        <v>0</v>
      </c>
      <c r="E462" s="65">
        <f>SUMIFS(Fact_Pipeline!$K:$K,Fact_Pipeline!$B:$B,$A462,Fact_Pipeline!$J:$J,"Won",Fact_Pipeline!$I:$I,"&gt;="&amp;B462,Fact_Pipeline!$I:$I,"&lt;"&amp;EDATE(B462,1))</f>
        <v>0</v>
      </c>
      <c r="F462" s="66" t="b">
        <f>AND(D462&gt;0,IFERROR(E462/D462&gt;=G6,FALSE()))</f>
        <v>0</v>
      </c>
      <c r="G462" s="65">
        <f t="shared" si="35"/>
        <v>0</v>
      </c>
      <c r="H462" s="65">
        <f>IF(F462,MAX(0,MIN(E462,I6*D462)-D462)*IFERROR(INDEX($C$158:$C$161,MATCH(C462,$A$158:$A$161,0)),0),0)</f>
        <v>0</v>
      </c>
      <c r="I462" s="65">
        <f>IF(F462,MAX(0,E462-I6*D462)*IFERROR(INDEX($D$158:$D$161,MATCH(C462,$A$158:$A$161,0)),0),0)</f>
        <v>0</v>
      </c>
      <c r="J462" s="65">
        <f t="shared" si="36"/>
        <v>0</v>
      </c>
    </row>
    <row r="463" spans="1:10" ht="15" customHeight="1" outlineLevel="1" x14ac:dyDescent="0.2">
      <c r="A463" s="66" t="str">
        <f t="shared" si="39"/>
        <v>R011</v>
      </c>
      <c r="B463" s="67">
        <f>$A$1426</f>
        <v>45444</v>
      </c>
      <c r="C463" s="66" t="str">
        <f t="shared" si="40"/>
        <v>SDR / Inside Sales Rep</v>
      </c>
      <c r="D463" s="65">
        <f>SUMIFS(Fact_Quota!$D:$D,Fact_Quota!$A:$A,$A463,Fact_Quota!$B:$B,"&gt;="&amp;B463,Fact_Quota!$B:$B,"&lt;"&amp;EDATE(B463,1))</f>
        <v>0</v>
      </c>
      <c r="E463" s="65">
        <f>SUMIFS(Fact_Pipeline!$K:$K,Fact_Pipeline!$B:$B,$A463,Fact_Pipeline!$J:$J,"Won",Fact_Pipeline!$I:$I,"&gt;="&amp;B463,Fact_Pipeline!$I:$I,"&lt;"&amp;EDATE(B463,1))</f>
        <v>0</v>
      </c>
      <c r="F463" s="66" t="b">
        <f>AND(D463&gt;0,IFERROR(E463/D463&gt;=G6,FALSE()))</f>
        <v>0</v>
      </c>
      <c r="G463" s="65">
        <f t="shared" si="35"/>
        <v>0</v>
      </c>
      <c r="H463" s="65">
        <f>IF(F463,MAX(0,MIN(E463,I6*D463)-D463)*IFERROR(INDEX($C$158:$C$161,MATCH(C463,$A$158:$A$161,0)),0),0)</f>
        <v>0</v>
      </c>
      <c r="I463" s="65">
        <f>IF(F463,MAX(0,E463-I6*D463)*IFERROR(INDEX($D$158:$D$161,MATCH(C463,$A$158:$A$161,0)),0),0)</f>
        <v>0</v>
      </c>
      <c r="J463" s="65">
        <f t="shared" si="36"/>
        <v>0</v>
      </c>
    </row>
    <row r="464" spans="1:10" ht="15" customHeight="1" outlineLevel="1" x14ac:dyDescent="0.2">
      <c r="A464" s="66" t="str">
        <f t="shared" si="39"/>
        <v>R011</v>
      </c>
      <c r="B464" s="67">
        <f>$A$1427</f>
        <v>45474</v>
      </c>
      <c r="C464" s="66" t="str">
        <f t="shared" si="40"/>
        <v>SDR / Inside Sales Rep</v>
      </c>
      <c r="D464" s="65">
        <f>SUMIFS(Fact_Quota!$D:$D,Fact_Quota!$A:$A,$A464,Fact_Quota!$B:$B,"&gt;="&amp;B464,Fact_Quota!$B:$B,"&lt;"&amp;EDATE(B464,1))</f>
        <v>0</v>
      </c>
      <c r="E464" s="65">
        <f>SUMIFS(Fact_Pipeline!$K:$K,Fact_Pipeline!$B:$B,$A464,Fact_Pipeline!$J:$J,"Won",Fact_Pipeline!$I:$I,"&gt;="&amp;B464,Fact_Pipeline!$I:$I,"&lt;"&amp;EDATE(B464,1))</f>
        <v>0</v>
      </c>
      <c r="F464" s="66" t="b">
        <f>AND(D464&gt;0,IFERROR(E464/D464&gt;=G6,FALSE()))</f>
        <v>0</v>
      </c>
      <c r="G464" s="65">
        <f t="shared" si="35"/>
        <v>0</v>
      </c>
      <c r="H464" s="65">
        <f>IF(F464,MAX(0,MIN(E464,I6*D464)-D464)*IFERROR(INDEX($C$158:$C$161,MATCH(C464,$A$158:$A$161,0)),0),0)</f>
        <v>0</v>
      </c>
      <c r="I464" s="65">
        <f>IF(F464,MAX(0,E464-I6*D464)*IFERROR(INDEX($D$158:$D$161,MATCH(C464,$A$158:$A$161,0)),0),0)</f>
        <v>0</v>
      </c>
      <c r="J464" s="65">
        <f t="shared" si="36"/>
        <v>0</v>
      </c>
    </row>
    <row r="465" spans="1:10" ht="15" customHeight="1" outlineLevel="1" x14ac:dyDescent="0.2">
      <c r="A465" s="66" t="str">
        <f t="shared" si="39"/>
        <v>R011</v>
      </c>
      <c r="B465" s="67">
        <f>$A$1428</f>
        <v>45505</v>
      </c>
      <c r="C465" s="66" t="str">
        <f t="shared" si="40"/>
        <v>SDR / Inside Sales Rep</v>
      </c>
      <c r="D465" s="65">
        <f>SUMIFS(Fact_Quota!$D:$D,Fact_Quota!$A:$A,$A465,Fact_Quota!$B:$B,"&gt;="&amp;B465,Fact_Quota!$B:$B,"&lt;"&amp;EDATE(B465,1))</f>
        <v>0</v>
      </c>
      <c r="E465" s="65">
        <f>SUMIFS(Fact_Pipeline!$K:$K,Fact_Pipeline!$B:$B,$A465,Fact_Pipeline!$J:$J,"Won",Fact_Pipeline!$I:$I,"&gt;="&amp;B465,Fact_Pipeline!$I:$I,"&lt;"&amp;EDATE(B465,1))</f>
        <v>0</v>
      </c>
      <c r="F465" s="66" t="b">
        <f>AND(D465&gt;0,IFERROR(E465/D465&gt;=G6,FALSE()))</f>
        <v>0</v>
      </c>
      <c r="G465" s="65">
        <f t="shared" si="35"/>
        <v>0</v>
      </c>
      <c r="H465" s="65">
        <f>IF(F465,MAX(0,MIN(E465,I6*D465)-D465)*IFERROR(INDEX($C$158:$C$161,MATCH(C465,$A$158:$A$161,0)),0),0)</f>
        <v>0</v>
      </c>
      <c r="I465" s="65">
        <f>IF(F465,MAX(0,E465-I6*D465)*IFERROR(INDEX($D$158:$D$161,MATCH(C465,$A$158:$A$161,0)),0),0)</f>
        <v>0</v>
      </c>
      <c r="J465" s="65">
        <f t="shared" si="36"/>
        <v>0</v>
      </c>
    </row>
    <row r="466" spans="1:10" ht="15" customHeight="1" outlineLevel="1" x14ac:dyDescent="0.2">
      <c r="A466" s="66" t="str">
        <f t="shared" si="39"/>
        <v>R011</v>
      </c>
      <c r="B466" s="67">
        <f>$A$1429</f>
        <v>45536</v>
      </c>
      <c r="C466" s="66" t="str">
        <f t="shared" si="40"/>
        <v>SDR / Inside Sales Rep</v>
      </c>
      <c r="D466" s="65">
        <f>SUMIFS(Fact_Quota!$D:$D,Fact_Quota!$A:$A,$A466,Fact_Quota!$B:$B,"&gt;="&amp;B466,Fact_Quota!$B:$B,"&lt;"&amp;EDATE(B466,1))</f>
        <v>3800</v>
      </c>
      <c r="E466" s="65">
        <f>SUMIFS(Fact_Pipeline!$K:$K,Fact_Pipeline!$B:$B,$A466,Fact_Pipeline!$J:$J,"Won",Fact_Pipeline!$I:$I,"&gt;="&amp;B466,Fact_Pipeline!$I:$I,"&lt;"&amp;EDATE(B466,1))</f>
        <v>5300</v>
      </c>
      <c r="F466" s="66" t="b">
        <f>AND(D466&gt;0,IFERROR(E466/D466&gt;=G6,FALSE()))</f>
        <v>1</v>
      </c>
      <c r="G466" s="65">
        <f t="shared" si="35"/>
        <v>114</v>
      </c>
      <c r="H466" s="65">
        <f>IF(F466,MAX(0,MIN(E466,I6*D466)-D466)*IFERROR(INDEX($C$158:$C$161,MATCH(C466,$A$158:$A$161,0)),0),0)</f>
        <v>75</v>
      </c>
      <c r="I466" s="65">
        <f>IF(F466,MAX(0,E466-I6*D466)*IFERROR(INDEX($D$158:$D$161,MATCH(C466,$A$158:$A$161,0)),0),0)</f>
        <v>0</v>
      </c>
      <c r="J466" s="65">
        <f t="shared" si="36"/>
        <v>189</v>
      </c>
    </row>
    <row r="467" spans="1:10" ht="15" customHeight="1" outlineLevel="1" x14ac:dyDescent="0.2">
      <c r="A467" s="66" t="str">
        <f t="shared" si="39"/>
        <v>R011</v>
      </c>
      <c r="B467" s="67">
        <f>$A$1430</f>
        <v>45566</v>
      </c>
      <c r="C467" s="66" t="str">
        <f t="shared" si="40"/>
        <v>SDR / Inside Sales Rep</v>
      </c>
      <c r="D467" s="65">
        <f>SUMIFS(Fact_Quota!$D:$D,Fact_Quota!$A:$A,$A467,Fact_Quota!$B:$B,"&gt;="&amp;B467,Fact_Quota!$B:$B,"&lt;"&amp;EDATE(B467,1))</f>
        <v>7900</v>
      </c>
      <c r="E467" s="65">
        <f>SUMIFS(Fact_Pipeline!$K:$K,Fact_Pipeline!$B:$B,$A467,Fact_Pipeline!$J:$J,"Won",Fact_Pipeline!$I:$I,"&gt;="&amp;B467,Fact_Pipeline!$I:$I,"&lt;"&amp;EDATE(B467,1))</f>
        <v>0</v>
      </c>
      <c r="F467" s="66" t="b">
        <f>AND(D467&gt;0,IFERROR(E467/D467&gt;=G6,FALSE()))</f>
        <v>0</v>
      </c>
      <c r="G467" s="65">
        <f t="shared" si="35"/>
        <v>0</v>
      </c>
      <c r="H467" s="65">
        <f>IF(F467,MAX(0,MIN(E467,I6*D467)-D467)*IFERROR(INDEX($C$158:$C$161,MATCH(C467,$A$158:$A$161,0)),0),0)</f>
        <v>0</v>
      </c>
      <c r="I467" s="65">
        <f>IF(F467,MAX(0,E467-I6*D467)*IFERROR(INDEX($D$158:$D$161,MATCH(C467,$A$158:$A$161,0)),0),0)</f>
        <v>0</v>
      </c>
      <c r="J467" s="65">
        <f t="shared" si="36"/>
        <v>0</v>
      </c>
    </row>
    <row r="468" spans="1:10" ht="15" customHeight="1" outlineLevel="1" x14ac:dyDescent="0.2">
      <c r="A468" s="66" t="str">
        <f t="shared" si="39"/>
        <v>R011</v>
      </c>
      <c r="B468" s="67">
        <f>$A$1431</f>
        <v>45597</v>
      </c>
      <c r="C468" s="66" t="str">
        <f t="shared" si="40"/>
        <v>SDR / Inside Sales Rep</v>
      </c>
      <c r="D468" s="65">
        <f>SUMIFS(Fact_Quota!$D:$D,Fact_Quota!$A:$A,$A468,Fact_Quota!$B:$B,"&gt;="&amp;B468,Fact_Quota!$B:$B,"&lt;"&amp;EDATE(B468,1))</f>
        <v>11800</v>
      </c>
      <c r="E468" s="65">
        <f>SUMIFS(Fact_Pipeline!$K:$K,Fact_Pipeline!$B:$B,$A468,Fact_Pipeline!$J:$J,"Won",Fact_Pipeline!$I:$I,"&gt;="&amp;B468,Fact_Pipeline!$I:$I,"&lt;"&amp;EDATE(B468,1))</f>
        <v>12900</v>
      </c>
      <c r="F468" s="66" t="b">
        <f>AND(D468&gt;0,IFERROR(E468/D468&gt;=G6,FALSE()))</f>
        <v>1</v>
      </c>
      <c r="G468" s="65">
        <f t="shared" si="35"/>
        <v>354</v>
      </c>
      <c r="H468" s="65">
        <f>IF(F468,MAX(0,MIN(E468,I6*D468)-D468)*IFERROR(INDEX($C$158:$C$161,MATCH(C468,$A$158:$A$161,0)),0),0)</f>
        <v>55</v>
      </c>
      <c r="I468" s="65">
        <f>IF(F468,MAX(0,E468-I6*D468)*IFERROR(INDEX($D$158:$D$161,MATCH(C468,$A$158:$A$161,0)),0),0)</f>
        <v>0</v>
      </c>
      <c r="J468" s="65">
        <f t="shared" si="36"/>
        <v>409</v>
      </c>
    </row>
    <row r="469" spans="1:10" ht="15" customHeight="1" outlineLevel="1" x14ac:dyDescent="0.2">
      <c r="A469" s="66" t="str">
        <f t="shared" si="39"/>
        <v>R011</v>
      </c>
      <c r="B469" s="67">
        <f>$A$1432</f>
        <v>45627</v>
      </c>
      <c r="C469" s="66" t="str">
        <f t="shared" si="40"/>
        <v>SDR / Inside Sales Rep</v>
      </c>
      <c r="D469" s="65">
        <f>SUMIFS(Fact_Quota!$D:$D,Fact_Quota!$A:$A,$A469,Fact_Quota!$B:$B,"&gt;="&amp;B469,Fact_Quota!$B:$B,"&lt;"&amp;EDATE(B469,1))</f>
        <v>15700</v>
      </c>
      <c r="E469" s="65">
        <f>SUMIFS(Fact_Pipeline!$K:$K,Fact_Pipeline!$B:$B,$A469,Fact_Pipeline!$J:$J,"Won",Fact_Pipeline!$I:$I,"&gt;="&amp;B469,Fact_Pipeline!$I:$I,"&lt;"&amp;EDATE(B469,1))</f>
        <v>21900</v>
      </c>
      <c r="F469" s="66" t="b">
        <f>AND(D469&gt;0,IFERROR(E469/D469&gt;=G6,FALSE()))</f>
        <v>1</v>
      </c>
      <c r="G469" s="65">
        <f t="shared" si="35"/>
        <v>471</v>
      </c>
      <c r="H469" s="65">
        <f>IF(F469,MAX(0,MIN(E469,I6*D469)-D469)*IFERROR(INDEX($C$158:$C$161,MATCH(C469,$A$158:$A$161,0)),0),0)</f>
        <v>310</v>
      </c>
      <c r="I469" s="65">
        <f>IF(F469,MAX(0,E469-I6*D469)*IFERROR(INDEX($D$158:$D$161,MATCH(C469,$A$158:$A$161,0)),0),0)</f>
        <v>0</v>
      </c>
      <c r="J469" s="65">
        <f t="shared" si="36"/>
        <v>781</v>
      </c>
    </row>
    <row r="470" spans="1:10" ht="15" customHeight="1" outlineLevel="1" x14ac:dyDescent="0.2">
      <c r="A470" s="66" t="str">
        <f t="shared" si="39"/>
        <v>R011</v>
      </c>
      <c r="B470" s="67">
        <f>$A$1433</f>
        <v>45658</v>
      </c>
      <c r="C470" s="66" t="str">
        <f t="shared" si="40"/>
        <v>SDR / Inside Sales Rep</v>
      </c>
      <c r="D470" s="65">
        <f>SUMIFS(Fact_Quota!$D:$D,Fact_Quota!$A:$A,$A470,Fact_Quota!$B:$B,"&gt;="&amp;B470,Fact_Quota!$B:$B,"&lt;"&amp;EDATE(B470,1))</f>
        <v>17300</v>
      </c>
      <c r="E470" s="65">
        <f>SUMIFS(Fact_Pipeline!$K:$K,Fact_Pipeline!$B:$B,$A470,Fact_Pipeline!$J:$J,"Won",Fact_Pipeline!$I:$I,"&gt;="&amp;B470,Fact_Pipeline!$I:$I,"&lt;"&amp;EDATE(B470,1))</f>
        <v>3400</v>
      </c>
      <c r="F470" s="66" t="b">
        <f>AND(D470&gt;0,IFERROR(E470/D470&gt;=G6,FALSE()))</f>
        <v>0</v>
      </c>
      <c r="G470" s="65">
        <f t="shared" si="35"/>
        <v>0</v>
      </c>
      <c r="H470" s="65">
        <f>IF(F470,MAX(0,MIN(E470,I6*D470)-D470)*IFERROR(INDEX($C$158:$C$161,MATCH(C470,$A$158:$A$161,0)),0),0)</f>
        <v>0</v>
      </c>
      <c r="I470" s="65">
        <f>IF(F470,MAX(0,E470-I6*D470)*IFERROR(INDEX($D$158:$D$161,MATCH(C470,$A$158:$A$161,0)),0),0)</f>
        <v>0</v>
      </c>
      <c r="J470" s="65">
        <f t="shared" si="36"/>
        <v>0</v>
      </c>
    </row>
    <row r="471" spans="1:10" ht="15" customHeight="1" outlineLevel="1" x14ac:dyDescent="0.2">
      <c r="A471" s="66" t="str">
        <f t="shared" si="39"/>
        <v>R011</v>
      </c>
      <c r="B471" s="67">
        <f>$A$1434</f>
        <v>45689</v>
      </c>
      <c r="C471" s="66" t="str">
        <f t="shared" si="40"/>
        <v>SDR / Inside Sales Rep</v>
      </c>
      <c r="D471" s="65">
        <f>SUMIFS(Fact_Quota!$D:$D,Fact_Quota!$A:$A,$A471,Fact_Quota!$B:$B,"&gt;="&amp;B471,Fact_Quota!$B:$B,"&lt;"&amp;EDATE(B471,1))</f>
        <v>15800</v>
      </c>
      <c r="E471" s="65">
        <f>SUMIFS(Fact_Pipeline!$K:$K,Fact_Pipeline!$B:$B,$A471,Fact_Pipeline!$J:$J,"Won",Fact_Pipeline!$I:$I,"&gt;="&amp;B471,Fact_Pipeline!$I:$I,"&lt;"&amp;EDATE(B471,1))</f>
        <v>4800</v>
      </c>
      <c r="F471" s="66" t="b">
        <f>AND(D471&gt;0,IFERROR(E471/D471&gt;=G6,FALSE()))</f>
        <v>0</v>
      </c>
      <c r="G471" s="65">
        <f t="shared" si="35"/>
        <v>0</v>
      </c>
      <c r="H471" s="65">
        <f>IF(F471,MAX(0,MIN(E471,I6*D471)-D471)*IFERROR(INDEX($C$158:$C$161,MATCH(C471,$A$158:$A$161,0)),0),0)</f>
        <v>0</v>
      </c>
      <c r="I471" s="65">
        <f>IF(F471,MAX(0,E471-I6*D471)*IFERROR(INDEX($D$158:$D$161,MATCH(C471,$A$158:$A$161,0)),0),0)</f>
        <v>0</v>
      </c>
      <c r="J471" s="65">
        <f t="shared" si="36"/>
        <v>0</v>
      </c>
    </row>
    <row r="472" spans="1:10" ht="15" customHeight="1" outlineLevel="1" x14ac:dyDescent="0.2">
      <c r="A472" s="66" t="str">
        <f t="shared" si="39"/>
        <v>R011</v>
      </c>
      <c r="B472" s="67">
        <f>$A$1435</f>
        <v>45717</v>
      </c>
      <c r="C472" s="66" t="str">
        <f t="shared" si="40"/>
        <v>SDR / Inside Sales Rep</v>
      </c>
      <c r="D472" s="65">
        <f>SUMIFS(Fact_Quota!$D:$D,Fact_Quota!$A:$A,$A472,Fact_Quota!$B:$B,"&gt;="&amp;B472,Fact_Quota!$B:$B,"&lt;"&amp;EDATE(B472,1))</f>
        <v>16000</v>
      </c>
      <c r="E472" s="65">
        <f>SUMIFS(Fact_Pipeline!$K:$K,Fact_Pipeline!$B:$B,$A472,Fact_Pipeline!$J:$J,"Won",Fact_Pipeline!$I:$I,"&gt;="&amp;B472,Fact_Pipeline!$I:$I,"&lt;"&amp;EDATE(B472,1))</f>
        <v>22000</v>
      </c>
      <c r="F472" s="66" t="b">
        <f>AND(D472&gt;0,IFERROR(E472/D472&gt;=G6,FALSE()))</f>
        <v>1</v>
      </c>
      <c r="G472" s="65">
        <f t="shared" si="35"/>
        <v>480</v>
      </c>
      <c r="H472" s="65">
        <f>IF(F472,MAX(0,MIN(E472,I6*D472)-D472)*IFERROR(INDEX($C$158:$C$161,MATCH(C472,$A$158:$A$161,0)),0),0)</f>
        <v>300</v>
      </c>
      <c r="I472" s="65">
        <f>IF(F472,MAX(0,E472-I6*D472)*IFERROR(INDEX($D$158:$D$161,MATCH(C472,$A$158:$A$161,0)),0),0)</f>
        <v>0</v>
      </c>
      <c r="J472" s="65">
        <f t="shared" si="36"/>
        <v>780</v>
      </c>
    </row>
    <row r="473" spans="1:10" ht="15" customHeight="1" outlineLevel="1" x14ac:dyDescent="0.2">
      <c r="A473" s="66" t="str">
        <f t="shared" si="39"/>
        <v>R011</v>
      </c>
      <c r="B473" s="67">
        <f>$A$1436</f>
        <v>45748</v>
      </c>
      <c r="C473" s="66" t="str">
        <f t="shared" si="40"/>
        <v>SDR / Inside Sales Rep</v>
      </c>
      <c r="D473" s="65">
        <f>SUMIFS(Fact_Quota!$D:$D,Fact_Quota!$A:$A,$A473,Fact_Quota!$B:$B,"&gt;="&amp;B473,Fact_Quota!$B:$B,"&lt;"&amp;EDATE(B473,1))</f>
        <v>15900</v>
      </c>
      <c r="E473" s="65">
        <f>SUMIFS(Fact_Pipeline!$K:$K,Fact_Pipeline!$B:$B,$A473,Fact_Pipeline!$J:$J,"Won",Fact_Pipeline!$I:$I,"&gt;="&amp;B473,Fact_Pipeline!$I:$I,"&lt;"&amp;EDATE(B473,1))</f>
        <v>0</v>
      </c>
      <c r="F473" s="66" t="b">
        <f>AND(D473&gt;0,IFERROR(E473/D473&gt;=G6,FALSE()))</f>
        <v>0</v>
      </c>
      <c r="G473" s="65">
        <f t="shared" si="35"/>
        <v>0</v>
      </c>
      <c r="H473" s="65">
        <f>IF(F473,MAX(0,MIN(E473,I6*D473)-D473)*IFERROR(INDEX($C$158:$C$161,MATCH(C473,$A$158:$A$161,0)),0),0)</f>
        <v>0</v>
      </c>
      <c r="I473" s="65">
        <f>IF(F473,MAX(0,E473-I6*D473)*IFERROR(INDEX($D$158:$D$161,MATCH(C473,$A$158:$A$161,0)),0),0)</f>
        <v>0</v>
      </c>
      <c r="J473" s="65">
        <f t="shared" si="36"/>
        <v>0</v>
      </c>
    </row>
    <row r="474" spans="1:10" ht="15" customHeight="1" outlineLevel="1" x14ac:dyDescent="0.2">
      <c r="A474" s="66" t="str">
        <f t="shared" si="39"/>
        <v>R011</v>
      </c>
      <c r="B474" s="67">
        <f>$A$1437</f>
        <v>45778</v>
      </c>
      <c r="C474" s="66" t="str">
        <f t="shared" si="40"/>
        <v>SDR / Inside Sales Rep</v>
      </c>
      <c r="D474" s="65">
        <f>SUMIFS(Fact_Quota!$D:$D,Fact_Quota!$A:$A,$A474,Fact_Quota!$B:$B,"&gt;="&amp;B474,Fact_Quota!$B:$B,"&lt;"&amp;EDATE(B474,1))</f>
        <v>15800</v>
      </c>
      <c r="E474" s="65">
        <f>SUMIFS(Fact_Pipeline!$K:$K,Fact_Pipeline!$B:$B,$A474,Fact_Pipeline!$J:$J,"Won",Fact_Pipeline!$I:$I,"&gt;="&amp;B474,Fact_Pipeline!$I:$I,"&lt;"&amp;EDATE(B474,1))</f>
        <v>12800</v>
      </c>
      <c r="F474" s="66" t="b">
        <f>AND(D474&gt;0,IFERROR(E474/D474&gt;=G6,FALSE()))</f>
        <v>1</v>
      </c>
      <c r="G474" s="65">
        <f t="shared" ref="G474:G537" si="41">IF(F474,MIN(E474,D474)*IFERROR(INDEX($B$158:$B$161,MATCH(C474,$A$158:$A$161,0)),0),0)</f>
        <v>384</v>
      </c>
      <c r="H474" s="65">
        <f>IF(F474,MAX(0,MIN(E474,I6*D474)-D474)*IFERROR(INDEX($C$158:$C$161,MATCH(C474,$A$158:$A$161,0)),0),0)</f>
        <v>0</v>
      </c>
      <c r="I474" s="65">
        <f>IF(F474,MAX(0,E474-I6*D474)*IFERROR(INDEX($D$158:$D$161,MATCH(C474,$A$158:$A$161,0)),0),0)</f>
        <v>0</v>
      </c>
      <c r="J474" s="65">
        <f t="shared" ref="J474:J537" si="42">G474+H474+I474</f>
        <v>384</v>
      </c>
    </row>
    <row r="475" spans="1:10" ht="15" customHeight="1" outlineLevel="1" x14ac:dyDescent="0.2">
      <c r="A475" s="66" t="str">
        <f t="shared" si="39"/>
        <v>R011</v>
      </c>
      <c r="B475" s="67">
        <f>$A$1438</f>
        <v>45809</v>
      </c>
      <c r="C475" s="66" t="str">
        <f t="shared" si="40"/>
        <v>SDR / Inside Sales Rep</v>
      </c>
      <c r="D475" s="65">
        <f>SUMIFS(Fact_Quota!$D:$D,Fact_Quota!$A:$A,$A475,Fact_Quota!$B:$B,"&gt;="&amp;B475,Fact_Quota!$B:$B,"&lt;"&amp;EDATE(B475,1))</f>
        <v>15400</v>
      </c>
      <c r="E475" s="65">
        <f>SUMIFS(Fact_Pipeline!$K:$K,Fact_Pipeline!$B:$B,$A475,Fact_Pipeline!$J:$J,"Won",Fact_Pipeline!$I:$I,"&gt;="&amp;B475,Fact_Pipeline!$I:$I,"&lt;"&amp;EDATE(B475,1))</f>
        <v>9800</v>
      </c>
      <c r="F475" s="66" t="b">
        <f>AND(D475&gt;0,IFERROR(E475/D475&gt;=G6,FALSE()))</f>
        <v>1</v>
      </c>
      <c r="G475" s="65">
        <f t="shared" si="41"/>
        <v>294</v>
      </c>
      <c r="H475" s="65">
        <f>IF(F475,MAX(0,MIN(E475,I6*D475)-D475)*IFERROR(INDEX($C$158:$C$161,MATCH(C475,$A$158:$A$161,0)),0),0)</f>
        <v>0</v>
      </c>
      <c r="I475" s="65">
        <f>IF(F475,MAX(0,E475-I6*D475)*IFERROR(INDEX($D$158:$D$161,MATCH(C475,$A$158:$A$161,0)),0),0)</f>
        <v>0</v>
      </c>
      <c r="J475" s="65">
        <f t="shared" si="42"/>
        <v>294</v>
      </c>
    </row>
    <row r="476" spans="1:10" ht="15" customHeight="1" outlineLevel="1" x14ac:dyDescent="0.2">
      <c r="A476" s="66" t="str">
        <f t="shared" si="39"/>
        <v>R011</v>
      </c>
      <c r="B476" s="67">
        <f>$A$1439</f>
        <v>45839</v>
      </c>
      <c r="C476" s="66" t="str">
        <f t="shared" si="40"/>
        <v>SDR / Inside Sales Rep</v>
      </c>
      <c r="D476" s="65">
        <f>SUMIFS(Fact_Quota!$D:$D,Fact_Quota!$A:$A,$A476,Fact_Quota!$B:$B,"&gt;="&amp;B476,Fact_Quota!$B:$B,"&lt;"&amp;EDATE(B476,1))</f>
        <v>15900</v>
      </c>
      <c r="E476" s="65">
        <f>SUMIFS(Fact_Pipeline!$K:$K,Fact_Pipeline!$B:$B,$A476,Fact_Pipeline!$J:$J,"Won",Fact_Pipeline!$I:$I,"&gt;="&amp;B476,Fact_Pipeline!$I:$I,"&lt;"&amp;EDATE(B476,1))</f>
        <v>17600</v>
      </c>
      <c r="F476" s="66" t="b">
        <f>AND(D476&gt;0,IFERROR(E476/D476&gt;=G6,FALSE()))</f>
        <v>1</v>
      </c>
      <c r="G476" s="65">
        <f t="shared" si="41"/>
        <v>477</v>
      </c>
      <c r="H476" s="65">
        <f>IF(F476,MAX(0,MIN(E476,I6*D476)-D476)*IFERROR(INDEX($C$158:$C$161,MATCH(C476,$A$158:$A$161,0)),0),0)</f>
        <v>85</v>
      </c>
      <c r="I476" s="65">
        <f>IF(F476,MAX(0,E476-I6*D476)*IFERROR(INDEX($D$158:$D$161,MATCH(C476,$A$158:$A$161,0)),0),0)</f>
        <v>0</v>
      </c>
      <c r="J476" s="65">
        <f t="shared" si="42"/>
        <v>562</v>
      </c>
    </row>
    <row r="477" spans="1:10" ht="15" customHeight="1" outlineLevel="1" x14ac:dyDescent="0.2">
      <c r="A477" s="66" t="str">
        <f t="shared" si="39"/>
        <v>R011</v>
      </c>
      <c r="B477" s="67">
        <f>$A$1440</f>
        <v>45870</v>
      </c>
      <c r="C477" s="66" t="str">
        <f t="shared" si="40"/>
        <v>SDR / Inside Sales Rep</v>
      </c>
      <c r="D477" s="65">
        <f>SUMIFS(Fact_Quota!$D:$D,Fact_Quota!$A:$A,$A477,Fact_Quota!$B:$B,"&gt;="&amp;B477,Fact_Quota!$B:$B,"&lt;"&amp;EDATE(B477,1))</f>
        <v>15100</v>
      </c>
      <c r="E477" s="65">
        <f>SUMIFS(Fact_Pipeline!$K:$K,Fact_Pipeline!$B:$B,$A477,Fact_Pipeline!$J:$J,"Won",Fact_Pipeline!$I:$I,"&gt;="&amp;B477,Fact_Pipeline!$I:$I,"&lt;"&amp;EDATE(B477,1))</f>
        <v>11700</v>
      </c>
      <c r="F477" s="66" t="b">
        <f>AND(D477&gt;0,IFERROR(E477/D477&gt;=G6,FALSE()))</f>
        <v>1</v>
      </c>
      <c r="G477" s="65">
        <f t="shared" si="41"/>
        <v>351</v>
      </c>
      <c r="H477" s="65">
        <f>IF(F477,MAX(0,MIN(E477,I6*D477)-D477)*IFERROR(INDEX($C$158:$C$161,MATCH(C477,$A$158:$A$161,0)),0),0)</f>
        <v>0</v>
      </c>
      <c r="I477" s="65">
        <f>IF(F477,MAX(0,E477-I6*D477)*IFERROR(INDEX($D$158:$D$161,MATCH(C477,$A$158:$A$161,0)),0),0)</f>
        <v>0</v>
      </c>
      <c r="J477" s="65">
        <f t="shared" si="42"/>
        <v>351</v>
      </c>
    </row>
    <row r="478" spans="1:10" ht="15" customHeight="1" outlineLevel="1" x14ac:dyDescent="0.2">
      <c r="A478" s="66" t="str">
        <f t="shared" si="39"/>
        <v>R011</v>
      </c>
      <c r="B478" s="67">
        <f>$A$1441</f>
        <v>45901</v>
      </c>
      <c r="C478" s="66" t="str">
        <f t="shared" si="40"/>
        <v>SDR / Inside Sales Rep</v>
      </c>
      <c r="D478" s="65">
        <f>SUMIFS(Fact_Quota!$D:$D,Fact_Quota!$A:$A,$A478,Fact_Quota!$B:$B,"&gt;="&amp;B478,Fact_Quota!$B:$B,"&lt;"&amp;EDATE(B478,1))</f>
        <v>15400</v>
      </c>
      <c r="E478" s="65">
        <f>SUMIFS(Fact_Pipeline!$K:$K,Fact_Pipeline!$B:$B,$A478,Fact_Pipeline!$J:$J,"Won",Fact_Pipeline!$I:$I,"&gt;="&amp;B478,Fact_Pipeline!$I:$I,"&lt;"&amp;EDATE(B478,1))</f>
        <v>20400</v>
      </c>
      <c r="F478" s="66" t="b">
        <f>AND(D478&gt;0,IFERROR(E478/D478&gt;=G6,FALSE()))</f>
        <v>1</v>
      </c>
      <c r="G478" s="65">
        <f t="shared" si="41"/>
        <v>462</v>
      </c>
      <c r="H478" s="65">
        <f>IF(F478,MAX(0,MIN(E478,I6*D478)-D478)*IFERROR(INDEX($C$158:$C$161,MATCH(C478,$A$158:$A$161,0)),0),0)</f>
        <v>250</v>
      </c>
      <c r="I478" s="65">
        <f>IF(F478,MAX(0,E478-I6*D478)*IFERROR(INDEX($D$158:$D$161,MATCH(C478,$A$158:$A$161,0)),0),0)</f>
        <v>0</v>
      </c>
      <c r="J478" s="65">
        <f t="shared" si="42"/>
        <v>712</v>
      </c>
    </row>
    <row r="479" spans="1:10" ht="15" customHeight="1" outlineLevel="1" x14ac:dyDescent="0.2">
      <c r="A479" s="66" t="str">
        <f t="shared" si="39"/>
        <v>R011</v>
      </c>
      <c r="B479" s="67">
        <f>$A$1442</f>
        <v>45931</v>
      </c>
      <c r="C479" s="66" t="str">
        <f t="shared" si="40"/>
        <v>SDR / Inside Sales Rep</v>
      </c>
      <c r="D479" s="65">
        <f>SUMIFS(Fact_Quota!$D:$D,Fact_Quota!$A:$A,$A479,Fact_Quota!$B:$B,"&gt;="&amp;B479,Fact_Quota!$B:$B,"&lt;"&amp;EDATE(B479,1))</f>
        <v>15300</v>
      </c>
      <c r="E479" s="65">
        <f>SUMIFS(Fact_Pipeline!$K:$K,Fact_Pipeline!$B:$B,$A479,Fact_Pipeline!$J:$J,"Won",Fact_Pipeline!$I:$I,"&gt;="&amp;B479,Fact_Pipeline!$I:$I,"&lt;"&amp;EDATE(B479,1))</f>
        <v>22500</v>
      </c>
      <c r="F479" s="66" t="b">
        <f>AND(D479&gt;0,IFERROR(E479/D479&gt;=G6,FALSE()))</f>
        <v>1</v>
      </c>
      <c r="G479" s="65">
        <f t="shared" si="41"/>
        <v>459</v>
      </c>
      <c r="H479" s="65">
        <f>IF(F479,MAX(0,MIN(E479,I6*D479)-D479)*IFERROR(INDEX($C$158:$C$161,MATCH(C479,$A$158:$A$161,0)),0),0)</f>
        <v>360</v>
      </c>
      <c r="I479" s="65">
        <f>IF(F479,MAX(0,E479-I6*D479)*IFERROR(INDEX($D$158:$D$161,MATCH(C479,$A$158:$A$161,0)),0),0)</f>
        <v>0</v>
      </c>
      <c r="J479" s="65">
        <f t="shared" si="42"/>
        <v>819</v>
      </c>
    </row>
    <row r="480" spans="1:10" ht="15" customHeight="1" outlineLevel="1" x14ac:dyDescent="0.2">
      <c r="A480" s="66" t="str">
        <f t="shared" si="39"/>
        <v>R011</v>
      </c>
      <c r="B480" s="67">
        <f>$A$1443</f>
        <v>45962</v>
      </c>
      <c r="C480" s="66" t="str">
        <f t="shared" si="40"/>
        <v>SDR / Inside Sales Rep</v>
      </c>
      <c r="D480" s="65">
        <f>SUMIFS(Fact_Quota!$D:$D,Fact_Quota!$A:$A,$A480,Fact_Quota!$B:$B,"&gt;="&amp;B480,Fact_Quota!$B:$B,"&lt;"&amp;EDATE(B480,1))</f>
        <v>15500</v>
      </c>
      <c r="E480" s="65">
        <f>SUMIFS(Fact_Pipeline!$K:$K,Fact_Pipeline!$B:$B,$A480,Fact_Pipeline!$J:$J,"Won",Fact_Pipeline!$I:$I,"&gt;="&amp;B480,Fact_Pipeline!$I:$I,"&lt;"&amp;EDATE(B480,1))</f>
        <v>14900</v>
      </c>
      <c r="F480" s="66" t="b">
        <f>AND(D480&gt;0,IFERROR(E480/D480&gt;=G6,FALSE()))</f>
        <v>1</v>
      </c>
      <c r="G480" s="65">
        <f t="shared" si="41"/>
        <v>447</v>
      </c>
      <c r="H480" s="65">
        <f>IF(F480,MAX(0,MIN(E480,I6*D480)-D480)*IFERROR(INDEX($C$158:$C$161,MATCH(C480,$A$158:$A$161,0)),0),0)</f>
        <v>0</v>
      </c>
      <c r="I480" s="65">
        <f>IF(F480,MAX(0,E480-I6*D480)*IFERROR(INDEX($D$158:$D$161,MATCH(C480,$A$158:$A$161,0)),0),0)</f>
        <v>0</v>
      </c>
      <c r="J480" s="65">
        <f t="shared" si="42"/>
        <v>447</v>
      </c>
    </row>
    <row r="481" spans="1:10" ht="15" customHeight="1" outlineLevel="1" x14ac:dyDescent="0.2">
      <c r="A481" s="66" t="str">
        <f t="shared" si="39"/>
        <v>R011</v>
      </c>
      <c r="B481" s="67">
        <f>$A$1444</f>
        <v>45992</v>
      </c>
      <c r="C481" s="66" t="str">
        <f t="shared" si="40"/>
        <v>SDR / Inside Sales Rep</v>
      </c>
      <c r="D481" s="65">
        <f>SUMIFS(Fact_Quota!$D:$D,Fact_Quota!$A:$A,$A481,Fact_Quota!$B:$B,"&gt;="&amp;B481,Fact_Quota!$B:$B,"&lt;"&amp;EDATE(B481,1))</f>
        <v>16600</v>
      </c>
      <c r="E481" s="65">
        <f>SUMIFS(Fact_Pipeline!$K:$K,Fact_Pipeline!$B:$B,$A481,Fact_Pipeline!$J:$J,"Won",Fact_Pipeline!$I:$I,"&gt;="&amp;B481,Fact_Pipeline!$I:$I,"&lt;"&amp;EDATE(B481,1))</f>
        <v>19400</v>
      </c>
      <c r="F481" s="66" t="b">
        <f>AND(D481&gt;0,IFERROR(E481/D481&gt;=G6,FALSE()))</f>
        <v>1</v>
      </c>
      <c r="G481" s="65">
        <f t="shared" si="41"/>
        <v>498</v>
      </c>
      <c r="H481" s="65">
        <f>IF(F481,MAX(0,MIN(E481,I6*D481)-D481)*IFERROR(INDEX($C$158:$C$161,MATCH(C481,$A$158:$A$161,0)),0),0)</f>
        <v>140</v>
      </c>
      <c r="I481" s="65">
        <f>IF(F481,MAX(0,E481-I6*D481)*IFERROR(INDEX($D$158:$D$161,MATCH(C481,$A$158:$A$161,0)),0),0)</f>
        <v>0</v>
      </c>
      <c r="J481" s="65">
        <f t="shared" si="42"/>
        <v>638</v>
      </c>
    </row>
    <row r="482" spans="1:10" ht="15" customHeight="1" outlineLevel="1" x14ac:dyDescent="0.2">
      <c r="A482" s="63" t="str">
        <f t="shared" ref="A482:A505" si="43">$A$176</f>
        <v>R014</v>
      </c>
      <c r="B482" s="64">
        <f>$A$1421</f>
        <v>45292</v>
      </c>
      <c r="C482" s="63" t="str">
        <f t="shared" ref="C482:C505" si="44">$C$176</f>
        <v>SDR / Inside Sales Rep</v>
      </c>
      <c r="D482" s="62">
        <f>SUMIFS(Fact_Quota!$D:$D,Fact_Quota!$A:$A,$A482,Fact_Quota!$B:$B,"&gt;="&amp;B482,Fact_Quota!$B:$B,"&lt;"&amp;EDATE(B482,1))</f>
        <v>8100</v>
      </c>
      <c r="E482" s="62">
        <f>SUMIFS(Fact_Pipeline!$K:$K,Fact_Pipeline!$B:$B,$A482,Fact_Pipeline!$J:$J,"Won",Fact_Pipeline!$I:$I,"&gt;="&amp;B482,Fact_Pipeline!$I:$I,"&lt;"&amp;EDATE(B482,1))</f>
        <v>0</v>
      </c>
      <c r="F482" s="63" t="b">
        <f>AND(D482&gt;0,IFERROR(E482/D482&gt;=G6,FALSE()))</f>
        <v>0</v>
      </c>
      <c r="G482" s="62">
        <f t="shared" si="41"/>
        <v>0</v>
      </c>
      <c r="H482" s="62">
        <f>IF(F482,MAX(0,MIN(E482,I6*D482)-D482)*IFERROR(INDEX($C$158:$C$161,MATCH(C482,$A$158:$A$161,0)),0),0)</f>
        <v>0</v>
      </c>
      <c r="I482" s="62">
        <f>IF(F482,MAX(0,E482-I6*D482)*IFERROR(INDEX($D$158:$D$161,MATCH(C482,$A$158:$A$161,0)),0),0)</f>
        <v>0</v>
      </c>
      <c r="J482" s="62">
        <f t="shared" si="42"/>
        <v>0</v>
      </c>
    </row>
    <row r="483" spans="1:10" ht="15" customHeight="1" outlineLevel="1" x14ac:dyDescent="0.2">
      <c r="A483" s="63" t="str">
        <f t="shared" si="43"/>
        <v>R014</v>
      </c>
      <c r="B483" s="64">
        <f>$A$1422</f>
        <v>45323</v>
      </c>
      <c r="C483" s="63" t="str">
        <f t="shared" si="44"/>
        <v>SDR / Inside Sales Rep</v>
      </c>
      <c r="D483" s="62">
        <f>SUMIFS(Fact_Quota!$D:$D,Fact_Quota!$A:$A,$A483,Fact_Quota!$B:$B,"&gt;="&amp;B483,Fact_Quota!$B:$B,"&lt;"&amp;EDATE(B483,1))</f>
        <v>11100</v>
      </c>
      <c r="E483" s="62">
        <f>SUMIFS(Fact_Pipeline!$K:$K,Fact_Pipeline!$B:$B,$A483,Fact_Pipeline!$J:$J,"Won",Fact_Pipeline!$I:$I,"&gt;="&amp;B483,Fact_Pipeline!$I:$I,"&lt;"&amp;EDATE(B483,1))</f>
        <v>0</v>
      </c>
      <c r="F483" s="63" t="b">
        <f>AND(D483&gt;0,IFERROR(E483/D483&gt;=G6,FALSE()))</f>
        <v>0</v>
      </c>
      <c r="G483" s="62">
        <f t="shared" si="41"/>
        <v>0</v>
      </c>
      <c r="H483" s="62">
        <f>IF(F483,MAX(0,MIN(E483,I6*D483)-D483)*IFERROR(INDEX($C$158:$C$161,MATCH(C483,$A$158:$A$161,0)),0),0)</f>
        <v>0</v>
      </c>
      <c r="I483" s="62">
        <f>IF(F483,MAX(0,E483-I6*D483)*IFERROR(INDEX($D$158:$D$161,MATCH(C483,$A$158:$A$161,0)),0),0)</f>
        <v>0</v>
      </c>
      <c r="J483" s="62">
        <f t="shared" si="42"/>
        <v>0</v>
      </c>
    </row>
    <row r="484" spans="1:10" ht="15" customHeight="1" outlineLevel="1" x14ac:dyDescent="0.2">
      <c r="A484" s="63" t="str">
        <f t="shared" si="43"/>
        <v>R014</v>
      </c>
      <c r="B484" s="64">
        <f>$A$1423</f>
        <v>45352</v>
      </c>
      <c r="C484" s="63" t="str">
        <f t="shared" si="44"/>
        <v>SDR / Inside Sales Rep</v>
      </c>
      <c r="D484" s="62">
        <f>SUMIFS(Fact_Quota!$D:$D,Fact_Quota!$A:$A,$A484,Fact_Quota!$B:$B,"&gt;="&amp;B484,Fact_Quota!$B:$B,"&lt;"&amp;EDATE(B484,1))</f>
        <v>15300</v>
      </c>
      <c r="E484" s="62">
        <f>SUMIFS(Fact_Pipeline!$K:$K,Fact_Pipeline!$B:$B,$A484,Fact_Pipeline!$J:$J,"Won",Fact_Pipeline!$I:$I,"&gt;="&amp;B484,Fact_Pipeline!$I:$I,"&lt;"&amp;EDATE(B484,1))</f>
        <v>1700</v>
      </c>
      <c r="F484" s="63" t="b">
        <f>AND(D484&gt;0,IFERROR(E484/D484&gt;=G6,FALSE()))</f>
        <v>0</v>
      </c>
      <c r="G484" s="62">
        <f t="shared" si="41"/>
        <v>0</v>
      </c>
      <c r="H484" s="62">
        <f>IF(F484,MAX(0,MIN(E484,I6*D484)-D484)*IFERROR(INDEX($C$158:$C$161,MATCH(C484,$A$158:$A$161,0)),0),0)</f>
        <v>0</v>
      </c>
      <c r="I484" s="62">
        <f>IF(F484,MAX(0,E484-I6*D484)*IFERROR(INDEX($D$158:$D$161,MATCH(C484,$A$158:$A$161,0)),0),0)</f>
        <v>0</v>
      </c>
      <c r="J484" s="62">
        <f t="shared" si="42"/>
        <v>0</v>
      </c>
    </row>
    <row r="485" spans="1:10" ht="15" customHeight="1" outlineLevel="1" x14ac:dyDescent="0.2">
      <c r="A485" s="63" t="str">
        <f t="shared" si="43"/>
        <v>R014</v>
      </c>
      <c r="B485" s="64">
        <f>$A$1424</f>
        <v>45383</v>
      </c>
      <c r="C485" s="63" t="str">
        <f t="shared" si="44"/>
        <v>SDR / Inside Sales Rep</v>
      </c>
      <c r="D485" s="62">
        <f>SUMIFS(Fact_Quota!$D:$D,Fact_Quota!$A:$A,$A485,Fact_Quota!$B:$B,"&gt;="&amp;B485,Fact_Quota!$B:$B,"&lt;"&amp;EDATE(B485,1))</f>
        <v>15600</v>
      </c>
      <c r="E485" s="62">
        <f>SUMIFS(Fact_Pipeline!$K:$K,Fact_Pipeline!$B:$B,$A485,Fact_Pipeline!$J:$J,"Won",Fact_Pipeline!$I:$I,"&gt;="&amp;B485,Fact_Pipeline!$I:$I,"&lt;"&amp;EDATE(B485,1))</f>
        <v>6200</v>
      </c>
      <c r="F485" s="63" t="b">
        <f>AND(D485&gt;0,IFERROR(E485/D485&gt;=G6,FALSE()))</f>
        <v>0</v>
      </c>
      <c r="G485" s="62">
        <f t="shared" si="41"/>
        <v>0</v>
      </c>
      <c r="H485" s="62">
        <f>IF(F485,MAX(0,MIN(E485,I6*D485)-D485)*IFERROR(INDEX($C$158:$C$161,MATCH(C485,$A$158:$A$161,0)),0),0)</f>
        <v>0</v>
      </c>
      <c r="I485" s="62">
        <f>IF(F485,MAX(0,E485-I6*D485)*IFERROR(INDEX($D$158:$D$161,MATCH(C485,$A$158:$A$161,0)),0),0)</f>
        <v>0</v>
      </c>
      <c r="J485" s="62">
        <f t="shared" si="42"/>
        <v>0</v>
      </c>
    </row>
    <row r="486" spans="1:10" ht="15" customHeight="1" outlineLevel="1" x14ac:dyDescent="0.2">
      <c r="A486" s="63" t="str">
        <f t="shared" si="43"/>
        <v>R014</v>
      </c>
      <c r="B486" s="64">
        <f>$A$1425</f>
        <v>45413</v>
      </c>
      <c r="C486" s="63" t="str">
        <f t="shared" si="44"/>
        <v>SDR / Inside Sales Rep</v>
      </c>
      <c r="D486" s="62">
        <f>SUMIFS(Fact_Quota!$D:$D,Fact_Quota!$A:$A,$A486,Fact_Quota!$B:$B,"&gt;="&amp;B486,Fact_Quota!$B:$B,"&lt;"&amp;EDATE(B486,1))</f>
        <v>16200</v>
      </c>
      <c r="E486" s="62">
        <f>SUMIFS(Fact_Pipeline!$K:$K,Fact_Pipeline!$B:$B,$A486,Fact_Pipeline!$J:$J,"Won",Fact_Pipeline!$I:$I,"&gt;="&amp;B486,Fact_Pipeline!$I:$I,"&lt;"&amp;EDATE(B486,1))</f>
        <v>24900</v>
      </c>
      <c r="F486" s="63" t="b">
        <f>AND(D486&gt;0,IFERROR(E486/D486&gt;=G6,FALSE()))</f>
        <v>1</v>
      </c>
      <c r="G486" s="62">
        <f t="shared" si="41"/>
        <v>486</v>
      </c>
      <c r="H486" s="62">
        <f>IF(F486,MAX(0,MIN(E486,I6*D486)-D486)*IFERROR(INDEX($C$158:$C$161,MATCH(C486,$A$158:$A$161,0)),0),0)</f>
        <v>405</v>
      </c>
      <c r="I486" s="62">
        <f>IF(F486,MAX(0,E486-I6*D486)*IFERROR(INDEX($D$158:$D$161,MATCH(C486,$A$158:$A$161,0)),0),0)</f>
        <v>42.000000000000007</v>
      </c>
      <c r="J486" s="62">
        <f t="shared" si="42"/>
        <v>933</v>
      </c>
    </row>
    <row r="487" spans="1:10" ht="15" customHeight="1" outlineLevel="1" x14ac:dyDescent="0.2">
      <c r="A487" s="63" t="str">
        <f t="shared" si="43"/>
        <v>R014</v>
      </c>
      <c r="B487" s="64">
        <f>$A$1426</f>
        <v>45444</v>
      </c>
      <c r="C487" s="63" t="str">
        <f t="shared" si="44"/>
        <v>SDR / Inside Sales Rep</v>
      </c>
      <c r="D487" s="62">
        <f>SUMIFS(Fact_Quota!$D:$D,Fact_Quota!$A:$A,$A487,Fact_Quota!$B:$B,"&gt;="&amp;B487,Fact_Quota!$B:$B,"&lt;"&amp;EDATE(B487,1))</f>
        <v>14800</v>
      </c>
      <c r="E487" s="62">
        <f>SUMIFS(Fact_Pipeline!$K:$K,Fact_Pipeline!$B:$B,$A487,Fact_Pipeline!$J:$J,"Won",Fact_Pipeline!$I:$I,"&gt;="&amp;B487,Fact_Pipeline!$I:$I,"&lt;"&amp;EDATE(B487,1))</f>
        <v>25700</v>
      </c>
      <c r="F487" s="63" t="b">
        <f>AND(D487&gt;0,IFERROR(E487/D487&gt;=G6,FALSE()))</f>
        <v>1</v>
      </c>
      <c r="G487" s="62">
        <f t="shared" si="41"/>
        <v>444</v>
      </c>
      <c r="H487" s="62">
        <f>IF(F487,MAX(0,MIN(E487,I6*D487)-D487)*IFERROR(INDEX($C$158:$C$161,MATCH(C487,$A$158:$A$161,0)),0),0)</f>
        <v>370</v>
      </c>
      <c r="I487" s="62">
        <f>IF(F487,MAX(0,E487-I6*D487)*IFERROR(INDEX($D$158:$D$161,MATCH(C487,$A$158:$A$161,0)),0),0)</f>
        <v>245.00000000000003</v>
      </c>
      <c r="J487" s="62">
        <f t="shared" si="42"/>
        <v>1059</v>
      </c>
    </row>
    <row r="488" spans="1:10" ht="15" customHeight="1" outlineLevel="1" x14ac:dyDescent="0.2">
      <c r="A488" s="63" t="str">
        <f t="shared" si="43"/>
        <v>R014</v>
      </c>
      <c r="B488" s="64">
        <f>$A$1427</f>
        <v>45474</v>
      </c>
      <c r="C488" s="63" t="str">
        <f t="shared" si="44"/>
        <v>SDR / Inside Sales Rep</v>
      </c>
      <c r="D488" s="62">
        <f>SUMIFS(Fact_Quota!$D:$D,Fact_Quota!$A:$A,$A488,Fact_Quota!$B:$B,"&gt;="&amp;B488,Fact_Quota!$B:$B,"&lt;"&amp;EDATE(B488,1))</f>
        <v>16000</v>
      </c>
      <c r="E488" s="62">
        <f>SUMIFS(Fact_Pipeline!$K:$K,Fact_Pipeline!$B:$B,$A488,Fact_Pipeline!$J:$J,"Won",Fact_Pipeline!$I:$I,"&gt;="&amp;B488,Fact_Pipeline!$I:$I,"&lt;"&amp;EDATE(B488,1))</f>
        <v>11600</v>
      </c>
      <c r="F488" s="63" t="b">
        <f>AND(D488&gt;0,IFERROR(E488/D488&gt;=G6,FALSE()))</f>
        <v>1</v>
      </c>
      <c r="G488" s="62">
        <f t="shared" si="41"/>
        <v>348</v>
      </c>
      <c r="H488" s="62">
        <f>IF(F488,MAX(0,MIN(E488,I6*D488)-D488)*IFERROR(INDEX($C$158:$C$161,MATCH(C488,$A$158:$A$161,0)),0),0)</f>
        <v>0</v>
      </c>
      <c r="I488" s="62">
        <f>IF(F488,MAX(0,E488-I6*D488)*IFERROR(INDEX($D$158:$D$161,MATCH(C488,$A$158:$A$161,0)),0),0)</f>
        <v>0</v>
      </c>
      <c r="J488" s="62">
        <f t="shared" si="42"/>
        <v>348</v>
      </c>
    </row>
    <row r="489" spans="1:10" ht="15" customHeight="1" outlineLevel="1" x14ac:dyDescent="0.2">
      <c r="A489" s="63" t="str">
        <f t="shared" si="43"/>
        <v>R014</v>
      </c>
      <c r="B489" s="64">
        <f>$A$1428</f>
        <v>45505</v>
      </c>
      <c r="C489" s="63" t="str">
        <f t="shared" si="44"/>
        <v>SDR / Inside Sales Rep</v>
      </c>
      <c r="D489" s="62">
        <f>SUMIFS(Fact_Quota!$D:$D,Fact_Quota!$A:$A,$A489,Fact_Quota!$B:$B,"&gt;="&amp;B489,Fact_Quota!$B:$B,"&lt;"&amp;EDATE(B489,1))</f>
        <v>15500</v>
      </c>
      <c r="E489" s="62">
        <f>SUMIFS(Fact_Pipeline!$K:$K,Fact_Pipeline!$B:$B,$A489,Fact_Pipeline!$J:$J,"Won",Fact_Pipeline!$I:$I,"&gt;="&amp;B489,Fact_Pipeline!$I:$I,"&lt;"&amp;EDATE(B489,1))</f>
        <v>25600</v>
      </c>
      <c r="F489" s="63" t="b">
        <f>AND(D489&gt;0,IFERROR(E489/D489&gt;=G6,FALSE()))</f>
        <v>1</v>
      </c>
      <c r="G489" s="62">
        <f t="shared" si="41"/>
        <v>465</v>
      </c>
      <c r="H489" s="62">
        <f>IF(F489,MAX(0,MIN(E489,I6*D489)-D489)*IFERROR(INDEX($C$158:$C$161,MATCH(C489,$A$158:$A$161,0)),0),0)</f>
        <v>387.5</v>
      </c>
      <c r="I489" s="62">
        <f>IF(F489,MAX(0,E489-I6*D489)*IFERROR(INDEX($D$158:$D$161,MATCH(C489,$A$158:$A$161,0)),0),0)</f>
        <v>164.50000000000003</v>
      </c>
      <c r="J489" s="62">
        <f t="shared" si="42"/>
        <v>1017</v>
      </c>
    </row>
    <row r="490" spans="1:10" ht="15" customHeight="1" outlineLevel="1" x14ac:dyDescent="0.2">
      <c r="A490" s="63" t="str">
        <f t="shared" si="43"/>
        <v>R014</v>
      </c>
      <c r="B490" s="64">
        <f>$A$1429</f>
        <v>45536</v>
      </c>
      <c r="C490" s="63" t="str">
        <f t="shared" si="44"/>
        <v>SDR / Inside Sales Rep</v>
      </c>
      <c r="D490" s="62">
        <f>SUMIFS(Fact_Quota!$D:$D,Fact_Quota!$A:$A,$A490,Fact_Quota!$B:$B,"&gt;="&amp;B490,Fact_Quota!$B:$B,"&lt;"&amp;EDATE(B490,1))</f>
        <v>15000</v>
      </c>
      <c r="E490" s="62">
        <f>SUMIFS(Fact_Pipeline!$K:$K,Fact_Pipeline!$B:$B,$A490,Fact_Pipeline!$J:$J,"Won",Fact_Pipeline!$I:$I,"&gt;="&amp;B490,Fact_Pipeline!$I:$I,"&lt;"&amp;EDATE(B490,1))</f>
        <v>0</v>
      </c>
      <c r="F490" s="63" t="b">
        <f>AND(D490&gt;0,IFERROR(E490/D490&gt;=G6,FALSE()))</f>
        <v>0</v>
      </c>
      <c r="G490" s="62">
        <f t="shared" si="41"/>
        <v>0</v>
      </c>
      <c r="H490" s="62">
        <f>IF(F490,MAX(0,MIN(E490,I6*D490)-D490)*IFERROR(INDEX($C$158:$C$161,MATCH(C490,$A$158:$A$161,0)),0),0)</f>
        <v>0</v>
      </c>
      <c r="I490" s="62">
        <f>IF(F490,MAX(0,E490-I6*D490)*IFERROR(INDEX($D$158:$D$161,MATCH(C490,$A$158:$A$161,0)),0),0)</f>
        <v>0</v>
      </c>
      <c r="J490" s="62">
        <f t="shared" si="42"/>
        <v>0</v>
      </c>
    </row>
    <row r="491" spans="1:10" ht="15" customHeight="1" outlineLevel="1" x14ac:dyDescent="0.2">
      <c r="A491" s="63" t="str">
        <f t="shared" si="43"/>
        <v>R014</v>
      </c>
      <c r="B491" s="64">
        <f>$A$1430</f>
        <v>45566</v>
      </c>
      <c r="C491" s="63" t="str">
        <f t="shared" si="44"/>
        <v>SDR / Inside Sales Rep</v>
      </c>
      <c r="D491" s="62">
        <f>SUMIFS(Fact_Quota!$D:$D,Fact_Quota!$A:$A,$A491,Fact_Quota!$B:$B,"&gt;="&amp;B491,Fact_Quota!$B:$B,"&lt;"&amp;EDATE(B491,1))</f>
        <v>15700</v>
      </c>
      <c r="E491" s="62">
        <f>SUMIFS(Fact_Pipeline!$K:$K,Fact_Pipeline!$B:$B,$A491,Fact_Pipeline!$J:$J,"Won",Fact_Pipeline!$I:$I,"&gt;="&amp;B491,Fact_Pipeline!$I:$I,"&lt;"&amp;EDATE(B491,1))</f>
        <v>8200</v>
      </c>
      <c r="F491" s="63" t="b">
        <f>AND(D491&gt;0,IFERROR(E491/D491&gt;=G6,FALSE()))</f>
        <v>1</v>
      </c>
      <c r="G491" s="62">
        <f t="shared" si="41"/>
        <v>246</v>
      </c>
      <c r="H491" s="62">
        <f>IF(F491,MAX(0,MIN(E491,I6*D491)-D491)*IFERROR(INDEX($C$158:$C$161,MATCH(C491,$A$158:$A$161,0)),0),0)</f>
        <v>0</v>
      </c>
      <c r="I491" s="62">
        <f>IF(F491,MAX(0,E491-I6*D491)*IFERROR(INDEX($D$158:$D$161,MATCH(C491,$A$158:$A$161,0)),0),0)</f>
        <v>0</v>
      </c>
      <c r="J491" s="62">
        <f t="shared" si="42"/>
        <v>246</v>
      </c>
    </row>
    <row r="492" spans="1:10" ht="15" customHeight="1" outlineLevel="1" x14ac:dyDescent="0.2">
      <c r="A492" s="63" t="str">
        <f t="shared" si="43"/>
        <v>R014</v>
      </c>
      <c r="B492" s="64">
        <f>$A$1431</f>
        <v>45597</v>
      </c>
      <c r="C492" s="63" t="str">
        <f t="shared" si="44"/>
        <v>SDR / Inside Sales Rep</v>
      </c>
      <c r="D492" s="62">
        <f>SUMIFS(Fact_Quota!$D:$D,Fact_Quota!$A:$A,$A492,Fact_Quota!$B:$B,"&gt;="&amp;B492,Fact_Quota!$B:$B,"&lt;"&amp;EDATE(B492,1))</f>
        <v>15600</v>
      </c>
      <c r="E492" s="62">
        <f>SUMIFS(Fact_Pipeline!$K:$K,Fact_Pipeline!$B:$B,$A492,Fact_Pipeline!$J:$J,"Won",Fact_Pipeline!$I:$I,"&gt;="&amp;B492,Fact_Pipeline!$I:$I,"&lt;"&amp;EDATE(B492,1))</f>
        <v>28500</v>
      </c>
      <c r="F492" s="63" t="b">
        <f>AND(D492&gt;0,IFERROR(E492/D492&gt;=G6,FALSE()))</f>
        <v>1</v>
      </c>
      <c r="G492" s="62">
        <f t="shared" si="41"/>
        <v>468</v>
      </c>
      <c r="H492" s="62">
        <f>IF(F492,MAX(0,MIN(E492,I6*D492)-D492)*IFERROR(INDEX($C$158:$C$161,MATCH(C492,$A$158:$A$161,0)),0),0)</f>
        <v>390</v>
      </c>
      <c r="I492" s="62">
        <f>IF(F492,MAX(0,E492-I6*D492)*IFERROR(INDEX($D$158:$D$161,MATCH(C492,$A$158:$A$161,0)),0),0)</f>
        <v>357.00000000000006</v>
      </c>
      <c r="J492" s="62">
        <f t="shared" si="42"/>
        <v>1215</v>
      </c>
    </row>
    <row r="493" spans="1:10" ht="15" customHeight="1" outlineLevel="1" x14ac:dyDescent="0.2">
      <c r="A493" s="63" t="str">
        <f t="shared" si="43"/>
        <v>R014</v>
      </c>
      <c r="B493" s="64">
        <f>$A$1432</f>
        <v>45627</v>
      </c>
      <c r="C493" s="63" t="str">
        <f t="shared" si="44"/>
        <v>SDR / Inside Sales Rep</v>
      </c>
      <c r="D493" s="62">
        <f>SUMIFS(Fact_Quota!$D:$D,Fact_Quota!$A:$A,$A493,Fact_Quota!$B:$B,"&gt;="&amp;B493,Fact_Quota!$B:$B,"&lt;"&amp;EDATE(B493,1))</f>
        <v>15200</v>
      </c>
      <c r="E493" s="62">
        <f>SUMIFS(Fact_Pipeline!$K:$K,Fact_Pipeline!$B:$B,$A493,Fact_Pipeline!$J:$J,"Won",Fact_Pipeline!$I:$I,"&gt;="&amp;B493,Fact_Pipeline!$I:$I,"&lt;"&amp;EDATE(B493,1))</f>
        <v>33300</v>
      </c>
      <c r="F493" s="63" t="b">
        <f>AND(D493&gt;0,IFERROR(E493/D493&gt;=G6,FALSE()))</f>
        <v>1</v>
      </c>
      <c r="G493" s="62">
        <f t="shared" si="41"/>
        <v>456</v>
      </c>
      <c r="H493" s="62">
        <f>IF(F493,MAX(0,MIN(E493,I6*D493)-D493)*IFERROR(INDEX($C$158:$C$161,MATCH(C493,$A$158:$A$161,0)),0),0)</f>
        <v>380</v>
      </c>
      <c r="I493" s="62">
        <f>IF(F493,MAX(0,E493-I6*D493)*IFERROR(INDEX($D$158:$D$161,MATCH(C493,$A$158:$A$161,0)),0),0)</f>
        <v>735.00000000000011</v>
      </c>
      <c r="J493" s="62">
        <f t="shared" si="42"/>
        <v>1571</v>
      </c>
    </row>
    <row r="494" spans="1:10" ht="15" customHeight="1" outlineLevel="1" x14ac:dyDescent="0.2">
      <c r="A494" s="63" t="str">
        <f t="shared" si="43"/>
        <v>R014</v>
      </c>
      <c r="B494" s="64">
        <f>$A$1433</f>
        <v>45658</v>
      </c>
      <c r="C494" s="63" t="str">
        <f t="shared" si="44"/>
        <v>SDR / Inside Sales Rep</v>
      </c>
      <c r="D494" s="62">
        <f>SUMIFS(Fact_Quota!$D:$D,Fact_Quota!$A:$A,$A494,Fact_Quota!$B:$B,"&gt;="&amp;B494,Fact_Quota!$B:$B,"&lt;"&amp;EDATE(B494,1))</f>
        <v>15500</v>
      </c>
      <c r="E494" s="62">
        <f>SUMIFS(Fact_Pipeline!$K:$K,Fact_Pipeline!$B:$B,$A494,Fact_Pipeline!$J:$J,"Won",Fact_Pipeline!$I:$I,"&gt;="&amp;B494,Fact_Pipeline!$I:$I,"&lt;"&amp;EDATE(B494,1))</f>
        <v>15600</v>
      </c>
      <c r="F494" s="63" t="b">
        <f>AND(D494&gt;0,IFERROR(E494/D494&gt;=G6,FALSE()))</f>
        <v>1</v>
      </c>
      <c r="G494" s="62">
        <f t="shared" si="41"/>
        <v>465</v>
      </c>
      <c r="H494" s="62">
        <f>IF(F494,MAX(0,MIN(E494,I6*D494)-D494)*IFERROR(INDEX($C$158:$C$161,MATCH(C494,$A$158:$A$161,0)),0),0)</f>
        <v>5</v>
      </c>
      <c r="I494" s="62">
        <f>IF(F494,MAX(0,E494-I6*D494)*IFERROR(INDEX($D$158:$D$161,MATCH(C494,$A$158:$A$161,0)),0),0)</f>
        <v>0</v>
      </c>
      <c r="J494" s="62">
        <f t="shared" si="42"/>
        <v>470</v>
      </c>
    </row>
    <row r="495" spans="1:10" ht="15" customHeight="1" outlineLevel="1" x14ac:dyDescent="0.2">
      <c r="A495" s="63" t="str">
        <f t="shared" si="43"/>
        <v>R014</v>
      </c>
      <c r="B495" s="64">
        <f>$A$1434</f>
        <v>45689</v>
      </c>
      <c r="C495" s="63" t="str">
        <f t="shared" si="44"/>
        <v>SDR / Inside Sales Rep</v>
      </c>
      <c r="D495" s="62">
        <f>SUMIFS(Fact_Quota!$D:$D,Fact_Quota!$A:$A,$A495,Fact_Quota!$B:$B,"&gt;="&amp;B495,Fact_Quota!$B:$B,"&lt;"&amp;EDATE(B495,1))</f>
        <v>15300</v>
      </c>
      <c r="E495" s="62">
        <f>SUMIFS(Fact_Pipeline!$K:$K,Fact_Pipeline!$B:$B,$A495,Fact_Pipeline!$J:$J,"Won",Fact_Pipeline!$I:$I,"&gt;="&amp;B495,Fact_Pipeline!$I:$I,"&lt;"&amp;EDATE(B495,1))</f>
        <v>12600</v>
      </c>
      <c r="F495" s="63" t="b">
        <f>AND(D495&gt;0,IFERROR(E495/D495&gt;=G6,FALSE()))</f>
        <v>1</v>
      </c>
      <c r="G495" s="62">
        <f t="shared" si="41"/>
        <v>378</v>
      </c>
      <c r="H495" s="62">
        <f>IF(F495,MAX(0,MIN(E495,I6*D495)-D495)*IFERROR(INDEX($C$158:$C$161,MATCH(C495,$A$158:$A$161,0)),0),0)</f>
        <v>0</v>
      </c>
      <c r="I495" s="62">
        <f>IF(F495,MAX(0,E495-I6*D495)*IFERROR(INDEX($D$158:$D$161,MATCH(C495,$A$158:$A$161,0)),0),0)</f>
        <v>0</v>
      </c>
      <c r="J495" s="62">
        <f t="shared" si="42"/>
        <v>378</v>
      </c>
    </row>
    <row r="496" spans="1:10" ht="15" customHeight="1" outlineLevel="1" x14ac:dyDescent="0.2">
      <c r="A496" s="63" t="str">
        <f t="shared" si="43"/>
        <v>R014</v>
      </c>
      <c r="B496" s="64">
        <f>$A$1435</f>
        <v>45717</v>
      </c>
      <c r="C496" s="63" t="str">
        <f t="shared" si="44"/>
        <v>SDR / Inside Sales Rep</v>
      </c>
      <c r="D496" s="62">
        <f>SUMIFS(Fact_Quota!$D:$D,Fact_Quota!$A:$A,$A496,Fact_Quota!$B:$B,"&gt;="&amp;B496,Fact_Quota!$B:$B,"&lt;"&amp;EDATE(B496,1))</f>
        <v>15600</v>
      </c>
      <c r="E496" s="62">
        <f>SUMIFS(Fact_Pipeline!$K:$K,Fact_Pipeline!$B:$B,$A496,Fact_Pipeline!$J:$J,"Won",Fact_Pipeline!$I:$I,"&gt;="&amp;B496,Fact_Pipeline!$I:$I,"&lt;"&amp;EDATE(B496,1))</f>
        <v>21100</v>
      </c>
      <c r="F496" s="63" t="b">
        <f>AND(D496&gt;0,IFERROR(E496/D496&gt;=G6,FALSE()))</f>
        <v>1</v>
      </c>
      <c r="G496" s="62">
        <f t="shared" si="41"/>
        <v>468</v>
      </c>
      <c r="H496" s="62">
        <f>IF(F496,MAX(0,MIN(E496,I6*D496)-D496)*IFERROR(INDEX($C$158:$C$161,MATCH(C496,$A$158:$A$161,0)),0),0)</f>
        <v>275</v>
      </c>
      <c r="I496" s="62">
        <f>IF(F496,MAX(0,E496-I6*D496)*IFERROR(INDEX($D$158:$D$161,MATCH(C496,$A$158:$A$161,0)),0),0)</f>
        <v>0</v>
      </c>
      <c r="J496" s="62">
        <f t="shared" si="42"/>
        <v>743</v>
      </c>
    </row>
    <row r="497" spans="1:10" ht="15" customHeight="1" outlineLevel="1" x14ac:dyDescent="0.2">
      <c r="A497" s="63" t="str">
        <f t="shared" si="43"/>
        <v>R014</v>
      </c>
      <c r="B497" s="64">
        <f>$A$1436</f>
        <v>45748</v>
      </c>
      <c r="C497" s="63" t="str">
        <f t="shared" si="44"/>
        <v>SDR / Inside Sales Rep</v>
      </c>
      <c r="D497" s="62">
        <f>SUMIFS(Fact_Quota!$D:$D,Fact_Quota!$A:$A,$A497,Fact_Quota!$B:$B,"&gt;="&amp;B497,Fact_Quota!$B:$B,"&lt;"&amp;EDATE(B497,1))</f>
        <v>15800</v>
      </c>
      <c r="E497" s="62">
        <f>SUMIFS(Fact_Pipeline!$K:$K,Fact_Pipeline!$B:$B,$A497,Fact_Pipeline!$J:$J,"Won",Fact_Pipeline!$I:$I,"&gt;="&amp;B497,Fact_Pipeline!$I:$I,"&lt;"&amp;EDATE(B497,1))</f>
        <v>14200</v>
      </c>
      <c r="F497" s="63" t="b">
        <f>AND(D497&gt;0,IFERROR(E497/D497&gt;=G6,FALSE()))</f>
        <v>1</v>
      </c>
      <c r="G497" s="62">
        <f t="shared" si="41"/>
        <v>426</v>
      </c>
      <c r="H497" s="62">
        <f>IF(F497,MAX(0,MIN(E497,I6*D497)-D497)*IFERROR(INDEX($C$158:$C$161,MATCH(C497,$A$158:$A$161,0)),0),0)</f>
        <v>0</v>
      </c>
      <c r="I497" s="62">
        <f>IF(F497,MAX(0,E497-I6*D497)*IFERROR(INDEX($D$158:$D$161,MATCH(C497,$A$158:$A$161,0)),0),0)</f>
        <v>0</v>
      </c>
      <c r="J497" s="62">
        <f t="shared" si="42"/>
        <v>426</v>
      </c>
    </row>
    <row r="498" spans="1:10" ht="15" customHeight="1" outlineLevel="1" x14ac:dyDescent="0.2">
      <c r="A498" s="63" t="str">
        <f t="shared" si="43"/>
        <v>R014</v>
      </c>
      <c r="B498" s="64">
        <f>$A$1437</f>
        <v>45778</v>
      </c>
      <c r="C498" s="63" t="str">
        <f t="shared" si="44"/>
        <v>SDR / Inside Sales Rep</v>
      </c>
      <c r="D498" s="62">
        <f>SUMIFS(Fact_Quota!$D:$D,Fact_Quota!$A:$A,$A498,Fact_Quota!$B:$B,"&gt;="&amp;B498,Fact_Quota!$B:$B,"&lt;"&amp;EDATE(B498,1))</f>
        <v>16200</v>
      </c>
      <c r="E498" s="62">
        <f>SUMIFS(Fact_Pipeline!$K:$K,Fact_Pipeline!$B:$B,$A498,Fact_Pipeline!$J:$J,"Won",Fact_Pipeline!$I:$I,"&gt;="&amp;B498,Fact_Pipeline!$I:$I,"&lt;"&amp;EDATE(B498,1))</f>
        <v>6200</v>
      </c>
      <c r="F498" s="63" t="b">
        <f>AND(D498&gt;0,IFERROR(E498/D498&gt;=G6,FALSE()))</f>
        <v>0</v>
      </c>
      <c r="G498" s="62">
        <f t="shared" si="41"/>
        <v>0</v>
      </c>
      <c r="H498" s="62">
        <f>IF(F498,MAX(0,MIN(E498,I6*D498)-D498)*IFERROR(INDEX($C$158:$C$161,MATCH(C498,$A$158:$A$161,0)),0),0)</f>
        <v>0</v>
      </c>
      <c r="I498" s="62">
        <f>IF(F498,MAX(0,E498-I6*D498)*IFERROR(INDEX($D$158:$D$161,MATCH(C498,$A$158:$A$161,0)),0),0)</f>
        <v>0</v>
      </c>
      <c r="J498" s="62">
        <f t="shared" si="42"/>
        <v>0</v>
      </c>
    </row>
    <row r="499" spans="1:10" ht="15" customHeight="1" outlineLevel="1" x14ac:dyDescent="0.2">
      <c r="A499" s="63" t="str">
        <f t="shared" si="43"/>
        <v>R014</v>
      </c>
      <c r="B499" s="64">
        <f>$A$1438</f>
        <v>45809</v>
      </c>
      <c r="C499" s="63" t="str">
        <f t="shared" si="44"/>
        <v>SDR / Inside Sales Rep</v>
      </c>
      <c r="D499" s="62">
        <f>SUMIFS(Fact_Quota!$D:$D,Fact_Quota!$A:$A,$A499,Fact_Quota!$B:$B,"&gt;="&amp;B499,Fact_Quota!$B:$B,"&lt;"&amp;EDATE(B499,1))</f>
        <v>14900</v>
      </c>
      <c r="E499" s="62">
        <f>SUMIFS(Fact_Pipeline!$K:$K,Fact_Pipeline!$B:$B,$A499,Fact_Pipeline!$J:$J,"Won",Fact_Pipeline!$I:$I,"&gt;="&amp;B499,Fact_Pipeline!$I:$I,"&lt;"&amp;EDATE(B499,1))</f>
        <v>0</v>
      </c>
      <c r="F499" s="63" t="b">
        <f>AND(D499&gt;0,IFERROR(E499/D499&gt;=G6,FALSE()))</f>
        <v>0</v>
      </c>
      <c r="G499" s="62">
        <f t="shared" si="41"/>
        <v>0</v>
      </c>
      <c r="H499" s="62">
        <f>IF(F499,MAX(0,MIN(E499,I6*D499)-D499)*IFERROR(INDEX($C$158:$C$161,MATCH(C499,$A$158:$A$161,0)),0),0)</f>
        <v>0</v>
      </c>
      <c r="I499" s="62">
        <f>IF(F499,MAX(0,E499-I6*D499)*IFERROR(INDEX($D$158:$D$161,MATCH(C499,$A$158:$A$161,0)),0),0)</f>
        <v>0</v>
      </c>
      <c r="J499" s="62">
        <f t="shared" si="42"/>
        <v>0</v>
      </c>
    </row>
    <row r="500" spans="1:10" ht="15" customHeight="1" outlineLevel="1" x14ac:dyDescent="0.2">
      <c r="A500" s="63" t="str">
        <f t="shared" si="43"/>
        <v>R014</v>
      </c>
      <c r="B500" s="64">
        <f>$A$1439</f>
        <v>45839</v>
      </c>
      <c r="C500" s="63" t="str">
        <f t="shared" si="44"/>
        <v>SDR / Inside Sales Rep</v>
      </c>
      <c r="D500" s="62">
        <f>SUMIFS(Fact_Quota!$D:$D,Fact_Quota!$A:$A,$A500,Fact_Quota!$B:$B,"&gt;="&amp;B500,Fact_Quota!$B:$B,"&lt;"&amp;EDATE(B500,1))</f>
        <v>16500</v>
      </c>
      <c r="E500" s="62">
        <f>SUMIFS(Fact_Pipeline!$K:$K,Fact_Pipeline!$B:$B,$A500,Fact_Pipeline!$J:$J,"Won",Fact_Pipeline!$I:$I,"&gt;="&amp;B500,Fact_Pipeline!$I:$I,"&lt;"&amp;EDATE(B500,1))</f>
        <v>30400</v>
      </c>
      <c r="F500" s="63" t="b">
        <f>AND(D500&gt;0,IFERROR(E500/D500&gt;=G6,FALSE()))</f>
        <v>1</v>
      </c>
      <c r="G500" s="62">
        <f t="shared" si="41"/>
        <v>495</v>
      </c>
      <c r="H500" s="62">
        <f>IF(F500,MAX(0,MIN(E500,I6*D500)-D500)*IFERROR(INDEX($C$158:$C$161,MATCH(C500,$A$158:$A$161,0)),0),0)</f>
        <v>412.5</v>
      </c>
      <c r="I500" s="62">
        <f>IF(F500,MAX(0,E500-I6*D500)*IFERROR(INDEX($D$158:$D$161,MATCH(C500,$A$158:$A$161,0)),0),0)</f>
        <v>395.50000000000006</v>
      </c>
      <c r="J500" s="62">
        <f t="shared" si="42"/>
        <v>1303</v>
      </c>
    </row>
    <row r="501" spans="1:10" ht="15" customHeight="1" outlineLevel="1" x14ac:dyDescent="0.2">
      <c r="A501" s="63" t="str">
        <f t="shared" si="43"/>
        <v>R014</v>
      </c>
      <c r="B501" s="64">
        <f>$A$1440</f>
        <v>45870</v>
      </c>
      <c r="C501" s="63" t="str">
        <f t="shared" si="44"/>
        <v>SDR / Inside Sales Rep</v>
      </c>
      <c r="D501" s="62">
        <f>SUMIFS(Fact_Quota!$D:$D,Fact_Quota!$A:$A,$A501,Fact_Quota!$B:$B,"&gt;="&amp;B501,Fact_Quota!$B:$B,"&lt;"&amp;EDATE(B501,1))</f>
        <v>14600</v>
      </c>
      <c r="E501" s="62">
        <f>SUMIFS(Fact_Pipeline!$K:$K,Fact_Pipeline!$B:$B,$A501,Fact_Pipeline!$J:$J,"Won",Fact_Pipeline!$I:$I,"&gt;="&amp;B501,Fact_Pipeline!$I:$I,"&lt;"&amp;EDATE(B501,1))</f>
        <v>17000</v>
      </c>
      <c r="F501" s="63" t="b">
        <f>AND(D501&gt;0,IFERROR(E501/D501&gt;=G6,FALSE()))</f>
        <v>1</v>
      </c>
      <c r="G501" s="62">
        <f t="shared" si="41"/>
        <v>438</v>
      </c>
      <c r="H501" s="62">
        <f>IF(F501,MAX(0,MIN(E501,I6*D501)-D501)*IFERROR(INDEX($C$158:$C$161,MATCH(C501,$A$158:$A$161,0)),0),0)</f>
        <v>120</v>
      </c>
      <c r="I501" s="62">
        <f>IF(F501,MAX(0,E501-I6*D501)*IFERROR(INDEX($D$158:$D$161,MATCH(C501,$A$158:$A$161,0)),0),0)</f>
        <v>0</v>
      </c>
      <c r="J501" s="62">
        <f t="shared" si="42"/>
        <v>558</v>
      </c>
    </row>
    <row r="502" spans="1:10" ht="15" customHeight="1" outlineLevel="1" x14ac:dyDescent="0.2">
      <c r="A502" s="63" t="str">
        <f t="shared" si="43"/>
        <v>R014</v>
      </c>
      <c r="B502" s="64">
        <f>$A$1441</f>
        <v>45901</v>
      </c>
      <c r="C502" s="63" t="str">
        <f t="shared" si="44"/>
        <v>SDR / Inside Sales Rep</v>
      </c>
      <c r="D502" s="62">
        <f>SUMIFS(Fact_Quota!$D:$D,Fact_Quota!$A:$A,$A502,Fact_Quota!$B:$B,"&gt;="&amp;B502,Fact_Quota!$B:$B,"&lt;"&amp;EDATE(B502,1))</f>
        <v>15400</v>
      </c>
      <c r="E502" s="62">
        <f>SUMIFS(Fact_Pipeline!$K:$K,Fact_Pipeline!$B:$B,$A502,Fact_Pipeline!$J:$J,"Won",Fact_Pipeline!$I:$I,"&gt;="&amp;B502,Fact_Pipeline!$I:$I,"&lt;"&amp;EDATE(B502,1))</f>
        <v>2800</v>
      </c>
      <c r="F502" s="63" t="b">
        <f>AND(D502&gt;0,IFERROR(E502/D502&gt;=G6,FALSE()))</f>
        <v>0</v>
      </c>
      <c r="G502" s="62">
        <f t="shared" si="41"/>
        <v>0</v>
      </c>
      <c r="H502" s="62">
        <f>IF(F502,MAX(0,MIN(E502,I6*D502)-D502)*IFERROR(INDEX($C$158:$C$161,MATCH(C502,$A$158:$A$161,0)),0),0)</f>
        <v>0</v>
      </c>
      <c r="I502" s="62">
        <f>IF(F502,MAX(0,E502-I6*D502)*IFERROR(INDEX($D$158:$D$161,MATCH(C502,$A$158:$A$161,0)),0),0)</f>
        <v>0</v>
      </c>
      <c r="J502" s="62">
        <f t="shared" si="42"/>
        <v>0</v>
      </c>
    </row>
    <row r="503" spans="1:10" ht="15" customHeight="1" outlineLevel="1" x14ac:dyDescent="0.2">
      <c r="A503" s="63" t="str">
        <f t="shared" si="43"/>
        <v>R014</v>
      </c>
      <c r="B503" s="64">
        <f>$A$1442</f>
        <v>45931</v>
      </c>
      <c r="C503" s="63" t="str">
        <f t="shared" si="44"/>
        <v>SDR / Inside Sales Rep</v>
      </c>
      <c r="D503" s="62">
        <f>SUMIFS(Fact_Quota!$D:$D,Fact_Quota!$A:$A,$A503,Fact_Quota!$B:$B,"&gt;="&amp;B503,Fact_Quota!$B:$B,"&lt;"&amp;EDATE(B503,1))</f>
        <v>15800</v>
      </c>
      <c r="E503" s="62">
        <f>SUMIFS(Fact_Pipeline!$K:$K,Fact_Pipeline!$B:$B,$A503,Fact_Pipeline!$J:$J,"Won",Fact_Pipeline!$I:$I,"&gt;="&amp;B503,Fact_Pipeline!$I:$I,"&lt;"&amp;EDATE(B503,1))</f>
        <v>5400</v>
      </c>
      <c r="F503" s="63" t="b">
        <f>AND(D503&gt;0,IFERROR(E503/D503&gt;=G6,FALSE()))</f>
        <v>0</v>
      </c>
      <c r="G503" s="62">
        <f t="shared" si="41"/>
        <v>0</v>
      </c>
      <c r="H503" s="62">
        <f>IF(F503,MAX(0,MIN(E503,I6*D503)-D503)*IFERROR(INDEX($C$158:$C$161,MATCH(C503,$A$158:$A$161,0)),0),0)</f>
        <v>0</v>
      </c>
      <c r="I503" s="62">
        <f>IF(F503,MAX(0,E503-I6*D503)*IFERROR(INDEX($D$158:$D$161,MATCH(C503,$A$158:$A$161,0)),0),0)</f>
        <v>0</v>
      </c>
      <c r="J503" s="62">
        <f t="shared" si="42"/>
        <v>0</v>
      </c>
    </row>
    <row r="504" spans="1:10" ht="15" customHeight="1" outlineLevel="1" x14ac:dyDescent="0.2">
      <c r="A504" s="63" t="str">
        <f t="shared" si="43"/>
        <v>R014</v>
      </c>
      <c r="B504" s="64">
        <f>$A$1443</f>
        <v>45962</v>
      </c>
      <c r="C504" s="63" t="str">
        <f t="shared" si="44"/>
        <v>SDR / Inside Sales Rep</v>
      </c>
      <c r="D504" s="62">
        <f>SUMIFS(Fact_Quota!$D:$D,Fact_Quota!$A:$A,$A504,Fact_Quota!$B:$B,"&gt;="&amp;B504,Fact_Quota!$B:$B,"&lt;"&amp;EDATE(B504,1))</f>
        <v>15600</v>
      </c>
      <c r="E504" s="62">
        <f>SUMIFS(Fact_Pipeline!$K:$K,Fact_Pipeline!$B:$B,$A504,Fact_Pipeline!$J:$J,"Won",Fact_Pipeline!$I:$I,"&gt;="&amp;B504,Fact_Pipeline!$I:$I,"&lt;"&amp;EDATE(B504,1))</f>
        <v>5500</v>
      </c>
      <c r="F504" s="63" t="b">
        <f>AND(D504&gt;0,IFERROR(E504/D504&gt;=G6,FALSE()))</f>
        <v>0</v>
      </c>
      <c r="G504" s="62">
        <f t="shared" si="41"/>
        <v>0</v>
      </c>
      <c r="H504" s="62">
        <f>IF(F504,MAX(0,MIN(E504,I6*D504)-D504)*IFERROR(INDEX($C$158:$C$161,MATCH(C504,$A$158:$A$161,0)),0),0)</f>
        <v>0</v>
      </c>
      <c r="I504" s="62">
        <f>IF(F504,MAX(0,E504-I6*D504)*IFERROR(INDEX($D$158:$D$161,MATCH(C504,$A$158:$A$161,0)),0),0)</f>
        <v>0</v>
      </c>
      <c r="J504" s="62">
        <f t="shared" si="42"/>
        <v>0</v>
      </c>
    </row>
    <row r="505" spans="1:10" ht="15" customHeight="1" outlineLevel="1" x14ac:dyDescent="0.2">
      <c r="A505" s="63" t="str">
        <f t="shared" si="43"/>
        <v>R014</v>
      </c>
      <c r="B505" s="64">
        <f>$A$1444</f>
        <v>45992</v>
      </c>
      <c r="C505" s="63" t="str">
        <f t="shared" si="44"/>
        <v>SDR / Inside Sales Rep</v>
      </c>
      <c r="D505" s="62">
        <f>SUMIFS(Fact_Quota!$D:$D,Fact_Quota!$A:$A,$A505,Fact_Quota!$B:$B,"&gt;="&amp;B505,Fact_Quota!$B:$B,"&lt;"&amp;EDATE(B505,1))</f>
        <v>15200</v>
      </c>
      <c r="E505" s="62">
        <f>SUMIFS(Fact_Pipeline!$K:$K,Fact_Pipeline!$B:$B,$A505,Fact_Pipeline!$J:$J,"Won",Fact_Pipeline!$I:$I,"&gt;="&amp;B505,Fact_Pipeline!$I:$I,"&lt;"&amp;EDATE(B505,1))</f>
        <v>14900</v>
      </c>
      <c r="F505" s="63" t="b">
        <f>AND(D505&gt;0,IFERROR(E505/D505&gt;=G6,FALSE()))</f>
        <v>1</v>
      </c>
      <c r="G505" s="62">
        <f t="shared" si="41"/>
        <v>447</v>
      </c>
      <c r="H505" s="62">
        <f>IF(F505,MAX(0,MIN(E505,I6*D505)-D505)*IFERROR(INDEX($C$158:$C$161,MATCH(C505,$A$158:$A$161,0)),0),0)</f>
        <v>0</v>
      </c>
      <c r="I505" s="62">
        <f>IF(F505,MAX(0,E505-I6*D505)*IFERROR(INDEX($D$158:$D$161,MATCH(C505,$A$158:$A$161,0)),0),0)</f>
        <v>0</v>
      </c>
      <c r="J505" s="62">
        <f t="shared" si="42"/>
        <v>447</v>
      </c>
    </row>
    <row r="506" spans="1:10" ht="15" customHeight="1" outlineLevel="1" x14ac:dyDescent="0.2">
      <c r="A506" s="66" t="str">
        <f t="shared" ref="A506:A529" si="45">$A$177</f>
        <v>R015</v>
      </c>
      <c r="B506" s="67">
        <f>$A$1421</f>
        <v>45292</v>
      </c>
      <c r="C506" s="66" t="str">
        <f t="shared" ref="C506:C529" si="46">$C$177</f>
        <v>SDR / Inside Sales Rep</v>
      </c>
      <c r="D506" s="65">
        <f>SUMIFS(Fact_Quota!$D:$D,Fact_Quota!$A:$A,$A506,Fact_Quota!$B:$B,"&gt;="&amp;B506,Fact_Quota!$B:$B,"&lt;"&amp;EDATE(B506,1))</f>
        <v>0</v>
      </c>
      <c r="E506" s="65">
        <f>SUMIFS(Fact_Pipeline!$K:$K,Fact_Pipeline!$B:$B,$A506,Fact_Pipeline!$J:$J,"Won",Fact_Pipeline!$I:$I,"&gt;="&amp;B506,Fact_Pipeline!$I:$I,"&lt;"&amp;EDATE(B506,1))</f>
        <v>0</v>
      </c>
      <c r="F506" s="66" t="b">
        <f>AND(D506&gt;0,IFERROR(E506/D506&gt;=G6,FALSE()))</f>
        <v>0</v>
      </c>
      <c r="G506" s="65">
        <f t="shared" si="41"/>
        <v>0</v>
      </c>
      <c r="H506" s="65">
        <f>IF(F506,MAX(0,MIN(E506,I6*D506)-D506)*IFERROR(INDEX($C$158:$C$161,MATCH(C506,$A$158:$A$161,0)),0),0)</f>
        <v>0</v>
      </c>
      <c r="I506" s="65">
        <f>IF(F506,MAX(0,E506-I6*D506)*IFERROR(INDEX($D$158:$D$161,MATCH(C506,$A$158:$A$161,0)),0),0)</f>
        <v>0</v>
      </c>
      <c r="J506" s="65">
        <f t="shared" si="42"/>
        <v>0</v>
      </c>
    </row>
    <row r="507" spans="1:10" ht="15" customHeight="1" outlineLevel="1" x14ac:dyDescent="0.2">
      <c r="A507" s="66" t="str">
        <f t="shared" si="45"/>
        <v>R015</v>
      </c>
      <c r="B507" s="67">
        <f>$A$1422</f>
        <v>45323</v>
      </c>
      <c r="C507" s="66" t="str">
        <f t="shared" si="46"/>
        <v>SDR / Inside Sales Rep</v>
      </c>
      <c r="D507" s="65">
        <f>SUMIFS(Fact_Quota!$D:$D,Fact_Quota!$A:$A,$A507,Fact_Quota!$B:$B,"&gt;="&amp;B507,Fact_Quota!$B:$B,"&lt;"&amp;EDATE(B507,1))</f>
        <v>0</v>
      </c>
      <c r="E507" s="65">
        <f>SUMIFS(Fact_Pipeline!$K:$K,Fact_Pipeline!$B:$B,$A507,Fact_Pipeline!$J:$J,"Won",Fact_Pipeline!$I:$I,"&gt;="&amp;B507,Fact_Pipeline!$I:$I,"&lt;"&amp;EDATE(B507,1))</f>
        <v>0</v>
      </c>
      <c r="F507" s="66" t="b">
        <f>AND(D507&gt;0,IFERROR(E507/D507&gt;=G6,FALSE()))</f>
        <v>0</v>
      </c>
      <c r="G507" s="65">
        <f t="shared" si="41"/>
        <v>0</v>
      </c>
      <c r="H507" s="65">
        <f>IF(F507,MAX(0,MIN(E507,I6*D507)-D507)*IFERROR(INDEX($C$158:$C$161,MATCH(C507,$A$158:$A$161,0)),0),0)</f>
        <v>0</v>
      </c>
      <c r="I507" s="65">
        <f>IF(F507,MAX(0,E507-I6*D507)*IFERROR(INDEX($D$158:$D$161,MATCH(C507,$A$158:$A$161,0)),0),0)</f>
        <v>0</v>
      </c>
      <c r="J507" s="65">
        <f t="shared" si="42"/>
        <v>0</v>
      </c>
    </row>
    <row r="508" spans="1:10" ht="15" customHeight="1" outlineLevel="1" x14ac:dyDescent="0.2">
      <c r="A508" s="66" t="str">
        <f t="shared" si="45"/>
        <v>R015</v>
      </c>
      <c r="B508" s="67">
        <f>$A$1423</f>
        <v>45352</v>
      </c>
      <c r="C508" s="66" t="str">
        <f t="shared" si="46"/>
        <v>SDR / Inside Sales Rep</v>
      </c>
      <c r="D508" s="65">
        <f>SUMIFS(Fact_Quota!$D:$D,Fact_Quota!$A:$A,$A508,Fact_Quota!$B:$B,"&gt;="&amp;B508,Fact_Quota!$B:$B,"&lt;"&amp;EDATE(B508,1))</f>
        <v>0</v>
      </c>
      <c r="E508" s="65">
        <f>SUMIFS(Fact_Pipeline!$K:$K,Fact_Pipeline!$B:$B,$A508,Fact_Pipeline!$J:$J,"Won",Fact_Pipeline!$I:$I,"&gt;="&amp;B508,Fact_Pipeline!$I:$I,"&lt;"&amp;EDATE(B508,1))</f>
        <v>0</v>
      </c>
      <c r="F508" s="66" t="b">
        <f>AND(D508&gt;0,IFERROR(E508/D508&gt;=G6,FALSE()))</f>
        <v>0</v>
      </c>
      <c r="G508" s="65">
        <f t="shared" si="41"/>
        <v>0</v>
      </c>
      <c r="H508" s="65">
        <f>IF(F508,MAX(0,MIN(E508,I6*D508)-D508)*IFERROR(INDEX($C$158:$C$161,MATCH(C508,$A$158:$A$161,0)),0),0)</f>
        <v>0</v>
      </c>
      <c r="I508" s="65">
        <f>IF(F508,MAX(0,E508-I6*D508)*IFERROR(INDEX($D$158:$D$161,MATCH(C508,$A$158:$A$161,0)),0),0)</f>
        <v>0</v>
      </c>
      <c r="J508" s="65">
        <f t="shared" si="42"/>
        <v>0</v>
      </c>
    </row>
    <row r="509" spans="1:10" ht="15" customHeight="1" outlineLevel="1" x14ac:dyDescent="0.2">
      <c r="A509" s="66" t="str">
        <f t="shared" si="45"/>
        <v>R015</v>
      </c>
      <c r="B509" s="67">
        <f>$A$1424</f>
        <v>45383</v>
      </c>
      <c r="C509" s="66" t="str">
        <f t="shared" si="46"/>
        <v>SDR / Inside Sales Rep</v>
      </c>
      <c r="D509" s="65">
        <f>SUMIFS(Fact_Quota!$D:$D,Fact_Quota!$A:$A,$A509,Fact_Quota!$B:$B,"&gt;="&amp;B509,Fact_Quota!$B:$B,"&lt;"&amp;EDATE(B509,1))</f>
        <v>0</v>
      </c>
      <c r="E509" s="65">
        <f>SUMIFS(Fact_Pipeline!$K:$K,Fact_Pipeline!$B:$B,$A509,Fact_Pipeline!$J:$J,"Won",Fact_Pipeline!$I:$I,"&gt;="&amp;B509,Fact_Pipeline!$I:$I,"&lt;"&amp;EDATE(B509,1))</f>
        <v>0</v>
      </c>
      <c r="F509" s="66" t="b">
        <f>AND(D509&gt;0,IFERROR(E509/D509&gt;=G6,FALSE()))</f>
        <v>0</v>
      </c>
      <c r="G509" s="65">
        <f t="shared" si="41"/>
        <v>0</v>
      </c>
      <c r="H509" s="65">
        <f>IF(F509,MAX(0,MIN(E509,I6*D509)-D509)*IFERROR(INDEX($C$158:$C$161,MATCH(C509,$A$158:$A$161,0)),0),0)</f>
        <v>0</v>
      </c>
      <c r="I509" s="65">
        <f>IF(F509,MAX(0,E509-I6*D509)*IFERROR(INDEX($D$158:$D$161,MATCH(C509,$A$158:$A$161,0)),0),0)</f>
        <v>0</v>
      </c>
      <c r="J509" s="65">
        <f t="shared" si="42"/>
        <v>0</v>
      </c>
    </row>
    <row r="510" spans="1:10" ht="15" customHeight="1" outlineLevel="1" x14ac:dyDescent="0.2">
      <c r="A510" s="66" t="str">
        <f t="shared" si="45"/>
        <v>R015</v>
      </c>
      <c r="B510" s="67">
        <f>$A$1425</f>
        <v>45413</v>
      </c>
      <c r="C510" s="66" t="str">
        <f t="shared" si="46"/>
        <v>SDR / Inside Sales Rep</v>
      </c>
      <c r="D510" s="65">
        <f>SUMIFS(Fact_Quota!$D:$D,Fact_Quota!$A:$A,$A510,Fact_Quota!$B:$B,"&gt;="&amp;B510,Fact_Quota!$B:$B,"&lt;"&amp;EDATE(B510,1))</f>
        <v>3900</v>
      </c>
      <c r="E510" s="65">
        <f>SUMIFS(Fact_Pipeline!$K:$K,Fact_Pipeline!$B:$B,$A510,Fact_Pipeline!$J:$J,"Won",Fact_Pipeline!$I:$I,"&gt;="&amp;B510,Fact_Pipeline!$I:$I,"&lt;"&amp;EDATE(B510,1))</f>
        <v>0</v>
      </c>
      <c r="F510" s="66" t="b">
        <f>AND(D510&gt;0,IFERROR(E510/D510&gt;=G6,FALSE()))</f>
        <v>0</v>
      </c>
      <c r="G510" s="65">
        <f t="shared" si="41"/>
        <v>0</v>
      </c>
      <c r="H510" s="65">
        <f>IF(F510,MAX(0,MIN(E510,I6*D510)-D510)*IFERROR(INDEX($C$158:$C$161,MATCH(C510,$A$158:$A$161,0)),0),0)</f>
        <v>0</v>
      </c>
      <c r="I510" s="65">
        <f>IF(F510,MAX(0,E510-I6*D510)*IFERROR(INDEX($D$158:$D$161,MATCH(C510,$A$158:$A$161,0)),0),0)</f>
        <v>0</v>
      </c>
      <c r="J510" s="65">
        <f t="shared" si="42"/>
        <v>0</v>
      </c>
    </row>
    <row r="511" spans="1:10" ht="15" customHeight="1" outlineLevel="1" x14ac:dyDescent="0.2">
      <c r="A511" s="66" t="str">
        <f t="shared" si="45"/>
        <v>R015</v>
      </c>
      <c r="B511" s="67">
        <f>$A$1426</f>
        <v>45444</v>
      </c>
      <c r="C511" s="66" t="str">
        <f t="shared" si="46"/>
        <v>SDR / Inside Sales Rep</v>
      </c>
      <c r="D511" s="65">
        <f>SUMIFS(Fact_Quota!$D:$D,Fact_Quota!$A:$A,$A511,Fact_Quota!$B:$B,"&gt;="&amp;B511,Fact_Quota!$B:$B,"&lt;"&amp;EDATE(B511,1))</f>
        <v>7600</v>
      </c>
      <c r="E511" s="65">
        <f>SUMIFS(Fact_Pipeline!$K:$K,Fact_Pipeline!$B:$B,$A511,Fact_Pipeline!$J:$J,"Won",Fact_Pipeline!$I:$I,"&gt;="&amp;B511,Fact_Pipeline!$I:$I,"&lt;"&amp;EDATE(B511,1))</f>
        <v>4300</v>
      </c>
      <c r="F511" s="66" t="b">
        <f>AND(D511&gt;0,IFERROR(E511/D511&gt;=G6,FALSE()))</f>
        <v>1</v>
      </c>
      <c r="G511" s="65">
        <f t="shared" si="41"/>
        <v>129</v>
      </c>
      <c r="H511" s="65">
        <f>IF(F511,MAX(0,MIN(E511,I6*D511)-D511)*IFERROR(INDEX($C$158:$C$161,MATCH(C511,$A$158:$A$161,0)),0),0)</f>
        <v>0</v>
      </c>
      <c r="I511" s="65">
        <f>IF(F511,MAX(0,E511-I6*D511)*IFERROR(INDEX($D$158:$D$161,MATCH(C511,$A$158:$A$161,0)),0),0)</f>
        <v>0</v>
      </c>
      <c r="J511" s="65">
        <f t="shared" si="42"/>
        <v>129</v>
      </c>
    </row>
    <row r="512" spans="1:10" ht="15" customHeight="1" outlineLevel="1" x14ac:dyDescent="0.2">
      <c r="A512" s="66" t="str">
        <f t="shared" si="45"/>
        <v>R015</v>
      </c>
      <c r="B512" s="67">
        <f>$A$1427</f>
        <v>45474</v>
      </c>
      <c r="C512" s="66" t="str">
        <f t="shared" si="46"/>
        <v>SDR / Inside Sales Rep</v>
      </c>
      <c r="D512" s="65">
        <f>SUMIFS(Fact_Quota!$D:$D,Fact_Quota!$A:$A,$A512,Fact_Quota!$B:$B,"&gt;="&amp;B512,Fact_Quota!$B:$B,"&lt;"&amp;EDATE(B512,1))</f>
        <v>11400</v>
      </c>
      <c r="E512" s="65">
        <f>SUMIFS(Fact_Pipeline!$K:$K,Fact_Pipeline!$B:$B,$A512,Fact_Pipeline!$J:$J,"Won",Fact_Pipeline!$I:$I,"&gt;="&amp;B512,Fact_Pipeline!$I:$I,"&lt;"&amp;EDATE(B512,1))</f>
        <v>0</v>
      </c>
      <c r="F512" s="66" t="b">
        <f>AND(D512&gt;0,IFERROR(E512/D512&gt;=G6,FALSE()))</f>
        <v>0</v>
      </c>
      <c r="G512" s="65">
        <f t="shared" si="41"/>
        <v>0</v>
      </c>
      <c r="H512" s="65">
        <f>IF(F512,MAX(0,MIN(E512,I6*D512)-D512)*IFERROR(INDEX($C$158:$C$161,MATCH(C512,$A$158:$A$161,0)),0),0)</f>
        <v>0</v>
      </c>
      <c r="I512" s="65">
        <f>IF(F512,MAX(0,E512-I6*D512)*IFERROR(INDEX($D$158:$D$161,MATCH(C512,$A$158:$A$161,0)),0),0)</f>
        <v>0</v>
      </c>
      <c r="J512" s="65">
        <f t="shared" si="42"/>
        <v>0</v>
      </c>
    </row>
    <row r="513" spans="1:10" ht="15" customHeight="1" outlineLevel="1" x14ac:dyDescent="0.2">
      <c r="A513" s="66" t="str">
        <f t="shared" si="45"/>
        <v>R015</v>
      </c>
      <c r="B513" s="67">
        <f>$A$1428</f>
        <v>45505</v>
      </c>
      <c r="C513" s="66" t="str">
        <f t="shared" si="46"/>
        <v>SDR / Inside Sales Rep</v>
      </c>
      <c r="D513" s="65">
        <f>SUMIFS(Fact_Quota!$D:$D,Fact_Quota!$A:$A,$A513,Fact_Quota!$B:$B,"&gt;="&amp;B513,Fact_Quota!$B:$B,"&lt;"&amp;EDATE(B513,1))</f>
        <v>15900</v>
      </c>
      <c r="E513" s="65">
        <f>SUMIFS(Fact_Pipeline!$K:$K,Fact_Pipeline!$B:$B,$A513,Fact_Pipeline!$J:$J,"Won",Fact_Pipeline!$I:$I,"&gt;="&amp;B513,Fact_Pipeline!$I:$I,"&lt;"&amp;EDATE(B513,1))</f>
        <v>11800</v>
      </c>
      <c r="F513" s="66" t="b">
        <f>AND(D513&gt;0,IFERROR(E513/D513&gt;=G6,FALSE()))</f>
        <v>1</v>
      </c>
      <c r="G513" s="65">
        <f t="shared" si="41"/>
        <v>354</v>
      </c>
      <c r="H513" s="65">
        <f>IF(F513,MAX(0,MIN(E513,I6*D513)-D513)*IFERROR(INDEX($C$158:$C$161,MATCH(C513,$A$158:$A$161,0)),0),0)</f>
        <v>0</v>
      </c>
      <c r="I513" s="65">
        <f>IF(F513,MAX(0,E513-I6*D513)*IFERROR(INDEX($D$158:$D$161,MATCH(C513,$A$158:$A$161,0)),0),0)</f>
        <v>0</v>
      </c>
      <c r="J513" s="65">
        <f t="shared" si="42"/>
        <v>354</v>
      </c>
    </row>
    <row r="514" spans="1:10" ht="15" customHeight="1" outlineLevel="1" x14ac:dyDescent="0.2">
      <c r="A514" s="66" t="str">
        <f t="shared" si="45"/>
        <v>R015</v>
      </c>
      <c r="B514" s="67">
        <f>$A$1429</f>
        <v>45536</v>
      </c>
      <c r="C514" s="66" t="str">
        <f t="shared" si="46"/>
        <v>SDR / Inside Sales Rep</v>
      </c>
      <c r="D514" s="65">
        <f>SUMIFS(Fact_Quota!$D:$D,Fact_Quota!$A:$A,$A514,Fact_Quota!$B:$B,"&gt;="&amp;B514,Fact_Quota!$B:$B,"&lt;"&amp;EDATE(B514,1))</f>
        <v>15700</v>
      </c>
      <c r="E514" s="65">
        <f>SUMIFS(Fact_Pipeline!$K:$K,Fact_Pipeline!$B:$B,$A514,Fact_Pipeline!$J:$J,"Won",Fact_Pipeline!$I:$I,"&gt;="&amp;B514,Fact_Pipeline!$I:$I,"&lt;"&amp;EDATE(B514,1))</f>
        <v>9400</v>
      </c>
      <c r="F514" s="66" t="b">
        <f>AND(D514&gt;0,IFERROR(E514/D514&gt;=G6,FALSE()))</f>
        <v>1</v>
      </c>
      <c r="G514" s="65">
        <f t="shared" si="41"/>
        <v>282</v>
      </c>
      <c r="H514" s="65">
        <f>IF(F514,MAX(0,MIN(E514,I6*D514)-D514)*IFERROR(INDEX($C$158:$C$161,MATCH(C514,$A$158:$A$161,0)),0),0)</f>
        <v>0</v>
      </c>
      <c r="I514" s="65">
        <f>IF(F514,MAX(0,E514-I6*D514)*IFERROR(INDEX($D$158:$D$161,MATCH(C514,$A$158:$A$161,0)),0),0)</f>
        <v>0</v>
      </c>
      <c r="J514" s="65">
        <f t="shared" si="42"/>
        <v>282</v>
      </c>
    </row>
    <row r="515" spans="1:10" ht="15" customHeight="1" outlineLevel="1" x14ac:dyDescent="0.2">
      <c r="A515" s="66" t="str">
        <f t="shared" si="45"/>
        <v>R015</v>
      </c>
      <c r="B515" s="67">
        <f>$A$1430</f>
        <v>45566</v>
      </c>
      <c r="C515" s="66" t="str">
        <f t="shared" si="46"/>
        <v>SDR / Inside Sales Rep</v>
      </c>
      <c r="D515" s="65">
        <f>SUMIFS(Fact_Quota!$D:$D,Fact_Quota!$A:$A,$A515,Fact_Quota!$B:$B,"&gt;="&amp;B515,Fact_Quota!$B:$B,"&lt;"&amp;EDATE(B515,1))</f>
        <v>15200</v>
      </c>
      <c r="E515" s="65">
        <f>SUMIFS(Fact_Pipeline!$K:$K,Fact_Pipeline!$B:$B,$A515,Fact_Pipeline!$J:$J,"Won",Fact_Pipeline!$I:$I,"&gt;="&amp;B515,Fact_Pipeline!$I:$I,"&lt;"&amp;EDATE(B515,1))</f>
        <v>8000</v>
      </c>
      <c r="F515" s="66" t="b">
        <f>AND(D515&gt;0,IFERROR(E515/D515&gt;=G6,FALSE()))</f>
        <v>1</v>
      </c>
      <c r="G515" s="65">
        <f t="shared" si="41"/>
        <v>240</v>
      </c>
      <c r="H515" s="65">
        <f>IF(F515,MAX(0,MIN(E515,I6*D515)-D515)*IFERROR(INDEX($C$158:$C$161,MATCH(C515,$A$158:$A$161,0)),0),0)</f>
        <v>0</v>
      </c>
      <c r="I515" s="65">
        <f>IF(F515,MAX(0,E515-I6*D515)*IFERROR(INDEX($D$158:$D$161,MATCH(C515,$A$158:$A$161,0)),0),0)</f>
        <v>0</v>
      </c>
      <c r="J515" s="65">
        <f t="shared" si="42"/>
        <v>240</v>
      </c>
    </row>
    <row r="516" spans="1:10" ht="15" customHeight="1" outlineLevel="1" x14ac:dyDescent="0.2">
      <c r="A516" s="66" t="str">
        <f t="shared" si="45"/>
        <v>R015</v>
      </c>
      <c r="B516" s="67">
        <f>$A$1431</f>
        <v>45597</v>
      </c>
      <c r="C516" s="66" t="str">
        <f t="shared" si="46"/>
        <v>SDR / Inside Sales Rep</v>
      </c>
      <c r="D516" s="65">
        <f>SUMIFS(Fact_Quota!$D:$D,Fact_Quota!$A:$A,$A516,Fact_Quota!$B:$B,"&gt;="&amp;B516,Fact_Quota!$B:$B,"&lt;"&amp;EDATE(B516,1))</f>
        <v>15900</v>
      </c>
      <c r="E516" s="65">
        <f>SUMIFS(Fact_Pipeline!$K:$K,Fact_Pipeline!$B:$B,$A516,Fact_Pipeline!$J:$J,"Won",Fact_Pipeline!$I:$I,"&gt;="&amp;B516,Fact_Pipeline!$I:$I,"&lt;"&amp;EDATE(B516,1))</f>
        <v>0</v>
      </c>
      <c r="F516" s="66" t="b">
        <f>AND(D516&gt;0,IFERROR(E516/D516&gt;=G6,FALSE()))</f>
        <v>0</v>
      </c>
      <c r="G516" s="65">
        <f t="shared" si="41"/>
        <v>0</v>
      </c>
      <c r="H516" s="65">
        <f>IF(F516,MAX(0,MIN(E516,I6*D516)-D516)*IFERROR(INDEX($C$158:$C$161,MATCH(C516,$A$158:$A$161,0)),0),0)</f>
        <v>0</v>
      </c>
      <c r="I516" s="65">
        <f>IF(F516,MAX(0,E516-I6*D516)*IFERROR(INDEX($D$158:$D$161,MATCH(C516,$A$158:$A$161,0)),0),0)</f>
        <v>0</v>
      </c>
      <c r="J516" s="65">
        <f t="shared" si="42"/>
        <v>0</v>
      </c>
    </row>
    <row r="517" spans="1:10" ht="15" customHeight="1" outlineLevel="1" x14ac:dyDescent="0.2">
      <c r="A517" s="66" t="str">
        <f t="shared" si="45"/>
        <v>R015</v>
      </c>
      <c r="B517" s="67">
        <f>$A$1432</f>
        <v>45627</v>
      </c>
      <c r="C517" s="66" t="str">
        <f t="shared" si="46"/>
        <v>SDR / Inside Sales Rep</v>
      </c>
      <c r="D517" s="65">
        <f>SUMIFS(Fact_Quota!$D:$D,Fact_Quota!$A:$A,$A517,Fact_Quota!$B:$B,"&gt;="&amp;B517,Fact_Quota!$B:$B,"&lt;"&amp;EDATE(B517,1))</f>
        <v>15600</v>
      </c>
      <c r="E517" s="65">
        <f>SUMIFS(Fact_Pipeline!$K:$K,Fact_Pipeline!$B:$B,$A517,Fact_Pipeline!$J:$J,"Won",Fact_Pipeline!$I:$I,"&gt;="&amp;B517,Fact_Pipeline!$I:$I,"&lt;"&amp;EDATE(B517,1))</f>
        <v>21100</v>
      </c>
      <c r="F517" s="66" t="b">
        <f>AND(D517&gt;0,IFERROR(E517/D517&gt;=G6,FALSE()))</f>
        <v>1</v>
      </c>
      <c r="G517" s="65">
        <f t="shared" si="41"/>
        <v>468</v>
      </c>
      <c r="H517" s="65">
        <f>IF(F517,MAX(0,MIN(E517,I6*D517)-D517)*IFERROR(INDEX($C$158:$C$161,MATCH(C517,$A$158:$A$161,0)),0),0)</f>
        <v>275</v>
      </c>
      <c r="I517" s="65">
        <f>IF(F517,MAX(0,E517-I6*D517)*IFERROR(INDEX($D$158:$D$161,MATCH(C517,$A$158:$A$161,0)),0),0)</f>
        <v>0</v>
      </c>
      <c r="J517" s="65">
        <f t="shared" si="42"/>
        <v>743</v>
      </c>
    </row>
    <row r="518" spans="1:10" ht="15" customHeight="1" outlineLevel="1" x14ac:dyDescent="0.2">
      <c r="A518" s="66" t="str">
        <f t="shared" si="45"/>
        <v>R015</v>
      </c>
      <c r="B518" s="67">
        <f>$A$1433</f>
        <v>45658</v>
      </c>
      <c r="C518" s="66" t="str">
        <f t="shared" si="46"/>
        <v>SDR / Inside Sales Rep</v>
      </c>
      <c r="D518" s="65">
        <f>SUMIFS(Fact_Quota!$D:$D,Fact_Quota!$A:$A,$A518,Fact_Quota!$B:$B,"&gt;="&amp;B518,Fact_Quota!$B:$B,"&lt;"&amp;EDATE(B518,1))</f>
        <v>15900</v>
      </c>
      <c r="E518" s="65">
        <f>SUMIFS(Fact_Pipeline!$K:$K,Fact_Pipeline!$B:$B,$A518,Fact_Pipeline!$J:$J,"Won",Fact_Pipeline!$I:$I,"&gt;="&amp;B518,Fact_Pipeline!$I:$I,"&lt;"&amp;EDATE(B518,1))</f>
        <v>9700</v>
      </c>
      <c r="F518" s="66" t="b">
        <f>AND(D518&gt;0,IFERROR(E518/D518&gt;=G6,FALSE()))</f>
        <v>1</v>
      </c>
      <c r="G518" s="65">
        <f t="shared" si="41"/>
        <v>291</v>
      </c>
      <c r="H518" s="65">
        <f>IF(F518,MAX(0,MIN(E518,I6*D518)-D518)*IFERROR(INDEX($C$158:$C$161,MATCH(C518,$A$158:$A$161,0)),0),0)</f>
        <v>0</v>
      </c>
      <c r="I518" s="65">
        <f>IF(F518,MAX(0,E518-I6*D518)*IFERROR(INDEX($D$158:$D$161,MATCH(C518,$A$158:$A$161,0)),0),0)</f>
        <v>0</v>
      </c>
      <c r="J518" s="65">
        <f t="shared" si="42"/>
        <v>291</v>
      </c>
    </row>
    <row r="519" spans="1:10" ht="15" customHeight="1" outlineLevel="1" x14ac:dyDescent="0.2">
      <c r="A519" s="66" t="str">
        <f t="shared" si="45"/>
        <v>R015</v>
      </c>
      <c r="B519" s="67">
        <f>$A$1434</f>
        <v>45689</v>
      </c>
      <c r="C519" s="66" t="str">
        <f t="shared" si="46"/>
        <v>SDR / Inside Sales Rep</v>
      </c>
      <c r="D519" s="65">
        <f>SUMIFS(Fact_Quota!$D:$D,Fact_Quota!$A:$A,$A519,Fact_Quota!$B:$B,"&gt;="&amp;B519,Fact_Quota!$B:$B,"&lt;"&amp;EDATE(B519,1))</f>
        <v>15800</v>
      </c>
      <c r="E519" s="65">
        <f>SUMIFS(Fact_Pipeline!$K:$K,Fact_Pipeline!$B:$B,$A519,Fact_Pipeline!$J:$J,"Won",Fact_Pipeline!$I:$I,"&gt;="&amp;B519,Fact_Pipeline!$I:$I,"&lt;"&amp;EDATE(B519,1))</f>
        <v>17000</v>
      </c>
      <c r="F519" s="66" t="b">
        <f>AND(D519&gt;0,IFERROR(E519/D519&gt;=G6,FALSE()))</f>
        <v>1</v>
      </c>
      <c r="G519" s="65">
        <f t="shared" si="41"/>
        <v>474</v>
      </c>
      <c r="H519" s="65">
        <f>IF(F519,MAX(0,MIN(E519,I6*D519)-D519)*IFERROR(INDEX($C$158:$C$161,MATCH(C519,$A$158:$A$161,0)),0),0)</f>
        <v>60</v>
      </c>
      <c r="I519" s="65">
        <f>IF(F519,MAX(0,E519-I6*D519)*IFERROR(INDEX($D$158:$D$161,MATCH(C519,$A$158:$A$161,0)),0),0)</f>
        <v>0</v>
      </c>
      <c r="J519" s="65">
        <f t="shared" si="42"/>
        <v>534</v>
      </c>
    </row>
    <row r="520" spans="1:10" ht="15" customHeight="1" outlineLevel="1" x14ac:dyDescent="0.2">
      <c r="A520" s="66" t="str">
        <f t="shared" si="45"/>
        <v>R015</v>
      </c>
      <c r="B520" s="67">
        <f>$A$1435</f>
        <v>45717</v>
      </c>
      <c r="C520" s="66" t="str">
        <f t="shared" si="46"/>
        <v>SDR / Inside Sales Rep</v>
      </c>
      <c r="D520" s="65">
        <f>SUMIFS(Fact_Quota!$D:$D,Fact_Quota!$A:$A,$A520,Fact_Quota!$B:$B,"&gt;="&amp;B520,Fact_Quota!$B:$B,"&lt;"&amp;EDATE(B520,1))</f>
        <v>15100</v>
      </c>
      <c r="E520" s="65">
        <f>SUMIFS(Fact_Pipeline!$K:$K,Fact_Pipeline!$B:$B,$A520,Fact_Pipeline!$J:$J,"Won",Fact_Pipeline!$I:$I,"&gt;="&amp;B520,Fact_Pipeline!$I:$I,"&lt;"&amp;EDATE(B520,1))</f>
        <v>7400</v>
      </c>
      <c r="F520" s="66" t="b">
        <f>AND(D520&gt;0,IFERROR(E520/D520&gt;=G6,FALSE()))</f>
        <v>0</v>
      </c>
      <c r="G520" s="65">
        <f t="shared" si="41"/>
        <v>0</v>
      </c>
      <c r="H520" s="65">
        <f>IF(F520,MAX(0,MIN(E520,I6*D520)-D520)*IFERROR(INDEX($C$158:$C$161,MATCH(C520,$A$158:$A$161,0)),0),0)</f>
        <v>0</v>
      </c>
      <c r="I520" s="65">
        <f>IF(F520,MAX(0,E520-I6*D520)*IFERROR(INDEX($D$158:$D$161,MATCH(C520,$A$158:$A$161,0)),0),0)</f>
        <v>0</v>
      </c>
      <c r="J520" s="65">
        <f t="shared" si="42"/>
        <v>0</v>
      </c>
    </row>
    <row r="521" spans="1:10" ht="15" customHeight="1" outlineLevel="1" x14ac:dyDescent="0.2">
      <c r="A521" s="66" t="str">
        <f t="shared" si="45"/>
        <v>R015</v>
      </c>
      <c r="B521" s="67">
        <f>$A$1436</f>
        <v>45748</v>
      </c>
      <c r="C521" s="66" t="str">
        <f t="shared" si="46"/>
        <v>SDR / Inside Sales Rep</v>
      </c>
      <c r="D521" s="65">
        <f>SUMIFS(Fact_Quota!$D:$D,Fact_Quota!$A:$A,$A521,Fact_Quota!$B:$B,"&gt;="&amp;B521,Fact_Quota!$B:$B,"&lt;"&amp;EDATE(B521,1))</f>
        <v>15200</v>
      </c>
      <c r="E521" s="65">
        <f>SUMIFS(Fact_Pipeline!$K:$K,Fact_Pipeline!$B:$B,$A521,Fact_Pipeline!$J:$J,"Won",Fact_Pipeline!$I:$I,"&gt;="&amp;B521,Fact_Pipeline!$I:$I,"&lt;"&amp;EDATE(B521,1))</f>
        <v>18500</v>
      </c>
      <c r="F521" s="66" t="b">
        <f>AND(D521&gt;0,IFERROR(E521/D521&gt;=G6,FALSE()))</f>
        <v>1</v>
      </c>
      <c r="G521" s="65">
        <f t="shared" si="41"/>
        <v>456</v>
      </c>
      <c r="H521" s="65">
        <f>IF(F521,MAX(0,MIN(E521,I6*D521)-D521)*IFERROR(INDEX($C$158:$C$161,MATCH(C521,$A$158:$A$161,0)),0),0)</f>
        <v>165</v>
      </c>
      <c r="I521" s="65">
        <f>IF(F521,MAX(0,E521-I6*D521)*IFERROR(INDEX($D$158:$D$161,MATCH(C521,$A$158:$A$161,0)),0),0)</f>
        <v>0</v>
      </c>
      <c r="J521" s="65">
        <f t="shared" si="42"/>
        <v>621</v>
      </c>
    </row>
    <row r="522" spans="1:10" ht="15" customHeight="1" outlineLevel="1" x14ac:dyDescent="0.2">
      <c r="A522" s="66" t="str">
        <f t="shared" si="45"/>
        <v>R015</v>
      </c>
      <c r="B522" s="67">
        <f>$A$1437</f>
        <v>45778</v>
      </c>
      <c r="C522" s="66" t="str">
        <f t="shared" si="46"/>
        <v>SDR / Inside Sales Rep</v>
      </c>
      <c r="D522" s="65">
        <f>SUMIFS(Fact_Quota!$D:$D,Fact_Quota!$A:$A,$A522,Fact_Quota!$B:$B,"&gt;="&amp;B522,Fact_Quota!$B:$B,"&lt;"&amp;EDATE(B522,1))</f>
        <v>15800</v>
      </c>
      <c r="E522" s="65">
        <f>SUMIFS(Fact_Pipeline!$K:$K,Fact_Pipeline!$B:$B,$A522,Fact_Pipeline!$J:$J,"Won",Fact_Pipeline!$I:$I,"&gt;="&amp;B522,Fact_Pipeline!$I:$I,"&lt;"&amp;EDATE(B522,1))</f>
        <v>10900</v>
      </c>
      <c r="F522" s="66" t="b">
        <f>AND(D522&gt;0,IFERROR(E522/D522&gt;=G6,FALSE()))</f>
        <v>1</v>
      </c>
      <c r="G522" s="65">
        <f t="shared" si="41"/>
        <v>327</v>
      </c>
      <c r="H522" s="65">
        <f>IF(F522,MAX(0,MIN(E522,I6*D522)-D522)*IFERROR(INDEX($C$158:$C$161,MATCH(C522,$A$158:$A$161,0)),0),0)</f>
        <v>0</v>
      </c>
      <c r="I522" s="65">
        <f>IF(F522,MAX(0,E522-I6*D522)*IFERROR(INDEX($D$158:$D$161,MATCH(C522,$A$158:$A$161,0)),0),0)</f>
        <v>0</v>
      </c>
      <c r="J522" s="65">
        <f t="shared" si="42"/>
        <v>327</v>
      </c>
    </row>
    <row r="523" spans="1:10" ht="15" customHeight="1" outlineLevel="1" x14ac:dyDescent="0.2">
      <c r="A523" s="66" t="str">
        <f t="shared" si="45"/>
        <v>R015</v>
      </c>
      <c r="B523" s="67">
        <f>$A$1438</f>
        <v>45809</v>
      </c>
      <c r="C523" s="66" t="str">
        <f t="shared" si="46"/>
        <v>SDR / Inside Sales Rep</v>
      </c>
      <c r="D523" s="65">
        <f>SUMIFS(Fact_Quota!$D:$D,Fact_Quota!$A:$A,$A523,Fact_Quota!$B:$B,"&gt;="&amp;B523,Fact_Quota!$B:$B,"&lt;"&amp;EDATE(B523,1))</f>
        <v>15800</v>
      </c>
      <c r="E523" s="65">
        <f>SUMIFS(Fact_Pipeline!$K:$K,Fact_Pipeline!$B:$B,$A523,Fact_Pipeline!$J:$J,"Won",Fact_Pipeline!$I:$I,"&gt;="&amp;B523,Fact_Pipeline!$I:$I,"&lt;"&amp;EDATE(B523,1))</f>
        <v>23100</v>
      </c>
      <c r="F523" s="66" t="b">
        <f>AND(D523&gt;0,IFERROR(E523/D523&gt;=G6,FALSE()))</f>
        <v>1</v>
      </c>
      <c r="G523" s="65">
        <f t="shared" si="41"/>
        <v>474</v>
      </c>
      <c r="H523" s="65">
        <f>IF(F523,MAX(0,MIN(E523,I6*D523)-D523)*IFERROR(INDEX($C$158:$C$161,MATCH(C523,$A$158:$A$161,0)),0),0)</f>
        <v>365</v>
      </c>
      <c r="I523" s="65">
        <f>IF(F523,MAX(0,E523-I6*D523)*IFERROR(INDEX($D$158:$D$161,MATCH(C523,$A$158:$A$161,0)),0),0)</f>
        <v>0</v>
      </c>
      <c r="J523" s="65">
        <f t="shared" si="42"/>
        <v>839</v>
      </c>
    </row>
    <row r="524" spans="1:10" ht="15" customHeight="1" outlineLevel="1" x14ac:dyDescent="0.2">
      <c r="A524" s="66" t="str">
        <f t="shared" si="45"/>
        <v>R015</v>
      </c>
      <c r="B524" s="67">
        <f>$A$1439</f>
        <v>45839</v>
      </c>
      <c r="C524" s="66" t="str">
        <f t="shared" si="46"/>
        <v>SDR / Inside Sales Rep</v>
      </c>
      <c r="D524" s="65">
        <f>SUMIFS(Fact_Quota!$D:$D,Fact_Quota!$A:$A,$A524,Fact_Quota!$B:$B,"&gt;="&amp;B524,Fact_Quota!$B:$B,"&lt;"&amp;EDATE(B524,1))</f>
        <v>15500</v>
      </c>
      <c r="E524" s="65">
        <f>SUMIFS(Fact_Pipeline!$K:$K,Fact_Pipeline!$B:$B,$A524,Fact_Pipeline!$J:$J,"Won",Fact_Pipeline!$I:$I,"&gt;="&amp;B524,Fact_Pipeline!$I:$I,"&lt;"&amp;EDATE(B524,1))</f>
        <v>2300</v>
      </c>
      <c r="F524" s="66" t="b">
        <f>AND(D524&gt;0,IFERROR(E524/D524&gt;=G6,FALSE()))</f>
        <v>0</v>
      </c>
      <c r="G524" s="65">
        <f t="shared" si="41"/>
        <v>0</v>
      </c>
      <c r="H524" s="65">
        <f>IF(F524,MAX(0,MIN(E524,I6*D524)-D524)*IFERROR(INDEX($C$158:$C$161,MATCH(C524,$A$158:$A$161,0)),0),0)</f>
        <v>0</v>
      </c>
      <c r="I524" s="65">
        <f>IF(F524,MAX(0,E524-I6*D524)*IFERROR(INDEX($D$158:$D$161,MATCH(C524,$A$158:$A$161,0)),0),0)</f>
        <v>0</v>
      </c>
      <c r="J524" s="65">
        <f t="shared" si="42"/>
        <v>0</v>
      </c>
    </row>
    <row r="525" spans="1:10" ht="15" customHeight="1" outlineLevel="1" x14ac:dyDescent="0.2">
      <c r="A525" s="66" t="str">
        <f t="shared" si="45"/>
        <v>R015</v>
      </c>
      <c r="B525" s="67">
        <f>$A$1440</f>
        <v>45870</v>
      </c>
      <c r="C525" s="66" t="str">
        <f t="shared" si="46"/>
        <v>SDR / Inside Sales Rep</v>
      </c>
      <c r="D525" s="65">
        <f>SUMIFS(Fact_Quota!$D:$D,Fact_Quota!$A:$A,$A525,Fact_Quota!$B:$B,"&gt;="&amp;B525,Fact_Quota!$B:$B,"&lt;"&amp;EDATE(B525,1))</f>
        <v>15600</v>
      </c>
      <c r="E525" s="65">
        <f>SUMIFS(Fact_Pipeline!$K:$K,Fact_Pipeline!$B:$B,$A525,Fact_Pipeline!$J:$J,"Won",Fact_Pipeline!$I:$I,"&gt;="&amp;B525,Fact_Pipeline!$I:$I,"&lt;"&amp;EDATE(B525,1))</f>
        <v>9200</v>
      </c>
      <c r="F525" s="66" t="b">
        <f>AND(D525&gt;0,IFERROR(E525/D525&gt;=G6,FALSE()))</f>
        <v>1</v>
      </c>
      <c r="G525" s="65">
        <f t="shared" si="41"/>
        <v>276</v>
      </c>
      <c r="H525" s="65">
        <f>IF(F525,MAX(0,MIN(E525,I6*D525)-D525)*IFERROR(INDEX($C$158:$C$161,MATCH(C525,$A$158:$A$161,0)),0),0)</f>
        <v>0</v>
      </c>
      <c r="I525" s="65">
        <f>IF(F525,MAX(0,E525-I6*D525)*IFERROR(INDEX($D$158:$D$161,MATCH(C525,$A$158:$A$161,0)),0),0)</f>
        <v>0</v>
      </c>
      <c r="J525" s="65">
        <f t="shared" si="42"/>
        <v>276</v>
      </c>
    </row>
    <row r="526" spans="1:10" ht="15" customHeight="1" outlineLevel="1" x14ac:dyDescent="0.2">
      <c r="A526" s="66" t="str">
        <f t="shared" si="45"/>
        <v>R015</v>
      </c>
      <c r="B526" s="67">
        <f>$A$1441</f>
        <v>45901</v>
      </c>
      <c r="C526" s="66" t="str">
        <f t="shared" si="46"/>
        <v>SDR / Inside Sales Rep</v>
      </c>
      <c r="D526" s="65">
        <f>SUMIFS(Fact_Quota!$D:$D,Fact_Quota!$A:$A,$A526,Fact_Quota!$B:$B,"&gt;="&amp;B526,Fact_Quota!$B:$B,"&lt;"&amp;EDATE(B526,1))</f>
        <v>16100</v>
      </c>
      <c r="E526" s="65">
        <f>SUMIFS(Fact_Pipeline!$K:$K,Fact_Pipeline!$B:$B,$A526,Fact_Pipeline!$J:$J,"Won",Fact_Pipeline!$I:$I,"&gt;="&amp;B526,Fact_Pipeline!$I:$I,"&lt;"&amp;EDATE(B526,1))</f>
        <v>12700</v>
      </c>
      <c r="F526" s="66" t="b">
        <f>AND(D526&gt;0,IFERROR(E526/D526&gt;=G6,FALSE()))</f>
        <v>1</v>
      </c>
      <c r="G526" s="65">
        <f t="shared" si="41"/>
        <v>381</v>
      </c>
      <c r="H526" s="65">
        <f>IF(F526,MAX(0,MIN(E526,I6*D526)-D526)*IFERROR(INDEX($C$158:$C$161,MATCH(C526,$A$158:$A$161,0)),0),0)</f>
        <v>0</v>
      </c>
      <c r="I526" s="65">
        <f>IF(F526,MAX(0,E526-I6*D526)*IFERROR(INDEX($D$158:$D$161,MATCH(C526,$A$158:$A$161,0)),0),0)</f>
        <v>0</v>
      </c>
      <c r="J526" s="65">
        <f t="shared" si="42"/>
        <v>381</v>
      </c>
    </row>
    <row r="527" spans="1:10" ht="15" customHeight="1" outlineLevel="1" x14ac:dyDescent="0.2">
      <c r="A527" s="66" t="str">
        <f t="shared" si="45"/>
        <v>R015</v>
      </c>
      <c r="B527" s="67">
        <f>$A$1442</f>
        <v>45931</v>
      </c>
      <c r="C527" s="66" t="str">
        <f t="shared" si="46"/>
        <v>SDR / Inside Sales Rep</v>
      </c>
      <c r="D527" s="65">
        <f>SUMIFS(Fact_Quota!$D:$D,Fact_Quota!$A:$A,$A527,Fact_Quota!$B:$B,"&gt;="&amp;B527,Fact_Quota!$B:$B,"&lt;"&amp;EDATE(B527,1))</f>
        <v>0</v>
      </c>
      <c r="E527" s="65">
        <f>SUMIFS(Fact_Pipeline!$K:$K,Fact_Pipeline!$B:$B,$A527,Fact_Pipeline!$J:$J,"Won",Fact_Pipeline!$I:$I,"&gt;="&amp;B527,Fact_Pipeline!$I:$I,"&lt;"&amp;EDATE(B527,1))</f>
        <v>2800</v>
      </c>
      <c r="F527" s="66" t="b">
        <f>AND(D527&gt;0,IFERROR(E527/D527&gt;=G6,FALSE()))</f>
        <v>0</v>
      </c>
      <c r="G527" s="65">
        <f t="shared" si="41"/>
        <v>0</v>
      </c>
      <c r="H527" s="65">
        <f>IF(F527,MAX(0,MIN(E527,I6*D527)-D527)*IFERROR(INDEX($C$158:$C$161,MATCH(C527,$A$158:$A$161,0)),0),0)</f>
        <v>0</v>
      </c>
      <c r="I527" s="65">
        <f>IF(F527,MAX(0,E527-I6*D527)*IFERROR(INDEX($D$158:$D$161,MATCH(C527,$A$158:$A$161,0)),0),0)</f>
        <v>0</v>
      </c>
      <c r="J527" s="65">
        <f t="shared" si="42"/>
        <v>0</v>
      </c>
    </row>
    <row r="528" spans="1:10" ht="15" customHeight="1" outlineLevel="1" x14ac:dyDescent="0.2">
      <c r="A528" s="66" t="str">
        <f t="shared" si="45"/>
        <v>R015</v>
      </c>
      <c r="B528" s="67">
        <f>$A$1443</f>
        <v>45962</v>
      </c>
      <c r="C528" s="66" t="str">
        <f t="shared" si="46"/>
        <v>SDR / Inside Sales Rep</v>
      </c>
      <c r="D528" s="65">
        <f>SUMIFS(Fact_Quota!$D:$D,Fact_Quota!$A:$A,$A528,Fact_Quota!$B:$B,"&gt;="&amp;B528,Fact_Quota!$B:$B,"&lt;"&amp;EDATE(B528,1))</f>
        <v>0</v>
      </c>
      <c r="E528" s="65">
        <f>SUMIFS(Fact_Pipeline!$K:$K,Fact_Pipeline!$B:$B,$A528,Fact_Pipeline!$J:$J,"Won",Fact_Pipeline!$I:$I,"&gt;="&amp;B528,Fact_Pipeline!$I:$I,"&lt;"&amp;EDATE(B528,1))</f>
        <v>0</v>
      </c>
      <c r="F528" s="66" t="b">
        <f>AND(D528&gt;0,IFERROR(E528/D528&gt;=G6,FALSE()))</f>
        <v>0</v>
      </c>
      <c r="G528" s="65">
        <f t="shared" si="41"/>
        <v>0</v>
      </c>
      <c r="H528" s="65">
        <f>IF(F528,MAX(0,MIN(E528,I6*D528)-D528)*IFERROR(INDEX($C$158:$C$161,MATCH(C528,$A$158:$A$161,0)),0),0)</f>
        <v>0</v>
      </c>
      <c r="I528" s="65">
        <f>IF(F528,MAX(0,E528-I6*D528)*IFERROR(INDEX($D$158:$D$161,MATCH(C528,$A$158:$A$161,0)),0),0)</f>
        <v>0</v>
      </c>
      <c r="J528" s="65">
        <f t="shared" si="42"/>
        <v>0</v>
      </c>
    </row>
    <row r="529" spans="1:10" ht="15" customHeight="1" outlineLevel="1" x14ac:dyDescent="0.2">
      <c r="A529" s="66" t="str">
        <f t="shared" si="45"/>
        <v>R015</v>
      </c>
      <c r="B529" s="67">
        <f>$A$1444</f>
        <v>45992</v>
      </c>
      <c r="C529" s="66" t="str">
        <f t="shared" si="46"/>
        <v>SDR / Inside Sales Rep</v>
      </c>
      <c r="D529" s="65">
        <f>SUMIFS(Fact_Quota!$D:$D,Fact_Quota!$A:$A,$A529,Fact_Quota!$B:$B,"&gt;="&amp;B529,Fact_Quota!$B:$B,"&lt;"&amp;EDATE(B529,1))</f>
        <v>0</v>
      </c>
      <c r="E529" s="65">
        <f>SUMIFS(Fact_Pipeline!$K:$K,Fact_Pipeline!$B:$B,$A529,Fact_Pipeline!$J:$J,"Won",Fact_Pipeline!$I:$I,"&gt;="&amp;B529,Fact_Pipeline!$I:$I,"&lt;"&amp;EDATE(B529,1))</f>
        <v>0</v>
      </c>
      <c r="F529" s="66" t="b">
        <f>AND(D529&gt;0,IFERROR(E529/D529&gt;=G6,FALSE()))</f>
        <v>0</v>
      </c>
      <c r="G529" s="65">
        <f t="shared" si="41"/>
        <v>0</v>
      </c>
      <c r="H529" s="65">
        <f>IF(F529,MAX(0,MIN(E529,I6*D529)-D529)*IFERROR(INDEX($C$158:$C$161,MATCH(C529,$A$158:$A$161,0)),0),0)</f>
        <v>0</v>
      </c>
      <c r="I529" s="65">
        <f>IF(F529,MAX(0,E529-I6*D529)*IFERROR(INDEX($D$158:$D$161,MATCH(C529,$A$158:$A$161,0)),0),0)</f>
        <v>0</v>
      </c>
      <c r="J529" s="65">
        <f t="shared" si="42"/>
        <v>0</v>
      </c>
    </row>
    <row r="530" spans="1:10" ht="15" customHeight="1" outlineLevel="1" x14ac:dyDescent="0.2">
      <c r="A530" s="63" t="str">
        <f t="shared" ref="A530:A553" si="47">$A$178</f>
        <v>R016</v>
      </c>
      <c r="B530" s="64">
        <f>$A$1421</f>
        <v>45292</v>
      </c>
      <c r="C530" s="63" t="str">
        <f t="shared" ref="C530:C553" si="48">$C$178</f>
        <v>SDR / Inside Sales Rep</v>
      </c>
      <c r="D530" s="62">
        <f>SUMIFS(Fact_Quota!$D:$D,Fact_Quota!$A:$A,$A530,Fact_Quota!$B:$B,"&gt;="&amp;B530,Fact_Quota!$B:$B,"&lt;"&amp;EDATE(B530,1))</f>
        <v>0</v>
      </c>
      <c r="E530" s="62">
        <f>SUMIFS(Fact_Pipeline!$K:$K,Fact_Pipeline!$B:$B,$A530,Fact_Pipeline!$J:$J,"Won",Fact_Pipeline!$I:$I,"&gt;="&amp;B530,Fact_Pipeline!$I:$I,"&lt;"&amp;EDATE(B530,1))</f>
        <v>0</v>
      </c>
      <c r="F530" s="63" t="b">
        <f>AND(D530&gt;0,IFERROR(E530/D530&gt;=G6,FALSE()))</f>
        <v>0</v>
      </c>
      <c r="G530" s="62">
        <f t="shared" si="41"/>
        <v>0</v>
      </c>
      <c r="H530" s="62">
        <f>IF(F530,MAX(0,MIN(E530,I6*D530)-D530)*IFERROR(INDEX($C$158:$C$161,MATCH(C530,$A$158:$A$161,0)),0),0)</f>
        <v>0</v>
      </c>
      <c r="I530" s="62">
        <f>IF(F530,MAX(0,E530-I6*D530)*IFERROR(INDEX($D$158:$D$161,MATCH(C530,$A$158:$A$161,0)),0),0)</f>
        <v>0</v>
      </c>
      <c r="J530" s="62">
        <f t="shared" si="42"/>
        <v>0</v>
      </c>
    </row>
    <row r="531" spans="1:10" ht="15" customHeight="1" outlineLevel="1" x14ac:dyDescent="0.2">
      <c r="A531" s="63" t="str">
        <f t="shared" si="47"/>
        <v>R016</v>
      </c>
      <c r="B531" s="64">
        <f>$A$1422</f>
        <v>45323</v>
      </c>
      <c r="C531" s="63" t="str">
        <f t="shared" si="48"/>
        <v>SDR / Inside Sales Rep</v>
      </c>
      <c r="D531" s="62">
        <f>SUMIFS(Fact_Quota!$D:$D,Fact_Quota!$A:$A,$A531,Fact_Quota!$B:$B,"&gt;="&amp;B531,Fact_Quota!$B:$B,"&lt;"&amp;EDATE(B531,1))</f>
        <v>0</v>
      </c>
      <c r="E531" s="62">
        <f>SUMIFS(Fact_Pipeline!$K:$K,Fact_Pipeline!$B:$B,$A531,Fact_Pipeline!$J:$J,"Won",Fact_Pipeline!$I:$I,"&gt;="&amp;B531,Fact_Pipeline!$I:$I,"&lt;"&amp;EDATE(B531,1))</f>
        <v>0</v>
      </c>
      <c r="F531" s="63" t="b">
        <f>AND(D531&gt;0,IFERROR(E531/D531&gt;=G6,FALSE()))</f>
        <v>0</v>
      </c>
      <c r="G531" s="62">
        <f t="shared" si="41"/>
        <v>0</v>
      </c>
      <c r="H531" s="62">
        <f>IF(F531,MAX(0,MIN(E531,I6*D531)-D531)*IFERROR(INDEX($C$158:$C$161,MATCH(C531,$A$158:$A$161,0)),0),0)</f>
        <v>0</v>
      </c>
      <c r="I531" s="62">
        <f>IF(F531,MAX(0,E531-I6*D531)*IFERROR(INDEX($D$158:$D$161,MATCH(C531,$A$158:$A$161,0)),0),0)</f>
        <v>0</v>
      </c>
      <c r="J531" s="62">
        <f t="shared" si="42"/>
        <v>0</v>
      </c>
    </row>
    <row r="532" spans="1:10" ht="15" customHeight="1" outlineLevel="1" x14ac:dyDescent="0.2">
      <c r="A532" s="63" t="str">
        <f t="shared" si="47"/>
        <v>R016</v>
      </c>
      <c r="B532" s="64">
        <f>$A$1423</f>
        <v>45352</v>
      </c>
      <c r="C532" s="63" t="str">
        <f t="shared" si="48"/>
        <v>SDR / Inside Sales Rep</v>
      </c>
      <c r="D532" s="62">
        <f>SUMIFS(Fact_Quota!$D:$D,Fact_Quota!$A:$A,$A532,Fact_Quota!$B:$B,"&gt;="&amp;B532,Fact_Quota!$B:$B,"&lt;"&amp;EDATE(B532,1))</f>
        <v>0</v>
      </c>
      <c r="E532" s="62">
        <f>SUMIFS(Fact_Pipeline!$K:$K,Fact_Pipeline!$B:$B,$A532,Fact_Pipeline!$J:$J,"Won",Fact_Pipeline!$I:$I,"&gt;="&amp;B532,Fact_Pipeline!$I:$I,"&lt;"&amp;EDATE(B532,1))</f>
        <v>0</v>
      </c>
      <c r="F532" s="63" t="b">
        <f>AND(D532&gt;0,IFERROR(E532/D532&gt;=G6,FALSE()))</f>
        <v>0</v>
      </c>
      <c r="G532" s="62">
        <f t="shared" si="41"/>
        <v>0</v>
      </c>
      <c r="H532" s="62">
        <f>IF(F532,MAX(0,MIN(E532,I6*D532)-D532)*IFERROR(INDEX($C$158:$C$161,MATCH(C532,$A$158:$A$161,0)),0),0)</f>
        <v>0</v>
      </c>
      <c r="I532" s="62">
        <f>IF(F532,MAX(0,E532-I6*D532)*IFERROR(INDEX($D$158:$D$161,MATCH(C532,$A$158:$A$161,0)),0),0)</f>
        <v>0</v>
      </c>
      <c r="J532" s="62">
        <f t="shared" si="42"/>
        <v>0</v>
      </c>
    </row>
    <row r="533" spans="1:10" ht="15" customHeight="1" outlineLevel="1" x14ac:dyDescent="0.2">
      <c r="A533" s="63" t="str">
        <f t="shared" si="47"/>
        <v>R016</v>
      </c>
      <c r="B533" s="64">
        <f>$A$1424</f>
        <v>45383</v>
      </c>
      <c r="C533" s="63" t="str">
        <f t="shared" si="48"/>
        <v>SDR / Inside Sales Rep</v>
      </c>
      <c r="D533" s="62">
        <f>SUMIFS(Fact_Quota!$D:$D,Fact_Quota!$A:$A,$A533,Fact_Quota!$B:$B,"&gt;="&amp;B533,Fact_Quota!$B:$B,"&lt;"&amp;EDATE(B533,1))</f>
        <v>0</v>
      </c>
      <c r="E533" s="62">
        <f>SUMIFS(Fact_Pipeline!$K:$K,Fact_Pipeline!$B:$B,$A533,Fact_Pipeline!$J:$J,"Won",Fact_Pipeline!$I:$I,"&gt;="&amp;B533,Fact_Pipeline!$I:$I,"&lt;"&amp;EDATE(B533,1))</f>
        <v>0</v>
      </c>
      <c r="F533" s="63" t="b">
        <f>AND(D533&gt;0,IFERROR(E533/D533&gt;=G6,FALSE()))</f>
        <v>0</v>
      </c>
      <c r="G533" s="62">
        <f t="shared" si="41"/>
        <v>0</v>
      </c>
      <c r="H533" s="62">
        <f>IF(F533,MAX(0,MIN(E533,I6*D533)-D533)*IFERROR(INDEX($C$158:$C$161,MATCH(C533,$A$158:$A$161,0)),0),0)</f>
        <v>0</v>
      </c>
      <c r="I533" s="62">
        <f>IF(F533,MAX(0,E533-I6*D533)*IFERROR(INDEX($D$158:$D$161,MATCH(C533,$A$158:$A$161,0)),0),0)</f>
        <v>0</v>
      </c>
      <c r="J533" s="62">
        <f t="shared" si="42"/>
        <v>0</v>
      </c>
    </row>
    <row r="534" spans="1:10" ht="15" customHeight="1" outlineLevel="1" x14ac:dyDescent="0.2">
      <c r="A534" s="63" t="str">
        <f t="shared" si="47"/>
        <v>R016</v>
      </c>
      <c r="B534" s="64">
        <f>$A$1425</f>
        <v>45413</v>
      </c>
      <c r="C534" s="63" t="str">
        <f t="shared" si="48"/>
        <v>SDR / Inside Sales Rep</v>
      </c>
      <c r="D534" s="62">
        <f>SUMIFS(Fact_Quota!$D:$D,Fact_Quota!$A:$A,$A534,Fact_Quota!$B:$B,"&gt;="&amp;B534,Fact_Quota!$B:$B,"&lt;"&amp;EDATE(B534,1))</f>
        <v>0</v>
      </c>
      <c r="E534" s="62">
        <f>SUMIFS(Fact_Pipeline!$K:$K,Fact_Pipeline!$B:$B,$A534,Fact_Pipeline!$J:$J,"Won",Fact_Pipeline!$I:$I,"&gt;="&amp;B534,Fact_Pipeline!$I:$I,"&lt;"&amp;EDATE(B534,1))</f>
        <v>0</v>
      </c>
      <c r="F534" s="63" t="b">
        <f>AND(D534&gt;0,IFERROR(E534/D534&gt;=G6,FALSE()))</f>
        <v>0</v>
      </c>
      <c r="G534" s="62">
        <f t="shared" si="41"/>
        <v>0</v>
      </c>
      <c r="H534" s="62">
        <f>IF(F534,MAX(0,MIN(E534,I6*D534)-D534)*IFERROR(INDEX($C$158:$C$161,MATCH(C534,$A$158:$A$161,0)),0),0)</f>
        <v>0</v>
      </c>
      <c r="I534" s="62">
        <f>IF(F534,MAX(0,E534-I6*D534)*IFERROR(INDEX($D$158:$D$161,MATCH(C534,$A$158:$A$161,0)),0),0)</f>
        <v>0</v>
      </c>
      <c r="J534" s="62">
        <f t="shared" si="42"/>
        <v>0</v>
      </c>
    </row>
    <row r="535" spans="1:10" ht="15" customHeight="1" outlineLevel="1" x14ac:dyDescent="0.2">
      <c r="A535" s="63" t="str">
        <f t="shared" si="47"/>
        <v>R016</v>
      </c>
      <c r="B535" s="64">
        <f>$A$1426</f>
        <v>45444</v>
      </c>
      <c r="C535" s="63" t="str">
        <f t="shared" si="48"/>
        <v>SDR / Inside Sales Rep</v>
      </c>
      <c r="D535" s="62">
        <f>SUMIFS(Fact_Quota!$D:$D,Fact_Quota!$A:$A,$A535,Fact_Quota!$B:$B,"&gt;="&amp;B535,Fact_Quota!$B:$B,"&lt;"&amp;EDATE(B535,1))</f>
        <v>0</v>
      </c>
      <c r="E535" s="62">
        <f>SUMIFS(Fact_Pipeline!$K:$K,Fact_Pipeline!$B:$B,$A535,Fact_Pipeline!$J:$J,"Won",Fact_Pipeline!$I:$I,"&gt;="&amp;B535,Fact_Pipeline!$I:$I,"&lt;"&amp;EDATE(B535,1))</f>
        <v>0</v>
      </c>
      <c r="F535" s="63" t="b">
        <f>AND(D535&gt;0,IFERROR(E535/D535&gt;=G6,FALSE()))</f>
        <v>0</v>
      </c>
      <c r="G535" s="62">
        <f t="shared" si="41"/>
        <v>0</v>
      </c>
      <c r="H535" s="62">
        <f>IF(F535,MAX(0,MIN(E535,I6*D535)-D535)*IFERROR(INDEX($C$158:$C$161,MATCH(C535,$A$158:$A$161,0)),0),0)</f>
        <v>0</v>
      </c>
      <c r="I535" s="62">
        <f>IF(F535,MAX(0,E535-I6*D535)*IFERROR(INDEX($D$158:$D$161,MATCH(C535,$A$158:$A$161,0)),0),0)</f>
        <v>0</v>
      </c>
      <c r="J535" s="62">
        <f t="shared" si="42"/>
        <v>0</v>
      </c>
    </row>
    <row r="536" spans="1:10" ht="15" customHeight="1" outlineLevel="1" x14ac:dyDescent="0.2">
      <c r="A536" s="63" t="str">
        <f t="shared" si="47"/>
        <v>R016</v>
      </c>
      <c r="B536" s="64">
        <f>$A$1427</f>
        <v>45474</v>
      </c>
      <c r="C536" s="63" t="str">
        <f t="shared" si="48"/>
        <v>SDR / Inside Sales Rep</v>
      </c>
      <c r="D536" s="62">
        <f>SUMIFS(Fact_Quota!$D:$D,Fact_Quota!$A:$A,$A536,Fact_Quota!$B:$B,"&gt;="&amp;B536,Fact_Quota!$B:$B,"&lt;"&amp;EDATE(B536,1))</f>
        <v>0</v>
      </c>
      <c r="E536" s="62">
        <f>SUMIFS(Fact_Pipeline!$K:$K,Fact_Pipeline!$B:$B,$A536,Fact_Pipeline!$J:$J,"Won",Fact_Pipeline!$I:$I,"&gt;="&amp;B536,Fact_Pipeline!$I:$I,"&lt;"&amp;EDATE(B536,1))</f>
        <v>0</v>
      </c>
      <c r="F536" s="63" t="b">
        <f>AND(D536&gt;0,IFERROR(E536/D536&gt;=G6,FALSE()))</f>
        <v>0</v>
      </c>
      <c r="G536" s="62">
        <f t="shared" si="41"/>
        <v>0</v>
      </c>
      <c r="H536" s="62">
        <f>IF(F536,MAX(0,MIN(E536,I6*D536)-D536)*IFERROR(INDEX($C$158:$C$161,MATCH(C536,$A$158:$A$161,0)),0),0)</f>
        <v>0</v>
      </c>
      <c r="I536" s="62">
        <f>IF(F536,MAX(0,E536-I6*D536)*IFERROR(INDEX($D$158:$D$161,MATCH(C536,$A$158:$A$161,0)),0),0)</f>
        <v>0</v>
      </c>
      <c r="J536" s="62">
        <f t="shared" si="42"/>
        <v>0</v>
      </c>
    </row>
    <row r="537" spans="1:10" ht="15" customHeight="1" outlineLevel="1" x14ac:dyDescent="0.2">
      <c r="A537" s="63" t="str">
        <f t="shared" si="47"/>
        <v>R016</v>
      </c>
      <c r="B537" s="64">
        <f>$A$1428</f>
        <v>45505</v>
      </c>
      <c r="C537" s="63" t="str">
        <f t="shared" si="48"/>
        <v>SDR / Inside Sales Rep</v>
      </c>
      <c r="D537" s="62">
        <f>SUMIFS(Fact_Quota!$D:$D,Fact_Quota!$A:$A,$A537,Fact_Quota!$B:$B,"&gt;="&amp;B537,Fact_Quota!$B:$B,"&lt;"&amp;EDATE(B537,1))</f>
        <v>0</v>
      </c>
      <c r="E537" s="62">
        <f>SUMIFS(Fact_Pipeline!$K:$K,Fact_Pipeline!$B:$B,$A537,Fact_Pipeline!$J:$J,"Won",Fact_Pipeline!$I:$I,"&gt;="&amp;B537,Fact_Pipeline!$I:$I,"&lt;"&amp;EDATE(B537,1))</f>
        <v>0</v>
      </c>
      <c r="F537" s="63" t="b">
        <f>AND(D537&gt;0,IFERROR(E537/D537&gt;=G6,FALSE()))</f>
        <v>0</v>
      </c>
      <c r="G537" s="62">
        <f t="shared" si="41"/>
        <v>0</v>
      </c>
      <c r="H537" s="62">
        <f>IF(F537,MAX(0,MIN(E537,I6*D537)-D537)*IFERROR(INDEX($C$158:$C$161,MATCH(C537,$A$158:$A$161,0)),0),0)</f>
        <v>0</v>
      </c>
      <c r="I537" s="62">
        <f>IF(F537,MAX(0,E537-I6*D537)*IFERROR(INDEX($D$158:$D$161,MATCH(C537,$A$158:$A$161,0)),0),0)</f>
        <v>0</v>
      </c>
      <c r="J537" s="62">
        <f t="shared" si="42"/>
        <v>0</v>
      </c>
    </row>
    <row r="538" spans="1:10" ht="15" customHeight="1" outlineLevel="1" x14ac:dyDescent="0.2">
      <c r="A538" s="63" t="str">
        <f t="shared" si="47"/>
        <v>R016</v>
      </c>
      <c r="B538" s="64">
        <f>$A$1429</f>
        <v>45536</v>
      </c>
      <c r="C538" s="63" t="str">
        <f t="shared" si="48"/>
        <v>SDR / Inside Sales Rep</v>
      </c>
      <c r="D538" s="62">
        <f>SUMIFS(Fact_Quota!$D:$D,Fact_Quota!$A:$A,$A538,Fact_Quota!$B:$B,"&gt;="&amp;B538,Fact_Quota!$B:$B,"&lt;"&amp;EDATE(B538,1))</f>
        <v>0</v>
      </c>
      <c r="E538" s="62">
        <f>SUMIFS(Fact_Pipeline!$K:$K,Fact_Pipeline!$B:$B,$A538,Fact_Pipeline!$J:$J,"Won",Fact_Pipeline!$I:$I,"&gt;="&amp;B538,Fact_Pipeline!$I:$I,"&lt;"&amp;EDATE(B538,1))</f>
        <v>0</v>
      </c>
      <c r="F538" s="63" t="b">
        <f>AND(D538&gt;0,IFERROR(E538/D538&gt;=G6,FALSE()))</f>
        <v>0</v>
      </c>
      <c r="G538" s="62">
        <f t="shared" ref="G538:G601" si="49">IF(F538,MIN(E538,D538)*IFERROR(INDEX($B$158:$B$161,MATCH(C538,$A$158:$A$161,0)),0),0)</f>
        <v>0</v>
      </c>
      <c r="H538" s="62">
        <f>IF(F538,MAX(0,MIN(E538,I6*D538)-D538)*IFERROR(INDEX($C$158:$C$161,MATCH(C538,$A$158:$A$161,0)),0),0)</f>
        <v>0</v>
      </c>
      <c r="I538" s="62">
        <f>IF(F538,MAX(0,E538-I6*D538)*IFERROR(INDEX($D$158:$D$161,MATCH(C538,$A$158:$A$161,0)),0),0)</f>
        <v>0</v>
      </c>
      <c r="J538" s="62">
        <f t="shared" ref="J538:J601" si="50">G538+H538+I538</f>
        <v>0</v>
      </c>
    </row>
    <row r="539" spans="1:10" ht="15" customHeight="1" outlineLevel="1" x14ac:dyDescent="0.2">
      <c r="A539" s="63" t="str">
        <f t="shared" si="47"/>
        <v>R016</v>
      </c>
      <c r="B539" s="64">
        <f>$A$1430</f>
        <v>45566</v>
      </c>
      <c r="C539" s="63" t="str">
        <f t="shared" si="48"/>
        <v>SDR / Inside Sales Rep</v>
      </c>
      <c r="D539" s="62">
        <f>SUMIFS(Fact_Quota!$D:$D,Fact_Quota!$A:$A,$A539,Fact_Quota!$B:$B,"&gt;="&amp;B539,Fact_Quota!$B:$B,"&lt;"&amp;EDATE(B539,1))</f>
        <v>0</v>
      </c>
      <c r="E539" s="62">
        <f>SUMIFS(Fact_Pipeline!$K:$K,Fact_Pipeline!$B:$B,$A539,Fact_Pipeline!$J:$J,"Won",Fact_Pipeline!$I:$I,"&gt;="&amp;B539,Fact_Pipeline!$I:$I,"&lt;"&amp;EDATE(B539,1))</f>
        <v>0</v>
      </c>
      <c r="F539" s="63" t="b">
        <f>AND(D539&gt;0,IFERROR(E539/D539&gt;=G6,FALSE()))</f>
        <v>0</v>
      </c>
      <c r="G539" s="62">
        <f t="shared" si="49"/>
        <v>0</v>
      </c>
      <c r="H539" s="62">
        <f>IF(F539,MAX(0,MIN(E539,I6*D539)-D539)*IFERROR(INDEX($C$158:$C$161,MATCH(C539,$A$158:$A$161,0)),0),0)</f>
        <v>0</v>
      </c>
      <c r="I539" s="62">
        <f>IF(F539,MAX(0,E539-I6*D539)*IFERROR(INDEX($D$158:$D$161,MATCH(C539,$A$158:$A$161,0)),0),0)</f>
        <v>0</v>
      </c>
      <c r="J539" s="62">
        <f t="shared" si="50"/>
        <v>0</v>
      </c>
    </row>
    <row r="540" spans="1:10" ht="15" customHeight="1" outlineLevel="1" x14ac:dyDescent="0.2">
      <c r="A540" s="63" t="str">
        <f t="shared" si="47"/>
        <v>R016</v>
      </c>
      <c r="B540" s="64">
        <f>$A$1431</f>
        <v>45597</v>
      </c>
      <c r="C540" s="63" t="str">
        <f t="shared" si="48"/>
        <v>SDR / Inside Sales Rep</v>
      </c>
      <c r="D540" s="62">
        <f>SUMIFS(Fact_Quota!$D:$D,Fact_Quota!$A:$A,$A540,Fact_Quota!$B:$B,"&gt;="&amp;B540,Fact_Quota!$B:$B,"&lt;"&amp;EDATE(B540,1))</f>
        <v>0</v>
      </c>
      <c r="E540" s="62">
        <f>SUMIFS(Fact_Pipeline!$K:$K,Fact_Pipeline!$B:$B,$A540,Fact_Pipeline!$J:$J,"Won",Fact_Pipeline!$I:$I,"&gt;="&amp;B540,Fact_Pipeline!$I:$I,"&lt;"&amp;EDATE(B540,1))</f>
        <v>0</v>
      </c>
      <c r="F540" s="63" t="b">
        <f>AND(D540&gt;0,IFERROR(E540/D540&gt;=G6,FALSE()))</f>
        <v>0</v>
      </c>
      <c r="G540" s="62">
        <f t="shared" si="49"/>
        <v>0</v>
      </c>
      <c r="H540" s="62">
        <f>IF(F540,MAX(0,MIN(E540,I6*D540)-D540)*IFERROR(INDEX($C$158:$C$161,MATCH(C540,$A$158:$A$161,0)),0),0)</f>
        <v>0</v>
      </c>
      <c r="I540" s="62">
        <f>IF(F540,MAX(0,E540-I6*D540)*IFERROR(INDEX($D$158:$D$161,MATCH(C540,$A$158:$A$161,0)),0),0)</f>
        <v>0</v>
      </c>
      <c r="J540" s="62">
        <f t="shared" si="50"/>
        <v>0</v>
      </c>
    </row>
    <row r="541" spans="1:10" ht="15" customHeight="1" outlineLevel="1" x14ac:dyDescent="0.2">
      <c r="A541" s="63" t="str">
        <f t="shared" si="47"/>
        <v>R016</v>
      </c>
      <c r="B541" s="64">
        <f>$A$1432</f>
        <v>45627</v>
      </c>
      <c r="C541" s="63" t="str">
        <f t="shared" si="48"/>
        <v>SDR / Inside Sales Rep</v>
      </c>
      <c r="D541" s="62">
        <f>SUMIFS(Fact_Quota!$D:$D,Fact_Quota!$A:$A,$A541,Fact_Quota!$B:$B,"&gt;="&amp;B541,Fact_Quota!$B:$B,"&lt;"&amp;EDATE(B541,1))</f>
        <v>3800</v>
      </c>
      <c r="E541" s="62">
        <f>SUMIFS(Fact_Pipeline!$K:$K,Fact_Pipeline!$B:$B,$A541,Fact_Pipeline!$J:$J,"Won",Fact_Pipeline!$I:$I,"&gt;="&amp;B541,Fact_Pipeline!$I:$I,"&lt;"&amp;EDATE(B541,1))</f>
        <v>5600</v>
      </c>
      <c r="F541" s="63" t="b">
        <f>AND(D541&gt;0,IFERROR(E541/D541&gt;=G6,FALSE()))</f>
        <v>1</v>
      </c>
      <c r="G541" s="62">
        <f t="shared" si="49"/>
        <v>114</v>
      </c>
      <c r="H541" s="62">
        <f>IF(F541,MAX(0,MIN(E541,I6*D541)-D541)*IFERROR(INDEX($C$158:$C$161,MATCH(C541,$A$158:$A$161,0)),0),0)</f>
        <v>90</v>
      </c>
      <c r="I541" s="62">
        <f>IF(F541,MAX(0,E541-I6*D541)*IFERROR(INDEX($D$158:$D$161,MATCH(C541,$A$158:$A$161,0)),0),0)</f>
        <v>0</v>
      </c>
      <c r="J541" s="62">
        <f t="shared" si="50"/>
        <v>204</v>
      </c>
    </row>
    <row r="542" spans="1:10" ht="15" customHeight="1" outlineLevel="1" x14ac:dyDescent="0.2">
      <c r="A542" s="63" t="str">
        <f t="shared" si="47"/>
        <v>R016</v>
      </c>
      <c r="B542" s="64">
        <f>$A$1433</f>
        <v>45658</v>
      </c>
      <c r="C542" s="63" t="str">
        <f t="shared" si="48"/>
        <v>SDR / Inside Sales Rep</v>
      </c>
      <c r="D542" s="62">
        <f>SUMIFS(Fact_Quota!$D:$D,Fact_Quota!$A:$A,$A542,Fact_Quota!$B:$B,"&gt;="&amp;B542,Fact_Quota!$B:$B,"&lt;"&amp;EDATE(B542,1))</f>
        <v>7900</v>
      </c>
      <c r="E542" s="62">
        <f>SUMIFS(Fact_Pipeline!$K:$K,Fact_Pipeline!$B:$B,$A542,Fact_Pipeline!$J:$J,"Won",Fact_Pipeline!$I:$I,"&gt;="&amp;B542,Fact_Pipeline!$I:$I,"&lt;"&amp;EDATE(B542,1))</f>
        <v>17100</v>
      </c>
      <c r="F542" s="63" t="b">
        <f>AND(D542&gt;0,IFERROR(E542/D542&gt;=G6,FALSE()))</f>
        <v>1</v>
      </c>
      <c r="G542" s="62">
        <f t="shared" si="49"/>
        <v>237</v>
      </c>
      <c r="H542" s="62">
        <f>IF(F542,MAX(0,MIN(E542,I6*D542)-D542)*IFERROR(INDEX($C$158:$C$161,MATCH(C542,$A$158:$A$161,0)),0),0)</f>
        <v>197.5</v>
      </c>
      <c r="I542" s="62">
        <f>IF(F542,MAX(0,E542-I6*D542)*IFERROR(INDEX($D$158:$D$161,MATCH(C542,$A$158:$A$161,0)),0),0)</f>
        <v>367.50000000000006</v>
      </c>
      <c r="J542" s="62">
        <f t="shared" si="50"/>
        <v>802</v>
      </c>
    </row>
    <row r="543" spans="1:10" ht="15" customHeight="1" outlineLevel="1" x14ac:dyDescent="0.2">
      <c r="A543" s="63" t="str">
        <f t="shared" si="47"/>
        <v>R016</v>
      </c>
      <c r="B543" s="64">
        <f>$A$1434</f>
        <v>45689</v>
      </c>
      <c r="C543" s="63" t="str">
        <f t="shared" si="48"/>
        <v>SDR / Inside Sales Rep</v>
      </c>
      <c r="D543" s="62">
        <f>SUMIFS(Fact_Quota!$D:$D,Fact_Quota!$A:$A,$A543,Fact_Quota!$B:$B,"&gt;="&amp;B543,Fact_Quota!$B:$B,"&lt;"&amp;EDATE(B543,1))</f>
        <v>11600</v>
      </c>
      <c r="E543" s="62">
        <f>SUMIFS(Fact_Pipeline!$K:$K,Fact_Pipeline!$B:$B,$A543,Fact_Pipeline!$J:$J,"Won",Fact_Pipeline!$I:$I,"&gt;="&amp;B543,Fact_Pipeline!$I:$I,"&lt;"&amp;EDATE(B543,1))</f>
        <v>5200</v>
      </c>
      <c r="F543" s="63" t="b">
        <f>AND(D543&gt;0,IFERROR(E543/D543&gt;=G6,FALSE()))</f>
        <v>0</v>
      </c>
      <c r="G543" s="62">
        <f t="shared" si="49"/>
        <v>0</v>
      </c>
      <c r="H543" s="62">
        <f>IF(F543,MAX(0,MIN(E543,I6*D543)-D543)*IFERROR(INDEX($C$158:$C$161,MATCH(C543,$A$158:$A$161,0)),0),0)</f>
        <v>0</v>
      </c>
      <c r="I543" s="62">
        <f>IF(F543,MAX(0,E543-I6*D543)*IFERROR(INDEX($D$158:$D$161,MATCH(C543,$A$158:$A$161,0)),0),0)</f>
        <v>0</v>
      </c>
      <c r="J543" s="62">
        <f t="shared" si="50"/>
        <v>0</v>
      </c>
    </row>
    <row r="544" spans="1:10" ht="15" customHeight="1" outlineLevel="1" x14ac:dyDescent="0.2">
      <c r="A544" s="63" t="str">
        <f t="shared" si="47"/>
        <v>R016</v>
      </c>
      <c r="B544" s="64">
        <f>$A$1435</f>
        <v>45717</v>
      </c>
      <c r="C544" s="63" t="str">
        <f t="shared" si="48"/>
        <v>SDR / Inside Sales Rep</v>
      </c>
      <c r="D544" s="62">
        <f>SUMIFS(Fact_Quota!$D:$D,Fact_Quota!$A:$A,$A544,Fact_Quota!$B:$B,"&gt;="&amp;B544,Fact_Quota!$B:$B,"&lt;"&amp;EDATE(B544,1))</f>
        <v>15400</v>
      </c>
      <c r="E544" s="62">
        <f>SUMIFS(Fact_Pipeline!$K:$K,Fact_Pipeline!$B:$B,$A544,Fact_Pipeline!$J:$J,"Won",Fact_Pipeline!$I:$I,"&gt;="&amp;B544,Fact_Pipeline!$I:$I,"&lt;"&amp;EDATE(B544,1))</f>
        <v>8800</v>
      </c>
      <c r="F544" s="63" t="b">
        <f>AND(D544&gt;0,IFERROR(E544/D544&gt;=G6,FALSE()))</f>
        <v>1</v>
      </c>
      <c r="G544" s="62">
        <f t="shared" si="49"/>
        <v>264</v>
      </c>
      <c r="H544" s="62">
        <f>IF(F544,MAX(0,MIN(E544,I6*D544)-D544)*IFERROR(INDEX($C$158:$C$161,MATCH(C544,$A$158:$A$161,0)),0),0)</f>
        <v>0</v>
      </c>
      <c r="I544" s="62">
        <f>IF(F544,MAX(0,E544-I6*D544)*IFERROR(INDEX($D$158:$D$161,MATCH(C544,$A$158:$A$161,0)),0),0)</f>
        <v>0</v>
      </c>
      <c r="J544" s="62">
        <f t="shared" si="50"/>
        <v>264</v>
      </c>
    </row>
    <row r="545" spans="1:10" ht="15" customHeight="1" outlineLevel="1" x14ac:dyDescent="0.2">
      <c r="A545" s="63" t="str">
        <f t="shared" si="47"/>
        <v>R016</v>
      </c>
      <c r="B545" s="64">
        <f>$A$1436</f>
        <v>45748</v>
      </c>
      <c r="C545" s="63" t="str">
        <f t="shared" si="48"/>
        <v>SDR / Inside Sales Rep</v>
      </c>
      <c r="D545" s="62">
        <f>SUMIFS(Fact_Quota!$D:$D,Fact_Quota!$A:$A,$A545,Fact_Quota!$B:$B,"&gt;="&amp;B545,Fact_Quota!$B:$B,"&lt;"&amp;EDATE(B545,1))</f>
        <v>16000</v>
      </c>
      <c r="E545" s="62">
        <f>SUMIFS(Fact_Pipeline!$K:$K,Fact_Pipeline!$B:$B,$A545,Fact_Pipeline!$J:$J,"Won",Fact_Pipeline!$I:$I,"&gt;="&amp;B545,Fact_Pipeline!$I:$I,"&lt;"&amp;EDATE(B545,1))</f>
        <v>5200</v>
      </c>
      <c r="F545" s="63" t="b">
        <f>AND(D545&gt;0,IFERROR(E545/D545&gt;=G6,FALSE()))</f>
        <v>0</v>
      </c>
      <c r="G545" s="62">
        <f t="shared" si="49"/>
        <v>0</v>
      </c>
      <c r="H545" s="62">
        <f>IF(F545,MAX(0,MIN(E545,I6*D545)-D545)*IFERROR(INDEX($C$158:$C$161,MATCH(C545,$A$158:$A$161,0)),0),0)</f>
        <v>0</v>
      </c>
      <c r="I545" s="62">
        <f>IF(F545,MAX(0,E545-I6*D545)*IFERROR(INDEX($D$158:$D$161,MATCH(C545,$A$158:$A$161,0)),0),0)</f>
        <v>0</v>
      </c>
      <c r="J545" s="62">
        <f t="shared" si="50"/>
        <v>0</v>
      </c>
    </row>
    <row r="546" spans="1:10" ht="15" customHeight="1" outlineLevel="1" x14ac:dyDescent="0.2">
      <c r="A546" s="63" t="str">
        <f t="shared" si="47"/>
        <v>R016</v>
      </c>
      <c r="B546" s="64">
        <f>$A$1437</f>
        <v>45778</v>
      </c>
      <c r="C546" s="63" t="str">
        <f t="shared" si="48"/>
        <v>SDR / Inside Sales Rep</v>
      </c>
      <c r="D546" s="62">
        <f>SUMIFS(Fact_Quota!$D:$D,Fact_Quota!$A:$A,$A546,Fact_Quota!$B:$B,"&gt;="&amp;B546,Fact_Quota!$B:$B,"&lt;"&amp;EDATE(B546,1))</f>
        <v>15900</v>
      </c>
      <c r="E546" s="62">
        <f>SUMIFS(Fact_Pipeline!$K:$K,Fact_Pipeline!$B:$B,$A546,Fact_Pipeline!$J:$J,"Won",Fact_Pipeline!$I:$I,"&gt;="&amp;B546,Fact_Pipeline!$I:$I,"&lt;"&amp;EDATE(B546,1))</f>
        <v>16100</v>
      </c>
      <c r="F546" s="63" t="b">
        <f>AND(D546&gt;0,IFERROR(E546/D546&gt;=G6,FALSE()))</f>
        <v>1</v>
      </c>
      <c r="G546" s="62">
        <f t="shared" si="49"/>
        <v>477</v>
      </c>
      <c r="H546" s="62">
        <f>IF(F546,MAX(0,MIN(E546,I6*D546)-D546)*IFERROR(INDEX($C$158:$C$161,MATCH(C546,$A$158:$A$161,0)),0),0)</f>
        <v>10</v>
      </c>
      <c r="I546" s="62">
        <f>IF(F546,MAX(0,E546-I6*D546)*IFERROR(INDEX($D$158:$D$161,MATCH(C546,$A$158:$A$161,0)),0),0)</f>
        <v>0</v>
      </c>
      <c r="J546" s="62">
        <f t="shared" si="50"/>
        <v>487</v>
      </c>
    </row>
    <row r="547" spans="1:10" ht="15" customHeight="1" outlineLevel="1" x14ac:dyDescent="0.2">
      <c r="A547" s="63" t="str">
        <f t="shared" si="47"/>
        <v>R016</v>
      </c>
      <c r="B547" s="64">
        <f>$A$1438</f>
        <v>45809</v>
      </c>
      <c r="C547" s="63" t="str">
        <f t="shared" si="48"/>
        <v>SDR / Inside Sales Rep</v>
      </c>
      <c r="D547" s="62">
        <f>SUMIFS(Fact_Quota!$D:$D,Fact_Quota!$A:$A,$A547,Fact_Quota!$B:$B,"&gt;="&amp;B547,Fact_Quota!$B:$B,"&lt;"&amp;EDATE(B547,1))</f>
        <v>15900</v>
      </c>
      <c r="E547" s="62">
        <f>SUMIFS(Fact_Pipeline!$K:$K,Fact_Pipeline!$B:$B,$A547,Fact_Pipeline!$J:$J,"Won",Fact_Pipeline!$I:$I,"&gt;="&amp;B547,Fact_Pipeline!$I:$I,"&lt;"&amp;EDATE(B547,1))</f>
        <v>5400</v>
      </c>
      <c r="F547" s="63" t="b">
        <f>AND(D547&gt;0,IFERROR(E547/D547&gt;=G6,FALSE()))</f>
        <v>0</v>
      </c>
      <c r="G547" s="62">
        <f t="shared" si="49"/>
        <v>0</v>
      </c>
      <c r="H547" s="62">
        <f>IF(F547,MAX(0,MIN(E547,I6*D547)-D547)*IFERROR(INDEX($C$158:$C$161,MATCH(C547,$A$158:$A$161,0)),0),0)</f>
        <v>0</v>
      </c>
      <c r="I547" s="62">
        <f>IF(F547,MAX(0,E547-I6*D547)*IFERROR(INDEX($D$158:$D$161,MATCH(C547,$A$158:$A$161,0)),0),0)</f>
        <v>0</v>
      </c>
      <c r="J547" s="62">
        <f t="shared" si="50"/>
        <v>0</v>
      </c>
    </row>
    <row r="548" spans="1:10" ht="15" customHeight="1" outlineLevel="1" x14ac:dyDescent="0.2">
      <c r="A548" s="63" t="str">
        <f t="shared" si="47"/>
        <v>R016</v>
      </c>
      <c r="B548" s="64">
        <f>$A$1439</f>
        <v>45839</v>
      </c>
      <c r="C548" s="63" t="str">
        <f t="shared" si="48"/>
        <v>SDR / Inside Sales Rep</v>
      </c>
      <c r="D548" s="62">
        <f>SUMIFS(Fact_Quota!$D:$D,Fact_Quota!$A:$A,$A548,Fact_Quota!$B:$B,"&gt;="&amp;B548,Fact_Quota!$B:$B,"&lt;"&amp;EDATE(B548,1))</f>
        <v>16100</v>
      </c>
      <c r="E548" s="62">
        <f>SUMIFS(Fact_Pipeline!$K:$K,Fact_Pipeline!$B:$B,$A548,Fact_Pipeline!$J:$J,"Won",Fact_Pipeline!$I:$I,"&gt;="&amp;B548,Fact_Pipeline!$I:$I,"&lt;"&amp;EDATE(B548,1))</f>
        <v>0</v>
      </c>
      <c r="F548" s="63" t="b">
        <f>AND(D548&gt;0,IFERROR(E548/D548&gt;=G6,FALSE()))</f>
        <v>0</v>
      </c>
      <c r="G548" s="62">
        <f t="shared" si="49"/>
        <v>0</v>
      </c>
      <c r="H548" s="62">
        <f>IF(F548,MAX(0,MIN(E548,I6*D548)-D548)*IFERROR(INDEX($C$158:$C$161,MATCH(C548,$A$158:$A$161,0)),0),0)</f>
        <v>0</v>
      </c>
      <c r="I548" s="62">
        <f>IF(F548,MAX(0,E548-I6*D548)*IFERROR(INDEX($D$158:$D$161,MATCH(C548,$A$158:$A$161,0)),0),0)</f>
        <v>0</v>
      </c>
      <c r="J548" s="62">
        <f t="shared" si="50"/>
        <v>0</v>
      </c>
    </row>
    <row r="549" spans="1:10" ht="15" customHeight="1" outlineLevel="1" x14ac:dyDescent="0.2">
      <c r="A549" s="63" t="str">
        <f t="shared" si="47"/>
        <v>R016</v>
      </c>
      <c r="B549" s="64">
        <f>$A$1440</f>
        <v>45870</v>
      </c>
      <c r="C549" s="63" t="str">
        <f t="shared" si="48"/>
        <v>SDR / Inside Sales Rep</v>
      </c>
      <c r="D549" s="62">
        <f>SUMIFS(Fact_Quota!$D:$D,Fact_Quota!$A:$A,$A549,Fact_Quota!$B:$B,"&gt;="&amp;B549,Fact_Quota!$B:$B,"&lt;"&amp;EDATE(B549,1))</f>
        <v>15500</v>
      </c>
      <c r="E549" s="62">
        <f>SUMIFS(Fact_Pipeline!$K:$K,Fact_Pipeline!$B:$B,$A549,Fact_Pipeline!$J:$J,"Won",Fact_Pipeline!$I:$I,"&gt;="&amp;B549,Fact_Pipeline!$I:$I,"&lt;"&amp;EDATE(B549,1))</f>
        <v>0</v>
      </c>
      <c r="F549" s="63" t="b">
        <f>AND(D549&gt;0,IFERROR(E549/D549&gt;=G6,FALSE()))</f>
        <v>0</v>
      </c>
      <c r="G549" s="62">
        <f t="shared" si="49"/>
        <v>0</v>
      </c>
      <c r="H549" s="62">
        <f>IF(F549,MAX(0,MIN(E549,I6*D549)-D549)*IFERROR(INDEX($C$158:$C$161,MATCH(C549,$A$158:$A$161,0)),0),0)</f>
        <v>0</v>
      </c>
      <c r="I549" s="62">
        <f>IF(F549,MAX(0,E549-I6*D549)*IFERROR(INDEX($D$158:$D$161,MATCH(C549,$A$158:$A$161,0)),0),0)</f>
        <v>0</v>
      </c>
      <c r="J549" s="62">
        <f t="shared" si="50"/>
        <v>0</v>
      </c>
    </row>
    <row r="550" spans="1:10" ht="15" customHeight="1" outlineLevel="1" x14ac:dyDescent="0.2">
      <c r="A550" s="63" t="str">
        <f t="shared" si="47"/>
        <v>R016</v>
      </c>
      <c r="B550" s="64">
        <f>$A$1441</f>
        <v>45901</v>
      </c>
      <c r="C550" s="63" t="str">
        <f t="shared" si="48"/>
        <v>SDR / Inside Sales Rep</v>
      </c>
      <c r="D550" s="62">
        <f>SUMIFS(Fact_Quota!$D:$D,Fact_Quota!$A:$A,$A550,Fact_Quota!$B:$B,"&gt;="&amp;B550,Fact_Quota!$B:$B,"&lt;"&amp;EDATE(B550,1))</f>
        <v>15800</v>
      </c>
      <c r="E550" s="62">
        <f>SUMIFS(Fact_Pipeline!$K:$K,Fact_Pipeline!$B:$B,$A550,Fact_Pipeline!$J:$J,"Won",Fact_Pipeline!$I:$I,"&gt;="&amp;B550,Fact_Pipeline!$I:$I,"&lt;"&amp;EDATE(B550,1))</f>
        <v>5200</v>
      </c>
      <c r="F550" s="63" t="b">
        <f>AND(D550&gt;0,IFERROR(E550/D550&gt;=G6,FALSE()))</f>
        <v>0</v>
      </c>
      <c r="G550" s="62">
        <f t="shared" si="49"/>
        <v>0</v>
      </c>
      <c r="H550" s="62">
        <f>IF(F550,MAX(0,MIN(E550,I6*D550)-D550)*IFERROR(INDEX($C$158:$C$161,MATCH(C550,$A$158:$A$161,0)),0),0)</f>
        <v>0</v>
      </c>
      <c r="I550" s="62">
        <f>IF(F550,MAX(0,E550-I6*D550)*IFERROR(INDEX($D$158:$D$161,MATCH(C550,$A$158:$A$161,0)),0),0)</f>
        <v>0</v>
      </c>
      <c r="J550" s="62">
        <f t="shared" si="50"/>
        <v>0</v>
      </c>
    </row>
    <row r="551" spans="1:10" ht="15" customHeight="1" outlineLevel="1" x14ac:dyDescent="0.2">
      <c r="A551" s="63" t="str">
        <f t="shared" si="47"/>
        <v>R016</v>
      </c>
      <c r="B551" s="64">
        <f>$A$1442</f>
        <v>45931</v>
      </c>
      <c r="C551" s="63" t="str">
        <f t="shared" si="48"/>
        <v>SDR / Inside Sales Rep</v>
      </c>
      <c r="D551" s="62">
        <f>SUMIFS(Fact_Quota!$D:$D,Fact_Quota!$A:$A,$A551,Fact_Quota!$B:$B,"&gt;="&amp;B551,Fact_Quota!$B:$B,"&lt;"&amp;EDATE(B551,1))</f>
        <v>15400</v>
      </c>
      <c r="E551" s="62">
        <f>SUMIFS(Fact_Pipeline!$K:$K,Fact_Pipeline!$B:$B,$A551,Fact_Pipeline!$J:$J,"Won",Fact_Pipeline!$I:$I,"&gt;="&amp;B551,Fact_Pipeline!$I:$I,"&lt;"&amp;EDATE(B551,1))</f>
        <v>35700</v>
      </c>
      <c r="F551" s="63" t="b">
        <f>AND(D551&gt;0,IFERROR(E551/D551&gt;=G6,FALSE()))</f>
        <v>1</v>
      </c>
      <c r="G551" s="62">
        <f t="shared" si="49"/>
        <v>462</v>
      </c>
      <c r="H551" s="62">
        <f>IF(F551,MAX(0,MIN(E551,I6*D551)-D551)*IFERROR(INDEX($C$158:$C$161,MATCH(C551,$A$158:$A$161,0)),0),0)</f>
        <v>385</v>
      </c>
      <c r="I551" s="62">
        <f>IF(F551,MAX(0,E551-I6*D551)*IFERROR(INDEX($D$158:$D$161,MATCH(C551,$A$158:$A$161,0)),0),0)</f>
        <v>882.00000000000011</v>
      </c>
      <c r="J551" s="62">
        <f t="shared" si="50"/>
        <v>1729</v>
      </c>
    </row>
    <row r="552" spans="1:10" ht="15" customHeight="1" outlineLevel="1" x14ac:dyDescent="0.2">
      <c r="A552" s="63" t="str">
        <f t="shared" si="47"/>
        <v>R016</v>
      </c>
      <c r="B552" s="64">
        <f>$A$1443</f>
        <v>45962</v>
      </c>
      <c r="C552" s="63" t="str">
        <f t="shared" si="48"/>
        <v>SDR / Inside Sales Rep</v>
      </c>
      <c r="D552" s="62">
        <f>SUMIFS(Fact_Quota!$D:$D,Fact_Quota!$A:$A,$A552,Fact_Quota!$B:$B,"&gt;="&amp;B552,Fact_Quota!$B:$B,"&lt;"&amp;EDATE(B552,1))</f>
        <v>15700</v>
      </c>
      <c r="E552" s="62">
        <f>SUMIFS(Fact_Pipeline!$K:$K,Fact_Pipeline!$B:$B,$A552,Fact_Pipeline!$J:$J,"Won",Fact_Pipeline!$I:$I,"&gt;="&amp;B552,Fact_Pipeline!$I:$I,"&lt;"&amp;EDATE(B552,1))</f>
        <v>20000</v>
      </c>
      <c r="F552" s="63" t="b">
        <f>AND(D552&gt;0,IFERROR(E552/D552&gt;=G6,FALSE()))</f>
        <v>1</v>
      </c>
      <c r="G552" s="62">
        <f t="shared" si="49"/>
        <v>471</v>
      </c>
      <c r="H552" s="62">
        <f>IF(F552,MAX(0,MIN(E552,I6*D552)-D552)*IFERROR(INDEX($C$158:$C$161,MATCH(C552,$A$158:$A$161,0)),0),0)</f>
        <v>215</v>
      </c>
      <c r="I552" s="62">
        <f>IF(F552,MAX(0,E552-I6*D552)*IFERROR(INDEX($D$158:$D$161,MATCH(C552,$A$158:$A$161,0)),0),0)</f>
        <v>0</v>
      </c>
      <c r="J552" s="62">
        <f t="shared" si="50"/>
        <v>686</v>
      </c>
    </row>
    <row r="553" spans="1:10" ht="15" customHeight="1" outlineLevel="1" x14ac:dyDescent="0.2">
      <c r="A553" s="63" t="str">
        <f t="shared" si="47"/>
        <v>R016</v>
      </c>
      <c r="B553" s="64">
        <f>$A$1444</f>
        <v>45992</v>
      </c>
      <c r="C553" s="63" t="str">
        <f t="shared" si="48"/>
        <v>SDR / Inside Sales Rep</v>
      </c>
      <c r="D553" s="62">
        <f>SUMIFS(Fact_Quota!$D:$D,Fact_Quota!$A:$A,$A553,Fact_Quota!$B:$B,"&gt;="&amp;B553,Fact_Quota!$B:$B,"&lt;"&amp;EDATE(B553,1))</f>
        <v>15400</v>
      </c>
      <c r="E553" s="62">
        <f>SUMIFS(Fact_Pipeline!$K:$K,Fact_Pipeline!$B:$B,$A553,Fact_Pipeline!$J:$J,"Won",Fact_Pipeline!$I:$I,"&gt;="&amp;B553,Fact_Pipeline!$I:$I,"&lt;"&amp;EDATE(B553,1))</f>
        <v>12200</v>
      </c>
      <c r="F553" s="63" t="b">
        <f>AND(D553&gt;0,IFERROR(E553/D553&gt;=G6,FALSE()))</f>
        <v>1</v>
      </c>
      <c r="G553" s="62">
        <f t="shared" si="49"/>
        <v>366</v>
      </c>
      <c r="H553" s="62">
        <f>IF(F553,MAX(0,MIN(E553,I6*D553)-D553)*IFERROR(INDEX($C$158:$C$161,MATCH(C553,$A$158:$A$161,0)),0),0)</f>
        <v>0</v>
      </c>
      <c r="I553" s="62">
        <f>IF(F553,MAX(0,E553-I6*D553)*IFERROR(INDEX($D$158:$D$161,MATCH(C553,$A$158:$A$161,0)),0),0)</f>
        <v>0</v>
      </c>
      <c r="J553" s="62">
        <f t="shared" si="50"/>
        <v>366</v>
      </c>
    </row>
    <row r="554" spans="1:10" ht="15" customHeight="1" outlineLevel="1" x14ac:dyDescent="0.2">
      <c r="A554" s="66" t="str">
        <f t="shared" ref="A554:A577" si="51">$A$179</f>
        <v>R017</v>
      </c>
      <c r="B554" s="67">
        <f>$A$1421</f>
        <v>45292</v>
      </c>
      <c r="C554" s="66" t="str">
        <f t="shared" ref="C554:C577" si="52">$C$179</f>
        <v>SDR / Inside Sales Rep</v>
      </c>
      <c r="D554" s="65">
        <f>SUMIFS(Fact_Quota!$D:$D,Fact_Quota!$A:$A,$A554,Fact_Quota!$B:$B,"&gt;="&amp;B554,Fact_Quota!$B:$B,"&lt;"&amp;EDATE(B554,1))</f>
        <v>15500</v>
      </c>
      <c r="E554" s="65">
        <f>SUMIFS(Fact_Pipeline!$K:$K,Fact_Pipeline!$B:$B,$A554,Fact_Pipeline!$J:$J,"Won",Fact_Pipeline!$I:$I,"&gt;="&amp;B554,Fact_Pipeline!$I:$I,"&lt;"&amp;EDATE(B554,1))</f>
        <v>3800</v>
      </c>
      <c r="F554" s="66" t="b">
        <f>AND(D554&gt;0,IFERROR(E554/D554&gt;=G6,FALSE()))</f>
        <v>0</v>
      </c>
      <c r="G554" s="65">
        <f t="shared" si="49"/>
        <v>0</v>
      </c>
      <c r="H554" s="65">
        <f>IF(F554,MAX(0,MIN(E554,I6*D554)-D554)*IFERROR(INDEX($C$158:$C$161,MATCH(C554,$A$158:$A$161,0)),0),0)</f>
        <v>0</v>
      </c>
      <c r="I554" s="65">
        <f>IF(F554,MAX(0,E554-I6*D554)*IFERROR(INDEX($D$158:$D$161,MATCH(C554,$A$158:$A$161,0)),0),0)</f>
        <v>0</v>
      </c>
      <c r="J554" s="65">
        <f t="shared" si="50"/>
        <v>0</v>
      </c>
    </row>
    <row r="555" spans="1:10" ht="15" customHeight="1" outlineLevel="1" x14ac:dyDescent="0.2">
      <c r="A555" s="66" t="str">
        <f t="shared" si="51"/>
        <v>R017</v>
      </c>
      <c r="B555" s="67">
        <f>$A$1422</f>
        <v>45323</v>
      </c>
      <c r="C555" s="66" t="str">
        <f t="shared" si="52"/>
        <v>SDR / Inside Sales Rep</v>
      </c>
      <c r="D555" s="65">
        <f>SUMIFS(Fact_Quota!$D:$D,Fact_Quota!$A:$A,$A555,Fact_Quota!$B:$B,"&gt;="&amp;B555,Fact_Quota!$B:$B,"&lt;"&amp;EDATE(B555,1))</f>
        <v>15800</v>
      </c>
      <c r="E555" s="65">
        <f>SUMIFS(Fact_Pipeline!$K:$K,Fact_Pipeline!$B:$B,$A555,Fact_Pipeline!$J:$J,"Won",Fact_Pipeline!$I:$I,"&gt;="&amp;B555,Fact_Pipeline!$I:$I,"&lt;"&amp;EDATE(B555,1))</f>
        <v>9400</v>
      </c>
      <c r="F555" s="66" t="b">
        <f>AND(D555&gt;0,IFERROR(E555/D555&gt;=G6,FALSE()))</f>
        <v>1</v>
      </c>
      <c r="G555" s="65">
        <f t="shared" si="49"/>
        <v>282</v>
      </c>
      <c r="H555" s="65">
        <f>IF(F555,MAX(0,MIN(E555,I6*D555)-D555)*IFERROR(INDEX($C$158:$C$161,MATCH(C555,$A$158:$A$161,0)),0),0)</f>
        <v>0</v>
      </c>
      <c r="I555" s="65">
        <f>IF(F555,MAX(0,E555-I6*D555)*IFERROR(INDEX($D$158:$D$161,MATCH(C555,$A$158:$A$161,0)),0),0)</f>
        <v>0</v>
      </c>
      <c r="J555" s="65">
        <f t="shared" si="50"/>
        <v>282</v>
      </c>
    </row>
    <row r="556" spans="1:10" ht="15" customHeight="1" outlineLevel="1" x14ac:dyDescent="0.2">
      <c r="A556" s="66" t="str">
        <f t="shared" si="51"/>
        <v>R017</v>
      </c>
      <c r="B556" s="67">
        <f>$A$1423</f>
        <v>45352</v>
      </c>
      <c r="C556" s="66" t="str">
        <f t="shared" si="52"/>
        <v>SDR / Inside Sales Rep</v>
      </c>
      <c r="D556" s="65">
        <f>SUMIFS(Fact_Quota!$D:$D,Fact_Quota!$A:$A,$A556,Fact_Quota!$B:$B,"&gt;="&amp;B556,Fact_Quota!$B:$B,"&lt;"&amp;EDATE(B556,1))</f>
        <v>15100</v>
      </c>
      <c r="E556" s="65">
        <f>SUMIFS(Fact_Pipeline!$K:$K,Fact_Pipeline!$B:$B,$A556,Fact_Pipeline!$J:$J,"Won",Fact_Pipeline!$I:$I,"&gt;="&amp;B556,Fact_Pipeline!$I:$I,"&lt;"&amp;EDATE(B556,1))</f>
        <v>11500</v>
      </c>
      <c r="F556" s="66" t="b">
        <f>AND(D556&gt;0,IFERROR(E556/D556&gt;=G6,FALSE()))</f>
        <v>1</v>
      </c>
      <c r="G556" s="65">
        <f t="shared" si="49"/>
        <v>345</v>
      </c>
      <c r="H556" s="65">
        <f>IF(F556,MAX(0,MIN(E556,I6*D556)-D556)*IFERROR(INDEX($C$158:$C$161,MATCH(C556,$A$158:$A$161,0)),0),0)</f>
        <v>0</v>
      </c>
      <c r="I556" s="65">
        <f>IF(F556,MAX(0,E556-I6*D556)*IFERROR(INDEX($D$158:$D$161,MATCH(C556,$A$158:$A$161,0)),0),0)</f>
        <v>0</v>
      </c>
      <c r="J556" s="65">
        <f t="shared" si="50"/>
        <v>345</v>
      </c>
    </row>
    <row r="557" spans="1:10" ht="15" customHeight="1" outlineLevel="1" x14ac:dyDescent="0.2">
      <c r="A557" s="66" t="str">
        <f t="shared" si="51"/>
        <v>R017</v>
      </c>
      <c r="B557" s="67">
        <f>$A$1424</f>
        <v>45383</v>
      </c>
      <c r="C557" s="66" t="str">
        <f t="shared" si="52"/>
        <v>SDR / Inside Sales Rep</v>
      </c>
      <c r="D557" s="65">
        <f>SUMIFS(Fact_Quota!$D:$D,Fact_Quota!$A:$A,$A557,Fact_Quota!$B:$B,"&gt;="&amp;B557,Fact_Quota!$B:$B,"&lt;"&amp;EDATE(B557,1))</f>
        <v>16500</v>
      </c>
      <c r="E557" s="65">
        <f>SUMIFS(Fact_Pipeline!$K:$K,Fact_Pipeline!$B:$B,$A557,Fact_Pipeline!$J:$J,"Won",Fact_Pipeline!$I:$I,"&gt;="&amp;B557,Fact_Pipeline!$I:$I,"&lt;"&amp;EDATE(B557,1))</f>
        <v>12100</v>
      </c>
      <c r="F557" s="66" t="b">
        <f>AND(D557&gt;0,IFERROR(E557/D557&gt;=G6,FALSE()))</f>
        <v>1</v>
      </c>
      <c r="G557" s="65">
        <f t="shared" si="49"/>
        <v>363</v>
      </c>
      <c r="H557" s="65">
        <f>IF(F557,MAX(0,MIN(E557,I6*D557)-D557)*IFERROR(INDEX($C$158:$C$161,MATCH(C557,$A$158:$A$161,0)),0),0)</f>
        <v>0</v>
      </c>
      <c r="I557" s="65">
        <f>IF(F557,MAX(0,E557-I6*D557)*IFERROR(INDEX($D$158:$D$161,MATCH(C557,$A$158:$A$161,0)),0),0)</f>
        <v>0</v>
      </c>
      <c r="J557" s="65">
        <f t="shared" si="50"/>
        <v>363</v>
      </c>
    </row>
    <row r="558" spans="1:10" ht="15" customHeight="1" outlineLevel="1" x14ac:dyDescent="0.2">
      <c r="A558" s="66" t="str">
        <f t="shared" si="51"/>
        <v>R017</v>
      </c>
      <c r="B558" s="67">
        <f>$A$1425</f>
        <v>45413</v>
      </c>
      <c r="C558" s="66" t="str">
        <f t="shared" si="52"/>
        <v>SDR / Inside Sales Rep</v>
      </c>
      <c r="D558" s="65">
        <f>SUMIFS(Fact_Quota!$D:$D,Fact_Quota!$A:$A,$A558,Fact_Quota!$B:$B,"&gt;="&amp;B558,Fact_Quota!$B:$B,"&lt;"&amp;EDATE(B558,1))</f>
        <v>15000</v>
      </c>
      <c r="E558" s="65">
        <f>SUMIFS(Fact_Pipeline!$K:$K,Fact_Pipeline!$B:$B,$A558,Fact_Pipeline!$J:$J,"Won",Fact_Pipeline!$I:$I,"&gt;="&amp;B558,Fact_Pipeline!$I:$I,"&lt;"&amp;EDATE(B558,1))</f>
        <v>8500</v>
      </c>
      <c r="F558" s="66" t="b">
        <f>AND(D558&gt;0,IFERROR(E558/D558&gt;=G6,FALSE()))</f>
        <v>1</v>
      </c>
      <c r="G558" s="65">
        <f t="shared" si="49"/>
        <v>255</v>
      </c>
      <c r="H558" s="65">
        <f>IF(F558,MAX(0,MIN(E558,I6*D558)-D558)*IFERROR(INDEX($C$158:$C$161,MATCH(C558,$A$158:$A$161,0)),0),0)</f>
        <v>0</v>
      </c>
      <c r="I558" s="65">
        <f>IF(F558,MAX(0,E558-I6*D558)*IFERROR(INDEX($D$158:$D$161,MATCH(C558,$A$158:$A$161,0)),0),0)</f>
        <v>0</v>
      </c>
      <c r="J558" s="65">
        <f t="shared" si="50"/>
        <v>255</v>
      </c>
    </row>
    <row r="559" spans="1:10" ht="15" customHeight="1" outlineLevel="1" x14ac:dyDescent="0.2">
      <c r="A559" s="66" t="str">
        <f t="shared" si="51"/>
        <v>R017</v>
      </c>
      <c r="B559" s="67">
        <f>$A$1426</f>
        <v>45444</v>
      </c>
      <c r="C559" s="66" t="str">
        <f t="shared" si="52"/>
        <v>SDR / Inside Sales Rep</v>
      </c>
      <c r="D559" s="65">
        <f>SUMIFS(Fact_Quota!$D:$D,Fact_Quota!$A:$A,$A559,Fact_Quota!$B:$B,"&gt;="&amp;B559,Fact_Quota!$B:$B,"&lt;"&amp;EDATE(B559,1))</f>
        <v>14900</v>
      </c>
      <c r="E559" s="65">
        <f>SUMIFS(Fact_Pipeline!$K:$K,Fact_Pipeline!$B:$B,$A559,Fact_Pipeline!$J:$J,"Won",Fact_Pipeline!$I:$I,"&gt;="&amp;B559,Fact_Pipeline!$I:$I,"&lt;"&amp;EDATE(B559,1))</f>
        <v>18600</v>
      </c>
      <c r="F559" s="66" t="b">
        <f>AND(D559&gt;0,IFERROR(E559/D559&gt;=G6,FALSE()))</f>
        <v>1</v>
      </c>
      <c r="G559" s="65">
        <f t="shared" si="49"/>
        <v>447</v>
      </c>
      <c r="H559" s="65">
        <f>IF(F559,MAX(0,MIN(E559,I6*D559)-D559)*IFERROR(INDEX($C$158:$C$161,MATCH(C559,$A$158:$A$161,0)),0),0)</f>
        <v>185</v>
      </c>
      <c r="I559" s="65">
        <f>IF(F559,MAX(0,E559-I6*D559)*IFERROR(INDEX($D$158:$D$161,MATCH(C559,$A$158:$A$161,0)),0),0)</f>
        <v>0</v>
      </c>
      <c r="J559" s="65">
        <f t="shared" si="50"/>
        <v>632</v>
      </c>
    </row>
    <row r="560" spans="1:10" ht="15" customHeight="1" outlineLevel="1" x14ac:dyDescent="0.2">
      <c r="A560" s="66" t="str">
        <f t="shared" si="51"/>
        <v>R017</v>
      </c>
      <c r="B560" s="67">
        <f>$A$1427</f>
        <v>45474</v>
      </c>
      <c r="C560" s="66" t="str">
        <f t="shared" si="52"/>
        <v>SDR / Inside Sales Rep</v>
      </c>
      <c r="D560" s="65">
        <f>SUMIFS(Fact_Quota!$D:$D,Fact_Quota!$A:$A,$A560,Fact_Quota!$B:$B,"&gt;="&amp;B560,Fact_Quota!$B:$B,"&lt;"&amp;EDATE(B560,1))</f>
        <v>16000</v>
      </c>
      <c r="E560" s="65">
        <f>SUMIFS(Fact_Pipeline!$K:$K,Fact_Pipeline!$B:$B,$A560,Fact_Pipeline!$J:$J,"Won",Fact_Pipeline!$I:$I,"&gt;="&amp;B560,Fact_Pipeline!$I:$I,"&lt;"&amp;EDATE(B560,1))</f>
        <v>0</v>
      </c>
      <c r="F560" s="66" t="b">
        <f>AND(D560&gt;0,IFERROR(E560/D560&gt;=G6,FALSE()))</f>
        <v>0</v>
      </c>
      <c r="G560" s="65">
        <f t="shared" si="49"/>
        <v>0</v>
      </c>
      <c r="H560" s="65">
        <f>IF(F560,MAX(0,MIN(E560,I6*D560)-D560)*IFERROR(INDEX($C$158:$C$161,MATCH(C560,$A$158:$A$161,0)),0),0)</f>
        <v>0</v>
      </c>
      <c r="I560" s="65">
        <f>IF(F560,MAX(0,E560-I6*D560)*IFERROR(INDEX($D$158:$D$161,MATCH(C560,$A$158:$A$161,0)),0),0)</f>
        <v>0</v>
      </c>
      <c r="J560" s="65">
        <f t="shared" si="50"/>
        <v>0</v>
      </c>
    </row>
    <row r="561" spans="1:10" ht="15" customHeight="1" outlineLevel="1" x14ac:dyDescent="0.2">
      <c r="A561" s="66" t="str">
        <f t="shared" si="51"/>
        <v>R017</v>
      </c>
      <c r="B561" s="67">
        <f>$A$1428</f>
        <v>45505</v>
      </c>
      <c r="C561" s="66" t="str">
        <f t="shared" si="52"/>
        <v>SDR / Inside Sales Rep</v>
      </c>
      <c r="D561" s="65">
        <f>SUMIFS(Fact_Quota!$D:$D,Fact_Quota!$A:$A,$A561,Fact_Quota!$B:$B,"&gt;="&amp;B561,Fact_Quota!$B:$B,"&lt;"&amp;EDATE(B561,1))</f>
        <v>15900</v>
      </c>
      <c r="E561" s="65">
        <f>SUMIFS(Fact_Pipeline!$K:$K,Fact_Pipeline!$B:$B,$A561,Fact_Pipeline!$J:$J,"Won",Fact_Pipeline!$I:$I,"&gt;="&amp;B561,Fact_Pipeline!$I:$I,"&lt;"&amp;EDATE(B561,1))</f>
        <v>16700</v>
      </c>
      <c r="F561" s="66" t="b">
        <f>AND(D561&gt;0,IFERROR(E561/D561&gt;=G6,FALSE()))</f>
        <v>1</v>
      </c>
      <c r="G561" s="65">
        <f t="shared" si="49"/>
        <v>477</v>
      </c>
      <c r="H561" s="65">
        <f>IF(F561,MAX(0,MIN(E561,I6*D561)-D561)*IFERROR(INDEX($C$158:$C$161,MATCH(C561,$A$158:$A$161,0)),0),0)</f>
        <v>40</v>
      </c>
      <c r="I561" s="65">
        <f>IF(F561,MAX(0,E561-I6*D561)*IFERROR(INDEX($D$158:$D$161,MATCH(C561,$A$158:$A$161,0)),0),0)</f>
        <v>0</v>
      </c>
      <c r="J561" s="65">
        <f t="shared" si="50"/>
        <v>517</v>
      </c>
    </row>
    <row r="562" spans="1:10" ht="15" customHeight="1" outlineLevel="1" x14ac:dyDescent="0.2">
      <c r="A562" s="66" t="str">
        <f t="shared" si="51"/>
        <v>R017</v>
      </c>
      <c r="B562" s="67">
        <f>$A$1429</f>
        <v>45536</v>
      </c>
      <c r="C562" s="66" t="str">
        <f t="shared" si="52"/>
        <v>SDR / Inside Sales Rep</v>
      </c>
      <c r="D562" s="65">
        <f>SUMIFS(Fact_Quota!$D:$D,Fact_Quota!$A:$A,$A562,Fact_Quota!$B:$B,"&gt;="&amp;B562,Fact_Quota!$B:$B,"&lt;"&amp;EDATE(B562,1))</f>
        <v>15800</v>
      </c>
      <c r="E562" s="65">
        <f>SUMIFS(Fact_Pipeline!$K:$K,Fact_Pipeline!$B:$B,$A562,Fact_Pipeline!$J:$J,"Won",Fact_Pipeline!$I:$I,"&gt;="&amp;B562,Fact_Pipeline!$I:$I,"&lt;"&amp;EDATE(B562,1))</f>
        <v>4300</v>
      </c>
      <c r="F562" s="66" t="b">
        <f>AND(D562&gt;0,IFERROR(E562/D562&gt;=G6,FALSE()))</f>
        <v>0</v>
      </c>
      <c r="G562" s="65">
        <f t="shared" si="49"/>
        <v>0</v>
      </c>
      <c r="H562" s="65">
        <f>IF(F562,MAX(0,MIN(E562,I6*D562)-D562)*IFERROR(INDEX($C$158:$C$161,MATCH(C562,$A$158:$A$161,0)),0),0)</f>
        <v>0</v>
      </c>
      <c r="I562" s="65">
        <f>IF(F562,MAX(0,E562-I6*D562)*IFERROR(INDEX($D$158:$D$161,MATCH(C562,$A$158:$A$161,0)),0),0)</f>
        <v>0</v>
      </c>
      <c r="J562" s="65">
        <f t="shared" si="50"/>
        <v>0</v>
      </c>
    </row>
    <row r="563" spans="1:10" ht="15" customHeight="1" outlineLevel="1" x14ac:dyDescent="0.2">
      <c r="A563" s="66" t="str">
        <f t="shared" si="51"/>
        <v>R017</v>
      </c>
      <c r="B563" s="67">
        <f>$A$1430</f>
        <v>45566</v>
      </c>
      <c r="C563" s="66" t="str">
        <f t="shared" si="52"/>
        <v>SDR / Inside Sales Rep</v>
      </c>
      <c r="D563" s="65">
        <f>SUMIFS(Fact_Quota!$D:$D,Fact_Quota!$A:$A,$A563,Fact_Quota!$B:$B,"&gt;="&amp;B563,Fact_Quota!$B:$B,"&lt;"&amp;EDATE(B563,1))</f>
        <v>15800</v>
      </c>
      <c r="E563" s="65">
        <f>SUMIFS(Fact_Pipeline!$K:$K,Fact_Pipeline!$B:$B,$A563,Fact_Pipeline!$J:$J,"Won",Fact_Pipeline!$I:$I,"&gt;="&amp;B563,Fact_Pipeline!$I:$I,"&lt;"&amp;EDATE(B563,1))</f>
        <v>7600</v>
      </c>
      <c r="F563" s="66" t="b">
        <f>AND(D563&gt;0,IFERROR(E563/D563&gt;=G6,FALSE()))</f>
        <v>0</v>
      </c>
      <c r="G563" s="65">
        <f t="shared" si="49"/>
        <v>0</v>
      </c>
      <c r="H563" s="65">
        <f>IF(F563,MAX(0,MIN(E563,I6*D563)-D563)*IFERROR(INDEX($C$158:$C$161,MATCH(C563,$A$158:$A$161,0)),0),0)</f>
        <v>0</v>
      </c>
      <c r="I563" s="65">
        <f>IF(F563,MAX(0,E563-I6*D563)*IFERROR(INDEX($D$158:$D$161,MATCH(C563,$A$158:$A$161,0)),0),0)</f>
        <v>0</v>
      </c>
      <c r="J563" s="65">
        <f t="shared" si="50"/>
        <v>0</v>
      </c>
    </row>
    <row r="564" spans="1:10" ht="15" customHeight="1" outlineLevel="1" x14ac:dyDescent="0.2">
      <c r="A564" s="66" t="str">
        <f t="shared" si="51"/>
        <v>R017</v>
      </c>
      <c r="B564" s="67">
        <f>$A$1431</f>
        <v>45597</v>
      </c>
      <c r="C564" s="66" t="str">
        <f t="shared" si="52"/>
        <v>SDR / Inside Sales Rep</v>
      </c>
      <c r="D564" s="65">
        <f>SUMIFS(Fact_Quota!$D:$D,Fact_Quota!$A:$A,$A564,Fact_Quota!$B:$B,"&gt;="&amp;B564,Fact_Quota!$B:$B,"&lt;"&amp;EDATE(B564,1))</f>
        <v>15500</v>
      </c>
      <c r="E564" s="65">
        <f>SUMIFS(Fact_Pipeline!$K:$K,Fact_Pipeline!$B:$B,$A564,Fact_Pipeline!$J:$J,"Won",Fact_Pipeline!$I:$I,"&gt;="&amp;B564,Fact_Pipeline!$I:$I,"&lt;"&amp;EDATE(B564,1))</f>
        <v>30400</v>
      </c>
      <c r="F564" s="66" t="b">
        <f>AND(D564&gt;0,IFERROR(E564/D564&gt;=G6,FALSE()))</f>
        <v>1</v>
      </c>
      <c r="G564" s="65">
        <f t="shared" si="49"/>
        <v>465</v>
      </c>
      <c r="H564" s="65">
        <f>IF(F564,MAX(0,MIN(E564,I6*D564)-D564)*IFERROR(INDEX($C$158:$C$161,MATCH(C564,$A$158:$A$161,0)),0),0)</f>
        <v>387.5</v>
      </c>
      <c r="I564" s="65">
        <f>IF(F564,MAX(0,E564-I6*D564)*IFERROR(INDEX($D$158:$D$161,MATCH(C564,$A$158:$A$161,0)),0),0)</f>
        <v>500.50000000000006</v>
      </c>
      <c r="J564" s="65">
        <f t="shared" si="50"/>
        <v>1353</v>
      </c>
    </row>
    <row r="565" spans="1:10" ht="15" customHeight="1" outlineLevel="1" x14ac:dyDescent="0.2">
      <c r="A565" s="66" t="str">
        <f t="shared" si="51"/>
        <v>R017</v>
      </c>
      <c r="B565" s="67">
        <f>$A$1432</f>
        <v>45627</v>
      </c>
      <c r="C565" s="66" t="str">
        <f t="shared" si="52"/>
        <v>SDR / Inside Sales Rep</v>
      </c>
      <c r="D565" s="65">
        <f>SUMIFS(Fact_Quota!$D:$D,Fact_Quota!$A:$A,$A565,Fact_Quota!$B:$B,"&gt;="&amp;B565,Fact_Quota!$B:$B,"&lt;"&amp;EDATE(B565,1))</f>
        <v>15100</v>
      </c>
      <c r="E565" s="65">
        <f>SUMIFS(Fact_Pipeline!$K:$K,Fact_Pipeline!$B:$B,$A565,Fact_Pipeline!$J:$J,"Won",Fact_Pipeline!$I:$I,"&gt;="&amp;B565,Fact_Pipeline!$I:$I,"&lt;"&amp;EDATE(B565,1))</f>
        <v>4800</v>
      </c>
      <c r="F565" s="66" t="b">
        <f>AND(D565&gt;0,IFERROR(E565/D565&gt;=G6,FALSE()))</f>
        <v>0</v>
      </c>
      <c r="G565" s="65">
        <f t="shared" si="49"/>
        <v>0</v>
      </c>
      <c r="H565" s="65">
        <f>IF(F565,MAX(0,MIN(E565,I6*D565)-D565)*IFERROR(INDEX($C$158:$C$161,MATCH(C565,$A$158:$A$161,0)),0),0)</f>
        <v>0</v>
      </c>
      <c r="I565" s="65">
        <f>IF(F565,MAX(0,E565-I6*D565)*IFERROR(INDEX($D$158:$D$161,MATCH(C565,$A$158:$A$161,0)),0),0)</f>
        <v>0</v>
      </c>
      <c r="J565" s="65">
        <f t="shared" si="50"/>
        <v>0</v>
      </c>
    </row>
    <row r="566" spans="1:10" ht="15" customHeight="1" outlineLevel="1" x14ac:dyDescent="0.2">
      <c r="A566" s="66" t="str">
        <f t="shared" si="51"/>
        <v>R017</v>
      </c>
      <c r="B566" s="67">
        <f>$A$1433</f>
        <v>45658</v>
      </c>
      <c r="C566" s="66" t="str">
        <f t="shared" si="52"/>
        <v>SDR / Inside Sales Rep</v>
      </c>
      <c r="D566" s="65">
        <f>SUMIFS(Fact_Quota!$D:$D,Fact_Quota!$A:$A,$A566,Fact_Quota!$B:$B,"&gt;="&amp;B566,Fact_Quota!$B:$B,"&lt;"&amp;EDATE(B566,1))</f>
        <v>15500</v>
      </c>
      <c r="E566" s="65">
        <f>SUMIFS(Fact_Pipeline!$K:$K,Fact_Pipeline!$B:$B,$A566,Fact_Pipeline!$J:$J,"Won",Fact_Pipeline!$I:$I,"&gt;="&amp;B566,Fact_Pipeline!$I:$I,"&lt;"&amp;EDATE(B566,1))</f>
        <v>12600</v>
      </c>
      <c r="F566" s="66" t="b">
        <f>AND(D566&gt;0,IFERROR(E566/D566&gt;=G6,FALSE()))</f>
        <v>1</v>
      </c>
      <c r="G566" s="65">
        <f t="shared" si="49"/>
        <v>378</v>
      </c>
      <c r="H566" s="65">
        <f>IF(F566,MAX(0,MIN(E566,I6*D566)-D566)*IFERROR(INDEX($C$158:$C$161,MATCH(C566,$A$158:$A$161,0)),0),0)</f>
        <v>0</v>
      </c>
      <c r="I566" s="65">
        <f>IF(F566,MAX(0,E566-I6*D566)*IFERROR(INDEX($D$158:$D$161,MATCH(C566,$A$158:$A$161,0)),0),0)</f>
        <v>0</v>
      </c>
      <c r="J566" s="65">
        <f t="shared" si="50"/>
        <v>378</v>
      </c>
    </row>
    <row r="567" spans="1:10" ht="15" customHeight="1" outlineLevel="1" x14ac:dyDescent="0.2">
      <c r="A567" s="66" t="str">
        <f t="shared" si="51"/>
        <v>R017</v>
      </c>
      <c r="B567" s="67">
        <f>$A$1434</f>
        <v>45689</v>
      </c>
      <c r="C567" s="66" t="str">
        <f t="shared" si="52"/>
        <v>SDR / Inside Sales Rep</v>
      </c>
      <c r="D567" s="65">
        <f>SUMIFS(Fact_Quota!$D:$D,Fact_Quota!$A:$A,$A567,Fact_Quota!$B:$B,"&gt;="&amp;B567,Fact_Quota!$B:$B,"&lt;"&amp;EDATE(B567,1))</f>
        <v>15200</v>
      </c>
      <c r="E567" s="65">
        <f>SUMIFS(Fact_Pipeline!$K:$K,Fact_Pipeline!$B:$B,$A567,Fact_Pipeline!$J:$J,"Won",Fact_Pipeline!$I:$I,"&gt;="&amp;B567,Fact_Pipeline!$I:$I,"&lt;"&amp;EDATE(B567,1))</f>
        <v>17000</v>
      </c>
      <c r="F567" s="66" t="b">
        <f>AND(D567&gt;0,IFERROR(E567/D567&gt;=G6,FALSE()))</f>
        <v>1</v>
      </c>
      <c r="G567" s="65">
        <f t="shared" si="49"/>
        <v>456</v>
      </c>
      <c r="H567" s="65">
        <f>IF(F567,MAX(0,MIN(E567,I6*D567)-D567)*IFERROR(INDEX($C$158:$C$161,MATCH(C567,$A$158:$A$161,0)),0),0)</f>
        <v>90</v>
      </c>
      <c r="I567" s="65">
        <f>IF(F567,MAX(0,E567-I6*D567)*IFERROR(INDEX($D$158:$D$161,MATCH(C567,$A$158:$A$161,0)),0),0)</f>
        <v>0</v>
      </c>
      <c r="J567" s="65">
        <f t="shared" si="50"/>
        <v>546</v>
      </c>
    </row>
    <row r="568" spans="1:10" ht="15" customHeight="1" outlineLevel="1" x14ac:dyDescent="0.2">
      <c r="A568" s="66" t="str">
        <f t="shared" si="51"/>
        <v>R017</v>
      </c>
      <c r="B568" s="67">
        <f>$A$1435</f>
        <v>45717</v>
      </c>
      <c r="C568" s="66" t="str">
        <f t="shared" si="52"/>
        <v>SDR / Inside Sales Rep</v>
      </c>
      <c r="D568" s="65">
        <f>SUMIFS(Fact_Quota!$D:$D,Fact_Quota!$A:$A,$A568,Fact_Quota!$B:$B,"&gt;="&amp;B568,Fact_Quota!$B:$B,"&lt;"&amp;EDATE(B568,1))</f>
        <v>16000</v>
      </c>
      <c r="E568" s="65">
        <f>SUMIFS(Fact_Pipeline!$K:$K,Fact_Pipeline!$B:$B,$A568,Fact_Pipeline!$J:$J,"Won",Fact_Pipeline!$I:$I,"&gt;="&amp;B568,Fact_Pipeline!$I:$I,"&lt;"&amp;EDATE(B568,1))</f>
        <v>13000</v>
      </c>
      <c r="F568" s="66" t="b">
        <f>AND(D568&gt;0,IFERROR(E568/D568&gt;=G6,FALSE()))</f>
        <v>1</v>
      </c>
      <c r="G568" s="65">
        <f t="shared" si="49"/>
        <v>390</v>
      </c>
      <c r="H568" s="65">
        <f>IF(F568,MAX(0,MIN(E568,I6*D568)-D568)*IFERROR(INDEX($C$158:$C$161,MATCH(C568,$A$158:$A$161,0)),0),0)</f>
        <v>0</v>
      </c>
      <c r="I568" s="65">
        <f>IF(F568,MAX(0,E568-I6*D568)*IFERROR(INDEX($D$158:$D$161,MATCH(C568,$A$158:$A$161,0)),0),0)</f>
        <v>0</v>
      </c>
      <c r="J568" s="65">
        <f t="shared" si="50"/>
        <v>390</v>
      </c>
    </row>
    <row r="569" spans="1:10" ht="15" customHeight="1" outlineLevel="1" x14ac:dyDescent="0.2">
      <c r="A569" s="66" t="str">
        <f t="shared" si="51"/>
        <v>R017</v>
      </c>
      <c r="B569" s="67">
        <f>$A$1436</f>
        <v>45748</v>
      </c>
      <c r="C569" s="66" t="str">
        <f t="shared" si="52"/>
        <v>SDR / Inside Sales Rep</v>
      </c>
      <c r="D569" s="65">
        <f>SUMIFS(Fact_Quota!$D:$D,Fact_Quota!$A:$A,$A569,Fact_Quota!$B:$B,"&gt;="&amp;B569,Fact_Quota!$B:$B,"&lt;"&amp;EDATE(B569,1))</f>
        <v>15400</v>
      </c>
      <c r="E569" s="65">
        <f>SUMIFS(Fact_Pipeline!$K:$K,Fact_Pipeline!$B:$B,$A569,Fact_Pipeline!$J:$J,"Won",Fact_Pipeline!$I:$I,"&gt;="&amp;B569,Fact_Pipeline!$I:$I,"&lt;"&amp;EDATE(B569,1))</f>
        <v>29800</v>
      </c>
      <c r="F569" s="66" t="b">
        <f>AND(D569&gt;0,IFERROR(E569/D569&gt;=G6,FALSE()))</f>
        <v>1</v>
      </c>
      <c r="G569" s="65">
        <f t="shared" si="49"/>
        <v>462</v>
      </c>
      <c r="H569" s="65">
        <f>IF(F569,MAX(0,MIN(E569,I6*D569)-D569)*IFERROR(INDEX($C$158:$C$161,MATCH(C569,$A$158:$A$161,0)),0),0)</f>
        <v>385</v>
      </c>
      <c r="I569" s="65">
        <f>IF(F569,MAX(0,E569-I6*D569)*IFERROR(INDEX($D$158:$D$161,MATCH(C569,$A$158:$A$161,0)),0),0)</f>
        <v>469.00000000000006</v>
      </c>
      <c r="J569" s="65">
        <f t="shared" si="50"/>
        <v>1316</v>
      </c>
    </row>
    <row r="570" spans="1:10" ht="15" customHeight="1" outlineLevel="1" x14ac:dyDescent="0.2">
      <c r="A570" s="66" t="str">
        <f t="shared" si="51"/>
        <v>R017</v>
      </c>
      <c r="B570" s="67">
        <f>$A$1437</f>
        <v>45778</v>
      </c>
      <c r="C570" s="66" t="str">
        <f t="shared" si="52"/>
        <v>SDR / Inside Sales Rep</v>
      </c>
      <c r="D570" s="65">
        <f>SUMIFS(Fact_Quota!$D:$D,Fact_Quota!$A:$A,$A570,Fact_Quota!$B:$B,"&gt;="&amp;B570,Fact_Quota!$B:$B,"&lt;"&amp;EDATE(B570,1))</f>
        <v>15100</v>
      </c>
      <c r="E570" s="65">
        <f>SUMIFS(Fact_Pipeline!$K:$K,Fact_Pipeline!$B:$B,$A570,Fact_Pipeline!$J:$J,"Won",Fact_Pipeline!$I:$I,"&gt;="&amp;B570,Fact_Pipeline!$I:$I,"&lt;"&amp;EDATE(B570,1))</f>
        <v>15500</v>
      </c>
      <c r="F570" s="66" t="b">
        <f>AND(D570&gt;0,IFERROR(E570/D570&gt;=G6,FALSE()))</f>
        <v>1</v>
      </c>
      <c r="G570" s="65">
        <f t="shared" si="49"/>
        <v>453</v>
      </c>
      <c r="H570" s="65">
        <f>IF(F570,MAX(0,MIN(E570,I6*D570)-D570)*IFERROR(INDEX($C$158:$C$161,MATCH(C570,$A$158:$A$161,0)),0),0)</f>
        <v>20</v>
      </c>
      <c r="I570" s="65">
        <f>IF(F570,MAX(0,E570-I6*D570)*IFERROR(INDEX($D$158:$D$161,MATCH(C570,$A$158:$A$161,0)),0),0)</f>
        <v>0</v>
      </c>
      <c r="J570" s="65">
        <f t="shared" si="50"/>
        <v>473</v>
      </c>
    </row>
    <row r="571" spans="1:10" ht="15" customHeight="1" outlineLevel="1" x14ac:dyDescent="0.2">
      <c r="A571" s="66" t="str">
        <f t="shared" si="51"/>
        <v>R017</v>
      </c>
      <c r="B571" s="67">
        <f>$A$1438</f>
        <v>45809</v>
      </c>
      <c r="C571" s="66" t="str">
        <f t="shared" si="52"/>
        <v>SDR / Inside Sales Rep</v>
      </c>
      <c r="D571" s="65">
        <f>SUMIFS(Fact_Quota!$D:$D,Fact_Quota!$A:$A,$A571,Fact_Quota!$B:$B,"&gt;="&amp;B571,Fact_Quota!$B:$B,"&lt;"&amp;EDATE(B571,1))</f>
        <v>15400</v>
      </c>
      <c r="E571" s="65">
        <f>SUMIFS(Fact_Pipeline!$K:$K,Fact_Pipeline!$B:$B,$A571,Fact_Pipeline!$J:$J,"Won",Fact_Pipeline!$I:$I,"&gt;="&amp;B571,Fact_Pipeline!$I:$I,"&lt;"&amp;EDATE(B571,1))</f>
        <v>18200</v>
      </c>
      <c r="F571" s="66" t="b">
        <f>AND(D571&gt;0,IFERROR(E571/D571&gt;=G6,FALSE()))</f>
        <v>1</v>
      </c>
      <c r="G571" s="65">
        <f t="shared" si="49"/>
        <v>462</v>
      </c>
      <c r="H571" s="65">
        <f>IF(F571,MAX(0,MIN(E571,I6*D571)-D571)*IFERROR(INDEX($C$158:$C$161,MATCH(C571,$A$158:$A$161,0)),0),0)</f>
        <v>140</v>
      </c>
      <c r="I571" s="65">
        <f>IF(F571,MAX(0,E571-I6*D571)*IFERROR(INDEX($D$158:$D$161,MATCH(C571,$A$158:$A$161,0)),0),0)</f>
        <v>0</v>
      </c>
      <c r="J571" s="65">
        <f t="shared" si="50"/>
        <v>602</v>
      </c>
    </row>
    <row r="572" spans="1:10" ht="15" customHeight="1" outlineLevel="1" x14ac:dyDescent="0.2">
      <c r="A572" s="66" t="str">
        <f t="shared" si="51"/>
        <v>R017</v>
      </c>
      <c r="B572" s="67">
        <f>$A$1439</f>
        <v>45839</v>
      </c>
      <c r="C572" s="66" t="str">
        <f t="shared" si="52"/>
        <v>SDR / Inside Sales Rep</v>
      </c>
      <c r="D572" s="65">
        <f>SUMIFS(Fact_Quota!$D:$D,Fact_Quota!$A:$A,$A572,Fact_Quota!$B:$B,"&gt;="&amp;B572,Fact_Quota!$B:$B,"&lt;"&amp;EDATE(B572,1))</f>
        <v>15700</v>
      </c>
      <c r="E572" s="65">
        <f>SUMIFS(Fact_Pipeline!$K:$K,Fact_Pipeline!$B:$B,$A572,Fact_Pipeline!$J:$J,"Won",Fact_Pipeline!$I:$I,"&gt;="&amp;B572,Fact_Pipeline!$I:$I,"&lt;"&amp;EDATE(B572,1))</f>
        <v>19200</v>
      </c>
      <c r="F572" s="66" t="b">
        <f>AND(D572&gt;0,IFERROR(E572/D572&gt;=G6,FALSE()))</f>
        <v>1</v>
      </c>
      <c r="G572" s="65">
        <f t="shared" si="49"/>
        <v>471</v>
      </c>
      <c r="H572" s="65">
        <f>IF(F572,MAX(0,MIN(E572,I6*D572)-D572)*IFERROR(INDEX($C$158:$C$161,MATCH(C572,$A$158:$A$161,0)),0),0)</f>
        <v>175</v>
      </c>
      <c r="I572" s="65">
        <f>IF(F572,MAX(0,E572-I6*D572)*IFERROR(INDEX($D$158:$D$161,MATCH(C572,$A$158:$A$161,0)),0),0)</f>
        <v>0</v>
      </c>
      <c r="J572" s="65">
        <f t="shared" si="50"/>
        <v>646</v>
      </c>
    </row>
    <row r="573" spans="1:10" ht="15" customHeight="1" outlineLevel="1" x14ac:dyDescent="0.2">
      <c r="A573" s="66" t="str">
        <f t="shared" si="51"/>
        <v>R017</v>
      </c>
      <c r="B573" s="67">
        <f>$A$1440</f>
        <v>45870</v>
      </c>
      <c r="C573" s="66" t="str">
        <f t="shared" si="52"/>
        <v>SDR / Inside Sales Rep</v>
      </c>
      <c r="D573" s="65">
        <f>SUMIFS(Fact_Quota!$D:$D,Fact_Quota!$A:$A,$A573,Fact_Quota!$B:$B,"&gt;="&amp;B573,Fact_Quota!$B:$B,"&lt;"&amp;EDATE(B573,1))</f>
        <v>15200</v>
      </c>
      <c r="E573" s="65">
        <f>SUMIFS(Fact_Pipeline!$K:$K,Fact_Pipeline!$B:$B,$A573,Fact_Pipeline!$J:$J,"Won",Fact_Pipeline!$I:$I,"&gt;="&amp;B573,Fact_Pipeline!$I:$I,"&lt;"&amp;EDATE(B573,1))</f>
        <v>13100</v>
      </c>
      <c r="F573" s="66" t="b">
        <f>AND(D573&gt;0,IFERROR(E573/D573&gt;=G6,FALSE()))</f>
        <v>1</v>
      </c>
      <c r="G573" s="65">
        <f t="shared" si="49"/>
        <v>393</v>
      </c>
      <c r="H573" s="65">
        <f>IF(F573,MAX(0,MIN(E573,I6*D573)-D573)*IFERROR(INDEX($C$158:$C$161,MATCH(C573,$A$158:$A$161,0)),0),0)</f>
        <v>0</v>
      </c>
      <c r="I573" s="65">
        <f>IF(F573,MAX(0,E573-I6*D573)*IFERROR(INDEX($D$158:$D$161,MATCH(C573,$A$158:$A$161,0)),0),0)</f>
        <v>0</v>
      </c>
      <c r="J573" s="65">
        <f t="shared" si="50"/>
        <v>393</v>
      </c>
    </row>
    <row r="574" spans="1:10" ht="15" customHeight="1" outlineLevel="1" x14ac:dyDescent="0.2">
      <c r="A574" s="66" t="str">
        <f t="shared" si="51"/>
        <v>R017</v>
      </c>
      <c r="B574" s="67">
        <f>$A$1441</f>
        <v>45901</v>
      </c>
      <c r="C574" s="66" t="str">
        <f t="shared" si="52"/>
        <v>SDR / Inside Sales Rep</v>
      </c>
      <c r="D574" s="65">
        <f>SUMIFS(Fact_Quota!$D:$D,Fact_Quota!$A:$A,$A574,Fact_Quota!$B:$B,"&gt;="&amp;B574,Fact_Quota!$B:$B,"&lt;"&amp;EDATE(B574,1))</f>
        <v>15100</v>
      </c>
      <c r="E574" s="65">
        <f>SUMIFS(Fact_Pipeline!$K:$K,Fact_Pipeline!$B:$B,$A574,Fact_Pipeline!$J:$J,"Won",Fact_Pipeline!$I:$I,"&gt;="&amp;B574,Fact_Pipeline!$I:$I,"&lt;"&amp;EDATE(B574,1))</f>
        <v>6700</v>
      </c>
      <c r="F574" s="66" t="b">
        <f>AND(D574&gt;0,IFERROR(E574/D574&gt;=G6,FALSE()))</f>
        <v>0</v>
      </c>
      <c r="G574" s="65">
        <f t="shared" si="49"/>
        <v>0</v>
      </c>
      <c r="H574" s="65">
        <f>IF(F574,MAX(0,MIN(E574,I6*D574)-D574)*IFERROR(INDEX($C$158:$C$161,MATCH(C574,$A$158:$A$161,0)),0),0)</f>
        <v>0</v>
      </c>
      <c r="I574" s="65">
        <f>IF(F574,MAX(0,E574-I6*D574)*IFERROR(INDEX($D$158:$D$161,MATCH(C574,$A$158:$A$161,0)),0),0)</f>
        <v>0</v>
      </c>
      <c r="J574" s="65">
        <f t="shared" si="50"/>
        <v>0</v>
      </c>
    </row>
    <row r="575" spans="1:10" ht="15" customHeight="1" outlineLevel="1" x14ac:dyDescent="0.2">
      <c r="A575" s="66" t="str">
        <f t="shared" si="51"/>
        <v>R017</v>
      </c>
      <c r="B575" s="67">
        <f>$A$1442</f>
        <v>45931</v>
      </c>
      <c r="C575" s="66" t="str">
        <f t="shared" si="52"/>
        <v>SDR / Inside Sales Rep</v>
      </c>
      <c r="D575" s="65">
        <f>SUMIFS(Fact_Quota!$D:$D,Fact_Quota!$A:$A,$A575,Fact_Quota!$B:$B,"&gt;="&amp;B575,Fact_Quota!$B:$B,"&lt;"&amp;EDATE(B575,1))</f>
        <v>15600</v>
      </c>
      <c r="E575" s="65">
        <f>SUMIFS(Fact_Pipeline!$K:$K,Fact_Pipeline!$B:$B,$A575,Fact_Pipeline!$J:$J,"Won",Fact_Pipeline!$I:$I,"&gt;="&amp;B575,Fact_Pipeline!$I:$I,"&lt;"&amp;EDATE(B575,1))</f>
        <v>18900</v>
      </c>
      <c r="F575" s="66" t="b">
        <f>AND(D575&gt;0,IFERROR(E575/D575&gt;=G6,FALSE()))</f>
        <v>1</v>
      </c>
      <c r="G575" s="65">
        <f t="shared" si="49"/>
        <v>468</v>
      </c>
      <c r="H575" s="65">
        <f>IF(F575,MAX(0,MIN(E575,I6*D575)-D575)*IFERROR(INDEX($C$158:$C$161,MATCH(C575,$A$158:$A$161,0)),0),0)</f>
        <v>165</v>
      </c>
      <c r="I575" s="65">
        <f>IF(F575,MAX(0,E575-I6*D575)*IFERROR(INDEX($D$158:$D$161,MATCH(C575,$A$158:$A$161,0)),0),0)</f>
        <v>0</v>
      </c>
      <c r="J575" s="65">
        <f t="shared" si="50"/>
        <v>633</v>
      </c>
    </row>
    <row r="576" spans="1:10" ht="15" customHeight="1" outlineLevel="1" x14ac:dyDescent="0.2">
      <c r="A576" s="66" t="str">
        <f t="shared" si="51"/>
        <v>R017</v>
      </c>
      <c r="B576" s="67">
        <f>$A$1443</f>
        <v>45962</v>
      </c>
      <c r="C576" s="66" t="str">
        <f t="shared" si="52"/>
        <v>SDR / Inside Sales Rep</v>
      </c>
      <c r="D576" s="65">
        <f>SUMIFS(Fact_Quota!$D:$D,Fact_Quota!$A:$A,$A576,Fact_Quota!$B:$B,"&gt;="&amp;B576,Fact_Quota!$B:$B,"&lt;"&amp;EDATE(B576,1))</f>
        <v>15600</v>
      </c>
      <c r="E576" s="65">
        <f>SUMIFS(Fact_Pipeline!$K:$K,Fact_Pipeline!$B:$B,$A576,Fact_Pipeline!$J:$J,"Won",Fact_Pipeline!$I:$I,"&gt;="&amp;B576,Fact_Pipeline!$I:$I,"&lt;"&amp;EDATE(B576,1))</f>
        <v>15100</v>
      </c>
      <c r="F576" s="66" t="b">
        <f>AND(D576&gt;0,IFERROR(E576/D576&gt;=G6,FALSE()))</f>
        <v>1</v>
      </c>
      <c r="G576" s="65">
        <f t="shared" si="49"/>
        <v>453</v>
      </c>
      <c r="H576" s="65">
        <f>IF(F576,MAX(0,MIN(E576,I6*D576)-D576)*IFERROR(INDEX($C$158:$C$161,MATCH(C576,$A$158:$A$161,0)),0),0)</f>
        <v>0</v>
      </c>
      <c r="I576" s="65">
        <f>IF(F576,MAX(0,E576-I6*D576)*IFERROR(INDEX($D$158:$D$161,MATCH(C576,$A$158:$A$161,0)),0),0)</f>
        <v>0</v>
      </c>
      <c r="J576" s="65">
        <f t="shared" si="50"/>
        <v>453</v>
      </c>
    </row>
    <row r="577" spans="1:10" ht="15" customHeight="1" outlineLevel="1" x14ac:dyDescent="0.2">
      <c r="A577" s="66" t="str">
        <f t="shared" si="51"/>
        <v>R017</v>
      </c>
      <c r="B577" s="67">
        <f>$A$1444</f>
        <v>45992</v>
      </c>
      <c r="C577" s="66" t="str">
        <f t="shared" si="52"/>
        <v>SDR / Inside Sales Rep</v>
      </c>
      <c r="D577" s="65">
        <f>SUMIFS(Fact_Quota!$D:$D,Fact_Quota!$A:$A,$A577,Fact_Quota!$B:$B,"&gt;="&amp;B577,Fact_Quota!$B:$B,"&lt;"&amp;EDATE(B577,1))</f>
        <v>15300</v>
      </c>
      <c r="E577" s="65">
        <f>SUMIFS(Fact_Pipeline!$K:$K,Fact_Pipeline!$B:$B,$A577,Fact_Pipeline!$J:$J,"Won",Fact_Pipeline!$I:$I,"&gt;="&amp;B577,Fact_Pipeline!$I:$I,"&lt;"&amp;EDATE(B577,1))</f>
        <v>4300</v>
      </c>
      <c r="F577" s="66" t="b">
        <f>AND(D577&gt;0,IFERROR(E577/D577&gt;=G6,FALSE()))</f>
        <v>0</v>
      </c>
      <c r="G577" s="65">
        <f t="shared" si="49"/>
        <v>0</v>
      </c>
      <c r="H577" s="65">
        <f>IF(F577,MAX(0,MIN(E577,I6*D577)-D577)*IFERROR(INDEX($C$158:$C$161,MATCH(C577,$A$158:$A$161,0)),0),0)</f>
        <v>0</v>
      </c>
      <c r="I577" s="65">
        <f>IF(F577,MAX(0,E577-I6*D577)*IFERROR(INDEX($D$158:$D$161,MATCH(C577,$A$158:$A$161,0)),0),0)</f>
        <v>0</v>
      </c>
      <c r="J577" s="65">
        <f t="shared" si="50"/>
        <v>0</v>
      </c>
    </row>
    <row r="578" spans="1:10" ht="15" customHeight="1" outlineLevel="1" x14ac:dyDescent="0.2">
      <c r="A578" s="63" t="str">
        <f t="shared" ref="A578:A601" si="53">$A$180</f>
        <v>R020</v>
      </c>
      <c r="B578" s="64">
        <f>$A$1421</f>
        <v>45292</v>
      </c>
      <c r="C578" s="63" t="str">
        <f t="shared" ref="C578:C601" si="54">$C$180</f>
        <v>SDR / Inside Sales Rep</v>
      </c>
      <c r="D578" s="62">
        <f>SUMIFS(Fact_Quota!$D:$D,Fact_Quota!$A:$A,$A578,Fact_Quota!$B:$B,"&gt;="&amp;B578,Fact_Quota!$B:$B,"&lt;"&amp;EDATE(B578,1))</f>
        <v>0</v>
      </c>
      <c r="E578" s="62">
        <f>SUMIFS(Fact_Pipeline!$K:$K,Fact_Pipeline!$B:$B,$A578,Fact_Pipeline!$J:$J,"Won",Fact_Pipeline!$I:$I,"&gt;="&amp;B578,Fact_Pipeline!$I:$I,"&lt;"&amp;EDATE(B578,1))</f>
        <v>0</v>
      </c>
      <c r="F578" s="63" t="b">
        <f>AND(D578&gt;0,IFERROR(E578/D578&gt;=G6,FALSE()))</f>
        <v>0</v>
      </c>
      <c r="G578" s="62">
        <f t="shared" si="49"/>
        <v>0</v>
      </c>
      <c r="H578" s="62">
        <f>IF(F578,MAX(0,MIN(E578,I6*D578)-D578)*IFERROR(INDEX($C$158:$C$161,MATCH(C578,$A$158:$A$161,0)),0),0)</f>
        <v>0</v>
      </c>
      <c r="I578" s="62">
        <f>IF(F578,MAX(0,E578-I6*D578)*IFERROR(INDEX($D$158:$D$161,MATCH(C578,$A$158:$A$161,0)),0),0)</f>
        <v>0</v>
      </c>
      <c r="J578" s="62">
        <f t="shared" si="50"/>
        <v>0</v>
      </c>
    </row>
    <row r="579" spans="1:10" ht="15" customHeight="1" outlineLevel="1" x14ac:dyDescent="0.2">
      <c r="A579" s="63" t="str">
        <f t="shared" si="53"/>
        <v>R020</v>
      </c>
      <c r="B579" s="64">
        <f>$A$1422</f>
        <v>45323</v>
      </c>
      <c r="C579" s="63" t="str">
        <f t="shared" si="54"/>
        <v>SDR / Inside Sales Rep</v>
      </c>
      <c r="D579" s="62">
        <f>SUMIFS(Fact_Quota!$D:$D,Fact_Quota!$A:$A,$A579,Fact_Quota!$B:$B,"&gt;="&amp;B579,Fact_Quota!$B:$B,"&lt;"&amp;EDATE(B579,1))</f>
        <v>0</v>
      </c>
      <c r="E579" s="62">
        <f>SUMIFS(Fact_Pipeline!$K:$K,Fact_Pipeline!$B:$B,$A579,Fact_Pipeline!$J:$J,"Won",Fact_Pipeline!$I:$I,"&gt;="&amp;B579,Fact_Pipeline!$I:$I,"&lt;"&amp;EDATE(B579,1))</f>
        <v>0</v>
      </c>
      <c r="F579" s="63" t="b">
        <f>AND(D579&gt;0,IFERROR(E579/D579&gt;=G6,FALSE()))</f>
        <v>0</v>
      </c>
      <c r="G579" s="62">
        <f t="shared" si="49"/>
        <v>0</v>
      </c>
      <c r="H579" s="62">
        <f>IF(F579,MAX(0,MIN(E579,I6*D579)-D579)*IFERROR(INDEX($C$158:$C$161,MATCH(C579,$A$158:$A$161,0)),0),0)</f>
        <v>0</v>
      </c>
      <c r="I579" s="62">
        <f>IF(F579,MAX(0,E579-I6*D579)*IFERROR(INDEX($D$158:$D$161,MATCH(C579,$A$158:$A$161,0)),0),0)</f>
        <v>0</v>
      </c>
      <c r="J579" s="62">
        <f t="shared" si="50"/>
        <v>0</v>
      </c>
    </row>
    <row r="580" spans="1:10" ht="15" customHeight="1" outlineLevel="1" x14ac:dyDescent="0.2">
      <c r="A580" s="63" t="str">
        <f t="shared" si="53"/>
        <v>R020</v>
      </c>
      <c r="B580" s="64">
        <f>$A$1423</f>
        <v>45352</v>
      </c>
      <c r="C580" s="63" t="str">
        <f t="shared" si="54"/>
        <v>SDR / Inside Sales Rep</v>
      </c>
      <c r="D580" s="62">
        <f>SUMIFS(Fact_Quota!$D:$D,Fact_Quota!$A:$A,$A580,Fact_Quota!$B:$B,"&gt;="&amp;B580,Fact_Quota!$B:$B,"&lt;"&amp;EDATE(B580,1))</f>
        <v>0</v>
      </c>
      <c r="E580" s="62">
        <f>SUMIFS(Fact_Pipeline!$K:$K,Fact_Pipeline!$B:$B,$A580,Fact_Pipeline!$J:$J,"Won",Fact_Pipeline!$I:$I,"&gt;="&amp;B580,Fact_Pipeline!$I:$I,"&lt;"&amp;EDATE(B580,1))</f>
        <v>0</v>
      </c>
      <c r="F580" s="63" t="b">
        <f>AND(D580&gt;0,IFERROR(E580/D580&gt;=G6,FALSE()))</f>
        <v>0</v>
      </c>
      <c r="G580" s="62">
        <f t="shared" si="49"/>
        <v>0</v>
      </c>
      <c r="H580" s="62">
        <f>IF(F580,MAX(0,MIN(E580,I6*D580)-D580)*IFERROR(INDEX($C$158:$C$161,MATCH(C580,$A$158:$A$161,0)),0),0)</f>
        <v>0</v>
      </c>
      <c r="I580" s="62">
        <f>IF(F580,MAX(0,E580-I6*D580)*IFERROR(INDEX($D$158:$D$161,MATCH(C580,$A$158:$A$161,0)),0),0)</f>
        <v>0</v>
      </c>
      <c r="J580" s="62">
        <f t="shared" si="50"/>
        <v>0</v>
      </c>
    </row>
    <row r="581" spans="1:10" ht="15" customHeight="1" outlineLevel="1" x14ac:dyDescent="0.2">
      <c r="A581" s="63" t="str">
        <f t="shared" si="53"/>
        <v>R020</v>
      </c>
      <c r="B581" s="64">
        <f>$A$1424</f>
        <v>45383</v>
      </c>
      <c r="C581" s="63" t="str">
        <f t="shared" si="54"/>
        <v>SDR / Inside Sales Rep</v>
      </c>
      <c r="D581" s="62">
        <f>SUMIFS(Fact_Quota!$D:$D,Fact_Quota!$A:$A,$A581,Fact_Quota!$B:$B,"&gt;="&amp;B581,Fact_Quota!$B:$B,"&lt;"&amp;EDATE(B581,1))</f>
        <v>0</v>
      </c>
      <c r="E581" s="62">
        <f>SUMIFS(Fact_Pipeline!$K:$K,Fact_Pipeline!$B:$B,$A581,Fact_Pipeline!$J:$J,"Won",Fact_Pipeline!$I:$I,"&gt;="&amp;B581,Fact_Pipeline!$I:$I,"&lt;"&amp;EDATE(B581,1))</f>
        <v>0</v>
      </c>
      <c r="F581" s="63" t="b">
        <f>AND(D581&gt;0,IFERROR(E581/D581&gt;=G6,FALSE()))</f>
        <v>0</v>
      </c>
      <c r="G581" s="62">
        <f t="shared" si="49"/>
        <v>0</v>
      </c>
      <c r="H581" s="62">
        <f>IF(F581,MAX(0,MIN(E581,I6*D581)-D581)*IFERROR(INDEX($C$158:$C$161,MATCH(C581,$A$158:$A$161,0)),0),0)</f>
        <v>0</v>
      </c>
      <c r="I581" s="62">
        <f>IF(F581,MAX(0,E581-I6*D581)*IFERROR(INDEX($D$158:$D$161,MATCH(C581,$A$158:$A$161,0)),0),0)</f>
        <v>0</v>
      </c>
      <c r="J581" s="62">
        <f t="shared" si="50"/>
        <v>0</v>
      </c>
    </row>
    <row r="582" spans="1:10" ht="15" customHeight="1" outlineLevel="1" x14ac:dyDescent="0.2">
      <c r="A582" s="63" t="str">
        <f t="shared" si="53"/>
        <v>R020</v>
      </c>
      <c r="B582" s="64">
        <f>$A$1425</f>
        <v>45413</v>
      </c>
      <c r="C582" s="63" t="str">
        <f t="shared" si="54"/>
        <v>SDR / Inside Sales Rep</v>
      </c>
      <c r="D582" s="62">
        <f>SUMIFS(Fact_Quota!$D:$D,Fact_Quota!$A:$A,$A582,Fact_Quota!$B:$B,"&gt;="&amp;B582,Fact_Quota!$B:$B,"&lt;"&amp;EDATE(B582,1))</f>
        <v>0</v>
      </c>
      <c r="E582" s="62">
        <f>SUMIFS(Fact_Pipeline!$K:$K,Fact_Pipeline!$B:$B,$A582,Fact_Pipeline!$J:$J,"Won",Fact_Pipeline!$I:$I,"&gt;="&amp;B582,Fact_Pipeline!$I:$I,"&lt;"&amp;EDATE(B582,1))</f>
        <v>0</v>
      </c>
      <c r="F582" s="63" t="b">
        <f>AND(D582&gt;0,IFERROR(E582/D582&gt;=G6,FALSE()))</f>
        <v>0</v>
      </c>
      <c r="G582" s="62">
        <f t="shared" si="49"/>
        <v>0</v>
      </c>
      <c r="H582" s="62">
        <f>IF(F582,MAX(0,MIN(E582,I6*D582)-D582)*IFERROR(INDEX($C$158:$C$161,MATCH(C582,$A$158:$A$161,0)),0),0)</f>
        <v>0</v>
      </c>
      <c r="I582" s="62">
        <f>IF(F582,MAX(0,E582-I6*D582)*IFERROR(INDEX($D$158:$D$161,MATCH(C582,$A$158:$A$161,0)),0),0)</f>
        <v>0</v>
      </c>
      <c r="J582" s="62">
        <f t="shared" si="50"/>
        <v>0</v>
      </c>
    </row>
    <row r="583" spans="1:10" ht="15" customHeight="1" outlineLevel="1" x14ac:dyDescent="0.2">
      <c r="A583" s="63" t="str">
        <f t="shared" si="53"/>
        <v>R020</v>
      </c>
      <c r="B583" s="64">
        <f>$A$1426</f>
        <v>45444</v>
      </c>
      <c r="C583" s="63" t="str">
        <f t="shared" si="54"/>
        <v>SDR / Inside Sales Rep</v>
      </c>
      <c r="D583" s="62">
        <f>SUMIFS(Fact_Quota!$D:$D,Fact_Quota!$A:$A,$A583,Fact_Quota!$B:$B,"&gt;="&amp;B583,Fact_Quota!$B:$B,"&lt;"&amp;EDATE(B583,1))</f>
        <v>0</v>
      </c>
      <c r="E583" s="62">
        <f>SUMIFS(Fact_Pipeline!$K:$K,Fact_Pipeline!$B:$B,$A583,Fact_Pipeline!$J:$J,"Won",Fact_Pipeline!$I:$I,"&gt;="&amp;B583,Fact_Pipeline!$I:$I,"&lt;"&amp;EDATE(B583,1))</f>
        <v>0</v>
      </c>
      <c r="F583" s="63" t="b">
        <f>AND(D583&gt;0,IFERROR(E583/D583&gt;=G6,FALSE()))</f>
        <v>0</v>
      </c>
      <c r="G583" s="62">
        <f t="shared" si="49"/>
        <v>0</v>
      </c>
      <c r="H583" s="62">
        <f>IF(F583,MAX(0,MIN(E583,I6*D583)-D583)*IFERROR(INDEX($C$158:$C$161,MATCH(C583,$A$158:$A$161,0)),0),0)</f>
        <v>0</v>
      </c>
      <c r="I583" s="62">
        <f>IF(F583,MAX(0,E583-I6*D583)*IFERROR(INDEX($D$158:$D$161,MATCH(C583,$A$158:$A$161,0)),0),0)</f>
        <v>0</v>
      </c>
      <c r="J583" s="62">
        <f t="shared" si="50"/>
        <v>0</v>
      </c>
    </row>
    <row r="584" spans="1:10" ht="15" customHeight="1" outlineLevel="1" x14ac:dyDescent="0.2">
      <c r="A584" s="63" t="str">
        <f t="shared" si="53"/>
        <v>R020</v>
      </c>
      <c r="B584" s="64">
        <f>$A$1427</f>
        <v>45474</v>
      </c>
      <c r="C584" s="63" t="str">
        <f t="shared" si="54"/>
        <v>SDR / Inside Sales Rep</v>
      </c>
      <c r="D584" s="62">
        <f>SUMIFS(Fact_Quota!$D:$D,Fact_Quota!$A:$A,$A584,Fact_Quota!$B:$B,"&gt;="&amp;B584,Fact_Quota!$B:$B,"&lt;"&amp;EDATE(B584,1))</f>
        <v>4000</v>
      </c>
      <c r="E584" s="62">
        <f>SUMIFS(Fact_Pipeline!$K:$K,Fact_Pipeline!$B:$B,$A584,Fact_Pipeline!$J:$J,"Won",Fact_Pipeline!$I:$I,"&gt;="&amp;B584,Fact_Pipeline!$I:$I,"&lt;"&amp;EDATE(B584,1))</f>
        <v>0</v>
      </c>
      <c r="F584" s="63" t="b">
        <f>AND(D584&gt;0,IFERROR(E584/D584&gt;=G6,FALSE()))</f>
        <v>0</v>
      </c>
      <c r="G584" s="62">
        <f t="shared" si="49"/>
        <v>0</v>
      </c>
      <c r="H584" s="62">
        <f>IF(F584,MAX(0,MIN(E584,I6*D584)-D584)*IFERROR(INDEX($C$158:$C$161,MATCH(C584,$A$158:$A$161,0)),0),0)</f>
        <v>0</v>
      </c>
      <c r="I584" s="62">
        <f>IF(F584,MAX(0,E584-I6*D584)*IFERROR(INDEX($D$158:$D$161,MATCH(C584,$A$158:$A$161,0)),0),0)</f>
        <v>0</v>
      </c>
      <c r="J584" s="62">
        <f t="shared" si="50"/>
        <v>0</v>
      </c>
    </row>
    <row r="585" spans="1:10" ht="15" customHeight="1" outlineLevel="1" x14ac:dyDescent="0.2">
      <c r="A585" s="63" t="str">
        <f t="shared" si="53"/>
        <v>R020</v>
      </c>
      <c r="B585" s="64">
        <f>$A$1428</f>
        <v>45505</v>
      </c>
      <c r="C585" s="63" t="str">
        <f t="shared" si="54"/>
        <v>SDR / Inside Sales Rep</v>
      </c>
      <c r="D585" s="62">
        <f>SUMIFS(Fact_Quota!$D:$D,Fact_Quota!$A:$A,$A585,Fact_Quota!$B:$B,"&gt;="&amp;B585,Fact_Quota!$B:$B,"&lt;"&amp;EDATE(B585,1))</f>
        <v>7900</v>
      </c>
      <c r="E585" s="62">
        <f>SUMIFS(Fact_Pipeline!$K:$K,Fact_Pipeline!$B:$B,$A585,Fact_Pipeline!$J:$J,"Won",Fact_Pipeline!$I:$I,"&gt;="&amp;B585,Fact_Pipeline!$I:$I,"&lt;"&amp;EDATE(B585,1))</f>
        <v>0</v>
      </c>
      <c r="F585" s="63" t="b">
        <f>AND(D585&gt;0,IFERROR(E585/D585&gt;=G6,FALSE()))</f>
        <v>0</v>
      </c>
      <c r="G585" s="62">
        <f t="shared" si="49"/>
        <v>0</v>
      </c>
      <c r="H585" s="62">
        <f>IF(F585,MAX(0,MIN(E585,I6*D585)-D585)*IFERROR(INDEX($C$158:$C$161,MATCH(C585,$A$158:$A$161,0)),0),0)</f>
        <v>0</v>
      </c>
      <c r="I585" s="62">
        <f>IF(F585,MAX(0,E585-I6*D585)*IFERROR(INDEX($D$158:$D$161,MATCH(C585,$A$158:$A$161,0)),0),0)</f>
        <v>0</v>
      </c>
      <c r="J585" s="62">
        <f t="shared" si="50"/>
        <v>0</v>
      </c>
    </row>
    <row r="586" spans="1:10" ht="15" customHeight="1" outlineLevel="1" x14ac:dyDescent="0.2">
      <c r="A586" s="63" t="str">
        <f t="shared" si="53"/>
        <v>R020</v>
      </c>
      <c r="B586" s="64">
        <f>$A$1429</f>
        <v>45536</v>
      </c>
      <c r="C586" s="63" t="str">
        <f t="shared" si="54"/>
        <v>SDR / Inside Sales Rep</v>
      </c>
      <c r="D586" s="62">
        <f>SUMIFS(Fact_Quota!$D:$D,Fact_Quota!$A:$A,$A586,Fact_Quota!$B:$B,"&gt;="&amp;B586,Fact_Quota!$B:$B,"&lt;"&amp;EDATE(B586,1))</f>
        <v>11600</v>
      </c>
      <c r="E586" s="62">
        <f>SUMIFS(Fact_Pipeline!$K:$K,Fact_Pipeline!$B:$B,$A586,Fact_Pipeline!$J:$J,"Won",Fact_Pipeline!$I:$I,"&gt;="&amp;B586,Fact_Pipeline!$I:$I,"&lt;"&amp;EDATE(B586,1))</f>
        <v>7400</v>
      </c>
      <c r="F586" s="63" t="b">
        <f>AND(D586&gt;0,IFERROR(E586/D586&gt;=G6,FALSE()))</f>
        <v>1</v>
      </c>
      <c r="G586" s="62">
        <f t="shared" si="49"/>
        <v>222</v>
      </c>
      <c r="H586" s="62">
        <f>IF(F586,MAX(0,MIN(E586,I6*D586)-D586)*IFERROR(INDEX($C$158:$C$161,MATCH(C586,$A$158:$A$161,0)),0),0)</f>
        <v>0</v>
      </c>
      <c r="I586" s="62">
        <f>IF(F586,MAX(0,E586-I6*D586)*IFERROR(INDEX($D$158:$D$161,MATCH(C586,$A$158:$A$161,0)),0),0)</f>
        <v>0</v>
      </c>
      <c r="J586" s="62">
        <f t="shared" si="50"/>
        <v>222</v>
      </c>
    </row>
    <row r="587" spans="1:10" ht="15" customHeight="1" outlineLevel="1" x14ac:dyDescent="0.2">
      <c r="A587" s="63" t="str">
        <f t="shared" si="53"/>
        <v>R020</v>
      </c>
      <c r="B587" s="64">
        <f>$A$1430</f>
        <v>45566</v>
      </c>
      <c r="C587" s="63" t="str">
        <f t="shared" si="54"/>
        <v>SDR / Inside Sales Rep</v>
      </c>
      <c r="D587" s="62">
        <f>SUMIFS(Fact_Quota!$D:$D,Fact_Quota!$A:$A,$A587,Fact_Quota!$B:$B,"&gt;="&amp;B587,Fact_Quota!$B:$B,"&lt;"&amp;EDATE(B587,1))</f>
        <v>15500</v>
      </c>
      <c r="E587" s="62">
        <f>SUMIFS(Fact_Pipeline!$K:$K,Fact_Pipeline!$B:$B,$A587,Fact_Pipeline!$J:$J,"Won",Fact_Pipeline!$I:$I,"&gt;="&amp;B587,Fact_Pipeline!$I:$I,"&lt;"&amp;EDATE(B587,1))</f>
        <v>7600</v>
      </c>
      <c r="F587" s="63" t="b">
        <f>AND(D587&gt;0,IFERROR(E587/D587&gt;=G6,FALSE()))</f>
        <v>0</v>
      </c>
      <c r="G587" s="62">
        <f t="shared" si="49"/>
        <v>0</v>
      </c>
      <c r="H587" s="62">
        <f>IF(F587,MAX(0,MIN(E587,I6*D587)-D587)*IFERROR(INDEX($C$158:$C$161,MATCH(C587,$A$158:$A$161,0)),0),0)</f>
        <v>0</v>
      </c>
      <c r="I587" s="62">
        <f>IF(F587,MAX(0,E587-I6*D587)*IFERROR(INDEX($D$158:$D$161,MATCH(C587,$A$158:$A$161,0)),0),0)</f>
        <v>0</v>
      </c>
      <c r="J587" s="62">
        <f t="shared" si="50"/>
        <v>0</v>
      </c>
    </row>
    <row r="588" spans="1:10" ht="15" customHeight="1" outlineLevel="1" x14ac:dyDescent="0.2">
      <c r="A588" s="63" t="str">
        <f t="shared" si="53"/>
        <v>R020</v>
      </c>
      <c r="B588" s="64">
        <f>$A$1431</f>
        <v>45597</v>
      </c>
      <c r="C588" s="63" t="str">
        <f t="shared" si="54"/>
        <v>SDR / Inside Sales Rep</v>
      </c>
      <c r="D588" s="62">
        <f>SUMIFS(Fact_Quota!$D:$D,Fact_Quota!$A:$A,$A588,Fact_Quota!$B:$B,"&gt;="&amp;B588,Fact_Quota!$B:$B,"&lt;"&amp;EDATE(B588,1))</f>
        <v>15000</v>
      </c>
      <c r="E588" s="62">
        <f>SUMIFS(Fact_Pipeline!$K:$K,Fact_Pipeline!$B:$B,$A588,Fact_Pipeline!$J:$J,"Won",Fact_Pipeline!$I:$I,"&gt;="&amp;B588,Fact_Pipeline!$I:$I,"&lt;"&amp;EDATE(B588,1))</f>
        <v>24500</v>
      </c>
      <c r="F588" s="63" t="b">
        <f>AND(D588&gt;0,IFERROR(E588/D588&gt;=G6,FALSE()))</f>
        <v>1</v>
      </c>
      <c r="G588" s="62">
        <f t="shared" si="49"/>
        <v>450</v>
      </c>
      <c r="H588" s="62">
        <f>IF(F588,MAX(0,MIN(E588,I6*D588)-D588)*IFERROR(INDEX($C$158:$C$161,MATCH(C588,$A$158:$A$161,0)),0),0)</f>
        <v>375</v>
      </c>
      <c r="I588" s="62">
        <f>IF(F588,MAX(0,E588-I6*D588)*IFERROR(INDEX($D$158:$D$161,MATCH(C588,$A$158:$A$161,0)),0),0)</f>
        <v>140</v>
      </c>
      <c r="J588" s="62">
        <f t="shared" si="50"/>
        <v>965</v>
      </c>
    </row>
    <row r="589" spans="1:10" ht="15" customHeight="1" outlineLevel="1" x14ac:dyDescent="0.2">
      <c r="A589" s="63" t="str">
        <f t="shared" si="53"/>
        <v>R020</v>
      </c>
      <c r="B589" s="64">
        <f>$A$1432</f>
        <v>45627</v>
      </c>
      <c r="C589" s="63" t="str">
        <f t="shared" si="54"/>
        <v>SDR / Inside Sales Rep</v>
      </c>
      <c r="D589" s="62">
        <f>SUMIFS(Fact_Quota!$D:$D,Fact_Quota!$A:$A,$A589,Fact_Quota!$B:$B,"&gt;="&amp;B589,Fact_Quota!$B:$B,"&lt;"&amp;EDATE(B589,1))</f>
        <v>15500</v>
      </c>
      <c r="E589" s="62">
        <f>SUMIFS(Fact_Pipeline!$K:$K,Fact_Pipeline!$B:$B,$A589,Fact_Pipeline!$J:$J,"Won",Fact_Pipeline!$I:$I,"&gt;="&amp;B589,Fact_Pipeline!$I:$I,"&lt;"&amp;EDATE(B589,1))</f>
        <v>4100</v>
      </c>
      <c r="F589" s="63" t="b">
        <f>AND(D589&gt;0,IFERROR(E589/D589&gt;=G6,FALSE()))</f>
        <v>0</v>
      </c>
      <c r="G589" s="62">
        <f t="shared" si="49"/>
        <v>0</v>
      </c>
      <c r="H589" s="62">
        <f>IF(F589,MAX(0,MIN(E589,I6*D589)-D589)*IFERROR(INDEX($C$158:$C$161,MATCH(C589,$A$158:$A$161,0)),0),0)</f>
        <v>0</v>
      </c>
      <c r="I589" s="62">
        <f>IF(F589,MAX(0,E589-I6*D589)*IFERROR(INDEX($D$158:$D$161,MATCH(C589,$A$158:$A$161,0)),0),0)</f>
        <v>0</v>
      </c>
      <c r="J589" s="62">
        <f t="shared" si="50"/>
        <v>0</v>
      </c>
    </row>
    <row r="590" spans="1:10" ht="15" customHeight="1" outlineLevel="1" x14ac:dyDescent="0.2">
      <c r="A590" s="63" t="str">
        <f t="shared" si="53"/>
        <v>R020</v>
      </c>
      <c r="B590" s="64">
        <f>$A$1433</f>
        <v>45658</v>
      </c>
      <c r="C590" s="63" t="str">
        <f t="shared" si="54"/>
        <v>SDR / Inside Sales Rep</v>
      </c>
      <c r="D590" s="62">
        <f>SUMIFS(Fact_Quota!$D:$D,Fact_Quota!$A:$A,$A590,Fact_Quota!$B:$B,"&gt;="&amp;B590,Fact_Quota!$B:$B,"&lt;"&amp;EDATE(B590,1))</f>
        <v>15400</v>
      </c>
      <c r="E590" s="62">
        <f>SUMIFS(Fact_Pipeline!$K:$K,Fact_Pipeline!$B:$B,$A590,Fact_Pipeline!$J:$J,"Won",Fact_Pipeline!$I:$I,"&gt;="&amp;B590,Fact_Pipeline!$I:$I,"&lt;"&amp;EDATE(B590,1))</f>
        <v>0</v>
      </c>
      <c r="F590" s="63" t="b">
        <f>AND(D590&gt;0,IFERROR(E590/D590&gt;=G6,FALSE()))</f>
        <v>0</v>
      </c>
      <c r="G590" s="62">
        <f t="shared" si="49"/>
        <v>0</v>
      </c>
      <c r="H590" s="62">
        <f>IF(F590,MAX(0,MIN(E590,I6*D590)-D590)*IFERROR(INDEX($C$158:$C$161,MATCH(C590,$A$158:$A$161,0)),0),0)</f>
        <v>0</v>
      </c>
      <c r="I590" s="62">
        <f>IF(F590,MAX(0,E590-I6*D590)*IFERROR(INDEX($D$158:$D$161,MATCH(C590,$A$158:$A$161,0)),0),0)</f>
        <v>0</v>
      </c>
      <c r="J590" s="62">
        <f t="shared" si="50"/>
        <v>0</v>
      </c>
    </row>
    <row r="591" spans="1:10" ht="15" customHeight="1" outlineLevel="1" x14ac:dyDescent="0.2">
      <c r="A591" s="63" t="str">
        <f t="shared" si="53"/>
        <v>R020</v>
      </c>
      <c r="B591" s="64">
        <f>$A$1434</f>
        <v>45689</v>
      </c>
      <c r="C591" s="63" t="str">
        <f t="shared" si="54"/>
        <v>SDR / Inside Sales Rep</v>
      </c>
      <c r="D591" s="62">
        <f>SUMIFS(Fact_Quota!$D:$D,Fact_Quota!$A:$A,$A591,Fact_Quota!$B:$B,"&gt;="&amp;B591,Fact_Quota!$B:$B,"&lt;"&amp;EDATE(B591,1))</f>
        <v>15700</v>
      </c>
      <c r="E591" s="62">
        <f>SUMIFS(Fact_Pipeline!$K:$K,Fact_Pipeline!$B:$B,$A591,Fact_Pipeline!$J:$J,"Won",Fact_Pipeline!$I:$I,"&gt;="&amp;B591,Fact_Pipeline!$I:$I,"&lt;"&amp;EDATE(B591,1))</f>
        <v>14200</v>
      </c>
      <c r="F591" s="63" t="b">
        <f>AND(D591&gt;0,IFERROR(E591/D591&gt;=G6,FALSE()))</f>
        <v>1</v>
      </c>
      <c r="G591" s="62">
        <f t="shared" si="49"/>
        <v>426</v>
      </c>
      <c r="H591" s="62">
        <f>IF(F591,MAX(0,MIN(E591,I6*D591)-D591)*IFERROR(INDEX($C$158:$C$161,MATCH(C591,$A$158:$A$161,0)),0),0)</f>
        <v>0</v>
      </c>
      <c r="I591" s="62">
        <f>IF(F591,MAX(0,E591-I6*D591)*IFERROR(INDEX($D$158:$D$161,MATCH(C591,$A$158:$A$161,0)),0),0)</f>
        <v>0</v>
      </c>
      <c r="J591" s="62">
        <f t="shared" si="50"/>
        <v>426</v>
      </c>
    </row>
    <row r="592" spans="1:10" ht="15" customHeight="1" outlineLevel="1" x14ac:dyDescent="0.2">
      <c r="A592" s="63" t="str">
        <f t="shared" si="53"/>
        <v>R020</v>
      </c>
      <c r="B592" s="64">
        <f>$A$1435</f>
        <v>45717</v>
      </c>
      <c r="C592" s="63" t="str">
        <f t="shared" si="54"/>
        <v>SDR / Inside Sales Rep</v>
      </c>
      <c r="D592" s="62">
        <f>SUMIFS(Fact_Quota!$D:$D,Fact_Quota!$A:$A,$A592,Fact_Quota!$B:$B,"&gt;="&amp;B592,Fact_Quota!$B:$B,"&lt;"&amp;EDATE(B592,1))</f>
        <v>15100</v>
      </c>
      <c r="E592" s="62">
        <f>SUMIFS(Fact_Pipeline!$K:$K,Fact_Pipeline!$B:$B,$A592,Fact_Pipeline!$J:$J,"Won",Fact_Pipeline!$I:$I,"&gt;="&amp;B592,Fact_Pipeline!$I:$I,"&lt;"&amp;EDATE(B592,1))</f>
        <v>18400</v>
      </c>
      <c r="F592" s="63" t="b">
        <f>AND(D592&gt;0,IFERROR(E592/D592&gt;=G6,FALSE()))</f>
        <v>1</v>
      </c>
      <c r="G592" s="62">
        <f t="shared" si="49"/>
        <v>453</v>
      </c>
      <c r="H592" s="62">
        <f>IF(F592,MAX(0,MIN(E592,I6*D592)-D592)*IFERROR(INDEX($C$158:$C$161,MATCH(C592,$A$158:$A$161,0)),0),0)</f>
        <v>165</v>
      </c>
      <c r="I592" s="62">
        <f>IF(F592,MAX(0,E592-I6*D592)*IFERROR(INDEX($D$158:$D$161,MATCH(C592,$A$158:$A$161,0)),0),0)</f>
        <v>0</v>
      </c>
      <c r="J592" s="62">
        <f t="shared" si="50"/>
        <v>618</v>
      </c>
    </row>
    <row r="593" spans="1:10" ht="15" customHeight="1" outlineLevel="1" x14ac:dyDescent="0.2">
      <c r="A593" s="63" t="str">
        <f t="shared" si="53"/>
        <v>R020</v>
      </c>
      <c r="B593" s="64">
        <f>$A$1436</f>
        <v>45748</v>
      </c>
      <c r="C593" s="63" t="str">
        <f t="shared" si="54"/>
        <v>SDR / Inside Sales Rep</v>
      </c>
      <c r="D593" s="62">
        <f>SUMIFS(Fact_Quota!$D:$D,Fact_Quota!$A:$A,$A593,Fact_Quota!$B:$B,"&gt;="&amp;B593,Fact_Quota!$B:$B,"&lt;"&amp;EDATE(B593,1))</f>
        <v>15700</v>
      </c>
      <c r="E593" s="62">
        <f>SUMIFS(Fact_Pipeline!$K:$K,Fact_Pipeline!$B:$B,$A593,Fact_Pipeline!$J:$J,"Won",Fact_Pipeline!$I:$I,"&gt;="&amp;B593,Fact_Pipeline!$I:$I,"&lt;"&amp;EDATE(B593,1))</f>
        <v>15500</v>
      </c>
      <c r="F593" s="63" t="b">
        <f>AND(D593&gt;0,IFERROR(E593/D593&gt;=G6,FALSE()))</f>
        <v>1</v>
      </c>
      <c r="G593" s="62">
        <f t="shared" si="49"/>
        <v>465</v>
      </c>
      <c r="H593" s="62">
        <f>IF(F593,MAX(0,MIN(E593,I6*D593)-D593)*IFERROR(INDEX($C$158:$C$161,MATCH(C593,$A$158:$A$161,0)),0),0)</f>
        <v>0</v>
      </c>
      <c r="I593" s="62">
        <f>IF(F593,MAX(0,E593-I6*D593)*IFERROR(INDEX($D$158:$D$161,MATCH(C593,$A$158:$A$161,0)),0),0)</f>
        <v>0</v>
      </c>
      <c r="J593" s="62">
        <f t="shared" si="50"/>
        <v>465</v>
      </c>
    </row>
    <row r="594" spans="1:10" ht="15" customHeight="1" outlineLevel="1" x14ac:dyDescent="0.2">
      <c r="A594" s="63" t="str">
        <f t="shared" si="53"/>
        <v>R020</v>
      </c>
      <c r="B594" s="64">
        <f>$A$1437</f>
        <v>45778</v>
      </c>
      <c r="C594" s="63" t="str">
        <f t="shared" si="54"/>
        <v>SDR / Inside Sales Rep</v>
      </c>
      <c r="D594" s="62">
        <f>SUMIFS(Fact_Quota!$D:$D,Fact_Quota!$A:$A,$A594,Fact_Quota!$B:$B,"&gt;="&amp;B594,Fact_Quota!$B:$B,"&lt;"&amp;EDATE(B594,1))</f>
        <v>16200</v>
      </c>
      <c r="E594" s="62">
        <f>SUMIFS(Fact_Pipeline!$K:$K,Fact_Pipeline!$B:$B,$A594,Fact_Pipeline!$J:$J,"Won",Fact_Pipeline!$I:$I,"&gt;="&amp;B594,Fact_Pipeline!$I:$I,"&lt;"&amp;EDATE(B594,1))</f>
        <v>12400</v>
      </c>
      <c r="F594" s="63" t="b">
        <f>AND(D594&gt;0,IFERROR(E594/D594&gt;=G6,FALSE()))</f>
        <v>1</v>
      </c>
      <c r="G594" s="62">
        <f t="shared" si="49"/>
        <v>372</v>
      </c>
      <c r="H594" s="62">
        <f>IF(F594,MAX(0,MIN(E594,I6*D594)-D594)*IFERROR(INDEX($C$158:$C$161,MATCH(C594,$A$158:$A$161,0)),0),0)</f>
        <v>0</v>
      </c>
      <c r="I594" s="62">
        <f>IF(F594,MAX(0,E594-I6*D594)*IFERROR(INDEX($D$158:$D$161,MATCH(C594,$A$158:$A$161,0)),0),0)</f>
        <v>0</v>
      </c>
      <c r="J594" s="62">
        <f t="shared" si="50"/>
        <v>372</v>
      </c>
    </row>
    <row r="595" spans="1:10" ht="15" customHeight="1" outlineLevel="1" x14ac:dyDescent="0.2">
      <c r="A595" s="63" t="str">
        <f t="shared" si="53"/>
        <v>R020</v>
      </c>
      <c r="B595" s="64">
        <f>$A$1438</f>
        <v>45809</v>
      </c>
      <c r="C595" s="63" t="str">
        <f t="shared" si="54"/>
        <v>SDR / Inside Sales Rep</v>
      </c>
      <c r="D595" s="62">
        <f>SUMIFS(Fact_Quota!$D:$D,Fact_Quota!$A:$A,$A595,Fact_Quota!$B:$B,"&gt;="&amp;B595,Fact_Quota!$B:$B,"&lt;"&amp;EDATE(B595,1))</f>
        <v>15400</v>
      </c>
      <c r="E595" s="62">
        <f>SUMIFS(Fact_Pipeline!$K:$K,Fact_Pipeline!$B:$B,$A595,Fact_Pipeline!$J:$J,"Won",Fact_Pipeline!$I:$I,"&gt;="&amp;B595,Fact_Pipeline!$I:$I,"&lt;"&amp;EDATE(B595,1))</f>
        <v>16200</v>
      </c>
      <c r="F595" s="63" t="b">
        <f>AND(D595&gt;0,IFERROR(E595/D595&gt;=G6,FALSE()))</f>
        <v>1</v>
      </c>
      <c r="G595" s="62">
        <f t="shared" si="49"/>
        <v>462</v>
      </c>
      <c r="H595" s="62">
        <f>IF(F595,MAX(0,MIN(E595,I6*D595)-D595)*IFERROR(INDEX($C$158:$C$161,MATCH(C595,$A$158:$A$161,0)),0),0)</f>
        <v>40</v>
      </c>
      <c r="I595" s="62">
        <f>IF(F595,MAX(0,E595-I6*D595)*IFERROR(INDEX($D$158:$D$161,MATCH(C595,$A$158:$A$161,0)),0),0)</f>
        <v>0</v>
      </c>
      <c r="J595" s="62">
        <f t="shared" si="50"/>
        <v>502</v>
      </c>
    </row>
    <row r="596" spans="1:10" ht="15" customHeight="1" outlineLevel="1" x14ac:dyDescent="0.2">
      <c r="A596" s="63" t="str">
        <f t="shared" si="53"/>
        <v>R020</v>
      </c>
      <c r="B596" s="64">
        <f>$A$1439</f>
        <v>45839</v>
      </c>
      <c r="C596" s="63" t="str">
        <f t="shared" si="54"/>
        <v>SDR / Inside Sales Rep</v>
      </c>
      <c r="D596" s="62">
        <f>SUMIFS(Fact_Quota!$D:$D,Fact_Quota!$A:$A,$A596,Fact_Quota!$B:$B,"&gt;="&amp;B596,Fact_Quota!$B:$B,"&lt;"&amp;EDATE(B596,1))</f>
        <v>15700</v>
      </c>
      <c r="E596" s="62">
        <f>SUMIFS(Fact_Pipeline!$K:$K,Fact_Pipeline!$B:$B,$A596,Fact_Pipeline!$J:$J,"Won",Fact_Pipeline!$I:$I,"&gt;="&amp;B596,Fact_Pipeline!$I:$I,"&lt;"&amp;EDATE(B596,1))</f>
        <v>8100</v>
      </c>
      <c r="F596" s="63" t="b">
        <f>AND(D596&gt;0,IFERROR(E596/D596&gt;=G6,FALSE()))</f>
        <v>1</v>
      </c>
      <c r="G596" s="62">
        <f t="shared" si="49"/>
        <v>243</v>
      </c>
      <c r="H596" s="62">
        <f>IF(F596,MAX(0,MIN(E596,I6*D596)-D596)*IFERROR(INDEX($C$158:$C$161,MATCH(C596,$A$158:$A$161,0)),0),0)</f>
        <v>0</v>
      </c>
      <c r="I596" s="62">
        <f>IF(F596,MAX(0,E596-I6*D596)*IFERROR(INDEX($D$158:$D$161,MATCH(C596,$A$158:$A$161,0)),0),0)</f>
        <v>0</v>
      </c>
      <c r="J596" s="62">
        <f t="shared" si="50"/>
        <v>243</v>
      </c>
    </row>
    <row r="597" spans="1:10" ht="15" customHeight="1" outlineLevel="1" x14ac:dyDescent="0.2">
      <c r="A597" s="63" t="str">
        <f t="shared" si="53"/>
        <v>R020</v>
      </c>
      <c r="B597" s="64">
        <f>$A$1440</f>
        <v>45870</v>
      </c>
      <c r="C597" s="63" t="str">
        <f t="shared" si="54"/>
        <v>SDR / Inside Sales Rep</v>
      </c>
      <c r="D597" s="62">
        <f>SUMIFS(Fact_Quota!$D:$D,Fact_Quota!$A:$A,$A597,Fact_Quota!$B:$B,"&gt;="&amp;B597,Fact_Quota!$B:$B,"&lt;"&amp;EDATE(B597,1))</f>
        <v>15800</v>
      </c>
      <c r="E597" s="62">
        <f>SUMIFS(Fact_Pipeline!$K:$K,Fact_Pipeline!$B:$B,$A597,Fact_Pipeline!$J:$J,"Won",Fact_Pipeline!$I:$I,"&gt;="&amp;B597,Fact_Pipeline!$I:$I,"&lt;"&amp;EDATE(B597,1))</f>
        <v>23400</v>
      </c>
      <c r="F597" s="63" t="b">
        <f>AND(D597&gt;0,IFERROR(E597/D597&gt;=G6,FALSE()))</f>
        <v>1</v>
      </c>
      <c r="G597" s="62">
        <f t="shared" si="49"/>
        <v>474</v>
      </c>
      <c r="H597" s="62">
        <f>IF(F597,MAX(0,MIN(E597,I6*D597)-D597)*IFERROR(INDEX($C$158:$C$161,MATCH(C597,$A$158:$A$161,0)),0),0)</f>
        <v>380</v>
      </c>
      <c r="I597" s="62">
        <f>IF(F597,MAX(0,E597-I6*D597)*IFERROR(INDEX($D$158:$D$161,MATCH(C597,$A$158:$A$161,0)),0),0)</f>
        <v>0</v>
      </c>
      <c r="J597" s="62">
        <f t="shared" si="50"/>
        <v>854</v>
      </c>
    </row>
    <row r="598" spans="1:10" ht="15" customHeight="1" outlineLevel="1" x14ac:dyDescent="0.2">
      <c r="A598" s="63" t="str">
        <f t="shared" si="53"/>
        <v>R020</v>
      </c>
      <c r="B598" s="64">
        <f>$A$1441</f>
        <v>45901</v>
      </c>
      <c r="C598" s="63" t="str">
        <f t="shared" si="54"/>
        <v>SDR / Inside Sales Rep</v>
      </c>
      <c r="D598" s="62">
        <f>SUMIFS(Fact_Quota!$D:$D,Fact_Quota!$A:$A,$A598,Fact_Quota!$B:$B,"&gt;="&amp;B598,Fact_Quota!$B:$B,"&lt;"&amp;EDATE(B598,1))</f>
        <v>15300</v>
      </c>
      <c r="E598" s="62">
        <f>SUMIFS(Fact_Pipeline!$K:$K,Fact_Pipeline!$B:$B,$A598,Fact_Pipeline!$J:$J,"Won",Fact_Pipeline!$I:$I,"&gt;="&amp;B598,Fact_Pipeline!$I:$I,"&lt;"&amp;EDATE(B598,1))</f>
        <v>25300</v>
      </c>
      <c r="F598" s="63" t="b">
        <f>AND(D598&gt;0,IFERROR(E598/D598&gt;=G6,FALSE()))</f>
        <v>1</v>
      </c>
      <c r="G598" s="62">
        <f t="shared" si="49"/>
        <v>459</v>
      </c>
      <c r="H598" s="62">
        <f>IF(F598,MAX(0,MIN(E598,I6*D598)-D598)*IFERROR(INDEX($C$158:$C$161,MATCH(C598,$A$158:$A$161,0)),0),0)</f>
        <v>382.5</v>
      </c>
      <c r="I598" s="62">
        <f>IF(F598,MAX(0,E598-I6*D598)*IFERROR(INDEX($D$158:$D$161,MATCH(C598,$A$158:$A$161,0)),0),0)</f>
        <v>164.50000000000003</v>
      </c>
      <c r="J598" s="62">
        <f t="shared" si="50"/>
        <v>1006</v>
      </c>
    </row>
    <row r="599" spans="1:10" ht="15" customHeight="1" outlineLevel="1" x14ac:dyDescent="0.2">
      <c r="A599" s="63" t="str">
        <f t="shared" si="53"/>
        <v>R020</v>
      </c>
      <c r="B599" s="64">
        <f>$A$1442</f>
        <v>45931</v>
      </c>
      <c r="C599" s="63" t="str">
        <f t="shared" si="54"/>
        <v>SDR / Inside Sales Rep</v>
      </c>
      <c r="D599" s="62">
        <f>SUMIFS(Fact_Quota!$D:$D,Fact_Quota!$A:$A,$A599,Fact_Quota!$B:$B,"&gt;="&amp;B599,Fact_Quota!$B:$B,"&lt;"&amp;EDATE(B599,1))</f>
        <v>15600</v>
      </c>
      <c r="E599" s="62">
        <f>SUMIFS(Fact_Pipeline!$K:$K,Fact_Pipeline!$B:$B,$A599,Fact_Pipeline!$J:$J,"Won",Fact_Pipeline!$I:$I,"&gt;="&amp;B599,Fact_Pipeline!$I:$I,"&lt;"&amp;EDATE(B599,1))</f>
        <v>12300</v>
      </c>
      <c r="F599" s="63" t="b">
        <f>AND(D599&gt;0,IFERROR(E599/D599&gt;=G6,FALSE()))</f>
        <v>1</v>
      </c>
      <c r="G599" s="62">
        <f t="shared" si="49"/>
        <v>369</v>
      </c>
      <c r="H599" s="62">
        <f>IF(F599,MAX(0,MIN(E599,I6*D599)-D599)*IFERROR(INDEX($C$158:$C$161,MATCH(C599,$A$158:$A$161,0)),0),0)</f>
        <v>0</v>
      </c>
      <c r="I599" s="62">
        <f>IF(F599,MAX(0,E599-I6*D599)*IFERROR(INDEX($D$158:$D$161,MATCH(C599,$A$158:$A$161,0)),0),0)</f>
        <v>0</v>
      </c>
      <c r="J599" s="62">
        <f t="shared" si="50"/>
        <v>369</v>
      </c>
    </row>
    <row r="600" spans="1:10" ht="15" customHeight="1" outlineLevel="1" x14ac:dyDescent="0.2">
      <c r="A600" s="63" t="str">
        <f t="shared" si="53"/>
        <v>R020</v>
      </c>
      <c r="B600" s="64">
        <f>$A$1443</f>
        <v>45962</v>
      </c>
      <c r="C600" s="63" t="str">
        <f t="shared" si="54"/>
        <v>SDR / Inside Sales Rep</v>
      </c>
      <c r="D600" s="62">
        <f>SUMIFS(Fact_Quota!$D:$D,Fact_Quota!$A:$A,$A600,Fact_Quota!$B:$B,"&gt;="&amp;B600,Fact_Quota!$B:$B,"&lt;"&amp;EDATE(B600,1))</f>
        <v>15500</v>
      </c>
      <c r="E600" s="62">
        <f>SUMIFS(Fact_Pipeline!$K:$K,Fact_Pipeline!$B:$B,$A600,Fact_Pipeline!$J:$J,"Won",Fact_Pipeline!$I:$I,"&gt;="&amp;B600,Fact_Pipeline!$I:$I,"&lt;"&amp;EDATE(B600,1))</f>
        <v>18400</v>
      </c>
      <c r="F600" s="63" t="b">
        <f>AND(D600&gt;0,IFERROR(E600/D600&gt;=G6,FALSE()))</f>
        <v>1</v>
      </c>
      <c r="G600" s="62">
        <f t="shared" si="49"/>
        <v>465</v>
      </c>
      <c r="H600" s="62">
        <f>IF(F600,MAX(0,MIN(E600,I6*D600)-D600)*IFERROR(INDEX($C$158:$C$161,MATCH(C600,$A$158:$A$161,0)),0),0)</f>
        <v>145</v>
      </c>
      <c r="I600" s="62">
        <f>IF(F600,MAX(0,E600-I6*D600)*IFERROR(INDEX($D$158:$D$161,MATCH(C600,$A$158:$A$161,0)),0),0)</f>
        <v>0</v>
      </c>
      <c r="J600" s="62">
        <f t="shared" si="50"/>
        <v>610</v>
      </c>
    </row>
    <row r="601" spans="1:10" ht="15" customHeight="1" outlineLevel="1" x14ac:dyDescent="0.2">
      <c r="A601" s="63" t="str">
        <f t="shared" si="53"/>
        <v>R020</v>
      </c>
      <c r="B601" s="64">
        <f>$A$1444</f>
        <v>45992</v>
      </c>
      <c r="C601" s="63" t="str">
        <f t="shared" si="54"/>
        <v>SDR / Inside Sales Rep</v>
      </c>
      <c r="D601" s="62">
        <f>SUMIFS(Fact_Quota!$D:$D,Fact_Quota!$A:$A,$A601,Fact_Quota!$B:$B,"&gt;="&amp;B601,Fact_Quota!$B:$B,"&lt;"&amp;EDATE(B601,1))</f>
        <v>15500</v>
      </c>
      <c r="E601" s="62">
        <f>SUMIFS(Fact_Pipeline!$K:$K,Fact_Pipeline!$B:$B,$A601,Fact_Pipeline!$J:$J,"Won",Fact_Pipeline!$I:$I,"&gt;="&amp;B601,Fact_Pipeline!$I:$I,"&lt;"&amp;EDATE(B601,1))</f>
        <v>15700</v>
      </c>
      <c r="F601" s="63" t="b">
        <f>AND(D601&gt;0,IFERROR(E601/D601&gt;=G6,FALSE()))</f>
        <v>1</v>
      </c>
      <c r="G601" s="62">
        <f t="shared" si="49"/>
        <v>465</v>
      </c>
      <c r="H601" s="62">
        <f>IF(F601,MAX(0,MIN(E601,I6*D601)-D601)*IFERROR(INDEX($C$158:$C$161,MATCH(C601,$A$158:$A$161,0)),0),0)</f>
        <v>10</v>
      </c>
      <c r="I601" s="62">
        <f>IF(F601,MAX(0,E601-I6*D601)*IFERROR(INDEX($D$158:$D$161,MATCH(C601,$A$158:$A$161,0)),0),0)</f>
        <v>0</v>
      </c>
      <c r="J601" s="62">
        <f t="shared" si="50"/>
        <v>475</v>
      </c>
    </row>
    <row r="602" spans="1:10" ht="15" customHeight="1" outlineLevel="1" x14ac:dyDescent="0.2">
      <c r="A602" s="66" t="str">
        <f t="shared" ref="A602:A625" si="55">$A$181</f>
        <v>R022</v>
      </c>
      <c r="B602" s="67">
        <f>$A$1421</f>
        <v>45292</v>
      </c>
      <c r="C602" s="66" t="str">
        <f t="shared" ref="C602:C625" si="56">$C$181</f>
        <v>SDR / Inside Sales Rep</v>
      </c>
      <c r="D602" s="65">
        <f>SUMIFS(Fact_Quota!$D:$D,Fact_Quota!$A:$A,$A602,Fact_Quota!$B:$B,"&gt;="&amp;B602,Fact_Quota!$B:$B,"&lt;"&amp;EDATE(B602,1))</f>
        <v>4100</v>
      </c>
      <c r="E602" s="65">
        <f>SUMIFS(Fact_Pipeline!$K:$K,Fact_Pipeline!$B:$B,$A602,Fact_Pipeline!$J:$J,"Won",Fact_Pipeline!$I:$I,"&gt;="&amp;B602,Fact_Pipeline!$I:$I,"&lt;"&amp;EDATE(B602,1))</f>
        <v>0</v>
      </c>
      <c r="F602" s="66" t="b">
        <f>AND(D602&gt;0,IFERROR(E602/D602&gt;=G6,FALSE()))</f>
        <v>0</v>
      </c>
      <c r="G602" s="65">
        <f t="shared" ref="G602:G665" si="57">IF(F602,MIN(E602,D602)*IFERROR(INDEX($B$158:$B$161,MATCH(C602,$A$158:$A$161,0)),0),0)</f>
        <v>0</v>
      </c>
      <c r="H602" s="65">
        <f>IF(F602,MAX(0,MIN(E602,I6*D602)-D602)*IFERROR(INDEX($C$158:$C$161,MATCH(C602,$A$158:$A$161,0)),0),0)</f>
        <v>0</v>
      </c>
      <c r="I602" s="65">
        <f>IF(F602,MAX(0,E602-I6*D602)*IFERROR(INDEX($D$158:$D$161,MATCH(C602,$A$158:$A$161,0)),0),0)</f>
        <v>0</v>
      </c>
      <c r="J602" s="65">
        <f t="shared" ref="J602:J665" si="58">G602+H602+I602</f>
        <v>0</v>
      </c>
    </row>
    <row r="603" spans="1:10" ht="15" customHeight="1" outlineLevel="1" x14ac:dyDescent="0.2">
      <c r="A603" s="66" t="str">
        <f t="shared" si="55"/>
        <v>R022</v>
      </c>
      <c r="B603" s="67">
        <f>$A$1422</f>
        <v>45323</v>
      </c>
      <c r="C603" s="66" t="str">
        <f t="shared" si="56"/>
        <v>SDR / Inside Sales Rep</v>
      </c>
      <c r="D603" s="65">
        <f>SUMIFS(Fact_Quota!$D:$D,Fact_Quota!$A:$A,$A603,Fact_Quota!$B:$B,"&gt;="&amp;B603,Fact_Quota!$B:$B,"&lt;"&amp;EDATE(B603,1))</f>
        <v>7600</v>
      </c>
      <c r="E603" s="65">
        <f>SUMIFS(Fact_Pipeline!$K:$K,Fact_Pipeline!$B:$B,$A603,Fact_Pipeline!$J:$J,"Won",Fact_Pipeline!$I:$I,"&gt;="&amp;B603,Fact_Pipeline!$I:$I,"&lt;"&amp;EDATE(B603,1))</f>
        <v>0</v>
      </c>
      <c r="F603" s="66" t="b">
        <f>AND(D603&gt;0,IFERROR(E603/D603&gt;=G6,FALSE()))</f>
        <v>0</v>
      </c>
      <c r="G603" s="65">
        <f t="shared" si="57"/>
        <v>0</v>
      </c>
      <c r="H603" s="65">
        <f>IF(F603,MAX(0,MIN(E603,I6*D603)-D603)*IFERROR(INDEX($C$158:$C$161,MATCH(C603,$A$158:$A$161,0)),0),0)</f>
        <v>0</v>
      </c>
      <c r="I603" s="65">
        <f>IF(F603,MAX(0,E603-I6*D603)*IFERROR(INDEX($D$158:$D$161,MATCH(C603,$A$158:$A$161,0)),0),0)</f>
        <v>0</v>
      </c>
      <c r="J603" s="65">
        <f t="shared" si="58"/>
        <v>0</v>
      </c>
    </row>
    <row r="604" spans="1:10" ht="15" customHeight="1" outlineLevel="1" x14ac:dyDescent="0.2">
      <c r="A604" s="66" t="str">
        <f t="shared" si="55"/>
        <v>R022</v>
      </c>
      <c r="B604" s="67">
        <f>$A$1423</f>
        <v>45352</v>
      </c>
      <c r="C604" s="66" t="str">
        <f t="shared" si="56"/>
        <v>SDR / Inside Sales Rep</v>
      </c>
      <c r="D604" s="65">
        <f>SUMIFS(Fact_Quota!$D:$D,Fact_Quota!$A:$A,$A604,Fact_Quota!$B:$B,"&gt;="&amp;B604,Fact_Quota!$B:$B,"&lt;"&amp;EDATE(B604,1))</f>
        <v>11300</v>
      </c>
      <c r="E604" s="65">
        <f>SUMIFS(Fact_Pipeline!$K:$K,Fact_Pipeline!$B:$B,$A604,Fact_Pipeline!$J:$J,"Won",Fact_Pipeline!$I:$I,"&gt;="&amp;B604,Fact_Pipeline!$I:$I,"&lt;"&amp;EDATE(B604,1))</f>
        <v>1500</v>
      </c>
      <c r="F604" s="66" t="b">
        <f>AND(D604&gt;0,IFERROR(E604/D604&gt;=G6,FALSE()))</f>
        <v>0</v>
      </c>
      <c r="G604" s="65">
        <f t="shared" si="57"/>
        <v>0</v>
      </c>
      <c r="H604" s="65">
        <f>IF(F604,MAX(0,MIN(E604,I6*D604)-D604)*IFERROR(INDEX($C$158:$C$161,MATCH(C604,$A$158:$A$161,0)),0),0)</f>
        <v>0</v>
      </c>
      <c r="I604" s="65">
        <f>IF(F604,MAX(0,E604-I6*D604)*IFERROR(INDEX($D$158:$D$161,MATCH(C604,$A$158:$A$161,0)),0),0)</f>
        <v>0</v>
      </c>
      <c r="J604" s="65">
        <f t="shared" si="58"/>
        <v>0</v>
      </c>
    </row>
    <row r="605" spans="1:10" ht="15" customHeight="1" outlineLevel="1" x14ac:dyDescent="0.2">
      <c r="A605" s="66" t="str">
        <f t="shared" si="55"/>
        <v>R022</v>
      </c>
      <c r="B605" s="67">
        <f>$A$1424</f>
        <v>45383</v>
      </c>
      <c r="C605" s="66" t="str">
        <f t="shared" si="56"/>
        <v>SDR / Inside Sales Rep</v>
      </c>
      <c r="D605" s="65">
        <f>SUMIFS(Fact_Quota!$D:$D,Fact_Quota!$A:$A,$A605,Fact_Quota!$B:$B,"&gt;="&amp;B605,Fact_Quota!$B:$B,"&lt;"&amp;EDATE(B605,1))</f>
        <v>15200</v>
      </c>
      <c r="E605" s="65">
        <f>SUMIFS(Fact_Pipeline!$K:$K,Fact_Pipeline!$B:$B,$A605,Fact_Pipeline!$J:$J,"Won",Fact_Pipeline!$I:$I,"&gt;="&amp;B605,Fact_Pipeline!$I:$I,"&lt;"&amp;EDATE(B605,1))</f>
        <v>3600</v>
      </c>
      <c r="F605" s="66" t="b">
        <f>AND(D605&gt;0,IFERROR(E605/D605&gt;=G6,FALSE()))</f>
        <v>0</v>
      </c>
      <c r="G605" s="65">
        <f t="shared" si="57"/>
        <v>0</v>
      </c>
      <c r="H605" s="65">
        <f>IF(F605,MAX(0,MIN(E605,I6*D605)-D605)*IFERROR(INDEX($C$158:$C$161,MATCH(C605,$A$158:$A$161,0)),0),0)</f>
        <v>0</v>
      </c>
      <c r="I605" s="65">
        <f>IF(F605,MAX(0,E605-I6*D605)*IFERROR(INDEX($D$158:$D$161,MATCH(C605,$A$158:$A$161,0)),0),0)</f>
        <v>0</v>
      </c>
      <c r="J605" s="65">
        <f t="shared" si="58"/>
        <v>0</v>
      </c>
    </row>
    <row r="606" spans="1:10" ht="15" customHeight="1" outlineLevel="1" x14ac:dyDescent="0.2">
      <c r="A606" s="66" t="str">
        <f t="shared" si="55"/>
        <v>R022</v>
      </c>
      <c r="B606" s="67">
        <f>$A$1425</f>
        <v>45413</v>
      </c>
      <c r="C606" s="66" t="str">
        <f t="shared" si="56"/>
        <v>SDR / Inside Sales Rep</v>
      </c>
      <c r="D606" s="65">
        <f>SUMIFS(Fact_Quota!$D:$D,Fact_Quota!$A:$A,$A606,Fact_Quota!$B:$B,"&gt;="&amp;B606,Fact_Quota!$B:$B,"&lt;"&amp;EDATE(B606,1))</f>
        <v>14500</v>
      </c>
      <c r="E606" s="65">
        <f>SUMIFS(Fact_Pipeline!$K:$K,Fact_Pipeline!$B:$B,$A606,Fact_Pipeline!$J:$J,"Won",Fact_Pipeline!$I:$I,"&gt;="&amp;B606,Fact_Pipeline!$I:$I,"&lt;"&amp;EDATE(B606,1))</f>
        <v>7900</v>
      </c>
      <c r="F606" s="66" t="b">
        <f>AND(D606&gt;0,IFERROR(E606/D606&gt;=G6,FALSE()))</f>
        <v>1</v>
      </c>
      <c r="G606" s="65">
        <f t="shared" si="57"/>
        <v>237</v>
      </c>
      <c r="H606" s="65">
        <f>IF(F606,MAX(0,MIN(E606,I6*D606)-D606)*IFERROR(INDEX($C$158:$C$161,MATCH(C606,$A$158:$A$161,0)),0),0)</f>
        <v>0</v>
      </c>
      <c r="I606" s="65">
        <f>IF(F606,MAX(0,E606-I6*D606)*IFERROR(INDEX($D$158:$D$161,MATCH(C606,$A$158:$A$161,0)),0),0)</f>
        <v>0</v>
      </c>
      <c r="J606" s="65">
        <f t="shared" si="58"/>
        <v>237</v>
      </c>
    </row>
    <row r="607" spans="1:10" ht="15" customHeight="1" outlineLevel="1" x14ac:dyDescent="0.2">
      <c r="A607" s="66" t="str">
        <f t="shared" si="55"/>
        <v>R022</v>
      </c>
      <c r="B607" s="67">
        <f>$A$1426</f>
        <v>45444</v>
      </c>
      <c r="C607" s="66" t="str">
        <f t="shared" si="56"/>
        <v>SDR / Inside Sales Rep</v>
      </c>
      <c r="D607" s="65">
        <f>SUMIFS(Fact_Quota!$D:$D,Fact_Quota!$A:$A,$A607,Fact_Quota!$B:$B,"&gt;="&amp;B607,Fact_Quota!$B:$B,"&lt;"&amp;EDATE(B607,1))</f>
        <v>15300</v>
      </c>
      <c r="E607" s="65">
        <f>SUMIFS(Fact_Pipeline!$K:$K,Fact_Pipeline!$B:$B,$A607,Fact_Pipeline!$J:$J,"Won",Fact_Pipeline!$I:$I,"&gt;="&amp;B607,Fact_Pipeline!$I:$I,"&lt;"&amp;EDATE(B607,1))</f>
        <v>0</v>
      </c>
      <c r="F607" s="66" t="b">
        <f>AND(D607&gt;0,IFERROR(E607/D607&gt;=G6,FALSE()))</f>
        <v>0</v>
      </c>
      <c r="G607" s="65">
        <f t="shared" si="57"/>
        <v>0</v>
      </c>
      <c r="H607" s="65">
        <f>IF(F607,MAX(0,MIN(E607,I6*D607)-D607)*IFERROR(INDEX($C$158:$C$161,MATCH(C607,$A$158:$A$161,0)),0),0)</f>
        <v>0</v>
      </c>
      <c r="I607" s="65">
        <f>IF(F607,MAX(0,E607-I6*D607)*IFERROR(INDEX($D$158:$D$161,MATCH(C607,$A$158:$A$161,0)),0),0)</f>
        <v>0</v>
      </c>
      <c r="J607" s="65">
        <f t="shared" si="58"/>
        <v>0</v>
      </c>
    </row>
    <row r="608" spans="1:10" ht="15" customHeight="1" outlineLevel="1" x14ac:dyDescent="0.2">
      <c r="A608" s="66" t="str">
        <f t="shared" si="55"/>
        <v>R022</v>
      </c>
      <c r="B608" s="67">
        <f>$A$1427</f>
        <v>45474</v>
      </c>
      <c r="C608" s="66" t="str">
        <f t="shared" si="56"/>
        <v>SDR / Inside Sales Rep</v>
      </c>
      <c r="D608" s="65">
        <f>SUMIFS(Fact_Quota!$D:$D,Fact_Quota!$A:$A,$A608,Fact_Quota!$B:$B,"&gt;="&amp;B608,Fact_Quota!$B:$B,"&lt;"&amp;EDATE(B608,1))</f>
        <v>15100</v>
      </c>
      <c r="E608" s="65">
        <f>SUMIFS(Fact_Pipeline!$K:$K,Fact_Pipeline!$B:$B,$A608,Fact_Pipeline!$J:$J,"Won",Fact_Pipeline!$I:$I,"&gt;="&amp;B608,Fact_Pipeline!$I:$I,"&lt;"&amp;EDATE(B608,1))</f>
        <v>23900</v>
      </c>
      <c r="F608" s="66" t="b">
        <f>AND(D608&gt;0,IFERROR(E608/D608&gt;=G6,FALSE()))</f>
        <v>1</v>
      </c>
      <c r="G608" s="65">
        <f t="shared" si="57"/>
        <v>453</v>
      </c>
      <c r="H608" s="65">
        <f>IF(F608,MAX(0,MIN(E608,I6*D608)-D608)*IFERROR(INDEX($C$158:$C$161,MATCH(C608,$A$158:$A$161,0)),0),0)</f>
        <v>377.5</v>
      </c>
      <c r="I608" s="65">
        <f>IF(F608,MAX(0,E608-I6*D608)*IFERROR(INDEX($D$158:$D$161,MATCH(C608,$A$158:$A$161,0)),0),0)</f>
        <v>87.500000000000014</v>
      </c>
      <c r="J608" s="65">
        <f t="shared" si="58"/>
        <v>918</v>
      </c>
    </row>
    <row r="609" spans="1:10" ht="15" customHeight="1" outlineLevel="1" x14ac:dyDescent="0.2">
      <c r="A609" s="66" t="str">
        <f t="shared" si="55"/>
        <v>R022</v>
      </c>
      <c r="B609" s="67">
        <f>$A$1428</f>
        <v>45505</v>
      </c>
      <c r="C609" s="66" t="str">
        <f t="shared" si="56"/>
        <v>SDR / Inside Sales Rep</v>
      </c>
      <c r="D609" s="65">
        <f>SUMIFS(Fact_Quota!$D:$D,Fact_Quota!$A:$A,$A609,Fact_Quota!$B:$B,"&gt;="&amp;B609,Fact_Quota!$B:$B,"&lt;"&amp;EDATE(B609,1))</f>
        <v>15600</v>
      </c>
      <c r="E609" s="65">
        <f>SUMIFS(Fact_Pipeline!$K:$K,Fact_Pipeline!$B:$B,$A609,Fact_Pipeline!$J:$J,"Won",Fact_Pipeline!$I:$I,"&gt;="&amp;B609,Fact_Pipeline!$I:$I,"&lt;"&amp;EDATE(B609,1))</f>
        <v>4000</v>
      </c>
      <c r="F609" s="66" t="b">
        <f>AND(D609&gt;0,IFERROR(E609/D609&gt;=G6,FALSE()))</f>
        <v>0</v>
      </c>
      <c r="G609" s="65">
        <f t="shared" si="57"/>
        <v>0</v>
      </c>
      <c r="H609" s="65">
        <f>IF(F609,MAX(0,MIN(E609,I6*D609)-D609)*IFERROR(INDEX($C$158:$C$161,MATCH(C609,$A$158:$A$161,0)),0),0)</f>
        <v>0</v>
      </c>
      <c r="I609" s="65">
        <f>IF(F609,MAX(0,E609-I6*D609)*IFERROR(INDEX($D$158:$D$161,MATCH(C609,$A$158:$A$161,0)),0),0)</f>
        <v>0</v>
      </c>
      <c r="J609" s="65">
        <f t="shared" si="58"/>
        <v>0</v>
      </c>
    </row>
    <row r="610" spans="1:10" ht="15" customHeight="1" outlineLevel="1" x14ac:dyDescent="0.2">
      <c r="A610" s="66" t="str">
        <f t="shared" si="55"/>
        <v>R022</v>
      </c>
      <c r="B610" s="67">
        <f>$A$1429</f>
        <v>45536</v>
      </c>
      <c r="C610" s="66" t="str">
        <f t="shared" si="56"/>
        <v>SDR / Inside Sales Rep</v>
      </c>
      <c r="D610" s="65">
        <f>SUMIFS(Fact_Quota!$D:$D,Fact_Quota!$A:$A,$A610,Fact_Quota!$B:$B,"&gt;="&amp;B610,Fact_Quota!$B:$B,"&lt;"&amp;EDATE(B610,1))</f>
        <v>15700</v>
      </c>
      <c r="E610" s="65">
        <f>SUMIFS(Fact_Pipeline!$K:$K,Fact_Pipeline!$B:$B,$A610,Fact_Pipeline!$J:$J,"Won",Fact_Pipeline!$I:$I,"&gt;="&amp;B610,Fact_Pipeline!$I:$I,"&lt;"&amp;EDATE(B610,1))</f>
        <v>10800</v>
      </c>
      <c r="F610" s="66" t="b">
        <f>AND(D610&gt;0,IFERROR(E610/D610&gt;=G6,FALSE()))</f>
        <v>1</v>
      </c>
      <c r="G610" s="65">
        <f t="shared" si="57"/>
        <v>324</v>
      </c>
      <c r="H610" s="65">
        <f>IF(F610,MAX(0,MIN(E610,I6*D610)-D610)*IFERROR(INDEX($C$158:$C$161,MATCH(C610,$A$158:$A$161,0)),0),0)</f>
        <v>0</v>
      </c>
      <c r="I610" s="65">
        <f>IF(F610,MAX(0,E610-I6*D610)*IFERROR(INDEX($D$158:$D$161,MATCH(C610,$A$158:$A$161,0)),0),0)</f>
        <v>0</v>
      </c>
      <c r="J610" s="65">
        <f t="shared" si="58"/>
        <v>324</v>
      </c>
    </row>
    <row r="611" spans="1:10" ht="15" customHeight="1" outlineLevel="1" x14ac:dyDescent="0.2">
      <c r="A611" s="66" t="str">
        <f t="shared" si="55"/>
        <v>R022</v>
      </c>
      <c r="B611" s="67">
        <f>$A$1430</f>
        <v>45566</v>
      </c>
      <c r="C611" s="66" t="str">
        <f t="shared" si="56"/>
        <v>SDR / Inside Sales Rep</v>
      </c>
      <c r="D611" s="65">
        <f>SUMIFS(Fact_Quota!$D:$D,Fact_Quota!$A:$A,$A611,Fact_Quota!$B:$B,"&gt;="&amp;B611,Fact_Quota!$B:$B,"&lt;"&amp;EDATE(B611,1))</f>
        <v>16400</v>
      </c>
      <c r="E611" s="65">
        <f>SUMIFS(Fact_Pipeline!$K:$K,Fact_Pipeline!$B:$B,$A611,Fact_Pipeline!$J:$J,"Won",Fact_Pipeline!$I:$I,"&gt;="&amp;B611,Fact_Pipeline!$I:$I,"&lt;"&amp;EDATE(B611,1))</f>
        <v>14900</v>
      </c>
      <c r="F611" s="66" t="b">
        <f>AND(D611&gt;0,IFERROR(E611/D611&gt;=G6,FALSE()))</f>
        <v>1</v>
      </c>
      <c r="G611" s="65">
        <f t="shared" si="57"/>
        <v>447</v>
      </c>
      <c r="H611" s="65">
        <f>IF(F611,MAX(0,MIN(E611,I6*D611)-D611)*IFERROR(INDEX($C$158:$C$161,MATCH(C611,$A$158:$A$161,0)),0),0)</f>
        <v>0</v>
      </c>
      <c r="I611" s="65">
        <f>IF(F611,MAX(0,E611-I6*D611)*IFERROR(INDEX($D$158:$D$161,MATCH(C611,$A$158:$A$161,0)),0),0)</f>
        <v>0</v>
      </c>
      <c r="J611" s="65">
        <f t="shared" si="58"/>
        <v>447</v>
      </c>
    </row>
    <row r="612" spans="1:10" ht="15" customHeight="1" outlineLevel="1" x14ac:dyDescent="0.2">
      <c r="A612" s="66" t="str">
        <f t="shared" si="55"/>
        <v>R022</v>
      </c>
      <c r="B612" s="67">
        <f>$A$1431</f>
        <v>45597</v>
      </c>
      <c r="C612" s="66" t="str">
        <f t="shared" si="56"/>
        <v>SDR / Inside Sales Rep</v>
      </c>
      <c r="D612" s="65">
        <f>SUMIFS(Fact_Quota!$D:$D,Fact_Quota!$A:$A,$A612,Fact_Quota!$B:$B,"&gt;="&amp;B612,Fact_Quota!$B:$B,"&lt;"&amp;EDATE(B612,1))</f>
        <v>15900</v>
      </c>
      <c r="E612" s="65">
        <f>SUMIFS(Fact_Pipeline!$K:$K,Fact_Pipeline!$B:$B,$A612,Fact_Pipeline!$J:$J,"Won",Fact_Pipeline!$I:$I,"&gt;="&amp;B612,Fact_Pipeline!$I:$I,"&lt;"&amp;EDATE(B612,1))</f>
        <v>13500</v>
      </c>
      <c r="F612" s="66" t="b">
        <f>AND(D612&gt;0,IFERROR(E612/D612&gt;=G6,FALSE()))</f>
        <v>1</v>
      </c>
      <c r="G612" s="65">
        <f t="shared" si="57"/>
        <v>405</v>
      </c>
      <c r="H612" s="65">
        <f>IF(F612,MAX(0,MIN(E612,I6*D612)-D612)*IFERROR(INDEX($C$158:$C$161,MATCH(C612,$A$158:$A$161,0)),0),0)</f>
        <v>0</v>
      </c>
      <c r="I612" s="65">
        <f>IF(F612,MAX(0,E612-I6*D612)*IFERROR(INDEX($D$158:$D$161,MATCH(C612,$A$158:$A$161,0)),0),0)</f>
        <v>0</v>
      </c>
      <c r="J612" s="65">
        <f t="shared" si="58"/>
        <v>405</v>
      </c>
    </row>
    <row r="613" spans="1:10" ht="15" customHeight="1" outlineLevel="1" x14ac:dyDescent="0.2">
      <c r="A613" s="66" t="str">
        <f t="shared" si="55"/>
        <v>R022</v>
      </c>
      <c r="B613" s="67">
        <f>$A$1432</f>
        <v>45627</v>
      </c>
      <c r="C613" s="66" t="str">
        <f t="shared" si="56"/>
        <v>SDR / Inside Sales Rep</v>
      </c>
      <c r="D613" s="65">
        <f>SUMIFS(Fact_Quota!$D:$D,Fact_Quota!$A:$A,$A613,Fact_Quota!$B:$B,"&gt;="&amp;B613,Fact_Quota!$B:$B,"&lt;"&amp;EDATE(B613,1))</f>
        <v>15200</v>
      </c>
      <c r="E613" s="65">
        <f>SUMIFS(Fact_Pipeline!$K:$K,Fact_Pipeline!$B:$B,$A613,Fact_Pipeline!$J:$J,"Won",Fact_Pipeline!$I:$I,"&gt;="&amp;B613,Fact_Pipeline!$I:$I,"&lt;"&amp;EDATE(B613,1))</f>
        <v>12700</v>
      </c>
      <c r="F613" s="66" t="b">
        <f>AND(D613&gt;0,IFERROR(E613/D613&gt;=G6,FALSE()))</f>
        <v>1</v>
      </c>
      <c r="G613" s="65">
        <f t="shared" si="57"/>
        <v>381</v>
      </c>
      <c r="H613" s="65">
        <f>IF(F613,MAX(0,MIN(E613,I6*D613)-D613)*IFERROR(INDEX($C$158:$C$161,MATCH(C613,$A$158:$A$161,0)),0),0)</f>
        <v>0</v>
      </c>
      <c r="I613" s="65">
        <f>IF(F613,MAX(0,E613-I6*D613)*IFERROR(INDEX($D$158:$D$161,MATCH(C613,$A$158:$A$161,0)),0),0)</f>
        <v>0</v>
      </c>
      <c r="J613" s="65">
        <f t="shared" si="58"/>
        <v>381</v>
      </c>
    </row>
    <row r="614" spans="1:10" ht="15" customHeight="1" outlineLevel="1" x14ac:dyDescent="0.2">
      <c r="A614" s="66" t="str">
        <f t="shared" si="55"/>
        <v>R022</v>
      </c>
      <c r="B614" s="67">
        <f>$A$1433</f>
        <v>45658</v>
      </c>
      <c r="C614" s="66" t="str">
        <f t="shared" si="56"/>
        <v>SDR / Inside Sales Rep</v>
      </c>
      <c r="D614" s="65">
        <f>SUMIFS(Fact_Quota!$D:$D,Fact_Quota!$A:$A,$A614,Fact_Quota!$B:$B,"&gt;="&amp;B614,Fact_Quota!$B:$B,"&lt;"&amp;EDATE(B614,1))</f>
        <v>15100</v>
      </c>
      <c r="E614" s="65">
        <f>SUMIFS(Fact_Pipeline!$K:$K,Fact_Pipeline!$B:$B,$A614,Fact_Pipeline!$J:$J,"Won",Fact_Pipeline!$I:$I,"&gt;="&amp;B614,Fact_Pipeline!$I:$I,"&lt;"&amp;EDATE(B614,1))</f>
        <v>18300</v>
      </c>
      <c r="F614" s="66" t="b">
        <f>AND(D614&gt;0,IFERROR(E614/D614&gt;=G6,FALSE()))</f>
        <v>1</v>
      </c>
      <c r="G614" s="65">
        <f t="shared" si="57"/>
        <v>453</v>
      </c>
      <c r="H614" s="65">
        <f>IF(F614,MAX(0,MIN(E614,I6*D614)-D614)*IFERROR(INDEX($C$158:$C$161,MATCH(C614,$A$158:$A$161,0)),0),0)</f>
        <v>160</v>
      </c>
      <c r="I614" s="65">
        <f>IF(F614,MAX(0,E614-I6*D614)*IFERROR(INDEX($D$158:$D$161,MATCH(C614,$A$158:$A$161,0)),0),0)</f>
        <v>0</v>
      </c>
      <c r="J614" s="65">
        <f t="shared" si="58"/>
        <v>613</v>
      </c>
    </row>
    <row r="615" spans="1:10" ht="15" customHeight="1" outlineLevel="1" x14ac:dyDescent="0.2">
      <c r="A615" s="66" t="str">
        <f t="shared" si="55"/>
        <v>R022</v>
      </c>
      <c r="B615" s="67">
        <f>$A$1434</f>
        <v>45689</v>
      </c>
      <c r="C615" s="66" t="str">
        <f t="shared" si="56"/>
        <v>SDR / Inside Sales Rep</v>
      </c>
      <c r="D615" s="65">
        <f>SUMIFS(Fact_Quota!$D:$D,Fact_Quota!$A:$A,$A615,Fact_Quota!$B:$B,"&gt;="&amp;B615,Fact_Quota!$B:$B,"&lt;"&amp;EDATE(B615,1))</f>
        <v>15700</v>
      </c>
      <c r="E615" s="65">
        <f>SUMIFS(Fact_Pipeline!$K:$K,Fact_Pipeline!$B:$B,$A615,Fact_Pipeline!$J:$J,"Won",Fact_Pipeline!$I:$I,"&gt;="&amp;B615,Fact_Pipeline!$I:$I,"&lt;"&amp;EDATE(B615,1))</f>
        <v>7800</v>
      </c>
      <c r="F615" s="66" t="b">
        <f>AND(D615&gt;0,IFERROR(E615/D615&gt;=G6,FALSE()))</f>
        <v>0</v>
      </c>
      <c r="G615" s="65">
        <f t="shared" si="57"/>
        <v>0</v>
      </c>
      <c r="H615" s="65">
        <f>IF(F615,MAX(0,MIN(E615,I6*D615)-D615)*IFERROR(INDEX($C$158:$C$161,MATCH(C615,$A$158:$A$161,0)),0),0)</f>
        <v>0</v>
      </c>
      <c r="I615" s="65">
        <f>IF(F615,MAX(0,E615-I6*D615)*IFERROR(INDEX($D$158:$D$161,MATCH(C615,$A$158:$A$161,0)),0),0)</f>
        <v>0</v>
      </c>
      <c r="J615" s="65">
        <f t="shared" si="58"/>
        <v>0</v>
      </c>
    </row>
    <row r="616" spans="1:10" ht="15" customHeight="1" outlineLevel="1" x14ac:dyDescent="0.2">
      <c r="A616" s="66" t="str">
        <f t="shared" si="55"/>
        <v>R022</v>
      </c>
      <c r="B616" s="67">
        <f>$A$1435</f>
        <v>45717</v>
      </c>
      <c r="C616" s="66" t="str">
        <f t="shared" si="56"/>
        <v>SDR / Inside Sales Rep</v>
      </c>
      <c r="D616" s="65">
        <f>SUMIFS(Fact_Quota!$D:$D,Fact_Quota!$A:$A,$A616,Fact_Quota!$B:$B,"&gt;="&amp;B616,Fact_Quota!$B:$B,"&lt;"&amp;EDATE(B616,1))</f>
        <v>14900</v>
      </c>
      <c r="E616" s="65">
        <f>SUMIFS(Fact_Pipeline!$K:$K,Fact_Pipeline!$B:$B,$A616,Fact_Pipeline!$J:$J,"Won",Fact_Pipeline!$I:$I,"&gt;="&amp;B616,Fact_Pipeline!$I:$I,"&lt;"&amp;EDATE(B616,1))</f>
        <v>12100</v>
      </c>
      <c r="F616" s="66" t="b">
        <f>AND(D616&gt;0,IFERROR(E616/D616&gt;=G6,FALSE()))</f>
        <v>1</v>
      </c>
      <c r="G616" s="65">
        <f t="shared" si="57"/>
        <v>363</v>
      </c>
      <c r="H616" s="65">
        <f>IF(F616,MAX(0,MIN(E616,I6*D616)-D616)*IFERROR(INDEX($C$158:$C$161,MATCH(C616,$A$158:$A$161,0)),0),0)</f>
        <v>0</v>
      </c>
      <c r="I616" s="65">
        <f>IF(F616,MAX(0,E616-I6*D616)*IFERROR(INDEX($D$158:$D$161,MATCH(C616,$A$158:$A$161,0)),0),0)</f>
        <v>0</v>
      </c>
      <c r="J616" s="65">
        <f t="shared" si="58"/>
        <v>363</v>
      </c>
    </row>
    <row r="617" spans="1:10" ht="15" customHeight="1" outlineLevel="1" x14ac:dyDescent="0.2">
      <c r="A617" s="66" t="str">
        <f t="shared" si="55"/>
        <v>R022</v>
      </c>
      <c r="B617" s="67">
        <f>$A$1436</f>
        <v>45748</v>
      </c>
      <c r="C617" s="66" t="str">
        <f t="shared" si="56"/>
        <v>SDR / Inside Sales Rep</v>
      </c>
      <c r="D617" s="65">
        <f>SUMIFS(Fact_Quota!$D:$D,Fact_Quota!$A:$A,$A617,Fact_Quota!$B:$B,"&gt;="&amp;B617,Fact_Quota!$B:$B,"&lt;"&amp;EDATE(B617,1))</f>
        <v>16400</v>
      </c>
      <c r="E617" s="65">
        <f>SUMIFS(Fact_Pipeline!$K:$K,Fact_Pipeline!$B:$B,$A617,Fact_Pipeline!$J:$J,"Won",Fact_Pipeline!$I:$I,"&gt;="&amp;B617,Fact_Pipeline!$I:$I,"&lt;"&amp;EDATE(B617,1))</f>
        <v>18900</v>
      </c>
      <c r="F617" s="66" t="b">
        <f>AND(D617&gt;0,IFERROR(E617/D617&gt;=G6,FALSE()))</f>
        <v>1</v>
      </c>
      <c r="G617" s="65">
        <f t="shared" si="57"/>
        <v>492</v>
      </c>
      <c r="H617" s="65">
        <f>IF(F617,MAX(0,MIN(E617,I6*D617)-D617)*IFERROR(INDEX($C$158:$C$161,MATCH(C617,$A$158:$A$161,0)),0),0)</f>
        <v>125</v>
      </c>
      <c r="I617" s="65">
        <f>IF(F617,MAX(0,E617-I6*D617)*IFERROR(INDEX($D$158:$D$161,MATCH(C617,$A$158:$A$161,0)),0),0)</f>
        <v>0</v>
      </c>
      <c r="J617" s="65">
        <f t="shared" si="58"/>
        <v>617</v>
      </c>
    </row>
    <row r="618" spans="1:10" ht="15" customHeight="1" outlineLevel="1" x14ac:dyDescent="0.2">
      <c r="A618" s="66" t="str">
        <f t="shared" si="55"/>
        <v>R022</v>
      </c>
      <c r="B618" s="67">
        <f>$A$1437</f>
        <v>45778</v>
      </c>
      <c r="C618" s="66" t="str">
        <f t="shared" si="56"/>
        <v>SDR / Inside Sales Rep</v>
      </c>
      <c r="D618" s="65">
        <f>SUMIFS(Fact_Quota!$D:$D,Fact_Quota!$A:$A,$A618,Fact_Quota!$B:$B,"&gt;="&amp;B618,Fact_Quota!$B:$B,"&lt;"&amp;EDATE(B618,1))</f>
        <v>16000</v>
      </c>
      <c r="E618" s="65">
        <f>SUMIFS(Fact_Pipeline!$K:$K,Fact_Pipeline!$B:$B,$A618,Fact_Pipeline!$J:$J,"Won",Fact_Pipeline!$I:$I,"&gt;="&amp;B618,Fact_Pipeline!$I:$I,"&lt;"&amp;EDATE(B618,1))</f>
        <v>19500</v>
      </c>
      <c r="F618" s="66" t="b">
        <f>AND(D618&gt;0,IFERROR(E618/D618&gt;=G6,FALSE()))</f>
        <v>1</v>
      </c>
      <c r="G618" s="65">
        <f t="shared" si="57"/>
        <v>480</v>
      </c>
      <c r="H618" s="65">
        <f>IF(F618,MAX(0,MIN(E618,I6*D618)-D618)*IFERROR(INDEX($C$158:$C$161,MATCH(C618,$A$158:$A$161,0)),0),0)</f>
        <v>175</v>
      </c>
      <c r="I618" s="65">
        <f>IF(F618,MAX(0,E618-I6*D618)*IFERROR(INDEX($D$158:$D$161,MATCH(C618,$A$158:$A$161,0)),0),0)</f>
        <v>0</v>
      </c>
      <c r="J618" s="65">
        <f t="shared" si="58"/>
        <v>655</v>
      </c>
    </row>
    <row r="619" spans="1:10" ht="15" customHeight="1" outlineLevel="1" x14ac:dyDescent="0.2">
      <c r="A619" s="66" t="str">
        <f t="shared" si="55"/>
        <v>R022</v>
      </c>
      <c r="B619" s="67">
        <f>$A$1438</f>
        <v>45809</v>
      </c>
      <c r="C619" s="66" t="str">
        <f t="shared" si="56"/>
        <v>SDR / Inside Sales Rep</v>
      </c>
      <c r="D619" s="65">
        <f>SUMIFS(Fact_Quota!$D:$D,Fact_Quota!$A:$A,$A619,Fact_Quota!$B:$B,"&gt;="&amp;B619,Fact_Quota!$B:$B,"&lt;"&amp;EDATE(B619,1))</f>
        <v>15300</v>
      </c>
      <c r="E619" s="65">
        <f>SUMIFS(Fact_Pipeline!$K:$K,Fact_Pipeline!$B:$B,$A619,Fact_Pipeline!$J:$J,"Won",Fact_Pipeline!$I:$I,"&gt;="&amp;B619,Fact_Pipeline!$I:$I,"&lt;"&amp;EDATE(B619,1))</f>
        <v>8600</v>
      </c>
      <c r="F619" s="66" t="b">
        <f>AND(D619&gt;0,IFERROR(E619/D619&gt;=G6,FALSE()))</f>
        <v>1</v>
      </c>
      <c r="G619" s="65">
        <f t="shared" si="57"/>
        <v>258</v>
      </c>
      <c r="H619" s="65">
        <f>IF(F619,MAX(0,MIN(E619,I6*D619)-D619)*IFERROR(INDEX($C$158:$C$161,MATCH(C619,$A$158:$A$161,0)),0),0)</f>
        <v>0</v>
      </c>
      <c r="I619" s="65">
        <f>IF(F619,MAX(0,E619-I6*D619)*IFERROR(INDEX($D$158:$D$161,MATCH(C619,$A$158:$A$161,0)),0),0)</f>
        <v>0</v>
      </c>
      <c r="J619" s="65">
        <f t="shared" si="58"/>
        <v>258</v>
      </c>
    </row>
    <row r="620" spans="1:10" ht="15" customHeight="1" outlineLevel="1" x14ac:dyDescent="0.2">
      <c r="A620" s="66" t="str">
        <f t="shared" si="55"/>
        <v>R022</v>
      </c>
      <c r="B620" s="67">
        <f>$A$1439</f>
        <v>45839</v>
      </c>
      <c r="C620" s="66" t="str">
        <f t="shared" si="56"/>
        <v>SDR / Inside Sales Rep</v>
      </c>
      <c r="D620" s="65">
        <f>SUMIFS(Fact_Quota!$D:$D,Fact_Quota!$A:$A,$A620,Fact_Quota!$B:$B,"&gt;="&amp;B620,Fact_Quota!$B:$B,"&lt;"&amp;EDATE(B620,1))</f>
        <v>14700</v>
      </c>
      <c r="E620" s="65">
        <f>SUMIFS(Fact_Pipeline!$K:$K,Fact_Pipeline!$B:$B,$A620,Fact_Pipeline!$J:$J,"Won",Fact_Pipeline!$I:$I,"&gt;="&amp;B620,Fact_Pipeline!$I:$I,"&lt;"&amp;EDATE(B620,1))</f>
        <v>10500</v>
      </c>
      <c r="F620" s="66" t="b">
        <f>AND(D620&gt;0,IFERROR(E620/D620&gt;=G6,FALSE()))</f>
        <v>1</v>
      </c>
      <c r="G620" s="65">
        <f t="shared" si="57"/>
        <v>315</v>
      </c>
      <c r="H620" s="65">
        <f>IF(F620,MAX(0,MIN(E620,I6*D620)-D620)*IFERROR(INDEX($C$158:$C$161,MATCH(C620,$A$158:$A$161,0)),0),0)</f>
        <v>0</v>
      </c>
      <c r="I620" s="65">
        <f>IF(F620,MAX(0,E620-I6*D620)*IFERROR(INDEX($D$158:$D$161,MATCH(C620,$A$158:$A$161,0)),0),0)</f>
        <v>0</v>
      </c>
      <c r="J620" s="65">
        <f t="shared" si="58"/>
        <v>315</v>
      </c>
    </row>
    <row r="621" spans="1:10" ht="15" customHeight="1" outlineLevel="1" x14ac:dyDescent="0.2">
      <c r="A621" s="66" t="str">
        <f t="shared" si="55"/>
        <v>R022</v>
      </c>
      <c r="B621" s="67">
        <f>$A$1440</f>
        <v>45870</v>
      </c>
      <c r="C621" s="66" t="str">
        <f t="shared" si="56"/>
        <v>SDR / Inside Sales Rep</v>
      </c>
      <c r="D621" s="65">
        <f>SUMIFS(Fact_Quota!$D:$D,Fact_Quota!$A:$A,$A621,Fact_Quota!$B:$B,"&gt;="&amp;B621,Fact_Quota!$B:$B,"&lt;"&amp;EDATE(B621,1))</f>
        <v>16100</v>
      </c>
      <c r="E621" s="65">
        <f>SUMIFS(Fact_Pipeline!$K:$K,Fact_Pipeline!$B:$B,$A621,Fact_Pipeline!$J:$J,"Won",Fact_Pipeline!$I:$I,"&gt;="&amp;B621,Fact_Pipeline!$I:$I,"&lt;"&amp;EDATE(B621,1))</f>
        <v>25000</v>
      </c>
      <c r="F621" s="66" t="b">
        <f>AND(D621&gt;0,IFERROR(E621/D621&gt;=G6,FALSE()))</f>
        <v>1</v>
      </c>
      <c r="G621" s="65">
        <f t="shared" si="57"/>
        <v>483</v>
      </c>
      <c r="H621" s="65">
        <f>IF(F621,MAX(0,MIN(E621,I6*D621)-D621)*IFERROR(INDEX($C$158:$C$161,MATCH(C621,$A$158:$A$161,0)),0),0)</f>
        <v>402.5</v>
      </c>
      <c r="I621" s="65">
        <f>IF(F621,MAX(0,E621-I6*D621)*IFERROR(INDEX($D$158:$D$161,MATCH(C621,$A$158:$A$161,0)),0),0)</f>
        <v>59.500000000000007</v>
      </c>
      <c r="J621" s="65">
        <f t="shared" si="58"/>
        <v>945</v>
      </c>
    </row>
    <row r="622" spans="1:10" ht="15" customHeight="1" outlineLevel="1" x14ac:dyDescent="0.2">
      <c r="A622" s="66" t="str">
        <f t="shared" si="55"/>
        <v>R022</v>
      </c>
      <c r="B622" s="67">
        <f>$A$1441</f>
        <v>45901</v>
      </c>
      <c r="C622" s="66" t="str">
        <f t="shared" si="56"/>
        <v>SDR / Inside Sales Rep</v>
      </c>
      <c r="D622" s="65">
        <f>SUMIFS(Fact_Quota!$D:$D,Fact_Quota!$A:$A,$A622,Fact_Quota!$B:$B,"&gt;="&amp;B622,Fact_Quota!$B:$B,"&lt;"&amp;EDATE(B622,1))</f>
        <v>15400</v>
      </c>
      <c r="E622" s="65">
        <f>SUMIFS(Fact_Pipeline!$K:$K,Fact_Pipeline!$B:$B,$A622,Fact_Pipeline!$J:$J,"Won",Fact_Pipeline!$I:$I,"&gt;="&amp;B622,Fact_Pipeline!$I:$I,"&lt;"&amp;EDATE(B622,1))</f>
        <v>12900</v>
      </c>
      <c r="F622" s="66" t="b">
        <f>AND(D622&gt;0,IFERROR(E622/D622&gt;=G6,FALSE()))</f>
        <v>1</v>
      </c>
      <c r="G622" s="65">
        <f t="shared" si="57"/>
        <v>387</v>
      </c>
      <c r="H622" s="65">
        <f>IF(F622,MAX(0,MIN(E622,I6*D622)-D622)*IFERROR(INDEX($C$158:$C$161,MATCH(C622,$A$158:$A$161,0)),0),0)</f>
        <v>0</v>
      </c>
      <c r="I622" s="65">
        <f>IF(F622,MAX(0,E622-I6*D622)*IFERROR(INDEX($D$158:$D$161,MATCH(C622,$A$158:$A$161,0)),0),0)</f>
        <v>0</v>
      </c>
      <c r="J622" s="65">
        <f t="shared" si="58"/>
        <v>387</v>
      </c>
    </row>
    <row r="623" spans="1:10" ht="15" customHeight="1" outlineLevel="1" x14ac:dyDescent="0.2">
      <c r="A623" s="66" t="str">
        <f t="shared" si="55"/>
        <v>R022</v>
      </c>
      <c r="B623" s="67">
        <f>$A$1442</f>
        <v>45931</v>
      </c>
      <c r="C623" s="66" t="str">
        <f t="shared" si="56"/>
        <v>SDR / Inside Sales Rep</v>
      </c>
      <c r="D623" s="65">
        <f>SUMIFS(Fact_Quota!$D:$D,Fact_Quota!$A:$A,$A623,Fact_Quota!$B:$B,"&gt;="&amp;B623,Fact_Quota!$B:$B,"&lt;"&amp;EDATE(B623,1))</f>
        <v>16100</v>
      </c>
      <c r="E623" s="65">
        <f>SUMIFS(Fact_Pipeline!$K:$K,Fact_Pipeline!$B:$B,$A623,Fact_Pipeline!$J:$J,"Won",Fact_Pipeline!$I:$I,"&gt;="&amp;B623,Fact_Pipeline!$I:$I,"&lt;"&amp;EDATE(B623,1))</f>
        <v>6600</v>
      </c>
      <c r="F623" s="66" t="b">
        <f>AND(D623&gt;0,IFERROR(E623/D623&gt;=G6,FALSE()))</f>
        <v>0</v>
      </c>
      <c r="G623" s="65">
        <f t="shared" si="57"/>
        <v>0</v>
      </c>
      <c r="H623" s="65">
        <f>IF(F623,MAX(0,MIN(E623,I6*D623)-D623)*IFERROR(INDEX($C$158:$C$161,MATCH(C623,$A$158:$A$161,0)),0),0)</f>
        <v>0</v>
      </c>
      <c r="I623" s="65">
        <f>IF(F623,MAX(0,E623-I6*D623)*IFERROR(INDEX($D$158:$D$161,MATCH(C623,$A$158:$A$161,0)),0),0)</f>
        <v>0</v>
      </c>
      <c r="J623" s="65">
        <f t="shared" si="58"/>
        <v>0</v>
      </c>
    </row>
    <row r="624" spans="1:10" ht="15" customHeight="1" outlineLevel="1" x14ac:dyDescent="0.2">
      <c r="A624" s="66" t="str">
        <f t="shared" si="55"/>
        <v>R022</v>
      </c>
      <c r="B624" s="67">
        <f>$A$1443</f>
        <v>45962</v>
      </c>
      <c r="C624" s="66" t="str">
        <f t="shared" si="56"/>
        <v>SDR / Inside Sales Rep</v>
      </c>
      <c r="D624" s="65">
        <f>SUMIFS(Fact_Quota!$D:$D,Fact_Quota!$A:$A,$A624,Fact_Quota!$B:$B,"&gt;="&amp;B624,Fact_Quota!$B:$B,"&lt;"&amp;EDATE(B624,1))</f>
        <v>14800</v>
      </c>
      <c r="E624" s="65">
        <f>SUMIFS(Fact_Pipeline!$K:$K,Fact_Pipeline!$B:$B,$A624,Fact_Pipeline!$J:$J,"Won",Fact_Pipeline!$I:$I,"&gt;="&amp;B624,Fact_Pipeline!$I:$I,"&lt;"&amp;EDATE(B624,1))</f>
        <v>19800</v>
      </c>
      <c r="F624" s="66" t="b">
        <f>AND(D624&gt;0,IFERROR(E624/D624&gt;=G6,FALSE()))</f>
        <v>1</v>
      </c>
      <c r="G624" s="65">
        <f t="shared" si="57"/>
        <v>444</v>
      </c>
      <c r="H624" s="65">
        <f>IF(F624,MAX(0,MIN(E624,I6*D624)-D624)*IFERROR(INDEX($C$158:$C$161,MATCH(C624,$A$158:$A$161,0)),0),0)</f>
        <v>250</v>
      </c>
      <c r="I624" s="65">
        <f>IF(F624,MAX(0,E624-I6*D624)*IFERROR(INDEX($D$158:$D$161,MATCH(C624,$A$158:$A$161,0)),0),0)</f>
        <v>0</v>
      </c>
      <c r="J624" s="65">
        <f t="shared" si="58"/>
        <v>694</v>
      </c>
    </row>
    <row r="625" spans="1:10" ht="15" customHeight="1" outlineLevel="1" x14ac:dyDescent="0.2">
      <c r="A625" s="66" t="str">
        <f t="shared" si="55"/>
        <v>R022</v>
      </c>
      <c r="B625" s="67">
        <f>$A$1444</f>
        <v>45992</v>
      </c>
      <c r="C625" s="66" t="str">
        <f t="shared" si="56"/>
        <v>SDR / Inside Sales Rep</v>
      </c>
      <c r="D625" s="65">
        <f>SUMIFS(Fact_Quota!$D:$D,Fact_Quota!$A:$A,$A625,Fact_Quota!$B:$B,"&gt;="&amp;B625,Fact_Quota!$B:$B,"&lt;"&amp;EDATE(B625,1))</f>
        <v>15200</v>
      </c>
      <c r="E625" s="65">
        <f>SUMIFS(Fact_Pipeline!$K:$K,Fact_Pipeline!$B:$B,$A625,Fact_Pipeline!$J:$J,"Won",Fact_Pipeline!$I:$I,"&gt;="&amp;B625,Fact_Pipeline!$I:$I,"&lt;"&amp;EDATE(B625,1))</f>
        <v>22200</v>
      </c>
      <c r="F625" s="66" t="b">
        <f>AND(D625&gt;0,IFERROR(E625/D625&gt;=G6,FALSE()))</f>
        <v>1</v>
      </c>
      <c r="G625" s="65">
        <f t="shared" si="57"/>
        <v>456</v>
      </c>
      <c r="H625" s="65">
        <f>IF(F625,MAX(0,MIN(E625,I6*D625)-D625)*IFERROR(INDEX($C$158:$C$161,MATCH(C625,$A$158:$A$161,0)),0),0)</f>
        <v>350</v>
      </c>
      <c r="I625" s="65">
        <f>IF(F625,MAX(0,E625-I6*D625)*IFERROR(INDEX($D$158:$D$161,MATCH(C625,$A$158:$A$161,0)),0),0)</f>
        <v>0</v>
      </c>
      <c r="J625" s="65">
        <f t="shared" si="58"/>
        <v>806</v>
      </c>
    </row>
    <row r="626" spans="1:10" ht="15" customHeight="1" outlineLevel="1" x14ac:dyDescent="0.2">
      <c r="A626" s="63" t="str">
        <f t="shared" ref="A626:A649" si="59">$A$182</f>
        <v>R023</v>
      </c>
      <c r="B626" s="64">
        <f>$A$1421</f>
        <v>45292</v>
      </c>
      <c r="C626" s="63" t="str">
        <f t="shared" ref="C626:C649" si="60">$C$182</f>
        <v>SDR / Inside Sales Rep</v>
      </c>
      <c r="D626" s="62">
        <f>SUMIFS(Fact_Quota!$D:$D,Fact_Quota!$A:$A,$A626,Fact_Quota!$B:$B,"&gt;="&amp;B626,Fact_Quota!$B:$B,"&lt;"&amp;EDATE(B626,1))</f>
        <v>15500</v>
      </c>
      <c r="E626" s="62">
        <f>SUMIFS(Fact_Pipeline!$K:$K,Fact_Pipeline!$B:$B,$A626,Fact_Pipeline!$J:$J,"Won",Fact_Pipeline!$I:$I,"&gt;="&amp;B626,Fact_Pipeline!$I:$I,"&lt;"&amp;EDATE(B626,1))</f>
        <v>0</v>
      </c>
      <c r="F626" s="63" t="b">
        <f>AND(D626&gt;0,IFERROR(E626/D626&gt;=G6,FALSE()))</f>
        <v>0</v>
      </c>
      <c r="G626" s="62">
        <f t="shared" si="57"/>
        <v>0</v>
      </c>
      <c r="H626" s="62">
        <f>IF(F626,MAX(0,MIN(E626,I6*D626)-D626)*IFERROR(INDEX($C$158:$C$161,MATCH(C626,$A$158:$A$161,0)),0),0)</f>
        <v>0</v>
      </c>
      <c r="I626" s="62">
        <f>IF(F626,MAX(0,E626-I6*D626)*IFERROR(INDEX($D$158:$D$161,MATCH(C626,$A$158:$A$161,0)),0),0)</f>
        <v>0</v>
      </c>
      <c r="J626" s="62">
        <f t="shared" si="58"/>
        <v>0</v>
      </c>
    </row>
    <row r="627" spans="1:10" ht="15" customHeight="1" outlineLevel="1" x14ac:dyDescent="0.2">
      <c r="A627" s="63" t="str">
        <f t="shared" si="59"/>
        <v>R023</v>
      </c>
      <c r="B627" s="64">
        <f>$A$1422</f>
        <v>45323</v>
      </c>
      <c r="C627" s="63" t="str">
        <f t="shared" si="60"/>
        <v>SDR / Inside Sales Rep</v>
      </c>
      <c r="D627" s="62">
        <f>SUMIFS(Fact_Quota!$D:$D,Fact_Quota!$A:$A,$A627,Fact_Quota!$B:$B,"&gt;="&amp;B627,Fact_Quota!$B:$B,"&lt;"&amp;EDATE(B627,1))</f>
        <v>15500</v>
      </c>
      <c r="E627" s="62">
        <f>SUMIFS(Fact_Pipeline!$K:$K,Fact_Pipeline!$B:$B,$A627,Fact_Pipeline!$J:$J,"Won",Fact_Pipeline!$I:$I,"&gt;="&amp;B627,Fact_Pipeline!$I:$I,"&lt;"&amp;EDATE(B627,1))</f>
        <v>9600</v>
      </c>
      <c r="F627" s="63" t="b">
        <f>AND(D627&gt;0,IFERROR(E627/D627&gt;=G6,FALSE()))</f>
        <v>1</v>
      </c>
      <c r="G627" s="62">
        <f t="shared" si="57"/>
        <v>288</v>
      </c>
      <c r="H627" s="62">
        <f>IF(F627,MAX(0,MIN(E627,I6*D627)-D627)*IFERROR(INDEX($C$158:$C$161,MATCH(C627,$A$158:$A$161,0)),0),0)</f>
        <v>0</v>
      </c>
      <c r="I627" s="62">
        <f>IF(F627,MAX(0,E627-I6*D627)*IFERROR(INDEX($D$158:$D$161,MATCH(C627,$A$158:$A$161,0)),0),0)</f>
        <v>0</v>
      </c>
      <c r="J627" s="62">
        <f t="shared" si="58"/>
        <v>288</v>
      </c>
    </row>
    <row r="628" spans="1:10" ht="15" customHeight="1" outlineLevel="1" x14ac:dyDescent="0.2">
      <c r="A628" s="63" t="str">
        <f t="shared" si="59"/>
        <v>R023</v>
      </c>
      <c r="B628" s="64">
        <f>$A$1423</f>
        <v>45352</v>
      </c>
      <c r="C628" s="63" t="str">
        <f t="shared" si="60"/>
        <v>SDR / Inside Sales Rep</v>
      </c>
      <c r="D628" s="62">
        <f>SUMIFS(Fact_Quota!$D:$D,Fact_Quota!$A:$A,$A628,Fact_Quota!$B:$B,"&gt;="&amp;B628,Fact_Quota!$B:$B,"&lt;"&amp;EDATE(B628,1))</f>
        <v>15300</v>
      </c>
      <c r="E628" s="62">
        <f>SUMIFS(Fact_Pipeline!$K:$K,Fact_Pipeline!$B:$B,$A628,Fact_Pipeline!$J:$J,"Won",Fact_Pipeline!$I:$I,"&gt;="&amp;B628,Fact_Pipeline!$I:$I,"&lt;"&amp;EDATE(B628,1))</f>
        <v>27000</v>
      </c>
      <c r="F628" s="63" t="b">
        <f>AND(D628&gt;0,IFERROR(E628/D628&gt;=G6,FALSE()))</f>
        <v>1</v>
      </c>
      <c r="G628" s="62">
        <f t="shared" si="57"/>
        <v>459</v>
      </c>
      <c r="H628" s="62">
        <f>IF(F628,MAX(0,MIN(E628,I6*D628)-D628)*IFERROR(INDEX($C$158:$C$161,MATCH(C628,$A$158:$A$161,0)),0),0)</f>
        <v>382.5</v>
      </c>
      <c r="I628" s="62">
        <f>IF(F628,MAX(0,E628-I6*D628)*IFERROR(INDEX($D$158:$D$161,MATCH(C628,$A$158:$A$161,0)),0),0)</f>
        <v>283.5</v>
      </c>
      <c r="J628" s="62">
        <f t="shared" si="58"/>
        <v>1125</v>
      </c>
    </row>
    <row r="629" spans="1:10" ht="15" customHeight="1" outlineLevel="1" x14ac:dyDescent="0.2">
      <c r="A629" s="63" t="str">
        <f t="shared" si="59"/>
        <v>R023</v>
      </c>
      <c r="B629" s="64">
        <f>$A$1424</f>
        <v>45383</v>
      </c>
      <c r="C629" s="63" t="str">
        <f t="shared" si="60"/>
        <v>SDR / Inside Sales Rep</v>
      </c>
      <c r="D629" s="62">
        <f>SUMIFS(Fact_Quota!$D:$D,Fact_Quota!$A:$A,$A629,Fact_Quota!$B:$B,"&gt;="&amp;B629,Fact_Quota!$B:$B,"&lt;"&amp;EDATE(B629,1))</f>
        <v>15800</v>
      </c>
      <c r="E629" s="62">
        <f>SUMIFS(Fact_Pipeline!$K:$K,Fact_Pipeline!$B:$B,$A629,Fact_Pipeline!$J:$J,"Won",Fact_Pipeline!$I:$I,"&gt;="&amp;B629,Fact_Pipeline!$I:$I,"&lt;"&amp;EDATE(B629,1))</f>
        <v>19700</v>
      </c>
      <c r="F629" s="63" t="b">
        <f>AND(D629&gt;0,IFERROR(E629/D629&gt;=G6,FALSE()))</f>
        <v>1</v>
      </c>
      <c r="G629" s="62">
        <f t="shared" si="57"/>
        <v>474</v>
      </c>
      <c r="H629" s="62">
        <f>IF(F629,MAX(0,MIN(E629,I6*D629)-D629)*IFERROR(INDEX($C$158:$C$161,MATCH(C629,$A$158:$A$161,0)),0),0)</f>
        <v>195</v>
      </c>
      <c r="I629" s="62">
        <f>IF(F629,MAX(0,E629-I6*D629)*IFERROR(INDEX($D$158:$D$161,MATCH(C629,$A$158:$A$161,0)),0),0)</f>
        <v>0</v>
      </c>
      <c r="J629" s="62">
        <f t="shared" si="58"/>
        <v>669</v>
      </c>
    </row>
    <row r="630" spans="1:10" ht="15" customHeight="1" outlineLevel="1" x14ac:dyDescent="0.2">
      <c r="A630" s="63" t="str">
        <f t="shared" si="59"/>
        <v>R023</v>
      </c>
      <c r="B630" s="64">
        <f>$A$1425</f>
        <v>45413</v>
      </c>
      <c r="C630" s="63" t="str">
        <f t="shared" si="60"/>
        <v>SDR / Inside Sales Rep</v>
      </c>
      <c r="D630" s="62">
        <f>SUMIFS(Fact_Quota!$D:$D,Fact_Quota!$A:$A,$A630,Fact_Quota!$B:$B,"&gt;="&amp;B630,Fact_Quota!$B:$B,"&lt;"&amp;EDATE(B630,1))</f>
        <v>15000</v>
      </c>
      <c r="E630" s="62">
        <f>SUMIFS(Fact_Pipeline!$K:$K,Fact_Pipeline!$B:$B,$A630,Fact_Pipeline!$J:$J,"Won",Fact_Pipeline!$I:$I,"&gt;="&amp;B630,Fact_Pipeline!$I:$I,"&lt;"&amp;EDATE(B630,1))</f>
        <v>5700</v>
      </c>
      <c r="F630" s="63" t="b">
        <f>AND(D630&gt;0,IFERROR(E630/D630&gt;=G6,FALSE()))</f>
        <v>0</v>
      </c>
      <c r="G630" s="62">
        <f t="shared" si="57"/>
        <v>0</v>
      </c>
      <c r="H630" s="62">
        <f>IF(F630,MAX(0,MIN(E630,I6*D630)-D630)*IFERROR(INDEX($C$158:$C$161,MATCH(C630,$A$158:$A$161,0)),0),0)</f>
        <v>0</v>
      </c>
      <c r="I630" s="62">
        <f>IF(F630,MAX(0,E630-I6*D630)*IFERROR(INDEX($D$158:$D$161,MATCH(C630,$A$158:$A$161,0)),0),0)</f>
        <v>0</v>
      </c>
      <c r="J630" s="62">
        <f t="shared" si="58"/>
        <v>0</v>
      </c>
    </row>
    <row r="631" spans="1:10" ht="15" customHeight="1" outlineLevel="1" x14ac:dyDescent="0.2">
      <c r="A631" s="63" t="str">
        <f t="shared" si="59"/>
        <v>R023</v>
      </c>
      <c r="B631" s="64">
        <f>$A$1426</f>
        <v>45444</v>
      </c>
      <c r="C631" s="63" t="str">
        <f t="shared" si="60"/>
        <v>SDR / Inside Sales Rep</v>
      </c>
      <c r="D631" s="62">
        <f>SUMIFS(Fact_Quota!$D:$D,Fact_Quota!$A:$A,$A631,Fact_Quota!$B:$B,"&gt;="&amp;B631,Fact_Quota!$B:$B,"&lt;"&amp;EDATE(B631,1))</f>
        <v>15400</v>
      </c>
      <c r="E631" s="62">
        <f>SUMIFS(Fact_Pipeline!$K:$K,Fact_Pipeline!$B:$B,$A631,Fact_Pipeline!$J:$J,"Won",Fact_Pipeline!$I:$I,"&gt;="&amp;B631,Fact_Pipeline!$I:$I,"&lt;"&amp;EDATE(B631,1))</f>
        <v>12900</v>
      </c>
      <c r="F631" s="63" t="b">
        <f>AND(D631&gt;0,IFERROR(E631/D631&gt;=G6,FALSE()))</f>
        <v>1</v>
      </c>
      <c r="G631" s="62">
        <f t="shared" si="57"/>
        <v>387</v>
      </c>
      <c r="H631" s="62">
        <f>IF(F631,MAX(0,MIN(E631,I6*D631)-D631)*IFERROR(INDEX($C$158:$C$161,MATCH(C631,$A$158:$A$161,0)),0),0)</f>
        <v>0</v>
      </c>
      <c r="I631" s="62">
        <f>IF(F631,MAX(0,E631-I6*D631)*IFERROR(INDEX($D$158:$D$161,MATCH(C631,$A$158:$A$161,0)),0),0)</f>
        <v>0</v>
      </c>
      <c r="J631" s="62">
        <f t="shared" si="58"/>
        <v>387</v>
      </c>
    </row>
    <row r="632" spans="1:10" ht="15" customHeight="1" outlineLevel="1" x14ac:dyDescent="0.2">
      <c r="A632" s="63" t="str">
        <f t="shared" si="59"/>
        <v>R023</v>
      </c>
      <c r="B632" s="64">
        <f>$A$1427</f>
        <v>45474</v>
      </c>
      <c r="C632" s="63" t="str">
        <f t="shared" si="60"/>
        <v>SDR / Inside Sales Rep</v>
      </c>
      <c r="D632" s="62">
        <f>SUMIFS(Fact_Quota!$D:$D,Fact_Quota!$A:$A,$A632,Fact_Quota!$B:$B,"&gt;="&amp;B632,Fact_Quota!$B:$B,"&lt;"&amp;EDATE(B632,1))</f>
        <v>15600</v>
      </c>
      <c r="E632" s="62">
        <f>SUMIFS(Fact_Pipeline!$K:$K,Fact_Pipeline!$B:$B,$A632,Fact_Pipeline!$J:$J,"Won",Fact_Pipeline!$I:$I,"&gt;="&amp;B632,Fact_Pipeline!$I:$I,"&lt;"&amp;EDATE(B632,1))</f>
        <v>10700</v>
      </c>
      <c r="F632" s="63" t="b">
        <f>AND(D632&gt;0,IFERROR(E632/D632&gt;=G6,FALSE()))</f>
        <v>1</v>
      </c>
      <c r="G632" s="62">
        <f t="shared" si="57"/>
        <v>321</v>
      </c>
      <c r="H632" s="62">
        <f>IF(F632,MAX(0,MIN(E632,I6*D632)-D632)*IFERROR(INDEX($C$158:$C$161,MATCH(C632,$A$158:$A$161,0)),0),0)</f>
        <v>0</v>
      </c>
      <c r="I632" s="62">
        <f>IF(F632,MAX(0,E632-I6*D632)*IFERROR(INDEX($D$158:$D$161,MATCH(C632,$A$158:$A$161,0)),0),0)</f>
        <v>0</v>
      </c>
      <c r="J632" s="62">
        <f t="shared" si="58"/>
        <v>321</v>
      </c>
    </row>
    <row r="633" spans="1:10" ht="15" customHeight="1" outlineLevel="1" x14ac:dyDescent="0.2">
      <c r="A633" s="63" t="str">
        <f t="shared" si="59"/>
        <v>R023</v>
      </c>
      <c r="B633" s="64">
        <f>$A$1428</f>
        <v>45505</v>
      </c>
      <c r="C633" s="63" t="str">
        <f t="shared" si="60"/>
        <v>SDR / Inside Sales Rep</v>
      </c>
      <c r="D633" s="62">
        <f>SUMIFS(Fact_Quota!$D:$D,Fact_Quota!$A:$A,$A633,Fact_Quota!$B:$B,"&gt;="&amp;B633,Fact_Quota!$B:$B,"&lt;"&amp;EDATE(B633,1))</f>
        <v>15700</v>
      </c>
      <c r="E633" s="62">
        <f>SUMIFS(Fact_Pipeline!$K:$K,Fact_Pipeline!$B:$B,$A633,Fact_Pipeline!$J:$J,"Won",Fact_Pipeline!$I:$I,"&gt;="&amp;B633,Fact_Pipeline!$I:$I,"&lt;"&amp;EDATE(B633,1))</f>
        <v>0</v>
      </c>
      <c r="F633" s="63" t="b">
        <f>AND(D633&gt;0,IFERROR(E633/D633&gt;=G6,FALSE()))</f>
        <v>0</v>
      </c>
      <c r="G633" s="62">
        <f t="shared" si="57"/>
        <v>0</v>
      </c>
      <c r="H633" s="62">
        <f>IF(F633,MAX(0,MIN(E633,I6*D633)-D633)*IFERROR(INDEX($C$158:$C$161,MATCH(C633,$A$158:$A$161,0)),0),0)</f>
        <v>0</v>
      </c>
      <c r="I633" s="62">
        <f>IF(F633,MAX(0,E633-I6*D633)*IFERROR(INDEX($D$158:$D$161,MATCH(C633,$A$158:$A$161,0)),0),0)</f>
        <v>0</v>
      </c>
      <c r="J633" s="62">
        <f t="shared" si="58"/>
        <v>0</v>
      </c>
    </row>
    <row r="634" spans="1:10" ht="15" customHeight="1" outlineLevel="1" x14ac:dyDescent="0.2">
      <c r="A634" s="63" t="str">
        <f t="shared" si="59"/>
        <v>R023</v>
      </c>
      <c r="B634" s="64">
        <f>$A$1429</f>
        <v>45536</v>
      </c>
      <c r="C634" s="63" t="str">
        <f t="shared" si="60"/>
        <v>SDR / Inside Sales Rep</v>
      </c>
      <c r="D634" s="62">
        <f>SUMIFS(Fact_Quota!$D:$D,Fact_Quota!$A:$A,$A634,Fact_Quota!$B:$B,"&gt;="&amp;B634,Fact_Quota!$B:$B,"&lt;"&amp;EDATE(B634,1))</f>
        <v>15800</v>
      </c>
      <c r="E634" s="62">
        <f>SUMIFS(Fact_Pipeline!$K:$K,Fact_Pipeline!$B:$B,$A634,Fact_Pipeline!$J:$J,"Won",Fact_Pipeline!$I:$I,"&gt;="&amp;B634,Fact_Pipeline!$I:$I,"&lt;"&amp;EDATE(B634,1))</f>
        <v>8700</v>
      </c>
      <c r="F634" s="63" t="b">
        <f>AND(D634&gt;0,IFERROR(E634/D634&gt;=G6,FALSE()))</f>
        <v>1</v>
      </c>
      <c r="G634" s="62">
        <f t="shared" si="57"/>
        <v>261</v>
      </c>
      <c r="H634" s="62">
        <f>IF(F634,MAX(0,MIN(E634,I6*D634)-D634)*IFERROR(INDEX($C$158:$C$161,MATCH(C634,$A$158:$A$161,0)),0),0)</f>
        <v>0</v>
      </c>
      <c r="I634" s="62">
        <f>IF(F634,MAX(0,E634-I6*D634)*IFERROR(INDEX($D$158:$D$161,MATCH(C634,$A$158:$A$161,0)),0),0)</f>
        <v>0</v>
      </c>
      <c r="J634" s="62">
        <f t="shared" si="58"/>
        <v>261</v>
      </c>
    </row>
    <row r="635" spans="1:10" ht="15" customHeight="1" outlineLevel="1" x14ac:dyDescent="0.2">
      <c r="A635" s="63" t="str">
        <f t="shared" si="59"/>
        <v>R023</v>
      </c>
      <c r="B635" s="64">
        <f>$A$1430</f>
        <v>45566</v>
      </c>
      <c r="C635" s="63" t="str">
        <f t="shared" si="60"/>
        <v>SDR / Inside Sales Rep</v>
      </c>
      <c r="D635" s="62">
        <f>SUMIFS(Fact_Quota!$D:$D,Fact_Quota!$A:$A,$A635,Fact_Quota!$B:$B,"&gt;="&amp;B635,Fact_Quota!$B:$B,"&lt;"&amp;EDATE(B635,1))</f>
        <v>15000</v>
      </c>
      <c r="E635" s="62">
        <f>SUMIFS(Fact_Pipeline!$K:$K,Fact_Pipeline!$B:$B,$A635,Fact_Pipeline!$J:$J,"Won",Fact_Pipeline!$I:$I,"&gt;="&amp;B635,Fact_Pipeline!$I:$I,"&lt;"&amp;EDATE(B635,1))</f>
        <v>20700</v>
      </c>
      <c r="F635" s="63" t="b">
        <f>AND(D635&gt;0,IFERROR(E635/D635&gt;=G6,FALSE()))</f>
        <v>1</v>
      </c>
      <c r="G635" s="62">
        <f t="shared" si="57"/>
        <v>450</v>
      </c>
      <c r="H635" s="62">
        <f>IF(F635,MAX(0,MIN(E635,I6*D635)-D635)*IFERROR(INDEX($C$158:$C$161,MATCH(C635,$A$158:$A$161,0)),0),0)</f>
        <v>285</v>
      </c>
      <c r="I635" s="62">
        <f>IF(F635,MAX(0,E635-I6*D635)*IFERROR(INDEX($D$158:$D$161,MATCH(C635,$A$158:$A$161,0)),0),0)</f>
        <v>0</v>
      </c>
      <c r="J635" s="62">
        <f t="shared" si="58"/>
        <v>735</v>
      </c>
    </row>
    <row r="636" spans="1:10" ht="15" customHeight="1" outlineLevel="1" x14ac:dyDescent="0.2">
      <c r="A636" s="63" t="str">
        <f t="shared" si="59"/>
        <v>R023</v>
      </c>
      <c r="B636" s="64">
        <f>$A$1431</f>
        <v>45597</v>
      </c>
      <c r="C636" s="63" t="str">
        <f t="shared" si="60"/>
        <v>SDR / Inside Sales Rep</v>
      </c>
      <c r="D636" s="62">
        <f>SUMIFS(Fact_Quota!$D:$D,Fact_Quota!$A:$A,$A636,Fact_Quota!$B:$B,"&gt;="&amp;B636,Fact_Quota!$B:$B,"&lt;"&amp;EDATE(B636,1))</f>
        <v>14800</v>
      </c>
      <c r="E636" s="62">
        <f>SUMIFS(Fact_Pipeline!$K:$K,Fact_Pipeline!$B:$B,$A636,Fact_Pipeline!$J:$J,"Won",Fact_Pipeline!$I:$I,"&gt;="&amp;B636,Fact_Pipeline!$I:$I,"&lt;"&amp;EDATE(B636,1))</f>
        <v>32000</v>
      </c>
      <c r="F636" s="63" t="b">
        <f>AND(D636&gt;0,IFERROR(E636/D636&gt;=G6,FALSE()))</f>
        <v>1</v>
      </c>
      <c r="G636" s="62">
        <f t="shared" si="57"/>
        <v>444</v>
      </c>
      <c r="H636" s="62">
        <f>IF(F636,MAX(0,MIN(E636,I6*D636)-D636)*IFERROR(INDEX($C$158:$C$161,MATCH(C636,$A$158:$A$161,0)),0),0)</f>
        <v>370</v>
      </c>
      <c r="I636" s="62">
        <f>IF(F636,MAX(0,E636-I6*D636)*IFERROR(INDEX($D$158:$D$161,MATCH(C636,$A$158:$A$161,0)),0),0)</f>
        <v>686.00000000000011</v>
      </c>
      <c r="J636" s="62">
        <f t="shared" si="58"/>
        <v>1500</v>
      </c>
    </row>
    <row r="637" spans="1:10" ht="15" customHeight="1" outlineLevel="1" x14ac:dyDescent="0.2">
      <c r="A637" s="63" t="str">
        <f t="shared" si="59"/>
        <v>R023</v>
      </c>
      <c r="B637" s="64">
        <f>$A$1432</f>
        <v>45627</v>
      </c>
      <c r="C637" s="63" t="str">
        <f t="shared" si="60"/>
        <v>SDR / Inside Sales Rep</v>
      </c>
      <c r="D637" s="62">
        <f>SUMIFS(Fact_Quota!$D:$D,Fact_Quota!$A:$A,$A637,Fact_Quota!$B:$B,"&gt;="&amp;B637,Fact_Quota!$B:$B,"&lt;"&amp;EDATE(B637,1))</f>
        <v>16100</v>
      </c>
      <c r="E637" s="62">
        <f>SUMIFS(Fact_Pipeline!$K:$K,Fact_Pipeline!$B:$B,$A637,Fact_Pipeline!$J:$J,"Won",Fact_Pipeline!$I:$I,"&gt;="&amp;B637,Fact_Pipeline!$I:$I,"&lt;"&amp;EDATE(B637,1))</f>
        <v>8900</v>
      </c>
      <c r="F637" s="63" t="b">
        <f>AND(D637&gt;0,IFERROR(E637/D637&gt;=G6,FALSE()))</f>
        <v>1</v>
      </c>
      <c r="G637" s="62">
        <f t="shared" si="57"/>
        <v>267</v>
      </c>
      <c r="H637" s="62">
        <f>IF(F637,MAX(0,MIN(E637,I6*D637)-D637)*IFERROR(INDEX($C$158:$C$161,MATCH(C637,$A$158:$A$161,0)),0),0)</f>
        <v>0</v>
      </c>
      <c r="I637" s="62">
        <f>IF(F637,MAX(0,E637-I6*D637)*IFERROR(INDEX($D$158:$D$161,MATCH(C637,$A$158:$A$161,0)),0),0)</f>
        <v>0</v>
      </c>
      <c r="J637" s="62">
        <f t="shared" si="58"/>
        <v>267</v>
      </c>
    </row>
    <row r="638" spans="1:10" ht="15" customHeight="1" outlineLevel="1" x14ac:dyDescent="0.2">
      <c r="A638" s="63" t="str">
        <f t="shared" si="59"/>
        <v>R023</v>
      </c>
      <c r="B638" s="64">
        <f>$A$1433</f>
        <v>45658</v>
      </c>
      <c r="C638" s="63" t="str">
        <f t="shared" si="60"/>
        <v>SDR / Inside Sales Rep</v>
      </c>
      <c r="D638" s="62">
        <f>SUMIFS(Fact_Quota!$D:$D,Fact_Quota!$A:$A,$A638,Fact_Quota!$B:$B,"&gt;="&amp;B638,Fact_Quota!$B:$B,"&lt;"&amp;EDATE(B638,1))</f>
        <v>15700</v>
      </c>
      <c r="E638" s="62">
        <f>SUMIFS(Fact_Pipeline!$K:$K,Fact_Pipeline!$B:$B,$A638,Fact_Pipeline!$J:$J,"Won",Fact_Pipeline!$I:$I,"&gt;="&amp;B638,Fact_Pipeline!$I:$I,"&lt;"&amp;EDATE(B638,1))</f>
        <v>18600</v>
      </c>
      <c r="F638" s="63" t="b">
        <f>AND(D638&gt;0,IFERROR(E638/D638&gt;=G6,FALSE()))</f>
        <v>1</v>
      </c>
      <c r="G638" s="62">
        <f t="shared" si="57"/>
        <v>471</v>
      </c>
      <c r="H638" s="62">
        <f>IF(F638,MAX(0,MIN(E638,I6*D638)-D638)*IFERROR(INDEX($C$158:$C$161,MATCH(C638,$A$158:$A$161,0)),0),0)</f>
        <v>145</v>
      </c>
      <c r="I638" s="62">
        <f>IF(F638,MAX(0,E638-I6*D638)*IFERROR(INDEX($D$158:$D$161,MATCH(C638,$A$158:$A$161,0)),0),0)</f>
        <v>0</v>
      </c>
      <c r="J638" s="62">
        <f t="shared" si="58"/>
        <v>616</v>
      </c>
    </row>
    <row r="639" spans="1:10" ht="15" customHeight="1" outlineLevel="1" x14ac:dyDescent="0.2">
      <c r="A639" s="63" t="str">
        <f t="shared" si="59"/>
        <v>R023</v>
      </c>
      <c r="B639" s="64">
        <f>$A$1434</f>
        <v>45689</v>
      </c>
      <c r="C639" s="63" t="str">
        <f t="shared" si="60"/>
        <v>SDR / Inside Sales Rep</v>
      </c>
      <c r="D639" s="62">
        <f>SUMIFS(Fact_Quota!$D:$D,Fact_Quota!$A:$A,$A639,Fact_Quota!$B:$B,"&gt;="&amp;B639,Fact_Quota!$B:$B,"&lt;"&amp;EDATE(B639,1))</f>
        <v>15200</v>
      </c>
      <c r="E639" s="62">
        <f>SUMIFS(Fact_Pipeline!$K:$K,Fact_Pipeline!$B:$B,$A639,Fact_Pipeline!$J:$J,"Won",Fact_Pipeline!$I:$I,"&gt;="&amp;B639,Fact_Pipeline!$I:$I,"&lt;"&amp;EDATE(B639,1))</f>
        <v>25000</v>
      </c>
      <c r="F639" s="63" t="b">
        <f>AND(D639&gt;0,IFERROR(E639/D639&gt;=G6,FALSE()))</f>
        <v>1</v>
      </c>
      <c r="G639" s="62">
        <f t="shared" si="57"/>
        <v>456</v>
      </c>
      <c r="H639" s="62">
        <f>IF(F639,MAX(0,MIN(E639,I6*D639)-D639)*IFERROR(INDEX($C$158:$C$161,MATCH(C639,$A$158:$A$161,0)),0),0)</f>
        <v>380</v>
      </c>
      <c r="I639" s="62">
        <f>IF(F639,MAX(0,E639-I6*D639)*IFERROR(INDEX($D$158:$D$161,MATCH(C639,$A$158:$A$161,0)),0),0)</f>
        <v>154.00000000000003</v>
      </c>
      <c r="J639" s="62">
        <f t="shared" si="58"/>
        <v>990</v>
      </c>
    </row>
    <row r="640" spans="1:10" ht="15" customHeight="1" outlineLevel="1" x14ac:dyDescent="0.2">
      <c r="A640" s="63" t="str">
        <f t="shared" si="59"/>
        <v>R023</v>
      </c>
      <c r="B640" s="64">
        <f>$A$1435</f>
        <v>45717</v>
      </c>
      <c r="C640" s="63" t="str">
        <f t="shared" si="60"/>
        <v>SDR / Inside Sales Rep</v>
      </c>
      <c r="D640" s="62">
        <f>SUMIFS(Fact_Quota!$D:$D,Fact_Quota!$A:$A,$A640,Fact_Quota!$B:$B,"&gt;="&amp;B640,Fact_Quota!$B:$B,"&lt;"&amp;EDATE(B640,1))</f>
        <v>16200</v>
      </c>
      <c r="E640" s="62">
        <f>SUMIFS(Fact_Pipeline!$K:$K,Fact_Pipeline!$B:$B,$A640,Fact_Pipeline!$J:$J,"Won",Fact_Pipeline!$I:$I,"&gt;="&amp;B640,Fact_Pipeline!$I:$I,"&lt;"&amp;EDATE(B640,1))</f>
        <v>11700</v>
      </c>
      <c r="F640" s="63" t="b">
        <f>AND(D640&gt;0,IFERROR(E640/D640&gt;=G6,FALSE()))</f>
        <v>1</v>
      </c>
      <c r="G640" s="62">
        <f t="shared" si="57"/>
        <v>351</v>
      </c>
      <c r="H640" s="62">
        <f>IF(F640,MAX(0,MIN(E640,I6*D640)-D640)*IFERROR(INDEX($C$158:$C$161,MATCH(C640,$A$158:$A$161,0)),0),0)</f>
        <v>0</v>
      </c>
      <c r="I640" s="62">
        <f>IF(F640,MAX(0,E640-I6*D640)*IFERROR(INDEX($D$158:$D$161,MATCH(C640,$A$158:$A$161,0)),0),0)</f>
        <v>0</v>
      </c>
      <c r="J640" s="62">
        <f t="shared" si="58"/>
        <v>351</v>
      </c>
    </row>
    <row r="641" spans="1:10" ht="15" customHeight="1" outlineLevel="1" x14ac:dyDescent="0.2">
      <c r="A641" s="63" t="str">
        <f t="shared" si="59"/>
        <v>R023</v>
      </c>
      <c r="B641" s="64">
        <f>$A$1436</f>
        <v>45748</v>
      </c>
      <c r="C641" s="63" t="str">
        <f t="shared" si="60"/>
        <v>SDR / Inside Sales Rep</v>
      </c>
      <c r="D641" s="62">
        <f>SUMIFS(Fact_Quota!$D:$D,Fact_Quota!$A:$A,$A641,Fact_Quota!$B:$B,"&gt;="&amp;B641,Fact_Quota!$B:$B,"&lt;"&amp;EDATE(B641,1))</f>
        <v>15600</v>
      </c>
      <c r="E641" s="62">
        <f>SUMIFS(Fact_Pipeline!$K:$K,Fact_Pipeline!$B:$B,$A641,Fact_Pipeline!$J:$J,"Won",Fact_Pipeline!$I:$I,"&gt;="&amp;B641,Fact_Pipeline!$I:$I,"&lt;"&amp;EDATE(B641,1))</f>
        <v>2900</v>
      </c>
      <c r="F641" s="63" t="b">
        <f>AND(D641&gt;0,IFERROR(E641/D641&gt;=G6,FALSE()))</f>
        <v>0</v>
      </c>
      <c r="G641" s="62">
        <f t="shared" si="57"/>
        <v>0</v>
      </c>
      <c r="H641" s="62">
        <f>IF(F641,MAX(0,MIN(E641,I6*D641)-D641)*IFERROR(INDEX($C$158:$C$161,MATCH(C641,$A$158:$A$161,0)),0),0)</f>
        <v>0</v>
      </c>
      <c r="I641" s="62">
        <f>IF(F641,MAX(0,E641-I6*D641)*IFERROR(INDEX($D$158:$D$161,MATCH(C641,$A$158:$A$161,0)),0),0)</f>
        <v>0</v>
      </c>
      <c r="J641" s="62">
        <f t="shared" si="58"/>
        <v>0</v>
      </c>
    </row>
    <row r="642" spans="1:10" ht="15" customHeight="1" outlineLevel="1" x14ac:dyDescent="0.2">
      <c r="A642" s="63" t="str">
        <f t="shared" si="59"/>
        <v>R023</v>
      </c>
      <c r="B642" s="64">
        <f>$A$1437</f>
        <v>45778</v>
      </c>
      <c r="C642" s="63" t="str">
        <f t="shared" si="60"/>
        <v>SDR / Inside Sales Rep</v>
      </c>
      <c r="D642" s="62">
        <f>SUMIFS(Fact_Quota!$D:$D,Fact_Quota!$A:$A,$A642,Fact_Quota!$B:$B,"&gt;="&amp;B642,Fact_Quota!$B:$B,"&lt;"&amp;EDATE(B642,1))</f>
        <v>16000</v>
      </c>
      <c r="E642" s="62">
        <f>SUMIFS(Fact_Pipeline!$K:$K,Fact_Pipeline!$B:$B,$A642,Fact_Pipeline!$J:$J,"Won",Fact_Pipeline!$I:$I,"&gt;="&amp;B642,Fact_Pipeline!$I:$I,"&lt;"&amp;EDATE(B642,1))</f>
        <v>26300</v>
      </c>
      <c r="F642" s="63" t="b">
        <f>AND(D642&gt;0,IFERROR(E642/D642&gt;=G6,FALSE()))</f>
        <v>1</v>
      </c>
      <c r="G642" s="62">
        <f t="shared" si="57"/>
        <v>480</v>
      </c>
      <c r="H642" s="62">
        <f>IF(F642,MAX(0,MIN(E642,I6*D642)-D642)*IFERROR(INDEX($C$158:$C$161,MATCH(C642,$A$158:$A$161,0)),0),0)</f>
        <v>400</v>
      </c>
      <c r="I642" s="62">
        <f>IF(F642,MAX(0,E642-I6*D642)*IFERROR(INDEX($D$158:$D$161,MATCH(C642,$A$158:$A$161,0)),0),0)</f>
        <v>161.00000000000003</v>
      </c>
      <c r="J642" s="62">
        <f t="shared" si="58"/>
        <v>1041</v>
      </c>
    </row>
    <row r="643" spans="1:10" ht="15" customHeight="1" outlineLevel="1" x14ac:dyDescent="0.2">
      <c r="A643" s="63" t="str">
        <f t="shared" si="59"/>
        <v>R023</v>
      </c>
      <c r="B643" s="64">
        <f>$A$1438</f>
        <v>45809</v>
      </c>
      <c r="C643" s="63" t="str">
        <f t="shared" si="60"/>
        <v>SDR / Inside Sales Rep</v>
      </c>
      <c r="D643" s="62">
        <f>SUMIFS(Fact_Quota!$D:$D,Fact_Quota!$A:$A,$A643,Fact_Quota!$B:$B,"&gt;="&amp;B643,Fact_Quota!$B:$B,"&lt;"&amp;EDATE(B643,1))</f>
        <v>15500</v>
      </c>
      <c r="E643" s="62">
        <f>SUMIFS(Fact_Pipeline!$K:$K,Fact_Pipeline!$B:$B,$A643,Fact_Pipeline!$J:$J,"Won",Fact_Pipeline!$I:$I,"&gt;="&amp;B643,Fact_Pipeline!$I:$I,"&lt;"&amp;EDATE(B643,1))</f>
        <v>6700</v>
      </c>
      <c r="F643" s="63" t="b">
        <f>AND(D643&gt;0,IFERROR(E643/D643&gt;=G6,FALSE()))</f>
        <v>0</v>
      </c>
      <c r="G643" s="62">
        <f t="shared" si="57"/>
        <v>0</v>
      </c>
      <c r="H643" s="62">
        <f>IF(F643,MAX(0,MIN(E643,I6*D643)-D643)*IFERROR(INDEX($C$158:$C$161,MATCH(C643,$A$158:$A$161,0)),0),0)</f>
        <v>0</v>
      </c>
      <c r="I643" s="62">
        <f>IF(F643,MAX(0,E643-I6*D643)*IFERROR(INDEX($D$158:$D$161,MATCH(C643,$A$158:$A$161,0)),0),0)</f>
        <v>0</v>
      </c>
      <c r="J643" s="62">
        <f t="shared" si="58"/>
        <v>0</v>
      </c>
    </row>
    <row r="644" spans="1:10" ht="15" customHeight="1" outlineLevel="1" x14ac:dyDescent="0.2">
      <c r="A644" s="63" t="str">
        <f t="shared" si="59"/>
        <v>R023</v>
      </c>
      <c r="B644" s="64">
        <f>$A$1439</f>
        <v>45839</v>
      </c>
      <c r="C644" s="63" t="str">
        <f t="shared" si="60"/>
        <v>SDR / Inside Sales Rep</v>
      </c>
      <c r="D644" s="62">
        <f>SUMIFS(Fact_Quota!$D:$D,Fact_Quota!$A:$A,$A644,Fact_Quota!$B:$B,"&gt;="&amp;B644,Fact_Quota!$B:$B,"&lt;"&amp;EDATE(B644,1))</f>
        <v>16500</v>
      </c>
      <c r="E644" s="62">
        <f>SUMIFS(Fact_Pipeline!$K:$K,Fact_Pipeline!$B:$B,$A644,Fact_Pipeline!$J:$J,"Won",Fact_Pipeline!$I:$I,"&gt;="&amp;B644,Fact_Pipeline!$I:$I,"&lt;"&amp;EDATE(B644,1))</f>
        <v>14900</v>
      </c>
      <c r="F644" s="63" t="b">
        <f>AND(D644&gt;0,IFERROR(E644/D644&gt;=G6,FALSE()))</f>
        <v>1</v>
      </c>
      <c r="G644" s="62">
        <f t="shared" si="57"/>
        <v>447</v>
      </c>
      <c r="H644" s="62">
        <f>IF(F644,MAX(0,MIN(E644,I6*D644)-D644)*IFERROR(INDEX($C$158:$C$161,MATCH(C644,$A$158:$A$161,0)),0),0)</f>
        <v>0</v>
      </c>
      <c r="I644" s="62">
        <f>IF(F644,MAX(0,E644-I6*D644)*IFERROR(INDEX($D$158:$D$161,MATCH(C644,$A$158:$A$161,0)),0),0)</f>
        <v>0</v>
      </c>
      <c r="J644" s="62">
        <f t="shared" si="58"/>
        <v>447</v>
      </c>
    </row>
    <row r="645" spans="1:10" ht="15" customHeight="1" outlineLevel="1" x14ac:dyDescent="0.2">
      <c r="A645" s="63" t="str">
        <f t="shared" si="59"/>
        <v>R023</v>
      </c>
      <c r="B645" s="64">
        <f>$A$1440</f>
        <v>45870</v>
      </c>
      <c r="C645" s="63" t="str">
        <f t="shared" si="60"/>
        <v>SDR / Inside Sales Rep</v>
      </c>
      <c r="D645" s="62">
        <f>SUMIFS(Fact_Quota!$D:$D,Fact_Quota!$A:$A,$A645,Fact_Quota!$B:$B,"&gt;="&amp;B645,Fact_Quota!$B:$B,"&lt;"&amp;EDATE(B645,1))</f>
        <v>16300</v>
      </c>
      <c r="E645" s="62">
        <f>SUMIFS(Fact_Pipeline!$K:$K,Fact_Pipeline!$B:$B,$A645,Fact_Pipeline!$J:$J,"Won",Fact_Pipeline!$I:$I,"&gt;="&amp;B645,Fact_Pipeline!$I:$I,"&lt;"&amp;EDATE(B645,1))</f>
        <v>7400</v>
      </c>
      <c r="F645" s="63" t="b">
        <f>AND(D645&gt;0,IFERROR(E645/D645&gt;=G6,FALSE()))</f>
        <v>0</v>
      </c>
      <c r="G645" s="62">
        <f t="shared" si="57"/>
        <v>0</v>
      </c>
      <c r="H645" s="62">
        <f>IF(F645,MAX(0,MIN(E645,I6*D645)-D645)*IFERROR(INDEX($C$158:$C$161,MATCH(C645,$A$158:$A$161,0)),0),0)</f>
        <v>0</v>
      </c>
      <c r="I645" s="62">
        <f>IF(F645,MAX(0,E645-I6*D645)*IFERROR(INDEX($D$158:$D$161,MATCH(C645,$A$158:$A$161,0)),0),0)</f>
        <v>0</v>
      </c>
      <c r="J645" s="62">
        <f t="shared" si="58"/>
        <v>0</v>
      </c>
    </row>
    <row r="646" spans="1:10" ht="15" customHeight="1" outlineLevel="1" x14ac:dyDescent="0.2">
      <c r="A646" s="63" t="str">
        <f t="shared" si="59"/>
        <v>R023</v>
      </c>
      <c r="B646" s="64">
        <f>$A$1441</f>
        <v>45901</v>
      </c>
      <c r="C646" s="63" t="str">
        <f t="shared" si="60"/>
        <v>SDR / Inside Sales Rep</v>
      </c>
      <c r="D646" s="62">
        <f>SUMIFS(Fact_Quota!$D:$D,Fact_Quota!$A:$A,$A646,Fact_Quota!$B:$B,"&gt;="&amp;B646,Fact_Quota!$B:$B,"&lt;"&amp;EDATE(B646,1))</f>
        <v>15400</v>
      </c>
      <c r="E646" s="62">
        <f>SUMIFS(Fact_Pipeline!$K:$K,Fact_Pipeline!$B:$B,$A646,Fact_Pipeline!$J:$J,"Won",Fact_Pipeline!$I:$I,"&gt;="&amp;B646,Fact_Pipeline!$I:$I,"&lt;"&amp;EDATE(B646,1))</f>
        <v>12500</v>
      </c>
      <c r="F646" s="63" t="b">
        <f>AND(D646&gt;0,IFERROR(E646/D646&gt;=G6,FALSE()))</f>
        <v>1</v>
      </c>
      <c r="G646" s="62">
        <f t="shared" si="57"/>
        <v>375</v>
      </c>
      <c r="H646" s="62">
        <f>IF(F646,MAX(0,MIN(E646,I6*D646)-D646)*IFERROR(INDEX($C$158:$C$161,MATCH(C646,$A$158:$A$161,0)),0),0)</f>
        <v>0</v>
      </c>
      <c r="I646" s="62">
        <f>IF(F646,MAX(0,E646-I6*D646)*IFERROR(INDEX($D$158:$D$161,MATCH(C646,$A$158:$A$161,0)),0),0)</f>
        <v>0</v>
      </c>
      <c r="J646" s="62">
        <f t="shared" si="58"/>
        <v>375</v>
      </c>
    </row>
    <row r="647" spans="1:10" ht="15" customHeight="1" outlineLevel="1" x14ac:dyDescent="0.2">
      <c r="A647" s="63" t="str">
        <f t="shared" si="59"/>
        <v>R023</v>
      </c>
      <c r="B647" s="64">
        <f>$A$1442</f>
        <v>45931</v>
      </c>
      <c r="C647" s="63" t="str">
        <f t="shared" si="60"/>
        <v>SDR / Inside Sales Rep</v>
      </c>
      <c r="D647" s="62">
        <f>SUMIFS(Fact_Quota!$D:$D,Fact_Quota!$A:$A,$A647,Fact_Quota!$B:$B,"&gt;="&amp;B647,Fact_Quota!$B:$B,"&lt;"&amp;EDATE(B647,1))</f>
        <v>16000</v>
      </c>
      <c r="E647" s="62">
        <f>SUMIFS(Fact_Pipeline!$K:$K,Fact_Pipeline!$B:$B,$A647,Fact_Pipeline!$J:$J,"Won",Fact_Pipeline!$I:$I,"&gt;="&amp;B647,Fact_Pipeline!$I:$I,"&lt;"&amp;EDATE(B647,1))</f>
        <v>22000</v>
      </c>
      <c r="F647" s="63" t="b">
        <f>AND(D647&gt;0,IFERROR(E647/D647&gt;=G6,FALSE()))</f>
        <v>1</v>
      </c>
      <c r="G647" s="62">
        <f t="shared" si="57"/>
        <v>480</v>
      </c>
      <c r="H647" s="62">
        <f>IF(F647,MAX(0,MIN(E647,I6*D647)-D647)*IFERROR(INDEX($C$158:$C$161,MATCH(C647,$A$158:$A$161,0)),0),0)</f>
        <v>300</v>
      </c>
      <c r="I647" s="62">
        <f>IF(F647,MAX(0,E647-I6*D647)*IFERROR(INDEX($D$158:$D$161,MATCH(C647,$A$158:$A$161,0)),0),0)</f>
        <v>0</v>
      </c>
      <c r="J647" s="62">
        <f t="shared" si="58"/>
        <v>780</v>
      </c>
    </row>
    <row r="648" spans="1:10" ht="15" customHeight="1" outlineLevel="1" x14ac:dyDescent="0.2">
      <c r="A648" s="63" t="str">
        <f t="shared" si="59"/>
        <v>R023</v>
      </c>
      <c r="B648" s="64">
        <f>$A$1443</f>
        <v>45962</v>
      </c>
      <c r="C648" s="63" t="str">
        <f t="shared" si="60"/>
        <v>SDR / Inside Sales Rep</v>
      </c>
      <c r="D648" s="62">
        <f>SUMIFS(Fact_Quota!$D:$D,Fact_Quota!$A:$A,$A648,Fact_Quota!$B:$B,"&gt;="&amp;B648,Fact_Quota!$B:$B,"&lt;"&amp;EDATE(B648,1))</f>
        <v>15800</v>
      </c>
      <c r="E648" s="62">
        <f>SUMIFS(Fact_Pipeline!$K:$K,Fact_Pipeline!$B:$B,$A648,Fact_Pipeline!$J:$J,"Won",Fact_Pipeline!$I:$I,"&gt;="&amp;B648,Fact_Pipeline!$I:$I,"&lt;"&amp;EDATE(B648,1))</f>
        <v>17800</v>
      </c>
      <c r="F648" s="63" t="b">
        <f>AND(D648&gt;0,IFERROR(E648/D648&gt;=G6,FALSE()))</f>
        <v>1</v>
      </c>
      <c r="G648" s="62">
        <f t="shared" si="57"/>
        <v>474</v>
      </c>
      <c r="H648" s="62">
        <f>IF(F648,MAX(0,MIN(E648,I6*D648)-D648)*IFERROR(INDEX($C$158:$C$161,MATCH(C648,$A$158:$A$161,0)),0),0)</f>
        <v>100</v>
      </c>
      <c r="I648" s="62">
        <f>IF(F648,MAX(0,E648-I6*D648)*IFERROR(INDEX($D$158:$D$161,MATCH(C648,$A$158:$A$161,0)),0),0)</f>
        <v>0</v>
      </c>
      <c r="J648" s="62">
        <f t="shared" si="58"/>
        <v>574</v>
      </c>
    </row>
    <row r="649" spans="1:10" ht="15" customHeight="1" outlineLevel="1" x14ac:dyDescent="0.2">
      <c r="A649" s="63" t="str">
        <f t="shared" si="59"/>
        <v>R023</v>
      </c>
      <c r="B649" s="64">
        <f>$A$1444</f>
        <v>45992</v>
      </c>
      <c r="C649" s="63" t="str">
        <f t="shared" si="60"/>
        <v>SDR / Inside Sales Rep</v>
      </c>
      <c r="D649" s="62">
        <f>SUMIFS(Fact_Quota!$D:$D,Fact_Quota!$A:$A,$A649,Fact_Quota!$B:$B,"&gt;="&amp;B649,Fact_Quota!$B:$B,"&lt;"&amp;EDATE(B649,1))</f>
        <v>16100</v>
      </c>
      <c r="E649" s="62">
        <f>SUMIFS(Fact_Pipeline!$K:$K,Fact_Pipeline!$B:$B,$A649,Fact_Pipeline!$J:$J,"Won",Fact_Pipeline!$I:$I,"&gt;="&amp;B649,Fact_Pipeline!$I:$I,"&lt;"&amp;EDATE(B649,1))</f>
        <v>36900</v>
      </c>
      <c r="F649" s="63" t="b">
        <f>AND(D649&gt;0,IFERROR(E649/D649&gt;=G6,FALSE()))</f>
        <v>1</v>
      </c>
      <c r="G649" s="62">
        <f t="shared" si="57"/>
        <v>483</v>
      </c>
      <c r="H649" s="62">
        <f>IF(F649,MAX(0,MIN(E649,I6*D649)-D649)*IFERROR(INDEX($C$158:$C$161,MATCH(C649,$A$158:$A$161,0)),0),0)</f>
        <v>402.5</v>
      </c>
      <c r="I649" s="62">
        <f>IF(F649,MAX(0,E649-I6*D649)*IFERROR(INDEX($D$158:$D$161,MATCH(C649,$A$158:$A$161,0)),0),0)</f>
        <v>892.50000000000011</v>
      </c>
      <c r="J649" s="62">
        <f t="shared" si="58"/>
        <v>1778</v>
      </c>
    </row>
    <row r="650" spans="1:10" ht="15" customHeight="1" outlineLevel="1" x14ac:dyDescent="0.2">
      <c r="A650" s="66" t="str">
        <f t="shared" ref="A650:A673" si="61">$A$183</f>
        <v>R024</v>
      </c>
      <c r="B650" s="67">
        <f>$A$1421</f>
        <v>45292</v>
      </c>
      <c r="C650" s="66" t="str">
        <f t="shared" ref="C650:C673" si="62">$C$183</f>
        <v>SDR / Inside Sales Rep</v>
      </c>
      <c r="D650" s="65">
        <f>SUMIFS(Fact_Quota!$D:$D,Fact_Quota!$A:$A,$A650,Fact_Quota!$B:$B,"&gt;="&amp;B650,Fact_Quota!$B:$B,"&lt;"&amp;EDATE(B650,1))</f>
        <v>0</v>
      </c>
      <c r="E650" s="65">
        <f>SUMIFS(Fact_Pipeline!$K:$K,Fact_Pipeline!$B:$B,$A650,Fact_Pipeline!$J:$J,"Won",Fact_Pipeline!$I:$I,"&gt;="&amp;B650,Fact_Pipeline!$I:$I,"&lt;"&amp;EDATE(B650,1))</f>
        <v>0</v>
      </c>
      <c r="F650" s="66" t="b">
        <f>AND(D650&gt;0,IFERROR(E650/D650&gt;=G6,FALSE()))</f>
        <v>0</v>
      </c>
      <c r="G650" s="65">
        <f t="shared" si="57"/>
        <v>0</v>
      </c>
      <c r="H650" s="65">
        <f>IF(F650,MAX(0,MIN(E650,I6*D650)-D650)*IFERROR(INDEX($C$158:$C$161,MATCH(C650,$A$158:$A$161,0)),0),0)</f>
        <v>0</v>
      </c>
      <c r="I650" s="65">
        <f>IF(F650,MAX(0,E650-I6*D650)*IFERROR(INDEX($D$158:$D$161,MATCH(C650,$A$158:$A$161,0)),0),0)</f>
        <v>0</v>
      </c>
      <c r="J650" s="65">
        <f t="shared" si="58"/>
        <v>0</v>
      </c>
    </row>
    <row r="651" spans="1:10" ht="15" customHeight="1" outlineLevel="1" x14ac:dyDescent="0.2">
      <c r="A651" s="66" t="str">
        <f t="shared" si="61"/>
        <v>R024</v>
      </c>
      <c r="B651" s="67">
        <f>$A$1422</f>
        <v>45323</v>
      </c>
      <c r="C651" s="66" t="str">
        <f t="shared" si="62"/>
        <v>SDR / Inside Sales Rep</v>
      </c>
      <c r="D651" s="65">
        <f>SUMIFS(Fact_Quota!$D:$D,Fact_Quota!$A:$A,$A651,Fact_Quota!$B:$B,"&gt;="&amp;B651,Fact_Quota!$B:$B,"&lt;"&amp;EDATE(B651,1))</f>
        <v>0</v>
      </c>
      <c r="E651" s="65">
        <f>SUMIFS(Fact_Pipeline!$K:$K,Fact_Pipeline!$B:$B,$A651,Fact_Pipeline!$J:$J,"Won",Fact_Pipeline!$I:$I,"&gt;="&amp;B651,Fact_Pipeline!$I:$I,"&lt;"&amp;EDATE(B651,1))</f>
        <v>0</v>
      </c>
      <c r="F651" s="66" t="b">
        <f>AND(D651&gt;0,IFERROR(E651/D651&gt;=G6,FALSE()))</f>
        <v>0</v>
      </c>
      <c r="G651" s="65">
        <f t="shared" si="57"/>
        <v>0</v>
      </c>
      <c r="H651" s="65">
        <f>IF(F651,MAX(0,MIN(E651,I6*D651)-D651)*IFERROR(INDEX($C$158:$C$161,MATCH(C651,$A$158:$A$161,0)),0),0)</f>
        <v>0</v>
      </c>
      <c r="I651" s="65">
        <f>IF(F651,MAX(0,E651-I6*D651)*IFERROR(INDEX($D$158:$D$161,MATCH(C651,$A$158:$A$161,0)),0),0)</f>
        <v>0</v>
      </c>
      <c r="J651" s="65">
        <f t="shared" si="58"/>
        <v>0</v>
      </c>
    </row>
    <row r="652" spans="1:10" ht="15" customHeight="1" outlineLevel="1" x14ac:dyDescent="0.2">
      <c r="A652" s="66" t="str">
        <f t="shared" si="61"/>
        <v>R024</v>
      </c>
      <c r="B652" s="67">
        <f>$A$1423</f>
        <v>45352</v>
      </c>
      <c r="C652" s="66" t="str">
        <f t="shared" si="62"/>
        <v>SDR / Inside Sales Rep</v>
      </c>
      <c r="D652" s="65">
        <f>SUMIFS(Fact_Quota!$D:$D,Fact_Quota!$A:$A,$A652,Fact_Quota!$B:$B,"&gt;="&amp;B652,Fact_Quota!$B:$B,"&lt;"&amp;EDATE(B652,1))</f>
        <v>0</v>
      </c>
      <c r="E652" s="65">
        <f>SUMIFS(Fact_Pipeline!$K:$K,Fact_Pipeline!$B:$B,$A652,Fact_Pipeline!$J:$J,"Won",Fact_Pipeline!$I:$I,"&gt;="&amp;B652,Fact_Pipeline!$I:$I,"&lt;"&amp;EDATE(B652,1))</f>
        <v>0</v>
      </c>
      <c r="F652" s="66" t="b">
        <f>AND(D652&gt;0,IFERROR(E652/D652&gt;=G6,FALSE()))</f>
        <v>0</v>
      </c>
      <c r="G652" s="65">
        <f t="shared" si="57"/>
        <v>0</v>
      </c>
      <c r="H652" s="65">
        <f>IF(F652,MAX(0,MIN(E652,I6*D652)-D652)*IFERROR(INDEX($C$158:$C$161,MATCH(C652,$A$158:$A$161,0)),0),0)</f>
        <v>0</v>
      </c>
      <c r="I652" s="65">
        <f>IF(F652,MAX(0,E652-I6*D652)*IFERROR(INDEX($D$158:$D$161,MATCH(C652,$A$158:$A$161,0)),0),0)</f>
        <v>0</v>
      </c>
      <c r="J652" s="65">
        <f t="shared" si="58"/>
        <v>0</v>
      </c>
    </row>
    <row r="653" spans="1:10" ht="15" customHeight="1" outlineLevel="1" x14ac:dyDescent="0.2">
      <c r="A653" s="66" t="str">
        <f t="shared" si="61"/>
        <v>R024</v>
      </c>
      <c r="B653" s="67">
        <f>$A$1424</f>
        <v>45383</v>
      </c>
      <c r="C653" s="66" t="str">
        <f t="shared" si="62"/>
        <v>SDR / Inside Sales Rep</v>
      </c>
      <c r="D653" s="65">
        <f>SUMIFS(Fact_Quota!$D:$D,Fact_Quota!$A:$A,$A653,Fact_Quota!$B:$B,"&gt;="&amp;B653,Fact_Quota!$B:$B,"&lt;"&amp;EDATE(B653,1))</f>
        <v>0</v>
      </c>
      <c r="E653" s="65">
        <f>SUMIFS(Fact_Pipeline!$K:$K,Fact_Pipeline!$B:$B,$A653,Fact_Pipeline!$J:$J,"Won",Fact_Pipeline!$I:$I,"&gt;="&amp;B653,Fact_Pipeline!$I:$I,"&lt;"&amp;EDATE(B653,1))</f>
        <v>0</v>
      </c>
      <c r="F653" s="66" t="b">
        <f>AND(D653&gt;0,IFERROR(E653/D653&gt;=G6,FALSE()))</f>
        <v>0</v>
      </c>
      <c r="G653" s="65">
        <f t="shared" si="57"/>
        <v>0</v>
      </c>
      <c r="H653" s="65">
        <f>IF(F653,MAX(0,MIN(E653,I6*D653)-D653)*IFERROR(INDEX($C$158:$C$161,MATCH(C653,$A$158:$A$161,0)),0),0)</f>
        <v>0</v>
      </c>
      <c r="I653" s="65">
        <f>IF(F653,MAX(0,E653-I6*D653)*IFERROR(INDEX($D$158:$D$161,MATCH(C653,$A$158:$A$161,0)),0),0)</f>
        <v>0</v>
      </c>
      <c r="J653" s="65">
        <f t="shared" si="58"/>
        <v>0</v>
      </c>
    </row>
    <row r="654" spans="1:10" ht="15" customHeight="1" outlineLevel="1" x14ac:dyDescent="0.2">
      <c r="A654" s="66" t="str">
        <f t="shared" si="61"/>
        <v>R024</v>
      </c>
      <c r="B654" s="67">
        <f>$A$1425</f>
        <v>45413</v>
      </c>
      <c r="C654" s="66" t="str">
        <f t="shared" si="62"/>
        <v>SDR / Inside Sales Rep</v>
      </c>
      <c r="D654" s="65">
        <f>SUMIFS(Fact_Quota!$D:$D,Fact_Quota!$A:$A,$A654,Fact_Quota!$B:$B,"&gt;="&amp;B654,Fact_Quota!$B:$B,"&lt;"&amp;EDATE(B654,1))</f>
        <v>0</v>
      </c>
      <c r="E654" s="65">
        <f>SUMIFS(Fact_Pipeline!$K:$K,Fact_Pipeline!$B:$B,$A654,Fact_Pipeline!$J:$J,"Won",Fact_Pipeline!$I:$I,"&gt;="&amp;B654,Fact_Pipeline!$I:$I,"&lt;"&amp;EDATE(B654,1))</f>
        <v>0</v>
      </c>
      <c r="F654" s="66" t="b">
        <f>AND(D654&gt;0,IFERROR(E654/D654&gt;=G6,FALSE()))</f>
        <v>0</v>
      </c>
      <c r="G654" s="65">
        <f t="shared" si="57"/>
        <v>0</v>
      </c>
      <c r="H654" s="65">
        <f>IF(F654,MAX(0,MIN(E654,I6*D654)-D654)*IFERROR(INDEX($C$158:$C$161,MATCH(C654,$A$158:$A$161,0)),0),0)</f>
        <v>0</v>
      </c>
      <c r="I654" s="65">
        <f>IF(F654,MAX(0,E654-I6*D654)*IFERROR(INDEX($D$158:$D$161,MATCH(C654,$A$158:$A$161,0)),0),0)</f>
        <v>0</v>
      </c>
      <c r="J654" s="65">
        <f t="shared" si="58"/>
        <v>0</v>
      </c>
    </row>
    <row r="655" spans="1:10" ht="15" customHeight="1" outlineLevel="1" x14ac:dyDescent="0.2">
      <c r="A655" s="66" t="str">
        <f t="shared" si="61"/>
        <v>R024</v>
      </c>
      <c r="B655" s="67">
        <f>$A$1426</f>
        <v>45444</v>
      </c>
      <c r="C655" s="66" t="str">
        <f t="shared" si="62"/>
        <v>SDR / Inside Sales Rep</v>
      </c>
      <c r="D655" s="65">
        <f>SUMIFS(Fact_Quota!$D:$D,Fact_Quota!$A:$A,$A655,Fact_Quota!$B:$B,"&gt;="&amp;B655,Fact_Quota!$B:$B,"&lt;"&amp;EDATE(B655,1))</f>
        <v>0</v>
      </c>
      <c r="E655" s="65">
        <f>SUMIFS(Fact_Pipeline!$K:$K,Fact_Pipeline!$B:$B,$A655,Fact_Pipeline!$J:$J,"Won",Fact_Pipeline!$I:$I,"&gt;="&amp;B655,Fact_Pipeline!$I:$I,"&lt;"&amp;EDATE(B655,1))</f>
        <v>0</v>
      </c>
      <c r="F655" s="66" t="b">
        <f>AND(D655&gt;0,IFERROR(E655/D655&gt;=G6,FALSE()))</f>
        <v>0</v>
      </c>
      <c r="G655" s="65">
        <f t="shared" si="57"/>
        <v>0</v>
      </c>
      <c r="H655" s="65">
        <f>IF(F655,MAX(0,MIN(E655,I6*D655)-D655)*IFERROR(INDEX($C$158:$C$161,MATCH(C655,$A$158:$A$161,0)),0),0)</f>
        <v>0</v>
      </c>
      <c r="I655" s="65">
        <f>IF(F655,MAX(0,E655-I6*D655)*IFERROR(INDEX($D$158:$D$161,MATCH(C655,$A$158:$A$161,0)),0),0)</f>
        <v>0</v>
      </c>
      <c r="J655" s="65">
        <f t="shared" si="58"/>
        <v>0</v>
      </c>
    </row>
    <row r="656" spans="1:10" ht="15" customHeight="1" outlineLevel="1" x14ac:dyDescent="0.2">
      <c r="A656" s="66" t="str">
        <f t="shared" si="61"/>
        <v>R024</v>
      </c>
      <c r="B656" s="67">
        <f>$A$1427</f>
        <v>45474</v>
      </c>
      <c r="C656" s="66" t="str">
        <f t="shared" si="62"/>
        <v>SDR / Inside Sales Rep</v>
      </c>
      <c r="D656" s="65">
        <f>SUMIFS(Fact_Quota!$D:$D,Fact_Quota!$A:$A,$A656,Fact_Quota!$B:$B,"&gt;="&amp;B656,Fact_Quota!$B:$B,"&lt;"&amp;EDATE(B656,1))</f>
        <v>0</v>
      </c>
      <c r="E656" s="65">
        <f>SUMIFS(Fact_Pipeline!$K:$K,Fact_Pipeline!$B:$B,$A656,Fact_Pipeline!$J:$J,"Won",Fact_Pipeline!$I:$I,"&gt;="&amp;B656,Fact_Pipeline!$I:$I,"&lt;"&amp;EDATE(B656,1))</f>
        <v>0</v>
      </c>
      <c r="F656" s="66" t="b">
        <f>AND(D656&gt;0,IFERROR(E656/D656&gt;=G6,FALSE()))</f>
        <v>0</v>
      </c>
      <c r="G656" s="65">
        <f t="shared" si="57"/>
        <v>0</v>
      </c>
      <c r="H656" s="65">
        <f>IF(F656,MAX(0,MIN(E656,I6*D656)-D656)*IFERROR(INDEX($C$158:$C$161,MATCH(C656,$A$158:$A$161,0)),0),0)</f>
        <v>0</v>
      </c>
      <c r="I656" s="65">
        <f>IF(F656,MAX(0,E656-I6*D656)*IFERROR(INDEX($D$158:$D$161,MATCH(C656,$A$158:$A$161,0)),0),0)</f>
        <v>0</v>
      </c>
      <c r="J656" s="65">
        <f t="shared" si="58"/>
        <v>0</v>
      </c>
    </row>
    <row r="657" spans="1:10" ht="15" customHeight="1" outlineLevel="1" x14ac:dyDescent="0.2">
      <c r="A657" s="66" t="str">
        <f t="shared" si="61"/>
        <v>R024</v>
      </c>
      <c r="B657" s="67">
        <f>$A$1428</f>
        <v>45505</v>
      </c>
      <c r="C657" s="66" t="str">
        <f t="shared" si="62"/>
        <v>SDR / Inside Sales Rep</v>
      </c>
      <c r="D657" s="65">
        <f>SUMIFS(Fact_Quota!$D:$D,Fact_Quota!$A:$A,$A657,Fact_Quota!$B:$B,"&gt;="&amp;B657,Fact_Quota!$B:$B,"&lt;"&amp;EDATE(B657,1))</f>
        <v>0</v>
      </c>
      <c r="E657" s="65">
        <f>SUMIFS(Fact_Pipeline!$K:$K,Fact_Pipeline!$B:$B,$A657,Fact_Pipeline!$J:$J,"Won",Fact_Pipeline!$I:$I,"&gt;="&amp;B657,Fact_Pipeline!$I:$I,"&lt;"&amp;EDATE(B657,1))</f>
        <v>0</v>
      </c>
      <c r="F657" s="66" t="b">
        <f>AND(D657&gt;0,IFERROR(E657/D657&gt;=G6,FALSE()))</f>
        <v>0</v>
      </c>
      <c r="G657" s="65">
        <f t="shared" si="57"/>
        <v>0</v>
      </c>
      <c r="H657" s="65">
        <f>IF(F657,MAX(0,MIN(E657,I6*D657)-D657)*IFERROR(INDEX($C$158:$C$161,MATCH(C657,$A$158:$A$161,0)),0),0)</f>
        <v>0</v>
      </c>
      <c r="I657" s="65">
        <f>IF(F657,MAX(0,E657-I6*D657)*IFERROR(INDEX($D$158:$D$161,MATCH(C657,$A$158:$A$161,0)),0),0)</f>
        <v>0</v>
      </c>
      <c r="J657" s="65">
        <f t="shared" si="58"/>
        <v>0</v>
      </c>
    </row>
    <row r="658" spans="1:10" ht="15" customHeight="1" outlineLevel="1" x14ac:dyDescent="0.2">
      <c r="A658" s="66" t="str">
        <f t="shared" si="61"/>
        <v>R024</v>
      </c>
      <c r="B658" s="67">
        <f>$A$1429</f>
        <v>45536</v>
      </c>
      <c r="C658" s="66" t="str">
        <f t="shared" si="62"/>
        <v>SDR / Inside Sales Rep</v>
      </c>
      <c r="D658" s="65">
        <f>SUMIFS(Fact_Quota!$D:$D,Fact_Quota!$A:$A,$A658,Fact_Quota!$B:$B,"&gt;="&amp;B658,Fact_Quota!$B:$B,"&lt;"&amp;EDATE(B658,1))</f>
        <v>0</v>
      </c>
      <c r="E658" s="65">
        <f>SUMIFS(Fact_Pipeline!$K:$K,Fact_Pipeline!$B:$B,$A658,Fact_Pipeline!$J:$J,"Won",Fact_Pipeline!$I:$I,"&gt;="&amp;B658,Fact_Pipeline!$I:$I,"&lt;"&amp;EDATE(B658,1))</f>
        <v>0</v>
      </c>
      <c r="F658" s="66" t="b">
        <f>AND(D658&gt;0,IFERROR(E658/D658&gt;=G6,FALSE()))</f>
        <v>0</v>
      </c>
      <c r="G658" s="65">
        <f t="shared" si="57"/>
        <v>0</v>
      </c>
      <c r="H658" s="65">
        <f>IF(F658,MAX(0,MIN(E658,I6*D658)-D658)*IFERROR(INDEX($C$158:$C$161,MATCH(C658,$A$158:$A$161,0)),0),0)</f>
        <v>0</v>
      </c>
      <c r="I658" s="65">
        <f>IF(F658,MAX(0,E658-I6*D658)*IFERROR(INDEX($D$158:$D$161,MATCH(C658,$A$158:$A$161,0)),0),0)</f>
        <v>0</v>
      </c>
      <c r="J658" s="65">
        <f t="shared" si="58"/>
        <v>0</v>
      </c>
    </row>
    <row r="659" spans="1:10" ht="15" customHeight="1" outlineLevel="1" x14ac:dyDescent="0.2">
      <c r="A659" s="66" t="str">
        <f t="shared" si="61"/>
        <v>R024</v>
      </c>
      <c r="B659" s="67">
        <f>$A$1430</f>
        <v>45566</v>
      </c>
      <c r="C659" s="66" t="str">
        <f t="shared" si="62"/>
        <v>SDR / Inside Sales Rep</v>
      </c>
      <c r="D659" s="65">
        <f>SUMIFS(Fact_Quota!$D:$D,Fact_Quota!$A:$A,$A659,Fact_Quota!$B:$B,"&gt;="&amp;B659,Fact_Quota!$B:$B,"&lt;"&amp;EDATE(B659,1))</f>
        <v>0</v>
      </c>
      <c r="E659" s="65">
        <f>SUMIFS(Fact_Pipeline!$K:$K,Fact_Pipeline!$B:$B,$A659,Fact_Pipeline!$J:$J,"Won",Fact_Pipeline!$I:$I,"&gt;="&amp;B659,Fact_Pipeline!$I:$I,"&lt;"&amp;EDATE(B659,1))</f>
        <v>0</v>
      </c>
      <c r="F659" s="66" t="b">
        <f>AND(D659&gt;0,IFERROR(E659/D659&gt;=G6,FALSE()))</f>
        <v>0</v>
      </c>
      <c r="G659" s="65">
        <f t="shared" si="57"/>
        <v>0</v>
      </c>
      <c r="H659" s="65">
        <f>IF(F659,MAX(0,MIN(E659,I6*D659)-D659)*IFERROR(INDEX($C$158:$C$161,MATCH(C659,$A$158:$A$161,0)),0),0)</f>
        <v>0</v>
      </c>
      <c r="I659" s="65">
        <f>IF(F659,MAX(0,E659-I6*D659)*IFERROR(INDEX($D$158:$D$161,MATCH(C659,$A$158:$A$161,0)),0),0)</f>
        <v>0</v>
      </c>
      <c r="J659" s="65">
        <f t="shared" si="58"/>
        <v>0</v>
      </c>
    </row>
    <row r="660" spans="1:10" ht="15" customHeight="1" outlineLevel="1" x14ac:dyDescent="0.2">
      <c r="A660" s="66" t="str">
        <f t="shared" si="61"/>
        <v>R024</v>
      </c>
      <c r="B660" s="67">
        <f>$A$1431</f>
        <v>45597</v>
      </c>
      <c r="C660" s="66" t="str">
        <f t="shared" si="62"/>
        <v>SDR / Inside Sales Rep</v>
      </c>
      <c r="D660" s="65">
        <f>SUMIFS(Fact_Quota!$D:$D,Fact_Quota!$A:$A,$A660,Fact_Quota!$B:$B,"&gt;="&amp;B660,Fact_Quota!$B:$B,"&lt;"&amp;EDATE(B660,1))</f>
        <v>0</v>
      </c>
      <c r="E660" s="65">
        <f>SUMIFS(Fact_Pipeline!$K:$K,Fact_Pipeline!$B:$B,$A660,Fact_Pipeline!$J:$J,"Won",Fact_Pipeline!$I:$I,"&gt;="&amp;B660,Fact_Pipeline!$I:$I,"&lt;"&amp;EDATE(B660,1))</f>
        <v>0</v>
      </c>
      <c r="F660" s="66" t="b">
        <f>AND(D660&gt;0,IFERROR(E660/D660&gt;=G6,FALSE()))</f>
        <v>0</v>
      </c>
      <c r="G660" s="65">
        <f t="shared" si="57"/>
        <v>0</v>
      </c>
      <c r="H660" s="65">
        <f>IF(F660,MAX(0,MIN(E660,I6*D660)-D660)*IFERROR(INDEX($C$158:$C$161,MATCH(C660,$A$158:$A$161,0)),0),0)</f>
        <v>0</v>
      </c>
      <c r="I660" s="65">
        <f>IF(F660,MAX(0,E660-I6*D660)*IFERROR(INDEX($D$158:$D$161,MATCH(C660,$A$158:$A$161,0)),0),0)</f>
        <v>0</v>
      </c>
      <c r="J660" s="65">
        <f t="shared" si="58"/>
        <v>0</v>
      </c>
    </row>
    <row r="661" spans="1:10" ht="15" customHeight="1" outlineLevel="1" x14ac:dyDescent="0.2">
      <c r="A661" s="66" t="str">
        <f t="shared" si="61"/>
        <v>R024</v>
      </c>
      <c r="B661" s="67">
        <f>$A$1432</f>
        <v>45627</v>
      </c>
      <c r="C661" s="66" t="str">
        <f t="shared" si="62"/>
        <v>SDR / Inside Sales Rep</v>
      </c>
      <c r="D661" s="65">
        <f>SUMIFS(Fact_Quota!$D:$D,Fact_Quota!$A:$A,$A661,Fact_Quota!$B:$B,"&gt;="&amp;B661,Fact_Quota!$B:$B,"&lt;"&amp;EDATE(B661,1))</f>
        <v>0</v>
      </c>
      <c r="E661" s="65">
        <f>SUMIFS(Fact_Pipeline!$K:$K,Fact_Pipeline!$B:$B,$A661,Fact_Pipeline!$J:$J,"Won",Fact_Pipeline!$I:$I,"&gt;="&amp;B661,Fact_Pipeline!$I:$I,"&lt;"&amp;EDATE(B661,1))</f>
        <v>0</v>
      </c>
      <c r="F661" s="66" t="b">
        <f>AND(D661&gt;0,IFERROR(E661/D661&gt;=G6,FALSE()))</f>
        <v>0</v>
      </c>
      <c r="G661" s="65">
        <f t="shared" si="57"/>
        <v>0</v>
      </c>
      <c r="H661" s="65">
        <f>IF(F661,MAX(0,MIN(E661,I6*D661)-D661)*IFERROR(INDEX($C$158:$C$161,MATCH(C661,$A$158:$A$161,0)),0),0)</f>
        <v>0</v>
      </c>
      <c r="I661" s="65">
        <f>IF(F661,MAX(0,E661-I6*D661)*IFERROR(INDEX($D$158:$D$161,MATCH(C661,$A$158:$A$161,0)),0),0)</f>
        <v>0</v>
      </c>
      <c r="J661" s="65">
        <f t="shared" si="58"/>
        <v>0</v>
      </c>
    </row>
    <row r="662" spans="1:10" ht="15" customHeight="1" outlineLevel="1" x14ac:dyDescent="0.2">
      <c r="A662" s="66" t="str">
        <f t="shared" si="61"/>
        <v>R024</v>
      </c>
      <c r="B662" s="67">
        <f>$A$1433</f>
        <v>45658</v>
      </c>
      <c r="C662" s="66" t="str">
        <f t="shared" si="62"/>
        <v>SDR / Inside Sales Rep</v>
      </c>
      <c r="D662" s="65">
        <f>SUMIFS(Fact_Quota!$D:$D,Fact_Quota!$A:$A,$A662,Fact_Quota!$B:$B,"&gt;="&amp;B662,Fact_Quota!$B:$B,"&lt;"&amp;EDATE(B662,1))</f>
        <v>0</v>
      </c>
      <c r="E662" s="65">
        <f>SUMIFS(Fact_Pipeline!$K:$K,Fact_Pipeline!$B:$B,$A662,Fact_Pipeline!$J:$J,"Won",Fact_Pipeline!$I:$I,"&gt;="&amp;B662,Fact_Pipeline!$I:$I,"&lt;"&amp;EDATE(B662,1))</f>
        <v>0</v>
      </c>
      <c r="F662" s="66" t="b">
        <f>AND(D662&gt;0,IFERROR(E662/D662&gt;=G6,FALSE()))</f>
        <v>0</v>
      </c>
      <c r="G662" s="65">
        <f t="shared" si="57"/>
        <v>0</v>
      </c>
      <c r="H662" s="65">
        <f>IF(F662,MAX(0,MIN(E662,I6*D662)-D662)*IFERROR(INDEX($C$158:$C$161,MATCH(C662,$A$158:$A$161,0)),0),0)</f>
        <v>0</v>
      </c>
      <c r="I662" s="65">
        <f>IF(F662,MAX(0,E662-I6*D662)*IFERROR(INDEX($D$158:$D$161,MATCH(C662,$A$158:$A$161,0)),0),0)</f>
        <v>0</v>
      </c>
      <c r="J662" s="65">
        <f t="shared" si="58"/>
        <v>0</v>
      </c>
    </row>
    <row r="663" spans="1:10" ht="15" customHeight="1" outlineLevel="1" x14ac:dyDescent="0.2">
      <c r="A663" s="66" t="str">
        <f t="shared" si="61"/>
        <v>R024</v>
      </c>
      <c r="B663" s="67">
        <f>$A$1434</f>
        <v>45689</v>
      </c>
      <c r="C663" s="66" t="str">
        <f t="shared" si="62"/>
        <v>SDR / Inside Sales Rep</v>
      </c>
      <c r="D663" s="65">
        <f>SUMIFS(Fact_Quota!$D:$D,Fact_Quota!$A:$A,$A663,Fact_Quota!$B:$B,"&gt;="&amp;B663,Fact_Quota!$B:$B,"&lt;"&amp;EDATE(B663,1))</f>
        <v>0</v>
      </c>
      <c r="E663" s="65">
        <f>SUMIFS(Fact_Pipeline!$K:$K,Fact_Pipeline!$B:$B,$A663,Fact_Pipeline!$J:$J,"Won",Fact_Pipeline!$I:$I,"&gt;="&amp;B663,Fact_Pipeline!$I:$I,"&lt;"&amp;EDATE(B663,1))</f>
        <v>0</v>
      </c>
      <c r="F663" s="66" t="b">
        <f>AND(D663&gt;0,IFERROR(E663/D663&gt;=G6,FALSE()))</f>
        <v>0</v>
      </c>
      <c r="G663" s="65">
        <f t="shared" si="57"/>
        <v>0</v>
      </c>
      <c r="H663" s="65">
        <f>IF(F663,MAX(0,MIN(E663,I6*D663)-D663)*IFERROR(INDEX($C$158:$C$161,MATCH(C663,$A$158:$A$161,0)),0),0)</f>
        <v>0</v>
      </c>
      <c r="I663" s="65">
        <f>IF(F663,MAX(0,E663-I6*D663)*IFERROR(INDEX($D$158:$D$161,MATCH(C663,$A$158:$A$161,0)),0),0)</f>
        <v>0</v>
      </c>
      <c r="J663" s="65">
        <f t="shared" si="58"/>
        <v>0</v>
      </c>
    </row>
    <row r="664" spans="1:10" ht="15" customHeight="1" outlineLevel="1" x14ac:dyDescent="0.2">
      <c r="A664" s="66" t="str">
        <f t="shared" si="61"/>
        <v>R024</v>
      </c>
      <c r="B664" s="67">
        <f>$A$1435</f>
        <v>45717</v>
      </c>
      <c r="C664" s="66" t="str">
        <f t="shared" si="62"/>
        <v>SDR / Inside Sales Rep</v>
      </c>
      <c r="D664" s="65">
        <f>SUMIFS(Fact_Quota!$D:$D,Fact_Quota!$A:$A,$A664,Fact_Quota!$B:$B,"&gt;="&amp;B664,Fact_Quota!$B:$B,"&lt;"&amp;EDATE(B664,1))</f>
        <v>0</v>
      </c>
      <c r="E664" s="65">
        <f>SUMIFS(Fact_Pipeline!$K:$K,Fact_Pipeline!$B:$B,$A664,Fact_Pipeline!$J:$J,"Won",Fact_Pipeline!$I:$I,"&gt;="&amp;B664,Fact_Pipeline!$I:$I,"&lt;"&amp;EDATE(B664,1))</f>
        <v>0</v>
      </c>
      <c r="F664" s="66" t="b">
        <f>AND(D664&gt;0,IFERROR(E664/D664&gt;=G6,FALSE()))</f>
        <v>0</v>
      </c>
      <c r="G664" s="65">
        <f t="shared" si="57"/>
        <v>0</v>
      </c>
      <c r="H664" s="65">
        <f>IF(F664,MAX(0,MIN(E664,I6*D664)-D664)*IFERROR(INDEX($C$158:$C$161,MATCH(C664,$A$158:$A$161,0)),0),0)</f>
        <v>0</v>
      </c>
      <c r="I664" s="65">
        <f>IF(F664,MAX(0,E664-I6*D664)*IFERROR(INDEX($D$158:$D$161,MATCH(C664,$A$158:$A$161,0)),0),0)</f>
        <v>0</v>
      </c>
      <c r="J664" s="65">
        <f t="shared" si="58"/>
        <v>0</v>
      </c>
    </row>
    <row r="665" spans="1:10" ht="15" customHeight="1" outlineLevel="1" x14ac:dyDescent="0.2">
      <c r="A665" s="66" t="str">
        <f t="shared" si="61"/>
        <v>R024</v>
      </c>
      <c r="B665" s="67">
        <f>$A$1436</f>
        <v>45748</v>
      </c>
      <c r="C665" s="66" t="str">
        <f t="shared" si="62"/>
        <v>SDR / Inside Sales Rep</v>
      </c>
      <c r="D665" s="65">
        <f>SUMIFS(Fact_Quota!$D:$D,Fact_Quota!$A:$A,$A665,Fact_Quota!$B:$B,"&gt;="&amp;B665,Fact_Quota!$B:$B,"&lt;"&amp;EDATE(B665,1))</f>
        <v>0</v>
      </c>
      <c r="E665" s="65">
        <f>SUMIFS(Fact_Pipeline!$K:$K,Fact_Pipeline!$B:$B,$A665,Fact_Pipeline!$J:$J,"Won",Fact_Pipeline!$I:$I,"&gt;="&amp;B665,Fact_Pipeline!$I:$I,"&lt;"&amp;EDATE(B665,1))</f>
        <v>0</v>
      </c>
      <c r="F665" s="66" t="b">
        <f>AND(D665&gt;0,IFERROR(E665/D665&gt;=G6,FALSE()))</f>
        <v>0</v>
      </c>
      <c r="G665" s="65">
        <f t="shared" si="57"/>
        <v>0</v>
      </c>
      <c r="H665" s="65">
        <f>IF(F665,MAX(0,MIN(E665,I6*D665)-D665)*IFERROR(INDEX($C$158:$C$161,MATCH(C665,$A$158:$A$161,0)),0),0)</f>
        <v>0</v>
      </c>
      <c r="I665" s="65">
        <f>IF(F665,MAX(0,E665-I6*D665)*IFERROR(INDEX($D$158:$D$161,MATCH(C665,$A$158:$A$161,0)),0),0)</f>
        <v>0</v>
      </c>
      <c r="J665" s="65">
        <f t="shared" si="58"/>
        <v>0</v>
      </c>
    </row>
    <row r="666" spans="1:10" ht="15" customHeight="1" outlineLevel="1" x14ac:dyDescent="0.2">
      <c r="A666" s="66" t="str">
        <f t="shared" si="61"/>
        <v>R024</v>
      </c>
      <c r="B666" s="67">
        <f>$A$1437</f>
        <v>45778</v>
      </c>
      <c r="C666" s="66" t="str">
        <f t="shared" si="62"/>
        <v>SDR / Inside Sales Rep</v>
      </c>
      <c r="D666" s="65">
        <f>SUMIFS(Fact_Quota!$D:$D,Fact_Quota!$A:$A,$A666,Fact_Quota!$B:$B,"&gt;="&amp;B666,Fact_Quota!$B:$B,"&lt;"&amp;EDATE(B666,1))</f>
        <v>0</v>
      </c>
      <c r="E666" s="65">
        <f>SUMIFS(Fact_Pipeline!$K:$K,Fact_Pipeline!$B:$B,$A666,Fact_Pipeline!$J:$J,"Won",Fact_Pipeline!$I:$I,"&gt;="&amp;B666,Fact_Pipeline!$I:$I,"&lt;"&amp;EDATE(B666,1))</f>
        <v>0</v>
      </c>
      <c r="F666" s="66" t="b">
        <f>AND(D666&gt;0,IFERROR(E666/D666&gt;=G6,FALSE()))</f>
        <v>0</v>
      </c>
      <c r="G666" s="65">
        <f t="shared" ref="G666:G729" si="63">IF(F666,MIN(E666,D666)*IFERROR(INDEX($B$158:$B$161,MATCH(C666,$A$158:$A$161,0)),0),0)</f>
        <v>0</v>
      </c>
      <c r="H666" s="65">
        <f>IF(F666,MAX(0,MIN(E666,I6*D666)-D666)*IFERROR(INDEX($C$158:$C$161,MATCH(C666,$A$158:$A$161,0)),0),0)</f>
        <v>0</v>
      </c>
      <c r="I666" s="65">
        <f>IF(F666,MAX(0,E666-I6*D666)*IFERROR(INDEX($D$158:$D$161,MATCH(C666,$A$158:$A$161,0)),0),0)</f>
        <v>0</v>
      </c>
      <c r="J666" s="65">
        <f t="shared" ref="J666:J729" si="64">G666+H666+I666</f>
        <v>0</v>
      </c>
    </row>
    <row r="667" spans="1:10" ht="15" customHeight="1" outlineLevel="1" x14ac:dyDescent="0.2">
      <c r="A667" s="66" t="str">
        <f t="shared" si="61"/>
        <v>R024</v>
      </c>
      <c r="B667" s="67">
        <f>$A$1438</f>
        <v>45809</v>
      </c>
      <c r="C667" s="66" t="str">
        <f t="shared" si="62"/>
        <v>SDR / Inside Sales Rep</v>
      </c>
      <c r="D667" s="65">
        <f>SUMIFS(Fact_Quota!$D:$D,Fact_Quota!$A:$A,$A667,Fact_Quota!$B:$B,"&gt;="&amp;B667,Fact_Quota!$B:$B,"&lt;"&amp;EDATE(B667,1))</f>
        <v>0</v>
      </c>
      <c r="E667" s="65">
        <f>SUMIFS(Fact_Pipeline!$K:$K,Fact_Pipeline!$B:$B,$A667,Fact_Pipeline!$J:$J,"Won",Fact_Pipeline!$I:$I,"&gt;="&amp;B667,Fact_Pipeline!$I:$I,"&lt;"&amp;EDATE(B667,1))</f>
        <v>0</v>
      </c>
      <c r="F667" s="66" t="b">
        <f>AND(D667&gt;0,IFERROR(E667/D667&gt;=G6,FALSE()))</f>
        <v>0</v>
      </c>
      <c r="G667" s="65">
        <f t="shared" si="63"/>
        <v>0</v>
      </c>
      <c r="H667" s="65">
        <f>IF(F667,MAX(0,MIN(E667,I6*D667)-D667)*IFERROR(INDEX($C$158:$C$161,MATCH(C667,$A$158:$A$161,0)),0),0)</f>
        <v>0</v>
      </c>
      <c r="I667" s="65">
        <f>IF(F667,MAX(0,E667-I6*D667)*IFERROR(INDEX($D$158:$D$161,MATCH(C667,$A$158:$A$161,0)),0),0)</f>
        <v>0</v>
      </c>
      <c r="J667" s="65">
        <f t="shared" si="64"/>
        <v>0</v>
      </c>
    </row>
    <row r="668" spans="1:10" ht="15" customHeight="1" outlineLevel="1" x14ac:dyDescent="0.2">
      <c r="A668" s="66" t="str">
        <f t="shared" si="61"/>
        <v>R024</v>
      </c>
      <c r="B668" s="67">
        <f>$A$1439</f>
        <v>45839</v>
      </c>
      <c r="C668" s="66" t="str">
        <f t="shared" si="62"/>
        <v>SDR / Inside Sales Rep</v>
      </c>
      <c r="D668" s="65">
        <f>SUMIFS(Fact_Quota!$D:$D,Fact_Quota!$A:$A,$A668,Fact_Quota!$B:$B,"&gt;="&amp;B668,Fact_Quota!$B:$B,"&lt;"&amp;EDATE(B668,1))</f>
        <v>0</v>
      </c>
      <c r="E668" s="65">
        <f>SUMIFS(Fact_Pipeline!$K:$K,Fact_Pipeline!$B:$B,$A668,Fact_Pipeline!$J:$J,"Won",Fact_Pipeline!$I:$I,"&gt;="&amp;B668,Fact_Pipeline!$I:$I,"&lt;"&amp;EDATE(B668,1))</f>
        <v>0</v>
      </c>
      <c r="F668" s="66" t="b">
        <f>AND(D668&gt;0,IFERROR(E668/D668&gt;=G6,FALSE()))</f>
        <v>0</v>
      </c>
      <c r="G668" s="65">
        <f t="shared" si="63"/>
        <v>0</v>
      </c>
      <c r="H668" s="65">
        <f>IF(F668,MAX(0,MIN(E668,I6*D668)-D668)*IFERROR(INDEX($C$158:$C$161,MATCH(C668,$A$158:$A$161,0)),0),0)</f>
        <v>0</v>
      </c>
      <c r="I668" s="65">
        <f>IF(F668,MAX(0,E668-I6*D668)*IFERROR(INDEX($D$158:$D$161,MATCH(C668,$A$158:$A$161,0)),0),0)</f>
        <v>0</v>
      </c>
      <c r="J668" s="65">
        <f t="shared" si="64"/>
        <v>0</v>
      </c>
    </row>
    <row r="669" spans="1:10" ht="15" customHeight="1" outlineLevel="1" x14ac:dyDescent="0.2">
      <c r="A669" s="66" t="str">
        <f t="shared" si="61"/>
        <v>R024</v>
      </c>
      <c r="B669" s="67">
        <f>$A$1440</f>
        <v>45870</v>
      </c>
      <c r="C669" s="66" t="str">
        <f t="shared" si="62"/>
        <v>SDR / Inside Sales Rep</v>
      </c>
      <c r="D669" s="65">
        <f>SUMIFS(Fact_Quota!$D:$D,Fact_Quota!$A:$A,$A669,Fact_Quota!$B:$B,"&gt;="&amp;B669,Fact_Quota!$B:$B,"&lt;"&amp;EDATE(B669,1))</f>
        <v>0</v>
      </c>
      <c r="E669" s="65">
        <f>SUMIFS(Fact_Pipeline!$K:$K,Fact_Pipeline!$B:$B,$A669,Fact_Pipeline!$J:$J,"Won",Fact_Pipeline!$I:$I,"&gt;="&amp;B669,Fact_Pipeline!$I:$I,"&lt;"&amp;EDATE(B669,1))</f>
        <v>0</v>
      </c>
      <c r="F669" s="66" t="b">
        <f>AND(D669&gt;0,IFERROR(E669/D669&gt;=G6,FALSE()))</f>
        <v>0</v>
      </c>
      <c r="G669" s="65">
        <f t="shared" si="63"/>
        <v>0</v>
      </c>
      <c r="H669" s="65">
        <f>IF(F669,MAX(0,MIN(E669,I6*D669)-D669)*IFERROR(INDEX($C$158:$C$161,MATCH(C669,$A$158:$A$161,0)),0),0)</f>
        <v>0</v>
      </c>
      <c r="I669" s="65">
        <f>IF(F669,MAX(0,E669-I6*D669)*IFERROR(INDEX($D$158:$D$161,MATCH(C669,$A$158:$A$161,0)),0),0)</f>
        <v>0</v>
      </c>
      <c r="J669" s="65">
        <f t="shared" si="64"/>
        <v>0</v>
      </c>
    </row>
    <row r="670" spans="1:10" ht="15" customHeight="1" outlineLevel="1" x14ac:dyDescent="0.2">
      <c r="A670" s="66" t="str">
        <f t="shared" si="61"/>
        <v>R024</v>
      </c>
      <c r="B670" s="67">
        <f>$A$1441</f>
        <v>45901</v>
      </c>
      <c r="C670" s="66" t="str">
        <f t="shared" si="62"/>
        <v>SDR / Inside Sales Rep</v>
      </c>
      <c r="D670" s="65">
        <f>SUMIFS(Fact_Quota!$D:$D,Fact_Quota!$A:$A,$A670,Fact_Quota!$B:$B,"&gt;="&amp;B670,Fact_Quota!$B:$B,"&lt;"&amp;EDATE(B670,1))</f>
        <v>3800</v>
      </c>
      <c r="E670" s="65">
        <f>SUMIFS(Fact_Pipeline!$K:$K,Fact_Pipeline!$B:$B,$A670,Fact_Pipeline!$J:$J,"Won",Fact_Pipeline!$I:$I,"&gt;="&amp;B670,Fact_Pipeline!$I:$I,"&lt;"&amp;EDATE(B670,1))</f>
        <v>0</v>
      </c>
      <c r="F670" s="66" t="b">
        <f>AND(D670&gt;0,IFERROR(E670/D670&gt;=G6,FALSE()))</f>
        <v>0</v>
      </c>
      <c r="G670" s="65">
        <f t="shared" si="63"/>
        <v>0</v>
      </c>
      <c r="H670" s="65">
        <f>IF(F670,MAX(0,MIN(E670,I6*D670)-D670)*IFERROR(INDEX($C$158:$C$161,MATCH(C670,$A$158:$A$161,0)),0),0)</f>
        <v>0</v>
      </c>
      <c r="I670" s="65">
        <f>IF(F670,MAX(0,E670-I6*D670)*IFERROR(INDEX($D$158:$D$161,MATCH(C670,$A$158:$A$161,0)),0),0)</f>
        <v>0</v>
      </c>
      <c r="J670" s="65">
        <f t="shared" si="64"/>
        <v>0</v>
      </c>
    </row>
    <row r="671" spans="1:10" ht="15" customHeight="1" outlineLevel="1" x14ac:dyDescent="0.2">
      <c r="A671" s="66" t="str">
        <f t="shared" si="61"/>
        <v>R024</v>
      </c>
      <c r="B671" s="67">
        <f>$A$1442</f>
        <v>45931</v>
      </c>
      <c r="C671" s="66" t="str">
        <f t="shared" si="62"/>
        <v>SDR / Inside Sales Rep</v>
      </c>
      <c r="D671" s="65">
        <f>SUMIFS(Fact_Quota!$D:$D,Fact_Quota!$A:$A,$A671,Fact_Quota!$B:$B,"&gt;="&amp;B671,Fact_Quota!$B:$B,"&lt;"&amp;EDATE(B671,1))</f>
        <v>7900</v>
      </c>
      <c r="E671" s="65">
        <f>SUMIFS(Fact_Pipeline!$K:$K,Fact_Pipeline!$B:$B,$A671,Fact_Pipeline!$J:$J,"Won",Fact_Pipeline!$I:$I,"&gt;="&amp;B671,Fact_Pipeline!$I:$I,"&lt;"&amp;EDATE(B671,1))</f>
        <v>6800</v>
      </c>
      <c r="F671" s="66" t="b">
        <f>AND(D671&gt;0,IFERROR(E671/D671&gt;=G6,FALSE()))</f>
        <v>1</v>
      </c>
      <c r="G671" s="65">
        <f t="shared" si="63"/>
        <v>204</v>
      </c>
      <c r="H671" s="65">
        <f>IF(F671,MAX(0,MIN(E671,I6*D671)-D671)*IFERROR(INDEX($C$158:$C$161,MATCH(C671,$A$158:$A$161,0)),0),0)</f>
        <v>0</v>
      </c>
      <c r="I671" s="65">
        <f>IF(F671,MAX(0,E671-I6*D671)*IFERROR(INDEX($D$158:$D$161,MATCH(C671,$A$158:$A$161,0)),0),0)</f>
        <v>0</v>
      </c>
      <c r="J671" s="65">
        <f t="shared" si="64"/>
        <v>204</v>
      </c>
    </row>
    <row r="672" spans="1:10" ht="15" customHeight="1" outlineLevel="1" x14ac:dyDescent="0.2">
      <c r="A672" s="66" t="str">
        <f t="shared" si="61"/>
        <v>R024</v>
      </c>
      <c r="B672" s="67">
        <f>$A$1443</f>
        <v>45962</v>
      </c>
      <c r="C672" s="66" t="str">
        <f t="shared" si="62"/>
        <v>SDR / Inside Sales Rep</v>
      </c>
      <c r="D672" s="65">
        <f>SUMIFS(Fact_Quota!$D:$D,Fact_Quota!$A:$A,$A672,Fact_Quota!$B:$B,"&gt;="&amp;B672,Fact_Quota!$B:$B,"&lt;"&amp;EDATE(B672,1))</f>
        <v>12000</v>
      </c>
      <c r="E672" s="65">
        <f>SUMIFS(Fact_Pipeline!$K:$K,Fact_Pipeline!$B:$B,$A672,Fact_Pipeline!$J:$J,"Won",Fact_Pipeline!$I:$I,"&gt;="&amp;B672,Fact_Pipeline!$I:$I,"&lt;"&amp;EDATE(B672,1))</f>
        <v>15100</v>
      </c>
      <c r="F672" s="66" t="b">
        <f>AND(D672&gt;0,IFERROR(E672/D672&gt;=G6,FALSE()))</f>
        <v>1</v>
      </c>
      <c r="G672" s="65">
        <f t="shared" si="63"/>
        <v>360</v>
      </c>
      <c r="H672" s="65">
        <f>IF(F672,MAX(0,MIN(E672,I6*D672)-D672)*IFERROR(INDEX($C$158:$C$161,MATCH(C672,$A$158:$A$161,0)),0),0)</f>
        <v>155</v>
      </c>
      <c r="I672" s="65">
        <f>IF(F672,MAX(0,E672-I6*D672)*IFERROR(INDEX($D$158:$D$161,MATCH(C672,$A$158:$A$161,0)),0),0)</f>
        <v>0</v>
      </c>
      <c r="J672" s="65">
        <f t="shared" si="64"/>
        <v>515</v>
      </c>
    </row>
    <row r="673" spans="1:10" ht="15" customHeight="1" outlineLevel="1" x14ac:dyDescent="0.2">
      <c r="A673" s="66" t="str">
        <f t="shared" si="61"/>
        <v>R024</v>
      </c>
      <c r="B673" s="67">
        <f>$A$1444</f>
        <v>45992</v>
      </c>
      <c r="C673" s="66" t="str">
        <f t="shared" si="62"/>
        <v>SDR / Inside Sales Rep</v>
      </c>
      <c r="D673" s="65">
        <f>SUMIFS(Fact_Quota!$D:$D,Fact_Quota!$A:$A,$A673,Fact_Quota!$B:$B,"&gt;="&amp;B673,Fact_Quota!$B:$B,"&lt;"&amp;EDATE(B673,1))</f>
        <v>14700</v>
      </c>
      <c r="E673" s="65">
        <f>SUMIFS(Fact_Pipeline!$K:$K,Fact_Pipeline!$B:$B,$A673,Fact_Pipeline!$J:$J,"Won",Fact_Pipeline!$I:$I,"&gt;="&amp;B673,Fact_Pipeline!$I:$I,"&lt;"&amp;EDATE(B673,1))</f>
        <v>15600</v>
      </c>
      <c r="F673" s="66" t="b">
        <f>AND(D673&gt;0,IFERROR(E673/D673&gt;=G6,FALSE()))</f>
        <v>1</v>
      </c>
      <c r="G673" s="65">
        <f t="shared" si="63"/>
        <v>441</v>
      </c>
      <c r="H673" s="65">
        <f>IF(F673,MAX(0,MIN(E673,I6*D673)-D673)*IFERROR(INDEX($C$158:$C$161,MATCH(C673,$A$158:$A$161,0)),0),0)</f>
        <v>45</v>
      </c>
      <c r="I673" s="65">
        <f>IF(F673,MAX(0,E673-I6*D673)*IFERROR(INDEX($D$158:$D$161,MATCH(C673,$A$158:$A$161,0)),0),0)</f>
        <v>0</v>
      </c>
      <c r="J673" s="65">
        <f t="shared" si="64"/>
        <v>486</v>
      </c>
    </row>
    <row r="674" spans="1:10" ht="15" customHeight="1" outlineLevel="1" x14ac:dyDescent="0.2">
      <c r="A674" s="63" t="str">
        <f t="shared" ref="A674:A697" si="65">$A$184</f>
        <v>R027</v>
      </c>
      <c r="B674" s="64">
        <f>$A$1421</f>
        <v>45292</v>
      </c>
      <c r="C674" s="63" t="str">
        <f t="shared" ref="C674:C697" si="66">$C$184</f>
        <v>SDR / Inside Sales Rep</v>
      </c>
      <c r="D674" s="62">
        <f>SUMIFS(Fact_Quota!$D:$D,Fact_Quota!$A:$A,$A674,Fact_Quota!$B:$B,"&gt;="&amp;B674,Fact_Quota!$B:$B,"&lt;"&amp;EDATE(B674,1))</f>
        <v>16400</v>
      </c>
      <c r="E674" s="62">
        <f>SUMIFS(Fact_Pipeline!$K:$K,Fact_Pipeline!$B:$B,$A674,Fact_Pipeline!$J:$J,"Won",Fact_Pipeline!$I:$I,"&gt;="&amp;B674,Fact_Pipeline!$I:$I,"&lt;"&amp;EDATE(B674,1))</f>
        <v>18100</v>
      </c>
      <c r="F674" s="63" t="b">
        <f>AND(D674&gt;0,IFERROR(E674/D674&gt;=G6,FALSE()))</f>
        <v>1</v>
      </c>
      <c r="G674" s="62">
        <f t="shared" si="63"/>
        <v>492</v>
      </c>
      <c r="H674" s="62">
        <f>IF(F674,MAX(0,MIN(E674,I6*D674)-D674)*IFERROR(INDEX($C$158:$C$161,MATCH(C674,$A$158:$A$161,0)),0),0)</f>
        <v>85</v>
      </c>
      <c r="I674" s="62">
        <f>IF(F674,MAX(0,E674-I6*D674)*IFERROR(INDEX($D$158:$D$161,MATCH(C674,$A$158:$A$161,0)),0),0)</f>
        <v>0</v>
      </c>
      <c r="J674" s="62">
        <f t="shared" si="64"/>
        <v>577</v>
      </c>
    </row>
    <row r="675" spans="1:10" ht="15" customHeight="1" outlineLevel="1" x14ac:dyDescent="0.2">
      <c r="A675" s="63" t="str">
        <f t="shared" si="65"/>
        <v>R027</v>
      </c>
      <c r="B675" s="64">
        <f>$A$1422</f>
        <v>45323</v>
      </c>
      <c r="C675" s="63" t="str">
        <f t="shared" si="66"/>
        <v>SDR / Inside Sales Rep</v>
      </c>
      <c r="D675" s="62">
        <f>SUMIFS(Fact_Quota!$D:$D,Fact_Quota!$A:$A,$A675,Fact_Quota!$B:$B,"&gt;="&amp;B675,Fact_Quota!$B:$B,"&lt;"&amp;EDATE(B675,1))</f>
        <v>15500</v>
      </c>
      <c r="E675" s="62">
        <f>SUMIFS(Fact_Pipeline!$K:$K,Fact_Pipeline!$B:$B,$A675,Fact_Pipeline!$J:$J,"Won",Fact_Pipeline!$I:$I,"&gt;="&amp;B675,Fact_Pipeline!$I:$I,"&lt;"&amp;EDATE(B675,1))</f>
        <v>14000</v>
      </c>
      <c r="F675" s="63" t="b">
        <f>AND(D675&gt;0,IFERROR(E675/D675&gt;=G6,FALSE()))</f>
        <v>1</v>
      </c>
      <c r="G675" s="62">
        <f t="shared" si="63"/>
        <v>420</v>
      </c>
      <c r="H675" s="62">
        <f>IF(F675,MAX(0,MIN(E675,I6*D675)-D675)*IFERROR(INDEX($C$158:$C$161,MATCH(C675,$A$158:$A$161,0)),0),0)</f>
        <v>0</v>
      </c>
      <c r="I675" s="62">
        <f>IF(F675,MAX(0,E675-I6*D675)*IFERROR(INDEX($D$158:$D$161,MATCH(C675,$A$158:$A$161,0)),0),0)</f>
        <v>0</v>
      </c>
      <c r="J675" s="62">
        <f t="shared" si="64"/>
        <v>420</v>
      </c>
    </row>
    <row r="676" spans="1:10" ht="15" customHeight="1" outlineLevel="1" x14ac:dyDescent="0.2">
      <c r="A676" s="63" t="str">
        <f t="shared" si="65"/>
        <v>R027</v>
      </c>
      <c r="B676" s="64">
        <f>$A$1423</f>
        <v>45352</v>
      </c>
      <c r="C676" s="63" t="str">
        <f t="shared" si="66"/>
        <v>SDR / Inside Sales Rep</v>
      </c>
      <c r="D676" s="62">
        <f>SUMIFS(Fact_Quota!$D:$D,Fact_Quota!$A:$A,$A676,Fact_Quota!$B:$B,"&gt;="&amp;B676,Fact_Quota!$B:$B,"&lt;"&amp;EDATE(B676,1))</f>
        <v>15200</v>
      </c>
      <c r="E676" s="62">
        <f>SUMIFS(Fact_Pipeline!$K:$K,Fact_Pipeline!$B:$B,$A676,Fact_Pipeline!$J:$J,"Won",Fact_Pipeline!$I:$I,"&gt;="&amp;B676,Fact_Pipeline!$I:$I,"&lt;"&amp;EDATE(B676,1))</f>
        <v>23700</v>
      </c>
      <c r="F676" s="63" t="b">
        <f>AND(D676&gt;0,IFERROR(E676/D676&gt;=G6,FALSE()))</f>
        <v>1</v>
      </c>
      <c r="G676" s="62">
        <f t="shared" si="63"/>
        <v>456</v>
      </c>
      <c r="H676" s="62">
        <f>IF(F676,MAX(0,MIN(E676,I6*D676)-D676)*IFERROR(INDEX($C$158:$C$161,MATCH(C676,$A$158:$A$161,0)),0),0)</f>
        <v>380</v>
      </c>
      <c r="I676" s="62">
        <f>IF(F676,MAX(0,E676-I6*D676)*IFERROR(INDEX($D$158:$D$161,MATCH(C676,$A$158:$A$161,0)),0),0)</f>
        <v>63.000000000000007</v>
      </c>
      <c r="J676" s="62">
        <f t="shared" si="64"/>
        <v>899</v>
      </c>
    </row>
    <row r="677" spans="1:10" ht="15" customHeight="1" outlineLevel="1" x14ac:dyDescent="0.2">
      <c r="A677" s="63" t="str">
        <f t="shared" si="65"/>
        <v>R027</v>
      </c>
      <c r="B677" s="64">
        <f>$A$1424</f>
        <v>45383</v>
      </c>
      <c r="C677" s="63" t="str">
        <f t="shared" si="66"/>
        <v>SDR / Inside Sales Rep</v>
      </c>
      <c r="D677" s="62">
        <f>SUMIFS(Fact_Quota!$D:$D,Fact_Quota!$A:$A,$A677,Fact_Quota!$B:$B,"&gt;="&amp;B677,Fact_Quota!$B:$B,"&lt;"&amp;EDATE(B677,1))</f>
        <v>15600</v>
      </c>
      <c r="E677" s="62">
        <f>SUMIFS(Fact_Pipeline!$K:$K,Fact_Pipeline!$B:$B,$A677,Fact_Pipeline!$J:$J,"Won",Fact_Pipeline!$I:$I,"&gt;="&amp;B677,Fact_Pipeline!$I:$I,"&lt;"&amp;EDATE(B677,1))</f>
        <v>24400</v>
      </c>
      <c r="F677" s="63" t="b">
        <f>AND(D677&gt;0,IFERROR(E677/D677&gt;=G6,FALSE()))</f>
        <v>1</v>
      </c>
      <c r="G677" s="62">
        <f t="shared" si="63"/>
        <v>468</v>
      </c>
      <c r="H677" s="62">
        <f>IF(F677,MAX(0,MIN(E677,I6*D677)-D677)*IFERROR(INDEX($C$158:$C$161,MATCH(C677,$A$158:$A$161,0)),0),0)</f>
        <v>390</v>
      </c>
      <c r="I677" s="62">
        <f>IF(F677,MAX(0,E677-I6*D677)*IFERROR(INDEX($D$158:$D$161,MATCH(C677,$A$158:$A$161,0)),0),0)</f>
        <v>70</v>
      </c>
      <c r="J677" s="62">
        <f t="shared" si="64"/>
        <v>928</v>
      </c>
    </row>
    <row r="678" spans="1:10" ht="15" customHeight="1" outlineLevel="1" x14ac:dyDescent="0.2">
      <c r="A678" s="63" t="str">
        <f t="shared" si="65"/>
        <v>R027</v>
      </c>
      <c r="B678" s="64">
        <f>$A$1425</f>
        <v>45413</v>
      </c>
      <c r="C678" s="63" t="str">
        <f t="shared" si="66"/>
        <v>SDR / Inside Sales Rep</v>
      </c>
      <c r="D678" s="62">
        <f>SUMIFS(Fact_Quota!$D:$D,Fact_Quota!$A:$A,$A678,Fact_Quota!$B:$B,"&gt;="&amp;B678,Fact_Quota!$B:$B,"&lt;"&amp;EDATE(B678,1))</f>
        <v>15400</v>
      </c>
      <c r="E678" s="62">
        <f>SUMIFS(Fact_Pipeline!$K:$K,Fact_Pipeline!$B:$B,$A678,Fact_Pipeline!$J:$J,"Won",Fact_Pipeline!$I:$I,"&gt;="&amp;B678,Fact_Pipeline!$I:$I,"&lt;"&amp;EDATE(B678,1))</f>
        <v>24900</v>
      </c>
      <c r="F678" s="63" t="b">
        <f>AND(D678&gt;0,IFERROR(E678/D678&gt;=G6,FALSE()))</f>
        <v>1</v>
      </c>
      <c r="G678" s="62">
        <f t="shared" si="63"/>
        <v>462</v>
      </c>
      <c r="H678" s="62">
        <f>IF(F678,MAX(0,MIN(E678,I6*D678)-D678)*IFERROR(INDEX($C$158:$C$161,MATCH(C678,$A$158:$A$161,0)),0),0)</f>
        <v>385</v>
      </c>
      <c r="I678" s="62">
        <f>IF(F678,MAX(0,E678-I6*D678)*IFERROR(INDEX($D$158:$D$161,MATCH(C678,$A$158:$A$161,0)),0),0)</f>
        <v>126.00000000000001</v>
      </c>
      <c r="J678" s="62">
        <f t="shared" si="64"/>
        <v>973</v>
      </c>
    </row>
    <row r="679" spans="1:10" ht="15" customHeight="1" outlineLevel="1" x14ac:dyDescent="0.2">
      <c r="A679" s="63" t="str">
        <f t="shared" si="65"/>
        <v>R027</v>
      </c>
      <c r="B679" s="64">
        <f>$A$1426</f>
        <v>45444</v>
      </c>
      <c r="C679" s="63" t="str">
        <f t="shared" si="66"/>
        <v>SDR / Inside Sales Rep</v>
      </c>
      <c r="D679" s="62">
        <f>SUMIFS(Fact_Quota!$D:$D,Fact_Quota!$A:$A,$A679,Fact_Quota!$B:$B,"&gt;="&amp;B679,Fact_Quota!$B:$B,"&lt;"&amp;EDATE(B679,1))</f>
        <v>15400</v>
      </c>
      <c r="E679" s="62">
        <f>SUMIFS(Fact_Pipeline!$K:$K,Fact_Pipeline!$B:$B,$A679,Fact_Pipeline!$J:$J,"Won",Fact_Pipeline!$I:$I,"&gt;="&amp;B679,Fact_Pipeline!$I:$I,"&lt;"&amp;EDATE(B679,1))</f>
        <v>19800</v>
      </c>
      <c r="F679" s="63" t="b">
        <f>AND(D679&gt;0,IFERROR(E679/D679&gt;=G6,FALSE()))</f>
        <v>1</v>
      </c>
      <c r="G679" s="62">
        <f t="shared" si="63"/>
        <v>462</v>
      </c>
      <c r="H679" s="62">
        <f>IF(F679,MAX(0,MIN(E679,I6*D679)-D679)*IFERROR(INDEX($C$158:$C$161,MATCH(C679,$A$158:$A$161,0)),0),0)</f>
        <v>220</v>
      </c>
      <c r="I679" s="62">
        <f>IF(F679,MAX(0,E679-I6*D679)*IFERROR(INDEX($D$158:$D$161,MATCH(C679,$A$158:$A$161,0)),0),0)</f>
        <v>0</v>
      </c>
      <c r="J679" s="62">
        <f t="shared" si="64"/>
        <v>682</v>
      </c>
    </row>
    <row r="680" spans="1:10" ht="15" customHeight="1" outlineLevel="1" x14ac:dyDescent="0.2">
      <c r="A680" s="63" t="str">
        <f t="shared" si="65"/>
        <v>R027</v>
      </c>
      <c r="B680" s="64">
        <f>$A$1427</f>
        <v>45474</v>
      </c>
      <c r="C680" s="63" t="str">
        <f t="shared" si="66"/>
        <v>SDR / Inside Sales Rep</v>
      </c>
      <c r="D680" s="62">
        <f>SUMIFS(Fact_Quota!$D:$D,Fact_Quota!$A:$A,$A680,Fact_Quota!$B:$B,"&gt;="&amp;B680,Fact_Quota!$B:$B,"&lt;"&amp;EDATE(B680,1))</f>
        <v>15800</v>
      </c>
      <c r="E680" s="62">
        <f>SUMIFS(Fact_Pipeline!$K:$K,Fact_Pipeline!$B:$B,$A680,Fact_Pipeline!$J:$J,"Won",Fact_Pipeline!$I:$I,"&gt;="&amp;B680,Fact_Pipeline!$I:$I,"&lt;"&amp;EDATE(B680,1))</f>
        <v>37400</v>
      </c>
      <c r="F680" s="63" t="b">
        <f>AND(D680&gt;0,IFERROR(E680/D680&gt;=G6,FALSE()))</f>
        <v>1</v>
      </c>
      <c r="G680" s="62">
        <f t="shared" si="63"/>
        <v>474</v>
      </c>
      <c r="H680" s="62">
        <f>IF(F680,MAX(0,MIN(E680,I6*D680)-D680)*IFERROR(INDEX($C$158:$C$161,MATCH(C680,$A$158:$A$161,0)),0),0)</f>
        <v>395</v>
      </c>
      <c r="I680" s="62">
        <f>IF(F680,MAX(0,E680-I6*D680)*IFERROR(INDEX($D$158:$D$161,MATCH(C680,$A$158:$A$161,0)),0),0)</f>
        <v>959.00000000000011</v>
      </c>
      <c r="J680" s="62">
        <f t="shared" si="64"/>
        <v>1828</v>
      </c>
    </row>
    <row r="681" spans="1:10" ht="15" customHeight="1" outlineLevel="1" x14ac:dyDescent="0.2">
      <c r="A681" s="63" t="str">
        <f t="shared" si="65"/>
        <v>R027</v>
      </c>
      <c r="B681" s="64">
        <f>$A$1428</f>
        <v>45505</v>
      </c>
      <c r="C681" s="63" t="str">
        <f t="shared" si="66"/>
        <v>SDR / Inside Sales Rep</v>
      </c>
      <c r="D681" s="62">
        <f>SUMIFS(Fact_Quota!$D:$D,Fact_Quota!$A:$A,$A681,Fact_Quota!$B:$B,"&gt;="&amp;B681,Fact_Quota!$B:$B,"&lt;"&amp;EDATE(B681,1))</f>
        <v>15900</v>
      </c>
      <c r="E681" s="62">
        <f>SUMIFS(Fact_Pipeline!$K:$K,Fact_Pipeline!$B:$B,$A681,Fact_Pipeline!$J:$J,"Won",Fact_Pipeline!$I:$I,"&gt;="&amp;B681,Fact_Pipeline!$I:$I,"&lt;"&amp;EDATE(B681,1))</f>
        <v>24300</v>
      </c>
      <c r="F681" s="63" t="b">
        <f>AND(D681&gt;0,IFERROR(E681/D681&gt;=G6,FALSE()))</f>
        <v>1</v>
      </c>
      <c r="G681" s="62">
        <f t="shared" si="63"/>
        <v>477</v>
      </c>
      <c r="H681" s="62">
        <f>IF(F681,MAX(0,MIN(E681,I6*D681)-D681)*IFERROR(INDEX($C$158:$C$161,MATCH(C681,$A$158:$A$161,0)),0),0)</f>
        <v>397.5</v>
      </c>
      <c r="I681" s="62">
        <f>IF(F681,MAX(0,E681-I6*D681)*IFERROR(INDEX($D$158:$D$161,MATCH(C681,$A$158:$A$161,0)),0),0)</f>
        <v>31.500000000000004</v>
      </c>
      <c r="J681" s="62">
        <f t="shared" si="64"/>
        <v>906</v>
      </c>
    </row>
    <row r="682" spans="1:10" ht="15" customHeight="1" outlineLevel="1" x14ac:dyDescent="0.2">
      <c r="A682" s="63" t="str">
        <f t="shared" si="65"/>
        <v>R027</v>
      </c>
      <c r="B682" s="64">
        <f>$A$1429</f>
        <v>45536</v>
      </c>
      <c r="C682" s="63" t="str">
        <f t="shared" si="66"/>
        <v>SDR / Inside Sales Rep</v>
      </c>
      <c r="D682" s="62">
        <f>SUMIFS(Fact_Quota!$D:$D,Fact_Quota!$A:$A,$A682,Fact_Quota!$B:$B,"&gt;="&amp;B682,Fact_Quota!$B:$B,"&lt;"&amp;EDATE(B682,1))</f>
        <v>15300</v>
      </c>
      <c r="E682" s="62">
        <f>SUMIFS(Fact_Pipeline!$K:$K,Fact_Pipeline!$B:$B,$A682,Fact_Pipeline!$J:$J,"Won",Fact_Pipeline!$I:$I,"&gt;="&amp;B682,Fact_Pipeline!$I:$I,"&lt;"&amp;EDATE(B682,1))</f>
        <v>15000</v>
      </c>
      <c r="F682" s="63" t="b">
        <f>AND(D682&gt;0,IFERROR(E682/D682&gt;=G6,FALSE()))</f>
        <v>1</v>
      </c>
      <c r="G682" s="62">
        <f t="shared" si="63"/>
        <v>450</v>
      </c>
      <c r="H682" s="62">
        <f>IF(F682,MAX(0,MIN(E682,I6*D682)-D682)*IFERROR(INDEX($C$158:$C$161,MATCH(C682,$A$158:$A$161,0)),0),0)</f>
        <v>0</v>
      </c>
      <c r="I682" s="62">
        <f>IF(F682,MAX(0,E682-I6*D682)*IFERROR(INDEX($D$158:$D$161,MATCH(C682,$A$158:$A$161,0)),0),0)</f>
        <v>0</v>
      </c>
      <c r="J682" s="62">
        <f t="shared" si="64"/>
        <v>450</v>
      </c>
    </row>
    <row r="683" spans="1:10" ht="15" customHeight="1" outlineLevel="1" x14ac:dyDescent="0.2">
      <c r="A683" s="63" t="str">
        <f t="shared" si="65"/>
        <v>R027</v>
      </c>
      <c r="B683" s="64">
        <f>$A$1430</f>
        <v>45566</v>
      </c>
      <c r="C683" s="63" t="str">
        <f t="shared" si="66"/>
        <v>SDR / Inside Sales Rep</v>
      </c>
      <c r="D683" s="62">
        <f>SUMIFS(Fact_Quota!$D:$D,Fact_Quota!$A:$A,$A683,Fact_Quota!$B:$B,"&gt;="&amp;B683,Fact_Quota!$B:$B,"&lt;"&amp;EDATE(B683,1))</f>
        <v>15200</v>
      </c>
      <c r="E683" s="62">
        <f>SUMIFS(Fact_Pipeline!$K:$K,Fact_Pipeline!$B:$B,$A683,Fact_Pipeline!$J:$J,"Won",Fact_Pipeline!$I:$I,"&gt;="&amp;B683,Fact_Pipeline!$I:$I,"&lt;"&amp;EDATE(B683,1))</f>
        <v>23400</v>
      </c>
      <c r="F683" s="63" t="b">
        <f>AND(D683&gt;0,IFERROR(E683/D683&gt;=G6,FALSE()))</f>
        <v>1</v>
      </c>
      <c r="G683" s="62">
        <f t="shared" si="63"/>
        <v>456</v>
      </c>
      <c r="H683" s="62">
        <f>IF(F683,MAX(0,MIN(E683,I6*D683)-D683)*IFERROR(INDEX($C$158:$C$161,MATCH(C683,$A$158:$A$161,0)),0),0)</f>
        <v>380</v>
      </c>
      <c r="I683" s="62">
        <f>IF(F683,MAX(0,E683-I6*D683)*IFERROR(INDEX($D$158:$D$161,MATCH(C683,$A$158:$A$161,0)),0),0)</f>
        <v>42.000000000000007</v>
      </c>
      <c r="J683" s="62">
        <f t="shared" si="64"/>
        <v>878</v>
      </c>
    </row>
    <row r="684" spans="1:10" ht="15" customHeight="1" outlineLevel="1" x14ac:dyDescent="0.2">
      <c r="A684" s="63" t="str">
        <f t="shared" si="65"/>
        <v>R027</v>
      </c>
      <c r="B684" s="64">
        <f>$A$1431</f>
        <v>45597</v>
      </c>
      <c r="C684" s="63" t="str">
        <f t="shared" si="66"/>
        <v>SDR / Inside Sales Rep</v>
      </c>
      <c r="D684" s="62">
        <f>SUMIFS(Fact_Quota!$D:$D,Fact_Quota!$A:$A,$A684,Fact_Quota!$B:$B,"&gt;="&amp;B684,Fact_Quota!$B:$B,"&lt;"&amp;EDATE(B684,1))</f>
        <v>15400</v>
      </c>
      <c r="E684" s="62">
        <f>SUMIFS(Fact_Pipeline!$K:$K,Fact_Pipeline!$B:$B,$A684,Fact_Pipeline!$J:$J,"Won",Fact_Pipeline!$I:$I,"&gt;="&amp;B684,Fact_Pipeline!$I:$I,"&lt;"&amp;EDATE(B684,1))</f>
        <v>25000</v>
      </c>
      <c r="F684" s="63" t="b">
        <f>AND(D684&gt;0,IFERROR(E684/D684&gt;=G6,FALSE()))</f>
        <v>1</v>
      </c>
      <c r="G684" s="62">
        <f t="shared" si="63"/>
        <v>462</v>
      </c>
      <c r="H684" s="62">
        <f>IF(F684,MAX(0,MIN(E684,I6*D684)-D684)*IFERROR(INDEX($C$158:$C$161,MATCH(C684,$A$158:$A$161,0)),0),0)</f>
        <v>385</v>
      </c>
      <c r="I684" s="62">
        <f>IF(F684,MAX(0,E684-I6*D684)*IFERROR(INDEX($D$158:$D$161,MATCH(C684,$A$158:$A$161,0)),0),0)</f>
        <v>133</v>
      </c>
      <c r="J684" s="62">
        <f t="shared" si="64"/>
        <v>980</v>
      </c>
    </row>
    <row r="685" spans="1:10" ht="15" customHeight="1" outlineLevel="1" x14ac:dyDescent="0.2">
      <c r="A685" s="63" t="str">
        <f t="shared" si="65"/>
        <v>R027</v>
      </c>
      <c r="B685" s="64">
        <f>$A$1432</f>
        <v>45627</v>
      </c>
      <c r="C685" s="63" t="str">
        <f t="shared" si="66"/>
        <v>SDR / Inside Sales Rep</v>
      </c>
      <c r="D685" s="62">
        <f>SUMIFS(Fact_Quota!$D:$D,Fact_Quota!$A:$A,$A685,Fact_Quota!$B:$B,"&gt;="&amp;B685,Fact_Quota!$B:$B,"&lt;"&amp;EDATE(B685,1))</f>
        <v>14400</v>
      </c>
      <c r="E685" s="62">
        <f>SUMIFS(Fact_Pipeline!$K:$K,Fact_Pipeline!$B:$B,$A685,Fact_Pipeline!$J:$J,"Won",Fact_Pipeline!$I:$I,"&gt;="&amp;B685,Fact_Pipeline!$I:$I,"&lt;"&amp;EDATE(B685,1))</f>
        <v>9300</v>
      </c>
      <c r="F685" s="63" t="b">
        <f>AND(D685&gt;0,IFERROR(E685/D685&gt;=G6,FALSE()))</f>
        <v>1</v>
      </c>
      <c r="G685" s="62">
        <f t="shared" si="63"/>
        <v>279</v>
      </c>
      <c r="H685" s="62">
        <f>IF(F685,MAX(0,MIN(E685,I6*D685)-D685)*IFERROR(INDEX($C$158:$C$161,MATCH(C685,$A$158:$A$161,0)),0),0)</f>
        <v>0</v>
      </c>
      <c r="I685" s="62">
        <f>IF(F685,MAX(0,E685-I6*D685)*IFERROR(INDEX($D$158:$D$161,MATCH(C685,$A$158:$A$161,0)),0),0)</f>
        <v>0</v>
      </c>
      <c r="J685" s="62">
        <f t="shared" si="64"/>
        <v>279</v>
      </c>
    </row>
    <row r="686" spans="1:10" ht="15" customHeight="1" outlineLevel="1" x14ac:dyDescent="0.2">
      <c r="A686" s="63" t="str">
        <f t="shared" si="65"/>
        <v>R027</v>
      </c>
      <c r="B686" s="64">
        <f>$A$1433</f>
        <v>45658</v>
      </c>
      <c r="C686" s="63" t="str">
        <f t="shared" si="66"/>
        <v>SDR / Inside Sales Rep</v>
      </c>
      <c r="D686" s="62">
        <f>SUMIFS(Fact_Quota!$D:$D,Fact_Quota!$A:$A,$A686,Fact_Quota!$B:$B,"&gt;="&amp;B686,Fact_Quota!$B:$B,"&lt;"&amp;EDATE(B686,1))</f>
        <v>14800</v>
      </c>
      <c r="E686" s="62">
        <f>SUMIFS(Fact_Pipeline!$K:$K,Fact_Pipeline!$B:$B,$A686,Fact_Pipeline!$J:$J,"Won",Fact_Pipeline!$I:$I,"&gt;="&amp;B686,Fact_Pipeline!$I:$I,"&lt;"&amp;EDATE(B686,1))</f>
        <v>7500</v>
      </c>
      <c r="F686" s="63" t="b">
        <f>AND(D686&gt;0,IFERROR(E686/D686&gt;=G6,FALSE()))</f>
        <v>1</v>
      </c>
      <c r="G686" s="62">
        <f t="shared" si="63"/>
        <v>225</v>
      </c>
      <c r="H686" s="62">
        <f>IF(F686,MAX(0,MIN(E686,I6*D686)-D686)*IFERROR(INDEX($C$158:$C$161,MATCH(C686,$A$158:$A$161,0)),0),0)</f>
        <v>0</v>
      </c>
      <c r="I686" s="62">
        <f>IF(F686,MAX(0,E686-I6*D686)*IFERROR(INDEX($D$158:$D$161,MATCH(C686,$A$158:$A$161,0)),0),0)</f>
        <v>0</v>
      </c>
      <c r="J686" s="62">
        <f t="shared" si="64"/>
        <v>225</v>
      </c>
    </row>
    <row r="687" spans="1:10" ht="15" customHeight="1" outlineLevel="1" x14ac:dyDescent="0.2">
      <c r="A687" s="63" t="str">
        <f t="shared" si="65"/>
        <v>R027</v>
      </c>
      <c r="B687" s="64">
        <f>$A$1434</f>
        <v>45689</v>
      </c>
      <c r="C687" s="63" t="str">
        <f t="shared" si="66"/>
        <v>SDR / Inside Sales Rep</v>
      </c>
      <c r="D687" s="62">
        <f>SUMIFS(Fact_Quota!$D:$D,Fact_Quota!$A:$A,$A687,Fact_Quota!$B:$B,"&gt;="&amp;B687,Fact_Quota!$B:$B,"&lt;"&amp;EDATE(B687,1))</f>
        <v>16100</v>
      </c>
      <c r="E687" s="62">
        <f>SUMIFS(Fact_Pipeline!$K:$K,Fact_Pipeline!$B:$B,$A687,Fact_Pipeline!$J:$J,"Won",Fact_Pipeline!$I:$I,"&gt;="&amp;B687,Fact_Pipeline!$I:$I,"&lt;"&amp;EDATE(B687,1))</f>
        <v>14100</v>
      </c>
      <c r="F687" s="63" t="b">
        <f>AND(D687&gt;0,IFERROR(E687/D687&gt;=G6,FALSE()))</f>
        <v>1</v>
      </c>
      <c r="G687" s="62">
        <f t="shared" si="63"/>
        <v>423</v>
      </c>
      <c r="H687" s="62">
        <f>IF(F687,MAX(0,MIN(E687,I6*D687)-D687)*IFERROR(INDEX($C$158:$C$161,MATCH(C687,$A$158:$A$161,0)),0),0)</f>
        <v>0</v>
      </c>
      <c r="I687" s="62">
        <f>IF(F687,MAX(0,E687-I6*D687)*IFERROR(INDEX($D$158:$D$161,MATCH(C687,$A$158:$A$161,0)),0),0)</f>
        <v>0</v>
      </c>
      <c r="J687" s="62">
        <f t="shared" si="64"/>
        <v>423</v>
      </c>
    </row>
    <row r="688" spans="1:10" ht="15" customHeight="1" outlineLevel="1" x14ac:dyDescent="0.2">
      <c r="A688" s="63" t="str">
        <f t="shared" si="65"/>
        <v>R027</v>
      </c>
      <c r="B688" s="64">
        <f>$A$1435</f>
        <v>45717</v>
      </c>
      <c r="C688" s="63" t="str">
        <f t="shared" si="66"/>
        <v>SDR / Inside Sales Rep</v>
      </c>
      <c r="D688" s="62">
        <f>SUMIFS(Fact_Quota!$D:$D,Fact_Quota!$A:$A,$A688,Fact_Quota!$B:$B,"&gt;="&amp;B688,Fact_Quota!$B:$B,"&lt;"&amp;EDATE(B688,1))</f>
        <v>16300</v>
      </c>
      <c r="E688" s="62">
        <f>SUMIFS(Fact_Pipeline!$K:$K,Fact_Pipeline!$B:$B,$A688,Fact_Pipeline!$J:$J,"Won",Fact_Pipeline!$I:$I,"&gt;="&amp;B688,Fact_Pipeline!$I:$I,"&lt;"&amp;EDATE(B688,1))</f>
        <v>17300</v>
      </c>
      <c r="F688" s="63" t="b">
        <f>AND(D688&gt;0,IFERROR(E688/D688&gt;=G6,FALSE()))</f>
        <v>1</v>
      </c>
      <c r="G688" s="62">
        <f t="shared" si="63"/>
        <v>489</v>
      </c>
      <c r="H688" s="62">
        <f>IF(F688,MAX(0,MIN(E688,I6*D688)-D688)*IFERROR(INDEX($C$158:$C$161,MATCH(C688,$A$158:$A$161,0)),0),0)</f>
        <v>50</v>
      </c>
      <c r="I688" s="62">
        <f>IF(F688,MAX(0,E688-I6*D688)*IFERROR(INDEX($D$158:$D$161,MATCH(C688,$A$158:$A$161,0)),0),0)</f>
        <v>0</v>
      </c>
      <c r="J688" s="62">
        <f t="shared" si="64"/>
        <v>539</v>
      </c>
    </row>
    <row r="689" spans="1:10" ht="15" customHeight="1" outlineLevel="1" x14ac:dyDescent="0.2">
      <c r="A689" s="63" t="str">
        <f t="shared" si="65"/>
        <v>R027</v>
      </c>
      <c r="B689" s="64">
        <f>$A$1436</f>
        <v>45748</v>
      </c>
      <c r="C689" s="63" t="str">
        <f t="shared" si="66"/>
        <v>SDR / Inside Sales Rep</v>
      </c>
      <c r="D689" s="62">
        <f>SUMIFS(Fact_Quota!$D:$D,Fact_Quota!$A:$A,$A689,Fact_Quota!$B:$B,"&gt;="&amp;B689,Fact_Quota!$B:$B,"&lt;"&amp;EDATE(B689,1))</f>
        <v>15400</v>
      </c>
      <c r="E689" s="62">
        <f>SUMIFS(Fact_Pipeline!$K:$K,Fact_Pipeline!$B:$B,$A689,Fact_Pipeline!$J:$J,"Won",Fact_Pipeline!$I:$I,"&gt;="&amp;B689,Fact_Pipeline!$I:$I,"&lt;"&amp;EDATE(B689,1))</f>
        <v>12000</v>
      </c>
      <c r="F689" s="63" t="b">
        <f>AND(D689&gt;0,IFERROR(E689/D689&gt;=G6,FALSE()))</f>
        <v>1</v>
      </c>
      <c r="G689" s="62">
        <f t="shared" si="63"/>
        <v>360</v>
      </c>
      <c r="H689" s="62">
        <f>IF(F689,MAX(0,MIN(E689,I6*D689)-D689)*IFERROR(INDEX($C$158:$C$161,MATCH(C689,$A$158:$A$161,0)),0),0)</f>
        <v>0</v>
      </c>
      <c r="I689" s="62">
        <f>IF(F689,MAX(0,E689-I6*D689)*IFERROR(INDEX($D$158:$D$161,MATCH(C689,$A$158:$A$161,0)),0),0)</f>
        <v>0</v>
      </c>
      <c r="J689" s="62">
        <f t="shared" si="64"/>
        <v>360</v>
      </c>
    </row>
    <row r="690" spans="1:10" ht="15" customHeight="1" outlineLevel="1" x14ac:dyDescent="0.2">
      <c r="A690" s="63" t="str">
        <f t="shared" si="65"/>
        <v>R027</v>
      </c>
      <c r="B690" s="64">
        <f>$A$1437</f>
        <v>45778</v>
      </c>
      <c r="C690" s="63" t="str">
        <f t="shared" si="66"/>
        <v>SDR / Inside Sales Rep</v>
      </c>
      <c r="D690" s="62">
        <f>SUMIFS(Fact_Quota!$D:$D,Fact_Quota!$A:$A,$A690,Fact_Quota!$B:$B,"&gt;="&amp;B690,Fact_Quota!$B:$B,"&lt;"&amp;EDATE(B690,1))</f>
        <v>15800</v>
      </c>
      <c r="E690" s="62">
        <f>SUMIFS(Fact_Pipeline!$K:$K,Fact_Pipeline!$B:$B,$A690,Fact_Pipeline!$J:$J,"Won",Fact_Pipeline!$I:$I,"&gt;="&amp;B690,Fact_Pipeline!$I:$I,"&lt;"&amp;EDATE(B690,1))</f>
        <v>21400</v>
      </c>
      <c r="F690" s="63" t="b">
        <f>AND(D690&gt;0,IFERROR(E690/D690&gt;=G6,FALSE()))</f>
        <v>1</v>
      </c>
      <c r="G690" s="62">
        <f t="shared" si="63"/>
        <v>474</v>
      </c>
      <c r="H690" s="62">
        <f>IF(F690,MAX(0,MIN(E690,I6*D690)-D690)*IFERROR(INDEX($C$158:$C$161,MATCH(C690,$A$158:$A$161,0)),0),0)</f>
        <v>280</v>
      </c>
      <c r="I690" s="62">
        <f>IF(F690,MAX(0,E690-I6*D690)*IFERROR(INDEX($D$158:$D$161,MATCH(C690,$A$158:$A$161,0)),0),0)</f>
        <v>0</v>
      </c>
      <c r="J690" s="62">
        <f t="shared" si="64"/>
        <v>754</v>
      </c>
    </row>
    <row r="691" spans="1:10" ht="15" customHeight="1" outlineLevel="1" x14ac:dyDescent="0.2">
      <c r="A691" s="63" t="str">
        <f t="shared" si="65"/>
        <v>R027</v>
      </c>
      <c r="B691" s="64">
        <f>$A$1438</f>
        <v>45809</v>
      </c>
      <c r="C691" s="63" t="str">
        <f t="shared" si="66"/>
        <v>SDR / Inside Sales Rep</v>
      </c>
      <c r="D691" s="62">
        <f>SUMIFS(Fact_Quota!$D:$D,Fact_Quota!$A:$A,$A691,Fact_Quota!$B:$B,"&gt;="&amp;B691,Fact_Quota!$B:$B,"&lt;"&amp;EDATE(B691,1))</f>
        <v>15600</v>
      </c>
      <c r="E691" s="62">
        <f>SUMIFS(Fact_Pipeline!$K:$K,Fact_Pipeline!$B:$B,$A691,Fact_Pipeline!$J:$J,"Won",Fact_Pipeline!$I:$I,"&gt;="&amp;B691,Fact_Pipeline!$I:$I,"&lt;"&amp;EDATE(B691,1))</f>
        <v>7400</v>
      </c>
      <c r="F691" s="63" t="b">
        <f>AND(D691&gt;0,IFERROR(E691/D691&gt;=G6,FALSE()))</f>
        <v>0</v>
      </c>
      <c r="G691" s="62">
        <f t="shared" si="63"/>
        <v>0</v>
      </c>
      <c r="H691" s="62">
        <f>IF(F691,MAX(0,MIN(E691,I6*D691)-D691)*IFERROR(INDEX($C$158:$C$161,MATCH(C691,$A$158:$A$161,0)),0),0)</f>
        <v>0</v>
      </c>
      <c r="I691" s="62">
        <f>IF(F691,MAX(0,E691-I6*D691)*IFERROR(INDEX($D$158:$D$161,MATCH(C691,$A$158:$A$161,0)),0),0)</f>
        <v>0</v>
      </c>
      <c r="J691" s="62">
        <f t="shared" si="64"/>
        <v>0</v>
      </c>
    </row>
    <row r="692" spans="1:10" ht="15" customHeight="1" outlineLevel="1" x14ac:dyDescent="0.2">
      <c r="A692" s="63" t="str">
        <f t="shared" si="65"/>
        <v>R027</v>
      </c>
      <c r="B692" s="64">
        <f>$A$1439</f>
        <v>45839</v>
      </c>
      <c r="C692" s="63" t="str">
        <f t="shared" si="66"/>
        <v>SDR / Inside Sales Rep</v>
      </c>
      <c r="D692" s="62">
        <f>SUMIFS(Fact_Quota!$D:$D,Fact_Quota!$A:$A,$A692,Fact_Quota!$B:$B,"&gt;="&amp;B692,Fact_Quota!$B:$B,"&lt;"&amp;EDATE(B692,1))</f>
        <v>16900</v>
      </c>
      <c r="E692" s="62">
        <f>SUMIFS(Fact_Pipeline!$K:$K,Fact_Pipeline!$B:$B,$A692,Fact_Pipeline!$J:$J,"Won",Fact_Pipeline!$I:$I,"&gt;="&amp;B692,Fact_Pipeline!$I:$I,"&lt;"&amp;EDATE(B692,1))</f>
        <v>13800</v>
      </c>
      <c r="F692" s="63" t="b">
        <f>AND(D692&gt;0,IFERROR(E692/D692&gt;=G6,FALSE()))</f>
        <v>1</v>
      </c>
      <c r="G692" s="62">
        <f t="shared" si="63"/>
        <v>414</v>
      </c>
      <c r="H692" s="62">
        <f>IF(F692,MAX(0,MIN(E692,I6*D692)-D692)*IFERROR(INDEX($C$158:$C$161,MATCH(C692,$A$158:$A$161,0)),0),0)</f>
        <v>0</v>
      </c>
      <c r="I692" s="62">
        <f>IF(F692,MAX(0,E692-I6*D692)*IFERROR(INDEX($D$158:$D$161,MATCH(C692,$A$158:$A$161,0)),0),0)</f>
        <v>0</v>
      </c>
      <c r="J692" s="62">
        <f t="shared" si="64"/>
        <v>414</v>
      </c>
    </row>
    <row r="693" spans="1:10" ht="15" customHeight="1" outlineLevel="1" x14ac:dyDescent="0.2">
      <c r="A693" s="63" t="str">
        <f t="shared" si="65"/>
        <v>R027</v>
      </c>
      <c r="B693" s="64">
        <f>$A$1440</f>
        <v>45870</v>
      </c>
      <c r="C693" s="63" t="str">
        <f t="shared" si="66"/>
        <v>SDR / Inside Sales Rep</v>
      </c>
      <c r="D693" s="62">
        <f>SUMIFS(Fact_Quota!$D:$D,Fact_Quota!$A:$A,$A693,Fact_Quota!$B:$B,"&gt;="&amp;B693,Fact_Quota!$B:$B,"&lt;"&amp;EDATE(B693,1))</f>
        <v>16000</v>
      </c>
      <c r="E693" s="62">
        <f>SUMIFS(Fact_Pipeline!$K:$K,Fact_Pipeline!$B:$B,$A693,Fact_Pipeline!$J:$J,"Won",Fact_Pipeline!$I:$I,"&gt;="&amp;B693,Fact_Pipeline!$I:$I,"&lt;"&amp;EDATE(B693,1))</f>
        <v>35400</v>
      </c>
      <c r="F693" s="63" t="b">
        <f>AND(D693&gt;0,IFERROR(E693/D693&gt;=G6,FALSE()))</f>
        <v>1</v>
      </c>
      <c r="G693" s="62">
        <f t="shared" si="63"/>
        <v>480</v>
      </c>
      <c r="H693" s="62">
        <f>IF(F693,MAX(0,MIN(E693,I6*D693)-D693)*IFERROR(INDEX($C$158:$C$161,MATCH(C693,$A$158:$A$161,0)),0),0)</f>
        <v>400</v>
      </c>
      <c r="I693" s="62">
        <f>IF(F693,MAX(0,E693-I6*D693)*IFERROR(INDEX($D$158:$D$161,MATCH(C693,$A$158:$A$161,0)),0),0)</f>
        <v>798.00000000000011</v>
      </c>
      <c r="J693" s="62">
        <f t="shared" si="64"/>
        <v>1678</v>
      </c>
    </row>
    <row r="694" spans="1:10" ht="15" customHeight="1" outlineLevel="1" x14ac:dyDescent="0.2">
      <c r="A694" s="63" t="str">
        <f t="shared" si="65"/>
        <v>R027</v>
      </c>
      <c r="B694" s="64">
        <f>$A$1441</f>
        <v>45901</v>
      </c>
      <c r="C694" s="63" t="str">
        <f t="shared" si="66"/>
        <v>SDR / Inside Sales Rep</v>
      </c>
      <c r="D694" s="62">
        <f>SUMIFS(Fact_Quota!$D:$D,Fact_Quota!$A:$A,$A694,Fact_Quota!$B:$B,"&gt;="&amp;B694,Fact_Quota!$B:$B,"&lt;"&amp;EDATE(B694,1))</f>
        <v>15400</v>
      </c>
      <c r="E694" s="62">
        <f>SUMIFS(Fact_Pipeline!$K:$K,Fact_Pipeline!$B:$B,$A694,Fact_Pipeline!$J:$J,"Won",Fact_Pipeline!$I:$I,"&gt;="&amp;B694,Fact_Pipeline!$I:$I,"&lt;"&amp;EDATE(B694,1))</f>
        <v>6700</v>
      </c>
      <c r="F694" s="63" t="b">
        <f>AND(D694&gt;0,IFERROR(E694/D694&gt;=G6,FALSE()))</f>
        <v>0</v>
      </c>
      <c r="G694" s="62">
        <f t="shared" si="63"/>
        <v>0</v>
      </c>
      <c r="H694" s="62">
        <f>IF(F694,MAX(0,MIN(E694,I6*D694)-D694)*IFERROR(INDEX($C$158:$C$161,MATCH(C694,$A$158:$A$161,0)),0),0)</f>
        <v>0</v>
      </c>
      <c r="I694" s="62">
        <f>IF(F694,MAX(0,E694-I6*D694)*IFERROR(INDEX($D$158:$D$161,MATCH(C694,$A$158:$A$161,0)),0),0)</f>
        <v>0</v>
      </c>
      <c r="J694" s="62">
        <f t="shared" si="64"/>
        <v>0</v>
      </c>
    </row>
    <row r="695" spans="1:10" ht="15" customHeight="1" outlineLevel="1" x14ac:dyDescent="0.2">
      <c r="A695" s="63" t="str">
        <f t="shared" si="65"/>
        <v>R027</v>
      </c>
      <c r="B695" s="64">
        <f>$A$1442</f>
        <v>45931</v>
      </c>
      <c r="C695" s="63" t="str">
        <f t="shared" si="66"/>
        <v>SDR / Inside Sales Rep</v>
      </c>
      <c r="D695" s="62">
        <f>SUMIFS(Fact_Quota!$D:$D,Fact_Quota!$A:$A,$A695,Fact_Quota!$B:$B,"&gt;="&amp;B695,Fact_Quota!$B:$B,"&lt;"&amp;EDATE(B695,1))</f>
        <v>0</v>
      </c>
      <c r="E695" s="62">
        <f>SUMIFS(Fact_Pipeline!$K:$K,Fact_Pipeline!$B:$B,$A695,Fact_Pipeline!$J:$J,"Won",Fact_Pipeline!$I:$I,"&gt;="&amp;B695,Fact_Pipeline!$I:$I,"&lt;"&amp;EDATE(B695,1))</f>
        <v>8600</v>
      </c>
      <c r="F695" s="63" t="b">
        <f>AND(D695&gt;0,IFERROR(E695/D695&gt;=G6,FALSE()))</f>
        <v>0</v>
      </c>
      <c r="G695" s="62">
        <f t="shared" si="63"/>
        <v>0</v>
      </c>
      <c r="H695" s="62">
        <f>IF(F695,MAX(0,MIN(E695,I6*D695)-D695)*IFERROR(INDEX($C$158:$C$161,MATCH(C695,$A$158:$A$161,0)),0),0)</f>
        <v>0</v>
      </c>
      <c r="I695" s="62">
        <f>IF(F695,MAX(0,E695-I6*D695)*IFERROR(INDEX($D$158:$D$161,MATCH(C695,$A$158:$A$161,0)),0),0)</f>
        <v>0</v>
      </c>
      <c r="J695" s="62">
        <f t="shared" si="64"/>
        <v>0</v>
      </c>
    </row>
    <row r="696" spans="1:10" ht="15" customHeight="1" outlineLevel="1" x14ac:dyDescent="0.2">
      <c r="A696" s="63" t="str">
        <f t="shared" si="65"/>
        <v>R027</v>
      </c>
      <c r="B696" s="64">
        <f>$A$1443</f>
        <v>45962</v>
      </c>
      <c r="C696" s="63" t="str">
        <f t="shared" si="66"/>
        <v>SDR / Inside Sales Rep</v>
      </c>
      <c r="D696" s="62">
        <f>SUMIFS(Fact_Quota!$D:$D,Fact_Quota!$A:$A,$A696,Fact_Quota!$B:$B,"&gt;="&amp;B696,Fact_Quota!$B:$B,"&lt;"&amp;EDATE(B696,1))</f>
        <v>0</v>
      </c>
      <c r="E696" s="62">
        <f>SUMIFS(Fact_Pipeline!$K:$K,Fact_Pipeline!$B:$B,$A696,Fact_Pipeline!$J:$J,"Won",Fact_Pipeline!$I:$I,"&gt;="&amp;B696,Fact_Pipeline!$I:$I,"&lt;"&amp;EDATE(B696,1))</f>
        <v>0</v>
      </c>
      <c r="F696" s="63" t="b">
        <f>AND(D696&gt;0,IFERROR(E696/D696&gt;=G6,FALSE()))</f>
        <v>0</v>
      </c>
      <c r="G696" s="62">
        <f t="shared" si="63"/>
        <v>0</v>
      </c>
      <c r="H696" s="62">
        <f>IF(F696,MAX(0,MIN(E696,I6*D696)-D696)*IFERROR(INDEX($C$158:$C$161,MATCH(C696,$A$158:$A$161,0)),0),0)</f>
        <v>0</v>
      </c>
      <c r="I696" s="62">
        <f>IF(F696,MAX(0,E696-I6*D696)*IFERROR(INDEX($D$158:$D$161,MATCH(C696,$A$158:$A$161,0)),0),0)</f>
        <v>0</v>
      </c>
      <c r="J696" s="62">
        <f t="shared" si="64"/>
        <v>0</v>
      </c>
    </row>
    <row r="697" spans="1:10" ht="15" customHeight="1" outlineLevel="1" x14ac:dyDescent="0.2">
      <c r="A697" s="63" t="str">
        <f t="shared" si="65"/>
        <v>R027</v>
      </c>
      <c r="B697" s="64">
        <f>$A$1444</f>
        <v>45992</v>
      </c>
      <c r="C697" s="63" t="str">
        <f t="shared" si="66"/>
        <v>SDR / Inside Sales Rep</v>
      </c>
      <c r="D697" s="62">
        <f>SUMIFS(Fact_Quota!$D:$D,Fact_Quota!$A:$A,$A697,Fact_Quota!$B:$B,"&gt;="&amp;B697,Fact_Quota!$B:$B,"&lt;"&amp;EDATE(B697,1))</f>
        <v>0</v>
      </c>
      <c r="E697" s="62">
        <f>SUMIFS(Fact_Pipeline!$K:$K,Fact_Pipeline!$B:$B,$A697,Fact_Pipeline!$J:$J,"Won",Fact_Pipeline!$I:$I,"&gt;="&amp;B697,Fact_Pipeline!$I:$I,"&lt;"&amp;EDATE(B697,1))</f>
        <v>0</v>
      </c>
      <c r="F697" s="63" t="b">
        <f>AND(D697&gt;0,IFERROR(E697/D697&gt;=G6,FALSE()))</f>
        <v>0</v>
      </c>
      <c r="G697" s="62">
        <f t="shared" si="63"/>
        <v>0</v>
      </c>
      <c r="H697" s="62">
        <f>IF(F697,MAX(0,MIN(E697,I6*D697)-D697)*IFERROR(INDEX($C$158:$C$161,MATCH(C697,$A$158:$A$161,0)),0),0)</f>
        <v>0</v>
      </c>
      <c r="I697" s="62">
        <f>IF(F697,MAX(0,E697-I6*D697)*IFERROR(INDEX($D$158:$D$161,MATCH(C697,$A$158:$A$161,0)),0),0)</f>
        <v>0</v>
      </c>
      <c r="J697" s="62">
        <f t="shared" si="64"/>
        <v>0</v>
      </c>
    </row>
    <row r="698" spans="1:10" ht="15" customHeight="1" outlineLevel="1" x14ac:dyDescent="0.2">
      <c r="A698" s="66" t="str">
        <f t="shared" ref="A698:A721" si="67">$A$185</f>
        <v>R030</v>
      </c>
      <c r="B698" s="67">
        <f>$A$1421</f>
        <v>45292</v>
      </c>
      <c r="C698" s="66" t="str">
        <f t="shared" ref="C698:C721" si="68">$C$185</f>
        <v>SDR / Inside Sales Rep</v>
      </c>
      <c r="D698" s="65">
        <f>SUMIFS(Fact_Quota!$D:$D,Fact_Quota!$A:$A,$A698,Fact_Quota!$B:$B,"&gt;="&amp;B698,Fact_Quota!$B:$B,"&lt;"&amp;EDATE(B698,1))</f>
        <v>0</v>
      </c>
      <c r="E698" s="65">
        <f>SUMIFS(Fact_Pipeline!$K:$K,Fact_Pipeline!$B:$B,$A698,Fact_Pipeline!$J:$J,"Won",Fact_Pipeline!$I:$I,"&gt;="&amp;B698,Fact_Pipeline!$I:$I,"&lt;"&amp;EDATE(B698,1))</f>
        <v>0</v>
      </c>
      <c r="F698" s="66" t="b">
        <f>AND(D698&gt;0,IFERROR(E698/D698&gt;=G6,FALSE()))</f>
        <v>0</v>
      </c>
      <c r="G698" s="65">
        <f t="shared" si="63"/>
        <v>0</v>
      </c>
      <c r="H698" s="65">
        <f>IF(F698,MAX(0,MIN(E698,I6*D698)-D698)*IFERROR(INDEX($C$158:$C$161,MATCH(C698,$A$158:$A$161,0)),0),0)</f>
        <v>0</v>
      </c>
      <c r="I698" s="65">
        <f>IF(F698,MAX(0,E698-I6*D698)*IFERROR(INDEX($D$158:$D$161,MATCH(C698,$A$158:$A$161,0)),0),0)</f>
        <v>0</v>
      </c>
      <c r="J698" s="65">
        <f t="shared" si="64"/>
        <v>0</v>
      </c>
    </row>
    <row r="699" spans="1:10" ht="15" customHeight="1" outlineLevel="1" x14ac:dyDescent="0.2">
      <c r="A699" s="66" t="str">
        <f t="shared" si="67"/>
        <v>R030</v>
      </c>
      <c r="B699" s="67">
        <f>$A$1422</f>
        <v>45323</v>
      </c>
      <c r="C699" s="66" t="str">
        <f t="shared" si="68"/>
        <v>SDR / Inside Sales Rep</v>
      </c>
      <c r="D699" s="65">
        <f>SUMIFS(Fact_Quota!$D:$D,Fact_Quota!$A:$A,$A699,Fact_Quota!$B:$B,"&gt;="&amp;B699,Fact_Quota!$B:$B,"&lt;"&amp;EDATE(B699,1))</f>
        <v>0</v>
      </c>
      <c r="E699" s="65">
        <f>SUMIFS(Fact_Pipeline!$K:$K,Fact_Pipeline!$B:$B,$A699,Fact_Pipeline!$J:$J,"Won",Fact_Pipeline!$I:$I,"&gt;="&amp;B699,Fact_Pipeline!$I:$I,"&lt;"&amp;EDATE(B699,1))</f>
        <v>0</v>
      </c>
      <c r="F699" s="66" t="b">
        <f>AND(D699&gt;0,IFERROR(E699/D699&gt;=G6,FALSE()))</f>
        <v>0</v>
      </c>
      <c r="G699" s="65">
        <f t="shared" si="63"/>
        <v>0</v>
      </c>
      <c r="H699" s="65">
        <f>IF(F699,MAX(0,MIN(E699,I6*D699)-D699)*IFERROR(INDEX($C$158:$C$161,MATCH(C699,$A$158:$A$161,0)),0),0)</f>
        <v>0</v>
      </c>
      <c r="I699" s="65">
        <f>IF(F699,MAX(0,E699-I6*D699)*IFERROR(INDEX($D$158:$D$161,MATCH(C699,$A$158:$A$161,0)),0),0)</f>
        <v>0</v>
      </c>
      <c r="J699" s="65">
        <f t="shared" si="64"/>
        <v>0</v>
      </c>
    </row>
    <row r="700" spans="1:10" ht="15" customHeight="1" outlineLevel="1" x14ac:dyDescent="0.2">
      <c r="A700" s="66" t="str">
        <f t="shared" si="67"/>
        <v>R030</v>
      </c>
      <c r="B700" s="67">
        <f>$A$1423</f>
        <v>45352</v>
      </c>
      <c r="C700" s="66" t="str">
        <f t="shared" si="68"/>
        <v>SDR / Inside Sales Rep</v>
      </c>
      <c r="D700" s="65">
        <f>SUMIFS(Fact_Quota!$D:$D,Fact_Quota!$A:$A,$A700,Fact_Quota!$B:$B,"&gt;="&amp;B700,Fact_Quota!$B:$B,"&lt;"&amp;EDATE(B700,1))</f>
        <v>0</v>
      </c>
      <c r="E700" s="65">
        <f>SUMIFS(Fact_Pipeline!$K:$K,Fact_Pipeline!$B:$B,$A700,Fact_Pipeline!$J:$J,"Won",Fact_Pipeline!$I:$I,"&gt;="&amp;B700,Fact_Pipeline!$I:$I,"&lt;"&amp;EDATE(B700,1))</f>
        <v>0</v>
      </c>
      <c r="F700" s="66" t="b">
        <f>AND(D700&gt;0,IFERROR(E700/D700&gt;=G6,FALSE()))</f>
        <v>0</v>
      </c>
      <c r="G700" s="65">
        <f t="shared" si="63"/>
        <v>0</v>
      </c>
      <c r="H700" s="65">
        <f>IF(F700,MAX(0,MIN(E700,I6*D700)-D700)*IFERROR(INDEX($C$158:$C$161,MATCH(C700,$A$158:$A$161,0)),0),0)</f>
        <v>0</v>
      </c>
      <c r="I700" s="65">
        <f>IF(F700,MAX(0,E700-I6*D700)*IFERROR(INDEX($D$158:$D$161,MATCH(C700,$A$158:$A$161,0)),0),0)</f>
        <v>0</v>
      </c>
      <c r="J700" s="65">
        <f t="shared" si="64"/>
        <v>0</v>
      </c>
    </row>
    <row r="701" spans="1:10" ht="15" customHeight="1" outlineLevel="1" x14ac:dyDescent="0.2">
      <c r="A701" s="66" t="str">
        <f t="shared" si="67"/>
        <v>R030</v>
      </c>
      <c r="B701" s="67">
        <f>$A$1424</f>
        <v>45383</v>
      </c>
      <c r="C701" s="66" t="str">
        <f t="shared" si="68"/>
        <v>SDR / Inside Sales Rep</v>
      </c>
      <c r="D701" s="65">
        <f>SUMIFS(Fact_Quota!$D:$D,Fact_Quota!$A:$A,$A701,Fact_Quota!$B:$B,"&gt;="&amp;B701,Fact_Quota!$B:$B,"&lt;"&amp;EDATE(B701,1))</f>
        <v>0</v>
      </c>
      <c r="E701" s="65">
        <f>SUMIFS(Fact_Pipeline!$K:$K,Fact_Pipeline!$B:$B,$A701,Fact_Pipeline!$J:$J,"Won",Fact_Pipeline!$I:$I,"&gt;="&amp;B701,Fact_Pipeline!$I:$I,"&lt;"&amp;EDATE(B701,1))</f>
        <v>0</v>
      </c>
      <c r="F701" s="66" t="b">
        <f>AND(D701&gt;0,IFERROR(E701/D701&gt;=G6,FALSE()))</f>
        <v>0</v>
      </c>
      <c r="G701" s="65">
        <f t="shared" si="63"/>
        <v>0</v>
      </c>
      <c r="H701" s="65">
        <f>IF(F701,MAX(0,MIN(E701,I6*D701)-D701)*IFERROR(INDEX($C$158:$C$161,MATCH(C701,$A$158:$A$161,0)),0),0)</f>
        <v>0</v>
      </c>
      <c r="I701" s="65">
        <f>IF(F701,MAX(0,E701-I6*D701)*IFERROR(INDEX($D$158:$D$161,MATCH(C701,$A$158:$A$161,0)),0),0)</f>
        <v>0</v>
      </c>
      <c r="J701" s="65">
        <f t="shared" si="64"/>
        <v>0</v>
      </c>
    </row>
    <row r="702" spans="1:10" ht="15" customHeight="1" outlineLevel="1" x14ac:dyDescent="0.2">
      <c r="A702" s="66" t="str">
        <f t="shared" si="67"/>
        <v>R030</v>
      </c>
      <c r="B702" s="67">
        <f>$A$1425</f>
        <v>45413</v>
      </c>
      <c r="C702" s="66" t="str">
        <f t="shared" si="68"/>
        <v>SDR / Inside Sales Rep</v>
      </c>
      <c r="D702" s="65">
        <f>SUMIFS(Fact_Quota!$D:$D,Fact_Quota!$A:$A,$A702,Fact_Quota!$B:$B,"&gt;="&amp;B702,Fact_Quota!$B:$B,"&lt;"&amp;EDATE(B702,1))</f>
        <v>0</v>
      </c>
      <c r="E702" s="65">
        <f>SUMIFS(Fact_Pipeline!$K:$K,Fact_Pipeline!$B:$B,$A702,Fact_Pipeline!$J:$J,"Won",Fact_Pipeline!$I:$I,"&gt;="&amp;B702,Fact_Pipeline!$I:$I,"&lt;"&amp;EDATE(B702,1))</f>
        <v>0</v>
      </c>
      <c r="F702" s="66" t="b">
        <f>AND(D702&gt;0,IFERROR(E702/D702&gt;=G6,FALSE()))</f>
        <v>0</v>
      </c>
      <c r="G702" s="65">
        <f t="shared" si="63"/>
        <v>0</v>
      </c>
      <c r="H702" s="65">
        <f>IF(F702,MAX(0,MIN(E702,I6*D702)-D702)*IFERROR(INDEX($C$158:$C$161,MATCH(C702,$A$158:$A$161,0)),0),0)</f>
        <v>0</v>
      </c>
      <c r="I702" s="65">
        <f>IF(F702,MAX(0,E702-I6*D702)*IFERROR(INDEX($D$158:$D$161,MATCH(C702,$A$158:$A$161,0)),0),0)</f>
        <v>0</v>
      </c>
      <c r="J702" s="65">
        <f t="shared" si="64"/>
        <v>0</v>
      </c>
    </row>
    <row r="703" spans="1:10" ht="15" customHeight="1" outlineLevel="1" x14ac:dyDescent="0.2">
      <c r="A703" s="66" t="str">
        <f t="shared" si="67"/>
        <v>R030</v>
      </c>
      <c r="B703" s="67">
        <f>$A$1426</f>
        <v>45444</v>
      </c>
      <c r="C703" s="66" t="str">
        <f t="shared" si="68"/>
        <v>SDR / Inside Sales Rep</v>
      </c>
      <c r="D703" s="65">
        <f>SUMIFS(Fact_Quota!$D:$D,Fact_Quota!$A:$A,$A703,Fact_Quota!$B:$B,"&gt;="&amp;B703,Fact_Quota!$B:$B,"&lt;"&amp;EDATE(B703,1))</f>
        <v>0</v>
      </c>
      <c r="E703" s="65">
        <f>SUMIFS(Fact_Pipeline!$K:$K,Fact_Pipeline!$B:$B,$A703,Fact_Pipeline!$J:$J,"Won",Fact_Pipeline!$I:$I,"&gt;="&amp;B703,Fact_Pipeline!$I:$I,"&lt;"&amp;EDATE(B703,1))</f>
        <v>0</v>
      </c>
      <c r="F703" s="66" t="b">
        <f>AND(D703&gt;0,IFERROR(E703/D703&gt;=G6,FALSE()))</f>
        <v>0</v>
      </c>
      <c r="G703" s="65">
        <f t="shared" si="63"/>
        <v>0</v>
      </c>
      <c r="H703" s="65">
        <f>IF(F703,MAX(0,MIN(E703,I6*D703)-D703)*IFERROR(INDEX($C$158:$C$161,MATCH(C703,$A$158:$A$161,0)),0),0)</f>
        <v>0</v>
      </c>
      <c r="I703" s="65">
        <f>IF(F703,MAX(0,E703-I6*D703)*IFERROR(INDEX($D$158:$D$161,MATCH(C703,$A$158:$A$161,0)),0),0)</f>
        <v>0</v>
      </c>
      <c r="J703" s="65">
        <f t="shared" si="64"/>
        <v>0</v>
      </c>
    </row>
    <row r="704" spans="1:10" ht="15" customHeight="1" outlineLevel="1" x14ac:dyDescent="0.2">
      <c r="A704" s="66" t="str">
        <f t="shared" si="67"/>
        <v>R030</v>
      </c>
      <c r="B704" s="67">
        <f>$A$1427</f>
        <v>45474</v>
      </c>
      <c r="C704" s="66" t="str">
        <f t="shared" si="68"/>
        <v>SDR / Inside Sales Rep</v>
      </c>
      <c r="D704" s="65">
        <f>SUMIFS(Fact_Quota!$D:$D,Fact_Quota!$A:$A,$A704,Fact_Quota!$B:$B,"&gt;="&amp;B704,Fact_Quota!$B:$B,"&lt;"&amp;EDATE(B704,1))</f>
        <v>0</v>
      </c>
      <c r="E704" s="65">
        <f>SUMIFS(Fact_Pipeline!$K:$K,Fact_Pipeline!$B:$B,$A704,Fact_Pipeline!$J:$J,"Won",Fact_Pipeline!$I:$I,"&gt;="&amp;B704,Fact_Pipeline!$I:$I,"&lt;"&amp;EDATE(B704,1))</f>
        <v>0</v>
      </c>
      <c r="F704" s="66" t="b">
        <f>AND(D704&gt;0,IFERROR(E704/D704&gt;=G6,FALSE()))</f>
        <v>0</v>
      </c>
      <c r="G704" s="65">
        <f t="shared" si="63"/>
        <v>0</v>
      </c>
      <c r="H704" s="65">
        <f>IF(F704,MAX(0,MIN(E704,I6*D704)-D704)*IFERROR(INDEX($C$158:$C$161,MATCH(C704,$A$158:$A$161,0)),0),0)</f>
        <v>0</v>
      </c>
      <c r="I704" s="65">
        <f>IF(F704,MAX(0,E704-I6*D704)*IFERROR(INDEX($D$158:$D$161,MATCH(C704,$A$158:$A$161,0)),0),0)</f>
        <v>0</v>
      </c>
      <c r="J704" s="65">
        <f t="shared" si="64"/>
        <v>0</v>
      </c>
    </row>
    <row r="705" spans="1:10" ht="15" customHeight="1" outlineLevel="1" x14ac:dyDescent="0.2">
      <c r="A705" s="66" t="str">
        <f t="shared" si="67"/>
        <v>R030</v>
      </c>
      <c r="B705" s="67">
        <f>$A$1428</f>
        <v>45505</v>
      </c>
      <c r="C705" s="66" t="str">
        <f t="shared" si="68"/>
        <v>SDR / Inside Sales Rep</v>
      </c>
      <c r="D705" s="65">
        <f>SUMIFS(Fact_Quota!$D:$D,Fact_Quota!$A:$A,$A705,Fact_Quota!$B:$B,"&gt;="&amp;B705,Fact_Quota!$B:$B,"&lt;"&amp;EDATE(B705,1))</f>
        <v>0</v>
      </c>
      <c r="E705" s="65">
        <f>SUMIFS(Fact_Pipeline!$K:$K,Fact_Pipeline!$B:$B,$A705,Fact_Pipeline!$J:$J,"Won",Fact_Pipeline!$I:$I,"&gt;="&amp;B705,Fact_Pipeline!$I:$I,"&lt;"&amp;EDATE(B705,1))</f>
        <v>0</v>
      </c>
      <c r="F705" s="66" t="b">
        <f>AND(D705&gt;0,IFERROR(E705/D705&gt;=G6,FALSE()))</f>
        <v>0</v>
      </c>
      <c r="G705" s="65">
        <f t="shared" si="63"/>
        <v>0</v>
      </c>
      <c r="H705" s="65">
        <f>IF(F705,MAX(0,MIN(E705,I6*D705)-D705)*IFERROR(INDEX($C$158:$C$161,MATCH(C705,$A$158:$A$161,0)),0),0)</f>
        <v>0</v>
      </c>
      <c r="I705" s="65">
        <f>IF(F705,MAX(0,E705-I6*D705)*IFERROR(INDEX($D$158:$D$161,MATCH(C705,$A$158:$A$161,0)),0),0)</f>
        <v>0</v>
      </c>
      <c r="J705" s="65">
        <f t="shared" si="64"/>
        <v>0</v>
      </c>
    </row>
    <row r="706" spans="1:10" ht="15" customHeight="1" outlineLevel="1" x14ac:dyDescent="0.2">
      <c r="A706" s="66" t="str">
        <f t="shared" si="67"/>
        <v>R030</v>
      </c>
      <c r="B706" s="67">
        <f>$A$1429</f>
        <v>45536</v>
      </c>
      <c r="C706" s="66" t="str">
        <f t="shared" si="68"/>
        <v>SDR / Inside Sales Rep</v>
      </c>
      <c r="D706" s="65">
        <f>SUMIFS(Fact_Quota!$D:$D,Fact_Quota!$A:$A,$A706,Fact_Quota!$B:$B,"&gt;="&amp;B706,Fact_Quota!$B:$B,"&lt;"&amp;EDATE(B706,1))</f>
        <v>0</v>
      </c>
      <c r="E706" s="65">
        <f>SUMIFS(Fact_Pipeline!$K:$K,Fact_Pipeline!$B:$B,$A706,Fact_Pipeline!$J:$J,"Won",Fact_Pipeline!$I:$I,"&gt;="&amp;B706,Fact_Pipeline!$I:$I,"&lt;"&amp;EDATE(B706,1))</f>
        <v>0</v>
      </c>
      <c r="F706" s="66" t="b">
        <f>AND(D706&gt;0,IFERROR(E706/D706&gt;=G6,FALSE()))</f>
        <v>0</v>
      </c>
      <c r="G706" s="65">
        <f t="shared" si="63"/>
        <v>0</v>
      </c>
      <c r="H706" s="65">
        <f>IF(F706,MAX(0,MIN(E706,I6*D706)-D706)*IFERROR(INDEX($C$158:$C$161,MATCH(C706,$A$158:$A$161,0)),0),0)</f>
        <v>0</v>
      </c>
      <c r="I706" s="65">
        <f>IF(F706,MAX(0,E706-I6*D706)*IFERROR(INDEX($D$158:$D$161,MATCH(C706,$A$158:$A$161,0)),0),0)</f>
        <v>0</v>
      </c>
      <c r="J706" s="65">
        <f t="shared" si="64"/>
        <v>0</v>
      </c>
    </row>
    <row r="707" spans="1:10" ht="15" customHeight="1" outlineLevel="1" x14ac:dyDescent="0.2">
      <c r="A707" s="66" t="str">
        <f t="shared" si="67"/>
        <v>R030</v>
      </c>
      <c r="B707" s="67">
        <f>$A$1430</f>
        <v>45566</v>
      </c>
      <c r="C707" s="66" t="str">
        <f t="shared" si="68"/>
        <v>SDR / Inside Sales Rep</v>
      </c>
      <c r="D707" s="65">
        <f>SUMIFS(Fact_Quota!$D:$D,Fact_Quota!$A:$A,$A707,Fact_Quota!$B:$B,"&gt;="&amp;B707,Fact_Quota!$B:$B,"&lt;"&amp;EDATE(B707,1))</f>
        <v>0</v>
      </c>
      <c r="E707" s="65">
        <f>SUMIFS(Fact_Pipeline!$K:$K,Fact_Pipeline!$B:$B,$A707,Fact_Pipeline!$J:$J,"Won",Fact_Pipeline!$I:$I,"&gt;="&amp;B707,Fact_Pipeline!$I:$I,"&lt;"&amp;EDATE(B707,1))</f>
        <v>0</v>
      </c>
      <c r="F707" s="66" t="b">
        <f>AND(D707&gt;0,IFERROR(E707/D707&gt;=G6,FALSE()))</f>
        <v>0</v>
      </c>
      <c r="G707" s="65">
        <f t="shared" si="63"/>
        <v>0</v>
      </c>
      <c r="H707" s="65">
        <f>IF(F707,MAX(0,MIN(E707,I6*D707)-D707)*IFERROR(INDEX($C$158:$C$161,MATCH(C707,$A$158:$A$161,0)),0),0)</f>
        <v>0</v>
      </c>
      <c r="I707" s="65">
        <f>IF(F707,MAX(0,E707-I6*D707)*IFERROR(INDEX($D$158:$D$161,MATCH(C707,$A$158:$A$161,0)),0),0)</f>
        <v>0</v>
      </c>
      <c r="J707" s="65">
        <f t="shared" si="64"/>
        <v>0</v>
      </c>
    </row>
    <row r="708" spans="1:10" ht="15" customHeight="1" outlineLevel="1" x14ac:dyDescent="0.2">
      <c r="A708" s="66" t="str">
        <f t="shared" si="67"/>
        <v>R030</v>
      </c>
      <c r="B708" s="67">
        <f>$A$1431</f>
        <v>45597</v>
      </c>
      <c r="C708" s="66" t="str">
        <f t="shared" si="68"/>
        <v>SDR / Inside Sales Rep</v>
      </c>
      <c r="D708" s="65">
        <f>SUMIFS(Fact_Quota!$D:$D,Fact_Quota!$A:$A,$A708,Fact_Quota!$B:$B,"&gt;="&amp;B708,Fact_Quota!$B:$B,"&lt;"&amp;EDATE(B708,1))</f>
        <v>0</v>
      </c>
      <c r="E708" s="65">
        <f>SUMIFS(Fact_Pipeline!$K:$K,Fact_Pipeline!$B:$B,$A708,Fact_Pipeline!$J:$J,"Won",Fact_Pipeline!$I:$I,"&gt;="&amp;B708,Fact_Pipeline!$I:$I,"&lt;"&amp;EDATE(B708,1))</f>
        <v>0</v>
      </c>
      <c r="F708" s="66" t="b">
        <f>AND(D708&gt;0,IFERROR(E708/D708&gt;=G6,FALSE()))</f>
        <v>0</v>
      </c>
      <c r="G708" s="65">
        <f t="shared" si="63"/>
        <v>0</v>
      </c>
      <c r="H708" s="65">
        <f>IF(F708,MAX(0,MIN(E708,I6*D708)-D708)*IFERROR(INDEX($C$158:$C$161,MATCH(C708,$A$158:$A$161,0)),0),0)</f>
        <v>0</v>
      </c>
      <c r="I708" s="65">
        <f>IF(F708,MAX(0,E708-I6*D708)*IFERROR(INDEX($D$158:$D$161,MATCH(C708,$A$158:$A$161,0)),0),0)</f>
        <v>0</v>
      </c>
      <c r="J708" s="65">
        <f t="shared" si="64"/>
        <v>0</v>
      </c>
    </row>
    <row r="709" spans="1:10" ht="15" customHeight="1" outlineLevel="1" x14ac:dyDescent="0.2">
      <c r="A709" s="66" t="str">
        <f t="shared" si="67"/>
        <v>R030</v>
      </c>
      <c r="B709" s="67">
        <f>$A$1432</f>
        <v>45627</v>
      </c>
      <c r="C709" s="66" t="str">
        <f t="shared" si="68"/>
        <v>SDR / Inside Sales Rep</v>
      </c>
      <c r="D709" s="65">
        <f>SUMIFS(Fact_Quota!$D:$D,Fact_Quota!$A:$A,$A709,Fact_Quota!$B:$B,"&gt;="&amp;B709,Fact_Quota!$B:$B,"&lt;"&amp;EDATE(B709,1))</f>
        <v>0</v>
      </c>
      <c r="E709" s="65">
        <f>SUMIFS(Fact_Pipeline!$K:$K,Fact_Pipeline!$B:$B,$A709,Fact_Pipeline!$J:$J,"Won",Fact_Pipeline!$I:$I,"&gt;="&amp;B709,Fact_Pipeline!$I:$I,"&lt;"&amp;EDATE(B709,1))</f>
        <v>0</v>
      </c>
      <c r="F709" s="66" t="b">
        <f>AND(D709&gt;0,IFERROR(E709/D709&gt;=G6,FALSE()))</f>
        <v>0</v>
      </c>
      <c r="G709" s="65">
        <f t="shared" si="63"/>
        <v>0</v>
      </c>
      <c r="H709" s="65">
        <f>IF(F709,MAX(0,MIN(E709,I6*D709)-D709)*IFERROR(INDEX($C$158:$C$161,MATCH(C709,$A$158:$A$161,0)),0),0)</f>
        <v>0</v>
      </c>
      <c r="I709" s="65">
        <f>IF(F709,MAX(0,E709-I6*D709)*IFERROR(INDEX($D$158:$D$161,MATCH(C709,$A$158:$A$161,0)),0),0)</f>
        <v>0</v>
      </c>
      <c r="J709" s="65">
        <f t="shared" si="64"/>
        <v>0</v>
      </c>
    </row>
    <row r="710" spans="1:10" ht="15" customHeight="1" outlineLevel="1" x14ac:dyDescent="0.2">
      <c r="A710" s="66" t="str">
        <f t="shared" si="67"/>
        <v>R030</v>
      </c>
      <c r="B710" s="67">
        <f>$A$1433</f>
        <v>45658</v>
      </c>
      <c r="C710" s="66" t="str">
        <f t="shared" si="68"/>
        <v>SDR / Inside Sales Rep</v>
      </c>
      <c r="D710" s="65">
        <f>SUMIFS(Fact_Quota!$D:$D,Fact_Quota!$A:$A,$A710,Fact_Quota!$B:$B,"&gt;="&amp;B710,Fact_Quota!$B:$B,"&lt;"&amp;EDATE(B710,1))</f>
        <v>3900</v>
      </c>
      <c r="E710" s="65">
        <f>SUMIFS(Fact_Pipeline!$K:$K,Fact_Pipeline!$B:$B,$A710,Fact_Pipeline!$J:$J,"Won",Fact_Pipeline!$I:$I,"&gt;="&amp;B710,Fact_Pipeline!$I:$I,"&lt;"&amp;EDATE(B710,1))</f>
        <v>6300</v>
      </c>
      <c r="F710" s="66" t="b">
        <f>AND(D710&gt;0,IFERROR(E710/D710&gt;=G6,FALSE()))</f>
        <v>1</v>
      </c>
      <c r="G710" s="65">
        <f t="shared" si="63"/>
        <v>117</v>
      </c>
      <c r="H710" s="65">
        <f>IF(F710,MAX(0,MIN(E710,I6*D710)-D710)*IFERROR(INDEX($C$158:$C$161,MATCH(C710,$A$158:$A$161,0)),0),0)</f>
        <v>97.5</v>
      </c>
      <c r="I710" s="65">
        <f>IF(F710,MAX(0,E710-I6*D710)*IFERROR(INDEX($D$158:$D$161,MATCH(C710,$A$158:$A$161,0)),0),0)</f>
        <v>31.500000000000004</v>
      </c>
      <c r="J710" s="65">
        <f t="shared" si="64"/>
        <v>246</v>
      </c>
    </row>
    <row r="711" spans="1:10" ht="15" customHeight="1" outlineLevel="1" x14ac:dyDescent="0.2">
      <c r="A711" s="66" t="str">
        <f t="shared" si="67"/>
        <v>R030</v>
      </c>
      <c r="B711" s="67">
        <f>$A$1434</f>
        <v>45689</v>
      </c>
      <c r="C711" s="66" t="str">
        <f t="shared" si="68"/>
        <v>SDR / Inside Sales Rep</v>
      </c>
      <c r="D711" s="65">
        <f>SUMIFS(Fact_Quota!$D:$D,Fact_Quota!$A:$A,$A711,Fact_Quota!$B:$B,"&gt;="&amp;B711,Fact_Quota!$B:$B,"&lt;"&amp;EDATE(B711,1))</f>
        <v>7500</v>
      </c>
      <c r="E711" s="65">
        <f>SUMIFS(Fact_Pipeline!$K:$K,Fact_Pipeline!$B:$B,$A711,Fact_Pipeline!$J:$J,"Won",Fact_Pipeline!$I:$I,"&gt;="&amp;B711,Fact_Pipeline!$I:$I,"&lt;"&amp;EDATE(B711,1))</f>
        <v>0</v>
      </c>
      <c r="F711" s="66" t="b">
        <f>AND(D711&gt;0,IFERROR(E711/D711&gt;=G6,FALSE()))</f>
        <v>0</v>
      </c>
      <c r="G711" s="65">
        <f t="shared" si="63"/>
        <v>0</v>
      </c>
      <c r="H711" s="65">
        <f>IF(F711,MAX(0,MIN(E711,I6*D711)-D711)*IFERROR(INDEX($C$158:$C$161,MATCH(C711,$A$158:$A$161,0)),0),0)</f>
        <v>0</v>
      </c>
      <c r="I711" s="65">
        <f>IF(F711,MAX(0,E711-I6*D711)*IFERROR(INDEX($D$158:$D$161,MATCH(C711,$A$158:$A$161,0)),0),0)</f>
        <v>0</v>
      </c>
      <c r="J711" s="65">
        <f t="shared" si="64"/>
        <v>0</v>
      </c>
    </row>
    <row r="712" spans="1:10" ht="15" customHeight="1" outlineLevel="1" x14ac:dyDescent="0.2">
      <c r="A712" s="66" t="str">
        <f t="shared" si="67"/>
        <v>R030</v>
      </c>
      <c r="B712" s="67">
        <f>$A$1435</f>
        <v>45717</v>
      </c>
      <c r="C712" s="66" t="str">
        <f t="shared" si="68"/>
        <v>SDR / Inside Sales Rep</v>
      </c>
      <c r="D712" s="65">
        <f>SUMIFS(Fact_Quota!$D:$D,Fact_Quota!$A:$A,$A712,Fact_Quota!$B:$B,"&gt;="&amp;B712,Fact_Quota!$B:$B,"&lt;"&amp;EDATE(B712,1))</f>
        <v>11700</v>
      </c>
      <c r="E712" s="65">
        <f>SUMIFS(Fact_Pipeline!$K:$K,Fact_Pipeline!$B:$B,$A712,Fact_Pipeline!$J:$J,"Won",Fact_Pipeline!$I:$I,"&gt;="&amp;B712,Fact_Pipeline!$I:$I,"&lt;"&amp;EDATE(B712,1))</f>
        <v>13900</v>
      </c>
      <c r="F712" s="66" t="b">
        <f>AND(D712&gt;0,IFERROR(E712/D712&gt;=G6,FALSE()))</f>
        <v>1</v>
      </c>
      <c r="G712" s="65">
        <f t="shared" si="63"/>
        <v>351</v>
      </c>
      <c r="H712" s="65">
        <f>IF(F712,MAX(0,MIN(E712,I6*D712)-D712)*IFERROR(INDEX($C$158:$C$161,MATCH(C712,$A$158:$A$161,0)),0),0)</f>
        <v>110</v>
      </c>
      <c r="I712" s="65">
        <f>IF(F712,MAX(0,E712-I6*D712)*IFERROR(INDEX($D$158:$D$161,MATCH(C712,$A$158:$A$161,0)),0),0)</f>
        <v>0</v>
      </c>
      <c r="J712" s="65">
        <f t="shared" si="64"/>
        <v>461</v>
      </c>
    </row>
    <row r="713" spans="1:10" ht="15" customHeight="1" outlineLevel="1" x14ac:dyDescent="0.2">
      <c r="A713" s="66" t="str">
        <f t="shared" si="67"/>
        <v>R030</v>
      </c>
      <c r="B713" s="67">
        <f>$A$1436</f>
        <v>45748</v>
      </c>
      <c r="C713" s="66" t="str">
        <f t="shared" si="68"/>
        <v>SDR / Inside Sales Rep</v>
      </c>
      <c r="D713" s="65">
        <f>SUMIFS(Fact_Quota!$D:$D,Fact_Quota!$A:$A,$A713,Fact_Quota!$B:$B,"&gt;="&amp;B713,Fact_Quota!$B:$B,"&lt;"&amp;EDATE(B713,1))</f>
        <v>15800</v>
      </c>
      <c r="E713" s="65">
        <f>SUMIFS(Fact_Pipeline!$K:$K,Fact_Pipeline!$B:$B,$A713,Fact_Pipeline!$J:$J,"Won",Fact_Pipeline!$I:$I,"&gt;="&amp;B713,Fact_Pipeline!$I:$I,"&lt;"&amp;EDATE(B713,1))</f>
        <v>8200</v>
      </c>
      <c r="F713" s="66" t="b">
        <f>AND(D713&gt;0,IFERROR(E713/D713&gt;=G6,FALSE()))</f>
        <v>1</v>
      </c>
      <c r="G713" s="65">
        <f t="shared" si="63"/>
        <v>246</v>
      </c>
      <c r="H713" s="65">
        <f>IF(F713,MAX(0,MIN(E713,I6*D713)-D713)*IFERROR(INDEX($C$158:$C$161,MATCH(C713,$A$158:$A$161,0)),0),0)</f>
        <v>0</v>
      </c>
      <c r="I713" s="65">
        <f>IF(F713,MAX(0,E713-I6*D713)*IFERROR(INDEX($D$158:$D$161,MATCH(C713,$A$158:$A$161,0)),0),0)</f>
        <v>0</v>
      </c>
      <c r="J713" s="65">
        <f t="shared" si="64"/>
        <v>246</v>
      </c>
    </row>
    <row r="714" spans="1:10" ht="15" customHeight="1" outlineLevel="1" x14ac:dyDescent="0.2">
      <c r="A714" s="66" t="str">
        <f t="shared" si="67"/>
        <v>R030</v>
      </c>
      <c r="B714" s="67">
        <f>$A$1437</f>
        <v>45778</v>
      </c>
      <c r="C714" s="66" t="str">
        <f t="shared" si="68"/>
        <v>SDR / Inside Sales Rep</v>
      </c>
      <c r="D714" s="65">
        <f>SUMIFS(Fact_Quota!$D:$D,Fact_Quota!$A:$A,$A714,Fact_Quota!$B:$B,"&gt;="&amp;B714,Fact_Quota!$B:$B,"&lt;"&amp;EDATE(B714,1))</f>
        <v>14700</v>
      </c>
      <c r="E714" s="65">
        <f>SUMIFS(Fact_Pipeline!$K:$K,Fact_Pipeline!$B:$B,$A714,Fact_Pipeline!$J:$J,"Won",Fact_Pipeline!$I:$I,"&gt;="&amp;B714,Fact_Pipeline!$I:$I,"&lt;"&amp;EDATE(B714,1))</f>
        <v>0</v>
      </c>
      <c r="F714" s="66" t="b">
        <f>AND(D714&gt;0,IFERROR(E714/D714&gt;=G6,FALSE()))</f>
        <v>0</v>
      </c>
      <c r="G714" s="65">
        <f t="shared" si="63"/>
        <v>0</v>
      </c>
      <c r="H714" s="65">
        <f>IF(F714,MAX(0,MIN(E714,I6*D714)-D714)*IFERROR(INDEX($C$158:$C$161,MATCH(C714,$A$158:$A$161,0)),0),0)</f>
        <v>0</v>
      </c>
      <c r="I714" s="65">
        <f>IF(F714,MAX(0,E714-I6*D714)*IFERROR(INDEX($D$158:$D$161,MATCH(C714,$A$158:$A$161,0)),0),0)</f>
        <v>0</v>
      </c>
      <c r="J714" s="65">
        <f t="shared" si="64"/>
        <v>0</v>
      </c>
    </row>
    <row r="715" spans="1:10" ht="15" customHeight="1" outlineLevel="1" x14ac:dyDescent="0.2">
      <c r="A715" s="66" t="str">
        <f t="shared" si="67"/>
        <v>R030</v>
      </c>
      <c r="B715" s="67">
        <f>$A$1438</f>
        <v>45809</v>
      </c>
      <c r="C715" s="66" t="str">
        <f t="shared" si="68"/>
        <v>SDR / Inside Sales Rep</v>
      </c>
      <c r="D715" s="65">
        <f>SUMIFS(Fact_Quota!$D:$D,Fact_Quota!$A:$A,$A715,Fact_Quota!$B:$B,"&gt;="&amp;B715,Fact_Quota!$B:$B,"&lt;"&amp;EDATE(B715,1))</f>
        <v>15800</v>
      </c>
      <c r="E715" s="65">
        <f>SUMIFS(Fact_Pipeline!$K:$K,Fact_Pipeline!$B:$B,$A715,Fact_Pipeline!$J:$J,"Won",Fact_Pipeline!$I:$I,"&gt;="&amp;B715,Fact_Pipeline!$I:$I,"&lt;"&amp;EDATE(B715,1))</f>
        <v>2500</v>
      </c>
      <c r="F715" s="66" t="b">
        <f>AND(D715&gt;0,IFERROR(E715/D715&gt;=G6,FALSE()))</f>
        <v>0</v>
      </c>
      <c r="G715" s="65">
        <f t="shared" si="63"/>
        <v>0</v>
      </c>
      <c r="H715" s="65">
        <f>IF(F715,MAX(0,MIN(E715,I6*D715)-D715)*IFERROR(INDEX($C$158:$C$161,MATCH(C715,$A$158:$A$161,0)),0),0)</f>
        <v>0</v>
      </c>
      <c r="I715" s="65">
        <f>IF(F715,MAX(0,E715-I6*D715)*IFERROR(INDEX($D$158:$D$161,MATCH(C715,$A$158:$A$161,0)),0),0)</f>
        <v>0</v>
      </c>
      <c r="J715" s="65">
        <f t="shared" si="64"/>
        <v>0</v>
      </c>
    </row>
    <row r="716" spans="1:10" ht="15" customHeight="1" outlineLevel="1" x14ac:dyDescent="0.2">
      <c r="A716" s="66" t="str">
        <f t="shared" si="67"/>
        <v>R030</v>
      </c>
      <c r="B716" s="67">
        <f>$A$1439</f>
        <v>45839</v>
      </c>
      <c r="C716" s="66" t="str">
        <f t="shared" si="68"/>
        <v>SDR / Inside Sales Rep</v>
      </c>
      <c r="D716" s="65">
        <f>SUMIFS(Fact_Quota!$D:$D,Fact_Quota!$A:$A,$A716,Fact_Quota!$B:$B,"&gt;="&amp;B716,Fact_Quota!$B:$B,"&lt;"&amp;EDATE(B716,1))</f>
        <v>15200</v>
      </c>
      <c r="E716" s="65">
        <f>SUMIFS(Fact_Pipeline!$K:$K,Fact_Pipeline!$B:$B,$A716,Fact_Pipeline!$J:$J,"Won",Fact_Pipeline!$I:$I,"&gt;="&amp;B716,Fact_Pipeline!$I:$I,"&lt;"&amp;EDATE(B716,1))</f>
        <v>5300</v>
      </c>
      <c r="F716" s="66" t="b">
        <f>AND(D716&gt;0,IFERROR(E716/D716&gt;=G6,FALSE()))</f>
        <v>0</v>
      </c>
      <c r="G716" s="65">
        <f t="shared" si="63"/>
        <v>0</v>
      </c>
      <c r="H716" s="65">
        <f>IF(F716,MAX(0,MIN(E716,I6*D716)-D716)*IFERROR(INDEX($C$158:$C$161,MATCH(C716,$A$158:$A$161,0)),0),0)</f>
        <v>0</v>
      </c>
      <c r="I716" s="65">
        <f>IF(F716,MAX(0,E716-I6*D716)*IFERROR(INDEX($D$158:$D$161,MATCH(C716,$A$158:$A$161,0)),0),0)</f>
        <v>0</v>
      </c>
      <c r="J716" s="65">
        <f t="shared" si="64"/>
        <v>0</v>
      </c>
    </row>
    <row r="717" spans="1:10" ht="15" customHeight="1" outlineLevel="1" x14ac:dyDescent="0.2">
      <c r="A717" s="66" t="str">
        <f t="shared" si="67"/>
        <v>R030</v>
      </c>
      <c r="B717" s="67">
        <f>$A$1440</f>
        <v>45870</v>
      </c>
      <c r="C717" s="66" t="str">
        <f t="shared" si="68"/>
        <v>SDR / Inside Sales Rep</v>
      </c>
      <c r="D717" s="65">
        <f>SUMIFS(Fact_Quota!$D:$D,Fact_Quota!$A:$A,$A717,Fact_Quota!$B:$B,"&gt;="&amp;B717,Fact_Quota!$B:$B,"&lt;"&amp;EDATE(B717,1))</f>
        <v>15800</v>
      </c>
      <c r="E717" s="65">
        <f>SUMIFS(Fact_Pipeline!$K:$K,Fact_Pipeline!$B:$B,$A717,Fact_Pipeline!$J:$J,"Won",Fact_Pipeline!$I:$I,"&gt;="&amp;B717,Fact_Pipeline!$I:$I,"&lt;"&amp;EDATE(B717,1))</f>
        <v>7400</v>
      </c>
      <c r="F717" s="66" t="b">
        <f>AND(D717&gt;0,IFERROR(E717/D717&gt;=G6,FALSE()))</f>
        <v>0</v>
      </c>
      <c r="G717" s="65">
        <f t="shared" si="63"/>
        <v>0</v>
      </c>
      <c r="H717" s="65">
        <f>IF(F717,MAX(0,MIN(E717,I6*D717)-D717)*IFERROR(INDEX($C$158:$C$161,MATCH(C717,$A$158:$A$161,0)),0),0)</f>
        <v>0</v>
      </c>
      <c r="I717" s="65">
        <f>IF(F717,MAX(0,E717-I6*D717)*IFERROR(INDEX($D$158:$D$161,MATCH(C717,$A$158:$A$161,0)),0),0)</f>
        <v>0</v>
      </c>
      <c r="J717" s="65">
        <f t="shared" si="64"/>
        <v>0</v>
      </c>
    </row>
    <row r="718" spans="1:10" ht="15" customHeight="1" outlineLevel="1" x14ac:dyDescent="0.2">
      <c r="A718" s="66" t="str">
        <f t="shared" si="67"/>
        <v>R030</v>
      </c>
      <c r="B718" s="67">
        <f>$A$1441</f>
        <v>45901</v>
      </c>
      <c r="C718" s="66" t="str">
        <f t="shared" si="68"/>
        <v>SDR / Inside Sales Rep</v>
      </c>
      <c r="D718" s="65">
        <f>SUMIFS(Fact_Quota!$D:$D,Fact_Quota!$A:$A,$A718,Fact_Quota!$B:$B,"&gt;="&amp;B718,Fact_Quota!$B:$B,"&lt;"&amp;EDATE(B718,1))</f>
        <v>15100</v>
      </c>
      <c r="E718" s="65">
        <f>SUMIFS(Fact_Pipeline!$K:$K,Fact_Pipeline!$B:$B,$A718,Fact_Pipeline!$J:$J,"Won",Fact_Pipeline!$I:$I,"&gt;="&amp;B718,Fact_Pipeline!$I:$I,"&lt;"&amp;EDATE(B718,1))</f>
        <v>8100</v>
      </c>
      <c r="F718" s="66" t="b">
        <f>AND(D718&gt;0,IFERROR(E718/D718&gt;=G6,FALSE()))</f>
        <v>1</v>
      </c>
      <c r="G718" s="65">
        <f t="shared" si="63"/>
        <v>243</v>
      </c>
      <c r="H718" s="65">
        <f>IF(F718,MAX(0,MIN(E718,I6*D718)-D718)*IFERROR(INDEX($C$158:$C$161,MATCH(C718,$A$158:$A$161,0)),0),0)</f>
        <v>0</v>
      </c>
      <c r="I718" s="65">
        <f>IF(F718,MAX(0,E718-I6*D718)*IFERROR(INDEX($D$158:$D$161,MATCH(C718,$A$158:$A$161,0)),0),0)</f>
        <v>0</v>
      </c>
      <c r="J718" s="65">
        <f t="shared" si="64"/>
        <v>243</v>
      </c>
    </row>
    <row r="719" spans="1:10" ht="15" customHeight="1" outlineLevel="1" x14ac:dyDescent="0.2">
      <c r="A719" s="66" t="str">
        <f t="shared" si="67"/>
        <v>R030</v>
      </c>
      <c r="B719" s="67">
        <f>$A$1442</f>
        <v>45931</v>
      </c>
      <c r="C719" s="66" t="str">
        <f t="shared" si="68"/>
        <v>SDR / Inside Sales Rep</v>
      </c>
      <c r="D719" s="65">
        <f>SUMIFS(Fact_Quota!$D:$D,Fact_Quota!$A:$A,$A719,Fact_Quota!$B:$B,"&gt;="&amp;B719,Fact_Quota!$B:$B,"&lt;"&amp;EDATE(B719,1))</f>
        <v>0</v>
      </c>
      <c r="E719" s="65">
        <f>SUMIFS(Fact_Pipeline!$K:$K,Fact_Pipeline!$B:$B,$A719,Fact_Pipeline!$J:$J,"Won",Fact_Pipeline!$I:$I,"&gt;="&amp;B719,Fact_Pipeline!$I:$I,"&lt;"&amp;EDATE(B719,1))</f>
        <v>9600</v>
      </c>
      <c r="F719" s="66" t="b">
        <f>AND(D719&gt;0,IFERROR(E719/D719&gt;=G6,FALSE()))</f>
        <v>0</v>
      </c>
      <c r="G719" s="65">
        <f t="shared" si="63"/>
        <v>0</v>
      </c>
      <c r="H719" s="65">
        <f>IF(F719,MAX(0,MIN(E719,I6*D719)-D719)*IFERROR(INDEX($C$158:$C$161,MATCH(C719,$A$158:$A$161,0)),0),0)</f>
        <v>0</v>
      </c>
      <c r="I719" s="65">
        <f>IF(F719,MAX(0,E719-I6*D719)*IFERROR(INDEX($D$158:$D$161,MATCH(C719,$A$158:$A$161,0)),0),0)</f>
        <v>0</v>
      </c>
      <c r="J719" s="65">
        <f t="shared" si="64"/>
        <v>0</v>
      </c>
    </row>
    <row r="720" spans="1:10" ht="15" customHeight="1" outlineLevel="1" x14ac:dyDescent="0.2">
      <c r="A720" s="66" t="str">
        <f t="shared" si="67"/>
        <v>R030</v>
      </c>
      <c r="B720" s="67">
        <f>$A$1443</f>
        <v>45962</v>
      </c>
      <c r="C720" s="66" t="str">
        <f t="shared" si="68"/>
        <v>SDR / Inside Sales Rep</v>
      </c>
      <c r="D720" s="65">
        <f>SUMIFS(Fact_Quota!$D:$D,Fact_Quota!$A:$A,$A720,Fact_Quota!$B:$B,"&gt;="&amp;B720,Fact_Quota!$B:$B,"&lt;"&amp;EDATE(B720,1))</f>
        <v>0</v>
      </c>
      <c r="E720" s="65">
        <f>SUMIFS(Fact_Pipeline!$K:$K,Fact_Pipeline!$B:$B,$A720,Fact_Pipeline!$J:$J,"Won",Fact_Pipeline!$I:$I,"&gt;="&amp;B720,Fact_Pipeline!$I:$I,"&lt;"&amp;EDATE(B720,1))</f>
        <v>0</v>
      </c>
      <c r="F720" s="66" t="b">
        <f>AND(D720&gt;0,IFERROR(E720/D720&gt;=G6,FALSE()))</f>
        <v>0</v>
      </c>
      <c r="G720" s="65">
        <f t="shared" si="63"/>
        <v>0</v>
      </c>
      <c r="H720" s="65">
        <f>IF(F720,MAX(0,MIN(E720,I6*D720)-D720)*IFERROR(INDEX($C$158:$C$161,MATCH(C720,$A$158:$A$161,0)),0),0)</f>
        <v>0</v>
      </c>
      <c r="I720" s="65">
        <f>IF(F720,MAX(0,E720-I6*D720)*IFERROR(INDEX($D$158:$D$161,MATCH(C720,$A$158:$A$161,0)),0),0)</f>
        <v>0</v>
      </c>
      <c r="J720" s="65">
        <f t="shared" si="64"/>
        <v>0</v>
      </c>
    </row>
    <row r="721" spans="1:10" ht="15" customHeight="1" outlineLevel="1" x14ac:dyDescent="0.2">
      <c r="A721" s="66" t="str">
        <f t="shared" si="67"/>
        <v>R030</v>
      </c>
      <c r="B721" s="67">
        <f>$A$1444</f>
        <v>45992</v>
      </c>
      <c r="C721" s="66" t="str">
        <f t="shared" si="68"/>
        <v>SDR / Inside Sales Rep</v>
      </c>
      <c r="D721" s="65">
        <f>SUMIFS(Fact_Quota!$D:$D,Fact_Quota!$A:$A,$A721,Fact_Quota!$B:$B,"&gt;="&amp;B721,Fact_Quota!$B:$B,"&lt;"&amp;EDATE(B721,1))</f>
        <v>0</v>
      </c>
      <c r="E721" s="65">
        <f>SUMIFS(Fact_Pipeline!$K:$K,Fact_Pipeline!$B:$B,$A721,Fact_Pipeline!$J:$J,"Won",Fact_Pipeline!$I:$I,"&gt;="&amp;B721,Fact_Pipeline!$I:$I,"&lt;"&amp;EDATE(B721,1))</f>
        <v>0</v>
      </c>
      <c r="F721" s="66" t="b">
        <f>AND(D721&gt;0,IFERROR(E721/D721&gt;=G6,FALSE()))</f>
        <v>0</v>
      </c>
      <c r="G721" s="65">
        <f t="shared" si="63"/>
        <v>0</v>
      </c>
      <c r="H721" s="65">
        <f>IF(F721,MAX(0,MIN(E721,I6*D721)-D721)*IFERROR(INDEX($C$158:$C$161,MATCH(C721,$A$158:$A$161,0)),0),0)</f>
        <v>0</v>
      </c>
      <c r="I721" s="65">
        <f>IF(F721,MAX(0,E721-I6*D721)*IFERROR(INDEX($D$158:$D$161,MATCH(C721,$A$158:$A$161,0)),0),0)</f>
        <v>0</v>
      </c>
      <c r="J721" s="65">
        <f t="shared" si="64"/>
        <v>0</v>
      </c>
    </row>
    <row r="722" spans="1:10" ht="15" customHeight="1" outlineLevel="1" x14ac:dyDescent="0.2">
      <c r="A722" s="63" t="str">
        <f t="shared" ref="A722:A745" si="69">$A$186</f>
        <v>R032</v>
      </c>
      <c r="B722" s="64">
        <f>$A$1421</f>
        <v>45292</v>
      </c>
      <c r="C722" s="63" t="str">
        <f t="shared" ref="C722:C745" si="70">$C$186</f>
        <v>SDR / Inside Sales Rep</v>
      </c>
      <c r="D722" s="62">
        <f>SUMIFS(Fact_Quota!$D:$D,Fact_Quota!$A:$A,$A722,Fact_Quota!$B:$B,"&gt;="&amp;B722,Fact_Quota!$B:$B,"&lt;"&amp;EDATE(B722,1))</f>
        <v>15500</v>
      </c>
      <c r="E722" s="62">
        <f>SUMIFS(Fact_Pipeline!$K:$K,Fact_Pipeline!$B:$B,$A722,Fact_Pipeline!$J:$J,"Won",Fact_Pipeline!$I:$I,"&gt;="&amp;B722,Fact_Pipeline!$I:$I,"&lt;"&amp;EDATE(B722,1))</f>
        <v>8700</v>
      </c>
      <c r="F722" s="63" t="b">
        <f>AND(D722&gt;0,IFERROR(E722/D722&gt;=G6,FALSE()))</f>
        <v>1</v>
      </c>
      <c r="G722" s="62">
        <f t="shared" si="63"/>
        <v>261</v>
      </c>
      <c r="H722" s="62">
        <f>IF(F722,MAX(0,MIN(E722,I6*D722)-D722)*IFERROR(INDEX($C$158:$C$161,MATCH(C722,$A$158:$A$161,0)),0),0)</f>
        <v>0</v>
      </c>
      <c r="I722" s="62">
        <f>IF(F722,MAX(0,E722-I6*D722)*IFERROR(INDEX($D$158:$D$161,MATCH(C722,$A$158:$A$161,0)),0),0)</f>
        <v>0</v>
      </c>
      <c r="J722" s="62">
        <f t="shared" si="64"/>
        <v>261</v>
      </c>
    </row>
    <row r="723" spans="1:10" ht="15" customHeight="1" outlineLevel="1" x14ac:dyDescent="0.2">
      <c r="A723" s="63" t="str">
        <f t="shared" si="69"/>
        <v>R032</v>
      </c>
      <c r="B723" s="64">
        <f>$A$1422</f>
        <v>45323</v>
      </c>
      <c r="C723" s="63" t="str">
        <f t="shared" si="70"/>
        <v>SDR / Inside Sales Rep</v>
      </c>
      <c r="D723" s="62">
        <f>SUMIFS(Fact_Quota!$D:$D,Fact_Quota!$A:$A,$A723,Fact_Quota!$B:$B,"&gt;="&amp;B723,Fact_Quota!$B:$B,"&lt;"&amp;EDATE(B723,1))</f>
        <v>14900</v>
      </c>
      <c r="E723" s="62">
        <f>SUMIFS(Fact_Pipeline!$K:$K,Fact_Pipeline!$B:$B,$A723,Fact_Pipeline!$J:$J,"Won",Fact_Pipeline!$I:$I,"&gt;="&amp;B723,Fact_Pipeline!$I:$I,"&lt;"&amp;EDATE(B723,1))</f>
        <v>8600</v>
      </c>
      <c r="F723" s="63" t="b">
        <f>AND(D723&gt;0,IFERROR(E723/D723&gt;=G6,FALSE()))</f>
        <v>1</v>
      </c>
      <c r="G723" s="62">
        <f t="shared" si="63"/>
        <v>258</v>
      </c>
      <c r="H723" s="62">
        <f>IF(F723,MAX(0,MIN(E723,I6*D723)-D723)*IFERROR(INDEX($C$158:$C$161,MATCH(C723,$A$158:$A$161,0)),0),0)</f>
        <v>0</v>
      </c>
      <c r="I723" s="62">
        <f>IF(F723,MAX(0,E723-I6*D723)*IFERROR(INDEX($D$158:$D$161,MATCH(C723,$A$158:$A$161,0)),0),0)</f>
        <v>0</v>
      </c>
      <c r="J723" s="62">
        <f t="shared" si="64"/>
        <v>258</v>
      </c>
    </row>
    <row r="724" spans="1:10" ht="15" customHeight="1" outlineLevel="1" x14ac:dyDescent="0.2">
      <c r="A724" s="63" t="str">
        <f t="shared" si="69"/>
        <v>R032</v>
      </c>
      <c r="B724" s="64">
        <f>$A$1423</f>
        <v>45352</v>
      </c>
      <c r="C724" s="63" t="str">
        <f t="shared" si="70"/>
        <v>SDR / Inside Sales Rep</v>
      </c>
      <c r="D724" s="62">
        <f>SUMIFS(Fact_Quota!$D:$D,Fact_Quota!$A:$A,$A724,Fact_Quota!$B:$B,"&gt;="&amp;B724,Fact_Quota!$B:$B,"&lt;"&amp;EDATE(B724,1))</f>
        <v>15200</v>
      </c>
      <c r="E724" s="62">
        <f>SUMIFS(Fact_Pipeline!$K:$K,Fact_Pipeline!$B:$B,$A724,Fact_Pipeline!$J:$J,"Won",Fact_Pipeline!$I:$I,"&gt;="&amp;B724,Fact_Pipeline!$I:$I,"&lt;"&amp;EDATE(B724,1))</f>
        <v>11500</v>
      </c>
      <c r="F724" s="63" t="b">
        <f>AND(D724&gt;0,IFERROR(E724/D724&gt;=G6,FALSE()))</f>
        <v>1</v>
      </c>
      <c r="G724" s="62">
        <f t="shared" si="63"/>
        <v>345</v>
      </c>
      <c r="H724" s="62">
        <f>IF(F724,MAX(0,MIN(E724,I6*D724)-D724)*IFERROR(INDEX($C$158:$C$161,MATCH(C724,$A$158:$A$161,0)),0),0)</f>
        <v>0</v>
      </c>
      <c r="I724" s="62">
        <f>IF(F724,MAX(0,E724-I6*D724)*IFERROR(INDEX($D$158:$D$161,MATCH(C724,$A$158:$A$161,0)),0),0)</f>
        <v>0</v>
      </c>
      <c r="J724" s="62">
        <f t="shared" si="64"/>
        <v>345</v>
      </c>
    </row>
    <row r="725" spans="1:10" ht="15" customHeight="1" outlineLevel="1" x14ac:dyDescent="0.2">
      <c r="A725" s="63" t="str">
        <f t="shared" si="69"/>
        <v>R032</v>
      </c>
      <c r="B725" s="64">
        <f>$A$1424</f>
        <v>45383</v>
      </c>
      <c r="C725" s="63" t="str">
        <f t="shared" si="70"/>
        <v>SDR / Inside Sales Rep</v>
      </c>
      <c r="D725" s="62">
        <f>SUMIFS(Fact_Quota!$D:$D,Fact_Quota!$A:$A,$A725,Fact_Quota!$B:$B,"&gt;="&amp;B725,Fact_Quota!$B:$B,"&lt;"&amp;EDATE(B725,1))</f>
        <v>15500</v>
      </c>
      <c r="E725" s="62">
        <f>SUMIFS(Fact_Pipeline!$K:$K,Fact_Pipeline!$B:$B,$A725,Fact_Pipeline!$J:$J,"Won",Fact_Pipeline!$I:$I,"&gt;="&amp;B725,Fact_Pipeline!$I:$I,"&lt;"&amp;EDATE(B725,1))</f>
        <v>10400</v>
      </c>
      <c r="F725" s="63" t="b">
        <f>AND(D725&gt;0,IFERROR(E725/D725&gt;=G6,FALSE()))</f>
        <v>1</v>
      </c>
      <c r="G725" s="62">
        <f t="shared" si="63"/>
        <v>312</v>
      </c>
      <c r="H725" s="62">
        <f>IF(F725,MAX(0,MIN(E725,I6*D725)-D725)*IFERROR(INDEX($C$158:$C$161,MATCH(C725,$A$158:$A$161,0)),0),0)</f>
        <v>0</v>
      </c>
      <c r="I725" s="62">
        <f>IF(F725,MAX(0,E725-I6*D725)*IFERROR(INDEX($D$158:$D$161,MATCH(C725,$A$158:$A$161,0)),0),0)</f>
        <v>0</v>
      </c>
      <c r="J725" s="62">
        <f t="shared" si="64"/>
        <v>312</v>
      </c>
    </row>
    <row r="726" spans="1:10" ht="15" customHeight="1" outlineLevel="1" x14ac:dyDescent="0.2">
      <c r="A726" s="63" t="str">
        <f t="shared" si="69"/>
        <v>R032</v>
      </c>
      <c r="B726" s="64">
        <f>$A$1425</f>
        <v>45413</v>
      </c>
      <c r="C726" s="63" t="str">
        <f t="shared" si="70"/>
        <v>SDR / Inside Sales Rep</v>
      </c>
      <c r="D726" s="62">
        <f>SUMIFS(Fact_Quota!$D:$D,Fact_Quota!$A:$A,$A726,Fact_Quota!$B:$B,"&gt;="&amp;B726,Fact_Quota!$B:$B,"&lt;"&amp;EDATE(B726,1))</f>
        <v>15100</v>
      </c>
      <c r="E726" s="62">
        <f>SUMIFS(Fact_Pipeline!$K:$K,Fact_Pipeline!$B:$B,$A726,Fact_Pipeline!$J:$J,"Won",Fact_Pipeline!$I:$I,"&gt;="&amp;B726,Fact_Pipeline!$I:$I,"&lt;"&amp;EDATE(B726,1))</f>
        <v>10800</v>
      </c>
      <c r="F726" s="63" t="b">
        <f>AND(D726&gt;0,IFERROR(E726/D726&gt;=G6,FALSE()))</f>
        <v>1</v>
      </c>
      <c r="G726" s="62">
        <f t="shared" si="63"/>
        <v>324</v>
      </c>
      <c r="H726" s="62">
        <f>IF(F726,MAX(0,MIN(E726,I6*D726)-D726)*IFERROR(INDEX($C$158:$C$161,MATCH(C726,$A$158:$A$161,0)),0),0)</f>
        <v>0</v>
      </c>
      <c r="I726" s="62">
        <f>IF(F726,MAX(0,E726-I6*D726)*IFERROR(INDEX($D$158:$D$161,MATCH(C726,$A$158:$A$161,0)),0),0)</f>
        <v>0</v>
      </c>
      <c r="J726" s="62">
        <f t="shared" si="64"/>
        <v>324</v>
      </c>
    </row>
    <row r="727" spans="1:10" ht="15" customHeight="1" outlineLevel="1" x14ac:dyDescent="0.2">
      <c r="A727" s="63" t="str">
        <f t="shared" si="69"/>
        <v>R032</v>
      </c>
      <c r="B727" s="64">
        <f>$A$1426</f>
        <v>45444</v>
      </c>
      <c r="C727" s="63" t="str">
        <f t="shared" si="70"/>
        <v>SDR / Inside Sales Rep</v>
      </c>
      <c r="D727" s="62">
        <f>SUMIFS(Fact_Quota!$D:$D,Fact_Quota!$A:$A,$A727,Fact_Quota!$B:$B,"&gt;="&amp;B727,Fact_Quota!$B:$B,"&lt;"&amp;EDATE(B727,1))</f>
        <v>15300</v>
      </c>
      <c r="E727" s="62">
        <f>SUMIFS(Fact_Pipeline!$K:$K,Fact_Pipeline!$B:$B,$A727,Fact_Pipeline!$J:$J,"Won",Fact_Pipeline!$I:$I,"&gt;="&amp;B727,Fact_Pipeline!$I:$I,"&lt;"&amp;EDATE(B727,1))</f>
        <v>28500</v>
      </c>
      <c r="F727" s="63" t="b">
        <f>AND(D727&gt;0,IFERROR(E727/D727&gt;=G6,FALSE()))</f>
        <v>1</v>
      </c>
      <c r="G727" s="62">
        <f t="shared" si="63"/>
        <v>459</v>
      </c>
      <c r="H727" s="62">
        <f>IF(F727,MAX(0,MIN(E727,I6*D727)-D727)*IFERROR(INDEX($C$158:$C$161,MATCH(C727,$A$158:$A$161,0)),0),0)</f>
        <v>382.5</v>
      </c>
      <c r="I727" s="62">
        <f>IF(F727,MAX(0,E727-I6*D727)*IFERROR(INDEX($D$158:$D$161,MATCH(C727,$A$158:$A$161,0)),0),0)</f>
        <v>388.50000000000006</v>
      </c>
      <c r="J727" s="62">
        <f t="shared" si="64"/>
        <v>1230</v>
      </c>
    </row>
    <row r="728" spans="1:10" ht="15" customHeight="1" outlineLevel="1" x14ac:dyDescent="0.2">
      <c r="A728" s="63" t="str">
        <f t="shared" si="69"/>
        <v>R032</v>
      </c>
      <c r="B728" s="64">
        <f>$A$1427</f>
        <v>45474</v>
      </c>
      <c r="C728" s="63" t="str">
        <f t="shared" si="70"/>
        <v>SDR / Inside Sales Rep</v>
      </c>
      <c r="D728" s="62">
        <f>SUMIFS(Fact_Quota!$D:$D,Fact_Quota!$A:$A,$A728,Fact_Quota!$B:$B,"&gt;="&amp;B728,Fact_Quota!$B:$B,"&lt;"&amp;EDATE(B728,1))</f>
        <v>16000</v>
      </c>
      <c r="E728" s="62">
        <f>SUMIFS(Fact_Pipeline!$K:$K,Fact_Pipeline!$B:$B,$A728,Fact_Pipeline!$J:$J,"Won",Fact_Pipeline!$I:$I,"&gt;="&amp;B728,Fact_Pipeline!$I:$I,"&lt;"&amp;EDATE(B728,1))</f>
        <v>25100</v>
      </c>
      <c r="F728" s="63" t="b">
        <f>AND(D728&gt;0,IFERROR(E728/D728&gt;=G6,FALSE()))</f>
        <v>1</v>
      </c>
      <c r="G728" s="62">
        <f t="shared" si="63"/>
        <v>480</v>
      </c>
      <c r="H728" s="62">
        <f>IF(F728,MAX(0,MIN(E728,I6*D728)-D728)*IFERROR(INDEX($C$158:$C$161,MATCH(C728,$A$158:$A$161,0)),0),0)</f>
        <v>400</v>
      </c>
      <c r="I728" s="62">
        <f>IF(F728,MAX(0,E728-I6*D728)*IFERROR(INDEX($D$158:$D$161,MATCH(C728,$A$158:$A$161,0)),0),0)</f>
        <v>77.000000000000014</v>
      </c>
      <c r="J728" s="62">
        <f t="shared" si="64"/>
        <v>957</v>
      </c>
    </row>
    <row r="729" spans="1:10" ht="15" customHeight="1" outlineLevel="1" x14ac:dyDescent="0.2">
      <c r="A729" s="63" t="str">
        <f t="shared" si="69"/>
        <v>R032</v>
      </c>
      <c r="B729" s="64">
        <f>$A$1428</f>
        <v>45505</v>
      </c>
      <c r="C729" s="63" t="str">
        <f t="shared" si="70"/>
        <v>SDR / Inside Sales Rep</v>
      </c>
      <c r="D729" s="62">
        <f>SUMIFS(Fact_Quota!$D:$D,Fact_Quota!$A:$A,$A729,Fact_Quota!$B:$B,"&gt;="&amp;B729,Fact_Quota!$B:$B,"&lt;"&amp;EDATE(B729,1))</f>
        <v>15200</v>
      </c>
      <c r="E729" s="62">
        <f>SUMIFS(Fact_Pipeline!$K:$K,Fact_Pipeline!$B:$B,$A729,Fact_Pipeline!$J:$J,"Won",Fact_Pipeline!$I:$I,"&gt;="&amp;B729,Fact_Pipeline!$I:$I,"&lt;"&amp;EDATE(B729,1))</f>
        <v>20000</v>
      </c>
      <c r="F729" s="63" t="b">
        <f>AND(D729&gt;0,IFERROR(E729/D729&gt;=G6,FALSE()))</f>
        <v>1</v>
      </c>
      <c r="G729" s="62">
        <f t="shared" si="63"/>
        <v>456</v>
      </c>
      <c r="H729" s="62">
        <f>IF(F729,MAX(0,MIN(E729,I6*D729)-D729)*IFERROR(INDEX($C$158:$C$161,MATCH(C729,$A$158:$A$161,0)),0),0)</f>
        <v>240</v>
      </c>
      <c r="I729" s="62">
        <f>IF(F729,MAX(0,E729-I6*D729)*IFERROR(INDEX($D$158:$D$161,MATCH(C729,$A$158:$A$161,0)),0),0)</f>
        <v>0</v>
      </c>
      <c r="J729" s="62">
        <f t="shared" si="64"/>
        <v>696</v>
      </c>
    </row>
    <row r="730" spans="1:10" ht="15" customHeight="1" outlineLevel="1" x14ac:dyDescent="0.2">
      <c r="A730" s="63" t="str">
        <f t="shared" si="69"/>
        <v>R032</v>
      </c>
      <c r="B730" s="64">
        <f>$A$1429</f>
        <v>45536</v>
      </c>
      <c r="C730" s="63" t="str">
        <f t="shared" si="70"/>
        <v>SDR / Inside Sales Rep</v>
      </c>
      <c r="D730" s="62">
        <f>SUMIFS(Fact_Quota!$D:$D,Fact_Quota!$A:$A,$A730,Fact_Quota!$B:$B,"&gt;="&amp;B730,Fact_Quota!$B:$B,"&lt;"&amp;EDATE(B730,1))</f>
        <v>15900</v>
      </c>
      <c r="E730" s="62">
        <f>SUMIFS(Fact_Pipeline!$K:$K,Fact_Pipeline!$B:$B,$A730,Fact_Pipeline!$J:$J,"Won",Fact_Pipeline!$I:$I,"&gt;="&amp;B730,Fact_Pipeline!$I:$I,"&lt;"&amp;EDATE(B730,1))</f>
        <v>14900</v>
      </c>
      <c r="F730" s="63" t="b">
        <f>AND(D730&gt;0,IFERROR(E730/D730&gt;=G6,FALSE()))</f>
        <v>1</v>
      </c>
      <c r="G730" s="62">
        <f t="shared" ref="G730:G793" si="71">IF(F730,MIN(E730,D730)*IFERROR(INDEX($B$158:$B$161,MATCH(C730,$A$158:$A$161,0)),0),0)</f>
        <v>447</v>
      </c>
      <c r="H730" s="62">
        <f>IF(F730,MAX(0,MIN(E730,I6*D730)-D730)*IFERROR(INDEX($C$158:$C$161,MATCH(C730,$A$158:$A$161,0)),0),0)</f>
        <v>0</v>
      </c>
      <c r="I730" s="62">
        <f>IF(F730,MAX(0,E730-I6*D730)*IFERROR(INDEX($D$158:$D$161,MATCH(C730,$A$158:$A$161,0)),0),0)</f>
        <v>0</v>
      </c>
      <c r="J730" s="62">
        <f t="shared" ref="J730:J793" si="72">G730+H730+I730</f>
        <v>447</v>
      </c>
    </row>
    <row r="731" spans="1:10" ht="15" customHeight="1" outlineLevel="1" x14ac:dyDescent="0.2">
      <c r="A731" s="63" t="str">
        <f t="shared" si="69"/>
        <v>R032</v>
      </c>
      <c r="B731" s="64">
        <f>$A$1430</f>
        <v>45566</v>
      </c>
      <c r="C731" s="63" t="str">
        <f t="shared" si="70"/>
        <v>SDR / Inside Sales Rep</v>
      </c>
      <c r="D731" s="62">
        <f>SUMIFS(Fact_Quota!$D:$D,Fact_Quota!$A:$A,$A731,Fact_Quota!$B:$B,"&gt;="&amp;B731,Fact_Quota!$B:$B,"&lt;"&amp;EDATE(B731,1))</f>
        <v>15000</v>
      </c>
      <c r="E731" s="62">
        <f>SUMIFS(Fact_Pipeline!$K:$K,Fact_Pipeline!$B:$B,$A731,Fact_Pipeline!$J:$J,"Won",Fact_Pipeline!$I:$I,"&gt;="&amp;B731,Fact_Pipeline!$I:$I,"&lt;"&amp;EDATE(B731,1))</f>
        <v>29900</v>
      </c>
      <c r="F731" s="63" t="b">
        <f>AND(D731&gt;0,IFERROR(E731/D731&gt;=G6,FALSE()))</f>
        <v>1</v>
      </c>
      <c r="G731" s="62">
        <f t="shared" si="71"/>
        <v>450</v>
      </c>
      <c r="H731" s="62">
        <f>IF(F731,MAX(0,MIN(E731,I6*D731)-D731)*IFERROR(INDEX($C$158:$C$161,MATCH(C731,$A$158:$A$161,0)),0),0)</f>
        <v>375</v>
      </c>
      <c r="I731" s="62">
        <f>IF(F731,MAX(0,E731-I6*D731)*IFERROR(INDEX($D$158:$D$161,MATCH(C731,$A$158:$A$161,0)),0),0)</f>
        <v>518</v>
      </c>
      <c r="J731" s="62">
        <f t="shared" si="72"/>
        <v>1343</v>
      </c>
    </row>
    <row r="732" spans="1:10" ht="15" customHeight="1" outlineLevel="1" x14ac:dyDescent="0.2">
      <c r="A732" s="63" t="str">
        <f t="shared" si="69"/>
        <v>R032</v>
      </c>
      <c r="B732" s="64">
        <f>$A$1431</f>
        <v>45597</v>
      </c>
      <c r="C732" s="63" t="str">
        <f t="shared" si="70"/>
        <v>SDR / Inside Sales Rep</v>
      </c>
      <c r="D732" s="62">
        <f>SUMIFS(Fact_Quota!$D:$D,Fact_Quota!$A:$A,$A732,Fact_Quota!$B:$B,"&gt;="&amp;B732,Fact_Quota!$B:$B,"&lt;"&amp;EDATE(B732,1))</f>
        <v>15700</v>
      </c>
      <c r="E732" s="62">
        <f>SUMIFS(Fact_Pipeline!$K:$K,Fact_Pipeline!$B:$B,$A732,Fact_Pipeline!$J:$J,"Won",Fact_Pipeline!$I:$I,"&gt;="&amp;B732,Fact_Pipeline!$I:$I,"&lt;"&amp;EDATE(B732,1))</f>
        <v>25800</v>
      </c>
      <c r="F732" s="63" t="b">
        <f>AND(D732&gt;0,IFERROR(E732/D732&gt;=G6,FALSE()))</f>
        <v>1</v>
      </c>
      <c r="G732" s="62">
        <f t="shared" si="71"/>
        <v>471</v>
      </c>
      <c r="H732" s="62">
        <f>IF(F732,MAX(0,MIN(E732,I6*D732)-D732)*IFERROR(INDEX($C$158:$C$161,MATCH(C732,$A$158:$A$161,0)),0),0)</f>
        <v>392.5</v>
      </c>
      <c r="I732" s="62">
        <f>IF(F732,MAX(0,E732-I6*D732)*IFERROR(INDEX($D$158:$D$161,MATCH(C732,$A$158:$A$161,0)),0),0)</f>
        <v>157.50000000000003</v>
      </c>
      <c r="J732" s="62">
        <f t="shared" si="72"/>
        <v>1021</v>
      </c>
    </row>
    <row r="733" spans="1:10" ht="15" customHeight="1" outlineLevel="1" x14ac:dyDescent="0.2">
      <c r="A733" s="63" t="str">
        <f t="shared" si="69"/>
        <v>R032</v>
      </c>
      <c r="B733" s="64">
        <f>$A$1432</f>
        <v>45627</v>
      </c>
      <c r="C733" s="63" t="str">
        <f t="shared" si="70"/>
        <v>SDR / Inside Sales Rep</v>
      </c>
      <c r="D733" s="62">
        <f>SUMIFS(Fact_Quota!$D:$D,Fact_Quota!$A:$A,$A733,Fact_Quota!$B:$B,"&gt;="&amp;B733,Fact_Quota!$B:$B,"&lt;"&amp;EDATE(B733,1))</f>
        <v>16200</v>
      </c>
      <c r="E733" s="62">
        <f>SUMIFS(Fact_Pipeline!$K:$K,Fact_Pipeline!$B:$B,$A733,Fact_Pipeline!$J:$J,"Won",Fact_Pipeline!$I:$I,"&gt;="&amp;B733,Fact_Pipeline!$I:$I,"&lt;"&amp;EDATE(B733,1))</f>
        <v>11900</v>
      </c>
      <c r="F733" s="63" t="b">
        <f>AND(D733&gt;0,IFERROR(E733/D733&gt;=G6,FALSE()))</f>
        <v>1</v>
      </c>
      <c r="G733" s="62">
        <f t="shared" si="71"/>
        <v>357</v>
      </c>
      <c r="H733" s="62">
        <f>IF(F733,MAX(0,MIN(E733,I6*D733)-D733)*IFERROR(INDEX($C$158:$C$161,MATCH(C733,$A$158:$A$161,0)),0),0)</f>
        <v>0</v>
      </c>
      <c r="I733" s="62">
        <f>IF(F733,MAX(0,E733-I6*D733)*IFERROR(INDEX($D$158:$D$161,MATCH(C733,$A$158:$A$161,0)),0),0)</f>
        <v>0</v>
      </c>
      <c r="J733" s="62">
        <f t="shared" si="72"/>
        <v>357</v>
      </c>
    </row>
    <row r="734" spans="1:10" ht="15" customHeight="1" outlineLevel="1" x14ac:dyDescent="0.2">
      <c r="A734" s="63" t="str">
        <f t="shared" si="69"/>
        <v>R032</v>
      </c>
      <c r="B734" s="64">
        <f>$A$1433</f>
        <v>45658</v>
      </c>
      <c r="C734" s="63" t="str">
        <f t="shared" si="70"/>
        <v>SDR / Inside Sales Rep</v>
      </c>
      <c r="D734" s="62">
        <f>SUMIFS(Fact_Quota!$D:$D,Fact_Quota!$A:$A,$A734,Fact_Quota!$B:$B,"&gt;="&amp;B734,Fact_Quota!$B:$B,"&lt;"&amp;EDATE(B734,1))</f>
        <v>14400</v>
      </c>
      <c r="E734" s="62">
        <f>SUMIFS(Fact_Pipeline!$K:$K,Fact_Pipeline!$B:$B,$A734,Fact_Pipeline!$J:$J,"Won",Fact_Pipeline!$I:$I,"&gt;="&amp;B734,Fact_Pipeline!$I:$I,"&lt;"&amp;EDATE(B734,1))</f>
        <v>13200</v>
      </c>
      <c r="F734" s="63" t="b">
        <f>AND(D734&gt;0,IFERROR(E734/D734&gt;=G6,FALSE()))</f>
        <v>1</v>
      </c>
      <c r="G734" s="62">
        <f t="shared" si="71"/>
        <v>396</v>
      </c>
      <c r="H734" s="62">
        <f>IF(F734,MAX(0,MIN(E734,I6*D734)-D734)*IFERROR(INDEX($C$158:$C$161,MATCH(C734,$A$158:$A$161,0)),0),0)</f>
        <v>0</v>
      </c>
      <c r="I734" s="62">
        <f>IF(F734,MAX(0,E734-I6*D734)*IFERROR(INDEX($D$158:$D$161,MATCH(C734,$A$158:$A$161,0)),0),0)</f>
        <v>0</v>
      </c>
      <c r="J734" s="62">
        <f t="shared" si="72"/>
        <v>396</v>
      </c>
    </row>
    <row r="735" spans="1:10" ht="15" customHeight="1" outlineLevel="1" x14ac:dyDescent="0.2">
      <c r="A735" s="63" t="str">
        <f t="shared" si="69"/>
        <v>R032</v>
      </c>
      <c r="B735" s="64">
        <f>$A$1434</f>
        <v>45689</v>
      </c>
      <c r="C735" s="63" t="str">
        <f t="shared" si="70"/>
        <v>SDR / Inside Sales Rep</v>
      </c>
      <c r="D735" s="62">
        <f>SUMIFS(Fact_Quota!$D:$D,Fact_Quota!$A:$A,$A735,Fact_Quota!$B:$B,"&gt;="&amp;B735,Fact_Quota!$B:$B,"&lt;"&amp;EDATE(B735,1))</f>
        <v>15100</v>
      </c>
      <c r="E735" s="62">
        <f>SUMIFS(Fact_Pipeline!$K:$K,Fact_Pipeline!$B:$B,$A735,Fact_Pipeline!$J:$J,"Won",Fact_Pipeline!$I:$I,"&gt;="&amp;B735,Fact_Pipeline!$I:$I,"&lt;"&amp;EDATE(B735,1))</f>
        <v>8800</v>
      </c>
      <c r="F735" s="63" t="b">
        <f>AND(D735&gt;0,IFERROR(E735/D735&gt;=G6,FALSE()))</f>
        <v>1</v>
      </c>
      <c r="G735" s="62">
        <f t="shared" si="71"/>
        <v>264</v>
      </c>
      <c r="H735" s="62">
        <f>IF(F735,MAX(0,MIN(E735,I6*D735)-D735)*IFERROR(INDEX($C$158:$C$161,MATCH(C735,$A$158:$A$161,0)),0),0)</f>
        <v>0</v>
      </c>
      <c r="I735" s="62">
        <f>IF(F735,MAX(0,E735-I6*D735)*IFERROR(INDEX($D$158:$D$161,MATCH(C735,$A$158:$A$161,0)),0),0)</f>
        <v>0</v>
      </c>
      <c r="J735" s="62">
        <f t="shared" si="72"/>
        <v>264</v>
      </c>
    </row>
    <row r="736" spans="1:10" ht="15" customHeight="1" outlineLevel="1" x14ac:dyDescent="0.2">
      <c r="A736" s="63" t="str">
        <f t="shared" si="69"/>
        <v>R032</v>
      </c>
      <c r="B736" s="64">
        <f>$A$1435</f>
        <v>45717</v>
      </c>
      <c r="C736" s="63" t="str">
        <f t="shared" si="70"/>
        <v>SDR / Inside Sales Rep</v>
      </c>
      <c r="D736" s="62">
        <f>SUMIFS(Fact_Quota!$D:$D,Fact_Quota!$A:$A,$A736,Fact_Quota!$B:$B,"&gt;="&amp;B736,Fact_Quota!$B:$B,"&lt;"&amp;EDATE(B736,1))</f>
        <v>15800</v>
      </c>
      <c r="E736" s="62">
        <f>SUMIFS(Fact_Pipeline!$K:$K,Fact_Pipeline!$B:$B,$A736,Fact_Pipeline!$J:$J,"Won",Fact_Pipeline!$I:$I,"&gt;="&amp;B736,Fact_Pipeline!$I:$I,"&lt;"&amp;EDATE(B736,1))</f>
        <v>22500</v>
      </c>
      <c r="F736" s="63" t="b">
        <f>AND(D736&gt;0,IFERROR(E736/D736&gt;=G6,FALSE()))</f>
        <v>1</v>
      </c>
      <c r="G736" s="62">
        <f t="shared" si="71"/>
        <v>474</v>
      </c>
      <c r="H736" s="62">
        <f>IF(F736,MAX(0,MIN(E736,I6*D736)-D736)*IFERROR(INDEX($C$158:$C$161,MATCH(C736,$A$158:$A$161,0)),0),0)</f>
        <v>335</v>
      </c>
      <c r="I736" s="62">
        <f>IF(F736,MAX(0,E736-I6*D736)*IFERROR(INDEX($D$158:$D$161,MATCH(C736,$A$158:$A$161,0)),0),0)</f>
        <v>0</v>
      </c>
      <c r="J736" s="62">
        <f t="shared" si="72"/>
        <v>809</v>
      </c>
    </row>
    <row r="737" spans="1:10" ht="15" customHeight="1" outlineLevel="1" x14ac:dyDescent="0.2">
      <c r="A737" s="63" t="str">
        <f t="shared" si="69"/>
        <v>R032</v>
      </c>
      <c r="B737" s="64">
        <f>$A$1436</f>
        <v>45748</v>
      </c>
      <c r="C737" s="63" t="str">
        <f t="shared" si="70"/>
        <v>SDR / Inside Sales Rep</v>
      </c>
      <c r="D737" s="62">
        <f>SUMIFS(Fact_Quota!$D:$D,Fact_Quota!$A:$A,$A737,Fact_Quota!$B:$B,"&gt;="&amp;B737,Fact_Quota!$B:$B,"&lt;"&amp;EDATE(B737,1))</f>
        <v>15400</v>
      </c>
      <c r="E737" s="62">
        <f>SUMIFS(Fact_Pipeline!$K:$K,Fact_Pipeline!$B:$B,$A737,Fact_Pipeline!$J:$J,"Won",Fact_Pipeline!$I:$I,"&gt;="&amp;B737,Fact_Pipeline!$I:$I,"&lt;"&amp;EDATE(B737,1))</f>
        <v>2600</v>
      </c>
      <c r="F737" s="63" t="b">
        <f>AND(D737&gt;0,IFERROR(E737/D737&gt;=G6,FALSE()))</f>
        <v>0</v>
      </c>
      <c r="G737" s="62">
        <f t="shared" si="71"/>
        <v>0</v>
      </c>
      <c r="H737" s="62">
        <f>IF(F737,MAX(0,MIN(E737,I6*D737)-D737)*IFERROR(INDEX($C$158:$C$161,MATCH(C737,$A$158:$A$161,0)),0),0)</f>
        <v>0</v>
      </c>
      <c r="I737" s="62">
        <f>IF(F737,MAX(0,E737-I6*D737)*IFERROR(INDEX($D$158:$D$161,MATCH(C737,$A$158:$A$161,0)),0),0)</f>
        <v>0</v>
      </c>
      <c r="J737" s="62">
        <f t="shared" si="72"/>
        <v>0</v>
      </c>
    </row>
    <row r="738" spans="1:10" ht="15" customHeight="1" outlineLevel="1" x14ac:dyDescent="0.2">
      <c r="A738" s="63" t="str">
        <f t="shared" si="69"/>
        <v>R032</v>
      </c>
      <c r="B738" s="64">
        <f>$A$1437</f>
        <v>45778</v>
      </c>
      <c r="C738" s="63" t="str">
        <f t="shared" si="70"/>
        <v>SDR / Inside Sales Rep</v>
      </c>
      <c r="D738" s="62">
        <f>SUMIFS(Fact_Quota!$D:$D,Fact_Quota!$A:$A,$A738,Fact_Quota!$B:$B,"&gt;="&amp;B738,Fact_Quota!$B:$B,"&lt;"&amp;EDATE(B738,1))</f>
        <v>15700</v>
      </c>
      <c r="E738" s="62">
        <f>SUMIFS(Fact_Pipeline!$K:$K,Fact_Pipeline!$B:$B,$A738,Fact_Pipeline!$J:$J,"Won",Fact_Pipeline!$I:$I,"&gt;="&amp;B738,Fact_Pipeline!$I:$I,"&lt;"&amp;EDATE(B738,1))</f>
        <v>30400</v>
      </c>
      <c r="F738" s="63" t="b">
        <f>AND(D738&gt;0,IFERROR(E738/D738&gt;=G6,FALSE()))</f>
        <v>1</v>
      </c>
      <c r="G738" s="62">
        <f t="shared" si="71"/>
        <v>471</v>
      </c>
      <c r="H738" s="62">
        <f>IF(F738,MAX(0,MIN(E738,I6*D738)-D738)*IFERROR(INDEX($C$158:$C$161,MATCH(C738,$A$158:$A$161,0)),0),0)</f>
        <v>392.5</v>
      </c>
      <c r="I738" s="62">
        <f>IF(F738,MAX(0,E738-I6*D738)*IFERROR(INDEX($D$158:$D$161,MATCH(C738,$A$158:$A$161,0)),0),0)</f>
        <v>479.50000000000006</v>
      </c>
      <c r="J738" s="62">
        <f t="shared" si="72"/>
        <v>1343</v>
      </c>
    </row>
    <row r="739" spans="1:10" ht="15" customHeight="1" outlineLevel="1" x14ac:dyDescent="0.2">
      <c r="A739" s="63" t="str">
        <f t="shared" si="69"/>
        <v>R032</v>
      </c>
      <c r="B739" s="64">
        <f>$A$1438</f>
        <v>45809</v>
      </c>
      <c r="C739" s="63" t="str">
        <f t="shared" si="70"/>
        <v>SDR / Inside Sales Rep</v>
      </c>
      <c r="D739" s="62">
        <f>SUMIFS(Fact_Quota!$D:$D,Fact_Quota!$A:$A,$A739,Fact_Quota!$B:$B,"&gt;="&amp;B739,Fact_Quota!$B:$B,"&lt;"&amp;EDATE(B739,1))</f>
        <v>15200</v>
      </c>
      <c r="E739" s="62">
        <f>SUMIFS(Fact_Pipeline!$K:$K,Fact_Pipeline!$B:$B,$A739,Fact_Pipeline!$J:$J,"Won",Fact_Pipeline!$I:$I,"&gt;="&amp;B739,Fact_Pipeline!$I:$I,"&lt;"&amp;EDATE(B739,1))</f>
        <v>24300</v>
      </c>
      <c r="F739" s="63" t="b">
        <f>AND(D739&gt;0,IFERROR(E739/D739&gt;=G6,FALSE()))</f>
        <v>1</v>
      </c>
      <c r="G739" s="62">
        <f t="shared" si="71"/>
        <v>456</v>
      </c>
      <c r="H739" s="62">
        <f>IF(F739,MAX(0,MIN(E739,I6*D739)-D739)*IFERROR(INDEX($C$158:$C$161,MATCH(C739,$A$158:$A$161,0)),0),0)</f>
        <v>380</v>
      </c>
      <c r="I739" s="62">
        <f>IF(F739,MAX(0,E739-I6*D739)*IFERROR(INDEX($D$158:$D$161,MATCH(C739,$A$158:$A$161,0)),0),0)</f>
        <v>105.00000000000001</v>
      </c>
      <c r="J739" s="62">
        <f t="shared" si="72"/>
        <v>941</v>
      </c>
    </row>
    <row r="740" spans="1:10" ht="15" customHeight="1" outlineLevel="1" x14ac:dyDescent="0.2">
      <c r="A740" s="63" t="str">
        <f t="shared" si="69"/>
        <v>R032</v>
      </c>
      <c r="B740" s="64">
        <f>$A$1439</f>
        <v>45839</v>
      </c>
      <c r="C740" s="63" t="str">
        <f t="shared" si="70"/>
        <v>SDR / Inside Sales Rep</v>
      </c>
      <c r="D740" s="62">
        <f>SUMIFS(Fact_Quota!$D:$D,Fact_Quota!$A:$A,$A740,Fact_Quota!$B:$B,"&gt;="&amp;B740,Fact_Quota!$B:$B,"&lt;"&amp;EDATE(B740,1))</f>
        <v>15500</v>
      </c>
      <c r="E740" s="62">
        <f>SUMIFS(Fact_Pipeline!$K:$K,Fact_Pipeline!$B:$B,$A740,Fact_Pipeline!$J:$J,"Won",Fact_Pipeline!$I:$I,"&gt;="&amp;B740,Fact_Pipeline!$I:$I,"&lt;"&amp;EDATE(B740,1))</f>
        <v>31800</v>
      </c>
      <c r="F740" s="63" t="b">
        <f>AND(D740&gt;0,IFERROR(E740/D740&gt;=G6,FALSE()))</f>
        <v>1</v>
      </c>
      <c r="G740" s="62">
        <f t="shared" si="71"/>
        <v>465</v>
      </c>
      <c r="H740" s="62">
        <f>IF(F740,MAX(0,MIN(E740,I6*D740)-D740)*IFERROR(INDEX($C$158:$C$161,MATCH(C740,$A$158:$A$161,0)),0),0)</f>
        <v>387.5</v>
      </c>
      <c r="I740" s="62">
        <f>IF(F740,MAX(0,E740-I6*D740)*IFERROR(INDEX($D$158:$D$161,MATCH(C740,$A$158:$A$161,0)),0),0)</f>
        <v>598.50000000000011</v>
      </c>
      <c r="J740" s="62">
        <f t="shared" si="72"/>
        <v>1451</v>
      </c>
    </row>
    <row r="741" spans="1:10" ht="15" customHeight="1" outlineLevel="1" x14ac:dyDescent="0.2">
      <c r="A741" s="63" t="str">
        <f t="shared" si="69"/>
        <v>R032</v>
      </c>
      <c r="B741" s="64">
        <f>$A$1440</f>
        <v>45870</v>
      </c>
      <c r="C741" s="63" t="str">
        <f t="shared" si="70"/>
        <v>SDR / Inside Sales Rep</v>
      </c>
      <c r="D741" s="62">
        <f>SUMIFS(Fact_Quota!$D:$D,Fact_Quota!$A:$A,$A741,Fact_Quota!$B:$B,"&gt;="&amp;B741,Fact_Quota!$B:$B,"&lt;"&amp;EDATE(B741,1))</f>
        <v>15400</v>
      </c>
      <c r="E741" s="62">
        <f>SUMIFS(Fact_Pipeline!$K:$K,Fact_Pipeline!$B:$B,$A741,Fact_Pipeline!$J:$J,"Won",Fact_Pipeline!$I:$I,"&gt;="&amp;B741,Fact_Pipeline!$I:$I,"&lt;"&amp;EDATE(B741,1))</f>
        <v>14500</v>
      </c>
      <c r="F741" s="63" t="b">
        <f>AND(D741&gt;0,IFERROR(E741/D741&gt;=G6,FALSE()))</f>
        <v>1</v>
      </c>
      <c r="G741" s="62">
        <f t="shared" si="71"/>
        <v>435</v>
      </c>
      <c r="H741" s="62">
        <f>IF(F741,MAX(0,MIN(E741,I6*D741)-D741)*IFERROR(INDEX($C$158:$C$161,MATCH(C741,$A$158:$A$161,0)),0),0)</f>
        <v>0</v>
      </c>
      <c r="I741" s="62">
        <f>IF(F741,MAX(0,E741-I6*D741)*IFERROR(INDEX($D$158:$D$161,MATCH(C741,$A$158:$A$161,0)),0),0)</f>
        <v>0</v>
      </c>
      <c r="J741" s="62">
        <f t="shared" si="72"/>
        <v>435</v>
      </c>
    </row>
    <row r="742" spans="1:10" ht="15" customHeight="1" outlineLevel="1" x14ac:dyDescent="0.2">
      <c r="A742" s="63" t="str">
        <f t="shared" si="69"/>
        <v>R032</v>
      </c>
      <c r="B742" s="64">
        <f>$A$1441</f>
        <v>45901</v>
      </c>
      <c r="C742" s="63" t="str">
        <f t="shared" si="70"/>
        <v>SDR / Inside Sales Rep</v>
      </c>
      <c r="D742" s="62">
        <f>SUMIFS(Fact_Quota!$D:$D,Fact_Quota!$A:$A,$A742,Fact_Quota!$B:$B,"&gt;="&amp;B742,Fact_Quota!$B:$B,"&lt;"&amp;EDATE(B742,1))</f>
        <v>16000</v>
      </c>
      <c r="E742" s="62">
        <f>SUMIFS(Fact_Pipeline!$K:$K,Fact_Pipeline!$B:$B,$A742,Fact_Pipeline!$J:$J,"Won",Fact_Pipeline!$I:$I,"&gt;="&amp;B742,Fact_Pipeline!$I:$I,"&lt;"&amp;EDATE(B742,1))</f>
        <v>14300</v>
      </c>
      <c r="F742" s="63" t="b">
        <f>AND(D742&gt;0,IFERROR(E742/D742&gt;=G6,FALSE()))</f>
        <v>1</v>
      </c>
      <c r="G742" s="62">
        <f t="shared" si="71"/>
        <v>429</v>
      </c>
      <c r="H742" s="62">
        <f>IF(F742,MAX(0,MIN(E742,I6*D742)-D742)*IFERROR(INDEX($C$158:$C$161,MATCH(C742,$A$158:$A$161,0)),0),0)</f>
        <v>0</v>
      </c>
      <c r="I742" s="62">
        <f>IF(F742,MAX(0,E742-I6*D742)*IFERROR(INDEX($D$158:$D$161,MATCH(C742,$A$158:$A$161,0)),0),0)</f>
        <v>0</v>
      </c>
      <c r="J742" s="62">
        <f t="shared" si="72"/>
        <v>429</v>
      </c>
    </row>
    <row r="743" spans="1:10" ht="15" customHeight="1" outlineLevel="1" x14ac:dyDescent="0.2">
      <c r="A743" s="63" t="str">
        <f t="shared" si="69"/>
        <v>R032</v>
      </c>
      <c r="B743" s="64">
        <f>$A$1442</f>
        <v>45931</v>
      </c>
      <c r="C743" s="63" t="str">
        <f t="shared" si="70"/>
        <v>SDR / Inside Sales Rep</v>
      </c>
      <c r="D743" s="62">
        <f>SUMIFS(Fact_Quota!$D:$D,Fact_Quota!$A:$A,$A743,Fact_Quota!$B:$B,"&gt;="&amp;B743,Fact_Quota!$B:$B,"&lt;"&amp;EDATE(B743,1))</f>
        <v>15600</v>
      </c>
      <c r="E743" s="62">
        <f>SUMIFS(Fact_Pipeline!$K:$K,Fact_Pipeline!$B:$B,$A743,Fact_Pipeline!$J:$J,"Won",Fact_Pipeline!$I:$I,"&gt;="&amp;B743,Fact_Pipeline!$I:$I,"&lt;"&amp;EDATE(B743,1))</f>
        <v>21900</v>
      </c>
      <c r="F743" s="63" t="b">
        <f>AND(D743&gt;0,IFERROR(E743/D743&gt;=G6,FALSE()))</f>
        <v>1</v>
      </c>
      <c r="G743" s="62">
        <f t="shared" si="71"/>
        <v>468</v>
      </c>
      <c r="H743" s="62">
        <f>IF(F743,MAX(0,MIN(E743,I6*D743)-D743)*IFERROR(INDEX($C$158:$C$161,MATCH(C743,$A$158:$A$161,0)),0),0)</f>
        <v>315</v>
      </c>
      <c r="I743" s="62">
        <f>IF(F743,MAX(0,E743-I6*D743)*IFERROR(INDEX($D$158:$D$161,MATCH(C743,$A$158:$A$161,0)),0),0)</f>
        <v>0</v>
      </c>
      <c r="J743" s="62">
        <f t="shared" si="72"/>
        <v>783</v>
      </c>
    </row>
    <row r="744" spans="1:10" ht="15" customHeight="1" outlineLevel="1" x14ac:dyDescent="0.2">
      <c r="A744" s="63" t="str">
        <f t="shared" si="69"/>
        <v>R032</v>
      </c>
      <c r="B744" s="64">
        <f>$A$1443</f>
        <v>45962</v>
      </c>
      <c r="C744" s="63" t="str">
        <f t="shared" si="70"/>
        <v>SDR / Inside Sales Rep</v>
      </c>
      <c r="D744" s="62">
        <f>SUMIFS(Fact_Quota!$D:$D,Fact_Quota!$A:$A,$A744,Fact_Quota!$B:$B,"&gt;="&amp;B744,Fact_Quota!$B:$B,"&lt;"&amp;EDATE(B744,1))</f>
        <v>15700</v>
      </c>
      <c r="E744" s="62">
        <f>SUMIFS(Fact_Pipeline!$K:$K,Fact_Pipeline!$B:$B,$A744,Fact_Pipeline!$J:$J,"Won",Fact_Pipeline!$I:$I,"&gt;="&amp;B744,Fact_Pipeline!$I:$I,"&lt;"&amp;EDATE(B744,1))</f>
        <v>21200</v>
      </c>
      <c r="F744" s="63" t="b">
        <f>AND(D744&gt;0,IFERROR(E744/D744&gt;=G6,FALSE()))</f>
        <v>1</v>
      </c>
      <c r="G744" s="62">
        <f t="shared" si="71"/>
        <v>471</v>
      </c>
      <c r="H744" s="62">
        <f>IF(F744,MAX(0,MIN(E744,I6*D744)-D744)*IFERROR(INDEX($C$158:$C$161,MATCH(C744,$A$158:$A$161,0)),0),0)</f>
        <v>275</v>
      </c>
      <c r="I744" s="62">
        <f>IF(F744,MAX(0,E744-I6*D744)*IFERROR(INDEX($D$158:$D$161,MATCH(C744,$A$158:$A$161,0)),0),0)</f>
        <v>0</v>
      </c>
      <c r="J744" s="62">
        <f t="shared" si="72"/>
        <v>746</v>
      </c>
    </row>
    <row r="745" spans="1:10" ht="15" customHeight="1" outlineLevel="1" x14ac:dyDescent="0.2">
      <c r="A745" s="63" t="str">
        <f t="shared" si="69"/>
        <v>R032</v>
      </c>
      <c r="B745" s="64">
        <f>$A$1444</f>
        <v>45992</v>
      </c>
      <c r="C745" s="63" t="str">
        <f t="shared" si="70"/>
        <v>SDR / Inside Sales Rep</v>
      </c>
      <c r="D745" s="62">
        <f>SUMIFS(Fact_Quota!$D:$D,Fact_Quota!$A:$A,$A745,Fact_Quota!$B:$B,"&gt;="&amp;B745,Fact_Quota!$B:$B,"&lt;"&amp;EDATE(B745,1))</f>
        <v>15300</v>
      </c>
      <c r="E745" s="62">
        <f>SUMIFS(Fact_Pipeline!$K:$K,Fact_Pipeline!$B:$B,$A745,Fact_Pipeline!$J:$J,"Won",Fact_Pipeline!$I:$I,"&gt;="&amp;B745,Fact_Pipeline!$I:$I,"&lt;"&amp;EDATE(B745,1))</f>
        <v>4100</v>
      </c>
      <c r="F745" s="63" t="b">
        <f>AND(D745&gt;0,IFERROR(E745/D745&gt;=G6,FALSE()))</f>
        <v>0</v>
      </c>
      <c r="G745" s="62">
        <f t="shared" si="71"/>
        <v>0</v>
      </c>
      <c r="H745" s="62">
        <f>IF(F745,MAX(0,MIN(E745,I6*D745)-D745)*IFERROR(INDEX($C$158:$C$161,MATCH(C745,$A$158:$A$161,0)),0),0)</f>
        <v>0</v>
      </c>
      <c r="I745" s="62">
        <f>IF(F745,MAX(0,E745-I6*D745)*IFERROR(INDEX($D$158:$D$161,MATCH(C745,$A$158:$A$161,0)),0),0)</f>
        <v>0</v>
      </c>
      <c r="J745" s="62">
        <f t="shared" si="72"/>
        <v>0</v>
      </c>
    </row>
    <row r="746" spans="1:10" ht="15" customHeight="1" outlineLevel="1" x14ac:dyDescent="0.2">
      <c r="A746" s="66" t="str">
        <f t="shared" ref="A746:A769" si="73">$A$187</f>
        <v>R033</v>
      </c>
      <c r="B746" s="67">
        <f>$A$1421</f>
        <v>45292</v>
      </c>
      <c r="C746" s="66" t="str">
        <f t="shared" ref="C746:C769" si="74">$C$187</f>
        <v>SDR / Inside Sales Rep</v>
      </c>
      <c r="D746" s="65">
        <f>SUMIFS(Fact_Quota!$D:$D,Fact_Quota!$A:$A,$A746,Fact_Quota!$B:$B,"&gt;="&amp;B746,Fact_Quota!$B:$B,"&lt;"&amp;EDATE(B746,1))</f>
        <v>15300</v>
      </c>
      <c r="E746" s="65">
        <f>SUMIFS(Fact_Pipeline!$K:$K,Fact_Pipeline!$B:$B,$A746,Fact_Pipeline!$J:$J,"Won",Fact_Pipeline!$I:$I,"&gt;="&amp;B746,Fact_Pipeline!$I:$I,"&lt;"&amp;EDATE(B746,1))</f>
        <v>0</v>
      </c>
      <c r="F746" s="66" t="b">
        <f>AND(D746&gt;0,IFERROR(E746/D746&gt;=G6,FALSE()))</f>
        <v>0</v>
      </c>
      <c r="G746" s="65">
        <f t="shared" si="71"/>
        <v>0</v>
      </c>
      <c r="H746" s="65">
        <f>IF(F746,MAX(0,MIN(E746,I6*D746)-D746)*IFERROR(INDEX($C$158:$C$161,MATCH(C746,$A$158:$A$161,0)),0),0)</f>
        <v>0</v>
      </c>
      <c r="I746" s="65">
        <f>IF(F746,MAX(0,E746-I6*D746)*IFERROR(INDEX($D$158:$D$161,MATCH(C746,$A$158:$A$161,0)),0),0)</f>
        <v>0</v>
      </c>
      <c r="J746" s="65">
        <f t="shared" si="72"/>
        <v>0</v>
      </c>
    </row>
    <row r="747" spans="1:10" ht="15" customHeight="1" outlineLevel="1" x14ac:dyDescent="0.2">
      <c r="A747" s="66" t="str">
        <f t="shared" si="73"/>
        <v>R033</v>
      </c>
      <c r="B747" s="67">
        <f>$A$1422</f>
        <v>45323</v>
      </c>
      <c r="C747" s="66" t="str">
        <f t="shared" si="74"/>
        <v>SDR / Inside Sales Rep</v>
      </c>
      <c r="D747" s="65">
        <f>SUMIFS(Fact_Quota!$D:$D,Fact_Quota!$A:$A,$A747,Fact_Quota!$B:$B,"&gt;="&amp;B747,Fact_Quota!$B:$B,"&lt;"&amp;EDATE(B747,1))</f>
        <v>15300</v>
      </c>
      <c r="E747" s="65">
        <f>SUMIFS(Fact_Pipeline!$K:$K,Fact_Pipeline!$B:$B,$A747,Fact_Pipeline!$J:$J,"Won",Fact_Pipeline!$I:$I,"&gt;="&amp;B747,Fact_Pipeline!$I:$I,"&lt;"&amp;EDATE(B747,1))</f>
        <v>11900</v>
      </c>
      <c r="F747" s="66" t="b">
        <f>AND(D747&gt;0,IFERROR(E747/D747&gt;=G6,FALSE()))</f>
        <v>1</v>
      </c>
      <c r="G747" s="65">
        <f t="shared" si="71"/>
        <v>357</v>
      </c>
      <c r="H747" s="65">
        <f>IF(F747,MAX(0,MIN(E747,I6*D747)-D747)*IFERROR(INDEX($C$158:$C$161,MATCH(C747,$A$158:$A$161,0)),0),0)</f>
        <v>0</v>
      </c>
      <c r="I747" s="65">
        <f>IF(F747,MAX(0,E747-I6*D747)*IFERROR(INDEX($D$158:$D$161,MATCH(C747,$A$158:$A$161,0)),0),0)</f>
        <v>0</v>
      </c>
      <c r="J747" s="65">
        <f t="shared" si="72"/>
        <v>357</v>
      </c>
    </row>
    <row r="748" spans="1:10" ht="15" customHeight="1" outlineLevel="1" x14ac:dyDescent="0.2">
      <c r="A748" s="66" t="str">
        <f t="shared" si="73"/>
        <v>R033</v>
      </c>
      <c r="B748" s="67">
        <f>$A$1423</f>
        <v>45352</v>
      </c>
      <c r="C748" s="66" t="str">
        <f t="shared" si="74"/>
        <v>SDR / Inside Sales Rep</v>
      </c>
      <c r="D748" s="65">
        <f>SUMIFS(Fact_Quota!$D:$D,Fact_Quota!$A:$A,$A748,Fact_Quota!$B:$B,"&gt;="&amp;B748,Fact_Quota!$B:$B,"&lt;"&amp;EDATE(B748,1))</f>
        <v>15700</v>
      </c>
      <c r="E748" s="65">
        <f>SUMIFS(Fact_Pipeline!$K:$K,Fact_Pipeline!$B:$B,$A748,Fact_Pipeline!$J:$J,"Won",Fact_Pipeline!$I:$I,"&gt;="&amp;B748,Fact_Pipeline!$I:$I,"&lt;"&amp;EDATE(B748,1))</f>
        <v>28900</v>
      </c>
      <c r="F748" s="66" t="b">
        <f>AND(D748&gt;0,IFERROR(E748/D748&gt;=G6,FALSE()))</f>
        <v>1</v>
      </c>
      <c r="G748" s="65">
        <f t="shared" si="71"/>
        <v>471</v>
      </c>
      <c r="H748" s="65">
        <f>IF(F748,MAX(0,MIN(E748,I6*D748)-D748)*IFERROR(INDEX($C$158:$C$161,MATCH(C748,$A$158:$A$161,0)),0),0)</f>
        <v>392.5</v>
      </c>
      <c r="I748" s="65">
        <f>IF(F748,MAX(0,E748-I6*D748)*IFERROR(INDEX($D$158:$D$161,MATCH(C748,$A$158:$A$161,0)),0),0)</f>
        <v>374.50000000000006</v>
      </c>
      <c r="J748" s="65">
        <f t="shared" si="72"/>
        <v>1238</v>
      </c>
    </row>
    <row r="749" spans="1:10" ht="15" customHeight="1" outlineLevel="1" x14ac:dyDescent="0.2">
      <c r="A749" s="66" t="str">
        <f t="shared" si="73"/>
        <v>R033</v>
      </c>
      <c r="B749" s="67">
        <f>$A$1424</f>
        <v>45383</v>
      </c>
      <c r="C749" s="66" t="str">
        <f t="shared" si="74"/>
        <v>SDR / Inside Sales Rep</v>
      </c>
      <c r="D749" s="65">
        <f>SUMIFS(Fact_Quota!$D:$D,Fact_Quota!$A:$A,$A749,Fact_Quota!$B:$B,"&gt;="&amp;B749,Fact_Quota!$B:$B,"&lt;"&amp;EDATE(B749,1))</f>
        <v>15300</v>
      </c>
      <c r="E749" s="65">
        <f>SUMIFS(Fact_Pipeline!$K:$K,Fact_Pipeline!$B:$B,$A749,Fact_Pipeline!$J:$J,"Won",Fact_Pipeline!$I:$I,"&gt;="&amp;B749,Fact_Pipeline!$I:$I,"&lt;"&amp;EDATE(B749,1))</f>
        <v>9300</v>
      </c>
      <c r="F749" s="66" t="b">
        <f>AND(D749&gt;0,IFERROR(E749/D749&gt;=G6,FALSE()))</f>
        <v>1</v>
      </c>
      <c r="G749" s="65">
        <f t="shared" si="71"/>
        <v>279</v>
      </c>
      <c r="H749" s="65">
        <f>IF(F749,MAX(0,MIN(E749,I6*D749)-D749)*IFERROR(INDEX($C$158:$C$161,MATCH(C749,$A$158:$A$161,0)),0),0)</f>
        <v>0</v>
      </c>
      <c r="I749" s="65">
        <f>IF(F749,MAX(0,E749-I6*D749)*IFERROR(INDEX($D$158:$D$161,MATCH(C749,$A$158:$A$161,0)),0),0)</f>
        <v>0</v>
      </c>
      <c r="J749" s="65">
        <f t="shared" si="72"/>
        <v>279</v>
      </c>
    </row>
    <row r="750" spans="1:10" ht="15" customHeight="1" outlineLevel="1" x14ac:dyDescent="0.2">
      <c r="A750" s="66" t="str">
        <f t="shared" si="73"/>
        <v>R033</v>
      </c>
      <c r="B750" s="67">
        <f>$A$1425</f>
        <v>45413</v>
      </c>
      <c r="C750" s="66" t="str">
        <f t="shared" si="74"/>
        <v>SDR / Inside Sales Rep</v>
      </c>
      <c r="D750" s="65">
        <f>SUMIFS(Fact_Quota!$D:$D,Fact_Quota!$A:$A,$A750,Fact_Quota!$B:$B,"&gt;="&amp;B750,Fact_Quota!$B:$B,"&lt;"&amp;EDATE(B750,1))</f>
        <v>15600</v>
      </c>
      <c r="E750" s="65">
        <f>SUMIFS(Fact_Pipeline!$K:$K,Fact_Pipeline!$B:$B,$A750,Fact_Pipeline!$J:$J,"Won",Fact_Pipeline!$I:$I,"&gt;="&amp;B750,Fact_Pipeline!$I:$I,"&lt;"&amp;EDATE(B750,1))</f>
        <v>13900</v>
      </c>
      <c r="F750" s="66" t="b">
        <f>AND(D750&gt;0,IFERROR(E750/D750&gt;=G6,FALSE()))</f>
        <v>1</v>
      </c>
      <c r="G750" s="65">
        <f t="shared" si="71"/>
        <v>417</v>
      </c>
      <c r="H750" s="65">
        <f>IF(F750,MAX(0,MIN(E750,I6*D750)-D750)*IFERROR(INDEX($C$158:$C$161,MATCH(C750,$A$158:$A$161,0)),0),0)</f>
        <v>0</v>
      </c>
      <c r="I750" s="65">
        <f>IF(F750,MAX(0,E750-I6*D750)*IFERROR(INDEX($D$158:$D$161,MATCH(C750,$A$158:$A$161,0)),0),0)</f>
        <v>0</v>
      </c>
      <c r="J750" s="65">
        <f t="shared" si="72"/>
        <v>417</v>
      </c>
    </row>
    <row r="751" spans="1:10" ht="15" customHeight="1" outlineLevel="1" x14ac:dyDescent="0.2">
      <c r="A751" s="66" t="str">
        <f t="shared" si="73"/>
        <v>R033</v>
      </c>
      <c r="B751" s="67">
        <f>$A$1426</f>
        <v>45444</v>
      </c>
      <c r="C751" s="66" t="str">
        <f t="shared" si="74"/>
        <v>SDR / Inside Sales Rep</v>
      </c>
      <c r="D751" s="65">
        <f>SUMIFS(Fact_Quota!$D:$D,Fact_Quota!$A:$A,$A751,Fact_Quota!$B:$B,"&gt;="&amp;B751,Fact_Quota!$B:$B,"&lt;"&amp;EDATE(B751,1))</f>
        <v>16500</v>
      </c>
      <c r="E751" s="65">
        <f>SUMIFS(Fact_Pipeline!$K:$K,Fact_Pipeline!$B:$B,$A751,Fact_Pipeline!$J:$J,"Won",Fact_Pipeline!$I:$I,"&gt;="&amp;B751,Fact_Pipeline!$I:$I,"&lt;"&amp;EDATE(B751,1))</f>
        <v>0</v>
      </c>
      <c r="F751" s="66" t="b">
        <f>AND(D751&gt;0,IFERROR(E751/D751&gt;=G6,FALSE()))</f>
        <v>0</v>
      </c>
      <c r="G751" s="65">
        <f t="shared" si="71"/>
        <v>0</v>
      </c>
      <c r="H751" s="65">
        <f>IF(F751,MAX(0,MIN(E751,I6*D751)-D751)*IFERROR(INDEX($C$158:$C$161,MATCH(C751,$A$158:$A$161,0)),0),0)</f>
        <v>0</v>
      </c>
      <c r="I751" s="65">
        <f>IF(F751,MAX(0,E751-I6*D751)*IFERROR(INDEX($D$158:$D$161,MATCH(C751,$A$158:$A$161,0)),0),0)</f>
        <v>0</v>
      </c>
      <c r="J751" s="65">
        <f t="shared" si="72"/>
        <v>0</v>
      </c>
    </row>
    <row r="752" spans="1:10" ht="15" customHeight="1" outlineLevel="1" x14ac:dyDescent="0.2">
      <c r="A752" s="66" t="str">
        <f t="shared" si="73"/>
        <v>R033</v>
      </c>
      <c r="B752" s="67">
        <f>$A$1427</f>
        <v>45474</v>
      </c>
      <c r="C752" s="66" t="str">
        <f t="shared" si="74"/>
        <v>SDR / Inside Sales Rep</v>
      </c>
      <c r="D752" s="65">
        <f>SUMIFS(Fact_Quota!$D:$D,Fact_Quota!$A:$A,$A752,Fact_Quota!$B:$B,"&gt;="&amp;B752,Fact_Quota!$B:$B,"&lt;"&amp;EDATE(B752,1))</f>
        <v>15900</v>
      </c>
      <c r="E752" s="65">
        <f>SUMIFS(Fact_Pipeline!$K:$K,Fact_Pipeline!$B:$B,$A752,Fact_Pipeline!$J:$J,"Won",Fact_Pipeline!$I:$I,"&gt;="&amp;B752,Fact_Pipeline!$I:$I,"&lt;"&amp;EDATE(B752,1))</f>
        <v>17200</v>
      </c>
      <c r="F752" s="66" t="b">
        <f>AND(D752&gt;0,IFERROR(E752/D752&gt;=G6,FALSE()))</f>
        <v>1</v>
      </c>
      <c r="G752" s="65">
        <f t="shared" si="71"/>
        <v>477</v>
      </c>
      <c r="H752" s="65">
        <f>IF(F752,MAX(0,MIN(E752,I6*D752)-D752)*IFERROR(INDEX($C$158:$C$161,MATCH(C752,$A$158:$A$161,0)),0),0)</f>
        <v>65</v>
      </c>
      <c r="I752" s="65">
        <f>IF(F752,MAX(0,E752-I6*D752)*IFERROR(INDEX($D$158:$D$161,MATCH(C752,$A$158:$A$161,0)),0),0)</f>
        <v>0</v>
      </c>
      <c r="J752" s="65">
        <f t="shared" si="72"/>
        <v>542</v>
      </c>
    </row>
    <row r="753" spans="1:10" ht="15" customHeight="1" outlineLevel="1" x14ac:dyDescent="0.2">
      <c r="A753" s="66" t="str">
        <f t="shared" si="73"/>
        <v>R033</v>
      </c>
      <c r="B753" s="67">
        <f>$A$1428</f>
        <v>45505</v>
      </c>
      <c r="C753" s="66" t="str">
        <f t="shared" si="74"/>
        <v>SDR / Inside Sales Rep</v>
      </c>
      <c r="D753" s="65">
        <f>SUMIFS(Fact_Quota!$D:$D,Fact_Quota!$A:$A,$A753,Fact_Quota!$B:$B,"&gt;="&amp;B753,Fact_Quota!$B:$B,"&lt;"&amp;EDATE(B753,1))</f>
        <v>15300</v>
      </c>
      <c r="E753" s="65">
        <f>SUMIFS(Fact_Pipeline!$K:$K,Fact_Pipeline!$B:$B,$A753,Fact_Pipeline!$J:$J,"Won",Fact_Pipeline!$I:$I,"&gt;="&amp;B753,Fact_Pipeline!$I:$I,"&lt;"&amp;EDATE(B753,1))</f>
        <v>4700</v>
      </c>
      <c r="F753" s="66" t="b">
        <f>AND(D753&gt;0,IFERROR(E753/D753&gt;=G6,FALSE()))</f>
        <v>0</v>
      </c>
      <c r="G753" s="65">
        <f t="shared" si="71"/>
        <v>0</v>
      </c>
      <c r="H753" s="65">
        <f>IF(F753,MAX(0,MIN(E753,I6*D753)-D753)*IFERROR(INDEX($C$158:$C$161,MATCH(C753,$A$158:$A$161,0)),0),0)</f>
        <v>0</v>
      </c>
      <c r="I753" s="65">
        <f>IF(F753,MAX(0,E753-I6*D753)*IFERROR(INDEX($D$158:$D$161,MATCH(C753,$A$158:$A$161,0)),0),0)</f>
        <v>0</v>
      </c>
      <c r="J753" s="65">
        <f t="shared" si="72"/>
        <v>0</v>
      </c>
    </row>
    <row r="754" spans="1:10" ht="15" customHeight="1" outlineLevel="1" x14ac:dyDescent="0.2">
      <c r="A754" s="66" t="str">
        <f t="shared" si="73"/>
        <v>R033</v>
      </c>
      <c r="B754" s="67">
        <f>$A$1429</f>
        <v>45536</v>
      </c>
      <c r="C754" s="66" t="str">
        <f t="shared" si="74"/>
        <v>SDR / Inside Sales Rep</v>
      </c>
      <c r="D754" s="65">
        <f>SUMIFS(Fact_Quota!$D:$D,Fact_Quota!$A:$A,$A754,Fact_Quota!$B:$B,"&gt;="&amp;B754,Fact_Quota!$B:$B,"&lt;"&amp;EDATE(B754,1))</f>
        <v>16100</v>
      </c>
      <c r="E754" s="65">
        <f>SUMIFS(Fact_Pipeline!$K:$K,Fact_Pipeline!$B:$B,$A754,Fact_Pipeline!$J:$J,"Won",Fact_Pipeline!$I:$I,"&gt;="&amp;B754,Fact_Pipeline!$I:$I,"&lt;"&amp;EDATE(B754,1))</f>
        <v>1800</v>
      </c>
      <c r="F754" s="66" t="b">
        <f>AND(D754&gt;0,IFERROR(E754/D754&gt;=G6,FALSE()))</f>
        <v>0</v>
      </c>
      <c r="G754" s="65">
        <f t="shared" si="71"/>
        <v>0</v>
      </c>
      <c r="H754" s="65">
        <f>IF(F754,MAX(0,MIN(E754,I6*D754)-D754)*IFERROR(INDEX($C$158:$C$161,MATCH(C754,$A$158:$A$161,0)),0),0)</f>
        <v>0</v>
      </c>
      <c r="I754" s="65">
        <f>IF(F754,MAX(0,E754-I6*D754)*IFERROR(INDEX($D$158:$D$161,MATCH(C754,$A$158:$A$161,0)),0),0)</f>
        <v>0</v>
      </c>
      <c r="J754" s="65">
        <f t="shared" si="72"/>
        <v>0</v>
      </c>
    </row>
    <row r="755" spans="1:10" ht="15" customHeight="1" outlineLevel="1" x14ac:dyDescent="0.2">
      <c r="A755" s="66" t="str">
        <f t="shared" si="73"/>
        <v>R033</v>
      </c>
      <c r="B755" s="67">
        <f>$A$1430</f>
        <v>45566</v>
      </c>
      <c r="C755" s="66" t="str">
        <f t="shared" si="74"/>
        <v>SDR / Inside Sales Rep</v>
      </c>
      <c r="D755" s="65">
        <f>SUMIFS(Fact_Quota!$D:$D,Fact_Quota!$A:$A,$A755,Fact_Quota!$B:$B,"&gt;="&amp;B755,Fact_Quota!$B:$B,"&lt;"&amp;EDATE(B755,1))</f>
        <v>15300</v>
      </c>
      <c r="E755" s="65">
        <f>SUMIFS(Fact_Pipeline!$K:$K,Fact_Pipeline!$B:$B,$A755,Fact_Pipeline!$J:$J,"Won",Fact_Pipeline!$I:$I,"&gt;="&amp;B755,Fact_Pipeline!$I:$I,"&lt;"&amp;EDATE(B755,1))</f>
        <v>28200</v>
      </c>
      <c r="F755" s="66" t="b">
        <f>AND(D755&gt;0,IFERROR(E755/D755&gt;=G6,FALSE()))</f>
        <v>1</v>
      </c>
      <c r="G755" s="65">
        <f t="shared" si="71"/>
        <v>459</v>
      </c>
      <c r="H755" s="65">
        <f>IF(F755,MAX(0,MIN(E755,I6*D755)-D755)*IFERROR(INDEX($C$158:$C$161,MATCH(C755,$A$158:$A$161,0)),0),0)</f>
        <v>382.5</v>
      </c>
      <c r="I755" s="65">
        <f>IF(F755,MAX(0,E755-I6*D755)*IFERROR(INDEX($D$158:$D$161,MATCH(C755,$A$158:$A$161,0)),0),0)</f>
        <v>367.50000000000006</v>
      </c>
      <c r="J755" s="65">
        <f t="shared" si="72"/>
        <v>1209</v>
      </c>
    </row>
    <row r="756" spans="1:10" ht="15" customHeight="1" outlineLevel="1" x14ac:dyDescent="0.2">
      <c r="A756" s="66" t="str">
        <f t="shared" si="73"/>
        <v>R033</v>
      </c>
      <c r="B756" s="67">
        <f>$A$1431</f>
        <v>45597</v>
      </c>
      <c r="C756" s="66" t="str">
        <f t="shared" si="74"/>
        <v>SDR / Inside Sales Rep</v>
      </c>
      <c r="D756" s="65">
        <f>SUMIFS(Fact_Quota!$D:$D,Fact_Quota!$A:$A,$A756,Fact_Quota!$B:$B,"&gt;="&amp;B756,Fact_Quota!$B:$B,"&lt;"&amp;EDATE(B756,1))</f>
        <v>14600</v>
      </c>
      <c r="E756" s="65">
        <f>SUMIFS(Fact_Pipeline!$K:$K,Fact_Pipeline!$B:$B,$A756,Fact_Pipeline!$J:$J,"Won",Fact_Pipeline!$I:$I,"&gt;="&amp;B756,Fact_Pipeline!$I:$I,"&lt;"&amp;EDATE(B756,1))</f>
        <v>20700</v>
      </c>
      <c r="F756" s="66" t="b">
        <f>AND(D756&gt;0,IFERROR(E756/D756&gt;=G6,FALSE()))</f>
        <v>1</v>
      </c>
      <c r="G756" s="65">
        <f t="shared" si="71"/>
        <v>438</v>
      </c>
      <c r="H756" s="65">
        <f>IF(F756,MAX(0,MIN(E756,I6*D756)-D756)*IFERROR(INDEX($C$158:$C$161,MATCH(C756,$A$158:$A$161,0)),0),0)</f>
        <v>305</v>
      </c>
      <c r="I756" s="65">
        <f>IF(F756,MAX(0,E756-I6*D756)*IFERROR(INDEX($D$158:$D$161,MATCH(C756,$A$158:$A$161,0)),0),0)</f>
        <v>0</v>
      </c>
      <c r="J756" s="65">
        <f t="shared" si="72"/>
        <v>743</v>
      </c>
    </row>
    <row r="757" spans="1:10" ht="15" customHeight="1" outlineLevel="1" x14ac:dyDescent="0.2">
      <c r="A757" s="66" t="str">
        <f t="shared" si="73"/>
        <v>R033</v>
      </c>
      <c r="B757" s="67">
        <f>$A$1432</f>
        <v>45627</v>
      </c>
      <c r="C757" s="66" t="str">
        <f t="shared" si="74"/>
        <v>SDR / Inside Sales Rep</v>
      </c>
      <c r="D757" s="65">
        <f>SUMIFS(Fact_Quota!$D:$D,Fact_Quota!$A:$A,$A757,Fact_Quota!$B:$B,"&gt;="&amp;B757,Fact_Quota!$B:$B,"&lt;"&amp;EDATE(B757,1))</f>
        <v>15000</v>
      </c>
      <c r="E757" s="65">
        <f>SUMIFS(Fact_Pipeline!$K:$K,Fact_Pipeline!$B:$B,$A757,Fact_Pipeline!$J:$J,"Won",Fact_Pipeline!$I:$I,"&gt;="&amp;B757,Fact_Pipeline!$I:$I,"&lt;"&amp;EDATE(B757,1))</f>
        <v>16100</v>
      </c>
      <c r="F757" s="66" t="b">
        <f>AND(D757&gt;0,IFERROR(E757/D757&gt;=G6,FALSE()))</f>
        <v>1</v>
      </c>
      <c r="G757" s="65">
        <f t="shared" si="71"/>
        <v>450</v>
      </c>
      <c r="H757" s="65">
        <f>IF(F757,MAX(0,MIN(E757,I6*D757)-D757)*IFERROR(INDEX($C$158:$C$161,MATCH(C757,$A$158:$A$161,0)),0),0)</f>
        <v>55</v>
      </c>
      <c r="I757" s="65">
        <f>IF(F757,MAX(0,E757-I6*D757)*IFERROR(INDEX($D$158:$D$161,MATCH(C757,$A$158:$A$161,0)),0),0)</f>
        <v>0</v>
      </c>
      <c r="J757" s="65">
        <f t="shared" si="72"/>
        <v>505</v>
      </c>
    </row>
    <row r="758" spans="1:10" ht="15" customHeight="1" outlineLevel="1" x14ac:dyDescent="0.2">
      <c r="A758" s="66" t="str">
        <f t="shared" si="73"/>
        <v>R033</v>
      </c>
      <c r="B758" s="67">
        <f>$A$1433</f>
        <v>45658</v>
      </c>
      <c r="C758" s="66" t="str">
        <f t="shared" si="74"/>
        <v>SDR / Inside Sales Rep</v>
      </c>
      <c r="D758" s="65">
        <f>SUMIFS(Fact_Quota!$D:$D,Fact_Quota!$A:$A,$A758,Fact_Quota!$B:$B,"&gt;="&amp;B758,Fact_Quota!$B:$B,"&lt;"&amp;EDATE(B758,1))</f>
        <v>14600</v>
      </c>
      <c r="E758" s="65">
        <f>SUMIFS(Fact_Pipeline!$K:$K,Fact_Pipeline!$B:$B,$A758,Fact_Pipeline!$J:$J,"Won",Fact_Pipeline!$I:$I,"&gt;="&amp;B758,Fact_Pipeline!$I:$I,"&lt;"&amp;EDATE(B758,1))</f>
        <v>12700</v>
      </c>
      <c r="F758" s="66" t="b">
        <f>AND(D758&gt;0,IFERROR(E758/D758&gt;=G6,FALSE()))</f>
        <v>1</v>
      </c>
      <c r="G758" s="65">
        <f t="shared" si="71"/>
        <v>381</v>
      </c>
      <c r="H758" s="65">
        <f>IF(F758,MAX(0,MIN(E758,I6*D758)-D758)*IFERROR(INDEX($C$158:$C$161,MATCH(C758,$A$158:$A$161,0)),0),0)</f>
        <v>0</v>
      </c>
      <c r="I758" s="65">
        <f>IF(F758,MAX(0,E758-I6*D758)*IFERROR(INDEX($D$158:$D$161,MATCH(C758,$A$158:$A$161,0)),0),0)</f>
        <v>0</v>
      </c>
      <c r="J758" s="65">
        <f t="shared" si="72"/>
        <v>381</v>
      </c>
    </row>
    <row r="759" spans="1:10" ht="15" customHeight="1" outlineLevel="1" x14ac:dyDescent="0.2">
      <c r="A759" s="66" t="str">
        <f t="shared" si="73"/>
        <v>R033</v>
      </c>
      <c r="B759" s="67">
        <f>$A$1434</f>
        <v>45689</v>
      </c>
      <c r="C759" s="66" t="str">
        <f t="shared" si="74"/>
        <v>SDR / Inside Sales Rep</v>
      </c>
      <c r="D759" s="65">
        <f>SUMIFS(Fact_Quota!$D:$D,Fact_Quota!$A:$A,$A759,Fact_Quota!$B:$B,"&gt;="&amp;B759,Fact_Quota!$B:$B,"&lt;"&amp;EDATE(B759,1))</f>
        <v>15300</v>
      </c>
      <c r="E759" s="65">
        <f>SUMIFS(Fact_Pipeline!$K:$K,Fact_Pipeline!$B:$B,$A759,Fact_Pipeline!$J:$J,"Won",Fact_Pipeline!$I:$I,"&gt;="&amp;B759,Fact_Pipeline!$I:$I,"&lt;"&amp;EDATE(B759,1))</f>
        <v>3900</v>
      </c>
      <c r="F759" s="66" t="b">
        <f>AND(D759&gt;0,IFERROR(E759/D759&gt;=G6,FALSE()))</f>
        <v>0</v>
      </c>
      <c r="G759" s="65">
        <f t="shared" si="71"/>
        <v>0</v>
      </c>
      <c r="H759" s="65">
        <f>IF(F759,MAX(0,MIN(E759,I6*D759)-D759)*IFERROR(INDEX($C$158:$C$161,MATCH(C759,$A$158:$A$161,0)),0),0)</f>
        <v>0</v>
      </c>
      <c r="I759" s="65">
        <f>IF(F759,MAX(0,E759-I6*D759)*IFERROR(INDEX($D$158:$D$161,MATCH(C759,$A$158:$A$161,0)),0),0)</f>
        <v>0</v>
      </c>
      <c r="J759" s="65">
        <f t="shared" si="72"/>
        <v>0</v>
      </c>
    </row>
    <row r="760" spans="1:10" ht="15" customHeight="1" outlineLevel="1" x14ac:dyDescent="0.2">
      <c r="A760" s="66" t="str">
        <f t="shared" si="73"/>
        <v>R033</v>
      </c>
      <c r="B760" s="67">
        <f>$A$1435</f>
        <v>45717</v>
      </c>
      <c r="C760" s="66" t="str">
        <f t="shared" si="74"/>
        <v>SDR / Inside Sales Rep</v>
      </c>
      <c r="D760" s="65">
        <f>SUMIFS(Fact_Quota!$D:$D,Fact_Quota!$A:$A,$A760,Fact_Quota!$B:$B,"&gt;="&amp;B760,Fact_Quota!$B:$B,"&lt;"&amp;EDATE(B760,1))</f>
        <v>15500</v>
      </c>
      <c r="E760" s="65">
        <f>SUMIFS(Fact_Pipeline!$K:$K,Fact_Pipeline!$B:$B,$A760,Fact_Pipeline!$J:$J,"Won",Fact_Pipeline!$I:$I,"&gt;="&amp;B760,Fact_Pipeline!$I:$I,"&lt;"&amp;EDATE(B760,1))</f>
        <v>13200</v>
      </c>
      <c r="F760" s="66" t="b">
        <f>AND(D760&gt;0,IFERROR(E760/D760&gt;=G6,FALSE()))</f>
        <v>1</v>
      </c>
      <c r="G760" s="65">
        <f t="shared" si="71"/>
        <v>396</v>
      </c>
      <c r="H760" s="65">
        <f>IF(F760,MAX(0,MIN(E760,I6*D760)-D760)*IFERROR(INDEX($C$158:$C$161,MATCH(C760,$A$158:$A$161,0)),0),0)</f>
        <v>0</v>
      </c>
      <c r="I760" s="65">
        <f>IF(F760,MAX(0,E760-I6*D760)*IFERROR(INDEX($D$158:$D$161,MATCH(C760,$A$158:$A$161,0)),0),0)</f>
        <v>0</v>
      </c>
      <c r="J760" s="65">
        <f t="shared" si="72"/>
        <v>396</v>
      </c>
    </row>
    <row r="761" spans="1:10" ht="15" customHeight="1" outlineLevel="1" x14ac:dyDescent="0.2">
      <c r="A761" s="66" t="str">
        <f t="shared" si="73"/>
        <v>R033</v>
      </c>
      <c r="B761" s="67">
        <f>$A$1436</f>
        <v>45748</v>
      </c>
      <c r="C761" s="66" t="str">
        <f t="shared" si="74"/>
        <v>SDR / Inside Sales Rep</v>
      </c>
      <c r="D761" s="65">
        <f>SUMIFS(Fact_Quota!$D:$D,Fact_Quota!$A:$A,$A761,Fact_Quota!$B:$B,"&gt;="&amp;B761,Fact_Quota!$B:$B,"&lt;"&amp;EDATE(B761,1))</f>
        <v>16300</v>
      </c>
      <c r="E761" s="65">
        <f>SUMIFS(Fact_Pipeline!$K:$K,Fact_Pipeline!$B:$B,$A761,Fact_Pipeline!$J:$J,"Won",Fact_Pipeline!$I:$I,"&gt;="&amp;B761,Fact_Pipeline!$I:$I,"&lt;"&amp;EDATE(B761,1))</f>
        <v>10600</v>
      </c>
      <c r="F761" s="66" t="b">
        <f>AND(D761&gt;0,IFERROR(E761/D761&gt;=G6,FALSE()))</f>
        <v>1</v>
      </c>
      <c r="G761" s="65">
        <f t="shared" si="71"/>
        <v>318</v>
      </c>
      <c r="H761" s="65">
        <f>IF(F761,MAX(0,MIN(E761,I6*D761)-D761)*IFERROR(INDEX($C$158:$C$161,MATCH(C761,$A$158:$A$161,0)),0),0)</f>
        <v>0</v>
      </c>
      <c r="I761" s="65">
        <f>IF(F761,MAX(0,E761-I6*D761)*IFERROR(INDEX($D$158:$D$161,MATCH(C761,$A$158:$A$161,0)),0),0)</f>
        <v>0</v>
      </c>
      <c r="J761" s="65">
        <f t="shared" si="72"/>
        <v>318</v>
      </c>
    </row>
    <row r="762" spans="1:10" ht="15" customHeight="1" outlineLevel="1" x14ac:dyDescent="0.2">
      <c r="A762" s="66" t="str">
        <f t="shared" si="73"/>
        <v>R033</v>
      </c>
      <c r="B762" s="67">
        <f>$A$1437</f>
        <v>45778</v>
      </c>
      <c r="C762" s="66" t="str">
        <f t="shared" si="74"/>
        <v>SDR / Inside Sales Rep</v>
      </c>
      <c r="D762" s="65">
        <f>SUMIFS(Fact_Quota!$D:$D,Fact_Quota!$A:$A,$A762,Fact_Quota!$B:$B,"&gt;="&amp;B762,Fact_Quota!$B:$B,"&lt;"&amp;EDATE(B762,1))</f>
        <v>15700</v>
      </c>
      <c r="E762" s="65">
        <f>SUMIFS(Fact_Pipeline!$K:$K,Fact_Pipeline!$B:$B,$A762,Fact_Pipeline!$J:$J,"Won",Fact_Pipeline!$I:$I,"&gt;="&amp;B762,Fact_Pipeline!$I:$I,"&lt;"&amp;EDATE(B762,1))</f>
        <v>50400</v>
      </c>
      <c r="F762" s="66" t="b">
        <f>AND(D762&gt;0,IFERROR(E762/D762&gt;=G6,FALSE()))</f>
        <v>1</v>
      </c>
      <c r="G762" s="65">
        <f t="shared" si="71"/>
        <v>471</v>
      </c>
      <c r="H762" s="65">
        <f>IF(F762,MAX(0,MIN(E762,I6*D762)-D762)*IFERROR(INDEX($C$158:$C$161,MATCH(C762,$A$158:$A$161,0)),0),0)</f>
        <v>392.5</v>
      </c>
      <c r="I762" s="65">
        <f>IF(F762,MAX(0,E762-I6*D762)*IFERROR(INDEX($D$158:$D$161,MATCH(C762,$A$158:$A$161,0)),0),0)</f>
        <v>1879.5000000000002</v>
      </c>
      <c r="J762" s="65">
        <f t="shared" si="72"/>
        <v>2743</v>
      </c>
    </row>
    <row r="763" spans="1:10" ht="15" customHeight="1" outlineLevel="1" x14ac:dyDescent="0.2">
      <c r="A763" s="66" t="str">
        <f t="shared" si="73"/>
        <v>R033</v>
      </c>
      <c r="B763" s="67">
        <f>$A$1438</f>
        <v>45809</v>
      </c>
      <c r="C763" s="66" t="str">
        <f t="shared" si="74"/>
        <v>SDR / Inside Sales Rep</v>
      </c>
      <c r="D763" s="65">
        <f>SUMIFS(Fact_Quota!$D:$D,Fact_Quota!$A:$A,$A763,Fact_Quota!$B:$B,"&gt;="&amp;B763,Fact_Quota!$B:$B,"&lt;"&amp;EDATE(B763,1))</f>
        <v>15400</v>
      </c>
      <c r="E763" s="65">
        <f>SUMIFS(Fact_Pipeline!$K:$K,Fact_Pipeline!$B:$B,$A763,Fact_Pipeline!$J:$J,"Won",Fact_Pipeline!$I:$I,"&gt;="&amp;B763,Fact_Pipeline!$I:$I,"&lt;"&amp;EDATE(B763,1))</f>
        <v>18500</v>
      </c>
      <c r="F763" s="66" t="b">
        <f>AND(D763&gt;0,IFERROR(E763/D763&gt;=G6,FALSE()))</f>
        <v>1</v>
      </c>
      <c r="G763" s="65">
        <f t="shared" si="71"/>
        <v>462</v>
      </c>
      <c r="H763" s="65">
        <f>IF(F763,MAX(0,MIN(E763,I6*D763)-D763)*IFERROR(INDEX($C$158:$C$161,MATCH(C763,$A$158:$A$161,0)),0),0)</f>
        <v>155</v>
      </c>
      <c r="I763" s="65">
        <f>IF(F763,MAX(0,E763-I6*D763)*IFERROR(INDEX($D$158:$D$161,MATCH(C763,$A$158:$A$161,0)),0),0)</f>
        <v>0</v>
      </c>
      <c r="J763" s="65">
        <f t="shared" si="72"/>
        <v>617</v>
      </c>
    </row>
    <row r="764" spans="1:10" ht="15" customHeight="1" outlineLevel="1" x14ac:dyDescent="0.2">
      <c r="A764" s="66" t="str">
        <f t="shared" si="73"/>
        <v>R033</v>
      </c>
      <c r="B764" s="67">
        <f>$A$1439</f>
        <v>45839</v>
      </c>
      <c r="C764" s="66" t="str">
        <f t="shared" si="74"/>
        <v>SDR / Inside Sales Rep</v>
      </c>
      <c r="D764" s="65">
        <f>SUMIFS(Fact_Quota!$D:$D,Fact_Quota!$A:$A,$A764,Fact_Quota!$B:$B,"&gt;="&amp;B764,Fact_Quota!$B:$B,"&lt;"&amp;EDATE(B764,1))</f>
        <v>15900</v>
      </c>
      <c r="E764" s="65">
        <f>SUMIFS(Fact_Pipeline!$K:$K,Fact_Pipeline!$B:$B,$A764,Fact_Pipeline!$J:$J,"Won",Fact_Pipeline!$I:$I,"&gt;="&amp;B764,Fact_Pipeline!$I:$I,"&lt;"&amp;EDATE(B764,1))</f>
        <v>8500</v>
      </c>
      <c r="F764" s="66" t="b">
        <f>AND(D764&gt;0,IFERROR(E764/D764&gt;=G6,FALSE()))</f>
        <v>1</v>
      </c>
      <c r="G764" s="65">
        <f t="shared" si="71"/>
        <v>255</v>
      </c>
      <c r="H764" s="65">
        <f>IF(F764,MAX(0,MIN(E764,I6*D764)-D764)*IFERROR(INDEX($C$158:$C$161,MATCH(C764,$A$158:$A$161,0)),0),0)</f>
        <v>0</v>
      </c>
      <c r="I764" s="65">
        <f>IF(F764,MAX(0,E764-I6*D764)*IFERROR(INDEX($D$158:$D$161,MATCH(C764,$A$158:$A$161,0)),0),0)</f>
        <v>0</v>
      </c>
      <c r="J764" s="65">
        <f t="shared" si="72"/>
        <v>255</v>
      </c>
    </row>
    <row r="765" spans="1:10" ht="15" customHeight="1" outlineLevel="1" x14ac:dyDescent="0.2">
      <c r="A765" s="66" t="str">
        <f t="shared" si="73"/>
        <v>R033</v>
      </c>
      <c r="B765" s="67">
        <f>$A$1440</f>
        <v>45870</v>
      </c>
      <c r="C765" s="66" t="str">
        <f t="shared" si="74"/>
        <v>SDR / Inside Sales Rep</v>
      </c>
      <c r="D765" s="65">
        <f>SUMIFS(Fact_Quota!$D:$D,Fact_Quota!$A:$A,$A765,Fact_Quota!$B:$B,"&gt;="&amp;B765,Fact_Quota!$B:$B,"&lt;"&amp;EDATE(B765,1))</f>
        <v>14500</v>
      </c>
      <c r="E765" s="65">
        <f>SUMIFS(Fact_Pipeline!$K:$K,Fact_Pipeline!$B:$B,$A765,Fact_Pipeline!$J:$J,"Won",Fact_Pipeline!$I:$I,"&gt;="&amp;B765,Fact_Pipeline!$I:$I,"&lt;"&amp;EDATE(B765,1))</f>
        <v>19000</v>
      </c>
      <c r="F765" s="66" t="b">
        <f>AND(D765&gt;0,IFERROR(E765/D765&gt;=G6,FALSE()))</f>
        <v>1</v>
      </c>
      <c r="G765" s="65">
        <f t="shared" si="71"/>
        <v>435</v>
      </c>
      <c r="H765" s="65">
        <f>IF(F765,MAX(0,MIN(E765,I6*D765)-D765)*IFERROR(INDEX($C$158:$C$161,MATCH(C765,$A$158:$A$161,0)),0),0)</f>
        <v>225</v>
      </c>
      <c r="I765" s="65">
        <f>IF(F765,MAX(0,E765-I6*D765)*IFERROR(INDEX($D$158:$D$161,MATCH(C765,$A$158:$A$161,0)),0),0)</f>
        <v>0</v>
      </c>
      <c r="J765" s="65">
        <f t="shared" si="72"/>
        <v>660</v>
      </c>
    </row>
    <row r="766" spans="1:10" ht="15" customHeight="1" outlineLevel="1" x14ac:dyDescent="0.2">
      <c r="A766" s="66" t="str">
        <f t="shared" si="73"/>
        <v>R033</v>
      </c>
      <c r="B766" s="67">
        <f>$A$1441</f>
        <v>45901</v>
      </c>
      <c r="C766" s="66" t="str">
        <f t="shared" si="74"/>
        <v>SDR / Inside Sales Rep</v>
      </c>
      <c r="D766" s="65">
        <f>SUMIFS(Fact_Quota!$D:$D,Fact_Quota!$A:$A,$A766,Fact_Quota!$B:$B,"&gt;="&amp;B766,Fact_Quota!$B:$B,"&lt;"&amp;EDATE(B766,1))</f>
        <v>15600</v>
      </c>
      <c r="E766" s="65">
        <f>SUMIFS(Fact_Pipeline!$K:$K,Fact_Pipeline!$B:$B,$A766,Fact_Pipeline!$J:$J,"Won",Fact_Pipeline!$I:$I,"&gt;="&amp;B766,Fact_Pipeline!$I:$I,"&lt;"&amp;EDATE(B766,1))</f>
        <v>13400</v>
      </c>
      <c r="F766" s="66" t="b">
        <f>AND(D766&gt;0,IFERROR(E766/D766&gt;=G6,FALSE()))</f>
        <v>1</v>
      </c>
      <c r="G766" s="65">
        <f t="shared" si="71"/>
        <v>402</v>
      </c>
      <c r="H766" s="65">
        <f>IF(F766,MAX(0,MIN(E766,I6*D766)-D766)*IFERROR(INDEX($C$158:$C$161,MATCH(C766,$A$158:$A$161,0)),0),0)</f>
        <v>0</v>
      </c>
      <c r="I766" s="65">
        <f>IF(F766,MAX(0,E766-I6*D766)*IFERROR(INDEX($D$158:$D$161,MATCH(C766,$A$158:$A$161,0)),0),0)</f>
        <v>0</v>
      </c>
      <c r="J766" s="65">
        <f t="shared" si="72"/>
        <v>402</v>
      </c>
    </row>
    <row r="767" spans="1:10" ht="15" customHeight="1" outlineLevel="1" x14ac:dyDescent="0.2">
      <c r="A767" s="66" t="str">
        <f t="shared" si="73"/>
        <v>R033</v>
      </c>
      <c r="B767" s="67">
        <f>$A$1442</f>
        <v>45931</v>
      </c>
      <c r="C767" s="66" t="str">
        <f t="shared" si="74"/>
        <v>SDR / Inside Sales Rep</v>
      </c>
      <c r="D767" s="65">
        <f>SUMIFS(Fact_Quota!$D:$D,Fact_Quota!$A:$A,$A767,Fact_Quota!$B:$B,"&gt;="&amp;B767,Fact_Quota!$B:$B,"&lt;"&amp;EDATE(B767,1))</f>
        <v>15900</v>
      </c>
      <c r="E767" s="65">
        <f>SUMIFS(Fact_Pipeline!$K:$K,Fact_Pipeline!$B:$B,$A767,Fact_Pipeline!$J:$J,"Won",Fact_Pipeline!$I:$I,"&gt;="&amp;B767,Fact_Pipeline!$I:$I,"&lt;"&amp;EDATE(B767,1))</f>
        <v>15600</v>
      </c>
      <c r="F767" s="66" t="b">
        <f>AND(D767&gt;0,IFERROR(E767/D767&gt;=G6,FALSE()))</f>
        <v>1</v>
      </c>
      <c r="G767" s="65">
        <f t="shared" si="71"/>
        <v>468</v>
      </c>
      <c r="H767" s="65">
        <f>IF(F767,MAX(0,MIN(E767,I6*D767)-D767)*IFERROR(INDEX($C$158:$C$161,MATCH(C767,$A$158:$A$161,0)),0),0)</f>
        <v>0</v>
      </c>
      <c r="I767" s="65">
        <f>IF(F767,MAX(0,E767-I6*D767)*IFERROR(INDEX($D$158:$D$161,MATCH(C767,$A$158:$A$161,0)),0),0)</f>
        <v>0</v>
      </c>
      <c r="J767" s="65">
        <f t="shared" si="72"/>
        <v>468</v>
      </c>
    </row>
    <row r="768" spans="1:10" ht="15" customHeight="1" outlineLevel="1" x14ac:dyDescent="0.2">
      <c r="A768" s="66" t="str">
        <f t="shared" si="73"/>
        <v>R033</v>
      </c>
      <c r="B768" s="67">
        <f>$A$1443</f>
        <v>45962</v>
      </c>
      <c r="C768" s="66" t="str">
        <f t="shared" si="74"/>
        <v>SDR / Inside Sales Rep</v>
      </c>
      <c r="D768" s="65">
        <f>SUMIFS(Fact_Quota!$D:$D,Fact_Quota!$A:$A,$A768,Fact_Quota!$B:$B,"&gt;="&amp;B768,Fact_Quota!$B:$B,"&lt;"&amp;EDATE(B768,1))</f>
        <v>14800</v>
      </c>
      <c r="E768" s="65">
        <f>SUMIFS(Fact_Pipeline!$K:$K,Fact_Pipeline!$B:$B,$A768,Fact_Pipeline!$J:$J,"Won",Fact_Pipeline!$I:$I,"&gt;="&amp;B768,Fact_Pipeline!$I:$I,"&lt;"&amp;EDATE(B768,1))</f>
        <v>24000</v>
      </c>
      <c r="F768" s="66" t="b">
        <f>AND(D768&gt;0,IFERROR(E768/D768&gt;=G6,FALSE()))</f>
        <v>1</v>
      </c>
      <c r="G768" s="65">
        <f t="shared" si="71"/>
        <v>444</v>
      </c>
      <c r="H768" s="65">
        <f>IF(F768,MAX(0,MIN(E768,I6*D768)-D768)*IFERROR(INDEX($C$158:$C$161,MATCH(C768,$A$158:$A$161,0)),0),0)</f>
        <v>370</v>
      </c>
      <c r="I768" s="65">
        <f>IF(F768,MAX(0,E768-I6*D768)*IFERROR(INDEX($D$158:$D$161,MATCH(C768,$A$158:$A$161,0)),0),0)</f>
        <v>126.00000000000001</v>
      </c>
      <c r="J768" s="65">
        <f t="shared" si="72"/>
        <v>940</v>
      </c>
    </row>
    <row r="769" spans="1:10" ht="15" customHeight="1" outlineLevel="1" x14ac:dyDescent="0.2">
      <c r="A769" s="66" t="str">
        <f t="shared" si="73"/>
        <v>R033</v>
      </c>
      <c r="B769" s="67">
        <f>$A$1444</f>
        <v>45992</v>
      </c>
      <c r="C769" s="66" t="str">
        <f t="shared" si="74"/>
        <v>SDR / Inside Sales Rep</v>
      </c>
      <c r="D769" s="65">
        <f>SUMIFS(Fact_Quota!$D:$D,Fact_Quota!$A:$A,$A769,Fact_Quota!$B:$B,"&gt;="&amp;B769,Fact_Quota!$B:$B,"&lt;"&amp;EDATE(B769,1))</f>
        <v>16000</v>
      </c>
      <c r="E769" s="65">
        <f>SUMIFS(Fact_Pipeline!$K:$K,Fact_Pipeline!$B:$B,$A769,Fact_Pipeline!$J:$J,"Won",Fact_Pipeline!$I:$I,"&gt;="&amp;B769,Fact_Pipeline!$I:$I,"&lt;"&amp;EDATE(B769,1))</f>
        <v>17500</v>
      </c>
      <c r="F769" s="66" t="b">
        <f>AND(D769&gt;0,IFERROR(E769/D769&gt;=G6,FALSE()))</f>
        <v>1</v>
      </c>
      <c r="G769" s="65">
        <f t="shared" si="71"/>
        <v>480</v>
      </c>
      <c r="H769" s="65">
        <f>IF(F769,MAX(0,MIN(E769,I6*D769)-D769)*IFERROR(INDEX($C$158:$C$161,MATCH(C769,$A$158:$A$161,0)),0),0)</f>
        <v>75</v>
      </c>
      <c r="I769" s="65">
        <f>IF(F769,MAX(0,E769-I6*D769)*IFERROR(INDEX($D$158:$D$161,MATCH(C769,$A$158:$A$161,0)),0),0)</f>
        <v>0</v>
      </c>
      <c r="J769" s="65">
        <f t="shared" si="72"/>
        <v>555</v>
      </c>
    </row>
    <row r="770" spans="1:10" ht="15" customHeight="1" outlineLevel="1" x14ac:dyDescent="0.2">
      <c r="A770" s="63" t="str">
        <f t="shared" ref="A770:A793" si="75">$A$188</f>
        <v>R037</v>
      </c>
      <c r="B770" s="64">
        <f>$A$1421</f>
        <v>45292</v>
      </c>
      <c r="C770" s="63" t="str">
        <f t="shared" ref="C770:C793" si="76">$C$188</f>
        <v>SDR / Inside Sales Rep</v>
      </c>
      <c r="D770" s="62">
        <f>SUMIFS(Fact_Quota!$D:$D,Fact_Quota!$A:$A,$A770,Fact_Quota!$B:$B,"&gt;="&amp;B770,Fact_Quota!$B:$B,"&lt;"&amp;EDATE(B770,1))</f>
        <v>14200</v>
      </c>
      <c r="E770" s="62">
        <f>SUMIFS(Fact_Pipeline!$K:$K,Fact_Pipeline!$B:$B,$A770,Fact_Pipeline!$J:$J,"Won",Fact_Pipeline!$I:$I,"&gt;="&amp;B770,Fact_Pipeline!$I:$I,"&lt;"&amp;EDATE(B770,1))</f>
        <v>7400</v>
      </c>
      <c r="F770" s="63" t="b">
        <f>AND(D770&gt;0,IFERROR(E770/D770&gt;=G6,FALSE()))</f>
        <v>1</v>
      </c>
      <c r="G770" s="62">
        <f t="shared" si="71"/>
        <v>222</v>
      </c>
      <c r="H770" s="62">
        <f>IF(F770,MAX(0,MIN(E770,I6*D770)-D770)*IFERROR(INDEX($C$158:$C$161,MATCH(C770,$A$158:$A$161,0)),0),0)</f>
        <v>0</v>
      </c>
      <c r="I770" s="62">
        <f>IF(F770,MAX(0,E770-I6*D770)*IFERROR(INDEX($D$158:$D$161,MATCH(C770,$A$158:$A$161,0)),0),0)</f>
        <v>0</v>
      </c>
      <c r="J770" s="62">
        <f t="shared" si="72"/>
        <v>222</v>
      </c>
    </row>
    <row r="771" spans="1:10" ht="15" customHeight="1" outlineLevel="1" x14ac:dyDescent="0.2">
      <c r="A771" s="63" t="str">
        <f t="shared" si="75"/>
        <v>R037</v>
      </c>
      <c r="B771" s="64">
        <f>$A$1422</f>
        <v>45323</v>
      </c>
      <c r="C771" s="63" t="str">
        <f t="shared" si="76"/>
        <v>SDR / Inside Sales Rep</v>
      </c>
      <c r="D771" s="62">
        <f>SUMIFS(Fact_Quota!$D:$D,Fact_Quota!$A:$A,$A771,Fact_Quota!$B:$B,"&gt;="&amp;B771,Fact_Quota!$B:$B,"&lt;"&amp;EDATE(B771,1))</f>
        <v>15500</v>
      </c>
      <c r="E771" s="62">
        <f>SUMIFS(Fact_Pipeline!$K:$K,Fact_Pipeline!$B:$B,$A771,Fact_Pipeline!$J:$J,"Won",Fact_Pipeline!$I:$I,"&gt;="&amp;B771,Fact_Pipeline!$I:$I,"&lt;"&amp;EDATE(B771,1))</f>
        <v>17400</v>
      </c>
      <c r="F771" s="63" t="b">
        <f>AND(D771&gt;0,IFERROR(E771/D771&gt;=G6,FALSE()))</f>
        <v>1</v>
      </c>
      <c r="G771" s="62">
        <f t="shared" si="71"/>
        <v>465</v>
      </c>
      <c r="H771" s="62">
        <f>IF(F771,MAX(0,MIN(E771,I6*D771)-D771)*IFERROR(INDEX($C$158:$C$161,MATCH(C771,$A$158:$A$161,0)),0),0)</f>
        <v>95</v>
      </c>
      <c r="I771" s="62">
        <f>IF(F771,MAX(0,E771-I6*D771)*IFERROR(INDEX($D$158:$D$161,MATCH(C771,$A$158:$A$161,0)),0),0)</f>
        <v>0</v>
      </c>
      <c r="J771" s="62">
        <f t="shared" si="72"/>
        <v>560</v>
      </c>
    </row>
    <row r="772" spans="1:10" ht="15" customHeight="1" outlineLevel="1" x14ac:dyDescent="0.2">
      <c r="A772" s="63" t="str">
        <f t="shared" si="75"/>
        <v>R037</v>
      </c>
      <c r="B772" s="64">
        <f>$A$1423</f>
        <v>45352</v>
      </c>
      <c r="C772" s="63" t="str">
        <f t="shared" si="76"/>
        <v>SDR / Inside Sales Rep</v>
      </c>
      <c r="D772" s="62">
        <f>SUMIFS(Fact_Quota!$D:$D,Fact_Quota!$A:$A,$A772,Fact_Quota!$B:$B,"&gt;="&amp;B772,Fact_Quota!$B:$B,"&lt;"&amp;EDATE(B772,1))</f>
        <v>15400</v>
      </c>
      <c r="E772" s="62">
        <f>SUMIFS(Fact_Pipeline!$K:$K,Fact_Pipeline!$B:$B,$A772,Fact_Pipeline!$J:$J,"Won",Fact_Pipeline!$I:$I,"&gt;="&amp;B772,Fact_Pipeline!$I:$I,"&lt;"&amp;EDATE(B772,1))</f>
        <v>23900</v>
      </c>
      <c r="F772" s="63" t="b">
        <f>AND(D772&gt;0,IFERROR(E772/D772&gt;=G6,FALSE()))</f>
        <v>1</v>
      </c>
      <c r="G772" s="62">
        <f t="shared" si="71"/>
        <v>462</v>
      </c>
      <c r="H772" s="62">
        <f>IF(F772,MAX(0,MIN(E772,I6*D772)-D772)*IFERROR(INDEX($C$158:$C$161,MATCH(C772,$A$158:$A$161,0)),0),0)</f>
        <v>385</v>
      </c>
      <c r="I772" s="62">
        <f>IF(F772,MAX(0,E772-I6*D772)*IFERROR(INDEX($D$158:$D$161,MATCH(C772,$A$158:$A$161,0)),0),0)</f>
        <v>56.000000000000007</v>
      </c>
      <c r="J772" s="62">
        <f t="shared" si="72"/>
        <v>903</v>
      </c>
    </row>
    <row r="773" spans="1:10" ht="15" customHeight="1" outlineLevel="1" x14ac:dyDescent="0.2">
      <c r="A773" s="63" t="str">
        <f t="shared" si="75"/>
        <v>R037</v>
      </c>
      <c r="B773" s="64">
        <f>$A$1424</f>
        <v>45383</v>
      </c>
      <c r="C773" s="63" t="str">
        <f t="shared" si="76"/>
        <v>SDR / Inside Sales Rep</v>
      </c>
      <c r="D773" s="62">
        <f>SUMIFS(Fact_Quota!$D:$D,Fact_Quota!$A:$A,$A773,Fact_Quota!$B:$B,"&gt;="&amp;B773,Fact_Quota!$B:$B,"&lt;"&amp;EDATE(B773,1))</f>
        <v>15800</v>
      </c>
      <c r="E773" s="62">
        <f>SUMIFS(Fact_Pipeline!$K:$K,Fact_Pipeline!$B:$B,$A773,Fact_Pipeline!$J:$J,"Won",Fact_Pipeline!$I:$I,"&gt;="&amp;B773,Fact_Pipeline!$I:$I,"&lt;"&amp;EDATE(B773,1))</f>
        <v>16500</v>
      </c>
      <c r="F773" s="63" t="b">
        <f>AND(D773&gt;0,IFERROR(E773/D773&gt;=G6,FALSE()))</f>
        <v>1</v>
      </c>
      <c r="G773" s="62">
        <f t="shared" si="71"/>
        <v>474</v>
      </c>
      <c r="H773" s="62">
        <f>IF(F773,MAX(0,MIN(E773,I6*D773)-D773)*IFERROR(INDEX($C$158:$C$161,MATCH(C773,$A$158:$A$161,0)),0),0)</f>
        <v>35</v>
      </c>
      <c r="I773" s="62">
        <f>IF(F773,MAX(0,E773-I6*D773)*IFERROR(INDEX($D$158:$D$161,MATCH(C773,$A$158:$A$161,0)),0),0)</f>
        <v>0</v>
      </c>
      <c r="J773" s="62">
        <f t="shared" si="72"/>
        <v>509</v>
      </c>
    </row>
    <row r="774" spans="1:10" ht="15" customHeight="1" outlineLevel="1" x14ac:dyDescent="0.2">
      <c r="A774" s="63" t="str">
        <f t="shared" si="75"/>
        <v>R037</v>
      </c>
      <c r="B774" s="64">
        <f>$A$1425</f>
        <v>45413</v>
      </c>
      <c r="C774" s="63" t="str">
        <f t="shared" si="76"/>
        <v>SDR / Inside Sales Rep</v>
      </c>
      <c r="D774" s="62">
        <f>SUMIFS(Fact_Quota!$D:$D,Fact_Quota!$A:$A,$A774,Fact_Quota!$B:$B,"&gt;="&amp;B774,Fact_Quota!$B:$B,"&lt;"&amp;EDATE(B774,1))</f>
        <v>16400</v>
      </c>
      <c r="E774" s="62">
        <f>SUMIFS(Fact_Pipeline!$K:$K,Fact_Pipeline!$B:$B,$A774,Fact_Pipeline!$J:$J,"Won",Fact_Pipeline!$I:$I,"&gt;="&amp;B774,Fact_Pipeline!$I:$I,"&lt;"&amp;EDATE(B774,1))</f>
        <v>14600</v>
      </c>
      <c r="F774" s="63" t="b">
        <f>AND(D774&gt;0,IFERROR(E774/D774&gt;=G6,FALSE()))</f>
        <v>1</v>
      </c>
      <c r="G774" s="62">
        <f t="shared" si="71"/>
        <v>438</v>
      </c>
      <c r="H774" s="62">
        <f>IF(F774,MAX(0,MIN(E774,I6*D774)-D774)*IFERROR(INDEX($C$158:$C$161,MATCH(C774,$A$158:$A$161,0)),0),0)</f>
        <v>0</v>
      </c>
      <c r="I774" s="62">
        <f>IF(F774,MAX(0,E774-I6*D774)*IFERROR(INDEX($D$158:$D$161,MATCH(C774,$A$158:$A$161,0)),0),0)</f>
        <v>0</v>
      </c>
      <c r="J774" s="62">
        <f t="shared" si="72"/>
        <v>438</v>
      </c>
    </row>
    <row r="775" spans="1:10" ht="15" customHeight="1" outlineLevel="1" x14ac:dyDescent="0.2">
      <c r="A775" s="63" t="str">
        <f t="shared" si="75"/>
        <v>R037</v>
      </c>
      <c r="B775" s="64">
        <f>$A$1426</f>
        <v>45444</v>
      </c>
      <c r="C775" s="63" t="str">
        <f t="shared" si="76"/>
        <v>SDR / Inside Sales Rep</v>
      </c>
      <c r="D775" s="62">
        <f>SUMIFS(Fact_Quota!$D:$D,Fact_Quota!$A:$A,$A775,Fact_Quota!$B:$B,"&gt;="&amp;B775,Fact_Quota!$B:$B,"&lt;"&amp;EDATE(B775,1))</f>
        <v>16000</v>
      </c>
      <c r="E775" s="62">
        <f>SUMIFS(Fact_Pipeline!$K:$K,Fact_Pipeline!$B:$B,$A775,Fact_Pipeline!$J:$J,"Won",Fact_Pipeline!$I:$I,"&gt;="&amp;B775,Fact_Pipeline!$I:$I,"&lt;"&amp;EDATE(B775,1))</f>
        <v>8400</v>
      </c>
      <c r="F775" s="63" t="b">
        <f>AND(D775&gt;0,IFERROR(E775/D775&gt;=G6,FALSE()))</f>
        <v>1</v>
      </c>
      <c r="G775" s="62">
        <f t="shared" si="71"/>
        <v>252</v>
      </c>
      <c r="H775" s="62">
        <f>IF(F775,MAX(0,MIN(E775,I6*D775)-D775)*IFERROR(INDEX($C$158:$C$161,MATCH(C775,$A$158:$A$161,0)),0),0)</f>
        <v>0</v>
      </c>
      <c r="I775" s="62">
        <f>IF(F775,MAX(0,E775-I6*D775)*IFERROR(INDEX($D$158:$D$161,MATCH(C775,$A$158:$A$161,0)),0),0)</f>
        <v>0</v>
      </c>
      <c r="J775" s="62">
        <f t="shared" si="72"/>
        <v>252</v>
      </c>
    </row>
    <row r="776" spans="1:10" ht="15" customHeight="1" outlineLevel="1" x14ac:dyDescent="0.2">
      <c r="A776" s="63" t="str">
        <f t="shared" si="75"/>
        <v>R037</v>
      </c>
      <c r="B776" s="64">
        <f>$A$1427</f>
        <v>45474</v>
      </c>
      <c r="C776" s="63" t="str">
        <f t="shared" si="76"/>
        <v>SDR / Inside Sales Rep</v>
      </c>
      <c r="D776" s="62">
        <f>SUMIFS(Fact_Quota!$D:$D,Fact_Quota!$A:$A,$A776,Fact_Quota!$B:$B,"&gt;="&amp;B776,Fact_Quota!$B:$B,"&lt;"&amp;EDATE(B776,1))</f>
        <v>15400</v>
      </c>
      <c r="E776" s="62">
        <f>SUMIFS(Fact_Pipeline!$K:$K,Fact_Pipeline!$B:$B,$A776,Fact_Pipeline!$J:$J,"Won",Fact_Pipeline!$I:$I,"&gt;="&amp;B776,Fact_Pipeline!$I:$I,"&lt;"&amp;EDATE(B776,1))</f>
        <v>23900</v>
      </c>
      <c r="F776" s="63" t="b">
        <f>AND(D776&gt;0,IFERROR(E776/D776&gt;=G6,FALSE()))</f>
        <v>1</v>
      </c>
      <c r="G776" s="62">
        <f t="shared" si="71"/>
        <v>462</v>
      </c>
      <c r="H776" s="62">
        <f>IF(F776,MAX(0,MIN(E776,I6*D776)-D776)*IFERROR(INDEX($C$158:$C$161,MATCH(C776,$A$158:$A$161,0)),0),0)</f>
        <v>385</v>
      </c>
      <c r="I776" s="62">
        <f>IF(F776,MAX(0,E776-I6*D776)*IFERROR(INDEX($D$158:$D$161,MATCH(C776,$A$158:$A$161,0)),0),0)</f>
        <v>56.000000000000007</v>
      </c>
      <c r="J776" s="62">
        <f t="shared" si="72"/>
        <v>903</v>
      </c>
    </row>
    <row r="777" spans="1:10" ht="15" customHeight="1" outlineLevel="1" x14ac:dyDescent="0.2">
      <c r="A777" s="63" t="str">
        <f t="shared" si="75"/>
        <v>R037</v>
      </c>
      <c r="B777" s="64">
        <f>$A$1428</f>
        <v>45505</v>
      </c>
      <c r="C777" s="63" t="str">
        <f t="shared" si="76"/>
        <v>SDR / Inside Sales Rep</v>
      </c>
      <c r="D777" s="62">
        <f>SUMIFS(Fact_Quota!$D:$D,Fact_Quota!$A:$A,$A777,Fact_Quota!$B:$B,"&gt;="&amp;B777,Fact_Quota!$B:$B,"&lt;"&amp;EDATE(B777,1))</f>
        <v>15000</v>
      </c>
      <c r="E777" s="62">
        <f>SUMIFS(Fact_Pipeline!$K:$K,Fact_Pipeline!$B:$B,$A777,Fact_Pipeline!$J:$J,"Won",Fact_Pipeline!$I:$I,"&gt;="&amp;B777,Fact_Pipeline!$I:$I,"&lt;"&amp;EDATE(B777,1))</f>
        <v>2000</v>
      </c>
      <c r="F777" s="63" t="b">
        <f>AND(D777&gt;0,IFERROR(E777/D777&gt;=G6,FALSE()))</f>
        <v>0</v>
      </c>
      <c r="G777" s="62">
        <f t="shared" si="71"/>
        <v>0</v>
      </c>
      <c r="H777" s="62">
        <f>IF(F777,MAX(0,MIN(E777,I6*D777)-D777)*IFERROR(INDEX($C$158:$C$161,MATCH(C777,$A$158:$A$161,0)),0),0)</f>
        <v>0</v>
      </c>
      <c r="I777" s="62">
        <f>IF(F777,MAX(0,E777-I6*D777)*IFERROR(INDEX($D$158:$D$161,MATCH(C777,$A$158:$A$161,0)),0),0)</f>
        <v>0</v>
      </c>
      <c r="J777" s="62">
        <f t="shared" si="72"/>
        <v>0</v>
      </c>
    </row>
    <row r="778" spans="1:10" ht="15" customHeight="1" outlineLevel="1" x14ac:dyDescent="0.2">
      <c r="A778" s="63" t="str">
        <f t="shared" si="75"/>
        <v>R037</v>
      </c>
      <c r="B778" s="64">
        <f>$A$1429</f>
        <v>45536</v>
      </c>
      <c r="C778" s="63" t="str">
        <f t="shared" si="76"/>
        <v>SDR / Inside Sales Rep</v>
      </c>
      <c r="D778" s="62">
        <f>SUMIFS(Fact_Quota!$D:$D,Fact_Quota!$A:$A,$A778,Fact_Quota!$B:$B,"&gt;="&amp;B778,Fact_Quota!$B:$B,"&lt;"&amp;EDATE(B778,1))</f>
        <v>16700</v>
      </c>
      <c r="E778" s="62">
        <f>SUMIFS(Fact_Pipeline!$K:$K,Fact_Pipeline!$B:$B,$A778,Fact_Pipeline!$J:$J,"Won",Fact_Pipeline!$I:$I,"&gt;="&amp;B778,Fact_Pipeline!$I:$I,"&lt;"&amp;EDATE(B778,1))</f>
        <v>21500</v>
      </c>
      <c r="F778" s="63" t="b">
        <f>AND(D778&gt;0,IFERROR(E778/D778&gt;=G6,FALSE()))</f>
        <v>1</v>
      </c>
      <c r="G778" s="62">
        <f t="shared" si="71"/>
        <v>501</v>
      </c>
      <c r="H778" s="62">
        <f>IF(F778,MAX(0,MIN(E778,I6*D778)-D778)*IFERROR(INDEX($C$158:$C$161,MATCH(C778,$A$158:$A$161,0)),0),0)</f>
        <v>240</v>
      </c>
      <c r="I778" s="62">
        <f>IF(F778,MAX(0,E778-I6*D778)*IFERROR(INDEX($D$158:$D$161,MATCH(C778,$A$158:$A$161,0)),0),0)</f>
        <v>0</v>
      </c>
      <c r="J778" s="62">
        <f t="shared" si="72"/>
        <v>741</v>
      </c>
    </row>
    <row r="779" spans="1:10" ht="15" customHeight="1" outlineLevel="1" x14ac:dyDescent="0.2">
      <c r="A779" s="63" t="str">
        <f t="shared" si="75"/>
        <v>R037</v>
      </c>
      <c r="B779" s="64">
        <f>$A$1430</f>
        <v>45566</v>
      </c>
      <c r="C779" s="63" t="str">
        <f t="shared" si="76"/>
        <v>SDR / Inside Sales Rep</v>
      </c>
      <c r="D779" s="62">
        <f>SUMIFS(Fact_Quota!$D:$D,Fact_Quota!$A:$A,$A779,Fact_Quota!$B:$B,"&gt;="&amp;B779,Fact_Quota!$B:$B,"&lt;"&amp;EDATE(B779,1))</f>
        <v>15500</v>
      </c>
      <c r="E779" s="62">
        <f>SUMIFS(Fact_Pipeline!$K:$K,Fact_Pipeline!$B:$B,$A779,Fact_Pipeline!$J:$J,"Won",Fact_Pipeline!$I:$I,"&gt;="&amp;B779,Fact_Pipeline!$I:$I,"&lt;"&amp;EDATE(B779,1))</f>
        <v>5200</v>
      </c>
      <c r="F779" s="63" t="b">
        <f>AND(D779&gt;0,IFERROR(E779/D779&gt;=G6,FALSE()))</f>
        <v>0</v>
      </c>
      <c r="G779" s="62">
        <f t="shared" si="71"/>
        <v>0</v>
      </c>
      <c r="H779" s="62">
        <f>IF(F779,MAX(0,MIN(E779,I6*D779)-D779)*IFERROR(INDEX($C$158:$C$161,MATCH(C779,$A$158:$A$161,0)),0),0)</f>
        <v>0</v>
      </c>
      <c r="I779" s="62">
        <f>IF(F779,MAX(0,E779-I6*D779)*IFERROR(INDEX($D$158:$D$161,MATCH(C779,$A$158:$A$161,0)),0),0)</f>
        <v>0</v>
      </c>
      <c r="J779" s="62">
        <f t="shared" si="72"/>
        <v>0</v>
      </c>
    </row>
    <row r="780" spans="1:10" ht="15" customHeight="1" outlineLevel="1" x14ac:dyDescent="0.2">
      <c r="A780" s="63" t="str">
        <f t="shared" si="75"/>
        <v>R037</v>
      </c>
      <c r="B780" s="64">
        <f>$A$1431</f>
        <v>45597</v>
      </c>
      <c r="C780" s="63" t="str">
        <f t="shared" si="76"/>
        <v>SDR / Inside Sales Rep</v>
      </c>
      <c r="D780" s="62">
        <f>SUMIFS(Fact_Quota!$D:$D,Fact_Quota!$A:$A,$A780,Fact_Quota!$B:$B,"&gt;="&amp;B780,Fact_Quota!$B:$B,"&lt;"&amp;EDATE(B780,1))</f>
        <v>15500</v>
      </c>
      <c r="E780" s="62">
        <f>SUMIFS(Fact_Pipeline!$K:$K,Fact_Pipeline!$B:$B,$A780,Fact_Pipeline!$J:$J,"Won",Fact_Pipeline!$I:$I,"&gt;="&amp;B780,Fact_Pipeline!$I:$I,"&lt;"&amp;EDATE(B780,1))</f>
        <v>15300</v>
      </c>
      <c r="F780" s="63" t="b">
        <f>AND(D780&gt;0,IFERROR(E780/D780&gt;=G6,FALSE()))</f>
        <v>1</v>
      </c>
      <c r="G780" s="62">
        <f t="shared" si="71"/>
        <v>459</v>
      </c>
      <c r="H780" s="62">
        <f>IF(F780,MAX(0,MIN(E780,I6*D780)-D780)*IFERROR(INDEX($C$158:$C$161,MATCH(C780,$A$158:$A$161,0)),0),0)</f>
        <v>0</v>
      </c>
      <c r="I780" s="62">
        <f>IF(F780,MAX(0,E780-I6*D780)*IFERROR(INDEX($D$158:$D$161,MATCH(C780,$A$158:$A$161,0)),0),0)</f>
        <v>0</v>
      </c>
      <c r="J780" s="62">
        <f t="shared" si="72"/>
        <v>459</v>
      </c>
    </row>
    <row r="781" spans="1:10" ht="15" customHeight="1" outlineLevel="1" x14ac:dyDescent="0.2">
      <c r="A781" s="63" t="str">
        <f t="shared" si="75"/>
        <v>R037</v>
      </c>
      <c r="B781" s="64">
        <f>$A$1432</f>
        <v>45627</v>
      </c>
      <c r="C781" s="63" t="str">
        <f t="shared" si="76"/>
        <v>SDR / Inside Sales Rep</v>
      </c>
      <c r="D781" s="62">
        <f>SUMIFS(Fact_Quota!$D:$D,Fact_Quota!$A:$A,$A781,Fact_Quota!$B:$B,"&gt;="&amp;B781,Fact_Quota!$B:$B,"&lt;"&amp;EDATE(B781,1))</f>
        <v>15500</v>
      </c>
      <c r="E781" s="62">
        <f>SUMIFS(Fact_Pipeline!$K:$K,Fact_Pipeline!$B:$B,$A781,Fact_Pipeline!$J:$J,"Won",Fact_Pipeline!$I:$I,"&gt;="&amp;B781,Fact_Pipeline!$I:$I,"&lt;"&amp;EDATE(B781,1))</f>
        <v>3500</v>
      </c>
      <c r="F781" s="63" t="b">
        <f>AND(D781&gt;0,IFERROR(E781/D781&gt;=G6,FALSE()))</f>
        <v>0</v>
      </c>
      <c r="G781" s="62">
        <f t="shared" si="71"/>
        <v>0</v>
      </c>
      <c r="H781" s="62">
        <f>IF(F781,MAX(0,MIN(E781,I6*D781)-D781)*IFERROR(INDEX($C$158:$C$161,MATCH(C781,$A$158:$A$161,0)),0),0)</f>
        <v>0</v>
      </c>
      <c r="I781" s="62">
        <f>IF(F781,MAX(0,E781-I6*D781)*IFERROR(INDEX($D$158:$D$161,MATCH(C781,$A$158:$A$161,0)),0),0)</f>
        <v>0</v>
      </c>
      <c r="J781" s="62">
        <f t="shared" si="72"/>
        <v>0</v>
      </c>
    </row>
    <row r="782" spans="1:10" ht="15" customHeight="1" outlineLevel="1" x14ac:dyDescent="0.2">
      <c r="A782" s="63" t="str">
        <f t="shared" si="75"/>
        <v>R037</v>
      </c>
      <c r="B782" s="64">
        <f>$A$1433</f>
        <v>45658</v>
      </c>
      <c r="C782" s="63" t="str">
        <f t="shared" si="76"/>
        <v>SDR / Inside Sales Rep</v>
      </c>
      <c r="D782" s="62">
        <f>SUMIFS(Fact_Quota!$D:$D,Fact_Quota!$A:$A,$A782,Fact_Quota!$B:$B,"&gt;="&amp;B782,Fact_Quota!$B:$B,"&lt;"&amp;EDATE(B782,1))</f>
        <v>15600</v>
      </c>
      <c r="E782" s="62">
        <f>SUMIFS(Fact_Pipeline!$K:$K,Fact_Pipeline!$B:$B,$A782,Fact_Pipeline!$J:$J,"Won",Fact_Pipeline!$I:$I,"&gt;="&amp;B782,Fact_Pipeline!$I:$I,"&lt;"&amp;EDATE(B782,1))</f>
        <v>18800</v>
      </c>
      <c r="F782" s="63" t="b">
        <f>AND(D782&gt;0,IFERROR(E782/D782&gt;=G6,FALSE()))</f>
        <v>1</v>
      </c>
      <c r="G782" s="62">
        <f t="shared" si="71"/>
        <v>468</v>
      </c>
      <c r="H782" s="62">
        <f>IF(F782,MAX(0,MIN(E782,I6*D782)-D782)*IFERROR(INDEX($C$158:$C$161,MATCH(C782,$A$158:$A$161,0)),0),0)</f>
        <v>160</v>
      </c>
      <c r="I782" s="62">
        <f>IF(F782,MAX(0,E782-I6*D782)*IFERROR(INDEX($D$158:$D$161,MATCH(C782,$A$158:$A$161,0)),0),0)</f>
        <v>0</v>
      </c>
      <c r="J782" s="62">
        <f t="shared" si="72"/>
        <v>628</v>
      </c>
    </row>
    <row r="783" spans="1:10" ht="15" customHeight="1" outlineLevel="1" x14ac:dyDescent="0.2">
      <c r="A783" s="63" t="str">
        <f t="shared" si="75"/>
        <v>R037</v>
      </c>
      <c r="B783" s="64">
        <f>$A$1434</f>
        <v>45689</v>
      </c>
      <c r="C783" s="63" t="str">
        <f t="shared" si="76"/>
        <v>SDR / Inside Sales Rep</v>
      </c>
      <c r="D783" s="62">
        <f>SUMIFS(Fact_Quota!$D:$D,Fact_Quota!$A:$A,$A783,Fact_Quota!$B:$B,"&gt;="&amp;B783,Fact_Quota!$B:$B,"&lt;"&amp;EDATE(B783,1))</f>
        <v>15400</v>
      </c>
      <c r="E783" s="62">
        <f>SUMIFS(Fact_Pipeline!$K:$K,Fact_Pipeline!$B:$B,$A783,Fact_Pipeline!$J:$J,"Won",Fact_Pipeline!$I:$I,"&gt;="&amp;B783,Fact_Pipeline!$I:$I,"&lt;"&amp;EDATE(B783,1))</f>
        <v>28000</v>
      </c>
      <c r="F783" s="63" t="b">
        <f>AND(D783&gt;0,IFERROR(E783/D783&gt;=G6,FALSE()))</f>
        <v>1</v>
      </c>
      <c r="G783" s="62">
        <f t="shared" si="71"/>
        <v>462</v>
      </c>
      <c r="H783" s="62">
        <f>IF(F783,MAX(0,MIN(E783,I6*D783)-D783)*IFERROR(INDEX($C$158:$C$161,MATCH(C783,$A$158:$A$161,0)),0),0)</f>
        <v>385</v>
      </c>
      <c r="I783" s="62">
        <f>IF(F783,MAX(0,E783-I6*D783)*IFERROR(INDEX($D$158:$D$161,MATCH(C783,$A$158:$A$161,0)),0),0)</f>
        <v>343.00000000000006</v>
      </c>
      <c r="J783" s="62">
        <f t="shared" si="72"/>
        <v>1190</v>
      </c>
    </row>
    <row r="784" spans="1:10" ht="15" customHeight="1" outlineLevel="1" x14ac:dyDescent="0.2">
      <c r="A784" s="63" t="str">
        <f t="shared" si="75"/>
        <v>R037</v>
      </c>
      <c r="B784" s="64">
        <f>$A$1435</f>
        <v>45717</v>
      </c>
      <c r="C784" s="63" t="str">
        <f t="shared" si="76"/>
        <v>SDR / Inside Sales Rep</v>
      </c>
      <c r="D784" s="62">
        <f>SUMIFS(Fact_Quota!$D:$D,Fact_Quota!$A:$A,$A784,Fact_Quota!$B:$B,"&gt;="&amp;B784,Fact_Quota!$B:$B,"&lt;"&amp;EDATE(B784,1))</f>
        <v>15200</v>
      </c>
      <c r="E784" s="62">
        <f>SUMIFS(Fact_Pipeline!$K:$K,Fact_Pipeline!$B:$B,$A784,Fact_Pipeline!$J:$J,"Won",Fact_Pipeline!$I:$I,"&gt;="&amp;B784,Fact_Pipeline!$I:$I,"&lt;"&amp;EDATE(B784,1))</f>
        <v>14500</v>
      </c>
      <c r="F784" s="63" t="b">
        <f>AND(D784&gt;0,IFERROR(E784/D784&gt;=G6,FALSE()))</f>
        <v>1</v>
      </c>
      <c r="G784" s="62">
        <f t="shared" si="71"/>
        <v>435</v>
      </c>
      <c r="H784" s="62">
        <f>IF(F784,MAX(0,MIN(E784,I6*D784)-D784)*IFERROR(INDEX($C$158:$C$161,MATCH(C784,$A$158:$A$161,0)),0),0)</f>
        <v>0</v>
      </c>
      <c r="I784" s="62">
        <f>IF(F784,MAX(0,E784-I6*D784)*IFERROR(INDEX($D$158:$D$161,MATCH(C784,$A$158:$A$161,0)),0),0)</f>
        <v>0</v>
      </c>
      <c r="J784" s="62">
        <f t="shared" si="72"/>
        <v>435</v>
      </c>
    </row>
    <row r="785" spans="1:10" ht="15" customHeight="1" outlineLevel="1" x14ac:dyDescent="0.2">
      <c r="A785" s="63" t="str">
        <f t="shared" si="75"/>
        <v>R037</v>
      </c>
      <c r="B785" s="64">
        <f>$A$1436</f>
        <v>45748</v>
      </c>
      <c r="C785" s="63" t="str">
        <f t="shared" si="76"/>
        <v>SDR / Inside Sales Rep</v>
      </c>
      <c r="D785" s="62">
        <f>SUMIFS(Fact_Quota!$D:$D,Fact_Quota!$A:$A,$A785,Fact_Quota!$B:$B,"&gt;="&amp;B785,Fact_Quota!$B:$B,"&lt;"&amp;EDATE(B785,1))</f>
        <v>15200</v>
      </c>
      <c r="E785" s="62">
        <f>SUMIFS(Fact_Pipeline!$K:$K,Fact_Pipeline!$B:$B,$A785,Fact_Pipeline!$J:$J,"Won",Fact_Pipeline!$I:$I,"&gt;="&amp;B785,Fact_Pipeline!$I:$I,"&lt;"&amp;EDATE(B785,1))</f>
        <v>18100</v>
      </c>
      <c r="F785" s="63" t="b">
        <f>AND(D785&gt;0,IFERROR(E785/D785&gt;=G6,FALSE()))</f>
        <v>1</v>
      </c>
      <c r="G785" s="62">
        <f t="shared" si="71"/>
        <v>456</v>
      </c>
      <c r="H785" s="62">
        <f>IF(F785,MAX(0,MIN(E785,I6*D785)-D785)*IFERROR(INDEX($C$158:$C$161,MATCH(C785,$A$158:$A$161,0)),0),0)</f>
        <v>145</v>
      </c>
      <c r="I785" s="62">
        <f>IF(F785,MAX(0,E785-I6*D785)*IFERROR(INDEX($D$158:$D$161,MATCH(C785,$A$158:$A$161,0)),0),0)</f>
        <v>0</v>
      </c>
      <c r="J785" s="62">
        <f t="shared" si="72"/>
        <v>601</v>
      </c>
    </row>
    <row r="786" spans="1:10" ht="15" customHeight="1" outlineLevel="1" x14ac:dyDescent="0.2">
      <c r="A786" s="63" t="str">
        <f t="shared" si="75"/>
        <v>R037</v>
      </c>
      <c r="B786" s="64">
        <f>$A$1437</f>
        <v>45778</v>
      </c>
      <c r="C786" s="63" t="str">
        <f t="shared" si="76"/>
        <v>SDR / Inside Sales Rep</v>
      </c>
      <c r="D786" s="62">
        <f>SUMIFS(Fact_Quota!$D:$D,Fact_Quota!$A:$A,$A786,Fact_Quota!$B:$B,"&gt;="&amp;B786,Fact_Quota!$B:$B,"&lt;"&amp;EDATE(B786,1))</f>
        <v>15500</v>
      </c>
      <c r="E786" s="62">
        <f>SUMIFS(Fact_Pipeline!$K:$K,Fact_Pipeline!$B:$B,$A786,Fact_Pipeline!$J:$J,"Won",Fact_Pipeline!$I:$I,"&gt;="&amp;B786,Fact_Pipeline!$I:$I,"&lt;"&amp;EDATE(B786,1))</f>
        <v>14100</v>
      </c>
      <c r="F786" s="63" t="b">
        <f>AND(D786&gt;0,IFERROR(E786/D786&gt;=G6,FALSE()))</f>
        <v>1</v>
      </c>
      <c r="G786" s="62">
        <f t="shared" si="71"/>
        <v>423</v>
      </c>
      <c r="H786" s="62">
        <f>IF(F786,MAX(0,MIN(E786,I6*D786)-D786)*IFERROR(INDEX($C$158:$C$161,MATCH(C786,$A$158:$A$161,0)),0),0)</f>
        <v>0</v>
      </c>
      <c r="I786" s="62">
        <f>IF(F786,MAX(0,E786-I6*D786)*IFERROR(INDEX($D$158:$D$161,MATCH(C786,$A$158:$A$161,0)),0),0)</f>
        <v>0</v>
      </c>
      <c r="J786" s="62">
        <f t="shared" si="72"/>
        <v>423</v>
      </c>
    </row>
    <row r="787" spans="1:10" ht="15" customHeight="1" outlineLevel="1" x14ac:dyDescent="0.2">
      <c r="A787" s="63" t="str">
        <f t="shared" si="75"/>
        <v>R037</v>
      </c>
      <c r="B787" s="64">
        <f>$A$1438</f>
        <v>45809</v>
      </c>
      <c r="C787" s="63" t="str">
        <f t="shared" si="76"/>
        <v>SDR / Inside Sales Rep</v>
      </c>
      <c r="D787" s="62">
        <f>SUMIFS(Fact_Quota!$D:$D,Fact_Quota!$A:$A,$A787,Fact_Quota!$B:$B,"&gt;="&amp;B787,Fact_Quota!$B:$B,"&lt;"&amp;EDATE(B787,1))</f>
        <v>15200</v>
      </c>
      <c r="E787" s="62">
        <f>SUMIFS(Fact_Pipeline!$K:$K,Fact_Pipeline!$B:$B,$A787,Fact_Pipeline!$J:$J,"Won",Fact_Pipeline!$I:$I,"&gt;="&amp;B787,Fact_Pipeline!$I:$I,"&lt;"&amp;EDATE(B787,1))</f>
        <v>24800</v>
      </c>
      <c r="F787" s="63" t="b">
        <f>AND(D787&gt;0,IFERROR(E787/D787&gt;=G6,FALSE()))</f>
        <v>1</v>
      </c>
      <c r="G787" s="62">
        <f t="shared" si="71"/>
        <v>456</v>
      </c>
      <c r="H787" s="62">
        <f>IF(F787,MAX(0,MIN(E787,I6*D787)-D787)*IFERROR(INDEX($C$158:$C$161,MATCH(C787,$A$158:$A$161,0)),0),0)</f>
        <v>380</v>
      </c>
      <c r="I787" s="62">
        <f>IF(F787,MAX(0,E787-I6*D787)*IFERROR(INDEX($D$158:$D$161,MATCH(C787,$A$158:$A$161,0)),0),0)</f>
        <v>140</v>
      </c>
      <c r="J787" s="62">
        <f t="shared" si="72"/>
        <v>976</v>
      </c>
    </row>
    <row r="788" spans="1:10" ht="15" customHeight="1" outlineLevel="1" x14ac:dyDescent="0.2">
      <c r="A788" s="63" t="str">
        <f t="shared" si="75"/>
        <v>R037</v>
      </c>
      <c r="B788" s="64">
        <f>$A$1439</f>
        <v>45839</v>
      </c>
      <c r="C788" s="63" t="str">
        <f t="shared" si="76"/>
        <v>SDR / Inside Sales Rep</v>
      </c>
      <c r="D788" s="62">
        <f>SUMIFS(Fact_Quota!$D:$D,Fact_Quota!$A:$A,$A788,Fact_Quota!$B:$B,"&gt;="&amp;B788,Fact_Quota!$B:$B,"&lt;"&amp;EDATE(B788,1))</f>
        <v>15200</v>
      </c>
      <c r="E788" s="62">
        <f>SUMIFS(Fact_Pipeline!$K:$K,Fact_Pipeline!$B:$B,$A788,Fact_Pipeline!$J:$J,"Won",Fact_Pipeline!$I:$I,"&gt;="&amp;B788,Fact_Pipeline!$I:$I,"&lt;"&amp;EDATE(B788,1))</f>
        <v>16800</v>
      </c>
      <c r="F788" s="63" t="b">
        <f>AND(D788&gt;0,IFERROR(E788/D788&gt;=G6,FALSE()))</f>
        <v>1</v>
      </c>
      <c r="G788" s="62">
        <f t="shared" si="71"/>
        <v>456</v>
      </c>
      <c r="H788" s="62">
        <f>IF(F788,MAX(0,MIN(E788,I6*D788)-D788)*IFERROR(INDEX($C$158:$C$161,MATCH(C788,$A$158:$A$161,0)),0),0)</f>
        <v>80</v>
      </c>
      <c r="I788" s="62">
        <f>IF(F788,MAX(0,E788-I6*D788)*IFERROR(INDEX($D$158:$D$161,MATCH(C788,$A$158:$A$161,0)),0),0)</f>
        <v>0</v>
      </c>
      <c r="J788" s="62">
        <f t="shared" si="72"/>
        <v>536</v>
      </c>
    </row>
    <row r="789" spans="1:10" ht="15" customHeight="1" outlineLevel="1" x14ac:dyDescent="0.2">
      <c r="A789" s="63" t="str">
        <f t="shared" si="75"/>
        <v>R037</v>
      </c>
      <c r="B789" s="64">
        <f>$A$1440</f>
        <v>45870</v>
      </c>
      <c r="C789" s="63" t="str">
        <f t="shared" si="76"/>
        <v>SDR / Inside Sales Rep</v>
      </c>
      <c r="D789" s="62">
        <f>SUMIFS(Fact_Quota!$D:$D,Fact_Quota!$A:$A,$A789,Fact_Quota!$B:$B,"&gt;="&amp;B789,Fact_Quota!$B:$B,"&lt;"&amp;EDATE(B789,1))</f>
        <v>15500</v>
      </c>
      <c r="E789" s="62">
        <f>SUMIFS(Fact_Pipeline!$K:$K,Fact_Pipeline!$B:$B,$A789,Fact_Pipeline!$J:$J,"Won",Fact_Pipeline!$I:$I,"&gt;="&amp;B789,Fact_Pipeline!$I:$I,"&lt;"&amp;EDATE(B789,1))</f>
        <v>8700</v>
      </c>
      <c r="F789" s="63" t="b">
        <f>AND(D789&gt;0,IFERROR(E789/D789&gt;=G6,FALSE()))</f>
        <v>1</v>
      </c>
      <c r="G789" s="62">
        <f t="shared" si="71"/>
        <v>261</v>
      </c>
      <c r="H789" s="62">
        <f>IF(F789,MAX(0,MIN(E789,I6*D789)-D789)*IFERROR(INDEX($C$158:$C$161,MATCH(C789,$A$158:$A$161,0)),0),0)</f>
        <v>0</v>
      </c>
      <c r="I789" s="62">
        <f>IF(F789,MAX(0,E789-I6*D789)*IFERROR(INDEX($D$158:$D$161,MATCH(C789,$A$158:$A$161,0)),0),0)</f>
        <v>0</v>
      </c>
      <c r="J789" s="62">
        <f t="shared" si="72"/>
        <v>261</v>
      </c>
    </row>
    <row r="790" spans="1:10" ht="15" customHeight="1" outlineLevel="1" x14ac:dyDescent="0.2">
      <c r="A790" s="63" t="str">
        <f t="shared" si="75"/>
        <v>R037</v>
      </c>
      <c r="B790" s="64">
        <f>$A$1441</f>
        <v>45901</v>
      </c>
      <c r="C790" s="63" t="str">
        <f t="shared" si="76"/>
        <v>SDR / Inside Sales Rep</v>
      </c>
      <c r="D790" s="62">
        <f>SUMIFS(Fact_Quota!$D:$D,Fact_Quota!$A:$A,$A790,Fact_Quota!$B:$B,"&gt;="&amp;B790,Fact_Quota!$B:$B,"&lt;"&amp;EDATE(B790,1))</f>
        <v>15400</v>
      </c>
      <c r="E790" s="62">
        <f>SUMIFS(Fact_Pipeline!$K:$K,Fact_Pipeline!$B:$B,$A790,Fact_Pipeline!$J:$J,"Won",Fact_Pipeline!$I:$I,"&gt;="&amp;B790,Fact_Pipeline!$I:$I,"&lt;"&amp;EDATE(B790,1))</f>
        <v>19200</v>
      </c>
      <c r="F790" s="63" t="b">
        <f>AND(D790&gt;0,IFERROR(E790/D790&gt;=G6,FALSE()))</f>
        <v>1</v>
      </c>
      <c r="G790" s="62">
        <f t="shared" si="71"/>
        <v>462</v>
      </c>
      <c r="H790" s="62">
        <f>IF(F790,MAX(0,MIN(E790,I6*D790)-D790)*IFERROR(INDEX($C$158:$C$161,MATCH(C790,$A$158:$A$161,0)),0),0)</f>
        <v>190</v>
      </c>
      <c r="I790" s="62">
        <f>IF(F790,MAX(0,E790-I6*D790)*IFERROR(INDEX($D$158:$D$161,MATCH(C790,$A$158:$A$161,0)),0),0)</f>
        <v>0</v>
      </c>
      <c r="J790" s="62">
        <f t="shared" si="72"/>
        <v>652</v>
      </c>
    </row>
    <row r="791" spans="1:10" ht="15" customHeight="1" outlineLevel="1" x14ac:dyDescent="0.2">
      <c r="A791" s="63" t="str">
        <f t="shared" si="75"/>
        <v>R037</v>
      </c>
      <c r="B791" s="64">
        <f>$A$1442</f>
        <v>45931</v>
      </c>
      <c r="C791" s="63" t="str">
        <f t="shared" si="76"/>
        <v>SDR / Inside Sales Rep</v>
      </c>
      <c r="D791" s="62">
        <f>SUMIFS(Fact_Quota!$D:$D,Fact_Quota!$A:$A,$A791,Fact_Quota!$B:$B,"&gt;="&amp;B791,Fact_Quota!$B:$B,"&lt;"&amp;EDATE(B791,1))</f>
        <v>16200</v>
      </c>
      <c r="E791" s="62">
        <f>SUMIFS(Fact_Pipeline!$K:$K,Fact_Pipeline!$B:$B,$A791,Fact_Pipeline!$J:$J,"Won",Fact_Pipeline!$I:$I,"&gt;="&amp;B791,Fact_Pipeline!$I:$I,"&lt;"&amp;EDATE(B791,1))</f>
        <v>10800</v>
      </c>
      <c r="F791" s="63" t="b">
        <f>AND(D791&gt;0,IFERROR(E791/D791&gt;=G6,FALSE()))</f>
        <v>1</v>
      </c>
      <c r="G791" s="62">
        <f t="shared" si="71"/>
        <v>324</v>
      </c>
      <c r="H791" s="62">
        <f>IF(F791,MAX(0,MIN(E791,I6*D791)-D791)*IFERROR(INDEX($C$158:$C$161,MATCH(C791,$A$158:$A$161,0)),0),0)</f>
        <v>0</v>
      </c>
      <c r="I791" s="62">
        <f>IF(F791,MAX(0,E791-I6*D791)*IFERROR(INDEX($D$158:$D$161,MATCH(C791,$A$158:$A$161,0)),0),0)</f>
        <v>0</v>
      </c>
      <c r="J791" s="62">
        <f t="shared" si="72"/>
        <v>324</v>
      </c>
    </row>
    <row r="792" spans="1:10" ht="15" customHeight="1" outlineLevel="1" x14ac:dyDescent="0.2">
      <c r="A792" s="63" t="str">
        <f t="shared" si="75"/>
        <v>R037</v>
      </c>
      <c r="B792" s="64">
        <f>$A$1443</f>
        <v>45962</v>
      </c>
      <c r="C792" s="63" t="str">
        <f t="shared" si="76"/>
        <v>SDR / Inside Sales Rep</v>
      </c>
      <c r="D792" s="62">
        <f>SUMIFS(Fact_Quota!$D:$D,Fact_Quota!$A:$A,$A792,Fact_Quota!$B:$B,"&gt;="&amp;B792,Fact_Quota!$B:$B,"&lt;"&amp;EDATE(B792,1))</f>
        <v>14300</v>
      </c>
      <c r="E792" s="62">
        <f>SUMIFS(Fact_Pipeline!$K:$K,Fact_Pipeline!$B:$B,$A792,Fact_Pipeline!$J:$J,"Won",Fact_Pipeline!$I:$I,"&gt;="&amp;B792,Fact_Pipeline!$I:$I,"&lt;"&amp;EDATE(B792,1))</f>
        <v>23300</v>
      </c>
      <c r="F792" s="63" t="b">
        <f>AND(D792&gt;0,IFERROR(E792/D792&gt;=G6,FALSE()))</f>
        <v>1</v>
      </c>
      <c r="G792" s="62">
        <f t="shared" si="71"/>
        <v>429</v>
      </c>
      <c r="H792" s="62">
        <f>IF(F792,MAX(0,MIN(E792,I6*D792)-D792)*IFERROR(INDEX($C$158:$C$161,MATCH(C792,$A$158:$A$161,0)),0),0)</f>
        <v>357.5</v>
      </c>
      <c r="I792" s="62">
        <f>IF(F792,MAX(0,E792-I6*D792)*IFERROR(INDEX($D$158:$D$161,MATCH(C792,$A$158:$A$161,0)),0),0)</f>
        <v>129.5</v>
      </c>
      <c r="J792" s="62">
        <f t="shared" si="72"/>
        <v>916</v>
      </c>
    </row>
    <row r="793" spans="1:10" ht="15" customHeight="1" outlineLevel="1" x14ac:dyDescent="0.2">
      <c r="A793" s="63" t="str">
        <f t="shared" si="75"/>
        <v>R037</v>
      </c>
      <c r="B793" s="64">
        <f>$A$1444</f>
        <v>45992</v>
      </c>
      <c r="C793" s="63" t="str">
        <f t="shared" si="76"/>
        <v>SDR / Inside Sales Rep</v>
      </c>
      <c r="D793" s="62">
        <f>SUMIFS(Fact_Quota!$D:$D,Fact_Quota!$A:$A,$A793,Fact_Quota!$B:$B,"&gt;="&amp;B793,Fact_Quota!$B:$B,"&lt;"&amp;EDATE(B793,1))</f>
        <v>16000</v>
      </c>
      <c r="E793" s="62">
        <f>SUMIFS(Fact_Pipeline!$K:$K,Fact_Pipeline!$B:$B,$A793,Fact_Pipeline!$J:$J,"Won",Fact_Pipeline!$I:$I,"&gt;="&amp;B793,Fact_Pipeline!$I:$I,"&lt;"&amp;EDATE(B793,1))</f>
        <v>25300</v>
      </c>
      <c r="F793" s="63" t="b">
        <f>AND(D793&gt;0,IFERROR(E793/D793&gt;=G6,FALSE()))</f>
        <v>1</v>
      </c>
      <c r="G793" s="62">
        <f t="shared" si="71"/>
        <v>480</v>
      </c>
      <c r="H793" s="62">
        <f>IF(F793,MAX(0,MIN(E793,I6*D793)-D793)*IFERROR(INDEX($C$158:$C$161,MATCH(C793,$A$158:$A$161,0)),0),0)</f>
        <v>400</v>
      </c>
      <c r="I793" s="62">
        <f>IF(F793,MAX(0,E793-I6*D793)*IFERROR(INDEX($D$158:$D$161,MATCH(C793,$A$158:$A$161,0)),0),0)</f>
        <v>91.000000000000014</v>
      </c>
      <c r="J793" s="62">
        <f t="shared" si="72"/>
        <v>971</v>
      </c>
    </row>
    <row r="794" spans="1:10" ht="15" customHeight="1" outlineLevel="1" x14ac:dyDescent="0.2">
      <c r="A794" s="66" t="str">
        <f t="shared" ref="A794:A817" si="77">$A$189</f>
        <v>R038</v>
      </c>
      <c r="B794" s="67">
        <f>$A$1421</f>
        <v>45292</v>
      </c>
      <c r="C794" s="66" t="str">
        <f t="shared" ref="C794:C817" si="78">$C$189</f>
        <v>SDR / Inside Sales Rep</v>
      </c>
      <c r="D794" s="65">
        <f>SUMIFS(Fact_Quota!$D:$D,Fact_Quota!$A:$A,$A794,Fact_Quota!$B:$B,"&gt;="&amp;B794,Fact_Quota!$B:$B,"&lt;"&amp;EDATE(B794,1))</f>
        <v>16100</v>
      </c>
      <c r="E794" s="65">
        <f>SUMIFS(Fact_Pipeline!$K:$K,Fact_Pipeline!$B:$B,$A794,Fact_Pipeline!$J:$J,"Won",Fact_Pipeline!$I:$I,"&gt;="&amp;B794,Fact_Pipeline!$I:$I,"&lt;"&amp;EDATE(B794,1))</f>
        <v>11400</v>
      </c>
      <c r="F794" s="66" t="b">
        <f>AND(D794&gt;0,IFERROR(E794/D794&gt;=G6,FALSE()))</f>
        <v>1</v>
      </c>
      <c r="G794" s="65">
        <f t="shared" ref="G794:G857" si="79">IF(F794,MIN(E794,D794)*IFERROR(INDEX($B$158:$B$161,MATCH(C794,$A$158:$A$161,0)),0),0)</f>
        <v>342</v>
      </c>
      <c r="H794" s="65">
        <f>IF(F794,MAX(0,MIN(E794,I6*D794)-D794)*IFERROR(INDEX($C$158:$C$161,MATCH(C794,$A$158:$A$161,0)),0),0)</f>
        <v>0</v>
      </c>
      <c r="I794" s="65">
        <f>IF(F794,MAX(0,E794-I6*D794)*IFERROR(INDEX($D$158:$D$161,MATCH(C794,$A$158:$A$161,0)),0),0)</f>
        <v>0</v>
      </c>
      <c r="J794" s="65">
        <f t="shared" ref="J794:J857" si="80">G794+H794+I794</f>
        <v>342</v>
      </c>
    </row>
    <row r="795" spans="1:10" ht="15" customHeight="1" outlineLevel="1" x14ac:dyDescent="0.2">
      <c r="A795" s="66" t="str">
        <f t="shared" si="77"/>
        <v>R038</v>
      </c>
      <c r="B795" s="67">
        <f>$A$1422</f>
        <v>45323</v>
      </c>
      <c r="C795" s="66" t="str">
        <f t="shared" si="78"/>
        <v>SDR / Inside Sales Rep</v>
      </c>
      <c r="D795" s="65">
        <f>SUMIFS(Fact_Quota!$D:$D,Fact_Quota!$A:$A,$A795,Fact_Quota!$B:$B,"&gt;="&amp;B795,Fact_Quota!$B:$B,"&lt;"&amp;EDATE(B795,1))</f>
        <v>14500</v>
      </c>
      <c r="E795" s="65">
        <f>SUMIFS(Fact_Pipeline!$K:$K,Fact_Pipeline!$B:$B,$A795,Fact_Pipeline!$J:$J,"Won",Fact_Pipeline!$I:$I,"&gt;="&amp;B795,Fact_Pipeline!$I:$I,"&lt;"&amp;EDATE(B795,1))</f>
        <v>19800</v>
      </c>
      <c r="F795" s="66" t="b">
        <f>AND(D795&gt;0,IFERROR(E795/D795&gt;=G6,FALSE()))</f>
        <v>1</v>
      </c>
      <c r="G795" s="65">
        <f t="shared" si="79"/>
        <v>435</v>
      </c>
      <c r="H795" s="65">
        <f>IF(F795,MAX(0,MIN(E795,I6*D795)-D795)*IFERROR(INDEX($C$158:$C$161,MATCH(C795,$A$158:$A$161,0)),0),0)</f>
        <v>265</v>
      </c>
      <c r="I795" s="65">
        <f>IF(F795,MAX(0,E795-I6*D795)*IFERROR(INDEX($D$158:$D$161,MATCH(C795,$A$158:$A$161,0)),0),0)</f>
        <v>0</v>
      </c>
      <c r="J795" s="65">
        <f t="shared" si="80"/>
        <v>700</v>
      </c>
    </row>
    <row r="796" spans="1:10" ht="15" customHeight="1" outlineLevel="1" x14ac:dyDescent="0.2">
      <c r="A796" s="66" t="str">
        <f t="shared" si="77"/>
        <v>R038</v>
      </c>
      <c r="B796" s="67">
        <f>$A$1423</f>
        <v>45352</v>
      </c>
      <c r="C796" s="66" t="str">
        <f t="shared" si="78"/>
        <v>SDR / Inside Sales Rep</v>
      </c>
      <c r="D796" s="65">
        <f>SUMIFS(Fact_Quota!$D:$D,Fact_Quota!$A:$A,$A796,Fact_Quota!$B:$B,"&gt;="&amp;B796,Fact_Quota!$B:$B,"&lt;"&amp;EDATE(B796,1))</f>
        <v>15300</v>
      </c>
      <c r="E796" s="65">
        <f>SUMIFS(Fact_Pipeline!$K:$K,Fact_Pipeline!$B:$B,$A796,Fact_Pipeline!$J:$J,"Won",Fact_Pipeline!$I:$I,"&gt;="&amp;B796,Fact_Pipeline!$I:$I,"&lt;"&amp;EDATE(B796,1))</f>
        <v>0</v>
      </c>
      <c r="F796" s="66" t="b">
        <f>AND(D796&gt;0,IFERROR(E796/D796&gt;=G6,FALSE()))</f>
        <v>0</v>
      </c>
      <c r="G796" s="65">
        <f t="shared" si="79"/>
        <v>0</v>
      </c>
      <c r="H796" s="65">
        <f>IF(F796,MAX(0,MIN(E796,I6*D796)-D796)*IFERROR(INDEX($C$158:$C$161,MATCH(C796,$A$158:$A$161,0)),0),0)</f>
        <v>0</v>
      </c>
      <c r="I796" s="65">
        <f>IF(F796,MAX(0,E796-I6*D796)*IFERROR(INDEX($D$158:$D$161,MATCH(C796,$A$158:$A$161,0)),0),0)</f>
        <v>0</v>
      </c>
      <c r="J796" s="65">
        <f t="shared" si="80"/>
        <v>0</v>
      </c>
    </row>
    <row r="797" spans="1:10" ht="15" customHeight="1" outlineLevel="1" x14ac:dyDescent="0.2">
      <c r="A797" s="66" t="str">
        <f t="shared" si="77"/>
        <v>R038</v>
      </c>
      <c r="B797" s="67">
        <f>$A$1424</f>
        <v>45383</v>
      </c>
      <c r="C797" s="66" t="str">
        <f t="shared" si="78"/>
        <v>SDR / Inside Sales Rep</v>
      </c>
      <c r="D797" s="65">
        <f>SUMIFS(Fact_Quota!$D:$D,Fact_Quota!$A:$A,$A797,Fact_Quota!$B:$B,"&gt;="&amp;B797,Fact_Quota!$B:$B,"&lt;"&amp;EDATE(B797,1))</f>
        <v>15300</v>
      </c>
      <c r="E797" s="65">
        <f>SUMIFS(Fact_Pipeline!$K:$K,Fact_Pipeline!$B:$B,$A797,Fact_Pipeline!$J:$J,"Won",Fact_Pipeline!$I:$I,"&gt;="&amp;B797,Fact_Pipeline!$I:$I,"&lt;"&amp;EDATE(B797,1))</f>
        <v>11300</v>
      </c>
      <c r="F797" s="66" t="b">
        <f>AND(D797&gt;0,IFERROR(E797/D797&gt;=G6,FALSE()))</f>
        <v>1</v>
      </c>
      <c r="G797" s="65">
        <f t="shared" si="79"/>
        <v>339</v>
      </c>
      <c r="H797" s="65">
        <f>IF(F797,MAX(0,MIN(E797,I6*D797)-D797)*IFERROR(INDEX($C$158:$C$161,MATCH(C797,$A$158:$A$161,0)),0),0)</f>
        <v>0</v>
      </c>
      <c r="I797" s="65">
        <f>IF(F797,MAX(0,E797-I6*D797)*IFERROR(INDEX($D$158:$D$161,MATCH(C797,$A$158:$A$161,0)),0),0)</f>
        <v>0</v>
      </c>
      <c r="J797" s="65">
        <f t="shared" si="80"/>
        <v>339</v>
      </c>
    </row>
    <row r="798" spans="1:10" ht="15" customHeight="1" outlineLevel="1" x14ac:dyDescent="0.2">
      <c r="A798" s="66" t="str">
        <f t="shared" si="77"/>
        <v>R038</v>
      </c>
      <c r="B798" s="67">
        <f>$A$1425</f>
        <v>45413</v>
      </c>
      <c r="C798" s="66" t="str">
        <f t="shared" si="78"/>
        <v>SDR / Inside Sales Rep</v>
      </c>
      <c r="D798" s="65">
        <f>SUMIFS(Fact_Quota!$D:$D,Fact_Quota!$A:$A,$A798,Fact_Quota!$B:$B,"&gt;="&amp;B798,Fact_Quota!$B:$B,"&lt;"&amp;EDATE(B798,1))</f>
        <v>14800</v>
      </c>
      <c r="E798" s="65">
        <f>SUMIFS(Fact_Pipeline!$K:$K,Fact_Pipeline!$B:$B,$A798,Fact_Pipeline!$J:$J,"Won",Fact_Pipeline!$I:$I,"&gt;="&amp;B798,Fact_Pipeline!$I:$I,"&lt;"&amp;EDATE(B798,1))</f>
        <v>2400</v>
      </c>
      <c r="F798" s="66" t="b">
        <f>AND(D798&gt;0,IFERROR(E798/D798&gt;=G6,FALSE()))</f>
        <v>0</v>
      </c>
      <c r="G798" s="65">
        <f t="shared" si="79"/>
        <v>0</v>
      </c>
      <c r="H798" s="65">
        <f>IF(F798,MAX(0,MIN(E798,I6*D798)-D798)*IFERROR(INDEX($C$158:$C$161,MATCH(C798,$A$158:$A$161,0)),0),0)</f>
        <v>0</v>
      </c>
      <c r="I798" s="65">
        <f>IF(F798,MAX(0,E798-I6*D798)*IFERROR(INDEX($D$158:$D$161,MATCH(C798,$A$158:$A$161,0)),0),0)</f>
        <v>0</v>
      </c>
      <c r="J798" s="65">
        <f t="shared" si="80"/>
        <v>0</v>
      </c>
    </row>
    <row r="799" spans="1:10" ht="15" customHeight="1" outlineLevel="1" x14ac:dyDescent="0.2">
      <c r="A799" s="66" t="str">
        <f t="shared" si="77"/>
        <v>R038</v>
      </c>
      <c r="B799" s="67">
        <f>$A$1426</f>
        <v>45444</v>
      </c>
      <c r="C799" s="66" t="str">
        <f t="shared" si="78"/>
        <v>SDR / Inside Sales Rep</v>
      </c>
      <c r="D799" s="65">
        <f>SUMIFS(Fact_Quota!$D:$D,Fact_Quota!$A:$A,$A799,Fact_Quota!$B:$B,"&gt;="&amp;B799,Fact_Quota!$B:$B,"&lt;"&amp;EDATE(B799,1))</f>
        <v>15100</v>
      </c>
      <c r="E799" s="65">
        <f>SUMIFS(Fact_Pipeline!$K:$K,Fact_Pipeline!$B:$B,$A799,Fact_Pipeline!$J:$J,"Won",Fact_Pipeline!$I:$I,"&gt;="&amp;B799,Fact_Pipeline!$I:$I,"&lt;"&amp;EDATE(B799,1))</f>
        <v>17900</v>
      </c>
      <c r="F799" s="66" t="b">
        <f>AND(D799&gt;0,IFERROR(E799/D799&gt;=G6,FALSE()))</f>
        <v>1</v>
      </c>
      <c r="G799" s="65">
        <f t="shared" si="79"/>
        <v>453</v>
      </c>
      <c r="H799" s="65">
        <f>IF(F799,MAX(0,MIN(E799,I6*D799)-D799)*IFERROR(INDEX($C$158:$C$161,MATCH(C799,$A$158:$A$161,0)),0),0)</f>
        <v>140</v>
      </c>
      <c r="I799" s="65">
        <f>IF(F799,MAX(0,E799-I6*D799)*IFERROR(INDEX($D$158:$D$161,MATCH(C799,$A$158:$A$161,0)),0),0)</f>
        <v>0</v>
      </c>
      <c r="J799" s="65">
        <f t="shared" si="80"/>
        <v>593</v>
      </c>
    </row>
    <row r="800" spans="1:10" ht="15" customHeight="1" outlineLevel="1" x14ac:dyDescent="0.2">
      <c r="A800" s="66" t="str">
        <f t="shared" si="77"/>
        <v>R038</v>
      </c>
      <c r="B800" s="67">
        <f>$A$1427</f>
        <v>45474</v>
      </c>
      <c r="C800" s="66" t="str">
        <f t="shared" si="78"/>
        <v>SDR / Inside Sales Rep</v>
      </c>
      <c r="D800" s="65">
        <f>SUMIFS(Fact_Quota!$D:$D,Fact_Quota!$A:$A,$A800,Fact_Quota!$B:$B,"&gt;="&amp;B800,Fact_Quota!$B:$B,"&lt;"&amp;EDATE(B800,1))</f>
        <v>15000</v>
      </c>
      <c r="E800" s="65">
        <f>SUMIFS(Fact_Pipeline!$K:$K,Fact_Pipeline!$B:$B,$A800,Fact_Pipeline!$J:$J,"Won",Fact_Pipeline!$I:$I,"&gt;="&amp;B800,Fact_Pipeline!$I:$I,"&lt;"&amp;EDATE(B800,1))</f>
        <v>4000</v>
      </c>
      <c r="F800" s="66" t="b">
        <f>AND(D800&gt;0,IFERROR(E800/D800&gt;=G6,FALSE()))</f>
        <v>0</v>
      </c>
      <c r="G800" s="65">
        <f t="shared" si="79"/>
        <v>0</v>
      </c>
      <c r="H800" s="65">
        <f>IF(F800,MAX(0,MIN(E800,I6*D800)-D800)*IFERROR(INDEX($C$158:$C$161,MATCH(C800,$A$158:$A$161,0)),0),0)</f>
        <v>0</v>
      </c>
      <c r="I800" s="65">
        <f>IF(F800,MAX(0,E800-I6*D800)*IFERROR(INDEX($D$158:$D$161,MATCH(C800,$A$158:$A$161,0)),0),0)</f>
        <v>0</v>
      </c>
      <c r="J800" s="65">
        <f t="shared" si="80"/>
        <v>0</v>
      </c>
    </row>
    <row r="801" spans="1:10" ht="15" customHeight="1" outlineLevel="1" x14ac:dyDescent="0.2">
      <c r="A801" s="66" t="str">
        <f t="shared" si="77"/>
        <v>R038</v>
      </c>
      <c r="B801" s="67">
        <f>$A$1428</f>
        <v>45505</v>
      </c>
      <c r="C801" s="66" t="str">
        <f t="shared" si="78"/>
        <v>SDR / Inside Sales Rep</v>
      </c>
      <c r="D801" s="65">
        <f>SUMIFS(Fact_Quota!$D:$D,Fact_Quota!$A:$A,$A801,Fact_Quota!$B:$B,"&gt;="&amp;B801,Fact_Quota!$B:$B,"&lt;"&amp;EDATE(B801,1))</f>
        <v>16300</v>
      </c>
      <c r="E801" s="65">
        <f>SUMIFS(Fact_Pipeline!$K:$K,Fact_Pipeline!$B:$B,$A801,Fact_Pipeline!$J:$J,"Won",Fact_Pipeline!$I:$I,"&gt;="&amp;B801,Fact_Pipeline!$I:$I,"&lt;"&amp;EDATE(B801,1))</f>
        <v>37300</v>
      </c>
      <c r="F801" s="66" t="b">
        <f>AND(D801&gt;0,IFERROR(E801/D801&gt;=G6,FALSE()))</f>
        <v>1</v>
      </c>
      <c r="G801" s="65">
        <f t="shared" si="79"/>
        <v>489</v>
      </c>
      <c r="H801" s="65">
        <f>IF(F801,MAX(0,MIN(E801,I6*D801)-D801)*IFERROR(INDEX($C$158:$C$161,MATCH(C801,$A$158:$A$161,0)),0),0)</f>
        <v>407.5</v>
      </c>
      <c r="I801" s="65">
        <f>IF(F801,MAX(0,E801-I6*D801)*IFERROR(INDEX($D$158:$D$161,MATCH(C801,$A$158:$A$161,0)),0),0)</f>
        <v>899.50000000000011</v>
      </c>
      <c r="J801" s="65">
        <f t="shared" si="80"/>
        <v>1796</v>
      </c>
    </row>
    <row r="802" spans="1:10" ht="15" customHeight="1" outlineLevel="1" x14ac:dyDescent="0.2">
      <c r="A802" s="66" t="str">
        <f t="shared" si="77"/>
        <v>R038</v>
      </c>
      <c r="B802" s="67">
        <f>$A$1429</f>
        <v>45536</v>
      </c>
      <c r="C802" s="66" t="str">
        <f t="shared" si="78"/>
        <v>SDR / Inside Sales Rep</v>
      </c>
      <c r="D802" s="65">
        <f>SUMIFS(Fact_Quota!$D:$D,Fact_Quota!$A:$A,$A802,Fact_Quota!$B:$B,"&gt;="&amp;B802,Fact_Quota!$B:$B,"&lt;"&amp;EDATE(B802,1))</f>
        <v>15900</v>
      </c>
      <c r="E802" s="65">
        <f>SUMIFS(Fact_Pipeline!$K:$K,Fact_Pipeline!$B:$B,$A802,Fact_Pipeline!$J:$J,"Won",Fact_Pipeline!$I:$I,"&gt;="&amp;B802,Fact_Pipeline!$I:$I,"&lt;"&amp;EDATE(B802,1))</f>
        <v>8000</v>
      </c>
      <c r="F802" s="66" t="b">
        <f>AND(D802&gt;0,IFERROR(E802/D802&gt;=G6,FALSE()))</f>
        <v>1</v>
      </c>
      <c r="G802" s="65">
        <f t="shared" si="79"/>
        <v>240</v>
      </c>
      <c r="H802" s="65">
        <f>IF(F802,MAX(0,MIN(E802,I6*D802)-D802)*IFERROR(INDEX($C$158:$C$161,MATCH(C802,$A$158:$A$161,0)),0),0)</f>
        <v>0</v>
      </c>
      <c r="I802" s="65">
        <f>IF(F802,MAX(0,E802-I6*D802)*IFERROR(INDEX($D$158:$D$161,MATCH(C802,$A$158:$A$161,0)),0),0)</f>
        <v>0</v>
      </c>
      <c r="J802" s="65">
        <f t="shared" si="80"/>
        <v>240</v>
      </c>
    </row>
    <row r="803" spans="1:10" ht="15" customHeight="1" outlineLevel="1" x14ac:dyDescent="0.2">
      <c r="A803" s="66" t="str">
        <f t="shared" si="77"/>
        <v>R038</v>
      </c>
      <c r="B803" s="67">
        <f>$A$1430</f>
        <v>45566</v>
      </c>
      <c r="C803" s="66" t="str">
        <f t="shared" si="78"/>
        <v>SDR / Inside Sales Rep</v>
      </c>
      <c r="D803" s="65">
        <f>SUMIFS(Fact_Quota!$D:$D,Fact_Quota!$A:$A,$A803,Fact_Quota!$B:$B,"&gt;="&amp;B803,Fact_Quota!$B:$B,"&lt;"&amp;EDATE(B803,1))</f>
        <v>16100</v>
      </c>
      <c r="E803" s="65">
        <f>SUMIFS(Fact_Pipeline!$K:$K,Fact_Pipeline!$B:$B,$A803,Fact_Pipeline!$J:$J,"Won",Fact_Pipeline!$I:$I,"&gt;="&amp;B803,Fact_Pipeline!$I:$I,"&lt;"&amp;EDATE(B803,1))</f>
        <v>25000</v>
      </c>
      <c r="F803" s="66" t="b">
        <f>AND(D803&gt;0,IFERROR(E803/D803&gt;=G6,FALSE()))</f>
        <v>1</v>
      </c>
      <c r="G803" s="65">
        <f t="shared" si="79"/>
        <v>483</v>
      </c>
      <c r="H803" s="65">
        <f>IF(F803,MAX(0,MIN(E803,I6*D803)-D803)*IFERROR(INDEX($C$158:$C$161,MATCH(C803,$A$158:$A$161,0)),0),0)</f>
        <v>402.5</v>
      </c>
      <c r="I803" s="65">
        <f>IF(F803,MAX(0,E803-I6*D803)*IFERROR(INDEX($D$158:$D$161,MATCH(C803,$A$158:$A$161,0)),0),0)</f>
        <v>59.500000000000007</v>
      </c>
      <c r="J803" s="65">
        <f t="shared" si="80"/>
        <v>945</v>
      </c>
    </row>
    <row r="804" spans="1:10" ht="15" customHeight="1" outlineLevel="1" x14ac:dyDescent="0.2">
      <c r="A804" s="66" t="str">
        <f t="shared" si="77"/>
        <v>R038</v>
      </c>
      <c r="B804" s="67">
        <f>$A$1431</f>
        <v>45597</v>
      </c>
      <c r="C804" s="66" t="str">
        <f t="shared" si="78"/>
        <v>SDR / Inside Sales Rep</v>
      </c>
      <c r="D804" s="65">
        <f>SUMIFS(Fact_Quota!$D:$D,Fact_Quota!$A:$A,$A804,Fact_Quota!$B:$B,"&gt;="&amp;B804,Fact_Quota!$B:$B,"&lt;"&amp;EDATE(B804,1))</f>
        <v>15800</v>
      </c>
      <c r="E804" s="65">
        <f>SUMIFS(Fact_Pipeline!$K:$K,Fact_Pipeline!$B:$B,$A804,Fact_Pipeline!$J:$J,"Won",Fact_Pipeline!$I:$I,"&gt;="&amp;B804,Fact_Pipeline!$I:$I,"&lt;"&amp;EDATE(B804,1))</f>
        <v>11900</v>
      </c>
      <c r="F804" s="66" t="b">
        <f>AND(D804&gt;0,IFERROR(E804/D804&gt;=G6,FALSE()))</f>
        <v>1</v>
      </c>
      <c r="G804" s="65">
        <f t="shared" si="79"/>
        <v>357</v>
      </c>
      <c r="H804" s="65">
        <f>IF(F804,MAX(0,MIN(E804,I6*D804)-D804)*IFERROR(INDEX($C$158:$C$161,MATCH(C804,$A$158:$A$161,0)),0),0)</f>
        <v>0</v>
      </c>
      <c r="I804" s="65">
        <f>IF(F804,MAX(0,E804-I6*D804)*IFERROR(INDEX($D$158:$D$161,MATCH(C804,$A$158:$A$161,0)),0),0)</f>
        <v>0</v>
      </c>
      <c r="J804" s="65">
        <f t="shared" si="80"/>
        <v>357</v>
      </c>
    </row>
    <row r="805" spans="1:10" ht="15" customHeight="1" outlineLevel="1" x14ac:dyDescent="0.2">
      <c r="A805" s="66" t="str">
        <f t="shared" si="77"/>
        <v>R038</v>
      </c>
      <c r="B805" s="67">
        <f>$A$1432</f>
        <v>45627</v>
      </c>
      <c r="C805" s="66" t="str">
        <f t="shared" si="78"/>
        <v>SDR / Inside Sales Rep</v>
      </c>
      <c r="D805" s="65">
        <f>SUMIFS(Fact_Quota!$D:$D,Fact_Quota!$A:$A,$A805,Fact_Quota!$B:$B,"&gt;="&amp;B805,Fact_Quota!$B:$B,"&lt;"&amp;EDATE(B805,1))</f>
        <v>15000</v>
      </c>
      <c r="E805" s="65">
        <f>SUMIFS(Fact_Pipeline!$K:$K,Fact_Pipeline!$B:$B,$A805,Fact_Pipeline!$J:$J,"Won",Fact_Pipeline!$I:$I,"&gt;="&amp;B805,Fact_Pipeline!$I:$I,"&lt;"&amp;EDATE(B805,1))</f>
        <v>20400</v>
      </c>
      <c r="F805" s="66" t="b">
        <f>AND(D805&gt;0,IFERROR(E805/D805&gt;=G6,FALSE()))</f>
        <v>1</v>
      </c>
      <c r="G805" s="65">
        <f t="shared" si="79"/>
        <v>450</v>
      </c>
      <c r="H805" s="65">
        <f>IF(F805,MAX(0,MIN(E805,I6*D805)-D805)*IFERROR(INDEX($C$158:$C$161,MATCH(C805,$A$158:$A$161,0)),0),0)</f>
        <v>270</v>
      </c>
      <c r="I805" s="65">
        <f>IF(F805,MAX(0,E805-I6*D805)*IFERROR(INDEX($D$158:$D$161,MATCH(C805,$A$158:$A$161,0)),0),0)</f>
        <v>0</v>
      </c>
      <c r="J805" s="65">
        <f t="shared" si="80"/>
        <v>720</v>
      </c>
    </row>
    <row r="806" spans="1:10" ht="15" customHeight="1" outlineLevel="1" x14ac:dyDescent="0.2">
      <c r="A806" s="66" t="str">
        <f t="shared" si="77"/>
        <v>R038</v>
      </c>
      <c r="B806" s="67">
        <f>$A$1433</f>
        <v>45658</v>
      </c>
      <c r="C806" s="66" t="str">
        <f t="shared" si="78"/>
        <v>SDR / Inside Sales Rep</v>
      </c>
      <c r="D806" s="65">
        <f>SUMIFS(Fact_Quota!$D:$D,Fact_Quota!$A:$A,$A806,Fact_Quota!$B:$B,"&gt;="&amp;B806,Fact_Quota!$B:$B,"&lt;"&amp;EDATE(B806,1))</f>
        <v>15300</v>
      </c>
      <c r="E806" s="65">
        <f>SUMIFS(Fact_Pipeline!$K:$K,Fact_Pipeline!$B:$B,$A806,Fact_Pipeline!$J:$J,"Won",Fact_Pipeline!$I:$I,"&gt;="&amp;B806,Fact_Pipeline!$I:$I,"&lt;"&amp;EDATE(B806,1))</f>
        <v>10500</v>
      </c>
      <c r="F806" s="66" t="b">
        <f>AND(D806&gt;0,IFERROR(E806/D806&gt;=G6,FALSE()))</f>
        <v>1</v>
      </c>
      <c r="G806" s="65">
        <f t="shared" si="79"/>
        <v>315</v>
      </c>
      <c r="H806" s="65">
        <f>IF(F806,MAX(0,MIN(E806,I6*D806)-D806)*IFERROR(INDEX($C$158:$C$161,MATCH(C806,$A$158:$A$161,0)),0),0)</f>
        <v>0</v>
      </c>
      <c r="I806" s="65">
        <f>IF(F806,MAX(0,E806-I6*D806)*IFERROR(INDEX($D$158:$D$161,MATCH(C806,$A$158:$A$161,0)),0),0)</f>
        <v>0</v>
      </c>
      <c r="J806" s="65">
        <f t="shared" si="80"/>
        <v>315</v>
      </c>
    </row>
    <row r="807" spans="1:10" ht="15" customHeight="1" outlineLevel="1" x14ac:dyDescent="0.2">
      <c r="A807" s="66" t="str">
        <f t="shared" si="77"/>
        <v>R038</v>
      </c>
      <c r="B807" s="67">
        <f>$A$1434</f>
        <v>45689</v>
      </c>
      <c r="C807" s="66" t="str">
        <f t="shared" si="78"/>
        <v>SDR / Inside Sales Rep</v>
      </c>
      <c r="D807" s="65">
        <f>SUMIFS(Fact_Quota!$D:$D,Fact_Quota!$A:$A,$A807,Fact_Quota!$B:$B,"&gt;="&amp;B807,Fact_Quota!$B:$B,"&lt;"&amp;EDATE(B807,1))</f>
        <v>15700</v>
      </c>
      <c r="E807" s="65">
        <f>SUMIFS(Fact_Pipeline!$K:$K,Fact_Pipeline!$B:$B,$A807,Fact_Pipeline!$J:$J,"Won",Fact_Pipeline!$I:$I,"&gt;="&amp;B807,Fact_Pipeline!$I:$I,"&lt;"&amp;EDATE(B807,1))</f>
        <v>8100</v>
      </c>
      <c r="F807" s="66" t="b">
        <f>AND(D807&gt;0,IFERROR(E807/D807&gt;=G6,FALSE()))</f>
        <v>1</v>
      </c>
      <c r="G807" s="65">
        <f t="shared" si="79"/>
        <v>243</v>
      </c>
      <c r="H807" s="65">
        <f>IF(F807,MAX(0,MIN(E807,I6*D807)-D807)*IFERROR(INDEX($C$158:$C$161,MATCH(C807,$A$158:$A$161,0)),0),0)</f>
        <v>0</v>
      </c>
      <c r="I807" s="65">
        <f>IF(F807,MAX(0,E807-I6*D807)*IFERROR(INDEX($D$158:$D$161,MATCH(C807,$A$158:$A$161,0)),0),0)</f>
        <v>0</v>
      </c>
      <c r="J807" s="65">
        <f t="shared" si="80"/>
        <v>243</v>
      </c>
    </row>
    <row r="808" spans="1:10" ht="15" customHeight="1" outlineLevel="1" x14ac:dyDescent="0.2">
      <c r="A808" s="66" t="str">
        <f t="shared" si="77"/>
        <v>R038</v>
      </c>
      <c r="B808" s="67">
        <f>$A$1435</f>
        <v>45717</v>
      </c>
      <c r="C808" s="66" t="str">
        <f t="shared" si="78"/>
        <v>SDR / Inside Sales Rep</v>
      </c>
      <c r="D808" s="65">
        <f>SUMIFS(Fact_Quota!$D:$D,Fact_Quota!$A:$A,$A808,Fact_Quota!$B:$B,"&gt;="&amp;B808,Fact_Quota!$B:$B,"&lt;"&amp;EDATE(B808,1))</f>
        <v>14900</v>
      </c>
      <c r="E808" s="65">
        <f>SUMIFS(Fact_Pipeline!$K:$K,Fact_Pipeline!$B:$B,$A808,Fact_Pipeline!$J:$J,"Won",Fact_Pipeline!$I:$I,"&gt;="&amp;B808,Fact_Pipeline!$I:$I,"&lt;"&amp;EDATE(B808,1))</f>
        <v>5200</v>
      </c>
      <c r="F808" s="66" t="b">
        <f>AND(D808&gt;0,IFERROR(E808/D808&gt;=G6,FALSE()))</f>
        <v>0</v>
      </c>
      <c r="G808" s="65">
        <f t="shared" si="79"/>
        <v>0</v>
      </c>
      <c r="H808" s="65">
        <f>IF(F808,MAX(0,MIN(E808,I6*D808)-D808)*IFERROR(INDEX($C$158:$C$161,MATCH(C808,$A$158:$A$161,0)),0),0)</f>
        <v>0</v>
      </c>
      <c r="I808" s="65">
        <f>IF(F808,MAX(0,E808-I6*D808)*IFERROR(INDEX($D$158:$D$161,MATCH(C808,$A$158:$A$161,0)),0),0)</f>
        <v>0</v>
      </c>
      <c r="J808" s="65">
        <f t="shared" si="80"/>
        <v>0</v>
      </c>
    </row>
    <row r="809" spans="1:10" ht="15" customHeight="1" outlineLevel="1" x14ac:dyDescent="0.2">
      <c r="A809" s="66" t="str">
        <f t="shared" si="77"/>
        <v>R038</v>
      </c>
      <c r="B809" s="67">
        <f>$A$1436</f>
        <v>45748</v>
      </c>
      <c r="C809" s="66" t="str">
        <f t="shared" si="78"/>
        <v>SDR / Inside Sales Rep</v>
      </c>
      <c r="D809" s="65">
        <f>SUMIFS(Fact_Quota!$D:$D,Fact_Quota!$A:$A,$A809,Fact_Quota!$B:$B,"&gt;="&amp;B809,Fact_Quota!$B:$B,"&lt;"&amp;EDATE(B809,1))</f>
        <v>15800</v>
      </c>
      <c r="E809" s="65">
        <f>SUMIFS(Fact_Pipeline!$K:$K,Fact_Pipeline!$B:$B,$A809,Fact_Pipeline!$J:$J,"Won",Fact_Pipeline!$I:$I,"&gt;="&amp;B809,Fact_Pipeline!$I:$I,"&lt;"&amp;EDATE(B809,1))</f>
        <v>24700</v>
      </c>
      <c r="F809" s="66" t="b">
        <f>AND(D809&gt;0,IFERROR(E809/D809&gt;=G6,FALSE()))</f>
        <v>1</v>
      </c>
      <c r="G809" s="65">
        <f t="shared" si="79"/>
        <v>474</v>
      </c>
      <c r="H809" s="65">
        <f>IF(F809,MAX(0,MIN(E809,I6*D809)-D809)*IFERROR(INDEX($C$158:$C$161,MATCH(C809,$A$158:$A$161,0)),0),0)</f>
        <v>395</v>
      </c>
      <c r="I809" s="65">
        <f>IF(F809,MAX(0,E809-I6*D809)*IFERROR(INDEX($D$158:$D$161,MATCH(C809,$A$158:$A$161,0)),0),0)</f>
        <v>70</v>
      </c>
      <c r="J809" s="65">
        <f t="shared" si="80"/>
        <v>939</v>
      </c>
    </row>
    <row r="810" spans="1:10" ht="15" customHeight="1" outlineLevel="1" x14ac:dyDescent="0.2">
      <c r="A810" s="66" t="str">
        <f t="shared" si="77"/>
        <v>R038</v>
      </c>
      <c r="B810" s="67">
        <f>$A$1437</f>
        <v>45778</v>
      </c>
      <c r="C810" s="66" t="str">
        <f t="shared" si="78"/>
        <v>SDR / Inside Sales Rep</v>
      </c>
      <c r="D810" s="65">
        <f>SUMIFS(Fact_Quota!$D:$D,Fact_Quota!$A:$A,$A810,Fact_Quota!$B:$B,"&gt;="&amp;B810,Fact_Quota!$B:$B,"&lt;"&amp;EDATE(B810,1))</f>
        <v>15400</v>
      </c>
      <c r="E810" s="65">
        <f>SUMIFS(Fact_Pipeline!$K:$K,Fact_Pipeline!$B:$B,$A810,Fact_Pipeline!$J:$J,"Won",Fact_Pipeline!$I:$I,"&gt;="&amp;B810,Fact_Pipeline!$I:$I,"&lt;"&amp;EDATE(B810,1))</f>
        <v>16200</v>
      </c>
      <c r="F810" s="66" t="b">
        <f>AND(D810&gt;0,IFERROR(E810/D810&gt;=G6,FALSE()))</f>
        <v>1</v>
      </c>
      <c r="G810" s="65">
        <f t="shared" si="79"/>
        <v>462</v>
      </c>
      <c r="H810" s="65">
        <f>IF(F810,MAX(0,MIN(E810,I6*D810)-D810)*IFERROR(INDEX($C$158:$C$161,MATCH(C810,$A$158:$A$161,0)),0),0)</f>
        <v>40</v>
      </c>
      <c r="I810" s="65">
        <f>IF(F810,MAX(0,E810-I6*D810)*IFERROR(INDEX($D$158:$D$161,MATCH(C810,$A$158:$A$161,0)),0),0)</f>
        <v>0</v>
      </c>
      <c r="J810" s="65">
        <f t="shared" si="80"/>
        <v>502</v>
      </c>
    </row>
    <row r="811" spans="1:10" ht="15" customHeight="1" outlineLevel="1" x14ac:dyDescent="0.2">
      <c r="A811" s="66" t="str">
        <f t="shared" si="77"/>
        <v>R038</v>
      </c>
      <c r="B811" s="67">
        <f>$A$1438</f>
        <v>45809</v>
      </c>
      <c r="C811" s="66" t="str">
        <f t="shared" si="78"/>
        <v>SDR / Inside Sales Rep</v>
      </c>
      <c r="D811" s="65">
        <f>SUMIFS(Fact_Quota!$D:$D,Fact_Quota!$A:$A,$A811,Fact_Quota!$B:$B,"&gt;="&amp;B811,Fact_Quota!$B:$B,"&lt;"&amp;EDATE(B811,1))</f>
        <v>15300</v>
      </c>
      <c r="E811" s="65">
        <f>SUMIFS(Fact_Pipeline!$K:$K,Fact_Pipeline!$B:$B,$A811,Fact_Pipeline!$J:$J,"Won",Fact_Pipeline!$I:$I,"&gt;="&amp;B811,Fact_Pipeline!$I:$I,"&lt;"&amp;EDATE(B811,1))</f>
        <v>5600</v>
      </c>
      <c r="F811" s="66" t="b">
        <f>AND(D811&gt;0,IFERROR(E811/D811&gt;=G6,FALSE()))</f>
        <v>0</v>
      </c>
      <c r="G811" s="65">
        <f t="shared" si="79"/>
        <v>0</v>
      </c>
      <c r="H811" s="65">
        <f>IF(F811,MAX(0,MIN(E811,I6*D811)-D811)*IFERROR(INDEX($C$158:$C$161,MATCH(C811,$A$158:$A$161,0)),0),0)</f>
        <v>0</v>
      </c>
      <c r="I811" s="65">
        <f>IF(F811,MAX(0,E811-I6*D811)*IFERROR(INDEX($D$158:$D$161,MATCH(C811,$A$158:$A$161,0)),0),0)</f>
        <v>0</v>
      </c>
      <c r="J811" s="65">
        <f t="shared" si="80"/>
        <v>0</v>
      </c>
    </row>
    <row r="812" spans="1:10" ht="15" customHeight="1" outlineLevel="1" x14ac:dyDescent="0.2">
      <c r="A812" s="66" t="str">
        <f t="shared" si="77"/>
        <v>R038</v>
      </c>
      <c r="B812" s="67">
        <f>$A$1439</f>
        <v>45839</v>
      </c>
      <c r="C812" s="66" t="str">
        <f t="shared" si="78"/>
        <v>SDR / Inside Sales Rep</v>
      </c>
      <c r="D812" s="65">
        <f>SUMIFS(Fact_Quota!$D:$D,Fact_Quota!$A:$A,$A812,Fact_Quota!$B:$B,"&gt;="&amp;B812,Fact_Quota!$B:$B,"&lt;"&amp;EDATE(B812,1))</f>
        <v>15800</v>
      </c>
      <c r="E812" s="65">
        <f>SUMIFS(Fact_Pipeline!$K:$K,Fact_Pipeline!$B:$B,$A812,Fact_Pipeline!$J:$J,"Won",Fact_Pipeline!$I:$I,"&gt;="&amp;B812,Fact_Pipeline!$I:$I,"&lt;"&amp;EDATE(B812,1))</f>
        <v>28200</v>
      </c>
      <c r="F812" s="66" t="b">
        <f>AND(D812&gt;0,IFERROR(E812/D812&gt;=G6,FALSE()))</f>
        <v>1</v>
      </c>
      <c r="G812" s="65">
        <f t="shared" si="79"/>
        <v>474</v>
      </c>
      <c r="H812" s="65">
        <f>IF(F812,MAX(0,MIN(E812,I6*D812)-D812)*IFERROR(INDEX($C$158:$C$161,MATCH(C812,$A$158:$A$161,0)),0),0)</f>
        <v>395</v>
      </c>
      <c r="I812" s="65">
        <f>IF(F812,MAX(0,E812-I6*D812)*IFERROR(INDEX($D$158:$D$161,MATCH(C812,$A$158:$A$161,0)),0),0)</f>
        <v>315.00000000000006</v>
      </c>
      <c r="J812" s="65">
        <f t="shared" si="80"/>
        <v>1184</v>
      </c>
    </row>
    <row r="813" spans="1:10" ht="15" customHeight="1" outlineLevel="1" x14ac:dyDescent="0.2">
      <c r="A813" s="66" t="str">
        <f t="shared" si="77"/>
        <v>R038</v>
      </c>
      <c r="B813" s="67">
        <f>$A$1440</f>
        <v>45870</v>
      </c>
      <c r="C813" s="66" t="str">
        <f t="shared" si="78"/>
        <v>SDR / Inside Sales Rep</v>
      </c>
      <c r="D813" s="65">
        <f>SUMIFS(Fact_Quota!$D:$D,Fact_Quota!$A:$A,$A813,Fact_Quota!$B:$B,"&gt;="&amp;B813,Fact_Quota!$B:$B,"&lt;"&amp;EDATE(B813,1))</f>
        <v>15700</v>
      </c>
      <c r="E813" s="65">
        <f>SUMIFS(Fact_Pipeline!$K:$K,Fact_Pipeline!$B:$B,$A813,Fact_Pipeline!$J:$J,"Won",Fact_Pipeline!$I:$I,"&gt;="&amp;B813,Fact_Pipeline!$I:$I,"&lt;"&amp;EDATE(B813,1))</f>
        <v>2400</v>
      </c>
      <c r="F813" s="66" t="b">
        <f>AND(D813&gt;0,IFERROR(E813/D813&gt;=G6,FALSE()))</f>
        <v>0</v>
      </c>
      <c r="G813" s="65">
        <f t="shared" si="79"/>
        <v>0</v>
      </c>
      <c r="H813" s="65">
        <f>IF(F813,MAX(0,MIN(E813,I6*D813)-D813)*IFERROR(INDEX($C$158:$C$161,MATCH(C813,$A$158:$A$161,0)),0),0)</f>
        <v>0</v>
      </c>
      <c r="I813" s="65">
        <f>IF(F813,MAX(0,E813-I6*D813)*IFERROR(INDEX($D$158:$D$161,MATCH(C813,$A$158:$A$161,0)),0),0)</f>
        <v>0</v>
      </c>
      <c r="J813" s="65">
        <f t="shared" si="80"/>
        <v>0</v>
      </c>
    </row>
    <row r="814" spans="1:10" ht="15" customHeight="1" outlineLevel="1" x14ac:dyDescent="0.2">
      <c r="A814" s="66" t="str">
        <f t="shared" si="77"/>
        <v>R038</v>
      </c>
      <c r="B814" s="67">
        <f>$A$1441</f>
        <v>45901</v>
      </c>
      <c r="C814" s="66" t="str">
        <f t="shared" si="78"/>
        <v>SDR / Inside Sales Rep</v>
      </c>
      <c r="D814" s="65">
        <f>SUMIFS(Fact_Quota!$D:$D,Fact_Quota!$A:$A,$A814,Fact_Quota!$B:$B,"&gt;="&amp;B814,Fact_Quota!$B:$B,"&lt;"&amp;EDATE(B814,1))</f>
        <v>15300</v>
      </c>
      <c r="E814" s="65">
        <f>SUMIFS(Fact_Pipeline!$K:$K,Fact_Pipeline!$B:$B,$A814,Fact_Pipeline!$J:$J,"Won",Fact_Pipeline!$I:$I,"&gt;="&amp;B814,Fact_Pipeline!$I:$I,"&lt;"&amp;EDATE(B814,1))</f>
        <v>37300</v>
      </c>
      <c r="F814" s="66" t="b">
        <f>AND(D814&gt;0,IFERROR(E814/D814&gt;=G6,FALSE()))</f>
        <v>1</v>
      </c>
      <c r="G814" s="65">
        <f t="shared" si="79"/>
        <v>459</v>
      </c>
      <c r="H814" s="65">
        <f>IF(F814,MAX(0,MIN(E814,I6*D814)-D814)*IFERROR(INDEX($C$158:$C$161,MATCH(C814,$A$158:$A$161,0)),0),0)</f>
        <v>382.5</v>
      </c>
      <c r="I814" s="65">
        <f>IF(F814,MAX(0,E814-I6*D814)*IFERROR(INDEX($D$158:$D$161,MATCH(C814,$A$158:$A$161,0)),0),0)</f>
        <v>1004.5000000000001</v>
      </c>
      <c r="J814" s="65">
        <f t="shared" si="80"/>
        <v>1846</v>
      </c>
    </row>
    <row r="815" spans="1:10" ht="15" customHeight="1" outlineLevel="1" x14ac:dyDescent="0.2">
      <c r="A815" s="66" t="str">
        <f t="shared" si="77"/>
        <v>R038</v>
      </c>
      <c r="B815" s="67">
        <f>$A$1442</f>
        <v>45931</v>
      </c>
      <c r="C815" s="66" t="str">
        <f t="shared" si="78"/>
        <v>SDR / Inside Sales Rep</v>
      </c>
      <c r="D815" s="65">
        <f>SUMIFS(Fact_Quota!$D:$D,Fact_Quota!$A:$A,$A815,Fact_Quota!$B:$B,"&gt;="&amp;B815,Fact_Quota!$B:$B,"&lt;"&amp;EDATE(B815,1))</f>
        <v>16000</v>
      </c>
      <c r="E815" s="65">
        <f>SUMIFS(Fact_Pipeline!$K:$K,Fact_Pipeline!$B:$B,$A815,Fact_Pipeline!$J:$J,"Won",Fact_Pipeline!$I:$I,"&gt;="&amp;B815,Fact_Pipeline!$I:$I,"&lt;"&amp;EDATE(B815,1))</f>
        <v>11700</v>
      </c>
      <c r="F815" s="66" t="b">
        <f>AND(D815&gt;0,IFERROR(E815/D815&gt;=G6,FALSE()))</f>
        <v>1</v>
      </c>
      <c r="G815" s="65">
        <f t="shared" si="79"/>
        <v>351</v>
      </c>
      <c r="H815" s="65">
        <f>IF(F815,MAX(0,MIN(E815,I6*D815)-D815)*IFERROR(INDEX($C$158:$C$161,MATCH(C815,$A$158:$A$161,0)),0),0)</f>
        <v>0</v>
      </c>
      <c r="I815" s="65">
        <f>IF(F815,MAX(0,E815-I6*D815)*IFERROR(INDEX($D$158:$D$161,MATCH(C815,$A$158:$A$161,0)),0),0)</f>
        <v>0</v>
      </c>
      <c r="J815" s="65">
        <f t="shared" si="80"/>
        <v>351</v>
      </c>
    </row>
    <row r="816" spans="1:10" ht="15" customHeight="1" outlineLevel="1" x14ac:dyDescent="0.2">
      <c r="A816" s="66" t="str">
        <f t="shared" si="77"/>
        <v>R038</v>
      </c>
      <c r="B816" s="67">
        <f>$A$1443</f>
        <v>45962</v>
      </c>
      <c r="C816" s="66" t="str">
        <f t="shared" si="78"/>
        <v>SDR / Inside Sales Rep</v>
      </c>
      <c r="D816" s="65">
        <f>SUMIFS(Fact_Quota!$D:$D,Fact_Quota!$A:$A,$A816,Fact_Quota!$B:$B,"&gt;="&amp;B816,Fact_Quota!$B:$B,"&lt;"&amp;EDATE(B816,1))</f>
        <v>15000</v>
      </c>
      <c r="E816" s="65">
        <f>SUMIFS(Fact_Pipeline!$K:$K,Fact_Pipeline!$B:$B,$A816,Fact_Pipeline!$J:$J,"Won",Fact_Pipeline!$I:$I,"&gt;="&amp;B816,Fact_Pipeline!$I:$I,"&lt;"&amp;EDATE(B816,1))</f>
        <v>42000</v>
      </c>
      <c r="F816" s="66" t="b">
        <f>AND(D816&gt;0,IFERROR(E816/D816&gt;=G6,FALSE()))</f>
        <v>1</v>
      </c>
      <c r="G816" s="65">
        <f t="shared" si="79"/>
        <v>450</v>
      </c>
      <c r="H816" s="65">
        <f>IF(F816,MAX(0,MIN(E816,I6*D816)-D816)*IFERROR(INDEX($C$158:$C$161,MATCH(C816,$A$158:$A$161,0)),0),0)</f>
        <v>375</v>
      </c>
      <c r="I816" s="65">
        <f>IF(F816,MAX(0,E816-I6*D816)*IFERROR(INDEX($D$158:$D$161,MATCH(C816,$A$158:$A$161,0)),0),0)</f>
        <v>1365.0000000000002</v>
      </c>
      <c r="J816" s="65">
        <f t="shared" si="80"/>
        <v>2190</v>
      </c>
    </row>
    <row r="817" spans="1:10" ht="15" customHeight="1" outlineLevel="1" x14ac:dyDescent="0.2">
      <c r="A817" s="66" t="str">
        <f t="shared" si="77"/>
        <v>R038</v>
      </c>
      <c r="B817" s="67">
        <f>$A$1444</f>
        <v>45992</v>
      </c>
      <c r="C817" s="66" t="str">
        <f t="shared" si="78"/>
        <v>SDR / Inside Sales Rep</v>
      </c>
      <c r="D817" s="65">
        <f>SUMIFS(Fact_Quota!$D:$D,Fact_Quota!$A:$A,$A817,Fact_Quota!$B:$B,"&gt;="&amp;B817,Fact_Quota!$B:$B,"&lt;"&amp;EDATE(B817,1))</f>
        <v>15800</v>
      </c>
      <c r="E817" s="65">
        <f>SUMIFS(Fact_Pipeline!$K:$K,Fact_Pipeline!$B:$B,$A817,Fact_Pipeline!$J:$J,"Won",Fact_Pipeline!$I:$I,"&gt;="&amp;B817,Fact_Pipeline!$I:$I,"&lt;"&amp;EDATE(B817,1))</f>
        <v>34400</v>
      </c>
      <c r="F817" s="66" t="b">
        <f>AND(D817&gt;0,IFERROR(E817/D817&gt;=G6,FALSE()))</f>
        <v>1</v>
      </c>
      <c r="G817" s="65">
        <f t="shared" si="79"/>
        <v>474</v>
      </c>
      <c r="H817" s="65">
        <f>IF(F817,MAX(0,MIN(E817,I6*D817)-D817)*IFERROR(INDEX($C$158:$C$161,MATCH(C817,$A$158:$A$161,0)),0),0)</f>
        <v>395</v>
      </c>
      <c r="I817" s="65">
        <f>IF(F817,MAX(0,E817-I6*D817)*IFERROR(INDEX($D$158:$D$161,MATCH(C817,$A$158:$A$161,0)),0),0)</f>
        <v>749.00000000000011</v>
      </c>
      <c r="J817" s="65">
        <f t="shared" si="80"/>
        <v>1618</v>
      </c>
    </row>
    <row r="818" spans="1:10" ht="15" customHeight="1" outlineLevel="1" x14ac:dyDescent="0.2">
      <c r="A818" s="63" t="str">
        <f t="shared" ref="A818:A841" si="81">$A$190</f>
        <v>R041</v>
      </c>
      <c r="B818" s="64">
        <f>$A$1421</f>
        <v>45292</v>
      </c>
      <c r="C818" s="63" t="str">
        <f t="shared" ref="C818:C841" si="82">$C$190</f>
        <v>SDR / Inside Sales Rep</v>
      </c>
      <c r="D818" s="62">
        <f>SUMIFS(Fact_Quota!$D:$D,Fact_Quota!$A:$A,$A818,Fact_Quota!$B:$B,"&gt;="&amp;B818,Fact_Quota!$B:$B,"&lt;"&amp;EDATE(B818,1))</f>
        <v>15200</v>
      </c>
      <c r="E818" s="62">
        <f>SUMIFS(Fact_Pipeline!$K:$K,Fact_Pipeline!$B:$B,$A818,Fact_Pipeline!$J:$J,"Won",Fact_Pipeline!$I:$I,"&gt;="&amp;B818,Fact_Pipeline!$I:$I,"&lt;"&amp;EDATE(B818,1))</f>
        <v>2400</v>
      </c>
      <c r="F818" s="63" t="b">
        <f>AND(D818&gt;0,IFERROR(E818/D818&gt;=G6,FALSE()))</f>
        <v>0</v>
      </c>
      <c r="G818" s="62">
        <f t="shared" si="79"/>
        <v>0</v>
      </c>
      <c r="H818" s="62">
        <f>IF(F818,MAX(0,MIN(E818,I6*D818)-D818)*IFERROR(INDEX($C$158:$C$161,MATCH(C818,$A$158:$A$161,0)),0),0)</f>
        <v>0</v>
      </c>
      <c r="I818" s="62">
        <f>IF(F818,MAX(0,E818-I6*D818)*IFERROR(INDEX($D$158:$D$161,MATCH(C818,$A$158:$A$161,0)),0),0)</f>
        <v>0</v>
      </c>
      <c r="J818" s="62">
        <f t="shared" si="80"/>
        <v>0</v>
      </c>
    </row>
    <row r="819" spans="1:10" ht="15" customHeight="1" outlineLevel="1" x14ac:dyDescent="0.2">
      <c r="A819" s="63" t="str">
        <f t="shared" si="81"/>
        <v>R041</v>
      </c>
      <c r="B819" s="64">
        <f>$A$1422</f>
        <v>45323</v>
      </c>
      <c r="C819" s="63" t="str">
        <f t="shared" si="82"/>
        <v>SDR / Inside Sales Rep</v>
      </c>
      <c r="D819" s="62">
        <f>SUMIFS(Fact_Quota!$D:$D,Fact_Quota!$A:$A,$A819,Fact_Quota!$B:$B,"&gt;="&amp;B819,Fact_Quota!$B:$B,"&lt;"&amp;EDATE(B819,1))</f>
        <v>15500</v>
      </c>
      <c r="E819" s="62">
        <f>SUMIFS(Fact_Pipeline!$K:$K,Fact_Pipeline!$B:$B,$A819,Fact_Pipeline!$J:$J,"Won",Fact_Pipeline!$I:$I,"&gt;="&amp;B819,Fact_Pipeline!$I:$I,"&lt;"&amp;EDATE(B819,1))</f>
        <v>17800</v>
      </c>
      <c r="F819" s="63" t="b">
        <f>AND(D819&gt;0,IFERROR(E819/D819&gt;=G6,FALSE()))</f>
        <v>1</v>
      </c>
      <c r="G819" s="62">
        <f t="shared" si="79"/>
        <v>465</v>
      </c>
      <c r="H819" s="62">
        <f>IF(F819,MAX(0,MIN(E819,I6*D819)-D819)*IFERROR(INDEX($C$158:$C$161,MATCH(C819,$A$158:$A$161,0)),0),0)</f>
        <v>115</v>
      </c>
      <c r="I819" s="62">
        <f>IF(F819,MAX(0,E819-I6*D819)*IFERROR(INDEX($D$158:$D$161,MATCH(C819,$A$158:$A$161,0)),0),0)</f>
        <v>0</v>
      </c>
      <c r="J819" s="62">
        <f t="shared" si="80"/>
        <v>580</v>
      </c>
    </row>
    <row r="820" spans="1:10" ht="15" customHeight="1" outlineLevel="1" x14ac:dyDescent="0.2">
      <c r="A820" s="63" t="str">
        <f t="shared" si="81"/>
        <v>R041</v>
      </c>
      <c r="B820" s="64">
        <f>$A$1423</f>
        <v>45352</v>
      </c>
      <c r="C820" s="63" t="str">
        <f t="shared" si="82"/>
        <v>SDR / Inside Sales Rep</v>
      </c>
      <c r="D820" s="62">
        <f>SUMIFS(Fact_Quota!$D:$D,Fact_Quota!$A:$A,$A820,Fact_Quota!$B:$B,"&gt;="&amp;B820,Fact_Quota!$B:$B,"&lt;"&amp;EDATE(B820,1))</f>
        <v>15700</v>
      </c>
      <c r="E820" s="62">
        <f>SUMIFS(Fact_Pipeline!$K:$K,Fact_Pipeline!$B:$B,$A820,Fact_Pipeline!$J:$J,"Won",Fact_Pipeline!$I:$I,"&gt;="&amp;B820,Fact_Pipeline!$I:$I,"&lt;"&amp;EDATE(B820,1))</f>
        <v>19400</v>
      </c>
      <c r="F820" s="63" t="b">
        <f>AND(D820&gt;0,IFERROR(E820/D820&gt;=G6,FALSE()))</f>
        <v>1</v>
      </c>
      <c r="G820" s="62">
        <f t="shared" si="79"/>
        <v>471</v>
      </c>
      <c r="H820" s="62">
        <f>IF(F820,MAX(0,MIN(E820,I6*D820)-D820)*IFERROR(INDEX($C$158:$C$161,MATCH(C820,$A$158:$A$161,0)),0),0)</f>
        <v>185</v>
      </c>
      <c r="I820" s="62">
        <f>IF(F820,MAX(0,E820-I6*D820)*IFERROR(INDEX($D$158:$D$161,MATCH(C820,$A$158:$A$161,0)),0),0)</f>
        <v>0</v>
      </c>
      <c r="J820" s="62">
        <f t="shared" si="80"/>
        <v>656</v>
      </c>
    </row>
    <row r="821" spans="1:10" ht="15" customHeight="1" outlineLevel="1" x14ac:dyDescent="0.2">
      <c r="A821" s="63" t="str">
        <f t="shared" si="81"/>
        <v>R041</v>
      </c>
      <c r="B821" s="64">
        <f>$A$1424</f>
        <v>45383</v>
      </c>
      <c r="C821" s="63" t="str">
        <f t="shared" si="82"/>
        <v>SDR / Inside Sales Rep</v>
      </c>
      <c r="D821" s="62">
        <f>SUMIFS(Fact_Quota!$D:$D,Fact_Quota!$A:$A,$A821,Fact_Quota!$B:$B,"&gt;="&amp;B821,Fact_Quota!$B:$B,"&lt;"&amp;EDATE(B821,1))</f>
        <v>15200</v>
      </c>
      <c r="E821" s="62">
        <f>SUMIFS(Fact_Pipeline!$K:$K,Fact_Pipeline!$B:$B,$A821,Fact_Pipeline!$J:$J,"Won",Fact_Pipeline!$I:$I,"&gt;="&amp;B821,Fact_Pipeline!$I:$I,"&lt;"&amp;EDATE(B821,1))</f>
        <v>11000</v>
      </c>
      <c r="F821" s="63" t="b">
        <f>AND(D821&gt;0,IFERROR(E821/D821&gt;=G6,FALSE()))</f>
        <v>1</v>
      </c>
      <c r="G821" s="62">
        <f t="shared" si="79"/>
        <v>330</v>
      </c>
      <c r="H821" s="62">
        <f>IF(F821,MAX(0,MIN(E821,I6*D821)-D821)*IFERROR(INDEX($C$158:$C$161,MATCH(C821,$A$158:$A$161,0)),0),0)</f>
        <v>0</v>
      </c>
      <c r="I821" s="62">
        <f>IF(F821,MAX(0,E821-I6*D821)*IFERROR(INDEX($D$158:$D$161,MATCH(C821,$A$158:$A$161,0)),0),0)</f>
        <v>0</v>
      </c>
      <c r="J821" s="62">
        <f t="shared" si="80"/>
        <v>330</v>
      </c>
    </row>
    <row r="822" spans="1:10" ht="15" customHeight="1" outlineLevel="1" x14ac:dyDescent="0.2">
      <c r="A822" s="63" t="str">
        <f t="shared" si="81"/>
        <v>R041</v>
      </c>
      <c r="B822" s="64">
        <f>$A$1425</f>
        <v>45413</v>
      </c>
      <c r="C822" s="63" t="str">
        <f t="shared" si="82"/>
        <v>SDR / Inside Sales Rep</v>
      </c>
      <c r="D822" s="62">
        <f>SUMIFS(Fact_Quota!$D:$D,Fact_Quota!$A:$A,$A822,Fact_Quota!$B:$B,"&gt;="&amp;B822,Fact_Quota!$B:$B,"&lt;"&amp;EDATE(B822,1))</f>
        <v>15600</v>
      </c>
      <c r="E822" s="62">
        <f>SUMIFS(Fact_Pipeline!$K:$K,Fact_Pipeline!$B:$B,$A822,Fact_Pipeline!$J:$J,"Won",Fact_Pipeline!$I:$I,"&gt;="&amp;B822,Fact_Pipeline!$I:$I,"&lt;"&amp;EDATE(B822,1))</f>
        <v>23300</v>
      </c>
      <c r="F822" s="63" t="b">
        <f>AND(D822&gt;0,IFERROR(E822/D822&gt;=G6,FALSE()))</f>
        <v>1</v>
      </c>
      <c r="G822" s="62">
        <f t="shared" si="79"/>
        <v>468</v>
      </c>
      <c r="H822" s="62">
        <f>IF(F822,MAX(0,MIN(E822,I6*D822)-D822)*IFERROR(INDEX($C$158:$C$161,MATCH(C822,$A$158:$A$161,0)),0),0)</f>
        <v>385</v>
      </c>
      <c r="I822" s="62">
        <f>IF(F822,MAX(0,E822-I6*D822)*IFERROR(INDEX($D$158:$D$161,MATCH(C822,$A$158:$A$161,0)),0),0)</f>
        <v>0</v>
      </c>
      <c r="J822" s="62">
        <f t="shared" si="80"/>
        <v>853</v>
      </c>
    </row>
    <row r="823" spans="1:10" ht="15" customHeight="1" outlineLevel="1" x14ac:dyDescent="0.2">
      <c r="A823" s="63" t="str">
        <f t="shared" si="81"/>
        <v>R041</v>
      </c>
      <c r="B823" s="64">
        <f>$A$1426</f>
        <v>45444</v>
      </c>
      <c r="C823" s="63" t="str">
        <f t="shared" si="82"/>
        <v>SDR / Inside Sales Rep</v>
      </c>
      <c r="D823" s="62">
        <f>SUMIFS(Fact_Quota!$D:$D,Fact_Quota!$A:$A,$A823,Fact_Quota!$B:$B,"&gt;="&amp;B823,Fact_Quota!$B:$B,"&lt;"&amp;EDATE(B823,1))</f>
        <v>15100</v>
      </c>
      <c r="E823" s="62">
        <f>SUMIFS(Fact_Pipeline!$K:$K,Fact_Pipeline!$B:$B,$A823,Fact_Pipeline!$J:$J,"Won",Fact_Pipeline!$I:$I,"&gt;="&amp;B823,Fact_Pipeline!$I:$I,"&lt;"&amp;EDATE(B823,1))</f>
        <v>29100</v>
      </c>
      <c r="F823" s="63" t="b">
        <f>AND(D823&gt;0,IFERROR(E823/D823&gt;=G6,FALSE()))</f>
        <v>1</v>
      </c>
      <c r="G823" s="62">
        <f t="shared" si="79"/>
        <v>453</v>
      </c>
      <c r="H823" s="62">
        <f>IF(F823,MAX(0,MIN(E823,I6*D823)-D823)*IFERROR(INDEX($C$158:$C$161,MATCH(C823,$A$158:$A$161,0)),0),0)</f>
        <v>377.5</v>
      </c>
      <c r="I823" s="62">
        <f>IF(F823,MAX(0,E823-I6*D823)*IFERROR(INDEX($D$158:$D$161,MATCH(C823,$A$158:$A$161,0)),0),0)</f>
        <v>451.50000000000006</v>
      </c>
      <c r="J823" s="62">
        <f t="shared" si="80"/>
        <v>1282</v>
      </c>
    </row>
    <row r="824" spans="1:10" ht="15" customHeight="1" outlineLevel="1" x14ac:dyDescent="0.2">
      <c r="A824" s="63" t="str">
        <f t="shared" si="81"/>
        <v>R041</v>
      </c>
      <c r="B824" s="64">
        <f>$A$1427</f>
        <v>45474</v>
      </c>
      <c r="C824" s="63" t="str">
        <f t="shared" si="82"/>
        <v>SDR / Inside Sales Rep</v>
      </c>
      <c r="D824" s="62">
        <f>SUMIFS(Fact_Quota!$D:$D,Fact_Quota!$A:$A,$A824,Fact_Quota!$B:$B,"&gt;="&amp;B824,Fact_Quota!$B:$B,"&lt;"&amp;EDATE(B824,1))</f>
        <v>15200</v>
      </c>
      <c r="E824" s="62">
        <f>SUMIFS(Fact_Pipeline!$K:$K,Fact_Pipeline!$B:$B,$A824,Fact_Pipeline!$J:$J,"Won",Fact_Pipeline!$I:$I,"&gt;="&amp;B824,Fact_Pipeline!$I:$I,"&lt;"&amp;EDATE(B824,1))</f>
        <v>17900</v>
      </c>
      <c r="F824" s="63" t="b">
        <f>AND(D824&gt;0,IFERROR(E824/D824&gt;=G6,FALSE()))</f>
        <v>1</v>
      </c>
      <c r="G824" s="62">
        <f t="shared" si="79"/>
        <v>456</v>
      </c>
      <c r="H824" s="62">
        <f>IF(F824,MAX(0,MIN(E824,I6*D824)-D824)*IFERROR(INDEX($C$158:$C$161,MATCH(C824,$A$158:$A$161,0)),0),0)</f>
        <v>135</v>
      </c>
      <c r="I824" s="62">
        <f>IF(F824,MAX(0,E824-I6*D824)*IFERROR(INDEX($D$158:$D$161,MATCH(C824,$A$158:$A$161,0)),0),0)</f>
        <v>0</v>
      </c>
      <c r="J824" s="62">
        <f t="shared" si="80"/>
        <v>591</v>
      </c>
    </row>
    <row r="825" spans="1:10" ht="15" customHeight="1" outlineLevel="1" x14ac:dyDescent="0.2">
      <c r="A825" s="63" t="str">
        <f t="shared" si="81"/>
        <v>R041</v>
      </c>
      <c r="B825" s="64">
        <f>$A$1428</f>
        <v>45505</v>
      </c>
      <c r="C825" s="63" t="str">
        <f t="shared" si="82"/>
        <v>SDR / Inside Sales Rep</v>
      </c>
      <c r="D825" s="62">
        <f>SUMIFS(Fact_Quota!$D:$D,Fact_Quota!$A:$A,$A825,Fact_Quota!$B:$B,"&gt;="&amp;B825,Fact_Quota!$B:$B,"&lt;"&amp;EDATE(B825,1))</f>
        <v>14800</v>
      </c>
      <c r="E825" s="62">
        <f>SUMIFS(Fact_Pipeline!$K:$K,Fact_Pipeline!$B:$B,$A825,Fact_Pipeline!$J:$J,"Won",Fact_Pipeline!$I:$I,"&gt;="&amp;B825,Fact_Pipeline!$I:$I,"&lt;"&amp;EDATE(B825,1))</f>
        <v>12700</v>
      </c>
      <c r="F825" s="63" t="b">
        <f>AND(D825&gt;0,IFERROR(E825/D825&gt;=G6,FALSE()))</f>
        <v>1</v>
      </c>
      <c r="G825" s="62">
        <f t="shared" si="79"/>
        <v>381</v>
      </c>
      <c r="H825" s="62">
        <f>IF(F825,MAX(0,MIN(E825,I6*D825)-D825)*IFERROR(INDEX($C$158:$C$161,MATCH(C825,$A$158:$A$161,0)),0),0)</f>
        <v>0</v>
      </c>
      <c r="I825" s="62">
        <f>IF(F825,MAX(0,E825-I6*D825)*IFERROR(INDEX($D$158:$D$161,MATCH(C825,$A$158:$A$161,0)),0),0)</f>
        <v>0</v>
      </c>
      <c r="J825" s="62">
        <f t="shared" si="80"/>
        <v>381</v>
      </c>
    </row>
    <row r="826" spans="1:10" ht="15" customHeight="1" outlineLevel="1" x14ac:dyDescent="0.2">
      <c r="A826" s="63" t="str">
        <f t="shared" si="81"/>
        <v>R041</v>
      </c>
      <c r="B826" s="64">
        <f>$A$1429</f>
        <v>45536</v>
      </c>
      <c r="C826" s="63" t="str">
        <f t="shared" si="82"/>
        <v>SDR / Inside Sales Rep</v>
      </c>
      <c r="D826" s="62">
        <f>SUMIFS(Fact_Quota!$D:$D,Fact_Quota!$A:$A,$A826,Fact_Quota!$B:$B,"&gt;="&amp;B826,Fact_Quota!$B:$B,"&lt;"&amp;EDATE(B826,1))</f>
        <v>15100</v>
      </c>
      <c r="E826" s="62">
        <f>SUMIFS(Fact_Pipeline!$K:$K,Fact_Pipeline!$B:$B,$A826,Fact_Pipeline!$J:$J,"Won",Fact_Pipeline!$I:$I,"&gt;="&amp;B826,Fact_Pipeline!$I:$I,"&lt;"&amp;EDATE(B826,1))</f>
        <v>26700</v>
      </c>
      <c r="F826" s="63" t="b">
        <f>AND(D826&gt;0,IFERROR(E826/D826&gt;=G6,FALSE()))</f>
        <v>1</v>
      </c>
      <c r="G826" s="62">
        <f t="shared" si="79"/>
        <v>453</v>
      </c>
      <c r="H826" s="62">
        <f>IF(F826,MAX(0,MIN(E826,I6*D826)-D826)*IFERROR(INDEX($C$158:$C$161,MATCH(C826,$A$158:$A$161,0)),0),0)</f>
        <v>377.5</v>
      </c>
      <c r="I826" s="62">
        <f>IF(F826,MAX(0,E826-I6*D826)*IFERROR(INDEX($D$158:$D$161,MATCH(C826,$A$158:$A$161,0)),0),0)</f>
        <v>283.5</v>
      </c>
      <c r="J826" s="62">
        <f t="shared" si="80"/>
        <v>1114</v>
      </c>
    </row>
    <row r="827" spans="1:10" ht="15" customHeight="1" outlineLevel="1" x14ac:dyDescent="0.2">
      <c r="A827" s="63" t="str">
        <f t="shared" si="81"/>
        <v>R041</v>
      </c>
      <c r="B827" s="64">
        <f>$A$1430</f>
        <v>45566</v>
      </c>
      <c r="C827" s="63" t="str">
        <f t="shared" si="82"/>
        <v>SDR / Inside Sales Rep</v>
      </c>
      <c r="D827" s="62">
        <f>SUMIFS(Fact_Quota!$D:$D,Fact_Quota!$A:$A,$A827,Fact_Quota!$B:$B,"&gt;="&amp;B827,Fact_Quota!$B:$B,"&lt;"&amp;EDATE(B827,1))</f>
        <v>14900</v>
      </c>
      <c r="E827" s="62">
        <f>SUMIFS(Fact_Pipeline!$K:$K,Fact_Pipeline!$B:$B,$A827,Fact_Pipeline!$J:$J,"Won",Fact_Pipeline!$I:$I,"&gt;="&amp;B827,Fact_Pipeline!$I:$I,"&lt;"&amp;EDATE(B827,1))</f>
        <v>21100</v>
      </c>
      <c r="F827" s="63" t="b">
        <f>AND(D827&gt;0,IFERROR(E827/D827&gt;=G6,FALSE()))</f>
        <v>1</v>
      </c>
      <c r="G827" s="62">
        <f t="shared" si="79"/>
        <v>447</v>
      </c>
      <c r="H827" s="62">
        <f>IF(F827,MAX(0,MIN(E827,I6*D827)-D827)*IFERROR(INDEX($C$158:$C$161,MATCH(C827,$A$158:$A$161,0)),0),0)</f>
        <v>310</v>
      </c>
      <c r="I827" s="62">
        <f>IF(F827,MAX(0,E827-I6*D827)*IFERROR(INDEX($D$158:$D$161,MATCH(C827,$A$158:$A$161,0)),0),0)</f>
        <v>0</v>
      </c>
      <c r="J827" s="62">
        <f t="shared" si="80"/>
        <v>757</v>
      </c>
    </row>
    <row r="828" spans="1:10" ht="15" customHeight="1" outlineLevel="1" x14ac:dyDescent="0.2">
      <c r="A828" s="63" t="str">
        <f t="shared" si="81"/>
        <v>R041</v>
      </c>
      <c r="B828" s="64">
        <f>$A$1431</f>
        <v>45597</v>
      </c>
      <c r="C828" s="63" t="str">
        <f t="shared" si="82"/>
        <v>SDR / Inside Sales Rep</v>
      </c>
      <c r="D828" s="62">
        <f>SUMIFS(Fact_Quota!$D:$D,Fact_Quota!$A:$A,$A828,Fact_Quota!$B:$B,"&gt;="&amp;B828,Fact_Quota!$B:$B,"&lt;"&amp;EDATE(B828,1))</f>
        <v>15000</v>
      </c>
      <c r="E828" s="62">
        <f>SUMIFS(Fact_Pipeline!$K:$K,Fact_Pipeline!$B:$B,$A828,Fact_Pipeline!$J:$J,"Won",Fact_Pipeline!$I:$I,"&gt;="&amp;B828,Fact_Pipeline!$I:$I,"&lt;"&amp;EDATE(B828,1))</f>
        <v>13800</v>
      </c>
      <c r="F828" s="63" t="b">
        <f>AND(D828&gt;0,IFERROR(E828/D828&gt;=G6,FALSE()))</f>
        <v>1</v>
      </c>
      <c r="G828" s="62">
        <f t="shared" si="79"/>
        <v>414</v>
      </c>
      <c r="H828" s="62">
        <f>IF(F828,MAX(0,MIN(E828,I6*D828)-D828)*IFERROR(INDEX($C$158:$C$161,MATCH(C828,$A$158:$A$161,0)),0),0)</f>
        <v>0</v>
      </c>
      <c r="I828" s="62">
        <f>IF(F828,MAX(0,E828-I6*D828)*IFERROR(INDEX($D$158:$D$161,MATCH(C828,$A$158:$A$161,0)),0),0)</f>
        <v>0</v>
      </c>
      <c r="J828" s="62">
        <f t="shared" si="80"/>
        <v>414</v>
      </c>
    </row>
    <row r="829" spans="1:10" ht="15" customHeight="1" outlineLevel="1" x14ac:dyDescent="0.2">
      <c r="A829" s="63" t="str">
        <f t="shared" si="81"/>
        <v>R041</v>
      </c>
      <c r="B829" s="64">
        <f>$A$1432</f>
        <v>45627</v>
      </c>
      <c r="C829" s="63" t="str">
        <f t="shared" si="82"/>
        <v>SDR / Inside Sales Rep</v>
      </c>
      <c r="D829" s="62">
        <f>SUMIFS(Fact_Quota!$D:$D,Fact_Quota!$A:$A,$A829,Fact_Quota!$B:$B,"&gt;="&amp;B829,Fact_Quota!$B:$B,"&lt;"&amp;EDATE(B829,1))</f>
        <v>16000</v>
      </c>
      <c r="E829" s="62">
        <f>SUMIFS(Fact_Pipeline!$K:$K,Fact_Pipeline!$B:$B,$A829,Fact_Pipeline!$J:$J,"Won",Fact_Pipeline!$I:$I,"&gt;="&amp;B829,Fact_Pipeline!$I:$I,"&lt;"&amp;EDATE(B829,1))</f>
        <v>8200</v>
      </c>
      <c r="F829" s="63" t="b">
        <f>AND(D829&gt;0,IFERROR(E829/D829&gt;=G6,FALSE()))</f>
        <v>1</v>
      </c>
      <c r="G829" s="62">
        <f t="shared" si="79"/>
        <v>246</v>
      </c>
      <c r="H829" s="62">
        <f>IF(F829,MAX(0,MIN(E829,I6*D829)-D829)*IFERROR(INDEX($C$158:$C$161,MATCH(C829,$A$158:$A$161,0)),0),0)</f>
        <v>0</v>
      </c>
      <c r="I829" s="62">
        <f>IF(F829,MAX(0,E829-I6*D829)*IFERROR(INDEX($D$158:$D$161,MATCH(C829,$A$158:$A$161,0)),0),0)</f>
        <v>0</v>
      </c>
      <c r="J829" s="62">
        <f t="shared" si="80"/>
        <v>246</v>
      </c>
    </row>
    <row r="830" spans="1:10" ht="15" customHeight="1" outlineLevel="1" x14ac:dyDescent="0.2">
      <c r="A830" s="63" t="str">
        <f t="shared" si="81"/>
        <v>R041</v>
      </c>
      <c r="B830" s="64">
        <f>$A$1433</f>
        <v>45658</v>
      </c>
      <c r="C830" s="63" t="str">
        <f t="shared" si="82"/>
        <v>SDR / Inside Sales Rep</v>
      </c>
      <c r="D830" s="62">
        <f>SUMIFS(Fact_Quota!$D:$D,Fact_Quota!$A:$A,$A830,Fact_Quota!$B:$B,"&gt;="&amp;B830,Fact_Quota!$B:$B,"&lt;"&amp;EDATE(B830,1))</f>
        <v>15100</v>
      </c>
      <c r="E830" s="62">
        <f>SUMIFS(Fact_Pipeline!$K:$K,Fact_Pipeline!$B:$B,$A830,Fact_Pipeline!$J:$J,"Won",Fact_Pipeline!$I:$I,"&gt;="&amp;B830,Fact_Pipeline!$I:$I,"&lt;"&amp;EDATE(B830,1))</f>
        <v>16000</v>
      </c>
      <c r="F830" s="63" t="b">
        <f>AND(D830&gt;0,IFERROR(E830/D830&gt;=G6,FALSE()))</f>
        <v>1</v>
      </c>
      <c r="G830" s="62">
        <f t="shared" si="79"/>
        <v>453</v>
      </c>
      <c r="H830" s="62">
        <f>IF(F830,MAX(0,MIN(E830,I6*D830)-D830)*IFERROR(INDEX($C$158:$C$161,MATCH(C830,$A$158:$A$161,0)),0),0)</f>
        <v>45</v>
      </c>
      <c r="I830" s="62">
        <f>IF(F830,MAX(0,E830-I6*D830)*IFERROR(INDEX($D$158:$D$161,MATCH(C830,$A$158:$A$161,0)),0),0)</f>
        <v>0</v>
      </c>
      <c r="J830" s="62">
        <f t="shared" si="80"/>
        <v>498</v>
      </c>
    </row>
    <row r="831" spans="1:10" ht="15" customHeight="1" outlineLevel="1" x14ac:dyDescent="0.2">
      <c r="A831" s="63" t="str">
        <f t="shared" si="81"/>
        <v>R041</v>
      </c>
      <c r="B831" s="64">
        <f>$A$1434</f>
        <v>45689</v>
      </c>
      <c r="C831" s="63" t="str">
        <f t="shared" si="82"/>
        <v>SDR / Inside Sales Rep</v>
      </c>
      <c r="D831" s="62">
        <f>SUMIFS(Fact_Quota!$D:$D,Fact_Quota!$A:$A,$A831,Fact_Quota!$B:$B,"&gt;="&amp;B831,Fact_Quota!$B:$B,"&lt;"&amp;EDATE(B831,1))</f>
        <v>16700</v>
      </c>
      <c r="E831" s="62">
        <f>SUMIFS(Fact_Pipeline!$K:$K,Fact_Pipeline!$B:$B,$A831,Fact_Pipeline!$J:$J,"Won",Fact_Pipeline!$I:$I,"&gt;="&amp;B831,Fact_Pipeline!$I:$I,"&lt;"&amp;EDATE(B831,1))</f>
        <v>27900</v>
      </c>
      <c r="F831" s="63" t="b">
        <f>AND(D831&gt;0,IFERROR(E831/D831&gt;=G6,FALSE()))</f>
        <v>1</v>
      </c>
      <c r="G831" s="62">
        <f t="shared" si="79"/>
        <v>501</v>
      </c>
      <c r="H831" s="62">
        <f>IF(F831,MAX(0,MIN(E831,I6*D831)-D831)*IFERROR(INDEX($C$158:$C$161,MATCH(C831,$A$158:$A$161,0)),0),0)</f>
        <v>417.5</v>
      </c>
      <c r="I831" s="62">
        <f>IF(F831,MAX(0,E831-I6*D831)*IFERROR(INDEX($D$158:$D$161,MATCH(C831,$A$158:$A$161,0)),0),0)</f>
        <v>199.50000000000003</v>
      </c>
      <c r="J831" s="62">
        <f t="shared" si="80"/>
        <v>1118</v>
      </c>
    </row>
    <row r="832" spans="1:10" ht="15" customHeight="1" outlineLevel="1" x14ac:dyDescent="0.2">
      <c r="A832" s="63" t="str">
        <f t="shared" si="81"/>
        <v>R041</v>
      </c>
      <c r="B832" s="64">
        <f>$A$1435</f>
        <v>45717</v>
      </c>
      <c r="C832" s="63" t="str">
        <f t="shared" si="82"/>
        <v>SDR / Inside Sales Rep</v>
      </c>
      <c r="D832" s="62">
        <f>SUMIFS(Fact_Quota!$D:$D,Fact_Quota!$A:$A,$A832,Fact_Quota!$B:$B,"&gt;="&amp;B832,Fact_Quota!$B:$B,"&lt;"&amp;EDATE(B832,1))</f>
        <v>15700</v>
      </c>
      <c r="E832" s="62">
        <f>SUMIFS(Fact_Pipeline!$K:$K,Fact_Pipeline!$B:$B,$A832,Fact_Pipeline!$J:$J,"Won",Fact_Pipeline!$I:$I,"&gt;="&amp;B832,Fact_Pipeline!$I:$I,"&lt;"&amp;EDATE(B832,1))</f>
        <v>24800</v>
      </c>
      <c r="F832" s="63" t="b">
        <f>AND(D832&gt;0,IFERROR(E832/D832&gt;=G6,FALSE()))</f>
        <v>1</v>
      </c>
      <c r="G832" s="62">
        <f t="shared" si="79"/>
        <v>471</v>
      </c>
      <c r="H832" s="62">
        <f>IF(F832,MAX(0,MIN(E832,I6*D832)-D832)*IFERROR(INDEX($C$158:$C$161,MATCH(C832,$A$158:$A$161,0)),0),0)</f>
        <v>392.5</v>
      </c>
      <c r="I832" s="62">
        <f>IF(F832,MAX(0,E832-I6*D832)*IFERROR(INDEX($D$158:$D$161,MATCH(C832,$A$158:$A$161,0)),0),0)</f>
        <v>87.500000000000014</v>
      </c>
      <c r="J832" s="62">
        <f t="shared" si="80"/>
        <v>951</v>
      </c>
    </row>
    <row r="833" spans="1:10" ht="15" customHeight="1" outlineLevel="1" x14ac:dyDescent="0.2">
      <c r="A833" s="63" t="str">
        <f t="shared" si="81"/>
        <v>R041</v>
      </c>
      <c r="B833" s="64">
        <f>$A$1436</f>
        <v>45748</v>
      </c>
      <c r="C833" s="63" t="str">
        <f t="shared" si="82"/>
        <v>SDR / Inside Sales Rep</v>
      </c>
      <c r="D833" s="62">
        <f>SUMIFS(Fact_Quota!$D:$D,Fact_Quota!$A:$A,$A833,Fact_Quota!$B:$B,"&gt;="&amp;B833,Fact_Quota!$B:$B,"&lt;"&amp;EDATE(B833,1))</f>
        <v>15600</v>
      </c>
      <c r="E833" s="62">
        <f>SUMIFS(Fact_Pipeline!$K:$K,Fact_Pipeline!$B:$B,$A833,Fact_Pipeline!$J:$J,"Won",Fact_Pipeline!$I:$I,"&gt;="&amp;B833,Fact_Pipeline!$I:$I,"&lt;"&amp;EDATE(B833,1))</f>
        <v>8200</v>
      </c>
      <c r="F833" s="63" t="b">
        <f>AND(D833&gt;0,IFERROR(E833/D833&gt;=G6,FALSE()))</f>
        <v>1</v>
      </c>
      <c r="G833" s="62">
        <f t="shared" si="79"/>
        <v>246</v>
      </c>
      <c r="H833" s="62">
        <f>IF(F833,MAX(0,MIN(E833,I6*D833)-D833)*IFERROR(INDEX($C$158:$C$161,MATCH(C833,$A$158:$A$161,0)),0),0)</f>
        <v>0</v>
      </c>
      <c r="I833" s="62">
        <f>IF(F833,MAX(0,E833-I6*D833)*IFERROR(INDEX($D$158:$D$161,MATCH(C833,$A$158:$A$161,0)),0),0)</f>
        <v>0</v>
      </c>
      <c r="J833" s="62">
        <f t="shared" si="80"/>
        <v>246</v>
      </c>
    </row>
    <row r="834" spans="1:10" ht="15" customHeight="1" outlineLevel="1" x14ac:dyDescent="0.2">
      <c r="A834" s="63" t="str">
        <f t="shared" si="81"/>
        <v>R041</v>
      </c>
      <c r="B834" s="64">
        <f>$A$1437</f>
        <v>45778</v>
      </c>
      <c r="C834" s="63" t="str">
        <f t="shared" si="82"/>
        <v>SDR / Inside Sales Rep</v>
      </c>
      <c r="D834" s="62">
        <f>SUMIFS(Fact_Quota!$D:$D,Fact_Quota!$A:$A,$A834,Fact_Quota!$B:$B,"&gt;="&amp;B834,Fact_Quota!$B:$B,"&lt;"&amp;EDATE(B834,1))</f>
        <v>15100</v>
      </c>
      <c r="E834" s="62">
        <f>SUMIFS(Fact_Pipeline!$K:$K,Fact_Pipeline!$B:$B,$A834,Fact_Pipeline!$J:$J,"Won",Fact_Pipeline!$I:$I,"&gt;="&amp;B834,Fact_Pipeline!$I:$I,"&lt;"&amp;EDATE(B834,1))</f>
        <v>23200</v>
      </c>
      <c r="F834" s="63" t="b">
        <f>AND(D834&gt;0,IFERROR(E834/D834&gt;=G6,FALSE()))</f>
        <v>1</v>
      </c>
      <c r="G834" s="62">
        <f t="shared" si="79"/>
        <v>453</v>
      </c>
      <c r="H834" s="62">
        <f>IF(F834,MAX(0,MIN(E834,I6*D834)-D834)*IFERROR(INDEX($C$158:$C$161,MATCH(C834,$A$158:$A$161,0)),0),0)</f>
        <v>377.5</v>
      </c>
      <c r="I834" s="62">
        <f>IF(F834,MAX(0,E834-I6*D834)*IFERROR(INDEX($D$158:$D$161,MATCH(C834,$A$158:$A$161,0)),0),0)</f>
        <v>38.500000000000007</v>
      </c>
      <c r="J834" s="62">
        <f t="shared" si="80"/>
        <v>869</v>
      </c>
    </row>
    <row r="835" spans="1:10" ht="15" customHeight="1" outlineLevel="1" x14ac:dyDescent="0.2">
      <c r="A835" s="63" t="str">
        <f t="shared" si="81"/>
        <v>R041</v>
      </c>
      <c r="B835" s="64">
        <f>$A$1438</f>
        <v>45809</v>
      </c>
      <c r="C835" s="63" t="str">
        <f t="shared" si="82"/>
        <v>SDR / Inside Sales Rep</v>
      </c>
      <c r="D835" s="62">
        <f>SUMIFS(Fact_Quota!$D:$D,Fact_Quota!$A:$A,$A835,Fact_Quota!$B:$B,"&gt;="&amp;B835,Fact_Quota!$B:$B,"&lt;"&amp;EDATE(B835,1))</f>
        <v>15800</v>
      </c>
      <c r="E835" s="62">
        <f>SUMIFS(Fact_Pipeline!$K:$K,Fact_Pipeline!$B:$B,$A835,Fact_Pipeline!$J:$J,"Won",Fact_Pipeline!$I:$I,"&gt;="&amp;B835,Fact_Pipeline!$I:$I,"&lt;"&amp;EDATE(B835,1))</f>
        <v>22100</v>
      </c>
      <c r="F835" s="63" t="b">
        <f>AND(D835&gt;0,IFERROR(E835/D835&gt;=G6,FALSE()))</f>
        <v>1</v>
      </c>
      <c r="G835" s="62">
        <f t="shared" si="79"/>
        <v>474</v>
      </c>
      <c r="H835" s="62">
        <f>IF(F835,MAX(0,MIN(E835,I6*D835)-D835)*IFERROR(INDEX($C$158:$C$161,MATCH(C835,$A$158:$A$161,0)),0),0)</f>
        <v>315</v>
      </c>
      <c r="I835" s="62">
        <f>IF(F835,MAX(0,E835-I6*D835)*IFERROR(INDEX($D$158:$D$161,MATCH(C835,$A$158:$A$161,0)),0),0)</f>
        <v>0</v>
      </c>
      <c r="J835" s="62">
        <f t="shared" si="80"/>
        <v>789</v>
      </c>
    </row>
    <row r="836" spans="1:10" ht="15" customHeight="1" outlineLevel="1" x14ac:dyDescent="0.2">
      <c r="A836" s="63" t="str">
        <f t="shared" si="81"/>
        <v>R041</v>
      </c>
      <c r="B836" s="64">
        <f>$A$1439</f>
        <v>45839</v>
      </c>
      <c r="C836" s="63" t="str">
        <f t="shared" si="82"/>
        <v>SDR / Inside Sales Rep</v>
      </c>
      <c r="D836" s="62">
        <f>SUMIFS(Fact_Quota!$D:$D,Fact_Quota!$A:$A,$A836,Fact_Quota!$B:$B,"&gt;="&amp;B836,Fact_Quota!$B:$B,"&lt;"&amp;EDATE(B836,1))</f>
        <v>15200</v>
      </c>
      <c r="E836" s="62">
        <f>SUMIFS(Fact_Pipeline!$K:$K,Fact_Pipeline!$B:$B,$A836,Fact_Pipeline!$J:$J,"Won",Fact_Pipeline!$I:$I,"&gt;="&amp;B836,Fact_Pipeline!$I:$I,"&lt;"&amp;EDATE(B836,1))</f>
        <v>25800</v>
      </c>
      <c r="F836" s="63" t="b">
        <f>AND(D836&gt;0,IFERROR(E836/D836&gt;=G6,FALSE()))</f>
        <v>1</v>
      </c>
      <c r="G836" s="62">
        <f t="shared" si="79"/>
        <v>456</v>
      </c>
      <c r="H836" s="62">
        <f>IF(F836,MAX(0,MIN(E836,I6*D836)-D836)*IFERROR(INDEX($C$158:$C$161,MATCH(C836,$A$158:$A$161,0)),0),0)</f>
        <v>380</v>
      </c>
      <c r="I836" s="62">
        <f>IF(F836,MAX(0,E836-I6*D836)*IFERROR(INDEX($D$158:$D$161,MATCH(C836,$A$158:$A$161,0)),0),0)</f>
        <v>210.00000000000003</v>
      </c>
      <c r="J836" s="62">
        <f t="shared" si="80"/>
        <v>1046</v>
      </c>
    </row>
    <row r="837" spans="1:10" ht="15" customHeight="1" outlineLevel="1" x14ac:dyDescent="0.2">
      <c r="A837" s="63" t="str">
        <f t="shared" si="81"/>
        <v>R041</v>
      </c>
      <c r="B837" s="64">
        <f>$A$1440</f>
        <v>45870</v>
      </c>
      <c r="C837" s="63" t="str">
        <f t="shared" si="82"/>
        <v>SDR / Inside Sales Rep</v>
      </c>
      <c r="D837" s="62">
        <f>SUMIFS(Fact_Quota!$D:$D,Fact_Quota!$A:$A,$A837,Fact_Quota!$B:$B,"&gt;="&amp;B837,Fact_Quota!$B:$B,"&lt;"&amp;EDATE(B837,1))</f>
        <v>15600</v>
      </c>
      <c r="E837" s="62">
        <f>SUMIFS(Fact_Pipeline!$K:$K,Fact_Pipeline!$B:$B,$A837,Fact_Pipeline!$J:$J,"Won",Fact_Pipeline!$I:$I,"&gt;="&amp;B837,Fact_Pipeline!$I:$I,"&lt;"&amp;EDATE(B837,1))</f>
        <v>18500</v>
      </c>
      <c r="F837" s="63" t="b">
        <f>AND(D837&gt;0,IFERROR(E837/D837&gt;=G6,FALSE()))</f>
        <v>1</v>
      </c>
      <c r="G837" s="62">
        <f t="shared" si="79"/>
        <v>468</v>
      </c>
      <c r="H837" s="62">
        <f>IF(F837,MAX(0,MIN(E837,I6*D837)-D837)*IFERROR(INDEX($C$158:$C$161,MATCH(C837,$A$158:$A$161,0)),0),0)</f>
        <v>145</v>
      </c>
      <c r="I837" s="62">
        <f>IF(F837,MAX(0,E837-I6*D837)*IFERROR(INDEX($D$158:$D$161,MATCH(C837,$A$158:$A$161,0)),0),0)</f>
        <v>0</v>
      </c>
      <c r="J837" s="62">
        <f t="shared" si="80"/>
        <v>613</v>
      </c>
    </row>
    <row r="838" spans="1:10" ht="15" customHeight="1" outlineLevel="1" x14ac:dyDescent="0.2">
      <c r="A838" s="63" t="str">
        <f t="shared" si="81"/>
        <v>R041</v>
      </c>
      <c r="B838" s="64">
        <f>$A$1441</f>
        <v>45901</v>
      </c>
      <c r="C838" s="63" t="str">
        <f t="shared" si="82"/>
        <v>SDR / Inside Sales Rep</v>
      </c>
      <c r="D838" s="62">
        <f>SUMIFS(Fact_Quota!$D:$D,Fact_Quota!$A:$A,$A838,Fact_Quota!$B:$B,"&gt;="&amp;B838,Fact_Quota!$B:$B,"&lt;"&amp;EDATE(B838,1))</f>
        <v>16700</v>
      </c>
      <c r="E838" s="62">
        <f>SUMIFS(Fact_Pipeline!$K:$K,Fact_Pipeline!$B:$B,$A838,Fact_Pipeline!$J:$J,"Won",Fact_Pipeline!$I:$I,"&gt;="&amp;B838,Fact_Pipeline!$I:$I,"&lt;"&amp;EDATE(B838,1))</f>
        <v>15900</v>
      </c>
      <c r="F838" s="63" t="b">
        <f>AND(D838&gt;0,IFERROR(E838/D838&gt;=G6,FALSE()))</f>
        <v>1</v>
      </c>
      <c r="G838" s="62">
        <f t="shared" si="79"/>
        <v>477</v>
      </c>
      <c r="H838" s="62">
        <f>IF(F838,MAX(0,MIN(E838,I6*D838)-D838)*IFERROR(INDEX($C$158:$C$161,MATCH(C838,$A$158:$A$161,0)),0),0)</f>
        <v>0</v>
      </c>
      <c r="I838" s="62">
        <f>IF(F838,MAX(0,E838-I6*D838)*IFERROR(INDEX($D$158:$D$161,MATCH(C838,$A$158:$A$161,0)),0),0)</f>
        <v>0</v>
      </c>
      <c r="J838" s="62">
        <f t="shared" si="80"/>
        <v>477</v>
      </c>
    </row>
    <row r="839" spans="1:10" ht="15" customHeight="1" outlineLevel="1" x14ac:dyDescent="0.2">
      <c r="A839" s="63" t="str">
        <f t="shared" si="81"/>
        <v>R041</v>
      </c>
      <c r="B839" s="64">
        <f>$A$1442</f>
        <v>45931</v>
      </c>
      <c r="C839" s="63" t="str">
        <f t="shared" si="82"/>
        <v>SDR / Inside Sales Rep</v>
      </c>
      <c r="D839" s="62">
        <f>SUMIFS(Fact_Quota!$D:$D,Fact_Quota!$A:$A,$A839,Fact_Quota!$B:$B,"&gt;="&amp;B839,Fact_Quota!$B:$B,"&lt;"&amp;EDATE(B839,1))</f>
        <v>15500</v>
      </c>
      <c r="E839" s="62">
        <f>SUMIFS(Fact_Pipeline!$K:$K,Fact_Pipeline!$B:$B,$A839,Fact_Pipeline!$J:$J,"Won",Fact_Pipeline!$I:$I,"&gt;="&amp;B839,Fact_Pipeline!$I:$I,"&lt;"&amp;EDATE(B839,1))</f>
        <v>8000</v>
      </c>
      <c r="F839" s="63" t="b">
        <f>AND(D839&gt;0,IFERROR(E839/D839&gt;=G6,FALSE()))</f>
        <v>1</v>
      </c>
      <c r="G839" s="62">
        <f t="shared" si="79"/>
        <v>240</v>
      </c>
      <c r="H839" s="62">
        <f>IF(F839,MAX(0,MIN(E839,I6*D839)-D839)*IFERROR(INDEX($C$158:$C$161,MATCH(C839,$A$158:$A$161,0)),0),0)</f>
        <v>0</v>
      </c>
      <c r="I839" s="62">
        <f>IF(F839,MAX(0,E839-I6*D839)*IFERROR(INDEX($D$158:$D$161,MATCH(C839,$A$158:$A$161,0)),0),0)</f>
        <v>0</v>
      </c>
      <c r="J839" s="62">
        <f t="shared" si="80"/>
        <v>240</v>
      </c>
    </row>
    <row r="840" spans="1:10" ht="15" customHeight="1" outlineLevel="1" x14ac:dyDescent="0.2">
      <c r="A840" s="63" t="str">
        <f t="shared" si="81"/>
        <v>R041</v>
      </c>
      <c r="B840" s="64">
        <f>$A$1443</f>
        <v>45962</v>
      </c>
      <c r="C840" s="63" t="str">
        <f t="shared" si="82"/>
        <v>SDR / Inside Sales Rep</v>
      </c>
      <c r="D840" s="62">
        <f>SUMIFS(Fact_Quota!$D:$D,Fact_Quota!$A:$A,$A840,Fact_Quota!$B:$B,"&gt;="&amp;B840,Fact_Quota!$B:$B,"&lt;"&amp;EDATE(B840,1))</f>
        <v>16000</v>
      </c>
      <c r="E840" s="62">
        <f>SUMIFS(Fact_Pipeline!$K:$K,Fact_Pipeline!$B:$B,$A840,Fact_Pipeline!$J:$J,"Won",Fact_Pipeline!$I:$I,"&gt;="&amp;B840,Fact_Pipeline!$I:$I,"&lt;"&amp;EDATE(B840,1))</f>
        <v>11900</v>
      </c>
      <c r="F840" s="63" t="b">
        <f>AND(D840&gt;0,IFERROR(E840/D840&gt;=G6,FALSE()))</f>
        <v>1</v>
      </c>
      <c r="G840" s="62">
        <f t="shared" si="79"/>
        <v>357</v>
      </c>
      <c r="H840" s="62">
        <f>IF(F840,MAX(0,MIN(E840,I6*D840)-D840)*IFERROR(INDEX($C$158:$C$161,MATCH(C840,$A$158:$A$161,0)),0),0)</f>
        <v>0</v>
      </c>
      <c r="I840" s="62">
        <f>IF(F840,MAX(0,E840-I6*D840)*IFERROR(INDEX($D$158:$D$161,MATCH(C840,$A$158:$A$161,0)),0),0)</f>
        <v>0</v>
      </c>
      <c r="J840" s="62">
        <f t="shared" si="80"/>
        <v>357</v>
      </c>
    </row>
    <row r="841" spans="1:10" ht="15" customHeight="1" outlineLevel="1" x14ac:dyDescent="0.2">
      <c r="A841" s="63" t="str">
        <f t="shared" si="81"/>
        <v>R041</v>
      </c>
      <c r="B841" s="64">
        <f>$A$1444</f>
        <v>45992</v>
      </c>
      <c r="C841" s="63" t="str">
        <f t="shared" si="82"/>
        <v>SDR / Inside Sales Rep</v>
      </c>
      <c r="D841" s="62">
        <f>SUMIFS(Fact_Quota!$D:$D,Fact_Quota!$A:$A,$A841,Fact_Quota!$B:$B,"&gt;="&amp;B841,Fact_Quota!$B:$B,"&lt;"&amp;EDATE(B841,1))</f>
        <v>15200</v>
      </c>
      <c r="E841" s="62">
        <f>SUMIFS(Fact_Pipeline!$K:$K,Fact_Pipeline!$B:$B,$A841,Fact_Pipeline!$J:$J,"Won",Fact_Pipeline!$I:$I,"&gt;="&amp;B841,Fact_Pipeline!$I:$I,"&lt;"&amp;EDATE(B841,1))</f>
        <v>19500</v>
      </c>
      <c r="F841" s="63" t="b">
        <f>AND(D841&gt;0,IFERROR(E841/D841&gt;=G6,FALSE()))</f>
        <v>1</v>
      </c>
      <c r="G841" s="62">
        <f t="shared" si="79"/>
        <v>456</v>
      </c>
      <c r="H841" s="62">
        <f>IF(F841,MAX(0,MIN(E841,I6*D841)-D841)*IFERROR(INDEX($C$158:$C$161,MATCH(C841,$A$158:$A$161,0)),0),0)</f>
        <v>215</v>
      </c>
      <c r="I841" s="62">
        <f>IF(F841,MAX(0,E841-I6*D841)*IFERROR(INDEX($D$158:$D$161,MATCH(C841,$A$158:$A$161,0)),0),0)</f>
        <v>0</v>
      </c>
      <c r="J841" s="62">
        <f t="shared" si="80"/>
        <v>671</v>
      </c>
    </row>
    <row r="842" spans="1:10" ht="15" customHeight="1" outlineLevel="1" x14ac:dyDescent="0.2">
      <c r="A842" s="66" t="str">
        <f t="shared" ref="A842:A865" si="83">$A$191</f>
        <v>R043</v>
      </c>
      <c r="B842" s="67">
        <f>$A$1421</f>
        <v>45292</v>
      </c>
      <c r="C842" s="66" t="str">
        <f t="shared" ref="C842:C865" si="84">$C$191</f>
        <v>SDR / Inside Sales Rep</v>
      </c>
      <c r="D842" s="65">
        <f>SUMIFS(Fact_Quota!$D:$D,Fact_Quota!$A:$A,$A842,Fact_Quota!$B:$B,"&gt;="&amp;B842,Fact_Quota!$B:$B,"&lt;"&amp;EDATE(B842,1))</f>
        <v>15700</v>
      </c>
      <c r="E842" s="65">
        <f>SUMIFS(Fact_Pipeline!$K:$K,Fact_Pipeline!$B:$B,$A842,Fact_Pipeline!$J:$J,"Won",Fact_Pipeline!$I:$I,"&gt;="&amp;B842,Fact_Pipeline!$I:$I,"&lt;"&amp;EDATE(B842,1))</f>
        <v>8700</v>
      </c>
      <c r="F842" s="66" t="b">
        <f>AND(D842&gt;0,IFERROR(E842/D842&gt;=G6,FALSE()))</f>
        <v>1</v>
      </c>
      <c r="G842" s="65">
        <f t="shared" si="79"/>
        <v>261</v>
      </c>
      <c r="H842" s="65">
        <f>IF(F842,MAX(0,MIN(E842,I6*D842)-D842)*IFERROR(INDEX($C$158:$C$161,MATCH(C842,$A$158:$A$161,0)),0),0)</f>
        <v>0</v>
      </c>
      <c r="I842" s="65">
        <f>IF(F842,MAX(0,E842-I6*D842)*IFERROR(INDEX($D$158:$D$161,MATCH(C842,$A$158:$A$161,0)),0),0)</f>
        <v>0</v>
      </c>
      <c r="J842" s="65">
        <f t="shared" si="80"/>
        <v>261</v>
      </c>
    </row>
    <row r="843" spans="1:10" ht="15" customHeight="1" outlineLevel="1" x14ac:dyDescent="0.2">
      <c r="A843" s="66" t="str">
        <f t="shared" si="83"/>
        <v>R043</v>
      </c>
      <c r="B843" s="67">
        <f>$A$1422</f>
        <v>45323</v>
      </c>
      <c r="C843" s="66" t="str">
        <f t="shared" si="84"/>
        <v>SDR / Inside Sales Rep</v>
      </c>
      <c r="D843" s="65">
        <f>SUMIFS(Fact_Quota!$D:$D,Fact_Quota!$A:$A,$A843,Fact_Quota!$B:$B,"&gt;="&amp;B843,Fact_Quota!$B:$B,"&lt;"&amp;EDATE(B843,1))</f>
        <v>15600</v>
      </c>
      <c r="E843" s="65">
        <f>SUMIFS(Fact_Pipeline!$K:$K,Fact_Pipeline!$B:$B,$A843,Fact_Pipeline!$J:$J,"Won",Fact_Pipeline!$I:$I,"&gt;="&amp;B843,Fact_Pipeline!$I:$I,"&lt;"&amp;EDATE(B843,1))</f>
        <v>5800</v>
      </c>
      <c r="F843" s="66" t="b">
        <f>AND(D843&gt;0,IFERROR(E843/D843&gt;=G6,FALSE()))</f>
        <v>0</v>
      </c>
      <c r="G843" s="65">
        <f t="shared" si="79"/>
        <v>0</v>
      </c>
      <c r="H843" s="65">
        <f>IF(F843,MAX(0,MIN(E843,I6*D843)-D843)*IFERROR(INDEX($C$158:$C$161,MATCH(C843,$A$158:$A$161,0)),0),0)</f>
        <v>0</v>
      </c>
      <c r="I843" s="65">
        <f>IF(F843,MAX(0,E843-I6*D843)*IFERROR(INDEX($D$158:$D$161,MATCH(C843,$A$158:$A$161,0)),0),0)</f>
        <v>0</v>
      </c>
      <c r="J843" s="65">
        <f t="shared" si="80"/>
        <v>0</v>
      </c>
    </row>
    <row r="844" spans="1:10" ht="15" customHeight="1" outlineLevel="1" x14ac:dyDescent="0.2">
      <c r="A844" s="66" t="str">
        <f t="shared" si="83"/>
        <v>R043</v>
      </c>
      <c r="B844" s="67">
        <f>$A$1423</f>
        <v>45352</v>
      </c>
      <c r="C844" s="66" t="str">
        <f t="shared" si="84"/>
        <v>SDR / Inside Sales Rep</v>
      </c>
      <c r="D844" s="65">
        <f>SUMIFS(Fact_Quota!$D:$D,Fact_Quota!$A:$A,$A844,Fact_Quota!$B:$B,"&gt;="&amp;B844,Fact_Quota!$B:$B,"&lt;"&amp;EDATE(B844,1))</f>
        <v>15600</v>
      </c>
      <c r="E844" s="65">
        <f>SUMIFS(Fact_Pipeline!$K:$K,Fact_Pipeline!$B:$B,$A844,Fact_Pipeline!$J:$J,"Won",Fact_Pipeline!$I:$I,"&gt;="&amp;B844,Fact_Pipeline!$I:$I,"&lt;"&amp;EDATE(B844,1))</f>
        <v>17600</v>
      </c>
      <c r="F844" s="66" t="b">
        <f>AND(D844&gt;0,IFERROR(E844/D844&gt;=G6,FALSE()))</f>
        <v>1</v>
      </c>
      <c r="G844" s="65">
        <f t="shared" si="79"/>
        <v>468</v>
      </c>
      <c r="H844" s="65">
        <f>IF(F844,MAX(0,MIN(E844,I6*D844)-D844)*IFERROR(INDEX($C$158:$C$161,MATCH(C844,$A$158:$A$161,0)),0),0)</f>
        <v>100</v>
      </c>
      <c r="I844" s="65">
        <f>IF(F844,MAX(0,E844-I6*D844)*IFERROR(INDEX($D$158:$D$161,MATCH(C844,$A$158:$A$161,0)),0),0)</f>
        <v>0</v>
      </c>
      <c r="J844" s="65">
        <f t="shared" si="80"/>
        <v>568</v>
      </c>
    </row>
    <row r="845" spans="1:10" ht="15" customHeight="1" outlineLevel="1" x14ac:dyDescent="0.2">
      <c r="A845" s="66" t="str">
        <f t="shared" si="83"/>
        <v>R043</v>
      </c>
      <c r="B845" s="67">
        <f>$A$1424</f>
        <v>45383</v>
      </c>
      <c r="C845" s="66" t="str">
        <f t="shared" si="84"/>
        <v>SDR / Inside Sales Rep</v>
      </c>
      <c r="D845" s="65">
        <f>SUMIFS(Fact_Quota!$D:$D,Fact_Quota!$A:$A,$A845,Fact_Quota!$B:$B,"&gt;="&amp;B845,Fact_Quota!$B:$B,"&lt;"&amp;EDATE(B845,1))</f>
        <v>14900</v>
      </c>
      <c r="E845" s="65">
        <f>SUMIFS(Fact_Pipeline!$K:$K,Fact_Pipeline!$B:$B,$A845,Fact_Pipeline!$J:$J,"Won",Fact_Pipeline!$I:$I,"&gt;="&amp;B845,Fact_Pipeline!$I:$I,"&lt;"&amp;EDATE(B845,1))</f>
        <v>6500</v>
      </c>
      <c r="F845" s="66" t="b">
        <f>AND(D845&gt;0,IFERROR(E845/D845&gt;=G6,FALSE()))</f>
        <v>0</v>
      </c>
      <c r="G845" s="65">
        <f t="shared" si="79"/>
        <v>0</v>
      </c>
      <c r="H845" s="65">
        <f>IF(F845,MAX(0,MIN(E845,I6*D845)-D845)*IFERROR(INDEX($C$158:$C$161,MATCH(C845,$A$158:$A$161,0)),0),0)</f>
        <v>0</v>
      </c>
      <c r="I845" s="65">
        <f>IF(F845,MAX(0,E845-I6*D845)*IFERROR(INDEX($D$158:$D$161,MATCH(C845,$A$158:$A$161,0)),0),0)</f>
        <v>0</v>
      </c>
      <c r="J845" s="65">
        <f t="shared" si="80"/>
        <v>0</v>
      </c>
    </row>
    <row r="846" spans="1:10" ht="15" customHeight="1" outlineLevel="1" x14ac:dyDescent="0.2">
      <c r="A846" s="66" t="str">
        <f t="shared" si="83"/>
        <v>R043</v>
      </c>
      <c r="B846" s="67">
        <f>$A$1425</f>
        <v>45413</v>
      </c>
      <c r="C846" s="66" t="str">
        <f t="shared" si="84"/>
        <v>SDR / Inside Sales Rep</v>
      </c>
      <c r="D846" s="65">
        <f>SUMIFS(Fact_Quota!$D:$D,Fact_Quota!$A:$A,$A846,Fact_Quota!$B:$B,"&gt;="&amp;B846,Fact_Quota!$B:$B,"&lt;"&amp;EDATE(B846,1))</f>
        <v>15000</v>
      </c>
      <c r="E846" s="65">
        <f>SUMIFS(Fact_Pipeline!$K:$K,Fact_Pipeline!$B:$B,$A846,Fact_Pipeline!$J:$J,"Won",Fact_Pipeline!$I:$I,"&gt;="&amp;B846,Fact_Pipeline!$I:$I,"&lt;"&amp;EDATE(B846,1))</f>
        <v>31300</v>
      </c>
      <c r="F846" s="66" t="b">
        <f>AND(D846&gt;0,IFERROR(E846/D846&gt;=G6,FALSE()))</f>
        <v>1</v>
      </c>
      <c r="G846" s="65">
        <f t="shared" si="79"/>
        <v>450</v>
      </c>
      <c r="H846" s="65">
        <f>IF(F846,MAX(0,MIN(E846,I6*D846)-D846)*IFERROR(INDEX($C$158:$C$161,MATCH(C846,$A$158:$A$161,0)),0),0)</f>
        <v>375</v>
      </c>
      <c r="I846" s="65">
        <f>IF(F846,MAX(0,E846-I6*D846)*IFERROR(INDEX($D$158:$D$161,MATCH(C846,$A$158:$A$161,0)),0),0)</f>
        <v>616.00000000000011</v>
      </c>
      <c r="J846" s="65">
        <f t="shared" si="80"/>
        <v>1441</v>
      </c>
    </row>
    <row r="847" spans="1:10" ht="15" customHeight="1" outlineLevel="1" x14ac:dyDescent="0.2">
      <c r="A847" s="66" t="str">
        <f t="shared" si="83"/>
        <v>R043</v>
      </c>
      <c r="B847" s="67">
        <f>$A$1426</f>
        <v>45444</v>
      </c>
      <c r="C847" s="66" t="str">
        <f t="shared" si="84"/>
        <v>SDR / Inside Sales Rep</v>
      </c>
      <c r="D847" s="65">
        <f>SUMIFS(Fact_Quota!$D:$D,Fact_Quota!$A:$A,$A847,Fact_Quota!$B:$B,"&gt;="&amp;B847,Fact_Quota!$B:$B,"&lt;"&amp;EDATE(B847,1))</f>
        <v>16000</v>
      </c>
      <c r="E847" s="65">
        <f>SUMIFS(Fact_Pipeline!$K:$K,Fact_Pipeline!$B:$B,$A847,Fact_Pipeline!$J:$J,"Won",Fact_Pipeline!$I:$I,"&gt;="&amp;B847,Fact_Pipeline!$I:$I,"&lt;"&amp;EDATE(B847,1))</f>
        <v>10800</v>
      </c>
      <c r="F847" s="66" t="b">
        <f>AND(D847&gt;0,IFERROR(E847/D847&gt;=G6,FALSE()))</f>
        <v>1</v>
      </c>
      <c r="G847" s="65">
        <f t="shared" si="79"/>
        <v>324</v>
      </c>
      <c r="H847" s="65">
        <f>IF(F847,MAX(0,MIN(E847,I6*D847)-D847)*IFERROR(INDEX($C$158:$C$161,MATCH(C847,$A$158:$A$161,0)),0),0)</f>
        <v>0</v>
      </c>
      <c r="I847" s="65">
        <f>IF(F847,MAX(0,E847-I6*D847)*IFERROR(INDEX($D$158:$D$161,MATCH(C847,$A$158:$A$161,0)),0),0)</f>
        <v>0</v>
      </c>
      <c r="J847" s="65">
        <f t="shared" si="80"/>
        <v>324</v>
      </c>
    </row>
    <row r="848" spans="1:10" ht="15" customHeight="1" outlineLevel="1" x14ac:dyDescent="0.2">
      <c r="A848" s="66" t="str">
        <f t="shared" si="83"/>
        <v>R043</v>
      </c>
      <c r="B848" s="67">
        <f>$A$1427</f>
        <v>45474</v>
      </c>
      <c r="C848" s="66" t="str">
        <f t="shared" si="84"/>
        <v>SDR / Inside Sales Rep</v>
      </c>
      <c r="D848" s="65">
        <f>SUMIFS(Fact_Quota!$D:$D,Fact_Quota!$A:$A,$A848,Fact_Quota!$B:$B,"&gt;="&amp;B848,Fact_Quota!$B:$B,"&lt;"&amp;EDATE(B848,1))</f>
        <v>15500</v>
      </c>
      <c r="E848" s="65">
        <f>SUMIFS(Fact_Pipeline!$K:$K,Fact_Pipeline!$B:$B,$A848,Fact_Pipeline!$J:$J,"Won",Fact_Pipeline!$I:$I,"&gt;="&amp;B848,Fact_Pipeline!$I:$I,"&lt;"&amp;EDATE(B848,1))</f>
        <v>32100</v>
      </c>
      <c r="F848" s="66" t="b">
        <f>AND(D848&gt;0,IFERROR(E848/D848&gt;=G6,FALSE()))</f>
        <v>1</v>
      </c>
      <c r="G848" s="65">
        <f t="shared" si="79"/>
        <v>465</v>
      </c>
      <c r="H848" s="65">
        <f>IF(F848,MAX(0,MIN(E848,I6*D848)-D848)*IFERROR(INDEX($C$158:$C$161,MATCH(C848,$A$158:$A$161,0)),0),0)</f>
        <v>387.5</v>
      </c>
      <c r="I848" s="65">
        <f>IF(F848,MAX(0,E848-I6*D848)*IFERROR(INDEX($D$158:$D$161,MATCH(C848,$A$158:$A$161,0)),0),0)</f>
        <v>619.50000000000011</v>
      </c>
      <c r="J848" s="65">
        <f t="shared" si="80"/>
        <v>1472</v>
      </c>
    </row>
    <row r="849" spans="1:10" ht="15" customHeight="1" outlineLevel="1" x14ac:dyDescent="0.2">
      <c r="A849" s="66" t="str">
        <f t="shared" si="83"/>
        <v>R043</v>
      </c>
      <c r="B849" s="67">
        <f>$A$1428</f>
        <v>45505</v>
      </c>
      <c r="C849" s="66" t="str">
        <f t="shared" si="84"/>
        <v>SDR / Inside Sales Rep</v>
      </c>
      <c r="D849" s="65">
        <f>SUMIFS(Fact_Quota!$D:$D,Fact_Quota!$A:$A,$A849,Fact_Quota!$B:$B,"&gt;="&amp;B849,Fact_Quota!$B:$B,"&lt;"&amp;EDATE(B849,1))</f>
        <v>15800</v>
      </c>
      <c r="E849" s="65">
        <f>SUMIFS(Fact_Pipeline!$K:$K,Fact_Pipeline!$B:$B,$A849,Fact_Pipeline!$J:$J,"Won",Fact_Pipeline!$I:$I,"&gt;="&amp;B849,Fact_Pipeline!$I:$I,"&lt;"&amp;EDATE(B849,1))</f>
        <v>4700</v>
      </c>
      <c r="F849" s="66" t="b">
        <f>AND(D849&gt;0,IFERROR(E849/D849&gt;=G6,FALSE()))</f>
        <v>0</v>
      </c>
      <c r="G849" s="65">
        <f t="shared" si="79"/>
        <v>0</v>
      </c>
      <c r="H849" s="65">
        <f>IF(F849,MAX(0,MIN(E849,I6*D849)-D849)*IFERROR(INDEX($C$158:$C$161,MATCH(C849,$A$158:$A$161,0)),0),0)</f>
        <v>0</v>
      </c>
      <c r="I849" s="65">
        <f>IF(F849,MAX(0,E849-I6*D849)*IFERROR(INDEX($D$158:$D$161,MATCH(C849,$A$158:$A$161,0)),0),0)</f>
        <v>0</v>
      </c>
      <c r="J849" s="65">
        <f t="shared" si="80"/>
        <v>0</v>
      </c>
    </row>
    <row r="850" spans="1:10" ht="15" customHeight="1" outlineLevel="1" x14ac:dyDescent="0.2">
      <c r="A850" s="66" t="str">
        <f t="shared" si="83"/>
        <v>R043</v>
      </c>
      <c r="B850" s="67">
        <f>$A$1429</f>
        <v>45536</v>
      </c>
      <c r="C850" s="66" t="str">
        <f t="shared" si="84"/>
        <v>SDR / Inside Sales Rep</v>
      </c>
      <c r="D850" s="65">
        <f>SUMIFS(Fact_Quota!$D:$D,Fact_Quota!$A:$A,$A850,Fact_Quota!$B:$B,"&gt;="&amp;B850,Fact_Quota!$B:$B,"&lt;"&amp;EDATE(B850,1))</f>
        <v>15500</v>
      </c>
      <c r="E850" s="65">
        <f>SUMIFS(Fact_Pipeline!$K:$K,Fact_Pipeline!$B:$B,$A850,Fact_Pipeline!$J:$J,"Won",Fact_Pipeline!$I:$I,"&gt;="&amp;B850,Fact_Pipeline!$I:$I,"&lt;"&amp;EDATE(B850,1))</f>
        <v>22900</v>
      </c>
      <c r="F850" s="66" t="b">
        <f>AND(D850&gt;0,IFERROR(E850/D850&gt;=G6,FALSE()))</f>
        <v>1</v>
      </c>
      <c r="G850" s="65">
        <f t="shared" si="79"/>
        <v>465</v>
      </c>
      <c r="H850" s="65">
        <f>IF(F850,MAX(0,MIN(E850,I6*D850)-D850)*IFERROR(INDEX($C$158:$C$161,MATCH(C850,$A$158:$A$161,0)),0),0)</f>
        <v>370</v>
      </c>
      <c r="I850" s="65">
        <f>IF(F850,MAX(0,E850-I6*D850)*IFERROR(INDEX($D$158:$D$161,MATCH(C850,$A$158:$A$161,0)),0),0)</f>
        <v>0</v>
      </c>
      <c r="J850" s="65">
        <f t="shared" si="80"/>
        <v>835</v>
      </c>
    </row>
    <row r="851" spans="1:10" ht="15" customHeight="1" outlineLevel="1" x14ac:dyDescent="0.2">
      <c r="A851" s="66" t="str">
        <f t="shared" si="83"/>
        <v>R043</v>
      </c>
      <c r="B851" s="67">
        <f>$A$1430</f>
        <v>45566</v>
      </c>
      <c r="C851" s="66" t="str">
        <f t="shared" si="84"/>
        <v>SDR / Inside Sales Rep</v>
      </c>
      <c r="D851" s="65">
        <f>SUMIFS(Fact_Quota!$D:$D,Fact_Quota!$A:$A,$A851,Fact_Quota!$B:$B,"&gt;="&amp;B851,Fact_Quota!$B:$B,"&lt;"&amp;EDATE(B851,1))</f>
        <v>15500</v>
      </c>
      <c r="E851" s="65">
        <f>SUMIFS(Fact_Pipeline!$K:$K,Fact_Pipeline!$B:$B,$A851,Fact_Pipeline!$J:$J,"Won",Fact_Pipeline!$I:$I,"&gt;="&amp;B851,Fact_Pipeline!$I:$I,"&lt;"&amp;EDATE(B851,1))</f>
        <v>27900</v>
      </c>
      <c r="F851" s="66" t="b">
        <f>AND(D851&gt;0,IFERROR(E851/D851&gt;=G6,FALSE()))</f>
        <v>1</v>
      </c>
      <c r="G851" s="65">
        <f t="shared" si="79"/>
        <v>465</v>
      </c>
      <c r="H851" s="65">
        <f>IF(F851,MAX(0,MIN(E851,I6*D851)-D851)*IFERROR(INDEX($C$158:$C$161,MATCH(C851,$A$158:$A$161,0)),0),0)</f>
        <v>387.5</v>
      </c>
      <c r="I851" s="65">
        <f>IF(F851,MAX(0,E851-I6*D851)*IFERROR(INDEX($D$158:$D$161,MATCH(C851,$A$158:$A$161,0)),0),0)</f>
        <v>325.50000000000006</v>
      </c>
      <c r="J851" s="65">
        <f t="shared" si="80"/>
        <v>1178</v>
      </c>
    </row>
    <row r="852" spans="1:10" ht="15" customHeight="1" outlineLevel="1" x14ac:dyDescent="0.2">
      <c r="A852" s="66" t="str">
        <f t="shared" si="83"/>
        <v>R043</v>
      </c>
      <c r="B852" s="67">
        <f>$A$1431</f>
        <v>45597</v>
      </c>
      <c r="C852" s="66" t="str">
        <f t="shared" si="84"/>
        <v>SDR / Inside Sales Rep</v>
      </c>
      <c r="D852" s="65">
        <f>SUMIFS(Fact_Quota!$D:$D,Fact_Quota!$A:$A,$A852,Fact_Quota!$B:$B,"&gt;="&amp;B852,Fact_Quota!$B:$B,"&lt;"&amp;EDATE(B852,1))</f>
        <v>15900</v>
      </c>
      <c r="E852" s="65">
        <f>SUMIFS(Fact_Pipeline!$K:$K,Fact_Pipeline!$B:$B,$A852,Fact_Pipeline!$J:$J,"Won",Fact_Pipeline!$I:$I,"&gt;="&amp;B852,Fact_Pipeline!$I:$I,"&lt;"&amp;EDATE(B852,1))</f>
        <v>27200</v>
      </c>
      <c r="F852" s="66" t="b">
        <f>AND(D852&gt;0,IFERROR(E852/D852&gt;=G6,FALSE()))</f>
        <v>1</v>
      </c>
      <c r="G852" s="65">
        <f t="shared" si="79"/>
        <v>477</v>
      </c>
      <c r="H852" s="65">
        <f>IF(F852,MAX(0,MIN(E852,I6*D852)-D852)*IFERROR(INDEX($C$158:$C$161,MATCH(C852,$A$158:$A$161,0)),0),0)</f>
        <v>397.5</v>
      </c>
      <c r="I852" s="65">
        <f>IF(F852,MAX(0,E852-I6*D852)*IFERROR(INDEX($D$158:$D$161,MATCH(C852,$A$158:$A$161,0)),0),0)</f>
        <v>234.50000000000003</v>
      </c>
      <c r="J852" s="65">
        <f t="shared" si="80"/>
        <v>1109</v>
      </c>
    </row>
    <row r="853" spans="1:10" ht="15" customHeight="1" outlineLevel="1" x14ac:dyDescent="0.2">
      <c r="A853" s="66" t="str">
        <f t="shared" si="83"/>
        <v>R043</v>
      </c>
      <c r="B853" s="67">
        <f>$A$1432</f>
        <v>45627</v>
      </c>
      <c r="C853" s="66" t="str">
        <f t="shared" si="84"/>
        <v>SDR / Inside Sales Rep</v>
      </c>
      <c r="D853" s="65">
        <f>SUMIFS(Fact_Quota!$D:$D,Fact_Quota!$A:$A,$A853,Fact_Quota!$B:$B,"&gt;="&amp;B853,Fact_Quota!$B:$B,"&lt;"&amp;EDATE(B853,1))</f>
        <v>15300</v>
      </c>
      <c r="E853" s="65">
        <f>SUMIFS(Fact_Pipeline!$K:$K,Fact_Pipeline!$B:$B,$A853,Fact_Pipeline!$J:$J,"Won",Fact_Pipeline!$I:$I,"&gt;="&amp;B853,Fact_Pipeline!$I:$I,"&lt;"&amp;EDATE(B853,1))</f>
        <v>33100</v>
      </c>
      <c r="F853" s="66" t="b">
        <f>AND(D853&gt;0,IFERROR(E853/D853&gt;=G6,FALSE()))</f>
        <v>1</v>
      </c>
      <c r="G853" s="65">
        <f t="shared" si="79"/>
        <v>459</v>
      </c>
      <c r="H853" s="65">
        <f>IF(F853,MAX(0,MIN(E853,I6*D853)-D853)*IFERROR(INDEX($C$158:$C$161,MATCH(C853,$A$158:$A$161,0)),0),0)</f>
        <v>382.5</v>
      </c>
      <c r="I853" s="65">
        <f>IF(F853,MAX(0,E853-I6*D853)*IFERROR(INDEX($D$158:$D$161,MATCH(C853,$A$158:$A$161,0)),0),0)</f>
        <v>710.50000000000011</v>
      </c>
      <c r="J853" s="65">
        <f t="shared" si="80"/>
        <v>1552</v>
      </c>
    </row>
    <row r="854" spans="1:10" ht="15" customHeight="1" outlineLevel="1" x14ac:dyDescent="0.2">
      <c r="A854" s="66" t="str">
        <f t="shared" si="83"/>
        <v>R043</v>
      </c>
      <c r="B854" s="67">
        <f>$A$1433</f>
        <v>45658</v>
      </c>
      <c r="C854" s="66" t="str">
        <f t="shared" si="84"/>
        <v>SDR / Inside Sales Rep</v>
      </c>
      <c r="D854" s="65">
        <f>SUMIFS(Fact_Quota!$D:$D,Fact_Quota!$A:$A,$A854,Fact_Quota!$B:$B,"&gt;="&amp;B854,Fact_Quota!$B:$B,"&lt;"&amp;EDATE(B854,1))</f>
        <v>15500</v>
      </c>
      <c r="E854" s="65">
        <f>SUMIFS(Fact_Pipeline!$K:$K,Fact_Pipeline!$B:$B,$A854,Fact_Pipeline!$J:$J,"Won",Fact_Pipeline!$I:$I,"&gt;="&amp;B854,Fact_Pipeline!$I:$I,"&lt;"&amp;EDATE(B854,1))</f>
        <v>18600</v>
      </c>
      <c r="F854" s="66" t="b">
        <f>AND(D854&gt;0,IFERROR(E854/D854&gt;=G6,FALSE()))</f>
        <v>1</v>
      </c>
      <c r="G854" s="65">
        <f t="shared" si="79"/>
        <v>465</v>
      </c>
      <c r="H854" s="65">
        <f>IF(F854,MAX(0,MIN(E854,I6*D854)-D854)*IFERROR(INDEX($C$158:$C$161,MATCH(C854,$A$158:$A$161,0)),0),0)</f>
        <v>155</v>
      </c>
      <c r="I854" s="65">
        <f>IF(F854,MAX(0,E854-I6*D854)*IFERROR(INDEX($D$158:$D$161,MATCH(C854,$A$158:$A$161,0)),0),0)</f>
        <v>0</v>
      </c>
      <c r="J854" s="65">
        <f t="shared" si="80"/>
        <v>620</v>
      </c>
    </row>
    <row r="855" spans="1:10" ht="15" customHeight="1" outlineLevel="1" x14ac:dyDescent="0.2">
      <c r="A855" s="66" t="str">
        <f t="shared" si="83"/>
        <v>R043</v>
      </c>
      <c r="B855" s="67">
        <f>$A$1434</f>
        <v>45689</v>
      </c>
      <c r="C855" s="66" t="str">
        <f t="shared" si="84"/>
        <v>SDR / Inside Sales Rep</v>
      </c>
      <c r="D855" s="65">
        <f>SUMIFS(Fact_Quota!$D:$D,Fact_Quota!$A:$A,$A855,Fact_Quota!$B:$B,"&gt;="&amp;B855,Fact_Quota!$B:$B,"&lt;"&amp;EDATE(B855,1))</f>
        <v>15300</v>
      </c>
      <c r="E855" s="65">
        <f>SUMIFS(Fact_Pipeline!$K:$K,Fact_Pipeline!$B:$B,$A855,Fact_Pipeline!$J:$J,"Won",Fact_Pipeline!$I:$I,"&gt;="&amp;B855,Fact_Pipeline!$I:$I,"&lt;"&amp;EDATE(B855,1))</f>
        <v>7700</v>
      </c>
      <c r="F855" s="66" t="b">
        <f>AND(D855&gt;0,IFERROR(E855/D855&gt;=G6,FALSE()))</f>
        <v>1</v>
      </c>
      <c r="G855" s="65">
        <f t="shared" si="79"/>
        <v>231</v>
      </c>
      <c r="H855" s="65">
        <f>IF(F855,MAX(0,MIN(E855,I6*D855)-D855)*IFERROR(INDEX($C$158:$C$161,MATCH(C855,$A$158:$A$161,0)),0),0)</f>
        <v>0</v>
      </c>
      <c r="I855" s="65">
        <f>IF(F855,MAX(0,E855-I6*D855)*IFERROR(INDEX($D$158:$D$161,MATCH(C855,$A$158:$A$161,0)),0),0)</f>
        <v>0</v>
      </c>
      <c r="J855" s="65">
        <f t="shared" si="80"/>
        <v>231</v>
      </c>
    </row>
    <row r="856" spans="1:10" ht="15" customHeight="1" outlineLevel="1" x14ac:dyDescent="0.2">
      <c r="A856" s="66" t="str">
        <f t="shared" si="83"/>
        <v>R043</v>
      </c>
      <c r="B856" s="67">
        <f>$A$1435</f>
        <v>45717</v>
      </c>
      <c r="C856" s="66" t="str">
        <f t="shared" si="84"/>
        <v>SDR / Inside Sales Rep</v>
      </c>
      <c r="D856" s="65">
        <f>SUMIFS(Fact_Quota!$D:$D,Fact_Quota!$A:$A,$A856,Fact_Quota!$B:$B,"&gt;="&amp;B856,Fact_Quota!$B:$B,"&lt;"&amp;EDATE(B856,1))</f>
        <v>15300</v>
      </c>
      <c r="E856" s="65">
        <f>SUMIFS(Fact_Pipeline!$K:$K,Fact_Pipeline!$B:$B,$A856,Fact_Pipeline!$J:$J,"Won",Fact_Pipeline!$I:$I,"&gt;="&amp;B856,Fact_Pipeline!$I:$I,"&lt;"&amp;EDATE(B856,1))</f>
        <v>11600</v>
      </c>
      <c r="F856" s="66" t="b">
        <f>AND(D856&gt;0,IFERROR(E856/D856&gt;=G6,FALSE()))</f>
        <v>1</v>
      </c>
      <c r="G856" s="65">
        <f t="shared" si="79"/>
        <v>348</v>
      </c>
      <c r="H856" s="65">
        <f>IF(F856,MAX(0,MIN(E856,I6*D856)-D856)*IFERROR(INDEX($C$158:$C$161,MATCH(C856,$A$158:$A$161,0)),0),0)</f>
        <v>0</v>
      </c>
      <c r="I856" s="65">
        <f>IF(F856,MAX(0,E856-I6*D856)*IFERROR(INDEX($D$158:$D$161,MATCH(C856,$A$158:$A$161,0)),0),0)</f>
        <v>0</v>
      </c>
      <c r="J856" s="65">
        <f t="shared" si="80"/>
        <v>348</v>
      </c>
    </row>
    <row r="857" spans="1:10" ht="15" customHeight="1" outlineLevel="1" x14ac:dyDescent="0.2">
      <c r="A857" s="66" t="str">
        <f t="shared" si="83"/>
        <v>R043</v>
      </c>
      <c r="B857" s="67">
        <f>$A$1436</f>
        <v>45748</v>
      </c>
      <c r="C857" s="66" t="str">
        <f t="shared" si="84"/>
        <v>SDR / Inside Sales Rep</v>
      </c>
      <c r="D857" s="65">
        <f>SUMIFS(Fact_Quota!$D:$D,Fact_Quota!$A:$A,$A857,Fact_Quota!$B:$B,"&gt;="&amp;B857,Fact_Quota!$B:$B,"&lt;"&amp;EDATE(B857,1))</f>
        <v>15400</v>
      </c>
      <c r="E857" s="65">
        <f>SUMIFS(Fact_Pipeline!$K:$K,Fact_Pipeline!$B:$B,$A857,Fact_Pipeline!$J:$J,"Won",Fact_Pipeline!$I:$I,"&gt;="&amp;B857,Fact_Pipeline!$I:$I,"&lt;"&amp;EDATE(B857,1))</f>
        <v>13300</v>
      </c>
      <c r="F857" s="66" t="b">
        <f>AND(D857&gt;0,IFERROR(E857/D857&gt;=G6,FALSE()))</f>
        <v>1</v>
      </c>
      <c r="G857" s="65">
        <f t="shared" si="79"/>
        <v>399</v>
      </c>
      <c r="H857" s="65">
        <f>IF(F857,MAX(0,MIN(E857,I6*D857)-D857)*IFERROR(INDEX($C$158:$C$161,MATCH(C857,$A$158:$A$161,0)),0),0)</f>
        <v>0</v>
      </c>
      <c r="I857" s="65">
        <f>IF(F857,MAX(0,E857-I6*D857)*IFERROR(INDEX($D$158:$D$161,MATCH(C857,$A$158:$A$161,0)),0),0)</f>
        <v>0</v>
      </c>
      <c r="J857" s="65">
        <f t="shared" si="80"/>
        <v>399</v>
      </c>
    </row>
    <row r="858" spans="1:10" ht="15" customHeight="1" outlineLevel="1" x14ac:dyDescent="0.2">
      <c r="A858" s="66" t="str">
        <f t="shared" si="83"/>
        <v>R043</v>
      </c>
      <c r="B858" s="67">
        <f>$A$1437</f>
        <v>45778</v>
      </c>
      <c r="C858" s="66" t="str">
        <f t="shared" si="84"/>
        <v>SDR / Inside Sales Rep</v>
      </c>
      <c r="D858" s="65">
        <f>SUMIFS(Fact_Quota!$D:$D,Fact_Quota!$A:$A,$A858,Fact_Quota!$B:$B,"&gt;="&amp;B858,Fact_Quota!$B:$B,"&lt;"&amp;EDATE(B858,1))</f>
        <v>15600</v>
      </c>
      <c r="E858" s="65">
        <f>SUMIFS(Fact_Pipeline!$K:$K,Fact_Pipeline!$B:$B,$A858,Fact_Pipeline!$J:$J,"Won",Fact_Pipeline!$I:$I,"&gt;="&amp;B858,Fact_Pipeline!$I:$I,"&lt;"&amp;EDATE(B858,1))</f>
        <v>23100</v>
      </c>
      <c r="F858" s="66" t="b">
        <f>AND(D858&gt;0,IFERROR(E858/D858&gt;=G6,FALSE()))</f>
        <v>1</v>
      </c>
      <c r="G858" s="65">
        <f t="shared" ref="G858:G921" si="85">IF(F858,MIN(E858,D858)*IFERROR(INDEX($B$158:$B$161,MATCH(C858,$A$158:$A$161,0)),0),0)</f>
        <v>468</v>
      </c>
      <c r="H858" s="65">
        <f>IF(F858,MAX(0,MIN(E858,I6*D858)-D858)*IFERROR(INDEX($C$158:$C$161,MATCH(C858,$A$158:$A$161,0)),0),0)</f>
        <v>375</v>
      </c>
      <c r="I858" s="65">
        <f>IF(F858,MAX(0,E858-I6*D858)*IFERROR(INDEX($D$158:$D$161,MATCH(C858,$A$158:$A$161,0)),0),0)</f>
        <v>0</v>
      </c>
      <c r="J858" s="65">
        <f t="shared" ref="J858:J921" si="86">G858+H858+I858</f>
        <v>843</v>
      </c>
    </row>
    <row r="859" spans="1:10" ht="15" customHeight="1" outlineLevel="1" x14ac:dyDescent="0.2">
      <c r="A859" s="66" t="str">
        <f t="shared" si="83"/>
        <v>R043</v>
      </c>
      <c r="B859" s="67">
        <f>$A$1438</f>
        <v>45809</v>
      </c>
      <c r="C859" s="66" t="str">
        <f t="shared" si="84"/>
        <v>SDR / Inside Sales Rep</v>
      </c>
      <c r="D859" s="65">
        <f>SUMIFS(Fact_Quota!$D:$D,Fact_Quota!$A:$A,$A859,Fact_Quota!$B:$B,"&gt;="&amp;B859,Fact_Quota!$B:$B,"&lt;"&amp;EDATE(B859,1))</f>
        <v>15300</v>
      </c>
      <c r="E859" s="65">
        <f>SUMIFS(Fact_Pipeline!$K:$K,Fact_Pipeline!$B:$B,$A859,Fact_Pipeline!$J:$J,"Won",Fact_Pipeline!$I:$I,"&gt;="&amp;B859,Fact_Pipeline!$I:$I,"&lt;"&amp;EDATE(B859,1))</f>
        <v>14400</v>
      </c>
      <c r="F859" s="66" t="b">
        <f>AND(D859&gt;0,IFERROR(E859/D859&gt;=G6,FALSE()))</f>
        <v>1</v>
      </c>
      <c r="G859" s="65">
        <f t="shared" si="85"/>
        <v>432</v>
      </c>
      <c r="H859" s="65">
        <f>IF(F859,MAX(0,MIN(E859,I6*D859)-D859)*IFERROR(INDEX($C$158:$C$161,MATCH(C859,$A$158:$A$161,0)),0),0)</f>
        <v>0</v>
      </c>
      <c r="I859" s="65">
        <f>IF(F859,MAX(0,E859-I6*D859)*IFERROR(INDEX($D$158:$D$161,MATCH(C859,$A$158:$A$161,0)),0),0)</f>
        <v>0</v>
      </c>
      <c r="J859" s="65">
        <f t="shared" si="86"/>
        <v>432</v>
      </c>
    </row>
    <row r="860" spans="1:10" ht="15" customHeight="1" outlineLevel="1" x14ac:dyDescent="0.2">
      <c r="A860" s="66" t="str">
        <f t="shared" si="83"/>
        <v>R043</v>
      </c>
      <c r="B860" s="67">
        <f>$A$1439</f>
        <v>45839</v>
      </c>
      <c r="C860" s="66" t="str">
        <f t="shared" si="84"/>
        <v>SDR / Inside Sales Rep</v>
      </c>
      <c r="D860" s="65">
        <f>SUMIFS(Fact_Quota!$D:$D,Fact_Quota!$A:$A,$A860,Fact_Quota!$B:$B,"&gt;="&amp;B860,Fact_Quota!$B:$B,"&lt;"&amp;EDATE(B860,1))</f>
        <v>16100</v>
      </c>
      <c r="E860" s="65">
        <f>SUMIFS(Fact_Pipeline!$K:$K,Fact_Pipeline!$B:$B,$A860,Fact_Pipeline!$J:$J,"Won",Fact_Pipeline!$I:$I,"&gt;="&amp;B860,Fact_Pipeline!$I:$I,"&lt;"&amp;EDATE(B860,1))</f>
        <v>10200</v>
      </c>
      <c r="F860" s="66" t="b">
        <f>AND(D860&gt;0,IFERROR(E860/D860&gt;=G6,FALSE()))</f>
        <v>1</v>
      </c>
      <c r="G860" s="65">
        <f t="shared" si="85"/>
        <v>306</v>
      </c>
      <c r="H860" s="65">
        <f>IF(F860,MAX(0,MIN(E860,I6*D860)-D860)*IFERROR(INDEX($C$158:$C$161,MATCH(C860,$A$158:$A$161,0)),0),0)</f>
        <v>0</v>
      </c>
      <c r="I860" s="65">
        <f>IF(F860,MAX(0,E860-I6*D860)*IFERROR(INDEX($D$158:$D$161,MATCH(C860,$A$158:$A$161,0)),0),0)</f>
        <v>0</v>
      </c>
      <c r="J860" s="65">
        <f t="shared" si="86"/>
        <v>306</v>
      </c>
    </row>
    <row r="861" spans="1:10" ht="15" customHeight="1" outlineLevel="1" x14ac:dyDescent="0.2">
      <c r="A861" s="66" t="str">
        <f t="shared" si="83"/>
        <v>R043</v>
      </c>
      <c r="B861" s="67">
        <f>$A$1440</f>
        <v>45870</v>
      </c>
      <c r="C861" s="66" t="str">
        <f t="shared" si="84"/>
        <v>SDR / Inside Sales Rep</v>
      </c>
      <c r="D861" s="65">
        <f>SUMIFS(Fact_Quota!$D:$D,Fact_Quota!$A:$A,$A861,Fact_Quota!$B:$B,"&gt;="&amp;B861,Fact_Quota!$B:$B,"&lt;"&amp;EDATE(B861,1))</f>
        <v>15100</v>
      </c>
      <c r="E861" s="65">
        <f>SUMIFS(Fact_Pipeline!$K:$K,Fact_Pipeline!$B:$B,$A861,Fact_Pipeline!$J:$J,"Won",Fact_Pipeline!$I:$I,"&gt;="&amp;B861,Fact_Pipeline!$I:$I,"&lt;"&amp;EDATE(B861,1))</f>
        <v>2800</v>
      </c>
      <c r="F861" s="66" t="b">
        <f>AND(D861&gt;0,IFERROR(E861/D861&gt;=G6,FALSE()))</f>
        <v>0</v>
      </c>
      <c r="G861" s="65">
        <f t="shared" si="85"/>
        <v>0</v>
      </c>
      <c r="H861" s="65">
        <f>IF(F861,MAX(0,MIN(E861,I6*D861)-D861)*IFERROR(INDEX($C$158:$C$161,MATCH(C861,$A$158:$A$161,0)),0),0)</f>
        <v>0</v>
      </c>
      <c r="I861" s="65">
        <f>IF(F861,MAX(0,E861-I6*D861)*IFERROR(INDEX($D$158:$D$161,MATCH(C861,$A$158:$A$161,0)),0),0)</f>
        <v>0</v>
      </c>
      <c r="J861" s="65">
        <f t="shared" si="86"/>
        <v>0</v>
      </c>
    </row>
    <row r="862" spans="1:10" ht="15" customHeight="1" outlineLevel="1" x14ac:dyDescent="0.2">
      <c r="A862" s="66" t="str">
        <f t="shared" si="83"/>
        <v>R043</v>
      </c>
      <c r="B862" s="67">
        <f>$A$1441</f>
        <v>45901</v>
      </c>
      <c r="C862" s="66" t="str">
        <f t="shared" si="84"/>
        <v>SDR / Inside Sales Rep</v>
      </c>
      <c r="D862" s="65">
        <f>SUMIFS(Fact_Quota!$D:$D,Fact_Quota!$A:$A,$A862,Fact_Quota!$B:$B,"&gt;="&amp;B862,Fact_Quota!$B:$B,"&lt;"&amp;EDATE(B862,1))</f>
        <v>15400</v>
      </c>
      <c r="E862" s="65">
        <f>SUMIFS(Fact_Pipeline!$K:$K,Fact_Pipeline!$B:$B,$A862,Fact_Pipeline!$J:$J,"Won",Fact_Pipeline!$I:$I,"&gt;="&amp;B862,Fact_Pipeline!$I:$I,"&lt;"&amp;EDATE(B862,1))</f>
        <v>17300</v>
      </c>
      <c r="F862" s="66" t="b">
        <f>AND(D862&gt;0,IFERROR(E862/D862&gt;=G6,FALSE()))</f>
        <v>1</v>
      </c>
      <c r="G862" s="65">
        <f t="shared" si="85"/>
        <v>462</v>
      </c>
      <c r="H862" s="65">
        <f>IF(F862,MAX(0,MIN(E862,I6*D862)-D862)*IFERROR(INDEX($C$158:$C$161,MATCH(C862,$A$158:$A$161,0)),0),0)</f>
        <v>95</v>
      </c>
      <c r="I862" s="65">
        <f>IF(F862,MAX(0,E862-I6*D862)*IFERROR(INDEX($D$158:$D$161,MATCH(C862,$A$158:$A$161,0)),0),0)</f>
        <v>0</v>
      </c>
      <c r="J862" s="65">
        <f t="shared" si="86"/>
        <v>557</v>
      </c>
    </row>
    <row r="863" spans="1:10" ht="15" customHeight="1" outlineLevel="1" x14ac:dyDescent="0.2">
      <c r="A863" s="66" t="str">
        <f t="shared" si="83"/>
        <v>R043</v>
      </c>
      <c r="B863" s="67">
        <f>$A$1442</f>
        <v>45931</v>
      </c>
      <c r="C863" s="66" t="str">
        <f t="shared" si="84"/>
        <v>SDR / Inside Sales Rep</v>
      </c>
      <c r="D863" s="65">
        <f>SUMIFS(Fact_Quota!$D:$D,Fact_Quota!$A:$A,$A863,Fact_Quota!$B:$B,"&gt;="&amp;B863,Fact_Quota!$B:$B,"&lt;"&amp;EDATE(B863,1))</f>
        <v>15300</v>
      </c>
      <c r="E863" s="65">
        <f>SUMIFS(Fact_Pipeline!$K:$K,Fact_Pipeline!$B:$B,$A863,Fact_Pipeline!$J:$J,"Won",Fact_Pipeline!$I:$I,"&gt;="&amp;B863,Fact_Pipeline!$I:$I,"&lt;"&amp;EDATE(B863,1))</f>
        <v>27800</v>
      </c>
      <c r="F863" s="66" t="b">
        <f>AND(D863&gt;0,IFERROR(E863/D863&gt;=G6,FALSE()))</f>
        <v>1</v>
      </c>
      <c r="G863" s="65">
        <f t="shared" si="85"/>
        <v>459</v>
      </c>
      <c r="H863" s="65">
        <f>IF(F863,MAX(0,MIN(E863,I6*D863)-D863)*IFERROR(INDEX($C$158:$C$161,MATCH(C863,$A$158:$A$161,0)),0),0)</f>
        <v>382.5</v>
      </c>
      <c r="I863" s="65">
        <f>IF(F863,MAX(0,E863-I6*D863)*IFERROR(INDEX($D$158:$D$161,MATCH(C863,$A$158:$A$161,0)),0),0)</f>
        <v>339.50000000000006</v>
      </c>
      <c r="J863" s="65">
        <f t="shared" si="86"/>
        <v>1181</v>
      </c>
    </row>
    <row r="864" spans="1:10" ht="15" customHeight="1" outlineLevel="1" x14ac:dyDescent="0.2">
      <c r="A864" s="66" t="str">
        <f t="shared" si="83"/>
        <v>R043</v>
      </c>
      <c r="B864" s="67">
        <f>$A$1443</f>
        <v>45962</v>
      </c>
      <c r="C864" s="66" t="str">
        <f t="shared" si="84"/>
        <v>SDR / Inside Sales Rep</v>
      </c>
      <c r="D864" s="65">
        <f>SUMIFS(Fact_Quota!$D:$D,Fact_Quota!$A:$A,$A864,Fact_Quota!$B:$B,"&gt;="&amp;B864,Fact_Quota!$B:$B,"&lt;"&amp;EDATE(B864,1))</f>
        <v>16200</v>
      </c>
      <c r="E864" s="65">
        <f>SUMIFS(Fact_Pipeline!$K:$K,Fact_Pipeline!$B:$B,$A864,Fact_Pipeline!$J:$J,"Won",Fact_Pipeline!$I:$I,"&gt;="&amp;B864,Fact_Pipeline!$I:$I,"&lt;"&amp;EDATE(B864,1))</f>
        <v>26400</v>
      </c>
      <c r="F864" s="66" t="b">
        <f>AND(D864&gt;0,IFERROR(E864/D864&gt;=G6,FALSE()))</f>
        <v>1</v>
      </c>
      <c r="G864" s="65">
        <f t="shared" si="85"/>
        <v>486</v>
      </c>
      <c r="H864" s="65">
        <f>IF(F864,MAX(0,MIN(E864,I6*D864)-D864)*IFERROR(INDEX($C$158:$C$161,MATCH(C864,$A$158:$A$161,0)),0),0)</f>
        <v>405</v>
      </c>
      <c r="I864" s="65">
        <f>IF(F864,MAX(0,E864-I6*D864)*IFERROR(INDEX($D$158:$D$161,MATCH(C864,$A$158:$A$161,0)),0),0)</f>
        <v>147</v>
      </c>
      <c r="J864" s="65">
        <f t="shared" si="86"/>
        <v>1038</v>
      </c>
    </row>
    <row r="865" spans="1:10" ht="15" customHeight="1" outlineLevel="1" x14ac:dyDescent="0.2">
      <c r="A865" s="66" t="str">
        <f t="shared" si="83"/>
        <v>R043</v>
      </c>
      <c r="B865" s="67">
        <f>$A$1444</f>
        <v>45992</v>
      </c>
      <c r="C865" s="66" t="str">
        <f t="shared" si="84"/>
        <v>SDR / Inside Sales Rep</v>
      </c>
      <c r="D865" s="65">
        <f>SUMIFS(Fact_Quota!$D:$D,Fact_Quota!$A:$A,$A865,Fact_Quota!$B:$B,"&gt;="&amp;B865,Fact_Quota!$B:$B,"&lt;"&amp;EDATE(B865,1))</f>
        <v>15600</v>
      </c>
      <c r="E865" s="65">
        <f>SUMIFS(Fact_Pipeline!$K:$K,Fact_Pipeline!$B:$B,$A865,Fact_Pipeline!$J:$J,"Won",Fact_Pipeline!$I:$I,"&gt;="&amp;B865,Fact_Pipeline!$I:$I,"&lt;"&amp;EDATE(B865,1))</f>
        <v>20600</v>
      </c>
      <c r="F865" s="66" t="b">
        <f>AND(D865&gt;0,IFERROR(E865/D865&gt;=G6,FALSE()))</f>
        <v>1</v>
      </c>
      <c r="G865" s="65">
        <f t="shared" si="85"/>
        <v>468</v>
      </c>
      <c r="H865" s="65">
        <f>IF(F865,MAX(0,MIN(E865,I6*D865)-D865)*IFERROR(INDEX($C$158:$C$161,MATCH(C865,$A$158:$A$161,0)),0),0)</f>
        <v>250</v>
      </c>
      <c r="I865" s="65">
        <f>IF(F865,MAX(0,E865-I6*D865)*IFERROR(INDEX($D$158:$D$161,MATCH(C865,$A$158:$A$161,0)),0),0)</f>
        <v>0</v>
      </c>
      <c r="J865" s="65">
        <f t="shared" si="86"/>
        <v>718</v>
      </c>
    </row>
    <row r="866" spans="1:10" ht="15" customHeight="1" outlineLevel="1" x14ac:dyDescent="0.2">
      <c r="A866" s="63" t="str">
        <f t="shared" ref="A866:A889" si="87">$A$192</f>
        <v>R045</v>
      </c>
      <c r="B866" s="64">
        <f>$A$1421</f>
        <v>45292</v>
      </c>
      <c r="C866" s="63" t="str">
        <f t="shared" ref="C866:C889" si="88">$C$192</f>
        <v>SDR / Inside Sales Rep</v>
      </c>
      <c r="D866" s="62">
        <f>SUMIFS(Fact_Quota!$D:$D,Fact_Quota!$A:$A,$A866,Fact_Quota!$B:$B,"&gt;="&amp;B866,Fact_Quota!$B:$B,"&lt;"&amp;EDATE(B866,1))</f>
        <v>16200</v>
      </c>
      <c r="E866" s="62">
        <f>SUMIFS(Fact_Pipeline!$K:$K,Fact_Pipeline!$B:$B,$A866,Fact_Pipeline!$J:$J,"Won",Fact_Pipeline!$I:$I,"&gt;="&amp;B866,Fact_Pipeline!$I:$I,"&lt;"&amp;EDATE(B866,1))</f>
        <v>7300</v>
      </c>
      <c r="F866" s="63" t="b">
        <f>AND(D866&gt;0,IFERROR(E866/D866&gt;=G6,FALSE()))</f>
        <v>0</v>
      </c>
      <c r="G866" s="62">
        <f t="shared" si="85"/>
        <v>0</v>
      </c>
      <c r="H866" s="62">
        <f>IF(F866,MAX(0,MIN(E866,I6*D866)-D866)*IFERROR(INDEX($C$158:$C$161,MATCH(C866,$A$158:$A$161,0)),0),0)</f>
        <v>0</v>
      </c>
      <c r="I866" s="62">
        <f>IF(F866,MAX(0,E866-I6*D866)*IFERROR(INDEX($D$158:$D$161,MATCH(C866,$A$158:$A$161,0)),0),0)</f>
        <v>0</v>
      </c>
      <c r="J866" s="62">
        <f t="shared" si="86"/>
        <v>0</v>
      </c>
    </row>
    <row r="867" spans="1:10" ht="15" customHeight="1" outlineLevel="1" x14ac:dyDescent="0.2">
      <c r="A867" s="63" t="str">
        <f t="shared" si="87"/>
        <v>R045</v>
      </c>
      <c r="B867" s="64">
        <f>$A$1422</f>
        <v>45323</v>
      </c>
      <c r="C867" s="63" t="str">
        <f t="shared" si="88"/>
        <v>SDR / Inside Sales Rep</v>
      </c>
      <c r="D867" s="62">
        <f>SUMIFS(Fact_Quota!$D:$D,Fact_Quota!$A:$A,$A867,Fact_Quota!$B:$B,"&gt;="&amp;B867,Fact_Quota!$B:$B,"&lt;"&amp;EDATE(B867,1))</f>
        <v>15000</v>
      </c>
      <c r="E867" s="62">
        <f>SUMIFS(Fact_Pipeline!$K:$K,Fact_Pipeline!$B:$B,$A867,Fact_Pipeline!$J:$J,"Won",Fact_Pipeline!$I:$I,"&gt;="&amp;B867,Fact_Pipeline!$I:$I,"&lt;"&amp;EDATE(B867,1))</f>
        <v>11900</v>
      </c>
      <c r="F867" s="63" t="b">
        <f>AND(D867&gt;0,IFERROR(E867/D867&gt;=G6,FALSE()))</f>
        <v>1</v>
      </c>
      <c r="G867" s="62">
        <f t="shared" si="85"/>
        <v>357</v>
      </c>
      <c r="H867" s="62">
        <f>IF(F867,MAX(0,MIN(E867,I6*D867)-D867)*IFERROR(INDEX($C$158:$C$161,MATCH(C867,$A$158:$A$161,0)),0),0)</f>
        <v>0</v>
      </c>
      <c r="I867" s="62">
        <f>IF(F867,MAX(0,E867-I6*D867)*IFERROR(INDEX($D$158:$D$161,MATCH(C867,$A$158:$A$161,0)),0),0)</f>
        <v>0</v>
      </c>
      <c r="J867" s="62">
        <f t="shared" si="86"/>
        <v>357</v>
      </c>
    </row>
    <row r="868" spans="1:10" ht="15" customHeight="1" outlineLevel="1" x14ac:dyDescent="0.2">
      <c r="A868" s="63" t="str">
        <f t="shared" si="87"/>
        <v>R045</v>
      </c>
      <c r="B868" s="64">
        <f>$A$1423</f>
        <v>45352</v>
      </c>
      <c r="C868" s="63" t="str">
        <f t="shared" si="88"/>
        <v>SDR / Inside Sales Rep</v>
      </c>
      <c r="D868" s="62">
        <f>SUMIFS(Fact_Quota!$D:$D,Fact_Quota!$A:$A,$A868,Fact_Quota!$B:$B,"&gt;="&amp;B868,Fact_Quota!$B:$B,"&lt;"&amp;EDATE(B868,1))</f>
        <v>16000</v>
      </c>
      <c r="E868" s="62">
        <f>SUMIFS(Fact_Pipeline!$K:$K,Fact_Pipeline!$B:$B,$A868,Fact_Pipeline!$J:$J,"Won",Fact_Pipeline!$I:$I,"&gt;="&amp;B868,Fact_Pipeline!$I:$I,"&lt;"&amp;EDATE(B868,1))</f>
        <v>10900</v>
      </c>
      <c r="F868" s="63" t="b">
        <f>AND(D868&gt;0,IFERROR(E868/D868&gt;=G6,FALSE()))</f>
        <v>1</v>
      </c>
      <c r="G868" s="62">
        <f t="shared" si="85"/>
        <v>327</v>
      </c>
      <c r="H868" s="62">
        <f>IF(F868,MAX(0,MIN(E868,I6*D868)-D868)*IFERROR(INDEX($C$158:$C$161,MATCH(C868,$A$158:$A$161,0)),0),0)</f>
        <v>0</v>
      </c>
      <c r="I868" s="62">
        <f>IF(F868,MAX(0,E868-I6*D868)*IFERROR(INDEX($D$158:$D$161,MATCH(C868,$A$158:$A$161,0)),0),0)</f>
        <v>0</v>
      </c>
      <c r="J868" s="62">
        <f t="shared" si="86"/>
        <v>327</v>
      </c>
    </row>
    <row r="869" spans="1:10" ht="15" customHeight="1" outlineLevel="1" x14ac:dyDescent="0.2">
      <c r="A869" s="63" t="str">
        <f t="shared" si="87"/>
        <v>R045</v>
      </c>
      <c r="B869" s="64">
        <f>$A$1424</f>
        <v>45383</v>
      </c>
      <c r="C869" s="63" t="str">
        <f t="shared" si="88"/>
        <v>SDR / Inside Sales Rep</v>
      </c>
      <c r="D869" s="62">
        <f>SUMIFS(Fact_Quota!$D:$D,Fact_Quota!$A:$A,$A869,Fact_Quota!$B:$B,"&gt;="&amp;B869,Fact_Quota!$B:$B,"&lt;"&amp;EDATE(B869,1))</f>
        <v>15400</v>
      </c>
      <c r="E869" s="62">
        <f>SUMIFS(Fact_Pipeline!$K:$K,Fact_Pipeline!$B:$B,$A869,Fact_Pipeline!$J:$J,"Won",Fact_Pipeline!$I:$I,"&gt;="&amp;B869,Fact_Pipeline!$I:$I,"&lt;"&amp;EDATE(B869,1))</f>
        <v>20100</v>
      </c>
      <c r="F869" s="63" t="b">
        <f>AND(D869&gt;0,IFERROR(E869/D869&gt;=G6,FALSE()))</f>
        <v>1</v>
      </c>
      <c r="G869" s="62">
        <f t="shared" si="85"/>
        <v>462</v>
      </c>
      <c r="H869" s="62">
        <f>IF(F869,MAX(0,MIN(E869,I6*D869)-D869)*IFERROR(INDEX($C$158:$C$161,MATCH(C869,$A$158:$A$161,0)),0),0)</f>
        <v>235</v>
      </c>
      <c r="I869" s="62">
        <f>IF(F869,MAX(0,E869-I6*D869)*IFERROR(INDEX($D$158:$D$161,MATCH(C869,$A$158:$A$161,0)),0),0)</f>
        <v>0</v>
      </c>
      <c r="J869" s="62">
        <f t="shared" si="86"/>
        <v>697</v>
      </c>
    </row>
    <row r="870" spans="1:10" ht="15" customHeight="1" outlineLevel="1" x14ac:dyDescent="0.2">
      <c r="A870" s="63" t="str">
        <f t="shared" si="87"/>
        <v>R045</v>
      </c>
      <c r="B870" s="64">
        <f>$A$1425</f>
        <v>45413</v>
      </c>
      <c r="C870" s="63" t="str">
        <f t="shared" si="88"/>
        <v>SDR / Inside Sales Rep</v>
      </c>
      <c r="D870" s="62">
        <f>SUMIFS(Fact_Quota!$D:$D,Fact_Quota!$A:$A,$A870,Fact_Quota!$B:$B,"&gt;="&amp;B870,Fact_Quota!$B:$B,"&lt;"&amp;EDATE(B870,1))</f>
        <v>15500</v>
      </c>
      <c r="E870" s="62">
        <f>SUMIFS(Fact_Pipeline!$K:$K,Fact_Pipeline!$B:$B,$A870,Fact_Pipeline!$J:$J,"Won",Fact_Pipeline!$I:$I,"&gt;="&amp;B870,Fact_Pipeline!$I:$I,"&lt;"&amp;EDATE(B870,1))</f>
        <v>27600</v>
      </c>
      <c r="F870" s="63" t="b">
        <f>AND(D870&gt;0,IFERROR(E870/D870&gt;=G6,FALSE()))</f>
        <v>1</v>
      </c>
      <c r="G870" s="62">
        <f t="shared" si="85"/>
        <v>465</v>
      </c>
      <c r="H870" s="62">
        <f>IF(F870,MAX(0,MIN(E870,I6*D870)-D870)*IFERROR(INDEX($C$158:$C$161,MATCH(C870,$A$158:$A$161,0)),0),0)</f>
        <v>387.5</v>
      </c>
      <c r="I870" s="62">
        <f>IF(F870,MAX(0,E870-I6*D870)*IFERROR(INDEX($D$158:$D$161,MATCH(C870,$A$158:$A$161,0)),0),0)</f>
        <v>304.50000000000006</v>
      </c>
      <c r="J870" s="62">
        <f t="shared" si="86"/>
        <v>1157</v>
      </c>
    </row>
    <row r="871" spans="1:10" ht="15" customHeight="1" outlineLevel="1" x14ac:dyDescent="0.2">
      <c r="A871" s="63" t="str">
        <f t="shared" si="87"/>
        <v>R045</v>
      </c>
      <c r="B871" s="64">
        <f>$A$1426</f>
        <v>45444</v>
      </c>
      <c r="C871" s="63" t="str">
        <f t="shared" si="88"/>
        <v>SDR / Inside Sales Rep</v>
      </c>
      <c r="D871" s="62">
        <f>SUMIFS(Fact_Quota!$D:$D,Fact_Quota!$A:$A,$A871,Fact_Quota!$B:$B,"&gt;="&amp;B871,Fact_Quota!$B:$B,"&lt;"&amp;EDATE(B871,1))</f>
        <v>15800</v>
      </c>
      <c r="E871" s="62">
        <f>SUMIFS(Fact_Pipeline!$K:$K,Fact_Pipeline!$B:$B,$A871,Fact_Pipeline!$J:$J,"Won",Fact_Pipeline!$I:$I,"&gt;="&amp;B871,Fact_Pipeline!$I:$I,"&lt;"&amp;EDATE(B871,1))</f>
        <v>20100</v>
      </c>
      <c r="F871" s="63" t="b">
        <f>AND(D871&gt;0,IFERROR(E871/D871&gt;=G6,FALSE()))</f>
        <v>1</v>
      </c>
      <c r="G871" s="62">
        <f t="shared" si="85"/>
        <v>474</v>
      </c>
      <c r="H871" s="62">
        <f>IF(F871,MAX(0,MIN(E871,I6*D871)-D871)*IFERROR(INDEX($C$158:$C$161,MATCH(C871,$A$158:$A$161,0)),0),0)</f>
        <v>215</v>
      </c>
      <c r="I871" s="62">
        <f>IF(F871,MAX(0,E871-I6*D871)*IFERROR(INDEX($D$158:$D$161,MATCH(C871,$A$158:$A$161,0)),0),0)</f>
        <v>0</v>
      </c>
      <c r="J871" s="62">
        <f t="shared" si="86"/>
        <v>689</v>
      </c>
    </row>
    <row r="872" spans="1:10" ht="15" customHeight="1" outlineLevel="1" x14ac:dyDescent="0.2">
      <c r="A872" s="63" t="str">
        <f t="shared" si="87"/>
        <v>R045</v>
      </c>
      <c r="B872" s="64">
        <f>$A$1427</f>
        <v>45474</v>
      </c>
      <c r="C872" s="63" t="str">
        <f t="shared" si="88"/>
        <v>SDR / Inside Sales Rep</v>
      </c>
      <c r="D872" s="62">
        <f>SUMIFS(Fact_Quota!$D:$D,Fact_Quota!$A:$A,$A872,Fact_Quota!$B:$B,"&gt;="&amp;B872,Fact_Quota!$B:$B,"&lt;"&amp;EDATE(B872,1))</f>
        <v>15000</v>
      </c>
      <c r="E872" s="62">
        <f>SUMIFS(Fact_Pipeline!$K:$K,Fact_Pipeline!$B:$B,$A872,Fact_Pipeline!$J:$J,"Won",Fact_Pipeline!$I:$I,"&gt;="&amp;B872,Fact_Pipeline!$I:$I,"&lt;"&amp;EDATE(B872,1))</f>
        <v>7700</v>
      </c>
      <c r="F872" s="63" t="b">
        <f>AND(D872&gt;0,IFERROR(E872/D872&gt;=G6,FALSE()))</f>
        <v>1</v>
      </c>
      <c r="G872" s="62">
        <f t="shared" si="85"/>
        <v>231</v>
      </c>
      <c r="H872" s="62">
        <f>IF(F872,MAX(0,MIN(E872,I6*D872)-D872)*IFERROR(INDEX($C$158:$C$161,MATCH(C872,$A$158:$A$161,0)),0),0)</f>
        <v>0</v>
      </c>
      <c r="I872" s="62">
        <f>IF(F872,MAX(0,E872-I6*D872)*IFERROR(INDEX($D$158:$D$161,MATCH(C872,$A$158:$A$161,0)),0),0)</f>
        <v>0</v>
      </c>
      <c r="J872" s="62">
        <f t="shared" si="86"/>
        <v>231</v>
      </c>
    </row>
    <row r="873" spans="1:10" ht="15" customHeight="1" outlineLevel="1" x14ac:dyDescent="0.2">
      <c r="A873" s="63" t="str">
        <f t="shared" si="87"/>
        <v>R045</v>
      </c>
      <c r="B873" s="64">
        <f>$A$1428</f>
        <v>45505</v>
      </c>
      <c r="C873" s="63" t="str">
        <f t="shared" si="88"/>
        <v>SDR / Inside Sales Rep</v>
      </c>
      <c r="D873" s="62">
        <f>SUMIFS(Fact_Quota!$D:$D,Fact_Quota!$A:$A,$A873,Fact_Quota!$B:$B,"&gt;="&amp;B873,Fact_Quota!$B:$B,"&lt;"&amp;EDATE(B873,1))</f>
        <v>15700</v>
      </c>
      <c r="E873" s="62">
        <f>SUMIFS(Fact_Pipeline!$K:$K,Fact_Pipeline!$B:$B,$A873,Fact_Pipeline!$J:$J,"Won",Fact_Pipeline!$I:$I,"&gt;="&amp;B873,Fact_Pipeline!$I:$I,"&lt;"&amp;EDATE(B873,1))</f>
        <v>9600</v>
      </c>
      <c r="F873" s="63" t="b">
        <f>AND(D873&gt;0,IFERROR(E873/D873&gt;=G6,FALSE()))</f>
        <v>1</v>
      </c>
      <c r="G873" s="62">
        <f t="shared" si="85"/>
        <v>288</v>
      </c>
      <c r="H873" s="62">
        <f>IF(F873,MAX(0,MIN(E873,I6*D873)-D873)*IFERROR(INDEX($C$158:$C$161,MATCH(C873,$A$158:$A$161,0)),0),0)</f>
        <v>0</v>
      </c>
      <c r="I873" s="62">
        <f>IF(F873,MAX(0,E873-I6*D873)*IFERROR(INDEX($D$158:$D$161,MATCH(C873,$A$158:$A$161,0)),0),0)</f>
        <v>0</v>
      </c>
      <c r="J873" s="62">
        <f t="shared" si="86"/>
        <v>288</v>
      </c>
    </row>
    <row r="874" spans="1:10" ht="15" customHeight="1" outlineLevel="1" x14ac:dyDescent="0.2">
      <c r="A874" s="63" t="str">
        <f t="shared" si="87"/>
        <v>R045</v>
      </c>
      <c r="B874" s="64">
        <f>$A$1429</f>
        <v>45536</v>
      </c>
      <c r="C874" s="63" t="str">
        <f t="shared" si="88"/>
        <v>SDR / Inside Sales Rep</v>
      </c>
      <c r="D874" s="62">
        <f>SUMIFS(Fact_Quota!$D:$D,Fact_Quota!$A:$A,$A874,Fact_Quota!$B:$B,"&gt;="&amp;B874,Fact_Quota!$B:$B,"&lt;"&amp;EDATE(B874,1))</f>
        <v>15600</v>
      </c>
      <c r="E874" s="62">
        <f>SUMIFS(Fact_Pipeline!$K:$K,Fact_Pipeline!$B:$B,$A874,Fact_Pipeline!$J:$J,"Won",Fact_Pipeline!$I:$I,"&gt;="&amp;B874,Fact_Pipeline!$I:$I,"&lt;"&amp;EDATE(B874,1))</f>
        <v>6300</v>
      </c>
      <c r="F874" s="63" t="b">
        <f>AND(D874&gt;0,IFERROR(E874/D874&gt;=G6,FALSE()))</f>
        <v>0</v>
      </c>
      <c r="G874" s="62">
        <f t="shared" si="85"/>
        <v>0</v>
      </c>
      <c r="H874" s="62">
        <f>IF(F874,MAX(0,MIN(E874,I6*D874)-D874)*IFERROR(INDEX($C$158:$C$161,MATCH(C874,$A$158:$A$161,0)),0),0)</f>
        <v>0</v>
      </c>
      <c r="I874" s="62">
        <f>IF(F874,MAX(0,E874-I6*D874)*IFERROR(INDEX($D$158:$D$161,MATCH(C874,$A$158:$A$161,0)),0),0)</f>
        <v>0</v>
      </c>
      <c r="J874" s="62">
        <f t="shared" si="86"/>
        <v>0</v>
      </c>
    </row>
    <row r="875" spans="1:10" ht="15" customHeight="1" outlineLevel="1" x14ac:dyDescent="0.2">
      <c r="A875" s="63" t="str">
        <f t="shared" si="87"/>
        <v>R045</v>
      </c>
      <c r="B875" s="64">
        <f>$A$1430</f>
        <v>45566</v>
      </c>
      <c r="C875" s="63" t="str">
        <f t="shared" si="88"/>
        <v>SDR / Inside Sales Rep</v>
      </c>
      <c r="D875" s="62">
        <f>SUMIFS(Fact_Quota!$D:$D,Fact_Quota!$A:$A,$A875,Fact_Quota!$B:$B,"&gt;="&amp;B875,Fact_Quota!$B:$B,"&lt;"&amp;EDATE(B875,1))</f>
        <v>15700</v>
      </c>
      <c r="E875" s="62">
        <f>SUMIFS(Fact_Pipeline!$K:$K,Fact_Pipeline!$B:$B,$A875,Fact_Pipeline!$J:$J,"Won",Fact_Pipeline!$I:$I,"&gt;="&amp;B875,Fact_Pipeline!$I:$I,"&lt;"&amp;EDATE(B875,1))</f>
        <v>20800</v>
      </c>
      <c r="F875" s="63" t="b">
        <f>AND(D875&gt;0,IFERROR(E875/D875&gt;=G6,FALSE()))</f>
        <v>1</v>
      </c>
      <c r="G875" s="62">
        <f t="shared" si="85"/>
        <v>471</v>
      </c>
      <c r="H875" s="62">
        <f>IF(F875,MAX(0,MIN(E875,I6*D875)-D875)*IFERROR(INDEX($C$158:$C$161,MATCH(C875,$A$158:$A$161,0)),0),0)</f>
        <v>255</v>
      </c>
      <c r="I875" s="62">
        <f>IF(F875,MAX(0,E875-I6*D875)*IFERROR(INDEX($D$158:$D$161,MATCH(C875,$A$158:$A$161,0)),0),0)</f>
        <v>0</v>
      </c>
      <c r="J875" s="62">
        <f t="shared" si="86"/>
        <v>726</v>
      </c>
    </row>
    <row r="876" spans="1:10" ht="15" customHeight="1" outlineLevel="1" x14ac:dyDescent="0.2">
      <c r="A876" s="63" t="str">
        <f t="shared" si="87"/>
        <v>R045</v>
      </c>
      <c r="B876" s="64">
        <f>$A$1431</f>
        <v>45597</v>
      </c>
      <c r="C876" s="63" t="str">
        <f t="shared" si="88"/>
        <v>SDR / Inside Sales Rep</v>
      </c>
      <c r="D876" s="62">
        <f>SUMIFS(Fact_Quota!$D:$D,Fact_Quota!$A:$A,$A876,Fact_Quota!$B:$B,"&gt;="&amp;B876,Fact_Quota!$B:$B,"&lt;"&amp;EDATE(B876,1))</f>
        <v>15600</v>
      </c>
      <c r="E876" s="62">
        <f>SUMIFS(Fact_Pipeline!$K:$K,Fact_Pipeline!$B:$B,$A876,Fact_Pipeline!$J:$J,"Won",Fact_Pipeline!$I:$I,"&gt;="&amp;B876,Fact_Pipeline!$I:$I,"&lt;"&amp;EDATE(B876,1))</f>
        <v>25000</v>
      </c>
      <c r="F876" s="63" t="b">
        <f>AND(D876&gt;0,IFERROR(E876/D876&gt;=G6,FALSE()))</f>
        <v>1</v>
      </c>
      <c r="G876" s="62">
        <f t="shared" si="85"/>
        <v>468</v>
      </c>
      <c r="H876" s="62">
        <f>IF(F876,MAX(0,MIN(E876,I6*D876)-D876)*IFERROR(INDEX($C$158:$C$161,MATCH(C876,$A$158:$A$161,0)),0),0)</f>
        <v>390</v>
      </c>
      <c r="I876" s="62">
        <f>IF(F876,MAX(0,E876-I6*D876)*IFERROR(INDEX($D$158:$D$161,MATCH(C876,$A$158:$A$161,0)),0),0)</f>
        <v>112.00000000000001</v>
      </c>
      <c r="J876" s="62">
        <f t="shared" si="86"/>
        <v>970</v>
      </c>
    </row>
    <row r="877" spans="1:10" ht="15" customHeight="1" outlineLevel="1" x14ac:dyDescent="0.2">
      <c r="A877" s="63" t="str">
        <f t="shared" si="87"/>
        <v>R045</v>
      </c>
      <c r="B877" s="64">
        <f>$A$1432</f>
        <v>45627</v>
      </c>
      <c r="C877" s="63" t="str">
        <f t="shared" si="88"/>
        <v>SDR / Inside Sales Rep</v>
      </c>
      <c r="D877" s="62">
        <f>SUMIFS(Fact_Quota!$D:$D,Fact_Quota!$A:$A,$A877,Fact_Quota!$B:$B,"&gt;="&amp;B877,Fact_Quota!$B:$B,"&lt;"&amp;EDATE(B877,1))</f>
        <v>16600</v>
      </c>
      <c r="E877" s="62">
        <f>SUMIFS(Fact_Pipeline!$K:$K,Fact_Pipeline!$B:$B,$A877,Fact_Pipeline!$J:$J,"Won",Fact_Pipeline!$I:$I,"&gt;="&amp;B877,Fact_Pipeline!$I:$I,"&lt;"&amp;EDATE(B877,1))</f>
        <v>14000</v>
      </c>
      <c r="F877" s="63" t="b">
        <f>AND(D877&gt;0,IFERROR(E877/D877&gt;=G6,FALSE()))</f>
        <v>1</v>
      </c>
      <c r="G877" s="62">
        <f t="shared" si="85"/>
        <v>420</v>
      </c>
      <c r="H877" s="62">
        <f>IF(F877,MAX(0,MIN(E877,I6*D877)-D877)*IFERROR(INDEX($C$158:$C$161,MATCH(C877,$A$158:$A$161,0)),0),0)</f>
        <v>0</v>
      </c>
      <c r="I877" s="62">
        <f>IF(F877,MAX(0,E877-I6*D877)*IFERROR(INDEX($D$158:$D$161,MATCH(C877,$A$158:$A$161,0)),0),0)</f>
        <v>0</v>
      </c>
      <c r="J877" s="62">
        <f t="shared" si="86"/>
        <v>420</v>
      </c>
    </row>
    <row r="878" spans="1:10" ht="15" customHeight="1" outlineLevel="1" x14ac:dyDescent="0.2">
      <c r="A878" s="63" t="str">
        <f t="shared" si="87"/>
        <v>R045</v>
      </c>
      <c r="B878" s="64">
        <f>$A$1433</f>
        <v>45658</v>
      </c>
      <c r="C878" s="63" t="str">
        <f t="shared" si="88"/>
        <v>SDR / Inside Sales Rep</v>
      </c>
      <c r="D878" s="62">
        <f>SUMIFS(Fact_Quota!$D:$D,Fact_Quota!$A:$A,$A878,Fact_Quota!$B:$B,"&gt;="&amp;B878,Fact_Quota!$B:$B,"&lt;"&amp;EDATE(B878,1))</f>
        <v>15200</v>
      </c>
      <c r="E878" s="62">
        <f>SUMIFS(Fact_Pipeline!$K:$K,Fact_Pipeline!$B:$B,$A878,Fact_Pipeline!$J:$J,"Won",Fact_Pipeline!$I:$I,"&gt;="&amp;B878,Fact_Pipeline!$I:$I,"&lt;"&amp;EDATE(B878,1))</f>
        <v>7200</v>
      </c>
      <c r="F878" s="63" t="b">
        <f>AND(D878&gt;0,IFERROR(E878/D878&gt;=G6,FALSE()))</f>
        <v>0</v>
      </c>
      <c r="G878" s="62">
        <f t="shared" si="85"/>
        <v>0</v>
      </c>
      <c r="H878" s="62">
        <f>IF(F878,MAX(0,MIN(E878,I6*D878)-D878)*IFERROR(INDEX($C$158:$C$161,MATCH(C878,$A$158:$A$161,0)),0),0)</f>
        <v>0</v>
      </c>
      <c r="I878" s="62">
        <f>IF(F878,MAX(0,E878-I6*D878)*IFERROR(INDEX($D$158:$D$161,MATCH(C878,$A$158:$A$161,0)),0),0)</f>
        <v>0</v>
      </c>
      <c r="J878" s="62">
        <f t="shared" si="86"/>
        <v>0</v>
      </c>
    </row>
    <row r="879" spans="1:10" ht="15" customHeight="1" outlineLevel="1" x14ac:dyDescent="0.2">
      <c r="A879" s="63" t="str">
        <f t="shared" si="87"/>
        <v>R045</v>
      </c>
      <c r="B879" s="64">
        <f>$A$1434</f>
        <v>45689</v>
      </c>
      <c r="C879" s="63" t="str">
        <f t="shared" si="88"/>
        <v>SDR / Inside Sales Rep</v>
      </c>
      <c r="D879" s="62">
        <f>SUMIFS(Fact_Quota!$D:$D,Fact_Quota!$A:$A,$A879,Fact_Quota!$B:$B,"&gt;="&amp;B879,Fact_Quota!$B:$B,"&lt;"&amp;EDATE(B879,1))</f>
        <v>15300</v>
      </c>
      <c r="E879" s="62">
        <f>SUMIFS(Fact_Pipeline!$K:$K,Fact_Pipeline!$B:$B,$A879,Fact_Pipeline!$J:$J,"Won",Fact_Pipeline!$I:$I,"&gt;="&amp;B879,Fact_Pipeline!$I:$I,"&lt;"&amp;EDATE(B879,1))</f>
        <v>7600</v>
      </c>
      <c r="F879" s="63" t="b">
        <f>AND(D879&gt;0,IFERROR(E879/D879&gt;=G6,FALSE()))</f>
        <v>0</v>
      </c>
      <c r="G879" s="62">
        <f t="shared" si="85"/>
        <v>0</v>
      </c>
      <c r="H879" s="62">
        <f>IF(F879,MAX(0,MIN(E879,I6*D879)-D879)*IFERROR(INDEX($C$158:$C$161,MATCH(C879,$A$158:$A$161,0)),0),0)</f>
        <v>0</v>
      </c>
      <c r="I879" s="62">
        <f>IF(F879,MAX(0,E879-I6*D879)*IFERROR(INDEX($D$158:$D$161,MATCH(C879,$A$158:$A$161,0)),0),0)</f>
        <v>0</v>
      </c>
      <c r="J879" s="62">
        <f t="shared" si="86"/>
        <v>0</v>
      </c>
    </row>
    <row r="880" spans="1:10" ht="15" customHeight="1" outlineLevel="1" x14ac:dyDescent="0.2">
      <c r="A880" s="63" t="str">
        <f t="shared" si="87"/>
        <v>R045</v>
      </c>
      <c r="B880" s="64">
        <f>$A$1435</f>
        <v>45717</v>
      </c>
      <c r="C880" s="63" t="str">
        <f t="shared" si="88"/>
        <v>SDR / Inside Sales Rep</v>
      </c>
      <c r="D880" s="62">
        <f>SUMIFS(Fact_Quota!$D:$D,Fact_Quota!$A:$A,$A880,Fact_Quota!$B:$B,"&gt;="&amp;B880,Fact_Quota!$B:$B,"&lt;"&amp;EDATE(B880,1))</f>
        <v>15200</v>
      </c>
      <c r="E880" s="62">
        <f>SUMIFS(Fact_Pipeline!$K:$K,Fact_Pipeline!$B:$B,$A880,Fact_Pipeline!$J:$J,"Won",Fact_Pipeline!$I:$I,"&gt;="&amp;B880,Fact_Pipeline!$I:$I,"&lt;"&amp;EDATE(B880,1))</f>
        <v>10600</v>
      </c>
      <c r="F880" s="63" t="b">
        <f>AND(D880&gt;0,IFERROR(E880/D880&gt;=G6,FALSE()))</f>
        <v>1</v>
      </c>
      <c r="G880" s="62">
        <f t="shared" si="85"/>
        <v>318</v>
      </c>
      <c r="H880" s="62">
        <f>IF(F880,MAX(0,MIN(E880,I6*D880)-D880)*IFERROR(INDEX($C$158:$C$161,MATCH(C880,$A$158:$A$161,0)),0),0)</f>
        <v>0</v>
      </c>
      <c r="I880" s="62">
        <f>IF(F880,MAX(0,E880-I6*D880)*IFERROR(INDEX($D$158:$D$161,MATCH(C880,$A$158:$A$161,0)),0),0)</f>
        <v>0</v>
      </c>
      <c r="J880" s="62">
        <f t="shared" si="86"/>
        <v>318</v>
      </c>
    </row>
    <row r="881" spans="1:10" ht="15" customHeight="1" outlineLevel="1" x14ac:dyDescent="0.2">
      <c r="A881" s="63" t="str">
        <f t="shared" si="87"/>
        <v>R045</v>
      </c>
      <c r="B881" s="64">
        <f>$A$1436</f>
        <v>45748</v>
      </c>
      <c r="C881" s="63" t="str">
        <f t="shared" si="88"/>
        <v>SDR / Inside Sales Rep</v>
      </c>
      <c r="D881" s="62">
        <f>SUMIFS(Fact_Quota!$D:$D,Fact_Quota!$A:$A,$A881,Fact_Quota!$B:$B,"&gt;="&amp;B881,Fact_Quota!$B:$B,"&lt;"&amp;EDATE(B881,1))</f>
        <v>15200</v>
      </c>
      <c r="E881" s="62">
        <f>SUMIFS(Fact_Pipeline!$K:$K,Fact_Pipeline!$B:$B,$A881,Fact_Pipeline!$J:$J,"Won",Fact_Pipeline!$I:$I,"&gt;="&amp;B881,Fact_Pipeline!$I:$I,"&lt;"&amp;EDATE(B881,1))</f>
        <v>5600</v>
      </c>
      <c r="F881" s="63" t="b">
        <f>AND(D881&gt;0,IFERROR(E881/D881&gt;=G6,FALSE()))</f>
        <v>0</v>
      </c>
      <c r="G881" s="62">
        <f t="shared" si="85"/>
        <v>0</v>
      </c>
      <c r="H881" s="62">
        <f>IF(F881,MAX(0,MIN(E881,I6*D881)-D881)*IFERROR(INDEX($C$158:$C$161,MATCH(C881,$A$158:$A$161,0)),0),0)</f>
        <v>0</v>
      </c>
      <c r="I881" s="62">
        <f>IF(F881,MAX(0,E881-I6*D881)*IFERROR(INDEX($D$158:$D$161,MATCH(C881,$A$158:$A$161,0)),0),0)</f>
        <v>0</v>
      </c>
      <c r="J881" s="62">
        <f t="shared" si="86"/>
        <v>0</v>
      </c>
    </row>
    <row r="882" spans="1:10" ht="15" customHeight="1" outlineLevel="1" x14ac:dyDescent="0.2">
      <c r="A882" s="63" t="str">
        <f t="shared" si="87"/>
        <v>R045</v>
      </c>
      <c r="B882" s="64">
        <f>$A$1437</f>
        <v>45778</v>
      </c>
      <c r="C882" s="63" t="str">
        <f t="shared" si="88"/>
        <v>SDR / Inside Sales Rep</v>
      </c>
      <c r="D882" s="62">
        <f>SUMIFS(Fact_Quota!$D:$D,Fact_Quota!$A:$A,$A882,Fact_Quota!$B:$B,"&gt;="&amp;B882,Fact_Quota!$B:$B,"&lt;"&amp;EDATE(B882,1))</f>
        <v>15200</v>
      </c>
      <c r="E882" s="62">
        <f>SUMIFS(Fact_Pipeline!$K:$K,Fact_Pipeline!$B:$B,$A882,Fact_Pipeline!$J:$J,"Won",Fact_Pipeline!$I:$I,"&gt;="&amp;B882,Fact_Pipeline!$I:$I,"&lt;"&amp;EDATE(B882,1))</f>
        <v>24100</v>
      </c>
      <c r="F882" s="63" t="b">
        <f>AND(D882&gt;0,IFERROR(E882/D882&gt;=G6,FALSE()))</f>
        <v>1</v>
      </c>
      <c r="G882" s="62">
        <f t="shared" si="85"/>
        <v>456</v>
      </c>
      <c r="H882" s="62">
        <f>IF(F882,MAX(0,MIN(E882,I6*D882)-D882)*IFERROR(INDEX($C$158:$C$161,MATCH(C882,$A$158:$A$161,0)),0),0)</f>
        <v>380</v>
      </c>
      <c r="I882" s="62">
        <f>IF(F882,MAX(0,E882-I6*D882)*IFERROR(INDEX($D$158:$D$161,MATCH(C882,$A$158:$A$161,0)),0),0)</f>
        <v>91.000000000000014</v>
      </c>
      <c r="J882" s="62">
        <f t="shared" si="86"/>
        <v>927</v>
      </c>
    </row>
    <row r="883" spans="1:10" ht="15" customHeight="1" outlineLevel="1" x14ac:dyDescent="0.2">
      <c r="A883" s="63" t="str">
        <f t="shared" si="87"/>
        <v>R045</v>
      </c>
      <c r="B883" s="64">
        <f>$A$1438</f>
        <v>45809</v>
      </c>
      <c r="C883" s="63" t="str">
        <f t="shared" si="88"/>
        <v>SDR / Inside Sales Rep</v>
      </c>
      <c r="D883" s="62">
        <f>SUMIFS(Fact_Quota!$D:$D,Fact_Quota!$A:$A,$A883,Fact_Quota!$B:$B,"&gt;="&amp;B883,Fact_Quota!$B:$B,"&lt;"&amp;EDATE(B883,1))</f>
        <v>16100</v>
      </c>
      <c r="E883" s="62">
        <f>SUMIFS(Fact_Pipeline!$K:$K,Fact_Pipeline!$B:$B,$A883,Fact_Pipeline!$J:$J,"Won",Fact_Pipeline!$I:$I,"&gt;="&amp;B883,Fact_Pipeline!$I:$I,"&lt;"&amp;EDATE(B883,1))</f>
        <v>8000</v>
      </c>
      <c r="F883" s="63" t="b">
        <f>AND(D883&gt;0,IFERROR(E883/D883&gt;=G6,FALSE()))</f>
        <v>0</v>
      </c>
      <c r="G883" s="62">
        <f t="shared" si="85"/>
        <v>0</v>
      </c>
      <c r="H883" s="62">
        <f>IF(F883,MAX(0,MIN(E883,I6*D883)-D883)*IFERROR(INDEX($C$158:$C$161,MATCH(C883,$A$158:$A$161,0)),0),0)</f>
        <v>0</v>
      </c>
      <c r="I883" s="62">
        <f>IF(F883,MAX(0,E883-I6*D883)*IFERROR(INDEX($D$158:$D$161,MATCH(C883,$A$158:$A$161,0)),0),0)</f>
        <v>0</v>
      </c>
      <c r="J883" s="62">
        <f t="shared" si="86"/>
        <v>0</v>
      </c>
    </row>
    <row r="884" spans="1:10" ht="15" customHeight="1" outlineLevel="1" x14ac:dyDescent="0.2">
      <c r="A884" s="63" t="str">
        <f t="shared" si="87"/>
        <v>R045</v>
      </c>
      <c r="B884" s="64">
        <f>$A$1439</f>
        <v>45839</v>
      </c>
      <c r="C884" s="63" t="str">
        <f t="shared" si="88"/>
        <v>SDR / Inside Sales Rep</v>
      </c>
      <c r="D884" s="62">
        <f>SUMIFS(Fact_Quota!$D:$D,Fact_Quota!$A:$A,$A884,Fact_Quota!$B:$B,"&gt;="&amp;B884,Fact_Quota!$B:$B,"&lt;"&amp;EDATE(B884,1))</f>
        <v>16200</v>
      </c>
      <c r="E884" s="62">
        <f>SUMIFS(Fact_Pipeline!$K:$K,Fact_Pipeline!$B:$B,$A884,Fact_Pipeline!$J:$J,"Won",Fact_Pipeline!$I:$I,"&gt;="&amp;B884,Fact_Pipeline!$I:$I,"&lt;"&amp;EDATE(B884,1))</f>
        <v>10500</v>
      </c>
      <c r="F884" s="63" t="b">
        <f>AND(D884&gt;0,IFERROR(E884/D884&gt;=G6,FALSE()))</f>
        <v>1</v>
      </c>
      <c r="G884" s="62">
        <f t="shared" si="85"/>
        <v>315</v>
      </c>
      <c r="H884" s="62">
        <f>IF(F884,MAX(0,MIN(E884,I6*D884)-D884)*IFERROR(INDEX($C$158:$C$161,MATCH(C884,$A$158:$A$161,0)),0),0)</f>
        <v>0</v>
      </c>
      <c r="I884" s="62">
        <f>IF(F884,MAX(0,E884-I6*D884)*IFERROR(INDEX($D$158:$D$161,MATCH(C884,$A$158:$A$161,0)),0),0)</f>
        <v>0</v>
      </c>
      <c r="J884" s="62">
        <f t="shared" si="86"/>
        <v>315</v>
      </c>
    </row>
    <row r="885" spans="1:10" ht="15" customHeight="1" outlineLevel="1" x14ac:dyDescent="0.2">
      <c r="A885" s="63" t="str">
        <f t="shared" si="87"/>
        <v>R045</v>
      </c>
      <c r="B885" s="64">
        <f>$A$1440</f>
        <v>45870</v>
      </c>
      <c r="C885" s="63" t="str">
        <f t="shared" si="88"/>
        <v>SDR / Inside Sales Rep</v>
      </c>
      <c r="D885" s="62">
        <f>SUMIFS(Fact_Quota!$D:$D,Fact_Quota!$A:$A,$A885,Fact_Quota!$B:$B,"&gt;="&amp;B885,Fact_Quota!$B:$B,"&lt;"&amp;EDATE(B885,1))</f>
        <v>15200</v>
      </c>
      <c r="E885" s="62">
        <f>SUMIFS(Fact_Pipeline!$K:$K,Fact_Pipeline!$B:$B,$A885,Fact_Pipeline!$J:$J,"Won",Fact_Pipeline!$I:$I,"&gt;="&amp;B885,Fact_Pipeline!$I:$I,"&lt;"&amp;EDATE(B885,1))</f>
        <v>7300</v>
      </c>
      <c r="F885" s="63" t="b">
        <f>AND(D885&gt;0,IFERROR(E885/D885&gt;=G6,FALSE()))</f>
        <v>0</v>
      </c>
      <c r="G885" s="62">
        <f t="shared" si="85"/>
        <v>0</v>
      </c>
      <c r="H885" s="62">
        <f>IF(F885,MAX(0,MIN(E885,I6*D885)-D885)*IFERROR(INDEX($C$158:$C$161,MATCH(C885,$A$158:$A$161,0)),0),0)</f>
        <v>0</v>
      </c>
      <c r="I885" s="62">
        <f>IF(F885,MAX(0,E885-I6*D885)*IFERROR(INDEX($D$158:$D$161,MATCH(C885,$A$158:$A$161,0)),0),0)</f>
        <v>0</v>
      </c>
      <c r="J885" s="62">
        <f t="shared" si="86"/>
        <v>0</v>
      </c>
    </row>
    <row r="886" spans="1:10" ht="15" customHeight="1" outlineLevel="1" x14ac:dyDescent="0.2">
      <c r="A886" s="63" t="str">
        <f t="shared" si="87"/>
        <v>R045</v>
      </c>
      <c r="B886" s="64">
        <f>$A$1441</f>
        <v>45901</v>
      </c>
      <c r="C886" s="63" t="str">
        <f t="shared" si="88"/>
        <v>SDR / Inside Sales Rep</v>
      </c>
      <c r="D886" s="62">
        <f>SUMIFS(Fact_Quota!$D:$D,Fact_Quota!$A:$A,$A886,Fact_Quota!$B:$B,"&gt;="&amp;B886,Fact_Quota!$B:$B,"&lt;"&amp;EDATE(B886,1))</f>
        <v>15100</v>
      </c>
      <c r="E886" s="62">
        <f>SUMIFS(Fact_Pipeline!$K:$K,Fact_Pipeline!$B:$B,$A886,Fact_Pipeline!$J:$J,"Won",Fact_Pipeline!$I:$I,"&gt;="&amp;B886,Fact_Pipeline!$I:$I,"&lt;"&amp;EDATE(B886,1))</f>
        <v>14100</v>
      </c>
      <c r="F886" s="63" t="b">
        <f>AND(D886&gt;0,IFERROR(E886/D886&gt;=G6,FALSE()))</f>
        <v>1</v>
      </c>
      <c r="G886" s="62">
        <f t="shared" si="85"/>
        <v>423</v>
      </c>
      <c r="H886" s="62">
        <f>IF(F886,MAX(0,MIN(E886,I6*D886)-D886)*IFERROR(INDEX($C$158:$C$161,MATCH(C886,$A$158:$A$161,0)),0),0)</f>
        <v>0</v>
      </c>
      <c r="I886" s="62">
        <f>IF(F886,MAX(0,E886-I6*D886)*IFERROR(INDEX($D$158:$D$161,MATCH(C886,$A$158:$A$161,0)),0),0)</f>
        <v>0</v>
      </c>
      <c r="J886" s="62">
        <f t="shared" si="86"/>
        <v>423</v>
      </c>
    </row>
    <row r="887" spans="1:10" ht="15" customHeight="1" outlineLevel="1" x14ac:dyDescent="0.2">
      <c r="A887" s="63" t="str">
        <f t="shared" si="87"/>
        <v>R045</v>
      </c>
      <c r="B887" s="64">
        <f>$A$1442</f>
        <v>45931</v>
      </c>
      <c r="C887" s="63" t="str">
        <f t="shared" si="88"/>
        <v>SDR / Inside Sales Rep</v>
      </c>
      <c r="D887" s="62">
        <f>SUMIFS(Fact_Quota!$D:$D,Fact_Quota!$A:$A,$A887,Fact_Quota!$B:$B,"&gt;="&amp;B887,Fact_Quota!$B:$B,"&lt;"&amp;EDATE(B887,1))</f>
        <v>15700</v>
      </c>
      <c r="E887" s="62">
        <f>SUMIFS(Fact_Pipeline!$K:$K,Fact_Pipeline!$B:$B,$A887,Fact_Pipeline!$J:$J,"Won",Fact_Pipeline!$I:$I,"&gt;="&amp;B887,Fact_Pipeline!$I:$I,"&lt;"&amp;EDATE(B887,1))</f>
        <v>17700</v>
      </c>
      <c r="F887" s="63" t="b">
        <f>AND(D887&gt;0,IFERROR(E887/D887&gt;=G6,FALSE()))</f>
        <v>1</v>
      </c>
      <c r="G887" s="62">
        <f t="shared" si="85"/>
        <v>471</v>
      </c>
      <c r="H887" s="62">
        <f>IF(F887,MAX(0,MIN(E887,I6*D887)-D887)*IFERROR(INDEX($C$158:$C$161,MATCH(C887,$A$158:$A$161,0)),0),0)</f>
        <v>100</v>
      </c>
      <c r="I887" s="62">
        <f>IF(F887,MAX(0,E887-I6*D887)*IFERROR(INDEX($D$158:$D$161,MATCH(C887,$A$158:$A$161,0)),0),0)</f>
        <v>0</v>
      </c>
      <c r="J887" s="62">
        <f t="shared" si="86"/>
        <v>571</v>
      </c>
    </row>
    <row r="888" spans="1:10" ht="15" customHeight="1" outlineLevel="1" x14ac:dyDescent="0.2">
      <c r="A888" s="63" t="str">
        <f t="shared" si="87"/>
        <v>R045</v>
      </c>
      <c r="B888" s="64">
        <f>$A$1443</f>
        <v>45962</v>
      </c>
      <c r="C888" s="63" t="str">
        <f t="shared" si="88"/>
        <v>SDR / Inside Sales Rep</v>
      </c>
      <c r="D888" s="62">
        <f>SUMIFS(Fact_Quota!$D:$D,Fact_Quota!$A:$A,$A888,Fact_Quota!$B:$B,"&gt;="&amp;B888,Fact_Quota!$B:$B,"&lt;"&amp;EDATE(B888,1))</f>
        <v>15200</v>
      </c>
      <c r="E888" s="62">
        <f>SUMIFS(Fact_Pipeline!$K:$K,Fact_Pipeline!$B:$B,$A888,Fact_Pipeline!$J:$J,"Won",Fact_Pipeline!$I:$I,"&gt;="&amp;B888,Fact_Pipeline!$I:$I,"&lt;"&amp;EDATE(B888,1))</f>
        <v>21800</v>
      </c>
      <c r="F888" s="63" t="b">
        <f>AND(D888&gt;0,IFERROR(E888/D888&gt;=G6,FALSE()))</f>
        <v>1</v>
      </c>
      <c r="G888" s="62">
        <f t="shared" si="85"/>
        <v>456</v>
      </c>
      <c r="H888" s="62">
        <f>IF(F888,MAX(0,MIN(E888,I6*D888)-D888)*IFERROR(INDEX($C$158:$C$161,MATCH(C888,$A$158:$A$161,0)),0),0)</f>
        <v>330</v>
      </c>
      <c r="I888" s="62">
        <f>IF(F888,MAX(0,E888-I6*D888)*IFERROR(INDEX($D$158:$D$161,MATCH(C888,$A$158:$A$161,0)),0),0)</f>
        <v>0</v>
      </c>
      <c r="J888" s="62">
        <f t="shared" si="86"/>
        <v>786</v>
      </c>
    </row>
    <row r="889" spans="1:10" ht="15" customHeight="1" outlineLevel="1" x14ac:dyDescent="0.2">
      <c r="A889" s="63" t="str">
        <f t="shared" si="87"/>
        <v>R045</v>
      </c>
      <c r="B889" s="64">
        <f>$A$1444</f>
        <v>45992</v>
      </c>
      <c r="C889" s="63" t="str">
        <f t="shared" si="88"/>
        <v>SDR / Inside Sales Rep</v>
      </c>
      <c r="D889" s="62">
        <f>SUMIFS(Fact_Quota!$D:$D,Fact_Quota!$A:$A,$A889,Fact_Quota!$B:$B,"&gt;="&amp;B889,Fact_Quota!$B:$B,"&lt;"&amp;EDATE(B889,1))</f>
        <v>15800</v>
      </c>
      <c r="E889" s="62">
        <f>SUMIFS(Fact_Pipeline!$K:$K,Fact_Pipeline!$B:$B,$A889,Fact_Pipeline!$J:$J,"Won",Fact_Pipeline!$I:$I,"&gt;="&amp;B889,Fact_Pipeline!$I:$I,"&lt;"&amp;EDATE(B889,1))</f>
        <v>14900</v>
      </c>
      <c r="F889" s="63" t="b">
        <f>AND(D889&gt;0,IFERROR(E889/D889&gt;=G6,FALSE()))</f>
        <v>1</v>
      </c>
      <c r="G889" s="62">
        <f t="shared" si="85"/>
        <v>447</v>
      </c>
      <c r="H889" s="62">
        <f>IF(F889,MAX(0,MIN(E889,I6*D889)-D889)*IFERROR(INDEX($C$158:$C$161,MATCH(C889,$A$158:$A$161,0)),0),0)</f>
        <v>0</v>
      </c>
      <c r="I889" s="62">
        <f>IF(F889,MAX(0,E889-I6*D889)*IFERROR(INDEX($D$158:$D$161,MATCH(C889,$A$158:$A$161,0)),0),0)</f>
        <v>0</v>
      </c>
      <c r="J889" s="62">
        <f t="shared" si="86"/>
        <v>447</v>
      </c>
    </row>
    <row r="890" spans="1:10" ht="15" customHeight="1" outlineLevel="1" x14ac:dyDescent="0.2">
      <c r="A890" s="66" t="str">
        <f t="shared" ref="A890:A913" si="89">$A$193</f>
        <v>R047</v>
      </c>
      <c r="B890" s="67">
        <f>$A$1421</f>
        <v>45292</v>
      </c>
      <c r="C890" s="66" t="str">
        <f t="shared" ref="C890:C913" si="90">$C$193</f>
        <v>SDR / Inside Sales Rep</v>
      </c>
      <c r="D890" s="65">
        <f>SUMIFS(Fact_Quota!$D:$D,Fact_Quota!$A:$A,$A890,Fact_Quota!$B:$B,"&gt;="&amp;B890,Fact_Quota!$B:$B,"&lt;"&amp;EDATE(B890,1))</f>
        <v>0</v>
      </c>
      <c r="E890" s="65">
        <f>SUMIFS(Fact_Pipeline!$K:$K,Fact_Pipeline!$B:$B,$A890,Fact_Pipeline!$J:$J,"Won",Fact_Pipeline!$I:$I,"&gt;="&amp;B890,Fact_Pipeline!$I:$I,"&lt;"&amp;EDATE(B890,1))</f>
        <v>0</v>
      </c>
      <c r="F890" s="66" t="b">
        <f>AND(D890&gt;0,IFERROR(E890/D890&gt;=G6,FALSE()))</f>
        <v>0</v>
      </c>
      <c r="G890" s="65">
        <f t="shared" si="85"/>
        <v>0</v>
      </c>
      <c r="H890" s="65">
        <f>IF(F890,MAX(0,MIN(E890,I6*D890)-D890)*IFERROR(INDEX($C$158:$C$161,MATCH(C890,$A$158:$A$161,0)),0),0)</f>
        <v>0</v>
      </c>
      <c r="I890" s="65">
        <f>IF(F890,MAX(0,E890-I6*D890)*IFERROR(INDEX($D$158:$D$161,MATCH(C890,$A$158:$A$161,0)),0),0)</f>
        <v>0</v>
      </c>
      <c r="J890" s="65">
        <f t="shared" si="86"/>
        <v>0</v>
      </c>
    </row>
    <row r="891" spans="1:10" ht="15" customHeight="1" outlineLevel="1" x14ac:dyDescent="0.2">
      <c r="A891" s="66" t="str">
        <f t="shared" si="89"/>
        <v>R047</v>
      </c>
      <c r="B891" s="67">
        <f>$A$1422</f>
        <v>45323</v>
      </c>
      <c r="C891" s="66" t="str">
        <f t="shared" si="90"/>
        <v>SDR / Inside Sales Rep</v>
      </c>
      <c r="D891" s="65">
        <f>SUMIFS(Fact_Quota!$D:$D,Fact_Quota!$A:$A,$A891,Fact_Quota!$B:$B,"&gt;="&amp;B891,Fact_Quota!$B:$B,"&lt;"&amp;EDATE(B891,1))</f>
        <v>0</v>
      </c>
      <c r="E891" s="65">
        <f>SUMIFS(Fact_Pipeline!$K:$K,Fact_Pipeline!$B:$B,$A891,Fact_Pipeline!$J:$J,"Won",Fact_Pipeline!$I:$I,"&gt;="&amp;B891,Fact_Pipeline!$I:$I,"&lt;"&amp;EDATE(B891,1))</f>
        <v>0</v>
      </c>
      <c r="F891" s="66" t="b">
        <f>AND(D891&gt;0,IFERROR(E891/D891&gt;=G6,FALSE()))</f>
        <v>0</v>
      </c>
      <c r="G891" s="65">
        <f t="shared" si="85"/>
        <v>0</v>
      </c>
      <c r="H891" s="65">
        <f>IF(F891,MAX(0,MIN(E891,I6*D891)-D891)*IFERROR(INDEX($C$158:$C$161,MATCH(C891,$A$158:$A$161,0)),0),0)</f>
        <v>0</v>
      </c>
      <c r="I891" s="65">
        <f>IF(F891,MAX(0,E891-I6*D891)*IFERROR(INDEX($D$158:$D$161,MATCH(C891,$A$158:$A$161,0)),0),0)</f>
        <v>0</v>
      </c>
      <c r="J891" s="65">
        <f t="shared" si="86"/>
        <v>0</v>
      </c>
    </row>
    <row r="892" spans="1:10" ht="15" customHeight="1" outlineLevel="1" x14ac:dyDescent="0.2">
      <c r="A892" s="66" t="str">
        <f t="shared" si="89"/>
        <v>R047</v>
      </c>
      <c r="B892" s="67">
        <f>$A$1423</f>
        <v>45352</v>
      </c>
      <c r="C892" s="66" t="str">
        <f t="shared" si="90"/>
        <v>SDR / Inside Sales Rep</v>
      </c>
      <c r="D892" s="65">
        <f>SUMIFS(Fact_Quota!$D:$D,Fact_Quota!$A:$A,$A892,Fact_Quota!$B:$B,"&gt;="&amp;B892,Fact_Quota!$B:$B,"&lt;"&amp;EDATE(B892,1))</f>
        <v>0</v>
      </c>
      <c r="E892" s="65">
        <f>SUMIFS(Fact_Pipeline!$K:$K,Fact_Pipeline!$B:$B,$A892,Fact_Pipeline!$J:$J,"Won",Fact_Pipeline!$I:$I,"&gt;="&amp;B892,Fact_Pipeline!$I:$I,"&lt;"&amp;EDATE(B892,1))</f>
        <v>0</v>
      </c>
      <c r="F892" s="66" t="b">
        <f>AND(D892&gt;0,IFERROR(E892/D892&gt;=G6,FALSE()))</f>
        <v>0</v>
      </c>
      <c r="G892" s="65">
        <f t="shared" si="85"/>
        <v>0</v>
      </c>
      <c r="H892" s="65">
        <f>IF(F892,MAX(0,MIN(E892,I6*D892)-D892)*IFERROR(INDEX($C$158:$C$161,MATCH(C892,$A$158:$A$161,0)),0),0)</f>
        <v>0</v>
      </c>
      <c r="I892" s="65">
        <f>IF(F892,MAX(0,E892-I6*D892)*IFERROR(INDEX($D$158:$D$161,MATCH(C892,$A$158:$A$161,0)),0),0)</f>
        <v>0</v>
      </c>
      <c r="J892" s="65">
        <f t="shared" si="86"/>
        <v>0</v>
      </c>
    </row>
    <row r="893" spans="1:10" ht="15" customHeight="1" outlineLevel="1" x14ac:dyDescent="0.2">
      <c r="A893" s="66" t="str">
        <f t="shared" si="89"/>
        <v>R047</v>
      </c>
      <c r="B893" s="67">
        <f>$A$1424</f>
        <v>45383</v>
      </c>
      <c r="C893" s="66" t="str">
        <f t="shared" si="90"/>
        <v>SDR / Inside Sales Rep</v>
      </c>
      <c r="D893" s="65">
        <f>SUMIFS(Fact_Quota!$D:$D,Fact_Quota!$A:$A,$A893,Fact_Quota!$B:$B,"&gt;="&amp;B893,Fact_Quota!$B:$B,"&lt;"&amp;EDATE(B893,1))</f>
        <v>0</v>
      </c>
      <c r="E893" s="65">
        <f>SUMIFS(Fact_Pipeline!$K:$K,Fact_Pipeline!$B:$B,$A893,Fact_Pipeline!$J:$J,"Won",Fact_Pipeline!$I:$I,"&gt;="&amp;B893,Fact_Pipeline!$I:$I,"&lt;"&amp;EDATE(B893,1))</f>
        <v>0</v>
      </c>
      <c r="F893" s="66" t="b">
        <f>AND(D893&gt;0,IFERROR(E893/D893&gt;=G6,FALSE()))</f>
        <v>0</v>
      </c>
      <c r="G893" s="65">
        <f t="shared" si="85"/>
        <v>0</v>
      </c>
      <c r="H893" s="65">
        <f>IF(F893,MAX(0,MIN(E893,I6*D893)-D893)*IFERROR(INDEX($C$158:$C$161,MATCH(C893,$A$158:$A$161,0)),0),0)</f>
        <v>0</v>
      </c>
      <c r="I893" s="65">
        <f>IF(F893,MAX(0,E893-I6*D893)*IFERROR(INDEX($D$158:$D$161,MATCH(C893,$A$158:$A$161,0)),0),0)</f>
        <v>0</v>
      </c>
      <c r="J893" s="65">
        <f t="shared" si="86"/>
        <v>0</v>
      </c>
    </row>
    <row r="894" spans="1:10" ht="15" customHeight="1" outlineLevel="1" x14ac:dyDescent="0.2">
      <c r="A894" s="66" t="str">
        <f t="shared" si="89"/>
        <v>R047</v>
      </c>
      <c r="B894" s="67">
        <f>$A$1425</f>
        <v>45413</v>
      </c>
      <c r="C894" s="66" t="str">
        <f t="shared" si="90"/>
        <v>SDR / Inside Sales Rep</v>
      </c>
      <c r="D894" s="65">
        <f>SUMIFS(Fact_Quota!$D:$D,Fact_Quota!$A:$A,$A894,Fact_Quota!$B:$B,"&gt;="&amp;B894,Fact_Quota!$B:$B,"&lt;"&amp;EDATE(B894,1))</f>
        <v>0</v>
      </c>
      <c r="E894" s="65">
        <f>SUMIFS(Fact_Pipeline!$K:$K,Fact_Pipeline!$B:$B,$A894,Fact_Pipeline!$J:$J,"Won",Fact_Pipeline!$I:$I,"&gt;="&amp;B894,Fact_Pipeline!$I:$I,"&lt;"&amp;EDATE(B894,1))</f>
        <v>0</v>
      </c>
      <c r="F894" s="66" t="b">
        <f>AND(D894&gt;0,IFERROR(E894/D894&gt;=G6,FALSE()))</f>
        <v>0</v>
      </c>
      <c r="G894" s="65">
        <f t="shared" si="85"/>
        <v>0</v>
      </c>
      <c r="H894" s="65">
        <f>IF(F894,MAX(0,MIN(E894,I6*D894)-D894)*IFERROR(INDEX($C$158:$C$161,MATCH(C894,$A$158:$A$161,0)),0),0)</f>
        <v>0</v>
      </c>
      <c r="I894" s="65">
        <f>IF(F894,MAX(0,E894-I6*D894)*IFERROR(INDEX($D$158:$D$161,MATCH(C894,$A$158:$A$161,0)),0),0)</f>
        <v>0</v>
      </c>
      <c r="J894" s="65">
        <f t="shared" si="86"/>
        <v>0</v>
      </c>
    </row>
    <row r="895" spans="1:10" ht="15" customHeight="1" outlineLevel="1" x14ac:dyDescent="0.2">
      <c r="A895" s="66" t="str">
        <f t="shared" si="89"/>
        <v>R047</v>
      </c>
      <c r="B895" s="67">
        <f>$A$1426</f>
        <v>45444</v>
      </c>
      <c r="C895" s="66" t="str">
        <f t="shared" si="90"/>
        <v>SDR / Inside Sales Rep</v>
      </c>
      <c r="D895" s="65">
        <f>SUMIFS(Fact_Quota!$D:$D,Fact_Quota!$A:$A,$A895,Fact_Quota!$B:$B,"&gt;="&amp;B895,Fact_Quota!$B:$B,"&lt;"&amp;EDATE(B895,1))</f>
        <v>0</v>
      </c>
      <c r="E895" s="65">
        <f>SUMIFS(Fact_Pipeline!$K:$K,Fact_Pipeline!$B:$B,$A895,Fact_Pipeline!$J:$J,"Won",Fact_Pipeline!$I:$I,"&gt;="&amp;B895,Fact_Pipeline!$I:$I,"&lt;"&amp;EDATE(B895,1))</f>
        <v>0</v>
      </c>
      <c r="F895" s="66" t="b">
        <f>AND(D895&gt;0,IFERROR(E895/D895&gt;=G6,FALSE()))</f>
        <v>0</v>
      </c>
      <c r="G895" s="65">
        <f t="shared" si="85"/>
        <v>0</v>
      </c>
      <c r="H895" s="65">
        <f>IF(F895,MAX(0,MIN(E895,I6*D895)-D895)*IFERROR(INDEX($C$158:$C$161,MATCH(C895,$A$158:$A$161,0)),0),0)</f>
        <v>0</v>
      </c>
      <c r="I895" s="65">
        <f>IF(F895,MAX(0,E895-I6*D895)*IFERROR(INDEX($D$158:$D$161,MATCH(C895,$A$158:$A$161,0)),0),0)</f>
        <v>0</v>
      </c>
      <c r="J895" s="65">
        <f t="shared" si="86"/>
        <v>0</v>
      </c>
    </row>
    <row r="896" spans="1:10" ht="15" customHeight="1" outlineLevel="1" x14ac:dyDescent="0.2">
      <c r="A896" s="66" t="str">
        <f t="shared" si="89"/>
        <v>R047</v>
      </c>
      <c r="B896" s="67">
        <f>$A$1427</f>
        <v>45474</v>
      </c>
      <c r="C896" s="66" t="str">
        <f t="shared" si="90"/>
        <v>SDR / Inside Sales Rep</v>
      </c>
      <c r="D896" s="65">
        <f>SUMIFS(Fact_Quota!$D:$D,Fact_Quota!$A:$A,$A896,Fact_Quota!$B:$B,"&gt;="&amp;B896,Fact_Quota!$B:$B,"&lt;"&amp;EDATE(B896,1))</f>
        <v>0</v>
      </c>
      <c r="E896" s="65">
        <f>SUMIFS(Fact_Pipeline!$K:$K,Fact_Pipeline!$B:$B,$A896,Fact_Pipeline!$J:$J,"Won",Fact_Pipeline!$I:$I,"&gt;="&amp;B896,Fact_Pipeline!$I:$I,"&lt;"&amp;EDATE(B896,1))</f>
        <v>0</v>
      </c>
      <c r="F896" s="66" t="b">
        <f>AND(D896&gt;0,IFERROR(E896/D896&gt;=G6,FALSE()))</f>
        <v>0</v>
      </c>
      <c r="G896" s="65">
        <f t="shared" si="85"/>
        <v>0</v>
      </c>
      <c r="H896" s="65">
        <f>IF(F896,MAX(0,MIN(E896,I6*D896)-D896)*IFERROR(INDEX($C$158:$C$161,MATCH(C896,$A$158:$A$161,0)),0),0)</f>
        <v>0</v>
      </c>
      <c r="I896" s="65">
        <f>IF(F896,MAX(0,E896-I6*D896)*IFERROR(INDEX($D$158:$D$161,MATCH(C896,$A$158:$A$161,0)),0),0)</f>
        <v>0</v>
      </c>
      <c r="J896" s="65">
        <f t="shared" si="86"/>
        <v>0</v>
      </c>
    </row>
    <row r="897" spans="1:10" ht="15" customHeight="1" outlineLevel="1" x14ac:dyDescent="0.2">
      <c r="A897" s="66" t="str">
        <f t="shared" si="89"/>
        <v>R047</v>
      </c>
      <c r="B897" s="67">
        <f>$A$1428</f>
        <v>45505</v>
      </c>
      <c r="C897" s="66" t="str">
        <f t="shared" si="90"/>
        <v>SDR / Inside Sales Rep</v>
      </c>
      <c r="D897" s="65">
        <f>SUMIFS(Fact_Quota!$D:$D,Fact_Quota!$A:$A,$A897,Fact_Quota!$B:$B,"&gt;="&amp;B897,Fact_Quota!$B:$B,"&lt;"&amp;EDATE(B897,1))</f>
        <v>0</v>
      </c>
      <c r="E897" s="65">
        <f>SUMIFS(Fact_Pipeline!$K:$K,Fact_Pipeline!$B:$B,$A897,Fact_Pipeline!$J:$J,"Won",Fact_Pipeline!$I:$I,"&gt;="&amp;B897,Fact_Pipeline!$I:$I,"&lt;"&amp;EDATE(B897,1))</f>
        <v>0</v>
      </c>
      <c r="F897" s="66" t="b">
        <f>AND(D897&gt;0,IFERROR(E897/D897&gt;=G6,FALSE()))</f>
        <v>0</v>
      </c>
      <c r="G897" s="65">
        <f t="shared" si="85"/>
        <v>0</v>
      </c>
      <c r="H897" s="65">
        <f>IF(F897,MAX(0,MIN(E897,I6*D897)-D897)*IFERROR(INDEX($C$158:$C$161,MATCH(C897,$A$158:$A$161,0)),0),0)</f>
        <v>0</v>
      </c>
      <c r="I897" s="65">
        <f>IF(F897,MAX(0,E897-I6*D897)*IFERROR(INDEX($D$158:$D$161,MATCH(C897,$A$158:$A$161,0)),0),0)</f>
        <v>0</v>
      </c>
      <c r="J897" s="65">
        <f t="shared" si="86"/>
        <v>0</v>
      </c>
    </row>
    <row r="898" spans="1:10" ht="15" customHeight="1" outlineLevel="1" x14ac:dyDescent="0.2">
      <c r="A898" s="66" t="str">
        <f t="shared" si="89"/>
        <v>R047</v>
      </c>
      <c r="B898" s="67">
        <f>$A$1429</f>
        <v>45536</v>
      </c>
      <c r="C898" s="66" t="str">
        <f t="shared" si="90"/>
        <v>SDR / Inside Sales Rep</v>
      </c>
      <c r="D898" s="65">
        <f>SUMIFS(Fact_Quota!$D:$D,Fact_Quota!$A:$A,$A898,Fact_Quota!$B:$B,"&gt;="&amp;B898,Fact_Quota!$B:$B,"&lt;"&amp;EDATE(B898,1))</f>
        <v>0</v>
      </c>
      <c r="E898" s="65">
        <f>SUMIFS(Fact_Pipeline!$K:$K,Fact_Pipeline!$B:$B,$A898,Fact_Pipeline!$J:$J,"Won",Fact_Pipeline!$I:$I,"&gt;="&amp;B898,Fact_Pipeline!$I:$I,"&lt;"&amp;EDATE(B898,1))</f>
        <v>0</v>
      </c>
      <c r="F898" s="66" t="b">
        <f>AND(D898&gt;0,IFERROR(E898/D898&gt;=G6,FALSE()))</f>
        <v>0</v>
      </c>
      <c r="G898" s="65">
        <f t="shared" si="85"/>
        <v>0</v>
      </c>
      <c r="H898" s="65">
        <f>IF(F898,MAX(0,MIN(E898,I6*D898)-D898)*IFERROR(INDEX($C$158:$C$161,MATCH(C898,$A$158:$A$161,0)),0),0)</f>
        <v>0</v>
      </c>
      <c r="I898" s="65">
        <f>IF(F898,MAX(0,E898-I6*D898)*IFERROR(INDEX($D$158:$D$161,MATCH(C898,$A$158:$A$161,0)),0),0)</f>
        <v>0</v>
      </c>
      <c r="J898" s="65">
        <f t="shared" si="86"/>
        <v>0</v>
      </c>
    </row>
    <row r="899" spans="1:10" ht="15" customHeight="1" outlineLevel="1" x14ac:dyDescent="0.2">
      <c r="A899" s="66" t="str">
        <f t="shared" si="89"/>
        <v>R047</v>
      </c>
      <c r="B899" s="67">
        <f>$A$1430</f>
        <v>45566</v>
      </c>
      <c r="C899" s="66" t="str">
        <f t="shared" si="90"/>
        <v>SDR / Inside Sales Rep</v>
      </c>
      <c r="D899" s="65">
        <f>SUMIFS(Fact_Quota!$D:$D,Fact_Quota!$A:$A,$A899,Fact_Quota!$B:$B,"&gt;="&amp;B899,Fact_Quota!$B:$B,"&lt;"&amp;EDATE(B899,1))</f>
        <v>0</v>
      </c>
      <c r="E899" s="65">
        <f>SUMIFS(Fact_Pipeline!$K:$K,Fact_Pipeline!$B:$B,$A899,Fact_Pipeline!$J:$J,"Won",Fact_Pipeline!$I:$I,"&gt;="&amp;B899,Fact_Pipeline!$I:$I,"&lt;"&amp;EDATE(B899,1))</f>
        <v>0</v>
      </c>
      <c r="F899" s="66" t="b">
        <f>AND(D899&gt;0,IFERROR(E899/D899&gt;=G6,FALSE()))</f>
        <v>0</v>
      </c>
      <c r="G899" s="65">
        <f t="shared" si="85"/>
        <v>0</v>
      </c>
      <c r="H899" s="65">
        <f>IF(F899,MAX(0,MIN(E899,I6*D899)-D899)*IFERROR(INDEX($C$158:$C$161,MATCH(C899,$A$158:$A$161,0)),0),0)</f>
        <v>0</v>
      </c>
      <c r="I899" s="65">
        <f>IF(F899,MAX(0,E899-I6*D899)*IFERROR(INDEX($D$158:$D$161,MATCH(C899,$A$158:$A$161,0)),0),0)</f>
        <v>0</v>
      </c>
      <c r="J899" s="65">
        <f t="shared" si="86"/>
        <v>0</v>
      </c>
    </row>
    <row r="900" spans="1:10" ht="15" customHeight="1" outlineLevel="1" x14ac:dyDescent="0.2">
      <c r="A900" s="66" t="str">
        <f t="shared" si="89"/>
        <v>R047</v>
      </c>
      <c r="B900" s="67">
        <f>$A$1431</f>
        <v>45597</v>
      </c>
      <c r="C900" s="66" t="str">
        <f t="shared" si="90"/>
        <v>SDR / Inside Sales Rep</v>
      </c>
      <c r="D900" s="65">
        <f>SUMIFS(Fact_Quota!$D:$D,Fact_Quota!$A:$A,$A900,Fact_Quota!$B:$B,"&gt;="&amp;B900,Fact_Quota!$B:$B,"&lt;"&amp;EDATE(B900,1))</f>
        <v>0</v>
      </c>
      <c r="E900" s="65">
        <f>SUMIFS(Fact_Pipeline!$K:$K,Fact_Pipeline!$B:$B,$A900,Fact_Pipeline!$J:$J,"Won",Fact_Pipeline!$I:$I,"&gt;="&amp;B900,Fact_Pipeline!$I:$I,"&lt;"&amp;EDATE(B900,1))</f>
        <v>0</v>
      </c>
      <c r="F900" s="66" t="b">
        <f>AND(D900&gt;0,IFERROR(E900/D900&gt;=G6,FALSE()))</f>
        <v>0</v>
      </c>
      <c r="G900" s="65">
        <f t="shared" si="85"/>
        <v>0</v>
      </c>
      <c r="H900" s="65">
        <f>IF(F900,MAX(0,MIN(E900,I6*D900)-D900)*IFERROR(INDEX($C$158:$C$161,MATCH(C900,$A$158:$A$161,0)),0),0)</f>
        <v>0</v>
      </c>
      <c r="I900" s="65">
        <f>IF(F900,MAX(0,E900-I6*D900)*IFERROR(INDEX($D$158:$D$161,MATCH(C900,$A$158:$A$161,0)),0),0)</f>
        <v>0</v>
      </c>
      <c r="J900" s="65">
        <f t="shared" si="86"/>
        <v>0</v>
      </c>
    </row>
    <row r="901" spans="1:10" ht="15" customHeight="1" outlineLevel="1" x14ac:dyDescent="0.2">
      <c r="A901" s="66" t="str">
        <f t="shared" si="89"/>
        <v>R047</v>
      </c>
      <c r="B901" s="67">
        <f>$A$1432</f>
        <v>45627</v>
      </c>
      <c r="C901" s="66" t="str">
        <f t="shared" si="90"/>
        <v>SDR / Inside Sales Rep</v>
      </c>
      <c r="D901" s="65">
        <f>SUMIFS(Fact_Quota!$D:$D,Fact_Quota!$A:$A,$A901,Fact_Quota!$B:$B,"&gt;="&amp;B901,Fact_Quota!$B:$B,"&lt;"&amp;EDATE(B901,1))</f>
        <v>0</v>
      </c>
      <c r="E901" s="65">
        <f>SUMIFS(Fact_Pipeline!$K:$K,Fact_Pipeline!$B:$B,$A901,Fact_Pipeline!$J:$J,"Won",Fact_Pipeline!$I:$I,"&gt;="&amp;B901,Fact_Pipeline!$I:$I,"&lt;"&amp;EDATE(B901,1))</f>
        <v>0</v>
      </c>
      <c r="F901" s="66" t="b">
        <f>AND(D901&gt;0,IFERROR(E901/D901&gt;=G6,FALSE()))</f>
        <v>0</v>
      </c>
      <c r="G901" s="65">
        <f t="shared" si="85"/>
        <v>0</v>
      </c>
      <c r="H901" s="65">
        <f>IF(F901,MAX(0,MIN(E901,I6*D901)-D901)*IFERROR(INDEX($C$158:$C$161,MATCH(C901,$A$158:$A$161,0)),0),0)</f>
        <v>0</v>
      </c>
      <c r="I901" s="65">
        <f>IF(F901,MAX(0,E901-I6*D901)*IFERROR(INDEX($D$158:$D$161,MATCH(C901,$A$158:$A$161,0)),0),0)</f>
        <v>0</v>
      </c>
      <c r="J901" s="65">
        <f t="shared" si="86"/>
        <v>0</v>
      </c>
    </row>
    <row r="902" spans="1:10" ht="15" customHeight="1" outlineLevel="1" x14ac:dyDescent="0.2">
      <c r="A902" s="66" t="str">
        <f t="shared" si="89"/>
        <v>R047</v>
      </c>
      <c r="B902" s="67">
        <f>$A$1433</f>
        <v>45658</v>
      </c>
      <c r="C902" s="66" t="str">
        <f t="shared" si="90"/>
        <v>SDR / Inside Sales Rep</v>
      </c>
      <c r="D902" s="65">
        <f>SUMIFS(Fact_Quota!$D:$D,Fact_Quota!$A:$A,$A902,Fact_Quota!$B:$B,"&gt;="&amp;B902,Fact_Quota!$B:$B,"&lt;"&amp;EDATE(B902,1))</f>
        <v>0</v>
      </c>
      <c r="E902" s="65">
        <f>SUMIFS(Fact_Pipeline!$K:$K,Fact_Pipeline!$B:$B,$A902,Fact_Pipeline!$J:$J,"Won",Fact_Pipeline!$I:$I,"&gt;="&amp;B902,Fact_Pipeline!$I:$I,"&lt;"&amp;EDATE(B902,1))</f>
        <v>0</v>
      </c>
      <c r="F902" s="66" t="b">
        <f>AND(D902&gt;0,IFERROR(E902/D902&gt;=G6,FALSE()))</f>
        <v>0</v>
      </c>
      <c r="G902" s="65">
        <f t="shared" si="85"/>
        <v>0</v>
      </c>
      <c r="H902" s="65">
        <f>IF(F902,MAX(0,MIN(E902,I6*D902)-D902)*IFERROR(INDEX($C$158:$C$161,MATCH(C902,$A$158:$A$161,0)),0),0)</f>
        <v>0</v>
      </c>
      <c r="I902" s="65">
        <f>IF(F902,MAX(0,E902-I6*D902)*IFERROR(INDEX($D$158:$D$161,MATCH(C902,$A$158:$A$161,0)),0),0)</f>
        <v>0</v>
      </c>
      <c r="J902" s="65">
        <f t="shared" si="86"/>
        <v>0</v>
      </c>
    </row>
    <row r="903" spans="1:10" ht="15" customHeight="1" outlineLevel="1" x14ac:dyDescent="0.2">
      <c r="A903" s="66" t="str">
        <f t="shared" si="89"/>
        <v>R047</v>
      </c>
      <c r="B903" s="67">
        <f>$A$1434</f>
        <v>45689</v>
      </c>
      <c r="C903" s="66" t="str">
        <f t="shared" si="90"/>
        <v>SDR / Inside Sales Rep</v>
      </c>
      <c r="D903" s="65">
        <f>SUMIFS(Fact_Quota!$D:$D,Fact_Quota!$A:$A,$A903,Fact_Quota!$B:$B,"&gt;="&amp;B903,Fact_Quota!$B:$B,"&lt;"&amp;EDATE(B903,1))</f>
        <v>0</v>
      </c>
      <c r="E903" s="65">
        <f>SUMIFS(Fact_Pipeline!$K:$K,Fact_Pipeline!$B:$B,$A903,Fact_Pipeline!$J:$J,"Won",Fact_Pipeline!$I:$I,"&gt;="&amp;B903,Fact_Pipeline!$I:$I,"&lt;"&amp;EDATE(B903,1))</f>
        <v>0</v>
      </c>
      <c r="F903" s="66" t="b">
        <f>AND(D903&gt;0,IFERROR(E903/D903&gt;=G6,FALSE()))</f>
        <v>0</v>
      </c>
      <c r="G903" s="65">
        <f t="shared" si="85"/>
        <v>0</v>
      </c>
      <c r="H903" s="65">
        <f>IF(F903,MAX(0,MIN(E903,I6*D903)-D903)*IFERROR(INDEX($C$158:$C$161,MATCH(C903,$A$158:$A$161,0)),0),0)</f>
        <v>0</v>
      </c>
      <c r="I903" s="65">
        <f>IF(F903,MAX(0,E903-I6*D903)*IFERROR(INDEX($D$158:$D$161,MATCH(C903,$A$158:$A$161,0)),0),0)</f>
        <v>0</v>
      </c>
      <c r="J903" s="65">
        <f t="shared" si="86"/>
        <v>0</v>
      </c>
    </row>
    <row r="904" spans="1:10" ht="15" customHeight="1" outlineLevel="1" x14ac:dyDescent="0.2">
      <c r="A904" s="66" t="str">
        <f t="shared" si="89"/>
        <v>R047</v>
      </c>
      <c r="B904" s="67">
        <f>$A$1435</f>
        <v>45717</v>
      </c>
      <c r="C904" s="66" t="str">
        <f t="shared" si="90"/>
        <v>SDR / Inside Sales Rep</v>
      </c>
      <c r="D904" s="65">
        <f>SUMIFS(Fact_Quota!$D:$D,Fact_Quota!$A:$A,$A904,Fact_Quota!$B:$B,"&gt;="&amp;B904,Fact_Quota!$B:$B,"&lt;"&amp;EDATE(B904,1))</f>
        <v>0</v>
      </c>
      <c r="E904" s="65">
        <f>SUMIFS(Fact_Pipeline!$K:$K,Fact_Pipeline!$B:$B,$A904,Fact_Pipeline!$J:$J,"Won",Fact_Pipeline!$I:$I,"&gt;="&amp;B904,Fact_Pipeline!$I:$I,"&lt;"&amp;EDATE(B904,1))</f>
        <v>0</v>
      </c>
      <c r="F904" s="66" t="b">
        <f>AND(D904&gt;0,IFERROR(E904/D904&gt;=G6,FALSE()))</f>
        <v>0</v>
      </c>
      <c r="G904" s="65">
        <f t="shared" si="85"/>
        <v>0</v>
      </c>
      <c r="H904" s="65">
        <f>IF(F904,MAX(0,MIN(E904,I6*D904)-D904)*IFERROR(INDEX($C$158:$C$161,MATCH(C904,$A$158:$A$161,0)),0),0)</f>
        <v>0</v>
      </c>
      <c r="I904" s="65">
        <f>IF(F904,MAX(0,E904-I6*D904)*IFERROR(INDEX($D$158:$D$161,MATCH(C904,$A$158:$A$161,0)),0),0)</f>
        <v>0</v>
      </c>
      <c r="J904" s="65">
        <f t="shared" si="86"/>
        <v>0</v>
      </c>
    </row>
    <row r="905" spans="1:10" ht="15" customHeight="1" outlineLevel="1" x14ac:dyDescent="0.2">
      <c r="A905" s="66" t="str">
        <f t="shared" si="89"/>
        <v>R047</v>
      </c>
      <c r="B905" s="67">
        <f>$A$1436</f>
        <v>45748</v>
      </c>
      <c r="C905" s="66" t="str">
        <f t="shared" si="90"/>
        <v>SDR / Inside Sales Rep</v>
      </c>
      <c r="D905" s="65">
        <f>SUMIFS(Fact_Quota!$D:$D,Fact_Quota!$A:$A,$A905,Fact_Quota!$B:$B,"&gt;="&amp;B905,Fact_Quota!$B:$B,"&lt;"&amp;EDATE(B905,1))</f>
        <v>0</v>
      </c>
      <c r="E905" s="65">
        <f>SUMIFS(Fact_Pipeline!$K:$K,Fact_Pipeline!$B:$B,$A905,Fact_Pipeline!$J:$J,"Won",Fact_Pipeline!$I:$I,"&gt;="&amp;B905,Fact_Pipeline!$I:$I,"&lt;"&amp;EDATE(B905,1))</f>
        <v>0</v>
      </c>
      <c r="F905" s="66" t="b">
        <f>AND(D905&gt;0,IFERROR(E905/D905&gt;=G6,FALSE()))</f>
        <v>0</v>
      </c>
      <c r="G905" s="65">
        <f t="shared" si="85"/>
        <v>0</v>
      </c>
      <c r="H905" s="65">
        <f>IF(F905,MAX(0,MIN(E905,I6*D905)-D905)*IFERROR(INDEX($C$158:$C$161,MATCH(C905,$A$158:$A$161,0)),0),0)</f>
        <v>0</v>
      </c>
      <c r="I905" s="65">
        <f>IF(F905,MAX(0,E905-I6*D905)*IFERROR(INDEX($D$158:$D$161,MATCH(C905,$A$158:$A$161,0)),0),0)</f>
        <v>0</v>
      </c>
      <c r="J905" s="65">
        <f t="shared" si="86"/>
        <v>0</v>
      </c>
    </row>
    <row r="906" spans="1:10" ht="15" customHeight="1" outlineLevel="1" x14ac:dyDescent="0.2">
      <c r="A906" s="66" t="str">
        <f t="shared" si="89"/>
        <v>R047</v>
      </c>
      <c r="B906" s="67">
        <f>$A$1437</f>
        <v>45778</v>
      </c>
      <c r="C906" s="66" t="str">
        <f t="shared" si="90"/>
        <v>SDR / Inside Sales Rep</v>
      </c>
      <c r="D906" s="65">
        <f>SUMIFS(Fact_Quota!$D:$D,Fact_Quota!$A:$A,$A906,Fact_Quota!$B:$B,"&gt;="&amp;B906,Fact_Quota!$B:$B,"&lt;"&amp;EDATE(B906,1))</f>
        <v>0</v>
      </c>
      <c r="E906" s="65">
        <f>SUMIFS(Fact_Pipeline!$K:$K,Fact_Pipeline!$B:$B,$A906,Fact_Pipeline!$J:$J,"Won",Fact_Pipeline!$I:$I,"&gt;="&amp;B906,Fact_Pipeline!$I:$I,"&lt;"&amp;EDATE(B906,1))</f>
        <v>0</v>
      </c>
      <c r="F906" s="66" t="b">
        <f>AND(D906&gt;0,IFERROR(E906/D906&gt;=G6,FALSE()))</f>
        <v>0</v>
      </c>
      <c r="G906" s="65">
        <f t="shared" si="85"/>
        <v>0</v>
      </c>
      <c r="H906" s="65">
        <f>IF(F906,MAX(0,MIN(E906,I6*D906)-D906)*IFERROR(INDEX($C$158:$C$161,MATCH(C906,$A$158:$A$161,0)),0),0)</f>
        <v>0</v>
      </c>
      <c r="I906" s="65">
        <f>IF(F906,MAX(0,E906-I6*D906)*IFERROR(INDEX($D$158:$D$161,MATCH(C906,$A$158:$A$161,0)),0),0)</f>
        <v>0</v>
      </c>
      <c r="J906" s="65">
        <f t="shared" si="86"/>
        <v>0</v>
      </c>
    </row>
    <row r="907" spans="1:10" ht="15" customHeight="1" outlineLevel="1" x14ac:dyDescent="0.2">
      <c r="A907" s="66" t="str">
        <f t="shared" si="89"/>
        <v>R047</v>
      </c>
      <c r="B907" s="67">
        <f>$A$1438</f>
        <v>45809</v>
      </c>
      <c r="C907" s="66" t="str">
        <f t="shared" si="90"/>
        <v>SDR / Inside Sales Rep</v>
      </c>
      <c r="D907" s="65">
        <f>SUMIFS(Fact_Quota!$D:$D,Fact_Quota!$A:$A,$A907,Fact_Quota!$B:$B,"&gt;="&amp;B907,Fact_Quota!$B:$B,"&lt;"&amp;EDATE(B907,1))</f>
        <v>0</v>
      </c>
      <c r="E907" s="65">
        <f>SUMIFS(Fact_Pipeline!$K:$K,Fact_Pipeline!$B:$B,$A907,Fact_Pipeline!$J:$J,"Won",Fact_Pipeline!$I:$I,"&gt;="&amp;B907,Fact_Pipeline!$I:$I,"&lt;"&amp;EDATE(B907,1))</f>
        <v>0</v>
      </c>
      <c r="F907" s="66" t="b">
        <f>AND(D907&gt;0,IFERROR(E907/D907&gt;=G6,FALSE()))</f>
        <v>0</v>
      </c>
      <c r="G907" s="65">
        <f t="shared" si="85"/>
        <v>0</v>
      </c>
      <c r="H907" s="65">
        <f>IF(F907,MAX(0,MIN(E907,I6*D907)-D907)*IFERROR(INDEX($C$158:$C$161,MATCH(C907,$A$158:$A$161,0)),0),0)</f>
        <v>0</v>
      </c>
      <c r="I907" s="65">
        <f>IF(F907,MAX(0,E907-I6*D907)*IFERROR(INDEX($D$158:$D$161,MATCH(C907,$A$158:$A$161,0)),0),0)</f>
        <v>0</v>
      </c>
      <c r="J907" s="65">
        <f t="shared" si="86"/>
        <v>0</v>
      </c>
    </row>
    <row r="908" spans="1:10" ht="15" customHeight="1" outlineLevel="1" x14ac:dyDescent="0.2">
      <c r="A908" s="66" t="str">
        <f t="shared" si="89"/>
        <v>R047</v>
      </c>
      <c r="B908" s="67">
        <f>$A$1439</f>
        <v>45839</v>
      </c>
      <c r="C908" s="66" t="str">
        <f t="shared" si="90"/>
        <v>SDR / Inside Sales Rep</v>
      </c>
      <c r="D908" s="65">
        <f>SUMIFS(Fact_Quota!$D:$D,Fact_Quota!$A:$A,$A908,Fact_Quota!$B:$B,"&gt;="&amp;B908,Fact_Quota!$B:$B,"&lt;"&amp;EDATE(B908,1))</f>
        <v>0</v>
      </c>
      <c r="E908" s="65">
        <f>SUMIFS(Fact_Pipeline!$K:$K,Fact_Pipeline!$B:$B,$A908,Fact_Pipeline!$J:$J,"Won",Fact_Pipeline!$I:$I,"&gt;="&amp;B908,Fact_Pipeline!$I:$I,"&lt;"&amp;EDATE(B908,1))</f>
        <v>0</v>
      </c>
      <c r="F908" s="66" t="b">
        <f>AND(D908&gt;0,IFERROR(E908/D908&gt;=G6,FALSE()))</f>
        <v>0</v>
      </c>
      <c r="G908" s="65">
        <f t="shared" si="85"/>
        <v>0</v>
      </c>
      <c r="H908" s="65">
        <f>IF(F908,MAX(0,MIN(E908,I6*D908)-D908)*IFERROR(INDEX($C$158:$C$161,MATCH(C908,$A$158:$A$161,0)),0),0)</f>
        <v>0</v>
      </c>
      <c r="I908" s="65">
        <f>IF(F908,MAX(0,E908-I6*D908)*IFERROR(INDEX($D$158:$D$161,MATCH(C908,$A$158:$A$161,0)),0),0)</f>
        <v>0</v>
      </c>
      <c r="J908" s="65">
        <f t="shared" si="86"/>
        <v>0</v>
      </c>
    </row>
    <row r="909" spans="1:10" ht="15" customHeight="1" outlineLevel="1" x14ac:dyDescent="0.2">
      <c r="A909" s="66" t="str">
        <f t="shared" si="89"/>
        <v>R047</v>
      </c>
      <c r="B909" s="67">
        <f>$A$1440</f>
        <v>45870</v>
      </c>
      <c r="C909" s="66" t="str">
        <f t="shared" si="90"/>
        <v>SDR / Inside Sales Rep</v>
      </c>
      <c r="D909" s="65">
        <f>SUMIFS(Fact_Quota!$D:$D,Fact_Quota!$A:$A,$A909,Fact_Quota!$B:$B,"&gt;="&amp;B909,Fact_Quota!$B:$B,"&lt;"&amp;EDATE(B909,1))</f>
        <v>4000</v>
      </c>
      <c r="E909" s="65">
        <f>SUMIFS(Fact_Pipeline!$K:$K,Fact_Pipeline!$B:$B,$A909,Fact_Pipeline!$J:$J,"Won",Fact_Pipeline!$I:$I,"&gt;="&amp;B909,Fact_Pipeline!$I:$I,"&lt;"&amp;EDATE(B909,1))</f>
        <v>3100</v>
      </c>
      <c r="F909" s="66" t="b">
        <f>AND(D909&gt;0,IFERROR(E909/D909&gt;=G6,FALSE()))</f>
        <v>1</v>
      </c>
      <c r="G909" s="65">
        <f t="shared" si="85"/>
        <v>93</v>
      </c>
      <c r="H909" s="65">
        <f>IF(F909,MAX(0,MIN(E909,I6*D909)-D909)*IFERROR(INDEX($C$158:$C$161,MATCH(C909,$A$158:$A$161,0)),0),0)</f>
        <v>0</v>
      </c>
      <c r="I909" s="65">
        <f>IF(F909,MAX(0,E909-I6*D909)*IFERROR(INDEX($D$158:$D$161,MATCH(C909,$A$158:$A$161,0)),0),0)</f>
        <v>0</v>
      </c>
      <c r="J909" s="65">
        <f t="shared" si="86"/>
        <v>93</v>
      </c>
    </row>
    <row r="910" spans="1:10" ht="15" customHeight="1" outlineLevel="1" x14ac:dyDescent="0.2">
      <c r="A910" s="66" t="str">
        <f t="shared" si="89"/>
        <v>R047</v>
      </c>
      <c r="B910" s="67">
        <f>$A$1441</f>
        <v>45901</v>
      </c>
      <c r="C910" s="66" t="str">
        <f t="shared" si="90"/>
        <v>SDR / Inside Sales Rep</v>
      </c>
      <c r="D910" s="65">
        <f>SUMIFS(Fact_Quota!$D:$D,Fact_Quota!$A:$A,$A910,Fact_Quota!$B:$B,"&gt;="&amp;B910,Fact_Quota!$B:$B,"&lt;"&amp;EDATE(B910,1))</f>
        <v>8300</v>
      </c>
      <c r="E910" s="65">
        <f>SUMIFS(Fact_Pipeline!$K:$K,Fact_Pipeline!$B:$B,$A910,Fact_Pipeline!$J:$J,"Won",Fact_Pipeline!$I:$I,"&gt;="&amp;B910,Fact_Pipeline!$I:$I,"&lt;"&amp;EDATE(B910,1))</f>
        <v>5600</v>
      </c>
      <c r="F910" s="66" t="b">
        <f>AND(D910&gt;0,IFERROR(E910/D910&gt;=G6,FALSE()))</f>
        <v>1</v>
      </c>
      <c r="G910" s="65">
        <f t="shared" si="85"/>
        <v>168</v>
      </c>
      <c r="H910" s="65">
        <f>IF(F910,MAX(0,MIN(E910,I6*D910)-D910)*IFERROR(INDEX($C$158:$C$161,MATCH(C910,$A$158:$A$161,0)),0),0)</f>
        <v>0</v>
      </c>
      <c r="I910" s="65">
        <f>IF(F910,MAX(0,E910-I6*D910)*IFERROR(INDEX($D$158:$D$161,MATCH(C910,$A$158:$A$161,0)),0),0)</f>
        <v>0</v>
      </c>
      <c r="J910" s="65">
        <f t="shared" si="86"/>
        <v>168</v>
      </c>
    </row>
    <row r="911" spans="1:10" ht="15" customHeight="1" outlineLevel="1" x14ac:dyDescent="0.2">
      <c r="A911" s="66" t="str">
        <f t="shared" si="89"/>
        <v>R047</v>
      </c>
      <c r="B911" s="67">
        <f>$A$1442</f>
        <v>45931</v>
      </c>
      <c r="C911" s="66" t="str">
        <f t="shared" si="90"/>
        <v>SDR / Inside Sales Rep</v>
      </c>
      <c r="D911" s="65">
        <f>SUMIFS(Fact_Quota!$D:$D,Fact_Quota!$A:$A,$A911,Fact_Quota!$B:$B,"&gt;="&amp;B911,Fact_Quota!$B:$B,"&lt;"&amp;EDATE(B911,1))</f>
        <v>11400</v>
      </c>
      <c r="E911" s="65">
        <f>SUMIFS(Fact_Pipeline!$K:$K,Fact_Pipeline!$B:$B,$A911,Fact_Pipeline!$J:$J,"Won",Fact_Pipeline!$I:$I,"&gt;="&amp;B911,Fact_Pipeline!$I:$I,"&lt;"&amp;EDATE(B911,1))</f>
        <v>0</v>
      </c>
      <c r="F911" s="66" t="b">
        <f>AND(D911&gt;0,IFERROR(E911/D911&gt;=G6,FALSE()))</f>
        <v>0</v>
      </c>
      <c r="G911" s="65">
        <f t="shared" si="85"/>
        <v>0</v>
      </c>
      <c r="H911" s="65">
        <f>IF(F911,MAX(0,MIN(E911,I6*D911)-D911)*IFERROR(INDEX($C$158:$C$161,MATCH(C911,$A$158:$A$161,0)),0),0)</f>
        <v>0</v>
      </c>
      <c r="I911" s="65">
        <f>IF(F911,MAX(0,E911-I6*D911)*IFERROR(INDEX($D$158:$D$161,MATCH(C911,$A$158:$A$161,0)),0),0)</f>
        <v>0</v>
      </c>
      <c r="J911" s="65">
        <f t="shared" si="86"/>
        <v>0</v>
      </c>
    </row>
    <row r="912" spans="1:10" ht="15" customHeight="1" outlineLevel="1" x14ac:dyDescent="0.2">
      <c r="A912" s="66" t="str">
        <f t="shared" si="89"/>
        <v>R047</v>
      </c>
      <c r="B912" s="67">
        <f>$A$1443</f>
        <v>45962</v>
      </c>
      <c r="C912" s="66" t="str">
        <f t="shared" si="90"/>
        <v>SDR / Inside Sales Rep</v>
      </c>
      <c r="D912" s="65">
        <f>SUMIFS(Fact_Quota!$D:$D,Fact_Quota!$A:$A,$A912,Fact_Quota!$B:$B,"&gt;="&amp;B912,Fact_Quota!$B:$B,"&lt;"&amp;EDATE(B912,1))</f>
        <v>15300</v>
      </c>
      <c r="E912" s="65">
        <f>SUMIFS(Fact_Pipeline!$K:$K,Fact_Pipeline!$B:$B,$A912,Fact_Pipeline!$J:$J,"Won",Fact_Pipeline!$I:$I,"&gt;="&amp;B912,Fact_Pipeline!$I:$I,"&lt;"&amp;EDATE(B912,1))</f>
        <v>5000</v>
      </c>
      <c r="F912" s="66" t="b">
        <f>AND(D912&gt;0,IFERROR(E912/D912&gt;=G6,FALSE()))</f>
        <v>0</v>
      </c>
      <c r="G912" s="65">
        <f t="shared" si="85"/>
        <v>0</v>
      </c>
      <c r="H912" s="65">
        <f>IF(F912,MAX(0,MIN(E912,I6*D912)-D912)*IFERROR(INDEX($C$158:$C$161,MATCH(C912,$A$158:$A$161,0)),0),0)</f>
        <v>0</v>
      </c>
      <c r="I912" s="65">
        <f>IF(F912,MAX(0,E912-I6*D912)*IFERROR(INDEX($D$158:$D$161,MATCH(C912,$A$158:$A$161,0)),0),0)</f>
        <v>0</v>
      </c>
      <c r="J912" s="65">
        <f t="shared" si="86"/>
        <v>0</v>
      </c>
    </row>
    <row r="913" spans="1:10" ht="15" customHeight="1" outlineLevel="1" x14ac:dyDescent="0.2">
      <c r="A913" s="66" t="str">
        <f t="shared" si="89"/>
        <v>R047</v>
      </c>
      <c r="B913" s="67">
        <f>$A$1444</f>
        <v>45992</v>
      </c>
      <c r="C913" s="66" t="str">
        <f t="shared" si="90"/>
        <v>SDR / Inside Sales Rep</v>
      </c>
      <c r="D913" s="65">
        <f>SUMIFS(Fact_Quota!$D:$D,Fact_Quota!$A:$A,$A913,Fact_Quota!$B:$B,"&gt;="&amp;B913,Fact_Quota!$B:$B,"&lt;"&amp;EDATE(B913,1))</f>
        <v>16000</v>
      </c>
      <c r="E913" s="65">
        <f>SUMIFS(Fact_Pipeline!$K:$K,Fact_Pipeline!$B:$B,$A913,Fact_Pipeline!$J:$J,"Won",Fact_Pipeline!$I:$I,"&gt;="&amp;B913,Fact_Pipeline!$I:$I,"&lt;"&amp;EDATE(B913,1))</f>
        <v>16200</v>
      </c>
      <c r="F913" s="66" t="b">
        <f>AND(D913&gt;0,IFERROR(E913/D913&gt;=G6,FALSE()))</f>
        <v>1</v>
      </c>
      <c r="G913" s="65">
        <f t="shared" si="85"/>
        <v>480</v>
      </c>
      <c r="H913" s="65">
        <f>IF(F913,MAX(0,MIN(E913,I6*D913)-D913)*IFERROR(INDEX($C$158:$C$161,MATCH(C913,$A$158:$A$161,0)),0),0)</f>
        <v>10</v>
      </c>
      <c r="I913" s="65">
        <f>IF(F913,MAX(0,E913-I6*D913)*IFERROR(INDEX($D$158:$D$161,MATCH(C913,$A$158:$A$161,0)),0),0)</f>
        <v>0</v>
      </c>
      <c r="J913" s="65">
        <f t="shared" si="86"/>
        <v>490</v>
      </c>
    </row>
    <row r="914" spans="1:10" ht="15" customHeight="1" outlineLevel="1" x14ac:dyDescent="0.2">
      <c r="A914" s="63" t="str">
        <f t="shared" ref="A914:A937" si="91">$A$194</f>
        <v>R050</v>
      </c>
      <c r="B914" s="64">
        <f>$A$1421</f>
        <v>45292</v>
      </c>
      <c r="C914" s="63" t="str">
        <f t="shared" ref="C914:C937" si="92">$C$194</f>
        <v>SDR / Inside Sales Rep</v>
      </c>
      <c r="D914" s="62">
        <f>SUMIFS(Fact_Quota!$D:$D,Fact_Quota!$A:$A,$A914,Fact_Quota!$B:$B,"&gt;="&amp;B914,Fact_Quota!$B:$B,"&lt;"&amp;EDATE(B914,1))</f>
        <v>16200</v>
      </c>
      <c r="E914" s="62">
        <f>SUMIFS(Fact_Pipeline!$K:$K,Fact_Pipeline!$B:$B,$A914,Fact_Pipeline!$J:$J,"Won",Fact_Pipeline!$I:$I,"&gt;="&amp;B914,Fact_Pipeline!$I:$I,"&lt;"&amp;EDATE(B914,1))</f>
        <v>5700</v>
      </c>
      <c r="F914" s="63" t="b">
        <f>AND(D914&gt;0,IFERROR(E914/D914&gt;=G6,FALSE()))</f>
        <v>0</v>
      </c>
      <c r="G914" s="62">
        <f t="shared" si="85"/>
        <v>0</v>
      </c>
      <c r="H914" s="62">
        <f>IF(F914,MAX(0,MIN(E914,I6*D914)-D914)*IFERROR(INDEX($C$158:$C$161,MATCH(C914,$A$158:$A$161,0)),0),0)</f>
        <v>0</v>
      </c>
      <c r="I914" s="62">
        <f>IF(F914,MAX(0,E914-I6*D914)*IFERROR(INDEX($D$158:$D$161,MATCH(C914,$A$158:$A$161,0)),0),0)</f>
        <v>0</v>
      </c>
      <c r="J914" s="62">
        <f t="shared" si="86"/>
        <v>0</v>
      </c>
    </row>
    <row r="915" spans="1:10" ht="15" customHeight="1" outlineLevel="1" x14ac:dyDescent="0.2">
      <c r="A915" s="63" t="str">
        <f t="shared" si="91"/>
        <v>R050</v>
      </c>
      <c r="B915" s="64">
        <f>$A$1422</f>
        <v>45323</v>
      </c>
      <c r="C915" s="63" t="str">
        <f t="shared" si="92"/>
        <v>SDR / Inside Sales Rep</v>
      </c>
      <c r="D915" s="62">
        <f>SUMIFS(Fact_Quota!$D:$D,Fact_Quota!$A:$A,$A915,Fact_Quota!$B:$B,"&gt;="&amp;B915,Fact_Quota!$B:$B,"&lt;"&amp;EDATE(B915,1))</f>
        <v>15500</v>
      </c>
      <c r="E915" s="62">
        <f>SUMIFS(Fact_Pipeline!$K:$K,Fact_Pipeline!$B:$B,$A915,Fact_Pipeline!$J:$J,"Won",Fact_Pipeline!$I:$I,"&gt;="&amp;B915,Fact_Pipeline!$I:$I,"&lt;"&amp;EDATE(B915,1))</f>
        <v>15200</v>
      </c>
      <c r="F915" s="63" t="b">
        <f>AND(D915&gt;0,IFERROR(E915/D915&gt;=G6,FALSE()))</f>
        <v>1</v>
      </c>
      <c r="G915" s="62">
        <f t="shared" si="85"/>
        <v>456</v>
      </c>
      <c r="H915" s="62">
        <f>IF(F915,MAX(0,MIN(E915,I6*D915)-D915)*IFERROR(INDEX($C$158:$C$161,MATCH(C915,$A$158:$A$161,0)),0),0)</f>
        <v>0</v>
      </c>
      <c r="I915" s="62">
        <f>IF(F915,MAX(0,E915-I6*D915)*IFERROR(INDEX($D$158:$D$161,MATCH(C915,$A$158:$A$161,0)),0),0)</f>
        <v>0</v>
      </c>
      <c r="J915" s="62">
        <f t="shared" si="86"/>
        <v>456</v>
      </c>
    </row>
    <row r="916" spans="1:10" ht="15" customHeight="1" outlineLevel="1" x14ac:dyDescent="0.2">
      <c r="A916" s="63" t="str">
        <f t="shared" si="91"/>
        <v>R050</v>
      </c>
      <c r="B916" s="64">
        <f>$A$1423</f>
        <v>45352</v>
      </c>
      <c r="C916" s="63" t="str">
        <f t="shared" si="92"/>
        <v>SDR / Inside Sales Rep</v>
      </c>
      <c r="D916" s="62">
        <f>SUMIFS(Fact_Quota!$D:$D,Fact_Quota!$A:$A,$A916,Fact_Quota!$B:$B,"&gt;="&amp;B916,Fact_Quota!$B:$B,"&lt;"&amp;EDATE(B916,1))</f>
        <v>15200</v>
      </c>
      <c r="E916" s="62">
        <f>SUMIFS(Fact_Pipeline!$K:$K,Fact_Pipeline!$B:$B,$A916,Fact_Pipeline!$J:$J,"Won",Fact_Pipeline!$I:$I,"&gt;="&amp;B916,Fact_Pipeline!$I:$I,"&lt;"&amp;EDATE(B916,1))</f>
        <v>36200</v>
      </c>
      <c r="F916" s="63" t="b">
        <f>AND(D916&gt;0,IFERROR(E916/D916&gt;=G6,FALSE()))</f>
        <v>1</v>
      </c>
      <c r="G916" s="62">
        <f t="shared" si="85"/>
        <v>456</v>
      </c>
      <c r="H916" s="62">
        <f>IF(F916,MAX(0,MIN(E916,I6*D916)-D916)*IFERROR(INDEX($C$158:$C$161,MATCH(C916,$A$158:$A$161,0)),0),0)</f>
        <v>380</v>
      </c>
      <c r="I916" s="62">
        <f>IF(F916,MAX(0,E916-I6*D916)*IFERROR(INDEX($D$158:$D$161,MATCH(C916,$A$158:$A$161,0)),0),0)</f>
        <v>938.00000000000011</v>
      </c>
      <c r="J916" s="62">
        <f t="shared" si="86"/>
        <v>1774</v>
      </c>
    </row>
    <row r="917" spans="1:10" ht="15" customHeight="1" outlineLevel="1" x14ac:dyDescent="0.2">
      <c r="A917" s="63" t="str">
        <f t="shared" si="91"/>
        <v>R050</v>
      </c>
      <c r="B917" s="64">
        <f>$A$1424</f>
        <v>45383</v>
      </c>
      <c r="C917" s="63" t="str">
        <f t="shared" si="92"/>
        <v>SDR / Inside Sales Rep</v>
      </c>
      <c r="D917" s="62">
        <f>SUMIFS(Fact_Quota!$D:$D,Fact_Quota!$A:$A,$A917,Fact_Quota!$B:$B,"&gt;="&amp;B917,Fact_Quota!$B:$B,"&lt;"&amp;EDATE(B917,1))</f>
        <v>16400</v>
      </c>
      <c r="E917" s="62">
        <f>SUMIFS(Fact_Pipeline!$K:$K,Fact_Pipeline!$B:$B,$A917,Fact_Pipeline!$J:$J,"Won",Fact_Pipeline!$I:$I,"&gt;="&amp;B917,Fact_Pipeline!$I:$I,"&lt;"&amp;EDATE(B917,1))</f>
        <v>35200</v>
      </c>
      <c r="F917" s="63" t="b">
        <f>AND(D917&gt;0,IFERROR(E917/D917&gt;=G6,FALSE()))</f>
        <v>1</v>
      </c>
      <c r="G917" s="62">
        <f t="shared" si="85"/>
        <v>492</v>
      </c>
      <c r="H917" s="62">
        <f>IF(F917,MAX(0,MIN(E917,I6*D917)-D917)*IFERROR(INDEX($C$158:$C$161,MATCH(C917,$A$158:$A$161,0)),0),0)</f>
        <v>410</v>
      </c>
      <c r="I917" s="62">
        <f>IF(F917,MAX(0,E917-I6*D917)*IFERROR(INDEX($D$158:$D$161,MATCH(C917,$A$158:$A$161,0)),0),0)</f>
        <v>742.00000000000011</v>
      </c>
      <c r="J917" s="62">
        <f t="shared" si="86"/>
        <v>1644</v>
      </c>
    </row>
    <row r="918" spans="1:10" ht="15" customHeight="1" outlineLevel="1" x14ac:dyDescent="0.2">
      <c r="A918" s="63" t="str">
        <f t="shared" si="91"/>
        <v>R050</v>
      </c>
      <c r="B918" s="64">
        <f>$A$1425</f>
        <v>45413</v>
      </c>
      <c r="C918" s="63" t="str">
        <f t="shared" si="92"/>
        <v>SDR / Inside Sales Rep</v>
      </c>
      <c r="D918" s="62">
        <f>SUMIFS(Fact_Quota!$D:$D,Fact_Quota!$A:$A,$A918,Fact_Quota!$B:$B,"&gt;="&amp;B918,Fact_Quota!$B:$B,"&lt;"&amp;EDATE(B918,1))</f>
        <v>14800</v>
      </c>
      <c r="E918" s="62">
        <f>SUMIFS(Fact_Pipeline!$K:$K,Fact_Pipeline!$B:$B,$A918,Fact_Pipeline!$J:$J,"Won",Fact_Pipeline!$I:$I,"&gt;="&amp;B918,Fact_Pipeline!$I:$I,"&lt;"&amp;EDATE(B918,1))</f>
        <v>7200</v>
      </c>
      <c r="F918" s="63" t="b">
        <f>AND(D918&gt;0,IFERROR(E918/D918&gt;=G6,FALSE()))</f>
        <v>0</v>
      </c>
      <c r="G918" s="62">
        <f t="shared" si="85"/>
        <v>0</v>
      </c>
      <c r="H918" s="62">
        <f>IF(F918,MAX(0,MIN(E918,I6*D918)-D918)*IFERROR(INDEX($C$158:$C$161,MATCH(C918,$A$158:$A$161,0)),0),0)</f>
        <v>0</v>
      </c>
      <c r="I918" s="62">
        <f>IF(F918,MAX(0,E918-I6*D918)*IFERROR(INDEX($D$158:$D$161,MATCH(C918,$A$158:$A$161,0)),0),0)</f>
        <v>0</v>
      </c>
      <c r="J918" s="62">
        <f t="shared" si="86"/>
        <v>0</v>
      </c>
    </row>
    <row r="919" spans="1:10" ht="15" customHeight="1" outlineLevel="1" x14ac:dyDescent="0.2">
      <c r="A919" s="63" t="str">
        <f t="shared" si="91"/>
        <v>R050</v>
      </c>
      <c r="B919" s="64">
        <f>$A$1426</f>
        <v>45444</v>
      </c>
      <c r="C919" s="63" t="str">
        <f t="shared" si="92"/>
        <v>SDR / Inside Sales Rep</v>
      </c>
      <c r="D919" s="62">
        <f>SUMIFS(Fact_Quota!$D:$D,Fact_Quota!$A:$A,$A919,Fact_Quota!$B:$B,"&gt;="&amp;B919,Fact_Quota!$B:$B,"&lt;"&amp;EDATE(B919,1))</f>
        <v>14500</v>
      </c>
      <c r="E919" s="62">
        <f>SUMIFS(Fact_Pipeline!$K:$K,Fact_Pipeline!$B:$B,$A919,Fact_Pipeline!$J:$J,"Won",Fact_Pipeline!$I:$I,"&gt;="&amp;B919,Fact_Pipeline!$I:$I,"&lt;"&amp;EDATE(B919,1))</f>
        <v>13200</v>
      </c>
      <c r="F919" s="63" t="b">
        <f>AND(D919&gt;0,IFERROR(E919/D919&gt;=G6,FALSE()))</f>
        <v>1</v>
      </c>
      <c r="G919" s="62">
        <f t="shared" si="85"/>
        <v>396</v>
      </c>
      <c r="H919" s="62">
        <f>IF(F919,MAX(0,MIN(E919,I6*D919)-D919)*IFERROR(INDEX($C$158:$C$161,MATCH(C919,$A$158:$A$161,0)),0),0)</f>
        <v>0</v>
      </c>
      <c r="I919" s="62">
        <f>IF(F919,MAX(0,E919-I6*D919)*IFERROR(INDEX($D$158:$D$161,MATCH(C919,$A$158:$A$161,0)),0),0)</f>
        <v>0</v>
      </c>
      <c r="J919" s="62">
        <f t="shared" si="86"/>
        <v>396</v>
      </c>
    </row>
    <row r="920" spans="1:10" ht="15" customHeight="1" outlineLevel="1" x14ac:dyDescent="0.2">
      <c r="A920" s="63" t="str">
        <f t="shared" si="91"/>
        <v>R050</v>
      </c>
      <c r="B920" s="64">
        <f>$A$1427</f>
        <v>45474</v>
      </c>
      <c r="C920" s="63" t="str">
        <f t="shared" si="92"/>
        <v>SDR / Inside Sales Rep</v>
      </c>
      <c r="D920" s="62">
        <f>SUMIFS(Fact_Quota!$D:$D,Fact_Quota!$A:$A,$A920,Fact_Quota!$B:$B,"&gt;="&amp;B920,Fact_Quota!$B:$B,"&lt;"&amp;EDATE(B920,1))</f>
        <v>15700</v>
      </c>
      <c r="E920" s="62">
        <f>SUMIFS(Fact_Pipeline!$K:$K,Fact_Pipeline!$B:$B,$A920,Fact_Pipeline!$J:$J,"Won",Fact_Pipeline!$I:$I,"&gt;="&amp;B920,Fact_Pipeline!$I:$I,"&lt;"&amp;EDATE(B920,1))</f>
        <v>24400</v>
      </c>
      <c r="F920" s="63" t="b">
        <f>AND(D920&gt;0,IFERROR(E920/D920&gt;=G6,FALSE()))</f>
        <v>1</v>
      </c>
      <c r="G920" s="62">
        <f t="shared" si="85"/>
        <v>471</v>
      </c>
      <c r="H920" s="62">
        <f>IF(F920,MAX(0,MIN(E920,I6*D920)-D920)*IFERROR(INDEX($C$158:$C$161,MATCH(C920,$A$158:$A$161,0)),0),0)</f>
        <v>392.5</v>
      </c>
      <c r="I920" s="62">
        <f>IF(F920,MAX(0,E920-I6*D920)*IFERROR(INDEX($D$158:$D$161,MATCH(C920,$A$158:$A$161,0)),0),0)</f>
        <v>59.500000000000007</v>
      </c>
      <c r="J920" s="62">
        <f t="shared" si="86"/>
        <v>923</v>
      </c>
    </row>
    <row r="921" spans="1:10" ht="15" customHeight="1" outlineLevel="1" x14ac:dyDescent="0.2">
      <c r="A921" s="63" t="str">
        <f t="shared" si="91"/>
        <v>R050</v>
      </c>
      <c r="B921" s="64">
        <f>$A$1428</f>
        <v>45505</v>
      </c>
      <c r="C921" s="63" t="str">
        <f t="shared" si="92"/>
        <v>SDR / Inside Sales Rep</v>
      </c>
      <c r="D921" s="62">
        <f>SUMIFS(Fact_Quota!$D:$D,Fact_Quota!$A:$A,$A921,Fact_Quota!$B:$B,"&gt;="&amp;B921,Fact_Quota!$B:$B,"&lt;"&amp;EDATE(B921,1))</f>
        <v>15300</v>
      </c>
      <c r="E921" s="62">
        <f>SUMIFS(Fact_Pipeline!$K:$K,Fact_Pipeline!$B:$B,$A921,Fact_Pipeline!$J:$J,"Won",Fact_Pipeline!$I:$I,"&gt;="&amp;B921,Fact_Pipeline!$I:$I,"&lt;"&amp;EDATE(B921,1))</f>
        <v>13000</v>
      </c>
      <c r="F921" s="63" t="b">
        <f>AND(D921&gt;0,IFERROR(E921/D921&gt;=G6,FALSE()))</f>
        <v>1</v>
      </c>
      <c r="G921" s="62">
        <f t="shared" si="85"/>
        <v>390</v>
      </c>
      <c r="H921" s="62">
        <f>IF(F921,MAX(0,MIN(E921,I6*D921)-D921)*IFERROR(INDEX($C$158:$C$161,MATCH(C921,$A$158:$A$161,0)),0),0)</f>
        <v>0</v>
      </c>
      <c r="I921" s="62">
        <f>IF(F921,MAX(0,E921-I6*D921)*IFERROR(INDEX($D$158:$D$161,MATCH(C921,$A$158:$A$161,0)),0),0)</f>
        <v>0</v>
      </c>
      <c r="J921" s="62">
        <f t="shared" si="86"/>
        <v>390</v>
      </c>
    </row>
    <row r="922" spans="1:10" ht="15" customHeight="1" outlineLevel="1" x14ac:dyDescent="0.2">
      <c r="A922" s="63" t="str">
        <f t="shared" si="91"/>
        <v>R050</v>
      </c>
      <c r="B922" s="64">
        <f>$A$1429</f>
        <v>45536</v>
      </c>
      <c r="C922" s="63" t="str">
        <f t="shared" si="92"/>
        <v>SDR / Inside Sales Rep</v>
      </c>
      <c r="D922" s="62">
        <f>SUMIFS(Fact_Quota!$D:$D,Fact_Quota!$A:$A,$A922,Fact_Quota!$B:$B,"&gt;="&amp;B922,Fact_Quota!$B:$B,"&lt;"&amp;EDATE(B922,1))</f>
        <v>15000</v>
      </c>
      <c r="E922" s="62">
        <f>SUMIFS(Fact_Pipeline!$K:$K,Fact_Pipeline!$B:$B,$A922,Fact_Pipeline!$J:$J,"Won",Fact_Pipeline!$I:$I,"&gt;="&amp;B922,Fact_Pipeline!$I:$I,"&lt;"&amp;EDATE(B922,1))</f>
        <v>12200</v>
      </c>
      <c r="F922" s="63" t="b">
        <f>AND(D922&gt;0,IFERROR(E922/D922&gt;=G6,FALSE()))</f>
        <v>1</v>
      </c>
      <c r="G922" s="62">
        <f t="shared" ref="G922:G985" si="93">IF(F922,MIN(E922,D922)*IFERROR(INDEX($B$158:$B$161,MATCH(C922,$A$158:$A$161,0)),0),0)</f>
        <v>366</v>
      </c>
      <c r="H922" s="62">
        <f>IF(F922,MAX(0,MIN(E922,I6*D922)-D922)*IFERROR(INDEX($C$158:$C$161,MATCH(C922,$A$158:$A$161,0)),0),0)</f>
        <v>0</v>
      </c>
      <c r="I922" s="62">
        <f>IF(F922,MAX(0,E922-I6*D922)*IFERROR(INDEX($D$158:$D$161,MATCH(C922,$A$158:$A$161,0)),0),0)</f>
        <v>0</v>
      </c>
      <c r="J922" s="62">
        <f t="shared" ref="J922:J985" si="94">G922+H922+I922</f>
        <v>366</v>
      </c>
    </row>
    <row r="923" spans="1:10" ht="15" customHeight="1" outlineLevel="1" x14ac:dyDescent="0.2">
      <c r="A923" s="63" t="str">
        <f t="shared" si="91"/>
        <v>R050</v>
      </c>
      <c r="B923" s="64">
        <f>$A$1430</f>
        <v>45566</v>
      </c>
      <c r="C923" s="63" t="str">
        <f t="shared" si="92"/>
        <v>SDR / Inside Sales Rep</v>
      </c>
      <c r="D923" s="62">
        <f>SUMIFS(Fact_Quota!$D:$D,Fact_Quota!$A:$A,$A923,Fact_Quota!$B:$B,"&gt;="&amp;B923,Fact_Quota!$B:$B,"&lt;"&amp;EDATE(B923,1))</f>
        <v>15800</v>
      </c>
      <c r="E923" s="62">
        <f>SUMIFS(Fact_Pipeline!$K:$K,Fact_Pipeline!$B:$B,$A923,Fact_Pipeline!$J:$J,"Won",Fact_Pipeline!$I:$I,"&gt;="&amp;B923,Fact_Pipeline!$I:$I,"&lt;"&amp;EDATE(B923,1))</f>
        <v>24800</v>
      </c>
      <c r="F923" s="63" t="b">
        <f>AND(D923&gt;0,IFERROR(E923/D923&gt;=G6,FALSE()))</f>
        <v>1</v>
      </c>
      <c r="G923" s="62">
        <f t="shared" si="93"/>
        <v>474</v>
      </c>
      <c r="H923" s="62">
        <f>IF(F923,MAX(0,MIN(E923,I6*D923)-D923)*IFERROR(INDEX($C$158:$C$161,MATCH(C923,$A$158:$A$161,0)),0),0)</f>
        <v>395</v>
      </c>
      <c r="I923" s="62">
        <f>IF(F923,MAX(0,E923-I6*D923)*IFERROR(INDEX($D$158:$D$161,MATCH(C923,$A$158:$A$161,0)),0),0)</f>
        <v>77.000000000000014</v>
      </c>
      <c r="J923" s="62">
        <f t="shared" si="94"/>
        <v>946</v>
      </c>
    </row>
    <row r="924" spans="1:10" ht="15" customHeight="1" outlineLevel="1" x14ac:dyDescent="0.2">
      <c r="A924" s="63" t="str">
        <f t="shared" si="91"/>
        <v>R050</v>
      </c>
      <c r="B924" s="64">
        <f>$A$1431</f>
        <v>45597</v>
      </c>
      <c r="C924" s="63" t="str">
        <f t="shared" si="92"/>
        <v>SDR / Inside Sales Rep</v>
      </c>
      <c r="D924" s="62">
        <f>SUMIFS(Fact_Quota!$D:$D,Fact_Quota!$A:$A,$A924,Fact_Quota!$B:$B,"&gt;="&amp;B924,Fact_Quota!$B:$B,"&lt;"&amp;EDATE(B924,1))</f>
        <v>15600</v>
      </c>
      <c r="E924" s="62">
        <f>SUMIFS(Fact_Pipeline!$K:$K,Fact_Pipeline!$B:$B,$A924,Fact_Pipeline!$J:$J,"Won",Fact_Pipeline!$I:$I,"&gt;="&amp;B924,Fact_Pipeline!$I:$I,"&lt;"&amp;EDATE(B924,1))</f>
        <v>20300</v>
      </c>
      <c r="F924" s="63" t="b">
        <f>AND(D924&gt;0,IFERROR(E924/D924&gt;=G6,FALSE()))</f>
        <v>1</v>
      </c>
      <c r="G924" s="62">
        <f t="shared" si="93"/>
        <v>468</v>
      </c>
      <c r="H924" s="62">
        <f>IF(F924,MAX(0,MIN(E924,I6*D924)-D924)*IFERROR(INDEX($C$158:$C$161,MATCH(C924,$A$158:$A$161,0)),0),0)</f>
        <v>235</v>
      </c>
      <c r="I924" s="62">
        <f>IF(F924,MAX(0,E924-I6*D924)*IFERROR(INDEX($D$158:$D$161,MATCH(C924,$A$158:$A$161,0)),0),0)</f>
        <v>0</v>
      </c>
      <c r="J924" s="62">
        <f t="shared" si="94"/>
        <v>703</v>
      </c>
    </row>
    <row r="925" spans="1:10" ht="15" customHeight="1" outlineLevel="1" x14ac:dyDescent="0.2">
      <c r="A925" s="63" t="str">
        <f t="shared" si="91"/>
        <v>R050</v>
      </c>
      <c r="B925" s="64">
        <f>$A$1432</f>
        <v>45627</v>
      </c>
      <c r="C925" s="63" t="str">
        <f t="shared" si="92"/>
        <v>SDR / Inside Sales Rep</v>
      </c>
      <c r="D925" s="62">
        <f>SUMIFS(Fact_Quota!$D:$D,Fact_Quota!$A:$A,$A925,Fact_Quota!$B:$B,"&gt;="&amp;B925,Fact_Quota!$B:$B,"&lt;"&amp;EDATE(B925,1))</f>
        <v>15200</v>
      </c>
      <c r="E925" s="62">
        <f>SUMIFS(Fact_Pipeline!$K:$K,Fact_Pipeline!$B:$B,$A925,Fact_Pipeline!$J:$J,"Won",Fact_Pipeline!$I:$I,"&gt;="&amp;B925,Fact_Pipeline!$I:$I,"&lt;"&amp;EDATE(B925,1))</f>
        <v>15900</v>
      </c>
      <c r="F925" s="63" t="b">
        <f>AND(D925&gt;0,IFERROR(E925/D925&gt;=G6,FALSE()))</f>
        <v>1</v>
      </c>
      <c r="G925" s="62">
        <f t="shared" si="93"/>
        <v>456</v>
      </c>
      <c r="H925" s="62">
        <f>IF(F925,MAX(0,MIN(E925,I6*D925)-D925)*IFERROR(INDEX($C$158:$C$161,MATCH(C925,$A$158:$A$161,0)),0),0)</f>
        <v>35</v>
      </c>
      <c r="I925" s="62">
        <f>IF(F925,MAX(0,E925-I6*D925)*IFERROR(INDEX($D$158:$D$161,MATCH(C925,$A$158:$A$161,0)),0),0)</f>
        <v>0</v>
      </c>
      <c r="J925" s="62">
        <f t="shared" si="94"/>
        <v>491</v>
      </c>
    </row>
    <row r="926" spans="1:10" ht="15" customHeight="1" outlineLevel="1" x14ac:dyDescent="0.2">
      <c r="A926" s="63" t="str">
        <f t="shared" si="91"/>
        <v>R050</v>
      </c>
      <c r="B926" s="64">
        <f>$A$1433</f>
        <v>45658</v>
      </c>
      <c r="C926" s="63" t="str">
        <f t="shared" si="92"/>
        <v>SDR / Inside Sales Rep</v>
      </c>
      <c r="D926" s="62">
        <f>SUMIFS(Fact_Quota!$D:$D,Fact_Quota!$A:$A,$A926,Fact_Quota!$B:$B,"&gt;="&amp;B926,Fact_Quota!$B:$B,"&lt;"&amp;EDATE(B926,1))</f>
        <v>14900</v>
      </c>
      <c r="E926" s="62">
        <f>SUMIFS(Fact_Pipeline!$K:$K,Fact_Pipeline!$B:$B,$A926,Fact_Pipeline!$J:$J,"Won",Fact_Pipeline!$I:$I,"&gt;="&amp;B926,Fact_Pipeline!$I:$I,"&lt;"&amp;EDATE(B926,1))</f>
        <v>17100</v>
      </c>
      <c r="F926" s="63" t="b">
        <f>AND(D926&gt;0,IFERROR(E926/D926&gt;=G6,FALSE()))</f>
        <v>1</v>
      </c>
      <c r="G926" s="62">
        <f t="shared" si="93"/>
        <v>447</v>
      </c>
      <c r="H926" s="62">
        <f>IF(F926,MAX(0,MIN(E926,I6*D926)-D926)*IFERROR(INDEX($C$158:$C$161,MATCH(C926,$A$158:$A$161,0)),0),0)</f>
        <v>110</v>
      </c>
      <c r="I926" s="62">
        <f>IF(F926,MAX(0,E926-I6*D926)*IFERROR(INDEX($D$158:$D$161,MATCH(C926,$A$158:$A$161,0)),0),0)</f>
        <v>0</v>
      </c>
      <c r="J926" s="62">
        <f t="shared" si="94"/>
        <v>557</v>
      </c>
    </row>
    <row r="927" spans="1:10" ht="15" customHeight="1" outlineLevel="1" x14ac:dyDescent="0.2">
      <c r="A927" s="63" t="str">
        <f t="shared" si="91"/>
        <v>R050</v>
      </c>
      <c r="B927" s="64">
        <f>$A$1434</f>
        <v>45689</v>
      </c>
      <c r="C927" s="63" t="str">
        <f t="shared" si="92"/>
        <v>SDR / Inside Sales Rep</v>
      </c>
      <c r="D927" s="62">
        <f>SUMIFS(Fact_Quota!$D:$D,Fact_Quota!$A:$A,$A927,Fact_Quota!$B:$B,"&gt;="&amp;B927,Fact_Quota!$B:$B,"&lt;"&amp;EDATE(B927,1))</f>
        <v>15900</v>
      </c>
      <c r="E927" s="62">
        <f>SUMIFS(Fact_Pipeline!$K:$K,Fact_Pipeline!$B:$B,$A927,Fact_Pipeline!$J:$J,"Won",Fact_Pipeline!$I:$I,"&gt;="&amp;B927,Fact_Pipeline!$I:$I,"&lt;"&amp;EDATE(B927,1))</f>
        <v>21700</v>
      </c>
      <c r="F927" s="63" t="b">
        <f>AND(D927&gt;0,IFERROR(E927/D927&gt;=G6,FALSE()))</f>
        <v>1</v>
      </c>
      <c r="G927" s="62">
        <f t="shared" si="93"/>
        <v>477</v>
      </c>
      <c r="H927" s="62">
        <f>IF(F927,MAX(0,MIN(E927,I6*D927)-D927)*IFERROR(INDEX($C$158:$C$161,MATCH(C927,$A$158:$A$161,0)),0),0)</f>
        <v>290</v>
      </c>
      <c r="I927" s="62">
        <f>IF(F927,MAX(0,E927-I6*D927)*IFERROR(INDEX($D$158:$D$161,MATCH(C927,$A$158:$A$161,0)),0),0)</f>
        <v>0</v>
      </c>
      <c r="J927" s="62">
        <f t="shared" si="94"/>
        <v>767</v>
      </c>
    </row>
    <row r="928" spans="1:10" ht="15" customHeight="1" outlineLevel="1" x14ac:dyDescent="0.2">
      <c r="A928" s="63" t="str">
        <f t="shared" si="91"/>
        <v>R050</v>
      </c>
      <c r="B928" s="64">
        <f>$A$1435</f>
        <v>45717</v>
      </c>
      <c r="C928" s="63" t="str">
        <f t="shared" si="92"/>
        <v>SDR / Inside Sales Rep</v>
      </c>
      <c r="D928" s="62">
        <f>SUMIFS(Fact_Quota!$D:$D,Fact_Quota!$A:$A,$A928,Fact_Quota!$B:$B,"&gt;="&amp;B928,Fact_Quota!$B:$B,"&lt;"&amp;EDATE(B928,1))</f>
        <v>15800</v>
      </c>
      <c r="E928" s="62">
        <f>SUMIFS(Fact_Pipeline!$K:$K,Fact_Pipeline!$B:$B,$A928,Fact_Pipeline!$J:$J,"Won",Fact_Pipeline!$I:$I,"&gt;="&amp;B928,Fact_Pipeline!$I:$I,"&lt;"&amp;EDATE(B928,1))</f>
        <v>25700</v>
      </c>
      <c r="F928" s="63" t="b">
        <f>AND(D928&gt;0,IFERROR(E928/D928&gt;=G6,FALSE()))</f>
        <v>1</v>
      </c>
      <c r="G928" s="62">
        <f t="shared" si="93"/>
        <v>474</v>
      </c>
      <c r="H928" s="62">
        <f>IF(F928,MAX(0,MIN(E928,I6*D928)-D928)*IFERROR(INDEX($C$158:$C$161,MATCH(C928,$A$158:$A$161,0)),0),0)</f>
        <v>395</v>
      </c>
      <c r="I928" s="62">
        <f>IF(F928,MAX(0,E928-I6*D928)*IFERROR(INDEX($D$158:$D$161,MATCH(C928,$A$158:$A$161,0)),0),0)</f>
        <v>140</v>
      </c>
      <c r="J928" s="62">
        <f t="shared" si="94"/>
        <v>1009</v>
      </c>
    </row>
    <row r="929" spans="1:10" ht="15" customHeight="1" outlineLevel="1" x14ac:dyDescent="0.2">
      <c r="A929" s="63" t="str">
        <f t="shared" si="91"/>
        <v>R050</v>
      </c>
      <c r="B929" s="64">
        <f>$A$1436</f>
        <v>45748</v>
      </c>
      <c r="C929" s="63" t="str">
        <f t="shared" si="92"/>
        <v>SDR / Inside Sales Rep</v>
      </c>
      <c r="D929" s="62">
        <f>SUMIFS(Fact_Quota!$D:$D,Fact_Quota!$A:$A,$A929,Fact_Quota!$B:$B,"&gt;="&amp;B929,Fact_Quota!$B:$B,"&lt;"&amp;EDATE(B929,1))</f>
        <v>15500</v>
      </c>
      <c r="E929" s="62">
        <f>SUMIFS(Fact_Pipeline!$K:$K,Fact_Pipeline!$B:$B,$A929,Fact_Pipeline!$J:$J,"Won",Fact_Pipeline!$I:$I,"&gt;="&amp;B929,Fact_Pipeline!$I:$I,"&lt;"&amp;EDATE(B929,1))</f>
        <v>23600</v>
      </c>
      <c r="F929" s="63" t="b">
        <f>AND(D929&gt;0,IFERROR(E929/D929&gt;=G6,FALSE()))</f>
        <v>1</v>
      </c>
      <c r="G929" s="62">
        <f t="shared" si="93"/>
        <v>465</v>
      </c>
      <c r="H929" s="62">
        <f>IF(F929,MAX(0,MIN(E929,I6*D929)-D929)*IFERROR(INDEX($C$158:$C$161,MATCH(C929,$A$158:$A$161,0)),0),0)</f>
        <v>387.5</v>
      </c>
      <c r="I929" s="62">
        <f>IF(F929,MAX(0,E929-I6*D929)*IFERROR(INDEX($D$158:$D$161,MATCH(C929,$A$158:$A$161,0)),0),0)</f>
        <v>24.500000000000004</v>
      </c>
      <c r="J929" s="62">
        <f t="shared" si="94"/>
        <v>877</v>
      </c>
    </row>
    <row r="930" spans="1:10" ht="15" customHeight="1" outlineLevel="1" x14ac:dyDescent="0.2">
      <c r="A930" s="63" t="str">
        <f t="shared" si="91"/>
        <v>R050</v>
      </c>
      <c r="B930" s="64">
        <f>$A$1437</f>
        <v>45778</v>
      </c>
      <c r="C930" s="63" t="str">
        <f t="shared" si="92"/>
        <v>SDR / Inside Sales Rep</v>
      </c>
      <c r="D930" s="62">
        <f>SUMIFS(Fact_Quota!$D:$D,Fact_Quota!$A:$A,$A930,Fact_Quota!$B:$B,"&gt;="&amp;B930,Fact_Quota!$B:$B,"&lt;"&amp;EDATE(B930,1))</f>
        <v>16400</v>
      </c>
      <c r="E930" s="62">
        <f>SUMIFS(Fact_Pipeline!$K:$K,Fact_Pipeline!$B:$B,$A930,Fact_Pipeline!$J:$J,"Won",Fact_Pipeline!$I:$I,"&gt;="&amp;B930,Fact_Pipeline!$I:$I,"&lt;"&amp;EDATE(B930,1))</f>
        <v>24800</v>
      </c>
      <c r="F930" s="63" t="b">
        <f>AND(D930&gt;0,IFERROR(E930/D930&gt;=G6,FALSE()))</f>
        <v>1</v>
      </c>
      <c r="G930" s="62">
        <f t="shared" si="93"/>
        <v>492</v>
      </c>
      <c r="H930" s="62">
        <f>IF(F930,MAX(0,MIN(E930,I6*D930)-D930)*IFERROR(INDEX($C$158:$C$161,MATCH(C930,$A$158:$A$161,0)),0),0)</f>
        <v>410</v>
      </c>
      <c r="I930" s="62">
        <f>IF(F930,MAX(0,E930-I6*D930)*IFERROR(INDEX($D$158:$D$161,MATCH(C930,$A$158:$A$161,0)),0),0)</f>
        <v>14.000000000000002</v>
      </c>
      <c r="J930" s="62">
        <f t="shared" si="94"/>
        <v>916</v>
      </c>
    </row>
    <row r="931" spans="1:10" ht="15" customHeight="1" outlineLevel="1" x14ac:dyDescent="0.2">
      <c r="A931" s="63" t="str">
        <f t="shared" si="91"/>
        <v>R050</v>
      </c>
      <c r="B931" s="64">
        <f>$A$1438</f>
        <v>45809</v>
      </c>
      <c r="C931" s="63" t="str">
        <f t="shared" si="92"/>
        <v>SDR / Inside Sales Rep</v>
      </c>
      <c r="D931" s="62">
        <f>SUMIFS(Fact_Quota!$D:$D,Fact_Quota!$A:$A,$A931,Fact_Quota!$B:$B,"&gt;="&amp;B931,Fact_Quota!$B:$B,"&lt;"&amp;EDATE(B931,1))</f>
        <v>15000</v>
      </c>
      <c r="E931" s="62">
        <f>SUMIFS(Fact_Pipeline!$K:$K,Fact_Pipeline!$B:$B,$A931,Fact_Pipeline!$J:$J,"Won",Fact_Pipeline!$I:$I,"&gt;="&amp;B931,Fact_Pipeline!$I:$I,"&lt;"&amp;EDATE(B931,1))</f>
        <v>15900</v>
      </c>
      <c r="F931" s="63" t="b">
        <f>AND(D931&gt;0,IFERROR(E931/D931&gt;=G6,FALSE()))</f>
        <v>1</v>
      </c>
      <c r="G931" s="62">
        <f t="shared" si="93"/>
        <v>450</v>
      </c>
      <c r="H931" s="62">
        <f>IF(F931,MAX(0,MIN(E931,I6*D931)-D931)*IFERROR(INDEX($C$158:$C$161,MATCH(C931,$A$158:$A$161,0)),0),0)</f>
        <v>45</v>
      </c>
      <c r="I931" s="62">
        <f>IF(F931,MAX(0,E931-I6*D931)*IFERROR(INDEX($D$158:$D$161,MATCH(C931,$A$158:$A$161,0)),0),0)</f>
        <v>0</v>
      </c>
      <c r="J931" s="62">
        <f t="shared" si="94"/>
        <v>495</v>
      </c>
    </row>
    <row r="932" spans="1:10" ht="15" customHeight="1" outlineLevel="1" x14ac:dyDescent="0.2">
      <c r="A932" s="63" t="str">
        <f t="shared" si="91"/>
        <v>R050</v>
      </c>
      <c r="B932" s="64">
        <f>$A$1439</f>
        <v>45839</v>
      </c>
      <c r="C932" s="63" t="str">
        <f t="shared" si="92"/>
        <v>SDR / Inside Sales Rep</v>
      </c>
      <c r="D932" s="62">
        <f>SUMIFS(Fact_Quota!$D:$D,Fact_Quota!$A:$A,$A932,Fact_Quota!$B:$B,"&gt;="&amp;B932,Fact_Quota!$B:$B,"&lt;"&amp;EDATE(B932,1))</f>
        <v>14800</v>
      </c>
      <c r="E932" s="62">
        <f>SUMIFS(Fact_Pipeline!$K:$K,Fact_Pipeline!$B:$B,$A932,Fact_Pipeline!$J:$J,"Won",Fact_Pipeline!$I:$I,"&gt;="&amp;B932,Fact_Pipeline!$I:$I,"&lt;"&amp;EDATE(B932,1))</f>
        <v>7500</v>
      </c>
      <c r="F932" s="63" t="b">
        <f>AND(D932&gt;0,IFERROR(E932/D932&gt;=G6,FALSE()))</f>
        <v>1</v>
      </c>
      <c r="G932" s="62">
        <f t="shared" si="93"/>
        <v>225</v>
      </c>
      <c r="H932" s="62">
        <f>IF(F932,MAX(0,MIN(E932,I6*D932)-D932)*IFERROR(INDEX($C$158:$C$161,MATCH(C932,$A$158:$A$161,0)),0),0)</f>
        <v>0</v>
      </c>
      <c r="I932" s="62">
        <f>IF(F932,MAX(0,E932-I6*D932)*IFERROR(INDEX($D$158:$D$161,MATCH(C932,$A$158:$A$161,0)),0),0)</f>
        <v>0</v>
      </c>
      <c r="J932" s="62">
        <f t="shared" si="94"/>
        <v>225</v>
      </c>
    </row>
    <row r="933" spans="1:10" ht="15" customHeight="1" outlineLevel="1" x14ac:dyDescent="0.2">
      <c r="A933" s="63" t="str">
        <f t="shared" si="91"/>
        <v>R050</v>
      </c>
      <c r="B933" s="64">
        <f>$A$1440</f>
        <v>45870</v>
      </c>
      <c r="C933" s="63" t="str">
        <f t="shared" si="92"/>
        <v>SDR / Inside Sales Rep</v>
      </c>
      <c r="D933" s="62">
        <f>SUMIFS(Fact_Quota!$D:$D,Fact_Quota!$A:$A,$A933,Fact_Quota!$B:$B,"&gt;="&amp;B933,Fact_Quota!$B:$B,"&lt;"&amp;EDATE(B933,1))</f>
        <v>15200</v>
      </c>
      <c r="E933" s="62">
        <f>SUMIFS(Fact_Pipeline!$K:$K,Fact_Pipeline!$B:$B,$A933,Fact_Pipeline!$J:$J,"Won",Fact_Pipeline!$I:$I,"&gt;="&amp;B933,Fact_Pipeline!$I:$I,"&lt;"&amp;EDATE(B933,1))</f>
        <v>7000</v>
      </c>
      <c r="F933" s="63" t="b">
        <f>AND(D933&gt;0,IFERROR(E933/D933&gt;=G6,FALSE()))</f>
        <v>0</v>
      </c>
      <c r="G933" s="62">
        <f t="shared" si="93"/>
        <v>0</v>
      </c>
      <c r="H933" s="62">
        <f>IF(F933,MAX(0,MIN(E933,I6*D933)-D933)*IFERROR(INDEX($C$158:$C$161,MATCH(C933,$A$158:$A$161,0)),0),0)</f>
        <v>0</v>
      </c>
      <c r="I933" s="62">
        <f>IF(F933,MAX(0,E933-I6*D933)*IFERROR(INDEX($D$158:$D$161,MATCH(C933,$A$158:$A$161,0)),0),0)</f>
        <v>0</v>
      </c>
      <c r="J933" s="62">
        <f t="shared" si="94"/>
        <v>0</v>
      </c>
    </row>
    <row r="934" spans="1:10" ht="15" customHeight="1" outlineLevel="1" x14ac:dyDescent="0.2">
      <c r="A934" s="63" t="str">
        <f t="shared" si="91"/>
        <v>R050</v>
      </c>
      <c r="B934" s="64">
        <f>$A$1441</f>
        <v>45901</v>
      </c>
      <c r="C934" s="63" t="str">
        <f t="shared" si="92"/>
        <v>SDR / Inside Sales Rep</v>
      </c>
      <c r="D934" s="62">
        <f>SUMIFS(Fact_Quota!$D:$D,Fact_Quota!$A:$A,$A934,Fact_Quota!$B:$B,"&gt;="&amp;B934,Fact_Quota!$B:$B,"&lt;"&amp;EDATE(B934,1))</f>
        <v>15500</v>
      </c>
      <c r="E934" s="62">
        <f>SUMIFS(Fact_Pipeline!$K:$K,Fact_Pipeline!$B:$B,$A934,Fact_Pipeline!$J:$J,"Won",Fact_Pipeline!$I:$I,"&gt;="&amp;B934,Fact_Pipeline!$I:$I,"&lt;"&amp;EDATE(B934,1))</f>
        <v>3400</v>
      </c>
      <c r="F934" s="63" t="b">
        <f>AND(D934&gt;0,IFERROR(E934/D934&gt;=G6,FALSE()))</f>
        <v>0</v>
      </c>
      <c r="G934" s="62">
        <f t="shared" si="93"/>
        <v>0</v>
      </c>
      <c r="H934" s="62">
        <f>IF(F934,MAX(0,MIN(E934,I6*D934)-D934)*IFERROR(INDEX($C$158:$C$161,MATCH(C934,$A$158:$A$161,0)),0),0)</f>
        <v>0</v>
      </c>
      <c r="I934" s="62">
        <f>IF(F934,MAX(0,E934-I6*D934)*IFERROR(INDEX($D$158:$D$161,MATCH(C934,$A$158:$A$161,0)),0),0)</f>
        <v>0</v>
      </c>
      <c r="J934" s="62">
        <f t="shared" si="94"/>
        <v>0</v>
      </c>
    </row>
    <row r="935" spans="1:10" ht="15" customHeight="1" outlineLevel="1" x14ac:dyDescent="0.2">
      <c r="A935" s="63" t="str">
        <f t="shared" si="91"/>
        <v>R050</v>
      </c>
      <c r="B935" s="64">
        <f>$A$1442</f>
        <v>45931</v>
      </c>
      <c r="C935" s="63" t="str">
        <f t="shared" si="92"/>
        <v>SDR / Inside Sales Rep</v>
      </c>
      <c r="D935" s="62">
        <f>SUMIFS(Fact_Quota!$D:$D,Fact_Quota!$A:$A,$A935,Fact_Quota!$B:$B,"&gt;="&amp;B935,Fact_Quota!$B:$B,"&lt;"&amp;EDATE(B935,1))</f>
        <v>15600</v>
      </c>
      <c r="E935" s="62">
        <f>SUMIFS(Fact_Pipeline!$K:$K,Fact_Pipeline!$B:$B,$A935,Fact_Pipeline!$J:$J,"Won",Fact_Pipeline!$I:$I,"&gt;="&amp;B935,Fact_Pipeline!$I:$I,"&lt;"&amp;EDATE(B935,1))</f>
        <v>3500</v>
      </c>
      <c r="F935" s="63" t="b">
        <f>AND(D935&gt;0,IFERROR(E935/D935&gt;=G6,FALSE()))</f>
        <v>0</v>
      </c>
      <c r="G935" s="62">
        <f t="shared" si="93"/>
        <v>0</v>
      </c>
      <c r="H935" s="62">
        <f>IF(F935,MAX(0,MIN(E935,I6*D935)-D935)*IFERROR(INDEX($C$158:$C$161,MATCH(C935,$A$158:$A$161,0)),0),0)</f>
        <v>0</v>
      </c>
      <c r="I935" s="62">
        <f>IF(F935,MAX(0,E935-I6*D935)*IFERROR(INDEX($D$158:$D$161,MATCH(C935,$A$158:$A$161,0)),0),0)</f>
        <v>0</v>
      </c>
      <c r="J935" s="62">
        <f t="shared" si="94"/>
        <v>0</v>
      </c>
    </row>
    <row r="936" spans="1:10" ht="15" customHeight="1" outlineLevel="1" x14ac:dyDescent="0.2">
      <c r="A936" s="63" t="str">
        <f t="shared" si="91"/>
        <v>R050</v>
      </c>
      <c r="B936" s="64">
        <f>$A$1443</f>
        <v>45962</v>
      </c>
      <c r="C936" s="63" t="str">
        <f t="shared" si="92"/>
        <v>SDR / Inside Sales Rep</v>
      </c>
      <c r="D936" s="62">
        <f>SUMIFS(Fact_Quota!$D:$D,Fact_Quota!$A:$A,$A936,Fact_Quota!$B:$B,"&gt;="&amp;B936,Fact_Quota!$B:$B,"&lt;"&amp;EDATE(B936,1))</f>
        <v>15400</v>
      </c>
      <c r="E936" s="62">
        <f>SUMIFS(Fact_Pipeline!$K:$K,Fact_Pipeline!$B:$B,$A936,Fact_Pipeline!$J:$J,"Won",Fact_Pipeline!$I:$I,"&gt;="&amp;B936,Fact_Pipeline!$I:$I,"&lt;"&amp;EDATE(B936,1))</f>
        <v>15900</v>
      </c>
      <c r="F936" s="63" t="b">
        <f>AND(D936&gt;0,IFERROR(E936/D936&gt;=G6,FALSE()))</f>
        <v>1</v>
      </c>
      <c r="G936" s="62">
        <f t="shared" si="93"/>
        <v>462</v>
      </c>
      <c r="H936" s="62">
        <f>IF(F936,MAX(0,MIN(E936,I6*D936)-D936)*IFERROR(INDEX($C$158:$C$161,MATCH(C936,$A$158:$A$161,0)),0),0)</f>
        <v>25</v>
      </c>
      <c r="I936" s="62">
        <f>IF(F936,MAX(0,E936-I6*D936)*IFERROR(INDEX($D$158:$D$161,MATCH(C936,$A$158:$A$161,0)),0),0)</f>
        <v>0</v>
      </c>
      <c r="J936" s="62">
        <f t="shared" si="94"/>
        <v>487</v>
      </c>
    </row>
    <row r="937" spans="1:10" ht="15" customHeight="1" outlineLevel="1" x14ac:dyDescent="0.2">
      <c r="A937" s="63" t="str">
        <f t="shared" si="91"/>
        <v>R050</v>
      </c>
      <c r="B937" s="64">
        <f>$A$1444</f>
        <v>45992</v>
      </c>
      <c r="C937" s="63" t="str">
        <f t="shared" si="92"/>
        <v>SDR / Inside Sales Rep</v>
      </c>
      <c r="D937" s="62">
        <f>SUMIFS(Fact_Quota!$D:$D,Fact_Quota!$A:$A,$A937,Fact_Quota!$B:$B,"&gt;="&amp;B937,Fact_Quota!$B:$B,"&lt;"&amp;EDATE(B937,1))</f>
        <v>15700</v>
      </c>
      <c r="E937" s="62">
        <f>SUMIFS(Fact_Pipeline!$K:$K,Fact_Pipeline!$B:$B,$A937,Fact_Pipeline!$J:$J,"Won",Fact_Pipeline!$I:$I,"&gt;="&amp;B937,Fact_Pipeline!$I:$I,"&lt;"&amp;EDATE(B937,1))</f>
        <v>30900</v>
      </c>
      <c r="F937" s="63" t="b">
        <f>AND(D937&gt;0,IFERROR(E937/D937&gt;=G6,FALSE()))</f>
        <v>1</v>
      </c>
      <c r="G937" s="62">
        <f t="shared" si="93"/>
        <v>471</v>
      </c>
      <c r="H937" s="62">
        <f>IF(F937,MAX(0,MIN(E937,I6*D937)-D937)*IFERROR(INDEX($C$158:$C$161,MATCH(C937,$A$158:$A$161,0)),0),0)</f>
        <v>392.5</v>
      </c>
      <c r="I937" s="62">
        <f>IF(F937,MAX(0,E937-I6*D937)*IFERROR(INDEX($D$158:$D$161,MATCH(C937,$A$158:$A$161,0)),0),0)</f>
        <v>514.5</v>
      </c>
      <c r="J937" s="62">
        <f t="shared" si="94"/>
        <v>1378</v>
      </c>
    </row>
    <row r="938" spans="1:10" ht="15" customHeight="1" outlineLevel="1" x14ac:dyDescent="0.2">
      <c r="A938" s="66" t="str">
        <f t="shared" ref="A938:A961" si="95">$A$195</f>
        <v>R004</v>
      </c>
      <c r="B938" s="67">
        <f>$A$1421</f>
        <v>45292</v>
      </c>
      <c r="C938" s="66" t="str">
        <f t="shared" ref="C938:C961" si="96">$C$195</f>
        <v>Mid-Market AE</v>
      </c>
      <c r="D938" s="65">
        <f>SUMIFS(Fact_Quota!$D:$D,Fact_Quota!$A:$A,$A938,Fact_Quota!$B:$B,"&gt;="&amp;B938,Fact_Quota!$B:$B,"&lt;"&amp;EDATE(B938,1))</f>
        <v>21900</v>
      </c>
      <c r="E938" s="65">
        <f>SUMIFS(Fact_Pipeline!$K:$K,Fact_Pipeline!$B:$B,$A938,Fact_Pipeline!$J:$J,"Won",Fact_Pipeline!$I:$I,"&gt;="&amp;B938,Fact_Pipeline!$I:$I,"&lt;"&amp;EDATE(B938,1))</f>
        <v>0</v>
      </c>
      <c r="F938" s="66" t="b">
        <f>AND(D938&gt;0,IFERROR(E938/D938&gt;=G6,FALSE()))</f>
        <v>0</v>
      </c>
      <c r="G938" s="65">
        <f t="shared" si="93"/>
        <v>0</v>
      </c>
      <c r="H938" s="65">
        <f>IF(F938,MAX(0,MIN(E938,I6*D938)-D938)*IFERROR(INDEX($C$158:$C$161,MATCH(C938,$A$158:$A$161,0)),0),0)</f>
        <v>0</v>
      </c>
      <c r="I938" s="65">
        <f>IF(F938,MAX(0,E938-I6*D938)*IFERROR(INDEX($D$158:$D$161,MATCH(C938,$A$158:$A$161,0)),0),0)</f>
        <v>0</v>
      </c>
      <c r="J938" s="65">
        <f t="shared" si="94"/>
        <v>0</v>
      </c>
    </row>
    <row r="939" spans="1:10" ht="15" customHeight="1" outlineLevel="1" x14ac:dyDescent="0.2">
      <c r="A939" s="66" t="str">
        <f t="shared" si="95"/>
        <v>R004</v>
      </c>
      <c r="B939" s="67">
        <f>$A$1422</f>
        <v>45323</v>
      </c>
      <c r="C939" s="66" t="str">
        <f t="shared" si="96"/>
        <v>Mid-Market AE</v>
      </c>
      <c r="D939" s="65">
        <f>SUMIFS(Fact_Quota!$D:$D,Fact_Quota!$A:$A,$A939,Fact_Quota!$B:$B,"&gt;="&amp;B939,Fact_Quota!$B:$B,"&lt;"&amp;EDATE(B939,1))</f>
        <v>22200</v>
      </c>
      <c r="E939" s="65">
        <f>SUMIFS(Fact_Pipeline!$K:$K,Fact_Pipeline!$B:$B,$A939,Fact_Pipeline!$J:$J,"Won",Fact_Pipeline!$I:$I,"&gt;="&amp;B939,Fact_Pipeline!$I:$I,"&lt;"&amp;EDATE(B939,1))</f>
        <v>15500</v>
      </c>
      <c r="F939" s="66" t="b">
        <f>AND(D939&gt;0,IFERROR(E939/D939&gt;=G6,FALSE()))</f>
        <v>1</v>
      </c>
      <c r="G939" s="65">
        <f t="shared" si="93"/>
        <v>775</v>
      </c>
      <c r="H939" s="65">
        <f>IF(F939,MAX(0,MIN(E939,I6*D939)-D939)*IFERROR(INDEX($C$158:$C$161,MATCH(C939,$A$158:$A$161,0)),0),0)</f>
        <v>0</v>
      </c>
      <c r="I939" s="65">
        <f>IF(F939,MAX(0,E939-I6*D939)*IFERROR(INDEX($D$158:$D$161,MATCH(C939,$A$158:$A$161,0)),0),0)</f>
        <v>0</v>
      </c>
      <c r="J939" s="65">
        <f t="shared" si="94"/>
        <v>775</v>
      </c>
    </row>
    <row r="940" spans="1:10" ht="15" customHeight="1" outlineLevel="1" x14ac:dyDescent="0.2">
      <c r="A940" s="66" t="str">
        <f t="shared" si="95"/>
        <v>R004</v>
      </c>
      <c r="B940" s="67">
        <f>$A$1423</f>
        <v>45352</v>
      </c>
      <c r="C940" s="66" t="str">
        <f t="shared" si="96"/>
        <v>Mid-Market AE</v>
      </c>
      <c r="D940" s="65">
        <f>SUMIFS(Fact_Quota!$D:$D,Fact_Quota!$A:$A,$A940,Fact_Quota!$B:$B,"&gt;="&amp;B940,Fact_Quota!$B:$B,"&lt;"&amp;EDATE(B940,1))</f>
        <v>23000</v>
      </c>
      <c r="E940" s="65">
        <f>SUMIFS(Fact_Pipeline!$K:$K,Fact_Pipeline!$B:$B,$A940,Fact_Pipeline!$J:$J,"Won",Fact_Pipeline!$I:$I,"&gt;="&amp;B940,Fact_Pipeline!$I:$I,"&lt;"&amp;EDATE(B940,1))</f>
        <v>0</v>
      </c>
      <c r="F940" s="66" t="b">
        <f>AND(D940&gt;0,IFERROR(E940/D940&gt;=G6,FALSE()))</f>
        <v>0</v>
      </c>
      <c r="G940" s="65">
        <f t="shared" si="93"/>
        <v>0</v>
      </c>
      <c r="H940" s="65">
        <f>IF(F940,MAX(0,MIN(E940,I6*D940)-D940)*IFERROR(INDEX($C$158:$C$161,MATCH(C940,$A$158:$A$161,0)),0),0)</f>
        <v>0</v>
      </c>
      <c r="I940" s="65">
        <f>IF(F940,MAX(0,E940-I6*D940)*IFERROR(INDEX($D$158:$D$161,MATCH(C940,$A$158:$A$161,0)),0),0)</f>
        <v>0</v>
      </c>
      <c r="J940" s="65">
        <f t="shared" si="94"/>
        <v>0</v>
      </c>
    </row>
    <row r="941" spans="1:10" ht="15" customHeight="1" outlineLevel="1" x14ac:dyDescent="0.2">
      <c r="A941" s="66" t="str">
        <f t="shared" si="95"/>
        <v>R004</v>
      </c>
      <c r="B941" s="67">
        <f>$A$1424</f>
        <v>45383</v>
      </c>
      <c r="C941" s="66" t="str">
        <f t="shared" si="96"/>
        <v>Mid-Market AE</v>
      </c>
      <c r="D941" s="65">
        <f>SUMIFS(Fact_Quota!$D:$D,Fact_Quota!$A:$A,$A941,Fact_Quota!$B:$B,"&gt;="&amp;B941,Fact_Quota!$B:$B,"&lt;"&amp;EDATE(B941,1))</f>
        <v>21700</v>
      </c>
      <c r="E941" s="65">
        <f>SUMIFS(Fact_Pipeline!$K:$K,Fact_Pipeline!$B:$B,$A941,Fact_Pipeline!$J:$J,"Won",Fact_Pipeline!$I:$I,"&gt;="&amp;B941,Fact_Pipeline!$I:$I,"&lt;"&amp;EDATE(B941,1))</f>
        <v>40800</v>
      </c>
      <c r="F941" s="66" t="b">
        <f>AND(D941&gt;0,IFERROR(E941/D941&gt;=G6,FALSE()))</f>
        <v>1</v>
      </c>
      <c r="G941" s="65">
        <f t="shared" si="93"/>
        <v>1085</v>
      </c>
      <c r="H941" s="65">
        <f>IF(F941,MAX(0,MIN(E941,I6*D941)-D941)*IFERROR(INDEX($C$158:$C$161,MATCH(C941,$A$158:$A$161,0)),0),0)</f>
        <v>868</v>
      </c>
      <c r="I941" s="65">
        <f>IF(F941,MAX(0,E941-I6*D941)*IFERROR(INDEX($D$158:$D$161,MATCH(C941,$A$158:$A$161,0)),0),0)</f>
        <v>907.5</v>
      </c>
      <c r="J941" s="65">
        <f t="shared" si="94"/>
        <v>2860.5</v>
      </c>
    </row>
    <row r="942" spans="1:10" ht="15" customHeight="1" outlineLevel="1" x14ac:dyDescent="0.2">
      <c r="A942" s="66" t="str">
        <f t="shared" si="95"/>
        <v>R004</v>
      </c>
      <c r="B942" s="67">
        <f>$A$1425</f>
        <v>45413</v>
      </c>
      <c r="C942" s="66" t="str">
        <f t="shared" si="96"/>
        <v>Mid-Market AE</v>
      </c>
      <c r="D942" s="65">
        <f>SUMIFS(Fact_Quota!$D:$D,Fact_Quota!$A:$A,$A942,Fact_Quota!$B:$B,"&gt;="&amp;B942,Fact_Quota!$B:$B,"&lt;"&amp;EDATE(B942,1))</f>
        <v>21500</v>
      </c>
      <c r="E942" s="65">
        <f>SUMIFS(Fact_Pipeline!$K:$K,Fact_Pipeline!$B:$B,$A942,Fact_Pipeline!$J:$J,"Won",Fact_Pipeline!$I:$I,"&gt;="&amp;B942,Fact_Pipeline!$I:$I,"&lt;"&amp;EDATE(B942,1))</f>
        <v>36900</v>
      </c>
      <c r="F942" s="66" t="b">
        <f>AND(D942&gt;0,IFERROR(E942/D942&gt;=G6,FALSE()))</f>
        <v>1</v>
      </c>
      <c r="G942" s="65">
        <f t="shared" si="93"/>
        <v>1075</v>
      </c>
      <c r="H942" s="65">
        <f>IF(F942,MAX(0,MIN(E942,I6*D942)-D942)*IFERROR(INDEX($C$158:$C$161,MATCH(C942,$A$158:$A$161,0)),0),0)</f>
        <v>860</v>
      </c>
      <c r="I942" s="65">
        <f>IF(F942,MAX(0,E942-I6*D942)*IFERROR(INDEX($D$158:$D$161,MATCH(C942,$A$158:$A$161,0)),0),0)</f>
        <v>511.5</v>
      </c>
      <c r="J942" s="65">
        <f t="shared" si="94"/>
        <v>2446.5</v>
      </c>
    </row>
    <row r="943" spans="1:10" ht="15" customHeight="1" outlineLevel="1" x14ac:dyDescent="0.2">
      <c r="A943" s="66" t="str">
        <f t="shared" si="95"/>
        <v>R004</v>
      </c>
      <c r="B943" s="67">
        <f>$A$1426</f>
        <v>45444</v>
      </c>
      <c r="C943" s="66" t="str">
        <f t="shared" si="96"/>
        <v>Mid-Market AE</v>
      </c>
      <c r="D943" s="65">
        <f>SUMIFS(Fact_Quota!$D:$D,Fact_Quota!$A:$A,$A943,Fact_Quota!$B:$B,"&gt;="&amp;B943,Fact_Quota!$B:$B,"&lt;"&amp;EDATE(B943,1))</f>
        <v>21700</v>
      </c>
      <c r="E943" s="65">
        <f>SUMIFS(Fact_Pipeline!$K:$K,Fact_Pipeline!$B:$B,$A943,Fact_Pipeline!$J:$J,"Won",Fact_Pipeline!$I:$I,"&gt;="&amp;B943,Fact_Pipeline!$I:$I,"&lt;"&amp;EDATE(B943,1))</f>
        <v>39000</v>
      </c>
      <c r="F943" s="66" t="b">
        <f>AND(D943&gt;0,IFERROR(E943/D943&gt;=G6,FALSE()))</f>
        <v>1</v>
      </c>
      <c r="G943" s="65">
        <f t="shared" si="93"/>
        <v>1085</v>
      </c>
      <c r="H943" s="65">
        <f>IF(F943,MAX(0,MIN(E943,I6*D943)-D943)*IFERROR(INDEX($C$158:$C$161,MATCH(C943,$A$158:$A$161,0)),0),0)</f>
        <v>868</v>
      </c>
      <c r="I943" s="65">
        <f>IF(F943,MAX(0,E943-I6*D943)*IFERROR(INDEX($D$158:$D$161,MATCH(C943,$A$158:$A$161,0)),0),0)</f>
        <v>709.5</v>
      </c>
      <c r="J943" s="65">
        <f t="shared" si="94"/>
        <v>2662.5</v>
      </c>
    </row>
    <row r="944" spans="1:10" ht="15" customHeight="1" outlineLevel="1" x14ac:dyDescent="0.2">
      <c r="A944" s="66" t="str">
        <f t="shared" si="95"/>
        <v>R004</v>
      </c>
      <c r="B944" s="67">
        <f>$A$1427</f>
        <v>45474</v>
      </c>
      <c r="C944" s="66" t="str">
        <f t="shared" si="96"/>
        <v>Mid-Market AE</v>
      </c>
      <c r="D944" s="65">
        <f>SUMIFS(Fact_Quota!$D:$D,Fact_Quota!$A:$A,$A944,Fact_Quota!$B:$B,"&gt;="&amp;B944,Fact_Quota!$B:$B,"&lt;"&amp;EDATE(B944,1))</f>
        <v>22600</v>
      </c>
      <c r="E944" s="65">
        <f>SUMIFS(Fact_Pipeline!$K:$K,Fact_Pipeline!$B:$B,$A944,Fact_Pipeline!$J:$J,"Won",Fact_Pipeline!$I:$I,"&gt;="&amp;B944,Fact_Pipeline!$I:$I,"&lt;"&amp;EDATE(B944,1))</f>
        <v>25500</v>
      </c>
      <c r="F944" s="66" t="b">
        <f>AND(D944&gt;0,IFERROR(E944/D944&gt;=G6,FALSE()))</f>
        <v>1</v>
      </c>
      <c r="G944" s="65">
        <f t="shared" si="93"/>
        <v>1130</v>
      </c>
      <c r="H944" s="65">
        <f>IF(F944,MAX(0,MIN(E944,I6*D944)-D944)*IFERROR(INDEX($C$158:$C$161,MATCH(C944,$A$158:$A$161,0)),0),0)</f>
        <v>232</v>
      </c>
      <c r="I944" s="65">
        <f>IF(F944,MAX(0,E944-I6*D944)*IFERROR(INDEX($D$158:$D$161,MATCH(C944,$A$158:$A$161,0)),0),0)</f>
        <v>0</v>
      </c>
      <c r="J944" s="65">
        <f t="shared" si="94"/>
        <v>1362</v>
      </c>
    </row>
    <row r="945" spans="1:10" ht="15" customHeight="1" outlineLevel="1" x14ac:dyDescent="0.2">
      <c r="A945" s="66" t="str">
        <f t="shared" si="95"/>
        <v>R004</v>
      </c>
      <c r="B945" s="67">
        <f>$A$1428</f>
        <v>45505</v>
      </c>
      <c r="C945" s="66" t="str">
        <f t="shared" si="96"/>
        <v>Mid-Market AE</v>
      </c>
      <c r="D945" s="65">
        <f>SUMIFS(Fact_Quota!$D:$D,Fact_Quota!$A:$A,$A945,Fact_Quota!$B:$B,"&gt;="&amp;B945,Fact_Quota!$B:$B,"&lt;"&amp;EDATE(B945,1))</f>
        <v>22200</v>
      </c>
      <c r="E945" s="65">
        <f>SUMIFS(Fact_Pipeline!$K:$K,Fact_Pipeline!$B:$B,$A945,Fact_Pipeline!$J:$J,"Won",Fact_Pipeline!$I:$I,"&gt;="&amp;B945,Fact_Pipeline!$I:$I,"&lt;"&amp;EDATE(B945,1))</f>
        <v>32700</v>
      </c>
      <c r="F945" s="66" t="b">
        <f>AND(D945&gt;0,IFERROR(E945/D945&gt;=G6,FALSE()))</f>
        <v>1</v>
      </c>
      <c r="G945" s="65">
        <f t="shared" si="93"/>
        <v>1110</v>
      </c>
      <c r="H945" s="65">
        <f>IF(F945,MAX(0,MIN(E945,I6*D945)-D945)*IFERROR(INDEX($C$158:$C$161,MATCH(C945,$A$158:$A$161,0)),0),0)</f>
        <v>840</v>
      </c>
      <c r="I945" s="65">
        <f>IF(F945,MAX(0,E945-I6*D945)*IFERROR(INDEX($D$158:$D$161,MATCH(C945,$A$158:$A$161,0)),0),0)</f>
        <v>0</v>
      </c>
      <c r="J945" s="65">
        <f t="shared" si="94"/>
        <v>1950</v>
      </c>
    </row>
    <row r="946" spans="1:10" ht="15" customHeight="1" outlineLevel="1" x14ac:dyDescent="0.2">
      <c r="A946" s="66" t="str">
        <f t="shared" si="95"/>
        <v>R004</v>
      </c>
      <c r="B946" s="67">
        <f>$A$1429</f>
        <v>45536</v>
      </c>
      <c r="C946" s="66" t="str">
        <f t="shared" si="96"/>
        <v>Mid-Market AE</v>
      </c>
      <c r="D946" s="65">
        <f>SUMIFS(Fact_Quota!$D:$D,Fact_Quota!$A:$A,$A946,Fact_Quota!$B:$B,"&gt;="&amp;B946,Fact_Quota!$B:$B,"&lt;"&amp;EDATE(B946,1))</f>
        <v>21700</v>
      </c>
      <c r="E946" s="65">
        <f>SUMIFS(Fact_Pipeline!$K:$K,Fact_Pipeline!$B:$B,$A946,Fact_Pipeline!$J:$J,"Won",Fact_Pipeline!$I:$I,"&gt;="&amp;B946,Fact_Pipeline!$I:$I,"&lt;"&amp;EDATE(B946,1))</f>
        <v>6800</v>
      </c>
      <c r="F946" s="66" t="b">
        <f>AND(D946&gt;0,IFERROR(E946/D946&gt;=G6,FALSE()))</f>
        <v>0</v>
      </c>
      <c r="G946" s="65">
        <f t="shared" si="93"/>
        <v>0</v>
      </c>
      <c r="H946" s="65">
        <f>IF(F946,MAX(0,MIN(E946,I6*D946)-D946)*IFERROR(INDEX($C$158:$C$161,MATCH(C946,$A$158:$A$161,0)),0),0)</f>
        <v>0</v>
      </c>
      <c r="I946" s="65">
        <f>IF(F946,MAX(0,E946-I6*D946)*IFERROR(INDEX($D$158:$D$161,MATCH(C946,$A$158:$A$161,0)),0),0)</f>
        <v>0</v>
      </c>
      <c r="J946" s="65">
        <f t="shared" si="94"/>
        <v>0</v>
      </c>
    </row>
    <row r="947" spans="1:10" ht="15" customHeight="1" outlineLevel="1" x14ac:dyDescent="0.2">
      <c r="A947" s="66" t="str">
        <f t="shared" si="95"/>
        <v>R004</v>
      </c>
      <c r="B947" s="67">
        <f>$A$1430</f>
        <v>45566</v>
      </c>
      <c r="C947" s="66" t="str">
        <f t="shared" si="96"/>
        <v>Mid-Market AE</v>
      </c>
      <c r="D947" s="65">
        <f>SUMIFS(Fact_Quota!$D:$D,Fact_Quota!$A:$A,$A947,Fact_Quota!$B:$B,"&gt;="&amp;B947,Fact_Quota!$B:$B,"&lt;"&amp;EDATE(B947,1))</f>
        <v>22300</v>
      </c>
      <c r="E947" s="65">
        <f>SUMIFS(Fact_Pipeline!$K:$K,Fact_Pipeline!$B:$B,$A947,Fact_Pipeline!$J:$J,"Won",Fact_Pipeline!$I:$I,"&gt;="&amp;B947,Fact_Pipeline!$I:$I,"&lt;"&amp;EDATE(B947,1))</f>
        <v>19400</v>
      </c>
      <c r="F947" s="66" t="b">
        <f>AND(D947&gt;0,IFERROR(E947/D947&gt;=G6,FALSE()))</f>
        <v>1</v>
      </c>
      <c r="G947" s="65">
        <f t="shared" si="93"/>
        <v>970</v>
      </c>
      <c r="H947" s="65">
        <f>IF(F947,MAX(0,MIN(E947,I6*D947)-D947)*IFERROR(INDEX($C$158:$C$161,MATCH(C947,$A$158:$A$161,0)),0),0)</f>
        <v>0</v>
      </c>
      <c r="I947" s="65">
        <f>IF(F947,MAX(0,E947-I6*D947)*IFERROR(INDEX($D$158:$D$161,MATCH(C947,$A$158:$A$161,0)),0),0)</f>
        <v>0</v>
      </c>
      <c r="J947" s="65">
        <f t="shared" si="94"/>
        <v>970</v>
      </c>
    </row>
    <row r="948" spans="1:10" ht="15" customHeight="1" outlineLevel="1" x14ac:dyDescent="0.2">
      <c r="A948" s="66" t="str">
        <f t="shared" si="95"/>
        <v>R004</v>
      </c>
      <c r="B948" s="67">
        <f>$A$1431</f>
        <v>45597</v>
      </c>
      <c r="C948" s="66" t="str">
        <f t="shared" si="96"/>
        <v>Mid-Market AE</v>
      </c>
      <c r="D948" s="65">
        <f>SUMIFS(Fact_Quota!$D:$D,Fact_Quota!$A:$A,$A948,Fact_Quota!$B:$B,"&gt;="&amp;B948,Fact_Quota!$B:$B,"&lt;"&amp;EDATE(B948,1))</f>
        <v>22100</v>
      </c>
      <c r="E948" s="65">
        <f>SUMIFS(Fact_Pipeline!$K:$K,Fact_Pipeline!$B:$B,$A948,Fact_Pipeline!$J:$J,"Won",Fact_Pipeline!$I:$I,"&gt;="&amp;B948,Fact_Pipeline!$I:$I,"&lt;"&amp;EDATE(B948,1))</f>
        <v>29200</v>
      </c>
      <c r="F948" s="66" t="b">
        <f>AND(D948&gt;0,IFERROR(E948/D948&gt;=G6,FALSE()))</f>
        <v>1</v>
      </c>
      <c r="G948" s="65">
        <f t="shared" si="93"/>
        <v>1105</v>
      </c>
      <c r="H948" s="65">
        <f>IF(F948,MAX(0,MIN(E948,I6*D948)-D948)*IFERROR(INDEX($C$158:$C$161,MATCH(C948,$A$158:$A$161,0)),0),0)</f>
        <v>568</v>
      </c>
      <c r="I948" s="65">
        <f>IF(F948,MAX(0,E948-I6*D948)*IFERROR(INDEX($D$158:$D$161,MATCH(C948,$A$158:$A$161,0)),0),0)</f>
        <v>0</v>
      </c>
      <c r="J948" s="65">
        <f t="shared" si="94"/>
        <v>1673</v>
      </c>
    </row>
    <row r="949" spans="1:10" ht="15" customHeight="1" outlineLevel="1" x14ac:dyDescent="0.2">
      <c r="A949" s="66" t="str">
        <f t="shared" si="95"/>
        <v>R004</v>
      </c>
      <c r="B949" s="67">
        <f>$A$1432</f>
        <v>45627</v>
      </c>
      <c r="C949" s="66" t="str">
        <f t="shared" si="96"/>
        <v>Mid-Market AE</v>
      </c>
      <c r="D949" s="65">
        <f>SUMIFS(Fact_Quota!$D:$D,Fact_Quota!$A:$A,$A949,Fact_Quota!$B:$B,"&gt;="&amp;B949,Fact_Quota!$B:$B,"&lt;"&amp;EDATE(B949,1))</f>
        <v>22600</v>
      </c>
      <c r="E949" s="65">
        <f>SUMIFS(Fact_Pipeline!$K:$K,Fact_Pipeline!$B:$B,$A949,Fact_Pipeline!$J:$J,"Won",Fact_Pipeline!$I:$I,"&gt;="&amp;B949,Fact_Pipeline!$I:$I,"&lt;"&amp;EDATE(B949,1))</f>
        <v>7500</v>
      </c>
      <c r="F949" s="66" t="b">
        <f>AND(D949&gt;0,IFERROR(E949/D949&gt;=G6,FALSE()))</f>
        <v>0</v>
      </c>
      <c r="G949" s="65">
        <f t="shared" si="93"/>
        <v>0</v>
      </c>
      <c r="H949" s="65">
        <f>IF(F949,MAX(0,MIN(E949,I6*D949)-D949)*IFERROR(INDEX($C$158:$C$161,MATCH(C949,$A$158:$A$161,0)),0),0)</f>
        <v>0</v>
      </c>
      <c r="I949" s="65">
        <f>IF(F949,MAX(0,E949-I6*D949)*IFERROR(INDEX($D$158:$D$161,MATCH(C949,$A$158:$A$161,0)),0),0)</f>
        <v>0</v>
      </c>
      <c r="J949" s="65">
        <f t="shared" si="94"/>
        <v>0</v>
      </c>
    </row>
    <row r="950" spans="1:10" ht="15" customHeight="1" outlineLevel="1" x14ac:dyDescent="0.2">
      <c r="A950" s="66" t="str">
        <f t="shared" si="95"/>
        <v>R004</v>
      </c>
      <c r="B950" s="67">
        <f>$A$1433</f>
        <v>45658</v>
      </c>
      <c r="C950" s="66" t="str">
        <f t="shared" si="96"/>
        <v>Mid-Market AE</v>
      </c>
      <c r="D950" s="65">
        <f>SUMIFS(Fact_Quota!$D:$D,Fact_Quota!$A:$A,$A950,Fact_Quota!$B:$B,"&gt;="&amp;B950,Fact_Quota!$B:$B,"&lt;"&amp;EDATE(B950,1))</f>
        <v>21500</v>
      </c>
      <c r="E950" s="65">
        <f>SUMIFS(Fact_Pipeline!$K:$K,Fact_Pipeline!$B:$B,$A950,Fact_Pipeline!$J:$J,"Won",Fact_Pipeline!$I:$I,"&gt;="&amp;B950,Fact_Pipeline!$I:$I,"&lt;"&amp;EDATE(B950,1))</f>
        <v>10800</v>
      </c>
      <c r="F950" s="66" t="b">
        <f>AND(D950&gt;0,IFERROR(E950/D950&gt;=G6,FALSE()))</f>
        <v>1</v>
      </c>
      <c r="G950" s="65">
        <f t="shared" si="93"/>
        <v>540</v>
      </c>
      <c r="H950" s="65">
        <f>IF(F950,MAX(0,MIN(E950,I6*D950)-D950)*IFERROR(INDEX($C$158:$C$161,MATCH(C950,$A$158:$A$161,0)),0),0)</f>
        <v>0</v>
      </c>
      <c r="I950" s="65">
        <f>IF(F950,MAX(0,E950-I6*D950)*IFERROR(INDEX($D$158:$D$161,MATCH(C950,$A$158:$A$161,0)),0),0)</f>
        <v>0</v>
      </c>
      <c r="J950" s="65">
        <f t="shared" si="94"/>
        <v>540</v>
      </c>
    </row>
    <row r="951" spans="1:10" ht="15" customHeight="1" outlineLevel="1" x14ac:dyDescent="0.2">
      <c r="A951" s="66" t="str">
        <f t="shared" si="95"/>
        <v>R004</v>
      </c>
      <c r="B951" s="67">
        <f>$A$1434</f>
        <v>45689</v>
      </c>
      <c r="C951" s="66" t="str">
        <f t="shared" si="96"/>
        <v>Mid-Market AE</v>
      </c>
      <c r="D951" s="65">
        <f>SUMIFS(Fact_Quota!$D:$D,Fact_Quota!$A:$A,$A951,Fact_Quota!$B:$B,"&gt;="&amp;B951,Fact_Quota!$B:$B,"&lt;"&amp;EDATE(B951,1))</f>
        <v>21800</v>
      </c>
      <c r="E951" s="65">
        <f>SUMIFS(Fact_Pipeline!$K:$K,Fact_Pipeline!$B:$B,$A951,Fact_Pipeline!$J:$J,"Won",Fact_Pipeline!$I:$I,"&gt;="&amp;B951,Fact_Pipeline!$I:$I,"&lt;"&amp;EDATE(B951,1))</f>
        <v>55200</v>
      </c>
      <c r="F951" s="66" t="b">
        <f>AND(D951&gt;0,IFERROR(E951/D951&gt;=G6,FALSE()))</f>
        <v>1</v>
      </c>
      <c r="G951" s="65">
        <f t="shared" si="93"/>
        <v>1090</v>
      </c>
      <c r="H951" s="65">
        <f>IF(F951,MAX(0,MIN(E951,I6*D951)-D951)*IFERROR(INDEX($C$158:$C$161,MATCH(C951,$A$158:$A$161,0)),0),0)</f>
        <v>872</v>
      </c>
      <c r="I951" s="65">
        <f>IF(F951,MAX(0,E951-I6*D951)*IFERROR(INDEX($D$158:$D$161,MATCH(C951,$A$158:$A$161,0)),0),0)</f>
        <v>2475</v>
      </c>
      <c r="J951" s="65">
        <f t="shared" si="94"/>
        <v>4437</v>
      </c>
    </row>
    <row r="952" spans="1:10" ht="15" customHeight="1" outlineLevel="1" x14ac:dyDescent="0.2">
      <c r="A952" s="66" t="str">
        <f t="shared" si="95"/>
        <v>R004</v>
      </c>
      <c r="B952" s="67">
        <f>$A$1435</f>
        <v>45717</v>
      </c>
      <c r="C952" s="66" t="str">
        <f t="shared" si="96"/>
        <v>Mid-Market AE</v>
      </c>
      <c r="D952" s="65">
        <f>SUMIFS(Fact_Quota!$D:$D,Fact_Quota!$A:$A,$A952,Fact_Quota!$B:$B,"&gt;="&amp;B952,Fact_Quota!$B:$B,"&lt;"&amp;EDATE(B952,1))</f>
        <v>21700</v>
      </c>
      <c r="E952" s="65">
        <f>SUMIFS(Fact_Pipeline!$K:$K,Fact_Pipeline!$B:$B,$A952,Fact_Pipeline!$J:$J,"Won",Fact_Pipeline!$I:$I,"&gt;="&amp;B952,Fact_Pipeline!$I:$I,"&lt;"&amp;EDATE(B952,1))</f>
        <v>7600</v>
      </c>
      <c r="F952" s="66" t="b">
        <f>AND(D952&gt;0,IFERROR(E952/D952&gt;=G6,FALSE()))</f>
        <v>0</v>
      </c>
      <c r="G952" s="65">
        <f t="shared" si="93"/>
        <v>0</v>
      </c>
      <c r="H952" s="65">
        <f>IF(F952,MAX(0,MIN(E952,I6*D952)-D952)*IFERROR(INDEX($C$158:$C$161,MATCH(C952,$A$158:$A$161,0)),0),0)</f>
        <v>0</v>
      </c>
      <c r="I952" s="65">
        <f>IF(F952,MAX(0,E952-I6*D952)*IFERROR(INDEX($D$158:$D$161,MATCH(C952,$A$158:$A$161,0)),0),0)</f>
        <v>0</v>
      </c>
      <c r="J952" s="65">
        <f t="shared" si="94"/>
        <v>0</v>
      </c>
    </row>
    <row r="953" spans="1:10" ht="15" customHeight="1" outlineLevel="1" x14ac:dyDescent="0.2">
      <c r="A953" s="66" t="str">
        <f t="shared" si="95"/>
        <v>R004</v>
      </c>
      <c r="B953" s="67">
        <f>$A$1436</f>
        <v>45748</v>
      </c>
      <c r="C953" s="66" t="str">
        <f t="shared" si="96"/>
        <v>Mid-Market AE</v>
      </c>
      <c r="D953" s="65">
        <f>SUMIFS(Fact_Quota!$D:$D,Fact_Quota!$A:$A,$A953,Fact_Quota!$B:$B,"&gt;="&amp;B953,Fact_Quota!$B:$B,"&lt;"&amp;EDATE(B953,1))</f>
        <v>21000</v>
      </c>
      <c r="E953" s="65">
        <f>SUMIFS(Fact_Pipeline!$K:$K,Fact_Pipeline!$B:$B,$A953,Fact_Pipeline!$J:$J,"Won",Fact_Pipeline!$I:$I,"&gt;="&amp;B953,Fact_Pipeline!$I:$I,"&lt;"&amp;EDATE(B953,1))</f>
        <v>32800</v>
      </c>
      <c r="F953" s="66" t="b">
        <f>AND(D953&gt;0,IFERROR(E953/D953&gt;=G6,FALSE()))</f>
        <v>1</v>
      </c>
      <c r="G953" s="65">
        <f t="shared" si="93"/>
        <v>1050</v>
      </c>
      <c r="H953" s="65">
        <f>IF(F953,MAX(0,MIN(E953,I6*D953)-D953)*IFERROR(INDEX($C$158:$C$161,MATCH(C953,$A$158:$A$161,0)),0),0)</f>
        <v>840</v>
      </c>
      <c r="I953" s="65">
        <f>IF(F953,MAX(0,E953-I6*D953)*IFERROR(INDEX($D$158:$D$161,MATCH(C953,$A$158:$A$161,0)),0),0)</f>
        <v>143</v>
      </c>
      <c r="J953" s="65">
        <f t="shared" si="94"/>
        <v>2033</v>
      </c>
    </row>
    <row r="954" spans="1:10" ht="15" customHeight="1" outlineLevel="1" x14ac:dyDescent="0.2">
      <c r="A954" s="66" t="str">
        <f t="shared" si="95"/>
        <v>R004</v>
      </c>
      <c r="B954" s="67">
        <f>$A$1437</f>
        <v>45778</v>
      </c>
      <c r="C954" s="66" t="str">
        <f t="shared" si="96"/>
        <v>Mid-Market AE</v>
      </c>
      <c r="D954" s="65">
        <f>SUMIFS(Fact_Quota!$D:$D,Fact_Quota!$A:$A,$A954,Fact_Quota!$B:$B,"&gt;="&amp;B954,Fact_Quota!$B:$B,"&lt;"&amp;EDATE(B954,1))</f>
        <v>22200</v>
      </c>
      <c r="E954" s="65">
        <f>SUMIFS(Fact_Pipeline!$K:$K,Fact_Pipeline!$B:$B,$A954,Fact_Pipeline!$J:$J,"Won",Fact_Pipeline!$I:$I,"&gt;="&amp;B954,Fact_Pipeline!$I:$I,"&lt;"&amp;EDATE(B954,1))</f>
        <v>11100</v>
      </c>
      <c r="F954" s="66" t="b">
        <f>AND(D954&gt;0,IFERROR(E954/D954&gt;=G6,FALSE()))</f>
        <v>1</v>
      </c>
      <c r="G954" s="65">
        <f t="shared" si="93"/>
        <v>555</v>
      </c>
      <c r="H954" s="65">
        <f>IF(F954,MAX(0,MIN(E954,I6*D954)-D954)*IFERROR(INDEX($C$158:$C$161,MATCH(C954,$A$158:$A$161,0)),0),0)</f>
        <v>0</v>
      </c>
      <c r="I954" s="65">
        <f>IF(F954,MAX(0,E954-I6*D954)*IFERROR(INDEX($D$158:$D$161,MATCH(C954,$A$158:$A$161,0)),0),0)</f>
        <v>0</v>
      </c>
      <c r="J954" s="65">
        <f t="shared" si="94"/>
        <v>555</v>
      </c>
    </row>
    <row r="955" spans="1:10" ht="15" customHeight="1" outlineLevel="1" x14ac:dyDescent="0.2">
      <c r="A955" s="66" t="str">
        <f t="shared" si="95"/>
        <v>R004</v>
      </c>
      <c r="B955" s="67">
        <f>$A$1438</f>
        <v>45809</v>
      </c>
      <c r="C955" s="66" t="str">
        <f t="shared" si="96"/>
        <v>Mid-Market AE</v>
      </c>
      <c r="D955" s="65">
        <f>SUMIFS(Fact_Quota!$D:$D,Fact_Quota!$A:$A,$A955,Fact_Quota!$B:$B,"&gt;="&amp;B955,Fact_Quota!$B:$B,"&lt;"&amp;EDATE(B955,1))</f>
        <v>22200</v>
      </c>
      <c r="E955" s="65">
        <f>SUMIFS(Fact_Pipeline!$K:$K,Fact_Pipeline!$B:$B,$A955,Fact_Pipeline!$J:$J,"Won",Fact_Pipeline!$I:$I,"&gt;="&amp;B955,Fact_Pipeline!$I:$I,"&lt;"&amp;EDATE(B955,1))</f>
        <v>18100</v>
      </c>
      <c r="F955" s="66" t="b">
        <f>AND(D955&gt;0,IFERROR(E955/D955&gt;=G6,FALSE()))</f>
        <v>1</v>
      </c>
      <c r="G955" s="65">
        <f t="shared" si="93"/>
        <v>905</v>
      </c>
      <c r="H955" s="65">
        <f>IF(F955,MAX(0,MIN(E955,I6*D955)-D955)*IFERROR(INDEX($C$158:$C$161,MATCH(C955,$A$158:$A$161,0)),0),0)</f>
        <v>0</v>
      </c>
      <c r="I955" s="65">
        <f>IF(F955,MAX(0,E955-I6*D955)*IFERROR(INDEX($D$158:$D$161,MATCH(C955,$A$158:$A$161,0)),0),0)</f>
        <v>0</v>
      </c>
      <c r="J955" s="65">
        <f t="shared" si="94"/>
        <v>905</v>
      </c>
    </row>
    <row r="956" spans="1:10" ht="15" customHeight="1" outlineLevel="1" x14ac:dyDescent="0.2">
      <c r="A956" s="66" t="str">
        <f t="shared" si="95"/>
        <v>R004</v>
      </c>
      <c r="B956" s="67">
        <f>$A$1439</f>
        <v>45839</v>
      </c>
      <c r="C956" s="66" t="str">
        <f t="shared" si="96"/>
        <v>Mid-Market AE</v>
      </c>
      <c r="D956" s="65">
        <f>SUMIFS(Fact_Quota!$D:$D,Fact_Quota!$A:$A,$A956,Fact_Quota!$B:$B,"&gt;="&amp;B956,Fact_Quota!$B:$B,"&lt;"&amp;EDATE(B956,1))</f>
        <v>22000</v>
      </c>
      <c r="E956" s="65">
        <f>SUMIFS(Fact_Pipeline!$K:$K,Fact_Pipeline!$B:$B,$A956,Fact_Pipeline!$J:$J,"Won",Fact_Pipeline!$I:$I,"&gt;="&amp;B956,Fact_Pipeline!$I:$I,"&lt;"&amp;EDATE(B956,1))</f>
        <v>73300</v>
      </c>
      <c r="F956" s="66" t="b">
        <f>AND(D956&gt;0,IFERROR(E956/D956&gt;=G6,FALSE()))</f>
        <v>1</v>
      </c>
      <c r="G956" s="65">
        <f t="shared" si="93"/>
        <v>1100</v>
      </c>
      <c r="H956" s="65">
        <f>IF(F956,MAX(0,MIN(E956,I6*D956)-D956)*IFERROR(INDEX($C$158:$C$161,MATCH(C956,$A$158:$A$161,0)),0),0)</f>
        <v>880</v>
      </c>
      <c r="I956" s="65">
        <f>IF(F956,MAX(0,E956-I6*D956)*IFERROR(INDEX($D$158:$D$161,MATCH(C956,$A$158:$A$161,0)),0),0)</f>
        <v>4433</v>
      </c>
      <c r="J956" s="65">
        <f t="shared" si="94"/>
        <v>6413</v>
      </c>
    </row>
    <row r="957" spans="1:10" ht="15" customHeight="1" outlineLevel="1" x14ac:dyDescent="0.2">
      <c r="A957" s="66" t="str">
        <f t="shared" si="95"/>
        <v>R004</v>
      </c>
      <c r="B957" s="67">
        <f>$A$1440</f>
        <v>45870</v>
      </c>
      <c r="C957" s="66" t="str">
        <f t="shared" si="96"/>
        <v>Mid-Market AE</v>
      </c>
      <c r="D957" s="65">
        <f>SUMIFS(Fact_Quota!$D:$D,Fact_Quota!$A:$A,$A957,Fact_Quota!$B:$B,"&gt;="&amp;B957,Fact_Quota!$B:$B,"&lt;"&amp;EDATE(B957,1))</f>
        <v>21800</v>
      </c>
      <c r="E957" s="65">
        <f>SUMIFS(Fact_Pipeline!$K:$K,Fact_Pipeline!$B:$B,$A957,Fact_Pipeline!$J:$J,"Won",Fact_Pipeline!$I:$I,"&gt;="&amp;B957,Fact_Pipeline!$I:$I,"&lt;"&amp;EDATE(B957,1))</f>
        <v>0</v>
      </c>
      <c r="F957" s="66" t="b">
        <f>AND(D957&gt;0,IFERROR(E957/D957&gt;=G6,FALSE()))</f>
        <v>0</v>
      </c>
      <c r="G957" s="65">
        <f t="shared" si="93"/>
        <v>0</v>
      </c>
      <c r="H957" s="65">
        <f>IF(F957,MAX(0,MIN(E957,I6*D957)-D957)*IFERROR(INDEX($C$158:$C$161,MATCH(C957,$A$158:$A$161,0)),0),0)</f>
        <v>0</v>
      </c>
      <c r="I957" s="65">
        <f>IF(F957,MAX(0,E957-I6*D957)*IFERROR(INDEX($D$158:$D$161,MATCH(C957,$A$158:$A$161,0)),0),0)</f>
        <v>0</v>
      </c>
      <c r="J957" s="65">
        <f t="shared" si="94"/>
        <v>0</v>
      </c>
    </row>
    <row r="958" spans="1:10" ht="15" customHeight="1" outlineLevel="1" x14ac:dyDescent="0.2">
      <c r="A958" s="66" t="str">
        <f t="shared" si="95"/>
        <v>R004</v>
      </c>
      <c r="B958" s="67">
        <f>$A$1441</f>
        <v>45901</v>
      </c>
      <c r="C958" s="66" t="str">
        <f t="shared" si="96"/>
        <v>Mid-Market AE</v>
      </c>
      <c r="D958" s="65">
        <f>SUMIFS(Fact_Quota!$D:$D,Fact_Quota!$A:$A,$A958,Fact_Quota!$B:$B,"&gt;="&amp;B958,Fact_Quota!$B:$B,"&lt;"&amp;EDATE(B958,1))</f>
        <v>21100</v>
      </c>
      <c r="E958" s="65">
        <f>SUMIFS(Fact_Pipeline!$K:$K,Fact_Pipeline!$B:$B,$A958,Fact_Pipeline!$J:$J,"Won",Fact_Pipeline!$I:$I,"&gt;="&amp;B958,Fact_Pipeline!$I:$I,"&lt;"&amp;EDATE(B958,1))</f>
        <v>0</v>
      </c>
      <c r="F958" s="66" t="b">
        <f>AND(D958&gt;0,IFERROR(E958/D958&gt;=G6,FALSE()))</f>
        <v>0</v>
      </c>
      <c r="G958" s="65">
        <f t="shared" si="93"/>
        <v>0</v>
      </c>
      <c r="H958" s="65">
        <f>IF(F958,MAX(0,MIN(E958,I6*D958)-D958)*IFERROR(INDEX($C$158:$C$161,MATCH(C958,$A$158:$A$161,0)),0),0)</f>
        <v>0</v>
      </c>
      <c r="I958" s="65">
        <f>IF(F958,MAX(0,E958-I6*D958)*IFERROR(INDEX($D$158:$D$161,MATCH(C958,$A$158:$A$161,0)),0),0)</f>
        <v>0</v>
      </c>
      <c r="J958" s="65">
        <f t="shared" si="94"/>
        <v>0</v>
      </c>
    </row>
    <row r="959" spans="1:10" ht="15" customHeight="1" outlineLevel="1" x14ac:dyDescent="0.2">
      <c r="A959" s="66" t="str">
        <f t="shared" si="95"/>
        <v>R004</v>
      </c>
      <c r="B959" s="67">
        <f>$A$1442</f>
        <v>45931</v>
      </c>
      <c r="C959" s="66" t="str">
        <f t="shared" si="96"/>
        <v>Mid-Market AE</v>
      </c>
      <c r="D959" s="65">
        <f>SUMIFS(Fact_Quota!$D:$D,Fact_Quota!$A:$A,$A959,Fact_Quota!$B:$B,"&gt;="&amp;B959,Fact_Quota!$B:$B,"&lt;"&amp;EDATE(B959,1))</f>
        <v>21700</v>
      </c>
      <c r="E959" s="65">
        <f>SUMIFS(Fact_Pipeline!$K:$K,Fact_Pipeline!$B:$B,$A959,Fact_Pipeline!$J:$J,"Won",Fact_Pipeline!$I:$I,"&gt;="&amp;B959,Fact_Pipeline!$I:$I,"&lt;"&amp;EDATE(B959,1))</f>
        <v>58900</v>
      </c>
      <c r="F959" s="66" t="b">
        <f>AND(D959&gt;0,IFERROR(E959/D959&gt;=G6,FALSE()))</f>
        <v>1</v>
      </c>
      <c r="G959" s="65">
        <f t="shared" si="93"/>
        <v>1085</v>
      </c>
      <c r="H959" s="65">
        <f>IF(F959,MAX(0,MIN(E959,I6*D959)-D959)*IFERROR(INDEX($C$158:$C$161,MATCH(C959,$A$158:$A$161,0)),0),0)</f>
        <v>868</v>
      </c>
      <c r="I959" s="65">
        <f>IF(F959,MAX(0,E959-I6*D959)*IFERROR(INDEX($D$158:$D$161,MATCH(C959,$A$158:$A$161,0)),0),0)</f>
        <v>2898.5</v>
      </c>
      <c r="J959" s="65">
        <f t="shared" si="94"/>
        <v>4851.5</v>
      </c>
    </row>
    <row r="960" spans="1:10" ht="15" customHeight="1" outlineLevel="1" x14ac:dyDescent="0.2">
      <c r="A960" s="66" t="str">
        <f t="shared" si="95"/>
        <v>R004</v>
      </c>
      <c r="B960" s="67">
        <f>$A$1443</f>
        <v>45962</v>
      </c>
      <c r="C960" s="66" t="str">
        <f t="shared" si="96"/>
        <v>Mid-Market AE</v>
      </c>
      <c r="D960" s="65">
        <f>SUMIFS(Fact_Quota!$D:$D,Fact_Quota!$A:$A,$A960,Fact_Quota!$B:$B,"&gt;="&amp;B960,Fact_Quota!$B:$B,"&lt;"&amp;EDATE(B960,1))</f>
        <v>21800</v>
      </c>
      <c r="E960" s="65">
        <f>SUMIFS(Fact_Pipeline!$K:$K,Fact_Pipeline!$B:$B,$A960,Fact_Pipeline!$J:$J,"Won",Fact_Pipeline!$I:$I,"&gt;="&amp;B960,Fact_Pipeline!$I:$I,"&lt;"&amp;EDATE(B960,1))</f>
        <v>33900</v>
      </c>
      <c r="F960" s="66" t="b">
        <f>AND(D960&gt;0,IFERROR(E960/D960&gt;=G6,FALSE()))</f>
        <v>1</v>
      </c>
      <c r="G960" s="65">
        <f t="shared" si="93"/>
        <v>1090</v>
      </c>
      <c r="H960" s="65">
        <f>IF(F960,MAX(0,MIN(E960,I6*D960)-D960)*IFERROR(INDEX($C$158:$C$161,MATCH(C960,$A$158:$A$161,0)),0),0)</f>
        <v>872</v>
      </c>
      <c r="I960" s="65">
        <f>IF(F960,MAX(0,E960-I6*D960)*IFERROR(INDEX($D$158:$D$161,MATCH(C960,$A$158:$A$161,0)),0),0)</f>
        <v>132</v>
      </c>
      <c r="J960" s="65">
        <f t="shared" si="94"/>
        <v>2094</v>
      </c>
    </row>
    <row r="961" spans="1:10" ht="15" customHeight="1" outlineLevel="1" x14ac:dyDescent="0.2">
      <c r="A961" s="66" t="str">
        <f t="shared" si="95"/>
        <v>R004</v>
      </c>
      <c r="B961" s="67">
        <f>$A$1444</f>
        <v>45992</v>
      </c>
      <c r="C961" s="66" t="str">
        <f t="shared" si="96"/>
        <v>Mid-Market AE</v>
      </c>
      <c r="D961" s="65">
        <f>SUMIFS(Fact_Quota!$D:$D,Fact_Quota!$A:$A,$A961,Fact_Quota!$B:$B,"&gt;="&amp;B961,Fact_Quota!$B:$B,"&lt;"&amp;EDATE(B961,1))</f>
        <v>21500</v>
      </c>
      <c r="E961" s="65">
        <f>SUMIFS(Fact_Pipeline!$K:$K,Fact_Pipeline!$B:$B,$A961,Fact_Pipeline!$J:$J,"Won",Fact_Pipeline!$I:$I,"&gt;="&amp;B961,Fact_Pipeline!$I:$I,"&lt;"&amp;EDATE(B961,1))</f>
        <v>45000</v>
      </c>
      <c r="F961" s="66" t="b">
        <f>AND(D961&gt;0,IFERROR(E961/D961&gt;=G6,FALSE()))</f>
        <v>1</v>
      </c>
      <c r="G961" s="65">
        <f t="shared" si="93"/>
        <v>1075</v>
      </c>
      <c r="H961" s="65">
        <f>IF(F961,MAX(0,MIN(E961,I6*D961)-D961)*IFERROR(INDEX($C$158:$C$161,MATCH(C961,$A$158:$A$161,0)),0),0)</f>
        <v>860</v>
      </c>
      <c r="I961" s="65">
        <f>IF(F961,MAX(0,E961-I6*D961)*IFERROR(INDEX($D$158:$D$161,MATCH(C961,$A$158:$A$161,0)),0),0)</f>
        <v>1402.5</v>
      </c>
      <c r="J961" s="65">
        <f t="shared" si="94"/>
        <v>3337.5</v>
      </c>
    </row>
    <row r="962" spans="1:10" ht="15" customHeight="1" outlineLevel="1" x14ac:dyDescent="0.2">
      <c r="A962" s="63" t="str">
        <f t="shared" ref="A962:A985" si="97">$A$196</f>
        <v>R009</v>
      </c>
      <c r="B962" s="64">
        <f>$A$1421</f>
        <v>45292</v>
      </c>
      <c r="C962" s="63" t="str">
        <f t="shared" ref="C962:C985" si="98">$C$196</f>
        <v>Mid-Market AE</v>
      </c>
      <c r="D962" s="62">
        <f>SUMIFS(Fact_Quota!$D:$D,Fact_Quota!$A:$A,$A962,Fact_Quota!$B:$B,"&gt;="&amp;B962,Fact_Quota!$B:$B,"&lt;"&amp;EDATE(B962,1))</f>
        <v>0</v>
      </c>
      <c r="E962" s="62">
        <f>SUMIFS(Fact_Pipeline!$K:$K,Fact_Pipeline!$B:$B,$A962,Fact_Pipeline!$J:$J,"Won",Fact_Pipeline!$I:$I,"&gt;="&amp;B962,Fact_Pipeline!$I:$I,"&lt;"&amp;EDATE(B962,1))</f>
        <v>0</v>
      </c>
      <c r="F962" s="63" t="b">
        <f>AND(D962&gt;0,IFERROR(E962/D962&gt;=G6,FALSE()))</f>
        <v>0</v>
      </c>
      <c r="G962" s="62">
        <f t="shared" si="93"/>
        <v>0</v>
      </c>
      <c r="H962" s="62">
        <f>IF(F962,MAX(0,MIN(E962,I6*D962)-D962)*IFERROR(INDEX($C$158:$C$161,MATCH(C962,$A$158:$A$161,0)),0),0)</f>
        <v>0</v>
      </c>
      <c r="I962" s="62">
        <f>IF(F962,MAX(0,E962-I6*D962)*IFERROR(INDEX($D$158:$D$161,MATCH(C962,$A$158:$A$161,0)),0),0)</f>
        <v>0</v>
      </c>
      <c r="J962" s="62">
        <f t="shared" si="94"/>
        <v>0</v>
      </c>
    </row>
    <row r="963" spans="1:10" ht="15" customHeight="1" outlineLevel="1" x14ac:dyDescent="0.2">
      <c r="A963" s="63" t="str">
        <f t="shared" si="97"/>
        <v>R009</v>
      </c>
      <c r="B963" s="64">
        <f>$A$1422</f>
        <v>45323</v>
      </c>
      <c r="C963" s="63" t="str">
        <f t="shared" si="98"/>
        <v>Mid-Market AE</v>
      </c>
      <c r="D963" s="62">
        <f>SUMIFS(Fact_Quota!$D:$D,Fact_Quota!$A:$A,$A963,Fact_Quota!$B:$B,"&gt;="&amp;B963,Fact_Quota!$B:$B,"&lt;"&amp;EDATE(B963,1))</f>
        <v>0</v>
      </c>
      <c r="E963" s="62">
        <f>SUMIFS(Fact_Pipeline!$K:$K,Fact_Pipeline!$B:$B,$A963,Fact_Pipeline!$J:$J,"Won",Fact_Pipeline!$I:$I,"&gt;="&amp;B963,Fact_Pipeline!$I:$I,"&lt;"&amp;EDATE(B963,1))</f>
        <v>0</v>
      </c>
      <c r="F963" s="63" t="b">
        <f>AND(D963&gt;0,IFERROR(E963/D963&gt;=G6,FALSE()))</f>
        <v>0</v>
      </c>
      <c r="G963" s="62">
        <f t="shared" si="93"/>
        <v>0</v>
      </c>
      <c r="H963" s="62">
        <f>IF(F963,MAX(0,MIN(E963,I6*D963)-D963)*IFERROR(INDEX($C$158:$C$161,MATCH(C963,$A$158:$A$161,0)),0),0)</f>
        <v>0</v>
      </c>
      <c r="I963" s="62">
        <f>IF(F963,MAX(0,E963-I6*D963)*IFERROR(INDEX($D$158:$D$161,MATCH(C963,$A$158:$A$161,0)),0),0)</f>
        <v>0</v>
      </c>
      <c r="J963" s="62">
        <f t="shared" si="94"/>
        <v>0</v>
      </c>
    </row>
    <row r="964" spans="1:10" ht="15" customHeight="1" outlineLevel="1" x14ac:dyDescent="0.2">
      <c r="A964" s="63" t="str">
        <f t="shared" si="97"/>
        <v>R009</v>
      </c>
      <c r="B964" s="64">
        <f>$A$1423</f>
        <v>45352</v>
      </c>
      <c r="C964" s="63" t="str">
        <f t="shared" si="98"/>
        <v>Mid-Market AE</v>
      </c>
      <c r="D964" s="62">
        <f>SUMIFS(Fact_Quota!$D:$D,Fact_Quota!$A:$A,$A964,Fact_Quota!$B:$B,"&gt;="&amp;B964,Fact_Quota!$B:$B,"&lt;"&amp;EDATE(B964,1))</f>
        <v>0</v>
      </c>
      <c r="E964" s="62">
        <f>SUMIFS(Fact_Pipeline!$K:$K,Fact_Pipeline!$B:$B,$A964,Fact_Pipeline!$J:$J,"Won",Fact_Pipeline!$I:$I,"&gt;="&amp;B964,Fact_Pipeline!$I:$I,"&lt;"&amp;EDATE(B964,1))</f>
        <v>0</v>
      </c>
      <c r="F964" s="63" t="b">
        <f>AND(D964&gt;0,IFERROR(E964/D964&gt;=G6,FALSE()))</f>
        <v>0</v>
      </c>
      <c r="G964" s="62">
        <f t="shared" si="93"/>
        <v>0</v>
      </c>
      <c r="H964" s="62">
        <f>IF(F964,MAX(0,MIN(E964,I6*D964)-D964)*IFERROR(INDEX($C$158:$C$161,MATCH(C964,$A$158:$A$161,0)),0),0)</f>
        <v>0</v>
      </c>
      <c r="I964" s="62">
        <f>IF(F964,MAX(0,E964-I6*D964)*IFERROR(INDEX($D$158:$D$161,MATCH(C964,$A$158:$A$161,0)),0),0)</f>
        <v>0</v>
      </c>
      <c r="J964" s="62">
        <f t="shared" si="94"/>
        <v>0</v>
      </c>
    </row>
    <row r="965" spans="1:10" ht="15" customHeight="1" outlineLevel="1" x14ac:dyDescent="0.2">
      <c r="A965" s="63" t="str">
        <f t="shared" si="97"/>
        <v>R009</v>
      </c>
      <c r="B965" s="64">
        <f>$A$1424</f>
        <v>45383</v>
      </c>
      <c r="C965" s="63" t="str">
        <f t="shared" si="98"/>
        <v>Mid-Market AE</v>
      </c>
      <c r="D965" s="62">
        <f>SUMIFS(Fact_Quota!$D:$D,Fact_Quota!$A:$A,$A965,Fact_Quota!$B:$B,"&gt;="&amp;B965,Fact_Quota!$B:$B,"&lt;"&amp;EDATE(B965,1))</f>
        <v>0</v>
      </c>
      <c r="E965" s="62">
        <f>SUMIFS(Fact_Pipeline!$K:$K,Fact_Pipeline!$B:$B,$A965,Fact_Pipeline!$J:$J,"Won",Fact_Pipeline!$I:$I,"&gt;="&amp;B965,Fact_Pipeline!$I:$I,"&lt;"&amp;EDATE(B965,1))</f>
        <v>0</v>
      </c>
      <c r="F965" s="63" t="b">
        <f>AND(D965&gt;0,IFERROR(E965/D965&gt;=G6,FALSE()))</f>
        <v>0</v>
      </c>
      <c r="G965" s="62">
        <f t="shared" si="93"/>
        <v>0</v>
      </c>
      <c r="H965" s="62">
        <f>IF(F965,MAX(0,MIN(E965,I6*D965)-D965)*IFERROR(INDEX($C$158:$C$161,MATCH(C965,$A$158:$A$161,0)),0),0)</f>
        <v>0</v>
      </c>
      <c r="I965" s="62">
        <f>IF(F965,MAX(0,E965-I6*D965)*IFERROR(INDEX($D$158:$D$161,MATCH(C965,$A$158:$A$161,0)),0),0)</f>
        <v>0</v>
      </c>
      <c r="J965" s="62">
        <f t="shared" si="94"/>
        <v>0</v>
      </c>
    </row>
    <row r="966" spans="1:10" ht="15" customHeight="1" outlineLevel="1" x14ac:dyDescent="0.2">
      <c r="A966" s="63" t="str">
        <f t="shared" si="97"/>
        <v>R009</v>
      </c>
      <c r="B966" s="64">
        <f>$A$1425</f>
        <v>45413</v>
      </c>
      <c r="C966" s="63" t="str">
        <f t="shared" si="98"/>
        <v>Mid-Market AE</v>
      </c>
      <c r="D966" s="62">
        <f>SUMIFS(Fact_Quota!$D:$D,Fact_Quota!$A:$A,$A966,Fact_Quota!$B:$B,"&gt;="&amp;B966,Fact_Quota!$B:$B,"&lt;"&amp;EDATE(B966,1))</f>
        <v>0</v>
      </c>
      <c r="E966" s="62">
        <f>SUMIFS(Fact_Pipeline!$K:$K,Fact_Pipeline!$B:$B,$A966,Fact_Pipeline!$J:$J,"Won",Fact_Pipeline!$I:$I,"&gt;="&amp;B966,Fact_Pipeline!$I:$I,"&lt;"&amp;EDATE(B966,1))</f>
        <v>0</v>
      </c>
      <c r="F966" s="63" t="b">
        <f>AND(D966&gt;0,IFERROR(E966/D966&gt;=G6,FALSE()))</f>
        <v>0</v>
      </c>
      <c r="G966" s="62">
        <f t="shared" si="93"/>
        <v>0</v>
      </c>
      <c r="H966" s="62">
        <f>IF(F966,MAX(0,MIN(E966,I6*D966)-D966)*IFERROR(INDEX($C$158:$C$161,MATCH(C966,$A$158:$A$161,0)),0),0)</f>
        <v>0</v>
      </c>
      <c r="I966" s="62">
        <f>IF(F966,MAX(0,E966-I6*D966)*IFERROR(INDEX($D$158:$D$161,MATCH(C966,$A$158:$A$161,0)),0),0)</f>
        <v>0</v>
      </c>
      <c r="J966" s="62">
        <f t="shared" si="94"/>
        <v>0</v>
      </c>
    </row>
    <row r="967" spans="1:10" ht="15" customHeight="1" outlineLevel="1" x14ac:dyDescent="0.2">
      <c r="A967" s="63" t="str">
        <f t="shared" si="97"/>
        <v>R009</v>
      </c>
      <c r="B967" s="64">
        <f>$A$1426</f>
        <v>45444</v>
      </c>
      <c r="C967" s="63" t="str">
        <f t="shared" si="98"/>
        <v>Mid-Market AE</v>
      </c>
      <c r="D967" s="62">
        <f>SUMIFS(Fact_Quota!$D:$D,Fact_Quota!$A:$A,$A967,Fact_Quota!$B:$B,"&gt;="&amp;B967,Fact_Quota!$B:$B,"&lt;"&amp;EDATE(B967,1))</f>
        <v>0</v>
      </c>
      <c r="E967" s="62">
        <f>SUMIFS(Fact_Pipeline!$K:$K,Fact_Pipeline!$B:$B,$A967,Fact_Pipeline!$J:$J,"Won",Fact_Pipeline!$I:$I,"&gt;="&amp;B967,Fact_Pipeline!$I:$I,"&lt;"&amp;EDATE(B967,1))</f>
        <v>0</v>
      </c>
      <c r="F967" s="63" t="b">
        <f>AND(D967&gt;0,IFERROR(E967/D967&gt;=G6,FALSE()))</f>
        <v>0</v>
      </c>
      <c r="G967" s="62">
        <f t="shared" si="93"/>
        <v>0</v>
      </c>
      <c r="H967" s="62">
        <f>IF(F967,MAX(0,MIN(E967,I6*D967)-D967)*IFERROR(INDEX($C$158:$C$161,MATCH(C967,$A$158:$A$161,0)),0),0)</f>
        <v>0</v>
      </c>
      <c r="I967" s="62">
        <f>IF(F967,MAX(0,E967-I6*D967)*IFERROR(INDEX($D$158:$D$161,MATCH(C967,$A$158:$A$161,0)),0),0)</f>
        <v>0</v>
      </c>
      <c r="J967" s="62">
        <f t="shared" si="94"/>
        <v>0</v>
      </c>
    </row>
    <row r="968" spans="1:10" ht="15" customHeight="1" outlineLevel="1" x14ac:dyDescent="0.2">
      <c r="A968" s="63" t="str">
        <f t="shared" si="97"/>
        <v>R009</v>
      </c>
      <c r="B968" s="64">
        <f>$A$1427</f>
        <v>45474</v>
      </c>
      <c r="C968" s="63" t="str">
        <f t="shared" si="98"/>
        <v>Mid-Market AE</v>
      </c>
      <c r="D968" s="62">
        <f>SUMIFS(Fact_Quota!$D:$D,Fact_Quota!$A:$A,$A968,Fact_Quota!$B:$B,"&gt;="&amp;B968,Fact_Quota!$B:$B,"&lt;"&amp;EDATE(B968,1))</f>
        <v>0</v>
      </c>
      <c r="E968" s="62">
        <f>SUMIFS(Fact_Pipeline!$K:$K,Fact_Pipeline!$B:$B,$A968,Fact_Pipeline!$J:$J,"Won",Fact_Pipeline!$I:$I,"&gt;="&amp;B968,Fact_Pipeline!$I:$I,"&lt;"&amp;EDATE(B968,1))</f>
        <v>0</v>
      </c>
      <c r="F968" s="63" t="b">
        <f>AND(D968&gt;0,IFERROR(E968/D968&gt;=G6,FALSE()))</f>
        <v>0</v>
      </c>
      <c r="G968" s="62">
        <f t="shared" si="93"/>
        <v>0</v>
      </c>
      <c r="H968" s="62">
        <f>IF(F968,MAX(0,MIN(E968,I6*D968)-D968)*IFERROR(INDEX($C$158:$C$161,MATCH(C968,$A$158:$A$161,0)),0),0)</f>
        <v>0</v>
      </c>
      <c r="I968" s="62">
        <f>IF(F968,MAX(0,E968-I6*D968)*IFERROR(INDEX($D$158:$D$161,MATCH(C968,$A$158:$A$161,0)),0),0)</f>
        <v>0</v>
      </c>
      <c r="J968" s="62">
        <f t="shared" si="94"/>
        <v>0</v>
      </c>
    </row>
    <row r="969" spans="1:10" ht="15" customHeight="1" outlineLevel="1" x14ac:dyDescent="0.2">
      <c r="A969" s="63" t="str">
        <f t="shared" si="97"/>
        <v>R009</v>
      </c>
      <c r="B969" s="64">
        <f>$A$1428</f>
        <v>45505</v>
      </c>
      <c r="C969" s="63" t="str">
        <f t="shared" si="98"/>
        <v>Mid-Market AE</v>
      </c>
      <c r="D969" s="62">
        <f>SUMIFS(Fact_Quota!$D:$D,Fact_Quota!$A:$A,$A969,Fact_Quota!$B:$B,"&gt;="&amp;B969,Fact_Quota!$B:$B,"&lt;"&amp;EDATE(B969,1))</f>
        <v>0</v>
      </c>
      <c r="E969" s="62">
        <f>SUMIFS(Fact_Pipeline!$K:$K,Fact_Pipeline!$B:$B,$A969,Fact_Pipeline!$J:$J,"Won",Fact_Pipeline!$I:$I,"&gt;="&amp;B969,Fact_Pipeline!$I:$I,"&lt;"&amp;EDATE(B969,1))</f>
        <v>0</v>
      </c>
      <c r="F969" s="63" t="b">
        <f>AND(D969&gt;0,IFERROR(E969/D969&gt;=G6,FALSE()))</f>
        <v>0</v>
      </c>
      <c r="G969" s="62">
        <f t="shared" si="93"/>
        <v>0</v>
      </c>
      <c r="H969" s="62">
        <f>IF(F969,MAX(0,MIN(E969,I6*D969)-D969)*IFERROR(INDEX($C$158:$C$161,MATCH(C969,$A$158:$A$161,0)),0),0)</f>
        <v>0</v>
      </c>
      <c r="I969" s="62">
        <f>IF(F969,MAX(0,E969-I6*D969)*IFERROR(INDEX($D$158:$D$161,MATCH(C969,$A$158:$A$161,0)),0),0)</f>
        <v>0</v>
      </c>
      <c r="J969" s="62">
        <f t="shared" si="94"/>
        <v>0</v>
      </c>
    </row>
    <row r="970" spans="1:10" ht="15" customHeight="1" outlineLevel="1" x14ac:dyDescent="0.2">
      <c r="A970" s="63" t="str">
        <f t="shared" si="97"/>
        <v>R009</v>
      </c>
      <c r="B970" s="64">
        <f>$A$1429</f>
        <v>45536</v>
      </c>
      <c r="C970" s="63" t="str">
        <f t="shared" si="98"/>
        <v>Mid-Market AE</v>
      </c>
      <c r="D970" s="62">
        <f>SUMIFS(Fact_Quota!$D:$D,Fact_Quota!$A:$A,$A970,Fact_Quota!$B:$B,"&gt;="&amp;B970,Fact_Quota!$B:$B,"&lt;"&amp;EDATE(B970,1))</f>
        <v>0</v>
      </c>
      <c r="E970" s="62">
        <f>SUMIFS(Fact_Pipeline!$K:$K,Fact_Pipeline!$B:$B,$A970,Fact_Pipeline!$J:$J,"Won",Fact_Pipeline!$I:$I,"&gt;="&amp;B970,Fact_Pipeline!$I:$I,"&lt;"&amp;EDATE(B970,1))</f>
        <v>0</v>
      </c>
      <c r="F970" s="63" t="b">
        <f>AND(D970&gt;0,IFERROR(E970/D970&gt;=G6,FALSE()))</f>
        <v>0</v>
      </c>
      <c r="G970" s="62">
        <f t="shared" si="93"/>
        <v>0</v>
      </c>
      <c r="H970" s="62">
        <f>IF(F970,MAX(0,MIN(E970,I6*D970)-D970)*IFERROR(INDEX($C$158:$C$161,MATCH(C970,$A$158:$A$161,0)),0),0)</f>
        <v>0</v>
      </c>
      <c r="I970" s="62">
        <f>IF(F970,MAX(0,E970-I6*D970)*IFERROR(INDEX($D$158:$D$161,MATCH(C970,$A$158:$A$161,0)),0),0)</f>
        <v>0</v>
      </c>
      <c r="J970" s="62">
        <f t="shared" si="94"/>
        <v>0</v>
      </c>
    </row>
    <row r="971" spans="1:10" ht="15" customHeight="1" outlineLevel="1" x14ac:dyDescent="0.2">
      <c r="A971" s="63" t="str">
        <f t="shared" si="97"/>
        <v>R009</v>
      </c>
      <c r="B971" s="64">
        <f>$A$1430</f>
        <v>45566</v>
      </c>
      <c r="C971" s="63" t="str">
        <f t="shared" si="98"/>
        <v>Mid-Market AE</v>
      </c>
      <c r="D971" s="62">
        <f>SUMIFS(Fact_Quota!$D:$D,Fact_Quota!$A:$A,$A971,Fact_Quota!$B:$B,"&gt;="&amp;B971,Fact_Quota!$B:$B,"&lt;"&amp;EDATE(B971,1))</f>
        <v>0</v>
      </c>
      <c r="E971" s="62">
        <f>SUMIFS(Fact_Pipeline!$K:$K,Fact_Pipeline!$B:$B,$A971,Fact_Pipeline!$J:$J,"Won",Fact_Pipeline!$I:$I,"&gt;="&amp;B971,Fact_Pipeline!$I:$I,"&lt;"&amp;EDATE(B971,1))</f>
        <v>0</v>
      </c>
      <c r="F971" s="63" t="b">
        <f>AND(D971&gt;0,IFERROR(E971/D971&gt;=G6,FALSE()))</f>
        <v>0</v>
      </c>
      <c r="G971" s="62">
        <f t="shared" si="93"/>
        <v>0</v>
      </c>
      <c r="H971" s="62">
        <f>IF(F971,MAX(0,MIN(E971,I6*D971)-D971)*IFERROR(INDEX($C$158:$C$161,MATCH(C971,$A$158:$A$161,0)),0),0)</f>
        <v>0</v>
      </c>
      <c r="I971" s="62">
        <f>IF(F971,MAX(0,E971-I6*D971)*IFERROR(INDEX($D$158:$D$161,MATCH(C971,$A$158:$A$161,0)),0),0)</f>
        <v>0</v>
      </c>
      <c r="J971" s="62">
        <f t="shared" si="94"/>
        <v>0</v>
      </c>
    </row>
    <row r="972" spans="1:10" ht="15" customHeight="1" outlineLevel="1" x14ac:dyDescent="0.2">
      <c r="A972" s="63" t="str">
        <f t="shared" si="97"/>
        <v>R009</v>
      </c>
      <c r="B972" s="64">
        <f>$A$1431</f>
        <v>45597</v>
      </c>
      <c r="C972" s="63" t="str">
        <f t="shared" si="98"/>
        <v>Mid-Market AE</v>
      </c>
      <c r="D972" s="62">
        <f>SUMIFS(Fact_Quota!$D:$D,Fact_Quota!$A:$A,$A972,Fact_Quota!$B:$B,"&gt;="&amp;B972,Fact_Quota!$B:$B,"&lt;"&amp;EDATE(B972,1))</f>
        <v>0</v>
      </c>
      <c r="E972" s="62">
        <f>SUMIFS(Fact_Pipeline!$K:$K,Fact_Pipeline!$B:$B,$A972,Fact_Pipeline!$J:$J,"Won",Fact_Pipeline!$I:$I,"&gt;="&amp;B972,Fact_Pipeline!$I:$I,"&lt;"&amp;EDATE(B972,1))</f>
        <v>0</v>
      </c>
      <c r="F972" s="63" t="b">
        <f>AND(D972&gt;0,IFERROR(E972/D972&gt;=G6,FALSE()))</f>
        <v>0</v>
      </c>
      <c r="G972" s="62">
        <f t="shared" si="93"/>
        <v>0</v>
      </c>
      <c r="H972" s="62">
        <f>IF(F972,MAX(0,MIN(E972,I6*D972)-D972)*IFERROR(INDEX($C$158:$C$161,MATCH(C972,$A$158:$A$161,0)),0),0)</f>
        <v>0</v>
      </c>
      <c r="I972" s="62">
        <f>IF(F972,MAX(0,E972-I6*D972)*IFERROR(INDEX($D$158:$D$161,MATCH(C972,$A$158:$A$161,0)),0),0)</f>
        <v>0</v>
      </c>
      <c r="J972" s="62">
        <f t="shared" si="94"/>
        <v>0</v>
      </c>
    </row>
    <row r="973" spans="1:10" ht="15" customHeight="1" outlineLevel="1" x14ac:dyDescent="0.2">
      <c r="A973" s="63" t="str">
        <f t="shared" si="97"/>
        <v>R009</v>
      </c>
      <c r="B973" s="64">
        <f>$A$1432</f>
        <v>45627</v>
      </c>
      <c r="C973" s="63" t="str">
        <f t="shared" si="98"/>
        <v>Mid-Market AE</v>
      </c>
      <c r="D973" s="62">
        <f>SUMIFS(Fact_Quota!$D:$D,Fact_Quota!$A:$A,$A973,Fact_Quota!$B:$B,"&gt;="&amp;B973,Fact_Quota!$B:$B,"&lt;"&amp;EDATE(B973,1))</f>
        <v>0</v>
      </c>
      <c r="E973" s="62">
        <f>SUMIFS(Fact_Pipeline!$K:$K,Fact_Pipeline!$B:$B,$A973,Fact_Pipeline!$J:$J,"Won",Fact_Pipeline!$I:$I,"&gt;="&amp;B973,Fact_Pipeline!$I:$I,"&lt;"&amp;EDATE(B973,1))</f>
        <v>0</v>
      </c>
      <c r="F973" s="63" t="b">
        <f>AND(D973&gt;0,IFERROR(E973/D973&gt;=G6,FALSE()))</f>
        <v>0</v>
      </c>
      <c r="G973" s="62">
        <f t="shared" si="93"/>
        <v>0</v>
      </c>
      <c r="H973" s="62">
        <f>IF(F973,MAX(0,MIN(E973,I6*D973)-D973)*IFERROR(INDEX($C$158:$C$161,MATCH(C973,$A$158:$A$161,0)),0),0)</f>
        <v>0</v>
      </c>
      <c r="I973" s="62">
        <f>IF(F973,MAX(0,E973-I6*D973)*IFERROR(INDEX($D$158:$D$161,MATCH(C973,$A$158:$A$161,0)),0),0)</f>
        <v>0</v>
      </c>
      <c r="J973" s="62">
        <f t="shared" si="94"/>
        <v>0</v>
      </c>
    </row>
    <row r="974" spans="1:10" ht="15" customHeight="1" outlineLevel="1" x14ac:dyDescent="0.2">
      <c r="A974" s="63" t="str">
        <f t="shared" si="97"/>
        <v>R009</v>
      </c>
      <c r="B974" s="64">
        <f>$A$1433</f>
        <v>45658</v>
      </c>
      <c r="C974" s="63" t="str">
        <f t="shared" si="98"/>
        <v>Mid-Market AE</v>
      </c>
      <c r="D974" s="62">
        <f>SUMIFS(Fact_Quota!$D:$D,Fact_Quota!$A:$A,$A974,Fact_Quota!$B:$B,"&gt;="&amp;B974,Fact_Quota!$B:$B,"&lt;"&amp;EDATE(B974,1))</f>
        <v>0</v>
      </c>
      <c r="E974" s="62">
        <f>SUMIFS(Fact_Pipeline!$K:$K,Fact_Pipeline!$B:$B,$A974,Fact_Pipeline!$J:$J,"Won",Fact_Pipeline!$I:$I,"&gt;="&amp;B974,Fact_Pipeline!$I:$I,"&lt;"&amp;EDATE(B974,1))</f>
        <v>0</v>
      </c>
      <c r="F974" s="63" t="b">
        <f>AND(D974&gt;0,IFERROR(E974/D974&gt;=G6,FALSE()))</f>
        <v>0</v>
      </c>
      <c r="G974" s="62">
        <f t="shared" si="93"/>
        <v>0</v>
      </c>
      <c r="H974" s="62">
        <f>IF(F974,MAX(0,MIN(E974,I6*D974)-D974)*IFERROR(INDEX($C$158:$C$161,MATCH(C974,$A$158:$A$161,0)),0),0)</f>
        <v>0</v>
      </c>
      <c r="I974" s="62">
        <f>IF(F974,MAX(0,E974-I6*D974)*IFERROR(INDEX($D$158:$D$161,MATCH(C974,$A$158:$A$161,0)),0),0)</f>
        <v>0</v>
      </c>
      <c r="J974" s="62">
        <f t="shared" si="94"/>
        <v>0</v>
      </c>
    </row>
    <row r="975" spans="1:10" ht="15" customHeight="1" outlineLevel="1" x14ac:dyDescent="0.2">
      <c r="A975" s="63" t="str">
        <f t="shared" si="97"/>
        <v>R009</v>
      </c>
      <c r="B975" s="64">
        <f>$A$1434</f>
        <v>45689</v>
      </c>
      <c r="C975" s="63" t="str">
        <f t="shared" si="98"/>
        <v>Mid-Market AE</v>
      </c>
      <c r="D975" s="62">
        <f>SUMIFS(Fact_Quota!$D:$D,Fact_Quota!$A:$A,$A975,Fact_Quota!$B:$B,"&gt;="&amp;B975,Fact_Quota!$B:$B,"&lt;"&amp;EDATE(B975,1))</f>
        <v>0</v>
      </c>
      <c r="E975" s="62">
        <f>SUMIFS(Fact_Pipeline!$K:$K,Fact_Pipeline!$B:$B,$A975,Fact_Pipeline!$J:$J,"Won",Fact_Pipeline!$I:$I,"&gt;="&amp;B975,Fact_Pipeline!$I:$I,"&lt;"&amp;EDATE(B975,1))</f>
        <v>0</v>
      </c>
      <c r="F975" s="63" t="b">
        <f>AND(D975&gt;0,IFERROR(E975/D975&gt;=G6,FALSE()))</f>
        <v>0</v>
      </c>
      <c r="G975" s="62">
        <f t="shared" si="93"/>
        <v>0</v>
      </c>
      <c r="H975" s="62">
        <f>IF(F975,MAX(0,MIN(E975,I6*D975)-D975)*IFERROR(INDEX($C$158:$C$161,MATCH(C975,$A$158:$A$161,0)),0),0)</f>
        <v>0</v>
      </c>
      <c r="I975" s="62">
        <f>IF(F975,MAX(0,E975-I6*D975)*IFERROR(INDEX($D$158:$D$161,MATCH(C975,$A$158:$A$161,0)),0),0)</f>
        <v>0</v>
      </c>
      <c r="J975" s="62">
        <f t="shared" si="94"/>
        <v>0</v>
      </c>
    </row>
    <row r="976" spans="1:10" ht="15" customHeight="1" outlineLevel="1" x14ac:dyDescent="0.2">
      <c r="A976" s="63" t="str">
        <f t="shared" si="97"/>
        <v>R009</v>
      </c>
      <c r="B976" s="64">
        <f>$A$1435</f>
        <v>45717</v>
      </c>
      <c r="C976" s="63" t="str">
        <f t="shared" si="98"/>
        <v>Mid-Market AE</v>
      </c>
      <c r="D976" s="62">
        <f>SUMIFS(Fact_Quota!$D:$D,Fact_Quota!$A:$A,$A976,Fact_Quota!$B:$B,"&gt;="&amp;B976,Fact_Quota!$B:$B,"&lt;"&amp;EDATE(B976,1))</f>
        <v>0</v>
      </c>
      <c r="E976" s="62">
        <f>SUMIFS(Fact_Pipeline!$K:$K,Fact_Pipeline!$B:$B,$A976,Fact_Pipeline!$J:$J,"Won",Fact_Pipeline!$I:$I,"&gt;="&amp;B976,Fact_Pipeline!$I:$I,"&lt;"&amp;EDATE(B976,1))</f>
        <v>0</v>
      </c>
      <c r="F976" s="63" t="b">
        <f>AND(D976&gt;0,IFERROR(E976/D976&gt;=G6,FALSE()))</f>
        <v>0</v>
      </c>
      <c r="G976" s="62">
        <f t="shared" si="93"/>
        <v>0</v>
      </c>
      <c r="H976" s="62">
        <f>IF(F976,MAX(0,MIN(E976,I6*D976)-D976)*IFERROR(INDEX($C$158:$C$161,MATCH(C976,$A$158:$A$161,0)),0),0)</f>
        <v>0</v>
      </c>
      <c r="I976" s="62">
        <f>IF(F976,MAX(0,E976-I6*D976)*IFERROR(INDEX($D$158:$D$161,MATCH(C976,$A$158:$A$161,0)),0),0)</f>
        <v>0</v>
      </c>
      <c r="J976" s="62">
        <f t="shared" si="94"/>
        <v>0</v>
      </c>
    </row>
    <row r="977" spans="1:10" ht="15" customHeight="1" outlineLevel="1" x14ac:dyDescent="0.2">
      <c r="A977" s="63" t="str">
        <f t="shared" si="97"/>
        <v>R009</v>
      </c>
      <c r="B977" s="64">
        <f>$A$1436</f>
        <v>45748</v>
      </c>
      <c r="C977" s="63" t="str">
        <f t="shared" si="98"/>
        <v>Mid-Market AE</v>
      </c>
      <c r="D977" s="62">
        <f>SUMIFS(Fact_Quota!$D:$D,Fact_Quota!$A:$A,$A977,Fact_Quota!$B:$B,"&gt;="&amp;B977,Fact_Quota!$B:$B,"&lt;"&amp;EDATE(B977,1))</f>
        <v>0</v>
      </c>
      <c r="E977" s="62">
        <f>SUMIFS(Fact_Pipeline!$K:$K,Fact_Pipeline!$B:$B,$A977,Fact_Pipeline!$J:$J,"Won",Fact_Pipeline!$I:$I,"&gt;="&amp;B977,Fact_Pipeline!$I:$I,"&lt;"&amp;EDATE(B977,1))</f>
        <v>0</v>
      </c>
      <c r="F977" s="63" t="b">
        <f>AND(D977&gt;0,IFERROR(E977/D977&gt;=G6,FALSE()))</f>
        <v>0</v>
      </c>
      <c r="G977" s="62">
        <f t="shared" si="93"/>
        <v>0</v>
      </c>
      <c r="H977" s="62">
        <f>IF(F977,MAX(0,MIN(E977,I6*D977)-D977)*IFERROR(INDEX($C$158:$C$161,MATCH(C977,$A$158:$A$161,0)),0),0)</f>
        <v>0</v>
      </c>
      <c r="I977" s="62">
        <f>IF(F977,MAX(0,E977-I6*D977)*IFERROR(INDEX($D$158:$D$161,MATCH(C977,$A$158:$A$161,0)),0),0)</f>
        <v>0</v>
      </c>
      <c r="J977" s="62">
        <f t="shared" si="94"/>
        <v>0</v>
      </c>
    </row>
    <row r="978" spans="1:10" ht="15" customHeight="1" outlineLevel="1" x14ac:dyDescent="0.2">
      <c r="A978" s="63" t="str">
        <f t="shared" si="97"/>
        <v>R009</v>
      </c>
      <c r="B978" s="64">
        <f>$A$1437</f>
        <v>45778</v>
      </c>
      <c r="C978" s="63" t="str">
        <f t="shared" si="98"/>
        <v>Mid-Market AE</v>
      </c>
      <c r="D978" s="62">
        <f>SUMIFS(Fact_Quota!$D:$D,Fact_Quota!$A:$A,$A978,Fact_Quota!$B:$B,"&gt;="&amp;B978,Fact_Quota!$B:$B,"&lt;"&amp;EDATE(B978,1))</f>
        <v>5600</v>
      </c>
      <c r="E978" s="62">
        <f>SUMIFS(Fact_Pipeline!$K:$K,Fact_Pipeline!$B:$B,$A978,Fact_Pipeline!$J:$J,"Won",Fact_Pipeline!$I:$I,"&gt;="&amp;B978,Fact_Pipeline!$I:$I,"&lt;"&amp;EDATE(B978,1))</f>
        <v>0</v>
      </c>
      <c r="F978" s="63" t="b">
        <f>AND(D978&gt;0,IFERROR(E978/D978&gt;=G6,FALSE()))</f>
        <v>0</v>
      </c>
      <c r="G978" s="62">
        <f t="shared" si="93"/>
        <v>0</v>
      </c>
      <c r="H978" s="62">
        <f>IF(F978,MAX(0,MIN(E978,I6*D978)-D978)*IFERROR(INDEX($C$158:$C$161,MATCH(C978,$A$158:$A$161,0)),0),0)</f>
        <v>0</v>
      </c>
      <c r="I978" s="62">
        <f>IF(F978,MAX(0,E978-I6*D978)*IFERROR(INDEX($D$158:$D$161,MATCH(C978,$A$158:$A$161,0)),0),0)</f>
        <v>0</v>
      </c>
      <c r="J978" s="62">
        <f t="shared" si="94"/>
        <v>0</v>
      </c>
    </row>
    <row r="979" spans="1:10" ht="15" customHeight="1" outlineLevel="1" x14ac:dyDescent="0.2">
      <c r="A979" s="63" t="str">
        <f t="shared" si="97"/>
        <v>R009</v>
      </c>
      <c r="B979" s="64">
        <f>$A$1438</f>
        <v>45809</v>
      </c>
      <c r="C979" s="63" t="str">
        <f t="shared" si="98"/>
        <v>Mid-Market AE</v>
      </c>
      <c r="D979" s="62">
        <f>SUMIFS(Fact_Quota!$D:$D,Fact_Quota!$A:$A,$A979,Fact_Quota!$B:$B,"&gt;="&amp;B979,Fact_Quota!$B:$B,"&lt;"&amp;EDATE(B979,1))</f>
        <v>11100</v>
      </c>
      <c r="E979" s="62">
        <f>SUMIFS(Fact_Pipeline!$K:$K,Fact_Pipeline!$B:$B,$A979,Fact_Pipeline!$J:$J,"Won",Fact_Pipeline!$I:$I,"&gt;="&amp;B979,Fact_Pipeline!$I:$I,"&lt;"&amp;EDATE(B979,1))</f>
        <v>0</v>
      </c>
      <c r="F979" s="63" t="b">
        <f>AND(D979&gt;0,IFERROR(E979/D979&gt;=G6,FALSE()))</f>
        <v>0</v>
      </c>
      <c r="G979" s="62">
        <f t="shared" si="93"/>
        <v>0</v>
      </c>
      <c r="H979" s="62">
        <f>IF(F979,MAX(0,MIN(E979,I6*D979)-D979)*IFERROR(INDEX($C$158:$C$161,MATCH(C979,$A$158:$A$161,0)),0),0)</f>
        <v>0</v>
      </c>
      <c r="I979" s="62">
        <f>IF(F979,MAX(0,E979-I6*D979)*IFERROR(INDEX($D$158:$D$161,MATCH(C979,$A$158:$A$161,0)),0),0)</f>
        <v>0</v>
      </c>
      <c r="J979" s="62">
        <f t="shared" si="94"/>
        <v>0</v>
      </c>
    </row>
    <row r="980" spans="1:10" ht="15" customHeight="1" outlineLevel="1" x14ac:dyDescent="0.2">
      <c r="A980" s="63" t="str">
        <f t="shared" si="97"/>
        <v>R009</v>
      </c>
      <c r="B980" s="64">
        <f>$A$1439</f>
        <v>45839</v>
      </c>
      <c r="C980" s="63" t="str">
        <f t="shared" si="98"/>
        <v>Mid-Market AE</v>
      </c>
      <c r="D980" s="62">
        <f>SUMIFS(Fact_Quota!$D:$D,Fact_Quota!$A:$A,$A980,Fact_Quota!$B:$B,"&gt;="&amp;B980,Fact_Quota!$B:$B,"&lt;"&amp;EDATE(B980,1))</f>
        <v>16900</v>
      </c>
      <c r="E980" s="62">
        <f>SUMIFS(Fact_Pipeline!$K:$K,Fact_Pipeline!$B:$B,$A980,Fact_Pipeline!$J:$J,"Won",Fact_Pipeline!$I:$I,"&gt;="&amp;B980,Fact_Pipeline!$I:$I,"&lt;"&amp;EDATE(B980,1))</f>
        <v>0</v>
      </c>
      <c r="F980" s="63" t="b">
        <f>AND(D980&gt;0,IFERROR(E980/D980&gt;=G6,FALSE()))</f>
        <v>0</v>
      </c>
      <c r="G980" s="62">
        <f t="shared" si="93"/>
        <v>0</v>
      </c>
      <c r="H980" s="62">
        <f>IF(F980,MAX(0,MIN(E980,I6*D980)-D980)*IFERROR(INDEX($C$158:$C$161,MATCH(C980,$A$158:$A$161,0)),0),0)</f>
        <v>0</v>
      </c>
      <c r="I980" s="62">
        <f>IF(F980,MAX(0,E980-I6*D980)*IFERROR(INDEX($D$158:$D$161,MATCH(C980,$A$158:$A$161,0)),0),0)</f>
        <v>0</v>
      </c>
      <c r="J980" s="62">
        <f t="shared" si="94"/>
        <v>0</v>
      </c>
    </row>
    <row r="981" spans="1:10" ht="15" customHeight="1" outlineLevel="1" x14ac:dyDescent="0.2">
      <c r="A981" s="63" t="str">
        <f t="shared" si="97"/>
        <v>R009</v>
      </c>
      <c r="B981" s="64">
        <f>$A$1440</f>
        <v>45870</v>
      </c>
      <c r="C981" s="63" t="str">
        <f t="shared" si="98"/>
        <v>Mid-Market AE</v>
      </c>
      <c r="D981" s="62">
        <f>SUMIFS(Fact_Quota!$D:$D,Fact_Quota!$A:$A,$A981,Fact_Quota!$B:$B,"&gt;="&amp;B981,Fact_Quota!$B:$B,"&lt;"&amp;EDATE(B981,1))</f>
        <v>22000</v>
      </c>
      <c r="E981" s="62">
        <f>SUMIFS(Fact_Pipeline!$K:$K,Fact_Pipeline!$B:$B,$A981,Fact_Pipeline!$J:$J,"Won",Fact_Pipeline!$I:$I,"&gt;="&amp;B981,Fact_Pipeline!$I:$I,"&lt;"&amp;EDATE(B981,1))</f>
        <v>0</v>
      </c>
      <c r="F981" s="63" t="b">
        <f>AND(D981&gt;0,IFERROR(E981/D981&gt;=G6,FALSE()))</f>
        <v>0</v>
      </c>
      <c r="G981" s="62">
        <f t="shared" si="93"/>
        <v>0</v>
      </c>
      <c r="H981" s="62">
        <f>IF(F981,MAX(0,MIN(E981,I6*D981)-D981)*IFERROR(INDEX($C$158:$C$161,MATCH(C981,$A$158:$A$161,0)),0),0)</f>
        <v>0</v>
      </c>
      <c r="I981" s="62">
        <f>IF(F981,MAX(0,E981-I6*D981)*IFERROR(INDEX($D$158:$D$161,MATCH(C981,$A$158:$A$161,0)),0),0)</f>
        <v>0</v>
      </c>
      <c r="J981" s="62">
        <f t="shared" si="94"/>
        <v>0</v>
      </c>
    </row>
    <row r="982" spans="1:10" ht="15" customHeight="1" outlineLevel="1" x14ac:dyDescent="0.2">
      <c r="A982" s="63" t="str">
        <f t="shared" si="97"/>
        <v>R009</v>
      </c>
      <c r="B982" s="64">
        <f>$A$1441</f>
        <v>45901</v>
      </c>
      <c r="C982" s="63" t="str">
        <f t="shared" si="98"/>
        <v>Mid-Market AE</v>
      </c>
      <c r="D982" s="62">
        <f>SUMIFS(Fact_Quota!$D:$D,Fact_Quota!$A:$A,$A982,Fact_Quota!$B:$B,"&gt;="&amp;B982,Fact_Quota!$B:$B,"&lt;"&amp;EDATE(B982,1))</f>
        <v>23000</v>
      </c>
      <c r="E982" s="62">
        <f>SUMIFS(Fact_Pipeline!$K:$K,Fact_Pipeline!$B:$B,$A982,Fact_Pipeline!$J:$J,"Won",Fact_Pipeline!$I:$I,"&gt;="&amp;B982,Fact_Pipeline!$I:$I,"&lt;"&amp;EDATE(B982,1))</f>
        <v>0</v>
      </c>
      <c r="F982" s="63" t="b">
        <f>AND(D982&gt;0,IFERROR(E982/D982&gt;=G6,FALSE()))</f>
        <v>0</v>
      </c>
      <c r="G982" s="62">
        <f t="shared" si="93"/>
        <v>0</v>
      </c>
      <c r="H982" s="62">
        <f>IF(F982,MAX(0,MIN(E982,I6*D982)-D982)*IFERROR(INDEX($C$158:$C$161,MATCH(C982,$A$158:$A$161,0)),0),0)</f>
        <v>0</v>
      </c>
      <c r="I982" s="62">
        <f>IF(F982,MAX(0,E982-I6*D982)*IFERROR(INDEX($D$158:$D$161,MATCH(C982,$A$158:$A$161,0)),0),0)</f>
        <v>0</v>
      </c>
      <c r="J982" s="62">
        <f t="shared" si="94"/>
        <v>0</v>
      </c>
    </row>
    <row r="983" spans="1:10" ht="15" customHeight="1" outlineLevel="1" x14ac:dyDescent="0.2">
      <c r="A983" s="63" t="str">
        <f t="shared" si="97"/>
        <v>R009</v>
      </c>
      <c r="B983" s="64">
        <f>$A$1442</f>
        <v>45931</v>
      </c>
      <c r="C983" s="63" t="str">
        <f t="shared" si="98"/>
        <v>Mid-Market AE</v>
      </c>
      <c r="D983" s="62">
        <f>SUMIFS(Fact_Quota!$D:$D,Fact_Quota!$A:$A,$A983,Fact_Quota!$B:$B,"&gt;="&amp;B983,Fact_Quota!$B:$B,"&lt;"&amp;EDATE(B983,1))</f>
        <v>21800</v>
      </c>
      <c r="E983" s="62">
        <f>SUMIFS(Fact_Pipeline!$K:$K,Fact_Pipeline!$B:$B,$A983,Fact_Pipeline!$J:$J,"Won",Fact_Pipeline!$I:$I,"&gt;="&amp;B983,Fact_Pipeline!$I:$I,"&lt;"&amp;EDATE(B983,1))</f>
        <v>5700</v>
      </c>
      <c r="F983" s="63" t="b">
        <f>AND(D983&gt;0,IFERROR(E983/D983&gt;=G6,FALSE()))</f>
        <v>0</v>
      </c>
      <c r="G983" s="62">
        <f t="shared" si="93"/>
        <v>0</v>
      </c>
      <c r="H983" s="62">
        <f>IF(F983,MAX(0,MIN(E983,I6*D983)-D983)*IFERROR(INDEX($C$158:$C$161,MATCH(C983,$A$158:$A$161,0)),0),0)</f>
        <v>0</v>
      </c>
      <c r="I983" s="62">
        <f>IF(F983,MAX(0,E983-I6*D983)*IFERROR(INDEX($D$158:$D$161,MATCH(C983,$A$158:$A$161,0)),0),0)</f>
        <v>0</v>
      </c>
      <c r="J983" s="62">
        <f t="shared" si="94"/>
        <v>0</v>
      </c>
    </row>
    <row r="984" spans="1:10" ht="15" customHeight="1" outlineLevel="1" x14ac:dyDescent="0.2">
      <c r="A984" s="63" t="str">
        <f t="shared" si="97"/>
        <v>R009</v>
      </c>
      <c r="B984" s="64">
        <f>$A$1443</f>
        <v>45962</v>
      </c>
      <c r="C984" s="63" t="str">
        <f t="shared" si="98"/>
        <v>Mid-Market AE</v>
      </c>
      <c r="D984" s="62">
        <f>SUMIFS(Fact_Quota!$D:$D,Fact_Quota!$A:$A,$A984,Fact_Quota!$B:$B,"&gt;="&amp;B984,Fact_Quota!$B:$B,"&lt;"&amp;EDATE(B984,1))</f>
        <v>23800</v>
      </c>
      <c r="E984" s="62">
        <f>SUMIFS(Fact_Pipeline!$K:$K,Fact_Pipeline!$B:$B,$A984,Fact_Pipeline!$J:$J,"Won",Fact_Pipeline!$I:$I,"&gt;="&amp;B984,Fact_Pipeline!$I:$I,"&lt;"&amp;EDATE(B984,1))</f>
        <v>40000</v>
      </c>
      <c r="F984" s="63" t="b">
        <f>AND(D984&gt;0,IFERROR(E984/D984&gt;=G6,FALSE()))</f>
        <v>1</v>
      </c>
      <c r="G984" s="62">
        <f t="shared" si="93"/>
        <v>1190</v>
      </c>
      <c r="H984" s="62">
        <f>IF(F984,MAX(0,MIN(E984,I6*D984)-D984)*IFERROR(INDEX($C$158:$C$161,MATCH(C984,$A$158:$A$161,0)),0),0)</f>
        <v>952</v>
      </c>
      <c r="I984" s="62">
        <f>IF(F984,MAX(0,E984-I6*D984)*IFERROR(INDEX($D$158:$D$161,MATCH(C984,$A$158:$A$161,0)),0),0)</f>
        <v>473</v>
      </c>
      <c r="J984" s="62">
        <f t="shared" si="94"/>
        <v>2615</v>
      </c>
    </row>
    <row r="985" spans="1:10" ht="15" customHeight="1" outlineLevel="1" x14ac:dyDescent="0.2">
      <c r="A985" s="63" t="str">
        <f t="shared" si="97"/>
        <v>R009</v>
      </c>
      <c r="B985" s="64">
        <f>$A$1444</f>
        <v>45992</v>
      </c>
      <c r="C985" s="63" t="str">
        <f t="shared" si="98"/>
        <v>Mid-Market AE</v>
      </c>
      <c r="D985" s="62">
        <f>SUMIFS(Fact_Quota!$D:$D,Fact_Quota!$A:$A,$A985,Fact_Quota!$B:$B,"&gt;="&amp;B985,Fact_Quota!$B:$B,"&lt;"&amp;EDATE(B985,1))</f>
        <v>22400</v>
      </c>
      <c r="E985" s="62">
        <f>SUMIFS(Fact_Pipeline!$K:$K,Fact_Pipeline!$B:$B,$A985,Fact_Pipeline!$J:$J,"Won",Fact_Pipeline!$I:$I,"&gt;="&amp;B985,Fact_Pipeline!$I:$I,"&lt;"&amp;EDATE(B985,1))</f>
        <v>0</v>
      </c>
      <c r="F985" s="63" t="b">
        <f>AND(D985&gt;0,IFERROR(E985/D985&gt;=G6,FALSE()))</f>
        <v>0</v>
      </c>
      <c r="G985" s="62">
        <f t="shared" si="93"/>
        <v>0</v>
      </c>
      <c r="H985" s="62">
        <f>IF(F985,MAX(0,MIN(E985,I6*D985)-D985)*IFERROR(INDEX($C$158:$C$161,MATCH(C985,$A$158:$A$161,0)),0),0)</f>
        <v>0</v>
      </c>
      <c r="I985" s="62">
        <f>IF(F985,MAX(0,E985-I6*D985)*IFERROR(INDEX($D$158:$D$161,MATCH(C985,$A$158:$A$161,0)),0),0)</f>
        <v>0</v>
      </c>
      <c r="J985" s="62">
        <f t="shared" si="94"/>
        <v>0</v>
      </c>
    </row>
    <row r="986" spans="1:10" ht="15" customHeight="1" outlineLevel="1" x14ac:dyDescent="0.2">
      <c r="A986" s="66" t="str">
        <f t="shared" ref="A986:A1009" si="99">$A$197</f>
        <v>R018</v>
      </c>
      <c r="B986" s="67">
        <f>$A$1421</f>
        <v>45292</v>
      </c>
      <c r="C986" s="66" t="str">
        <f t="shared" ref="C986:C1009" si="100">$C$197</f>
        <v>Mid-Market AE</v>
      </c>
      <c r="D986" s="65">
        <f>SUMIFS(Fact_Quota!$D:$D,Fact_Quota!$A:$A,$A986,Fact_Quota!$B:$B,"&gt;="&amp;B986,Fact_Quota!$B:$B,"&lt;"&amp;EDATE(B986,1))</f>
        <v>0</v>
      </c>
      <c r="E986" s="65">
        <f>SUMIFS(Fact_Pipeline!$K:$K,Fact_Pipeline!$B:$B,$A986,Fact_Pipeline!$J:$J,"Won",Fact_Pipeline!$I:$I,"&gt;="&amp;B986,Fact_Pipeline!$I:$I,"&lt;"&amp;EDATE(B986,1))</f>
        <v>0</v>
      </c>
      <c r="F986" s="66" t="b">
        <f>AND(D986&gt;0,IFERROR(E986/D986&gt;=G6,FALSE()))</f>
        <v>0</v>
      </c>
      <c r="G986" s="65">
        <f t="shared" ref="G986:G1049" si="101">IF(F986,MIN(E986,D986)*IFERROR(INDEX($B$158:$B$161,MATCH(C986,$A$158:$A$161,0)),0),0)</f>
        <v>0</v>
      </c>
      <c r="H986" s="65">
        <f>IF(F986,MAX(0,MIN(E986,I6*D986)-D986)*IFERROR(INDEX($C$158:$C$161,MATCH(C986,$A$158:$A$161,0)),0),0)</f>
        <v>0</v>
      </c>
      <c r="I986" s="65">
        <f>IF(F986,MAX(0,E986-I6*D986)*IFERROR(INDEX($D$158:$D$161,MATCH(C986,$A$158:$A$161,0)),0),0)</f>
        <v>0</v>
      </c>
      <c r="J986" s="65">
        <f t="shared" ref="J986:J1049" si="102">G986+H986+I986</f>
        <v>0</v>
      </c>
    </row>
    <row r="987" spans="1:10" ht="15" customHeight="1" outlineLevel="1" x14ac:dyDescent="0.2">
      <c r="A987" s="66" t="str">
        <f t="shared" si="99"/>
        <v>R018</v>
      </c>
      <c r="B987" s="67">
        <f>$A$1422</f>
        <v>45323</v>
      </c>
      <c r="C987" s="66" t="str">
        <f t="shared" si="100"/>
        <v>Mid-Market AE</v>
      </c>
      <c r="D987" s="65">
        <f>SUMIFS(Fact_Quota!$D:$D,Fact_Quota!$A:$A,$A987,Fact_Quota!$B:$B,"&gt;="&amp;B987,Fact_Quota!$B:$B,"&lt;"&amp;EDATE(B987,1))</f>
        <v>0</v>
      </c>
      <c r="E987" s="65">
        <f>SUMIFS(Fact_Pipeline!$K:$K,Fact_Pipeline!$B:$B,$A987,Fact_Pipeline!$J:$J,"Won",Fact_Pipeline!$I:$I,"&gt;="&amp;B987,Fact_Pipeline!$I:$I,"&lt;"&amp;EDATE(B987,1))</f>
        <v>0</v>
      </c>
      <c r="F987" s="66" t="b">
        <f>AND(D987&gt;0,IFERROR(E987/D987&gt;=G6,FALSE()))</f>
        <v>0</v>
      </c>
      <c r="G987" s="65">
        <f t="shared" si="101"/>
        <v>0</v>
      </c>
      <c r="H987" s="65">
        <f>IF(F987,MAX(0,MIN(E987,I6*D987)-D987)*IFERROR(INDEX($C$158:$C$161,MATCH(C987,$A$158:$A$161,0)),0),0)</f>
        <v>0</v>
      </c>
      <c r="I987" s="65">
        <f>IF(F987,MAX(0,E987-I6*D987)*IFERROR(INDEX($D$158:$D$161,MATCH(C987,$A$158:$A$161,0)),0),0)</f>
        <v>0</v>
      </c>
      <c r="J987" s="65">
        <f t="shared" si="102"/>
        <v>0</v>
      </c>
    </row>
    <row r="988" spans="1:10" ht="15" customHeight="1" outlineLevel="1" x14ac:dyDescent="0.2">
      <c r="A988" s="66" t="str">
        <f t="shared" si="99"/>
        <v>R018</v>
      </c>
      <c r="B988" s="67">
        <f>$A$1423</f>
        <v>45352</v>
      </c>
      <c r="C988" s="66" t="str">
        <f t="shared" si="100"/>
        <v>Mid-Market AE</v>
      </c>
      <c r="D988" s="65">
        <f>SUMIFS(Fact_Quota!$D:$D,Fact_Quota!$A:$A,$A988,Fact_Quota!$B:$B,"&gt;="&amp;B988,Fact_Quota!$B:$B,"&lt;"&amp;EDATE(B988,1))</f>
        <v>0</v>
      </c>
      <c r="E988" s="65">
        <f>SUMIFS(Fact_Pipeline!$K:$K,Fact_Pipeline!$B:$B,$A988,Fact_Pipeline!$J:$J,"Won",Fact_Pipeline!$I:$I,"&gt;="&amp;B988,Fact_Pipeline!$I:$I,"&lt;"&amp;EDATE(B988,1))</f>
        <v>0</v>
      </c>
      <c r="F988" s="66" t="b">
        <f>AND(D988&gt;0,IFERROR(E988/D988&gt;=G6,FALSE()))</f>
        <v>0</v>
      </c>
      <c r="G988" s="65">
        <f t="shared" si="101"/>
        <v>0</v>
      </c>
      <c r="H988" s="65">
        <f>IF(F988,MAX(0,MIN(E988,I6*D988)-D988)*IFERROR(INDEX($C$158:$C$161,MATCH(C988,$A$158:$A$161,0)),0),0)</f>
        <v>0</v>
      </c>
      <c r="I988" s="65">
        <f>IF(F988,MAX(0,E988-I6*D988)*IFERROR(INDEX($D$158:$D$161,MATCH(C988,$A$158:$A$161,0)),0),0)</f>
        <v>0</v>
      </c>
      <c r="J988" s="65">
        <f t="shared" si="102"/>
        <v>0</v>
      </c>
    </row>
    <row r="989" spans="1:10" ht="15" customHeight="1" outlineLevel="1" x14ac:dyDescent="0.2">
      <c r="A989" s="66" t="str">
        <f t="shared" si="99"/>
        <v>R018</v>
      </c>
      <c r="B989" s="67">
        <f>$A$1424</f>
        <v>45383</v>
      </c>
      <c r="C989" s="66" t="str">
        <f t="shared" si="100"/>
        <v>Mid-Market AE</v>
      </c>
      <c r="D989" s="65">
        <f>SUMIFS(Fact_Quota!$D:$D,Fact_Quota!$A:$A,$A989,Fact_Quota!$B:$B,"&gt;="&amp;B989,Fact_Quota!$B:$B,"&lt;"&amp;EDATE(B989,1))</f>
        <v>0</v>
      </c>
      <c r="E989" s="65">
        <f>SUMIFS(Fact_Pipeline!$K:$K,Fact_Pipeline!$B:$B,$A989,Fact_Pipeline!$J:$J,"Won",Fact_Pipeline!$I:$I,"&gt;="&amp;B989,Fact_Pipeline!$I:$I,"&lt;"&amp;EDATE(B989,1))</f>
        <v>0</v>
      </c>
      <c r="F989" s="66" t="b">
        <f>AND(D989&gt;0,IFERROR(E989/D989&gt;=G6,FALSE()))</f>
        <v>0</v>
      </c>
      <c r="G989" s="65">
        <f t="shared" si="101"/>
        <v>0</v>
      </c>
      <c r="H989" s="65">
        <f>IF(F989,MAX(0,MIN(E989,I6*D989)-D989)*IFERROR(INDEX($C$158:$C$161,MATCH(C989,$A$158:$A$161,0)),0),0)</f>
        <v>0</v>
      </c>
      <c r="I989" s="65">
        <f>IF(F989,MAX(0,E989-I6*D989)*IFERROR(INDEX($D$158:$D$161,MATCH(C989,$A$158:$A$161,0)),0),0)</f>
        <v>0</v>
      </c>
      <c r="J989" s="65">
        <f t="shared" si="102"/>
        <v>0</v>
      </c>
    </row>
    <row r="990" spans="1:10" ht="15" customHeight="1" outlineLevel="1" x14ac:dyDescent="0.2">
      <c r="A990" s="66" t="str">
        <f t="shared" si="99"/>
        <v>R018</v>
      </c>
      <c r="B990" s="67">
        <f>$A$1425</f>
        <v>45413</v>
      </c>
      <c r="C990" s="66" t="str">
        <f t="shared" si="100"/>
        <v>Mid-Market AE</v>
      </c>
      <c r="D990" s="65">
        <f>SUMIFS(Fact_Quota!$D:$D,Fact_Quota!$A:$A,$A990,Fact_Quota!$B:$B,"&gt;="&amp;B990,Fact_Quota!$B:$B,"&lt;"&amp;EDATE(B990,1))</f>
        <v>0</v>
      </c>
      <c r="E990" s="65">
        <f>SUMIFS(Fact_Pipeline!$K:$K,Fact_Pipeline!$B:$B,$A990,Fact_Pipeline!$J:$J,"Won",Fact_Pipeline!$I:$I,"&gt;="&amp;B990,Fact_Pipeline!$I:$I,"&lt;"&amp;EDATE(B990,1))</f>
        <v>0</v>
      </c>
      <c r="F990" s="66" t="b">
        <f>AND(D990&gt;0,IFERROR(E990/D990&gt;=G6,FALSE()))</f>
        <v>0</v>
      </c>
      <c r="G990" s="65">
        <f t="shared" si="101"/>
        <v>0</v>
      </c>
      <c r="H990" s="65">
        <f>IF(F990,MAX(0,MIN(E990,I6*D990)-D990)*IFERROR(INDEX($C$158:$C$161,MATCH(C990,$A$158:$A$161,0)),0),0)</f>
        <v>0</v>
      </c>
      <c r="I990" s="65">
        <f>IF(F990,MAX(0,E990-I6*D990)*IFERROR(INDEX($D$158:$D$161,MATCH(C990,$A$158:$A$161,0)),0),0)</f>
        <v>0</v>
      </c>
      <c r="J990" s="65">
        <f t="shared" si="102"/>
        <v>0</v>
      </c>
    </row>
    <row r="991" spans="1:10" ht="15" customHeight="1" outlineLevel="1" x14ac:dyDescent="0.2">
      <c r="A991" s="66" t="str">
        <f t="shared" si="99"/>
        <v>R018</v>
      </c>
      <c r="B991" s="67">
        <f>$A$1426</f>
        <v>45444</v>
      </c>
      <c r="C991" s="66" t="str">
        <f t="shared" si="100"/>
        <v>Mid-Market AE</v>
      </c>
      <c r="D991" s="65">
        <f>SUMIFS(Fact_Quota!$D:$D,Fact_Quota!$A:$A,$A991,Fact_Quota!$B:$B,"&gt;="&amp;B991,Fact_Quota!$B:$B,"&lt;"&amp;EDATE(B991,1))</f>
        <v>0</v>
      </c>
      <c r="E991" s="65">
        <f>SUMIFS(Fact_Pipeline!$K:$K,Fact_Pipeline!$B:$B,$A991,Fact_Pipeline!$J:$J,"Won",Fact_Pipeline!$I:$I,"&gt;="&amp;B991,Fact_Pipeline!$I:$I,"&lt;"&amp;EDATE(B991,1))</f>
        <v>0</v>
      </c>
      <c r="F991" s="66" t="b">
        <f>AND(D991&gt;0,IFERROR(E991/D991&gt;=G6,FALSE()))</f>
        <v>0</v>
      </c>
      <c r="G991" s="65">
        <f t="shared" si="101"/>
        <v>0</v>
      </c>
      <c r="H991" s="65">
        <f>IF(F991,MAX(0,MIN(E991,I6*D991)-D991)*IFERROR(INDEX($C$158:$C$161,MATCH(C991,$A$158:$A$161,0)),0),0)</f>
        <v>0</v>
      </c>
      <c r="I991" s="65">
        <f>IF(F991,MAX(0,E991-I6*D991)*IFERROR(INDEX($D$158:$D$161,MATCH(C991,$A$158:$A$161,0)),0),0)</f>
        <v>0</v>
      </c>
      <c r="J991" s="65">
        <f t="shared" si="102"/>
        <v>0</v>
      </c>
    </row>
    <row r="992" spans="1:10" ht="15" customHeight="1" outlineLevel="1" x14ac:dyDescent="0.2">
      <c r="A992" s="66" t="str">
        <f t="shared" si="99"/>
        <v>R018</v>
      </c>
      <c r="B992" s="67">
        <f>$A$1427</f>
        <v>45474</v>
      </c>
      <c r="C992" s="66" t="str">
        <f t="shared" si="100"/>
        <v>Mid-Market AE</v>
      </c>
      <c r="D992" s="65">
        <f>SUMIFS(Fact_Quota!$D:$D,Fact_Quota!$A:$A,$A992,Fact_Quota!$B:$B,"&gt;="&amp;B992,Fact_Quota!$B:$B,"&lt;"&amp;EDATE(B992,1))</f>
        <v>0</v>
      </c>
      <c r="E992" s="65">
        <f>SUMIFS(Fact_Pipeline!$K:$K,Fact_Pipeline!$B:$B,$A992,Fact_Pipeline!$J:$J,"Won",Fact_Pipeline!$I:$I,"&gt;="&amp;B992,Fact_Pipeline!$I:$I,"&lt;"&amp;EDATE(B992,1))</f>
        <v>0</v>
      </c>
      <c r="F992" s="66" t="b">
        <f>AND(D992&gt;0,IFERROR(E992/D992&gt;=G6,FALSE()))</f>
        <v>0</v>
      </c>
      <c r="G992" s="65">
        <f t="shared" si="101"/>
        <v>0</v>
      </c>
      <c r="H992" s="65">
        <f>IF(F992,MAX(0,MIN(E992,I6*D992)-D992)*IFERROR(INDEX($C$158:$C$161,MATCH(C992,$A$158:$A$161,0)),0),0)</f>
        <v>0</v>
      </c>
      <c r="I992" s="65">
        <f>IF(F992,MAX(0,E992-I6*D992)*IFERROR(INDEX($D$158:$D$161,MATCH(C992,$A$158:$A$161,0)),0),0)</f>
        <v>0</v>
      </c>
      <c r="J992" s="65">
        <f t="shared" si="102"/>
        <v>0</v>
      </c>
    </row>
    <row r="993" spans="1:10" ht="15" customHeight="1" outlineLevel="1" x14ac:dyDescent="0.2">
      <c r="A993" s="66" t="str">
        <f t="shared" si="99"/>
        <v>R018</v>
      </c>
      <c r="B993" s="67">
        <f>$A$1428</f>
        <v>45505</v>
      </c>
      <c r="C993" s="66" t="str">
        <f t="shared" si="100"/>
        <v>Mid-Market AE</v>
      </c>
      <c r="D993" s="65">
        <f>SUMIFS(Fact_Quota!$D:$D,Fact_Quota!$A:$A,$A993,Fact_Quota!$B:$B,"&gt;="&amp;B993,Fact_Quota!$B:$B,"&lt;"&amp;EDATE(B993,1))</f>
        <v>0</v>
      </c>
      <c r="E993" s="65">
        <f>SUMIFS(Fact_Pipeline!$K:$K,Fact_Pipeline!$B:$B,$A993,Fact_Pipeline!$J:$J,"Won",Fact_Pipeline!$I:$I,"&gt;="&amp;B993,Fact_Pipeline!$I:$I,"&lt;"&amp;EDATE(B993,1))</f>
        <v>0</v>
      </c>
      <c r="F993" s="66" t="b">
        <f>AND(D993&gt;0,IFERROR(E993/D993&gt;=G6,FALSE()))</f>
        <v>0</v>
      </c>
      <c r="G993" s="65">
        <f t="shared" si="101"/>
        <v>0</v>
      </c>
      <c r="H993" s="65">
        <f>IF(F993,MAX(0,MIN(E993,I6*D993)-D993)*IFERROR(INDEX($C$158:$C$161,MATCH(C993,$A$158:$A$161,0)),0),0)</f>
        <v>0</v>
      </c>
      <c r="I993" s="65">
        <f>IF(F993,MAX(0,E993-I6*D993)*IFERROR(INDEX($D$158:$D$161,MATCH(C993,$A$158:$A$161,0)),0),0)</f>
        <v>0</v>
      </c>
      <c r="J993" s="65">
        <f t="shared" si="102"/>
        <v>0</v>
      </c>
    </row>
    <row r="994" spans="1:10" ht="15" customHeight="1" outlineLevel="1" x14ac:dyDescent="0.2">
      <c r="A994" s="66" t="str">
        <f t="shared" si="99"/>
        <v>R018</v>
      </c>
      <c r="B994" s="67">
        <f>$A$1429</f>
        <v>45536</v>
      </c>
      <c r="C994" s="66" t="str">
        <f t="shared" si="100"/>
        <v>Mid-Market AE</v>
      </c>
      <c r="D994" s="65">
        <f>SUMIFS(Fact_Quota!$D:$D,Fact_Quota!$A:$A,$A994,Fact_Quota!$B:$B,"&gt;="&amp;B994,Fact_Quota!$B:$B,"&lt;"&amp;EDATE(B994,1))</f>
        <v>0</v>
      </c>
      <c r="E994" s="65">
        <f>SUMIFS(Fact_Pipeline!$K:$K,Fact_Pipeline!$B:$B,$A994,Fact_Pipeline!$J:$J,"Won",Fact_Pipeline!$I:$I,"&gt;="&amp;B994,Fact_Pipeline!$I:$I,"&lt;"&amp;EDATE(B994,1))</f>
        <v>0</v>
      </c>
      <c r="F994" s="66" t="b">
        <f>AND(D994&gt;0,IFERROR(E994/D994&gt;=G6,FALSE()))</f>
        <v>0</v>
      </c>
      <c r="G994" s="65">
        <f t="shared" si="101"/>
        <v>0</v>
      </c>
      <c r="H994" s="65">
        <f>IF(F994,MAX(0,MIN(E994,I6*D994)-D994)*IFERROR(INDEX($C$158:$C$161,MATCH(C994,$A$158:$A$161,0)),0),0)</f>
        <v>0</v>
      </c>
      <c r="I994" s="65">
        <f>IF(F994,MAX(0,E994-I6*D994)*IFERROR(INDEX($D$158:$D$161,MATCH(C994,$A$158:$A$161,0)),0),0)</f>
        <v>0</v>
      </c>
      <c r="J994" s="65">
        <f t="shared" si="102"/>
        <v>0</v>
      </c>
    </row>
    <row r="995" spans="1:10" ht="15" customHeight="1" outlineLevel="1" x14ac:dyDescent="0.2">
      <c r="A995" s="66" t="str">
        <f t="shared" si="99"/>
        <v>R018</v>
      </c>
      <c r="B995" s="67">
        <f>$A$1430</f>
        <v>45566</v>
      </c>
      <c r="C995" s="66" t="str">
        <f t="shared" si="100"/>
        <v>Mid-Market AE</v>
      </c>
      <c r="D995" s="65">
        <f>SUMIFS(Fact_Quota!$D:$D,Fact_Quota!$A:$A,$A995,Fact_Quota!$B:$B,"&gt;="&amp;B995,Fact_Quota!$B:$B,"&lt;"&amp;EDATE(B995,1))</f>
        <v>0</v>
      </c>
      <c r="E995" s="65">
        <f>SUMIFS(Fact_Pipeline!$K:$K,Fact_Pipeline!$B:$B,$A995,Fact_Pipeline!$J:$J,"Won",Fact_Pipeline!$I:$I,"&gt;="&amp;B995,Fact_Pipeline!$I:$I,"&lt;"&amp;EDATE(B995,1))</f>
        <v>0</v>
      </c>
      <c r="F995" s="66" t="b">
        <f>AND(D995&gt;0,IFERROR(E995/D995&gt;=G6,FALSE()))</f>
        <v>0</v>
      </c>
      <c r="G995" s="65">
        <f t="shared" si="101"/>
        <v>0</v>
      </c>
      <c r="H995" s="65">
        <f>IF(F995,MAX(0,MIN(E995,I6*D995)-D995)*IFERROR(INDEX($C$158:$C$161,MATCH(C995,$A$158:$A$161,0)),0),0)</f>
        <v>0</v>
      </c>
      <c r="I995" s="65">
        <f>IF(F995,MAX(0,E995-I6*D995)*IFERROR(INDEX($D$158:$D$161,MATCH(C995,$A$158:$A$161,0)),0),0)</f>
        <v>0</v>
      </c>
      <c r="J995" s="65">
        <f t="shared" si="102"/>
        <v>0</v>
      </c>
    </row>
    <row r="996" spans="1:10" ht="15" customHeight="1" outlineLevel="1" x14ac:dyDescent="0.2">
      <c r="A996" s="66" t="str">
        <f t="shared" si="99"/>
        <v>R018</v>
      </c>
      <c r="B996" s="67">
        <f>$A$1431</f>
        <v>45597</v>
      </c>
      <c r="C996" s="66" t="str">
        <f t="shared" si="100"/>
        <v>Mid-Market AE</v>
      </c>
      <c r="D996" s="65">
        <f>SUMIFS(Fact_Quota!$D:$D,Fact_Quota!$A:$A,$A996,Fact_Quota!$B:$B,"&gt;="&amp;B996,Fact_Quota!$B:$B,"&lt;"&amp;EDATE(B996,1))</f>
        <v>0</v>
      </c>
      <c r="E996" s="65">
        <f>SUMIFS(Fact_Pipeline!$K:$K,Fact_Pipeline!$B:$B,$A996,Fact_Pipeline!$J:$J,"Won",Fact_Pipeline!$I:$I,"&gt;="&amp;B996,Fact_Pipeline!$I:$I,"&lt;"&amp;EDATE(B996,1))</f>
        <v>0</v>
      </c>
      <c r="F996" s="66" t="b">
        <f>AND(D996&gt;0,IFERROR(E996/D996&gt;=G6,FALSE()))</f>
        <v>0</v>
      </c>
      <c r="G996" s="65">
        <f t="shared" si="101"/>
        <v>0</v>
      </c>
      <c r="H996" s="65">
        <f>IF(F996,MAX(0,MIN(E996,I6*D996)-D996)*IFERROR(INDEX($C$158:$C$161,MATCH(C996,$A$158:$A$161,0)),0),0)</f>
        <v>0</v>
      </c>
      <c r="I996" s="65">
        <f>IF(F996,MAX(0,E996-I6*D996)*IFERROR(INDEX($D$158:$D$161,MATCH(C996,$A$158:$A$161,0)),0),0)</f>
        <v>0</v>
      </c>
      <c r="J996" s="65">
        <f t="shared" si="102"/>
        <v>0</v>
      </c>
    </row>
    <row r="997" spans="1:10" ht="15" customHeight="1" outlineLevel="1" x14ac:dyDescent="0.2">
      <c r="A997" s="66" t="str">
        <f t="shared" si="99"/>
        <v>R018</v>
      </c>
      <c r="B997" s="67">
        <f>$A$1432</f>
        <v>45627</v>
      </c>
      <c r="C997" s="66" t="str">
        <f t="shared" si="100"/>
        <v>Mid-Market AE</v>
      </c>
      <c r="D997" s="65">
        <f>SUMIFS(Fact_Quota!$D:$D,Fact_Quota!$A:$A,$A997,Fact_Quota!$B:$B,"&gt;="&amp;B997,Fact_Quota!$B:$B,"&lt;"&amp;EDATE(B997,1))</f>
        <v>0</v>
      </c>
      <c r="E997" s="65">
        <f>SUMIFS(Fact_Pipeline!$K:$K,Fact_Pipeline!$B:$B,$A997,Fact_Pipeline!$J:$J,"Won",Fact_Pipeline!$I:$I,"&gt;="&amp;B997,Fact_Pipeline!$I:$I,"&lt;"&amp;EDATE(B997,1))</f>
        <v>0</v>
      </c>
      <c r="F997" s="66" t="b">
        <f>AND(D997&gt;0,IFERROR(E997/D997&gt;=G6,FALSE()))</f>
        <v>0</v>
      </c>
      <c r="G997" s="65">
        <f t="shared" si="101"/>
        <v>0</v>
      </c>
      <c r="H997" s="65">
        <f>IF(F997,MAX(0,MIN(E997,I6*D997)-D997)*IFERROR(INDEX($C$158:$C$161,MATCH(C997,$A$158:$A$161,0)),0),0)</f>
        <v>0</v>
      </c>
      <c r="I997" s="65">
        <f>IF(F997,MAX(0,E997-I6*D997)*IFERROR(INDEX($D$158:$D$161,MATCH(C997,$A$158:$A$161,0)),0),0)</f>
        <v>0</v>
      </c>
      <c r="J997" s="65">
        <f t="shared" si="102"/>
        <v>0</v>
      </c>
    </row>
    <row r="998" spans="1:10" ht="15" customHeight="1" outlineLevel="1" x14ac:dyDescent="0.2">
      <c r="A998" s="66" t="str">
        <f t="shared" si="99"/>
        <v>R018</v>
      </c>
      <c r="B998" s="67">
        <f>$A$1433</f>
        <v>45658</v>
      </c>
      <c r="C998" s="66" t="str">
        <f t="shared" si="100"/>
        <v>Mid-Market AE</v>
      </c>
      <c r="D998" s="65">
        <f>SUMIFS(Fact_Quota!$D:$D,Fact_Quota!$A:$A,$A998,Fact_Quota!$B:$B,"&gt;="&amp;B998,Fact_Quota!$B:$B,"&lt;"&amp;EDATE(B998,1))</f>
        <v>0</v>
      </c>
      <c r="E998" s="65">
        <f>SUMIFS(Fact_Pipeline!$K:$K,Fact_Pipeline!$B:$B,$A998,Fact_Pipeline!$J:$J,"Won",Fact_Pipeline!$I:$I,"&gt;="&amp;B998,Fact_Pipeline!$I:$I,"&lt;"&amp;EDATE(B998,1))</f>
        <v>0</v>
      </c>
      <c r="F998" s="66" t="b">
        <f>AND(D998&gt;0,IFERROR(E998/D998&gt;=G6,FALSE()))</f>
        <v>0</v>
      </c>
      <c r="G998" s="65">
        <f t="shared" si="101"/>
        <v>0</v>
      </c>
      <c r="H998" s="65">
        <f>IF(F998,MAX(0,MIN(E998,I6*D998)-D998)*IFERROR(INDEX($C$158:$C$161,MATCH(C998,$A$158:$A$161,0)),0),0)</f>
        <v>0</v>
      </c>
      <c r="I998" s="65">
        <f>IF(F998,MAX(0,E998-I6*D998)*IFERROR(INDEX($D$158:$D$161,MATCH(C998,$A$158:$A$161,0)),0),0)</f>
        <v>0</v>
      </c>
      <c r="J998" s="65">
        <f t="shared" si="102"/>
        <v>0</v>
      </c>
    </row>
    <row r="999" spans="1:10" ht="15" customHeight="1" outlineLevel="1" x14ac:dyDescent="0.2">
      <c r="A999" s="66" t="str">
        <f t="shared" si="99"/>
        <v>R018</v>
      </c>
      <c r="B999" s="67">
        <f>$A$1434</f>
        <v>45689</v>
      </c>
      <c r="C999" s="66" t="str">
        <f t="shared" si="100"/>
        <v>Mid-Market AE</v>
      </c>
      <c r="D999" s="65">
        <f>SUMIFS(Fact_Quota!$D:$D,Fact_Quota!$A:$A,$A999,Fact_Quota!$B:$B,"&gt;="&amp;B999,Fact_Quota!$B:$B,"&lt;"&amp;EDATE(B999,1))</f>
        <v>0</v>
      </c>
      <c r="E999" s="65">
        <f>SUMIFS(Fact_Pipeline!$K:$K,Fact_Pipeline!$B:$B,$A999,Fact_Pipeline!$J:$J,"Won",Fact_Pipeline!$I:$I,"&gt;="&amp;B999,Fact_Pipeline!$I:$I,"&lt;"&amp;EDATE(B999,1))</f>
        <v>0</v>
      </c>
      <c r="F999" s="66" t="b">
        <f>AND(D999&gt;0,IFERROR(E999/D999&gt;=G6,FALSE()))</f>
        <v>0</v>
      </c>
      <c r="G999" s="65">
        <f t="shared" si="101"/>
        <v>0</v>
      </c>
      <c r="H999" s="65">
        <f>IF(F999,MAX(0,MIN(E999,I6*D999)-D999)*IFERROR(INDEX($C$158:$C$161,MATCH(C999,$A$158:$A$161,0)),0),0)</f>
        <v>0</v>
      </c>
      <c r="I999" s="65">
        <f>IF(F999,MAX(0,E999-I6*D999)*IFERROR(INDEX($D$158:$D$161,MATCH(C999,$A$158:$A$161,0)),0),0)</f>
        <v>0</v>
      </c>
      <c r="J999" s="65">
        <f t="shared" si="102"/>
        <v>0</v>
      </c>
    </row>
    <row r="1000" spans="1:10" ht="15" customHeight="1" outlineLevel="1" x14ac:dyDescent="0.2">
      <c r="A1000" s="66" t="str">
        <f t="shared" si="99"/>
        <v>R018</v>
      </c>
      <c r="B1000" s="67">
        <f>$A$1435</f>
        <v>45717</v>
      </c>
      <c r="C1000" s="66" t="str">
        <f t="shared" si="100"/>
        <v>Mid-Market AE</v>
      </c>
      <c r="D1000" s="65">
        <f>SUMIFS(Fact_Quota!$D:$D,Fact_Quota!$A:$A,$A1000,Fact_Quota!$B:$B,"&gt;="&amp;B1000,Fact_Quota!$B:$B,"&lt;"&amp;EDATE(B1000,1))</f>
        <v>0</v>
      </c>
      <c r="E1000" s="65">
        <f>SUMIFS(Fact_Pipeline!$K:$K,Fact_Pipeline!$B:$B,$A1000,Fact_Pipeline!$J:$J,"Won",Fact_Pipeline!$I:$I,"&gt;="&amp;B1000,Fact_Pipeline!$I:$I,"&lt;"&amp;EDATE(B1000,1))</f>
        <v>0</v>
      </c>
      <c r="F1000" s="66" t="b">
        <f>AND(D1000&gt;0,IFERROR(E1000/D1000&gt;=G6,FALSE()))</f>
        <v>0</v>
      </c>
      <c r="G1000" s="65">
        <f t="shared" si="101"/>
        <v>0</v>
      </c>
      <c r="H1000" s="65">
        <f>IF(F1000,MAX(0,MIN(E1000,I6*D1000)-D1000)*IFERROR(INDEX($C$158:$C$161,MATCH(C1000,$A$158:$A$161,0)),0),0)</f>
        <v>0</v>
      </c>
      <c r="I1000" s="65">
        <f>IF(F1000,MAX(0,E1000-I6*D1000)*IFERROR(INDEX($D$158:$D$161,MATCH(C1000,$A$158:$A$161,0)),0),0)</f>
        <v>0</v>
      </c>
      <c r="J1000" s="65">
        <f t="shared" si="102"/>
        <v>0</v>
      </c>
    </row>
    <row r="1001" spans="1:10" ht="15" customHeight="1" outlineLevel="1" x14ac:dyDescent="0.2">
      <c r="A1001" s="66" t="str">
        <f t="shared" si="99"/>
        <v>R018</v>
      </c>
      <c r="B1001" s="67">
        <f>$A$1436</f>
        <v>45748</v>
      </c>
      <c r="C1001" s="66" t="str">
        <f t="shared" si="100"/>
        <v>Mid-Market AE</v>
      </c>
      <c r="D1001" s="65">
        <f>SUMIFS(Fact_Quota!$D:$D,Fact_Quota!$A:$A,$A1001,Fact_Quota!$B:$B,"&gt;="&amp;B1001,Fact_Quota!$B:$B,"&lt;"&amp;EDATE(B1001,1))</f>
        <v>0</v>
      </c>
      <c r="E1001" s="65">
        <f>SUMIFS(Fact_Pipeline!$K:$K,Fact_Pipeline!$B:$B,$A1001,Fact_Pipeline!$J:$J,"Won",Fact_Pipeline!$I:$I,"&gt;="&amp;B1001,Fact_Pipeline!$I:$I,"&lt;"&amp;EDATE(B1001,1))</f>
        <v>0</v>
      </c>
      <c r="F1001" s="66" t="b">
        <f>AND(D1001&gt;0,IFERROR(E1001/D1001&gt;=G6,FALSE()))</f>
        <v>0</v>
      </c>
      <c r="G1001" s="65">
        <f t="shared" si="101"/>
        <v>0</v>
      </c>
      <c r="H1001" s="65">
        <f>IF(F1001,MAX(0,MIN(E1001,I6*D1001)-D1001)*IFERROR(INDEX($C$158:$C$161,MATCH(C1001,$A$158:$A$161,0)),0),0)</f>
        <v>0</v>
      </c>
      <c r="I1001" s="65">
        <f>IF(F1001,MAX(0,E1001-I6*D1001)*IFERROR(INDEX($D$158:$D$161,MATCH(C1001,$A$158:$A$161,0)),0),0)</f>
        <v>0</v>
      </c>
      <c r="J1001" s="65">
        <f t="shared" si="102"/>
        <v>0</v>
      </c>
    </row>
    <row r="1002" spans="1:10" ht="15" customHeight="1" outlineLevel="1" x14ac:dyDescent="0.2">
      <c r="A1002" s="66" t="str">
        <f t="shared" si="99"/>
        <v>R018</v>
      </c>
      <c r="B1002" s="67">
        <f>$A$1437</f>
        <v>45778</v>
      </c>
      <c r="C1002" s="66" t="str">
        <f t="shared" si="100"/>
        <v>Mid-Market AE</v>
      </c>
      <c r="D1002" s="65">
        <f>SUMIFS(Fact_Quota!$D:$D,Fact_Quota!$A:$A,$A1002,Fact_Quota!$B:$B,"&gt;="&amp;B1002,Fact_Quota!$B:$B,"&lt;"&amp;EDATE(B1002,1))</f>
        <v>0</v>
      </c>
      <c r="E1002" s="65">
        <f>SUMIFS(Fact_Pipeline!$K:$K,Fact_Pipeline!$B:$B,$A1002,Fact_Pipeline!$J:$J,"Won",Fact_Pipeline!$I:$I,"&gt;="&amp;B1002,Fact_Pipeline!$I:$I,"&lt;"&amp;EDATE(B1002,1))</f>
        <v>0</v>
      </c>
      <c r="F1002" s="66" t="b">
        <f>AND(D1002&gt;0,IFERROR(E1002/D1002&gt;=G6,FALSE()))</f>
        <v>0</v>
      </c>
      <c r="G1002" s="65">
        <f t="shared" si="101"/>
        <v>0</v>
      </c>
      <c r="H1002" s="65">
        <f>IF(F1002,MAX(0,MIN(E1002,I6*D1002)-D1002)*IFERROR(INDEX($C$158:$C$161,MATCH(C1002,$A$158:$A$161,0)),0),0)</f>
        <v>0</v>
      </c>
      <c r="I1002" s="65">
        <f>IF(F1002,MAX(0,E1002-I6*D1002)*IFERROR(INDEX($D$158:$D$161,MATCH(C1002,$A$158:$A$161,0)),0),0)</f>
        <v>0</v>
      </c>
      <c r="J1002" s="65">
        <f t="shared" si="102"/>
        <v>0</v>
      </c>
    </row>
    <row r="1003" spans="1:10" ht="15" customHeight="1" outlineLevel="1" x14ac:dyDescent="0.2">
      <c r="A1003" s="66" t="str">
        <f t="shared" si="99"/>
        <v>R018</v>
      </c>
      <c r="B1003" s="67">
        <f>$A$1438</f>
        <v>45809</v>
      </c>
      <c r="C1003" s="66" t="str">
        <f t="shared" si="100"/>
        <v>Mid-Market AE</v>
      </c>
      <c r="D1003" s="65">
        <f>SUMIFS(Fact_Quota!$D:$D,Fact_Quota!$A:$A,$A1003,Fact_Quota!$B:$B,"&gt;="&amp;B1003,Fact_Quota!$B:$B,"&lt;"&amp;EDATE(B1003,1))</f>
        <v>5400</v>
      </c>
      <c r="E1003" s="65">
        <f>SUMIFS(Fact_Pipeline!$K:$K,Fact_Pipeline!$B:$B,$A1003,Fact_Pipeline!$J:$J,"Won",Fact_Pipeline!$I:$I,"&gt;="&amp;B1003,Fact_Pipeline!$I:$I,"&lt;"&amp;EDATE(B1003,1))</f>
        <v>0</v>
      </c>
      <c r="F1003" s="66" t="b">
        <f>AND(D1003&gt;0,IFERROR(E1003/D1003&gt;=G6,FALSE()))</f>
        <v>0</v>
      </c>
      <c r="G1003" s="65">
        <f t="shared" si="101"/>
        <v>0</v>
      </c>
      <c r="H1003" s="65">
        <f>IF(F1003,MAX(0,MIN(E1003,I6*D1003)-D1003)*IFERROR(INDEX($C$158:$C$161,MATCH(C1003,$A$158:$A$161,0)),0),0)</f>
        <v>0</v>
      </c>
      <c r="I1003" s="65">
        <f>IF(F1003,MAX(0,E1003-I6*D1003)*IFERROR(INDEX($D$158:$D$161,MATCH(C1003,$A$158:$A$161,0)),0),0)</f>
        <v>0</v>
      </c>
      <c r="J1003" s="65">
        <f t="shared" si="102"/>
        <v>0</v>
      </c>
    </row>
    <row r="1004" spans="1:10" ht="15" customHeight="1" outlineLevel="1" x14ac:dyDescent="0.2">
      <c r="A1004" s="66" t="str">
        <f t="shared" si="99"/>
        <v>R018</v>
      </c>
      <c r="B1004" s="67">
        <f>$A$1439</f>
        <v>45839</v>
      </c>
      <c r="C1004" s="66" t="str">
        <f t="shared" si="100"/>
        <v>Mid-Market AE</v>
      </c>
      <c r="D1004" s="65">
        <f>SUMIFS(Fact_Quota!$D:$D,Fact_Quota!$A:$A,$A1004,Fact_Quota!$B:$B,"&gt;="&amp;B1004,Fact_Quota!$B:$B,"&lt;"&amp;EDATE(B1004,1))</f>
        <v>11100</v>
      </c>
      <c r="E1004" s="65">
        <f>SUMIFS(Fact_Pipeline!$K:$K,Fact_Pipeline!$B:$B,$A1004,Fact_Pipeline!$J:$J,"Won",Fact_Pipeline!$I:$I,"&gt;="&amp;B1004,Fact_Pipeline!$I:$I,"&lt;"&amp;EDATE(B1004,1))</f>
        <v>0</v>
      </c>
      <c r="F1004" s="66" t="b">
        <f>AND(D1004&gt;0,IFERROR(E1004/D1004&gt;=G6,FALSE()))</f>
        <v>0</v>
      </c>
      <c r="G1004" s="65">
        <f t="shared" si="101"/>
        <v>0</v>
      </c>
      <c r="H1004" s="65">
        <f>IF(F1004,MAX(0,MIN(E1004,I6*D1004)-D1004)*IFERROR(INDEX($C$158:$C$161,MATCH(C1004,$A$158:$A$161,0)),0),0)</f>
        <v>0</v>
      </c>
      <c r="I1004" s="65">
        <f>IF(F1004,MAX(0,E1004-I6*D1004)*IFERROR(INDEX($D$158:$D$161,MATCH(C1004,$A$158:$A$161,0)),0),0)</f>
        <v>0</v>
      </c>
      <c r="J1004" s="65">
        <f t="shared" si="102"/>
        <v>0</v>
      </c>
    </row>
    <row r="1005" spans="1:10" ht="15" customHeight="1" outlineLevel="1" x14ac:dyDescent="0.2">
      <c r="A1005" s="66" t="str">
        <f t="shared" si="99"/>
        <v>R018</v>
      </c>
      <c r="B1005" s="67">
        <f>$A$1440</f>
        <v>45870</v>
      </c>
      <c r="C1005" s="66" t="str">
        <f t="shared" si="100"/>
        <v>Mid-Market AE</v>
      </c>
      <c r="D1005" s="65">
        <f>SUMIFS(Fact_Quota!$D:$D,Fact_Quota!$A:$A,$A1005,Fact_Quota!$B:$B,"&gt;="&amp;B1005,Fact_Quota!$B:$B,"&lt;"&amp;EDATE(B1005,1))</f>
        <v>15800</v>
      </c>
      <c r="E1005" s="65">
        <f>SUMIFS(Fact_Pipeline!$K:$K,Fact_Pipeline!$B:$B,$A1005,Fact_Pipeline!$J:$J,"Won",Fact_Pipeline!$I:$I,"&gt;="&amp;B1005,Fact_Pipeline!$I:$I,"&lt;"&amp;EDATE(B1005,1))</f>
        <v>37000</v>
      </c>
      <c r="F1005" s="66" t="b">
        <f>AND(D1005&gt;0,IFERROR(E1005/D1005&gt;=G6,FALSE()))</f>
        <v>1</v>
      </c>
      <c r="G1005" s="65">
        <f t="shared" si="101"/>
        <v>790</v>
      </c>
      <c r="H1005" s="65">
        <f>IF(F1005,MAX(0,MIN(E1005,I6*D1005)-D1005)*IFERROR(INDEX($C$158:$C$161,MATCH(C1005,$A$158:$A$161,0)),0),0)</f>
        <v>632</v>
      </c>
      <c r="I1005" s="65">
        <f>IF(F1005,MAX(0,E1005-I6*D1005)*IFERROR(INDEX($D$158:$D$161,MATCH(C1005,$A$158:$A$161,0)),0),0)</f>
        <v>1463</v>
      </c>
      <c r="J1005" s="65">
        <f t="shared" si="102"/>
        <v>2885</v>
      </c>
    </row>
    <row r="1006" spans="1:10" ht="15" customHeight="1" outlineLevel="1" x14ac:dyDescent="0.2">
      <c r="A1006" s="66" t="str">
        <f t="shared" si="99"/>
        <v>R018</v>
      </c>
      <c r="B1006" s="67">
        <f>$A$1441</f>
        <v>45901</v>
      </c>
      <c r="C1006" s="66" t="str">
        <f t="shared" si="100"/>
        <v>Mid-Market AE</v>
      </c>
      <c r="D1006" s="65">
        <f>SUMIFS(Fact_Quota!$D:$D,Fact_Quota!$A:$A,$A1006,Fact_Quota!$B:$B,"&gt;="&amp;B1006,Fact_Quota!$B:$B,"&lt;"&amp;EDATE(B1006,1))</f>
        <v>21100</v>
      </c>
      <c r="E1006" s="65">
        <f>SUMIFS(Fact_Pipeline!$K:$K,Fact_Pipeline!$B:$B,$A1006,Fact_Pipeline!$J:$J,"Won",Fact_Pipeline!$I:$I,"&gt;="&amp;B1006,Fact_Pipeline!$I:$I,"&lt;"&amp;EDATE(B1006,1))</f>
        <v>0</v>
      </c>
      <c r="F1006" s="66" t="b">
        <f>AND(D1006&gt;0,IFERROR(E1006/D1006&gt;=G6,FALSE()))</f>
        <v>0</v>
      </c>
      <c r="G1006" s="65">
        <f t="shared" si="101"/>
        <v>0</v>
      </c>
      <c r="H1006" s="65">
        <f>IF(F1006,MAX(0,MIN(E1006,I6*D1006)-D1006)*IFERROR(INDEX($C$158:$C$161,MATCH(C1006,$A$158:$A$161,0)),0),0)</f>
        <v>0</v>
      </c>
      <c r="I1006" s="65">
        <f>IF(F1006,MAX(0,E1006-I6*D1006)*IFERROR(INDEX($D$158:$D$161,MATCH(C1006,$A$158:$A$161,0)),0),0)</f>
        <v>0</v>
      </c>
      <c r="J1006" s="65">
        <f t="shared" si="102"/>
        <v>0</v>
      </c>
    </row>
    <row r="1007" spans="1:10" ht="15" customHeight="1" outlineLevel="1" x14ac:dyDescent="0.2">
      <c r="A1007" s="66" t="str">
        <f t="shared" si="99"/>
        <v>R018</v>
      </c>
      <c r="B1007" s="67">
        <f>$A$1442</f>
        <v>45931</v>
      </c>
      <c r="C1007" s="66" t="str">
        <f t="shared" si="100"/>
        <v>Mid-Market AE</v>
      </c>
      <c r="D1007" s="65">
        <f>SUMIFS(Fact_Quota!$D:$D,Fact_Quota!$A:$A,$A1007,Fact_Quota!$B:$B,"&gt;="&amp;B1007,Fact_Quota!$B:$B,"&lt;"&amp;EDATE(B1007,1))</f>
        <v>21500</v>
      </c>
      <c r="E1007" s="65">
        <f>SUMIFS(Fact_Pipeline!$K:$K,Fact_Pipeline!$B:$B,$A1007,Fact_Pipeline!$J:$J,"Won",Fact_Pipeline!$I:$I,"&gt;="&amp;B1007,Fact_Pipeline!$I:$I,"&lt;"&amp;EDATE(B1007,1))</f>
        <v>14900</v>
      </c>
      <c r="F1007" s="66" t="b">
        <f>AND(D1007&gt;0,IFERROR(E1007/D1007&gt;=G6,FALSE()))</f>
        <v>1</v>
      </c>
      <c r="G1007" s="65">
        <f t="shared" si="101"/>
        <v>745</v>
      </c>
      <c r="H1007" s="65">
        <f>IF(F1007,MAX(0,MIN(E1007,I6*D1007)-D1007)*IFERROR(INDEX($C$158:$C$161,MATCH(C1007,$A$158:$A$161,0)),0),0)</f>
        <v>0</v>
      </c>
      <c r="I1007" s="65">
        <f>IF(F1007,MAX(0,E1007-I6*D1007)*IFERROR(INDEX($D$158:$D$161,MATCH(C1007,$A$158:$A$161,0)),0),0)</f>
        <v>0</v>
      </c>
      <c r="J1007" s="65">
        <f t="shared" si="102"/>
        <v>745</v>
      </c>
    </row>
    <row r="1008" spans="1:10" ht="15" customHeight="1" outlineLevel="1" x14ac:dyDescent="0.2">
      <c r="A1008" s="66" t="str">
        <f t="shared" si="99"/>
        <v>R018</v>
      </c>
      <c r="B1008" s="67">
        <f>$A$1443</f>
        <v>45962</v>
      </c>
      <c r="C1008" s="66" t="str">
        <f t="shared" si="100"/>
        <v>Mid-Market AE</v>
      </c>
      <c r="D1008" s="65">
        <f>SUMIFS(Fact_Quota!$D:$D,Fact_Quota!$A:$A,$A1008,Fact_Quota!$B:$B,"&gt;="&amp;B1008,Fact_Quota!$B:$B,"&lt;"&amp;EDATE(B1008,1))</f>
        <v>21900</v>
      </c>
      <c r="E1008" s="65">
        <f>SUMIFS(Fact_Pipeline!$K:$K,Fact_Pipeline!$B:$B,$A1008,Fact_Pipeline!$J:$J,"Won",Fact_Pipeline!$I:$I,"&gt;="&amp;B1008,Fact_Pipeline!$I:$I,"&lt;"&amp;EDATE(B1008,1))</f>
        <v>44200</v>
      </c>
      <c r="F1008" s="66" t="b">
        <f>AND(D1008&gt;0,IFERROR(E1008/D1008&gt;=G6,FALSE()))</f>
        <v>1</v>
      </c>
      <c r="G1008" s="65">
        <f t="shared" si="101"/>
        <v>1095</v>
      </c>
      <c r="H1008" s="65">
        <f>IF(F1008,MAX(0,MIN(E1008,I6*D1008)-D1008)*IFERROR(INDEX($C$158:$C$161,MATCH(C1008,$A$158:$A$161,0)),0),0)</f>
        <v>876</v>
      </c>
      <c r="I1008" s="65">
        <f>IF(F1008,MAX(0,E1008-I6*D1008)*IFERROR(INDEX($D$158:$D$161,MATCH(C1008,$A$158:$A$161,0)),0),0)</f>
        <v>1248.5</v>
      </c>
      <c r="J1008" s="65">
        <f t="shared" si="102"/>
        <v>3219.5</v>
      </c>
    </row>
    <row r="1009" spans="1:10" ht="15" customHeight="1" outlineLevel="1" x14ac:dyDescent="0.2">
      <c r="A1009" s="66" t="str">
        <f t="shared" si="99"/>
        <v>R018</v>
      </c>
      <c r="B1009" s="67">
        <f>$A$1444</f>
        <v>45992</v>
      </c>
      <c r="C1009" s="66" t="str">
        <f t="shared" si="100"/>
        <v>Mid-Market AE</v>
      </c>
      <c r="D1009" s="65">
        <f>SUMIFS(Fact_Quota!$D:$D,Fact_Quota!$A:$A,$A1009,Fact_Quota!$B:$B,"&gt;="&amp;B1009,Fact_Quota!$B:$B,"&lt;"&amp;EDATE(B1009,1))</f>
        <v>22200</v>
      </c>
      <c r="E1009" s="65">
        <f>SUMIFS(Fact_Pipeline!$K:$K,Fact_Pipeline!$B:$B,$A1009,Fact_Pipeline!$J:$J,"Won",Fact_Pipeline!$I:$I,"&gt;="&amp;B1009,Fact_Pipeline!$I:$I,"&lt;"&amp;EDATE(B1009,1))</f>
        <v>32600</v>
      </c>
      <c r="F1009" s="66" t="b">
        <f>AND(D1009&gt;0,IFERROR(E1009/D1009&gt;=G6,FALSE()))</f>
        <v>1</v>
      </c>
      <c r="G1009" s="65">
        <f t="shared" si="101"/>
        <v>1110</v>
      </c>
      <c r="H1009" s="65">
        <f>IF(F1009,MAX(0,MIN(E1009,I6*D1009)-D1009)*IFERROR(INDEX($C$158:$C$161,MATCH(C1009,$A$158:$A$161,0)),0),0)</f>
        <v>832</v>
      </c>
      <c r="I1009" s="65">
        <f>IF(F1009,MAX(0,E1009-I6*D1009)*IFERROR(INDEX($D$158:$D$161,MATCH(C1009,$A$158:$A$161,0)),0),0)</f>
        <v>0</v>
      </c>
      <c r="J1009" s="65">
        <f t="shared" si="102"/>
        <v>1942</v>
      </c>
    </row>
    <row r="1010" spans="1:10" ht="15" customHeight="1" outlineLevel="1" x14ac:dyDescent="0.2">
      <c r="A1010" s="63" t="str">
        <f t="shared" ref="A1010:A1033" si="103">$A$198</f>
        <v>R019</v>
      </c>
      <c r="B1010" s="64">
        <f>$A$1421</f>
        <v>45292</v>
      </c>
      <c r="C1010" s="63" t="str">
        <f t="shared" ref="C1010:C1033" si="104">$C$198</f>
        <v>Mid-Market AE</v>
      </c>
      <c r="D1010" s="62">
        <f>SUMIFS(Fact_Quota!$D:$D,Fact_Quota!$A:$A,$A1010,Fact_Quota!$B:$B,"&gt;="&amp;B1010,Fact_Quota!$B:$B,"&lt;"&amp;EDATE(B1010,1))</f>
        <v>0</v>
      </c>
      <c r="E1010" s="62">
        <f>SUMIFS(Fact_Pipeline!$K:$K,Fact_Pipeline!$B:$B,$A1010,Fact_Pipeline!$J:$J,"Won",Fact_Pipeline!$I:$I,"&gt;="&amp;B1010,Fact_Pipeline!$I:$I,"&lt;"&amp;EDATE(B1010,1))</f>
        <v>0</v>
      </c>
      <c r="F1010" s="63" t="b">
        <f>AND(D1010&gt;0,IFERROR(E1010/D1010&gt;=G6,FALSE()))</f>
        <v>0</v>
      </c>
      <c r="G1010" s="62">
        <f t="shared" si="101"/>
        <v>0</v>
      </c>
      <c r="H1010" s="62">
        <f>IF(F1010,MAX(0,MIN(E1010,I6*D1010)-D1010)*IFERROR(INDEX($C$158:$C$161,MATCH(C1010,$A$158:$A$161,0)),0),0)</f>
        <v>0</v>
      </c>
      <c r="I1010" s="62">
        <f>IF(F1010,MAX(0,E1010-I6*D1010)*IFERROR(INDEX($D$158:$D$161,MATCH(C1010,$A$158:$A$161,0)),0),0)</f>
        <v>0</v>
      </c>
      <c r="J1010" s="62">
        <f t="shared" si="102"/>
        <v>0</v>
      </c>
    </row>
    <row r="1011" spans="1:10" ht="15" customHeight="1" outlineLevel="1" x14ac:dyDescent="0.2">
      <c r="A1011" s="63" t="str">
        <f t="shared" si="103"/>
        <v>R019</v>
      </c>
      <c r="B1011" s="64">
        <f>$A$1422</f>
        <v>45323</v>
      </c>
      <c r="C1011" s="63" t="str">
        <f t="shared" si="104"/>
        <v>Mid-Market AE</v>
      </c>
      <c r="D1011" s="62">
        <f>SUMIFS(Fact_Quota!$D:$D,Fact_Quota!$A:$A,$A1011,Fact_Quota!$B:$B,"&gt;="&amp;B1011,Fact_Quota!$B:$B,"&lt;"&amp;EDATE(B1011,1))</f>
        <v>0</v>
      </c>
      <c r="E1011" s="62">
        <f>SUMIFS(Fact_Pipeline!$K:$K,Fact_Pipeline!$B:$B,$A1011,Fact_Pipeline!$J:$J,"Won",Fact_Pipeline!$I:$I,"&gt;="&amp;B1011,Fact_Pipeline!$I:$I,"&lt;"&amp;EDATE(B1011,1))</f>
        <v>0</v>
      </c>
      <c r="F1011" s="63" t="b">
        <f>AND(D1011&gt;0,IFERROR(E1011/D1011&gt;=G6,FALSE()))</f>
        <v>0</v>
      </c>
      <c r="G1011" s="62">
        <f t="shared" si="101"/>
        <v>0</v>
      </c>
      <c r="H1011" s="62">
        <f>IF(F1011,MAX(0,MIN(E1011,I6*D1011)-D1011)*IFERROR(INDEX($C$158:$C$161,MATCH(C1011,$A$158:$A$161,0)),0),0)</f>
        <v>0</v>
      </c>
      <c r="I1011" s="62">
        <f>IF(F1011,MAX(0,E1011-I6*D1011)*IFERROR(INDEX($D$158:$D$161,MATCH(C1011,$A$158:$A$161,0)),0),0)</f>
        <v>0</v>
      </c>
      <c r="J1011" s="62">
        <f t="shared" si="102"/>
        <v>0</v>
      </c>
    </row>
    <row r="1012" spans="1:10" ht="15" customHeight="1" outlineLevel="1" x14ac:dyDescent="0.2">
      <c r="A1012" s="63" t="str">
        <f t="shared" si="103"/>
        <v>R019</v>
      </c>
      <c r="B1012" s="64">
        <f>$A$1423</f>
        <v>45352</v>
      </c>
      <c r="C1012" s="63" t="str">
        <f t="shared" si="104"/>
        <v>Mid-Market AE</v>
      </c>
      <c r="D1012" s="62">
        <f>SUMIFS(Fact_Quota!$D:$D,Fact_Quota!$A:$A,$A1012,Fact_Quota!$B:$B,"&gt;="&amp;B1012,Fact_Quota!$B:$B,"&lt;"&amp;EDATE(B1012,1))</f>
        <v>0</v>
      </c>
      <c r="E1012" s="62">
        <f>SUMIFS(Fact_Pipeline!$K:$K,Fact_Pipeline!$B:$B,$A1012,Fact_Pipeline!$J:$J,"Won",Fact_Pipeline!$I:$I,"&gt;="&amp;B1012,Fact_Pipeline!$I:$I,"&lt;"&amp;EDATE(B1012,1))</f>
        <v>0</v>
      </c>
      <c r="F1012" s="63" t="b">
        <f>AND(D1012&gt;0,IFERROR(E1012/D1012&gt;=G6,FALSE()))</f>
        <v>0</v>
      </c>
      <c r="G1012" s="62">
        <f t="shared" si="101"/>
        <v>0</v>
      </c>
      <c r="H1012" s="62">
        <f>IF(F1012,MAX(0,MIN(E1012,I6*D1012)-D1012)*IFERROR(INDEX($C$158:$C$161,MATCH(C1012,$A$158:$A$161,0)),0),0)</f>
        <v>0</v>
      </c>
      <c r="I1012" s="62">
        <f>IF(F1012,MAX(0,E1012-I6*D1012)*IFERROR(INDEX($D$158:$D$161,MATCH(C1012,$A$158:$A$161,0)),0),0)</f>
        <v>0</v>
      </c>
      <c r="J1012" s="62">
        <f t="shared" si="102"/>
        <v>0</v>
      </c>
    </row>
    <row r="1013" spans="1:10" ht="15" customHeight="1" outlineLevel="1" x14ac:dyDescent="0.2">
      <c r="A1013" s="63" t="str">
        <f t="shared" si="103"/>
        <v>R019</v>
      </c>
      <c r="B1013" s="64">
        <f>$A$1424</f>
        <v>45383</v>
      </c>
      <c r="C1013" s="63" t="str">
        <f t="shared" si="104"/>
        <v>Mid-Market AE</v>
      </c>
      <c r="D1013" s="62">
        <f>SUMIFS(Fact_Quota!$D:$D,Fact_Quota!$A:$A,$A1013,Fact_Quota!$B:$B,"&gt;="&amp;B1013,Fact_Quota!$B:$B,"&lt;"&amp;EDATE(B1013,1))</f>
        <v>0</v>
      </c>
      <c r="E1013" s="62">
        <f>SUMIFS(Fact_Pipeline!$K:$K,Fact_Pipeline!$B:$B,$A1013,Fact_Pipeline!$J:$J,"Won",Fact_Pipeline!$I:$I,"&gt;="&amp;B1013,Fact_Pipeline!$I:$I,"&lt;"&amp;EDATE(B1013,1))</f>
        <v>0</v>
      </c>
      <c r="F1013" s="63" t="b">
        <f>AND(D1013&gt;0,IFERROR(E1013/D1013&gt;=G6,FALSE()))</f>
        <v>0</v>
      </c>
      <c r="G1013" s="62">
        <f t="shared" si="101"/>
        <v>0</v>
      </c>
      <c r="H1013" s="62">
        <f>IF(F1013,MAX(0,MIN(E1013,I6*D1013)-D1013)*IFERROR(INDEX($C$158:$C$161,MATCH(C1013,$A$158:$A$161,0)),0),0)</f>
        <v>0</v>
      </c>
      <c r="I1013" s="62">
        <f>IF(F1013,MAX(0,E1013-I6*D1013)*IFERROR(INDEX($D$158:$D$161,MATCH(C1013,$A$158:$A$161,0)),0),0)</f>
        <v>0</v>
      </c>
      <c r="J1013" s="62">
        <f t="shared" si="102"/>
        <v>0</v>
      </c>
    </row>
    <row r="1014" spans="1:10" ht="15" customHeight="1" outlineLevel="1" x14ac:dyDescent="0.2">
      <c r="A1014" s="63" t="str">
        <f t="shared" si="103"/>
        <v>R019</v>
      </c>
      <c r="B1014" s="64">
        <f>$A$1425</f>
        <v>45413</v>
      </c>
      <c r="C1014" s="63" t="str">
        <f t="shared" si="104"/>
        <v>Mid-Market AE</v>
      </c>
      <c r="D1014" s="62">
        <f>SUMIFS(Fact_Quota!$D:$D,Fact_Quota!$A:$A,$A1014,Fact_Quota!$B:$B,"&gt;="&amp;B1014,Fact_Quota!$B:$B,"&lt;"&amp;EDATE(B1014,1))</f>
        <v>0</v>
      </c>
      <c r="E1014" s="62">
        <f>SUMIFS(Fact_Pipeline!$K:$K,Fact_Pipeline!$B:$B,$A1014,Fact_Pipeline!$J:$J,"Won",Fact_Pipeline!$I:$I,"&gt;="&amp;B1014,Fact_Pipeline!$I:$I,"&lt;"&amp;EDATE(B1014,1))</f>
        <v>0</v>
      </c>
      <c r="F1014" s="63" t="b">
        <f>AND(D1014&gt;0,IFERROR(E1014/D1014&gt;=G6,FALSE()))</f>
        <v>0</v>
      </c>
      <c r="G1014" s="62">
        <f t="shared" si="101"/>
        <v>0</v>
      </c>
      <c r="H1014" s="62">
        <f>IF(F1014,MAX(0,MIN(E1014,I6*D1014)-D1014)*IFERROR(INDEX($C$158:$C$161,MATCH(C1014,$A$158:$A$161,0)),0),0)</f>
        <v>0</v>
      </c>
      <c r="I1014" s="62">
        <f>IF(F1014,MAX(0,E1014-I6*D1014)*IFERROR(INDEX($D$158:$D$161,MATCH(C1014,$A$158:$A$161,0)),0),0)</f>
        <v>0</v>
      </c>
      <c r="J1014" s="62">
        <f t="shared" si="102"/>
        <v>0</v>
      </c>
    </row>
    <row r="1015" spans="1:10" ht="15" customHeight="1" outlineLevel="1" x14ac:dyDescent="0.2">
      <c r="A1015" s="63" t="str">
        <f t="shared" si="103"/>
        <v>R019</v>
      </c>
      <c r="B1015" s="64">
        <f>$A$1426</f>
        <v>45444</v>
      </c>
      <c r="C1015" s="63" t="str">
        <f t="shared" si="104"/>
        <v>Mid-Market AE</v>
      </c>
      <c r="D1015" s="62">
        <f>SUMIFS(Fact_Quota!$D:$D,Fact_Quota!$A:$A,$A1015,Fact_Quota!$B:$B,"&gt;="&amp;B1015,Fact_Quota!$B:$B,"&lt;"&amp;EDATE(B1015,1))</f>
        <v>0</v>
      </c>
      <c r="E1015" s="62">
        <f>SUMIFS(Fact_Pipeline!$K:$K,Fact_Pipeline!$B:$B,$A1015,Fact_Pipeline!$J:$J,"Won",Fact_Pipeline!$I:$I,"&gt;="&amp;B1015,Fact_Pipeline!$I:$I,"&lt;"&amp;EDATE(B1015,1))</f>
        <v>0</v>
      </c>
      <c r="F1015" s="63" t="b">
        <f>AND(D1015&gt;0,IFERROR(E1015/D1015&gt;=G6,FALSE()))</f>
        <v>0</v>
      </c>
      <c r="G1015" s="62">
        <f t="shared" si="101"/>
        <v>0</v>
      </c>
      <c r="H1015" s="62">
        <f>IF(F1015,MAX(0,MIN(E1015,I6*D1015)-D1015)*IFERROR(INDEX($C$158:$C$161,MATCH(C1015,$A$158:$A$161,0)),0),0)</f>
        <v>0</v>
      </c>
      <c r="I1015" s="62">
        <f>IF(F1015,MAX(0,E1015-I6*D1015)*IFERROR(INDEX($D$158:$D$161,MATCH(C1015,$A$158:$A$161,0)),0),0)</f>
        <v>0</v>
      </c>
      <c r="J1015" s="62">
        <f t="shared" si="102"/>
        <v>0</v>
      </c>
    </row>
    <row r="1016" spans="1:10" ht="15" customHeight="1" outlineLevel="1" x14ac:dyDescent="0.2">
      <c r="A1016" s="63" t="str">
        <f t="shared" si="103"/>
        <v>R019</v>
      </c>
      <c r="B1016" s="64">
        <f>$A$1427</f>
        <v>45474</v>
      </c>
      <c r="C1016" s="63" t="str">
        <f t="shared" si="104"/>
        <v>Mid-Market AE</v>
      </c>
      <c r="D1016" s="62">
        <f>SUMIFS(Fact_Quota!$D:$D,Fact_Quota!$A:$A,$A1016,Fact_Quota!$B:$B,"&gt;="&amp;B1016,Fact_Quota!$B:$B,"&lt;"&amp;EDATE(B1016,1))</f>
        <v>0</v>
      </c>
      <c r="E1016" s="62">
        <f>SUMIFS(Fact_Pipeline!$K:$K,Fact_Pipeline!$B:$B,$A1016,Fact_Pipeline!$J:$J,"Won",Fact_Pipeline!$I:$I,"&gt;="&amp;B1016,Fact_Pipeline!$I:$I,"&lt;"&amp;EDATE(B1016,1))</f>
        <v>0</v>
      </c>
      <c r="F1016" s="63" t="b">
        <f>AND(D1016&gt;0,IFERROR(E1016/D1016&gt;=G6,FALSE()))</f>
        <v>0</v>
      </c>
      <c r="G1016" s="62">
        <f t="shared" si="101"/>
        <v>0</v>
      </c>
      <c r="H1016" s="62">
        <f>IF(F1016,MAX(0,MIN(E1016,I6*D1016)-D1016)*IFERROR(INDEX($C$158:$C$161,MATCH(C1016,$A$158:$A$161,0)),0),0)</f>
        <v>0</v>
      </c>
      <c r="I1016" s="62">
        <f>IF(F1016,MAX(0,E1016-I6*D1016)*IFERROR(INDEX($D$158:$D$161,MATCH(C1016,$A$158:$A$161,0)),0),0)</f>
        <v>0</v>
      </c>
      <c r="J1016" s="62">
        <f t="shared" si="102"/>
        <v>0</v>
      </c>
    </row>
    <row r="1017" spans="1:10" ht="15" customHeight="1" outlineLevel="1" x14ac:dyDescent="0.2">
      <c r="A1017" s="63" t="str">
        <f t="shared" si="103"/>
        <v>R019</v>
      </c>
      <c r="B1017" s="64">
        <f>$A$1428</f>
        <v>45505</v>
      </c>
      <c r="C1017" s="63" t="str">
        <f t="shared" si="104"/>
        <v>Mid-Market AE</v>
      </c>
      <c r="D1017" s="62">
        <f>SUMIFS(Fact_Quota!$D:$D,Fact_Quota!$A:$A,$A1017,Fact_Quota!$B:$B,"&gt;="&amp;B1017,Fact_Quota!$B:$B,"&lt;"&amp;EDATE(B1017,1))</f>
        <v>0</v>
      </c>
      <c r="E1017" s="62">
        <f>SUMIFS(Fact_Pipeline!$K:$K,Fact_Pipeline!$B:$B,$A1017,Fact_Pipeline!$J:$J,"Won",Fact_Pipeline!$I:$I,"&gt;="&amp;B1017,Fact_Pipeline!$I:$I,"&lt;"&amp;EDATE(B1017,1))</f>
        <v>0</v>
      </c>
      <c r="F1017" s="63" t="b">
        <f>AND(D1017&gt;0,IFERROR(E1017/D1017&gt;=G6,FALSE()))</f>
        <v>0</v>
      </c>
      <c r="G1017" s="62">
        <f t="shared" si="101"/>
        <v>0</v>
      </c>
      <c r="H1017" s="62">
        <f>IF(F1017,MAX(0,MIN(E1017,I6*D1017)-D1017)*IFERROR(INDEX($C$158:$C$161,MATCH(C1017,$A$158:$A$161,0)),0),0)</f>
        <v>0</v>
      </c>
      <c r="I1017" s="62">
        <f>IF(F1017,MAX(0,E1017-I6*D1017)*IFERROR(INDEX($D$158:$D$161,MATCH(C1017,$A$158:$A$161,0)),0),0)</f>
        <v>0</v>
      </c>
      <c r="J1017" s="62">
        <f t="shared" si="102"/>
        <v>0</v>
      </c>
    </row>
    <row r="1018" spans="1:10" ht="15" customHeight="1" outlineLevel="1" x14ac:dyDescent="0.2">
      <c r="A1018" s="63" t="str">
        <f t="shared" si="103"/>
        <v>R019</v>
      </c>
      <c r="B1018" s="64">
        <f>$A$1429</f>
        <v>45536</v>
      </c>
      <c r="C1018" s="63" t="str">
        <f t="shared" si="104"/>
        <v>Mid-Market AE</v>
      </c>
      <c r="D1018" s="62">
        <f>SUMIFS(Fact_Quota!$D:$D,Fact_Quota!$A:$A,$A1018,Fact_Quota!$B:$B,"&gt;="&amp;B1018,Fact_Quota!$B:$B,"&lt;"&amp;EDATE(B1018,1))</f>
        <v>0</v>
      </c>
      <c r="E1018" s="62">
        <f>SUMIFS(Fact_Pipeline!$K:$K,Fact_Pipeline!$B:$B,$A1018,Fact_Pipeline!$J:$J,"Won",Fact_Pipeline!$I:$I,"&gt;="&amp;B1018,Fact_Pipeline!$I:$I,"&lt;"&amp;EDATE(B1018,1))</f>
        <v>0</v>
      </c>
      <c r="F1018" s="63" t="b">
        <f>AND(D1018&gt;0,IFERROR(E1018/D1018&gt;=G6,FALSE()))</f>
        <v>0</v>
      </c>
      <c r="G1018" s="62">
        <f t="shared" si="101"/>
        <v>0</v>
      </c>
      <c r="H1018" s="62">
        <f>IF(F1018,MAX(0,MIN(E1018,I6*D1018)-D1018)*IFERROR(INDEX($C$158:$C$161,MATCH(C1018,$A$158:$A$161,0)),0),0)</f>
        <v>0</v>
      </c>
      <c r="I1018" s="62">
        <f>IF(F1018,MAX(0,E1018-I6*D1018)*IFERROR(INDEX($D$158:$D$161,MATCH(C1018,$A$158:$A$161,0)),0),0)</f>
        <v>0</v>
      </c>
      <c r="J1018" s="62">
        <f t="shared" si="102"/>
        <v>0</v>
      </c>
    </row>
    <row r="1019" spans="1:10" ht="15" customHeight="1" outlineLevel="1" x14ac:dyDescent="0.2">
      <c r="A1019" s="63" t="str">
        <f t="shared" si="103"/>
        <v>R019</v>
      </c>
      <c r="B1019" s="64">
        <f>$A$1430</f>
        <v>45566</v>
      </c>
      <c r="C1019" s="63" t="str">
        <f t="shared" si="104"/>
        <v>Mid-Market AE</v>
      </c>
      <c r="D1019" s="62">
        <f>SUMIFS(Fact_Quota!$D:$D,Fact_Quota!$A:$A,$A1019,Fact_Quota!$B:$B,"&gt;="&amp;B1019,Fact_Quota!$B:$B,"&lt;"&amp;EDATE(B1019,1))</f>
        <v>0</v>
      </c>
      <c r="E1019" s="62">
        <f>SUMIFS(Fact_Pipeline!$K:$K,Fact_Pipeline!$B:$B,$A1019,Fact_Pipeline!$J:$J,"Won",Fact_Pipeline!$I:$I,"&gt;="&amp;B1019,Fact_Pipeline!$I:$I,"&lt;"&amp;EDATE(B1019,1))</f>
        <v>0</v>
      </c>
      <c r="F1019" s="63" t="b">
        <f>AND(D1019&gt;0,IFERROR(E1019/D1019&gt;=G6,FALSE()))</f>
        <v>0</v>
      </c>
      <c r="G1019" s="62">
        <f t="shared" si="101"/>
        <v>0</v>
      </c>
      <c r="H1019" s="62">
        <f>IF(F1019,MAX(0,MIN(E1019,I6*D1019)-D1019)*IFERROR(INDEX($C$158:$C$161,MATCH(C1019,$A$158:$A$161,0)),0),0)</f>
        <v>0</v>
      </c>
      <c r="I1019" s="62">
        <f>IF(F1019,MAX(0,E1019-I6*D1019)*IFERROR(INDEX($D$158:$D$161,MATCH(C1019,$A$158:$A$161,0)),0),0)</f>
        <v>0</v>
      </c>
      <c r="J1019" s="62">
        <f t="shared" si="102"/>
        <v>0</v>
      </c>
    </row>
    <row r="1020" spans="1:10" ht="15" customHeight="1" outlineLevel="1" x14ac:dyDescent="0.2">
      <c r="A1020" s="63" t="str">
        <f t="shared" si="103"/>
        <v>R019</v>
      </c>
      <c r="B1020" s="64">
        <f>$A$1431</f>
        <v>45597</v>
      </c>
      <c r="C1020" s="63" t="str">
        <f t="shared" si="104"/>
        <v>Mid-Market AE</v>
      </c>
      <c r="D1020" s="62">
        <f>SUMIFS(Fact_Quota!$D:$D,Fact_Quota!$A:$A,$A1020,Fact_Quota!$B:$B,"&gt;="&amp;B1020,Fact_Quota!$B:$B,"&lt;"&amp;EDATE(B1020,1))</f>
        <v>0</v>
      </c>
      <c r="E1020" s="62">
        <f>SUMIFS(Fact_Pipeline!$K:$K,Fact_Pipeline!$B:$B,$A1020,Fact_Pipeline!$J:$J,"Won",Fact_Pipeline!$I:$I,"&gt;="&amp;B1020,Fact_Pipeline!$I:$I,"&lt;"&amp;EDATE(B1020,1))</f>
        <v>0</v>
      </c>
      <c r="F1020" s="63" t="b">
        <f>AND(D1020&gt;0,IFERROR(E1020/D1020&gt;=G6,FALSE()))</f>
        <v>0</v>
      </c>
      <c r="G1020" s="62">
        <f t="shared" si="101"/>
        <v>0</v>
      </c>
      <c r="H1020" s="62">
        <f>IF(F1020,MAX(0,MIN(E1020,I6*D1020)-D1020)*IFERROR(INDEX($C$158:$C$161,MATCH(C1020,$A$158:$A$161,0)),0),0)</f>
        <v>0</v>
      </c>
      <c r="I1020" s="62">
        <f>IF(F1020,MAX(0,E1020-I6*D1020)*IFERROR(INDEX($D$158:$D$161,MATCH(C1020,$A$158:$A$161,0)),0),0)</f>
        <v>0</v>
      </c>
      <c r="J1020" s="62">
        <f t="shared" si="102"/>
        <v>0</v>
      </c>
    </row>
    <row r="1021" spans="1:10" ht="15" customHeight="1" outlineLevel="1" x14ac:dyDescent="0.2">
      <c r="A1021" s="63" t="str">
        <f t="shared" si="103"/>
        <v>R019</v>
      </c>
      <c r="B1021" s="64">
        <f>$A$1432</f>
        <v>45627</v>
      </c>
      <c r="C1021" s="63" t="str">
        <f t="shared" si="104"/>
        <v>Mid-Market AE</v>
      </c>
      <c r="D1021" s="62">
        <f>SUMIFS(Fact_Quota!$D:$D,Fact_Quota!$A:$A,$A1021,Fact_Quota!$B:$B,"&gt;="&amp;B1021,Fact_Quota!$B:$B,"&lt;"&amp;EDATE(B1021,1))</f>
        <v>0</v>
      </c>
      <c r="E1021" s="62">
        <f>SUMIFS(Fact_Pipeline!$K:$K,Fact_Pipeline!$B:$B,$A1021,Fact_Pipeline!$J:$J,"Won",Fact_Pipeline!$I:$I,"&gt;="&amp;B1021,Fact_Pipeline!$I:$I,"&lt;"&amp;EDATE(B1021,1))</f>
        <v>0</v>
      </c>
      <c r="F1021" s="63" t="b">
        <f>AND(D1021&gt;0,IFERROR(E1021/D1021&gt;=G6,FALSE()))</f>
        <v>0</v>
      </c>
      <c r="G1021" s="62">
        <f t="shared" si="101"/>
        <v>0</v>
      </c>
      <c r="H1021" s="62">
        <f>IF(F1021,MAX(0,MIN(E1021,I6*D1021)-D1021)*IFERROR(INDEX($C$158:$C$161,MATCH(C1021,$A$158:$A$161,0)),0),0)</f>
        <v>0</v>
      </c>
      <c r="I1021" s="62">
        <f>IF(F1021,MAX(0,E1021-I6*D1021)*IFERROR(INDEX($D$158:$D$161,MATCH(C1021,$A$158:$A$161,0)),0),0)</f>
        <v>0</v>
      </c>
      <c r="J1021" s="62">
        <f t="shared" si="102"/>
        <v>0</v>
      </c>
    </row>
    <row r="1022" spans="1:10" ht="15" customHeight="1" outlineLevel="1" x14ac:dyDescent="0.2">
      <c r="A1022" s="63" t="str">
        <f t="shared" si="103"/>
        <v>R019</v>
      </c>
      <c r="B1022" s="64">
        <f>$A$1433</f>
        <v>45658</v>
      </c>
      <c r="C1022" s="63" t="str">
        <f t="shared" si="104"/>
        <v>Mid-Market AE</v>
      </c>
      <c r="D1022" s="62">
        <f>SUMIFS(Fact_Quota!$D:$D,Fact_Quota!$A:$A,$A1022,Fact_Quota!$B:$B,"&gt;="&amp;B1022,Fact_Quota!$B:$B,"&lt;"&amp;EDATE(B1022,1))</f>
        <v>0</v>
      </c>
      <c r="E1022" s="62">
        <f>SUMIFS(Fact_Pipeline!$K:$K,Fact_Pipeline!$B:$B,$A1022,Fact_Pipeline!$J:$J,"Won",Fact_Pipeline!$I:$I,"&gt;="&amp;B1022,Fact_Pipeline!$I:$I,"&lt;"&amp;EDATE(B1022,1))</f>
        <v>0</v>
      </c>
      <c r="F1022" s="63" t="b">
        <f>AND(D1022&gt;0,IFERROR(E1022/D1022&gt;=G6,FALSE()))</f>
        <v>0</v>
      </c>
      <c r="G1022" s="62">
        <f t="shared" si="101"/>
        <v>0</v>
      </c>
      <c r="H1022" s="62">
        <f>IF(F1022,MAX(0,MIN(E1022,I6*D1022)-D1022)*IFERROR(INDEX($C$158:$C$161,MATCH(C1022,$A$158:$A$161,0)),0),0)</f>
        <v>0</v>
      </c>
      <c r="I1022" s="62">
        <f>IF(F1022,MAX(0,E1022-I6*D1022)*IFERROR(INDEX($D$158:$D$161,MATCH(C1022,$A$158:$A$161,0)),0),0)</f>
        <v>0</v>
      </c>
      <c r="J1022" s="62">
        <f t="shared" si="102"/>
        <v>0</v>
      </c>
    </row>
    <row r="1023" spans="1:10" ht="15" customHeight="1" outlineLevel="1" x14ac:dyDescent="0.2">
      <c r="A1023" s="63" t="str">
        <f t="shared" si="103"/>
        <v>R019</v>
      </c>
      <c r="B1023" s="64">
        <f>$A$1434</f>
        <v>45689</v>
      </c>
      <c r="C1023" s="63" t="str">
        <f t="shared" si="104"/>
        <v>Mid-Market AE</v>
      </c>
      <c r="D1023" s="62">
        <f>SUMIFS(Fact_Quota!$D:$D,Fact_Quota!$A:$A,$A1023,Fact_Quota!$B:$B,"&gt;="&amp;B1023,Fact_Quota!$B:$B,"&lt;"&amp;EDATE(B1023,1))</f>
        <v>0</v>
      </c>
      <c r="E1023" s="62">
        <f>SUMIFS(Fact_Pipeline!$K:$K,Fact_Pipeline!$B:$B,$A1023,Fact_Pipeline!$J:$J,"Won",Fact_Pipeline!$I:$I,"&gt;="&amp;B1023,Fact_Pipeline!$I:$I,"&lt;"&amp;EDATE(B1023,1))</f>
        <v>0</v>
      </c>
      <c r="F1023" s="63" t="b">
        <f>AND(D1023&gt;0,IFERROR(E1023/D1023&gt;=G6,FALSE()))</f>
        <v>0</v>
      </c>
      <c r="G1023" s="62">
        <f t="shared" si="101"/>
        <v>0</v>
      </c>
      <c r="H1023" s="62">
        <f>IF(F1023,MAX(0,MIN(E1023,I6*D1023)-D1023)*IFERROR(INDEX($C$158:$C$161,MATCH(C1023,$A$158:$A$161,0)),0),0)</f>
        <v>0</v>
      </c>
      <c r="I1023" s="62">
        <f>IF(F1023,MAX(0,E1023-I6*D1023)*IFERROR(INDEX($D$158:$D$161,MATCH(C1023,$A$158:$A$161,0)),0),0)</f>
        <v>0</v>
      </c>
      <c r="J1023" s="62">
        <f t="shared" si="102"/>
        <v>0</v>
      </c>
    </row>
    <row r="1024" spans="1:10" ht="15" customHeight="1" outlineLevel="1" x14ac:dyDescent="0.2">
      <c r="A1024" s="63" t="str">
        <f t="shared" si="103"/>
        <v>R019</v>
      </c>
      <c r="B1024" s="64">
        <f>$A$1435</f>
        <v>45717</v>
      </c>
      <c r="C1024" s="63" t="str">
        <f t="shared" si="104"/>
        <v>Mid-Market AE</v>
      </c>
      <c r="D1024" s="62">
        <f>SUMIFS(Fact_Quota!$D:$D,Fact_Quota!$A:$A,$A1024,Fact_Quota!$B:$B,"&gt;="&amp;B1024,Fact_Quota!$B:$B,"&lt;"&amp;EDATE(B1024,1))</f>
        <v>0</v>
      </c>
      <c r="E1024" s="62">
        <f>SUMIFS(Fact_Pipeline!$K:$K,Fact_Pipeline!$B:$B,$A1024,Fact_Pipeline!$J:$J,"Won",Fact_Pipeline!$I:$I,"&gt;="&amp;B1024,Fact_Pipeline!$I:$I,"&lt;"&amp;EDATE(B1024,1))</f>
        <v>0</v>
      </c>
      <c r="F1024" s="63" t="b">
        <f>AND(D1024&gt;0,IFERROR(E1024/D1024&gt;=G6,FALSE()))</f>
        <v>0</v>
      </c>
      <c r="G1024" s="62">
        <f t="shared" si="101"/>
        <v>0</v>
      </c>
      <c r="H1024" s="62">
        <f>IF(F1024,MAX(0,MIN(E1024,I6*D1024)-D1024)*IFERROR(INDEX($C$158:$C$161,MATCH(C1024,$A$158:$A$161,0)),0),0)</f>
        <v>0</v>
      </c>
      <c r="I1024" s="62">
        <f>IF(F1024,MAX(0,E1024-I6*D1024)*IFERROR(INDEX($D$158:$D$161,MATCH(C1024,$A$158:$A$161,0)),0),0)</f>
        <v>0</v>
      </c>
      <c r="J1024" s="62">
        <f t="shared" si="102"/>
        <v>0</v>
      </c>
    </row>
    <row r="1025" spans="1:10" ht="15" customHeight="1" outlineLevel="1" x14ac:dyDescent="0.2">
      <c r="A1025" s="63" t="str">
        <f t="shared" si="103"/>
        <v>R019</v>
      </c>
      <c r="B1025" s="64">
        <f>$A$1436</f>
        <v>45748</v>
      </c>
      <c r="C1025" s="63" t="str">
        <f t="shared" si="104"/>
        <v>Mid-Market AE</v>
      </c>
      <c r="D1025" s="62">
        <f>SUMIFS(Fact_Quota!$D:$D,Fact_Quota!$A:$A,$A1025,Fact_Quota!$B:$B,"&gt;="&amp;B1025,Fact_Quota!$B:$B,"&lt;"&amp;EDATE(B1025,1))</f>
        <v>0</v>
      </c>
      <c r="E1025" s="62">
        <f>SUMIFS(Fact_Pipeline!$K:$K,Fact_Pipeline!$B:$B,$A1025,Fact_Pipeline!$J:$J,"Won",Fact_Pipeline!$I:$I,"&gt;="&amp;B1025,Fact_Pipeline!$I:$I,"&lt;"&amp;EDATE(B1025,1))</f>
        <v>0</v>
      </c>
      <c r="F1025" s="63" t="b">
        <f>AND(D1025&gt;0,IFERROR(E1025/D1025&gt;=G6,FALSE()))</f>
        <v>0</v>
      </c>
      <c r="G1025" s="62">
        <f t="shared" si="101"/>
        <v>0</v>
      </c>
      <c r="H1025" s="62">
        <f>IF(F1025,MAX(0,MIN(E1025,I6*D1025)-D1025)*IFERROR(INDEX($C$158:$C$161,MATCH(C1025,$A$158:$A$161,0)),0),0)</f>
        <v>0</v>
      </c>
      <c r="I1025" s="62">
        <f>IF(F1025,MAX(0,E1025-I6*D1025)*IFERROR(INDEX($D$158:$D$161,MATCH(C1025,$A$158:$A$161,0)),0),0)</f>
        <v>0</v>
      </c>
      <c r="J1025" s="62">
        <f t="shared" si="102"/>
        <v>0</v>
      </c>
    </row>
    <row r="1026" spans="1:10" ht="15" customHeight="1" outlineLevel="1" x14ac:dyDescent="0.2">
      <c r="A1026" s="63" t="str">
        <f t="shared" si="103"/>
        <v>R019</v>
      </c>
      <c r="B1026" s="64">
        <f>$A$1437</f>
        <v>45778</v>
      </c>
      <c r="C1026" s="63" t="str">
        <f t="shared" si="104"/>
        <v>Mid-Market AE</v>
      </c>
      <c r="D1026" s="62">
        <f>SUMIFS(Fact_Quota!$D:$D,Fact_Quota!$A:$A,$A1026,Fact_Quota!$B:$B,"&gt;="&amp;B1026,Fact_Quota!$B:$B,"&lt;"&amp;EDATE(B1026,1))</f>
        <v>0</v>
      </c>
      <c r="E1026" s="62">
        <f>SUMIFS(Fact_Pipeline!$K:$K,Fact_Pipeline!$B:$B,$A1026,Fact_Pipeline!$J:$J,"Won",Fact_Pipeline!$I:$I,"&gt;="&amp;B1026,Fact_Pipeline!$I:$I,"&lt;"&amp;EDATE(B1026,1))</f>
        <v>0</v>
      </c>
      <c r="F1026" s="63" t="b">
        <f>AND(D1026&gt;0,IFERROR(E1026/D1026&gt;=G6,FALSE()))</f>
        <v>0</v>
      </c>
      <c r="G1026" s="62">
        <f t="shared" si="101"/>
        <v>0</v>
      </c>
      <c r="H1026" s="62">
        <f>IF(F1026,MAX(0,MIN(E1026,I6*D1026)-D1026)*IFERROR(INDEX($C$158:$C$161,MATCH(C1026,$A$158:$A$161,0)),0),0)</f>
        <v>0</v>
      </c>
      <c r="I1026" s="62">
        <f>IF(F1026,MAX(0,E1026-I6*D1026)*IFERROR(INDEX($D$158:$D$161,MATCH(C1026,$A$158:$A$161,0)),0),0)</f>
        <v>0</v>
      </c>
      <c r="J1026" s="62">
        <f t="shared" si="102"/>
        <v>0</v>
      </c>
    </row>
    <row r="1027" spans="1:10" ht="15" customHeight="1" outlineLevel="1" x14ac:dyDescent="0.2">
      <c r="A1027" s="63" t="str">
        <f t="shared" si="103"/>
        <v>R019</v>
      </c>
      <c r="B1027" s="64">
        <f>$A$1438</f>
        <v>45809</v>
      </c>
      <c r="C1027" s="63" t="str">
        <f t="shared" si="104"/>
        <v>Mid-Market AE</v>
      </c>
      <c r="D1027" s="62">
        <f>SUMIFS(Fact_Quota!$D:$D,Fact_Quota!$A:$A,$A1027,Fact_Quota!$B:$B,"&gt;="&amp;B1027,Fact_Quota!$B:$B,"&lt;"&amp;EDATE(B1027,1))</f>
        <v>0</v>
      </c>
      <c r="E1027" s="62">
        <f>SUMIFS(Fact_Pipeline!$K:$K,Fact_Pipeline!$B:$B,$A1027,Fact_Pipeline!$J:$J,"Won",Fact_Pipeline!$I:$I,"&gt;="&amp;B1027,Fact_Pipeline!$I:$I,"&lt;"&amp;EDATE(B1027,1))</f>
        <v>0</v>
      </c>
      <c r="F1027" s="63" t="b">
        <f>AND(D1027&gt;0,IFERROR(E1027/D1027&gt;=G6,FALSE()))</f>
        <v>0</v>
      </c>
      <c r="G1027" s="62">
        <f t="shared" si="101"/>
        <v>0</v>
      </c>
      <c r="H1027" s="62">
        <f>IF(F1027,MAX(0,MIN(E1027,I6*D1027)-D1027)*IFERROR(INDEX($C$158:$C$161,MATCH(C1027,$A$158:$A$161,0)),0),0)</f>
        <v>0</v>
      </c>
      <c r="I1027" s="62">
        <f>IF(F1027,MAX(0,E1027-I6*D1027)*IFERROR(INDEX($D$158:$D$161,MATCH(C1027,$A$158:$A$161,0)),0),0)</f>
        <v>0</v>
      </c>
      <c r="J1027" s="62">
        <f t="shared" si="102"/>
        <v>0</v>
      </c>
    </row>
    <row r="1028" spans="1:10" ht="15" customHeight="1" outlineLevel="1" x14ac:dyDescent="0.2">
      <c r="A1028" s="63" t="str">
        <f t="shared" si="103"/>
        <v>R019</v>
      </c>
      <c r="B1028" s="64">
        <f>$A$1439</f>
        <v>45839</v>
      </c>
      <c r="C1028" s="63" t="str">
        <f t="shared" si="104"/>
        <v>Mid-Market AE</v>
      </c>
      <c r="D1028" s="62">
        <f>SUMIFS(Fact_Quota!$D:$D,Fact_Quota!$A:$A,$A1028,Fact_Quota!$B:$B,"&gt;="&amp;B1028,Fact_Quota!$B:$B,"&lt;"&amp;EDATE(B1028,1))</f>
        <v>0</v>
      </c>
      <c r="E1028" s="62">
        <f>SUMIFS(Fact_Pipeline!$K:$K,Fact_Pipeline!$B:$B,$A1028,Fact_Pipeline!$J:$J,"Won",Fact_Pipeline!$I:$I,"&gt;="&amp;B1028,Fact_Pipeline!$I:$I,"&lt;"&amp;EDATE(B1028,1))</f>
        <v>0</v>
      </c>
      <c r="F1028" s="63" t="b">
        <f>AND(D1028&gt;0,IFERROR(E1028/D1028&gt;=G6,FALSE()))</f>
        <v>0</v>
      </c>
      <c r="G1028" s="62">
        <f t="shared" si="101"/>
        <v>0</v>
      </c>
      <c r="H1028" s="62">
        <f>IF(F1028,MAX(0,MIN(E1028,I6*D1028)-D1028)*IFERROR(INDEX($C$158:$C$161,MATCH(C1028,$A$158:$A$161,0)),0),0)</f>
        <v>0</v>
      </c>
      <c r="I1028" s="62">
        <f>IF(F1028,MAX(0,E1028-I6*D1028)*IFERROR(INDEX($D$158:$D$161,MATCH(C1028,$A$158:$A$161,0)),0),0)</f>
        <v>0</v>
      </c>
      <c r="J1028" s="62">
        <f t="shared" si="102"/>
        <v>0</v>
      </c>
    </row>
    <row r="1029" spans="1:10" ht="15" customHeight="1" outlineLevel="1" x14ac:dyDescent="0.2">
      <c r="A1029" s="63" t="str">
        <f t="shared" si="103"/>
        <v>R019</v>
      </c>
      <c r="B1029" s="64">
        <f>$A$1440</f>
        <v>45870</v>
      </c>
      <c r="C1029" s="63" t="str">
        <f t="shared" si="104"/>
        <v>Mid-Market AE</v>
      </c>
      <c r="D1029" s="62">
        <f>SUMIFS(Fact_Quota!$D:$D,Fact_Quota!$A:$A,$A1029,Fact_Quota!$B:$B,"&gt;="&amp;B1029,Fact_Quota!$B:$B,"&lt;"&amp;EDATE(B1029,1))</f>
        <v>0</v>
      </c>
      <c r="E1029" s="62">
        <f>SUMIFS(Fact_Pipeline!$K:$K,Fact_Pipeline!$B:$B,$A1029,Fact_Pipeline!$J:$J,"Won",Fact_Pipeline!$I:$I,"&gt;="&amp;B1029,Fact_Pipeline!$I:$I,"&lt;"&amp;EDATE(B1029,1))</f>
        <v>0</v>
      </c>
      <c r="F1029" s="63" t="b">
        <f>AND(D1029&gt;0,IFERROR(E1029/D1029&gt;=G6,FALSE()))</f>
        <v>0</v>
      </c>
      <c r="G1029" s="62">
        <f t="shared" si="101"/>
        <v>0</v>
      </c>
      <c r="H1029" s="62">
        <f>IF(F1029,MAX(0,MIN(E1029,I6*D1029)-D1029)*IFERROR(INDEX($C$158:$C$161,MATCH(C1029,$A$158:$A$161,0)),0),0)</f>
        <v>0</v>
      </c>
      <c r="I1029" s="62">
        <f>IF(F1029,MAX(0,E1029-I6*D1029)*IFERROR(INDEX($D$158:$D$161,MATCH(C1029,$A$158:$A$161,0)),0),0)</f>
        <v>0</v>
      </c>
      <c r="J1029" s="62">
        <f t="shared" si="102"/>
        <v>0</v>
      </c>
    </row>
    <row r="1030" spans="1:10" ht="15" customHeight="1" outlineLevel="1" x14ac:dyDescent="0.2">
      <c r="A1030" s="63" t="str">
        <f t="shared" si="103"/>
        <v>R019</v>
      </c>
      <c r="B1030" s="64">
        <f>$A$1441</f>
        <v>45901</v>
      </c>
      <c r="C1030" s="63" t="str">
        <f t="shared" si="104"/>
        <v>Mid-Market AE</v>
      </c>
      <c r="D1030" s="62">
        <f>SUMIFS(Fact_Quota!$D:$D,Fact_Quota!$A:$A,$A1030,Fact_Quota!$B:$B,"&gt;="&amp;B1030,Fact_Quota!$B:$B,"&lt;"&amp;EDATE(B1030,1))</f>
        <v>0</v>
      </c>
      <c r="E1030" s="62">
        <f>SUMIFS(Fact_Pipeline!$K:$K,Fact_Pipeline!$B:$B,$A1030,Fact_Pipeline!$J:$J,"Won",Fact_Pipeline!$I:$I,"&gt;="&amp;B1030,Fact_Pipeline!$I:$I,"&lt;"&amp;EDATE(B1030,1))</f>
        <v>0</v>
      </c>
      <c r="F1030" s="63" t="b">
        <f>AND(D1030&gt;0,IFERROR(E1030/D1030&gt;=G6,FALSE()))</f>
        <v>0</v>
      </c>
      <c r="G1030" s="62">
        <f t="shared" si="101"/>
        <v>0</v>
      </c>
      <c r="H1030" s="62">
        <f>IF(F1030,MAX(0,MIN(E1030,I6*D1030)-D1030)*IFERROR(INDEX($C$158:$C$161,MATCH(C1030,$A$158:$A$161,0)),0),0)</f>
        <v>0</v>
      </c>
      <c r="I1030" s="62">
        <f>IF(F1030,MAX(0,E1030-I6*D1030)*IFERROR(INDEX($D$158:$D$161,MATCH(C1030,$A$158:$A$161,0)),0),0)</f>
        <v>0</v>
      </c>
      <c r="J1030" s="62">
        <f t="shared" si="102"/>
        <v>0</v>
      </c>
    </row>
    <row r="1031" spans="1:10" ht="15" customHeight="1" outlineLevel="1" x14ac:dyDescent="0.2">
      <c r="A1031" s="63" t="str">
        <f t="shared" si="103"/>
        <v>R019</v>
      </c>
      <c r="B1031" s="64">
        <f>$A$1442</f>
        <v>45931</v>
      </c>
      <c r="C1031" s="63" t="str">
        <f t="shared" si="104"/>
        <v>Mid-Market AE</v>
      </c>
      <c r="D1031" s="62">
        <f>SUMIFS(Fact_Quota!$D:$D,Fact_Quota!$A:$A,$A1031,Fact_Quota!$B:$B,"&gt;="&amp;B1031,Fact_Quota!$B:$B,"&lt;"&amp;EDATE(B1031,1))</f>
        <v>0</v>
      </c>
      <c r="E1031" s="62">
        <f>SUMIFS(Fact_Pipeline!$K:$K,Fact_Pipeline!$B:$B,$A1031,Fact_Pipeline!$J:$J,"Won",Fact_Pipeline!$I:$I,"&gt;="&amp;B1031,Fact_Pipeline!$I:$I,"&lt;"&amp;EDATE(B1031,1))</f>
        <v>0</v>
      </c>
      <c r="F1031" s="63" t="b">
        <f>AND(D1031&gt;0,IFERROR(E1031/D1031&gt;=G6,FALSE()))</f>
        <v>0</v>
      </c>
      <c r="G1031" s="62">
        <f t="shared" si="101"/>
        <v>0</v>
      </c>
      <c r="H1031" s="62">
        <f>IF(F1031,MAX(0,MIN(E1031,I6*D1031)-D1031)*IFERROR(INDEX($C$158:$C$161,MATCH(C1031,$A$158:$A$161,0)),0),0)</f>
        <v>0</v>
      </c>
      <c r="I1031" s="62">
        <f>IF(F1031,MAX(0,E1031-I6*D1031)*IFERROR(INDEX($D$158:$D$161,MATCH(C1031,$A$158:$A$161,0)),0),0)</f>
        <v>0</v>
      </c>
      <c r="J1031" s="62">
        <f t="shared" si="102"/>
        <v>0</v>
      </c>
    </row>
    <row r="1032" spans="1:10" ht="15" customHeight="1" outlineLevel="1" x14ac:dyDescent="0.2">
      <c r="A1032" s="63" t="str">
        <f t="shared" si="103"/>
        <v>R019</v>
      </c>
      <c r="B1032" s="64">
        <f>$A$1443</f>
        <v>45962</v>
      </c>
      <c r="C1032" s="63" t="str">
        <f t="shared" si="104"/>
        <v>Mid-Market AE</v>
      </c>
      <c r="D1032" s="62">
        <f>SUMIFS(Fact_Quota!$D:$D,Fact_Quota!$A:$A,$A1032,Fact_Quota!$B:$B,"&gt;="&amp;B1032,Fact_Quota!$B:$B,"&lt;"&amp;EDATE(B1032,1))</f>
        <v>0</v>
      </c>
      <c r="E1032" s="62">
        <f>SUMIFS(Fact_Pipeline!$K:$K,Fact_Pipeline!$B:$B,$A1032,Fact_Pipeline!$J:$J,"Won",Fact_Pipeline!$I:$I,"&gt;="&amp;B1032,Fact_Pipeline!$I:$I,"&lt;"&amp;EDATE(B1032,1))</f>
        <v>0</v>
      </c>
      <c r="F1032" s="63" t="b">
        <f>AND(D1032&gt;0,IFERROR(E1032/D1032&gt;=G6,FALSE()))</f>
        <v>0</v>
      </c>
      <c r="G1032" s="62">
        <f t="shared" si="101"/>
        <v>0</v>
      </c>
      <c r="H1032" s="62">
        <f>IF(F1032,MAX(0,MIN(E1032,I6*D1032)-D1032)*IFERROR(INDEX($C$158:$C$161,MATCH(C1032,$A$158:$A$161,0)),0),0)</f>
        <v>0</v>
      </c>
      <c r="I1032" s="62">
        <f>IF(F1032,MAX(0,E1032-I6*D1032)*IFERROR(INDEX($D$158:$D$161,MATCH(C1032,$A$158:$A$161,0)),0),0)</f>
        <v>0</v>
      </c>
      <c r="J1032" s="62">
        <f t="shared" si="102"/>
        <v>0</v>
      </c>
    </row>
    <row r="1033" spans="1:10" ht="15" customHeight="1" outlineLevel="1" x14ac:dyDescent="0.2">
      <c r="A1033" s="63" t="str">
        <f t="shared" si="103"/>
        <v>R019</v>
      </c>
      <c r="B1033" s="64">
        <f>$A$1444</f>
        <v>45992</v>
      </c>
      <c r="C1033" s="63" t="str">
        <f t="shared" si="104"/>
        <v>Mid-Market AE</v>
      </c>
      <c r="D1033" s="62">
        <f>SUMIFS(Fact_Quota!$D:$D,Fact_Quota!$A:$A,$A1033,Fact_Quota!$B:$B,"&gt;="&amp;B1033,Fact_Quota!$B:$B,"&lt;"&amp;EDATE(B1033,1))</f>
        <v>0</v>
      </c>
      <c r="E1033" s="62">
        <f>SUMIFS(Fact_Pipeline!$K:$K,Fact_Pipeline!$B:$B,$A1033,Fact_Pipeline!$J:$J,"Won",Fact_Pipeline!$I:$I,"&gt;="&amp;B1033,Fact_Pipeline!$I:$I,"&lt;"&amp;EDATE(B1033,1))</f>
        <v>0</v>
      </c>
      <c r="F1033" s="63" t="b">
        <f>AND(D1033&gt;0,IFERROR(E1033/D1033&gt;=G6,FALSE()))</f>
        <v>0</v>
      </c>
      <c r="G1033" s="62">
        <f t="shared" si="101"/>
        <v>0</v>
      </c>
      <c r="H1033" s="62">
        <f>IF(F1033,MAX(0,MIN(E1033,I6*D1033)-D1033)*IFERROR(INDEX($C$158:$C$161,MATCH(C1033,$A$158:$A$161,0)),0),0)</f>
        <v>0</v>
      </c>
      <c r="I1033" s="62">
        <f>IF(F1033,MAX(0,E1033-I6*D1033)*IFERROR(INDEX($D$158:$D$161,MATCH(C1033,$A$158:$A$161,0)),0),0)</f>
        <v>0</v>
      </c>
      <c r="J1033" s="62">
        <f t="shared" si="102"/>
        <v>0</v>
      </c>
    </row>
    <row r="1034" spans="1:10" ht="15" customHeight="1" outlineLevel="1" x14ac:dyDescent="0.2">
      <c r="A1034" s="66" t="str">
        <f t="shared" ref="A1034:A1057" si="105">$A$199</f>
        <v>R021</v>
      </c>
      <c r="B1034" s="67">
        <f>$A$1421</f>
        <v>45292</v>
      </c>
      <c r="C1034" s="66" t="str">
        <f t="shared" ref="C1034:C1057" si="106">$C$199</f>
        <v>Mid-Market AE</v>
      </c>
      <c r="D1034" s="65">
        <f>SUMIFS(Fact_Quota!$D:$D,Fact_Quota!$A:$A,$A1034,Fact_Quota!$B:$B,"&gt;="&amp;B1034,Fact_Quota!$B:$B,"&lt;"&amp;EDATE(B1034,1))</f>
        <v>0</v>
      </c>
      <c r="E1034" s="65">
        <f>SUMIFS(Fact_Pipeline!$K:$K,Fact_Pipeline!$B:$B,$A1034,Fact_Pipeline!$J:$J,"Won",Fact_Pipeline!$I:$I,"&gt;="&amp;B1034,Fact_Pipeline!$I:$I,"&lt;"&amp;EDATE(B1034,1))</f>
        <v>0</v>
      </c>
      <c r="F1034" s="66" t="b">
        <f>AND(D1034&gt;0,IFERROR(E1034/D1034&gt;=G6,FALSE()))</f>
        <v>0</v>
      </c>
      <c r="G1034" s="65">
        <f t="shared" si="101"/>
        <v>0</v>
      </c>
      <c r="H1034" s="65">
        <f>IF(F1034,MAX(0,MIN(E1034,I6*D1034)-D1034)*IFERROR(INDEX($C$158:$C$161,MATCH(C1034,$A$158:$A$161,0)),0),0)</f>
        <v>0</v>
      </c>
      <c r="I1034" s="65">
        <f>IF(F1034,MAX(0,E1034-I6*D1034)*IFERROR(INDEX($D$158:$D$161,MATCH(C1034,$A$158:$A$161,0)),0),0)</f>
        <v>0</v>
      </c>
      <c r="J1034" s="65">
        <f t="shared" si="102"/>
        <v>0</v>
      </c>
    </row>
    <row r="1035" spans="1:10" ht="15" customHeight="1" outlineLevel="1" x14ac:dyDescent="0.2">
      <c r="A1035" s="66" t="str">
        <f t="shared" si="105"/>
        <v>R021</v>
      </c>
      <c r="B1035" s="67">
        <f>$A$1422</f>
        <v>45323</v>
      </c>
      <c r="C1035" s="66" t="str">
        <f t="shared" si="106"/>
        <v>Mid-Market AE</v>
      </c>
      <c r="D1035" s="65">
        <f>SUMIFS(Fact_Quota!$D:$D,Fact_Quota!$A:$A,$A1035,Fact_Quota!$B:$B,"&gt;="&amp;B1035,Fact_Quota!$B:$B,"&lt;"&amp;EDATE(B1035,1))</f>
        <v>0</v>
      </c>
      <c r="E1035" s="65">
        <f>SUMIFS(Fact_Pipeline!$K:$K,Fact_Pipeline!$B:$B,$A1035,Fact_Pipeline!$J:$J,"Won",Fact_Pipeline!$I:$I,"&gt;="&amp;B1035,Fact_Pipeline!$I:$I,"&lt;"&amp;EDATE(B1035,1))</f>
        <v>0</v>
      </c>
      <c r="F1035" s="66" t="b">
        <f>AND(D1035&gt;0,IFERROR(E1035/D1035&gt;=G6,FALSE()))</f>
        <v>0</v>
      </c>
      <c r="G1035" s="65">
        <f t="shared" si="101"/>
        <v>0</v>
      </c>
      <c r="H1035" s="65">
        <f>IF(F1035,MAX(0,MIN(E1035,I6*D1035)-D1035)*IFERROR(INDEX($C$158:$C$161,MATCH(C1035,$A$158:$A$161,0)),0),0)</f>
        <v>0</v>
      </c>
      <c r="I1035" s="65">
        <f>IF(F1035,MAX(0,E1035-I6*D1035)*IFERROR(INDEX($D$158:$D$161,MATCH(C1035,$A$158:$A$161,0)),0),0)</f>
        <v>0</v>
      </c>
      <c r="J1035" s="65">
        <f t="shared" si="102"/>
        <v>0</v>
      </c>
    </row>
    <row r="1036" spans="1:10" ht="15" customHeight="1" outlineLevel="1" x14ac:dyDescent="0.2">
      <c r="A1036" s="66" t="str">
        <f t="shared" si="105"/>
        <v>R021</v>
      </c>
      <c r="B1036" s="67">
        <f>$A$1423</f>
        <v>45352</v>
      </c>
      <c r="C1036" s="66" t="str">
        <f t="shared" si="106"/>
        <v>Mid-Market AE</v>
      </c>
      <c r="D1036" s="65">
        <f>SUMIFS(Fact_Quota!$D:$D,Fact_Quota!$A:$A,$A1036,Fact_Quota!$B:$B,"&gt;="&amp;B1036,Fact_Quota!$B:$B,"&lt;"&amp;EDATE(B1036,1))</f>
        <v>0</v>
      </c>
      <c r="E1036" s="65">
        <f>SUMIFS(Fact_Pipeline!$K:$K,Fact_Pipeline!$B:$B,$A1036,Fact_Pipeline!$J:$J,"Won",Fact_Pipeline!$I:$I,"&gt;="&amp;B1036,Fact_Pipeline!$I:$I,"&lt;"&amp;EDATE(B1036,1))</f>
        <v>0</v>
      </c>
      <c r="F1036" s="66" t="b">
        <f>AND(D1036&gt;0,IFERROR(E1036/D1036&gt;=G6,FALSE()))</f>
        <v>0</v>
      </c>
      <c r="G1036" s="65">
        <f t="shared" si="101"/>
        <v>0</v>
      </c>
      <c r="H1036" s="65">
        <f>IF(F1036,MAX(0,MIN(E1036,I6*D1036)-D1036)*IFERROR(INDEX($C$158:$C$161,MATCH(C1036,$A$158:$A$161,0)),0),0)</f>
        <v>0</v>
      </c>
      <c r="I1036" s="65">
        <f>IF(F1036,MAX(0,E1036-I6*D1036)*IFERROR(INDEX($D$158:$D$161,MATCH(C1036,$A$158:$A$161,0)),0),0)</f>
        <v>0</v>
      </c>
      <c r="J1036" s="65">
        <f t="shared" si="102"/>
        <v>0</v>
      </c>
    </row>
    <row r="1037" spans="1:10" ht="15" customHeight="1" outlineLevel="1" x14ac:dyDescent="0.2">
      <c r="A1037" s="66" t="str">
        <f t="shared" si="105"/>
        <v>R021</v>
      </c>
      <c r="B1037" s="67">
        <f>$A$1424</f>
        <v>45383</v>
      </c>
      <c r="C1037" s="66" t="str">
        <f t="shared" si="106"/>
        <v>Mid-Market AE</v>
      </c>
      <c r="D1037" s="65">
        <f>SUMIFS(Fact_Quota!$D:$D,Fact_Quota!$A:$A,$A1037,Fact_Quota!$B:$B,"&gt;="&amp;B1037,Fact_Quota!$B:$B,"&lt;"&amp;EDATE(B1037,1))</f>
        <v>0</v>
      </c>
      <c r="E1037" s="65">
        <f>SUMIFS(Fact_Pipeline!$K:$K,Fact_Pipeline!$B:$B,$A1037,Fact_Pipeline!$J:$J,"Won",Fact_Pipeline!$I:$I,"&gt;="&amp;B1037,Fact_Pipeline!$I:$I,"&lt;"&amp;EDATE(B1037,1))</f>
        <v>0</v>
      </c>
      <c r="F1037" s="66" t="b">
        <f>AND(D1037&gt;0,IFERROR(E1037/D1037&gt;=G6,FALSE()))</f>
        <v>0</v>
      </c>
      <c r="G1037" s="65">
        <f t="shared" si="101"/>
        <v>0</v>
      </c>
      <c r="H1037" s="65">
        <f>IF(F1037,MAX(0,MIN(E1037,I6*D1037)-D1037)*IFERROR(INDEX($C$158:$C$161,MATCH(C1037,$A$158:$A$161,0)),0),0)</f>
        <v>0</v>
      </c>
      <c r="I1037" s="65">
        <f>IF(F1037,MAX(0,E1037-I6*D1037)*IFERROR(INDEX($D$158:$D$161,MATCH(C1037,$A$158:$A$161,0)),0),0)</f>
        <v>0</v>
      </c>
      <c r="J1037" s="65">
        <f t="shared" si="102"/>
        <v>0</v>
      </c>
    </row>
    <row r="1038" spans="1:10" ht="15" customHeight="1" outlineLevel="1" x14ac:dyDescent="0.2">
      <c r="A1038" s="66" t="str">
        <f t="shared" si="105"/>
        <v>R021</v>
      </c>
      <c r="B1038" s="67">
        <f>$A$1425</f>
        <v>45413</v>
      </c>
      <c r="C1038" s="66" t="str">
        <f t="shared" si="106"/>
        <v>Mid-Market AE</v>
      </c>
      <c r="D1038" s="65">
        <f>SUMIFS(Fact_Quota!$D:$D,Fact_Quota!$A:$A,$A1038,Fact_Quota!$B:$B,"&gt;="&amp;B1038,Fact_Quota!$B:$B,"&lt;"&amp;EDATE(B1038,1))</f>
        <v>0</v>
      </c>
      <c r="E1038" s="65">
        <f>SUMIFS(Fact_Pipeline!$K:$K,Fact_Pipeline!$B:$B,$A1038,Fact_Pipeline!$J:$J,"Won",Fact_Pipeline!$I:$I,"&gt;="&amp;B1038,Fact_Pipeline!$I:$I,"&lt;"&amp;EDATE(B1038,1))</f>
        <v>0</v>
      </c>
      <c r="F1038" s="66" t="b">
        <f>AND(D1038&gt;0,IFERROR(E1038/D1038&gt;=G6,FALSE()))</f>
        <v>0</v>
      </c>
      <c r="G1038" s="65">
        <f t="shared" si="101"/>
        <v>0</v>
      </c>
      <c r="H1038" s="65">
        <f>IF(F1038,MAX(0,MIN(E1038,I6*D1038)-D1038)*IFERROR(INDEX($C$158:$C$161,MATCH(C1038,$A$158:$A$161,0)),0),0)</f>
        <v>0</v>
      </c>
      <c r="I1038" s="65">
        <f>IF(F1038,MAX(0,E1038-I6*D1038)*IFERROR(INDEX($D$158:$D$161,MATCH(C1038,$A$158:$A$161,0)),0),0)</f>
        <v>0</v>
      </c>
      <c r="J1038" s="65">
        <f t="shared" si="102"/>
        <v>0</v>
      </c>
    </row>
    <row r="1039" spans="1:10" ht="15" customHeight="1" outlineLevel="1" x14ac:dyDescent="0.2">
      <c r="A1039" s="66" t="str">
        <f t="shared" si="105"/>
        <v>R021</v>
      </c>
      <c r="B1039" s="67">
        <f>$A$1426</f>
        <v>45444</v>
      </c>
      <c r="C1039" s="66" t="str">
        <f t="shared" si="106"/>
        <v>Mid-Market AE</v>
      </c>
      <c r="D1039" s="65">
        <f>SUMIFS(Fact_Quota!$D:$D,Fact_Quota!$A:$A,$A1039,Fact_Quota!$B:$B,"&gt;="&amp;B1039,Fact_Quota!$B:$B,"&lt;"&amp;EDATE(B1039,1))</f>
        <v>0</v>
      </c>
      <c r="E1039" s="65">
        <f>SUMIFS(Fact_Pipeline!$K:$K,Fact_Pipeline!$B:$B,$A1039,Fact_Pipeline!$J:$J,"Won",Fact_Pipeline!$I:$I,"&gt;="&amp;B1039,Fact_Pipeline!$I:$I,"&lt;"&amp;EDATE(B1039,1))</f>
        <v>0</v>
      </c>
      <c r="F1039" s="66" t="b">
        <f>AND(D1039&gt;0,IFERROR(E1039/D1039&gt;=G6,FALSE()))</f>
        <v>0</v>
      </c>
      <c r="G1039" s="65">
        <f t="shared" si="101"/>
        <v>0</v>
      </c>
      <c r="H1039" s="65">
        <f>IF(F1039,MAX(0,MIN(E1039,I6*D1039)-D1039)*IFERROR(INDEX($C$158:$C$161,MATCH(C1039,$A$158:$A$161,0)),0),0)</f>
        <v>0</v>
      </c>
      <c r="I1039" s="65">
        <f>IF(F1039,MAX(0,E1039-I6*D1039)*IFERROR(INDEX($D$158:$D$161,MATCH(C1039,$A$158:$A$161,0)),0),0)</f>
        <v>0</v>
      </c>
      <c r="J1039" s="65">
        <f t="shared" si="102"/>
        <v>0</v>
      </c>
    </row>
    <row r="1040" spans="1:10" ht="15" customHeight="1" outlineLevel="1" x14ac:dyDescent="0.2">
      <c r="A1040" s="66" t="str">
        <f t="shared" si="105"/>
        <v>R021</v>
      </c>
      <c r="B1040" s="67">
        <f>$A$1427</f>
        <v>45474</v>
      </c>
      <c r="C1040" s="66" t="str">
        <f t="shared" si="106"/>
        <v>Mid-Market AE</v>
      </c>
      <c r="D1040" s="65">
        <f>SUMIFS(Fact_Quota!$D:$D,Fact_Quota!$A:$A,$A1040,Fact_Quota!$B:$B,"&gt;="&amp;B1040,Fact_Quota!$B:$B,"&lt;"&amp;EDATE(B1040,1))</f>
        <v>0</v>
      </c>
      <c r="E1040" s="65">
        <f>SUMIFS(Fact_Pipeline!$K:$K,Fact_Pipeline!$B:$B,$A1040,Fact_Pipeline!$J:$J,"Won",Fact_Pipeline!$I:$I,"&gt;="&amp;B1040,Fact_Pipeline!$I:$I,"&lt;"&amp;EDATE(B1040,1))</f>
        <v>0</v>
      </c>
      <c r="F1040" s="66" t="b">
        <f>AND(D1040&gt;0,IFERROR(E1040/D1040&gt;=G6,FALSE()))</f>
        <v>0</v>
      </c>
      <c r="G1040" s="65">
        <f t="shared" si="101"/>
        <v>0</v>
      </c>
      <c r="H1040" s="65">
        <f>IF(F1040,MAX(0,MIN(E1040,I6*D1040)-D1040)*IFERROR(INDEX($C$158:$C$161,MATCH(C1040,$A$158:$A$161,0)),0),0)</f>
        <v>0</v>
      </c>
      <c r="I1040" s="65">
        <f>IF(F1040,MAX(0,E1040-I6*D1040)*IFERROR(INDEX($D$158:$D$161,MATCH(C1040,$A$158:$A$161,0)),0),0)</f>
        <v>0</v>
      </c>
      <c r="J1040" s="65">
        <f t="shared" si="102"/>
        <v>0</v>
      </c>
    </row>
    <row r="1041" spans="1:10" ht="15" customHeight="1" outlineLevel="1" x14ac:dyDescent="0.2">
      <c r="A1041" s="66" t="str">
        <f t="shared" si="105"/>
        <v>R021</v>
      </c>
      <c r="B1041" s="67">
        <f>$A$1428</f>
        <v>45505</v>
      </c>
      <c r="C1041" s="66" t="str">
        <f t="shared" si="106"/>
        <v>Mid-Market AE</v>
      </c>
      <c r="D1041" s="65">
        <f>SUMIFS(Fact_Quota!$D:$D,Fact_Quota!$A:$A,$A1041,Fact_Quota!$B:$B,"&gt;="&amp;B1041,Fact_Quota!$B:$B,"&lt;"&amp;EDATE(B1041,1))</f>
        <v>0</v>
      </c>
      <c r="E1041" s="65">
        <f>SUMIFS(Fact_Pipeline!$K:$K,Fact_Pipeline!$B:$B,$A1041,Fact_Pipeline!$J:$J,"Won",Fact_Pipeline!$I:$I,"&gt;="&amp;B1041,Fact_Pipeline!$I:$I,"&lt;"&amp;EDATE(B1041,1))</f>
        <v>0</v>
      </c>
      <c r="F1041" s="66" t="b">
        <f>AND(D1041&gt;0,IFERROR(E1041/D1041&gt;=G6,FALSE()))</f>
        <v>0</v>
      </c>
      <c r="G1041" s="65">
        <f t="shared" si="101"/>
        <v>0</v>
      </c>
      <c r="H1041" s="65">
        <f>IF(F1041,MAX(0,MIN(E1041,I6*D1041)-D1041)*IFERROR(INDEX($C$158:$C$161,MATCH(C1041,$A$158:$A$161,0)),0),0)</f>
        <v>0</v>
      </c>
      <c r="I1041" s="65">
        <f>IF(F1041,MAX(0,E1041-I6*D1041)*IFERROR(INDEX($D$158:$D$161,MATCH(C1041,$A$158:$A$161,0)),0),0)</f>
        <v>0</v>
      </c>
      <c r="J1041" s="65">
        <f t="shared" si="102"/>
        <v>0</v>
      </c>
    </row>
    <row r="1042" spans="1:10" ht="15" customHeight="1" outlineLevel="1" x14ac:dyDescent="0.2">
      <c r="A1042" s="66" t="str">
        <f t="shared" si="105"/>
        <v>R021</v>
      </c>
      <c r="B1042" s="67">
        <f>$A$1429</f>
        <v>45536</v>
      </c>
      <c r="C1042" s="66" t="str">
        <f t="shared" si="106"/>
        <v>Mid-Market AE</v>
      </c>
      <c r="D1042" s="65">
        <f>SUMIFS(Fact_Quota!$D:$D,Fact_Quota!$A:$A,$A1042,Fact_Quota!$B:$B,"&gt;="&amp;B1042,Fact_Quota!$B:$B,"&lt;"&amp;EDATE(B1042,1))</f>
        <v>0</v>
      </c>
      <c r="E1042" s="65">
        <f>SUMIFS(Fact_Pipeline!$K:$K,Fact_Pipeline!$B:$B,$A1042,Fact_Pipeline!$J:$J,"Won",Fact_Pipeline!$I:$I,"&gt;="&amp;B1042,Fact_Pipeline!$I:$I,"&lt;"&amp;EDATE(B1042,1))</f>
        <v>0</v>
      </c>
      <c r="F1042" s="66" t="b">
        <f>AND(D1042&gt;0,IFERROR(E1042/D1042&gt;=G6,FALSE()))</f>
        <v>0</v>
      </c>
      <c r="G1042" s="65">
        <f t="shared" si="101"/>
        <v>0</v>
      </c>
      <c r="H1042" s="65">
        <f>IF(F1042,MAX(0,MIN(E1042,I6*D1042)-D1042)*IFERROR(INDEX($C$158:$C$161,MATCH(C1042,$A$158:$A$161,0)),0),0)</f>
        <v>0</v>
      </c>
      <c r="I1042" s="65">
        <f>IF(F1042,MAX(0,E1042-I6*D1042)*IFERROR(INDEX($D$158:$D$161,MATCH(C1042,$A$158:$A$161,0)),0),0)</f>
        <v>0</v>
      </c>
      <c r="J1042" s="65">
        <f t="shared" si="102"/>
        <v>0</v>
      </c>
    </row>
    <row r="1043" spans="1:10" ht="15" customHeight="1" outlineLevel="1" x14ac:dyDescent="0.2">
      <c r="A1043" s="66" t="str">
        <f t="shared" si="105"/>
        <v>R021</v>
      </c>
      <c r="B1043" s="67">
        <f>$A$1430</f>
        <v>45566</v>
      </c>
      <c r="C1043" s="66" t="str">
        <f t="shared" si="106"/>
        <v>Mid-Market AE</v>
      </c>
      <c r="D1043" s="65">
        <f>SUMIFS(Fact_Quota!$D:$D,Fact_Quota!$A:$A,$A1043,Fact_Quota!$B:$B,"&gt;="&amp;B1043,Fact_Quota!$B:$B,"&lt;"&amp;EDATE(B1043,1))</f>
        <v>0</v>
      </c>
      <c r="E1043" s="65">
        <f>SUMIFS(Fact_Pipeline!$K:$K,Fact_Pipeline!$B:$B,$A1043,Fact_Pipeline!$J:$J,"Won",Fact_Pipeline!$I:$I,"&gt;="&amp;B1043,Fact_Pipeline!$I:$I,"&lt;"&amp;EDATE(B1043,1))</f>
        <v>0</v>
      </c>
      <c r="F1043" s="66" t="b">
        <f>AND(D1043&gt;0,IFERROR(E1043/D1043&gt;=G6,FALSE()))</f>
        <v>0</v>
      </c>
      <c r="G1043" s="65">
        <f t="shared" si="101"/>
        <v>0</v>
      </c>
      <c r="H1043" s="65">
        <f>IF(F1043,MAX(0,MIN(E1043,I6*D1043)-D1043)*IFERROR(INDEX($C$158:$C$161,MATCH(C1043,$A$158:$A$161,0)),0),0)</f>
        <v>0</v>
      </c>
      <c r="I1043" s="65">
        <f>IF(F1043,MAX(0,E1043-I6*D1043)*IFERROR(INDEX($D$158:$D$161,MATCH(C1043,$A$158:$A$161,0)),0),0)</f>
        <v>0</v>
      </c>
      <c r="J1043" s="65">
        <f t="shared" si="102"/>
        <v>0</v>
      </c>
    </row>
    <row r="1044" spans="1:10" ht="15" customHeight="1" outlineLevel="1" x14ac:dyDescent="0.2">
      <c r="A1044" s="66" t="str">
        <f t="shared" si="105"/>
        <v>R021</v>
      </c>
      <c r="B1044" s="67">
        <f>$A$1431</f>
        <v>45597</v>
      </c>
      <c r="C1044" s="66" t="str">
        <f t="shared" si="106"/>
        <v>Mid-Market AE</v>
      </c>
      <c r="D1044" s="65">
        <f>SUMIFS(Fact_Quota!$D:$D,Fact_Quota!$A:$A,$A1044,Fact_Quota!$B:$B,"&gt;="&amp;B1044,Fact_Quota!$B:$B,"&lt;"&amp;EDATE(B1044,1))</f>
        <v>0</v>
      </c>
      <c r="E1044" s="65">
        <f>SUMIFS(Fact_Pipeline!$K:$K,Fact_Pipeline!$B:$B,$A1044,Fact_Pipeline!$J:$J,"Won",Fact_Pipeline!$I:$I,"&gt;="&amp;B1044,Fact_Pipeline!$I:$I,"&lt;"&amp;EDATE(B1044,1))</f>
        <v>0</v>
      </c>
      <c r="F1044" s="66" t="b">
        <f>AND(D1044&gt;0,IFERROR(E1044/D1044&gt;=G6,FALSE()))</f>
        <v>0</v>
      </c>
      <c r="G1044" s="65">
        <f t="shared" si="101"/>
        <v>0</v>
      </c>
      <c r="H1044" s="65">
        <f>IF(F1044,MAX(0,MIN(E1044,I6*D1044)-D1044)*IFERROR(INDEX($C$158:$C$161,MATCH(C1044,$A$158:$A$161,0)),0),0)</f>
        <v>0</v>
      </c>
      <c r="I1044" s="65">
        <f>IF(F1044,MAX(0,E1044-I6*D1044)*IFERROR(INDEX($D$158:$D$161,MATCH(C1044,$A$158:$A$161,0)),0),0)</f>
        <v>0</v>
      </c>
      <c r="J1044" s="65">
        <f t="shared" si="102"/>
        <v>0</v>
      </c>
    </row>
    <row r="1045" spans="1:10" ht="15" customHeight="1" outlineLevel="1" x14ac:dyDescent="0.2">
      <c r="A1045" s="66" t="str">
        <f t="shared" si="105"/>
        <v>R021</v>
      </c>
      <c r="B1045" s="67">
        <f>$A$1432</f>
        <v>45627</v>
      </c>
      <c r="C1045" s="66" t="str">
        <f t="shared" si="106"/>
        <v>Mid-Market AE</v>
      </c>
      <c r="D1045" s="65">
        <f>SUMIFS(Fact_Quota!$D:$D,Fact_Quota!$A:$A,$A1045,Fact_Quota!$B:$B,"&gt;="&amp;B1045,Fact_Quota!$B:$B,"&lt;"&amp;EDATE(B1045,1))</f>
        <v>0</v>
      </c>
      <c r="E1045" s="65">
        <f>SUMIFS(Fact_Pipeline!$K:$K,Fact_Pipeline!$B:$B,$A1045,Fact_Pipeline!$J:$J,"Won",Fact_Pipeline!$I:$I,"&gt;="&amp;B1045,Fact_Pipeline!$I:$I,"&lt;"&amp;EDATE(B1045,1))</f>
        <v>0</v>
      </c>
      <c r="F1045" s="66" t="b">
        <f>AND(D1045&gt;0,IFERROR(E1045/D1045&gt;=G6,FALSE()))</f>
        <v>0</v>
      </c>
      <c r="G1045" s="65">
        <f t="shared" si="101"/>
        <v>0</v>
      </c>
      <c r="H1045" s="65">
        <f>IF(F1045,MAX(0,MIN(E1045,I6*D1045)-D1045)*IFERROR(INDEX($C$158:$C$161,MATCH(C1045,$A$158:$A$161,0)),0),0)</f>
        <v>0</v>
      </c>
      <c r="I1045" s="65">
        <f>IF(F1045,MAX(0,E1045-I6*D1045)*IFERROR(INDEX($D$158:$D$161,MATCH(C1045,$A$158:$A$161,0)),0),0)</f>
        <v>0</v>
      </c>
      <c r="J1045" s="65">
        <f t="shared" si="102"/>
        <v>0</v>
      </c>
    </row>
    <row r="1046" spans="1:10" ht="15" customHeight="1" outlineLevel="1" x14ac:dyDescent="0.2">
      <c r="A1046" s="66" t="str">
        <f t="shared" si="105"/>
        <v>R021</v>
      </c>
      <c r="B1046" s="67">
        <f>$A$1433</f>
        <v>45658</v>
      </c>
      <c r="C1046" s="66" t="str">
        <f t="shared" si="106"/>
        <v>Mid-Market AE</v>
      </c>
      <c r="D1046" s="65">
        <f>SUMIFS(Fact_Quota!$D:$D,Fact_Quota!$A:$A,$A1046,Fact_Quota!$B:$B,"&gt;="&amp;B1046,Fact_Quota!$B:$B,"&lt;"&amp;EDATE(B1046,1))</f>
        <v>0</v>
      </c>
      <c r="E1046" s="65">
        <f>SUMIFS(Fact_Pipeline!$K:$K,Fact_Pipeline!$B:$B,$A1046,Fact_Pipeline!$J:$J,"Won",Fact_Pipeline!$I:$I,"&gt;="&amp;B1046,Fact_Pipeline!$I:$I,"&lt;"&amp;EDATE(B1046,1))</f>
        <v>0</v>
      </c>
      <c r="F1046" s="66" t="b">
        <f>AND(D1046&gt;0,IFERROR(E1046/D1046&gt;=G6,FALSE()))</f>
        <v>0</v>
      </c>
      <c r="G1046" s="65">
        <f t="shared" si="101"/>
        <v>0</v>
      </c>
      <c r="H1046" s="65">
        <f>IF(F1046,MAX(0,MIN(E1046,I6*D1046)-D1046)*IFERROR(INDEX($C$158:$C$161,MATCH(C1046,$A$158:$A$161,0)),0),0)</f>
        <v>0</v>
      </c>
      <c r="I1046" s="65">
        <f>IF(F1046,MAX(0,E1046-I6*D1046)*IFERROR(INDEX($D$158:$D$161,MATCH(C1046,$A$158:$A$161,0)),0),0)</f>
        <v>0</v>
      </c>
      <c r="J1046" s="65">
        <f t="shared" si="102"/>
        <v>0</v>
      </c>
    </row>
    <row r="1047" spans="1:10" ht="15" customHeight="1" outlineLevel="1" x14ac:dyDescent="0.2">
      <c r="A1047" s="66" t="str">
        <f t="shared" si="105"/>
        <v>R021</v>
      </c>
      <c r="B1047" s="67">
        <f>$A$1434</f>
        <v>45689</v>
      </c>
      <c r="C1047" s="66" t="str">
        <f t="shared" si="106"/>
        <v>Mid-Market AE</v>
      </c>
      <c r="D1047" s="65">
        <f>SUMIFS(Fact_Quota!$D:$D,Fact_Quota!$A:$A,$A1047,Fact_Quota!$B:$B,"&gt;="&amp;B1047,Fact_Quota!$B:$B,"&lt;"&amp;EDATE(B1047,1))</f>
        <v>0</v>
      </c>
      <c r="E1047" s="65">
        <f>SUMIFS(Fact_Pipeline!$K:$K,Fact_Pipeline!$B:$B,$A1047,Fact_Pipeline!$J:$J,"Won",Fact_Pipeline!$I:$I,"&gt;="&amp;B1047,Fact_Pipeline!$I:$I,"&lt;"&amp;EDATE(B1047,1))</f>
        <v>0</v>
      </c>
      <c r="F1047" s="66" t="b">
        <f>AND(D1047&gt;0,IFERROR(E1047/D1047&gt;=G6,FALSE()))</f>
        <v>0</v>
      </c>
      <c r="G1047" s="65">
        <f t="shared" si="101"/>
        <v>0</v>
      </c>
      <c r="H1047" s="65">
        <f>IF(F1047,MAX(0,MIN(E1047,I6*D1047)-D1047)*IFERROR(INDEX($C$158:$C$161,MATCH(C1047,$A$158:$A$161,0)),0),0)</f>
        <v>0</v>
      </c>
      <c r="I1047" s="65">
        <f>IF(F1047,MAX(0,E1047-I6*D1047)*IFERROR(INDEX($D$158:$D$161,MATCH(C1047,$A$158:$A$161,0)),0),0)</f>
        <v>0</v>
      </c>
      <c r="J1047" s="65">
        <f t="shared" si="102"/>
        <v>0</v>
      </c>
    </row>
    <row r="1048" spans="1:10" ht="15" customHeight="1" outlineLevel="1" x14ac:dyDescent="0.2">
      <c r="A1048" s="66" t="str">
        <f t="shared" si="105"/>
        <v>R021</v>
      </c>
      <c r="B1048" s="67">
        <f>$A$1435</f>
        <v>45717</v>
      </c>
      <c r="C1048" s="66" t="str">
        <f t="shared" si="106"/>
        <v>Mid-Market AE</v>
      </c>
      <c r="D1048" s="65">
        <f>SUMIFS(Fact_Quota!$D:$D,Fact_Quota!$A:$A,$A1048,Fact_Quota!$B:$B,"&gt;="&amp;B1048,Fact_Quota!$B:$B,"&lt;"&amp;EDATE(B1048,1))</f>
        <v>0</v>
      </c>
      <c r="E1048" s="65">
        <f>SUMIFS(Fact_Pipeline!$K:$K,Fact_Pipeline!$B:$B,$A1048,Fact_Pipeline!$J:$J,"Won",Fact_Pipeline!$I:$I,"&gt;="&amp;B1048,Fact_Pipeline!$I:$I,"&lt;"&amp;EDATE(B1048,1))</f>
        <v>0</v>
      </c>
      <c r="F1048" s="66" t="b">
        <f>AND(D1048&gt;0,IFERROR(E1048/D1048&gt;=G6,FALSE()))</f>
        <v>0</v>
      </c>
      <c r="G1048" s="65">
        <f t="shared" si="101"/>
        <v>0</v>
      </c>
      <c r="H1048" s="65">
        <f>IF(F1048,MAX(0,MIN(E1048,I6*D1048)-D1048)*IFERROR(INDEX($C$158:$C$161,MATCH(C1048,$A$158:$A$161,0)),0),0)</f>
        <v>0</v>
      </c>
      <c r="I1048" s="65">
        <f>IF(F1048,MAX(0,E1048-I6*D1048)*IFERROR(INDEX($D$158:$D$161,MATCH(C1048,$A$158:$A$161,0)),0),0)</f>
        <v>0</v>
      </c>
      <c r="J1048" s="65">
        <f t="shared" si="102"/>
        <v>0</v>
      </c>
    </row>
    <row r="1049" spans="1:10" ht="15" customHeight="1" outlineLevel="1" x14ac:dyDescent="0.2">
      <c r="A1049" s="66" t="str">
        <f t="shared" si="105"/>
        <v>R021</v>
      </c>
      <c r="B1049" s="67">
        <f>$A$1436</f>
        <v>45748</v>
      </c>
      <c r="C1049" s="66" t="str">
        <f t="shared" si="106"/>
        <v>Mid-Market AE</v>
      </c>
      <c r="D1049" s="65">
        <f>SUMIFS(Fact_Quota!$D:$D,Fact_Quota!$A:$A,$A1049,Fact_Quota!$B:$B,"&gt;="&amp;B1049,Fact_Quota!$B:$B,"&lt;"&amp;EDATE(B1049,1))</f>
        <v>5400</v>
      </c>
      <c r="E1049" s="65">
        <f>SUMIFS(Fact_Pipeline!$K:$K,Fact_Pipeline!$B:$B,$A1049,Fact_Pipeline!$J:$J,"Won",Fact_Pipeline!$I:$I,"&gt;="&amp;B1049,Fact_Pipeline!$I:$I,"&lt;"&amp;EDATE(B1049,1))</f>
        <v>0</v>
      </c>
      <c r="F1049" s="66" t="b">
        <f>AND(D1049&gt;0,IFERROR(E1049/D1049&gt;=G6,FALSE()))</f>
        <v>0</v>
      </c>
      <c r="G1049" s="65">
        <f t="shared" si="101"/>
        <v>0</v>
      </c>
      <c r="H1049" s="65">
        <f>IF(F1049,MAX(0,MIN(E1049,I6*D1049)-D1049)*IFERROR(INDEX($C$158:$C$161,MATCH(C1049,$A$158:$A$161,0)),0),0)</f>
        <v>0</v>
      </c>
      <c r="I1049" s="65">
        <f>IF(F1049,MAX(0,E1049-I6*D1049)*IFERROR(INDEX($D$158:$D$161,MATCH(C1049,$A$158:$A$161,0)),0),0)</f>
        <v>0</v>
      </c>
      <c r="J1049" s="65">
        <f t="shared" si="102"/>
        <v>0</v>
      </c>
    </row>
    <row r="1050" spans="1:10" ht="15" customHeight="1" outlineLevel="1" x14ac:dyDescent="0.2">
      <c r="A1050" s="66" t="str">
        <f t="shared" si="105"/>
        <v>R021</v>
      </c>
      <c r="B1050" s="67">
        <f>$A$1437</f>
        <v>45778</v>
      </c>
      <c r="C1050" s="66" t="str">
        <f t="shared" si="106"/>
        <v>Mid-Market AE</v>
      </c>
      <c r="D1050" s="65">
        <f>SUMIFS(Fact_Quota!$D:$D,Fact_Quota!$A:$A,$A1050,Fact_Quota!$B:$B,"&gt;="&amp;B1050,Fact_Quota!$B:$B,"&lt;"&amp;EDATE(B1050,1))</f>
        <v>11000</v>
      </c>
      <c r="E1050" s="65">
        <f>SUMIFS(Fact_Pipeline!$K:$K,Fact_Pipeline!$B:$B,$A1050,Fact_Pipeline!$J:$J,"Won",Fact_Pipeline!$I:$I,"&gt;="&amp;B1050,Fact_Pipeline!$I:$I,"&lt;"&amp;EDATE(B1050,1))</f>
        <v>0</v>
      </c>
      <c r="F1050" s="66" t="b">
        <f>AND(D1050&gt;0,IFERROR(E1050/D1050&gt;=G6,FALSE()))</f>
        <v>0</v>
      </c>
      <c r="G1050" s="65">
        <f t="shared" ref="G1050:G1113" si="107">IF(F1050,MIN(E1050,D1050)*IFERROR(INDEX($B$158:$B$161,MATCH(C1050,$A$158:$A$161,0)),0),0)</f>
        <v>0</v>
      </c>
      <c r="H1050" s="65">
        <f>IF(F1050,MAX(0,MIN(E1050,I6*D1050)-D1050)*IFERROR(INDEX($C$158:$C$161,MATCH(C1050,$A$158:$A$161,0)),0),0)</f>
        <v>0</v>
      </c>
      <c r="I1050" s="65">
        <f>IF(F1050,MAX(0,E1050-I6*D1050)*IFERROR(INDEX($D$158:$D$161,MATCH(C1050,$A$158:$A$161,0)),0),0)</f>
        <v>0</v>
      </c>
      <c r="J1050" s="65">
        <f t="shared" ref="J1050:J1113" si="108">G1050+H1050+I1050</f>
        <v>0</v>
      </c>
    </row>
    <row r="1051" spans="1:10" ht="15" customHeight="1" outlineLevel="1" x14ac:dyDescent="0.2">
      <c r="A1051" s="66" t="str">
        <f t="shared" si="105"/>
        <v>R021</v>
      </c>
      <c r="B1051" s="67">
        <f>$A$1438</f>
        <v>45809</v>
      </c>
      <c r="C1051" s="66" t="str">
        <f t="shared" si="106"/>
        <v>Mid-Market AE</v>
      </c>
      <c r="D1051" s="65">
        <f>SUMIFS(Fact_Quota!$D:$D,Fact_Quota!$A:$A,$A1051,Fact_Quota!$B:$B,"&gt;="&amp;B1051,Fact_Quota!$B:$B,"&lt;"&amp;EDATE(B1051,1))</f>
        <v>16700</v>
      </c>
      <c r="E1051" s="65">
        <f>SUMIFS(Fact_Pipeline!$K:$K,Fact_Pipeline!$B:$B,$A1051,Fact_Pipeline!$J:$J,"Won",Fact_Pipeline!$I:$I,"&gt;="&amp;B1051,Fact_Pipeline!$I:$I,"&lt;"&amp;EDATE(B1051,1))</f>
        <v>12900</v>
      </c>
      <c r="F1051" s="66" t="b">
        <f>AND(D1051&gt;0,IFERROR(E1051/D1051&gt;=G6,FALSE()))</f>
        <v>1</v>
      </c>
      <c r="G1051" s="65">
        <f t="shared" si="107"/>
        <v>645</v>
      </c>
      <c r="H1051" s="65">
        <f>IF(F1051,MAX(0,MIN(E1051,I6*D1051)-D1051)*IFERROR(INDEX($C$158:$C$161,MATCH(C1051,$A$158:$A$161,0)),0),0)</f>
        <v>0</v>
      </c>
      <c r="I1051" s="65">
        <f>IF(F1051,MAX(0,E1051-I6*D1051)*IFERROR(INDEX($D$158:$D$161,MATCH(C1051,$A$158:$A$161,0)),0),0)</f>
        <v>0</v>
      </c>
      <c r="J1051" s="65">
        <f t="shared" si="108"/>
        <v>645</v>
      </c>
    </row>
    <row r="1052" spans="1:10" ht="15" customHeight="1" outlineLevel="1" x14ac:dyDescent="0.2">
      <c r="A1052" s="66" t="str">
        <f t="shared" si="105"/>
        <v>R021</v>
      </c>
      <c r="B1052" s="67">
        <f>$A$1439</f>
        <v>45839</v>
      </c>
      <c r="C1052" s="66" t="str">
        <f t="shared" si="106"/>
        <v>Mid-Market AE</v>
      </c>
      <c r="D1052" s="65">
        <f>SUMIFS(Fact_Quota!$D:$D,Fact_Quota!$A:$A,$A1052,Fact_Quota!$B:$B,"&gt;="&amp;B1052,Fact_Quota!$B:$B,"&lt;"&amp;EDATE(B1052,1))</f>
        <v>23000</v>
      </c>
      <c r="E1052" s="65">
        <f>SUMIFS(Fact_Pipeline!$K:$K,Fact_Pipeline!$B:$B,$A1052,Fact_Pipeline!$J:$J,"Won",Fact_Pipeline!$I:$I,"&gt;="&amp;B1052,Fact_Pipeline!$I:$I,"&lt;"&amp;EDATE(B1052,1))</f>
        <v>0</v>
      </c>
      <c r="F1052" s="66" t="b">
        <f>AND(D1052&gt;0,IFERROR(E1052/D1052&gt;=G6,FALSE()))</f>
        <v>0</v>
      </c>
      <c r="G1052" s="65">
        <f t="shared" si="107"/>
        <v>0</v>
      </c>
      <c r="H1052" s="65">
        <f>IF(F1052,MAX(0,MIN(E1052,I6*D1052)-D1052)*IFERROR(INDEX($C$158:$C$161,MATCH(C1052,$A$158:$A$161,0)),0),0)</f>
        <v>0</v>
      </c>
      <c r="I1052" s="65">
        <f>IF(F1052,MAX(0,E1052-I6*D1052)*IFERROR(INDEX($D$158:$D$161,MATCH(C1052,$A$158:$A$161,0)),0),0)</f>
        <v>0</v>
      </c>
      <c r="J1052" s="65">
        <f t="shared" si="108"/>
        <v>0</v>
      </c>
    </row>
    <row r="1053" spans="1:10" ht="15" customHeight="1" outlineLevel="1" x14ac:dyDescent="0.2">
      <c r="A1053" s="66" t="str">
        <f t="shared" si="105"/>
        <v>R021</v>
      </c>
      <c r="B1053" s="67">
        <f>$A$1440</f>
        <v>45870</v>
      </c>
      <c r="C1053" s="66" t="str">
        <f t="shared" si="106"/>
        <v>Mid-Market AE</v>
      </c>
      <c r="D1053" s="65">
        <f>SUMIFS(Fact_Quota!$D:$D,Fact_Quota!$A:$A,$A1053,Fact_Quota!$B:$B,"&gt;="&amp;B1053,Fact_Quota!$B:$B,"&lt;"&amp;EDATE(B1053,1))</f>
        <v>22600</v>
      </c>
      <c r="E1053" s="65">
        <f>SUMIFS(Fact_Pipeline!$K:$K,Fact_Pipeline!$B:$B,$A1053,Fact_Pipeline!$J:$J,"Won",Fact_Pipeline!$I:$I,"&gt;="&amp;B1053,Fact_Pipeline!$I:$I,"&lt;"&amp;EDATE(B1053,1))</f>
        <v>15100</v>
      </c>
      <c r="F1053" s="66" t="b">
        <f>AND(D1053&gt;0,IFERROR(E1053/D1053&gt;=G6,FALSE()))</f>
        <v>1</v>
      </c>
      <c r="G1053" s="65">
        <f t="shared" si="107"/>
        <v>755</v>
      </c>
      <c r="H1053" s="65">
        <f>IF(F1053,MAX(0,MIN(E1053,I6*D1053)-D1053)*IFERROR(INDEX($C$158:$C$161,MATCH(C1053,$A$158:$A$161,0)),0),0)</f>
        <v>0</v>
      </c>
      <c r="I1053" s="65">
        <f>IF(F1053,MAX(0,E1053-I6*D1053)*IFERROR(INDEX($D$158:$D$161,MATCH(C1053,$A$158:$A$161,0)),0),0)</f>
        <v>0</v>
      </c>
      <c r="J1053" s="65">
        <f t="shared" si="108"/>
        <v>755</v>
      </c>
    </row>
    <row r="1054" spans="1:10" ht="15" customHeight="1" outlineLevel="1" x14ac:dyDescent="0.2">
      <c r="A1054" s="66" t="str">
        <f t="shared" si="105"/>
        <v>R021</v>
      </c>
      <c r="B1054" s="67">
        <f>$A$1441</f>
        <v>45901</v>
      </c>
      <c r="C1054" s="66" t="str">
        <f t="shared" si="106"/>
        <v>Mid-Market AE</v>
      </c>
      <c r="D1054" s="65">
        <f>SUMIFS(Fact_Quota!$D:$D,Fact_Quota!$A:$A,$A1054,Fact_Quota!$B:$B,"&gt;="&amp;B1054,Fact_Quota!$B:$B,"&lt;"&amp;EDATE(B1054,1))</f>
        <v>23400</v>
      </c>
      <c r="E1054" s="65">
        <f>SUMIFS(Fact_Pipeline!$K:$K,Fact_Pipeline!$B:$B,$A1054,Fact_Pipeline!$J:$J,"Won",Fact_Pipeline!$I:$I,"&gt;="&amp;B1054,Fact_Pipeline!$I:$I,"&lt;"&amp;EDATE(B1054,1))</f>
        <v>0</v>
      </c>
      <c r="F1054" s="66" t="b">
        <f>AND(D1054&gt;0,IFERROR(E1054/D1054&gt;=G6,FALSE()))</f>
        <v>0</v>
      </c>
      <c r="G1054" s="65">
        <f t="shared" si="107"/>
        <v>0</v>
      </c>
      <c r="H1054" s="65">
        <f>IF(F1054,MAX(0,MIN(E1054,I6*D1054)-D1054)*IFERROR(INDEX($C$158:$C$161,MATCH(C1054,$A$158:$A$161,0)),0),0)</f>
        <v>0</v>
      </c>
      <c r="I1054" s="65">
        <f>IF(F1054,MAX(0,E1054-I6*D1054)*IFERROR(INDEX($D$158:$D$161,MATCH(C1054,$A$158:$A$161,0)),0),0)</f>
        <v>0</v>
      </c>
      <c r="J1054" s="65">
        <f t="shared" si="108"/>
        <v>0</v>
      </c>
    </row>
    <row r="1055" spans="1:10" ht="15" customHeight="1" outlineLevel="1" x14ac:dyDescent="0.2">
      <c r="A1055" s="66" t="str">
        <f t="shared" si="105"/>
        <v>R021</v>
      </c>
      <c r="B1055" s="67">
        <f>$A$1442</f>
        <v>45931</v>
      </c>
      <c r="C1055" s="66" t="str">
        <f t="shared" si="106"/>
        <v>Mid-Market AE</v>
      </c>
      <c r="D1055" s="65">
        <f>SUMIFS(Fact_Quota!$D:$D,Fact_Quota!$A:$A,$A1055,Fact_Quota!$B:$B,"&gt;="&amp;B1055,Fact_Quota!$B:$B,"&lt;"&amp;EDATE(B1055,1))</f>
        <v>21500</v>
      </c>
      <c r="E1055" s="65">
        <f>SUMIFS(Fact_Pipeline!$K:$K,Fact_Pipeline!$B:$B,$A1055,Fact_Pipeline!$J:$J,"Won",Fact_Pipeline!$I:$I,"&gt;="&amp;B1055,Fact_Pipeline!$I:$I,"&lt;"&amp;EDATE(B1055,1))</f>
        <v>60100</v>
      </c>
      <c r="F1055" s="66" t="b">
        <f>AND(D1055&gt;0,IFERROR(E1055/D1055&gt;=G6,FALSE()))</f>
        <v>1</v>
      </c>
      <c r="G1055" s="65">
        <f t="shared" si="107"/>
        <v>1075</v>
      </c>
      <c r="H1055" s="65">
        <f>IF(F1055,MAX(0,MIN(E1055,I6*D1055)-D1055)*IFERROR(INDEX($C$158:$C$161,MATCH(C1055,$A$158:$A$161,0)),0),0)</f>
        <v>860</v>
      </c>
      <c r="I1055" s="65">
        <f>IF(F1055,MAX(0,E1055-I6*D1055)*IFERROR(INDEX($D$158:$D$161,MATCH(C1055,$A$158:$A$161,0)),0),0)</f>
        <v>3063.5</v>
      </c>
      <c r="J1055" s="65">
        <f t="shared" si="108"/>
        <v>4998.5</v>
      </c>
    </row>
    <row r="1056" spans="1:10" ht="15" customHeight="1" outlineLevel="1" x14ac:dyDescent="0.2">
      <c r="A1056" s="66" t="str">
        <f t="shared" si="105"/>
        <v>R021</v>
      </c>
      <c r="B1056" s="67">
        <f>$A$1443</f>
        <v>45962</v>
      </c>
      <c r="C1056" s="66" t="str">
        <f t="shared" si="106"/>
        <v>Mid-Market AE</v>
      </c>
      <c r="D1056" s="65">
        <f>SUMIFS(Fact_Quota!$D:$D,Fact_Quota!$A:$A,$A1056,Fact_Quota!$B:$B,"&gt;="&amp;B1056,Fact_Quota!$B:$B,"&lt;"&amp;EDATE(B1056,1))</f>
        <v>22600</v>
      </c>
      <c r="E1056" s="65">
        <f>SUMIFS(Fact_Pipeline!$K:$K,Fact_Pipeline!$B:$B,$A1056,Fact_Pipeline!$J:$J,"Won",Fact_Pipeline!$I:$I,"&gt;="&amp;B1056,Fact_Pipeline!$I:$I,"&lt;"&amp;EDATE(B1056,1))</f>
        <v>0</v>
      </c>
      <c r="F1056" s="66" t="b">
        <f>AND(D1056&gt;0,IFERROR(E1056/D1056&gt;=G6,FALSE()))</f>
        <v>0</v>
      </c>
      <c r="G1056" s="65">
        <f t="shared" si="107"/>
        <v>0</v>
      </c>
      <c r="H1056" s="65">
        <f>IF(F1056,MAX(0,MIN(E1056,I6*D1056)-D1056)*IFERROR(INDEX($C$158:$C$161,MATCH(C1056,$A$158:$A$161,0)),0),0)</f>
        <v>0</v>
      </c>
      <c r="I1056" s="65">
        <f>IF(F1056,MAX(0,E1056-I6*D1056)*IFERROR(INDEX($D$158:$D$161,MATCH(C1056,$A$158:$A$161,0)),0),0)</f>
        <v>0</v>
      </c>
      <c r="J1056" s="65">
        <f t="shared" si="108"/>
        <v>0</v>
      </c>
    </row>
    <row r="1057" spans="1:10" ht="15" customHeight="1" outlineLevel="1" x14ac:dyDescent="0.2">
      <c r="A1057" s="66" t="str">
        <f t="shared" si="105"/>
        <v>R021</v>
      </c>
      <c r="B1057" s="67">
        <f>$A$1444</f>
        <v>45992</v>
      </c>
      <c r="C1057" s="66" t="str">
        <f t="shared" si="106"/>
        <v>Mid-Market AE</v>
      </c>
      <c r="D1057" s="65">
        <f>SUMIFS(Fact_Quota!$D:$D,Fact_Quota!$A:$A,$A1057,Fact_Quota!$B:$B,"&gt;="&amp;B1057,Fact_Quota!$B:$B,"&lt;"&amp;EDATE(B1057,1))</f>
        <v>22100</v>
      </c>
      <c r="E1057" s="65">
        <f>SUMIFS(Fact_Pipeline!$K:$K,Fact_Pipeline!$B:$B,$A1057,Fact_Pipeline!$J:$J,"Won",Fact_Pipeline!$I:$I,"&gt;="&amp;B1057,Fact_Pipeline!$I:$I,"&lt;"&amp;EDATE(B1057,1))</f>
        <v>31300</v>
      </c>
      <c r="F1057" s="66" t="b">
        <f>AND(D1057&gt;0,IFERROR(E1057/D1057&gt;=G6,FALSE()))</f>
        <v>1</v>
      </c>
      <c r="G1057" s="65">
        <f t="shared" si="107"/>
        <v>1105</v>
      </c>
      <c r="H1057" s="65">
        <f>IF(F1057,MAX(0,MIN(E1057,I6*D1057)-D1057)*IFERROR(INDEX($C$158:$C$161,MATCH(C1057,$A$158:$A$161,0)),0),0)</f>
        <v>736</v>
      </c>
      <c r="I1057" s="65">
        <f>IF(F1057,MAX(0,E1057-I6*D1057)*IFERROR(INDEX($D$158:$D$161,MATCH(C1057,$A$158:$A$161,0)),0),0)</f>
        <v>0</v>
      </c>
      <c r="J1057" s="65">
        <f t="shared" si="108"/>
        <v>1841</v>
      </c>
    </row>
    <row r="1058" spans="1:10" ht="15" customHeight="1" outlineLevel="1" x14ac:dyDescent="0.2">
      <c r="A1058" s="63" t="str">
        <f t="shared" ref="A1058:A1081" si="109">$A$200</f>
        <v>R025</v>
      </c>
      <c r="B1058" s="64">
        <f>$A$1421</f>
        <v>45292</v>
      </c>
      <c r="C1058" s="63" t="str">
        <f t="shared" ref="C1058:C1081" si="110">$C$200</f>
        <v>Mid-Market AE</v>
      </c>
      <c r="D1058" s="62">
        <f>SUMIFS(Fact_Quota!$D:$D,Fact_Quota!$A:$A,$A1058,Fact_Quota!$B:$B,"&gt;="&amp;B1058,Fact_Quota!$B:$B,"&lt;"&amp;EDATE(B1058,1))</f>
        <v>0</v>
      </c>
      <c r="E1058" s="62">
        <f>SUMIFS(Fact_Pipeline!$K:$K,Fact_Pipeline!$B:$B,$A1058,Fact_Pipeline!$J:$J,"Won",Fact_Pipeline!$I:$I,"&gt;="&amp;B1058,Fact_Pipeline!$I:$I,"&lt;"&amp;EDATE(B1058,1))</f>
        <v>0</v>
      </c>
      <c r="F1058" s="63" t="b">
        <f>AND(D1058&gt;0,IFERROR(E1058/D1058&gt;=G6,FALSE()))</f>
        <v>0</v>
      </c>
      <c r="G1058" s="62">
        <f t="shared" si="107"/>
        <v>0</v>
      </c>
      <c r="H1058" s="62">
        <f>IF(F1058,MAX(0,MIN(E1058,I6*D1058)-D1058)*IFERROR(INDEX($C$158:$C$161,MATCH(C1058,$A$158:$A$161,0)),0),0)</f>
        <v>0</v>
      </c>
      <c r="I1058" s="62">
        <f>IF(F1058,MAX(0,E1058-I6*D1058)*IFERROR(INDEX($D$158:$D$161,MATCH(C1058,$A$158:$A$161,0)),0),0)</f>
        <v>0</v>
      </c>
      <c r="J1058" s="62">
        <f t="shared" si="108"/>
        <v>0</v>
      </c>
    </row>
    <row r="1059" spans="1:10" ht="15" customHeight="1" outlineLevel="1" x14ac:dyDescent="0.2">
      <c r="A1059" s="63" t="str">
        <f t="shared" si="109"/>
        <v>R025</v>
      </c>
      <c r="B1059" s="64">
        <f>$A$1422</f>
        <v>45323</v>
      </c>
      <c r="C1059" s="63" t="str">
        <f t="shared" si="110"/>
        <v>Mid-Market AE</v>
      </c>
      <c r="D1059" s="62">
        <f>SUMIFS(Fact_Quota!$D:$D,Fact_Quota!$A:$A,$A1059,Fact_Quota!$B:$B,"&gt;="&amp;B1059,Fact_Quota!$B:$B,"&lt;"&amp;EDATE(B1059,1))</f>
        <v>0</v>
      </c>
      <c r="E1059" s="62">
        <f>SUMIFS(Fact_Pipeline!$K:$K,Fact_Pipeline!$B:$B,$A1059,Fact_Pipeline!$J:$J,"Won",Fact_Pipeline!$I:$I,"&gt;="&amp;B1059,Fact_Pipeline!$I:$I,"&lt;"&amp;EDATE(B1059,1))</f>
        <v>0</v>
      </c>
      <c r="F1059" s="63" t="b">
        <f>AND(D1059&gt;0,IFERROR(E1059/D1059&gt;=G6,FALSE()))</f>
        <v>0</v>
      </c>
      <c r="G1059" s="62">
        <f t="shared" si="107"/>
        <v>0</v>
      </c>
      <c r="H1059" s="62">
        <f>IF(F1059,MAX(0,MIN(E1059,I6*D1059)-D1059)*IFERROR(INDEX($C$158:$C$161,MATCH(C1059,$A$158:$A$161,0)),0),0)</f>
        <v>0</v>
      </c>
      <c r="I1059" s="62">
        <f>IF(F1059,MAX(0,E1059-I6*D1059)*IFERROR(INDEX($D$158:$D$161,MATCH(C1059,$A$158:$A$161,0)),0),0)</f>
        <v>0</v>
      </c>
      <c r="J1059" s="62">
        <f t="shared" si="108"/>
        <v>0</v>
      </c>
    </row>
    <row r="1060" spans="1:10" ht="15" customHeight="1" outlineLevel="1" x14ac:dyDescent="0.2">
      <c r="A1060" s="63" t="str">
        <f t="shared" si="109"/>
        <v>R025</v>
      </c>
      <c r="B1060" s="64">
        <f>$A$1423</f>
        <v>45352</v>
      </c>
      <c r="C1060" s="63" t="str">
        <f t="shared" si="110"/>
        <v>Mid-Market AE</v>
      </c>
      <c r="D1060" s="62">
        <f>SUMIFS(Fact_Quota!$D:$D,Fact_Quota!$A:$A,$A1060,Fact_Quota!$B:$B,"&gt;="&amp;B1060,Fact_Quota!$B:$B,"&lt;"&amp;EDATE(B1060,1))</f>
        <v>0</v>
      </c>
      <c r="E1060" s="62">
        <f>SUMIFS(Fact_Pipeline!$K:$K,Fact_Pipeline!$B:$B,$A1060,Fact_Pipeline!$J:$J,"Won",Fact_Pipeline!$I:$I,"&gt;="&amp;B1060,Fact_Pipeline!$I:$I,"&lt;"&amp;EDATE(B1060,1))</f>
        <v>0</v>
      </c>
      <c r="F1060" s="63" t="b">
        <f>AND(D1060&gt;0,IFERROR(E1060/D1060&gt;=G6,FALSE()))</f>
        <v>0</v>
      </c>
      <c r="G1060" s="62">
        <f t="shared" si="107"/>
        <v>0</v>
      </c>
      <c r="H1060" s="62">
        <f>IF(F1060,MAX(0,MIN(E1060,I6*D1060)-D1060)*IFERROR(INDEX($C$158:$C$161,MATCH(C1060,$A$158:$A$161,0)),0),0)</f>
        <v>0</v>
      </c>
      <c r="I1060" s="62">
        <f>IF(F1060,MAX(0,E1060-I6*D1060)*IFERROR(INDEX($D$158:$D$161,MATCH(C1060,$A$158:$A$161,0)),0),0)</f>
        <v>0</v>
      </c>
      <c r="J1060" s="62">
        <f t="shared" si="108"/>
        <v>0</v>
      </c>
    </row>
    <row r="1061" spans="1:10" ht="15" customHeight="1" outlineLevel="1" x14ac:dyDescent="0.2">
      <c r="A1061" s="63" t="str">
        <f t="shared" si="109"/>
        <v>R025</v>
      </c>
      <c r="B1061" s="64">
        <f>$A$1424</f>
        <v>45383</v>
      </c>
      <c r="C1061" s="63" t="str">
        <f t="shared" si="110"/>
        <v>Mid-Market AE</v>
      </c>
      <c r="D1061" s="62">
        <f>SUMIFS(Fact_Quota!$D:$D,Fact_Quota!$A:$A,$A1061,Fact_Quota!$B:$B,"&gt;="&amp;B1061,Fact_Quota!$B:$B,"&lt;"&amp;EDATE(B1061,1))</f>
        <v>0</v>
      </c>
      <c r="E1061" s="62">
        <f>SUMIFS(Fact_Pipeline!$K:$K,Fact_Pipeline!$B:$B,$A1061,Fact_Pipeline!$J:$J,"Won",Fact_Pipeline!$I:$I,"&gt;="&amp;B1061,Fact_Pipeline!$I:$I,"&lt;"&amp;EDATE(B1061,1))</f>
        <v>0</v>
      </c>
      <c r="F1061" s="63" t="b">
        <f>AND(D1061&gt;0,IFERROR(E1061/D1061&gt;=G6,FALSE()))</f>
        <v>0</v>
      </c>
      <c r="G1061" s="62">
        <f t="shared" si="107"/>
        <v>0</v>
      </c>
      <c r="H1061" s="62">
        <f>IF(F1061,MAX(0,MIN(E1061,I6*D1061)-D1061)*IFERROR(INDEX($C$158:$C$161,MATCH(C1061,$A$158:$A$161,0)),0),0)</f>
        <v>0</v>
      </c>
      <c r="I1061" s="62">
        <f>IF(F1061,MAX(0,E1061-I6*D1061)*IFERROR(INDEX($D$158:$D$161,MATCH(C1061,$A$158:$A$161,0)),0),0)</f>
        <v>0</v>
      </c>
      <c r="J1061" s="62">
        <f t="shared" si="108"/>
        <v>0</v>
      </c>
    </row>
    <row r="1062" spans="1:10" ht="15" customHeight="1" outlineLevel="1" x14ac:dyDescent="0.2">
      <c r="A1062" s="63" t="str">
        <f t="shared" si="109"/>
        <v>R025</v>
      </c>
      <c r="B1062" s="64">
        <f>$A$1425</f>
        <v>45413</v>
      </c>
      <c r="C1062" s="63" t="str">
        <f t="shared" si="110"/>
        <v>Mid-Market AE</v>
      </c>
      <c r="D1062" s="62">
        <f>SUMIFS(Fact_Quota!$D:$D,Fact_Quota!$A:$A,$A1062,Fact_Quota!$B:$B,"&gt;="&amp;B1062,Fact_Quota!$B:$B,"&lt;"&amp;EDATE(B1062,1))</f>
        <v>0</v>
      </c>
      <c r="E1062" s="62">
        <f>SUMIFS(Fact_Pipeline!$K:$K,Fact_Pipeline!$B:$B,$A1062,Fact_Pipeline!$J:$J,"Won",Fact_Pipeline!$I:$I,"&gt;="&amp;B1062,Fact_Pipeline!$I:$I,"&lt;"&amp;EDATE(B1062,1))</f>
        <v>0</v>
      </c>
      <c r="F1062" s="63" t="b">
        <f>AND(D1062&gt;0,IFERROR(E1062/D1062&gt;=G6,FALSE()))</f>
        <v>0</v>
      </c>
      <c r="G1062" s="62">
        <f t="shared" si="107"/>
        <v>0</v>
      </c>
      <c r="H1062" s="62">
        <f>IF(F1062,MAX(0,MIN(E1062,I6*D1062)-D1062)*IFERROR(INDEX($C$158:$C$161,MATCH(C1062,$A$158:$A$161,0)),0),0)</f>
        <v>0</v>
      </c>
      <c r="I1062" s="62">
        <f>IF(F1062,MAX(0,E1062-I6*D1062)*IFERROR(INDEX($D$158:$D$161,MATCH(C1062,$A$158:$A$161,0)),0),0)</f>
        <v>0</v>
      </c>
      <c r="J1062" s="62">
        <f t="shared" si="108"/>
        <v>0</v>
      </c>
    </row>
    <row r="1063" spans="1:10" ht="15" customHeight="1" outlineLevel="1" x14ac:dyDescent="0.2">
      <c r="A1063" s="63" t="str">
        <f t="shared" si="109"/>
        <v>R025</v>
      </c>
      <c r="B1063" s="64">
        <f>$A$1426</f>
        <v>45444</v>
      </c>
      <c r="C1063" s="63" t="str">
        <f t="shared" si="110"/>
        <v>Mid-Market AE</v>
      </c>
      <c r="D1063" s="62">
        <f>SUMIFS(Fact_Quota!$D:$D,Fact_Quota!$A:$A,$A1063,Fact_Quota!$B:$B,"&gt;="&amp;B1063,Fact_Quota!$B:$B,"&lt;"&amp;EDATE(B1063,1))</f>
        <v>0</v>
      </c>
      <c r="E1063" s="62">
        <f>SUMIFS(Fact_Pipeline!$K:$K,Fact_Pipeline!$B:$B,$A1063,Fact_Pipeline!$J:$J,"Won",Fact_Pipeline!$I:$I,"&gt;="&amp;B1063,Fact_Pipeline!$I:$I,"&lt;"&amp;EDATE(B1063,1))</f>
        <v>0</v>
      </c>
      <c r="F1063" s="63" t="b">
        <f>AND(D1063&gt;0,IFERROR(E1063/D1063&gt;=G6,FALSE()))</f>
        <v>0</v>
      </c>
      <c r="G1063" s="62">
        <f t="shared" si="107"/>
        <v>0</v>
      </c>
      <c r="H1063" s="62">
        <f>IF(F1063,MAX(0,MIN(E1063,I6*D1063)-D1063)*IFERROR(INDEX($C$158:$C$161,MATCH(C1063,$A$158:$A$161,0)),0),0)</f>
        <v>0</v>
      </c>
      <c r="I1063" s="62">
        <f>IF(F1063,MAX(0,E1063-I6*D1063)*IFERROR(INDEX($D$158:$D$161,MATCH(C1063,$A$158:$A$161,0)),0),0)</f>
        <v>0</v>
      </c>
      <c r="J1063" s="62">
        <f t="shared" si="108"/>
        <v>0</v>
      </c>
    </row>
    <row r="1064" spans="1:10" ht="15" customHeight="1" outlineLevel="1" x14ac:dyDescent="0.2">
      <c r="A1064" s="63" t="str">
        <f t="shared" si="109"/>
        <v>R025</v>
      </c>
      <c r="B1064" s="64">
        <f>$A$1427</f>
        <v>45474</v>
      </c>
      <c r="C1064" s="63" t="str">
        <f t="shared" si="110"/>
        <v>Mid-Market AE</v>
      </c>
      <c r="D1064" s="62">
        <f>SUMIFS(Fact_Quota!$D:$D,Fact_Quota!$A:$A,$A1064,Fact_Quota!$B:$B,"&gt;="&amp;B1064,Fact_Quota!$B:$B,"&lt;"&amp;EDATE(B1064,1))</f>
        <v>0</v>
      </c>
      <c r="E1064" s="62">
        <f>SUMIFS(Fact_Pipeline!$K:$K,Fact_Pipeline!$B:$B,$A1064,Fact_Pipeline!$J:$J,"Won",Fact_Pipeline!$I:$I,"&gt;="&amp;B1064,Fact_Pipeline!$I:$I,"&lt;"&amp;EDATE(B1064,1))</f>
        <v>0</v>
      </c>
      <c r="F1064" s="63" t="b">
        <f>AND(D1064&gt;0,IFERROR(E1064/D1064&gt;=G6,FALSE()))</f>
        <v>0</v>
      </c>
      <c r="G1064" s="62">
        <f t="shared" si="107"/>
        <v>0</v>
      </c>
      <c r="H1064" s="62">
        <f>IF(F1064,MAX(0,MIN(E1064,I6*D1064)-D1064)*IFERROR(INDEX($C$158:$C$161,MATCH(C1064,$A$158:$A$161,0)),0),0)</f>
        <v>0</v>
      </c>
      <c r="I1064" s="62">
        <f>IF(F1064,MAX(0,E1064-I6*D1064)*IFERROR(INDEX($D$158:$D$161,MATCH(C1064,$A$158:$A$161,0)),0),0)</f>
        <v>0</v>
      </c>
      <c r="J1064" s="62">
        <f t="shared" si="108"/>
        <v>0</v>
      </c>
    </row>
    <row r="1065" spans="1:10" ht="15" customHeight="1" outlineLevel="1" x14ac:dyDescent="0.2">
      <c r="A1065" s="63" t="str">
        <f t="shared" si="109"/>
        <v>R025</v>
      </c>
      <c r="B1065" s="64">
        <f>$A$1428</f>
        <v>45505</v>
      </c>
      <c r="C1065" s="63" t="str">
        <f t="shared" si="110"/>
        <v>Mid-Market AE</v>
      </c>
      <c r="D1065" s="62">
        <f>SUMIFS(Fact_Quota!$D:$D,Fact_Quota!$A:$A,$A1065,Fact_Quota!$B:$B,"&gt;="&amp;B1065,Fact_Quota!$B:$B,"&lt;"&amp;EDATE(B1065,1))</f>
        <v>0</v>
      </c>
      <c r="E1065" s="62">
        <f>SUMIFS(Fact_Pipeline!$K:$K,Fact_Pipeline!$B:$B,$A1065,Fact_Pipeline!$J:$J,"Won",Fact_Pipeline!$I:$I,"&gt;="&amp;B1065,Fact_Pipeline!$I:$I,"&lt;"&amp;EDATE(B1065,1))</f>
        <v>0</v>
      </c>
      <c r="F1065" s="63" t="b">
        <f>AND(D1065&gt;0,IFERROR(E1065/D1065&gt;=G6,FALSE()))</f>
        <v>0</v>
      </c>
      <c r="G1065" s="62">
        <f t="shared" si="107"/>
        <v>0</v>
      </c>
      <c r="H1065" s="62">
        <f>IF(F1065,MAX(0,MIN(E1065,I6*D1065)-D1065)*IFERROR(INDEX($C$158:$C$161,MATCH(C1065,$A$158:$A$161,0)),0),0)</f>
        <v>0</v>
      </c>
      <c r="I1065" s="62">
        <f>IF(F1065,MAX(0,E1065-I6*D1065)*IFERROR(INDEX($D$158:$D$161,MATCH(C1065,$A$158:$A$161,0)),0),0)</f>
        <v>0</v>
      </c>
      <c r="J1065" s="62">
        <f t="shared" si="108"/>
        <v>0</v>
      </c>
    </row>
    <row r="1066" spans="1:10" ht="15" customHeight="1" outlineLevel="1" x14ac:dyDescent="0.2">
      <c r="A1066" s="63" t="str">
        <f t="shared" si="109"/>
        <v>R025</v>
      </c>
      <c r="B1066" s="64">
        <f>$A$1429</f>
        <v>45536</v>
      </c>
      <c r="C1066" s="63" t="str">
        <f t="shared" si="110"/>
        <v>Mid-Market AE</v>
      </c>
      <c r="D1066" s="62">
        <f>SUMIFS(Fact_Quota!$D:$D,Fact_Quota!$A:$A,$A1066,Fact_Quota!$B:$B,"&gt;="&amp;B1066,Fact_Quota!$B:$B,"&lt;"&amp;EDATE(B1066,1))</f>
        <v>0</v>
      </c>
      <c r="E1066" s="62">
        <f>SUMIFS(Fact_Pipeline!$K:$K,Fact_Pipeline!$B:$B,$A1066,Fact_Pipeline!$J:$J,"Won",Fact_Pipeline!$I:$I,"&gt;="&amp;B1066,Fact_Pipeline!$I:$I,"&lt;"&amp;EDATE(B1066,1))</f>
        <v>0</v>
      </c>
      <c r="F1066" s="63" t="b">
        <f>AND(D1066&gt;0,IFERROR(E1066/D1066&gt;=G6,FALSE()))</f>
        <v>0</v>
      </c>
      <c r="G1066" s="62">
        <f t="shared" si="107"/>
        <v>0</v>
      </c>
      <c r="H1066" s="62">
        <f>IF(F1066,MAX(0,MIN(E1066,I6*D1066)-D1066)*IFERROR(INDEX($C$158:$C$161,MATCH(C1066,$A$158:$A$161,0)),0),0)</f>
        <v>0</v>
      </c>
      <c r="I1066" s="62">
        <f>IF(F1066,MAX(0,E1066-I6*D1066)*IFERROR(INDEX($D$158:$D$161,MATCH(C1066,$A$158:$A$161,0)),0),0)</f>
        <v>0</v>
      </c>
      <c r="J1066" s="62">
        <f t="shared" si="108"/>
        <v>0</v>
      </c>
    </row>
    <row r="1067" spans="1:10" ht="15" customHeight="1" outlineLevel="1" x14ac:dyDescent="0.2">
      <c r="A1067" s="63" t="str">
        <f t="shared" si="109"/>
        <v>R025</v>
      </c>
      <c r="B1067" s="64">
        <f>$A$1430</f>
        <v>45566</v>
      </c>
      <c r="C1067" s="63" t="str">
        <f t="shared" si="110"/>
        <v>Mid-Market AE</v>
      </c>
      <c r="D1067" s="62">
        <f>SUMIFS(Fact_Quota!$D:$D,Fact_Quota!$A:$A,$A1067,Fact_Quota!$B:$B,"&gt;="&amp;B1067,Fact_Quota!$B:$B,"&lt;"&amp;EDATE(B1067,1))</f>
        <v>0</v>
      </c>
      <c r="E1067" s="62">
        <f>SUMIFS(Fact_Pipeline!$K:$K,Fact_Pipeline!$B:$B,$A1067,Fact_Pipeline!$J:$J,"Won",Fact_Pipeline!$I:$I,"&gt;="&amp;B1067,Fact_Pipeline!$I:$I,"&lt;"&amp;EDATE(B1067,1))</f>
        <v>0</v>
      </c>
      <c r="F1067" s="63" t="b">
        <f>AND(D1067&gt;0,IFERROR(E1067/D1067&gt;=G6,FALSE()))</f>
        <v>0</v>
      </c>
      <c r="G1067" s="62">
        <f t="shared" si="107"/>
        <v>0</v>
      </c>
      <c r="H1067" s="62">
        <f>IF(F1067,MAX(0,MIN(E1067,I6*D1067)-D1067)*IFERROR(INDEX($C$158:$C$161,MATCH(C1067,$A$158:$A$161,0)),0),0)</f>
        <v>0</v>
      </c>
      <c r="I1067" s="62">
        <f>IF(F1067,MAX(0,E1067-I6*D1067)*IFERROR(INDEX($D$158:$D$161,MATCH(C1067,$A$158:$A$161,0)),0),0)</f>
        <v>0</v>
      </c>
      <c r="J1067" s="62">
        <f t="shared" si="108"/>
        <v>0</v>
      </c>
    </row>
    <row r="1068" spans="1:10" ht="15" customHeight="1" outlineLevel="1" x14ac:dyDescent="0.2">
      <c r="A1068" s="63" t="str">
        <f t="shared" si="109"/>
        <v>R025</v>
      </c>
      <c r="B1068" s="64">
        <f>$A$1431</f>
        <v>45597</v>
      </c>
      <c r="C1068" s="63" t="str">
        <f t="shared" si="110"/>
        <v>Mid-Market AE</v>
      </c>
      <c r="D1068" s="62">
        <f>SUMIFS(Fact_Quota!$D:$D,Fact_Quota!$A:$A,$A1068,Fact_Quota!$B:$B,"&gt;="&amp;B1068,Fact_Quota!$B:$B,"&lt;"&amp;EDATE(B1068,1))</f>
        <v>0</v>
      </c>
      <c r="E1068" s="62">
        <f>SUMIFS(Fact_Pipeline!$K:$K,Fact_Pipeline!$B:$B,$A1068,Fact_Pipeline!$J:$J,"Won",Fact_Pipeline!$I:$I,"&gt;="&amp;B1068,Fact_Pipeline!$I:$I,"&lt;"&amp;EDATE(B1068,1))</f>
        <v>0</v>
      </c>
      <c r="F1068" s="63" t="b">
        <f>AND(D1068&gt;0,IFERROR(E1068/D1068&gt;=G6,FALSE()))</f>
        <v>0</v>
      </c>
      <c r="G1068" s="62">
        <f t="shared" si="107"/>
        <v>0</v>
      </c>
      <c r="H1068" s="62">
        <f>IF(F1068,MAX(0,MIN(E1068,I6*D1068)-D1068)*IFERROR(INDEX($C$158:$C$161,MATCH(C1068,$A$158:$A$161,0)),0),0)</f>
        <v>0</v>
      </c>
      <c r="I1068" s="62">
        <f>IF(F1068,MAX(0,E1068-I6*D1068)*IFERROR(INDEX($D$158:$D$161,MATCH(C1068,$A$158:$A$161,0)),0),0)</f>
        <v>0</v>
      </c>
      <c r="J1068" s="62">
        <f t="shared" si="108"/>
        <v>0</v>
      </c>
    </row>
    <row r="1069" spans="1:10" ht="15" customHeight="1" outlineLevel="1" x14ac:dyDescent="0.2">
      <c r="A1069" s="63" t="str">
        <f t="shared" si="109"/>
        <v>R025</v>
      </c>
      <c r="B1069" s="64">
        <f>$A$1432</f>
        <v>45627</v>
      </c>
      <c r="C1069" s="63" t="str">
        <f t="shared" si="110"/>
        <v>Mid-Market AE</v>
      </c>
      <c r="D1069" s="62">
        <f>SUMIFS(Fact_Quota!$D:$D,Fact_Quota!$A:$A,$A1069,Fact_Quota!$B:$B,"&gt;="&amp;B1069,Fact_Quota!$B:$B,"&lt;"&amp;EDATE(B1069,1))</f>
        <v>0</v>
      </c>
      <c r="E1069" s="62">
        <f>SUMIFS(Fact_Pipeline!$K:$K,Fact_Pipeline!$B:$B,$A1069,Fact_Pipeline!$J:$J,"Won",Fact_Pipeline!$I:$I,"&gt;="&amp;B1069,Fact_Pipeline!$I:$I,"&lt;"&amp;EDATE(B1069,1))</f>
        <v>0</v>
      </c>
      <c r="F1069" s="63" t="b">
        <f>AND(D1069&gt;0,IFERROR(E1069/D1069&gt;=G6,FALSE()))</f>
        <v>0</v>
      </c>
      <c r="G1069" s="62">
        <f t="shared" si="107"/>
        <v>0</v>
      </c>
      <c r="H1069" s="62">
        <f>IF(F1069,MAX(0,MIN(E1069,I6*D1069)-D1069)*IFERROR(INDEX($C$158:$C$161,MATCH(C1069,$A$158:$A$161,0)),0),0)</f>
        <v>0</v>
      </c>
      <c r="I1069" s="62">
        <f>IF(F1069,MAX(0,E1069-I6*D1069)*IFERROR(INDEX($D$158:$D$161,MATCH(C1069,$A$158:$A$161,0)),0),0)</f>
        <v>0</v>
      </c>
      <c r="J1069" s="62">
        <f t="shared" si="108"/>
        <v>0</v>
      </c>
    </row>
    <row r="1070" spans="1:10" ht="15" customHeight="1" outlineLevel="1" x14ac:dyDescent="0.2">
      <c r="A1070" s="63" t="str">
        <f t="shared" si="109"/>
        <v>R025</v>
      </c>
      <c r="B1070" s="64">
        <f>$A$1433</f>
        <v>45658</v>
      </c>
      <c r="C1070" s="63" t="str">
        <f t="shared" si="110"/>
        <v>Mid-Market AE</v>
      </c>
      <c r="D1070" s="62">
        <f>SUMIFS(Fact_Quota!$D:$D,Fact_Quota!$A:$A,$A1070,Fact_Quota!$B:$B,"&gt;="&amp;B1070,Fact_Quota!$B:$B,"&lt;"&amp;EDATE(B1070,1))</f>
        <v>0</v>
      </c>
      <c r="E1070" s="62">
        <f>SUMIFS(Fact_Pipeline!$K:$K,Fact_Pipeline!$B:$B,$A1070,Fact_Pipeline!$J:$J,"Won",Fact_Pipeline!$I:$I,"&gt;="&amp;B1070,Fact_Pipeline!$I:$I,"&lt;"&amp;EDATE(B1070,1))</f>
        <v>0</v>
      </c>
      <c r="F1070" s="63" t="b">
        <f>AND(D1070&gt;0,IFERROR(E1070/D1070&gt;=G6,FALSE()))</f>
        <v>0</v>
      </c>
      <c r="G1070" s="62">
        <f t="shared" si="107"/>
        <v>0</v>
      </c>
      <c r="H1070" s="62">
        <f>IF(F1070,MAX(0,MIN(E1070,I6*D1070)-D1070)*IFERROR(INDEX($C$158:$C$161,MATCH(C1070,$A$158:$A$161,0)),0),0)</f>
        <v>0</v>
      </c>
      <c r="I1070" s="62">
        <f>IF(F1070,MAX(0,E1070-I6*D1070)*IFERROR(INDEX($D$158:$D$161,MATCH(C1070,$A$158:$A$161,0)),0),0)</f>
        <v>0</v>
      </c>
      <c r="J1070" s="62">
        <f t="shared" si="108"/>
        <v>0</v>
      </c>
    </row>
    <row r="1071" spans="1:10" ht="15" customHeight="1" outlineLevel="1" x14ac:dyDescent="0.2">
      <c r="A1071" s="63" t="str">
        <f t="shared" si="109"/>
        <v>R025</v>
      </c>
      <c r="B1071" s="64">
        <f>$A$1434</f>
        <v>45689</v>
      </c>
      <c r="C1071" s="63" t="str">
        <f t="shared" si="110"/>
        <v>Mid-Market AE</v>
      </c>
      <c r="D1071" s="62">
        <f>SUMIFS(Fact_Quota!$D:$D,Fact_Quota!$A:$A,$A1071,Fact_Quota!$B:$B,"&gt;="&amp;B1071,Fact_Quota!$B:$B,"&lt;"&amp;EDATE(B1071,1))</f>
        <v>0</v>
      </c>
      <c r="E1071" s="62">
        <f>SUMIFS(Fact_Pipeline!$K:$K,Fact_Pipeline!$B:$B,$A1071,Fact_Pipeline!$J:$J,"Won",Fact_Pipeline!$I:$I,"&gt;="&amp;B1071,Fact_Pipeline!$I:$I,"&lt;"&amp;EDATE(B1071,1))</f>
        <v>0</v>
      </c>
      <c r="F1071" s="63" t="b">
        <f>AND(D1071&gt;0,IFERROR(E1071/D1071&gt;=G6,FALSE()))</f>
        <v>0</v>
      </c>
      <c r="G1071" s="62">
        <f t="shared" si="107"/>
        <v>0</v>
      </c>
      <c r="H1071" s="62">
        <f>IF(F1071,MAX(0,MIN(E1071,I6*D1071)-D1071)*IFERROR(INDEX($C$158:$C$161,MATCH(C1071,$A$158:$A$161,0)),0),0)</f>
        <v>0</v>
      </c>
      <c r="I1071" s="62">
        <f>IF(F1071,MAX(0,E1071-I6*D1071)*IFERROR(INDEX($D$158:$D$161,MATCH(C1071,$A$158:$A$161,0)),0),0)</f>
        <v>0</v>
      </c>
      <c r="J1071" s="62">
        <f t="shared" si="108"/>
        <v>0</v>
      </c>
    </row>
    <row r="1072" spans="1:10" ht="15" customHeight="1" outlineLevel="1" x14ac:dyDescent="0.2">
      <c r="A1072" s="63" t="str">
        <f t="shared" si="109"/>
        <v>R025</v>
      </c>
      <c r="B1072" s="64">
        <f>$A$1435</f>
        <v>45717</v>
      </c>
      <c r="C1072" s="63" t="str">
        <f t="shared" si="110"/>
        <v>Mid-Market AE</v>
      </c>
      <c r="D1072" s="62">
        <f>SUMIFS(Fact_Quota!$D:$D,Fact_Quota!$A:$A,$A1072,Fact_Quota!$B:$B,"&gt;="&amp;B1072,Fact_Quota!$B:$B,"&lt;"&amp;EDATE(B1072,1))</f>
        <v>0</v>
      </c>
      <c r="E1072" s="62">
        <f>SUMIFS(Fact_Pipeline!$K:$K,Fact_Pipeline!$B:$B,$A1072,Fact_Pipeline!$J:$J,"Won",Fact_Pipeline!$I:$I,"&gt;="&amp;B1072,Fact_Pipeline!$I:$I,"&lt;"&amp;EDATE(B1072,1))</f>
        <v>0</v>
      </c>
      <c r="F1072" s="63" t="b">
        <f>AND(D1072&gt;0,IFERROR(E1072/D1072&gt;=G6,FALSE()))</f>
        <v>0</v>
      </c>
      <c r="G1072" s="62">
        <f t="shared" si="107"/>
        <v>0</v>
      </c>
      <c r="H1072" s="62">
        <f>IF(F1072,MAX(0,MIN(E1072,I6*D1072)-D1072)*IFERROR(INDEX($C$158:$C$161,MATCH(C1072,$A$158:$A$161,0)),0),0)</f>
        <v>0</v>
      </c>
      <c r="I1072" s="62">
        <f>IF(F1072,MAX(0,E1072-I6*D1072)*IFERROR(INDEX($D$158:$D$161,MATCH(C1072,$A$158:$A$161,0)),0),0)</f>
        <v>0</v>
      </c>
      <c r="J1072" s="62">
        <f t="shared" si="108"/>
        <v>0</v>
      </c>
    </row>
    <row r="1073" spans="1:10" ht="15" customHeight="1" outlineLevel="1" x14ac:dyDescent="0.2">
      <c r="A1073" s="63" t="str">
        <f t="shared" si="109"/>
        <v>R025</v>
      </c>
      <c r="B1073" s="64">
        <f>$A$1436</f>
        <v>45748</v>
      </c>
      <c r="C1073" s="63" t="str">
        <f t="shared" si="110"/>
        <v>Mid-Market AE</v>
      </c>
      <c r="D1073" s="62">
        <f>SUMIFS(Fact_Quota!$D:$D,Fact_Quota!$A:$A,$A1073,Fact_Quota!$B:$B,"&gt;="&amp;B1073,Fact_Quota!$B:$B,"&lt;"&amp;EDATE(B1073,1))</f>
        <v>0</v>
      </c>
      <c r="E1073" s="62">
        <f>SUMIFS(Fact_Pipeline!$K:$K,Fact_Pipeline!$B:$B,$A1073,Fact_Pipeline!$J:$J,"Won",Fact_Pipeline!$I:$I,"&gt;="&amp;B1073,Fact_Pipeline!$I:$I,"&lt;"&amp;EDATE(B1073,1))</f>
        <v>0</v>
      </c>
      <c r="F1073" s="63" t="b">
        <f>AND(D1073&gt;0,IFERROR(E1073/D1073&gt;=G6,FALSE()))</f>
        <v>0</v>
      </c>
      <c r="G1073" s="62">
        <f t="shared" si="107"/>
        <v>0</v>
      </c>
      <c r="H1073" s="62">
        <f>IF(F1073,MAX(0,MIN(E1073,I6*D1073)-D1073)*IFERROR(INDEX($C$158:$C$161,MATCH(C1073,$A$158:$A$161,0)),0),0)</f>
        <v>0</v>
      </c>
      <c r="I1073" s="62">
        <f>IF(F1073,MAX(0,E1073-I6*D1073)*IFERROR(INDEX($D$158:$D$161,MATCH(C1073,$A$158:$A$161,0)),0),0)</f>
        <v>0</v>
      </c>
      <c r="J1073" s="62">
        <f t="shared" si="108"/>
        <v>0</v>
      </c>
    </row>
    <row r="1074" spans="1:10" ht="15" customHeight="1" outlineLevel="1" x14ac:dyDescent="0.2">
      <c r="A1074" s="63" t="str">
        <f t="shared" si="109"/>
        <v>R025</v>
      </c>
      <c r="B1074" s="64">
        <f>$A$1437</f>
        <v>45778</v>
      </c>
      <c r="C1074" s="63" t="str">
        <f t="shared" si="110"/>
        <v>Mid-Market AE</v>
      </c>
      <c r="D1074" s="62">
        <f>SUMIFS(Fact_Quota!$D:$D,Fact_Quota!$A:$A,$A1074,Fact_Quota!$B:$B,"&gt;="&amp;B1074,Fact_Quota!$B:$B,"&lt;"&amp;EDATE(B1074,1))</f>
        <v>0</v>
      </c>
      <c r="E1074" s="62">
        <f>SUMIFS(Fact_Pipeline!$K:$K,Fact_Pipeline!$B:$B,$A1074,Fact_Pipeline!$J:$J,"Won",Fact_Pipeline!$I:$I,"&gt;="&amp;B1074,Fact_Pipeline!$I:$I,"&lt;"&amp;EDATE(B1074,1))</f>
        <v>0</v>
      </c>
      <c r="F1074" s="63" t="b">
        <f>AND(D1074&gt;0,IFERROR(E1074/D1074&gt;=G6,FALSE()))</f>
        <v>0</v>
      </c>
      <c r="G1074" s="62">
        <f t="shared" si="107"/>
        <v>0</v>
      </c>
      <c r="H1074" s="62">
        <f>IF(F1074,MAX(0,MIN(E1074,I6*D1074)-D1074)*IFERROR(INDEX($C$158:$C$161,MATCH(C1074,$A$158:$A$161,0)),0),0)</f>
        <v>0</v>
      </c>
      <c r="I1074" s="62">
        <f>IF(F1074,MAX(0,E1074-I6*D1074)*IFERROR(INDEX($D$158:$D$161,MATCH(C1074,$A$158:$A$161,0)),0),0)</f>
        <v>0</v>
      </c>
      <c r="J1074" s="62">
        <f t="shared" si="108"/>
        <v>0</v>
      </c>
    </row>
    <row r="1075" spans="1:10" ht="15" customHeight="1" outlineLevel="1" x14ac:dyDescent="0.2">
      <c r="A1075" s="63" t="str">
        <f t="shared" si="109"/>
        <v>R025</v>
      </c>
      <c r="B1075" s="64">
        <f>$A$1438</f>
        <v>45809</v>
      </c>
      <c r="C1075" s="63" t="str">
        <f t="shared" si="110"/>
        <v>Mid-Market AE</v>
      </c>
      <c r="D1075" s="62">
        <f>SUMIFS(Fact_Quota!$D:$D,Fact_Quota!$A:$A,$A1075,Fact_Quota!$B:$B,"&gt;="&amp;B1075,Fact_Quota!$B:$B,"&lt;"&amp;EDATE(B1075,1))</f>
        <v>0</v>
      </c>
      <c r="E1075" s="62">
        <f>SUMIFS(Fact_Pipeline!$K:$K,Fact_Pipeline!$B:$B,$A1075,Fact_Pipeline!$J:$J,"Won",Fact_Pipeline!$I:$I,"&gt;="&amp;B1075,Fact_Pipeline!$I:$I,"&lt;"&amp;EDATE(B1075,1))</f>
        <v>0</v>
      </c>
      <c r="F1075" s="63" t="b">
        <f>AND(D1075&gt;0,IFERROR(E1075/D1075&gt;=G6,FALSE()))</f>
        <v>0</v>
      </c>
      <c r="G1075" s="62">
        <f t="shared" si="107"/>
        <v>0</v>
      </c>
      <c r="H1075" s="62">
        <f>IF(F1075,MAX(0,MIN(E1075,I6*D1075)-D1075)*IFERROR(INDEX($C$158:$C$161,MATCH(C1075,$A$158:$A$161,0)),0),0)</f>
        <v>0</v>
      </c>
      <c r="I1075" s="62">
        <f>IF(F1075,MAX(0,E1075-I6*D1075)*IFERROR(INDEX($D$158:$D$161,MATCH(C1075,$A$158:$A$161,0)),0),0)</f>
        <v>0</v>
      </c>
      <c r="J1075" s="62">
        <f t="shared" si="108"/>
        <v>0</v>
      </c>
    </row>
    <row r="1076" spans="1:10" ht="15" customHeight="1" outlineLevel="1" x14ac:dyDescent="0.2">
      <c r="A1076" s="63" t="str">
        <f t="shared" si="109"/>
        <v>R025</v>
      </c>
      <c r="B1076" s="64">
        <f>$A$1439</f>
        <v>45839</v>
      </c>
      <c r="C1076" s="63" t="str">
        <f t="shared" si="110"/>
        <v>Mid-Market AE</v>
      </c>
      <c r="D1076" s="62">
        <f>SUMIFS(Fact_Quota!$D:$D,Fact_Quota!$A:$A,$A1076,Fact_Quota!$B:$B,"&gt;="&amp;B1076,Fact_Quota!$B:$B,"&lt;"&amp;EDATE(B1076,1))</f>
        <v>5300</v>
      </c>
      <c r="E1076" s="62">
        <f>SUMIFS(Fact_Pipeline!$K:$K,Fact_Pipeline!$B:$B,$A1076,Fact_Pipeline!$J:$J,"Won",Fact_Pipeline!$I:$I,"&gt;="&amp;B1076,Fact_Pipeline!$I:$I,"&lt;"&amp;EDATE(B1076,1))</f>
        <v>0</v>
      </c>
      <c r="F1076" s="63" t="b">
        <f>AND(D1076&gt;0,IFERROR(E1076/D1076&gt;=G6,FALSE()))</f>
        <v>0</v>
      </c>
      <c r="G1076" s="62">
        <f t="shared" si="107"/>
        <v>0</v>
      </c>
      <c r="H1076" s="62">
        <f>IF(F1076,MAX(0,MIN(E1076,I6*D1076)-D1076)*IFERROR(INDEX($C$158:$C$161,MATCH(C1076,$A$158:$A$161,0)),0),0)</f>
        <v>0</v>
      </c>
      <c r="I1076" s="62">
        <f>IF(F1076,MAX(0,E1076-I6*D1076)*IFERROR(INDEX($D$158:$D$161,MATCH(C1076,$A$158:$A$161,0)),0),0)</f>
        <v>0</v>
      </c>
      <c r="J1076" s="62">
        <f t="shared" si="108"/>
        <v>0</v>
      </c>
    </row>
    <row r="1077" spans="1:10" ht="15" customHeight="1" outlineLevel="1" x14ac:dyDescent="0.2">
      <c r="A1077" s="63" t="str">
        <f t="shared" si="109"/>
        <v>R025</v>
      </c>
      <c r="B1077" s="64">
        <f>$A$1440</f>
        <v>45870</v>
      </c>
      <c r="C1077" s="63" t="str">
        <f t="shared" si="110"/>
        <v>Mid-Market AE</v>
      </c>
      <c r="D1077" s="62">
        <f>SUMIFS(Fact_Quota!$D:$D,Fact_Quota!$A:$A,$A1077,Fact_Quota!$B:$B,"&gt;="&amp;B1077,Fact_Quota!$B:$B,"&lt;"&amp;EDATE(B1077,1))</f>
        <v>10300</v>
      </c>
      <c r="E1077" s="62">
        <f>SUMIFS(Fact_Pipeline!$K:$K,Fact_Pipeline!$B:$B,$A1077,Fact_Pipeline!$J:$J,"Won",Fact_Pipeline!$I:$I,"&gt;="&amp;B1077,Fact_Pipeline!$I:$I,"&lt;"&amp;EDATE(B1077,1))</f>
        <v>0</v>
      </c>
      <c r="F1077" s="63" t="b">
        <f>AND(D1077&gt;0,IFERROR(E1077/D1077&gt;=G6,FALSE()))</f>
        <v>0</v>
      </c>
      <c r="G1077" s="62">
        <f t="shared" si="107"/>
        <v>0</v>
      </c>
      <c r="H1077" s="62">
        <f>IF(F1077,MAX(0,MIN(E1077,I6*D1077)-D1077)*IFERROR(INDEX($C$158:$C$161,MATCH(C1077,$A$158:$A$161,0)),0),0)</f>
        <v>0</v>
      </c>
      <c r="I1077" s="62">
        <f>IF(F1077,MAX(0,E1077-I6*D1077)*IFERROR(INDEX($D$158:$D$161,MATCH(C1077,$A$158:$A$161,0)),0),0)</f>
        <v>0</v>
      </c>
      <c r="J1077" s="62">
        <f t="shared" si="108"/>
        <v>0</v>
      </c>
    </row>
    <row r="1078" spans="1:10" ht="15" customHeight="1" outlineLevel="1" x14ac:dyDescent="0.2">
      <c r="A1078" s="63" t="str">
        <f t="shared" si="109"/>
        <v>R025</v>
      </c>
      <c r="B1078" s="64">
        <f>$A$1441</f>
        <v>45901</v>
      </c>
      <c r="C1078" s="63" t="str">
        <f t="shared" si="110"/>
        <v>Mid-Market AE</v>
      </c>
      <c r="D1078" s="62">
        <f>SUMIFS(Fact_Quota!$D:$D,Fact_Quota!$A:$A,$A1078,Fact_Quota!$B:$B,"&gt;="&amp;B1078,Fact_Quota!$B:$B,"&lt;"&amp;EDATE(B1078,1))</f>
        <v>16400</v>
      </c>
      <c r="E1078" s="62">
        <f>SUMIFS(Fact_Pipeline!$K:$K,Fact_Pipeline!$B:$B,$A1078,Fact_Pipeline!$J:$J,"Won",Fact_Pipeline!$I:$I,"&gt;="&amp;B1078,Fact_Pipeline!$I:$I,"&lt;"&amp;EDATE(B1078,1))</f>
        <v>8800</v>
      </c>
      <c r="F1078" s="63" t="b">
        <f>AND(D1078&gt;0,IFERROR(E1078/D1078&gt;=G6,FALSE()))</f>
        <v>1</v>
      </c>
      <c r="G1078" s="62">
        <f t="shared" si="107"/>
        <v>440</v>
      </c>
      <c r="H1078" s="62">
        <f>IF(F1078,MAX(0,MIN(E1078,I6*D1078)-D1078)*IFERROR(INDEX($C$158:$C$161,MATCH(C1078,$A$158:$A$161,0)),0),0)</f>
        <v>0</v>
      </c>
      <c r="I1078" s="62">
        <f>IF(F1078,MAX(0,E1078-I6*D1078)*IFERROR(INDEX($D$158:$D$161,MATCH(C1078,$A$158:$A$161,0)),0),0)</f>
        <v>0</v>
      </c>
      <c r="J1078" s="62">
        <f t="shared" si="108"/>
        <v>440</v>
      </c>
    </row>
    <row r="1079" spans="1:10" ht="15" customHeight="1" outlineLevel="1" x14ac:dyDescent="0.2">
      <c r="A1079" s="63" t="str">
        <f t="shared" si="109"/>
        <v>R025</v>
      </c>
      <c r="B1079" s="64">
        <f>$A$1442</f>
        <v>45931</v>
      </c>
      <c r="C1079" s="63" t="str">
        <f t="shared" si="110"/>
        <v>Mid-Market AE</v>
      </c>
      <c r="D1079" s="62">
        <f>SUMIFS(Fact_Quota!$D:$D,Fact_Quota!$A:$A,$A1079,Fact_Quota!$B:$B,"&gt;="&amp;B1079,Fact_Quota!$B:$B,"&lt;"&amp;EDATE(B1079,1))</f>
        <v>22500</v>
      </c>
      <c r="E1079" s="62">
        <f>SUMIFS(Fact_Pipeline!$K:$K,Fact_Pipeline!$B:$B,$A1079,Fact_Pipeline!$J:$J,"Won",Fact_Pipeline!$I:$I,"&gt;="&amp;B1079,Fact_Pipeline!$I:$I,"&lt;"&amp;EDATE(B1079,1))</f>
        <v>13500</v>
      </c>
      <c r="F1079" s="63" t="b">
        <f>AND(D1079&gt;0,IFERROR(E1079/D1079&gt;=G6,FALSE()))</f>
        <v>1</v>
      </c>
      <c r="G1079" s="62">
        <f t="shared" si="107"/>
        <v>675</v>
      </c>
      <c r="H1079" s="62">
        <f>IF(F1079,MAX(0,MIN(E1079,I6*D1079)-D1079)*IFERROR(INDEX($C$158:$C$161,MATCH(C1079,$A$158:$A$161,0)),0),0)</f>
        <v>0</v>
      </c>
      <c r="I1079" s="62">
        <f>IF(F1079,MAX(0,E1079-I6*D1079)*IFERROR(INDEX($D$158:$D$161,MATCH(C1079,$A$158:$A$161,0)),0),0)</f>
        <v>0</v>
      </c>
      <c r="J1079" s="62">
        <f t="shared" si="108"/>
        <v>675</v>
      </c>
    </row>
    <row r="1080" spans="1:10" ht="15" customHeight="1" outlineLevel="1" x14ac:dyDescent="0.2">
      <c r="A1080" s="63" t="str">
        <f t="shared" si="109"/>
        <v>R025</v>
      </c>
      <c r="B1080" s="64">
        <f>$A$1443</f>
        <v>45962</v>
      </c>
      <c r="C1080" s="63" t="str">
        <f t="shared" si="110"/>
        <v>Mid-Market AE</v>
      </c>
      <c r="D1080" s="62">
        <f>SUMIFS(Fact_Quota!$D:$D,Fact_Quota!$A:$A,$A1080,Fact_Quota!$B:$B,"&gt;="&amp;B1080,Fact_Quota!$B:$B,"&lt;"&amp;EDATE(B1080,1))</f>
        <v>23000</v>
      </c>
      <c r="E1080" s="62">
        <f>SUMIFS(Fact_Pipeline!$K:$K,Fact_Pipeline!$B:$B,$A1080,Fact_Pipeline!$J:$J,"Won",Fact_Pipeline!$I:$I,"&gt;="&amp;B1080,Fact_Pipeline!$I:$I,"&lt;"&amp;EDATE(B1080,1))</f>
        <v>26800</v>
      </c>
      <c r="F1080" s="63" t="b">
        <f>AND(D1080&gt;0,IFERROR(E1080/D1080&gt;=G6,FALSE()))</f>
        <v>1</v>
      </c>
      <c r="G1080" s="62">
        <f t="shared" si="107"/>
        <v>1150</v>
      </c>
      <c r="H1080" s="62">
        <f>IF(F1080,MAX(0,MIN(E1080,I6*D1080)-D1080)*IFERROR(INDEX($C$158:$C$161,MATCH(C1080,$A$158:$A$161,0)),0),0)</f>
        <v>304</v>
      </c>
      <c r="I1080" s="62">
        <f>IF(F1080,MAX(0,E1080-I6*D1080)*IFERROR(INDEX($D$158:$D$161,MATCH(C1080,$A$158:$A$161,0)),0),0)</f>
        <v>0</v>
      </c>
      <c r="J1080" s="62">
        <f t="shared" si="108"/>
        <v>1454</v>
      </c>
    </row>
    <row r="1081" spans="1:10" ht="15" customHeight="1" outlineLevel="1" x14ac:dyDescent="0.2">
      <c r="A1081" s="63" t="str">
        <f t="shared" si="109"/>
        <v>R025</v>
      </c>
      <c r="B1081" s="64">
        <f>$A$1444</f>
        <v>45992</v>
      </c>
      <c r="C1081" s="63" t="str">
        <f t="shared" si="110"/>
        <v>Mid-Market AE</v>
      </c>
      <c r="D1081" s="62">
        <f>SUMIFS(Fact_Quota!$D:$D,Fact_Quota!$A:$A,$A1081,Fact_Quota!$B:$B,"&gt;="&amp;B1081,Fact_Quota!$B:$B,"&lt;"&amp;EDATE(B1081,1))</f>
        <v>22000</v>
      </c>
      <c r="E1081" s="62">
        <f>SUMIFS(Fact_Pipeline!$K:$K,Fact_Pipeline!$B:$B,$A1081,Fact_Pipeline!$J:$J,"Won",Fact_Pipeline!$I:$I,"&gt;="&amp;B1081,Fact_Pipeline!$I:$I,"&lt;"&amp;EDATE(B1081,1))</f>
        <v>25700</v>
      </c>
      <c r="F1081" s="63" t="b">
        <f>AND(D1081&gt;0,IFERROR(E1081/D1081&gt;=G6,FALSE()))</f>
        <v>1</v>
      </c>
      <c r="G1081" s="62">
        <f t="shared" si="107"/>
        <v>1100</v>
      </c>
      <c r="H1081" s="62">
        <f>IF(F1081,MAX(0,MIN(E1081,I6*D1081)-D1081)*IFERROR(INDEX($C$158:$C$161,MATCH(C1081,$A$158:$A$161,0)),0),0)</f>
        <v>296</v>
      </c>
      <c r="I1081" s="62">
        <f>IF(F1081,MAX(0,E1081-I6*D1081)*IFERROR(INDEX($D$158:$D$161,MATCH(C1081,$A$158:$A$161,0)),0),0)</f>
        <v>0</v>
      </c>
      <c r="J1081" s="62">
        <f t="shared" si="108"/>
        <v>1396</v>
      </c>
    </row>
    <row r="1082" spans="1:10" ht="15" customHeight="1" outlineLevel="1" x14ac:dyDescent="0.2">
      <c r="A1082" s="66" t="str">
        <f t="shared" ref="A1082:A1105" si="111">$A$201</f>
        <v>R028</v>
      </c>
      <c r="B1082" s="67">
        <f>$A$1421</f>
        <v>45292</v>
      </c>
      <c r="C1082" s="66" t="str">
        <f t="shared" ref="C1082:C1105" si="112">$C$201</f>
        <v>Mid-Market AE</v>
      </c>
      <c r="D1082" s="65">
        <f>SUMIFS(Fact_Quota!$D:$D,Fact_Quota!$A:$A,$A1082,Fact_Quota!$B:$B,"&gt;="&amp;B1082,Fact_Quota!$B:$B,"&lt;"&amp;EDATE(B1082,1))</f>
        <v>0</v>
      </c>
      <c r="E1082" s="65">
        <f>SUMIFS(Fact_Pipeline!$K:$K,Fact_Pipeline!$B:$B,$A1082,Fact_Pipeline!$J:$J,"Won",Fact_Pipeline!$I:$I,"&gt;="&amp;B1082,Fact_Pipeline!$I:$I,"&lt;"&amp;EDATE(B1082,1))</f>
        <v>0</v>
      </c>
      <c r="F1082" s="66" t="b">
        <f>AND(D1082&gt;0,IFERROR(E1082/D1082&gt;=G6,FALSE()))</f>
        <v>0</v>
      </c>
      <c r="G1082" s="65">
        <f t="shared" si="107"/>
        <v>0</v>
      </c>
      <c r="H1082" s="65">
        <f>IF(F1082,MAX(0,MIN(E1082,I6*D1082)-D1082)*IFERROR(INDEX($C$158:$C$161,MATCH(C1082,$A$158:$A$161,0)),0),0)</f>
        <v>0</v>
      </c>
      <c r="I1082" s="65">
        <f>IF(F1082,MAX(0,E1082-I6*D1082)*IFERROR(INDEX($D$158:$D$161,MATCH(C1082,$A$158:$A$161,0)),0),0)</f>
        <v>0</v>
      </c>
      <c r="J1082" s="65">
        <f t="shared" si="108"/>
        <v>0</v>
      </c>
    </row>
    <row r="1083" spans="1:10" ht="15" customHeight="1" outlineLevel="1" x14ac:dyDescent="0.2">
      <c r="A1083" s="66" t="str">
        <f t="shared" si="111"/>
        <v>R028</v>
      </c>
      <c r="B1083" s="67">
        <f>$A$1422</f>
        <v>45323</v>
      </c>
      <c r="C1083" s="66" t="str">
        <f t="shared" si="112"/>
        <v>Mid-Market AE</v>
      </c>
      <c r="D1083" s="65">
        <f>SUMIFS(Fact_Quota!$D:$D,Fact_Quota!$A:$A,$A1083,Fact_Quota!$B:$B,"&gt;="&amp;B1083,Fact_Quota!$B:$B,"&lt;"&amp;EDATE(B1083,1))</f>
        <v>0</v>
      </c>
      <c r="E1083" s="65">
        <f>SUMIFS(Fact_Pipeline!$K:$K,Fact_Pipeline!$B:$B,$A1083,Fact_Pipeline!$J:$J,"Won",Fact_Pipeline!$I:$I,"&gt;="&amp;B1083,Fact_Pipeline!$I:$I,"&lt;"&amp;EDATE(B1083,1))</f>
        <v>0</v>
      </c>
      <c r="F1083" s="66" t="b">
        <f>AND(D1083&gt;0,IFERROR(E1083/D1083&gt;=G6,FALSE()))</f>
        <v>0</v>
      </c>
      <c r="G1083" s="65">
        <f t="shared" si="107"/>
        <v>0</v>
      </c>
      <c r="H1083" s="65">
        <f>IF(F1083,MAX(0,MIN(E1083,I6*D1083)-D1083)*IFERROR(INDEX($C$158:$C$161,MATCH(C1083,$A$158:$A$161,0)),0),0)</f>
        <v>0</v>
      </c>
      <c r="I1083" s="65">
        <f>IF(F1083,MAX(0,E1083-I6*D1083)*IFERROR(INDEX($D$158:$D$161,MATCH(C1083,$A$158:$A$161,0)),0),0)</f>
        <v>0</v>
      </c>
      <c r="J1083" s="65">
        <f t="shared" si="108"/>
        <v>0</v>
      </c>
    </row>
    <row r="1084" spans="1:10" ht="15" customHeight="1" outlineLevel="1" x14ac:dyDescent="0.2">
      <c r="A1084" s="66" t="str">
        <f t="shared" si="111"/>
        <v>R028</v>
      </c>
      <c r="B1084" s="67">
        <f>$A$1423</f>
        <v>45352</v>
      </c>
      <c r="C1084" s="66" t="str">
        <f t="shared" si="112"/>
        <v>Mid-Market AE</v>
      </c>
      <c r="D1084" s="65">
        <f>SUMIFS(Fact_Quota!$D:$D,Fact_Quota!$A:$A,$A1084,Fact_Quota!$B:$B,"&gt;="&amp;B1084,Fact_Quota!$B:$B,"&lt;"&amp;EDATE(B1084,1))</f>
        <v>0</v>
      </c>
      <c r="E1084" s="65">
        <f>SUMIFS(Fact_Pipeline!$K:$K,Fact_Pipeline!$B:$B,$A1084,Fact_Pipeline!$J:$J,"Won",Fact_Pipeline!$I:$I,"&gt;="&amp;B1084,Fact_Pipeline!$I:$I,"&lt;"&amp;EDATE(B1084,1))</f>
        <v>0</v>
      </c>
      <c r="F1084" s="66" t="b">
        <f>AND(D1084&gt;0,IFERROR(E1084/D1084&gt;=G6,FALSE()))</f>
        <v>0</v>
      </c>
      <c r="G1084" s="65">
        <f t="shared" si="107"/>
        <v>0</v>
      </c>
      <c r="H1084" s="65">
        <f>IF(F1084,MAX(0,MIN(E1084,I6*D1084)-D1084)*IFERROR(INDEX($C$158:$C$161,MATCH(C1084,$A$158:$A$161,0)),0),0)</f>
        <v>0</v>
      </c>
      <c r="I1084" s="65">
        <f>IF(F1084,MAX(0,E1084-I6*D1084)*IFERROR(INDEX($D$158:$D$161,MATCH(C1084,$A$158:$A$161,0)),0),0)</f>
        <v>0</v>
      </c>
      <c r="J1084" s="65">
        <f t="shared" si="108"/>
        <v>0</v>
      </c>
    </row>
    <row r="1085" spans="1:10" ht="15" customHeight="1" outlineLevel="1" x14ac:dyDescent="0.2">
      <c r="A1085" s="66" t="str">
        <f t="shared" si="111"/>
        <v>R028</v>
      </c>
      <c r="B1085" s="67">
        <f>$A$1424</f>
        <v>45383</v>
      </c>
      <c r="C1085" s="66" t="str">
        <f t="shared" si="112"/>
        <v>Mid-Market AE</v>
      </c>
      <c r="D1085" s="65">
        <f>SUMIFS(Fact_Quota!$D:$D,Fact_Quota!$A:$A,$A1085,Fact_Quota!$B:$B,"&gt;="&amp;B1085,Fact_Quota!$B:$B,"&lt;"&amp;EDATE(B1085,1))</f>
        <v>0</v>
      </c>
      <c r="E1085" s="65">
        <f>SUMIFS(Fact_Pipeline!$K:$K,Fact_Pipeline!$B:$B,$A1085,Fact_Pipeline!$J:$J,"Won",Fact_Pipeline!$I:$I,"&gt;="&amp;B1085,Fact_Pipeline!$I:$I,"&lt;"&amp;EDATE(B1085,1))</f>
        <v>0</v>
      </c>
      <c r="F1085" s="66" t="b">
        <f>AND(D1085&gt;0,IFERROR(E1085/D1085&gt;=G6,FALSE()))</f>
        <v>0</v>
      </c>
      <c r="G1085" s="65">
        <f t="shared" si="107"/>
        <v>0</v>
      </c>
      <c r="H1085" s="65">
        <f>IF(F1085,MAX(0,MIN(E1085,I6*D1085)-D1085)*IFERROR(INDEX($C$158:$C$161,MATCH(C1085,$A$158:$A$161,0)),0),0)</f>
        <v>0</v>
      </c>
      <c r="I1085" s="65">
        <f>IF(F1085,MAX(0,E1085-I6*D1085)*IFERROR(INDEX($D$158:$D$161,MATCH(C1085,$A$158:$A$161,0)),0),0)</f>
        <v>0</v>
      </c>
      <c r="J1085" s="65">
        <f t="shared" si="108"/>
        <v>0</v>
      </c>
    </row>
    <row r="1086" spans="1:10" ht="15" customHeight="1" outlineLevel="1" x14ac:dyDescent="0.2">
      <c r="A1086" s="66" t="str">
        <f t="shared" si="111"/>
        <v>R028</v>
      </c>
      <c r="B1086" s="67">
        <f>$A$1425</f>
        <v>45413</v>
      </c>
      <c r="C1086" s="66" t="str">
        <f t="shared" si="112"/>
        <v>Mid-Market AE</v>
      </c>
      <c r="D1086" s="65">
        <f>SUMIFS(Fact_Quota!$D:$D,Fact_Quota!$A:$A,$A1086,Fact_Quota!$B:$B,"&gt;="&amp;B1086,Fact_Quota!$B:$B,"&lt;"&amp;EDATE(B1086,1))</f>
        <v>0</v>
      </c>
      <c r="E1086" s="65">
        <f>SUMIFS(Fact_Pipeline!$K:$K,Fact_Pipeline!$B:$B,$A1086,Fact_Pipeline!$J:$J,"Won",Fact_Pipeline!$I:$I,"&gt;="&amp;B1086,Fact_Pipeline!$I:$I,"&lt;"&amp;EDATE(B1086,1))</f>
        <v>0</v>
      </c>
      <c r="F1086" s="66" t="b">
        <f>AND(D1086&gt;0,IFERROR(E1086/D1086&gt;=G6,FALSE()))</f>
        <v>0</v>
      </c>
      <c r="G1086" s="65">
        <f t="shared" si="107"/>
        <v>0</v>
      </c>
      <c r="H1086" s="65">
        <f>IF(F1086,MAX(0,MIN(E1086,I6*D1086)-D1086)*IFERROR(INDEX($C$158:$C$161,MATCH(C1086,$A$158:$A$161,0)),0),0)</f>
        <v>0</v>
      </c>
      <c r="I1086" s="65">
        <f>IF(F1086,MAX(0,E1086-I6*D1086)*IFERROR(INDEX($D$158:$D$161,MATCH(C1086,$A$158:$A$161,0)),0),0)</f>
        <v>0</v>
      </c>
      <c r="J1086" s="65">
        <f t="shared" si="108"/>
        <v>0</v>
      </c>
    </row>
    <row r="1087" spans="1:10" ht="15" customHeight="1" outlineLevel="1" x14ac:dyDescent="0.2">
      <c r="A1087" s="66" t="str">
        <f t="shared" si="111"/>
        <v>R028</v>
      </c>
      <c r="B1087" s="67">
        <f>$A$1426</f>
        <v>45444</v>
      </c>
      <c r="C1087" s="66" t="str">
        <f t="shared" si="112"/>
        <v>Mid-Market AE</v>
      </c>
      <c r="D1087" s="65">
        <f>SUMIFS(Fact_Quota!$D:$D,Fact_Quota!$A:$A,$A1087,Fact_Quota!$B:$B,"&gt;="&amp;B1087,Fact_Quota!$B:$B,"&lt;"&amp;EDATE(B1087,1))</f>
        <v>0</v>
      </c>
      <c r="E1087" s="65">
        <f>SUMIFS(Fact_Pipeline!$K:$K,Fact_Pipeline!$B:$B,$A1087,Fact_Pipeline!$J:$J,"Won",Fact_Pipeline!$I:$I,"&gt;="&amp;B1087,Fact_Pipeline!$I:$I,"&lt;"&amp;EDATE(B1087,1))</f>
        <v>0</v>
      </c>
      <c r="F1087" s="66" t="b">
        <f>AND(D1087&gt;0,IFERROR(E1087/D1087&gt;=G6,FALSE()))</f>
        <v>0</v>
      </c>
      <c r="G1087" s="65">
        <f t="shared" si="107"/>
        <v>0</v>
      </c>
      <c r="H1087" s="65">
        <f>IF(F1087,MAX(0,MIN(E1087,I6*D1087)-D1087)*IFERROR(INDEX($C$158:$C$161,MATCH(C1087,$A$158:$A$161,0)),0),0)</f>
        <v>0</v>
      </c>
      <c r="I1087" s="65">
        <f>IF(F1087,MAX(0,E1087-I6*D1087)*IFERROR(INDEX($D$158:$D$161,MATCH(C1087,$A$158:$A$161,0)),0),0)</f>
        <v>0</v>
      </c>
      <c r="J1087" s="65">
        <f t="shared" si="108"/>
        <v>0</v>
      </c>
    </row>
    <row r="1088" spans="1:10" ht="15" customHeight="1" outlineLevel="1" x14ac:dyDescent="0.2">
      <c r="A1088" s="66" t="str">
        <f t="shared" si="111"/>
        <v>R028</v>
      </c>
      <c r="B1088" s="67">
        <f>$A$1427</f>
        <v>45474</v>
      </c>
      <c r="C1088" s="66" t="str">
        <f t="shared" si="112"/>
        <v>Mid-Market AE</v>
      </c>
      <c r="D1088" s="65">
        <f>SUMIFS(Fact_Quota!$D:$D,Fact_Quota!$A:$A,$A1088,Fact_Quota!$B:$B,"&gt;="&amp;B1088,Fact_Quota!$B:$B,"&lt;"&amp;EDATE(B1088,1))</f>
        <v>0</v>
      </c>
      <c r="E1088" s="65">
        <f>SUMIFS(Fact_Pipeline!$K:$K,Fact_Pipeline!$B:$B,$A1088,Fact_Pipeline!$J:$J,"Won",Fact_Pipeline!$I:$I,"&gt;="&amp;B1088,Fact_Pipeline!$I:$I,"&lt;"&amp;EDATE(B1088,1))</f>
        <v>0</v>
      </c>
      <c r="F1088" s="66" t="b">
        <f>AND(D1088&gt;0,IFERROR(E1088/D1088&gt;=G6,FALSE()))</f>
        <v>0</v>
      </c>
      <c r="G1088" s="65">
        <f t="shared" si="107"/>
        <v>0</v>
      </c>
      <c r="H1088" s="65">
        <f>IF(F1088,MAX(0,MIN(E1088,I6*D1088)-D1088)*IFERROR(INDEX($C$158:$C$161,MATCH(C1088,$A$158:$A$161,0)),0),0)</f>
        <v>0</v>
      </c>
      <c r="I1088" s="65">
        <f>IF(F1088,MAX(0,E1088-I6*D1088)*IFERROR(INDEX($D$158:$D$161,MATCH(C1088,$A$158:$A$161,0)),0),0)</f>
        <v>0</v>
      </c>
      <c r="J1088" s="65">
        <f t="shared" si="108"/>
        <v>0</v>
      </c>
    </row>
    <row r="1089" spans="1:10" ht="15" customHeight="1" outlineLevel="1" x14ac:dyDescent="0.2">
      <c r="A1089" s="66" t="str">
        <f t="shared" si="111"/>
        <v>R028</v>
      </c>
      <c r="B1089" s="67">
        <f>$A$1428</f>
        <v>45505</v>
      </c>
      <c r="C1089" s="66" t="str">
        <f t="shared" si="112"/>
        <v>Mid-Market AE</v>
      </c>
      <c r="D1089" s="65">
        <f>SUMIFS(Fact_Quota!$D:$D,Fact_Quota!$A:$A,$A1089,Fact_Quota!$B:$B,"&gt;="&amp;B1089,Fact_Quota!$B:$B,"&lt;"&amp;EDATE(B1089,1))</f>
        <v>0</v>
      </c>
      <c r="E1089" s="65">
        <f>SUMIFS(Fact_Pipeline!$K:$K,Fact_Pipeline!$B:$B,$A1089,Fact_Pipeline!$J:$J,"Won",Fact_Pipeline!$I:$I,"&gt;="&amp;B1089,Fact_Pipeline!$I:$I,"&lt;"&amp;EDATE(B1089,1))</f>
        <v>0</v>
      </c>
      <c r="F1089" s="66" t="b">
        <f>AND(D1089&gt;0,IFERROR(E1089/D1089&gt;=G6,FALSE()))</f>
        <v>0</v>
      </c>
      <c r="G1089" s="65">
        <f t="shared" si="107"/>
        <v>0</v>
      </c>
      <c r="H1089" s="65">
        <f>IF(F1089,MAX(0,MIN(E1089,I6*D1089)-D1089)*IFERROR(INDEX($C$158:$C$161,MATCH(C1089,$A$158:$A$161,0)),0),0)</f>
        <v>0</v>
      </c>
      <c r="I1089" s="65">
        <f>IF(F1089,MAX(0,E1089-I6*D1089)*IFERROR(INDEX($D$158:$D$161,MATCH(C1089,$A$158:$A$161,0)),0),0)</f>
        <v>0</v>
      </c>
      <c r="J1089" s="65">
        <f t="shared" si="108"/>
        <v>0</v>
      </c>
    </row>
    <row r="1090" spans="1:10" ht="15" customHeight="1" outlineLevel="1" x14ac:dyDescent="0.2">
      <c r="A1090" s="66" t="str">
        <f t="shared" si="111"/>
        <v>R028</v>
      </c>
      <c r="B1090" s="67">
        <f>$A$1429</f>
        <v>45536</v>
      </c>
      <c r="C1090" s="66" t="str">
        <f t="shared" si="112"/>
        <v>Mid-Market AE</v>
      </c>
      <c r="D1090" s="65">
        <f>SUMIFS(Fact_Quota!$D:$D,Fact_Quota!$A:$A,$A1090,Fact_Quota!$B:$B,"&gt;="&amp;B1090,Fact_Quota!$B:$B,"&lt;"&amp;EDATE(B1090,1))</f>
        <v>0</v>
      </c>
      <c r="E1090" s="65">
        <f>SUMIFS(Fact_Pipeline!$K:$K,Fact_Pipeline!$B:$B,$A1090,Fact_Pipeline!$J:$J,"Won",Fact_Pipeline!$I:$I,"&gt;="&amp;B1090,Fact_Pipeline!$I:$I,"&lt;"&amp;EDATE(B1090,1))</f>
        <v>0</v>
      </c>
      <c r="F1090" s="66" t="b">
        <f>AND(D1090&gt;0,IFERROR(E1090/D1090&gt;=G6,FALSE()))</f>
        <v>0</v>
      </c>
      <c r="G1090" s="65">
        <f t="shared" si="107"/>
        <v>0</v>
      </c>
      <c r="H1090" s="65">
        <f>IF(F1090,MAX(0,MIN(E1090,I6*D1090)-D1090)*IFERROR(INDEX($C$158:$C$161,MATCH(C1090,$A$158:$A$161,0)),0),0)</f>
        <v>0</v>
      </c>
      <c r="I1090" s="65">
        <f>IF(F1090,MAX(0,E1090-I6*D1090)*IFERROR(INDEX($D$158:$D$161,MATCH(C1090,$A$158:$A$161,0)),0),0)</f>
        <v>0</v>
      </c>
      <c r="J1090" s="65">
        <f t="shared" si="108"/>
        <v>0</v>
      </c>
    </row>
    <row r="1091" spans="1:10" ht="15" customHeight="1" outlineLevel="1" x14ac:dyDescent="0.2">
      <c r="A1091" s="66" t="str">
        <f t="shared" si="111"/>
        <v>R028</v>
      </c>
      <c r="B1091" s="67">
        <f>$A$1430</f>
        <v>45566</v>
      </c>
      <c r="C1091" s="66" t="str">
        <f t="shared" si="112"/>
        <v>Mid-Market AE</v>
      </c>
      <c r="D1091" s="65">
        <f>SUMIFS(Fact_Quota!$D:$D,Fact_Quota!$A:$A,$A1091,Fact_Quota!$B:$B,"&gt;="&amp;B1091,Fact_Quota!$B:$B,"&lt;"&amp;EDATE(B1091,1))</f>
        <v>0</v>
      </c>
      <c r="E1091" s="65">
        <f>SUMIFS(Fact_Pipeline!$K:$K,Fact_Pipeline!$B:$B,$A1091,Fact_Pipeline!$J:$J,"Won",Fact_Pipeline!$I:$I,"&gt;="&amp;B1091,Fact_Pipeline!$I:$I,"&lt;"&amp;EDATE(B1091,1))</f>
        <v>0</v>
      </c>
      <c r="F1091" s="66" t="b">
        <f>AND(D1091&gt;0,IFERROR(E1091/D1091&gt;=G6,FALSE()))</f>
        <v>0</v>
      </c>
      <c r="G1091" s="65">
        <f t="shared" si="107"/>
        <v>0</v>
      </c>
      <c r="H1091" s="65">
        <f>IF(F1091,MAX(0,MIN(E1091,I6*D1091)-D1091)*IFERROR(INDEX($C$158:$C$161,MATCH(C1091,$A$158:$A$161,0)),0),0)</f>
        <v>0</v>
      </c>
      <c r="I1091" s="65">
        <f>IF(F1091,MAX(0,E1091-I6*D1091)*IFERROR(INDEX($D$158:$D$161,MATCH(C1091,$A$158:$A$161,0)),0),0)</f>
        <v>0</v>
      </c>
      <c r="J1091" s="65">
        <f t="shared" si="108"/>
        <v>0</v>
      </c>
    </row>
    <row r="1092" spans="1:10" ht="15" customHeight="1" outlineLevel="1" x14ac:dyDescent="0.2">
      <c r="A1092" s="66" t="str">
        <f t="shared" si="111"/>
        <v>R028</v>
      </c>
      <c r="B1092" s="67">
        <f>$A$1431</f>
        <v>45597</v>
      </c>
      <c r="C1092" s="66" t="str">
        <f t="shared" si="112"/>
        <v>Mid-Market AE</v>
      </c>
      <c r="D1092" s="65">
        <f>SUMIFS(Fact_Quota!$D:$D,Fact_Quota!$A:$A,$A1092,Fact_Quota!$B:$B,"&gt;="&amp;B1092,Fact_Quota!$B:$B,"&lt;"&amp;EDATE(B1092,1))</f>
        <v>0</v>
      </c>
      <c r="E1092" s="65">
        <f>SUMIFS(Fact_Pipeline!$K:$K,Fact_Pipeline!$B:$B,$A1092,Fact_Pipeline!$J:$J,"Won",Fact_Pipeline!$I:$I,"&gt;="&amp;B1092,Fact_Pipeline!$I:$I,"&lt;"&amp;EDATE(B1092,1))</f>
        <v>0</v>
      </c>
      <c r="F1092" s="66" t="b">
        <f>AND(D1092&gt;0,IFERROR(E1092/D1092&gt;=G6,FALSE()))</f>
        <v>0</v>
      </c>
      <c r="G1092" s="65">
        <f t="shared" si="107"/>
        <v>0</v>
      </c>
      <c r="H1092" s="65">
        <f>IF(F1092,MAX(0,MIN(E1092,I6*D1092)-D1092)*IFERROR(INDEX($C$158:$C$161,MATCH(C1092,$A$158:$A$161,0)),0),0)</f>
        <v>0</v>
      </c>
      <c r="I1092" s="65">
        <f>IF(F1092,MAX(0,E1092-I6*D1092)*IFERROR(INDEX($D$158:$D$161,MATCH(C1092,$A$158:$A$161,0)),0),0)</f>
        <v>0</v>
      </c>
      <c r="J1092" s="65">
        <f t="shared" si="108"/>
        <v>0</v>
      </c>
    </row>
    <row r="1093" spans="1:10" ht="15" customHeight="1" outlineLevel="1" x14ac:dyDescent="0.2">
      <c r="A1093" s="66" t="str">
        <f t="shared" si="111"/>
        <v>R028</v>
      </c>
      <c r="B1093" s="67">
        <f>$A$1432</f>
        <v>45627</v>
      </c>
      <c r="C1093" s="66" t="str">
        <f t="shared" si="112"/>
        <v>Mid-Market AE</v>
      </c>
      <c r="D1093" s="65">
        <f>SUMIFS(Fact_Quota!$D:$D,Fact_Quota!$A:$A,$A1093,Fact_Quota!$B:$B,"&gt;="&amp;B1093,Fact_Quota!$B:$B,"&lt;"&amp;EDATE(B1093,1))</f>
        <v>0</v>
      </c>
      <c r="E1093" s="65">
        <f>SUMIFS(Fact_Pipeline!$K:$K,Fact_Pipeline!$B:$B,$A1093,Fact_Pipeline!$J:$J,"Won",Fact_Pipeline!$I:$I,"&gt;="&amp;B1093,Fact_Pipeline!$I:$I,"&lt;"&amp;EDATE(B1093,1))</f>
        <v>0</v>
      </c>
      <c r="F1093" s="66" t="b">
        <f>AND(D1093&gt;0,IFERROR(E1093/D1093&gt;=G6,FALSE()))</f>
        <v>0</v>
      </c>
      <c r="G1093" s="65">
        <f t="shared" si="107"/>
        <v>0</v>
      </c>
      <c r="H1093" s="65">
        <f>IF(F1093,MAX(0,MIN(E1093,I6*D1093)-D1093)*IFERROR(INDEX($C$158:$C$161,MATCH(C1093,$A$158:$A$161,0)),0),0)</f>
        <v>0</v>
      </c>
      <c r="I1093" s="65">
        <f>IF(F1093,MAX(0,E1093-I6*D1093)*IFERROR(INDEX($D$158:$D$161,MATCH(C1093,$A$158:$A$161,0)),0),0)</f>
        <v>0</v>
      </c>
      <c r="J1093" s="65">
        <f t="shared" si="108"/>
        <v>0</v>
      </c>
    </row>
    <row r="1094" spans="1:10" ht="15" customHeight="1" outlineLevel="1" x14ac:dyDescent="0.2">
      <c r="A1094" s="66" t="str">
        <f t="shared" si="111"/>
        <v>R028</v>
      </c>
      <c r="B1094" s="67">
        <f>$A$1433</f>
        <v>45658</v>
      </c>
      <c r="C1094" s="66" t="str">
        <f t="shared" si="112"/>
        <v>Mid-Market AE</v>
      </c>
      <c r="D1094" s="65">
        <f>SUMIFS(Fact_Quota!$D:$D,Fact_Quota!$A:$A,$A1094,Fact_Quota!$B:$B,"&gt;="&amp;B1094,Fact_Quota!$B:$B,"&lt;"&amp;EDATE(B1094,1))</f>
        <v>0</v>
      </c>
      <c r="E1094" s="65">
        <f>SUMIFS(Fact_Pipeline!$K:$K,Fact_Pipeline!$B:$B,$A1094,Fact_Pipeline!$J:$J,"Won",Fact_Pipeline!$I:$I,"&gt;="&amp;B1094,Fact_Pipeline!$I:$I,"&lt;"&amp;EDATE(B1094,1))</f>
        <v>0</v>
      </c>
      <c r="F1094" s="66" t="b">
        <f>AND(D1094&gt;0,IFERROR(E1094/D1094&gt;=G6,FALSE()))</f>
        <v>0</v>
      </c>
      <c r="G1094" s="65">
        <f t="shared" si="107"/>
        <v>0</v>
      </c>
      <c r="H1094" s="65">
        <f>IF(F1094,MAX(0,MIN(E1094,I6*D1094)-D1094)*IFERROR(INDEX($C$158:$C$161,MATCH(C1094,$A$158:$A$161,0)),0),0)</f>
        <v>0</v>
      </c>
      <c r="I1094" s="65">
        <f>IF(F1094,MAX(0,E1094-I6*D1094)*IFERROR(INDEX($D$158:$D$161,MATCH(C1094,$A$158:$A$161,0)),0),0)</f>
        <v>0</v>
      </c>
      <c r="J1094" s="65">
        <f t="shared" si="108"/>
        <v>0</v>
      </c>
    </row>
    <row r="1095" spans="1:10" ht="15" customHeight="1" outlineLevel="1" x14ac:dyDescent="0.2">
      <c r="A1095" s="66" t="str">
        <f t="shared" si="111"/>
        <v>R028</v>
      </c>
      <c r="B1095" s="67">
        <f>$A$1434</f>
        <v>45689</v>
      </c>
      <c r="C1095" s="66" t="str">
        <f t="shared" si="112"/>
        <v>Mid-Market AE</v>
      </c>
      <c r="D1095" s="65">
        <f>SUMIFS(Fact_Quota!$D:$D,Fact_Quota!$A:$A,$A1095,Fact_Quota!$B:$B,"&gt;="&amp;B1095,Fact_Quota!$B:$B,"&lt;"&amp;EDATE(B1095,1))</f>
        <v>5300</v>
      </c>
      <c r="E1095" s="65">
        <f>SUMIFS(Fact_Pipeline!$K:$K,Fact_Pipeline!$B:$B,$A1095,Fact_Pipeline!$J:$J,"Won",Fact_Pipeline!$I:$I,"&gt;="&amp;B1095,Fact_Pipeline!$I:$I,"&lt;"&amp;EDATE(B1095,1))</f>
        <v>0</v>
      </c>
      <c r="F1095" s="66" t="b">
        <f>AND(D1095&gt;0,IFERROR(E1095/D1095&gt;=G6,FALSE()))</f>
        <v>0</v>
      </c>
      <c r="G1095" s="65">
        <f t="shared" si="107"/>
        <v>0</v>
      </c>
      <c r="H1095" s="65">
        <f>IF(F1095,MAX(0,MIN(E1095,I6*D1095)-D1095)*IFERROR(INDEX($C$158:$C$161,MATCH(C1095,$A$158:$A$161,0)),0),0)</f>
        <v>0</v>
      </c>
      <c r="I1095" s="65">
        <f>IF(F1095,MAX(0,E1095-I6*D1095)*IFERROR(INDEX($D$158:$D$161,MATCH(C1095,$A$158:$A$161,0)),0),0)</f>
        <v>0</v>
      </c>
      <c r="J1095" s="65">
        <f t="shared" si="108"/>
        <v>0</v>
      </c>
    </row>
    <row r="1096" spans="1:10" ht="15" customHeight="1" outlineLevel="1" x14ac:dyDescent="0.2">
      <c r="A1096" s="66" t="str">
        <f t="shared" si="111"/>
        <v>R028</v>
      </c>
      <c r="B1096" s="67">
        <f>$A$1435</f>
        <v>45717</v>
      </c>
      <c r="C1096" s="66" t="str">
        <f t="shared" si="112"/>
        <v>Mid-Market AE</v>
      </c>
      <c r="D1096" s="65">
        <f>SUMIFS(Fact_Quota!$D:$D,Fact_Quota!$A:$A,$A1096,Fact_Quota!$B:$B,"&gt;="&amp;B1096,Fact_Quota!$B:$B,"&lt;"&amp;EDATE(B1096,1))</f>
        <v>10500</v>
      </c>
      <c r="E1096" s="65">
        <f>SUMIFS(Fact_Pipeline!$K:$K,Fact_Pipeline!$B:$B,$A1096,Fact_Pipeline!$J:$J,"Won",Fact_Pipeline!$I:$I,"&gt;="&amp;B1096,Fact_Pipeline!$I:$I,"&lt;"&amp;EDATE(B1096,1))</f>
        <v>15200</v>
      </c>
      <c r="F1096" s="66" t="b">
        <f>AND(D1096&gt;0,IFERROR(E1096/D1096&gt;=G6,FALSE()))</f>
        <v>1</v>
      </c>
      <c r="G1096" s="65">
        <f t="shared" si="107"/>
        <v>525</v>
      </c>
      <c r="H1096" s="65">
        <f>IF(F1096,MAX(0,MIN(E1096,I6*D1096)-D1096)*IFERROR(INDEX($C$158:$C$161,MATCH(C1096,$A$158:$A$161,0)),0),0)</f>
        <v>376</v>
      </c>
      <c r="I1096" s="65">
        <f>IF(F1096,MAX(0,E1096-I6*D1096)*IFERROR(INDEX($D$158:$D$161,MATCH(C1096,$A$158:$A$161,0)),0),0)</f>
        <v>0</v>
      </c>
      <c r="J1096" s="65">
        <f t="shared" si="108"/>
        <v>901</v>
      </c>
    </row>
    <row r="1097" spans="1:10" ht="15" customHeight="1" outlineLevel="1" x14ac:dyDescent="0.2">
      <c r="A1097" s="66" t="str">
        <f t="shared" si="111"/>
        <v>R028</v>
      </c>
      <c r="B1097" s="67">
        <f>$A$1436</f>
        <v>45748</v>
      </c>
      <c r="C1097" s="66" t="str">
        <f t="shared" si="112"/>
        <v>Mid-Market AE</v>
      </c>
      <c r="D1097" s="65">
        <f>SUMIFS(Fact_Quota!$D:$D,Fact_Quota!$A:$A,$A1097,Fact_Quota!$B:$B,"&gt;="&amp;B1097,Fact_Quota!$B:$B,"&lt;"&amp;EDATE(B1097,1))</f>
        <v>16600</v>
      </c>
      <c r="E1097" s="65">
        <f>SUMIFS(Fact_Pipeline!$K:$K,Fact_Pipeline!$B:$B,$A1097,Fact_Pipeline!$J:$J,"Won",Fact_Pipeline!$I:$I,"&gt;="&amp;B1097,Fact_Pipeline!$I:$I,"&lt;"&amp;EDATE(B1097,1))</f>
        <v>0</v>
      </c>
      <c r="F1097" s="66" t="b">
        <f>AND(D1097&gt;0,IFERROR(E1097/D1097&gt;=G6,FALSE()))</f>
        <v>0</v>
      </c>
      <c r="G1097" s="65">
        <f t="shared" si="107"/>
        <v>0</v>
      </c>
      <c r="H1097" s="65">
        <f>IF(F1097,MAX(0,MIN(E1097,I6*D1097)-D1097)*IFERROR(INDEX($C$158:$C$161,MATCH(C1097,$A$158:$A$161,0)),0),0)</f>
        <v>0</v>
      </c>
      <c r="I1097" s="65">
        <f>IF(F1097,MAX(0,E1097-I6*D1097)*IFERROR(INDEX($D$158:$D$161,MATCH(C1097,$A$158:$A$161,0)),0),0)</f>
        <v>0</v>
      </c>
      <c r="J1097" s="65">
        <f t="shared" si="108"/>
        <v>0</v>
      </c>
    </row>
    <row r="1098" spans="1:10" ht="15" customHeight="1" outlineLevel="1" x14ac:dyDescent="0.2">
      <c r="A1098" s="66" t="str">
        <f t="shared" si="111"/>
        <v>R028</v>
      </c>
      <c r="B1098" s="67">
        <f>$A$1437</f>
        <v>45778</v>
      </c>
      <c r="C1098" s="66" t="str">
        <f t="shared" si="112"/>
        <v>Mid-Market AE</v>
      </c>
      <c r="D1098" s="65">
        <f>SUMIFS(Fact_Quota!$D:$D,Fact_Quota!$A:$A,$A1098,Fact_Quota!$B:$B,"&gt;="&amp;B1098,Fact_Quota!$B:$B,"&lt;"&amp;EDATE(B1098,1))</f>
        <v>21500</v>
      </c>
      <c r="E1098" s="65">
        <f>SUMIFS(Fact_Pipeline!$K:$K,Fact_Pipeline!$B:$B,$A1098,Fact_Pipeline!$J:$J,"Won",Fact_Pipeline!$I:$I,"&gt;="&amp;B1098,Fact_Pipeline!$I:$I,"&lt;"&amp;EDATE(B1098,1))</f>
        <v>32400</v>
      </c>
      <c r="F1098" s="66" t="b">
        <f>AND(D1098&gt;0,IFERROR(E1098/D1098&gt;=G6,FALSE()))</f>
        <v>1</v>
      </c>
      <c r="G1098" s="65">
        <f t="shared" si="107"/>
        <v>1075</v>
      </c>
      <c r="H1098" s="65">
        <f>IF(F1098,MAX(0,MIN(E1098,I6*D1098)-D1098)*IFERROR(INDEX($C$158:$C$161,MATCH(C1098,$A$158:$A$161,0)),0),0)</f>
        <v>860</v>
      </c>
      <c r="I1098" s="65">
        <f>IF(F1098,MAX(0,E1098-I6*D1098)*IFERROR(INDEX($D$158:$D$161,MATCH(C1098,$A$158:$A$161,0)),0),0)</f>
        <v>16.5</v>
      </c>
      <c r="J1098" s="65">
        <f t="shared" si="108"/>
        <v>1951.5</v>
      </c>
    </row>
    <row r="1099" spans="1:10" ht="15" customHeight="1" outlineLevel="1" x14ac:dyDescent="0.2">
      <c r="A1099" s="66" t="str">
        <f t="shared" si="111"/>
        <v>R028</v>
      </c>
      <c r="B1099" s="67">
        <f>$A$1438</f>
        <v>45809</v>
      </c>
      <c r="C1099" s="66" t="str">
        <f t="shared" si="112"/>
        <v>Mid-Market AE</v>
      </c>
      <c r="D1099" s="65">
        <f>SUMIFS(Fact_Quota!$D:$D,Fact_Quota!$A:$A,$A1099,Fact_Quota!$B:$B,"&gt;="&amp;B1099,Fact_Quota!$B:$B,"&lt;"&amp;EDATE(B1099,1))</f>
        <v>21100</v>
      </c>
      <c r="E1099" s="65">
        <f>SUMIFS(Fact_Pipeline!$K:$K,Fact_Pipeline!$B:$B,$A1099,Fact_Pipeline!$J:$J,"Won",Fact_Pipeline!$I:$I,"&gt;="&amp;B1099,Fact_Pipeline!$I:$I,"&lt;"&amp;EDATE(B1099,1))</f>
        <v>0</v>
      </c>
      <c r="F1099" s="66" t="b">
        <f>AND(D1099&gt;0,IFERROR(E1099/D1099&gt;=G6,FALSE()))</f>
        <v>0</v>
      </c>
      <c r="G1099" s="65">
        <f t="shared" si="107"/>
        <v>0</v>
      </c>
      <c r="H1099" s="65">
        <f>IF(F1099,MAX(0,MIN(E1099,I6*D1099)-D1099)*IFERROR(INDEX($C$158:$C$161,MATCH(C1099,$A$158:$A$161,0)),0),0)</f>
        <v>0</v>
      </c>
      <c r="I1099" s="65">
        <f>IF(F1099,MAX(0,E1099-I6*D1099)*IFERROR(INDEX($D$158:$D$161,MATCH(C1099,$A$158:$A$161,0)),0),0)</f>
        <v>0</v>
      </c>
      <c r="J1099" s="65">
        <f t="shared" si="108"/>
        <v>0</v>
      </c>
    </row>
    <row r="1100" spans="1:10" ht="15" customHeight="1" outlineLevel="1" x14ac:dyDescent="0.2">
      <c r="A1100" s="66" t="str">
        <f t="shared" si="111"/>
        <v>R028</v>
      </c>
      <c r="B1100" s="67">
        <f>$A$1439</f>
        <v>45839</v>
      </c>
      <c r="C1100" s="66" t="str">
        <f t="shared" si="112"/>
        <v>Mid-Market AE</v>
      </c>
      <c r="D1100" s="65">
        <f>SUMIFS(Fact_Quota!$D:$D,Fact_Quota!$A:$A,$A1100,Fact_Quota!$B:$B,"&gt;="&amp;B1100,Fact_Quota!$B:$B,"&lt;"&amp;EDATE(B1100,1))</f>
        <v>21600</v>
      </c>
      <c r="E1100" s="65">
        <f>SUMIFS(Fact_Pipeline!$K:$K,Fact_Pipeline!$B:$B,$A1100,Fact_Pipeline!$J:$J,"Won",Fact_Pipeline!$I:$I,"&gt;="&amp;B1100,Fact_Pipeline!$I:$I,"&lt;"&amp;EDATE(B1100,1))</f>
        <v>16600</v>
      </c>
      <c r="F1100" s="66" t="b">
        <f>AND(D1100&gt;0,IFERROR(E1100/D1100&gt;=G6,FALSE()))</f>
        <v>1</v>
      </c>
      <c r="G1100" s="65">
        <f t="shared" si="107"/>
        <v>830</v>
      </c>
      <c r="H1100" s="65">
        <f>IF(F1100,MAX(0,MIN(E1100,I6*D1100)-D1100)*IFERROR(INDEX($C$158:$C$161,MATCH(C1100,$A$158:$A$161,0)),0),0)</f>
        <v>0</v>
      </c>
      <c r="I1100" s="65">
        <f>IF(F1100,MAX(0,E1100-I6*D1100)*IFERROR(INDEX($D$158:$D$161,MATCH(C1100,$A$158:$A$161,0)),0),0)</f>
        <v>0</v>
      </c>
      <c r="J1100" s="65">
        <f t="shared" si="108"/>
        <v>830</v>
      </c>
    </row>
    <row r="1101" spans="1:10" ht="15" customHeight="1" outlineLevel="1" x14ac:dyDescent="0.2">
      <c r="A1101" s="66" t="str">
        <f t="shared" si="111"/>
        <v>R028</v>
      </c>
      <c r="B1101" s="67">
        <f>$A$1440</f>
        <v>45870</v>
      </c>
      <c r="C1101" s="66" t="str">
        <f t="shared" si="112"/>
        <v>Mid-Market AE</v>
      </c>
      <c r="D1101" s="65">
        <f>SUMIFS(Fact_Quota!$D:$D,Fact_Quota!$A:$A,$A1101,Fact_Quota!$B:$B,"&gt;="&amp;B1101,Fact_Quota!$B:$B,"&lt;"&amp;EDATE(B1101,1))</f>
        <v>21300</v>
      </c>
      <c r="E1101" s="65">
        <f>SUMIFS(Fact_Pipeline!$K:$K,Fact_Pipeline!$B:$B,$A1101,Fact_Pipeline!$J:$J,"Won",Fact_Pipeline!$I:$I,"&gt;="&amp;B1101,Fact_Pipeline!$I:$I,"&lt;"&amp;EDATE(B1101,1))</f>
        <v>14300</v>
      </c>
      <c r="F1101" s="66" t="b">
        <f>AND(D1101&gt;0,IFERROR(E1101/D1101&gt;=G6,FALSE()))</f>
        <v>1</v>
      </c>
      <c r="G1101" s="65">
        <f t="shared" si="107"/>
        <v>715</v>
      </c>
      <c r="H1101" s="65">
        <f>IF(F1101,MAX(0,MIN(E1101,I6*D1101)-D1101)*IFERROR(INDEX($C$158:$C$161,MATCH(C1101,$A$158:$A$161,0)),0),0)</f>
        <v>0</v>
      </c>
      <c r="I1101" s="65">
        <f>IF(F1101,MAX(0,E1101-I6*D1101)*IFERROR(INDEX($D$158:$D$161,MATCH(C1101,$A$158:$A$161,0)),0),0)</f>
        <v>0</v>
      </c>
      <c r="J1101" s="65">
        <f t="shared" si="108"/>
        <v>715</v>
      </c>
    </row>
    <row r="1102" spans="1:10" ht="15" customHeight="1" outlineLevel="1" x14ac:dyDescent="0.2">
      <c r="A1102" s="66" t="str">
        <f t="shared" si="111"/>
        <v>R028</v>
      </c>
      <c r="B1102" s="67">
        <f>$A$1441</f>
        <v>45901</v>
      </c>
      <c r="C1102" s="66" t="str">
        <f t="shared" si="112"/>
        <v>Mid-Market AE</v>
      </c>
      <c r="D1102" s="65">
        <f>SUMIFS(Fact_Quota!$D:$D,Fact_Quota!$A:$A,$A1102,Fact_Quota!$B:$B,"&gt;="&amp;B1102,Fact_Quota!$B:$B,"&lt;"&amp;EDATE(B1102,1))</f>
        <v>23100</v>
      </c>
      <c r="E1102" s="65">
        <f>SUMIFS(Fact_Pipeline!$K:$K,Fact_Pipeline!$B:$B,$A1102,Fact_Pipeline!$J:$J,"Won",Fact_Pipeline!$I:$I,"&gt;="&amp;B1102,Fact_Pipeline!$I:$I,"&lt;"&amp;EDATE(B1102,1))</f>
        <v>13400</v>
      </c>
      <c r="F1102" s="66" t="b">
        <f>AND(D1102&gt;0,IFERROR(E1102/D1102&gt;=G6,FALSE()))</f>
        <v>1</v>
      </c>
      <c r="G1102" s="65">
        <f t="shared" si="107"/>
        <v>670</v>
      </c>
      <c r="H1102" s="65">
        <f>IF(F1102,MAX(0,MIN(E1102,I6*D1102)-D1102)*IFERROR(INDEX($C$158:$C$161,MATCH(C1102,$A$158:$A$161,0)),0),0)</f>
        <v>0</v>
      </c>
      <c r="I1102" s="65">
        <f>IF(F1102,MAX(0,E1102-I6*D1102)*IFERROR(INDEX($D$158:$D$161,MATCH(C1102,$A$158:$A$161,0)),0),0)</f>
        <v>0</v>
      </c>
      <c r="J1102" s="65">
        <f t="shared" si="108"/>
        <v>670</v>
      </c>
    </row>
    <row r="1103" spans="1:10" ht="15" customHeight="1" outlineLevel="1" x14ac:dyDescent="0.2">
      <c r="A1103" s="66" t="str">
        <f t="shared" si="111"/>
        <v>R028</v>
      </c>
      <c r="B1103" s="67">
        <f>$A$1442</f>
        <v>45931</v>
      </c>
      <c r="C1103" s="66" t="str">
        <f t="shared" si="112"/>
        <v>Mid-Market AE</v>
      </c>
      <c r="D1103" s="65">
        <f>SUMIFS(Fact_Quota!$D:$D,Fact_Quota!$A:$A,$A1103,Fact_Quota!$B:$B,"&gt;="&amp;B1103,Fact_Quota!$B:$B,"&lt;"&amp;EDATE(B1103,1))</f>
        <v>22600</v>
      </c>
      <c r="E1103" s="65">
        <f>SUMIFS(Fact_Pipeline!$K:$K,Fact_Pipeline!$B:$B,$A1103,Fact_Pipeline!$J:$J,"Won",Fact_Pipeline!$I:$I,"&gt;="&amp;B1103,Fact_Pipeline!$I:$I,"&lt;"&amp;EDATE(B1103,1))</f>
        <v>18900</v>
      </c>
      <c r="F1103" s="66" t="b">
        <f>AND(D1103&gt;0,IFERROR(E1103/D1103&gt;=G6,FALSE()))</f>
        <v>1</v>
      </c>
      <c r="G1103" s="65">
        <f t="shared" si="107"/>
        <v>945</v>
      </c>
      <c r="H1103" s="65">
        <f>IF(F1103,MAX(0,MIN(E1103,I6*D1103)-D1103)*IFERROR(INDEX($C$158:$C$161,MATCH(C1103,$A$158:$A$161,0)),0),0)</f>
        <v>0</v>
      </c>
      <c r="I1103" s="65">
        <f>IF(F1103,MAX(0,E1103-I6*D1103)*IFERROR(INDEX($D$158:$D$161,MATCH(C1103,$A$158:$A$161,0)),0),0)</f>
        <v>0</v>
      </c>
      <c r="J1103" s="65">
        <f t="shared" si="108"/>
        <v>945</v>
      </c>
    </row>
    <row r="1104" spans="1:10" ht="15" customHeight="1" outlineLevel="1" x14ac:dyDescent="0.2">
      <c r="A1104" s="66" t="str">
        <f t="shared" si="111"/>
        <v>R028</v>
      </c>
      <c r="B1104" s="67">
        <f>$A$1443</f>
        <v>45962</v>
      </c>
      <c r="C1104" s="66" t="str">
        <f t="shared" si="112"/>
        <v>Mid-Market AE</v>
      </c>
      <c r="D1104" s="65">
        <f>SUMIFS(Fact_Quota!$D:$D,Fact_Quota!$A:$A,$A1104,Fact_Quota!$B:$B,"&gt;="&amp;B1104,Fact_Quota!$B:$B,"&lt;"&amp;EDATE(B1104,1))</f>
        <v>22000</v>
      </c>
      <c r="E1104" s="65">
        <f>SUMIFS(Fact_Pipeline!$K:$K,Fact_Pipeline!$B:$B,$A1104,Fact_Pipeline!$J:$J,"Won",Fact_Pipeline!$I:$I,"&gt;="&amp;B1104,Fact_Pipeline!$I:$I,"&lt;"&amp;EDATE(B1104,1))</f>
        <v>46000</v>
      </c>
      <c r="F1104" s="66" t="b">
        <f>AND(D1104&gt;0,IFERROR(E1104/D1104&gt;=G6,FALSE()))</f>
        <v>1</v>
      </c>
      <c r="G1104" s="65">
        <f t="shared" si="107"/>
        <v>1100</v>
      </c>
      <c r="H1104" s="65">
        <f>IF(F1104,MAX(0,MIN(E1104,I6*D1104)-D1104)*IFERROR(INDEX($C$158:$C$161,MATCH(C1104,$A$158:$A$161,0)),0),0)</f>
        <v>880</v>
      </c>
      <c r="I1104" s="65">
        <f>IF(F1104,MAX(0,E1104-I6*D1104)*IFERROR(INDEX($D$158:$D$161,MATCH(C1104,$A$158:$A$161,0)),0),0)</f>
        <v>1430</v>
      </c>
      <c r="J1104" s="65">
        <f t="shared" si="108"/>
        <v>3410</v>
      </c>
    </row>
    <row r="1105" spans="1:10" ht="15" customHeight="1" outlineLevel="1" x14ac:dyDescent="0.2">
      <c r="A1105" s="66" t="str">
        <f t="shared" si="111"/>
        <v>R028</v>
      </c>
      <c r="B1105" s="67">
        <f>$A$1444</f>
        <v>45992</v>
      </c>
      <c r="C1105" s="66" t="str">
        <f t="shared" si="112"/>
        <v>Mid-Market AE</v>
      </c>
      <c r="D1105" s="65">
        <f>SUMIFS(Fact_Quota!$D:$D,Fact_Quota!$A:$A,$A1105,Fact_Quota!$B:$B,"&gt;="&amp;B1105,Fact_Quota!$B:$B,"&lt;"&amp;EDATE(B1105,1))</f>
        <v>23000</v>
      </c>
      <c r="E1105" s="65">
        <f>SUMIFS(Fact_Pipeline!$K:$K,Fact_Pipeline!$B:$B,$A1105,Fact_Pipeline!$J:$J,"Won",Fact_Pipeline!$I:$I,"&gt;="&amp;B1105,Fact_Pipeline!$I:$I,"&lt;"&amp;EDATE(B1105,1))</f>
        <v>24400</v>
      </c>
      <c r="F1105" s="66" t="b">
        <f>AND(D1105&gt;0,IFERROR(E1105/D1105&gt;=G6,FALSE()))</f>
        <v>1</v>
      </c>
      <c r="G1105" s="65">
        <f t="shared" si="107"/>
        <v>1150</v>
      </c>
      <c r="H1105" s="65">
        <f>IF(F1105,MAX(0,MIN(E1105,I6*D1105)-D1105)*IFERROR(INDEX($C$158:$C$161,MATCH(C1105,$A$158:$A$161,0)),0),0)</f>
        <v>112</v>
      </c>
      <c r="I1105" s="65">
        <f>IF(F1105,MAX(0,E1105-I6*D1105)*IFERROR(INDEX($D$158:$D$161,MATCH(C1105,$A$158:$A$161,0)),0),0)</f>
        <v>0</v>
      </c>
      <c r="J1105" s="65">
        <f t="shared" si="108"/>
        <v>1262</v>
      </c>
    </row>
    <row r="1106" spans="1:10" ht="15" customHeight="1" outlineLevel="1" x14ac:dyDescent="0.2">
      <c r="A1106" s="63" t="str">
        <f t="shared" ref="A1106:A1129" si="113">$A$202</f>
        <v>R029</v>
      </c>
      <c r="B1106" s="64">
        <f>$A$1421</f>
        <v>45292</v>
      </c>
      <c r="C1106" s="63" t="str">
        <f t="shared" ref="C1106:C1129" si="114">$C$202</f>
        <v>Mid-Market AE</v>
      </c>
      <c r="D1106" s="62">
        <f>SUMIFS(Fact_Quota!$D:$D,Fact_Quota!$A:$A,$A1106,Fact_Quota!$B:$B,"&gt;="&amp;B1106,Fact_Quota!$B:$B,"&lt;"&amp;EDATE(B1106,1))</f>
        <v>16500</v>
      </c>
      <c r="E1106" s="62">
        <f>SUMIFS(Fact_Pipeline!$K:$K,Fact_Pipeline!$B:$B,$A1106,Fact_Pipeline!$J:$J,"Won",Fact_Pipeline!$I:$I,"&gt;="&amp;B1106,Fact_Pipeline!$I:$I,"&lt;"&amp;EDATE(B1106,1))</f>
        <v>0</v>
      </c>
      <c r="F1106" s="63" t="b">
        <f>AND(D1106&gt;0,IFERROR(E1106/D1106&gt;=G6,FALSE()))</f>
        <v>0</v>
      </c>
      <c r="G1106" s="62">
        <f t="shared" si="107"/>
        <v>0</v>
      </c>
      <c r="H1106" s="62">
        <f>IF(F1106,MAX(0,MIN(E1106,I6*D1106)-D1106)*IFERROR(INDEX($C$158:$C$161,MATCH(C1106,$A$158:$A$161,0)),0),0)</f>
        <v>0</v>
      </c>
      <c r="I1106" s="62">
        <f>IF(F1106,MAX(0,E1106-I6*D1106)*IFERROR(INDEX($D$158:$D$161,MATCH(C1106,$A$158:$A$161,0)),0),0)</f>
        <v>0</v>
      </c>
      <c r="J1106" s="62">
        <f t="shared" si="108"/>
        <v>0</v>
      </c>
    </row>
    <row r="1107" spans="1:10" ht="15" customHeight="1" outlineLevel="1" x14ac:dyDescent="0.2">
      <c r="A1107" s="63" t="str">
        <f t="shared" si="113"/>
        <v>R029</v>
      </c>
      <c r="B1107" s="64">
        <f>$A$1422</f>
        <v>45323</v>
      </c>
      <c r="C1107" s="63" t="str">
        <f t="shared" si="114"/>
        <v>Mid-Market AE</v>
      </c>
      <c r="D1107" s="62">
        <f>SUMIFS(Fact_Quota!$D:$D,Fact_Quota!$A:$A,$A1107,Fact_Quota!$B:$B,"&gt;="&amp;B1107,Fact_Quota!$B:$B,"&lt;"&amp;EDATE(B1107,1))</f>
        <v>21400</v>
      </c>
      <c r="E1107" s="62">
        <f>SUMIFS(Fact_Pipeline!$K:$K,Fact_Pipeline!$B:$B,$A1107,Fact_Pipeline!$J:$J,"Won",Fact_Pipeline!$I:$I,"&gt;="&amp;B1107,Fact_Pipeline!$I:$I,"&lt;"&amp;EDATE(B1107,1))</f>
        <v>26400</v>
      </c>
      <c r="F1107" s="63" t="b">
        <f>AND(D1107&gt;0,IFERROR(E1107/D1107&gt;=G6,FALSE()))</f>
        <v>1</v>
      </c>
      <c r="G1107" s="62">
        <f t="shared" si="107"/>
        <v>1070</v>
      </c>
      <c r="H1107" s="62">
        <f>IF(F1107,MAX(0,MIN(E1107,I6*D1107)-D1107)*IFERROR(INDEX($C$158:$C$161,MATCH(C1107,$A$158:$A$161,0)),0),0)</f>
        <v>400</v>
      </c>
      <c r="I1107" s="62">
        <f>IF(F1107,MAX(0,E1107-I6*D1107)*IFERROR(INDEX($D$158:$D$161,MATCH(C1107,$A$158:$A$161,0)),0),0)</f>
        <v>0</v>
      </c>
      <c r="J1107" s="62">
        <f t="shared" si="108"/>
        <v>1470</v>
      </c>
    </row>
    <row r="1108" spans="1:10" ht="15" customHeight="1" outlineLevel="1" x14ac:dyDescent="0.2">
      <c r="A1108" s="63" t="str">
        <f t="shared" si="113"/>
        <v>R029</v>
      </c>
      <c r="B1108" s="64">
        <f>$A$1423</f>
        <v>45352</v>
      </c>
      <c r="C1108" s="63" t="str">
        <f t="shared" si="114"/>
        <v>Mid-Market AE</v>
      </c>
      <c r="D1108" s="62">
        <f>SUMIFS(Fact_Quota!$D:$D,Fact_Quota!$A:$A,$A1108,Fact_Quota!$B:$B,"&gt;="&amp;B1108,Fact_Quota!$B:$B,"&lt;"&amp;EDATE(B1108,1))</f>
        <v>23000</v>
      </c>
      <c r="E1108" s="62">
        <f>SUMIFS(Fact_Pipeline!$K:$K,Fact_Pipeline!$B:$B,$A1108,Fact_Pipeline!$J:$J,"Won",Fact_Pipeline!$I:$I,"&gt;="&amp;B1108,Fact_Pipeline!$I:$I,"&lt;"&amp;EDATE(B1108,1))</f>
        <v>0</v>
      </c>
      <c r="F1108" s="63" t="b">
        <f>AND(D1108&gt;0,IFERROR(E1108/D1108&gt;=G6,FALSE()))</f>
        <v>0</v>
      </c>
      <c r="G1108" s="62">
        <f t="shared" si="107"/>
        <v>0</v>
      </c>
      <c r="H1108" s="62">
        <f>IF(F1108,MAX(0,MIN(E1108,I6*D1108)-D1108)*IFERROR(INDEX($C$158:$C$161,MATCH(C1108,$A$158:$A$161,0)),0),0)</f>
        <v>0</v>
      </c>
      <c r="I1108" s="62">
        <f>IF(F1108,MAX(0,E1108-I6*D1108)*IFERROR(INDEX($D$158:$D$161,MATCH(C1108,$A$158:$A$161,0)),0),0)</f>
        <v>0</v>
      </c>
      <c r="J1108" s="62">
        <f t="shared" si="108"/>
        <v>0</v>
      </c>
    </row>
    <row r="1109" spans="1:10" ht="15" customHeight="1" outlineLevel="1" x14ac:dyDescent="0.2">
      <c r="A1109" s="63" t="str">
        <f t="shared" si="113"/>
        <v>R029</v>
      </c>
      <c r="B1109" s="64">
        <f>$A$1424</f>
        <v>45383</v>
      </c>
      <c r="C1109" s="63" t="str">
        <f t="shared" si="114"/>
        <v>Mid-Market AE</v>
      </c>
      <c r="D1109" s="62">
        <f>SUMIFS(Fact_Quota!$D:$D,Fact_Quota!$A:$A,$A1109,Fact_Quota!$B:$B,"&gt;="&amp;B1109,Fact_Quota!$B:$B,"&lt;"&amp;EDATE(B1109,1))</f>
        <v>22400</v>
      </c>
      <c r="E1109" s="62">
        <f>SUMIFS(Fact_Pipeline!$K:$K,Fact_Pipeline!$B:$B,$A1109,Fact_Pipeline!$J:$J,"Won",Fact_Pipeline!$I:$I,"&gt;="&amp;B1109,Fact_Pipeline!$I:$I,"&lt;"&amp;EDATE(B1109,1))</f>
        <v>35100</v>
      </c>
      <c r="F1109" s="63" t="b">
        <f>AND(D1109&gt;0,IFERROR(E1109/D1109&gt;=G6,FALSE()))</f>
        <v>1</v>
      </c>
      <c r="G1109" s="62">
        <f t="shared" si="107"/>
        <v>1120</v>
      </c>
      <c r="H1109" s="62">
        <f>IF(F1109,MAX(0,MIN(E1109,I6*D1109)-D1109)*IFERROR(INDEX($C$158:$C$161,MATCH(C1109,$A$158:$A$161,0)),0),0)</f>
        <v>896</v>
      </c>
      <c r="I1109" s="62">
        <f>IF(F1109,MAX(0,E1109-I6*D1109)*IFERROR(INDEX($D$158:$D$161,MATCH(C1109,$A$158:$A$161,0)),0),0)</f>
        <v>165</v>
      </c>
      <c r="J1109" s="62">
        <f t="shared" si="108"/>
        <v>2181</v>
      </c>
    </row>
    <row r="1110" spans="1:10" ht="15" customHeight="1" outlineLevel="1" x14ac:dyDescent="0.2">
      <c r="A1110" s="63" t="str">
        <f t="shared" si="113"/>
        <v>R029</v>
      </c>
      <c r="B1110" s="64">
        <f>$A$1425</f>
        <v>45413</v>
      </c>
      <c r="C1110" s="63" t="str">
        <f t="shared" si="114"/>
        <v>Mid-Market AE</v>
      </c>
      <c r="D1110" s="62">
        <f>SUMIFS(Fact_Quota!$D:$D,Fact_Quota!$A:$A,$A1110,Fact_Quota!$B:$B,"&gt;="&amp;B1110,Fact_Quota!$B:$B,"&lt;"&amp;EDATE(B1110,1))</f>
        <v>21300</v>
      </c>
      <c r="E1110" s="62">
        <f>SUMIFS(Fact_Pipeline!$K:$K,Fact_Pipeline!$B:$B,$A1110,Fact_Pipeline!$J:$J,"Won",Fact_Pipeline!$I:$I,"&gt;="&amp;B1110,Fact_Pipeline!$I:$I,"&lt;"&amp;EDATE(B1110,1))</f>
        <v>52100</v>
      </c>
      <c r="F1110" s="63" t="b">
        <f>AND(D1110&gt;0,IFERROR(E1110/D1110&gt;=G6,FALSE()))</f>
        <v>1</v>
      </c>
      <c r="G1110" s="62">
        <f t="shared" si="107"/>
        <v>1065</v>
      </c>
      <c r="H1110" s="62">
        <f>IF(F1110,MAX(0,MIN(E1110,I6*D1110)-D1110)*IFERROR(INDEX($C$158:$C$161,MATCH(C1110,$A$158:$A$161,0)),0),0)</f>
        <v>852</v>
      </c>
      <c r="I1110" s="62">
        <f>IF(F1110,MAX(0,E1110-I6*D1110)*IFERROR(INDEX($D$158:$D$161,MATCH(C1110,$A$158:$A$161,0)),0),0)</f>
        <v>2216.5</v>
      </c>
      <c r="J1110" s="62">
        <f t="shared" si="108"/>
        <v>4133.5</v>
      </c>
    </row>
    <row r="1111" spans="1:10" ht="15" customHeight="1" outlineLevel="1" x14ac:dyDescent="0.2">
      <c r="A1111" s="63" t="str">
        <f t="shared" si="113"/>
        <v>R029</v>
      </c>
      <c r="B1111" s="64">
        <f>$A$1426</f>
        <v>45444</v>
      </c>
      <c r="C1111" s="63" t="str">
        <f t="shared" si="114"/>
        <v>Mid-Market AE</v>
      </c>
      <c r="D1111" s="62">
        <f>SUMIFS(Fact_Quota!$D:$D,Fact_Quota!$A:$A,$A1111,Fact_Quota!$B:$B,"&gt;="&amp;B1111,Fact_Quota!$B:$B,"&lt;"&amp;EDATE(B1111,1))</f>
        <v>21900</v>
      </c>
      <c r="E1111" s="62">
        <f>SUMIFS(Fact_Pipeline!$K:$K,Fact_Pipeline!$B:$B,$A1111,Fact_Pipeline!$J:$J,"Won",Fact_Pipeline!$I:$I,"&gt;="&amp;B1111,Fact_Pipeline!$I:$I,"&lt;"&amp;EDATE(B1111,1))</f>
        <v>8200</v>
      </c>
      <c r="F1111" s="63" t="b">
        <f>AND(D1111&gt;0,IFERROR(E1111/D1111&gt;=G6,FALSE()))</f>
        <v>0</v>
      </c>
      <c r="G1111" s="62">
        <f t="shared" si="107"/>
        <v>0</v>
      </c>
      <c r="H1111" s="62">
        <f>IF(F1111,MAX(0,MIN(E1111,I6*D1111)-D1111)*IFERROR(INDEX($C$158:$C$161,MATCH(C1111,$A$158:$A$161,0)),0),0)</f>
        <v>0</v>
      </c>
      <c r="I1111" s="62">
        <f>IF(F1111,MAX(0,E1111-I6*D1111)*IFERROR(INDEX($D$158:$D$161,MATCH(C1111,$A$158:$A$161,0)),0),0)</f>
        <v>0</v>
      </c>
      <c r="J1111" s="62">
        <f t="shared" si="108"/>
        <v>0</v>
      </c>
    </row>
    <row r="1112" spans="1:10" ht="15" customHeight="1" outlineLevel="1" x14ac:dyDescent="0.2">
      <c r="A1112" s="63" t="str">
        <f t="shared" si="113"/>
        <v>R029</v>
      </c>
      <c r="B1112" s="64">
        <f>$A$1427</f>
        <v>45474</v>
      </c>
      <c r="C1112" s="63" t="str">
        <f t="shared" si="114"/>
        <v>Mid-Market AE</v>
      </c>
      <c r="D1112" s="62">
        <f>SUMIFS(Fact_Quota!$D:$D,Fact_Quota!$A:$A,$A1112,Fact_Quota!$B:$B,"&gt;="&amp;B1112,Fact_Quota!$B:$B,"&lt;"&amp;EDATE(B1112,1))</f>
        <v>21400</v>
      </c>
      <c r="E1112" s="62">
        <f>SUMIFS(Fact_Pipeline!$K:$K,Fact_Pipeline!$B:$B,$A1112,Fact_Pipeline!$J:$J,"Won",Fact_Pipeline!$I:$I,"&gt;="&amp;B1112,Fact_Pipeline!$I:$I,"&lt;"&amp;EDATE(B1112,1))</f>
        <v>32100</v>
      </c>
      <c r="F1112" s="63" t="b">
        <f>AND(D1112&gt;0,IFERROR(E1112/D1112&gt;=G6,FALSE()))</f>
        <v>1</v>
      </c>
      <c r="G1112" s="62">
        <f t="shared" si="107"/>
        <v>1070</v>
      </c>
      <c r="H1112" s="62">
        <f>IF(F1112,MAX(0,MIN(E1112,I6*D1112)-D1112)*IFERROR(INDEX($C$158:$C$161,MATCH(C1112,$A$158:$A$161,0)),0),0)</f>
        <v>856</v>
      </c>
      <c r="I1112" s="62">
        <f>IF(F1112,MAX(0,E1112-I6*D1112)*IFERROR(INDEX($D$158:$D$161,MATCH(C1112,$A$158:$A$161,0)),0),0)</f>
        <v>0</v>
      </c>
      <c r="J1112" s="62">
        <f t="shared" si="108"/>
        <v>1926</v>
      </c>
    </row>
    <row r="1113" spans="1:10" ht="15" customHeight="1" outlineLevel="1" x14ac:dyDescent="0.2">
      <c r="A1113" s="63" t="str">
        <f t="shared" si="113"/>
        <v>R029</v>
      </c>
      <c r="B1113" s="64">
        <f>$A$1428</f>
        <v>45505</v>
      </c>
      <c r="C1113" s="63" t="str">
        <f t="shared" si="114"/>
        <v>Mid-Market AE</v>
      </c>
      <c r="D1113" s="62">
        <f>SUMIFS(Fact_Quota!$D:$D,Fact_Quota!$A:$A,$A1113,Fact_Quota!$B:$B,"&gt;="&amp;B1113,Fact_Quota!$B:$B,"&lt;"&amp;EDATE(B1113,1))</f>
        <v>21100</v>
      </c>
      <c r="E1113" s="62">
        <f>SUMIFS(Fact_Pipeline!$K:$K,Fact_Pipeline!$B:$B,$A1113,Fact_Pipeline!$J:$J,"Won",Fact_Pipeline!$I:$I,"&gt;="&amp;B1113,Fact_Pipeline!$I:$I,"&lt;"&amp;EDATE(B1113,1))</f>
        <v>44100</v>
      </c>
      <c r="F1113" s="63" t="b">
        <f>AND(D1113&gt;0,IFERROR(E1113/D1113&gt;=G6,FALSE()))</f>
        <v>1</v>
      </c>
      <c r="G1113" s="62">
        <f t="shared" si="107"/>
        <v>1055</v>
      </c>
      <c r="H1113" s="62">
        <f>IF(F1113,MAX(0,MIN(E1113,I6*D1113)-D1113)*IFERROR(INDEX($C$158:$C$161,MATCH(C1113,$A$158:$A$161,0)),0),0)</f>
        <v>844</v>
      </c>
      <c r="I1113" s="62">
        <f>IF(F1113,MAX(0,E1113-I6*D1113)*IFERROR(INDEX($D$158:$D$161,MATCH(C1113,$A$158:$A$161,0)),0),0)</f>
        <v>1369.5</v>
      </c>
      <c r="J1113" s="62">
        <f t="shared" si="108"/>
        <v>3268.5</v>
      </c>
    </row>
    <row r="1114" spans="1:10" ht="15" customHeight="1" outlineLevel="1" x14ac:dyDescent="0.2">
      <c r="A1114" s="63" t="str">
        <f t="shared" si="113"/>
        <v>R029</v>
      </c>
      <c r="B1114" s="64">
        <f>$A$1429</f>
        <v>45536</v>
      </c>
      <c r="C1114" s="63" t="str">
        <f t="shared" si="114"/>
        <v>Mid-Market AE</v>
      </c>
      <c r="D1114" s="62">
        <f>SUMIFS(Fact_Quota!$D:$D,Fact_Quota!$A:$A,$A1114,Fact_Quota!$B:$B,"&gt;="&amp;B1114,Fact_Quota!$B:$B,"&lt;"&amp;EDATE(B1114,1))</f>
        <v>22600</v>
      </c>
      <c r="E1114" s="62">
        <f>SUMIFS(Fact_Pipeline!$K:$K,Fact_Pipeline!$B:$B,$A1114,Fact_Pipeline!$J:$J,"Won",Fact_Pipeline!$I:$I,"&gt;="&amp;B1114,Fact_Pipeline!$I:$I,"&lt;"&amp;EDATE(B1114,1))</f>
        <v>15600</v>
      </c>
      <c r="F1114" s="63" t="b">
        <f>AND(D1114&gt;0,IFERROR(E1114/D1114&gt;=G6,FALSE()))</f>
        <v>1</v>
      </c>
      <c r="G1114" s="62">
        <f t="shared" ref="G1114:G1177" si="115">IF(F1114,MIN(E1114,D1114)*IFERROR(INDEX($B$158:$B$161,MATCH(C1114,$A$158:$A$161,0)),0),0)</f>
        <v>780</v>
      </c>
      <c r="H1114" s="62">
        <f>IF(F1114,MAX(0,MIN(E1114,I6*D1114)-D1114)*IFERROR(INDEX($C$158:$C$161,MATCH(C1114,$A$158:$A$161,0)),0),0)</f>
        <v>0</v>
      </c>
      <c r="I1114" s="62">
        <f>IF(F1114,MAX(0,E1114-I6*D1114)*IFERROR(INDEX($D$158:$D$161,MATCH(C1114,$A$158:$A$161,0)),0),0)</f>
        <v>0</v>
      </c>
      <c r="J1114" s="62">
        <f t="shared" ref="J1114:J1177" si="116">G1114+H1114+I1114</f>
        <v>780</v>
      </c>
    </row>
    <row r="1115" spans="1:10" ht="15" customHeight="1" outlineLevel="1" x14ac:dyDescent="0.2">
      <c r="A1115" s="63" t="str">
        <f t="shared" si="113"/>
        <v>R029</v>
      </c>
      <c r="B1115" s="64">
        <f>$A$1430</f>
        <v>45566</v>
      </c>
      <c r="C1115" s="63" t="str">
        <f t="shared" si="114"/>
        <v>Mid-Market AE</v>
      </c>
      <c r="D1115" s="62">
        <f>SUMIFS(Fact_Quota!$D:$D,Fact_Quota!$A:$A,$A1115,Fact_Quota!$B:$B,"&gt;="&amp;B1115,Fact_Quota!$B:$B,"&lt;"&amp;EDATE(B1115,1))</f>
        <v>23300</v>
      </c>
      <c r="E1115" s="62">
        <f>SUMIFS(Fact_Pipeline!$K:$K,Fact_Pipeline!$B:$B,$A1115,Fact_Pipeline!$J:$J,"Won",Fact_Pipeline!$I:$I,"&gt;="&amp;B1115,Fact_Pipeline!$I:$I,"&lt;"&amp;EDATE(B1115,1))</f>
        <v>17800</v>
      </c>
      <c r="F1115" s="63" t="b">
        <f>AND(D1115&gt;0,IFERROR(E1115/D1115&gt;=G6,FALSE()))</f>
        <v>1</v>
      </c>
      <c r="G1115" s="62">
        <f t="shared" si="115"/>
        <v>890</v>
      </c>
      <c r="H1115" s="62">
        <f>IF(F1115,MAX(0,MIN(E1115,I6*D1115)-D1115)*IFERROR(INDEX($C$158:$C$161,MATCH(C1115,$A$158:$A$161,0)),0),0)</f>
        <v>0</v>
      </c>
      <c r="I1115" s="62">
        <f>IF(F1115,MAX(0,E1115-I6*D1115)*IFERROR(INDEX($D$158:$D$161,MATCH(C1115,$A$158:$A$161,0)),0),0)</f>
        <v>0</v>
      </c>
      <c r="J1115" s="62">
        <f t="shared" si="116"/>
        <v>890</v>
      </c>
    </row>
    <row r="1116" spans="1:10" ht="15" customHeight="1" outlineLevel="1" x14ac:dyDescent="0.2">
      <c r="A1116" s="63" t="str">
        <f t="shared" si="113"/>
        <v>R029</v>
      </c>
      <c r="B1116" s="64">
        <f>$A$1431</f>
        <v>45597</v>
      </c>
      <c r="C1116" s="63" t="str">
        <f t="shared" si="114"/>
        <v>Mid-Market AE</v>
      </c>
      <c r="D1116" s="62">
        <f>SUMIFS(Fact_Quota!$D:$D,Fact_Quota!$A:$A,$A1116,Fact_Quota!$B:$B,"&gt;="&amp;B1116,Fact_Quota!$B:$B,"&lt;"&amp;EDATE(B1116,1))</f>
        <v>21100</v>
      </c>
      <c r="E1116" s="62">
        <f>SUMIFS(Fact_Pipeline!$K:$K,Fact_Pipeline!$B:$B,$A1116,Fact_Pipeline!$J:$J,"Won",Fact_Pipeline!$I:$I,"&gt;="&amp;B1116,Fact_Pipeline!$I:$I,"&lt;"&amp;EDATE(B1116,1))</f>
        <v>49300</v>
      </c>
      <c r="F1116" s="63" t="b">
        <f>AND(D1116&gt;0,IFERROR(E1116/D1116&gt;=G6,FALSE()))</f>
        <v>1</v>
      </c>
      <c r="G1116" s="62">
        <f t="shared" si="115"/>
        <v>1055</v>
      </c>
      <c r="H1116" s="62">
        <f>IF(F1116,MAX(0,MIN(E1116,I6*D1116)-D1116)*IFERROR(INDEX($C$158:$C$161,MATCH(C1116,$A$158:$A$161,0)),0),0)</f>
        <v>844</v>
      </c>
      <c r="I1116" s="62">
        <f>IF(F1116,MAX(0,E1116-I6*D1116)*IFERROR(INDEX($D$158:$D$161,MATCH(C1116,$A$158:$A$161,0)),0),0)</f>
        <v>1941.5</v>
      </c>
      <c r="J1116" s="62">
        <f t="shared" si="116"/>
        <v>3840.5</v>
      </c>
    </row>
    <row r="1117" spans="1:10" ht="15" customHeight="1" outlineLevel="1" x14ac:dyDescent="0.2">
      <c r="A1117" s="63" t="str">
        <f t="shared" si="113"/>
        <v>R029</v>
      </c>
      <c r="B1117" s="64">
        <f>$A$1432</f>
        <v>45627</v>
      </c>
      <c r="C1117" s="63" t="str">
        <f t="shared" si="114"/>
        <v>Mid-Market AE</v>
      </c>
      <c r="D1117" s="62">
        <f>SUMIFS(Fact_Quota!$D:$D,Fact_Quota!$A:$A,$A1117,Fact_Quota!$B:$B,"&gt;="&amp;B1117,Fact_Quota!$B:$B,"&lt;"&amp;EDATE(B1117,1))</f>
        <v>22400</v>
      </c>
      <c r="E1117" s="62">
        <f>SUMIFS(Fact_Pipeline!$K:$K,Fact_Pipeline!$B:$B,$A1117,Fact_Pipeline!$J:$J,"Won",Fact_Pipeline!$I:$I,"&gt;="&amp;B1117,Fact_Pipeline!$I:$I,"&lt;"&amp;EDATE(B1117,1))</f>
        <v>13700</v>
      </c>
      <c r="F1117" s="63" t="b">
        <f>AND(D1117&gt;0,IFERROR(E1117/D1117&gt;=G6,FALSE()))</f>
        <v>1</v>
      </c>
      <c r="G1117" s="62">
        <f t="shared" si="115"/>
        <v>685</v>
      </c>
      <c r="H1117" s="62">
        <f>IF(F1117,MAX(0,MIN(E1117,I6*D1117)-D1117)*IFERROR(INDEX($C$158:$C$161,MATCH(C1117,$A$158:$A$161,0)),0),0)</f>
        <v>0</v>
      </c>
      <c r="I1117" s="62">
        <f>IF(F1117,MAX(0,E1117-I6*D1117)*IFERROR(INDEX($D$158:$D$161,MATCH(C1117,$A$158:$A$161,0)),0),0)</f>
        <v>0</v>
      </c>
      <c r="J1117" s="62">
        <f t="shared" si="116"/>
        <v>685</v>
      </c>
    </row>
    <row r="1118" spans="1:10" ht="15" customHeight="1" outlineLevel="1" x14ac:dyDescent="0.2">
      <c r="A1118" s="63" t="str">
        <f t="shared" si="113"/>
        <v>R029</v>
      </c>
      <c r="B1118" s="64">
        <f>$A$1433</f>
        <v>45658</v>
      </c>
      <c r="C1118" s="63" t="str">
        <f t="shared" si="114"/>
        <v>Mid-Market AE</v>
      </c>
      <c r="D1118" s="62">
        <f>SUMIFS(Fact_Quota!$D:$D,Fact_Quota!$A:$A,$A1118,Fact_Quota!$B:$B,"&gt;="&amp;B1118,Fact_Quota!$B:$B,"&lt;"&amp;EDATE(B1118,1))</f>
        <v>21600</v>
      </c>
      <c r="E1118" s="62">
        <f>SUMIFS(Fact_Pipeline!$K:$K,Fact_Pipeline!$B:$B,$A1118,Fact_Pipeline!$J:$J,"Won",Fact_Pipeline!$I:$I,"&gt;="&amp;B1118,Fact_Pipeline!$I:$I,"&lt;"&amp;EDATE(B1118,1))</f>
        <v>10600</v>
      </c>
      <c r="F1118" s="63" t="b">
        <f>AND(D1118&gt;0,IFERROR(E1118/D1118&gt;=G6,FALSE()))</f>
        <v>0</v>
      </c>
      <c r="G1118" s="62">
        <f t="shared" si="115"/>
        <v>0</v>
      </c>
      <c r="H1118" s="62">
        <f>IF(F1118,MAX(0,MIN(E1118,I6*D1118)-D1118)*IFERROR(INDEX($C$158:$C$161,MATCH(C1118,$A$158:$A$161,0)),0),0)</f>
        <v>0</v>
      </c>
      <c r="I1118" s="62">
        <f>IF(F1118,MAX(0,E1118-I6*D1118)*IFERROR(INDEX($D$158:$D$161,MATCH(C1118,$A$158:$A$161,0)),0),0)</f>
        <v>0</v>
      </c>
      <c r="J1118" s="62">
        <f t="shared" si="116"/>
        <v>0</v>
      </c>
    </row>
    <row r="1119" spans="1:10" ht="15" customHeight="1" outlineLevel="1" x14ac:dyDescent="0.2">
      <c r="A1119" s="63" t="str">
        <f t="shared" si="113"/>
        <v>R029</v>
      </c>
      <c r="B1119" s="64">
        <f>$A$1434</f>
        <v>45689</v>
      </c>
      <c r="C1119" s="63" t="str">
        <f t="shared" si="114"/>
        <v>Mid-Market AE</v>
      </c>
      <c r="D1119" s="62">
        <f>SUMIFS(Fact_Quota!$D:$D,Fact_Quota!$A:$A,$A1119,Fact_Quota!$B:$B,"&gt;="&amp;B1119,Fact_Quota!$B:$B,"&lt;"&amp;EDATE(B1119,1))</f>
        <v>21700</v>
      </c>
      <c r="E1119" s="62">
        <f>SUMIFS(Fact_Pipeline!$K:$K,Fact_Pipeline!$B:$B,$A1119,Fact_Pipeline!$J:$J,"Won",Fact_Pipeline!$I:$I,"&gt;="&amp;B1119,Fact_Pipeline!$I:$I,"&lt;"&amp;EDATE(B1119,1))</f>
        <v>54400</v>
      </c>
      <c r="F1119" s="63" t="b">
        <f>AND(D1119&gt;0,IFERROR(E1119/D1119&gt;=G6,FALSE()))</f>
        <v>1</v>
      </c>
      <c r="G1119" s="62">
        <f t="shared" si="115"/>
        <v>1085</v>
      </c>
      <c r="H1119" s="62">
        <f>IF(F1119,MAX(0,MIN(E1119,I6*D1119)-D1119)*IFERROR(INDEX($C$158:$C$161,MATCH(C1119,$A$158:$A$161,0)),0),0)</f>
        <v>868</v>
      </c>
      <c r="I1119" s="62">
        <f>IF(F1119,MAX(0,E1119-I6*D1119)*IFERROR(INDEX($D$158:$D$161,MATCH(C1119,$A$158:$A$161,0)),0),0)</f>
        <v>2403.5</v>
      </c>
      <c r="J1119" s="62">
        <f t="shared" si="116"/>
        <v>4356.5</v>
      </c>
    </row>
    <row r="1120" spans="1:10" ht="15" customHeight="1" outlineLevel="1" x14ac:dyDescent="0.2">
      <c r="A1120" s="63" t="str">
        <f t="shared" si="113"/>
        <v>R029</v>
      </c>
      <c r="B1120" s="64">
        <f>$A$1435</f>
        <v>45717</v>
      </c>
      <c r="C1120" s="63" t="str">
        <f t="shared" si="114"/>
        <v>Mid-Market AE</v>
      </c>
      <c r="D1120" s="62">
        <f>SUMIFS(Fact_Quota!$D:$D,Fact_Quota!$A:$A,$A1120,Fact_Quota!$B:$B,"&gt;="&amp;B1120,Fact_Quota!$B:$B,"&lt;"&amp;EDATE(B1120,1))</f>
        <v>21600</v>
      </c>
      <c r="E1120" s="62">
        <f>SUMIFS(Fact_Pipeline!$K:$K,Fact_Pipeline!$B:$B,$A1120,Fact_Pipeline!$J:$J,"Won",Fact_Pipeline!$I:$I,"&gt;="&amp;B1120,Fact_Pipeline!$I:$I,"&lt;"&amp;EDATE(B1120,1))</f>
        <v>12800</v>
      </c>
      <c r="F1120" s="63" t="b">
        <f>AND(D1120&gt;0,IFERROR(E1120/D1120&gt;=G6,FALSE()))</f>
        <v>1</v>
      </c>
      <c r="G1120" s="62">
        <f t="shared" si="115"/>
        <v>640</v>
      </c>
      <c r="H1120" s="62">
        <f>IF(F1120,MAX(0,MIN(E1120,I6*D1120)-D1120)*IFERROR(INDEX($C$158:$C$161,MATCH(C1120,$A$158:$A$161,0)),0),0)</f>
        <v>0</v>
      </c>
      <c r="I1120" s="62">
        <f>IF(F1120,MAX(0,E1120-I6*D1120)*IFERROR(INDEX($D$158:$D$161,MATCH(C1120,$A$158:$A$161,0)),0),0)</f>
        <v>0</v>
      </c>
      <c r="J1120" s="62">
        <f t="shared" si="116"/>
        <v>640</v>
      </c>
    </row>
    <row r="1121" spans="1:10" ht="15" customHeight="1" outlineLevel="1" x14ac:dyDescent="0.2">
      <c r="A1121" s="63" t="str">
        <f t="shared" si="113"/>
        <v>R029</v>
      </c>
      <c r="B1121" s="64">
        <f>$A$1436</f>
        <v>45748</v>
      </c>
      <c r="C1121" s="63" t="str">
        <f t="shared" si="114"/>
        <v>Mid-Market AE</v>
      </c>
      <c r="D1121" s="62">
        <f>SUMIFS(Fact_Quota!$D:$D,Fact_Quota!$A:$A,$A1121,Fact_Quota!$B:$B,"&gt;="&amp;B1121,Fact_Quota!$B:$B,"&lt;"&amp;EDATE(B1121,1))</f>
        <v>21400</v>
      </c>
      <c r="E1121" s="62">
        <f>SUMIFS(Fact_Pipeline!$K:$K,Fact_Pipeline!$B:$B,$A1121,Fact_Pipeline!$J:$J,"Won",Fact_Pipeline!$I:$I,"&gt;="&amp;B1121,Fact_Pipeline!$I:$I,"&lt;"&amp;EDATE(B1121,1))</f>
        <v>75100</v>
      </c>
      <c r="F1121" s="63" t="b">
        <f>AND(D1121&gt;0,IFERROR(E1121/D1121&gt;=G6,FALSE()))</f>
        <v>1</v>
      </c>
      <c r="G1121" s="62">
        <f t="shared" si="115"/>
        <v>1070</v>
      </c>
      <c r="H1121" s="62">
        <f>IF(F1121,MAX(0,MIN(E1121,I6*D1121)-D1121)*IFERROR(INDEX($C$158:$C$161,MATCH(C1121,$A$158:$A$161,0)),0),0)</f>
        <v>856</v>
      </c>
      <c r="I1121" s="62">
        <f>IF(F1121,MAX(0,E1121-I6*D1121)*IFERROR(INDEX($D$158:$D$161,MATCH(C1121,$A$158:$A$161,0)),0),0)</f>
        <v>4730</v>
      </c>
      <c r="J1121" s="62">
        <f t="shared" si="116"/>
        <v>6656</v>
      </c>
    </row>
    <row r="1122" spans="1:10" ht="15" customHeight="1" outlineLevel="1" x14ac:dyDescent="0.2">
      <c r="A1122" s="63" t="str">
        <f t="shared" si="113"/>
        <v>R029</v>
      </c>
      <c r="B1122" s="64">
        <f>$A$1437</f>
        <v>45778</v>
      </c>
      <c r="C1122" s="63" t="str">
        <f t="shared" si="114"/>
        <v>Mid-Market AE</v>
      </c>
      <c r="D1122" s="62">
        <f>SUMIFS(Fact_Quota!$D:$D,Fact_Quota!$A:$A,$A1122,Fact_Quota!$B:$B,"&gt;="&amp;B1122,Fact_Quota!$B:$B,"&lt;"&amp;EDATE(B1122,1))</f>
        <v>22000</v>
      </c>
      <c r="E1122" s="62">
        <f>SUMIFS(Fact_Pipeline!$K:$K,Fact_Pipeline!$B:$B,$A1122,Fact_Pipeline!$J:$J,"Won",Fact_Pipeline!$I:$I,"&gt;="&amp;B1122,Fact_Pipeline!$I:$I,"&lt;"&amp;EDATE(B1122,1))</f>
        <v>60700</v>
      </c>
      <c r="F1122" s="63" t="b">
        <f>AND(D1122&gt;0,IFERROR(E1122/D1122&gt;=G6,FALSE()))</f>
        <v>1</v>
      </c>
      <c r="G1122" s="62">
        <f t="shared" si="115"/>
        <v>1100</v>
      </c>
      <c r="H1122" s="62">
        <f>IF(F1122,MAX(0,MIN(E1122,I6*D1122)-D1122)*IFERROR(INDEX($C$158:$C$161,MATCH(C1122,$A$158:$A$161,0)),0),0)</f>
        <v>880</v>
      </c>
      <c r="I1122" s="62">
        <f>IF(F1122,MAX(0,E1122-I6*D1122)*IFERROR(INDEX($D$158:$D$161,MATCH(C1122,$A$158:$A$161,0)),0),0)</f>
        <v>3047</v>
      </c>
      <c r="J1122" s="62">
        <f t="shared" si="116"/>
        <v>5027</v>
      </c>
    </row>
    <row r="1123" spans="1:10" ht="15" customHeight="1" outlineLevel="1" x14ac:dyDescent="0.2">
      <c r="A1123" s="63" t="str">
        <f t="shared" si="113"/>
        <v>R029</v>
      </c>
      <c r="B1123" s="64">
        <f>$A$1438</f>
        <v>45809</v>
      </c>
      <c r="C1123" s="63" t="str">
        <f t="shared" si="114"/>
        <v>Mid-Market AE</v>
      </c>
      <c r="D1123" s="62">
        <f>SUMIFS(Fact_Quota!$D:$D,Fact_Quota!$A:$A,$A1123,Fact_Quota!$B:$B,"&gt;="&amp;B1123,Fact_Quota!$B:$B,"&lt;"&amp;EDATE(B1123,1))</f>
        <v>21500</v>
      </c>
      <c r="E1123" s="62">
        <f>SUMIFS(Fact_Pipeline!$K:$K,Fact_Pipeline!$B:$B,$A1123,Fact_Pipeline!$J:$J,"Won",Fact_Pipeline!$I:$I,"&gt;="&amp;B1123,Fact_Pipeline!$I:$I,"&lt;"&amp;EDATE(B1123,1))</f>
        <v>12200</v>
      </c>
      <c r="F1123" s="63" t="b">
        <f>AND(D1123&gt;0,IFERROR(E1123/D1123&gt;=G6,FALSE()))</f>
        <v>1</v>
      </c>
      <c r="G1123" s="62">
        <f t="shared" si="115"/>
        <v>610</v>
      </c>
      <c r="H1123" s="62">
        <f>IF(F1123,MAX(0,MIN(E1123,I6*D1123)-D1123)*IFERROR(INDEX($C$158:$C$161,MATCH(C1123,$A$158:$A$161,0)),0),0)</f>
        <v>0</v>
      </c>
      <c r="I1123" s="62">
        <f>IF(F1123,MAX(0,E1123-I6*D1123)*IFERROR(INDEX($D$158:$D$161,MATCH(C1123,$A$158:$A$161,0)),0),0)</f>
        <v>0</v>
      </c>
      <c r="J1123" s="62">
        <f t="shared" si="116"/>
        <v>610</v>
      </c>
    </row>
    <row r="1124" spans="1:10" ht="15" customHeight="1" outlineLevel="1" x14ac:dyDescent="0.2">
      <c r="A1124" s="63" t="str">
        <f t="shared" si="113"/>
        <v>R029</v>
      </c>
      <c r="B1124" s="64">
        <f>$A$1439</f>
        <v>45839</v>
      </c>
      <c r="C1124" s="63" t="str">
        <f t="shared" si="114"/>
        <v>Mid-Market AE</v>
      </c>
      <c r="D1124" s="62">
        <f>SUMIFS(Fact_Quota!$D:$D,Fact_Quota!$A:$A,$A1124,Fact_Quota!$B:$B,"&gt;="&amp;B1124,Fact_Quota!$B:$B,"&lt;"&amp;EDATE(B1124,1))</f>
        <v>22200</v>
      </c>
      <c r="E1124" s="62">
        <f>SUMIFS(Fact_Pipeline!$K:$K,Fact_Pipeline!$B:$B,$A1124,Fact_Pipeline!$J:$J,"Won",Fact_Pipeline!$I:$I,"&gt;="&amp;B1124,Fact_Pipeline!$I:$I,"&lt;"&amp;EDATE(B1124,1))</f>
        <v>22800</v>
      </c>
      <c r="F1124" s="63" t="b">
        <f>AND(D1124&gt;0,IFERROR(E1124/D1124&gt;=G6,FALSE()))</f>
        <v>1</v>
      </c>
      <c r="G1124" s="62">
        <f t="shared" si="115"/>
        <v>1110</v>
      </c>
      <c r="H1124" s="62">
        <f>IF(F1124,MAX(0,MIN(E1124,I6*D1124)-D1124)*IFERROR(INDEX($C$158:$C$161,MATCH(C1124,$A$158:$A$161,0)),0),0)</f>
        <v>48</v>
      </c>
      <c r="I1124" s="62">
        <f>IF(F1124,MAX(0,E1124-I6*D1124)*IFERROR(INDEX($D$158:$D$161,MATCH(C1124,$A$158:$A$161,0)),0),0)</f>
        <v>0</v>
      </c>
      <c r="J1124" s="62">
        <f t="shared" si="116"/>
        <v>1158</v>
      </c>
    </row>
    <row r="1125" spans="1:10" ht="15" customHeight="1" outlineLevel="1" x14ac:dyDescent="0.2">
      <c r="A1125" s="63" t="str">
        <f t="shared" si="113"/>
        <v>R029</v>
      </c>
      <c r="B1125" s="64">
        <f>$A$1440</f>
        <v>45870</v>
      </c>
      <c r="C1125" s="63" t="str">
        <f t="shared" si="114"/>
        <v>Mid-Market AE</v>
      </c>
      <c r="D1125" s="62">
        <f>SUMIFS(Fact_Quota!$D:$D,Fact_Quota!$A:$A,$A1125,Fact_Quota!$B:$B,"&gt;="&amp;B1125,Fact_Quota!$B:$B,"&lt;"&amp;EDATE(B1125,1))</f>
        <v>22000</v>
      </c>
      <c r="E1125" s="62">
        <f>SUMIFS(Fact_Pipeline!$K:$K,Fact_Pipeline!$B:$B,$A1125,Fact_Pipeline!$J:$J,"Won",Fact_Pipeline!$I:$I,"&gt;="&amp;B1125,Fact_Pipeline!$I:$I,"&lt;"&amp;EDATE(B1125,1))</f>
        <v>9500</v>
      </c>
      <c r="F1125" s="63" t="b">
        <f>AND(D1125&gt;0,IFERROR(E1125/D1125&gt;=G6,FALSE()))</f>
        <v>0</v>
      </c>
      <c r="G1125" s="62">
        <f t="shared" si="115"/>
        <v>0</v>
      </c>
      <c r="H1125" s="62">
        <f>IF(F1125,MAX(0,MIN(E1125,I6*D1125)-D1125)*IFERROR(INDEX($C$158:$C$161,MATCH(C1125,$A$158:$A$161,0)),0),0)</f>
        <v>0</v>
      </c>
      <c r="I1125" s="62">
        <f>IF(F1125,MAX(0,E1125-I6*D1125)*IFERROR(INDEX($D$158:$D$161,MATCH(C1125,$A$158:$A$161,0)),0),0)</f>
        <v>0</v>
      </c>
      <c r="J1125" s="62">
        <f t="shared" si="116"/>
        <v>0</v>
      </c>
    </row>
    <row r="1126" spans="1:10" ht="15" customHeight="1" outlineLevel="1" x14ac:dyDescent="0.2">
      <c r="A1126" s="63" t="str">
        <f t="shared" si="113"/>
        <v>R029</v>
      </c>
      <c r="B1126" s="64">
        <f>$A$1441</f>
        <v>45901</v>
      </c>
      <c r="C1126" s="63" t="str">
        <f t="shared" si="114"/>
        <v>Mid-Market AE</v>
      </c>
      <c r="D1126" s="62">
        <f>SUMIFS(Fact_Quota!$D:$D,Fact_Quota!$A:$A,$A1126,Fact_Quota!$B:$B,"&gt;="&amp;B1126,Fact_Quota!$B:$B,"&lt;"&amp;EDATE(B1126,1))</f>
        <v>21800</v>
      </c>
      <c r="E1126" s="62">
        <f>SUMIFS(Fact_Pipeline!$K:$K,Fact_Pipeline!$B:$B,$A1126,Fact_Pipeline!$J:$J,"Won",Fact_Pipeline!$I:$I,"&gt;="&amp;B1126,Fact_Pipeline!$I:$I,"&lt;"&amp;EDATE(B1126,1))</f>
        <v>35600</v>
      </c>
      <c r="F1126" s="63" t="b">
        <f>AND(D1126&gt;0,IFERROR(E1126/D1126&gt;=G6,FALSE()))</f>
        <v>1</v>
      </c>
      <c r="G1126" s="62">
        <f t="shared" si="115"/>
        <v>1090</v>
      </c>
      <c r="H1126" s="62">
        <f>IF(F1126,MAX(0,MIN(E1126,I6*D1126)-D1126)*IFERROR(INDEX($C$158:$C$161,MATCH(C1126,$A$158:$A$161,0)),0),0)</f>
        <v>872</v>
      </c>
      <c r="I1126" s="62">
        <f>IF(F1126,MAX(0,E1126-I6*D1126)*IFERROR(INDEX($D$158:$D$161,MATCH(C1126,$A$158:$A$161,0)),0),0)</f>
        <v>319</v>
      </c>
      <c r="J1126" s="62">
        <f t="shared" si="116"/>
        <v>2281</v>
      </c>
    </row>
    <row r="1127" spans="1:10" ht="15" customHeight="1" outlineLevel="1" x14ac:dyDescent="0.2">
      <c r="A1127" s="63" t="str">
        <f t="shared" si="113"/>
        <v>R029</v>
      </c>
      <c r="B1127" s="64">
        <f>$A$1442</f>
        <v>45931</v>
      </c>
      <c r="C1127" s="63" t="str">
        <f t="shared" si="114"/>
        <v>Mid-Market AE</v>
      </c>
      <c r="D1127" s="62">
        <f>SUMIFS(Fact_Quota!$D:$D,Fact_Quota!$A:$A,$A1127,Fact_Quota!$B:$B,"&gt;="&amp;B1127,Fact_Quota!$B:$B,"&lt;"&amp;EDATE(B1127,1))</f>
        <v>21400</v>
      </c>
      <c r="E1127" s="62">
        <f>SUMIFS(Fact_Pipeline!$K:$K,Fact_Pipeline!$B:$B,$A1127,Fact_Pipeline!$J:$J,"Won",Fact_Pipeline!$I:$I,"&gt;="&amp;B1127,Fact_Pipeline!$I:$I,"&lt;"&amp;EDATE(B1127,1))</f>
        <v>34900</v>
      </c>
      <c r="F1127" s="63" t="b">
        <f>AND(D1127&gt;0,IFERROR(E1127/D1127&gt;=G6,FALSE()))</f>
        <v>1</v>
      </c>
      <c r="G1127" s="62">
        <f t="shared" si="115"/>
        <v>1070</v>
      </c>
      <c r="H1127" s="62">
        <f>IF(F1127,MAX(0,MIN(E1127,I6*D1127)-D1127)*IFERROR(INDEX($C$158:$C$161,MATCH(C1127,$A$158:$A$161,0)),0),0)</f>
        <v>856</v>
      </c>
      <c r="I1127" s="62">
        <f>IF(F1127,MAX(0,E1127-I6*D1127)*IFERROR(INDEX($D$158:$D$161,MATCH(C1127,$A$158:$A$161,0)),0),0)</f>
        <v>308</v>
      </c>
      <c r="J1127" s="62">
        <f t="shared" si="116"/>
        <v>2234</v>
      </c>
    </row>
    <row r="1128" spans="1:10" ht="15" customHeight="1" outlineLevel="1" x14ac:dyDescent="0.2">
      <c r="A1128" s="63" t="str">
        <f t="shared" si="113"/>
        <v>R029</v>
      </c>
      <c r="B1128" s="64">
        <f>$A$1443</f>
        <v>45962</v>
      </c>
      <c r="C1128" s="63" t="str">
        <f t="shared" si="114"/>
        <v>Mid-Market AE</v>
      </c>
      <c r="D1128" s="62">
        <f>SUMIFS(Fact_Quota!$D:$D,Fact_Quota!$A:$A,$A1128,Fact_Quota!$B:$B,"&gt;="&amp;B1128,Fact_Quota!$B:$B,"&lt;"&amp;EDATE(B1128,1))</f>
        <v>21600</v>
      </c>
      <c r="E1128" s="62">
        <f>SUMIFS(Fact_Pipeline!$K:$K,Fact_Pipeline!$B:$B,$A1128,Fact_Pipeline!$J:$J,"Won",Fact_Pipeline!$I:$I,"&gt;="&amp;B1128,Fact_Pipeline!$I:$I,"&lt;"&amp;EDATE(B1128,1))</f>
        <v>56600</v>
      </c>
      <c r="F1128" s="63" t="b">
        <f>AND(D1128&gt;0,IFERROR(E1128/D1128&gt;=G6,FALSE()))</f>
        <v>1</v>
      </c>
      <c r="G1128" s="62">
        <f t="shared" si="115"/>
        <v>1080</v>
      </c>
      <c r="H1128" s="62">
        <f>IF(F1128,MAX(0,MIN(E1128,I6*D1128)-D1128)*IFERROR(INDEX($C$158:$C$161,MATCH(C1128,$A$158:$A$161,0)),0),0)</f>
        <v>864</v>
      </c>
      <c r="I1128" s="62">
        <f>IF(F1128,MAX(0,E1128-I6*D1128)*IFERROR(INDEX($D$158:$D$161,MATCH(C1128,$A$158:$A$161,0)),0),0)</f>
        <v>2662</v>
      </c>
      <c r="J1128" s="62">
        <f t="shared" si="116"/>
        <v>4606</v>
      </c>
    </row>
    <row r="1129" spans="1:10" ht="15" customHeight="1" outlineLevel="1" x14ac:dyDescent="0.2">
      <c r="A1129" s="63" t="str">
        <f t="shared" si="113"/>
        <v>R029</v>
      </c>
      <c r="B1129" s="64">
        <f>$A$1444</f>
        <v>45992</v>
      </c>
      <c r="C1129" s="63" t="str">
        <f t="shared" si="114"/>
        <v>Mid-Market AE</v>
      </c>
      <c r="D1129" s="62">
        <f>SUMIFS(Fact_Quota!$D:$D,Fact_Quota!$A:$A,$A1129,Fact_Quota!$B:$B,"&gt;="&amp;B1129,Fact_Quota!$B:$B,"&lt;"&amp;EDATE(B1129,1))</f>
        <v>22500</v>
      </c>
      <c r="E1129" s="62">
        <f>SUMIFS(Fact_Pipeline!$K:$K,Fact_Pipeline!$B:$B,$A1129,Fact_Pipeline!$J:$J,"Won",Fact_Pipeline!$I:$I,"&gt;="&amp;B1129,Fact_Pipeline!$I:$I,"&lt;"&amp;EDATE(B1129,1))</f>
        <v>71700</v>
      </c>
      <c r="F1129" s="63" t="b">
        <f>AND(D1129&gt;0,IFERROR(E1129/D1129&gt;=G6,FALSE()))</f>
        <v>1</v>
      </c>
      <c r="G1129" s="62">
        <f t="shared" si="115"/>
        <v>1125</v>
      </c>
      <c r="H1129" s="62">
        <f>IF(F1129,MAX(0,MIN(E1129,I6*D1129)-D1129)*IFERROR(INDEX($C$158:$C$161,MATCH(C1129,$A$158:$A$161,0)),0),0)</f>
        <v>900</v>
      </c>
      <c r="I1129" s="62">
        <f>IF(F1129,MAX(0,E1129-I6*D1129)*IFERROR(INDEX($D$158:$D$161,MATCH(C1129,$A$158:$A$161,0)),0),0)</f>
        <v>4174.5</v>
      </c>
      <c r="J1129" s="62">
        <f t="shared" si="116"/>
        <v>6199.5</v>
      </c>
    </row>
    <row r="1130" spans="1:10" ht="15" customHeight="1" outlineLevel="1" x14ac:dyDescent="0.2">
      <c r="A1130" s="66" t="str">
        <f t="shared" ref="A1130:A1153" si="117">$A$203</f>
        <v>R031</v>
      </c>
      <c r="B1130" s="67">
        <f>$A$1421</f>
        <v>45292</v>
      </c>
      <c r="C1130" s="66" t="str">
        <f t="shared" ref="C1130:C1153" si="118">$C$203</f>
        <v>Mid-Market AE</v>
      </c>
      <c r="D1130" s="65">
        <f>SUMIFS(Fact_Quota!$D:$D,Fact_Quota!$A:$A,$A1130,Fact_Quota!$B:$B,"&gt;="&amp;B1130,Fact_Quota!$B:$B,"&lt;"&amp;EDATE(B1130,1))</f>
        <v>0</v>
      </c>
      <c r="E1130" s="65">
        <f>SUMIFS(Fact_Pipeline!$K:$K,Fact_Pipeline!$B:$B,$A1130,Fact_Pipeline!$J:$J,"Won",Fact_Pipeline!$I:$I,"&gt;="&amp;B1130,Fact_Pipeline!$I:$I,"&lt;"&amp;EDATE(B1130,1))</f>
        <v>0</v>
      </c>
      <c r="F1130" s="66" t="b">
        <f>AND(D1130&gt;0,IFERROR(E1130/D1130&gt;=G6,FALSE()))</f>
        <v>0</v>
      </c>
      <c r="G1130" s="65">
        <f t="shared" si="115"/>
        <v>0</v>
      </c>
      <c r="H1130" s="65">
        <f>IF(F1130,MAX(0,MIN(E1130,I6*D1130)-D1130)*IFERROR(INDEX($C$158:$C$161,MATCH(C1130,$A$158:$A$161,0)),0),0)</f>
        <v>0</v>
      </c>
      <c r="I1130" s="65">
        <f>IF(F1130,MAX(0,E1130-I6*D1130)*IFERROR(INDEX($D$158:$D$161,MATCH(C1130,$A$158:$A$161,0)),0),0)</f>
        <v>0</v>
      </c>
      <c r="J1130" s="65">
        <f t="shared" si="116"/>
        <v>0</v>
      </c>
    </row>
    <row r="1131" spans="1:10" ht="15" customHeight="1" outlineLevel="1" x14ac:dyDescent="0.2">
      <c r="A1131" s="66" t="str">
        <f t="shared" si="117"/>
        <v>R031</v>
      </c>
      <c r="B1131" s="67">
        <f>$A$1422</f>
        <v>45323</v>
      </c>
      <c r="C1131" s="66" t="str">
        <f t="shared" si="118"/>
        <v>Mid-Market AE</v>
      </c>
      <c r="D1131" s="65">
        <f>SUMIFS(Fact_Quota!$D:$D,Fact_Quota!$A:$A,$A1131,Fact_Quota!$B:$B,"&gt;="&amp;B1131,Fact_Quota!$B:$B,"&lt;"&amp;EDATE(B1131,1))</f>
        <v>0</v>
      </c>
      <c r="E1131" s="65">
        <f>SUMIFS(Fact_Pipeline!$K:$K,Fact_Pipeline!$B:$B,$A1131,Fact_Pipeline!$J:$J,"Won",Fact_Pipeline!$I:$I,"&gt;="&amp;B1131,Fact_Pipeline!$I:$I,"&lt;"&amp;EDATE(B1131,1))</f>
        <v>0</v>
      </c>
      <c r="F1131" s="66" t="b">
        <f>AND(D1131&gt;0,IFERROR(E1131/D1131&gt;=G6,FALSE()))</f>
        <v>0</v>
      </c>
      <c r="G1131" s="65">
        <f t="shared" si="115"/>
        <v>0</v>
      </c>
      <c r="H1131" s="65">
        <f>IF(F1131,MAX(0,MIN(E1131,I6*D1131)-D1131)*IFERROR(INDEX($C$158:$C$161,MATCH(C1131,$A$158:$A$161,0)),0),0)</f>
        <v>0</v>
      </c>
      <c r="I1131" s="65">
        <f>IF(F1131,MAX(0,E1131-I6*D1131)*IFERROR(INDEX($D$158:$D$161,MATCH(C1131,$A$158:$A$161,0)),0),0)</f>
        <v>0</v>
      </c>
      <c r="J1131" s="65">
        <f t="shared" si="116"/>
        <v>0</v>
      </c>
    </row>
    <row r="1132" spans="1:10" ht="15" customHeight="1" outlineLevel="1" x14ac:dyDescent="0.2">
      <c r="A1132" s="66" t="str">
        <f t="shared" si="117"/>
        <v>R031</v>
      </c>
      <c r="B1132" s="67">
        <f>$A$1423</f>
        <v>45352</v>
      </c>
      <c r="C1132" s="66" t="str">
        <f t="shared" si="118"/>
        <v>Mid-Market AE</v>
      </c>
      <c r="D1132" s="65">
        <f>SUMIFS(Fact_Quota!$D:$D,Fact_Quota!$A:$A,$A1132,Fact_Quota!$B:$B,"&gt;="&amp;B1132,Fact_Quota!$B:$B,"&lt;"&amp;EDATE(B1132,1))</f>
        <v>0</v>
      </c>
      <c r="E1132" s="65">
        <f>SUMIFS(Fact_Pipeline!$K:$K,Fact_Pipeline!$B:$B,$A1132,Fact_Pipeline!$J:$J,"Won",Fact_Pipeline!$I:$I,"&gt;="&amp;B1132,Fact_Pipeline!$I:$I,"&lt;"&amp;EDATE(B1132,1))</f>
        <v>0</v>
      </c>
      <c r="F1132" s="66" t="b">
        <f>AND(D1132&gt;0,IFERROR(E1132/D1132&gt;=G6,FALSE()))</f>
        <v>0</v>
      </c>
      <c r="G1132" s="65">
        <f t="shared" si="115"/>
        <v>0</v>
      </c>
      <c r="H1132" s="65">
        <f>IF(F1132,MAX(0,MIN(E1132,I6*D1132)-D1132)*IFERROR(INDEX($C$158:$C$161,MATCH(C1132,$A$158:$A$161,0)),0),0)</f>
        <v>0</v>
      </c>
      <c r="I1132" s="65">
        <f>IF(F1132,MAX(0,E1132-I6*D1132)*IFERROR(INDEX($D$158:$D$161,MATCH(C1132,$A$158:$A$161,0)),0),0)</f>
        <v>0</v>
      </c>
      <c r="J1132" s="65">
        <f t="shared" si="116"/>
        <v>0</v>
      </c>
    </row>
    <row r="1133" spans="1:10" ht="15" customHeight="1" outlineLevel="1" x14ac:dyDescent="0.2">
      <c r="A1133" s="66" t="str">
        <f t="shared" si="117"/>
        <v>R031</v>
      </c>
      <c r="B1133" s="67">
        <f>$A$1424</f>
        <v>45383</v>
      </c>
      <c r="C1133" s="66" t="str">
        <f t="shared" si="118"/>
        <v>Mid-Market AE</v>
      </c>
      <c r="D1133" s="65">
        <f>SUMIFS(Fact_Quota!$D:$D,Fact_Quota!$A:$A,$A1133,Fact_Quota!$B:$B,"&gt;="&amp;B1133,Fact_Quota!$B:$B,"&lt;"&amp;EDATE(B1133,1))</f>
        <v>0</v>
      </c>
      <c r="E1133" s="65">
        <f>SUMIFS(Fact_Pipeline!$K:$K,Fact_Pipeline!$B:$B,$A1133,Fact_Pipeline!$J:$J,"Won",Fact_Pipeline!$I:$I,"&gt;="&amp;B1133,Fact_Pipeline!$I:$I,"&lt;"&amp;EDATE(B1133,1))</f>
        <v>0</v>
      </c>
      <c r="F1133" s="66" t="b">
        <f>AND(D1133&gt;0,IFERROR(E1133/D1133&gt;=G6,FALSE()))</f>
        <v>0</v>
      </c>
      <c r="G1133" s="65">
        <f t="shared" si="115"/>
        <v>0</v>
      </c>
      <c r="H1133" s="65">
        <f>IF(F1133,MAX(0,MIN(E1133,I6*D1133)-D1133)*IFERROR(INDEX($C$158:$C$161,MATCH(C1133,$A$158:$A$161,0)),0),0)</f>
        <v>0</v>
      </c>
      <c r="I1133" s="65">
        <f>IF(F1133,MAX(0,E1133-I6*D1133)*IFERROR(INDEX($D$158:$D$161,MATCH(C1133,$A$158:$A$161,0)),0),0)</f>
        <v>0</v>
      </c>
      <c r="J1133" s="65">
        <f t="shared" si="116"/>
        <v>0</v>
      </c>
    </row>
    <row r="1134" spans="1:10" ht="15" customHeight="1" outlineLevel="1" x14ac:dyDescent="0.2">
      <c r="A1134" s="66" t="str">
        <f t="shared" si="117"/>
        <v>R031</v>
      </c>
      <c r="B1134" s="67">
        <f>$A$1425</f>
        <v>45413</v>
      </c>
      <c r="C1134" s="66" t="str">
        <f t="shared" si="118"/>
        <v>Mid-Market AE</v>
      </c>
      <c r="D1134" s="65">
        <f>SUMIFS(Fact_Quota!$D:$D,Fact_Quota!$A:$A,$A1134,Fact_Quota!$B:$B,"&gt;="&amp;B1134,Fact_Quota!$B:$B,"&lt;"&amp;EDATE(B1134,1))</f>
        <v>0</v>
      </c>
      <c r="E1134" s="65">
        <f>SUMIFS(Fact_Pipeline!$K:$K,Fact_Pipeline!$B:$B,$A1134,Fact_Pipeline!$J:$J,"Won",Fact_Pipeline!$I:$I,"&gt;="&amp;B1134,Fact_Pipeline!$I:$I,"&lt;"&amp;EDATE(B1134,1))</f>
        <v>0</v>
      </c>
      <c r="F1134" s="66" t="b">
        <f>AND(D1134&gt;0,IFERROR(E1134/D1134&gt;=G6,FALSE()))</f>
        <v>0</v>
      </c>
      <c r="G1134" s="65">
        <f t="shared" si="115"/>
        <v>0</v>
      </c>
      <c r="H1134" s="65">
        <f>IF(F1134,MAX(0,MIN(E1134,I6*D1134)-D1134)*IFERROR(INDEX($C$158:$C$161,MATCH(C1134,$A$158:$A$161,0)),0),0)</f>
        <v>0</v>
      </c>
      <c r="I1134" s="65">
        <f>IF(F1134,MAX(0,E1134-I6*D1134)*IFERROR(INDEX($D$158:$D$161,MATCH(C1134,$A$158:$A$161,0)),0),0)</f>
        <v>0</v>
      </c>
      <c r="J1134" s="65">
        <f t="shared" si="116"/>
        <v>0</v>
      </c>
    </row>
    <row r="1135" spans="1:10" ht="15" customHeight="1" outlineLevel="1" x14ac:dyDescent="0.2">
      <c r="A1135" s="66" t="str">
        <f t="shared" si="117"/>
        <v>R031</v>
      </c>
      <c r="B1135" s="67">
        <f>$A$1426</f>
        <v>45444</v>
      </c>
      <c r="C1135" s="66" t="str">
        <f t="shared" si="118"/>
        <v>Mid-Market AE</v>
      </c>
      <c r="D1135" s="65">
        <f>SUMIFS(Fact_Quota!$D:$D,Fact_Quota!$A:$A,$A1135,Fact_Quota!$B:$B,"&gt;="&amp;B1135,Fact_Quota!$B:$B,"&lt;"&amp;EDATE(B1135,1))</f>
        <v>0</v>
      </c>
      <c r="E1135" s="65">
        <f>SUMIFS(Fact_Pipeline!$K:$K,Fact_Pipeline!$B:$B,$A1135,Fact_Pipeline!$J:$J,"Won",Fact_Pipeline!$I:$I,"&gt;="&amp;B1135,Fact_Pipeline!$I:$I,"&lt;"&amp;EDATE(B1135,1))</f>
        <v>0</v>
      </c>
      <c r="F1135" s="66" t="b">
        <f>AND(D1135&gt;0,IFERROR(E1135/D1135&gt;=G6,FALSE()))</f>
        <v>0</v>
      </c>
      <c r="G1135" s="65">
        <f t="shared" si="115"/>
        <v>0</v>
      </c>
      <c r="H1135" s="65">
        <f>IF(F1135,MAX(0,MIN(E1135,I6*D1135)-D1135)*IFERROR(INDEX($C$158:$C$161,MATCH(C1135,$A$158:$A$161,0)),0),0)</f>
        <v>0</v>
      </c>
      <c r="I1135" s="65">
        <f>IF(F1135,MAX(0,E1135-I6*D1135)*IFERROR(INDEX($D$158:$D$161,MATCH(C1135,$A$158:$A$161,0)),0),0)</f>
        <v>0</v>
      </c>
      <c r="J1135" s="65">
        <f t="shared" si="116"/>
        <v>0</v>
      </c>
    </row>
    <row r="1136" spans="1:10" ht="15" customHeight="1" outlineLevel="1" x14ac:dyDescent="0.2">
      <c r="A1136" s="66" t="str">
        <f t="shared" si="117"/>
        <v>R031</v>
      </c>
      <c r="B1136" s="67">
        <f>$A$1427</f>
        <v>45474</v>
      </c>
      <c r="C1136" s="66" t="str">
        <f t="shared" si="118"/>
        <v>Mid-Market AE</v>
      </c>
      <c r="D1136" s="65">
        <f>SUMIFS(Fact_Quota!$D:$D,Fact_Quota!$A:$A,$A1136,Fact_Quota!$B:$B,"&gt;="&amp;B1136,Fact_Quota!$B:$B,"&lt;"&amp;EDATE(B1136,1))</f>
        <v>0</v>
      </c>
      <c r="E1136" s="65">
        <f>SUMIFS(Fact_Pipeline!$K:$K,Fact_Pipeline!$B:$B,$A1136,Fact_Pipeline!$J:$J,"Won",Fact_Pipeline!$I:$I,"&gt;="&amp;B1136,Fact_Pipeline!$I:$I,"&lt;"&amp;EDATE(B1136,1))</f>
        <v>0</v>
      </c>
      <c r="F1136" s="66" t="b">
        <f>AND(D1136&gt;0,IFERROR(E1136/D1136&gt;=G6,FALSE()))</f>
        <v>0</v>
      </c>
      <c r="G1136" s="65">
        <f t="shared" si="115"/>
        <v>0</v>
      </c>
      <c r="H1136" s="65">
        <f>IF(F1136,MAX(0,MIN(E1136,I6*D1136)-D1136)*IFERROR(INDEX($C$158:$C$161,MATCH(C1136,$A$158:$A$161,0)),0),0)</f>
        <v>0</v>
      </c>
      <c r="I1136" s="65">
        <f>IF(F1136,MAX(0,E1136-I6*D1136)*IFERROR(INDEX($D$158:$D$161,MATCH(C1136,$A$158:$A$161,0)),0),0)</f>
        <v>0</v>
      </c>
      <c r="J1136" s="65">
        <f t="shared" si="116"/>
        <v>0</v>
      </c>
    </row>
    <row r="1137" spans="1:10" ht="15" customHeight="1" outlineLevel="1" x14ac:dyDescent="0.2">
      <c r="A1137" s="66" t="str">
        <f t="shared" si="117"/>
        <v>R031</v>
      </c>
      <c r="B1137" s="67">
        <f>$A$1428</f>
        <v>45505</v>
      </c>
      <c r="C1137" s="66" t="str">
        <f t="shared" si="118"/>
        <v>Mid-Market AE</v>
      </c>
      <c r="D1137" s="65">
        <f>SUMIFS(Fact_Quota!$D:$D,Fact_Quota!$A:$A,$A1137,Fact_Quota!$B:$B,"&gt;="&amp;B1137,Fact_Quota!$B:$B,"&lt;"&amp;EDATE(B1137,1))</f>
        <v>0</v>
      </c>
      <c r="E1137" s="65">
        <f>SUMIFS(Fact_Pipeline!$K:$K,Fact_Pipeline!$B:$B,$A1137,Fact_Pipeline!$J:$J,"Won",Fact_Pipeline!$I:$I,"&gt;="&amp;B1137,Fact_Pipeline!$I:$I,"&lt;"&amp;EDATE(B1137,1))</f>
        <v>0</v>
      </c>
      <c r="F1137" s="66" t="b">
        <f>AND(D1137&gt;0,IFERROR(E1137/D1137&gt;=G6,FALSE()))</f>
        <v>0</v>
      </c>
      <c r="G1137" s="65">
        <f t="shared" si="115"/>
        <v>0</v>
      </c>
      <c r="H1137" s="65">
        <f>IF(F1137,MAX(0,MIN(E1137,I6*D1137)-D1137)*IFERROR(INDEX($C$158:$C$161,MATCH(C1137,$A$158:$A$161,0)),0),0)</f>
        <v>0</v>
      </c>
      <c r="I1137" s="65">
        <f>IF(F1137,MAX(0,E1137-I6*D1137)*IFERROR(INDEX($D$158:$D$161,MATCH(C1137,$A$158:$A$161,0)),0),0)</f>
        <v>0</v>
      </c>
      <c r="J1137" s="65">
        <f t="shared" si="116"/>
        <v>0</v>
      </c>
    </row>
    <row r="1138" spans="1:10" ht="15" customHeight="1" outlineLevel="1" x14ac:dyDescent="0.2">
      <c r="A1138" s="66" t="str">
        <f t="shared" si="117"/>
        <v>R031</v>
      </c>
      <c r="B1138" s="67">
        <f>$A$1429</f>
        <v>45536</v>
      </c>
      <c r="C1138" s="66" t="str">
        <f t="shared" si="118"/>
        <v>Mid-Market AE</v>
      </c>
      <c r="D1138" s="65">
        <f>SUMIFS(Fact_Quota!$D:$D,Fact_Quota!$A:$A,$A1138,Fact_Quota!$B:$B,"&gt;="&amp;B1138,Fact_Quota!$B:$B,"&lt;"&amp;EDATE(B1138,1))</f>
        <v>0</v>
      </c>
      <c r="E1138" s="65">
        <f>SUMIFS(Fact_Pipeline!$K:$K,Fact_Pipeline!$B:$B,$A1138,Fact_Pipeline!$J:$J,"Won",Fact_Pipeline!$I:$I,"&gt;="&amp;B1138,Fact_Pipeline!$I:$I,"&lt;"&amp;EDATE(B1138,1))</f>
        <v>0</v>
      </c>
      <c r="F1138" s="66" t="b">
        <f>AND(D1138&gt;0,IFERROR(E1138/D1138&gt;=G6,FALSE()))</f>
        <v>0</v>
      </c>
      <c r="G1138" s="65">
        <f t="shared" si="115"/>
        <v>0</v>
      </c>
      <c r="H1138" s="65">
        <f>IF(F1138,MAX(0,MIN(E1138,I6*D1138)-D1138)*IFERROR(INDEX($C$158:$C$161,MATCH(C1138,$A$158:$A$161,0)),0),0)</f>
        <v>0</v>
      </c>
      <c r="I1138" s="65">
        <f>IF(F1138,MAX(0,E1138-I6*D1138)*IFERROR(INDEX($D$158:$D$161,MATCH(C1138,$A$158:$A$161,0)),0),0)</f>
        <v>0</v>
      </c>
      <c r="J1138" s="65">
        <f t="shared" si="116"/>
        <v>0</v>
      </c>
    </row>
    <row r="1139" spans="1:10" ht="15" customHeight="1" outlineLevel="1" x14ac:dyDescent="0.2">
      <c r="A1139" s="66" t="str">
        <f t="shared" si="117"/>
        <v>R031</v>
      </c>
      <c r="B1139" s="67">
        <f>$A$1430</f>
        <v>45566</v>
      </c>
      <c r="C1139" s="66" t="str">
        <f t="shared" si="118"/>
        <v>Mid-Market AE</v>
      </c>
      <c r="D1139" s="65">
        <f>SUMIFS(Fact_Quota!$D:$D,Fact_Quota!$A:$A,$A1139,Fact_Quota!$B:$B,"&gt;="&amp;B1139,Fact_Quota!$B:$B,"&lt;"&amp;EDATE(B1139,1))</f>
        <v>0</v>
      </c>
      <c r="E1139" s="65">
        <f>SUMIFS(Fact_Pipeline!$K:$K,Fact_Pipeline!$B:$B,$A1139,Fact_Pipeline!$J:$J,"Won",Fact_Pipeline!$I:$I,"&gt;="&amp;B1139,Fact_Pipeline!$I:$I,"&lt;"&amp;EDATE(B1139,1))</f>
        <v>0</v>
      </c>
      <c r="F1139" s="66" t="b">
        <f>AND(D1139&gt;0,IFERROR(E1139/D1139&gt;=G6,FALSE()))</f>
        <v>0</v>
      </c>
      <c r="G1139" s="65">
        <f t="shared" si="115"/>
        <v>0</v>
      </c>
      <c r="H1139" s="65">
        <f>IF(F1139,MAX(0,MIN(E1139,I6*D1139)-D1139)*IFERROR(INDEX($C$158:$C$161,MATCH(C1139,$A$158:$A$161,0)),0),0)</f>
        <v>0</v>
      </c>
      <c r="I1139" s="65">
        <f>IF(F1139,MAX(0,E1139-I6*D1139)*IFERROR(INDEX($D$158:$D$161,MATCH(C1139,$A$158:$A$161,0)),0),0)</f>
        <v>0</v>
      </c>
      <c r="J1139" s="65">
        <f t="shared" si="116"/>
        <v>0</v>
      </c>
    </row>
    <row r="1140" spans="1:10" ht="15" customHeight="1" outlineLevel="1" x14ac:dyDescent="0.2">
      <c r="A1140" s="66" t="str">
        <f t="shared" si="117"/>
        <v>R031</v>
      </c>
      <c r="B1140" s="67">
        <f>$A$1431</f>
        <v>45597</v>
      </c>
      <c r="C1140" s="66" t="str">
        <f t="shared" si="118"/>
        <v>Mid-Market AE</v>
      </c>
      <c r="D1140" s="65">
        <f>SUMIFS(Fact_Quota!$D:$D,Fact_Quota!$A:$A,$A1140,Fact_Quota!$B:$B,"&gt;="&amp;B1140,Fact_Quota!$B:$B,"&lt;"&amp;EDATE(B1140,1))</f>
        <v>0</v>
      </c>
      <c r="E1140" s="65">
        <f>SUMIFS(Fact_Pipeline!$K:$K,Fact_Pipeline!$B:$B,$A1140,Fact_Pipeline!$J:$J,"Won",Fact_Pipeline!$I:$I,"&gt;="&amp;B1140,Fact_Pipeline!$I:$I,"&lt;"&amp;EDATE(B1140,1))</f>
        <v>0</v>
      </c>
      <c r="F1140" s="66" t="b">
        <f>AND(D1140&gt;0,IFERROR(E1140/D1140&gt;=G6,FALSE()))</f>
        <v>0</v>
      </c>
      <c r="G1140" s="65">
        <f t="shared" si="115"/>
        <v>0</v>
      </c>
      <c r="H1140" s="65">
        <f>IF(F1140,MAX(0,MIN(E1140,I6*D1140)-D1140)*IFERROR(INDEX($C$158:$C$161,MATCH(C1140,$A$158:$A$161,0)),0),0)</f>
        <v>0</v>
      </c>
      <c r="I1140" s="65">
        <f>IF(F1140,MAX(0,E1140-I6*D1140)*IFERROR(INDEX($D$158:$D$161,MATCH(C1140,$A$158:$A$161,0)),0),0)</f>
        <v>0</v>
      </c>
      <c r="J1140" s="65">
        <f t="shared" si="116"/>
        <v>0</v>
      </c>
    </row>
    <row r="1141" spans="1:10" ht="15" customHeight="1" outlineLevel="1" x14ac:dyDescent="0.2">
      <c r="A1141" s="66" t="str">
        <f t="shared" si="117"/>
        <v>R031</v>
      </c>
      <c r="B1141" s="67">
        <f>$A$1432</f>
        <v>45627</v>
      </c>
      <c r="C1141" s="66" t="str">
        <f t="shared" si="118"/>
        <v>Mid-Market AE</v>
      </c>
      <c r="D1141" s="65">
        <f>SUMIFS(Fact_Quota!$D:$D,Fact_Quota!$A:$A,$A1141,Fact_Quota!$B:$B,"&gt;="&amp;B1141,Fact_Quota!$B:$B,"&lt;"&amp;EDATE(B1141,1))</f>
        <v>0</v>
      </c>
      <c r="E1141" s="65">
        <f>SUMIFS(Fact_Pipeline!$K:$K,Fact_Pipeline!$B:$B,$A1141,Fact_Pipeline!$J:$J,"Won",Fact_Pipeline!$I:$I,"&gt;="&amp;B1141,Fact_Pipeline!$I:$I,"&lt;"&amp;EDATE(B1141,1))</f>
        <v>0</v>
      </c>
      <c r="F1141" s="66" t="b">
        <f>AND(D1141&gt;0,IFERROR(E1141/D1141&gt;=G6,FALSE()))</f>
        <v>0</v>
      </c>
      <c r="G1141" s="65">
        <f t="shared" si="115"/>
        <v>0</v>
      </c>
      <c r="H1141" s="65">
        <f>IF(F1141,MAX(0,MIN(E1141,I6*D1141)-D1141)*IFERROR(INDEX($C$158:$C$161,MATCH(C1141,$A$158:$A$161,0)),0),0)</f>
        <v>0</v>
      </c>
      <c r="I1141" s="65">
        <f>IF(F1141,MAX(0,E1141-I6*D1141)*IFERROR(INDEX($D$158:$D$161,MATCH(C1141,$A$158:$A$161,0)),0),0)</f>
        <v>0</v>
      </c>
      <c r="J1141" s="65">
        <f t="shared" si="116"/>
        <v>0</v>
      </c>
    </row>
    <row r="1142" spans="1:10" ht="15" customHeight="1" outlineLevel="1" x14ac:dyDescent="0.2">
      <c r="A1142" s="66" t="str">
        <f t="shared" si="117"/>
        <v>R031</v>
      </c>
      <c r="B1142" s="67">
        <f>$A$1433</f>
        <v>45658</v>
      </c>
      <c r="C1142" s="66" t="str">
        <f t="shared" si="118"/>
        <v>Mid-Market AE</v>
      </c>
      <c r="D1142" s="65">
        <f>SUMIFS(Fact_Quota!$D:$D,Fact_Quota!$A:$A,$A1142,Fact_Quota!$B:$B,"&gt;="&amp;B1142,Fact_Quota!$B:$B,"&lt;"&amp;EDATE(B1142,1))</f>
        <v>0</v>
      </c>
      <c r="E1142" s="65">
        <f>SUMIFS(Fact_Pipeline!$K:$K,Fact_Pipeline!$B:$B,$A1142,Fact_Pipeline!$J:$J,"Won",Fact_Pipeline!$I:$I,"&gt;="&amp;B1142,Fact_Pipeline!$I:$I,"&lt;"&amp;EDATE(B1142,1))</f>
        <v>0</v>
      </c>
      <c r="F1142" s="66" t="b">
        <f>AND(D1142&gt;0,IFERROR(E1142/D1142&gt;=G6,FALSE()))</f>
        <v>0</v>
      </c>
      <c r="G1142" s="65">
        <f t="shared" si="115"/>
        <v>0</v>
      </c>
      <c r="H1142" s="65">
        <f>IF(F1142,MAX(0,MIN(E1142,I6*D1142)-D1142)*IFERROR(INDEX($C$158:$C$161,MATCH(C1142,$A$158:$A$161,0)),0),0)</f>
        <v>0</v>
      </c>
      <c r="I1142" s="65">
        <f>IF(F1142,MAX(0,E1142-I6*D1142)*IFERROR(INDEX($D$158:$D$161,MATCH(C1142,$A$158:$A$161,0)),0),0)</f>
        <v>0</v>
      </c>
      <c r="J1142" s="65">
        <f t="shared" si="116"/>
        <v>0</v>
      </c>
    </row>
    <row r="1143" spans="1:10" ht="15" customHeight="1" outlineLevel="1" x14ac:dyDescent="0.2">
      <c r="A1143" s="66" t="str">
        <f t="shared" si="117"/>
        <v>R031</v>
      </c>
      <c r="B1143" s="67">
        <f>$A$1434</f>
        <v>45689</v>
      </c>
      <c r="C1143" s="66" t="str">
        <f t="shared" si="118"/>
        <v>Mid-Market AE</v>
      </c>
      <c r="D1143" s="65">
        <f>SUMIFS(Fact_Quota!$D:$D,Fact_Quota!$A:$A,$A1143,Fact_Quota!$B:$B,"&gt;="&amp;B1143,Fact_Quota!$B:$B,"&lt;"&amp;EDATE(B1143,1))</f>
        <v>0</v>
      </c>
      <c r="E1143" s="65">
        <f>SUMIFS(Fact_Pipeline!$K:$K,Fact_Pipeline!$B:$B,$A1143,Fact_Pipeline!$J:$J,"Won",Fact_Pipeline!$I:$I,"&gt;="&amp;B1143,Fact_Pipeline!$I:$I,"&lt;"&amp;EDATE(B1143,1))</f>
        <v>0</v>
      </c>
      <c r="F1143" s="66" t="b">
        <f>AND(D1143&gt;0,IFERROR(E1143/D1143&gt;=G6,FALSE()))</f>
        <v>0</v>
      </c>
      <c r="G1143" s="65">
        <f t="shared" si="115"/>
        <v>0</v>
      </c>
      <c r="H1143" s="65">
        <f>IF(F1143,MAX(0,MIN(E1143,I6*D1143)-D1143)*IFERROR(INDEX($C$158:$C$161,MATCH(C1143,$A$158:$A$161,0)),0),0)</f>
        <v>0</v>
      </c>
      <c r="I1143" s="65">
        <f>IF(F1143,MAX(0,E1143-I6*D1143)*IFERROR(INDEX($D$158:$D$161,MATCH(C1143,$A$158:$A$161,0)),0),0)</f>
        <v>0</v>
      </c>
      <c r="J1143" s="65">
        <f t="shared" si="116"/>
        <v>0</v>
      </c>
    </row>
    <row r="1144" spans="1:10" ht="15" customHeight="1" outlineLevel="1" x14ac:dyDescent="0.2">
      <c r="A1144" s="66" t="str">
        <f t="shared" si="117"/>
        <v>R031</v>
      </c>
      <c r="B1144" s="67">
        <f>$A$1435</f>
        <v>45717</v>
      </c>
      <c r="C1144" s="66" t="str">
        <f t="shared" si="118"/>
        <v>Mid-Market AE</v>
      </c>
      <c r="D1144" s="65">
        <f>SUMIFS(Fact_Quota!$D:$D,Fact_Quota!$A:$A,$A1144,Fact_Quota!$B:$B,"&gt;="&amp;B1144,Fact_Quota!$B:$B,"&lt;"&amp;EDATE(B1144,1))</f>
        <v>0</v>
      </c>
      <c r="E1144" s="65">
        <f>SUMIFS(Fact_Pipeline!$K:$K,Fact_Pipeline!$B:$B,$A1144,Fact_Pipeline!$J:$J,"Won",Fact_Pipeline!$I:$I,"&gt;="&amp;B1144,Fact_Pipeline!$I:$I,"&lt;"&amp;EDATE(B1144,1))</f>
        <v>0</v>
      </c>
      <c r="F1144" s="66" t="b">
        <f>AND(D1144&gt;0,IFERROR(E1144/D1144&gt;=G6,FALSE()))</f>
        <v>0</v>
      </c>
      <c r="G1144" s="65">
        <f t="shared" si="115"/>
        <v>0</v>
      </c>
      <c r="H1144" s="65">
        <f>IF(F1144,MAX(0,MIN(E1144,I6*D1144)-D1144)*IFERROR(INDEX($C$158:$C$161,MATCH(C1144,$A$158:$A$161,0)),0),0)</f>
        <v>0</v>
      </c>
      <c r="I1144" s="65">
        <f>IF(F1144,MAX(0,E1144-I6*D1144)*IFERROR(INDEX($D$158:$D$161,MATCH(C1144,$A$158:$A$161,0)),0),0)</f>
        <v>0</v>
      </c>
      <c r="J1144" s="65">
        <f t="shared" si="116"/>
        <v>0</v>
      </c>
    </row>
    <row r="1145" spans="1:10" ht="15" customHeight="1" outlineLevel="1" x14ac:dyDescent="0.2">
      <c r="A1145" s="66" t="str">
        <f t="shared" si="117"/>
        <v>R031</v>
      </c>
      <c r="B1145" s="67">
        <f>$A$1436</f>
        <v>45748</v>
      </c>
      <c r="C1145" s="66" t="str">
        <f t="shared" si="118"/>
        <v>Mid-Market AE</v>
      </c>
      <c r="D1145" s="65">
        <f>SUMIFS(Fact_Quota!$D:$D,Fact_Quota!$A:$A,$A1145,Fact_Quota!$B:$B,"&gt;="&amp;B1145,Fact_Quota!$B:$B,"&lt;"&amp;EDATE(B1145,1))</f>
        <v>0</v>
      </c>
      <c r="E1145" s="65">
        <f>SUMIFS(Fact_Pipeline!$K:$K,Fact_Pipeline!$B:$B,$A1145,Fact_Pipeline!$J:$J,"Won",Fact_Pipeline!$I:$I,"&gt;="&amp;B1145,Fact_Pipeline!$I:$I,"&lt;"&amp;EDATE(B1145,1))</f>
        <v>0</v>
      </c>
      <c r="F1145" s="66" t="b">
        <f>AND(D1145&gt;0,IFERROR(E1145/D1145&gt;=G6,FALSE()))</f>
        <v>0</v>
      </c>
      <c r="G1145" s="65">
        <f t="shared" si="115"/>
        <v>0</v>
      </c>
      <c r="H1145" s="65">
        <f>IF(F1145,MAX(0,MIN(E1145,I6*D1145)-D1145)*IFERROR(INDEX($C$158:$C$161,MATCH(C1145,$A$158:$A$161,0)),0),0)</f>
        <v>0</v>
      </c>
      <c r="I1145" s="65">
        <f>IF(F1145,MAX(0,E1145-I6*D1145)*IFERROR(INDEX($D$158:$D$161,MATCH(C1145,$A$158:$A$161,0)),0),0)</f>
        <v>0</v>
      </c>
      <c r="J1145" s="65">
        <f t="shared" si="116"/>
        <v>0</v>
      </c>
    </row>
    <row r="1146" spans="1:10" ht="15" customHeight="1" outlineLevel="1" x14ac:dyDescent="0.2">
      <c r="A1146" s="66" t="str">
        <f t="shared" si="117"/>
        <v>R031</v>
      </c>
      <c r="B1146" s="67">
        <f>$A$1437</f>
        <v>45778</v>
      </c>
      <c r="C1146" s="66" t="str">
        <f t="shared" si="118"/>
        <v>Mid-Market AE</v>
      </c>
      <c r="D1146" s="65">
        <f>SUMIFS(Fact_Quota!$D:$D,Fact_Quota!$A:$A,$A1146,Fact_Quota!$B:$B,"&gt;="&amp;B1146,Fact_Quota!$B:$B,"&lt;"&amp;EDATE(B1146,1))</f>
        <v>0</v>
      </c>
      <c r="E1146" s="65">
        <f>SUMIFS(Fact_Pipeline!$K:$K,Fact_Pipeline!$B:$B,$A1146,Fact_Pipeline!$J:$J,"Won",Fact_Pipeline!$I:$I,"&gt;="&amp;B1146,Fact_Pipeline!$I:$I,"&lt;"&amp;EDATE(B1146,1))</f>
        <v>0</v>
      </c>
      <c r="F1146" s="66" t="b">
        <f>AND(D1146&gt;0,IFERROR(E1146/D1146&gt;=G6,FALSE()))</f>
        <v>0</v>
      </c>
      <c r="G1146" s="65">
        <f t="shared" si="115"/>
        <v>0</v>
      </c>
      <c r="H1146" s="65">
        <f>IF(F1146,MAX(0,MIN(E1146,I6*D1146)-D1146)*IFERROR(INDEX($C$158:$C$161,MATCH(C1146,$A$158:$A$161,0)),0),0)</f>
        <v>0</v>
      </c>
      <c r="I1146" s="65">
        <f>IF(F1146,MAX(0,E1146-I6*D1146)*IFERROR(INDEX($D$158:$D$161,MATCH(C1146,$A$158:$A$161,0)),0),0)</f>
        <v>0</v>
      </c>
      <c r="J1146" s="65">
        <f t="shared" si="116"/>
        <v>0</v>
      </c>
    </row>
    <row r="1147" spans="1:10" ht="15" customHeight="1" outlineLevel="1" x14ac:dyDescent="0.2">
      <c r="A1147" s="66" t="str">
        <f t="shared" si="117"/>
        <v>R031</v>
      </c>
      <c r="B1147" s="67">
        <f>$A$1438</f>
        <v>45809</v>
      </c>
      <c r="C1147" s="66" t="str">
        <f t="shared" si="118"/>
        <v>Mid-Market AE</v>
      </c>
      <c r="D1147" s="65">
        <f>SUMIFS(Fact_Quota!$D:$D,Fact_Quota!$A:$A,$A1147,Fact_Quota!$B:$B,"&gt;="&amp;B1147,Fact_Quota!$B:$B,"&lt;"&amp;EDATE(B1147,1))</f>
        <v>5200</v>
      </c>
      <c r="E1147" s="65">
        <f>SUMIFS(Fact_Pipeline!$K:$K,Fact_Pipeline!$B:$B,$A1147,Fact_Pipeline!$J:$J,"Won",Fact_Pipeline!$I:$I,"&gt;="&amp;B1147,Fact_Pipeline!$I:$I,"&lt;"&amp;EDATE(B1147,1))</f>
        <v>0</v>
      </c>
      <c r="F1147" s="66" t="b">
        <f>AND(D1147&gt;0,IFERROR(E1147/D1147&gt;=G6,FALSE()))</f>
        <v>0</v>
      </c>
      <c r="G1147" s="65">
        <f t="shared" si="115"/>
        <v>0</v>
      </c>
      <c r="H1147" s="65">
        <f>IF(F1147,MAX(0,MIN(E1147,I6*D1147)-D1147)*IFERROR(INDEX($C$158:$C$161,MATCH(C1147,$A$158:$A$161,0)),0),0)</f>
        <v>0</v>
      </c>
      <c r="I1147" s="65">
        <f>IF(F1147,MAX(0,E1147-I6*D1147)*IFERROR(INDEX($D$158:$D$161,MATCH(C1147,$A$158:$A$161,0)),0),0)</f>
        <v>0</v>
      </c>
      <c r="J1147" s="65">
        <f t="shared" si="116"/>
        <v>0</v>
      </c>
    </row>
    <row r="1148" spans="1:10" ht="15" customHeight="1" outlineLevel="1" x14ac:dyDescent="0.2">
      <c r="A1148" s="66" t="str">
        <f t="shared" si="117"/>
        <v>R031</v>
      </c>
      <c r="B1148" s="67">
        <f>$A$1439</f>
        <v>45839</v>
      </c>
      <c r="C1148" s="66" t="str">
        <f t="shared" si="118"/>
        <v>Mid-Market AE</v>
      </c>
      <c r="D1148" s="65">
        <f>SUMIFS(Fact_Quota!$D:$D,Fact_Quota!$A:$A,$A1148,Fact_Quota!$B:$B,"&gt;="&amp;B1148,Fact_Quota!$B:$B,"&lt;"&amp;EDATE(B1148,1))</f>
        <v>10500</v>
      </c>
      <c r="E1148" s="65">
        <f>SUMIFS(Fact_Pipeline!$K:$K,Fact_Pipeline!$B:$B,$A1148,Fact_Pipeline!$J:$J,"Won",Fact_Pipeline!$I:$I,"&gt;="&amp;B1148,Fact_Pipeline!$I:$I,"&lt;"&amp;EDATE(B1148,1))</f>
        <v>12000</v>
      </c>
      <c r="F1148" s="66" t="b">
        <f>AND(D1148&gt;0,IFERROR(E1148/D1148&gt;=G6,FALSE()))</f>
        <v>1</v>
      </c>
      <c r="G1148" s="65">
        <f t="shared" si="115"/>
        <v>525</v>
      </c>
      <c r="H1148" s="65">
        <f>IF(F1148,MAX(0,MIN(E1148,I6*D1148)-D1148)*IFERROR(INDEX($C$158:$C$161,MATCH(C1148,$A$158:$A$161,0)),0),0)</f>
        <v>120</v>
      </c>
      <c r="I1148" s="65">
        <f>IF(F1148,MAX(0,E1148-I6*D1148)*IFERROR(INDEX($D$158:$D$161,MATCH(C1148,$A$158:$A$161,0)),0),0)</f>
        <v>0</v>
      </c>
      <c r="J1148" s="65">
        <f t="shared" si="116"/>
        <v>645</v>
      </c>
    </row>
    <row r="1149" spans="1:10" ht="15" customHeight="1" outlineLevel="1" x14ac:dyDescent="0.2">
      <c r="A1149" s="66" t="str">
        <f t="shared" si="117"/>
        <v>R031</v>
      </c>
      <c r="B1149" s="67">
        <f>$A$1440</f>
        <v>45870</v>
      </c>
      <c r="C1149" s="66" t="str">
        <f t="shared" si="118"/>
        <v>Mid-Market AE</v>
      </c>
      <c r="D1149" s="65">
        <f>SUMIFS(Fact_Quota!$D:$D,Fact_Quota!$A:$A,$A1149,Fact_Quota!$B:$B,"&gt;="&amp;B1149,Fact_Quota!$B:$B,"&lt;"&amp;EDATE(B1149,1))</f>
        <v>16500</v>
      </c>
      <c r="E1149" s="65">
        <f>SUMIFS(Fact_Pipeline!$K:$K,Fact_Pipeline!$B:$B,$A1149,Fact_Pipeline!$J:$J,"Won",Fact_Pipeline!$I:$I,"&gt;="&amp;B1149,Fact_Pipeline!$I:$I,"&lt;"&amp;EDATE(B1149,1))</f>
        <v>8300</v>
      </c>
      <c r="F1149" s="66" t="b">
        <f>AND(D1149&gt;0,IFERROR(E1149/D1149&gt;=G6,FALSE()))</f>
        <v>1</v>
      </c>
      <c r="G1149" s="65">
        <f t="shared" si="115"/>
        <v>415</v>
      </c>
      <c r="H1149" s="65">
        <f>IF(F1149,MAX(0,MIN(E1149,I6*D1149)-D1149)*IFERROR(INDEX($C$158:$C$161,MATCH(C1149,$A$158:$A$161,0)),0),0)</f>
        <v>0</v>
      </c>
      <c r="I1149" s="65">
        <f>IF(F1149,MAX(0,E1149-I6*D1149)*IFERROR(INDEX($D$158:$D$161,MATCH(C1149,$A$158:$A$161,0)),0),0)</f>
        <v>0</v>
      </c>
      <c r="J1149" s="65">
        <f t="shared" si="116"/>
        <v>415</v>
      </c>
    </row>
    <row r="1150" spans="1:10" ht="15" customHeight="1" outlineLevel="1" x14ac:dyDescent="0.2">
      <c r="A1150" s="66" t="str">
        <f t="shared" si="117"/>
        <v>R031</v>
      </c>
      <c r="B1150" s="67">
        <f>$A$1441</f>
        <v>45901</v>
      </c>
      <c r="C1150" s="66" t="str">
        <f t="shared" si="118"/>
        <v>Mid-Market AE</v>
      </c>
      <c r="D1150" s="65">
        <f>SUMIFS(Fact_Quota!$D:$D,Fact_Quota!$A:$A,$A1150,Fact_Quota!$B:$B,"&gt;="&amp;B1150,Fact_Quota!$B:$B,"&lt;"&amp;EDATE(B1150,1))</f>
        <v>22200</v>
      </c>
      <c r="E1150" s="65">
        <f>SUMIFS(Fact_Pipeline!$K:$K,Fact_Pipeline!$B:$B,$A1150,Fact_Pipeline!$J:$J,"Won",Fact_Pipeline!$I:$I,"&gt;="&amp;B1150,Fact_Pipeline!$I:$I,"&lt;"&amp;EDATE(B1150,1))</f>
        <v>16100</v>
      </c>
      <c r="F1150" s="66" t="b">
        <f>AND(D1150&gt;0,IFERROR(E1150/D1150&gt;=G6,FALSE()))</f>
        <v>1</v>
      </c>
      <c r="G1150" s="65">
        <f t="shared" si="115"/>
        <v>805</v>
      </c>
      <c r="H1150" s="65">
        <f>IF(F1150,MAX(0,MIN(E1150,I6*D1150)-D1150)*IFERROR(INDEX($C$158:$C$161,MATCH(C1150,$A$158:$A$161,0)),0),0)</f>
        <v>0</v>
      </c>
      <c r="I1150" s="65">
        <f>IF(F1150,MAX(0,E1150-I6*D1150)*IFERROR(INDEX($D$158:$D$161,MATCH(C1150,$A$158:$A$161,0)),0),0)</f>
        <v>0</v>
      </c>
      <c r="J1150" s="65">
        <f t="shared" si="116"/>
        <v>805</v>
      </c>
    </row>
    <row r="1151" spans="1:10" ht="15" customHeight="1" outlineLevel="1" x14ac:dyDescent="0.2">
      <c r="A1151" s="66" t="str">
        <f t="shared" si="117"/>
        <v>R031</v>
      </c>
      <c r="B1151" s="67">
        <f>$A$1442</f>
        <v>45931</v>
      </c>
      <c r="C1151" s="66" t="str">
        <f t="shared" si="118"/>
        <v>Mid-Market AE</v>
      </c>
      <c r="D1151" s="65">
        <f>SUMIFS(Fact_Quota!$D:$D,Fact_Quota!$A:$A,$A1151,Fact_Quota!$B:$B,"&gt;="&amp;B1151,Fact_Quota!$B:$B,"&lt;"&amp;EDATE(B1151,1))</f>
        <v>21400</v>
      </c>
      <c r="E1151" s="65">
        <f>SUMIFS(Fact_Pipeline!$K:$K,Fact_Pipeline!$B:$B,$A1151,Fact_Pipeline!$J:$J,"Won",Fact_Pipeline!$I:$I,"&gt;="&amp;B1151,Fact_Pipeline!$I:$I,"&lt;"&amp;EDATE(B1151,1))</f>
        <v>18500</v>
      </c>
      <c r="F1151" s="66" t="b">
        <f>AND(D1151&gt;0,IFERROR(E1151/D1151&gt;=G6,FALSE()))</f>
        <v>1</v>
      </c>
      <c r="G1151" s="65">
        <f t="shared" si="115"/>
        <v>925</v>
      </c>
      <c r="H1151" s="65">
        <f>IF(F1151,MAX(0,MIN(E1151,I6*D1151)-D1151)*IFERROR(INDEX($C$158:$C$161,MATCH(C1151,$A$158:$A$161,0)),0),0)</f>
        <v>0</v>
      </c>
      <c r="I1151" s="65">
        <f>IF(F1151,MAX(0,E1151-I6*D1151)*IFERROR(INDEX($D$158:$D$161,MATCH(C1151,$A$158:$A$161,0)),0),0)</f>
        <v>0</v>
      </c>
      <c r="J1151" s="65">
        <f t="shared" si="116"/>
        <v>925</v>
      </c>
    </row>
    <row r="1152" spans="1:10" ht="15" customHeight="1" outlineLevel="1" x14ac:dyDescent="0.2">
      <c r="A1152" s="66" t="str">
        <f t="shared" si="117"/>
        <v>R031</v>
      </c>
      <c r="B1152" s="67">
        <f>$A$1443</f>
        <v>45962</v>
      </c>
      <c r="C1152" s="66" t="str">
        <f t="shared" si="118"/>
        <v>Mid-Market AE</v>
      </c>
      <c r="D1152" s="65">
        <f>SUMIFS(Fact_Quota!$D:$D,Fact_Quota!$A:$A,$A1152,Fact_Quota!$B:$B,"&gt;="&amp;B1152,Fact_Quota!$B:$B,"&lt;"&amp;EDATE(B1152,1))</f>
        <v>22400</v>
      </c>
      <c r="E1152" s="65">
        <f>SUMIFS(Fact_Pipeline!$K:$K,Fact_Pipeline!$B:$B,$A1152,Fact_Pipeline!$J:$J,"Won",Fact_Pipeline!$I:$I,"&gt;="&amp;B1152,Fact_Pipeline!$I:$I,"&lt;"&amp;EDATE(B1152,1))</f>
        <v>19700</v>
      </c>
      <c r="F1152" s="66" t="b">
        <f>AND(D1152&gt;0,IFERROR(E1152/D1152&gt;=G6,FALSE()))</f>
        <v>1</v>
      </c>
      <c r="G1152" s="65">
        <f t="shared" si="115"/>
        <v>985</v>
      </c>
      <c r="H1152" s="65">
        <f>IF(F1152,MAX(0,MIN(E1152,I6*D1152)-D1152)*IFERROR(INDEX($C$158:$C$161,MATCH(C1152,$A$158:$A$161,0)),0),0)</f>
        <v>0</v>
      </c>
      <c r="I1152" s="65">
        <f>IF(F1152,MAX(0,E1152-I6*D1152)*IFERROR(INDEX($D$158:$D$161,MATCH(C1152,$A$158:$A$161,0)),0),0)</f>
        <v>0</v>
      </c>
      <c r="J1152" s="65">
        <f t="shared" si="116"/>
        <v>985</v>
      </c>
    </row>
    <row r="1153" spans="1:10" ht="15" customHeight="1" outlineLevel="1" x14ac:dyDescent="0.2">
      <c r="A1153" s="66" t="str">
        <f t="shared" si="117"/>
        <v>R031</v>
      </c>
      <c r="B1153" s="67">
        <f>$A$1444</f>
        <v>45992</v>
      </c>
      <c r="C1153" s="66" t="str">
        <f t="shared" si="118"/>
        <v>Mid-Market AE</v>
      </c>
      <c r="D1153" s="65">
        <f>SUMIFS(Fact_Quota!$D:$D,Fact_Quota!$A:$A,$A1153,Fact_Quota!$B:$B,"&gt;="&amp;B1153,Fact_Quota!$B:$B,"&lt;"&amp;EDATE(B1153,1))</f>
        <v>20900</v>
      </c>
      <c r="E1153" s="65">
        <f>SUMIFS(Fact_Pipeline!$K:$K,Fact_Pipeline!$B:$B,$A1153,Fact_Pipeline!$J:$J,"Won",Fact_Pipeline!$I:$I,"&gt;="&amp;B1153,Fact_Pipeline!$I:$I,"&lt;"&amp;EDATE(B1153,1))</f>
        <v>0</v>
      </c>
      <c r="F1153" s="66" t="b">
        <f>AND(D1153&gt;0,IFERROR(E1153/D1153&gt;=G6,FALSE()))</f>
        <v>0</v>
      </c>
      <c r="G1153" s="65">
        <f t="shared" si="115"/>
        <v>0</v>
      </c>
      <c r="H1153" s="65">
        <f>IF(F1153,MAX(0,MIN(E1153,I6*D1153)-D1153)*IFERROR(INDEX($C$158:$C$161,MATCH(C1153,$A$158:$A$161,0)),0),0)</f>
        <v>0</v>
      </c>
      <c r="I1153" s="65">
        <f>IF(F1153,MAX(0,E1153-I6*D1153)*IFERROR(INDEX($D$158:$D$161,MATCH(C1153,$A$158:$A$161,0)),0),0)</f>
        <v>0</v>
      </c>
      <c r="J1153" s="65">
        <f t="shared" si="116"/>
        <v>0</v>
      </c>
    </row>
    <row r="1154" spans="1:10" ht="15" customHeight="1" outlineLevel="1" x14ac:dyDescent="0.2">
      <c r="A1154" s="63" t="str">
        <f t="shared" ref="A1154:A1177" si="119">$A$204</f>
        <v>R039</v>
      </c>
      <c r="B1154" s="64">
        <f>$A$1421</f>
        <v>45292</v>
      </c>
      <c r="C1154" s="63" t="str">
        <f t="shared" ref="C1154:C1177" si="120">$C$204</f>
        <v>Mid-Market AE</v>
      </c>
      <c r="D1154" s="62">
        <f>SUMIFS(Fact_Quota!$D:$D,Fact_Quota!$A:$A,$A1154,Fact_Quota!$B:$B,"&gt;="&amp;B1154,Fact_Quota!$B:$B,"&lt;"&amp;EDATE(B1154,1))</f>
        <v>22400</v>
      </c>
      <c r="E1154" s="62">
        <f>SUMIFS(Fact_Pipeline!$K:$K,Fact_Pipeline!$B:$B,$A1154,Fact_Pipeline!$J:$J,"Won",Fact_Pipeline!$I:$I,"&gt;="&amp;B1154,Fact_Pipeline!$I:$I,"&lt;"&amp;EDATE(B1154,1))</f>
        <v>0</v>
      </c>
      <c r="F1154" s="63" t="b">
        <f>AND(D1154&gt;0,IFERROR(E1154/D1154&gt;=G6,FALSE()))</f>
        <v>0</v>
      </c>
      <c r="G1154" s="62">
        <f t="shared" si="115"/>
        <v>0</v>
      </c>
      <c r="H1154" s="62">
        <f>IF(F1154,MAX(0,MIN(E1154,I6*D1154)-D1154)*IFERROR(INDEX($C$158:$C$161,MATCH(C1154,$A$158:$A$161,0)),0),0)</f>
        <v>0</v>
      </c>
      <c r="I1154" s="62">
        <f>IF(F1154,MAX(0,E1154-I6*D1154)*IFERROR(INDEX($D$158:$D$161,MATCH(C1154,$A$158:$A$161,0)),0),0)</f>
        <v>0</v>
      </c>
      <c r="J1154" s="62">
        <f t="shared" si="116"/>
        <v>0</v>
      </c>
    </row>
    <row r="1155" spans="1:10" ht="15" customHeight="1" outlineLevel="1" x14ac:dyDescent="0.2">
      <c r="A1155" s="63" t="str">
        <f t="shared" si="119"/>
        <v>R039</v>
      </c>
      <c r="B1155" s="64">
        <f>$A$1422</f>
        <v>45323</v>
      </c>
      <c r="C1155" s="63" t="str">
        <f t="shared" si="120"/>
        <v>Mid-Market AE</v>
      </c>
      <c r="D1155" s="62">
        <f>SUMIFS(Fact_Quota!$D:$D,Fact_Quota!$A:$A,$A1155,Fact_Quota!$B:$B,"&gt;="&amp;B1155,Fact_Quota!$B:$B,"&lt;"&amp;EDATE(B1155,1))</f>
        <v>21800</v>
      </c>
      <c r="E1155" s="62">
        <f>SUMIFS(Fact_Pipeline!$K:$K,Fact_Pipeline!$B:$B,$A1155,Fact_Pipeline!$J:$J,"Won",Fact_Pipeline!$I:$I,"&gt;="&amp;B1155,Fact_Pipeline!$I:$I,"&lt;"&amp;EDATE(B1155,1))</f>
        <v>0</v>
      </c>
      <c r="F1155" s="63" t="b">
        <f>AND(D1155&gt;0,IFERROR(E1155/D1155&gt;=G6,FALSE()))</f>
        <v>0</v>
      </c>
      <c r="G1155" s="62">
        <f t="shared" si="115"/>
        <v>0</v>
      </c>
      <c r="H1155" s="62">
        <f>IF(F1155,MAX(0,MIN(E1155,I6*D1155)-D1155)*IFERROR(INDEX($C$158:$C$161,MATCH(C1155,$A$158:$A$161,0)),0),0)</f>
        <v>0</v>
      </c>
      <c r="I1155" s="62">
        <f>IF(F1155,MAX(0,E1155-I6*D1155)*IFERROR(INDEX($D$158:$D$161,MATCH(C1155,$A$158:$A$161,0)),0),0)</f>
        <v>0</v>
      </c>
      <c r="J1155" s="62">
        <f t="shared" si="116"/>
        <v>0</v>
      </c>
    </row>
    <row r="1156" spans="1:10" ht="15" customHeight="1" outlineLevel="1" x14ac:dyDescent="0.2">
      <c r="A1156" s="63" t="str">
        <f t="shared" si="119"/>
        <v>R039</v>
      </c>
      <c r="B1156" s="64">
        <f>$A$1423</f>
        <v>45352</v>
      </c>
      <c r="C1156" s="63" t="str">
        <f t="shared" si="120"/>
        <v>Mid-Market AE</v>
      </c>
      <c r="D1156" s="62">
        <f>SUMIFS(Fact_Quota!$D:$D,Fact_Quota!$A:$A,$A1156,Fact_Quota!$B:$B,"&gt;="&amp;B1156,Fact_Quota!$B:$B,"&lt;"&amp;EDATE(B1156,1))</f>
        <v>22200</v>
      </c>
      <c r="E1156" s="62">
        <f>SUMIFS(Fact_Pipeline!$K:$K,Fact_Pipeline!$B:$B,$A1156,Fact_Pipeline!$J:$J,"Won",Fact_Pipeline!$I:$I,"&gt;="&amp;B1156,Fact_Pipeline!$I:$I,"&lt;"&amp;EDATE(B1156,1))</f>
        <v>0</v>
      </c>
      <c r="F1156" s="63" t="b">
        <f>AND(D1156&gt;0,IFERROR(E1156/D1156&gt;=G6,FALSE()))</f>
        <v>0</v>
      </c>
      <c r="G1156" s="62">
        <f t="shared" si="115"/>
        <v>0</v>
      </c>
      <c r="H1156" s="62">
        <f>IF(F1156,MAX(0,MIN(E1156,I6*D1156)-D1156)*IFERROR(INDEX($C$158:$C$161,MATCH(C1156,$A$158:$A$161,0)),0),0)</f>
        <v>0</v>
      </c>
      <c r="I1156" s="62">
        <f>IF(F1156,MAX(0,E1156-I6*D1156)*IFERROR(INDEX($D$158:$D$161,MATCH(C1156,$A$158:$A$161,0)),0),0)</f>
        <v>0</v>
      </c>
      <c r="J1156" s="62">
        <f t="shared" si="116"/>
        <v>0</v>
      </c>
    </row>
    <row r="1157" spans="1:10" ht="15" customHeight="1" outlineLevel="1" x14ac:dyDescent="0.2">
      <c r="A1157" s="63" t="str">
        <f t="shared" si="119"/>
        <v>R039</v>
      </c>
      <c r="B1157" s="64">
        <f>$A$1424</f>
        <v>45383</v>
      </c>
      <c r="C1157" s="63" t="str">
        <f t="shared" si="120"/>
        <v>Mid-Market AE</v>
      </c>
      <c r="D1157" s="62">
        <f>SUMIFS(Fact_Quota!$D:$D,Fact_Quota!$A:$A,$A1157,Fact_Quota!$B:$B,"&gt;="&amp;B1157,Fact_Quota!$B:$B,"&lt;"&amp;EDATE(B1157,1))</f>
        <v>21200</v>
      </c>
      <c r="E1157" s="62">
        <f>SUMIFS(Fact_Pipeline!$K:$K,Fact_Pipeline!$B:$B,$A1157,Fact_Pipeline!$J:$J,"Won",Fact_Pipeline!$I:$I,"&gt;="&amp;B1157,Fact_Pipeline!$I:$I,"&lt;"&amp;EDATE(B1157,1))</f>
        <v>10100</v>
      </c>
      <c r="F1157" s="63" t="b">
        <f>AND(D1157&gt;0,IFERROR(E1157/D1157&gt;=G6,FALSE()))</f>
        <v>0</v>
      </c>
      <c r="G1157" s="62">
        <f t="shared" si="115"/>
        <v>0</v>
      </c>
      <c r="H1157" s="62">
        <f>IF(F1157,MAX(0,MIN(E1157,I6*D1157)-D1157)*IFERROR(INDEX($C$158:$C$161,MATCH(C1157,$A$158:$A$161,0)),0),0)</f>
        <v>0</v>
      </c>
      <c r="I1157" s="62">
        <f>IF(F1157,MAX(0,E1157-I6*D1157)*IFERROR(INDEX($D$158:$D$161,MATCH(C1157,$A$158:$A$161,0)),0),0)</f>
        <v>0</v>
      </c>
      <c r="J1157" s="62">
        <f t="shared" si="116"/>
        <v>0</v>
      </c>
    </row>
    <row r="1158" spans="1:10" ht="15" customHeight="1" outlineLevel="1" x14ac:dyDescent="0.2">
      <c r="A1158" s="63" t="str">
        <f t="shared" si="119"/>
        <v>R039</v>
      </c>
      <c r="B1158" s="64">
        <f>$A$1425</f>
        <v>45413</v>
      </c>
      <c r="C1158" s="63" t="str">
        <f t="shared" si="120"/>
        <v>Mid-Market AE</v>
      </c>
      <c r="D1158" s="62">
        <f>SUMIFS(Fact_Quota!$D:$D,Fact_Quota!$A:$A,$A1158,Fact_Quota!$B:$B,"&gt;="&amp;B1158,Fact_Quota!$B:$B,"&lt;"&amp;EDATE(B1158,1))</f>
        <v>22600</v>
      </c>
      <c r="E1158" s="62">
        <f>SUMIFS(Fact_Pipeline!$K:$K,Fact_Pipeline!$B:$B,$A1158,Fact_Pipeline!$J:$J,"Won",Fact_Pipeline!$I:$I,"&gt;="&amp;B1158,Fact_Pipeline!$I:$I,"&lt;"&amp;EDATE(B1158,1))</f>
        <v>11600</v>
      </c>
      <c r="F1158" s="63" t="b">
        <f>AND(D1158&gt;0,IFERROR(E1158/D1158&gt;=G6,FALSE()))</f>
        <v>1</v>
      </c>
      <c r="G1158" s="62">
        <f t="shared" si="115"/>
        <v>580</v>
      </c>
      <c r="H1158" s="62">
        <f>IF(F1158,MAX(0,MIN(E1158,I6*D1158)-D1158)*IFERROR(INDEX($C$158:$C$161,MATCH(C1158,$A$158:$A$161,0)),0),0)</f>
        <v>0</v>
      </c>
      <c r="I1158" s="62">
        <f>IF(F1158,MAX(0,E1158-I6*D1158)*IFERROR(INDEX($D$158:$D$161,MATCH(C1158,$A$158:$A$161,0)),0),0)</f>
        <v>0</v>
      </c>
      <c r="J1158" s="62">
        <f t="shared" si="116"/>
        <v>580</v>
      </c>
    </row>
    <row r="1159" spans="1:10" ht="15" customHeight="1" outlineLevel="1" x14ac:dyDescent="0.2">
      <c r="A1159" s="63" t="str">
        <f t="shared" si="119"/>
        <v>R039</v>
      </c>
      <c r="B1159" s="64">
        <f>$A$1426</f>
        <v>45444</v>
      </c>
      <c r="C1159" s="63" t="str">
        <f t="shared" si="120"/>
        <v>Mid-Market AE</v>
      </c>
      <c r="D1159" s="62">
        <f>SUMIFS(Fact_Quota!$D:$D,Fact_Quota!$A:$A,$A1159,Fact_Quota!$B:$B,"&gt;="&amp;B1159,Fact_Quota!$B:$B,"&lt;"&amp;EDATE(B1159,1))</f>
        <v>21900</v>
      </c>
      <c r="E1159" s="62">
        <f>SUMIFS(Fact_Pipeline!$K:$K,Fact_Pipeline!$B:$B,$A1159,Fact_Pipeline!$J:$J,"Won",Fact_Pipeline!$I:$I,"&gt;="&amp;B1159,Fact_Pipeline!$I:$I,"&lt;"&amp;EDATE(B1159,1))</f>
        <v>31100</v>
      </c>
      <c r="F1159" s="63" t="b">
        <f>AND(D1159&gt;0,IFERROR(E1159/D1159&gt;=G6,FALSE()))</f>
        <v>1</v>
      </c>
      <c r="G1159" s="62">
        <f t="shared" si="115"/>
        <v>1095</v>
      </c>
      <c r="H1159" s="62">
        <f>IF(F1159,MAX(0,MIN(E1159,I6*D1159)-D1159)*IFERROR(INDEX($C$158:$C$161,MATCH(C1159,$A$158:$A$161,0)),0),0)</f>
        <v>736</v>
      </c>
      <c r="I1159" s="62">
        <f>IF(F1159,MAX(0,E1159-I6*D1159)*IFERROR(INDEX($D$158:$D$161,MATCH(C1159,$A$158:$A$161,0)),0),0)</f>
        <v>0</v>
      </c>
      <c r="J1159" s="62">
        <f t="shared" si="116"/>
        <v>1831</v>
      </c>
    </row>
    <row r="1160" spans="1:10" ht="15" customHeight="1" outlineLevel="1" x14ac:dyDescent="0.2">
      <c r="A1160" s="63" t="str">
        <f t="shared" si="119"/>
        <v>R039</v>
      </c>
      <c r="B1160" s="64">
        <f>$A$1427</f>
        <v>45474</v>
      </c>
      <c r="C1160" s="63" t="str">
        <f t="shared" si="120"/>
        <v>Mid-Market AE</v>
      </c>
      <c r="D1160" s="62">
        <f>SUMIFS(Fact_Quota!$D:$D,Fact_Quota!$A:$A,$A1160,Fact_Quota!$B:$B,"&gt;="&amp;B1160,Fact_Quota!$B:$B,"&lt;"&amp;EDATE(B1160,1))</f>
        <v>21700</v>
      </c>
      <c r="E1160" s="62">
        <f>SUMIFS(Fact_Pipeline!$K:$K,Fact_Pipeline!$B:$B,$A1160,Fact_Pipeline!$J:$J,"Won",Fact_Pipeline!$I:$I,"&gt;="&amp;B1160,Fact_Pipeline!$I:$I,"&lt;"&amp;EDATE(B1160,1))</f>
        <v>45200</v>
      </c>
      <c r="F1160" s="63" t="b">
        <f>AND(D1160&gt;0,IFERROR(E1160/D1160&gt;=G6,FALSE()))</f>
        <v>1</v>
      </c>
      <c r="G1160" s="62">
        <f t="shared" si="115"/>
        <v>1085</v>
      </c>
      <c r="H1160" s="62">
        <f>IF(F1160,MAX(0,MIN(E1160,I6*D1160)-D1160)*IFERROR(INDEX($C$158:$C$161,MATCH(C1160,$A$158:$A$161,0)),0),0)</f>
        <v>868</v>
      </c>
      <c r="I1160" s="62">
        <f>IF(F1160,MAX(0,E1160-I6*D1160)*IFERROR(INDEX($D$158:$D$161,MATCH(C1160,$A$158:$A$161,0)),0),0)</f>
        <v>1391.5</v>
      </c>
      <c r="J1160" s="62">
        <f t="shared" si="116"/>
        <v>3344.5</v>
      </c>
    </row>
    <row r="1161" spans="1:10" ht="15" customHeight="1" outlineLevel="1" x14ac:dyDescent="0.2">
      <c r="A1161" s="63" t="str">
        <f t="shared" si="119"/>
        <v>R039</v>
      </c>
      <c r="B1161" s="64">
        <f>$A$1428</f>
        <v>45505</v>
      </c>
      <c r="C1161" s="63" t="str">
        <f t="shared" si="120"/>
        <v>Mid-Market AE</v>
      </c>
      <c r="D1161" s="62">
        <f>SUMIFS(Fact_Quota!$D:$D,Fact_Quota!$A:$A,$A1161,Fact_Quota!$B:$B,"&gt;="&amp;B1161,Fact_Quota!$B:$B,"&lt;"&amp;EDATE(B1161,1))</f>
        <v>22700</v>
      </c>
      <c r="E1161" s="62">
        <f>SUMIFS(Fact_Pipeline!$K:$K,Fact_Pipeline!$B:$B,$A1161,Fact_Pipeline!$J:$J,"Won",Fact_Pipeline!$I:$I,"&gt;="&amp;B1161,Fact_Pipeline!$I:$I,"&lt;"&amp;EDATE(B1161,1))</f>
        <v>0</v>
      </c>
      <c r="F1161" s="63" t="b">
        <f>AND(D1161&gt;0,IFERROR(E1161/D1161&gt;=G6,FALSE()))</f>
        <v>0</v>
      </c>
      <c r="G1161" s="62">
        <f t="shared" si="115"/>
        <v>0</v>
      </c>
      <c r="H1161" s="62">
        <f>IF(F1161,MAX(0,MIN(E1161,I6*D1161)-D1161)*IFERROR(INDEX($C$158:$C$161,MATCH(C1161,$A$158:$A$161,0)),0),0)</f>
        <v>0</v>
      </c>
      <c r="I1161" s="62">
        <f>IF(F1161,MAX(0,E1161-I6*D1161)*IFERROR(INDEX($D$158:$D$161,MATCH(C1161,$A$158:$A$161,0)),0),0)</f>
        <v>0</v>
      </c>
      <c r="J1161" s="62">
        <f t="shared" si="116"/>
        <v>0</v>
      </c>
    </row>
    <row r="1162" spans="1:10" ht="15" customHeight="1" outlineLevel="1" x14ac:dyDescent="0.2">
      <c r="A1162" s="63" t="str">
        <f t="shared" si="119"/>
        <v>R039</v>
      </c>
      <c r="B1162" s="64">
        <f>$A$1429</f>
        <v>45536</v>
      </c>
      <c r="C1162" s="63" t="str">
        <f t="shared" si="120"/>
        <v>Mid-Market AE</v>
      </c>
      <c r="D1162" s="62">
        <f>SUMIFS(Fact_Quota!$D:$D,Fact_Quota!$A:$A,$A1162,Fact_Quota!$B:$B,"&gt;="&amp;B1162,Fact_Quota!$B:$B,"&lt;"&amp;EDATE(B1162,1))</f>
        <v>21500</v>
      </c>
      <c r="E1162" s="62">
        <f>SUMIFS(Fact_Pipeline!$K:$K,Fact_Pipeline!$B:$B,$A1162,Fact_Pipeline!$J:$J,"Won",Fact_Pipeline!$I:$I,"&gt;="&amp;B1162,Fact_Pipeline!$I:$I,"&lt;"&amp;EDATE(B1162,1))</f>
        <v>0</v>
      </c>
      <c r="F1162" s="63" t="b">
        <f>AND(D1162&gt;0,IFERROR(E1162/D1162&gt;=G6,FALSE()))</f>
        <v>0</v>
      </c>
      <c r="G1162" s="62">
        <f t="shared" si="115"/>
        <v>0</v>
      </c>
      <c r="H1162" s="62">
        <f>IF(F1162,MAX(0,MIN(E1162,I6*D1162)-D1162)*IFERROR(INDEX($C$158:$C$161,MATCH(C1162,$A$158:$A$161,0)),0),0)</f>
        <v>0</v>
      </c>
      <c r="I1162" s="62">
        <f>IF(F1162,MAX(0,E1162-I6*D1162)*IFERROR(INDEX($D$158:$D$161,MATCH(C1162,$A$158:$A$161,0)),0),0)</f>
        <v>0</v>
      </c>
      <c r="J1162" s="62">
        <f t="shared" si="116"/>
        <v>0</v>
      </c>
    </row>
    <row r="1163" spans="1:10" ht="15" customHeight="1" outlineLevel="1" x14ac:dyDescent="0.2">
      <c r="A1163" s="63" t="str">
        <f t="shared" si="119"/>
        <v>R039</v>
      </c>
      <c r="B1163" s="64">
        <f>$A$1430</f>
        <v>45566</v>
      </c>
      <c r="C1163" s="63" t="str">
        <f t="shared" si="120"/>
        <v>Mid-Market AE</v>
      </c>
      <c r="D1163" s="62">
        <f>SUMIFS(Fact_Quota!$D:$D,Fact_Quota!$A:$A,$A1163,Fact_Quota!$B:$B,"&gt;="&amp;B1163,Fact_Quota!$B:$B,"&lt;"&amp;EDATE(B1163,1))</f>
        <v>21100</v>
      </c>
      <c r="E1163" s="62">
        <f>SUMIFS(Fact_Pipeline!$K:$K,Fact_Pipeline!$B:$B,$A1163,Fact_Pipeline!$J:$J,"Won",Fact_Pipeline!$I:$I,"&gt;="&amp;B1163,Fact_Pipeline!$I:$I,"&lt;"&amp;EDATE(B1163,1))</f>
        <v>36200</v>
      </c>
      <c r="F1163" s="63" t="b">
        <f>AND(D1163&gt;0,IFERROR(E1163/D1163&gt;=G6,FALSE()))</f>
        <v>1</v>
      </c>
      <c r="G1163" s="62">
        <f t="shared" si="115"/>
        <v>1055</v>
      </c>
      <c r="H1163" s="62">
        <f>IF(F1163,MAX(0,MIN(E1163,I6*D1163)-D1163)*IFERROR(INDEX($C$158:$C$161,MATCH(C1163,$A$158:$A$161,0)),0),0)</f>
        <v>844</v>
      </c>
      <c r="I1163" s="62">
        <f>IF(F1163,MAX(0,E1163-I6*D1163)*IFERROR(INDEX($D$158:$D$161,MATCH(C1163,$A$158:$A$161,0)),0),0)</f>
        <v>500.5</v>
      </c>
      <c r="J1163" s="62">
        <f t="shared" si="116"/>
        <v>2399.5</v>
      </c>
    </row>
    <row r="1164" spans="1:10" ht="15" customHeight="1" outlineLevel="1" x14ac:dyDescent="0.2">
      <c r="A1164" s="63" t="str">
        <f t="shared" si="119"/>
        <v>R039</v>
      </c>
      <c r="B1164" s="64">
        <f>$A$1431</f>
        <v>45597</v>
      </c>
      <c r="C1164" s="63" t="str">
        <f t="shared" si="120"/>
        <v>Mid-Market AE</v>
      </c>
      <c r="D1164" s="62">
        <f>SUMIFS(Fact_Quota!$D:$D,Fact_Quota!$A:$A,$A1164,Fact_Quota!$B:$B,"&gt;="&amp;B1164,Fact_Quota!$B:$B,"&lt;"&amp;EDATE(B1164,1))</f>
        <v>21000</v>
      </c>
      <c r="E1164" s="62">
        <f>SUMIFS(Fact_Pipeline!$K:$K,Fact_Pipeline!$B:$B,$A1164,Fact_Pipeline!$J:$J,"Won",Fact_Pipeline!$I:$I,"&gt;="&amp;B1164,Fact_Pipeline!$I:$I,"&lt;"&amp;EDATE(B1164,1))</f>
        <v>57900</v>
      </c>
      <c r="F1164" s="63" t="b">
        <f>AND(D1164&gt;0,IFERROR(E1164/D1164&gt;=G6,FALSE()))</f>
        <v>1</v>
      </c>
      <c r="G1164" s="62">
        <f t="shared" si="115"/>
        <v>1050</v>
      </c>
      <c r="H1164" s="62">
        <f>IF(F1164,MAX(0,MIN(E1164,I6*D1164)-D1164)*IFERROR(INDEX($C$158:$C$161,MATCH(C1164,$A$158:$A$161,0)),0),0)</f>
        <v>840</v>
      </c>
      <c r="I1164" s="62">
        <f>IF(F1164,MAX(0,E1164-I6*D1164)*IFERROR(INDEX($D$158:$D$161,MATCH(C1164,$A$158:$A$161,0)),0),0)</f>
        <v>2904</v>
      </c>
      <c r="J1164" s="62">
        <f t="shared" si="116"/>
        <v>4794</v>
      </c>
    </row>
    <row r="1165" spans="1:10" ht="15" customHeight="1" outlineLevel="1" x14ac:dyDescent="0.2">
      <c r="A1165" s="63" t="str">
        <f t="shared" si="119"/>
        <v>R039</v>
      </c>
      <c r="B1165" s="64">
        <f>$A$1432</f>
        <v>45627</v>
      </c>
      <c r="C1165" s="63" t="str">
        <f t="shared" si="120"/>
        <v>Mid-Market AE</v>
      </c>
      <c r="D1165" s="62">
        <f>SUMIFS(Fact_Quota!$D:$D,Fact_Quota!$A:$A,$A1165,Fact_Quota!$B:$B,"&gt;="&amp;B1165,Fact_Quota!$B:$B,"&lt;"&amp;EDATE(B1165,1))</f>
        <v>22400</v>
      </c>
      <c r="E1165" s="62">
        <f>SUMIFS(Fact_Pipeline!$K:$K,Fact_Pipeline!$B:$B,$A1165,Fact_Pipeline!$J:$J,"Won",Fact_Pipeline!$I:$I,"&gt;="&amp;B1165,Fact_Pipeline!$I:$I,"&lt;"&amp;EDATE(B1165,1))</f>
        <v>6000</v>
      </c>
      <c r="F1165" s="63" t="b">
        <f>AND(D1165&gt;0,IFERROR(E1165/D1165&gt;=G6,FALSE()))</f>
        <v>0</v>
      </c>
      <c r="G1165" s="62">
        <f t="shared" si="115"/>
        <v>0</v>
      </c>
      <c r="H1165" s="62">
        <f>IF(F1165,MAX(0,MIN(E1165,I6*D1165)-D1165)*IFERROR(INDEX($C$158:$C$161,MATCH(C1165,$A$158:$A$161,0)),0),0)</f>
        <v>0</v>
      </c>
      <c r="I1165" s="62">
        <f>IF(F1165,MAX(0,E1165-I6*D1165)*IFERROR(INDEX($D$158:$D$161,MATCH(C1165,$A$158:$A$161,0)),0),0)</f>
        <v>0</v>
      </c>
      <c r="J1165" s="62">
        <f t="shared" si="116"/>
        <v>0</v>
      </c>
    </row>
    <row r="1166" spans="1:10" ht="15" customHeight="1" outlineLevel="1" x14ac:dyDescent="0.2">
      <c r="A1166" s="63" t="str">
        <f t="shared" si="119"/>
        <v>R039</v>
      </c>
      <c r="B1166" s="64">
        <f>$A$1433</f>
        <v>45658</v>
      </c>
      <c r="C1166" s="63" t="str">
        <f t="shared" si="120"/>
        <v>Mid-Market AE</v>
      </c>
      <c r="D1166" s="62">
        <f>SUMIFS(Fact_Quota!$D:$D,Fact_Quota!$A:$A,$A1166,Fact_Quota!$B:$B,"&gt;="&amp;B1166,Fact_Quota!$B:$B,"&lt;"&amp;EDATE(B1166,1))</f>
        <v>21200</v>
      </c>
      <c r="E1166" s="62">
        <f>SUMIFS(Fact_Pipeline!$K:$K,Fact_Pipeline!$B:$B,$A1166,Fact_Pipeline!$J:$J,"Won",Fact_Pipeline!$I:$I,"&gt;="&amp;B1166,Fact_Pipeline!$I:$I,"&lt;"&amp;EDATE(B1166,1))</f>
        <v>12800</v>
      </c>
      <c r="F1166" s="63" t="b">
        <f>AND(D1166&gt;0,IFERROR(E1166/D1166&gt;=G6,FALSE()))</f>
        <v>1</v>
      </c>
      <c r="G1166" s="62">
        <f t="shared" si="115"/>
        <v>640</v>
      </c>
      <c r="H1166" s="62">
        <f>IF(F1166,MAX(0,MIN(E1166,I6*D1166)-D1166)*IFERROR(INDEX($C$158:$C$161,MATCH(C1166,$A$158:$A$161,0)),0),0)</f>
        <v>0</v>
      </c>
      <c r="I1166" s="62">
        <f>IF(F1166,MAX(0,E1166-I6*D1166)*IFERROR(INDEX($D$158:$D$161,MATCH(C1166,$A$158:$A$161,0)),0),0)</f>
        <v>0</v>
      </c>
      <c r="J1166" s="62">
        <f t="shared" si="116"/>
        <v>640</v>
      </c>
    </row>
    <row r="1167" spans="1:10" ht="15" customHeight="1" outlineLevel="1" x14ac:dyDescent="0.2">
      <c r="A1167" s="63" t="str">
        <f t="shared" si="119"/>
        <v>R039</v>
      </c>
      <c r="B1167" s="64">
        <f>$A$1434</f>
        <v>45689</v>
      </c>
      <c r="C1167" s="63" t="str">
        <f t="shared" si="120"/>
        <v>Mid-Market AE</v>
      </c>
      <c r="D1167" s="62">
        <f>SUMIFS(Fact_Quota!$D:$D,Fact_Quota!$A:$A,$A1167,Fact_Quota!$B:$B,"&gt;="&amp;B1167,Fact_Quota!$B:$B,"&lt;"&amp;EDATE(B1167,1))</f>
        <v>23200</v>
      </c>
      <c r="E1167" s="62">
        <f>SUMIFS(Fact_Pipeline!$K:$K,Fact_Pipeline!$B:$B,$A1167,Fact_Pipeline!$J:$J,"Won",Fact_Pipeline!$I:$I,"&gt;="&amp;B1167,Fact_Pipeline!$I:$I,"&lt;"&amp;EDATE(B1167,1))</f>
        <v>0</v>
      </c>
      <c r="F1167" s="63" t="b">
        <f>AND(D1167&gt;0,IFERROR(E1167/D1167&gt;=G6,FALSE()))</f>
        <v>0</v>
      </c>
      <c r="G1167" s="62">
        <f t="shared" si="115"/>
        <v>0</v>
      </c>
      <c r="H1167" s="62">
        <f>IF(F1167,MAX(0,MIN(E1167,I6*D1167)-D1167)*IFERROR(INDEX($C$158:$C$161,MATCH(C1167,$A$158:$A$161,0)),0),0)</f>
        <v>0</v>
      </c>
      <c r="I1167" s="62">
        <f>IF(F1167,MAX(0,E1167-I6*D1167)*IFERROR(INDEX($D$158:$D$161,MATCH(C1167,$A$158:$A$161,0)),0),0)</f>
        <v>0</v>
      </c>
      <c r="J1167" s="62">
        <f t="shared" si="116"/>
        <v>0</v>
      </c>
    </row>
    <row r="1168" spans="1:10" ht="15" customHeight="1" outlineLevel="1" x14ac:dyDescent="0.2">
      <c r="A1168" s="63" t="str">
        <f t="shared" si="119"/>
        <v>R039</v>
      </c>
      <c r="B1168" s="64">
        <f>$A$1435</f>
        <v>45717</v>
      </c>
      <c r="C1168" s="63" t="str">
        <f t="shared" si="120"/>
        <v>Mid-Market AE</v>
      </c>
      <c r="D1168" s="62">
        <f>SUMIFS(Fact_Quota!$D:$D,Fact_Quota!$A:$A,$A1168,Fact_Quota!$B:$B,"&gt;="&amp;B1168,Fact_Quota!$B:$B,"&lt;"&amp;EDATE(B1168,1))</f>
        <v>20600</v>
      </c>
      <c r="E1168" s="62">
        <f>SUMIFS(Fact_Pipeline!$K:$K,Fact_Pipeline!$B:$B,$A1168,Fact_Pipeline!$J:$J,"Won",Fact_Pipeline!$I:$I,"&gt;="&amp;B1168,Fact_Pipeline!$I:$I,"&lt;"&amp;EDATE(B1168,1))</f>
        <v>9900</v>
      </c>
      <c r="F1168" s="63" t="b">
        <f>AND(D1168&gt;0,IFERROR(E1168/D1168&gt;=G6,FALSE()))</f>
        <v>0</v>
      </c>
      <c r="G1168" s="62">
        <f t="shared" si="115"/>
        <v>0</v>
      </c>
      <c r="H1168" s="62">
        <f>IF(F1168,MAX(0,MIN(E1168,I6*D1168)-D1168)*IFERROR(INDEX($C$158:$C$161,MATCH(C1168,$A$158:$A$161,0)),0),0)</f>
        <v>0</v>
      </c>
      <c r="I1168" s="62">
        <f>IF(F1168,MAX(0,E1168-I6*D1168)*IFERROR(INDEX($D$158:$D$161,MATCH(C1168,$A$158:$A$161,0)),0),0)</f>
        <v>0</v>
      </c>
      <c r="J1168" s="62">
        <f t="shared" si="116"/>
        <v>0</v>
      </c>
    </row>
    <row r="1169" spans="1:10" ht="15" customHeight="1" outlineLevel="1" x14ac:dyDescent="0.2">
      <c r="A1169" s="63" t="str">
        <f t="shared" si="119"/>
        <v>R039</v>
      </c>
      <c r="B1169" s="64">
        <f>$A$1436</f>
        <v>45748</v>
      </c>
      <c r="C1169" s="63" t="str">
        <f t="shared" si="120"/>
        <v>Mid-Market AE</v>
      </c>
      <c r="D1169" s="62">
        <f>SUMIFS(Fact_Quota!$D:$D,Fact_Quota!$A:$A,$A1169,Fact_Quota!$B:$B,"&gt;="&amp;B1169,Fact_Quota!$B:$B,"&lt;"&amp;EDATE(B1169,1))</f>
        <v>23100</v>
      </c>
      <c r="E1169" s="62">
        <f>SUMIFS(Fact_Pipeline!$K:$K,Fact_Pipeline!$B:$B,$A1169,Fact_Pipeline!$J:$J,"Won",Fact_Pipeline!$I:$I,"&gt;="&amp;B1169,Fact_Pipeline!$I:$I,"&lt;"&amp;EDATE(B1169,1))</f>
        <v>9800</v>
      </c>
      <c r="F1169" s="63" t="b">
        <f>AND(D1169&gt;0,IFERROR(E1169/D1169&gt;=G6,FALSE()))</f>
        <v>0</v>
      </c>
      <c r="G1169" s="62">
        <f t="shared" si="115"/>
        <v>0</v>
      </c>
      <c r="H1169" s="62">
        <f>IF(F1169,MAX(0,MIN(E1169,I6*D1169)-D1169)*IFERROR(INDEX($C$158:$C$161,MATCH(C1169,$A$158:$A$161,0)),0),0)</f>
        <v>0</v>
      </c>
      <c r="I1169" s="62">
        <f>IF(F1169,MAX(0,E1169-I6*D1169)*IFERROR(INDEX($D$158:$D$161,MATCH(C1169,$A$158:$A$161,0)),0),0)</f>
        <v>0</v>
      </c>
      <c r="J1169" s="62">
        <f t="shared" si="116"/>
        <v>0</v>
      </c>
    </row>
    <row r="1170" spans="1:10" ht="15" customHeight="1" outlineLevel="1" x14ac:dyDescent="0.2">
      <c r="A1170" s="63" t="str">
        <f t="shared" si="119"/>
        <v>R039</v>
      </c>
      <c r="B1170" s="64">
        <f>$A$1437</f>
        <v>45778</v>
      </c>
      <c r="C1170" s="63" t="str">
        <f t="shared" si="120"/>
        <v>Mid-Market AE</v>
      </c>
      <c r="D1170" s="62">
        <f>SUMIFS(Fact_Quota!$D:$D,Fact_Quota!$A:$A,$A1170,Fact_Quota!$B:$B,"&gt;="&amp;B1170,Fact_Quota!$B:$B,"&lt;"&amp;EDATE(B1170,1))</f>
        <v>22100</v>
      </c>
      <c r="E1170" s="62">
        <f>SUMIFS(Fact_Pipeline!$K:$K,Fact_Pipeline!$B:$B,$A1170,Fact_Pipeline!$J:$J,"Won",Fact_Pipeline!$I:$I,"&gt;="&amp;B1170,Fact_Pipeline!$I:$I,"&lt;"&amp;EDATE(B1170,1))</f>
        <v>14300</v>
      </c>
      <c r="F1170" s="63" t="b">
        <f>AND(D1170&gt;0,IFERROR(E1170/D1170&gt;=G6,FALSE()))</f>
        <v>1</v>
      </c>
      <c r="G1170" s="62">
        <f t="shared" si="115"/>
        <v>715</v>
      </c>
      <c r="H1170" s="62">
        <f>IF(F1170,MAX(0,MIN(E1170,I6*D1170)-D1170)*IFERROR(INDEX($C$158:$C$161,MATCH(C1170,$A$158:$A$161,0)),0),0)</f>
        <v>0</v>
      </c>
      <c r="I1170" s="62">
        <f>IF(F1170,MAX(0,E1170-I6*D1170)*IFERROR(INDEX($D$158:$D$161,MATCH(C1170,$A$158:$A$161,0)),0),0)</f>
        <v>0</v>
      </c>
      <c r="J1170" s="62">
        <f t="shared" si="116"/>
        <v>715</v>
      </c>
    </row>
    <row r="1171" spans="1:10" ht="15" customHeight="1" outlineLevel="1" x14ac:dyDescent="0.2">
      <c r="A1171" s="63" t="str">
        <f t="shared" si="119"/>
        <v>R039</v>
      </c>
      <c r="B1171" s="64">
        <f>$A$1438</f>
        <v>45809</v>
      </c>
      <c r="C1171" s="63" t="str">
        <f t="shared" si="120"/>
        <v>Mid-Market AE</v>
      </c>
      <c r="D1171" s="62">
        <f>SUMIFS(Fact_Quota!$D:$D,Fact_Quota!$A:$A,$A1171,Fact_Quota!$B:$B,"&gt;="&amp;B1171,Fact_Quota!$B:$B,"&lt;"&amp;EDATE(B1171,1))</f>
        <v>21900</v>
      </c>
      <c r="E1171" s="62">
        <f>SUMIFS(Fact_Pipeline!$K:$K,Fact_Pipeline!$B:$B,$A1171,Fact_Pipeline!$J:$J,"Won",Fact_Pipeline!$I:$I,"&gt;="&amp;B1171,Fact_Pipeline!$I:$I,"&lt;"&amp;EDATE(B1171,1))</f>
        <v>25400</v>
      </c>
      <c r="F1171" s="63" t="b">
        <f>AND(D1171&gt;0,IFERROR(E1171/D1171&gt;=G6,FALSE()))</f>
        <v>1</v>
      </c>
      <c r="G1171" s="62">
        <f t="shared" si="115"/>
        <v>1095</v>
      </c>
      <c r="H1171" s="62">
        <f>IF(F1171,MAX(0,MIN(E1171,I6*D1171)-D1171)*IFERROR(INDEX($C$158:$C$161,MATCH(C1171,$A$158:$A$161,0)),0),0)</f>
        <v>280</v>
      </c>
      <c r="I1171" s="62">
        <f>IF(F1171,MAX(0,E1171-I6*D1171)*IFERROR(INDEX($D$158:$D$161,MATCH(C1171,$A$158:$A$161,0)),0),0)</f>
        <v>0</v>
      </c>
      <c r="J1171" s="62">
        <f t="shared" si="116"/>
        <v>1375</v>
      </c>
    </row>
    <row r="1172" spans="1:10" ht="15" customHeight="1" outlineLevel="1" x14ac:dyDescent="0.2">
      <c r="A1172" s="63" t="str">
        <f t="shared" si="119"/>
        <v>R039</v>
      </c>
      <c r="B1172" s="64">
        <f>$A$1439</f>
        <v>45839</v>
      </c>
      <c r="C1172" s="63" t="str">
        <f t="shared" si="120"/>
        <v>Mid-Market AE</v>
      </c>
      <c r="D1172" s="62">
        <f>SUMIFS(Fact_Quota!$D:$D,Fact_Quota!$A:$A,$A1172,Fact_Quota!$B:$B,"&gt;="&amp;B1172,Fact_Quota!$B:$B,"&lt;"&amp;EDATE(B1172,1))</f>
        <v>21600</v>
      </c>
      <c r="E1172" s="62">
        <f>SUMIFS(Fact_Pipeline!$K:$K,Fact_Pipeline!$B:$B,$A1172,Fact_Pipeline!$J:$J,"Won",Fact_Pipeline!$I:$I,"&gt;="&amp;B1172,Fact_Pipeline!$I:$I,"&lt;"&amp;EDATE(B1172,1))</f>
        <v>23800</v>
      </c>
      <c r="F1172" s="63" t="b">
        <f>AND(D1172&gt;0,IFERROR(E1172/D1172&gt;=G6,FALSE()))</f>
        <v>1</v>
      </c>
      <c r="G1172" s="62">
        <f t="shared" si="115"/>
        <v>1080</v>
      </c>
      <c r="H1172" s="62">
        <f>IF(F1172,MAX(0,MIN(E1172,I6*D1172)-D1172)*IFERROR(INDEX($C$158:$C$161,MATCH(C1172,$A$158:$A$161,0)),0),0)</f>
        <v>176</v>
      </c>
      <c r="I1172" s="62">
        <f>IF(F1172,MAX(0,E1172-I6*D1172)*IFERROR(INDEX($D$158:$D$161,MATCH(C1172,$A$158:$A$161,0)),0),0)</f>
        <v>0</v>
      </c>
      <c r="J1172" s="62">
        <f t="shared" si="116"/>
        <v>1256</v>
      </c>
    </row>
    <row r="1173" spans="1:10" ht="15" customHeight="1" outlineLevel="1" x14ac:dyDescent="0.2">
      <c r="A1173" s="63" t="str">
        <f t="shared" si="119"/>
        <v>R039</v>
      </c>
      <c r="B1173" s="64">
        <f>$A$1440</f>
        <v>45870</v>
      </c>
      <c r="C1173" s="63" t="str">
        <f t="shared" si="120"/>
        <v>Mid-Market AE</v>
      </c>
      <c r="D1173" s="62">
        <f>SUMIFS(Fact_Quota!$D:$D,Fact_Quota!$A:$A,$A1173,Fact_Quota!$B:$B,"&gt;="&amp;B1173,Fact_Quota!$B:$B,"&lt;"&amp;EDATE(B1173,1))</f>
        <v>22300</v>
      </c>
      <c r="E1173" s="62">
        <f>SUMIFS(Fact_Pipeline!$K:$K,Fact_Pipeline!$B:$B,$A1173,Fact_Pipeline!$J:$J,"Won",Fact_Pipeline!$I:$I,"&gt;="&amp;B1173,Fact_Pipeline!$I:$I,"&lt;"&amp;EDATE(B1173,1))</f>
        <v>22300</v>
      </c>
      <c r="F1173" s="63" t="b">
        <f>AND(D1173&gt;0,IFERROR(E1173/D1173&gt;=G6,FALSE()))</f>
        <v>1</v>
      </c>
      <c r="G1173" s="62">
        <f t="shared" si="115"/>
        <v>1115</v>
      </c>
      <c r="H1173" s="62">
        <f>IF(F1173,MAX(0,MIN(E1173,I6*D1173)-D1173)*IFERROR(INDEX($C$158:$C$161,MATCH(C1173,$A$158:$A$161,0)),0),0)</f>
        <v>0</v>
      </c>
      <c r="I1173" s="62">
        <f>IF(F1173,MAX(0,E1173-I6*D1173)*IFERROR(INDEX($D$158:$D$161,MATCH(C1173,$A$158:$A$161,0)),0),0)</f>
        <v>0</v>
      </c>
      <c r="J1173" s="62">
        <f t="shared" si="116"/>
        <v>1115</v>
      </c>
    </row>
    <row r="1174" spans="1:10" ht="15" customHeight="1" outlineLevel="1" x14ac:dyDescent="0.2">
      <c r="A1174" s="63" t="str">
        <f t="shared" si="119"/>
        <v>R039</v>
      </c>
      <c r="B1174" s="64">
        <f>$A$1441</f>
        <v>45901</v>
      </c>
      <c r="C1174" s="63" t="str">
        <f t="shared" si="120"/>
        <v>Mid-Market AE</v>
      </c>
      <c r="D1174" s="62">
        <f>SUMIFS(Fact_Quota!$D:$D,Fact_Quota!$A:$A,$A1174,Fact_Quota!$B:$B,"&gt;="&amp;B1174,Fact_Quota!$B:$B,"&lt;"&amp;EDATE(B1174,1))</f>
        <v>22000</v>
      </c>
      <c r="E1174" s="62">
        <f>SUMIFS(Fact_Pipeline!$K:$K,Fact_Pipeline!$B:$B,$A1174,Fact_Pipeline!$J:$J,"Won",Fact_Pipeline!$I:$I,"&gt;="&amp;B1174,Fact_Pipeline!$I:$I,"&lt;"&amp;EDATE(B1174,1))</f>
        <v>38600</v>
      </c>
      <c r="F1174" s="63" t="b">
        <f>AND(D1174&gt;0,IFERROR(E1174/D1174&gt;=G6,FALSE()))</f>
        <v>1</v>
      </c>
      <c r="G1174" s="62">
        <f t="shared" si="115"/>
        <v>1100</v>
      </c>
      <c r="H1174" s="62">
        <f>IF(F1174,MAX(0,MIN(E1174,I6*D1174)-D1174)*IFERROR(INDEX($C$158:$C$161,MATCH(C1174,$A$158:$A$161,0)),0),0)</f>
        <v>880</v>
      </c>
      <c r="I1174" s="62">
        <f>IF(F1174,MAX(0,E1174-I6*D1174)*IFERROR(INDEX($D$158:$D$161,MATCH(C1174,$A$158:$A$161,0)),0),0)</f>
        <v>616</v>
      </c>
      <c r="J1174" s="62">
        <f t="shared" si="116"/>
        <v>2596</v>
      </c>
    </row>
    <row r="1175" spans="1:10" ht="15" customHeight="1" outlineLevel="1" x14ac:dyDescent="0.2">
      <c r="A1175" s="63" t="str">
        <f t="shared" si="119"/>
        <v>R039</v>
      </c>
      <c r="B1175" s="64">
        <f>$A$1442</f>
        <v>45931</v>
      </c>
      <c r="C1175" s="63" t="str">
        <f t="shared" si="120"/>
        <v>Mid-Market AE</v>
      </c>
      <c r="D1175" s="62">
        <f>SUMIFS(Fact_Quota!$D:$D,Fact_Quota!$A:$A,$A1175,Fact_Quota!$B:$B,"&gt;="&amp;B1175,Fact_Quota!$B:$B,"&lt;"&amp;EDATE(B1175,1))</f>
        <v>22700</v>
      </c>
      <c r="E1175" s="62">
        <f>SUMIFS(Fact_Pipeline!$K:$K,Fact_Pipeline!$B:$B,$A1175,Fact_Pipeline!$J:$J,"Won",Fact_Pipeline!$I:$I,"&gt;="&amp;B1175,Fact_Pipeline!$I:$I,"&lt;"&amp;EDATE(B1175,1))</f>
        <v>0</v>
      </c>
      <c r="F1175" s="63" t="b">
        <f>AND(D1175&gt;0,IFERROR(E1175/D1175&gt;=G6,FALSE()))</f>
        <v>0</v>
      </c>
      <c r="G1175" s="62">
        <f t="shared" si="115"/>
        <v>0</v>
      </c>
      <c r="H1175" s="62">
        <f>IF(F1175,MAX(0,MIN(E1175,I6*D1175)-D1175)*IFERROR(INDEX($C$158:$C$161,MATCH(C1175,$A$158:$A$161,0)),0),0)</f>
        <v>0</v>
      </c>
      <c r="I1175" s="62">
        <f>IF(F1175,MAX(0,E1175-I6*D1175)*IFERROR(INDEX($D$158:$D$161,MATCH(C1175,$A$158:$A$161,0)),0),0)</f>
        <v>0</v>
      </c>
      <c r="J1175" s="62">
        <f t="shared" si="116"/>
        <v>0</v>
      </c>
    </row>
    <row r="1176" spans="1:10" ht="15" customHeight="1" outlineLevel="1" x14ac:dyDescent="0.2">
      <c r="A1176" s="63" t="str">
        <f t="shared" si="119"/>
        <v>R039</v>
      </c>
      <c r="B1176" s="64">
        <f>$A$1443</f>
        <v>45962</v>
      </c>
      <c r="C1176" s="63" t="str">
        <f t="shared" si="120"/>
        <v>Mid-Market AE</v>
      </c>
      <c r="D1176" s="62">
        <f>SUMIFS(Fact_Quota!$D:$D,Fact_Quota!$A:$A,$A1176,Fact_Quota!$B:$B,"&gt;="&amp;B1176,Fact_Quota!$B:$B,"&lt;"&amp;EDATE(B1176,1))</f>
        <v>22100</v>
      </c>
      <c r="E1176" s="62">
        <f>SUMIFS(Fact_Pipeline!$K:$K,Fact_Pipeline!$B:$B,$A1176,Fact_Pipeline!$J:$J,"Won",Fact_Pipeline!$I:$I,"&gt;="&amp;B1176,Fact_Pipeline!$I:$I,"&lt;"&amp;EDATE(B1176,1))</f>
        <v>50400</v>
      </c>
      <c r="F1176" s="63" t="b">
        <f>AND(D1176&gt;0,IFERROR(E1176/D1176&gt;=G6,FALSE()))</f>
        <v>1</v>
      </c>
      <c r="G1176" s="62">
        <f t="shared" si="115"/>
        <v>1105</v>
      </c>
      <c r="H1176" s="62">
        <f>IF(F1176,MAX(0,MIN(E1176,I6*D1176)-D1176)*IFERROR(INDEX($C$158:$C$161,MATCH(C1176,$A$158:$A$161,0)),0),0)</f>
        <v>884</v>
      </c>
      <c r="I1176" s="62">
        <f>IF(F1176,MAX(0,E1176-I6*D1176)*IFERROR(INDEX($D$158:$D$161,MATCH(C1176,$A$158:$A$161,0)),0),0)</f>
        <v>1897.5</v>
      </c>
      <c r="J1176" s="62">
        <f t="shared" si="116"/>
        <v>3886.5</v>
      </c>
    </row>
    <row r="1177" spans="1:10" ht="15" customHeight="1" outlineLevel="1" x14ac:dyDescent="0.2">
      <c r="A1177" s="63" t="str">
        <f t="shared" si="119"/>
        <v>R039</v>
      </c>
      <c r="B1177" s="64">
        <f>$A$1444</f>
        <v>45992</v>
      </c>
      <c r="C1177" s="63" t="str">
        <f t="shared" si="120"/>
        <v>Mid-Market AE</v>
      </c>
      <c r="D1177" s="62">
        <f>SUMIFS(Fact_Quota!$D:$D,Fact_Quota!$A:$A,$A1177,Fact_Quota!$B:$B,"&gt;="&amp;B1177,Fact_Quota!$B:$B,"&lt;"&amp;EDATE(B1177,1))</f>
        <v>22100</v>
      </c>
      <c r="E1177" s="62">
        <f>SUMIFS(Fact_Pipeline!$K:$K,Fact_Pipeline!$B:$B,$A1177,Fact_Pipeline!$J:$J,"Won",Fact_Pipeline!$I:$I,"&gt;="&amp;B1177,Fact_Pipeline!$I:$I,"&lt;"&amp;EDATE(B1177,1))</f>
        <v>20200</v>
      </c>
      <c r="F1177" s="63" t="b">
        <f>AND(D1177&gt;0,IFERROR(E1177/D1177&gt;=G6,FALSE()))</f>
        <v>1</v>
      </c>
      <c r="G1177" s="62">
        <f t="shared" si="115"/>
        <v>1010</v>
      </c>
      <c r="H1177" s="62">
        <f>IF(F1177,MAX(0,MIN(E1177,I6*D1177)-D1177)*IFERROR(INDEX($C$158:$C$161,MATCH(C1177,$A$158:$A$161,0)),0),0)</f>
        <v>0</v>
      </c>
      <c r="I1177" s="62">
        <f>IF(F1177,MAX(0,E1177-I6*D1177)*IFERROR(INDEX($D$158:$D$161,MATCH(C1177,$A$158:$A$161,0)),0),0)</f>
        <v>0</v>
      </c>
      <c r="J1177" s="62">
        <f t="shared" si="116"/>
        <v>1010</v>
      </c>
    </row>
    <row r="1178" spans="1:10" ht="15" customHeight="1" outlineLevel="1" x14ac:dyDescent="0.2">
      <c r="A1178" s="66" t="str">
        <f t="shared" ref="A1178:A1201" si="121">$A$205</f>
        <v>R040</v>
      </c>
      <c r="B1178" s="67">
        <f>$A$1421</f>
        <v>45292</v>
      </c>
      <c r="C1178" s="66" t="str">
        <f t="shared" ref="C1178:C1201" si="122">$C$205</f>
        <v>Mid-Market AE</v>
      </c>
      <c r="D1178" s="65">
        <f>SUMIFS(Fact_Quota!$D:$D,Fact_Quota!$A:$A,$A1178,Fact_Quota!$B:$B,"&gt;="&amp;B1178,Fact_Quota!$B:$B,"&lt;"&amp;EDATE(B1178,1))</f>
        <v>21800</v>
      </c>
      <c r="E1178" s="65">
        <f>SUMIFS(Fact_Pipeline!$K:$K,Fact_Pipeline!$B:$B,$A1178,Fact_Pipeline!$J:$J,"Won",Fact_Pipeline!$I:$I,"&gt;="&amp;B1178,Fact_Pipeline!$I:$I,"&lt;"&amp;EDATE(B1178,1))</f>
        <v>0</v>
      </c>
      <c r="F1178" s="66" t="b">
        <f>AND(D1178&gt;0,IFERROR(E1178/D1178&gt;=G6,FALSE()))</f>
        <v>0</v>
      </c>
      <c r="G1178" s="65">
        <f t="shared" ref="G1178:G1241" si="123">IF(F1178,MIN(E1178,D1178)*IFERROR(INDEX($B$158:$B$161,MATCH(C1178,$A$158:$A$161,0)),0),0)</f>
        <v>0</v>
      </c>
      <c r="H1178" s="65">
        <f>IF(F1178,MAX(0,MIN(E1178,I6*D1178)-D1178)*IFERROR(INDEX($C$158:$C$161,MATCH(C1178,$A$158:$A$161,0)),0),0)</f>
        <v>0</v>
      </c>
      <c r="I1178" s="65">
        <f>IF(F1178,MAX(0,E1178-I6*D1178)*IFERROR(INDEX($D$158:$D$161,MATCH(C1178,$A$158:$A$161,0)),0),0)</f>
        <v>0</v>
      </c>
      <c r="J1178" s="65">
        <f t="shared" ref="J1178:J1241" si="124">G1178+H1178+I1178</f>
        <v>0</v>
      </c>
    </row>
    <row r="1179" spans="1:10" ht="15" customHeight="1" outlineLevel="1" x14ac:dyDescent="0.2">
      <c r="A1179" s="66" t="str">
        <f t="shared" si="121"/>
        <v>R040</v>
      </c>
      <c r="B1179" s="67">
        <f>$A$1422</f>
        <v>45323</v>
      </c>
      <c r="C1179" s="66" t="str">
        <f t="shared" si="122"/>
        <v>Mid-Market AE</v>
      </c>
      <c r="D1179" s="65">
        <f>SUMIFS(Fact_Quota!$D:$D,Fact_Quota!$A:$A,$A1179,Fact_Quota!$B:$B,"&gt;="&amp;B1179,Fact_Quota!$B:$B,"&lt;"&amp;EDATE(B1179,1))</f>
        <v>22000</v>
      </c>
      <c r="E1179" s="65">
        <f>SUMIFS(Fact_Pipeline!$K:$K,Fact_Pipeline!$B:$B,$A1179,Fact_Pipeline!$J:$J,"Won",Fact_Pipeline!$I:$I,"&gt;="&amp;B1179,Fact_Pipeline!$I:$I,"&lt;"&amp;EDATE(B1179,1))</f>
        <v>52100</v>
      </c>
      <c r="F1179" s="66" t="b">
        <f>AND(D1179&gt;0,IFERROR(E1179/D1179&gt;=G6,FALSE()))</f>
        <v>1</v>
      </c>
      <c r="G1179" s="65">
        <f t="shared" si="123"/>
        <v>1100</v>
      </c>
      <c r="H1179" s="65">
        <f>IF(F1179,MAX(0,MIN(E1179,I6*D1179)-D1179)*IFERROR(INDEX($C$158:$C$161,MATCH(C1179,$A$158:$A$161,0)),0),0)</f>
        <v>880</v>
      </c>
      <c r="I1179" s="65">
        <f>IF(F1179,MAX(0,E1179-I6*D1179)*IFERROR(INDEX($D$158:$D$161,MATCH(C1179,$A$158:$A$161,0)),0),0)</f>
        <v>2101</v>
      </c>
      <c r="J1179" s="65">
        <f t="shared" si="124"/>
        <v>4081</v>
      </c>
    </row>
    <row r="1180" spans="1:10" ht="15" customHeight="1" outlineLevel="1" x14ac:dyDescent="0.2">
      <c r="A1180" s="66" t="str">
        <f t="shared" si="121"/>
        <v>R040</v>
      </c>
      <c r="B1180" s="67">
        <f>$A$1423</f>
        <v>45352</v>
      </c>
      <c r="C1180" s="66" t="str">
        <f t="shared" si="122"/>
        <v>Mid-Market AE</v>
      </c>
      <c r="D1180" s="65">
        <f>SUMIFS(Fact_Quota!$D:$D,Fact_Quota!$A:$A,$A1180,Fact_Quota!$B:$B,"&gt;="&amp;B1180,Fact_Quota!$B:$B,"&lt;"&amp;EDATE(B1180,1))</f>
        <v>22200</v>
      </c>
      <c r="E1180" s="65">
        <f>SUMIFS(Fact_Pipeline!$K:$K,Fact_Pipeline!$B:$B,$A1180,Fact_Pipeline!$J:$J,"Won",Fact_Pipeline!$I:$I,"&gt;="&amp;B1180,Fact_Pipeline!$I:$I,"&lt;"&amp;EDATE(B1180,1))</f>
        <v>17500</v>
      </c>
      <c r="F1180" s="66" t="b">
        <f>AND(D1180&gt;0,IFERROR(E1180/D1180&gt;=G6,FALSE()))</f>
        <v>1</v>
      </c>
      <c r="G1180" s="65">
        <f t="shared" si="123"/>
        <v>875</v>
      </c>
      <c r="H1180" s="65">
        <f>IF(F1180,MAX(0,MIN(E1180,I6*D1180)-D1180)*IFERROR(INDEX($C$158:$C$161,MATCH(C1180,$A$158:$A$161,0)),0),0)</f>
        <v>0</v>
      </c>
      <c r="I1180" s="65">
        <f>IF(F1180,MAX(0,E1180-I6*D1180)*IFERROR(INDEX($D$158:$D$161,MATCH(C1180,$A$158:$A$161,0)),0),0)</f>
        <v>0</v>
      </c>
      <c r="J1180" s="65">
        <f t="shared" si="124"/>
        <v>875</v>
      </c>
    </row>
    <row r="1181" spans="1:10" ht="15" customHeight="1" outlineLevel="1" x14ac:dyDescent="0.2">
      <c r="A1181" s="66" t="str">
        <f t="shared" si="121"/>
        <v>R040</v>
      </c>
      <c r="B1181" s="67">
        <f>$A$1424</f>
        <v>45383</v>
      </c>
      <c r="C1181" s="66" t="str">
        <f t="shared" si="122"/>
        <v>Mid-Market AE</v>
      </c>
      <c r="D1181" s="65">
        <f>SUMIFS(Fact_Quota!$D:$D,Fact_Quota!$A:$A,$A1181,Fact_Quota!$B:$B,"&gt;="&amp;B1181,Fact_Quota!$B:$B,"&lt;"&amp;EDATE(B1181,1))</f>
        <v>20900</v>
      </c>
      <c r="E1181" s="65">
        <f>SUMIFS(Fact_Pipeline!$K:$K,Fact_Pipeline!$B:$B,$A1181,Fact_Pipeline!$J:$J,"Won",Fact_Pipeline!$I:$I,"&gt;="&amp;B1181,Fact_Pipeline!$I:$I,"&lt;"&amp;EDATE(B1181,1))</f>
        <v>41700</v>
      </c>
      <c r="F1181" s="66" t="b">
        <f>AND(D1181&gt;0,IFERROR(E1181/D1181&gt;=G6,FALSE()))</f>
        <v>1</v>
      </c>
      <c r="G1181" s="65">
        <f t="shared" si="123"/>
        <v>1045</v>
      </c>
      <c r="H1181" s="65">
        <f>IF(F1181,MAX(0,MIN(E1181,I6*D1181)-D1181)*IFERROR(INDEX($C$158:$C$161,MATCH(C1181,$A$158:$A$161,0)),0),0)</f>
        <v>836</v>
      </c>
      <c r="I1181" s="65">
        <f>IF(F1181,MAX(0,E1181-I6*D1181)*IFERROR(INDEX($D$158:$D$161,MATCH(C1181,$A$158:$A$161,0)),0),0)</f>
        <v>1138.5</v>
      </c>
      <c r="J1181" s="65">
        <f t="shared" si="124"/>
        <v>3019.5</v>
      </c>
    </row>
    <row r="1182" spans="1:10" ht="15" customHeight="1" outlineLevel="1" x14ac:dyDescent="0.2">
      <c r="A1182" s="66" t="str">
        <f t="shared" si="121"/>
        <v>R040</v>
      </c>
      <c r="B1182" s="67">
        <f>$A$1425</f>
        <v>45413</v>
      </c>
      <c r="C1182" s="66" t="str">
        <f t="shared" si="122"/>
        <v>Mid-Market AE</v>
      </c>
      <c r="D1182" s="65">
        <f>SUMIFS(Fact_Quota!$D:$D,Fact_Quota!$A:$A,$A1182,Fact_Quota!$B:$B,"&gt;="&amp;B1182,Fact_Quota!$B:$B,"&lt;"&amp;EDATE(B1182,1))</f>
        <v>21100</v>
      </c>
      <c r="E1182" s="65">
        <f>SUMIFS(Fact_Pipeline!$K:$K,Fact_Pipeline!$B:$B,$A1182,Fact_Pipeline!$J:$J,"Won",Fact_Pipeline!$I:$I,"&gt;="&amp;B1182,Fact_Pipeline!$I:$I,"&lt;"&amp;EDATE(B1182,1))</f>
        <v>32500</v>
      </c>
      <c r="F1182" s="66" t="b">
        <f>AND(D1182&gt;0,IFERROR(E1182/D1182&gt;=G6,FALSE()))</f>
        <v>1</v>
      </c>
      <c r="G1182" s="65">
        <f t="shared" si="123"/>
        <v>1055</v>
      </c>
      <c r="H1182" s="65">
        <f>IF(F1182,MAX(0,MIN(E1182,I6*D1182)-D1182)*IFERROR(INDEX($C$158:$C$161,MATCH(C1182,$A$158:$A$161,0)),0),0)</f>
        <v>844</v>
      </c>
      <c r="I1182" s="65">
        <f>IF(F1182,MAX(0,E1182-I6*D1182)*IFERROR(INDEX($D$158:$D$161,MATCH(C1182,$A$158:$A$161,0)),0),0)</f>
        <v>93.5</v>
      </c>
      <c r="J1182" s="65">
        <f t="shared" si="124"/>
        <v>1992.5</v>
      </c>
    </row>
    <row r="1183" spans="1:10" ht="15" customHeight="1" outlineLevel="1" x14ac:dyDescent="0.2">
      <c r="A1183" s="66" t="str">
        <f t="shared" si="121"/>
        <v>R040</v>
      </c>
      <c r="B1183" s="67">
        <f>$A$1426</f>
        <v>45444</v>
      </c>
      <c r="C1183" s="66" t="str">
        <f t="shared" si="122"/>
        <v>Mid-Market AE</v>
      </c>
      <c r="D1183" s="65">
        <f>SUMIFS(Fact_Quota!$D:$D,Fact_Quota!$A:$A,$A1183,Fact_Quota!$B:$B,"&gt;="&amp;B1183,Fact_Quota!$B:$B,"&lt;"&amp;EDATE(B1183,1))</f>
        <v>22500</v>
      </c>
      <c r="E1183" s="65">
        <f>SUMIFS(Fact_Pipeline!$K:$K,Fact_Pipeline!$B:$B,$A1183,Fact_Pipeline!$J:$J,"Won",Fact_Pipeline!$I:$I,"&gt;="&amp;B1183,Fact_Pipeline!$I:$I,"&lt;"&amp;EDATE(B1183,1))</f>
        <v>50400</v>
      </c>
      <c r="F1183" s="66" t="b">
        <f>AND(D1183&gt;0,IFERROR(E1183/D1183&gt;=G6,FALSE()))</f>
        <v>1</v>
      </c>
      <c r="G1183" s="65">
        <f t="shared" si="123"/>
        <v>1125</v>
      </c>
      <c r="H1183" s="65">
        <f>IF(F1183,MAX(0,MIN(E1183,I6*D1183)-D1183)*IFERROR(INDEX($C$158:$C$161,MATCH(C1183,$A$158:$A$161,0)),0),0)</f>
        <v>900</v>
      </c>
      <c r="I1183" s="65">
        <f>IF(F1183,MAX(0,E1183-I6*D1183)*IFERROR(INDEX($D$158:$D$161,MATCH(C1183,$A$158:$A$161,0)),0),0)</f>
        <v>1831.5</v>
      </c>
      <c r="J1183" s="65">
        <f t="shared" si="124"/>
        <v>3856.5</v>
      </c>
    </row>
    <row r="1184" spans="1:10" ht="15" customHeight="1" outlineLevel="1" x14ac:dyDescent="0.2">
      <c r="A1184" s="66" t="str">
        <f t="shared" si="121"/>
        <v>R040</v>
      </c>
      <c r="B1184" s="67">
        <f>$A$1427</f>
        <v>45474</v>
      </c>
      <c r="C1184" s="66" t="str">
        <f t="shared" si="122"/>
        <v>Mid-Market AE</v>
      </c>
      <c r="D1184" s="65">
        <f>SUMIFS(Fact_Quota!$D:$D,Fact_Quota!$A:$A,$A1184,Fact_Quota!$B:$B,"&gt;="&amp;B1184,Fact_Quota!$B:$B,"&lt;"&amp;EDATE(B1184,1))</f>
        <v>22100</v>
      </c>
      <c r="E1184" s="65">
        <f>SUMIFS(Fact_Pipeline!$K:$K,Fact_Pipeline!$B:$B,$A1184,Fact_Pipeline!$J:$J,"Won",Fact_Pipeline!$I:$I,"&gt;="&amp;B1184,Fact_Pipeline!$I:$I,"&lt;"&amp;EDATE(B1184,1))</f>
        <v>3100</v>
      </c>
      <c r="F1184" s="66" t="b">
        <f>AND(D1184&gt;0,IFERROR(E1184/D1184&gt;=G6,FALSE()))</f>
        <v>0</v>
      </c>
      <c r="G1184" s="65">
        <f t="shared" si="123"/>
        <v>0</v>
      </c>
      <c r="H1184" s="65">
        <f>IF(F1184,MAX(0,MIN(E1184,I6*D1184)-D1184)*IFERROR(INDEX($C$158:$C$161,MATCH(C1184,$A$158:$A$161,0)),0),0)</f>
        <v>0</v>
      </c>
      <c r="I1184" s="65">
        <f>IF(F1184,MAX(0,E1184-I6*D1184)*IFERROR(INDEX($D$158:$D$161,MATCH(C1184,$A$158:$A$161,0)),0),0)</f>
        <v>0</v>
      </c>
      <c r="J1184" s="65">
        <f t="shared" si="124"/>
        <v>0</v>
      </c>
    </row>
    <row r="1185" spans="1:10" ht="15" customHeight="1" outlineLevel="1" x14ac:dyDescent="0.2">
      <c r="A1185" s="66" t="str">
        <f t="shared" si="121"/>
        <v>R040</v>
      </c>
      <c r="B1185" s="67">
        <f>$A$1428</f>
        <v>45505</v>
      </c>
      <c r="C1185" s="66" t="str">
        <f t="shared" si="122"/>
        <v>Mid-Market AE</v>
      </c>
      <c r="D1185" s="65">
        <f>SUMIFS(Fact_Quota!$D:$D,Fact_Quota!$A:$A,$A1185,Fact_Quota!$B:$B,"&gt;="&amp;B1185,Fact_Quota!$B:$B,"&lt;"&amp;EDATE(B1185,1))</f>
        <v>21900</v>
      </c>
      <c r="E1185" s="65">
        <f>SUMIFS(Fact_Pipeline!$K:$K,Fact_Pipeline!$B:$B,$A1185,Fact_Pipeline!$J:$J,"Won",Fact_Pipeline!$I:$I,"&gt;="&amp;B1185,Fact_Pipeline!$I:$I,"&lt;"&amp;EDATE(B1185,1))</f>
        <v>36200</v>
      </c>
      <c r="F1185" s="66" t="b">
        <f>AND(D1185&gt;0,IFERROR(E1185/D1185&gt;=G6,FALSE()))</f>
        <v>1</v>
      </c>
      <c r="G1185" s="65">
        <f t="shared" si="123"/>
        <v>1095</v>
      </c>
      <c r="H1185" s="65">
        <f>IF(F1185,MAX(0,MIN(E1185,I6*D1185)-D1185)*IFERROR(INDEX($C$158:$C$161,MATCH(C1185,$A$158:$A$161,0)),0),0)</f>
        <v>876</v>
      </c>
      <c r="I1185" s="65">
        <f>IF(F1185,MAX(0,E1185-I6*D1185)*IFERROR(INDEX($D$158:$D$161,MATCH(C1185,$A$158:$A$161,0)),0),0)</f>
        <v>368.5</v>
      </c>
      <c r="J1185" s="65">
        <f t="shared" si="124"/>
        <v>2339.5</v>
      </c>
    </row>
    <row r="1186" spans="1:10" ht="15" customHeight="1" outlineLevel="1" x14ac:dyDescent="0.2">
      <c r="A1186" s="66" t="str">
        <f t="shared" si="121"/>
        <v>R040</v>
      </c>
      <c r="B1186" s="67">
        <f>$A$1429</f>
        <v>45536</v>
      </c>
      <c r="C1186" s="66" t="str">
        <f t="shared" si="122"/>
        <v>Mid-Market AE</v>
      </c>
      <c r="D1186" s="65">
        <f>SUMIFS(Fact_Quota!$D:$D,Fact_Quota!$A:$A,$A1186,Fact_Quota!$B:$B,"&gt;="&amp;B1186,Fact_Quota!$B:$B,"&lt;"&amp;EDATE(B1186,1))</f>
        <v>22000</v>
      </c>
      <c r="E1186" s="65">
        <f>SUMIFS(Fact_Pipeline!$K:$K,Fact_Pipeline!$B:$B,$A1186,Fact_Pipeline!$J:$J,"Won",Fact_Pipeline!$I:$I,"&gt;="&amp;B1186,Fact_Pipeline!$I:$I,"&lt;"&amp;EDATE(B1186,1))</f>
        <v>30400</v>
      </c>
      <c r="F1186" s="66" t="b">
        <f>AND(D1186&gt;0,IFERROR(E1186/D1186&gt;=G6,FALSE()))</f>
        <v>1</v>
      </c>
      <c r="G1186" s="65">
        <f t="shared" si="123"/>
        <v>1100</v>
      </c>
      <c r="H1186" s="65">
        <f>IF(F1186,MAX(0,MIN(E1186,I6*D1186)-D1186)*IFERROR(INDEX($C$158:$C$161,MATCH(C1186,$A$158:$A$161,0)),0),0)</f>
        <v>672</v>
      </c>
      <c r="I1186" s="65">
        <f>IF(F1186,MAX(0,E1186-I6*D1186)*IFERROR(INDEX($D$158:$D$161,MATCH(C1186,$A$158:$A$161,0)),0),0)</f>
        <v>0</v>
      </c>
      <c r="J1186" s="65">
        <f t="shared" si="124"/>
        <v>1772</v>
      </c>
    </row>
    <row r="1187" spans="1:10" ht="15" customHeight="1" outlineLevel="1" x14ac:dyDescent="0.2">
      <c r="A1187" s="66" t="str">
        <f t="shared" si="121"/>
        <v>R040</v>
      </c>
      <c r="B1187" s="67">
        <f>$A$1430</f>
        <v>45566</v>
      </c>
      <c r="C1187" s="66" t="str">
        <f t="shared" si="122"/>
        <v>Mid-Market AE</v>
      </c>
      <c r="D1187" s="65">
        <f>SUMIFS(Fact_Quota!$D:$D,Fact_Quota!$A:$A,$A1187,Fact_Quota!$B:$B,"&gt;="&amp;B1187,Fact_Quota!$B:$B,"&lt;"&amp;EDATE(B1187,1))</f>
        <v>22200</v>
      </c>
      <c r="E1187" s="65">
        <f>SUMIFS(Fact_Pipeline!$K:$K,Fact_Pipeline!$B:$B,$A1187,Fact_Pipeline!$J:$J,"Won",Fact_Pipeline!$I:$I,"&gt;="&amp;B1187,Fact_Pipeline!$I:$I,"&lt;"&amp;EDATE(B1187,1))</f>
        <v>46100</v>
      </c>
      <c r="F1187" s="66" t="b">
        <f>AND(D1187&gt;0,IFERROR(E1187/D1187&gt;=G6,FALSE()))</f>
        <v>1</v>
      </c>
      <c r="G1187" s="65">
        <f t="shared" si="123"/>
        <v>1110</v>
      </c>
      <c r="H1187" s="65">
        <f>IF(F1187,MAX(0,MIN(E1187,I6*D1187)-D1187)*IFERROR(INDEX($C$158:$C$161,MATCH(C1187,$A$158:$A$161,0)),0),0)</f>
        <v>888</v>
      </c>
      <c r="I1187" s="65">
        <f>IF(F1187,MAX(0,E1187-I6*D1187)*IFERROR(INDEX($D$158:$D$161,MATCH(C1187,$A$158:$A$161,0)),0),0)</f>
        <v>1408</v>
      </c>
      <c r="J1187" s="65">
        <f t="shared" si="124"/>
        <v>3406</v>
      </c>
    </row>
    <row r="1188" spans="1:10" ht="15" customHeight="1" outlineLevel="1" x14ac:dyDescent="0.2">
      <c r="A1188" s="66" t="str">
        <f t="shared" si="121"/>
        <v>R040</v>
      </c>
      <c r="B1188" s="67">
        <f>$A$1431</f>
        <v>45597</v>
      </c>
      <c r="C1188" s="66" t="str">
        <f t="shared" si="122"/>
        <v>Mid-Market AE</v>
      </c>
      <c r="D1188" s="65">
        <f>SUMIFS(Fact_Quota!$D:$D,Fact_Quota!$A:$A,$A1188,Fact_Quota!$B:$B,"&gt;="&amp;B1188,Fact_Quota!$B:$B,"&lt;"&amp;EDATE(B1188,1))</f>
        <v>21600</v>
      </c>
      <c r="E1188" s="65">
        <f>SUMIFS(Fact_Pipeline!$K:$K,Fact_Pipeline!$B:$B,$A1188,Fact_Pipeline!$J:$J,"Won",Fact_Pipeline!$I:$I,"&gt;="&amp;B1188,Fact_Pipeline!$I:$I,"&lt;"&amp;EDATE(B1188,1))</f>
        <v>0</v>
      </c>
      <c r="F1188" s="66" t="b">
        <f>AND(D1188&gt;0,IFERROR(E1188/D1188&gt;=G6,FALSE()))</f>
        <v>0</v>
      </c>
      <c r="G1188" s="65">
        <f t="shared" si="123"/>
        <v>0</v>
      </c>
      <c r="H1188" s="65">
        <f>IF(F1188,MAX(0,MIN(E1188,I6*D1188)-D1188)*IFERROR(INDEX($C$158:$C$161,MATCH(C1188,$A$158:$A$161,0)),0),0)</f>
        <v>0</v>
      </c>
      <c r="I1188" s="65">
        <f>IF(F1188,MAX(0,E1188-I6*D1188)*IFERROR(INDEX($D$158:$D$161,MATCH(C1188,$A$158:$A$161,0)),0),0)</f>
        <v>0</v>
      </c>
      <c r="J1188" s="65">
        <f t="shared" si="124"/>
        <v>0</v>
      </c>
    </row>
    <row r="1189" spans="1:10" ht="15" customHeight="1" outlineLevel="1" x14ac:dyDescent="0.2">
      <c r="A1189" s="66" t="str">
        <f t="shared" si="121"/>
        <v>R040</v>
      </c>
      <c r="B1189" s="67">
        <f>$A$1432</f>
        <v>45627</v>
      </c>
      <c r="C1189" s="66" t="str">
        <f t="shared" si="122"/>
        <v>Mid-Market AE</v>
      </c>
      <c r="D1189" s="65">
        <f>SUMIFS(Fact_Quota!$D:$D,Fact_Quota!$A:$A,$A1189,Fact_Quota!$B:$B,"&gt;="&amp;B1189,Fact_Quota!$B:$B,"&lt;"&amp;EDATE(B1189,1))</f>
        <v>21500</v>
      </c>
      <c r="E1189" s="65">
        <f>SUMIFS(Fact_Pipeline!$K:$K,Fact_Pipeline!$B:$B,$A1189,Fact_Pipeline!$J:$J,"Won",Fact_Pipeline!$I:$I,"&gt;="&amp;B1189,Fact_Pipeline!$I:$I,"&lt;"&amp;EDATE(B1189,1))</f>
        <v>49600</v>
      </c>
      <c r="F1189" s="66" t="b">
        <f>AND(D1189&gt;0,IFERROR(E1189/D1189&gt;=G6,FALSE()))</f>
        <v>1</v>
      </c>
      <c r="G1189" s="65">
        <f t="shared" si="123"/>
        <v>1075</v>
      </c>
      <c r="H1189" s="65">
        <f>IF(F1189,MAX(0,MIN(E1189,I6*D1189)-D1189)*IFERROR(INDEX($C$158:$C$161,MATCH(C1189,$A$158:$A$161,0)),0),0)</f>
        <v>860</v>
      </c>
      <c r="I1189" s="65">
        <f>IF(F1189,MAX(0,E1189-I6*D1189)*IFERROR(INDEX($D$158:$D$161,MATCH(C1189,$A$158:$A$161,0)),0),0)</f>
        <v>1908.5</v>
      </c>
      <c r="J1189" s="65">
        <f t="shared" si="124"/>
        <v>3843.5</v>
      </c>
    </row>
    <row r="1190" spans="1:10" ht="15" customHeight="1" outlineLevel="1" x14ac:dyDescent="0.2">
      <c r="A1190" s="66" t="str">
        <f t="shared" si="121"/>
        <v>R040</v>
      </c>
      <c r="B1190" s="67">
        <f>$A$1433</f>
        <v>45658</v>
      </c>
      <c r="C1190" s="66" t="str">
        <f t="shared" si="122"/>
        <v>Mid-Market AE</v>
      </c>
      <c r="D1190" s="65">
        <f>SUMIFS(Fact_Quota!$D:$D,Fact_Quota!$A:$A,$A1190,Fact_Quota!$B:$B,"&gt;="&amp;B1190,Fact_Quota!$B:$B,"&lt;"&amp;EDATE(B1190,1))</f>
        <v>22100</v>
      </c>
      <c r="E1190" s="65">
        <f>SUMIFS(Fact_Pipeline!$K:$K,Fact_Pipeline!$B:$B,$A1190,Fact_Pipeline!$J:$J,"Won",Fact_Pipeline!$I:$I,"&gt;="&amp;B1190,Fact_Pipeline!$I:$I,"&lt;"&amp;EDATE(B1190,1))</f>
        <v>44900</v>
      </c>
      <c r="F1190" s="66" t="b">
        <f>AND(D1190&gt;0,IFERROR(E1190/D1190&gt;=G6,FALSE()))</f>
        <v>1</v>
      </c>
      <c r="G1190" s="65">
        <f t="shared" si="123"/>
        <v>1105</v>
      </c>
      <c r="H1190" s="65">
        <f>IF(F1190,MAX(0,MIN(E1190,I6*D1190)-D1190)*IFERROR(INDEX($C$158:$C$161,MATCH(C1190,$A$158:$A$161,0)),0),0)</f>
        <v>884</v>
      </c>
      <c r="I1190" s="65">
        <f>IF(F1190,MAX(0,E1190-I6*D1190)*IFERROR(INDEX($D$158:$D$161,MATCH(C1190,$A$158:$A$161,0)),0),0)</f>
        <v>1292.5</v>
      </c>
      <c r="J1190" s="65">
        <f t="shared" si="124"/>
        <v>3281.5</v>
      </c>
    </row>
    <row r="1191" spans="1:10" ht="15" customHeight="1" outlineLevel="1" x14ac:dyDescent="0.2">
      <c r="A1191" s="66" t="str">
        <f t="shared" si="121"/>
        <v>R040</v>
      </c>
      <c r="B1191" s="67">
        <f>$A$1434</f>
        <v>45689</v>
      </c>
      <c r="C1191" s="66" t="str">
        <f t="shared" si="122"/>
        <v>Mid-Market AE</v>
      </c>
      <c r="D1191" s="65">
        <f>SUMIFS(Fact_Quota!$D:$D,Fact_Quota!$A:$A,$A1191,Fact_Quota!$B:$B,"&gt;="&amp;B1191,Fact_Quota!$B:$B,"&lt;"&amp;EDATE(B1191,1))</f>
        <v>21400</v>
      </c>
      <c r="E1191" s="65">
        <f>SUMIFS(Fact_Pipeline!$K:$K,Fact_Pipeline!$B:$B,$A1191,Fact_Pipeline!$J:$J,"Won",Fact_Pipeline!$I:$I,"&gt;="&amp;B1191,Fact_Pipeline!$I:$I,"&lt;"&amp;EDATE(B1191,1))</f>
        <v>45800</v>
      </c>
      <c r="F1191" s="66" t="b">
        <f>AND(D1191&gt;0,IFERROR(E1191/D1191&gt;=G6,FALSE()))</f>
        <v>1</v>
      </c>
      <c r="G1191" s="65">
        <f t="shared" si="123"/>
        <v>1070</v>
      </c>
      <c r="H1191" s="65">
        <f>IF(F1191,MAX(0,MIN(E1191,I6*D1191)-D1191)*IFERROR(INDEX($C$158:$C$161,MATCH(C1191,$A$158:$A$161,0)),0),0)</f>
        <v>856</v>
      </c>
      <c r="I1191" s="65">
        <f>IF(F1191,MAX(0,E1191-I6*D1191)*IFERROR(INDEX($D$158:$D$161,MATCH(C1191,$A$158:$A$161,0)),0),0)</f>
        <v>1507</v>
      </c>
      <c r="J1191" s="65">
        <f t="shared" si="124"/>
        <v>3433</v>
      </c>
    </row>
    <row r="1192" spans="1:10" ht="15" customHeight="1" outlineLevel="1" x14ac:dyDescent="0.2">
      <c r="A1192" s="66" t="str">
        <f t="shared" si="121"/>
        <v>R040</v>
      </c>
      <c r="B1192" s="67">
        <f>$A$1435</f>
        <v>45717</v>
      </c>
      <c r="C1192" s="66" t="str">
        <f t="shared" si="122"/>
        <v>Mid-Market AE</v>
      </c>
      <c r="D1192" s="65">
        <f>SUMIFS(Fact_Quota!$D:$D,Fact_Quota!$A:$A,$A1192,Fact_Quota!$B:$B,"&gt;="&amp;B1192,Fact_Quota!$B:$B,"&lt;"&amp;EDATE(B1192,1))</f>
        <v>22300</v>
      </c>
      <c r="E1192" s="65">
        <f>SUMIFS(Fact_Pipeline!$K:$K,Fact_Pipeline!$B:$B,$A1192,Fact_Pipeline!$J:$J,"Won",Fact_Pipeline!$I:$I,"&gt;="&amp;B1192,Fact_Pipeline!$I:$I,"&lt;"&amp;EDATE(B1192,1))</f>
        <v>32600</v>
      </c>
      <c r="F1192" s="66" t="b">
        <f>AND(D1192&gt;0,IFERROR(E1192/D1192&gt;=G6,FALSE()))</f>
        <v>1</v>
      </c>
      <c r="G1192" s="65">
        <f t="shared" si="123"/>
        <v>1115</v>
      </c>
      <c r="H1192" s="65">
        <f>IF(F1192,MAX(0,MIN(E1192,I6*D1192)-D1192)*IFERROR(INDEX($C$158:$C$161,MATCH(C1192,$A$158:$A$161,0)),0),0)</f>
        <v>824</v>
      </c>
      <c r="I1192" s="65">
        <f>IF(F1192,MAX(0,E1192-I6*D1192)*IFERROR(INDEX($D$158:$D$161,MATCH(C1192,$A$158:$A$161,0)),0),0)</f>
        <v>0</v>
      </c>
      <c r="J1192" s="65">
        <f t="shared" si="124"/>
        <v>1939</v>
      </c>
    </row>
    <row r="1193" spans="1:10" ht="15" customHeight="1" outlineLevel="1" x14ac:dyDescent="0.2">
      <c r="A1193" s="66" t="str">
        <f t="shared" si="121"/>
        <v>R040</v>
      </c>
      <c r="B1193" s="67">
        <f>$A$1436</f>
        <v>45748</v>
      </c>
      <c r="C1193" s="66" t="str">
        <f t="shared" si="122"/>
        <v>Mid-Market AE</v>
      </c>
      <c r="D1193" s="65">
        <f>SUMIFS(Fact_Quota!$D:$D,Fact_Quota!$A:$A,$A1193,Fact_Quota!$B:$B,"&gt;="&amp;B1193,Fact_Quota!$B:$B,"&lt;"&amp;EDATE(B1193,1))</f>
        <v>20900</v>
      </c>
      <c r="E1193" s="65">
        <f>SUMIFS(Fact_Pipeline!$K:$K,Fact_Pipeline!$B:$B,$A1193,Fact_Pipeline!$J:$J,"Won",Fact_Pipeline!$I:$I,"&gt;="&amp;B1193,Fact_Pipeline!$I:$I,"&lt;"&amp;EDATE(B1193,1))</f>
        <v>21100</v>
      </c>
      <c r="F1193" s="66" t="b">
        <f>AND(D1193&gt;0,IFERROR(E1193/D1193&gt;=G6,FALSE()))</f>
        <v>1</v>
      </c>
      <c r="G1193" s="65">
        <f t="shared" si="123"/>
        <v>1045</v>
      </c>
      <c r="H1193" s="65">
        <f>IF(F1193,MAX(0,MIN(E1193,I6*D1193)-D1193)*IFERROR(INDEX($C$158:$C$161,MATCH(C1193,$A$158:$A$161,0)),0),0)</f>
        <v>16</v>
      </c>
      <c r="I1193" s="65">
        <f>IF(F1193,MAX(0,E1193-I6*D1193)*IFERROR(INDEX($D$158:$D$161,MATCH(C1193,$A$158:$A$161,0)),0),0)</f>
        <v>0</v>
      </c>
      <c r="J1193" s="65">
        <f t="shared" si="124"/>
        <v>1061</v>
      </c>
    </row>
    <row r="1194" spans="1:10" ht="15" customHeight="1" outlineLevel="1" x14ac:dyDescent="0.2">
      <c r="A1194" s="66" t="str">
        <f t="shared" si="121"/>
        <v>R040</v>
      </c>
      <c r="B1194" s="67">
        <f>$A$1437</f>
        <v>45778</v>
      </c>
      <c r="C1194" s="66" t="str">
        <f t="shared" si="122"/>
        <v>Mid-Market AE</v>
      </c>
      <c r="D1194" s="65">
        <f>SUMIFS(Fact_Quota!$D:$D,Fact_Quota!$A:$A,$A1194,Fact_Quota!$B:$B,"&gt;="&amp;B1194,Fact_Quota!$B:$B,"&lt;"&amp;EDATE(B1194,1))</f>
        <v>22700</v>
      </c>
      <c r="E1194" s="65">
        <f>SUMIFS(Fact_Pipeline!$K:$K,Fact_Pipeline!$B:$B,$A1194,Fact_Pipeline!$J:$J,"Won",Fact_Pipeline!$I:$I,"&gt;="&amp;B1194,Fact_Pipeline!$I:$I,"&lt;"&amp;EDATE(B1194,1))</f>
        <v>35200</v>
      </c>
      <c r="F1194" s="66" t="b">
        <f>AND(D1194&gt;0,IFERROR(E1194/D1194&gt;=G6,FALSE()))</f>
        <v>1</v>
      </c>
      <c r="G1194" s="65">
        <f t="shared" si="123"/>
        <v>1135</v>
      </c>
      <c r="H1194" s="65">
        <f>IF(F1194,MAX(0,MIN(E1194,I6*D1194)-D1194)*IFERROR(INDEX($C$158:$C$161,MATCH(C1194,$A$158:$A$161,0)),0),0)</f>
        <v>908</v>
      </c>
      <c r="I1194" s="65">
        <f>IF(F1194,MAX(0,E1194-I6*D1194)*IFERROR(INDEX($D$158:$D$161,MATCH(C1194,$A$158:$A$161,0)),0),0)</f>
        <v>126.5</v>
      </c>
      <c r="J1194" s="65">
        <f t="shared" si="124"/>
        <v>2169.5</v>
      </c>
    </row>
    <row r="1195" spans="1:10" ht="15" customHeight="1" outlineLevel="1" x14ac:dyDescent="0.2">
      <c r="A1195" s="66" t="str">
        <f t="shared" si="121"/>
        <v>R040</v>
      </c>
      <c r="B1195" s="67">
        <f>$A$1438</f>
        <v>45809</v>
      </c>
      <c r="C1195" s="66" t="str">
        <f t="shared" si="122"/>
        <v>Mid-Market AE</v>
      </c>
      <c r="D1195" s="65">
        <f>SUMIFS(Fact_Quota!$D:$D,Fact_Quota!$A:$A,$A1195,Fact_Quota!$B:$B,"&gt;="&amp;B1195,Fact_Quota!$B:$B,"&lt;"&amp;EDATE(B1195,1))</f>
        <v>22300</v>
      </c>
      <c r="E1195" s="65">
        <f>SUMIFS(Fact_Pipeline!$K:$K,Fact_Pipeline!$B:$B,$A1195,Fact_Pipeline!$J:$J,"Won",Fact_Pipeline!$I:$I,"&gt;="&amp;B1195,Fact_Pipeline!$I:$I,"&lt;"&amp;EDATE(B1195,1))</f>
        <v>51700</v>
      </c>
      <c r="F1195" s="66" t="b">
        <f>AND(D1195&gt;0,IFERROR(E1195/D1195&gt;=G6,FALSE()))</f>
        <v>1</v>
      </c>
      <c r="G1195" s="65">
        <f t="shared" si="123"/>
        <v>1115</v>
      </c>
      <c r="H1195" s="65">
        <f>IF(F1195,MAX(0,MIN(E1195,I6*D1195)-D1195)*IFERROR(INDEX($C$158:$C$161,MATCH(C1195,$A$158:$A$161,0)),0),0)</f>
        <v>892</v>
      </c>
      <c r="I1195" s="65">
        <f>IF(F1195,MAX(0,E1195-I6*D1195)*IFERROR(INDEX($D$158:$D$161,MATCH(C1195,$A$158:$A$161,0)),0),0)</f>
        <v>2007.5</v>
      </c>
      <c r="J1195" s="65">
        <f t="shared" si="124"/>
        <v>4014.5</v>
      </c>
    </row>
    <row r="1196" spans="1:10" ht="15" customHeight="1" outlineLevel="1" x14ac:dyDescent="0.2">
      <c r="A1196" s="66" t="str">
        <f t="shared" si="121"/>
        <v>R040</v>
      </c>
      <c r="B1196" s="67">
        <f>$A$1439</f>
        <v>45839</v>
      </c>
      <c r="C1196" s="66" t="str">
        <f t="shared" si="122"/>
        <v>Mid-Market AE</v>
      </c>
      <c r="D1196" s="65">
        <f>SUMIFS(Fact_Quota!$D:$D,Fact_Quota!$A:$A,$A1196,Fact_Quota!$B:$B,"&gt;="&amp;B1196,Fact_Quota!$B:$B,"&lt;"&amp;EDATE(B1196,1))</f>
        <v>22200</v>
      </c>
      <c r="E1196" s="65">
        <f>SUMIFS(Fact_Pipeline!$K:$K,Fact_Pipeline!$B:$B,$A1196,Fact_Pipeline!$J:$J,"Won",Fact_Pipeline!$I:$I,"&gt;="&amp;B1196,Fact_Pipeline!$I:$I,"&lt;"&amp;EDATE(B1196,1))</f>
        <v>10500</v>
      </c>
      <c r="F1196" s="66" t="b">
        <f>AND(D1196&gt;0,IFERROR(E1196/D1196&gt;=G6,FALSE()))</f>
        <v>0</v>
      </c>
      <c r="G1196" s="65">
        <f t="shared" si="123"/>
        <v>0</v>
      </c>
      <c r="H1196" s="65">
        <f>IF(F1196,MAX(0,MIN(E1196,I6*D1196)-D1196)*IFERROR(INDEX($C$158:$C$161,MATCH(C1196,$A$158:$A$161,0)),0),0)</f>
        <v>0</v>
      </c>
      <c r="I1196" s="65">
        <f>IF(F1196,MAX(0,E1196-I6*D1196)*IFERROR(INDEX($D$158:$D$161,MATCH(C1196,$A$158:$A$161,0)),0),0)</f>
        <v>0</v>
      </c>
      <c r="J1196" s="65">
        <f t="shared" si="124"/>
        <v>0</v>
      </c>
    </row>
    <row r="1197" spans="1:10" ht="15" customHeight="1" outlineLevel="1" x14ac:dyDescent="0.2">
      <c r="A1197" s="66" t="str">
        <f t="shared" si="121"/>
        <v>R040</v>
      </c>
      <c r="B1197" s="67">
        <f>$A$1440</f>
        <v>45870</v>
      </c>
      <c r="C1197" s="66" t="str">
        <f t="shared" si="122"/>
        <v>Mid-Market AE</v>
      </c>
      <c r="D1197" s="65">
        <f>SUMIFS(Fact_Quota!$D:$D,Fact_Quota!$A:$A,$A1197,Fact_Quota!$B:$B,"&gt;="&amp;B1197,Fact_Quota!$B:$B,"&lt;"&amp;EDATE(B1197,1))</f>
        <v>22600</v>
      </c>
      <c r="E1197" s="65">
        <f>SUMIFS(Fact_Pipeline!$K:$K,Fact_Pipeline!$B:$B,$A1197,Fact_Pipeline!$J:$J,"Won",Fact_Pipeline!$I:$I,"&gt;="&amp;B1197,Fact_Pipeline!$I:$I,"&lt;"&amp;EDATE(B1197,1))</f>
        <v>29900</v>
      </c>
      <c r="F1197" s="66" t="b">
        <f>AND(D1197&gt;0,IFERROR(E1197/D1197&gt;=G6,FALSE()))</f>
        <v>1</v>
      </c>
      <c r="G1197" s="65">
        <f t="shared" si="123"/>
        <v>1130</v>
      </c>
      <c r="H1197" s="65">
        <f>IF(F1197,MAX(0,MIN(E1197,I6*D1197)-D1197)*IFERROR(INDEX($C$158:$C$161,MATCH(C1197,$A$158:$A$161,0)),0),0)</f>
        <v>584</v>
      </c>
      <c r="I1197" s="65">
        <f>IF(F1197,MAX(0,E1197-I6*D1197)*IFERROR(INDEX($D$158:$D$161,MATCH(C1197,$A$158:$A$161,0)),0),0)</f>
        <v>0</v>
      </c>
      <c r="J1197" s="65">
        <f t="shared" si="124"/>
        <v>1714</v>
      </c>
    </row>
    <row r="1198" spans="1:10" ht="15" customHeight="1" outlineLevel="1" x14ac:dyDescent="0.2">
      <c r="A1198" s="66" t="str">
        <f t="shared" si="121"/>
        <v>R040</v>
      </c>
      <c r="B1198" s="67">
        <f>$A$1441</f>
        <v>45901</v>
      </c>
      <c r="C1198" s="66" t="str">
        <f t="shared" si="122"/>
        <v>Mid-Market AE</v>
      </c>
      <c r="D1198" s="65">
        <f>SUMIFS(Fact_Quota!$D:$D,Fact_Quota!$A:$A,$A1198,Fact_Quota!$B:$B,"&gt;="&amp;B1198,Fact_Quota!$B:$B,"&lt;"&amp;EDATE(B1198,1))</f>
        <v>23100</v>
      </c>
      <c r="E1198" s="65">
        <f>SUMIFS(Fact_Pipeline!$K:$K,Fact_Pipeline!$B:$B,$A1198,Fact_Pipeline!$J:$J,"Won",Fact_Pipeline!$I:$I,"&gt;="&amp;B1198,Fact_Pipeline!$I:$I,"&lt;"&amp;EDATE(B1198,1))</f>
        <v>10900</v>
      </c>
      <c r="F1198" s="66" t="b">
        <f>AND(D1198&gt;0,IFERROR(E1198/D1198&gt;=G6,FALSE()))</f>
        <v>0</v>
      </c>
      <c r="G1198" s="65">
        <f t="shared" si="123"/>
        <v>0</v>
      </c>
      <c r="H1198" s="65">
        <f>IF(F1198,MAX(0,MIN(E1198,I6*D1198)-D1198)*IFERROR(INDEX($C$158:$C$161,MATCH(C1198,$A$158:$A$161,0)),0),0)</f>
        <v>0</v>
      </c>
      <c r="I1198" s="65">
        <f>IF(F1198,MAX(0,E1198-I6*D1198)*IFERROR(INDEX($D$158:$D$161,MATCH(C1198,$A$158:$A$161,0)),0),0)</f>
        <v>0</v>
      </c>
      <c r="J1198" s="65">
        <f t="shared" si="124"/>
        <v>0</v>
      </c>
    </row>
    <row r="1199" spans="1:10" ht="15" customHeight="1" outlineLevel="1" x14ac:dyDescent="0.2">
      <c r="A1199" s="66" t="str">
        <f t="shared" si="121"/>
        <v>R040</v>
      </c>
      <c r="B1199" s="67">
        <f>$A$1442</f>
        <v>45931</v>
      </c>
      <c r="C1199" s="66" t="str">
        <f t="shared" si="122"/>
        <v>Mid-Market AE</v>
      </c>
      <c r="D1199" s="65">
        <f>SUMIFS(Fact_Quota!$D:$D,Fact_Quota!$A:$A,$A1199,Fact_Quota!$B:$B,"&gt;="&amp;B1199,Fact_Quota!$B:$B,"&lt;"&amp;EDATE(B1199,1))</f>
        <v>22700</v>
      </c>
      <c r="E1199" s="65">
        <f>SUMIFS(Fact_Pipeline!$K:$K,Fact_Pipeline!$B:$B,$A1199,Fact_Pipeline!$J:$J,"Won",Fact_Pipeline!$I:$I,"&gt;="&amp;B1199,Fact_Pipeline!$I:$I,"&lt;"&amp;EDATE(B1199,1))</f>
        <v>30300</v>
      </c>
      <c r="F1199" s="66" t="b">
        <f>AND(D1199&gt;0,IFERROR(E1199/D1199&gt;=G6,FALSE()))</f>
        <v>1</v>
      </c>
      <c r="G1199" s="65">
        <f t="shared" si="123"/>
        <v>1135</v>
      </c>
      <c r="H1199" s="65">
        <f>IF(F1199,MAX(0,MIN(E1199,I6*D1199)-D1199)*IFERROR(INDEX($C$158:$C$161,MATCH(C1199,$A$158:$A$161,0)),0),0)</f>
        <v>608</v>
      </c>
      <c r="I1199" s="65">
        <f>IF(F1199,MAX(0,E1199-I6*D1199)*IFERROR(INDEX($D$158:$D$161,MATCH(C1199,$A$158:$A$161,0)),0),0)</f>
        <v>0</v>
      </c>
      <c r="J1199" s="65">
        <f t="shared" si="124"/>
        <v>1743</v>
      </c>
    </row>
    <row r="1200" spans="1:10" ht="15" customHeight="1" outlineLevel="1" x14ac:dyDescent="0.2">
      <c r="A1200" s="66" t="str">
        <f t="shared" si="121"/>
        <v>R040</v>
      </c>
      <c r="B1200" s="67">
        <f>$A$1443</f>
        <v>45962</v>
      </c>
      <c r="C1200" s="66" t="str">
        <f t="shared" si="122"/>
        <v>Mid-Market AE</v>
      </c>
      <c r="D1200" s="65">
        <f>SUMIFS(Fact_Quota!$D:$D,Fact_Quota!$A:$A,$A1200,Fact_Quota!$B:$B,"&gt;="&amp;B1200,Fact_Quota!$B:$B,"&lt;"&amp;EDATE(B1200,1))</f>
        <v>20800</v>
      </c>
      <c r="E1200" s="65">
        <f>SUMIFS(Fact_Pipeline!$K:$K,Fact_Pipeline!$B:$B,$A1200,Fact_Pipeline!$J:$J,"Won",Fact_Pipeline!$I:$I,"&gt;="&amp;B1200,Fact_Pipeline!$I:$I,"&lt;"&amp;EDATE(B1200,1))</f>
        <v>12100</v>
      </c>
      <c r="F1200" s="66" t="b">
        <f>AND(D1200&gt;0,IFERROR(E1200/D1200&gt;=G6,FALSE()))</f>
        <v>1</v>
      </c>
      <c r="G1200" s="65">
        <f t="shared" si="123"/>
        <v>605</v>
      </c>
      <c r="H1200" s="65">
        <f>IF(F1200,MAX(0,MIN(E1200,I6*D1200)-D1200)*IFERROR(INDEX($C$158:$C$161,MATCH(C1200,$A$158:$A$161,0)),0),0)</f>
        <v>0</v>
      </c>
      <c r="I1200" s="65">
        <f>IF(F1200,MAX(0,E1200-I6*D1200)*IFERROR(INDEX($D$158:$D$161,MATCH(C1200,$A$158:$A$161,0)),0),0)</f>
        <v>0</v>
      </c>
      <c r="J1200" s="65">
        <f t="shared" si="124"/>
        <v>605</v>
      </c>
    </row>
    <row r="1201" spans="1:10" ht="15" customHeight="1" outlineLevel="1" x14ac:dyDescent="0.2">
      <c r="A1201" s="66" t="str">
        <f t="shared" si="121"/>
        <v>R040</v>
      </c>
      <c r="B1201" s="67">
        <f>$A$1444</f>
        <v>45992</v>
      </c>
      <c r="C1201" s="66" t="str">
        <f t="shared" si="122"/>
        <v>Mid-Market AE</v>
      </c>
      <c r="D1201" s="65">
        <f>SUMIFS(Fact_Quota!$D:$D,Fact_Quota!$A:$A,$A1201,Fact_Quota!$B:$B,"&gt;="&amp;B1201,Fact_Quota!$B:$B,"&lt;"&amp;EDATE(B1201,1))</f>
        <v>21200</v>
      </c>
      <c r="E1201" s="65">
        <f>SUMIFS(Fact_Pipeline!$K:$K,Fact_Pipeline!$B:$B,$A1201,Fact_Pipeline!$J:$J,"Won",Fact_Pipeline!$I:$I,"&gt;="&amp;B1201,Fact_Pipeline!$I:$I,"&lt;"&amp;EDATE(B1201,1))</f>
        <v>18800</v>
      </c>
      <c r="F1201" s="66" t="b">
        <f>AND(D1201&gt;0,IFERROR(E1201/D1201&gt;=G6,FALSE()))</f>
        <v>1</v>
      </c>
      <c r="G1201" s="65">
        <f t="shared" si="123"/>
        <v>940</v>
      </c>
      <c r="H1201" s="65">
        <f>IF(F1201,MAX(0,MIN(E1201,I6*D1201)-D1201)*IFERROR(INDEX($C$158:$C$161,MATCH(C1201,$A$158:$A$161,0)),0),0)</f>
        <v>0</v>
      </c>
      <c r="I1201" s="65">
        <f>IF(F1201,MAX(0,E1201-I6*D1201)*IFERROR(INDEX($D$158:$D$161,MATCH(C1201,$A$158:$A$161,0)),0),0)</f>
        <v>0</v>
      </c>
      <c r="J1201" s="65">
        <f t="shared" si="124"/>
        <v>940</v>
      </c>
    </row>
    <row r="1202" spans="1:10" ht="15" customHeight="1" outlineLevel="1" x14ac:dyDescent="0.2">
      <c r="A1202" s="63" t="str">
        <f t="shared" ref="A1202:A1225" si="125">$A$206</f>
        <v>R042</v>
      </c>
      <c r="B1202" s="64">
        <f>$A$1421</f>
        <v>45292</v>
      </c>
      <c r="C1202" s="63" t="str">
        <f t="shared" ref="C1202:C1225" si="126">$C$206</f>
        <v>Mid-Market AE</v>
      </c>
      <c r="D1202" s="62">
        <f>SUMIFS(Fact_Quota!$D:$D,Fact_Quota!$A:$A,$A1202,Fact_Quota!$B:$B,"&gt;="&amp;B1202,Fact_Quota!$B:$B,"&lt;"&amp;EDATE(B1202,1))</f>
        <v>22000</v>
      </c>
      <c r="E1202" s="62">
        <f>SUMIFS(Fact_Pipeline!$K:$K,Fact_Pipeline!$B:$B,$A1202,Fact_Pipeline!$J:$J,"Won",Fact_Pipeline!$I:$I,"&gt;="&amp;B1202,Fact_Pipeline!$I:$I,"&lt;"&amp;EDATE(B1202,1))</f>
        <v>0</v>
      </c>
      <c r="F1202" s="63" t="b">
        <f>AND(D1202&gt;0,IFERROR(E1202/D1202&gt;=G6,FALSE()))</f>
        <v>0</v>
      </c>
      <c r="G1202" s="62">
        <f t="shared" si="123"/>
        <v>0</v>
      </c>
      <c r="H1202" s="62">
        <f>IF(F1202,MAX(0,MIN(E1202,I6*D1202)-D1202)*IFERROR(INDEX($C$158:$C$161,MATCH(C1202,$A$158:$A$161,0)),0),0)</f>
        <v>0</v>
      </c>
      <c r="I1202" s="62">
        <f>IF(F1202,MAX(0,E1202-I6*D1202)*IFERROR(INDEX($D$158:$D$161,MATCH(C1202,$A$158:$A$161,0)),0),0)</f>
        <v>0</v>
      </c>
      <c r="J1202" s="62">
        <f t="shared" si="124"/>
        <v>0</v>
      </c>
    </row>
    <row r="1203" spans="1:10" ht="15" customHeight="1" outlineLevel="1" x14ac:dyDescent="0.2">
      <c r="A1203" s="63" t="str">
        <f t="shared" si="125"/>
        <v>R042</v>
      </c>
      <c r="B1203" s="64">
        <f>$A$1422</f>
        <v>45323</v>
      </c>
      <c r="C1203" s="63" t="str">
        <f t="shared" si="126"/>
        <v>Mid-Market AE</v>
      </c>
      <c r="D1203" s="62">
        <f>SUMIFS(Fact_Quota!$D:$D,Fact_Quota!$A:$A,$A1203,Fact_Quota!$B:$B,"&gt;="&amp;B1203,Fact_Quota!$B:$B,"&lt;"&amp;EDATE(B1203,1))</f>
        <v>23200</v>
      </c>
      <c r="E1203" s="62">
        <f>SUMIFS(Fact_Pipeline!$K:$K,Fact_Pipeline!$B:$B,$A1203,Fact_Pipeline!$J:$J,"Won",Fact_Pipeline!$I:$I,"&gt;="&amp;B1203,Fact_Pipeline!$I:$I,"&lt;"&amp;EDATE(B1203,1))</f>
        <v>7700</v>
      </c>
      <c r="F1203" s="63" t="b">
        <f>AND(D1203&gt;0,IFERROR(E1203/D1203&gt;=G6,FALSE()))</f>
        <v>0</v>
      </c>
      <c r="G1203" s="62">
        <f t="shared" si="123"/>
        <v>0</v>
      </c>
      <c r="H1203" s="62">
        <f>IF(F1203,MAX(0,MIN(E1203,I6*D1203)-D1203)*IFERROR(INDEX($C$158:$C$161,MATCH(C1203,$A$158:$A$161,0)),0),0)</f>
        <v>0</v>
      </c>
      <c r="I1203" s="62">
        <f>IF(F1203,MAX(0,E1203-I6*D1203)*IFERROR(INDEX($D$158:$D$161,MATCH(C1203,$A$158:$A$161,0)),0),0)</f>
        <v>0</v>
      </c>
      <c r="J1203" s="62">
        <f t="shared" si="124"/>
        <v>0</v>
      </c>
    </row>
    <row r="1204" spans="1:10" ht="15" customHeight="1" outlineLevel="1" x14ac:dyDescent="0.2">
      <c r="A1204" s="63" t="str">
        <f t="shared" si="125"/>
        <v>R042</v>
      </c>
      <c r="B1204" s="64">
        <f>$A$1423</f>
        <v>45352</v>
      </c>
      <c r="C1204" s="63" t="str">
        <f t="shared" si="126"/>
        <v>Mid-Market AE</v>
      </c>
      <c r="D1204" s="62">
        <f>SUMIFS(Fact_Quota!$D:$D,Fact_Quota!$A:$A,$A1204,Fact_Quota!$B:$B,"&gt;="&amp;B1204,Fact_Quota!$B:$B,"&lt;"&amp;EDATE(B1204,1))</f>
        <v>21600</v>
      </c>
      <c r="E1204" s="62">
        <f>SUMIFS(Fact_Pipeline!$K:$K,Fact_Pipeline!$B:$B,$A1204,Fact_Pipeline!$J:$J,"Won",Fact_Pipeline!$I:$I,"&gt;="&amp;B1204,Fact_Pipeline!$I:$I,"&lt;"&amp;EDATE(B1204,1))</f>
        <v>38500</v>
      </c>
      <c r="F1204" s="63" t="b">
        <f>AND(D1204&gt;0,IFERROR(E1204/D1204&gt;=G6,FALSE()))</f>
        <v>1</v>
      </c>
      <c r="G1204" s="62">
        <f t="shared" si="123"/>
        <v>1080</v>
      </c>
      <c r="H1204" s="62">
        <f>IF(F1204,MAX(0,MIN(E1204,I6*D1204)-D1204)*IFERROR(INDEX($C$158:$C$161,MATCH(C1204,$A$158:$A$161,0)),0),0)</f>
        <v>864</v>
      </c>
      <c r="I1204" s="62">
        <f>IF(F1204,MAX(0,E1204-I6*D1204)*IFERROR(INDEX($D$158:$D$161,MATCH(C1204,$A$158:$A$161,0)),0),0)</f>
        <v>671</v>
      </c>
      <c r="J1204" s="62">
        <f t="shared" si="124"/>
        <v>2615</v>
      </c>
    </row>
    <row r="1205" spans="1:10" ht="15" customHeight="1" outlineLevel="1" x14ac:dyDescent="0.2">
      <c r="A1205" s="63" t="str">
        <f t="shared" si="125"/>
        <v>R042</v>
      </c>
      <c r="B1205" s="64">
        <f>$A$1424</f>
        <v>45383</v>
      </c>
      <c r="C1205" s="63" t="str">
        <f t="shared" si="126"/>
        <v>Mid-Market AE</v>
      </c>
      <c r="D1205" s="62">
        <f>SUMIFS(Fact_Quota!$D:$D,Fact_Quota!$A:$A,$A1205,Fact_Quota!$B:$B,"&gt;="&amp;B1205,Fact_Quota!$B:$B,"&lt;"&amp;EDATE(B1205,1))</f>
        <v>23200</v>
      </c>
      <c r="E1205" s="62">
        <f>SUMIFS(Fact_Pipeline!$K:$K,Fact_Pipeline!$B:$B,$A1205,Fact_Pipeline!$J:$J,"Won",Fact_Pipeline!$I:$I,"&gt;="&amp;B1205,Fact_Pipeline!$I:$I,"&lt;"&amp;EDATE(B1205,1))</f>
        <v>15200</v>
      </c>
      <c r="F1205" s="63" t="b">
        <f>AND(D1205&gt;0,IFERROR(E1205/D1205&gt;=G6,FALSE()))</f>
        <v>1</v>
      </c>
      <c r="G1205" s="62">
        <f t="shared" si="123"/>
        <v>760</v>
      </c>
      <c r="H1205" s="62">
        <f>IF(F1205,MAX(0,MIN(E1205,I6*D1205)-D1205)*IFERROR(INDEX($C$158:$C$161,MATCH(C1205,$A$158:$A$161,0)),0),0)</f>
        <v>0</v>
      </c>
      <c r="I1205" s="62">
        <f>IF(F1205,MAX(0,E1205-I6*D1205)*IFERROR(INDEX($D$158:$D$161,MATCH(C1205,$A$158:$A$161,0)),0),0)</f>
        <v>0</v>
      </c>
      <c r="J1205" s="62">
        <f t="shared" si="124"/>
        <v>760</v>
      </c>
    </row>
    <row r="1206" spans="1:10" ht="15" customHeight="1" outlineLevel="1" x14ac:dyDescent="0.2">
      <c r="A1206" s="63" t="str">
        <f t="shared" si="125"/>
        <v>R042</v>
      </c>
      <c r="B1206" s="64">
        <f>$A$1425</f>
        <v>45413</v>
      </c>
      <c r="C1206" s="63" t="str">
        <f t="shared" si="126"/>
        <v>Mid-Market AE</v>
      </c>
      <c r="D1206" s="62">
        <f>SUMIFS(Fact_Quota!$D:$D,Fact_Quota!$A:$A,$A1206,Fact_Quota!$B:$B,"&gt;="&amp;B1206,Fact_Quota!$B:$B,"&lt;"&amp;EDATE(B1206,1))</f>
        <v>22500</v>
      </c>
      <c r="E1206" s="62">
        <f>SUMIFS(Fact_Pipeline!$K:$K,Fact_Pipeline!$B:$B,$A1206,Fact_Pipeline!$J:$J,"Won",Fact_Pipeline!$I:$I,"&gt;="&amp;B1206,Fact_Pipeline!$I:$I,"&lt;"&amp;EDATE(B1206,1))</f>
        <v>45700</v>
      </c>
      <c r="F1206" s="63" t="b">
        <f>AND(D1206&gt;0,IFERROR(E1206/D1206&gt;=G6,FALSE()))</f>
        <v>1</v>
      </c>
      <c r="G1206" s="62">
        <f t="shared" si="123"/>
        <v>1125</v>
      </c>
      <c r="H1206" s="62">
        <f>IF(F1206,MAX(0,MIN(E1206,I6*D1206)-D1206)*IFERROR(INDEX($C$158:$C$161,MATCH(C1206,$A$158:$A$161,0)),0),0)</f>
        <v>900</v>
      </c>
      <c r="I1206" s="62">
        <f>IF(F1206,MAX(0,E1206-I6*D1206)*IFERROR(INDEX($D$158:$D$161,MATCH(C1206,$A$158:$A$161,0)),0),0)</f>
        <v>1314.5</v>
      </c>
      <c r="J1206" s="62">
        <f t="shared" si="124"/>
        <v>3339.5</v>
      </c>
    </row>
    <row r="1207" spans="1:10" ht="15" customHeight="1" outlineLevel="1" x14ac:dyDescent="0.2">
      <c r="A1207" s="63" t="str">
        <f t="shared" si="125"/>
        <v>R042</v>
      </c>
      <c r="B1207" s="64">
        <f>$A$1426</f>
        <v>45444</v>
      </c>
      <c r="C1207" s="63" t="str">
        <f t="shared" si="126"/>
        <v>Mid-Market AE</v>
      </c>
      <c r="D1207" s="62">
        <f>SUMIFS(Fact_Quota!$D:$D,Fact_Quota!$A:$A,$A1207,Fact_Quota!$B:$B,"&gt;="&amp;B1207,Fact_Quota!$B:$B,"&lt;"&amp;EDATE(B1207,1))</f>
        <v>21600</v>
      </c>
      <c r="E1207" s="62">
        <f>SUMIFS(Fact_Pipeline!$K:$K,Fact_Pipeline!$B:$B,$A1207,Fact_Pipeline!$J:$J,"Won",Fact_Pipeline!$I:$I,"&gt;="&amp;B1207,Fact_Pipeline!$I:$I,"&lt;"&amp;EDATE(B1207,1))</f>
        <v>0</v>
      </c>
      <c r="F1207" s="63" t="b">
        <f>AND(D1207&gt;0,IFERROR(E1207/D1207&gt;=G6,FALSE()))</f>
        <v>0</v>
      </c>
      <c r="G1207" s="62">
        <f t="shared" si="123"/>
        <v>0</v>
      </c>
      <c r="H1207" s="62">
        <f>IF(F1207,MAX(0,MIN(E1207,I6*D1207)-D1207)*IFERROR(INDEX($C$158:$C$161,MATCH(C1207,$A$158:$A$161,0)),0),0)</f>
        <v>0</v>
      </c>
      <c r="I1207" s="62">
        <f>IF(F1207,MAX(0,E1207-I6*D1207)*IFERROR(INDEX($D$158:$D$161,MATCH(C1207,$A$158:$A$161,0)),0),0)</f>
        <v>0</v>
      </c>
      <c r="J1207" s="62">
        <f t="shared" si="124"/>
        <v>0</v>
      </c>
    </row>
    <row r="1208" spans="1:10" ht="15" customHeight="1" outlineLevel="1" x14ac:dyDescent="0.2">
      <c r="A1208" s="63" t="str">
        <f t="shared" si="125"/>
        <v>R042</v>
      </c>
      <c r="B1208" s="64">
        <f>$A$1427</f>
        <v>45474</v>
      </c>
      <c r="C1208" s="63" t="str">
        <f t="shared" si="126"/>
        <v>Mid-Market AE</v>
      </c>
      <c r="D1208" s="62">
        <f>SUMIFS(Fact_Quota!$D:$D,Fact_Quota!$A:$A,$A1208,Fact_Quota!$B:$B,"&gt;="&amp;B1208,Fact_Quota!$B:$B,"&lt;"&amp;EDATE(B1208,1))</f>
        <v>22400</v>
      </c>
      <c r="E1208" s="62">
        <f>SUMIFS(Fact_Pipeline!$K:$K,Fact_Pipeline!$B:$B,$A1208,Fact_Pipeline!$J:$J,"Won",Fact_Pipeline!$I:$I,"&gt;="&amp;B1208,Fact_Pipeline!$I:$I,"&lt;"&amp;EDATE(B1208,1))</f>
        <v>14500</v>
      </c>
      <c r="F1208" s="63" t="b">
        <f>AND(D1208&gt;0,IFERROR(E1208/D1208&gt;=G6,FALSE()))</f>
        <v>1</v>
      </c>
      <c r="G1208" s="62">
        <f t="shared" si="123"/>
        <v>725</v>
      </c>
      <c r="H1208" s="62">
        <f>IF(F1208,MAX(0,MIN(E1208,I6*D1208)-D1208)*IFERROR(INDEX($C$158:$C$161,MATCH(C1208,$A$158:$A$161,0)),0),0)</f>
        <v>0</v>
      </c>
      <c r="I1208" s="62">
        <f>IF(F1208,MAX(0,E1208-I6*D1208)*IFERROR(INDEX($D$158:$D$161,MATCH(C1208,$A$158:$A$161,0)),0),0)</f>
        <v>0</v>
      </c>
      <c r="J1208" s="62">
        <f t="shared" si="124"/>
        <v>725</v>
      </c>
    </row>
    <row r="1209" spans="1:10" ht="15" customHeight="1" outlineLevel="1" x14ac:dyDescent="0.2">
      <c r="A1209" s="63" t="str">
        <f t="shared" si="125"/>
        <v>R042</v>
      </c>
      <c r="B1209" s="64">
        <f>$A$1428</f>
        <v>45505</v>
      </c>
      <c r="C1209" s="63" t="str">
        <f t="shared" si="126"/>
        <v>Mid-Market AE</v>
      </c>
      <c r="D1209" s="62">
        <f>SUMIFS(Fact_Quota!$D:$D,Fact_Quota!$A:$A,$A1209,Fact_Quota!$B:$B,"&gt;="&amp;B1209,Fact_Quota!$B:$B,"&lt;"&amp;EDATE(B1209,1))</f>
        <v>22600</v>
      </c>
      <c r="E1209" s="62">
        <f>SUMIFS(Fact_Pipeline!$K:$K,Fact_Pipeline!$B:$B,$A1209,Fact_Pipeline!$J:$J,"Won",Fact_Pipeline!$I:$I,"&gt;="&amp;B1209,Fact_Pipeline!$I:$I,"&lt;"&amp;EDATE(B1209,1))</f>
        <v>30600</v>
      </c>
      <c r="F1209" s="63" t="b">
        <f>AND(D1209&gt;0,IFERROR(E1209/D1209&gt;=G6,FALSE()))</f>
        <v>1</v>
      </c>
      <c r="G1209" s="62">
        <f t="shared" si="123"/>
        <v>1130</v>
      </c>
      <c r="H1209" s="62">
        <f>IF(F1209,MAX(0,MIN(E1209,I6*D1209)-D1209)*IFERROR(INDEX($C$158:$C$161,MATCH(C1209,$A$158:$A$161,0)),0),0)</f>
        <v>640</v>
      </c>
      <c r="I1209" s="62">
        <f>IF(F1209,MAX(0,E1209-I6*D1209)*IFERROR(INDEX($D$158:$D$161,MATCH(C1209,$A$158:$A$161,0)),0),0)</f>
        <v>0</v>
      </c>
      <c r="J1209" s="62">
        <f t="shared" si="124"/>
        <v>1770</v>
      </c>
    </row>
    <row r="1210" spans="1:10" ht="15" customHeight="1" outlineLevel="1" x14ac:dyDescent="0.2">
      <c r="A1210" s="63" t="str">
        <f t="shared" si="125"/>
        <v>R042</v>
      </c>
      <c r="B1210" s="64">
        <f>$A$1429</f>
        <v>45536</v>
      </c>
      <c r="C1210" s="63" t="str">
        <f t="shared" si="126"/>
        <v>Mid-Market AE</v>
      </c>
      <c r="D1210" s="62">
        <f>SUMIFS(Fact_Quota!$D:$D,Fact_Quota!$A:$A,$A1210,Fact_Quota!$B:$B,"&gt;="&amp;B1210,Fact_Quota!$B:$B,"&lt;"&amp;EDATE(B1210,1))</f>
        <v>22400</v>
      </c>
      <c r="E1210" s="62">
        <f>SUMIFS(Fact_Pipeline!$K:$K,Fact_Pipeline!$B:$B,$A1210,Fact_Pipeline!$J:$J,"Won",Fact_Pipeline!$I:$I,"&gt;="&amp;B1210,Fact_Pipeline!$I:$I,"&lt;"&amp;EDATE(B1210,1))</f>
        <v>0</v>
      </c>
      <c r="F1210" s="63" t="b">
        <f>AND(D1210&gt;0,IFERROR(E1210/D1210&gt;=G6,FALSE()))</f>
        <v>0</v>
      </c>
      <c r="G1210" s="62">
        <f t="shared" si="123"/>
        <v>0</v>
      </c>
      <c r="H1210" s="62">
        <f>IF(F1210,MAX(0,MIN(E1210,I6*D1210)-D1210)*IFERROR(INDEX($C$158:$C$161,MATCH(C1210,$A$158:$A$161,0)),0),0)</f>
        <v>0</v>
      </c>
      <c r="I1210" s="62">
        <f>IF(F1210,MAX(0,E1210-I6*D1210)*IFERROR(INDEX($D$158:$D$161,MATCH(C1210,$A$158:$A$161,0)),0),0)</f>
        <v>0</v>
      </c>
      <c r="J1210" s="62">
        <f t="shared" si="124"/>
        <v>0</v>
      </c>
    </row>
    <row r="1211" spans="1:10" ht="15" customHeight="1" outlineLevel="1" x14ac:dyDescent="0.2">
      <c r="A1211" s="63" t="str">
        <f t="shared" si="125"/>
        <v>R042</v>
      </c>
      <c r="B1211" s="64">
        <f>$A$1430</f>
        <v>45566</v>
      </c>
      <c r="C1211" s="63" t="str">
        <f t="shared" si="126"/>
        <v>Mid-Market AE</v>
      </c>
      <c r="D1211" s="62">
        <f>SUMIFS(Fact_Quota!$D:$D,Fact_Quota!$A:$A,$A1211,Fact_Quota!$B:$B,"&gt;="&amp;B1211,Fact_Quota!$B:$B,"&lt;"&amp;EDATE(B1211,1))</f>
        <v>21000</v>
      </c>
      <c r="E1211" s="62">
        <f>SUMIFS(Fact_Pipeline!$K:$K,Fact_Pipeline!$B:$B,$A1211,Fact_Pipeline!$J:$J,"Won",Fact_Pipeline!$I:$I,"&gt;="&amp;B1211,Fact_Pipeline!$I:$I,"&lt;"&amp;EDATE(B1211,1))</f>
        <v>84400</v>
      </c>
      <c r="F1211" s="63" t="b">
        <f>AND(D1211&gt;0,IFERROR(E1211/D1211&gt;=G6,FALSE()))</f>
        <v>1</v>
      </c>
      <c r="G1211" s="62">
        <f t="shared" si="123"/>
        <v>1050</v>
      </c>
      <c r="H1211" s="62">
        <f>IF(F1211,MAX(0,MIN(E1211,I6*D1211)-D1211)*IFERROR(INDEX($C$158:$C$161,MATCH(C1211,$A$158:$A$161,0)),0),0)</f>
        <v>840</v>
      </c>
      <c r="I1211" s="62">
        <f>IF(F1211,MAX(0,E1211-I6*D1211)*IFERROR(INDEX($D$158:$D$161,MATCH(C1211,$A$158:$A$161,0)),0),0)</f>
        <v>5819</v>
      </c>
      <c r="J1211" s="62">
        <f t="shared" si="124"/>
        <v>7709</v>
      </c>
    </row>
    <row r="1212" spans="1:10" ht="15" customHeight="1" outlineLevel="1" x14ac:dyDescent="0.2">
      <c r="A1212" s="63" t="str">
        <f t="shared" si="125"/>
        <v>R042</v>
      </c>
      <c r="B1212" s="64">
        <f>$A$1431</f>
        <v>45597</v>
      </c>
      <c r="C1212" s="63" t="str">
        <f t="shared" si="126"/>
        <v>Mid-Market AE</v>
      </c>
      <c r="D1212" s="62">
        <f>SUMIFS(Fact_Quota!$D:$D,Fact_Quota!$A:$A,$A1212,Fact_Quota!$B:$B,"&gt;="&amp;B1212,Fact_Quota!$B:$B,"&lt;"&amp;EDATE(B1212,1))</f>
        <v>21500</v>
      </c>
      <c r="E1212" s="62">
        <f>SUMIFS(Fact_Pipeline!$K:$K,Fact_Pipeline!$B:$B,$A1212,Fact_Pipeline!$J:$J,"Won",Fact_Pipeline!$I:$I,"&gt;="&amp;B1212,Fact_Pipeline!$I:$I,"&lt;"&amp;EDATE(B1212,1))</f>
        <v>27900</v>
      </c>
      <c r="F1212" s="63" t="b">
        <f>AND(D1212&gt;0,IFERROR(E1212/D1212&gt;=G6,FALSE()))</f>
        <v>1</v>
      </c>
      <c r="G1212" s="62">
        <f t="shared" si="123"/>
        <v>1075</v>
      </c>
      <c r="H1212" s="62">
        <f>IF(F1212,MAX(0,MIN(E1212,I6*D1212)-D1212)*IFERROR(INDEX($C$158:$C$161,MATCH(C1212,$A$158:$A$161,0)),0),0)</f>
        <v>512</v>
      </c>
      <c r="I1212" s="62">
        <f>IF(F1212,MAX(0,E1212-I6*D1212)*IFERROR(INDEX($D$158:$D$161,MATCH(C1212,$A$158:$A$161,0)),0),0)</f>
        <v>0</v>
      </c>
      <c r="J1212" s="62">
        <f t="shared" si="124"/>
        <v>1587</v>
      </c>
    </row>
    <row r="1213" spans="1:10" ht="15" customHeight="1" outlineLevel="1" x14ac:dyDescent="0.2">
      <c r="A1213" s="63" t="str">
        <f t="shared" si="125"/>
        <v>R042</v>
      </c>
      <c r="B1213" s="64">
        <f>$A$1432</f>
        <v>45627</v>
      </c>
      <c r="C1213" s="63" t="str">
        <f t="shared" si="126"/>
        <v>Mid-Market AE</v>
      </c>
      <c r="D1213" s="62">
        <f>SUMIFS(Fact_Quota!$D:$D,Fact_Quota!$A:$A,$A1213,Fact_Quota!$B:$B,"&gt;="&amp;B1213,Fact_Quota!$B:$B,"&lt;"&amp;EDATE(B1213,1))</f>
        <v>21800</v>
      </c>
      <c r="E1213" s="62">
        <f>SUMIFS(Fact_Pipeline!$K:$K,Fact_Pipeline!$B:$B,$A1213,Fact_Pipeline!$J:$J,"Won",Fact_Pipeline!$I:$I,"&gt;="&amp;B1213,Fact_Pipeline!$I:$I,"&lt;"&amp;EDATE(B1213,1))</f>
        <v>49200</v>
      </c>
      <c r="F1213" s="63" t="b">
        <f>AND(D1213&gt;0,IFERROR(E1213/D1213&gt;=G6,FALSE()))</f>
        <v>1</v>
      </c>
      <c r="G1213" s="62">
        <f t="shared" si="123"/>
        <v>1090</v>
      </c>
      <c r="H1213" s="62">
        <f>IF(F1213,MAX(0,MIN(E1213,I6*D1213)-D1213)*IFERROR(INDEX($C$158:$C$161,MATCH(C1213,$A$158:$A$161,0)),0),0)</f>
        <v>872</v>
      </c>
      <c r="I1213" s="62">
        <f>IF(F1213,MAX(0,E1213-I6*D1213)*IFERROR(INDEX($D$158:$D$161,MATCH(C1213,$A$158:$A$161,0)),0),0)</f>
        <v>1815</v>
      </c>
      <c r="J1213" s="62">
        <f t="shared" si="124"/>
        <v>3777</v>
      </c>
    </row>
    <row r="1214" spans="1:10" ht="15" customHeight="1" outlineLevel="1" x14ac:dyDescent="0.2">
      <c r="A1214" s="63" t="str">
        <f t="shared" si="125"/>
        <v>R042</v>
      </c>
      <c r="B1214" s="64">
        <f>$A$1433</f>
        <v>45658</v>
      </c>
      <c r="C1214" s="63" t="str">
        <f t="shared" si="126"/>
        <v>Mid-Market AE</v>
      </c>
      <c r="D1214" s="62">
        <f>SUMIFS(Fact_Quota!$D:$D,Fact_Quota!$A:$A,$A1214,Fact_Quota!$B:$B,"&gt;="&amp;B1214,Fact_Quota!$B:$B,"&lt;"&amp;EDATE(B1214,1))</f>
        <v>22000</v>
      </c>
      <c r="E1214" s="62">
        <f>SUMIFS(Fact_Pipeline!$K:$K,Fact_Pipeline!$B:$B,$A1214,Fact_Pipeline!$J:$J,"Won",Fact_Pipeline!$I:$I,"&gt;="&amp;B1214,Fact_Pipeline!$I:$I,"&lt;"&amp;EDATE(B1214,1))</f>
        <v>7100</v>
      </c>
      <c r="F1214" s="63" t="b">
        <f>AND(D1214&gt;0,IFERROR(E1214/D1214&gt;=G6,FALSE()))</f>
        <v>0</v>
      </c>
      <c r="G1214" s="62">
        <f t="shared" si="123"/>
        <v>0</v>
      </c>
      <c r="H1214" s="62">
        <f>IF(F1214,MAX(0,MIN(E1214,I6*D1214)-D1214)*IFERROR(INDEX($C$158:$C$161,MATCH(C1214,$A$158:$A$161,0)),0),0)</f>
        <v>0</v>
      </c>
      <c r="I1214" s="62">
        <f>IF(F1214,MAX(0,E1214-I6*D1214)*IFERROR(INDEX($D$158:$D$161,MATCH(C1214,$A$158:$A$161,0)),0),0)</f>
        <v>0</v>
      </c>
      <c r="J1214" s="62">
        <f t="shared" si="124"/>
        <v>0</v>
      </c>
    </row>
    <row r="1215" spans="1:10" ht="15" customHeight="1" outlineLevel="1" x14ac:dyDescent="0.2">
      <c r="A1215" s="63" t="str">
        <f t="shared" si="125"/>
        <v>R042</v>
      </c>
      <c r="B1215" s="64">
        <f>$A$1434</f>
        <v>45689</v>
      </c>
      <c r="C1215" s="63" t="str">
        <f t="shared" si="126"/>
        <v>Mid-Market AE</v>
      </c>
      <c r="D1215" s="62">
        <f>SUMIFS(Fact_Quota!$D:$D,Fact_Quota!$A:$A,$A1215,Fact_Quota!$B:$B,"&gt;="&amp;B1215,Fact_Quota!$B:$B,"&lt;"&amp;EDATE(B1215,1))</f>
        <v>22400</v>
      </c>
      <c r="E1215" s="62">
        <f>SUMIFS(Fact_Pipeline!$K:$K,Fact_Pipeline!$B:$B,$A1215,Fact_Pipeline!$J:$J,"Won",Fact_Pipeline!$I:$I,"&gt;="&amp;B1215,Fact_Pipeline!$I:$I,"&lt;"&amp;EDATE(B1215,1))</f>
        <v>77600</v>
      </c>
      <c r="F1215" s="63" t="b">
        <f>AND(D1215&gt;0,IFERROR(E1215/D1215&gt;=G6,FALSE()))</f>
        <v>1</v>
      </c>
      <c r="G1215" s="62">
        <f t="shared" si="123"/>
        <v>1120</v>
      </c>
      <c r="H1215" s="62">
        <f>IF(F1215,MAX(0,MIN(E1215,I6*D1215)-D1215)*IFERROR(INDEX($C$158:$C$161,MATCH(C1215,$A$158:$A$161,0)),0),0)</f>
        <v>896</v>
      </c>
      <c r="I1215" s="62">
        <f>IF(F1215,MAX(0,E1215-I6*D1215)*IFERROR(INDEX($D$158:$D$161,MATCH(C1215,$A$158:$A$161,0)),0),0)</f>
        <v>4840</v>
      </c>
      <c r="J1215" s="62">
        <f t="shared" si="124"/>
        <v>6856</v>
      </c>
    </row>
    <row r="1216" spans="1:10" ht="15" customHeight="1" outlineLevel="1" x14ac:dyDescent="0.2">
      <c r="A1216" s="63" t="str">
        <f t="shared" si="125"/>
        <v>R042</v>
      </c>
      <c r="B1216" s="64">
        <f>$A$1435</f>
        <v>45717</v>
      </c>
      <c r="C1216" s="63" t="str">
        <f t="shared" si="126"/>
        <v>Mid-Market AE</v>
      </c>
      <c r="D1216" s="62">
        <f>SUMIFS(Fact_Quota!$D:$D,Fact_Quota!$A:$A,$A1216,Fact_Quota!$B:$B,"&gt;="&amp;B1216,Fact_Quota!$B:$B,"&lt;"&amp;EDATE(B1216,1))</f>
        <v>22100</v>
      </c>
      <c r="E1216" s="62">
        <f>SUMIFS(Fact_Pipeline!$K:$K,Fact_Pipeline!$B:$B,$A1216,Fact_Pipeline!$J:$J,"Won",Fact_Pipeline!$I:$I,"&gt;="&amp;B1216,Fact_Pipeline!$I:$I,"&lt;"&amp;EDATE(B1216,1))</f>
        <v>18100</v>
      </c>
      <c r="F1216" s="63" t="b">
        <f>AND(D1216&gt;0,IFERROR(E1216/D1216&gt;=G6,FALSE()))</f>
        <v>1</v>
      </c>
      <c r="G1216" s="62">
        <f t="shared" si="123"/>
        <v>905</v>
      </c>
      <c r="H1216" s="62">
        <f>IF(F1216,MAX(0,MIN(E1216,I6*D1216)-D1216)*IFERROR(INDEX($C$158:$C$161,MATCH(C1216,$A$158:$A$161,0)),0),0)</f>
        <v>0</v>
      </c>
      <c r="I1216" s="62">
        <f>IF(F1216,MAX(0,E1216-I6*D1216)*IFERROR(INDEX($D$158:$D$161,MATCH(C1216,$A$158:$A$161,0)),0),0)</f>
        <v>0</v>
      </c>
      <c r="J1216" s="62">
        <f t="shared" si="124"/>
        <v>905</v>
      </c>
    </row>
    <row r="1217" spans="1:10" ht="15" customHeight="1" outlineLevel="1" x14ac:dyDescent="0.2">
      <c r="A1217" s="63" t="str">
        <f t="shared" si="125"/>
        <v>R042</v>
      </c>
      <c r="B1217" s="64">
        <f>$A$1436</f>
        <v>45748</v>
      </c>
      <c r="C1217" s="63" t="str">
        <f t="shared" si="126"/>
        <v>Mid-Market AE</v>
      </c>
      <c r="D1217" s="62">
        <f>SUMIFS(Fact_Quota!$D:$D,Fact_Quota!$A:$A,$A1217,Fact_Quota!$B:$B,"&gt;="&amp;B1217,Fact_Quota!$B:$B,"&lt;"&amp;EDATE(B1217,1))</f>
        <v>21100</v>
      </c>
      <c r="E1217" s="62">
        <f>SUMIFS(Fact_Pipeline!$K:$K,Fact_Pipeline!$B:$B,$A1217,Fact_Pipeline!$J:$J,"Won",Fact_Pipeline!$I:$I,"&gt;="&amp;B1217,Fact_Pipeline!$I:$I,"&lt;"&amp;EDATE(B1217,1))</f>
        <v>16200</v>
      </c>
      <c r="F1217" s="63" t="b">
        <f>AND(D1217&gt;0,IFERROR(E1217/D1217&gt;=G6,FALSE()))</f>
        <v>1</v>
      </c>
      <c r="G1217" s="62">
        <f t="shared" si="123"/>
        <v>810</v>
      </c>
      <c r="H1217" s="62">
        <f>IF(F1217,MAX(0,MIN(E1217,I6*D1217)-D1217)*IFERROR(INDEX($C$158:$C$161,MATCH(C1217,$A$158:$A$161,0)),0),0)</f>
        <v>0</v>
      </c>
      <c r="I1217" s="62">
        <f>IF(F1217,MAX(0,E1217-I6*D1217)*IFERROR(INDEX($D$158:$D$161,MATCH(C1217,$A$158:$A$161,0)),0),0)</f>
        <v>0</v>
      </c>
      <c r="J1217" s="62">
        <f t="shared" si="124"/>
        <v>810</v>
      </c>
    </row>
    <row r="1218" spans="1:10" ht="15" customHeight="1" outlineLevel="1" x14ac:dyDescent="0.2">
      <c r="A1218" s="63" t="str">
        <f t="shared" si="125"/>
        <v>R042</v>
      </c>
      <c r="B1218" s="64">
        <f>$A$1437</f>
        <v>45778</v>
      </c>
      <c r="C1218" s="63" t="str">
        <f t="shared" si="126"/>
        <v>Mid-Market AE</v>
      </c>
      <c r="D1218" s="62">
        <f>SUMIFS(Fact_Quota!$D:$D,Fact_Quota!$A:$A,$A1218,Fact_Quota!$B:$B,"&gt;="&amp;B1218,Fact_Quota!$B:$B,"&lt;"&amp;EDATE(B1218,1))</f>
        <v>22300</v>
      </c>
      <c r="E1218" s="62">
        <f>SUMIFS(Fact_Pipeline!$K:$K,Fact_Pipeline!$B:$B,$A1218,Fact_Pipeline!$J:$J,"Won",Fact_Pipeline!$I:$I,"&gt;="&amp;B1218,Fact_Pipeline!$I:$I,"&lt;"&amp;EDATE(B1218,1))</f>
        <v>0</v>
      </c>
      <c r="F1218" s="63" t="b">
        <f>AND(D1218&gt;0,IFERROR(E1218/D1218&gt;=G6,FALSE()))</f>
        <v>0</v>
      </c>
      <c r="G1218" s="62">
        <f t="shared" si="123"/>
        <v>0</v>
      </c>
      <c r="H1218" s="62">
        <f>IF(F1218,MAX(0,MIN(E1218,I6*D1218)-D1218)*IFERROR(INDEX($C$158:$C$161,MATCH(C1218,$A$158:$A$161,0)),0),0)</f>
        <v>0</v>
      </c>
      <c r="I1218" s="62">
        <f>IF(F1218,MAX(0,E1218-I6*D1218)*IFERROR(INDEX($D$158:$D$161,MATCH(C1218,$A$158:$A$161,0)),0),0)</f>
        <v>0</v>
      </c>
      <c r="J1218" s="62">
        <f t="shared" si="124"/>
        <v>0</v>
      </c>
    </row>
    <row r="1219" spans="1:10" ht="15" customHeight="1" outlineLevel="1" x14ac:dyDescent="0.2">
      <c r="A1219" s="63" t="str">
        <f t="shared" si="125"/>
        <v>R042</v>
      </c>
      <c r="B1219" s="64">
        <f>$A$1438</f>
        <v>45809</v>
      </c>
      <c r="C1219" s="63" t="str">
        <f t="shared" si="126"/>
        <v>Mid-Market AE</v>
      </c>
      <c r="D1219" s="62">
        <f>SUMIFS(Fact_Quota!$D:$D,Fact_Quota!$A:$A,$A1219,Fact_Quota!$B:$B,"&gt;="&amp;B1219,Fact_Quota!$B:$B,"&lt;"&amp;EDATE(B1219,1))</f>
        <v>22400</v>
      </c>
      <c r="E1219" s="62">
        <f>SUMIFS(Fact_Pipeline!$K:$K,Fact_Pipeline!$B:$B,$A1219,Fact_Pipeline!$J:$J,"Won",Fact_Pipeline!$I:$I,"&gt;="&amp;B1219,Fact_Pipeline!$I:$I,"&lt;"&amp;EDATE(B1219,1))</f>
        <v>56200</v>
      </c>
      <c r="F1219" s="63" t="b">
        <f>AND(D1219&gt;0,IFERROR(E1219/D1219&gt;=G6,FALSE()))</f>
        <v>1</v>
      </c>
      <c r="G1219" s="62">
        <f t="shared" si="123"/>
        <v>1120</v>
      </c>
      <c r="H1219" s="62">
        <f>IF(F1219,MAX(0,MIN(E1219,I6*D1219)-D1219)*IFERROR(INDEX($C$158:$C$161,MATCH(C1219,$A$158:$A$161,0)),0),0)</f>
        <v>896</v>
      </c>
      <c r="I1219" s="62">
        <f>IF(F1219,MAX(0,E1219-I6*D1219)*IFERROR(INDEX($D$158:$D$161,MATCH(C1219,$A$158:$A$161,0)),0),0)</f>
        <v>2486</v>
      </c>
      <c r="J1219" s="62">
        <f t="shared" si="124"/>
        <v>4502</v>
      </c>
    </row>
    <row r="1220" spans="1:10" ht="15" customHeight="1" outlineLevel="1" x14ac:dyDescent="0.2">
      <c r="A1220" s="63" t="str">
        <f t="shared" si="125"/>
        <v>R042</v>
      </c>
      <c r="B1220" s="64">
        <f>$A$1439</f>
        <v>45839</v>
      </c>
      <c r="C1220" s="63" t="str">
        <f t="shared" si="126"/>
        <v>Mid-Market AE</v>
      </c>
      <c r="D1220" s="62">
        <f>SUMIFS(Fact_Quota!$D:$D,Fact_Quota!$A:$A,$A1220,Fact_Quota!$B:$B,"&gt;="&amp;B1220,Fact_Quota!$B:$B,"&lt;"&amp;EDATE(B1220,1))</f>
        <v>22400</v>
      </c>
      <c r="E1220" s="62">
        <f>SUMIFS(Fact_Pipeline!$K:$K,Fact_Pipeline!$B:$B,$A1220,Fact_Pipeline!$J:$J,"Won",Fact_Pipeline!$I:$I,"&gt;="&amp;B1220,Fact_Pipeline!$I:$I,"&lt;"&amp;EDATE(B1220,1))</f>
        <v>12200</v>
      </c>
      <c r="F1220" s="63" t="b">
        <f>AND(D1220&gt;0,IFERROR(E1220/D1220&gt;=G6,FALSE()))</f>
        <v>1</v>
      </c>
      <c r="G1220" s="62">
        <f t="shared" si="123"/>
        <v>610</v>
      </c>
      <c r="H1220" s="62">
        <f>IF(F1220,MAX(0,MIN(E1220,I6*D1220)-D1220)*IFERROR(INDEX($C$158:$C$161,MATCH(C1220,$A$158:$A$161,0)),0),0)</f>
        <v>0</v>
      </c>
      <c r="I1220" s="62">
        <f>IF(F1220,MAX(0,E1220-I6*D1220)*IFERROR(INDEX($D$158:$D$161,MATCH(C1220,$A$158:$A$161,0)),0),0)</f>
        <v>0</v>
      </c>
      <c r="J1220" s="62">
        <f t="shared" si="124"/>
        <v>610</v>
      </c>
    </row>
    <row r="1221" spans="1:10" ht="15" customHeight="1" outlineLevel="1" x14ac:dyDescent="0.2">
      <c r="A1221" s="63" t="str">
        <f t="shared" si="125"/>
        <v>R042</v>
      </c>
      <c r="B1221" s="64">
        <f>$A$1440</f>
        <v>45870</v>
      </c>
      <c r="C1221" s="63" t="str">
        <f t="shared" si="126"/>
        <v>Mid-Market AE</v>
      </c>
      <c r="D1221" s="62">
        <f>SUMIFS(Fact_Quota!$D:$D,Fact_Quota!$A:$A,$A1221,Fact_Quota!$B:$B,"&gt;="&amp;B1221,Fact_Quota!$B:$B,"&lt;"&amp;EDATE(B1221,1))</f>
        <v>22700</v>
      </c>
      <c r="E1221" s="62">
        <f>SUMIFS(Fact_Pipeline!$K:$K,Fact_Pipeline!$B:$B,$A1221,Fact_Pipeline!$J:$J,"Won",Fact_Pipeline!$I:$I,"&gt;="&amp;B1221,Fact_Pipeline!$I:$I,"&lt;"&amp;EDATE(B1221,1))</f>
        <v>11500</v>
      </c>
      <c r="F1221" s="63" t="b">
        <f>AND(D1221&gt;0,IFERROR(E1221/D1221&gt;=G6,FALSE()))</f>
        <v>1</v>
      </c>
      <c r="G1221" s="62">
        <f t="shared" si="123"/>
        <v>575</v>
      </c>
      <c r="H1221" s="62">
        <f>IF(F1221,MAX(0,MIN(E1221,I6*D1221)-D1221)*IFERROR(INDEX($C$158:$C$161,MATCH(C1221,$A$158:$A$161,0)),0),0)</f>
        <v>0</v>
      </c>
      <c r="I1221" s="62">
        <f>IF(F1221,MAX(0,E1221-I6*D1221)*IFERROR(INDEX($D$158:$D$161,MATCH(C1221,$A$158:$A$161,0)),0),0)</f>
        <v>0</v>
      </c>
      <c r="J1221" s="62">
        <f t="shared" si="124"/>
        <v>575</v>
      </c>
    </row>
    <row r="1222" spans="1:10" ht="15" customHeight="1" outlineLevel="1" x14ac:dyDescent="0.2">
      <c r="A1222" s="63" t="str">
        <f t="shared" si="125"/>
        <v>R042</v>
      </c>
      <c r="B1222" s="64">
        <f>$A$1441</f>
        <v>45901</v>
      </c>
      <c r="C1222" s="63" t="str">
        <f t="shared" si="126"/>
        <v>Mid-Market AE</v>
      </c>
      <c r="D1222" s="62">
        <f>SUMIFS(Fact_Quota!$D:$D,Fact_Quota!$A:$A,$A1222,Fact_Quota!$B:$B,"&gt;="&amp;B1222,Fact_Quota!$B:$B,"&lt;"&amp;EDATE(B1222,1))</f>
        <v>22600</v>
      </c>
      <c r="E1222" s="62">
        <f>SUMIFS(Fact_Pipeline!$K:$K,Fact_Pipeline!$B:$B,$A1222,Fact_Pipeline!$J:$J,"Won",Fact_Pipeline!$I:$I,"&gt;="&amp;B1222,Fact_Pipeline!$I:$I,"&lt;"&amp;EDATE(B1222,1))</f>
        <v>41200</v>
      </c>
      <c r="F1222" s="63" t="b">
        <f>AND(D1222&gt;0,IFERROR(E1222/D1222&gt;=G6,FALSE()))</f>
        <v>1</v>
      </c>
      <c r="G1222" s="62">
        <f t="shared" si="123"/>
        <v>1130</v>
      </c>
      <c r="H1222" s="62">
        <f>IF(F1222,MAX(0,MIN(E1222,I6*D1222)-D1222)*IFERROR(INDEX($C$158:$C$161,MATCH(C1222,$A$158:$A$161,0)),0),0)</f>
        <v>904</v>
      </c>
      <c r="I1222" s="62">
        <f>IF(F1222,MAX(0,E1222-I6*D1222)*IFERROR(INDEX($D$158:$D$161,MATCH(C1222,$A$158:$A$161,0)),0),0)</f>
        <v>803</v>
      </c>
      <c r="J1222" s="62">
        <f t="shared" si="124"/>
        <v>2837</v>
      </c>
    </row>
    <row r="1223" spans="1:10" ht="15" customHeight="1" outlineLevel="1" x14ac:dyDescent="0.2">
      <c r="A1223" s="63" t="str">
        <f t="shared" si="125"/>
        <v>R042</v>
      </c>
      <c r="B1223" s="64">
        <f>$A$1442</f>
        <v>45931</v>
      </c>
      <c r="C1223" s="63" t="str">
        <f t="shared" si="126"/>
        <v>Mid-Market AE</v>
      </c>
      <c r="D1223" s="62">
        <f>SUMIFS(Fact_Quota!$D:$D,Fact_Quota!$A:$A,$A1223,Fact_Quota!$B:$B,"&gt;="&amp;B1223,Fact_Quota!$B:$B,"&lt;"&amp;EDATE(B1223,1))</f>
        <v>22300</v>
      </c>
      <c r="E1223" s="62">
        <f>SUMIFS(Fact_Pipeline!$K:$K,Fact_Pipeline!$B:$B,$A1223,Fact_Pipeline!$J:$J,"Won",Fact_Pipeline!$I:$I,"&gt;="&amp;B1223,Fact_Pipeline!$I:$I,"&lt;"&amp;EDATE(B1223,1))</f>
        <v>9700</v>
      </c>
      <c r="F1223" s="63" t="b">
        <f>AND(D1223&gt;0,IFERROR(E1223/D1223&gt;=G6,FALSE()))</f>
        <v>0</v>
      </c>
      <c r="G1223" s="62">
        <f t="shared" si="123"/>
        <v>0</v>
      </c>
      <c r="H1223" s="62">
        <f>IF(F1223,MAX(0,MIN(E1223,I6*D1223)-D1223)*IFERROR(INDEX($C$158:$C$161,MATCH(C1223,$A$158:$A$161,0)),0),0)</f>
        <v>0</v>
      </c>
      <c r="I1223" s="62">
        <f>IF(F1223,MAX(0,E1223-I6*D1223)*IFERROR(INDEX($D$158:$D$161,MATCH(C1223,$A$158:$A$161,0)),0),0)</f>
        <v>0</v>
      </c>
      <c r="J1223" s="62">
        <f t="shared" si="124"/>
        <v>0</v>
      </c>
    </row>
    <row r="1224" spans="1:10" ht="15" customHeight="1" outlineLevel="1" x14ac:dyDescent="0.2">
      <c r="A1224" s="63" t="str">
        <f t="shared" si="125"/>
        <v>R042</v>
      </c>
      <c r="B1224" s="64">
        <f>$A$1443</f>
        <v>45962</v>
      </c>
      <c r="C1224" s="63" t="str">
        <f t="shared" si="126"/>
        <v>Mid-Market AE</v>
      </c>
      <c r="D1224" s="62">
        <f>SUMIFS(Fact_Quota!$D:$D,Fact_Quota!$A:$A,$A1224,Fact_Quota!$B:$B,"&gt;="&amp;B1224,Fact_Quota!$B:$B,"&lt;"&amp;EDATE(B1224,1))</f>
        <v>22000</v>
      </c>
      <c r="E1224" s="62">
        <f>SUMIFS(Fact_Pipeline!$K:$K,Fact_Pipeline!$B:$B,$A1224,Fact_Pipeline!$J:$J,"Won",Fact_Pipeline!$I:$I,"&gt;="&amp;B1224,Fact_Pipeline!$I:$I,"&lt;"&amp;EDATE(B1224,1))</f>
        <v>48000</v>
      </c>
      <c r="F1224" s="63" t="b">
        <f>AND(D1224&gt;0,IFERROR(E1224/D1224&gt;=G6,FALSE()))</f>
        <v>1</v>
      </c>
      <c r="G1224" s="62">
        <f t="shared" si="123"/>
        <v>1100</v>
      </c>
      <c r="H1224" s="62">
        <f>IF(F1224,MAX(0,MIN(E1224,I6*D1224)-D1224)*IFERROR(INDEX($C$158:$C$161,MATCH(C1224,$A$158:$A$161,0)),0),0)</f>
        <v>880</v>
      </c>
      <c r="I1224" s="62">
        <f>IF(F1224,MAX(0,E1224-I6*D1224)*IFERROR(INDEX($D$158:$D$161,MATCH(C1224,$A$158:$A$161,0)),0),0)</f>
        <v>1650</v>
      </c>
      <c r="J1224" s="62">
        <f t="shared" si="124"/>
        <v>3630</v>
      </c>
    </row>
    <row r="1225" spans="1:10" ht="15" customHeight="1" outlineLevel="1" x14ac:dyDescent="0.2">
      <c r="A1225" s="63" t="str">
        <f t="shared" si="125"/>
        <v>R042</v>
      </c>
      <c r="B1225" s="64">
        <f>$A$1444</f>
        <v>45992</v>
      </c>
      <c r="C1225" s="63" t="str">
        <f t="shared" si="126"/>
        <v>Mid-Market AE</v>
      </c>
      <c r="D1225" s="62">
        <f>SUMIFS(Fact_Quota!$D:$D,Fact_Quota!$A:$A,$A1225,Fact_Quota!$B:$B,"&gt;="&amp;B1225,Fact_Quota!$B:$B,"&lt;"&amp;EDATE(B1225,1))</f>
        <v>20900</v>
      </c>
      <c r="E1225" s="62">
        <f>SUMIFS(Fact_Pipeline!$K:$K,Fact_Pipeline!$B:$B,$A1225,Fact_Pipeline!$J:$J,"Won",Fact_Pipeline!$I:$I,"&gt;="&amp;B1225,Fact_Pipeline!$I:$I,"&lt;"&amp;EDATE(B1225,1))</f>
        <v>36100</v>
      </c>
      <c r="F1225" s="63" t="b">
        <f>AND(D1225&gt;0,IFERROR(E1225/D1225&gt;=G6,FALSE()))</f>
        <v>1</v>
      </c>
      <c r="G1225" s="62">
        <f t="shared" si="123"/>
        <v>1045</v>
      </c>
      <c r="H1225" s="62">
        <f>IF(F1225,MAX(0,MIN(E1225,I6*D1225)-D1225)*IFERROR(INDEX($C$158:$C$161,MATCH(C1225,$A$158:$A$161,0)),0),0)</f>
        <v>836</v>
      </c>
      <c r="I1225" s="62">
        <f>IF(F1225,MAX(0,E1225-I6*D1225)*IFERROR(INDEX($D$158:$D$161,MATCH(C1225,$A$158:$A$161,0)),0),0)</f>
        <v>522.5</v>
      </c>
      <c r="J1225" s="62">
        <f t="shared" si="124"/>
        <v>2403.5</v>
      </c>
    </row>
    <row r="1226" spans="1:10" ht="15" customHeight="1" outlineLevel="1" x14ac:dyDescent="0.2">
      <c r="A1226" s="66" t="str">
        <f t="shared" ref="A1226:A1249" si="127">$A$207</f>
        <v>R046</v>
      </c>
      <c r="B1226" s="67">
        <f>$A$1421</f>
        <v>45292</v>
      </c>
      <c r="C1226" s="66" t="str">
        <f t="shared" ref="C1226:C1249" si="128">$C$207</f>
        <v>Mid-Market AE</v>
      </c>
      <c r="D1226" s="65">
        <f>SUMIFS(Fact_Quota!$D:$D,Fact_Quota!$A:$A,$A1226,Fact_Quota!$B:$B,"&gt;="&amp;B1226,Fact_Quota!$B:$B,"&lt;"&amp;EDATE(B1226,1))</f>
        <v>22100</v>
      </c>
      <c r="E1226" s="65">
        <f>SUMIFS(Fact_Pipeline!$K:$K,Fact_Pipeline!$B:$B,$A1226,Fact_Pipeline!$J:$J,"Won",Fact_Pipeline!$I:$I,"&gt;="&amp;B1226,Fact_Pipeline!$I:$I,"&lt;"&amp;EDATE(B1226,1))</f>
        <v>0</v>
      </c>
      <c r="F1226" s="66" t="b">
        <f>AND(D1226&gt;0,IFERROR(E1226/D1226&gt;=G6,FALSE()))</f>
        <v>0</v>
      </c>
      <c r="G1226" s="65">
        <f t="shared" si="123"/>
        <v>0</v>
      </c>
      <c r="H1226" s="65">
        <f>IF(F1226,MAX(0,MIN(E1226,I6*D1226)-D1226)*IFERROR(INDEX($C$158:$C$161,MATCH(C1226,$A$158:$A$161,0)),0),0)</f>
        <v>0</v>
      </c>
      <c r="I1226" s="65">
        <f>IF(F1226,MAX(0,E1226-I6*D1226)*IFERROR(INDEX($D$158:$D$161,MATCH(C1226,$A$158:$A$161,0)),0),0)</f>
        <v>0</v>
      </c>
      <c r="J1226" s="65">
        <f t="shared" si="124"/>
        <v>0</v>
      </c>
    </row>
    <row r="1227" spans="1:10" ht="15" customHeight="1" outlineLevel="1" x14ac:dyDescent="0.2">
      <c r="A1227" s="66" t="str">
        <f t="shared" si="127"/>
        <v>R046</v>
      </c>
      <c r="B1227" s="67">
        <f>$A$1422</f>
        <v>45323</v>
      </c>
      <c r="C1227" s="66" t="str">
        <f t="shared" si="128"/>
        <v>Mid-Market AE</v>
      </c>
      <c r="D1227" s="65">
        <f>SUMIFS(Fact_Quota!$D:$D,Fact_Quota!$A:$A,$A1227,Fact_Quota!$B:$B,"&gt;="&amp;B1227,Fact_Quota!$B:$B,"&lt;"&amp;EDATE(B1227,1))</f>
        <v>21000</v>
      </c>
      <c r="E1227" s="65">
        <f>SUMIFS(Fact_Pipeline!$K:$K,Fact_Pipeline!$B:$B,$A1227,Fact_Pipeline!$J:$J,"Won",Fact_Pipeline!$I:$I,"&gt;="&amp;B1227,Fact_Pipeline!$I:$I,"&lt;"&amp;EDATE(B1227,1))</f>
        <v>28400</v>
      </c>
      <c r="F1227" s="66" t="b">
        <f>AND(D1227&gt;0,IFERROR(E1227/D1227&gt;=G6,FALSE()))</f>
        <v>1</v>
      </c>
      <c r="G1227" s="65">
        <f t="shared" si="123"/>
        <v>1050</v>
      </c>
      <c r="H1227" s="65">
        <f>IF(F1227,MAX(0,MIN(E1227,I6*D1227)-D1227)*IFERROR(INDEX($C$158:$C$161,MATCH(C1227,$A$158:$A$161,0)),0),0)</f>
        <v>592</v>
      </c>
      <c r="I1227" s="65">
        <f>IF(F1227,MAX(0,E1227-I6*D1227)*IFERROR(INDEX($D$158:$D$161,MATCH(C1227,$A$158:$A$161,0)),0),0)</f>
        <v>0</v>
      </c>
      <c r="J1227" s="65">
        <f t="shared" si="124"/>
        <v>1642</v>
      </c>
    </row>
    <row r="1228" spans="1:10" ht="15" customHeight="1" outlineLevel="1" x14ac:dyDescent="0.2">
      <c r="A1228" s="66" t="str">
        <f t="shared" si="127"/>
        <v>R046</v>
      </c>
      <c r="B1228" s="67">
        <f>$A$1423</f>
        <v>45352</v>
      </c>
      <c r="C1228" s="66" t="str">
        <f t="shared" si="128"/>
        <v>Mid-Market AE</v>
      </c>
      <c r="D1228" s="65">
        <f>SUMIFS(Fact_Quota!$D:$D,Fact_Quota!$A:$A,$A1228,Fact_Quota!$B:$B,"&gt;="&amp;B1228,Fact_Quota!$B:$B,"&lt;"&amp;EDATE(B1228,1))</f>
        <v>23000</v>
      </c>
      <c r="E1228" s="65">
        <f>SUMIFS(Fact_Pipeline!$K:$K,Fact_Pipeline!$B:$B,$A1228,Fact_Pipeline!$J:$J,"Won",Fact_Pipeline!$I:$I,"&gt;="&amp;B1228,Fact_Pipeline!$I:$I,"&lt;"&amp;EDATE(B1228,1))</f>
        <v>0</v>
      </c>
      <c r="F1228" s="66" t="b">
        <f>AND(D1228&gt;0,IFERROR(E1228/D1228&gt;=G6,FALSE()))</f>
        <v>0</v>
      </c>
      <c r="G1228" s="65">
        <f t="shared" si="123"/>
        <v>0</v>
      </c>
      <c r="H1228" s="65">
        <f>IF(F1228,MAX(0,MIN(E1228,I6*D1228)-D1228)*IFERROR(INDEX($C$158:$C$161,MATCH(C1228,$A$158:$A$161,0)),0),0)</f>
        <v>0</v>
      </c>
      <c r="I1228" s="65">
        <f>IF(F1228,MAX(0,E1228-I6*D1228)*IFERROR(INDEX($D$158:$D$161,MATCH(C1228,$A$158:$A$161,0)),0),0)</f>
        <v>0</v>
      </c>
      <c r="J1228" s="65">
        <f t="shared" si="124"/>
        <v>0</v>
      </c>
    </row>
    <row r="1229" spans="1:10" ht="15" customHeight="1" outlineLevel="1" x14ac:dyDescent="0.2">
      <c r="A1229" s="66" t="str">
        <f t="shared" si="127"/>
        <v>R046</v>
      </c>
      <c r="B1229" s="67">
        <f>$A$1424</f>
        <v>45383</v>
      </c>
      <c r="C1229" s="66" t="str">
        <f t="shared" si="128"/>
        <v>Mid-Market AE</v>
      </c>
      <c r="D1229" s="65">
        <f>SUMIFS(Fact_Quota!$D:$D,Fact_Quota!$A:$A,$A1229,Fact_Quota!$B:$B,"&gt;="&amp;B1229,Fact_Quota!$B:$B,"&lt;"&amp;EDATE(B1229,1))</f>
        <v>23200</v>
      </c>
      <c r="E1229" s="65">
        <f>SUMIFS(Fact_Pipeline!$K:$K,Fact_Pipeline!$B:$B,$A1229,Fact_Pipeline!$J:$J,"Won",Fact_Pipeline!$I:$I,"&gt;="&amp;B1229,Fact_Pipeline!$I:$I,"&lt;"&amp;EDATE(B1229,1))</f>
        <v>13000</v>
      </c>
      <c r="F1229" s="66" t="b">
        <f>AND(D1229&gt;0,IFERROR(E1229/D1229&gt;=G6,FALSE()))</f>
        <v>1</v>
      </c>
      <c r="G1229" s="65">
        <f t="shared" si="123"/>
        <v>650</v>
      </c>
      <c r="H1229" s="65">
        <f>IF(F1229,MAX(0,MIN(E1229,I6*D1229)-D1229)*IFERROR(INDEX($C$158:$C$161,MATCH(C1229,$A$158:$A$161,0)),0),0)</f>
        <v>0</v>
      </c>
      <c r="I1229" s="65">
        <f>IF(F1229,MAX(0,E1229-I6*D1229)*IFERROR(INDEX($D$158:$D$161,MATCH(C1229,$A$158:$A$161,0)),0),0)</f>
        <v>0</v>
      </c>
      <c r="J1229" s="65">
        <f t="shared" si="124"/>
        <v>650</v>
      </c>
    </row>
    <row r="1230" spans="1:10" ht="15" customHeight="1" outlineLevel="1" x14ac:dyDescent="0.2">
      <c r="A1230" s="66" t="str">
        <f t="shared" si="127"/>
        <v>R046</v>
      </c>
      <c r="B1230" s="67">
        <f>$A$1425</f>
        <v>45413</v>
      </c>
      <c r="C1230" s="66" t="str">
        <f t="shared" si="128"/>
        <v>Mid-Market AE</v>
      </c>
      <c r="D1230" s="65">
        <f>SUMIFS(Fact_Quota!$D:$D,Fact_Quota!$A:$A,$A1230,Fact_Quota!$B:$B,"&gt;="&amp;B1230,Fact_Quota!$B:$B,"&lt;"&amp;EDATE(B1230,1))</f>
        <v>21600</v>
      </c>
      <c r="E1230" s="65">
        <f>SUMIFS(Fact_Pipeline!$K:$K,Fact_Pipeline!$B:$B,$A1230,Fact_Pipeline!$J:$J,"Won",Fact_Pipeline!$I:$I,"&gt;="&amp;B1230,Fact_Pipeline!$I:$I,"&lt;"&amp;EDATE(B1230,1))</f>
        <v>21800</v>
      </c>
      <c r="F1230" s="66" t="b">
        <f>AND(D1230&gt;0,IFERROR(E1230/D1230&gt;=G6,FALSE()))</f>
        <v>1</v>
      </c>
      <c r="G1230" s="65">
        <f t="shared" si="123"/>
        <v>1080</v>
      </c>
      <c r="H1230" s="65">
        <f>IF(F1230,MAX(0,MIN(E1230,I6*D1230)-D1230)*IFERROR(INDEX($C$158:$C$161,MATCH(C1230,$A$158:$A$161,0)),0),0)</f>
        <v>16</v>
      </c>
      <c r="I1230" s="65">
        <f>IF(F1230,MAX(0,E1230-I6*D1230)*IFERROR(INDEX($D$158:$D$161,MATCH(C1230,$A$158:$A$161,0)),0),0)</f>
        <v>0</v>
      </c>
      <c r="J1230" s="65">
        <f t="shared" si="124"/>
        <v>1096</v>
      </c>
    </row>
    <row r="1231" spans="1:10" ht="15" customHeight="1" outlineLevel="1" x14ac:dyDescent="0.2">
      <c r="A1231" s="66" t="str">
        <f t="shared" si="127"/>
        <v>R046</v>
      </c>
      <c r="B1231" s="67">
        <f>$A$1426</f>
        <v>45444</v>
      </c>
      <c r="C1231" s="66" t="str">
        <f t="shared" si="128"/>
        <v>Mid-Market AE</v>
      </c>
      <c r="D1231" s="65">
        <f>SUMIFS(Fact_Quota!$D:$D,Fact_Quota!$A:$A,$A1231,Fact_Quota!$B:$B,"&gt;="&amp;B1231,Fact_Quota!$B:$B,"&lt;"&amp;EDATE(B1231,1))</f>
        <v>21700</v>
      </c>
      <c r="E1231" s="65">
        <f>SUMIFS(Fact_Pipeline!$K:$K,Fact_Pipeline!$B:$B,$A1231,Fact_Pipeline!$J:$J,"Won",Fact_Pipeline!$I:$I,"&gt;="&amp;B1231,Fact_Pipeline!$I:$I,"&lt;"&amp;EDATE(B1231,1))</f>
        <v>21900</v>
      </c>
      <c r="F1231" s="66" t="b">
        <f>AND(D1231&gt;0,IFERROR(E1231/D1231&gt;=G6,FALSE()))</f>
        <v>1</v>
      </c>
      <c r="G1231" s="65">
        <f t="shared" si="123"/>
        <v>1085</v>
      </c>
      <c r="H1231" s="65">
        <f>IF(F1231,MAX(0,MIN(E1231,I6*D1231)-D1231)*IFERROR(INDEX($C$158:$C$161,MATCH(C1231,$A$158:$A$161,0)),0),0)</f>
        <v>16</v>
      </c>
      <c r="I1231" s="65">
        <f>IF(F1231,MAX(0,E1231-I6*D1231)*IFERROR(INDEX($D$158:$D$161,MATCH(C1231,$A$158:$A$161,0)),0),0)</f>
        <v>0</v>
      </c>
      <c r="J1231" s="65">
        <f t="shared" si="124"/>
        <v>1101</v>
      </c>
    </row>
    <row r="1232" spans="1:10" ht="15" customHeight="1" outlineLevel="1" x14ac:dyDescent="0.2">
      <c r="A1232" s="66" t="str">
        <f t="shared" si="127"/>
        <v>R046</v>
      </c>
      <c r="B1232" s="67">
        <f>$A$1427</f>
        <v>45474</v>
      </c>
      <c r="C1232" s="66" t="str">
        <f t="shared" si="128"/>
        <v>Mid-Market AE</v>
      </c>
      <c r="D1232" s="65">
        <f>SUMIFS(Fact_Quota!$D:$D,Fact_Quota!$A:$A,$A1232,Fact_Quota!$B:$B,"&gt;="&amp;B1232,Fact_Quota!$B:$B,"&lt;"&amp;EDATE(B1232,1))</f>
        <v>22200</v>
      </c>
      <c r="E1232" s="65">
        <f>SUMIFS(Fact_Pipeline!$K:$K,Fact_Pipeline!$B:$B,$A1232,Fact_Pipeline!$J:$J,"Won",Fact_Pipeline!$I:$I,"&gt;="&amp;B1232,Fact_Pipeline!$I:$I,"&lt;"&amp;EDATE(B1232,1))</f>
        <v>43300</v>
      </c>
      <c r="F1232" s="66" t="b">
        <f>AND(D1232&gt;0,IFERROR(E1232/D1232&gt;=G6,FALSE()))</f>
        <v>1</v>
      </c>
      <c r="G1232" s="65">
        <f t="shared" si="123"/>
        <v>1110</v>
      </c>
      <c r="H1232" s="65">
        <f>IF(F1232,MAX(0,MIN(E1232,I6*D1232)-D1232)*IFERROR(INDEX($C$158:$C$161,MATCH(C1232,$A$158:$A$161,0)),0),0)</f>
        <v>888</v>
      </c>
      <c r="I1232" s="65">
        <f>IF(F1232,MAX(0,E1232-I6*D1232)*IFERROR(INDEX($D$158:$D$161,MATCH(C1232,$A$158:$A$161,0)),0),0)</f>
        <v>1100</v>
      </c>
      <c r="J1232" s="65">
        <f t="shared" si="124"/>
        <v>3098</v>
      </c>
    </row>
    <row r="1233" spans="1:10" ht="15" customHeight="1" outlineLevel="1" x14ac:dyDescent="0.2">
      <c r="A1233" s="66" t="str">
        <f t="shared" si="127"/>
        <v>R046</v>
      </c>
      <c r="B1233" s="67">
        <f>$A$1428</f>
        <v>45505</v>
      </c>
      <c r="C1233" s="66" t="str">
        <f t="shared" si="128"/>
        <v>Mid-Market AE</v>
      </c>
      <c r="D1233" s="65">
        <f>SUMIFS(Fact_Quota!$D:$D,Fact_Quota!$A:$A,$A1233,Fact_Quota!$B:$B,"&gt;="&amp;B1233,Fact_Quota!$B:$B,"&lt;"&amp;EDATE(B1233,1))</f>
        <v>22200</v>
      </c>
      <c r="E1233" s="65">
        <f>SUMIFS(Fact_Pipeline!$K:$K,Fact_Pipeline!$B:$B,$A1233,Fact_Pipeline!$J:$J,"Won",Fact_Pipeline!$I:$I,"&gt;="&amp;B1233,Fact_Pipeline!$I:$I,"&lt;"&amp;EDATE(B1233,1))</f>
        <v>0</v>
      </c>
      <c r="F1233" s="66" t="b">
        <f>AND(D1233&gt;0,IFERROR(E1233/D1233&gt;=G6,FALSE()))</f>
        <v>0</v>
      </c>
      <c r="G1233" s="65">
        <f t="shared" si="123"/>
        <v>0</v>
      </c>
      <c r="H1233" s="65">
        <f>IF(F1233,MAX(0,MIN(E1233,I6*D1233)-D1233)*IFERROR(INDEX($C$158:$C$161,MATCH(C1233,$A$158:$A$161,0)),0),0)</f>
        <v>0</v>
      </c>
      <c r="I1233" s="65">
        <f>IF(F1233,MAX(0,E1233-I6*D1233)*IFERROR(INDEX($D$158:$D$161,MATCH(C1233,$A$158:$A$161,0)),0),0)</f>
        <v>0</v>
      </c>
      <c r="J1233" s="65">
        <f t="shared" si="124"/>
        <v>0</v>
      </c>
    </row>
    <row r="1234" spans="1:10" ht="15" customHeight="1" outlineLevel="1" x14ac:dyDescent="0.2">
      <c r="A1234" s="66" t="str">
        <f t="shared" si="127"/>
        <v>R046</v>
      </c>
      <c r="B1234" s="67">
        <f>$A$1429</f>
        <v>45536</v>
      </c>
      <c r="C1234" s="66" t="str">
        <f t="shared" si="128"/>
        <v>Mid-Market AE</v>
      </c>
      <c r="D1234" s="65">
        <f>SUMIFS(Fact_Quota!$D:$D,Fact_Quota!$A:$A,$A1234,Fact_Quota!$B:$B,"&gt;="&amp;B1234,Fact_Quota!$B:$B,"&lt;"&amp;EDATE(B1234,1))</f>
        <v>22400</v>
      </c>
      <c r="E1234" s="65">
        <f>SUMIFS(Fact_Pipeline!$K:$K,Fact_Pipeline!$B:$B,$A1234,Fact_Pipeline!$J:$J,"Won",Fact_Pipeline!$I:$I,"&gt;="&amp;B1234,Fact_Pipeline!$I:$I,"&lt;"&amp;EDATE(B1234,1))</f>
        <v>25400</v>
      </c>
      <c r="F1234" s="66" t="b">
        <f>AND(D1234&gt;0,IFERROR(E1234/D1234&gt;=G6,FALSE()))</f>
        <v>1</v>
      </c>
      <c r="G1234" s="65">
        <f t="shared" si="123"/>
        <v>1120</v>
      </c>
      <c r="H1234" s="65">
        <f>IF(F1234,MAX(0,MIN(E1234,I6*D1234)-D1234)*IFERROR(INDEX($C$158:$C$161,MATCH(C1234,$A$158:$A$161,0)),0),0)</f>
        <v>240</v>
      </c>
      <c r="I1234" s="65">
        <f>IF(F1234,MAX(0,E1234-I6*D1234)*IFERROR(INDEX($D$158:$D$161,MATCH(C1234,$A$158:$A$161,0)),0),0)</f>
        <v>0</v>
      </c>
      <c r="J1234" s="65">
        <f t="shared" si="124"/>
        <v>1360</v>
      </c>
    </row>
    <row r="1235" spans="1:10" ht="15" customHeight="1" outlineLevel="1" x14ac:dyDescent="0.2">
      <c r="A1235" s="66" t="str">
        <f t="shared" si="127"/>
        <v>R046</v>
      </c>
      <c r="B1235" s="67">
        <f>$A$1430</f>
        <v>45566</v>
      </c>
      <c r="C1235" s="66" t="str">
        <f t="shared" si="128"/>
        <v>Mid-Market AE</v>
      </c>
      <c r="D1235" s="65">
        <f>SUMIFS(Fact_Quota!$D:$D,Fact_Quota!$A:$A,$A1235,Fact_Quota!$B:$B,"&gt;="&amp;B1235,Fact_Quota!$B:$B,"&lt;"&amp;EDATE(B1235,1))</f>
        <v>23300</v>
      </c>
      <c r="E1235" s="65">
        <f>SUMIFS(Fact_Pipeline!$K:$K,Fact_Pipeline!$B:$B,$A1235,Fact_Pipeline!$J:$J,"Won",Fact_Pipeline!$I:$I,"&gt;="&amp;B1235,Fact_Pipeline!$I:$I,"&lt;"&amp;EDATE(B1235,1))</f>
        <v>0</v>
      </c>
      <c r="F1235" s="66" t="b">
        <f>AND(D1235&gt;0,IFERROR(E1235/D1235&gt;=G6,FALSE()))</f>
        <v>0</v>
      </c>
      <c r="G1235" s="65">
        <f t="shared" si="123"/>
        <v>0</v>
      </c>
      <c r="H1235" s="65">
        <f>IF(F1235,MAX(0,MIN(E1235,I6*D1235)-D1235)*IFERROR(INDEX($C$158:$C$161,MATCH(C1235,$A$158:$A$161,0)),0),0)</f>
        <v>0</v>
      </c>
      <c r="I1235" s="65">
        <f>IF(F1235,MAX(0,E1235-I6*D1235)*IFERROR(INDEX($D$158:$D$161,MATCH(C1235,$A$158:$A$161,0)),0),0)</f>
        <v>0</v>
      </c>
      <c r="J1235" s="65">
        <f t="shared" si="124"/>
        <v>0</v>
      </c>
    </row>
    <row r="1236" spans="1:10" ht="15" customHeight="1" outlineLevel="1" x14ac:dyDescent="0.2">
      <c r="A1236" s="66" t="str">
        <f t="shared" si="127"/>
        <v>R046</v>
      </c>
      <c r="B1236" s="67">
        <f>$A$1431</f>
        <v>45597</v>
      </c>
      <c r="C1236" s="66" t="str">
        <f t="shared" si="128"/>
        <v>Mid-Market AE</v>
      </c>
      <c r="D1236" s="65">
        <f>SUMIFS(Fact_Quota!$D:$D,Fact_Quota!$A:$A,$A1236,Fact_Quota!$B:$B,"&gt;="&amp;B1236,Fact_Quota!$B:$B,"&lt;"&amp;EDATE(B1236,1))</f>
        <v>21900</v>
      </c>
      <c r="E1236" s="65">
        <f>SUMIFS(Fact_Pipeline!$K:$K,Fact_Pipeline!$B:$B,$A1236,Fact_Pipeline!$J:$J,"Won",Fact_Pipeline!$I:$I,"&gt;="&amp;B1236,Fact_Pipeline!$I:$I,"&lt;"&amp;EDATE(B1236,1))</f>
        <v>16100</v>
      </c>
      <c r="F1236" s="66" t="b">
        <f>AND(D1236&gt;0,IFERROR(E1236/D1236&gt;=G6,FALSE()))</f>
        <v>1</v>
      </c>
      <c r="G1236" s="65">
        <f t="shared" si="123"/>
        <v>805</v>
      </c>
      <c r="H1236" s="65">
        <f>IF(F1236,MAX(0,MIN(E1236,I6*D1236)-D1236)*IFERROR(INDEX($C$158:$C$161,MATCH(C1236,$A$158:$A$161,0)),0),0)</f>
        <v>0</v>
      </c>
      <c r="I1236" s="65">
        <f>IF(F1236,MAX(0,E1236-I6*D1236)*IFERROR(INDEX($D$158:$D$161,MATCH(C1236,$A$158:$A$161,0)),0),0)</f>
        <v>0</v>
      </c>
      <c r="J1236" s="65">
        <f t="shared" si="124"/>
        <v>805</v>
      </c>
    </row>
    <row r="1237" spans="1:10" ht="15" customHeight="1" outlineLevel="1" x14ac:dyDescent="0.2">
      <c r="A1237" s="66" t="str">
        <f t="shared" si="127"/>
        <v>R046</v>
      </c>
      <c r="B1237" s="67">
        <f>$A$1432</f>
        <v>45627</v>
      </c>
      <c r="C1237" s="66" t="str">
        <f t="shared" si="128"/>
        <v>Mid-Market AE</v>
      </c>
      <c r="D1237" s="65">
        <f>SUMIFS(Fact_Quota!$D:$D,Fact_Quota!$A:$A,$A1237,Fact_Quota!$B:$B,"&gt;="&amp;B1237,Fact_Quota!$B:$B,"&lt;"&amp;EDATE(B1237,1))</f>
        <v>21500</v>
      </c>
      <c r="E1237" s="65">
        <f>SUMIFS(Fact_Pipeline!$K:$K,Fact_Pipeline!$B:$B,$A1237,Fact_Pipeline!$J:$J,"Won",Fact_Pipeline!$I:$I,"&gt;="&amp;B1237,Fact_Pipeline!$I:$I,"&lt;"&amp;EDATE(B1237,1))</f>
        <v>7600</v>
      </c>
      <c r="F1237" s="66" t="b">
        <f>AND(D1237&gt;0,IFERROR(E1237/D1237&gt;=G6,FALSE()))</f>
        <v>0</v>
      </c>
      <c r="G1237" s="65">
        <f t="shared" si="123"/>
        <v>0</v>
      </c>
      <c r="H1237" s="65">
        <f>IF(F1237,MAX(0,MIN(E1237,I6*D1237)-D1237)*IFERROR(INDEX($C$158:$C$161,MATCH(C1237,$A$158:$A$161,0)),0),0)</f>
        <v>0</v>
      </c>
      <c r="I1237" s="65">
        <f>IF(F1237,MAX(0,E1237-I6*D1237)*IFERROR(INDEX($D$158:$D$161,MATCH(C1237,$A$158:$A$161,0)),0),0)</f>
        <v>0</v>
      </c>
      <c r="J1237" s="65">
        <f t="shared" si="124"/>
        <v>0</v>
      </c>
    </row>
    <row r="1238" spans="1:10" ht="15" customHeight="1" outlineLevel="1" x14ac:dyDescent="0.2">
      <c r="A1238" s="66" t="str">
        <f t="shared" si="127"/>
        <v>R046</v>
      </c>
      <c r="B1238" s="67">
        <f>$A$1433</f>
        <v>45658</v>
      </c>
      <c r="C1238" s="66" t="str">
        <f t="shared" si="128"/>
        <v>Mid-Market AE</v>
      </c>
      <c r="D1238" s="65">
        <f>SUMIFS(Fact_Quota!$D:$D,Fact_Quota!$A:$A,$A1238,Fact_Quota!$B:$B,"&gt;="&amp;B1238,Fact_Quota!$B:$B,"&lt;"&amp;EDATE(B1238,1))</f>
        <v>21100</v>
      </c>
      <c r="E1238" s="65">
        <f>SUMIFS(Fact_Pipeline!$K:$K,Fact_Pipeline!$B:$B,$A1238,Fact_Pipeline!$J:$J,"Won",Fact_Pipeline!$I:$I,"&gt;="&amp;B1238,Fact_Pipeline!$I:$I,"&lt;"&amp;EDATE(B1238,1))</f>
        <v>42100</v>
      </c>
      <c r="F1238" s="66" t="b">
        <f>AND(D1238&gt;0,IFERROR(E1238/D1238&gt;=G6,FALSE()))</f>
        <v>1</v>
      </c>
      <c r="G1238" s="65">
        <f t="shared" si="123"/>
        <v>1055</v>
      </c>
      <c r="H1238" s="65">
        <f>IF(F1238,MAX(0,MIN(E1238,I6*D1238)-D1238)*IFERROR(INDEX($C$158:$C$161,MATCH(C1238,$A$158:$A$161,0)),0),0)</f>
        <v>844</v>
      </c>
      <c r="I1238" s="65">
        <f>IF(F1238,MAX(0,E1238-I6*D1238)*IFERROR(INDEX($D$158:$D$161,MATCH(C1238,$A$158:$A$161,0)),0),0)</f>
        <v>1149.5</v>
      </c>
      <c r="J1238" s="65">
        <f t="shared" si="124"/>
        <v>3048.5</v>
      </c>
    </row>
    <row r="1239" spans="1:10" ht="15" customHeight="1" outlineLevel="1" x14ac:dyDescent="0.2">
      <c r="A1239" s="66" t="str">
        <f t="shared" si="127"/>
        <v>R046</v>
      </c>
      <c r="B1239" s="67">
        <f>$A$1434</f>
        <v>45689</v>
      </c>
      <c r="C1239" s="66" t="str">
        <f t="shared" si="128"/>
        <v>Mid-Market AE</v>
      </c>
      <c r="D1239" s="65">
        <f>SUMIFS(Fact_Quota!$D:$D,Fact_Quota!$A:$A,$A1239,Fact_Quota!$B:$B,"&gt;="&amp;B1239,Fact_Quota!$B:$B,"&lt;"&amp;EDATE(B1239,1))</f>
        <v>21500</v>
      </c>
      <c r="E1239" s="65">
        <f>SUMIFS(Fact_Pipeline!$K:$K,Fact_Pipeline!$B:$B,$A1239,Fact_Pipeline!$J:$J,"Won",Fact_Pipeline!$I:$I,"&gt;="&amp;B1239,Fact_Pipeline!$I:$I,"&lt;"&amp;EDATE(B1239,1))</f>
        <v>44300</v>
      </c>
      <c r="F1239" s="66" t="b">
        <f>AND(D1239&gt;0,IFERROR(E1239/D1239&gt;=G6,FALSE()))</f>
        <v>1</v>
      </c>
      <c r="G1239" s="65">
        <f t="shared" si="123"/>
        <v>1075</v>
      </c>
      <c r="H1239" s="65">
        <f>IF(F1239,MAX(0,MIN(E1239,I6*D1239)-D1239)*IFERROR(INDEX($C$158:$C$161,MATCH(C1239,$A$158:$A$161,0)),0),0)</f>
        <v>860</v>
      </c>
      <c r="I1239" s="65">
        <f>IF(F1239,MAX(0,E1239-I6*D1239)*IFERROR(INDEX($D$158:$D$161,MATCH(C1239,$A$158:$A$161,0)),0),0)</f>
        <v>1325.5</v>
      </c>
      <c r="J1239" s="65">
        <f t="shared" si="124"/>
        <v>3260.5</v>
      </c>
    </row>
    <row r="1240" spans="1:10" ht="15" customHeight="1" outlineLevel="1" x14ac:dyDescent="0.2">
      <c r="A1240" s="66" t="str">
        <f t="shared" si="127"/>
        <v>R046</v>
      </c>
      <c r="B1240" s="67">
        <f>$A$1435</f>
        <v>45717</v>
      </c>
      <c r="C1240" s="66" t="str">
        <f t="shared" si="128"/>
        <v>Mid-Market AE</v>
      </c>
      <c r="D1240" s="65">
        <f>SUMIFS(Fact_Quota!$D:$D,Fact_Quota!$A:$A,$A1240,Fact_Quota!$B:$B,"&gt;="&amp;B1240,Fact_Quota!$B:$B,"&lt;"&amp;EDATE(B1240,1))</f>
        <v>22000</v>
      </c>
      <c r="E1240" s="65">
        <f>SUMIFS(Fact_Pipeline!$K:$K,Fact_Pipeline!$B:$B,$A1240,Fact_Pipeline!$J:$J,"Won",Fact_Pipeline!$I:$I,"&gt;="&amp;B1240,Fact_Pipeline!$I:$I,"&lt;"&amp;EDATE(B1240,1))</f>
        <v>58000</v>
      </c>
      <c r="F1240" s="66" t="b">
        <f>AND(D1240&gt;0,IFERROR(E1240/D1240&gt;=G6,FALSE()))</f>
        <v>1</v>
      </c>
      <c r="G1240" s="65">
        <f t="shared" si="123"/>
        <v>1100</v>
      </c>
      <c r="H1240" s="65">
        <f>IF(F1240,MAX(0,MIN(E1240,I6*D1240)-D1240)*IFERROR(INDEX($C$158:$C$161,MATCH(C1240,$A$158:$A$161,0)),0),0)</f>
        <v>880</v>
      </c>
      <c r="I1240" s="65">
        <f>IF(F1240,MAX(0,E1240-I6*D1240)*IFERROR(INDEX($D$158:$D$161,MATCH(C1240,$A$158:$A$161,0)),0),0)</f>
        <v>2750</v>
      </c>
      <c r="J1240" s="65">
        <f t="shared" si="124"/>
        <v>4730</v>
      </c>
    </row>
    <row r="1241" spans="1:10" ht="15" customHeight="1" outlineLevel="1" x14ac:dyDescent="0.2">
      <c r="A1241" s="66" t="str">
        <f t="shared" si="127"/>
        <v>R046</v>
      </c>
      <c r="B1241" s="67">
        <f>$A$1436</f>
        <v>45748</v>
      </c>
      <c r="C1241" s="66" t="str">
        <f t="shared" si="128"/>
        <v>Mid-Market AE</v>
      </c>
      <c r="D1241" s="65">
        <f>SUMIFS(Fact_Quota!$D:$D,Fact_Quota!$A:$A,$A1241,Fact_Quota!$B:$B,"&gt;="&amp;B1241,Fact_Quota!$B:$B,"&lt;"&amp;EDATE(B1241,1))</f>
        <v>23200</v>
      </c>
      <c r="E1241" s="65">
        <f>SUMIFS(Fact_Pipeline!$K:$K,Fact_Pipeline!$B:$B,$A1241,Fact_Pipeline!$J:$J,"Won",Fact_Pipeline!$I:$I,"&gt;="&amp;B1241,Fact_Pipeline!$I:$I,"&lt;"&amp;EDATE(B1241,1))</f>
        <v>29200</v>
      </c>
      <c r="F1241" s="66" t="b">
        <f>AND(D1241&gt;0,IFERROR(E1241/D1241&gt;=G6,FALSE()))</f>
        <v>1</v>
      </c>
      <c r="G1241" s="65">
        <f t="shared" si="123"/>
        <v>1160</v>
      </c>
      <c r="H1241" s="65">
        <f>IF(F1241,MAX(0,MIN(E1241,I6*D1241)-D1241)*IFERROR(INDEX($C$158:$C$161,MATCH(C1241,$A$158:$A$161,0)),0),0)</f>
        <v>480</v>
      </c>
      <c r="I1241" s="65">
        <f>IF(F1241,MAX(0,E1241-I6*D1241)*IFERROR(INDEX($D$158:$D$161,MATCH(C1241,$A$158:$A$161,0)),0),0)</f>
        <v>0</v>
      </c>
      <c r="J1241" s="65">
        <f t="shared" si="124"/>
        <v>1640</v>
      </c>
    </row>
    <row r="1242" spans="1:10" ht="15" customHeight="1" outlineLevel="1" x14ac:dyDescent="0.2">
      <c r="A1242" s="66" t="str">
        <f t="shared" si="127"/>
        <v>R046</v>
      </c>
      <c r="B1242" s="67">
        <f>$A$1437</f>
        <v>45778</v>
      </c>
      <c r="C1242" s="66" t="str">
        <f t="shared" si="128"/>
        <v>Mid-Market AE</v>
      </c>
      <c r="D1242" s="65">
        <f>SUMIFS(Fact_Quota!$D:$D,Fact_Quota!$A:$A,$A1242,Fact_Quota!$B:$B,"&gt;="&amp;B1242,Fact_Quota!$B:$B,"&lt;"&amp;EDATE(B1242,1))</f>
        <v>21700</v>
      </c>
      <c r="E1242" s="65">
        <f>SUMIFS(Fact_Pipeline!$K:$K,Fact_Pipeline!$B:$B,$A1242,Fact_Pipeline!$J:$J,"Won",Fact_Pipeline!$I:$I,"&gt;="&amp;B1242,Fact_Pipeline!$I:$I,"&lt;"&amp;EDATE(B1242,1))</f>
        <v>36400</v>
      </c>
      <c r="F1242" s="66" t="b">
        <f>AND(D1242&gt;0,IFERROR(E1242/D1242&gt;=G6,FALSE()))</f>
        <v>1</v>
      </c>
      <c r="G1242" s="65">
        <f t="shared" ref="G1242:G1305" si="129">IF(F1242,MIN(E1242,D1242)*IFERROR(INDEX($B$158:$B$161,MATCH(C1242,$A$158:$A$161,0)),0),0)</f>
        <v>1085</v>
      </c>
      <c r="H1242" s="65">
        <f>IF(F1242,MAX(0,MIN(E1242,I6*D1242)-D1242)*IFERROR(INDEX($C$158:$C$161,MATCH(C1242,$A$158:$A$161,0)),0),0)</f>
        <v>868</v>
      </c>
      <c r="I1242" s="65">
        <f>IF(F1242,MAX(0,E1242-I6*D1242)*IFERROR(INDEX($D$158:$D$161,MATCH(C1242,$A$158:$A$161,0)),0),0)</f>
        <v>423.5</v>
      </c>
      <c r="J1242" s="65">
        <f t="shared" ref="J1242:J1305" si="130">G1242+H1242+I1242</f>
        <v>2376.5</v>
      </c>
    </row>
    <row r="1243" spans="1:10" ht="15" customHeight="1" outlineLevel="1" x14ac:dyDescent="0.2">
      <c r="A1243" s="66" t="str">
        <f t="shared" si="127"/>
        <v>R046</v>
      </c>
      <c r="B1243" s="67">
        <f>$A$1438</f>
        <v>45809</v>
      </c>
      <c r="C1243" s="66" t="str">
        <f t="shared" si="128"/>
        <v>Mid-Market AE</v>
      </c>
      <c r="D1243" s="65">
        <f>SUMIFS(Fact_Quota!$D:$D,Fact_Quota!$A:$A,$A1243,Fact_Quota!$B:$B,"&gt;="&amp;B1243,Fact_Quota!$B:$B,"&lt;"&amp;EDATE(B1243,1))</f>
        <v>22100</v>
      </c>
      <c r="E1243" s="65">
        <f>SUMIFS(Fact_Pipeline!$K:$K,Fact_Pipeline!$B:$B,$A1243,Fact_Pipeline!$J:$J,"Won",Fact_Pipeline!$I:$I,"&gt;="&amp;B1243,Fact_Pipeline!$I:$I,"&lt;"&amp;EDATE(B1243,1))</f>
        <v>46300</v>
      </c>
      <c r="F1243" s="66" t="b">
        <f>AND(D1243&gt;0,IFERROR(E1243/D1243&gt;=G6,FALSE()))</f>
        <v>1</v>
      </c>
      <c r="G1243" s="65">
        <f t="shared" si="129"/>
        <v>1105</v>
      </c>
      <c r="H1243" s="65">
        <f>IF(F1243,MAX(0,MIN(E1243,I6*D1243)-D1243)*IFERROR(INDEX($C$158:$C$161,MATCH(C1243,$A$158:$A$161,0)),0),0)</f>
        <v>884</v>
      </c>
      <c r="I1243" s="65">
        <f>IF(F1243,MAX(0,E1243-I6*D1243)*IFERROR(INDEX($D$158:$D$161,MATCH(C1243,$A$158:$A$161,0)),0),0)</f>
        <v>1446.5</v>
      </c>
      <c r="J1243" s="65">
        <f t="shared" si="130"/>
        <v>3435.5</v>
      </c>
    </row>
    <row r="1244" spans="1:10" ht="15" customHeight="1" outlineLevel="1" x14ac:dyDescent="0.2">
      <c r="A1244" s="66" t="str">
        <f t="shared" si="127"/>
        <v>R046</v>
      </c>
      <c r="B1244" s="67">
        <f>$A$1439</f>
        <v>45839</v>
      </c>
      <c r="C1244" s="66" t="str">
        <f t="shared" si="128"/>
        <v>Mid-Market AE</v>
      </c>
      <c r="D1244" s="65">
        <f>SUMIFS(Fact_Quota!$D:$D,Fact_Quota!$A:$A,$A1244,Fact_Quota!$B:$B,"&gt;="&amp;B1244,Fact_Quota!$B:$B,"&lt;"&amp;EDATE(B1244,1))</f>
        <v>22000</v>
      </c>
      <c r="E1244" s="65">
        <f>SUMIFS(Fact_Pipeline!$K:$K,Fact_Pipeline!$B:$B,$A1244,Fact_Pipeline!$J:$J,"Won",Fact_Pipeline!$I:$I,"&gt;="&amp;B1244,Fact_Pipeline!$I:$I,"&lt;"&amp;EDATE(B1244,1))</f>
        <v>48700</v>
      </c>
      <c r="F1244" s="66" t="b">
        <f>AND(D1244&gt;0,IFERROR(E1244/D1244&gt;=G6,FALSE()))</f>
        <v>1</v>
      </c>
      <c r="G1244" s="65">
        <f t="shared" si="129"/>
        <v>1100</v>
      </c>
      <c r="H1244" s="65">
        <f>IF(F1244,MAX(0,MIN(E1244,I6*D1244)-D1244)*IFERROR(INDEX($C$158:$C$161,MATCH(C1244,$A$158:$A$161,0)),0),0)</f>
        <v>880</v>
      </c>
      <c r="I1244" s="65">
        <f>IF(F1244,MAX(0,E1244-I6*D1244)*IFERROR(INDEX($D$158:$D$161,MATCH(C1244,$A$158:$A$161,0)),0),0)</f>
        <v>1727</v>
      </c>
      <c r="J1244" s="65">
        <f t="shared" si="130"/>
        <v>3707</v>
      </c>
    </row>
    <row r="1245" spans="1:10" ht="15" customHeight="1" outlineLevel="1" x14ac:dyDescent="0.2">
      <c r="A1245" s="66" t="str">
        <f t="shared" si="127"/>
        <v>R046</v>
      </c>
      <c r="B1245" s="67">
        <f>$A$1440</f>
        <v>45870</v>
      </c>
      <c r="C1245" s="66" t="str">
        <f t="shared" si="128"/>
        <v>Mid-Market AE</v>
      </c>
      <c r="D1245" s="65">
        <f>SUMIFS(Fact_Quota!$D:$D,Fact_Quota!$A:$A,$A1245,Fact_Quota!$B:$B,"&gt;="&amp;B1245,Fact_Quota!$B:$B,"&lt;"&amp;EDATE(B1245,1))</f>
        <v>0</v>
      </c>
      <c r="E1245" s="65">
        <f>SUMIFS(Fact_Pipeline!$K:$K,Fact_Pipeline!$B:$B,$A1245,Fact_Pipeline!$J:$J,"Won",Fact_Pipeline!$I:$I,"&gt;="&amp;B1245,Fact_Pipeline!$I:$I,"&lt;"&amp;EDATE(B1245,1))</f>
        <v>11400</v>
      </c>
      <c r="F1245" s="66" t="b">
        <f>AND(D1245&gt;0,IFERROR(E1245/D1245&gt;=G6,FALSE()))</f>
        <v>0</v>
      </c>
      <c r="G1245" s="65">
        <f t="shared" si="129"/>
        <v>0</v>
      </c>
      <c r="H1245" s="65">
        <f>IF(F1245,MAX(0,MIN(E1245,I6*D1245)-D1245)*IFERROR(INDEX($C$158:$C$161,MATCH(C1245,$A$158:$A$161,0)),0),0)</f>
        <v>0</v>
      </c>
      <c r="I1245" s="65">
        <f>IF(F1245,MAX(0,E1245-I6*D1245)*IFERROR(INDEX($D$158:$D$161,MATCH(C1245,$A$158:$A$161,0)),0),0)</f>
        <v>0</v>
      </c>
      <c r="J1245" s="65">
        <f t="shared" si="130"/>
        <v>0</v>
      </c>
    </row>
    <row r="1246" spans="1:10" ht="15" customHeight="1" outlineLevel="1" x14ac:dyDescent="0.2">
      <c r="A1246" s="66" t="str">
        <f t="shared" si="127"/>
        <v>R046</v>
      </c>
      <c r="B1246" s="67">
        <f>$A$1441</f>
        <v>45901</v>
      </c>
      <c r="C1246" s="66" t="str">
        <f t="shared" si="128"/>
        <v>Mid-Market AE</v>
      </c>
      <c r="D1246" s="65">
        <f>SUMIFS(Fact_Quota!$D:$D,Fact_Quota!$A:$A,$A1246,Fact_Quota!$B:$B,"&gt;="&amp;B1246,Fact_Quota!$B:$B,"&lt;"&amp;EDATE(B1246,1))</f>
        <v>0</v>
      </c>
      <c r="E1246" s="65">
        <f>SUMIFS(Fact_Pipeline!$K:$K,Fact_Pipeline!$B:$B,$A1246,Fact_Pipeline!$J:$J,"Won",Fact_Pipeline!$I:$I,"&gt;="&amp;B1246,Fact_Pipeline!$I:$I,"&lt;"&amp;EDATE(B1246,1))</f>
        <v>0</v>
      </c>
      <c r="F1246" s="66" t="b">
        <f>AND(D1246&gt;0,IFERROR(E1246/D1246&gt;=G6,FALSE()))</f>
        <v>0</v>
      </c>
      <c r="G1246" s="65">
        <f t="shared" si="129"/>
        <v>0</v>
      </c>
      <c r="H1246" s="65">
        <f>IF(F1246,MAX(0,MIN(E1246,I6*D1246)-D1246)*IFERROR(INDEX($C$158:$C$161,MATCH(C1246,$A$158:$A$161,0)),0),0)</f>
        <v>0</v>
      </c>
      <c r="I1246" s="65">
        <f>IF(F1246,MAX(0,E1246-I6*D1246)*IFERROR(INDEX($D$158:$D$161,MATCH(C1246,$A$158:$A$161,0)),0),0)</f>
        <v>0</v>
      </c>
      <c r="J1246" s="65">
        <f t="shared" si="130"/>
        <v>0</v>
      </c>
    </row>
    <row r="1247" spans="1:10" ht="15" customHeight="1" outlineLevel="1" x14ac:dyDescent="0.2">
      <c r="A1247" s="66" t="str">
        <f t="shared" si="127"/>
        <v>R046</v>
      </c>
      <c r="B1247" s="67">
        <f>$A$1442</f>
        <v>45931</v>
      </c>
      <c r="C1247" s="66" t="str">
        <f t="shared" si="128"/>
        <v>Mid-Market AE</v>
      </c>
      <c r="D1247" s="65">
        <f>SUMIFS(Fact_Quota!$D:$D,Fact_Quota!$A:$A,$A1247,Fact_Quota!$B:$B,"&gt;="&amp;B1247,Fact_Quota!$B:$B,"&lt;"&amp;EDATE(B1247,1))</f>
        <v>0</v>
      </c>
      <c r="E1247" s="65">
        <f>SUMIFS(Fact_Pipeline!$K:$K,Fact_Pipeline!$B:$B,$A1247,Fact_Pipeline!$J:$J,"Won",Fact_Pipeline!$I:$I,"&gt;="&amp;B1247,Fact_Pipeline!$I:$I,"&lt;"&amp;EDATE(B1247,1))</f>
        <v>0</v>
      </c>
      <c r="F1247" s="66" t="b">
        <f>AND(D1247&gt;0,IFERROR(E1247/D1247&gt;=G6,FALSE()))</f>
        <v>0</v>
      </c>
      <c r="G1247" s="65">
        <f t="shared" si="129"/>
        <v>0</v>
      </c>
      <c r="H1247" s="65">
        <f>IF(F1247,MAX(0,MIN(E1247,I6*D1247)-D1247)*IFERROR(INDEX($C$158:$C$161,MATCH(C1247,$A$158:$A$161,0)),0),0)</f>
        <v>0</v>
      </c>
      <c r="I1247" s="65">
        <f>IF(F1247,MAX(0,E1247-I6*D1247)*IFERROR(INDEX($D$158:$D$161,MATCH(C1247,$A$158:$A$161,0)),0),0)</f>
        <v>0</v>
      </c>
      <c r="J1247" s="65">
        <f t="shared" si="130"/>
        <v>0</v>
      </c>
    </row>
    <row r="1248" spans="1:10" ht="15" customHeight="1" outlineLevel="1" x14ac:dyDescent="0.2">
      <c r="A1248" s="66" t="str">
        <f t="shared" si="127"/>
        <v>R046</v>
      </c>
      <c r="B1248" s="67">
        <f>$A$1443</f>
        <v>45962</v>
      </c>
      <c r="C1248" s="66" t="str">
        <f t="shared" si="128"/>
        <v>Mid-Market AE</v>
      </c>
      <c r="D1248" s="65">
        <f>SUMIFS(Fact_Quota!$D:$D,Fact_Quota!$A:$A,$A1248,Fact_Quota!$B:$B,"&gt;="&amp;B1248,Fact_Quota!$B:$B,"&lt;"&amp;EDATE(B1248,1))</f>
        <v>0</v>
      </c>
      <c r="E1248" s="65">
        <f>SUMIFS(Fact_Pipeline!$K:$K,Fact_Pipeline!$B:$B,$A1248,Fact_Pipeline!$J:$J,"Won",Fact_Pipeline!$I:$I,"&gt;="&amp;B1248,Fact_Pipeline!$I:$I,"&lt;"&amp;EDATE(B1248,1))</f>
        <v>0</v>
      </c>
      <c r="F1248" s="66" t="b">
        <f>AND(D1248&gt;0,IFERROR(E1248/D1248&gt;=G6,FALSE()))</f>
        <v>0</v>
      </c>
      <c r="G1248" s="65">
        <f t="shared" si="129"/>
        <v>0</v>
      </c>
      <c r="H1248" s="65">
        <f>IF(F1248,MAX(0,MIN(E1248,I6*D1248)-D1248)*IFERROR(INDEX($C$158:$C$161,MATCH(C1248,$A$158:$A$161,0)),0),0)</f>
        <v>0</v>
      </c>
      <c r="I1248" s="65">
        <f>IF(F1248,MAX(0,E1248-I6*D1248)*IFERROR(INDEX($D$158:$D$161,MATCH(C1248,$A$158:$A$161,0)),0),0)</f>
        <v>0</v>
      </c>
      <c r="J1248" s="65">
        <f t="shared" si="130"/>
        <v>0</v>
      </c>
    </row>
    <row r="1249" spans="1:10" ht="15" customHeight="1" outlineLevel="1" x14ac:dyDescent="0.2">
      <c r="A1249" s="66" t="str">
        <f t="shared" si="127"/>
        <v>R046</v>
      </c>
      <c r="B1249" s="67">
        <f>$A$1444</f>
        <v>45992</v>
      </c>
      <c r="C1249" s="66" t="str">
        <f t="shared" si="128"/>
        <v>Mid-Market AE</v>
      </c>
      <c r="D1249" s="65">
        <f>SUMIFS(Fact_Quota!$D:$D,Fact_Quota!$A:$A,$A1249,Fact_Quota!$B:$B,"&gt;="&amp;B1249,Fact_Quota!$B:$B,"&lt;"&amp;EDATE(B1249,1))</f>
        <v>0</v>
      </c>
      <c r="E1249" s="65">
        <f>SUMIFS(Fact_Pipeline!$K:$K,Fact_Pipeline!$B:$B,$A1249,Fact_Pipeline!$J:$J,"Won",Fact_Pipeline!$I:$I,"&gt;="&amp;B1249,Fact_Pipeline!$I:$I,"&lt;"&amp;EDATE(B1249,1))</f>
        <v>0</v>
      </c>
      <c r="F1249" s="66" t="b">
        <f>AND(D1249&gt;0,IFERROR(E1249/D1249&gt;=G6,FALSE()))</f>
        <v>0</v>
      </c>
      <c r="G1249" s="65">
        <f t="shared" si="129"/>
        <v>0</v>
      </c>
      <c r="H1249" s="65">
        <f>IF(F1249,MAX(0,MIN(E1249,I6*D1249)-D1249)*IFERROR(INDEX($C$158:$C$161,MATCH(C1249,$A$158:$A$161,0)),0),0)</f>
        <v>0</v>
      </c>
      <c r="I1249" s="65">
        <f>IF(F1249,MAX(0,E1249-I6*D1249)*IFERROR(INDEX($D$158:$D$161,MATCH(C1249,$A$158:$A$161,0)),0),0)</f>
        <v>0</v>
      </c>
      <c r="J1249" s="65">
        <f t="shared" si="130"/>
        <v>0</v>
      </c>
    </row>
    <row r="1250" spans="1:10" ht="15" customHeight="1" outlineLevel="1" x14ac:dyDescent="0.2">
      <c r="A1250" s="63" t="str">
        <f t="shared" ref="A1250:A1273" si="131">$A$208</f>
        <v>R048</v>
      </c>
      <c r="B1250" s="64">
        <f>$A$1421</f>
        <v>45292</v>
      </c>
      <c r="C1250" s="63" t="str">
        <f t="shared" ref="C1250:C1273" si="132">$C$208</f>
        <v>Mid-Market AE</v>
      </c>
      <c r="D1250" s="62">
        <f>SUMIFS(Fact_Quota!$D:$D,Fact_Quota!$A:$A,$A1250,Fact_Quota!$B:$B,"&gt;="&amp;B1250,Fact_Quota!$B:$B,"&lt;"&amp;EDATE(B1250,1))</f>
        <v>22500</v>
      </c>
      <c r="E1250" s="62">
        <f>SUMIFS(Fact_Pipeline!$K:$K,Fact_Pipeline!$B:$B,$A1250,Fact_Pipeline!$J:$J,"Won",Fact_Pipeline!$I:$I,"&gt;="&amp;B1250,Fact_Pipeline!$I:$I,"&lt;"&amp;EDATE(B1250,1))</f>
        <v>0</v>
      </c>
      <c r="F1250" s="63" t="b">
        <f>AND(D1250&gt;0,IFERROR(E1250/D1250&gt;=G6,FALSE()))</f>
        <v>0</v>
      </c>
      <c r="G1250" s="62">
        <f t="shared" si="129"/>
        <v>0</v>
      </c>
      <c r="H1250" s="62">
        <f>IF(F1250,MAX(0,MIN(E1250,I6*D1250)-D1250)*IFERROR(INDEX($C$158:$C$161,MATCH(C1250,$A$158:$A$161,0)),0),0)</f>
        <v>0</v>
      </c>
      <c r="I1250" s="62">
        <f>IF(F1250,MAX(0,E1250-I6*D1250)*IFERROR(INDEX($D$158:$D$161,MATCH(C1250,$A$158:$A$161,0)),0),0)</f>
        <v>0</v>
      </c>
      <c r="J1250" s="62">
        <f t="shared" si="130"/>
        <v>0</v>
      </c>
    </row>
    <row r="1251" spans="1:10" ht="15" customHeight="1" outlineLevel="1" x14ac:dyDescent="0.2">
      <c r="A1251" s="63" t="str">
        <f t="shared" si="131"/>
        <v>R048</v>
      </c>
      <c r="B1251" s="64">
        <f>$A$1422</f>
        <v>45323</v>
      </c>
      <c r="C1251" s="63" t="str">
        <f t="shared" si="132"/>
        <v>Mid-Market AE</v>
      </c>
      <c r="D1251" s="62">
        <f>SUMIFS(Fact_Quota!$D:$D,Fact_Quota!$A:$A,$A1251,Fact_Quota!$B:$B,"&gt;="&amp;B1251,Fact_Quota!$B:$B,"&lt;"&amp;EDATE(B1251,1))</f>
        <v>23200</v>
      </c>
      <c r="E1251" s="62">
        <f>SUMIFS(Fact_Pipeline!$K:$K,Fact_Pipeline!$B:$B,$A1251,Fact_Pipeline!$J:$J,"Won",Fact_Pipeline!$I:$I,"&gt;="&amp;B1251,Fact_Pipeline!$I:$I,"&lt;"&amp;EDATE(B1251,1))</f>
        <v>10200</v>
      </c>
      <c r="F1251" s="63" t="b">
        <f>AND(D1251&gt;0,IFERROR(E1251/D1251&gt;=G6,FALSE()))</f>
        <v>0</v>
      </c>
      <c r="G1251" s="62">
        <f t="shared" si="129"/>
        <v>0</v>
      </c>
      <c r="H1251" s="62">
        <f>IF(F1251,MAX(0,MIN(E1251,I6*D1251)-D1251)*IFERROR(INDEX($C$158:$C$161,MATCH(C1251,$A$158:$A$161,0)),0),0)</f>
        <v>0</v>
      </c>
      <c r="I1251" s="62">
        <f>IF(F1251,MAX(0,E1251-I6*D1251)*IFERROR(INDEX($D$158:$D$161,MATCH(C1251,$A$158:$A$161,0)),0),0)</f>
        <v>0</v>
      </c>
      <c r="J1251" s="62">
        <f t="shared" si="130"/>
        <v>0</v>
      </c>
    </row>
    <row r="1252" spans="1:10" ht="15" customHeight="1" outlineLevel="1" x14ac:dyDescent="0.2">
      <c r="A1252" s="63" t="str">
        <f t="shared" si="131"/>
        <v>R048</v>
      </c>
      <c r="B1252" s="64">
        <f>$A$1423</f>
        <v>45352</v>
      </c>
      <c r="C1252" s="63" t="str">
        <f t="shared" si="132"/>
        <v>Mid-Market AE</v>
      </c>
      <c r="D1252" s="62">
        <f>SUMIFS(Fact_Quota!$D:$D,Fact_Quota!$A:$A,$A1252,Fact_Quota!$B:$B,"&gt;="&amp;B1252,Fact_Quota!$B:$B,"&lt;"&amp;EDATE(B1252,1))</f>
        <v>22400</v>
      </c>
      <c r="E1252" s="62">
        <f>SUMIFS(Fact_Pipeline!$K:$K,Fact_Pipeline!$B:$B,$A1252,Fact_Pipeline!$J:$J,"Won",Fact_Pipeline!$I:$I,"&gt;="&amp;B1252,Fact_Pipeline!$I:$I,"&lt;"&amp;EDATE(B1252,1))</f>
        <v>7800</v>
      </c>
      <c r="F1252" s="63" t="b">
        <f>AND(D1252&gt;0,IFERROR(E1252/D1252&gt;=G6,FALSE()))</f>
        <v>0</v>
      </c>
      <c r="G1252" s="62">
        <f t="shared" si="129"/>
        <v>0</v>
      </c>
      <c r="H1252" s="62">
        <f>IF(F1252,MAX(0,MIN(E1252,I6*D1252)-D1252)*IFERROR(INDEX($C$158:$C$161,MATCH(C1252,$A$158:$A$161,0)),0),0)</f>
        <v>0</v>
      </c>
      <c r="I1252" s="62">
        <f>IF(F1252,MAX(0,E1252-I6*D1252)*IFERROR(INDEX($D$158:$D$161,MATCH(C1252,$A$158:$A$161,0)),0),0)</f>
        <v>0</v>
      </c>
      <c r="J1252" s="62">
        <f t="shared" si="130"/>
        <v>0</v>
      </c>
    </row>
    <row r="1253" spans="1:10" ht="15" customHeight="1" outlineLevel="1" x14ac:dyDescent="0.2">
      <c r="A1253" s="63" t="str">
        <f t="shared" si="131"/>
        <v>R048</v>
      </c>
      <c r="B1253" s="64">
        <f>$A$1424</f>
        <v>45383</v>
      </c>
      <c r="C1253" s="63" t="str">
        <f t="shared" si="132"/>
        <v>Mid-Market AE</v>
      </c>
      <c r="D1253" s="62">
        <f>SUMIFS(Fact_Quota!$D:$D,Fact_Quota!$A:$A,$A1253,Fact_Quota!$B:$B,"&gt;="&amp;B1253,Fact_Quota!$B:$B,"&lt;"&amp;EDATE(B1253,1))</f>
        <v>21800</v>
      </c>
      <c r="E1253" s="62">
        <f>SUMIFS(Fact_Pipeline!$K:$K,Fact_Pipeline!$B:$B,$A1253,Fact_Pipeline!$J:$J,"Won",Fact_Pipeline!$I:$I,"&gt;="&amp;B1253,Fact_Pipeline!$I:$I,"&lt;"&amp;EDATE(B1253,1))</f>
        <v>0</v>
      </c>
      <c r="F1253" s="63" t="b">
        <f>AND(D1253&gt;0,IFERROR(E1253/D1253&gt;=G6,FALSE()))</f>
        <v>0</v>
      </c>
      <c r="G1253" s="62">
        <f t="shared" si="129"/>
        <v>0</v>
      </c>
      <c r="H1253" s="62">
        <f>IF(F1253,MAX(0,MIN(E1253,I6*D1253)-D1253)*IFERROR(INDEX($C$158:$C$161,MATCH(C1253,$A$158:$A$161,0)),0),0)</f>
        <v>0</v>
      </c>
      <c r="I1253" s="62">
        <f>IF(F1253,MAX(0,E1253-I6*D1253)*IFERROR(INDEX($D$158:$D$161,MATCH(C1253,$A$158:$A$161,0)),0),0)</f>
        <v>0</v>
      </c>
      <c r="J1253" s="62">
        <f t="shared" si="130"/>
        <v>0</v>
      </c>
    </row>
    <row r="1254" spans="1:10" ht="15" customHeight="1" outlineLevel="1" x14ac:dyDescent="0.2">
      <c r="A1254" s="63" t="str">
        <f t="shared" si="131"/>
        <v>R048</v>
      </c>
      <c r="B1254" s="64">
        <f>$A$1425</f>
        <v>45413</v>
      </c>
      <c r="C1254" s="63" t="str">
        <f t="shared" si="132"/>
        <v>Mid-Market AE</v>
      </c>
      <c r="D1254" s="62">
        <f>SUMIFS(Fact_Quota!$D:$D,Fact_Quota!$A:$A,$A1254,Fact_Quota!$B:$B,"&gt;="&amp;B1254,Fact_Quota!$B:$B,"&lt;"&amp;EDATE(B1254,1))</f>
        <v>22400</v>
      </c>
      <c r="E1254" s="62">
        <f>SUMIFS(Fact_Pipeline!$K:$K,Fact_Pipeline!$B:$B,$A1254,Fact_Pipeline!$J:$J,"Won",Fact_Pipeline!$I:$I,"&gt;="&amp;B1254,Fact_Pipeline!$I:$I,"&lt;"&amp;EDATE(B1254,1))</f>
        <v>8800</v>
      </c>
      <c r="F1254" s="63" t="b">
        <f>AND(D1254&gt;0,IFERROR(E1254/D1254&gt;=G6,FALSE()))</f>
        <v>0</v>
      </c>
      <c r="G1254" s="62">
        <f t="shared" si="129"/>
        <v>0</v>
      </c>
      <c r="H1254" s="62">
        <f>IF(F1254,MAX(0,MIN(E1254,I6*D1254)-D1254)*IFERROR(INDEX($C$158:$C$161,MATCH(C1254,$A$158:$A$161,0)),0),0)</f>
        <v>0</v>
      </c>
      <c r="I1254" s="62">
        <f>IF(F1254,MAX(0,E1254-I6*D1254)*IFERROR(INDEX($D$158:$D$161,MATCH(C1254,$A$158:$A$161,0)),0),0)</f>
        <v>0</v>
      </c>
      <c r="J1254" s="62">
        <f t="shared" si="130"/>
        <v>0</v>
      </c>
    </row>
    <row r="1255" spans="1:10" ht="15" customHeight="1" outlineLevel="1" x14ac:dyDescent="0.2">
      <c r="A1255" s="63" t="str">
        <f t="shared" si="131"/>
        <v>R048</v>
      </c>
      <c r="B1255" s="64">
        <f>$A$1426</f>
        <v>45444</v>
      </c>
      <c r="C1255" s="63" t="str">
        <f t="shared" si="132"/>
        <v>Mid-Market AE</v>
      </c>
      <c r="D1255" s="62">
        <f>SUMIFS(Fact_Quota!$D:$D,Fact_Quota!$A:$A,$A1255,Fact_Quota!$B:$B,"&gt;="&amp;B1255,Fact_Quota!$B:$B,"&lt;"&amp;EDATE(B1255,1))</f>
        <v>22700</v>
      </c>
      <c r="E1255" s="62">
        <f>SUMIFS(Fact_Pipeline!$K:$K,Fact_Pipeline!$B:$B,$A1255,Fact_Pipeline!$J:$J,"Won",Fact_Pipeline!$I:$I,"&gt;="&amp;B1255,Fact_Pipeline!$I:$I,"&lt;"&amp;EDATE(B1255,1))</f>
        <v>0</v>
      </c>
      <c r="F1255" s="63" t="b">
        <f>AND(D1255&gt;0,IFERROR(E1255/D1255&gt;=G6,FALSE()))</f>
        <v>0</v>
      </c>
      <c r="G1255" s="62">
        <f t="shared" si="129"/>
        <v>0</v>
      </c>
      <c r="H1255" s="62">
        <f>IF(F1255,MAX(0,MIN(E1255,I6*D1255)-D1255)*IFERROR(INDEX($C$158:$C$161,MATCH(C1255,$A$158:$A$161,0)),0),0)</f>
        <v>0</v>
      </c>
      <c r="I1255" s="62">
        <f>IF(F1255,MAX(0,E1255-I6*D1255)*IFERROR(INDEX($D$158:$D$161,MATCH(C1255,$A$158:$A$161,0)),0),0)</f>
        <v>0</v>
      </c>
      <c r="J1255" s="62">
        <f t="shared" si="130"/>
        <v>0</v>
      </c>
    </row>
    <row r="1256" spans="1:10" ht="15" customHeight="1" outlineLevel="1" x14ac:dyDescent="0.2">
      <c r="A1256" s="63" t="str">
        <f t="shared" si="131"/>
        <v>R048</v>
      </c>
      <c r="B1256" s="64">
        <f>$A$1427</f>
        <v>45474</v>
      </c>
      <c r="C1256" s="63" t="str">
        <f t="shared" si="132"/>
        <v>Mid-Market AE</v>
      </c>
      <c r="D1256" s="62">
        <f>SUMIFS(Fact_Quota!$D:$D,Fact_Quota!$A:$A,$A1256,Fact_Quota!$B:$B,"&gt;="&amp;B1256,Fact_Quota!$B:$B,"&lt;"&amp;EDATE(B1256,1))</f>
        <v>22500</v>
      </c>
      <c r="E1256" s="62">
        <f>SUMIFS(Fact_Pipeline!$K:$K,Fact_Pipeline!$B:$B,$A1256,Fact_Pipeline!$J:$J,"Won",Fact_Pipeline!$I:$I,"&gt;="&amp;B1256,Fact_Pipeline!$I:$I,"&lt;"&amp;EDATE(B1256,1))</f>
        <v>0</v>
      </c>
      <c r="F1256" s="63" t="b">
        <f>AND(D1256&gt;0,IFERROR(E1256/D1256&gt;=G6,FALSE()))</f>
        <v>0</v>
      </c>
      <c r="G1256" s="62">
        <f t="shared" si="129"/>
        <v>0</v>
      </c>
      <c r="H1256" s="62">
        <f>IF(F1256,MAX(0,MIN(E1256,I6*D1256)-D1256)*IFERROR(INDEX($C$158:$C$161,MATCH(C1256,$A$158:$A$161,0)),0),0)</f>
        <v>0</v>
      </c>
      <c r="I1256" s="62">
        <f>IF(F1256,MAX(0,E1256-I6*D1256)*IFERROR(INDEX($D$158:$D$161,MATCH(C1256,$A$158:$A$161,0)),0),0)</f>
        <v>0</v>
      </c>
      <c r="J1256" s="62">
        <f t="shared" si="130"/>
        <v>0</v>
      </c>
    </row>
    <row r="1257" spans="1:10" ht="15" customHeight="1" outlineLevel="1" x14ac:dyDescent="0.2">
      <c r="A1257" s="63" t="str">
        <f t="shared" si="131"/>
        <v>R048</v>
      </c>
      <c r="B1257" s="64">
        <f>$A$1428</f>
        <v>45505</v>
      </c>
      <c r="C1257" s="63" t="str">
        <f t="shared" si="132"/>
        <v>Mid-Market AE</v>
      </c>
      <c r="D1257" s="62">
        <f>SUMIFS(Fact_Quota!$D:$D,Fact_Quota!$A:$A,$A1257,Fact_Quota!$B:$B,"&gt;="&amp;B1257,Fact_Quota!$B:$B,"&lt;"&amp;EDATE(B1257,1))</f>
        <v>22300</v>
      </c>
      <c r="E1257" s="62">
        <f>SUMIFS(Fact_Pipeline!$K:$K,Fact_Pipeline!$B:$B,$A1257,Fact_Pipeline!$J:$J,"Won",Fact_Pipeline!$I:$I,"&gt;="&amp;B1257,Fact_Pipeline!$I:$I,"&lt;"&amp;EDATE(B1257,1))</f>
        <v>45900</v>
      </c>
      <c r="F1257" s="63" t="b">
        <f>AND(D1257&gt;0,IFERROR(E1257/D1257&gt;=G6,FALSE()))</f>
        <v>1</v>
      </c>
      <c r="G1257" s="62">
        <f t="shared" si="129"/>
        <v>1115</v>
      </c>
      <c r="H1257" s="62">
        <f>IF(F1257,MAX(0,MIN(E1257,I6*D1257)-D1257)*IFERROR(INDEX($C$158:$C$161,MATCH(C1257,$A$158:$A$161,0)),0),0)</f>
        <v>892</v>
      </c>
      <c r="I1257" s="62">
        <f>IF(F1257,MAX(0,E1257-I6*D1257)*IFERROR(INDEX($D$158:$D$161,MATCH(C1257,$A$158:$A$161,0)),0),0)</f>
        <v>1369.5</v>
      </c>
      <c r="J1257" s="62">
        <f t="shared" si="130"/>
        <v>3376.5</v>
      </c>
    </row>
    <row r="1258" spans="1:10" ht="15" customHeight="1" outlineLevel="1" x14ac:dyDescent="0.2">
      <c r="A1258" s="63" t="str">
        <f t="shared" si="131"/>
        <v>R048</v>
      </c>
      <c r="B1258" s="64">
        <f>$A$1429</f>
        <v>45536</v>
      </c>
      <c r="C1258" s="63" t="str">
        <f t="shared" si="132"/>
        <v>Mid-Market AE</v>
      </c>
      <c r="D1258" s="62">
        <f>SUMIFS(Fact_Quota!$D:$D,Fact_Quota!$A:$A,$A1258,Fact_Quota!$B:$B,"&gt;="&amp;B1258,Fact_Quota!$B:$B,"&lt;"&amp;EDATE(B1258,1))</f>
        <v>22700</v>
      </c>
      <c r="E1258" s="62">
        <f>SUMIFS(Fact_Pipeline!$K:$K,Fact_Pipeline!$B:$B,$A1258,Fact_Pipeline!$J:$J,"Won",Fact_Pipeline!$I:$I,"&gt;="&amp;B1258,Fact_Pipeline!$I:$I,"&lt;"&amp;EDATE(B1258,1))</f>
        <v>18700</v>
      </c>
      <c r="F1258" s="63" t="b">
        <f>AND(D1258&gt;0,IFERROR(E1258/D1258&gt;=G6,FALSE()))</f>
        <v>1</v>
      </c>
      <c r="G1258" s="62">
        <f t="shared" si="129"/>
        <v>935</v>
      </c>
      <c r="H1258" s="62">
        <f>IF(F1258,MAX(0,MIN(E1258,I6*D1258)-D1258)*IFERROR(INDEX($C$158:$C$161,MATCH(C1258,$A$158:$A$161,0)),0),0)</f>
        <v>0</v>
      </c>
      <c r="I1258" s="62">
        <f>IF(F1258,MAX(0,E1258-I6*D1258)*IFERROR(INDEX($D$158:$D$161,MATCH(C1258,$A$158:$A$161,0)),0),0)</f>
        <v>0</v>
      </c>
      <c r="J1258" s="62">
        <f t="shared" si="130"/>
        <v>935</v>
      </c>
    </row>
    <row r="1259" spans="1:10" ht="15" customHeight="1" outlineLevel="1" x14ac:dyDescent="0.2">
      <c r="A1259" s="63" t="str">
        <f t="shared" si="131"/>
        <v>R048</v>
      </c>
      <c r="B1259" s="64">
        <f>$A$1430</f>
        <v>45566</v>
      </c>
      <c r="C1259" s="63" t="str">
        <f t="shared" si="132"/>
        <v>Mid-Market AE</v>
      </c>
      <c r="D1259" s="62">
        <f>SUMIFS(Fact_Quota!$D:$D,Fact_Quota!$A:$A,$A1259,Fact_Quota!$B:$B,"&gt;="&amp;B1259,Fact_Quota!$B:$B,"&lt;"&amp;EDATE(B1259,1))</f>
        <v>22800</v>
      </c>
      <c r="E1259" s="62">
        <f>SUMIFS(Fact_Pipeline!$K:$K,Fact_Pipeline!$B:$B,$A1259,Fact_Pipeline!$J:$J,"Won",Fact_Pipeline!$I:$I,"&gt;="&amp;B1259,Fact_Pipeline!$I:$I,"&lt;"&amp;EDATE(B1259,1))</f>
        <v>29500</v>
      </c>
      <c r="F1259" s="63" t="b">
        <f>AND(D1259&gt;0,IFERROR(E1259/D1259&gt;=G6,FALSE()))</f>
        <v>1</v>
      </c>
      <c r="G1259" s="62">
        <f t="shared" si="129"/>
        <v>1140</v>
      </c>
      <c r="H1259" s="62">
        <f>IF(F1259,MAX(0,MIN(E1259,I6*D1259)-D1259)*IFERROR(INDEX($C$158:$C$161,MATCH(C1259,$A$158:$A$161,0)),0),0)</f>
        <v>536</v>
      </c>
      <c r="I1259" s="62">
        <f>IF(F1259,MAX(0,E1259-I6*D1259)*IFERROR(INDEX($D$158:$D$161,MATCH(C1259,$A$158:$A$161,0)),0),0)</f>
        <v>0</v>
      </c>
      <c r="J1259" s="62">
        <f t="shared" si="130"/>
        <v>1676</v>
      </c>
    </row>
    <row r="1260" spans="1:10" ht="15" customHeight="1" outlineLevel="1" x14ac:dyDescent="0.2">
      <c r="A1260" s="63" t="str">
        <f t="shared" si="131"/>
        <v>R048</v>
      </c>
      <c r="B1260" s="64">
        <f>$A$1431</f>
        <v>45597</v>
      </c>
      <c r="C1260" s="63" t="str">
        <f t="shared" si="132"/>
        <v>Mid-Market AE</v>
      </c>
      <c r="D1260" s="62">
        <f>SUMIFS(Fact_Quota!$D:$D,Fact_Quota!$A:$A,$A1260,Fact_Quota!$B:$B,"&gt;="&amp;B1260,Fact_Quota!$B:$B,"&lt;"&amp;EDATE(B1260,1))</f>
        <v>22900</v>
      </c>
      <c r="E1260" s="62">
        <f>SUMIFS(Fact_Pipeline!$K:$K,Fact_Pipeline!$B:$B,$A1260,Fact_Pipeline!$J:$J,"Won",Fact_Pipeline!$I:$I,"&gt;="&amp;B1260,Fact_Pipeline!$I:$I,"&lt;"&amp;EDATE(B1260,1))</f>
        <v>0</v>
      </c>
      <c r="F1260" s="63" t="b">
        <f>AND(D1260&gt;0,IFERROR(E1260/D1260&gt;=G6,FALSE()))</f>
        <v>0</v>
      </c>
      <c r="G1260" s="62">
        <f t="shared" si="129"/>
        <v>0</v>
      </c>
      <c r="H1260" s="62">
        <f>IF(F1260,MAX(0,MIN(E1260,I6*D1260)-D1260)*IFERROR(INDEX($C$158:$C$161,MATCH(C1260,$A$158:$A$161,0)),0),0)</f>
        <v>0</v>
      </c>
      <c r="I1260" s="62">
        <f>IF(F1260,MAX(0,E1260-I6*D1260)*IFERROR(INDEX($D$158:$D$161,MATCH(C1260,$A$158:$A$161,0)),0),0)</f>
        <v>0</v>
      </c>
      <c r="J1260" s="62">
        <f t="shared" si="130"/>
        <v>0</v>
      </c>
    </row>
    <row r="1261" spans="1:10" ht="15" customHeight="1" outlineLevel="1" x14ac:dyDescent="0.2">
      <c r="A1261" s="63" t="str">
        <f t="shared" si="131"/>
        <v>R048</v>
      </c>
      <c r="B1261" s="64">
        <f>$A$1432</f>
        <v>45627</v>
      </c>
      <c r="C1261" s="63" t="str">
        <f t="shared" si="132"/>
        <v>Mid-Market AE</v>
      </c>
      <c r="D1261" s="62">
        <f>SUMIFS(Fact_Quota!$D:$D,Fact_Quota!$A:$A,$A1261,Fact_Quota!$B:$B,"&gt;="&amp;B1261,Fact_Quota!$B:$B,"&lt;"&amp;EDATE(B1261,1))</f>
        <v>22400</v>
      </c>
      <c r="E1261" s="62">
        <f>SUMIFS(Fact_Pipeline!$K:$K,Fact_Pipeline!$B:$B,$A1261,Fact_Pipeline!$J:$J,"Won",Fact_Pipeline!$I:$I,"&gt;="&amp;B1261,Fact_Pipeline!$I:$I,"&lt;"&amp;EDATE(B1261,1))</f>
        <v>60600</v>
      </c>
      <c r="F1261" s="63" t="b">
        <f>AND(D1261&gt;0,IFERROR(E1261/D1261&gt;=G6,FALSE()))</f>
        <v>1</v>
      </c>
      <c r="G1261" s="62">
        <f t="shared" si="129"/>
        <v>1120</v>
      </c>
      <c r="H1261" s="62">
        <f>IF(F1261,MAX(0,MIN(E1261,I6*D1261)-D1261)*IFERROR(INDEX($C$158:$C$161,MATCH(C1261,$A$158:$A$161,0)),0),0)</f>
        <v>896</v>
      </c>
      <c r="I1261" s="62">
        <f>IF(F1261,MAX(0,E1261-I6*D1261)*IFERROR(INDEX($D$158:$D$161,MATCH(C1261,$A$158:$A$161,0)),0),0)</f>
        <v>2970</v>
      </c>
      <c r="J1261" s="62">
        <f t="shared" si="130"/>
        <v>4986</v>
      </c>
    </row>
    <row r="1262" spans="1:10" ht="15" customHeight="1" outlineLevel="1" x14ac:dyDescent="0.2">
      <c r="A1262" s="63" t="str">
        <f t="shared" si="131"/>
        <v>R048</v>
      </c>
      <c r="B1262" s="64">
        <f>$A$1433</f>
        <v>45658</v>
      </c>
      <c r="C1262" s="63" t="str">
        <f t="shared" si="132"/>
        <v>Mid-Market AE</v>
      </c>
      <c r="D1262" s="62">
        <f>SUMIFS(Fact_Quota!$D:$D,Fact_Quota!$A:$A,$A1262,Fact_Quota!$B:$B,"&gt;="&amp;B1262,Fact_Quota!$B:$B,"&lt;"&amp;EDATE(B1262,1))</f>
        <v>21900</v>
      </c>
      <c r="E1262" s="62">
        <f>SUMIFS(Fact_Pipeline!$K:$K,Fact_Pipeline!$B:$B,$A1262,Fact_Pipeline!$J:$J,"Won",Fact_Pipeline!$I:$I,"&gt;="&amp;B1262,Fact_Pipeline!$I:$I,"&lt;"&amp;EDATE(B1262,1))</f>
        <v>65900</v>
      </c>
      <c r="F1262" s="63" t="b">
        <f>AND(D1262&gt;0,IFERROR(E1262/D1262&gt;=G6,FALSE()))</f>
        <v>1</v>
      </c>
      <c r="G1262" s="62">
        <f t="shared" si="129"/>
        <v>1095</v>
      </c>
      <c r="H1262" s="62">
        <f>IF(F1262,MAX(0,MIN(E1262,I6*D1262)-D1262)*IFERROR(INDEX($C$158:$C$161,MATCH(C1262,$A$158:$A$161,0)),0),0)</f>
        <v>876</v>
      </c>
      <c r="I1262" s="62">
        <f>IF(F1262,MAX(0,E1262-I6*D1262)*IFERROR(INDEX($D$158:$D$161,MATCH(C1262,$A$158:$A$161,0)),0),0)</f>
        <v>3635.5</v>
      </c>
      <c r="J1262" s="62">
        <f t="shared" si="130"/>
        <v>5606.5</v>
      </c>
    </row>
    <row r="1263" spans="1:10" ht="15" customHeight="1" outlineLevel="1" x14ac:dyDescent="0.2">
      <c r="A1263" s="63" t="str">
        <f t="shared" si="131"/>
        <v>R048</v>
      </c>
      <c r="B1263" s="64">
        <f>$A$1434</f>
        <v>45689</v>
      </c>
      <c r="C1263" s="63" t="str">
        <f t="shared" si="132"/>
        <v>Mid-Market AE</v>
      </c>
      <c r="D1263" s="62">
        <f>SUMIFS(Fact_Quota!$D:$D,Fact_Quota!$A:$A,$A1263,Fact_Quota!$B:$B,"&gt;="&amp;B1263,Fact_Quota!$B:$B,"&lt;"&amp;EDATE(B1263,1))</f>
        <v>22100</v>
      </c>
      <c r="E1263" s="62">
        <f>SUMIFS(Fact_Pipeline!$K:$K,Fact_Pipeline!$B:$B,$A1263,Fact_Pipeline!$J:$J,"Won",Fact_Pipeline!$I:$I,"&gt;="&amp;B1263,Fact_Pipeline!$I:$I,"&lt;"&amp;EDATE(B1263,1))</f>
        <v>20800</v>
      </c>
      <c r="F1263" s="63" t="b">
        <f>AND(D1263&gt;0,IFERROR(E1263/D1263&gt;=G6,FALSE()))</f>
        <v>1</v>
      </c>
      <c r="G1263" s="62">
        <f t="shared" si="129"/>
        <v>1040</v>
      </c>
      <c r="H1263" s="62">
        <f>IF(F1263,MAX(0,MIN(E1263,I6*D1263)-D1263)*IFERROR(INDEX($C$158:$C$161,MATCH(C1263,$A$158:$A$161,0)),0),0)</f>
        <v>0</v>
      </c>
      <c r="I1263" s="62">
        <f>IF(F1263,MAX(0,E1263-I6*D1263)*IFERROR(INDEX($D$158:$D$161,MATCH(C1263,$A$158:$A$161,0)),0),0)</f>
        <v>0</v>
      </c>
      <c r="J1263" s="62">
        <f t="shared" si="130"/>
        <v>1040</v>
      </c>
    </row>
    <row r="1264" spans="1:10" ht="15" customHeight="1" outlineLevel="1" x14ac:dyDescent="0.2">
      <c r="A1264" s="63" t="str">
        <f t="shared" si="131"/>
        <v>R048</v>
      </c>
      <c r="B1264" s="64">
        <f>$A$1435</f>
        <v>45717</v>
      </c>
      <c r="C1264" s="63" t="str">
        <f t="shared" si="132"/>
        <v>Mid-Market AE</v>
      </c>
      <c r="D1264" s="62">
        <f>SUMIFS(Fact_Quota!$D:$D,Fact_Quota!$A:$A,$A1264,Fact_Quota!$B:$B,"&gt;="&amp;B1264,Fact_Quota!$B:$B,"&lt;"&amp;EDATE(B1264,1))</f>
        <v>22800</v>
      </c>
      <c r="E1264" s="62">
        <f>SUMIFS(Fact_Pipeline!$K:$K,Fact_Pipeline!$B:$B,$A1264,Fact_Pipeline!$J:$J,"Won",Fact_Pipeline!$I:$I,"&gt;="&amp;B1264,Fact_Pipeline!$I:$I,"&lt;"&amp;EDATE(B1264,1))</f>
        <v>46100</v>
      </c>
      <c r="F1264" s="63" t="b">
        <f>AND(D1264&gt;0,IFERROR(E1264/D1264&gt;=G6,FALSE()))</f>
        <v>1</v>
      </c>
      <c r="G1264" s="62">
        <f t="shared" si="129"/>
        <v>1140</v>
      </c>
      <c r="H1264" s="62">
        <f>IF(F1264,MAX(0,MIN(E1264,I6*D1264)-D1264)*IFERROR(INDEX($C$158:$C$161,MATCH(C1264,$A$158:$A$161,0)),0),0)</f>
        <v>912</v>
      </c>
      <c r="I1264" s="62">
        <f>IF(F1264,MAX(0,E1264-I6*D1264)*IFERROR(INDEX($D$158:$D$161,MATCH(C1264,$A$158:$A$161,0)),0),0)</f>
        <v>1309</v>
      </c>
      <c r="J1264" s="62">
        <f t="shared" si="130"/>
        <v>3361</v>
      </c>
    </row>
    <row r="1265" spans="1:10" ht="15" customHeight="1" outlineLevel="1" x14ac:dyDescent="0.2">
      <c r="A1265" s="63" t="str">
        <f t="shared" si="131"/>
        <v>R048</v>
      </c>
      <c r="B1265" s="64">
        <f>$A$1436</f>
        <v>45748</v>
      </c>
      <c r="C1265" s="63" t="str">
        <f t="shared" si="132"/>
        <v>Mid-Market AE</v>
      </c>
      <c r="D1265" s="62">
        <f>SUMIFS(Fact_Quota!$D:$D,Fact_Quota!$A:$A,$A1265,Fact_Quota!$B:$B,"&gt;="&amp;B1265,Fact_Quota!$B:$B,"&lt;"&amp;EDATE(B1265,1))</f>
        <v>21500</v>
      </c>
      <c r="E1265" s="62">
        <f>SUMIFS(Fact_Pipeline!$K:$K,Fact_Pipeline!$B:$B,$A1265,Fact_Pipeline!$J:$J,"Won",Fact_Pipeline!$I:$I,"&gt;="&amp;B1265,Fact_Pipeline!$I:$I,"&lt;"&amp;EDATE(B1265,1))</f>
        <v>8500</v>
      </c>
      <c r="F1265" s="63" t="b">
        <f>AND(D1265&gt;0,IFERROR(E1265/D1265&gt;=G6,FALSE()))</f>
        <v>0</v>
      </c>
      <c r="G1265" s="62">
        <f t="shared" si="129"/>
        <v>0</v>
      </c>
      <c r="H1265" s="62">
        <f>IF(F1265,MAX(0,MIN(E1265,I6*D1265)-D1265)*IFERROR(INDEX($C$158:$C$161,MATCH(C1265,$A$158:$A$161,0)),0),0)</f>
        <v>0</v>
      </c>
      <c r="I1265" s="62">
        <f>IF(F1265,MAX(0,E1265-I6*D1265)*IFERROR(INDEX($D$158:$D$161,MATCH(C1265,$A$158:$A$161,0)),0),0)</f>
        <v>0</v>
      </c>
      <c r="J1265" s="62">
        <f t="shared" si="130"/>
        <v>0</v>
      </c>
    </row>
    <row r="1266" spans="1:10" ht="15" customHeight="1" outlineLevel="1" x14ac:dyDescent="0.2">
      <c r="A1266" s="63" t="str">
        <f t="shared" si="131"/>
        <v>R048</v>
      </c>
      <c r="B1266" s="64">
        <f>$A$1437</f>
        <v>45778</v>
      </c>
      <c r="C1266" s="63" t="str">
        <f t="shared" si="132"/>
        <v>Mid-Market AE</v>
      </c>
      <c r="D1266" s="62">
        <f>SUMIFS(Fact_Quota!$D:$D,Fact_Quota!$A:$A,$A1266,Fact_Quota!$B:$B,"&gt;="&amp;B1266,Fact_Quota!$B:$B,"&lt;"&amp;EDATE(B1266,1))</f>
        <v>22200</v>
      </c>
      <c r="E1266" s="62">
        <f>SUMIFS(Fact_Pipeline!$K:$K,Fact_Pipeline!$B:$B,$A1266,Fact_Pipeline!$J:$J,"Won",Fact_Pipeline!$I:$I,"&gt;="&amp;B1266,Fact_Pipeline!$I:$I,"&lt;"&amp;EDATE(B1266,1))</f>
        <v>34800</v>
      </c>
      <c r="F1266" s="63" t="b">
        <f>AND(D1266&gt;0,IFERROR(E1266/D1266&gt;=G6,FALSE()))</f>
        <v>1</v>
      </c>
      <c r="G1266" s="62">
        <f t="shared" si="129"/>
        <v>1110</v>
      </c>
      <c r="H1266" s="62">
        <f>IF(F1266,MAX(0,MIN(E1266,I6*D1266)-D1266)*IFERROR(INDEX($C$158:$C$161,MATCH(C1266,$A$158:$A$161,0)),0),0)</f>
        <v>888</v>
      </c>
      <c r="I1266" s="62">
        <f>IF(F1266,MAX(0,E1266-I6*D1266)*IFERROR(INDEX($D$158:$D$161,MATCH(C1266,$A$158:$A$161,0)),0),0)</f>
        <v>165</v>
      </c>
      <c r="J1266" s="62">
        <f t="shared" si="130"/>
        <v>2163</v>
      </c>
    </row>
    <row r="1267" spans="1:10" ht="15" customHeight="1" outlineLevel="1" x14ac:dyDescent="0.2">
      <c r="A1267" s="63" t="str">
        <f t="shared" si="131"/>
        <v>R048</v>
      </c>
      <c r="B1267" s="64">
        <f>$A$1438</f>
        <v>45809</v>
      </c>
      <c r="C1267" s="63" t="str">
        <f t="shared" si="132"/>
        <v>Mid-Market AE</v>
      </c>
      <c r="D1267" s="62">
        <f>SUMIFS(Fact_Quota!$D:$D,Fact_Quota!$A:$A,$A1267,Fact_Quota!$B:$B,"&gt;="&amp;B1267,Fact_Quota!$B:$B,"&lt;"&amp;EDATE(B1267,1))</f>
        <v>21700</v>
      </c>
      <c r="E1267" s="62">
        <f>SUMIFS(Fact_Pipeline!$K:$K,Fact_Pipeline!$B:$B,$A1267,Fact_Pipeline!$J:$J,"Won",Fact_Pipeline!$I:$I,"&gt;="&amp;B1267,Fact_Pipeline!$I:$I,"&lt;"&amp;EDATE(B1267,1))</f>
        <v>0</v>
      </c>
      <c r="F1267" s="63" t="b">
        <f>AND(D1267&gt;0,IFERROR(E1267/D1267&gt;=G6,FALSE()))</f>
        <v>0</v>
      </c>
      <c r="G1267" s="62">
        <f t="shared" si="129"/>
        <v>0</v>
      </c>
      <c r="H1267" s="62">
        <f>IF(F1267,MAX(0,MIN(E1267,I6*D1267)-D1267)*IFERROR(INDEX($C$158:$C$161,MATCH(C1267,$A$158:$A$161,0)),0),0)</f>
        <v>0</v>
      </c>
      <c r="I1267" s="62">
        <f>IF(F1267,MAX(0,E1267-I6*D1267)*IFERROR(INDEX($D$158:$D$161,MATCH(C1267,$A$158:$A$161,0)),0),0)</f>
        <v>0</v>
      </c>
      <c r="J1267" s="62">
        <f t="shared" si="130"/>
        <v>0</v>
      </c>
    </row>
    <row r="1268" spans="1:10" ht="15" customHeight="1" outlineLevel="1" x14ac:dyDescent="0.2">
      <c r="A1268" s="63" t="str">
        <f t="shared" si="131"/>
        <v>R048</v>
      </c>
      <c r="B1268" s="64">
        <f>$A$1439</f>
        <v>45839</v>
      </c>
      <c r="C1268" s="63" t="str">
        <f t="shared" si="132"/>
        <v>Mid-Market AE</v>
      </c>
      <c r="D1268" s="62">
        <f>SUMIFS(Fact_Quota!$D:$D,Fact_Quota!$A:$A,$A1268,Fact_Quota!$B:$B,"&gt;="&amp;B1268,Fact_Quota!$B:$B,"&lt;"&amp;EDATE(B1268,1))</f>
        <v>22000</v>
      </c>
      <c r="E1268" s="62">
        <f>SUMIFS(Fact_Pipeline!$K:$K,Fact_Pipeline!$B:$B,$A1268,Fact_Pipeline!$J:$J,"Won",Fact_Pipeline!$I:$I,"&gt;="&amp;B1268,Fact_Pipeline!$I:$I,"&lt;"&amp;EDATE(B1268,1))</f>
        <v>8900</v>
      </c>
      <c r="F1268" s="63" t="b">
        <f>AND(D1268&gt;0,IFERROR(E1268/D1268&gt;=G6,FALSE()))</f>
        <v>0</v>
      </c>
      <c r="G1268" s="62">
        <f t="shared" si="129"/>
        <v>0</v>
      </c>
      <c r="H1268" s="62">
        <f>IF(F1268,MAX(0,MIN(E1268,I6*D1268)-D1268)*IFERROR(INDEX($C$158:$C$161,MATCH(C1268,$A$158:$A$161,0)),0),0)</f>
        <v>0</v>
      </c>
      <c r="I1268" s="62">
        <f>IF(F1268,MAX(0,E1268-I6*D1268)*IFERROR(INDEX($D$158:$D$161,MATCH(C1268,$A$158:$A$161,0)),0),0)</f>
        <v>0</v>
      </c>
      <c r="J1268" s="62">
        <f t="shared" si="130"/>
        <v>0</v>
      </c>
    </row>
    <row r="1269" spans="1:10" ht="15" customHeight="1" outlineLevel="1" x14ac:dyDescent="0.2">
      <c r="A1269" s="63" t="str">
        <f t="shared" si="131"/>
        <v>R048</v>
      </c>
      <c r="B1269" s="64">
        <f>$A$1440</f>
        <v>45870</v>
      </c>
      <c r="C1269" s="63" t="str">
        <f t="shared" si="132"/>
        <v>Mid-Market AE</v>
      </c>
      <c r="D1269" s="62">
        <f>SUMIFS(Fact_Quota!$D:$D,Fact_Quota!$A:$A,$A1269,Fact_Quota!$B:$B,"&gt;="&amp;B1269,Fact_Quota!$B:$B,"&lt;"&amp;EDATE(B1269,1))</f>
        <v>22800</v>
      </c>
      <c r="E1269" s="62">
        <f>SUMIFS(Fact_Pipeline!$K:$K,Fact_Pipeline!$B:$B,$A1269,Fact_Pipeline!$J:$J,"Won",Fact_Pipeline!$I:$I,"&gt;="&amp;B1269,Fact_Pipeline!$I:$I,"&lt;"&amp;EDATE(B1269,1))</f>
        <v>26000</v>
      </c>
      <c r="F1269" s="63" t="b">
        <f>AND(D1269&gt;0,IFERROR(E1269/D1269&gt;=G6,FALSE()))</f>
        <v>1</v>
      </c>
      <c r="G1269" s="62">
        <f t="shared" si="129"/>
        <v>1140</v>
      </c>
      <c r="H1269" s="62">
        <f>IF(F1269,MAX(0,MIN(E1269,I6*D1269)-D1269)*IFERROR(INDEX($C$158:$C$161,MATCH(C1269,$A$158:$A$161,0)),0),0)</f>
        <v>256</v>
      </c>
      <c r="I1269" s="62">
        <f>IF(F1269,MAX(0,E1269-I6*D1269)*IFERROR(INDEX($D$158:$D$161,MATCH(C1269,$A$158:$A$161,0)),0),0)</f>
        <v>0</v>
      </c>
      <c r="J1269" s="62">
        <f t="shared" si="130"/>
        <v>1396</v>
      </c>
    </row>
    <row r="1270" spans="1:10" ht="15" customHeight="1" outlineLevel="1" x14ac:dyDescent="0.2">
      <c r="A1270" s="63" t="str">
        <f t="shared" si="131"/>
        <v>R048</v>
      </c>
      <c r="B1270" s="64">
        <f>$A$1441</f>
        <v>45901</v>
      </c>
      <c r="C1270" s="63" t="str">
        <f t="shared" si="132"/>
        <v>Mid-Market AE</v>
      </c>
      <c r="D1270" s="62">
        <f>SUMIFS(Fact_Quota!$D:$D,Fact_Quota!$A:$A,$A1270,Fact_Quota!$B:$B,"&gt;="&amp;B1270,Fact_Quota!$B:$B,"&lt;"&amp;EDATE(B1270,1))</f>
        <v>22100</v>
      </c>
      <c r="E1270" s="62">
        <f>SUMIFS(Fact_Pipeline!$K:$K,Fact_Pipeline!$B:$B,$A1270,Fact_Pipeline!$J:$J,"Won",Fact_Pipeline!$I:$I,"&gt;="&amp;B1270,Fact_Pipeline!$I:$I,"&lt;"&amp;EDATE(B1270,1))</f>
        <v>35800</v>
      </c>
      <c r="F1270" s="63" t="b">
        <f>AND(D1270&gt;0,IFERROR(E1270/D1270&gt;=G6,FALSE()))</f>
        <v>1</v>
      </c>
      <c r="G1270" s="62">
        <f t="shared" si="129"/>
        <v>1105</v>
      </c>
      <c r="H1270" s="62">
        <f>IF(F1270,MAX(0,MIN(E1270,I6*D1270)-D1270)*IFERROR(INDEX($C$158:$C$161,MATCH(C1270,$A$158:$A$161,0)),0),0)</f>
        <v>884</v>
      </c>
      <c r="I1270" s="62">
        <f>IF(F1270,MAX(0,E1270-I6*D1270)*IFERROR(INDEX($D$158:$D$161,MATCH(C1270,$A$158:$A$161,0)),0),0)</f>
        <v>291.5</v>
      </c>
      <c r="J1270" s="62">
        <f t="shared" si="130"/>
        <v>2280.5</v>
      </c>
    </row>
    <row r="1271" spans="1:10" ht="15" customHeight="1" outlineLevel="1" x14ac:dyDescent="0.2">
      <c r="A1271" s="63" t="str">
        <f t="shared" si="131"/>
        <v>R048</v>
      </c>
      <c r="B1271" s="64">
        <f>$A$1442</f>
        <v>45931</v>
      </c>
      <c r="C1271" s="63" t="str">
        <f t="shared" si="132"/>
        <v>Mid-Market AE</v>
      </c>
      <c r="D1271" s="62">
        <f>SUMIFS(Fact_Quota!$D:$D,Fact_Quota!$A:$A,$A1271,Fact_Quota!$B:$B,"&gt;="&amp;B1271,Fact_Quota!$B:$B,"&lt;"&amp;EDATE(B1271,1))</f>
        <v>22000</v>
      </c>
      <c r="E1271" s="62">
        <f>SUMIFS(Fact_Pipeline!$K:$K,Fact_Pipeline!$B:$B,$A1271,Fact_Pipeline!$J:$J,"Won",Fact_Pipeline!$I:$I,"&gt;="&amp;B1271,Fact_Pipeline!$I:$I,"&lt;"&amp;EDATE(B1271,1))</f>
        <v>0</v>
      </c>
      <c r="F1271" s="63" t="b">
        <f>AND(D1271&gt;0,IFERROR(E1271/D1271&gt;=G6,FALSE()))</f>
        <v>0</v>
      </c>
      <c r="G1271" s="62">
        <f t="shared" si="129"/>
        <v>0</v>
      </c>
      <c r="H1271" s="62">
        <f>IF(F1271,MAX(0,MIN(E1271,I6*D1271)-D1271)*IFERROR(INDEX($C$158:$C$161,MATCH(C1271,$A$158:$A$161,0)),0),0)</f>
        <v>0</v>
      </c>
      <c r="I1271" s="62">
        <f>IF(F1271,MAX(0,E1271-I6*D1271)*IFERROR(INDEX($D$158:$D$161,MATCH(C1271,$A$158:$A$161,0)),0),0)</f>
        <v>0</v>
      </c>
      <c r="J1271" s="62">
        <f t="shared" si="130"/>
        <v>0</v>
      </c>
    </row>
    <row r="1272" spans="1:10" ht="15" customHeight="1" outlineLevel="1" x14ac:dyDescent="0.2">
      <c r="A1272" s="63" t="str">
        <f t="shared" si="131"/>
        <v>R048</v>
      </c>
      <c r="B1272" s="64">
        <f>$A$1443</f>
        <v>45962</v>
      </c>
      <c r="C1272" s="63" t="str">
        <f t="shared" si="132"/>
        <v>Mid-Market AE</v>
      </c>
      <c r="D1272" s="62">
        <f>SUMIFS(Fact_Quota!$D:$D,Fact_Quota!$A:$A,$A1272,Fact_Quota!$B:$B,"&gt;="&amp;B1272,Fact_Quota!$B:$B,"&lt;"&amp;EDATE(B1272,1))</f>
        <v>21100</v>
      </c>
      <c r="E1272" s="62">
        <f>SUMIFS(Fact_Pipeline!$K:$K,Fact_Pipeline!$B:$B,$A1272,Fact_Pipeline!$J:$J,"Won",Fact_Pipeline!$I:$I,"&gt;="&amp;B1272,Fact_Pipeline!$I:$I,"&lt;"&amp;EDATE(B1272,1))</f>
        <v>30300</v>
      </c>
      <c r="F1272" s="63" t="b">
        <f>AND(D1272&gt;0,IFERROR(E1272/D1272&gt;=G6,FALSE()))</f>
        <v>1</v>
      </c>
      <c r="G1272" s="62">
        <f t="shared" si="129"/>
        <v>1055</v>
      </c>
      <c r="H1272" s="62">
        <f>IF(F1272,MAX(0,MIN(E1272,I6*D1272)-D1272)*IFERROR(INDEX($C$158:$C$161,MATCH(C1272,$A$158:$A$161,0)),0),0)</f>
        <v>736</v>
      </c>
      <c r="I1272" s="62">
        <f>IF(F1272,MAX(0,E1272-I6*D1272)*IFERROR(INDEX($D$158:$D$161,MATCH(C1272,$A$158:$A$161,0)),0),0)</f>
        <v>0</v>
      </c>
      <c r="J1272" s="62">
        <f t="shared" si="130"/>
        <v>1791</v>
      </c>
    </row>
    <row r="1273" spans="1:10" ht="15" customHeight="1" outlineLevel="1" x14ac:dyDescent="0.2">
      <c r="A1273" s="63" t="str">
        <f t="shared" si="131"/>
        <v>R048</v>
      </c>
      <c r="B1273" s="64">
        <f>$A$1444</f>
        <v>45992</v>
      </c>
      <c r="C1273" s="63" t="str">
        <f t="shared" si="132"/>
        <v>Mid-Market AE</v>
      </c>
      <c r="D1273" s="62">
        <f>SUMIFS(Fact_Quota!$D:$D,Fact_Quota!$A:$A,$A1273,Fact_Quota!$B:$B,"&gt;="&amp;B1273,Fact_Quota!$B:$B,"&lt;"&amp;EDATE(B1273,1))</f>
        <v>22500</v>
      </c>
      <c r="E1273" s="62">
        <f>SUMIFS(Fact_Pipeline!$K:$K,Fact_Pipeline!$B:$B,$A1273,Fact_Pipeline!$J:$J,"Won",Fact_Pipeline!$I:$I,"&gt;="&amp;B1273,Fact_Pipeline!$I:$I,"&lt;"&amp;EDATE(B1273,1))</f>
        <v>30800</v>
      </c>
      <c r="F1273" s="63" t="b">
        <f>AND(D1273&gt;0,IFERROR(E1273/D1273&gt;=G6,FALSE()))</f>
        <v>1</v>
      </c>
      <c r="G1273" s="62">
        <f t="shared" si="129"/>
        <v>1125</v>
      </c>
      <c r="H1273" s="62">
        <f>IF(F1273,MAX(0,MIN(E1273,I6*D1273)-D1273)*IFERROR(INDEX($C$158:$C$161,MATCH(C1273,$A$158:$A$161,0)),0),0)</f>
        <v>664</v>
      </c>
      <c r="I1273" s="62">
        <f>IF(F1273,MAX(0,E1273-I6*D1273)*IFERROR(INDEX($D$158:$D$161,MATCH(C1273,$A$158:$A$161,0)),0),0)</f>
        <v>0</v>
      </c>
      <c r="J1273" s="62">
        <f t="shared" si="130"/>
        <v>1789</v>
      </c>
    </row>
    <row r="1274" spans="1:10" ht="15" customHeight="1" outlineLevel="1" x14ac:dyDescent="0.2">
      <c r="A1274" s="66" t="str">
        <f t="shared" ref="A1274:A1297" si="133">$A$209</f>
        <v>R049</v>
      </c>
      <c r="B1274" s="67">
        <f>$A$1421</f>
        <v>45292</v>
      </c>
      <c r="C1274" s="66" t="str">
        <f t="shared" ref="C1274:C1297" si="134">$C$209</f>
        <v>Mid-Market AE</v>
      </c>
      <c r="D1274" s="65">
        <f>SUMIFS(Fact_Quota!$D:$D,Fact_Quota!$A:$A,$A1274,Fact_Quota!$B:$B,"&gt;="&amp;B1274,Fact_Quota!$B:$B,"&lt;"&amp;EDATE(B1274,1))</f>
        <v>0</v>
      </c>
      <c r="E1274" s="65">
        <f>SUMIFS(Fact_Pipeline!$K:$K,Fact_Pipeline!$B:$B,$A1274,Fact_Pipeline!$J:$J,"Won",Fact_Pipeline!$I:$I,"&gt;="&amp;B1274,Fact_Pipeline!$I:$I,"&lt;"&amp;EDATE(B1274,1))</f>
        <v>0</v>
      </c>
      <c r="F1274" s="66" t="b">
        <f>AND(D1274&gt;0,IFERROR(E1274/D1274&gt;=G6,FALSE()))</f>
        <v>0</v>
      </c>
      <c r="G1274" s="65">
        <f t="shared" si="129"/>
        <v>0</v>
      </c>
      <c r="H1274" s="65">
        <f>IF(F1274,MAX(0,MIN(E1274,I6*D1274)-D1274)*IFERROR(INDEX($C$158:$C$161,MATCH(C1274,$A$158:$A$161,0)),0),0)</f>
        <v>0</v>
      </c>
      <c r="I1274" s="65">
        <f>IF(F1274,MAX(0,E1274-I6*D1274)*IFERROR(INDEX($D$158:$D$161,MATCH(C1274,$A$158:$A$161,0)),0),0)</f>
        <v>0</v>
      </c>
      <c r="J1274" s="65">
        <f t="shared" si="130"/>
        <v>0</v>
      </c>
    </row>
    <row r="1275" spans="1:10" ht="15" customHeight="1" outlineLevel="1" x14ac:dyDescent="0.2">
      <c r="A1275" s="66" t="str">
        <f t="shared" si="133"/>
        <v>R049</v>
      </c>
      <c r="B1275" s="67">
        <f>$A$1422</f>
        <v>45323</v>
      </c>
      <c r="C1275" s="66" t="str">
        <f t="shared" si="134"/>
        <v>Mid-Market AE</v>
      </c>
      <c r="D1275" s="65">
        <f>SUMIFS(Fact_Quota!$D:$D,Fact_Quota!$A:$A,$A1275,Fact_Quota!$B:$B,"&gt;="&amp;B1275,Fact_Quota!$B:$B,"&lt;"&amp;EDATE(B1275,1))</f>
        <v>0</v>
      </c>
      <c r="E1275" s="65">
        <f>SUMIFS(Fact_Pipeline!$K:$K,Fact_Pipeline!$B:$B,$A1275,Fact_Pipeline!$J:$J,"Won",Fact_Pipeline!$I:$I,"&gt;="&amp;B1275,Fact_Pipeline!$I:$I,"&lt;"&amp;EDATE(B1275,1))</f>
        <v>0</v>
      </c>
      <c r="F1275" s="66" t="b">
        <f>AND(D1275&gt;0,IFERROR(E1275/D1275&gt;=G6,FALSE()))</f>
        <v>0</v>
      </c>
      <c r="G1275" s="65">
        <f t="shared" si="129"/>
        <v>0</v>
      </c>
      <c r="H1275" s="65">
        <f>IF(F1275,MAX(0,MIN(E1275,I6*D1275)-D1275)*IFERROR(INDEX($C$158:$C$161,MATCH(C1275,$A$158:$A$161,0)),0),0)</f>
        <v>0</v>
      </c>
      <c r="I1275" s="65">
        <f>IF(F1275,MAX(0,E1275-I6*D1275)*IFERROR(INDEX($D$158:$D$161,MATCH(C1275,$A$158:$A$161,0)),0),0)</f>
        <v>0</v>
      </c>
      <c r="J1275" s="65">
        <f t="shared" si="130"/>
        <v>0</v>
      </c>
    </row>
    <row r="1276" spans="1:10" ht="15" customHeight="1" outlineLevel="1" x14ac:dyDescent="0.2">
      <c r="A1276" s="66" t="str">
        <f t="shared" si="133"/>
        <v>R049</v>
      </c>
      <c r="B1276" s="67">
        <f>$A$1423</f>
        <v>45352</v>
      </c>
      <c r="C1276" s="66" t="str">
        <f t="shared" si="134"/>
        <v>Mid-Market AE</v>
      </c>
      <c r="D1276" s="65">
        <f>SUMIFS(Fact_Quota!$D:$D,Fact_Quota!$A:$A,$A1276,Fact_Quota!$B:$B,"&gt;="&amp;B1276,Fact_Quota!$B:$B,"&lt;"&amp;EDATE(B1276,1))</f>
        <v>0</v>
      </c>
      <c r="E1276" s="65">
        <f>SUMIFS(Fact_Pipeline!$K:$K,Fact_Pipeline!$B:$B,$A1276,Fact_Pipeline!$J:$J,"Won",Fact_Pipeline!$I:$I,"&gt;="&amp;B1276,Fact_Pipeline!$I:$I,"&lt;"&amp;EDATE(B1276,1))</f>
        <v>0</v>
      </c>
      <c r="F1276" s="66" t="b">
        <f>AND(D1276&gt;0,IFERROR(E1276/D1276&gt;=G6,FALSE()))</f>
        <v>0</v>
      </c>
      <c r="G1276" s="65">
        <f t="shared" si="129"/>
        <v>0</v>
      </c>
      <c r="H1276" s="65">
        <f>IF(F1276,MAX(0,MIN(E1276,I6*D1276)-D1276)*IFERROR(INDEX($C$158:$C$161,MATCH(C1276,$A$158:$A$161,0)),0),0)</f>
        <v>0</v>
      </c>
      <c r="I1276" s="65">
        <f>IF(F1276,MAX(0,E1276-I6*D1276)*IFERROR(INDEX($D$158:$D$161,MATCH(C1276,$A$158:$A$161,0)),0),0)</f>
        <v>0</v>
      </c>
      <c r="J1276" s="65">
        <f t="shared" si="130"/>
        <v>0</v>
      </c>
    </row>
    <row r="1277" spans="1:10" ht="15" customHeight="1" outlineLevel="1" x14ac:dyDescent="0.2">
      <c r="A1277" s="66" t="str">
        <f t="shared" si="133"/>
        <v>R049</v>
      </c>
      <c r="B1277" s="67">
        <f>$A$1424</f>
        <v>45383</v>
      </c>
      <c r="C1277" s="66" t="str">
        <f t="shared" si="134"/>
        <v>Mid-Market AE</v>
      </c>
      <c r="D1277" s="65">
        <f>SUMIFS(Fact_Quota!$D:$D,Fact_Quota!$A:$A,$A1277,Fact_Quota!$B:$B,"&gt;="&amp;B1277,Fact_Quota!$B:$B,"&lt;"&amp;EDATE(B1277,1))</f>
        <v>0</v>
      </c>
      <c r="E1277" s="65">
        <f>SUMIFS(Fact_Pipeline!$K:$K,Fact_Pipeline!$B:$B,$A1277,Fact_Pipeline!$J:$J,"Won",Fact_Pipeline!$I:$I,"&gt;="&amp;B1277,Fact_Pipeline!$I:$I,"&lt;"&amp;EDATE(B1277,1))</f>
        <v>0</v>
      </c>
      <c r="F1277" s="66" t="b">
        <f>AND(D1277&gt;0,IFERROR(E1277/D1277&gt;=G6,FALSE()))</f>
        <v>0</v>
      </c>
      <c r="G1277" s="65">
        <f t="shared" si="129"/>
        <v>0</v>
      </c>
      <c r="H1277" s="65">
        <f>IF(F1277,MAX(0,MIN(E1277,I6*D1277)-D1277)*IFERROR(INDEX($C$158:$C$161,MATCH(C1277,$A$158:$A$161,0)),0),0)</f>
        <v>0</v>
      </c>
      <c r="I1277" s="65">
        <f>IF(F1277,MAX(0,E1277-I6*D1277)*IFERROR(INDEX($D$158:$D$161,MATCH(C1277,$A$158:$A$161,0)),0),0)</f>
        <v>0</v>
      </c>
      <c r="J1277" s="65">
        <f t="shared" si="130"/>
        <v>0</v>
      </c>
    </row>
    <row r="1278" spans="1:10" ht="15" customHeight="1" outlineLevel="1" x14ac:dyDescent="0.2">
      <c r="A1278" s="66" t="str">
        <f t="shared" si="133"/>
        <v>R049</v>
      </c>
      <c r="B1278" s="67">
        <f>$A$1425</f>
        <v>45413</v>
      </c>
      <c r="C1278" s="66" t="str">
        <f t="shared" si="134"/>
        <v>Mid-Market AE</v>
      </c>
      <c r="D1278" s="65">
        <f>SUMIFS(Fact_Quota!$D:$D,Fact_Quota!$A:$A,$A1278,Fact_Quota!$B:$B,"&gt;="&amp;B1278,Fact_Quota!$B:$B,"&lt;"&amp;EDATE(B1278,1))</f>
        <v>5600</v>
      </c>
      <c r="E1278" s="65">
        <f>SUMIFS(Fact_Pipeline!$K:$K,Fact_Pipeline!$B:$B,$A1278,Fact_Pipeline!$J:$J,"Won",Fact_Pipeline!$I:$I,"&gt;="&amp;B1278,Fact_Pipeline!$I:$I,"&lt;"&amp;EDATE(B1278,1))</f>
        <v>0</v>
      </c>
      <c r="F1278" s="66" t="b">
        <f>AND(D1278&gt;0,IFERROR(E1278/D1278&gt;=G6,FALSE()))</f>
        <v>0</v>
      </c>
      <c r="G1278" s="65">
        <f t="shared" si="129"/>
        <v>0</v>
      </c>
      <c r="H1278" s="65">
        <f>IF(F1278,MAX(0,MIN(E1278,I6*D1278)-D1278)*IFERROR(INDEX($C$158:$C$161,MATCH(C1278,$A$158:$A$161,0)),0),0)</f>
        <v>0</v>
      </c>
      <c r="I1278" s="65">
        <f>IF(F1278,MAX(0,E1278-I6*D1278)*IFERROR(INDEX($D$158:$D$161,MATCH(C1278,$A$158:$A$161,0)),0),0)</f>
        <v>0</v>
      </c>
      <c r="J1278" s="65">
        <f t="shared" si="130"/>
        <v>0</v>
      </c>
    </row>
    <row r="1279" spans="1:10" ht="15" customHeight="1" outlineLevel="1" x14ac:dyDescent="0.2">
      <c r="A1279" s="66" t="str">
        <f t="shared" si="133"/>
        <v>R049</v>
      </c>
      <c r="B1279" s="67">
        <f>$A$1426</f>
        <v>45444</v>
      </c>
      <c r="C1279" s="66" t="str">
        <f t="shared" si="134"/>
        <v>Mid-Market AE</v>
      </c>
      <c r="D1279" s="65">
        <f>SUMIFS(Fact_Quota!$D:$D,Fact_Quota!$A:$A,$A1279,Fact_Quota!$B:$B,"&gt;="&amp;B1279,Fact_Quota!$B:$B,"&lt;"&amp;EDATE(B1279,1))</f>
        <v>11700</v>
      </c>
      <c r="E1279" s="65">
        <f>SUMIFS(Fact_Pipeline!$K:$K,Fact_Pipeline!$B:$B,$A1279,Fact_Pipeline!$J:$J,"Won",Fact_Pipeline!$I:$I,"&gt;="&amp;B1279,Fact_Pipeline!$I:$I,"&lt;"&amp;EDATE(B1279,1))</f>
        <v>0</v>
      </c>
      <c r="F1279" s="66" t="b">
        <f>AND(D1279&gt;0,IFERROR(E1279/D1279&gt;=G6,FALSE()))</f>
        <v>0</v>
      </c>
      <c r="G1279" s="65">
        <f t="shared" si="129"/>
        <v>0</v>
      </c>
      <c r="H1279" s="65">
        <f>IF(F1279,MAX(0,MIN(E1279,I6*D1279)-D1279)*IFERROR(INDEX($C$158:$C$161,MATCH(C1279,$A$158:$A$161,0)),0),0)</f>
        <v>0</v>
      </c>
      <c r="I1279" s="65">
        <f>IF(F1279,MAX(0,E1279-I6*D1279)*IFERROR(INDEX($D$158:$D$161,MATCH(C1279,$A$158:$A$161,0)),0),0)</f>
        <v>0</v>
      </c>
      <c r="J1279" s="65">
        <f t="shared" si="130"/>
        <v>0</v>
      </c>
    </row>
    <row r="1280" spans="1:10" ht="15" customHeight="1" outlineLevel="1" x14ac:dyDescent="0.2">
      <c r="A1280" s="66" t="str">
        <f t="shared" si="133"/>
        <v>R049</v>
      </c>
      <c r="B1280" s="67">
        <f>$A$1427</f>
        <v>45474</v>
      </c>
      <c r="C1280" s="66" t="str">
        <f t="shared" si="134"/>
        <v>Mid-Market AE</v>
      </c>
      <c r="D1280" s="65">
        <f>SUMIFS(Fact_Quota!$D:$D,Fact_Quota!$A:$A,$A1280,Fact_Quota!$B:$B,"&gt;="&amp;B1280,Fact_Quota!$B:$B,"&lt;"&amp;EDATE(B1280,1))</f>
        <v>16300</v>
      </c>
      <c r="E1280" s="65">
        <f>SUMIFS(Fact_Pipeline!$K:$K,Fact_Pipeline!$B:$B,$A1280,Fact_Pipeline!$J:$J,"Won",Fact_Pipeline!$I:$I,"&gt;="&amp;B1280,Fact_Pipeline!$I:$I,"&lt;"&amp;EDATE(B1280,1))</f>
        <v>29200</v>
      </c>
      <c r="F1280" s="66" t="b">
        <f>AND(D1280&gt;0,IFERROR(E1280/D1280&gt;=G6,FALSE()))</f>
        <v>1</v>
      </c>
      <c r="G1280" s="65">
        <f t="shared" si="129"/>
        <v>815</v>
      </c>
      <c r="H1280" s="65">
        <f>IF(F1280,MAX(0,MIN(E1280,I6*D1280)-D1280)*IFERROR(INDEX($C$158:$C$161,MATCH(C1280,$A$158:$A$161,0)),0),0)</f>
        <v>652</v>
      </c>
      <c r="I1280" s="65">
        <f>IF(F1280,MAX(0,E1280-I6*D1280)*IFERROR(INDEX($D$158:$D$161,MATCH(C1280,$A$158:$A$161,0)),0),0)</f>
        <v>522.5</v>
      </c>
      <c r="J1280" s="65">
        <f t="shared" si="130"/>
        <v>1989.5</v>
      </c>
    </row>
    <row r="1281" spans="1:10" ht="15" customHeight="1" outlineLevel="1" x14ac:dyDescent="0.2">
      <c r="A1281" s="66" t="str">
        <f t="shared" si="133"/>
        <v>R049</v>
      </c>
      <c r="B1281" s="67">
        <f>$A$1428</f>
        <v>45505</v>
      </c>
      <c r="C1281" s="66" t="str">
        <f t="shared" si="134"/>
        <v>Mid-Market AE</v>
      </c>
      <c r="D1281" s="65">
        <f>SUMIFS(Fact_Quota!$D:$D,Fact_Quota!$A:$A,$A1281,Fact_Quota!$B:$B,"&gt;="&amp;B1281,Fact_Quota!$B:$B,"&lt;"&amp;EDATE(B1281,1))</f>
        <v>22100</v>
      </c>
      <c r="E1281" s="65">
        <f>SUMIFS(Fact_Pipeline!$K:$K,Fact_Pipeline!$B:$B,$A1281,Fact_Pipeline!$J:$J,"Won",Fact_Pipeline!$I:$I,"&gt;="&amp;B1281,Fact_Pipeline!$I:$I,"&lt;"&amp;EDATE(B1281,1))</f>
        <v>11300</v>
      </c>
      <c r="F1281" s="66" t="b">
        <f>AND(D1281&gt;0,IFERROR(E1281/D1281&gt;=G6,FALSE()))</f>
        <v>1</v>
      </c>
      <c r="G1281" s="65">
        <f t="shared" si="129"/>
        <v>565</v>
      </c>
      <c r="H1281" s="65">
        <f>IF(F1281,MAX(0,MIN(E1281,I6*D1281)-D1281)*IFERROR(INDEX($C$158:$C$161,MATCH(C1281,$A$158:$A$161,0)),0),0)</f>
        <v>0</v>
      </c>
      <c r="I1281" s="65">
        <f>IF(F1281,MAX(0,E1281-I6*D1281)*IFERROR(INDEX($D$158:$D$161,MATCH(C1281,$A$158:$A$161,0)),0),0)</f>
        <v>0</v>
      </c>
      <c r="J1281" s="65">
        <f t="shared" si="130"/>
        <v>565</v>
      </c>
    </row>
    <row r="1282" spans="1:10" ht="15" customHeight="1" outlineLevel="1" x14ac:dyDescent="0.2">
      <c r="A1282" s="66" t="str">
        <f t="shared" si="133"/>
        <v>R049</v>
      </c>
      <c r="B1282" s="67">
        <f>$A$1429</f>
        <v>45536</v>
      </c>
      <c r="C1282" s="66" t="str">
        <f t="shared" si="134"/>
        <v>Mid-Market AE</v>
      </c>
      <c r="D1282" s="65">
        <f>SUMIFS(Fact_Quota!$D:$D,Fact_Quota!$A:$A,$A1282,Fact_Quota!$B:$B,"&gt;="&amp;B1282,Fact_Quota!$B:$B,"&lt;"&amp;EDATE(B1282,1))</f>
        <v>22200</v>
      </c>
      <c r="E1282" s="65">
        <f>SUMIFS(Fact_Pipeline!$K:$K,Fact_Pipeline!$B:$B,$A1282,Fact_Pipeline!$J:$J,"Won",Fact_Pipeline!$I:$I,"&gt;="&amp;B1282,Fact_Pipeline!$I:$I,"&lt;"&amp;EDATE(B1282,1))</f>
        <v>31600</v>
      </c>
      <c r="F1282" s="66" t="b">
        <f>AND(D1282&gt;0,IFERROR(E1282/D1282&gt;=G6,FALSE()))</f>
        <v>1</v>
      </c>
      <c r="G1282" s="65">
        <f t="shared" si="129"/>
        <v>1110</v>
      </c>
      <c r="H1282" s="65">
        <f>IF(F1282,MAX(0,MIN(E1282,I6*D1282)-D1282)*IFERROR(INDEX($C$158:$C$161,MATCH(C1282,$A$158:$A$161,0)),0),0)</f>
        <v>752</v>
      </c>
      <c r="I1282" s="65">
        <f>IF(F1282,MAX(0,E1282-I6*D1282)*IFERROR(INDEX($D$158:$D$161,MATCH(C1282,$A$158:$A$161,0)),0),0)</f>
        <v>0</v>
      </c>
      <c r="J1282" s="65">
        <f t="shared" si="130"/>
        <v>1862</v>
      </c>
    </row>
    <row r="1283" spans="1:10" ht="15" customHeight="1" outlineLevel="1" x14ac:dyDescent="0.2">
      <c r="A1283" s="66" t="str">
        <f t="shared" si="133"/>
        <v>R049</v>
      </c>
      <c r="B1283" s="67">
        <f>$A$1430</f>
        <v>45566</v>
      </c>
      <c r="C1283" s="66" t="str">
        <f t="shared" si="134"/>
        <v>Mid-Market AE</v>
      </c>
      <c r="D1283" s="65">
        <f>SUMIFS(Fact_Quota!$D:$D,Fact_Quota!$A:$A,$A1283,Fact_Quota!$B:$B,"&gt;="&amp;B1283,Fact_Quota!$B:$B,"&lt;"&amp;EDATE(B1283,1))</f>
        <v>23000</v>
      </c>
      <c r="E1283" s="65">
        <f>SUMIFS(Fact_Pipeline!$K:$K,Fact_Pipeline!$B:$B,$A1283,Fact_Pipeline!$J:$J,"Won",Fact_Pipeline!$I:$I,"&gt;="&amp;B1283,Fact_Pipeline!$I:$I,"&lt;"&amp;EDATE(B1283,1))</f>
        <v>0</v>
      </c>
      <c r="F1283" s="66" t="b">
        <f>AND(D1283&gt;0,IFERROR(E1283/D1283&gt;=G6,FALSE()))</f>
        <v>0</v>
      </c>
      <c r="G1283" s="65">
        <f t="shared" si="129"/>
        <v>0</v>
      </c>
      <c r="H1283" s="65">
        <f>IF(F1283,MAX(0,MIN(E1283,I6*D1283)-D1283)*IFERROR(INDEX($C$158:$C$161,MATCH(C1283,$A$158:$A$161,0)),0),0)</f>
        <v>0</v>
      </c>
      <c r="I1283" s="65">
        <f>IF(F1283,MAX(0,E1283-I6*D1283)*IFERROR(INDEX($D$158:$D$161,MATCH(C1283,$A$158:$A$161,0)),0),0)</f>
        <v>0</v>
      </c>
      <c r="J1283" s="65">
        <f t="shared" si="130"/>
        <v>0</v>
      </c>
    </row>
    <row r="1284" spans="1:10" ht="15" customHeight="1" outlineLevel="1" x14ac:dyDescent="0.2">
      <c r="A1284" s="66" t="str">
        <f t="shared" si="133"/>
        <v>R049</v>
      </c>
      <c r="B1284" s="67">
        <f>$A$1431</f>
        <v>45597</v>
      </c>
      <c r="C1284" s="66" t="str">
        <f t="shared" si="134"/>
        <v>Mid-Market AE</v>
      </c>
      <c r="D1284" s="65">
        <f>SUMIFS(Fact_Quota!$D:$D,Fact_Quota!$A:$A,$A1284,Fact_Quota!$B:$B,"&gt;="&amp;B1284,Fact_Quota!$B:$B,"&lt;"&amp;EDATE(B1284,1))</f>
        <v>21900</v>
      </c>
      <c r="E1284" s="65">
        <f>SUMIFS(Fact_Pipeline!$K:$K,Fact_Pipeline!$B:$B,$A1284,Fact_Pipeline!$J:$J,"Won",Fact_Pipeline!$I:$I,"&gt;="&amp;B1284,Fact_Pipeline!$I:$I,"&lt;"&amp;EDATE(B1284,1))</f>
        <v>11000</v>
      </c>
      <c r="F1284" s="66" t="b">
        <f>AND(D1284&gt;0,IFERROR(E1284/D1284&gt;=G6,FALSE()))</f>
        <v>1</v>
      </c>
      <c r="G1284" s="65">
        <f t="shared" si="129"/>
        <v>550</v>
      </c>
      <c r="H1284" s="65">
        <f>IF(F1284,MAX(0,MIN(E1284,I6*D1284)-D1284)*IFERROR(INDEX($C$158:$C$161,MATCH(C1284,$A$158:$A$161,0)),0),0)</f>
        <v>0</v>
      </c>
      <c r="I1284" s="65">
        <f>IF(F1284,MAX(0,E1284-I6*D1284)*IFERROR(INDEX($D$158:$D$161,MATCH(C1284,$A$158:$A$161,0)),0),0)</f>
        <v>0</v>
      </c>
      <c r="J1284" s="65">
        <f t="shared" si="130"/>
        <v>550</v>
      </c>
    </row>
    <row r="1285" spans="1:10" ht="15" customHeight="1" outlineLevel="1" x14ac:dyDescent="0.2">
      <c r="A1285" s="66" t="str">
        <f t="shared" si="133"/>
        <v>R049</v>
      </c>
      <c r="B1285" s="67">
        <f>$A$1432</f>
        <v>45627</v>
      </c>
      <c r="C1285" s="66" t="str">
        <f t="shared" si="134"/>
        <v>Mid-Market AE</v>
      </c>
      <c r="D1285" s="65">
        <f>SUMIFS(Fact_Quota!$D:$D,Fact_Quota!$A:$A,$A1285,Fact_Quota!$B:$B,"&gt;="&amp;B1285,Fact_Quota!$B:$B,"&lt;"&amp;EDATE(B1285,1))</f>
        <v>22200</v>
      </c>
      <c r="E1285" s="65">
        <f>SUMIFS(Fact_Pipeline!$K:$K,Fact_Pipeline!$B:$B,$A1285,Fact_Pipeline!$J:$J,"Won",Fact_Pipeline!$I:$I,"&gt;="&amp;B1285,Fact_Pipeline!$I:$I,"&lt;"&amp;EDATE(B1285,1))</f>
        <v>13100</v>
      </c>
      <c r="F1285" s="66" t="b">
        <f>AND(D1285&gt;0,IFERROR(E1285/D1285&gt;=G6,FALSE()))</f>
        <v>1</v>
      </c>
      <c r="G1285" s="65">
        <f t="shared" si="129"/>
        <v>655</v>
      </c>
      <c r="H1285" s="65">
        <f>IF(F1285,MAX(0,MIN(E1285,I6*D1285)-D1285)*IFERROR(INDEX($C$158:$C$161,MATCH(C1285,$A$158:$A$161,0)),0),0)</f>
        <v>0</v>
      </c>
      <c r="I1285" s="65">
        <f>IF(F1285,MAX(0,E1285-I6*D1285)*IFERROR(INDEX($D$158:$D$161,MATCH(C1285,$A$158:$A$161,0)),0),0)</f>
        <v>0</v>
      </c>
      <c r="J1285" s="65">
        <f t="shared" si="130"/>
        <v>655</v>
      </c>
    </row>
    <row r="1286" spans="1:10" ht="15" customHeight="1" outlineLevel="1" x14ac:dyDescent="0.2">
      <c r="A1286" s="66" t="str">
        <f t="shared" si="133"/>
        <v>R049</v>
      </c>
      <c r="B1286" s="67">
        <f>$A$1433</f>
        <v>45658</v>
      </c>
      <c r="C1286" s="66" t="str">
        <f t="shared" si="134"/>
        <v>Mid-Market AE</v>
      </c>
      <c r="D1286" s="65">
        <f>SUMIFS(Fact_Quota!$D:$D,Fact_Quota!$A:$A,$A1286,Fact_Quota!$B:$B,"&gt;="&amp;B1286,Fact_Quota!$B:$B,"&lt;"&amp;EDATE(B1286,1))</f>
        <v>22400</v>
      </c>
      <c r="E1286" s="65">
        <f>SUMIFS(Fact_Pipeline!$K:$K,Fact_Pipeline!$B:$B,$A1286,Fact_Pipeline!$J:$J,"Won",Fact_Pipeline!$I:$I,"&gt;="&amp;B1286,Fact_Pipeline!$I:$I,"&lt;"&amp;EDATE(B1286,1))</f>
        <v>26500</v>
      </c>
      <c r="F1286" s="66" t="b">
        <f>AND(D1286&gt;0,IFERROR(E1286/D1286&gt;=G6,FALSE()))</f>
        <v>1</v>
      </c>
      <c r="G1286" s="65">
        <f t="shared" si="129"/>
        <v>1120</v>
      </c>
      <c r="H1286" s="65">
        <f>IF(F1286,MAX(0,MIN(E1286,I6*D1286)-D1286)*IFERROR(INDEX($C$158:$C$161,MATCH(C1286,$A$158:$A$161,0)),0),0)</f>
        <v>328</v>
      </c>
      <c r="I1286" s="65">
        <f>IF(F1286,MAX(0,E1286-I6*D1286)*IFERROR(INDEX($D$158:$D$161,MATCH(C1286,$A$158:$A$161,0)),0),0)</f>
        <v>0</v>
      </c>
      <c r="J1286" s="65">
        <f t="shared" si="130"/>
        <v>1448</v>
      </c>
    </row>
    <row r="1287" spans="1:10" ht="15" customHeight="1" outlineLevel="1" x14ac:dyDescent="0.2">
      <c r="A1287" s="66" t="str">
        <f t="shared" si="133"/>
        <v>R049</v>
      </c>
      <c r="B1287" s="67">
        <f>$A$1434</f>
        <v>45689</v>
      </c>
      <c r="C1287" s="66" t="str">
        <f t="shared" si="134"/>
        <v>Mid-Market AE</v>
      </c>
      <c r="D1287" s="65">
        <f>SUMIFS(Fact_Quota!$D:$D,Fact_Quota!$A:$A,$A1287,Fact_Quota!$B:$B,"&gt;="&amp;B1287,Fact_Quota!$B:$B,"&lt;"&amp;EDATE(B1287,1))</f>
        <v>22100</v>
      </c>
      <c r="E1287" s="65">
        <f>SUMIFS(Fact_Pipeline!$K:$K,Fact_Pipeline!$B:$B,$A1287,Fact_Pipeline!$J:$J,"Won",Fact_Pipeline!$I:$I,"&gt;="&amp;B1287,Fact_Pipeline!$I:$I,"&lt;"&amp;EDATE(B1287,1))</f>
        <v>22900</v>
      </c>
      <c r="F1287" s="66" t="b">
        <f>AND(D1287&gt;0,IFERROR(E1287/D1287&gt;=G6,FALSE()))</f>
        <v>1</v>
      </c>
      <c r="G1287" s="65">
        <f t="shared" si="129"/>
        <v>1105</v>
      </c>
      <c r="H1287" s="65">
        <f>IF(F1287,MAX(0,MIN(E1287,I6*D1287)-D1287)*IFERROR(INDEX($C$158:$C$161,MATCH(C1287,$A$158:$A$161,0)),0),0)</f>
        <v>64</v>
      </c>
      <c r="I1287" s="65">
        <f>IF(F1287,MAX(0,E1287-I6*D1287)*IFERROR(INDEX($D$158:$D$161,MATCH(C1287,$A$158:$A$161,0)),0),0)</f>
        <v>0</v>
      </c>
      <c r="J1287" s="65">
        <f t="shared" si="130"/>
        <v>1169</v>
      </c>
    </row>
    <row r="1288" spans="1:10" ht="15" customHeight="1" outlineLevel="1" x14ac:dyDescent="0.2">
      <c r="A1288" s="66" t="str">
        <f t="shared" si="133"/>
        <v>R049</v>
      </c>
      <c r="B1288" s="67">
        <f>$A$1435</f>
        <v>45717</v>
      </c>
      <c r="C1288" s="66" t="str">
        <f t="shared" si="134"/>
        <v>Mid-Market AE</v>
      </c>
      <c r="D1288" s="65">
        <f>SUMIFS(Fact_Quota!$D:$D,Fact_Quota!$A:$A,$A1288,Fact_Quota!$B:$B,"&gt;="&amp;B1288,Fact_Quota!$B:$B,"&lt;"&amp;EDATE(B1288,1))</f>
        <v>21700</v>
      </c>
      <c r="E1288" s="65">
        <f>SUMIFS(Fact_Pipeline!$K:$K,Fact_Pipeline!$B:$B,$A1288,Fact_Pipeline!$J:$J,"Won",Fact_Pipeline!$I:$I,"&gt;="&amp;B1288,Fact_Pipeline!$I:$I,"&lt;"&amp;EDATE(B1288,1))</f>
        <v>19900</v>
      </c>
      <c r="F1288" s="66" t="b">
        <f>AND(D1288&gt;0,IFERROR(E1288/D1288&gt;=G6,FALSE()))</f>
        <v>1</v>
      </c>
      <c r="G1288" s="65">
        <f t="shared" si="129"/>
        <v>995</v>
      </c>
      <c r="H1288" s="65">
        <f>IF(F1288,MAX(0,MIN(E1288,I6*D1288)-D1288)*IFERROR(INDEX($C$158:$C$161,MATCH(C1288,$A$158:$A$161,0)),0),0)</f>
        <v>0</v>
      </c>
      <c r="I1288" s="65">
        <f>IF(F1288,MAX(0,E1288-I6*D1288)*IFERROR(INDEX($D$158:$D$161,MATCH(C1288,$A$158:$A$161,0)),0),0)</f>
        <v>0</v>
      </c>
      <c r="J1288" s="65">
        <f t="shared" si="130"/>
        <v>995</v>
      </c>
    </row>
    <row r="1289" spans="1:10" ht="15" customHeight="1" outlineLevel="1" x14ac:dyDescent="0.2">
      <c r="A1289" s="66" t="str">
        <f t="shared" si="133"/>
        <v>R049</v>
      </c>
      <c r="B1289" s="67">
        <f>$A$1436</f>
        <v>45748</v>
      </c>
      <c r="C1289" s="66" t="str">
        <f t="shared" si="134"/>
        <v>Mid-Market AE</v>
      </c>
      <c r="D1289" s="65">
        <f>SUMIFS(Fact_Quota!$D:$D,Fact_Quota!$A:$A,$A1289,Fact_Quota!$B:$B,"&gt;="&amp;B1289,Fact_Quota!$B:$B,"&lt;"&amp;EDATE(B1289,1))</f>
        <v>22100</v>
      </c>
      <c r="E1289" s="65">
        <f>SUMIFS(Fact_Pipeline!$K:$K,Fact_Pipeline!$B:$B,$A1289,Fact_Pipeline!$J:$J,"Won",Fact_Pipeline!$I:$I,"&gt;="&amp;B1289,Fact_Pipeline!$I:$I,"&lt;"&amp;EDATE(B1289,1))</f>
        <v>35700</v>
      </c>
      <c r="F1289" s="66" t="b">
        <f>AND(D1289&gt;0,IFERROR(E1289/D1289&gt;=G6,FALSE()))</f>
        <v>1</v>
      </c>
      <c r="G1289" s="65">
        <f t="shared" si="129"/>
        <v>1105</v>
      </c>
      <c r="H1289" s="65">
        <f>IF(F1289,MAX(0,MIN(E1289,I6*D1289)-D1289)*IFERROR(INDEX($C$158:$C$161,MATCH(C1289,$A$158:$A$161,0)),0),0)</f>
        <v>884</v>
      </c>
      <c r="I1289" s="65">
        <f>IF(F1289,MAX(0,E1289-I6*D1289)*IFERROR(INDEX($D$158:$D$161,MATCH(C1289,$A$158:$A$161,0)),0),0)</f>
        <v>280.5</v>
      </c>
      <c r="J1289" s="65">
        <f t="shared" si="130"/>
        <v>2269.5</v>
      </c>
    </row>
    <row r="1290" spans="1:10" ht="15" customHeight="1" outlineLevel="1" x14ac:dyDescent="0.2">
      <c r="A1290" s="66" t="str">
        <f t="shared" si="133"/>
        <v>R049</v>
      </c>
      <c r="B1290" s="67">
        <f>$A$1437</f>
        <v>45778</v>
      </c>
      <c r="C1290" s="66" t="str">
        <f t="shared" si="134"/>
        <v>Mid-Market AE</v>
      </c>
      <c r="D1290" s="65">
        <f>SUMIFS(Fact_Quota!$D:$D,Fact_Quota!$A:$A,$A1290,Fact_Quota!$B:$B,"&gt;="&amp;B1290,Fact_Quota!$B:$B,"&lt;"&amp;EDATE(B1290,1))</f>
        <v>22700</v>
      </c>
      <c r="E1290" s="65">
        <f>SUMIFS(Fact_Pipeline!$K:$K,Fact_Pipeline!$B:$B,$A1290,Fact_Pipeline!$J:$J,"Won",Fact_Pipeline!$I:$I,"&gt;="&amp;B1290,Fact_Pipeline!$I:$I,"&lt;"&amp;EDATE(B1290,1))</f>
        <v>0</v>
      </c>
      <c r="F1290" s="66" t="b">
        <f>AND(D1290&gt;0,IFERROR(E1290/D1290&gt;=G6,FALSE()))</f>
        <v>0</v>
      </c>
      <c r="G1290" s="65">
        <f t="shared" si="129"/>
        <v>0</v>
      </c>
      <c r="H1290" s="65">
        <f>IF(F1290,MAX(0,MIN(E1290,I6*D1290)-D1290)*IFERROR(INDEX($C$158:$C$161,MATCH(C1290,$A$158:$A$161,0)),0),0)</f>
        <v>0</v>
      </c>
      <c r="I1290" s="65">
        <f>IF(F1290,MAX(0,E1290-I6*D1290)*IFERROR(INDEX($D$158:$D$161,MATCH(C1290,$A$158:$A$161,0)),0),0)</f>
        <v>0</v>
      </c>
      <c r="J1290" s="65">
        <f t="shared" si="130"/>
        <v>0</v>
      </c>
    </row>
    <row r="1291" spans="1:10" ht="15" customHeight="1" outlineLevel="1" x14ac:dyDescent="0.2">
      <c r="A1291" s="66" t="str">
        <f t="shared" si="133"/>
        <v>R049</v>
      </c>
      <c r="B1291" s="67">
        <f>$A$1438</f>
        <v>45809</v>
      </c>
      <c r="C1291" s="66" t="str">
        <f t="shared" si="134"/>
        <v>Mid-Market AE</v>
      </c>
      <c r="D1291" s="65">
        <f>SUMIFS(Fact_Quota!$D:$D,Fact_Quota!$A:$A,$A1291,Fact_Quota!$B:$B,"&gt;="&amp;B1291,Fact_Quota!$B:$B,"&lt;"&amp;EDATE(B1291,1))</f>
        <v>21300</v>
      </c>
      <c r="E1291" s="65">
        <f>SUMIFS(Fact_Pipeline!$K:$K,Fact_Pipeline!$B:$B,$A1291,Fact_Pipeline!$J:$J,"Won",Fact_Pipeline!$I:$I,"&gt;="&amp;B1291,Fact_Pipeline!$I:$I,"&lt;"&amp;EDATE(B1291,1))</f>
        <v>24000</v>
      </c>
      <c r="F1291" s="66" t="b">
        <f>AND(D1291&gt;0,IFERROR(E1291/D1291&gt;=G6,FALSE()))</f>
        <v>1</v>
      </c>
      <c r="G1291" s="65">
        <f t="shared" si="129"/>
        <v>1065</v>
      </c>
      <c r="H1291" s="65">
        <f>IF(F1291,MAX(0,MIN(E1291,I6*D1291)-D1291)*IFERROR(INDEX($C$158:$C$161,MATCH(C1291,$A$158:$A$161,0)),0),0)</f>
        <v>216</v>
      </c>
      <c r="I1291" s="65">
        <f>IF(F1291,MAX(0,E1291-I6*D1291)*IFERROR(INDEX($D$158:$D$161,MATCH(C1291,$A$158:$A$161,0)),0),0)</f>
        <v>0</v>
      </c>
      <c r="J1291" s="65">
        <f t="shared" si="130"/>
        <v>1281</v>
      </c>
    </row>
    <row r="1292" spans="1:10" ht="15" customHeight="1" outlineLevel="1" x14ac:dyDescent="0.2">
      <c r="A1292" s="66" t="str">
        <f t="shared" si="133"/>
        <v>R049</v>
      </c>
      <c r="B1292" s="67">
        <f>$A$1439</f>
        <v>45839</v>
      </c>
      <c r="C1292" s="66" t="str">
        <f t="shared" si="134"/>
        <v>Mid-Market AE</v>
      </c>
      <c r="D1292" s="65">
        <f>SUMIFS(Fact_Quota!$D:$D,Fact_Quota!$A:$A,$A1292,Fact_Quota!$B:$B,"&gt;="&amp;B1292,Fact_Quota!$B:$B,"&lt;"&amp;EDATE(B1292,1))</f>
        <v>22100</v>
      </c>
      <c r="E1292" s="65">
        <f>SUMIFS(Fact_Pipeline!$K:$K,Fact_Pipeline!$B:$B,$A1292,Fact_Pipeline!$J:$J,"Won",Fact_Pipeline!$I:$I,"&gt;="&amp;B1292,Fact_Pipeline!$I:$I,"&lt;"&amp;EDATE(B1292,1))</f>
        <v>10600</v>
      </c>
      <c r="F1292" s="66" t="b">
        <f>AND(D1292&gt;0,IFERROR(E1292/D1292&gt;=G6,FALSE()))</f>
        <v>0</v>
      </c>
      <c r="G1292" s="65">
        <f t="shared" si="129"/>
        <v>0</v>
      </c>
      <c r="H1292" s="65">
        <f>IF(F1292,MAX(0,MIN(E1292,I6*D1292)-D1292)*IFERROR(INDEX($C$158:$C$161,MATCH(C1292,$A$158:$A$161,0)),0),0)</f>
        <v>0</v>
      </c>
      <c r="I1292" s="65">
        <f>IF(F1292,MAX(0,E1292-I6*D1292)*IFERROR(INDEX($D$158:$D$161,MATCH(C1292,$A$158:$A$161,0)),0),0)</f>
        <v>0</v>
      </c>
      <c r="J1292" s="65">
        <f t="shared" si="130"/>
        <v>0</v>
      </c>
    </row>
    <row r="1293" spans="1:10" ht="15" customHeight="1" outlineLevel="1" x14ac:dyDescent="0.2">
      <c r="A1293" s="66" t="str">
        <f t="shared" si="133"/>
        <v>R049</v>
      </c>
      <c r="B1293" s="67">
        <f>$A$1440</f>
        <v>45870</v>
      </c>
      <c r="C1293" s="66" t="str">
        <f t="shared" si="134"/>
        <v>Mid-Market AE</v>
      </c>
      <c r="D1293" s="65">
        <f>SUMIFS(Fact_Quota!$D:$D,Fact_Quota!$A:$A,$A1293,Fact_Quota!$B:$B,"&gt;="&amp;B1293,Fact_Quota!$B:$B,"&lt;"&amp;EDATE(B1293,1))</f>
        <v>21500</v>
      </c>
      <c r="E1293" s="65">
        <f>SUMIFS(Fact_Pipeline!$K:$K,Fact_Pipeline!$B:$B,$A1293,Fact_Pipeline!$J:$J,"Won",Fact_Pipeline!$I:$I,"&gt;="&amp;B1293,Fact_Pipeline!$I:$I,"&lt;"&amp;EDATE(B1293,1))</f>
        <v>8900</v>
      </c>
      <c r="F1293" s="66" t="b">
        <f>AND(D1293&gt;0,IFERROR(E1293/D1293&gt;=G6,FALSE()))</f>
        <v>0</v>
      </c>
      <c r="G1293" s="65">
        <f t="shared" si="129"/>
        <v>0</v>
      </c>
      <c r="H1293" s="65">
        <f>IF(F1293,MAX(0,MIN(E1293,I6*D1293)-D1293)*IFERROR(INDEX($C$158:$C$161,MATCH(C1293,$A$158:$A$161,0)),0),0)</f>
        <v>0</v>
      </c>
      <c r="I1293" s="65">
        <f>IF(F1293,MAX(0,E1293-I6*D1293)*IFERROR(INDEX($D$158:$D$161,MATCH(C1293,$A$158:$A$161,0)),0),0)</f>
        <v>0</v>
      </c>
      <c r="J1293" s="65">
        <f t="shared" si="130"/>
        <v>0</v>
      </c>
    </row>
    <row r="1294" spans="1:10" ht="15" customHeight="1" outlineLevel="1" x14ac:dyDescent="0.2">
      <c r="A1294" s="66" t="str">
        <f t="shared" si="133"/>
        <v>R049</v>
      </c>
      <c r="B1294" s="67">
        <f>$A$1441</f>
        <v>45901</v>
      </c>
      <c r="C1294" s="66" t="str">
        <f t="shared" si="134"/>
        <v>Mid-Market AE</v>
      </c>
      <c r="D1294" s="65">
        <f>SUMIFS(Fact_Quota!$D:$D,Fact_Quota!$A:$A,$A1294,Fact_Quota!$B:$B,"&gt;="&amp;B1294,Fact_Quota!$B:$B,"&lt;"&amp;EDATE(B1294,1))</f>
        <v>22800</v>
      </c>
      <c r="E1294" s="65">
        <f>SUMIFS(Fact_Pipeline!$K:$K,Fact_Pipeline!$B:$B,$A1294,Fact_Pipeline!$J:$J,"Won",Fact_Pipeline!$I:$I,"&gt;="&amp;B1294,Fact_Pipeline!$I:$I,"&lt;"&amp;EDATE(B1294,1))</f>
        <v>52600</v>
      </c>
      <c r="F1294" s="66" t="b">
        <f>AND(D1294&gt;0,IFERROR(E1294/D1294&gt;=G6,FALSE()))</f>
        <v>1</v>
      </c>
      <c r="G1294" s="65">
        <f t="shared" si="129"/>
        <v>1140</v>
      </c>
      <c r="H1294" s="65">
        <f>IF(F1294,MAX(0,MIN(E1294,I6*D1294)-D1294)*IFERROR(INDEX($C$158:$C$161,MATCH(C1294,$A$158:$A$161,0)),0),0)</f>
        <v>912</v>
      </c>
      <c r="I1294" s="65">
        <f>IF(F1294,MAX(0,E1294-I6*D1294)*IFERROR(INDEX($D$158:$D$161,MATCH(C1294,$A$158:$A$161,0)),0),0)</f>
        <v>2024</v>
      </c>
      <c r="J1294" s="65">
        <f t="shared" si="130"/>
        <v>4076</v>
      </c>
    </row>
    <row r="1295" spans="1:10" ht="15" customHeight="1" outlineLevel="1" x14ac:dyDescent="0.2">
      <c r="A1295" s="66" t="str">
        <f t="shared" si="133"/>
        <v>R049</v>
      </c>
      <c r="B1295" s="67">
        <f>$A$1442</f>
        <v>45931</v>
      </c>
      <c r="C1295" s="66" t="str">
        <f t="shared" si="134"/>
        <v>Mid-Market AE</v>
      </c>
      <c r="D1295" s="65">
        <f>SUMIFS(Fact_Quota!$D:$D,Fact_Quota!$A:$A,$A1295,Fact_Quota!$B:$B,"&gt;="&amp;B1295,Fact_Quota!$B:$B,"&lt;"&amp;EDATE(B1295,1))</f>
        <v>21000</v>
      </c>
      <c r="E1295" s="65">
        <f>SUMIFS(Fact_Pipeline!$K:$K,Fact_Pipeline!$B:$B,$A1295,Fact_Pipeline!$J:$J,"Won",Fact_Pipeline!$I:$I,"&gt;="&amp;B1295,Fact_Pipeline!$I:$I,"&lt;"&amp;EDATE(B1295,1))</f>
        <v>81500</v>
      </c>
      <c r="F1295" s="66" t="b">
        <f>AND(D1295&gt;0,IFERROR(E1295/D1295&gt;=G6,FALSE()))</f>
        <v>1</v>
      </c>
      <c r="G1295" s="65">
        <f t="shared" si="129"/>
        <v>1050</v>
      </c>
      <c r="H1295" s="65">
        <f>IF(F1295,MAX(0,MIN(E1295,I6*D1295)-D1295)*IFERROR(INDEX($C$158:$C$161,MATCH(C1295,$A$158:$A$161,0)),0),0)</f>
        <v>840</v>
      </c>
      <c r="I1295" s="65">
        <f>IF(F1295,MAX(0,E1295-I6*D1295)*IFERROR(INDEX($D$158:$D$161,MATCH(C1295,$A$158:$A$161,0)),0),0)</f>
        <v>5500</v>
      </c>
      <c r="J1295" s="65">
        <f t="shared" si="130"/>
        <v>7390</v>
      </c>
    </row>
    <row r="1296" spans="1:10" ht="15" customHeight="1" outlineLevel="1" x14ac:dyDescent="0.2">
      <c r="A1296" s="66" t="str">
        <f t="shared" si="133"/>
        <v>R049</v>
      </c>
      <c r="B1296" s="67">
        <f>$A$1443</f>
        <v>45962</v>
      </c>
      <c r="C1296" s="66" t="str">
        <f t="shared" si="134"/>
        <v>Mid-Market AE</v>
      </c>
      <c r="D1296" s="65">
        <f>SUMIFS(Fact_Quota!$D:$D,Fact_Quota!$A:$A,$A1296,Fact_Quota!$B:$B,"&gt;="&amp;B1296,Fact_Quota!$B:$B,"&lt;"&amp;EDATE(B1296,1))</f>
        <v>21600</v>
      </c>
      <c r="E1296" s="65">
        <f>SUMIFS(Fact_Pipeline!$K:$K,Fact_Pipeline!$B:$B,$A1296,Fact_Pipeline!$J:$J,"Won",Fact_Pipeline!$I:$I,"&gt;="&amp;B1296,Fact_Pipeline!$I:$I,"&lt;"&amp;EDATE(B1296,1))</f>
        <v>25700</v>
      </c>
      <c r="F1296" s="66" t="b">
        <f>AND(D1296&gt;0,IFERROR(E1296/D1296&gt;=G6,FALSE()))</f>
        <v>1</v>
      </c>
      <c r="G1296" s="65">
        <f t="shared" si="129"/>
        <v>1080</v>
      </c>
      <c r="H1296" s="65">
        <f>IF(F1296,MAX(0,MIN(E1296,I6*D1296)-D1296)*IFERROR(INDEX($C$158:$C$161,MATCH(C1296,$A$158:$A$161,0)),0),0)</f>
        <v>328</v>
      </c>
      <c r="I1296" s="65">
        <f>IF(F1296,MAX(0,E1296-I6*D1296)*IFERROR(INDEX($D$158:$D$161,MATCH(C1296,$A$158:$A$161,0)),0),0)</f>
        <v>0</v>
      </c>
      <c r="J1296" s="65">
        <f t="shared" si="130"/>
        <v>1408</v>
      </c>
    </row>
    <row r="1297" spans="1:10" ht="15" customHeight="1" outlineLevel="1" x14ac:dyDescent="0.2">
      <c r="A1297" s="66" t="str">
        <f t="shared" si="133"/>
        <v>R049</v>
      </c>
      <c r="B1297" s="67">
        <f>$A$1444</f>
        <v>45992</v>
      </c>
      <c r="C1297" s="66" t="str">
        <f t="shared" si="134"/>
        <v>Mid-Market AE</v>
      </c>
      <c r="D1297" s="65">
        <f>SUMIFS(Fact_Quota!$D:$D,Fact_Quota!$A:$A,$A1297,Fact_Quota!$B:$B,"&gt;="&amp;B1297,Fact_Quota!$B:$B,"&lt;"&amp;EDATE(B1297,1))</f>
        <v>22200</v>
      </c>
      <c r="E1297" s="65">
        <f>SUMIFS(Fact_Pipeline!$K:$K,Fact_Pipeline!$B:$B,$A1297,Fact_Pipeline!$J:$J,"Won",Fact_Pipeline!$I:$I,"&gt;="&amp;B1297,Fact_Pipeline!$I:$I,"&lt;"&amp;EDATE(B1297,1))</f>
        <v>13400</v>
      </c>
      <c r="F1297" s="66" t="b">
        <f>AND(D1297&gt;0,IFERROR(E1297/D1297&gt;=G6,FALSE()))</f>
        <v>1</v>
      </c>
      <c r="G1297" s="65">
        <f t="shared" si="129"/>
        <v>670</v>
      </c>
      <c r="H1297" s="65">
        <f>IF(F1297,MAX(0,MIN(E1297,I6*D1297)-D1297)*IFERROR(INDEX($C$158:$C$161,MATCH(C1297,$A$158:$A$161,0)),0),0)</f>
        <v>0</v>
      </c>
      <c r="I1297" s="65">
        <f>IF(F1297,MAX(0,E1297-I6*D1297)*IFERROR(INDEX($D$158:$D$161,MATCH(C1297,$A$158:$A$161,0)),0),0)</f>
        <v>0</v>
      </c>
      <c r="J1297" s="65">
        <f t="shared" si="130"/>
        <v>670</v>
      </c>
    </row>
    <row r="1298" spans="1:10" ht="15" customHeight="1" outlineLevel="1" x14ac:dyDescent="0.2">
      <c r="A1298" s="63" t="str">
        <f t="shared" ref="A1298:A1321" si="135">$A$210</f>
        <v>R002</v>
      </c>
      <c r="B1298" s="64">
        <f>$A$1421</f>
        <v>45292</v>
      </c>
      <c r="C1298" s="63" t="str">
        <f t="shared" ref="C1298:C1321" si="136">$C$210</f>
        <v>Senior Enterprise AE</v>
      </c>
      <c r="D1298" s="62">
        <f>SUMIFS(Fact_Quota!$D:$D,Fact_Quota!$A:$A,$A1298,Fact_Quota!$B:$B,"&gt;="&amp;B1298,Fact_Quota!$B:$B,"&lt;"&amp;EDATE(B1298,1))</f>
        <v>0</v>
      </c>
      <c r="E1298" s="62">
        <f>SUMIFS(Fact_Pipeline!$K:$K,Fact_Pipeline!$B:$B,$A1298,Fact_Pipeline!$J:$J,"Won",Fact_Pipeline!$I:$I,"&gt;="&amp;B1298,Fact_Pipeline!$I:$I,"&lt;"&amp;EDATE(B1298,1))</f>
        <v>0</v>
      </c>
      <c r="F1298" s="63" t="b">
        <f>AND(D1298&gt;0,IFERROR(E1298/D1298&gt;=G6,FALSE()))</f>
        <v>0</v>
      </c>
      <c r="G1298" s="62">
        <f t="shared" si="129"/>
        <v>0</v>
      </c>
      <c r="H1298" s="62">
        <f>IF(F1298,MAX(0,MIN(E1298,I6*D1298)-D1298)*IFERROR(INDEX($C$158:$C$161,MATCH(C1298,$A$158:$A$161,0)),0),0)</f>
        <v>0</v>
      </c>
      <c r="I1298" s="62">
        <f>IF(F1298,MAX(0,E1298-I6*D1298)*IFERROR(INDEX($D$158:$D$161,MATCH(C1298,$A$158:$A$161,0)),0),0)</f>
        <v>0</v>
      </c>
      <c r="J1298" s="62">
        <f t="shared" si="130"/>
        <v>0</v>
      </c>
    </row>
    <row r="1299" spans="1:10" ht="15" customHeight="1" outlineLevel="1" x14ac:dyDescent="0.2">
      <c r="A1299" s="63" t="str">
        <f t="shared" si="135"/>
        <v>R002</v>
      </c>
      <c r="B1299" s="64">
        <f>$A$1422</f>
        <v>45323</v>
      </c>
      <c r="C1299" s="63" t="str">
        <f t="shared" si="136"/>
        <v>Senior Enterprise AE</v>
      </c>
      <c r="D1299" s="62">
        <f>SUMIFS(Fact_Quota!$D:$D,Fact_Quota!$A:$A,$A1299,Fact_Quota!$B:$B,"&gt;="&amp;B1299,Fact_Quota!$B:$B,"&lt;"&amp;EDATE(B1299,1))</f>
        <v>0</v>
      </c>
      <c r="E1299" s="62">
        <f>SUMIFS(Fact_Pipeline!$K:$K,Fact_Pipeline!$B:$B,$A1299,Fact_Pipeline!$J:$J,"Won",Fact_Pipeline!$I:$I,"&gt;="&amp;B1299,Fact_Pipeline!$I:$I,"&lt;"&amp;EDATE(B1299,1))</f>
        <v>0</v>
      </c>
      <c r="F1299" s="63" t="b">
        <f>AND(D1299&gt;0,IFERROR(E1299/D1299&gt;=G6,FALSE()))</f>
        <v>0</v>
      </c>
      <c r="G1299" s="62">
        <f t="shared" si="129"/>
        <v>0</v>
      </c>
      <c r="H1299" s="62">
        <f>IF(F1299,MAX(0,MIN(E1299,I6*D1299)-D1299)*IFERROR(INDEX($C$158:$C$161,MATCH(C1299,$A$158:$A$161,0)),0),0)</f>
        <v>0</v>
      </c>
      <c r="I1299" s="62">
        <f>IF(F1299,MAX(0,E1299-I6*D1299)*IFERROR(INDEX($D$158:$D$161,MATCH(C1299,$A$158:$A$161,0)),0),0)</f>
        <v>0</v>
      </c>
      <c r="J1299" s="62">
        <f t="shared" si="130"/>
        <v>0</v>
      </c>
    </row>
    <row r="1300" spans="1:10" ht="15" customHeight="1" outlineLevel="1" x14ac:dyDescent="0.2">
      <c r="A1300" s="63" t="str">
        <f t="shared" si="135"/>
        <v>R002</v>
      </c>
      <c r="B1300" s="64">
        <f>$A$1423</f>
        <v>45352</v>
      </c>
      <c r="C1300" s="63" t="str">
        <f t="shared" si="136"/>
        <v>Senior Enterprise AE</v>
      </c>
      <c r="D1300" s="62">
        <f>SUMIFS(Fact_Quota!$D:$D,Fact_Quota!$A:$A,$A1300,Fact_Quota!$B:$B,"&gt;="&amp;B1300,Fact_Quota!$B:$B,"&lt;"&amp;EDATE(B1300,1))</f>
        <v>0</v>
      </c>
      <c r="E1300" s="62">
        <f>SUMIFS(Fact_Pipeline!$K:$K,Fact_Pipeline!$B:$B,$A1300,Fact_Pipeline!$J:$J,"Won",Fact_Pipeline!$I:$I,"&gt;="&amp;B1300,Fact_Pipeline!$I:$I,"&lt;"&amp;EDATE(B1300,1))</f>
        <v>0</v>
      </c>
      <c r="F1300" s="63" t="b">
        <f>AND(D1300&gt;0,IFERROR(E1300/D1300&gt;=G6,FALSE()))</f>
        <v>0</v>
      </c>
      <c r="G1300" s="62">
        <f t="shared" si="129"/>
        <v>0</v>
      </c>
      <c r="H1300" s="62">
        <f>IF(F1300,MAX(0,MIN(E1300,I6*D1300)-D1300)*IFERROR(INDEX($C$158:$C$161,MATCH(C1300,$A$158:$A$161,0)),0),0)</f>
        <v>0</v>
      </c>
      <c r="I1300" s="62">
        <f>IF(F1300,MAX(0,E1300-I6*D1300)*IFERROR(INDEX($D$158:$D$161,MATCH(C1300,$A$158:$A$161,0)),0),0)</f>
        <v>0</v>
      </c>
      <c r="J1300" s="62">
        <f t="shared" si="130"/>
        <v>0</v>
      </c>
    </row>
    <row r="1301" spans="1:10" ht="15" customHeight="1" outlineLevel="1" x14ac:dyDescent="0.2">
      <c r="A1301" s="63" t="str">
        <f t="shared" si="135"/>
        <v>R002</v>
      </c>
      <c r="B1301" s="64">
        <f>$A$1424</f>
        <v>45383</v>
      </c>
      <c r="C1301" s="63" t="str">
        <f t="shared" si="136"/>
        <v>Senior Enterprise AE</v>
      </c>
      <c r="D1301" s="62">
        <f>SUMIFS(Fact_Quota!$D:$D,Fact_Quota!$A:$A,$A1301,Fact_Quota!$B:$B,"&gt;="&amp;B1301,Fact_Quota!$B:$B,"&lt;"&amp;EDATE(B1301,1))</f>
        <v>0</v>
      </c>
      <c r="E1301" s="62">
        <f>SUMIFS(Fact_Pipeline!$K:$K,Fact_Pipeline!$B:$B,$A1301,Fact_Pipeline!$J:$J,"Won",Fact_Pipeline!$I:$I,"&gt;="&amp;B1301,Fact_Pipeline!$I:$I,"&lt;"&amp;EDATE(B1301,1))</f>
        <v>0</v>
      </c>
      <c r="F1301" s="63" t="b">
        <f>AND(D1301&gt;0,IFERROR(E1301/D1301&gt;=G6,FALSE()))</f>
        <v>0</v>
      </c>
      <c r="G1301" s="62">
        <f t="shared" si="129"/>
        <v>0</v>
      </c>
      <c r="H1301" s="62">
        <f>IF(F1301,MAX(0,MIN(E1301,I6*D1301)-D1301)*IFERROR(INDEX($C$158:$C$161,MATCH(C1301,$A$158:$A$161,0)),0),0)</f>
        <v>0</v>
      </c>
      <c r="I1301" s="62">
        <f>IF(F1301,MAX(0,E1301-I6*D1301)*IFERROR(INDEX($D$158:$D$161,MATCH(C1301,$A$158:$A$161,0)),0),0)</f>
        <v>0</v>
      </c>
      <c r="J1301" s="62">
        <f t="shared" si="130"/>
        <v>0</v>
      </c>
    </row>
    <row r="1302" spans="1:10" ht="15" customHeight="1" outlineLevel="1" x14ac:dyDescent="0.2">
      <c r="A1302" s="63" t="str">
        <f t="shared" si="135"/>
        <v>R002</v>
      </c>
      <c r="B1302" s="64">
        <f>$A$1425</f>
        <v>45413</v>
      </c>
      <c r="C1302" s="63" t="str">
        <f t="shared" si="136"/>
        <v>Senior Enterprise AE</v>
      </c>
      <c r="D1302" s="62">
        <f>SUMIFS(Fact_Quota!$D:$D,Fact_Quota!$A:$A,$A1302,Fact_Quota!$B:$B,"&gt;="&amp;B1302,Fact_Quota!$B:$B,"&lt;"&amp;EDATE(B1302,1))</f>
        <v>0</v>
      </c>
      <c r="E1302" s="62">
        <f>SUMIFS(Fact_Pipeline!$K:$K,Fact_Pipeline!$B:$B,$A1302,Fact_Pipeline!$J:$J,"Won",Fact_Pipeline!$I:$I,"&gt;="&amp;B1302,Fact_Pipeline!$I:$I,"&lt;"&amp;EDATE(B1302,1))</f>
        <v>0</v>
      </c>
      <c r="F1302" s="63" t="b">
        <f>AND(D1302&gt;0,IFERROR(E1302/D1302&gt;=G6,FALSE()))</f>
        <v>0</v>
      </c>
      <c r="G1302" s="62">
        <f t="shared" si="129"/>
        <v>0</v>
      </c>
      <c r="H1302" s="62">
        <f>IF(F1302,MAX(0,MIN(E1302,I6*D1302)-D1302)*IFERROR(INDEX($C$158:$C$161,MATCH(C1302,$A$158:$A$161,0)),0),0)</f>
        <v>0</v>
      </c>
      <c r="I1302" s="62">
        <f>IF(F1302,MAX(0,E1302-I6*D1302)*IFERROR(INDEX($D$158:$D$161,MATCH(C1302,$A$158:$A$161,0)),0),0)</f>
        <v>0</v>
      </c>
      <c r="J1302" s="62">
        <f t="shared" si="130"/>
        <v>0</v>
      </c>
    </row>
    <row r="1303" spans="1:10" ht="15" customHeight="1" outlineLevel="1" x14ac:dyDescent="0.2">
      <c r="A1303" s="63" t="str">
        <f t="shared" si="135"/>
        <v>R002</v>
      </c>
      <c r="B1303" s="64">
        <f>$A$1426</f>
        <v>45444</v>
      </c>
      <c r="C1303" s="63" t="str">
        <f t="shared" si="136"/>
        <v>Senior Enterprise AE</v>
      </c>
      <c r="D1303" s="62">
        <f>SUMIFS(Fact_Quota!$D:$D,Fact_Quota!$A:$A,$A1303,Fact_Quota!$B:$B,"&gt;="&amp;B1303,Fact_Quota!$B:$B,"&lt;"&amp;EDATE(B1303,1))</f>
        <v>0</v>
      </c>
      <c r="E1303" s="62">
        <f>SUMIFS(Fact_Pipeline!$K:$K,Fact_Pipeline!$B:$B,$A1303,Fact_Pipeline!$J:$J,"Won",Fact_Pipeline!$I:$I,"&gt;="&amp;B1303,Fact_Pipeline!$I:$I,"&lt;"&amp;EDATE(B1303,1))</f>
        <v>0</v>
      </c>
      <c r="F1303" s="63" t="b">
        <f>AND(D1303&gt;0,IFERROR(E1303/D1303&gt;=G6,FALSE()))</f>
        <v>0</v>
      </c>
      <c r="G1303" s="62">
        <f t="shared" si="129"/>
        <v>0</v>
      </c>
      <c r="H1303" s="62">
        <f>IF(F1303,MAX(0,MIN(E1303,I6*D1303)-D1303)*IFERROR(INDEX($C$158:$C$161,MATCH(C1303,$A$158:$A$161,0)),0),0)</f>
        <v>0</v>
      </c>
      <c r="I1303" s="62">
        <f>IF(F1303,MAX(0,E1303-I6*D1303)*IFERROR(INDEX($D$158:$D$161,MATCH(C1303,$A$158:$A$161,0)),0),0)</f>
        <v>0</v>
      </c>
      <c r="J1303" s="62">
        <f t="shared" si="130"/>
        <v>0</v>
      </c>
    </row>
    <row r="1304" spans="1:10" ht="15" customHeight="1" outlineLevel="1" x14ac:dyDescent="0.2">
      <c r="A1304" s="63" t="str">
        <f t="shared" si="135"/>
        <v>R002</v>
      </c>
      <c r="B1304" s="64">
        <f>$A$1427</f>
        <v>45474</v>
      </c>
      <c r="C1304" s="63" t="str">
        <f t="shared" si="136"/>
        <v>Senior Enterprise AE</v>
      </c>
      <c r="D1304" s="62">
        <f>SUMIFS(Fact_Quota!$D:$D,Fact_Quota!$A:$A,$A1304,Fact_Quota!$B:$B,"&gt;="&amp;B1304,Fact_Quota!$B:$B,"&lt;"&amp;EDATE(B1304,1))</f>
        <v>0</v>
      </c>
      <c r="E1304" s="62">
        <f>SUMIFS(Fact_Pipeline!$K:$K,Fact_Pipeline!$B:$B,$A1304,Fact_Pipeline!$J:$J,"Won",Fact_Pipeline!$I:$I,"&gt;="&amp;B1304,Fact_Pipeline!$I:$I,"&lt;"&amp;EDATE(B1304,1))</f>
        <v>0</v>
      </c>
      <c r="F1304" s="63" t="b">
        <f>AND(D1304&gt;0,IFERROR(E1304/D1304&gt;=G6,FALSE()))</f>
        <v>0</v>
      </c>
      <c r="G1304" s="62">
        <f t="shared" si="129"/>
        <v>0</v>
      </c>
      <c r="H1304" s="62">
        <f>IF(F1304,MAX(0,MIN(E1304,I6*D1304)-D1304)*IFERROR(INDEX($C$158:$C$161,MATCH(C1304,$A$158:$A$161,0)),0),0)</f>
        <v>0</v>
      </c>
      <c r="I1304" s="62">
        <f>IF(F1304,MAX(0,E1304-I6*D1304)*IFERROR(INDEX($D$158:$D$161,MATCH(C1304,$A$158:$A$161,0)),0),0)</f>
        <v>0</v>
      </c>
      <c r="J1304" s="62">
        <f t="shared" si="130"/>
        <v>0</v>
      </c>
    </row>
    <row r="1305" spans="1:10" ht="15" customHeight="1" outlineLevel="1" x14ac:dyDescent="0.2">
      <c r="A1305" s="63" t="str">
        <f t="shared" si="135"/>
        <v>R002</v>
      </c>
      <c r="B1305" s="64">
        <f>$A$1428</f>
        <v>45505</v>
      </c>
      <c r="C1305" s="63" t="str">
        <f t="shared" si="136"/>
        <v>Senior Enterprise AE</v>
      </c>
      <c r="D1305" s="62">
        <f>SUMIFS(Fact_Quota!$D:$D,Fact_Quota!$A:$A,$A1305,Fact_Quota!$B:$B,"&gt;="&amp;B1305,Fact_Quota!$B:$B,"&lt;"&amp;EDATE(B1305,1))</f>
        <v>0</v>
      </c>
      <c r="E1305" s="62">
        <f>SUMIFS(Fact_Pipeline!$K:$K,Fact_Pipeline!$B:$B,$A1305,Fact_Pipeline!$J:$J,"Won",Fact_Pipeline!$I:$I,"&gt;="&amp;B1305,Fact_Pipeline!$I:$I,"&lt;"&amp;EDATE(B1305,1))</f>
        <v>0</v>
      </c>
      <c r="F1305" s="63" t="b">
        <f>AND(D1305&gt;0,IFERROR(E1305/D1305&gt;=G6,FALSE()))</f>
        <v>0</v>
      </c>
      <c r="G1305" s="62">
        <f t="shared" si="129"/>
        <v>0</v>
      </c>
      <c r="H1305" s="62">
        <f>IF(F1305,MAX(0,MIN(E1305,I6*D1305)-D1305)*IFERROR(INDEX($C$158:$C$161,MATCH(C1305,$A$158:$A$161,0)),0),0)</f>
        <v>0</v>
      </c>
      <c r="I1305" s="62">
        <f>IF(F1305,MAX(0,E1305-I6*D1305)*IFERROR(INDEX($D$158:$D$161,MATCH(C1305,$A$158:$A$161,0)),0),0)</f>
        <v>0</v>
      </c>
      <c r="J1305" s="62">
        <f t="shared" si="130"/>
        <v>0</v>
      </c>
    </row>
    <row r="1306" spans="1:10" ht="15" customHeight="1" outlineLevel="1" x14ac:dyDescent="0.2">
      <c r="A1306" s="63" t="str">
        <f t="shared" si="135"/>
        <v>R002</v>
      </c>
      <c r="B1306" s="64">
        <f>$A$1429</f>
        <v>45536</v>
      </c>
      <c r="C1306" s="63" t="str">
        <f t="shared" si="136"/>
        <v>Senior Enterprise AE</v>
      </c>
      <c r="D1306" s="62">
        <f>SUMIFS(Fact_Quota!$D:$D,Fact_Quota!$A:$A,$A1306,Fact_Quota!$B:$B,"&gt;="&amp;B1306,Fact_Quota!$B:$B,"&lt;"&amp;EDATE(B1306,1))</f>
        <v>0</v>
      </c>
      <c r="E1306" s="62">
        <f>SUMIFS(Fact_Pipeline!$K:$K,Fact_Pipeline!$B:$B,$A1306,Fact_Pipeline!$J:$J,"Won",Fact_Pipeline!$I:$I,"&gt;="&amp;B1306,Fact_Pipeline!$I:$I,"&lt;"&amp;EDATE(B1306,1))</f>
        <v>0</v>
      </c>
      <c r="F1306" s="63" t="b">
        <f>AND(D1306&gt;0,IFERROR(E1306/D1306&gt;=G6,FALSE()))</f>
        <v>0</v>
      </c>
      <c r="G1306" s="62">
        <f t="shared" ref="G1306:G1369" si="137">IF(F1306,MIN(E1306,D1306)*IFERROR(INDEX($B$158:$B$161,MATCH(C1306,$A$158:$A$161,0)),0),0)</f>
        <v>0</v>
      </c>
      <c r="H1306" s="62">
        <f>IF(F1306,MAX(0,MIN(E1306,I6*D1306)-D1306)*IFERROR(INDEX($C$158:$C$161,MATCH(C1306,$A$158:$A$161,0)),0),0)</f>
        <v>0</v>
      </c>
      <c r="I1306" s="62">
        <f>IF(F1306,MAX(0,E1306-I6*D1306)*IFERROR(INDEX($D$158:$D$161,MATCH(C1306,$A$158:$A$161,0)),0),0)</f>
        <v>0</v>
      </c>
      <c r="J1306" s="62">
        <f t="shared" ref="J1306:J1369" si="138">G1306+H1306+I1306</f>
        <v>0</v>
      </c>
    </row>
    <row r="1307" spans="1:10" ht="15" customHeight="1" outlineLevel="1" x14ac:dyDescent="0.2">
      <c r="A1307" s="63" t="str">
        <f t="shared" si="135"/>
        <v>R002</v>
      </c>
      <c r="B1307" s="64">
        <f>$A$1430</f>
        <v>45566</v>
      </c>
      <c r="C1307" s="63" t="str">
        <f t="shared" si="136"/>
        <v>Senior Enterprise AE</v>
      </c>
      <c r="D1307" s="62">
        <f>SUMIFS(Fact_Quota!$D:$D,Fact_Quota!$A:$A,$A1307,Fact_Quota!$B:$B,"&gt;="&amp;B1307,Fact_Quota!$B:$B,"&lt;"&amp;EDATE(B1307,1))</f>
        <v>0</v>
      </c>
      <c r="E1307" s="62">
        <f>SUMIFS(Fact_Pipeline!$K:$K,Fact_Pipeline!$B:$B,$A1307,Fact_Pipeline!$J:$J,"Won",Fact_Pipeline!$I:$I,"&gt;="&amp;B1307,Fact_Pipeline!$I:$I,"&lt;"&amp;EDATE(B1307,1))</f>
        <v>0</v>
      </c>
      <c r="F1307" s="63" t="b">
        <f>AND(D1307&gt;0,IFERROR(E1307/D1307&gt;=G6,FALSE()))</f>
        <v>0</v>
      </c>
      <c r="G1307" s="62">
        <f t="shared" si="137"/>
        <v>0</v>
      </c>
      <c r="H1307" s="62">
        <f>IF(F1307,MAX(0,MIN(E1307,I6*D1307)-D1307)*IFERROR(INDEX($C$158:$C$161,MATCH(C1307,$A$158:$A$161,0)),0),0)</f>
        <v>0</v>
      </c>
      <c r="I1307" s="62">
        <f>IF(F1307,MAX(0,E1307-I6*D1307)*IFERROR(INDEX($D$158:$D$161,MATCH(C1307,$A$158:$A$161,0)),0),0)</f>
        <v>0</v>
      </c>
      <c r="J1307" s="62">
        <f t="shared" si="138"/>
        <v>0</v>
      </c>
    </row>
    <row r="1308" spans="1:10" ht="15" customHeight="1" outlineLevel="1" x14ac:dyDescent="0.2">
      <c r="A1308" s="63" t="str">
        <f t="shared" si="135"/>
        <v>R002</v>
      </c>
      <c r="B1308" s="64">
        <f>$A$1431</f>
        <v>45597</v>
      </c>
      <c r="C1308" s="63" t="str">
        <f t="shared" si="136"/>
        <v>Senior Enterprise AE</v>
      </c>
      <c r="D1308" s="62">
        <f>SUMIFS(Fact_Quota!$D:$D,Fact_Quota!$A:$A,$A1308,Fact_Quota!$B:$B,"&gt;="&amp;B1308,Fact_Quota!$B:$B,"&lt;"&amp;EDATE(B1308,1))</f>
        <v>0</v>
      </c>
      <c r="E1308" s="62">
        <f>SUMIFS(Fact_Pipeline!$K:$K,Fact_Pipeline!$B:$B,$A1308,Fact_Pipeline!$J:$J,"Won",Fact_Pipeline!$I:$I,"&gt;="&amp;B1308,Fact_Pipeline!$I:$I,"&lt;"&amp;EDATE(B1308,1))</f>
        <v>0</v>
      </c>
      <c r="F1308" s="63" t="b">
        <f>AND(D1308&gt;0,IFERROR(E1308/D1308&gt;=G6,FALSE()))</f>
        <v>0</v>
      </c>
      <c r="G1308" s="62">
        <f t="shared" si="137"/>
        <v>0</v>
      </c>
      <c r="H1308" s="62">
        <f>IF(F1308,MAX(0,MIN(E1308,I6*D1308)-D1308)*IFERROR(INDEX($C$158:$C$161,MATCH(C1308,$A$158:$A$161,0)),0),0)</f>
        <v>0</v>
      </c>
      <c r="I1308" s="62">
        <f>IF(F1308,MAX(0,E1308-I6*D1308)*IFERROR(INDEX($D$158:$D$161,MATCH(C1308,$A$158:$A$161,0)),0),0)</f>
        <v>0</v>
      </c>
      <c r="J1308" s="62">
        <f t="shared" si="138"/>
        <v>0</v>
      </c>
    </row>
    <row r="1309" spans="1:10" ht="15" customHeight="1" outlineLevel="1" x14ac:dyDescent="0.2">
      <c r="A1309" s="63" t="str">
        <f t="shared" si="135"/>
        <v>R002</v>
      </c>
      <c r="B1309" s="64">
        <f>$A$1432</f>
        <v>45627</v>
      </c>
      <c r="C1309" s="63" t="str">
        <f t="shared" si="136"/>
        <v>Senior Enterprise AE</v>
      </c>
      <c r="D1309" s="62">
        <f>SUMIFS(Fact_Quota!$D:$D,Fact_Quota!$A:$A,$A1309,Fact_Quota!$B:$B,"&gt;="&amp;B1309,Fact_Quota!$B:$B,"&lt;"&amp;EDATE(B1309,1))</f>
        <v>0</v>
      </c>
      <c r="E1309" s="62">
        <f>SUMIFS(Fact_Pipeline!$K:$K,Fact_Pipeline!$B:$B,$A1309,Fact_Pipeline!$J:$J,"Won",Fact_Pipeline!$I:$I,"&gt;="&amp;B1309,Fact_Pipeline!$I:$I,"&lt;"&amp;EDATE(B1309,1))</f>
        <v>0</v>
      </c>
      <c r="F1309" s="63" t="b">
        <f>AND(D1309&gt;0,IFERROR(E1309/D1309&gt;=G6,FALSE()))</f>
        <v>0</v>
      </c>
      <c r="G1309" s="62">
        <f t="shared" si="137"/>
        <v>0</v>
      </c>
      <c r="H1309" s="62">
        <f>IF(F1309,MAX(0,MIN(E1309,I6*D1309)-D1309)*IFERROR(INDEX($C$158:$C$161,MATCH(C1309,$A$158:$A$161,0)),0),0)</f>
        <v>0</v>
      </c>
      <c r="I1309" s="62">
        <f>IF(F1309,MAX(0,E1309-I6*D1309)*IFERROR(INDEX($D$158:$D$161,MATCH(C1309,$A$158:$A$161,0)),0),0)</f>
        <v>0</v>
      </c>
      <c r="J1309" s="62">
        <f t="shared" si="138"/>
        <v>0</v>
      </c>
    </row>
    <row r="1310" spans="1:10" ht="15" customHeight="1" outlineLevel="1" x14ac:dyDescent="0.2">
      <c r="A1310" s="63" t="str">
        <f t="shared" si="135"/>
        <v>R002</v>
      </c>
      <c r="B1310" s="64">
        <f>$A$1433</f>
        <v>45658</v>
      </c>
      <c r="C1310" s="63" t="str">
        <f t="shared" si="136"/>
        <v>Senior Enterprise AE</v>
      </c>
      <c r="D1310" s="62">
        <f>SUMIFS(Fact_Quota!$D:$D,Fact_Quota!$A:$A,$A1310,Fact_Quota!$B:$B,"&gt;="&amp;B1310,Fact_Quota!$B:$B,"&lt;"&amp;EDATE(B1310,1))</f>
        <v>0</v>
      </c>
      <c r="E1310" s="62">
        <f>SUMIFS(Fact_Pipeline!$K:$K,Fact_Pipeline!$B:$B,$A1310,Fact_Pipeline!$J:$J,"Won",Fact_Pipeline!$I:$I,"&gt;="&amp;B1310,Fact_Pipeline!$I:$I,"&lt;"&amp;EDATE(B1310,1))</f>
        <v>0</v>
      </c>
      <c r="F1310" s="63" t="b">
        <f>AND(D1310&gt;0,IFERROR(E1310/D1310&gt;=G6,FALSE()))</f>
        <v>0</v>
      </c>
      <c r="G1310" s="62">
        <f t="shared" si="137"/>
        <v>0</v>
      </c>
      <c r="H1310" s="62">
        <f>IF(F1310,MAX(0,MIN(E1310,I6*D1310)-D1310)*IFERROR(INDEX($C$158:$C$161,MATCH(C1310,$A$158:$A$161,0)),0),0)</f>
        <v>0</v>
      </c>
      <c r="I1310" s="62">
        <f>IF(F1310,MAX(0,E1310-I6*D1310)*IFERROR(INDEX($D$158:$D$161,MATCH(C1310,$A$158:$A$161,0)),0),0)</f>
        <v>0</v>
      </c>
      <c r="J1310" s="62">
        <f t="shared" si="138"/>
        <v>0</v>
      </c>
    </row>
    <row r="1311" spans="1:10" ht="15" customHeight="1" outlineLevel="1" x14ac:dyDescent="0.2">
      <c r="A1311" s="63" t="str">
        <f t="shared" si="135"/>
        <v>R002</v>
      </c>
      <c r="B1311" s="64">
        <f>$A$1434</f>
        <v>45689</v>
      </c>
      <c r="C1311" s="63" t="str">
        <f t="shared" si="136"/>
        <v>Senior Enterprise AE</v>
      </c>
      <c r="D1311" s="62">
        <f>SUMIFS(Fact_Quota!$D:$D,Fact_Quota!$A:$A,$A1311,Fact_Quota!$B:$B,"&gt;="&amp;B1311,Fact_Quota!$B:$B,"&lt;"&amp;EDATE(B1311,1))</f>
        <v>0</v>
      </c>
      <c r="E1311" s="62">
        <f>SUMIFS(Fact_Pipeline!$K:$K,Fact_Pipeline!$B:$B,$A1311,Fact_Pipeline!$J:$J,"Won",Fact_Pipeline!$I:$I,"&gt;="&amp;B1311,Fact_Pipeline!$I:$I,"&lt;"&amp;EDATE(B1311,1))</f>
        <v>0</v>
      </c>
      <c r="F1311" s="63" t="b">
        <f>AND(D1311&gt;0,IFERROR(E1311/D1311&gt;=G6,FALSE()))</f>
        <v>0</v>
      </c>
      <c r="G1311" s="62">
        <f t="shared" si="137"/>
        <v>0</v>
      </c>
      <c r="H1311" s="62">
        <f>IF(F1311,MAX(0,MIN(E1311,I6*D1311)-D1311)*IFERROR(INDEX($C$158:$C$161,MATCH(C1311,$A$158:$A$161,0)),0),0)</f>
        <v>0</v>
      </c>
      <c r="I1311" s="62">
        <f>IF(F1311,MAX(0,E1311-I6*D1311)*IFERROR(INDEX($D$158:$D$161,MATCH(C1311,$A$158:$A$161,0)),0),0)</f>
        <v>0</v>
      </c>
      <c r="J1311" s="62">
        <f t="shared" si="138"/>
        <v>0</v>
      </c>
    </row>
    <row r="1312" spans="1:10" ht="15" customHeight="1" outlineLevel="1" x14ac:dyDescent="0.2">
      <c r="A1312" s="63" t="str">
        <f t="shared" si="135"/>
        <v>R002</v>
      </c>
      <c r="B1312" s="64">
        <f>$A$1435</f>
        <v>45717</v>
      </c>
      <c r="C1312" s="63" t="str">
        <f t="shared" si="136"/>
        <v>Senior Enterprise AE</v>
      </c>
      <c r="D1312" s="62">
        <f>SUMIFS(Fact_Quota!$D:$D,Fact_Quota!$A:$A,$A1312,Fact_Quota!$B:$B,"&gt;="&amp;B1312,Fact_Quota!$B:$B,"&lt;"&amp;EDATE(B1312,1))</f>
        <v>0</v>
      </c>
      <c r="E1312" s="62">
        <f>SUMIFS(Fact_Pipeline!$K:$K,Fact_Pipeline!$B:$B,$A1312,Fact_Pipeline!$J:$J,"Won",Fact_Pipeline!$I:$I,"&gt;="&amp;B1312,Fact_Pipeline!$I:$I,"&lt;"&amp;EDATE(B1312,1))</f>
        <v>0</v>
      </c>
      <c r="F1312" s="63" t="b">
        <f>AND(D1312&gt;0,IFERROR(E1312/D1312&gt;=G6,FALSE()))</f>
        <v>0</v>
      </c>
      <c r="G1312" s="62">
        <f t="shared" si="137"/>
        <v>0</v>
      </c>
      <c r="H1312" s="62">
        <f>IF(F1312,MAX(0,MIN(E1312,I6*D1312)-D1312)*IFERROR(INDEX($C$158:$C$161,MATCH(C1312,$A$158:$A$161,0)),0),0)</f>
        <v>0</v>
      </c>
      <c r="I1312" s="62">
        <f>IF(F1312,MAX(0,E1312-I6*D1312)*IFERROR(INDEX($D$158:$D$161,MATCH(C1312,$A$158:$A$161,0)),0),0)</f>
        <v>0</v>
      </c>
      <c r="J1312" s="62">
        <f t="shared" si="138"/>
        <v>0</v>
      </c>
    </row>
    <row r="1313" spans="1:10" ht="15" customHeight="1" outlineLevel="1" x14ac:dyDescent="0.2">
      <c r="A1313" s="63" t="str">
        <f t="shared" si="135"/>
        <v>R002</v>
      </c>
      <c r="B1313" s="64">
        <f>$A$1436</f>
        <v>45748</v>
      </c>
      <c r="C1313" s="63" t="str">
        <f t="shared" si="136"/>
        <v>Senior Enterprise AE</v>
      </c>
      <c r="D1313" s="62">
        <f>SUMIFS(Fact_Quota!$D:$D,Fact_Quota!$A:$A,$A1313,Fact_Quota!$B:$B,"&gt;="&amp;B1313,Fact_Quota!$B:$B,"&lt;"&amp;EDATE(B1313,1))</f>
        <v>0</v>
      </c>
      <c r="E1313" s="62">
        <f>SUMIFS(Fact_Pipeline!$K:$K,Fact_Pipeline!$B:$B,$A1313,Fact_Pipeline!$J:$J,"Won",Fact_Pipeline!$I:$I,"&gt;="&amp;B1313,Fact_Pipeline!$I:$I,"&lt;"&amp;EDATE(B1313,1))</f>
        <v>0</v>
      </c>
      <c r="F1313" s="63" t="b">
        <f>AND(D1313&gt;0,IFERROR(E1313/D1313&gt;=G6,FALSE()))</f>
        <v>0</v>
      </c>
      <c r="G1313" s="62">
        <f t="shared" si="137"/>
        <v>0</v>
      </c>
      <c r="H1313" s="62">
        <f>IF(F1313,MAX(0,MIN(E1313,I6*D1313)-D1313)*IFERROR(INDEX($C$158:$C$161,MATCH(C1313,$A$158:$A$161,0)),0),0)</f>
        <v>0</v>
      </c>
      <c r="I1313" s="62">
        <f>IF(F1313,MAX(0,E1313-I6*D1313)*IFERROR(INDEX($D$158:$D$161,MATCH(C1313,$A$158:$A$161,0)),0),0)</f>
        <v>0</v>
      </c>
      <c r="J1313" s="62">
        <f t="shared" si="138"/>
        <v>0</v>
      </c>
    </row>
    <row r="1314" spans="1:10" ht="15" customHeight="1" outlineLevel="1" x14ac:dyDescent="0.2">
      <c r="A1314" s="63" t="str">
        <f t="shared" si="135"/>
        <v>R002</v>
      </c>
      <c r="B1314" s="64">
        <f>$A$1437</f>
        <v>45778</v>
      </c>
      <c r="C1314" s="63" t="str">
        <f t="shared" si="136"/>
        <v>Senior Enterprise AE</v>
      </c>
      <c r="D1314" s="62">
        <f>SUMIFS(Fact_Quota!$D:$D,Fact_Quota!$A:$A,$A1314,Fact_Quota!$B:$B,"&gt;="&amp;B1314,Fact_Quota!$B:$B,"&lt;"&amp;EDATE(B1314,1))</f>
        <v>0</v>
      </c>
      <c r="E1314" s="62">
        <f>SUMIFS(Fact_Pipeline!$K:$K,Fact_Pipeline!$B:$B,$A1314,Fact_Pipeline!$J:$J,"Won",Fact_Pipeline!$I:$I,"&gt;="&amp;B1314,Fact_Pipeline!$I:$I,"&lt;"&amp;EDATE(B1314,1))</f>
        <v>0</v>
      </c>
      <c r="F1314" s="63" t="b">
        <f>AND(D1314&gt;0,IFERROR(E1314/D1314&gt;=G6,FALSE()))</f>
        <v>0</v>
      </c>
      <c r="G1314" s="62">
        <f t="shared" si="137"/>
        <v>0</v>
      </c>
      <c r="H1314" s="62">
        <f>IF(F1314,MAX(0,MIN(E1314,I6*D1314)-D1314)*IFERROR(INDEX($C$158:$C$161,MATCH(C1314,$A$158:$A$161,0)),0),0)</f>
        <v>0</v>
      </c>
      <c r="I1314" s="62">
        <f>IF(F1314,MAX(0,E1314-I6*D1314)*IFERROR(INDEX($D$158:$D$161,MATCH(C1314,$A$158:$A$161,0)),0),0)</f>
        <v>0</v>
      </c>
      <c r="J1314" s="62">
        <f t="shared" si="138"/>
        <v>0</v>
      </c>
    </row>
    <row r="1315" spans="1:10" ht="15" customHeight="1" outlineLevel="1" x14ac:dyDescent="0.2">
      <c r="A1315" s="63" t="str">
        <f t="shared" si="135"/>
        <v>R002</v>
      </c>
      <c r="B1315" s="64">
        <f>$A$1438</f>
        <v>45809</v>
      </c>
      <c r="C1315" s="63" t="str">
        <f t="shared" si="136"/>
        <v>Senior Enterprise AE</v>
      </c>
      <c r="D1315" s="62">
        <f>SUMIFS(Fact_Quota!$D:$D,Fact_Quota!$A:$A,$A1315,Fact_Quota!$B:$B,"&gt;="&amp;B1315,Fact_Quota!$B:$B,"&lt;"&amp;EDATE(B1315,1))</f>
        <v>12300</v>
      </c>
      <c r="E1315" s="62">
        <f>SUMIFS(Fact_Pipeline!$K:$K,Fact_Pipeline!$B:$B,$A1315,Fact_Pipeline!$J:$J,"Won",Fact_Pipeline!$I:$I,"&gt;="&amp;B1315,Fact_Pipeline!$I:$I,"&lt;"&amp;EDATE(B1315,1))</f>
        <v>0</v>
      </c>
      <c r="F1315" s="63" t="b">
        <f>AND(D1315&gt;0,IFERROR(E1315/D1315&gt;=G6,FALSE()))</f>
        <v>0</v>
      </c>
      <c r="G1315" s="62">
        <f t="shared" si="137"/>
        <v>0</v>
      </c>
      <c r="H1315" s="62">
        <f>IF(F1315,MAX(0,MIN(E1315,I6*D1315)-D1315)*IFERROR(INDEX($C$158:$C$161,MATCH(C1315,$A$158:$A$161,0)),0),0)</f>
        <v>0</v>
      </c>
      <c r="I1315" s="62">
        <f>IF(F1315,MAX(0,E1315-I6*D1315)*IFERROR(INDEX($D$158:$D$161,MATCH(C1315,$A$158:$A$161,0)),0),0)</f>
        <v>0</v>
      </c>
      <c r="J1315" s="62">
        <f t="shared" si="138"/>
        <v>0</v>
      </c>
    </row>
    <row r="1316" spans="1:10" ht="15" customHeight="1" outlineLevel="1" x14ac:dyDescent="0.2">
      <c r="A1316" s="63" t="str">
        <f t="shared" si="135"/>
        <v>R002</v>
      </c>
      <c r="B1316" s="64">
        <f>$A$1439</f>
        <v>45839</v>
      </c>
      <c r="C1316" s="63" t="str">
        <f t="shared" si="136"/>
        <v>Senior Enterprise AE</v>
      </c>
      <c r="D1316" s="62">
        <f>SUMIFS(Fact_Quota!$D:$D,Fact_Quota!$A:$A,$A1316,Fact_Quota!$B:$B,"&gt;="&amp;B1316,Fact_Quota!$B:$B,"&lt;"&amp;EDATE(B1316,1))</f>
        <v>25000</v>
      </c>
      <c r="E1316" s="62">
        <f>SUMIFS(Fact_Pipeline!$K:$K,Fact_Pipeline!$B:$B,$A1316,Fact_Pipeline!$J:$J,"Won",Fact_Pipeline!$I:$I,"&gt;="&amp;B1316,Fact_Pipeline!$I:$I,"&lt;"&amp;EDATE(B1316,1))</f>
        <v>0</v>
      </c>
      <c r="F1316" s="63" t="b">
        <f>AND(D1316&gt;0,IFERROR(E1316/D1316&gt;=G6,FALSE()))</f>
        <v>0</v>
      </c>
      <c r="G1316" s="62">
        <f t="shared" si="137"/>
        <v>0</v>
      </c>
      <c r="H1316" s="62">
        <f>IF(F1316,MAX(0,MIN(E1316,I6*D1316)-D1316)*IFERROR(INDEX($C$158:$C$161,MATCH(C1316,$A$158:$A$161,0)),0),0)</f>
        <v>0</v>
      </c>
      <c r="I1316" s="62">
        <f>IF(F1316,MAX(0,E1316-I6*D1316)*IFERROR(INDEX($D$158:$D$161,MATCH(C1316,$A$158:$A$161,0)),0),0)</f>
        <v>0</v>
      </c>
      <c r="J1316" s="62">
        <f t="shared" si="138"/>
        <v>0</v>
      </c>
    </row>
    <row r="1317" spans="1:10" ht="15" customHeight="1" outlineLevel="1" x14ac:dyDescent="0.2">
      <c r="A1317" s="63" t="str">
        <f t="shared" si="135"/>
        <v>R002</v>
      </c>
      <c r="B1317" s="64">
        <f>$A$1440</f>
        <v>45870</v>
      </c>
      <c r="C1317" s="63" t="str">
        <f t="shared" si="136"/>
        <v>Senior Enterprise AE</v>
      </c>
      <c r="D1317" s="62">
        <f>SUMIFS(Fact_Quota!$D:$D,Fact_Quota!$A:$A,$A1317,Fact_Quota!$B:$B,"&gt;="&amp;B1317,Fact_Quota!$B:$B,"&lt;"&amp;EDATE(B1317,1))</f>
        <v>35900</v>
      </c>
      <c r="E1317" s="62">
        <f>SUMIFS(Fact_Pipeline!$K:$K,Fact_Pipeline!$B:$B,$A1317,Fact_Pipeline!$J:$J,"Won",Fact_Pipeline!$I:$I,"&gt;="&amp;B1317,Fact_Pipeline!$I:$I,"&lt;"&amp;EDATE(B1317,1))</f>
        <v>0</v>
      </c>
      <c r="F1317" s="63" t="b">
        <f>AND(D1317&gt;0,IFERROR(E1317/D1317&gt;=G6,FALSE()))</f>
        <v>0</v>
      </c>
      <c r="G1317" s="62">
        <f t="shared" si="137"/>
        <v>0</v>
      </c>
      <c r="H1317" s="62">
        <f>IF(F1317,MAX(0,MIN(E1317,I6*D1317)-D1317)*IFERROR(INDEX($C$158:$C$161,MATCH(C1317,$A$158:$A$161,0)),0),0)</f>
        <v>0</v>
      </c>
      <c r="I1317" s="62">
        <f>IF(F1317,MAX(0,E1317-I6*D1317)*IFERROR(INDEX($D$158:$D$161,MATCH(C1317,$A$158:$A$161,0)),0),0)</f>
        <v>0</v>
      </c>
      <c r="J1317" s="62">
        <f t="shared" si="138"/>
        <v>0</v>
      </c>
    </row>
    <row r="1318" spans="1:10" ht="15" customHeight="1" outlineLevel="1" x14ac:dyDescent="0.2">
      <c r="A1318" s="63" t="str">
        <f t="shared" si="135"/>
        <v>R002</v>
      </c>
      <c r="B1318" s="64">
        <f>$A$1441</f>
        <v>45901</v>
      </c>
      <c r="C1318" s="63" t="str">
        <f t="shared" si="136"/>
        <v>Senior Enterprise AE</v>
      </c>
      <c r="D1318" s="62">
        <f>SUMIFS(Fact_Quota!$D:$D,Fact_Quota!$A:$A,$A1318,Fact_Quota!$B:$B,"&gt;="&amp;B1318,Fact_Quota!$B:$B,"&lt;"&amp;EDATE(B1318,1))</f>
        <v>49400</v>
      </c>
      <c r="E1318" s="62">
        <f>SUMIFS(Fact_Pipeline!$K:$K,Fact_Pipeline!$B:$B,$A1318,Fact_Pipeline!$J:$J,"Won",Fact_Pipeline!$I:$I,"&gt;="&amp;B1318,Fact_Pipeline!$I:$I,"&lt;"&amp;EDATE(B1318,1))</f>
        <v>0</v>
      </c>
      <c r="F1318" s="63" t="b">
        <f>AND(D1318&gt;0,IFERROR(E1318/D1318&gt;=G6,FALSE()))</f>
        <v>0</v>
      </c>
      <c r="G1318" s="62">
        <f t="shared" si="137"/>
        <v>0</v>
      </c>
      <c r="H1318" s="62">
        <f>IF(F1318,MAX(0,MIN(E1318,I6*D1318)-D1318)*IFERROR(INDEX($C$158:$C$161,MATCH(C1318,$A$158:$A$161,0)),0),0)</f>
        <v>0</v>
      </c>
      <c r="I1318" s="62">
        <f>IF(F1318,MAX(0,E1318-I6*D1318)*IFERROR(INDEX($D$158:$D$161,MATCH(C1318,$A$158:$A$161,0)),0),0)</f>
        <v>0</v>
      </c>
      <c r="J1318" s="62">
        <f t="shared" si="138"/>
        <v>0</v>
      </c>
    </row>
    <row r="1319" spans="1:10" ht="15" customHeight="1" outlineLevel="1" x14ac:dyDescent="0.2">
      <c r="A1319" s="63" t="str">
        <f t="shared" si="135"/>
        <v>R002</v>
      </c>
      <c r="B1319" s="64">
        <f>$A$1442</f>
        <v>45931</v>
      </c>
      <c r="C1319" s="63" t="str">
        <f t="shared" si="136"/>
        <v>Senior Enterprise AE</v>
      </c>
      <c r="D1319" s="62">
        <f>SUMIFS(Fact_Quota!$D:$D,Fact_Quota!$A:$A,$A1319,Fact_Quota!$B:$B,"&gt;="&amp;B1319,Fact_Quota!$B:$B,"&lt;"&amp;EDATE(B1319,1))</f>
        <v>48500</v>
      </c>
      <c r="E1319" s="62">
        <f>SUMIFS(Fact_Pipeline!$K:$K,Fact_Pipeline!$B:$B,$A1319,Fact_Pipeline!$J:$J,"Won",Fact_Pipeline!$I:$I,"&gt;="&amp;B1319,Fact_Pipeline!$I:$I,"&lt;"&amp;EDATE(B1319,1))</f>
        <v>0</v>
      </c>
      <c r="F1319" s="63" t="b">
        <f>AND(D1319&gt;0,IFERROR(E1319/D1319&gt;=G6,FALSE()))</f>
        <v>0</v>
      </c>
      <c r="G1319" s="62">
        <f t="shared" si="137"/>
        <v>0</v>
      </c>
      <c r="H1319" s="62">
        <f>IF(F1319,MAX(0,MIN(E1319,I6*D1319)-D1319)*IFERROR(INDEX($C$158:$C$161,MATCH(C1319,$A$158:$A$161,0)),0),0)</f>
        <v>0</v>
      </c>
      <c r="I1319" s="62">
        <f>IF(F1319,MAX(0,E1319-I6*D1319)*IFERROR(INDEX($D$158:$D$161,MATCH(C1319,$A$158:$A$161,0)),0),0)</f>
        <v>0</v>
      </c>
      <c r="J1319" s="62">
        <f t="shared" si="138"/>
        <v>0</v>
      </c>
    </row>
    <row r="1320" spans="1:10" ht="15" customHeight="1" outlineLevel="1" x14ac:dyDescent="0.2">
      <c r="A1320" s="63" t="str">
        <f t="shared" si="135"/>
        <v>R002</v>
      </c>
      <c r="B1320" s="64">
        <f>$A$1443</f>
        <v>45962</v>
      </c>
      <c r="C1320" s="63" t="str">
        <f t="shared" si="136"/>
        <v>Senior Enterprise AE</v>
      </c>
      <c r="D1320" s="62">
        <f>SUMIFS(Fact_Quota!$D:$D,Fact_Quota!$A:$A,$A1320,Fact_Quota!$B:$B,"&gt;="&amp;B1320,Fact_Quota!$B:$B,"&lt;"&amp;EDATE(B1320,1))</f>
        <v>47100</v>
      </c>
      <c r="E1320" s="62">
        <f>SUMIFS(Fact_Pipeline!$K:$K,Fact_Pipeline!$B:$B,$A1320,Fact_Pipeline!$J:$J,"Won",Fact_Pipeline!$I:$I,"&gt;="&amp;B1320,Fact_Pipeline!$I:$I,"&lt;"&amp;EDATE(B1320,1))</f>
        <v>0</v>
      </c>
      <c r="F1320" s="63" t="b">
        <f>AND(D1320&gt;0,IFERROR(E1320/D1320&gt;=G6,FALSE()))</f>
        <v>0</v>
      </c>
      <c r="G1320" s="62">
        <f t="shared" si="137"/>
        <v>0</v>
      </c>
      <c r="H1320" s="62">
        <f>IF(F1320,MAX(0,MIN(E1320,I6*D1320)-D1320)*IFERROR(INDEX($C$158:$C$161,MATCH(C1320,$A$158:$A$161,0)),0),0)</f>
        <v>0</v>
      </c>
      <c r="I1320" s="62">
        <f>IF(F1320,MAX(0,E1320-I6*D1320)*IFERROR(INDEX($D$158:$D$161,MATCH(C1320,$A$158:$A$161,0)),0),0)</f>
        <v>0</v>
      </c>
      <c r="J1320" s="62">
        <f t="shared" si="138"/>
        <v>0</v>
      </c>
    </row>
    <row r="1321" spans="1:10" ht="15" customHeight="1" outlineLevel="1" x14ac:dyDescent="0.2">
      <c r="A1321" s="63" t="str">
        <f t="shared" si="135"/>
        <v>R002</v>
      </c>
      <c r="B1321" s="64">
        <f>$A$1444</f>
        <v>45992</v>
      </c>
      <c r="C1321" s="63" t="str">
        <f t="shared" si="136"/>
        <v>Senior Enterprise AE</v>
      </c>
      <c r="D1321" s="62">
        <f>SUMIFS(Fact_Quota!$D:$D,Fact_Quota!$A:$A,$A1321,Fact_Quota!$B:$B,"&gt;="&amp;B1321,Fact_Quota!$B:$B,"&lt;"&amp;EDATE(B1321,1))</f>
        <v>48500</v>
      </c>
      <c r="E1321" s="62">
        <f>SUMIFS(Fact_Pipeline!$K:$K,Fact_Pipeline!$B:$B,$A1321,Fact_Pipeline!$J:$J,"Won",Fact_Pipeline!$I:$I,"&gt;="&amp;B1321,Fact_Pipeline!$I:$I,"&lt;"&amp;EDATE(B1321,1))</f>
        <v>0</v>
      </c>
      <c r="F1321" s="63" t="b">
        <f>AND(D1321&gt;0,IFERROR(E1321/D1321&gt;=G6,FALSE()))</f>
        <v>0</v>
      </c>
      <c r="G1321" s="62">
        <f t="shared" si="137"/>
        <v>0</v>
      </c>
      <c r="H1321" s="62">
        <f>IF(F1321,MAX(0,MIN(E1321,I6*D1321)-D1321)*IFERROR(INDEX($C$158:$C$161,MATCH(C1321,$A$158:$A$161,0)),0),0)</f>
        <v>0</v>
      </c>
      <c r="I1321" s="62">
        <f>IF(F1321,MAX(0,E1321-I6*D1321)*IFERROR(INDEX($D$158:$D$161,MATCH(C1321,$A$158:$A$161,0)),0),0)</f>
        <v>0</v>
      </c>
      <c r="J1321" s="62">
        <f t="shared" si="138"/>
        <v>0</v>
      </c>
    </row>
    <row r="1322" spans="1:10" ht="15" customHeight="1" outlineLevel="1" x14ac:dyDescent="0.2">
      <c r="A1322" s="66" t="str">
        <f t="shared" ref="A1322:A1345" si="139">$A$211</f>
        <v>R012</v>
      </c>
      <c r="B1322" s="67">
        <f>$A$1421</f>
        <v>45292</v>
      </c>
      <c r="C1322" s="66" t="str">
        <f t="shared" ref="C1322:C1345" si="140">$C$211</f>
        <v>Senior Enterprise AE</v>
      </c>
      <c r="D1322" s="65">
        <f>SUMIFS(Fact_Quota!$D:$D,Fact_Quota!$A:$A,$A1322,Fact_Quota!$B:$B,"&gt;="&amp;B1322,Fact_Quota!$B:$B,"&lt;"&amp;EDATE(B1322,1))</f>
        <v>45300</v>
      </c>
      <c r="E1322" s="65">
        <f>SUMIFS(Fact_Pipeline!$K:$K,Fact_Pipeline!$B:$B,$A1322,Fact_Pipeline!$J:$J,"Won",Fact_Pipeline!$I:$I,"&gt;="&amp;B1322,Fact_Pipeline!$I:$I,"&lt;"&amp;EDATE(B1322,1))</f>
        <v>0</v>
      </c>
      <c r="F1322" s="66" t="b">
        <f>AND(D1322&gt;0,IFERROR(E1322/D1322&gt;=G6,FALSE()))</f>
        <v>0</v>
      </c>
      <c r="G1322" s="65">
        <f t="shared" si="137"/>
        <v>0</v>
      </c>
      <c r="H1322" s="65">
        <f>IF(F1322,MAX(0,MIN(E1322,I6*D1322)-D1322)*IFERROR(INDEX($C$158:$C$161,MATCH(C1322,$A$158:$A$161,0)),0),0)</f>
        <v>0</v>
      </c>
      <c r="I1322" s="65">
        <f>IF(F1322,MAX(0,E1322-I6*D1322)*IFERROR(INDEX($D$158:$D$161,MATCH(C1322,$A$158:$A$161,0)),0),0)</f>
        <v>0</v>
      </c>
      <c r="J1322" s="65">
        <f t="shared" si="138"/>
        <v>0</v>
      </c>
    </row>
    <row r="1323" spans="1:10" ht="15" customHeight="1" outlineLevel="1" x14ac:dyDescent="0.2">
      <c r="A1323" s="66" t="str">
        <f t="shared" si="139"/>
        <v>R012</v>
      </c>
      <c r="B1323" s="67">
        <f>$A$1422</f>
        <v>45323</v>
      </c>
      <c r="C1323" s="66" t="str">
        <f t="shared" si="140"/>
        <v>Senior Enterprise AE</v>
      </c>
      <c r="D1323" s="65">
        <f>SUMIFS(Fact_Quota!$D:$D,Fact_Quota!$A:$A,$A1323,Fact_Quota!$B:$B,"&gt;="&amp;B1323,Fact_Quota!$B:$B,"&lt;"&amp;EDATE(B1323,1))</f>
        <v>49000</v>
      </c>
      <c r="E1323" s="65">
        <f>SUMIFS(Fact_Pipeline!$K:$K,Fact_Pipeline!$B:$B,$A1323,Fact_Pipeline!$J:$J,"Won",Fact_Pipeline!$I:$I,"&gt;="&amp;B1323,Fact_Pipeline!$I:$I,"&lt;"&amp;EDATE(B1323,1))</f>
        <v>0</v>
      </c>
      <c r="F1323" s="66" t="b">
        <f>AND(D1323&gt;0,IFERROR(E1323/D1323&gt;=G6,FALSE()))</f>
        <v>0</v>
      </c>
      <c r="G1323" s="65">
        <f t="shared" si="137"/>
        <v>0</v>
      </c>
      <c r="H1323" s="65">
        <f>IF(F1323,MAX(0,MIN(E1323,I6*D1323)-D1323)*IFERROR(INDEX($C$158:$C$161,MATCH(C1323,$A$158:$A$161,0)),0),0)</f>
        <v>0</v>
      </c>
      <c r="I1323" s="65">
        <f>IF(F1323,MAX(0,E1323-I6*D1323)*IFERROR(INDEX($D$158:$D$161,MATCH(C1323,$A$158:$A$161,0)),0),0)</f>
        <v>0</v>
      </c>
      <c r="J1323" s="65">
        <f t="shared" si="138"/>
        <v>0</v>
      </c>
    </row>
    <row r="1324" spans="1:10" ht="15" customHeight="1" outlineLevel="1" x14ac:dyDescent="0.2">
      <c r="A1324" s="66" t="str">
        <f t="shared" si="139"/>
        <v>R012</v>
      </c>
      <c r="B1324" s="67">
        <f>$A$1423</f>
        <v>45352</v>
      </c>
      <c r="C1324" s="66" t="str">
        <f t="shared" si="140"/>
        <v>Senior Enterprise AE</v>
      </c>
      <c r="D1324" s="65">
        <f>SUMIFS(Fact_Quota!$D:$D,Fact_Quota!$A:$A,$A1324,Fact_Quota!$B:$B,"&gt;="&amp;B1324,Fact_Quota!$B:$B,"&lt;"&amp;EDATE(B1324,1))</f>
        <v>45700</v>
      </c>
      <c r="E1324" s="65">
        <f>SUMIFS(Fact_Pipeline!$K:$K,Fact_Pipeline!$B:$B,$A1324,Fact_Pipeline!$J:$J,"Won",Fact_Pipeline!$I:$I,"&gt;="&amp;B1324,Fact_Pipeline!$I:$I,"&lt;"&amp;EDATE(B1324,1))</f>
        <v>0</v>
      </c>
      <c r="F1324" s="66" t="b">
        <f>AND(D1324&gt;0,IFERROR(E1324/D1324&gt;=G6,FALSE()))</f>
        <v>0</v>
      </c>
      <c r="G1324" s="65">
        <f t="shared" si="137"/>
        <v>0</v>
      </c>
      <c r="H1324" s="65">
        <f>IF(F1324,MAX(0,MIN(E1324,I6*D1324)-D1324)*IFERROR(INDEX($C$158:$C$161,MATCH(C1324,$A$158:$A$161,0)),0),0)</f>
        <v>0</v>
      </c>
      <c r="I1324" s="65">
        <f>IF(F1324,MAX(0,E1324-I6*D1324)*IFERROR(INDEX($D$158:$D$161,MATCH(C1324,$A$158:$A$161,0)),0),0)</f>
        <v>0</v>
      </c>
      <c r="J1324" s="65">
        <f t="shared" si="138"/>
        <v>0</v>
      </c>
    </row>
    <row r="1325" spans="1:10" ht="15" customHeight="1" outlineLevel="1" x14ac:dyDescent="0.2">
      <c r="A1325" s="66" t="str">
        <f t="shared" si="139"/>
        <v>R012</v>
      </c>
      <c r="B1325" s="67">
        <f>$A$1424</f>
        <v>45383</v>
      </c>
      <c r="C1325" s="66" t="str">
        <f t="shared" si="140"/>
        <v>Senior Enterprise AE</v>
      </c>
      <c r="D1325" s="65">
        <f>SUMIFS(Fact_Quota!$D:$D,Fact_Quota!$A:$A,$A1325,Fact_Quota!$B:$B,"&gt;="&amp;B1325,Fact_Quota!$B:$B,"&lt;"&amp;EDATE(B1325,1))</f>
        <v>47300</v>
      </c>
      <c r="E1325" s="65">
        <f>SUMIFS(Fact_Pipeline!$K:$K,Fact_Pipeline!$B:$B,$A1325,Fact_Pipeline!$J:$J,"Won",Fact_Pipeline!$I:$I,"&gt;="&amp;B1325,Fact_Pipeline!$I:$I,"&lt;"&amp;EDATE(B1325,1))</f>
        <v>59500</v>
      </c>
      <c r="F1325" s="66" t="b">
        <f>AND(D1325&gt;0,IFERROR(E1325/D1325&gt;=G6,FALSE()))</f>
        <v>1</v>
      </c>
      <c r="G1325" s="65">
        <f t="shared" si="137"/>
        <v>3311.0000000000005</v>
      </c>
      <c r="H1325" s="65">
        <f>IF(F1325,MAX(0,MIN(E1325,I6*D1325)-D1325)*IFERROR(INDEX($C$158:$C$161,MATCH(C1325,$A$158:$A$161,0)),0),0)</f>
        <v>1342</v>
      </c>
      <c r="I1325" s="65">
        <f>IF(F1325,MAX(0,E1325-I6*D1325)*IFERROR(INDEX($D$158:$D$161,MATCH(C1325,$A$158:$A$161,0)),0),0)</f>
        <v>0</v>
      </c>
      <c r="J1325" s="65">
        <f t="shared" si="138"/>
        <v>4653</v>
      </c>
    </row>
    <row r="1326" spans="1:10" ht="15" customHeight="1" outlineLevel="1" x14ac:dyDescent="0.2">
      <c r="A1326" s="66" t="str">
        <f t="shared" si="139"/>
        <v>R012</v>
      </c>
      <c r="B1326" s="67">
        <f>$A$1425</f>
        <v>45413</v>
      </c>
      <c r="C1326" s="66" t="str">
        <f t="shared" si="140"/>
        <v>Senior Enterprise AE</v>
      </c>
      <c r="D1326" s="65">
        <f>SUMIFS(Fact_Quota!$D:$D,Fact_Quota!$A:$A,$A1326,Fact_Quota!$B:$B,"&gt;="&amp;B1326,Fact_Quota!$B:$B,"&lt;"&amp;EDATE(B1326,1))</f>
        <v>49600</v>
      </c>
      <c r="E1326" s="65">
        <f>SUMIFS(Fact_Pipeline!$K:$K,Fact_Pipeline!$B:$B,$A1326,Fact_Pipeline!$J:$J,"Won",Fact_Pipeline!$I:$I,"&gt;="&amp;B1326,Fact_Pipeline!$I:$I,"&lt;"&amp;EDATE(B1326,1))</f>
        <v>0</v>
      </c>
      <c r="F1326" s="66" t="b">
        <f>AND(D1326&gt;0,IFERROR(E1326/D1326&gt;=G6,FALSE()))</f>
        <v>0</v>
      </c>
      <c r="G1326" s="65">
        <f t="shared" si="137"/>
        <v>0</v>
      </c>
      <c r="H1326" s="65">
        <f>IF(F1326,MAX(0,MIN(E1326,I6*D1326)-D1326)*IFERROR(INDEX($C$158:$C$161,MATCH(C1326,$A$158:$A$161,0)),0),0)</f>
        <v>0</v>
      </c>
      <c r="I1326" s="65">
        <f>IF(F1326,MAX(0,E1326-I6*D1326)*IFERROR(INDEX($D$158:$D$161,MATCH(C1326,$A$158:$A$161,0)),0),0)</f>
        <v>0</v>
      </c>
      <c r="J1326" s="65">
        <f t="shared" si="138"/>
        <v>0</v>
      </c>
    </row>
    <row r="1327" spans="1:10" ht="15" customHeight="1" outlineLevel="1" x14ac:dyDescent="0.2">
      <c r="A1327" s="66" t="str">
        <f t="shared" si="139"/>
        <v>R012</v>
      </c>
      <c r="B1327" s="67">
        <f>$A$1426</f>
        <v>45444</v>
      </c>
      <c r="C1327" s="66" t="str">
        <f t="shared" si="140"/>
        <v>Senior Enterprise AE</v>
      </c>
      <c r="D1327" s="65">
        <f>SUMIFS(Fact_Quota!$D:$D,Fact_Quota!$A:$A,$A1327,Fact_Quota!$B:$B,"&gt;="&amp;B1327,Fact_Quota!$B:$B,"&lt;"&amp;EDATE(B1327,1))</f>
        <v>48100</v>
      </c>
      <c r="E1327" s="65">
        <f>SUMIFS(Fact_Pipeline!$K:$K,Fact_Pipeline!$B:$B,$A1327,Fact_Pipeline!$J:$J,"Won",Fact_Pipeline!$I:$I,"&gt;="&amp;B1327,Fact_Pipeline!$I:$I,"&lt;"&amp;EDATE(B1327,1))</f>
        <v>0</v>
      </c>
      <c r="F1327" s="66" t="b">
        <f>AND(D1327&gt;0,IFERROR(E1327/D1327&gt;=G6,FALSE()))</f>
        <v>0</v>
      </c>
      <c r="G1327" s="65">
        <f t="shared" si="137"/>
        <v>0</v>
      </c>
      <c r="H1327" s="65">
        <f>IF(F1327,MAX(0,MIN(E1327,I6*D1327)-D1327)*IFERROR(INDEX($C$158:$C$161,MATCH(C1327,$A$158:$A$161,0)),0),0)</f>
        <v>0</v>
      </c>
      <c r="I1327" s="65">
        <f>IF(F1327,MAX(0,E1327-I6*D1327)*IFERROR(INDEX($D$158:$D$161,MATCH(C1327,$A$158:$A$161,0)),0),0)</f>
        <v>0</v>
      </c>
      <c r="J1327" s="65">
        <f t="shared" si="138"/>
        <v>0</v>
      </c>
    </row>
    <row r="1328" spans="1:10" ht="15" customHeight="1" outlineLevel="1" x14ac:dyDescent="0.2">
      <c r="A1328" s="66" t="str">
        <f t="shared" si="139"/>
        <v>R012</v>
      </c>
      <c r="B1328" s="67">
        <f>$A$1427</f>
        <v>45474</v>
      </c>
      <c r="C1328" s="66" t="str">
        <f t="shared" si="140"/>
        <v>Senior Enterprise AE</v>
      </c>
      <c r="D1328" s="65">
        <f>SUMIFS(Fact_Quota!$D:$D,Fact_Quota!$A:$A,$A1328,Fact_Quota!$B:$B,"&gt;="&amp;B1328,Fact_Quota!$B:$B,"&lt;"&amp;EDATE(B1328,1))</f>
        <v>46400</v>
      </c>
      <c r="E1328" s="65">
        <f>SUMIFS(Fact_Pipeline!$K:$K,Fact_Pipeline!$B:$B,$A1328,Fact_Pipeline!$J:$J,"Won",Fact_Pipeline!$I:$I,"&gt;="&amp;B1328,Fact_Pipeline!$I:$I,"&lt;"&amp;EDATE(B1328,1))</f>
        <v>37200</v>
      </c>
      <c r="F1328" s="66" t="b">
        <f>AND(D1328&gt;0,IFERROR(E1328/D1328&gt;=G6,FALSE()))</f>
        <v>1</v>
      </c>
      <c r="G1328" s="65">
        <f t="shared" si="137"/>
        <v>2604.0000000000005</v>
      </c>
      <c r="H1328" s="65">
        <f>IF(F1328,MAX(0,MIN(E1328,I6*D1328)-D1328)*IFERROR(INDEX($C$158:$C$161,MATCH(C1328,$A$158:$A$161,0)),0),0)</f>
        <v>0</v>
      </c>
      <c r="I1328" s="65">
        <f>IF(F1328,MAX(0,E1328-I6*D1328)*IFERROR(INDEX($D$158:$D$161,MATCH(C1328,$A$158:$A$161,0)),0),0)</f>
        <v>0</v>
      </c>
      <c r="J1328" s="65">
        <f t="shared" si="138"/>
        <v>2604.0000000000005</v>
      </c>
    </row>
    <row r="1329" spans="1:10" ht="15" customHeight="1" outlineLevel="1" x14ac:dyDescent="0.2">
      <c r="A1329" s="66" t="str">
        <f t="shared" si="139"/>
        <v>R012</v>
      </c>
      <c r="B1329" s="67">
        <f>$A$1428</f>
        <v>45505</v>
      </c>
      <c r="C1329" s="66" t="str">
        <f t="shared" si="140"/>
        <v>Senior Enterprise AE</v>
      </c>
      <c r="D1329" s="65">
        <f>SUMIFS(Fact_Quota!$D:$D,Fact_Quota!$A:$A,$A1329,Fact_Quota!$B:$B,"&gt;="&amp;B1329,Fact_Quota!$B:$B,"&lt;"&amp;EDATE(B1329,1))</f>
        <v>47000</v>
      </c>
      <c r="E1329" s="65">
        <f>SUMIFS(Fact_Pipeline!$K:$K,Fact_Pipeline!$B:$B,$A1329,Fact_Pipeline!$J:$J,"Won",Fact_Pipeline!$I:$I,"&gt;="&amp;B1329,Fact_Pipeline!$I:$I,"&lt;"&amp;EDATE(B1329,1))</f>
        <v>0</v>
      </c>
      <c r="F1329" s="66" t="b">
        <f>AND(D1329&gt;0,IFERROR(E1329/D1329&gt;=G6,FALSE()))</f>
        <v>0</v>
      </c>
      <c r="G1329" s="65">
        <f t="shared" si="137"/>
        <v>0</v>
      </c>
      <c r="H1329" s="65">
        <f>IF(F1329,MAX(0,MIN(E1329,I6*D1329)-D1329)*IFERROR(INDEX($C$158:$C$161,MATCH(C1329,$A$158:$A$161,0)),0),0)</f>
        <v>0</v>
      </c>
      <c r="I1329" s="65">
        <f>IF(F1329,MAX(0,E1329-I6*D1329)*IFERROR(INDEX($D$158:$D$161,MATCH(C1329,$A$158:$A$161,0)),0),0)</f>
        <v>0</v>
      </c>
      <c r="J1329" s="65">
        <f t="shared" si="138"/>
        <v>0</v>
      </c>
    </row>
    <row r="1330" spans="1:10" ht="15" customHeight="1" outlineLevel="1" x14ac:dyDescent="0.2">
      <c r="A1330" s="66" t="str">
        <f t="shared" si="139"/>
        <v>R012</v>
      </c>
      <c r="B1330" s="67">
        <f>$A$1429</f>
        <v>45536</v>
      </c>
      <c r="C1330" s="66" t="str">
        <f t="shared" si="140"/>
        <v>Senior Enterprise AE</v>
      </c>
      <c r="D1330" s="65">
        <f>SUMIFS(Fact_Quota!$D:$D,Fact_Quota!$A:$A,$A1330,Fact_Quota!$B:$B,"&gt;="&amp;B1330,Fact_Quota!$B:$B,"&lt;"&amp;EDATE(B1330,1))</f>
        <v>49000</v>
      </c>
      <c r="E1330" s="65">
        <f>SUMIFS(Fact_Pipeline!$K:$K,Fact_Pipeline!$B:$B,$A1330,Fact_Pipeline!$J:$J,"Won",Fact_Pipeline!$I:$I,"&gt;="&amp;B1330,Fact_Pipeline!$I:$I,"&lt;"&amp;EDATE(B1330,1))</f>
        <v>53900</v>
      </c>
      <c r="F1330" s="66" t="b">
        <f>AND(D1330&gt;0,IFERROR(E1330/D1330&gt;=G6,FALSE()))</f>
        <v>1</v>
      </c>
      <c r="G1330" s="65">
        <f t="shared" si="137"/>
        <v>3430.0000000000005</v>
      </c>
      <c r="H1330" s="65">
        <f>IF(F1330,MAX(0,MIN(E1330,I6*D1330)-D1330)*IFERROR(INDEX($C$158:$C$161,MATCH(C1330,$A$158:$A$161,0)),0),0)</f>
        <v>539</v>
      </c>
      <c r="I1330" s="65">
        <f>IF(F1330,MAX(0,E1330-I6*D1330)*IFERROR(INDEX($D$158:$D$161,MATCH(C1330,$A$158:$A$161,0)),0),0)</f>
        <v>0</v>
      </c>
      <c r="J1330" s="65">
        <f t="shared" si="138"/>
        <v>3969.0000000000005</v>
      </c>
    </row>
    <row r="1331" spans="1:10" ht="15" customHeight="1" outlineLevel="1" x14ac:dyDescent="0.2">
      <c r="A1331" s="66" t="str">
        <f t="shared" si="139"/>
        <v>R012</v>
      </c>
      <c r="B1331" s="67">
        <f>$A$1430</f>
        <v>45566</v>
      </c>
      <c r="C1331" s="66" t="str">
        <f t="shared" si="140"/>
        <v>Senior Enterprise AE</v>
      </c>
      <c r="D1331" s="65">
        <f>SUMIFS(Fact_Quota!$D:$D,Fact_Quota!$A:$A,$A1331,Fact_Quota!$B:$B,"&gt;="&amp;B1331,Fact_Quota!$B:$B,"&lt;"&amp;EDATE(B1331,1))</f>
        <v>46900</v>
      </c>
      <c r="E1331" s="65">
        <f>SUMIFS(Fact_Pipeline!$K:$K,Fact_Pipeline!$B:$B,$A1331,Fact_Pipeline!$J:$J,"Won",Fact_Pipeline!$I:$I,"&gt;="&amp;B1331,Fact_Pipeline!$I:$I,"&lt;"&amp;EDATE(B1331,1))</f>
        <v>63300</v>
      </c>
      <c r="F1331" s="66" t="b">
        <f>AND(D1331&gt;0,IFERROR(E1331/D1331&gt;=G6,FALSE()))</f>
        <v>1</v>
      </c>
      <c r="G1331" s="65">
        <f t="shared" si="137"/>
        <v>3283.0000000000005</v>
      </c>
      <c r="H1331" s="65">
        <f>IF(F1331,MAX(0,MIN(E1331,I6*D1331)-D1331)*IFERROR(INDEX($C$158:$C$161,MATCH(C1331,$A$158:$A$161,0)),0),0)</f>
        <v>1804</v>
      </c>
      <c r="I1331" s="65">
        <f>IF(F1331,MAX(0,E1331-I6*D1331)*IFERROR(INDEX($D$158:$D$161,MATCH(C1331,$A$158:$A$161,0)),0),0)</f>
        <v>0</v>
      </c>
      <c r="J1331" s="65">
        <f t="shared" si="138"/>
        <v>5087</v>
      </c>
    </row>
    <row r="1332" spans="1:10" ht="15" customHeight="1" outlineLevel="1" x14ac:dyDescent="0.2">
      <c r="A1332" s="66" t="str">
        <f t="shared" si="139"/>
        <v>R012</v>
      </c>
      <c r="B1332" s="67">
        <f>$A$1431</f>
        <v>45597</v>
      </c>
      <c r="C1332" s="66" t="str">
        <f t="shared" si="140"/>
        <v>Senior Enterprise AE</v>
      </c>
      <c r="D1332" s="65">
        <f>SUMIFS(Fact_Quota!$D:$D,Fact_Quota!$A:$A,$A1332,Fact_Quota!$B:$B,"&gt;="&amp;B1332,Fact_Quota!$B:$B,"&lt;"&amp;EDATE(B1332,1))</f>
        <v>48300</v>
      </c>
      <c r="E1332" s="65">
        <f>SUMIFS(Fact_Pipeline!$K:$K,Fact_Pipeline!$B:$B,$A1332,Fact_Pipeline!$J:$J,"Won",Fact_Pipeline!$I:$I,"&gt;="&amp;B1332,Fact_Pipeline!$I:$I,"&lt;"&amp;EDATE(B1332,1))</f>
        <v>0</v>
      </c>
      <c r="F1332" s="66" t="b">
        <f>AND(D1332&gt;0,IFERROR(E1332/D1332&gt;=G6,FALSE()))</f>
        <v>0</v>
      </c>
      <c r="G1332" s="65">
        <f t="shared" si="137"/>
        <v>0</v>
      </c>
      <c r="H1332" s="65">
        <f>IF(F1332,MAX(0,MIN(E1332,I6*D1332)-D1332)*IFERROR(INDEX($C$158:$C$161,MATCH(C1332,$A$158:$A$161,0)),0),0)</f>
        <v>0</v>
      </c>
      <c r="I1332" s="65">
        <f>IF(F1332,MAX(0,E1332-I6*D1332)*IFERROR(INDEX($D$158:$D$161,MATCH(C1332,$A$158:$A$161,0)),0),0)</f>
        <v>0</v>
      </c>
      <c r="J1332" s="65">
        <f t="shared" si="138"/>
        <v>0</v>
      </c>
    </row>
    <row r="1333" spans="1:10" ht="15" customHeight="1" outlineLevel="1" x14ac:dyDescent="0.2">
      <c r="A1333" s="66" t="str">
        <f t="shared" si="139"/>
        <v>R012</v>
      </c>
      <c r="B1333" s="67">
        <f>$A$1432</f>
        <v>45627</v>
      </c>
      <c r="C1333" s="66" t="str">
        <f t="shared" si="140"/>
        <v>Senior Enterprise AE</v>
      </c>
      <c r="D1333" s="65">
        <f>SUMIFS(Fact_Quota!$D:$D,Fact_Quota!$A:$A,$A1333,Fact_Quota!$B:$B,"&gt;="&amp;B1333,Fact_Quota!$B:$B,"&lt;"&amp;EDATE(B1333,1))</f>
        <v>48100</v>
      </c>
      <c r="E1333" s="65">
        <f>SUMIFS(Fact_Pipeline!$K:$K,Fact_Pipeline!$B:$B,$A1333,Fact_Pipeline!$J:$J,"Won",Fact_Pipeline!$I:$I,"&gt;="&amp;B1333,Fact_Pipeline!$I:$I,"&lt;"&amp;EDATE(B1333,1))</f>
        <v>61500</v>
      </c>
      <c r="F1333" s="66" t="b">
        <f>AND(D1333&gt;0,IFERROR(E1333/D1333&gt;=G6,FALSE()))</f>
        <v>1</v>
      </c>
      <c r="G1333" s="65">
        <f t="shared" si="137"/>
        <v>3367.0000000000005</v>
      </c>
      <c r="H1333" s="65">
        <f>IF(F1333,MAX(0,MIN(E1333,I6*D1333)-D1333)*IFERROR(INDEX($C$158:$C$161,MATCH(C1333,$A$158:$A$161,0)),0),0)</f>
        <v>1474</v>
      </c>
      <c r="I1333" s="65">
        <f>IF(F1333,MAX(0,E1333-I6*D1333)*IFERROR(INDEX($D$158:$D$161,MATCH(C1333,$A$158:$A$161,0)),0),0)</f>
        <v>0</v>
      </c>
      <c r="J1333" s="65">
        <f t="shared" si="138"/>
        <v>4841</v>
      </c>
    </row>
    <row r="1334" spans="1:10" ht="15" customHeight="1" outlineLevel="1" x14ac:dyDescent="0.2">
      <c r="A1334" s="66" t="str">
        <f t="shared" si="139"/>
        <v>R012</v>
      </c>
      <c r="B1334" s="67">
        <f>$A$1433</f>
        <v>45658</v>
      </c>
      <c r="C1334" s="66" t="str">
        <f t="shared" si="140"/>
        <v>Senior Enterprise AE</v>
      </c>
      <c r="D1334" s="65">
        <f>SUMIFS(Fact_Quota!$D:$D,Fact_Quota!$A:$A,$A1334,Fact_Quota!$B:$B,"&gt;="&amp;B1334,Fact_Quota!$B:$B,"&lt;"&amp;EDATE(B1334,1))</f>
        <v>47100</v>
      </c>
      <c r="E1334" s="65">
        <f>SUMIFS(Fact_Pipeline!$K:$K,Fact_Pipeline!$B:$B,$A1334,Fact_Pipeline!$J:$J,"Won",Fact_Pipeline!$I:$I,"&gt;="&amp;B1334,Fact_Pipeline!$I:$I,"&lt;"&amp;EDATE(B1334,1))</f>
        <v>42700</v>
      </c>
      <c r="F1334" s="66" t="b">
        <f>AND(D1334&gt;0,IFERROR(E1334/D1334&gt;=G6,FALSE()))</f>
        <v>1</v>
      </c>
      <c r="G1334" s="65">
        <f t="shared" si="137"/>
        <v>2989.0000000000005</v>
      </c>
      <c r="H1334" s="65">
        <f>IF(F1334,MAX(0,MIN(E1334,I6*D1334)-D1334)*IFERROR(INDEX($C$158:$C$161,MATCH(C1334,$A$158:$A$161,0)),0),0)</f>
        <v>0</v>
      </c>
      <c r="I1334" s="65">
        <f>IF(F1334,MAX(0,E1334-I6*D1334)*IFERROR(INDEX($D$158:$D$161,MATCH(C1334,$A$158:$A$161,0)),0),0)</f>
        <v>0</v>
      </c>
      <c r="J1334" s="65">
        <f t="shared" si="138"/>
        <v>2989.0000000000005</v>
      </c>
    </row>
    <row r="1335" spans="1:10" ht="15" customHeight="1" outlineLevel="1" x14ac:dyDescent="0.2">
      <c r="A1335" s="66" t="str">
        <f t="shared" si="139"/>
        <v>R012</v>
      </c>
      <c r="B1335" s="67">
        <f>$A$1434</f>
        <v>45689</v>
      </c>
      <c r="C1335" s="66" t="str">
        <f t="shared" si="140"/>
        <v>Senior Enterprise AE</v>
      </c>
      <c r="D1335" s="65">
        <f>SUMIFS(Fact_Quota!$D:$D,Fact_Quota!$A:$A,$A1335,Fact_Quota!$B:$B,"&gt;="&amp;B1335,Fact_Quota!$B:$B,"&lt;"&amp;EDATE(B1335,1))</f>
        <v>51100</v>
      </c>
      <c r="E1335" s="65">
        <f>SUMIFS(Fact_Pipeline!$K:$K,Fact_Pipeline!$B:$B,$A1335,Fact_Pipeline!$J:$J,"Won",Fact_Pipeline!$I:$I,"&gt;="&amp;B1335,Fact_Pipeline!$I:$I,"&lt;"&amp;EDATE(B1335,1))</f>
        <v>0</v>
      </c>
      <c r="F1335" s="66" t="b">
        <f>AND(D1335&gt;0,IFERROR(E1335/D1335&gt;=G6,FALSE()))</f>
        <v>0</v>
      </c>
      <c r="G1335" s="65">
        <f t="shared" si="137"/>
        <v>0</v>
      </c>
      <c r="H1335" s="65">
        <f>IF(F1335,MAX(0,MIN(E1335,I6*D1335)-D1335)*IFERROR(INDEX($C$158:$C$161,MATCH(C1335,$A$158:$A$161,0)),0),0)</f>
        <v>0</v>
      </c>
      <c r="I1335" s="65">
        <f>IF(F1335,MAX(0,E1335-I6*D1335)*IFERROR(INDEX($D$158:$D$161,MATCH(C1335,$A$158:$A$161,0)),0),0)</f>
        <v>0</v>
      </c>
      <c r="J1335" s="65">
        <f t="shared" si="138"/>
        <v>0</v>
      </c>
    </row>
    <row r="1336" spans="1:10" ht="15" customHeight="1" outlineLevel="1" x14ac:dyDescent="0.2">
      <c r="A1336" s="66" t="str">
        <f t="shared" si="139"/>
        <v>R012</v>
      </c>
      <c r="B1336" s="67">
        <f>$A$1435</f>
        <v>45717</v>
      </c>
      <c r="C1336" s="66" t="str">
        <f t="shared" si="140"/>
        <v>Senior Enterprise AE</v>
      </c>
      <c r="D1336" s="65">
        <f>SUMIFS(Fact_Quota!$D:$D,Fact_Quota!$A:$A,$A1336,Fact_Quota!$B:$B,"&gt;="&amp;B1336,Fact_Quota!$B:$B,"&lt;"&amp;EDATE(B1336,1))</f>
        <v>48900</v>
      </c>
      <c r="E1336" s="65">
        <f>SUMIFS(Fact_Pipeline!$K:$K,Fact_Pipeline!$B:$B,$A1336,Fact_Pipeline!$J:$J,"Won",Fact_Pipeline!$I:$I,"&gt;="&amp;B1336,Fact_Pipeline!$I:$I,"&lt;"&amp;EDATE(B1336,1))</f>
        <v>170100</v>
      </c>
      <c r="F1336" s="66" t="b">
        <f>AND(D1336&gt;0,IFERROR(E1336/D1336&gt;=G6,FALSE()))</f>
        <v>1</v>
      </c>
      <c r="G1336" s="65">
        <f t="shared" si="137"/>
        <v>3423.0000000000005</v>
      </c>
      <c r="H1336" s="65">
        <f>IF(F1336,MAX(0,MIN(E1336,I6*D1336)-D1336)*IFERROR(INDEX($C$158:$C$161,MATCH(C1336,$A$158:$A$161,0)),0),0)</f>
        <v>2689.5</v>
      </c>
      <c r="I1336" s="65">
        <f>IF(F1336,MAX(0,E1336-I6*D1336)*IFERROR(INDEX($D$158:$D$161,MATCH(C1336,$A$158:$A$161,0)),0),0)</f>
        <v>15480</v>
      </c>
      <c r="J1336" s="65">
        <f t="shared" si="138"/>
        <v>21592.5</v>
      </c>
    </row>
    <row r="1337" spans="1:10" ht="15" customHeight="1" outlineLevel="1" x14ac:dyDescent="0.2">
      <c r="A1337" s="66" t="str">
        <f t="shared" si="139"/>
        <v>R012</v>
      </c>
      <c r="B1337" s="67">
        <f>$A$1436</f>
        <v>45748</v>
      </c>
      <c r="C1337" s="66" t="str">
        <f t="shared" si="140"/>
        <v>Senior Enterprise AE</v>
      </c>
      <c r="D1337" s="65">
        <f>SUMIFS(Fact_Quota!$D:$D,Fact_Quota!$A:$A,$A1337,Fact_Quota!$B:$B,"&gt;="&amp;B1337,Fact_Quota!$B:$B,"&lt;"&amp;EDATE(B1337,1))</f>
        <v>45100</v>
      </c>
      <c r="E1337" s="65">
        <f>SUMIFS(Fact_Pipeline!$K:$K,Fact_Pipeline!$B:$B,$A1337,Fact_Pipeline!$J:$J,"Won",Fact_Pipeline!$I:$I,"&gt;="&amp;B1337,Fact_Pipeline!$I:$I,"&lt;"&amp;EDATE(B1337,1))</f>
        <v>86700</v>
      </c>
      <c r="F1337" s="66" t="b">
        <f>AND(D1337&gt;0,IFERROR(E1337/D1337&gt;=G6,FALSE()))</f>
        <v>1</v>
      </c>
      <c r="G1337" s="65">
        <f t="shared" si="137"/>
        <v>3157.0000000000005</v>
      </c>
      <c r="H1337" s="65">
        <f>IF(F1337,MAX(0,MIN(E1337,I6*D1337)-D1337)*IFERROR(INDEX($C$158:$C$161,MATCH(C1337,$A$158:$A$161,0)),0),0)</f>
        <v>2480.5</v>
      </c>
      <c r="I1337" s="65">
        <f>IF(F1337,MAX(0,E1337-I6*D1337)*IFERROR(INDEX($D$158:$D$161,MATCH(C1337,$A$158:$A$161,0)),0),0)</f>
        <v>3048</v>
      </c>
      <c r="J1337" s="65">
        <f t="shared" si="138"/>
        <v>8685.5</v>
      </c>
    </row>
    <row r="1338" spans="1:10" ht="15" customHeight="1" outlineLevel="1" x14ac:dyDescent="0.2">
      <c r="A1338" s="66" t="str">
        <f t="shared" si="139"/>
        <v>R012</v>
      </c>
      <c r="B1338" s="67">
        <f>$A$1437</f>
        <v>45778</v>
      </c>
      <c r="C1338" s="66" t="str">
        <f t="shared" si="140"/>
        <v>Senior Enterprise AE</v>
      </c>
      <c r="D1338" s="65">
        <f>SUMIFS(Fact_Quota!$D:$D,Fact_Quota!$A:$A,$A1338,Fact_Quota!$B:$B,"&gt;="&amp;B1338,Fact_Quota!$B:$B,"&lt;"&amp;EDATE(B1338,1))</f>
        <v>48300</v>
      </c>
      <c r="E1338" s="65">
        <f>SUMIFS(Fact_Pipeline!$K:$K,Fact_Pipeline!$B:$B,$A1338,Fact_Pipeline!$J:$J,"Won",Fact_Pipeline!$I:$I,"&gt;="&amp;B1338,Fact_Pipeline!$I:$I,"&lt;"&amp;EDATE(B1338,1))</f>
        <v>0</v>
      </c>
      <c r="F1338" s="66" t="b">
        <f>AND(D1338&gt;0,IFERROR(E1338/D1338&gt;=G6,FALSE()))</f>
        <v>0</v>
      </c>
      <c r="G1338" s="65">
        <f t="shared" si="137"/>
        <v>0</v>
      </c>
      <c r="H1338" s="65">
        <f>IF(F1338,MAX(0,MIN(E1338,I6*D1338)-D1338)*IFERROR(INDEX($C$158:$C$161,MATCH(C1338,$A$158:$A$161,0)),0),0)</f>
        <v>0</v>
      </c>
      <c r="I1338" s="65">
        <f>IF(F1338,MAX(0,E1338-I6*D1338)*IFERROR(INDEX($D$158:$D$161,MATCH(C1338,$A$158:$A$161,0)),0),0)</f>
        <v>0</v>
      </c>
      <c r="J1338" s="65">
        <f t="shared" si="138"/>
        <v>0</v>
      </c>
    </row>
    <row r="1339" spans="1:10" ht="15" customHeight="1" outlineLevel="1" x14ac:dyDescent="0.2">
      <c r="A1339" s="66" t="str">
        <f t="shared" si="139"/>
        <v>R012</v>
      </c>
      <c r="B1339" s="67">
        <f>$A$1438</f>
        <v>45809</v>
      </c>
      <c r="C1339" s="66" t="str">
        <f t="shared" si="140"/>
        <v>Senior Enterprise AE</v>
      </c>
      <c r="D1339" s="65">
        <f>SUMIFS(Fact_Quota!$D:$D,Fact_Quota!$A:$A,$A1339,Fact_Quota!$B:$B,"&gt;="&amp;B1339,Fact_Quota!$B:$B,"&lt;"&amp;EDATE(B1339,1))</f>
        <v>47000</v>
      </c>
      <c r="E1339" s="65">
        <f>SUMIFS(Fact_Pipeline!$K:$K,Fact_Pipeline!$B:$B,$A1339,Fact_Pipeline!$J:$J,"Won",Fact_Pipeline!$I:$I,"&gt;="&amp;B1339,Fact_Pipeline!$I:$I,"&lt;"&amp;EDATE(B1339,1))</f>
        <v>0</v>
      </c>
      <c r="F1339" s="66" t="b">
        <f>AND(D1339&gt;0,IFERROR(E1339/D1339&gt;=G6,FALSE()))</f>
        <v>0</v>
      </c>
      <c r="G1339" s="65">
        <f t="shared" si="137"/>
        <v>0</v>
      </c>
      <c r="H1339" s="65">
        <f>IF(F1339,MAX(0,MIN(E1339,I6*D1339)-D1339)*IFERROR(INDEX($C$158:$C$161,MATCH(C1339,$A$158:$A$161,0)),0),0)</f>
        <v>0</v>
      </c>
      <c r="I1339" s="65">
        <f>IF(F1339,MAX(0,E1339-I6*D1339)*IFERROR(INDEX($D$158:$D$161,MATCH(C1339,$A$158:$A$161,0)),0),0)</f>
        <v>0</v>
      </c>
      <c r="J1339" s="65">
        <f t="shared" si="138"/>
        <v>0</v>
      </c>
    </row>
    <row r="1340" spans="1:10" ht="15" customHeight="1" outlineLevel="1" x14ac:dyDescent="0.2">
      <c r="A1340" s="66" t="str">
        <f t="shared" si="139"/>
        <v>R012</v>
      </c>
      <c r="B1340" s="67">
        <f>$A$1439</f>
        <v>45839</v>
      </c>
      <c r="C1340" s="66" t="str">
        <f t="shared" si="140"/>
        <v>Senior Enterprise AE</v>
      </c>
      <c r="D1340" s="65">
        <f>SUMIFS(Fact_Quota!$D:$D,Fact_Quota!$A:$A,$A1340,Fact_Quota!$B:$B,"&gt;="&amp;B1340,Fact_Quota!$B:$B,"&lt;"&amp;EDATE(B1340,1))</f>
        <v>49200</v>
      </c>
      <c r="E1340" s="65">
        <f>SUMIFS(Fact_Pipeline!$K:$K,Fact_Pipeline!$B:$B,$A1340,Fact_Pipeline!$J:$J,"Won",Fact_Pipeline!$I:$I,"&gt;="&amp;B1340,Fact_Pipeline!$I:$I,"&lt;"&amp;EDATE(B1340,1))</f>
        <v>0</v>
      </c>
      <c r="F1340" s="66" t="b">
        <f>AND(D1340&gt;0,IFERROR(E1340/D1340&gt;=G6,FALSE()))</f>
        <v>0</v>
      </c>
      <c r="G1340" s="65">
        <f t="shared" si="137"/>
        <v>0</v>
      </c>
      <c r="H1340" s="65">
        <f>IF(F1340,MAX(0,MIN(E1340,I6*D1340)-D1340)*IFERROR(INDEX($C$158:$C$161,MATCH(C1340,$A$158:$A$161,0)),0),0)</f>
        <v>0</v>
      </c>
      <c r="I1340" s="65">
        <f>IF(F1340,MAX(0,E1340-I6*D1340)*IFERROR(INDEX($D$158:$D$161,MATCH(C1340,$A$158:$A$161,0)),0),0)</f>
        <v>0</v>
      </c>
      <c r="J1340" s="65">
        <f t="shared" si="138"/>
        <v>0</v>
      </c>
    </row>
    <row r="1341" spans="1:10" ht="15" customHeight="1" outlineLevel="1" x14ac:dyDescent="0.2">
      <c r="A1341" s="66" t="str">
        <f t="shared" si="139"/>
        <v>R012</v>
      </c>
      <c r="B1341" s="67">
        <f>$A$1440</f>
        <v>45870</v>
      </c>
      <c r="C1341" s="66" t="str">
        <f t="shared" si="140"/>
        <v>Senior Enterprise AE</v>
      </c>
      <c r="D1341" s="65">
        <f>SUMIFS(Fact_Quota!$D:$D,Fact_Quota!$A:$A,$A1341,Fact_Quota!$B:$B,"&gt;="&amp;B1341,Fact_Quota!$B:$B,"&lt;"&amp;EDATE(B1341,1))</f>
        <v>46900</v>
      </c>
      <c r="E1341" s="65">
        <f>SUMIFS(Fact_Pipeline!$K:$K,Fact_Pipeline!$B:$B,$A1341,Fact_Pipeline!$J:$J,"Won",Fact_Pipeline!$I:$I,"&gt;="&amp;B1341,Fact_Pipeline!$I:$I,"&lt;"&amp;EDATE(B1341,1))</f>
        <v>0</v>
      </c>
      <c r="F1341" s="66" t="b">
        <f>AND(D1341&gt;0,IFERROR(E1341/D1341&gt;=G6,FALSE()))</f>
        <v>0</v>
      </c>
      <c r="G1341" s="65">
        <f t="shared" si="137"/>
        <v>0</v>
      </c>
      <c r="H1341" s="65">
        <f>IF(F1341,MAX(0,MIN(E1341,I6*D1341)-D1341)*IFERROR(INDEX($C$158:$C$161,MATCH(C1341,$A$158:$A$161,0)),0),0)</f>
        <v>0</v>
      </c>
      <c r="I1341" s="65">
        <f>IF(F1341,MAX(0,E1341-I6*D1341)*IFERROR(INDEX($D$158:$D$161,MATCH(C1341,$A$158:$A$161,0)),0),0)</f>
        <v>0</v>
      </c>
      <c r="J1341" s="65">
        <f t="shared" si="138"/>
        <v>0</v>
      </c>
    </row>
    <row r="1342" spans="1:10" ht="15" customHeight="1" outlineLevel="1" x14ac:dyDescent="0.2">
      <c r="A1342" s="66" t="str">
        <f t="shared" si="139"/>
        <v>R012</v>
      </c>
      <c r="B1342" s="67">
        <f>$A$1441</f>
        <v>45901</v>
      </c>
      <c r="C1342" s="66" t="str">
        <f t="shared" si="140"/>
        <v>Senior Enterprise AE</v>
      </c>
      <c r="D1342" s="65">
        <f>SUMIFS(Fact_Quota!$D:$D,Fact_Quota!$A:$A,$A1342,Fact_Quota!$B:$B,"&gt;="&amp;B1342,Fact_Quota!$B:$B,"&lt;"&amp;EDATE(B1342,1))</f>
        <v>47800</v>
      </c>
      <c r="E1342" s="65">
        <f>SUMIFS(Fact_Pipeline!$K:$K,Fact_Pipeline!$B:$B,$A1342,Fact_Pipeline!$J:$J,"Won",Fact_Pipeline!$I:$I,"&gt;="&amp;B1342,Fact_Pipeline!$I:$I,"&lt;"&amp;EDATE(B1342,1))</f>
        <v>58000</v>
      </c>
      <c r="F1342" s="66" t="b">
        <f>AND(D1342&gt;0,IFERROR(E1342/D1342&gt;=G6,FALSE()))</f>
        <v>1</v>
      </c>
      <c r="G1342" s="65">
        <f t="shared" si="137"/>
        <v>3346.0000000000005</v>
      </c>
      <c r="H1342" s="65">
        <f>IF(F1342,MAX(0,MIN(E1342,I6*D1342)-D1342)*IFERROR(INDEX($C$158:$C$161,MATCH(C1342,$A$158:$A$161,0)),0),0)</f>
        <v>1122</v>
      </c>
      <c r="I1342" s="65">
        <f>IF(F1342,MAX(0,E1342-I6*D1342)*IFERROR(INDEX($D$158:$D$161,MATCH(C1342,$A$158:$A$161,0)),0),0)</f>
        <v>0</v>
      </c>
      <c r="J1342" s="65">
        <f t="shared" si="138"/>
        <v>4468</v>
      </c>
    </row>
    <row r="1343" spans="1:10" ht="15" customHeight="1" outlineLevel="1" x14ac:dyDescent="0.2">
      <c r="A1343" s="66" t="str">
        <f t="shared" si="139"/>
        <v>R012</v>
      </c>
      <c r="B1343" s="67">
        <f>$A$1442</f>
        <v>45931</v>
      </c>
      <c r="C1343" s="66" t="str">
        <f t="shared" si="140"/>
        <v>Senior Enterprise AE</v>
      </c>
      <c r="D1343" s="65">
        <f>SUMIFS(Fact_Quota!$D:$D,Fact_Quota!$A:$A,$A1343,Fact_Quota!$B:$B,"&gt;="&amp;B1343,Fact_Quota!$B:$B,"&lt;"&amp;EDATE(B1343,1))</f>
        <v>48700</v>
      </c>
      <c r="E1343" s="65">
        <f>SUMIFS(Fact_Pipeline!$K:$K,Fact_Pipeline!$B:$B,$A1343,Fact_Pipeline!$J:$J,"Won",Fact_Pipeline!$I:$I,"&gt;="&amp;B1343,Fact_Pipeline!$I:$I,"&lt;"&amp;EDATE(B1343,1))</f>
        <v>0</v>
      </c>
      <c r="F1343" s="66" t="b">
        <f>AND(D1343&gt;0,IFERROR(E1343/D1343&gt;=G6,FALSE()))</f>
        <v>0</v>
      </c>
      <c r="G1343" s="65">
        <f t="shared" si="137"/>
        <v>0</v>
      </c>
      <c r="H1343" s="65">
        <f>IF(F1343,MAX(0,MIN(E1343,I6*D1343)-D1343)*IFERROR(INDEX($C$158:$C$161,MATCH(C1343,$A$158:$A$161,0)),0),0)</f>
        <v>0</v>
      </c>
      <c r="I1343" s="65">
        <f>IF(F1343,MAX(0,E1343-I6*D1343)*IFERROR(INDEX($D$158:$D$161,MATCH(C1343,$A$158:$A$161,0)),0),0)</f>
        <v>0</v>
      </c>
      <c r="J1343" s="65">
        <f t="shared" si="138"/>
        <v>0</v>
      </c>
    </row>
    <row r="1344" spans="1:10" ht="15" customHeight="1" outlineLevel="1" x14ac:dyDescent="0.2">
      <c r="A1344" s="66" t="str">
        <f t="shared" si="139"/>
        <v>R012</v>
      </c>
      <c r="B1344" s="67">
        <f>$A$1443</f>
        <v>45962</v>
      </c>
      <c r="C1344" s="66" t="str">
        <f t="shared" si="140"/>
        <v>Senior Enterprise AE</v>
      </c>
      <c r="D1344" s="65">
        <f>SUMIFS(Fact_Quota!$D:$D,Fact_Quota!$A:$A,$A1344,Fact_Quota!$B:$B,"&gt;="&amp;B1344,Fact_Quota!$B:$B,"&lt;"&amp;EDATE(B1344,1))</f>
        <v>49200</v>
      </c>
      <c r="E1344" s="65">
        <f>SUMIFS(Fact_Pipeline!$K:$K,Fact_Pipeline!$B:$B,$A1344,Fact_Pipeline!$J:$J,"Won",Fact_Pipeline!$I:$I,"&gt;="&amp;B1344,Fact_Pipeline!$I:$I,"&lt;"&amp;EDATE(B1344,1))</f>
        <v>48600</v>
      </c>
      <c r="F1344" s="66" t="b">
        <f>AND(D1344&gt;0,IFERROR(E1344/D1344&gt;=G6,FALSE()))</f>
        <v>1</v>
      </c>
      <c r="G1344" s="65">
        <f t="shared" si="137"/>
        <v>3402.0000000000005</v>
      </c>
      <c r="H1344" s="65">
        <f>IF(F1344,MAX(0,MIN(E1344,I6*D1344)-D1344)*IFERROR(INDEX($C$158:$C$161,MATCH(C1344,$A$158:$A$161,0)),0),0)</f>
        <v>0</v>
      </c>
      <c r="I1344" s="65">
        <f>IF(F1344,MAX(0,E1344-I6*D1344)*IFERROR(INDEX($D$158:$D$161,MATCH(C1344,$A$158:$A$161,0)),0),0)</f>
        <v>0</v>
      </c>
      <c r="J1344" s="65">
        <f t="shared" si="138"/>
        <v>3402.0000000000005</v>
      </c>
    </row>
    <row r="1345" spans="1:10" ht="15" customHeight="1" outlineLevel="1" x14ac:dyDescent="0.2">
      <c r="A1345" s="66" t="str">
        <f t="shared" si="139"/>
        <v>R012</v>
      </c>
      <c r="B1345" s="67">
        <f>$A$1444</f>
        <v>45992</v>
      </c>
      <c r="C1345" s="66" t="str">
        <f t="shared" si="140"/>
        <v>Senior Enterprise AE</v>
      </c>
      <c r="D1345" s="65">
        <f>SUMIFS(Fact_Quota!$D:$D,Fact_Quota!$A:$A,$A1345,Fact_Quota!$B:$B,"&gt;="&amp;B1345,Fact_Quota!$B:$B,"&lt;"&amp;EDATE(B1345,1))</f>
        <v>46300</v>
      </c>
      <c r="E1345" s="65">
        <f>SUMIFS(Fact_Pipeline!$K:$K,Fact_Pipeline!$B:$B,$A1345,Fact_Pipeline!$J:$J,"Won",Fact_Pipeline!$I:$I,"&gt;="&amp;B1345,Fact_Pipeline!$I:$I,"&lt;"&amp;EDATE(B1345,1))</f>
        <v>0</v>
      </c>
      <c r="F1345" s="66" t="b">
        <f>AND(D1345&gt;0,IFERROR(E1345/D1345&gt;=G6,FALSE()))</f>
        <v>0</v>
      </c>
      <c r="G1345" s="65">
        <f t="shared" si="137"/>
        <v>0</v>
      </c>
      <c r="H1345" s="65">
        <f>IF(F1345,MAX(0,MIN(E1345,I6*D1345)-D1345)*IFERROR(INDEX($C$158:$C$161,MATCH(C1345,$A$158:$A$161,0)),0),0)</f>
        <v>0</v>
      </c>
      <c r="I1345" s="65">
        <f>IF(F1345,MAX(0,E1345-I6*D1345)*IFERROR(INDEX($D$158:$D$161,MATCH(C1345,$A$158:$A$161,0)),0),0)</f>
        <v>0</v>
      </c>
      <c r="J1345" s="65">
        <f t="shared" si="138"/>
        <v>0</v>
      </c>
    </row>
    <row r="1346" spans="1:10" ht="15" customHeight="1" outlineLevel="1" x14ac:dyDescent="0.2">
      <c r="A1346" s="63" t="str">
        <f t="shared" ref="A1346:A1369" si="141">$A$212</f>
        <v>R034</v>
      </c>
      <c r="B1346" s="64">
        <f>$A$1421</f>
        <v>45292</v>
      </c>
      <c r="C1346" s="63" t="str">
        <f t="shared" ref="C1346:C1369" si="142">$C$212</f>
        <v>Senior Enterprise AE</v>
      </c>
      <c r="D1346" s="62">
        <f>SUMIFS(Fact_Quota!$D:$D,Fact_Quota!$A:$A,$A1346,Fact_Quota!$B:$B,"&gt;="&amp;B1346,Fact_Quota!$B:$B,"&lt;"&amp;EDATE(B1346,1))</f>
        <v>48500</v>
      </c>
      <c r="E1346" s="62">
        <f>SUMIFS(Fact_Pipeline!$K:$K,Fact_Pipeline!$B:$B,$A1346,Fact_Pipeline!$J:$J,"Won",Fact_Pipeline!$I:$I,"&gt;="&amp;B1346,Fact_Pipeline!$I:$I,"&lt;"&amp;EDATE(B1346,1))</f>
        <v>0</v>
      </c>
      <c r="F1346" s="63" t="b">
        <f>AND(D1346&gt;0,IFERROR(E1346/D1346&gt;=G6,FALSE()))</f>
        <v>0</v>
      </c>
      <c r="G1346" s="62">
        <f t="shared" si="137"/>
        <v>0</v>
      </c>
      <c r="H1346" s="62">
        <f>IF(F1346,MAX(0,MIN(E1346,I6*D1346)-D1346)*IFERROR(INDEX($C$158:$C$161,MATCH(C1346,$A$158:$A$161,0)),0),0)</f>
        <v>0</v>
      </c>
      <c r="I1346" s="62">
        <f>IF(F1346,MAX(0,E1346-I6*D1346)*IFERROR(INDEX($D$158:$D$161,MATCH(C1346,$A$158:$A$161,0)),0),0)</f>
        <v>0</v>
      </c>
      <c r="J1346" s="62">
        <f t="shared" si="138"/>
        <v>0</v>
      </c>
    </row>
    <row r="1347" spans="1:10" ht="15" customHeight="1" outlineLevel="1" x14ac:dyDescent="0.2">
      <c r="A1347" s="63" t="str">
        <f t="shared" si="141"/>
        <v>R034</v>
      </c>
      <c r="B1347" s="64">
        <f>$A$1422</f>
        <v>45323</v>
      </c>
      <c r="C1347" s="63" t="str">
        <f t="shared" si="142"/>
        <v>Senior Enterprise AE</v>
      </c>
      <c r="D1347" s="62">
        <f>SUMIFS(Fact_Quota!$D:$D,Fact_Quota!$A:$A,$A1347,Fact_Quota!$B:$B,"&gt;="&amp;B1347,Fact_Quota!$B:$B,"&lt;"&amp;EDATE(B1347,1))</f>
        <v>47400</v>
      </c>
      <c r="E1347" s="62">
        <f>SUMIFS(Fact_Pipeline!$K:$K,Fact_Pipeline!$B:$B,$A1347,Fact_Pipeline!$J:$J,"Won",Fact_Pipeline!$I:$I,"&gt;="&amp;B1347,Fact_Pipeline!$I:$I,"&lt;"&amp;EDATE(B1347,1))</f>
        <v>0</v>
      </c>
      <c r="F1347" s="63" t="b">
        <f>AND(D1347&gt;0,IFERROR(E1347/D1347&gt;=G6,FALSE()))</f>
        <v>0</v>
      </c>
      <c r="G1347" s="62">
        <f t="shared" si="137"/>
        <v>0</v>
      </c>
      <c r="H1347" s="62">
        <f>IF(F1347,MAX(0,MIN(E1347,I6*D1347)-D1347)*IFERROR(INDEX($C$158:$C$161,MATCH(C1347,$A$158:$A$161,0)),0),0)</f>
        <v>0</v>
      </c>
      <c r="I1347" s="62">
        <f>IF(F1347,MAX(0,E1347-I6*D1347)*IFERROR(INDEX($D$158:$D$161,MATCH(C1347,$A$158:$A$161,0)),0),0)</f>
        <v>0</v>
      </c>
      <c r="J1347" s="62">
        <f t="shared" si="138"/>
        <v>0</v>
      </c>
    </row>
    <row r="1348" spans="1:10" ht="15" customHeight="1" outlineLevel="1" x14ac:dyDescent="0.2">
      <c r="A1348" s="63" t="str">
        <f t="shared" si="141"/>
        <v>R034</v>
      </c>
      <c r="B1348" s="64">
        <f>$A$1423</f>
        <v>45352</v>
      </c>
      <c r="C1348" s="63" t="str">
        <f t="shared" si="142"/>
        <v>Senior Enterprise AE</v>
      </c>
      <c r="D1348" s="62">
        <f>SUMIFS(Fact_Quota!$D:$D,Fact_Quota!$A:$A,$A1348,Fact_Quota!$B:$B,"&gt;="&amp;B1348,Fact_Quota!$B:$B,"&lt;"&amp;EDATE(B1348,1))</f>
        <v>48900</v>
      </c>
      <c r="E1348" s="62">
        <f>SUMIFS(Fact_Pipeline!$K:$K,Fact_Pipeline!$B:$B,$A1348,Fact_Pipeline!$J:$J,"Won",Fact_Pipeline!$I:$I,"&gt;="&amp;B1348,Fact_Pipeline!$I:$I,"&lt;"&amp;EDATE(B1348,1))</f>
        <v>0</v>
      </c>
      <c r="F1348" s="63" t="b">
        <f>AND(D1348&gt;0,IFERROR(E1348/D1348&gt;=G6,FALSE()))</f>
        <v>0</v>
      </c>
      <c r="G1348" s="62">
        <f t="shared" si="137"/>
        <v>0</v>
      </c>
      <c r="H1348" s="62">
        <f>IF(F1348,MAX(0,MIN(E1348,I6*D1348)-D1348)*IFERROR(INDEX($C$158:$C$161,MATCH(C1348,$A$158:$A$161,0)),0),0)</f>
        <v>0</v>
      </c>
      <c r="I1348" s="62">
        <f>IF(F1348,MAX(0,E1348-I6*D1348)*IFERROR(INDEX($D$158:$D$161,MATCH(C1348,$A$158:$A$161,0)),0),0)</f>
        <v>0</v>
      </c>
      <c r="J1348" s="62">
        <f t="shared" si="138"/>
        <v>0</v>
      </c>
    </row>
    <row r="1349" spans="1:10" ht="15" customHeight="1" outlineLevel="1" x14ac:dyDescent="0.2">
      <c r="A1349" s="63" t="str">
        <f t="shared" si="141"/>
        <v>R034</v>
      </c>
      <c r="B1349" s="64">
        <f>$A$1424</f>
        <v>45383</v>
      </c>
      <c r="C1349" s="63" t="str">
        <f t="shared" si="142"/>
        <v>Senior Enterprise AE</v>
      </c>
      <c r="D1349" s="62">
        <f>SUMIFS(Fact_Quota!$D:$D,Fact_Quota!$A:$A,$A1349,Fact_Quota!$B:$B,"&gt;="&amp;B1349,Fact_Quota!$B:$B,"&lt;"&amp;EDATE(B1349,1))</f>
        <v>51300</v>
      </c>
      <c r="E1349" s="62">
        <f>SUMIFS(Fact_Pipeline!$K:$K,Fact_Pipeline!$B:$B,$A1349,Fact_Pipeline!$J:$J,"Won",Fact_Pipeline!$I:$I,"&gt;="&amp;B1349,Fact_Pipeline!$I:$I,"&lt;"&amp;EDATE(B1349,1))</f>
        <v>0</v>
      </c>
      <c r="F1349" s="63" t="b">
        <f>AND(D1349&gt;0,IFERROR(E1349/D1349&gt;=G6,FALSE()))</f>
        <v>0</v>
      </c>
      <c r="G1349" s="62">
        <f t="shared" si="137"/>
        <v>0</v>
      </c>
      <c r="H1349" s="62">
        <f>IF(F1349,MAX(0,MIN(E1349,I6*D1349)-D1349)*IFERROR(INDEX($C$158:$C$161,MATCH(C1349,$A$158:$A$161,0)),0),0)</f>
        <v>0</v>
      </c>
      <c r="I1349" s="62">
        <f>IF(F1349,MAX(0,E1349-I6*D1349)*IFERROR(INDEX($D$158:$D$161,MATCH(C1349,$A$158:$A$161,0)),0),0)</f>
        <v>0</v>
      </c>
      <c r="J1349" s="62">
        <f t="shared" si="138"/>
        <v>0</v>
      </c>
    </row>
    <row r="1350" spans="1:10" ht="15" customHeight="1" outlineLevel="1" x14ac:dyDescent="0.2">
      <c r="A1350" s="63" t="str">
        <f t="shared" si="141"/>
        <v>R034</v>
      </c>
      <c r="B1350" s="64">
        <f>$A$1425</f>
        <v>45413</v>
      </c>
      <c r="C1350" s="63" t="str">
        <f t="shared" si="142"/>
        <v>Senior Enterprise AE</v>
      </c>
      <c r="D1350" s="62">
        <f>SUMIFS(Fact_Quota!$D:$D,Fact_Quota!$A:$A,$A1350,Fact_Quota!$B:$B,"&gt;="&amp;B1350,Fact_Quota!$B:$B,"&lt;"&amp;EDATE(B1350,1))</f>
        <v>48300</v>
      </c>
      <c r="E1350" s="62">
        <f>SUMIFS(Fact_Pipeline!$K:$K,Fact_Pipeline!$B:$B,$A1350,Fact_Pipeline!$J:$J,"Won",Fact_Pipeline!$I:$I,"&gt;="&amp;B1350,Fact_Pipeline!$I:$I,"&lt;"&amp;EDATE(B1350,1))</f>
        <v>0</v>
      </c>
      <c r="F1350" s="63" t="b">
        <f>AND(D1350&gt;0,IFERROR(E1350/D1350&gt;=G6,FALSE()))</f>
        <v>0</v>
      </c>
      <c r="G1350" s="62">
        <f t="shared" si="137"/>
        <v>0</v>
      </c>
      <c r="H1350" s="62">
        <f>IF(F1350,MAX(0,MIN(E1350,I6*D1350)-D1350)*IFERROR(INDEX($C$158:$C$161,MATCH(C1350,$A$158:$A$161,0)),0),0)</f>
        <v>0</v>
      </c>
      <c r="I1350" s="62">
        <f>IF(F1350,MAX(0,E1350-I6*D1350)*IFERROR(INDEX($D$158:$D$161,MATCH(C1350,$A$158:$A$161,0)),0),0)</f>
        <v>0</v>
      </c>
      <c r="J1350" s="62">
        <f t="shared" si="138"/>
        <v>0</v>
      </c>
    </row>
    <row r="1351" spans="1:10" ht="15" customHeight="1" outlineLevel="1" x14ac:dyDescent="0.2">
      <c r="A1351" s="63" t="str">
        <f t="shared" si="141"/>
        <v>R034</v>
      </c>
      <c r="B1351" s="64">
        <f>$A$1426</f>
        <v>45444</v>
      </c>
      <c r="C1351" s="63" t="str">
        <f t="shared" si="142"/>
        <v>Senior Enterprise AE</v>
      </c>
      <c r="D1351" s="62">
        <f>SUMIFS(Fact_Quota!$D:$D,Fact_Quota!$A:$A,$A1351,Fact_Quota!$B:$B,"&gt;="&amp;B1351,Fact_Quota!$B:$B,"&lt;"&amp;EDATE(B1351,1))</f>
        <v>48400</v>
      </c>
      <c r="E1351" s="62">
        <f>SUMIFS(Fact_Pipeline!$K:$K,Fact_Pipeline!$B:$B,$A1351,Fact_Pipeline!$J:$J,"Won",Fact_Pipeline!$I:$I,"&gt;="&amp;B1351,Fact_Pipeline!$I:$I,"&lt;"&amp;EDATE(B1351,1))</f>
        <v>59300</v>
      </c>
      <c r="F1351" s="63" t="b">
        <f>AND(D1351&gt;0,IFERROR(E1351/D1351&gt;=G6,FALSE()))</f>
        <v>1</v>
      </c>
      <c r="G1351" s="62">
        <f t="shared" si="137"/>
        <v>3388.0000000000005</v>
      </c>
      <c r="H1351" s="62">
        <f>IF(F1351,MAX(0,MIN(E1351,I6*D1351)-D1351)*IFERROR(INDEX($C$158:$C$161,MATCH(C1351,$A$158:$A$161,0)),0),0)</f>
        <v>1199</v>
      </c>
      <c r="I1351" s="62">
        <f>IF(F1351,MAX(0,E1351-I6*D1351)*IFERROR(INDEX($D$158:$D$161,MATCH(C1351,$A$158:$A$161,0)),0),0)</f>
        <v>0</v>
      </c>
      <c r="J1351" s="62">
        <f t="shared" si="138"/>
        <v>4587</v>
      </c>
    </row>
    <row r="1352" spans="1:10" ht="15" customHeight="1" outlineLevel="1" x14ac:dyDescent="0.2">
      <c r="A1352" s="63" t="str">
        <f t="shared" si="141"/>
        <v>R034</v>
      </c>
      <c r="B1352" s="64">
        <f>$A$1427</f>
        <v>45474</v>
      </c>
      <c r="C1352" s="63" t="str">
        <f t="shared" si="142"/>
        <v>Senior Enterprise AE</v>
      </c>
      <c r="D1352" s="62">
        <f>SUMIFS(Fact_Quota!$D:$D,Fact_Quota!$A:$A,$A1352,Fact_Quota!$B:$B,"&gt;="&amp;B1352,Fact_Quota!$B:$B,"&lt;"&amp;EDATE(B1352,1))</f>
        <v>47300</v>
      </c>
      <c r="E1352" s="62">
        <f>SUMIFS(Fact_Pipeline!$K:$K,Fact_Pipeline!$B:$B,$A1352,Fact_Pipeline!$J:$J,"Won",Fact_Pipeline!$I:$I,"&gt;="&amp;B1352,Fact_Pipeline!$I:$I,"&lt;"&amp;EDATE(B1352,1))</f>
        <v>199100</v>
      </c>
      <c r="F1352" s="63" t="b">
        <f>AND(D1352&gt;0,IFERROR(E1352/D1352&gt;=G6,FALSE()))</f>
        <v>1</v>
      </c>
      <c r="G1352" s="62">
        <f t="shared" si="137"/>
        <v>3311.0000000000005</v>
      </c>
      <c r="H1352" s="62">
        <f>IF(F1352,MAX(0,MIN(E1352,I6*D1352)-D1352)*IFERROR(INDEX($C$158:$C$161,MATCH(C1352,$A$158:$A$161,0)),0),0)</f>
        <v>2601.5</v>
      </c>
      <c r="I1352" s="62">
        <f>IF(F1352,MAX(0,E1352-I6*D1352)*IFERROR(INDEX($D$158:$D$161,MATCH(C1352,$A$158:$A$161,0)),0),0)</f>
        <v>20504</v>
      </c>
      <c r="J1352" s="62">
        <f t="shared" si="138"/>
        <v>26416.5</v>
      </c>
    </row>
    <row r="1353" spans="1:10" ht="15" customHeight="1" outlineLevel="1" x14ac:dyDescent="0.2">
      <c r="A1353" s="63" t="str">
        <f t="shared" si="141"/>
        <v>R034</v>
      </c>
      <c r="B1353" s="64">
        <f>$A$1428</f>
        <v>45505</v>
      </c>
      <c r="C1353" s="63" t="str">
        <f t="shared" si="142"/>
        <v>Senior Enterprise AE</v>
      </c>
      <c r="D1353" s="62">
        <f>SUMIFS(Fact_Quota!$D:$D,Fact_Quota!$A:$A,$A1353,Fact_Quota!$B:$B,"&gt;="&amp;B1353,Fact_Quota!$B:$B,"&lt;"&amp;EDATE(B1353,1))</f>
        <v>46800</v>
      </c>
      <c r="E1353" s="62">
        <f>SUMIFS(Fact_Pipeline!$K:$K,Fact_Pipeline!$B:$B,$A1353,Fact_Pipeline!$J:$J,"Won",Fact_Pipeline!$I:$I,"&gt;="&amp;B1353,Fact_Pipeline!$I:$I,"&lt;"&amp;EDATE(B1353,1))</f>
        <v>0</v>
      </c>
      <c r="F1353" s="63" t="b">
        <f>AND(D1353&gt;0,IFERROR(E1353/D1353&gt;=G6,FALSE()))</f>
        <v>0</v>
      </c>
      <c r="G1353" s="62">
        <f t="shared" si="137"/>
        <v>0</v>
      </c>
      <c r="H1353" s="62">
        <f>IF(F1353,MAX(0,MIN(E1353,I6*D1353)-D1353)*IFERROR(INDEX($C$158:$C$161,MATCH(C1353,$A$158:$A$161,0)),0),0)</f>
        <v>0</v>
      </c>
      <c r="I1353" s="62">
        <f>IF(F1353,MAX(0,E1353-I6*D1353)*IFERROR(INDEX($D$158:$D$161,MATCH(C1353,$A$158:$A$161,0)),0),0)</f>
        <v>0</v>
      </c>
      <c r="J1353" s="62">
        <f t="shared" si="138"/>
        <v>0</v>
      </c>
    </row>
    <row r="1354" spans="1:10" ht="15" customHeight="1" outlineLevel="1" x14ac:dyDescent="0.2">
      <c r="A1354" s="63" t="str">
        <f t="shared" si="141"/>
        <v>R034</v>
      </c>
      <c r="B1354" s="64">
        <f>$A$1429</f>
        <v>45536</v>
      </c>
      <c r="C1354" s="63" t="str">
        <f t="shared" si="142"/>
        <v>Senior Enterprise AE</v>
      </c>
      <c r="D1354" s="62">
        <f>SUMIFS(Fact_Quota!$D:$D,Fact_Quota!$A:$A,$A1354,Fact_Quota!$B:$B,"&gt;="&amp;B1354,Fact_Quota!$B:$B,"&lt;"&amp;EDATE(B1354,1))</f>
        <v>49200</v>
      </c>
      <c r="E1354" s="62">
        <f>SUMIFS(Fact_Pipeline!$K:$K,Fact_Pipeline!$B:$B,$A1354,Fact_Pipeline!$J:$J,"Won",Fact_Pipeline!$I:$I,"&gt;="&amp;B1354,Fact_Pipeline!$I:$I,"&lt;"&amp;EDATE(B1354,1))</f>
        <v>40100</v>
      </c>
      <c r="F1354" s="63" t="b">
        <f>AND(D1354&gt;0,IFERROR(E1354/D1354&gt;=G6,FALSE()))</f>
        <v>1</v>
      </c>
      <c r="G1354" s="62">
        <f t="shared" si="137"/>
        <v>2807.0000000000005</v>
      </c>
      <c r="H1354" s="62">
        <f>IF(F1354,MAX(0,MIN(E1354,I6*D1354)-D1354)*IFERROR(INDEX($C$158:$C$161,MATCH(C1354,$A$158:$A$161,0)),0),0)</f>
        <v>0</v>
      </c>
      <c r="I1354" s="62">
        <f>IF(F1354,MAX(0,E1354-I6*D1354)*IFERROR(INDEX($D$158:$D$161,MATCH(C1354,$A$158:$A$161,0)),0),0)</f>
        <v>0</v>
      </c>
      <c r="J1354" s="62">
        <f t="shared" si="138"/>
        <v>2807.0000000000005</v>
      </c>
    </row>
    <row r="1355" spans="1:10" ht="15" customHeight="1" outlineLevel="1" x14ac:dyDescent="0.2">
      <c r="A1355" s="63" t="str">
        <f t="shared" si="141"/>
        <v>R034</v>
      </c>
      <c r="B1355" s="64">
        <f>$A$1430</f>
        <v>45566</v>
      </c>
      <c r="C1355" s="63" t="str">
        <f t="shared" si="142"/>
        <v>Senior Enterprise AE</v>
      </c>
      <c r="D1355" s="62">
        <f>SUMIFS(Fact_Quota!$D:$D,Fact_Quota!$A:$A,$A1355,Fact_Quota!$B:$B,"&gt;="&amp;B1355,Fact_Quota!$B:$B,"&lt;"&amp;EDATE(B1355,1))</f>
        <v>46800</v>
      </c>
      <c r="E1355" s="62">
        <f>SUMIFS(Fact_Pipeline!$K:$K,Fact_Pipeline!$B:$B,$A1355,Fact_Pipeline!$J:$J,"Won",Fact_Pipeline!$I:$I,"&gt;="&amp;B1355,Fact_Pipeline!$I:$I,"&lt;"&amp;EDATE(B1355,1))</f>
        <v>55300</v>
      </c>
      <c r="F1355" s="63" t="b">
        <f>AND(D1355&gt;0,IFERROR(E1355/D1355&gt;=G6,FALSE()))</f>
        <v>1</v>
      </c>
      <c r="G1355" s="62">
        <f t="shared" si="137"/>
        <v>3276.0000000000005</v>
      </c>
      <c r="H1355" s="62">
        <f>IF(F1355,MAX(0,MIN(E1355,I6*D1355)-D1355)*IFERROR(INDEX($C$158:$C$161,MATCH(C1355,$A$158:$A$161,0)),0),0)</f>
        <v>935</v>
      </c>
      <c r="I1355" s="62">
        <f>IF(F1355,MAX(0,E1355-I6*D1355)*IFERROR(INDEX($D$158:$D$161,MATCH(C1355,$A$158:$A$161,0)),0),0)</f>
        <v>0</v>
      </c>
      <c r="J1355" s="62">
        <f t="shared" si="138"/>
        <v>4211</v>
      </c>
    </row>
    <row r="1356" spans="1:10" ht="15" customHeight="1" outlineLevel="1" x14ac:dyDescent="0.2">
      <c r="A1356" s="63" t="str">
        <f t="shared" si="141"/>
        <v>R034</v>
      </c>
      <c r="B1356" s="64">
        <f>$A$1431</f>
        <v>45597</v>
      </c>
      <c r="C1356" s="63" t="str">
        <f t="shared" si="142"/>
        <v>Senior Enterprise AE</v>
      </c>
      <c r="D1356" s="62">
        <f>SUMIFS(Fact_Quota!$D:$D,Fact_Quota!$A:$A,$A1356,Fact_Quota!$B:$B,"&gt;="&amp;B1356,Fact_Quota!$B:$B,"&lt;"&amp;EDATE(B1356,1))</f>
        <v>48100</v>
      </c>
      <c r="E1356" s="62">
        <f>SUMIFS(Fact_Pipeline!$K:$K,Fact_Pipeline!$B:$B,$A1356,Fact_Pipeline!$J:$J,"Won",Fact_Pipeline!$I:$I,"&gt;="&amp;B1356,Fact_Pipeline!$I:$I,"&lt;"&amp;EDATE(B1356,1))</f>
        <v>0</v>
      </c>
      <c r="F1356" s="63" t="b">
        <f>AND(D1356&gt;0,IFERROR(E1356/D1356&gt;=G6,FALSE()))</f>
        <v>0</v>
      </c>
      <c r="G1356" s="62">
        <f t="shared" si="137"/>
        <v>0</v>
      </c>
      <c r="H1356" s="62">
        <f>IF(F1356,MAX(0,MIN(E1356,I6*D1356)-D1356)*IFERROR(INDEX($C$158:$C$161,MATCH(C1356,$A$158:$A$161,0)),0),0)</f>
        <v>0</v>
      </c>
      <c r="I1356" s="62">
        <f>IF(F1356,MAX(0,E1356-I6*D1356)*IFERROR(INDEX($D$158:$D$161,MATCH(C1356,$A$158:$A$161,0)),0),0)</f>
        <v>0</v>
      </c>
      <c r="J1356" s="62">
        <f t="shared" si="138"/>
        <v>0</v>
      </c>
    </row>
    <row r="1357" spans="1:10" ht="15" customHeight="1" outlineLevel="1" x14ac:dyDescent="0.2">
      <c r="A1357" s="63" t="str">
        <f t="shared" si="141"/>
        <v>R034</v>
      </c>
      <c r="B1357" s="64">
        <f>$A$1432</f>
        <v>45627</v>
      </c>
      <c r="C1357" s="63" t="str">
        <f t="shared" si="142"/>
        <v>Senior Enterprise AE</v>
      </c>
      <c r="D1357" s="62">
        <f>SUMIFS(Fact_Quota!$D:$D,Fact_Quota!$A:$A,$A1357,Fact_Quota!$B:$B,"&gt;="&amp;B1357,Fact_Quota!$B:$B,"&lt;"&amp;EDATE(B1357,1))</f>
        <v>47300</v>
      </c>
      <c r="E1357" s="62">
        <f>SUMIFS(Fact_Pipeline!$K:$K,Fact_Pipeline!$B:$B,$A1357,Fact_Pipeline!$J:$J,"Won",Fact_Pipeline!$I:$I,"&gt;="&amp;B1357,Fact_Pipeline!$I:$I,"&lt;"&amp;EDATE(B1357,1))</f>
        <v>212600</v>
      </c>
      <c r="F1357" s="63" t="b">
        <f>AND(D1357&gt;0,IFERROR(E1357/D1357&gt;=G6,FALSE()))</f>
        <v>1</v>
      </c>
      <c r="G1357" s="62">
        <f t="shared" si="137"/>
        <v>3311.0000000000005</v>
      </c>
      <c r="H1357" s="62">
        <f>IF(F1357,MAX(0,MIN(E1357,I6*D1357)-D1357)*IFERROR(INDEX($C$158:$C$161,MATCH(C1357,$A$158:$A$161,0)),0),0)</f>
        <v>2601.5</v>
      </c>
      <c r="I1357" s="62">
        <f>IF(F1357,MAX(0,E1357-I6*D1357)*IFERROR(INDEX($D$158:$D$161,MATCH(C1357,$A$158:$A$161,0)),0),0)</f>
        <v>22664</v>
      </c>
      <c r="J1357" s="62">
        <f t="shared" si="138"/>
        <v>28576.5</v>
      </c>
    </row>
    <row r="1358" spans="1:10" ht="15" customHeight="1" outlineLevel="1" x14ac:dyDescent="0.2">
      <c r="A1358" s="63" t="str">
        <f t="shared" si="141"/>
        <v>R034</v>
      </c>
      <c r="B1358" s="64">
        <f>$A$1433</f>
        <v>45658</v>
      </c>
      <c r="C1358" s="63" t="str">
        <f t="shared" si="142"/>
        <v>Senior Enterprise AE</v>
      </c>
      <c r="D1358" s="62">
        <f>SUMIFS(Fact_Quota!$D:$D,Fact_Quota!$A:$A,$A1358,Fact_Quota!$B:$B,"&gt;="&amp;B1358,Fact_Quota!$B:$B,"&lt;"&amp;EDATE(B1358,1))</f>
        <v>48700</v>
      </c>
      <c r="E1358" s="62">
        <f>SUMIFS(Fact_Pipeline!$K:$K,Fact_Pipeline!$B:$B,$A1358,Fact_Pipeline!$J:$J,"Won",Fact_Pipeline!$I:$I,"&gt;="&amp;B1358,Fact_Pipeline!$I:$I,"&lt;"&amp;EDATE(B1358,1))</f>
        <v>218800</v>
      </c>
      <c r="F1358" s="63" t="b">
        <f>AND(D1358&gt;0,IFERROR(E1358/D1358&gt;=G6,FALSE()))</f>
        <v>1</v>
      </c>
      <c r="G1358" s="62">
        <f t="shared" si="137"/>
        <v>3409.0000000000005</v>
      </c>
      <c r="H1358" s="62">
        <f>IF(F1358,MAX(0,MIN(E1358,I6*D1358)-D1358)*IFERROR(INDEX($C$158:$C$161,MATCH(C1358,$A$158:$A$161,0)),0),0)</f>
        <v>2678.5</v>
      </c>
      <c r="I1358" s="62">
        <f>IF(F1358,MAX(0,E1358-I6*D1358)*IFERROR(INDEX($D$158:$D$161,MATCH(C1358,$A$158:$A$161,0)),0),0)</f>
        <v>23320</v>
      </c>
      <c r="J1358" s="62">
        <f t="shared" si="138"/>
        <v>29407.5</v>
      </c>
    </row>
    <row r="1359" spans="1:10" ht="15" customHeight="1" outlineLevel="1" x14ac:dyDescent="0.2">
      <c r="A1359" s="63" t="str">
        <f t="shared" si="141"/>
        <v>R034</v>
      </c>
      <c r="B1359" s="64">
        <f>$A$1434</f>
        <v>45689</v>
      </c>
      <c r="C1359" s="63" t="str">
        <f t="shared" si="142"/>
        <v>Senior Enterprise AE</v>
      </c>
      <c r="D1359" s="62">
        <f>SUMIFS(Fact_Quota!$D:$D,Fact_Quota!$A:$A,$A1359,Fact_Quota!$B:$B,"&gt;="&amp;B1359,Fact_Quota!$B:$B,"&lt;"&amp;EDATE(B1359,1))</f>
        <v>48500</v>
      </c>
      <c r="E1359" s="62">
        <f>SUMIFS(Fact_Pipeline!$K:$K,Fact_Pipeline!$B:$B,$A1359,Fact_Pipeline!$J:$J,"Won",Fact_Pipeline!$I:$I,"&gt;="&amp;B1359,Fact_Pipeline!$I:$I,"&lt;"&amp;EDATE(B1359,1))</f>
        <v>0</v>
      </c>
      <c r="F1359" s="63" t="b">
        <f>AND(D1359&gt;0,IFERROR(E1359/D1359&gt;=G6,FALSE()))</f>
        <v>0</v>
      </c>
      <c r="G1359" s="62">
        <f t="shared" si="137"/>
        <v>0</v>
      </c>
      <c r="H1359" s="62">
        <f>IF(F1359,MAX(0,MIN(E1359,I6*D1359)-D1359)*IFERROR(INDEX($C$158:$C$161,MATCH(C1359,$A$158:$A$161,0)),0),0)</f>
        <v>0</v>
      </c>
      <c r="I1359" s="62">
        <f>IF(F1359,MAX(0,E1359-I6*D1359)*IFERROR(INDEX($D$158:$D$161,MATCH(C1359,$A$158:$A$161,0)),0),0)</f>
        <v>0</v>
      </c>
      <c r="J1359" s="62">
        <f t="shared" si="138"/>
        <v>0</v>
      </c>
    </row>
    <row r="1360" spans="1:10" ht="15" customHeight="1" outlineLevel="1" x14ac:dyDescent="0.2">
      <c r="A1360" s="63" t="str">
        <f t="shared" si="141"/>
        <v>R034</v>
      </c>
      <c r="B1360" s="64">
        <f>$A$1435</f>
        <v>45717</v>
      </c>
      <c r="C1360" s="63" t="str">
        <f t="shared" si="142"/>
        <v>Senior Enterprise AE</v>
      </c>
      <c r="D1360" s="62">
        <f>SUMIFS(Fact_Quota!$D:$D,Fact_Quota!$A:$A,$A1360,Fact_Quota!$B:$B,"&gt;="&amp;B1360,Fact_Quota!$B:$B,"&lt;"&amp;EDATE(B1360,1))</f>
        <v>49500</v>
      </c>
      <c r="E1360" s="62">
        <f>SUMIFS(Fact_Pipeline!$K:$K,Fact_Pipeline!$B:$B,$A1360,Fact_Pipeline!$J:$J,"Won",Fact_Pipeline!$I:$I,"&gt;="&amp;B1360,Fact_Pipeline!$I:$I,"&lt;"&amp;EDATE(B1360,1))</f>
        <v>38100</v>
      </c>
      <c r="F1360" s="63" t="b">
        <f>AND(D1360&gt;0,IFERROR(E1360/D1360&gt;=G6,FALSE()))</f>
        <v>1</v>
      </c>
      <c r="G1360" s="62">
        <f t="shared" si="137"/>
        <v>2667.0000000000005</v>
      </c>
      <c r="H1360" s="62">
        <f>IF(F1360,MAX(0,MIN(E1360,I6*D1360)-D1360)*IFERROR(INDEX($C$158:$C$161,MATCH(C1360,$A$158:$A$161,0)),0),0)</f>
        <v>0</v>
      </c>
      <c r="I1360" s="62">
        <f>IF(F1360,MAX(0,E1360-I6*D1360)*IFERROR(INDEX($D$158:$D$161,MATCH(C1360,$A$158:$A$161,0)),0),0)</f>
        <v>0</v>
      </c>
      <c r="J1360" s="62">
        <f t="shared" si="138"/>
        <v>2667.0000000000005</v>
      </c>
    </row>
    <row r="1361" spans="1:10" ht="15" customHeight="1" outlineLevel="1" x14ac:dyDescent="0.2">
      <c r="A1361" s="63" t="str">
        <f t="shared" si="141"/>
        <v>R034</v>
      </c>
      <c r="B1361" s="64">
        <f>$A$1436</f>
        <v>45748</v>
      </c>
      <c r="C1361" s="63" t="str">
        <f t="shared" si="142"/>
        <v>Senior Enterprise AE</v>
      </c>
      <c r="D1361" s="62">
        <f>SUMIFS(Fact_Quota!$D:$D,Fact_Quota!$A:$A,$A1361,Fact_Quota!$B:$B,"&gt;="&amp;B1361,Fact_Quota!$B:$B,"&lt;"&amp;EDATE(B1361,1))</f>
        <v>47300</v>
      </c>
      <c r="E1361" s="62">
        <f>SUMIFS(Fact_Pipeline!$K:$K,Fact_Pipeline!$B:$B,$A1361,Fact_Pipeline!$J:$J,"Won",Fact_Pipeline!$I:$I,"&gt;="&amp;B1361,Fact_Pipeline!$I:$I,"&lt;"&amp;EDATE(B1361,1))</f>
        <v>48200</v>
      </c>
      <c r="F1361" s="63" t="b">
        <f>AND(D1361&gt;0,IFERROR(E1361/D1361&gt;=G6,FALSE()))</f>
        <v>1</v>
      </c>
      <c r="G1361" s="62">
        <f t="shared" si="137"/>
        <v>3311.0000000000005</v>
      </c>
      <c r="H1361" s="62">
        <f>IF(F1361,MAX(0,MIN(E1361,I6*D1361)-D1361)*IFERROR(INDEX($C$158:$C$161,MATCH(C1361,$A$158:$A$161,0)),0),0)</f>
        <v>99</v>
      </c>
      <c r="I1361" s="62">
        <f>IF(F1361,MAX(0,E1361-I6*D1361)*IFERROR(INDEX($D$158:$D$161,MATCH(C1361,$A$158:$A$161,0)),0),0)</f>
        <v>0</v>
      </c>
      <c r="J1361" s="62">
        <f t="shared" si="138"/>
        <v>3410.0000000000005</v>
      </c>
    </row>
    <row r="1362" spans="1:10" ht="15" customHeight="1" outlineLevel="1" x14ac:dyDescent="0.2">
      <c r="A1362" s="63" t="str">
        <f t="shared" si="141"/>
        <v>R034</v>
      </c>
      <c r="B1362" s="64">
        <f>$A$1437</f>
        <v>45778</v>
      </c>
      <c r="C1362" s="63" t="str">
        <f t="shared" si="142"/>
        <v>Senior Enterprise AE</v>
      </c>
      <c r="D1362" s="62">
        <f>SUMIFS(Fact_Quota!$D:$D,Fact_Quota!$A:$A,$A1362,Fact_Quota!$B:$B,"&gt;="&amp;B1362,Fact_Quota!$B:$B,"&lt;"&amp;EDATE(B1362,1))</f>
        <v>47600</v>
      </c>
      <c r="E1362" s="62">
        <f>SUMIFS(Fact_Pipeline!$K:$K,Fact_Pipeline!$B:$B,$A1362,Fact_Pipeline!$J:$J,"Won",Fact_Pipeline!$I:$I,"&gt;="&amp;B1362,Fact_Pipeline!$I:$I,"&lt;"&amp;EDATE(B1362,1))</f>
        <v>55100</v>
      </c>
      <c r="F1362" s="63" t="b">
        <f>AND(D1362&gt;0,IFERROR(E1362/D1362&gt;=G6,FALSE()))</f>
        <v>1</v>
      </c>
      <c r="G1362" s="62">
        <f t="shared" si="137"/>
        <v>3332.0000000000005</v>
      </c>
      <c r="H1362" s="62">
        <f>IF(F1362,MAX(0,MIN(E1362,I6*D1362)-D1362)*IFERROR(INDEX($C$158:$C$161,MATCH(C1362,$A$158:$A$161,0)),0),0)</f>
        <v>825</v>
      </c>
      <c r="I1362" s="62">
        <f>IF(F1362,MAX(0,E1362-I6*D1362)*IFERROR(INDEX($D$158:$D$161,MATCH(C1362,$A$158:$A$161,0)),0),0)</f>
        <v>0</v>
      </c>
      <c r="J1362" s="62">
        <f t="shared" si="138"/>
        <v>4157</v>
      </c>
    </row>
    <row r="1363" spans="1:10" ht="15" customHeight="1" outlineLevel="1" x14ac:dyDescent="0.2">
      <c r="A1363" s="63" t="str">
        <f t="shared" si="141"/>
        <v>R034</v>
      </c>
      <c r="B1363" s="64">
        <f>$A$1438</f>
        <v>45809</v>
      </c>
      <c r="C1363" s="63" t="str">
        <f t="shared" si="142"/>
        <v>Senior Enterprise AE</v>
      </c>
      <c r="D1363" s="62">
        <f>SUMIFS(Fact_Quota!$D:$D,Fact_Quota!$A:$A,$A1363,Fact_Quota!$B:$B,"&gt;="&amp;B1363,Fact_Quota!$B:$B,"&lt;"&amp;EDATE(B1363,1))</f>
        <v>46600</v>
      </c>
      <c r="E1363" s="62">
        <f>SUMIFS(Fact_Pipeline!$K:$K,Fact_Pipeline!$B:$B,$A1363,Fact_Pipeline!$J:$J,"Won",Fact_Pipeline!$I:$I,"&gt;="&amp;B1363,Fact_Pipeline!$I:$I,"&lt;"&amp;EDATE(B1363,1))</f>
        <v>0</v>
      </c>
      <c r="F1363" s="63" t="b">
        <f>AND(D1363&gt;0,IFERROR(E1363/D1363&gt;=G6,FALSE()))</f>
        <v>0</v>
      </c>
      <c r="G1363" s="62">
        <f t="shared" si="137"/>
        <v>0</v>
      </c>
      <c r="H1363" s="62">
        <f>IF(F1363,MAX(0,MIN(E1363,I6*D1363)-D1363)*IFERROR(INDEX($C$158:$C$161,MATCH(C1363,$A$158:$A$161,0)),0),0)</f>
        <v>0</v>
      </c>
      <c r="I1363" s="62">
        <f>IF(F1363,MAX(0,E1363-I6*D1363)*IFERROR(INDEX($D$158:$D$161,MATCH(C1363,$A$158:$A$161,0)),0),0)</f>
        <v>0</v>
      </c>
      <c r="J1363" s="62">
        <f t="shared" si="138"/>
        <v>0</v>
      </c>
    </row>
    <row r="1364" spans="1:10" ht="15" customHeight="1" outlineLevel="1" x14ac:dyDescent="0.2">
      <c r="A1364" s="63" t="str">
        <f t="shared" si="141"/>
        <v>R034</v>
      </c>
      <c r="B1364" s="64">
        <f>$A$1439</f>
        <v>45839</v>
      </c>
      <c r="C1364" s="63" t="str">
        <f t="shared" si="142"/>
        <v>Senior Enterprise AE</v>
      </c>
      <c r="D1364" s="62">
        <f>SUMIFS(Fact_Quota!$D:$D,Fact_Quota!$A:$A,$A1364,Fact_Quota!$B:$B,"&gt;="&amp;B1364,Fact_Quota!$B:$B,"&lt;"&amp;EDATE(B1364,1))</f>
        <v>47400</v>
      </c>
      <c r="E1364" s="62">
        <f>SUMIFS(Fact_Pipeline!$K:$K,Fact_Pipeline!$B:$B,$A1364,Fact_Pipeline!$J:$J,"Won",Fact_Pipeline!$I:$I,"&gt;="&amp;B1364,Fact_Pipeline!$I:$I,"&lt;"&amp;EDATE(B1364,1))</f>
        <v>0</v>
      </c>
      <c r="F1364" s="63" t="b">
        <f>AND(D1364&gt;0,IFERROR(E1364/D1364&gt;=G6,FALSE()))</f>
        <v>0</v>
      </c>
      <c r="G1364" s="62">
        <f t="shared" si="137"/>
        <v>0</v>
      </c>
      <c r="H1364" s="62">
        <f>IF(F1364,MAX(0,MIN(E1364,I6*D1364)-D1364)*IFERROR(INDEX($C$158:$C$161,MATCH(C1364,$A$158:$A$161,0)),0),0)</f>
        <v>0</v>
      </c>
      <c r="I1364" s="62">
        <f>IF(F1364,MAX(0,E1364-I6*D1364)*IFERROR(INDEX($D$158:$D$161,MATCH(C1364,$A$158:$A$161,0)),0),0)</f>
        <v>0</v>
      </c>
      <c r="J1364" s="62">
        <f t="shared" si="138"/>
        <v>0</v>
      </c>
    </row>
    <row r="1365" spans="1:10" ht="15" customHeight="1" outlineLevel="1" x14ac:dyDescent="0.2">
      <c r="A1365" s="63" t="str">
        <f t="shared" si="141"/>
        <v>R034</v>
      </c>
      <c r="B1365" s="64">
        <f>$A$1440</f>
        <v>45870</v>
      </c>
      <c r="C1365" s="63" t="str">
        <f t="shared" si="142"/>
        <v>Senior Enterprise AE</v>
      </c>
      <c r="D1365" s="62">
        <f>SUMIFS(Fact_Quota!$D:$D,Fact_Quota!$A:$A,$A1365,Fact_Quota!$B:$B,"&gt;="&amp;B1365,Fact_Quota!$B:$B,"&lt;"&amp;EDATE(B1365,1))</f>
        <v>48500</v>
      </c>
      <c r="E1365" s="62">
        <f>SUMIFS(Fact_Pipeline!$K:$K,Fact_Pipeline!$B:$B,$A1365,Fact_Pipeline!$J:$J,"Won",Fact_Pipeline!$I:$I,"&gt;="&amp;B1365,Fact_Pipeline!$I:$I,"&lt;"&amp;EDATE(B1365,1))</f>
        <v>0</v>
      </c>
      <c r="F1365" s="63" t="b">
        <f>AND(D1365&gt;0,IFERROR(E1365/D1365&gt;=G6,FALSE()))</f>
        <v>0</v>
      </c>
      <c r="G1365" s="62">
        <f t="shared" si="137"/>
        <v>0</v>
      </c>
      <c r="H1365" s="62">
        <f>IF(F1365,MAX(0,MIN(E1365,I6*D1365)-D1365)*IFERROR(INDEX($C$158:$C$161,MATCH(C1365,$A$158:$A$161,0)),0),0)</f>
        <v>0</v>
      </c>
      <c r="I1365" s="62">
        <f>IF(F1365,MAX(0,E1365-I6*D1365)*IFERROR(INDEX($D$158:$D$161,MATCH(C1365,$A$158:$A$161,0)),0),0)</f>
        <v>0</v>
      </c>
      <c r="J1365" s="62">
        <f t="shared" si="138"/>
        <v>0</v>
      </c>
    </row>
    <row r="1366" spans="1:10" ht="15" customHeight="1" outlineLevel="1" x14ac:dyDescent="0.2">
      <c r="A1366" s="63" t="str">
        <f t="shared" si="141"/>
        <v>R034</v>
      </c>
      <c r="B1366" s="64">
        <f>$A$1441</f>
        <v>45901</v>
      </c>
      <c r="C1366" s="63" t="str">
        <f t="shared" si="142"/>
        <v>Senior Enterprise AE</v>
      </c>
      <c r="D1366" s="62">
        <f>SUMIFS(Fact_Quota!$D:$D,Fact_Quota!$A:$A,$A1366,Fact_Quota!$B:$B,"&gt;="&amp;B1366,Fact_Quota!$B:$B,"&lt;"&amp;EDATE(B1366,1))</f>
        <v>49100</v>
      </c>
      <c r="E1366" s="62">
        <f>SUMIFS(Fact_Pipeline!$K:$K,Fact_Pipeline!$B:$B,$A1366,Fact_Pipeline!$J:$J,"Won",Fact_Pipeline!$I:$I,"&gt;="&amp;B1366,Fact_Pipeline!$I:$I,"&lt;"&amp;EDATE(B1366,1))</f>
        <v>43700</v>
      </c>
      <c r="F1366" s="63" t="b">
        <f>AND(D1366&gt;0,IFERROR(E1366/D1366&gt;=G6,FALSE()))</f>
        <v>1</v>
      </c>
      <c r="G1366" s="62">
        <f t="shared" si="137"/>
        <v>3059.0000000000005</v>
      </c>
      <c r="H1366" s="62">
        <f>IF(F1366,MAX(0,MIN(E1366,I6*D1366)-D1366)*IFERROR(INDEX($C$158:$C$161,MATCH(C1366,$A$158:$A$161,0)),0),0)</f>
        <v>0</v>
      </c>
      <c r="I1366" s="62">
        <f>IF(F1366,MAX(0,E1366-I6*D1366)*IFERROR(INDEX($D$158:$D$161,MATCH(C1366,$A$158:$A$161,0)),0),0)</f>
        <v>0</v>
      </c>
      <c r="J1366" s="62">
        <f t="shared" si="138"/>
        <v>3059.0000000000005</v>
      </c>
    </row>
    <row r="1367" spans="1:10" ht="15" customHeight="1" outlineLevel="1" x14ac:dyDescent="0.2">
      <c r="A1367" s="63" t="str">
        <f t="shared" si="141"/>
        <v>R034</v>
      </c>
      <c r="B1367" s="64">
        <f>$A$1442</f>
        <v>45931</v>
      </c>
      <c r="C1367" s="63" t="str">
        <f t="shared" si="142"/>
        <v>Senior Enterprise AE</v>
      </c>
      <c r="D1367" s="62">
        <f>SUMIFS(Fact_Quota!$D:$D,Fact_Quota!$A:$A,$A1367,Fact_Quota!$B:$B,"&gt;="&amp;B1367,Fact_Quota!$B:$B,"&lt;"&amp;EDATE(B1367,1))</f>
        <v>46700</v>
      </c>
      <c r="E1367" s="62">
        <f>SUMIFS(Fact_Pipeline!$K:$K,Fact_Pipeline!$B:$B,$A1367,Fact_Pipeline!$J:$J,"Won",Fact_Pipeline!$I:$I,"&gt;="&amp;B1367,Fact_Pipeline!$I:$I,"&lt;"&amp;EDATE(B1367,1))</f>
        <v>67400</v>
      </c>
      <c r="F1367" s="63" t="b">
        <f>AND(D1367&gt;0,IFERROR(E1367/D1367&gt;=G6,FALSE()))</f>
        <v>1</v>
      </c>
      <c r="G1367" s="62">
        <f t="shared" si="137"/>
        <v>3269.0000000000005</v>
      </c>
      <c r="H1367" s="62">
        <f>IF(F1367,MAX(0,MIN(E1367,I6*D1367)-D1367)*IFERROR(INDEX($C$158:$C$161,MATCH(C1367,$A$158:$A$161,0)),0),0)</f>
        <v>2277</v>
      </c>
      <c r="I1367" s="62">
        <f>IF(F1367,MAX(0,E1367-I6*D1367)*IFERROR(INDEX($D$158:$D$161,MATCH(C1367,$A$158:$A$161,0)),0),0)</f>
        <v>0</v>
      </c>
      <c r="J1367" s="62">
        <f t="shared" si="138"/>
        <v>5546</v>
      </c>
    </row>
    <row r="1368" spans="1:10" ht="15" customHeight="1" outlineLevel="1" x14ac:dyDescent="0.2">
      <c r="A1368" s="63" t="str">
        <f t="shared" si="141"/>
        <v>R034</v>
      </c>
      <c r="B1368" s="64">
        <f>$A$1443</f>
        <v>45962</v>
      </c>
      <c r="C1368" s="63" t="str">
        <f t="shared" si="142"/>
        <v>Senior Enterprise AE</v>
      </c>
      <c r="D1368" s="62">
        <f>SUMIFS(Fact_Quota!$D:$D,Fact_Quota!$A:$A,$A1368,Fact_Quota!$B:$B,"&gt;="&amp;B1368,Fact_Quota!$B:$B,"&lt;"&amp;EDATE(B1368,1))</f>
        <v>49300</v>
      </c>
      <c r="E1368" s="62">
        <f>SUMIFS(Fact_Pipeline!$K:$K,Fact_Pipeline!$B:$B,$A1368,Fact_Pipeline!$J:$J,"Won",Fact_Pipeline!$I:$I,"&gt;="&amp;B1368,Fact_Pipeline!$I:$I,"&lt;"&amp;EDATE(B1368,1))</f>
        <v>38400</v>
      </c>
      <c r="F1368" s="63" t="b">
        <f>AND(D1368&gt;0,IFERROR(E1368/D1368&gt;=G6,FALSE()))</f>
        <v>1</v>
      </c>
      <c r="G1368" s="62">
        <f t="shared" si="137"/>
        <v>2688.0000000000005</v>
      </c>
      <c r="H1368" s="62">
        <f>IF(F1368,MAX(0,MIN(E1368,I6*D1368)-D1368)*IFERROR(INDEX($C$158:$C$161,MATCH(C1368,$A$158:$A$161,0)),0),0)</f>
        <v>0</v>
      </c>
      <c r="I1368" s="62">
        <f>IF(F1368,MAX(0,E1368-I6*D1368)*IFERROR(INDEX($D$158:$D$161,MATCH(C1368,$A$158:$A$161,0)),0),0)</f>
        <v>0</v>
      </c>
      <c r="J1368" s="62">
        <f t="shared" si="138"/>
        <v>2688.0000000000005</v>
      </c>
    </row>
    <row r="1369" spans="1:10" ht="15" customHeight="1" outlineLevel="1" x14ac:dyDescent="0.2">
      <c r="A1369" s="63" t="str">
        <f t="shared" si="141"/>
        <v>R034</v>
      </c>
      <c r="B1369" s="64">
        <f>$A$1444</f>
        <v>45992</v>
      </c>
      <c r="C1369" s="63" t="str">
        <f t="shared" si="142"/>
        <v>Senior Enterprise AE</v>
      </c>
      <c r="D1369" s="62">
        <f>SUMIFS(Fact_Quota!$D:$D,Fact_Quota!$A:$A,$A1369,Fact_Quota!$B:$B,"&gt;="&amp;B1369,Fact_Quota!$B:$B,"&lt;"&amp;EDATE(B1369,1))</f>
        <v>50000</v>
      </c>
      <c r="E1369" s="62">
        <f>SUMIFS(Fact_Pipeline!$K:$K,Fact_Pipeline!$B:$B,$A1369,Fact_Pipeline!$J:$J,"Won",Fact_Pipeline!$I:$I,"&gt;="&amp;B1369,Fact_Pipeline!$I:$I,"&lt;"&amp;EDATE(B1369,1))</f>
        <v>149800</v>
      </c>
      <c r="F1369" s="63" t="b">
        <f>AND(D1369&gt;0,IFERROR(E1369/D1369&gt;=G6,FALSE()))</f>
        <v>1</v>
      </c>
      <c r="G1369" s="62">
        <f t="shared" si="137"/>
        <v>3500.0000000000005</v>
      </c>
      <c r="H1369" s="62">
        <f>IF(F1369,MAX(0,MIN(E1369,I6*D1369)-D1369)*IFERROR(INDEX($C$158:$C$161,MATCH(C1369,$A$158:$A$161,0)),0),0)</f>
        <v>2750</v>
      </c>
      <c r="I1369" s="62">
        <f>IF(F1369,MAX(0,E1369-I6*D1369)*IFERROR(INDEX($D$158:$D$161,MATCH(C1369,$A$158:$A$161,0)),0),0)</f>
        <v>11968</v>
      </c>
      <c r="J1369" s="62">
        <f t="shared" si="138"/>
        <v>18218</v>
      </c>
    </row>
    <row r="1370" spans="1:10" ht="15" customHeight="1" outlineLevel="1" x14ac:dyDescent="0.2">
      <c r="A1370" s="66" t="str">
        <f t="shared" ref="A1370:A1393" si="143">$A$213</f>
        <v>R035</v>
      </c>
      <c r="B1370" s="67">
        <f>$A$1421</f>
        <v>45292</v>
      </c>
      <c r="C1370" s="66" t="str">
        <f t="shared" ref="C1370:C1393" si="144">$C$213</f>
        <v>Senior Enterprise AE</v>
      </c>
      <c r="D1370" s="65">
        <f>SUMIFS(Fact_Quota!$D:$D,Fact_Quota!$A:$A,$A1370,Fact_Quota!$B:$B,"&gt;="&amp;B1370,Fact_Quota!$B:$B,"&lt;"&amp;EDATE(B1370,1))</f>
        <v>0</v>
      </c>
      <c r="E1370" s="65">
        <f>SUMIFS(Fact_Pipeline!$K:$K,Fact_Pipeline!$B:$B,$A1370,Fact_Pipeline!$J:$J,"Won",Fact_Pipeline!$I:$I,"&gt;="&amp;B1370,Fact_Pipeline!$I:$I,"&lt;"&amp;EDATE(B1370,1))</f>
        <v>0</v>
      </c>
      <c r="F1370" s="66" t="b">
        <f>AND(D1370&gt;0,IFERROR(E1370/D1370&gt;=G6,FALSE()))</f>
        <v>0</v>
      </c>
      <c r="G1370" s="65">
        <f t="shared" ref="G1370:G1433" si="145">IF(F1370,MIN(E1370,D1370)*IFERROR(INDEX($B$158:$B$161,MATCH(C1370,$A$158:$A$161,0)),0),0)</f>
        <v>0</v>
      </c>
      <c r="H1370" s="65">
        <f>IF(F1370,MAX(0,MIN(E1370,I6*D1370)-D1370)*IFERROR(INDEX($C$158:$C$161,MATCH(C1370,$A$158:$A$161,0)),0),0)</f>
        <v>0</v>
      </c>
      <c r="I1370" s="65">
        <f>IF(F1370,MAX(0,E1370-I6*D1370)*IFERROR(INDEX($D$158:$D$161,MATCH(C1370,$A$158:$A$161,0)),0),0)</f>
        <v>0</v>
      </c>
      <c r="J1370" s="65">
        <f t="shared" ref="J1370:J1433" si="146">G1370+H1370+I1370</f>
        <v>0</v>
      </c>
    </row>
    <row r="1371" spans="1:10" ht="15" customHeight="1" outlineLevel="1" x14ac:dyDescent="0.2">
      <c r="A1371" s="66" t="str">
        <f t="shared" si="143"/>
        <v>R035</v>
      </c>
      <c r="B1371" s="67">
        <f>$A$1422</f>
        <v>45323</v>
      </c>
      <c r="C1371" s="66" t="str">
        <f t="shared" si="144"/>
        <v>Senior Enterprise AE</v>
      </c>
      <c r="D1371" s="65">
        <f>SUMIFS(Fact_Quota!$D:$D,Fact_Quota!$A:$A,$A1371,Fact_Quota!$B:$B,"&gt;="&amp;B1371,Fact_Quota!$B:$B,"&lt;"&amp;EDATE(B1371,1))</f>
        <v>0</v>
      </c>
      <c r="E1371" s="65">
        <f>SUMIFS(Fact_Pipeline!$K:$K,Fact_Pipeline!$B:$B,$A1371,Fact_Pipeline!$J:$J,"Won",Fact_Pipeline!$I:$I,"&gt;="&amp;B1371,Fact_Pipeline!$I:$I,"&lt;"&amp;EDATE(B1371,1))</f>
        <v>0</v>
      </c>
      <c r="F1371" s="66" t="b">
        <f>AND(D1371&gt;0,IFERROR(E1371/D1371&gt;=G6,FALSE()))</f>
        <v>0</v>
      </c>
      <c r="G1371" s="65">
        <f t="shared" si="145"/>
        <v>0</v>
      </c>
      <c r="H1371" s="65">
        <f>IF(F1371,MAX(0,MIN(E1371,I6*D1371)-D1371)*IFERROR(INDEX($C$158:$C$161,MATCH(C1371,$A$158:$A$161,0)),0),0)</f>
        <v>0</v>
      </c>
      <c r="I1371" s="65">
        <f>IF(F1371,MAX(0,E1371-I6*D1371)*IFERROR(INDEX($D$158:$D$161,MATCH(C1371,$A$158:$A$161,0)),0),0)</f>
        <v>0</v>
      </c>
      <c r="J1371" s="65">
        <f t="shared" si="146"/>
        <v>0</v>
      </c>
    </row>
    <row r="1372" spans="1:10" ht="15" customHeight="1" outlineLevel="1" x14ac:dyDescent="0.2">
      <c r="A1372" s="66" t="str">
        <f t="shared" si="143"/>
        <v>R035</v>
      </c>
      <c r="B1372" s="67">
        <f>$A$1423</f>
        <v>45352</v>
      </c>
      <c r="C1372" s="66" t="str">
        <f t="shared" si="144"/>
        <v>Senior Enterprise AE</v>
      </c>
      <c r="D1372" s="65">
        <f>SUMIFS(Fact_Quota!$D:$D,Fact_Quota!$A:$A,$A1372,Fact_Quota!$B:$B,"&gt;="&amp;B1372,Fact_Quota!$B:$B,"&lt;"&amp;EDATE(B1372,1))</f>
        <v>0</v>
      </c>
      <c r="E1372" s="65">
        <f>SUMIFS(Fact_Pipeline!$K:$K,Fact_Pipeline!$B:$B,$A1372,Fact_Pipeline!$J:$J,"Won",Fact_Pipeline!$I:$I,"&gt;="&amp;B1372,Fact_Pipeline!$I:$I,"&lt;"&amp;EDATE(B1372,1))</f>
        <v>0</v>
      </c>
      <c r="F1372" s="66" t="b">
        <f>AND(D1372&gt;0,IFERROR(E1372/D1372&gt;=G6,FALSE()))</f>
        <v>0</v>
      </c>
      <c r="G1372" s="65">
        <f t="shared" si="145"/>
        <v>0</v>
      </c>
      <c r="H1372" s="65">
        <f>IF(F1372,MAX(0,MIN(E1372,I6*D1372)-D1372)*IFERROR(INDEX($C$158:$C$161,MATCH(C1372,$A$158:$A$161,0)),0),0)</f>
        <v>0</v>
      </c>
      <c r="I1372" s="65">
        <f>IF(F1372,MAX(0,E1372-I6*D1372)*IFERROR(INDEX($D$158:$D$161,MATCH(C1372,$A$158:$A$161,0)),0),0)</f>
        <v>0</v>
      </c>
      <c r="J1372" s="65">
        <f t="shared" si="146"/>
        <v>0</v>
      </c>
    </row>
    <row r="1373" spans="1:10" ht="15" customHeight="1" outlineLevel="1" x14ac:dyDescent="0.2">
      <c r="A1373" s="66" t="str">
        <f t="shared" si="143"/>
        <v>R035</v>
      </c>
      <c r="B1373" s="67">
        <f>$A$1424</f>
        <v>45383</v>
      </c>
      <c r="C1373" s="66" t="str">
        <f t="shared" si="144"/>
        <v>Senior Enterprise AE</v>
      </c>
      <c r="D1373" s="65">
        <f>SUMIFS(Fact_Quota!$D:$D,Fact_Quota!$A:$A,$A1373,Fact_Quota!$B:$B,"&gt;="&amp;B1373,Fact_Quota!$B:$B,"&lt;"&amp;EDATE(B1373,1))</f>
        <v>0</v>
      </c>
      <c r="E1373" s="65">
        <f>SUMIFS(Fact_Pipeline!$K:$K,Fact_Pipeline!$B:$B,$A1373,Fact_Pipeline!$J:$J,"Won",Fact_Pipeline!$I:$I,"&gt;="&amp;B1373,Fact_Pipeline!$I:$I,"&lt;"&amp;EDATE(B1373,1))</f>
        <v>0</v>
      </c>
      <c r="F1373" s="66" t="b">
        <f>AND(D1373&gt;0,IFERROR(E1373/D1373&gt;=G6,FALSE()))</f>
        <v>0</v>
      </c>
      <c r="G1373" s="65">
        <f t="shared" si="145"/>
        <v>0</v>
      </c>
      <c r="H1373" s="65">
        <f>IF(F1373,MAX(0,MIN(E1373,I6*D1373)-D1373)*IFERROR(INDEX($C$158:$C$161,MATCH(C1373,$A$158:$A$161,0)),0),0)</f>
        <v>0</v>
      </c>
      <c r="I1373" s="65">
        <f>IF(F1373,MAX(0,E1373-I6*D1373)*IFERROR(INDEX($D$158:$D$161,MATCH(C1373,$A$158:$A$161,0)),0),0)</f>
        <v>0</v>
      </c>
      <c r="J1373" s="65">
        <f t="shared" si="146"/>
        <v>0</v>
      </c>
    </row>
    <row r="1374" spans="1:10" ht="15" customHeight="1" outlineLevel="1" x14ac:dyDescent="0.2">
      <c r="A1374" s="66" t="str">
        <f t="shared" si="143"/>
        <v>R035</v>
      </c>
      <c r="B1374" s="67">
        <f>$A$1425</f>
        <v>45413</v>
      </c>
      <c r="C1374" s="66" t="str">
        <f t="shared" si="144"/>
        <v>Senior Enterprise AE</v>
      </c>
      <c r="D1374" s="65">
        <f>SUMIFS(Fact_Quota!$D:$D,Fact_Quota!$A:$A,$A1374,Fact_Quota!$B:$B,"&gt;="&amp;B1374,Fact_Quota!$B:$B,"&lt;"&amp;EDATE(B1374,1))</f>
        <v>0</v>
      </c>
      <c r="E1374" s="65">
        <f>SUMIFS(Fact_Pipeline!$K:$K,Fact_Pipeline!$B:$B,$A1374,Fact_Pipeline!$J:$J,"Won",Fact_Pipeline!$I:$I,"&gt;="&amp;B1374,Fact_Pipeline!$I:$I,"&lt;"&amp;EDATE(B1374,1))</f>
        <v>0</v>
      </c>
      <c r="F1374" s="66" t="b">
        <f>AND(D1374&gt;0,IFERROR(E1374/D1374&gt;=G6,FALSE()))</f>
        <v>0</v>
      </c>
      <c r="G1374" s="65">
        <f t="shared" si="145"/>
        <v>0</v>
      </c>
      <c r="H1374" s="65">
        <f>IF(F1374,MAX(0,MIN(E1374,I6*D1374)-D1374)*IFERROR(INDEX($C$158:$C$161,MATCH(C1374,$A$158:$A$161,0)),0),0)</f>
        <v>0</v>
      </c>
      <c r="I1374" s="65">
        <f>IF(F1374,MAX(0,E1374-I6*D1374)*IFERROR(INDEX($D$158:$D$161,MATCH(C1374,$A$158:$A$161,0)),0),0)</f>
        <v>0</v>
      </c>
      <c r="J1374" s="65">
        <f t="shared" si="146"/>
        <v>0</v>
      </c>
    </row>
    <row r="1375" spans="1:10" ht="15" customHeight="1" outlineLevel="1" x14ac:dyDescent="0.2">
      <c r="A1375" s="66" t="str">
        <f t="shared" si="143"/>
        <v>R035</v>
      </c>
      <c r="B1375" s="67">
        <f>$A$1426</f>
        <v>45444</v>
      </c>
      <c r="C1375" s="66" t="str">
        <f t="shared" si="144"/>
        <v>Senior Enterprise AE</v>
      </c>
      <c r="D1375" s="65">
        <f>SUMIFS(Fact_Quota!$D:$D,Fact_Quota!$A:$A,$A1375,Fact_Quota!$B:$B,"&gt;="&amp;B1375,Fact_Quota!$B:$B,"&lt;"&amp;EDATE(B1375,1))</f>
        <v>0</v>
      </c>
      <c r="E1375" s="65">
        <f>SUMIFS(Fact_Pipeline!$K:$K,Fact_Pipeline!$B:$B,$A1375,Fact_Pipeline!$J:$J,"Won",Fact_Pipeline!$I:$I,"&gt;="&amp;B1375,Fact_Pipeline!$I:$I,"&lt;"&amp;EDATE(B1375,1))</f>
        <v>0</v>
      </c>
      <c r="F1375" s="66" t="b">
        <f>AND(D1375&gt;0,IFERROR(E1375/D1375&gt;=G6,FALSE()))</f>
        <v>0</v>
      </c>
      <c r="G1375" s="65">
        <f t="shared" si="145"/>
        <v>0</v>
      </c>
      <c r="H1375" s="65">
        <f>IF(F1375,MAX(0,MIN(E1375,I6*D1375)-D1375)*IFERROR(INDEX($C$158:$C$161,MATCH(C1375,$A$158:$A$161,0)),0),0)</f>
        <v>0</v>
      </c>
      <c r="I1375" s="65">
        <f>IF(F1375,MAX(0,E1375-I6*D1375)*IFERROR(INDEX($D$158:$D$161,MATCH(C1375,$A$158:$A$161,0)),0),0)</f>
        <v>0</v>
      </c>
      <c r="J1375" s="65">
        <f t="shared" si="146"/>
        <v>0</v>
      </c>
    </row>
    <row r="1376" spans="1:10" ht="15" customHeight="1" outlineLevel="1" x14ac:dyDescent="0.2">
      <c r="A1376" s="66" t="str">
        <f t="shared" si="143"/>
        <v>R035</v>
      </c>
      <c r="B1376" s="67">
        <f>$A$1427</f>
        <v>45474</v>
      </c>
      <c r="C1376" s="66" t="str">
        <f t="shared" si="144"/>
        <v>Senior Enterprise AE</v>
      </c>
      <c r="D1376" s="65">
        <f>SUMIFS(Fact_Quota!$D:$D,Fact_Quota!$A:$A,$A1376,Fact_Quota!$B:$B,"&gt;="&amp;B1376,Fact_Quota!$B:$B,"&lt;"&amp;EDATE(B1376,1))</f>
        <v>12100</v>
      </c>
      <c r="E1376" s="65">
        <f>SUMIFS(Fact_Pipeline!$K:$K,Fact_Pipeline!$B:$B,$A1376,Fact_Pipeline!$J:$J,"Won",Fact_Pipeline!$I:$I,"&gt;="&amp;B1376,Fact_Pipeline!$I:$I,"&lt;"&amp;EDATE(B1376,1))</f>
        <v>0</v>
      </c>
      <c r="F1376" s="66" t="b">
        <f>AND(D1376&gt;0,IFERROR(E1376/D1376&gt;=G6,FALSE()))</f>
        <v>0</v>
      </c>
      <c r="G1376" s="65">
        <f t="shared" si="145"/>
        <v>0</v>
      </c>
      <c r="H1376" s="65">
        <f>IF(F1376,MAX(0,MIN(E1376,I6*D1376)-D1376)*IFERROR(INDEX($C$158:$C$161,MATCH(C1376,$A$158:$A$161,0)),0),0)</f>
        <v>0</v>
      </c>
      <c r="I1376" s="65">
        <f>IF(F1376,MAX(0,E1376-I6*D1376)*IFERROR(INDEX($D$158:$D$161,MATCH(C1376,$A$158:$A$161,0)),0),0)</f>
        <v>0</v>
      </c>
      <c r="J1376" s="65">
        <f t="shared" si="146"/>
        <v>0</v>
      </c>
    </row>
    <row r="1377" spans="1:10" ht="15" customHeight="1" outlineLevel="1" x14ac:dyDescent="0.2">
      <c r="A1377" s="66" t="str">
        <f t="shared" si="143"/>
        <v>R035</v>
      </c>
      <c r="B1377" s="67">
        <f>$A$1428</f>
        <v>45505</v>
      </c>
      <c r="C1377" s="66" t="str">
        <f t="shared" si="144"/>
        <v>Senior Enterprise AE</v>
      </c>
      <c r="D1377" s="65">
        <f>SUMIFS(Fact_Quota!$D:$D,Fact_Quota!$A:$A,$A1377,Fact_Quota!$B:$B,"&gt;="&amp;B1377,Fact_Quota!$B:$B,"&lt;"&amp;EDATE(B1377,1))</f>
        <v>25400</v>
      </c>
      <c r="E1377" s="65">
        <f>SUMIFS(Fact_Pipeline!$K:$K,Fact_Pipeline!$B:$B,$A1377,Fact_Pipeline!$J:$J,"Won",Fact_Pipeline!$I:$I,"&gt;="&amp;B1377,Fact_Pipeline!$I:$I,"&lt;"&amp;EDATE(B1377,1))</f>
        <v>0</v>
      </c>
      <c r="F1377" s="66" t="b">
        <f>AND(D1377&gt;0,IFERROR(E1377/D1377&gt;=G6,FALSE()))</f>
        <v>0</v>
      </c>
      <c r="G1377" s="65">
        <f t="shared" si="145"/>
        <v>0</v>
      </c>
      <c r="H1377" s="65">
        <f>IF(F1377,MAX(0,MIN(E1377,I6*D1377)-D1377)*IFERROR(INDEX($C$158:$C$161,MATCH(C1377,$A$158:$A$161,0)),0),0)</f>
        <v>0</v>
      </c>
      <c r="I1377" s="65">
        <f>IF(F1377,MAX(0,E1377-I6*D1377)*IFERROR(INDEX($D$158:$D$161,MATCH(C1377,$A$158:$A$161,0)),0),0)</f>
        <v>0</v>
      </c>
      <c r="J1377" s="65">
        <f t="shared" si="146"/>
        <v>0</v>
      </c>
    </row>
    <row r="1378" spans="1:10" ht="15" customHeight="1" outlineLevel="1" x14ac:dyDescent="0.2">
      <c r="A1378" s="66" t="str">
        <f t="shared" si="143"/>
        <v>R035</v>
      </c>
      <c r="B1378" s="67">
        <f>$A$1429</f>
        <v>45536</v>
      </c>
      <c r="C1378" s="66" t="str">
        <f t="shared" si="144"/>
        <v>Senior Enterprise AE</v>
      </c>
      <c r="D1378" s="65">
        <f>SUMIFS(Fact_Quota!$D:$D,Fact_Quota!$A:$A,$A1378,Fact_Quota!$B:$B,"&gt;="&amp;B1378,Fact_Quota!$B:$B,"&lt;"&amp;EDATE(B1378,1))</f>
        <v>35200</v>
      </c>
      <c r="E1378" s="65">
        <f>SUMIFS(Fact_Pipeline!$K:$K,Fact_Pipeline!$B:$B,$A1378,Fact_Pipeline!$J:$J,"Won",Fact_Pipeline!$I:$I,"&gt;="&amp;B1378,Fact_Pipeline!$I:$I,"&lt;"&amp;EDATE(B1378,1))</f>
        <v>0</v>
      </c>
      <c r="F1378" s="66" t="b">
        <f>AND(D1378&gt;0,IFERROR(E1378/D1378&gt;=G6,FALSE()))</f>
        <v>0</v>
      </c>
      <c r="G1378" s="65">
        <f t="shared" si="145"/>
        <v>0</v>
      </c>
      <c r="H1378" s="65">
        <f>IF(F1378,MAX(0,MIN(E1378,I6*D1378)-D1378)*IFERROR(INDEX($C$158:$C$161,MATCH(C1378,$A$158:$A$161,0)),0),0)</f>
        <v>0</v>
      </c>
      <c r="I1378" s="65">
        <f>IF(F1378,MAX(0,E1378-I6*D1378)*IFERROR(INDEX($D$158:$D$161,MATCH(C1378,$A$158:$A$161,0)),0),0)</f>
        <v>0</v>
      </c>
      <c r="J1378" s="65">
        <f t="shared" si="146"/>
        <v>0</v>
      </c>
    </row>
    <row r="1379" spans="1:10" ht="15" customHeight="1" outlineLevel="1" x14ac:dyDescent="0.2">
      <c r="A1379" s="66" t="str">
        <f t="shared" si="143"/>
        <v>R035</v>
      </c>
      <c r="B1379" s="67">
        <f>$A$1430</f>
        <v>45566</v>
      </c>
      <c r="C1379" s="66" t="str">
        <f t="shared" si="144"/>
        <v>Senior Enterprise AE</v>
      </c>
      <c r="D1379" s="65">
        <f>SUMIFS(Fact_Quota!$D:$D,Fact_Quota!$A:$A,$A1379,Fact_Quota!$B:$B,"&gt;="&amp;B1379,Fact_Quota!$B:$B,"&lt;"&amp;EDATE(B1379,1))</f>
        <v>46200</v>
      </c>
      <c r="E1379" s="65">
        <f>SUMIFS(Fact_Pipeline!$K:$K,Fact_Pipeline!$B:$B,$A1379,Fact_Pipeline!$J:$J,"Won",Fact_Pipeline!$I:$I,"&gt;="&amp;B1379,Fact_Pipeline!$I:$I,"&lt;"&amp;EDATE(B1379,1))</f>
        <v>0</v>
      </c>
      <c r="F1379" s="66" t="b">
        <f>AND(D1379&gt;0,IFERROR(E1379/D1379&gt;=G6,FALSE()))</f>
        <v>0</v>
      </c>
      <c r="G1379" s="65">
        <f t="shared" si="145"/>
        <v>0</v>
      </c>
      <c r="H1379" s="65">
        <f>IF(F1379,MAX(0,MIN(E1379,I6*D1379)-D1379)*IFERROR(INDEX($C$158:$C$161,MATCH(C1379,$A$158:$A$161,0)),0),0)</f>
        <v>0</v>
      </c>
      <c r="I1379" s="65">
        <f>IF(F1379,MAX(0,E1379-I6*D1379)*IFERROR(INDEX($D$158:$D$161,MATCH(C1379,$A$158:$A$161,0)),0),0)</f>
        <v>0</v>
      </c>
      <c r="J1379" s="65">
        <f t="shared" si="146"/>
        <v>0</v>
      </c>
    </row>
    <row r="1380" spans="1:10" ht="15" customHeight="1" outlineLevel="1" x14ac:dyDescent="0.2">
      <c r="A1380" s="66" t="str">
        <f t="shared" si="143"/>
        <v>R035</v>
      </c>
      <c r="B1380" s="67">
        <f>$A$1431</f>
        <v>45597</v>
      </c>
      <c r="C1380" s="66" t="str">
        <f t="shared" si="144"/>
        <v>Senior Enterprise AE</v>
      </c>
      <c r="D1380" s="65">
        <f>SUMIFS(Fact_Quota!$D:$D,Fact_Quota!$A:$A,$A1380,Fact_Quota!$B:$B,"&gt;="&amp;B1380,Fact_Quota!$B:$B,"&lt;"&amp;EDATE(B1380,1))</f>
        <v>45400</v>
      </c>
      <c r="E1380" s="65">
        <f>SUMIFS(Fact_Pipeline!$K:$K,Fact_Pipeline!$B:$B,$A1380,Fact_Pipeline!$J:$J,"Won",Fact_Pipeline!$I:$I,"&gt;="&amp;B1380,Fact_Pipeline!$I:$I,"&lt;"&amp;EDATE(B1380,1))</f>
        <v>0</v>
      </c>
      <c r="F1380" s="66" t="b">
        <f>AND(D1380&gt;0,IFERROR(E1380/D1380&gt;=G6,FALSE()))</f>
        <v>0</v>
      </c>
      <c r="G1380" s="65">
        <f t="shared" si="145"/>
        <v>0</v>
      </c>
      <c r="H1380" s="65">
        <f>IF(F1380,MAX(0,MIN(E1380,I6*D1380)-D1380)*IFERROR(INDEX($C$158:$C$161,MATCH(C1380,$A$158:$A$161,0)),0),0)</f>
        <v>0</v>
      </c>
      <c r="I1380" s="65">
        <f>IF(F1380,MAX(0,E1380-I6*D1380)*IFERROR(INDEX($D$158:$D$161,MATCH(C1380,$A$158:$A$161,0)),0),0)</f>
        <v>0</v>
      </c>
      <c r="J1380" s="65">
        <f t="shared" si="146"/>
        <v>0</v>
      </c>
    </row>
    <row r="1381" spans="1:10" ht="15" customHeight="1" outlineLevel="1" x14ac:dyDescent="0.2">
      <c r="A1381" s="66" t="str">
        <f t="shared" si="143"/>
        <v>R035</v>
      </c>
      <c r="B1381" s="67">
        <f>$A$1432</f>
        <v>45627</v>
      </c>
      <c r="C1381" s="66" t="str">
        <f t="shared" si="144"/>
        <v>Senior Enterprise AE</v>
      </c>
      <c r="D1381" s="65">
        <f>SUMIFS(Fact_Quota!$D:$D,Fact_Quota!$A:$A,$A1381,Fact_Quota!$B:$B,"&gt;="&amp;B1381,Fact_Quota!$B:$B,"&lt;"&amp;EDATE(B1381,1))</f>
        <v>50200</v>
      </c>
      <c r="E1381" s="65">
        <f>SUMIFS(Fact_Pipeline!$K:$K,Fact_Pipeline!$B:$B,$A1381,Fact_Pipeline!$J:$J,"Won",Fact_Pipeline!$I:$I,"&gt;="&amp;B1381,Fact_Pipeline!$I:$I,"&lt;"&amp;EDATE(B1381,1))</f>
        <v>0</v>
      </c>
      <c r="F1381" s="66" t="b">
        <f>AND(D1381&gt;0,IFERROR(E1381/D1381&gt;=G6,FALSE()))</f>
        <v>0</v>
      </c>
      <c r="G1381" s="65">
        <f t="shared" si="145"/>
        <v>0</v>
      </c>
      <c r="H1381" s="65">
        <f>IF(F1381,MAX(0,MIN(E1381,I6*D1381)-D1381)*IFERROR(INDEX($C$158:$C$161,MATCH(C1381,$A$158:$A$161,0)),0),0)</f>
        <v>0</v>
      </c>
      <c r="I1381" s="65">
        <f>IF(F1381,MAX(0,E1381-I6*D1381)*IFERROR(INDEX($D$158:$D$161,MATCH(C1381,$A$158:$A$161,0)),0),0)</f>
        <v>0</v>
      </c>
      <c r="J1381" s="65">
        <f t="shared" si="146"/>
        <v>0</v>
      </c>
    </row>
    <row r="1382" spans="1:10" ht="15" customHeight="1" outlineLevel="1" x14ac:dyDescent="0.2">
      <c r="A1382" s="66" t="str">
        <f t="shared" si="143"/>
        <v>R035</v>
      </c>
      <c r="B1382" s="67">
        <f>$A$1433</f>
        <v>45658</v>
      </c>
      <c r="C1382" s="66" t="str">
        <f t="shared" si="144"/>
        <v>Senior Enterprise AE</v>
      </c>
      <c r="D1382" s="65">
        <f>SUMIFS(Fact_Quota!$D:$D,Fact_Quota!$A:$A,$A1382,Fact_Quota!$B:$B,"&gt;="&amp;B1382,Fact_Quota!$B:$B,"&lt;"&amp;EDATE(B1382,1))</f>
        <v>48900</v>
      </c>
      <c r="E1382" s="65">
        <f>SUMIFS(Fact_Pipeline!$K:$K,Fact_Pipeline!$B:$B,$A1382,Fact_Pipeline!$J:$J,"Won",Fact_Pipeline!$I:$I,"&gt;="&amp;B1382,Fact_Pipeline!$I:$I,"&lt;"&amp;EDATE(B1382,1))</f>
        <v>170900</v>
      </c>
      <c r="F1382" s="66" t="b">
        <f>AND(D1382&gt;0,IFERROR(E1382/D1382&gt;=G6,FALSE()))</f>
        <v>1</v>
      </c>
      <c r="G1382" s="65">
        <f t="shared" si="145"/>
        <v>3423.0000000000005</v>
      </c>
      <c r="H1382" s="65">
        <f>IF(F1382,MAX(0,MIN(E1382,I6*D1382)-D1382)*IFERROR(INDEX($C$158:$C$161,MATCH(C1382,$A$158:$A$161,0)),0),0)</f>
        <v>2689.5</v>
      </c>
      <c r="I1382" s="65">
        <f>IF(F1382,MAX(0,E1382-I6*D1382)*IFERROR(INDEX($D$158:$D$161,MATCH(C1382,$A$158:$A$161,0)),0),0)</f>
        <v>15608</v>
      </c>
      <c r="J1382" s="65">
        <f t="shared" si="146"/>
        <v>21720.5</v>
      </c>
    </row>
    <row r="1383" spans="1:10" ht="15" customHeight="1" outlineLevel="1" x14ac:dyDescent="0.2">
      <c r="A1383" s="66" t="str">
        <f t="shared" si="143"/>
        <v>R035</v>
      </c>
      <c r="B1383" s="67">
        <f>$A$1434</f>
        <v>45689</v>
      </c>
      <c r="C1383" s="66" t="str">
        <f t="shared" si="144"/>
        <v>Senior Enterprise AE</v>
      </c>
      <c r="D1383" s="65">
        <f>SUMIFS(Fact_Quota!$D:$D,Fact_Quota!$A:$A,$A1383,Fact_Quota!$B:$B,"&gt;="&amp;B1383,Fact_Quota!$B:$B,"&lt;"&amp;EDATE(B1383,1))</f>
        <v>47900</v>
      </c>
      <c r="E1383" s="65">
        <f>SUMIFS(Fact_Pipeline!$K:$K,Fact_Pipeline!$B:$B,$A1383,Fact_Pipeline!$J:$J,"Won",Fact_Pipeline!$I:$I,"&gt;="&amp;B1383,Fact_Pipeline!$I:$I,"&lt;"&amp;EDATE(B1383,1))</f>
        <v>69800</v>
      </c>
      <c r="F1383" s="66" t="b">
        <f>AND(D1383&gt;0,IFERROR(E1383/D1383&gt;=G6,FALSE()))</f>
        <v>1</v>
      </c>
      <c r="G1383" s="65">
        <f t="shared" si="145"/>
        <v>3353.0000000000005</v>
      </c>
      <c r="H1383" s="65">
        <f>IF(F1383,MAX(0,MIN(E1383,I6*D1383)-D1383)*IFERROR(INDEX($C$158:$C$161,MATCH(C1383,$A$158:$A$161,0)),0),0)</f>
        <v>2409</v>
      </c>
      <c r="I1383" s="65">
        <f>IF(F1383,MAX(0,E1383-I6*D1383)*IFERROR(INDEX($D$158:$D$161,MATCH(C1383,$A$158:$A$161,0)),0),0)</f>
        <v>0</v>
      </c>
      <c r="J1383" s="65">
        <f t="shared" si="146"/>
        <v>5762</v>
      </c>
    </row>
    <row r="1384" spans="1:10" ht="15" customHeight="1" outlineLevel="1" x14ac:dyDescent="0.2">
      <c r="A1384" s="66" t="str">
        <f t="shared" si="143"/>
        <v>R035</v>
      </c>
      <c r="B1384" s="67">
        <f>$A$1435</f>
        <v>45717</v>
      </c>
      <c r="C1384" s="66" t="str">
        <f t="shared" si="144"/>
        <v>Senior Enterprise AE</v>
      </c>
      <c r="D1384" s="65">
        <f>SUMIFS(Fact_Quota!$D:$D,Fact_Quota!$A:$A,$A1384,Fact_Quota!$B:$B,"&gt;="&amp;B1384,Fact_Quota!$B:$B,"&lt;"&amp;EDATE(B1384,1))</f>
        <v>48400</v>
      </c>
      <c r="E1384" s="65">
        <f>SUMIFS(Fact_Pipeline!$K:$K,Fact_Pipeline!$B:$B,$A1384,Fact_Pipeline!$J:$J,"Won",Fact_Pipeline!$I:$I,"&gt;="&amp;B1384,Fact_Pipeline!$I:$I,"&lt;"&amp;EDATE(B1384,1))</f>
        <v>30500</v>
      </c>
      <c r="F1384" s="66" t="b">
        <f>AND(D1384&gt;0,IFERROR(E1384/D1384&gt;=G6,FALSE()))</f>
        <v>1</v>
      </c>
      <c r="G1384" s="65">
        <f t="shared" si="145"/>
        <v>2135</v>
      </c>
      <c r="H1384" s="65">
        <f>IF(F1384,MAX(0,MIN(E1384,I6*D1384)-D1384)*IFERROR(INDEX($C$158:$C$161,MATCH(C1384,$A$158:$A$161,0)),0),0)</f>
        <v>0</v>
      </c>
      <c r="I1384" s="65">
        <f>IF(F1384,MAX(0,E1384-I6*D1384)*IFERROR(INDEX($D$158:$D$161,MATCH(C1384,$A$158:$A$161,0)),0),0)</f>
        <v>0</v>
      </c>
      <c r="J1384" s="65">
        <f t="shared" si="146"/>
        <v>2135</v>
      </c>
    </row>
    <row r="1385" spans="1:10" ht="15" customHeight="1" outlineLevel="1" x14ac:dyDescent="0.2">
      <c r="A1385" s="66" t="str">
        <f t="shared" si="143"/>
        <v>R035</v>
      </c>
      <c r="B1385" s="67">
        <f>$A$1436</f>
        <v>45748</v>
      </c>
      <c r="C1385" s="66" t="str">
        <f t="shared" si="144"/>
        <v>Senior Enterprise AE</v>
      </c>
      <c r="D1385" s="65">
        <f>SUMIFS(Fact_Quota!$D:$D,Fact_Quota!$A:$A,$A1385,Fact_Quota!$B:$B,"&gt;="&amp;B1385,Fact_Quota!$B:$B,"&lt;"&amp;EDATE(B1385,1))</f>
        <v>46400</v>
      </c>
      <c r="E1385" s="65">
        <f>SUMIFS(Fact_Pipeline!$K:$K,Fact_Pipeline!$B:$B,$A1385,Fact_Pipeline!$J:$J,"Won",Fact_Pipeline!$I:$I,"&gt;="&amp;B1385,Fact_Pipeline!$I:$I,"&lt;"&amp;EDATE(B1385,1))</f>
        <v>22500</v>
      </c>
      <c r="F1385" s="66" t="b">
        <f>AND(D1385&gt;0,IFERROR(E1385/D1385&gt;=G6,FALSE()))</f>
        <v>0</v>
      </c>
      <c r="G1385" s="65">
        <f t="shared" si="145"/>
        <v>0</v>
      </c>
      <c r="H1385" s="65">
        <f>IF(F1385,MAX(0,MIN(E1385,I6*D1385)-D1385)*IFERROR(INDEX($C$158:$C$161,MATCH(C1385,$A$158:$A$161,0)),0),0)</f>
        <v>0</v>
      </c>
      <c r="I1385" s="65">
        <f>IF(F1385,MAX(0,E1385-I6*D1385)*IFERROR(INDEX($D$158:$D$161,MATCH(C1385,$A$158:$A$161,0)),0),0)</f>
        <v>0</v>
      </c>
      <c r="J1385" s="65">
        <f t="shared" si="146"/>
        <v>0</v>
      </c>
    </row>
    <row r="1386" spans="1:10" ht="15" customHeight="1" outlineLevel="1" x14ac:dyDescent="0.2">
      <c r="A1386" s="66" t="str">
        <f t="shared" si="143"/>
        <v>R035</v>
      </c>
      <c r="B1386" s="67">
        <f>$A$1437</f>
        <v>45778</v>
      </c>
      <c r="C1386" s="66" t="str">
        <f t="shared" si="144"/>
        <v>Senior Enterprise AE</v>
      </c>
      <c r="D1386" s="65">
        <f>SUMIFS(Fact_Quota!$D:$D,Fact_Quota!$A:$A,$A1386,Fact_Quota!$B:$B,"&gt;="&amp;B1386,Fact_Quota!$B:$B,"&lt;"&amp;EDATE(B1386,1))</f>
        <v>51500</v>
      </c>
      <c r="E1386" s="65">
        <f>SUMIFS(Fact_Pipeline!$K:$K,Fact_Pipeline!$B:$B,$A1386,Fact_Pipeline!$J:$J,"Won",Fact_Pipeline!$I:$I,"&gt;="&amp;B1386,Fact_Pipeline!$I:$I,"&lt;"&amp;EDATE(B1386,1))</f>
        <v>71800</v>
      </c>
      <c r="F1386" s="66" t="b">
        <f>AND(D1386&gt;0,IFERROR(E1386/D1386&gt;=G6,FALSE()))</f>
        <v>1</v>
      </c>
      <c r="G1386" s="65">
        <f t="shared" si="145"/>
        <v>3605.0000000000005</v>
      </c>
      <c r="H1386" s="65">
        <f>IF(F1386,MAX(0,MIN(E1386,I6*D1386)-D1386)*IFERROR(INDEX($C$158:$C$161,MATCH(C1386,$A$158:$A$161,0)),0),0)</f>
        <v>2233</v>
      </c>
      <c r="I1386" s="65">
        <f>IF(F1386,MAX(0,E1386-I6*D1386)*IFERROR(INDEX($D$158:$D$161,MATCH(C1386,$A$158:$A$161,0)),0),0)</f>
        <v>0</v>
      </c>
      <c r="J1386" s="65">
        <f t="shared" si="146"/>
        <v>5838</v>
      </c>
    </row>
    <row r="1387" spans="1:10" ht="15" customHeight="1" outlineLevel="1" x14ac:dyDescent="0.2">
      <c r="A1387" s="66" t="str">
        <f t="shared" si="143"/>
        <v>R035</v>
      </c>
      <c r="B1387" s="67">
        <f>$A$1438</f>
        <v>45809</v>
      </c>
      <c r="C1387" s="66" t="str">
        <f t="shared" si="144"/>
        <v>Senior Enterprise AE</v>
      </c>
      <c r="D1387" s="65">
        <f>SUMIFS(Fact_Quota!$D:$D,Fact_Quota!$A:$A,$A1387,Fact_Quota!$B:$B,"&gt;="&amp;B1387,Fact_Quota!$B:$B,"&lt;"&amp;EDATE(B1387,1))</f>
        <v>48200</v>
      </c>
      <c r="E1387" s="65">
        <f>SUMIFS(Fact_Pipeline!$K:$K,Fact_Pipeline!$B:$B,$A1387,Fact_Pipeline!$J:$J,"Won",Fact_Pipeline!$I:$I,"&gt;="&amp;B1387,Fact_Pipeline!$I:$I,"&lt;"&amp;EDATE(B1387,1))</f>
        <v>64600</v>
      </c>
      <c r="F1387" s="66" t="b">
        <f>AND(D1387&gt;0,IFERROR(E1387/D1387&gt;=G6,FALSE()))</f>
        <v>1</v>
      </c>
      <c r="G1387" s="65">
        <f t="shared" si="145"/>
        <v>3374.0000000000005</v>
      </c>
      <c r="H1387" s="65">
        <f>IF(F1387,MAX(0,MIN(E1387,I6*D1387)-D1387)*IFERROR(INDEX($C$158:$C$161,MATCH(C1387,$A$158:$A$161,0)),0),0)</f>
        <v>1804</v>
      </c>
      <c r="I1387" s="65">
        <f>IF(F1387,MAX(0,E1387-I6*D1387)*IFERROR(INDEX($D$158:$D$161,MATCH(C1387,$A$158:$A$161,0)),0),0)</f>
        <v>0</v>
      </c>
      <c r="J1387" s="65">
        <f t="shared" si="146"/>
        <v>5178</v>
      </c>
    </row>
    <row r="1388" spans="1:10" ht="15" customHeight="1" outlineLevel="1" x14ac:dyDescent="0.2">
      <c r="A1388" s="66" t="str">
        <f t="shared" si="143"/>
        <v>R035</v>
      </c>
      <c r="B1388" s="67">
        <f>$A$1439</f>
        <v>45839</v>
      </c>
      <c r="C1388" s="66" t="str">
        <f t="shared" si="144"/>
        <v>Senior Enterprise AE</v>
      </c>
      <c r="D1388" s="65">
        <f>SUMIFS(Fact_Quota!$D:$D,Fact_Quota!$A:$A,$A1388,Fact_Quota!$B:$B,"&gt;="&amp;B1388,Fact_Quota!$B:$B,"&lt;"&amp;EDATE(B1388,1))</f>
        <v>48200</v>
      </c>
      <c r="E1388" s="65">
        <f>SUMIFS(Fact_Pipeline!$K:$K,Fact_Pipeline!$B:$B,$A1388,Fact_Pipeline!$J:$J,"Won",Fact_Pipeline!$I:$I,"&gt;="&amp;B1388,Fact_Pipeline!$I:$I,"&lt;"&amp;EDATE(B1388,1))</f>
        <v>0</v>
      </c>
      <c r="F1388" s="66" t="b">
        <f>AND(D1388&gt;0,IFERROR(E1388/D1388&gt;=G6,FALSE()))</f>
        <v>0</v>
      </c>
      <c r="G1388" s="65">
        <f t="shared" si="145"/>
        <v>0</v>
      </c>
      <c r="H1388" s="65">
        <f>IF(F1388,MAX(0,MIN(E1388,I6*D1388)-D1388)*IFERROR(INDEX($C$158:$C$161,MATCH(C1388,$A$158:$A$161,0)),0),0)</f>
        <v>0</v>
      </c>
      <c r="I1388" s="65">
        <f>IF(F1388,MAX(0,E1388-I6*D1388)*IFERROR(INDEX($D$158:$D$161,MATCH(C1388,$A$158:$A$161,0)),0),0)</f>
        <v>0</v>
      </c>
      <c r="J1388" s="65">
        <f t="shared" si="146"/>
        <v>0</v>
      </c>
    </row>
    <row r="1389" spans="1:10" ht="15" customHeight="1" outlineLevel="1" x14ac:dyDescent="0.2">
      <c r="A1389" s="66" t="str">
        <f t="shared" si="143"/>
        <v>R035</v>
      </c>
      <c r="B1389" s="67">
        <f>$A$1440</f>
        <v>45870</v>
      </c>
      <c r="C1389" s="66" t="str">
        <f t="shared" si="144"/>
        <v>Senior Enterprise AE</v>
      </c>
      <c r="D1389" s="65">
        <f>SUMIFS(Fact_Quota!$D:$D,Fact_Quota!$A:$A,$A1389,Fact_Quota!$B:$B,"&gt;="&amp;B1389,Fact_Quota!$B:$B,"&lt;"&amp;EDATE(B1389,1))</f>
        <v>49000</v>
      </c>
      <c r="E1389" s="65">
        <f>SUMIFS(Fact_Pipeline!$K:$K,Fact_Pipeline!$B:$B,$A1389,Fact_Pipeline!$J:$J,"Won",Fact_Pipeline!$I:$I,"&gt;="&amp;B1389,Fact_Pipeline!$I:$I,"&lt;"&amp;EDATE(B1389,1))</f>
        <v>289100</v>
      </c>
      <c r="F1389" s="66" t="b">
        <f>AND(D1389&gt;0,IFERROR(E1389/D1389&gt;=G6,FALSE()))</f>
        <v>1</v>
      </c>
      <c r="G1389" s="65">
        <f t="shared" si="145"/>
        <v>3430.0000000000005</v>
      </c>
      <c r="H1389" s="65">
        <f>IF(F1389,MAX(0,MIN(E1389,I6*D1389)-D1389)*IFERROR(INDEX($C$158:$C$161,MATCH(C1389,$A$158:$A$161,0)),0),0)</f>
        <v>2695</v>
      </c>
      <c r="I1389" s="65">
        <f>IF(F1389,MAX(0,E1389-I6*D1389)*IFERROR(INDEX($D$158:$D$161,MATCH(C1389,$A$158:$A$161,0)),0),0)</f>
        <v>34496</v>
      </c>
      <c r="J1389" s="65">
        <f t="shared" si="146"/>
        <v>40621</v>
      </c>
    </row>
    <row r="1390" spans="1:10" ht="15" customHeight="1" outlineLevel="1" x14ac:dyDescent="0.2">
      <c r="A1390" s="66" t="str">
        <f t="shared" si="143"/>
        <v>R035</v>
      </c>
      <c r="B1390" s="67">
        <f>$A$1441</f>
        <v>45901</v>
      </c>
      <c r="C1390" s="66" t="str">
        <f t="shared" si="144"/>
        <v>Senior Enterprise AE</v>
      </c>
      <c r="D1390" s="65">
        <f>SUMIFS(Fact_Quota!$D:$D,Fact_Quota!$A:$A,$A1390,Fact_Quota!$B:$B,"&gt;="&amp;B1390,Fact_Quota!$B:$B,"&lt;"&amp;EDATE(B1390,1))</f>
        <v>48700</v>
      </c>
      <c r="E1390" s="65">
        <f>SUMIFS(Fact_Pipeline!$K:$K,Fact_Pipeline!$B:$B,$A1390,Fact_Pipeline!$J:$J,"Won",Fact_Pipeline!$I:$I,"&gt;="&amp;B1390,Fact_Pipeline!$I:$I,"&lt;"&amp;EDATE(B1390,1))</f>
        <v>0</v>
      </c>
      <c r="F1390" s="66" t="b">
        <f>AND(D1390&gt;0,IFERROR(E1390/D1390&gt;=G6,FALSE()))</f>
        <v>0</v>
      </c>
      <c r="G1390" s="65">
        <f t="shared" si="145"/>
        <v>0</v>
      </c>
      <c r="H1390" s="65">
        <f>IF(F1390,MAX(0,MIN(E1390,I6*D1390)-D1390)*IFERROR(INDEX($C$158:$C$161,MATCH(C1390,$A$158:$A$161,0)),0),0)</f>
        <v>0</v>
      </c>
      <c r="I1390" s="65">
        <f>IF(F1390,MAX(0,E1390-I6*D1390)*IFERROR(INDEX($D$158:$D$161,MATCH(C1390,$A$158:$A$161,0)),0),0)</f>
        <v>0</v>
      </c>
      <c r="J1390" s="65">
        <f t="shared" si="146"/>
        <v>0</v>
      </c>
    </row>
    <row r="1391" spans="1:10" ht="15" customHeight="1" outlineLevel="1" x14ac:dyDescent="0.2">
      <c r="A1391" s="66" t="str">
        <f t="shared" si="143"/>
        <v>R035</v>
      </c>
      <c r="B1391" s="67">
        <f>$A$1442</f>
        <v>45931</v>
      </c>
      <c r="C1391" s="66" t="str">
        <f t="shared" si="144"/>
        <v>Senior Enterprise AE</v>
      </c>
      <c r="D1391" s="65">
        <f>SUMIFS(Fact_Quota!$D:$D,Fact_Quota!$A:$A,$A1391,Fact_Quota!$B:$B,"&gt;="&amp;B1391,Fact_Quota!$B:$B,"&lt;"&amp;EDATE(B1391,1))</f>
        <v>48300</v>
      </c>
      <c r="E1391" s="65">
        <f>SUMIFS(Fact_Pipeline!$K:$K,Fact_Pipeline!$B:$B,$A1391,Fact_Pipeline!$J:$J,"Won",Fact_Pipeline!$I:$I,"&gt;="&amp;B1391,Fact_Pipeline!$I:$I,"&lt;"&amp;EDATE(B1391,1))</f>
        <v>50500</v>
      </c>
      <c r="F1391" s="66" t="b">
        <f>AND(D1391&gt;0,IFERROR(E1391/D1391&gt;=G6,FALSE()))</f>
        <v>1</v>
      </c>
      <c r="G1391" s="65">
        <f t="shared" si="145"/>
        <v>3381.0000000000005</v>
      </c>
      <c r="H1391" s="65">
        <f>IF(F1391,MAX(0,MIN(E1391,I6*D1391)-D1391)*IFERROR(INDEX($C$158:$C$161,MATCH(C1391,$A$158:$A$161,0)),0),0)</f>
        <v>242</v>
      </c>
      <c r="I1391" s="65">
        <f>IF(F1391,MAX(0,E1391-I6*D1391)*IFERROR(INDEX($D$158:$D$161,MATCH(C1391,$A$158:$A$161,0)),0),0)</f>
        <v>0</v>
      </c>
      <c r="J1391" s="65">
        <f t="shared" si="146"/>
        <v>3623.0000000000005</v>
      </c>
    </row>
    <row r="1392" spans="1:10" ht="15" customHeight="1" outlineLevel="1" x14ac:dyDescent="0.2">
      <c r="A1392" s="66" t="str">
        <f t="shared" si="143"/>
        <v>R035</v>
      </c>
      <c r="B1392" s="67">
        <f>$A$1443</f>
        <v>45962</v>
      </c>
      <c r="C1392" s="66" t="str">
        <f t="shared" si="144"/>
        <v>Senior Enterprise AE</v>
      </c>
      <c r="D1392" s="65">
        <f>SUMIFS(Fact_Quota!$D:$D,Fact_Quota!$A:$A,$A1392,Fact_Quota!$B:$B,"&gt;="&amp;B1392,Fact_Quota!$B:$B,"&lt;"&amp;EDATE(B1392,1))</f>
        <v>46900</v>
      </c>
      <c r="E1392" s="65">
        <f>SUMIFS(Fact_Pipeline!$K:$K,Fact_Pipeline!$B:$B,$A1392,Fact_Pipeline!$J:$J,"Won",Fact_Pipeline!$I:$I,"&gt;="&amp;B1392,Fact_Pipeline!$I:$I,"&lt;"&amp;EDATE(B1392,1))</f>
        <v>41800</v>
      </c>
      <c r="F1392" s="66" t="b">
        <f>AND(D1392&gt;0,IFERROR(E1392/D1392&gt;=G6,FALSE()))</f>
        <v>1</v>
      </c>
      <c r="G1392" s="65">
        <f t="shared" si="145"/>
        <v>2926.0000000000005</v>
      </c>
      <c r="H1392" s="65">
        <f>IF(F1392,MAX(0,MIN(E1392,I6*D1392)-D1392)*IFERROR(INDEX($C$158:$C$161,MATCH(C1392,$A$158:$A$161,0)),0),0)</f>
        <v>0</v>
      </c>
      <c r="I1392" s="65">
        <f>IF(F1392,MAX(0,E1392-I6*D1392)*IFERROR(INDEX($D$158:$D$161,MATCH(C1392,$A$158:$A$161,0)),0),0)</f>
        <v>0</v>
      </c>
      <c r="J1392" s="65">
        <f t="shared" si="146"/>
        <v>2926.0000000000005</v>
      </c>
    </row>
    <row r="1393" spans="1:10" ht="15" customHeight="1" outlineLevel="1" x14ac:dyDescent="0.2">
      <c r="A1393" s="66" t="str">
        <f t="shared" si="143"/>
        <v>R035</v>
      </c>
      <c r="B1393" s="67">
        <f>$A$1444</f>
        <v>45992</v>
      </c>
      <c r="C1393" s="66" t="str">
        <f t="shared" si="144"/>
        <v>Senior Enterprise AE</v>
      </c>
      <c r="D1393" s="65">
        <f>SUMIFS(Fact_Quota!$D:$D,Fact_Quota!$A:$A,$A1393,Fact_Quota!$B:$B,"&gt;="&amp;B1393,Fact_Quota!$B:$B,"&lt;"&amp;EDATE(B1393,1))</f>
        <v>48700</v>
      </c>
      <c r="E1393" s="65">
        <f>SUMIFS(Fact_Pipeline!$K:$K,Fact_Pipeline!$B:$B,$A1393,Fact_Pipeline!$J:$J,"Won",Fact_Pipeline!$I:$I,"&gt;="&amp;B1393,Fact_Pipeline!$I:$I,"&lt;"&amp;EDATE(B1393,1))</f>
        <v>34800</v>
      </c>
      <c r="F1393" s="66" t="b">
        <f>AND(D1393&gt;0,IFERROR(E1393/D1393&gt;=G6,FALSE()))</f>
        <v>1</v>
      </c>
      <c r="G1393" s="65">
        <f t="shared" si="145"/>
        <v>2436.0000000000005</v>
      </c>
      <c r="H1393" s="65">
        <f>IF(F1393,MAX(0,MIN(E1393,I6*D1393)-D1393)*IFERROR(INDEX($C$158:$C$161,MATCH(C1393,$A$158:$A$161,0)),0),0)</f>
        <v>0</v>
      </c>
      <c r="I1393" s="65">
        <f>IF(F1393,MAX(0,E1393-I6*D1393)*IFERROR(INDEX($D$158:$D$161,MATCH(C1393,$A$158:$A$161,0)),0),0)</f>
        <v>0</v>
      </c>
      <c r="J1393" s="65">
        <f t="shared" si="146"/>
        <v>2436.0000000000005</v>
      </c>
    </row>
    <row r="1394" spans="1:10" ht="15" customHeight="1" outlineLevel="1" x14ac:dyDescent="0.2">
      <c r="A1394" s="63" t="str">
        <f t="shared" ref="A1394:A1417" si="147">$A$214</f>
        <v>R044</v>
      </c>
      <c r="B1394" s="64">
        <f>$A$1421</f>
        <v>45292</v>
      </c>
      <c r="C1394" s="63" t="str">
        <f t="shared" ref="C1394:C1417" si="148">$C$214</f>
        <v>Senior Enterprise AE</v>
      </c>
      <c r="D1394" s="62">
        <f>SUMIFS(Fact_Quota!$D:$D,Fact_Quota!$A:$A,$A1394,Fact_Quota!$B:$B,"&gt;="&amp;B1394,Fact_Quota!$B:$B,"&lt;"&amp;EDATE(B1394,1))</f>
        <v>24700</v>
      </c>
      <c r="E1394" s="62">
        <f>SUMIFS(Fact_Pipeline!$K:$K,Fact_Pipeline!$B:$B,$A1394,Fact_Pipeline!$J:$J,"Won",Fact_Pipeline!$I:$I,"&gt;="&amp;B1394,Fact_Pipeline!$I:$I,"&lt;"&amp;EDATE(B1394,1))</f>
        <v>0</v>
      </c>
      <c r="F1394" s="63" t="b">
        <f>AND(D1394&gt;0,IFERROR(E1394/D1394&gt;=G6,FALSE()))</f>
        <v>0</v>
      </c>
      <c r="G1394" s="62">
        <f t="shared" si="145"/>
        <v>0</v>
      </c>
      <c r="H1394" s="62">
        <f>IF(F1394,MAX(0,MIN(E1394,I6*D1394)-D1394)*IFERROR(INDEX($C$158:$C$161,MATCH(C1394,$A$158:$A$161,0)),0),0)</f>
        <v>0</v>
      </c>
      <c r="I1394" s="62">
        <f>IF(F1394,MAX(0,E1394-I6*D1394)*IFERROR(INDEX($D$158:$D$161,MATCH(C1394,$A$158:$A$161,0)),0),0)</f>
        <v>0</v>
      </c>
      <c r="J1394" s="62">
        <f t="shared" si="146"/>
        <v>0</v>
      </c>
    </row>
    <row r="1395" spans="1:10" ht="15" customHeight="1" outlineLevel="1" x14ac:dyDescent="0.2">
      <c r="A1395" s="63" t="str">
        <f t="shared" si="147"/>
        <v>R044</v>
      </c>
      <c r="B1395" s="64">
        <f>$A$1422</f>
        <v>45323</v>
      </c>
      <c r="C1395" s="63" t="str">
        <f t="shared" si="148"/>
        <v>Senior Enterprise AE</v>
      </c>
      <c r="D1395" s="62">
        <f>SUMIFS(Fact_Quota!$D:$D,Fact_Quota!$A:$A,$A1395,Fact_Quota!$B:$B,"&gt;="&amp;B1395,Fact_Quota!$B:$B,"&lt;"&amp;EDATE(B1395,1))</f>
        <v>34400</v>
      </c>
      <c r="E1395" s="62">
        <f>SUMIFS(Fact_Pipeline!$K:$K,Fact_Pipeline!$B:$B,$A1395,Fact_Pipeline!$J:$J,"Won",Fact_Pipeline!$I:$I,"&gt;="&amp;B1395,Fact_Pipeline!$I:$I,"&lt;"&amp;EDATE(B1395,1))</f>
        <v>0</v>
      </c>
      <c r="F1395" s="63" t="b">
        <f>AND(D1395&gt;0,IFERROR(E1395/D1395&gt;=G6,FALSE()))</f>
        <v>0</v>
      </c>
      <c r="G1395" s="62">
        <f t="shared" si="145"/>
        <v>0</v>
      </c>
      <c r="H1395" s="62">
        <f>IF(F1395,MAX(0,MIN(E1395,I6*D1395)-D1395)*IFERROR(INDEX($C$158:$C$161,MATCH(C1395,$A$158:$A$161,0)),0),0)</f>
        <v>0</v>
      </c>
      <c r="I1395" s="62">
        <f>IF(F1395,MAX(0,E1395-I6*D1395)*IFERROR(INDEX($D$158:$D$161,MATCH(C1395,$A$158:$A$161,0)),0),0)</f>
        <v>0</v>
      </c>
      <c r="J1395" s="62">
        <f t="shared" si="146"/>
        <v>0</v>
      </c>
    </row>
    <row r="1396" spans="1:10" ht="15" customHeight="1" outlineLevel="1" x14ac:dyDescent="0.2">
      <c r="A1396" s="63" t="str">
        <f t="shared" si="147"/>
        <v>R044</v>
      </c>
      <c r="B1396" s="64">
        <f>$A$1423</f>
        <v>45352</v>
      </c>
      <c r="C1396" s="63" t="str">
        <f t="shared" si="148"/>
        <v>Senior Enterprise AE</v>
      </c>
      <c r="D1396" s="62">
        <f>SUMIFS(Fact_Quota!$D:$D,Fact_Quota!$A:$A,$A1396,Fact_Quota!$B:$B,"&gt;="&amp;B1396,Fact_Quota!$B:$B,"&lt;"&amp;EDATE(B1396,1))</f>
        <v>48400</v>
      </c>
      <c r="E1396" s="62">
        <f>SUMIFS(Fact_Pipeline!$K:$K,Fact_Pipeline!$B:$B,$A1396,Fact_Pipeline!$J:$J,"Won",Fact_Pipeline!$I:$I,"&gt;="&amp;B1396,Fact_Pipeline!$I:$I,"&lt;"&amp;EDATE(B1396,1))</f>
        <v>0</v>
      </c>
      <c r="F1396" s="63" t="b">
        <f>AND(D1396&gt;0,IFERROR(E1396/D1396&gt;=G6,FALSE()))</f>
        <v>0</v>
      </c>
      <c r="G1396" s="62">
        <f t="shared" si="145"/>
        <v>0</v>
      </c>
      <c r="H1396" s="62">
        <f>IF(F1396,MAX(0,MIN(E1396,I6*D1396)-D1396)*IFERROR(INDEX($C$158:$C$161,MATCH(C1396,$A$158:$A$161,0)),0),0)</f>
        <v>0</v>
      </c>
      <c r="I1396" s="62">
        <f>IF(F1396,MAX(0,E1396-I6*D1396)*IFERROR(INDEX($D$158:$D$161,MATCH(C1396,$A$158:$A$161,0)),0),0)</f>
        <v>0</v>
      </c>
      <c r="J1396" s="62">
        <f t="shared" si="146"/>
        <v>0</v>
      </c>
    </row>
    <row r="1397" spans="1:10" ht="15" customHeight="1" outlineLevel="1" x14ac:dyDescent="0.2">
      <c r="A1397" s="63" t="str">
        <f t="shared" si="147"/>
        <v>R044</v>
      </c>
      <c r="B1397" s="64">
        <f>$A$1424</f>
        <v>45383</v>
      </c>
      <c r="C1397" s="63" t="str">
        <f t="shared" si="148"/>
        <v>Senior Enterprise AE</v>
      </c>
      <c r="D1397" s="62">
        <f>SUMIFS(Fact_Quota!$D:$D,Fact_Quota!$A:$A,$A1397,Fact_Quota!$B:$B,"&gt;="&amp;B1397,Fact_Quota!$B:$B,"&lt;"&amp;EDATE(B1397,1))</f>
        <v>49300</v>
      </c>
      <c r="E1397" s="62">
        <f>SUMIFS(Fact_Pipeline!$K:$K,Fact_Pipeline!$B:$B,$A1397,Fact_Pipeline!$J:$J,"Won",Fact_Pipeline!$I:$I,"&gt;="&amp;B1397,Fact_Pipeline!$I:$I,"&lt;"&amp;EDATE(B1397,1))</f>
        <v>0</v>
      </c>
      <c r="F1397" s="63" t="b">
        <f>AND(D1397&gt;0,IFERROR(E1397/D1397&gt;=G6,FALSE()))</f>
        <v>0</v>
      </c>
      <c r="G1397" s="62">
        <f t="shared" si="145"/>
        <v>0</v>
      </c>
      <c r="H1397" s="62">
        <f>IF(F1397,MAX(0,MIN(E1397,I6*D1397)-D1397)*IFERROR(INDEX($C$158:$C$161,MATCH(C1397,$A$158:$A$161,0)),0),0)</f>
        <v>0</v>
      </c>
      <c r="I1397" s="62">
        <f>IF(F1397,MAX(0,E1397-I6*D1397)*IFERROR(INDEX($D$158:$D$161,MATCH(C1397,$A$158:$A$161,0)),0),0)</f>
        <v>0</v>
      </c>
      <c r="J1397" s="62">
        <f t="shared" si="146"/>
        <v>0</v>
      </c>
    </row>
    <row r="1398" spans="1:10" ht="15" customHeight="1" outlineLevel="1" x14ac:dyDescent="0.2">
      <c r="A1398" s="63" t="str">
        <f t="shared" si="147"/>
        <v>R044</v>
      </c>
      <c r="B1398" s="64">
        <f>$A$1425</f>
        <v>45413</v>
      </c>
      <c r="C1398" s="63" t="str">
        <f t="shared" si="148"/>
        <v>Senior Enterprise AE</v>
      </c>
      <c r="D1398" s="62">
        <f>SUMIFS(Fact_Quota!$D:$D,Fact_Quota!$A:$A,$A1398,Fact_Quota!$B:$B,"&gt;="&amp;B1398,Fact_Quota!$B:$B,"&lt;"&amp;EDATE(B1398,1))</f>
        <v>48100</v>
      </c>
      <c r="E1398" s="62">
        <f>SUMIFS(Fact_Pipeline!$K:$K,Fact_Pipeline!$B:$B,$A1398,Fact_Pipeline!$J:$J,"Won",Fact_Pipeline!$I:$I,"&gt;="&amp;B1398,Fact_Pipeline!$I:$I,"&lt;"&amp;EDATE(B1398,1))</f>
        <v>0</v>
      </c>
      <c r="F1398" s="63" t="b">
        <f>AND(D1398&gt;0,IFERROR(E1398/D1398&gt;=G6,FALSE()))</f>
        <v>0</v>
      </c>
      <c r="G1398" s="62">
        <f t="shared" si="145"/>
        <v>0</v>
      </c>
      <c r="H1398" s="62">
        <f>IF(F1398,MAX(0,MIN(E1398,I6*D1398)-D1398)*IFERROR(INDEX($C$158:$C$161,MATCH(C1398,$A$158:$A$161,0)),0),0)</f>
        <v>0</v>
      </c>
      <c r="I1398" s="62">
        <f>IF(F1398,MAX(0,E1398-I6*D1398)*IFERROR(INDEX($D$158:$D$161,MATCH(C1398,$A$158:$A$161,0)),0),0)</f>
        <v>0</v>
      </c>
      <c r="J1398" s="62">
        <f t="shared" si="146"/>
        <v>0</v>
      </c>
    </row>
    <row r="1399" spans="1:10" ht="15" customHeight="1" outlineLevel="1" x14ac:dyDescent="0.2">
      <c r="A1399" s="63" t="str">
        <f t="shared" si="147"/>
        <v>R044</v>
      </c>
      <c r="B1399" s="64">
        <f>$A$1426</f>
        <v>45444</v>
      </c>
      <c r="C1399" s="63" t="str">
        <f t="shared" si="148"/>
        <v>Senior Enterprise AE</v>
      </c>
      <c r="D1399" s="62">
        <f>SUMIFS(Fact_Quota!$D:$D,Fact_Quota!$A:$A,$A1399,Fact_Quota!$B:$B,"&gt;="&amp;B1399,Fact_Quota!$B:$B,"&lt;"&amp;EDATE(B1399,1))</f>
        <v>49500</v>
      </c>
      <c r="E1399" s="62">
        <f>SUMIFS(Fact_Pipeline!$K:$K,Fact_Pipeline!$B:$B,$A1399,Fact_Pipeline!$J:$J,"Won",Fact_Pipeline!$I:$I,"&gt;="&amp;B1399,Fact_Pipeline!$I:$I,"&lt;"&amp;EDATE(B1399,1))</f>
        <v>60900</v>
      </c>
      <c r="F1399" s="63" t="b">
        <f>AND(D1399&gt;0,IFERROR(E1399/D1399&gt;=G6,FALSE()))</f>
        <v>1</v>
      </c>
      <c r="G1399" s="62">
        <f t="shared" si="145"/>
        <v>3465.0000000000005</v>
      </c>
      <c r="H1399" s="62">
        <f>IF(F1399,MAX(0,MIN(E1399,I6*D1399)-D1399)*IFERROR(INDEX($C$158:$C$161,MATCH(C1399,$A$158:$A$161,0)),0),0)</f>
        <v>1254</v>
      </c>
      <c r="I1399" s="62">
        <f>IF(F1399,MAX(0,E1399-I6*D1399)*IFERROR(INDEX($D$158:$D$161,MATCH(C1399,$A$158:$A$161,0)),0),0)</f>
        <v>0</v>
      </c>
      <c r="J1399" s="62">
        <f t="shared" si="146"/>
        <v>4719</v>
      </c>
    </row>
    <row r="1400" spans="1:10" ht="15" customHeight="1" outlineLevel="1" x14ac:dyDescent="0.2">
      <c r="A1400" s="63" t="str">
        <f t="shared" si="147"/>
        <v>R044</v>
      </c>
      <c r="B1400" s="64">
        <f>$A$1427</f>
        <v>45474</v>
      </c>
      <c r="C1400" s="63" t="str">
        <f t="shared" si="148"/>
        <v>Senior Enterprise AE</v>
      </c>
      <c r="D1400" s="62">
        <f>SUMIFS(Fact_Quota!$D:$D,Fact_Quota!$A:$A,$A1400,Fact_Quota!$B:$B,"&gt;="&amp;B1400,Fact_Quota!$B:$B,"&lt;"&amp;EDATE(B1400,1))</f>
        <v>47300</v>
      </c>
      <c r="E1400" s="62">
        <f>SUMIFS(Fact_Pipeline!$K:$K,Fact_Pipeline!$B:$B,$A1400,Fact_Pipeline!$J:$J,"Won",Fact_Pipeline!$I:$I,"&gt;="&amp;B1400,Fact_Pipeline!$I:$I,"&lt;"&amp;EDATE(B1400,1))</f>
        <v>169900</v>
      </c>
      <c r="F1400" s="63" t="b">
        <f>AND(D1400&gt;0,IFERROR(E1400/D1400&gt;=G6,FALSE()))</f>
        <v>1</v>
      </c>
      <c r="G1400" s="62">
        <f t="shared" si="145"/>
        <v>3311.0000000000005</v>
      </c>
      <c r="H1400" s="62">
        <f>IF(F1400,MAX(0,MIN(E1400,I6*D1400)-D1400)*IFERROR(INDEX($C$158:$C$161,MATCH(C1400,$A$158:$A$161,0)),0),0)</f>
        <v>2601.5</v>
      </c>
      <c r="I1400" s="62">
        <f>IF(F1400,MAX(0,E1400-I6*D1400)*IFERROR(INDEX($D$158:$D$161,MATCH(C1400,$A$158:$A$161,0)),0),0)</f>
        <v>15832</v>
      </c>
      <c r="J1400" s="62">
        <f t="shared" si="146"/>
        <v>21744.5</v>
      </c>
    </row>
    <row r="1401" spans="1:10" ht="15" customHeight="1" outlineLevel="1" x14ac:dyDescent="0.2">
      <c r="A1401" s="63" t="str">
        <f t="shared" si="147"/>
        <v>R044</v>
      </c>
      <c r="B1401" s="64">
        <f>$A$1428</f>
        <v>45505</v>
      </c>
      <c r="C1401" s="63" t="str">
        <f t="shared" si="148"/>
        <v>Senior Enterprise AE</v>
      </c>
      <c r="D1401" s="62">
        <f>SUMIFS(Fact_Quota!$D:$D,Fact_Quota!$A:$A,$A1401,Fact_Quota!$B:$B,"&gt;="&amp;B1401,Fact_Quota!$B:$B,"&lt;"&amp;EDATE(B1401,1))</f>
        <v>50000</v>
      </c>
      <c r="E1401" s="62">
        <f>SUMIFS(Fact_Pipeline!$K:$K,Fact_Pipeline!$B:$B,$A1401,Fact_Pipeline!$J:$J,"Won",Fact_Pipeline!$I:$I,"&gt;="&amp;B1401,Fact_Pipeline!$I:$I,"&lt;"&amp;EDATE(B1401,1))</f>
        <v>0</v>
      </c>
      <c r="F1401" s="63" t="b">
        <f>AND(D1401&gt;0,IFERROR(E1401/D1401&gt;=G6,FALSE()))</f>
        <v>0</v>
      </c>
      <c r="G1401" s="62">
        <f t="shared" si="145"/>
        <v>0</v>
      </c>
      <c r="H1401" s="62">
        <f>IF(F1401,MAX(0,MIN(E1401,I6*D1401)-D1401)*IFERROR(INDEX($C$158:$C$161,MATCH(C1401,$A$158:$A$161,0)),0),0)</f>
        <v>0</v>
      </c>
      <c r="I1401" s="62">
        <f>IF(F1401,MAX(0,E1401-I6*D1401)*IFERROR(INDEX($D$158:$D$161,MATCH(C1401,$A$158:$A$161,0)),0),0)</f>
        <v>0</v>
      </c>
      <c r="J1401" s="62">
        <f t="shared" si="146"/>
        <v>0</v>
      </c>
    </row>
    <row r="1402" spans="1:10" ht="15" customHeight="1" outlineLevel="1" x14ac:dyDescent="0.2">
      <c r="A1402" s="63" t="str">
        <f t="shared" si="147"/>
        <v>R044</v>
      </c>
      <c r="B1402" s="64">
        <f>$A$1429</f>
        <v>45536</v>
      </c>
      <c r="C1402" s="63" t="str">
        <f t="shared" si="148"/>
        <v>Senior Enterprise AE</v>
      </c>
      <c r="D1402" s="62">
        <f>SUMIFS(Fact_Quota!$D:$D,Fact_Quota!$A:$A,$A1402,Fact_Quota!$B:$B,"&gt;="&amp;B1402,Fact_Quota!$B:$B,"&lt;"&amp;EDATE(B1402,1))</f>
        <v>51300</v>
      </c>
      <c r="E1402" s="62">
        <f>SUMIFS(Fact_Pipeline!$K:$K,Fact_Pipeline!$B:$B,$A1402,Fact_Pipeline!$J:$J,"Won",Fact_Pipeline!$I:$I,"&gt;="&amp;B1402,Fact_Pipeline!$I:$I,"&lt;"&amp;EDATE(B1402,1))</f>
        <v>0</v>
      </c>
      <c r="F1402" s="63" t="b">
        <f>AND(D1402&gt;0,IFERROR(E1402/D1402&gt;=G6,FALSE()))</f>
        <v>0</v>
      </c>
      <c r="G1402" s="62">
        <f t="shared" si="145"/>
        <v>0</v>
      </c>
      <c r="H1402" s="62">
        <f>IF(F1402,MAX(0,MIN(E1402,I6*D1402)-D1402)*IFERROR(INDEX($C$158:$C$161,MATCH(C1402,$A$158:$A$161,0)),0),0)</f>
        <v>0</v>
      </c>
      <c r="I1402" s="62">
        <f>IF(F1402,MAX(0,E1402-I6*D1402)*IFERROR(INDEX($D$158:$D$161,MATCH(C1402,$A$158:$A$161,0)),0),0)</f>
        <v>0</v>
      </c>
      <c r="J1402" s="62">
        <f t="shared" si="146"/>
        <v>0</v>
      </c>
    </row>
    <row r="1403" spans="1:10" ht="15" customHeight="1" outlineLevel="1" x14ac:dyDescent="0.2">
      <c r="A1403" s="63" t="str">
        <f t="shared" si="147"/>
        <v>R044</v>
      </c>
      <c r="B1403" s="64">
        <f>$A$1430</f>
        <v>45566</v>
      </c>
      <c r="C1403" s="63" t="str">
        <f t="shared" si="148"/>
        <v>Senior Enterprise AE</v>
      </c>
      <c r="D1403" s="62">
        <f>SUMIFS(Fact_Quota!$D:$D,Fact_Quota!$A:$A,$A1403,Fact_Quota!$B:$B,"&gt;="&amp;B1403,Fact_Quota!$B:$B,"&lt;"&amp;EDATE(B1403,1))</f>
        <v>47500</v>
      </c>
      <c r="E1403" s="62">
        <f>SUMIFS(Fact_Pipeline!$K:$K,Fact_Pipeline!$B:$B,$A1403,Fact_Pipeline!$J:$J,"Won",Fact_Pipeline!$I:$I,"&gt;="&amp;B1403,Fact_Pipeline!$I:$I,"&lt;"&amp;EDATE(B1403,1))</f>
        <v>37600</v>
      </c>
      <c r="F1403" s="63" t="b">
        <f>AND(D1403&gt;0,IFERROR(E1403/D1403&gt;=G6,FALSE()))</f>
        <v>1</v>
      </c>
      <c r="G1403" s="62">
        <f t="shared" si="145"/>
        <v>2632.0000000000005</v>
      </c>
      <c r="H1403" s="62">
        <f>IF(F1403,MAX(0,MIN(E1403,I6*D1403)-D1403)*IFERROR(INDEX($C$158:$C$161,MATCH(C1403,$A$158:$A$161,0)),0),0)</f>
        <v>0</v>
      </c>
      <c r="I1403" s="62">
        <f>IF(F1403,MAX(0,E1403-I6*D1403)*IFERROR(INDEX($D$158:$D$161,MATCH(C1403,$A$158:$A$161,0)),0),0)</f>
        <v>0</v>
      </c>
      <c r="J1403" s="62">
        <f t="shared" si="146"/>
        <v>2632.0000000000005</v>
      </c>
    </row>
    <row r="1404" spans="1:10" ht="15" customHeight="1" outlineLevel="1" x14ac:dyDescent="0.2">
      <c r="A1404" s="63" t="str">
        <f t="shared" si="147"/>
        <v>R044</v>
      </c>
      <c r="B1404" s="64">
        <f>$A$1431</f>
        <v>45597</v>
      </c>
      <c r="C1404" s="63" t="str">
        <f t="shared" si="148"/>
        <v>Senior Enterprise AE</v>
      </c>
      <c r="D1404" s="62">
        <f>SUMIFS(Fact_Quota!$D:$D,Fact_Quota!$A:$A,$A1404,Fact_Quota!$B:$B,"&gt;="&amp;B1404,Fact_Quota!$B:$B,"&lt;"&amp;EDATE(B1404,1))</f>
        <v>47400</v>
      </c>
      <c r="E1404" s="62">
        <f>SUMIFS(Fact_Pipeline!$K:$K,Fact_Pipeline!$B:$B,$A1404,Fact_Pipeline!$J:$J,"Won",Fact_Pipeline!$I:$I,"&gt;="&amp;B1404,Fact_Pipeline!$I:$I,"&lt;"&amp;EDATE(B1404,1))</f>
        <v>0</v>
      </c>
      <c r="F1404" s="63" t="b">
        <f>AND(D1404&gt;0,IFERROR(E1404/D1404&gt;=G6,FALSE()))</f>
        <v>0</v>
      </c>
      <c r="G1404" s="62">
        <f t="shared" si="145"/>
        <v>0</v>
      </c>
      <c r="H1404" s="62">
        <f>IF(F1404,MAX(0,MIN(E1404,I6*D1404)-D1404)*IFERROR(INDEX($C$158:$C$161,MATCH(C1404,$A$158:$A$161,0)),0),0)</f>
        <v>0</v>
      </c>
      <c r="I1404" s="62">
        <f>IF(F1404,MAX(0,E1404-I6*D1404)*IFERROR(INDEX($D$158:$D$161,MATCH(C1404,$A$158:$A$161,0)),0),0)</f>
        <v>0</v>
      </c>
      <c r="J1404" s="62">
        <f t="shared" si="146"/>
        <v>0</v>
      </c>
    </row>
    <row r="1405" spans="1:10" ht="15" customHeight="1" outlineLevel="1" x14ac:dyDescent="0.2">
      <c r="A1405" s="63" t="str">
        <f t="shared" si="147"/>
        <v>R044</v>
      </c>
      <c r="B1405" s="64">
        <f>$A$1432</f>
        <v>45627</v>
      </c>
      <c r="C1405" s="63" t="str">
        <f t="shared" si="148"/>
        <v>Senior Enterprise AE</v>
      </c>
      <c r="D1405" s="62">
        <f>SUMIFS(Fact_Quota!$D:$D,Fact_Quota!$A:$A,$A1405,Fact_Quota!$B:$B,"&gt;="&amp;B1405,Fact_Quota!$B:$B,"&lt;"&amp;EDATE(B1405,1))</f>
        <v>50100</v>
      </c>
      <c r="E1405" s="62">
        <f>SUMIFS(Fact_Pipeline!$K:$K,Fact_Pipeline!$B:$B,$A1405,Fact_Pipeline!$J:$J,"Won",Fact_Pipeline!$I:$I,"&gt;="&amp;B1405,Fact_Pipeline!$I:$I,"&lt;"&amp;EDATE(B1405,1))</f>
        <v>35200</v>
      </c>
      <c r="F1405" s="63" t="b">
        <f>AND(D1405&gt;0,IFERROR(E1405/D1405&gt;=G6,FALSE()))</f>
        <v>1</v>
      </c>
      <c r="G1405" s="62">
        <f t="shared" si="145"/>
        <v>2464.0000000000005</v>
      </c>
      <c r="H1405" s="62">
        <f>IF(F1405,MAX(0,MIN(E1405,I6*D1405)-D1405)*IFERROR(INDEX($C$158:$C$161,MATCH(C1405,$A$158:$A$161,0)),0),0)</f>
        <v>0</v>
      </c>
      <c r="I1405" s="62">
        <f>IF(F1405,MAX(0,E1405-I6*D1405)*IFERROR(INDEX($D$158:$D$161,MATCH(C1405,$A$158:$A$161,0)),0),0)</f>
        <v>0</v>
      </c>
      <c r="J1405" s="62">
        <f t="shared" si="146"/>
        <v>2464.0000000000005</v>
      </c>
    </row>
    <row r="1406" spans="1:10" ht="15" customHeight="1" outlineLevel="1" x14ac:dyDescent="0.2">
      <c r="A1406" s="63" t="str">
        <f t="shared" si="147"/>
        <v>R044</v>
      </c>
      <c r="B1406" s="64">
        <f>$A$1433</f>
        <v>45658</v>
      </c>
      <c r="C1406" s="63" t="str">
        <f t="shared" si="148"/>
        <v>Senior Enterprise AE</v>
      </c>
      <c r="D1406" s="62">
        <f>SUMIFS(Fact_Quota!$D:$D,Fact_Quota!$A:$A,$A1406,Fact_Quota!$B:$B,"&gt;="&amp;B1406,Fact_Quota!$B:$B,"&lt;"&amp;EDATE(B1406,1))</f>
        <v>50300</v>
      </c>
      <c r="E1406" s="62">
        <f>SUMIFS(Fact_Pipeline!$K:$K,Fact_Pipeline!$B:$B,$A1406,Fact_Pipeline!$J:$J,"Won",Fact_Pipeline!$I:$I,"&gt;="&amp;B1406,Fact_Pipeline!$I:$I,"&lt;"&amp;EDATE(B1406,1))</f>
        <v>120100</v>
      </c>
      <c r="F1406" s="63" t="b">
        <f>AND(D1406&gt;0,IFERROR(E1406/D1406&gt;=G6,FALSE()))</f>
        <v>1</v>
      </c>
      <c r="G1406" s="62">
        <f t="shared" si="145"/>
        <v>3521.0000000000005</v>
      </c>
      <c r="H1406" s="62">
        <f>IF(F1406,MAX(0,MIN(E1406,I6*D1406)-D1406)*IFERROR(INDEX($C$158:$C$161,MATCH(C1406,$A$158:$A$161,0)),0),0)</f>
        <v>2766.5</v>
      </c>
      <c r="I1406" s="62">
        <f>IF(F1406,MAX(0,E1406-I6*D1406)*IFERROR(INDEX($D$158:$D$161,MATCH(C1406,$A$158:$A$161,0)),0),0)</f>
        <v>7144</v>
      </c>
      <c r="J1406" s="62">
        <f t="shared" si="146"/>
        <v>13431.5</v>
      </c>
    </row>
    <row r="1407" spans="1:10" ht="15" customHeight="1" outlineLevel="1" x14ac:dyDescent="0.2">
      <c r="A1407" s="63" t="str">
        <f t="shared" si="147"/>
        <v>R044</v>
      </c>
      <c r="B1407" s="64">
        <f>$A$1434</f>
        <v>45689</v>
      </c>
      <c r="C1407" s="63" t="str">
        <f t="shared" si="148"/>
        <v>Senior Enterprise AE</v>
      </c>
      <c r="D1407" s="62">
        <f>SUMIFS(Fact_Quota!$D:$D,Fact_Quota!$A:$A,$A1407,Fact_Quota!$B:$B,"&gt;="&amp;B1407,Fact_Quota!$B:$B,"&lt;"&amp;EDATE(B1407,1))</f>
        <v>47200</v>
      </c>
      <c r="E1407" s="62">
        <f>SUMIFS(Fact_Pipeline!$K:$K,Fact_Pipeline!$B:$B,$A1407,Fact_Pipeline!$J:$J,"Won",Fact_Pipeline!$I:$I,"&gt;="&amp;B1407,Fact_Pipeline!$I:$I,"&lt;"&amp;EDATE(B1407,1))</f>
        <v>0</v>
      </c>
      <c r="F1407" s="63" t="b">
        <f>AND(D1407&gt;0,IFERROR(E1407/D1407&gt;=G6,FALSE()))</f>
        <v>0</v>
      </c>
      <c r="G1407" s="62">
        <f t="shared" si="145"/>
        <v>0</v>
      </c>
      <c r="H1407" s="62">
        <f>IF(F1407,MAX(0,MIN(E1407,I6*D1407)-D1407)*IFERROR(INDEX($C$158:$C$161,MATCH(C1407,$A$158:$A$161,0)),0),0)</f>
        <v>0</v>
      </c>
      <c r="I1407" s="62">
        <f>IF(F1407,MAX(0,E1407-I6*D1407)*IFERROR(INDEX($D$158:$D$161,MATCH(C1407,$A$158:$A$161,0)),0),0)</f>
        <v>0</v>
      </c>
      <c r="J1407" s="62">
        <f t="shared" si="146"/>
        <v>0</v>
      </c>
    </row>
    <row r="1408" spans="1:10" ht="15" customHeight="1" outlineLevel="1" x14ac:dyDescent="0.2">
      <c r="A1408" s="63" t="str">
        <f t="shared" si="147"/>
        <v>R044</v>
      </c>
      <c r="B1408" s="64">
        <f>$A$1435</f>
        <v>45717</v>
      </c>
      <c r="C1408" s="63" t="str">
        <f t="shared" si="148"/>
        <v>Senior Enterprise AE</v>
      </c>
      <c r="D1408" s="62">
        <f>SUMIFS(Fact_Quota!$D:$D,Fact_Quota!$A:$A,$A1408,Fact_Quota!$B:$B,"&gt;="&amp;B1408,Fact_Quota!$B:$B,"&lt;"&amp;EDATE(B1408,1))</f>
        <v>47400</v>
      </c>
      <c r="E1408" s="62">
        <f>SUMIFS(Fact_Pipeline!$K:$K,Fact_Pipeline!$B:$B,$A1408,Fact_Pipeline!$J:$J,"Won",Fact_Pipeline!$I:$I,"&gt;="&amp;B1408,Fact_Pipeline!$I:$I,"&lt;"&amp;EDATE(B1408,1))</f>
        <v>93000</v>
      </c>
      <c r="F1408" s="63" t="b">
        <f>AND(D1408&gt;0,IFERROR(E1408/D1408&gt;=G6,FALSE()))</f>
        <v>1</v>
      </c>
      <c r="G1408" s="62">
        <f t="shared" si="145"/>
        <v>3318.0000000000005</v>
      </c>
      <c r="H1408" s="62">
        <f>IF(F1408,MAX(0,MIN(E1408,I6*D1408)-D1408)*IFERROR(INDEX($C$158:$C$161,MATCH(C1408,$A$158:$A$161,0)),0),0)</f>
        <v>2607</v>
      </c>
      <c r="I1408" s="62">
        <f>IF(F1408,MAX(0,E1408-I6*D1408)*IFERROR(INDEX($D$158:$D$161,MATCH(C1408,$A$158:$A$161,0)),0),0)</f>
        <v>3504</v>
      </c>
      <c r="J1408" s="62">
        <f t="shared" si="146"/>
        <v>9429</v>
      </c>
    </row>
    <row r="1409" spans="1:10" ht="15" customHeight="1" outlineLevel="1" x14ac:dyDescent="0.2">
      <c r="A1409" s="63" t="str">
        <f t="shared" si="147"/>
        <v>R044</v>
      </c>
      <c r="B1409" s="64">
        <f>$A$1436</f>
        <v>45748</v>
      </c>
      <c r="C1409" s="63" t="str">
        <f t="shared" si="148"/>
        <v>Senior Enterprise AE</v>
      </c>
      <c r="D1409" s="62">
        <f>SUMIFS(Fact_Quota!$D:$D,Fact_Quota!$A:$A,$A1409,Fact_Quota!$B:$B,"&gt;="&amp;B1409,Fact_Quota!$B:$B,"&lt;"&amp;EDATE(B1409,1))</f>
        <v>47600</v>
      </c>
      <c r="E1409" s="62">
        <f>SUMIFS(Fact_Pipeline!$K:$K,Fact_Pipeline!$B:$B,$A1409,Fact_Pipeline!$J:$J,"Won",Fact_Pipeline!$I:$I,"&gt;="&amp;B1409,Fact_Pipeline!$I:$I,"&lt;"&amp;EDATE(B1409,1))</f>
        <v>0</v>
      </c>
      <c r="F1409" s="63" t="b">
        <f>AND(D1409&gt;0,IFERROR(E1409/D1409&gt;=G6,FALSE()))</f>
        <v>0</v>
      </c>
      <c r="G1409" s="62">
        <f t="shared" si="145"/>
        <v>0</v>
      </c>
      <c r="H1409" s="62">
        <f>IF(F1409,MAX(0,MIN(E1409,I6*D1409)-D1409)*IFERROR(INDEX($C$158:$C$161,MATCH(C1409,$A$158:$A$161,0)),0),0)</f>
        <v>0</v>
      </c>
      <c r="I1409" s="62">
        <f>IF(F1409,MAX(0,E1409-I6*D1409)*IFERROR(INDEX($D$158:$D$161,MATCH(C1409,$A$158:$A$161,0)),0),0)</f>
        <v>0</v>
      </c>
      <c r="J1409" s="62">
        <f t="shared" si="146"/>
        <v>0</v>
      </c>
    </row>
    <row r="1410" spans="1:10" ht="15" customHeight="1" outlineLevel="1" x14ac:dyDescent="0.2">
      <c r="A1410" s="63" t="str">
        <f t="shared" si="147"/>
        <v>R044</v>
      </c>
      <c r="B1410" s="64">
        <f>$A$1437</f>
        <v>45778</v>
      </c>
      <c r="C1410" s="63" t="str">
        <f t="shared" si="148"/>
        <v>Senior Enterprise AE</v>
      </c>
      <c r="D1410" s="62">
        <f>SUMIFS(Fact_Quota!$D:$D,Fact_Quota!$A:$A,$A1410,Fact_Quota!$B:$B,"&gt;="&amp;B1410,Fact_Quota!$B:$B,"&lt;"&amp;EDATE(B1410,1))</f>
        <v>46100</v>
      </c>
      <c r="E1410" s="62">
        <f>SUMIFS(Fact_Pipeline!$K:$K,Fact_Pipeline!$B:$B,$A1410,Fact_Pipeline!$J:$J,"Won",Fact_Pipeline!$I:$I,"&gt;="&amp;B1410,Fact_Pipeline!$I:$I,"&lt;"&amp;EDATE(B1410,1))</f>
        <v>0</v>
      </c>
      <c r="F1410" s="63" t="b">
        <f>AND(D1410&gt;0,IFERROR(E1410/D1410&gt;=G6,FALSE()))</f>
        <v>0</v>
      </c>
      <c r="G1410" s="62">
        <f t="shared" si="145"/>
        <v>0</v>
      </c>
      <c r="H1410" s="62">
        <f>IF(F1410,MAX(0,MIN(E1410,I6*D1410)-D1410)*IFERROR(INDEX($C$158:$C$161,MATCH(C1410,$A$158:$A$161,0)),0),0)</f>
        <v>0</v>
      </c>
      <c r="I1410" s="62">
        <f>IF(F1410,MAX(0,E1410-I6*D1410)*IFERROR(INDEX($D$158:$D$161,MATCH(C1410,$A$158:$A$161,0)),0),0)</f>
        <v>0</v>
      </c>
      <c r="J1410" s="62">
        <f t="shared" si="146"/>
        <v>0</v>
      </c>
    </row>
    <row r="1411" spans="1:10" ht="15" customHeight="1" outlineLevel="1" x14ac:dyDescent="0.2">
      <c r="A1411" s="63" t="str">
        <f t="shared" si="147"/>
        <v>R044</v>
      </c>
      <c r="B1411" s="64">
        <f>$A$1438</f>
        <v>45809</v>
      </c>
      <c r="C1411" s="63" t="str">
        <f t="shared" si="148"/>
        <v>Senior Enterprise AE</v>
      </c>
      <c r="D1411" s="62">
        <f>SUMIFS(Fact_Quota!$D:$D,Fact_Quota!$A:$A,$A1411,Fact_Quota!$B:$B,"&gt;="&amp;B1411,Fact_Quota!$B:$B,"&lt;"&amp;EDATE(B1411,1))</f>
        <v>46700</v>
      </c>
      <c r="E1411" s="62">
        <f>SUMIFS(Fact_Pipeline!$K:$K,Fact_Pipeline!$B:$B,$A1411,Fact_Pipeline!$J:$J,"Won",Fact_Pipeline!$I:$I,"&gt;="&amp;B1411,Fact_Pipeline!$I:$I,"&lt;"&amp;EDATE(B1411,1))</f>
        <v>52800</v>
      </c>
      <c r="F1411" s="63" t="b">
        <f>AND(D1411&gt;0,IFERROR(E1411/D1411&gt;=G6,FALSE()))</f>
        <v>1</v>
      </c>
      <c r="G1411" s="62">
        <f t="shared" si="145"/>
        <v>3269.0000000000005</v>
      </c>
      <c r="H1411" s="62">
        <f>IF(F1411,MAX(0,MIN(E1411,I6*D1411)-D1411)*IFERROR(INDEX($C$158:$C$161,MATCH(C1411,$A$158:$A$161,0)),0),0)</f>
        <v>671</v>
      </c>
      <c r="I1411" s="62">
        <f>IF(F1411,MAX(0,E1411-I6*D1411)*IFERROR(INDEX($D$158:$D$161,MATCH(C1411,$A$158:$A$161,0)),0),0)</f>
        <v>0</v>
      </c>
      <c r="J1411" s="62">
        <f t="shared" si="146"/>
        <v>3940.0000000000005</v>
      </c>
    </row>
    <row r="1412" spans="1:10" ht="15" customHeight="1" outlineLevel="1" x14ac:dyDescent="0.2">
      <c r="A1412" s="63" t="str">
        <f t="shared" si="147"/>
        <v>R044</v>
      </c>
      <c r="B1412" s="64">
        <f>$A$1439</f>
        <v>45839</v>
      </c>
      <c r="C1412" s="63" t="str">
        <f t="shared" si="148"/>
        <v>Senior Enterprise AE</v>
      </c>
      <c r="D1412" s="62">
        <f>SUMIFS(Fact_Quota!$D:$D,Fact_Quota!$A:$A,$A1412,Fact_Quota!$B:$B,"&gt;="&amp;B1412,Fact_Quota!$B:$B,"&lt;"&amp;EDATE(B1412,1))</f>
        <v>46600</v>
      </c>
      <c r="E1412" s="62">
        <f>SUMIFS(Fact_Pipeline!$K:$K,Fact_Pipeline!$B:$B,$A1412,Fact_Pipeline!$J:$J,"Won",Fact_Pipeline!$I:$I,"&gt;="&amp;B1412,Fact_Pipeline!$I:$I,"&lt;"&amp;EDATE(B1412,1))</f>
        <v>35300</v>
      </c>
      <c r="F1412" s="63" t="b">
        <f>AND(D1412&gt;0,IFERROR(E1412/D1412&gt;=G6,FALSE()))</f>
        <v>1</v>
      </c>
      <c r="G1412" s="62">
        <f t="shared" si="145"/>
        <v>2471.0000000000005</v>
      </c>
      <c r="H1412" s="62">
        <f>IF(F1412,MAX(0,MIN(E1412,I6*D1412)-D1412)*IFERROR(INDEX($C$158:$C$161,MATCH(C1412,$A$158:$A$161,0)),0),0)</f>
        <v>0</v>
      </c>
      <c r="I1412" s="62">
        <f>IF(F1412,MAX(0,E1412-I6*D1412)*IFERROR(INDEX($D$158:$D$161,MATCH(C1412,$A$158:$A$161,0)),0),0)</f>
        <v>0</v>
      </c>
      <c r="J1412" s="62">
        <f t="shared" si="146"/>
        <v>2471.0000000000005</v>
      </c>
    </row>
    <row r="1413" spans="1:10" ht="15" customHeight="1" outlineLevel="1" x14ac:dyDescent="0.2">
      <c r="A1413" s="63" t="str">
        <f t="shared" si="147"/>
        <v>R044</v>
      </c>
      <c r="B1413" s="64">
        <f>$A$1440</f>
        <v>45870</v>
      </c>
      <c r="C1413" s="63" t="str">
        <f t="shared" si="148"/>
        <v>Senior Enterprise AE</v>
      </c>
      <c r="D1413" s="62">
        <f>SUMIFS(Fact_Quota!$D:$D,Fact_Quota!$A:$A,$A1413,Fact_Quota!$B:$B,"&gt;="&amp;B1413,Fact_Quota!$B:$B,"&lt;"&amp;EDATE(B1413,1))</f>
        <v>46900</v>
      </c>
      <c r="E1413" s="62">
        <f>SUMIFS(Fact_Pipeline!$K:$K,Fact_Pipeline!$B:$B,$A1413,Fact_Pipeline!$J:$J,"Won",Fact_Pipeline!$I:$I,"&gt;="&amp;B1413,Fact_Pipeline!$I:$I,"&lt;"&amp;EDATE(B1413,1))</f>
        <v>0</v>
      </c>
      <c r="F1413" s="63" t="b">
        <f>AND(D1413&gt;0,IFERROR(E1413/D1413&gt;=G6,FALSE()))</f>
        <v>0</v>
      </c>
      <c r="G1413" s="62">
        <f t="shared" si="145"/>
        <v>0</v>
      </c>
      <c r="H1413" s="62">
        <f>IF(F1413,MAX(0,MIN(E1413,I6*D1413)-D1413)*IFERROR(INDEX($C$158:$C$161,MATCH(C1413,$A$158:$A$161,0)),0),0)</f>
        <v>0</v>
      </c>
      <c r="I1413" s="62">
        <f>IF(F1413,MAX(0,E1413-I6*D1413)*IFERROR(INDEX($D$158:$D$161,MATCH(C1413,$A$158:$A$161,0)),0),0)</f>
        <v>0</v>
      </c>
      <c r="J1413" s="62">
        <f t="shared" si="146"/>
        <v>0</v>
      </c>
    </row>
    <row r="1414" spans="1:10" ht="15" customHeight="1" outlineLevel="1" x14ac:dyDescent="0.2">
      <c r="A1414" s="63" t="str">
        <f t="shared" si="147"/>
        <v>R044</v>
      </c>
      <c r="B1414" s="64">
        <f>$A$1441</f>
        <v>45901</v>
      </c>
      <c r="C1414" s="63" t="str">
        <f t="shared" si="148"/>
        <v>Senior Enterprise AE</v>
      </c>
      <c r="D1414" s="62">
        <f>SUMIFS(Fact_Quota!$D:$D,Fact_Quota!$A:$A,$A1414,Fact_Quota!$B:$B,"&gt;="&amp;B1414,Fact_Quota!$B:$B,"&lt;"&amp;EDATE(B1414,1))</f>
        <v>48000</v>
      </c>
      <c r="E1414" s="62">
        <f>SUMIFS(Fact_Pipeline!$K:$K,Fact_Pipeline!$B:$B,$A1414,Fact_Pipeline!$J:$J,"Won",Fact_Pipeline!$I:$I,"&gt;="&amp;B1414,Fact_Pipeline!$I:$I,"&lt;"&amp;EDATE(B1414,1))</f>
        <v>112700</v>
      </c>
      <c r="F1414" s="63" t="b">
        <f>AND(D1414&gt;0,IFERROR(E1414/D1414&gt;=G6,FALSE()))</f>
        <v>1</v>
      </c>
      <c r="G1414" s="62">
        <f t="shared" si="145"/>
        <v>3360.0000000000005</v>
      </c>
      <c r="H1414" s="62">
        <f>IF(F1414,MAX(0,MIN(E1414,I6*D1414)-D1414)*IFERROR(INDEX($C$158:$C$161,MATCH(C1414,$A$158:$A$161,0)),0),0)</f>
        <v>2640</v>
      </c>
      <c r="I1414" s="62">
        <f>IF(F1414,MAX(0,E1414-I6*D1414)*IFERROR(INDEX($D$158:$D$161,MATCH(C1414,$A$158:$A$161,0)),0),0)</f>
        <v>6512</v>
      </c>
      <c r="J1414" s="62">
        <f t="shared" si="146"/>
        <v>12512</v>
      </c>
    </row>
    <row r="1415" spans="1:10" ht="15" customHeight="1" outlineLevel="1" x14ac:dyDescent="0.2">
      <c r="A1415" s="63" t="str">
        <f t="shared" si="147"/>
        <v>R044</v>
      </c>
      <c r="B1415" s="64">
        <f>$A$1442</f>
        <v>45931</v>
      </c>
      <c r="C1415" s="63" t="str">
        <f t="shared" si="148"/>
        <v>Senior Enterprise AE</v>
      </c>
      <c r="D1415" s="62">
        <f>SUMIFS(Fact_Quota!$D:$D,Fact_Quota!$A:$A,$A1415,Fact_Quota!$B:$B,"&gt;="&amp;B1415,Fact_Quota!$B:$B,"&lt;"&amp;EDATE(B1415,1))</f>
        <v>48300</v>
      </c>
      <c r="E1415" s="62">
        <f>SUMIFS(Fact_Pipeline!$K:$K,Fact_Pipeline!$B:$B,$A1415,Fact_Pipeline!$J:$J,"Won",Fact_Pipeline!$I:$I,"&gt;="&amp;B1415,Fact_Pipeline!$I:$I,"&lt;"&amp;EDATE(B1415,1))</f>
        <v>39900</v>
      </c>
      <c r="F1415" s="63" t="b">
        <f>AND(D1415&gt;0,IFERROR(E1415/D1415&gt;=G6,FALSE()))</f>
        <v>1</v>
      </c>
      <c r="G1415" s="62">
        <f t="shared" si="145"/>
        <v>2793.0000000000005</v>
      </c>
      <c r="H1415" s="62">
        <f>IF(F1415,MAX(0,MIN(E1415,I6*D1415)-D1415)*IFERROR(INDEX($C$158:$C$161,MATCH(C1415,$A$158:$A$161,0)),0),0)</f>
        <v>0</v>
      </c>
      <c r="I1415" s="62">
        <f>IF(F1415,MAX(0,E1415-I6*D1415)*IFERROR(INDEX($D$158:$D$161,MATCH(C1415,$A$158:$A$161,0)),0),0)</f>
        <v>0</v>
      </c>
      <c r="J1415" s="62">
        <f t="shared" si="146"/>
        <v>2793.0000000000005</v>
      </c>
    </row>
    <row r="1416" spans="1:10" ht="15" customHeight="1" outlineLevel="1" x14ac:dyDescent="0.2">
      <c r="A1416" s="63" t="str">
        <f t="shared" si="147"/>
        <v>R044</v>
      </c>
      <c r="B1416" s="64">
        <f>$A$1443</f>
        <v>45962</v>
      </c>
      <c r="C1416" s="63" t="str">
        <f t="shared" si="148"/>
        <v>Senior Enterprise AE</v>
      </c>
      <c r="D1416" s="62">
        <f>SUMIFS(Fact_Quota!$D:$D,Fact_Quota!$A:$A,$A1416,Fact_Quota!$B:$B,"&gt;="&amp;B1416,Fact_Quota!$B:$B,"&lt;"&amp;EDATE(B1416,1))</f>
        <v>0</v>
      </c>
      <c r="E1416" s="62">
        <f>SUMIFS(Fact_Pipeline!$K:$K,Fact_Pipeline!$B:$B,$A1416,Fact_Pipeline!$J:$J,"Won",Fact_Pipeline!$I:$I,"&gt;="&amp;B1416,Fact_Pipeline!$I:$I,"&lt;"&amp;EDATE(B1416,1))</f>
        <v>153500</v>
      </c>
      <c r="F1416" s="63" t="b">
        <f>AND(D1416&gt;0,IFERROR(E1416/D1416&gt;=G6,FALSE()))</f>
        <v>0</v>
      </c>
      <c r="G1416" s="62">
        <f t="shared" si="145"/>
        <v>0</v>
      </c>
      <c r="H1416" s="62">
        <f>IF(F1416,MAX(0,MIN(E1416,I6*D1416)-D1416)*IFERROR(INDEX($C$158:$C$161,MATCH(C1416,$A$158:$A$161,0)),0),0)</f>
        <v>0</v>
      </c>
      <c r="I1416" s="62">
        <f>IF(F1416,MAX(0,E1416-I6*D1416)*IFERROR(INDEX($D$158:$D$161,MATCH(C1416,$A$158:$A$161,0)),0),0)</f>
        <v>0</v>
      </c>
      <c r="J1416" s="62">
        <f t="shared" si="146"/>
        <v>0</v>
      </c>
    </row>
    <row r="1417" spans="1:10" ht="15" customHeight="1" outlineLevel="1" x14ac:dyDescent="0.2">
      <c r="A1417" s="63" t="str">
        <f t="shared" si="147"/>
        <v>R044</v>
      </c>
      <c r="B1417" s="64">
        <f>$A$1444</f>
        <v>45992</v>
      </c>
      <c r="C1417" s="63" t="str">
        <f t="shared" si="148"/>
        <v>Senior Enterprise AE</v>
      </c>
      <c r="D1417" s="62">
        <f>SUMIFS(Fact_Quota!$D:$D,Fact_Quota!$A:$A,$A1417,Fact_Quota!$B:$B,"&gt;="&amp;B1417,Fact_Quota!$B:$B,"&lt;"&amp;EDATE(B1417,1))</f>
        <v>0</v>
      </c>
      <c r="E1417" s="62">
        <f>SUMIFS(Fact_Pipeline!$K:$K,Fact_Pipeline!$B:$B,$A1417,Fact_Pipeline!$J:$J,"Won",Fact_Pipeline!$I:$I,"&gt;="&amp;B1417,Fact_Pipeline!$I:$I,"&lt;"&amp;EDATE(B1417,1))</f>
        <v>58900</v>
      </c>
      <c r="F1417" s="63" t="b">
        <f>AND(D1417&gt;0,IFERROR(E1417/D1417&gt;=G6,FALSE()))</f>
        <v>0</v>
      </c>
      <c r="G1417" s="62">
        <f t="shared" si="145"/>
        <v>0</v>
      </c>
      <c r="H1417" s="62">
        <f>IF(F1417,MAX(0,MIN(E1417,I6*D1417)-D1417)*IFERROR(INDEX($C$158:$C$161,MATCH(C1417,$A$158:$A$161,0)),0),0)</f>
        <v>0</v>
      </c>
      <c r="I1417" s="62">
        <f>IF(F1417,MAX(0,E1417-I6*D1417)*IFERROR(INDEX($D$158:$D$161,MATCH(C1417,$A$158:$A$161,0)),0),0)</f>
        <v>0</v>
      </c>
      <c r="J1417" s="62">
        <f t="shared" si="146"/>
        <v>0</v>
      </c>
    </row>
    <row r="1418" spans="1:10" ht="15" customHeight="1" outlineLevel="1" x14ac:dyDescent="0.2"/>
    <row r="1419" spans="1:10" ht="15" customHeight="1" outlineLevel="1" x14ac:dyDescent="0.2"/>
    <row r="1420" spans="1:10" ht="15" customHeight="1" outlineLevel="1" x14ac:dyDescent="0.2">
      <c r="A1420" s="61" t="s">
        <v>85</v>
      </c>
      <c r="B1420" s="61" t="s">
        <v>86</v>
      </c>
      <c r="C1420" s="61" t="s">
        <v>114</v>
      </c>
      <c r="D1420" s="61" t="s">
        <v>117</v>
      </c>
      <c r="E1420" s="61" t="s">
        <v>129</v>
      </c>
    </row>
    <row r="1421" spans="1:10" ht="15" customHeight="1" outlineLevel="1" x14ac:dyDescent="0.2">
      <c r="A1421" s="60">
        <f>DATE(2024,1,1)</f>
        <v>45292</v>
      </c>
      <c r="B1421" s="59" t="str">
        <f t="shared" ref="B1421:B1444" si="149">TEXT(A1421,"mmm yyyy")</f>
        <v>Jan 2024</v>
      </c>
      <c r="C1421" s="58">
        <f t="shared" ref="C1421:C1444" si="150">D1421+E1421</f>
        <v>1663</v>
      </c>
      <c r="D1421" s="58">
        <f t="shared" ref="D1421:D1444" si="151">SUMIFS($G$218:$G$1417,$B$218:$B$1417,A1421)</f>
        <v>1578</v>
      </c>
      <c r="E1421" s="58">
        <f t="shared" ref="E1421:E1444" si="152">SUMIFS($H$218:$H$1417,$B$218:$B$1417,A1421)+SUMIFS($I$218:$I$1417,$B$218:$B$1417,A1421)</f>
        <v>85</v>
      </c>
    </row>
    <row r="1422" spans="1:10" ht="15" customHeight="1" outlineLevel="1" x14ac:dyDescent="0.2">
      <c r="A1422" s="57">
        <f t="shared" ref="A1422:A1444" si="153">EDATE(A1421,1)</f>
        <v>45323</v>
      </c>
      <c r="B1422" s="56" t="str">
        <f t="shared" si="149"/>
        <v>Feb 2024</v>
      </c>
      <c r="C1422" s="55">
        <f t="shared" si="150"/>
        <v>12550</v>
      </c>
      <c r="D1422" s="55">
        <f t="shared" si="151"/>
        <v>8102</v>
      </c>
      <c r="E1422" s="55">
        <f t="shared" si="152"/>
        <v>4448</v>
      </c>
    </row>
    <row r="1423" spans="1:10" ht="15" customHeight="1" outlineLevel="1" x14ac:dyDescent="0.2">
      <c r="A1423" s="60">
        <f t="shared" si="153"/>
        <v>45352</v>
      </c>
      <c r="B1423" s="59" t="str">
        <f t="shared" si="149"/>
        <v>Mar 2024</v>
      </c>
      <c r="C1423" s="58">
        <f t="shared" si="150"/>
        <v>25314</v>
      </c>
      <c r="D1423" s="58">
        <f t="shared" si="151"/>
        <v>12407</v>
      </c>
      <c r="E1423" s="58">
        <f t="shared" si="152"/>
        <v>12907</v>
      </c>
    </row>
    <row r="1424" spans="1:10" ht="15" customHeight="1" outlineLevel="1" x14ac:dyDescent="0.2">
      <c r="A1424" s="57">
        <f t="shared" si="153"/>
        <v>45383</v>
      </c>
      <c r="B1424" s="56" t="str">
        <f t="shared" si="149"/>
        <v>Apr 2024</v>
      </c>
      <c r="C1424" s="55">
        <f t="shared" si="150"/>
        <v>24312</v>
      </c>
      <c r="D1424" s="55">
        <f t="shared" si="151"/>
        <v>15927</v>
      </c>
      <c r="E1424" s="55">
        <f t="shared" si="152"/>
        <v>8385</v>
      </c>
    </row>
    <row r="1425" spans="1:5" ht="15" customHeight="1" outlineLevel="1" x14ac:dyDescent="0.2">
      <c r="A1425" s="60">
        <f t="shared" si="153"/>
        <v>45413</v>
      </c>
      <c r="B1425" s="59" t="str">
        <f t="shared" si="149"/>
        <v>May 2024</v>
      </c>
      <c r="C1425" s="58">
        <f t="shared" si="150"/>
        <v>35868</v>
      </c>
      <c r="D1425" s="58">
        <f t="shared" si="151"/>
        <v>13912</v>
      </c>
      <c r="E1425" s="58">
        <f t="shared" si="152"/>
        <v>21956</v>
      </c>
    </row>
    <row r="1426" spans="1:5" ht="15" customHeight="1" outlineLevel="1" x14ac:dyDescent="0.2">
      <c r="A1426" s="57">
        <f t="shared" si="153"/>
        <v>45444</v>
      </c>
      <c r="B1426" s="56" t="str">
        <f t="shared" si="149"/>
        <v>Jun 2024</v>
      </c>
      <c r="C1426" s="55">
        <f t="shared" si="150"/>
        <v>34595</v>
      </c>
      <c r="D1426" s="55">
        <f t="shared" si="151"/>
        <v>19379</v>
      </c>
      <c r="E1426" s="55">
        <f t="shared" si="152"/>
        <v>15216</v>
      </c>
    </row>
    <row r="1427" spans="1:5" ht="15" customHeight="1" outlineLevel="1" x14ac:dyDescent="0.2">
      <c r="A1427" s="60">
        <f t="shared" si="153"/>
        <v>45474</v>
      </c>
      <c r="B1427" s="59" t="str">
        <f t="shared" si="149"/>
        <v>Jul 2024</v>
      </c>
      <c r="C1427" s="58">
        <f t="shared" si="150"/>
        <v>79887</v>
      </c>
      <c r="D1427" s="58">
        <f t="shared" si="151"/>
        <v>24596</v>
      </c>
      <c r="E1427" s="58">
        <f t="shared" si="152"/>
        <v>55291</v>
      </c>
    </row>
    <row r="1428" spans="1:5" ht="15" customHeight="1" outlineLevel="1" x14ac:dyDescent="0.2">
      <c r="A1428" s="57">
        <f t="shared" si="153"/>
        <v>45505</v>
      </c>
      <c r="B1428" s="56" t="str">
        <f t="shared" si="149"/>
        <v>Aug 2024</v>
      </c>
      <c r="C1428" s="55">
        <f t="shared" si="150"/>
        <v>38640.5</v>
      </c>
      <c r="D1428" s="55">
        <f t="shared" si="151"/>
        <v>19207</v>
      </c>
      <c r="E1428" s="55">
        <f t="shared" si="152"/>
        <v>19433.5</v>
      </c>
    </row>
    <row r="1429" spans="1:5" ht="15" customHeight="1" outlineLevel="1" x14ac:dyDescent="0.2">
      <c r="A1429" s="60">
        <f t="shared" si="153"/>
        <v>45536</v>
      </c>
      <c r="B1429" s="59" t="str">
        <f t="shared" si="149"/>
        <v>Sep 2024</v>
      </c>
      <c r="C1429" s="58">
        <f t="shared" si="150"/>
        <v>27047</v>
      </c>
      <c r="D1429" s="58">
        <f t="shared" si="151"/>
        <v>21698</v>
      </c>
      <c r="E1429" s="58">
        <f t="shared" si="152"/>
        <v>5349</v>
      </c>
    </row>
    <row r="1430" spans="1:5" ht="15" customHeight="1" outlineLevel="1" x14ac:dyDescent="0.2">
      <c r="A1430" s="57">
        <f t="shared" si="153"/>
        <v>45566</v>
      </c>
      <c r="B1430" s="56" t="str">
        <f t="shared" si="149"/>
        <v>Oct 2024</v>
      </c>
      <c r="C1430" s="55">
        <f t="shared" si="150"/>
        <v>50367.5</v>
      </c>
      <c r="D1430" s="55">
        <f t="shared" si="151"/>
        <v>24742</v>
      </c>
      <c r="E1430" s="55">
        <f t="shared" si="152"/>
        <v>25625.5</v>
      </c>
    </row>
    <row r="1431" spans="1:5" ht="15" customHeight="1" outlineLevel="1" x14ac:dyDescent="0.2">
      <c r="A1431" s="60">
        <f t="shared" si="153"/>
        <v>45597</v>
      </c>
      <c r="B1431" s="59" t="str">
        <f t="shared" si="149"/>
        <v>Nov 2024</v>
      </c>
      <c r="C1431" s="58">
        <f t="shared" si="150"/>
        <v>57285.5</v>
      </c>
      <c r="D1431" s="58">
        <f t="shared" si="151"/>
        <v>21729</v>
      </c>
      <c r="E1431" s="58">
        <f t="shared" si="152"/>
        <v>35556.5</v>
      </c>
    </row>
    <row r="1432" spans="1:5" ht="15" customHeight="1" outlineLevel="1" x14ac:dyDescent="0.2">
      <c r="A1432" s="57">
        <f t="shared" si="153"/>
        <v>45627</v>
      </c>
      <c r="B1432" s="56" t="str">
        <f t="shared" si="149"/>
        <v>Dec 2024</v>
      </c>
      <c r="C1432" s="55">
        <f t="shared" si="150"/>
        <v>104893</v>
      </c>
      <c r="D1432" s="55">
        <f t="shared" si="151"/>
        <v>25572</v>
      </c>
      <c r="E1432" s="55">
        <f t="shared" si="152"/>
        <v>79321</v>
      </c>
    </row>
    <row r="1433" spans="1:5" ht="15" customHeight="1" outlineLevel="1" x14ac:dyDescent="0.2">
      <c r="A1433" s="60">
        <f t="shared" si="153"/>
        <v>45658</v>
      </c>
      <c r="B1433" s="59" t="str">
        <f t="shared" si="149"/>
        <v>Jan 2025</v>
      </c>
      <c r="C1433" s="58">
        <f t="shared" si="150"/>
        <v>131937</v>
      </c>
      <c r="D1433" s="58">
        <f t="shared" si="151"/>
        <v>32241</v>
      </c>
      <c r="E1433" s="58">
        <f t="shared" si="152"/>
        <v>99696</v>
      </c>
    </row>
    <row r="1434" spans="1:5" ht="15" customHeight="1" outlineLevel="1" x14ac:dyDescent="0.2">
      <c r="A1434" s="57">
        <f t="shared" si="153"/>
        <v>45689</v>
      </c>
      <c r="B1434" s="56" t="str">
        <f t="shared" si="149"/>
        <v>Feb 2025</v>
      </c>
      <c r="C1434" s="55">
        <f t="shared" si="150"/>
        <v>49417</v>
      </c>
      <c r="D1434" s="55">
        <f t="shared" si="151"/>
        <v>21648</v>
      </c>
      <c r="E1434" s="55">
        <f t="shared" si="152"/>
        <v>27769</v>
      </c>
    </row>
    <row r="1435" spans="1:5" ht="15" customHeight="1" outlineLevel="1" x14ac:dyDescent="0.2">
      <c r="A1435" s="60">
        <f t="shared" si="153"/>
        <v>45717</v>
      </c>
      <c r="B1435" s="59" t="str">
        <f t="shared" si="149"/>
        <v>Mar 2025</v>
      </c>
      <c r="C1435" s="58">
        <f t="shared" si="150"/>
        <v>68576.5</v>
      </c>
      <c r="D1435" s="58">
        <f t="shared" si="151"/>
        <v>28943</v>
      </c>
      <c r="E1435" s="58">
        <f t="shared" si="152"/>
        <v>39633.5</v>
      </c>
    </row>
    <row r="1436" spans="1:5" ht="15" customHeight="1" outlineLevel="1" x14ac:dyDescent="0.2">
      <c r="A1436" s="57">
        <f t="shared" si="153"/>
        <v>45748</v>
      </c>
      <c r="B1436" s="56" t="str">
        <f t="shared" si="149"/>
        <v>Apr 2025</v>
      </c>
      <c r="C1436" s="55">
        <f t="shared" si="150"/>
        <v>39004</v>
      </c>
      <c r="D1436" s="55">
        <f t="shared" si="151"/>
        <v>20907</v>
      </c>
      <c r="E1436" s="55">
        <f t="shared" si="152"/>
        <v>18097</v>
      </c>
    </row>
    <row r="1437" spans="1:5" ht="15" customHeight="1" outlineLevel="1" x14ac:dyDescent="0.2">
      <c r="A1437" s="60">
        <f t="shared" si="153"/>
        <v>45778</v>
      </c>
      <c r="B1437" s="59" t="str">
        <f t="shared" si="149"/>
        <v>May 2025</v>
      </c>
      <c r="C1437" s="58">
        <f t="shared" si="150"/>
        <v>56404.5</v>
      </c>
      <c r="D1437" s="58">
        <f t="shared" si="151"/>
        <v>27437</v>
      </c>
      <c r="E1437" s="58">
        <f t="shared" si="152"/>
        <v>28967.5</v>
      </c>
    </row>
    <row r="1438" spans="1:5" ht="15" customHeight="1" outlineLevel="1" x14ac:dyDescent="0.2">
      <c r="A1438" s="57">
        <f t="shared" si="153"/>
        <v>45809</v>
      </c>
      <c r="B1438" s="56" t="str">
        <f t="shared" si="149"/>
        <v>Jun 2025</v>
      </c>
      <c r="C1438" s="55">
        <f t="shared" si="150"/>
        <v>37751</v>
      </c>
      <c r="D1438" s="55">
        <f t="shared" si="151"/>
        <v>23360</v>
      </c>
      <c r="E1438" s="55">
        <f t="shared" si="152"/>
        <v>14391</v>
      </c>
    </row>
    <row r="1439" spans="1:5" ht="15" customHeight="1" outlineLevel="1" x14ac:dyDescent="0.2">
      <c r="A1439" s="60">
        <f t="shared" si="153"/>
        <v>45839</v>
      </c>
      <c r="B1439" s="59" t="str">
        <f t="shared" si="149"/>
        <v>Jul 2025</v>
      </c>
      <c r="C1439" s="58">
        <f t="shared" si="150"/>
        <v>48257</v>
      </c>
      <c r="D1439" s="58">
        <f t="shared" si="151"/>
        <v>21423</v>
      </c>
      <c r="E1439" s="58">
        <f t="shared" si="152"/>
        <v>26834</v>
      </c>
    </row>
    <row r="1440" spans="1:5" ht="15" customHeight="1" outlineLevel="1" x14ac:dyDescent="0.2">
      <c r="A1440" s="57">
        <f t="shared" si="153"/>
        <v>45870</v>
      </c>
      <c r="B1440" s="56" t="str">
        <f t="shared" si="149"/>
        <v>Aug 2025</v>
      </c>
      <c r="C1440" s="55">
        <f t="shared" si="150"/>
        <v>91046</v>
      </c>
      <c r="D1440" s="55">
        <f t="shared" si="151"/>
        <v>22731</v>
      </c>
      <c r="E1440" s="55">
        <f t="shared" si="152"/>
        <v>68315</v>
      </c>
    </row>
    <row r="1441" spans="1:5" ht="15" customHeight="1" outlineLevel="1" x14ac:dyDescent="0.2">
      <c r="A1441" s="60">
        <f t="shared" si="153"/>
        <v>45901</v>
      </c>
      <c r="B1441" s="59" t="str">
        <f t="shared" si="149"/>
        <v>Sep 2025</v>
      </c>
      <c r="C1441" s="58">
        <f t="shared" si="150"/>
        <v>85767.5</v>
      </c>
      <c r="D1441" s="58">
        <f t="shared" si="151"/>
        <v>31900</v>
      </c>
      <c r="E1441" s="58">
        <f t="shared" si="152"/>
        <v>53867.5</v>
      </c>
    </row>
    <row r="1442" spans="1:5" ht="15" customHeight="1" outlineLevel="1" x14ac:dyDescent="0.2">
      <c r="A1442" s="57">
        <f t="shared" si="153"/>
        <v>45931</v>
      </c>
      <c r="B1442" s="56" t="str">
        <f t="shared" si="149"/>
        <v>Oct 2025</v>
      </c>
      <c r="C1442" s="55">
        <f t="shared" si="150"/>
        <v>64663</v>
      </c>
      <c r="D1442" s="55">
        <f t="shared" si="151"/>
        <v>34153</v>
      </c>
      <c r="E1442" s="55">
        <f t="shared" si="152"/>
        <v>30510</v>
      </c>
    </row>
    <row r="1443" spans="1:5" ht="15" customHeight="1" outlineLevel="1" x14ac:dyDescent="0.2">
      <c r="A1443" s="60">
        <f t="shared" si="153"/>
        <v>45962</v>
      </c>
      <c r="B1443" s="59" t="str">
        <f t="shared" si="149"/>
        <v>Nov 2025</v>
      </c>
      <c r="C1443" s="58">
        <f t="shared" si="150"/>
        <v>75591</v>
      </c>
      <c r="D1443" s="58">
        <f t="shared" si="151"/>
        <v>33522</v>
      </c>
      <c r="E1443" s="58">
        <f t="shared" si="152"/>
        <v>42069</v>
      </c>
    </row>
    <row r="1444" spans="1:5" ht="15" customHeight="1" outlineLevel="1" x14ac:dyDescent="0.2">
      <c r="A1444" s="57">
        <f t="shared" si="153"/>
        <v>45992</v>
      </c>
      <c r="B1444" s="56" t="str">
        <f t="shared" si="149"/>
        <v>Dec 2025</v>
      </c>
      <c r="C1444" s="55">
        <f t="shared" si="150"/>
        <v>99805.5</v>
      </c>
      <c r="D1444" s="55">
        <f t="shared" si="151"/>
        <v>37131</v>
      </c>
      <c r="E1444" s="55">
        <f t="shared" si="152"/>
        <v>62674.5</v>
      </c>
    </row>
    <row r="1445" spans="1:5" outlineLevel="1" x14ac:dyDescent="0.2"/>
  </sheetData>
  <autoFilter ref="A91:N141" xr:uid="{ECF32401-55DC-9643-A6A2-F15BE8914780}"/>
  <mergeCells count="43">
    <mergeCell ref="A8:N8"/>
    <mergeCell ref="G6:H6"/>
    <mergeCell ref="I6:J6"/>
    <mergeCell ref="G5:H5"/>
    <mergeCell ref="D5:F5"/>
    <mergeCell ref="A1:N1"/>
    <mergeCell ref="A2:N2"/>
    <mergeCell ref="A3:N3"/>
    <mergeCell ref="A6:C6"/>
    <mergeCell ref="D6:F6"/>
    <mergeCell ref="A18:N18"/>
    <mergeCell ref="A20:C20"/>
    <mergeCell ref="D20:F20"/>
    <mergeCell ref="G20:I20"/>
    <mergeCell ref="J20:L20"/>
    <mergeCell ref="J21:L21"/>
    <mergeCell ref="A22:C22"/>
    <mergeCell ref="D22:F22"/>
    <mergeCell ref="G22:I22"/>
    <mergeCell ref="J22:L22"/>
    <mergeCell ref="A151:P151"/>
    <mergeCell ref="A26:C26"/>
    <mergeCell ref="D26:F26"/>
    <mergeCell ref="G26:I26"/>
    <mergeCell ref="J26:L26"/>
    <mergeCell ref="A29:N29"/>
    <mergeCell ref="A143:I143"/>
    <mergeCell ref="A5:C5"/>
    <mergeCell ref="I5:J5"/>
    <mergeCell ref="A9:M11"/>
    <mergeCell ref="A62:N62"/>
    <mergeCell ref="A89:N89"/>
    <mergeCell ref="A24:C24"/>
    <mergeCell ref="D24:F24"/>
    <mergeCell ref="G24:I24"/>
    <mergeCell ref="J24:L24"/>
    <mergeCell ref="A25:C25"/>
    <mergeCell ref="D25:F25"/>
    <mergeCell ref="G25:I25"/>
    <mergeCell ref="J25:L25"/>
    <mergeCell ref="A21:C21"/>
    <mergeCell ref="D21:F21"/>
    <mergeCell ref="G21:I21"/>
  </mergeCells>
  <conditionalFormatting sqref="A92:N141">
    <cfRule type="expression" dxfId="14" priority="1">
      <formula>$I92=0</formula>
    </cfRule>
  </conditionalFormatting>
  <conditionalFormatting sqref="H92:H141">
    <cfRule type="expression" dxfId="13" priority="2">
      <formula>AND(H92&lt;&gt;"",H92&lt;$G$6)</formula>
    </cfRule>
    <cfRule type="expression" dxfId="12" priority="3">
      <formula>AND(H92&lt;&gt;"",H92&gt;=$G$6)</formula>
    </cfRule>
  </conditionalFormatting>
  <dataValidations count="1">
    <dataValidation type="list" sqref="D6" xr:uid="{00000000-0002-0000-0100-000001000000}">
      <formula1>"Trailing 12 Months,Year to Date,All Time"</formula1>
      <formula2>0</formula2>
    </dataValidation>
  </dataValidations>
  <pageMargins left="0.4" right="0.4" top="0.5" bottom="0.5" header="0.511811023622047" footer="0.511811023622047"/>
  <pageSetup fitToHeight="4" orientation="landscape" horizontalDpi="300" verticalDpi="300"/>
  <drawing r:id="rId1"/>
  <extLst>
    <ext xmlns:x14="http://schemas.microsoft.com/office/spreadsheetml/2009/9/main" uri="{CCE6A557-97BC-4b89-ADB6-D9C93CAAB3DF}">
      <x14:dataValidations xmlns:xm="http://schemas.microsoft.com/office/excel/2006/main" count="1">
        <x14:dataValidation type="list" xr:uid="{26090707-2830-A848-A948-136954B27C88}">
          <x14:formula1>
            <xm:f>Monthly_Summary!$A$2:$A$25</xm:f>
          </x14:formula1>
          <x14:formula2>
            <xm:f>0</xm:f>
          </x14:formula2>
          <xm:sqref>A6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0E064-2F3C-9048-9988-F23A60AAAEDC}">
  <sheetPr>
    <pageSetUpPr fitToPage="1"/>
  </sheetPr>
  <dimension ref="A1:P186"/>
  <sheetViews>
    <sheetView showGridLines="0" zoomScaleNormal="100" workbookViewId="0">
      <pane ySplit="5" topLeftCell="A135" activePane="bottomLeft" state="frozen"/>
      <selection pane="bottomLeft" activeCell="N68" sqref="N68"/>
    </sheetView>
  </sheetViews>
  <sheetFormatPr baseColWidth="10" defaultColWidth="8.6640625" defaultRowHeight="15" outlineLevelRow="1" x14ac:dyDescent="0.2"/>
  <cols>
    <col min="1" max="1" width="21" style="54" customWidth="1"/>
    <col min="2" max="2" width="18" style="54" customWidth="1"/>
    <col min="3" max="14" width="13" style="54" customWidth="1"/>
    <col min="15" max="16384" width="8.6640625" style="54"/>
  </cols>
  <sheetData>
    <row r="1" spans="1:14" ht="33.75" customHeight="1" x14ac:dyDescent="0.2">
      <c r="A1" s="142" t="s">
        <v>130</v>
      </c>
      <c r="B1" s="142"/>
      <c r="C1" s="142"/>
      <c r="D1" s="142"/>
      <c r="E1" s="142"/>
      <c r="F1" s="142"/>
      <c r="G1" s="142"/>
      <c r="H1" s="142"/>
      <c r="I1" s="142"/>
      <c r="J1" s="142"/>
      <c r="K1" s="142"/>
      <c r="L1" s="142"/>
      <c r="M1" s="142"/>
      <c r="N1" s="142"/>
    </row>
    <row r="2" spans="1:14" s="102" customFormat="1" ht="19.5" customHeight="1" x14ac:dyDescent="0.2">
      <c r="A2" s="143" t="str">
        <f>"Goal period: "&amp;D5&amp;"   |   Reporting month: "&amp;TEXT(A5,"mmm yyyy")&amp;"   |   Target coverage: "&amp;TEXT(G5,"0.0")&amp;"x   |   Prepared September 1, 2026"</f>
        <v>Goal period: Rest of Quarter   |   Reporting month: Aug 2025   |   Target coverage: 3.0x   |   Prepared September 1, 2026</v>
      </c>
      <c r="B2" s="143"/>
      <c r="C2" s="143"/>
      <c r="D2" s="143"/>
      <c r="E2" s="143"/>
      <c r="F2" s="143"/>
      <c r="G2" s="143"/>
      <c r="H2" s="143"/>
      <c r="I2" s="143"/>
      <c r="J2" s="143"/>
      <c r="K2" s="143"/>
      <c r="L2" s="143"/>
      <c r="M2" s="143"/>
      <c r="N2" s="143"/>
    </row>
    <row r="4" spans="1:14" s="102" customFormat="1" ht="13.5" customHeight="1" x14ac:dyDescent="0.2">
      <c r="A4" s="130" t="s">
        <v>7284</v>
      </c>
      <c r="B4" s="130"/>
      <c r="C4" s="130"/>
      <c r="D4" s="130" t="s">
        <v>7287</v>
      </c>
      <c r="E4" s="130"/>
      <c r="F4" s="130"/>
      <c r="G4" s="130" t="s">
        <v>131</v>
      </c>
      <c r="H4" s="130"/>
      <c r="I4" s="130" t="s">
        <v>2</v>
      </c>
      <c r="J4" s="130"/>
    </row>
    <row r="5" spans="1:14" ht="19.5" customHeight="1" x14ac:dyDescent="0.2">
      <c r="A5" s="145">
        <v>45870</v>
      </c>
      <c r="B5" s="146"/>
      <c r="C5" s="146"/>
      <c r="D5" s="155" t="s">
        <v>132</v>
      </c>
      <c r="E5" s="155"/>
      <c r="F5" s="156"/>
      <c r="G5" s="149">
        <v>3</v>
      </c>
      <c r="H5" s="150"/>
      <c r="I5" s="157" t="str">
        <f>TEXT(MAX(Fact_Quota!$B:$B),"mmm yyyy")</f>
        <v>Dec 2025</v>
      </c>
      <c r="J5" s="158"/>
    </row>
    <row r="7" spans="1:14" s="108" customFormat="1" ht="31" customHeight="1" x14ac:dyDescent="0.3">
      <c r="A7" s="132" t="str">
        <f>"PIPELINE COVERAGE SUMMARY FOR: " &amp;D5&amp;""</f>
        <v>PIPELINE COVERAGE SUMMARY FOR: Rest of Quarter</v>
      </c>
      <c r="B7" s="132"/>
      <c r="C7" s="132"/>
      <c r="D7" s="132"/>
      <c r="E7" s="132"/>
      <c r="F7" s="132"/>
      <c r="G7" s="132"/>
      <c r="H7" s="132"/>
      <c r="I7" s="132"/>
      <c r="J7" s="132"/>
      <c r="K7" s="132"/>
      <c r="L7" s="132"/>
      <c r="M7" s="132"/>
      <c r="N7" s="132"/>
    </row>
    <row r="9" spans="1:14" s="107" customFormat="1" ht="20" customHeight="1" x14ac:dyDescent="0.25">
      <c r="A9" s="133" t="s">
        <v>133</v>
      </c>
      <c r="B9" s="133"/>
      <c r="C9" s="133"/>
      <c r="D9" s="133" t="s">
        <v>134</v>
      </c>
      <c r="E9" s="133"/>
      <c r="F9" s="133"/>
      <c r="G9" s="133" t="s">
        <v>135</v>
      </c>
      <c r="H9" s="133"/>
      <c r="I9" s="133"/>
      <c r="J9" s="133" t="s">
        <v>136</v>
      </c>
      <c r="K9" s="133"/>
      <c r="L9" s="133"/>
    </row>
    <row r="10" spans="1:14" ht="30" customHeight="1" x14ac:dyDescent="0.2">
      <c r="A10" s="138">
        <f>SUM($H$137:$H$186)</f>
        <v>1603100</v>
      </c>
      <c r="B10" s="138"/>
      <c r="C10" s="138"/>
      <c r="D10" s="138">
        <f>SUM($I$137:$I$186)</f>
        <v>7275100</v>
      </c>
      <c r="E10" s="138"/>
      <c r="F10" s="138"/>
      <c r="G10" s="154">
        <f>IFERROR(SUM($I$137:$I$186)/SUM($H$137:$H$186),"")</f>
        <v>4.5381448443640444</v>
      </c>
      <c r="H10" s="154"/>
      <c r="I10" s="154"/>
      <c r="J10" s="140">
        <f>IFERROR(SUM($H$137:$H$186)/SUM($I$137:$I$186),"")</f>
        <v>0.22035435939024894</v>
      </c>
      <c r="K10" s="140"/>
      <c r="L10" s="140"/>
    </row>
    <row r="11" spans="1:14" s="105" customFormat="1" ht="12.75" customHeight="1" x14ac:dyDescent="0.2">
      <c r="A11" s="135" t="s">
        <v>137</v>
      </c>
      <c r="B11" s="135"/>
      <c r="C11" s="135"/>
      <c r="D11" s="135" t="s">
        <v>18</v>
      </c>
      <c r="E11" s="135"/>
      <c r="F11" s="135"/>
      <c r="G11" s="135" t="s">
        <v>138</v>
      </c>
      <c r="H11" s="135"/>
      <c r="I11" s="135"/>
      <c r="J11" s="135" t="s">
        <v>139</v>
      </c>
      <c r="K11" s="135"/>
      <c r="L11" s="135"/>
    </row>
    <row r="13" spans="1:14" s="125" customFormat="1" ht="34" customHeight="1" x14ac:dyDescent="0.25">
      <c r="A13" s="153" t="s">
        <v>140</v>
      </c>
      <c r="B13" s="153"/>
      <c r="C13" s="153"/>
      <c r="D13" s="153" t="s">
        <v>141</v>
      </c>
      <c r="E13" s="153"/>
      <c r="F13" s="153"/>
      <c r="G13" s="153" t="s">
        <v>142</v>
      </c>
      <c r="H13" s="153"/>
      <c r="I13" s="153"/>
      <c r="J13" s="153" t="s">
        <v>143</v>
      </c>
      <c r="K13" s="153"/>
      <c r="L13" s="153"/>
    </row>
    <row r="14" spans="1:14" ht="30" customHeight="1" x14ac:dyDescent="0.2">
      <c r="A14" s="137">
        <f>COUNTIFS($E$137:$E$186,"Active",$H$137:$H$186,"&gt;0",$J$137:$J$186,"&lt;"&amp;G5)</f>
        <v>20</v>
      </c>
      <c r="B14" s="137"/>
      <c r="C14" s="137"/>
      <c r="D14" s="137">
        <f>COUNTIFS($O$137:$O$186,"At Risk – Below Pace")</f>
        <v>22</v>
      </c>
      <c r="E14" s="137"/>
      <c r="F14" s="137"/>
      <c r="G14" s="137">
        <f>COUNTIFS($O$137:$O$186,"Goal Achieved")</f>
        <v>9</v>
      </c>
      <c r="H14" s="137"/>
      <c r="I14" s="137"/>
      <c r="J14" s="154">
        <f>IFERROR(AVERAGEIFS($J$137:$J$186,$H$137:$H$186,"&gt;0",$E$137:$E$186,"Active"),"")</f>
        <v>4.3845656079840687</v>
      </c>
      <c r="K14" s="154"/>
      <c r="L14" s="154"/>
    </row>
    <row r="15" spans="1:14" s="105" customFormat="1" ht="12.75" customHeight="1" x14ac:dyDescent="0.2">
      <c r="A15" s="135" t="s">
        <v>144</v>
      </c>
      <c r="B15" s="135"/>
      <c r="C15" s="135"/>
      <c r="D15" s="135" t="s">
        <v>145</v>
      </c>
      <c r="E15" s="135"/>
      <c r="F15" s="135"/>
      <c r="G15" s="135" t="s">
        <v>146</v>
      </c>
      <c r="H15" s="135"/>
      <c r="I15" s="135"/>
      <c r="J15" s="135" t="s">
        <v>147</v>
      </c>
      <c r="K15" s="135"/>
      <c r="L15" s="135"/>
    </row>
    <row r="18" spans="1:14" s="108" customFormat="1" ht="31" customHeight="1" x14ac:dyDescent="0.3">
      <c r="A18" s="132" t="str">
        <f>"COVERAGE BY TEAM &amp; REGION for: " &amp;D5&amp;""</f>
        <v>COVERAGE BY TEAM &amp; REGION for: Rest of Quarter</v>
      </c>
      <c r="B18" s="132"/>
      <c r="C18" s="132"/>
      <c r="D18" s="132"/>
      <c r="E18" s="132"/>
      <c r="F18" s="132"/>
      <c r="G18" s="132"/>
      <c r="H18" s="132"/>
      <c r="I18" s="132"/>
      <c r="J18" s="132"/>
      <c r="K18" s="132"/>
      <c r="L18" s="132"/>
      <c r="M18" s="132"/>
      <c r="N18" s="132"/>
    </row>
    <row r="21" spans="1:14" ht="18" customHeight="1" x14ac:dyDescent="0.2"/>
    <row r="35" spans="1:14" ht="18" customHeight="1" x14ac:dyDescent="0.2">
      <c r="A35" s="127" t="s">
        <v>20</v>
      </c>
      <c r="B35" s="93" t="s">
        <v>21</v>
      </c>
      <c r="C35" s="93" t="s">
        <v>148</v>
      </c>
      <c r="D35" s="93" t="s">
        <v>149</v>
      </c>
      <c r="E35" s="93" t="s">
        <v>150</v>
      </c>
      <c r="F35" s="93" t="s">
        <v>151</v>
      </c>
      <c r="H35" s="127" t="s">
        <v>30</v>
      </c>
      <c r="I35" s="93" t="s">
        <v>21</v>
      </c>
      <c r="J35" s="93" t="s">
        <v>148</v>
      </c>
      <c r="K35" s="93" t="s">
        <v>149</v>
      </c>
      <c r="L35" s="93" t="s">
        <v>150</v>
      </c>
      <c r="M35" s="93" t="s">
        <v>151</v>
      </c>
    </row>
    <row r="36" spans="1:14" x14ac:dyDescent="0.2">
      <c r="A36" s="92" t="s">
        <v>26</v>
      </c>
      <c r="B36" s="91">
        <f>COUNTIFS($C$137:$C$186,A36,$E$137:$E$186,"Active")</f>
        <v>21</v>
      </c>
      <c r="C36" s="90">
        <f>SUMIF($C$137:$C$186,A36,$H$137:$H$186)</f>
        <v>439200</v>
      </c>
      <c r="D36" s="90">
        <f>SUMIF($C$137:$C$186,A36,$I$137:$I$186)</f>
        <v>734400</v>
      </c>
      <c r="E36" s="101">
        <f>IFERROR(D36/C36,"")</f>
        <v>1.6721311475409837</v>
      </c>
      <c r="F36" s="101">
        <f>G5</f>
        <v>3</v>
      </c>
      <c r="H36" s="92" t="s">
        <v>31</v>
      </c>
      <c r="I36" s="91">
        <f>COUNTIFS($D$137:$D$186,H36,$E$137:$E$186,"Active")</f>
        <v>12</v>
      </c>
      <c r="J36" s="90">
        <f>SUMIF($D$137:$D$186,H36,$H$137:$H$186)</f>
        <v>530100</v>
      </c>
      <c r="K36" s="90">
        <f>SUMIF($D$137:$D$186,H36,$I$137:$I$186)</f>
        <v>3008300</v>
      </c>
      <c r="L36" s="101">
        <f>IFERROR(K36/J36,"")</f>
        <v>5.6749669873608752</v>
      </c>
      <c r="M36" s="101">
        <f>G5</f>
        <v>3</v>
      </c>
    </row>
    <row r="37" spans="1:14" x14ac:dyDescent="0.2">
      <c r="A37" s="88" t="s">
        <v>27</v>
      </c>
      <c r="B37" s="87">
        <f>COUNTIFS($C$137:$C$186,A37,$E$137:$E$186,"Active")</f>
        <v>13</v>
      </c>
      <c r="C37" s="86">
        <f>SUMIF($C$137:$C$186,A37,$H$137:$H$186)</f>
        <v>426700</v>
      </c>
      <c r="D37" s="86">
        <f>SUMIF($C$137:$C$186,A37,$I$137:$I$186)</f>
        <v>1245800</v>
      </c>
      <c r="E37" s="100">
        <f>IFERROR(D37/C37,"")</f>
        <v>2.9196156550269512</v>
      </c>
      <c r="F37" s="100">
        <f>G5</f>
        <v>3</v>
      </c>
      <c r="H37" s="88" t="s">
        <v>32</v>
      </c>
      <c r="I37" s="87">
        <f>COUNTIFS($D$137:$D$186,H37,$E$137:$E$186,"Active")</f>
        <v>10</v>
      </c>
      <c r="J37" s="86">
        <f>SUMIF($D$137:$D$186,H37,$H$137:$H$186)</f>
        <v>189800</v>
      </c>
      <c r="K37" s="86">
        <f>SUMIF($D$137:$D$186,H37,$I$137:$I$186)</f>
        <v>1052200</v>
      </c>
      <c r="L37" s="100">
        <f>IFERROR(K37/J37,"")</f>
        <v>5.5437302423603789</v>
      </c>
      <c r="M37" s="100">
        <f>G5</f>
        <v>3</v>
      </c>
    </row>
    <row r="38" spans="1:14" x14ac:dyDescent="0.2">
      <c r="A38" s="92" t="s">
        <v>28</v>
      </c>
      <c r="B38" s="91">
        <f>COUNTIFS($C$137:$C$186,A38,$E$137:$E$186,"Active")</f>
        <v>5</v>
      </c>
      <c r="C38" s="90">
        <f>SUMIF($C$137:$C$186,A38,$H$137:$H$186)</f>
        <v>231800</v>
      </c>
      <c r="D38" s="90">
        <f>SUMIF($C$137:$C$186,A38,$I$137:$I$186)</f>
        <v>2761100</v>
      </c>
      <c r="E38" s="101">
        <f>IFERROR(D38/C38,"")</f>
        <v>11.911561691113029</v>
      </c>
      <c r="F38" s="101">
        <f>G5</f>
        <v>3</v>
      </c>
      <c r="H38" s="92" t="s">
        <v>33</v>
      </c>
      <c r="I38" s="91">
        <f>COUNTIFS($D$137:$D$186,H38,$E$137:$E$186,"Active")</f>
        <v>13</v>
      </c>
      <c r="J38" s="90">
        <f>SUMIF($D$137:$D$186,H38,$H$137:$H$186)</f>
        <v>531100</v>
      </c>
      <c r="K38" s="90">
        <f>SUMIF($D$137:$D$186,H38,$I$137:$I$186)</f>
        <v>2064100</v>
      </c>
      <c r="L38" s="101">
        <f>IFERROR(K38/J38,"")</f>
        <v>3.8864620598757296</v>
      </c>
      <c r="M38" s="101">
        <f>G5</f>
        <v>3</v>
      </c>
    </row>
    <row r="39" spans="1:14" x14ac:dyDescent="0.2">
      <c r="A39" s="88" t="s">
        <v>29</v>
      </c>
      <c r="B39" s="87">
        <f>COUNTIFS($C$137:$C$186,A39,$E$137:$E$186,"Active")</f>
        <v>3</v>
      </c>
      <c r="C39" s="86">
        <f>SUMIF($C$137:$C$186,A39,$H$137:$H$186)</f>
        <v>505400</v>
      </c>
      <c r="D39" s="86">
        <f>SUMIF($C$137:$C$186,A39,$I$137:$I$186)</f>
        <v>2533800</v>
      </c>
      <c r="E39" s="100">
        <f>IFERROR(D39/C39,"")</f>
        <v>5.0134546893549663</v>
      </c>
      <c r="F39" s="100">
        <f>G5</f>
        <v>3</v>
      </c>
      <c r="H39" s="88" t="s">
        <v>34</v>
      </c>
      <c r="I39" s="87">
        <f>COUNTIFS($D$137:$D$186,H39,$E$137:$E$186,"Active")</f>
        <v>7</v>
      </c>
      <c r="J39" s="86">
        <f>SUMIF($D$137:$D$186,H39,$H$137:$H$186)</f>
        <v>352100</v>
      </c>
      <c r="K39" s="86">
        <f>SUMIF($D$137:$D$186,H39,$I$137:$I$186)</f>
        <v>1150500</v>
      </c>
      <c r="L39" s="100">
        <f>IFERROR(K39/J39,"")</f>
        <v>3.2675376313547289</v>
      </c>
      <c r="M39" s="100">
        <f>G5</f>
        <v>3</v>
      </c>
    </row>
    <row r="41" spans="1:14" s="108" customFormat="1" ht="31" customHeight="1" x14ac:dyDescent="0.3">
      <c r="A41" s="132" t="s">
        <v>7288</v>
      </c>
      <c r="B41" s="132"/>
      <c r="C41" s="132"/>
      <c r="D41" s="132"/>
      <c r="E41" s="132"/>
      <c r="F41" s="132"/>
      <c r="G41" s="132"/>
      <c r="H41" s="132"/>
      <c r="I41" s="132"/>
      <c r="J41" s="132"/>
      <c r="K41" s="132"/>
      <c r="L41" s="132"/>
      <c r="M41" s="132"/>
      <c r="N41" s="132"/>
    </row>
    <row r="60" spans="1:14" ht="15" customHeight="1" x14ac:dyDescent="0.2"/>
    <row r="61" spans="1:14" ht="15" customHeight="1" x14ac:dyDescent="0.2">
      <c r="B61" s="152" t="s">
        <v>154</v>
      </c>
      <c r="C61" s="152"/>
      <c r="D61" s="152"/>
      <c r="E61" s="152"/>
      <c r="F61" s="152"/>
      <c r="G61" s="152"/>
      <c r="H61" s="152"/>
      <c r="I61" s="152"/>
      <c r="J61" s="152"/>
      <c r="K61" s="152"/>
      <c r="L61" s="152"/>
      <c r="M61" s="113"/>
      <c r="N61" s="113"/>
    </row>
    <row r="62" spans="1:14" ht="22" customHeight="1" x14ac:dyDescent="0.2">
      <c r="A62" s="113"/>
      <c r="B62" s="152"/>
      <c r="C62" s="152"/>
      <c r="D62" s="152"/>
      <c r="E62" s="152"/>
      <c r="F62" s="152"/>
      <c r="G62" s="152"/>
      <c r="H62" s="152"/>
      <c r="I62" s="152"/>
      <c r="J62" s="152"/>
      <c r="K62" s="152"/>
      <c r="L62" s="152"/>
      <c r="M62" s="113"/>
      <c r="N62" s="113"/>
    </row>
    <row r="63" spans="1:14" x14ac:dyDescent="0.2">
      <c r="A63" s="113"/>
      <c r="B63" s="113"/>
      <c r="C63" s="113"/>
      <c r="D63" s="113"/>
      <c r="E63" s="113"/>
      <c r="F63" s="113"/>
      <c r="G63" s="113"/>
      <c r="H63" s="113"/>
      <c r="I63" s="113"/>
      <c r="J63" s="113"/>
      <c r="K63" s="113"/>
      <c r="L63" s="113"/>
      <c r="M63" s="113"/>
      <c r="N63" s="113"/>
    </row>
    <row r="64" spans="1:14" ht="27.75" customHeight="1" x14ac:dyDescent="0.2">
      <c r="B64" s="126" t="s">
        <v>36</v>
      </c>
      <c r="C64" s="84" t="s">
        <v>37</v>
      </c>
      <c r="D64" s="84" t="s">
        <v>20</v>
      </c>
      <c r="E64" s="84" t="s">
        <v>30</v>
      </c>
      <c r="F64" s="84" t="s">
        <v>148</v>
      </c>
      <c r="G64" s="84" t="s">
        <v>149</v>
      </c>
      <c r="H64" s="84" t="s">
        <v>150</v>
      </c>
      <c r="I64" s="84" t="s">
        <v>152</v>
      </c>
      <c r="J64" s="84" t="s">
        <v>153</v>
      </c>
      <c r="K64" s="84" t="s">
        <v>80</v>
      </c>
    </row>
    <row r="65" spans="2:11" ht="26" x14ac:dyDescent="0.2">
      <c r="B65" s="83">
        <v>1</v>
      </c>
      <c r="C65" s="81" t="str">
        <f>IFERROR(INDEX($B$137:$B$186,MATCH(LARGE($P$137:$P$186,1),$P$137:$P$186,0)),"")</f>
        <v>Petra Larsen</v>
      </c>
      <c r="D65" s="81" t="str">
        <f>IFERROR(INDEX($C$137:$C$186,MATCH(LARGE($P$137:$P$186,1),$P$137:$P$186,0)),"")</f>
        <v>Inside Sales</v>
      </c>
      <c r="E65" s="81" t="str">
        <f>IFERROR(INDEX($D$137:$D$186,MATCH(LARGE($P$137:$P$186,1),$P$137:$P$186,0)),"")</f>
        <v>EMEA</v>
      </c>
      <c r="F65" s="80">
        <f>IFERROR(INDEX($H$137:$H$186,MATCH(LARGE($P$137:$P$186,1),$P$137:$P$186,0)),"")</f>
        <v>47400</v>
      </c>
      <c r="G65" s="80">
        <f>IFERROR(INDEX($I$137:$I$186,MATCH(LARGE($P$137:$P$186,1),$P$137:$P$186,0)),"")</f>
        <v>28700</v>
      </c>
      <c r="H65" s="99">
        <f>IFERROR(INDEX($J$137:$J$186,MATCH(LARGE($P$137:$P$186,1),$P$137:$P$186,0)),"")</f>
        <v>0.60548523206751059</v>
      </c>
      <c r="I65" s="82">
        <f>IFERROR(INDEX($N$137:$N$186,MATCH(LARGE($P$137:$P$186,1),$P$137:$P$186,0)),"")</f>
        <v>1.6515679442508711</v>
      </c>
      <c r="J65" s="82">
        <f>IFERROR(INDEX($M$137:$M$186,MATCH(LARGE($P$137:$P$186,1),$P$137:$P$186,0)),"")</f>
        <v>0.27450980392156865</v>
      </c>
      <c r="K65" s="111" t="str">
        <f>IFERROR(INDEX($O$137:$O$186,MATCH(LARGE($P$137:$P$186,1),$P$137:$P$186,0)),"")</f>
        <v>At Risk – Below Pace</v>
      </c>
    </row>
    <row r="66" spans="2:11" ht="26" x14ac:dyDescent="0.2">
      <c r="B66" s="78">
        <v>2</v>
      </c>
      <c r="C66" s="76" t="str">
        <f>IFERROR(INDEX($B$137:$B$186,MATCH(LARGE($P$137:$P$186,2),$P$137:$P$186,0)),"")</f>
        <v>Liam Castro</v>
      </c>
      <c r="D66" s="76" t="str">
        <f>IFERROR(INDEX($C$137:$C$186,MATCH(LARGE($P$137:$P$186,2),$P$137:$P$186,0)),"")</f>
        <v>Inside Sales</v>
      </c>
      <c r="E66" s="76" t="str">
        <f>IFERROR(INDEX($D$137:$D$186,MATCH(LARGE($P$137:$P$186,2),$P$137:$P$186,0)),"")</f>
        <v>NAMER</v>
      </c>
      <c r="F66" s="75">
        <f>IFERROR(INDEX($H$137:$H$186,MATCH(LARGE($P$137:$P$186,2),$P$137:$P$186,0)),"")</f>
        <v>20600</v>
      </c>
      <c r="G66" s="75">
        <f>IFERROR(INDEX($I$137:$I$186,MATCH(LARGE($P$137:$P$186,2),$P$137:$P$186,0)),"")</f>
        <v>14500</v>
      </c>
      <c r="H66" s="98">
        <f>IFERROR(INDEX($J$137:$J$186,MATCH(LARGE($P$137:$P$186,2),$P$137:$P$186,0)),"")</f>
        <v>0.70388349514563109</v>
      </c>
      <c r="I66" s="77">
        <f>IFERROR(INDEX($N$137:$N$186,MATCH(LARGE($P$137:$P$186,2),$P$137:$P$186,0)),"")</f>
        <v>1.4206896551724137</v>
      </c>
      <c r="J66" s="77">
        <f>IFERROR(INDEX($M$137:$M$186,MATCH(LARGE($P$137:$P$186,2),$P$137:$P$186,0)),"")</f>
        <v>0.36521739130434783</v>
      </c>
      <c r="K66" s="112" t="str">
        <f>IFERROR(INDEX($O$137:$O$186,MATCH(LARGE($P$137:$P$186,2),$P$137:$P$186,0)),"")</f>
        <v>At Risk – Below Pace</v>
      </c>
    </row>
    <row r="67" spans="2:11" ht="26" x14ac:dyDescent="0.2">
      <c r="B67" s="83">
        <v>3</v>
      </c>
      <c r="C67" s="81" t="str">
        <f>IFERROR(INDEX($B$137:$B$186,MATCH(LARGE($P$137:$P$186,3),$P$137:$P$186,0)),"")</f>
        <v>Karim Rossi</v>
      </c>
      <c r="D67" s="81" t="str">
        <f>IFERROR(INDEX($C$137:$C$186,MATCH(LARGE($P$137:$P$186,3),$P$137:$P$186,0)),"")</f>
        <v>Inside Sales</v>
      </c>
      <c r="E67" s="81" t="str">
        <f>IFERROR(INDEX($D$137:$D$186,MATCH(LARGE($P$137:$P$186,3),$P$137:$P$186,0)),"")</f>
        <v>NAMER</v>
      </c>
      <c r="F67" s="80">
        <f>IFERROR(INDEX($H$137:$H$186,MATCH(LARGE($P$137:$P$186,3),$P$137:$P$186,0)),"")</f>
        <v>21500</v>
      </c>
      <c r="G67" s="80">
        <f>IFERROR(INDEX($I$137:$I$186,MATCH(LARGE($P$137:$P$186,3),$P$137:$P$186,0)),"")</f>
        <v>15600</v>
      </c>
      <c r="H67" s="99">
        <f>IFERROR(INDEX($J$137:$J$186,MATCH(LARGE($P$137:$P$186,3),$P$137:$P$186,0)),"")</f>
        <v>0.72558139534883725</v>
      </c>
      <c r="I67" s="82">
        <f>IFERROR(INDEX($N$137:$N$186,MATCH(LARGE($P$137:$P$186,3),$P$137:$P$186,0)),"")</f>
        <v>1.3782051282051282</v>
      </c>
      <c r="J67" s="82">
        <f>IFERROR(INDEX($M$137:$M$186,MATCH(LARGE($P$137:$P$186,3),$P$137:$P$186,0)),"")</f>
        <v>0.35922330097087379</v>
      </c>
      <c r="K67" s="111" t="str">
        <f>IFERROR(INDEX($O$137:$O$186,MATCH(LARGE($P$137:$P$186,3),$P$137:$P$186,0)),"")</f>
        <v>At Risk – Below Pace</v>
      </c>
    </row>
    <row r="68" spans="2:11" ht="26" x14ac:dyDescent="0.2">
      <c r="B68" s="78">
        <v>4</v>
      </c>
      <c r="C68" s="76" t="str">
        <f>IFERROR(INDEX($B$137:$B$186,MATCH(LARGE($P$137:$P$186,4),$P$137:$P$186,0)),"")</f>
        <v>Ben Silva</v>
      </c>
      <c r="D68" s="76" t="str">
        <f>IFERROR(INDEX($C$137:$C$186,MATCH(LARGE($P$137:$P$186,4),$P$137:$P$186,0)),"")</f>
        <v>Inside Sales</v>
      </c>
      <c r="E68" s="76" t="str">
        <f>IFERROR(INDEX($D$137:$D$186,MATCH(LARGE($P$137:$P$186,4),$P$137:$P$186,0)),"")</f>
        <v>LATAM</v>
      </c>
      <c r="F68" s="75">
        <f>IFERROR(INDEX($H$137:$H$186,MATCH(LARGE($P$137:$P$186,4),$P$137:$P$186,0)),"")</f>
        <v>16200</v>
      </c>
      <c r="G68" s="75">
        <f>IFERROR(INDEX($I$137:$I$186,MATCH(LARGE($P$137:$P$186,4),$P$137:$P$186,0)),"")</f>
        <v>12500</v>
      </c>
      <c r="H68" s="98">
        <f>IFERROR(INDEX($J$137:$J$186,MATCH(LARGE($P$137:$P$186,4),$P$137:$P$186,0)),"")</f>
        <v>0.77160493827160492</v>
      </c>
      <c r="I68" s="77">
        <f>IFERROR(INDEX($N$137:$N$186,MATCH(LARGE($P$137:$P$186,4),$P$137:$P$186,0)),"")</f>
        <v>1.296</v>
      </c>
      <c r="J68" s="77">
        <f>IFERROR(INDEX($M$137:$M$186,MATCH(LARGE($P$137:$P$186,4),$P$137:$P$186,0)),"")</f>
        <v>0.34905660377358488</v>
      </c>
      <c r="K68" s="112" t="str">
        <f>IFERROR(INDEX($O$137:$O$186,MATCH(LARGE($P$137:$P$186,4),$P$137:$P$186,0)),"")</f>
        <v>At Risk – Below Pace</v>
      </c>
    </row>
    <row r="69" spans="2:11" ht="26" x14ac:dyDescent="0.2">
      <c r="B69" s="83">
        <v>5</v>
      </c>
      <c r="C69" s="81" t="str">
        <f>IFERROR(INDEX($B$137:$B$186,MATCH(LARGE($P$137:$P$186,5),$P$137:$P$186,0)),"")</f>
        <v>Olivia Cohen</v>
      </c>
      <c r="D69" s="81" t="str">
        <f>IFERROR(INDEX($C$137:$C$186,MATCH(LARGE($P$137:$P$186,5),$P$137:$P$186,0)),"")</f>
        <v>Mid-Market</v>
      </c>
      <c r="E69" s="81" t="str">
        <f>IFERROR(INDEX($D$137:$D$186,MATCH(LARGE($P$137:$P$186,5),$P$137:$P$186,0)),"")</f>
        <v>APAC</v>
      </c>
      <c r="F69" s="80">
        <f>IFERROR(INDEX($H$137:$H$186,MATCH(LARGE($P$137:$P$186,5),$P$137:$P$186,0)),"")</f>
        <v>46900</v>
      </c>
      <c r="G69" s="80">
        <f>IFERROR(INDEX($I$137:$I$186,MATCH(LARGE($P$137:$P$186,5),$P$137:$P$186,0)),"")</f>
        <v>38100</v>
      </c>
      <c r="H69" s="99">
        <f>IFERROR(INDEX($J$137:$J$186,MATCH(LARGE($P$137:$P$186,5),$P$137:$P$186,0)),"")</f>
        <v>0.81236673773987211</v>
      </c>
      <c r="I69" s="82">
        <f>IFERROR(INDEX($N$137:$N$186,MATCH(LARGE($P$137:$P$186,5),$P$137:$P$186,0)),"")</f>
        <v>1.230971128608924</v>
      </c>
      <c r="J69" s="82">
        <f>IFERROR(INDEX($M$137:$M$186,MATCH(LARGE($P$137:$P$186,5),$P$137:$P$186,0)),"")</f>
        <v>0.20967741935483872</v>
      </c>
      <c r="K69" s="111" t="str">
        <f>IFERROR(INDEX($O$137:$O$186,MATCH(LARGE($P$137:$P$186,5),$P$137:$P$186,0)),"")</f>
        <v>At Risk – Below Pace</v>
      </c>
    </row>
    <row r="70" spans="2:11" ht="26" x14ac:dyDescent="0.2">
      <c r="B70" s="78">
        <v>6</v>
      </c>
      <c r="C70" s="76" t="str">
        <f>IFERROR(INDEX($B$137:$B$186,MATCH(LARGE($P$137:$P$186,6),$P$137:$P$186,0)),"")</f>
        <v>Karim Rivera</v>
      </c>
      <c r="D70" s="76" t="str">
        <f>IFERROR(INDEX($C$137:$C$186,MATCH(LARGE($P$137:$P$186,6),$P$137:$P$186,0)),"")</f>
        <v>Mid-Market</v>
      </c>
      <c r="E70" s="76" t="str">
        <f>IFERROR(INDEX($D$137:$D$186,MATCH(LARGE($P$137:$P$186,6),$P$137:$P$186,0)),"")</f>
        <v>APAC</v>
      </c>
      <c r="F70" s="75">
        <f>IFERROR(INDEX($H$137:$H$186,MATCH(LARGE($P$137:$P$186,6),$P$137:$P$186,0)),"")</f>
        <v>61900</v>
      </c>
      <c r="G70" s="75">
        <f>IFERROR(INDEX($I$137:$I$186,MATCH(LARGE($P$137:$P$186,6),$P$137:$P$186,0)),"")</f>
        <v>50800</v>
      </c>
      <c r="H70" s="98">
        <f>IFERROR(INDEX($J$137:$J$186,MATCH(LARGE($P$137:$P$186,6),$P$137:$P$186,0)),"")</f>
        <v>0.82067851373182554</v>
      </c>
      <c r="I70" s="77">
        <f>IFERROR(INDEX($N$137:$N$186,MATCH(LARGE($P$137:$P$186,6),$P$137:$P$186,0)),"")</f>
        <v>1.2185039370078741</v>
      </c>
      <c r="J70" s="77">
        <f>IFERROR(INDEX($M$137:$M$186,MATCH(LARGE($P$137:$P$186,6),$P$137:$P$186,0)),"")</f>
        <v>0</v>
      </c>
      <c r="K70" s="112" t="str">
        <f>IFERROR(INDEX($O$137:$O$186,MATCH(LARGE($P$137:$P$186,6),$P$137:$P$186,0)),"")</f>
        <v>At Risk – Below Pace</v>
      </c>
    </row>
    <row r="71" spans="2:11" ht="26" x14ac:dyDescent="0.2">
      <c r="B71" s="83">
        <v>7</v>
      </c>
      <c r="C71" s="81" t="str">
        <f>IFERROR(INDEX($B$137:$B$186,MATCH(LARGE($P$137:$P$186,7),$P$137:$P$186,0)),"")</f>
        <v>Milo Castro</v>
      </c>
      <c r="D71" s="81" t="str">
        <f>IFERROR(INDEX($C$137:$C$186,MATCH(LARGE($P$137:$P$186,7),$P$137:$P$186,0)),"")</f>
        <v>Inside Sales</v>
      </c>
      <c r="E71" s="81" t="str">
        <f>IFERROR(INDEX($D$137:$D$186,MATCH(LARGE($P$137:$P$186,7),$P$137:$P$186,0)),"")</f>
        <v>LATAM</v>
      </c>
      <c r="F71" s="80">
        <f>IFERROR(INDEX($H$137:$H$186,MATCH(LARGE($P$137:$P$186,7),$P$137:$P$186,0)),"")</f>
        <v>33600</v>
      </c>
      <c r="G71" s="80">
        <f>IFERROR(INDEX($I$137:$I$186,MATCH(LARGE($P$137:$P$186,7),$P$137:$P$186,0)),"")</f>
        <v>32900</v>
      </c>
      <c r="H71" s="99">
        <f>IFERROR(INDEX($J$137:$J$186,MATCH(LARGE($P$137:$P$186,7),$P$137:$P$186,0)),"")</f>
        <v>0.97916666666666663</v>
      </c>
      <c r="I71" s="82">
        <f>IFERROR(INDEX($N$137:$N$186,MATCH(LARGE($P$137:$P$186,7),$P$137:$P$186,0)),"")</f>
        <v>1.0212765957446808</v>
      </c>
      <c r="J71" s="82">
        <f>IFERROR(INDEX($M$137:$M$186,MATCH(LARGE($P$137:$P$186,7),$P$137:$P$186,0)),"")</f>
        <v>0.41880341880341881</v>
      </c>
      <c r="K71" s="111" t="str">
        <f>IFERROR(INDEX($O$137:$O$186,MATCH(LARGE($P$137:$P$186,7),$P$137:$P$186,0)),"")</f>
        <v>At Risk – Below Pace</v>
      </c>
    </row>
    <row r="72" spans="2:11" ht="26" x14ac:dyDescent="0.2">
      <c r="B72" s="78">
        <v>8</v>
      </c>
      <c r="C72" s="76" t="str">
        <f>IFERROR(INDEX($B$137:$B$186,MATCH(LARGE($P$137:$P$186,8),$P$137:$P$186,0)),"")</f>
        <v>Kenji Weber</v>
      </c>
      <c r="D72" s="76" t="str">
        <f>IFERROR(INDEX($C$137:$C$186,MATCH(LARGE($P$137:$P$186,8),$P$137:$P$186,0)),"")</f>
        <v>Inside Sales</v>
      </c>
      <c r="E72" s="76" t="str">
        <f>IFERROR(INDEX($D$137:$D$186,MATCH(LARGE($P$137:$P$186,8),$P$137:$P$186,0)),"")</f>
        <v>APAC</v>
      </c>
      <c r="F72" s="75">
        <f>IFERROR(INDEX($H$137:$H$186,MATCH(LARGE($P$137:$P$186,8),$P$137:$P$186,0)),"")</f>
        <v>31000</v>
      </c>
      <c r="G72" s="75">
        <f>IFERROR(INDEX($I$137:$I$186,MATCH(LARGE($P$137:$P$186,8),$P$137:$P$186,0)),"")</f>
        <v>34000</v>
      </c>
      <c r="H72" s="98">
        <f>IFERROR(INDEX($J$137:$J$186,MATCH(LARGE($P$137:$P$186,8),$P$137:$P$186,0)),"")</f>
        <v>1.096774193548387</v>
      </c>
      <c r="I72" s="77">
        <f>IFERROR(INDEX($N$137:$N$186,MATCH(LARGE($P$137:$P$186,8),$P$137:$P$186,0)),"")</f>
        <v>0.91176470588235292</v>
      </c>
      <c r="J72" s="77">
        <f>IFERROR(INDEX($M$137:$M$186,MATCH(LARGE($P$137:$P$186,8),$P$137:$P$186,0)),"")</f>
        <v>0.37323943661971831</v>
      </c>
      <c r="K72" s="112" t="str">
        <f>IFERROR(INDEX($O$137:$O$186,MATCH(LARGE($P$137:$P$186,8),$P$137:$P$186,0)),"")</f>
        <v>At Risk – Below Pace</v>
      </c>
    </row>
    <row r="73" spans="2:11" ht="26" x14ac:dyDescent="0.2">
      <c r="B73" s="83">
        <v>9</v>
      </c>
      <c r="C73" s="81" t="str">
        <f>IFERROR(INDEX($B$137:$B$186,MATCH(LARGE($P$137:$P$186,9),$P$137:$P$186,0)),"")</f>
        <v>Lucas Okafor</v>
      </c>
      <c r="D73" s="81" t="str">
        <f>IFERROR(INDEX($C$137:$C$186,MATCH(LARGE($P$137:$P$186,9),$P$137:$P$186,0)),"")</f>
        <v>Inside Sales</v>
      </c>
      <c r="E73" s="81" t="str">
        <f>IFERROR(INDEX($D$137:$D$186,MATCH(LARGE($P$137:$P$186,9),$P$137:$P$186,0)),"")</f>
        <v>APAC</v>
      </c>
      <c r="F73" s="80">
        <f>IFERROR(INDEX($H$137:$H$186,MATCH(LARGE($P$137:$P$186,9),$P$137:$P$186,0)),"")</f>
        <v>31000</v>
      </c>
      <c r="G73" s="80">
        <f>IFERROR(INDEX($I$137:$I$186,MATCH(LARGE($P$137:$P$186,9),$P$137:$P$186,0)),"")</f>
        <v>34200</v>
      </c>
      <c r="H73" s="99">
        <f>IFERROR(INDEX($J$137:$J$186,MATCH(LARGE($P$137:$P$186,9),$P$137:$P$186,0)),"")</f>
        <v>1.1032258064516129</v>
      </c>
      <c r="I73" s="82">
        <f>IFERROR(INDEX($N$137:$N$186,MATCH(LARGE($P$137:$P$186,9),$P$137:$P$186,0)),"")</f>
        <v>0.9064327485380117</v>
      </c>
      <c r="J73" s="82">
        <f>IFERROR(INDEX($M$137:$M$186,MATCH(LARGE($P$137:$P$186,9),$P$137:$P$186,0)),"")</f>
        <v>0.46666666666666667</v>
      </c>
      <c r="K73" s="111" t="str">
        <f>IFERROR(INDEX($O$137:$O$186,MATCH(LARGE($P$137:$P$186,9),$P$137:$P$186,0)),"")</f>
        <v>At Risk – Below Pace</v>
      </c>
    </row>
    <row r="74" spans="2:11" ht="26" x14ac:dyDescent="0.2">
      <c r="B74" s="78">
        <v>10</v>
      </c>
      <c r="C74" s="76" t="str">
        <f>IFERROR(INDEX($B$137:$B$186,MATCH(LARGE($P$137:$P$186,10),$P$137:$P$186,0)),"")</f>
        <v>Lea Weber</v>
      </c>
      <c r="D74" s="76" t="str">
        <f>IFERROR(INDEX($C$137:$C$186,MATCH(LARGE($P$137:$P$186,10),$P$137:$P$186,0)),"")</f>
        <v>Inside Sales</v>
      </c>
      <c r="E74" s="76" t="str">
        <f>IFERROR(INDEX($D$137:$D$186,MATCH(LARGE($P$137:$P$186,10),$P$137:$P$186,0)),"")</f>
        <v>EMEA</v>
      </c>
      <c r="F74" s="75">
        <f>IFERROR(INDEX($H$137:$H$186,MATCH(LARGE($P$137:$P$186,10),$P$137:$P$186,0)),"")</f>
        <v>13700</v>
      </c>
      <c r="G74" s="75">
        <f>IFERROR(INDEX($I$137:$I$186,MATCH(LARGE($P$137:$P$186,10),$P$137:$P$186,0)),"")</f>
        <v>17400</v>
      </c>
      <c r="H74" s="98">
        <f>IFERROR(INDEX($J$137:$J$186,MATCH(LARGE($P$137:$P$186,10),$P$137:$P$186,0)),"")</f>
        <v>1.2700729927007299</v>
      </c>
      <c r="I74" s="77">
        <f>IFERROR(INDEX($N$137:$N$186,MATCH(LARGE($P$137:$P$186,10),$P$137:$P$186,0)),"")</f>
        <v>0.78735632183908044</v>
      </c>
      <c r="J74" s="77">
        <f>IFERROR(INDEX($M$137:$M$186,MATCH(LARGE($P$137:$P$186,10),$P$137:$P$186,0)),"")</f>
        <v>0.36153846153846153</v>
      </c>
      <c r="K74" s="112" t="str">
        <f>IFERROR(INDEX($O$137:$O$186,MATCH(LARGE($P$137:$P$186,10),$P$137:$P$186,0)),"")</f>
        <v>At Risk – Below Pace</v>
      </c>
    </row>
    <row r="75" spans="2:11" ht="26" x14ac:dyDescent="0.2">
      <c r="B75" s="83">
        <v>11</v>
      </c>
      <c r="C75" s="81" t="str">
        <f>IFERROR(INDEX($B$137:$B$186,MATCH(LARGE($P$137:$P$186,11),$P$137:$P$186,0)),"")</f>
        <v>Rafael Weber</v>
      </c>
      <c r="D75" s="81" t="str">
        <f>IFERROR(INDEX($C$137:$C$186,MATCH(LARGE($P$137:$P$186,11),$P$137:$P$186,0)),"")</f>
        <v>Mid-Market</v>
      </c>
      <c r="E75" s="81" t="str">
        <f>IFERROR(INDEX($D$137:$D$186,MATCH(LARGE($P$137:$P$186,11),$P$137:$P$186,0)),"")</f>
        <v>APAC</v>
      </c>
      <c r="F75" s="80">
        <f>IFERROR(INDEX($H$137:$H$186,MATCH(LARGE($P$137:$P$186,11),$P$137:$P$186,0)),"")</f>
        <v>53900</v>
      </c>
      <c r="G75" s="80">
        <f>IFERROR(INDEX($I$137:$I$186,MATCH(LARGE($P$137:$P$186,11),$P$137:$P$186,0)),"")</f>
        <v>88600</v>
      </c>
      <c r="H75" s="99">
        <f>IFERROR(INDEX($J$137:$J$186,MATCH(LARGE($P$137:$P$186,11),$P$137:$P$186,0)),"")</f>
        <v>1.6437847866419295</v>
      </c>
      <c r="I75" s="82">
        <f>IFERROR(INDEX($N$137:$N$186,MATCH(LARGE($P$137:$P$186,11),$P$137:$P$186,0)),"")</f>
        <v>0.60835214446952601</v>
      </c>
      <c r="J75" s="82">
        <f>IFERROR(INDEX($M$137:$M$186,MATCH(LARGE($P$137:$P$186,11),$P$137:$P$186,0)),"")</f>
        <v>0.22222222222222221</v>
      </c>
      <c r="K75" s="111" t="str">
        <f>IFERROR(INDEX($O$137:$O$186,MATCH(LARGE($P$137:$P$186,11),$P$137:$P$186,0)),"")</f>
        <v>At Risk – Below Pace</v>
      </c>
    </row>
    <row r="76" spans="2:11" ht="26" x14ac:dyDescent="0.2">
      <c r="B76" s="78">
        <v>12</v>
      </c>
      <c r="C76" s="76" t="str">
        <f>IFERROR(INDEX($B$137:$B$186,MATCH(LARGE($P$137:$P$186,12),$P$137:$P$186,0)),"")</f>
        <v>Ana Kim</v>
      </c>
      <c r="D76" s="76" t="str">
        <f>IFERROR(INDEX($C$137:$C$186,MATCH(LARGE($P$137:$P$186,12),$P$137:$P$186,0)),"")</f>
        <v>Mid-Market</v>
      </c>
      <c r="E76" s="76" t="str">
        <f>IFERROR(INDEX($D$137:$D$186,MATCH(LARGE($P$137:$P$186,12),$P$137:$P$186,0)),"")</f>
        <v>APAC</v>
      </c>
      <c r="F76" s="75">
        <f>IFERROR(INDEX($H$137:$H$186,MATCH(LARGE($P$137:$P$186,12),$P$137:$P$186,0)),"")</f>
        <v>35100</v>
      </c>
      <c r="G76" s="75">
        <f>IFERROR(INDEX($I$137:$I$186,MATCH(LARGE($P$137:$P$186,12),$P$137:$P$186,0)),"")</f>
        <v>61400</v>
      </c>
      <c r="H76" s="98">
        <f>IFERROR(INDEX($J$137:$J$186,MATCH(LARGE($P$137:$P$186,12),$P$137:$P$186,0)),"")</f>
        <v>1.7492877492877492</v>
      </c>
      <c r="I76" s="77">
        <f>IFERROR(INDEX($N$137:$N$186,MATCH(LARGE($P$137:$P$186,12),$P$137:$P$186,0)),"")</f>
        <v>0.57166123778501632</v>
      </c>
      <c r="J76" s="77">
        <f>IFERROR(INDEX($M$137:$M$186,MATCH(LARGE($P$137:$P$186,12),$P$137:$P$186,0)),"")</f>
        <v>0.16666666666666666</v>
      </c>
      <c r="K76" s="112" t="str">
        <f>IFERROR(INDEX($O$137:$O$186,MATCH(LARGE($P$137:$P$186,12),$P$137:$P$186,0)),"")</f>
        <v>At Risk – Below Pace</v>
      </c>
    </row>
    <row r="77" spans="2:11" ht="26" x14ac:dyDescent="0.2">
      <c r="B77" s="83">
        <v>13</v>
      </c>
      <c r="C77" s="81" t="str">
        <f>IFERROR(INDEX($B$137:$B$186,MATCH(LARGE($P$137:$P$186,13),$P$137:$P$186,0)),"")</f>
        <v>Hugo Santos</v>
      </c>
      <c r="D77" s="81" t="str">
        <f>IFERROR(INDEX($C$137:$C$186,MATCH(LARGE($P$137:$P$186,13),$P$137:$P$186,0)),"")</f>
        <v>Inside Sales</v>
      </c>
      <c r="E77" s="81" t="str">
        <f>IFERROR(INDEX($D$137:$D$186,MATCH(LARGE($P$137:$P$186,13),$P$137:$P$186,0)),"")</f>
        <v>EMEA</v>
      </c>
      <c r="F77" s="80">
        <f>IFERROR(INDEX($H$137:$H$186,MATCH(LARGE($P$137:$P$186,13),$P$137:$P$186,0)),"")</f>
        <v>28700</v>
      </c>
      <c r="G77" s="80">
        <f>IFERROR(INDEX($I$137:$I$186,MATCH(LARGE($P$137:$P$186,13),$P$137:$P$186,0)),"")</f>
        <v>52600</v>
      </c>
      <c r="H77" s="99">
        <f>IFERROR(INDEX($J$137:$J$186,MATCH(LARGE($P$137:$P$186,13),$P$137:$P$186,0)),"")</f>
        <v>1.8327526132404182</v>
      </c>
      <c r="I77" s="82">
        <f>IFERROR(INDEX($N$137:$N$186,MATCH(LARGE($P$137:$P$186,13),$P$137:$P$186,0)),"")</f>
        <v>0.54562737642585546</v>
      </c>
      <c r="J77" s="82">
        <f>IFERROR(INDEX($M$137:$M$186,MATCH(LARGE($P$137:$P$186,13),$P$137:$P$186,0)),"")</f>
        <v>0.31304347826086959</v>
      </c>
      <c r="K77" s="111" t="str">
        <f>IFERROR(INDEX($O$137:$O$186,MATCH(LARGE($P$137:$P$186,13),$P$137:$P$186,0)),"")</f>
        <v>At Risk – Below Pace</v>
      </c>
    </row>
    <row r="78" spans="2:11" ht="26" x14ac:dyDescent="0.2">
      <c r="B78" s="78">
        <v>14</v>
      </c>
      <c r="C78" s="76" t="str">
        <f>IFERROR(INDEX($B$137:$B$186,MATCH(LARGE($P$137:$P$186,14),$P$137:$P$186,0)),"")</f>
        <v>Priya Weber</v>
      </c>
      <c r="D78" s="76" t="str">
        <f>IFERROR(INDEX($C$137:$C$186,MATCH(LARGE($P$137:$P$186,14),$P$137:$P$186,0)),"")</f>
        <v>Inside Sales</v>
      </c>
      <c r="E78" s="76" t="str">
        <f>IFERROR(INDEX($D$137:$D$186,MATCH(LARGE($P$137:$P$186,14),$P$137:$P$186,0)),"")</f>
        <v>NAMER</v>
      </c>
      <c r="F78" s="75">
        <f>IFERROR(INDEX($H$137:$H$186,MATCH(LARGE($P$137:$P$186,14),$P$137:$P$186,0)),"")</f>
        <v>25900</v>
      </c>
      <c r="G78" s="75">
        <f>IFERROR(INDEX($I$137:$I$186,MATCH(LARGE($P$137:$P$186,14),$P$137:$P$186,0)),"")</f>
        <v>48200</v>
      </c>
      <c r="H78" s="98">
        <f>IFERROR(INDEX($J$137:$J$186,MATCH(LARGE($P$137:$P$186,14),$P$137:$P$186,0)),"")</f>
        <v>1.8610038610038611</v>
      </c>
      <c r="I78" s="77">
        <f>IFERROR(INDEX($N$137:$N$186,MATCH(LARGE($P$137:$P$186,14),$P$137:$P$186,0)),"")</f>
        <v>0.53734439834024894</v>
      </c>
      <c r="J78" s="77">
        <f>IFERROR(INDEX($M$137:$M$186,MATCH(LARGE($P$137:$P$186,14),$P$137:$P$186,0)),"")</f>
        <v>0.41964285714285715</v>
      </c>
      <c r="K78" s="112" t="str">
        <f>IFERROR(INDEX($O$137:$O$186,MATCH(LARGE($P$137:$P$186,14),$P$137:$P$186,0)),"")</f>
        <v>At Risk – Below Pace</v>
      </c>
    </row>
    <row r="79" spans="2:11" ht="26" x14ac:dyDescent="0.2">
      <c r="B79" s="83">
        <v>15</v>
      </c>
      <c r="C79" s="81" t="str">
        <f>IFERROR(INDEX($B$137:$B$186,MATCH(LARGE($P$137:$P$186,15),$P$137:$P$186,0)),"")</f>
        <v>Sara Duarte</v>
      </c>
      <c r="D79" s="81" t="str">
        <f>IFERROR(INDEX($C$137:$C$186,MATCH(LARGE($P$137:$P$186,15),$P$137:$P$186,0)),"")</f>
        <v>Inside Sales</v>
      </c>
      <c r="E79" s="81" t="str">
        <f>IFERROR(INDEX($D$137:$D$186,MATCH(LARGE($P$137:$P$186,15),$P$137:$P$186,0)),"")</f>
        <v>APAC</v>
      </c>
      <c r="F79" s="80">
        <f>IFERROR(INDEX($H$137:$H$186,MATCH(LARGE($P$137:$P$186,15),$P$137:$P$186,0)),"")</f>
        <v>17100</v>
      </c>
      <c r="G79" s="80">
        <f>IFERROR(INDEX($I$137:$I$186,MATCH(LARGE($P$137:$P$186,15),$P$137:$P$186,0)),"")</f>
        <v>35300</v>
      </c>
      <c r="H79" s="99">
        <f>IFERROR(INDEX($J$137:$J$186,MATCH(LARGE($P$137:$P$186,15),$P$137:$P$186,0)),"")</f>
        <v>2.064327485380117</v>
      </c>
      <c r="I79" s="82">
        <f>IFERROR(INDEX($N$137:$N$186,MATCH(LARGE($P$137:$P$186,15),$P$137:$P$186,0)),"")</f>
        <v>0.48441926345609065</v>
      </c>
      <c r="J79" s="82">
        <f>IFERROR(INDEX($M$137:$M$186,MATCH(LARGE($P$137:$P$186,15),$P$137:$P$186,0)),"")</f>
        <v>0.66666666666666663</v>
      </c>
      <c r="K79" s="111" t="str">
        <f>IFERROR(INDEX($O$137:$O$186,MATCH(LARGE($P$137:$P$186,15),$P$137:$P$186,0)),"")</f>
        <v>Watch – Under Target Coverage</v>
      </c>
    </row>
    <row r="80" spans="2:11" ht="26" x14ac:dyDescent="0.2">
      <c r="B80" s="78">
        <v>16</v>
      </c>
      <c r="C80" s="76" t="str">
        <f>IFERROR(INDEX($B$137:$B$186,MATCH(LARGE($P$137:$P$186,16),$P$137:$P$186,0)),"")</f>
        <v>Riley Haddad</v>
      </c>
      <c r="D80" s="76" t="str">
        <f>IFERROR(INDEX($C$137:$C$186,MATCH(LARGE($P$137:$P$186,16),$P$137:$P$186,0)),"")</f>
        <v>Inside Sales</v>
      </c>
      <c r="E80" s="76" t="str">
        <f>IFERROR(INDEX($D$137:$D$186,MATCH(LARGE($P$137:$P$186,16),$P$137:$P$186,0)),"")</f>
        <v>APAC</v>
      </c>
      <c r="F80" s="75">
        <f>IFERROR(INDEX($H$137:$H$186,MATCH(LARGE($P$137:$P$186,16),$P$137:$P$186,0)),"")</f>
        <v>17100</v>
      </c>
      <c r="G80" s="75">
        <f>IFERROR(INDEX($I$137:$I$186,MATCH(LARGE($P$137:$P$186,16),$P$137:$P$186,0)),"")</f>
        <v>39700</v>
      </c>
      <c r="H80" s="98">
        <f>IFERROR(INDEX($J$137:$J$186,MATCH(LARGE($P$137:$P$186,16),$P$137:$P$186,0)),"")</f>
        <v>2.3216374269005846</v>
      </c>
      <c r="I80" s="77">
        <f>IFERROR(INDEX($N$137:$N$186,MATCH(LARGE($P$137:$P$186,16),$P$137:$P$186,0)),"")</f>
        <v>0.43073047858942065</v>
      </c>
      <c r="J80" s="77">
        <f>IFERROR(INDEX($M$137:$M$186,MATCH(LARGE($P$137:$P$186,16),$P$137:$P$186,0)),"")</f>
        <v>0.32653061224489793</v>
      </c>
      <c r="K80" s="112" t="str">
        <f>IFERROR(INDEX($O$137:$O$186,MATCH(LARGE($P$137:$P$186,16),$P$137:$P$186,0)),"")</f>
        <v>At Risk – Below Pace</v>
      </c>
    </row>
    <row r="81" spans="2:11" ht="26" x14ac:dyDescent="0.2">
      <c r="B81" s="83">
        <v>17</v>
      </c>
      <c r="C81" s="81" t="str">
        <f>IFERROR(INDEX($B$137:$B$186,MATCH(LARGE($P$137:$P$186,17),$P$137:$P$186,0)),"")</f>
        <v>Morgan Larsen</v>
      </c>
      <c r="D81" s="81" t="str">
        <f>IFERROR(INDEX($C$137:$C$186,MATCH(LARGE($P$137:$P$186,17),$P$137:$P$186,0)),"")</f>
        <v>Mid-Market</v>
      </c>
      <c r="E81" s="81" t="str">
        <f>IFERROR(INDEX($D$137:$D$186,MATCH(LARGE($P$137:$P$186,17),$P$137:$P$186,0)),"")</f>
        <v>NAMER</v>
      </c>
      <c r="F81" s="80">
        <f>IFERROR(INDEX($H$137:$H$186,MATCH(LARGE($P$137:$P$186,17),$P$137:$P$186,0)),"")</f>
        <v>28900</v>
      </c>
      <c r="G81" s="80">
        <f>IFERROR(INDEX($I$137:$I$186,MATCH(LARGE($P$137:$P$186,17),$P$137:$P$186,0)),"")</f>
        <v>72700</v>
      </c>
      <c r="H81" s="99">
        <f>IFERROR(INDEX($J$137:$J$186,MATCH(LARGE($P$137:$P$186,17),$P$137:$P$186,0)),"")</f>
        <v>2.5155709342560555</v>
      </c>
      <c r="I81" s="82">
        <f>IFERROR(INDEX($N$137:$N$186,MATCH(LARGE($P$137:$P$186,17),$P$137:$P$186,0)),"")</f>
        <v>0.39752407152682256</v>
      </c>
      <c r="J81" s="82">
        <f>IFERROR(INDEX($M$137:$M$186,MATCH(LARGE($P$137:$P$186,17),$P$137:$P$186,0)),"")</f>
        <v>0.2857142857142857</v>
      </c>
      <c r="K81" s="111" t="str">
        <f>IFERROR(INDEX($O$137:$O$186,MATCH(LARGE($P$137:$P$186,17),$P$137:$P$186,0)),"")</f>
        <v>At Risk – Below Pace</v>
      </c>
    </row>
    <row r="82" spans="2:11" ht="26" x14ac:dyDescent="0.2">
      <c r="B82" s="78">
        <v>18</v>
      </c>
      <c r="C82" s="76" t="str">
        <f>IFERROR(INDEX($B$137:$B$186,MATCH(LARGE($P$137:$P$186,18),$P$137:$P$186,0)),"")</f>
        <v>Jamie Silva</v>
      </c>
      <c r="D82" s="76" t="str">
        <f>IFERROR(INDEX($C$137:$C$186,MATCH(LARGE($P$137:$P$186,18),$P$137:$P$186,0)),"")</f>
        <v>Inside Sales</v>
      </c>
      <c r="E82" s="76" t="str">
        <f>IFERROR(INDEX($D$137:$D$186,MATCH(LARGE($P$137:$P$186,18),$P$137:$P$186,0)),"")</f>
        <v>EMEA</v>
      </c>
      <c r="F82" s="75">
        <f>IFERROR(INDEX($H$137:$H$186,MATCH(LARGE($P$137:$P$186,18),$P$137:$P$186,0)),"")</f>
        <v>15300</v>
      </c>
      <c r="G82" s="75">
        <f>IFERROR(INDEX($I$137:$I$186,MATCH(LARGE($P$137:$P$186,18),$P$137:$P$186,0)),"")</f>
        <v>41600</v>
      </c>
      <c r="H82" s="98">
        <f>IFERROR(INDEX($J$137:$J$186,MATCH(LARGE($P$137:$P$186,18),$P$137:$P$186,0)),"")</f>
        <v>2.7189542483660132</v>
      </c>
      <c r="I82" s="77">
        <f>IFERROR(INDEX($N$137:$N$186,MATCH(LARGE($P$137:$P$186,18),$P$137:$P$186,0)),"")</f>
        <v>0.36778846153846156</v>
      </c>
      <c r="J82" s="77">
        <f>IFERROR(INDEX($M$137:$M$186,MATCH(LARGE($P$137:$P$186,18),$P$137:$P$186,0)),"")</f>
        <v>0.37234042553191488</v>
      </c>
      <c r="K82" s="112" t="str">
        <f>IFERROR(INDEX($O$137:$O$186,MATCH(LARGE($P$137:$P$186,18),$P$137:$P$186,0)),"")</f>
        <v>Watch – Under Target Coverage</v>
      </c>
    </row>
    <row r="83" spans="2:11" ht="26" x14ac:dyDescent="0.2">
      <c r="B83" s="83">
        <v>19</v>
      </c>
      <c r="C83" s="81" t="str">
        <f>IFERROR(INDEX($B$137:$B$186,MATCH(LARGE($P$137:$P$186,19),$P$137:$P$186,0)),"")</f>
        <v>Liam Muller</v>
      </c>
      <c r="D83" s="81" t="str">
        <f>IFERROR(INDEX($C$137:$C$186,MATCH(LARGE($P$137:$P$186,19),$P$137:$P$186,0)),"")</f>
        <v>Inside Sales</v>
      </c>
      <c r="E83" s="81" t="str">
        <f>IFERROR(INDEX($D$137:$D$186,MATCH(LARGE($P$137:$P$186,19),$P$137:$P$186,0)),"")</f>
        <v>EMEA</v>
      </c>
      <c r="F83" s="80">
        <f>IFERROR(INDEX($H$137:$H$186,MATCH(LARGE($P$137:$P$186,19),$P$137:$P$186,0)),"")</f>
        <v>18500</v>
      </c>
      <c r="G83" s="80">
        <f>IFERROR(INDEX($I$137:$I$186,MATCH(LARGE($P$137:$P$186,19),$P$137:$P$186,0)),"")</f>
        <v>50800</v>
      </c>
      <c r="H83" s="99">
        <f>IFERROR(INDEX($J$137:$J$186,MATCH(LARGE($P$137:$P$186,19),$P$137:$P$186,0)),"")</f>
        <v>2.7459459459459459</v>
      </c>
      <c r="I83" s="82">
        <f>IFERROR(INDEX($N$137:$N$186,MATCH(LARGE($P$137:$P$186,19),$P$137:$P$186,0)),"")</f>
        <v>0.36417322834645671</v>
      </c>
      <c r="J83" s="82">
        <f>IFERROR(INDEX($M$137:$M$186,MATCH(LARGE($P$137:$P$186,19),$P$137:$P$186,0)),"")</f>
        <v>0.35964912280701755</v>
      </c>
      <c r="K83" s="111" t="str">
        <f>IFERROR(INDEX($O$137:$O$186,MATCH(LARGE($P$137:$P$186,19),$P$137:$P$186,0)),"")</f>
        <v>At Risk – Below Pace</v>
      </c>
    </row>
    <row r="84" spans="2:11" ht="26" x14ac:dyDescent="0.2">
      <c r="B84" s="78">
        <v>20</v>
      </c>
      <c r="C84" s="76" t="str">
        <f>IFERROR(INDEX($B$137:$B$186,MATCH(LARGE($P$137:$P$186,20),$P$137:$P$186,0)),"")</f>
        <v>Yuki Dubois</v>
      </c>
      <c r="D84" s="76" t="str">
        <f>IFERROR(INDEX($C$137:$C$186,MATCH(LARGE($P$137:$P$186,20),$P$137:$P$186,0)),"")</f>
        <v>Mid-Market</v>
      </c>
      <c r="E84" s="76" t="str">
        <f>IFERROR(INDEX($D$137:$D$186,MATCH(LARGE($P$137:$P$186,20),$P$137:$P$186,0)),"")</f>
        <v>LATAM</v>
      </c>
      <c r="F84" s="75">
        <f>IFERROR(INDEX($H$137:$H$186,MATCH(LARGE($P$137:$P$186,20),$P$137:$P$186,0)),"")</f>
        <v>44000</v>
      </c>
      <c r="G84" s="75">
        <f>IFERROR(INDEX($I$137:$I$186,MATCH(LARGE($P$137:$P$186,20),$P$137:$P$186,0)),"")</f>
        <v>129900</v>
      </c>
      <c r="H84" s="98">
        <f>IFERROR(INDEX($J$137:$J$186,MATCH(LARGE($P$137:$P$186,20),$P$137:$P$186,0)),"")</f>
        <v>2.9522727272727272</v>
      </c>
      <c r="I84" s="77">
        <f>IFERROR(INDEX($N$137:$N$186,MATCH(LARGE($P$137:$P$186,20),$P$137:$P$186,0)),"")</f>
        <v>0.33872209391839875</v>
      </c>
      <c r="J84" s="77">
        <f>IFERROR(INDEX($M$137:$M$186,MATCH(LARGE($P$137:$P$186,20),$P$137:$P$186,0)),"")</f>
        <v>0.40350877192982454</v>
      </c>
      <c r="K84" s="112" t="str">
        <f>IFERROR(INDEX($O$137:$O$186,MATCH(LARGE($P$137:$P$186,20),$P$137:$P$186,0)),"")</f>
        <v>Watch – Under Target Coverage</v>
      </c>
    </row>
    <row r="85" spans="2:11" x14ac:dyDescent="0.2">
      <c r="B85" s="83">
        <v>21</v>
      </c>
      <c r="C85" s="81" t="str">
        <f>IFERROR(INDEX($B$137:$B$186,MATCH(LARGE($P$137:$P$186,21),$P$137:$P$186,0)),"")</f>
        <v>Ivy Adler</v>
      </c>
      <c r="D85" s="81" t="str">
        <f>IFERROR(INDEX($C$137:$C$186,MATCH(LARGE($P$137:$P$186,21),$P$137:$P$186,0)),"")</f>
        <v>Mid-Market</v>
      </c>
      <c r="E85" s="81" t="str">
        <f>IFERROR(INDEX($D$137:$D$186,MATCH(LARGE($P$137:$P$186,21),$P$137:$P$186,0)),"")</f>
        <v>APAC</v>
      </c>
      <c r="F85" s="80">
        <f>IFERROR(INDEX($H$137:$H$186,MATCH(LARGE($P$137:$P$186,21),$P$137:$P$186,0)),"")</f>
        <v>32000</v>
      </c>
      <c r="G85" s="80">
        <f>IFERROR(INDEX($I$137:$I$186,MATCH(LARGE($P$137:$P$186,21),$P$137:$P$186,0)),"")</f>
        <v>106400</v>
      </c>
      <c r="H85" s="99">
        <f>IFERROR(INDEX($J$137:$J$186,MATCH(LARGE($P$137:$P$186,21),$P$137:$P$186,0)),"")</f>
        <v>3.3250000000000002</v>
      </c>
      <c r="I85" s="82">
        <f>IFERROR(INDEX($N$137:$N$186,MATCH(LARGE($P$137:$P$186,21),$P$137:$P$186,0)),"")</f>
        <v>0.3007518796992481</v>
      </c>
      <c r="J85" s="82">
        <f>IFERROR(INDEX($M$137:$M$186,MATCH(LARGE($P$137:$P$186,21),$P$137:$P$186,0)),"")</f>
        <v>0.34666666666666668</v>
      </c>
      <c r="K85" s="111" t="str">
        <f>IFERROR(INDEX($O$137:$O$186,MATCH(LARGE($P$137:$P$186,21),$P$137:$P$186,0)),"")</f>
        <v>On Track</v>
      </c>
    </row>
    <row r="86" spans="2:11" x14ac:dyDescent="0.2">
      <c r="B86" s="78">
        <v>22</v>
      </c>
      <c r="C86" s="76" t="str">
        <f>IFERROR(INDEX($B$137:$B$186,MATCH(LARGE($P$137:$P$186,22),$P$137:$P$186,0)),"")</f>
        <v>Cameron Lund</v>
      </c>
      <c r="D86" s="76" t="str">
        <f>IFERROR(INDEX($C$137:$C$186,MATCH(LARGE($P$137:$P$186,22),$P$137:$P$186,0)),"")</f>
        <v>Strategic</v>
      </c>
      <c r="E86" s="76" t="str">
        <f>IFERROR(INDEX($D$137:$D$186,MATCH(LARGE($P$137:$P$186,22),$P$137:$P$186,0)),"")</f>
        <v>LATAM</v>
      </c>
      <c r="F86" s="75">
        <f>IFERROR(INDEX($H$137:$H$186,MATCH(LARGE($P$137:$P$186,22),$P$137:$P$186,0)),"")</f>
        <v>145000</v>
      </c>
      <c r="G86" s="75">
        <f>IFERROR(INDEX($I$137:$I$186,MATCH(LARGE($P$137:$P$186,22),$P$137:$P$186,0)),"")</f>
        <v>520000</v>
      </c>
      <c r="H86" s="98">
        <f>IFERROR(INDEX($J$137:$J$186,MATCH(LARGE($P$137:$P$186,22),$P$137:$P$186,0)),"")</f>
        <v>3.5862068965517242</v>
      </c>
      <c r="I86" s="77">
        <f>IFERROR(INDEX($N$137:$N$186,MATCH(LARGE($P$137:$P$186,22),$P$137:$P$186,0)),"")</f>
        <v>0.27884615384615385</v>
      </c>
      <c r="J86" s="77">
        <f>IFERROR(INDEX($M$137:$M$186,MATCH(LARGE($P$137:$P$186,22),$P$137:$P$186,0)),"")</f>
        <v>0.4</v>
      </c>
      <c r="K86" s="112" t="str">
        <f>IFERROR(INDEX($O$137:$O$186,MATCH(LARGE($P$137:$P$186,22),$P$137:$P$186,0)),"")</f>
        <v>On Track</v>
      </c>
    </row>
    <row r="87" spans="2:11" x14ac:dyDescent="0.2">
      <c r="B87" s="83">
        <v>23</v>
      </c>
      <c r="C87" s="81" t="str">
        <f>IFERROR(INDEX($B$137:$B$186,MATCH(LARGE($P$137:$P$186,23),$P$137:$P$186,0)),"")</f>
        <v>Felix Okafor</v>
      </c>
      <c r="D87" s="81" t="str">
        <f>IFERROR(INDEX($C$137:$C$186,MATCH(LARGE($P$137:$P$186,23),$P$137:$P$186,0)),"")</f>
        <v>Mid-Market</v>
      </c>
      <c r="E87" s="81" t="str">
        <f>IFERROR(INDEX($D$137:$D$186,MATCH(LARGE($P$137:$P$186,23),$P$137:$P$186,0)),"")</f>
        <v>EMEA</v>
      </c>
      <c r="F87" s="80">
        <f>IFERROR(INDEX($H$137:$H$186,MATCH(LARGE($P$137:$P$186,23),$P$137:$P$186,0)),"")</f>
        <v>33700</v>
      </c>
      <c r="G87" s="80">
        <f>IFERROR(INDEX($I$137:$I$186,MATCH(LARGE($P$137:$P$186,23),$P$137:$P$186,0)),"")</f>
        <v>122800</v>
      </c>
      <c r="H87" s="99">
        <f>IFERROR(INDEX($J$137:$J$186,MATCH(LARGE($P$137:$P$186,23),$P$137:$P$186,0)),"")</f>
        <v>3.6439169139465877</v>
      </c>
      <c r="I87" s="82">
        <f>IFERROR(INDEX($N$137:$N$186,MATCH(LARGE($P$137:$P$186,23),$P$137:$P$186,0)),"")</f>
        <v>0.27442996742671011</v>
      </c>
      <c r="J87" s="82">
        <f>IFERROR(INDEX($M$137:$M$186,MATCH(LARGE($P$137:$P$186,23),$P$137:$P$186,0)),"")</f>
        <v>0.32876712328767121</v>
      </c>
      <c r="K87" s="111" t="str">
        <f>IFERROR(INDEX($O$137:$O$186,MATCH(LARGE($P$137:$P$186,23),$P$137:$P$186,0)),"")</f>
        <v>On Track</v>
      </c>
    </row>
    <row r="88" spans="2:11" x14ac:dyDescent="0.2">
      <c r="B88" s="78">
        <v>24</v>
      </c>
      <c r="C88" s="76" t="str">
        <f>IFERROR(INDEX($B$137:$B$186,MATCH(LARGE($P$137:$P$186,24),$P$137:$P$186,0)),"")</f>
        <v>Erik Duarte</v>
      </c>
      <c r="D88" s="76" t="str">
        <f>IFERROR(INDEX($C$137:$C$186,MATCH(LARGE($P$137:$P$186,24),$P$137:$P$186,0)),"")</f>
        <v>Mid-Market</v>
      </c>
      <c r="E88" s="76" t="str">
        <f>IFERROR(INDEX($D$137:$D$186,MATCH(LARGE($P$137:$P$186,24),$P$137:$P$186,0)),"")</f>
        <v>EMEA</v>
      </c>
      <c r="F88" s="75">
        <f>IFERROR(INDEX($H$137:$H$186,MATCH(LARGE($P$137:$P$186,24),$P$137:$P$186,0)),"")</f>
        <v>27500</v>
      </c>
      <c r="G88" s="75">
        <f>IFERROR(INDEX($I$137:$I$186,MATCH(LARGE($P$137:$P$186,24),$P$137:$P$186,0)),"")</f>
        <v>100700</v>
      </c>
      <c r="H88" s="98">
        <f>IFERROR(INDEX($J$137:$J$186,MATCH(LARGE($P$137:$P$186,24),$P$137:$P$186,0)),"")</f>
        <v>3.6618181818181816</v>
      </c>
      <c r="I88" s="77">
        <f>IFERROR(INDEX($N$137:$N$186,MATCH(LARGE($P$137:$P$186,24),$P$137:$P$186,0)),"")</f>
        <v>0.27308838133068519</v>
      </c>
      <c r="J88" s="77">
        <f>IFERROR(INDEX($M$137:$M$186,MATCH(LARGE($P$137:$P$186,24),$P$137:$P$186,0)),"")</f>
        <v>0.30864197530864196</v>
      </c>
      <c r="K88" s="112" t="str">
        <f>IFERROR(INDEX($O$137:$O$186,MATCH(LARGE($P$137:$P$186,24),$P$137:$P$186,0)),"")</f>
        <v>On Track</v>
      </c>
    </row>
    <row r="89" spans="2:11" x14ac:dyDescent="0.2">
      <c r="B89" s="83">
        <v>25</v>
      </c>
      <c r="C89" s="81" t="str">
        <f>IFERROR(INDEX($B$137:$B$186,MATCH(LARGE($P$137:$P$186,25),$P$137:$P$186,0)),"")</f>
        <v>Noah Adler</v>
      </c>
      <c r="D89" s="81" t="str">
        <f>IFERROR(INDEX($C$137:$C$186,MATCH(LARGE($P$137:$P$186,25),$P$137:$P$186,0)),"")</f>
        <v>Inside Sales</v>
      </c>
      <c r="E89" s="81" t="str">
        <f>IFERROR(INDEX($D$137:$D$186,MATCH(LARGE($P$137:$P$186,25),$P$137:$P$186,0)),"")</f>
        <v>NAMER</v>
      </c>
      <c r="F89" s="80">
        <f>IFERROR(INDEX($H$137:$H$186,MATCH(LARGE($P$137:$P$186,25),$P$137:$P$186,0)),"")</f>
        <v>9200</v>
      </c>
      <c r="G89" s="80">
        <f>IFERROR(INDEX($I$137:$I$186,MATCH(LARGE($P$137:$P$186,25),$P$137:$P$186,0)),"")</f>
        <v>35100</v>
      </c>
      <c r="H89" s="99">
        <f>IFERROR(INDEX($J$137:$J$186,MATCH(LARGE($P$137:$P$186,25),$P$137:$P$186,0)),"")</f>
        <v>3.8152173913043477</v>
      </c>
      <c r="I89" s="82">
        <f>IFERROR(INDEX($N$137:$N$186,MATCH(LARGE($P$137:$P$186,25),$P$137:$P$186,0)),"")</f>
        <v>0.2621082621082621</v>
      </c>
      <c r="J89" s="82">
        <f>IFERROR(INDEX($M$137:$M$186,MATCH(LARGE($P$137:$P$186,25),$P$137:$P$186,0)),"")</f>
        <v>1</v>
      </c>
      <c r="K89" s="111" t="str">
        <f>IFERROR(INDEX($O$137:$O$186,MATCH(LARGE($P$137:$P$186,25),$P$137:$P$186,0)),"")</f>
        <v>On Track</v>
      </c>
    </row>
    <row r="90" spans="2:11" x14ac:dyDescent="0.2">
      <c r="B90" s="78">
        <v>26</v>
      </c>
      <c r="C90" s="76" t="str">
        <f>IFERROR(INDEX($B$137:$B$186,MATCH(LARGE($P$137:$P$186,26),$P$137:$P$186,0)),"")</f>
        <v>Erik Kim</v>
      </c>
      <c r="D90" s="76" t="str">
        <f>IFERROR(INDEX($C$137:$C$186,MATCH(LARGE($P$137:$P$186,26),$P$137:$P$186,0)),"")</f>
        <v>Mid-Market</v>
      </c>
      <c r="E90" s="76" t="str">
        <f>IFERROR(INDEX($D$137:$D$186,MATCH(LARGE($P$137:$P$186,26),$P$137:$P$186,0)),"")</f>
        <v>NAMER</v>
      </c>
      <c r="F90" s="75">
        <f>IFERROR(INDEX($H$137:$H$186,MATCH(LARGE($P$137:$P$186,26),$P$137:$P$186,0)),"")</f>
        <v>32000</v>
      </c>
      <c r="G90" s="75">
        <f>IFERROR(INDEX($I$137:$I$186,MATCH(LARGE($P$137:$P$186,26),$P$137:$P$186,0)),"")</f>
        <v>124300</v>
      </c>
      <c r="H90" s="98">
        <f>IFERROR(INDEX($J$137:$J$186,MATCH(LARGE($P$137:$P$186,26),$P$137:$P$186,0)),"")</f>
        <v>3.8843749999999999</v>
      </c>
      <c r="I90" s="77">
        <f>IFERROR(INDEX($N$137:$N$186,MATCH(LARGE($P$137:$P$186,26),$P$137:$P$186,0)),"")</f>
        <v>0.25744167337087692</v>
      </c>
      <c r="J90" s="77">
        <f>IFERROR(INDEX($M$137:$M$186,MATCH(LARGE($P$137:$P$186,26),$P$137:$P$186,0)),"")</f>
        <v>0.34793187347931875</v>
      </c>
      <c r="K90" s="112" t="str">
        <f>IFERROR(INDEX($O$137:$O$186,MATCH(LARGE($P$137:$P$186,26),$P$137:$P$186,0)),"")</f>
        <v>On Track</v>
      </c>
    </row>
    <row r="91" spans="2:11" ht="26" x14ac:dyDescent="0.2">
      <c r="B91" s="83">
        <v>27</v>
      </c>
      <c r="C91" s="81" t="str">
        <f>IFERROR(INDEX($B$137:$B$186,MATCH(LARGE($P$137:$P$186,27),$P$137:$P$186,0)),"")</f>
        <v>Noah Kim</v>
      </c>
      <c r="D91" s="81" t="str">
        <f>IFERROR(INDEX($C$137:$C$186,MATCH(LARGE($P$137:$P$186,27),$P$137:$P$186,0)),"")</f>
        <v>Enterprise</v>
      </c>
      <c r="E91" s="81" t="str">
        <f>IFERROR(INDEX($D$137:$D$186,MATCH(LARGE($P$137:$P$186,27),$P$137:$P$186,0)),"")</f>
        <v>LATAM</v>
      </c>
      <c r="F91" s="80">
        <f>IFERROR(INDEX($H$137:$H$186,MATCH(LARGE($P$137:$P$186,27),$P$137:$P$186,0)),"")</f>
        <v>76700</v>
      </c>
      <c r="G91" s="80">
        <f>IFERROR(INDEX($I$137:$I$186,MATCH(LARGE($P$137:$P$186,27),$P$137:$P$186,0)),"")</f>
        <v>316300</v>
      </c>
      <c r="H91" s="99">
        <f>IFERROR(INDEX($J$137:$J$186,MATCH(LARGE($P$137:$P$186,27),$P$137:$P$186,0)),"")</f>
        <v>4.1238591916558018</v>
      </c>
      <c r="I91" s="82">
        <f>IFERROR(INDEX($N$137:$N$186,MATCH(LARGE($P$137:$P$186,27),$P$137:$P$186,0)),"")</f>
        <v>0.24249130572241542</v>
      </c>
      <c r="J91" s="82">
        <f>IFERROR(INDEX($M$137:$M$186,MATCH(LARGE($P$137:$P$186,27),$P$137:$P$186,0)),"")</f>
        <v>0.19047619047619047</v>
      </c>
      <c r="K91" s="111" t="str">
        <f>IFERROR(INDEX($O$137:$O$186,MATCH(LARGE($P$137:$P$186,27),$P$137:$P$186,0)),"")</f>
        <v>At Risk – Below Pace</v>
      </c>
    </row>
    <row r="92" spans="2:11" x14ac:dyDescent="0.2">
      <c r="B92" s="78">
        <v>28</v>
      </c>
      <c r="C92" s="76" t="str">
        <f>IFERROR(INDEX($B$137:$B$186,MATCH(LARGE($P$137:$P$186,28),$P$137:$P$186,0)),"")</f>
        <v>Milo Weber</v>
      </c>
      <c r="D92" s="76" t="str">
        <f>IFERROR(INDEX($C$137:$C$186,MATCH(LARGE($P$137:$P$186,28),$P$137:$P$186,0)),"")</f>
        <v>Enterprise</v>
      </c>
      <c r="E92" s="76" t="str">
        <f>IFERROR(INDEX($D$137:$D$186,MATCH(LARGE($P$137:$P$186,28),$P$137:$P$186,0)),"")</f>
        <v>NAMER</v>
      </c>
      <c r="F92" s="75">
        <f>IFERROR(INDEX($H$137:$H$186,MATCH(LARGE($P$137:$P$186,28),$P$137:$P$186,0)),"")</f>
        <v>82700</v>
      </c>
      <c r="G92" s="75">
        <f>IFERROR(INDEX($I$137:$I$186,MATCH(LARGE($P$137:$P$186,28),$P$137:$P$186,0)),"")</f>
        <v>385500</v>
      </c>
      <c r="H92" s="98">
        <f>IFERROR(INDEX($J$137:$J$186,MATCH(LARGE($P$137:$P$186,28),$P$137:$P$186,0)),"")</f>
        <v>4.6614268440145104</v>
      </c>
      <c r="I92" s="77">
        <f>IFERROR(INDEX($N$137:$N$186,MATCH(LARGE($P$137:$P$186,28),$P$137:$P$186,0)),"")</f>
        <v>0.21452658884565498</v>
      </c>
      <c r="J92" s="77">
        <f>IFERROR(INDEX($M$137:$M$186,MATCH(LARGE($P$137:$P$186,28),$P$137:$P$186,0)),"")</f>
        <v>0.21875</v>
      </c>
      <c r="K92" s="112" t="str">
        <f>IFERROR(INDEX($O$137:$O$186,MATCH(LARGE($P$137:$P$186,28),$P$137:$P$186,0)),"")</f>
        <v>On Track</v>
      </c>
    </row>
    <row r="93" spans="2:11" x14ac:dyDescent="0.2">
      <c r="B93" s="83">
        <v>29</v>
      </c>
      <c r="C93" s="81" t="str">
        <f>IFERROR(INDEX($B$137:$B$186,MATCH(LARGE($P$137:$P$186,29),$P$137:$P$186,0)),"")</f>
        <v>Jamie Schmidt</v>
      </c>
      <c r="D93" s="81" t="str">
        <f>IFERROR(INDEX($C$137:$C$186,MATCH(LARGE($P$137:$P$186,29),$P$137:$P$186,0)),"")</f>
        <v>Inside Sales</v>
      </c>
      <c r="E93" s="81" t="str">
        <f>IFERROR(INDEX($D$137:$D$186,MATCH(LARGE($P$137:$P$186,29),$P$137:$P$186,0)),"")</f>
        <v>APAC</v>
      </c>
      <c r="F93" s="80">
        <f>IFERROR(INDEX($H$137:$H$186,MATCH(LARGE($P$137:$P$186,29),$P$137:$P$186,0)),"")</f>
        <v>10700</v>
      </c>
      <c r="G93" s="80">
        <f>IFERROR(INDEX($I$137:$I$186,MATCH(LARGE($P$137:$P$186,29),$P$137:$P$186,0)),"")</f>
        <v>52700</v>
      </c>
      <c r="H93" s="99">
        <f>IFERROR(INDEX($J$137:$J$186,MATCH(LARGE($P$137:$P$186,29),$P$137:$P$186,0)),"")</f>
        <v>4.9252336448598131</v>
      </c>
      <c r="I93" s="82">
        <f>IFERROR(INDEX($N$137:$N$186,MATCH(LARGE($P$137:$P$186,29),$P$137:$P$186,0)),"")</f>
        <v>0.20303605313092979</v>
      </c>
      <c r="J93" s="82">
        <f>IFERROR(INDEX($M$137:$M$186,MATCH(LARGE($P$137:$P$186,29),$P$137:$P$186,0)),"")</f>
        <v>0.35353535353535354</v>
      </c>
      <c r="K93" s="111" t="str">
        <f>IFERROR(INDEX($O$137:$O$186,MATCH(LARGE($P$137:$P$186,29),$P$137:$P$186,0)),"")</f>
        <v>On Track</v>
      </c>
    </row>
    <row r="94" spans="2:11" x14ac:dyDescent="0.2">
      <c r="B94" s="78">
        <v>30</v>
      </c>
      <c r="C94" s="76" t="str">
        <f>IFERROR(INDEX($B$137:$B$186,MATCH(LARGE($P$137:$P$186,30),$P$137:$P$186,0)),"")</f>
        <v>Morgan Weber</v>
      </c>
      <c r="D94" s="76" t="str">
        <f>IFERROR(INDEX($C$137:$C$186,MATCH(LARGE($P$137:$P$186,30),$P$137:$P$186,0)),"")</f>
        <v>Mid-Market</v>
      </c>
      <c r="E94" s="76" t="str">
        <f>IFERROR(INDEX($D$137:$D$186,MATCH(LARGE($P$137:$P$186,30),$P$137:$P$186,0)),"")</f>
        <v>NAMER</v>
      </c>
      <c r="F94" s="75">
        <f>IFERROR(INDEX($H$137:$H$186,MATCH(LARGE($P$137:$P$186,30),$P$137:$P$186,0)),"")</f>
        <v>19800</v>
      </c>
      <c r="G94" s="75">
        <f>IFERROR(INDEX($I$137:$I$186,MATCH(LARGE($P$137:$P$186,30),$P$137:$P$186,0)),"")</f>
        <v>114900</v>
      </c>
      <c r="H94" s="98">
        <f>IFERROR(INDEX($J$137:$J$186,MATCH(LARGE($P$137:$P$186,30),$P$137:$P$186,0)),"")</f>
        <v>5.8030303030303028</v>
      </c>
      <c r="I94" s="77">
        <f>IFERROR(INDEX($N$137:$N$186,MATCH(LARGE($P$137:$P$186,30),$P$137:$P$186,0)),"")</f>
        <v>0.17232375979112272</v>
      </c>
      <c r="J94" s="77">
        <f>IFERROR(INDEX($M$137:$M$186,MATCH(LARGE($P$137:$P$186,30),$P$137:$P$186,0)),"")</f>
        <v>0.30769230769230771</v>
      </c>
      <c r="K94" s="112" t="str">
        <f>IFERROR(INDEX($O$137:$O$186,MATCH(LARGE($P$137:$P$186,30),$P$137:$P$186,0)),"")</f>
        <v>On Track</v>
      </c>
    </row>
    <row r="95" spans="2:11" ht="26" x14ac:dyDescent="0.2">
      <c r="B95" s="83">
        <v>31</v>
      </c>
      <c r="C95" s="81" t="str">
        <f>IFERROR(INDEX($B$137:$B$186,MATCH(LARGE($P$137:$P$186,31),$P$137:$P$186,0)),"")</f>
        <v>Lucas Cohen</v>
      </c>
      <c r="D95" s="81" t="str">
        <f>IFERROR(INDEX($C$137:$C$186,MATCH(LARGE($P$137:$P$186,31),$P$137:$P$186,0)),"")</f>
        <v>Enterprise</v>
      </c>
      <c r="E95" s="81" t="str">
        <f>IFERROR(INDEX($D$137:$D$186,MATCH(LARGE($P$137:$P$186,31),$P$137:$P$186,0)),"")</f>
        <v>NAMER</v>
      </c>
      <c r="F95" s="80">
        <f>IFERROR(INDEX($H$137:$H$186,MATCH(LARGE($P$137:$P$186,31),$P$137:$P$186,0)),"")</f>
        <v>72400</v>
      </c>
      <c r="G95" s="80">
        <f>IFERROR(INDEX($I$137:$I$186,MATCH(LARGE($P$137:$P$186,31),$P$137:$P$186,0)),"")</f>
        <v>432800</v>
      </c>
      <c r="H95" s="99">
        <f>IFERROR(INDEX($J$137:$J$186,MATCH(LARGE($P$137:$P$186,31),$P$137:$P$186,0)),"")</f>
        <v>5.9779005524861875</v>
      </c>
      <c r="I95" s="82">
        <f>IFERROR(INDEX($N$137:$N$186,MATCH(LARGE($P$137:$P$186,31),$P$137:$P$186,0)),"")</f>
        <v>0.16728280961182995</v>
      </c>
      <c r="J95" s="82">
        <f>IFERROR(INDEX($M$137:$M$186,MATCH(LARGE($P$137:$P$186,31),$P$137:$P$186,0)),"")</f>
        <v>0.16666666666666666</v>
      </c>
      <c r="K95" s="111" t="str">
        <f>IFERROR(INDEX($O$137:$O$186,MATCH(LARGE($P$137:$P$186,31),$P$137:$P$186,0)),"")</f>
        <v>At Risk – Below Pace</v>
      </c>
    </row>
    <row r="96" spans="2:11" x14ac:dyDescent="0.2">
      <c r="B96" s="78">
        <v>32</v>
      </c>
      <c r="C96" s="76" t="str">
        <f>IFERROR(INDEX($B$137:$B$186,MATCH(LARGE($P$137:$P$186,32),$P$137:$P$186,0)),"")</f>
        <v>Sara Andersson</v>
      </c>
      <c r="D96" s="76" t="str">
        <f>IFERROR(INDEX($C$137:$C$186,MATCH(LARGE($P$137:$P$186,32),$P$137:$P$186,0)),"")</f>
        <v>Strategic</v>
      </c>
      <c r="E96" s="76" t="str">
        <f>IFERROR(INDEX($D$137:$D$186,MATCH(LARGE($P$137:$P$186,32),$P$137:$P$186,0)),"")</f>
        <v>APAC</v>
      </c>
      <c r="F96" s="75">
        <f>IFERROR(INDEX($H$137:$H$186,MATCH(LARGE($P$137:$P$186,32),$P$137:$P$186,0)),"")</f>
        <v>143900</v>
      </c>
      <c r="G96" s="75">
        <f>IFERROR(INDEX($I$137:$I$186,MATCH(LARGE($P$137:$P$186,32),$P$137:$P$186,0)),"")</f>
        <v>861300</v>
      </c>
      <c r="H96" s="98">
        <f>IFERROR(INDEX($J$137:$J$186,MATCH(LARGE($P$137:$P$186,32),$P$137:$P$186,0)),"")</f>
        <v>5.9854065323141068</v>
      </c>
      <c r="I96" s="77">
        <f>IFERROR(INDEX($N$137:$N$186,MATCH(LARGE($P$137:$P$186,32),$P$137:$P$186,0)),"")</f>
        <v>0.16707302914199465</v>
      </c>
      <c r="J96" s="77">
        <f>IFERROR(INDEX($M$137:$M$186,MATCH(LARGE($P$137:$P$186,32),$P$137:$P$186,0)),"")</f>
        <v>0.28125</v>
      </c>
      <c r="K96" s="112" t="str">
        <f>IFERROR(INDEX($O$137:$O$186,MATCH(LARGE($P$137:$P$186,32),$P$137:$P$186,0)),"")</f>
        <v>On Track</v>
      </c>
    </row>
    <row r="97" spans="2:11" x14ac:dyDescent="0.2">
      <c r="B97" s="83">
        <v>33</v>
      </c>
      <c r="C97" s="81" t="str">
        <f>IFERROR(INDEX($B$137:$B$186,MATCH(LARGE($P$137:$P$186,33),$P$137:$P$186,0)),"")</f>
        <v>Alex Okafor</v>
      </c>
      <c r="D97" s="81" t="str">
        <f>IFERROR(INDEX($C$137:$C$186,MATCH(LARGE($P$137:$P$186,33),$P$137:$P$186,0)),"")</f>
        <v>Inside Sales</v>
      </c>
      <c r="E97" s="81" t="str">
        <f>IFERROR(INDEX($D$137:$D$186,MATCH(LARGE($P$137:$P$186,33),$P$137:$P$186,0)),"")</f>
        <v>EMEA</v>
      </c>
      <c r="F97" s="80">
        <f>IFERROR(INDEX($H$137:$H$186,MATCH(LARGE($P$137:$P$186,33),$P$137:$P$186,0)),"")</f>
        <v>5000</v>
      </c>
      <c r="G97" s="80">
        <f>IFERROR(INDEX($I$137:$I$186,MATCH(LARGE($P$137:$P$186,33),$P$137:$P$186,0)),"")</f>
        <v>40500</v>
      </c>
      <c r="H97" s="99">
        <f>IFERROR(INDEX($J$137:$J$186,MATCH(LARGE($P$137:$P$186,33),$P$137:$P$186,0)),"")</f>
        <v>8.1</v>
      </c>
      <c r="I97" s="82">
        <f>IFERROR(INDEX($N$137:$N$186,MATCH(LARGE($P$137:$P$186,33),$P$137:$P$186,0)),"")</f>
        <v>0.12345679012345678</v>
      </c>
      <c r="J97" s="82">
        <f>IFERROR(INDEX($M$137:$M$186,MATCH(LARGE($P$137:$P$186,33),$P$137:$P$186,0)),"")</f>
        <v>0.42592592592592593</v>
      </c>
      <c r="K97" s="111" t="str">
        <f>IFERROR(INDEX($O$137:$O$186,MATCH(LARGE($P$137:$P$186,33),$P$137:$P$186,0)),"")</f>
        <v>On Track</v>
      </c>
    </row>
    <row r="98" spans="2:11" x14ac:dyDescent="0.2">
      <c r="B98" s="78">
        <v>34</v>
      </c>
      <c r="C98" s="76" t="str">
        <f>IFERROR(INDEX($B$137:$B$186,MATCH(LARGE($P$137:$P$186,34),$P$137:$P$186,0)),"")</f>
        <v>Riley Duarte</v>
      </c>
      <c r="D98" s="76" t="str">
        <f>IFERROR(INDEX($C$137:$C$186,MATCH(LARGE($P$137:$P$186,34),$P$137:$P$186,0)),"")</f>
        <v>Inside Sales</v>
      </c>
      <c r="E98" s="76" t="str">
        <f>IFERROR(INDEX($D$137:$D$186,MATCH(LARGE($P$137:$P$186,34),$P$137:$P$186,0)),"")</f>
        <v>APAC</v>
      </c>
      <c r="F98" s="75">
        <f>IFERROR(INDEX($H$137:$H$186,MATCH(LARGE($P$137:$P$186,34),$P$137:$P$186,0)),"")</f>
        <v>3800</v>
      </c>
      <c r="G98" s="75">
        <f>IFERROR(INDEX($I$137:$I$186,MATCH(LARGE($P$137:$P$186,34),$P$137:$P$186,0)),"")</f>
        <v>39300</v>
      </c>
      <c r="H98" s="98">
        <f>IFERROR(INDEX($J$137:$J$186,MATCH(LARGE($P$137:$P$186,34),$P$137:$P$186,0)),"")</f>
        <v>10.342105263157896</v>
      </c>
      <c r="I98" s="77">
        <f>IFERROR(INDEX($N$137:$N$186,MATCH(LARGE($P$137:$P$186,34),$P$137:$P$186,0)),"")</f>
        <v>9.6692111959287536E-2</v>
      </c>
      <c r="J98" s="77">
        <f>IFERROR(INDEX($M$137:$M$186,MATCH(LARGE($P$137:$P$186,34),$P$137:$P$186,0)),"")</f>
        <v>0.34793187347931875</v>
      </c>
      <c r="K98" s="112" t="str">
        <f>IFERROR(INDEX($O$137:$O$186,MATCH(LARGE($P$137:$P$186,34),$P$137:$P$186,0)),"")</f>
        <v>On Track</v>
      </c>
    </row>
    <row r="99" spans="2:11" x14ac:dyDescent="0.2">
      <c r="B99" s="83">
        <v>35</v>
      </c>
      <c r="C99" s="81" t="str">
        <f>IFERROR(INDEX($B$137:$B$186,MATCH(LARGE($P$137:$P$186,35),$P$137:$P$186,0)),"")</f>
        <v>Ana Sato</v>
      </c>
      <c r="D99" s="81" t="str">
        <f>IFERROR(INDEX($C$137:$C$186,MATCH(LARGE($P$137:$P$186,35),$P$137:$P$186,0)),"")</f>
        <v>Mid-Market</v>
      </c>
      <c r="E99" s="81" t="str">
        <f>IFERROR(INDEX($D$137:$D$186,MATCH(LARGE($P$137:$P$186,35),$P$137:$P$186,0)),"")</f>
        <v>APAC</v>
      </c>
      <c r="F99" s="80">
        <f>IFERROR(INDEX($H$137:$H$186,MATCH(LARGE($P$137:$P$186,35),$P$137:$P$186,0)),"")</f>
        <v>11000</v>
      </c>
      <c r="G99" s="80">
        <f>IFERROR(INDEX($I$137:$I$186,MATCH(LARGE($P$137:$P$186,35),$P$137:$P$186,0)),"")</f>
        <v>142600</v>
      </c>
      <c r="H99" s="99">
        <f>IFERROR(INDEX($J$137:$J$186,MATCH(LARGE($P$137:$P$186,35),$P$137:$P$186,0)),"")</f>
        <v>12.963636363636363</v>
      </c>
      <c r="I99" s="82">
        <f>IFERROR(INDEX($N$137:$N$186,MATCH(LARGE($P$137:$P$186,35),$P$137:$P$186,0)),"")</f>
        <v>7.7138849929873771E-2</v>
      </c>
      <c r="J99" s="82">
        <f>IFERROR(INDEX($M$137:$M$186,MATCH(LARGE($P$137:$P$186,35),$P$137:$P$186,0)),"")</f>
        <v>0.66666666666666663</v>
      </c>
      <c r="K99" s="111" t="str">
        <f>IFERROR(INDEX($O$137:$O$186,MATCH(LARGE($P$137:$P$186,35),$P$137:$P$186,0)),"")</f>
        <v>On Track</v>
      </c>
    </row>
    <row r="100" spans="2:11" x14ac:dyDescent="0.2">
      <c r="B100" s="78">
        <v>36</v>
      </c>
      <c r="C100" s="76" t="str">
        <f>IFERROR(INDEX($B$137:$B$186,MATCH(LARGE($P$137:$P$186,36),$P$137:$P$186,0)),"")</f>
        <v>Lucas Duarte</v>
      </c>
      <c r="D100" s="76" t="str">
        <f>IFERROR(INDEX($C$137:$C$186,MATCH(LARGE($P$137:$P$186,36),$P$137:$P$186,0)),"")</f>
        <v>Inside Sales</v>
      </c>
      <c r="E100" s="76" t="str">
        <f>IFERROR(INDEX($D$137:$D$186,MATCH(LARGE($P$137:$P$186,36),$P$137:$P$186,0)),"")</f>
        <v>LATAM</v>
      </c>
      <c r="F100" s="75">
        <f>IFERROR(INDEX($H$137:$H$186,MATCH(LARGE($P$137:$P$186,36),$P$137:$P$186,0)),"")</f>
        <v>3200</v>
      </c>
      <c r="G100" s="75">
        <f>IFERROR(INDEX($I$137:$I$186,MATCH(LARGE($P$137:$P$186,36),$P$137:$P$186,0)),"")</f>
        <v>46300</v>
      </c>
      <c r="H100" s="98">
        <f>IFERROR(INDEX($J$137:$J$186,MATCH(LARGE($P$137:$P$186,36),$P$137:$P$186,0)),"")</f>
        <v>14.46875</v>
      </c>
      <c r="I100" s="77">
        <f>IFERROR(INDEX($N$137:$N$186,MATCH(LARGE($P$137:$P$186,36),$P$137:$P$186,0)),"")</f>
        <v>6.9114470842332618E-2</v>
      </c>
      <c r="J100" s="77">
        <f>IFERROR(INDEX($M$137:$M$186,MATCH(LARGE($P$137:$P$186,36),$P$137:$P$186,0)),"")</f>
        <v>0.40601503759398494</v>
      </c>
      <c r="K100" s="112" t="str">
        <f>IFERROR(INDEX($O$137:$O$186,MATCH(LARGE($P$137:$P$186,36),$P$137:$P$186,0)),"")</f>
        <v>On Track</v>
      </c>
    </row>
    <row r="101" spans="2:11" x14ac:dyDescent="0.2">
      <c r="B101" s="83">
        <v>37</v>
      </c>
      <c r="C101" s="81" t="str">
        <f>IFERROR(INDEX($B$137:$B$186,MATCH(LARGE($P$137:$P$186,37),$P$137:$P$186,0)),"")</f>
        <v>Alex Muller</v>
      </c>
      <c r="D101" s="81" t="str">
        <f>IFERROR(INDEX($C$137:$C$186,MATCH(LARGE($P$137:$P$186,37),$P$137:$P$186,0)),"")</f>
        <v>Inside Sales</v>
      </c>
      <c r="E101" s="81" t="str">
        <f>IFERROR(INDEX($D$137:$D$186,MATCH(LARGE($P$137:$P$186,37),$P$137:$P$186,0)),"")</f>
        <v>NAMER</v>
      </c>
      <c r="F101" s="80">
        <f>IFERROR(INDEX($H$137:$H$186,MATCH(LARGE($P$137:$P$186,37),$P$137:$P$186,0)),"")</f>
        <v>600</v>
      </c>
      <c r="G101" s="80">
        <f>IFERROR(INDEX($I$137:$I$186,MATCH(LARGE($P$137:$P$186,37),$P$137:$P$186,0)),"")</f>
        <v>19000</v>
      </c>
      <c r="H101" s="99">
        <f>IFERROR(INDEX($J$137:$J$186,MATCH(LARGE($P$137:$P$186,37),$P$137:$P$186,0)),"")</f>
        <v>31.666666666666668</v>
      </c>
      <c r="I101" s="82">
        <f>IFERROR(INDEX($N$137:$N$186,MATCH(LARGE($P$137:$P$186,37),$P$137:$P$186,0)),"")</f>
        <v>3.1578947368421054E-2</v>
      </c>
      <c r="J101" s="82">
        <f>IFERROR(INDEX($M$137:$M$186,MATCH(LARGE($P$137:$P$186,37),$P$137:$P$186,0)),"")</f>
        <v>0.46086956521739131</v>
      </c>
      <c r="K101" s="111" t="str">
        <f>IFERROR(INDEX($O$137:$O$186,MATCH(LARGE($P$137:$P$186,37),$P$137:$P$186,0)),"")</f>
        <v>On Track</v>
      </c>
    </row>
    <row r="102" spans="2:11" x14ac:dyDescent="0.2">
      <c r="B102" s="78">
        <v>38</v>
      </c>
      <c r="C102" s="76" t="str">
        <f>IFERROR(INDEX($B$137:$B$186,MATCH(LARGE($P$137:$P$186,38),$P$137:$P$186,0)),"")</f>
        <v>Sam Schmidt</v>
      </c>
      <c r="D102" s="76" t="str">
        <f>IFERROR(INDEX($C$137:$C$186,MATCH(LARGE($P$137:$P$186,38),$P$137:$P$186,0)),"")</f>
        <v>Enterprise</v>
      </c>
      <c r="E102" s="76" t="str">
        <f>IFERROR(INDEX($D$137:$D$186,MATCH(LARGE($P$137:$P$186,38),$P$137:$P$186,0)),"")</f>
        <v>EMEA</v>
      </c>
      <c r="F102" s="75">
        <f>IFERROR(INDEX($H$137:$H$186,MATCH(LARGE($P$137:$P$186,38),$P$137:$P$186,0)),"")</f>
        <v>0</v>
      </c>
      <c r="G102" s="75">
        <f>IFERROR(INDEX($I$137:$I$186,MATCH(LARGE($P$137:$P$186,38),$P$137:$P$186,0)),"")</f>
        <v>553600</v>
      </c>
      <c r="H102" s="98" t="str">
        <f>IFERROR(INDEX($J$137:$J$186,MATCH(LARGE($P$137:$P$186,38),$P$137:$P$186,0)),"")</f>
        <v/>
      </c>
      <c r="I102" s="77" t="str">
        <f>IFERROR(INDEX($N$137:$N$186,MATCH(LARGE($P$137:$P$186,38),$P$137:$P$186,0)),"")</f>
        <v/>
      </c>
      <c r="J102" s="77">
        <f>IFERROR(INDEX($M$137:$M$186,MATCH(LARGE($P$137:$P$186,38),$P$137:$P$186,0)),"")</f>
        <v>0.22222222222222221</v>
      </c>
      <c r="K102" s="112" t="str">
        <f>IFERROR(INDEX($O$137:$O$186,MATCH(LARGE($P$137:$P$186,38),$P$137:$P$186,0)),"")</f>
        <v>Goal Achieved</v>
      </c>
    </row>
    <row r="103" spans="2:11" x14ac:dyDescent="0.2">
      <c r="B103" s="83">
        <v>39</v>
      </c>
      <c r="C103" s="81" t="str">
        <f>IFERROR(INDEX($B$137:$B$186,MATCH(LARGE($P$137:$P$186,39),$P$137:$P$186,0)),"")</f>
        <v>Zara Duarte</v>
      </c>
      <c r="D103" s="81" t="str">
        <f>IFERROR(INDEX($C$137:$C$186,MATCH(LARGE($P$137:$P$186,39),$P$137:$P$186,0)),"")</f>
        <v>Enterprise</v>
      </c>
      <c r="E103" s="81" t="str">
        <f>IFERROR(INDEX($D$137:$D$186,MATCH(LARGE($P$137:$P$186,39),$P$137:$P$186,0)),"")</f>
        <v>NAMER</v>
      </c>
      <c r="F103" s="80">
        <f>IFERROR(INDEX($H$137:$H$186,MATCH(LARGE($P$137:$P$186,39),$P$137:$P$186,0)),"")</f>
        <v>0</v>
      </c>
      <c r="G103" s="80">
        <f>IFERROR(INDEX($I$137:$I$186,MATCH(LARGE($P$137:$P$186,39),$P$137:$P$186,0)),"")</f>
        <v>593200</v>
      </c>
      <c r="H103" s="99" t="str">
        <f>IFERROR(INDEX($J$137:$J$186,MATCH(LARGE($P$137:$P$186,39),$P$137:$P$186,0)),"")</f>
        <v/>
      </c>
      <c r="I103" s="82" t="str">
        <f>IFERROR(INDEX($N$137:$N$186,MATCH(LARGE($P$137:$P$186,39),$P$137:$P$186,0)),"")</f>
        <v/>
      </c>
      <c r="J103" s="82">
        <f>IFERROR(INDEX($M$137:$M$186,MATCH(LARGE($P$137:$P$186,39),$P$137:$P$186,0)),"")</f>
        <v>0.23529411764705882</v>
      </c>
      <c r="K103" s="111" t="str">
        <f>IFERROR(INDEX($O$137:$O$186,MATCH(LARGE($P$137:$P$186,39),$P$137:$P$186,0)),"")</f>
        <v>Goal Achieved</v>
      </c>
    </row>
    <row r="104" spans="2:11" x14ac:dyDescent="0.2">
      <c r="B104" s="78">
        <v>40</v>
      </c>
      <c r="C104" s="76" t="str">
        <f>IFERROR(INDEX($B$137:$B$186,MATCH(LARGE($P$137:$P$186,40),$P$137:$P$186,0)),"")</f>
        <v>Karim Alvarez</v>
      </c>
      <c r="D104" s="76" t="str">
        <f>IFERROR(INDEX($C$137:$C$186,MATCH(LARGE($P$137:$P$186,40),$P$137:$P$186,0)),"")</f>
        <v>Inside Sales</v>
      </c>
      <c r="E104" s="76" t="str">
        <f>IFERROR(INDEX($D$137:$D$186,MATCH(LARGE($P$137:$P$186,40),$P$137:$P$186,0)),"")</f>
        <v>EMEA</v>
      </c>
      <c r="F104" s="75">
        <f>IFERROR(INDEX($H$137:$H$186,MATCH(LARGE($P$137:$P$186,40),$P$137:$P$186,0)),"")</f>
        <v>0</v>
      </c>
      <c r="G104" s="75">
        <f>IFERROR(INDEX($I$137:$I$186,MATCH(LARGE($P$137:$P$186,40),$P$137:$P$186,0)),"")</f>
        <v>43500</v>
      </c>
      <c r="H104" s="98" t="str">
        <f>IFERROR(INDEX($J$137:$J$186,MATCH(LARGE($P$137:$P$186,40),$P$137:$P$186,0)),"")</f>
        <v/>
      </c>
      <c r="I104" s="77" t="str">
        <f>IFERROR(INDEX($N$137:$N$186,MATCH(LARGE($P$137:$P$186,40),$P$137:$P$186,0)),"")</f>
        <v/>
      </c>
      <c r="J104" s="77">
        <f>IFERROR(INDEX($M$137:$M$186,MATCH(LARGE($P$137:$P$186,40),$P$137:$P$186,0)),"")</f>
        <v>0.37301587301587302</v>
      </c>
      <c r="K104" s="112" t="str">
        <f>IFERROR(INDEX($O$137:$O$186,MATCH(LARGE($P$137:$P$186,40),$P$137:$P$186,0)),"")</f>
        <v>Goal Achieved</v>
      </c>
    </row>
    <row r="105" spans="2:11" x14ac:dyDescent="0.2">
      <c r="B105" s="83">
        <v>41</v>
      </c>
      <c r="C105" s="81" t="str">
        <f>IFERROR(INDEX($B$137:$B$186,MATCH(LARGE($P$137:$P$186,41),$P$137:$P$186,0)),"")</f>
        <v>Jonas Sato</v>
      </c>
      <c r="D105" s="81" t="str">
        <f>IFERROR(INDEX($C$137:$C$186,MATCH(LARGE($P$137:$P$186,41),$P$137:$P$186,0)),"")</f>
        <v>Mid-Market</v>
      </c>
      <c r="E105" s="81" t="str">
        <f>IFERROR(INDEX($D$137:$D$186,MATCH(LARGE($P$137:$P$186,41),$P$137:$P$186,0)),"")</f>
        <v>LATAM</v>
      </c>
      <c r="F105" s="80">
        <f>IFERROR(INDEX($H$137:$H$186,MATCH(LARGE($P$137:$P$186,41),$P$137:$P$186,0)),"")</f>
        <v>0</v>
      </c>
      <c r="G105" s="80">
        <f>IFERROR(INDEX($I$137:$I$186,MATCH(LARGE($P$137:$P$186,41),$P$137:$P$186,0)),"")</f>
        <v>92600</v>
      </c>
      <c r="H105" s="99" t="str">
        <f>IFERROR(INDEX($J$137:$J$186,MATCH(LARGE($P$137:$P$186,41),$P$137:$P$186,0)),"")</f>
        <v/>
      </c>
      <c r="I105" s="82" t="str">
        <f>IFERROR(INDEX($N$137:$N$186,MATCH(LARGE($P$137:$P$186,41),$P$137:$P$186,0)),"")</f>
        <v/>
      </c>
      <c r="J105" s="82">
        <f>IFERROR(INDEX($M$137:$M$186,MATCH(LARGE($P$137:$P$186,41),$P$137:$P$186,0)),"")</f>
        <v>0.26760563380281688</v>
      </c>
      <c r="K105" s="111" t="str">
        <f>IFERROR(INDEX($O$137:$O$186,MATCH(LARGE($P$137:$P$186,41),$P$137:$P$186,0)),"")</f>
        <v>Goal Achieved</v>
      </c>
    </row>
    <row r="106" spans="2:11" x14ac:dyDescent="0.2">
      <c r="B106" s="78">
        <v>42</v>
      </c>
      <c r="C106" s="76" t="str">
        <f>IFERROR(INDEX($B$137:$B$186,MATCH(LARGE($P$137:$P$186,42),$P$137:$P$186,0)),"")</f>
        <v>Fatima Rossi</v>
      </c>
      <c r="D106" s="76" t="str">
        <f>IFERROR(INDEX($C$137:$C$186,MATCH(LARGE($P$137:$P$186,42),$P$137:$P$186,0)),"")</f>
        <v>Strategic</v>
      </c>
      <c r="E106" s="76" t="str">
        <f>IFERROR(INDEX($D$137:$D$186,MATCH(LARGE($P$137:$P$186,42),$P$137:$P$186,0)),"")</f>
        <v>NAMER</v>
      </c>
      <c r="F106" s="75">
        <f>IFERROR(INDEX($H$137:$H$186,MATCH(LARGE($P$137:$P$186,42),$P$137:$P$186,0)),"")</f>
        <v>0</v>
      </c>
      <c r="G106" s="75">
        <f>IFERROR(INDEX($I$137:$I$186,MATCH(LARGE($P$137:$P$186,42),$P$137:$P$186,0)),"")</f>
        <v>678200</v>
      </c>
      <c r="H106" s="98" t="str">
        <f>IFERROR(INDEX($J$137:$J$186,MATCH(LARGE($P$137:$P$186,42),$P$137:$P$186,0)),"")</f>
        <v/>
      </c>
      <c r="I106" s="77" t="str">
        <f>IFERROR(INDEX($N$137:$N$186,MATCH(LARGE($P$137:$P$186,42),$P$137:$P$186,0)),"")</f>
        <v/>
      </c>
      <c r="J106" s="77">
        <f>IFERROR(INDEX($M$137:$M$186,MATCH(LARGE($P$137:$P$186,42),$P$137:$P$186,0)),"")</f>
        <v>0.33333333333333331</v>
      </c>
      <c r="K106" s="112" t="str">
        <f>IFERROR(INDEX($O$137:$O$186,MATCH(LARGE($P$137:$P$186,42),$P$137:$P$186,0)),"")</f>
        <v>Goal Achieved</v>
      </c>
    </row>
    <row r="107" spans="2:11" x14ac:dyDescent="0.2">
      <c r="B107" s="83">
        <v>43</v>
      </c>
      <c r="C107" s="81" t="str">
        <f>IFERROR(INDEX($B$137:$B$186,MATCH(LARGE($P$137:$P$186,43),$P$137:$P$186,0)),"")</f>
        <v/>
      </c>
      <c r="D107" s="81" t="str">
        <f>IFERROR(INDEX($C$137:$C$186,MATCH(LARGE($P$137:$P$186,43),$P$137:$P$186,0)),"")</f>
        <v/>
      </c>
      <c r="E107" s="81" t="str">
        <f>IFERROR(INDEX($D$137:$D$186,MATCH(LARGE($P$137:$P$186,43),$P$137:$P$186,0)),"")</f>
        <v/>
      </c>
      <c r="F107" s="80" t="str">
        <f>IFERROR(INDEX($H$137:$H$186,MATCH(LARGE($P$137:$P$186,43),$P$137:$P$186,0)),"")</f>
        <v/>
      </c>
      <c r="G107" s="80" t="str">
        <f>IFERROR(INDEX($I$137:$I$186,MATCH(LARGE($P$137:$P$186,43),$P$137:$P$186,0)),"")</f>
        <v/>
      </c>
      <c r="H107" s="99" t="str">
        <f>IFERROR(INDEX($J$137:$J$186,MATCH(LARGE($P$137:$P$186,43),$P$137:$P$186,0)),"")</f>
        <v/>
      </c>
      <c r="I107" s="82" t="str">
        <f>IFERROR(INDEX($N$137:$N$186,MATCH(LARGE($P$137:$P$186,43),$P$137:$P$186,0)),"")</f>
        <v/>
      </c>
      <c r="J107" s="82" t="str">
        <f>IFERROR(INDEX($M$137:$M$186,MATCH(LARGE($P$137:$P$186,43),$P$137:$P$186,0)),"")</f>
        <v/>
      </c>
      <c r="K107" s="111" t="str">
        <f>IFERROR(INDEX($O$137:$O$186,MATCH(LARGE($P$137:$P$186,43),$P$137:$P$186,0)),"")</f>
        <v/>
      </c>
    </row>
    <row r="108" spans="2:11" x14ac:dyDescent="0.2">
      <c r="B108" s="78">
        <v>44</v>
      </c>
      <c r="C108" s="76" t="str">
        <f>IFERROR(INDEX($B$137:$B$186,MATCH(LARGE($P$137:$P$186,44),$P$137:$P$186,0)),"")</f>
        <v/>
      </c>
      <c r="D108" s="76" t="str">
        <f>IFERROR(INDEX($C$137:$C$186,MATCH(LARGE($P$137:$P$186,44),$P$137:$P$186,0)),"")</f>
        <v/>
      </c>
      <c r="E108" s="76" t="str">
        <f>IFERROR(INDEX($D$137:$D$186,MATCH(LARGE($P$137:$P$186,44),$P$137:$P$186,0)),"")</f>
        <v/>
      </c>
      <c r="F108" s="75" t="str">
        <f>IFERROR(INDEX($H$137:$H$186,MATCH(LARGE($P$137:$P$186,44),$P$137:$P$186,0)),"")</f>
        <v/>
      </c>
      <c r="G108" s="75" t="str">
        <f>IFERROR(INDEX($I$137:$I$186,MATCH(LARGE($P$137:$P$186,44),$P$137:$P$186,0)),"")</f>
        <v/>
      </c>
      <c r="H108" s="98" t="str">
        <f>IFERROR(INDEX($J$137:$J$186,MATCH(LARGE($P$137:$P$186,44),$P$137:$P$186,0)),"")</f>
        <v/>
      </c>
      <c r="I108" s="77" t="str">
        <f>IFERROR(INDEX($N$137:$N$186,MATCH(LARGE($P$137:$P$186,44),$P$137:$P$186,0)),"")</f>
        <v/>
      </c>
      <c r="J108" s="77" t="str">
        <f>IFERROR(INDEX($M$137:$M$186,MATCH(LARGE($P$137:$P$186,44),$P$137:$P$186,0)),"")</f>
        <v/>
      </c>
      <c r="K108" s="112" t="str">
        <f>IFERROR(INDEX($O$137:$O$186,MATCH(LARGE($P$137:$P$186,44),$P$137:$P$186,0)),"")</f>
        <v/>
      </c>
    </row>
    <row r="109" spans="2:11" x14ac:dyDescent="0.2">
      <c r="B109" s="83">
        <v>45</v>
      </c>
      <c r="C109" s="81" t="str">
        <f>IFERROR(INDEX($B$137:$B$186,MATCH(LARGE($P$137:$P$186,45),$P$137:$P$186,0)),"")</f>
        <v/>
      </c>
      <c r="D109" s="81" t="str">
        <f>IFERROR(INDEX($C$137:$C$186,MATCH(LARGE($P$137:$P$186,45),$P$137:$P$186,0)),"")</f>
        <v/>
      </c>
      <c r="E109" s="81" t="str">
        <f>IFERROR(INDEX($D$137:$D$186,MATCH(LARGE($P$137:$P$186,45),$P$137:$P$186,0)),"")</f>
        <v/>
      </c>
      <c r="F109" s="80" t="str">
        <f>IFERROR(INDEX($H$137:$H$186,MATCH(LARGE($P$137:$P$186,45),$P$137:$P$186,0)),"")</f>
        <v/>
      </c>
      <c r="G109" s="80" t="str">
        <f>IFERROR(INDEX($I$137:$I$186,MATCH(LARGE($P$137:$P$186,45),$P$137:$P$186,0)),"")</f>
        <v/>
      </c>
      <c r="H109" s="99" t="str">
        <f>IFERROR(INDEX($J$137:$J$186,MATCH(LARGE($P$137:$P$186,45),$P$137:$P$186,0)),"")</f>
        <v/>
      </c>
      <c r="I109" s="82" t="str">
        <f>IFERROR(INDEX($N$137:$N$186,MATCH(LARGE($P$137:$P$186,45),$P$137:$P$186,0)),"")</f>
        <v/>
      </c>
      <c r="J109" s="82" t="str">
        <f>IFERROR(INDEX($M$137:$M$186,MATCH(LARGE($P$137:$P$186,45),$P$137:$P$186,0)),"")</f>
        <v/>
      </c>
      <c r="K109" s="111" t="str">
        <f>IFERROR(INDEX($O$137:$O$186,MATCH(LARGE($P$137:$P$186,45),$P$137:$P$186,0)),"")</f>
        <v/>
      </c>
    </row>
    <row r="110" spans="2:11" x14ac:dyDescent="0.2">
      <c r="B110" s="78">
        <v>46</v>
      </c>
      <c r="C110" s="76" t="str">
        <f>IFERROR(INDEX($B$137:$B$186,MATCH(LARGE($P$137:$P$186,46),$P$137:$P$186,0)),"")</f>
        <v/>
      </c>
      <c r="D110" s="76" t="str">
        <f>IFERROR(INDEX($C$137:$C$186,MATCH(LARGE($P$137:$P$186,46),$P$137:$P$186,0)),"")</f>
        <v/>
      </c>
      <c r="E110" s="76" t="str">
        <f>IFERROR(INDEX($D$137:$D$186,MATCH(LARGE($P$137:$P$186,46),$P$137:$P$186,0)),"")</f>
        <v/>
      </c>
      <c r="F110" s="75" t="str">
        <f>IFERROR(INDEX($H$137:$H$186,MATCH(LARGE($P$137:$P$186,46),$P$137:$P$186,0)),"")</f>
        <v/>
      </c>
      <c r="G110" s="75" t="str">
        <f>IFERROR(INDEX($I$137:$I$186,MATCH(LARGE($P$137:$P$186,46),$P$137:$P$186,0)),"")</f>
        <v/>
      </c>
      <c r="H110" s="98" t="str">
        <f>IFERROR(INDEX($J$137:$J$186,MATCH(LARGE($P$137:$P$186,46),$P$137:$P$186,0)),"")</f>
        <v/>
      </c>
      <c r="I110" s="77" t="str">
        <f>IFERROR(INDEX($N$137:$N$186,MATCH(LARGE($P$137:$P$186,46),$P$137:$P$186,0)),"")</f>
        <v/>
      </c>
      <c r="J110" s="77" t="str">
        <f>IFERROR(INDEX($M$137:$M$186,MATCH(LARGE($P$137:$P$186,46),$P$137:$P$186,0)),"")</f>
        <v/>
      </c>
      <c r="K110" s="112" t="str">
        <f>IFERROR(INDEX($O$137:$O$186,MATCH(LARGE($P$137:$P$186,46),$P$137:$P$186,0)),"")</f>
        <v/>
      </c>
    </row>
    <row r="111" spans="2:11" x14ac:dyDescent="0.2">
      <c r="B111" s="83">
        <v>47</v>
      </c>
      <c r="C111" s="81" t="str">
        <f>IFERROR(INDEX($B$137:$B$186,MATCH(LARGE($P$137:$P$186,47),$P$137:$P$186,0)),"")</f>
        <v/>
      </c>
      <c r="D111" s="81" t="str">
        <f>IFERROR(INDEX($C$137:$C$186,MATCH(LARGE($P$137:$P$186,47),$P$137:$P$186,0)),"")</f>
        <v/>
      </c>
      <c r="E111" s="81" t="str">
        <f>IFERROR(INDEX($D$137:$D$186,MATCH(LARGE($P$137:$P$186,47),$P$137:$P$186,0)),"")</f>
        <v/>
      </c>
      <c r="F111" s="80" t="str">
        <f>IFERROR(INDEX($H$137:$H$186,MATCH(LARGE($P$137:$P$186,47),$P$137:$P$186,0)),"")</f>
        <v/>
      </c>
      <c r="G111" s="80" t="str">
        <f>IFERROR(INDEX($I$137:$I$186,MATCH(LARGE($P$137:$P$186,47),$P$137:$P$186,0)),"")</f>
        <v/>
      </c>
      <c r="H111" s="99" t="str">
        <f>IFERROR(INDEX($J$137:$J$186,MATCH(LARGE($P$137:$P$186,47),$P$137:$P$186,0)),"")</f>
        <v/>
      </c>
      <c r="I111" s="82" t="str">
        <f>IFERROR(INDEX($N$137:$N$186,MATCH(LARGE($P$137:$P$186,47),$P$137:$P$186,0)),"")</f>
        <v/>
      </c>
      <c r="J111" s="82" t="str">
        <f>IFERROR(INDEX($M$137:$M$186,MATCH(LARGE($P$137:$P$186,47),$P$137:$P$186,0)),"")</f>
        <v/>
      </c>
      <c r="K111" s="111" t="str">
        <f>IFERROR(INDEX($O$137:$O$186,MATCH(LARGE($P$137:$P$186,47),$P$137:$P$186,0)),"")</f>
        <v/>
      </c>
    </row>
    <row r="112" spans="2:11" x14ac:dyDescent="0.2">
      <c r="B112" s="78">
        <v>48</v>
      </c>
      <c r="C112" s="76" t="str">
        <f>IFERROR(INDEX($B$137:$B$186,MATCH(LARGE($P$137:$P$186,48),$P$137:$P$186,0)),"")</f>
        <v/>
      </c>
      <c r="D112" s="76" t="str">
        <f>IFERROR(INDEX($C$137:$C$186,MATCH(LARGE($P$137:$P$186,48),$P$137:$P$186,0)),"")</f>
        <v/>
      </c>
      <c r="E112" s="76" t="str">
        <f>IFERROR(INDEX($D$137:$D$186,MATCH(LARGE($P$137:$P$186,48),$P$137:$P$186,0)),"")</f>
        <v/>
      </c>
      <c r="F112" s="75" t="str">
        <f>IFERROR(INDEX($H$137:$H$186,MATCH(LARGE($P$137:$P$186,48),$P$137:$P$186,0)),"")</f>
        <v/>
      </c>
      <c r="G112" s="75" t="str">
        <f>IFERROR(INDEX($I$137:$I$186,MATCH(LARGE($P$137:$P$186,48),$P$137:$P$186,0)),"")</f>
        <v/>
      </c>
      <c r="H112" s="98" t="str">
        <f>IFERROR(INDEX($J$137:$J$186,MATCH(LARGE($P$137:$P$186,48),$P$137:$P$186,0)),"")</f>
        <v/>
      </c>
      <c r="I112" s="77" t="str">
        <f>IFERROR(INDEX($N$137:$N$186,MATCH(LARGE($P$137:$P$186,48),$P$137:$P$186,0)),"")</f>
        <v/>
      </c>
      <c r="J112" s="77" t="str">
        <f>IFERROR(INDEX($M$137:$M$186,MATCH(LARGE($P$137:$P$186,48),$P$137:$P$186,0)),"")</f>
        <v/>
      </c>
      <c r="K112" s="112" t="str">
        <f>IFERROR(INDEX($O$137:$O$186,MATCH(LARGE($P$137:$P$186,48),$P$137:$P$186,0)),"")</f>
        <v/>
      </c>
    </row>
    <row r="113" spans="1:16" x14ac:dyDescent="0.2">
      <c r="B113" s="83">
        <v>49</v>
      </c>
      <c r="C113" s="81" t="str">
        <f>IFERROR(INDEX($B$137:$B$186,MATCH(LARGE($P$137:$P$186,49),$P$137:$P$186,0)),"")</f>
        <v/>
      </c>
      <c r="D113" s="81" t="str">
        <f>IFERROR(INDEX($C$137:$C$186,MATCH(LARGE($P$137:$P$186,49),$P$137:$P$186,0)),"")</f>
        <v/>
      </c>
      <c r="E113" s="81" t="str">
        <f>IFERROR(INDEX($D$137:$D$186,MATCH(LARGE($P$137:$P$186,49),$P$137:$P$186,0)),"")</f>
        <v/>
      </c>
      <c r="F113" s="80" t="str">
        <f>IFERROR(INDEX($H$137:$H$186,MATCH(LARGE($P$137:$P$186,49),$P$137:$P$186,0)),"")</f>
        <v/>
      </c>
      <c r="G113" s="80" t="str">
        <f>IFERROR(INDEX($I$137:$I$186,MATCH(LARGE($P$137:$P$186,49),$P$137:$P$186,0)),"")</f>
        <v/>
      </c>
      <c r="H113" s="99" t="str">
        <f>IFERROR(INDEX($J$137:$J$186,MATCH(LARGE($P$137:$P$186,49),$P$137:$P$186,0)),"")</f>
        <v/>
      </c>
      <c r="I113" s="82" t="str">
        <f>IFERROR(INDEX($N$137:$N$186,MATCH(LARGE($P$137:$P$186,49),$P$137:$P$186,0)),"")</f>
        <v/>
      </c>
      <c r="J113" s="82" t="str">
        <f>IFERROR(INDEX($M$137:$M$186,MATCH(LARGE($P$137:$P$186,49),$P$137:$P$186,0)),"")</f>
        <v/>
      </c>
      <c r="K113" s="111" t="str">
        <f>IFERROR(INDEX($O$137:$O$186,MATCH(LARGE($P$137:$P$186,49),$P$137:$P$186,0)),"")</f>
        <v/>
      </c>
    </row>
    <row r="114" spans="1:16" x14ac:dyDescent="0.2">
      <c r="B114" s="78">
        <v>50</v>
      </c>
      <c r="C114" s="76" t="str">
        <f>IFERROR(INDEX($B$137:$B$186,MATCH(LARGE($P$137:$P$186,50),$P$137:$P$186,0)),"")</f>
        <v/>
      </c>
      <c r="D114" s="76" t="str">
        <f>IFERROR(INDEX($C$137:$C$186,MATCH(LARGE($P$137:$P$186,50),$P$137:$P$186,0)),"")</f>
        <v/>
      </c>
      <c r="E114" s="76" t="str">
        <f>IFERROR(INDEX($D$137:$D$186,MATCH(LARGE($P$137:$P$186,50),$P$137:$P$186,0)),"")</f>
        <v/>
      </c>
      <c r="F114" s="75" t="str">
        <f>IFERROR(INDEX($H$137:$H$186,MATCH(LARGE($P$137:$P$186,50),$P$137:$P$186,0)),"")</f>
        <v/>
      </c>
      <c r="G114" s="75" t="str">
        <f>IFERROR(INDEX($I$137:$I$186,MATCH(LARGE($P$137:$P$186,50),$P$137:$P$186,0)),"")</f>
        <v/>
      </c>
      <c r="H114" s="98" t="str">
        <f>IFERROR(INDEX($J$137:$J$186,MATCH(LARGE($P$137:$P$186,50),$P$137:$P$186,0)),"")</f>
        <v/>
      </c>
      <c r="I114" s="77" t="str">
        <f>IFERROR(INDEX($N$137:$N$186,MATCH(LARGE($P$137:$P$186,50),$P$137:$P$186,0)),"")</f>
        <v/>
      </c>
      <c r="J114" s="77" t="str">
        <f>IFERROR(INDEX($M$137:$M$186,MATCH(LARGE($P$137:$P$186,50),$P$137:$P$186,0)),"")</f>
        <v/>
      </c>
      <c r="K114" s="112" t="str">
        <f>IFERROR(INDEX($O$137:$O$186,MATCH(LARGE($P$137:$P$186,50),$P$137:$P$186,0)),"")</f>
        <v/>
      </c>
    </row>
    <row r="127" spans="1:16" s="110" customFormat="1" ht="19.5" customHeight="1" x14ac:dyDescent="0.2">
      <c r="A127" s="151" t="s">
        <v>7286</v>
      </c>
      <c r="B127" s="151"/>
      <c r="C127" s="151"/>
      <c r="D127" s="151"/>
      <c r="E127" s="151"/>
      <c r="F127" s="151"/>
      <c r="G127" s="151"/>
      <c r="H127" s="151"/>
      <c r="I127" s="151"/>
      <c r="J127" s="151"/>
      <c r="K127" s="151"/>
      <c r="L127" s="151"/>
      <c r="M127" s="151"/>
      <c r="N127" s="151"/>
      <c r="O127" s="151"/>
      <c r="P127" s="151"/>
    </row>
    <row r="128" spans="1:16" outlineLevel="1" x14ac:dyDescent="0.2"/>
    <row r="129" spans="1:16" outlineLevel="1" x14ac:dyDescent="0.2">
      <c r="A129" s="109" t="s">
        <v>155</v>
      </c>
      <c r="B129" s="72">
        <f>IF(D5="Rest of Year",DATE(YEAR(A5),1,1),DATE(YEAR(A5),3*ROUNDUP(MONTH(A5)/3,0)-2,1))</f>
        <v>45839</v>
      </c>
    </row>
    <row r="130" spans="1:16" outlineLevel="1" x14ac:dyDescent="0.2">
      <c r="A130" s="109" t="s">
        <v>156</v>
      </c>
      <c r="B130" s="72">
        <f>IF(D5="Rest of Year",DATE(YEAR(A5),12,31),EOMONTH(DATE(YEAR(A5),3*ROUNDUP(MONTH(A5)/3,0)-2,1),2))</f>
        <v>45930</v>
      </c>
    </row>
    <row r="131" spans="1:16" ht="27" outlineLevel="1" x14ac:dyDescent="0.2">
      <c r="A131" s="109" t="s">
        <v>157</v>
      </c>
      <c r="B131" s="72">
        <f>EOMONTH(A5,0)</f>
        <v>45900</v>
      </c>
    </row>
    <row r="132" spans="1:16" outlineLevel="1" x14ac:dyDescent="0.2">
      <c r="A132" s="106"/>
    </row>
    <row r="133" spans="1:16" ht="27" outlineLevel="1" x14ac:dyDescent="0.2">
      <c r="A133" s="109" t="s">
        <v>158</v>
      </c>
      <c r="B133" s="97">
        <f>IFERROR(COUNTIFS(Fact_Pipeline!$J:$J,"Won",Fact_Pipeline!$I:$I,"&gt;="&amp;EDATE($B$131,-11),Fact_Pipeline!$I:$I,"&lt;="&amp;$B$131)/(COUNTIFS(Fact_Pipeline!$J:$J,"Won",Fact_Pipeline!$I:$I,"&gt;="&amp;EDATE($B$131,-11),Fact_Pipeline!$I:$I,"&lt;="&amp;$B$131)+COUNTIFS(Fact_Pipeline!$J:$J,"Lost",Fact_Pipeline!$I:$I,"&gt;="&amp;EDATE($B$131,-11),Fact_Pipeline!$I:$I,"&lt;="&amp;$B$131)),0)</f>
        <v>0.34793187347931875</v>
      </c>
    </row>
    <row r="134" spans="1:16" outlineLevel="1" x14ac:dyDescent="0.2"/>
    <row r="135" spans="1:16" outlineLevel="1" x14ac:dyDescent="0.2"/>
    <row r="136" spans="1:16" outlineLevel="1" x14ac:dyDescent="0.2">
      <c r="A136" s="61" t="s">
        <v>78</v>
      </c>
      <c r="B136" s="61" t="s">
        <v>79</v>
      </c>
      <c r="C136" s="61" t="s">
        <v>20</v>
      </c>
      <c r="D136" s="61" t="s">
        <v>30</v>
      </c>
      <c r="E136" s="61" t="s">
        <v>80</v>
      </c>
      <c r="F136" s="61" t="s">
        <v>159</v>
      </c>
      <c r="G136" s="61" t="s">
        <v>160</v>
      </c>
      <c r="H136" s="61" t="s">
        <v>148</v>
      </c>
      <c r="I136" s="61" t="s">
        <v>161</v>
      </c>
      <c r="J136" s="61" t="s">
        <v>150</v>
      </c>
      <c r="K136" s="61" t="s">
        <v>162</v>
      </c>
      <c r="L136" s="61" t="s">
        <v>163</v>
      </c>
      <c r="M136" s="61" t="s">
        <v>153</v>
      </c>
      <c r="N136" s="61" t="s">
        <v>152</v>
      </c>
      <c r="O136" s="61" t="s">
        <v>80</v>
      </c>
      <c r="P136" s="61" t="s">
        <v>84</v>
      </c>
    </row>
    <row r="137" spans="1:16" outlineLevel="1" x14ac:dyDescent="0.2">
      <c r="A137" s="59" t="str">
        <f>Dim_Reps!A2</f>
        <v>R003</v>
      </c>
      <c r="B137" s="59" t="str">
        <f>Dim_Reps!B2</f>
        <v>Lucas Cohen</v>
      </c>
      <c r="C137" s="59" t="str">
        <f>Dim_Reps!D2</f>
        <v>Enterprise</v>
      </c>
      <c r="D137" s="59" t="str">
        <f>Dim_Reps!E2</f>
        <v>NAMER</v>
      </c>
      <c r="E137" s="59" t="str">
        <f>Dim_Reps!H2</f>
        <v>Active</v>
      </c>
      <c r="F137" s="58">
        <f>SUMIFS(Fact_Quota!$D:$D,Fact_Quota!$A:$A,$A137,Fact_Quota!$B:$B,"&gt;="&amp;$B$129,Fact_Quota!$B:$B,"&lt;="&amp;$B$130)</f>
        <v>94400</v>
      </c>
      <c r="G137" s="58">
        <f>SUMIFS(Fact_Pipeline!$K:$K,Fact_Pipeline!$B:$B,$A137,Fact_Pipeline!$J:$J,"Won",Fact_Pipeline!$I:$I,"&gt;="&amp;$B$129,Fact_Pipeline!$I:$I,"&lt;="&amp;$B$131)</f>
        <v>22000</v>
      </c>
      <c r="H137" s="58">
        <f t="shared" ref="H137:H168" si="0">MAX(0,F137-G137)</f>
        <v>72400</v>
      </c>
      <c r="I137" s="58">
        <f>SUMIFS(Fact_Pipeline!$K:$K,Fact_Pipeline!$B:$B,$A137,Fact_Pipeline!$J:$J,"Open")</f>
        <v>432800</v>
      </c>
      <c r="J137" s="96">
        <f t="shared" ref="J137:J168" si="1">IF(H137&lt;=0,"",IFERROR(I137/H137,0))</f>
        <v>5.9779005524861875</v>
      </c>
      <c r="K137" s="59">
        <f>COUNTIFS(Fact_Pipeline!$B:$B,$A137,Fact_Pipeline!$J:$J,"Won",Fact_Pipeline!$I:$I,"&gt;="&amp;EDATE($B$131,-11),Fact_Pipeline!$I:$I,"&lt;="&amp;$B$131)</f>
        <v>1</v>
      </c>
      <c r="L137" s="59">
        <f>COUNTIFS(Fact_Pipeline!$B:$B,$A137,Fact_Pipeline!$J:$J,"Lost",Fact_Pipeline!$I:$I,"&gt;="&amp;EDATE($B$131,-11),Fact_Pipeline!$I:$I,"&lt;="&amp;$B$131)</f>
        <v>5</v>
      </c>
      <c r="M137" s="71">
        <f t="shared" ref="M137:M168" si="2">IFERROR(K137/(K137+L137),$B$133)</f>
        <v>0.16666666666666666</v>
      </c>
      <c r="N137" s="71">
        <f t="shared" ref="N137:N168" si="3">IF(H137&lt;=0,"",IFERROR(H137/I137,1))</f>
        <v>0.16728280961182995</v>
      </c>
      <c r="O137" s="59" t="str">
        <f>IF(H137&lt;=0,"Goal Achieved",IF(N137&gt;M137,"At Risk – Below Pace",IF(J137&lt;G5,"Watch – Under Target Coverage","On Track")))</f>
        <v>At Risk – Below Pace</v>
      </c>
      <c r="P137" s="59">
        <f t="shared" ref="P137:P168" si="4">IF(E137&lt;&gt;"Active","",IF(H137&lt;=0,-999-(ROW()/10000000),-J137))</f>
        <v>-5.9779005524861875</v>
      </c>
    </row>
    <row r="138" spans="1:16" outlineLevel="1" x14ac:dyDescent="0.2">
      <c r="A138" s="56" t="str">
        <f>Dim_Reps!A3</f>
        <v>R008</v>
      </c>
      <c r="B138" s="56" t="str">
        <f>Dim_Reps!B3</f>
        <v>Milo Weber</v>
      </c>
      <c r="C138" s="56" t="str">
        <f>Dim_Reps!D3</f>
        <v>Enterprise</v>
      </c>
      <c r="D138" s="56" t="str">
        <f>Dim_Reps!E3</f>
        <v>NAMER</v>
      </c>
      <c r="E138" s="56" t="str">
        <f>Dim_Reps!H3</f>
        <v>Active</v>
      </c>
      <c r="F138" s="55">
        <f>SUMIFS(Fact_Quota!$D:$D,Fact_Quota!$A:$A,$A138,Fact_Quota!$B:$B,"&gt;="&amp;$B$129,Fact_Quota!$B:$B,"&lt;="&amp;$B$130)</f>
        <v>96900</v>
      </c>
      <c r="G138" s="55">
        <f>SUMIFS(Fact_Pipeline!$K:$K,Fact_Pipeline!$B:$B,$A138,Fact_Pipeline!$J:$J,"Won",Fact_Pipeline!$I:$I,"&gt;="&amp;$B$129,Fact_Pipeline!$I:$I,"&lt;="&amp;$B$131)</f>
        <v>14200</v>
      </c>
      <c r="H138" s="55">
        <f t="shared" si="0"/>
        <v>82700</v>
      </c>
      <c r="I138" s="55">
        <f>SUMIFS(Fact_Pipeline!$K:$K,Fact_Pipeline!$B:$B,$A138,Fact_Pipeline!$J:$J,"Open")</f>
        <v>385500</v>
      </c>
      <c r="J138" s="95">
        <f t="shared" si="1"/>
        <v>4.6614268440145104</v>
      </c>
      <c r="K138" s="56">
        <f>COUNTIFS(Fact_Pipeline!$B:$B,$A138,Fact_Pipeline!$J:$J,"Won",Fact_Pipeline!$I:$I,"&gt;="&amp;EDATE($B$131,-11),Fact_Pipeline!$I:$I,"&lt;="&amp;$B$131)</f>
        <v>14</v>
      </c>
      <c r="L138" s="56">
        <f>COUNTIFS(Fact_Pipeline!$B:$B,$A138,Fact_Pipeline!$J:$J,"Lost",Fact_Pipeline!$I:$I,"&gt;="&amp;EDATE($B$131,-11),Fact_Pipeline!$I:$I,"&lt;="&amp;$B$131)</f>
        <v>50</v>
      </c>
      <c r="M138" s="69">
        <f t="shared" si="2"/>
        <v>0.21875</v>
      </c>
      <c r="N138" s="69">
        <f t="shared" si="3"/>
        <v>0.21452658884565498</v>
      </c>
      <c r="O138" s="56" t="str">
        <f>IF(H138&lt;=0,"Goal Achieved",IF(N138&gt;M138,"At Risk – Below Pace",IF(J138&lt;G5,"Watch – Under Target Coverage","On Track")))</f>
        <v>On Track</v>
      </c>
      <c r="P138" s="56">
        <f t="shared" si="4"/>
        <v>-4.6614268440145104</v>
      </c>
    </row>
    <row r="139" spans="1:16" outlineLevel="1" x14ac:dyDescent="0.2">
      <c r="A139" s="59" t="str">
        <f>Dim_Reps!A4</f>
        <v>R010</v>
      </c>
      <c r="B139" s="59" t="str">
        <f>Dim_Reps!B4</f>
        <v>Sam Schmidt</v>
      </c>
      <c r="C139" s="59" t="str">
        <f>Dim_Reps!D4</f>
        <v>Enterprise</v>
      </c>
      <c r="D139" s="59" t="str">
        <f>Dim_Reps!E4</f>
        <v>EMEA</v>
      </c>
      <c r="E139" s="59" t="str">
        <f>Dim_Reps!H4</f>
        <v>Active</v>
      </c>
      <c r="F139" s="58">
        <f>SUMIFS(Fact_Quota!$D:$D,Fact_Quota!$A:$A,$A139,Fact_Quota!$B:$B,"&gt;="&amp;$B$129,Fact_Quota!$B:$B,"&lt;="&amp;$B$130)</f>
        <v>95700</v>
      </c>
      <c r="G139" s="58">
        <f>SUMIFS(Fact_Pipeline!$K:$K,Fact_Pipeline!$B:$B,$A139,Fact_Pipeline!$J:$J,"Won",Fact_Pipeline!$I:$I,"&gt;="&amp;$B$129,Fact_Pipeline!$I:$I,"&lt;="&amp;$B$131)</f>
        <v>123800</v>
      </c>
      <c r="H139" s="58">
        <f t="shared" si="0"/>
        <v>0</v>
      </c>
      <c r="I139" s="58">
        <f>SUMIFS(Fact_Pipeline!$K:$K,Fact_Pipeline!$B:$B,$A139,Fact_Pipeline!$J:$J,"Open")</f>
        <v>553600</v>
      </c>
      <c r="J139" s="96" t="str">
        <f t="shared" si="1"/>
        <v/>
      </c>
      <c r="K139" s="59">
        <f>COUNTIFS(Fact_Pipeline!$B:$B,$A139,Fact_Pipeline!$J:$J,"Won",Fact_Pipeline!$I:$I,"&gt;="&amp;EDATE($B$131,-11),Fact_Pipeline!$I:$I,"&lt;="&amp;$B$131)</f>
        <v>12</v>
      </c>
      <c r="L139" s="59">
        <f>COUNTIFS(Fact_Pipeline!$B:$B,$A139,Fact_Pipeline!$J:$J,"Lost",Fact_Pipeline!$I:$I,"&gt;="&amp;EDATE($B$131,-11),Fact_Pipeline!$I:$I,"&lt;="&amp;$B$131)</f>
        <v>42</v>
      </c>
      <c r="M139" s="71">
        <f t="shared" si="2"/>
        <v>0.22222222222222221</v>
      </c>
      <c r="N139" s="71" t="str">
        <f t="shared" si="3"/>
        <v/>
      </c>
      <c r="O139" s="59" t="str">
        <f>IF(H139&lt;=0,"Goal Achieved",IF(N139&gt;M139,"At Risk – Below Pace",IF(J139&lt;G5,"Watch – Under Target Coverage","On Track")))</f>
        <v>Goal Achieved</v>
      </c>
      <c r="P139" s="59">
        <f t="shared" si="4"/>
        <v>-999.0000139</v>
      </c>
    </row>
    <row r="140" spans="1:16" outlineLevel="1" x14ac:dyDescent="0.2">
      <c r="A140" s="56" t="str">
        <f>Dim_Reps!A5</f>
        <v>R013</v>
      </c>
      <c r="B140" s="56" t="str">
        <f>Dim_Reps!B5</f>
        <v>Noah Kim</v>
      </c>
      <c r="C140" s="56" t="str">
        <f>Dim_Reps!D5</f>
        <v>Enterprise</v>
      </c>
      <c r="D140" s="56" t="str">
        <f>Dim_Reps!E5</f>
        <v>LATAM</v>
      </c>
      <c r="E140" s="56" t="str">
        <f>Dim_Reps!H5</f>
        <v>Active</v>
      </c>
      <c r="F140" s="55">
        <f>SUMIFS(Fact_Quota!$D:$D,Fact_Quota!$A:$A,$A140,Fact_Quota!$B:$B,"&gt;="&amp;$B$129,Fact_Quota!$B:$B,"&lt;="&amp;$B$130)</f>
        <v>91900</v>
      </c>
      <c r="G140" s="55">
        <f>SUMIFS(Fact_Pipeline!$K:$K,Fact_Pipeline!$B:$B,$A140,Fact_Pipeline!$J:$J,"Won",Fact_Pipeline!$I:$I,"&gt;="&amp;$B$129,Fact_Pipeline!$I:$I,"&lt;="&amp;$B$131)</f>
        <v>15200</v>
      </c>
      <c r="H140" s="55">
        <f t="shared" si="0"/>
        <v>76700</v>
      </c>
      <c r="I140" s="55">
        <f>SUMIFS(Fact_Pipeline!$K:$K,Fact_Pipeline!$B:$B,$A140,Fact_Pipeline!$J:$J,"Open")</f>
        <v>316300</v>
      </c>
      <c r="J140" s="95">
        <f t="shared" si="1"/>
        <v>4.1238591916558018</v>
      </c>
      <c r="K140" s="56">
        <f>COUNTIFS(Fact_Pipeline!$B:$B,$A140,Fact_Pipeline!$J:$J,"Won",Fact_Pipeline!$I:$I,"&gt;="&amp;EDATE($B$131,-11),Fact_Pipeline!$I:$I,"&lt;="&amp;$B$131)</f>
        <v>12</v>
      </c>
      <c r="L140" s="56">
        <f>COUNTIFS(Fact_Pipeline!$B:$B,$A140,Fact_Pipeline!$J:$J,"Lost",Fact_Pipeline!$I:$I,"&gt;="&amp;EDATE($B$131,-11),Fact_Pipeline!$I:$I,"&lt;="&amp;$B$131)</f>
        <v>51</v>
      </c>
      <c r="M140" s="69">
        <f t="shared" si="2"/>
        <v>0.19047619047619047</v>
      </c>
      <c r="N140" s="69">
        <f t="shared" si="3"/>
        <v>0.24249130572241542</v>
      </c>
      <c r="O140" s="56" t="str">
        <f>IF(H140&lt;=0,"Goal Achieved",IF(N140&gt;M140,"At Risk – Below Pace",IF(J140&lt;G5,"Watch – Under Target Coverage","On Track")))</f>
        <v>At Risk – Below Pace</v>
      </c>
      <c r="P140" s="56">
        <f t="shared" si="4"/>
        <v>-4.1238591916558018</v>
      </c>
    </row>
    <row r="141" spans="1:16" outlineLevel="1" x14ac:dyDescent="0.2">
      <c r="A141" s="59" t="str">
        <f>Dim_Reps!A6</f>
        <v>R026</v>
      </c>
      <c r="B141" s="59" t="str">
        <f>Dim_Reps!B6</f>
        <v>Jamie Santos</v>
      </c>
      <c r="C141" s="59" t="str">
        <f>Dim_Reps!D6</f>
        <v>Enterprise</v>
      </c>
      <c r="D141" s="59" t="str">
        <f>Dim_Reps!E6</f>
        <v>APAC</v>
      </c>
      <c r="E141" s="59" t="str">
        <f>Dim_Reps!H6</f>
        <v>Departed</v>
      </c>
      <c r="F141" s="58">
        <f>SUMIFS(Fact_Quota!$D:$D,Fact_Quota!$A:$A,$A141,Fact_Quota!$B:$B,"&gt;="&amp;$B$129,Fact_Quota!$B:$B,"&lt;="&amp;$B$130)</f>
        <v>94600</v>
      </c>
      <c r="G141" s="58">
        <f>SUMIFS(Fact_Pipeline!$K:$K,Fact_Pipeline!$B:$B,$A141,Fact_Pipeline!$J:$J,"Won",Fact_Pipeline!$I:$I,"&gt;="&amp;$B$129,Fact_Pipeline!$I:$I,"&lt;="&amp;$B$131)</f>
        <v>243800</v>
      </c>
      <c r="H141" s="58">
        <f t="shared" si="0"/>
        <v>0</v>
      </c>
      <c r="I141" s="58">
        <f>SUMIFS(Fact_Pipeline!$K:$K,Fact_Pipeline!$B:$B,$A141,Fact_Pipeline!$J:$J,"Open")</f>
        <v>479700</v>
      </c>
      <c r="J141" s="96" t="str">
        <f t="shared" si="1"/>
        <v/>
      </c>
      <c r="K141" s="59">
        <f>COUNTIFS(Fact_Pipeline!$B:$B,$A141,Fact_Pipeline!$J:$J,"Won",Fact_Pipeline!$I:$I,"&gt;="&amp;EDATE($B$131,-11),Fact_Pipeline!$I:$I,"&lt;="&amp;$B$131)</f>
        <v>14</v>
      </c>
      <c r="L141" s="59">
        <f>COUNTIFS(Fact_Pipeline!$B:$B,$A141,Fact_Pipeline!$J:$J,"Lost",Fact_Pipeline!$I:$I,"&gt;="&amp;EDATE($B$131,-11),Fact_Pipeline!$I:$I,"&lt;="&amp;$B$131)</f>
        <v>44</v>
      </c>
      <c r="M141" s="71">
        <f t="shared" si="2"/>
        <v>0.2413793103448276</v>
      </c>
      <c r="N141" s="71" t="str">
        <f t="shared" si="3"/>
        <v/>
      </c>
      <c r="O141" s="59" t="str">
        <f>IF(H141&lt;=0,"Goal Achieved",IF(N141&gt;M141,"At Risk – Below Pace",IF(J141&lt;G5,"Watch – Under Target Coverage","On Track")))</f>
        <v>Goal Achieved</v>
      </c>
      <c r="P141" s="59" t="str">
        <f t="shared" si="4"/>
        <v/>
      </c>
    </row>
    <row r="142" spans="1:16" outlineLevel="1" x14ac:dyDescent="0.2">
      <c r="A142" s="56" t="str">
        <f>Dim_Reps!A7</f>
        <v>R036</v>
      </c>
      <c r="B142" s="56" t="str">
        <f>Dim_Reps!B7</f>
        <v>Zara Duarte</v>
      </c>
      <c r="C142" s="56" t="str">
        <f>Dim_Reps!D7</f>
        <v>Enterprise</v>
      </c>
      <c r="D142" s="56" t="str">
        <f>Dim_Reps!E7</f>
        <v>NAMER</v>
      </c>
      <c r="E142" s="56" t="str">
        <f>Dim_Reps!H7</f>
        <v>Active</v>
      </c>
      <c r="F142" s="55">
        <f>SUMIFS(Fact_Quota!$D:$D,Fact_Quota!$A:$A,$A142,Fact_Quota!$B:$B,"&gt;="&amp;$B$129,Fact_Quota!$B:$B,"&lt;="&amp;$B$130)</f>
        <v>97100</v>
      </c>
      <c r="G142" s="55">
        <f>SUMIFS(Fact_Pipeline!$K:$K,Fact_Pipeline!$B:$B,$A142,Fact_Pipeline!$J:$J,"Won",Fact_Pipeline!$I:$I,"&gt;="&amp;$B$129,Fact_Pipeline!$I:$I,"&lt;="&amp;$B$131)</f>
        <v>132800</v>
      </c>
      <c r="H142" s="55">
        <f t="shared" si="0"/>
        <v>0</v>
      </c>
      <c r="I142" s="55">
        <f>SUMIFS(Fact_Pipeline!$K:$K,Fact_Pipeline!$B:$B,$A142,Fact_Pipeline!$J:$J,"Open")</f>
        <v>593200</v>
      </c>
      <c r="J142" s="95" t="str">
        <f t="shared" si="1"/>
        <v/>
      </c>
      <c r="K142" s="56">
        <f>COUNTIFS(Fact_Pipeline!$B:$B,$A142,Fact_Pipeline!$J:$J,"Won",Fact_Pipeline!$I:$I,"&gt;="&amp;EDATE($B$131,-11),Fact_Pipeline!$I:$I,"&lt;="&amp;$B$131)</f>
        <v>12</v>
      </c>
      <c r="L142" s="56">
        <f>COUNTIFS(Fact_Pipeline!$B:$B,$A142,Fact_Pipeline!$J:$J,"Lost",Fact_Pipeline!$I:$I,"&gt;="&amp;EDATE($B$131,-11),Fact_Pipeline!$I:$I,"&lt;="&amp;$B$131)</f>
        <v>39</v>
      </c>
      <c r="M142" s="69">
        <f t="shared" si="2"/>
        <v>0.23529411764705882</v>
      </c>
      <c r="N142" s="69" t="str">
        <f t="shared" si="3"/>
        <v/>
      </c>
      <c r="O142" s="56" t="str">
        <f>IF(H142&lt;=0,"Goal Achieved",IF(N142&gt;M142,"At Risk – Below Pace",IF(J142&lt;G5,"Watch – Under Target Coverage","On Track")))</f>
        <v>Goal Achieved</v>
      </c>
      <c r="P142" s="56">
        <f t="shared" si="4"/>
        <v>-999.00001420000001</v>
      </c>
    </row>
    <row r="143" spans="1:16" outlineLevel="1" x14ac:dyDescent="0.2">
      <c r="A143" s="59" t="str">
        <f>Dim_Reps!A8</f>
        <v>R001</v>
      </c>
      <c r="B143" s="59" t="str">
        <f>Dim_Reps!B8</f>
        <v>Karim Rossi</v>
      </c>
      <c r="C143" s="59" t="str">
        <f>Dim_Reps!D8</f>
        <v>Inside Sales</v>
      </c>
      <c r="D143" s="59" t="str">
        <f>Dim_Reps!E8</f>
        <v>NAMER</v>
      </c>
      <c r="E143" s="59" t="str">
        <f>Dim_Reps!H8</f>
        <v>Active</v>
      </c>
      <c r="F143" s="58">
        <f>SUMIFS(Fact_Quota!$D:$D,Fact_Quota!$A:$A,$A143,Fact_Quota!$B:$B,"&gt;="&amp;$B$129,Fact_Quota!$B:$B,"&lt;="&amp;$B$130)</f>
        <v>47000</v>
      </c>
      <c r="G143" s="58">
        <f>SUMIFS(Fact_Pipeline!$K:$K,Fact_Pipeline!$B:$B,$A143,Fact_Pipeline!$J:$J,"Won",Fact_Pipeline!$I:$I,"&gt;="&amp;$B$129,Fact_Pipeline!$I:$I,"&lt;="&amp;$B$131)</f>
        <v>25500</v>
      </c>
      <c r="H143" s="58">
        <f t="shared" si="0"/>
        <v>21500</v>
      </c>
      <c r="I143" s="58">
        <f>SUMIFS(Fact_Pipeline!$K:$K,Fact_Pipeline!$B:$B,$A143,Fact_Pipeline!$J:$J,"Open")</f>
        <v>15600</v>
      </c>
      <c r="J143" s="96">
        <f t="shared" si="1"/>
        <v>0.72558139534883725</v>
      </c>
      <c r="K143" s="59">
        <f>COUNTIFS(Fact_Pipeline!$B:$B,$A143,Fact_Pipeline!$J:$J,"Won",Fact_Pipeline!$I:$I,"&gt;="&amp;EDATE($B$131,-11),Fact_Pipeline!$I:$I,"&lt;="&amp;$B$131)</f>
        <v>37</v>
      </c>
      <c r="L143" s="59">
        <f>COUNTIFS(Fact_Pipeline!$B:$B,$A143,Fact_Pipeline!$J:$J,"Lost",Fact_Pipeline!$I:$I,"&gt;="&amp;EDATE($B$131,-11),Fact_Pipeline!$I:$I,"&lt;="&amp;$B$131)</f>
        <v>66</v>
      </c>
      <c r="M143" s="71">
        <f t="shared" si="2"/>
        <v>0.35922330097087379</v>
      </c>
      <c r="N143" s="71">
        <f t="shared" si="3"/>
        <v>1.3782051282051282</v>
      </c>
      <c r="O143" s="59" t="str">
        <f>IF(H143&lt;=0,"Goal Achieved",IF(N143&gt;M143,"At Risk – Below Pace",IF(J143&lt;G5,"Watch – Under Target Coverage","On Track")))</f>
        <v>At Risk – Below Pace</v>
      </c>
      <c r="P143" s="59">
        <f t="shared" si="4"/>
        <v>-0.72558139534883725</v>
      </c>
    </row>
    <row r="144" spans="1:16" outlineLevel="1" x14ac:dyDescent="0.2">
      <c r="A144" s="56" t="str">
        <f>Dim_Reps!A9</f>
        <v>R005</v>
      </c>
      <c r="B144" s="56" t="str">
        <f>Dim_Reps!B9</f>
        <v>Alex Okafor</v>
      </c>
      <c r="C144" s="56" t="str">
        <f>Dim_Reps!D9</f>
        <v>Inside Sales</v>
      </c>
      <c r="D144" s="56" t="str">
        <f>Dim_Reps!E9</f>
        <v>EMEA</v>
      </c>
      <c r="E144" s="56" t="str">
        <f>Dim_Reps!H9</f>
        <v>Active</v>
      </c>
      <c r="F144" s="55">
        <f>SUMIFS(Fact_Quota!$D:$D,Fact_Quota!$A:$A,$A144,Fact_Quota!$B:$B,"&gt;="&amp;$B$129,Fact_Quota!$B:$B,"&lt;="&amp;$B$130)</f>
        <v>46500</v>
      </c>
      <c r="G144" s="55">
        <f>SUMIFS(Fact_Pipeline!$K:$K,Fact_Pipeline!$B:$B,$A144,Fact_Pipeline!$J:$J,"Won",Fact_Pipeline!$I:$I,"&gt;="&amp;$B$129,Fact_Pipeline!$I:$I,"&lt;="&amp;$B$131)</f>
        <v>41500</v>
      </c>
      <c r="H144" s="55">
        <f t="shared" si="0"/>
        <v>5000</v>
      </c>
      <c r="I144" s="55">
        <f>SUMIFS(Fact_Pipeline!$K:$K,Fact_Pipeline!$B:$B,$A144,Fact_Pipeline!$J:$J,"Open")</f>
        <v>40500</v>
      </c>
      <c r="J144" s="95">
        <f t="shared" si="1"/>
        <v>8.1</v>
      </c>
      <c r="K144" s="56">
        <f>COUNTIFS(Fact_Pipeline!$B:$B,$A144,Fact_Pipeline!$J:$J,"Won",Fact_Pipeline!$I:$I,"&gt;="&amp;EDATE($B$131,-11),Fact_Pipeline!$I:$I,"&lt;="&amp;$B$131)</f>
        <v>46</v>
      </c>
      <c r="L144" s="56">
        <f>COUNTIFS(Fact_Pipeline!$B:$B,$A144,Fact_Pipeline!$J:$J,"Lost",Fact_Pipeline!$I:$I,"&gt;="&amp;EDATE($B$131,-11),Fact_Pipeline!$I:$I,"&lt;="&amp;$B$131)</f>
        <v>62</v>
      </c>
      <c r="M144" s="69">
        <f t="shared" si="2"/>
        <v>0.42592592592592593</v>
      </c>
      <c r="N144" s="69">
        <f t="shared" si="3"/>
        <v>0.12345679012345678</v>
      </c>
      <c r="O144" s="56" t="str">
        <f>IF(H144&lt;=0,"Goal Achieved",IF(N144&gt;M144,"At Risk – Below Pace",IF(J144&lt;G5,"Watch – Under Target Coverage","On Track")))</f>
        <v>On Track</v>
      </c>
      <c r="P144" s="56">
        <f t="shared" si="4"/>
        <v>-8.1</v>
      </c>
    </row>
    <row r="145" spans="1:16" outlineLevel="1" x14ac:dyDescent="0.2">
      <c r="A145" s="59" t="str">
        <f>Dim_Reps!A10</f>
        <v>R006</v>
      </c>
      <c r="B145" s="59" t="str">
        <f>Dim_Reps!B10</f>
        <v>Lucas Okafor</v>
      </c>
      <c r="C145" s="59" t="str">
        <f>Dim_Reps!D10</f>
        <v>Inside Sales</v>
      </c>
      <c r="D145" s="59" t="str">
        <f>Dim_Reps!E10</f>
        <v>APAC</v>
      </c>
      <c r="E145" s="59" t="str">
        <f>Dim_Reps!H10</f>
        <v>Active</v>
      </c>
      <c r="F145" s="58">
        <f>SUMIFS(Fact_Quota!$D:$D,Fact_Quota!$A:$A,$A145,Fact_Quota!$B:$B,"&gt;="&amp;$B$129,Fact_Quota!$B:$B,"&lt;="&amp;$B$130)</f>
        <v>46500</v>
      </c>
      <c r="G145" s="58">
        <f>SUMIFS(Fact_Pipeline!$K:$K,Fact_Pipeline!$B:$B,$A145,Fact_Pipeline!$J:$J,"Won",Fact_Pipeline!$I:$I,"&gt;="&amp;$B$129,Fact_Pipeline!$I:$I,"&lt;="&amp;$B$131)</f>
        <v>15500</v>
      </c>
      <c r="H145" s="58">
        <f t="shared" si="0"/>
        <v>31000</v>
      </c>
      <c r="I145" s="58">
        <f>SUMIFS(Fact_Pipeline!$K:$K,Fact_Pipeline!$B:$B,$A145,Fact_Pipeline!$J:$J,"Open")</f>
        <v>34200</v>
      </c>
      <c r="J145" s="96">
        <f t="shared" si="1"/>
        <v>1.1032258064516129</v>
      </c>
      <c r="K145" s="59">
        <f>COUNTIFS(Fact_Pipeline!$B:$B,$A145,Fact_Pipeline!$J:$J,"Won",Fact_Pipeline!$I:$I,"&gt;="&amp;EDATE($B$131,-11),Fact_Pipeline!$I:$I,"&lt;="&amp;$B$131)</f>
        <v>56</v>
      </c>
      <c r="L145" s="59">
        <f>COUNTIFS(Fact_Pipeline!$B:$B,$A145,Fact_Pipeline!$J:$J,"Lost",Fact_Pipeline!$I:$I,"&gt;="&amp;EDATE($B$131,-11),Fact_Pipeline!$I:$I,"&lt;="&amp;$B$131)</f>
        <v>64</v>
      </c>
      <c r="M145" s="71">
        <f t="shared" si="2"/>
        <v>0.46666666666666667</v>
      </c>
      <c r="N145" s="71">
        <f t="shared" si="3"/>
        <v>0.9064327485380117</v>
      </c>
      <c r="O145" s="59" t="str">
        <f>IF(H145&lt;=0,"Goal Achieved",IF(N145&gt;M145,"At Risk – Below Pace",IF(J145&lt;G5,"Watch – Under Target Coverage","On Track")))</f>
        <v>At Risk – Below Pace</v>
      </c>
      <c r="P145" s="59">
        <f t="shared" si="4"/>
        <v>-1.1032258064516129</v>
      </c>
    </row>
    <row r="146" spans="1:16" outlineLevel="1" x14ac:dyDescent="0.2">
      <c r="A146" s="56" t="str">
        <f>Dim_Reps!A11</f>
        <v>R007</v>
      </c>
      <c r="B146" s="56" t="str">
        <f>Dim_Reps!B11</f>
        <v>Sara Duarte</v>
      </c>
      <c r="C146" s="56" t="str">
        <f>Dim_Reps!D11</f>
        <v>Inside Sales</v>
      </c>
      <c r="D146" s="56" t="str">
        <f>Dim_Reps!E11</f>
        <v>APAC</v>
      </c>
      <c r="E146" s="56" t="str">
        <f>Dim_Reps!H11</f>
        <v>Active</v>
      </c>
      <c r="F146" s="55">
        <f>SUMIFS(Fact_Quota!$D:$D,Fact_Quota!$A:$A,$A146,Fact_Quota!$B:$B,"&gt;="&amp;$B$129,Fact_Quota!$B:$B,"&lt;="&amp;$B$130)</f>
        <v>22900</v>
      </c>
      <c r="G146" s="55">
        <f>SUMIFS(Fact_Pipeline!$K:$K,Fact_Pipeline!$B:$B,$A146,Fact_Pipeline!$J:$J,"Won",Fact_Pipeline!$I:$I,"&gt;="&amp;$B$129,Fact_Pipeline!$I:$I,"&lt;="&amp;$B$131)</f>
        <v>5800</v>
      </c>
      <c r="H146" s="55">
        <f t="shared" si="0"/>
        <v>17100</v>
      </c>
      <c r="I146" s="55">
        <f>SUMIFS(Fact_Pipeline!$K:$K,Fact_Pipeline!$B:$B,$A146,Fact_Pipeline!$J:$J,"Open")</f>
        <v>35300</v>
      </c>
      <c r="J146" s="95">
        <f t="shared" si="1"/>
        <v>2.064327485380117</v>
      </c>
      <c r="K146" s="56">
        <f>COUNTIFS(Fact_Pipeline!$B:$B,$A146,Fact_Pipeline!$J:$J,"Won",Fact_Pipeline!$I:$I,"&gt;="&amp;EDATE($B$131,-11),Fact_Pipeline!$I:$I,"&lt;="&amp;$B$131)</f>
        <v>2</v>
      </c>
      <c r="L146" s="56">
        <f>COUNTIFS(Fact_Pipeline!$B:$B,$A146,Fact_Pipeline!$J:$J,"Lost",Fact_Pipeline!$I:$I,"&gt;="&amp;EDATE($B$131,-11),Fact_Pipeline!$I:$I,"&lt;="&amp;$B$131)</f>
        <v>1</v>
      </c>
      <c r="M146" s="69">
        <f t="shared" si="2"/>
        <v>0.66666666666666663</v>
      </c>
      <c r="N146" s="69">
        <f t="shared" si="3"/>
        <v>0.48441926345609065</v>
      </c>
      <c r="O146" s="56" t="str">
        <f>IF(H146&lt;=0,"Goal Achieved",IF(N146&gt;M146,"At Risk – Below Pace",IF(J146&lt;G5,"Watch – Under Target Coverage","On Track")))</f>
        <v>Watch – Under Target Coverage</v>
      </c>
      <c r="P146" s="56">
        <f t="shared" si="4"/>
        <v>-2.064327485380117</v>
      </c>
    </row>
    <row r="147" spans="1:16" outlineLevel="1" x14ac:dyDescent="0.2">
      <c r="A147" s="59" t="str">
        <f>Dim_Reps!A12</f>
        <v>R011</v>
      </c>
      <c r="B147" s="59" t="str">
        <f>Dim_Reps!B12</f>
        <v>Riley Haddad</v>
      </c>
      <c r="C147" s="59" t="str">
        <f>Dim_Reps!D12</f>
        <v>Inside Sales</v>
      </c>
      <c r="D147" s="59" t="str">
        <f>Dim_Reps!E12</f>
        <v>APAC</v>
      </c>
      <c r="E147" s="59" t="str">
        <f>Dim_Reps!H12</f>
        <v>Active</v>
      </c>
      <c r="F147" s="58">
        <f>SUMIFS(Fact_Quota!$D:$D,Fact_Quota!$A:$A,$A147,Fact_Quota!$B:$B,"&gt;="&amp;$B$129,Fact_Quota!$B:$B,"&lt;="&amp;$B$130)</f>
        <v>46400</v>
      </c>
      <c r="G147" s="58">
        <f>SUMIFS(Fact_Pipeline!$K:$K,Fact_Pipeline!$B:$B,$A147,Fact_Pipeline!$J:$J,"Won",Fact_Pipeline!$I:$I,"&gt;="&amp;$B$129,Fact_Pipeline!$I:$I,"&lt;="&amp;$B$131)</f>
        <v>29300</v>
      </c>
      <c r="H147" s="58">
        <f t="shared" si="0"/>
        <v>17100</v>
      </c>
      <c r="I147" s="58">
        <f>SUMIFS(Fact_Pipeline!$K:$K,Fact_Pipeline!$B:$B,$A147,Fact_Pipeline!$J:$J,"Open")</f>
        <v>39700</v>
      </c>
      <c r="J147" s="96">
        <f t="shared" si="1"/>
        <v>2.3216374269005846</v>
      </c>
      <c r="K147" s="59">
        <f>COUNTIFS(Fact_Pipeline!$B:$B,$A147,Fact_Pipeline!$J:$J,"Won",Fact_Pipeline!$I:$I,"&gt;="&amp;EDATE($B$131,-11),Fact_Pipeline!$I:$I,"&lt;="&amp;$B$131)</f>
        <v>32</v>
      </c>
      <c r="L147" s="59">
        <f>COUNTIFS(Fact_Pipeline!$B:$B,$A147,Fact_Pipeline!$J:$J,"Lost",Fact_Pipeline!$I:$I,"&gt;="&amp;EDATE($B$131,-11),Fact_Pipeline!$I:$I,"&lt;="&amp;$B$131)</f>
        <v>66</v>
      </c>
      <c r="M147" s="71">
        <f t="shared" si="2"/>
        <v>0.32653061224489793</v>
      </c>
      <c r="N147" s="71">
        <f t="shared" si="3"/>
        <v>0.43073047858942065</v>
      </c>
      <c r="O147" s="59" t="str">
        <f>IF(H147&lt;=0,"Goal Achieved",IF(N147&gt;M147,"At Risk – Below Pace",IF(J147&lt;G5,"Watch – Under Target Coverage","On Track")))</f>
        <v>At Risk – Below Pace</v>
      </c>
      <c r="P147" s="59">
        <f t="shared" si="4"/>
        <v>-2.3216374269005846</v>
      </c>
    </row>
    <row r="148" spans="1:16" outlineLevel="1" x14ac:dyDescent="0.2">
      <c r="A148" s="56" t="str">
        <f>Dim_Reps!A13</f>
        <v>R014</v>
      </c>
      <c r="B148" s="56" t="str">
        <f>Dim_Reps!B13</f>
        <v>Karim Alvarez</v>
      </c>
      <c r="C148" s="56" t="str">
        <f>Dim_Reps!D13</f>
        <v>Inside Sales</v>
      </c>
      <c r="D148" s="56" t="str">
        <f>Dim_Reps!E13</f>
        <v>EMEA</v>
      </c>
      <c r="E148" s="56" t="str">
        <f>Dim_Reps!H13</f>
        <v>Active</v>
      </c>
      <c r="F148" s="55">
        <f>SUMIFS(Fact_Quota!$D:$D,Fact_Quota!$A:$A,$A148,Fact_Quota!$B:$B,"&gt;="&amp;$B$129,Fact_Quota!$B:$B,"&lt;="&amp;$B$130)</f>
        <v>46500</v>
      </c>
      <c r="G148" s="55">
        <f>SUMIFS(Fact_Pipeline!$K:$K,Fact_Pipeline!$B:$B,$A148,Fact_Pipeline!$J:$J,"Won",Fact_Pipeline!$I:$I,"&gt;="&amp;$B$129,Fact_Pipeline!$I:$I,"&lt;="&amp;$B$131)</f>
        <v>47400</v>
      </c>
      <c r="H148" s="55">
        <f t="shared" si="0"/>
        <v>0</v>
      </c>
      <c r="I148" s="55">
        <f>SUMIFS(Fact_Pipeline!$K:$K,Fact_Pipeline!$B:$B,$A148,Fact_Pipeline!$J:$J,"Open")</f>
        <v>43500</v>
      </c>
      <c r="J148" s="95" t="str">
        <f t="shared" si="1"/>
        <v/>
      </c>
      <c r="K148" s="56">
        <f>COUNTIFS(Fact_Pipeline!$B:$B,$A148,Fact_Pipeline!$J:$J,"Won",Fact_Pipeline!$I:$I,"&gt;="&amp;EDATE($B$131,-11),Fact_Pipeline!$I:$I,"&lt;="&amp;$B$131)</f>
        <v>47</v>
      </c>
      <c r="L148" s="56">
        <f>COUNTIFS(Fact_Pipeline!$B:$B,$A148,Fact_Pipeline!$J:$J,"Lost",Fact_Pipeline!$I:$I,"&gt;="&amp;EDATE($B$131,-11),Fact_Pipeline!$I:$I,"&lt;="&amp;$B$131)</f>
        <v>79</v>
      </c>
      <c r="M148" s="69">
        <f t="shared" si="2"/>
        <v>0.37301587301587302</v>
      </c>
      <c r="N148" s="69" t="str">
        <f t="shared" si="3"/>
        <v/>
      </c>
      <c r="O148" s="56" t="str">
        <f>IF(H148&lt;=0,"Goal Achieved",IF(N148&gt;M148,"At Risk – Below Pace",IF(J148&lt;G5,"Watch – Under Target Coverage","On Track")))</f>
        <v>Goal Achieved</v>
      </c>
      <c r="P148" s="56">
        <f t="shared" si="4"/>
        <v>-999.00001480000003</v>
      </c>
    </row>
    <row r="149" spans="1:16" outlineLevel="1" x14ac:dyDescent="0.2">
      <c r="A149" s="59" t="str">
        <f>Dim_Reps!A14</f>
        <v>R015</v>
      </c>
      <c r="B149" s="59" t="str">
        <f>Dim_Reps!B14</f>
        <v>Sam Castro</v>
      </c>
      <c r="C149" s="59" t="str">
        <f>Dim_Reps!D14</f>
        <v>Inside Sales</v>
      </c>
      <c r="D149" s="59" t="str">
        <f>Dim_Reps!E14</f>
        <v>APAC</v>
      </c>
      <c r="E149" s="59" t="str">
        <f>Dim_Reps!H14</f>
        <v>Departed</v>
      </c>
      <c r="F149" s="58">
        <f>SUMIFS(Fact_Quota!$D:$D,Fact_Quota!$A:$A,$A149,Fact_Quota!$B:$B,"&gt;="&amp;$B$129,Fact_Quota!$B:$B,"&lt;="&amp;$B$130)</f>
        <v>47200</v>
      </c>
      <c r="G149" s="58">
        <f>SUMIFS(Fact_Pipeline!$K:$K,Fact_Pipeline!$B:$B,$A149,Fact_Pipeline!$J:$J,"Won",Fact_Pipeline!$I:$I,"&gt;="&amp;$B$129,Fact_Pipeline!$I:$I,"&lt;="&amp;$B$131)</f>
        <v>11500</v>
      </c>
      <c r="H149" s="58">
        <f t="shared" si="0"/>
        <v>35700</v>
      </c>
      <c r="I149" s="58">
        <f>SUMIFS(Fact_Pipeline!$K:$K,Fact_Pipeline!$B:$B,$A149,Fact_Pipeline!$J:$J,"Open")</f>
        <v>0</v>
      </c>
      <c r="J149" s="96">
        <f t="shared" si="1"/>
        <v>0</v>
      </c>
      <c r="K149" s="59">
        <f>COUNTIFS(Fact_Pipeline!$B:$B,$A149,Fact_Pipeline!$J:$J,"Won",Fact_Pipeline!$I:$I,"&gt;="&amp;EDATE($B$131,-11),Fact_Pipeline!$I:$I,"&lt;="&amp;$B$131)</f>
        <v>39</v>
      </c>
      <c r="L149" s="59">
        <f>COUNTIFS(Fact_Pipeline!$B:$B,$A149,Fact_Pipeline!$J:$J,"Lost",Fact_Pipeline!$I:$I,"&gt;="&amp;EDATE($B$131,-11),Fact_Pipeline!$I:$I,"&lt;="&amp;$B$131)</f>
        <v>70</v>
      </c>
      <c r="M149" s="71">
        <f t="shared" si="2"/>
        <v>0.3577981651376147</v>
      </c>
      <c r="N149" s="71">
        <f t="shared" si="3"/>
        <v>1</v>
      </c>
      <c r="O149" s="59" t="str">
        <f>IF(H149&lt;=0,"Goal Achieved",IF(N149&gt;M149,"At Risk – Below Pace",IF(J149&lt;G5,"Watch – Under Target Coverage","On Track")))</f>
        <v>At Risk – Below Pace</v>
      </c>
      <c r="P149" s="59" t="str">
        <f t="shared" si="4"/>
        <v/>
      </c>
    </row>
    <row r="150" spans="1:16" outlineLevel="1" x14ac:dyDescent="0.2">
      <c r="A150" s="56" t="str">
        <f>Dim_Reps!A15</f>
        <v>R016</v>
      </c>
      <c r="B150" s="56" t="str">
        <f>Dim_Reps!B15</f>
        <v>Petra Larsen</v>
      </c>
      <c r="C150" s="56" t="str">
        <f>Dim_Reps!D15</f>
        <v>Inside Sales</v>
      </c>
      <c r="D150" s="56" t="str">
        <f>Dim_Reps!E15</f>
        <v>EMEA</v>
      </c>
      <c r="E150" s="56" t="str">
        <f>Dim_Reps!H15</f>
        <v>Active</v>
      </c>
      <c r="F150" s="55">
        <f>SUMIFS(Fact_Quota!$D:$D,Fact_Quota!$A:$A,$A150,Fact_Quota!$B:$B,"&gt;="&amp;$B$129,Fact_Quota!$B:$B,"&lt;="&amp;$B$130)</f>
        <v>47400</v>
      </c>
      <c r="G150" s="55">
        <f>SUMIFS(Fact_Pipeline!$K:$K,Fact_Pipeline!$B:$B,$A150,Fact_Pipeline!$J:$J,"Won",Fact_Pipeline!$I:$I,"&gt;="&amp;$B$129,Fact_Pipeline!$I:$I,"&lt;="&amp;$B$131)</f>
        <v>0</v>
      </c>
      <c r="H150" s="55">
        <f t="shared" si="0"/>
        <v>47400</v>
      </c>
      <c r="I150" s="55">
        <f>SUMIFS(Fact_Pipeline!$K:$K,Fact_Pipeline!$B:$B,$A150,Fact_Pipeline!$J:$J,"Open")</f>
        <v>28700</v>
      </c>
      <c r="J150" s="95">
        <f t="shared" si="1"/>
        <v>0.60548523206751059</v>
      </c>
      <c r="K150" s="56">
        <f>COUNTIFS(Fact_Pipeline!$B:$B,$A150,Fact_Pipeline!$J:$J,"Won",Fact_Pipeline!$I:$I,"&gt;="&amp;EDATE($B$131,-11),Fact_Pipeline!$I:$I,"&lt;="&amp;$B$131)</f>
        <v>14</v>
      </c>
      <c r="L150" s="56">
        <f>COUNTIFS(Fact_Pipeline!$B:$B,$A150,Fact_Pipeline!$J:$J,"Lost",Fact_Pipeline!$I:$I,"&gt;="&amp;EDATE($B$131,-11),Fact_Pipeline!$I:$I,"&lt;="&amp;$B$131)</f>
        <v>37</v>
      </c>
      <c r="M150" s="69">
        <f t="shared" si="2"/>
        <v>0.27450980392156865</v>
      </c>
      <c r="N150" s="69">
        <f t="shared" si="3"/>
        <v>1.6515679442508711</v>
      </c>
      <c r="O150" s="56" t="str">
        <f>IF(H150&lt;=0,"Goal Achieved",IF(N150&gt;M150,"At Risk – Below Pace",IF(J150&lt;G5,"Watch – Under Target Coverage","On Track")))</f>
        <v>At Risk – Below Pace</v>
      </c>
      <c r="P150" s="56">
        <f t="shared" si="4"/>
        <v>-0.60548523206751059</v>
      </c>
    </row>
    <row r="151" spans="1:16" outlineLevel="1" x14ac:dyDescent="0.2">
      <c r="A151" s="59" t="str">
        <f>Dim_Reps!A16</f>
        <v>R017</v>
      </c>
      <c r="B151" s="59" t="str">
        <f>Dim_Reps!B16</f>
        <v>Lea Weber</v>
      </c>
      <c r="C151" s="59" t="str">
        <f>Dim_Reps!D16</f>
        <v>Inside Sales</v>
      </c>
      <c r="D151" s="59" t="str">
        <f>Dim_Reps!E16</f>
        <v>EMEA</v>
      </c>
      <c r="E151" s="59" t="str">
        <f>Dim_Reps!H16</f>
        <v>Active</v>
      </c>
      <c r="F151" s="58">
        <f>SUMIFS(Fact_Quota!$D:$D,Fact_Quota!$A:$A,$A151,Fact_Quota!$B:$B,"&gt;="&amp;$B$129,Fact_Quota!$B:$B,"&lt;="&amp;$B$130)</f>
        <v>46000</v>
      </c>
      <c r="G151" s="58">
        <f>SUMIFS(Fact_Pipeline!$K:$K,Fact_Pipeline!$B:$B,$A151,Fact_Pipeline!$J:$J,"Won",Fact_Pipeline!$I:$I,"&gt;="&amp;$B$129,Fact_Pipeline!$I:$I,"&lt;="&amp;$B$131)</f>
        <v>32300</v>
      </c>
      <c r="H151" s="58">
        <f t="shared" si="0"/>
        <v>13700</v>
      </c>
      <c r="I151" s="58">
        <f>SUMIFS(Fact_Pipeline!$K:$K,Fact_Pipeline!$B:$B,$A151,Fact_Pipeline!$J:$J,"Open")</f>
        <v>17400</v>
      </c>
      <c r="J151" s="96">
        <f t="shared" si="1"/>
        <v>1.2700729927007299</v>
      </c>
      <c r="K151" s="59">
        <f>COUNTIFS(Fact_Pipeline!$B:$B,$A151,Fact_Pipeline!$J:$J,"Won",Fact_Pipeline!$I:$I,"&gt;="&amp;EDATE($B$131,-11),Fact_Pipeline!$I:$I,"&lt;="&amp;$B$131)</f>
        <v>47</v>
      </c>
      <c r="L151" s="59">
        <f>COUNTIFS(Fact_Pipeline!$B:$B,$A151,Fact_Pipeline!$J:$J,"Lost",Fact_Pipeline!$I:$I,"&gt;="&amp;EDATE($B$131,-11),Fact_Pipeline!$I:$I,"&lt;="&amp;$B$131)</f>
        <v>83</v>
      </c>
      <c r="M151" s="71">
        <f t="shared" si="2"/>
        <v>0.36153846153846153</v>
      </c>
      <c r="N151" s="71">
        <f t="shared" si="3"/>
        <v>0.78735632183908044</v>
      </c>
      <c r="O151" s="59" t="str">
        <f>IF(H151&lt;=0,"Goal Achieved",IF(N151&gt;M151,"At Risk – Below Pace",IF(J151&lt;G5,"Watch – Under Target Coverage","On Track")))</f>
        <v>At Risk – Below Pace</v>
      </c>
      <c r="P151" s="59">
        <f t="shared" si="4"/>
        <v>-1.2700729927007299</v>
      </c>
    </row>
    <row r="152" spans="1:16" outlineLevel="1" x14ac:dyDescent="0.2">
      <c r="A152" s="56" t="str">
        <f>Dim_Reps!A17</f>
        <v>R020</v>
      </c>
      <c r="B152" s="56" t="str">
        <f>Dim_Reps!B17</f>
        <v>Jamie Silva</v>
      </c>
      <c r="C152" s="56" t="str">
        <f>Dim_Reps!D17</f>
        <v>Inside Sales</v>
      </c>
      <c r="D152" s="56" t="str">
        <f>Dim_Reps!E17</f>
        <v>EMEA</v>
      </c>
      <c r="E152" s="56" t="str">
        <f>Dim_Reps!H17</f>
        <v>Active</v>
      </c>
      <c r="F152" s="55">
        <f>SUMIFS(Fact_Quota!$D:$D,Fact_Quota!$A:$A,$A152,Fact_Quota!$B:$B,"&gt;="&amp;$B$129,Fact_Quota!$B:$B,"&lt;="&amp;$B$130)</f>
        <v>46800</v>
      </c>
      <c r="G152" s="55">
        <f>SUMIFS(Fact_Pipeline!$K:$K,Fact_Pipeline!$B:$B,$A152,Fact_Pipeline!$J:$J,"Won",Fact_Pipeline!$I:$I,"&gt;="&amp;$B$129,Fact_Pipeline!$I:$I,"&lt;="&amp;$B$131)</f>
        <v>31500</v>
      </c>
      <c r="H152" s="55">
        <f t="shared" si="0"/>
        <v>15300</v>
      </c>
      <c r="I152" s="55">
        <f>SUMIFS(Fact_Pipeline!$K:$K,Fact_Pipeline!$B:$B,$A152,Fact_Pipeline!$J:$J,"Open")</f>
        <v>41600</v>
      </c>
      <c r="J152" s="95">
        <f t="shared" si="1"/>
        <v>2.7189542483660132</v>
      </c>
      <c r="K152" s="56">
        <f>COUNTIFS(Fact_Pipeline!$B:$B,$A152,Fact_Pipeline!$J:$J,"Won",Fact_Pipeline!$I:$I,"&gt;="&amp;EDATE($B$131,-11),Fact_Pipeline!$I:$I,"&lt;="&amp;$B$131)</f>
        <v>35</v>
      </c>
      <c r="L152" s="56">
        <f>COUNTIFS(Fact_Pipeline!$B:$B,$A152,Fact_Pipeline!$J:$J,"Lost",Fact_Pipeline!$I:$I,"&gt;="&amp;EDATE($B$131,-11),Fact_Pipeline!$I:$I,"&lt;="&amp;$B$131)</f>
        <v>59</v>
      </c>
      <c r="M152" s="69">
        <f t="shared" si="2"/>
        <v>0.37234042553191488</v>
      </c>
      <c r="N152" s="69">
        <f t="shared" si="3"/>
        <v>0.36778846153846156</v>
      </c>
      <c r="O152" s="56" t="str">
        <f>IF(H152&lt;=0,"Goal Achieved",IF(N152&gt;M152,"At Risk – Below Pace",IF(J152&lt;G5,"Watch – Under Target Coverage","On Track")))</f>
        <v>Watch – Under Target Coverage</v>
      </c>
      <c r="P152" s="56">
        <f t="shared" si="4"/>
        <v>-2.7189542483660132</v>
      </c>
    </row>
    <row r="153" spans="1:16" outlineLevel="1" x14ac:dyDescent="0.2">
      <c r="A153" s="59" t="str">
        <f>Dim_Reps!A18</f>
        <v>R022</v>
      </c>
      <c r="B153" s="59" t="str">
        <f>Dim_Reps!B18</f>
        <v>Jamie Schmidt</v>
      </c>
      <c r="C153" s="59" t="str">
        <f>Dim_Reps!D18</f>
        <v>Inside Sales</v>
      </c>
      <c r="D153" s="59" t="str">
        <f>Dim_Reps!E18</f>
        <v>APAC</v>
      </c>
      <c r="E153" s="59" t="str">
        <f>Dim_Reps!H18</f>
        <v>Active</v>
      </c>
      <c r="F153" s="58">
        <f>SUMIFS(Fact_Quota!$D:$D,Fact_Quota!$A:$A,$A153,Fact_Quota!$B:$B,"&gt;="&amp;$B$129,Fact_Quota!$B:$B,"&lt;="&amp;$B$130)</f>
        <v>46200</v>
      </c>
      <c r="G153" s="58">
        <f>SUMIFS(Fact_Pipeline!$K:$K,Fact_Pipeline!$B:$B,$A153,Fact_Pipeline!$J:$J,"Won",Fact_Pipeline!$I:$I,"&gt;="&amp;$B$129,Fact_Pipeline!$I:$I,"&lt;="&amp;$B$131)</f>
        <v>35500</v>
      </c>
      <c r="H153" s="58">
        <f t="shared" si="0"/>
        <v>10700</v>
      </c>
      <c r="I153" s="58">
        <f>SUMIFS(Fact_Pipeline!$K:$K,Fact_Pipeline!$B:$B,$A153,Fact_Pipeline!$J:$J,"Open")</f>
        <v>52700</v>
      </c>
      <c r="J153" s="96">
        <f t="shared" si="1"/>
        <v>4.9252336448598131</v>
      </c>
      <c r="K153" s="59">
        <f>COUNTIFS(Fact_Pipeline!$B:$B,$A153,Fact_Pipeline!$J:$J,"Won",Fact_Pipeline!$I:$I,"&gt;="&amp;EDATE($B$131,-11),Fact_Pipeline!$I:$I,"&lt;="&amp;$B$131)</f>
        <v>35</v>
      </c>
      <c r="L153" s="59">
        <f>COUNTIFS(Fact_Pipeline!$B:$B,$A153,Fact_Pipeline!$J:$J,"Lost",Fact_Pipeline!$I:$I,"&gt;="&amp;EDATE($B$131,-11),Fact_Pipeline!$I:$I,"&lt;="&amp;$B$131)</f>
        <v>64</v>
      </c>
      <c r="M153" s="71">
        <f t="shared" si="2"/>
        <v>0.35353535353535354</v>
      </c>
      <c r="N153" s="71">
        <f t="shared" si="3"/>
        <v>0.20303605313092979</v>
      </c>
      <c r="O153" s="59" t="str">
        <f>IF(H153&lt;=0,"Goal Achieved",IF(N153&gt;M153,"At Risk – Below Pace",IF(J153&lt;G5,"Watch – Under Target Coverage","On Track")))</f>
        <v>On Track</v>
      </c>
      <c r="P153" s="59">
        <f t="shared" si="4"/>
        <v>-4.9252336448598131</v>
      </c>
    </row>
    <row r="154" spans="1:16" outlineLevel="1" x14ac:dyDescent="0.2">
      <c r="A154" s="56" t="str">
        <f>Dim_Reps!A19</f>
        <v>R023</v>
      </c>
      <c r="B154" s="56" t="str">
        <f>Dim_Reps!B19</f>
        <v>Priya Weber</v>
      </c>
      <c r="C154" s="56" t="str">
        <f>Dim_Reps!D19</f>
        <v>Inside Sales</v>
      </c>
      <c r="D154" s="56" t="str">
        <f>Dim_Reps!E19</f>
        <v>NAMER</v>
      </c>
      <c r="E154" s="56" t="str">
        <f>Dim_Reps!H19</f>
        <v>Active</v>
      </c>
      <c r="F154" s="55">
        <f>SUMIFS(Fact_Quota!$D:$D,Fact_Quota!$A:$A,$A154,Fact_Quota!$B:$B,"&gt;="&amp;$B$129,Fact_Quota!$B:$B,"&lt;="&amp;$B$130)</f>
        <v>48200</v>
      </c>
      <c r="G154" s="55">
        <f>SUMIFS(Fact_Pipeline!$K:$K,Fact_Pipeline!$B:$B,$A154,Fact_Pipeline!$J:$J,"Won",Fact_Pipeline!$I:$I,"&gt;="&amp;$B$129,Fact_Pipeline!$I:$I,"&lt;="&amp;$B$131)</f>
        <v>22300</v>
      </c>
      <c r="H154" s="55">
        <f t="shared" si="0"/>
        <v>25900</v>
      </c>
      <c r="I154" s="55">
        <f>SUMIFS(Fact_Pipeline!$K:$K,Fact_Pipeline!$B:$B,$A154,Fact_Pipeline!$J:$J,"Open")</f>
        <v>48200</v>
      </c>
      <c r="J154" s="95">
        <f t="shared" si="1"/>
        <v>1.8610038610038611</v>
      </c>
      <c r="K154" s="56">
        <f>COUNTIFS(Fact_Pipeline!$B:$B,$A154,Fact_Pipeline!$J:$J,"Won",Fact_Pipeline!$I:$I,"&gt;="&amp;EDATE($B$131,-11),Fact_Pipeline!$I:$I,"&lt;="&amp;$B$131)</f>
        <v>47</v>
      </c>
      <c r="L154" s="56">
        <f>COUNTIFS(Fact_Pipeline!$B:$B,$A154,Fact_Pipeline!$J:$J,"Lost",Fact_Pipeline!$I:$I,"&gt;="&amp;EDATE($B$131,-11),Fact_Pipeline!$I:$I,"&lt;="&amp;$B$131)</f>
        <v>65</v>
      </c>
      <c r="M154" s="69">
        <f t="shared" si="2"/>
        <v>0.41964285714285715</v>
      </c>
      <c r="N154" s="69">
        <f t="shared" si="3"/>
        <v>0.53734439834024894</v>
      </c>
      <c r="O154" s="56" t="str">
        <f>IF(H154&lt;=0,"Goal Achieved",IF(N154&gt;M154,"At Risk – Below Pace",IF(J154&lt;G5,"Watch – Under Target Coverage","On Track")))</f>
        <v>At Risk – Below Pace</v>
      </c>
      <c r="P154" s="56">
        <f t="shared" si="4"/>
        <v>-1.8610038610038611</v>
      </c>
    </row>
    <row r="155" spans="1:16" outlineLevel="1" x14ac:dyDescent="0.2">
      <c r="A155" s="59" t="str">
        <f>Dim_Reps!A20</f>
        <v>R024</v>
      </c>
      <c r="B155" s="59" t="str">
        <f>Dim_Reps!B20</f>
        <v>Riley Duarte</v>
      </c>
      <c r="C155" s="59" t="str">
        <f>Dim_Reps!D20</f>
        <v>Inside Sales</v>
      </c>
      <c r="D155" s="59" t="str">
        <f>Dim_Reps!E20</f>
        <v>APAC</v>
      </c>
      <c r="E155" s="59" t="str">
        <f>Dim_Reps!H20</f>
        <v>Active</v>
      </c>
      <c r="F155" s="58">
        <f>SUMIFS(Fact_Quota!$D:$D,Fact_Quota!$A:$A,$A155,Fact_Quota!$B:$B,"&gt;="&amp;$B$129,Fact_Quota!$B:$B,"&lt;="&amp;$B$130)</f>
        <v>3800</v>
      </c>
      <c r="G155" s="58">
        <f>SUMIFS(Fact_Pipeline!$K:$K,Fact_Pipeline!$B:$B,$A155,Fact_Pipeline!$J:$J,"Won",Fact_Pipeline!$I:$I,"&gt;="&amp;$B$129,Fact_Pipeline!$I:$I,"&lt;="&amp;$B$131)</f>
        <v>0</v>
      </c>
      <c r="H155" s="58">
        <f t="shared" si="0"/>
        <v>3800</v>
      </c>
      <c r="I155" s="58">
        <f>SUMIFS(Fact_Pipeline!$K:$K,Fact_Pipeline!$B:$B,$A155,Fact_Pipeline!$J:$J,"Open")</f>
        <v>39300</v>
      </c>
      <c r="J155" s="96">
        <f t="shared" si="1"/>
        <v>10.342105263157896</v>
      </c>
      <c r="K155" s="59">
        <f>COUNTIFS(Fact_Pipeline!$B:$B,$A155,Fact_Pipeline!$J:$J,"Won",Fact_Pipeline!$I:$I,"&gt;="&amp;EDATE($B$131,-11),Fact_Pipeline!$I:$I,"&lt;="&amp;$B$131)</f>
        <v>0</v>
      </c>
      <c r="L155" s="59">
        <f>COUNTIFS(Fact_Pipeline!$B:$B,$A155,Fact_Pipeline!$J:$J,"Lost",Fact_Pipeline!$I:$I,"&gt;="&amp;EDATE($B$131,-11),Fact_Pipeline!$I:$I,"&lt;="&amp;$B$131)</f>
        <v>0</v>
      </c>
      <c r="M155" s="71">
        <f t="shared" si="2"/>
        <v>0.34793187347931875</v>
      </c>
      <c r="N155" s="71">
        <f t="shared" si="3"/>
        <v>9.6692111959287536E-2</v>
      </c>
      <c r="O155" s="59" t="str">
        <f>IF(H155&lt;=0,"Goal Achieved",IF(N155&gt;M155,"At Risk – Below Pace",IF(J155&lt;G5,"Watch – Under Target Coverage","On Track")))</f>
        <v>On Track</v>
      </c>
      <c r="P155" s="59">
        <f t="shared" si="4"/>
        <v>-10.342105263157896</v>
      </c>
    </row>
    <row r="156" spans="1:16" outlineLevel="1" x14ac:dyDescent="0.2">
      <c r="A156" s="56" t="str">
        <f>Dim_Reps!A21</f>
        <v>R027</v>
      </c>
      <c r="B156" s="56" t="str">
        <f>Dim_Reps!B21</f>
        <v>Casey Muller</v>
      </c>
      <c r="C156" s="56" t="str">
        <f>Dim_Reps!D21</f>
        <v>Inside Sales</v>
      </c>
      <c r="D156" s="56" t="str">
        <f>Dim_Reps!E21</f>
        <v>LATAM</v>
      </c>
      <c r="E156" s="56" t="str">
        <f>Dim_Reps!H21</f>
        <v>Departed</v>
      </c>
      <c r="F156" s="55">
        <f>SUMIFS(Fact_Quota!$D:$D,Fact_Quota!$A:$A,$A156,Fact_Quota!$B:$B,"&gt;="&amp;$B$129,Fact_Quota!$B:$B,"&lt;="&amp;$B$130)</f>
        <v>48300</v>
      </c>
      <c r="G156" s="55">
        <f>SUMIFS(Fact_Pipeline!$K:$K,Fact_Pipeline!$B:$B,$A156,Fact_Pipeline!$J:$J,"Won",Fact_Pipeline!$I:$I,"&gt;="&amp;$B$129,Fact_Pipeline!$I:$I,"&lt;="&amp;$B$131)</f>
        <v>49200</v>
      </c>
      <c r="H156" s="55">
        <f t="shared" si="0"/>
        <v>0</v>
      </c>
      <c r="I156" s="55">
        <f>SUMIFS(Fact_Pipeline!$K:$K,Fact_Pipeline!$B:$B,$A156,Fact_Pipeline!$J:$J,"Open")</f>
        <v>0</v>
      </c>
      <c r="J156" s="95" t="str">
        <f t="shared" si="1"/>
        <v/>
      </c>
      <c r="K156" s="56">
        <f>COUNTIFS(Fact_Pipeline!$B:$B,$A156,Fact_Pipeline!$J:$J,"Won",Fact_Pipeline!$I:$I,"&gt;="&amp;EDATE($B$131,-11),Fact_Pipeline!$I:$I,"&lt;="&amp;$B$131)</f>
        <v>47</v>
      </c>
      <c r="L156" s="56">
        <f>COUNTIFS(Fact_Pipeline!$B:$B,$A156,Fact_Pipeline!$J:$J,"Lost",Fact_Pipeline!$I:$I,"&gt;="&amp;EDATE($B$131,-11),Fact_Pipeline!$I:$I,"&lt;="&amp;$B$131)</f>
        <v>72</v>
      </c>
      <c r="M156" s="69">
        <f t="shared" si="2"/>
        <v>0.3949579831932773</v>
      </c>
      <c r="N156" s="69" t="str">
        <f t="shared" si="3"/>
        <v/>
      </c>
      <c r="O156" s="56" t="str">
        <f>IF(H156&lt;=0,"Goal Achieved",IF(N156&gt;M156,"At Risk – Below Pace",IF(J156&lt;G5,"Watch – Under Target Coverage","On Track")))</f>
        <v>Goal Achieved</v>
      </c>
      <c r="P156" s="56" t="str">
        <f t="shared" si="4"/>
        <v/>
      </c>
    </row>
    <row r="157" spans="1:16" outlineLevel="1" x14ac:dyDescent="0.2">
      <c r="A157" s="59" t="str">
        <f>Dim_Reps!A22</f>
        <v>R030</v>
      </c>
      <c r="B157" s="59" t="str">
        <f>Dim_Reps!B22</f>
        <v>Lea Petrov</v>
      </c>
      <c r="C157" s="59" t="str">
        <f>Dim_Reps!D22</f>
        <v>Inside Sales</v>
      </c>
      <c r="D157" s="59" t="str">
        <f>Dim_Reps!E22</f>
        <v>LATAM</v>
      </c>
      <c r="E157" s="59" t="str">
        <f>Dim_Reps!H22</f>
        <v>Departed</v>
      </c>
      <c r="F157" s="58">
        <f>SUMIFS(Fact_Quota!$D:$D,Fact_Quota!$A:$A,$A157,Fact_Quota!$B:$B,"&gt;="&amp;$B$129,Fact_Quota!$B:$B,"&lt;="&amp;$B$130)</f>
        <v>46100</v>
      </c>
      <c r="G157" s="58">
        <f>SUMIFS(Fact_Pipeline!$K:$K,Fact_Pipeline!$B:$B,$A157,Fact_Pipeline!$J:$J,"Won",Fact_Pipeline!$I:$I,"&gt;="&amp;$B$129,Fact_Pipeline!$I:$I,"&lt;="&amp;$B$131)</f>
        <v>12700</v>
      </c>
      <c r="H157" s="58">
        <f t="shared" si="0"/>
        <v>33400</v>
      </c>
      <c r="I157" s="58">
        <f>SUMIFS(Fact_Pipeline!$K:$K,Fact_Pipeline!$B:$B,$A157,Fact_Pipeline!$J:$J,"Open")</f>
        <v>0</v>
      </c>
      <c r="J157" s="96">
        <f t="shared" si="1"/>
        <v>0</v>
      </c>
      <c r="K157" s="59">
        <f>COUNTIFS(Fact_Pipeline!$B:$B,$A157,Fact_Pipeline!$J:$J,"Won",Fact_Pipeline!$I:$I,"&gt;="&amp;EDATE($B$131,-11),Fact_Pipeline!$I:$I,"&lt;="&amp;$B$131)</f>
        <v>12</v>
      </c>
      <c r="L157" s="59">
        <f>COUNTIFS(Fact_Pipeline!$B:$B,$A157,Fact_Pipeline!$J:$J,"Lost",Fact_Pipeline!$I:$I,"&gt;="&amp;EDATE($B$131,-11),Fact_Pipeline!$I:$I,"&lt;="&amp;$B$131)</f>
        <v>36</v>
      </c>
      <c r="M157" s="71">
        <f t="shared" si="2"/>
        <v>0.25</v>
      </c>
      <c r="N157" s="71">
        <f t="shared" si="3"/>
        <v>1</v>
      </c>
      <c r="O157" s="59" t="str">
        <f>IF(H157&lt;=0,"Goal Achieved",IF(N157&gt;M157,"At Risk – Below Pace",IF(J157&lt;G5,"Watch – Under Target Coverage","On Track")))</f>
        <v>At Risk – Below Pace</v>
      </c>
      <c r="P157" s="59" t="str">
        <f t="shared" si="4"/>
        <v/>
      </c>
    </row>
    <row r="158" spans="1:16" outlineLevel="1" x14ac:dyDescent="0.2">
      <c r="A158" s="56" t="str">
        <f>Dim_Reps!A23</f>
        <v>R032</v>
      </c>
      <c r="B158" s="56" t="str">
        <f>Dim_Reps!B23</f>
        <v>Alex Muller</v>
      </c>
      <c r="C158" s="56" t="str">
        <f>Dim_Reps!D23</f>
        <v>Inside Sales</v>
      </c>
      <c r="D158" s="56" t="str">
        <f>Dim_Reps!E23</f>
        <v>NAMER</v>
      </c>
      <c r="E158" s="56" t="str">
        <f>Dim_Reps!H23</f>
        <v>Active</v>
      </c>
      <c r="F158" s="55">
        <f>SUMIFS(Fact_Quota!$D:$D,Fact_Quota!$A:$A,$A158,Fact_Quota!$B:$B,"&gt;="&amp;$B$129,Fact_Quota!$B:$B,"&lt;="&amp;$B$130)</f>
        <v>46900</v>
      </c>
      <c r="G158" s="55">
        <f>SUMIFS(Fact_Pipeline!$K:$K,Fact_Pipeline!$B:$B,$A158,Fact_Pipeline!$J:$J,"Won",Fact_Pipeline!$I:$I,"&gt;="&amp;$B$129,Fact_Pipeline!$I:$I,"&lt;="&amp;$B$131)</f>
        <v>46300</v>
      </c>
      <c r="H158" s="55">
        <f t="shared" si="0"/>
        <v>600</v>
      </c>
      <c r="I158" s="55">
        <f>SUMIFS(Fact_Pipeline!$K:$K,Fact_Pipeline!$B:$B,$A158,Fact_Pipeline!$J:$J,"Open")</f>
        <v>19000</v>
      </c>
      <c r="J158" s="95">
        <f t="shared" si="1"/>
        <v>31.666666666666668</v>
      </c>
      <c r="K158" s="56">
        <f>COUNTIFS(Fact_Pipeline!$B:$B,$A158,Fact_Pipeline!$J:$J,"Won",Fact_Pipeline!$I:$I,"&gt;="&amp;EDATE($B$131,-11),Fact_Pipeline!$I:$I,"&lt;="&amp;$B$131)</f>
        <v>53</v>
      </c>
      <c r="L158" s="56">
        <f>COUNTIFS(Fact_Pipeline!$B:$B,$A158,Fact_Pipeline!$J:$J,"Lost",Fact_Pipeline!$I:$I,"&gt;="&amp;EDATE($B$131,-11),Fact_Pipeline!$I:$I,"&lt;="&amp;$B$131)</f>
        <v>62</v>
      </c>
      <c r="M158" s="69">
        <f t="shared" si="2"/>
        <v>0.46086956521739131</v>
      </c>
      <c r="N158" s="69">
        <f t="shared" si="3"/>
        <v>3.1578947368421054E-2</v>
      </c>
      <c r="O158" s="56" t="str">
        <f>IF(H158&lt;=0,"Goal Achieved",IF(N158&gt;M158,"At Risk – Below Pace",IF(J158&lt;G5,"Watch – Under Target Coverage","On Track")))</f>
        <v>On Track</v>
      </c>
      <c r="P158" s="56">
        <f t="shared" si="4"/>
        <v>-31.666666666666668</v>
      </c>
    </row>
    <row r="159" spans="1:16" outlineLevel="1" x14ac:dyDescent="0.2">
      <c r="A159" s="59" t="str">
        <f>Dim_Reps!A24</f>
        <v>R033</v>
      </c>
      <c r="B159" s="59" t="str">
        <f>Dim_Reps!B24</f>
        <v>Liam Muller</v>
      </c>
      <c r="C159" s="59" t="str">
        <f>Dim_Reps!D24</f>
        <v>Inside Sales</v>
      </c>
      <c r="D159" s="59" t="str">
        <f>Dim_Reps!E24</f>
        <v>EMEA</v>
      </c>
      <c r="E159" s="59" t="str">
        <f>Dim_Reps!H24</f>
        <v>Active</v>
      </c>
      <c r="F159" s="58">
        <f>SUMIFS(Fact_Quota!$D:$D,Fact_Quota!$A:$A,$A159,Fact_Quota!$B:$B,"&gt;="&amp;$B$129,Fact_Quota!$B:$B,"&lt;="&amp;$B$130)</f>
        <v>46000</v>
      </c>
      <c r="G159" s="58">
        <f>SUMIFS(Fact_Pipeline!$K:$K,Fact_Pipeline!$B:$B,$A159,Fact_Pipeline!$J:$J,"Won",Fact_Pipeline!$I:$I,"&gt;="&amp;$B$129,Fact_Pipeline!$I:$I,"&lt;="&amp;$B$131)</f>
        <v>27500</v>
      </c>
      <c r="H159" s="58">
        <f t="shared" si="0"/>
        <v>18500</v>
      </c>
      <c r="I159" s="58">
        <f>SUMIFS(Fact_Pipeline!$K:$K,Fact_Pipeline!$B:$B,$A159,Fact_Pipeline!$J:$J,"Open")</f>
        <v>50800</v>
      </c>
      <c r="J159" s="96">
        <f t="shared" si="1"/>
        <v>2.7459459459459459</v>
      </c>
      <c r="K159" s="59">
        <f>COUNTIFS(Fact_Pipeline!$B:$B,$A159,Fact_Pipeline!$J:$J,"Won",Fact_Pipeline!$I:$I,"&gt;="&amp;EDATE($B$131,-11),Fact_Pipeline!$I:$I,"&lt;="&amp;$B$131)</f>
        <v>41</v>
      </c>
      <c r="L159" s="59">
        <f>COUNTIFS(Fact_Pipeline!$B:$B,$A159,Fact_Pipeline!$J:$J,"Lost",Fact_Pipeline!$I:$I,"&gt;="&amp;EDATE($B$131,-11),Fact_Pipeline!$I:$I,"&lt;="&amp;$B$131)</f>
        <v>73</v>
      </c>
      <c r="M159" s="71">
        <f t="shared" si="2"/>
        <v>0.35964912280701755</v>
      </c>
      <c r="N159" s="71">
        <f t="shared" si="3"/>
        <v>0.36417322834645671</v>
      </c>
      <c r="O159" s="59" t="str">
        <f>IF(H159&lt;=0,"Goal Achieved",IF(N159&gt;M159,"At Risk – Below Pace",IF(J159&lt;G5,"Watch – Under Target Coverage","On Track")))</f>
        <v>At Risk – Below Pace</v>
      </c>
      <c r="P159" s="59">
        <f t="shared" si="4"/>
        <v>-2.7459459459459459</v>
      </c>
    </row>
    <row r="160" spans="1:16" outlineLevel="1" x14ac:dyDescent="0.2">
      <c r="A160" s="56" t="str">
        <f>Dim_Reps!A25</f>
        <v>R037</v>
      </c>
      <c r="B160" s="56" t="str">
        <f>Dim_Reps!B25</f>
        <v>Liam Castro</v>
      </c>
      <c r="C160" s="56" t="str">
        <f>Dim_Reps!D25</f>
        <v>Inside Sales</v>
      </c>
      <c r="D160" s="56" t="str">
        <f>Dim_Reps!E25</f>
        <v>NAMER</v>
      </c>
      <c r="E160" s="56" t="str">
        <f>Dim_Reps!H25</f>
        <v>Active</v>
      </c>
      <c r="F160" s="55">
        <f>SUMIFS(Fact_Quota!$D:$D,Fact_Quota!$A:$A,$A160,Fact_Quota!$B:$B,"&gt;="&amp;$B$129,Fact_Quota!$B:$B,"&lt;="&amp;$B$130)</f>
        <v>46100</v>
      </c>
      <c r="G160" s="55">
        <f>SUMIFS(Fact_Pipeline!$K:$K,Fact_Pipeline!$B:$B,$A160,Fact_Pipeline!$J:$J,"Won",Fact_Pipeline!$I:$I,"&gt;="&amp;$B$129,Fact_Pipeline!$I:$I,"&lt;="&amp;$B$131)</f>
        <v>25500</v>
      </c>
      <c r="H160" s="55">
        <f t="shared" si="0"/>
        <v>20600</v>
      </c>
      <c r="I160" s="55">
        <f>SUMIFS(Fact_Pipeline!$K:$K,Fact_Pipeline!$B:$B,$A160,Fact_Pipeline!$J:$J,"Open")</f>
        <v>14500</v>
      </c>
      <c r="J160" s="95">
        <f t="shared" si="1"/>
        <v>0.70388349514563109</v>
      </c>
      <c r="K160" s="56">
        <f>COUNTIFS(Fact_Pipeline!$B:$B,$A160,Fact_Pipeline!$J:$J,"Won",Fact_Pipeline!$I:$I,"&gt;="&amp;EDATE($B$131,-11),Fact_Pipeline!$I:$I,"&lt;="&amp;$B$131)</f>
        <v>42</v>
      </c>
      <c r="L160" s="56">
        <f>COUNTIFS(Fact_Pipeline!$B:$B,$A160,Fact_Pipeline!$J:$J,"Lost",Fact_Pipeline!$I:$I,"&gt;="&amp;EDATE($B$131,-11),Fact_Pipeline!$I:$I,"&lt;="&amp;$B$131)</f>
        <v>73</v>
      </c>
      <c r="M160" s="69">
        <f t="shared" si="2"/>
        <v>0.36521739130434783</v>
      </c>
      <c r="N160" s="69">
        <f t="shared" si="3"/>
        <v>1.4206896551724137</v>
      </c>
      <c r="O160" s="56" t="str">
        <f>IF(H160&lt;=0,"Goal Achieved",IF(N160&gt;M160,"At Risk – Below Pace",IF(J160&lt;G5,"Watch – Under Target Coverage","On Track")))</f>
        <v>At Risk – Below Pace</v>
      </c>
      <c r="P160" s="56">
        <f t="shared" si="4"/>
        <v>-0.70388349514563109</v>
      </c>
    </row>
    <row r="161" spans="1:16" outlineLevel="1" x14ac:dyDescent="0.2">
      <c r="A161" s="59" t="str">
        <f>Dim_Reps!A26</f>
        <v>R038</v>
      </c>
      <c r="B161" s="59" t="str">
        <f>Dim_Reps!B26</f>
        <v>Ben Silva</v>
      </c>
      <c r="C161" s="59" t="str">
        <f>Dim_Reps!D26</f>
        <v>Inside Sales</v>
      </c>
      <c r="D161" s="59" t="str">
        <f>Dim_Reps!E26</f>
        <v>LATAM</v>
      </c>
      <c r="E161" s="59" t="str">
        <f>Dim_Reps!H26</f>
        <v>Active</v>
      </c>
      <c r="F161" s="58">
        <f>SUMIFS(Fact_Quota!$D:$D,Fact_Quota!$A:$A,$A161,Fact_Quota!$B:$B,"&gt;="&amp;$B$129,Fact_Quota!$B:$B,"&lt;="&amp;$B$130)</f>
        <v>46800</v>
      </c>
      <c r="G161" s="58">
        <f>SUMIFS(Fact_Pipeline!$K:$K,Fact_Pipeline!$B:$B,$A161,Fact_Pipeline!$J:$J,"Won",Fact_Pipeline!$I:$I,"&gt;="&amp;$B$129,Fact_Pipeline!$I:$I,"&lt;="&amp;$B$131)</f>
        <v>30600</v>
      </c>
      <c r="H161" s="58">
        <f t="shared" si="0"/>
        <v>16200</v>
      </c>
      <c r="I161" s="58">
        <f>SUMIFS(Fact_Pipeline!$K:$K,Fact_Pipeline!$B:$B,$A161,Fact_Pipeline!$J:$J,"Open")</f>
        <v>12500</v>
      </c>
      <c r="J161" s="96">
        <f t="shared" si="1"/>
        <v>0.77160493827160492</v>
      </c>
      <c r="K161" s="59">
        <f>COUNTIFS(Fact_Pipeline!$B:$B,$A161,Fact_Pipeline!$J:$J,"Won",Fact_Pipeline!$I:$I,"&gt;="&amp;EDATE($B$131,-11),Fact_Pipeline!$I:$I,"&lt;="&amp;$B$131)</f>
        <v>37</v>
      </c>
      <c r="L161" s="59">
        <f>COUNTIFS(Fact_Pipeline!$B:$B,$A161,Fact_Pipeline!$J:$J,"Lost",Fact_Pipeline!$I:$I,"&gt;="&amp;EDATE($B$131,-11),Fact_Pipeline!$I:$I,"&lt;="&amp;$B$131)</f>
        <v>69</v>
      </c>
      <c r="M161" s="71">
        <f t="shared" si="2"/>
        <v>0.34905660377358488</v>
      </c>
      <c r="N161" s="71">
        <f t="shared" si="3"/>
        <v>1.296</v>
      </c>
      <c r="O161" s="59" t="str">
        <f>IF(H161&lt;=0,"Goal Achieved",IF(N161&gt;M161,"At Risk – Below Pace",IF(J161&lt;G5,"Watch – Under Target Coverage","On Track")))</f>
        <v>At Risk – Below Pace</v>
      </c>
      <c r="P161" s="59">
        <f t="shared" si="4"/>
        <v>-0.77160493827160492</v>
      </c>
    </row>
    <row r="162" spans="1:16" outlineLevel="1" x14ac:dyDescent="0.2">
      <c r="A162" s="56" t="str">
        <f>Dim_Reps!A27</f>
        <v>R041</v>
      </c>
      <c r="B162" s="56" t="str">
        <f>Dim_Reps!B27</f>
        <v>Lucas Duarte</v>
      </c>
      <c r="C162" s="56" t="str">
        <f>Dim_Reps!D27</f>
        <v>Inside Sales</v>
      </c>
      <c r="D162" s="56" t="str">
        <f>Dim_Reps!E27</f>
        <v>LATAM</v>
      </c>
      <c r="E162" s="56" t="str">
        <f>Dim_Reps!H27</f>
        <v>Active</v>
      </c>
      <c r="F162" s="55">
        <f>SUMIFS(Fact_Quota!$D:$D,Fact_Quota!$A:$A,$A162,Fact_Quota!$B:$B,"&gt;="&amp;$B$129,Fact_Quota!$B:$B,"&lt;="&amp;$B$130)</f>
        <v>47500</v>
      </c>
      <c r="G162" s="55">
        <f>SUMIFS(Fact_Pipeline!$K:$K,Fact_Pipeline!$B:$B,$A162,Fact_Pipeline!$J:$J,"Won",Fact_Pipeline!$I:$I,"&gt;="&amp;$B$129,Fact_Pipeline!$I:$I,"&lt;="&amp;$B$131)</f>
        <v>44300</v>
      </c>
      <c r="H162" s="55">
        <f t="shared" si="0"/>
        <v>3200</v>
      </c>
      <c r="I162" s="55">
        <f>SUMIFS(Fact_Pipeline!$K:$K,Fact_Pipeline!$B:$B,$A162,Fact_Pipeline!$J:$J,"Open")</f>
        <v>46300</v>
      </c>
      <c r="J162" s="95">
        <f t="shared" si="1"/>
        <v>14.46875</v>
      </c>
      <c r="K162" s="56">
        <f>COUNTIFS(Fact_Pipeline!$B:$B,$A162,Fact_Pipeline!$J:$J,"Won",Fact_Pipeline!$I:$I,"&gt;="&amp;EDATE($B$131,-11),Fact_Pipeline!$I:$I,"&lt;="&amp;$B$131)</f>
        <v>54</v>
      </c>
      <c r="L162" s="56">
        <f>COUNTIFS(Fact_Pipeline!$B:$B,$A162,Fact_Pipeline!$J:$J,"Lost",Fact_Pipeline!$I:$I,"&gt;="&amp;EDATE($B$131,-11),Fact_Pipeline!$I:$I,"&lt;="&amp;$B$131)</f>
        <v>79</v>
      </c>
      <c r="M162" s="69">
        <f t="shared" si="2"/>
        <v>0.40601503759398494</v>
      </c>
      <c r="N162" s="69">
        <f t="shared" si="3"/>
        <v>6.9114470842332618E-2</v>
      </c>
      <c r="O162" s="56" t="str">
        <f>IF(H162&lt;=0,"Goal Achieved",IF(N162&gt;M162,"At Risk – Below Pace",IF(J162&lt;G5,"Watch – Under Target Coverage","On Track")))</f>
        <v>On Track</v>
      </c>
      <c r="P162" s="56">
        <f t="shared" si="4"/>
        <v>-14.46875</v>
      </c>
    </row>
    <row r="163" spans="1:16" outlineLevel="1" x14ac:dyDescent="0.2">
      <c r="A163" s="59" t="str">
        <f>Dim_Reps!A28</f>
        <v>R043</v>
      </c>
      <c r="B163" s="59" t="str">
        <f>Dim_Reps!B28</f>
        <v>Milo Castro</v>
      </c>
      <c r="C163" s="59" t="str">
        <f>Dim_Reps!D28</f>
        <v>Inside Sales</v>
      </c>
      <c r="D163" s="59" t="str">
        <f>Dim_Reps!E28</f>
        <v>LATAM</v>
      </c>
      <c r="E163" s="59" t="str">
        <f>Dim_Reps!H28</f>
        <v>Active</v>
      </c>
      <c r="F163" s="58">
        <f>SUMIFS(Fact_Quota!$D:$D,Fact_Quota!$A:$A,$A163,Fact_Quota!$B:$B,"&gt;="&amp;$B$129,Fact_Quota!$B:$B,"&lt;="&amp;$B$130)</f>
        <v>46600</v>
      </c>
      <c r="G163" s="58">
        <f>SUMIFS(Fact_Pipeline!$K:$K,Fact_Pipeline!$B:$B,$A163,Fact_Pipeline!$J:$J,"Won",Fact_Pipeline!$I:$I,"&gt;="&amp;$B$129,Fact_Pipeline!$I:$I,"&lt;="&amp;$B$131)</f>
        <v>13000</v>
      </c>
      <c r="H163" s="58">
        <f t="shared" si="0"/>
        <v>33600</v>
      </c>
      <c r="I163" s="58">
        <f>SUMIFS(Fact_Pipeline!$K:$K,Fact_Pipeline!$B:$B,$A163,Fact_Pipeline!$J:$J,"Open")</f>
        <v>32900</v>
      </c>
      <c r="J163" s="96">
        <f t="shared" si="1"/>
        <v>0.97916666666666663</v>
      </c>
      <c r="K163" s="59">
        <f>COUNTIFS(Fact_Pipeline!$B:$B,$A163,Fact_Pipeline!$J:$J,"Won",Fact_Pipeline!$I:$I,"&gt;="&amp;EDATE($B$131,-11),Fact_Pipeline!$I:$I,"&lt;="&amp;$B$131)</f>
        <v>49</v>
      </c>
      <c r="L163" s="59">
        <f>COUNTIFS(Fact_Pipeline!$B:$B,$A163,Fact_Pipeline!$J:$J,"Lost",Fact_Pipeline!$I:$I,"&gt;="&amp;EDATE($B$131,-11),Fact_Pipeline!$I:$I,"&lt;="&amp;$B$131)</f>
        <v>68</v>
      </c>
      <c r="M163" s="71">
        <f t="shared" si="2"/>
        <v>0.41880341880341881</v>
      </c>
      <c r="N163" s="71">
        <f t="shared" si="3"/>
        <v>1.0212765957446808</v>
      </c>
      <c r="O163" s="59" t="str">
        <f>IF(H163&lt;=0,"Goal Achieved",IF(N163&gt;M163,"At Risk – Below Pace",IF(J163&lt;G5,"Watch – Under Target Coverage","On Track")))</f>
        <v>At Risk – Below Pace</v>
      </c>
      <c r="P163" s="59">
        <f t="shared" si="4"/>
        <v>-0.97916666666666663</v>
      </c>
    </row>
    <row r="164" spans="1:16" outlineLevel="1" x14ac:dyDescent="0.2">
      <c r="A164" s="56" t="str">
        <f>Dim_Reps!A29</f>
        <v>R045</v>
      </c>
      <c r="B164" s="56" t="str">
        <f>Dim_Reps!B29</f>
        <v>Hugo Santos</v>
      </c>
      <c r="C164" s="56" t="str">
        <f>Dim_Reps!D29</f>
        <v>Inside Sales</v>
      </c>
      <c r="D164" s="56" t="str">
        <f>Dim_Reps!E29</f>
        <v>EMEA</v>
      </c>
      <c r="E164" s="56" t="str">
        <f>Dim_Reps!H29</f>
        <v>Active</v>
      </c>
      <c r="F164" s="55">
        <f>SUMIFS(Fact_Quota!$D:$D,Fact_Quota!$A:$A,$A164,Fact_Quota!$B:$B,"&gt;="&amp;$B$129,Fact_Quota!$B:$B,"&lt;="&amp;$B$130)</f>
        <v>46500</v>
      </c>
      <c r="G164" s="55">
        <f>SUMIFS(Fact_Pipeline!$K:$K,Fact_Pipeline!$B:$B,$A164,Fact_Pipeline!$J:$J,"Won",Fact_Pipeline!$I:$I,"&gt;="&amp;$B$129,Fact_Pipeline!$I:$I,"&lt;="&amp;$B$131)</f>
        <v>17800</v>
      </c>
      <c r="H164" s="55">
        <f t="shared" si="0"/>
        <v>28700</v>
      </c>
      <c r="I164" s="55">
        <f>SUMIFS(Fact_Pipeline!$K:$K,Fact_Pipeline!$B:$B,$A164,Fact_Pipeline!$J:$J,"Open")</f>
        <v>52600</v>
      </c>
      <c r="J164" s="95">
        <f t="shared" si="1"/>
        <v>1.8327526132404182</v>
      </c>
      <c r="K164" s="56">
        <f>COUNTIFS(Fact_Pipeline!$B:$B,$A164,Fact_Pipeline!$J:$J,"Won",Fact_Pipeline!$I:$I,"&gt;="&amp;EDATE($B$131,-11),Fact_Pipeline!$I:$I,"&lt;="&amp;$B$131)</f>
        <v>36</v>
      </c>
      <c r="L164" s="56">
        <f>COUNTIFS(Fact_Pipeline!$B:$B,$A164,Fact_Pipeline!$J:$J,"Lost",Fact_Pipeline!$I:$I,"&gt;="&amp;EDATE($B$131,-11),Fact_Pipeline!$I:$I,"&lt;="&amp;$B$131)</f>
        <v>79</v>
      </c>
      <c r="M164" s="69">
        <f t="shared" si="2"/>
        <v>0.31304347826086959</v>
      </c>
      <c r="N164" s="69">
        <f t="shared" si="3"/>
        <v>0.54562737642585546</v>
      </c>
      <c r="O164" s="56" t="str">
        <f>IF(H164&lt;=0,"Goal Achieved",IF(N164&gt;M164,"At Risk – Below Pace",IF(J164&lt;G5,"Watch – Under Target Coverage","On Track")))</f>
        <v>At Risk – Below Pace</v>
      </c>
      <c r="P164" s="56">
        <f t="shared" si="4"/>
        <v>-1.8327526132404182</v>
      </c>
    </row>
    <row r="165" spans="1:16" outlineLevel="1" x14ac:dyDescent="0.2">
      <c r="A165" s="59" t="str">
        <f>Dim_Reps!A30</f>
        <v>R047</v>
      </c>
      <c r="B165" s="59" t="str">
        <f>Dim_Reps!B30</f>
        <v>Noah Adler</v>
      </c>
      <c r="C165" s="59" t="str">
        <f>Dim_Reps!D30</f>
        <v>Inside Sales</v>
      </c>
      <c r="D165" s="59" t="str">
        <f>Dim_Reps!E30</f>
        <v>NAMER</v>
      </c>
      <c r="E165" s="59" t="str">
        <f>Dim_Reps!H30</f>
        <v>Active</v>
      </c>
      <c r="F165" s="58">
        <f>SUMIFS(Fact_Quota!$D:$D,Fact_Quota!$A:$A,$A165,Fact_Quota!$B:$B,"&gt;="&amp;$B$129,Fact_Quota!$B:$B,"&lt;="&amp;$B$130)</f>
        <v>12300</v>
      </c>
      <c r="G165" s="58">
        <f>SUMIFS(Fact_Pipeline!$K:$K,Fact_Pipeline!$B:$B,$A165,Fact_Pipeline!$J:$J,"Won",Fact_Pipeline!$I:$I,"&gt;="&amp;$B$129,Fact_Pipeline!$I:$I,"&lt;="&amp;$B$131)</f>
        <v>3100</v>
      </c>
      <c r="H165" s="58">
        <f t="shared" si="0"/>
        <v>9200</v>
      </c>
      <c r="I165" s="58">
        <f>SUMIFS(Fact_Pipeline!$K:$K,Fact_Pipeline!$B:$B,$A165,Fact_Pipeline!$J:$J,"Open")</f>
        <v>35100</v>
      </c>
      <c r="J165" s="96">
        <f t="shared" si="1"/>
        <v>3.8152173913043477</v>
      </c>
      <c r="K165" s="59">
        <f>COUNTIFS(Fact_Pipeline!$B:$B,$A165,Fact_Pipeline!$J:$J,"Won",Fact_Pipeline!$I:$I,"&gt;="&amp;EDATE($B$131,-11),Fact_Pipeline!$I:$I,"&lt;="&amp;$B$131)</f>
        <v>1</v>
      </c>
      <c r="L165" s="59">
        <f>COUNTIFS(Fact_Pipeline!$B:$B,$A165,Fact_Pipeline!$J:$J,"Lost",Fact_Pipeline!$I:$I,"&gt;="&amp;EDATE($B$131,-11),Fact_Pipeline!$I:$I,"&lt;="&amp;$B$131)</f>
        <v>0</v>
      </c>
      <c r="M165" s="71">
        <f t="shared" si="2"/>
        <v>1</v>
      </c>
      <c r="N165" s="71">
        <f t="shared" si="3"/>
        <v>0.2621082621082621</v>
      </c>
      <c r="O165" s="59" t="str">
        <f>IF(H165&lt;=0,"Goal Achieved",IF(N165&gt;M165,"At Risk – Below Pace",IF(J165&lt;G5,"Watch – Under Target Coverage","On Track")))</f>
        <v>On Track</v>
      </c>
      <c r="P165" s="59">
        <f t="shared" si="4"/>
        <v>-3.8152173913043477</v>
      </c>
    </row>
    <row r="166" spans="1:16" outlineLevel="1" x14ac:dyDescent="0.2">
      <c r="A166" s="56" t="str">
        <f>Dim_Reps!A31</f>
        <v>R050</v>
      </c>
      <c r="B166" s="56" t="str">
        <f>Dim_Reps!B31</f>
        <v>Kenji Weber</v>
      </c>
      <c r="C166" s="56" t="str">
        <f>Dim_Reps!D31</f>
        <v>Inside Sales</v>
      </c>
      <c r="D166" s="56" t="str">
        <f>Dim_Reps!E31</f>
        <v>APAC</v>
      </c>
      <c r="E166" s="56" t="str">
        <f>Dim_Reps!H31</f>
        <v>Active</v>
      </c>
      <c r="F166" s="55">
        <f>SUMIFS(Fact_Quota!$D:$D,Fact_Quota!$A:$A,$A166,Fact_Quota!$B:$B,"&gt;="&amp;$B$129,Fact_Quota!$B:$B,"&lt;="&amp;$B$130)</f>
        <v>45500</v>
      </c>
      <c r="G166" s="55">
        <f>SUMIFS(Fact_Pipeline!$K:$K,Fact_Pipeline!$B:$B,$A166,Fact_Pipeline!$J:$J,"Won",Fact_Pipeline!$I:$I,"&gt;="&amp;$B$129,Fact_Pipeline!$I:$I,"&lt;="&amp;$B$131)</f>
        <v>14500</v>
      </c>
      <c r="H166" s="55">
        <f t="shared" si="0"/>
        <v>31000</v>
      </c>
      <c r="I166" s="55">
        <f>SUMIFS(Fact_Pipeline!$K:$K,Fact_Pipeline!$B:$B,$A166,Fact_Pipeline!$J:$J,"Open")</f>
        <v>34000</v>
      </c>
      <c r="J166" s="95">
        <f t="shared" si="1"/>
        <v>1.096774193548387</v>
      </c>
      <c r="K166" s="56">
        <f>COUNTIFS(Fact_Pipeline!$B:$B,$A166,Fact_Pipeline!$J:$J,"Won",Fact_Pipeline!$I:$I,"&gt;="&amp;EDATE($B$131,-11),Fact_Pipeline!$I:$I,"&lt;="&amp;$B$131)</f>
        <v>53</v>
      </c>
      <c r="L166" s="56">
        <f>COUNTIFS(Fact_Pipeline!$B:$B,$A166,Fact_Pipeline!$J:$J,"Lost",Fact_Pipeline!$I:$I,"&gt;="&amp;EDATE($B$131,-11),Fact_Pipeline!$I:$I,"&lt;="&amp;$B$131)</f>
        <v>89</v>
      </c>
      <c r="M166" s="69">
        <f t="shared" si="2"/>
        <v>0.37323943661971831</v>
      </c>
      <c r="N166" s="69">
        <f t="shared" si="3"/>
        <v>0.91176470588235292</v>
      </c>
      <c r="O166" s="56" t="str">
        <f>IF(H166&lt;=0,"Goal Achieved",IF(N166&gt;M166,"At Risk – Below Pace",IF(J166&lt;G5,"Watch – Under Target Coverage","On Track")))</f>
        <v>At Risk – Below Pace</v>
      </c>
      <c r="P166" s="56">
        <f t="shared" si="4"/>
        <v>-1.096774193548387</v>
      </c>
    </row>
    <row r="167" spans="1:16" outlineLevel="1" x14ac:dyDescent="0.2">
      <c r="A167" s="59" t="str">
        <f>Dim_Reps!A32</f>
        <v>R004</v>
      </c>
      <c r="B167" s="59" t="str">
        <f>Dim_Reps!B32</f>
        <v>Jonas Sato</v>
      </c>
      <c r="C167" s="59" t="str">
        <f>Dim_Reps!D32</f>
        <v>Mid-Market</v>
      </c>
      <c r="D167" s="59" t="str">
        <f>Dim_Reps!E32</f>
        <v>LATAM</v>
      </c>
      <c r="E167" s="59" t="str">
        <f>Dim_Reps!H32</f>
        <v>Active</v>
      </c>
      <c r="F167" s="58">
        <f>SUMIFS(Fact_Quota!$D:$D,Fact_Quota!$A:$A,$A167,Fact_Quota!$B:$B,"&gt;="&amp;$B$129,Fact_Quota!$B:$B,"&lt;="&amp;$B$130)</f>
        <v>64900</v>
      </c>
      <c r="G167" s="58">
        <f>SUMIFS(Fact_Pipeline!$K:$K,Fact_Pipeline!$B:$B,$A167,Fact_Pipeline!$J:$J,"Won",Fact_Pipeline!$I:$I,"&gt;="&amp;$B$129,Fact_Pipeline!$I:$I,"&lt;="&amp;$B$131)</f>
        <v>73300</v>
      </c>
      <c r="H167" s="58">
        <f t="shared" si="0"/>
        <v>0</v>
      </c>
      <c r="I167" s="58">
        <f>SUMIFS(Fact_Pipeline!$K:$K,Fact_Pipeline!$B:$B,$A167,Fact_Pipeline!$J:$J,"Open")</f>
        <v>92600</v>
      </c>
      <c r="J167" s="96" t="str">
        <f t="shared" si="1"/>
        <v/>
      </c>
      <c r="K167" s="59">
        <f>COUNTIFS(Fact_Pipeline!$B:$B,$A167,Fact_Pipeline!$J:$J,"Won",Fact_Pipeline!$I:$I,"&gt;="&amp;EDATE($B$131,-11),Fact_Pipeline!$I:$I,"&lt;="&amp;$B$131)</f>
        <v>19</v>
      </c>
      <c r="L167" s="59">
        <f>COUNTIFS(Fact_Pipeline!$B:$B,$A167,Fact_Pipeline!$J:$J,"Lost",Fact_Pipeline!$I:$I,"&gt;="&amp;EDATE($B$131,-11),Fact_Pipeline!$I:$I,"&lt;="&amp;$B$131)</f>
        <v>52</v>
      </c>
      <c r="M167" s="71">
        <f t="shared" si="2"/>
        <v>0.26760563380281688</v>
      </c>
      <c r="N167" s="71" t="str">
        <f t="shared" si="3"/>
        <v/>
      </c>
      <c r="O167" s="59" t="str">
        <f>IF(H167&lt;=0,"Goal Achieved",IF(N167&gt;M167,"At Risk – Below Pace",IF(J167&lt;G5,"Watch – Under Target Coverage","On Track")))</f>
        <v>Goal Achieved</v>
      </c>
      <c r="P167" s="59">
        <f t="shared" si="4"/>
        <v>-999.00001669999995</v>
      </c>
    </row>
    <row r="168" spans="1:16" outlineLevel="1" x14ac:dyDescent="0.2">
      <c r="A168" s="56" t="str">
        <f>Dim_Reps!A33</f>
        <v>R009</v>
      </c>
      <c r="B168" s="56" t="str">
        <f>Dim_Reps!B33</f>
        <v>Karim Rivera</v>
      </c>
      <c r="C168" s="56" t="str">
        <f>Dim_Reps!D33</f>
        <v>Mid-Market</v>
      </c>
      <c r="D168" s="56" t="str">
        <f>Dim_Reps!E33</f>
        <v>APAC</v>
      </c>
      <c r="E168" s="56" t="str">
        <f>Dim_Reps!H33</f>
        <v>Active</v>
      </c>
      <c r="F168" s="55">
        <f>SUMIFS(Fact_Quota!$D:$D,Fact_Quota!$A:$A,$A168,Fact_Quota!$B:$B,"&gt;="&amp;$B$129,Fact_Quota!$B:$B,"&lt;="&amp;$B$130)</f>
        <v>61900</v>
      </c>
      <c r="G168" s="55">
        <f>SUMIFS(Fact_Pipeline!$K:$K,Fact_Pipeline!$B:$B,$A168,Fact_Pipeline!$J:$J,"Won",Fact_Pipeline!$I:$I,"&gt;="&amp;$B$129,Fact_Pipeline!$I:$I,"&lt;="&amp;$B$131)</f>
        <v>0</v>
      </c>
      <c r="H168" s="55">
        <f t="shared" si="0"/>
        <v>61900</v>
      </c>
      <c r="I168" s="55">
        <f>SUMIFS(Fact_Pipeline!$K:$K,Fact_Pipeline!$B:$B,$A168,Fact_Pipeline!$J:$J,"Open")</f>
        <v>50800</v>
      </c>
      <c r="J168" s="95">
        <f t="shared" si="1"/>
        <v>0.82067851373182554</v>
      </c>
      <c r="K168" s="56">
        <f>COUNTIFS(Fact_Pipeline!$B:$B,$A168,Fact_Pipeline!$J:$J,"Won",Fact_Pipeline!$I:$I,"&gt;="&amp;EDATE($B$131,-11),Fact_Pipeline!$I:$I,"&lt;="&amp;$B$131)</f>
        <v>0</v>
      </c>
      <c r="L168" s="56">
        <f>COUNTIFS(Fact_Pipeline!$B:$B,$A168,Fact_Pipeline!$J:$J,"Lost",Fact_Pipeline!$I:$I,"&gt;="&amp;EDATE($B$131,-11),Fact_Pipeline!$I:$I,"&lt;="&amp;$B$131)</f>
        <v>7</v>
      </c>
      <c r="M168" s="69">
        <f t="shared" si="2"/>
        <v>0</v>
      </c>
      <c r="N168" s="69">
        <f t="shared" si="3"/>
        <v>1.2185039370078741</v>
      </c>
      <c r="O168" s="56" t="str">
        <f>IF(H168&lt;=0,"Goal Achieved",IF(N168&gt;M168,"At Risk – Below Pace",IF(J168&lt;G5,"Watch – Under Target Coverage","On Track")))</f>
        <v>At Risk – Below Pace</v>
      </c>
      <c r="P168" s="56">
        <f t="shared" si="4"/>
        <v>-0.82067851373182554</v>
      </c>
    </row>
    <row r="169" spans="1:16" outlineLevel="1" x14ac:dyDescent="0.2">
      <c r="A169" s="59" t="str">
        <f>Dim_Reps!A34</f>
        <v>R018</v>
      </c>
      <c r="B169" s="59" t="str">
        <f>Dim_Reps!B34</f>
        <v>Ana Sato</v>
      </c>
      <c r="C169" s="59" t="str">
        <f>Dim_Reps!D34</f>
        <v>Mid-Market</v>
      </c>
      <c r="D169" s="59" t="str">
        <f>Dim_Reps!E34</f>
        <v>APAC</v>
      </c>
      <c r="E169" s="59" t="str">
        <f>Dim_Reps!H34</f>
        <v>Active</v>
      </c>
      <c r="F169" s="58">
        <f>SUMIFS(Fact_Quota!$D:$D,Fact_Quota!$A:$A,$A169,Fact_Quota!$B:$B,"&gt;="&amp;$B$129,Fact_Quota!$B:$B,"&lt;="&amp;$B$130)</f>
        <v>48000</v>
      </c>
      <c r="G169" s="58">
        <f>SUMIFS(Fact_Pipeline!$K:$K,Fact_Pipeline!$B:$B,$A169,Fact_Pipeline!$J:$J,"Won",Fact_Pipeline!$I:$I,"&gt;="&amp;$B$129,Fact_Pipeline!$I:$I,"&lt;="&amp;$B$131)</f>
        <v>37000</v>
      </c>
      <c r="H169" s="58">
        <f t="shared" ref="H169:H200" si="5">MAX(0,F169-G169)</f>
        <v>11000</v>
      </c>
      <c r="I169" s="58">
        <f>SUMIFS(Fact_Pipeline!$K:$K,Fact_Pipeline!$B:$B,$A169,Fact_Pipeline!$J:$J,"Open")</f>
        <v>142600</v>
      </c>
      <c r="J169" s="96">
        <f t="shared" ref="J169:J200" si="6">IF(H169&lt;=0,"",IFERROR(I169/H169,0))</f>
        <v>12.963636363636363</v>
      </c>
      <c r="K169" s="59">
        <f>COUNTIFS(Fact_Pipeline!$B:$B,$A169,Fact_Pipeline!$J:$J,"Won",Fact_Pipeline!$I:$I,"&gt;="&amp;EDATE($B$131,-11),Fact_Pipeline!$I:$I,"&lt;="&amp;$B$131)</f>
        <v>4</v>
      </c>
      <c r="L169" s="59">
        <f>COUNTIFS(Fact_Pipeline!$B:$B,$A169,Fact_Pipeline!$J:$J,"Lost",Fact_Pipeline!$I:$I,"&gt;="&amp;EDATE($B$131,-11),Fact_Pipeline!$I:$I,"&lt;="&amp;$B$131)</f>
        <v>2</v>
      </c>
      <c r="M169" s="71">
        <f t="shared" ref="M169:M200" si="7">IFERROR(K169/(K169+L169),$B$133)</f>
        <v>0.66666666666666663</v>
      </c>
      <c r="N169" s="71">
        <f t="shared" ref="N169:N186" si="8">IF(H169&lt;=0,"",IFERROR(H169/I169,1))</f>
        <v>7.7138849929873771E-2</v>
      </c>
      <c r="O169" s="59" t="str">
        <f>IF(H169&lt;=0,"Goal Achieved",IF(N169&gt;M169,"At Risk – Below Pace",IF(J169&lt;G5,"Watch – Under Target Coverage","On Track")))</f>
        <v>On Track</v>
      </c>
      <c r="P169" s="59">
        <f t="shared" ref="P169:P186" si="9">IF(E169&lt;&gt;"Active","",IF(H169&lt;=0,-999-(ROW()/10000000),-J169))</f>
        <v>-12.963636363636363</v>
      </c>
    </row>
    <row r="170" spans="1:16" outlineLevel="1" x14ac:dyDescent="0.2">
      <c r="A170" s="56" t="str">
        <f>Dim_Reps!A35</f>
        <v>R019</v>
      </c>
      <c r="B170" s="56" t="str">
        <f>Dim_Reps!B35</f>
        <v>Chloe Petrov</v>
      </c>
      <c r="C170" s="56" t="str">
        <f>Dim_Reps!D35</f>
        <v>Mid-Market</v>
      </c>
      <c r="D170" s="56" t="str">
        <f>Dim_Reps!E35</f>
        <v>EMEA</v>
      </c>
      <c r="E170" s="56" t="str">
        <f>Dim_Reps!H35</f>
        <v>Departed</v>
      </c>
      <c r="F170" s="55">
        <f>SUMIFS(Fact_Quota!$D:$D,Fact_Quota!$A:$A,$A170,Fact_Quota!$B:$B,"&gt;="&amp;$B$129,Fact_Quota!$B:$B,"&lt;="&amp;$B$130)</f>
        <v>0</v>
      </c>
      <c r="G170" s="55">
        <f>SUMIFS(Fact_Pipeline!$K:$K,Fact_Pipeline!$B:$B,$A170,Fact_Pipeline!$J:$J,"Won",Fact_Pipeline!$I:$I,"&gt;="&amp;$B$129,Fact_Pipeline!$I:$I,"&lt;="&amp;$B$131)</f>
        <v>0</v>
      </c>
      <c r="H170" s="55">
        <f t="shared" si="5"/>
        <v>0</v>
      </c>
      <c r="I170" s="55">
        <f>SUMIFS(Fact_Pipeline!$K:$K,Fact_Pipeline!$B:$B,$A170,Fact_Pipeline!$J:$J,"Open")</f>
        <v>0</v>
      </c>
      <c r="J170" s="95" t="str">
        <f t="shared" si="6"/>
        <v/>
      </c>
      <c r="K170" s="56">
        <f>COUNTIFS(Fact_Pipeline!$B:$B,$A170,Fact_Pipeline!$J:$J,"Won",Fact_Pipeline!$I:$I,"&gt;="&amp;EDATE($B$131,-11),Fact_Pipeline!$I:$I,"&lt;="&amp;$B$131)</f>
        <v>0</v>
      </c>
      <c r="L170" s="56">
        <f>COUNTIFS(Fact_Pipeline!$B:$B,$A170,Fact_Pipeline!$J:$J,"Lost",Fact_Pipeline!$I:$I,"&gt;="&amp;EDATE($B$131,-11),Fact_Pipeline!$I:$I,"&lt;="&amp;$B$131)</f>
        <v>0</v>
      </c>
      <c r="M170" s="69">
        <f t="shared" si="7"/>
        <v>0.34793187347931875</v>
      </c>
      <c r="N170" s="69" t="str">
        <f t="shared" si="8"/>
        <v/>
      </c>
      <c r="O170" s="56" t="str">
        <f>IF(H170&lt;=0,"Goal Achieved",IF(N170&gt;M170,"At Risk – Below Pace",IF(J170&lt;G5,"Watch – Under Target Coverage","On Track")))</f>
        <v>Goal Achieved</v>
      </c>
      <c r="P170" s="56" t="str">
        <f t="shared" si="9"/>
        <v/>
      </c>
    </row>
    <row r="171" spans="1:16" outlineLevel="1" x14ac:dyDescent="0.2">
      <c r="A171" s="59" t="str">
        <f>Dim_Reps!A36</f>
        <v>R021</v>
      </c>
      <c r="B171" s="59" t="str">
        <f>Dim_Reps!B36</f>
        <v>Rafael Weber</v>
      </c>
      <c r="C171" s="59" t="str">
        <f>Dim_Reps!D36</f>
        <v>Mid-Market</v>
      </c>
      <c r="D171" s="59" t="str">
        <f>Dim_Reps!E36</f>
        <v>APAC</v>
      </c>
      <c r="E171" s="59" t="str">
        <f>Dim_Reps!H36</f>
        <v>Active</v>
      </c>
      <c r="F171" s="58">
        <f>SUMIFS(Fact_Quota!$D:$D,Fact_Quota!$A:$A,$A171,Fact_Quota!$B:$B,"&gt;="&amp;$B$129,Fact_Quota!$B:$B,"&lt;="&amp;$B$130)</f>
        <v>69000</v>
      </c>
      <c r="G171" s="58">
        <f>SUMIFS(Fact_Pipeline!$K:$K,Fact_Pipeline!$B:$B,$A171,Fact_Pipeline!$J:$J,"Won",Fact_Pipeline!$I:$I,"&gt;="&amp;$B$129,Fact_Pipeline!$I:$I,"&lt;="&amp;$B$131)</f>
        <v>15100</v>
      </c>
      <c r="H171" s="58">
        <f t="shared" si="5"/>
        <v>53900</v>
      </c>
      <c r="I171" s="58">
        <f>SUMIFS(Fact_Pipeline!$K:$K,Fact_Pipeline!$B:$B,$A171,Fact_Pipeline!$J:$J,"Open")</f>
        <v>88600</v>
      </c>
      <c r="J171" s="96">
        <f t="shared" si="6"/>
        <v>1.6437847866419295</v>
      </c>
      <c r="K171" s="59">
        <f>COUNTIFS(Fact_Pipeline!$B:$B,$A171,Fact_Pipeline!$J:$J,"Won",Fact_Pipeline!$I:$I,"&gt;="&amp;EDATE($B$131,-11),Fact_Pipeline!$I:$I,"&lt;="&amp;$B$131)</f>
        <v>2</v>
      </c>
      <c r="L171" s="59">
        <f>COUNTIFS(Fact_Pipeline!$B:$B,$A171,Fact_Pipeline!$J:$J,"Lost",Fact_Pipeline!$I:$I,"&gt;="&amp;EDATE($B$131,-11),Fact_Pipeline!$I:$I,"&lt;="&amp;$B$131)</f>
        <v>7</v>
      </c>
      <c r="M171" s="71">
        <f t="shared" si="7"/>
        <v>0.22222222222222221</v>
      </c>
      <c r="N171" s="71">
        <f t="shared" si="8"/>
        <v>0.60835214446952601</v>
      </c>
      <c r="O171" s="59" t="str">
        <f>IF(H171&lt;=0,"Goal Achieved",IF(N171&gt;M171,"At Risk – Below Pace",IF(J171&lt;G5,"Watch – Under Target Coverage","On Track")))</f>
        <v>At Risk – Below Pace</v>
      </c>
      <c r="P171" s="59">
        <f t="shared" si="9"/>
        <v>-1.6437847866419295</v>
      </c>
    </row>
    <row r="172" spans="1:16" outlineLevel="1" x14ac:dyDescent="0.2">
      <c r="A172" s="56" t="str">
        <f>Dim_Reps!A37</f>
        <v>R025</v>
      </c>
      <c r="B172" s="56" t="str">
        <f>Dim_Reps!B37</f>
        <v>Erik Kim</v>
      </c>
      <c r="C172" s="56" t="str">
        <f>Dim_Reps!D37</f>
        <v>Mid-Market</v>
      </c>
      <c r="D172" s="56" t="str">
        <f>Dim_Reps!E37</f>
        <v>NAMER</v>
      </c>
      <c r="E172" s="56" t="str">
        <f>Dim_Reps!H37</f>
        <v>Active</v>
      </c>
      <c r="F172" s="55">
        <f>SUMIFS(Fact_Quota!$D:$D,Fact_Quota!$A:$A,$A172,Fact_Quota!$B:$B,"&gt;="&amp;$B$129,Fact_Quota!$B:$B,"&lt;="&amp;$B$130)</f>
        <v>32000</v>
      </c>
      <c r="G172" s="55">
        <f>SUMIFS(Fact_Pipeline!$K:$K,Fact_Pipeline!$B:$B,$A172,Fact_Pipeline!$J:$J,"Won",Fact_Pipeline!$I:$I,"&gt;="&amp;$B$129,Fact_Pipeline!$I:$I,"&lt;="&amp;$B$131)</f>
        <v>0</v>
      </c>
      <c r="H172" s="55">
        <f t="shared" si="5"/>
        <v>32000</v>
      </c>
      <c r="I172" s="55">
        <f>SUMIFS(Fact_Pipeline!$K:$K,Fact_Pipeline!$B:$B,$A172,Fact_Pipeline!$J:$J,"Open")</f>
        <v>124300</v>
      </c>
      <c r="J172" s="95">
        <f t="shared" si="6"/>
        <v>3.8843749999999999</v>
      </c>
      <c r="K172" s="56">
        <f>COUNTIFS(Fact_Pipeline!$B:$B,$A172,Fact_Pipeline!$J:$J,"Won",Fact_Pipeline!$I:$I,"&gt;="&amp;EDATE($B$131,-11),Fact_Pipeline!$I:$I,"&lt;="&amp;$B$131)</f>
        <v>0</v>
      </c>
      <c r="L172" s="56">
        <f>COUNTIFS(Fact_Pipeline!$B:$B,$A172,Fact_Pipeline!$J:$J,"Lost",Fact_Pipeline!$I:$I,"&gt;="&amp;EDATE($B$131,-11),Fact_Pipeline!$I:$I,"&lt;="&amp;$B$131)</f>
        <v>0</v>
      </c>
      <c r="M172" s="69">
        <f t="shared" si="7"/>
        <v>0.34793187347931875</v>
      </c>
      <c r="N172" s="69">
        <f t="shared" si="8"/>
        <v>0.25744167337087692</v>
      </c>
      <c r="O172" s="56" t="str">
        <f>IF(H172&lt;=0,"Goal Achieved",IF(N172&gt;M172,"At Risk – Below Pace",IF(J172&lt;G5,"Watch – Under Target Coverage","On Track")))</f>
        <v>On Track</v>
      </c>
      <c r="P172" s="56">
        <f t="shared" si="9"/>
        <v>-3.8843749999999999</v>
      </c>
    </row>
    <row r="173" spans="1:16" outlineLevel="1" x14ac:dyDescent="0.2">
      <c r="A173" s="59" t="str">
        <f>Dim_Reps!A38</f>
        <v>R028</v>
      </c>
      <c r="B173" s="59" t="str">
        <f>Dim_Reps!B38</f>
        <v>Ana Kim</v>
      </c>
      <c r="C173" s="59" t="str">
        <f>Dim_Reps!D38</f>
        <v>Mid-Market</v>
      </c>
      <c r="D173" s="59" t="str">
        <f>Dim_Reps!E38</f>
        <v>APAC</v>
      </c>
      <c r="E173" s="59" t="str">
        <f>Dim_Reps!H38</f>
        <v>Active</v>
      </c>
      <c r="F173" s="58">
        <f>SUMIFS(Fact_Quota!$D:$D,Fact_Quota!$A:$A,$A173,Fact_Quota!$B:$B,"&gt;="&amp;$B$129,Fact_Quota!$B:$B,"&lt;="&amp;$B$130)</f>
        <v>66000</v>
      </c>
      <c r="G173" s="58">
        <f>SUMIFS(Fact_Pipeline!$K:$K,Fact_Pipeline!$B:$B,$A173,Fact_Pipeline!$J:$J,"Won",Fact_Pipeline!$I:$I,"&gt;="&amp;$B$129,Fact_Pipeline!$I:$I,"&lt;="&amp;$B$131)</f>
        <v>30900</v>
      </c>
      <c r="H173" s="58">
        <f t="shared" si="5"/>
        <v>35100</v>
      </c>
      <c r="I173" s="58">
        <f>SUMIFS(Fact_Pipeline!$K:$K,Fact_Pipeline!$B:$B,$A173,Fact_Pipeline!$J:$J,"Open")</f>
        <v>61400</v>
      </c>
      <c r="J173" s="96">
        <f t="shared" si="6"/>
        <v>1.7492877492877492</v>
      </c>
      <c r="K173" s="59">
        <f>COUNTIFS(Fact_Pipeline!$B:$B,$A173,Fact_Pipeline!$J:$J,"Won",Fact_Pipeline!$I:$I,"&gt;="&amp;EDATE($B$131,-11),Fact_Pipeline!$I:$I,"&lt;="&amp;$B$131)</f>
        <v>5</v>
      </c>
      <c r="L173" s="59">
        <f>COUNTIFS(Fact_Pipeline!$B:$B,$A173,Fact_Pipeline!$J:$J,"Lost",Fact_Pipeline!$I:$I,"&gt;="&amp;EDATE($B$131,-11),Fact_Pipeline!$I:$I,"&lt;="&amp;$B$131)</f>
        <v>25</v>
      </c>
      <c r="M173" s="71">
        <f t="shared" si="7"/>
        <v>0.16666666666666666</v>
      </c>
      <c r="N173" s="71">
        <f t="shared" si="8"/>
        <v>0.57166123778501632</v>
      </c>
      <c r="O173" s="59" t="str">
        <f>IF(H173&lt;=0,"Goal Achieved",IF(N173&gt;M173,"At Risk – Below Pace",IF(J173&lt;G5,"Watch – Under Target Coverage","On Track")))</f>
        <v>At Risk – Below Pace</v>
      </c>
      <c r="P173" s="59">
        <f t="shared" si="9"/>
        <v>-1.7492877492877492</v>
      </c>
    </row>
    <row r="174" spans="1:16" outlineLevel="1" x14ac:dyDescent="0.2">
      <c r="A174" s="56" t="str">
        <f>Dim_Reps!A39</f>
        <v>R029</v>
      </c>
      <c r="B174" s="56" t="str">
        <f>Dim_Reps!B39</f>
        <v>Felix Okafor</v>
      </c>
      <c r="C174" s="56" t="str">
        <f>Dim_Reps!D39</f>
        <v>Mid-Market</v>
      </c>
      <c r="D174" s="56" t="str">
        <f>Dim_Reps!E39</f>
        <v>EMEA</v>
      </c>
      <c r="E174" s="56" t="str">
        <f>Dim_Reps!H39</f>
        <v>Active</v>
      </c>
      <c r="F174" s="55">
        <f>SUMIFS(Fact_Quota!$D:$D,Fact_Quota!$A:$A,$A174,Fact_Quota!$B:$B,"&gt;="&amp;$B$129,Fact_Quota!$B:$B,"&lt;="&amp;$B$130)</f>
        <v>66000</v>
      </c>
      <c r="G174" s="55">
        <f>SUMIFS(Fact_Pipeline!$K:$K,Fact_Pipeline!$B:$B,$A174,Fact_Pipeline!$J:$J,"Won",Fact_Pipeline!$I:$I,"&gt;="&amp;$B$129,Fact_Pipeline!$I:$I,"&lt;="&amp;$B$131)</f>
        <v>32300</v>
      </c>
      <c r="H174" s="55">
        <f t="shared" si="5"/>
        <v>33700</v>
      </c>
      <c r="I174" s="55">
        <f>SUMIFS(Fact_Pipeline!$K:$K,Fact_Pipeline!$B:$B,$A174,Fact_Pipeline!$J:$J,"Open")</f>
        <v>122800</v>
      </c>
      <c r="J174" s="95">
        <f t="shared" si="6"/>
        <v>3.6439169139465877</v>
      </c>
      <c r="K174" s="56">
        <f>COUNTIFS(Fact_Pipeline!$B:$B,$A174,Fact_Pipeline!$J:$J,"Won",Fact_Pipeline!$I:$I,"&gt;="&amp;EDATE($B$131,-11),Fact_Pipeline!$I:$I,"&lt;="&amp;$B$131)</f>
        <v>24</v>
      </c>
      <c r="L174" s="56">
        <f>COUNTIFS(Fact_Pipeline!$B:$B,$A174,Fact_Pipeline!$J:$J,"Lost",Fact_Pipeline!$I:$I,"&gt;="&amp;EDATE($B$131,-11),Fact_Pipeline!$I:$I,"&lt;="&amp;$B$131)</f>
        <v>49</v>
      </c>
      <c r="M174" s="69">
        <f t="shared" si="7"/>
        <v>0.32876712328767121</v>
      </c>
      <c r="N174" s="69">
        <f t="shared" si="8"/>
        <v>0.27442996742671011</v>
      </c>
      <c r="O174" s="56" t="str">
        <f>IF(H174&lt;=0,"Goal Achieved",IF(N174&gt;M174,"At Risk – Below Pace",IF(J174&lt;G5,"Watch – Under Target Coverage","On Track")))</f>
        <v>On Track</v>
      </c>
      <c r="P174" s="56">
        <f t="shared" si="9"/>
        <v>-3.6439169139465877</v>
      </c>
    </row>
    <row r="175" spans="1:16" outlineLevel="1" x14ac:dyDescent="0.2">
      <c r="A175" s="59" t="str">
        <f>Dim_Reps!A40</f>
        <v>R031</v>
      </c>
      <c r="B175" s="59" t="str">
        <f>Dim_Reps!B40</f>
        <v>Morgan Larsen</v>
      </c>
      <c r="C175" s="59" t="str">
        <f>Dim_Reps!D40</f>
        <v>Mid-Market</v>
      </c>
      <c r="D175" s="59" t="str">
        <f>Dim_Reps!E40</f>
        <v>NAMER</v>
      </c>
      <c r="E175" s="59" t="str">
        <f>Dim_Reps!H40</f>
        <v>Active</v>
      </c>
      <c r="F175" s="58">
        <f>SUMIFS(Fact_Quota!$D:$D,Fact_Quota!$A:$A,$A175,Fact_Quota!$B:$B,"&gt;="&amp;$B$129,Fact_Quota!$B:$B,"&lt;="&amp;$B$130)</f>
        <v>49200</v>
      </c>
      <c r="G175" s="58">
        <f>SUMIFS(Fact_Pipeline!$K:$K,Fact_Pipeline!$B:$B,$A175,Fact_Pipeline!$J:$J,"Won",Fact_Pipeline!$I:$I,"&gt;="&amp;$B$129,Fact_Pipeline!$I:$I,"&lt;="&amp;$B$131)</f>
        <v>20300</v>
      </c>
      <c r="H175" s="58">
        <f t="shared" si="5"/>
        <v>28900</v>
      </c>
      <c r="I175" s="58">
        <f>SUMIFS(Fact_Pipeline!$K:$K,Fact_Pipeline!$B:$B,$A175,Fact_Pipeline!$J:$J,"Open")</f>
        <v>72700</v>
      </c>
      <c r="J175" s="96">
        <f t="shared" si="6"/>
        <v>2.5155709342560555</v>
      </c>
      <c r="K175" s="59">
        <f>COUNTIFS(Fact_Pipeline!$B:$B,$A175,Fact_Pipeline!$J:$J,"Won",Fact_Pipeline!$I:$I,"&gt;="&amp;EDATE($B$131,-11),Fact_Pipeline!$I:$I,"&lt;="&amp;$B$131)</f>
        <v>2</v>
      </c>
      <c r="L175" s="59">
        <f>COUNTIFS(Fact_Pipeline!$B:$B,$A175,Fact_Pipeline!$J:$J,"Lost",Fact_Pipeline!$I:$I,"&gt;="&amp;EDATE($B$131,-11),Fact_Pipeline!$I:$I,"&lt;="&amp;$B$131)</f>
        <v>5</v>
      </c>
      <c r="M175" s="71">
        <f t="shared" si="7"/>
        <v>0.2857142857142857</v>
      </c>
      <c r="N175" s="71">
        <f t="shared" si="8"/>
        <v>0.39752407152682256</v>
      </c>
      <c r="O175" s="59" t="str">
        <f>IF(H175&lt;=0,"Goal Achieved",IF(N175&gt;M175,"At Risk – Below Pace",IF(J175&lt;G5,"Watch – Under Target Coverage","On Track")))</f>
        <v>At Risk – Below Pace</v>
      </c>
      <c r="P175" s="59">
        <f t="shared" si="9"/>
        <v>-2.5155709342560555</v>
      </c>
    </row>
    <row r="176" spans="1:16" outlineLevel="1" x14ac:dyDescent="0.2">
      <c r="A176" s="56" t="str">
        <f>Dim_Reps!A41</f>
        <v>R039</v>
      </c>
      <c r="B176" s="56" t="str">
        <f>Dim_Reps!B41</f>
        <v>Morgan Weber</v>
      </c>
      <c r="C176" s="56" t="str">
        <f>Dim_Reps!D41</f>
        <v>Mid-Market</v>
      </c>
      <c r="D176" s="56" t="str">
        <f>Dim_Reps!E41</f>
        <v>NAMER</v>
      </c>
      <c r="E176" s="56" t="str">
        <f>Dim_Reps!H41</f>
        <v>Active</v>
      </c>
      <c r="F176" s="55">
        <f>SUMIFS(Fact_Quota!$D:$D,Fact_Quota!$A:$A,$A176,Fact_Quota!$B:$B,"&gt;="&amp;$B$129,Fact_Quota!$B:$B,"&lt;="&amp;$B$130)</f>
        <v>65900</v>
      </c>
      <c r="G176" s="55">
        <f>SUMIFS(Fact_Pipeline!$K:$K,Fact_Pipeline!$B:$B,$A176,Fact_Pipeline!$J:$J,"Won",Fact_Pipeline!$I:$I,"&gt;="&amp;$B$129,Fact_Pipeline!$I:$I,"&lt;="&amp;$B$131)</f>
        <v>46100</v>
      </c>
      <c r="H176" s="55">
        <f t="shared" si="5"/>
        <v>19800</v>
      </c>
      <c r="I176" s="55">
        <f>SUMIFS(Fact_Pipeline!$K:$K,Fact_Pipeline!$B:$B,$A176,Fact_Pipeline!$J:$J,"Open")</f>
        <v>114900</v>
      </c>
      <c r="J176" s="95">
        <f t="shared" si="6"/>
        <v>5.8030303030303028</v>
      </c>
      <c r="K176" s="56">
        <f>COUNTIFS(Fact_Pipeline!$B:$B,$A176,Fact_Pipeline!$J:$J,"Won",Fact_Pipeline!$I:$I,"&gt;="&amp;EDATE($B$131,-11),Fact_Pipeline!$I:$I,"&lt;="&amp;$B$131)</f>
        <v>16</v>
      </c>
      <c r="L176" s="56">
        <f>COUNTIFS(Fact_Pipeline!$B:$B,$A176,Fact_Pipeline!$J:$J,"Lost",Fact_Pipeline!$I:$I,"&gt;="&amp;EDATE($B$131,-11),Fact_Pipeline!$I:$I,"&lt;="&amp;$B$131)</f>
        <v>36</v>
      </c>
      <c r="M176" s="69">
        <f t="shared" si="7"/>
        <v>0.30769230769230771</v>
      </c>
      <c r="N176" s="69">
        <f t="shared" si="8"/>
        <v>0.17232375979112272</v>
      </c>
      <c r="O176" s="56" t="str">
        <f>IF(H176&lt;=0,"Goal Achieved",IF(N176&gt;M176,"At Risk – Below Pace",IF(J176&lt;G5,"Watch – Under Target Coverage","On Track")))</f>
        <v>On Track</v>
      </c>
      <c r="P176" s="56">
        <f t="shared" si="9"/>
        <v>-5.8030303030303028</v>
      </c>
    </row>
    <row r="177" spans="1:16" outlineLevel="1" x14ac:dyDescent="0.2">
      <c r="A177" s="59" t="str">
        <f>Dim_Reps!A42</f>
        <v>R040</v>
      </c>
      <c r="B177" s="59" t="str">
        <f>Dim_Reps!B42</f>
        <v>Erik Duarte</v>
      </c>
      <c r="C177" s="59" t="str">
        <f>Dim_Reps!D42</f>
        <v>Mid-Market</v>
      </c>
      <c r="D177" s="59" t="str">
        <f>Dim_Reps!E42</f>
        <v>EMEA</v>
      </c>
      <c r="E177" s="59" t="str">
        <f>Dim_Reps!H42</f>
        <v>Active</v>
      </c>
      <c r="F177" s="58">
        <f>SUMIFS(Fact_Quota!$D:$D,Fact_Quota!$A:$A,$A177,Fact_Quota!$B:$B,"&gt;="&amp;$B$129,Fact_Quota!$B:$B,"&lt;="&amp;$B$130)</f>
        <v>67900</v>
      </c>
      <c r="G177" s="58">
        <f>SUMIFS(Fact_Pipeline!$K:$K,Fact_Pipeline!$B:$B,$A177,Fact_Pipeline!$J:$J,"Won",Fact_Pipeline!$I:$I,"&gt;="&amp;$B$129,Fact_Pipeline!$I:$I,"&lt;="&amp;$B$131)</f>
        <v>40400</v>
      </c>
      <c r="H177" s="58">
        <f t="shared" si="5"/>
        <v>27500</v>
      </c>
      <c r="I177" s="58">
        <f>SUMIFS(Fact_Pipeline!$K:$K,Fact_Pipeline!$B:$B,$A177,Fact_Pipeline!$J:$J,"Open")</f>
        <v>100700</v>
      </c>
      <c r="J177" s="96">
        <f t="shared" si="6"/>
        <v>3.6618181818181816</v>
      </c>
      <c r="K177" s="59">
        <f>COUNTIFS(Fact_Pipeline!$B:$B,$A177,Fact_Pipeline!$J:$J,"Won",Fact_Pipeline!$I:$I,"&gt;="&amp;EDATE($B$131,-11),Fact_Pipeline!$I:$I,"&lt;="&amp;$B$131)</f>
        <v>25</v>
      </c>
      <c r="L177" s="59">
        <f>COUNTIFS(Fact_Pipeline!$B:$B,$A177,Fact_Pipeline!$J:$J,"Lost",Fact_Pipeline!$I:$I,"&gt;="&amp;EDATE($B$131,-11),Fact_Pipeline!$I:$I,"&lt;="&amp;$B$131)</f>
        <v>56</v>
      </c>
      <c r="M177" s="71">
        <f t="shared" si="7"/>
        <v>0.30864197530864196</v>
      </c>
      <c r="N177" s="71">
        <f t="shared" si="8"/>
        <v>0.27308838133068519</v>
      </c>
      <c r="O177" s="59" t="str">
        <f>IF(H177&lt;=0,"Goal Achieved",IF(N177&gt;M177,"At Risk – Below Pace",IF(J177&lt;G5,"Watch – Under Target Coverage","On Track")))</f>
        <v>On Track</v>
      </c>
      <c r="P177" s="59">
        <f t="shared" si="9"/>
        <v>-3.6618181818181816</v>
      </c>
    </row>
    <row r="178" spans="1:16" outlineLevel="1" x14ac:dyDescent="0.2">
      <c r="A178" s="56" t="str">
        <f>Dim_Reps!A43</f>
        <v>R042</v>
      </c>
      <c r="B178" s="56" t="str">
        <f>Dim_Reps!B43</f>
        <v>Yuki Dubois</v>
      </c>
      <c r="C178" s="56" t="str">
        <f>Dim_Reps!D43</f>
        <v>Mid-Market</v>
      </c>
      <c r="D178" s="56" t="str">
        <f>Dim_Reps!E43</f>
        <v>LATAM</v>
      </c>
      <c r="E178" s="56" t="str">
        <f>Dim_Reps!H43</f>
        <v>Active</v>
      </c>
      <c r="F178" s="55">
        <f>SUMIFS(Fact_Quota!$D:$D,Fact_Quota!$A:$A,$A178,Fact_Quota!$B:$B,"&gt;="&amp;$B$129,Fact_Quota!$B:$B,"&lt;="&amp;$B$130)</f>
        <v>67700</v>
      </c>
      <c r="G178" s="55">
        <f>SUMIFS(Fact_Pipeline!$K:$K,Fact_Pipeline!$B:$B,$A178,Fact_Pipeline!$J:$J,"Won",Fact_Pipeline!$I:$I,"&gt;="&amp;$B$129,Fact_Pipeline!$I:$I,"&lt;="&amp;$B$131)</f>
        <v>23700</v>
      </c>
      <c r="H178" s="55">
        <f t="shared" si="5"/>
        <v>44000</v>
      </c>
      <c r="I178" s="55">
        <f>SUMIFS(Fact_Pipeline!$K:$K,Fact_Pipeline!$B:$B,$A178,Fact_Pipeline!$J:$J,"Open")</f>
        <v>129900</v>
      </c>
      <c r="J178" s="95">
        <f t="shared" si="6"/>
        <v>2.9522727272727272</v>
      </c>
      <c r="K178" s="56">
        <f>COUNTIFS(Fact_Pipeline!$B:$B,$A178,Fact_Pipeline!$J:$J,"Won",Fact_Pipeline!$I:$I,"&gt;="&amp;EDATE($B$131,-11),Fact_Pipeline!$I:$I,"&lt;="&amp;$B$131)</f>
        <v>23</v>
      </c>
      <c r="L178" s="56">
        <f>COUNTIFS(Fact_Pipeline!$B:$B,$A178,Fact_Pipeline!$J:$J,"Lost",Fact_Pipeline!$I:$I,"&gt;="&amp;EDATE($B$131,-11),Fact_Pipeline!$I:$I,"&lt;="&amp;$B$131)</f>
        <v>34</v>
      </c>
      <c r="M178" s="69">
        <f t="shared" si="7"/>
        <v>0.40350877192982454</v>
      </c>
      <c r="N178" s="69">
        <f t="shared" si="8"/>
        <v>0.33872209391839875</v>
      </c>
      <c r="O178" s="56" t="str">
        <f>IF(H178&lt;=0,"Goal Achieved",IF(N178&gt;M178,"At Risk – Below Pace",IF(J178&lt;G5,"Watch – Under Target Coverage","On Track")))</f>
        <v>Watch – Under Target Coverage</v>
      </c>
      <c r="P178" s="56">
        <f t="shared" si="9"/>
        <v>-2.9522727272727272</v>
      </c>
    </row>
    <row r="179" spans="1:16" outlineLevel="1" x14ac:dyDescent="0.2">
      <c r="A179" s="59" t="str">
        <f>Dim_Reps!A44</f>
        <v>R046</v>
      </c>
      <c r="B179" s="59" t="str">
        <f>Dim_Reps!B44</f>
        <v>Morgan Rivera</v>
      </c>
      <c r="C179" s="59" t="str">
        <f>Dim_Reps!D44</f>
        <v>Mid-Market</v>
      </c>
      <c r="D179" s="59" t="str">
        <f>Dim_Reps!E44</f>
        <v>NAMER</v>
      </c>
      <c r="E179" s="59" t="str">
        <f>Dim_Reps!H44</f>
        <v>Departed</v>
      </c>
      <c r="F179" s="58">
        <f>SUMIFS(Fact_Quota!$D:$D,Fact_Quota!$A:$A,$A179,Fact_Quota!$B:$B,"&gt;="&amp;$B$129,Fact_Quota!$B:$B,"&lt;="&amp;$B$130)</f>
        <v>22000</v>
      </c>
      <c r="G179" s="58">
        <f>SUMIFS(Fact_Pipeline!$K:$K,Fact_Pipeline!$B:$B,$A179,Fact_Pipeline!$J:$J,"Won",Fact_Pipeline!$I:$I,"&gt;="&amp;$B$129,Fact_Pipeline!$I:$I,"&lt;="&amp;$B$131)</f>
        <v>60100</v>
      </c>
      <c r="H179" s="58">
        <f t="shared" si="5"/>
        <v>0</v>
      </c>
      <c r="I179" s="58">
        <f>SUMIFS(Fact_Pipeline!$K:$K,Fact_Pipeline!$B:$B,$A179,Fact_Pipeline!$J:$J,"Open")</f>
        <v>0</v>
      </c>
      <c r="J179" s="96" t="str">
        <f t="shared" si="6"/>
        <v/>
      </c>
      <c r="K179" s="59">
        <f>COUNTIFS(Fact_Pipeline!$B:$B,$A179,Fact_Pipeline!$J:$J,"Won",Fact_Pipeline!$I:$I,"&gt;="&amp;EDATE($B$131,-11),Fact_Pipeline!$I:$I,"&lt;="&amp;$B$131)</f>
        <v>25</v>
      </c>
      <c r="L179" s="59">
        <f>COUNTIFS(Fact_Pipeline!$B:$B,$A179,Fact_Pipeline!$J:$J,"Lost",Fact_Pipeline!$I:$I,"&gt;="&amp;EDATE($B$131,-11),Fact_Pipeline!$I:$I,"&lt;="&amp;$B$131)</f>
        <v>55</v>
      </c>
      <c r="M179" s="71">
        <f t="shared" si="7"/>
        <v>0.3125</v>
      </c>
      <c r="N179" s="71" t="str">
        <f t="shared" si="8"/>
        <v/>
      </c>
      <c r="O179" s="59" t="str">
        <f>IF(H179&lt;=0,"Goal Achieved",IF(N179&gt;M179,"At Risk – Below Pace",IF(J179&lt;G5,"Watch – Under Target Coverage","On Track")))</f>
        <v>Goal Achieved</v>
      </c>
      <c r="P179" s="59" t="str">
        <f t="shared" si="9"/>
        <v/>
      </c>
    </row>
    <row r="180" spans="1:16" outlineLevel="1" x14ac:dyDescent="0.2">
      <c r="A180" s="56" t="str">
        <f>Dim_Reps!A45</f>
        <v>R048</v>
      </c>
      <c r="B180" s="56" t="str">
        <f>Dim_Reps!B45</f>
        <v>Ivy Adler</v>
      </c>
      <c r="C180" s="56" t="str">
        <f>Dim_Reps!D45</f>
        <v>Mid-Market</v>
      </c>
      <c r="D180" s="56" t="str">
        <f>Dim_Reps!E45</f>
        <v>APAC</v>
      </c>
      <c r="E180" s="56" t="str">
        <f>Dim_Reps!H45</f>
        <v>Active</v>
      </c>
      <c r="F180" s="55">
        <f>SUMIFS(Fact_Quota!$D:$D,Fact_Quota!$A:$A,$A180,Fact_Quota!$B:$B,"&gt;="&amp;$B$129,Fact_Quota!$B:$B,"&lt;="&amp;$B$130)</f>
        <v>66900</v>
      </c>
      <c r="G180" s="55">
        <f>SUMIFS(Fact_Pipeline!$K:$K,Fact_Pipeline!$B:$B,$A180,Fact_Pipeline!$J:$J,"Won",Fact_Pipeline!$I:$I,"&gt;="&amp;$B$129,Fact_Pipeline!$I:$I,"&lt;="&amp;$B$131)</f>
        <v>34900</v>
      </c>
      <c r="H180" s="55">
        <f t="shared" si="5"/>
        <v>32000</v>
      </c>
      <c r="I180" s="55">
        <f>SUMIFS(Fact_Pipeline!$K:$K,Fact_Pipeline!$B:$B,$A180,Fact_Pipeline!$J:$J,"Open")</f>
        <v>106400</v>
      </c>
      <c r="J180" s="95">
        <f t="shared" si="6"/>
        <v>3.3250000000000002</v>
      </c>
      <c r="K180" s="56">
        <f>COUNTIFS(Fact_Pipeline!$B:$B,$A180,Fact_Pipeline!$J:$J,"Won",Fact_Pipeline!$I:$I,"&gt;="&amp;EDATE($B$131,-11),Fact_Pipeline!$I:$I,"&lt;="&amp;$B$131)</f>
        <v>26</v>
      </c>
      <c r="L180" s="56">
        <f>COUNTIFS(Fact_Pipeline!$B:$B,$A180,Fact_Pipeline!$J:$J,"Lost",Fact_Pipeline!$I:$I,"&gt;="&amp;EDATE($B$131,-11),Fact_Pipeline!$I:$I,"&lt;="&amp;$B$131)</f>
        <v>49</v>
      </c>
      <c r="M180" s="69">
        <f t="shared" si="7"/>
        <v>0.34666666666666668</v>
      </c>
      <c r="N180" s="69">
        <f t="shared" si="8"/>
        <v>0.3007518796992481</v>
      </c>
      <c r="O180" s="56" t="str">
        <f>IF(H180&lt;=0,"Goal Achieved",IF(N180&gt;M180,"At Risk – Below Pace",IF(J180&lt;G5,"Watch – Under Target Coverage","On Track")))</f>
        <v>On Track</v>
      </c>
      <c r="P180" s="56">
        <f t="shared" si="9"/>
        <v>-3.3250000000000002</v>
      </c>
    </row>
    <row r="181" spans="1:16" outlineLevel="1" x14ac:dyDescent="0.2">
      <c r="A181" s="59" t="str">
        <f>Dim_Reps!A46</f>
        <v>R049</v>
      </c>
      <c r="B181" s="59" t="str">
        <f>Dim_Reps!B46</f>
        <v>Olivia Cohen</v>
      </c>
      <c r="C181" s="59" t="str">
        <f>Dim_Reps!D46</f>
        <v>Mid-Market</v>
      </c>
      <c r="D181" s="59" t="str">
        <f>Dim_Reps!E46</f>
        <v>APAC</v>
      </c>
      <c r="E181" s="59" t="str">
        <f>Dim_Reps!H46</f>
        <v>Active</v>
      </c>
      <c r="F181" s="58">
        <f>SUMIFS(Fact_Quota!$D:$D,Fact_Quota!$A:$A,$A181,Fact_Quota!$B:$B,"&gt;="&amp;$B$129,Fact_Quota!$B:$B,"&lt;="&amp;$B$130)</f>
        <v>66400</v>
      </c>
      <c r="G181" s="58">
        <f>SUMIFS(Fact_Pipeline!$K:$K,Fact_Pipeline!$B:$B,$A181,Fact_Pipeline!$J:$J,"Won",Fact_Pipeline!$I:$I,"&gt;="&amp;$B$129,Fact_Pipeline!$I:$I,"&lt;="&amp;$B$131)</f>
        <v>19500</v>
      </c>
      <c r="H181" s="58">
        <f t="shared" si="5"/>
        <v>46900</v>
      </c>
      <c r="I181" s="58">
        <f>SUMIFS(Fact_Pipeline!$K:$K,Fact_Pipeline!$B:$B,$A181,Fact_Pipeline!$J:$J,"Open")</f>
        <v>38100</v>
      </c>
      <c r="J181" s="96">
        <f t="shared" si="6"/>
        <v>0.81236673773987211</v>
      </c>
      <c r="K181" s="59">
        <f>COUNTIFS(Fact_Pipeline!$B:$B,$A181,Fact_Pipeline!$J:$J,"Won",Fact_Pipeline!$I:$I,"&gt;="&amp;EDATE($B$131,-11),Fact_Pipeline!$I:$I,"&lt;="&amp;$B$131)</f>
        <v>13</v>
      </c>
      <c r="L181" s="59">
        <f>COUNTIFS(Fact_Pipeline!$B:$B,$A181,Fact_Pipeline!$J:$J,"Lost",Fact_Pipeline!$I:$I,"&gt;="&amp;EDATE($B$131,-11),Fact_Pipeline!$I:$I,"&lt;="&amp;$B$131)</f>
        <v>49</v>
      </c>
      <c r="M181" s="71">
        <f t="shared" si="7"/>
        <v>0.20967741935483872</v>
      </c>
      <c r="N181" s="71">
        <f t="shared" si="8"/>
        <v>1.230971128608924</v>
      </c>
      <c r="O181" s="59" t="str">
        <f>IF(H181&lt;=0,"Goal Achieved",IF(N181&gt;M181,"At Risk – Below Pace",IF(J181&lt;G5,"Watch – Under Target Coverage","On Track")))</f>
        <v>At Risk – Below Pace</v>
      </c>
      <c r="P181" s="59">
        <f t="shared" si="9"/>
        <v>-0.81236673773987211</v>
      </c>
    </row>
    <row r="182" spans="1:16" outlineLevel="1" x14ac:dyDescent="0.2">
      <c r="A182" s="56" t="str">
        <f>Dim_Reps!A47</f>
        <v>R002</v>
      </c>
      <c r="B182" s="56" t="str">
        <f>Dim_Reps!B47</f>
        <v>Sana Rossi</v>
      </c>
      <c r="C182" s="56" t="str">
        <f>Dim_Reps!D47</f>
        <v>Strategic</v>
      </c>
      <c r="D182" s="56" t="str">
        <f>Dim_Reps!E47</f>
        <v>NAMER</v>
      </c>
      <c r="E182" s="56" t="str">
        <f>Dim_Reps!H47</f>
        <v>Departed</v>
      </c>
      <c r="F182" s="55">
        <f>SUMIFS(Fact_Quota!$D:$D,Fact_Quota!$A:$A,$A182,Fact_Quota!$B:$B,"&gt;="&amp;$B$129,Fact_Quota!$B:$B,"&lt;="&amp;$B$130)</f>
        <v>110300</v>
      </c>
      <c r="G182" s="55">
        <f>SUMIFS(Fact_Pipeline!$K:$K,Fact_Pipeline!$B:$B,$A182,Fact_Pipeline!$J:$J,"Won",Fact_Pipeline!$I:$I,"&gt;="&amp;$B$129,Fact_Pipeline!$I:$I,"&lt;="&amp;$B$131)</f>
        <v>0</v>
      </c>
      <c r="H182" s="55">
        <f t="shared" si="5"/>
        <v>110300</v>
      </c>
      <c r="I182" s="55">
        <f>SUMIFS(Fact_Pipeline!$K:$K,Fact_Pipeline!$B:$B,$A182,Fact_Pipeline!$J:$J,"Open")</f>
        <v>441700</v>
      </c>
      <c r="J182" s="95">
        <f t="shared" si="6"/>
        <v>4.0045330915684501</v>
      </c>
      <c r="K182" s="56">
        <f>COUNTIFS(Fact_Pipeline!$B:$B,$A182,Fact_Pipeline!$J:$J,"Won",Fact_Pipeline!$I:$I,"&gt;="&amp;EDATE($B$131,-11),Fact_Pipeline!$I:$I,"&lt;="&amp;$B$131)</f>
        <v>0</v>
      </c>
      <c r="L182" s="56">
        <f>COUNTIFS(Fact_Pipeline!$B:$B,$A182,Fact_Pipeline!$J:$J,"Lost",Fact_Pipeline!$I:$I,"&gt;="&amp;EDATE($B$131,-11),Fact_Pipeline!$I:$I,"&lt;="&amp;$B$131)</f>
        <v>0</v>
      </c>
      <c r="M182" s="69">
        <f t="shared" si="7"/>
        <v>0.34793187347931875</v>
      </c>
      <c r="N182" s="69">
        <f t="shared" si="8"/>
        <v>0.24971700249037809</v>
      </c>
      <c r="O182" s="56" t="str">
        <f>IF(H182&lt;=0,"Goal Achieved",IF(N182&gt;M182,"At Risk – Below Pace",IF(J182&lt;G5,"Watch – Under Target Coverage","On Track")))</f>
        <v>On Track</v>
      </c>
      <c r="P182" s="56" t="str">
        <f t="shared" si="9"/>
        <v/>
      </c>
    </row>
    <row r="183" spans="1:16" outlineLevel="1" x14ac:dyDescent="0.2">
      <c r="A183" s="59" t="str">
        <f>Dim_Reps!A48</f>
        <v>R012</v>
      </c>
      <c r="B183" s="59" t="str">
        <f>Dim_Reps!B48</f>
        <v>Sara Andersson</v>
      </c>
      <c r="C183" s="59" t="str">
        <f>Dim_Reps!D48</f>
        <v>Strategic</v>
      </c>
      <c r="D183" s="59" t="str">
        <f>Dim_Reps!E48</f>
        <v>APAC</v>
      </c>
      <c r="E183" s="59" t="str">
        <f>Dim_Reps!H48</f>
        <v>Active</v>
      </c>
      <c r="F183" s="58">
        <f>SUMIFS(Fact_Quota!$D:$D,Fact_Quota!$A:$A,$A183,Fact_Quota!$B:$B,"&gt;="&amp;$B$129,Fact_Quota!$B:$B,"&lt;="&amp;$B$130)</f>
        <v>143900</v>
      </c>
      <c r="G183" s="58">
        <f>SUMIFS(Fact_Pipeline!$K:$K,Fact_Pipeline!$B:$B,$A183,Fact_Pipeline!$J:$J,"Won",Fact_Pipeline!$I:$I,"&gt;="&amp;$B$129,Fact_Pipeline!$I:$I,"&lt;="&amp;$B$131)</f>
        <v>0</v>
      </c>
      <c r="H183" s="58">
        <f t="shared" si="5"/>
        <v>143900</v>
      </c>
      <c r="I183" s="58">
        <f>SUMIFS(Fact_Pipeline!$K:$K,Fact_Pipeline!$B:$B,$A183,Fact_Pipeline!$J:$J,"Open")</f>
        <v>861300</v>
      </c>
      <c r="J183" s="96">
        <f t="shared" si="6"/>
        <v>5.9854065323141068</v>
      </c>
      <c r="K183" s="59">
        <f>COUNTIFS(Fact_Pipeline!$B:$B,$A183,Fact_Pipeline!$J:$J,"Won",Fact_Pipeline!$I:$I,"&gt;="&amp;EDATE($B$131,-11),Fact_Pipeline!$I:$I,"&lt;="&amp;$B$131)</f>
        <v>9</v>
      </c>
      <c r="L183" s="59">
        <f>COUNTIFS(Fact_Pipeline!$B:$B,$A183,Fact_Pipeline!$J:$J,"Lost",Fact_Pipeline!$I:$I,"&gt;="&amp;EDATE($B$131,-11),Fact_Pipeline!$I:$I,"&lt;="&amp;$B$131)</f>
        <v>23</v>
      </c>
      <c r="M183" s="71">
        <f t="shared" si="7"/>
        <v>0.28125</v>
      </c>
      <c r="N183" s="71">
        <f t="shared" si="8"/>
        <v>0.16707302914199465</v>
      </c>
      <c r="O183" s="59" t="str">
        <f>IF(H183&lt;=0,"Goal Achieved",IF(N183&gt;M183,"At Risk – Below Pace",IF(J183&lt;G5,"Watch – Under Target Coverage","On Track")))</f>
        <v>On Track</v>
      </c>
      <c r="P183" s="59">
        <f t="shared" si="9"/>
        <v>-5.9854065323141068</v>
      </c>
    </row>
    <row r="184" spans="1:16" outlineLevel="1" x14ac:dyDescent="0.2">
      <c r="A184" s="56" t="str">
        <f>Dim_Reps!A49</f>
        <v>R034</v>
      </c>
      <c r="B184" s="56" t="str">
        <f>Dim_Reps!B49</f>
        <v>Cameron Lund</v>
      </c>
      <c r="C184" s="56" t="str">
        <f>Dim_Reps!D49</f>
        <v>Strategic</v>
      </c>
      <c r="D184" s="56" t="str">
        <f>Dim_Reps!E49</f>
        <v>LATAM</v>
      </c>
      <c r="E184" s="56" t="str">
        <f>Dim_Reps!H49</f>
        <v>Active</v>
      </c>
      <c r="F184" s="55">
        <f>SUMIFS(Fact_Quota!$D:$D,Fact_Quota!$A:$A,$A184,Fact_Quota!$B:$B,"&gt;="&amp;$B$129,Fact_Quota!$B:$B,"&lt;="&amp;$B$130)</f>
        <v>145000</v>
      </c>
      <c r="G184" s="55">
        <f>SUMIFS(Fact_Pipeline!$K:$K,Fact_Pipeline!$B:$B,$A184,Fact_Pipeline!$J:$J,"Won",Fact_Pipeline!$I:$I,"&gt;="&amp;$B$129,Fact_Pipeline!$I:$I,"&lt;="&amp;$B$131)</f>
        <v>0</v>
      </c>
      <c r="H184" s="55">
        <f t="shared" si="5"/>
        <v>145000</v>
      </c>
      <c r="I184" s="55">
        <f>SUMIFS(Fact_Pipeline!$K:$K,Fact_Pipeline!$B:$B,$A184,Fact_Pipeline!$J:$J,"Open")</f>
        <v>520000</v>
      </c>
      <c r="J184" s="95">
        <f t="shared" si="6"/>
        <v>3.5862068965517242</v>
      </c>
      <c r="K184" s="56">
        <f>COUNTIFS(Fact_Pipeline!$B:$B,$A184,Fact_Pipeline!$J:$J,"Won",Fact_Pipeline!$I:$I,"&gt;="&amp;EDATE($B$131,-11),Fact_Pipeline!$I:$I,"&lt;="&amp;$B$131)</f>
        <v>10</v>
      </c>
      <c r="L184" s="56">
        <f>COUNTIFS(Fact_Pipeline!$B:$B,$A184,Fact_Pipeline!$J:$J,"Lost",Fact_Pipeline!$I:$I,"&gt;="&amp;EDATE($B$131,-11),Fact_Pipeline!$I:$I,"&lt;="&amp;$B$131)</f>
        <v>15</v>
      </c>
      <c r="M184" s="69">
        <f t="shared" si="7"/>
        <v>0.4</v>
      </c>
      <c r="N184" s="69">
        <f t="shared" si="8"/>
        <v>0.27884615384615385</v>
      </c>
      <c r="O184" s="56" t="str">
        <f>IF(H184&lt;=0,"Goal Achieved",IF(N184&gt;M184,"At Risk – Below Pace",IF(J184&lt;G5,"Watch – Under Target Coverage","On Track")))</f>
        <v>On Track</v>
      </c>
      <c r="P184" s="56">
        <f t="shared" si="9"/>
        <v>-3.5862068965517242</v>
      </c>
    </row>
    <row r="185" spans="1:16" outlineLevel="1" x14ac:dyDescent="0.2">
      <c r="A185" s="59" t="str">
        <f>Dim_Reps!A50</f>
        <v>R035</v>
      </c>
      <c r="B185" s="59" t="str">
        <f>Dim_Reps!B50</f>
        <v>Fatima Rossi</v>
      </c>
      <c r="C185" s="59" t="str">
        <f>Dim_Reps!D50</f>
        <v>Strategic</v>
      </c>
      <c r="D185" s="59" t="str">
        <f>Dim_Reps!E50</f>
        <v>NAMER</v>
      </c>
      <c r="E185" s="59" t="str">
        <f>Dim_Reps!H50</f>
        <v>Active</v>
      </c>
      <c r="F185" s="58">
        <f>SUMIFS(Fact_Quota!$D:$D,Fact_Quota!$A:$A,$A185,Fact_Quota!$B:$B,"&gt;="&amp;$B$129,Fact_Quota!$B:$B,"&lt;="&amp;$B$130)</f>
        <v>145900</v>
      </c>
      <c r="G185" s="58">
        <f>SUMIFS(Fact_Pipeline!$K:$K,Fact_Pipeline!$B:$B,$A185,Fact_Pipeline!$J:$J,"Won",Fact_Pipeline!$I:$I,"&gt;="&amp;$B$129,Fact_Pipeline!$I:$I,"&lt;="&amp;$B$131)</f>
        <v>289100</v>
      </c>
      <c r="H185" s="58">
        <f t="shared" si="5"/>
        <v>0</v>
      </c>
      <c r="I185" s="58">
        <f>SUMIFS(Fact_Pipeline!$K:$K,Fact_Pipeline!$B:$B,$A185,Fact_Pipeline!$J:$J,"Open")</f>
        <v>678200</v>
      </c>
      <c r="J185" s="96" t="str">
        <f t="shared" si="6"/>
        <v/>
      </c>
      <c r="K185" s="59">
        <f>COUNTIFS(Fact_Pipeline!$B:$B,$A185,Fact_Pipeline!$J:$J,"Won",Fact_Pipeline!$I:$I,"&gt;="&amp;EDATE($B$131,-11),Fact_Pipeline!$I:$I,"&lt;="&amp;$B$131)</f>
        <v>7</v>
      </c>
      <c r="L185" s="59">
        <f>COUNTIFS(Fact_Pipeline!$B:$B,$A185,Fact_Pipeline!$J:$J,"Lost",Fact_Pipeline!$I:$I,"&gt;="&amp;EDATE($B$131,-11),Fact_Pipeline!$I:$I,"&lt;="&amp;$B$131)</f>
        <v>14</v>
      </c>
      <c r="M185" s="71">
        <f t="shared" si="7"/>
        <v>0.33333333333333331</v>
      </c>
      <c r="N185" s="71" t="str">
        <f t="shared" si="8"/>
        <v/>
      </c>
      <c r="O185" s="59" t="str">
        <f>IF(H185&lt;=0,"Goal Achieved",IF(N185&gt;M185,"At Risk – Below Pace",IF(J185&lt;G5,"Watch – Under Target Coverage","On Track")))</f>
        <v>Goal Achieved</v>
      </c>
      <c r="P185" s="59">
        <f t="shared" si="9"/>
        <v>-999.00001850000001</v>
      </c>
    </row>
    <row r="186" spans="1:16" outlineLevel="1" x14ac:dyDescent="0.2">
      <c r="A186" s="56" t="str">
        <f>Dim_Reps!A51</f>
        <v>R044</v>
      </c>
      <c r="B186" s="56" t="str">
        <f>Dim_Reps!B51</f>
        <v>Taylor Adler</v>
      </c>
      <c r="C186" s="56" t="str">
        <f>Dim_Reps!D51</f>
        <v>Strategic</v>
      </c>
      <c r="D186" s="56" t="str">
        <f>Dim_Reps!E51</f>
        <v>NAMER</v>
      </c>
      <c r="E186" s="56" t="str">
        <f>Dim_Reps!H51</f>
        <v>Departed</v>
      </c>
      <c r="F186" s="55">
        <f>SUMIFS(Fact_Quota!$D:$D,Fact_Quota!$A:$A,$A186,Fact_Quota!$B:$B,"&gt;="&amp;$B$129,Fact_Quota!$B:$B,"&lt;="&amp;$B$130)</f>
        <v>141500</v>
      </c>
      <c r="G186" s="55">
        <f>SUMIFS(Fact_Pipeline!$K:$K,Fact_Pipeline!$B:$B,$A186,Fact_Pipeline!$J:$J,"Won",Fact_Pipeline!$I:$I,"&gt;="&amp;$B$129,Fact_Pipeline!$I:$I,"&lt;="&amp;$B$131)</f>
        <v>35300</v>
      </c>
      <c r="H186" s="55">
        <f t="shared" si="5"/>
        <v>106200</v>
      </c>
      <c r="I186" s="55">
        <f>SUMIFS(Fact_Pipeline!$K:$K,Fact_Pipeline!$B:$B,$A186,Fact_Pipeline!$J:$J,"Open")</f>
        <v>32600</v>
      </c>
      <c r="J186" s="95">
        <f t="shared" si="6"/>
        <v>0.30696798493408661</v>
      </c>
      <c r="K186" s="56">
        <f>COUNTIFS(Fact_Pipeline!$B:$B,$A186,Fact_Pipeline!$J:$J,"Won",Fact_Pipeline!$I:$I,"&gt;="&amp;EDATE($B$131,-11),Fact_Pipeline!$I:$I,"&lt;="&amp;$B$131)</f>
        <v>7</v>
      </c>
      <c r="L186" s="56">
        <f>COUNTIFS(Fact_Pipeline!$B:$B,$A186,Fact_Pipeline!$J:$J,"Lost",Fact_Pipeline!$I:$I,"&gt;="&amp;EDATE($B$131,-11),Fact_Pipeline!$I:$I,"&lt;="&amp;$B$131)</f>
        <v>19</v>
      </c>
      <c r="M186" s="69">
        <f t="shared" si="7"/>
        <v>0.26923076923076922</v>
      </c>
      <c r="N186" s="69">
        <f t="shared" si="8"/>
        <v>3.2576687116564416</v>
      </c>
      <c r="O186" s="56" t="str">
        <f>IF(H186&lt;=0,"Goal Achieved",IF(N186&gt;M186,"At Risk – Below Pace",IF(J186&lt;G5,"Watch – Under Target Coverage","On Track")))</f>
        <v>At Risk – Below Pace</v>
      </c>
      <c r="P186" s="56" t="str">
        <f t="shared" si="9"/>
        <v/>
      </c>
    </row>
  </sheetData>
  <autoFilter ref="B64:K114" xr:uid="{FED0E064-2F3C-9048-9988-F23A60AAAEDC}"/>
  <mergeCells count="39">
    <mergeCell ref="A1:N1"/>
    <mergeCell ref="A2:N2"/>
    <mergeCell ref="A5:C5"/>
    <mergeCell ref="D5:F5"/>
    <mergeCell ref="I5:J5"/>
    <mergeCell ref="A7:N7"/>
    <mergeCell ref="A9:C9"/>
    <mergeCell ref="D9:F9"/>
    <mergeCell ref="G9:I9"/>
    <mergeCell ref="J9:L9"/>
    <mergeCell ref="A10:C10"/>
    <mergeCell ref="D10:F10"/>
    <mergeCell ref="G10:I10"/>
    <mergeCell ref="J10:L10"/>
    <mergeCell ref="A11:C11"/>
    <mergeCell ref="D11:F11"/>
    <mergeCell ref="G11:I11"/>
    <mergeCell ref="J11:L11"/>
    <mergeCell ref="A13:C13"/>
    <mergeCell ref="D13:F13"/>
    <mergeCell ref="G13:I13"/>
    <mergeCell ref="J13:L13"/>
    <mergeCell ref="A14:C14"/>
    <mergeCell ref="D14:F14"/>
    <mergeCell ref="G14:I14"/>
    <mergeCell ref="J14:L14"/>
    <mergeCell ref="A127:P127"/>
    <mergeCell ref="B61:L62"/>
    <mergeCell ref="A41:N41"/>
    <mergeCell ref="A15:C15"/>
    <mergeCell ref="D15:F15"/>
    <mergeCell ref="G15:I15"/>
    <mergeCell ref="J15:L15"/>
    <mergeCell ref="A18:N18"/>
    <mergeCell ref="A4:C4"/>
    <mergeCell ref="D4:F4"/>
    <mergeCell ref="G4:H4"/>
    <mergeCell ref="I4:J4"/>
    <mergeCell ref="G5:H5"/>
  </mergeCells>
  <conditionalFormatting sqref="D65:J114">
    <cfRule type="expression" dxfId="11" priority="10">
      <formula>$K65="At Risk – Below Pace"</formula>
    </cfRule>
    <cfRule type="expression" dxfId="10" priority="11">
      <formula>$K65="Watch – Under Target Coverage"</formula>
    </cfRule>
  </conditionalFormatting>
  <conditionalFormatting sqref="K65:K114">
    <cfRule type="expression" dxfId="9" priority="1">
      <formula>K65="At Risk – Below Pace"</formula>
    </cfRule>
    <cfRule type="expression" dxfId="8" priority="2">
      <formula>K65="Watch – Under Target Coverage"</formula>
    </cfRule>
    <cfRule type="expression" dxfId="7" priority="3">
      <formula>K65="On Track"</formula>
    </cfRule>
    <cfRule type="expression" dxfId="6" priority="4">
      <formula>K65="Goal Achieved"</formula>
    </cfRule>
  </conditionalFormatting>
  <dataValidations count="1">
    <dataValidation type="list" sqref="D5" xr:uid="{00000000-0002-0000-0200-000001000000}">
      <formula1>"Rest of Quarter,Rest of Year"</formula1>
      <formula2>0</formula2>
    </dataValidation>
  </dataValidations>
  <pageMargins left="0.4" right="0.4" top="0.5" bottom="0.5" header="0.511811023622047" footer="0.511811023622047"/>
  <pageSetup fitToHeight="4" orientation="landscape" horizontalDpi="300" verticalDpi="300"/>
  <drawing r:id="rId1"/>
  <extLst>
    <ext xmlns:x14="http://schemas.microsoft.com/office/spreadsheetml/2009/9/main" uri="{CCE6A557-97BC-4b89-ADB6-D9C93CAAB3DF}">
      <x14:dataValidations xmlns:xm="http://schemas.microsoft.com/office/excel/2006/main" count="1">
        <x14:dataValidation type="list" xr:uid="{66FD5765-2921-E748-A6EA-89172CBF837E}">
          <x14:formula1>
            <xm:f>Monthly_Summary!$A$2:$A$25</xm:f>
          </x14:formula1>
          <x14:formula2>
            <xm:f>0</xm:f>
          </x14:formula2>
          <xm:sqref>A5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1859C"/>
    <pageSetUpPr fitToPage="1"/>
  </sheetPr>
  <dimension ref="A1:P225"/>
  <sheetViews>
    <sheetView showGridLines="0" zoomScale="80" zoomScaleNormal="80" workbookViewId="0">
      <selection activeCell="H98" activeCellId="1" sqref="A98 H98"/>
    </sheetView>
  </sheetViews>
  <sheetFormatPr baseColWidth="10" defaultColWidth="10.6640625" defaultRowHeight="15" outlineLevelRow="1" x14ac:dyDescent="0.2"/>
  <cols>
    <col min="1" max="1" width="21" customWidth="1"/>
    <col min="2" max="14" width="13" customWidth="1"/>
  </cols>
  <sheetData>
    <row r="1" spans="1:14" s="54" customFormat="1" ht="33.75" customHeight="1" x14ac:dyDescent="0.2">
      <c r="A1" s="172" t="s">
        <v>7289</v>
      </c>
      <c r="B1" s="172"/>
      <c r="C1" s="172"/>
      <c r="D1" s="172"/>
      <c r="E1" s="172"/>
      <c r="F1" s="172"/>
      <c r="G1" s="172"/>
      <c r="H1" s="172"/>
      <c r="I1" s="172"/>
      <c r="J1" s="172"/>
      <c r="K1" s="172"/>
      <c r="L1" s="172"/>
      <c r="M1" s="172"/>
      <c r="N1" s="172"/>
    </row>
    <row r="2" spans="1:14" s="102" customFormat="1" ht="19.5" customHeight="1" x14ac:dyDescent="0.2">
      <c r="A2" s="143" t="str">
        <f>"Performance window: "&amp;D5&amp;"   |   Reporting month: "&amp;TEXT(A5,"mmm yyyy")&amp;"   |   Prepared September 1, 2026"</f>
        <v>Performance window: Trailing 12 Months   |   Reporting month: Aug 2025   |   Prepared September 1, 2026</v>
      </c>
      <c r="B2" s="143"/>
      <c r="C2" s="143"/>
      <c r="D2" s="143"/>
      <c r="E2" s="143"/>
      <c r="F2" s="143"/>
      <c r="G2" s="143"/>
      <c r="H2" s="143"/>
      <c r="I2" s="143"/>
      <c r="J2" s="143"/>
      <c r="K2" s="143"/>
      <c r="L2" s="143"/>
      <c r="M2" s="143"/>
      <c r="N2" s="143"/>
    </row>
    <row r="4" spans="1:14" ht="13.5" customHeight="1" x14ac:dyDescent="0.2">
      <c r="A4" s="130" t="s">
        <v>7284</v>
      </c>
      <c r="B4" s="130"/>
      <c r="C4" s="130"/>
      <c r="D4" s="130" t="s">
        <v>7280</v>
      </c>
      <c r="E4" s="130"/>
      <c r="F4" s="130"/>
      <c r="G4" s="130" t="s">
        <v>0</v>
      </c>
      <c r="H4" s="130"/>
      <c r="I4" s="130" t="s">
        <v>1</v>
      </c>
      <c r="J4" s="130"/>
      <c r="K4" s="130" t="s">
        <v>2</v>
      </c>
      <c r="L4" s="130"/>
    </row>
    <row r="5" spans="1:14" ht="19.5" customHeight="1" x14ac:dyDescent="0.2">
      <c r="A5" s="173">
        <v>45870</v>
      </c>
      <c r="B5" s="173"/>
      <c r="C5" s="173"/>
      <c r="D5" s="174" t="s">
        <v>3</v>
      </c>
      <c r="E5" s="174"/>
      <c r="F5" s="174"/>
      <c r="G5" s="159">
        <v>0.8</v>
      </c>
      <c r="H5" s="159"/>
      <c r="I5" s="160">
        <v>90</v>
      </c>
      <c r="J5" s="160"/>
      <c r="K5" s="175" t="str">
        <f>TEXT(MAX(Fact_Quota!$B:$B),"mmm yyyy")</f>
        <v>Dec 2025</v>
      </c>
      <c r="L5" s="175"/>
    </row>
    <row r="7" spans="1:14" s="108" customFormat="1" ht="31" customHeight="1" x14ac:dyDescent="0.3">
      <c r="A7" s="132" t="str">
        <f>"COMPANY PERFORMANCE  for: " &amp;D5&amp;""</f>
        <v>COMPANY PERFORMANCE  for: Trailing 12 Months</v>
      </c>
      <c r="B7" s="132"/>
      <c r="C7" s="132"/>
      <c r="D7" s="132"/>
      <c r="E7" s="132"/>
      <c r="F7" s="132"/>
      <c r="G7" s="132"/>
      <c r="H7" s="132"/>
      <c r="I7" s="132"/>
      <c r="J7" s="132"/>
      <c r="K7" s="132"/>
      <c r="L7" s="132"/>
      <c r="M7" s="132"/>
      <c r="N7" s="132"/>
    </row>
    <row r="9" spans="1:14" s="107" customFormat="1" ht="21" customHeight="1" x14ac:dyDescent="0.25">
      <c r="A9" s="133" t="s">
        <v>4</v>
      </c>
      <c r="B9" s="133"/>
      <c r="C9" s="133"/>
      <c r="D9" s="133" t="s">
        <v>5</v>
      </c>
      <c r="E9" s="133"/>
      <c r="F9" s="133"/>
      <c r="G9" s="133" t="s">
        <v>6</v>
      </c>
      <c r="H9" s="133"/>
      <c r="I9" s="133"/>
      <c r="J9" s="133" t="s">
        <v>7</v>
      </c>
      <c r="K9" s="133"/>
      <c r="L9" s="133"/>
      <c r="M9"/>
      <c r="N9"/>
    </row>
    <row r="10" spans="1:14" ht="30" customHeight="1" x14ac:dyDescent="0.2">
      <c r="A10" s="165">
        <f>SUM($G$149:$G$198)</f>
        <v>10862900</v>
      </c>
      <c r="B10" s="165"/>
      <c r="C10" s="165"/>
      <c r="D10" s="165">
        <f>SUM($F$149:$F$198)</f>
        <v>10561500</v>
      </c>
      <c r="E10" s="165"/>
      <c r="F10" s="165"/>
      <c r="G10" s="170">
        <f>IFERROR(A10/D10,"")</f>
        <v>1.0285376130284525</v>
      </c>
      <c r="H10" s="170"/>
      <c r="I10" s="170"/>
      <c r="J10" s="165">
        <f>SUM($I$149:$I$198)</f>
        <v>36912200</v>
      </c>
      <c r="K10" s="165"/>
      <c r="L10" s="165"/>
    </row>
    <row r="11" spans="1:14" s="105" customFormat="1" ht="12.75" customHeight="1" x14ac:dyDescent="0.2">
      <c r="A11" s="135" t="s">
        <v>8</v>
      </c>
      <c r="B11" s="135"/>
      <c r="C11" s="135"/>
      <c r="D11" s="135" t="s">
        <v>9</v>
      </c>
      <c r="E11" s="135"/>
      <c r="F11" s="135"/>
      <c r="G11" s="135" t="s">
        <v>10</v>
      </c>
      <c r="H11" s="135"/>
      <c r="I11" s="135"/>
      <c r="J11" s="135" t="s">
        <v>11</v>
      </c>
      <c r="K11" s="135"/>
      <c r="L11" s="135"/>
      <c r="M11"/>
      <c r="N11"/>
    </row>
    <row r="13" spans="1:14" s="107" customFormat="1" ht="21" customHeight="1" x14ac:dyDescent="0.25">
      <c r="A13" s="133" t="s">
        <v>12</v>
      </c>
      <c r="B13" s="133"/>
      <c r="C13" s="133"/>
      <c r="D13" s="133" t="s">
        <v>13</v>
      </c>
      <c r="E13" s="133"/>
      <c r="F13" s="133"/>
      <c r="G13" s="133" t="s">
        <v>14</v>
      </c>
      <c r="H13" s="133"/>
      <c r="I13" s="133"/>
      <c r="J13" s="133" t="s">
        <v>15</v>
      </c>
      <c r="K13" s="133"/>
      <c r="L13" s="133"/>
      <c r="M13"/>
      <c r="N13"/>
    </row>
    <row r="14" spans="1:14" ht="30" customHeight="1" x14ac:dyDescent="0.2">
      <c r="A14" s="170">
        <f>IFERROR(COUNTIFS(Fact_Pipeline!$J:$J,"Won",Fact_Pipeline!$I:$I,"&gt;="&amp;$B$145,Fact_Pipeline!$I:$I,"&lt;="&amp;$B$146)/(COUNTIFS(Fact_Pipeline!$J:$J,"Won",Fact_Pipeline!$I:$I,"&gt;="&amp;$B$145,Fact_Pipeline!$I:$I,"&lt;="&amp;$B$146)+COUNTIFS(Fact_Pipeline!$J:$J,"Lost",Fact_Pipeline!$I:$I,"&gt;="&amp;$B$145,Fact_Pipeline!$I:$I,"&lt;="&amp;$B$146)),"")</f>
        <v>0.34735023041474655</v>
      </c>
      <c r="B14" s="170"/>
      <c r="C14" s="170"/>
      <c r="D14" s="171">
        <f>IFERROR(AVERAGEIFS(Fact_Pipeline!$U:$U,Fact_Pipeline!$J:$J,"Won",Fact_Pipeline!$I:$I,"&gt;="&amp;$B$145,Fact_Pipeline!$I:$I,"&lt;="&amp;$B$146),"")</f>
        <v>24.477611940298509</v>
      </c>
      <c r="E14" s="171"/>
      <c r="F14" s="171"/>
      <c r="G14" s="165">
        <f>SUMIFS(Fact_Pipeline!$K:$K,Fact_Pipeline!$J:$J,"Open")</f>
        <v>7275100</v>
      </c>
      <c r="H14" s="165"/>
      <c r="I14" s="165"/>
      <c r="J14" s="164">
        <f>COUNTIFS(Dim_Reps!$H:$H,"Active")</f>
        <v>42</v>
      </c>
      <c r="K14" s="164"/>
      <c r="L14" s="164"/>
    </row>
    <row r="15" spans="1:14" s="105" customFormat="1" ht="12.75" customHeight="1" x14ac:dyDescent="0.2">
      <c r="A15" s="135" t="s">
        <v>16</v>
      </c>
      <c r="B15" s="135"/>
      <c r="C15" s="135"/>
      <c r="D15" s="135" t="s">
        <v>17</v>
      </c>
      <c r="E15" s="135"/>
      <c r="F15" s="135"/>
      <c r="G15" s="135" t="s">
        <v>18</v>
      </c>
      <c r="H15" s="135"/>
      <c r="I15" s="135"/>
      <c r="J15" s="135" t="s">
        <v>19</v>
      </c>
      <c r="K15" s="135"/>
      <c r="L15" s="135"/>
      <c r="M15"/>
      <c r="N15"/>
    </row>
    <row r="18" spans="1:14" s="119" customFormat="1" ht="31" customHeight="1" x14ac:dyDescent="0.3">
      <c r="A18" s="167" t="s">
        <v>7290</v>
      </c>
      <c r="B18" s="167"/>
      <c r="C18" s="167"/>
      <c r="D18" s="167"/>
      <c r="E18" s="167"/>
      <c r="F18" s="167"/>
      <c r="G18" s="167"/>
      <c r="H18" s="167"/>
      <c r="I18" s="167"/>
      <c r="J18" s="167"/>
      <c r="K18" s="167"/>
      <c r="L18" s="167"/>
      <c r="M18" s="167"/>
      <c r="N18" s="167"/>
    </row>
    <row r="20" spans="1:14" s="107" customFormat="1" ht="28" customHeight="1" x14ac:dyDescent="0.25">
      <c r="A20" s="133" t="s">
        <v>65</v>
      </c>
      <c r="B20" s="133"/>
      <c r="C20" s="133"/>
      <c r="D20" s="133" t="s">
        <v>66</v>
      </c>
      <c r="E20" s="133"/>
      <c r="F20" s="133"/>
      <c r="G20" s="133" t="s">
        <v>67</v>
      </c>
      <c r="H20" s="133"/>
      <c r="I20" s="133"/>
      <c r="J20" s="133" t="s">
        <v>68</v>
      </c>
      <c r="K20" s="133"/>
      <c r="L20" s="133"/>
      <c r="M20" s="161" t="str">
        <f>"Team and region tables above are color-coded against the attainment target ("&amp;TEXT(G5,"0%")&amp;"): green = at or above target, red = below. See the Watch List for specific reps needing attention."</f>
        <v>Team and region tables above are color-coded against the attainment target (80%): green = at or above target, red = below. See the Watch List for specific reps needing attention.</v>
      </c>
      <c r="N20" s="162"/>
    </row>
    <row r="21" spans="1:14" ht="30" customHeight="1" x14ac:dyDescent="0.2">
      <c r="A21" s="164">
        <f>COUNTIFS($H$149:$H$198,"&lt;"&amp;G5,$E$149:$E$198,"Active")</f>
        <v>12</v>
      </c>
      <c r="B21" s="164"/>
      <c r="C21" s="164"/>
      <c r="D21" s="164">
        <f>COUNTIFS(Fact_Pipeline!$J:$J,"Open",Fact_Pipeline!$D:$D,"&lt;="&amp;($B$146-I5))</f>
        <v>0</v>
      </c>
      <c r="E21" s="164"/>
      <c r="F21" s="164"/>
      <c r="G21" s="165">
        <f>SUMIFS(Fact_Pipeline!$K:$K,Fact_Pipeline!$J:$J,"Open",Fact_Pipeline!$D:$D,"&lt;="&amp;($B$146-I5))</f>
        <v>0</v>
      </c>
      <c r="H21" s="165"/>
      <c r="I21" s="165"/>
      <c r="J21" s="166">
        <f>IFERROR(_xlfn.MAXIFS(Fact_Pipeline!$K:$K,Fact_Pipeline!$J:$J,"Open",Fact_Pipeline!$D:$D,"&lt;="&amp;($B$146-I5)),0)</f>
        <v>0</v>
      </c>
      <c r="K21" s="166"/>
      <c r="L21" s="166"/>
      <c r="M21" s="161"/>
      <c r="N21" s="162"/>
    </row>
    <row r="22" spans="1:14" s="105" customFormat="1" ht="12.75" customHeight="1" x14ac:dyDescent="0.2">
      <c r="A22" s="135" t="s">
        <v>69</v>
      </c>
      <c r="B22" s="135"/>
      <c r="C22" s="135"/>
      <c r="D22" s="135" t="s">
        <v>70</v>
      </c>
      <c r="E22" s="135"/>
      <c r="F22" s="135"/>
      <c r="G22" s="135" t="s">
        <v>71</v>
      </c>
      <c r="H22" s="135"/>
      <c r="I22" s="135"/>
      <c r="J22" s="135" t="s">
        <v>72</v>
      </c>
      <c r="K22" s="135"/>
      <c r="L22" s="135"/>
      <c r="M22" s="161"/>
      <c r="N22" s="162"/>
    </row>
    <row r="24" spans="1:14" ht="15" customHeight="1" x14ac:dyDescent="0.2">
      <c r="A24" s="163" t="s">
        <v>73</v>
      </c>
      <c r="B24" s="163"/>
      <c r="C24" s="163"/>
      <c r="D24" s="163"/>
      <c r="E24" s="163"/>
      <c r="F24" s="163"/>
      <c r="G24" s="163"/>
      <c r="H24" s="163"/>
      <c r="I24" s="163"/>
    </row>
    <row r="25" spans="1:14" x14ac:dyDescent="0.2">
      <c r="A25" s="163"/>
      <c r="B25" s="163"/>
      <c r="C25" s="163"/>
      <c r="D25" s="163"/>
      <c r="E25" s="163"/>
      <c r="F25" s="163"/>
      <c r="G25" s="163"/>
      <c r="H25" s="163"/>
      <c r="I25" s="163"/>
    </row>
    <row r="26" spans="1:14" x14ac:dyDescent="0.2">
      <c r="A26" s="116"/>
      <c r="B26" s="116"/>
      <c r="C26" s="116"/>
      <c r="D26" s="116"/>
      <c r="E26" s="116"/>
      <c r="F26" s="116"/>
      <c r="G26" s="116"/>
      <c r="H26" s="116"/>
      <c r="I26" s="116"/>
    </row>
    <row r="27" spans="1:14" x14ac:dyDescent="0.2">
      <c r="A27" s="116"/>
      <c r="B27" s="116"/>
      <c r="C27" s="116"/>
      <c r="D27" s="116"/>
      <c r="E27" s="116"/>
      <c r="F27" s="116"/>
      <c r="G27" s="116"/>
      <c r="H27" s="116"/>
      <c r="I27" s="116"/>
      <c r="J27" s="115"/>
      <c r="K27" s="115"/>
      <c r="L27" s="115"/>
      <c r="M27" s="115"/>
      <c r="N27" s="115"/>
    </row>
    <row r="28" spans="1:14" s="108" customFormat="1" ht="31" customHeight="1" x14ac:dyDescent="0.3">
      <c r="A28" s="132" t="str">
        <f>"PERFORMANCE TREND for: " &amp;D5&amp;""</f>
        <v>PERFORMANCE TREND for: Trailing 12 Months</v>
      </c>
      <c r="B28" s="132"/>
      <c r="C28" s="132"/>
      <c r="D28" s="132"/>
      <c r="E28" s="132"/>
      <c r="F28" s="132"/>
      <c r="G28" s="132"/>
      <c r="H28" s="132"/>
      <c r="I28" s="132"/>
      <c r="J28" s="132"/>
      <c r="K28" s="132"/>
      <c r="L28" s="132"/>
      <c r="M28" s="132"/>
      <c r="N28" s="132"/>
    </row>
    <row r="68" spans="1:14" s="108" customFormat="1" ht="31" customHeight="1" x14ac:dyDescent="0.3">
      <c r="A68" s="132" t="str">
        <f>"TEAM &amp; REGION PERFORMANCE  for: " &amp;D5&amp;""</f>
        <v>TEAM &amp; REGION PERFORMANCE  for: Trailing 12 Months</v>
      </c>
      <c r="B68" s="132"/>
      <c r="C68" s="132"/>
      <c r="D68" s="132"/>
      <c r="E68" s="132"/>
      <c r="F68" s="132"/>
      <c r="G68" s="132"/>
      <c r="H68" s="132"/>
      <c r="I68" s="132"/>
      <c r="J68" s="132"/>
      <c r="K68" s="132"/>
      <c r="L68" s="132"/>
      <c r="M68" s="132"/>
      <c r="N68" s="132"/>
    </row>
    <row r="88" spans="1:14" ht="18" customHeight="1" x14ac:dyDescent="0.2">
      <c r="A88" s="118" t="s">
        <v>20</v>
      </c>
      <c r="B88" s="1" t="s">
        <v>21</v>
      </c>
      <c r="C88" s="1" t="s">
        <v>22</v>
      </c>
      <c r="D88" s="1" t="s">
        <v>23</v>
      </c>
      <c r="E88" s="1" t="s">
        <v>24</v>
      </c>
      <c r="F88" s="1" t="s">
        <v>25</v>
      </c>
      <c r="H88" s="118" t="s">
        <v>30</v>
      </c>
      <c r="I88" s="1" t="s">
        <v>21</v>
      </c>
      <c r="J88" s="1" t="s">
        <v>22</v>
      </c>
      <c r="K88" s="1" t="s">
        <v>23</v>
      </c>
      <c r="L88" s="1" t="s">
        <v>24</v>
      </c>
      <c r="M88" s="1" t="s">
        <v>25</v>
      </c>
    </row>
    <row r="89" spans="1:14" ht="15" customHeight="1" x14ac:dyDescent="0.2">
      <c r="A89" s="2" t="s">
        <v>26</v>
      </c>
      <c r="B89" s="3">
        <f>COUNTIFS(Dim_Reps!$D:$D,A89,Dim_Reps!$H:$H,"Active")</f>
        <v>21</v>
      </c>
      <c r="C89" s="4">
        <f>SUMIF($C$149:$C$198,A89,$F$149:$F$198)</f>
        <v>3745100</v>
      </c>
      <c r="D89" s="4">
        <f>SUMIF($C$149:$C$198,A89,$G$149:$G$198)</f>
        <v>3630000</v>
      </c>
      <c r="E89" s="5">
        <f>IFERROR(D89/C89,"")</f>
        <v>0.96926650823743021</v>
      </c>
      <c r="F89" s="4">
        <f>SUMIF($C$149:$C$198,A89,$I$149:$I$198)</f>
        <v>9558000</v>
      </c>
      <c r="H89" s="2" t="s">
        <v>31</v>
      </c>
      <c r="I89" s="3">
        <f>COUNTIFS(Dim_Reps!$E:$E,H89,Dim_Reps!$H:$H,"Active")</f>
        <v>12</v>
      </c>
      <c r="J89" s="4">
        <f>SUMIF($D$149:$D$198,H89,$F$149:$F$198)</f>
        <v>3397000</v>
      </c>
      <c r="K89" s="4">
        <f>SUMIF($D$149:$D$198,H89,$G$149:$G$198)</f>
        <v>3378900</v>
      </c>
      <c r="L89" s="5">
        <f>IFERROR(K89/J89,"")</f>
        <v>0.99467176920812483</v>
      </c>
      <c r="M89" s="4">
        <f>SUMIF($D$149:$D$198,H89,$I$149:$I$198)</f>
        <v>12158300</v>
      </c>
    </row>
    <row r="90" spans="1:14" ht="15" customHeight="1" x14ac:dyDescent="0.2">
      <c r="A90" s="6" t="s">
        <v>27</v>
      </c>
      <c r="B90" s="7">
        <f>COUNTIFS(Dim_Reps!$D:$D,A90,Dim_Reps!$H:$H,"Active")</f>
        <v>13</v>
      </c>
      <c r="C90" s="8">
        <f>SUMIF($C$149:$C$198,A90,$F$149:$F$198)</f>
        <v>2424200</v>
      </c>
      <c r="D90" s="8">
        <f>SUMIF($C$149:$C$198,A90,$G$149:$G$198)</f>
        <v>2656200</v>
      </c>
      <c r="E90" s="9">
        <f>IFERROR(D90/C90,"")</f>
        <v>1.0957016747793087</v>
      </c>
      <c r="F90" s="8">
        <f>SUMIF($C$149:$C$198,A90,$I$149:$I$198)</f>
        <v>8684700</v>
      </c>
      <c r="H90" s="6" t="s">
        <v>32</v>
      </c>
      <c r="I90" s="7">
        <f>COUNTIFS(Dim_Reps!$E:$E,H90,Dim_Reps!$H:$H,"Active")</f>
        <v>10</v>
      </c>
      <c r="J90" s="8">
        <f>SUMIF($D$149:$D$198,H90,$F$149:$F$198)</f>
        <v>2134600</v>
      </c>
      <c r="K90" s="8">
        <f>SUMIF($D$149:$D$198,H90,$G$149:$G$198)</f>
        <v>2317600</v>
      </c>
      <c r="L90" s="9">
        <f>IFERROR(K90/J90,"")</f>
        <v>1.0857303476061089</v>
      </c>
      <c r="M90" s="8">
        <f>SUMIF($D$149:$D$198,H90,$I$149:$I$198)</f>
        <v>7314200</v>
      </c>
    </row>
    <row r="91" spans="1:14" ht="15" customHeight="1" x14ac:dyDescent="0.2">
      <c r="A91" s="2" t="s">
        <v>28</v>
      </c>
      <c r="B91" s="3">
        <f>COUNTIFS(Dim_Reps!$D:$D,A91,Dim_Reps!$H:$H,"Active")</f>
        <v>5</v>
      </c>
      <c r="C91" s="4">
        <f>SUMIF($C$149:$C$198,A91,$F$149:$F$198)</f>
        <v>2027000</v>
      </c>
      <c r="D91" s="4">
        <f>SUMIF($C$149:$C$198,A91,$G$149:$G$198)</f>
        <v>2337100</v>
      </c>
      <c r="E91" s="5">
        <f>IFERROR(D91/C91,"")</f>
        <v>1.1529847064627528</v>
      </c>
      <c r="F91" s="4">
        <f>SUMIF($C$149:$C$198,A91,$I$149:$I$198)</f>
        <v>11389300</v>
      </c>
      <c r="H91" s="2" t="s">
        <v>33</v>
      </c>
      <c r="I91" s="3">
        <f>COUNTIFS(Dim_Reps!$E:$E,H91,Dim_Reps!$H:$H,"Active")</f>
        <v>13</v>
      </c>
      <c r="J91" s="4">
        <f>SUMIF($D$149:$D$198,H91,$F$149:$F$198)</f>
        <v>2696200</v>
      </c>
      <c r="K91" s="4">
        <f>SUMIF($D$149:$D$198,H91,$G$149:$G$198)</f>
        <v>2635600</v>
      </c>
      <c r="L91" s="5">
        <f>IFERROR(K91/J91,"")</f>
        <v>0.97752392255767373</v>
      </c>
      <c r="M91" s="4">
        <f>SUMIF($D$149:$D$198,H91,$I$149:$I$198)</f>
        <v>9112700</v>
      </c>
    </row>
    <row r="92" spans="1:14" ht="15" customHeight="1" x14ac:dyDescent="0.2">
      <c r="A92" s="6" t="s">
        <v>29</v>
      </c>
      <c r="B92" s="7">
        <f>COUNTIFS(Dim_Reps!$D:$D,A92,Dim_Reps!$H:$H,"Active")</f>
        <v>3</v>
      </c>
      <c r="C92" s="8">
        <f>SUMIF($C$149:$C$198,A92,$F$149:$F$198)</f>
        <v>2365200</v>
      </c>
      <c r="D92" s="8">
        <f>SUMIF($C$149:$C$198,A92,$G$149:$G$198)</f>
        <v>2239600</v>
      </c>
      <c r="E92" s="9">
        <f>IFERROR(D92/C92,"")</f>
        <v>0.94689666835785558</v>
      </c>
      <c r="F92" s="8">
        <f>SUMIF($C$149:$C$198,A92,$I$149:$I$198)</f>
        <v>7280200</v>
      </c>
      <c r="H92" s="6" t="s">
        <v>34</v>
      </c>
      <c r="I92" s="7">
        <f>COUNTIFS(Dim_Reps!$E:$E,H92,Dim_Reps!$H:$H,"Active")</f>
        <v>7</v>
      </c>
      <c r="J92" s="8">
        <f>SUMIF($D$149:$D$198,H92,$F$149:$F$198)</f>
        <v>2333700</v>
      </c>
      <c r="K92" s="8">
        <f>SUMIF($D$149:$D$198,H92,$G$149:$G$198)</f>
        <v>2530800</v>
      </c>
      <c r="L92" s="9">
        <f>IFERROR(K92/J92,"")</f>
        <v>1.0844581565753952</v>
      </c>
      <c r="M92" s="8">
        <f>SUMIF($D$149:$D$198,H92,$I$149:$I$198)</f>
        <v>8327000</v>
      </c>
    </row>
    <row r="95" spans="1:14" s="108" customFormat="1" ht="31" customHeight="1" x14ac:dyDescent="0.3">
      <c r="A95" s="132" t="str">
        <f xml:space="preserve"> "ACTIVE REP LEADERBOARD for: " &amp;D5&amp;""</f>
        <v>ACTIVE REP LEADERBOARD for: Trailing 12 Months</v>
      </c>
      <c r="B95" s="132"/>
      <c r="C95" s="132"/>
      <c r="D95" s="132"/>
      <c r="E95" s="132"/>
      <c r="F95" s="132"/>
      <c r="G95" s="132"/>
      <c r="H95" s="132"/>
      <c r="I95" s="132"/>
      <c r="J95" s="132"/>
      <c r="K95" s="132"/>
      <c r="L95" s="132"/>
      <c r="M95" s="132"/>
      <c r="N95" s="132"/>
    </row>
    <row r="97" spans="1:14" ht="15" customHeight="1" x14ac:dyDescent="0.2">
      <c r="A97" s="168" t="s">
        <v>35</v>
      </c>
      <c r="B97" s="168"/>
      <c r="C97" s="168"/>
      <c r="D97" s="168"/>
      <c r="E97" s="168"/>
      <c r="F97" s="168"/>
      <c r="H97" s="169" t="s">
        <v>38</v>
      </c>
      <c r="I97" s="169"/>
      <c r="J97" s="169"/>
      <c r="K97" s="169"/>
      <c r="L97" s="169"/>
      <c r="M97" s="169"/>
    </row>
    <row r="98" spans="1:14" ht="18" customHeight="1" x14ac:dyDescent="0.2">
      <c r="A98" s="129" t="s">
        <v>36</v>
      </c>
      <c r="B98" s="1" t="s">
        <v>37</v>
      </c>
      <c r="C98" s="1" t="s">
        <v>20</v>
      </c>
      <c r="D98" s="1" t="s">
        <v>30</v>
      </c>
      <c r="E98" s="1" t="s">
        <v>24</v>
      </c>
      <c r="F98" s="1" t="s">
        <v>23</v>
      </c>
      <c r="H98" s="129" t="s">
        <v>36</v>
      </c>
      <c r="I98" s="1" t="s">
        <v>37</v>
      </c>
      <c r="J98" s="1" t="s">
        <v>20</v>
      </c>
      <c r="K98" s="1" t="s">
        <v>30</v>
      </c>
      <c r="L98" s="1" t="s">
        <v>24</v>
      </c>
      <c r="M98" s="1" t="s">
        <v>23</v>
      </c>
    </row>
    <row r="99" spans="1:14" ht="15" customHeight="1" x14ac:dyDescent="0.2">
      <c r="A99" s="3">
        <v>1</v>
      </c>
      <c r="B99" s="10" t="str">
        <f>IFERROR(INDEX($B$149:$B$198,MATCH(LARGE($J$149:$J$198,1),$J$149:$J$198,0)),"")</f>
        <v>Erik Duarte</v>
      </c>
      <c r="C99" s="10" t="str">
        <f>IFERROR(INDEX($C$149:$C$198,MATCH(LARGE($J$149:$J$198,1),$J$149:$J$198,0)),"")</f>
        <v>Mid-Market</v>
      </c>
      <c r="D99" s="10" t="str">
        <f>IFERROR(INDEX($D$149:$D$198,MATCH(LARGE($J$149:$J$198,1),$J$149:$J$198,0)),"")</f>
        <v>EMEA</v>
      </c>
      <c r="E99" s="5">
        <f>IFERROR(INDEX($H$149:$H$198,MATCH(LARGE($J$149:$J$198,1),$J$149:$J$198,0)),"")</f>
        <v>1.5079605761940864</v>
      </c>
      <c r="F99" s="4">
        <f>IFERROR(INDEX($G$149:$G$198,MATCH(LARGE($J$149:$J$198,1),$J$149:$J$198,0)),"")</f>
        <v>397800</v>
      </c>
      <c r="H99" s="3">
        <v>1</v>
      </c>
      <c r="I99" s="10" t="str">
        <f>IFERROR(INDEX($B$149:$B$198,MATCH(SMALL($J$149:$J$198,1),$J$149:$J$198,0)),"")</f>
        <v>Karim Rivera</v>
      </c>
      <c r="J99" s="10" t="str">
        <f>IFERROR(INDEX($C$149:$C$198,MATCH(SMALL($J$149:$J$198,1),$J$149:$J$198,0)),"")</f>
        <v>Mid-Market</v>
      </c>
      <c r="K99" s="10" t="str">
        <f>IFERROR(INDEX($D$149:$D$198,MATCH(SMALL($J$149:$J$198,1),$J$149:$J$198,0)),"")</f>
        <v>APAC</v>
      </c>
      <c r="L99" s="5">
        <f>IFERROR(INDEX($H$149:$H$198,MATCH(SMALL($J$149:$J$198,1),$J$149:$J$198,0)),"")</f>
        <v>0</v>
      </c>
      <c r="M99" s="4">
        <f>IFERROR(INDEX($G$149:$G$198,MATCH(SMALL($J$149:$J$198,1),$J$149:$J$198,0)),"")</f>
        <v>0</v>
      </c>
    </row>
    <row r="100" spans="1:14" ht="15" customHeight="1" x14ac:dyDescent="0.2">
      <c r="A100" s="7">
        <v>2</v>
      </c>
      <c r="B100" s="11" t="str">
        <f>IFERROR(INDEX($B$149:$B$198,MATCH(LARGE($J$149:$J$198,2),$J$149:$J$198,0)),"")</f>
        <v>Yuki Dubois</v>
      </c>
      <c r="C100" s="11" t="str">
        <f>IFERROR(INDEX($C$149:$C$198,MATCH(LARGE($J$149:$J$198,2),$J$149:$J$198,0)),"")</f>
        <v>Mid-Market</v>
      </c>
      <c r="D100" s="11" t="str">
        <f>IFERROR(INDEX($D$149:$D$198,MATCH(LARGE($J$149:$J$198,2),$J$149:$J$198,0)),"")</f>
        <v>LATAM</v>
      </c>
      <c r="E100" s="9">
        <f>IFERROR(INDEX($H$149:$H$198,MATCH(LARGE($J$149:$J$198,2),$J$149:$J$198,0)),"")</f>
        <v>1.3646346081029912</v>
      </c>
      <c r="F100" s="8">
        <f>IFERROR(INDEX($G$149:$G$198,MATCH(LARGE($J$149:$J$198,2),$J$149:$J$198,0)),"")</f>
        <v>360400</v>
      </c>
      <c r="H100" s="7">
        <v>2</v>
      </c>
      <c r="I100" s="11" t="str">
        <f>IFERROR(INDEX($B$149:$B$198,MATCH(SMALL($J$149:$J$198,2),$J$149:$J$198,0)),"")</f>
        <v>Erik Kim</v>
      </c>
      <c r="J100" s="11" t="str">
        <f>IFERROR(INDEX($C$149:$C$198,MATCH(SMALL($J$149:$J$198,2),$J$149:$J$198,0)),"")</f>
        <v>Mid-Market</v>
      </c>
      <c r="K100" s="11" t="str">
        <f>IFERROR(INDEX($D$149:$D$198,MATCH(SMALL($J$149:$J$198,2),$J$149:$J$198,0)),"")</f>
        <v>NAMER</v>
      </c>
      <c r="L100" s="9">
        <f>IFERROR(INDEX($H$149:$H$198,MATCH(SMALL($J$149:$J$198,2),$J$149:$J$198,0)),"")</f>
        <v>0</v>
      </c>
      <c r="M100" s="8">
        <f>IFERROR(INDEX($G$149:$G$198,MATCH(SMALL($J$149:$J$198,2),$J$149:$J$198,0)),"")</f>
        <v>0</v>
      </c>
    </row>
    <row r="101" spans="1:14" ht="15" customHeight="1" x14ac:dyDescent="0.2">
      <c r="A101" s="3">
        <v>3</v>
      </c>
      <c r="B101" s="10" t="str">
        <f>IFERROR(INDEX($B$149:$B$198,MATCH(LARGE($J$149:$J$198,3),$J$149:$J$198,0)),"")</f>
        <v>Felix Okafor</v>
      </c>
      <c r="C101" s="10" t="str">
        <f>IFERROR(INDEX($C$149:$C$198,MATCH(LARGE($J$149:$J$198,3),$J$149:$J$198,0)),"")</f>
        <v>Mid-Market</v>
      </c>
      <c r="D101" s="10" t="str">
        <f>IFERROR(INDEX($D$149:$D$198,MATCH(LARGE($J$149:$J$198,3),$J$149:$J$198,0)),"")</f>
        <v>EMEA</v>
      </c>
      <c r="E101" s="5">
        <f>IFERROR(INDEX($H$149:$H$198,MATCH(LARGE($J$149:$J$198,3),$J$149:$J$198,0)),"")</f>
        <v>1.3458618071374335</v>
      </c>
      <c r="F101" s="4">
        <f>IFERROR(INDEX($G$149:$G$198,MATCH(LARGE($J$149:$J$198,3),$J$149:$J$198,0)),"")</f>
        <v>354500</v>
      </c>
      <c r="H101" s="3">
        <v>3</v>
      </c>
      <c r="I101" s="10" t="str">
        <f>IFERROR(INDEX($B$149:$B$198,MATCH(SMALL($J$149:$J$198,3),$J$149:$J$198,0)),"")</f>
        <v>Lucas Cohen</v>
      </c>
      <c r="J101" s="10" t="str">
        <f>IFERROR(INDEX($C$149:$C$198,MATCH(SMALL($J$149:$J$198,3),$J$149:$J$198,0)),"")</f>
        <v>Enterprise</v>
      </c>
      <c r="K101" s="10" t="str">
        <f>IFERROR(INDEX($D$149:$D$198,MATCH(SMALL($J$149:$J$198,3),$J$149:$J$198,0)),"")</f>
        <v>NAMER</v>
      </c>
      <c r="L101" s="5">
        <f>IFERROR(INDEX($H$149:$H$198,MATCH(SMALL($J$149:$J$198,3),$J$149:$J$198,0)),"")</f>
        <v>0.1967799642218247</v>
      </c>
      <c r="M101" s="4">
        <f>IFERROR(INDEX($G$149:$G$198,MATCH(SMALL($J$149:$J$198,3),$J$149:$J$198,0)),"")</f>
        <v>22000</v>
      </c>
    </row>
    <row r="102" spans="1:14" ht="15" customHeight="1" x14ac:dyDescent="0.2">
      <c r="A102" s="7">
        <v>4</v>
      </c>
      <c r="B102" s="11" t="str">
        <f>IFERROR(INDEX($B$149:$B$198,MATCH(LARGE($J$149:$J$198,4),$J$149:$J$198,0)),"")</f>
        <v>Lucas Okafor</v>
      </c>
      <c r="C102" s="11" t="str">
        <f>IFERROR(INDEX($C$149:$C$198,MATCH(LARGE($J$149:$J$198,4),$J$149:$J$198,0)),"")</f>
        <v>Inside Sales</v>
      </c>
      <c r="D102" s="11" t="str">
        <f>IFERROR(INDEX($D$149:$D$198,MATCH(LARGE($J$149:$J$198,4),$J$149:$J$198,0)),"")</f>
        <v>APAC</v>
      </c>
      <c r="E102" s="9">
        <f>IFERROR(INDEX($H$149:$H$198,MATCH(LARGE($J$149:$J$198,4),$J$149:$J$198,0)),"")</f>
        <v>1.2811656772800863</v>
      </c>
      <c r="F102" s="8">
        <f>IFERROR(INDEX($G$149:$G$198,MATCH(LARGE($J$149:$J$198,4),$J$149:$J$198,0)),"")</f>
        <v>237400</v>
      </c>
      <c r="H102" s="7">
        <v>4</v>
      </c>
      <c r="I102" s="11" t="str">
        <f>IFERROR(INDEX($B$149:$B$198,MATCH(SMALL($J$149:$J$198,4),$J$149:$J$198,0)),"")</f>
        <v>Rafael Weber</v>
      </c>
      <c r="J102" s="11" t="str">
        <f>IFERROR(INDEX($C$149:$C$198,MATCH(SMALL($J$149:$J$198,4),$J$149:$J$198,0)),"")</f>
        <v>Mid-Market</v>
      </c>
      <c r="K102" s="11" t="str">
        <f>IFERROR(INDEX($D$149:$D$198,MATCH(SMALL($J$149:$J$198,4),$J$149:$J$198,0)),"")</f>
        <v>APAC</v>
      </c>
      <c r="L102" s="9">
        <f>IFERROR(INDEX($H$149:$H$198,MATCH(SMALL($J$149:$J$198,4),$J$149:$J$198,0)),"")</f>
        <v>0.35578144853875476</v>
      </c>
      <c r="M102" s="8">
        <f>IFERROR(INDEX($G$149:$G$198,MATCH(SMALL($J$149:$J$198,4),$J$149:$J$198,0)),"")</f>
        <v>28000</v>
      </c>
    </row>
    <row r="103" spans="1:14" ht="15" customHeight="1" x14ac:dyDescent="0.2">
      <c r="A103" s="3">
        <v>5</v>
      </c>
      <c r="B103" s="10" t="str">
        <f>IFERROR(INDEX($B$149:$B$198,MATCH(LARGE($J$149:$J$198,5),$J$149:$J$198,0)),"")</f>
        <v>Lucas Duarte</v>
      </c>
      <c r="C103" s="10" t="str">
        <f>IFERROR(INDEX($C$149:$C$198,MATCH(LARGE($J$149:$J$198,5),$J$149:$J$198,0)),"")</f>
        <v>Inside Sales</v>
      </c>
      <c r="D103" s="10" t="str">
        <f>IFERROR(INDEX($D$149:$D$198,MATCH(LARGE($J$149:$J$198,5),$J$149:$J$198,0)),"")</f>
        <v>LATAM</v>
      </c>
      <c r="E103" s="5">
        <f>IFERROR(INDEX($H$149:$H$198,MATCH(LARGE($J$149:$J$198,5),$J$149:$J$198,0)),"")</f>
        <v>1.2717976318622175</v>
      </c>
      <c r="F103" s="4">
        <f>IFERROR(INDEX($G$149:$G$198,MATCH(LARGE($J$149:$J$198,5),$J$149:$J$198,0)),"")</f>
        <v>236300</v>
      </c>
      <c r="H103" s="3">
        <v>5</v>
      </c>
      <c r="I103" s="10" t="str">
        <f>IFERROR(INDEX($B$149:$B$198,MATCH(SMALL($J$149:$J$198,5),$J$149:$J$198,0)),"")</f>
        <v>Sara Duarte</v>
      </c>
      <c r="J103" s="10" t="str">
        <f>IFERROR(INDEX($C$149:$C$198,MATCH(SMALL($J$149:$J$198,5),$J$149:$J$198,0)),"")</f>
        <v>Inside Sales</v>
      </c>
      <c r="K103" s="10" t="str">
        <f>IFERROR(INDEX($D$149:$D$198,MATCH(SMALL($J$149:$J$198,5),$J$149:$J$198,0)),"")</f>
        <v>APAC</v>
      </c>
      <c r="L103" s="5">
        <f>IFERROR(INDEX($H$149:$H$198,MATCH(SMALL($J$149:$J$198,5),$J$149:$J$198,0)),"")</f>
        <v>0.52252252252252251</v>
      </c>
      <c r="M103" s="4">
        <f>IFERROR(INDEX($G$149:$G$198,MATCH(SMALL($J$149:$J$198,5),$J$149:$J$198,0)),"")</f>
        <v>5800</v>
      </c>
    </row>
    <row r="106" spans="1:14" s="108" customFormat="1" ht="31" customHeight="1" x14ac:dyDescent="0.3">
      <c r="A106" s="132" t="str">
        <f>"PIPELINE &amp; FUNNEL HEALTH for:  " &amp;D5&amp;""</f>
        <v>PIPELINE &amp; FUNNEL HEALTH for:  Trailing 12 Months</v>
      </c>
      <c r="B106" s="132"/>
      <c r="C106" s="132"/>
      <c r="D106" s="132"/>
      <c r="E106" s="132"/>
      <c r="F106" s="132"/>
      <c r="G106" s="132"/>
      <c r="H106" s="132"/>
      <c r="I106" s="132"/>
      <c r="J106" s="132"/>
      <c r="K106" s="132"/>
      <c r="L106" s="132"/>
      <c r="M106" s="132"/>
      <c r="N106" s="132"/>
    </row>
    <row r="108" spans="1:14" ht="18" customHeight="1" x14ac:dyDescent="0.2"/>
    <row r="109" spans="1:14" ht="15" customHeight="1" x14ac:dyDescent="0.2"/>
    <row r="110" spans="1:14" ht="15" customHeight="1" x14ac:dyDescent="0.2"/>
    <row r="111" spans="1:14" ht="15" customHeight="1" x14ac:dyDescent="0.2"/>
    <row r="112" spans="1:14" ht="15" customHeight="1" x14ac:dyDescent="0.2"/>
    <row r="113" spans="1:14" ht="15" customHeight="1" x14ac:dyDescent="0.2"/>
    <row r="115" spans="1:14" ht="18" customHeight="1" x14ac:dyDescent="0.2"/>
    <row r="116" spans="1:14" ht="15" customHeight="1" x14ac:dyDescent="0.2"/>
    <row r="117" spans="1:14" ht="15" customHeight="1" x14ac:dyDescent="0.2"/>
    <row r="118" spans="1:14" ht="15" customHeight="1" x14ac:dyDescent="0.2"/>
    <row r="119" spans="1:14" ht="15" customHeight="1" x14ac:dyDescent="0.2"/>
    <row r="120" spans="1:14" ht="15" customHeight="1" x14ac:dyDescent="0.2"/>
    <row r="125" spans="1:14" x14ac:dyDescent="0.2">
      <c r="A125" s="128" t="s">
        <v>39</v>
      </c>
      <c r="B125" s="27" t="s">
        <v>40</v>
      </c>
      <c r="C125" s="27" t="s">
        <v>41</v>
      </c>
      <c r="D125" s="29"/>
      <c r="E125" s="128" t="s">
        <v>48</v>
      </c>
      <c r="F125" s="27" t="s">
        <v>47</v>
      </c>
      <c r="G125" s="27" t="s">
        <v>49</v>
      </c>
      <c r="H125" s="27" t="s">
        <v>50</v>
      </c>
      <c r="I125" s="27" t="s">
        <v>51</v>
      </c>
      <c r="J125" s="29"/>
      <c r="K125" s="128" t="s">
        <v>57</v>
      </c>
      <c r="L125" s="27" t="s">
        <v>40</v>
      </c>
      <c r="M125" s="27" t="s">
        <v>58</v>
      </c>
      <c r="N125" s="27" t="s">
        <v>59</v>
      </c>
    </row>
    <row r="126" spans="1:14" x14ac:dyDescent="0.2">
      <c r="A126" s="2" t="s">
        <v>42</v>
      </c>
      <c r="B126" s="12">
        <f>COUNTIFS(Fact_Pipeline!$D:$D,"&gt;="&amp;$B$145,Fact_Pipeline!$D:$D,"&lt;="&amp;$B$146)</f>
        <v>3560</v>
      </c>
      <c r="C126" s="5">
        <f t="shared" ref="C126:C131" si="0">IFERROR(B126/$B$126,"")</f>
        <v>1</v>
      </c>
      <c r="E126" s="2" t="s">
        <v>52</v>
      </c>
      <c r="F126" s="12">
        <f>COUNTIFS(Fact_Pipeline!$C:$C,E126,Fact_Pipeline!$J:$J,"Won",Fact_Pipeline!$I:$I,"&gt;="&amp;$B$145,Fact_Pipeline!$I:$I,"&lt;="&amp;$B$146)</f>
        <v>487</v>
      </c>
      <c r="G126" s="12">
        <f>COUNTIFS(Fact_Pipeline!$C:$C,E126,Fact_Pipeline!$J:$J,"Lost",Fact_Pipeline!$I:$I,"&gt;="&amp;$B$145,Fact_Pipeline!$I:$I,"&lt;="&amp;$B$146)</f>
        <v>913</v>
      </c>
      <c r="H126" s="5">
        <f>IFERROR(F126/(F126+G126),"")</f>
        <v>0.34785714285714286</v>
      </c>
      <c r="I126" s="4">
        <f>SUMIFS(Fact_Pipeline!$K:$K,Fact_Pipeline!$C:$C,E126,Fact_Pipeline!$J:$J,"Won",Fact_Pipeline!$I:$I,"&gt;="&amp;$B$145,Fact_Pipeline!$I:$I,"&lt;="&amp;$B$146)</f>
        <v>3906200</v>
      </c>
      <c r="K126" s="2" t="s">
        <v>60</v>
      </c>
      <c r="L126" s="12">
        <f>COUNTIFS(Fact_Pipeline!$L:$L,K126,Fact_Pipeline!$I:$I,"&gt;="&amp;$B$145,Fact_Pipeline!$I:$I,"&lt;="&amp;$B$146)</f>
        <v>667</v>
      </c>
      <c r="M126" s="4">
        <f>SUMIFS(Fact_Pipeline!$K:$K,Fact_Pipeline!$L:$L,K126,Fact_Pipeline!$I:$I,"&gt;="&amp;$B$145,Fact_Pipeline!$I:$I,"&lt;="&amp;$B$146)</f>
        <v>6633000</v>
      </c>
      <c r="N126" s="5">
        <f>IFERROR(L126/SUM($L$126:$L$130),"")</f>
        <v>0.29435127978817299</v>
      </c>
    </row>
    <row r="127" spans="1:14" x14ac:dyDescent="0.2">
      <c r="A127" s="6" t="s">
        <v>43</v>
      </c>
      <c r="B127" s="13">
        <f>COUNTIFS(Fact_Pipeline!$D:$D,"&gt;="&amp;$B$145,Fact_Pipeline!$D:$D,"&lt;="&amp;$B$146,Fact_Pipeline!$E:$E,"&lt;&gt;")</f>
        <v>3560</v>
      </c>
      <c r="C127" s="9">
        <f t="shared" si="0"/>
        <v>1</v>
      </c>
      <c r="E127" s="6" t="s">
        <v>53</v>
      </c>
      <c r="F127" s="13">
        <f>COUNTIFS(Fact_Pipeline!$C:$C,E127,Fact_Pipeline!$J:$J,"Won",Fact_Pipeline!$I:$I,"&gt;="&amp;$B$145,Fact_Pipeline!$I:$I,"&lt;="&amp;$B$146)</f>
        <v>302</v>
      </c>
      <c r="G127" s="13">
        <f>COUNTIFS(Fact_Pipeline!$C:$C,E127,Fact_Pipeline!$J:$J,"Lost",Fact_Pipeline!$I:$I,"&gt;="&amp;$B$145,Fact_Pipeline!$I:$I,"&lt;="&amp;$B$146)</f>
        <v>590</v>
      </c>
      <c r="H127" s="9">
        <f>IFERROR(F127/(F127+G127),"")</f>
        <v>0.33856502242152464</v>
      </c>
      <c r="I127" s="8">
        <f>SUMIFS(Fact_Pipeline!$K:$K,Fact_Pipeline!$C:$C,E127,Fact_Pipeline!$J:$J,"Won",Fact_Pipeline!$I:$I,"&gt;="&amp;$B$145,Fact_Pipeline!$I:$I,"&lt;="&amp;$B$146)</f>
        <v>2824300</v>
      </c>
      <c r="K127" s="6" t="s">
        <v>61</v>
      </c>
      <c r="L127" s="13">
        <f>COUNTIFS(Fact_Pipeline!$L:$L,K127,Fact_Pipeline!$I:$I,"&gt;="&amp;$B$145,Fact_Pipeline!$I:$I,"&lt;="&amp;$B$146)</f>
        <v>634</v>
      </c>
      <c r="M127" s="8">
        <f>SUMIFS(Fact_Pipeline!$K:$K,Fact_Pipeline!$L:$L,K127,Fact_Pipeline!$I:$I,"&gt;="&amp;$B$145,Fact_Pipeline!$I:$I,"&lt;="&amp;$B$146)</f>
        <v>7177800</v>
      </c>
      <c r="N127" s="9">
        <f>IFERROR(L127/SUM($L$126:$L$130),"")</f>
        <v>0.27978817299205649</v>
      </c>
    </row>
    <row r="128" spans="1:14" x14ac:dyDescent="0.2">
      <c r="A128" s="2" t="s">
        <v>44</v>
      </c>
      <c r="B128" s="12">
        <f>COUNTIFS(Fact_Pipeline!$D:$D,"&gt;="&amp;$B$145,Fact_Pipeline!$D:$D,"&lt;="&amp;$B$146,Fact_Pipeline!$F:$F,"&lt;&gt;")</f>
        <v>3199</v>
      </c>
      <c r="C128" s="5">
        <f t="shared" si="0"/>
        <v>0.89859550561797752</v>
      </c>
      <c r="E128" s="2" t="s">
        <v>54</v>
      </c>
      <c r="F128" s="12">
        <f>COUNTIFS(Fact_Pipeline!$C:$C,E128,Fact_Pipeline!$J:$J,"Won",Fact_Pipeline!$I:$I,"&gt;="&amp;$B$145,Fact_Pipeline!$I:$I,"&lt;="&amp;$B$146)</f>
        <v>171</v>
      </c>
      <c r="G128" s="12">
        <f>COUNTIFS(Fact_Pipeline!$C:$C,E128,Fact_Pipeline!$J:$J,"Lost",Fact_Pipeline!$I:$I,"&gt;="&amp;$B$145,Fact_Pipeline!$I:$I,"&lt;="&amp;$B$146)</f>
        <v>311</v>
      </c>
      <c r="H128" s="5">
        <f>IFERROR(F128/(F128+G128),"")</f>
        <v>0.35477178423236516</v>
      </c>
      <c r="I128" s="4">
        <f>SUMIFS(Fact_Pipeline!$K:$K,Fact_Pipeline!$C:$C,E128,Fact_Pipeline!$J:$J,"Won",Fact_Pipeline!$I:$I,"&gt;="&amp;$B$145,Fact_Pipeline!$I:$I,"&lt;="&amp;$B$146)</f>
        <v>1483400</v>
      </c>
      <c r="K128" s="2" t="s">
        <v>62</v>
      </c>
      <c r="L128" s="12">
        <f>COUNTIFS(Fact_Pipeline!$L:$L,K128,Fact_Pipeline!$I:$I,"&gt;="&amp;$B$145,Fact_Pipeline!$I:$I,"&lt;="&amp;$B$146)</f>
        <v>460</v>
      </c>
      <c r="M128" s="4">
        <f>SUMIFS(Fact_Pipeline!$K:$K,Fact_Pipeline!$L:$L,K128,Fact_Pipeline!$I:$I,"&gt;="&amp;$B$145,Fact_Pipeline!$I:$I,"&lt;="&amp;$B$146)</f>
        <v>4914400</v>
      </c>
      <c r="N128" s="5">
        <f>IFERROR(L128/SUM($L$126:$L$130),"")</f>
        <v>0.2030008826125331</v>
      </c>
    </row>
    <row r="129" spans="1:16" x14ac:dyDescent="0.2">
      <c r="A129" s="6" t="s">
        <v>45</v>
      </c>
      <c r="B129" s="13">
        <f>COUNTIFS(Fact_Pipeline!$D:$D,"&gt;="&amp;$B$145,Fact_Pipeline!$D:$D,"&lt;="&amp;$B$146,Fact_Pipeline!$G:$G,"&lt;&gt;")</f>
        <v>2626</v>
      </c>
      <c r="C129" s="9">
        <f t="shared" si="0"/>
        <v>0.73764044943820228</v>
      </c>
      <c r="E129" s="6" t="s">
        <v>55</v>
      </c>
      <c r="F129" s="13">
        <f>COUNTIFS(Fact_Pipeline!$C:$C,E129,Fact_Pipeline!$J:$J,"Won",Fact_Pipeline!$I:$I,"&gt;="&amp;$B$145,Fact_Pipeline!$I:$I,"&lt;="&amp;$B$146)</f>
        <v>158</v>
      </c>
      <c r="G129" s="13">
        <f>COUNTIFS(Fact_Pipeline!$C:$C,E129,Fact_Pipeline!$J:$J,"Lost",Fact_Pipeline!$I:$I,"&gt;="&amp;$B$145,Fact_Pipeline!$I:$I,"&lt;="&amp;$B$146)</f>
        <v>276</v>
      </c>
      <c r="H129" s="9">
        <f>IFERROR(F129/(F129+G129),"")</f>
        <v>0.36405529953917048</v>
      </c>
      <c r="I129" s="8">
        <f>SUMIFS(Fact_Pipeline!$K:$K,Fact_Pipeline!$C:$C,E129,Fact_Pipeline!$J:$J,"Won",Fact_Pipeline!$I:$I,"&gt;="&amp;$B$145,Fact_Pipeline!$I:$I,"&lt;="&amp;$B$146)</f>
        <v>1437400</v>
      </c>
      <c r="K129" s="6" t="s">
        <v>63</v>
      </c>
      <c r="L129" s="13">
        <f>COUNTIFS(Fact_Pipeline!$L:$L,K129,Fact_Pipeline!$I:$I,"&gt;="&amp;$B$145,Fact_Pipeline!$I:$I,"&lt;="&amp;$B$146)</f>
        <v>253</v>
      </c>
      <c r="M129" s="8">
        <f>SUMIFS(Fact_Pipeline!$K:$K,Fact_Pipeline!$L:$L,K129,Fact_Pipeline!$I:$I,"&gt;="&amp;$B$145,Fact_Pipeline!$I:$I,"&lt;="&amp;$B$146)</f>
        <v>2783500</v>
      </c>
      <c r="N129" s="9">
        <f>IFERROR(L129/SUM($L$126:$L$130),"")</f>
        <v>0.11165048543689321</v>
      </c>
    </row>
    <row r="130" spans="1:16" x14ac:dyDescent="0.2">
      <c r="A130" s="2" t="s">
        <v>46</v>
      </c>
      <c r="B130" s="12">
        <f>COUNTIFS(Fact_Pipeline!$D:$D,"&gt;="&amp;$B$145,Fact_Pipeline!$D:$D,"&lt;="&amp;$B$146,Fact_Pipeline!$H:$H,"&lt;&gt;")</f>
        <v>1915</v>
      </c>
      <c r="C130" s="5">
        <f t="shared" si="0"/>
        <v>0.5379213483146067</v>
      </c>
      <c r="E130" s="2" t="s">
        <v>56</v>
      </c>
      <c r="F130" s="12">
        <f>COUNTIFS(Fact_Pipeline!$C:$C,E130,Fact_Pipeline!$J:$J,"Won",Fact_Pipeline!$I:$I,"&gt;="&amp;$B$145,Fact_Pipeline!$I:$I,"&lt;="&amp;$B$146)</f>
        <v>88</v>
      </c>
      <c r="G130" s="12">
        <f>COUNTIFS(Fact_Pipeline!$C:$C,E130,Fact_Pipeline!$J:$J,"Lost",Fact_Pipeline!$I:$I,"&gt;="&amp;$B$145,Fact_Pipeline!$I:$I,"&lt;="&amp;$B$146)</f>
        <v>176</v>
      </c>
      <c r="H130" s="5">
        <f>IFERROR(F130/(F130+G130),"")</f>
        <v>0.33333333333333331</v>
      </c>
      <c r="I130" s="4">
        <f>SUMIFS(Fact_Pipeline!$K:$K,Fact_Pipeline!$C:$C,E130,Fact_Pipeline!$J:$J,"Won",Fact_Pipeline!$I:$I,"&gt;="&amp;$B$145,Fact_Pipeline!$I:$I,"&lt;="&amp;$B$146)</f>
        <v>1211600</v>
      </c>
      <c r="K130" s="2" t="s">
        <v>64</v>
      </c>
      <c r="L130" s="12">
        <f>COUNTIFS(Fact_Pipeline!$L:$L,K130,Fact_Pipeline!$I:$I,"&gt;="&amp;$B$145,Fact_Pipeline!$I:$I,"&lt;="&amp;$B$146)</f>
        <v>252</v>
      </c>
      <c r="M130" s="4">
        <f>SUMIFS(Fact_Pipeline!$K:$K,Fact_Pipeline!$L:$L,K130,Fact_Pipeline!$I:$I,"&gt;="&amp;$B$145,Fact_Pipeline!$I:$I,"&lt;="&amp;$B$146)</f>
        <v>3040900</v>
      </c>
      <c r="N130" s="5">
        <f>IFERROR(L130/SUM($L$126:$L$130),"")</f>
        <v>0.11120917917034422</v>
      </c>
    </row>
    <row r="131" spans="1:16" x14ac:dyDescent="0.2">
      <c r="A131" s="6" t="s">
        <v>47</v>
      </c>
      <c r="B131" s="13">
        <f>COUNTIFS(Fact_Pipeline!$D:$D,"&gt;="&amp;$B$145,Fact_Pipeline!$D:$D,"&lt;="&amp;$B$146,Fact_Pipeline!$J:$J,"Won")</f>
        <v>1242</v>
      </c>
      <c r="C131" s="9">
        <f t="shared" si="0"/>
        <v>0.34887640449438201</v>
      </c>
    </row>
    <row r="134" spans="1:16" x14ac:dyDescent="0.2">
      <c r="A134" s="117"/>
      <c r="B134" s="117"/>
      <c r="C134" s="117"/>
      <c r="D134" s="117"/>
      <c r="E134" s="117"/>
      <c r="F134" s="117"/>
      <c r="G134" s="117"/>
      <c r="H134" s="117"/>
      <c r="I134" s="117"/>
      <c r="J134" s="115"/>
      <c r="K134" s="115"/>
      <c r="L134" s="115"/>
      <c r="M134" s="115"/>
      <c r="N134" s="115"/>
    </row>
    <row r="135" spans="1:16" x14ac:dyDescent="0.2">
      <c r="A135" s="117"/>
      <c r="B135" s="117"/>
      <c r="C135" s="117"/>
      <c r="D135" s="117"/>
      <c r="E135" s="117"/>
      <c r="F135" s="117"/>
      <c r="G135" s="117"/>
      <c r="H135" s="117"/>
      <c r="I135" s="117"/>
      <c r="J135" s="115"/>
      <c r="K135" s="115"/>
      <c r="L135" s="115"/>
      <c r="M135" s="115"/>
      <c r="N135" s="115"/>
    </row>
    <row r="136" spans="1:16" x14ac:dyDescent="0.2">
      <c r="A136" s="117"/>
      <c r="B136" s="117"/>
      <c r="C136" s="117"/>
      <c r="D136" s="117"/>
      <c r="E136" s="117"/>
      <c r="F136" s="117"/>
      <c r="G136" s="117"/>
      <c r="H136" s="117"/>
      <c r="I136" s="117"/>
      <c r="J136" s="115"/>
      <c r="K136" s="115"/>
      <c r="L136" s="115"/>
      <c r="M136" s="115"/>
      <c r="N136" s="115"/>
    </row>
    <row r="137" spans="1:16" x14ac:dyDescent="0.2">
      <c r="A137" s="117"/>
      <c r="B137" s="117"/>
      <c r="C137" s="117"/>
      <c r="D137" s="117"/>
      <c r="E137" s="117"/>
      <c r="F137" s="117"/>
      <c r="G137" s="117"/>
      <c r="H137" s="117"/>
      <c r="I137" s="117"/>
      <c r="J137" s="115"/>
      <c r="K137" s="115"/>
      <c r="L137" s="115"/>
      <c r="M137" s="115"/>
      <c r="N137" s="115"/>
    </row>
    <row r="138" spans="1:16" x14ac:dyDescent="0.2">
      <c r="A138" s="117"/>
      <c r="B138" s="117"/>
      <c r="C138" s="117"/>
      <c r="D138" s="117"/>
      <c r="E138" s="117"/>
      <c r="F138" s="117"/>
      <c r="G138" s="117"/>
      <c r="H138" s="117"/>
      <c r="I138" s="117"/>
      <c r="J138" s="115"/>
      <c r="K138" s="115"/>
      <c r="L138" s="115"/>
      <c r="M138" s="115"/>
      <c r="N138" s="115"/>
    </row>
    <row r="139" spans="1:16" x14ac:dyDescent="0.2">
      <c r="A139" s="117"/>
      <c r="B139" s="117"/>
      <c r="C139" s="117"/>
      <c r="D139" s="117"/>
      <c r="E139" s="117"/>
      <c r="F139" s="117"/>
      <c r="G139" s="117"/>
      <c r="H139" s="117"/>
      <c r="I139" s="117"/>
      <c r="J139" s="115"/>
      <c r="K139" s="115"/>
      <c r="L139" s="115"/>
      <c r="M139" s="115"/>
      <c r="N139" s="115"/>
    </row>
    <row r="140" spans="1:16" x14ac:dyDescent="0.2">
      <c r="A140" s="114"/>
      <c r="B140" s="114"/>
      <c r="C140" s="114"/>
      <c r="D140" s="114"/>
      <c r="E140" s="114"/>
      <c r="F140" s="114"/>
      <c r="G140" s="114"/>
      <c r="H140" s="114"/>
      <c r="I140" s="114"/>
      <c r="J140" s="114"/>
      <c r="K140" s="114"/>
      <c r="L140" s="114"/>
      <c r="M140" s="114"/>
      <c r="N140" s="114"/>
    </row>
    <row r="142" spans="1:16" s="110" customFormat="1" ht="19.5" customHeight="1" x14ac:dyDescent="0.2">
      <c r="A142" s="151" t="s">
        <v>74</v>
      </c>
      <c r="B142" s="151"/>
      <c r="C142" s="151"/>
      <c r="D142" s="151"/>
      <c r="E142" s="151"/>
      <c r="F142" s="151"/>
      <c r="G142" s="151"/>
      <c r="H142" s="151"/>
      <c r="I142" s="151"/>
      <c r="J142" s="151"/>
      <c r="K142" s="151"/>
      <c r="L142" s="151"/>
      <c r="M142" s="151"/>
      <c r="N142" s="151"/>
      <c r="O142" s="151"/>
      <c r="P142" s="151"/>
    </row>
    <row r="143" spans="1:16" ht="15" customHeight="1" outlineLevel="1" x14ac:dyDescent="0.2"/>
    <row r="144" spans="1:16" ht="27" outlineLevel="1" x14ac:dyDescent="0.2">
      <c r="A144" s="120" t="s">
        <v>75</v>
      </c>
      <c r="B144" s="14">
        <f>A5</f>
        <v>45870</v>
      </c>
    </row>
    <row r="145" spans="1:10" outlineLevel="1" x14ac:dyDescent="0.2">
      <c r="A145" s="120" t="s">
        <v>76</v>
      </c>
      <c r="B145" s="14">
        <f>IF(D5="All Time",MIN(Monthly_Summary[MonthStart]),IF(D5="Year to Date",DATE(YEAR($B$144),1,1),EDATE($B$144,-11)))</f>
        <v>45536</v>
      </c>
    </row>
    <row r="146" spans="1:10" ht="27" outlineLevel="1" x14ac:dyDescent="0.2">
      <c r="A146" s="120" t="s">
        <v>77</v>
      </c>
      <c r="B146" s="15">
        <f>EOMONTH($B$144,0)</f>
        <v>45900</v>
      </c>
    </row>
    <row r="147" spans="1:10" ht="15" customHeight="1" outlineLevel="1" x14ac:dyDescent="0.2"/>
    <row r="148" spans="1:10" ht="15" customHeight="1" outlineLevel="1" x14ac:dyDescent="0.2">
      <c r="A148" s="16" t="s">
        <v>78</v>
      </c>
      <c r="B148" s="16" t="s">
        <v>79</v>
      </c>
      <c r="C148" s="16" t="s">
        <v>20</v>
      </c>
      <c r="D148" s="16" t="s">
        <v>30</v>
      </c>
      <c r="E148" s="16" t="s">
        <v>80</v>
      </c>
      <c r="F148" s="16" t="s">
        <v>81</v>
      </c>
      <c r="G148" s="16" t="s">
        <v>82</v>
      </c>
      <c r="H148" s="16" t="s">
        <v>24</v>
      </c>
      <c r="I148" s="16" t="s">
        <v>83</v>
      </c>
      <c r="J148" s="16" t="s">
        <v>84</v>
      </c>
    </row>
    <row r="149" spans="1:10" ht="15" customHeight="1" outlineLevel="1" x14ac:dyDescent="0.2">
      <c r="A149" s="17" t="str">
        <f>Dim_Reps!A2</f>
        <v>R003</v>
      </c>
      <c r="B149" s="17" t="str">
        <f>Dim_Reps!B2</f>
        <v>Lucas Cohen</v>
      </c>
      <c r="C149" s="17" t="str">
        <f>Dim_Reps!D2</f>
        <v>Enterprise</v>
      </c>
      <c r="D149" s="17" t="str">
        <f>Dim_Reps!E2</f>
        <v>NAMER</v>
      </c>
      <c r="E149" s="17" t="str">
        <f>Dim_Reps!H2</f>
        <v>Active</v>
      </c>
      <c r="F149" s="18">
        <f>SUMIFS(Fact_Quota!$D:$D,Fact_Quota!$A:$A,$A149,Fact_Quota!$B:$B,"&gt;="&amp;$B$145,Fact_Quota!$B:$B,"&lt;="&amp;$B$144)</f>
        <v>111800</v>
      </c>
      <c r="G149" s="18">
        <f>SUMIFS(Fact_Pipeline!$K:$K,Fact_Pipeline!$B:$B,$A149,Fact_Pipeline!$J:$J,"Won",Fact_Pipeline!$I:$I,"&gt;="&amp;$B$145,Fact_Pipeline!$I:$I,"&lt;="&amp;$B$146)</f>
        <v>22000</v>
      </c>
      <c r="H149" s="19">
        <f t="shared" ref="H149:H180" si="1">IFERROR(G149/F149,"")</f>
        <v>0.1967799642218247</v>
      </c>
      <c r="I149" s="18">
        <f>SUMIFS(Fact_Pipeline!$K:$K,Fact_Pipeline!$B:$B,$A149,Fact_Pipeline!$D:$D,"&gt;="&amp;$B$145,Fact_Pipeline!$D:$D,"&lt;="&amp;$B$146)</f>
        <v>252700</v>
      </c>
      <c r="J149" s="20">
        <f t="shared" ref="J149:J180" si="2">IF(E149="Active",IFERROR(H149+(ROW()/10000000),""),"")</f>
        <v>0.19679486422182471</v>
      </c>
    </row>
    <row r="150" spans="1:10" ht="15" customHeight="1" outlineLevel="1" x14ac:dyDescent="0.2">
      <c r="A150" s="21" t="str">
        <f>Dim_Reps!A3</f>
        <v>R008</v>
      </c>
      <c r="B150" s="21" t="str">
        <f>Dim_Reps!B3</f>
        <v>Milo Weber</v>
      </c>
      <c r="C150" s="21" t="str">
        <f>Dim_Reps!D3</f>
        <v>Enterprise</v>
      </c>
      <c r="D150" s="21" t="str">
        <f>Dim_Reps!E3</f>
        <v>NAMER</v>
      </c>
      <c r="E150" s="21" t="str">
        <f>Dim_Reps!H3</f>
        <v>Active</v>
      </c>
      <c r="F150" s="22">
        <f>SUMIFS(Fact_Quota!$D:$D,Fact_Quota!$A:$A,$A150,Fact_Quota!$B:$B,"&gt;="&amp;$B$145,Fact_Quota!$B:$B,"&lt;="&amp;$B$144)</f>
        <v>387900</v>
      </c>
      <c r="G150" s="22">
        <f>SUMIFS(Fact_Pipeline!$K:$K,Fact_Pipeline!$B:$B,$A150,Fact_Pipeline!$J:$J,"Won",Fact_Pipeline!$I:$I,"&gt;="&amp;$B$145,Fact_Pipeline!$I:$I,"&lt;="&amp;$B$146)</f>
        <v>473100</v>
      </c>
      <c r="H150" s="23">
        <f t="shared" si="1"/>
        <v>1.2196442382057231</v>
      </c>
      <c r="I150" s="22">
        <f>SUMIFS(Fact_Pipeline!$K:$K,Fact_Pipeline!$B:$B,$A150,Fact_Pipeline!$D:$D,"&gt;="&amp;$B$145,Fact_Pipeline!$D:$D,"&lt;="&amp;$B$146)</f>
        <v>2136600</v>
      </c>
      <c r="J150" s="24">
        <f t="shared" si="2"/>
        <v>1.2196592382057232</v>
      </c>
    </row>
    <row r="151" spans="1:10" ht="15" customHeight="1" outlineLevel="1" x14ac:dyDescent="0.2">
      <c r="A151" s="17" t="str">
        <f>Dim_Reps!A4</f>
        <v>R010</v>
      </c>
      <c r="B151" s="17" t="str">
        <f>Dim_Reps!B4</f>
        <v>Sam Schmidt</v>
      </c>
      <c r="C151" s="17" t="str">
        <f>Dim_Reps!D4</f>
        <v>Enterprise</v>
      </c>
      <c r="D151" s="17" t="str">
        <f>Dim_Reps!E4</f>
        <v>EMEA</v>
      </c>
      <c r="E151" s="17" t="str">
        <f>Dim_Reps!H4</f>
        <v>Active</v>
      </c>
      <c r="F151" s="18">
        <f>SUMIFS(Fact_Quota!$D:$D,Fact_Quota!$A:$A,$A151,Fact_Quota!$B:$B,"&gt;="&amp;$B$145,Fact_Quota!$B:$B,"&lt;="&amp;$B$144)</f>
        <v>381100</v>
      </c>
      <c r="G151" s="18">
        <f>SUMIFS(Fact_Pipeline!$K:$K,Fact_Pipeline!$B:$B,$A151,Fact_Pipeline!$J:$J,"Won",Fact_Pipeline!$I:$I,"&gt;="&amp;$B$145,Fact_Pipeline!$I:$I,"&lt;="&amp;$B$146)</f>
        <v>450300</v>
      </c>
      <c r="H151" s="19">
        <f t="shared" si="1"/>
        <v>1.1815796378903174</v>
      </c>
      <c r="I151" s="18">
        <f>SUMIFS(Fact_Pipeline!$K:$K,Fact_Pipeline!$B:$B,$A151,Fact_Pipeline!$D:$D,"&gt;="&amp;$B$145,Fact_Pipeline!$D:$D,"&lt;="&amp;$B$146)</f>
        <v>2058700</v>
      </c>
      <c r="J151" s="20">
        <f t="shared" si="2"/>
        <v>1.1815947378903173</v>
      </c>
    </row>
    <row r="152" spans="1:10" ht="15" customHeight="1" outlineLevel="1" x14ac:dyDescent="0.2">
      <c r="A152" s="21" t="str">
        <f>Dim_Reps!A5</f>
        <v>R013</v>
      </c>
      <c r="B152" s="21" t="str">
        <f>Dim_Reps!B5</f>
        <v>Noah Kim</v>
      </c>
      <c r="C152" s="21" t="str">
        <f>Dim_Reps!D5</f>
        <v>Enterprise</v>
      </c>
      <c r="D152" s="21" t="str">
        <f>Dim_Reps!E5</f>
        <v>LATAM</v>
      </c>
      <c r="E152" s="21" t="str">
        <f>Dim_Reps!H5</f>
        <v>Active</v>
      </c>
      <c r="F152" s="22">
        <f>SUMIFS(Fact_Quota!$D:$D,Fact_Quota!$A:$A,$A152,Fact_Quota!$B:$B,"&gt;="&amp;$B$145,Fact_Quota!$B:$B,"&lt;="&amp;$B$144)</f>
        <v>385300</v>
      </c>
      <c r="G152" s="22">
        <f>SUMIFS(Fact_Pipeline!$K:$K,Fact_Pipeline!$B:$B,$A152,Fact_Pipeline!$J:$J,"Won",Fact_Pipeline!$I:$I,"&gt;="&amp;$B$145,Fact_Pipeline!$I:$I,"&lt;="&amp;$B$146)</f>
        <v>369900</v>
      </c>
      <c r="H152" s="23">
        <f t="shared" si="1"/>
        <v>0.96003114456267846</v>
      </c>
      <c r="I152" s="22">
        <f>SUMIFS(Fact_Pipeline!$K:$K,Fact_Pipeline!$B:$B,$A152,Fact_Pipeline!$D:$D,"&gt;="&amp;$B$145,Fact_Pipeline!$D:$D,"&lt;="&amp;$B$146)</f>
        <v>2503600</v>
      </c>
      <c r="J152" s="24">
        <f t="shared" si="2"/>
        <v>0.96004634456267846</v>
      </c>
    </row>
    <row r="153" spans="1:10" ht="15" customHeight="1" outlineLevel="1" x14ac:dyDescent="0.2">
      <c r="A153" s="17" t="str">
        <f>Dim_Reps!A6</f>
        <v>R026</v>
      </c>
      <c r="B153" s="17" t="str">
        <f>Dim_Reps!B6</f>
        <v>Jamie Santos</v>
      </c>
      <c r="C153" s="17" t="str">
        <f>Dim_Reps!D6</f>
        <v>Enterprise</v>
      </c>
      <c r="D153" s="17" t="str">
        <f>Dim_Reps!E6</f>
        <v>APAC</v>
      </c>
      <c r="E153" s="17" t="str">
        <f>Dim_Reps!H6</f>
        <v>Departed</v>
      </c>
      <c r="F153" s="18">
        <f>SUMIFS(Fact_Quota!$D:$D,Fact_Quota!$A:$A,$A153,Fact_Quota!$B:$B,"&gt;="&amp;$B$145,Fact_Quota!$B:$B,"&lt;="&amp;$B$144)</f>
        <v>380400</v>
      </c>
      <c r="G153" s="18">
        <f>SUMIFS(Fact_Pipeline!$K:$K,Fact_Pipeline!$B:$B,$A153,Fact_Pipeline!$J:$J,"Won",Fact_Pipeline!$I:$I,"&gt;="&amp;$B$145,Fact_Pipeline!$I:$I,"&lt;="&amp;$B$146)</f>
        <v>598800</v>
      </c>
      <c r="H153" s="19">
        <f t="shared" si="1"/>
        <v>1.5741324921135647</v>
      </c>
      <c r="I153" s="18">
        <f>SUMIFS(Fact_Pipeline!$K:$K,Fact_Pipeline!$B:$B,$A153,Fact_Pipeline!$D:$D,"&gt;="&amp;$B$145,Fact_Pipeline!$D:$D,"&lt;="&amp;$B$146)</f>
        <v>2346900</v>
      </c>
      <c r="J153" s="17" t="str">
        <f t="shared" si="2"/>
        <v/>
      </c>
    </row>
    <row r="154" spans="1:10" ht="15" customHeight="1" outlineLevel="1" x14ac:dyDescent="0.2">
      <c r="A154" s="21" t="str">
        <f>Dim_Reps!A7</f>
        <v>R036</v>
      </c>
      <c r="B154" s="21" t="str">
        <f>Dim_Reps!B7</f>
        <v>Zara Duarte</v>
      </c>
      <c r="C154" s="21" t="str">
        <f>Dim_Reps!D7</f>
        <v>Enterprise</v>
      </c>
      <c r="D154" s="21" t="str">
        <f>Dim_Reps!E7</f>
        <v>NAMER</v>
      </c>
      <c r="E154" s="21" t="str">
        <f>Dim_Reps!H7</f>
        <v>Active</v>
      </c>
      <c r="F154" s="22">
        <f>SUMIFS(Fact_Quota!$D:$D,Fact_Quota!$A:$A,$A154,Fact_Quota!$B:$B,"&gt;="&amp;$B$145,Fact_Quota!$B:$B,"&lt;="&amp;$B$144)</f>
        <v>380500</v>
      </c>
      <c r="G154" s="22">
        <f>SUMIFS(Fact_Pipeline!$K:$K,Fact_Pipeline!$B:$B,$A154,Fact_Pipeline!$J:$J,"Won",Fact_Pipeline!$I:$I,"&gt;="&amp;$B$145,Fact_Pipeline!$I:$I,"&lt;="&amp;$B$146)</f>
        <v>423000</v>
      </c>
      <c r="H154" s="23">
        <f t="shared" si="1"/>
        <v>1.1116951379763469</v>
      </c>
      <c r="I154" s="22">
        <f>SUMIFS(Fact_Pipeline!$K:$K,Fact_Pipeline!$B:$B,$A154,Fact_Pipeline!$D:$D,"&gt;="&amp;$B$145,Fact_Pipeline!$D:$D,"&lt;="&amp;$B$146)</f>
        <v>2090800</v>
      </c>
      <c r="J154" s="24">
        <f t="shared" si="2"/>
        <v>1.111710537976347</v>
      </c>
    </row>
    <row r="155" spans="1:10" ht="15" customHeight="1" outlineLevel="1" x14ac:dyDescent="0.2">
      <c r="A155" s="17" t="str">
        <f>Dim_Reps!A8</f>
        <v>R001</v>
      </c>
      <c r="B155" s="17" t="str">
        <f>Dim_Reps!B8</f>
        <v>Karim Rossi</v>
      </c>
      <c r="C155" s="17" t="str">
        <f>Dim_Reps!D8</f>
        <v>Inside Sales</v>
      </c>
      <c r="D155" s="17" t="str">
        <f>Dim_Reps!E8</f>
        <v>NAMER</v>
      </c>
      <c r="E155" s="17" t="str">
        <f>Dim_Reps!H8</f>
        <v>Active</v>
      </c>
      <c r="F155" s="18">
        <f>SUMIFS(Fact_Quota!$D:$D,Fact_Quota!$A:$A,$A155,Fact_Quota!$B:$B,"&gt;="&amp;$B$145,Fact_Quota!$B:$B,"&lt;="&amp;$B$144)</f>
        <v>186500</v>
      </c>
      <c r="G155" s="18">
        <f>SUMIFS(Fact_Pipeline!$K:$K,Fact_Pipeline!$B:$B,$A155,Fact_Pipeline!$J:$J,"Won",Fact_Pipeline!$I:$I,"&gt;="&amp;$B$145,Fact_Pipeline!$I:$I,"&lt;="&amp;$B$146)</f>
        <v>156600</v>
      </c>
      <c r="H155" s="19">
        <f t="shared" si="1"/>
        <v>0.83967828418230561</v>
      </c>
      <c r="I155" s="18">
        <f>SUMIFS(Fact_Pipeline!$K:$K,Fact_Pipeline!$B:$B,$A155,Fact_Pipeline!$D:$D,"&gt;="&amp;$B$145,Fact_Pipeline!$D:$D,"&lt;="&amp;$B$146)</f>
        <v>440200</v>
      </c>
      <c r="J155" s="20">
        <f t="shared" si="2"/>
        <v>0.83969378418230556</v>
      </c>
    </row>
    <row r="156" spans="1:10" ht="15" customHeight="1" outlineLevel="1" x14ac:dyDescent="0.2">
      <c r="A156" s="21" t="str">
        <f>Dim_Reps!A9</f>
        <v>R005</v>
      </c>
      <c r="B156" s="21" t="str">
        <f>Dim_Reps!B9</f>
        <v>Alex Okafor</v>
      </c>
      <c r="C156" s="21" t="str">
        <f>Dim_Reps!D9</f>
        <v>Inside Sales</v>
      </c>
      <c r="D156" s="21" t="str">
        <f>Dim_Reps!E9</f>
        <v>EMEA</v>
      </c>
      <c r="E156" s="21" t="str">
        <f>Dim_Reps!H9</f>
        <v>Active</v>
      </c>
      <c r="F156" s="22">
        <f>SUMIFS(Fact_Quota!$D:$D,Fact_Quota!$A:$A,$A156,Fact_Quota!$B:$B,"&gt;="&amp;$B$145,Fact_Quota!$B:$B,"&lt;="&amp;$B$144)</f>
        <v>182700</v>
      </c>
      <c r="G156" s="22">
        <f>SUMIFS(Fact_Pipeline!$K:$K,Fact_Pipeline!$B:$B,$A156,Fact_Pipeline!$J:$J,"Won",Fact_Pipeline!$I:$I,"&gt;="&amp;$B$145,Fact_Pipeline!$I:$I,"&lt;="&amp;$B$146)</f>
        <v>176600</v>
      </c>
      <c r="H156" s="23">
        <f t="shared" si="1"/>
        <v>0.96661193212917351</v>
      </c>
      <c r="I156" s="22">
        <f>SUMIFS(Fact_Pipeline!$K:$K,Fact_Pipeline!$B:$B,$A156,Fact_Pipeline!$D:$D,"&gt;="&amp;$B$145,Fact_Pipeline!$D:$D,"&lt;="&amp;$B$146)</f>
        <v>454500</v>
      </c>
      <c r="J156" s="24">
        <f t="shared" si="2"/>
        <v>0.96662753212917352</v>
      </c>
    </row>
    <row r="157" spans="1:10" ht="15" customHeight="1" outlineLevel="1" x14ac:dyDescent="0.2">
      <c r="A157" s="17" t="str">
        <f>Dim_Reps!A10</f>
        <v>R006</v>
      </c>
      <c r="B157" s="17" t="str">
        <f>Dim_Reps!B10</f>
        <v>Lucas Okafor</v>
      </c>
      <c r="C157" s="17" t="str">
        <f>Dim_Reps!D10</f>
        <v>Inside Sales</v>
      </c>
      <c r="D157" s="17" t="str">
        <f>Dim_Reps!E10</f>
        <v>APAC</v>
      </c>
      <c r="E157" s="17" t="str">
        <f>Dim_Reps!H10</f>
        <v>Active</v>
      </c>
      <c r="F157" s="18">
        <f>SUMIFS(Fact_Quota!$D:$D,Fact_Quota!$A:$A,$A157,Fact_Quota!$B:$B,"&gt;="&amp;$B$145,Fact_Quota!$B:$B,"&lt;="&amp;$B$144)</f>
        <v>185300</v>
      </c>
      <c r="G157" s="18">
        <f>SUMIFS(Fact_Pipeline!$K:$K,Fact_Pipeline!$B:$B,$A157,Fact_Pipeline!$J:$J,"Won",Fact_Pipeline!$I:$I,"&gt;="&amp;$B$145,Fact_Pipeline!$I:$I,"&lt;="&amp;$B$146)</f>
        <v>237400</v>
      </c>
      <c r="H157" s="19">
        <f t="shared" si="1"/>
        <v>1.2811656772800863</v>
      </c>
      <c r="I157" s="18">
        <f>SUMIFS(Fact_Pipeline!$K:$K,Fact_Pipeline!$B:$B,$A157,Fact_Pipeline!$D:$D,"&gt;="&amp;$B$145,Fact_Pipeline!$D:$D,"&lt;="&amp;$B$146)</f>
        <v>469700</v>
      </c>
      <c r="J157" s="20">
        <f t="shared" si="2"/>
        <v>1.2811813772800864</v>
      </c>
    </row>
    <row r="158" spans="1:10" ht="15" customHeight="1" outlineLevel="1" x14ac:dyDescent="0.2">
      <c r="A158" s="21" t="str">
        <f>Dim_Reps!A11</f>
        <v>R007</v>
      </c>
      <c r="B158" s="21" t="str">
        <f>Dim_Reps!B11</f>
        <v>Sara Duarte</v>
      </c>
      <c r="C158" s="21" t="str">
        <f>Dim_Reps!D11</f>
        <v>Inside Sales</v>
      </c>
      <c r="D158" s="21" t="str">
        <f>Dim_Reps!E11</f>
        <v>APAC</v>
      </c>
      <c r="E158" s="21" t="str">
        <f>Dim_Reps!H11</f>
        <v>Active</v>
      </c>
      <c r="F158" s="22">
        <f>SUMIFS(Fact_Quota!$D:$D,Fact_Quota!$A:$A,$A158,Fact_Quota!$B:$B,"&gt;="&amp;$B$145,Fact_Quota!$B:$B,"&lt;="&amp;$B$144)</f>
        <v>11100</v>
      </c>
      <c r="G158" s="22">
        <f>SUMIFS(Fact_Pipeline!$K:$K,Fact_Pipeline!$B:$B,$A158,Fact_Pipeline!$J:$J,"Won",Fact_Pipeline!$I:$I,"&gt;="&amp;$B$145,Fact_Pipeline!$I:$I,"&lt;="&amp;$B$146)</f>
        <v>5800</v>
      </c>
      <c r="H158" s="23">
        <f t="shared" si="1"/>
        <v>0.52252252252252251</v>
      </c>
      <c r="I158" s="22">
        <f>SUMIFS(Fact_Pipeline!$K:$K,Fact_Pipeline!$B:$B,$A158,Fact_Pipeline!$D:$D,"&gt;="&amp;$B$145,Fact_Pipeline!$D:$D,"&lt;="&amp;$B$146)</f>
        <v>24100</v>
      </c>
      <c r="J158" s="24">
        <f t="shared" si="2"/>
        <v>0.52253832252252252</v>
      </c>
    </row>
    <row r="159" spans="1:10" ht="15" customHeight="1" outlineLevel="1" x14ac:dyDescent="0.2">
      <c r="A159" s="17" t="str">
        <f>Dim_Reps!A12</f>
        <v>R011</v>
      </c>
      <c r="B159" s="17" t="str">
        <f>Dim_Reps!B12</f>
        <v>Riley Haddad</v>
      </c>
      <c r="C159" s="17" t="str">
        <f>Dim_Reps!D12</f>
        <v>Inside Sales</v>
      </c>
      <c r="D159" s="17" t="str">
        <f>Dim_Reps!E12</f>
        <v>APAC</v>
      </c>
      <c r="E159" s="17" t="str">
        <f>Dim_Reps!H12</f>
        <v>Active</v>
      </c>
      <c r="F159" s="18">
        <f>SUMIFS(Fact_Quota!$D:$D,Fact_Quota!$A:$A,$A159,Fact_Quota!$B:$B,"&gt;="&amp;$B$145,Fact_Quota!$B:$B,"&lt;="&amp;$B$144)</f>
        <v>166400</v>
      </c>
      <c r="G159" s="18">
        <f>SUMIFS(Fact_Pipeline!$K:$K,Fact_Pipeline!$B:$B,$A159,Fact_Pipeline!$J:$J,"Won",Fact_Pipeline!$I:$I,"&gt;="&amp;$B$145,Fact_Pipeline!$I:$I,"&lt;="&amp;$B$146)</f>
        <v>122200</v>
      </c>
      <c r="H159" s="19">
        <f t="shared" si="1"/>
        <v>0.734375</v>
      </c>
      <c r="I159" s="18">
        <f>SUMIFS(Fact_Pipeline!$K:$K,Fact_Pipeline!$B:$B,$A159,Fact_Pipeline!$D:$D,"&gt;="&amp;$B$145,Fact_Pipeline!$D:$D,"&lt;="&amp;$B$146)</f>
        <v>429300</v>
      </c>
      <c r="J159" s="20">
        <f t="shared" si="2"/>
        <v>0.73439089999999996</v>
      </c>
    </row>
    <row r="160" spans="1:10" ht="15" customHeight="1" outlineLevel="1" x14ac:dyDescent="0.2">
      <c r="A160" s="21" t="str">
        <f>Dim_Reps!A13</f>
        <v>R014</v>
      </c>
      <c r="B160" s="21" t="str">
        <f>Dim_Reps!B13</f>
        <v>Karim Alvarez</v>
      </c>
      <c r="C160" s="21" t="str">
        <f>Dim_Reps!D13</f>
        <v>Inside Sales</v>
      </c>
      <c r="D160" s="21" t="str">
        <f>Dim_Reps!E13</f>
        <v>EMEA</v>
      </c>
      <c r="E160" s="21" t="str">
        <f>Dim_Reps!H13</f>
        <v>Active</v>
      </c>
      <c r="F160" s="22">
        <f>SUMIFS(Fact_Quota!$D:$D,Fact_Quota!$A:$A,$A160,Fact_Quota!$B:$B,"&gt;="&amp;$B$145,Fact_Quota!$B:$B,"&lt;="&amp;$B$144)</f>
        <v>185900</v>
      </c>
      <c r="G160" s="22">
        <f>SUMIFS(Fact_Pipeline!$K:$K,Fact_Pipeline!$B:$B,$A160,Fact_Pipeline!$J:$J,"Won",Fact_Pipeline!$I:$I,"&gt;="&amp;$B$145,Fact_Pipeline!$I:$I,"&lt;="&amp;$B$146)</f>
        <v>187100</v>
      </c>
      <c r="H160" s="23">
        <f t="shared" si="1"/>
        <v>1.0064550833781603</v>
      </c>
      <c r="I160" s="22">
        <f>SUMIFS(Fact_Pipeline!$K:$K,Fact_Pipeline!$B:$B,$A160,Fact_Pipeline!$D:$D,"&gt;="&amp;$B$145,Fact_Pipeline!$D:$D,"&lt;="&amp;$B$146)</f>
        <v>496700</v>
      </c>
      <c r="J160" s="24">
        <f t="shared" si="2"/>
        <v>1.0064710833781603</v>
      </c>
    </row>
    <row r="161" spans="1:10" ht="15" customHeight="1" outlineLevel="1" x14ac:dyDescent="0.2">
      <c r="A161" s="17" t="str">
        <f>Dim_Reps!A14</f>
        <v>R015</v>
      </c>
      <c r="B161" s="17" t="str">
        <f>Dim_Reps!B14</f>
        <v>Sam Castro</v>
      </c>
      <c r="C161" s="17" t="str">
        <f>Dim_Reps!D14</f>
        <v>Inside Sales</v>
      </c>
      <c r="D161" s="17" t="str">
        <f>Dim_Reps!E14</f>
        <v>APAC</v>
      </c>
      <c r="E161" s="17" t="str">
        <f>Dim_Reps!H14</f>
        <v>Departed</v>
      </c>
      <c r="F161" s="18">
        <f>SUMIFS(Fact_Quota!$D:$D,Fact_Quota!$A:$A,$A161,Fact_Quota!$B:$B,"&gt;="&amp;$B$145,Fact_Quota!$B:$B,"&lt;="&amp;$B$144)</f>
        <v>187100</v>
      </c>
      <c r="G161" s="18">
        <f>SUMIFS(Fact_Pipeline!$K:$K,Fact_Pipeline!$B:$B,$A161,Fact_Pipeline!$J:$J,"Won",Fact_Pipeline!$I:$I,"&gt;="&amp;$B$145,Fact_Pipeline!$I:$I,"&lt;="&amp;$B$146)</f>
        <v>136600</v>
      </c>
      <c r="H161" s="19">
        <f t="shared" si="1"/>
        <v>0.73009086050240513</v>
      </c>
      <c r="I161" s="18">
        <f>SUMIFS(Fact_Pipeline!$K:$K,Fact_Pipeline!$B:$B,$A161,Fact_Pipeline!$D:$D,"&gt;="&amp;$B$145,Fact_Pipeline!$D:$D,"&lt;="&amp;$B$146)</f>
        <v>460200</v>
      </c>
      <c r="J161" s="17" t="str">
        <f t="shared" si="2"/>
        <v/>
      </c>
    </row>
    <row r="162" spans="1:10" ht="15" customHeight="1" outlineLevel="1" x14ac:dyDescent="0.2">
      <c r="A162" s="21" t="str">
        <f>Dim_Reps!A15</f>
        <v>R016</v>
      </c>
      <c r="B162" s="21" t="str">
        <f>Dim_Reps!B15</f>
        <v>Petra Larsen</v>
      </c>
      <c r="C162" s="21" t="str">
        <f>Dim_Reps!D15</f>
        <v>Inside Sales</v>
      </c>
      <c r="D162" s="21" t="str">
        <f>Dim_Reps!E15</f>
        <v>EMEA</v>
      </c>
      <c r="E162" s="21" t="str">
        <f>Dim_Reps!H15</f>
        <v>Active</v>
      </c>
      <c r="F162" s="22">
        <f>SUMIFS(Fact_Quota!$D:$D,Fact_Quota!$A:$A,$A162,Fact_Quota!$B:$B,"&gt;="&amp;$B$145,Fact_Quota!$B:$B,"&lt;="&amp;$B$144)</f>
        <v>118100</v>
      </c>
      <c r="G162" s="22">
        <f>SUMIFS(Fact_Pipeline!$K:$K,Fact_Pipeline!$B:$B,$A162,Fact_Pipeline!$J:$J,"Won",Fact_Pipeline!$I:$I,"&gt;="&amp;$B$145,Fact_Pipeline!$I:$I,"&lt;="&amp;$B$146)</f>
        <v>63400</v>
      </c>
      <c r="H162" s="23">
        <f t="shared" si="1"/>
        <v>0.53683319220999148</v>
      </c>
      <c r="I162" s="22">
        <f>SUMIFS(Fact_Pipeline!$K:$K,Fact_Pipeline!$B:$B,$A162,Fact_Pipeline!$D:$D,"&gt;="&amp;$B$145,Fact_Pipeline!$D:$D,"&lt;="&amp;$B$146)</f>
        <v>191600</v>
      </c>
      <c r="J162" s="24">
        <f t="shared" si="2"/>
        <v>0.5368493922099915</v>
      </c>
    </row>
    <row r="163" spans="1:10" ht="15" customHeight="1" outlineLevel="1" x14ac:dyDescent="0.2">
      <c r="A163" s="17" t="str">
        <f>Dim_Reps!A16</f>
        <v>R017</v>
      </c>
      <c r="B163" s="17" t="str">
        <f>Dim_Reps!B16</f>
        <v>Lea Weber</v>
      </c>
      <c r="C163" s="17" t="str">
        <f>Dim_Reps!D16</f>
        <v>Inside Sales</v>
      </c>
      <c r="D163" s="17" t="str">
        <f>Dim_Reps!E16</f>
        <v>EMEA</v>
      </c>
      <c r="E163" s="17" t="str">
        <f>Dim_Reps!H16</f>
        <v>Active</v>
      </c>
      <c r="F163" s="18">
        <f>SUMIFS(Fact_Quota!$D:$D,Fact_Quota!$A:$A,$A163,Fact_Quota!$B:$B,"&gt;="&amp;$B$145,Fact_Quota!$B:$B,"&lt;="&amp;$B$144)</f>
        <v>185700</v>
      </c>
      <c r="G163" s="18">
        <f>SUMIFS(Fact_Pipeline!$K:$K,Fact_Pipeline!$B:$B,$A163,Fact_Pipeline!$J:$J,"Won",Fact_Pipeline!$I:$I,"&gt;="&amp;$B$145,Fact_Pipeline!$I:$I,"&lt;="&amp;$B$146)</f>
        <v>185500</v>
      </c>
      <c r="H163" s="19">
        <f t="shared" si="1"/>
        <v>0.99892299407646745</v>
      </c>
      <c r="I163" s="18">
        <f>SUMIFS(Fact_Pipeline!$K:$K,Fact_Pipeline!$B:$B,$A163,Fact_Pipeline!$D:$D,"&gt;="&amp;$B$145,Fact_Pipeline!$D:$D,"&lt;="&amp;$B$146)</f>
        <v>541900</v>
      </c>
      <c r="J163" s="20">
        <f t="shared" si="2"/>
        <v>0.99893929407646742</v>
      </c>
    </row>
    <row r="164" spans="1:10" ht="15" customHeight="1" outlineLevel="1" x14ac:dyDescent="0.2">
      <c r="A164" s="21" t="str">
        <f>Dim_Reps!A17</f>
        <v>R020</v>
      </c>
      <c r="B164" s="21" t="str">
        <f>Dim_Reps!B17</f>
        <v>Jamie Silva</v>
      </c>
      <c r="C164" s="21" t="str">
        <f>Dim_Reps!D17</f>
        <v>Inside Sales</v>
      </c>
      <c r="D164" s="21" t="str">
        <f>Dim_Reps!E17</f>
        <v>EMEA</v>
      </c>
      <c r="E164" s="21" t="str">
        <f>Dim_Reps!H17</f>
        <v>Active</v>
      </c>
      <c r="F164" s="22">
        <f>SUMIFS(Fact_Quota!$D:$D,Fact_Quota!$A:$A,$A164,Fact_Quota!$B:$B,"&gt;="&amp;$B$145,Fact_Quota!$B:$B,"&lt;="&amp;$B$144)</f>
        <v>182600</v>
      </c>
      <c r="G164" s="22">
        <f>SUMIFS(Fact_Pipeline!$K:$K,Fact_Pipeline!$B:$B,$A164,Fact_Pipeline!$J:$J,"Won",Fact_Pipeline!$I:$I,"&gt;="&amp;$B$145,Fact_Pipeline!$I:$I,"&lt;="&amp;$B$146)</f>
        <v>151800</v>
      </c>
      <c r="H164" s="23">
        <f t="shared" si="1"/>
        <v>0.83132530120481929</v>
      </c>
      <c r="I164" s="22">
        <f>SUMIFS(Fact_Pipeline!$K:$K,Fact_Pipeline!$B:$B,$A164,Fact_Pipeline!$D:$D,"&gt;="&amp;$B$145,Fact_Pipeline!$D:$D,"&lt;="&amp;$B$146)</f>
        <v>398800</v>
      </c>
      <c r="J164" s="24">
        <f t="shared" si="2"/>
        <v>0.83134170120481932</v>
      </c>
    </row>
    <row r="165" spans="1:10" ht="15" customHeight="1" outlineLevel="1" x14ac:dyDescent="0.2">
      <c r="A165" s="17" t="str">
        <f>Dim_Reps!A18</f>
        <v>R022</v>
      </c>
      <c r="B165" s="17" t="str">
        <f>Dim_Reps!B18</f>
        <v>Jamie Schmidt</v>
      </c>
      <c r="C165" s="17" t="str">
        <f>Dim_Reps!D18</f>
        <v>Inside Sales</v>
      </c>
      <c r="D165" s="17" t="str">
        <f>Dim_Reps!E18</f>
        <v>APAC</v>
      </c>
      <c r="E165" s="17" t="str">
        <f>Dim_Reps!H18</f>
        <v>Active</v>
      </c>
      <c r="F165" s="18">
        <f>SUMIFS(Fact_Quota!$D:$D,Fact_Quota!$A:$A,$A165,Fact_Quota!$B:$B,"&gt;="&amp;$B$145,Fact_Quota!$B:$B,"&lt;="&amp;$B$144)</f>
        <v>187400</v>
      </c>
      <c r="G165" s="18">
        <f>SUMIFS(Fact_Pipeline!$K:$K,Fact_Pipeline!$B:$B,$A165,Fact_Pipeline!$J:$J,"Won",Fact_Pipeline!$I:$I,"&gt;="&amp;$B$145,Fact_Pipeline!$I:$I,"&lt;="&amp;$B$146)</f>
        <v>172600</v>
      </c>
      <c r="H165" s="19">
        <f t="shared" si="1"/>
        <v>0.92102454642475984</v>
      </c>
      <c r="I165" s="18">
        <f>SUMIFS(Fact_Pipeline!$K:$K,Fact_Pipeline!$B:$B,$A165,Fact_Pipeline!$D:$D,"&gt;="&amp;$B$145,Fact_Pipeline!$D:$D,"&lt;="&amp;$B$146)</f>
        <v>462900</v>
      </c>
      <c r="J165" s="20">
        <f t="shared" si="2"/>
        <v>0.92104104642475981</v>
      </c>
    </row>
    <row r="166" spans="1:10" ht="15" customHeight="1" outlineLevel="1" x14ac:dyDescent="0.2">
      <c r="A166" s="21" t="str">
        <f>Dim_Reps!A19</f>
        <v>R023</v>
      </c>
      <c r="B166" s="21" t="str">
        <f>Dim_Reps!B19</f>
        <v>Priya Weber</v>
      </c>
      <c r="C166" s="21" t="str">
        <f>Dim_Reps!D19</f>
        <v>Inside Sales</v>
      </c>
      <c r="D166" s="21" t="str">
        <f>Dim_Reps!E19</f>
        <v>NAMER</v>
      </c>
      <c r="E166" s="21" t="str">
        <f>Dim_Reps!H19</f>
        <v>Active</v>
      </c>
      <c r="F166" s="22">
        <f>SUMIFS(Fact_Quota!$D:$D,Fact_Quota!$A:$A,$A166,Fact_Quota!$B:$B,"&gt;="&amp;$B$145,Fact_Quota!$B:$B,"&lt;="&amp;$B$144)</f>
        <v>188700</v>
      </c>
      <c r="G166" s="22">
        <f>SUMIFS(Fact_Pipeline!$K:$K,Fact_Pipeline!$B:$B,$A166,Fact_Pipeline!$J:$J,"Won",Fact_Pipeline!$I:$I,"&gt;="&amp;$B$145,Fact_Pipeline!$I:$I,"&lt;="&amp;$B$146)</f>
        <v>183800</v>
      </c>
      <c r="H166" s="23">
        <f t="shared" si="1"/>
        <v>0.97403285638579751</v>
      </c>
      <c r="I166" s="22">
        <f>SUMIFS(Fact_Pipeline!$K:$K,Fact_Pipeline!$B:$B,$A166,Fact_Pipeline!$D:$D,"&gt;="&amp;$B$145,Fact_Pipeline!$D:$D,"&lt;="&amp;$B$146)</f>
        <v>444200</v>
      </c>
      <c r="J166" s="24">
        <f t="shared" si="2"/>
        <v>0.97404945638579754</v>
      </c>
    </row>
    <row r="167" spans="1:10" ht="15" customHeight="1" outlineLevel="1" x14ac:dyDescent="0.2">
      <c r="A167" s="17" t="str">
        <f>Dim_Reps!A20</f>
        <v>R024</v>
      </c>
      <c r="B167" s="17" t="str">
        <f>Dim_Reps!B20</f>
        <v>Riley Duarte</v>
      </c>
      <c r="C167" s="17" t="str">
        <f>Dim_Reps!D20</f>
        <v>Inside Sales</v>
      </c>
      <c r="D167" s="17" t="str">
        <f>Dim_Reps!E20</f>
        <v>APAC</v>
      </c>
      <c r="E167" s="17" t="str">
        <f>Dim_Reps!H20</f>
        <v>Active</v>
      </c>
      <c r="F167" s="18">
        <f>SUMIFS(Fact_Quota!$D:$D,Fact_Quota!$A:$A,$A167,Fact_Quota!$B:$B,"&gt;="&amp;$B$145,Fact_Quota!$B:$B,"&lt;="&amp;$B$144)</f>
        <v>0</v>
      </c>
      <c r="G167" s="18">
        <f>SUMIFS(Fact_Pipeline!$K:$K,Fact_Pipeline!$B:$B,$A167,Fact_Pipeline!$J:$J,"Won",Fact_Pipeline!$I:$I,"&gt;="&amp;$B$145,Fact_Pipeline!$I:$I,"&lt;="&amp;$B$146)</f>
        <v>0</v>
      </c>
      <c r="H167" s="19" t="str">
        <f t="shared" si="1"/>
        <v/>
      </c>
      <c r="I167" s="18">
        <f>SUMIFS(Fact_Pipeline!$K:$K,Fact_Pipeline!$B:$B,$A167,Fact_Pipeline!$D:$D,"&gt;="&amp;$B$145,Fact_Pipeline!$D:$D,"&lt;="&amp;$B$146)</f>
        <v>0</v>
      </c>
      <c r="J167" s="20" t="str">
        <f t="shared" si="2"/>
        <v/>
      </c>
    </row>
    <row r="168" spans="1:10" ht="15" customHeight="1" outlineLevel="1" x14ac:dyDescent="0.2">
      <c r="A168" s="21" t="str">
        <f>Dim_Reps!A21</f>
        <v>R027</v>
      </c>
      <c r="B168" s="21" t="str">
        <f>Dim_Reps!B21</f>
        <v>Casey Muller</v>
      </c>
      <c r="C168" s="21" t="str">
        <f>Dim_Reps!D21</f>
        <v>Inside Sales</v>
      </c>
      <c r="D168" s="21" t="str">
        <f>Dim_Reps!E21</f>
        <v>LATAM</v>
      </c>
      <c r="E168" s="21" t="str">
        <f>Dim_Reps!H21</f>
        <v>Departed</v>
      </c>
      <c r="F168" s="22">
        <f>SUMIFS(Fact_Quota!$D:$D,Fact_Quota!$A:$A,$A168,Fact_Quota!$B:$B,"&gt;="&amp;$B$145,Fact_Quota!$B:$B,"&lt;="&amp;$B$144)</f>
        <v>187200</v>
      </c>
      <c r="G168" s="22">
        <f>SUMIFS(Fact_Pipeline!$K:$K,Fact_Pipeline!$B:$B,$A168,Fact_Pipeline!$J:$J,"Won",Fact_Pipeline!$I:$I,"&gt;="&amp;$B$145,Fact_Pipeline!$I:$I,"&lt;="&amp;$B$146)</f>
        <v>201600</v>
      </c>
      <c r="H168" s="23">
        <f t="shared" si="1"/>
        <v>1.0769230769230769</v>
      </c>
      <c r="I168" s="22">
        <f>SUMIFS(Fact_Pipeline!$K:$K,Fact_Pipeline!$B:$B,$A168,Fact_Pipeline!$D:$D,"&gt;="&amp;$B$145,Fact_Pipeline!$D:$D,"&lt;="&amp;$B$146)</f>
        <v>536400</v>
      </c>
      <c r="J168" s="21" t="str">
        <f t="shared" si="2"/>
        <v/>
      </c>
    </row>
    <row r="169" spans="1:10" ht="15" customHeight="1" outlineLevel="1" x14ac:dyDescent="0.2">
      <c r="A169" s="17" t="str">
        <f>Dim_Reps!A22</f>
        <v>R030</v>
      </c>
      <c r="B169" s="17" t="str">
        <f>Dim_Reps!B22</f>
        <v>Lea Petrov</v>
      </c>
      <c r="C169" s="17" t="str">
        <f>Dim_Reps!D22</f>
        <v>Inside Sales</v>
      </c>
      <c r="D169" s="17" t="str">
        <f>Dim_Reps!E22</f>
        <v>LATAM</v>
      </c>
      <c r="E169" s="17" t="str">
        <f>Dim_Reps!H22</f>
        <v>Departed</v>
      </c>
      <c r="F169" s="18">
        <f>SUMIFS(Fact_Quota!$D:$D,Fact_Quota!$A:$A,$A169,Fact_Quota!$B:$B,"&gt;="&amp;$B$145,Fact_Quota!$B:$B,"&lt;="&amp;$B$144)</f>
        <v>100400</v>
      </c>
      <c r="G169" s="18">
        <f>SUMIFS(Fact_Pipeline!$K:$K,Fact_Pipeline!$B:$B,$A169,Fact_Pipeline!$J:$J,"Won",Fact_Pipeline!$I:$I,"&gt;="&amp;$B$145,Fact_Pipeline!$I:$I,"&lt;="&amp;$B$146)</f>
        <v>43600</v>
      </c>
      <c r="H169" s="19">
        <f t="shared" si="1"/>
        <v>0.43426294820717132</v>
      </c>
      <c r="I169" s="18">
        <f>SUMIFS(Fact_Pipeline!$K:$K,Fact_Pipeline!$B:$B,$A169,Fact_Pipeline!$D:$D,"&gt;="&amp;$B$145,Fact_Pipeline!$D:$D,"&lt;="&amp;$B$146)</f>
        <v>195400</v>
      </c>
      <c r="J169" s="17" t="str">
        <f t="shared" si="2"/>
        <v/>
      </c>
    </row>
    <row r="170" spans="1:10" ht="15" customHeight="1" outlineLevel="1" x14ac:dyDescent="0.2">
      <c r="A170" s="21" t="str">
        <f>Dim_Reps!A23</f>
        <v>R032</v>
      </c>
      <c r="B170" s="21" t="str">
        <f>Dim_Reps!B23</f>
        <v>Alex Muller</v>
      </c>
      <c r="C170" s="21" t="str">
        <f>Dim_Reps!D23</f>
        <v>Inside Sales</v>
      </c>
      <c r="D170" s="21" t="str">
        <f>Dim_Reps!E23</f>
        <v>NAMER</v>
      </c>
      <c r="E170" s="21" t="str">
        <f>Dim_Reps!H23</f>
        <v>Active</v>
      </c>
      <c r="F170" s="22">
        <f>SUMIFS(Fact_Quota!$D:$D,Fact_Quota!$A:$A,$A170,Fact_Quota!$B:$B,"&gt;="&amp;$B$145,Fact_Quota!$B:$B,"&lt;="&amp;$B$144)</f>
        <v>185300</v>
      </c>
      <c r="G170" s="22">
        <f>SUMIFS(Fact_Pipeline!$K:$K,Fact_Pipeline!$B:$B,$A170,Fact_Pipeline!$J:$J,"Won",Fact_Pipeline!$I:$I,"&gt;="&amp;$B$145,Fact_Pipeline!$I:$I,"&lt;="&amp;$B$146)</f>
        <v>230600</v>
      </c>
      <c r="H170" s="23">
        <f t="shared" si="1"/>
        <v>1.2444684295736643</v>
      </c>
      <c r="I170" s="22">
        <f>SUMIFS(Fact_Pipeline!$K:$K,Fact_Pipeline!$B:$B,$A170,Fact_Pipeline!$D:$D,"&gt;="&amp;$B$145,Fact_Pipeline!$D:$D,"&lt;="&amp;$B$146)</f>
        <v>490500</v>
      </c>
      <c r="J170" s="24">
        <f t="shared" si="2"/>
        <v>1.2444854295736643</v>
      </c>
    </row>
    <row r="171" spans="1:10" ht="15" customHeight="1" outlineLevel="1" x14ac:dyDescent="0.2">
      <c r="A171" s="17" t="str">
        <f>Dim_Reps!A24</f>
        <v>R033</v>
      </c>
      <c r="B171" s="17" t="str">
        <f>Dim_Reps!B24</f>
        <v>Liam Muller</v>
      </c>
      <c r="C171" s="17" t="str">
        <f>Dim_Reps!D24</f>
        <v>Inside Sales</v>
      </c>
      <c r="D171" s="17" t="str">
        <f>Dim_Reps!E24</f>
        <v>EMEA</v>
      </c>
      <c r="E171" s="17" t="str">
        <f>Dim_Reps!H24</f>
        <v>Active</v>
      </c>
      <c r="F171" s="18">
        <f>SUMIFS(Fact_Quota!$D:$D,Fact_Quota!$A:$A,$A171,Fact_Quota!$B:$B,"&gt;="&amp;$B$145,Fact_Quota!$B:$B,"&lt;="&amp;$B$144)</f>
        <v>184200</v>
      </c>
      <c r="G171" s="18">
        <f>SUMIFS(Fact_Pipeline!$K:$K,Fact_Pipeline!$B:$B,$A171,Fact_Pipeline!$J:$J,"Won",Fact_Pipeline!$I:$I,"&gt;="&amp;$B$145,Fact_Pipeline!$I:$I,"&lt;="&amp;$B$146)</f>
        <v>203600</v>
      </c>
      <c r="H171" s="19">
        <f t="shared" si="1"/>
        <v>1.1053203040173725</v>
      </c>
      <c r="I171" s="18">
        <f>SUMIFS(Fact_Pipeline!$K:$K,Fact_Pipeline!$B:$B,$A171,Fact_Pipeline!$D:$D,"&gt;="&amp;$B$145,Fact_Pipeline!$D:$D,"&lt;="&amp;$B$146)</f>
        <v>485400</v>
      </c>
      <c r="J171" s="20">
        <f t="shared" si="2"/>
        <v>1.1053374040173725</v>
      </c>
    </row>
    <row r="172" spans="1:10" ht="15" customHeight="1" outlineLevel="1" x14ac:dyDescent="0.2">
      <c r="A172" s="21" t="str">
        <f>Dim_Reps!A25</f>
        <v>R037</v>
      </c>
      <c r="B172" s="21" t="str">
        <f>Dim_Reps!B25</f>
        <v>Liam Castro</v>
      </c>
      <c r="C172" s="21" t="str">
        <f>Dim_Reps!D25</f>
        <v>Inside Sales</v>
      </c>
      <c r="D172" s="21" t="str">
        <f>Dim_Reps!E25</f>
        <v>NAMER</v>
      </c>
      <c r="E172" s="21" t="str">
        <f>Dim_Reps!H25</f>
        <v>Active</v>
      </c>
      <c r="F172" s="22">
        <f>SUMIFS(Fact_Quota!$D:$D,Fact_Quota!$A:$A,$A172,Fact_Quota!$B:$B,"&gt;="&amp;$B$145,Fact_Quota!$B:$B,"&lt;="&amp;$B$144)</f>
        <v>186000</v>
      </c>
      <c r="G172" s="22">
        <f>SUMIFS(Fact_Pipeline!$K:$K,Fact_Pipeline!$B:$B,$A172,Fact_Pipeline!$J:$J,"Won",Fact_Pipeline!$I:$I,"&gt;="&amp;$B$145,Fact_Pipeline!$I:$I,"&lt;="&amp;$B$146)</f>
        <v>189300</v>
      </c>
      <c r="H172" s="23">
        <f t="shared" si="1"/>
        <v>1.017741935483871</v>
      </c>
      <c r="I172" s="22">
        <f>SUMIFS(Fact_Pipeline!$K:$K,Fact_Pipeline!$B:$B,$A172,Fact_Pipeline!$D:$D,"&gt;="&amp;$B$145,Fact_Pipeline!$D:$D,"&lt;="&amp;$B$146)</f>
        <v>490200</v>
      </c>
      <c r="J172" s="24">
        <f t="shared" si="2"/>
        <v>1.0177591354838711</v>
      </c>
    </row>
    <row r="173" spans="1:10" ht="15" customHeight="1" outlineLevel="1" x14ac:dyDescent="0.2">
      <c r="A173" s="17" t="str">
        <f>Dim_Reps!A26</f>
        <v>R038</v>
      </c>
      <c r="B173" s="17" t="str">
        <f>Dim_Reps!B26</f>
        <v>Ben Silva</v>
      </c>
      <c r="C173" s="17" t="str">
        <f>Dim_Reps!D26</f>
        <v>Inside Sales</v>
      </c>
      <c r="D173" s="17" t="str">
        <f>Dim_Reps!E26</f>
        <v>LATAM</v>
      </c>
      <c r="E173" s="17" t="str">
        <f>Dim_Reps!H26</f>
        <v>Active</v>
      </c>
      <c r="F173" s="18">
        <f>SUMIFS(Fact_Quota!$D:$D,Fact_Quota!$A:$A,$A173,Fact_Quota!$B:$B,"&gt;="&amp;$B$145,Fact_Quota!$B:$B,"&lt;="&amp;$B$144)</f>
        <v>186700</v>
      </c>
      <c r="G173" s="18">
        <f>SUMIFS(Fact_Pipeline!$K:$K,Fact_Pipeline!$B:$B,$A173,Fact_Pipeline!$J:$J,"Won",Fact_Pipeline!$I:$I,"&gt;="&amp;$B$145,Fact_Pipeline!$I:$I,"&lt;="&amp;$B$146)</f>
        <v>166200</v>
      </c>
      <c r="H173" s="19">
        <f t="shared" si="1"/>
        <v>0.89019817889662556</v>
      </c>
      <c r="I173" s="18">
        <f>SUMIFS(Fact_Pipeline!$K:$K,Fact_Pipeline!$B:$B,$A173,Fact_Pipeline!$D:$D,"&gt;="&amp;$B$145,Fact_Pipeline!$D:$D,"&lt;="&amp;$B$146)</f>
        <v>454800</v>
      </c>
      <c r="J173" s="20">
        <f t="shared" si="2"/>
        <v>0.89021547889662556</v>
      </c>
    </row>
    <row r="174" spans="1:10" ht="15" customHeight="1" outlineLevel="1" x14ac:dyDescent="0.2">
      <c r="A174" s="21" t="str">
        <f>Dim_Reps!A27</f>
        <v>R041</v>
      </c>
      <c r="B174" s="21" t="str">
        <f>Dim_Reps!B27</f>
        <v>Lucas Duarte</v>
      </c>
      <c r="C174" s="21" t="str">
        <f>Dim_Reps!D27</f>
        <v>Inside Sales</v>
      </c>
      <c r="D174" s="21" t="str">
        <f>Dim_Reps!E27</f>
        <v>LATAM</v>
      </c>
      <c r="E174" s="21" t="str">
        <f>Dim_Reps!H27</f>
        <v>Active</v>
      </c>
      <c r="F174" s="22">
        <f>SUMIFS(Fact_Quota!$D:$D,Fact_Quota!$A:$A,$A174,Fact_Quota!$B:$B,"&gt;="&amp;$B$145,Fact_Quota!$B:$B,"&lt;="&amp;$B$144)</f>
        <v>185800</v>
      </c>
      <c r="G174" s="22">
        <f>SUMIFS(Fact_Pipeline!$K:$K,Fact_Pipeline!$B:$B,$A174,Fact_Pipeline!$J:$J,"Won",Fact_Pipeline!$I:$I,"&gt;="&amp;$B$145,Fact_Pipeline!$I:$I,"&lt;="&amp;$B$146)</f>
        <v>236300</v>
      </c>
      <c r="H174" s="23">
        <f t="shared" si="1"/>
        <v>1.2717976318622175</v>
      </c>
      <c r="I174" s="22">
        <f>SUMIFS(Fact_Pipeline!$K:$K,Fact_Pipeline!$B:$B,$A174,Fact_Pipeline!$D:$D,"&gt;="&amp;$B$145,Fact_Pipeline!$D:$D,"&lt;="&amp;$B$146)</f>
        <v>574500</v>
      </c>
      <c r="J174" s="24">
        <f t="shared" si="2"/>
        <v>1.2718150318622174</v>
      </c>
    </row>
    <row r="175" spans="1:10" ht="15" customHeight="1" outlineLevel="1" x14ac:dyDescent="0.2">
      <c r="A175" s="17" t="str">
        <f>Dim_Reps!A28</f>
        <v>R043</v>
      </c>
      <c r="B175" s="17" t="str">
        <f>Dim_Reps!B28</f>
        <v>Milo Castro</v>
      </c>
      <c r="C175" s="17" t="str">
        <f>Dim_Reps!D28</f>
        <v>Inside Sales</v>
      </c>
      <c r="D175" s="17" t="str">
        <f>Dim_Reps!E28</f>
        <v>LATAM</v>
      </c>
      <c r="E175" s="17" t="str">
        <f>Dim_Reps!H28</f>
        <v>Active</v>
      </c>
      <c r="F175" s="18">
        <f>SUMIFS(Fact_Quota!$D:$D,Fact_Quota!$A:$A,$A175,Fact_Quota!$B:$B,"&gt;="&amp;$B$145,Fact_Quota!$B:$B,"&lt;="&amp;$B$144)</f>
        <v>185800</v>
      </c>
      <c r="G175" s="18">
        <f>SUMIFS(Fact_Pipeline!$K:$K,Fact_Pipeline!$B:$B,$A175,Fact_Pipeline!$J:$J,"Won",Fact_Pipeline!$I:$I,"&gt;="&amp;$B$145,Fact_Pipeline!$I:$I,"&lt;="&amp;$B$146)</f>
        <v>212800</v>
      </c>
      <c r="H175" s="19">
        <f t="shared" si="1"/>
        <v>1.1453175457481162</v>
      </c>
      <c r="I175" s="18">
        <f>SUMIFS(Fact_Pipeline!$K:$K,Fact_Pipeline!$B:$B,$A175,Fact_Pipeline!$D:$D,"&gt;="&amp;$B$145,Fact_Pipeline!$D:$D,"&lt;="&amp;$B$146)</f>
        <v>487100</v>
      </c>
      <c r="J175" s="20">
        <f t="shared" si="2"/>
        <v>1.1453350457481162</v>
      </c>
    </row>
    <row r="176" spans="1:10" ht="15" customHeight="1" outlineLevel="1" x14ac:dyDescent="0.2">
      <c r="A176" s="21" t="str">
        <f>Dim_Reps!A29</f>
        <v>R045</v>
      </c>
      <c r="B176" s="21" t="str">
        <f>Dim_Reps!B29</f>
        <v>Hugo Santos</v>
      </c>
      <c r="C176" s="21" t="str">
        <f>Dim_Reps!D29</f>
        <v>Inside Sales</v>
      </c>
      <c r="D176" s="21" t="str">
        <f>Dim_Reps!E29</f>
        <v>EMEA</v>
      </c>
      <c r="E176" s="21" t="str">
        <f>Dim_Reps!H29</f>
        <v>Active</v>
      </c>
      <c r="F176" s="22">
        <f>SUMIFS(Fact_Quota!$D:$D,Fact_Quota!$A:$A,$A176,Fact_Quota!$B:$B,"&gt;="&amp;$B$145,Fact_Quota!$B:$B,"&lt;="&amp;$B$144)</f>
        <v>187100</v>
      </c>
      <c r="G176" s="22">
        <f>SUMIFS(Fact_Pipeline!$K:$K,Fact_Pipeline!$B:$B,$A176,Fact_Pipeline!$J:$J,"Won",Fact_Pipeline!$I:$I,"&gt;="&amp;$B$145,Fact_Pipeline!$I:$I,"&lt;="&amp;$B$146)</f>
        <v>147000</v>
      </c>
      <c r="H176" s="23">
        <f t="shared" si="1"/>
        <v>0.78567610903260288</v>
      </c>
      <c r="I176" s="22">
        <f>SUMIFS(Fact_Pipeline!$K:$K,Fact_Pipeline!$B:$B,$A176,Fact_Pipeline!$D:$D,"&gt;="&amp;$B$145,Fact_Pipeline!$D:$D,"&lt;="&amp;$B$146)</f>
        <v>465500</v>
      </c>
      <c r="J176" s="24">
        <f t="shared" si="2"/>
        <v>0.78569370903260283</v>
      </c>
    </row>
    <row r="177" spans="1:10" ht="15" customHeight="1" outlineLevel="1" x14ac:dyDescent="0.2">
      <c r="A177" s="17" t="str">
        <f>Dim_Reps!A30</f>
        <v>R047</v>
      </c>
      <c r="B177" s="17" t="str">
        <f>Dim_Reps!B30</f>
        <v>Noah Adler</v>
      </c>
      <c r="C177" s="17" t="str">
        <f>Dim_Reps!D30</f>
        <v>Inside Sales</v>
      </c>
      <c r="D177" s="17" t="str">
        <f>Dim_Reps!E30</f>
        <v>NAMER</v>
      </c>
      <c r="E177" s="17" t="str">
        <f>Dim_Reps!H30</f>
        <v>Active</v>
      </c>
      <c r="F177" s="18">
        <f>SUMIFS(Fact_Quota!$D:$D,Fact_Quota!$A:$A,$A177,Fact_Quota!$B:$B,"&gt;="&amp;$B$145,Fact_Quota!$B:$B,"&lt;="&amp;$B$144)</f>
        <v>4000</v>
      </c>
      <c r="G177" s="18">
        <f>SUMIFS(Fact_Pipeline!$K:$K,Fact_Pipeline!$B:$B,$A177,Fact_Pipeline!$J:$J,"Won",Fact_Pipeline!$I:$I,"&gt;="&amp;$B$145,Fact_Pipeline!$I:$I,"&lt;="&amp;$B$146)</f>
        <v>3100</v>
      </c>
      <c r="H177" s="19">
        <f t="shared" si="1"/>
        <v>0.77500000000000002</v>
      </c>
      <c r="I177" s="18">
        <f>SUMIFS(Fact_Pipeline!$K:$K,Fact_Pipeline!$B:$B,$A177,Fact_Pipeline!$D:$D,"&gt;="&amp;$B$145,Fact_Pipeline!$D:$D,"&lt;="&amp;$B$146)</f>
        <v>8700</v>
      </c>
      <c r="J177" s="20">
        <f t="shared" si="2"/>
        <v>0.77501770000000003</v>
      </c>
    </row>
    <row r="178" spans="1:10" ht="15" customHeight="1" outlineLevel="1" x14ac:dyDescent="0.2">
      <c r="A178" s="21" t="str">
        <f>Dim_Reps!A31</f>
        <v>R050</v>
      </c>
      <c r="B178" s="21" t="str">
        <f>Dim_Reps!B31</f>
        <v>Kenji Weber</v>
      </c>
      <c r="C178" s="21" t="str">
        <f>Dim_Reps!D31</f>
        <v>Inside Sales</v>
      </c>
      <c r="D178" s="21" t="str">
        <f>Dim_Reps!E31</f>
        <v>APAC</v>
      </c>
      <c r="E178" s="21" t="str">
        <f>Dim_Reps!H31</f>
        <v>Active</v>
      </c>
      <c r="F178" s="22">
        <f>SUMIFS(Fact_Quota!$D:$D,Fact_Quota!$A:$A,$A178,Fact_Quota!$B:$B,"&gt;="&amp;$B$145,Fact_Quota!$B:$B,"&lt;="&amp;$B$144)</f>
        <v>185100</v>
      </c>
      <c r="G178" s="22">
        <f>SUMIFS(Fact_Pipeline!$K:$K,Fact_Pipeline!$B:$B,$A178,Fact_Pipeline!$J:$J,"Won",Fact_Pipeline!$I:$I,"&gt;="&amp;$B$145,Fact_Pipeline!$I:$I,"&lt;="&amp;$B$146)</f>
        <v>216500</v>
      </c>
      <c r="H178" s="23">
        <f t="shared" si="1"/>
        <v>1.169638033495408</v>
      </c>
      <c r="I178" s="22">
        <f>SUMIFS(Fact_Pipeline!$K:$K,Fact_Pipeline!$B:$B,$A178,Fact_Pipeline!$D:$D,"&gt;="&amp;$B$145,Fact_Pipeline!$D:$D,"&lt;="&amp;$B$146)</f>
        <v>555400</v>
      </c>
      <c r="J178" s="24">
        <f t="shared" si="2"/>
        <v>1.1696558334954079</v>
      </c>
    </row>
    <row r="179" spans="1:10" ht="15" customHeight="1" outlineLevel="1" x14ac:dyDescent="0.2">
      <c r="A179" s="17" t="str">
        <f>Dim_Reps!A32</f>
        <v>R004</v>
      </c>
      <c r="B179" s="17" t="str">
        <f>Dim_Reps!B32</f>
        <v>Jonas Sato</v>
      </c>
      <c r="C179" s="17" t="str">
        <f>Dim_Reps!D32</f>
        <v>Mid-Market</v>
      </c>
      <c r="D179" s="17" t="str">
        <f>Dim_Reps!E32</f>
        <v>LATAM</v>
      </c>
      <c r="E179" s="17" t="str">
        <f>Dim_Reps!H32</f>
        <v>Active</v>
      </c>
      <c r="F179" s="18">
        <f>SUMIFS(Fact_Quota!$D:$D,Fact_Quota!$A:$A,$A179,Fact_Quota!$B:$B,"&gt;="&amp;$B$145,Fact_Quota!$B:$B,"&lt;="&amp;$B$144)</f>
        <v>262900</v>
      </c>
      <c r="G179" s="18">
        <f>SUMIFS(Fact_Pipeline!$K:$K,Fact_Pipeline!$B:$B,$A179,Fact_Pipeline!$J:$J,"Won",Fact_Pipeline!$I:$I,"&gt;="&amp;$B$145,Fact_Pipeline!$I:$I,"&lt;="&amp;$B$146)</f>
        <v>271800</v>
      </c>
      <c r="H179" s="19">
        <f t="shared" si="1"/>
        <v>1.0338531761125904</v>
      </c>
      <c r="I179" s="18">
        <f>SUMIFS(Fact_Pipeline!$K:$K,Fact_Pipeline!$B:$B,$A179,Fact_Pipeline!$D:$D,"&gt;="&amp;$B$145,Fact_Pipeline!$D:$D,"&lt;="&amp;$B$146)</f>
        <v>977400</v>
      </c>
      <c r="J179" s="20">
        <f t="shared" si="2"/>
        <v>1.0338710761125904</v>
      </c>
    </row>
    <row r="180" spans="1:10" ht="15" customHeight="1" outlineLevel="1" x14ac:dyDescent="0.2">
      <c r="A180" s="21" t="str">
        <f>Dim_Reps!A33</f>
        <v>R009</v>
      </c>
      <c r="B180" s="21" t="str">
        <f>Dim_Reps!B33</f>
        <v>Karim Rivera</v>
      </c>
      <c r="C180" s="21" t="str">
        <f>Dim_Reps!D33</f>
        <v>Mid-Market</v>
      </c>
      <c r="D180" s="21" t="str">
        <f>Dim_Reps!E33</f>
        <v>APAC</v>
      </c>
      <c r="E180" s="21" t="str">
        <f>Dim_Reps!H33</f>
        <v>Active</v>
      </c>
      <c r="F180" s="22">
        <f>SUMIFS(Fact_Quota!$D:$D,Fact_Quota!$A:$A,$A180,Fact_Quota!$B:$B,"&gt;="&amp;$B$145,Fact_Quota!$B:$B,"&lt;="&amp;$B$144)</f>
        <v>55600</v>
      </c>
      <c r="G180" s="22">
        <f>SUMIFS(Fact_Pipeline!$K:$K,Fact_Pipeline!$B:$B,$A180,Fact_Pipeline!$J:$J,"Won",Fact_Pipeline!$I:$I,"&gt;="&amp;$B$145,Fact_Pipeline!$I:$I,"&lt;="&amp;$B$146)</f>
        <v>0</v>
      </c>
      <c r="H180" s="23">
        <f t="shared" si="1"/>
        <v>0</v>
      </c>
      <c r="I180" s="22">
        <f>SUMIFS(Fact_Pipeline!$K:$K,Fact_Pipeline!$B:$B,$A180,Fact_Pipeline!$D:$D,"&gt;="&amp;$B$145,Fact_Pipeline!$D:$D,"&lt;="&amp;$B$146)</f>
        <v>104500</v>
      </c>
      <c r="J180" s="24">
        <f t="shared" si="2"/>
        <v>1.8E-5</v>
      </c>
    </row>
    <row r="181" spans="1:10" ht="15" customHeight="1" outlineLevel="1" x14ac:dyDescent="0.2">
      <c r="A181" s="17" t="str">
        <f>Dim_Reps!A34</f>
        <v>R018</v>
      </c>
      <c r="B181" s="17" t="str">
        <f>Dim_Reps!B34</f>
        <v>Ana Sato</v>
      </c>
      <c r="C181" s="17" t="str">
        <f>Dim_Reps!D34</f>
        <v>Mid-Market</v>
      </c>
      <c r="D181" s="17" t="str">
        <f>Dim_Reps!E34</f>
        <v>APAC</v>
      </c>
      <c r="E181" s="17" t="str">
        <f>Dim_Reps!H34</f>
        <v>Active</v>
      </c>
      <c r="F181" s="18">
        <f>SUMIFS(Fact_Quota!$D:$D,Fact_Quota!$A:$A,$A181,Fact_Quota!$B:$B,"&gt;="&amp;$B$145,Fact_Quota!$B:$B,"&lt;="&amp;$B$144)</f>
        <v>32300</v>
      </c>
      <c r="G181" s="18">
        <f>SUMIFS(Fact_Pipeline!$K:$K,Fact_Pipeline!$B:$B,$A181,Fact_Pipeline!$J:$J,"Won",Fact_Pipeline!$I:$I,"&gt;="&amp;$B$145,Fact_Pipeline!$I:$I,"&lt;="&amp;$B$146)</f>
        <v>37000</v>
      </c>
      <c r="H181" s="19">
        <f t="shared" ref="H181:H198" si="3">IFERROR(G181/F181,"")</f>
        <v>1.1455108359133126</v>
      </c>
      <c r="I181" s="18">
        <f>SUMIFS(Fact_Pipeline!$K:$K,Fact_Pipeline!$B:$B,$A181,Fact_Pipeline!$D:$D,"&gt;="&amp;$B$145,Fact_Pipeline!$D:$D,"&lt;="&amp;$B$146)</f>
        <v>92200</v>
      </c>
      <c r="J181" s="20">
        <f t="shared" ref="J181:J198" si="4">IF(E181="Active",IFERROR(H181+(ROW()/10000000),""),"")</f>
        <v>1.1455289359133125</v>
      </c>
    </row>
    <row r="182" spans="1:10" ht="15" customHeight="1" outlineLevel="1" x14ac:dyDescent="0.2">
      <c r="A182" s="21" t="str">
        <f>Dim_Reps!A35</f>
        <v>R019</v>
      </c>
      <c r="B182" s="21" t="str">
        <f>Dim_Reps!B35</f>
        <v>Chloe Petrov</v>
      </c>
      <c r="C182" s="21" t="str">
        <f>Dim_Reps!D35</f>
        <v>Mid-Market</v>
      </c>
      <c r="D182" s="21" t="str">
        <f>Dim_Reps!E35</f>
        <v>EMEA</v>
      </c>
      <c r="E182" s="21" t="str">
        <f>Dim_Reps!H35</f>
        <v>Departed</v>
      </c>
      <c r="F182" s="22">
        <f>SUMIFS(Fact_Quota!$D:$D,Fact_Quota!$A:$A,$A182,Fact_Quota!$B:$B,"&gt;="&amp;$B$145,Fact_Quota!$B:$B,"&lt;="&amp;$B$144)</f>
        <v>0</v>
      </c>
      <c r="G182" s="22">
        <f>SUMIFS(Fact_Pipeline!$K:$K,Fact_Pipeline!$B:$B,$A182,Fact_Pipeline!$J:$J,"Won",Fact_Pipeline!$I:$I,"&gt;="&amp;$B$145,Fact_Pipeline!$I:$I,"&lt;="&amp;$B$146)</f>
        <v>0</v>
      </c>
      <c r="H182" s="23" t="str">
        <f t="shared" si="3"/>
        <v/>
      </c>
      <c r="I182" s="22">
        <f>SUMIFS(Fact_Pipeline!$K:$K,Fact_Pipeline!$B:$B,$A182,Fact_Pipeline!$D:$D,"&gt;="&amp;$B$145,Fact_Pipeline!$D:$D,"&lt;="&amp;$B$146)</f>
        <v>0</v>
      </c>
      <c r="J182" s="21" t="str">
        <f t="shared" si="4"/>
        <v/>
      </c>
    </row>
    <row r="183" spans="1:10" ht="15" customHeight="1" outlineLevel="1" x14ac:dyDescent="0.2">
      <c r="A183" s="17" t="str">
        <f>Dim_Reps!A36</f>
        <v>R021</v>
      </c>
      <c r="B183" s="17" t="str">
        <f>Dim_Reps!B36</f>
        <v>Rafael Weber</v>
      </c>
      <c r="C183" s="17" t="str">
        <f>Dim_Reps!D36</f>
        <v>Mid-Market</v>
      </c>
      <c r="D183" s="17" t="str">
        <f>Dim_Reps!E36</f>
        <v>APAC</v>
      </c>
      <c r="E183" s="17" t="str">
        <f>Dim_Reps!H36</f>
        <v>Active</v>
      </c>
      <c r="F183" s="18">
        <f>SUMIFS(Fact_Quota!$D:$D,Fact_Quota!$A:$A,$A183,Fact_Quota!$B:$B,"&gt;="&amp;$B$145,Fact_Quota!$B:$B,"&lt;="&amp;$B$144)</f>
        <v>78700</v>
      </c>
      <c r="G183" s="18">
        <f>SUMIFS(Fact_Pipeline!$K:$K,Fact_Pipeline!$B:$B,$A183,Fact_Pipeline!$J:$J,"Won",Fact_Pipeline!$I:$I,"&gt;="&amp;$B$145,Fact_Pipeline!$I:$I,"&lt;="&amp;$B$146)</f>
        <v>28000</v>
      </c>
      <c r="H183" s="19">
        <f t="shared" si="3"/>
        <v>0.35578144853875476</v>
      </c>
      <c r="I183" s="18">
        <f>SUMIFS(Fact_Pipeline!$K:$K,Fact_Pipeline!$B:$B,$A183,Fact_Pipeline!$D:$D,"&gt;="&amp;$B$145,Fact_Pipeline!$D:$D,"&lt;="&amp;$B$146)</f>
        <v>168700</v>
      </c>
      <c r="J183" s="20">
        <f t="shared" si="4"/>
        <v>0.35579974853875479</v>
      </c>
    </row>
    <row r="184" spans="1:10" ht="15" customHeight="1" outlineLevel="1" x14ac:dyDescent="0.2">
      <c r="A184" s="21" t="str">
        <f>Dim_Reps!A37</f>
        <v>R025</v>
      </c>
      <c r="B184" s="21" t="str">
        <f>Dim_Reps!B37</f>
        <v>Erik Kim</v>
      </c>
      <c r="C184" s="21" t="str">
        <f>Dim_Reps!D37</f>
        <v>Mid-Market</v>
      </c>
      <c r="D184" s="21" t="str">
        <f>Dim_Reps!E37</f>
        <v>NAMER</v>
      </c>
      <c r="E184" s="21" t="str">
        <f>Dim_Reps!H37</f>
        <v>Active</v>
      </c>
      <c r="F184" s="22">
        <f>SUMIFS(Fact_Quota!$D:$D,Fact_Quota!$A:$A,$A184,Fact_Quota!$B:$B,"&gt;="&amp;$B$145,Fact_Quota!$B:$B,"&lt;="&amp;$B$144)</f>
        <v>15600</v>
      </c>
      <c r="G184" s="22">
        <f>SUMIFS(Fact_Pipeline!$K:$K,Fact_Pipeline!$B:$B,$A184,Fact_Pipeline!$J:$J,"Won",Fact_Pipeline!$I:$I,"&gt;="&amp;$B$145,Fact_Pipeline!$I:$I,"&lt;="&amp;$B$146)</f>
        <v>0</v>
      </c>
      <c r="H184" s="23">
        <f t="shared" si="3"/>
        <v>0</v>
      </c>
      <c r="I184" s="22">
        <f>SUMIFS(Fact_Pipeline!$K:$K,Fact_Pipeline!$B:$B,$A184,Fact_Pipeline!$D:$D,"&gt;="&amp;$B$145,Fact_Pipeline!$D:$D,"&lt;="&amp;$B$146)</f>
        <v>27000</v>
      </c>
      <c r="J184" s="24">
        <f t="shared" si="4"/>
        <v>1.84E-5</v>
      </c>
    </row>
    <row r="185" spans="1:10" ht="15" customHeight="1" outlineLevel="1" x14ac:dyDescent="0.2">
      <c r="A185" s="17" t="str">
        <f>Dim_Reps!A38</f>
        <v>R028</v>
      </c>
      <c r="B185" s="17" t="str">
        <f>Dim_Reps!B38</f>
        <v>Ana Kim</v>
      </c>
      <c r="C185" s="17" t="str">
        <f>Dim_Reps!D38</f>
        <v>Mid-Market</v>
      </c>
      <c r="D185" s="17" t="str">
        <f>Dim_Reps!E38</f>
        <v>APAC</v>
      </c>
      <c r="E185" s="17" t="str">
        <f>Dim_Reps!H38</f>
        <v>Active</v>
      </c>
      <c r="F185" s="18">
        <f>SUMIFS(Fact_Quota!$D:$D,Fact_Quota!$A:$A,$A185,Fact_Quota!$B:$B,"&gt;="&amp;$B$145,Fact_Quota!$B:$B,"&lt;="&amp;$B$144)</f>
        <v>117900</v>
      </c>
      <c r="G185" s="18">
        <f>SUMIFS(Fact_Pipeline!$K:$K,Fact_Pipeline!$B:$B,$A185,Fact_Pipeline!$J:$J,"Won",Fact_Pipeline!$I:$I,"&gt;="&amp;$B$145,Fact_Pipeline!$I:$I,"&lt;="&amp;$B$146)</f>
        <v>78500</v>
      </c>
      <c r="H185" s="19">
        <f t="shared" si="3"/>
        <v>0.66581849024597117</v>
      </c>
      <c r="I185" s="18">
        <f>SUMIFS(Fact_Pipeline!$K:$K,Fact_Pipeline!$B:$B,$A185,Fact_Pipeline!$D:$D,"&gt;="&amp;$B$145,Fact_Pipeline!$D:$D,"&lt;="&amp;$B$146)</f>
        <v>543900</v>
      </c>
      <c r="J185" s="20">
        <f t="shared" si="4"/>
        <v>0.66583699024597121</v>
      </c>
    </row>
    <row r="186" spans="1:10" ht="15" customHeight="1" outlineLevel="1" x14ac:dyDescent="0.2">
      <c r="A186" s="21" t="str">
        <f>Dim_Reps!A39</f>
        <v>R029</v>
      </c>
      <c r="B186" s="21" t="str">
        <f>Dim_Reps!B39</f>
        <v>Felix Okafor</v>
      </c>
      <c r="C186" s="21" t="str">
        <f>Dim_Reps!D39</f>
        <v>Mid-Market</v>
      </c>
      <c r="D186" s="21" t="str">
        <f>Dim_Reps!E39</f>
        <v>EMEA</v>
      </c>
      <c r="E186" s="21" t="str">
        <f>Dim_Reps!H39</f>
        <v>Active</v>
      </c>
      <c r="F186" s="22">
        <f>SUMIFS(Fact_Quota!$D:$D,Fact_Quota!$A:$A,$A186,Fact_Quota!$B:$B,"&gt;="&amp;$B$145,Fact_Quota!$B:$B,"&lt;="&amp;$B$144)</f>
        <v>263400</v>
      </c>
      <c r="G186" s="22">
        <f>SUMIFS(Fact_Pipeline!$K:$K,Fact_Pipeline!$B:$B,$A186,Fact_Pipeline!$J:$J,"Won",Fact_Pipeline!$I:$I,"&gt;="&amp;$B$145,Fact_Pipeline!$I:$I,"&lt;="&amp;$B$146)</f>
        <v>354500</v>
      </c>
      <c r="H186" s="23">
        <f t="shared" si="3"/>
        <v>1.3458618071374335</v>
      </c>
      <c r="I186" s="22">
        <f>SUMIFS(Fact_Pipeline!$K:$K,Fact_Pipeline!$B:$B,$A186,Fact_Pipeline!$D:$D,"&gt;="&amp;$B$145,Fact_Pipeline!$D:$D,"&lt;="&amp;$B$146)</f>
        <v>1177500</v>
      </c>
      <c r="J186" s="24">
        <f t="shared" si="4"/>
        <v>1.3458804071374335</v>
      </c>
    </row>
    <row r="187" spans="1:10" ht="15" customHeight="1" outlineLevel="1" x14ac:dyDescent="0.2">
      <c r="A187" s="17" t="str">
        <f>Dim_Reps!A40</f>
        <v>R031</v>
      </c>
      <c r="B187" s="17" t="str">
        <f>Dim_Reps!B40</f>
        <v>Morgan Larsen</v>
      </c>
      <c r="C187" s="17" t="str">
        <f>Dim_Reps!D40</f>
        <v>Mid-Market</v>
      </c>
      <c r="D187" s="17" t="str">
        <f>Dim_Reps!E40</f>
        <v>NAMER</v>
      </c>
      <c r="E187" s="17" t="str">
        <f>Dim_Reps!H40</f>
        <v>Active</v>
      </c>
      <c r="F187" s="18">
        <f>SUMIFS(Fact_Quota!$D:$D,Fact_Quota!$A:$A,$A187,Fact_Quota!$B:$B,"&gt;="&amp;$B$145,Fact_Quota!$B:$B,"&lt;="&amp;$B$144)</f>
        <v>32200</v>
      </c>
      <c r="G187" s="18">
        <f>SUMIFS(Fact_Pipeline!$K:$K,Fact_Pipeline!$B:$B,$A187,Fact_Pipeline!$J:$J,"Won",Fact_Pipeline!$I:$I,"&gt;="&amp;$B$145,Fact_Pipeline!$I:$I,"&lt;="&amp;$B$146)</f>
        <v>20300</v>
      </c>
      <c r="H187" s="19">
        <f t="shared" si="3"/>
        <v>0.63043478260869568</v>
      </c>
      <c r="I187" s="18">
        <f>SUMIFS(Fact_Pipeline!$K:$K,Fact_Pipeline!$B:$B,$A187,Fact_Pipeline!$D:$D,"&gt;="&amp;$B$145,Fact_Pipeline!$D:$D,"&lt;="&amp;$B$146)</f>
        <v>98000</v>
      </c>
      <c r="J187" s="20">
        <f t="shared" si="4"/>
        <v>0.63045348260869571</v>
      </c>
    </row>
    <row r="188" spans="1:10" ht="15" customHeight="1" outlineLevel="1" x14ac:dyDescent="0.2">
      <c r="A188" s="21" t="str">
        <f>Dim_Reps!A41</f>
        <v>R039</v>
      </c>
      <c r="B188" s="21" t="str">
        <f>Dim_Reps!B41</f>
        <v>Morgan Weber</v>
      </c>
      <c r="C188" s="21" t="str">
        <f>Dim_Reps!D41</f>
        <v>Mid-Market</v>
      </c>
      <c r="D188" s="21" t="str">
        <f>Dim_Reps!E41</f>
        <v>NAMER</v>
      </c>
      <c r="E188" s="21" t="str">
        <f>Dim_Reps!H41</f>
        <v>Active</v>
      </c>
      <c r="F188" s="22">
        <f>SUMIFS(Fact_Quota!$D:$D,Fact_Quota!$A:$A,$A188,Fact_Quota!$B:$B,"&gt;="&amp;$B$145,Fact_Quota!$B:$B,"&lt;="&amp;$B$144)</f>
        <v>262000</v>
      </c>
      <c r="G188" s="22">
        <f>SUMIFS(Fact_Pipeline!$K:$K,Fact_Pipeline!$B:$B,$A188,Fact_Pipeline!$J:$J,"Won",Fact_Pipeline!$I:$I,"&gt;="&amp;$B$145,Fact_Pipeline!$I:$I,"&lt;="&amp;$B$146)</f>
        <v>218400</v>
      </c>
      <c r="H188" s="23">
        <f t="shared" si="3"/>
        <v>0.833587786259542</v>
      </c>
      <c r="I188" s="22">
        <f>SUMIFS(Fact_Pipeline!$K:$K,Fact_Pipeline!$B:$B,$A188,Fact_Pipeline!$D:$D,"&gt;="&amp;$B$145,Fact_Pipeline!$D:$D,"&lt;="&amp;$B$146)</f>
        <v>742400</v>
      </c>
      <c r="J188" s="24">
        <f t="shared" si="4"/>
        <v>0.83360658625954198</v>
      </c>
    </row>
    <row r="189" spans="1:10" ht="15" customHeight="1" outlineLevel="1" x14ac:dyDescent="0.2">
      <c r="A189" s="17" t="str">
        <f>Dim_Reps!A42</f>
        <v>R040</v>
      </c>
      <c r="B189" s="17" t="str">
        <f>Dim_Reps!B42</f>
        <v>Erik Duarte</v>
      </c>
      <c r="C189" s="17" t="str">
        <f>Dim_Reps!D42</f>
        <v>Mid-Market</v>
      </c>
      <c r="D189" s="17" t="str">
        <f>Dim_Reps!E42</f>
        <v>EMEA</v>
      </c>
      <c r="E189" s="17" t="str">
        <f>Dim_Reps!H42</f>
        <v>Active</v>
      </c>
      <c r="F189" s="18">
        <f>SUMIFS(Fact_Quota!$D:$D,Fact_Quota!$A:$A,$A189,Fact_Quota!$B:$B,"&gt;="&amp;$B$145,Fact_Quota!$B:$B,"&lt;="&amp;$B$144)</f>
        <v>263800</v>
      </c>
      <c r="G189" s="18">
        <f>SUMIFS(Fact_Pipeline!$K:$K,Fact_Pipeline!$B:$B,$A189,Fact_Pipeline!$J:$J,"Won",Fact_Pipeline!$I:$I,"&gt;="&amp;$B$145,Fact_Pipeline!$I:$I,"&lt;="&amp;$B$146)</f>
        <v>397800</v>
      </c>
      <c r="H189" s="19">
        <f t="shared" si="3"/>
        <v>1.5079605761940864</v>
      </c>
      <c r="I189" s="18">
        <f>SUMIFS(Fact_Pipeline!$K:$K,Fact_Pipeline!$B:$B,$A189,Fact_Pipeline!$D:$D,"&gt;="&amp;$B$145,Fact_Pipeline!$D:$D,"&lt;="&amp;$B$146)</f>
        <v>1043600</v>
      </c>
      <c r="J189" s="20">
        <f t="shared" si="4"/>
        <v>1.5079794761940863</v>
      </c>
    </row>
    <row r="190" spans="1:10" ht="15" customHeight="1" outlineLevel="1" x14ac:dyDescent="0.2">
      <c r="A190" s="21" t="str">
        <f>Dim_Reps!A43</f>
        <v>R042</v>
      </c>
      <c r="B190" s="21" t="str">
        <f>Dim_Reps!B43</f>
        <v>Yuki Dubois</v>
      </c>
      <c r="C190" s="21" t="str">
        <f>Dim_Reps!D43</f>
        <v>Mid-Market</v>
      </c>
      <c r="D190" s="21" t="str">
        <f>Dim_Reps!E43</f>
        <v>LATAM</v>
      </c>
      <c r="E190" s="21" t="str">
        <f>Dim_Reps!H43</f>
        <v>Active</v>
      </c>
      <c r="F190" s="22">
        <f>SUMIFS(Fact_Quota!$D:$D,Fact_Quota!$A:$A,$A190,Fact_Quota!$B:$B,"&gt;="&amp;$B$145,Fact_Quota!$B:$B,"&lt;="&amp;$B$144)</f>
        <v>264100</v>
      </c>
      <c r="G190" s="22">
        <f>SUMIFS(Fact_Pipeline!$K:$K,Fact_Pipeline!$B:$B,$A190,Fact_Pipeline!$J:$J,"Won",Fact_Pipeline!$I:$I,"&gt;="&amp;$B$145,Fact_Pipeline!$I:$I,"&lt;="&amp;$B$146)</f>
        <v>360400</v>
      </c>
      <c r="H190" s="23">
        <f t="shared" si="3"/>
        <v>1.3646346081029912</v>
      </c>
      <c r="I190" s="22">
        <f>SUMIFS(Fact_Pipeline!$K:$K,Fact_Pipeline!$B:$B,$A190,Fact_Pipeline!$D:$D,"&gt;="&amp;$B$145,Fact_Pipeline!$D:$D,"&lt;="&amp;$B$146)</f>
        <v>909600</v>
      </c>
      <c r="J190" s="24">
        <f t="shared" si="4"/>
        <v>1.3646536081029912</v>
      </c>
    </row>
    <row r="191" spans="1:10" ht="15" customHeight="1" outlineLevel="1" x14ac:dyDescent="0.2">
      <c r="A191" s="17" t="str">
        <f>Dim_Reps!A44</f>
        <v>R046</v>
      </c>
      <c r="B191" s="17" t="str">
        <f>Dim_Reps!B44</f>
        <v>Morgan Rivera</v>
      </c>
      <c r="C191" s="17" t="str">
        <f>Dim_Reps!D44</f>
        <v>Mid-Market</v>
      </c>
      <c r="D191" s="17" t="str">
        <f>Dim_Reps!E44</f>
        <v>NAMER</v>
      </c>
      <c r="E191" s="17" t="str">
        <f>Dim_Reps!H44</f>
        <v>Departed</v>
      </c>
      <c r="F191" s="18">
        <f>SUMIFS(Fact_Quota!$D:$D,Fact_Quota!$A:$A,$A191,Fact_Quota!$B:$B,"&gt;="&amp;$B$145,Fact_Quota!$B:$B,"&lt;="&amp;$B$144)</f>
        <v>242700</v>
      </c>
      <c r="G191" s="18">
        <f>SUMIFS(Fact_Pipeline!$K:$K,Fact_Pipeline!$B:$B,$A191,Fact_Pipeline!$J:$J,"Won",Fact_Pipeline!$I:$I,"&gt;="&amp;$B$145,Fact_Pipeline!$I:$I,"&lt;="&amp;$B$146)</f>
        <v>365500</v>
      </c>
      <c r="H191" s="19">
        <f t="shared" si="3"/>
        <v>1.5059744540585085</v>
      </c>
      <c r="I191" s="18">
        <f>SUMIFS(Fact_Pipeline!$K:$K,Fact_Pipeline!$B:$B,$A191,Fact_Pipeline!$D:$D,"&gt;="&amp;$B$145,Fact_Pipeline!$D:$D,"&lt;="&amp;$B$146)</f>
        <v>1011500</v>
      </c>
      <c r="J191" s="17" t="str">
        <f t="shared" si="4"/>
        <v/>
      </c>
    </row>
    <row r="192" spans="1:10" ht="15" customHeight="1" outlineLevel="1" x14ac:dyDescent="0.2">
      <c r="A192" s="21" t="str">
        <f>Dim_Reps!A45</f>
        <v>R048</v>
      </c>
      <c r="B192" s="21" t="str">
        <f>Dim_Reps!B45</f>
        <v>Ivy Adler</v>
      </c>
      <c r="C192" s="21" t="str">
        <f>Dim_Reps!D45</f>
        <v>Mid-Market</v>
      </c>
      <c r="D192" s="21" t="str">
        <f>Dim_Reps!E45</f>
        <v>APAC</v>
      </c>
      <c r="E192" s="21" t="str">
        <f>Dim_Reps!H45</f>
        <v>Active</v>
      </c>
      <c r="F192" s="22">
        <f>SUMIFS(Fact_Quota!$D:$D,Fact_Quota!$A:$A,$A192,Fact_Quota!$B:$B,"&gt;="&amp;$B$145,Fact_Quota!$B:$B,"&lt;="&amp;$B$144)</f>
        <v>267800</v>
      </c>
      <c r="G192" s="22">
        <f>SUMIFS(Fact_Pipeline!$K:$K,Fact_Pipeline!$B:$B,$A192,Fact_Pipeline!$J:$J,"Won",Fact_Pipeline!$I:$I,"&gt;="&amp;$B$145,Fact_Pipeline!$I:$I,"&lt;="&amp;$B$146)</f>
        <v>319800</v>
      </c>
      <c r="H192" s="23">
        <f t="shared" si="3"/>
        <v>1.1941747572815533</v>
      </c>
      <c r="I192" s="22">
        <f>SUMIFS(Fact_Pipeline!$K:$K,Fact_Pipeline!$B:$B,$A192,Fact_Pipeline!$D:$D,"&gt;="&amp;$B$145,Fact_Pipeline!$D:$D,"&lt;="&amp;$B$146)</f>
        <v>960100</v>
      </c>
      <c r="J192" s="24">
        <f t="shared" si="4"/>
        <v>1.1941939572815534</v>
      </c>
    </row>
    <row r="193" spans="1:10" ht="15" customHeight="1" outlineLevel="1" x14ac:dyDescent="0.2">
      <c r="A193" s="17" t="str">
        <f>Dim_Reps!A46</f>
        <v>R049</v>
      </c>
      <c r="B193" s="17" t="str">
        <f>Dim_Reps!B46</f>
        <v>Olivia Cohen</v>
      </c>
      <c r="C193" s="17" t="str">
        <f>Dim_Reps!D46</f>
        <v>Mid-Market</v>
      </c>
      <c r="D193" s="17" t="str">
        <f>Dim_Reps!E46</f>
        <v>APAC</v>
      </c>
      <c r="E193" s="17" t="str">
        <f>Dim_Reps!H46</f>
        <v>Active</v>
      </c>
      <c r="F193" s="18">
        <f>SUMIFS(Fact_Quota!$D:$D,Fact_Quota!$A:$A,$A193,Fact_Quota!$B:$B,"&gt;="&amp;$B$145,Fact_Quota!$B:$B,"&lt;="&amp;$B$144)</f>
        <v>265200</v>
      </c>
      <c r="G193" s="18">
        <f>SUMIFS(Fact_Pipeline!$K:$K,Fact_Pipeline!$B:$B,$A193,Fact_Pipeline!$J:$J,"Won",Fact_Pipeline!$I:$I,"&gt;="&amp;$B$145,Fact_Pipeline!$I:$I,"&lt;="&amp;$B$146)</f>
        <v>204200</v>
      </c>
      <c r="H193" s="19">
        <f t="shared" si="3"/>
        <v>0.76998491704374061</v>
      </c>
      <c r="I193" s="18">
        <f>SUMIFS(Fact_Pipeline!$K:$K,Fact_Pipeline!$B:$B,$A193,Fact_Pipeline!$D:$D,"&gt;="&amp;$B$145,Fact_Pipeline!$D:$D,"&lt;="&amp;$B$146)</f>
        <v>828300</v>
      </c>
      <c r="J193" s="20">
        <f t="shared" si="4"/>
        <v>0.77000421704374067</v>
      </c>
    </row>
    <row r="194" spans="1:10" ht="15" customHeight="1" outlineLevel="1" x14ac:dyDescent="0.2">
      <c r="A194" s="21" t="str">
        <f>Dim_Reps!A47</f>
        <v>R002</v>
      </c>
      <c r="B194" s="21" t="str">
        <f>Dim_Reps!B47</f>
        <v>Sana Rossi</v>
      </c>
      <c r="C194" s="21" t="str">
        <f>Dim_Reps!D47</f>
        <v>Strategic</v>
      </c>
      <c r="D194" s="21" t="str">
        <f>Dim_Reps!E47</f>
        <v>NAMER</v>
      </c>
      <c r="E194" s="21" t="str">
        <f>Dim_Reps!H47</f>
        <v>Departed</v>
      </c>
      <c r="F194" s="22">
        <f>SUMIFS(Fact_Quota!$D:$D,Fact_Quota!$A:$A,$A194,Fact_Quota!$B:$B,"&gt;="&amp;$B$145,Fact_Quota!$B:$B,"&lt;="&amp;$B$144)</f>
        <v>73200</v>
      </c>
      <c r="G194" s="22">
        <f>SUMIFS(Fact_Pipeline!$K:$K,Fact_Pipeline!$B:$B,$A194,Fact_Pipeline!$J:$J,"Won",Fact_Pipeline!$I:$I,"&gt;="&amp;$B$145,Fact_Pipeline!$I:$I,"&lt;="&amp;$B$146)</f>
        <v>0</v>
      </c>
      <c r="H194" s="23">
        <f t="shared" si="3"/>
        <v>0</v>
      </c>
      <c r="I194" s="22">
        <f>SUMIFS(Fact_Pipeline!$K:$K,Fact_Pipeline!$B:$B,$A194,Fact_Pipeline!$D:$D,"&gt;="&amp;$B$145,Fact_Pipeline!$D:$D,"&lt;="&amp;$B$146)</f>
        <v>49600</v>
      </c>
      <c r="J194" s="21" t="str">
        <f t="shared" si="4"/>
        <v/>
      </c>
    </row>
    <row r="195" spans="1:10" ht="15" customHeight="1" outlineLevel="1" x14ac:dyDescent="0.2">
      <c r="A195" s="17" t="str">
        <f>Dim_Reps!A48</f>
        <v>R012</v>
      </c>
      <c r="B195" s="17" t="str">
        <f>Dim_Reps!B48</f>
        <v>Sara Andersson</v>
      </c>
      <c r="C195" s="17" t="str">
        <f>Dim_Reps!D48</f>
        <v>Strategic</v>
      </c>
      <c r="D195" s="17" t="str">
        <f>Dim_Reps!E48</f>
        <v>APAC</v>
      </c>
      <c r="E195" s="17" t="str">
        <f>Dim_Reps!H48</f>
        <v>Active</v>
      </c>
      <c r="F195" s="18">
        <f>SUMIFS(Fact_Quota!$D:$D,Fact_Quota!$A:$A,$A195,Fact_Quota!$B:$B,"&gt;="&amp;$B$145,Fact_Quota!$B:$B,"&lt;="&amp;$B$144)</f>
        <v>575900</v>
      </c>
      <c r="G195" s="18">
        <f>SUMIFS(Fact_Pipeline!$K:$K,Fact_Pipeline!$B:$B,$A195,Fact_Pipeline!$J:$J,"Won",Fact_Pipeline!$I:$I,"&gt;="&amp;$B$145,Fact_Pipeline!$I:$I,"&lt;="&amp;$B$146)</f>
        <v>478200</v>
      </c>
      <c r="H195" s="19">
        <f t="shared" si="3"/>
        <v>0.83035249175204029</v>
      </c>
      <c r="I195" s="18">
        <f>SUMIFS(Fact_Pipeline!$K:$K,Fact_Pipeline!$B:$B,$A195,Fact_Pipeline!$D:$D,"&gt;="&amp;$B$145,Fact_Pipeline!$D:$D,"&lt;="&amp;$B$146)</f>
        <v>1666500</v>
      </c>
      <c r="J195" s="20">
        <f t="shared" si="4"/>
        <v>0.83037199175204024</v>
      </c>
    </row>
    <row r="196" spans="1:10" ht="15" customHeight="1" outlineLevel="1" x14ac:dyDescent="0.2">
      <c r="A196" s="21" t="str">
        <f>Dim_Reps!A49</f>
        <v>R034</v>
      </c>
      <c r="B196" s="21" t="str">
        <f>Dim_Reps!B49</f>
        <v>Cameron Lund</v>
      </c>
      <c r="C196" s="21" t="str">
        <f>Dim_Reps!D49</f>
        <v>Strategic</v>
      </c>
      <c r="D196" s="21" t="str">
        <f>Dim_Reps!E49</f>
        <v>LATAM</v>
      </c>
      <c r="E196" s="21" t="str">
        <f>Dim_Reps!H49</f>
        <v>Active</v>
      </c>
      <c r="F196" s="22">
        <f>SUMIFS(Fact_Quota!$D:$D,Fact_Quota!$A:$A,$A196,Fact_Quota!$B:$B,"&gt;="&amp;$B$145,Fact_Quota!$B:$B,"&lt;="&amp;$B$144)</f>
        <v>575500</v>
      </c>
      <c r="G196" s="22">
        <f>SUMIFS(Fact_Pipeline!$K:$K,Fact_Pipeline!$B:$B,$A196,Fact_Pipeline!$J:$J,"Won",Fact_Pipeline!$I:$I,"&gt;="&amp;$B$145,Fact_Pipeline!$I:$I,"&lt;="&amp;$B$146)</f>
        <v>668200</v>
      </c>
      <c r="H196" s="23">
        <f t="shared" si="3"/>
        <v>1.1610773240660295</v>
      </c>
      <c r="I196" s="22">
        <f>SUMIFS(Fact_Pipeline!$K:$K,Fact_Pipeline!$B:$B,$A196,Fact_Pipeline!$D:$D,"&gt;="&amp;$B$145,Fact_Pipeline!$D:$D,"&lt;="&amp;$B$146)</f>
        <v>1688200</v>
      </c>
      <c r="J196" s="24">
        <f t="shared" si="4"/>
        <v>1.1610969240660294</v>
      </c>
    </row>
    <row r="197" spans="1:10" ht="15" customHeight="1" outlineLevel="1" x14ac:dyDescent="0.2">
      <c r="A197" s="17" t="str">
        <f>Dim_Reps!A50</f>
        <v>R035</v>
      </c>
      <c r="B197" s="17" t="str">
        <f>Dim_Reps!B50</f>
        <v>Fatima Rossi</v>
      </c>
      <c r="C197" s="17" t="str">
        <f>Dim_Reps!D50</f>
        <v>Strategic</v>
      </c>
      <c r="D197" s="17" t="str">
        <f>Dim_Reps!E50</f>
        <v>NAMER</v>
      </c>
      <c r="E197" s="17" t="str">
        <f>Dim_Reps!H50</f>
        <v>Active</v>
      </c>
      <c r="F197" s="18">
        <f>SUMIFS(Fact_Quota!$D:$D,Fact_Quota!$A:$A,$A197,Fact_Quota!$B:$B,"&gt;="&amp;$B$145,Fact_Quota!$B:$B,"&lt;="&amp;$B$144)</f>
        <v>565500</v>
      </c>
      <c r="G197" s="18">
        <f>SUMIFS(Fact_Pipeline!$K:$K,Fact_Pipeline!$B:$B,$A197,Fact_Pipeline!$J:$J,"Won",Fact_Pipeline!$I:$I,"&gt;="&amp;$B$145,Fact_Pipeline!$I:$I,"&lt;="&amp;$B$146)</f>
        <v>719200</v>
      </c>
      <c r="H197" s="19">
        <f t="shared" si="3"/>
        <v>1.2717948717948717</v>
      </c>
      <c r="I197" s="18">
        <f>SUMIFS(Fact_Pipeline!$K:$K,Fact_Pipeline!$B:$B,$A197,Fact_Pipeline!$D:$D,"&gt;="&amp;$B$145,Fact_Pipeline!$D:$D,"&lt;="&amp;$B$146)</f>
        <v>1953600</v>
      </c>
      <c r="J197" s="20">
        <f t="shared" si="4"/>
        <v>1.2718145717948717</v>
      </c>
    </row>
    <row r="198" spans="1:10" ht="15" customHeight="1" outlineLevel="1" x14ac:dyDescent="0.2">
      <c r="A198" s="21" t="str">
        <f>Dim_Reps!A51</f>
        <v>R044</v>
      </c>
      <c r="B198" s="21" t="str">
        <f>Dim_Reps!B51</f>
        <v>Taylor Adler</v>
      </c>
      <c r="C198" s="21" t="str">
        <f>Dim_Reps!D51</f>
        <v>Strategic</v>
      </c>
      <c r="D198" s="21" t="str">
        <f>Dim_Reps!E51</f>
        <v>NAMER</v>
      </c>
      <c r="E198" s="21" t="str">
        <f>Dim_Reps!H51</f>
        <v>Departed</v>
      </c>
      <c r="F198" s="22">
        <f>SUMIFS(Fact_Quota!$D:$D,Fact_Quota!$A:$A,$A198,Fact_Quota!$B:$B,"&gt;="&amp;$B$145,Fact_Quota!$B:$B,"&lt;="&amp;$B$144)</f>
        <v>575100</v>
      </c>
      <c r="G198" s="22">
        <f>SUMIFS(Fact_Pipeline!$K:$K,Fact_Pipeline!$B:$B,$A198,Fact_Pipeline!$J:$J,"Won",Fact_Pipeline!$I:$I,"&gt;="&amp;$B$145,Fact_Pipeline!$I:$I,"&lt;="&amp;$B$146)</f>
        <v>374000</v>
      </c>
      <c r="H198" s="23">
        <f t="shared" si="3"/>
        <v>0.65032168318553296</v>
      </c>
      <c r="I198" s="22">
        <f>SUMIFS(Fact_Pipeline!$K:$K,Fact_Pipeline!$B:$B,$A198,Fact_Pipeline!$D:$D,"&gt;="&amp;$B$145,Fact_Pipeline!$D:$D,"&lt;="&amp;$B$146)</f>
        <v>1922300</v>
      </c>
      <c r="J198" s="21" t="str">
        <f t="shared" si="4"/>
        <v/>
      </c>
    </row>
    <row r="199" spans="1:10" ht="15" customHeight="1" outlineLevel="1" x14ac:dyDescent="0.2"/>
    <row r="200" spans="1:10" ht="15" customHeight="1" outlineLevel="1" x14ac:dyDescent="0.2"/>
    <row r="201" spans="1:10" ht="15" customHeight="1" outlineLevel="1" x14ac:dyDescent="0.2">
      <c r="A201" s="16" t="s">
        <v>85</v>
      </c>
      <c r="B201" s="16" t="s">
        <v>86</v>
      </c>
      <c r="C201" s="16" t="s">
        <v>22</v>
      </c>
      <c r="D201" s="16" t="s">
        <v>23</v>
      </c>
      <c r="E201" s="16" t="s">
        <v>24</v>
      </c>
      <c r="F201" s="16" t="s">
        <v>25</v>
      </c>
    </row>
    <row r="202" spans="1:10" ht="15" customHeight="1" outlineLevel="1" x14ac:dyDescent="0.2">
      <c r="A202" s="25">
        <f>DATE(2024,1,1)</f>
        <v>45292</v>
      </c>
      <c r="B202" s="17" t="str">
        <f t="shared" ref="B202:B225" si="5">TEXT(A202,"mmm yyyy")</f>
        <v>Jan 2024</v>
      </c>
      <c r="C202" s="18">
        <f>SUMIFS(Fact_Quota!$D:$D,Fact_Quota!$B:$B,"&gt;="&amp;A202,Fact_Quota!$B:$B,"&lt;"&amp;EDATE(A202,1))</f>
        <v>573900</v>
      </c>
      <c r="D202" s="18">
        <f>SUMIFS(Fact_Pipeline!$K:$K,Fact_Pipeline!$J:$J,"Won",Fact_Pipeline!$I:$I,"&gt;="&amp;A202,Fact_Pipeline!$I:$I,"&lt;"&amp;EDATE(A202,1))</f>
        <v>81300</v>
      </c>
      <c r="E202" s="19">
        <f t="shared" ref="E202:E225" si="6">IFERROR(D202/C202,"")</f>
        <v>0.14166231050705697</v>
      </c>
      <c r="F202" s="18">
        <f>SUMIFS(Fact_Pipeline!$K:$K,Fact_Pipeline!$D:$D,"&gt;="&amp;A202,Fact_Pipeline!$D:$D,"&lt;"&amp;EDATE(A202,1))</f>
        <v>1605300</v>
      </c>
    </row>
    <row r="203" spans="1:10" ht="15" customHeight="1" outlineLevel="1" x14ac:dyDescent="0.2">
      <c r="A203" s="26">
        <f t="shared" ref="A203:A225" si="7">EDATE(A202,1)</f>
        <v>45323</v>
      </c>
      <c r="B203" s="21" t="str">
        <f t="shared" si="5"/>
        <v>Feb 2024</v>
      </c>
      <c r="C203" s="22">
        <f>SUMIFS(Fact_Quota!$D:$D,Fact_Quota!$B:$B,"&gt;="&amp;A203,Fact_Quota!$B:$B,"&lt;"&amp;EDATE(A203,1))</f>
        <v>598300</v>
      </c>
      <c r="D203" s="22">
        <f>SUMIFS(Fact_Pipeline!$K:$K,Fact_Pipeline!$J:$J,"Won",Fact_Pipeline!$I:$I,"&gt;="&amp;A203,Fact_Pipeline!$I:$I,"&lt;"&amp;EDATE(A203,1))</f>
        <v>299400</v>
      </c>
      <c r="E203" s="23">
        <f t="shared" si="6"/>
        <v>0.50041785057663379</v>
      </c>
      <c r="F203" s="22">
        <f>SUMIFS(Fact_Pipeline!$K:$K,Fact_Pipeline!$D:$D,"&gt;="&amp;A203,Fact_Pipeline!$D:$D,"&lt;"&amp;EDATE(A203,1))</f>
        <v>1791600</v>
      </c>
    </row>
    <row r="204" spans="1:10" ht="15" customHeight="1" outlineLevel="1" x14ac:dyDescent="0.2">
      <c r="A204" s="25">
        <f t="shared" si="7"/>
        <v>45352</v>
      </c>
      <c r="B204" s="17" t="str">
        <f t="shared" si="5"/>
        <v>Mar 2024</v>
      </c>
      <c r="C204" s="18">
        <f>SUMIFS(Fact_Quota!$D:$D,Fact_Quota!$B:$B,"&gt;="&amp;A204,Fact_Quota!$B:$B,"&lt;"&amp;EDATE(A204,1))</f>
        <v>624300</v>
      </c>
      <c r="D204" s="18">
        <f>SUMIFS(Fact_Pipeline!$K:$K,Fact_Pipeline!$J:$J,"Won",Fact_Pipeline!$I:$I,"&gt;="&amp;A204,Fact_Pipeline!$I:$I,"&lt;"&amp;EDATE(A204,1))</f>
        <v>453100</v>
      </c>
      <c r="E204" s="19">
        <f t="shared" si="6"/>
        <v>0.72577286560948262</v>
      </c>
      <c r="F204" s="18">
        <f>SUMIFS(Fact_Pipeline!$K:$K,Fact_Pipeline!$D:$D,"&gt;="&amp;A204,Fact_Pipeline!$D:$D,"&lt;"&amp;EDATE(A204,1))</f>
        <v>1719600</v>
      </c>
    </row>
    <row r="205" spans="1:10" ht="15" customHeight="1" outlineLevel="1" x14ac:dyDescent="0.2">
      <c r="A205" s="26">
        <f t="shared" si="7"/>
        <v>45383</v>
      </c>
      <c r="B205" s="21" t="str">
        <f t="shared" si="5"/>
        <v>Apr 2024</v>
      </c>
      <c r="C205" s="22">
        <f>SUMIFS(Fact_Quota!$D:$D,Fact_Quota!$B:$B,"&gt;="&amp;A205,Fact_Quota!$B:$B,"&lt;"&amp;EDATE(A205,1))</f>
        <v>647600</v>
      </c>
      <c r="D205" s="22">
        <f>SUMIFS(Fact_Pipeline!$K:$K,Fact_Pipeline!$J:$J,"Won",Fact_Pipeline!$I:$I,"&gt;="&amp;A205,Fact_Pipeline!$I:$I,"&lt;"&amp;EDATE(A205,1))</f>
        <v>483600</v>
      </c>
      <c r="E205" s="23">
        <f t="shared" si="6"/>
        <v>0.74675725756639899</v>
      </c>
      <c r="F205" s="22">
        <f>SUMIFS(Fact_Pipeline!$K:$K,Fact_Pipeline!$D:$D,"&gt;="&amp;A205,Fact_Pipeline!$D:$D,"&lt;"&amp;EDATE(A205,1))</f>
        <v>2236300</v>
      </c>
    </row>
    <row r="206" spans="1:10" ht="15" customHeight="1" outlineLevel="1" x14ac:dyDescent="0.2">
      <c r="A206" s="25">
        <f t="shared" si="7"/>
        <v>45413</v>
      </c>
      <c r="B206" s="17" t="str">
        <f t="shared" si="5"/>
        <v>May 2024</v>
      </c>
      <c r="C206" s="18">
        <f>SUMIFS(Fact_Quota!$D:$D,Fact_Quota!$B:$B,"&gt;="&amp;A206,Fact_Quota!$B:$B,"&lt;"&amp;EDATE(A206,1))</f>
        <v>665200</v>
      </c>
      <c r="D206" s="18">
        <f>SUMIFS(Fact_Pipeline!$K:$K,Fact_Pipeline!$J:$J,"Won",Fact_Pipeline!$I:$I,"&gt;="&amp;A206,Fact_Pipeline!$I:$I,"&lt;"&amp;EDATE(A206,1))</f>
        <v>573900</v>
      </c>
      <c r="E206" s="19">
        <f t="shared" si="6"/>
        <v>0.8627480457005412</v>
      </c>
      <c r="F206" s="18">
        <f>SUMIFS(Fact_Pipeline!$K:$K,Fact_Pipeline!$D:$D,"&gt;="&amp;A206,Fact_Pipeline!$D:$D,"&lt;"&amp;EDATE(A206,1))</f>
        <v>2015800</v>
      </c>
    </row>
    <row r="207" spans="1:10" ht="15" customHeight="1" outlineLevel="1" x14ac:dyDescent="0.2">
      <c r="A207" s="26">
        <f t="shared" si="7"/>
        <v>45444</v>
      </c>
      <c r="B207" s="21" t="str">
        <f t="shared" si="5"/>
        <v>Jun 2024</v>
      </c>
      <c r="C207" s="22">
        <f>SUMIFS(Fact_Quota!$D:$D,Fact_Quota!$B:$B,"&gt;="&amp;A207,Fact_Quota!$B:$B,"&lt;"&amp;EDATE(A207,1))</f>
        <v>693900</v>
      </c>
      <c r="D207" s="22">
        <f>SUMIFS(Fact_Pipeline!$K:$K,Fact_Pipeline!$J:$J,"Won",Fact_Pipeline!$I:$I,"&gt;="&amp;A207,Fact_Pipeline!$I:$I,"&lt;"&amp;EDATE(A207,1))</f>
        <v>598700</v>
      </c>
      <c r="E207" s="23">
        <f t="shared" si="6"/>
        <v>0.86280443867992507</v>
      </c>
      <c r="F207" s="22">
        <f>SUMIFS(Fact_Pipeline!$K:$K,Fact_Pipeline!$D:$D,"&gt;="&amp;A207,Fact_Pipeline!$D:$D,"&lt;"&amp;EDATE(A207,1))</f>
        <v>2268000</v>
      </c>
    </row>
    <row r="208" spans="1:10" ht="15" customHeight="1" outlineLevel="1" x14ac:dyDescent="0.2">
      <c r="A208" s="25">
        <f t="shared" si="7"/>
        <v>45474</v>
      </c>
      <c r="B208" s="17" t="str">
        <f t="shared" si="5"/>
        <v>Jul 2024</v>
      </c>
      <c r="C208" s="18">
        <f>SUMIFS(Fact_Quota!$D:$D,Fact_Quota!$B:$B,"&gt;="&amp;A208,Fact_Quota!$B:$B,"&lt;"&amp;EDATE(A208,1))</f>
        <v>735600</v>
      </c>
      <c r="D208" s="18">
        <f>SUMIFS(Fact_Pipeline!$K:$K,Fact_Pipeline!$J:$J,"Won",Fact_Pipeline!$I:$I,"&gt;="&amp;A208,Fact_Pipeline!$I:$I,"&lt;"&amp;EDATE(A208,1))</f>
        <v>961100</v>
      </c>
      <c r="E208" s="19">
        <f t="shared" si="6"/>
        <v>1.306552474170745</v>
      </c>
      <c r="F208" s="18">
        <f>SUMIFS(Fact_Pipeline!$K:$K,Fact_Pipeline!$D:$D,"&gt;="&amp;A208,Fact_Pipeline!$D:$D,"&lt;"&amp;EDATE(A208,1))</f>
        <v>1722000</v>
      </c>
    </row>
    <row r="209" spans="1:6" ht="15" customHeight="1" outlineLevel="1" x14ac:dyDescent="0.2">
      <c r="A209" s="26">
        <f t="shared" si="7"/>
        <v>45505</v>
      </c>
      <c r="B209" s="21" t="str">
        <f t="shared" si="5"/>
        <v>Aug 2024</v>
      </c>
      <c r="C209" s="22">
        <f>SUMIFS(Fact_Quota!$D:$D,Fact_Quota!$B:$B,"&gt;="&amp;A209,Fact_Quota!$B:$B,"&lt;"&amp;EDATE(A209,1))</f>
        <v>773600</v>
      </c>
      <c r="D209" s="22">
        <f>SUMIFS(Fact_Pipeline!$K:$K,Fact_Pipeline!$J:$J,"Won",Fact_Pipeline!$I:$I,"&gt;="&amp;A209,Fact_Pipeline!$I:$I,"&lt;"&amp;EDATE(A209,1))</f>
        <v>634700</v>
      </c>
      <c r="E209" s="23">
        <f t="shared" si="6"/>
        <v>0.82044984488107553</v>
      </c>
      <c r="F209" s="22">
        <f>SUMIFS(Fact_Pipeline!$K:$K,Fact_Pipeline!$D:$D,"&gt;="&amp;A209,Fact_Pipeline!$D:$D,"&lt;"&amp;EDATE(A209,1))</f>
        <v>1619600</v>
      </c>
    </row>
    <row r="210" spans="1:6" ht="15" customHeight="1" outlineLevel="1" x14ac:dyDescent="0.2">
      <c r="A210" s="25">
        <f t="shared" si="7"/>
        <v>45536</v>
      </c>
      <c r="B210" s="17" t="str">
        <f t="shared" si="5"/>
        <v>Sep 2024</v>
      </c>
      <c r="C210" s="18">
        <f>SUMIFS(Fact_Quota!$D:$D,Fact_Quota!$B:$B,"&gt;="&amp;A210,Fact_Quota!$B:$B,"&lt;"&amp;EDATE(A210,1))</f>
        <v>794400</v>
      </c>
      <c r="D210" s="18">
        <f>SUMIFS(Fact_Pipeline!$K:$K,Fact_Pipeline!$J:$J,"Won",Fact_Pipeline!$I:$I,"&gt;="&amp;A210,Fact_Pipeline!$I:$I,"&lt;"&amp;EDATE(A210,1))</f>
        <v>535500</v>
      </c>
      <c r="E210" s="19">
        <f t="shared" si="6"/>
        <v>0.67409365558912382</v>
      </c>
      <c r="F210" s="18">
        <f>SUMIFS(Fact_Pipeline!$K:$K,Fact_Pipeline!$D:$D,"&gt;="&amp;A210,Fact_Pipeline!$D:$D,"&lt;"&amp;EDATE(A210,1))</f>
        <v>2543700</v>
      </c>
    </row>
    <row r="211" spans="1:6" ht="15" customHeight="1" outlineLevel="1" x14ac:dyDescent="0.2">
      <c r="A211" s="26">
        <f t="shared" si="7"/>
        <v>45566</v>
      </c>
      <c r="B211" s="21" t="str">
        <f t="shared" si="5"/>
        <v>Oct 2024</v>
      </c>
      <c r="C211" s="22">
        <f>SUMIFS(Fact_Quota!$D:$D,Fact_Quota!$B:$B,"&gt;="&amp;A211,Fact_Quota!$B:$B,"&lt;"&amp;EDATE(A211,1))</f>
        <v>814200</v>
      </c>
      <c r="D211" s="22">
        <f>SUMIFS(Fact_Pipeline!$K:$K,Fact_Pipeline!$J:$J,"Won",Fact_Pipeline!$I:$I,"&gt;="&amp;A211,Fact_Pipeline!$I:$I,"&lt;"&amp;EDATE(A211,1))</f>
        <v>816600</v>
      </c>
      <c r="E211" s="23">
        <f t="shared" si="6"/>
        <v>1.0029476787030214</v>
      </c>
      <c r="F211" s="22">
        <f>SUMIFS(Fact_Pipeline!$K:$K,Fact_Pipeline!$D:$D,"&gt;="&amp;A211,Fact_Pipeline!$D:$D,"&lt;"&amp;EDATE(A211,1))</f>
        <v>3671400</v>
      </c>
    </row>
    <row r="212" spans="1:6" ht="15" customHeight="1" outlineLevel="1" x14ac:dyDescent="0.2">
      <c r="A212" s="25">
        <f t="shared" si="7"/>
        <v>45597</v>
      </c>
      <c r="B212" s="17" t="str">
        <f t="shared" si="5"/>
        <v>Nov 2024</v>
      </c>
      <c r="C212" s="18">
        <f>SUMIFS(Fact_Quota!$D:$D,Fact_Quota!$B:$B,"&gt;="&amp;A212,Fact_Quota!$B:$B,"&lt;"&amp;EDATE(A212,1))</f>
        <v>816700</v>
      </c>
      <c r="D212" s="18">
        <f>SUMIFS(Fact_Pipeline!$K:$K,Fact_Pipeline!$J:$J,"Won",Fact_Pipeline!$I:$I,"&gt;="&amp;A212,Fact_Pipeline!$I:$I,"&lt;"&amp;EDATE(A212,1))</f>
        <v>874600</v>
      </c>
      <c r="E212" s="19">
        <f t="shared" si="6"/>
        <v>1.0708950655075302</v>
      </c>
      <c r="F212" s="18">
        <f>SUMIFS(Fact_Pipeline!$K:$K,Fact_Pipeline!$D:$D,"&gt;="&amp;A212,Fact_Pipeline!$D:$D,"&lt;"&amp;EDATE(A212,1))</f>
        <v>3628500</v>
      </c>
    </row>
    <row r="213" spans="1:6" ht="15" customHeight="1" outlineLevel="1" x14ac:dyDescent="0.2">
      <c r="A213" s="26">
        <f t="shared" si="7"/>
        <v>45627</v>
      </c>
      <c r="B213" s="21" t="str">
        <f t="shared" si="5"/>
        <v>Dec 2024</v>
      </c>
      <c r="C213" s="22">
        <f>SUMIFS(Fact_Quota!$D:$D,Fact_Quota!$B:$B,"&gt;="&amp;A213,Fact_Quota!$B:$B,"&lt;"&amp;EDATE(A213,1))</f>
        <v>829400</v>
      </c>
      <c r="D213" s="22">
        <f>SUMIFS(Fact_Pipeline!$K:$K,Fact_Pipeline!$J:$J,"Won",Fact_Pipeline!$I:$I,"&gt;="&amp;A213,Fact_Pipeline!$I:$I,"&lt;"&amp;EDATE(A213,1))</f>
        <v>1196100</v>
      </c>
      <c r="E213" s="23">
        <f t="shared" si="6"/>
        <v>1.4421268386785628</v>
      </c>
      <c r="F213" s="22">
        <f>SUMIFS(Fact_Pipeline!$K:$K,Fact_Pipeline!$D:$D,"&gt;="&amp;A213,Fact_Pipeline!$D:$D,"&lt;"&amp;EDATE(A213,1))</f>
        <v>3499800</v>
      </c>
    </row>
    <row r="214" spans="1:6" ht="15" customHeight="1" outlineLevel="1" x14ac:dyDescent="0.2">
      <c r="A214" s="25">
        <f t="shared" si="7"/>
        <v>45658</v>
      </c>
      <c r="B214" s="17" t="str">
        <f t="shared" si="5"/>
        <v>Jan 2025</v>
      </c>
      <c r="C214" s="18">
        <f>SUMIFS(Fact_Quota!$D:$D,Fact_Quota!$B:$B,"&gt;="&amp;A214,Fact_Quota!$B:$B,"&lt;"&amp;EDATE(A214,1))</f>
        <v>827900</v>
      </c>
      <c r="D214" s="18">
        <f>SUMIFS(Fact_Pipeline!$K:$K,Fact_Pipeline!$J:$J,"Won",Fact_Pipeline!$I:$I,"&gt;="&amp;A214,Fact_Pipeline!$I:$I,"&lt;"&amp;EDATE(A214,1))</f>
        <v>1412000</v>
      </c>
      <c r="E214" s="19">
        <f t="shared" si="6"/>
        <v>1.7055199903369973</v>
      </c>
      <c r="F214" s="18">
        <f>SUMIFS(Fact_Pipeline!$K:$K,Fact_Pipeline!$D:$D,"&gt;="&amp;A214,Fact_Pipeline!$D:$D,"&lt;"&amp;EDATE(A214,1))</f>
        <v>2539100</v>
      </c>
    </row>
    <row r="215" spans="1:6" ht="15" customHeight="1" outlineLevel="1" x14ac:dyDescent="0.2">
      <c r="A215" s="26">
        <f t="shared" si="7"/>
        <v>45689</v>
      </c>
      <c r="B215" s="21" t="str">
        <f t="shared" si="5"/>
        <v>Feb 2025</v>
      </c>
      <c r="C215" s="22">
        <f>SUMIFS(Fact_Quota!$D:$D,Fact_Quota!$B:$B,"&gt;="&amp;A215,Fact_Quota!$B:$B,"&lt;"&amp;EDATE(A215,1))</f>
        <v>850500</v>
      </c>
      <c r="D215" s="22">
        <f>SUMIFS(Fact_Pipeline!$K:$K,Fact_Pipeline!$J:$J,"Won",Fact_Pipeline!$I:$I,"&gt;="&amp;A215,Fact_Pipeline!$I:$I,"&lt;"&amp;EDATE(A215,1))</f>
        <v>803800</v>
      </c>
      <c r="E215" s="23">
        <f t="shared" si="6"/>
        <v>0.94509112286890062</v>
      </c>
      <c r="F215" s="22">
        <f>SUMIFS(Fact_Pipeline!$K:$K,Fact_Pipeline!$D:$D,"&gt;="&amp;A215,Fact_Pipeline!$D:$D,"&lt;"&amp;EDATE(A215,1))</f>
        <v>2702700</v>
      </c>
    </row>
    <row r="216" spans="1:6" ht="15" customHeight="1" outlineLevel="1" x14ac:dyDescent="0.2">
      <c r="A216" s="25">
        <f t="shared" si="7"/>
        <v>45717</v>
      </c>
      <c r="B216" s="17" t="str">
        <f t="shared" si="5"/>
        <v>Mar 2025</v>
      </c>
      <c r="C216" s="18">
        <f>SUMIFS(Fact_Quota!$D:$D,Fact_Quota!$B:$B,"&gt;="&amp;A216,Fact_Quota!$B:$B,"&lt;"&amp;EDATE(A216,1))</f>
        <v>863300</v>
      </c>
      <c r="D216" s="18">
        <f>SUMIFS(Fact_Pipeline!$K:$K,Fact_Pipeline!$J:$J,"Won",Fact_Pipeline!$I:$I,"&gt;="&amp;A216,Fact_Pipeline!$I:$I,"&lt;"&amp;EDATE(A216,1))</f>
        <v>964300</v>
      </c>
      <c r="E216" s="19">
        <f t="shared" si="6"/>
        <v>1.1169929340901192</v>
      </c>
      <c r="F216" s="18">
        <f>SUMIFS(Fact_Pipeline!$K:$K,Fact_Pipeline!$D:$D,"&gt;="&amp;A216,Fact_Pipeline!$D:$D,"&lt;"&amp;EDATE(A216,1))</f>
        <v>3188500</v>
      </c>
    </row>
    <row r="217" spans="1:6" ht="15" customHeight="1" outlineLevel="1" x14ac:dyDescent="0.2">
      <c r="A217" s="26">
        <f t="shared" si="7"/>
        <v>45748</v>
      </c>
      <c r="B217" s="21" t="str">
        <f t="shared" si="5"/>
        <v>Apr 2025</v>
      </c>
      <c r="C217" s="22">
        <f>SUMIFS(Fact_Quota!$D:$D,Fact_Quota!$B:$B,"&gt;="&amp;A217,Fact_Quota!$B:$B,"&lt;"&amp;EDATE(A217,1))</f>
        <v>881000</v>
      </c>
      <c r="D217" s="22">
        <f>SUMIFS(Fact_Pipeline!$K:$K,Fact_Pipeline!$J:$J,"Won",Fact_Pipeline!$I:$I,"&gt;="&amp;A217,Fact_Pipeline!$I:$I,"&lt;"&amp;EDATE(A217,1))</f>
        <v>728800</v>
      </c>
      <c r="E217" s="23">
        <f t="shared" si="6"/>
        <v>0.82724177071509652</v>
      </c>
      <c r="F217" s="22">
        <f>SUMIFS(Fact_Pipeline!$K:$K,Fact_Pipeline!$D:$D,"&gt;="&amp;A217,Fact_Pipeline!$D:$D,"&lt;"&amp;EDATE(A217,1))</f>
        <v>3031700</v>
      </c>
    </row>
    <row r="218" spans="1:6" ht="15" customHeight="1" outlineLevel="1" x14ac:dyDescent="0.2">
      <c r="A218" s="25">
        <f t="shared" si="7"/>
        <v>45778</v>
      </c>
      <c r="B218" s="17" t="str">
        <f t="shared" si="5"/>
        <v>May 2025</v>
      </c>
      <c r="C218" s="18">
        <f>SUMIFS(Fact_Quota!$D:$D,Fact_Quota!$B:$B,"&gt;="&amp;A218,Fact_Quota!$B:$B,"&lt;"&amp;EDATE(A218,1))</f>
        <v>912800</v>
      </c>
      <c r="D218" s="18">
        <f>SUMIFS(Fact_Pipeline!$K:$K,Fact_Pipeline!$J:$J,"Won",Fact_Pipeline!$I:$I,"&gt;="&amp;A218,Fact_Pipeline!$I:$I,"&lt;"&amp;EDATE(A218,1))</f>
        <v>932800</v>
      </c>
      <c r="E218" s="19">
        <f t="shared" si="6"/>
        <v>1.0219106047326907</v>
      </c>
      <c r="F218" s="18">
        <f>SUMIFS(Fact_Pipeline!$K:$K,Fact_Pipeline!$D:$D,"&gt;="&amp;A218,Fact_Pipeline!$D:$D,"&lt;"&amp;EDATE(A218,1))</f>
        <v>3151800</v>
      </c>
    </row>
    <row r="219" spans="1:6" ht="15" customHeight="1" outlineLevel="1" x14ac:dyDescent="0.2">
      <c r="A219" s="26">
        <f t="shared" si="7"/>
        <v>45809</v>
      </c>
      <c r="B219" s="21" t="str">
        <f t="shared" si="5"/>
        <v>Jun 2025</v>
      </c>
      <c r="C219" s="22">
        <f>SUMIFS(Fact_Quota!$D:$D,Fact_Quota!$B:$B,"&gt;="&amp;A219,Fact_Quota!$B:$B,"&lt;"&amp;EDATE(A219,1))</f>
        <v>945900</v>
      </c>
      <c r="D219" s="22">
        <f>SUMIFS(Fact_Pipeline!$K:$K,Fact_Pipeline!$J:$J,"Won",Fact_Pipeline!$I:$I,"&gt;="&amp;A219,Fact_Pipeline!$I:$I,"&lt;"&amp;EDATE(A219,1))</f>
        <v>706000</v>
      </c>
      <c r="E219" s="23">
        <f t="shared" si="6"/>
        <v>0.74637910984247802</v>
      </c>
      <c r="F219" s="22">
        <f>SUMIFS(Fact_Pipeline!$K:$K,Fact_Pipeline!$D:$D,"&gt;="&amp;A219,Fact_Pipeline!$D:$D,"&lt;"&amp;EDATE(A219,1))</f>
        <v>3239700</v>
      </c>
    </row>
    <row r="220" spans="1:6" ht="15" customHeight="1" outlineLevel="1" x14ac:dyDescent="0.2">
      <c r="A220" s="25">
        <f t="shared" si="7"/>
        <v>45839</v>
      </c>
      <c r="B220" s="17" t="str">
        <f t="shared" si="5"/>
        <v>Jul 2025</v>
      </c>
      <c r="C220" s="18">
        <f>SUMIFS(Fact_Quota!$D:$D,Fact_Quota!$B:$B,"&gt;="&amp;A220,Fact_Quota!$B:$B,"&lt;"&amp;EDATE(A220,1))</f>
        <v>1003700</v>
      </c>
      <c r="D220" s="18">
        <f>SUMIFS(Fact_Pipeline!$K:$K,Fact_Pipeline!$J:$J,"Won",Fact_Pipeline!$I:$I,"&gt;="&amp;A220,Fact_Pipeline!$I:$I,"&lt;"&amp;EDATE(A220,1))</f>
        <v>806000</v>
      </c>
      <c r="E220" s="19">
        <f t="shared" si="6"/>
        <v>0.80302879346418254</v>
      </c>
      <c r="F220" s="18">
        <f>SUMIFS(Fact_Pipeline!$K:$K,Fact_Pipeline!$D:$D,"&gt;="&amp;A220,Fact_Pipeline!$D:$D,"&lt;"&amp;EDATE(A220,1))</f>
        <v>3197100</v>
      </c>
    </row>
    <row r="221" spans="1:6" ht="15" customHeight="1" outlineLevel="1" x14ac:dyDescent="0.2">
      <c r="A221" s="26">
        <f t="shared" si="7"/>
        <v>45870</v>
      </c>
      <c r="B221" s="21" t="str">
        <f t="shared" si="5"/>
        <v>Aug 2025</v>
      </c>
      <c r="C221" s="22">
        <f>SUMIFS(Fact_Quota!$D:$D,Fact_Quota!$B:$B,"&gt;="&amp;A221,Fact_Quota!$B:$B,"&lt;"&amp;EDATE(A221,1))</f>
        <v>1021700</v>
      </c>
      <c r="D221" s="22">
        <f>SUMIFS(Fact_Pipeline!$K:$K,Fact_Pipeline!$J:$J,"Won",Fact_Pipeline!$I:$I,"&gt;="&amp;A221,Fact_Pipeline!$I:$I,"&lt;"&amp;EDATE(A221,1))</f>
        <v>1086400</v>
      </c>
      <c r="E221" s="23">
        <f t="shared" si="6"/>
        <v>1.0633258294998531</v>
      </c>
      <c r="F221" s="22">
        <f>SUMIFS(Fact_Pipeline!$K:$K,Fact_Pipeline!$D:$D,"&gt;="&amp;A221,Fact_Pipeline!$D:$D,"&lt;"&amp;EDATE(A221,1))</f>
        <v>2518200</v>
      </c>
    </row>
    <row r="222" spans="1:6" ht="15" customHeight="1" outlineLevel="1" x14ac:dyDescent="0.2">
      <c r="A222" s="25">
        <f t="shared" si="7"/>
        <v>45901</v>
      </c>
      <c r="B222" s="17" t="str">
        <f t="shared" si="5"/>
        <v>Sep 2025</v>
      </c>
      <c r="C222" s="18">
        <f>SUMIFS(Fact_Quota!$D:$D,Fact_Quota!$B:$B,"&gt;="&amp;A222,Fact_Quota!$B:$B,"&lt;"&amp;EDATE(A222,1))</f>
        <v>1065600</v>
      </c>
      <c r="D222" s="18">
        <f>SUMIFS(Fact_Pipeline!$K:$K,Fact_Pipeline!$J:$J,"Won",Fact_Pipeline!$I:$I,"&gt;="&amp;A222,Fact_Pipeline!$I:$I,"&lt;"&amp;EDATE(A222,1))</f>
        <v>1155500</v>
      </c>
      <c r="E222" s="19">
        <f t="shared" si="6"/>
        <v>1.0843656156156156</v>
      </c>
      <c r="F222" s="18">
        <f>SUMIFS(Fact_Pipeline!$K:$K,Fact_Pipeline!$D:$D,"&gt;="&amp;A222,Fact_Pipeline!$D:$D,"&lt;"&amp;EDATE(A222,1))</f>
        <v>3768800</v>
      </c>
    </row>
    <row r="223" spans="1:6" ht="15" customHeight="1" outlineLevel="1" x14ac:dyDescent="0.2">
      <c r="A223" s="26">
        <f t="shared" si="7"/>
        <v>45931</v>
      </c>
      <c r="B223" s="21" t="str">
        <f t="shared" si="5"/>
        <v>Oct 2025</v>
      </c>
      <c r="C223" s="22">
        <f>SUMIFS(Fact_Quota!$D:$D,Fact_Quota!$B:$B,"&gt;="&amp;A223,Fact_Quota!$B:$B,"&lt;"&amp;EDATE(A223,1))</f>
        <v>1031300</v>
      </c>
      <c r="D223" s="22">
        <f>SUMIFS(Fact_Pipeline!$K:$K,Fact_Pipeline!$J:$J,"Won",Fact_Pipeline!$I:$I,"&gt;="&amp;A223,Fact_Pipeline!$I:$I,"&lt;"&amp;EDATE(A223,1))</f>
        <v>1066300</v>
      </c>
      <c r="E223" s="23">
        <f t="shared" si="6"/>
        <v>1.0339377484728014</v>
      </c>
      <c r="F223" s="22">
        <f>SUMIFS(Fact_Pipeline!$K:$K,Fact_Pipeline!$D:$D,"&gt;="&amp;A223,Fact_Pipeline!$D:$D,"&lt;"&amp;EDATE(A223,1))</f>
        <v>4770400</v>
      </c>
    </row>
    <row r="224" spans="1:6" ht="15" customHeight="1" outlineLevel="1" x14ac:dyDescent="0.2">
      <c r="A224" s="25">
        <f t="shared" si="7"/>
        <v>45962</v>
      </c>
      <c r="B224" s="17" t="str">
        <f t="shared" si="5"/>
        <v>Nov 2025</v>
      </c>
      <c r="C224" s="18">
        <f>SUMIFS(Fact_Quota!$D:$D,Fact_Quota!$B:$B,"&gt;="&amp;A224,Fact_Quota!$B:$B,"&lt;"&amp;EDATE(A224,1))</f>
        <v>991100</v>
      </c>
      <c r="D224" s="18">
        <f>SUMIFS(Fact_Pipeline!$K:$K,Fact_Pipeline!$J:$J,"Won",Fact_Pipeline!$I:$I,"&gt;="&amp;A224,Fact_Pipeline!$I:$I,"&lt;"&amp;EDATE(A224,1))</f>
        <v>1312500</v>
      </c>
      <c r="E224" s="19">
        <f t="shared" si="6"/>
        <v>1.3242861467056806</v>
      </c>
      <c r="F224" s="18">
        <f>SUMIFS(Fact_Pipeline!$K:$K,Fact_Pipeline!$D:$D,"&gt;="&amp;A224,Fact_Pipeline!$D:$D,"&lt;"&amp;EDATE(A224,1))</f>
        <v>4408100</v>
      </c>
    </row>
    <row r="225" spans="1:6" ht="15" customHeight="1" outlineLevel="1" x14ac:dyDescent="0.2">
      <c r="A225" s="26">
        <f t="shared" si="7"/>
        <v>45992</v>
      </c>
      <c r="B225" s="21" t="str">
        <f t="shared" si="5"/>
        <v>Dec 2025</v>
      </c>
      <c r="C225" s="22">
        <f>SUMIFS(Fact_Quota!$D:$D,Fact_Quota!$B:$B,"&gt;="&amp;A225,Fact_Quota!$B:$B,"&lt;"&amp;EDATE(A225,1))</f>
        <v>992100</v>
      </c>
      <c r="D225" s="22">
        <f>SUMIFS(Fact_Pipeline!$K:$K,Fact_Pipeline!$J:$J,"Won",Fact_Pipeline!$I:$I,"&gt;="&amp;A225,Fact_Pipeline!$I:$I,"&lt;"&amp;EDATE(A225,1))</f>
        <v>1419000</v>
      </c>
      <c r="E225" s="23">
        <f t="shared" si="6"/>
        <v>1.4302993649833686</v>
      </c>
      <c r="F225" s="22">
        <f>SUMIFS(Fact_Pipeline!$K:$K,Fact_Pipeline!$D:$D,"&gt;="&amp;A225,Fact_Pipeline!$D:$D,"&lt;"&amp;EDATE(A225,1))</f>
        <v>4503800</v>
      </c>
    </row>
  </sheetData>
  <mergeCells count="59">
    <mergeCell ref="A1:N1"/>
    <mergeCell ref="A2:N2"/>
    <mergeCell ref="A5:C5"/>
    <mergeCell ref="D5:F5"/>
    <mergeCell ref="K5:L5"/>
    <mergeCell ref="A4:C4"/>
    <mergeCell ref="D4:F4"/>
    <mergeCell ref="G4:H4"/>
    <mergeCell ref="I4:J4"/>
    <mergeCell ref="K4:L4"/>
    <mergeCell ref="A7:N7"/>
    <mergeCell ref="A9:C9"/>
    <mergeCell ref="D9:F9"/>
    <mergeCell ref="G9:I9"/>
    <mergeCell ref="J9:L9"/>
    <mergeCell ref="A10:C10"/>
    <mergeCell ref="D10:F10"/>
    <mergeCell ref="G10:I10"/>
    <mergeCell ref="J10:L10"/>
    <mergeCell ref="A11:C11"/>
    <mergeCell ref="D11:F11"/>
    <mergeCell ref="G11:I11"/>
    <mergeCell ref="J11:L11"/>
    <mergeCell ref="A13:C13"/>
    <mergeCell ref="D13:F13"/>
    <mergeCell ref="G13:I13"/>
    <mergeCell ref="J13:L13"/>
    <mergeCell ref="A14:C14"/>
    <mergeCell ref="D14:F14"/>
    <mergeCell ref="G14:I14"/>
    <mergeCell ref="J14:L14"/>
    <mergeCell ref="A97:F97"/>
    <mergeCell ref="H97:M97"/>
    <mergeCell ref="A106:N106"/>
    <mergeCell ref="A15:C15"/>
    <mergeCell ref="D15:F15"/>
    <mergeCell ref="G15:I15"/>
    <mergeCell ref="J15:L15"/>
    <mergeCell ref="D20:F20"/>
    <mergeCell ref="G20:I20"/>
    <mergeCell ref="J20:L20"/>
    <mergeCell ref="A68:N68"/>
    <mergeCell ref="A95:N95"/>
    <mergeCell ref="G5:H5"/>
    <mergeCell ref="I5:J5"/>
    <mergeCell ref="A142:P142"/>
    <mergeCell ref="M20:N22"/>
    <mergeCell ref="A28:N28"/>
    <mergeCell ref="A24:I25"/>
    <mergeCell ref="A21:C21"/>
    <mergeCell ref="D21:F21"/>
    <mergeCell ref="G21:I21"/>
    <mergeCell ref="J21:L21"/>
    <mergeCell ref="A22:C22"/>
    <mergeCell ref="D22:F22"/>
    <mergeCell ref="G22:I22"/>
    <mergeCell ref="J22:L22"/>
    <mergeCell ref="A18:N18"/>
    <mergeCell ref="A20:C20"/>
  </mergeCells>
  <conditionalFormatting sqref="E89:E92 L99:L103">
    <cfRule type="expression" dxfId="5" priority="2">
      <formula>AND(E89&lt;&gt;"",E89&lt;$G$5)</formula>
    </cfRule>
    <cfRule type="expression" dxfId="4" priority="3">
      <formula>AND(E89&lt;&gt;"",E89&gt;=$G$5)</formula>
    </cfRule>
  </conditionalFormatting>
  <conditionalFormatting sqref="E99:E103">
    <cfRule type="expression" dxfId="3" priority="6">
      <formula>AND(E99&lt;&gt;"",E99&lt;$G$5)</formula>
    </cfRule>
    <cfRule type="expression" dxfId="2" priority="7">
      <formula>AND(E99&lt;&gt;"",E99&gt;=$G$5)</formula>
    </cfRule>
  </conditionalFormatting>
  <conditionalFormatting sqref="L89:L92">
    <cfRule type="expression" dxfId="1" priority="4">
      <formula>AND(L89&lt;&gt;"",L89&lt;$G$5)</formula>
    </cfRule>
    <cfRule type="expression" dxfId="0" priority="5">
      <formula>AND(L89&lt;&gt;"",L89&gt;=$G$5)</formula>
    </cfRule>
  </conditionalFormatting>
  <dataValidations count="1">
    <dataValidation type="list" sqref="D5" xr:uid="{00000000-0002-0000-0000-000001000000}">
      <formula1>"Trailing 12 Months,Year to Date,All Time"</formula1>
      <formula2>0</formula2>
    </dataValidation>
  </dataValidations>
  <pageMargins left="0.4" right="0.4" top="0.5" bottom="0.5" header="0.511811023622047" footer="0.511811023622047"/>
  <pageSetup fitToHeight="3" orientation="landscape" horizontalDpi="300" verticalDpi="300"/>
  <drawing r:id="rId1"/>
  <extLst>
    <ext xmlns:x14="http://schemas.microsoft.com/office/spreadsheetml/2009/9/main" uri="{CCE6A557-97BC-4b89-ADB6-D9C93CAAB3DF}">
      <x14:dataValidations xmlns:xm="http://schemas.microsoft.com/office/excel/2006/main" count="1">
        <x14:dataValidation type="list" xr:uid="{00000000-0002-0000-0000-000000000000}">
          <x14:formula1>
            <xm:f>Monthly_Summary!$A$2:$A$25</xm:f>
          </x14:formula1>
          <x14:formula2>
            <xm:f>0</xm:f>
          </x14:formula2>
          <xm:sqref>A5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H55"/>
  <sheetViews>
    <sheetView zoomScaleNormal="100" workbookViewId="0">
      <selection activeCell="B43" sqref="B43"/>
    </sheetView>
  </sheetViews>
  <sheetFormatPr baseColWidth="10" defaultColWidth="11" defaultRowHeight="15" x14ac:dyDescent="0.2"/>
  <cols>
    <col min="1" max="2" width="19.33203125" customWidth="1"/>
    <col min="3" max="3" width="8.83203125" customWidth="1"/>
    <col min="4" max="4" width="7" customWidth="1"/>
    <col min="5" max="5" width="19.33203125" customWidth="1"/>
    <col min="6" max="6" width="19.5" customWidth="1"/>
    <col min="7" max="8" width="19.33203125" customWidth="1"/>
  </cols>
  <sheetData>
    <row r="1" spans="1:8" s="29" customFormat="1" ht="15.75" customHeight="1" x14ac:dyDescent="0.2">
      <c r="A1" s="28" t="s">
        <v>85</v>
      </c>
      <c r="B1" s="28" t="s">
        <v>86</v>
      </c>
      <c r="C1" s="28" t="s">
        <v>164</v>
      </c>
      <c r="D1" s="28" t="s">
        <v>165</v>
      </c>
      <c r="E1" s="28" t="s">
        <v>166</v>
      </c>
      <c r="F1" s="28" t="s">
        <v>167</v>
      </c>
      <c r="G1" s="28" t="s">
        <v>24</v>
      </c>
      <c r="H1" s="28" t="s">
        <v>168</v>
      </c>
    </row>
    <row r="2" spans="1:8" ht="15" customHeight="1" x14ac:dyDescent="0.2">
      <c r="A2" s="30">
        <f>DATE(2024,1,1)</f>
        <v>45292</v>
      </c>
      <c r="B2" t="str">
        <f t="shared" ref="B2:B25" si="0">TEXT(A2,"mmm yyyyy")</f>
        <v>Jan 2024</v>
      </c>
      <c r="C2" t="str">
        <f>LEFT(Monthly_Summary[[#This Row],[Month+Year]],3)</f>
        <v>Jan</v>
      </c>
      <c r="D2">
        <f>YEAR(Monthly_Summary[[#This Row],[Month+Year]])</f>
        <v>2024</v>
      </c>
      <c r="E2" s="31">
        <f>SUMIFS(Fact_Quota!D:D,Fact_Quota!J:J,Monthly_Summary!$B2)</f>
        <v>573900</v>
      </c>
      <c r="F2" s="31">
        <f>SUMIFS(Fact_Pipeline!K:K,Fact_Pipeline!T:T,Monthly_Summary!$B2,Fact_Pipeline!J:J,"Won")</f>
        <v>81300</v>
      </c>
      <c r="G2" s="32">
        <f t="shared" ref="G2:G25" si="1">IFERROR(F2/E2,"")</f>
        <v>0.14166231050705697</v>
      </c>
      <c r="H2" s="33">
        <f>SUMIFS(Fact_Pipeline!K:K,Fact_Pipeline!S:S,Monthly_Summary!$B2)</f>
        <v>1605300</v>
      </c>
    </row>
    <row r="3" spans="1:8" ht="15" customHeight="1" x14ac:dyDescent="0.2">
      <c r="A3" s="30">
        <f t="shared" ref="A3:A25" si="2">EDATE(A2,1)</f>
        <v>45323</v>
      </c>
      <c r="B3" t="str">
        <f t="shared" si="0"/>
        <v>Feb 2024</v>
      </c>
      <c r="C3" t="str">
        <f>LEFT(Monthly_Summary[[#This Row],[Month+Year]],3)</f>
        <v>Feb</v>
      </c>
      <c r="D3">
        <f>YEAR(Monthly_Summary[[#This Row],[Month+Year]])</f>
        <v>2024</v>
      </c>
      <c r="E3" s="31">
        <f>SUMIFS(Fact_Quota!D:D,Fact_Quota!J:J,Monthly_Summary!$B3)</f>
        <v>598300</v>
      </c>
      <c r="F3" s="31">
        <f>SUMIFS(Fact_Pipeline!K:K,Fact_Pipeline!T:T,Monthly_Summary!$B3,Fact_Pipeline!J:J,"Won")</f>
        <v>299400</v>
      </c>
      <c r="G3" s="32">
        <f t="shared" si="1"/>
        <v>0.50041785057663379</v>
      </c>
      <c r="H3" s="33">
        <f>SUMIFS(Fact_Pipeline!K:K,Fact_Pipeline!S:S,Monthly_Summary!$B3)</f>
        <v>1791600</v>
      </c>
    </row>
    <row r="4" spans="1:8" ht="15" customHeight="1" x14ac:dyDescent="0.2">
      <c r="A4" s="30">
        <f t="shared" si="2"/>
        <v>45352</v>
      </c>
      <c r="B4" t="str">
        <f t="shared" si="0"/>
        <v>Mar 2024</v>
      </c>
      <c r="C4" t="str">
        <f>LEFT(Monthly_Summary[[#This Row],[Month+Year]],3)</f>
        <v>Mar</v>
      </c>
      <c r="D4">
        <f>YEAR(Monthly_Summary[[#This Row],[Month+Year]])</f>
        <v>2024</v>
      </c>
      <c r="E4" s="31">
        <f>SUMIFS(Fact_Quota!D:D,Fact_Quota!J:J,Monthly_Summary!$B4)</f>
        <v>624300</v>
      </c>
      <c r="F4" s="31">
        <f>SUMIFS(Fact_Pipeline!K:K,Fact_Pipeline!T:T,Monthly_Summary!$B4,Fact_Pipeline!J:J,"Won")</f>
        <v>453100</v>
      </c>
      <c r="G4" s="32">
        <f t="shared" si="1"/>
        <v>0.72577286560948262</v>
      </c>
      <c r="H4" s="33">
        <f>SUMIFS(Fact_Pipeline!K:K,Fact_Pipeline!S:S,Monthly_Summary!$B4)</f>
        <v>1719600</v>
      </c>
    </row>
    <row r="5" spans="1:8" ht="15" customHeight="1" x14ac:dyDescent="0.2">
      <c r="A5" s="30">
        <f t="shared" si="2"/>
        <v>45383</v>
      </c>
      <c r="B5" t="str">
        <f t="shared" si="0"/>
        <v>Apr 2024</v>
      </c>
      <c r="C5" t="str">
        <f>LEFT(Monthly_Summary[[#This Row],[Month+Year]],3)</f>
        <v>Apr</v>
      </c>
      <c r="D5">
        <f>YEAR(Monthly_Summary[[#This Row],[Month+Year]])</f>
        <v>2024</v>
      </c>
      <c r="E5" s="31">
        <f>SUMIFS(Fact_Quota!D:D,Fact_Quota!J:J,Monthly_Summary!$B5)</f>
        <v>647600</v>
      </c>
      <c r="F5" s="31">
        <f>SUMIFS(Fact_Pipeline!K:K,Fact_Pipeline!T:T,Monthly_Summary!$B5,Fact_Pipeline!J:J,"Won")</f>
        <v>483600</v>
      </c>
      <c r="G5" s="32">
        <f t="shared" si="1"/>
        <v>0.74675725756639899</v>
      </c>
      <c r="H5" s="33">
        <f>SUMIFS(Fact_Pipeline!K:K,Fact_Pipeline!S:S,Monthly_Summary!$B5)</f>
        <v>2236300</v>
      </c>
    </row>
    <row r="6" spans="1:8" ht="15" customHeight="1" x14ac:dyDescent="0.2">
      <c r="A6" s="30">
        <f t="shared" si="2"/>
        <v>45413</v>
      </c>
      <c r="B6" t="str">
        <f t="shared" si="0"/>
        <v>May 2024</v>
      </c>
      <c r="C6" t="str">
        <f>LEFT(Monthly_Summary[[#This Row],[Month+Year]],3)</f>
        <v>May</v>
      </c>
      <c r="D6">
        <f>YEAR(Monthly_Summary[[#This Row],[Month+Year]])</f>
        <v>2024</v>
      </c>
      <c r="E6" s="31">
        <f>SUMIFS(Fact_Quota!D:D,Fact_Quota!J:J,Monthly_Summary!$B6)</f>
        <v>665200</v>
      </c>
      <c r="F6" s="31">
        <f>SUMIFS(Fact_Pipeline!K:K,Fact_Pipeline!T:T,Monthly_Summary!$B6,Fact_Pipeline!J:J,"Won")</f>
        <v>573900</v>
      </c>
      <c r="G6" s="32">
        <f t="shared" si="1"/>
        <v>0.8627480457005412</v>
      </c>
      <c r="H6" s="33">
        <f>SUMIFS(Fact_Pipeline!K:K,Fact_Pipeline!S:S,Monthly_Summary!$B6)</f>
        <v>2015800</v>
      </c>
    </row>
    <row r="7" spans="1:8" ht="15" customHeight="1" x14ac:dyDescent="0.2">
      <c r="A7" s="30">
        <f t="shared" si="2"/>
        <v>45444</v>
      </c>
      <c r="B7" t="str">
        <f t="shared" si="0"/>
        <v>Jun 2024</v>
      </c>
      <c r="C7" t="str">
        <f>LEFT(Monthly_Summary[[#This Row],[Month+Year]],3)</f>
        <v>Jun</v>
      </c>
      <c r="D7">
        <f>YEAR(Monthly_Summary[[#This Row],[Month+Year]])</f>
        <v>2024</v>
      </c>
      <c r="E7" s="31">
        <f>SUMIFS(Fact_Quota!D:D,Fact_Quota!J:J,Monthly_Summary!$B7)</f>
        <v>693900</v>
      </c>
      <c r="F7" s="31">
        <f>SUMIFS(Fact_Pipeline!K:K,Fact_Pipeline!T:T,Monthly_Summary!$B7,Fact_Pipeline!J:J,"Won")</f>
        <v>598700</v>
      </c>
      <c r="G7" s="32">
        <f t="shared" si="1"/>
        <v>0.86280443867992507</v>
      </c>
      <c r="H7" s="33">
        <f>SUMIFS(Fact_Pipeline!K:K,Fact_Pipeline!S:S,Monthly_Summary!$B7)</f>
        <v>2268000</v>
      </c>
    </row>
    <row r="8" spans="1:8" ht="15" customHeight="1" x14ac:dyDescent="0.2">
      <c r="A8" s="30">
        <f t="shared" si="2"/>
        <v>45474</v>
      </c>
      <c r="B8" t="str">
        <f t="shared" si="0"/>
        <v>Jul 2024</v>
      </c>
      <c r="C8" t="str">
        <f>LEFT(Monthly_Summary[[#This Row],[Month+Year]],3)</f>
        <v>Jul</v>
      </c>
      <c r="D8">
        <f>YEAR(Monthly_Summary[[#This Row],[Month+Year]])</f>
        <v>2024</v>
      </c>
      <c r="E8" s="31">
        <f>SUMIFS(Fact_Quota!D:D,Fact_Quota!J:J,Monthly_Summary!$B8)</f>
        <v>735600</v>
      </c>
      <c r="F8" s="31">
        <f>SUMIFS(Fact_Pipeline!K:K,Fact_Pipeline!T:T,Monthly_Summary!$B8,Fact_Pipeline!J:J,"Won")</f>
        <v>961100</v>
      </c>
      <c r="G8" s="32">
        <f t="shared" si="1"/>
        <v>1.306552474170745</v>
      </c>
      <c r="H8" s="33">
        <f>SUMIFS(Fact_Pipeline!K:K,Fact_Pipeline!S:S,Monthly_Summary!$B8)</f>
        <v>1722000</v>
      </c>
    </row>
    <row r="9" spans="1:8" ht="15" customHeight="1" x14ac:dyDescent="0.2">
      <c r="A9" s="30">
        <f t="shared" si="2"/>
        <v>45505</v>
      </c>
      <c r="B9" t="str">
        <f t="shared" si="0"/>
        <v>Aug 2024</v>
      </c>
      <c r="C9" t="str">
        <f>LEFT(Monthly_Summary[[#This Row],[Month+Year]],3)</f>
        <v>Aug</v>
      </c>
      <c r="D9">
        <f>YEAR(Monthly_Summary[[#This Row],[Month+Year]])</f>
        <v>2024</v>
      </c>
      <c r="E9" s="31">
        <f>SUMIFS(Fact_Quota!D:D,Fact_Quota!J:J,Monthly_Summary!$B9)</f>
        <v>773600</v>
      </c>
      <c r="F9" s="31">
        <f>SUMIFS(Fact_Pipeline!K:K,Fact_Pipeline!T:T,Monthly_Summary!$B9,Fact_Pipeline!J:J,"Won")</f>
        <v>634700</v>
      </c>
      <c r="G9" s="32">
        <f t="shared" si="1"/>
        <v>0.82044984488107553</v>
      </c>
      <c r="H9" s="33">
        <f>SUMIFS(Fact_Pipeline!K:K,Fact_Pipeline!S:S,Monthly_Summary!$B9)</f>
        <v>1619600</v>
      </c>
    </row>
    <row r="10" spans="1:8" ht="15" customHeight="1" x14ac:dyDescent="0.2">
      <c r="A10" s="30">
        <f t="shared" si="2"/>
        <v>45536</v>
      </c>
      <c r="B10" t="str">
        <f t="shared" si="0"/>
        <v>Sep 2024</v>
      </c>
      <c r="C10" t="str">
        <f>LEFT(Monthly_Summary[[#This Row],[Month+Year]],3)</f>
        <v>Sep</v>
      </c>
      <c r="D10">
        <f>YEAR(Monthly_Summary[[#This Row],[Month+Year]])</f>
        <v>2024</v>
      </c>
      <c r="E10" s="31">
        <f>SUMIFS(Fact_Quota!D:D,Fact_Quota!J:J,Monthly_Summary!$B10)</f>
        <v>794400</v>
      </c>
      <c r="F10" s="31">
        <f>SUMIFS(Fact_Pipeline!K:K,Fact_Pipeline!T:T,Monthly_Summary!$B10,Fact_Pipeline!J:J,"Won")</f>
        <v>535500</v>
      </c>
      <c r="G10" s="32">
        <f t="shared" si="1"/>
        <v>0.67409365558912382</v>
      </c>
      <c r="H10" s="33">
        <f>SUMIFS(Fact_Pipeline!K:K,Fact_Pipeline!S:S,Monthly_Summary!$B10)</f>
        <v>2543700</v>
      </c>
    </row>
    <row r="11" spans="1:8" ht="15" customHeight="1" x14ac:dyDescent="0.2">
      <c r="A11" s="30">
        <f t="shared" si="2"/>
        <v>45566</v>
      </c>
      <c r="B11" t="str">
        <f t="shared" si="0"/>
        <v>Oct 2024</v>
      </c>
      <c r="C11" t="str">
        <f>LEFT(Monthly_Summary[[#This Row],[Month+Year]],3)</f>
        <v>Oct</v>
      </c>
      <c r="D11">
        <f>YEAR(Monthly_Summary[[#This Row],[Month+Year]])</f>
        <v>2024</v>
      </c>
      <c r="E11" s="31">
        <f>SUMIFS(Fact_Quota!D:D,Fact_Quota!J:J,Monthly_Summary!$B11)</f>
        <v>814200</v>
      </c>
      <c r="F11" s="31">
        <f>SUMIFS(Fact_Pipeline!K:K,Fact_Pipeline!T:T,Monthly_Summary!$B11,Fact_Pipeline!J:J,"Won")</f>
        <v>816600</v>
      </c>
      <c r="G11" s="32">
        <f t="shared" si="1"/>
        <v>1.0029476787030214</v>
      </c>
      <c r="H11" s="33">
        <f>SUMIFS(Fact_Pipeline!K:K,Fact_Pipeline!S:S,Monthly_Summary!$B11)</f>
        <v>3671400</v>
      </c>
    </row>
    <row r="12" spans="1:8" ht="15" customHeight="1" x14ac:dyDescent="0.2">
      <c r="A12" s="30">
        <f t="shared" si="2"/>
        <v>45597</v>
      </c>
      <c r="B12" t="str">
        <f t="shared" si="0"/>
        <v>Nov 2024</v>
      </c>
      <c r="C12" t="str">
        <f>LEFT(Monthly_Summary[[#This Row],[Month+Year]],3)</f>
        <v>Nov</v>
      </c>
      <c r="D12">
        <f>YEAR(Monthly_Summary[[#This Row],[Month+Year]])</f>
        <v>2024</v>
      </c>
      <c r="E12" s="31">
        <f>SUMIFS(Fact_Quota!D:D,Fact_Quota!J:J,Monthly_Summary!$B12)</f>
        <v>816700</v>
      </c>
      <c r="F12" s="31">
        <f>SUMIFS(Fact_Pipeline!K:K,Fact_Pipeline!T:T,Monthly_Summary!$B12,Fact_Pipeline!J:J,"Won")</f>
        <v>874600</v>
      </c>
      <c r="G12" s="32">
        <f t="shared" si="1"/>
        <v>1.0708950655075302</v>
      </c>
      <c r="H12" s="33">
        <f>SUMIFS(Fact_Pipeline!K:K,Fact_Pipeline!S:S,Monthly_Summary!$B12)</f>
        <v>3628500</v>
      </c>
    </row>
    <row r="13" spans="1:8" ht="15" customHeight="1" x14ac:dyDescent="0.2">
      <c r="A13" s="30">
        <f t="shared" si="2"/>
        <v>45627</v>
      </c>
      <c r="B13" t="str">
        <f t="shared" si="0"/>
        <v>Dec 2024</v>
      </c>
      <c r="C13" t="str">
        <f>LEFT(Monthly_Summary[[#This Row],[Month+Year]],3)</f>
        <v>Dec</v>
      </c>
      <c r="D13">
        <f>YEAR(Monthly_Summary[[#This Row],[Month+Year]])</f>
        <v>2024</v>
      </c>
      <c r="E13" s="31">
        <f>SUMIFS(Fact_Quota!D:D,Fact_Quota!J:J,Monthly_Summary!$B13)</f>
        <v>829400</v>
      </c>
      <c r="F13" s="31">
        <f>SUMIFS(Fact_Pipeline!K:K,Fact_Pipeline!T:T,Monthly_Summary!$B13,Fact_Pipeline!J:J,"Won")</f>
        <v>1196100</v>
      </c>
      <c r="G13" s="32">
        <f t="shared" si="1"/>
        <v>1.4421268386785628</v>
      </c>
      <c r="H13" s="33">
        <f>SUMIFS(Fact_Pipeline!K:K,Fact_Pipeline!S:S,Monthly_Summary!$B13)</f>
        <v>3499800</v>
      </c>
    </row>
    <row r="14" spans="1:8" ht="15" customHeight="1" x14ac:dyDescent="0.2">
      <c r="A14" s="30">
        <f t="shared" si="2"/>
        <v>45658</v>
      </c>
      <c r="B14" t="str">
        <f t="shared" si="0"/>
        <v>Jan 2025</v>
      </c>
      <c r="C14" t="str">
        <f>LEFT(Monthly_Summary[[#This Row],[Month+Year]],3)</f>
        <v>Jan</v>
      </c>
      <c r="D14">
        <f>YEAR(Monthly_Summary[[#This Row],[Month+Year]])</f>
        <v>2025</v>
      </c>
      <c r="E14" s="31">
        <f>SUMIFS(Fact_Quota!D:D,Fact_Quota!J:J,Monthly_Summary!$B14)</f>
        <v>827900</v>
      </c>
      <c r="F14" s="31">
        <f>SUMIFS(Fact_Pipeline!K:K,Fact_Pipeline!T:T,Monthly_Summary!$B14,Fact_Pipeline!J:J,"Won")</f>
        <v>1412000</v>
      </c>
      <c r="G14" s="32">
        <f t="shared" si="1"/>
        <v>1.7055199903369973</v>
      </c>
      <c r="H14" s="33">
        <f>SUMIFS(Fact_Pipeline!K:K,Fact_Pipeline!S:S,Monthly_Summary!$B14)</f>
        <v>2539100</v>
      </c>
    </row>
    <row r="15" spans="1:8" ht="15" customHeight="1" x14ac:dyDescent="0.2">
      <c r="A15" s="30">
        <f t="shared" si="2"/>
        <v>45689</v>
      </c>
      <c r="B15" t="str">
        <f t="shared" si="0"/>
        <v>Feb 2025</v>
      </c>
      <c r="C15" t="str">
        <f>LEFT(Monthly_Summary[[#This Row],[Month+Year]],3)</f>
        <v>Feb</v>
      </c>
      <c r="D15">
        <f>YEAR(Monthly_Summary[[#This Row],[Month+Year]])</f>
        <v>2025</v>
      </c>
      <c r="E15" s="31">
        <f>SUMIFS(Fact_Quota!D:D,Fact_Quota!J:J,Monthly_Summary!$B15)</f>
        <v>850500</v>
      </c>
      <c r="F15" s="31">
        <f>SUMIFS(Fact_Pipeline!K:K,Fact_Pipeline!T:T,Monthly_Summary!$B15,Fact_Pipeline!J:J,"Won")</f>
        <v>803800</v>
      </c>
      <c r="G15" s="32">
        <f t="shared" si="1"/>
        <v>0.94509112286890062</v>
      </c>
      <c r="H15" s="33">
        <f>SUMIFS(Fact_Pipeline!K:K,Fact_Pipeline!S:S,Monthly_Summary!$B15)</f>
        <v>2702700</v>
      </c>
    </row>
    <row r="16" spans="1:8" ht="15" customHeight="1" x14ac:dyDescent="0.2">
      <c r="A16" s="30">
        <f t="shared" si="2"/>
        <v>45717</v>
      </c>
      <c r="B16" t="str">
        <f t="shared" si="0"/>
        <v>Mar 2025</v>
      </c>
      <c r="C16" t="str">
        <f>LEFT(Monthly_Summary[[#This Row],[Month+Year]],3)</f>
        <v>Mar</v>
      </c>
      <c r="D16">
        <f>YEAR(Monthly_Summary[[#This Row],[Month+Year]])</f>
        <v>2025</v>
      </c>
      <c r="E16" s="31">
        <f>SUMIFS(Fact_Quota!D:D,Fact_Quota!J:J,Monthly_Summary!$B16)</f>
        <v>863300</v>
      </c>
      <c r="F16" s="31">
        <f>SUMIFS(Fact_Pipeline!K:K,Fact_Pipeline!T:T,Monthly_Summary!$B16,Fact_Pipeline!J:J,"Won")</f>
        <v>964300</v>
      </c>
      <c r="G16" s="32">
        <f t="shared" si="1"/>
        <v>1.1169929340901192</v>
      </c>
      <c r="H16" s="33">
        <f>SUMIFS(Fact_Pipeline!K:K,Fact_Pipeline!S:S,Monthly_Summary!$B16)</f>
        <v>3188500</v>
      </c>
    </row>
    <row r="17" spans="1:8" ht="15" customHeight="1" x14ac:dyDescent="0.2">
      <c r="A17" s="30">
        <f t="shared" si="2"/>
        <v>45748</v>
      </c>
      <c r="B17" t="str">
        <f t="shared" si="0"/>
        <v>Apr 2025</v>
      </c>
      <c r="C17" t="str">
        <f>LEFT(Monthly_Summary[[#This Row],[Month+Year]],3)</f>
        <v>Apr</v>
      </c>
      <c r="D17">
        <f>YEAR(Monthly_Summary[[#This Row],[Month+Year]])</f>
        <v>2025</v>
      </c>
      <c r="E17" s="31">
        <f>SUMIFS(Fact_Quota!D:D,Fact_Quota!J:J,Monthly_Summary!$B17)</f>
        <v>881000</v>
      </c>
      <c r="F17" s="31">
        <f>SUMIFS(Fact_Pipeline!K:K,Fact_Pipeline!T:T,Monthly_Summary!$B17,Fact_Pipeline!J:J,"Won")</f>
        <v>728800</v>
      </c>
      <c r="G17" s="32">
        <f t="shared" si="1"/>
        <v>0.82724177071509652</v>
      </c>
      <c r="H17" s="33">
        <f>SUMIFS(Fact_Pipeline!K:K,Fact_Pipeline!S:S,Monthly_Summary!$B17)</f>
        <v>3031700</v>
      </c>
    </row>
    <row r="18" spans="1:8" ht="15" customHeight="1" x14ac:dyDescent="0.2">
      <c r="A18" s="30">
        <f t="shared" si="2"/>
        <v>45778</v>
      </c>
      <c r="B18" t="str">
        <f t="shared" si="0"/>
        <v>May 2025</v>
      </c>
      <c r="C18" t="str">
        <f>LEFT(Monthly_Summary[[#This Row],[Month+Year]],3)</f>
        <v>May</v>
      </c>
      <c r="D18">
        <f>YEAR(Monthly_Summary[[#This Row],[Month+Year]])</f>
        <v>2025</v>
      </c>
      <c r="E18" s="31">
        <f>SUMIFS(Fact_Quota!D:D,Fact_Quota!J:J,Monthly_Summary!$B18)</f>
        <v>912800</v>
      </c>
      <c r="F18" s="31">
        <f>SUMIFS(Fact_Pipeline!K:K,Fact_Pipeline!T:T,Monthly_Summary!$B18,Fact_Pipeline!J:J,"Won")</f>
        <v>932800</v>
      </c>
      <c r="G18" s="32">
        <f t="shared" si="1"/>
        <v>1.0219106047326907</v>
      </c>
      <c r="H18" s="33">
        <f>SUMIFS(Fact_Pipeline!K:K,Fact_Pipeline!S:S,Monthly_Summary!$B18)</f>
        <v>3151800</v>
      </c>
    </row>
    <row r="19" spans="1:8" ht="15" customHeight="1" x14ac:dyDescent="0.2">
      <c r="A19" s="30">
        <f t="shared" si="2"/>
        <v>45809</v>
      </c>
      <c r="B19" t="str">
        <f t="shared" si="0"/>
        <v>Jun 2025</v>
      </c>
      <c r="C19" t="str">
        <f>LEFT(Monthly_Summary[[#This Row],[Month+Year]],3)</f>
        <v>Jun</v>
      </c>
      <c r="D19">
        <f>YEAR(Monthly_Summary[[#This Row],[Month+Year]])</f>
        <v>2025</v>
      </c>
      <c r="E19" s="31">
        <f>SUMIFS(Fact_Quota!D:D,Fact_Quota!J:J,Monthly_Summary!$B19)</f>
        <v>945900</v>
      </c>
      <c r="F19" s="31">
        <f>SUMIFS(Fact_Pipeline!K:K,Fact_Pipeline!T:T,Monthly_Summary!$B19,Fact_Pipeline!J:J,"Won")</f>
        <v>706000</v>
      </c>
      <c r="G19" s="32">
        <f t="shared" si="1"/>
        <v>0.74637910984247802</v>
      </c>
      <c r="H19" s="33">
        <f>SUMIFS(Fact_Pipeline!K:K,Fact_Pipeline!S:S,Monthly_Summary!$B19)</f>
        <v>3239700</v>
      </c>
    </row>
    <row r="20" spans="1:8" ht="15" customHeight="1" x14ac:dyDescent="0.2">
      <c r="A20" s="30">
        <f t="shared" si="2"/>
        <v>45839</v>
      </c>
      <c r="B20" t="str">
        <f t="shared" si="0"/>
        <v>Jul 2025</v>
      </c>
      <c r="C20" t="str">
        <f>LEFT(Monthly_Summary[[#This Row],[Month+Year]],3)</f>
        <v>Jul</v>
      </c>
      <c r="D20">
        <f>YEAR(Monthly_Summary[[#This Row],[Month+Year]])</f>
        <v>2025</v>
      </c>
      <c r="E20" s="31">
        <f>SUMIFS(Fact_Quota!D:D,Fact_Quota!J:J,Monthly_Summary!$B20)</f>
        <v>1003700</v>
      </c>
      <c r="F20" s="31">
        <f>SUMIFS(Fact_Pipeline!K:K,Fact_Pipeline!T:T,Monthly_Summary!$B20,Fact_Pipeline!J:J,"Won")</f>
        <v>806000</v>
      </c>
      <c r="G20" s="32">
        <f t="shared" si="1"/>
        <v>0.80302879346418254</v>
      </c>
      <c r="H20" s="33">
        <f>SUMIFS(Fact_Pipeline!K:K,Fact_Pipeline!S:S,Monthly_Summary!$B20)</f>
        <v>3197100</v>
      </c>
    </row>
    <row r="21" spans="1:8" ht="15" customHeight="1" x14ac:dyDescent="0.2">
      <c r="A21" s="30">
        <f t="shared" si="2"/>
        <v>45870</v>
      </c>
      <c r="B21" t="str">
        <f t="shared" si="0"/>
        <v>Aug 2025</v>
      </c>
      <c r="C21" t="str">
        <f>LEFT(Monthly_Summary[[#This Row],[Month+Year]],3)</f>
        <v>Aug</v>
      </c>
      <c r="D21">
        <f>YEAR(Monthly_Summary[[#This Row],[Month+Year]])</f>
        <v>2025</v>
      </c>
      <c r="E21" s="31">
        <f>SUMIFS(Fact_Quota!D:D,Fact_Quota!J:J,Monthly_Summary!$B21)</f>
        <v>1021700</v>
      </c>
      <c r="F21" s="31">
        <f>SUMIFS(Fact_Pipeline!K:K,Fact_Pipeline!T:T,Monthly_Summary!$B21,Fact_Pipeline!J:J,"Won")</f>
        <v>1086400</v>
      </c>
      <c r="G21" s="32">
        <f t="shared" si="1"/>
        <v>1.0633258294998531</v>
      </c>
      <c r="H21" s="33">
        <f>SUMIFS(Fact_Pipeline!K:K,Fact_Pipeline!S:S,Monthly_Summary!$B21)</f>
        <v>2518200</v>
      </c>
    </row>
    <row r="22" spans="1:8" ht="15" customHeight="1" x14ac:dyDescent="0.2">
      <c r="A22" s="30">
        <f t="shared" si="2"/>
        <v>45901</v>
      </c>
      <c r="B22" t="str">
        <f t="shared" si="0"/>
        <v>Sep 2025</v>
      </c>
      <c r="C22" t="str">
        <f>LEFT(Monthly_Summary[[#This Row],[Month+Year]],3)</f>
        <v>Sep</v>
      </c>
      <c r="D22">
        <f>YEAR(Monthly_Summary[[#This Row],[Month+Year]])</f>
        <v>2025</v>
      </c>
      <c r="E22" s="31">
        <f>SUMIFS(Fact_Quota!D:D,Fact_Quota!J:J,Monthly_Summary!$B22)</f>
        <v>1065600</v>
      </c>
      <c r="F22" s="31">
        <f>SUMIFS(Fact_Pipeline!K:K,Fact_Pipeline!T:T,Monthly_Summary!$B22,Fact_Pipeline!J:J,"Won")</f>
        <v>1155500</v>
      </c>
      <c r="G22" s="32">
        <f t="shared" si="1"/>
        <v>1.0843656156156156</v>
      </c>
      <c r="H22" s="33">
        <f>SUMIFS(Fact_Pipeline!K:K,Fact_Pipeline!S:S,Monthly_Summary!$B22)</f>
        <v>3768800</v>
      </c>
    </row>
    <row r="23" spans="1:8" ht="15" customHeight="1" x14ac:dyDescent="0.2">
      <c r="A23" s="30">
        <f t="shared" si="2"/>
        <v>45931</v>
      </c>
      <c r="B23" t="str">
        <f t="shared" si="0"/>
        <v>Oct 2025</v>
      </c>
      <c r="C23" t="str">
        <f>LEFT(Monthly_Summary[[#This Row],[Month+Year]],3)</f>
        <v>Oct</v>
      </c>
      <c r="D23">
        <f>YEAR(Monthly_Summary[[#This Row],[Month+Year]])</f>
        <v>2025</v>
      </c>
      <c r="E23" s="31">
        <f>SUMIFS(Fact_Quota!D:D,Fact_Quota!J:J,Monthly_Summary!$B23)</f>
        <v>1031300</v>
      </c>
      <c r="F23" s="31">
        <f>SUMIFS(Fact_Pipeline!K:K,Fact_Pipeline!T:T,Monthly_Summary!$B23,Fact_Pipeline!J:J,"Won")</f>
        <v>1066300</v>
      </c>
      <c r="G23" s="32">
        <f t="shared" si="1"/>
        <v>1.0339377484728014</v>
      </c>
      <c r="H23" s="33">
        <f>SUMIFS(Fact_Pipeline!K:K,Fact_Pipeline!S:S,Monthly_Summary!$B23)</f>
        <v>4770400</v>
      </c>
    </row>
    <row r="24" spans="1:8" ht="15" customHeight="1" x14ac:dyDescent="0.2">
      <c r="A24" s="30">
        <f t="shared" si="2"/>
        <v>45962</v>
      </c>
      <c r="B24" t="str">
        <f t="shared" si="0"/>
        <v>Nov 2025</v>
      </c>
      <c r="C24" t="str">
        <f>LEFT(Monthly_Summary[[#This Row],[Month+Year]],3)</f>
        <v>Nov</v>
      </c>
      <c r="D24">
        <f>YEAR(Monthly_Summary[[#This Row],[Month+Year]])</f>
        <v>2025</v>
      </c>
      <c r="E24" s="31">
        <f>SUMIFS(Fact_Quota!D:D,Fact_Quota!J:J,Monthly_Summary!$B24)</f>
        <v>991100</v>
      </c>
      <c r="F24" s="31">
        <f>SUMIFS(Fact_Pipeline!K:K,Fact_Pipeline!T:T,Monthly_Summary!$B24,Fact_Pipeline!J:J,"Won")</f>
        <v>1312500</v>
      </c>
      <c r="G24" s="32">
        <f t="shared" si="1"/>
        <v>1.3242861467056806</v>
      </c>
      <c r="H24" s="33">
        <f>SUMIFS(Fact_Pipeline!K:K,Fact_Pipeline!S:S,Monthly_Summary!$B24)</f>
        <v>4408100</v>
      </c>
    </row>
    <row r="25" spans="1:8" ht="15" customHeight="1" x14ac:dyDescent="0.2">
      <c r="A25" s="30">
        <f t="shared" si="2"/>
        <v>45992</v>
      </c>
      <c r="B25" t="str">
        <f t="shared" si="0"/>
        <v>Dec 2025</v>
      </c>
      <c r="C25" t="str">
        <f>LEFT(Monthly_Summary[[#This Row],[Month+Year]],3)</f>
        <v>Dec</v>
      </c>
      <c r="D25">
        <f>YEAR(Monthly_Summary[[#This Row],[Month+Year]])</f>
        <v>2025</v>
      </c>
      <c r="E25" s="31">
        <f>SUMIFS(Fact_Quota!D:D,Fact_Quota!J:J,Monthly_Summary!$B25)</f>
        <v>992100</v>
      </c>
      <c r="F25" s="31">
        <f>SUMIFS(Fact_Pipeline!K:K,Fact_Pipeline!T:T,Monthly_Summary!$B25,Fact_Pipeline!J:J,"Won")</f>
        <v>1419000</v>
      </c>
      <c r="G25" s="32">
        <f t="shared" si="1"/>
        <v>1.4302993649833686</v>
      </c>
      <c r="H25" s="33">
        <f>SUMIFS(Fact_Pipeline!K:K,Fact_Pipeline!S:S,Monthly_Summary!$B25)</f>
        <v>4503800</v>
      </c>
    </row>
    <row r="26" spans="1:8" ht="15" customHeight="1" x14ac:dyDescent="0.2">
      <c r="A26" s="30"/>
      <c r="E26" s="31"/>
      <c r="F26" s="31"/>
      <c r="G26" s="32"/>
      <c r="H26" s="33"/>
    </row>
    <row r="27" spans="1:8" ht="15" customHeight="1" x14ac:dyDescent="0.2">
      <c r="A27" t="s">
        <v>169</v>
      </c>
    </row>
    <row r="28" spans="1:8" ht="15.75" customHeight="1" x14ac:dyDescent="0.2">
      <c r="A28" s="28" t="s">
        <v>85</v>
      </c>
      <c r="B28" s="28" t="s">
        <v>86</v>
      </c>
      <c r="C28" s="28" t="s">
        <v>164</v>
      </c>
      <c r="D28" s="28" t="s">
        <v>165</v>
      </c>
      <c r="E28" s="28" t="s">
        <v>166</v>
      </c>
      <c r="F28" s="28" t="s">
        <v>167</v>
      </c>
      <c r="G28" s="28" t="s">
        <v>24</v>
      </c>
      <c r="H28" s="28" t="s">
        <v>168</v>
      </c>
    </row>
    <row r="29" spans="1:8" ht="15" customHeight="1" x14ac:dyDescent="0.2">
      <c r="A29" s="30">
        <f>DATE(2024,1,1)</f>
        <v>45292</v>
      </c>
      <c r="B29" t="str">
        <f t="shared" ref="B29:B40" si="3">TEXT(A29,"mmm yyyyy")</f>
        <v>Jan 2024</v>
      </c>
      <c r="C29" t="str">
        <f>LEFT(Summary_24Month[[#This Row],[Month+Year]],3)</f>
        <v>Jan</v>
      </c>
      <c r="D29">
        <f>YEAR(Summary_24Month[[#This Row],[Month+Year]])</f>
        <v>2024</v>
      </c>
      <c r="E29" s="31">
        <f>SUMIFS(Fact_Quota!D:D,Fact_Quota!J:J,Monthly_Summary!$B29)</f>
        <v>573900</v>
      </c>
      <c r="F29" s="31">
        <f>SUMIFS(Fact_Pipeline!K:K,Fact_Pipeline!T:T,Monthly_Summary!$B29,Fact_Pipeline!J:J,"Won")</f>
        <v>81300</v>
      </c>
      <c r="G29" s="32">
        <f t="shared" ref="G29:G40" si="4">IFERROR(F29/E29,"")</f>
        <v>0.14166231050705697</v>
      </c>
      <c r="H29" s="33">
        <f>SUMIFS(Fact_Pipeline!K:K,Fact_Pipeline!S:S,Monthly_Summary!$B29)</f>
        <v>1605300</v>
      </c>
    </row>
    <row r="30" spans="1:8" ht="15" customHeight="1" x14ac:dyDescent="0.2">
      <c r="A30" s="30">
        <f t="shared" ref="A30:A40" si="5">EDATE(A29,1)</f>
        <v>45323</v>
      </c>
      <c r="B30" t="str">
        <f t="shared" si="3"/>
        <v>Feb 2024</v>
      </c>
      <c r="C30" t="str">
        <f>LEFT(Summary_24Month[[#This Row],[Month+Year]],3)</f>
        <v>Feb</v>
      </c>
      <c r="D30">
        <f>YEAR(Summary_24Month[[#This Row],[Month+Year]])</f>
        <v>2024</v>
      </c>
      <c r="E30" s="31">
        <f>SUMIFS(Fact_Quota!D:D,Fact_Quota!J:J,Monthly_Summary!$B30)</f>
        <v>598300</v>
      </c>
      <c r="F30" s="31">
        <f>SUMIFS(Fact_Pipeline!K:K,Fact_Pipeline!T:T,Monthly_Summary!$B30,Fact_Pipeline!J:J,"Won")</f>
        <v>299400</v>
      </c>
      <c r="G30" s="32">
        <f t="shared" si="4"/>
        <v>0.50041785057663379</v>
      </c>
      <c r="H30" s="33">
        <f>SUMIFS(Fact_Pipeline!K:K,Fact_Pipeline!S:S,Monthly_Summary!$B30)</f>
        <v>1791600</v>
      </c>
    </row>
    <row r="31" spans="1:8" ht="15" customHeight="1" x14ac:dyDescent="0.2">
      <c r="A31" s="30">
        <f t="shared" si="5"/>
        <v>45352</v>
      </c>
      <c r="B31" t="str">
        <f t="shared" si="3"/>
        <v>Mar 2024</v>
      </c>
      <c r="C31" t="str">
        <f>LEFT(Summary_24Month[[#This Row],[Month+Year]],3)</f>
        <v>Mar</v>
      </c>
      <c r="D31">
        <f>YEAR(Summary_24Month[[#This Row],[Month+Year]])</f>
        <v>2024</v>
      </c>
      <c r="E31" s="31">
        <f>SUMIFS(Fact_Quota!D:D,Fact_Quota!J:J,Monthly_Summary!$B31)</f>
        <v>624300</v>
      </c>
      <c r="F31" s="31">
        <f>SUMIFS(Fact_Pipeline!K:K,Fact_Pipeline!T:T,Monthly_Summary!$B31,Fact_Pipeline!J:J,"Won")</f>
        <v>453100</v>
      </c>
      <c r="G31" s="32">
        <f t="shared" si="4"/>
        <v>0.72577286560948262</v>
      </c>
      <c r="H31" s="33">
        <f>SUMIFS(Fact_Pipeline!K:K,Fact_Pipeline!S:S,Monthly_Summary!$B31)</f>
        <v>1719600</v>
      </c>
    </row>
    <row r="32" spans="1:8" ht="15" customHeight="1" x14ac:dyDescent="0.2">
      <c r="A32" s="30">
        <f t="shared" si="5"/>
        <v>45383</v>
      </c>
      <c r="B32" t="str">
        <f t="shared" si="3"/>
        <v>Apr 2024</v>
      </c>
      <c r="C32" t="str">
        <f>LEFT(Summary_24Month[[#This Row],[Month+Year]],3)</f>
        <v>Apr</v>
      </c>
      <c r="D32">
        <f>YEAR(Summary_24Month[[#This Row],[Month+Year]])</f>
        <v>2024</v>
      </c>
      <c r="E32" s="31">
        <f>SUMIFS(Fact_Quota!D:D,Fact_Quota!J:J,Monthly_Summary!$B32)</f>
        <v>647600</v>
      </c>
      <c r="F32" s="31">
        <f>SUMIFS(Fact_Pipeline!K:K,Fact_Pipeline!T:T,Monthly_Summary!$B32,Fact_Pipeline!J:J,"Won")</f>
        <v>483600</v>
      </c>
      <c r="G32" s="32">
        <f t="shared" si="4"/>
        <v>0.74675725756639899</v>
      </c>
      <c r="H32" s="33">
        <f>SUMIFS(Fact_Pipeline!K:K,Fact_Pipeline!S:S,Monthly_Summary!$B32)</f>
        <v>2236300</v>
      </c>
    </row>
    <row r="33" spans="1:8" ht="15" customHeight="1" x14ac:dyDescent="0.2">
      <c r="A33" s="30">
        <f t="shared" si="5"/>
        <v>45413</v>
      </c>
      <c r="B33" t="str">
        <f t="shared" si="3"/>
        <v>May 2024</v>
      </c>
      <c r="C33" t="str">
        <f>LEFT(Summary_24Month[[#This Row],[Month+Year]],3)</f>
        <v>May</v>
      </c>
      <c r="D33">
        <f>YEAR(Summary_24Month[[#This Row],[Month+Year]])</f>
        <v>2024</v>
      </c>
      <c r="E33" s="31">
        <f>SUMIFS(Fact_Quota!D:D,Fact_Quota!J:J,Monthly_Summary!$B33)</f>
        <v>665200</v>
      </c>
      <c r="F33" s="31">
        <f>SUMIFS(Fact_Pipeline!K:K,Fact_Pipeline!T:T,Monthly_Summary!$B33,Fact_Pipeline!J:J,"Won")</f>
        <v>573900</v>
      </c>
      <c r="G33" s="32">
        <f t="shared" si="4"/>
        <v>0.8627480457005412</v>
      </c>
      <c r="H33" s="33">
        <f>SUMIFS(Fact_Pipeline!K:K,Fact_Pipeline!S:S,Monthly_Summary!$B33)</f>
        <v>2015800</v>
      </c>
    </row>
    <row r="34" spans="1:8" ht="15" customHeight="1" x14ac:dyDescent="0.2">
      <c r="A34" s="30">
        <f t="shared" si="5"/>
        <v>45444</v>
      </c>
      <c r="B34" t="str">
        <f t="shared" si="3"/>
        <v>Jun 2024</v>
      </c>
      <c r="C34" t="str">
        <f>LEFT(Summary_24Month[[#This Row],[Month+Year]],3)</f>
        <v>Jun</v>
      </c>
      <c r="D34">
        <f>YEAR(Summary_24Month[[#This Row],[Month+Year]])</f>
        <v>2024</v>
      </c>
      <c r="E34" s="31">
        <f>SUMIFS(Fact_Quota!D:D,Fact_Quota!J:J,Monthly_Summary!$B34)</f>
        <v>693900</v>
      </c>
      <c r="F34" s="31">
        <f>SUMIFS(Fact_Pipeline!K:K,Fact_Pipeline!T:T,Monthly_Summary!$B34,Fact_Pipeline!J:J,"Won")</f>
        <v>598700</v>
      </c>
      <c r="G34" s="32">
        <f t="shared" si="4"/>
        <v>0.86280443867992507</v>
      </c>
      <c r="H34" s="33">
        <f>SUMIFS(Fact_Pipeline!K:K,Fact_Pipeline!S:S,Monthly_Summary!$B34)</f>
        <v>2268000</v>
      </c>
    </row>
    <row r="35" spans="1:8" ht="15" customHeight="1" x14ac:dyDescent="0.2">
      <c r="A35" s="30">
        <f t="shared" si="5"/>
        <v>45474</v>
      </c>
      <c r="B35" t="str">
        <f t="shared" si="3"/>
        <v>Jul 2024</v>
      </c>
      <c r="C35" t="str">
        <f>LEFT(Summary_24Month[[#This Row],[Month+Year]],3)</f>
        <v>Jul</v>
      </c>
      <c r="D35">
        <f>YEAR(Summary_24Month[[#This Row],[Month+Year]])</f>
        <v>2024</v>
      </c>
      <c r="E35" s="31">
        <f>SUMIFS(Fact_Quota!D:D,Fact_Quota!J:J,Monthly_Summary!$B35)</f>
        <v>735600</v>
      </c>
      <c r="F35" s="31">
        <f>SUMIFS(Fact_Pipeline!K:K,Fact_Pipeline!T:T,Monthly_Summary!$B35,Fact_Pipeline!J:J,"Won")</f>
        <v>961100</v>
      </c>
      <c r="G35" s="32">
        <f t="shared" si="4"/>
        <v>1.306552474170745</v>
      </c>
      <c r="H35" s="33">
        <f>SUMIFS(Fact_Pipeline!K:K,Fact_Pipeline!S:S,Monthly_Summary!$B35)</f>
        <v>1722000</v>
      </c>
    </row>
    <row r="36" spans="1:8" ht="15" customHeight="1" x14ac:dyDescent="0.2">
      <c r="A36" s="30">
        <f t="shared" si="5"/>
        <v>45505</v>
      </c>
      <c r="B36" t="str">
        <f t="shared" si="3"/>
        <v>Aug 2024</v>
      </c>
      <c r="C36" t="str">
        <f>LEFT(Summary_24Month[[#This Row],[Month+Year]],3)</f>
        <v>Aug</v>
      </c>
      <c r="D36">
        <f>YEAR(Summary_24Month[[#This Row],[Month+Year]])</f>
        <v>2024</v>
      </c>
      <c r="E36" s="31">
        <f>SUMIFS(Fact_Quota!D:D,Fact_Quota!J:J,Monthly_Summary!$B36)</f>
        <v>773600</v>
      </c>
      <c r="F36" s="31">
        <f>SUMIFS(Fact_Pipeline!K:K,Fact_Pipeline!T:T,Monthly_Summary!$B36,Fact_Pipeline!J:J,"Won")</f>
        <v>634700</v>
      </c>
      <c r="G36" s="32">
        <f t="shared" si="4"/>
        <v>0.82044984488107553</v>
      </c>
      <c r="H36" s="33">
        <f>SUMIFS(Fact_Pipeline!K:K,Fact_Pipeline!S:S,Monthly_Summary!$B36)</f>
        <v>1619600</v>
      </c>
    </row>
    <row r="37" spans="1:8" ht="15" customHeight="1" x14ac:dyDescent="0.2">
      <c r="A37" s="30">
        <f t="shared" si="5"/>
        <v>45536</v>
      </c>
      <c r="B37" t="str">
        <f t="shared" si="3"/>
        <v>Sep 2024</v>
      </c>
      <c r="C37" t="str">
        <f>LEFT(Summary_24Month[[#This Row],[Month+Year]],3)</f>
        <v>Sep</v>
      </c>
      <c r="D37">
        <f>YEAR(Summary_24Month[[#This Row],[Month+Year]])</f>
        <v>2024</v>
      </c>
      <c r="E37" s="31">
        <f>SUMIFS(Fact_Quota!D:D,Fact_Quota!J:J,Monthly_Summary!$B37)</f>
        <v>794400</v>
      </c>
      <c r="F37" s="31">
        <f>SUMIFS(Fact_Pipeline!K:K,Fact_Pipeline!T:T,Monthly_Summary!$B37,Fact_Pipeline!J:J,"Won")</f>
        <v>535500</v>
      </c>
      <c r="G37" s="32">
        <f t="shared" si="4"/>
        <v>0.67409365558912382</v>
      </c>
      <c r="H37" s="33">
        <f>SUMIFS(Fact_Pipeline!K:K,Fact_Pipeline!S:S,Monthly_Summary!$B37)</f>
        <v>2543700</v>
      </c>
    </row>
    <row r="38" spans="1:8" ht="15" customHeight="1" x14ac:dyDescent="0.2">
      <c r="A38" s="30">
        <f t="shared" si="5"/>
        <v>45566</v>
      </c>
      <c r="B38" t="str">
        <f t="shared" si="3"/>
        <v>Oct 2024</v>
      </c>
      <c r="C38" t="str">
        <f>LEFT(Summary_24Month[[#This Row],[Month+Year]],3)</f>
        <v>Oct</v>
      </c>
      <c r="D38">
        <f>YEAR(Summary_24Month[[#This Row],[Month+Year]])</f>
        <v>2024</v>
      </c>
      <c r="E38" s="31">
        <f>SUMIFS(Fact_Quota!D:D,Fact_Quota!J:J,Monthly_Summary!$B38)</f>
        <v>814200</v>
      </c>
      <c r="F38" s="31">
        <f>SUMIFS(Fact_Pipeline!K:K,Fact_Pipeline!T:T,Monthly_Summary!$B38,Fact_Pipeline!J:J,"Won")</f>
        <v>816600</v>
      </c>
      <c r="G38" s="32">
        <f t="shared" si="4"/>
        <v>1.0029476787030214</v>
      </c>
      <c r="H38" s="33">
        <f>SUMIFS(Fact_Pipeline!K:K,Fact_Pipeline!S:S,Monthly_Summary!$B38)</f>
        <v>3671400</v>
      </c>
    </row>
    <row r="39" spans="1:8" ht="15" customHeight="1" x14ac:dyDescent="0.2">
      <c r="A39" s="30">
        <f t="shared" si="5"/>
        <v>45597</v>
      </c>
      <c r="B39" t="str">
        <f t="shared" si="3"/>
        <v>Nov 2024</v>
      </c>
      <c r="C39" t="str">
        <f>LEFT(Summary_24Month[[#This Row],[Month+Year]],3)</f>
        <v>Nov</v>
      </c>
      <c r="D39">
        <f>YEAR(Summary_24Month[[#This Row],[Month+Year]])</f>
        <v>2024</v>
      </c>
      <c r="E39" s="31">
        <f>SUMIFS(Fact_Quota!D:D,Fact_Quota!J:J,Monthly_Summary!$B39)</f>
        <v>816700</v>
      </c>
      <c r="F39" s="31">
        <f>SUMIFS(Fact_Pipeline!K:K,Fact_Pipeline!T:T,Monthly_Summary!$B39,Fact_Pipeline!J:J,"Won")</f>
        <v>874600</v>
      </c>
      <c r="G39" s="32">
        <f t="shared" si="4"/>
        <v>1.0708950655075302</v>
      </c>
      <c r="H39" s="33">
        <f>SUMIFS(Fact_Pipeline!K:K,Fact_Pipeline!S:S,Monthly_Summary!$B39)</f>
        <v>3628500</v>
      </c>
    </row>
    <row r="40" spans="1:8" ht="15" customHeight="1" x14ac:dyDescent="0.2">
      <c r="A40" s="30">
        <f t="shared" si="5"/>
        <v>45627</v>
      </c>
      <c r="B40" t="str">
        <f t="shared" si="3"/>
        <v>Dec 2024</v>
      </c>
      <c r="C40" t="str">
        <f>LEFT(Summary_24Month[[#This Row],[Month+Year]],3)</f>
        <v>Dec</v>
      </c>
      <c r="D40">
        <f>YEAR(Summary_24Month[[#This Row],[Month+Year]])</f>
        <v>2024</v>
      </c>
      <c r="E40" s="31">
        <f>SUMIFS(Fact_Quota!D:D,Fact_Quota!J:J,Monthly_Summary!$B40)</f>
        <v>829400</v>
      </c>
      <c r="F40" s="31">
        <f>SUMIFS(Fact_Pipeline!K:K,Fact_Pipeline!T:T,Monthly_Summary!$B40,Fact_Pipeline!J:J,"Won")</f>
        <v>1196100</v>
      </c>
      <c r="G40" s="32">
        <f t="shared" si="4"/>
        <v>1.4421268386785628</v>
      </c>
      <c r="H40" s="33">
        <f>SUMIFS(Fact_Pipeline!K:K,Fact_Pipeline!S:S,Monthly_Summary!$B40)</f>
        <v>3499800</v>
      </c>
    </row>
    <row r="41" spans="1:8" ht="15" customHeight="1" x14ac:dyDescent="0.2">
      <c r="A41" s="30"/>
      <c r="E41" s="31"/>
      <c r="F41" s="31"/>
      <c r="G41" s="32"/>
      <c r="H41" s="33"/>
    </row>
    <row r="42" spans="1:8" ht="15" customHeight="1" x14ac:dyDescent="0.2">
      <c r="A42" t="s">
        <v>170</v>
      </c>
    </row>
    <row r="43" spans="1:8" ht="15" customHeight="1" x14ac:dyDescent="0.2">
      <c r="A43" t="s">
        <v>85</v>
      </c>
      <c r="B43" t="s">
        <v>86</v>
      </c>
      <c r="C43" t="s">
        <v>164</v>
      </c>
      <c r="D43" t="s">
        <v>165</v>
      </c>
      <c r="E43" t="s">
        <v>166</v>
      </c>
      <c r="F43" t="s">
        <v>167</v>
      </c>
      <c r="G43" t="s">
        <v>24</v>
      </c>
      <c r="H43" t="s">
        <v>168</v>
      </c>
    </row>
    <row r="44" spans="1:8" ht="15" customHeight="1" x14ac:dyDescent="0.2">
      <c r="A44" s="34">
        <f>DATE(2025,1,1)</f>
        <v>45658</v>
      </c>
      <c r="B44" s="35" t="str">
        <f t="shared" ref="B44:B55" si="6">TEXT(A44,"mmm yyyyy")</f>
        <v>Jan 2025</v>
      </c>
      <c r="C44" s="35" t="str">
        <f t="shared" ref="C44:C55" si="7">LEFT(B44,3)</f>
        <v>Jan</v>
      </c>
      <c r="D44" s="35">
        <f t="shared" ref="D44:D55" si="8">YEAR(B44)</f>
        <v>2025</v>
      </c>
      <c r="E44" s="36">
        <f>SUMIFS(Fact_Quota!D:D,Fact_Quota!J:J,Monthly_Summary!$B44)</f>
        <v>827900</v>
      </c>
      <c r="F44" s="36">
        <f>SUMIFS(Fact_Pipeline!K:K,Fact_Pipeline!T:T,Monthly_Summary!$B44,Fact_Pipeline!J:J,"Won")</f>
        <v>1412000</v>
      </c>
      <c r="G44" s="37">
        <f t="shared" ref="G44:G55" si="9">IFERROR(F44/E44,"")</f>
        <v>1.7055199903369973</v>
      </c>
      <c r="H44" s="38">
        <f>SUMIFS(Fact_Pipeline!K:K,Fact_Pipeline!S:S,Monthly_Summary!$B44)</f>
        <v>2539100</v>
      </c>
    </row>
    <row r="45" spans="1:8" ht="15" customHeight="1" x14ac:dyDescent="0.2">
      <c r="A45" s="39">
        <f t="shared" ref="A45:A55" si="10">EDATE(A44,1)</f>
        <v>45689</v>
      </c>
      <c r="B45" s="35" t="str">
        <f t="shared" si="6"/>
        <v>Feb 2025</v>
      </c>
      <c r="C45" s="35" t="str">
        <f t="shared" si="7"/>
        <v>Feb</v>
      </c>
      <c r="D45" s="35">
        <f t="shared" si="8"/>
        <v>2025</v>
      </c>
      <c r="E45" s="36">
        <f>SUMIFS(Fact_Quota!D:D,Fact_Quota!J:J,Monthly_Summary!$B45)</f>
        <v>850500</v>
      </c>
      <c r="F45" s="36">
        <f>SUMIFS(Fact_Pipeline!K:K,Fact_Pipeline!T:T,Monthly_Summary!$B45,Fact_Pipeline!J:J,"Won")</f>
        <v>803800</v>
      </c>
      <c r="G45" s="37">
        <f t="shared" si="9"/>
        <v>0.94509112286890062</v>
      </c>
      <c r="H45" s="38">
        <f>SUMIFS(Fact_Pipeline!K:K,Fact_Pipeline!S:S,Monthly_Summary!$B45)</f>
        <v>2702700</v>
      </c>
    </row>
    <row r="46" spans="1:8" ht="15" customHeight="1" x14ac:dyDescent="0.2">
      <c r="A46" s="39">
        <f t="shared" si="10"/>
        <v>45717</v>
      </c>
      <c r="B46" s="35" t="str">
        <f t="shared" si="6"/>
        <v>Mar 2025</v>
      </c>
      <c r="C46" s="35" t="str">
        <f t="shared" si="7"/>
        <v>Mar</v>
      </c>
      <c r="D46" s="35">
        <f t="shared" si="8"/>
        <v>2025</v>
      </c>
      <c r="E46" s="36">
        <f>SUMIFS(Fact_Quota!D:D,Fact_Quota!J:J,Monthly_Summary!$B46)</f>
        <v>863300</v>
      </c>
      <c r="F46" s="36">
        <f>SUMIFS(Fact_Pipeline!K:K,Fact_Pipeline!T:T,Monthly_Summary!$B46,Fact_Pipeline!J:J,"Won")</f>
        <v>964300</v>
      </c>
      <c r="G46" s="37">
        <f t="shared" si="9"/>
        <v>1.1169929340901192</v>
      </c>
      <c r="H46" s="38">
        <f>SUMIFS(Fact_Pipeline!K:K,Fact_Pipeline!S:S,Monthly_Summary!$B46)</f>
        <v>3188500</v>
      </c>
    </row>
    <row r="47" spans="1:8" ht="15" customHeight="1" x14ac:dyDescent="0.2">
      <c r="A47" s="39">
        <f t="shared" si="10"/>
        <v>45748</v>
      </c>
      <c r="B47" s="35" t="str">
        <f t="shared" si="6"/>
        <v>Apr 2025</v>
      </c>
      <c r="C47" s="35" t="str">
        <f t="shared" si="7"/>
        <v>Apr</v>
      </c>
      <c r="D47" s="35">
        <f t="shared" si="8"/>
        <v>2025</v>
      </c>
      <c r="E47" s="36">
        <f>SUMIFS(Fact_Quota!D:D,Fact_Quota!J:J,Monthly_Summary!$B47)</f>
        <v>881000</v>
      </c>
      <c r="F47" s="36">
        <f>SUMIFS(Fact_Pipeline!K:K,Fact_Pipeline!T:T,Monthly_Summary!$B47,Fact_Pipeline!J:J,"Won")</f>
        <v>728800</v>
      </c>
      <c r="G47" s="37">
        <f t="shared" si="9"/>
        <v>0.82724177071509652</v>
      </c>
      <c r="H47" s="38">
        <f>SUMIFS(Fact_Pipeline!K:K,Fact_Pipeline!S:S,Monthly_Summary!$B47)</f>
        <v>3031700</v>
      </c>
    </row>
    <row r="48" spans="1:8" ht="15" customHeight="1" x14ac:dyDescent="0.2">
      <c r="A48" s="39">
        <f t="shared" si="10"/>
        <v>45778</v>
      </c>
      <c r="B48" s="35" t="str">
        <f t="shared" si="6"/>
        <v>May 2025</v>
      </c>
      <c r="C48" s="35" t="str">
        <f t="shared" si="7"/>
        <v>May</v>
      </c>
      <c r="D48" s="35">
        <f t="shared" si="8"/>
        <v>2025</v>
      </c>
      <c r="E48" s="36">
        <f>SUMIFS(Fact_Quota!D:D,Fact_Quota!J:J,Monthly_Summary!$B48)</f>
        <v>912800</v>
      </c>
      <c r="F48" s="36">
        <f>SUMIFS(Fact_Pipeline!K:K,Fact_Pipeline!T:T,Monthly_Summary!$B48,Fact_Pipeline!J:J,"Won")</f>
        <v>932800</v>
      </c>
      <c r="G48" s="37">
        <f t="shared" si="9"/>
        <v>1.0219106047326907</v>
      </c>
      <c r="H48" s="38">
        <f>SUMIFS(Fact_Pipeline!K:K,Fact_Pipeline!S:S,Monthly_Summary!$B48)</f>
        <v>3151800</v>
      </c>
    </row>
    <row r="49" spans="1:8" ht="15" customHeight="1" x14ac:dyDescent="0.2">
      <c r="A49" s="39">
        <f t="shared" si="10"/>
        <v>45809</v>
      </c>
      <c r="B49" s="35" t="str">
        <f t="shared" si="6"/>
        <v>Jun 2025</v>
      </c>
      <c r="C49" s="35" t="str">
        <f t="shared" si="7"/>
        <v>Jun</v>
      </c>
      <c r="D49" s="35">
        <f t="shared" si="8"/>
        <v>2025</v>
      </c>
      <c r="E49" s="36">
        <f>SUMIFS(Fact_Quota!D:D,Fact_Quota!J:J,Monthly_Summary!$B49)</f>
        <v>945900</v>
      </c>
      <c r="F49" s="36">
        <f>SUMIFS(Fact_Pipeline!K:K,Fact_Pipeline!T:T,Monthly_Summary!$B49,Fact_Pipeline!J:J,"Won")</f>
        <v>706000</v>
      </c>
      <c r="G49" s="37">
        <f t="shared" si="9"/>
        <v>0.74637910984247802</v>
      </c>
      <c r="H49" s="38">
        <f>SUMIFS(Fact_Pipeline!K:K,Fact_Pipeline!S:S,Monthly_Summary!$B49)</f>
        <v>3239700</v>
      </c>
    </row>
    <row r="50" spans="1:8" ht="15" customHeight="1" x14ac:dyDescent="0.2">
      <c r="A50" s="39">
        <f t="shared" si="10"/>
        <v>45839</v>
      </c>
      <c r="B50" s="35" t="str">
        <f t="shared" si="6"/>
        <v>Jul 2025</v>
      </c>
      <c r="C50" s="35" t="str">
        <f t="shared" si="7"/>
        <v>Jul</v>
      </c>
      <c r="D50" s="35">
        <f t="shared" si="8"/>
        <v>2025</v>
      </c>
      <c r="E50" s="36">
        <f>SUMIFS(Fact_Quota!D:D,Fact_Quota!J:J,Monthly_Summary!$B50)</f>
        <v>1003700</v>
      </c>
      <c r="F50" s="36">
        <f>SUMIFS(Fact_Pipeline!K:K,Fact_Pipeline!T:T,Monthly_Summary!$B50,Fact_Pipeline!J:J,"Won")</f>
        <v>806000</v>
      </c>
      <c r="G50" s="37">
        <f t="shared" si="9"/>
        <v>0.80302879346418254</v>
      </c>
      <c r="H50" s="38">
        <f>SUMIFS(Fact_Pipeline!K:K,Fact_Pipeline!S:S,Monthly_Summary!$B50)</f>
        <v>3197100</v>
      </c>
    </row>
    <row r="51" spans="1:8" ht="15" customHeight="1" x14ac:dyDescent="0.2">
      <c r="A51" s="39">
        <f t="shared" si="10"/>
        <v>45870</v>
      </c>
      <c r="B51" s="35" t="str">
        <f t="shared" si="6"/>
        <v>Aug 2025</v>
      </c>
      <c r="C51" s="35" t="str">
        <f t="shared" si="7"/>
        <v>Aug</v>
      </c>
      <c r="D51" s="35">
        <f t="shared" si="8"/>
        <v>2025</v>
      </c>
      <c r="E51" s="36">
        <f>SUMIFS(Fact_Quota!D:D,Fact_Quota!J:J,Monthly_Summary!$B51)</f>
        <v>1021700</v>
      </c>
      <c r="F51" s="36">
        <f>SUMIFS(Fact_Pipeline!K:K,Fact_Pipeline!T:T,Monthly_Summary!$B51,Fact_Pipeline!J:J,"Won")</f>
        <v>1086400</v>
      </c>
      <c r="G51" s="37">
        <f t="shared" si="9"/>
        <v>1.0633258294998531</v>
      </c>
      <c r="H51" s="38">
        <f>SUMIFS(Fact_Pipeline!K:K,Fact_Pipeline!S:S,Monthly_Summary!$B51)</f>
        <v>2518200</v>
      </c>
    </row>
    <row r="52" spans="1:8" ht="15" customHeight="1" x14ac:dyDescent="0.2">
      <c r="A52" s="39">
        <f t="shared" si="10"/>
        <v>45901</v>
      </c>
      <c r="B52" s="35" t="str">
        <f t="shared" si="6"/>
        <v>Sep 2025</v>
      </c>
      <c r="C52" s="35" t="str">
        <f t="shared" si="7"/>
        <v>Sep</v>
      </c>
      <c r="D52" s="35">
        <f t="shared" si="8"/>
        <v>2025</v>
      </c>
      <c r="E52" s="36">
        <f>SUMIFS(Fact_Quota!D:D,Fact_Quota!J:J,Monthly_Summary!$B52)</f>
        <v>1065600</v>
      </c>
      <c r="F52" s="36">
        <f>SUMIFS(Fact_Pipeline!K:K,Fact_Pipeline!T:T,Monthly_Summary!$B52,Fact_Pipeline!J:J,"Won")</f>
        <v>1155500</v>
      </c>
      <c r="G52" s="37">
        <f t="shared" si="9"/>
        <v>1.0843656156156156</v>
      </c>
      <c r="H52" s="38">
        <f>SUMIFS(Fact_Pipeline!K:K,Fact_Pipeline!S:S,Monthly_Summary!$B52)</f>
        <v>3768800</v>
      </c>
    </row>
    <row r="53" spans="1:8" ht="15" customHeight="1" x14ac:dyDescent="0.2">
      <c r="A53" s="39">
        <f t="shared" si="10"/>
        <v>45931</v>
      </c>
      <c r="B53" s="35" t="str">
        <f t="shared" si="6"/>
        <v>Oct 2025</v>
      </c>
      <c r="C53" s="35" t="str">
        <f t="shared" si="7"/>
        <v>Oct</v>
      </c>
      <c r="D53" s="35">
        <f t="shared" si="8"/>
        <v>2025</v>
      </c>
      <c r="E53" s="36">
        <f>SUMIFS(Fact_Quota!D:D,Fact_Quota!J:J,Monthly_Summary!$B53)</f>
        <v>1031300</v>
      </c>
      <c r="F53" s="36">
        <f>SUMIFS(Fact_Pipeline!K:K,Fact_Pipeline!T:T,Monthly_Summary!$B53,Fact_Pipeline!J:J,"Won")</f>
        <v>1066300</v>
      </c>
      <c r="G53" s="37">
        <f t="shared" si="9"/>
        <v>1.0339377484728014</v>
      </c>
      <c r="H53" s="38">
        <f>SUMIFS(Fact_Pipeline!K:K,Fact_Pipeline!S:S,Monthly_Summary!$B53)</f>
        <v>4770400</v>
      </c>
    </row>
    <row r="54" spans="1:8" ht="15" customHeight="1" x14ac:dyDescent="0.2">
      <c r="A54" s="39">
        <f t="shared" si="10"/>
        <v>45962</v>
      </c>
      <c r="B54" s="35" t="str">
        <f t="shared" si="6"/>
        <v>Nov 2025</v>
      </c>
      <c r="C54" s="35" t="str">
        <f t="shared" si="7"/>
        <v>Nov</v>
      </c>
      <c r="D54" s="35">
        <f t="shared" si="8"/>
        <v>2025</v>
      </c>
      <c r="E54" s="36">
        <f>SUMIFS(Fact_Quota!D:D,Fact_Quota!J:J,Monthly_Summary!$B54)</f>
        <v>991100</v>
      </c>
      <c r="F54" s="36">
        <f>SUMIFS(Fact_Pipeline!K:K,Fact_Pipeline!T:T,Monthly_Summary!$B54,Fact_Pipeline!J:J,"Won")</f>
        <v>1312500</v>
      </c>
      <c r="G54" s="37">
        <f t="shared" si="9"/>
        <v>1.3242861467056806</v>
      </c>
      <c r="H54" s="38">
        <f>SUMIFS(Fact_Pipeline!K:K,Fact_Pipeline!S:S,Monthly_Summary!$B54)</f>
        <v>4408100</v>
      </c>
    </row>
    <row r="55" spans="1:8" ht="15" customHeight="1" x14ac:dyDescent="0.2">
      <c r="A55" s="40">
        <f t="shared" si="10"/>
        <v>45992</v>
      </c>
      <c r="B55" s="41" t="str">
        <f t="shared" si="6"/>
        <v>Dec 2025</v>
      </c>
      <c r="C55" s="41" t="str">
        <f t="shared" si="7"/>
        <v>Dec</v>
      </c>
      <c r="D55" s="41">
        <f t="shared" si="8"/>
        <v>2025</v>
      </c>
      <c r="E55" s="42">
        <f>SUMIFS(Fact_Quota!D:D,Fact_Quota!J:J,Monthly_Summary!$B55)</f>
        <v>992100</v>
      </c>
      <c r="F55" s="42">
        <f>SUMIFS(Fact_Pipeline!K:K,Fact_Pipeline!T:T,Monthly_Summary!$B55,Fact_Pipeline!J:J,"Won")</f>
        <v>1419000</v>
      </c>
      <c r="G55" s="43">
        <f t="shared" si="9"/>
        <v>1.4302993649833686</v>
      </c>
      <c r="H55" s="44">
        <f>SUMIFS(Fact_Pipeline!K:K,Fact_Pipeline!S:S,Monthly_Summary!$B55)</f>
        <v>4503800</v>
      </c>
    </row>
  </sheetData>
  <pageMargins left="0.7" right="0.7" top="0.75" bottom="0.75" header="0.511811023622047" footer="0.511811023622047"/>
  <pageSetup paperSize="9" orientation="portrait" horizontalDpi="300" verticalDpi="300"/>
  <tableParts count="3">
    <tablePart r:id="rId1"/>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51"/>
  <sheetViews>
    <sheetView zoomScale="120" zoomScaleNormal="120" workbookViewId="0">
      <pane ySplit="1" topLeftCell="A2" activePane="bottomLeft" state="frozen"/>
      <selection pane="bottomLeft" activeCell="H13" sqref="H13"/>
    </sheetView>
  </sheetViews>
  <sheetFormatPr baseColWidth="10" defaultColWidth="8.83203125" defaultRowHeight="15" x14ac:dyDescent="0.2"/>
  <cols>
    <col min="2" max="2" width="12.6640625" customWidth="1"/>
    <col min="3" max="3" width="17.33203125" customWidth="1"/>
    <col min="4" max="4" width="10" customWidth="1"/>
    <col min="6" max="6" width="12.83203125" customWidth="1"/>
    <col min="7" max="7" width="10.5" customWidth="1"/>
    <col min="9" max="9" width="16.6640625" customWidth="1"/>
    <col min="10" max="10" width="19.6640625" style="33" customWidth="1"/>
    <col min="11" max="11" width="12.6640625" customWidth="1"/>
    <col min="12" max="12" width="29.6640625" style="45" customWidth="1"/>
  </cols>
  <sheetData>
    <row r="1" spans="1:12" s="46" customFormat="1" ht="48" customHeight="1" x14ac:dyDescent="0.2">
      <c r="A1" s="46" t="s">
        <v>78</v>
      </c>
      <c r="B1" s="46" t="s">
        <v>79</v>
      </c>
      <c r="C1" s="46" t="s">
        <v>90</v>
      </c>
      <c r="D1" s="46" t="s">
        <v>20</v>
      </c>
      <c r="E1" s="46" t="s">
        <v>30</v>
      </c>
      <c r="F1" s="46" t="s">
        <v>171</v>
      </c>
      <c r="G1" s="46" t="s">
        <v>172</v>
      </c>
      <c r="H1" s="46" t="s">
        <v>80</v>
      </c>
      <c r="I1" s="46" t="s">
        <v>173</v>
      </c>
      <c r="J1" s="47" t="s">
        <v>174</v>
      </c>
      <c r="K1" s="46" t="s">
        <v>175</v>
      </c>
      <c r="L1" s="48" t="s">
        <v>176</v>
      </c>
    </row>
    <row r="2" spans="1:12" ht="15" customHeight="1" x14ac:dyDescent="0.2">
      <c r="A2" t="s">
        <v>177</v>
      </c>
      <c r="B2" t="s">
        <v>178</v>
      </c>
      <c r="C2" t="s">
        <v>96</v>
      </c>
      <c r="D2" t="s">
        <v>28</v>
      </c>
      <c r="E2" t="s">
        <v>31</v>
      </c>
      <c r="F2" t="s">
        <v>179</v>
      </c>
      <c r="G2" s="49">
        <v>45770</v>
      </c>
      <c r="H2" t="s">
        <v>180</v>
      </c>
      <c r="J2" s="33">
        <v>32000</v>
      </c>
      <c r="K2" t="str">
        <f>IF(Reps_tbl[[#This Row],[Region]]="NAMER","USD",IF(Reps_tbl[[#This Row],[Region]]="EMEA","EUR",IF(Reps_tbl[[#This Row],[Region]]="APAC","EUR", IF(Reps_tbl[[#This Row],[Region]]="LATAM","MXN","ERROR"))))</f>
        <v>USD</v>
      </c>
      <c r="L2" s="45">
        <f>_xlfn.XLOOKUP(Reps_tbl[[#This Row],[Rate_Code_Generalized]],Lookups!A:A,Lookups!B:B)*Reps_tbl[[#This Row],[Full_Ramped_Monthly_Quota_USD]]</f>
        <v>37257.599999999999</v>
      </c>
    </row>
    <row r="3" spans="1:12" ht="15" customHeight="1" x14ac:dyDescent="0.2">
      <c r="A3" t="s">
        <v>181</v>
      </c>
      <c r="B3" t="s">
        <v>182</v>
      </c>
      <c r="C3" t="s">
        <v>96</v>
      </c>
      <c r="D3" t="s">
        <v>28</v>
      </c>
      <c r="E3" t="s">
        <v>31</v>
      </c>
      <c r="F3" t="s">
        <v>179</v>
      </c>
      <c r="G3" s="49">
        <v>45396</v>
      </c>
      <c r="H3" t="s">
        <v>180</v>
      </c>
      <c r="J3" s="33">
        <v>32000</v>
      </c>
      <c r="K3" t="str">
        <f>IF(Reps_tbl[[#This Row],[Region]]="NAMER","USD",IF(Reps_tbl[[#This Row],[Region]]="EMEA","EUR",IF(Reps_tbl[[#This Row],[Region]]="APAC","EUR", IF(Reps_tbl[[#This Row],[Region]]="LATAM","MXN","ERROR"))))</f>
        <v>USD</v>
      </c>
      <c r="L3" s="45">
        <f>_xlfn.XLOOKUP(Reps_tbl[[#This Row],[Rate_Code_Generalized]],Lookups!A:A,Lookups!B:B)*Reps_tbl[[#This Row],[Full_Ramped_Monthly_Quota_USD]]</f>
        <v>37257.599999999999</v>
      </c>
    </row>
    <row r="4" spans="1:12" ht="15" customHeight="1" x14ac:dyDescent="0.2">
      <c r="A4" t="s">
        <v>183</v>
      </c>
      <c r="B4" t="s">
        <v>184</v>
      </c>
      <c r="C4" t="s">
        <v>96</v>
      </c>
      <c r="D4" t="s">
        <v>28</v>
      </c>
      <c r="E4" t="s">
        <v>32</v>
      </c>
      <c r="F4" t="s">
        <v>179</v>
      </c>
      <c r="G4" s="49">
        <v>45213</v>
      </c>
      <c r="H4" t="s">
        <v>180</v>
      </c>
      <c r="J4" s="33">
        <v>32000</v>
      </c>
      <c r="K4" t="str">
        <f>IF(Reps_tbl[[#This Row],[Region]]="NAMER","USD",IF(Reps_tbl[[#This Row],[Region]]="EMEA","EUR",IF(Reps_tbl[[#This Row],[Region]]="APAC","EUR", IF(Reps_tbl[[#This Row],[Region]]="LATAM","MXN","ERROR"))))</f>
        <v>EUR</v>
      </c>
      <c r="L4" s="45">
        <f>_xlfn.XLOOKUP(Reps_tbl[[#This Row],[Rate_Code_Generalized]],Lookups!A:A,Lookups!B:B)*Reps_tbl[[#This Row],[Full_Ramped_Monthly_Quota_USD]]</f>
        <v>32000</v>
      </c>
    </row>
    <row r="5" spans="1:12" ht="15" customHeight="1" x14ac:dyDescent="0.2">
      <c r="A5" t="s">
        <v>185</v>
      </c>
      <c r="B5" t="s">
        <v>186</v>
      </c>
      <c r="C5" t="s">
        <v>96</v>
      </c>
      <c r="D5" t="s">
        <v>28</v>
      </c>
      <c r="E5" t="s">
        <v>34</v>
      </c>
      <c r="F5" t="s">
        <v>187</v>
      </c>
      <c r="G5" s="49">
        <v>45398</v>
      </c>
      <c r="H5" t="s">
        <v>180</v>
      </c>
      <c r="J5" s="33">
        <v>32000</v>
      </c>
      <c r="K5" t="str">
        <f>IF(Reps_tbl[[#This Row],[Region]]="NAMER","USD",IF(Reps_tbl[[#This Row],[Region]]="EMEA","EUR",IF(Reps_tbl[[#This Row],[Region]]="APAC","EUR", IF(Reps_tbl[[#This Row],[Region]]="LATAM","MXN","ERROR"))))</f>
        <v>MXN</v>
      </c>
      <c r="L5" s="45">
        <f>_xlfn.XLOOKUP(Reps_tbl[[#This Row],[Rate_Code_Generalized]],Lookups!A:A,Lookups!B:B)*Reps_tbl[[#This Row],[Full_Ramped_Monthly_Quota_USD]]</f>
        <v>631446.4</v>
      </c>
    </row>
    <row r="6" spans="1:12" ht="15" customHeight="1" x14ac:dyDescent="0.2">
      <c r="A6" t="s">
        <v>188</v>
      </c>
      <c r="B6" t="s">
        <v>189</v>
      </c>
      <c r="C6" t="s">
        <v>96</v>
      </c>
      <c r="D6" t="s">
        <v>28</v>
      </c>
      <c r="E6" t="s">
        <v>33</v>
      </c>
      <c r="F6" t="s">
        <v>179</v>
      </c>
      <c r="G6" s="49">
        <v>45250</v>
      </c>
      <c r="H6" t="s">
        <v>190</v>
      </c>
      <c r="I6" s="49">
        <v>46010</v>
      </c>
      <c r="J6" s="33">
        <v>32000</v>
      </c>
      <c r="K6" t="str">
        <f>IF(Reps_tbl[[#This Row],[Region]]="NAMER","USD",IF(Reps_tbl[[#This Row],[Region]]="EMEA","EUR",IF(Reps_tbl[[#This Row],[Region]]="APAC","EUR", IF(Reps_tbl[[#This Row],[Region]]="LATAM","MXN","ERROR"))))</f>
        <v>EUR</v>
      </c>
      <c r="L6" s="45">
        <f>_xlfn.XLOOKUP(Reps_tbl[[#This Row],[Rate_Code_Generalized]],Lookups!A:A,Lookups!B:B)*Reps_tbl[[#This Row],[Full_Ramped_Monthly_Quota_USD]]</f>
        <v>32000</v>
      </c>
    </row>
    <row r="7" spans="1:12" ht="15" customHeight="1" x14ac:dyDescent="0.2">
      <c r="A7" t="s">
        <v>191</v>
      </c>
      <c r="B7" t="s">
        <v>192</v>
      </c>
      <c r="C7" t="s">
        <v>96</v>
      </c>
      <c r="D7" t="s">
        <v>28</v>
      </c>
      <c r="E7" t="s">
        <v>31</v>
      </c>
      <c r="F7" t="s">
        <v>179</v>
      </c>
      <c r="G7" s="49">
        <v>44822</v>
      </c>
      <c r="H7" t="s">
        <v>180</v>
      </c>
      <c r="J7" s="33">
        <v>32000</v>
      </c>
      <c r="K7" t="str">
        <f>IF(Reps_tbl[[#This Row],[Region]]="NAMER","USD",IF(Reps_tbl[[#This Row],[Region]]="EMEA","EUR",IF(Reps_tbl[[#This Row],[Region]]="APAC","EUR", IF(Reps_tbl[[#This Row],[Region]]="LATAM","MXN","ERROR"))))</f>
        <v>USD</v>
      </c>
      <c r="L7" s="45">
        <f>_xlfn.XLOOKUP(Reps_tbl[[#This Row],[Rate_Code_Generalized]],Lookups!A:A,Lookups!B:B)*Reps_tbl[[#This Row],[Full_Ramped_Monthly_Quota_USD]]</f>
        <v>37257.599999999999</v>
      </c>
    </row>
    <row r="8" spans="1:12" ht="15" customHeight="1" x14ac:dyDescent="0.2">
      <c r="A8" t="s">
        <v>193</v>
      </c>
      <c r="B8" t="s">
        <v>194</v>
      </c>
      <c r="C8" t="s">
        <v>94</v>
      </c>
      <c r="D8" t="s">
        <v>26</v>
      </c>
      <c r="E8" t="s">
        <v>31</v>
      </c>
      <c r="F8" t="s">
        <v>195</v>
      </c>
      <c r="G8" s="49">
        <v>45184</v>
      </c>
      <c r="H8" t="s">
        <v>180</v>
      </c>
      <c r="J8" s="33">
        <v>15500</v>
      </c>
      <c r="K8" t="str">
        <f>IF(Reps_tbl[[#This Row],[Region]]="NAMER","USD",IF(Reps_tbl[[#This Row],[Region]]="EMEA","EUR",IF(Reps_tbl[[#This Row],[Region]]="APAC","EUR", IF(Reps_tbl[[#This Row],[Region]]="LATAM","MXN","ERROR"))))</f>
        <v>USD</v>
      </c>
      <c r="L8" s="45">
        <f>_xlfn.XLOOKUP(Reps_tbl[[#This Row],[Rate_Code_Generalized]],Lookups!A:A,Lookups!B:B)*Reps_tbl[[#This Row],[Full_Ramped_Monthly_Quota_USD]]</f>
        <v>18046.649999999998</v>
      </c>
    </row>
    <row r="9" spans="1:12" ht="15" customHeight="1" x14ac:dyDescent="0.2">
      <c r="A9" t="s">
        <v>196</v>
      </c>
      <c r="B9" t="s">
        <v>197</v>
      </c>
      <c r="C9" t="s">
        <v>94</v>
      </c>
      <c r="D9" t="s">
        <v>26</v>
      </c>
      <c r="E9" t="s">
        <v>32</v>
      </c>
      <c r="F9" t="s">
        <v>198</v>
      </c>
      <c r="G9" s="49">
        <v>45486</v>
      </c>
      <c r="H9" t="s">
        <v>180</v>
      </c>
      <c r="J9" s="33">
        <v>15500</v>
      </c>
      <c r="K9" t="str">
        <f>IF(Reps_tbl[[#This Row],[Region]]="NAMER","USD",IF(Reps_tbl[[#This Row],[Region]]="EMEA","EUR",IF(Reps_tbl[[#This Row],[Region]]="APAC","EUR", IF(Reps_tbl[[#This Row],[Region]]="LATAM","MXN","ERROR"))))</f>
        <v>EUR</v>
      </c>
      <c r="L9" s="45">
        <f>_xlfn.XLOOKUP(Reps_tbl[[#This Row],[Rate_Code_Generalized]],Lookups!A:A,Lookups!B:B)*Reps_tbl[[#This Row],[Full_Ramped_Monthly_Quota_USD]]</f>
        <v>15500</v>
      </c>
    </row>
    <row r="10" spans="1:12" ht="15" customHeight="1" x14ac:dyDescent="0.2">
      <c r="A10" t="s">
        <v>199</v>
      </c>
      <c r="B10" t="s">
        <v>200</v>
      </c>
      <c r="C10" t="s">
        <v>94</v>
      </c>
      <c r="D10" t="s">
        <v>26</v>
      </c>
      <c r="E10" t="s">
        <v>33</v>
      </c>
      <c r="F10" t="s">
        <v>195</v>
      </c>
      <c r="G10" s="49">
        <v>44830</v>
      </c>
      <c r="H10" t="s">
        <v>180</v>
      </c>
      <c r="J10" s="33">
        <v>15500</v>
      </c>
      <c r="K10" t="str">
        <f>IF(Reps_tbl[[#This Row],[Region]]="NAMER","USD",IF(Reps_tbl[[#This Row],[Region]]="EMEA","EUR",IF(Reps_tbl[[#This Row],[Region]]="APAC","EUR", IF(Reps_tbl[[#This Row],[Region]]="LATAM","MXN","ERROR"))))</f>
        <v>EUR</v>
      </c>
      <c r="L10" s="45">
        <f>_xlfn.XLOOKUP(Reps_tbl[[#This Row],[Rate_Code_Generalized]],Lookups!A:A,Lookups!B:B)*Reps_tbl[[#This Row],[Full_Ramped_Monthly_Quota_USD]]</f>
        <v>15500</v>
      </c>
    </row>
    <row r="11" spans="1:12" ht="15" customHeight="1" x14ac:dyDescent="0.2">
      <c r="A11" t="s">
        <v>201</v>
      </c>
      <c r="B11" t="s">
        <v>202</v>
      </c>
      <c r="C11" t="s">
        <v>94</v>
      </c>
      <c r="D11" t="s">
        <v>26</v>
      </c>
      <c r="E11" t="s">
        <v>33</v>
      </c>
      <c r="F11" t="s">
        <v>198</v>
      </c>
      <c r="G11" s="49">
        <v>45857</v>
      </c>
      <c r="H11" t="s">
        <v>180</v>
      </c>
      <c r="J11" s="33">
        <v>15500</v>
      </c>
      <c r="K11" t="str">
        <f>IF(Reps_tbl[[#This Row],[Region]]="NAMER","USD",IF(Reps_tbl[[#This Row],[Region]]="EMEA","EUR",IF(Reps_tbl[[#This Row],[Region]]="APAC","EUR", IF(Reps_tbl[[#This Row],[Region]]="LATAM","MXN","ERROR"))))</f>
        <v>EUR</v>
      </c>
      <c r="L11" s="45">
        <f>_xlfn.XLOOKUP(Reps_tbl[[#This Row],[Rate_Code_Generalized]],Lookups!A:A,Lookups!B:B)*Reps_tbl[[#This Row],[Full_Ramped_Monthly_Quota_USD]]</f>
        <v>15500</v>
      </c>
    </row>
    <row r="12" spans="1:12" ht="15" customHeight="1" x14ac:dyDescent="0.2">
      <c r="A12" t="s">
        <v>203</v>
      </c>
      <c r="B12" t="s">
        <v>204</v>
      </c>
      <c r="C12" t="s">
        <v>94</v>
      </c>
      <c r="D12" t="s">
        <v>26</v>
      </c>
      <c r="E12" t="s">
        <v>33</v>
      </c>
      <c r="F12" t="s">
        <v>198</v>
      </c>
      <c r="G12" s="49">
        <v>45549</v>
      </c>
      <c r="H12" t="s">
        <v>180</v>
      </c>
      <c r="J12" s="33">
        <v>15500</v>
      </c>
      <c r="K12" t="str">
        <f>IF(Reps_tbl[[#This Row],[Region]]="NAMER","USD",IF(Reps_tbl[[#This Row],[Region]]="EMEA","EUR",IF(Reps_tbl[[#This Row],[Region]]="APAC","EUR", IF(Reps_tbl[[#This Row],[Region]]="LATAM","MXN","ERROR"))))</f>
        <v>EUR</v>
      </c>
      <c r="L12" s="45">
        <f>_xlfn.XLOOKUP(Reps_tbl[[#This Row],[Rate_Code_Generalized]],Lookups!A:A,Lookups!B:B)*Reps_tbl[[#This Row],[Full_Ramped_Monthly_Quota_USD]]</f>
        <v>15500</v>
      </c>
    </row>
    <row r="13" spans="1:12" ht="15" customHeight="1" x14ac:dyDescent="0.2">
      <c r="A13" t="s">
        <v>205</v>
      </c>
      <c r="B13" t="s">
        <v>206</v>
      </c>
      <c r="C13" t="s">
        <v>94</v>
      </c>
      <c r="D13" t="s">
        <v>26</v>
      </c>
      <c r="E13" t="s">
        <v>32</v>
      </c>
      <c r="F13" t="s">
        <v>195</v>
      </c>
      <c r="G13" s="49">
        <v>45285</v>
      </c>
      <c r="H13" t="s">
        <v>180</v>
      </c>
      <c r="J13" s="33">
        <v>15500</v>
      </c>
      <c r="K13" t="str">
        <f>IF(Reps_tbl[[#This Row],[Region]]="NAMER","USD",IF(Reps_tbl[[#This Row],[Region]]="EMEA","EUR",IF(Reps_tbl[[#This Row],[Region]]="APAC","EUR", IF(Reps_tbl[[#This Row],[Region]]="LATAM","MXN","ERROR"))))</f>
        <v>EUR</v>
      </c>
      <c r="L13" s="45">
        <f>_xlfn.XLOOKUP(Reps_tbl[[#This Row],[Rate_Code_Generalized]],Lookups!A:A,Lookups!B:B)*Reps_tbl[[#This Row],[Full_Ramped_Monthly_Quota_USD]]</f>
        <v>15500</v>
      </c>
    </row>
    <row r="14" spans="1:12" ht="15" customHeight="1" x14ac:dyDescent="0.2">
      <c r="A14" t="s">
        <v>207</v>
      </c>
      <c r="B14" t="s">
        <v>208</v>
      </c>
      <c r="C14" t="s">
        <v>94</v>
      </c>
      <c r="D14" t="s">
        <v>26</v>
      </c>
      <c r="E14" t="s">
        <v>33</v>
      </c>
      <c r="F14" t="s">
        <v>198</v>
      </c>
      <c r="G14" s="49">
        <v>45442</v>
      </c>
      <c r="H14" t="s">
        <v>190</v>
      </c>
      <c r="I14" s="49">
        <v>45912</v>
      </c>
      <c r="J14" s="33">
        <v>15500</v>
      </c>
      <c r="K14" t="str">
        <f>IF(Reps_tbl[[#This Row],[Region]]="NAMER","USD",IF(Reps_tbl[[#This Row],[Region]]="EMEA","EUR",IF(Reps_tbl[[#This Row],[Region]]="APAC","EUR", IF(Reps_tbl[[#This Row],[Region]]="LATAM","MXN","ERROR"))))</f>
        <v>EUR</v>
      </c>
      <c r="L14" s="45">
        <f>_xlfn.XLOOKUP(Reps_tbl[[#This Row],[Rate_Code_Generalized]],Lookups!A:A,Lookups!B:B)*Reps_tbl[[#This Row],[Full_Ramped_Monthly_Quota_USD]]</f>
        <v>15500</v>
      </c>
    </row>
    <row r="15" spans="1:12" ht="15" customHeight="1" x14ac:dyDescent="0.2">
      <c r="A15" t="s">
        <v>209</v>
      </c>
      <c r="B15" t="s">
        <v>210</v>
      </c>
      <c r="C15" t="s">
        <v>94</v>
      </c>
      <c r="D15" t="s">
        <v>26</v>
      </c>
      <c r="E15" t="s">
        <v>32</v>
      </c>
      <c r="F15" t="s">
        <v>198</v>
      </c>
      <c r="G15" s="49">
        <v>45643</v>
      </c>
      <c r="H15" t="s">
        <v>180</v>
      </c>
      <c r="J15" s="33">
        <v>15500</v>
      </c>
      <c r="K15" t="str">
        <f>IF(Reps_tbl[[#This Row],[Region]]="NAMER","USD",IF(Reps_tbl[[#This Row],[Region]]="EMEA","EUR",IF(Reps_tbl[[#This Row],[Region]]="APAC","EUR", IF(Reps_tbl[[#This Row],[Region]]="LATAM","MXN","ERROR"))))</f>
        <v>EUR</v>
      </c>
      <c r="L15" s="45">
        <f>_xlfn.XLOOKUP(Reps_tbl[[#This Row],[Rate_Code_Generalized]],Lookups!A:A,Lookups!B:B)*Reps_tbl[[#This Row],[Full_Ramped_Monthly_Quota_USD]]</f>
        <v>15500</v>
      </c>
    </row>
    <row r="16" spans="1:12" ht="15" customHeight="1" x14ac:dyDescent="0.2">
      <c r="A16" t="s">
        <v>211</v>
      </c>
      <c r="B16" t="s">
        <v>212</v>
      </c>
      <c r="C16" t="s">
        <v>94</v>
      </c>
      <c r="D16" t="s">
        <v>26</v>
      </c>
      <c r="E16" t="s">
        <v>32</v>
      </c>
      <c r="F16" t="s">
        <v>195</v>
      </c>
      <c r="G16" s="49">
        <v>45163</v>
      </c>
      <c r="H16" t="s">
        <v>180</v>
      </c>
      <c r="J16" s="33">
        <v>15500</v>
      </c>
      <c r="K16" t="str">
        <f>IF(Reps_tbl[[#This Row],[Region]]="NAMER","USD",IF(Reps_tbl[[#This Row],[Region]]="EMEA","EUR",IF(Reps_tbl[[#This Row],[Region]]="APAC","EUR", IF(Reps_tbl[[#This Row],[Region]]="LATAM","MXN","ERROR"))))</f>
        <v>EUR</v>
      </c>
      <c r="L16" s="45">
        <f>_xlfn.XLOOKUP(Reps_tbl[[#This Row],[Rate_Code_Generalized]],Lookups!A:A,Lookups!B:B)*Reps_tbl[[#This Row],[Full_Ramped_Monthly_Quota_USD]]</f>
        <v>15500</v>
      </c>
    </row>
    <row r="17" spans="1:12" ht="15" customHeight="1" x14ac:dyDescent="0.2">
      <c r="A17" t="s">
        <v>213</v>
      </c>
      <c r="B17" t="s">
        <v>214</v>
      </c>
      <c r="C17" t="s">
        <v>94</v>
      </c>
      <c r="D17" t="s">
        <v>26</v>
      </c>
      <c r="E17" t="s">
        <v>32</v>
      </c>
      <c r="F17" t="s">
        <v>195</v>
      </c>
      <c r="G17" s="49">
        <v>45485</v>
      </c>
      <c r="H17" t="s">
        <v>180</v>
      </c>
      <c r="J17" s="33">
        <v>15500</v>
      </c>
      <c r="K17" t="str">
        <f>IF(Reps_tbl[[#This Row],[Region]]="NAMER","USD",IF(Reps_tbl[[#This Row],[Region]]="EMEA","EUR",IF(Reps_tbl[[#This Row],[Region]]="APAC","EUR", IF(Reps_tbl[[#This Row],[Region]]="LATAM","MXN","ERROR"))))</f>
        <v>EUR</v>
      </c>
      <c r="L17" s="45">
        <f>_xlfn.XLOOKUP(Reps_tbl[[#This Row],[Rate_Code_Generalized]],Lookups!A:A,Lookups!B:B)*Reps_tbl[[#This Row],[Full_Ramped_Monthly_Quota_USD]]</f>
        <v>15500</v>
      </c>
    </row>
    <row r="18" spans="1:12" ht="15" customHeight="1" x14ac:dyDescent="0.2">
      <c r="A18" t="s">
        <v>215</v>
      </c>
      <c r="B18" t="s">
        <v>216</v>
      </c>
      <c r="C18" t="s">
        <v>94</v>
      </c>
      <c r="D18" t="s">
        <v>26</v>
      </c>
      <c r="E18" t="s">
        <v>33</v>
      </c>
      <c r="F18" t="s">
        <v>195</v>
      </c>
      <c r="G18" s="49">
        <v>45317</v>
      </c>
      <c r="H18" t="s">
        <v>180</v>
      </c>
      <c r="J18" s="33">
        <v>15500</v>
      </c>
      <c r="K18" t="str">
        <f>IF(Reps_tbl[[#This Row],[Region]]="NAMER","USD",IF(Reps_tbl[[#This Row],[Region]]="EMEA","EUR",IF(Reps_tbl[[#This Row],[Region]]="APAC","EUR", IF(Reps_tbl[[#This Row],[Region]]="LATAM","MXN","ERROR"))))</f>
        <v>EUR</v>
      </c>
      <c r="L18" s="45">
        <f>_xlfn.XLOOKUP(Reps_tbl[[#This Row],[Rate_Code_Generalized]],Lookups!A:A,Lookups!B:B)*Reps_tbl[[#This Row],[Full_Ramped_Monthly_Quota_USD]]</f>
        <v>15500</v>
      </c>
    </row>
    <row r="19" spans="1:12" ht="15" customHeight="1" x14ac:dyDescent="0.2">
      <c r="A19" t="s">
        <v>217</v>
      </c>
      <c r="B19" t="s">
        <v>218</v>
      </c>
      <c r="C19" t="s">
        <v>94</v>
      </c>
      <c r="D19" t="s">
        <v>26</v>
      </c>
      <c r="E19" t="s">
        <v>31</v>
      </c>
      <c r="F19" t="s">
        <v>195</v>
      </c>
      <c r="G19" s="49">
        <v>45160</v>
      </c>
      <c r="H19" t="s">
        <v>180</v>
      </c>
      <c r="J19" s="33">
        <v>15500</v>
      </c>
      <c r="K19" t="str">
        <f>IF(Reps_tbl[[#This Row],[Region]]="NAMER","USD",IF(Reps_tbl[[#This Row],[Region]]="EMEA","EUR",IF(Reps_tbl[[#This Row],[Region]]="APAC","EUR", IF(Reps_tbl[[#This Row],[Region]]="LATAM","MXN","ERROR"))))</f>
        <v>USD</v>
      </c>
      <c r="L19" s="45">
        <f>_xlfn.XLOOKUP(Reps_tbl[[#This Row],[Rate_Code_Generalized]],Lookups!A:A,Lookups!B:B)*Reps_tbl[[#This Row],[Full_Ramped_Monthly_Quota_USD]]</f>
        <v>18046.649999999998</v>
      </c>
    </row>
    <row r="20" spans="1:12" ht="15" customHeight="1" x14ac:dyDescent="0.2">
      <c r="A20" t="s">
        <v>219</v>
      </c>
      <c r="B20" t="s">
        <v>220</v>
      </c>
      <c r="C20" t="s">
        <v>94</v>
      </c>
      <c r="D20" t="s">
        <v>26</v>
      </c>
      <c r="E20" t="s">
        <v>33</v>
      </c>
      <c r="F20" t="s">
        <v>195</v>
      </c>
      <c r="G20" s="49">
        <v>45929</v>
      </c>
      <c r="H20" t="s">
        <v>180</v>
      </c>
      <c r="J20" s="33">
        <v>15500</v>
      </c>
      <c r="K20" t="str">
        <f>IF(Reps_tbl[[#This Row],[Region]]="NAMER","USD",IF(Reps_tbl[[#This Row],[Region]]="EMEA","EUR",IF(Reps_tbl[[#This Row],[Region]]="APAC","EUR", IF(Reps_tbl[[#This Row],[Region]]="LATAM","MXN","ERROR"))))</f>
        <v>EUR</v>
      </c>
      <c r="L20" s="45">
        <f>_xlfn.XLOOKUP(Reps_tbl[[#This Row],[Rate_Code_Generalized]],Lookups!A:A,Lookups!B:B)*Reps_tbl[[#This Row],[Full_Ramped_Monthly_Quota_USD]]</f>
        <v>15500</v>
      </c>
    </row>
    <row r="21" spans="1:12" ht="15" customHeight="1" x14ac:dyDescent="0.2">
      <c r="A21" t="s">
        <v>221</v>
      </c>
      <c r="B21" t="s">
        <v>222</v>
      </c>
      <c r="C21" t="s">
        <v>94</v>
      </c>
      <c r="D21" t="s">
        <v>26</v>
      </c>
      <c r="E21" t="s">
        <v>34</v>
      </c>
      <c r="F21" t="s">
        <v>195</v>
      </c>
      <c r="G21" s="49">
        <v>44762</v>
      </c>
      <c r="H21" t="s">
        <v>190</v>
      </c>
      <c r="I21" s="49">
        <v>45915</v>
      </c>
      <c r="J21" s="33">
        <v>15500</v>
      </c>
      <c r="K21" t="str">
        <f>IF(Reps_tbl[[#This Row],[Region]]="NAMER","USD",IF(Reps_tbl[[#This Row],[Region]]="EMEA","EUR",IF(Reps_tbl[[#This Row],[Region]]="APAC","EUR", IF(Reps_tbl[[#This Row],[Region]]="LATAM","MXN","ERROR"))))</f>
        <v>MXN</v>
      </c>
      <c r="L21" s="45">
        <f>_xlfn.XLOOKUP(Reps_tbl[[#This Row],[Rate_Code_Generalized]],Lookups!A:A,Lookups!B:B)*Reps_tbl[[#This Row],[Full_Ramped_Monthly_Quota_USD]]</f>
        <v>305856.85000000003</v>
      </c>
    </row>
    <row r="22" spans="1:12" ht="15" customHeight="1" x14ac:dyDescent="0.2">
      <c r="A22" t="s">
        <v>223</v>
      </c>
      <c r="B22" t="s">
        <v>224</v>
      </c>
      <c r="C22" t="s">
        <v>94</v>
      </c>
      <c r="D22" t="s">
        <v>26</v>
      </c>
      <c r="E22" t="s">
        <v>34</v>
      </c>
      <c r="F22" t="s">
        <v>198</v>
      </c>
      <c r="G22" s="49">
        <v>45680</v>
      </c>
      <c r="H22" t="s">
        <v>190</v>
      </c>
      <c r="I22" s="49">
        <v>45917</v>
      </c>
      <c r="J22" s="33">
        <v>15500</v>
      </c>
      <c r="K22" t="str">
        <f>IF(Reps_tbl[[#This Row],[Region]]="NAMER","USD",IF(Reps_tbl[[#This Row],[Region]]="EMEA","EUR",IF(Reps_tbl[[#This Row],[Region]]="APAC","EUR", IF(Reps_tbl[[#This Row],[Region]]="LATAM","MXN","ERROR"))))</f>
        <v>MXN</v>
      </c>
      <c r="L22" s="45">
        <f>_xlfn.XLOOKUP(Reps_tbl[[#This Row],[Rate_Code_Generalized]],Lookups!A:A,Lookups!B:B)*Reps_tbl[[#This Row],[Full_Ramped_Monthly_Quota_USD]]</f>
        <v>305856.85000000003</v>
      </c>
    </row>
    <row r="23" spans="1:12" ht="15" customHeight="1" x14ac:dyDescent="0.2">
      <c r="A23" t="s">
        <v>225</v>
      </c>
      <c r="B23" t="s">
        <v>226</v>
      </c>
      <c r="C23" t="s">
        <v>94</v>
      </c>
      <c r="D23" t="s">
        <v>26</v>
      </c>
      <c r="E23" t="s">
        <v>31</v>
      </c>
      <c r="F23" t="s">
        <v>195</v>
      </c>
      <c r="G23" s="49">
        <v>45089</v>
      </c>
      <c r="H23" t="s">
        <v>180</v>
      </c>
      <c r="J23" s="33">
        <v>15500</v>
      </c>
      <c r="K23" t="str">
        <f>IF(Reps_tbl[[#This Row],[Region]]="NAMER","USD",IF(Reps_tbl[[#This Row],[Region]]="EMEA","EUR",IF(Reps_tbl[[#This Row],[Region]]="APAC","EUR", IF(Reps_tbl[[#This Row],[Region]]="LATAM","MXN","ERROR"))))</f>
        <v>USD</v>
      </c>
      <c r="L23" s="45">
        <f>_xlfn.XLOOKUP(Reps_tbl[[#This Row],[Rate_Code_Generalized]],Lookups!A:A,Lookups!B:B)*Reps_tbl[[#This Row],[Full_Ramped_Monthly_Quota_USD]]</f>
        <v>18046.649999999998</v>
      </c>
    </row>
    <row r="24" spans="1:12" ht="15" customHeight="1" x14ac:dyDescent="0.2">
      <c r="A24" t="s">
        <v>227</v>
      </c>
      <c r="B24" t="s">
        <v>228</v>
      </c>
      <c r="C24" t="s">
        <v>94</v>
      </c>
      <c r="D24" t="s">
        <v>26</v>
      </c>
      <c r="E24" t="s">
        <v>32</v>
      </c>
      <c r="F24" t="s">
        <v>198</v>
      </c>
      <c r="G24" s="49">
        <v>45191</v>
      </c>
      <c r="H24" t="s">
        <v>180</v>
      </c>
      <c r="J24" s="33">
        <v>15500</v>
      </c>
      <c r="K24" t="str">
        <f>IF(Reps_tbl[[#This Row],[Region]]="NAMER","USD",IF(Reps_tbl[[#This Row],[Region]]="EMEA","EUR",IF(Reps_tbl[[#This Row],[Region]]="APAC","EUR", IF(Reps_tbl[[#This Row],[Region]]="LATAM","MXN","ERROR"))))</f>
        <v>EUR</v>
      </c>
      <c r="L24" s="45">
        <f>_xlfn.XLOOKUP(Reps_tbl[[#This Row],[Rate_Code_Generalized]],Lookups!A:A,Lookups!B:B)*Reps_tbl[[#This Row],[Full_Ramped_Monthly_Quota_USD]]</f>
        <v>15500</v>
      </c>
    </row>
    <row r="25" spans="1:12" ht="15" customHeight="1" x14ac:dyDescent="0.2">
      <c r="A25" t="s">
        <v>229</v>
      </c>
      <c r="B25" t="s">
        <v>230</v>
      </c>
      <c r="C25" t="s">
        <v>94</v>
      </c>
      <c r="D25" t="s">
        <v>26</v>
      </c>
      <c r="E25" t="s">
        <v>31</v>
      </c>
      <c r="F25" t="s">
        <v>195</v>
      </c>
      <c r="G25" s="49">
        <v>45130</v>
      </c>
      <c r="H25" t="s">
        <v>180</v>
      </c>
      <c r="J25" s="33">
        <v>15500</v>
      </c>
      <c r="K25" t="str">
        <f>IF(Reps_tbl[[#This Row],[Region]]="NAMER","USD",IF(Reps_tbl[[#This Row],[Region]]="EMEA","EUR",IF(Reps_tbl[[#This Row],[Region]]="APAC","EUR", IF(Reps_tbl[[#This Row],[Region]]="LATAM","MXN","ERROR"))))</f>
        <v>USD</v>
      </c>
      <c r="L25" s="45">
        <f>_xlfn.XLOOKUP(Reps_tbl[[#This Row],[Rate_Code_Generalized]],Lookups!A:A,Lookups!B:B)*Reps_tbl[[#This Row],[Full_Ramped_Monthly_Quota_USD]]</f>
        <v>18046.649999999998</v>
      </c>
    </row>
    <row r="26" spans="1:12" ht="15" customHeight="1" x14ac:dyDescent="0.2">
      <c r="A26" t="s">
        <v>231</v>
      </c>
      <c r="B26" t="s">
        <v>232</v>
      </c>
      <c r="C26" t="s">
        <v>94</v>
      </c>
      <c r="D26" t="s">
        <v>26</v>
      </c>
      <c r="E26" t="s">
        <v>34</v>
      </c>
      <c r="F26" t="s">
        <v>198</v>
      </c>
      <c r="G26" s="49">
        <v>44996</v>
      </c>
      <c r="H26" t="s">
        <v>180</v>
      </c>
      <c r="J26" s="33">
        <v>15500</v>
      </c>
      <c r="K26" t="str">
        <f>IF(Reps_tbl[[#This Row],[Region]]="NAMER","USD",IF(Reps_tbl[[#This Row],[Region]]="EMEA","EUR",IF(Reps_tbl[[#This Row],[Region]]="APAC","EUR", IF(Reps_tbl[[#This Row],[Region]]="LATAM","MXN","ERROR"))))</f>
        <v>MXN</v>
      </c>
      <c r="L26" s="45">
        <f>_xlfn.XLOOKUP(Reps_tbl[[#This Row],[Rate_Code_Generalized]],Lookups!A:A,Lookups!B:B)*Reps_tbl[[#This Row],[Full_Ramped_Monthly_Quota_USD]]</f>
        <v>305856.85000000003</v>
      </c>
    </row>
    <row r="27" spans="1:12" ht="15" customHeight="1" x14ac:dyDescent="0.2">
      <c r="A27" t="s">
        <v>233</v>
      </c>
      <c r="B27" t="s">
        <v>234</v>
      </c>
      <c r="C27" t="s">
        <v>94</v>
      </c>
      <c r="D27" t="s">
        <v>26</v>
      </c>
      <c r="E27" t="s">
        <v>34</v>
      </c>
      <c r="F27" t="s">
        <v>195</v>
      </c>
      <c r="G27" s="49">
        <v>44741</v>
      </c>
      <c r="H27" t="s">
        <v>180</v>
      </c>
      <c r="J27" s="33">
        <v>15500</v>
      </c>
      <c r="K27" t="str">
        <f>IF(Reps_tbl[[#This Row],[Region]]="NAMER","USD",IF(Reps_tbl[[#This Row],[Region]]="EMEA","EUR",IF(Reps_tbl[[#This Row],[Region]]="APAC","EUR", IF(Reps_tbl[[#This Row],[Region]]="LATAM","MXN","ERROR"))))</f>
        <v>MXN</v>
      </c>
      <c r="L27" s="45">
        <f>_xlfn.XLOOKUP(Reps_tbl[[#This Row],[Rate_Code_Generalized]],Lookups!A:A,Lookups!B:B)*Reps_tbl[[#This Row],[Full_Ramped_Monthly_Quota_USD]]</f>
        <v>305856.85000000003</v>
      </c>
    </row>
    <row r="28" spans="1:12" ht="15" customHeight="1" x14ac:dyDescent="0.2">
      <c r="A28" t="s">
        <v>235</v>
      </c>
      <c r="B28" t="s">
        <v>236</v>
      </c>
      <c r="C28" t="s">
        <v>94</v>
      </c>
      <c r="D28" t="s">
        <v>26</v>
      </c>
      <c r="E28" t="s">
        <v>34</v>
      </c>
      <c r="F28" t="s">
        <v>195</v>
      </c>
      <c r="G28" s="49">
        <v>44938</v>
      </c>
      <c r="H28" t="s">
        <v>180</v>
      </c>
      <c r="J28" s="33">
        <v>15500</v>
      </c>
      <c r="K28" t="str">
        <f>IF(Reps_tbl[[#This Row],[Region]]="NAMER","USD",IF(Reps_tbl[[#This Row],[Region]]="EMEA","EUR",IF(Reps_tbl[[#This Row],[Region]]="APAC","EUR", IF(Reps_tbl[[#This Row],[Region]]="LATAM","MXN","ERROR"))))</f>
        <v>MXN</v>
      </c>
      <c r="L28" s="45">
        <f>_xlfn.XLOOKUP(Reps_tbl[[#This Row],[Rate_Code_Generalized]],Lookups!A:A,Lookups!B:B)*Reps_tbl[[#This Row],[Full_Ramped_Monthly_Quota_USD]]</f>
        <v>305856.85000000003</v>
      </c>
    </row>
    <row r="29" spans="1:12" ht="15" customHeight="1" x14ac:dyDescent="0.2">
      <c r="A29" t="s">
        <v>237</v>
      </c>
      <c r="B29" t="s">
        <v>238</v>
      </c>
      <c r="C29" t="s">
        <v>94</v>
      </c>
      <c r="D29" t="s">
        <v>26</v>
      </c>
      <c r="E29" t="s">
        <v>32</v>
      </c>
      <c r="F29" t="s">
        <v>195</v>
      </c>
      <c r="G29" s="49">
        <v>44737</v>
      </c>
      <c r="H29" t="s">
        <v>180</v>
      </c>
      <c r="J29" s="33">
        <v>15500</v>
      </c>
      <c r="K29" t="str">
        <f>IF(Reps_tbl[[#This Row],[Region]]="NAMER","USD",IF(Reps_tbl[[#This Row],[Region]]="EMEA","EUR",IF(Reps_tbl[[#This Row],[Region]]="APAC","EUR", IF(Reps_tbl[[#This Row],[Region]]="LATAM","MXN","ERROR"))))</f>
        <v>EUR</v>
      </c>
      <c r="L29" s="45">
        <f>_xlfn.XLOOKUP(Reps_tbl[[#This Row],[Rate_Code_Generalized]],Lookups!A:A,Lookups!B:B)*Reps_tbl[[#This Row],[Full_Ramped_Monthly_Quota_USD]]</f>
        <v>15500</v>
      </c>
    </row>
    <row r="30" spans="1:12" ht="15" customHeight="1" x14ac:dyDescent="0.2">
      <c r="A30" t="s">
        <v>239</v>
      </c>
      <c r="B30" t="s">
        <v>240</v>
      </c>
      <c r="C30" t="s">
        <v>94</v>
      </c>
      <c r="D30" t="s">
        <v>26</v>
      </c>
      <c r="E30" t="s">
        <v>31</v>
      </c>
      <c r="F30" t="s">
        <v>195</v>
      </c>
      <c r="G30" s="49">
        <v>45889</v>
      </c>
      <c r="H30" t="s">
        <v>180</v>
      </c>
      <c r="J30" s="33">
        <v>15500</v>
      </c>
      <c r="K30" t="str">
        <f>IF(Reps_tbl[[#This Row],[Region]]="NAMER","USD",IF(Reps_tbl[[#This Row],[Region]]="EMEA","EUR",IF(Reps_tbl[[#This Row],[Region]]="APAC","EUR", IF(Reps_tbl[[#This Row],[Region]]="LATAM","MXN","ERROR"))))</f>
        <v>USD</v>
      </c>
      <c r="L30" s="45">
        <f>_xlfn.XLOOKUP(Reps_tbl[[#This Row],[Rate_Code_Generalized]],Lookups!A:A,Lookups!B:B)*Reps_tbl[[#This Row],[Full_Ramped_Monthly_Quota_USD]]</f>
        <v>18046.649999999998</v>
      </c>
    </row>
    <row r="31" spans="1:12" ht="15" customHeight="1" x14ac:dyDescent="0.2">
      <c r="A31" t="s">
        <v>241</v>
      </c>
      <c r="B31" t="s">
        <v>242</v>
      </c>
      <c r="C31" t="s">
        <v>94</v>
      </c>
      <c r="D31" t="s">
        <v>26</v>
      </c>
      <c r="E31" t="s">
        <v>33</v>
      </c>
      <c r="F31" t="s">
        <v>195</v>
      </c>
      <c r="G31" s="49">
        <v>44769</v>
      </c>
      <c r="H31" t="s">
        <v>180</v>
      </c>
      <c r="J31" s="33">
        <v>15500</v>
      </c>
      <c r="K31" t="str">
        <f>IF(Reps_tbl[[#This Row],[Region]]="NAMER","USD",IF(Reps_tbl[[#This Row],[Region]]="EMEA","EUR",IF(Reps_tbl[[#This Row],[Region]]="APAC","EUR", IF(Reps_tbl[[#This Row],[Region]]="LATAM","MXN","ERROR"))))</f>
        <v>EUR</v>
      </c>
      <c r="L31" s="45">
        <f>_xlfn.XLOOKUP(Reps_tbl[[#This Row],[Rate_Code_Generalized]],Lookups!A:A,Lookups!B:B)*Reps_tbl[[#This Row],[Full_Ramped_Monthly_Quota_USD]]</f>
        <v>15500</v>
      </c>
    </row>
    <row r="32" spans="1:12" ht="15" customHeight="1" x14ac:dyDescent="0.2">
      <c r="A32" t="s">
        <v>243</v>
      </c>
      <c r="B32" t="s">
        <v>244</v>
      </c>
      <c r="C32" t="s">
        <v>95</v>
      </c>
      <c r="D32" t="s">
        <v>27</v>
      </c>
      <c r="E32" t="s">
        <v>34</v>
      </c>
      <c r="F32" t="s">
        <v>245</v>
      </c>
      <c r="G32" s="49">
        <v>45072</v>
      </c>
      <c r="H32" t="s">
        <v>180</v>
      </c>
      <c r="J32" s="33">
        <v>22000</v>
      </c>
      <c r="K32" t="str">
        <f>IF(Reps_tbl[[#This Row],[Region]]="NAMER","USD",IF(Reps_tbl[[#This Row],[Region]]="EMEA","EUR",IF(Reps_tbl[[#This Row],[Region]]="APAC","EUR", IF(Reps_tbl[[#This Row],[Region]]="LATAM","MXN","ERROR"))))</f>
        <v>MXN</v>
      </c>
      <c r="L32" s="45">
        <f>_xlfn.XLOOKUP(Reps_tbl[[#This Row],[Rate_Code_Generalized]],Lookups!A:A,Lookups!B:B)*Reps_tbl[[#This Row],[Full_Ramped_Monthly_Quota_USD]]</f>
        <v>434119.4</v>
      </c>
    </row>
    <row r="33" spans="1:12" ht="15" customHeight="1" x14ac:dyDescent="0.2">
      <c r="A33" t="s">
        <v>246</v>
      </c>
      <c r="B33" t="s">
        <v>247</v>
      </c>
      <c r="C33" t="s">
        <v>95</v>
      </c>
      <c r="D33" t="s">
        <v>27</v>
      </c>
      <c r="E33" t="s">
        <v>33</v>
      </c>
      <c r="F33" t="s">
        <v>248</v>
      </c>
      <c r="G33" s="49">
        <v>45803</v>
      </c>
      <c r="H33" t="s">
        <v>180</v>
      </c>
      <c r="J33" s="33">
        <v>22000</v>
      </c>
      <c r="K33" t="str">
        <f>IF(Reps_tbl[[#This Row],[Region]]="NAMER","USD",IF(Reps_tbl[[#This Row],[Region]]="EMEA","EUR",IF(Reps_tbl[[#This Row],[Region]]="APAC","EUR", IF(Reps_tbl[[#This Row],[Region]]="LATAM","MXN","ERROR"))))</f>
        <v>EUR</v>
      </c>
      <c r="L33" s="45">
        <f>_xlfn.XLOOKUP(Reps_tbl[[#This Row],[Rate_Code_Generalized]],Lookups!A:A,Lookups!B:B)*Reps_tbl[[#This Row],[Full_Ramped_Monthly_Quota_USD]]</f>
        <v>22000</v>
      </c>
    </row>
    <row r="34" spans="1:12" ht="15" customHeight="1" x14ac:dyDescent="0.2">
      <c r="A34" t="s">
        <v>249</v>
      </c>
      <c r="B34" t="s">
        <v>250</v>
      </c>
      <c r="C34" t="s">
        <v>95</v>
      </c>
      <c r="D34" t="s">
        <v>27</v>
      </c>
      <c r="E34" t="s">
        <v>33</v>
      </c>
      <c r="F34" t="s">
        <v>245</v>
      </c>
      <c r="G34" s="49">
        <v>45818</v>
      </c>
      <c r="H34" t="s">
        <v>180</v>
      </c>
      <c r="J34" s="33">
        <v>22000</v>
      </c>
      <c r="K34" t="str">
        <f>IF(Reps_tbl[[#This Row],[Region]]="NAMER","USD",IF(Reps_tbl[[#This Row],[Region]]="EMEA","EUR",IF(Reps_tbl[[#This Row],[Region]]="APAC","EUR", IF(Reps_tbl[[#This Row],[Region]]="LATAM","MXN","ERROR"))))</f>
        <v>EUR</v>
      </c>
      <c r="L34" s="45">
        <f>_xlfn.XLOOKUP(Reps_tbl[[#This Row],[Rate_Code_Generalized]],Lookups!A:A,Lookups!B:B)*Reps_tbl[[#This Row],[Full_Ramped_Monthly_Quota_USD]]</f>
        <v>22000</v>
      </c>
    </row>
    <row r="35" spans="1:12" ht="15" customHeight="1" x14ac:dyDescent="0.2">
      <c r="A35" t="s">
        <v>251</v>
      </c>
      <c r="B35" t="s">
        <v>252</v>
      </c>
      <c r="C35" t="s">
        <v>95</v>
      </c>
      <c r="D35" t="s">
        <v>27</v>
      </c>
      <c r="E35" t="s">
        <v>32</v>
      </c>
      <c r="F35" t="s">
        <v>245</v>
      </c>
      <c r="G35" s="49">
        <v>44904</v>
      </c>
      <c r="H35" t="s">
        <v>190</v>
      </c>
      <c r="I35" s="49">
        <v>45132</v>
      </c>
      <c r="J35" s="33">
        <v>22000</v>
      </c>
      <c r="K35" t="str">
        <f>IF(Reps_tbl[[#This Row],[Region]]="NAMER","USD",IF(Reps_tbl[[#This Row],[Region]]="EMEA","EUR",IF(Reps_tbl[[#This Row],[Region]]="APAC","EUR", IF(Reps_tbl[[#This Row],[Region]]="LATAM","MXN","ERROR"))))</f>
        <v>EUR</v>
      </c>
      <c r="L35" s="45">
        <f>_xlfn.XLOOKUP(Reps_tbl[[#This Row],[Rate_Code_Generalized]],Lookups!A:A,Lookups!B:B)*Reps_tbl[[#This Row],[Full_Ramped_Monthly_Quota_USD]]</f>
        <v>22000</v>
      </c>
    </row>
    <row r="36" spans="1:12" ht="15" customHeight="1" x14ac:dyDescent="0.2">
      <c r="A36" t="s">
        <v>253</v>
      </c>
      <c r="B36" t="s">
        <v>254</v>
      </c>
      <c r="C36" t="s">
        <v>95</v>
      </c>
      <c r="D36" t="s">
        <v>27</v>
      </c>
      <c r="E36" t="s">
        <v>33</v>
      </c>
      <c r="F36" t="s">
        <v>248</v>
      </c>
      <c r="G36" s="49">
        <v>45754</v>
      </c>
      <c r="H36" t="s">
        <v>180</v>
      </c>
      <c r="J36" s="33">
        <v>22000</v>
      </c>
      <c r="K36" t="str">
        <f>IF(Reps_tbl[[#This Row],[Region]]="NAMER","USD",IF(Reps_tbl[[#This Row],[Region]]="EMEA","EUR",IF(Reps_tbl[[#This Row],[Region]]="APAC","EUR", IF(Reps_tbl[[#This Row],[Region]]="LATAM","MXN","ERROR"))))</f>
        <v>EUR</v>
      </c>
      <c r="L36" s="45">
        <f>_xlfn.XLOOKUP(Reps_tbl[[#This Row],[Rate_Code_Generalized]],Lookups!A:A,Lookups!B:B)*Reps_tbl[[#This Row],[Full_Ramped_Monthly_Quota_USD]]</f>
        <v>22000</v>
      </c>
    </row>
    <row r="37" spans="1:12" ht="15" customHeight="1" x14ac:dyDescent="0.2">
      <c r="A37" t="s">
        <v>255</v>
      </c>
      <c r="B37" t="s">
        <v>256</v>
      </c>
      <c r="C37" t="s">
        <v>95</v>
      </c>
      <c r="D37" t="s">
        <v>27</v>
      </c>
      <c r="E37" t="s">
        <v>31</v>
      </c>
      <c r="F37" t="s">
        <v>245</v>
      </c>
      <c r="G37" s="49">
        <v>45847</v>
      </c>
      <c r="H37" t="s">
        <v>180</v>
      </c>
      <c r="J37" s="33">
        <v>22000</v>
      </c>
      <c r="K37" t="str">
        <f>IF(Reps_tbl[[#This Row],[Region]]="NAMER","USD",IF(Reps_tbl[[#This Row],[Region]]="EMEA","EUR",IF(Reps_tbl[[#This Row],[Region]]="APAC","EUR", IF(Reps_tbl[[#This Row],[Region]]="LATAM","MXN","ERROR"))))</f>
        <v>USD</v>
      </c>
      <c r="L37" s="45">
        <f>_xlfn.XLOOKUP(Reps_tbl[[#This Row],[Rate_Code_Generalized]],Lookups!A:A,Lookups!B:B)*Reps_tbl[[#This Row],[Full_Ramped_Monthly_Quota_USD]]</f>
        <v>25614.6</v>
      </c>
    </row>
    <row r="38" spans="1:12" ht="15" customHeight="1" x14ac:dyDescent="0.2">
      <c r="A38" t="s">
        <v>257</v>
      </c>
      <c r="B38" t="s">
        <v>258</v>
      </c>
      <c r="C38" t="s">
        <v>95</v>
      </c>
      <c r="D38" t="s">
        <v>27</v>
      </c>
      <c r="E38" t="s">
        <v>33</v>
      </c>
      <c r="F38" t="s">
        <v>245</v>
      </c>
      <c r="G38" s="49">
        <v>45701</v>
      </c>
      <c r="H38" t="s">
        <v>180</v>
      </c>
      <c r="J38" s="33">
        <v>22000</v>
      </c>
      <c r="K38" t="str">
        <f>IF(Reps_tbl[[#This Row],[Region]]="NAMER","USD",IF(Reps_tbl[[#This Row],[Region]]="EMEA","EUR",IF(Reps_tbl[[#This Row],[Region]]="APAC","EUR", IF(Reps_tbl[[#This Row],[Region]]="LATAM","MXN","ERROR"))))</f>
        <v>EUR</v>
      </c>
      <c r="L38" s="45">
        <f>_xlfn.XLOOKUP(Reps_tbl[[#This Row],[Rate_Code_Generalized]],Lookups!A:A,Lookups!B:B)*Reps_tbl[[#This Row],[Full_Ramped_Monthly_Quota_USD]]</f>
        <v>22000</v>
      </c>
    </row>
    <row r="39" spans="1:12" ht="15" customHeight="1" x14ac:dyDescent="0.2">
      <c r="A39" t="s">
        <v>259</v>
      </c>
      <c r="B39" t="s">
        <v>260</v>
      </c>
      <c r="C39" t="s">
        <v>95</v>
      </c>
      <c r="D39" t="s">
        <v>27</v>
      </c>
      <c r="E39" t="s">
        <v>32</v>
      </c>
      <c r="F39" t="s">
        <v>245</v>
      </c>
      <c r="G39" s="49">
        <v>45259</v>
      </c>
      <c r="H39" t="s">
        <v>180</v>
      </c>
      <c r="J39" s="33">
        <v>22000</v>
      </c>
      <c r="K39" t="str">
        <f>IF(Reps_tbl[[#This Row],[Region]]="NAMER","USD",IF(Reps_tbl[[#This Row],[Region]]="EMEA","EUR",IF(Reps_tbl[[#This Row],[Region]]="APAC","EUR", IF(Reps_tbl[[#This Row],[Region]]="LATAM","MXN","ERROR"))))</f>
        <v>EUR</v>
      </c>
      <c r="L39" s="45">
        <f>_xlfn.XLOOKUP(Reps_tbl[[#This Row],[Rate_Code_Generalized]],Lookups!A:A,Lookups!B:B)*Reps_tbl[[#This Row],[Full_Ramped_Monthly_Quota_USD]]</f>
        <v>22000</v>
      </c>
    </row>
    <row r="40" spans="1:12" ht="15" customHeight="1" x14ac:dyDescent="0.2">
      <c r="A40" t="s">
        <v>261</v>
      </c>
      <c r="B40" t="s">
        <v>262</v>
      </c>
      <c r="C40" t="s">
        <v>95</v>
      </c>
      <c r="D40" t="s">
        <v>27</v>
      </c>
      <c r="E40" t="s">
        <v>31</v>
      </c>
      <c r="F40" t="s">
        <v>248</v>
      </c>
      <c r="G40" s="49">
        <v>45825</v>
      </c>
      <c r="H40" t="s">
        <v>180</v>
      </c>
      <c r="J40" s="33">
        <v>22000</v>
      </c>
      <c r="K40" t="str">
        <f>IF(Reps_tbl[[#This Row],[Region]]="NAMER","USD",IF(Reps_tbl[[#This Row],[Region]]="EMEA","EUR",IF(Reps_tbl[[#This Row],[Region]]="APAC","EUR", IF(Reps_tbl[[#This Row],[Region]]="LATAM","MXN","ERROR"))))</f>
        <v>USD</v>
      </c>
      <c r="L40" s="45">
        <f>_xlfn.XLOOKUP(Reps_tbl[[#This Row],[Rate_Code_Generalized]],Lookups!A:A,Lookups!B:B)*Reps_tbl[[#This Row],[Full_Ramped_Monthly_Quota_USD]]</f>
        <v>25614.6</v>
      </c>
    </row>
    <row r="41" spans="1:12" ht="15" customHeight="1" x14ac:dyDescent="0.2">
      <c r="A41" t="s">
        <v>263</v>
      </c>
      <c r="B41" t="s">
        <v>264</v>
      </c>
      <c r="C41" t="s">
        <v>95</v>
      </c>
      <c r="D41" t="s">
        <v>27</v>
      </c>
      <c r="E41" t="s">
        <v>31</v>
      </c>
      <c r="F41" t="s">
        <v>248</v>
      </c>
      <c r="G41" s="49">
        <v>44724</v>
      </c>
      <c r="H41" t="s">
        <v>180</v>
      </c>
      <c r="J41" s="33">
        <v>22000</v>
      </c>
      <c r="K41" t="str">
        <f>IF(Reps_tbl[[#This Row],[Region]]="NAMER","USD",IF(Reps_tbl[[#This Row],[Region]]="EMEA","EUR",IF(Reps_tbl[[#This Row],[Region]]="APAC","EUR", IF(Reps_tbl[[#This Row],[Region]]="LATAM","MXN","ERROR"))))</f>
        <v>USD</v>
      </c>
      <c r="L41" s="45">
        <f>_xlfn.XLOOKUP(Reps_tbl[[#This Row],[Rate_Code_Generalized]],Lookups!A:A,Lookups!B:B)*Reps_tbl[[#This Row],[Full_Ramped_Monthly_Quota_USD]]</f>
        <v>25614.6</v>
      </c>
    </row>
    <row r="42" spans="1:12" ht="15" customHeight="1" x14ac:dyDescent="0.2">
      <c r="A42" t="s">
        <v>265</v>
      </c>
      <c r="B42" t="s">
        <v>266</v>
      </c>
      <c r="C42" t="s">
        <v>95</v>
      </c>
      <c r="D42" t="s">
        <v>27</v>
      </c>
      <c r="E42" t="s">
        <v>32</v>
      </c>
      <c r="F42" t="s">
        <v>245</v>
      </c>
      <c r="G42" s="49">
        <v>44961</v>
      </c>
      <c r="H42" t="s">
        <v>180</v>
      </c>
      <c r="J42" s="33">
        <v>22000</v>
      </c>
      <c r="K42" t="str">
        <f>IF(Reps_tbl[[#This Row],[Region]]="NAMER","USD",IF(Reps_tbl[[#This Row],[Region]]="EMEA","EUR",IF(Reps_tbl[[#This Row],[Region]]="APAC","EUR", IF(Reps_tbl[[#This Row],[Region]]="LATAM","MXN","ERROR"))))</f>
        <v>EUR</v>
      </c>
      <c r="L42" s="45">
        <f>_xlfn.XLOOKUP(Reps_tbl[[#This Row],[Rate_Code_Generalized]],Lookups!A:A,Lookups!B:B)*Reps_tbl[[#This Row],[Full_Ramped_Monthly_Quota_USD]]</f>
        <v>22000</v>
      </c>
    </row>
    <row r="43" spans="1:12" ht="15" customHeight="1" x14ac:dyDescent="0.2">
      <c r="A43" t="s">
        <v>267</v>
      </c>
      <c r="B43" t="s">
        <v>268</v>
      </c>
      <c r="C43" t="s">
        <v>95</v>
      </c>
      <c r="D43" t="s">
        <v>27</v>
      </c>
      <c r="E43" t="s">
        <v>34</v>
      </c>
      <c r="F43" t="s">
        <v>245</v>
      </c>
      <c r="G43" s="49">
        <v>45205</v>
      </c>
      <c r="H43" t="s">
        <v>180</v>
      </c>
      <c r="J43" s="33">
        <v>22000</v>
      </c>
      <c r="K43" t="str">
        <f>IF(Reps_tbl[[#This Row],[Region]]="NAMER","USD",IF(Reps_tbl[[#This Row],[Region]]="EMEA","EUR",IF(Reps_tbl[[#This Row],[Region]]="APAC","EUR", IF(Reps_tbl[[#This Row],[Region]]="LATAM","MXN","ERROR"))))</f>
        <v>MXN</v>
      </c>
      <c r="L43" s="45">
        <f>_xlfn.XLOOKUP(Reps_tbl[[#This Row],[Rate_Code_Generalized]],Lookups!A:A,Lookups!B:B)*Reps_tbl[[#This Row],[Full_Ramped_Monthly_Quota_USD]]</f>
        <v>434119.4</v>
      </c>
    </row>
    <row r="44" spans="1:12" ht="15" customHeight="1" x14ac:dyDescent="0.2">
      <c r="A44" t="s">
        <v>269</v>
      </c>
      <c r="B44" t="s">
        <v>270</v>
      </c>
      <c r="C44" t="s">
        <v>95</v>
      </c>
      <c r="D44" t="s">
        <v>27</v>
      </c>
      <c r="E44" t="s">
        <v>31</v>
      </c>
      <c r="F44" t="s">
        <v>245</v>
      </c>
      <c r="G44" s="49">
        <v>45102</v>
      </c>
      <c r="H44" t="s">
        <v>190</v>
      </c>
      <c r="I44" s="49">
        <v>45865</v>
      </c>
      <c r="J44" s="33">
        <v>22000</v>
      </c>
      <c r="K44" t="str">
        <f>IF(Reps_tbl[[#This Row],[Region]]="NAMER","USD",IF(Reps_tbl[[#This Row],[Region]]="EMEA","EUR",IF(Reps_tbl[[#This Row],[Region]]="APAC","EUR", IF(Reps_tbl[[#This Row],[Region]]="LATAM","MXN","ERROR"))))</f>
        <v>USD</v>
      </c>
      <c r="L44" s="45">
        <f>_xlfn.XLOOKUP(Reps_tbl[[#This Row],[Rate_Code_Generalized]],Lookups!A:A,Lookups!B:B)*Reps_tbl[[#This Row],[Full_Ramped_Monthly_Quota_USD]]</f>
        <v>25614.6</v>
      </c>
    </row>
    <row r="45" spans="1:12" ht="15" customHeight="1" x14ac:dyDescent="0.2">
      <c r="A45" t="s">
        <v>271</v>
      </c>
      <c r="B45" t="s">
        <v>272</v>
      </c>
      <c r="C45" t="s">
        <v>95</v>
      </c>
      <c r="D45" t="s">
        <v>27</v>
      </c>
      <c r="E45" t="s">
        <v>33</v>
      </c>
      <c r="F45" t="s">
        <v>248</v>
      </c>
      <c r="G45" s="49">
        <v>45155</v>
      </c>
      <c r="H45" t="s">
        <v>180</v>
      </c>
      <c r="J45" s="33">
        <v>22000</v>
      </c>
      <c r="K45" t="str">
        <f>IF(Reps_tbl[[#This Row],[Region]]="NAMER","USD",IF(Reps_tbl[[#This Row],[Region]]="EMEA","EUR",IF(Reps_tbl[[#This Row],[Region]]="APAC","EUR", IF(Reps_tbl[[#This Row],[Region]]="LATAM","MXN","ERROR"))))</f>
        <v>EUR</v>
      </c>
      <c r="L45" s="45">
        <f>_xlfn.XLOOKUP(Reps_tbl[[#This Row],[Rate_Code_Generalized]],Lookups!A:A,Lookups!B:B)*Reps_tbl[[#This Row],[Full_Ramped_Monthly_Quota_USD]]</f>
        <v>22000</v>
      </c>
    </row>
    <row r="46" spans="1:12" ht="15" customHeight="1" x14ac:dyDescent="0.2">
      <c r="A46" t="s">
        <v>273</v>
      </c>
      <c r="B46" t="s">
        <v>274</v>
      </c>
      <c r="C46" t="s">
        <v>95</v>
      </c>
      <c r="D46" t="s">
        <v>27</v>
      </c>
      <c r="E46" t="s">
        <v>33</v>
      </c>
      <c r="F46" t="s">
        <v>248</v>
      </c>
      <c r="G46" s="49">
        <v>45431</v>
      </c>
      <c r="H46" t="s">
        <v>180</v>
      </c>
      <c r="J46" s="33">
        <v>22000</v>
      </c>
      <c r="K46" t="str">
        <f>IF(Reps_tbl[[#This Row],[Region]]="NAMER","USD",IF(Reps_tbl[[#This Row],[Region]]="EMEA","EUR",IF(Reps_tbl[[#This Row],[Region]]="APAC","EUR", IF(Reps_tbl[[#This Row],[Region]]="LATAM","MXN","ERROR"))))</f>
        <v>EUR</v>
      </c>
      <c r="L46" s="45">
        <f>_xlfn.XLOOKUP(Reps_tbl[[#This Row],[Rate_Code_Generalized]],Lookups!A:A,Lookups!B:B)*Reps_tbl[[#This Row],[Full_Ramped_Monthly_Quota_USD]]</f>
        <v>22000</v>
      </c>
    </row>
    <row r="47" spans="1:12" ht="15" customHeight="1" x14ac:dyDescent="0.2">
      <c r="A47" t="s">
        <v>275</v>
      </c>
      <c r="B47" t="s">
        <v>276</v>
      </c>
      <c r="C47" t="s">
        <v>97</v>
      </c>
      <c r="D47" t="s">
        <v>29</v>
      </c>
      <c r="E47" t="s">
        <v>31</v>
      </c>
      <c r="F47" t="s">
        <v>277</v>
      </c>
      <c r="G47" s="49">
        <v>45830</v>
      </c>
      <c r="H47" t="s">
        <v>190</v>
      </c>
      <c r="I47" s="49">
        <v>46011</v>
      </c>
      <c r="J47" s="33">
        <v>48000</v>
      </c>
      <c r="K47" t="str">
        <f>IF(Reps_tbl[[#This Row],[Region]]="NAMER","USD",IF(Reps_tbl[[#This Row],[Region]]="EMEA","EUR",IF(Reps_tbl[[#This Row],[Region]]="APAC","EUR", IF(Reps_tbl[[#This Row],[Region]]="LATAM","MXN","ERROR"))))</f>
        <v>USD</v>
      </c>
      <c r="L47" s="45">
        <f>_xlfn.XLOOKUP(Reps_tbl[[#This Row],[Rate_Code_Generalized]],Lookups!A:A,Lookups!B:B)*Reps_tbl[[#This Row],[Full_Ramped_Monthly_Quota_USD]]</f>
        <v>55886.399999999994</v>
      </c>
    </row>
    <row r="48" spans="1:12" ht="15" customHeight="1" x14ac:dyDescent="0.2">
      <c r="A48" t="s">
        <v>278</v>
      </c>
      <c r="B48" t="s">
        <v>279</v>
      </c>
      <c r="C48" t="s">
        <v>97</v>
      </c>
      <c r="D48" t="s">
        <v>29</v>
      </c>
      <c r="E48" t="s">
        <v>33</v>
      </c>
      <c r="F48" t="s">
        <v>277</v>
      </c>
      <c r="G48" s="49">
        <v>44767</v>
      </c>
      <c r="H48" t="s">
        <v>180</v>
      </c>
      <c r="J48" s="33">
        <v>48000</v>
      </c>
      <c r="K48" t="str">
        <f>IF(Reps_tbl[[#This Row],[Region]]="NAMER","USD",IF(Reps_tbl[[#This Row],[Region]]="EMEA","EUR",IF(Reps_tbl[[#This Row],[Region]]="APAC","EUR", IF(Reps_tbl[[#This Row],[Region]]="LATAM","MXN","ERROR"))))</f>
        <v>EUR</v>
      </c>
      <c r="L48" s="45">
        <f>_xlfn.XLOOKUP(Reps_tbl[[#This Row],[Rate_Code_Generalized]],Lookups!A:A,Lookups!B:B)*Reps_tbl[[#This Row],[Full_Ramped_Monthly_Quota_USD]]</f>
        <v>48000</v>
      </c>
    </row>
    <row r="49" spans="1:12" ht="15" customHeight="1" x14ac:dyDescent="0.2">
      <c r="A49" t="s">
        <v>280</v>
      </c>
      <c r="B49" t="s">
        <v>281</v>
      </c>
      <c r="C49" t="s">
        <v>97</v>
      </c>
      <c r="D49" t="s">
        <v>29</v>
      </c>
      <c r="E49" t="s">
        <v>34</v>
      </c>
      <c r="F49" t="s">
        <v>277</v>
      </c>
      <c r="G49" s="49">
        <v>45118</v>
      </c>
      <c r="H49" t="s">
        <v>180</v>
      </c>
      <c r="J49" s="33">
        <v>48000</v>
      </c>
      <c r="K49" t="str">
        <f>IF(Reps_tbl[[#This Row],[Region]]="NAMER","USD",IF(Reps_tbl[[#This Row],[Region]]="EMEA","EUR",IF(Reps_tbl[[#This Row],[Region]]="APAC","EUR", IF(Reps_tbl[[#This Row],[Region]]="LATAM","MXN","ERROR"))))</f>
        <v>MXN</v>
      </c>
      <c r="L49" s="45">
        <f>_xlfn.XLOOKUP(Reps_tbl[[#This Row],[Rate_Code_Generalized]],Lookups!A:A,Lookups!B:B)*Reps_tbl[[#This Row],[Full_Ramped_Monthly_Quota_USD]]</f>
        <v>947169.60000000009</v>
      </c>
    </row>
    <row r="50" spans="1:12" ht="15" customHeight="1" x14ac:dyDescent="0.2">
      <c r="A50" t="s">
        <v>282</v>
      </c>
      <c r="B50" t="s">
        <v>283</v>
      </c>
      <c r="C50" t="s">
        <v>97</v>
      </c>
      <c r="D50" t="s">
        <v>29</v>
      </c>
      <c r="E50" t="s">
        <v>31</v>
      </c>
      <c r="F50" t="s">
        <v>277</v>
      </c>
      <c r="G50" s="49">
        <v>45503</v>
      </c>
      <c r="H50" t="s">
        <v>180</v>
      </c>
      <c r="J50" s="33">
        <v>48000</v>
      </c>
      <c r="K50" t="str">
        <f>IF(Reps_tbl[[#This Row],[Region]]="NAMER","USD",IF(Reps_tbl[[#This Row],[Region]]="EMEA","EUR",IF(Reps_tbl[[#This Row],[Region]]="APAC","EUR", IF(Reps_tbl[[#This Row],[Region]]="LATAM","MXN","ERROR"))))</f>
        <v>USD</v>
      </c>
      <c r="L50" s="45">
        <f>_xlfn.XLOOKUP(Reps_tbl[[#This Row],[Rate_Code_Generalized]],Lookups!A:A,Lookups!B:B)*Reps_tbl[[#This Row],[Full_Ramped_Monthly_Quota_USD]]</f>
        <v>55886.399999999994</v>
      </c>
    </row>
    <row r="51" spans="1:12" ht="15" customHeight="1" x14ac:dyDescent="0.2">
      <c r="A51" t="s">
        <v>284</v>
      </c>
      <c r="B51" t="s">
        <v>285</v>
      </c>
      <c r="C51" t="s">
        <v>97</v>
      </c>
      <c r="D51" t="s">
        <v>29</v>
      </c>
      <c r="E51" t="s">
        <v>31</v>
      </c>
      <c r="F51" t="s">
        <v>277</v>
      </c>
      <c r="G51" s="49">
        <v>45263</v>
      </c>
      <c r="H51" t="s">
        <v>190</v>
      </c>
      <c r="I51" s="49">
        <v>45931</v>
      </c>
      <c r="J51" s="33">
        <v>48000</v>
      </c>
      <c r="K51" t="str">
        <f>IF(Reps_tbl[[#This Row],[Region]]="NAMER","USD",IF(Reps_tbl[[#This Row],[Region]]="EMEA","EUR",IF(Reps_tbl[[#This Row],[Region]]="APAC","EUR", IF(Reps_tbl[[#This Row],[Region]]="LATAM","MXN","ERROR"))))</f>
        <v>USD</v>
      </c>
      <c r="L51" s="45">
        <f>_xlfn.XLOOKUP(Reps_tbl[[#This Row],[Rate_Code_Generalized]],Lookups!A:A,Lookups!B:B)*Reps_tbl[[#This Row],[Full_Ramped_Monthly_Quota_USD]]</f>
        <v>55886.399999999994</v>
      </c>
    </row>
  </sheetData>
  <pageMargins left="0.75" right="0.75" top="1" bottom="1"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913"/>
  <sheetViews>
    <sheetView zoomScale="110" zoomScaleNormal="110" workbookViewId="0">
      <pane ySplit="1" topLeftCell="A2" activePane="bottomLeft" state="frozen"/>
      <selection pane="bottomLeft" activeCell="J3" sqref="J3"/>
    </sheetView>
  </sheetViews>
  <sheetFormatPr baseColWidth="10" defaultColWidth="8.83203125" defaultRowHeight="15" x14ac:dyDescent="0.2"/>
  <cols>
    <col min="1" max="1" width="9" customWidth="1"/>
    <col min="2" max="2" width="17.6640625" customWidth="1"/>
    <col min="3" max="3" width="24.5" customWidth="1"/>
    <col min="4" max="4" width="19.1640625" style="33" customWidth="1"/>
    <col min="5" max="5" width="16" customWidth="1"/>
    <col min="6" max="6" width="10.1640625" customWidth="1"/>
    <col min="10" max="10" width="16.33203125" customWidth="1"/>
  </cols>
  <sheetData>
    <row r="1" spans="1:10" s="46" customFormat="1" ht="48" customHeight="1" x14ac:dyDescent="0.2">
      <c r="A1" s="46" t="s">
        <v>78</v>
      </c>
      <c r="B1" s="46" t="s">
        <v>286</v>
      </c>
      <c r="C1" s="46" t="s">
        <v>287</v>
      </c>
      <c r="D1" s="47" t="s">
        <v>288</v>
      </c>
      <c r="E1" s="46" t="s">
        <v>175</v>
      </c>
      <c r="F1" s="47" t="s">
        <v>289</v>
      </c>
      <c r="G1" s="46" t="s">
        <v>290</v>
      </c>
      <c r="H1" s="46" t="s">
        <v>291</v>
      </c>
      <c r="I1" s="46" t="s">
        <v>292</v>
      </c>
      <c r="J1" s="46" t="s">
        <v>293</v>
      </c>
    </row>
    <row r="2" spans="1:10" ht="15" customHeight="1" x14ac:dyDescent="0.2">
      <c r="A2" t="s">
        <v>193</v>
      </c>
      <c r="B2" s="49">
        <v>45292</v>
      </c>
      <c r="C2">
        <v>4</v>
      </c>
      <c r="D2" s="33">
        <v>15800</v>
      </c>
      <c r="E2" t="str">
        <f>_xlfn.XLOOKUP(Quota_tbl[[#This Row],[Rep_ID]],Dim_Reps!A:A,Dim_Reps!K:K)</f>
        <v>USD</v>
      </c>
      <c r="F2" s="33">
        <f>(_xlfn.XLOOKUP(Quota_tbl[[#This Row],[Rate_Code_Generalized]],Lookups!A:A,Lookups!B:B)*Quota_tbl[[#This Row],[Quota_Amount_USD]])</f>
        <v>18395.939999999999</v>
      </c>
      <c r="G2" t="str">
        <f>_xlfn.XLOOKUP(Quota_tbl[[#This Row],[Rep_ID]],Dim_Reps!A:A,Dim_Reps!C:C)</f>
        <v>SDR / Inside Sales Rep</v>
      </c>
      <c r="H2" t="str">
        <f>_xlfn.XLOOKUP(Quota_tbl[[#This Row],[Rep_ID]],Dim_Reps!A:A,Dim_Reps!D:D)</f>
        <v>Inside Sales</v>
      </c>
      <c r="I2" t="str">
        <f>_xlfn.XLOOKUP(Quota_tbl[[#This Row],[Rep_ID]],Dim_Reps!A:A,Dim_Reps!E:E)</f>
        <v>NAMER</v>
      </c>
      <c r="J2" t="str">
        <f>_xlfn.XLOOKUP(Quota_tbl[[#This Row],[Period_Start_Date]],Dim_Date!A:A,Dim_Date!H:H)</f>
        <v>Jan 2024</v>
      </c>
    </row>
    <row r="3" spans="1:10" ht="15" customHeight="1" x14ac:dyDescent="0.2">
      <c r="A3" t="s">
        <v>193</v>
      </c>
      <c r="B3" s="49">
        <v>45323</v>
      </c>
      <c r="C3">
        <v>5</v>
      </c>
      <c r="D3" s="33">
        <v>15600</v>
      </c>
      <c r="E3" t="str">
        <f>_xlfn.XLOOKUP(Quota_tbl[[#This Row],[Rep_ID]],Dim_Reps!A:A,Dim_Reps!K:K)</f>
        <v>USD</v>
      </c>
      <c r="F3" s="33">
        <f>(_xlfn.XLOOKUP(Quota_tbl[[#This Row],[Rate_Code_Generalized]],Lookups!A:A,Lookups!B:B)*Quota_tbl[[#This Row],[Quota_Amount_USD]])</f>
        <v>18163.079999999998</v>
      </c>
      <c r="G3" t="str">
        <f>_xlfn.XLOOKUP(Quota_tbl[[#This Row],[Rep_ID]],Dim_Reps!A:A,Dim_Reps!C:C)</f>
        <v>SDR / Inside Sales Rep</v>
      </c>
      <c r="H3" t="str">
        <f>_xlfn.XLOOKUP(Quota_tbl[[#This Row],[Rep_ID]],Dim_Reps!A:A,Dim_Reps!D:D)</f>
        <v>Inside Sales</v>
      </c>
      <c r="I3" t="str">
        <f>_xlfn.XLOOKUP(Quota_tbl[[#This Row],[Rep_ID]],Dim_Reps!A:A,Dim_Reps!E:E)</f>
        <v>NAMER</v>
      </c>
      <c r="J3" t="str">
        <f>_xlfn.XLOOKUP(Quota_tbl[[#This Row],[Period_Start_Date]],Dim_Date!A:A,Dim_Date!H:H)</f>
        <v>Feb 2024</v>
      </c>
    </row>
    <row r="4" spans="1:10" ht="15" customHeight="1" x14ac:dyDescent="0.2">
      <c r="A4" t="s">
        <v>193</v>
      </c>
      <c r="B4" s="49">
        <v>45352</v>
      </c>
      <c r="C4">
        <v>6</v>
      </c>
      <c r="D4" s="33">
        <v>15400</v>
      </c>
      <c r="E4" t="str">
        <f>_xlfn.XLOOKUP(Quota_tbl[[#This Row],[Rep_ID]],Dim_Reps!A:A,Dim_Reps!K:K)</f>
        <v>USD</v>
      </c>
      <c r="F4" s="33">
        <f>(_xlfn.XLOOKUP(Quota_tbl[[#This Row],[Rate_Code_Generalized]],Lookups!A:A,Lookups!B:B)*Quota_tbl[[#This Row],[Quota_Amount_USD]])</f>
        <v>17930.219999999998</v>
      </c>
      <c r="G4" t="str">
        <f>_xlfn.XLOOKUP(Quota_tbl[[#This Row],[Rep_ID]],Dim_Reps!A:A,Dim_Reps!C:C)</f>
        <v>SDR / Inside Sales Rep</v>
      </c>
      <c r="H4" t="str">
        <f>_xlfn.XLOOKUP(Quota_tbl[[#This Row],[Rep_ID]],Dim_Reps!A:A,Dim_Reps!D:D)</f>
        <v>Inside Sales</v>
      </c>
      <c r="I4" t="str">
        <f>_xlfn.XLOOKUP(Quota_tbl[[#This Row],[Rep_ID]],Dim_Reps!A:A,Dim_Reps!E:E)</f>
        <v>NAMER</v>
      </c>
      <c r="J4" t="str">
        <f>_xlfn.XLOOKUP(Quota_tbl[[#This Row],[Period_Start_Date]],Dim_Date!A:A,Dim_Date!H:H)</f>
        <v>Mar 2024</v>
      </c>
    </row>
    <row r="5" spans="1:10" ht="15" customHeight="1" x14ac:dyDescent="0.2">
      <c r="A5" t="s">
        <v>193</v>
      </c>
      <c r="B5" s="49">
        <v>45383</v>
      </c>
      <c r="C5">
        <v>7</v>
      </c>
      <c r="D5" s="33">
        <v>15400</v>
      </c>
      <c r="E5" t="str">
        <f>_xlfn.XLOOKUP(Quota_tbl[[#This Row],[Rep_ID]],Dim_Reps!A:A,Dim_Reps!K:K)</f>
        <v>USD</v>
      </c>
      <c r="F5" s="33">
        <f>(_xlfn.XLOOKUP(Quota_tbl[[#This Row],[Rate_Code_Generalized]],Lookups!A:A,Lookups!B:B)*Quota_tbl[[#This Row],[Quota_Amount_USD]])</f>
        <v>17930.219999999998</v>
      </c>
      <c r="G5" t="str">
        <f>_xlfn.XLOOKUP(Quota_tbl[[#This Row],[Rep_ID]],Dim_Reps!A:A,Dim_Reps!C:C)</f>
        <v>SDR / Inside Sales Rep</v>
      </c>
      <c r="H5" t="str">
        <f>_xlfn.XLOOKUP(Quota_tbl[[#This Row],[Rep_ID]],Dim_Reps!A:A,Dim_Reps!D:D)</f>
        <v>Inside Sales</v>
      </c>
      <c r="I5" t="str">
        <f>_xlfn.XLOOKUP(Quota_tbl[[#This Row],[Rep_ID]],Dim_Reps!A:A,Dim_Reps!E:E)</f>
        <v>NAMER</v>
      </c>
      <c r="J5" t="str">
        <f>_xlfn.XLOOKUP(Quota_tbl[[#This Row],[Period_Start_Date]],Dim_Date!A:A,Dim_Date!H:H)</f>
        <v>Apr 2024</v>
      </c>
    </row>
    <row r="6" spans="1:10" ht="15" customHeight="1" x14ac:dyDescent="0.2">
      <c r="A6" t="s">
        <v>193</v>
      </c>
      <c r="B6" s="49">
        <v>45413</v>
      </c>
      <c r="C6">
        <v>8</v>
      </c>
      <c r="D6" s="33">
        <v>14800</v>
      </c>
      <c r="E6" t="str">
        <f>_xlfn.XLOOKUP(Quota_tbl[[#This Row],[Rep_ID]],Dim_Reps!A:A,Dim_Reps!K:K)</f>
        <v>USD</v>
      </c>
      <c r="F6" s="33">
        <f>(_xlfn.XLOOKUP(Quota_tbl[[#This Row],[Rate_Code_Generalized]],Lookups!A:A,Lookups!B:B)*Quota_tbl[[#This Row],[Quota_Amount_USD]])</f>
        <v>17231.64</v>
      </c>
      <c r="G6" t="str">
        <f>_xlfn.XLOOKUP(Quota_tbl[[#This Row],[Rep_ID]],Dim_Reps!A:A,Dim_Reps!C:C)</f>
        <v>SDR / Inside Sales Rep</v>
      </c>
      <c r="H6" t="str">
        <f>_xlfn.XLOOKUP(Quota_tbl[[#This Row],[Rep_ID]],Dim_Reps!A:A,Dim_Reps!D:D)</f>
        <v>Inside Sales</v>
      </c>
      <c r="I6" t="str">
        <f>_xlfn.XLOOKUP(Quota_tbl[[#This Row],[Rep_ID]],Dim_Reps!A:A,Dim_Reps!E:E)</f>
        <v>NAMER</v>
      </c>
      <c r="J6" t="str">
        <f>_xlfn.XLOOKUP(Quota_tbl[[#This Row],[Period_Start_Date]],Dim_Date!A:A,Dim_Date!H:H)</f>
        <v>May 2024</v>
      </c>
    </row>
    <row r="7" spans="1:10" ht="15" customHeight="1" x14ac:dyDescent="0.2">
      <c r="A7" t="s">
        <v>193</v>
      </c>
      <c r="B7" s="49">
        <v>45444</v>
      </c>
      <c r="C7">
        <v>9</v>
      </c>
      <c r="D7" s="33">
        <v>15200</v>
      </c>
      <c r="E7" t="str">
        <f>_xlfn.XLOOKUP(Quota_tbl[[#This Row],[Rep_ID]],Dim_Reps!A:A,Dim_Reps!K:K)</f>
        <v>USD</v>
      </c>
      <c r="F7" s="33">
        <f>(_xlfn.XLOOKUP(Quota_tbl[[#This Row],[Rate_Code_Generalized]],Lookups!A:A,Lookups!B:B)*Quota_tbl[[#This Row],[Quota_Amount_USD]])</f>
        <v>17697.359999999997</v>
      </c>
      <c r="G7" t="str">
        <f>_xlfn.XLOOKUP(Quota_tbl[[#This Row],[Rep_ID]],Dim_Reps!A:A,Dim_Reps!C:C)</f>
        <v>SDR / Inside Sales Rep</v>
      </c>
      <c r="H7" t="str">
        <f>_xlfn.XLOOKUP(Quota_tbl[[#This Row],[Rep_ID]],Dim_Reps!A:A,Dim_Reps!D:D)</f>
        <v>Inside Sales</v>
      </c>
      <c r="I7" t="str">
        <f>_xlfn.XLOOKUP(Quota_tbl[[#This Row],[Rep_ID]],Dim_Reps!A:A,Dim_Reps!E:E)</f>
        <v>NAMER</v>
      </c>
      <c r="J7" t="str">
        <f>_xlfn.XLOOKUP(Quota_tbl[[#This Row],[Period_Start_Date]],Dim_Date!A:A,Dim_Date!H:H)</f>
        <v>Jun 2024</v>
      </c>
    </row>
    <row r="8" spans="1:10" ht="15" customHeight="1" x14ac:dyDescent="0.2">
      <c r="A8" t="s">
        <v>193</v>
      </c>
      <c r="B8" s="49">
        <v>45474</v>
      </c>
      <c r="C8">
        <v>10</v>
      </c>
      <c r="D8" s="33">
        <v>15300</v>
      </c>
      <c r="E8" t="str">
        <f>_xlfn.XLOOKUP(Quota_tbl[[#This Row],[Rep_ID]],Dim_Reps!A:A,Dim_Reps!K:K)</f>
        <v>USD</v>
      </c>
      <c r="F8" s="33">
        <f>(_xlfn.XLOOKUP(Quota_tbl[[#This Row],[Rate_Code_Generalized]],Lookups!A:A,Lookups!B:B)*Quota_tbl[[#This Row],[Quota_Amount_USD]])</f>
        <v>17813.789999999997</v>
      </c>
      <c r="G8" t="str">
        <f>_xlfn.XLOOKUP(Quota_tbl[[#This Row],[Rep_ID]],Dim_Reps!A:A,Dim_Reps!C:C)</f>
        <v>SDR / Inside Sales Rep</v>
      </c>
      <c r="H8" t="str">
        <f>_xlfn.XLOOKUP(Quota_tbl[[#This Row],[Rep_ID]],Dim_Reps!A:A,Dim_Reps!D:D)</f>
        <v>Inside Sales</v>
      </c>
      <c r="I8" t="str">
        <f>_xlfn.XLOOKUP(Quota_tbl[[#This Row],[Rep_ID]],Dim_Reps!A:A,Dim_Reps!E:E)</f>
        <v>NAMER</v>
      </c>
      <c r="J8" t="str">
        <f>_xlfn.XLOOKUP(Quota_tbl[[#This Row],[Period_Start_Date]],Dim_Date!A:A,Dim_Date!H:H)</f>
        <v>Jul 2024</v>
      </c>
    </row>
    <row r="9" spans="1:10" ht="15" customHeight="1" x14ac:dyDescent="0.2">
      <c r="A9" t="s">
        <v>193</v>
      </c>
      <c r="B9" s="49">
        <v>45505</v>
      </c>
      <c r="C9">
        <v>11</v>
      </c>
      <c r="D9" s="33">
        <v>16000</v>
      </c>
      <c r="E9" t="str">
        <f>_xlfn.XLOOKUP(Quota_tbl[[#This Row],[Rep_ID]],Dim_Reps!A:A,Dim_Reps!K:K)</f>
        <v>USD</v>
      </c>
      <c r="F9" s="33">
        <f>(_xlfn.XLOOKUP(Quota_tbl[[#This Row],[Rate_Code_Generalized]],Lookups!A:A,Lookups!B:B)*Quota_tbl[[#This Row],[Quota_Amount_USD]])</f>
        <v>18628.8</v>
      </c>
      <c r="G9" t="str">
        <f>_xlfn.XLOOKUP(Quota_tbl[[#This Row],[Rep_ID]],Dim_Reps!A:A,Dim_Reps!C:C)</f>
        <v>SDR / Inside Sales Rep</v>
      </c>
      <c r="H9" t="str">
        <f>_xlfn.XLOOKUP(Quota_tbl[[#This Row],[Rep_ID]],Dim_Reps!A:A,Dim_Reps!D:D)</f>
        <v>Inside Sales</v>
      </c>
      <c r="I9" t="str">
        <f>_xlfn.XLOOKUP(Quota_tbl[[#This Row],[Rep_ID]],Dim_Reps!A:A,Dim_Reps!E:E)</f>
        <v>NAMER</v>
      </c>
      <c r="J9" t="str">
        <f>_xlfn.XLOOKUP(Quota_tbl[[#This Row],[Period_Start_Date]],Dim_Date!A:A,Dim_Date!H:H)</f>
        <v>Aug 2024</v>
      </c>
    </row>
    <row r="10" spans="1:10" ht="15" customHeight="1" x14ac:dyDescent="0.2">
      <c r="A10" t="s">
        <v>193</v>
      </c>
      <c r="B10" s="49">
        <v>45536</v>
      </c>
      <c r="C10">
        <v>12</v>
      </c>
      <c r="D10" s="33">
        <v>15700</v>
      </c>
      <c r="E10" t="str">
        <f>_xlfn.XLOOKUP(Quota_tbl[[#This Row],[Rep_ID]],Dim_Reps!A:A,Dim_Reps!K:K)</f>
        <v>USD</v>
      </c>
      <c r="F10" s="33">
        <f>(_xlfn.XLOOKUP(Quota_tbl[[#This Row],[Rate_Code_Generalized]],Lookups!A:A,Lookups!B:B)*Quota_tbl[[#This Row],[Quota_Amount_USD]])</f>
        <v>18279.509999999998</v>
      </c>
      <c r="G10" t="str">
        <f>_xlfn.XLOOKUP(Quota_tbl[[#This Row],[Rep_ID]],Dim_Reps!A:A,Dim_Reps!C:C)</f>
        <v>SDR / Inside Sales Rep</v>
      </c>
      <c r="H10" t="str">
        <f>_xlfn.XLOOKUP(Quota_tbl[[#This Row],[Rep_ID]],Dim_Reps!A:A,Dim_Reps!D:D)</f>
        <v>Inside Sales</v>
      </c>
      <c r="I10" t="str">
        <f>_xlfn.XLOOKUP(Quota_tbl[[#This Row],[Rep_ID]],Dim_Reps!A:A,Dim_Reps!E:E)</f>
        <v>NAMER</v>
      </c>
      <c r="J10" t="str">
        <f>_xlfn.XLOOKUP(Quota_tbl[[#This Row],[Period_Start_Date]],Dim_Date!A:A,Dim_Date!H:H)</f>
        <v>Sep 2024</v>
      </c>
    </row>
    <row r="11" spans="1:10" ht="15" customHeight="1" x14ac:dyDescent="0.2">
      <c r="A11" t="s">
        <v>193</v>
      </c>
      <c r="B11" s="49">
        <v>45566</v>
      </c>
      <c r="C11">
        <v>13</v>
      </c>
      <c r="D11" s="33">
        <v>14700</v>
      </c>
      <c r="E11" t="str">
        <f>_xlfn.XLOOKUP(Quota_tbl[[#This Row],[Rep_ID]],Dim_Reps!A:A,Dim_Reps!K:K)</f>
        <v>USD</v>
      </c>
      <c r="F11" s="33">
        <f>(_xlfn.XLOOKUP(Quota_tbl[[#This Row],[Rate_Code_Generalized]],Lookups!A:A,Lookups!B:B)*Quota_tbl[[#This Row],[Quota_Amount_USD]])</f>
        <v>17115.21</v>
      </c>
      <c r="G11" t="str">
        <f>_xlfn.XLOOKUP(Quota_tbl[[#This Row],[Rep_ID]],Dim_Reps!A:A,Dim_Reps!C:C)</f>
        <v>SDR / Inside Sales Rep</v>
      </c>
      <c r="H11" t="str">
        <f>_xlfn.XLOOKUP(Quota_tbl[[#This Row],[Rep_ID]],Dim_Reps!A:A,Dim_Reps!D:D)</f>
        <v>Inside Sales</v>
      </c>
      <c r="I11" t="str">
        <f>_xlfn.XLOOKUP(Quota_tbl[[#This Row],[Rep_ID]],Dim_Reps!A:A,Dim_Reps!E:E)</f>
        <v>NAMER</v>
      </c>
      <c r="J11" t="str">
        <f>_xlfn.XLOOKUP(Quota_tbl[[#This Row],[Period_Start_Date]],Dim_Date!A:A,Dim_Date!H:H)</f>
        <v>Oct 2024</v>
      </c>
    </row>
    <row r="12" spans="1:10" ht="15" customHeight="1" x14ac:dyDescent="0.2">
      <c r="A12" t="s">
        <v>193</v>
      </c>
      <c r="B12" s="49">
        <v>45597</v>
      </c>
      <c r="C12">
        <v>14</v>
      </c>
      <c r="D12" s="33">
        <v>15700</v>
      </c>
      <c r="E12" t="str">
        <f>_xlfn.XLOOKUP(Quota_tbl[[#This Row],[Rep_ID]],Dim_Reps!A:A,Dim_Reps!K:K)</f>
        <v>USD</v>
      </c>
      <c r="F12" s="33">
        <f>(_xlfn.XLOOKUP(Quota_tbl[[#This Row],[Rate_Code_Generalized]],Lookups!A:A,Lookups!B:B)*Quota_tbl[[#This Row],[Quota_Amount_USD]])</f>
        <v>18279.509999999998</v>
      </c>
      <c r="G12" t="str">
        <f>_xlfn.XLOOKUP(Quota_tbl[[#This Row],[Rep_ID]],Dim_Reps!A:A,Dim_Reps!C:C)</f>
        <v>SDR / Inside Sales Rep</v>
      </c>
      <c r="H12" t="str">
        <f>_xlfn.XLOOKUP(Quota_tbl[[#This Row],[Rep_ID]],Dim_Reps!A:A,Dim_Reps!D:D)</f>
        <v>Inside Sales</v>
      </c>
      <c r="I12" t="str">
        <f>_xlfn.XLOOKUP(Quota_tbl[[#This Row],[Rep_ID]],Dim_Reps!A:A,Dim_Reps!E:E)</f>
        <v>NAMER</v>
      </c>
      <c r="J12" t="str">
        <f>_xlfn.XLOOKUP(Quota_tbl[[#This Row],[Period_Start_Date]],Dim_Date!A:A,Dim_Date!H:H)</f>
        <v>Nov 2024</v>
      </c>
    </row>
    <row r="13" spans="1:10" ht="15" customHeight="1" x14ac:dyDescent="0.2">
      <c r="A13" t="s">
        <v>193</v>
      </c>
      <c r="B13" s="49">
        <v>45627</v>
      </c>
      <c r="C13">
        <v>15</v>
      </c>
      <c r="D13" s="33">
        <v>15300</v>
      </c>
      <c r="E13" t="str">
        <f>_xlfn.XLOOKUP(Quota_tbl[[#This Row],[Rep_ID]],Dim_Reps!A:A,Dim_Reps!K:K)</f>
        <v>USD</v>
      </c>
      <c r="F13" s="33">
        <f>(_xlfn.XLOOKUP(Quota_tbl[[#This Row],[Rate_Code_Generalized]],Lookups!A:A,Lookups!B:B)*Quota_tbl[[#This Row],[Quota_Amount_USD]])</f>
        <v>17813.789999999997</v>
      </c>
      <c r="G13" t="str">
        <f>_xlfn.XLOOKUP(Quota_tbl[[#This Row],[Rep_ID]],Dim_Reps!A:A,Dim_Reps!C:C)</f>
        <v>SDR / Inside Sales Rep</v>
      </c>
      <c r="H13" t="str">
        <f>_xlfn.XLOOKUP(Quota_tbl[[#This Row],[Rep_ID]],Dim_Reps!A:A,Dim_Reps!D:D)</f>
        <v>Inside Sales</v>
      </c>
      <c r="I13" t="str">
        <f>_xlfn.XLOOKUP(Quota_tbl[[#This Row],[Rep_ID]],Dim_Reps!A:A,Dim_Reps!E:E)</f>
        <v>NAMER</v>
      </c>
      <c r="J13" t="str">
        <f>_xlfn.XLOOKUP(Quota_tbl[[#This Row],[Period_Start_Date]],Dim_Date!A:A,Dim_Date!H:H)</f>
        <v>Dec 2024</v>
      </c>
    </row>
    <row r="14" spans="1:10" ht="15" customHeight="1" x14ac:dyDescent="0.2">
      <c r="A14" t="s">
        <v>193</v>
      </c>
      <c r="B14" s="49">
        <v>45658</v>
      </c>
      <c r="C14">
        <v>16</v>
      </c>
      <c r="D14" s="33">
        <v>15200</v>
      </c>
      <c r="E14" t="str">
        <f>_xlfn.XLOOKUP(Quota_tbl[[#This Row],[Rep_ID]],Dim_Reps!A:A,Dim_Reps!K:K)</f>
        <v>USD</v>
      </c>
      <c r="F14" s="33">
        <f>(_xlfn.XLOOKUP(Quota_tbl[[#This Row],[Rate_Code_Generalized]],Lookups!A:A,Lookups!B:B)*Quota_tbl[[#This Row],[Quota_Amount_USD]])</f>
        <v>17697.359999999997</v>
      </c>
      <c r="G14" t="str">
        <f>_xlfn.XLOOKUP(Quota_tbl[[#This Row],[Rep_ID]],Dim_Reps!A:A,Dim_Reps!C:C)</f>
        <v>SDR / Inside Sales Rep</v>
      </c>
      <c r="H14" t="str">
        <f>_xlfn.XLOOKUP(Quota_tbl[[#This Row],[Rep_ID]],Dim_Reps!A:A,Dim_Reps!D:D)</f>
        <v>Inside Sales</v>
      </c>
      <c r="I14" t="str">
        <f>_xlfn.XLOOKUP(Quota_tbl[[#This Row],[Rep_ID]],Dim_Reps!A:A,Dim_Reps!E:E)</f>
        <v>NAMER</v>
      </c>
      <c r="J14" t="str">
        <f>_xlfn.XLOOKUP(Quota_tbl[[#This Row],[Period_Start_Date]],Dim_Date!A:A,Dim_Date!H:H)</f>
        <v>Jan 2025</v>
      </c>
    </row>
    <row r="15" spans="1:10" ht="15" customHeight="1" x14ac:dyDescent="0.2">
      <c r="A15" t="s">
        <v>193</v>
      </c>
      <c r="B15" s="49">
        <v>45689</v>
      </c>
      <c r="C15">
        <v>17</v>
      </c>
      <c r="D15" s="33">
        <v>15800</v>
      </c>
      <c r="E15" t="str">
        <f>_xlfn.XLOOKUP(Quota_tbl[[#This Row],[Rep_ID]],Dim_Reps!A:A,Dim_Reps!K:K)</f>
        <v>USD</v>
      </c>
      <c r="F15" s="33">
        <f>(_xlfn.XLOOKUP(Quota_tbl[[#This Row],[Rate_Code_Generalized]],Lookups!A:A,Lookups!B:B)*Quota_tbl[[#This Row],[Quota_Amount_USD]])</f>
        <v>18395.939999999999</v>
      </c>
      <c r="G15" t="str">
        <f>_xlfn.XLOOKUP(Quota_tbl[[#This Row],[Rep_ID]],Dim_Reps!A:A,Dim_Reps!C:C)</f>
        <v>SDR / Inside Sales Rep</v>
      </c>
      <c r="H15" t="str">
        <f>_xlfn.XLOOKUP(Quota_tbl[[#This Row],[Rep_ID]],Dim_Reps!A:A,Dim_Reps!D:D)</f>
        <v>Inside Sales</v>
      </c>
      <c r="I15" t="str">
        <f>_xlfn.XLOOKUP(Quota_tbl[[#This Row],[Rep_ID]],Dim_Reps!A:A,Dim_Reps!E:E)</f>
        <v>NAMER</v>
      </c>
      <c r="J15" t="str">
        <f>_xlfn.XLOOKUP(Quota_tbl[[#This Row],[Period_Start_Date]],Dim_Date!A:A,Dim_Date!H:H)</f>
        <v>Feb 2025</v>
      </c>
    </row>
    <row r="16" spans="1:10" ht="15" customHeight="1" x14ac:dyDescent="0.2">
      <c r="A16" t="s">
        <v>193</v>
      </c>
      <c r="B16" s="49">
        <v>45717</v>
      </c>
      <c r="C16">
        <v>18</v>
      </c>
      <c r="D16" s="33">
        <v>16000</v>
      </c>
      <c r="E16" t="str">
        <f>_xlfn.XLOOKUP(Quota_tbl[[#This Row],[Rep_ID]],Dim_Reps!A:A,Dim_Reps!K:K)</f>
        <v>USD</v>
      </c>
      <c r="F16" s="33">
        <f>(_xlfn.XLOOKUP(Quota_tbl[[#This Row],[Rate_Code_Generalized]],Lookups!A:A,Lookups!B:B)*Quota_tbl[[#This Row],[Quota_Amount_USD]])</f>
        <v>18628.8</v>
      </c>
      <c r="G16" t="str">
        <f>_xlfn.XLOOKUP(Quota_tbl[[#This Row],[Rep_ID]],Dim_Reps!A:A,Dim_Reps!C:C)</f>
        <v>SDR / Inside Sales Rep</v>
      </c>
      <c r="H16" t="str">
        <f>_xlfn.XLOOKUP(Quota_tbl[[#This Row],[Rep_ID]],Dim_Reps!A:A,Dim_Reps!D:D)</f>
        <v>Inside Sales</v>
      </c>
      <c r="I16" t="str">
        <f>_xlfn.XLOOKUP(Quota_tbl[[#This Row],[Rep_ID]],Dim_Reps!A:A,Dim_Reps!E:E)</f>
        <v>NAMER</v>
      </c>
      <c r="J16" t="str">
        <f>_xlfn.XLOOKUP(Quota_tbl[[#This Row],[Period_Start_Date]],Dim_Date!A:A,Dim_Date!H:H)</f>
        <v>Mar 2025</v>
      </c>
    </row>
    <row r="17" spans="1:10" ht="15" customHeight="1" x14ac:dyDescent="0.2">
      <c r="A17" t="s">
        <v>193</v>
      </c>
      <c r="B17" s="49">
        <v>45748</v>
      </c>
      <c r="C17">
        <v>19</v>
      </c>
      <c r="D17" s="33">
        <v>15900</v>
      </c>
      <c r="E17" t="str">
        <f>_xlfn.XLOOKUP(Quota_tbl[[#This Row],[Rep_ID]],Dim_Reps!A:A,Dim_Reps!K:K)</f>
        <v>USD</v>
      </c>
      <c r="F17" s="33">
        <f>(_xlfn.XLOOKUP(Quota_tbl[[#This Row],[Rate_Code_Generalized]],Lookups!A:A,Lookups!B:B)*Quota_tbl[[#This Row],[Quota_Amount_USD]])</f>
        <v>18512.37</v>
      </c>
      <c r="G17" t="str">
        <f>_xlfn.XLOOKUP(Quota_tbl[[#This Row],[Rep_ID]],Dim_Reps!A:A,Dim_Reps!C:C)</f>
        <v>SDR / Inside Sales Rep</v>
      </c>
      <c r="H17" t="str">
        <f>_xlfn.XLOOKUP(Quota_tbl[[#This Row],[Rep_ID]],Dim_Reps!A:A,Dim_Reps!D:D)</f>
        <v>Inside Sales</v>
      </c>
      <c r="I17" t="str">
        <f>_xlfn.XLOOKUP(Quota_tbl[[#This Row],[Rep_ID]],Dim_Reps!A:A,Dim_Reps!E:E)</f>
        <v>NAMER</v>
      </c>
      <c r="J17" t="str">
        <f>_xlfn.XLOOKUP(Quota_tbl[[#This Row],[Period_Start_Date]],Dim_Date!A:A,Dim_Date!H:H)</f>
        <v>Apr 2025</v>
      </c>
    </row>
    <row r="18" spans="1:10" ht="15" customHeight="1" x14ac:dyDescent="0.2">
      <c r="A18" t="s">
        <v>193</v>
      </c>
      <c r="B18" s="49">
        <v>45778</v>
      </c>
      <c r="C18">
        <v>20</v>
      </c>
      <c r="D18" s="33">
        <v>15100</v>
      </c>
      <c r="E18" t="str">
        <f>_xlfn.XLOOKUP(Quota_tbl[[#This Row],[Rep_ID]],Dim_Reps!A:A,Dim_Reps!K:K)</f>
        <v>USD</v>
      </c>
      <c r="F18" s="33">
        <f>(_xlfn.XLOOKUP(Quota_tbl[[#This Row],[Rate_Code_Generalized]],Lookups!A:A,Lookups!B:B)*Quota_tbl[[#This Row],[Quota_Amount_USD]])</f>
        <v>17580.929999999997</v>
      </c>
      <c r="G18" t="str">
        <f>_xlfn.XLOOKUP(Quota_tbl[[#This Row],[Rep_ID]],Dim_Reps!A:A,Dim_Reps!C:C)</f>
        <v>SDR / Inside Sales Rep</v>
      </c>
      <c r="H18" t="str">
        <f>_xlfn.XLOOKUP(Quota_tbl[[#This Row],[Rep_ID]],Dim_Reps!A:A,Dim_Reps!D:D)</f>
        <v>Inside Sales</v>
      </c>
      <c r="I18" t="str">
        <f>_xlfn.XLOOKUP(Quota_tbl[[#This Row],[Rep_ID]],Dim_Reps!A:A,Dim_Reps!E:E)</f>
        <v>NAMER</v>
      </c>
      <c r="J18" t="str">
        <f>_xlfn.XLOOKUP(Quota_tbl[[#This Row],[Period_Start_Date]],Dim_Date!A:A,Dim_Date!H:H)</f>
        <v>May 2025</v>
      </c>
    </row>
    <row r="19" spans="1:10" ht="15" customHeight="1" x14ac:dyDescent="0.2">
      <c r="A19" t="s">
        <v>193</v>
      </c>
      <c r="B19" s="49">
        <v>45809</v>
      </c>
      <c r="C19">
        <v>21</v>
      </c>
      <c r="D19" s="33">
        <v>15400</v>
      </c>
      <c r="E19" t="str">
        <f>_xlfn.XLOOKUP(Quota_tbl[[#This Row],[Rep_ID]],Dim_Reps!A:A,Dim_Reps!K:K)</f>
        <v>USD</v>
      </c>
      <c r="F19" s="33">
        <f>(_xlfn.XLOOKUP(Quota_tbl[[#This Row],[Rate_Code_Generalized]],Lookups!A:A,Lookups!B:B)*Quota_tbl[[#This Row],[Quota_Amount_USD]])</f>
        <v>17930.219999999998</v>
      </c>
      <c r="G19" t="str">
        <f>_xlfn.XLOOKUP(Quota_tbl[[#This Row],[Rep_ID]],Dim_Reps!A:A,Dim_Reps!C:C)</f>
        <v>SDR / Inside Sales Rep</v>
      </c>
      <c r="H19" t="str">
        <f>_xlfn.XLOOKUP(Quota_tbl[[#This Row],[Rep_ID]],Dim_Reps!A:A,Dim_Reps!D:D)</f>
        <v>Inside Sales</v>
      </c>
      <c r="I19" t="str">
        <f>_xlfn.XLOOKUP(Quota_tbl[[#This Row],[Rep_ID]],Dim_Reps!A:A,Dim_Reps!E:E)</f>
        <v>NAMER</v>
      </c>
      <c r="J19" t="str">
        <f>_xlfn.XLOOKUP(Quota_tbl[[#This Row],[Period_Start_Date]],Dim_Date!A:A,Dim_Date!H:H)</f>
        <v>Jun 2025</v>
      </c>
    </row>
    <row r="20" spans="1:10" ht="15" customHeight="1" x14ac:dyDescent="0.2">
      <c r="A20" t="s">
        <v>193</v>
      </c>
      <c r="B20" s="49">
        <v>45839</v>
      </c>
      <c r="C20">
        <v>22</v>
      </c>
      <c r="D20" s="33">
        <v>15700</v>
      </c>
      <c r="E20" t="str">
        <f>_xlfn.XLOOKUP(Quota_tbl[[#This Row],[Rep_ID]],Dim_Reps!A:A,Dim_Reps!K:K)</f>
        <v>USD</v>
      </c>
      <c r="F20" s="33">
        <f>(_xlfn.XLOOKUP(Quota_tbl[[#This Row],[Rate_Code_Generalized]],Lookups!A:A,Lookups!B:B)*Quota_tbl[[#This Row],[Quota_Amount_USD]])</f>
        <v>18279.509999999998</v>
      </c>
      <c r="G20" t="str">
        <f>_xlfn.XLOOKUP(Quota_tbl[[#This Row],[Rep_ID]],Dim_Reps!A:A,Dim_Reps!C:C)</f>
        <v>SDR / Inside Sales Rep</v>
      </c>
      <c r="H20" t="str">
        <f>_xlfn.XLOOKUP(Quota_tbl[[#This Row],[Rep_ID]],Dim_Reps!A:A,Dim_Reps!D:D)</f>
        <v>Inside Sales</v>
      </c>
      <c r="I20" t="str">
        <f>_xlfn.XLOOKUP(Quota_tbl[[#This Row],[Rep_ID]],Dim_Reps!A:A,Dim_Reps!E:E)</f>
        <v>NAMER</v>
      </c>
      <c r="J20" t="str">
        <f>_xlfn.XLOOKUP(Quota_tbl[[#This Row],[Period_Start_Date]],Dim_Date!A:A,Dim_Date!H:H)</f>
        <v>Jul 2025</v>
      </c>
    </row>
    <row r="21" spans="1:10" ht="15" customHeight="1" x14ac:dyDescent="0.2">
      <c r="A21" t="s">
        <v>193</v>
      </c>
      <c r="B21" s="49">
        <v>45870</v>
      </c>
      <c r="C21">
        <v>23</v>
      </c>
      <c r="D21" s="33">
        <v>16000</v>
      </c>
      <c r="E21" t="str">
        <f>_xlfn.XLOOKUP(Quota_tbl[[#This Row],[Rep_ID]],Dim_Reps!A:A,Dim_Reps!K:K)</f>
        <v>USD</v>
      </c>
      <c r="F21" s="33">
        <f>(_xlfn.XLOOKUP(Quota_tbl[[#This Row],[Rate_Code_Generalized]],Lookups!A:A,Lookups!B:B)*Quota_tbl[[#This Row],[Quota_Amount_USD]])</f>
        <v>18628.8</v>
      </c>
      <c r="G21" t="str">
        <f>_xlfn.XLOOKUP(Quota_tbl[[#This Row],[Rep_ID]],Dim_Reps!A:A,Dim_Reps!C:C)</f>
        <v>SDR / Inside Sales Rep</v>
      </c>
      <c r="H21" t="str">
        <f>_xlfn.XLOOKUP(Quota_tbl[[#This Row],[Rep_ID]],Dim_Reps!A:A,Dim_Reps!D:D)</f>
        <v>Inside Sales</v>
      </c>
      <c r="I21" t="str">
        <f>_xlfn.XLOOKUP(Quota_tbl[[#This Row],[Rep_ID]],Dim_Reps!A:A,Dim_Reps!E:E)</f>
        <v>NAMER</v>
      </c>
      <c r="J21" t="str">
        <f>_xlfn.XLOOKUP(Quota_tbl[[#This Row],[Period_Start_Date]],Dim_Date!A:A,Dim_Date!H:H)</f>
        <v>Aug 2025</v>
      </c>
    </row>
    <row r="22" spans="1:10" ht="15" customHeight="1" x14ac:dyDescent="0.2">
      <c r="A22" t="s">
        <v>193</v>
      </c>
      <c r="B22" s="49">
        <v>45901</v>
      </c>
      <c r="C22">
        <v>24</v>
      </c>
      <c r="D22" s="33">
        <v>15300</v>
      </c>
      <c r="E22" t="str">
        <f>_xlfn.XLOOKUP(Quota_tbl[[#This Row],[Rep_ID]],Dim_Reps!A:A,Dim_Reps!K:K)</f>
        <v>USD</v>
      </c>
      <c r="F22" s="33">
        <f>(_xlfn.XLOOKUP(Quota_tbl[[#This Row],[Rate_Code_Generalized]],Lookups!A:A,Lookups!B:B)*Quota_tbl[[#This Row],[Quota_Amount_USD]])</f>
        <v>17813.789999999997</v>
      </c>
      <c r="G22" t="str">
        <f>_xlfn.XLOOKUP(Quota_tbl[[#This Row],[Rep_ID]],Dim_Reps!A:A,Dim_Reps!C:C)</f>
        <v>SDR / Inside Sales Rep</v>
      </c>
      <c r="H22" t="str">
        <f>_xlfn.XLOOKUP(Quota_tbl[[#This Row],[Rep_ID]],Dim_Reps!A:A,Dim_Reps!D:D)</f>
        <v>Inside Sales</v>
      </c>
      <c r="I22" t="str">
        <f>_xlfn.XLOOKUP(Quota_tbl[[#This Row],[Rep_ID]],Dim_Reps!A:A,Dim_Reps!E:E)</f>
        <v>NAMER</v>
      </c>
      <c r="J22" t="str">
        <f>_xlfn.XLOOKUP(Quota_tbl[[#This Row],[Period_Start_Date]],Dim_Date!A:A,Dim_Date!H:H)</f>
        <v>Sep 2025</v>
      </c>
    </row>
    <row r="23" spans="1:10" ht="15" customHeight="1" x14ac:dyDescent="0.2">
      <c r="A23" t="s">
        <v>193</v>
      </c>
      <c r="B23" s="49">
        <v>45931</v>
      </c>
      <c r="C23">
        <v>25</v>
      </c>
      <c r="D23" s="33">
        <v>15400</v>
      </c>
      <c r="E23" t="str">
        <f>_xlfn.XLOOKUP(Quota_tbl[[#This Row],[Rep_ID]],Dim_Reps!A:A,Dim_Reps!K:K)</f>
        <v>USD</v>
      </c>
      <c r="F23" s="33">
        <f>(_xlfn.XLOOKUP(Quota_tbl[[#This Row],[Rate_Code_Generalized]],Lookups!A:A,Lookups!B:B)*Quota_tbl[[#This Row],[Quota_Amount_USD]])</f>
        <v>17930.219999999998</v>
      </c>
      <c r="G23" t="str">
        <f>_xlfn.XLOOKUP(Quota_tbl[[#This Row],[Rep_ID]],Dim_Reps!A:A,Dim_Reps!C:C)</f>
        <v>SDR / Inside Sales Rep</v>
      </c>
      <c r="H23" t="str">
        <f>_xlfn.XLOOKUP(Quota_tbl[[#This Row],[Rep_ID]],Dim_Reps!A:A,Dim_Reps!D:D)</f>
        <v>Inside Sales</v>
      </c>
      <c r="I23" t="str">
        <f>_xlfn.XLOOKUP(Quota_tbl[[#This Row],[Rep_ID]],Dim_Reps!A:A,Dim_Reps!E:E)</f>
        <v>NAMER</v>
      </c>
      <c r="J23" t="str">
        <f>_xlfn.XLOOKUP(Quota_tbl[[#This Row],[Period_Start_Date]],Dim_Date!A:A,Dim_Date!H:H)</f>
        <v>Oct 2025</v>
      </c>
    </row>
    <row r="24" spans="1:10" ht="15" customHeight="1" x14ac:dyDescent="0.2">
      <c r="A24" t="s">
        <v>193</v>
      </c>
      <c r="B24" s="49">
        <v>45962</v>
      </c>
      <c r="C24">
        <v>26</v>
      </c>
      <c r="D24" s="33">
        <v>15000</v>
      </c>
      <c r="E24" t="str">
        <f>_xlfn.XLOOKUP(Quota_tbl[[#This Row],[Rep_ID]],Dim_Reps!A:A,Dim_Reps!K:K)</f>
        <v>USD</v>
      </c>
      <c r="F24" s="33">
        <f>(_xlfn.XLOOKUP(Quota_tbl[[#This Row],[Rate_Code_Generalized]],Lookups!A:A,Lookups!B:B)*Quota_tbl[[#This Row],[Quota_Amount_USD]])</f>
        <v>17464.5</v>
      </c>
      <c r="G24" t="str">
        <f>_xlfn.XLOOKUP(Quota_tbl[[#This Row],[Rep_ID]],Dim_Reps!A:A,Dim_Reps!C:C)</f>
        <v>SDR / Inside Sales Rep</v>
      </c>
      <c r="H24" t="str">
        <f>_xlfn.XLOOKUP(Quota_tbl[[#This Row],[Rep_ID]],Dim_Reps!A:A,Dim_Reps!D:D)</f>
        <v>Inside Sales</v>
      </c>
      <c r="I24" t="str">
        <f>_xlfn.XLOOKUP(Quota_tbl[[#This Row],[Rep_ID]],Dim_Reps!A:A,Dim_Reps!E:E)</f>
        <v>NAMER</v>
      </c>
      <c r="J24" t="str">
        <f>_xlfn.XLOOKUP(Quota_tbl[[#This Row],[Period_Start_Date]],Dim_Date!A:A,Dim_Date!H:H)</f>
        <v>Nov 2025</v>
      </c>
    </row>
    <row r="25" spans="1:10" ht="15" customHeight="1" x14ac:dyDescent="0.2">
      <c r="A25" t="s">
        <v>193</v>
      </c>
      <c r="B25" s="49">
        <v>45992</v>
      </c>
      <c r="C25">
        <v>27</v>
      </c>
      <c r="D25" s="33">
        <v>14900</v>
      </c>
      <c r="E25" t="str">
        <f>_xlfn.XLOOKUP(Quota_tbl[[#This Row],[Rep_ID]],Dim_Reps!A:A,Dim_Reps!K:K)</f>
        <v>USD</v>
      </c>
      <c r="F25" s="33">
        <f>(_xlfn.XLOOKUP(Quota_tbl[[#This Row],[Rate_Code_Generalized]],Lookups!A:A,Lookups!B:B)*Quota_tbl[[#This Row],[Quota_Amount_USD]])</f>
        <v>17348.07</v>
      </c>
      <c r="G25" t="str">
        <f>_xlfn.XLOOKUP(Quota_tbl[[#This Row],[Rep_ID]],Dim_Reps!A:A,Dim_Reps!C:C)</f>
        <v>SDR / Inside Sales Rep</v>
      </c>
      <c r="H25" t="str">
        <f>_xlfn.XLOOKUP(Quota_tbl[[#This Row],[Rep_ID]],Dim_Reps!A:A,Dim_Reps!D:D)</f>
        <v>Inside Sales</v>
      </c>
      <c r="I25" t="str">
        <f>_xlfn.XLOOKUP(Quota_tbl[[#This Row],[Rep_ID]],Dim_Reps!A:A,Dim_Reps!E:E)</f>
        <v>NAMER</v>
      </c>
      <c r="J25" t="str">
        <f>_xlfn.XLOOKUP(Quota_tbl[[#This Row],[Period_Start_Date]],Dim_Date!A:A,Dim_Date!H:H)</f>
        <v>Dec 2025</v>
      </c>
    </row>
    <row r="26" spans="1:10" ht="15" customHeight="1" x14ac:dyDescent="0.2">
      <c r="A26" t="s">
        <v>275</v>
      </c>
      <c r="B26" s="49">
        <v>45809</v>
      </c>
      <c r="C26">
        <v>0</v>
      </c>
      <c r="D26" s="33">
        <v>12300</v>
      </c>
      <c r="E26" t="str">
        <f>_xlfn.XLOOKUP(Quota_tbl[[#This Row],[Rep_ID]],Dim_Reps!A:A,Dim_Reps!K:K)</f>
        <v>USD</v>
      </c>
      <c r="F26" s="33">
        <f>(_xlfn.XLOOKUP(Quota_tbl[[#This Row],[Rate_Code_Generalized]],Lookups!A:A,Lookups!B:B)*Quota_tbl[[#This Row],[Quota_Amount_USD]])</f>
        <v>14320.89</v>
      </c>
      <c r="G26" t="str">
        <f>_xlfn.XLOOKUP(Quota_tbl[[#This Row],[Rep_ID]],Dim_Reps!A:A,Dim_Reps!C:C)</f>
        <v>Senior Enterprise AE</v>
      </c>
      <c r="H26" t="str">
        <f>_xlfn.XLOOKUP(Quota_tbl[[#This Row],[Rep_ID]],Dim_Reps!A:A,Dim_Reps!D:D)</f>
        <v>Strategic</v>
      </c>
      <c r="I26" t="str">
        <f>_xlfn.XLOOKUP(Quota_tbl[[#This Row],[Rep_ID]],Dim_Reps!A:A,Dim_Reps!E:E)</f>
        <v>NAMER</v>
      </c>
      <c r="J26" t="str">
        <f>_xlfn.XLOOKUP(Quota_tbl[[#This Row],[Period_Start_Date]],Dim_Date!A:A,Dim_Date!H:H)</f>
        <v>Jun 2025</v>
      </c>
    </row>
    <row r="27" spans="1:10" ht="15" customHeight="1" x14ac:dyDescent="0.2">
      <c r="A27" t="s">
        <v>275</v>
      </c>
      <c r="B27" s="49">
        <v>45839</v>
      </c>
      <c r="C27">
        <v>1</v>
      </c>
      <c r="D27" s="33">
        <v>25000</v>
      </c>
      <c r="E27" t="str">
        <f>_xlfn.XLOOKUP(Quota_tbl[[#This Row],[Rep_ID]],Dim_Reps!A:A,Dim_Reps!K:K)</f>
        <v>USD</v>
      </c>
      <c r="F27" s="33">
        <f>(_xlfn.XLOOKUP(Quota_tbl[[#This Row],[Rate_Code_Generalized]],Lookups!A:A,Lookups!B:B)*Quota_tbl[[#This Row],[Quota_Amount_USD]])</f>
        <v>29107.499999999996</v>
      </c>
      <c r="G27" t="str">
        <f>_xlfn.XLOOKUP(Quota_tbl[[#This Row],[Rep_ID]],Dim_Reps!A:A,Dim_Reps!C:C)</f>
        <v>Senior Enterprise AE</v>
      </c>
      <c r="H27" t="str">
        <f>_xlfn.XLOOKUP(Quota_tbl[[#This Row],[Rep_ID]],Dim_Reps!A:A,Dim_Reps!D:D)</f>
        <v>Strategic</v>
      </c>
      <c r="I27" t="str">
        <f>_xlfn.XLOOKUP(Quota_tbl[[#This Row],[Rep_ID]],Dim_Reps!A:A,Dim_Reps!E:E)</f>
        <v>NAMER</v>
      </c>
      <c r="J27" t="str">
        <f>_xlfn.XLOOKUP(Quota_tbl[[#This Row],[Period_Start_Date]],Dim_Date!A:A,Dim_Date!H:H)</f>
        <v>Jul 2025</v>
      </c>
    </row>
    <row r="28" spans="1:10" ht="15" customHeight="1" x14ac:dyDescent="0.2">
      <c r="A28" t="s">
        <v>275</v>
      </c>
      <c r="B28" s="49">
        <v>45870</v>
      </c>
      <c r="C28">
        <v>2</v>
      </c>
      <c r="D28" s="33">
        <v>35900</v>
      </c>
      <c r="E28" t="str">
        <f>_xlfn.XLOOKUP(Quota_tbl[[#This Row],[Rep_ID]],Dim_Reps!A:A,Dim_Reps!K:K)</f>
        <v>USD</v>
      </c>
      <c r="F28" s="33">
        <f>(_xlfn.XLOOKUP(Quota_tbl[[#This Row],[Rate_Code_Generalized]],Lookups!A:A,Lookups!B:B)*Quota_tbl[[#This Row],[Quota_Amount_USD]])</f>
        <v>41798.369999999995</v>
      </c>
      <c r="G28" t="str">
        <f>_xlfn.XLOOKUP(Quota_tbl[[#This Row],[Rep_ID]],Dim_Reps!A:A,Dim_Reps!C:C)</f>
        <v>Senior Enterprise AE</v>
      </c>
      <c r="H28" t="str">
        <f>_xlfn.XLOOKUP(Quota_tbl[[#This Row],[Rep_ID]],Dim_Reps!A:A,Dim_Reps!D:D)</f>
        <v>Strategic</v>
      </c>
      <c r="I28" t="str">
        <f>_xlfn.XLOOKUP(Quota_tbl[[#This Row],[Rep_ID]],Dim_Reps!A:A,Dim_Reps!E:E)</f>
        <v>NAMER</v>
      </c>
      <c r="J28" t="str">
        <f>_xlfn.XLOOKUP(Quota_tbl[[#This Row],[Period_Start_Date]],Dim_Date!A:A,Dim_Date!H:H)</f>
        <v>Aug 2025</v>
      </c>
    </row>
    <row r="29" spans="1:10" ht="15" customHeight="1" x14ac:dyDescent="0.2">
      <c r="A29" t="s">
        <v>275</v>
      </c>
      <c r="B29" s="49">
        <v>45901</v>
      </c>
      <c r="C29">
        <v>3</v>
      </c>
      <c r="D29" s="33">
        <v>49400</v>
      </c>
      <c r="E29" t="str">
        <f>_xlfn.XLOOKUP(Quota_tbl[[#This Row],[Rep_ID]],Dim_Reps!A:A,Dim_Reps!K:K)</f>
        <v>USD</v>
      </c>
      <c r="F29" s="33">
        <f>(_xlfn.XLOOKUP(Quota_tbl[[#This Row],[Rate_Code_Generalized]],Lookups!A:A,Lookups!B:B)*Quota_tbl[[#This Row],[Quota_Amount_USD]])</f>
        <v>57516.419999999991</v>
      </c>
      <c r="G29" t="str">
        <f>_xlfn.XLOOKUP(Quota_tbl[[#This Row],[Rep_ID]],Dim_Reps!A:A,Dim_Reps!C:C)</f>
        <v>Senior Enterprise AE</v>
      </c>
      <c r="H29" t="str">
        <f>_xlfn.XLOOKUP(Quota_tbl[[#This Row],[Rep_ID]],Dim_Reps!A:A,Dim_Reps!D:D)</f>
        <v>Strategic</v>
      </c>
      <c r="I29" t="str">
        <f>_xlfn.XLOOKUP(Quota_tbl[[#This Row],[Rep_ID]],Dim_Reps!A:A,Dim_Reps!E:E)</f>
        <v>NAMER</v>
      </c>
      <c r="J29" t="str">
        <f>_xlfn.XLOOKUP(Quota_tbl[[#This Row],[Period_Start_Date]],Dim_Date!A:A,Dim_Date!H:H)</f>
        <v>Sep 2025</v>
      </c>
    </row>
    <row r="30" spans="1:10" ht="15" customHeight="1" x14ac:dyDescent="0.2">
      <c r="A30" t="s">
        <v>275</v>
      </c>
      <c r="B30" s="49">
        <v>45931</v>
      </c>
      <c r="C30">
        <v>4</v>
      </c>
      <c r="D30" s="33">
        <v>48500</v>
      </c>
      <c r="E30" t="str">
        <f>_xlfn.XLOOKUP(Quota_tbl[[#This Row],[Rep_ID]],Dim_Reps!A:A,Dim_Reps!K:K)</f>
        <v>USD</v>
      </c>
      <c r="F30" s="33">
        <f>(_xlfn.XLOOKUP(Quota_tbl[[#This Row],[Rate_Code_Generalized]],Lookups!A:A,Lookups!B:B)*Quota_tbl[[#This Row],[Quota_Amount_USD]])</f>
        <v>56468.549999999996</v>
      </c>
      <c r="G30" t="str">
        <f>_xlfn.XLOOKUP(Quota_tbl[[#This Row],[Rep_ID]],Dim_Reps!A:A,Dim_Reps!C:C)</f>
        <v>Senior Enterprise AE</v>
      </c>
      <c r="H30" t="str">
        <f>_xlfn.XLOOKUP(Quota_tbl[[#This Row],[Rep_ID]],Dim_Reps!A:A,Dim_Reps!D:D)</f>
        <v>Strategic</v>
      </c>
      <c r="I30" t="str">
        <f>_xlfn.XLOOKUP(Quota_tbl[[#This Row],[Rep_ID]],Dim_Reps!A:A,Dim_Reps!E:E)</f>
        <v>NAMER</v>
      </c>
      <c r="J30" t="str">
        <f>_xlfn.XLOOKUP(Quota_tbl[[#This Row],[Period_Start_Date]],Dim_Date!A:A,Dim_Date!H:H)</f>
        <v>Oct 2025</v>
      </c>
    </row>
    <row r="31" spans="1:10" ht="15" customHeight="1" x14ac:dyDescent="0.2">
      <c r="A31" t="s">
        <v>275</v>
      </c>
      <c r="B31" s="49">
        <v>45962</v>
      </c>
      <c r="C31">
        <v>5</v>
      </c>
      <c r="D31" s="33">
        <v>47100</v>
      </c>
      <c r="E31" t="str">
        <f>_xlfn.XLOOKUP(Quota_tbl[[#This Row],[Rep_ID]],Dim_Reps!A:A,Dim_Reps!K:K)</f>
        <v>USD</v>
      </c>
      <c r="F31" s="33">
        <f>(_xlfn.XLOOKUP(Quota_tbl[[#This Row],[Rate_Code_Generalized]],Lookups!A:A,Lookups!B:B)*Quota_tbl[[#This Row],[Quota_Amount_USD]])</f>
        <v>54838.529999999992</v>
      </c>
      <c r="G31" t="str">
        <f>_xlfn.XLOOKUP(Quota_tbl[[#This Row],[Rep_ID]],Dim_Reps!A:A,Dim_Reps!C:C)</f>
        <v>Senior Enterprise AE</v>
      </c>
      <c r="H31" t="str">
        <f>_xlfn.XLOOKUP(Quota_tbl[[#This Row],[Rep_ID]],Dim_Reps!A:A,Dim_Reps!D:D)</f>
        <v>Strategic</v>
      </c>
      <c r="I31" t="str">
        <f>_xlfn.XLOOKUP(Quota_tbl[[#This Row],[Rep_ID]],Dim_Reps!A:A,Dim_Reps!E:E)</f>
        <v>NAMER</v>
      </c>
      <c r="J31" t="str">
        <f>_xlfn.XLOOKUP(Quota_tbl[[#This Row],[Period_Start_Date]],Dim_Date!A:A,Dim_Date!H:H)</f>
        <v>Nov 2025</v>
      </c>
    </row>
    <row r="32" spans="1:10" ht="15" customHeight="1" x14ac:dyDescent="0.2">
      <c r="A32" t="s">
        <v>275</v>
      </c>
      <c r="B32" s="49">
        <v>45992</v>
      </c>
      <c r="C32">
        <v>6</v>
      </c>
      <c r="D32" s="33">
        <v>48500</v>
      </c>
      <c r="E32" t="str">
        <f>_xlfn.XLOOKUP(Quota_tbl[[#This Row],[Rep_ID]],Dim_Reps!A:A,Dim_Reps!K:K)</f>
        <v>USD</v>
      </c>
      <c r="F32" s="33">
        <f>(_xlfn.XLOOKUP(Quota_tbl[[#This Row],[Rate_Code_Generalized]],Lookups!A:A,Lookups!B:B)*Quota_tbl[[#This Row],[Quota_Amount_USD]])</f>
        <v>56468.549999999996</v>
      </c>
      <c r="G32" t="str">
        <f>_xlfn.XLOOKUP(Quota_tbl[[#This Row],[Rep_ID]],Dim_Reps!A:A,Dim_Reps!C:C)</f>
        <v>Senior Enterprise AE</v>
      </c>
      <c r="H32" t="str">
        <f>_xlfn.XLOOKUP(Quota_tbl[[#This Row],[Rep_ID]],Dim_Reps!A:A,Dim_Reps!D:D)</f>
        <v>Strategic</v>
      </c>
      <c r="I32" t="str">
        <f>_xlfn.XLOOKUP(Quota_tbl[[#This Row],[Rep_ID]],Dim_Reps!A:A,Dim_Reps!E:E)</f>
        <v>NAMER</v>
      </c>
      <c r="J32" t="str">
        <f>_xlfn.XLOOKUP(Quota_tbl[[#This Row],[Period_Start_Date]],Dim_Date!A:A,Dim_Date!H:H)</f>
        <v>Dec 2025</v>
      </c>
    </row>
    <row r="33" spans="1:10" ht="15" customHeight="1" x14ac:dyDescent="0.2">
      <c r="A33" t="s">
        <v>177</v>
      </c>
      <c r="B33" s="49">
        <v>45748</v>
      </c>
      <c r="C33">
        <v>0</v>
      </c>
      <c r="D33" s="33">
        <v>8400</v>
      </c>
      <c r="E33" t="str">
        <f>_xlfn.XLOOKUP(Quota_tbl[[#This Row],[Rep_ID]],Dim_Reps!A:A,Dim_Reps!K:K)</f>
        <v>USD</v>
      </c>
      <c r="F33" s="33">
        <f>(_xlfn.XLOOKUP(Quota_tbl[[#This Row],[Rate_Code_Generalized]],Lookups!A:A,Lookups!B:B)*Quota_tbl[[#This Row],[Quota_Amount_USD]])</f>
        <v>9780.119999999999</v>
      </c>
      <c r="G33" t="str">
        <f>_xlfn.XLOOKUP(Quota_tbl[[#This Row],[Rep_ID]],Dim_Reps!A:A,Dim_Reps!C:C)</f>
        <v>Enterprise AE</v>
      </c>
      <c r="H33" t="str">
        <f>_xlfn.XLOOKUP(Quota_tbl[[#This Row],[Rep_ID]],Dim_Reps!A:A,Dim_Reps!D:D)</f>
        <v>Enterprise</v>
      </c>
      <c r="I33" t="str">
        <f>_xlfn.XLOOKUP(Quota_tbl[[#This Row],[Rep_ID]],Dim_Reps!A:A,Dim_Reps!E:E)</f>
        <v>NAMER</v>
      </c>
      <c r="J33" t="str">
        <f>_xlfn.XLOOKUP(Quota_tbl[[#This Row],[Period_Start_Date]],Dim_Date!A:A,Dim_Date!H:H)</f>
        <v>Apr 2025</v>
      </c>
    </row>
    <row r="34" spans="1:10" ht="15" customHeight="1" x14ac:dyDescent="0.2">
      <c r="A34" t="s">
        <v>177</v>
      </c>
      <c r="B34" s="49">
        <v>45778</v>
      </c>
      <c r="C34">
        <v>1</v>
      </c>
      <c r="D34" s="33">
        <v>16000</v>
      </c>
      <c r="E34" t="str">
        <f>_xlfn.XLOOKUP(Quota_tbl[[#This Row],[Rep_ID]],Dim_Reps!A:A,Dim_Reps!K:K)</f>
        <v>USD</v>
      </c>
      <c r="F34" s="33">
        <f>(_xlfn.XLOOKUP(Quota_tbl[[#This Row],[Rate_Code_Generalized]],Lookups!A:A,Lookups!B:B)*Quota_tbl[[#This Row],[Quota_Amount_USD]])</f>
        <v>18628.8</v>
      </c>
      <c r="G34" t="str">
        <f>_xlfn.XLOOKUP(Quota_tbl[[#This Row],[Rep_ID]],Dim_Reps!A:A,Dim_Reps!C:C)</f>
        <v>Enterprise AE</v>
      </c>
      <c r="H34" t="str">
        <f>_xlfn.XLOOKUP(Quota_tbl[[#This Row],[Rep_ID]],Dim_Reps!A:A,Dim_Reps!D:D)</f>
        <v>Enterprise</v>
      </c>
      <c r="I34" t="str">
        <f>_xlfn.XLOOKUP(Quota_tbl[[#This Row],[Rep_ID]],Dim_Reps!A:A,Dim_Reps!E:E)</f>
        <v>NAMER</v>
      </c>
      <c r="J34" t="str">
        <f>_xlfn.XLOOKUP(Quota_tbl[[#This Row],[Period_Start_Date]],Dim_Date!A:A,Dim_Date!H:H)</f>
        <v>May 2025</v>
      </c>
    </row>
    <row r="35" spans="1:10" ht="15" customHeight="1" x14ac:dyDescent="0.2">
      <c r="A35" t="s">
        <v>177</v>
      </c>
      <c r="B35" s="49">
        <v>45809</v>
      </c>
      <c r="C35">
        <v>2</v>
      </c>
      <c r="D35" s="33">
        <v>25100</v>
      </c>
      <c r="E35" t="str">
        <f>_xlfn.XLOOKUP(Quota_tbl[[#This Row],[Rep_ID]],Dim_Reps!A:A,Dim_Reps!K:K)</f>
        <v>USD</v>
      </c>
      <c r="F35" s="33">
        <f>(_xlfn.XLOOKUP(Quota_tbl[[#This Row],[Rate_Code_Generalized]],Lookups!A:A,Lookups!B:B)*Quota_tbl[[#This Row],[Quota_Amount_USD]])</f>
        <v>29223.929999999997</v>
      </c>
      <c r="G35" t="str">
        <f>_xlfn.XLOOKUP(Quota_tbl[[#This Row],[Rep_ID]],Dim_Reps!A:A,Dim_Reps!C:C)</f>
        <v>Enterprise AE</v>
      </c>
      <c r="H35" t="str">
        <f>_xlfn.XLOOKUP(Quota_tbl[[#This Row],[Rep_ID]],Dim_Reps!A:A,Dim_Reps!D:D)</f>
        <v>Enterprise</v>
      </c>
      <c r="I35" t="str">
        <f>_xlfn.XLOOKUP(Quota_tbl[[#This Row],[Rep_ID]],Dim_Reps!A:A,Dim_Reps!E:E)</f>
        <v>NAMER</v>
      </c>
      <c r="J35" t="str">
        <f>_xlfn.XLOOKUP(Quota_tbl[[#This Row],[Period_Start_Date]],Dim_Date!A:A,Dim_Date!H:H)</f>
        <v>Jun 2025</v>
      </c>
    </row>
    <row r="36" spans="1:10" ht="15" customHeight="1" x14ac:dyDescent="0.2">
      <c r="A36" t="s">
        <v>177</v>
      </c>
      <c r="B36" s="49">
        <v>45839</v>
      </c>
      <c r="C36">
        <v>3</v>
      </c>
      <c r="D36" s="33">
        <v>29500</v>
      </c>
      <c r="E36" t="str">
        <f>_xlfn.XLOOKUP(Quota_tbl[[#This Row],[Rep_ID]],Dim_Reps!A:A,Dim_Reps!K:K)</f>
        <v>USD</v>
      </c>
      <c r="F36" s="33">
        <f>(_xlfn.XLOOKUP(Quota_tbl[[#This Row],[Rate_Code_Generalized]],Lookups!A:A,Lookups!B:B)*Quota_tbl[[#This Row],[Quota_Amount_USD]])</f>
        <v>34346.85</v>
      </c>
      <c r="G36" t="str">
        <f>_xlfn.XLOOKUP(Quota_tbl[[#This Row],[Rep_ID]],Dim_Reps!A:A,Dim_Reps!C:C)</f>
        <v>Enterprise AE</v>
      </c>
      <c r="H36" t="str">
        <f>_xlfn.XLOOKUP(Quota_tbl[[#This Row],[Rep_ID]],Dim_Reps!A:A,Dim_Reps!D:D)</f>
        <v>Enterprise</v>
      </c>
      <c r="I36" t="str">
        <f>_xlfn.XLOOKUP(Quota_tbl[[#This Row],[Rep_ID]],Dim_Reps!A:A,Dim_Reps!E:E)</f>
        <v>NAMER</v>
      </c>
      <c r="J36" t="str">
        <f>_xlfn.XLOOKUP(Quota_tbl[[#This Row],[Period_Start_Date]],Dim_Date!A:A,Dim_Date!H:H)</f>
        <v>Jul 2025</v>
      </c>
    </row>
    <row r="37" spans="1:10" ht="15" customHeight="1" x14ac:dyDescent="0.2">
      <c r="A37" t="s">
        <v>177</v>
      </c>
      <c r="B37" s="49">
        <v>45870</v>
      </c>
      <c r="C37">
        <v>4</v>
      </c>
      <c r="D37" s="33">
        <v>32800</v>
      </c>
      <c r="E37" t="str">
        <f>_xlfn.XLOOKUP(Quota_tbl[[#This Row],[Rep_ID]],Dim_Reps!A:A,Dim_Reps!K:K)</f>
        <v>USD</v>
      </c>
      <c r="F37" s="33">
        <f>(_xlfn.XLOOKUP(Quota_tbl[[#This Row],[Rate_Code_Generalized]],Lookups!A:A,Lookups!B:B)*Quota_tbl[[#This Row],[Quota_Amount_USD]])</f>
        <v>38189.039999999994</v>
      </c>
      <c r="G37" t="str">
        <f>_xlfn.XLOOKUP(Quota_tbl[[#This Row],[Rep_ID]],Dim_Reps!A:A,Dim_Reps!C:C)</f>
        <v>Enterprise AE</v>
      </c>
      <c r="H37" t="str">
        <f>_xlfn.XLOOKUP(Quota_tbl[[#This Row],[Rep_ID]],Dim_Reps!A:A,Dim_Reps!D:D)</f>
        <v>Enterprise</v>
      </c>
      <c r="I37" t="str">
        <f>_xlfn.XLOOKUP(Quota_tbl[[#This Row],[Rep_ID]],Dim_Reps!A:A,Dim_Reps!E:E)</f>
        <v>NAMER</v>
      </c>
      <c r="J37" t="str">
        <f>_xlfn.XLOOKUP(Quota_tbl[[#This Row],[Period_Start_Date]],Dim_Date!A:A,Dim_Date!H:H)</f>
        <v>Aug 2025</v>
      </c>
    </row>
    <row r="38" spans="1:10" ht="15" customHeight="1" x14ac:dyDescent="0.2">
      <c r="A38" t="s">
        <v>177</v>
      </c>
      <c r="B38" s="49">
        <v>45901</v>
      </c>
      <c r="C38">
        <v>5</v>
      </c>
      <c r="D38" s="33">
        <v>32100</v>
      </c>
      <c r="E38" t="str">
        <f>_xlfn.XLOOKUP(Quota_tbl[[#This Row],[Rep_ID]],Dim_Reps!A:A,Dim_Reps!K:K)</f>
        <v>USD</v>
      </c>
      <c r="F38" s="33">
        <f>(_xlfn.XLOOKUP(Quota_tbl[[#This Row],[Rate_Code_Generalized]],Lookups!A:A,Lookups!B:B)*Quota_tbl[[#This Row],[Quota_Amount_USD]])</f>
        <v>37374.03</v>
      </c>
      <c r="G38" t="str">
        <f>_xlfn.XLOOKUP(Quota_tbl[[#This Row],[Rep_ID]],Dim_Reps!A:A,Dim_Reps!C:C)</f>
        <v>Enterprise AE</v>
      </c>
      <c r="H38" t="str">
        <f>_xlfn.XLOOKUP(Quota_tbl[[#This Row],[Rep_ID]],Dim_Reps!A:A,Dim_Reps!D:D)</f>
        <v>Enterprise</v>
      </c>
      <c r="I38" t="str">
        <f>_xlfn.XLOOKUP(Quota_tbl[[#This Row],[Rep_ID]],Dim_Reps!A:A,Dim_Reps!E:E)</f>
        <v>NAMER</v>
      </c>
      <c r="J38" t="str">
        <f>_xlfn.XLOOKUP(Quota_tbl[[#This Row],[Period_Start_Date]],Dim_Date!A:A,Dim_Date!H:H)</f>
        <v>Sep 2025</v>
      </c>
    </row>
    <row r="39" spans="1:10" ht="15" customHeight="1" x14ac:dyDescent="0.2">
      <c r="A39" t="s">
        <v>177</v>
      </c>
      <c r="B39" s="49">
        <v>45931</v>
      </c>
      <c r="C39">
        <v>6</v>
      </c>
      <c r="D39" s="33">
        <v>31700</v>
      </c>
      <c r="E39" t="str">
        <f>_xlfn.XLOOKUP(Quota_tbl[[#This Row],[Rep_ID]],Dim_Reps!A:A,Dim_Reps!K:K)</f>
        <v>USD</v>
      </c>
      <c r="F39" s="33">
        <f>(_xlfn.XLOOKUP(Quota_tbl[[#This Row],[Rate_Code_Generalized]],Lookups!A:A,Lookups!B:B)*Quota_tbl[[#This Row],[Quota_Amount_USD]])</f>
        <v>36908.31</v>
      </c>
      <c r="G39" t="str">
        <f>_xlfn.XLOOKUP(Quota_tbl[[#This Row],[Rep_ID]],Dim_Reps!A:A,Dim_Reps!C:C)</f>
        <v>Enterprise AE</v>
      </c>
      <c r="H39" t="str">
        <f>_xlfn.XLOOKUP(Quota_tbl[[#This Row],[Rep_ID]],Dim_Reps!A:A,Dim_Reps!D:D)</f>
        <v>Enterprise</v>
      </c>
      <c r="I39" t="str">
        <f>_xlfn.XLOOKUP(Quota_tbl[[#This Row],[Rep_ID]],Dim_Reps!A:A,Dim_Reps!E:E)</f>
        <v>NAMER</v>
      </c>
      <c r="J39" t="str">
        <f>_xlfn.XLOOKUP(Quota_tbl[[#This Row],[Period_Start_Date]],Dim_Date!A:A,Dim_Date!H:H)</f>
        <v>Oct 2025</v>
      </c>
    </row>
    <row r="40" spans="1:10" ht="15" customHeight="1" x14ac:dyDescent="0.2">
      <c r="A40" t="s">
        <v>177</v>
      </c>
      <c r="B40" s="49">
        <v>45962</v>
      </c>
      <c r="C40">
        <v>7</v>
      </c>
      <c r="D40" s="33">
        <v>32100</v>
      </c>
      <c r="E40" t="str">
        <f>_xlfn.XLOOKUP(Quota_tbl[[#This Row],[Rep_ID]],Dim_Reps!A:A,Dim_Reps!K:K)</f>
        <v>USD</v>
      </c>
      <c r="F40" s="33">
        <f>(_xlfn.XLOOKUP(Quota_tbl[[#This Row],[Rate_Code_Generalized]],Lookups!A:A,Lookups!B:B)*Quota_tbl[[#This Row],[Quota_Amount_USD]])</f>
        <v>37374.03</v>
      </c>
      <c r="G40" t="str">
        <f>_xlfn.XLOOKUP(Quota_tbl[[#This Row],[Rep_ID]],Dim_Reps!A:A,Dim_Reps!C:C)</f>
        <v>Enterprise AE</v>
      </c>
      <c r="H40" t="str">
        <f>_xlfn.XLOOKUP(Quota_tbl[[#This Row],[Rep_ID]],Dim_Reps!A:A,Dim_Reps!D:D)</f>
        <v>Enterprise</v>
      </c>
      <c r="I40" t="str">
        <f>_xlfn.XLOOKUP(Quota_tbl[[#This Row],[Rep_ID]],Dim_Reps!A:A,Dim_Reps!E:E)</f>
        <v>NAMER</v>
      </c>
      <c r="J40" t="str">
        <f>_xlfn.XLOOKUP(Quota_tbl[[#This Row],[Period_Start_Date]],Dim_Date!A:A,Dim_Date!H:H)</f>
        <v>Nov 2025</v>
      </c>
    </row>
    <row r="41" spans="1:10" ht="15" customHeight="1" x14ac:dyDescent="0.2">
      <c r="A41" t="s">
        <v>177</v>
      </c>
      <c r="B41" s="49">
        <v>45992</v>
      </c>
      <c r="C41">
        <v>8</v>
      </c>
      <c r="D41" s="33">
        <v>30100</v>
      </c>
      <c r="E41" t="str">
        <f>_xlfn.XLOOKUP(Quota_tbl[[#This Row],[Rep_ID]],Dim_Reps!A:A,Dim_Reps!K:K)</f>
        <v>USD</v>
      </c>
      <c r="F41" s="33">
        <f>(_xlfn.XLOOKUP(Quota_tbl[[#This Row],[Rate_Code_Generalized]],Lookups!A:A,Lookups!B:B)*Quota_tbl[[#This Row],[Quota_Amount_USD]])</f>
        <v>35045.43</v>
      </c>
      <c r="G41" t="str">
        <f>_xlfn.XLOOKUP(Quota_tbl[[#This Row],[Rep_ID]],Dim_Reps!A:A,Dim_Reps!C:C)</f>
        <v>Enterprise AE</v>
      </c>
      <c r="H41" t="str">
        <f>_xlfn.XLOOKUP(Quota_tbl[[#This Row],[Rep_ID]],Dim_Reps!A:A,Dim_Reps!D:D)</f>
        <v>Enterprise</v>
      </c>
      <c r="I41" t="str">
        <f>_xlfn.XLOOKUP(Quota_tbl[[#This Row],[Rep_ID]],Dim_Reps!A:A,Dim_Reps!E:E)</f>
        <v>NAMER</v>
      </c>
      <c r="J41" t="str">
        <f>_xlfn.XLOOKUP(Quota_tbl[[#This Row],[Period_Start_Date]],Dim_Date!A:A,Dim_Date!H:H)</f>
        <v>Dec 2025</v>
      </c>
    </row>
    <row r="42" spans="1:10" ht="15" customHeight="1" x14ac:dyDescent="0.2">
      <c r="A42" t="s">
        <v>243</v>
      </c>
      <c r="B42" s="49">
        <v>45292</v>
      </c>
      <c r="C42">
        <v>8</v>
      </c>
      <c r="D42" s="33">
        <v>21900</v>
      </c>
      <c r="E42" t="str">
        <f>_xlfn.XLOOKUP(Quota_tbl[[#This Row],[Rep_ID]],Dim_Reps!A:A,Dim_Reps!K:K)</f>
        <v>MXN</v>
      </c>
      <c r="F42" s="33">
        <f>(_xlfn.XLOOKUP(Quota_tbl[[#This Row],[Rate_Code_Generalized]],Lookups!A:A,Lookups!B:B)*Quota_tbl[[#This Row],[Quota_Amount_USD]])</f>
        <v>432146.13</v>
      </c>
      <c r="G42" t="str">
        <f>_xlfn.XLOOKUP(Quota_tbl[[#This Row],[Rep_ID]],Dim_Reps!A:A,Dim_Reps!C:C)</f>
        <v>Mid-Market AE</v>
      </c>
      <c r="H42" t="str">
        <f>_xlfn.XLOOKUP(Quota_tbl[[#This Row],[Rep_ID]],Dim_Reps!A:A,Dim_Reps!D:D)</f>
        <v>Mid-Market</v>
      </c>
      <c r="I42" t="str">
        <f>_xlfn.XLOOKUP(Quota_tbl[[#This Row],[Rep_ID]],Dim_Reps!A:A,Dim_Reps!E:E)</f>
        <v>LATAM</v>
      </c>
      <c r="J42" t="str">
        <f>_xlfn.XLOOKUP(Quota_tbl[[#This Row],[Period_Start_Date]],Dim_Date!A:A,Dim_Date!H:H)</f>
        <v>Jan 2024</v>
      </c>
    </row>
    <row r="43" spans="1:10" ht="15" customHeight="1" x14ac:dyDescent="0.2">
      <c r="A43" t="s">
        <v>243</v>
      </c>
      <c r="B43" s="49">
        <v>45323</v>
      </c>
      <c r="C43">
        <v>9</v>
      </c>
      <c r="D43" s="33">
        <v>22200</v>
      </c>
      <c r="E43" t="str">
        <f>_xlfn.XLOOKUP(Quota_tbl[[#This Row],[Rep_ID]],Dim_Reps!A:A,Dim_Reps!K:K)</f>
        <v>MXN</v>
      </c>
      <c r="F43" s="33">
        <f>(_xlfn.XLOOKUP(Quota_tbl[[#This Row],[Rate_Code_Generalized]],Lookups!A:A,Lookups!B:B)*Quota_tbl[[#This Row],[Quota_Amount_USD]])</f>
        <v>438065.94</v>
      </c>
      <c r="G43" t="str">
        <f>_xlfn.XLOOKUP(Quota_tbl[[#This Row],[Rep_ID]],Dim_Reps!A:A,Dim_Reps!C:C)</f>
        <v>Mid-Market AE</v>
      </c>
      <c r="H43" t="str">
        <f>_xlfn.XLOOKUP(Quota_tbl[[#This Row],[Rep_ID]],Dim_Reps!A:A,Dim_Reps!D:D)</f>
        <v>Mid-Market</v>
      </c>
      <c r="I43" t="str">
        <f>_xlfn.XLOOKUP(Quota_tbl[[#This Row],[Rep_ID]],Dim_Reps!A:A,Dim_Reps!E:E)</f>
        <v>LATAM</v>
      </c>
      <c r="J43" t="str">
        <f>_xlfn.XLOOKUP(Quota_tbl[[#This Row],[Period_Start_Date]],Dim_Date!A:A,Dim_Date!H:H)</f>
        <v>Feb 2024</v>
      </c>
    </row>
    <row r="44" spans="1:10" ht="15" customHeight="1" x14ac:dyDescent="0.2">
      <c r="A44" t="s">
        <v>243</v>
      </c>
      <c r="B44" s="49">
        <v>45352</v>
      </c>
      <c r="C44">
        <v>10</v>
      </c>
      <c r="D44" s="33">
        <v>23000</v>
      </c>
      <c r="E44" t="str">
        <f>_xlfn.XLOOKUP(Quota_tbl[[#This Row],[Rep_ID]],Dim_Reps!A:A,Dim_Reps!K:K)</f>
        <v>MXN</v>
      </c>
      <c r="F44" s="33">
        <f>(_xlfn.XLOOKUP(Quota_tbl[[#This Row],[Rate_Code_Generalized]],Lookups!A:A,Lookups!B:B)*Quota_tbl[[#This Row],[Quota_Amount_USD]])</f>
        <v>453852.10000000003</v>
      </c>
      <c r="G44" t="str">
        <f>_xlfn.XLOOKUP(Quota_tbl[[#This Row],[Rep_ID]],Dim_Reps!A:A,Dim_Reps!C:C)</f>
        <v>Mid-Market AE</v>
      </c>
      <c r="H44" t="str">
        <f>_xlfn.XLOOKUP(Quota_tbl[[#This Row],[Rep_ID]],Dim_Reps!A:A,Dim_Reps!D:D)</f>
        <v>Mid-Market</v>
      </c>
      <c r="I44" t="str">
        <f>_xlfn.XLOOKUP(Quota_tbl[[#This Row],[Rep_ID]],Dim_Reps!A:A,Dim_Reps!E:E)</f>
        <v>LATAM</v>
      </c>
      <c r="J44" t="str">
        <f>_xlfn.XLOOKUP(Quota_tbl[[#This Row],[Period_Start_Date]],Dim_Date!A:A,Dim_Date!H:H)</f>
        <v>Mar 2024</v>
      </c>
    </row>
    <row r="45" spans="1:10" ht="15" customHeight="1" x14ac:dyDescent="0.2">
      <c r="A45" t="s">
        <v>243</v>
      </c>
      <c r="B45" s="49">
        <v>45383</v>
      </c>
      <c r="C45">
        <v>11</v>
      </c>
      <c r="D45" s="33">
        <v>21700</v>
      </c>
      <c r="E45" t="str">
        <f>_xlfn.XLOOKUP(Quota_tbl[[#This Row],[Rep_ID]],Dim_Reps!A:A,Dim_Reps!K:K)</f>
        <v>MXN</v>
      </c>
      <c r="F45" s="33">
        <f>(_xlfn.XLOOKUP(Quota_tbl[[#This Row],[Rate_Code_Generalized]],Lookups!A:A,Lookups!B:B)*Quota_tbl[[#This Row],[Quota_Amount_USD]])</f>
        <v>428199.59</v>
      </c>
      <c r="G45" t="str">
        <f>_xlfn.XLOOKUP(Quota_tbl[[#This Row],[Rep_ID]],Dim_Reps!A:A,Dim_Reps!C:C)</f>
        <v>Mid-Market AE</v>
      </c>
      <c r="H45" t="str">
        <f>_xlfn.XLOOKUP(Quota_tbl[[#This Row],[Rep_ID]],Dim_Reps!A:A,Dim_Reps!D:D)</f>
        <v>Mid-Market</v>
      </c>
      <c r="I45" t="str">
        <f>_xlfn.XLOOKUP(Quota_tbl[[#This Row],[Rep_ID]],Dim_Reps!A:A,Dim_Reps!E:E)</f>
        <v>LATAM</v>
      </c>
      <c r="J45" t="str">
        <f>_xlfn.XLOOKUP(Quota_tbl[[#This Row],[Period_Start_Date]],Dim_Date!A:A,Dim_Date!H:H)</f>
        <v>Apr 2024</v>
      </c>
    </row>
    <row r="46" spans="1:10" ht="15" customHeight="1" x14ac:dyDescent="0.2">
      <c r="A46" t="s">
        <v>243</v>
      </c>
      <c r="B46" s="49">
        <v>45413</v>
      </c>
      <c r="C46">
        <v>12</v>
      </c>
      <c r="D46" s="33">
        <v>21500</v>
      </c>
      <c r="E46" t="str">
        <f>_xlfn.XLOOKUP(Quota_tbl[[#This Row],[Rep_ID]],Dim_Reps!A:A,Dim_Reps!K:K)</f>
        <v>MXN</v>
      </c>
      <c r="F46" s="33">
        <f>(_xlfn.XLOOKUP(Quota_tbl[[#This Row],[Rate_Code_Generalized]],Lookups!A:A,Lookups!B:B)*Quota_tbl[[#This Row],[Quota_Amount_USD]])</f>
        <v>424253.05000000005</v>
      </c>
      <c r="G46" t="str">
        <f>_xlfn.XLOOKUP(Quota_tbl[[#This Row],[Rep_ID]],Dim_Reps!A:A,Dim_Reps!C:C)</f>
        <v>Mid-Market AE</v>
      </c>
      <c r="H46" t="str">
        <f>_xlfn.XLOOKUP(Quota_tbl[[#This Row],[Rep_ID]],Dim_Reps!A:A,Dim_Reps!D:D)</f>
        <v>Mid-Market</v>
      </c>
      <c r="I46" t="str">
        <f>_xlfn.XLOOKUP(Quota_tbl[[#This Row],[Rep_ID]],Dim_Reps!A:A,Dim_Reps!E:E)</f>
        <v>LATAM</v>
      </c>
      <c r="J46" t="str">
        <f>_xlfn.XLOOKUP(Quota_tbl[[#This Row],[Period_Start_Date]],Dim_Date!A:A,Dim_Date!H:H)</f>
        <v>May 2024</v>
      </c>
    </row>
    <row r="47" spans="1:10" ht="15" customHeight="1" x14ac:dyDescent="0.2">
      <c r="A47" t="s">
        <v>243</v>
      </c>
      <c r="B47" s="49">
        <v>45444</v>
      </c>
      <c r="C47">
        <v>13</v>
      </c>
      <c r="D47" s="33">
        <v>21700</v>
      </c>
      <c r="E47" t="str">
        <f>_xlfn.XLOOKUP(Quota_tbl[[#This Row],[Rep_ID]],Dim_Reps!A:A,Dim_Reps!K:K)</f>
        <v>MXN</v>
      </c>
      <c r="F47" s="33">
        <f>(_xlfn.XLOOKUP(Quota_tbl[[#This Row],[Rate_Code_Generalized]],Lookups!A:A,Lookups!B:B)*Quota_tbl[[#This Row],[Quota_Amount_USD]])</f>
        <v>428199.59</v>
      </c>
      <c r="G47" t="str">
        <f>_xlfn.XLOOKUP(Quota_tbl[[#This Row],[Rep_ID]],Dim_Reps!A:A,Dim_Reps!C:C)</f>
        <v>Mid-Market AE</v>
      </c>
      <c r="H47" t="str">
        <f>_xlfn.XLOOKUP(Quota_tbl[[#This Row],[Rep_ID]],Dim_Reps!A:A,Dim_Reps!D:D)</f>
        <v>Mid-Market</v>
      </c>
      <c r="I47" t="str">
        <f>_xlfn.XLOOKUP(Quota_tbl[[#This Row],[Rep_ID]],Dim_Reps!A:A,Dim_Reps!E:E)</f>
        <v>LATAM</v>
      </c>
      <c r="J47" t="str">
        <f>_xlfn.XLOOKUP(Quota_tbl[[#This Row],[Period_Start_Date]],Dim_Date!A:A,Dim_Date!H:H)</f>
        <v>Jun 2024</v>
      </c>
    </row>
    <row r="48" spans="1:10" ht="15" customHeight="1" x14ac:dyDescent="0.2">
      <c r="A48" t="s">
        <v>243</v>
      </c>
      <c r="B48" s="49">
        <v>45474</v>
      </c>
      <c r="C48">
        <v>14</v>
      </c>
      <c r="D48" s="33">
        <v>22600</v>
      </c>
      <c r="E48" t="str">
        <f>_xlfn.XLOOKUP(Quota_tbl[[#This Row],[Rep_ID]],Dim_Reps!A:A,Dim_Reps!K:K)</f>
        <v>MXN</v>
      </c>
      <c r="F48" s="33">
        <f>(_xlfn.XLOOKUP(Quota_tbl[[#This Row],[Rate_Code_Generalized]],Lookups!A:A,Lookups!B:B)*Quota_tbl[[#This Row],[Quota_Amount_USD]])</f>
        <v>445959.02</v>
      </c>
      <c r="G48" t="str">
        <f>_xlfn.XLOOKUP(Quota_tbl[[#This Row],[Rep_ID]],Dim_Reps!A:A,Dim_Reps!C:C)</f>
        <v>Mid-Market AE</v>
      </c>
      <c r="H48" t="str">
        <f>_xlfn.XLOOKUP(Quota_tbl[[#This Row],[Rep_ID]],Dim_Reps!A:A,Dim_Reps!D:D)</f>
        <v>Mid-Market</v>
      </c>
      <c r="I48" t="str">
        <f>_xlfn.XLOOKUP(Quota_tbl[[#This Row],[Rep_ID]],Dim_Reps!A:A,Dim_Reps!E:E)</f>
        <v>LATAM</v>
      </c>
      <c r="J48" t="str">
        <f>_xlfn.XLOOKUP(Quota_tbl[[#This Row],[Period_Start_Date]],Dim_Date!A:A,Dim_Date!H:H)</f>
        <v>Jul 2024</v>
      </c>
    </row>
    <row r="49" spans="1:10" ht="15" customHeight="1" x14ac:dyDescent="0.2">
      <c r="A49" t="s">
        <v>243</v>
      </c>
      <c r="B49" s="49">
        <v>45505</v>
      </c>
      <c r="C49">
        <v>15</v>
      </c>
      <c r="D49" s="33">
        <v>22200</v>
      </c>
      <c r="E49" t="str">
        <f>_xlfn.XLOOKUP(Quota_tbl[[#This Row],[Rep_ID]],Dim_Reps!A:A,Dim_Reps!K:K)</f>
        <v>MXN</v>
      </c>
      <c r="F49" s="33">
        <f>(_xlfn.XLOOKUP(Quota_tbl[[#This Row],[Rate_Code_Generalized]],Lookups!A:A,Lookups!B:B)*Quota_tbl[[#This Row],[Quota_Amount_USD]])</f>
        <v>438065.94</v>
      </c>
      <c r="G49" t="str">
        <f>_xlfn.XLOOKUP(Quota_tbl[[#This Row],[Rep_ID]],Dim_Reps!A:A,Dim_Reps!C:C)</f>
        <v>Mid-Market AE</v>
      </c>
      <c r="H49" t="str">
        <f>_xlfn.XLOOKUP(Quota_tbl[[#This Row],[Rep_ID]],Dim_Reps!A:A,Dim_Reps!D:D)</f>
        <v>Mid-Market</v>
      </c>
      <c r="I49" t="str">
        <f>_xlfn.XLOOKUP(Quota_tbl[[#This Row],[Rep_ID]],Dim_Reps!A:A,Dim_Reps!E:E)</f>
        <v>LATAM</v>
      </c>
      <c r="J49" t="str">
        <f>_xlfn.XLOOKUP(Quota_tbl[[#This Row],[Period_Start_Date]],Dim_Date!A:A,Dim_Date!H:H)</f>
        <v>Aug 2024</v>
      </c>
    </row>
    <row r="50" spans="1:10" ht="15" customHeight="1" x14ac:dyDescent="0.2">
      <c r="A50" t="s">
        <v>243</v>
      </c>
      <c r="B50" s="49">
        <v>45536</v>
      </c>
      <c r="C50">
        <v>16</v>
      </c>
      <c r="D50" s="33">
        <v>21700</v>
      </c>
      <c r="E50" t="str">
        <f>_xlfn.XLOOKUP(Quota_tbl[[#This Row],[Rep_ID]],Dim_Reps!A:A,Dim_Reps!K:K)</f>
        <v>MXN</v>
      </c>
      <c r="F50" s="33">
        <f>(_xlfn.XLOOKUP(Quota_tbl[[#This Row],[Rate_Code_Generalized]],Lookups!A:A,Lookups!B:B)*Quota_tbl[[#This Row],[Quota_Amount_USD]])</f>
        <v>428199.59</v>
      </c>
      <c r="G50" t="str">
        <f>_xlfn.XLOOKUP(Quota_tbl[[#This Row],[Rep_ID]],Dim_Reps!A:A,Dim_Reps!C:C)</f>
        <v>Mid-Market AE</v>
      </c>
      <c r="H50" t="str">
        <f>_xlfn.XLOOKUP(Quota_tbl[[#This Row],[Rep_ID]],Dim_Reps!A:A,Dim_Reps!D:D)</f>
        <v>Mid-Market</v>
      </c>
      <c r="I50" t="str">
        <f>_xlfn.XLOOKUP(Quota_tbl[[#This Row],[Rep_ID]],Dim_Reps!A:A,Dim_Reps!E:E)</f>
        <v>LATAM</v>
      </c>
      <c r="J50" t="str">
        <f>_xlfn.XLOOKUP(Quota_tbl[[#This Row],[Period_Start_Date]],Dim_Date!A:A,Dim_Date!H:H)</f>
        <v>Sep 2024</v>
      </c>
    </row>
    <row r="51" spans="1:10" ht="15" customHeight="1" x14ac:dyDescent="0.2">
      <c r="A51" t="s">
        <v>243</v>
      </c>
      <c r="B51" s="49">
        <v>45566</v>
      </c>
      <c r="C51">
        <v>17</v>
      </c>
      <c r="D51" s="33">
        <v>22300</v>
      </c>
      <c r="E51" t="str">
        <f>_xlfn.XLOOKUP(Quota_tbl[[#This Row],[Rep_ID]],Dim_Reps!A:A,Dim_Reps!K:K)</f>
        <v>MXN</v>
      </c>
      <c r="F51" s="33">
        <f>(_xlfn.XLOOKUP(Quota_tbl[[#This Row],[Rate_Code_Generalized]],Lookups!A:A,Lookups!B:B)*Quota_tbl[[#This Row],[Quota_Amount_USD]])</f>
        <v>440039.21</v>
      </c>
      <c r="G51" t="str">
        <f>_xlfn.XLOOKUP(Quota_tbl[[#This Row],[Rep_ID]],Dim_Reps!A:A,Dim_Reps!C:C)</f>
        <v>Mid-Market AE</v>
      </c>
      <c r="H51" t="str">
        <f>_xlfn.XLOOKUP(Quota_tbl[[#This Row],[Rep_ID]],Dim_Reps!A:A,Dim_Reps!D:D)</f>
        <v>Mid-Market</v>
      </c>
      <c r="I51" t="str">
        <f>_xlfn.XLOOKUP(Quota_tbl[[#This Row],[Rep_ID]],Dim_Reps!A:A,Dim_Reps!E:E)</f>
        <v>LATAM</v>
      </c>
      <c r="J51" t="str">
        <f>_xlfn.XLOOKUP(Quota_tbl[[#This Row],[Period_Start_Date]],Dim_Date!A:A,Dim_Date!H:H)</f>
        <v>Oct 2024</v>
      </c>
    </row>
    <row r="52" spans="1:10" ht="15" customHeight="1" x14ac:dyDescent="0.2">
      <c r="A52" t="s">
        <v>243</v>
      </c>
      <c r="B52" s="49">
        <v>45597</v>
      </c>
      <c r="C52">
        <v>18</v>
      </c>
      <c r="D52" s="33">
        <v>22100</v>
      </c>
      <c r="E52" t="str">
        <f>_xlfn.XLOOKUP(Quota_tbl[[#This Row],[Rep_ID]],Dim_Reps!A:A,Dim_Reps!K:K)</f>
        <v>MXN</v>
      </c>
      <c r="F52" s="33">
        <f>(_xlfn.XLOOKUP(Quota_tbl[[#This Row],[Rate_Code_Generalized]],Lookups!A:A,Lookups!B:B)*Quota_tbl[[#This Row],[Quota_Amount_USD]])</f>
        <v>436092.67000000004</v>
      </c>
      <c r="G52" t="str">
        <f>_xlfn.XLOOKUP(Quota_tbl[[#This Row],[Rep_ID]],Dim_Reps!A:A,Dim_Reps!C:C)</f>
        <v>Mid-Market AE</v>
      </c>
      <c r="H52" t="str">
        <f>_xlfn.XLOOKUP(Quota_tbl[[#This Row],[Rep_ID]],Dim_Reps!A:A,Dim_Reps!D:D)</f>
        <v>Mid-Market</v>
      </c>
      <c r="I52" t="str">
        <f>_xlfn.XLOOKUP(Quota_tbl[[#This Row],[Rep_ID]],Dim_Reps!A:A,Dim_Reps!E:E)</f>
        <v>LATAM</v>
      </c>
      <c r="J52" t="str">
        <f>_xlfn.XLOOKUP(Quota_tbl[[#This Row],[Period_Start_Date]],Dim_Date!A:A,Dim_Date!H:H)</f>
        <v>Nov 2024</v>
      </c>
    </row>
    <row r="53" spans="1:10" ht="15" customHeight="1" x14ac:dyDescent="0.2">
      <c r="A53" t="s">
        <v>243</v>
      </c>
      <c r="B53" s="49">
        <v>45627</v>
      </c>
      <c r="C53">
        <v>19</v>
      </c>
      <c r="D53" s="33">
        <v>22600</v>
      </c>
      <c r="E53" t="str">
        <f>_xlfn.XLOOKUP(Quota_tbl[[#This Row],[Rep_ID]],Dim_Reps!A:A,Dim_Reps!K:K)</f>
        <v>MXN</v>
      </c>
      <c r="F53" s="33">
        <f>(_xlfn.XLOOKUP(Quota_tbl[[#This Row],[Rate_Code_Generalized]],Lookups!A:A,Lookups!B:B)*Quota_tbl[[#This Row],[Quota_Amount_USD]])</f>
        <v>445959.02</v>
      </c>
      <c r="G53" t="str">
        <f>_xlfn.XLOOKUP(Quota_tbl[[#This Row],[Rep_ID]],Dim_Reps!A:A,Dim_Reps!C:C)</f>
        <v>Mid-Market AE</v>
      </c>
      <c r="H53" t="str">
        <f>_xlfn.XLOOKUP(Quota_tbl[[#This Row],[Rep_ID]],Dim_Reps!A:A,Dim_Reps!D:D)</f>
        <v>Mid-Market</v>
      </c>
      <c r="I53" t="str">
        <f>_xlfn.XLOOKUP(Quota_tbl[[#This Row],[Rep_ID]],Dim_Reps!A:A,Dim_Reps!E:E)</f>
        <v>LATAM</v>
      </c>
      <c r="J53" t="str">
        <f>_xlfn.XLOOKUP(Quota_tbl[[#This Row],[Period_Start_Date]],Dim_Date!A:A,Dim_Date!H:H)</f>
        <v>Dec 2024</v>
      </c>
    </row>
    <row r="54" spans="1:10" ht="15" customHeight="1" x14ac:dyDescent="0.2">
      <c r="A54" t="s">
        <v>243</v>
      </c>
      <c r="B54" s="49">
        <v>45658</v>
      </c>
      <c r="C54">
        <v>20</v>
      </c>
      <c r="D54" s="33">
        <v>21500</v>
      </c>
      <c r="E54" t="str">
        <f>_xlfn.XLOOKUP(Quota_tbl[[#This Row],[Rep_ID]],Dim_Reps!A:A,Dim_Reps!K:K)</f>
        <v>MXN</v>
      </c>
      <c r="F54" s="33">
        <f>(_xlfn.XLOOKUP(Quota_tbl[[#This Row],[Rate_Code_Generalized]],Lookups!A:A,Lookups!B:B)*Quota_tbl[[#This Row],[Quota_Amount_USD]])</f>
        <v>424253.05000000005</v>
      </c>
      <c r="G54" t="str">
        <f>_xlfn.XLOOKUP(Quota_tbl[[#This Row],[Rep_ID]],Dim_Reps!A:A,Dim_Reps!C:C)</f>
        <v>Mid-Market AE</v>
      </c>
      <c r="H54" t="str">
        <f>_xlfn.XLOOKUP(Quota_tbl[[#This Row],[Rep_ID]],Dim_Reps!A:A,Dim_Reps!D:D)</f>
        <v>Mid-Market</v>
      </c>
      <c r="I54" t="str">
        <f>_xlfn.XLOOKUP(Quota_tbl[[#This Row],[Rep_ID]],Dim_Reps!A:A,Dim_Reps!E:E)</f>
        <v>LATAM</v>
      </c>
      <c r="J54" t="str">
        <f>_xlfn.XLOOKUP(Quota_tbl[[#This Row],[Period_Start_Date]],Dim_Date!A:A,Dim_Date!H:H)</f>
        <v>Jan 2025</v>
      </c>
    </row>
    <row r="55" spans="1:10" ht="15" customHeight="1" x14ac:dyDescent="0.2">
      <c r="A55" t="s">
        <v>243</v>
      </c>
      <c r="B55" s="49">
        <v>45689</v>
      </c>
      <c r="C55">
        <v>21</v>
      </c>
      <c r="D55" s="33">
        <v>21800</v>
      </c>
      <c r="E55" t="str">
        <f>_xlfn.XLOOKUP(Quota_tbl[[#This Row],[Rep_ID]],Dim_Reps!A:A,Dim_Reps!K:K)</f>
        <v>MXN</v>
      </c>
      <c r="F55" s="33">
        <f>(_xlfn.XLOOKUP(Quota_tbl[[#This Row],[Rate_Code_Generalized]],Lookups!A:A,Lookups!B:B)*Quota_tbl[[#This Row],[Quota_Amount_USD]])</f>
        <v>430172.86000000004</v>
      </c>
      <c r="G55" t="str">
        <f>_xlfn.XLOOKUP(Quota_tbl[[#This Row],[Rep_ID]],Dim_Reps!A:A,Dim_Reps!C:C)</f>
        <v>Mid-Market AE</v>
      </c>
      <c r="H55" t="str">
        <f>_xlfn.XLOOKUP(Quota_tbl[[#This Row],[Rep_ID]],Dim_Reps!A:A,Dim_Reps!D:D)</f>
        <v>Mid-Market</v>
      </c>
      <c r="I55" t="str">
        <f>_xlfn.XLOOKUP(Quota_tbl[[#This Row],[Rep_ID]],Dim_Reps!A:A,Dim_Reps!E:E)</f>
        <v>LATAM</v>
      </c>
      <c r="J55" t="str">
        <f>_xlfn.XLOOKUP(Quota_tbl[[#This Row],[Period_Start_Date]],Dim_Date!A:A,Dim_Date!H:H)</f>
        <v>Feb 2025</v>
      </c>
    </row>
    <row r="56" spans="1:10" ht="15" customHeight="1" x14ac:dyDescent="0.2">
      <c r="A56" t="s">
        <v>243</v>
      </c>
      <c r="B56" s="49">
        <v>45717</v>
      </c>
      <c r="C56">
        <v>22</v>
      </c>
      <c r="D56" s="33">
        <v>21700</v>
      </c>
      <c r="E56" t="str">
        <f>_xlfn.XLOOKUP(Quota_tbl[[#This Row],[Rep_ID]],Dim_Reps!A:A,Dim_Reps!K:K)</f>
        <v>MXN</v>
      </c>
      <c r="F56" s="33">
        <f>(_xlfn.XLOOKUP(Quota_tbl[[#This Row],[Rate_Code_Generalized]],Lookups!A:A,Lookups!B:B)*Quota_tbl[[#This Row],[Quota_Amount_USD]])</f>
        <v>428199.59</v>
      </c>
      <c r="G56" t="str">
        <f>_xlfn.XLOOKUP(Quota_tbl[[#This Row],[Rep_ID]],Dim_Reps!A:A,Dim_Reps!C:C)</f>
        <v>Mid-Market AE</v>
      </c>
      <c r="H56" t="str">
        <f>_xlfn.XLOOKUP(Quota_tbl[[#This Row],[Rep_ID]],Dim_Reps!A:A,Dim_Reps!D:D)</f>
        <v>Mid-Market</v>
      </c>
      <c r="I56" t="str">
        <f>_xlfn.XLOOKUP(Quota_tbl[[#This Row],[Rep_ID]],Dim_Reps!A:A,Dim_Reps!E:E)</f>
        <v>LATAM</v>
      </c>
      <c r="J56" t="str">
        <f>_xlfn.XLOOKUP(Quota_tbl[[#This Row],[Period_Start_Date]],Dim_Date!A:A,Dim_Date!H:H)</f>
        <v>Mar 2025</v>
      </c>
    </row>
    <row r="57" spans="1:10" ht="15" customHeight="1" x14ac:dyDescent="0.2">
      <c r="A57" t="s">
        <v>243</v>
      </c>
      <c r="B57" s="49">
        <v>45748</v>
      </c>
      <c r="C57">
        <v>23</v>
      </c>
      <c r="D57" s="33">
        <v>21000</v>
      </c>
      <c r="E57" t="str">
        <f>_xlfn.XLOOKUP(Quota_tbl[[#This Row],[Rep_ID]],Dim_Reps!A:A,Dim_Reps!K:K)</f>
        <v>MXN</v>
      </c>
      <c r="F57" s="33">
        <f>(_xlfn.XLOOKUP(Quota_tbl[[#This Row],[Rate_Code_Generalized]],Lookups!A:A,Lookups!B:B)*Quota_tbl[[#This Row],[Quota_Amount_USD]])</f>
        <v>414386.7</v>
      </c>
      <c r="G57" t="str">
        <f>_xlfn.XLOOKUP(Quota_tbl[[#This Row],[Rep_ID]],Dim_Reps!A:A,Dim_Reps!C:C)</f>
        <v>Mid-Market AE</v>
      </c>
      <c r="H57" t="str">
        <f>_xlfn.XLOOKUP(Quota_tbl[[#This Row],[Rep_ID]],Dim_Reps!A:A,Dim_Reps!D:D)</f>
        <v>Mid-Market</v>
      </c>
      <c r="I57" t="str">
        <f>_xlfn.XLOOKUP(Quota_tbl[[#This Row],[Rep_ID]],Dim_Reps!A:A,Dim_Reps!E:E)</f>
        <v>LATAM</v>
      </c>
      <c r="J57" t="str">
        <f>_xlfn.XLOOKUP(Quota_tbl[[#This Row],[Period_Start_Date]],Dim_Date!A:A,Dim_Date!H:H)</f>
        <v>Apr 2025</v>
      </c>
    </row>
    <row r="58" spans="1:10" ht="15" customHeight="1" x14ac:dyDescent="0.2">
      <c r="A58" t="s">
        <v>243</v>
      </c>
      <c r="B58" s="49">
        <v>45778</v>
      </c>
      <c r="C58">
        <v>24</v>
      </c>
      <c r="D58" s="33">
        <v>22200</v>
      </c>
      <c r="E58" t="str">
        <f>_xlfn.XLOOKUP(Quota_tbl[[#This Row],[Rep_ID]],Dim_Reps!A:A,Dim_Reps!K:K)</f>
        <v>MXN</v>
      </c>
      <c r="F58" s="33">
        <f>(_xlfn.XLOOKUP(Quota_tbl[[#This Row],[Rate_Code_Generalized]],Lookups!A:A,Lookups!B:B)*Quota_tbl[[#This Row],[Quota_Amount_USD]])</f>
        <v>438065.94</v>
      </c>
      <c r="G58" t="str">
        <f>_xlfn.XLOOKUP(Quota_tbl[[#This Row],[Rep_ID]],Dim_Reps!A:A,Dim_Reps!C:C)</f>
        <v>Mid-Market AE</v>
      </c>
      <c r="H58" t="str">
        <f>_xlfn.XLOOKUP(Quota_tbl[[#This Row],[Rep_ID]],Dim_Reps!A:A,Dim_Reps!D:D)</f>
        <v>Mid-Market</v>
      </c>
      <c r="I58" t="str">
        <f>_xlfn.XLOOKUP(Quota_tbl[[#This Row],[Rep_ID]],Dim_Reps!A:A,Dim_Reps!E:E)</f>
        <v>LATAM</v>
      </c>
      <c r="J58" t="str">
        <f>_xlfn.XLOOKUP(Quota_tbl[[#This Row],[Period_Start_Date]],Dim_Date!A:A,Dim_Date!H:H)</f>
        <v>May 2025</v>
      </c>
    </row>
    <row r="59" spans="1:10" ht="15" customHeight="1" x14ac:dyDescent="0.2">
      <c r="A59" t="s">
        <v>243</v>
      </c>
      <c r="B59" s="49">
        <v>45809</v>
      </c>
      <c r="C59">
        <v>25</v>
      </c>
      <c r="D59" s="33">
        <v>22200</v>
      </c>
      <c r="E59" t="str">
        <f>_xlfn.XLOOKUP(Quota_tbl[[#This Row],[Rep_ID]],Dim_Reps!A:A,Dim_Reps!K:K)</f>
        <v>MXN</v>
      </c>
      <c r="F59" s="33">
        <f>(_xlfn.XLOOKUP(Quota_tbl[[#This Row],[Rate_Code_Generalized]],Lookups!A:A,Lookups!B:B)*Quota_tbl[[#This Row],[Quota_Amount_USD]])</f>
        <v>438065.94</v>
      </c>
      <c r="G59" t="str">
        <f>_xlfn.XLOOKUP(Quota_tbl[[#This Row],[Rep_ID]],Dim_Reps!A:A,Dim_Reps!C:C)</f>
        <v>Mid-Market AE</v>
      </c>
      <c r="H59" t="str">
        <f>_xlfn.XLOOKUP(Quota_tbl[[#This Row],[Rep_ID]],Dim_Reps!A:A,Dim_Reps!D:D)</f>
        <v>Mid-Market</v>
      </c>
      <c r="I59" t="str">
        <f>_xlfn.XLOOKUP(Quota_tbl[[#This Row],[Rep_ID]],Dim_Reps!A:A,Dim_Reps!E:E)</f>
        <v>LATAM</v>
      </c>
      <c r="J59" t="str">
        <f>_xlfn.XLOOKUP(Quota_tbl[[#This Row],[Period_Start_Date]],Dim_Date!A:A,Dim_Date!H:H)</f>
        <v>Jun 2025</v>
      </c>
    </row>
    <row r="60" spans="1:10" ht="15" customHeight="1" x14ac:dyDescent="0.2">
      <c r="A60" t="s">
        <v>243</v>
      </c>
      <c r="B60" s="49">
        <v>45839</v>
      </c>
      <c r="C60">
        <v>26</v>
      </c>
      <c r="D60" s="33">
        <v>22000</v>
      </c>
      <c r="E60" t="str">
        <f>_xlfn.XLOOKUP(Quota_tbl[[#This Row],[Rep_ID]],Dim_Reps!A:A,Dim_Reps!K:K)</f>
        <v>MXN</v>
      </c>
      <c r="F60" s="33">
        <f>(_xlfn.XLOOKUP(Quota_tbl[[#This Row],[Rate_Code_Generalized]],Lookups!A:A,Lookups!B:B)*Quota_tbl[[#This Row],[Quota_Amount_USD]])</f>
        <v>434119.4</v>
      </c>
      <c r="G60" t="str">
        <f>_xlfn.XLOOKUP(Quota_tbl[[#This Row],[Rep_ID]],Dim_Reps!A:A,Dim_Reps!C:C)</f>
        <v>Mid-Market AE</v>
      </c>
      <c r="H60" t="str">
        <f>_xlfn.XLOOKUP(Quota_tbl[[#This Row],[Rep_ID]],Dim_Reps!A:A,Dim_Reps!D:D)</f>
        <v>Mid-Market</v>
      </c>
      <c r="I60" t="str">
        <f>_xlfn.XLOOKUP(Quota_tbl[[#This Row],[Rep_ID]],Dim_Reps!A:A,Dim_Reps!E:E)</f>
        <v>LATAM</v>
      </c>
      <c r="J60" t="str">
        <f>_xlfn.XLOOKUP(Quota_tbl[[#This Row],[Period_Start_Date]],Dim_Date!A:A,Dim_Date!H:H)</f>
        <v>Jul 2025</v>
      </c>
    </row>
    <row r="61" spans="1:10" ht="15" customHeight="1" x14ac:dyDescent="0.2">
      <c r="A61" t="s">
        <v>243</v>
      </c>
      <c r="B61" s="49">
        <v>45870</v>
      </c>
      <c r="C61">
        <v>27</v>
      </c>
      <c r="D61" s="33">
        <v>21800</v>
      </c>
      <c r="E61" t="str">
        <f>_xlfn.XLOOKUP(Quota_tbl[[#This Row],[Rep_ID]],Dim_Reps!A:A,Dim_Reps!K:K)</f>
        <v>MXN</v>
      </c>
      <c r="F61" s="33">
        <f>(_xlfn.XLOOKUP(Quota_tbl[[#This Row],[Rate_Code_Generalized]],Lookups!A:A,Lookups!B:B)*Quota_tbl[[#This Row],[Quota_Amount_USD]])</f>
        <v>430172.86000000004</v>
      </c>
      <c r="G61" t="str">
        <f>_xlfn.XLOOKUP(Quota_tbl[[#This Row],[Rep_ID]],Dim_Reps!A:A,Dim_Reps!C:C)</f>
        <v>Mid-Market AE</v>
      </c>
      <c r="H61" t="str">
        <f>_xlfn.XLOOKUP(Quota_tbl[[#This Row],[Rep_ID]],Dim_Reps!A:A,Dim_Reps!D:D)</f>
        <v>Mid-Market</v>
      </c>
      <c r="I61" t="str">
        <f>_xlfn.XLOOKUP(Quota_tbl[[#This Row],[Rep_ID]],Dim_Reps!A:A,Dim_Reps!E:E)</f>
        <v>LATAM</v>
      </c>
      <c r="J61" t="str">
        <f>_xlfn.XLOOKUP(Quota_tbl[[#This Row],[Period_Start_Date]],Dim_Date!A:A,Dim_Date!H:H)</f>
        <v>Aug 2025</v>
      </c>
    </row>
    <row r="62" spans="1:10" ht="15" customHeight="1" x14ac:dyDescent="0.2">
      <c r="A62" t="s">
        <v>243</v>
      </c>
      <c r="B62" s="49">
        <v>45901</v>
      </c>
      <c r="C62">
        <v>28</v>
      </c>
      <c r="D62" s="33">
        <v>21100</v>
      </c>
      <c r="E62" t="str">
        <f>_xlfn.XLOOKUP(Quota_tbl[[#This Row],[Rep_ID]],Dim_Reps!A:A,Dim_Reps!K:K)</f>
        <v>MXN</v>
      </c>
      <c r="F62" s="33">
        <f>(_xlfn.XLOOKUP(Quota_tbl[[#This Row],[Rate_Code_Generalized]],Lookups!A:A,Lookups!B:B)*Quota_tbl[[#This Row],[Quota_Amount_USD]])</f>
        <v>416359.97000000003</v>
      </c>
      <c r="G62" t="str">
        <f>_xlfn.XLOOKUP(Quota_tbl[[#This Row],[Rep_ID]],Dim_Reps!A:A,Dim_Reps!C:C)</f>
        <v>Mid-Market AE</v>
      </c>
      <c r="H62" t="str">
        <f>_xlfn.XLOOKUP(Quota_tbl[[#This Row],[Rep_ID]],Dim_Reps!A:A,Dim_Reps!D:D)</f>
        <v>Mid-Market</v>
      </c>
      <c r="I62" t="str">
        <f>_xlfn.XLOOKUP(Quota_tbl[[#This Row],[Rep_ID]],Dim_Reps!A:A,Dim_Reps!E:E)</f>
        <v>LATAM</v>
      </c>
      <c r="J62" t="str">
        <f>_xlfn.XLOOKUP(Quota_tbl[[#This Row],[Period_Start_Date]],Dim_Date!A:A,Dim_Date!H:H)</f>
        <v>Sep 2025</v>
      </c>
    </row>
    <row r="63" spans="1:10" ht="15" customHeight="1" x14ac:dyDescent="0.2">
      <c r="A63" t="s">
        <v>243</v>
      </c>
      <c r="B63" s="49">
        <v>45931</v>
      </c>
      <c r="C63">
        <v>29</v>
      </c>
      <c r="D63" s="33">
        <v>21700</v>
      </c>
      <c r="E63" t="str">
        <f>_xlfn.XLOOKUP(Quota_tbl[[#This Row],[Rep_ID]],Dim_Reps!A:A,Dim_Reps!K:K)</f>
        <v>MXN</v>
      </c>
      <c r="F63" s="33">
        <f>(_xlfn.XLOOKUP(Quota_tbl[[#This Row],[Rate_Code_Generalized]],Lookups!A:A,Lookups!B:B)*Quota_tbl[[#This Row],[Quota_Amount_USD]])</f>
        <v>428199.59</v>
      </c>
      <c r="G63" t="str">
        <f>_xlfn.XLOOKUP(Quota_tbl[[#This Row],[Rep_ID]],Dim_Reps!A:A,Dim_Reps!C:C)</f>
        <v>Mid-Market AE</v>
      </c>
      <c r="H63" t="str">
        <f>_xlfn.XLOOKUP(Quota_tbl[[#This Row],[Rep_ID]],Dim_Reps!A:A,Dim_Reps!D:D)</f>
        <v>Mid-Market</v>
      </c>
      <c r="I63" t="str">
        <f>_xlfn.XLOOKUP(Quota_tbl[[#This Row],[Rep_ID]],Dim_Reps!A:A,Dim_Reps!E:E)</f>
        <v>LATAM</v>
      </c>
      <c r="J63" t="str">
        <f>_xlfn.XLOOKUP(Quota_tbl[[#This Row],[Period_Start_Date]],Dim_Date!A:A,Dim_Date!H:H)</f>
        <v>Oct 2025</v>
      </c>
    </row>
    <row r="64" spans="1:10" ht="15" customHeight="1" x14ac:dyDescent="0.2">
      <c r="A64" t="s">
        <v>243</v>
      </c>
      <c r="B64" s="49">
        <v>45962</v>
      </c>
      <c r="C64">
        <v>30</v>
      </c>
      <c r="D64" s="33">
        <v>21800</v>
      </c>
      <c r="E64" t="str">
        <f>_xlfn.XLOOKUP(Quota_tbl[[#This Row],[Rep_ID]],Dim_Reps!A:A,Dim_Reps!K:K)</f>
        <v>MXN</v>
      </c>
      <c r="F64" s="33">
        <f>(_xlfn.XLOOKUP(Quota_tbl[[#This Row],[Rate_Code_Generalized]],Lookups!A:A,Lookups!B:B)*Quota_tbl[[#This Row],[Quota_Amount_USD]])</f>
        <v>430172.86000000004</v>
      </c>
      <c r="G64" t="str">
        <f>_xlfn.XLOOKUP(Quota_tbl[[#This Row],[Rep_ID]],Dim_Reps!A:A,Dim_Reps!C:C)</f>
        <v>Mid-Market AE</v>
      </c>
      <c r="H64" t="str">
        <f>_xlfn.XLOOKUP(Quota_tbl[[#This Row],[Rep_ID]],Dim_Reps!A:A,Dim_Reps!D:D)</f>
        <v>Mid-Market</v>
      </c>
      <c r="I64" t="str">
        <f>_xlfn.XLOOKUP(Quota_tbl[[#This Row],[Rep_ID]],Dim_Reps!A:A,Dim_Reps!E:E)</f>
        <v>LATAM</v>
      </c>
      <c r="J64" t="str">
        <f>_xlfn.XLOOKUP(Quota_tbl[[#This Row],[Period_Start_Date]],Dim_Date!A:A,Dim_Date!H:H)</f>
        <v>Nov 2025</v>
      </c>
    </row>
    <row r="65" spans="1:10" ht="15" customHeight="1" x14ac:dyDescent="0.2">
      <c r="A65" t="s">
        <v>243</v>
      </c>
      <c r="B65" s="49">
        <v>45992</v>
      </c>
      <c r="C65">
        <v>31</v>
      </c>
      <c r="D65" s="33">
        <v>21500</v>
      </c>
      <c r="E65" t="str">
        <f>_xlfn.XLOOKUP(Quota_tbl[[#This Row],[Rep_ID]],Dim_Reps!A:A,Dim_Reps!K:K)</f>
        <v>MXN</v>
      </c>
      <c r="F65" s="33">
        <f>(_xlfn.XLOOKUP(Quota_tbl[[#This Row],[Rate_Code_Generalized]],Lookups!A:A,Lookups!B:B)*Quota_tbl[[#This Row],[Quota_Amount_USD]])</f>
        <v>424253.05000000005</v>
      </c>
      <c r="G65" t="str">
        <f>_xlfn.XLOOKUP(Quota_tbl[[#This Row],[Rep_ID]],Dim_Reps!A:A,Dim_Reps!C:C)</f>
        <v>Mid-Market AE</v>
      </c>
      <c r="H65" t="str">
        <f>_xlfn.XLOOKUP(Quota_tbl[[#This Row],[Rep_ID]],Dim_Reps!A:A,Dim_Reps!D:D)</f>
        <v>Mid-Market</v>
      </c>
      <c r="I65" t="str">
        <f>_xlfn.XLOOKUP(Quota_tbl[[#This Row],[Rep_ID]],Dim_Reps!A:A,Dim_Reps!E:E)</f>
        <v>LATAM</v>
      </c>
      <c r="J65" t="str">
        <f>_xlfn.XLOOKUP(Quota_tbl[[#This Row],[Period_Start_Date]],Dim_Date!A:A,Dim_Date!H:H)</f>
        <v>Dec 2025</v>
      </c>
    </row>
    <row r="66" spans="1:10" ht="15" customHeight="1" x14ac:dyDescent="0.2">
      <c r="A66" t="s">
        <v>196</v>
      </c>
      <c r="B66" s="49">
        <v>45474</v>
      </c>
      <c r="C66">
        <v>0</v>
      </c>
      <c r="D66" s="33">
        <v>3900</v>
      </c>
      <c r="E66" t="str">
        <f>_xlfn.XLOOKUP(Quota_tbl[[#This Row],[Rep_ID]],Dim_Reps!A:A,Dim_Reps!K:K)</f>
        <v>EUR</v>
      </c>
      <c r="F66" s="33">
        <f>(_xlfn.XLOOKUP(Quota_tbl[[#This Row],[Rate_Code_Generalized]],Lookups!A:A,Lookups!B:B)*Quota_tbl[[#This Row],[Quota_Amount_USD]])</f>
        <v>3900</v>
      </c>
      <c r="G66" t="str">
        <f>_xlfn.XLOOKUP(Quota_tbl[[#This Row],[Rep_ID]],Dim_Reps!A:A,Dim_Reps!C:C)</f>
        <v>SDR / Inside Sales Rep</v>
      </c>
      <c r="H66" t="str">
        <f>_xlfn.XLOOKUP(Quota_tbl[[#This Row],[Rep_ID]],Dim_Reps!A:A,Dim_Reps!D:D)</f>
        <v>Inside Sales</v>
      </c>
      <c r="I66" t="str">
        <f>_xlfn.XLOOKUP(Quota_tbl[[#This Row],[Rep_ID]],Dim_Reps!A:A,Dim_Reps!E:E)</f>
        <v>EMEA</v>
      </c>
      <c r="J66" t="str">
        <f>_xlfn.XLOOKUP(Quota_tbl[[#This Row],[Period_Start_Date]],Dim_Date!A:A,Dim_Date!H:H)</f>
        <v>Jul 2024</v>
      </c>
    </row>
    <row r="67" spans="1:10" ht="15" customHeight="1" x14ac:dyDescent="0.2">
      <c r="A67" t="s">
        <v>196</v>
      </c>
      <c r="B67" s="49">
        <v>45505</v>
      </c>
      <c r="C67">
        <v>1</v>
      </c>
      <c r="D67" s="33">
        <v>7800</v>
      </c>
      <c r="E67" t="str">
        <f>_xlfn.XLOOKUP(Quota_tbl[[#This Row],[Rep_ID]],Dim_Reps!A:A,Dim_Reps!K:K)</f>
        <v>EUR</v>
      </c>
      <c r="F67" s="33">
        <f>(_xlfn.XLOOKUP(Quota_tbl[[#This Row],[Rate_Code_Generalized]],Lookups!A:A,Lookups!B:B)*Quota_tbl[[#This Row],[Quota_Amount_USD]])</f>
        <v>7800</v>
      </c>
      <c r="G67" t="str">
        <f>_xlfn.XLOOKUP(Quota_tbl[[#This Row],[Rep_ID]],Dim_Reps!A:A,Dim_Reps!C:C)</f>
        <v>SDR / Inside Sales Rep</v>
      </c>
      <c r="H67" t="str">
        <f>_xlfn.XLOOKUP(Quota_tbl[[#This Row],[Rep_ID]],Dim_Reps!A:A,Dim_Reps!D:D)</f>
        <v>Inside Sales</v>
      </c>
      <c r="I67" t="str">
        <f>_xlfn.XLOOKUP(Quota_tbl[[#This Row],[Rep_ID]],Dim_Reps!A:A,Dim_Reps!E:E)</f>
        <v>EMEA</v>
      </c>
      <c r="J67" t="str">
        <f>_xlfn.XLOOKUP(Quota_tbl[[#This Row],[Period_Start_Date]],Dim_Date!A:A,Dim_Date!H:H)</f>
        <v>Aug 2024</v>
      </c>
    </row>
    <row r="68" spans="1:10" ht="15" customHeight="1" x14ac:dyDescent="0.2">
      <c r="A68" t="s">
        <v>196</v>
      </c>
      <c r="B68" s="49">
        <v>45536</v>
      </c>
      <c r="C68">
        <v>2</v>
      </c>
      <c r="D68" s="33">
        <v>12300</v>
      </c>
      <c r="E68" t="str">
        <f>_xlfn.XLOOKUP(Quota_tbl[[#This Row],[Rep_ID]],Dim_Reps!A:A,Dim_Reps!K:K)</f>
        <v>EUR</v>
      </c>
      <c r="F68" s="33">
        <f>(_xlfn.XLOOKUP(Quota_tbl[[#This Row],[Rate_Code_Generalized]],Lookups!A:A,Lookups!B:B)*Quota_tbl[[#This Row],[Quota_Amount_USD]])</f>
        <v>12300</v>
      </c>
      <c r="G68" t="str">
        <f>_xlfn.XLOOKUP(Quota_tbl[[#This Row],[Rep_ID]],Dim_Reps!A:A,Dim_Reps!C:C)</f>
        <v>SDR / Inside Sales Rep</v>
      </c>
      <c r="H68" t="str">
        <f>_xlfn.XLOOKUP(Quota_tbl[[#This Row],[Rep_ID]],Dim_Reps!A:A,Dim_Reps!D:D)</f>
        <v>Inside Sales</v>
      </c>
      <c r="I68" t="str">
        <f>_xlfn.XLOOKUP(Quota_tbl[[#This Row],[Rep_ID]],Dim_Reps!A:A,Dim_Reps!E:E)</f>
        <v>EMEA</v>
      </c>
      <c r="J68" t="str">
        <f>_xlfn.XLOOKUP(Quota_tbl[[#This Row],[Period_Start_Date]],Dim_Date!A:A,Dim_Date!H:H)</f>
        <v>Sep 2024</v>
      </c>
    </row>
    <row r="69" spans="1:10" ht="15" customHeight="1" x14ac:dyDescent="0.2">
      <c r="A69" t="s">
        <v>196</v>
      </c>
      <c r="B69" s="49">
        <v>45566</v>
      </c>
      <c r="C69">
        <v>3</v>
      </c>
      <c r="D69" s="33">
        <v>15600</v>
      </c>
      <c r="E69" t="str">
        <f>_xlfn.XLOOKUP(Quota_tbl[[#This Row],[Rep_ID]],Dim_Reps!A:A,Dim_Reps!K:K)</f>
        <v>EUR</v>
      </c>
      <c r="F69" s="33">
        <f>(_xlfn.XLOOKUP(Quota_tbl[[#This Row],[Rate_Code_Generalized]],Lookups!A:A,Lookups!B:B)*Quota_tbl[[#This Row],[Quota_Amount_USD]])</f>
        <v>15600</v>
      </c>
      <c r="G69" t="str">
        <f>_xlfn.XLOOKUP(Quota_tbl[[#This Row],[Rep_ID]],Dim_Reps!A:A,Dim_Reps!C:C)</f>
        <v>SDR / Inside Sales Rep</v>
      </c>
      <c r="H69" t="str">
        <f>_xlfn.XLOOKUP(Quota_tbl[[#This Row],[Rep_ID]],Dim_Reps!A:A,Dim_Reps!D:D)</f>
        <v>Inside Sales</v>
      </c>
      <c r="I69" t="str">
        <f>_xlfn.XLOOKUP(Quota_tbl[[#This Row],[Rep_ID]],Dim_Reps!A:A,Dim_Reps!E:E)</f>
        <v>EMEA</v>
      </c>
      <c r="J69" t="str">
        <f>_xlfn.XLOOKUP(Quota_tbl[[#This Row],[Period_Start_Date]],Dim_Date!A:A,Dim_Date!H:H)</f>
        <v>Oct 2024</v>
      </c>
    </row>
    <row r="70" spans="1:10" ht="15" customHeight="1" x14ac:dyDescent="0.2">
      <c r="A70" t="s">
        <v>196</v>
      </c>
      <c r="B70" s="49">
        <v>45597</v>
      </c>
      <c r="C70">
        <v>4</v>
      </c>
      <c r="D70" s="33">
        <v>15600</v>
      </c>
      <c r="E70" t="str">
        <f>_xlfn.XLOOKUP(Quota_tbl[[#This Row],[Rep_ID]],Dim_Reps!A:A,Dim_Reps!K:K)</f>
        <v>EUR</v>
      </c>
      <c r="F70" s="33">
        <f>(_xlfn.XLOOKUP(Quota_tbl[[#This Row],[Rate_Code_Generalized]],Lookups!A:A,Lookups!B:B)*Quota_tbl[[#This Row],[Quota_Amount_USD]])</f>
        <v>15600</v>
      </c>
      <c r="G70" t="str">
        <f>_xlfn.XLOOKUP(Quota_tbl[[#This Row],[Rep_ID]],Dim_Reps!A:A,Dim_Reps!C:C)</f>
        <v>SDR / Inside Sales Rep</v>
      </c>
      <c r="H70" t="str">
        <f>_xlfn.XLOOKUP(Quota_tbl[[#This Row],[Rep_ID]],Dim_Reps!A:A,Dim_Reps!D:D)</f>
        <v>Inside Sales</v>
      </c>
      <c r="I70" t="str">
        <f>_xlfn.XLOOKUP(Quota_tbl[[#This Row],[Rep_ID]],Dim_Reps!A:A,Dim_Reps!E:E)</f>
        <v>EMEA</v>
      </c>
      <c r="J70" t="str">
        <f>_xlfn.XLOOKUP(Quota_tbl[[#This Row],[Period_Start_Date]],Dim_Date!A:A,Dim_Date!H:H)</f>
        <v>Nov 2024</v>
      </c>
    </row>
    <row r="71" spans="1:10" ht="15" customHeight="1" x14ac:dyDescent="0.2">
      <c r="A71" t="s">
        <v>196</v>
      </c>
      <c r="B71" s="49">
        <v>45627</v>
      </c>
      <c r="C71">
        <v>5</v>
      </c>
      <c r="D71" s="33">
        <v>15500</v>
      </c>
      <c r="E71" t="str">
        <f>_xlfn.XLOOKUP(Quota_tbl[[#This Row],[Rep_ID]],Dim_Reps!A:A,Dim_Reps!K:K)</f>
        <v>EUR</v>
      </c>
      <c r="F71" s="33">
        <f>(_xlfn.XLOOKUP(Quota_tbl[[#This Row],[Rate_Code_Generalized]],Lookups!A:A,Lookups!B:B)*Quota_tbl[[#This Row],[Quota_Amount_USD]])</f>
        <v>15500</v>
      </c>
      <c r="G71" t="str">
        <f>_xlfn.XLOOKUP(Quota_tbl[[#This Row],[Rep_ID]],Dim_Reps!A:A,Dim_Reps!C:C)</f>
        <v>SDR / Inside Sales Rep</v>
      </c>
      <c r="H71" t="str">
        <f>_xlfn.XLOOKUP(Quota_tbl[[#This Row],[Rep_ID]],Dim_Reps!A:A,Dim_Reps!D:D)</f>
        <v>Inside Sales</v>
      </c>
      <c r="I71" t="str">
        <f>_xlfn.XLOOKUP(Quota_tbl[[#This Row],[Rep_ID]],Dim_Reps!A:A,Dim_Reps!E:E)</f>
        <v>EMEA</v>
      </c>
      <c r="J71" t="str">
        <f>_xlfn.XLOOKUP(Quota_tbl[[#This Row],[Period_Start_Date]],Dim_Date!A:A,Dim_Date!H:H)</f>
        <v>Dec 2024</v>
      </c>
    </row>
    <row r="72" spans="1:10" ht="15" customHeight="1" x14ac:dyDescent="0.2">
      <c r="A72" t="s">
        <v>196</v>
      </c>
      <c r="B72" s="49">
        <v>45658</v>
      </c>
      <c r="C72">
        <v>6</v>
      </c>
      <c r="D72" s="33">
        <v>14600</v>
      </c>
      <c r="E72" t="str">
        <f>_xlfn.XLOOKUP(Quota_tbl[[#This Row],[Rep_ID]],Dim_Reps!A:A,Dim_Reps!K:K)</f>
        <v>EUR</v>
      </c>
      <c r="F72" s="33">
        <f>(_xlfn.XLOOKUP(Quota_tbl[[#This Row],[Rate_Code_Generalized]],Lookups!A:A,Lookups!B:B)*Quota_tbl[[#This Row],[Quota_Amount_USD]])</f>
        <v>14600</v>
      </c>
      <c r="G72" t="str">
        <f>_xlfn.XLOOKUP(Quota_tbl[[#This Row],[Rep_ID]],Dim_Reps!A:A,Dim_Reps!C:C)</f>
        <v>SDR / Inside Sales Rep</v>
      </c>
      <c r="H72" t="str">
        <f>_xlfn.XLOOKUP(Quota_tbl[[#This Row],[Rep_ID]],Dim_Reps!A:A,Dim_Reps!D:D)</f>
        <v>Inside Sales</v>
      </c>
      <c r="I72" t="str">
        <f>_xlfn.XLOOKUP(Quota_tbl[[#This Row],[Rep_ID]],Dim_Reps!A:A,Dim_Reps!E:E)</f>
        <v>EMEA</v>
      </c>
      <c r="J72" t="str">
        <f>_xlfn.XLOOKUP(Quota_tbl[[#This Row],[Period_Start_Date]],Dim_Date!A:A,Dim_Date!H:H)</f>
        <v>Jan 2025</v>
      </c>
    </row>
    <row r="73" spans="1:10" ht="15" customHeight="1" x14ac:dyDescent="0.2">
      <c r="A73" t="s">
        <v>196</v>
      </c>
      <c r="B73" s="49">
        <v>45689</v>
      </c>
      <c r="C73">
        <v>7</v>
      </c>
      <c r="D73" s="33">
        <v>15500</v>
      </c>
      <c r="E73" t="str">
        <f>_xlfn.XLOOKUP(Quota_tbl[[#This Row],[Rep_ID]],Dim_Reps!A:A,Dim_Reps!K:K)</f>
        <v>EUR</v>
      </c>
      <c r="F73" s="33">
        <f>(_xlfn.XLOOKUP(Quota_tbl[[#This Row],[Rate_Code_Generalized]],Lookups!A:A,Lookups!B:B)*Quota_tbl[[#This Row],[Quota_Amount_USD]])</f>
        <v>15500</v>
      </c>
      <c r="G73" t="str">
        <f>_xlfn.XLOOKUP(Quota_tbl[[#This Row],[Rep_ID]],Dim_Reps!A:A,Dim_Reps!C:C)</f>
        <v>SDR / Inside Sales Rep</v>
      </c>
      <c r="H73" t="str">
        <f>_xlfn.XLOOKUP(Quota_tbl[[#This Row],[Rep_ID]],Dim_Reps!A:A,Dim_Reps!D:D)</f>
        <v>Inside Sales</v>
      </c>
      <c r="I73" t="str">
        <f>_xlfn.XLOOKUP(Quota_tbl[[#This Row],[Rep_ID]],Dim_Reps!A:A,Dim_Reps!E:E)</f>
        <v>EMEA</v>
      </c>
      <c r="J73" t="str">
        <f>_xlfn.XLOOKUP(Quota_tbl[[#This Row],[Period_Start_Date]],Dim_Date!A:A,Dim_Date!H:H)</f>
        <v>Feb 2025</v>
      </c>
    </row>
    <row r="74" spans="1:10" ht="15" customHeight="1" x14ac:dyDescent="0.2">
      <c r="A74" t="s">
        <v>196</v>
      </c>
      <c r="B74" s="49">
        <v>45717</v>
      </c>
      <c r="C74">
        <v>8</v>
      </c>
      <c r="D74" s="33">
        <v>15500</v>
      </c>
      <c r="E74" t="str">
        <f>_xlfn.XLOOKUP(Quota_tbl[[#This Row],[Rep_ID]],Dim_Reps!A:A,Dim_Reps!K:K)</f>
        <v>EUR</v>
      </c>
      <c r="F74" s="33">
        <f>(_xlfn.XLOOKUP(Quota_tbl[[#This Row],[Rate_Code_Generalized]],Lookups!A:A,Lookups!B:B)*Quota_tbl[[#This Row],[Quota_Amount_USD]])</f>
        <v>15500</v>
      </c>
      <c r="G74" t="str">
        <f>_xlfn.XLOOKUP(Quota_tbl[[#This Row],[Rep_ID]],Dim_Reps!A:A,Dim_Reps!C:C)</f>
        <v>SDR / Inside Sales Rep</v>
      </c>
      <c r="H74" t="str">
        <f>_xlfn.XLOOKUP(Quota_tbl[[#This Row],[Rep_ID]],Dim_Reps!A:A,Dim_Reps!D:D)</f>
        <v>Inside Sales</v>
      </c>
      <c r="I74" t="str">
        <f>_xlfn.XLOOKUP(Quota_tbl[[#This Row],[Rep_ID]],Dim_Reps!A:A,Dim_Reps!E:E)</f>
        <v>EMEA</v>
      </c>
      <c r="J74" t="str">
        <f>_xlfn.XLOOKUP(Quota_tbl[[#This Row],[Period_Start_Date]],Dim_Date!A:A,Dim_Date!H:H)</f>
        <v>Mar 2025</v>
      </c>
    </row>
    <row r="75" spans="1:10" ht="15" customHeight="1" x14ac:dyDescent="0.2">
      <c r="A75" t="s">
        <v>196</v>
      </c>
      <c r="B75" s="49">
        <v>45748</v>
      </c>
      <c r="C75">
        <v>9</v>
      </c>
      <c r="D75" s="33">
        <v>16600</v>
      </c>
      <c r="E75" t="str">
        <f>_xlfn.XLOOKUP(Quota_tbl[[#This Row],[Rep_ID]],Dim_Reps!A:A,Dim_Reps!K:K)</f>
        <v>EUR</v>
      </c>
      <c r="F75" s="33">
        <f>(_xlfn.XLOOKUP(Quota_tbl[[#This Row],[Rate_Code_Generalized]],Lookups!A:A,Lookups!B:B)*Quota_tbl[[#This Row],[Quota_Amount_USD]])</f>
        <v>16600</v>
      </c>
      <c r="G75" t="str">
        <f>_xlfn.XLOOKUP(Quota_tbl[[#This Row],[Rep_ID]],Dim_Reps!A:A,Dim_Reps!C:C)</f>
        <v>SDR / Inside Sales Rep</v>
      </c>
      <c r="H75" t="str">
        <f>_xlfn.XLOOKUP(Quota_tbl[[#This Row],[Rep_ID]],Dim_Reps!A:A,Dim_Reps!D:D)</f>
        <v>Inside Sales</v>
      </c>
      <c r="I75" t="str">
        <f>_xlfn.XLOOKUP(Quota_tbl[[#This Row],[Rep_ID]],Dim_Reps!A:A,Dim_Reps!E:E)</f>
        <v>EMEA</v>
      </c>
      <c r="J75" t="str">
        <f>_xlfn.XLOOKUP(Quota_tbl[[#This Row],[Period_Start_Date]],Dim_Date!A:A,Dim_Date!H:H)</f>
        <v>Apr 2025</v>
      </c>
    </row>
    <row r="76" spans="1:10" ht="15" customHeight="1" x14ac:dyDescent="0.2">
      <c r="A76" t="s">
        <v>196</v>
      </c>
      <c r="B76" s="49">
        <v>45778</v>
      </c>
      <c r="C76">
        <v>10</v>
      </c>
      <c r="D76" s="33">
        <v>15400</v>
      </c>
      <c r="E76" t="str">
        <f>_xlfn.XLOOKUP(Quota_tbl[[#This Row],[Rep_ID]],Dim_Reps!A:A,Dim_Reps!K:K)</f>
        <v>EUR</v>
      </c>
      <c r="F76" s="33">
        <f>(_xlfn.XLOOKUP(Quota_tbl[[#This Row],[Rate_Code_Generalized]],Lookups!A:A,Lookups!B:B)*Quota_tbl[[#This Row],[Quota_Amount_USD]])</f>
        <v>15400</v>
      </c>
      <c r="G76" t="str">
        <f>_xlfn.XLOOKUP(Quota_tbl[[#This Row],[Rep_ID]],Dim_Reps!A:A,Dim_Reps!C:C)</f>
        <v>SDR / Inside Sales Rep</v>
      </c>
      <c r="H76" t="str">
        <f>_xlfn.XLOOKUP(Quota_tbl[[#This Row],[Rep_ID]],Dim_Reps!A:A,Dim_Reps!D:D)</f>
        <v>Inside Sales</v>
      </c>
      <c r="I76" t="str">
        <f>_xlfn.XLOOKUP(Quota_tbl[[#This Row],[Rep_ID]],Dim_Reps!A:A,Dim_Reps!E:E)</f>
        <v>EMEA</v>
      </c>
      <c r="J76" t="str">
        <f>_xlfn.XLOOKUP(Quota_tbl[[#This Row],[Period_Start_Date]],Dim_Date!A:A,Dim_Date!H:H)</f>
        <v>May 2025</v>
      </c>
    </row>
    <row r="77" spans="1:10" ht="15" customHeight="1" x14ac:dyDescent="0.2">
      <c r="A77" t="s">
        <v>196</v>
      </c>
      <c r="B77" s="49">
        <v>45809</v>
      </c>
      <c r="C77">
        <v>11</v>
      </c>
      <c r="D77" s="33">
        <v>15600</v>
      </c>
      <c r="E77" t="str">
        <f>_xlfn.XLOOKUP(Quota_tbl[[#This Row],[Rep_ID]],Dim_Reps!A:A,Dim_Reps!K:K)</f>
        <v>EUR</v>
      </c>
      <c r="F77" s="33">
        <f>(_xlfn.XLOOKUP(Quota_tbl[[#This Row],[Rate_Code_Generalized]],Lookups!A:A,Lookups!B:B)*Quota_tbl[[#This Row],[Quota_Amount_USD]])</f>
        <v>15600</v>
      </c>
      <c r="G77" t="str">
        <f>_xlfn.XLOOKUP(Quota_tbl[[#This Row],[Rep_ID]],Dim_Reps!A:A,Dim_Reps!C:C)</f>
        <v>SDR / Inside Sales Rep</v>
      </c>
      <c r="H77" t="str">
        <f>_xlfn.XLOOKUP(Quota_tbl[[#This Row],[Rep_ID]],Dim_Reps!A:A,Dim_Reps!D:D)</f>
        <v>Inside Sales</v>
      </c>
      <c r="I77" t="str">
        <f>_xlfn.XLOOKUP(Quota_tbl[[#This Row],[Rep_ID]],Dim_Reps!A:A,Dim_Reps!E:E)</f>
        <v>EMEA</v>
      </c>
      <c r="J77" t="str">
        <f>_xlfn.XLOOKUP(Quota_tbl[[#This Row],[Period_Start_Date]],Dim_Date!A:A,Dim_Date!H:H)</f>
        <v>Jun 2025</v>
      </c>
    </row>
    <row r="78" spans="1:10" ht="15" customHeight="1" x14ac:dyDescent="0.2">
      <c r="A78" t="s">
        <v>196</v>
      </c>
      <c r="B78" s="49">
        <v>45839</v>
      </c>
      <c r="C78">
        <v>12</v>
      </c>
      <c r="D78" s="33">
        <v>15500</v>
      </c>
      <c r="E78" t="str">
        <f>_xlfn.XLOOKUP(Quota_tbl[[#This Row],[Rep_ID]],Dim_Reps!A:A,Dim_Reps!K:K)</f>
        <v>EUR</v>
      </c>
      <c r="F78" s="33">
        <f>(_xlfn.XLOOKUP(Quota_tbl[[#This Row],[Rate_Code_Generalized]],Lookups!A:A,Lookups!B:B)*Quota_tbl[[#This Row],[Quota_Amount_USD]])</f>
        <v>15500</v>
      </c>
      <c r="G78" t="str">
        <f>_xlfn.XLOOKUP(Quota_tbl[[#This Row],[Rep_ID]],Dim_Reps!A:A,Dim_Reps!C:C)</f>
        <v>SDR / Inside Sales Rep</v>
      </c>
      <c r="H78" t="str">
        <f>_xlfn.XLOOKUP(Quota_tbl[[#This Row],[Rep_ID]],Dim_Reps!A:A,Dim_Reps!D:D)</f>
        <v>Inside Sales</v>
      </c>
      <c r="I78" t="str">
        <f>_xlfn.XLOOKUP(Quota_tbl[[#This Row],[Rep_ID]],Dim_Reps!A:A,Dim_Reps!E:E)</f>
        <v>EMEA</v>
      </c>
      <c r="J78" t="str">
        <f>_xlfn.XLOOKUP(Quota_tbl[[#This Row],[Period_Start_Date]],Dim_Date!A:A,Dim_Date!H:H)</f>
        <v>Jul 2025</v>
      </c>
    </row>
    <row r="79" spans="1:10" ht="15" customHeight="1" x14ac:dyDescent="0.2">
      <c r="A79" t="s">
        <v>196</v>
      </c>
      <c r="B79" s="49">
        <v>45870</v>
      </c>
      <c r="C79">
        <v>13</v>
      </c>
      <c r="D79" s="33">
        <v>15000</v>
      </c>
      <c r="E79" t="str">
        <f>_xlfn.XLOOKUP(Quota_tbl[[#This Row],[Rep_ID]],Dim_Reps!A:A,Dim_Reps!K:K)</f>
        <v>EUR</v>
      </c>
      <c r="F79" s="33">
        <f>(_xlfn.XLOOKUP(Quota_tbl[[#This Row],[Rate_Code_Generalized]],Lookups!A:A,Lookups!B:B)*Quota_tbl[[#This Row],[Quota_Amount_USD]])</f>
        <v>15000</v>
      </c>
      <c r="G79" t="str">
        <f>_xlfn.XLOOKUP(Quota_tbl[[#This Row],[Rep_ID]],Dim_Reps!A:A,Dim_Reps!C:C)</f>
        <v>SDR / Inside Sales Rep</v>
      </c>
      <c r="H79" t="str">
        <f>_xlfn.XLOOKUP(Quota_tbl[[#This Row],[Rep_ID]],Dim_Reps!A:A,Dim_Reps!D:D)</f>
        <v>Inside Sales</v>
      </c>
      <c r="I79" t="str">
        <f>_xlfn.XLOOKUP(Quota_tbl[[#This Row],[Rep_ID]],Dim_Reps!A:A,Dim_Reps!E:E)</f>
        <v>EMEA</v>
      </c>
      <c r="J79" t="str">
        <f>_xlfn.XLOOKUP(Quota_tbl[[#This Row],[Period_Start_Date]],Dim_Date!A:A,Dim_Date!H:H)</f>
        <v>Aug 2025</v>
      </c>
    </row>
    <row r="80" spans="1:10" ht="15" customHeight="1" x14ac:dyDescent="0.2">
      <c r="A80" t="s">
        <v>196</v>
      </c>
      <c r="B80" s="49">
        <v>45901</v>
      </c>
      <c r="C80">
        <v>14</v>
      </c>
      <c r="D80" s="33">
        <v>16000</v>
      </c>
      <c r="E80" t="str">
        <f>_xlfn.XLOOKUP(Quota_tbl[[#This Row],[Rep_ID]],Dim_Reps!A:A,Dim_Reps!K:K)</f>
        <v>EUR</v>
      </c>
      <c r="F80" s="33">
        <f>(_xlfn.XLOOKUP(Quota_tbl[[#This Row],[Rate_Code_Generalized]],Lookups!A:A,Lookups!B:B)*Quota_tbl[[#This Row],[Quota_Amount_USD]])</f>
        <v>16000</v>
      </c>
      <c r="G80" t="str">
        <f>_xlfn.XLOOKUP(Quota_tbl[[#This Row],[Rep_ID]],Dim_Reps!A:A,Dim_Reps!C:C)</f>
        <v>SDR / Inside Sales Rep</v>
      </c>
      <c r="H80" t="str">
        <f>_xlfn.XLOOKUP(Quota_tbl[[#This Row],[Rep_ID]],Dim_Reps!A:A,Dim_Reps!D:D)</f>
        <v>Inside Sales</v>
      </c>
      <c r="I80" t="str">
        <f>_xlfn.XLOOKUP(Quota_tbl[[#This Row],[Rep_ID]],Dim_Reps!A:A,Dim_Reps!E:E)</f>
        <v>EMEA</v>
      </c>
      <c r="J80" t="str">
        <f>_xlfn.XLOOKUP(Quota_tbl[[#This Row],[Period_Start_Date]],Dim_Date!A:A,Dim_Date!H:H)</f>
        <v>Sep 2025</v>
      </c>
    </row>
    <row r="81" spans="1:10" ht="15" customHeight="1" x14ac:dyDescent="0.2">
      <c r="A81" t="s">
        <v>196</v>
      </c>
      <c r="B81" s="49">
        <v>45931</v>
      </c>
      <c r="C81">
        <v>15</v>
      </c>
      <c r="D81" s="33">
        <v>15800</v>
      </c>
      <c r="E81" t="str">
        <f>_xlfn.XLOOKUP(Quota_tbl[[#This Row],[Rep_ID]],Dim_Reps!A:A,Dim_Reps!K:K)</f>
        <v>EUR</v>
      </c>
      <c r="F81" s="33">
        <f>(_xlfn.XLOOKUP(Quota_tbl[[#This Row],[Rate_Code_Generalized]],Lookups!A:A,Lookups!B:B)*Quota_tbl[[#This Row],[Quota_Amount_USD]])</f>
        <v>15800</v>
      </c>
      <c r="G81" t="str">
        <f>_xlfn.XLOOKUP(Quota_tbl[[#This Row],[Rep_ID]],Dim_Reps!A:A,Dim_Reps!C:C)</f>
        <v>SDR / Inside Sales Rep</v>
      </c>
      <c r="H81" t="str">
        <f>_xlfn.XLOOKUP(Quota_tbl[[#This Row],[Rep_ID]],Dim_Reps!A:A,Dim_Reps!D:D)</f>
        <v>Inside Sales</v>
      </c>
      <c r="I81" t="str">
        <f>_xlfn.XLOOKUP(Quota_tbl[[#This Row],[Rep_ID]],Dim_Reps!A:A,Dim_Reps!E:E)</f>
        <v>EMEA</v>
      </c>
      <c r="J81" t="str">
        <f>_xlfn.XLOOKUP(Quota_tbl[[#This Row],[Period_Start_Date]],Dim_Date!A:A,Dim_Date!H:H)</f>
        <v>Oct 2025</v>
      </c>
    </row>
    <row r="82" spans="1:10" ht="15" customHeight="1" x14ac:dyDescent="0.2">
      <c r="A82" t="s">
        <v>196</v>
      </c>
      <c r="B82" s="49">
        <v>45962</v>
      </c>
      <c r="C82">
        <v>16</v>
      </c>
      <c r="D82" s="33">
        <v>15900</v>
      </c>
      <c r="E82" t="str">
        <f>_xlfn.XLOOKUP(Quota_tbl[[#This Row],[Rep_ID]],Dim_Reps!A:A,Dim_Reps!K:K)</f>
        <v>EUR</v>
      </c>
      <c r="F82" s="33">
        <f>(_xlfn.XLOOKUP(Quota_tbl[[#This Row],[Rate_Code_Generalized]],Lookups!A:A,Lookups!B:B)*Quota_tbl[[#This Row],[Quota_Amount_USD]])</f>
        <v>15900</v>
      </c>
      <c r="G82" t="str">
        <f>_xlfn.XLOOKUP(Quota_tbl[[#This Row],[Rep_ID]],Dim_Reps!A:A,Dim_Reps!C:C)</f>
        <v>SDR / Inside Sales Rep</v>
      </c>
      <c r="H82" t="str">
        <f>_xlfn.XLOOKUP(Quota_tbl[[#This Row],[Rep_ID]],Dim_Reps!A:A,Dim_Reps!D:D)</f>
        <v>Inside Sales</v>
      </c>
      <c r="I82" t="str">
        <f>_xlfn.XLOOKUP(Quota_tbl[[#This Row],[Rep_ID]],Dim_Reps!A:A,Dim_Reps!E:E)</f>
        <v>EMEA</v>
      </c>
      <c r="J82" t="str">
        <f>_xlfn.XLOOKUP(Quota_tbl[[#This Row],[Period_Start_Date]],Dim_Date!A:A,Dim_Date!H:H)</f>
        <v>Nov 2025</v>
      </c>
    </row>
    <row r="83" spans="1:10" ht="15" customHeight="1" x14ac:dyDescent="0.2">
      <c r="A83" t="s">
        <v>196</v>
      </c>
      <c r="B83" s="49">
        <v>45992</v>
      </c>
      <c r="C83">
        <v>17</v>
      </c>
      <c r="D83" s="33">
        <v>15100</v>
      </c>
      <c r="E83" t="str">
        <f>_xlfn.XLOOKUP(Quota_tbl[[#This Row],[Rep_ID]],Dim_Reps!A:A,Dim_Reps!K:K)</f>
        <v>EUR</v>
      </c>
      <c r="F83" s="33">
        <f>(_xlfn.XLOOKUP(Quota_tbl[[#This Row],[Rate_Code_Generalized]],Lookups!A:A,Lookups!B:B)*Quota_tbl[[#This Row],[Quota_Amount_USD]])</f>
        <v>15100</v>
      </c>
      <c r="G83" t="str">
        <f>_xlfn.XLOOKUP(Quota_tbl[[#This Row],[Rep_ID]],Dim_Reps!A:A,Dim_Reps!C:C)</f>
        <v>SDR / Inside Sales Rep</v>
      </c>
      <c r="H83" t="str">
        <f>_xlfn.XLOOKUP(Quota_tbl[[#This Row],[Rep_ID]],Dim_Reps!A:A,Dim_Reps!D:D)</f>
        <v>Inside Sales</v>
      </c>
      <c r="I83" t="str">
        <f>_xlfn.XLOOKUP(Quota_tbl[[#This Row],[Rep_ID]],Dim_Reps!A:A,Dim_Reps!E:E)</f>
        <v>EMEA</v>
      </c>
      <c r="J83" t="str">
        <f>_xlfn.XLOOKUP(Quota_tbl[[#This Row],[Period_Start_Date]],Dim_Date!A:A,Dim_Date!H:H)</f>
        <v>Dec 2025</v>
      </c>
    </row>
    <row r="84" spans="1:10" ht="15" customHeight="1" x14ac:dyDescent="0.2">
      <c r="A84" t="s">
        <v>199</v>
      </c>
      <c r="B84" s="49">
        <v>45292</v>
      </c>
      <c r="C84">
        <v>16</v>
      </c>
      <c r="D84" s="33">
        <v>16200</v>
      </c>
      <c r="E84" t="str">
        <f>_xlfn.XLOOKUP(Quota_tbl[[#This Row],[Rep_ID]],Dim_Reps!A:A,Dim_Reps!K:K)</f>
        <v>EUR</v>
      </c>
      <c r="F84" s="33">
        <f>(_xlfn.XLOOKUP(Quota_tbl[[#This Row],[Rate_Code_Generalized]],Lookups!A:A,Lookups!B:B)*Quota_tbl[[#This Row],[Quota_Amount_USD]])</f>
        <v>16200</v>
      </c>
      <c r="G84" t="str">
        <f>_xlfn.XLOOKUP(Quota_tbl[[#This Row],[Rep_ID]],Dim_Reps!A:A,Dim_Reps!C:C)</f>
        <v>SDR / Inside Sales Rep</v>
      </c>
      <c r="H84" t="str">
        <f>_xlfn.XLOOKUP(Quota_tbl[[#This Row],[Rep_ID]],Dim_Reps!A:A,Dim_Reps!D:D)</f>
        <v>Inside Sales</v>
      </c>
      <c r="I84" t="str">
        <f>_xlfn.XLOOKUP(Quota_tbl[[#This Row],[Rep_ID]],Dim_Reps!A:A,Dim_Reps!E:E)</f>
        <v>APAC</v>
      </c>
      <c r="J84" t="str">
        <f>_xlfn.XLOOKUP(Quota_tbl[[#This Row],[Period_Start_Date]],Dim_Date!A:A,Dim_Date!H:H)</f>
        <v>Jan 2024</v>
      </c>
    </row>
    <row r="85" spans="1:10" ht="15" customHeight="1" x14ac:dyDescent="0.2">
      <c r="A85" t="s">
        <v>199</v>
      </c>
      <c r="B85" s="49">
        <v>45323</v>
      </c>
      <c r="C85">
        <v>17</v>
      </c>
      <c r="D85" s="33">
        <v>14800</v>
      </c>
      <c r="E85" t="str">
        <f>_xlfn.XLOOKUP(Quota_tbl[[#This Row],[Rep_ID]],Dim_Reps!A:A,Dim_Reps!K:K)</f>
        <v>EUR</v>
      </c>
      <c r="F85" s="33">
        <f>(_xlfn.XLOOKUP(Quota_tbl[[#This Row],[Rate_Code_Generalized]],Lookups!A:A,Lookups!B:B)*Quota_tbl[[#This Row],[Quota_Amount_USD]])</f>
        <v>14800</v>
      </c>
      <c r="G85" t="str">
        <f>_xlfn.XLOOKUP(Quota_tbl[[#This Row],[Rep_ID]],Dim_Reps!A:A,Dim_Reps!C:C)</f>
        <v>SDR / Inside Sales Rep</v>
      </c>
      <c r="H85" t="str">
        <f>_xlfn.XLOOKUP(Quota_tbl[[#This Row],[Rep_ID]],Dim_Reps!A:A,Dim_Reps!D:D)</f>
        <v>Inside Sales</v>
      </c>
      <c r="I85" t="str">
        <f>_xlfn.XLOOKUP(Quota_tbl[[#This Row],[Rep_ID]],Dim_Reps!A:A,Dim_Reps!E:E)</f>
        <v>APAC</v>
      </c>
      <c r="J85" t="str">
        <f>_xlfn.XLOOKUP(Quota_tbl[[#This Row],[Period_Start_Date]],Dim_Date!A:A,Dim_Date!H:H)</f>
        <v>Feb 2024</v>
      </c>
    </row>
    <row r="86" spans="1:10" ht="15" customHeight="1" x14ac:dyDescent="0.2">
      <c r="A86" t="s">
        <v>199</v>
      </c>
      <c r="B86" s="49">
        <v>45352</v>
      </c>
      <c r="C86">
        <v>18</v>
      </c>
      <c r="D86" s="33">
        <v>15800</v>
      </c>
      <c r="E86" t="str">
        <f>_xlfn.XLOOKUP(Quota_tbl[[#This Row],[Rep_ID]],Dim_Reps!A:A,Dim_Reps!K:K)</f>
        <v>EUR</v>
      </c>
      <c r="F86" s="33">
        <f>(_xlfn.XLOOKUP(Quota_tbl[[#This Row],[Rate_Code_Generalized]],Lookups!A:A,Lookups!B:B)*Quota_tbl[[#This Row],[Quota_Amount_USD]])</f>
        <v>15800</v>
      </c>
      <c r="G86" t="str">
        <f>_xlfn.XLOOKUP(Quota_tbl[[#This Row],[Rep_ID]],Dim_Reps!A:A,Dim_Reps!C:C)</f>
        <v>SDR / Inside Sales Rep</v>
      </c>
      <c r="H86" t="str">
        <f>_xlfn.XLOOKUP(Quota_tbl[[#This Row],[Rep_ID]],Dim_Reps!A:A,Dim_Reps!D:D)</f>
        <v>Inside Sales</v>
      </c>
      <c r="I86" t="str">
        <f>_xlfn.XLOOKUP(Quota_tbl[[#This Row],[Rep_ID]],Dim_Reps!A:A,Dim_Reps!E:E)</f>
        <v>APAC</v>
      </c>
      <c r="J86" t="str">
        <f>_xlfn.XLOOKUP(Quota_tbl[[#This Row],[Period_Start_Date]],Dim_Date!A:A,Dim_Date!H:H)</f>
        <v>Mar 2024</v>
      </c>
    </row>
    <row r="87" spans="1:10" ht="15" customHeight="1" x14ac:dyDescent="0.2">
      <c r="A87" t="s">
        <v>199</v>
      </c>
      <c r="B87" s="49">
        <v>45383</v>
      </c>
      <c r="C87">
        <v>19</v>
      </c>
      <c r="D87" s="33">
        <v>16500</v>
      </c>
      <c r="E87" t="str">
        <f>_xlfn.XLOOKUP(Quota_tbl[[#This Row],[Rep_ID]],Dim_Reps!A:A,Dim_Reps!K:K)</f>
        <v>EUR</v>
      </c>
      <c r="F87" s="33">
        <f>(_xlfn.XLOOKUP(Quota_tbl[[#This Row],[Rate_Code_Generalized]],Lookups!A:A,Lookups!B:B)*Quota_tbl[[#This Row],[Quota_Amount_USD]])</f>
        <v>16500</v>
      </c>
      <c r="G87" t="str">
        <f>_xlfn.XLOOKUP(Quota_tbl[[#This Row],[Rep_ID]],Dim_Reps!A:A,Dim_Reps!C:C)</f>
        <v>SDR / Inside Sales Rep</v>
      </c>
      <c r="H87" t="str">
        <f>_xlfn.XLOOKUP(Quota_tbl[[#This Row],[Rep_ID]],Dim_Reps!A:A,Dim_Reps!D:D)</f>
        <v>Inside Sales</v>
      </c>
      <c r="I87" t="str">
        <f>_xlfn.XLOOKUP(Quota_tbl[[#This Row],[Rep_ID]],Dim_Reps!A:A,Dim_Reps!E:E)</f>
        <v>APAC</v>
      </c>
      <c r="J87" t="str">
        <f>_xlfn.XLOOKUP(Quota_tbl[[#This Row],[Period_Start_Date]],Dim_Date!A:A,Dim_Date!H:H)</f>
        <v>Apr 2024</v>
      </c>
    </row>
    <row r="88" spans="1:10" ht="15" customHeight="1" x14ac:dyDescent="0.2">
      <c r="A88" t="s">
        <v>199</v>
      </c>
      <c r="B88" s="49">
        <v>45413</v>
      </c>
      <c r="C88">
        <v>20</v>
      </c>
      <c r="D88" s="33">
        <v>15000</v>
      </c>
      <c r="E88" t="str">
        <f>_xlfn.XLOOKUP(Quota_tbl[[#This Row],[Rep_ID]],Dim_Reps!A:A,Dim_Reps!K:K)</f>
        <v>EUR</v>
      </c>
      <c r="F88" s="33">
        <f>(_xlfn.XLOOKUP(Quota_tbl[[#This Row],[Rate_Code_Generalized]],Lookups!A:A,Lookups!B:B)*Quota_tbl[[#This Row],[Quota_Amount_USD]])</f>
        <v>15000</v>
      </c>
      <c r="G88" t="str">
        <f>_xlfn.XLOOKUP(Quota_tbl[[#This Row],[Rep_ID]],Dim_Reps!A:A,Dim_Reps!C:C)</f>
        <v>SDR / Inside Sales Rep</v>
      </c>
      <c r="H88" t="str">
        <f>_xlfn.XLOOKUP(Quota_tbl[[#This Row],[Rep_ID]],Dim_Reps!A:A,Dim_Reps!D:D)</f>
        <v>Inside Sales</v>
      </c>
      <c r="I88" t="str">
        <f>_xlfn.XLOOKUP(Quota_tbl[[#This Row],[Rep_ID]],Dim_Reps!A:A,Dim_Reps!E:E)</f>
        <v>APAC</v>
      </c>
      <c r="J88" t="str">
        <f>_xlfn.XLOOKUP(Quota_tbl[[#This Row],[Period_Start_Date]],Dim_Date!A:A,Dim_Date!H:H)</f>
        <v>May 2024</v>
      </c>
    </row>
    <row r="89" spans="1:10" ht="15" customHeight="1" x14ac:dyDescent="0.2">
      <c r="A89" t="s">
        <v>199</v>
      </c>
      <c r="B89" s="49">
        <v>45444</v>
      </c>
      <c r="C89">
        <v>21</v>
      </c>
      <c r="D89" s="33">
        <v>15200</v>
      </c>
      <c r="E89" t="str">
        <f>_xlfn.XLOOKUP(Quota_tbl[[#This Row],[Rep_ID]],Dim_Reps!A:A,Dim_Reps!K:K)</f>
        <v>EUR</v>
      </c>
      <c r="F89" s="33">
        <f>(_xlfn.XLOOKUP(Quota_tbl[[#This Row],[Rate_Code_Generalized]],Lookups!A:A,Lookups!B:B)*Quota_tbl[[#This Row],[Quota_Amount_USD]])</f>
        <v>15200</v>
      </c>
      <c r="G89" t="str">
        <f>_xlfn.XLOOKUP(Quota_tbl[[#This Row],[Rep_ID]],Dim_Reps!A:A,Dim_Reps!C:C)</f>
        <v>SDR / Inside Sales Rep</v>
      </c>
      <c r="H89" t="str">
        <f>_xlfn.XLOOKUP(Quota_tbl[[#This Row],[Rep_ID]],Dim_Reps!A:A,Dim_Reps!D:D)</f>
        <v>Inside Sales</v>
      </c>
      <c r="I89" t="str">
        <f>_xlfn.XLOOKUP(Quota_tbl[[#This Row],[Rep_ID]],Dim_Reps!A:A,Dim_Reps!E:E)</f>
        <v>APAC</v>
      </c>
      <c r="J89" t="str">
        <f>_xlfn.XLOOKUP(Quota_tbl[[#This Row],[Period_Start_Date]],Dim_Date!A:A,Dim_Date!H:H)</f>
        <v>Jun 2024</v>
      </c>
    </row>
    <row r="90" spans="1:10" ht="15" customHeight="1" x14ac:dyDescent="0.2">
      <c r="A90" t="s">
        <v>199</v>
      </c>
      <c r="B90" s="49">
        <v>45474</v>
      </c>
      <c r="C90">
        <v>22</v>
      </c>
      <c r="D90" s="33">
        <v>15500</v>
      </c>
      <c r="E90" t="str">
        <f>_xlfn.XLOOKUP(Quota_tbl[[#This Row],[Rep_ID]],Dim_Reps!A:A,Dim_Reps!K:K)</f>
        <v>EUR</v>
      </c>
      <c r="F90" s="33">
        <f>(_xlfn.XLOOKUP(Quota_tbl[[#This Row],[Rate_Code_Generalized]],Lookups!A:A,Lookups!B:B)*Quota_tbl[[#This Row],[Quota_Amount_USD]])</f>
        <v>15500</v>
      </c>
      <c r="G90" t="str">
        <f>_xlfn.XLOOKUP(Quota_tbl[[#This Row],[Rep_ID]],Dim_Reps!A:A,Dim_Reps!C:C)</f>
        <v>SDR / Inside Sales Rep</v>
      </c>
      <c r="H90" t="str">
        <f>_xlfn.XLOOKUP(Quota_tbl[[#This Row],[Rep_ID]],Dim_Reps!A:A,Dim_Reps!D:D)</f>
        <v>Inside Sales</v>
      </c>
      <c r="I90" t="str">
        <f>_xlfn.XLOOKUP(Quota_tbl[[#This Row],[Rep_ID]],Dim_Reps!A:A,Dim_Reps!E:E)</f>
        <v>APAC</v>
      </c>
      <c r="J90" t="str">
        <f>_xlfn.XLOOKUP(Quota_tbl[[#This Row],[Period_Start_Date]],Dim_Date!A:A,Dim_Date!H:H)</f>
        <v>Jul 2024</v>
      </c>
    </row>
    <row r="91" spans="1:10" ht="15" customHeight="1" x14ac:dyDescent="0.2">
      <c r="A91" t="s">
        <v>199</v>
      </c>
      <c r="B91" s="49">
        <v>45505</v>
      </c>
      <c r="C91">
        <v>23</v>
      </c>
      <c r="D91" s="33">
        <v>15300</v>
      </c>
      <c r="E91" t="str">
        <f>_xlfn.XLOOKUP(Quota_tbl[[#This Row],[Rep_ID]],Dim_Reps!A:A,Dim_Reps!K:K)</f>
        <v>EUR</v>
      </c>
      <c r="F91" s="33">
        <f>(_xlfn.XLOOKUP(Quota_tbl[[#This Row],[Rate_Code_Generalized]],Lookups!A:A,Lookups!B:B)*Quota_tbl[[#This Row],[Quota_Amount_USD]])</f>
        <v>15300</v>
      </c>
      <c r="G91" t="str">
        <f>_xlfn.XLOOKUP(Quota_tbl[[#This Row],[Rep_ID]],Dim_Reps!A:A,Dim_Reps!C:C)</f>
        <v>SDR / Inside Sales Rep</v>
      </c>
      <c r="H91" t="str">
        <f>_xlfn.XLOOKUP(Quota_tbl[[#This Row],[Rep_ID]],Dim_Reps!A:A,Dim_Reps!D:D)</f>
        <v>Inside Sales</v>
      </c>
      <c r="I91" t="str">
        <f>_xlfn.XLOOKUP(Quota_tbl[[#This Row],[Rep_ID]],Dim_Reps!A:A,Dim_Reps!E:E)</f>
        <v>APAC</v>
      </c>
      <c r="J91" t="str">
        <f>_xlfn.XLOOKUP(Quota_tbl[[#This Row],[Period_Start_Date]],Dim_Date!A:A,Dim_Date!H:H)</f>
        <v>Aug 2024</v>
      </c>
    </row>
    <row r="92" spans="1:10" ht="15" customHeight="1" x14ac:dyDescent="0.2">
      <c r="A92" t="s">
        <v>199</v>
      </c>
      <c r="B92" s="49">
        <v>45536</v>
      </c>
      <c r="C92">
        <v>24</v>
      </c>
      <c r="D92" s="33">
        <v>14800</v>
      </c>
      <c r="E92" t="str">
        <f>_xlfn.XLOOKUP(Quota_tbl[[#This Row],[Rep_ID]],Dim_Reps!A:A,Dim_Reps!K:K)</f>
        <v>EUR</v>
      </c>
      <c r="F92" s="33">
        <f>(_xlfn.XLOOKUP(Quota_tbl[[#This Row],[Rate_Code_Generalized]],Lookups!A:A,Lookups!B:B)*Quota_tbl[[#This Row],[Quota_Amount_USD]])</f>
        <v>14800</v>
      </c>
      <c r="G92" t="str">
        <f>_xlfn.XLOOKUP(Quota_tbl[[#This Row],[Rep_ID]],Dim_Reps!A:A,Dim_Reps!C:C)</f>
        <v>SDR / Inside Sales Rep</v>
      </c>
      <c r="H92" t="str">
        <f>_xlfn.XLOOKUP(Quota_tbl[[#This Row],[Rep_ID]],Dim_Reps!A:A,Dim_Reps!D:D)</f>
        <v>Inside Sales</v>
      </c>
      <c r="I92" t="str">
        <f>_xlfn.XLOOKUP(Quota_tbl[[#This Row],[Rep_ID]],Dim_Reps!A:A,Dim_Reps!E:E)</f>
        <v>APAC</v>
      </c>
      <c r="J92" t="str">
        <f>_xlfn.XLOOKUP(Quota_tbl[[#This Row],[Period_Start_Date]],Dim_Date!A:A,Dim_Date!H:H)</f>
        <v>Sep 2024</v>
      </c>
    </row>
    <row r="93" spans="1:10" ht="15" customHeight="1" x14ac:dyDescent="0.2">
      <c r="A93" t="s">
        <v>199</v>
      </c>
      <c r="B93" s="49">
        <v>45566</v>
      </c>
      <c r="C93">
        <v>25</v>
      </c>
      <c r="D93" s="33">
        <v>15500</v>
      </c>
      <c r="E93" t="str">
        <f>_xlfn.XLOOKUP(Quota_tbl[[#This Row],[Rep_ID]],Dim_Reps!A:A,Dim_Reps!K:K)</f>
        <v>EUR</v>
      </c>
      <c r="F93" s="33">
        <f>(_xlfn.XLOOKUP(Quota_tbl[[#This Row],[Rate_Code_Generalized]],Lookups!A:A,Lookups!B:B)*Quota_tbl[[#This Row],[Quota_Amount_USD]])</f>
        <v>15500</v>
      </c>
      <c r="G93" t="str">
        <f>_xlfn.XLOOKUP(Quota_tbl[[#This Row],[Rep_ID]],Dim_Reps!A:A,Dim_Reps!C:C)</f>
        <v>SDR / Inside Sales Rep</v>
      </c>
      <c r="H93" t="str">
        <f>_xlfn.XLOOKUP(Quota_tbl[[#This Row],[Rep_ID]],Dim_Reps!A:A,Dim_Reps!D:D)</f>
        <v>Inside Sales</v>
      </c>
      <c r="I93" t="str">
        <f>_xlfn.XLOOKUP(Quota_tbl[[#This Row],[Rep_ID]],Dim_Reps!A:A,Dim_Reps!E:E)</f>
        <v>APAC</v>
      </c>
      <c r="J93" t="str">
        <f>_xlfn.XLOOKUP(Quota_tbl[[#This Row],[Period_Start_Date]],Dim_Date!A:A,Dim_Date!H:H)</f>
        <v>Oct 2024</v>
      </c>
    </row>
    <row r="94" spans="1:10" ht="15" customHeight="1" x14ac:dyDescent="0.2">
      <c r="A94" t="s">
        <v>199</v>
      </c>
      <c r="B94" s="49">
        <v>45597</v>
      </c>
      <c r="C94">
        <v>26</v>
      </c>
      <c r="D94" s="33">
        <v>15000</v>
      </c>
      <c r="E94" t="str">
        <f>_xlfn.XLOOKUP(Quota_tbl[[#This Row],[Rep_ID]],Dim_Reps!A:A,Dim_Reps!K:K)</f>
        <v>EUR</v>
      </c>
      <c r="F94" s="33">
        <f>(_xlfn.XLOOKUP(Quota_tbl[[#This Row],[Rate_Code_Generalized]],Lookups!A:A,Lookups!B:B)*Quota_tbl[[#This Row],[Quota_Amount_USD]])</f>
        <v>15000</v>
      </c>
      <c r="G94" t="str">
        <f>_xlfn.XLOOKUP(Quota_tbl[[#This Row],[Rep_ID]],Dim_Reps!A:A,Dim_Reps!C:C)</f>
        <v>SDR / Inside Sales Rep</v>
      </c>
      <c r="H94" t="str">
        <f>_xlfn.XLOOKUP(Quota_tbl[[#This Row],[Rep_ID]],Dim_Reps!A:A,Dim_Reps!D:D)</f>
        <v>Inside Sales</v>
      </c>
      <c r="I94" t="str">
        <f>_xlfn.XLOOKUP(Quota_tbl[[#This Row],[Rep_ID]],Dim_Reps!A:A,Dim_Reps!E:E)</f>
        <v>APAC</v>
      </c>
      <c r="J94" t="str">
        <f>_xlfn.XLOOKUP(Quota_tbl[[#This Row],[Period_Start_Date]],Dim_Date!A:A,Dim_Date!H:H)</f>
        <v>Nov 2024</v>
      </c>
    </row>
    <row r="95" spans="1:10" ht="15" customHeight="1" x14ac:dyDescent="0.2">
      <c r="A95" t="s">
        <v>199</v>
      </c>
      <c r="B95" s="49">
        <v>45627</v>
      </c>
      <c r="C95">
        <v>27</v>
      </c>
      <c r="D95" s="33">
        <v>15700</v>
      </c>
      <c r="E95" t="str">
        <f>_xlfn.XLOOKUP(Quota_tbl[[#This Row],[Rep_ID]],Dim_Reps!A:A,Dim_Reps!K:K)</f>
        <v>EUR</v>
      </c>
      <c r="F95" s="33">
        <f>(_xlfn.XLOOKUP(Quota_tbl[[#This Row],[Rate_Code_Generalized]],Lookups!A:A,Lookups!B:B)*Quota_tbl[[#This Row],[Quota_Amount_USD]])</f>
        <v>15700</v>
      </c>
      <c r="G95" t="str">
        <f>_xlfn.XLOOKUP(Quota_tbl[[#This Row],[Rep_ID]],Dim_Reps!A:A,Dim_Reps!C:C)</f>
        <v>SDR / Inside Sales Rep</v>
      </c>
      <c r="H95" t="str">
        <f>_xlfn.XLOOKUP(Quota_tbl[[#This Row],[Rep_ID]],Dim_Reps!A:A,Dim_Reps!D:D)</f>
        <v>Inside Sales</v>
      </c>
      <c r="I95" t="str">
        <f>_xlfn.XLOOKUP(Quota_tbl[[#This Row],[Rep_ID]],Dim_Reps!A:A,Dim_Reps!E:E)</f>
        <v>APAC</v>
      </c>
      <c r="J95" t="str">
        <f>_xlfn.XLOOKUP(Quota_tbl[[#This Row],[Period_Start_Date]],Dim_Date!A:A,Dim_Date!H:H)</f>
        <v>Dec 2024</v>
      </c>
    </row>
    <row r="96" spans="1:10" ht="15" customHeight="1" x14ac:dyDescent="0.2">
      <c r="A96" t="s">
        <v>199</v>
      </c>
      <c r="B96" s="49">
        <v>45658</v>
      </c>
      <c r="C96">
        <v>28</v>
      </c>
      <c r="D96" s="33">
        <v>15100</v>
      </c>
      <c r="E96" t="str">
        <f>_xlfn.XLOOKUP(Quota_tbl[[#This Row],[Rep_ID]],Dim_Reps!A:A,Dim_Reps!K:K)</f>
        <v>EUR</v>
      </c>
      <c r="F96" s="33">
        <f>(_xlfn.XLOOKUP(Quota_tbl[[#This Row],[Rate_Code_Generalized]],Lookups!A:A,Lookups!B:B)*Quota_tbl[[#This Row],[Quota_Amount_USD]])</f>
        <v>15100</v>
      </c>
      <c r="G96" t="str">
        <f>_xlfn.XLOOKUP(Quota_tbl[[#This Row],[Rep_ID]],Dim_Reps!A:A,Dim_Reps!C:C)</f>
        <v>SDR / Inside Sales Rep</v>
      </c>
      <c r="H96" t="str">
        <f>_xlfn.XLOOKUP(Quota_tbl[[#This Row],[Rep_ID]],Dim_Reps!A:A,Dim_Reps!D:D)</f>
        <v>Inside Sales</v>
      </c>
      <c r="I96" t="str">
        <f>_xlfn.XLOOKUP(Quota_tbl[[#This Row],[Rep_ID]],Dim_Reps!A:A,Dim_Reps!E:E)</f>
        <v>APAC</v>
      </c>
      <c r="J96" t="str">
        <f>_xlfn.XLOOKUP(Quota_tbl[[#This Row],[Period_Start_Date]],Dim_Date!A:A,Dim_Date!H:H)</f>
        <v>Jan 2025</v>
      </c>
    </row>
    <row r="97" spans="1:10" ht="15" customHeight="1" x14ac:dyDescent="0.2">
      <c r="A97" t="s">
        <v>199</v>
      </c>
      <c r="B97" s="49">
        <v>45689</v>
      </c>
      <c r="C97">
        <v>29</v>
      </c>
      <c r="D97" s="33">
        <v>16200</v>
      </c>
      <c r="E97" t="str">
        <f>_xlfn.XLOOKUP(Quota_tbl[[#This Row],[Rep_ID]],Dim_Reps!A:A,Dim_Reps!K:K)</f>
        <v>EUR</v>
      </c>
      <c r="F97" s="33">
        <f>(_xlfn.XLOOKUP(Quota_tbl[[#This Row],[Rate_Code_Generalized]],Lookups!A:A,Lookups!B:B)*Quota_tbl[[#This Row],[Quota_Amount_USD]])</f>
        <v>16200</v>
      </c>
      <c r="G97" t="str">
        <f>_xlfn.XLOOKUP(Quota_tbl[[#This Row],[Rep_ID]],Dim_Reps!A:A,Dim_Reps!C:C)</f>
        <v>SDR / Inside Sales Rep</v>
      </c>
      <c r="H97" t="str">
        <f>_xlfn.XLOOKUP(Quota_tbl[[#This Row],[Rep_ID]],Dim_Reps!A:A,Dim_Reps!D:D)</f>
        <v>Inside Sales</v>
      </c>
      <c r="I97" t="str">
        <f>_xlfn.XLOOKUP(Quota_tbl[[#This Row],[Rep_ID]],Dim_Reps!A:A,Dim_Reps!E:E)</f>
        <v>APAC</v>
      </c>
      <c r="J97" t="str">
        <f>_xlfn.XLOOKUP(Quota_tbl[[#This Row],[Period_Start_Date]],Dim_Date!A:A,Dim_Date!H:H)</f>
        <v>Feb 2025</v>
      </c>
    </row>
    <row r="98" spans="1:10" ht="15" customHeight="1" x14ac:dyDescent="0.2">
      <c r="A98" t="s">
        <v>199</v>
      </c>
      <c r="B98" s="49">
        <v>45717</v>
      </c>
      <c r="C98">
        <v>30</v>
      </c>
      <c r="D98" s="33">
        <v>15100</v>
      </c>
      <c r="E98" t="str">
        <f>_xlfn.XLOOKUP(Quota_tbl[[#This Row],[Rep_ID]],Dim_Reps!A:A,Dim_Reps!K:K)</f>
        <v>EUR</v>
      </c>
      <c r="F98" s="33">
        <f>(_xlfn.XLOOKUP(Quota_tbl[[#This Row],[Rate_Code_Generalized]],Lookups!A:A,Lookups!B:B)*Quota_tbl[[#This Row],[Quota_Amount_USD]])</f>
        <v>15100</v>
      </c>
      <c r="G98" t="str">
        <f>_xlfn.XLOOKUP(Quota_tbl[[#This Row],[Rep_ID]],Dim_Reps!A:A,Dim_Reps!C:C)</f>
        <v>SDR / Inside Sales Rep</v>
      </c>
      <c r="H98" t="str">
        <f>_xlfn.XLOOKUP(Quota_tbl[[#This Row],[Rep_ID]],Dim_Reps!A:A,Dim_Reps!D:D)</f>
        <v>Inside Sales</v>
      </c>
      <c r="I98" t="str">
        <f>_xlfn.XLOOKUP(Quota_tbl[[#This Row],[Rep_ID]],Dim_Reps!A:A,Dim_Reps!E:E)</f>
        <v>APAC</v>
      </c>
      <c r="J98" t="str">
        <f>_xlfn.XLOOKUP(Quota_tbl[[#This Row],[Period_Start_Date]],Dim_Date!A:A,Dim_Date!H:H)</f>
        <v>Mar 2025</v>
      </c>
    </row>
    <row r="99" spans="1:10" ht="15" customHeight="1" x14ac:dyDescent="0.2">
      <c r="A99" t="s">
        <v>199</v>
      </c>
      <c r="B99" s="49">
        <v>45748</v>
      </c>
      <c r="C99">
        <v>31</v>
      </c>
      <c r="D99" s="33">
        <v>15400</v>
      </c>
      <c r="E99" t="str">
        <f>_xlfn.XLOOKUP(Quota_tbl[[#This Row],[Rep_ID]],Dim_Reps!A:A,Dim_Reps!K:K)</f>
        <v>EUR</v>
      </c>
      <c r="F99" s="33">
        <f>(_xlfn.XLOOKUP(Quota_tbl[[#This Row],[Rate_Code_Generalized]],Lookups!A:A,Lookups!B:B)*Quota_tbl[[#This Row],[Quota_Amount_USD]])</f>
        <v>15400</v>
      </c>
      <c r="G99" t="str">
        <f>_xlfn.XLOOKUP(Quota_tbl[[#This Row],[Rep_ID]],Dim_Reps!A:A,Dim_Reps!C:C)</f>
        <v>SDR / Inside Sales Rep</v>
      </c>
      <c r="H99" t="str">
        <f>_xlfn.XLOOKUP(Quota_tbl[[#This Row],[Rep_ID]],Dim_Reps!A:A,Dim_Reps!D:D)</f>
        <v>Inside Sales</v>
      </c>
      <c r="I99" t="str">
        <f>_xlfn.XLOOKUP(Quota_tbl[[#This Row],[Rep_ID]],Dim_Reps!A:A,Dim_Reps!E:E)</f>
        <v>APAC</v>
      </c>
      <c r="J99" t="str">
        <f>_xlfn.XLOOKUP(Quota_tbl[[#This Row],[Period_Start_Date]],Dim_Date!A:A,Dim_Date!H:H)</f>
        <v>Apr 2025</v>
      </c>
    </row>
    <row r="100" spans="1:10" ht="15" customHeight="1" x14ac:dyDescent="0.2">
      <c r="A100" t="s">
        <v>199</v>
      </c>
      <c r="B100" s="49">
        <v>45778</v>
      </c>
      <c r="C100">
        <v>32</v>
      </c>
      <c r="D100" s="33">
        <v>15900</v>
      </c>
      <c r="E100" t="str">
        <f>_xlfn.XLOOKUP(Quota_tbl[[#This Row],[Rep_ID]],Dim_Reps!A:A,Dim_Reps!K:K)</f>
        <v>EUR</v>
      </c>
      <c r="F100" s="33">
        <f>(_xlfn.XLOOKUP(Quota_tbl[[#This Row],[Rate_Code_Generalized]],Lookups!A:A,Lookups!B:B)*Quota_tbl[[#This Row],[Quota_Amount_USD]])</f>
        <v>15900</v>
      </c>
      <c r="G100" t="str">
        <f>_xlfn.XLOOKUP(Quota_tbl[[#This Row],[Rep_ID]],Dim_Reps!A:A,Dim_Reps!C:C)</f>
        <v>SDR / Inside Sales Rep</v>
      </c>
      <c r="H100" t="str">
        <f>_xlfn.XLOOKUP(Quota_tbl[[#This Row],[Rep_ID]],Dim_Reps!A:A,Dim_Reps!D:D)</f>
        <v>Inside Sales</v>
      </c>
      <c r="I100" t="str">
        <f>_xlfn.XLOOKUP(Quota_tbl[[#This Row],[Rep_ID]],Dim_Reps!A:A,Dim_Reps!E:E)</f>
        <v>APAC</v>
      </c>
      <c r="J100" t="str">
        <f>_xlfn.XLOOKUP(Quota_tbl[[#This Row],[Period_Start_Date]],Dim_Date!A:A,Dim_Date!H:H)</f>
        <v>May 2025</v>
      </c>
    </row>
    <row r="101" spans="1:10" ht="15" customHeight="1" x14ac:dyDescent="0.2">
      <c r="A101" t="s">
        <v>199</v>
      </c>
      <c r="B101" s="49">
        <v>45809</v>
      </c>
      <c r="C101">
        <v>33</v>
      </c>
      <c r="D101" s="33">
        <v>14900</v>
      </c>
      <c r="E101" t="str">
        <f>_xlfn.XLOOKUP(Quota_tbl[[#This Row],[Rep_ID]],Dim_Reps!A:A,Dim_Reps!K:K)</f>
        <v>EUR</v>
      </c>
      <c r="F101" s="33">
        <f>(_xlfn.XLOOKUP(Quota_tbl[[#This Row],[Rate_Code_Generalized]],Lookups!A:A,Lookups!B:B)*Quota_tbl[[#This Row],[Quota_Amount_USD]])</f>
        <v>14900</v>
      </c>
      <c r="G101" t="str">
        <f>_xlfn.XLOOKUP(Quota_tbl[[#This Row],[Rep_ID]],Dim_Reps!A:A,Dim_Reps!C:C)</f>
        <v>SDR / Inside Sales Rep</v>
      </c>
      <c r="H101" t="str">
        <f>_xlfn.XLOOKUP(Quota_tbl[[#This Row],[Rep_ID]],Dim_Reps!A:A,Dim_Reps!D:D)</f>
        <v>Inside Sales</v>
      </c>
      <c r="I101" t="str">
        <f>_xlfn.XLOOKUP(Quota_tbl[[#This Row],[Rep_ID]],Dim_Reps!A:A,Dim_Reps!E:E)</f>
        <v>APAC</v>
      </c>
      <c r="J101" t="str">
        <f>_xlfn.XLOOKUP(Quota_tbl[[#This Row],[Period_Start_Date]],Dim_Date!A:A,Dim_Date!H:H)</f>
        <v>Jun 2025</v>
      </c>
    </row>
    <row r="102" spans="1:10" ht="15" customHeight="1" x14ac:dyDescent="0.2">
      <c r="A102" t="s">
        <v>199</v>
      </c>
      <c r="B102" s="49">
        <v>45839</v>
      </c>
      <c r="C102">
        <v>34</v>
      </c>
      <c r="D102" s="33">
        <v>15600</v>
      </c>
      <c r="E102" t="str">
        <f>_xlfn.XLOOKUP(Quota_tbl[[#This Row],[Rep_ID]],Dim_Reps!A:A,Dim_Reps!K:K)</f>
        <v>EUR</v>
      </c>
      <c r="F102" s="33">
        <f>(_xlfn.XLOOKUP(Quota_tbl[[#This Row],[Rate_Code_Generalized]],Lookups!A:A,Lookups!B:B)*Quota_tbl[[#This Row],[Quota_Amount_USD]])</f>
        <v>15600</v>
      </c>
      <c r="G102" t="str">
        <f>_xlfn.XLOOKUP(Quota_tbl[[#This Row],[Rep_ID]],Dim_Reps!A:A,Dim_Reps!C:C)</f>
        <v>SDR / Inside Sales Rep</v>
      </c>
      <c r="H102" t="str">
        <f>_xlfn.XLOOKUP(Quota_tbl[[#This Row],[Rep_ID]],Dim_Reps!A:A,Dim_Reps!D:D)</f>
        <v>Inside Sales</v>
      </c>
      <c r="I102" t="str">
        <f>_xlfn.XLOOKUP(Quota_tbl[[#This Row],[Rep_ID]],Dim_Reps!A:A,Dim_Reps!E:E)</f>
        <v>APAC</v>
      </c>
      <c r="J102" t="str">
        <f>_xlfn.XLOOKUP(Quota_tbl[[#This Row],[Period_Start_Date]],Dim_Date!A:A,Dim_Date!H:H)</f>
        <v>Jul 2025</v>
      </c>
    </row>
    <row r="103" spans="1:10" ht="15" customHeight="1" x14ac:dyDescent="0.2">
      <c r="A103" t="s">
        <v>199</v>
      </c>
      <c r="B103" s="49">
        <v>45870</v>
      </c>
      <c r="C103">
        <v>35</v>
      </c>
      <c r="D103" s="33">
        <v>16100</v>
      </c>
      <c r="E103" t="str">
        <f>_xlfn.XLOOKUP(Quota_tbl[[#This Row],[Rep_ID]],Dim_Reps!A:A,Dim_Reps!K:K)</f>
        <v>EUR</v>
      </c>
      <c r="F103" s="33">
        <f>(_xlfn.XLOOKUP(Quota_tbl[[#This Row],[Rate_Code_Generalized]],Lookups!A:A,Lookups!B:B)*Quota_tbl[[#This Row],[Quota_Amount_USD]])</f>
        <v>16100</v>
      </c>
      <c r="G103" t="str">
        <f>_xlfn.XLOOKUP(Quota_tbl[[#This Row],[Rep_ID]],Dim_Reps!A:A,Dim_Reps!C:C)</f>
        <v>SDR / Inside Sales Rep</v>
      </c>
      <c r="H103" t="str">
        <f>_xlfn.XLOOKUP(Quota_tbl[[#This Row],[Rep_ID]],Dim_Reps!A:A,Dim_Reps!D:D)</f>
        <v>Inside Sales</v>
      </c>
      <c r="I103" t="str">
        <f>_xlfn.XLOOKUP(Quota_tbl[[#This Row],[Rep_ID]],Dim_Reps!A:A,Dim_Reps!E:E)</f>
        <v>APAC</v>
      </c>
      <c r="J103" t="str">
        <f>_xlfn.XLOOKUP(Quota_tbl[[#This Row],[Period_Start_Date]],Dim_Date!A:A,Dim_Date!H:H)</f>
        <v>Aug 2025</v>
      </c>
    </row>
    <row r="104" spans="1:10" ht="15" customHeight="1" x14ac:dyDescent="0.2">
      <c r="A104" t="s">
        <v>199</v>
      </c>
      <c r="B104" s="49">
        <v>45901</v>
      </c>
      <c r="C104">
        <v>36</v>
      </c>
      <c r="D104" s="33">
        <v>14800</v>
      </c>
      <c r="E104" t="str">
        <f>_xlfn.XLOOKUP(Quota_tbl[[#This Row],[Rep_ID]],Dim_Reps!A:A,Dim_Reps!K:K)</f>
        <v>EUR</v>
      </c>
      <c r="F104" s="33">
        <f>(_xlfn.XLOOKUP(Quota_tbl[[#This Row],[Rate_Code_Generalized]],Lookups!A:A,Lookups!B:B)*Quota_tbl[[#This Row],[Quota_Amount_USD]])</f>
        <v>14800</v>
      </c>
      <c r="G104" t="str">
        <f>_xlfn.XLOOKUP(Quota_tbl[[#This Row],[Rep_ID]],Dim_Reps!A:A,Dim_Reps!C:C)</f>
        <v>SDR / Inside Sales Rep</v>
      </c>
      <c r="H104" t="str">
        <f>_xlfn.XLOOKUP(Quota_tbl[[#This Row],[Rep_ID]],Dim_Reps!A:A,Dim_Reps!D:D)</f>
        <v>Inside Sales</v>
      </c>
      <c r="I104" t="str">
        <f>_xlfn.XLOOKUP(Quota_tbl[[#This Row],[Rep_ID]],Dim_Reps!A:A,Dim_Reps!E:E)</f>
        <v>APAC</v>
      </c>
      <c r="J104" t="str">
        <f>_xlfn.XLOOKUP(Quota_tbl[[#This Row],[Period_Start_Date]],Dim_Date!A:A,Dim_Date!H:H)</f>
        <v>Sep 2025</v>
      </c>
    </row>
    <row r="105" spans="1:10" ht="15" customHeight="1" x14ac:dyDescent="0.2">
      <c r="A105" t="s">
        <v>199</v>
      </c>
      <c r="B105" s="49">
        <v>45931</v>
      </c>
      <c r="C105">
        <v>37</v>
      </c>
      <c r="D105" s="33">
        <v>15600</v>
      </c>
      <c r="E105" t="str">
        <f>_xlfn.XLOOKUP(Quota_tbl[[#This Row],[Rep_ID]],Dim_Reps!A:A,Dim_Reps!K:K)</f>
        <v>EUR</v>
      </c>
      <c r="F105" s="33">
        <f>(_xlfn.XLOOKUP(Quota_tbl[[#This Row],[Rate_Code_Generalized]],Lookups!A:A,Lookups!B:B)*Quota_tbl[[#This Row],[Quota_Amount_USD]])</f>
        <v>15600</v>
      </c>
      <c r="G105" t="str">
        <f>_xlfn.XLOOKUP(Quota_tbl[[#This Row],[Rep_ID]],Dim_Reps!A:A,Dim_Reps!C:C)</f>
        <v>SDR / Inside Sales Rep</v>
      </c>
      <c r="H105" t="str">
        <f>_xlfn.XLOOKUP(Quota_tbl[[#This Row],[Rep_ID]],Dim_Reps!A:A,Dim_Reps!D:D)</f>
        <v>Inside Sales</v>
      </c>
      <c r="I105" t="str">
        <f>_xlfn.XLOOKUP(Quota_tbl[[#This Row],[Rep_ID]],Dim_Reps!A:A,Dim_Reps!E:E)</f>
        <v>APAC</v>
      </c>
      <c r="J105" t="str">
        <f>_xlfn.XLOOKUP(Quota_tbl[[#This Row],[Period_Start_Date]],Dim_Date!A:A,Dim_Date!H:H)</f>
        <v>Oct 2025</v>
      </c>
    </row>
    <row r="106" spans="1:10" ht="15" customHeight="1" x14ac:dyDescent="0.2">
      <c r="A106" t="s">
        <v>199</v>
      </c>
      <c r="B106" s="49">
        <v>45962</v>
      </c>
      <c r="C106">
        <v>38</v>
      </c>
      <c r="D106" s="33">
        <v>15600</v>
      </c>
      <c r="E106" t="str">
        <f>_xlfn.XLOOKUP(Quota_tbl[[#This Row],[Rep_ID]],Dim_Reps!A:A,Dim_Reps!K:K)</f>
        <v>EUR</v>
      </c>
      <c r="F106" s="33">
        <f>(_xlfn.XLOOKUP(Quota_tbl[[#This Row],[Rate_Code_Generalized]],Lookups!A:A,Lookups!B:B)*Quota_tbl[[#This Row],[Quota_Amount_USD]])</f>
        <v>15600</v>
      </c>
      <c r="G106" t="str">
        <f>_xlfn.XLOOKUP(Quota_tbl[[#This Row],[Rep_ID]],Dim_Reps!A:A,Dim_Reps!C:C)</f>
        <v>SDR / Inside Sales Rep</v>
      </c>
      <c r="H106" t="str">
        <f>_xlfn.XLOOKUP(Quota_tbl[[#This Row],[Rep_ID]],Dim_Reps!A:A,Dim_Reps!D:D)</f>
        <v>Inside Sales</v>
      </c>
      <c r="I106" t="str">
        <f>_xlfn.XLOOKUP(Quota_tbl[[#This Row],[Rep_ID]],Dim_Reps!A:A,Dim_Reps!E:E)</f>
        <v>APAC</v>
      </c>
      <c r="J106" t="str">
        <f>_xlfn.XLOOKUP(Quota_tbl[[#This Row],[Period_Start_Date]],Dim_Date!A:A,Dim_Date!H:H)</f>
        <v>Nov 2025</v>
      </c>
    </row>
    <row r="107" spans="1:10" ht="15" customHeight="1" x14ac:dyDescent="0.2">
      <c r="A107" t="s">
        <v>199</v>
      </c>
      <c r="B107" s="49">
        <v>45992</v>
      </c>
      <c r="C107">
        <v>39</v>
      </c>
      <c r="D107" s="33">
        <v>15900</v>
      </c>
      <c r="E107" t="str">
        <f>_xlfn.XLOOKUP(Quota_tbl[[#This Row],[Rep_ID]],Dim_Reps!A:A,Dim_Reps!K:K)</f>
        <v>EUR</v>
      </c>
      <c r="F107" s="33">
        <f>(_xlfn.XLOOKUP(Quota_tbl[[#This Row],[Rate_Code_Generalized]],Lookups!A:A,Lookups!B:B)*Quota_tbl[[#This Row],[Quota_Amount_USD]])</f>
        <v>15900</v>
      </c>
      <c r="G107" t="str">
        <f>_xlfn.XLOOKUP(Quota_tbl[[#This Row],[Rep_ID]],Dim_Reps!A:A,Dim_Reps!C:C)</f>
        <v>SDR / Inside Sales Rep</v>
      </c>
      <c r="H107" t="str">
        <f>_xlfn.XLOOKUP(Quota_tbl[[#This Row],[Rep_ID]],Dim_Reps!A:A,Dim_Reps!D:D)</f>
        <v>Inside Sales</v>
      </c>
      <c r="I107" t="str">
        <f>_xlfn.XLOOKUP(Quota_tbl[[#This Row],[Rep_ID]],Dim_Reps!A:A,Dim_Reps!E:E)</f>
        <v>APAC</v>
      </c>
      <c r="J107" t="str">
        <f>_xlfn.XLOOKUP(Quota_tbl[[#This Row],[Period_Start_Date]],Dim_Date!A:A,Dim_Date!H:H)</f>
        <v>Dec 2025</v>
      </c>
    </row>
    <row r="108" spans="1:10" ht="15" customHeight="1" x14ac:dyDescent="0.2">
      <c r="A108" t="s">
        <v>201</v>
      </c>
      <c r="B108" s="49">
        <v>45839</v>
      </c>
      <c r="C108">
        <v>0</v>
      </c>
      <c r="D108" s="33">
        <v>3700</v>
      </c>
      <c r="E108" t="str">
        <f>_xlfn.XLOOKUP(Quota_tbl[[#This Row],[Rep_ID]],Dim_Reps!A:A,Dim_Reps!K:K)</f>
        <v>EUR</v>
      </c>
      <c r="F108" s="33">
        <f>(_xlfn.XLOOKUP(Quota_tbl[[#This Row],[Rate_Code_Generalized]],Lookups!A:A,Lookups!B:B)*Quota_tbl[[#This Row],[Quota_Amount_USD]])</f>
        <v>3700</v>
      </c>
      <c r="G108" t="str">
        <f>_xlfn.XLOOKUP(Quota_tbl[[#This Row],[Rep_ID]],Dim_Reps!A:A,Dim_Reps!C:C)</f>
        <v>SDR / Inside Sales Rep</v>
      </c>
      <c r="H108" t="str">
        <f>_xlfn.XLOOKUP(Quota_tbl[[#This Row],[Rep_ID]],Dim_Reps!A:A,Dim_Reps!D:D)</f>
        <v>Inside Sales</v>
      </c>
      <c r="I108" t="str">
        <f>_xlfn.XLOOKUP(Quota_tbl[[#This Row],[Rep_ID]],Dim_Reps!A:A,Dim_Reps!E:E)</f>
        <v>APAC</v>
      </c>
      <c r="J108" t="str">
        <f>_xlfn.XLOOKUP(Quota_tbl[[#This Row],[Period_Start_Date]],Dim_Date!A:A,Dim_Date!H:H)</f>
        <v>Jul 2025</v>
      </c>
    </row>
    <row r="109" spans="1:10" ht="15" customHeight="1" x14ac:dyDescent="0.2">
      <c r="A109" t="s">
        <v>201</v>
      </c>
      <c r="B109" s="49">
        <v>45870</v>
      </c>
      <c r="C109">
        <v>1</v>
      </c>
      <c r="D109" s="33">
        <v>7400</v>
      </c>
      <c r="E109" t="str">
        <f>_xlfn.XLOOKUP(Quota_tbl[[#This Row],[Rep_ID]],Dim_Reps!A:A,Dim_Reps!K:K)</f>
        <v>EUR</v>
      </c>
      <c r="F109" s="33">
        <f>(_xlfn.XLOOKUP(Quota_tbl[[#This Row],[Rate_Code_Generalized]],Lookups!A:A,Lookups!B:B)*Quota_tbl[[#This Row],[Quota_Amount_USD]])</f>
        <v>7400</v>
      </c>
      <c r="G109" t="str">
        <f>_xlfn.XLOOKUP(Quota_tbl[[#This Row],[Rep_ID]],Dim_Reps!A:A,Dim_Reps!C:C)</f>
        <v>SDR / Inside Sales Rep</v>
      </c>
      <c r="H109" t="str">
        <f>_xlfn.XLOOKUP(Quota_tbl[[#This Row],[Rep_ID]],Dim_Reps!A:A,Dim_Reps!D:D)</f>
        <v>Inside Sales</v>
      </c>
      <c r="I109" t="str">
        <f>_xlfn.XLOOKUP(Quota_tbl[[#This Row],[Rep_ID]],Dim_Reps!A:A,Dim_Reps!E:E)</f>
        <v>APAC</v>
      </c>
      <c r="J109" t="str">
        <f>_xlfn.XLOOKUP(Quota_tbl[[#This Row],[Period_Start_Date]],Dim_Date!A:A,Dim_Date!H:H)</f>
        <v>Aug 2025</v>
      </c>
    </row>
    <row r="110" spans="1:10" ht="15" customHeight="1" x14ac:dyDescent="0.2">
      <c r="A110" t="s">
        <v>201</v>
      </c>
      <c r="B110" s="49">
        <v>45901</v>
      </c>
      <c r="C110">
        <v>2</v>
      </c>
      <c r="D110" s="33">
        <v>11800</v>
      </c>
      <c r="E110" t="str">
        <f>_xlfn.XLOOKUP(Quota_tbl[[#This Row],[Rep_ID]],Dim_Reps!A:A,Dim_Reps!K:K)</f>
        <v>EUR</v>
      </c>
      <c r="F110" s="33">
        <f>(_xlfn.XLOOKUP(Quota_tbl[[#This Row],[Rate_Code_Generalized]],Lookups!A:A,Lookups!B:B)*Quota_tbl[[#This Row],[Quota_Amount_USD]])</f>
        <v>11800</v>
      </c>
      <c r="G110" t="str">
        <f>_xlfn.XLOOKUP(Quota_tbl[[#This Row],[Rep_ID]],Dim_Reps!A:A,Dim_Reps!C:C)</f>
        <v>SDR / Inside Sales Rep</v>
      </c>
      <c r="H110" t="str">
        <f>_xlfn.XLOOKUP(Quota_tbl[[#This Row],[Rep_ID]],Dim_Reps!A:A,Dim_Reps!D:D)</f>
        <v>Inside Sales</v>
      </c>
      <c r="I110" t="str">
        <f>_xlfn.XLOOKUP(Quota_tbl[[#This Row],[Rep_ID]],Dim_Reps!A:A,Dim_Reps!E:E)</f>
        <v>APAC</v>
      </c>
      <c r="J110" t="str">
        <f>_xlfn.XLOOKUP(Quota_tbl[[#This Row],[Period_Start_Date]],Dim_Date!A:A,Dim_Date!H:H)</f>
        <v>Sep 2025</v>
      </c>
    </row>
    <row r="111" spans="1:10" ht="15" customHeight="1" x14ac:dyDescent="0.2">
      <c r="A111" t="s">
        <v>201</v>
      </c>
      <c r="B111" s="49">
        <v>45931</v>
      </c>
      <c r="C111">
        <v>3</v>
      </c>
      <c r="D111" s="33">
        <v>15600</v>
      </c>
      <c r="E111" t="str">
        <f>_xlfn.XLOOKUP(Quota_tbl[[#This Row],[Rep_ID]],Dim_Reps!A:A,Dim_Reps!K:K)</f>
        <v>EUR</v>
      </c>
      <c r="F111" s="33">
        <f>(_xlfn.XLOOKUP(Quota_tbl[[#This Row],[Rate_Code_Generalized]],Lookups!A:A,Lookups!B:B)*Quota_tbl[[#This Row],[Quota_Amount_USD]])</f>
        <v>15600</v>
      </c>
      <c r="G111" t="str">
        <f>_xlfn.XLOOKUP(Quota_tbl[[#This Row],[Rep_ID]],Dim_Reps!A:A,Dim_Reps!C:C)</f>
        <v>SDR / Inside Sales Rep</v>
      </c>
      <c r="H111" t="str">
        <f>_xlfn.XLOOKUP(Quota_tbl[[#This Row],[Rep_ID]],Dim_Reps!A:A,Dim_Reps!D:D)</f>
        <v>Inside Sales</v>
      </c>
      <c r="I111" t="str">
        <f>_xlfn.XLOOKUP(Quota_tbl[[#This Row],[Rep_ID]],Dim_Reps!A:A,Dim_Reps!E:E)</f>
        <v>APAC</v>
      </c>
      <c r="J111" t="str">
        <f>_xlfn.XLOOKUP(Quota_tbl[[#This Row],[Period_Start_Date]],Dim_Date!A:A,Dim_Date!H:H)</f>
        <v>Oct 2025</v>
      </c>
    </row>
    <row r="112" spans="1:10" ht="15" customHeight="1" x14ac:dyDescent="0.2">
      <c r="A112" t="s">
        <v>201</v>
      </c>
      <c r="B112" s="49">
        <v>45962</v>
      </c>
      <c r="C112">
        <v>4</v>
      </c>
      <c r="D112" s="33">
        <v>15600</v>
      </c>
      <c r="E112" t="str">
        <f>_xlfn.XLOOKUP(Quota_tbl[[#This Row],[Rep_ID]],Dim_Reps!A:A,Dim_Reps!K:K)</f>
        <v>EUR</v>
      </c>
      <c r="F112" s="33">
        <f>(_xlfn.XLOOKUP(Quota_tbl[[#This Row],[Rate_Code_Generalized]],Lookups!A:A,Lookups!B:B)*Quota_tbl[[#This Row],[Quota_Amount_USD]])</f>
        <v>15600</v>
      </c>
      <c r="G112" t="str">
        <f>_xlfn.XLOOKUP(Quota_tbl[[#This Row],[Rep_ID]],Dim_Reps!A:A,Dim_Reps!C:C)</f>
        <v>SDR / Inside Sales Rep</v>
      </c>
      <c r="H112" t="str">
        <f>_xlfn.XLOOKUP(Quota_tbl[[#This Row],[Rep_ID]],Dim_Reps!A:A,Dim_Reps!D:D)</f>
        <v>Inside Sales</v>
      </c>
      <c r="I112" t="str">
        <f>_xlfn.XLOOKUP(Quota_tbl[[#This Row],[Rep_ID]],Dim_Reps!A:A,Dim_Reps!E:E)</f>
        <v>APAC</v>
      </c>
      <c r="J112" t="str">
        <f>_xlfn.XLOOKUP(Quota_tbl[[#This Row],[Period_Start_Date]],Dim_Date!A:A,Dim_Date!H:H)</f>
        <v>Nov 2025</v>
      </c>
    </row>
    <row r="113" spans="1:10" ht="15" customHeight="1" x14ac:dyDescent="0.2">
      <c r="A113" t="s">
        <v>201</v>
      </c>
      <c r="B113" s="49">
        <v>45992</v>
      </c>
      <c r="C113">
        <v>5</v>
      </c>
      <c r="D113" s="33">
        <v>15700</v>
      </c>
      <c r="E113" t="str">
        <f>_xlfn.XLOOKUP(Quota_tbl[[#This Row],[Rep_ID]],Dim_Reps!A:A,Dim_Reps!K:K)</f>
        <v>EUR</v>
      </c>
      <c r="F113" s="33">
        <f>(_xlfn.XLOOKUP(Quota_tbl[[#This Row],[Rate_Code_Generalized]],Lookups!A:A,Lookups!B:B)*Quota_tbl[[#This Row],[Quota_Amount_USD]])</f>
        <v>15700</v>
      </c>
      <c r="G113" t="str">
        <f>_xlfn.XLOOKUP(Quota_tbl[[#This Row],[Rep_ID]],Dim_Reps!A:A,Dim_Reps!C:C)</f>
        <v>SDR / Inside Sales Rep</v>
      </c>
      <c r="H113" t="str">
        <f>_xlfn.XLOOKUP(Quota_tbl[[#This Row],[Rep_ID]],Dim_Reps!A:A,Dim_Reps!D:D)</f>
        <v>Inside Sales</v>
      </c>
      <c r="I113" t="str">
        <f>_xlfn.XLOOKUP(Quota_tbl[[#This Row],[Rep_ID]],Dim_Reps!A:A,Dim_Reps!E:E)</f>
        <v>APAC</v>
      </c>
      <c r="J113" t="str">
        <f>_xlfn.XLOOKUP(Quota_tbl[[#This Row],[Period_Start_Date]],Dim_Date!A:A,Dim_Date!H:H)</f>
        <v>Dec 2025</v>
      </c>
    </row>
    <row r="114" spans="1:10" ht="15" customHeight="1" x14ac:dyDescent="0.2">
      <c r="A114" t="s">
        <v>181</v>
      </c>
      <c r="B114" s="49">
        <v>45383</v>
      </c>
      <c r="C114">
        <v>0</v>
      </c>
      <c r="D114" s="33">
        <v>7800</v>
      </c>
      <c r="E114" t="str">
        <f>_xlfn.XLOOKUP(Quota_tbl[[#This Row],[Rep_ID]],Dim_Reps!A:A,Dim_Reps!K:K)</f>
        <v>USD</v>
      </c>
      <c r="F114" s="33">
        <f>(_xlfn.XLOOKUP(Quota_tbl[[#This Row],[Rate_Code_Generalized]],Lookups!A:A,Lookups!B:B)*Quota_tbl[[#This Row],[Quota_Amount_USD]])</f>
        <v>9081.5399999999991</v>
      </c>
      <c r="G114" t="str">
        <f>_xlfn.XLOOKUP(Quota_tbl[[#This Row],[Rep_ID]],Dim_Reps!A:A,Dim_Reps!C:C)</f>
        <v>Enterprise AE</v>
      </c>
      <c r="H114" t="str">
        <f>_xlfn.XLOOKUP(Quota_tbl[[#This Row],[Rep_ID]],Dim_Reps!A:A,Dim_Reps!D:D)</f>
        <v>Enterprise</v>
      </c>
      <c r="I114" t="str">
        <f>_xlfn.XLOOKUP(Quota_tbl[[#This Row],[Rep_ID]],Dim_Reps!A:A,Dim_Reps!E:E)</f>
        <v>NAMER</v>
      </c>
      <c r="J114" t="str">
        <f>_xlfn.XLOOKUP(Quota_tbl[[#This Row],[Period_Start_Date]],Dim_Date!A:A,Dim_Date!H:H)</f>
        <v>Apr 2024</v>
      </c>
    </row>
    <row r="115" spans="1:10" ht="15" customHeight="1" x14ac:dyDescent="0.2">
      <c r="A115" t="s">
        <v>181</v>
      </c>
      <c r="B115" s="49">
        <v>45413</v>
      </c>
      <c r="C115">
        <v>1</v>
      </c>
      <c r="D115" s="33">
        <v>16100</v>
      </c>
      <c r="E115" t="str">
        <f>_xlfn.XLOOKUP(Quota_tbl[[#This Row],[Rep_ID]],Dim_Reps!A:A,Dim_Reps!K:K)</f>
        <v>USD</v>
      </c>
      <c r="F115" s="33">
        <f>(_xlfn.XLOOKUP(Quota_tbl[[#This Row],[Rate_Code_Generalized]],Lookups!A:A,Lookups!B:B)*Quota_tbl[[#This Row],[Quota_Amount_USD]])</f>
        <v>18745.23</v>
      </c>
      <c r="G115" t="str">
        <f>_xlfn.XLOOKUP(Quota_tbl[[#This Row],[Rep_ID]],Dim_Reps!A:A,Dim_Reps!C:C)</f>
        <v>Enterprise AE</v>
      </c>
      <c r="H115" t="str">
        <f>_xlfn.XLOOKUP(Quota_tbl[[#This Row],[Rep_ID]],Dim_Reps!A:A,Dim_Reps!D:D)</f>
        <v>Enterprise</v>
      </c>
      <c r="I115" t="str">
        <f>_xlfn.XLOOKUP(Quota_tbl[[#This Row],[Rep_ID]],Dim_Reps!A:A,Dim_Reps!E:E)</f>
        <v>NAMER</v>
      </c>
      <c r="J115" t="str">
        <f>_xlfn.XLOOKUP(Quota_tbl[[#This Row],[Period_Start_Date]],Dim_Date!A:A,Dim_Date!H:H)</f>
        <v>May 2024</v>
      </c>
    </row>
    <row r="116" spans="1:10" ht="15" customHeight="1" x14ac:dyDescent="0.2">
      <c r="A116" t="s">
        <v>181</v>
      </c>
      <c r="B116" s="49">
        <v>45444</v>
      </c>
      <c r="C116">
        <v>2</v>
      </c>
      <c r="D116" s="33">
        <v>24200</v>
      </c>
      <c r="E116" t="str">
        <f>_xlfn.XLOOKUP(Quota_tbl[[#This Row],[Rep_ID]],Dim_Reps!A:A,Dim_Reps!K:K)</f>
        <v>USD</v>
      </c>
      <c r="F116" s="33">
        <f>(_xlfn.XLOOKUP(Quota_tbl[[#This Row],[Rate_Code_Generalized]],Lookups!A:A,Lookups!B:B)*Quota_tbl[[#This Row],[Quota_Amount_USD]])</f>
        <v>28176.059999999998</v>
      </c>
      <c r="G116" t="str">
        <f>_xlfn.XLOOKUP(Quota_tbl[[#This Row],[Rep_ID]],Dim_Reps!A:A,Dim_Reps!C:C)</f>
        <v>Enterprise AE</v>
      </c>
      <c r="H116" t="str">
        <f>_xlfn.XLOOKUP(Quota_tbl[[#This Row],[Rep_ID]],Dim_Reps!A:A,Dim_Reps!D:D)</f>
        <v>Enterprise</v>
      </c>
      <c r="I116" t="str">
        <f>_xlfn.XLOOKUP(Quota_tbl[[#This Row],[Rep_ID]],Dim_Reps!A:A,Dim_Reps!E:E)</f>
        <v>NAMER</v>
      </c>
      <c r="J116" t="str">
        <f>_xlfn.XLOOKUP(Quota_tbl[[#This Row],[Period_Start_Date]],Dim_Date!A:A,Dim_Date!H:H)</f>
        <v>Jun 2024</v>
      </c>
    </row>
    <row r="117" spans="1:10" ht="15" customHeight="1" x14ac:dyDescent="0.2">
      <c r="A117" t="s">
        <v>181</v>
      </c>
      <c r="B117" s="49">
        <v>45474</v>
      </c>
      <c r="C117">
        <v>3</v>
      </c>
      <c r="D117" s="33">
        <v>31300</v>
      </c>
      <c r="E117" t="str">
        <f>_xlfn.XLOOKUP(Quota_tbl[[#This Row],[Rep_ID]],Dim_Reps!A:A,Dim_Reps!K:K)</f>
        <v>USD</v>
      </c>
      <c r="F117" s="33">
        <f>(_xlfn.XLOOKUP(Quota_tbl[[#This Row],[Rate_Code_Generalized]],Lookups!A:A,Lookups!B:B)*Quota_tbl[[#This Row],[Quota_Amount_USD]])</f>
        <v>36442.589999999997</v>
      </c>
      <c r="G117" t="str">
        <f>_xlfn.XLOOKUP(Quota_tbl[[#This Row],[Rep_ID]],Dim_Reps!A:A,Dim_Reps!C:C)</f>
        <v>Enterprise AE</v>
      </c>
      <c r="H117" t="str">
        <f>_xlfn.XLOOKUP(Quota_tbl[[#This Row],[Rep_ID]],Dim_Reps!A:A,Dim_Reps!D:D)</f>
        <v>Enterprise</v>
      </c>
      <c r="I117" t="str">
        <f>_xlfn.XLOOKUP(Quota_tbl[[#This Row],[Rep_ID]],Dim_Reps!A:A,Dim_Reps!E:E)</f>
        <v>NAMER</v>
      </c>
      <c r="J117" t="str">
        <f>_xlfn.XLOOKUP(Quota_tbl[[#This Row],[Period_Start_Date]],Dim_Date!A:A,Dim_Date!H:H)</f>
        <v>Jul 2024</v>
      </c>
    </row>
    <row r="118" spans="1:10" ht="15" customHeight="1" x14ac:dyDescent="0.2">
      <c r="A118" t="s">
        <v>181</v>
      </c>
      <c r="B118" s="49">
        <v>45505</v>
      </c>
      <c r="C118">
        <v>4</v>
      </c>
      <c r="D118" s="33">
        <v>33800</v>
      </c>
      <c r="E118" t="str">
        <f>_xlfn.XLOOKUP(Quota_tbl[[#This Row],[Rep_ID]],Dim_Reps!A:A,Dim_Reps!K:K)</f>
        <v>USD</v>
      </c>
      <c r="F118" s="33">
        <f>(_xlfn.XLOOKUP(Quota_tbl[[#This Row],[Rate_Code_Generalized]],Lookups!A:A,Lookups!B:B)*Quota_tbl[[#This Row],[Quota_Amount_USD]])</f>
        <v>39353.339999999997</v>
      </c>
      <c r="G118" t="str">
        <f>_xlfn.XLOOKUP(Quota_tbl[[#This Row],[Rep_ID]],Dim_Reps!A:A,Dim_Reps!C:C)</f>
        <v>Enterprise AE</v>
      </c>
      <c r="H118" t="str">
        <f>_xlfn.XLOOKUP(Quota_tbl[[#This Row],[Rep_ID]],Dim_Reps!A:A,Dim_Reps!D:D)</f>
        <v>Enterprise</v>
      </c>
      <c r="I118" t="str">
        <f>_xlfn.XLOOKUP(Quota_tbl[[#This Row],[Rep_ID]],Dim_Reps!A:A,Dim_Reps!E:E)</f>
        <v>NAMER</v>
      </c>
      <c r="J118" t="str">
        <f>_xlfn.XLOOKUP(Quota_tbl[[#This Row],[Period_Start_Date]],Dim_Date!A:A,Dim_Date!H:H)</f>
        <v>Aug 2024</v>
      </c>
    </row>
    <row r="119" spans="1:10" ht="15" customHeight="1" x14ac:dyDescent="0.2">
      <c r="A119" t="s">
        <v>181</v>
      </c>
      <c r="B119" s="49">
        <v>45536</v>
      </c>
      <c r="C119">
        <v>5</v>
      </c>
      <c r="D119" s="33">
        <v>32500</v>
      </c>
      <c r="E119" t="str">
        <f>_xlfn.XLOOKUP(Quota_tbl[[#This Row],[Rep_ID]],Dim_Reps!A:A,Dim_Reps!K:K)</f>
        <v>USD</v>
      </c>
      <c r="F119" s="33">
        <f>(_xlfn.XLOOKUP(Quota_tbl[[#This Row],[Rate_Code_Generalized]],Lookups!A:A,Lookups!B:B)*Quota_tbl[[#This Row],[Quota_Amount_USD]])</f>
        <v>37839.75</v>
      </c>
      <c r="G119" t="str">
        <f>_xlfn.XLOOKUP(Quota_tbl[[#This Row],[Rep_ID]],Dim_Reps!A:A,Dim_Reps!C:C)</f>
        <v>Enterprise AE</v>
      </c>
      <c r="H119" t="str">
        <f>_xlfn.XLOOKUP(Quota_tbl[[#This Row],[Rep_ID]],Dim_Reps!A:A,Dim_Reps!D:D)</f>
        <v>Enterprise</v>
      </c>
      <c r="I119" t="str">
        <f>_xlfn.XLOOKUP(Quota_tbl[[#This Row],[Rep_ID]],Dim_Reps!A:A,Dim_Reps!E:E)</f>
        <v>NAMER</v>
      </c>
      <c r="J119" t="str">
        <f>_xlfn.XLOOKUP(Quota_tbl[[#This Row],[Period_Start_Date]],Dim_Date!A:A,Dim_Date!H:H)</f>
        <v>Sep 2024</v>
      </c>
    </row>
    <row r="120" spans="1:10" ht="15" customHeight="1" x14ac:dyDescent="0.2">
      <c r="A120" t="s">
        <v>181</v>
      </c>
      <c r="B120" s="49">
        <v>45566</v>
      </c>
      <c r="C120">
        <v>6</v>
      </c>
      <c r="D120" s="33">
        <v>30900</v>
      </c>
      <c r="E120" t="str">
        <f>_xlfn.XLOOKUP(Quota_tbl[[#This Row],[Rep_ID]],Dim_Reps!A:A,Dim_Reps!K:K)</f>
        <v>USD</v>
      </c>
      <c r="F120" s="33">
        <f>(_xlfn.XLOOKUP(Quota_tbl[[#This Row],[Rate_Code_Generalized]],Lookups!A:A,Lookups!B:B)*Quota_tbl[[#This Row],[Quota_Amount_USD]])</f>
        <v>35976.869999999995</v>
      </c>
      <c r="G120" t="str">
        <f>_xlfn.XLOOKUP(Quota_tbl[[#This Row],[Rep_ID]],Dim_Reps!A:A,Dim_Reps!C:C)</f>
        <v>Enterprise AE</v>
      </c>
      <c r="H120" t="str">
        <f>_xlfn.XLOOKUP(Quota_tbl[[#This Row],[Rep_ID]],Dim_Reps!A:A,Dim_Reps!D:D)</f>
        <v>Enterprise</v>
      </c>
      <c r="I120" t="str">
        <f>_xlfn.XLOOKUP(Quota_tbl[[#This Row],[Rep_ID]],Dim_Reps!A:A,Dim_Reps!E:E)</f>
        <v>NAMER</v>
      </c>
      <c r="J120" t="str">
        <f>_xlfn.XLOOKUP(Quota_tbl[[#This Row],[Period_Start_Date]],Dim_Date!A:A,Dim_Date!H:H)</f>
        <v>Oct 2024</v>
      </c>
    </row>
    <row r="121" spans="1:10" ht="15" customHeight="1" x14ac:dyDescent="0.2">
      <c r="A121" t="s">
        <v>181</v>
      </c>
      <c r="B121" s="49">
        <v>45597</v>
      </c>
      <c r="C121">
        <v>7</v>
      </c>
      <c r="D121" s="33">
        <v>32600</v>
      </c>
      <c r="E121" t="str">
        <f>_xlfn.XLOOKUP(Quota_tbl[[#This Row],[Rep_ID]],Dim_Reps!A:A,Dim_Reps!K:K)</f>
        <v>USD</v>
      </c>
      <c r="F121" s="33">
        <f>(_xlfn.XLOOKUP(Quota_tbl[[#This Row],[Rate_Code_Generalized]],Lookups!A:A,Lookups!B:B)*Quota_tbl[[#This Row],[Quota_Amount_USD]])</f>
        <v>37956.179999999993</v>
      </c>
      <c r="G121" t="str">
        <f>_xlfn.XLOOKUP(Quota_tbl[[#This Row],[Rep_ID]],Dim_Reps!A:A,Dim_Reps!C:C)</f>
        <v>Enterprise AE</v>
      </c>
      <c r="H121" t="str">
        <f>_xlfn.XLOOKUP(Quota_tbl[[#This Row],[Rep_ID]],Dim_Reps!A:A,Dim_Reps!D:D)</f>
        <v>Enterprise</v>
      </c>
      <c r="I121" t="str">
        <f>_xlfn.XLOOKUP(Quota_tbl[[#This Row],[Rep_ID]],Dim_Reps!A:A,Dim_Reps!E:E)</f>
        <v>NAMER</v>
      </c>
      <c r="J121" t="str">
        <f>_xlfn.XLOOKUP(Quota_tbl[[#This Row],[Period_Start_Date]],Dim_Date!A:A,Dim_Date!H:H)</f>
        <v>Nov 2024</v>
      </c>
    </row>
    <row r="122" spans="1:10" ht="15" customHeight="1" x14ac:dyDescent="0.2">
      <c r="A122" t="s">
        <v>181</v>
      </c>
      <c r="B122" s="49">
        <v>45627</v>
      </c>
      <c r="C122">
        <v>8</v>
      </c>
      <c r="D122" s="33">
        <v>31100</v>
      </c>
      <c r="E122" t="str">
        <f>_xlfn.XLOOKUP(Quota_tbl[[#This Row],[Rep_ID]],Dim_Reps!A:A,Dim_Reps!K:K)</f>
        <v>USD</v>
      </c>
      <c r="F122" s="33">
        <f>(_xlfn.XLOOKUP(Quota_tbl[[#This Row],[Rate_Code_Generalized]],Lookups!A:A,Lookups!B:B)*Quota_tbl[[#This Row],[Quota_Amount_USD]])</f>
        <v>36209.729999999996</v>
      </c>
      <c r="G122" t="str">
        <f>_xlfn.XLOOKUP(Quota_tbl[[#This Row],[Rep_ID]],Dim_Reps!A:A,Dim_Reps!C:C)</f>
        <v>Enterprise AE</v>
      </c>
      <c r="H122" t="str">
        <f>_xlfn.XLOOKUP(Quota_tbl[[#This Row],[Rep_ID]],Dim_Reps!A:A,Dim_Reps!D:D)</f>
        <v>Enterprise</v>
      </c>
      <c r="I122" t="str">
        <f>_xlfn.XLOOKUP(Quota_tbl[[#This Row],[Rep_ID]],Dim_Reps!A:A,Dim_Reps!E:E)</f>
        <v>NAMER</v>
      </c>
      <c r="J122" t="str">
        <f>_xlfn.XLOOKUP(Quota_tbl[[#This Row],[Period_Start_Date]],Dim_Date!A:A,Dim_Date!H:H)</f>
        <v>Dec 2024</v>
      </c>
    </row>
    <row r="123" spans="1:10" ht="15" customHeight="1" x14ac:dyDescent="0.2">
      <c r="A123" t="s">
        <v>181</v>
      </c>
      <c r="B123" s="49">
        <v>45658</v>
      </c>
      <c r="C123">
        <v>9</v>
      </c>
      <c r="D123" s="33">
        <v>32800</v>
      </c>
      <c r="E123" t="str">
        <f>_xlfn.XLOOKUP(Quota_tbl[[#This Row],[Rep_ID]],Dim_Reps!A:A,Dim_Reps!K:K)</f>
        <v>USD</v>
      </c>
      <c r="F123" s="33">
        <f>(_xlfn.XLOOKUP(Quota_tbl[[#This Row],[Rate_Code_Generalized]],Lookups!A:A,Lookups!B:B)*Quota_tbl[[#This Row],[Quota_Amount_USD]])</f>
        <v>38189.039999999994</v>
      </c>
      <c r="G123" t="str">
        <f>_xlfn.XLOOKUP(Quota_tbl[[#This Row],[Rep_ID]],Dim_Reps!A:A,Dim_Reps!C:C)</f>
        <v>Enterprise AE</v>
      </c>
      <c r="H123" t="str">
        <f>_xlfn.XLOOKUP(Quota_tbl[[#This Row],[Rep_ID]],Dim_Reps!A:A,Dim_Reps!D:D)</f>
        <v>Enterprise</v>
      </c>
      <c r="I123" t="str">
        <f>_xlfn.XLOOKUP(Quota_tbl[[#This Row],[Rep_ID]],Dim_Reps!A:A,Dim_Reps!E:E)</f>
        <v>NAMER</v>
      </c>
      <c r="J123" t="str">
        <f>_xlfn.XLOOKUP(Quota_tbl[[#This Row],[Period_Start_Date]],Dim_Date!A:A,Dim_Date!H:H)</f>
        <v>Jan 2025</v>
      </c>
    </row>
    <row r="124" spans="1:10" ht="15" customHeight="1" x14ac:dyDescent="0.2">
      <c r="A124" t="s">
        <v>181</v>
      </c>
      <c r="B124" s="49">
        <v>45689</v>
      </c>
      <c r="C124">
        <v>10</v>
      </c>
      <c r="D124" s="33">
        <v>33100</v>
      </c>
      <c r="E124" t="str">
        <f>_xlfn.XLOOKUP(Quota_tbl[[#This Row],[Rep_ID]],Dim_Reps!A:A,Dim_Reps!K:K)</f>
        <v>USD</v>
      </c>
      <c r="F124" s="33">
        <f>(_xlfn.XLOOKUP(Quota_tbl[[#This Row],[Rate_Code_Generalized]],Lookups!A:A,Lookups!B:B)*Quota_tbl[[#This Row],[Quota_Amount_USD]])</f>
        <v>38538.329999999994</v>
      </c>
      <c r="G124" t="str">
        <f>_xlfn.XLOOKUP(Quota_tbl[[#This Row],[Rep_ID]],Dim_Reps!A:A,Dim_Reps!C:C)</f>
        <v>Enterprise AE</v>
      </c>
      <c r="H124" t="str">
        <f>_xlfn.XLOOKUP(Quota_tbl[[#This Row],[Rep_ID]],Dim_Reps!A:A,Dim_Reps!D:D)</f>
        <v>Enterprise</v>
      </c>
      <c r="I124" t="str">
        <f>_xlfn.XLOOKUP(Quota_tbl[[#This Row],[Rep_ID]],Dim_Reps!A:A,Dim_Reps!E:E)</f>
        <v>NAMER</v>
      </c>
      <c r="J124" t="str">
        <f>_xlfn.XLOOKUP(Quota_tbl[[#This Row],[Period_Start_Date]],Dim_Date!A:A,Dim_Date!H:H)</f>
        <v>Feb 2025</v>
      </c>
    </row>
    <row r="125" spans="1:10" ht="15" customHeight="1" x14ac:dyDescent="0.2">
      <c r="A125" t="s">
        <v>181</v>
      </c>
      <c r="B125" s="49">
        <v>45717</v>
      </c>
      <c r="C125">
        <v>11</v>
      </c>
      <c r="D125" s="33">
        <v>31200</v>
      </c>
      <c r="E125" t="str">
        <f>_xlfn.XLOOKUP(Quota_tbl[[#This Row],[Rep_ID]],Dim_Reps!A:A,Dim_Reps!K:K)</f>
        <v>USD</v>
      </c>
      <c r="F125" s="33">
        <f>(_xlfn.XLOOKUP(Quota_tbl[[#This Row],[Rate_Code_Generalized]],Lookups!A:A,Lookups!B:B)*Quota_tbl[[#This Row],[Quota_Amount_USD]])</f>
        <v>36326.159999999996</v>
      </c>
      <c r="G125" t="str">
        <f>_xlfn.XLOOKUP(Quota_tbl[[#This Row],[Rep_ID]],Dim_Reps!A:A,Dim_Reps!C:C)</f>
        <v>Enterprise AE</v>
      </c>
      <c r="H125" t="str">
        <f>_xlfn.XLOOKUP(Quota_tbl[[#This Row],[Rep_ID]],Dim_Reps!A:A,Dim_Reps!D:D)</f>
        <v>Enterprise</v>
      </c>
      <c r="I125" t="str">
        <f>_xlfn.XLOOKUP(Quota_tbl[[#This Row],[Rep_ID]],Dim_Reps!A:A,Dim_Reps!E:E)</f>
        <v>NAMER</v>
      </c>
      <c r="J125" t="str">
        <f>_xlfn.XLOOKUP(Quota_tbl[[#This Row],[Period_Start_Date]],Dim_Date!A:A,Dim_Date!H:H)</f>
        <v>Mar 2025</v>
      </c>
    </row>
    <row r="126" spans="1:10" ht="15" customHeight="1" x14ac:dyDescent="0.2">
      <c r="A126" t="s">
        <v>181</v>
      </c>
      <c r="B126" s="49">
        <v>45748</v>
      </c>
      <c r="C126">
        <v>12</v>
      </c>
      <c r="D126" s="33">
        <v>32900</v>
      </c>
      <c r="E126" t="str">
        <f>_xlfn.XLOOKUP(Quota_tbl[[#This Row],[Rep_ID]],Dim_Reps!A:A,Dim_Reps!K:K)</f>
        <v>USD</v>
      </c>
      <c r="F126" s="33">
        <f>(_xlfn.XLOOKUP(Quota_tbl[[#This Row],[Rate_Code_Generalized]],Lookups!A:A,Lookups!B:B)*Quota_tbl[[#This Row],[Quota_Amount_USD]])</f>
        <v>38305.469999999994</v>
      </c>
      <c r="G126" t="str">
        <f>_xlfn.XLOOKUP(Quota_tbl[[#This Row],[Rep_ID]],Dim_Reps!A:A,Dim_Reps!C:C)</f>
        <v>Enterprise AE</v>
      </c>
      <c r="H126" t="str">
        <f>_xlfn.XLOOKUP(Quota_tbl[[#This Row],[Rep_ID]],Dim_Reps!A:A,Dim_Reps!D:D)</f>
        <v>Enterprise</v>
      </c>
      <c r="I126" t="str">
        <f>_xlfn.XLOOKUP(Quota_tbl[[#This Row],[Rep_ID]],Dim_Reps!A:A,Dim_Reps!E:E)</f>
        <v>NAMER</v>
      </c>
      <c r="J126" t="str">
        <f>_xlfn.XLOOKUP(Quota_tbl[[#This Row],[Period_Start_Date]],Dim_Date!A:A,Dim_Date!H:H)</f>
        <v>Apr 2025</v>
      </c>
    </row>
    <row r="127" spans="1:10" ht="15" customHeight="1" x14ac:dyDescent="0.2">
      <c r="A127" t="s">
        <v>181</v>
      </c>
      <c r="B127" s="49">
        <v>45778</v>
      </c>
      <c r="C127">
        <v>13</v>
      </c>
      <c r="D127" s="33">
        <v>32400</v>
      </c>
      <c r="E127" t="str">
        <f>_xlfn.XLOOKUP(Quota_tbl[[#This Row],[Rep_ID]],Dim_Reps!A:A,Dim_Reps!K:K)</f>
        <v>USD</v>
      </c>
      <c r="F127" s="33">
        <f>(_xlfn.XLOOKUP(Quota_tbl[[#This Row],[Rate_Code_Generalized]],Lookups!A:A,Lookups!B:B)*Quota_tbl[[#This Row],[Quota_Amount_USD]])</f>
        <v>37723.32</v>
      </c>
      <c r="G127" t="str">
        <f>_xlfn.XLOOKUP(Quota_tbl[[#This Row],[Rep_ID]],Dim_Reps!A:A,Dim_Reps!C:C)</f>
        <v>Enterprise AE</v>
      </c>
      <c r="H127" t="str">
        <f>_xlfn.XLOOKUP(Quota_tbl[[#This Row],[Rep_ID]],Dim_Reps!A:A,Dim_Reps!D:D)</f>
        <v>Enterprise</v>
      </c>
      <c r="I127" t="str">
        <f>_xlfn.XLOOKUP(Quota_tbl[[#This Row],[Rep_ID]],Dim_Reps!A:A,Dim_Reps!E:E)</f>
        <v>NAMER</v>
      </c>
      <c r="J127" t="str">
        <f>_xlfn.XLOOKUP(Quota_tbl[[#This Row],[Period_Start_Date]],Dim_Date!A:A,Dim_Date!H:H)</f>
        <v>May 2025</v>
      </c>
    </row>
    <row r="128" spans="1:10" ht="15" customHeight="1" x14ac:dyDescent="0.2">
      <c r="A128" t="s">
        <v>181</v>
      </c>
      <c r="B128" s="49">
        <v>45809</v>
      </c>
      <c r="C128">
        <v>14</v>
      </c>
      <c r="D128" s="33">
        <v>32800</v>
      </c>
      <c r="E128" t="str">
        <f>_xlfn.XLOOKUP(Quota_tbl[[#This Row],[Rep_ID]],Dim_Reps!A:A,Dim_Reps!K:K)</f>
        <v>USD</v>
      </c>
      <c r="F128" s="33">
        <f>(_xlfn.XLOOKUP(Quota_tbl[[#This Row],[Rate_Code_Generalized]],Lookups!A:A,Lookups!B:B)*Quota_tbl[[#This Row],[Quota_Amount_USD]])</f>
        <v>38189.039999999994</v>
      </c>
      <c r="G128" t="str">
        <f>_xlfn.XLOOKUP(Quota_tbl[[#This Row],[Rep_ID]],Dim_Reps!A:A,Dim_Reps!C:C)</f>
        <v>Enterprise AE</v>
      </c>
      <c r="H128" t="str">
        <f>_xlfn.XLOOKUP(Quota_tbl[[#This Row],[Rep_ID]],Dim_Reps!A:A,Dim_Reps!D:D)</f>
        <v>Enterprise</v>
      </c>
      <c r="I128" t="str">
        <f>_xlfn.XLOOKUP(Quota_tbl[[#This Row],[Rep_ID]],Dim_Reps!A:A,Dim_Reps!E:E)</f>
        <v>NAMER</v>
      </c>
      <c r="J128" t="str">
        <f>_xlfn.XLOOKUP(Quota_tbl[[#This Row],[Period_Start_Date]],Dim_Date!A:A,Dim_Date!H:H)</f>
        <v>Jun 2025</v>
      </c>
    </row>
    <row r="129" spans="1:10" ht="15" customHeight="1" x14ac:dyDescent="0.2">
      <c r="A129" t="s">
        <v>181</v>
      </c>
      <c r="B129" s="49">
        <v>45839</v>
      </c>
      <c r="C129">
        <v>15</v>
      </c>
      <c r="D129" s="33">
        <v>33800</v>
      </c>
      <c r="E129" t="str">
        <f>_xlfn.XLOOKUP(Quota_tbl[[#This Row],[Rep_ID]],Dim_Reps!A:A,Dim_Reps!K:K)</f>
        <v>USD</v>
      </c>
      <c r="F129" s="33">
        <f>(_xlfn.XLOOKUP(Quota_tbl[[#This Row],[Rate_Code_Generalized]],Lookups!A:A,Lookups!B:B)*Quota_tbl[[#This Row],[Quota_Amount_USD]])</f>
        <v>39353.339999999997</v>
      </c>
      <c r="G129" t="str">
        <f>_xlfn.XLOOKUP(Quota_tbl[[#This Row],[Rep_ID]],Dim_Reps!A:A,Dim_Reps!C:C)</f>
        <v>Enterprise AE</v>
      </c>
      <c r="H129" t="str">
        <f>_xlfn.XLOOKUP(Quota_tbl[[#This Row],[Rep_ID]],Dim_Reps!A:A,Dim_Reps!D:D)</f>
        <v>Enterprise</v>
      </c>
      <c r="I129" t="str">
        <f>_xlfn.XLOOKUP(Quota_tbl[[#This Row],[Rep_ID]],Dim_Reps!A:A,Dim_Reps!E:E)</f>
        <v>NAMER</v>
      </c>
      <c r="J129" t="str">
        <f>_xlfn.XLOOKUP(Quota_tbl[[#This Row],[Period_Start_Date]],Dim_Date!A:A,Dim_Date!H:H)</f>
        <v>Jul 2025</v>
      </c>
    </row>
    <row r="130" spans="1:10" ht="15" customHeight="1" x14ac:dyDescent="0.2">
      <c r="A130" t="s">
        <v>181</v>
      </c>
      <c r="B130" s="49">
        <v>45870</v>
      </c>
      <c r="C130">
        <v>16</v>
      </c>
      <c r="D130" s="33">
        <v>31800</v>
      </c>
      <c r="E130" t="str">
        <f>_xlfn.XLOOKUP(Quota_tbl[[#This Row],[Rep_ID]],Dim_Reps!A:A,Dim_Reps!K:K)</f>
        <v>USD</v>
      </c>
      <c r="F130" s="33">
        <f>(_xlfn.XLOOKUP(Quota_tbl[[#This Row],[Rate_Code_Generalized]],Lookups!A:A,Lookups!B:B)*Quota_tbl[[#This Row],[Quota_Amount_USD]])</f>
        <v>37024.74</v>
      </c>
      <c r="G130" t="str">
        <f>_xlfn.XLOOKUP(Quota_tbl[[#This Row],[Rep_ID]],Dim_Reps!A:A,Dim_Reps!C:C)</f>
        <v>Enterprise AE</v>
      </c>
      <c r="H130" t="str">
        <f>_xlfn.XLOOKUP(Quota_tbl[[#This Row],[Rep_ID]],Dim_Reps!A:A,Dim_Reps!D:D)</f>
        <v>Enterprise</v>
      </c>
      <c r="I130" t="str">
        <f>_xlfn.XLOOKUP(Quota_tbl[[#This Row],[Rep_ID]],Dim_Reps!A:A,Dim_Reps!E:E)</f>
        <v>NAMER</v>
      </c>
      <c r="J130" t="str">
        <f>_xlfn.XLOOKUP(Quota_tbl[[#This Row],[Period_Start_Date]],Dim_Date!A:A,Dim_Date!H:H)</f>
        <v>Aug 2025</v>
      </c>
    </row>
    <row r="131" spans="1:10" ht="15" customHeight="1" x14ac:dyDescent="0.2">
      <c r="A131" t="s">
        <v>181</v>
      </c>
      <c r="B131" s="49">
        <v>45901</v>
      </c>
      <c r="C131">
        <v>17</v>
      </c>
      <c r="D131" s="33">
        <v>31300</v>
      </c>
      <c r="E131" t="str">
        <f>_xlfn.XLOOKUP(Quota_tbl[[#This Row],[Rep_ID]],Dim_Reps!A:A,Dim_Reps!K:K)</f>
        <v>USD</v>
      </c>
      <c r="F131" s="33">
        <f>(_xlfn.XLOOKUP(Quota_tbl[[#This Row],[Rate_Code_Generalized]],Lookups!A:A,Lookups!B:B)*Quota_tbl[[#This Row],[Quota_Amount_USD]])</f>
        <v>36442.589999999997</v>
      </c>
      <c r="G131" t="str">
        <f>_xlfn.XLOOKUP(Quota_tbl[[#This Row],[Rep_ID]],Dim_Reps!A:A,Dim_Reps!C:C)</f>
        <v>Enterprise AE</v>
      </c>
      <c r="H131" t="str">
        <f>_xlfn.XLOOKUP(Quota_tbl[[#This Row],[Rep_ID]],Dim_Reps!A:A,Dim_Reps!D:D)</f>
        <v>Enterprise</v>
      </c>
      <c r="I131" t="str">
        <f>_xlfn.XLOOKUP(Quota_tbl[[#This Row],[Rep_ID]],Dim_Reps!A:A,Dim_Reps!E:E)</f>
        <v>NAMER</v>
      </c>
      <c r="J131" t="str">
        <f>_xlfn.XLOOKUP(Quota_tbl[[#This Row],[Period_Start_Date]],Dim_Date!A:A,Dim_Date!H:H)</f>
        <v>Sep 2025</v>
      </c>
    </row>
    <row r="132" spans="1:10" ht="15" customHeight="1" x14ac:dyDescent="0.2">
      <c r="A132" t="s">
        <v>181</v>
      </c>
      <c r="B132" s="49">
        <v>45931</v>
      </c>
      <c r="C132">
        <v>18</v>
      </c>
      <c r="D132" s="33">
        <v>31100</v>
      </c>
      <c r="E132" t="str">
        <f>_xlfn.XLOOKUP(Quota_tbl[[#This Row],[Rep_ID]],Dim_Reps!A:A,Dim_Reps!K:K)</f>
        <v>USD</v>
      </c>
      <c r="F132" s="33">
        <f>(_xlfn.XLOOKUP(Quota_tbl[[#This Row],[Rate_Code_Generalized]],Lookups!A:A,Lookups!B:B)*Quota_tbl[[#This Row],[Quota_Amount_USD]])</f>
        <v>36209.729999999996</v>
      </c>
      <c r="G132" t="str">
        <f>_xlfn.XLOOKUP(Quota_tbl[[#This Row],[Rep_ID]],Dim_Reps!A:A,Dim_Reps!C:C)</f>
        <v>Enterprise AE</v>
      </c>
      <c r="H132" t="str">
        <f>_xlfn.XLOOKUP(Quota_tbl[[#This Row],[Rep_ID]],Dim_Reps!A:A,Dim_Reps!D:D)</f>
        <v>Enterprise</v>
      </c>
      <c r="I132" t="str">
        <f>_xlfn.XLOOKUP(Quota_tbl[[#This Row],[Rep_ID]],Dim_Reps!A:A,Dim_Reps!E:E)</f>
        <v>NAMER</v>
      </c>
      <c r="J132" t="str">
        <f>_xlfn.XLOOKUP(Quota_tbl[[#This Row],[Period_Start_Date]],Dim_Date!A:A,Dim_Date!H:H)</f>
        <v>Oct 2025</v>
      </c>
    </row>
    <row r="133" spans="1:10" ht="15" customHeight="1" x14ac:dyDescent="0.2">
      <c r="A133" t="s">
        <v>181</v>
      </c>
      <c r="B133" s="49">
        <v>45962</v>
      </c>
      <c r="C133">
        <v>19</v>
      </c>
      <c r="D133" s="33">
        <v>31200</v>
      </c>
      <c r="E133" t="str">
        <f>_xlfn.XLOOKUP(Quota_tbl[[#This Row],[Rep_ID]],Dim_Reps!A:A,Dim_Reps!K:K)</f>
        <v>USD</v>
      </c>
      <c r="F133" s="33">
        <f>(_xlfn.XLOOKUP(Quota_tbl[[#This Row],[Rate_Code_Generalized]],Lookups!A:A,Lookups!B:B)*Quota_tbl[[#This Row],[Quota_Amount_USD]])</f>
        <v>36326.159999999996</v>
      </c>
      <c r="G133" t="str">
        <f>_xlfn.XLOOKUP(Quota_tbl[[#This Row],[Rep_ID]],Dim_Reps!A:A,Dim_Reps!C:C)</f>
        <v>Enterprise AE</v>
      </c>
      <c r="H133" t="str">
        <f>_xlfn.XLOOKUP(Quota_tbl[[#This Row],[Rep_ID]],Dim_Reps!A:A,Dim_Reps!D:D)</f>
        <v>Enterprise</v>
      </c>
      <c r="I133" t="str">
        <f>_xlfn.XLOOKUP(Quota_tbl[[#This Row],[Rep_ID]],Dim_Reps!A:A,Dim_Reps!E:E)</f>
        <v>NAMER</v>
      </c>
      <c r="J133" t="str">
        <f>_xlfn.XLOOKUP(Quota_tbl[[#This Row],[Period_Start_Date]],Dim_Date!A:A,Dim_Date!H:H)</f>
        <v>Nov 2025</v>
      </c>
    </row>
    <row r="134" spans="1:10" ht="15" customHeight="1" x14ac:dyDescent="0.2">
      <c r="A134" t="s">
        <v>181</v>
      </c>
      <c r="B134" s="49">
        <v>45992</v>
      </c>
      <c r="C134">
        <v>20</v>
      </c>
      <c r="D134" s="33">
        <v>31900</v>
      </c>
      <c r="E134" t="str">
        <f>_xlfn.XLOOKUP(Quota_tbl[[#This Row],[Rep_ID]],Dim_Reps!A:A,Dim_Reps!K:K)</f>
        <v>USD</v>
      </c>
      <c r="F134" s="33">
        <f>(_xlfn.XLOOKUP(Quota_tbl[[#This Row],[Rate_Code_Generalized]],Lookups!A:A,Lookups!B:B)*Quota_tbl[[#This Row],[Quota_Amount_USD]])</f>
        <v>37141.17</v>
      </c>
      <c r="G134" t="str">
        <f>_xlfn.XLOOKUP(Quota_tbl[[#This Row],[Rep_ID]],Dim_Reps!A:A,Dim_Reps!C:C)</f>
        <v>Enterprise AE</v>
      </c>
      <c r="H134" t="str">
        <f>_xlfn.XLOOKUP(Quota_tbl[[#This Row],[Rep_ID]],Dim_Reps!A:A,Dim_Reps!D:D)</f>
        <v>Enterprise</v>
      </c>
      <c r="I134" t="str">
        <f>_xlfn.XLOOKUP(Quota_tbl[[#This Row],[Rep_ID]],Dim_Reps!A:A,Dim_Reps!E:E)</f>
        <v>NAMER</v>
      </c>
      <c r="J134" t="str">
        <f>_xlfn.XLOOKUP(Quota_tbl[[#This Row],[Period_Start_Date]],Dim_Date!A:A,Dim_Date!H:H)</f>
        <v>Dec 2025</v>
      </c>
    </row>
    <row r="135" spans="1:10" ht="15" customHeight="1" x14ac:dyDescent="0.2">
      <c r="A135" t="s">
        <v>246</v>
      </c>
      <c r="B135" s="49">
        <v>45778</v>
      </c>
      <c r="C135">
        <v>0</v>
      </c>
      <c r="D135" s="33">
        <v>5600</v>
      </c>
      <c r="E135" t="str">
        <f>_xlfn.XLOOKUP(Quota_tbl[[#This Row],[Rep_ID]],Dim_Reps!A:A,Dim_Reps!K:K)</f>
        <v>EUR</v>
      </c>
      <c r="F135" s="33">
        <f>(_xlfn.XLOOKUP(Quota_tbl[[#This Row],[Rate_Code_Generalized]],Lookups!A:A,Lookups!B:B)*Quota_tbl[[#This Row],[Quota_Amount_USD]])</f>
        <v>5600</v>
      </c>
      <c r="G135" t="str">
        <f>_xlfn.XLOOKUP(Quota_tbl[[#This Row],[Rep_ID]],Dim_Reps!A:A,Dim_Reps!C:C)</f>
        <v>Mid-Market AE</v>
      </c>
      <c r="H135" t="str">
        <f>_xlfn.XLOOKUP(Quota_tbl[[#This Row],[Rep_ID]],Dim_Reps!A:A,Dim_Reps!D:D)</f>
        <v>Mid-Market</v>
      </c>
      <c r="I135" t="str">
        <f>_xlfn.XLOOKUP(Quota_tbl[[#This Row],[Rep_ID]],Dim_Reps!A:A,Dim_Reps!E:E)</f>
        <v>APAC</v>
      </c>
      <c r="J135" t="str">
        <f>_xlfn.XLOOKUP(Quota_tbl[[#This Row],[Period_Start_Date]],Dim_Date!A:A,Dim_Date!H:H)</f>
        <v>May 2025</v>
      </c>
    </row>
    <row r="136" spans="1:10" ht="15" customHeight="1" x14ac:dyDescent="0.2">
      <c r="A136" t="s">
        <v>246</v>
      </c>
      <c r="B136" s="49">
        <v>45809</v>
      </c>
      <c r="C136">
        <v>1</v>
      </c>
      <c r="D136" s="33">
        <v>11100</v>
      </c>
      <c r="E136" t="str">
        <f>_xlfn.XLOOKUP(Quota_tbl[[#This Row],[Rep_ID]],Dim_Reps!A:A,Dim_Reps!K:K)</f>
        <v>EUR</v>
      </c>
      <c r="F136" s="33">
        <f>(_xlfn.XLOOKUP(Quota_tbl[[#This Row],[Rate_Code_Generalized]],Lookups!A:A,Lookups!B:B)*Quota_tbl[[#This Row],[Quota_Amount_USD]])</f>
        <v>11100</v>
      </c>
      <c r="G136" t="str">
        <f>_xlfn.XLOOKUP(Quota_tbl[[#This Row],[Rep_ID]],Dim_Reps!A:A,Dim_Reps!C:C)</f>
        <v>Mid-Market AE</v>
      </c>
      <c r="H136" t="str">
        <f>_xlfn.XLOOKUP(Quota_tbl[[#This Row],[Rep_ID]],Dim_Reps!A:A,Dim_Reps!D:D)</f>
        <v>Mid-Market</v>
      </c>
      <c r="I136" t="str">
        <f>_xlfn.XLOOKUP(Quota_tbl[[#This Row],[Rep_ID]],Dim_Reps!A:A,Dim_Reps!E:E)</f>
        <v>APAC</v>
      </c>
      <c r="J136" t="str">
        <f>_xlfn.XLOOKUP(Quota_tbl[[#This Row],[Period_Start_Date]],Dim_Date!A:A,Dim_Date!H:H)</f>
        <v>Jun 2025</v>
      </c>
    </row>
    <row r="137" spans="1:10" ht="15" customHeight="1" x14ac:dyDescent="0.2">
      <c r="A137" t="s">
        <v>246</v>
      </c>
      <c r="B137" s="49">
        <v>45839</v>
      </c>
      <c r="C137">
        <v>2</v>
      </c>
      <c r="D137" s="33">
        <v>16900</v>
      </c>
      <c r="E137" t="str">
        <f>_xlfn.XLOOKUP(Quota_tbl[[#This Row],[Rep_ID]],Dim_Reps!A:A,Dim_Reps!K:K)</f>
        <v>EUR</v>
      </c>
      <c r="F137" s="33">
        <f>(_xlfn.XLOOKUP(Quota_tbl[[#This Row],[Rate_Code_Generalized]],Lookups!A:A,Lookups!B:B)*Quota_tbl[[#This Row],[Quota_Amount_USD]])</f>
        <v>16900</v>
      </c>
      <c r="G137" t="str">
        <f>_xlfn.XLOOKUP(Quota_tbl[[#This Row],[Rep_ID]],Dim_Reps!A:A,Dim_Reps!C:C)</f>
        <v>Mid-Market AE</v>
      </c>
      <c r="H137" t="str">
        <f>_xlfn.XLOOKUP(Quota_tbl[[#This Row],[Rep_ID]],Dim_Reps!A:A,Dim_Reps!D:D)</f>
        <v>Mid-Market</v>
      </c>
      <c r="I137" t="str">
        <f>_xlfn.XLOOKUP(Quota_tbl[[#This Row],[Rep_ID]],Dim_Reps!A:A,Dim_Reps!E:E)</f>
        <v>APAC</v>
      </c>
      <c r="J137" t="str">
        <f>_xlfn.XLOOKUP(Quota_tbl[[#This Row],[Period_Start_Date]],Dim_Date!A:A,Dim_Date!H:H)</f>
        <v>Jul 2025</v>
      </c>
    </row>
    <row r="138" spans="1:10" ht="15" customHeight="1" x14ac:dyDescent="0.2">
      <c r="A138" t="s">
        <v>246</v>
      </c>
      <c r="B138" s="49">
        <v>45870</v>
      </c>
      <c r="C138">
        <v>3</v>
      </c>
      <c r="D138" s="33">
        <v>22000</v>
      </c>
      <c r="E138" t="str">
        <f>_xlfn.XLOOKUP(Quota_tbl[[#This Row],[Rep_ID]],Dim_Reps!A:A,Dim_Reps!K:K)</f>
        <v>EUR</v>
      </c>
      <c r="F138" s="33">
        <f>(_xlfn.XLOOKUP(Quota_tbl[[#This Row],[Rate_Code_Generalized]],Lookups!A:A,Lookups!B:B)*Quota_tbl[[#This Row],[Quota_Amount_USD]])</f>
        <v>22000</v>
      </c>
      <c r="G138" t="str">
        <f>_xlfn.XLOOKUP(Quota_tbl[[#This Row],[Rep_ID]],Dim_Reps!A:A,Dim_Reps!C:C)</f>
        <v>Mid-Market AE</v>
      </c>
      <c r="H138" t="str">
        <f>_xlfn.XLOOKUP(Quota_tbl[[#This Row],[Rep_ID]],Dim_Reps!A:A,Dim_Reps!D:D)</f>
        <v>Mid-Market</v>
      </c>
      <c r="I138" t="str">
        <f>_xlfn.XLOOKUP(Quota_tbl[[#This Row],[Rep_ID]],Dim_Reps!A:A,Dim_Reps!E:E)</f>
        <v>APAC</v>
      </c>
      <c r="J138" t="str">
        <f>_xlfn.XLOOKUP(Quota_tbl[[#This Row],[Period_Start_Date]],Dim_Date!A:A,Dim_Date!H:H)</f>
        <v>Aug 2025</v>
      </c>
    </row>
    <row r="139" spans="1:10" ht="15" customHeight="1" x14ac:dyDescent="0.2">
      <c r="A139" t="s">
        <v>246</v>
      </c>
      <c r="B139" s="49">
        <v>45901</v>
      </c>
      <c r="C139">
        <v>4</v>
      </c>
      <c r="D139" s="33">
        <v>23000</v>
      </c>
      <c r="E139" t="str">
        <f>_xlfn.XLOOKUP(Quota_tbl[[#This Row],[Rep_ID]],Dim_Reps!A:A,Dim_Reps!K:K)</f>
        <v>EUR</v>
      </c>
      <c r="F139" s="33">
        <f>(_xlfn.XLOOKUP(Quota_tbl[[#This Row],[Rate_Code_Generalized]],Lookups!A:A,Lookups!B:B)*Quota_tbl[[#This Row],[Quota_Amount_USD]])</f>
        <v>23000</v>
      </c>
      <c r="G139" t="str">
        <f>_xlfn.XLOOKUP(Quota_tbl[[#This Row],[Rep_ID]],Dim_Reps!A:A,Dim_Reps!C:C)</f>
        <v>Mid-Market AE</v>
      </c>
      <c r="H139" t="str">
        <f>_xlfn.XLOOKUP(Quota_tbl[[#This Row],[Rep_ID]],Dim_Reps!A:A,Dim_Reps!D:D)</f>
        <v>Mid-Market</v>
      </c>
      <c r="I139" t="str">
        <f>_xlfn.XLOOKUP(Quota_tbl[[#This Row],[Rep_ID]],Dim_Reps!A:A,Dim_Reps!E:E)</f>
        <v>APAC</v>
      </c>
      <c r="J139" t="str">
        <f>_xlfn.XLOOKUP(Quota_tbl[[#This Row],[Period_Start_Date]],Dim_Date!A:A,Dim_Date!H:H)</f>
        <v>Sep 2025</v>
      </c>
    </row>
    <row r="140" spans="1:10" ht="15" customHeight="1" x14ac:dyDescent="0.2">
      <c r="A140" t="s">
        <v>246</v>
      </c>
      <c r="B140" s="49">
        <v>45931</v>
      </c>
      <c r="C140">
        <v>5</v>
      </c>
      <c r="D140" s="33">
        <v>21800</v>
      </c>
      <c r="E140" t="str">
        <f>_xlfn.XLOOKUP(Quota_tbl[[#This Row],[Rep_ID]],Dim_Reps!A:A,Dim_Reps!K:K)</f>
        <v>EUR</v>
      </c>
      <c r="F140" s="33">
        <f>(_xlfn.XLOOKUP(Quota_tbl[[#This Row],[Rate_Code_Generalized]],Lookups!A:A,Lookups!B:B)*Quota_tbl[[#This Row],[Quota_Amount_USD]])</f>
        <v>21800</v>
      </c>
      <c r="G140" t="str">
        <f>_xlfn.XLOOKUP(Quota_tbl[[#This Row],[Rep_ID]],Dim_Reps!A:A,Dim_Reps!C:C)</f>
        <v>Mid-Market AE</v>
      </c>
      <c r="H140" t="str">
        <f>_xlfn.XLOOKUP(Quota_tbl[[#This Row],[Rep_ID]],Dim_Reps!A:A,Dim_Reps!D:D)</f>
        <v>Mid-Market</v>
      </c>
      <c r="I140" t="str">
        <f>_xlfn.XLOOKUP(Quota_tbl[[#This Row],[Rep_ID]],Dim_Reps!A:A,Dim_Reps!E:E)</f>
        <v>APAC</v>
      </c>
      <c r="J140" t="str">
        <f>_xlfn.XLOOKUP(Quota_tbl[[#This Row],[Period_Start_Date]],Dim_Date!A:A,Dim_Date!H:H)</f>
        <v>Oct 2025</v>
      </c>
    </row>
    <row r="141" spans="1:10" ht="15" customHeight="1" x14ac:dyDescent="0.2">
      <c r="A141" t="s">
        <v>246</v>
      </c>
      <c r="B141" s="49">
        <v>45962</v>
      </c>
      <c r="C141">
        <v>6</v>
      </c>
      <c r="D141" s="33">
        <v>23800</v>
      </c>
      <c r="E141" t="str">
        <f>_xlfn.XLOOKUP(Quota_tbl[[#This Row],[Rep_ID]],Dim_Reps!A:A,Dim_Reps!K:K)</f>
        <v>EUR</v>
      </c>
      <c r="F141" s="33">
        <f>(_xlfn.XLOOKUP(Quota_tbl[[#This Row],[Rate_Code_Generalized]],Lookups!A:A,Lookups!B:B)*Quota_tbl[[#This Row],[Quota_Amount_USD]])</f>
        <v>23800</v>
      </c>
      <c r="G141" t="str">
        <f>_xlfn.XLOOKUP(Quota_tbl[[#This Row],[Rep_ID]],Dim_Reps!A:A,Dim_Reps!C:C)</f>
        <v>Mid-Market AE</v>
      </c>
      <c r="H141" t="str">
        <f>_xlfn.XLOOKUP(Quota_tbl[[#This Row],[Rep_ID]],Dim_Reps!A:A,Dim_Reps!D:D)</f>
        <v>Mid-Market</v>
      </c>
      <c r="I141" t="str">
        <f>_xlfn.XLOOKUP(Quota_tbl[[#This Row],[Rep_ID]],Dim_Reps!A:A,Dim_Reps!E:E)</f>
        <v>APAC</v>
      </c>
      <c r="J141" t="str">
        <f>_xlfn.XLOOKUP(Quota_tbl[[#This Row],[Period_Start_Date]],Dim_Date!A:A,Dim_Date!H:H)</f>
        <v>Nov 2025</v>
      </c>
    </row>
    <row r="142" spans="1:10" ht="15" customHeight="1" x14ac:dyDescent="0.2">
      <c r="A142" t="s">
        <v>246</v>
      </c>
      <c r="B142" s="49">
        <v>45992</v>
      </c>
      <c r="C142">
        <v>7</v>
      </c>
      <c r="D142" s="33">
        <v>22400</v>
      </c>
      <c r="E142" t="str">
        <f>_xlfn.XLOOKUP(Quota_tbl[[#This Row],[Rep_ID]],Dim_Reps!A:A,Dim_Reps!K:K)</f>
        <v>EUR</v>
      </c>
      <c r="F142" s="33">
        <f>(_xlfn.XLOOKUP(Quota_tbl[[#This Row],[Rate_Code_Generalized]],Lookups!A:A,Lookups!B:B)*Quota_tbl[[#This Row],[Quota_Amount_USD]])</f>
        <v>22400</v>
      </c>
      <c r="G142" t="str">
        <f>_xlfn.XLOOKUP(Quota_tbl[[#This Row],[Rep_ID]],Dim_Reps!A:A,Dim_Reps!C:C)</f>
        <v>Mid-Market AE</v>
      </c>
      <c r="H142" t="str">
        <f>_xlfn.XLOOKUP(Quota_tbl[[#This Row],[Rep_ID]],Dim_Reps!A:A,Dim_Reps!D:D)</f>
        <v>Mid-Market</v>
      </c>
      <c r="I142" t="str">
        <f>_xlfn.XLOOKUP(Quota_tbl[[#This Row],[Rep_ID]],Dim_Reps!A:A,Dim_Reps!E:E)</f>
        <v>APAC</v>
      </c>
      <c r="J142" t="str">
        <f>_xlfn.XLOOKUP(Quota_tbl[[#This Row],[Period_Start_Date]],Dim_Date!A:A,Dim_Date!H:H)</f>
        <v>Dec 2025</v>
      </c>
    </row>
    <row r="143" spans="1:10" ht="15" customHeight="1" x14ac:dyDescent="0.2">
      <c r="A143" t="s">
        <v>183</v>
      </c>
      <c r="B143" s="49">
        <v>45292</v>
      </c>
      <c r="C143">
        <v>3</v>
      </c>
      <c r="D143" s="33">
        <v>31200</v>
      </c>
      <c r="E143" t="str">
        <f>_xlfn.XLOOKUP(Quota_tbl[[#This Row],[Rep_ID]],Dim_Reps!A:A,Dim_Reps!K:K)</f>
        <v>EUR</v>
      </c>
      <c r="F143" s="33">
        <f>(_xlfn.XLOOKUP(Quota_tbl[[#This Row],[Rate_Code_Generalized]],Lookups!A:A,Lookups!B:B)*Quota_tbl[[#This Row],[Quota_Amount_USD]])</f>
        <v>31200</v>
      </c>
      <c r="G143" t="str">
        <f>_xlfn.XLOOKUP(Quota_tbl[[#This Row],[Rep_ID]],Dim_Reps!A:A,Dim_Reps!C:C)</f>
        <v>Enterprise AE</v>
      </c>
      <c r="H143" t="str">
        <f>_xlfn.XLOOKUP(Quota_tbl[[#This Row],[Rep_ID]],Dim_Reps!A:A,Dim_Reps!D:D)</f>
        <v>Enterprise</v>
      </c>
      <c r="I143" t="str">
        <f>_xlfn.XLOOKUP(Quota_tbl[[#This Row],[Rep_ID]],Dim_Reps!A:A,Dim_Reps!E:E)</f>
        <v>EMEA</v>
      </c>
      <c r="J143" t="str">
        <f>_xlfn.XLOOKUP(Quota_tbl[[#This Row],[Period_Start_Date]],Dim_Date!A:A,Dim_Date!H:H)</f>
        <v>Jan 2024</v>
      </c>
    </row>
    <row r="144" spans="1:10" ht="15" customHeight="1" x14ac:dyDescent="0.2">
      <c r="A144" t="s">
        <v>183</v>
      </c>
      <c r="B144" s="49">
        <v>45323</v>
      </c>
      <c r="C144">
        <v>4</v>
      </c>
      <c r="D144" s="33">
        <v>31000</v>
      </c>
      <c r="E144" t="str">
        <f>_xlfn.XLOOKUP(Quota_tbl[[#This Row],[Rep_ID]],Dim_Reps!A:A,Dim_Reps!K:K)</f>
        <v>EUR</v>
      </c>
      <c r="F144" s="33">
        <f>(_xlfn.XLOOKUP(Quota_tbl[[#This Row],[Rate_Code_Generalized]],Lookups!A:A,Lookups!B:B)*Quota_tbl[[#This Row],[Quota_Amount_USD]])</f>
        <v>31000</v>
      </c>
      <c r="G144" t="str">
        <f>_xlfn.XLOOKUP(Quota_tbl[[#This Row],[Rep_ID]],Dim_Reps!A:A,Dim_Reps!C:C)</f>
        <v>Enterprise AE</v>
      </c>
      <c r="H144" t="str">
        <f>_xlfn.XLOOKUP(Quota_tbl[[#This Row],[Rep_ID]],Dim_Reps!A:A,Dim_Reps!D:D)</f>
        <v>Enterprise</v>
      </c>
      <c r="I144" t="str">
        <f>_xlfn.XLOOKUP(Quota_tbl[[#This Row],[Rep_ID]],Dim_Reps!A:A,Dim_Reps!E:E)</f>
        <v>EMEA</v>
      </c>
      <c r="J144" t="str">
        <f>_xlfn.XLOOKUP(Quota_tbl[[#This Row],[Period_Start_Date]],Dim_Date!A:A,Dim_Date!H:H)</f>
        <v>Feb 2024</v>
      </c>
    </row>
    <row r="145" spans="1:10" ht="15" customHeight="1" x14ac:dyDescent="0.2">
      <c r="A145" t="s">
        <v>183</v>
      </c>
      <c r="B145" s="49">
        <v>45352</v>
      </c>
      <c r="C145">
        <v>5</v>
      </c>
      <c r="D145" s="33">
        <v>32500</v>
      </c>
      <c r="E145" t="str">
        <f>_xlfn.XLOOKUP(Quota_tbl[[#This Row],[Rep_ID]],Dim_Reps!A:A,Dim_Reps!K:K)</f>
        <v>EUR</v>
      </c>
      <c r="F145" s="33">
        <f>(_xlfn.XLOOKUP(Quota_tbl[[#This Row],[Rate_Code_Generalized]],Lookups!A:A,Lookups!B:B)*Quota_tbl[[#This Row],[Quota_Amount_USD]])</f>
        <v>32500</v>
      </c>
      <c r="G145" t="str">
        <f>_xlfn.XLOOKUP(Quota_tbl[[#This Row],[Rep_ID]],Dim_Reps!A:A,Dim_Reps!C:C)</f>
        <v>Enterprise AE</v>
      </c>
      <c r="H145" t="str">
        <f>_xlfn.XLOOKUP(Quota_tbl[[#This Row],[Rep_ID]],Dim_Reps!A:A,Dim_Reps!D:D)</f>
        <v>Enterprise</v>
      </c>
      <c r="I145" t="str">
        <f>_xlfn.XLOOKUP(Quota_tbl[[#This Row],[Rep_ID]],Dim_Reps!A:A,Dim_Reps!E:E)</f>
        <v>EMEA</v>
      </c>
      <c r="J145" t="str">
        <f>_xlfn.XLOOKUP(Quota_tbl[[#This Row],[Period_Start_Date]],Dim_Date!A:A,Dim_Date!H:H)</f>
        <v>Mar 2024</v>
      </c>
    </row>
    <row r="146" spans="1:10" ht="15" customHeight="1" x14ac:dyDescent="0.2">
      <c r="A146" t="s">
        <v>183</v>
      </c>
      <c r="B146" s="49">
        <v>45383</v>
      </c>
      <c r="C146">
        <v>6</v>
      </c>
      <c r="D146" s="33">
        <v>31800</v>
      </c>
      <c r="E146" t="str">
        <f>_xlfn.XLOOKUP(Quota_tbl[[#This Row],[Rep_ID]],Dim_Reps!A:A,Dim_Reps!K:K)</f>
        <v>EUR</v>
      </c>
      <c r="F146" s="33">
        <f>(_xlfn.XLOOKUP(Quota_tbl[[#This Row],[Rate_Code_Generalized]],Lookups!A:A,Lookups!B:B)*Quota_tbl[[#This Row],[Quota_Amount_USD]])</f>
        <v>31800</v>
      </c>
      <c r="G146" t="str">
        <f>_xlfn.XLOOKUP(Quota_tbl[[#This Row],[Rep_ID]],Dim_Reps!A:A,Dim_Reps!C:C)</f>
        <v>Enterprise AE</v>
      </c>
      <c r="H146" t="str">
        <f>_xlfn.XLOOKUP(Quota_tbl[[#This Row],[Rep_ID]],Dim_Reps!A:A,Dim_Reps!D:D)</f>
        <v>Enterprise</v>
      </c>
      <c r="I146" t="str">
        <f>_xlfn.XLOOKUP(Quota_tbl[[#This Row],[Rep_ID]],Dim_Reps!A:A,Dim_Reps!E:E)</f>
        <v>EMEA</v>
      </c>
      <c r="J146" t="str">
        <f>_xlfn.XLOOKUP(Quota_tbl[[#This Row],[Period_Start_Date]],Dim_Date!A:A,Dim_Date!H:H)</f>
        <v>Apr 2024</v>
      </c>
    </row>
    <row r="147" spans="1:10" ht="15" customHeight="1" x14ac:dyDescent="0.2">
      <c r="A147" t="s">
        <v>183</v>
      </c>
      <c r="B147" s="49">
        <v>45413</v>
      </c>
      <c r="C147">
        <v>7</v>
      </c>
      <c r="D147" s="33">
        <v>32700</v>
      </c>
      <c r="E147" t="str">
        <f>_xlfn.XLOOKUP(Quota_tbl[[#This Row],[Rep_ID]],Dim_Reps!A:A,Dim_Reps!K:K)</f>
        <v>EUR</v>
      </c>
      <c r="F147" s="33">
        <f>(_xlfn.XLOOKUP(Quota_tbl[[#This Row],[Rate_Code_Generalized]],Lookups!A:A,Lookups!B:B)*Quota_tbl[[#This Row],[Quota_Amount_USD]])</f>
        <v>32700</v>
      </c>
      <c r="G147" t="str">
        <f>_xlfn.XLOOKUP(Quota_tbl[[#This Row],[Rep_ID]],Dim_Reps!A:A,Dim_Reps!C:C)</f>
        <v>Enterprise AE</v>
      </c>
      <c r="H147" t="str">
        <f>_xlfn.XLOOKUP(Quota_tbl[[#This Row],[Rep_ID]],Dim_Reps!A:A,Dim_Reps!D:D)</f>
        <v>Enterprise</v>
      </c>
      <c r="I147" t="str">
        <f>_xlfn.XLOOKUP(Quota_tbl[[#This Row],[Rep_ID]],Dim_Reps!A:A,Dim_Reps!E:E)</f>
        <v>EMEA</v>
      </c>
      <c r="J147" t="str">
        <f>_xlfn.XLOOKUP(Quota_tbl[[#This Row],[Period_Start_Date]],Dim_Date!A:A,Dim_Date!H:H)</f>
        <v>May 2024</v>
      </c>
    </row>
    <row r="148" spans="1:10" ht="15" customHeight="1" x14ac:dyDescent="0.2">
      <c r="A148" t="s">
        <v>183</v>
      </c>
      <c r="B148" s="49">
        <v>45444</v>
      </c>
      <c r="C148">
        <v>8</v>
      </c>
      <c r="D148" s="33">
        <v>32500</v>
      </c>
      <c r="E148" t="str">
        <f>_xlfn.XLOOKUP(Quota_tbl[[#This Row],[Rep_ID]],Dim_Reps!A:A,Dim_Reps!K:K)</f>
        <v>EUR</v>
      </c>
      <c r="F148" s="33">
        <f>(_xlfn.XLOOKUP(Quota_tbl[[#This Row],[Rate_Code_Generalized]],Lookups!A:A,Lookups!B:B)*Quota_tbl[[#This Row],[Quota_Amount_USD]])</f>
        <v>32500</v>
      </c>
      <c r="G148" t="str">
        <f>_xlfn.XLOOKUP(Quota_tbl[[#This Row],[Rep_ID]],Dim_Reps!A:A,Dim_Reps!C:C)</f>
        <v>Enterprise AE</v>
      </c>
      <c r="H148" t="str">
        <f>_xlfn.XLOOKUP(Quota_tbl[[#This Row],[Rep_ID]],Dim_Reps!A:A,Dim_Reps!D:D)</f>
        <v>Enterprise</v>
      </c>
      <c r="I148" t="str">
        <f>_xlfn.XLOOKUP(Quota_tbl[[#This Row],[Rep_ID]],Dim_Reps!A:A,Dim_Reps!E:E)</f>
        <v>EMEA</v>
      </c>
      <c r="J148" t="str">
        <f>_xlfn.XLOOKUP(Quota_tbl[[#This Row],[Period_Start_Date]],Dim_Date!A:A,Dim_Date!H:H)</f>
        <v>Jun 2024</v>
      </c>
    </row>
    <row r="149" spans="1:10" ht="15" customHeight="1" x14ac:dyDescent="0.2">
      <c r="A149" t="s">
        <v>183</v>
      </c>
      <c r="B149" s="49">
        <v>45474</v>
      </c>
      <c r="C149">
        <v>9</v>
      </c>
      <c r="D149" s="33">
        <v>31900</v>
      </c>
      <c r="E149" t="str">
        <f>_xlfn.XLOOKUP(Quota_tbl[[#This Row],[Rep_ID]],Dim_Reps!A:A,Dim_Reps!K:K)</f>
        <v>EUR</v>
      </c>
      <c r="F149" s="33">
        <f>(_xlfn.XLOOKUP(Quota_tbl[[#This Row],[Rate_Code_Generalized]],Lookups!A:A,Lookups!B:B)*Quota_tbl[[#This Row],[Quota_Amount_USD]])</f>
        <v>31900</v>
      </c>
      <c r="G149" t="str">
        <f>_xlfn.XLOOKUP(Quota_tbl[[#This Row],[Rep_ID]],Dim_Reps!A:A,Dim_Reps!C:C)</f>
        <v>Enterprise AE</v>
      </c>
      <c r="H149" t="str">
        <f>_xlfn.XLOOKUP(Quota_tbl[[#This Row],[Rep_ID]],Dim_Reps!A:A,Dim_Reps!D:D)</f>
        <v>Enterprise</v>
      </c>
      <c r="I149" t="str">
        <f>_xlfn.XLOOKUP(Quota_tbl[[#This Row],[Rep_ID]],Dim_Reps!A:A,Dim_Reps!E:E)</f>
        <v>EMEA</v>
      </c>
      <c r="J149" t="str">
        <f>_xlfn.XLOOKUP(Quota_tbl[[#This Row],[Period_Start_Date]],Dim_Date!A:A,Dim_Date!H:H)</f>
        <v>Jul 2024</v>
      </c>
    </row>
    <row r="150" spans="1:10" ht="15" customHeight="1" x14ac:dyDescent="0.2">
      <c r="A150" t="s">
        <v>183</v>
      </c>
      <c r="B150" s="49">
        <v>45505</v>
      </c>
      <c r="C150">
        <v>10</v>
      </c>
      <c r="D150" s="33">
        <v>31200</v>
      </c>
      <c r="E150" t="str">
        <f>_xlfn.XLOOKUP(Quota_tbl[[#This Row],[Rep_ID]],Dim_Reps!A:A,Dim_Reps!K:K)</f>
        <v>EUR</v>
      </c>
      <c r="F150" s="33">
        <f>(_xlfn.XLOOKUP(Quota_tbl[[#This Row],[Rate_Code_Generalized]],Lookups!A:A,Lookups!B:B)*Quota_tbl[[#This Row],[Quota_Amount_USD]])</f>
        <v>31200</v>
      </c>
      <c r="G150" t="str">
        <f>_xlfn.XLOOKUP(Quota_tbl[[#This Row],[Rep_ID]],Dim_Reps!A:A,Dim_Reps!C:C)</f>
        <v>Enterprise AE</v>
      </c>
      <c r="H150" t="str">
        <f>_xlfn.XLOOKUP(Quota_tbl[[#This Row],[Rep_ID]],Dim_Reps!A:A,Dim_Reps!D:D)</f>
        <v>Enterprise</v>
      </c>
      <c r="I150" t="str">
        <f>_xlfn.XLOOKUP(Quota_tbl[[#This Row],[Rep_ID]],Dim_Reps!A:A,Dim_Reps!E:E)</f>
        <v>EMEA</v>
      </c>
      <c r="J150" t="str">
        <f>_xlfn.XLOOKUP(Quota_tbl[[#This Row],[Period_Start_Date]],Dim_Date!A:A,Dim_Date!H:H)</f>
        <v>Aug 2024</v>
      </c>
    </row>
    <row r="151" spans="1:10" ht="15" customHeight="1" x14ac:dyDescent="0.2">
      <c r="A151" t="s">
        <v>183</v>
      </c>
      <c r="B151" s="49">
        <v>45536</v>
      </c>
      <c r="C151">
        <v>11</v>
      </c>
      <c r="D151" s="33">
        <v>30500</v>
      </c>
      <c r="E151" t="str">
        <f>_xlfn.XLOOKUP(Quota_tbl[[#This Row],[Rep_ID]],Dim_Reps!A:A,Dim_Reps!K:K)</f>
        <v>EUR</v>
      </c>
      <c r="F151" s="33">
        <f>(_xlfn.XLOOKUP(Quota_tbl[[#This Row],[Rate_Code_Generalized]],Lookups!A:A,Lookups!B:B)*Quota_tbl[[#This Row],[Quota_Amount_USD]])</f>
        <v>30500</v>
      </c>
      <c r="G151" t="str">
        <f>_xlfn.XLOOKUP(Quota_tbl[[#This Row],[Rep_ID]],Dim_Reps!A:A,Dim_Reps!C:C)</f>
        <v>Enterprise AE</v>
      </c>
      <c r="H151" t="str">
        <f>_xlfn.XLOOKUP(Quota_tbl[[#This Row],[Rep_ID]],Dim_Reps!A:A,Dim_Reps!D:D)</f>
        <v>Enterprise</v>
      </c>
      <c r="I151" t="str">
        <f>_xlfn.XLOOKUP(Quota_tbl[[#This Row],[Rep_ID]],Dim_Reps!A:A,Dim_Reps!E:E)</f>
        <v>EMEA</v>
      </c>
      <c r="J151" t="str">
        <f>_xlfn.XLOOKUP(Quota_tbl[[#This Row],[Period_Start_Date]],Dim_Date!A:A,Dim_Date!H:H)</f>
        <v>Sep 2024</v>
      </c>
    </row>
    <row r="152" spans="1:10" ht="15" customHeight="1" x14ac:dyDescent="0.2">
      <c r="A152" t="s">
        <v>183</v>
      </c>
      <c r="B152" s="49">
        <v>45566</v>
      </c>
      <c r="C152">
        <v>12</v>
      </c>
      <c r="D152" s="33">
        <v>31600</v>
      </c>
      <c r="E152" t="str">
        <f>_xlfn.XLOOKUP(Quota_tbl[[#This Row],[Rep_ID]],Dim_Reps!A:A,Dim_Reps!K:K)</f>
        <v>EUR</v>
      </c>
      <c r="F152" s="33">
        <f>(_xlfn.XLOOKUP(Quota_tbl[[#This Row],[Rate_Code_Generalized]],Lookups!A:A,Lookups!B:B)*Quota_tbl[[#This Row],[Quota_Amount_USD]])</f>
        <v>31600</v>
      </c>
      <c r="G152" t="str">
        <f>_xlfn.XLOOKUP(Quota_tbl[[#This Row],[Rep_ID]],Dim_Reps!A:A,Dim_Reps!C:C)</f>
        <v>Enterprise AE</v>
      </c>
      <c r="H152" t="str">
        <f>_xlfn.XLOOKUP(Quota_tbl[[#This Row],[Rep_ID]],Dim_Reps!A:A,Dim_Reps!D:D)</f>
        <v>Enterprise</v>
      </c>
      <c r="I152" t="str">
        <f>_xlfn.XLOOKUP(Quota_tbl[[#This Row],[Rep_ID]],Dim_Reps!A:A,Dim_Reps!E:E)</f>
        <v>EMEA</v>
      </c>
      <c r="J152" t="str">
        <f>_xlfn.XLOOKUP(Quota_tbl[[#This Row],[Period_Start_Date]],Dim_Date!A:A,Dim_Date!H:H)</f>
        <v>Oct 2024</v>
      </c>
    </row>
    <row r="153" spans="1:10" ht="15" customHeight="1" x14ac:dyDescent="0.2">
      <c r="A153" t="s">
        <v>183</v>
      </c>
      <c r="B153" s="49">
        <v>45597</v>
      </c>
      <c r="C153">
        <v>13</v>
      </c>
      <c r="D153" s="33">
        <v>32800</v>
      </c>
      <c r="E153" t="str">
        <f>_xlfn.XLOOKUP(Quota_tbl[[#This Row],[Rep_ID]],Dim_Reps!A:A,Dim_Reps!K:K)</f>
        <v>EUR</v>
      </c>
      <c r="F153" s="33">
        <f>(_xlfn.XLOOKUP(Quota_tbl[[#This Row],[Rate_Code_Generalized]],Lookups!A:A,Lookups!B:B)*Quota_tbl[[#This Row],[Quota_Amount_USD]])</f>
        <v>32800</v>
      </c>
      <c r="G153" t="str">
        <f>_xlfn.XLOOKUP(Quota_tbl[[#This Row],[Rep_ID]],Dim_Reps!A:A,Dim_Reps!C:C)</f>
        <v>Enterprise AE</v>
      </c>
      <c r="H153" t="str">
        <f>_xlfn.XLOOKUP(Quota_tbl[[#This Row],[Rep_ID]],Dim_Reps!A:A,Dim_Reps!D:D)</f>
        <v>Enterprise</v>
      </c>
      <c r="I153" t="str">
        <f>_xlfn.XLOOKUP(Quota_tbl[[#This Row],[Rep_ID]],Dim_Reps!A:A,Dim_Reps!E:E)</f>
        <v>EMEA</v>
      </c>
      <c r="J153" t="str">
        <f>_xlfn.XLOOKUP(Quota_tbl[[#This Row],[Period_Start_Date]],Dim_Date!A:A,Dim_Date!H:H)</f>
        <v>Nov 2024</v>
      </c>
    </row>
    <row r="154" spans="1:10" ht="15" customHeight="1" x14ac:dyDescent="0.2">
      <c r="A154" t="s">
        <v>183</v>
      </c>
      <c r="B154" s="49">
        <v>45627</v>
      </c>
      <c r="C154">
        <v>14</v>
      </c>
      <c r="D154" s="33">
        <v>32200</v>
      </c>
      <c r="E154" t="str">
        <f>_xlfn.XLOOKUP(Quota_tbl[[#This Row],[Rep_ID]],Dim_Reps!A:A,Dim_Reps!K:K)</f>
        <v>EUR</v>
      </c>
      <c r="F154" s="33">
        <f>(_xlfn.XLOOKUP(Quota_tbl[[#This Row],[Rate_Code_Generalized]],Lookups!A:A,Lookups!B:B)*Quota_tbl[[#This Row],[Quota_Amount_USD]])</f>
        <v>32200</v>
      </c>
      <c r="G154" t="str">
        <f>_xlfn.XLOOKUP(Quota_tbl[[#This Row],[Rep_ID]],Dim_Reps!A:A,Dim_Reps!C:C)</f>
        <v>Enterprise AE</v>
      </c>
      <c r="H154" t="str">
        <f>_xlfn.XLOOKUP(Quota_tbl[[#This Row],[Rep_ID]],Dim_Reps!A:A,Dim_Reps!D:D)</f>
        <v>Enterprise</v>
      </c>
      <c r="I154" t="str">
        <f>_xlfn.XLOOKUP(Quota_tbl[[#This Row],[Rep_ID]],Dim_Reps!A:A,Dim_Reps!E:E)</f>
        <v>EMEA</v>
      </c>
      <c r="J154" t="str">
        <f>_xlfn.XLOOKUP(Quota_tbl[[#This Row],[Period_Start_Date]],Dim_Date!A:A,Dim_Date!H:H)</f>
        <v>Dec 2024</v>
      </c>
    </row>
    <row r="155" spans="1:10" ht="15" customHeight="1" x14ac:dyDescent="0.2">
      <c r="A155" t="s">
        <v>183</v>
      </c>
      <c r="B155" s="49">
        <v>45658</v>
      </c>
      <c r="C155">
        <v>15</v>
      </c>
      <c r="D155" s="33">
        <v>30800</v>
      </c>
      <c r="E155" t="str">
        <f>_xlfn.XLOOKUP(Quota_tbl[[#This Row],[Rep_ID]],Dim_Reps!A:A,Dim_Reps!K:K)</f>
        <v>EUR</v>
      </c>
      <c r="F155" s="33">
        <f>(_xlfn.XLOOKUP(Quota_tbl[[#This Row],[Rate_Code_Generalized]],Lookups!A:A,Lookups!B:B)*Quota_tbl[[#This Row],[Quota_Amount_USD]])</f>
        <v>30800</v>
      </c>
      <c r="G155" t="str">
        <f>_xlfn.XLOOKUP(Quota_tbl[[#This Row],[Rep_ID]],Dim_Reps!A:A,Dim_Reps!C:C)</f>
        <v>Enterprise AE</v>
      </c>
      <c r="H155" t="str">
        <f>_xlfn.XLOOKUP(Quota_tbl[[#This Row],[Rep_ID]],Dim_Reps!A:A,Dim_Reps!D:D)</f>
        <v>Enterprise</v>
      </c>
      <c r="I155" t="str">
        <f>_xlfn.XLOOKUP(Quota_tbl[[#This Row],[Rep_ID]],Dim_Reps!A:A,Dim_Reps!E:E)</f>
        <v>EMEA</v>
      </c>
      <c r="J155" t="str">
        <f>_xlfn.XLOOKUP(Quota_tbl[[#This Row],[Period_Start_Date]],Dim_Date!A:A,Dim_Date!H:H)</f>
        <v>Jan 2025</v>
      </c>
    </row>
    <row r="156" spans="1:10" ht="15" customHeight="1" x14ac:dyDescent="0.2">
      <c r="A156" t="s">
        <v>183</v>
      </c>
      <c r="B156" s="49">
        <v>45689</v>
      </c>
      <c r="C156">
        <v>16</v>
      </c>
      <c r="D156" s="33">
        <v>32200</v>
      </c>
      <c r="E156" t="str">
        <f>_xlfn.XLOOKUP(Quota_tbl[[#This Row],[Rep_ID]],Dim_Reps!A:A,Dim_Reps!K:K)</f>
        <v>EUR</v>
      </c>
      <c r="F156" s="33">
        <f>(_xlfn.XLOOKUP(Quota_tbl[[#This Row],[Rate_Code_Generalized]],Lookups!A:A,Lookups!B:B)*Quota_tbl[[#This Row],[Quota_Amount_USD]])</f>
        <v>32200</v>
      </c>
      <c r="G156" t="str">
        <f>_xlfn.XLOOKUP(Quota_tbl[[#This Row],[Rep_ID]],Dim_Reps!A:A,Dim_Reps!C:C)</f>
        <v>Enterprise AE</v>
      </c>
      <c r="H156" t="str">
        <f>_xlfn.XLOOKUP(Quota_tbl[[#This Row],[Rep_ID]],Dim_Reps!A:A,Dim_Reps!D:D)</f>
        <v>Enterprise</v>
      </c>
      <c r="I156" t="str">
        <f>_xlfn.XLOOKUP(Quota_tbl[[#This Row],[Rep_ID]],Dim_Reps!A:A,Dim_Reps!E:E)</f>
        <v>EMEA</v>
      </c>
      <c r="J156" t="str">
        <f>_xlfn.XLOOKUP(Quota_tbl[[#This Row],[Period_Start_Date]],Dim_Date!A:A,Dim_Date!H:H)</f>
        <v>Feb 2025</v>
      </c>
    </row>
    <row r="157" spans="1:10" ht="15" customHeight="1" x14ac:dyDescent="0.2">
      <c r="A157" t="s">
        <v>183</v>
      </c>
      <c r="B157" s="49">
        <v>45717</v>
      </c>
      <c r="C157">
        <v>17</v>
      </c>
      <c r="D157" s="33">
        <v>32400</v>
      </c>
      <c r="E157" t="str">
        <f>_xlfn.XLOOKUP(Quota_tbl[[#This Row],[Rep_ID]],Dim_Reps!A:A,Dim_Reps!K:K)</f>
        <v>EUR</v>
      </c>
      <c r="F157" s="33">
        <f>(_xlfn.XLOOKUP(Quota_tbl[[#This Row],[Rate_Code_Generalized]],Lookups!A:A,Lookups!B:B)*Quota_tbl[[#This Row],[Quota_Amount_USD]])</f>
        <v>32400</v>
      </c>
      <c r="G157" t="str">
        <f>_xlfn.XLOOKUP(Quota_tbl[[#This Row],[Rep_ID]],Dim_Reps!A:A,Dim_Reps!C:C)</f>
        <v>Enterprise AE</v>
      </c>
      <c r="H157" t="str">
        <f>_xlfn.XLOOKUP(Quota_tbl[[#This Row],[Rep_ID]],Dim_Reps!A:A,Dim_Reps!D:D)</f>
        <v>Enterprise</v>
      </c>
      <c r="I157" t="str">
        <f>_xlfn.XLOOKUP(Quota_tbl[[#This Row],[Rep_ID]],Dim_Reps!A:A,Dim_Reps!E:E)</f>
        <v>EMEA</v>
      </c>
      <c r="J157" t="str">
        <f>_xlfn.XLOOKUP(Quota_tbl[[#This Row],[Period_Start_Date]],Dim_Date!A:A,Dim_Date!H:H)</f>
        <v>Mar 2025</v>
      </c>
    </row>
    <row r="158" spans="1:10" ht="15" customHeight="1" x14ac:dyDescent="0.2">
      <c r="A158" t="s">
        <v>183</v>
      </c>
      <c r="B158" s="49">
        <v>45748</v>
      </c>
      <c r="C158">
        <v>18</v>
      </c>
      <c r="D158" s="33">
        <v>31200</v>
      </c>
      <c r="E158" t="str">
        <f>_xlfn.XLOOKUP(Quota_tbl[[#This Row],[Rep_ID]],Dim_Reps!A:A,Dim_Reps!K:K)</f>
        <v>EUR</v>
      </c>
      <c r="F158" s="33">
        <f>(_xlfn.XLOOKUP(Quota_tbl[[#This Row],[Rate_Code_Generalized]],Lookups!A:A,Lookups!B:B)*Quota_tbl[[#This Row],[Quota_Amount_USD]])</f>
        <v>31200</v>
      </c>
      <c r="G158" t="str">
        <f>_xlfn.XLOOKUP(Quota_tbl[[#This Row],[Rep_ID]],Dim_Reps!A:A,Dim_Reps!C:C)</f>
        <v>Enterprise AE</v>
      </c>
      <c r="H158" t="str">
        <f>_xlfn.XLOOKUP(Quota_tbl[[#This Row],[Rep_ID]],Dim_Reps!A:A,Dim_Reps!D:D)</f>
        <v>Enterprise</v>
      </c>
      <c r="I158" t="str">
        <f>_xlfn.XLOOKUP(Quota_tbl[[#This Row],[Rep_ID]],Dim_Reps!A:A,Dim_Reps!E:E)</f>
        <v>EMEA</v>
      </c>
      <c r="J158" t="str">
        <f>_xlfn.XLOOKUP(Quota_tbl[[#This Row],[Period_Start_Date]],Dim_Date!A:A,Dim_Date!H:H)</f>
        <v>Apr 2025</v>
      </c>
    </row>
    <row r="159" spans="1:10" ht="15" customHeight="1" x14ac:dyDescent="0.2">
      <c r="A159" t="s">
        <v>183</v>
      </c>
      <c r="B159" s="49">
        <v>45778</v>
      </c>
      <c r="C159">
        <v>19</v>
      </c>
      <c r="D159" s="33">
        <v>32100</v>
      </c>
      <c r="E159" t="str">
        <f>_xlfn.XLOOKUP(Quota_tbl[[#This Row],[Rep_ID]],Dim_Reps!A:A,Dim_Reps!K:K)</f>
        <v>EUR</v>
      </c>
      <c r="F159" s="33">
        <f>(_xlfn.XLOOKUP(Quota_tbl[[#This Row],[Rate_Code_Generalized]],Lookups!A:A,Lookups!B:B)*Quota_tbl[[#This Row],[Quota_Amount_USD]])</f>
        <v>32100</v>
      </c>
      <c r="G159" t="str">
        <f>_xlfn.XLOOKUP(Quota_tbl[[#This Row],[Rep_ID]],Dim_Reps!A:A,Dim_Reps!C:C)</f>
        <v>Enterprise AE</v>
      </c>
      <c r="H159" t="str">
        <f>_xlfn.XLOOKUP(Quota_tbl[[#This Row],[Rep_ID]],Dim_Reps!A:A,Dim_Reps!D:D)</f>
        <v>Enterprise</v>
      </c>
      <c r="I159" t="str">
        <f>_xlfn.XLOOKUP(Quota_tbl[[#This Row],[Rep_ID]],Dim_Reps!A:A,Dim_Reps!E:E)</f>
        <v>EMEA</v>
      </c>
      <c r="J159" t="str">
        <f>_xlfn.XLOOKUP(Quota_tbl[[#This Row],[Period_Start_Date]],Dim_Date!A:A,Dim_Date!H:H)</f>
        <v>May 2025</v>
      </c>
    </row>
    <row r="160" spans="1:10" ht="15" customHeight="1" x14ac:dyDescent="0.2">
      <c r="A160" t="s">
        <v>183</v>
      </c>
      <c r="B160" s="49">
        <v>45809</v>
      </c>
      <c r="C160">
        <v>20</v>
      </c>
      <c r="D160" s="33">
        <v>32100</v>
      </c>
      <c r="E160" t="str">
        <f>_xlfn.XLOOKUP(Quota_tbl[[#This Row],[Rep_ID]],Dim_Reps!A:A,Dim_Reps!K:K)</f>
        <v>EUR</v>
      </c>
      <c r="F160" s="33">
        <f>(_xlfn.XLOOKUP(Quota_tbl[[#This Row],[Rate_Code_Generalized]],Lookups!A:A,Lookups!B:B)*Quota_tbl[[#This Row],[Quota_Amount_USD]])</f>
        <v>32100</v>
      </c>
      <c r="G160" t="str">
        <f>_xlfn.XLOOKUP(Quota_tbl[[#This Row],[Rep_ID]],Dim_Reps!A:A,Dim_Reps!C:C)</f>
        <v>Enterprise AE</v>
      </c>
      <c r="H160" t="str">
        <f>_xlfn.XLOOKUP(Quota_tbl[[#This Row],[Rep_ID]],Dim_Reps!A:A,Dim_Reps!D:D)</f>
        <v>Enterprise</v>
      </c>
      <c r="I160" t="str">
        <f>_xlfn.XLOOKUP(Quota_tbl[[#This Row],[Rep_ID]],Dim_Reps!A:A,Dim_Reps!E:E)</f>
        <v>EMEA</v>
      </c>
      <c r="J160" t="str">
        <f>_xlfn.XLOOKUP(Quota_tbl[[#This Row],[Period_Start_Date]],Dim_Date!A:A,Dim_Date!H:H)</f>
        <v>Jun 2025</v>
      </c>
    </row>
    <row r="161" spans="1:10" ht="15" customHeight="1" x14ac:dyDescent="0.2">
      <c r="A161" t="s">
        <v>183</v>
      </c>
      <c r="B161" s="49">
        <v>45839</v>
      </c>
      <c r="C161">
        <v>21</v>
      </c>
      <c r="D161" s="33">
        <v>30900</v>
      </c>
      <c r="E161" t="str">
        <f>_xlfn.XLOOKUP(Quota_tbl[[#This Row],[Rep_ID]],Dim_Reps!A:A,Dim_Reps!K:K)</f>
        <v>EUR</v>
      </c>
      <c r="F161" s="33">
        <f>(_xlfn.XLOOKUP(Quota_tbl[[#This Row],[Rate_Code_Generalized]],Lookups!A:A,Lookups!B:B)*Quota_tbl[[#This Row],[Quota_Amount_USD]])</f>
        <v>30900</v>
      </c>
      <c r="G161" t="str">
        <f>_xlfn.XLOOKUP(Quota_tbl[[#This Row],[Rep_ID]],Dim_Reps!A:A,Dim_Reps!C:C)</f>
        <v>Enterprise AE</v>
      </c>
      <c r="H161" t="str">
        <f>_xlfn.XLOOKUP(Quota_tbl[[#This Row],[Rep_ID]],Dim_Reps!A:A,Dim_Reps!D:D)</f>
        <v>Enterprise</v>
      </c>
      <c r="I161" t="str">
        <f>_xlfn.XLOOKUP(Quota_tbl[[#This Row],[Rep_ID]],Dim_Reps!A:A,Dim_Reps!E:E)</f>
        <v>EMEA</v>
      </c>
      <c r="J161" t="str">
        <f>_xlfn.XLOOKUP(Quota_tbl[[#This Row],[Period_Start_Date]],Dim_Date!A:A,Dim_Date!H:H)</f>
        <v>Jul 2025</v>
      </c>
    </row>
    <row r="162" spans="1:10" ht="15" customHeight="1" x14ac:dyDescent="0.2">
      <c r="A162" t="s">
        <v>183</v>
      </c>
      <c r="B162" s="49">
        <v>45870</v>
      </c>
      <c r="C162">
        <v>22</v>
      </c>
      <c r="D162" s="33">
        <v>32300</v>
      </c>
      <c r="E162" t="str">
        <f>_xlfn.XLOOKUP(Quota_tbl[[#This Row],[Rep_ID]],Dim_Reps!A:A,Dim_Reps!K:K)</f>
        <v>EUR</v>
      </c>
      <c r="F162" s="33">
        <f>(_xlfn.XLOOKUP(Quota_tbl[[#This Row],[Rate_Code_Generalized]],Lookups!A:A,Lookups!B:B)*Quota_tbl[[#This Row],[Quota_Amount_USD]])</f>
        <v>32300</v>
      </c>
      <c r="G162" t="str">
        <f>_xlfn.XLOOKUP(Quota_tbl[[#This Row],[Rep_ID]],Dim_Reps!A:A,Dim_Reps!C:C)</f>
        <v>Enterprise AE</v>
      </c>
      <c r="H162" t="str">
        <f>_xlfn.XLOOKUP(Quota_tbl[[#This Row],[Rep_ID]],Dim_Reps!A:A,Dim_Reps!D:D)</f>
        <v>Enterprise</v>
      </c>
      <c r="I162" t="str">
        <f>_xlfn.XLOOKUP(Quota_tbl[[#This Row],[Rep_ID]],Dim_Reps!A:A,Dim_Reps!E:E)</f>
        <v>EMEA</v>
      </c>
      <c r="J162" t="str">
        <f>_xlfn.XLOOKUP(Quota_tbl[[#This Row],[Period_Start_Date]],Dim_Date!A:A,Dim_Date!H:H)</f>
        <v>Aug 2025</v>
      </c>
    </row>
    <row r="163" spans="1:10" ht="15" customHeight="1" x14ac:dyDescent="0.2">
      <c r="A163" t="s">
        <v>183</v>
      </c>
      <c r="B163" s="49">
        <v>45901</v>
      </c>
      <c r="C163">
        <v>23</v>
      </c>
      <c r="D163" s="33">
        <v>32500</v>
      </c>
      <c r="E163" t="str">
        <f>_xlfn.XLOOKUP(Quota_tbl[[#This Row],[Rep_ID]],Dim_Reps!A:A,Dim_Reps!K:K)</f>
        <v>EUR</v>
      </c>
      <c r="F163" s="33">
        <f>(_xlfn.XLOOKUP(Quota_tbl[[#This Row],[Rate_Code_Generalized]],Lookups!A:A,Lookups!B:B)*Quota_tbl[[#This Row],[Quota_Amount_USD]])</f>
        <v>32500</v>
      </c>
      <c r="G163" t="str">
        <f>_xlfn.XLOOKUP(Quota_tbl[[#This Row],[Rep_ID]],Dim_Reps!A:A,Dim_Reps!C:C)</f>
        <v>Enterprise AE</v>
      </c>
      <c r="H163" t="str">
        <f>_xlfn.XLOOKUP(Quota_tbl[[#This Row],[Rep_ID]],Dim_Reps!A:A,Dim_Reps!D:D)</f>
        <v>Enterprise</v>
      </c>
      <c r="I163" t="str">
        <f>_xlfn.XLOOKUP(Quota_tbl[[#This Row],[Rep_ID]],Dim_Reps!A:A,Dim_Reps!E:E)</f>
        <v>EMEA</v>
      </c>
      <c r="J163" t="str">
        <f>_xlfn.XLOOKUP(Quota_tbl[[#This Row],[Period_Start_Date]],Dim_Date!A:A,Dim_Date!H:H)</f>
        <v>Sep 2025</v>
      </c>
    </row>
    <row r="164" spans="1:10" ht="15" customHeight="1" x14ac:dyDescent="0.2">
      <c r="A164" t="s">
        <v>183</v>
      </c>
      <c r="B164" s="49">
        <v>45931</v>
      </c>
      <c r="C164">
        <v>24</v>
      </c>
      <c r="D164" s="33">
        <v>33000</v>
      </c>
      <c r="E164" t="str">
        <f>_xlfn.XLOOKUP(Quota_tbl[[#This Row],[Rep_ID]],Dim_Reps!A:A,Dim_Reps!K:K)</f>
        <v>EUR</v>
      </c>
      <c r="F164" s="33">
        <f>(_xlfn.XLOOKUP(Quota_tbl[[#This Row],[Rate_Code_Generalized]],Lookups!A:A,Lookups!B:B)*Quota_tbl[[#This Row],[Quota_Amount_USD]])</f>
        <v>33000</v>
      </c>
      <c r="G164" t="str">
        <f>_xlfn.XLOOKUP(Quota_tbl[[#This Row],[Rep_ID]],Dim_Reps!A:A,Dim_Reps!C:C)</f>
        <v>Enterprise AE</v>
      </c>
      <c r="H164" t="str">
        <f>_xlfn.XLOOKUP(Quota_tbl[[#This Row],[Rep_ID]],Dim_Reps!A:A,Dim_Reps!D:D)</f>
        <v>Enterprise</v>
      </c>
      <c r="I164" t="str">
        <f>_xlfn.XLOOKUP(Quota_tbl[[#This Row],[Rep_ID]],Dim_Reps!A:A,Dim_Reps!E:E)</f>
        <v>EMEA</v>
      </c>
      <c r="J164" t="str">
        <f>_xlfn.XLOOKUP(Quota_tbl[[#This Row],[Period_Start_Date]],Dim_Date!A:A,Dim_Date!H:H)</f>
        <v>Oct 2025</v>
      </c>
    </row>
    <row r="165" spans="1:10" ht="15" customHeight="1" x14ac:dyDescent="0.2">
      <c r="A165" t="s">
        <v>183</v>
      </c>
      <c r="B165" s="49">
        <v>45962</v>
      </c>
      <c r="C165">
        <v>25</v>
      </c>
      <c r="D165" s="33">
        <v>33000</v>
      </c>
      <c r="E165" t="str">
        <f>_xlfn.XLOOKUP(Quota_tbl[[#This Row],[Rep_ID]],Dim_Reps!A:A,Dim_Reps!K:K)</f>
        <v>EUR</v>
      </c>
      <c r="F165" s="33">
        <f>(_xlfn.XLOOKUP(Quota_tbl[[#This Row],[Rate_Code_Generalized]],Lookups!A:A,Lookups!B:B)*Quota_tbl[[#This Row],[Quota_Amount_USD]])</f>
        <v>33000</v>
      </c>
      <c r="G165" t="str">
        <f>_xlfn.XLOOKUP(Quota_tbl[[#This Row],[Rep_ID]],Dim_Reps!A:A,Dim_Reps!C:C)</f>
        <v>Enterprise AE</v>
      </c>
      <c r="H165" t="str">
        <f>_xlfn.XLOOKUP(Quota_tbl[[#This Row],[Rep_ID]],Dim_Reps!A:A,Dim_Reps!D:D)</f>
        <v>Enterprise</v>
      </c>
      <c r="I165" t="str">
        <f>_xlfn.XLOOKUP(Quota_tbl[[#This Row],[Rep_ID]],Dim_Reps!A:A,Dim_Reps!E:E)</f>
        <v>EMEA</v>
      </c>
      <c r="J165" t="str">
        <f>_xlfn.XLOOKUP(Quota_tbl[[#This Row],[Period_Start_Date]],Dim_Date!A:A,Dim_Date!H:H)</f>
        <v>Nov 2025</v>
      </c>
    </row>
    <row r="166" spans="1:10" ht="15" customHeight="1" x14ac:dyDescent="0.2">
      <c r="A166" t="s">
        <v>183</v>
      </c>
      <c r="B166" s="49">
        <v>45992</v>
      </c>
      <c r="C166">
        <v>26</v>
      </c>
      <c r="D166" s="33">
        <v>30700</v>
      </c>
      <c r="E166" t="str">
        <f>_xlfn.XLOOKUP(Quota_tbl[[#This Row],[Rep_ID]],Dim_Reps!A:A,Dim_Reps!K:K)</f>
        <v>EUR</v>
      </c>
      <c r="F166" s="33">
        <f>(_xlfn.XLOOKUP(Quota_tbl[[#This Row],[Rate_Code_Generalized]],Lookups!A:A,Lookups!B:B)*Quota_tbl[[#This Row],[Quota_Amount_USD]])</f>
        <v>30700</v>
      </c>
      <c r="G166" t="str">
        <f>_xlfn.XLOOKUP(Quota_tbl[[#This Row],[Rep_ID]],Dim_Reps!A:A,Dim_Reps!C:C)</f>
        <v>Enterprise AE</v>
      </c>
      <c r="H166" t="str">
        <f>_xlfn.XLOOKUP(Quota_tbl[[#This Row],[Rep_ID]],Dim_Reps!A:A,Dim_Reps!D:D)</f>
        <v>Enterprise</v>
      </c>
      <c r="I166" t="str">
        <f>_xlfn.XLOOKUP(Quota_tbl[[#This Row],[Rep_ID]],Dim_Reps!A:A,Dim_Reps!E:E)</f>
        <v>EMEA</v>
      </c>
      <c r="J166" t="str">
        <f>_xlfn.XLOOKUP(Quota_tbl[[#This Row],[Period_Start_Date]],Dim_Date!A:A,Dim_Date!H:H)</f>
        <v>Dec 2025</v>
      </c>
    </row>
    <row r="167" spans="1:10" ht="15" customHeight="1" x14ac:dyDescent="0.2">
      <c r="A167" t="s">
        <v>203</v>
      </c>
      <c r="B167" s="49">
        <v>45536</v>
      </c>
      <c r="C167">
        <v>0</v>
      </c>
      <c r="D167" s="33">
        <v>3800</v>
      </c>
      <c r="E167" t="str">
        <f>_xlfn.XLOOKUP(Quota_tbl[[#This Row],[Rep_ID]],Dim_Reps!A:A,Dim_Reps!K:K)</f>
        <v>EUR</v>
      </c>
      <c r="F167" s="33">
        <f>(_xlfn.XLOOKUP(Quota_tbl[[#This Row],[Rate_Code_Generalized]],Lookups!A:A,Lookups!B:B)*Quota_tbl[[#This Row],[Quota_Amount_USD]])</f>
        <v>3800</v>
      </c>
      <c r="G167" t="str">
        <f>_xlfn.XLOOKUP(Quota_tbl[[#This Row],[Rep_ID]],Dim_Reps!A:A,Dim_Reps!C:C)</f>
        <v>SDR / Inside Sales Rep</v>
      </c>
      <c r="H167" t="str">
        <f>_xlfn.XLOOKUP(Quota_tbl[[#This Row],[Rep_ID]],Dim_Reps!A:A,Dim_Reps!D:D)</f>
        <v>Inside Sales</v>
      </c>
      <c r="I167" t="str">
        <f>_xlfn.XLOOKUP(Quota_tbl[[#This Row],[Rep_ID]],Dim_Reps!A:A,Dim_Reps!E:E)</f>
        <v>APAC</v>
      </c>
      <c r="J167" t="str">
        <f>_xlfn.XLOOKUP(Quota_tbl[[#This Row],[Period_Start_Date]],Dim_Date!A:A,Dim_Date!H:H)</f>
        <v>Sep 2024</v>
      </c>
    </row>
    <row r="168" spans="1:10" ht="15" customHeight="1" x14ac:dyDescent="0.2">
      <c r="A168" t="s">
        <v>203</v>
      </c>
      <c r="B168" s="49">
        <v>45566</v>
      </c>
      <c r="C168">
        <v>1</v>
      </c>
      <c r="D168" s="33">
        <v>7900</v>
      </c>
      <c r="E168" t="str">
        <f>_xlfn.XLOOKUP(Quota_tbl[[#This Row],[Rep_ID]],Dim_Reps!A:A,Dim_Reps!K:K)</f>
        <v>EUR</v>
      </c>
      <c r="F168" s="33">
        <f>(_xlfn.XLOOKUP(Quota_tbl[[#This Row],[Rate_Code_Generalized]],Lookups!A:A,Lookups!B:B)*Quota_tbl[[#This Row],[Quota_Amount_USD]])</f>
        <v>7900</v>
      </c>
      <c r="G168" t="str">
        <f>_xlfn.XLOOKUP(Quota_tbl[[#This Row],[Rep_ID]],Dim_Reps!A:A,Dim_Reps!C:C)</f>
        <v>SDR / Inside Sales Rep</v>
      </c>
      <c r="H168" t="str">
        <f>_xlfn.XLOOKUP(Quota_tbl[[#This Row],[Rep_ID]],Dim_Reps!A:A,Dim_Reps!D:D)</f>
        <v>Inside Sales</v>
      </c>
      <c r="I168" t="str">
        <f>_xlfn.XLOOKUP(Quota_tbl[[#This Row],[Rep_ID]],Dim_Reps!A:A,Dim_Reps!E:E)</f>
        <v>APAC</v>
      </c>
      <c r="J168" t="str">
        <f>_xlfn.XLOOKUP(Quota_tbl[[#This Row],[Period_Start_Date]],Dim_Date!A:A,Dim_Date!H:H)</f>
        <v>Oct 2024</v>
      </c>
    </row>
    <row r="169" spans="1:10" ht="15" customHeight="1" x14ac:dyDescent="0.2">
      <c r="A169" t="s">
        <v>203</v>
      </c>
      <c r="B169" s="49">
        <v>45597</v>
      </c>
      <c r="C169">
        <v>2</v>
      </c>
      <c r="D169" s="33">
        <v>11800</v>
      </c>
      <c r="E169" t="str">
        <f>_xlfn.XLOOKUP(Quota_tbl[[#This Row],[Rep_ID]],Dim_Reps!A:A,Dim_Reps!K:K)</f>
        <v>EUR</v>
      </c>
      <c r="F169" s="33">
        <f>(_xlfn.XLOOKUP(Quota_tbl[[#This Row],[Rate_Code_Generalized]],Lookups!A:A,Lookups!B:B)*Quota_tbl[[#This Row],[Quota_Amount_USD]])</f>
        <v>11800</v>
      </c>
      <c r="G169" t="str">
        <f>_xlfn.XLOOKUP(Quota_tbl[[#This Row],[Rep_ID]],Dim_Reps!A:A,Dim_Reps!C:C)</f>
        <v>SDR / Inside Sales Rep</v>
      </c>
      <c r="H169" t="str">
        <f>_xlfn.XLOOKUP(Quota_tbl[[#This Row],[Rep_ID]],Dim_Reps!A:A,Dim_Reps!D:D)</f>
        <v>Inside Sales</v>
      </c>
      <c r="I169" t="str">
        <f>_xlfn.XLOOKUP(Quota_tbl[[#This Row],[Rep_ID]],Dim_Reps!A:A,Dim_Reps!E:E)</f>
        <v>APAC</v>
      </c>
      <c r="J169" t="str">
        <f>_xlfn.XLOOKUP(Quota_tbl[[#This Row],[Period_Start_Date]],Dim_Date!A:A,Dim_Date!H:H)</f>
        <v>Nov 2024</v>
      </c>
    </row>
    <row r="170" spans="1:10" ht="15" customHeight="1" x14ac:dyDescent="0.2">
      <c r="A170" t="s">
        <v>203</v>
      </c>
      <c r="B170" s="49">
        <v>45627</v>
      </c>
      <c r="C170">
        <v>3</v>
      </c>
      <c r="D170" s="33">
        <v>15700</v>
      </c>
      <c r="E170" t="str">
        <f>_xlfn.XLOOKUP(Quota_tbl[[#This Row],[Rep_ID]],Dim_Reps!A:A,Dim_Reps!K:K)</f>
        <v>EUR</v>
      </c>
      <c r="F170" s="33">
        <f>(_xlfn.XLOOKUP(Quota_tbl[[#This Row],[Rate_Code_Generalized]],Lookups!A:A,Lookups!B:B)*Quota_tbl[[#This Row],[Quota_Amount_USD]])</f>
        <v>15700</v>
      </c>
      <c r="G170" t="str">
        <f>_xlfn.XLOOKUP(Quota_tbl[[#This Row],[Rep_ID]],Dim_Reps!A:A,Dim_Reps!C:C)</f>
        <v>SDR / Inside Sales Rep</v>
      </c>
      <c r="H170" t="str">
        <f>_xlfn.XLOOKUP(Quota_tbl[[#This Row],[Rep_ID]],Dim_Reps!A:A,Dim_Reps!D:D)</f>
        <v>Inside Sales</v>
      </c>
      <c r="I170" t="str">
        <f>_xlfn.XLOOKUP(Quota_tbl[[#This Row],[Rep_ID]],Dim_Reps!A:A,Dim_Reps!E:E)</f>
        <v>APAC</v>
      </c>
      <c r="J170" t="str">
        <f>_xlfn.XLOOKUP(Quota_tbl[[#This Row],[Period_Start_Date]],Dim_Date!A:A,Dim_Date!H:H)</f>
        <v>Dec 2024</v>
      </c>
    </row>
    <row r="171" spans="1:10" ht="15" customHeight="1" x14ac:dyDescent="0.2">
      <c r="A171" t="s">
        <v>203</v>
      </c>
      <c r="B171" s="49">
        <v>45658</v>
      </c>
      <c r="C171">
        <v>4</v>
      </c>
      <c r="D171" s="33">
        <v>17300</v>
      </c>
      <c r="E171" t="str">
        <f>_xlfn.XLOOKUP(Quota_tbl[[#This Row],[Rep_ID]],Dim_Reps!A:A,Dim_Reps!K:K)</f>
        <v>EUR</v>
      </c>
      <c r="F171" s="33">
        <f>(_xlfn.XLOOKUP(Quota_tbl[[#This Row],[Rate_Code_Generalized]],Lookups!A:A,Lookups!B:B)*Quota_tbl[[#This Row],[Quota_Amount_USD]])</f>
        <v>17300</v>
      </c>
      <c r="G171" t="str">
        <f>_xlfn.XLOOKUP(Quota_tbl[[#This Row],[Rep_ID]],Dim_Reps!A:A,Dim_Reps!C:C)</f>
        <v>SDR / Inside Sales Rep</v>
      </c>
      <c r="H171" t="str">
        <f>_xlfn.XLOOKUP(Quota_tbl[[#This Row],[Rep_ID]],Dim_Reps!A:A,Dim_Reps!D:D)</f>
        <v>Inside Sales</v>
      </c>
      <c r="I171" t="str">
        <f>_xlfn.XLOOKUP(Quota_tbl[[#This Row],[Rep_ID]],Dim_Reps!A:A,Dim_Reps!E:E)</f>
        <v>APAC</v>
      </c>
      <c r="J171" t="str">
        <f>_xlfn.XLOOKUP(Quota_tbl[[#This Row],[Period_Start_Date]],Dim_Date!A:A,Dim_Date!H:H)</f>
        <v>Jan 2025</v>
      </c>
    </row>
    <row r="172" spans="1:10" ht="15" customHeight="1" x14ac:dyDescent="0.2">
      <c r="A172" t="s">
        <v>203</v>
      </c>
      <c r="B172" s="49">
        <v>45689</v>
      </c>
      <c r="C172">
        <v>5</v>
      </c>
      <c r="D172" s="33">
        <v>15800</v>
      </c>
      <c r="E172" t="str">
        <f>_xlfn.XLOOKUP(Quota_tbl[[#This Row],[Rep_ID]],Dim_Reps!A:A,Dim_Reps!K:K)</f>
        <v>EUR</v>
      </c>
      <c r="F172" s="33">
        <f>(_xlfn.XLOOKUP(Quota_tbl[[#This Row],[Rate_Code_Generalized]],Lookups!A:A,Lookups!B:B)*Quota_tbl[[#This Row],[Quota_Amount_USD]])</f>
        <v>15800</v>
      </c>
      <c r="G172" t="str">
        <f>_xlfn.XLOOKUP(Quota_tbl[[#This Row],[Rep_ID]],Dim_Reps!A:A,Dim_Reps!C:C)</f>
        <v>SDR / Inside Sales Rep</v>
      </c>
      <c r="H172" t="str">
        <f>_xlfn.XLOOKUP(Quota_tbl[[#This Row],[Rep_ID]],Dim_Reps!A:A,Dim_Reps!D:D)</f>
        <v>Inside Sales</v>
      </c>
      <c r="I172" t="str">
        <f>_xlfn.XLOOKUP(Quota_tbl[[#This Row],[Rep_ID]],Dim_Reps!A:A,Dim_Reps!E:E)</f>
        <v>APAC</v>
      </c>
      <c r="J172" t="str">
        <f>_xlfn.XLOOKUP(Quota_tbl[[#This Row],[Period_Start_Date]],Dim_Date!A:A,Dim_Date!H:H)</f>
        <v>Feb 2025</v>
      </c>
    </row>
    <row r="173" spans="1:10" ht="15" customHeight="1" x14ac:dyDescent="0.2">
      <c r="A173" t="s">
        <v>203</v>
      </c>
      <c r="B173" s="49">
        <v>45717</v>
      </c>
      <c r="C173">
        <v>6</v>
      </c>
      <c r="D173" s="33">
        <v>16000</v>
      </c>
      <c r="E173" t="str">
        <f>_xlfn.XLOOKUP(Quota_tbl[[#This Row],[Rep_ID]],Dim_Reps!A:A,Dim_Reps!K:K)</f>
        <v>EUR</v>
      </c>
      <c r="F173" s="33">
        <f>(_xlfn.XLOOKUP(Quota_tbl[[#This Row],[Rate_Code_Generalized]],Lookups!A:A,Lookups!B:B)*Quota_tbl[[#This Row],[Quota_Amount_USD]])</f>
        <v>16000</v>
      </c>
      <c r="G173" t="str">
        <f>_xlfn.XLOOKUP(Quota_tbl[[#This Row],[Rep_ID]],Dim_Reps!A:A,Dim_Reps!C:C)</f>
        <v>SDR / Inside Sales Rep</v>
      </c>
      <c r="H173" t="str">
        <f>_xlfn.XLOOKUP(Quota_tbl[[#This Row],[Rep_ID]],Dim_Reps!A:A,Dim_Reps!D:D)</f>
        <v>Inside Sales</v>
      </c>
      <c r="I173" t="str">
        <f>_xlfn.XLOOKUP(Quota_tbl[[#This Row],[Rep_ID]],Dim_Reps!A:A,Dim_Reps!E:E)</f>
        <v>APAC</v>
      </c>
      <c r="J173" t="str">
        <f>_xlfn.XLOOKUP(Quota_tbl[[#This Row],[Period_Start_Date]],Dim_Date!A:A,Dim_Date!H:H)</f>
        <v>Mar 2025</v>
      </c>
    </row>
    <row r="174" spans="1:10" ht="15" customHeight="1" x14ac:dyDescent="0.2">
      <c r="A174" t="s">
        <v>203</v>
      </c>
      <c r="B174" s="49">
        <v>45748</v>
      </c>
      <c r="C174">
        <v>7</v>
      </c>
      <c r="D174" s="33">
        <v>15900</v>
      </c>
      <c r="E174" t="str">
        <f>_xlfn.XLOOKUP(Quota_tbl[[#This Row],[Rep_ID]],Dim_Reps!A:A,Dim_Reps!K:K)</f>
        <v>EUR</v>
      </c>
      <c r="F174" s="33">
        <f>(_xlfn.XLOOKUP(Quota_tbl[[#This Row],[Rate_Code_Generalized]],Lookups!A:A,Lookups!B:B)*Quota_tbl[[#This Row],[Quota_Amount_USD]])</f>
        <v>15900</v>
      </c>
      <c r="G174" t="str">
        <f>_xlfn.XLOOKUP(Quota_tbl[[#This Row],[Rep_ID]],Dim_Reps!A:A,Dim_Reps!C:C)</f>
        <v>SDR / Inside Sales Rep</v>
      </c>
      <c r="H174" t="str">
        <f>_xlfn.XLOOKUP(Quota_tbl[[#This Row],[Rep_ID]],Dim_Reps!A:A,Dim_Reps!D:D)</f>
        <v>Inside Sales</v>
      </c>
      <c r="I174" t="str">
        <f>_xlfn.XLOOKUP(Quota_tbl[[#This Row],[Rep_ID]],Dim_Reps!A:A,Dim_Reps!E:E)</f>
        <v>APAC</v>
      </c>
      <c r="J174" t="str">
        <f>_xlfn.XLOOKUP(Quota_tbl[[#This Row],[Period_Start_Date]],Dim_Date!A:A,Dim_Date!H:H)</f>
        <v>Apr 2025</v>
      </c>
    </row>
    <row r="175" spans="1:10" ht="15" customHeight="1" x14ac:dyDescent="0.2">
      <c r="A175" t="s">
        <v>203</v>
      </c>
      <c r="B175" s="49">
        <v>45778</v>
      </c>
      <c r="C175">
        <v>8</v>
      </c>
      <c r="D175" s="33">
        <v>15800</v>
      </c>
      <c r="E175" t="str">
        <f>_xlfn.XLOOKUP(Quota_tbl[[#This Row],[Rep_ID]],Dim_Reps!A:A,Dim_Reps!K:K)</f>
        <v>EUR</v>
      </c>
      <c r="F175" s="33">
        <f>(_xlfn.XLOOKUP(Quota_tbl[[#This Row],[Rate_Code_Generalized]],Lookups!A:A,Lookups!B:B)*Quota_tbl[[#This Row],[Quota_Amount_USD]])</f>
        <v>15800</v>
      </c>
      <c r="G175" t="str">
        <f>_xlfn.XLOOKUP(Quota_tbl[[#This Row],[Rep_ID]],Dim_Reps!A:A,Dim_Reps!C:C)</f>
        <v>SDR / Inside Sales Rep</v>
      </c>
      <c r="H175" t="str">
        <f>_xlfn.XLOOKUP(Quota_tbl[[#This Row],[Rep_ID]],Dim_Reps!A:A,Dim_Reps!D:D)</f>
        <v>Inside Sales</v>
      </c>
      <c r="I175" t="str">
        <f>_xlfn.XLOOKUP(Quota_tbl[[#This Row],[Rep_ID]],Dim_Reps!A:A,Dim_Reps!E:E)</f>
        <v>APAC</v>
      </c>
      <c r="J175" t="str">
        <f>_xlfn.XLOOKUP(Quota_tbl[[#This Row],[Period_Start_Date]],Dim_Date!A:A,Dim_Date!H:H)</f>
        <v>May 2025</v>
      </c>
    </row>
    <row r="176" spans="1:10" ht="15" customHeight="1" x14ac:dyDescent="0.2">
      <c r="A176" t="s">
        <v>203</v>
      </c>
      <c r="B176" s="49">
        <v>45809</v>
      </c>
      <c r="C176">
        <v>9</v>
      </c>
      <c r="D176" s="33">
        <v>15400</v>
      </c>
      <c r="E176" t="str">
        <f>_xlfn.XLOOKUP(Quota_tbl[[#This Row],[Rep_ID]],Dim_Reps!A:A,Dim_Reps!K:K)</f>
        <v>EUR</v>
      </c>
      <c r="F176" s="33">
        <f>(_xlfn.XLOOKUP(Quota_tbl[[#This Row],[Rate_Code_Generalized]],Lookups!A:A,Lookups!B:B)*Quota_tbl[[#This Row],[Quota_Amount_USD]])</f>
        <v>15400</v>
      </c>
      <c r="G176" t="str">
        <f>_xlfn.XLOOKUP(Quota_tbl[[#This Row],[Rep_ID]],Dim_Reps!A:A,Dim_Reps!C:C)</f>
        <v>SDR / Inside Sales Rep</v>
      </c>
      <c r="H176" t="str">
        <f>_xlfn.XLOOKUP(Quota_tbl[[#This Row],[Rep_ID]],Dim_Reps!A:A,Dim_Reps!D:D)</f>
        <v>Inside Sales</v>
      </c>
      <c r="I176" t="str">
        <f>_xlfn.XLOOKUP(Quota_tbl[[#This Row],[Rep_ID]],Dim_Reps!A:A,Dim_Reps!E:E)</f>
        <v>APAC</v>
      </c>
      <c r="J176" t="str">
        <f>_xlfn.XLOOKUP(Quota_tbl[[#This Row],[Period_Start_Date]],Dim_Date!A:A,Dim_Date!H:H)</f>
        <v>Jun 2025</v>
      </c>
    </row>
    <row r="177" spans="1:10" ht="15" customHeight="1" x14ac:dyDescent="0.2">
      <c r="A177" t="s">
        <v>203</v>
      </c>
      <c r="B177" s="49">
        <v>45839</v>
      </c>
      <c r="C177">
        <v>10</v>
      </c>
      <c r="D177" s="33">
        <v>15900</v>
      </c>
      <c r="E177" t="str">
        <f>_xlfn.XLOOKUP(Quota_tbl[[#This Row],[Rep_ID]],Dim_Reps!A:A,Dim_Reps!K:K)</f>
        <v>EUR</v>
      </c>
      <c r="F177" s="33">
        <f>(_xlfn.XLOOKUP(Quota_tbl[[#This Row],[Rate_Code_Generalized]],Lookups!A:A,Lookups!B:B)*Quota_tbl[[#This Row],[Quota_Amount_USD]])</f>
        <v>15900</v>
      </c>
      <c r="G177" t="str">
        <f>_xlfn.XLOOKUP(Quota_tbl[[#This Row],[Rep_ID]],Dim_Reps!A:A,Dim_Reps!C:C)</f>
        <v>SDR / Inside Sales Rep</v>
      </c>
      <c r="H177" t="str">
        <f>_xlfn.XLOOKUP(Quota_tbl[[#This Row],[Rep_ID]],Dim_Reps!A:A,Dim_Reps!D:D)</f>
        <v>Inside Sales</v>
      </c>
      <c r="I177" t="str">
        <f>_xlfn.XLOOKUP(Quota_tbl[[#This Row],[Rep_ID]],Dim_Reps!A:A,Dim_Reps!E:E)</f>
        <v>APAC</v>
      </c>
      <c r="J177" t="str">
        <f>_xlfn.XLOOKUP(Quota_tbl[[#This Row],[Period_Start_Date]],Dim_Date!A:A,Dim_Date!H:H)</f>
        <v>Jul 2025</v>
      </c>
    </row>
    <row r="178" spans="1:10" ht="15" customHeight="1" x14ac:dyDescent="0.2">
      <c r="A178" t="s">
        <v>203</v>
      </c>
      <c r="B178" s="49">
        <v>45870</v>
      </c>
      <c r="C178">
        <v>11</v>
      </c>
      <c r="D178" s="33">
        <v>15100</v>
      </c>
      <c r="E178" t="str">
        <f>_xlfn.XLOOKUP(Quota_tbl[[#This Row],[Rep_ID]],Dim_Reps!A:A,Dim_Reps!K:K)</f>
        <v>EUR</v>
      </c>
      <c r="F178" s="33">
        <f>(_xlfn.XLOOKUP(Quota_tbl[[#This Row],[Rate_Code_Generalized]],Lookups!A:A,Lookups!B:B)*Quota_tbl[[#This Row],[Quota_Amount_USD]])</f>
        <v>15100</v>
      </c>
      <c r="G178" t="str">
        <f>_xlfn.XLOOKUP(Quota_tbl[[#This Row],[Rep_ID]],Dim_Reps!A:A,Dim_Reps!C:C)</f>
        <v>SDR / Inside Sales Rep</v>
      </c>
      <c r="H178" t="str">
        <f>_xlfn.XLOOKUP(Quota_tbl[[#This Row],[Rep_ID]],Dim_Reps!A:A,Dim_Reps!D:D)</f>
        <v>Inside Sales</v>
      </c>
      <c r="I178" t="str">
        <f>_xlfn.XLOOKUP(Quota_tbl[[#This Row],[Rep_ID]],Dim_Reps!A:A,Dim_Reps!E:E)</f>
        <v>APAC</v>
      </c>
      <c r="J178" t="str">
        <f>_xlfn.XLOOKUP(Quota_tbl[[#This Row],[Period_Start_Date]],Dim_Date!A:A,Dim_Date!H:H)</f>
        <v>Aug 2025</v>
      </c>
    </row>
    <row r="179" spans="1:10" ht="15" customHeight="1" x14ac:dyDescent="0.2">
      <c r="A179" t="s">
        <v>203</v>
      </c>
      <c r="B179" s="49">
        <v>45901</v>
      </c>
      <c r="C179">
        <v>12</v>
      </c>
      <c r="D179" s="33">
        <v>15400</v>
      </c>
      <c r="E179" t="str">
        <f>_xlfn.XLOOKUP(Quota_tbl[[#This Row],[Rep_ID]],Dim_Reps!A:A,Dim_Reps!K:K)</f>
        <v>EUR</v>
      </c>
      <c r="F179" s="33">
        <f>(_xlfn.XLOOKUP(Quota_tbl[[#This Row],[Rate_Code_Generalized]],Lookups!A:A,Lookups!B:B)*Quota_tbl[[#This Row],[Quota_Amount_USD]])</f>
        <v>15400</v>
      </c>
      <c r="G179" t="str">
        <f>_xlfn.XLOOKUP(Quota_tbl[[#This Row],[Rep_ID]],Dim_Reps!A:A,Dim_Reps!C:C)</f>
        <v>SDR / Inside Sales Rep</v>
      </c>
      <c r="H179" t="str">
        <f>_xlfn.XLOOKUP(Quota_tbl[[#This Row],[Rep_ID]],Dim_Reps!A:A,Dim_Reps!D:D)</f>
        <v>Inside Sales</v>
      </c>
      <c r="I179" t="str">
        <f>_xlfn.XLOOKUP(Quota_tbl[[#This Row],[Rep_ID]],Dim_Reps!A:A,Dim_Reps!E:E)</f>
        <v>APAC</v>
      </c>
      <c r="J179" t="str">
        <f>_xlfn.XLOOKUP(Quota_tbl[[#This Row],[Period_Start_Date]],Dim_Date!A:A,Dim_Date!H:H)</f>
        <v>Sep 2025</v>
      </c>
    </row>
    <row r="180" spans="1:10" ht="15" customHeight="1" x14ac:dyDescent="0.2">
      <c r="A180" t="s">
        <v>203</v>
      </c>
      <c r="B180" s="49">
        <v>45931</v>
      </c>
      <c r="C180">
        <v>13</v>
      </c>
      <c r="D180" s="33">
        <v>15300</v>
      </c>
      <c r="E180" t="str">
        <f>_xlfn.XLOOKUP(Quota_tbl[[#This Row],[Rep_ID]],Dim_Reps!A:A,Dim_Reps!K:K)</f>
        <v>EUR</v>
      </c>
      <c r="F180" s="33">
        <f>(_xlfn.XLOOKUP(Quota_tbl[[#This Row],[Rate_Code_Generalized]],Lookups!A:A,Lookups!B:B)*Quota_tbl[[#This Row],[Quota_Amount_USD]])</f>
        <v>15300</v>
      </c>
      <c r="G180" t="str">
        <f>_xlfn.XLOOKUP(Quota_tbl[[#This Row],[Rep_ID]],Dim_Reps!A:A,Dim_Reps!C:C)</f>
        <v>SDR / Inside Sales Rep</v>
      </c>
      <c r="H180" t="str">
        <f>_xlfn.XLOOKUP(Quota_tbl[[#This Row],[Rep_ID]],Dim_Reps!A:A,Dim_Reps!D:D)</f>
        <v>Inside Sales</v>
      </c>
      <c r="I180" t="str">
        <f>_xlfn.XLOOKUP(Quota_tbl[[#This Row],[Rep_ID]],Dim_Reps!A:A,Dim_Reps!E:E)</f>
        <v>APAC</v>
      </c>
      <c r="J180" t="str">
        <f>_xlfn.XLOOKUP(Quota_tbl[[#This Row],[Period_Start_Date]],Dim_Date!A:A,Dim_Date!H:H)</f>
        <v>Oct 2025</v>
      </c>
    </row>
    <row r="181" spans="1:10" ht="15" customHeight="1" x14ac:dyDescent="0.2">
      <c r="A181" t="s">
        <v>203</v>
      </c>
      <c r="B181" s="49">
        <v>45962</v>
      </c>
      <c r="C181">
        <v>14</v>
      </c>
      <c r="D181" s="33">
        <v>15500</v>
      </c>
      <c r="E181" t="str">
        <f>_xlfn.XLOOKUP(Quota_tbl[[#This Row],[Rep_ID]],Dim_Reps!A:A,Dim_Reps!K:K)</f>
        <v>EUR</v>
      </c>
      <c r="F181" s="33">
        <f>(_xlfn.XLOOKUP(Quota_tbl[[#This Row],[Rate_Code_Generalized]],Lookups!A:A,Lookups!B:B)*Quota_tbl[[#This Row],[Quota_Amount_USD]])</f>
        <v>15500</v>
      </c>
      <c r="G181" t="str">
        <f>_xlfn.XLOOKUP(Quota_tbl[[#This Row],[Rep_ID]],Dim_Reps!A:A,Dim_Reps!C:C)</f>
        <v>SDR / Inside Sales Rep</v>
      </c>
      <c r="H181" t="str">
        <f>_xlfn.XLOOKUP(Quota_tbl[[#This Row],[Rep_ID]],Dim_Reps!A:A,Dim_Reps!D:D)</f>
        <v>Inside Sales</v>
      </c>
      <c r="I181" t="str">
        <f>_xlfn.XLOOKUP(Quota_tbl[[#This Row],[Rep_ID]],Dim_Reps!A:A,Dim_Reps!E:E)</f>
        <v>APAC</v>
      </c>
      <c r="J181" t="str">
        <f>_xlfn.XLOOKUP(Quota_tbl[[#This Row],[Period_Start_Date]],Dim_Date!A:A,Dim_Date!H:H)</f>
        <v>Nov 2025</v>
      </c>
    </row>
    <row r="182" spans="1:10" ht="15" customHeight="1" x14ac:dyDescent="0.2">
      <c r="A182" t="s">
        <v>203</v>
      </c>
      <c r="B182" s="49">
        <v>45992</v>
      </c>
      <c r="C182">
        <v>15</v>
      </c>
      <c r="D182" s="33">
        <v>16600</v>
      </c>
      <c r="E182" t="str">
        <f>_xlfn.XLOOKUP(Quota_tbl[[#This Row],[Rep_ID]],Dim_Reps!A:A,Dim_Reps!K:K)</f>
        <v>EUR</v>
      </c>
      <c r="F182" s="33">
        <f>(_xlfn.XLOOKUP(Quota_tbl[[#This Row],[Rate_Code_Generalized]],Lookups!A:A,Lookups!B:B)*Quota_tbl[[#This Row],[Quota_Amount_USD]])</f>
        <v>16600</v>
      </c>
      <c r="G182" t="str">
        <f>_xlfn.XLOOKUP(Quota_tbl[[#This Row],[Rep_ID]],Dim_Reps!A:A,Dim_Reps!C:C)</f>
        <v>SDR / Inside Sales Rep</v>
      </c>
      <c r="H182" t="str">
        <f>_xlfn.XLOOKUP(Quota_tbl[[#This Row],[Rep_ID]],Dim_Reps!A:A,Dim_Reps!D:D)</f>
        <v>Inside Sales</v>
      </c>
      <c r="I182" t="str">
        <f>_xlfn.XLOOKUP(Quota_tbl[[#This Row],[Rep_ID]],Dim_Reps!A:A,Dim_Reps!E:E)</f>
        <v>APAC</v>
      </c>
      <c r="J182" t="str">
        <f>_xlfn.XLOOKUP(Quota_tbl[[#This Row],[Period_Start_Date]],Dim_Date!A:A,Dim_Date!H:H)</f>
        <v>Dec 2025</v>
      </c>
    </row>
    <row r="183" spans="1:10" ht="15" customHeight="1" x14ac:dyDescent="0.2">
      <c r="A183" t="s">
        <v>278</v>
      </c>
      <c r="B183" s="49">
        <v>45292</v>
      </c>
      <c r="C183">
        <v>18</v>
      </c>
      <c r="D183" s="33">
        <v>45300</v>
      </c>
      <c r="E183" t="str">
        <f>_xlfn.XLOOKUP(Quota_tbl[[#This Row],[Rep_ID]],Dim_Reps!A:A,Dim_Reps!K:K)</f>
        <v>EUR</v>
      </c>
      <c r="F183" s="33">
        <f>(_xlfn.XLOOKUP(Quota_tbl[[#This Row],[Rate_Code_Generalized]],Lookups!A:A,Lookups!B:B)*Quota_tbl[[#This Row],[Quota_Amount_USD]])</f>
        <v>45300</v>
      </c>
      <c r="G183" t="str">
        <f>_xlfn.XLOOKUP(Quota_tbl[[#This Row],[Rep_ID]],Dim_Reps!A:A,Dim_Reps!C:C)</f>
        <v>Senior Enterprise AE</v>
      </c>
      <c r="H183" t="str">
        <f>_xlfn.XLOOKUP(Quota_tbl[[#This Row],[Rep_ID]],Dim_Reps!A:A,Dim_Reps!D:D)</f>
        <v>Strategic</v>
      </c>
      <c r="I183" t="str">
        <f>_xlfn.XLOOKUP(Quota_tbl[[#This Row],[Rep_ID]],Dim_Reps!A:A,Dim_Reps!E:E)</f>
        <v>APAC</v>
      </c>
      <c r="J183" t="str">
        <f>_xlfn.XLOOKUP(Quota_tbl[[#This Row],[Period_Start_Date]],Dim_Date!A:A,Dim_Date!H:H)</f>
        <v>Jan 2024</v>
      </c>
    </row>
    <row r="184" spans="1:10" ht="15" customHeight="1" x14ac:dyDescent="0.2">
      <c r="A184" t="s">
        <v>278</v>
      </c>
      <c r="B184" s="49">
        <v>45323</v>
      </c>
      <c r="C184">
        <v>19</v>
      </c>
      <c r="D184" s="33">
        <v>49000</v>
      </c>
      <c r="E184" t="str">
        <f>_xlfn.XLOOKUP(Quota_tbl[[#This Row],[Rep_ID]],Dim_Reps!A:A,Dim_Reps!K:K)</f>
        <v>EUR</v>
      </c>
      <c r="F184" s="33">
        <f>(_xlfn.XLOOKUP(Quota_tbl[[#This Row],[Rate_Code_Generalized]],Lookups!A:A,Lookups!B:B)*Quota_tbl[[#This Row],[Quota_Amount_USD]])</f>
        <v>49000</v>
      </c>
      <c r="G184" t="str">
        <f>_xlfn.XLOOKUP(Quota_tbl[[#This Row],[Rep_ID]],Dim_Reps!A:A,Dim_Reps!C:C)</f>
        <v>Senior Enterprise AE</v>
      </c>
      <c r="H184" t="str">
        <f>_xlfn.XLOOKUP(Quota_tbl[[#This Row],[Rep_ID]],Dim_Reps!A:A,Dim_Reps!D:D)</f>
        <v>Strategic</v>
      </c>
      <c r="I184" t="str">
        <f>_xlfn.XLOOKUP(Quota_tbl[[#This Row],[Rep_ID]],Dim_Reps!A:A,Dim_Reps!E:E)</f>
        <v>APAC</v>
      </c>
      <c r="J184" t="str">
        <f>_xlfn.XLOOKUP(Quota_tbl[[#This Row],[Period_Start_Date]],Dim_Date!A:A,Dim_Date!H:H)</f>
        <v>Feb 2024</v>
      </c>
    </row>
    <row r="185" spans="1:10" ht="15" customHeight="1" x14ac:dyDescent="0.2">
      <c r="A185" t="s">
        <v>278</v>
      </c>
      <c r="B185" s="49">
        <v>45352</v>
      </c>
      <c r="C185">
        <v>20</v>
      </c>
      <c r="D185" s="33">
        <v>45700</v>
      </c>
      <c r="E185" t="str">
        <f>_xlfn.XLOOKUP(Quota_tbl[[#This Row],[Rep_ID]],Dim_Reps!A:A,Dim_Reps!K:K)</f>
        <v>EUR</v>
      </c>
      <c r="F185" s="33">
        <f>(_xlfn.XLOOKUP(Quota_tbl[[#This Row],[Rate_Code_Generalized]],Lookups!A:A,Lookups!B:B)*Quota_tbl[[#This Row],[Quota_Amount_USD]])</f>
        <v>45700</v>
      </c>
      <c r="G185" t="str">
        <f>_xlfn.XLOOKUP(Quota_tbl[[#This Row],[Rep_ID]],Dim_Reps!A:A,Dim_Reps!C:C)</f>
        <v>Senior Enterprise AE</v>
      </c>
      <c r="H185" t="str">
        <f>_xlfn.XLOOKUP(Quota_tbl[[#This Row],[Rep_ID]],Dim_Reps!A:A,Dim_Reps!D:D)</f>
        <v>Strategic</v>
      </c>
      <c r="I185" t="str">
        <f>_xlfn.XLOOKUP(Quota_tbl[[#This Row],[Rep_ID]],Dim_Reps!A:A,Dim_Reps!E:E)</f>
        <v>APAC</v>
      </c>
      <c r="J185" t="str">
        <f>_xlfn.XLOOKUP(Quota_tbl[[#This Row],[Period_Start_Date]],Dim_Date!A:A,Dim_Date!H:H)</f>
        <v>Mar 2024</v>
      </c>
    </row>
    <row r="186" spans="1:10" ht="15" customHeight="1" x14ac:dyDescent="0.2">
      <c r="A186" t="s">
        <v>278</v>
      </c>
      <c r="B186" s="49">
        <v>45383</v>
      </c>
      <c r="C186">
        <v>21</v>
      </c>
      <c r="D186" s="33">
        <v>47300</v>
      </c>
      <c r="E186" t="str">
        <f>_xlfn.XLOOKUP(Quota_tbl[[#This Row],[Rep_ID]],Dim_Reps!A:A,Dim_Reps!K:K)</f>
        <v>EUR</v>
      </c>
      <c r="F186" s="33">
        <f>(_xlfn.XLOOKUP(Quota_tbl[[#This Row],[Rate_Code_Generalized]],Lookups!A:A,Lookups!B:B)*Quota_tbl[[#This Row],[Quota_Amount_USD]])</f>
        <v>47300</v>
      </c>
      <c r="G186" t="str">
        <f>_xlfn.XLOOKUP(Quota_tbl[[#This Row],[Rep_ID]],Dim_Reps!A:A,Dim_Reps!C:C)</f>
        <v>Senior Enterprise AE</v>
      </c>
      <c r="H186" t="str">
        <f>_xlfn.XLOOKUP(Quota_tbl[[#This Row],[Rep_ID]],Dim_Reps!A:A,Dim_Reps!D:D)</f>
        <v>Strategic</v>
      </c>
      <c r="I186" t="str">
        <f>_xlfn.XLOOKUP(Quota_tbl[[#This Row],[Rep_ID]],Dim_Reps!A:A,Dim_Reps!E:E)</f>
        <v>APAC</v>
      </c>
      <c r="J186" t="str">
        <f>_xlfn.XLOOKUP(Quota_tbl[[#This Row],[Period_Start_Date]],Dim_Date!A:A,Dim_Date!H:H)</f>
        <v>Apr 2024</v>
      </c>
    </row>
    <row r="187" spans="1:10" ht="15" customHeight="1" x14ac:dyDescent="0.2">
      <c r="A187" t="s">
        <v>278</v>
      </c>
      <c r="B187" s="49">
        <v>45413</v>
      </c>
      <c r="C187">
        <v>22</v>
      </c>
      <c r="D187" s="33">
        <v>49600</v>
      </c>
      <c r="E187" t="str">
        <f>_xlfn.XLOOKUP(Quota_tbl[[#This Row],[Rep_ID]],Dim_Reps!A:A,Dim_Reps!K:K)</f>
        <v>EUR</v>
      </c>
      <c r="F187" s="33">
        <f>(_xlfn.XLOOKUP(Quota_tbl[[#This Row],[Rate_Code_Generalized]],Lookups!A:A,Lookups!B:B)*Quota_tbl[[#This Row],[Quota_Amount_USD]])</f>
        <v>49600</v>
      </c>
      <c r="G187" t="str">
        <f>_xlfn.XLOOKUP(Quota_tbl[[#This Row],[Rep_ID]],Dim_Reps!A:A,Dim_Reps!C:C)</f>
        <v>Senior Enterprise AE</v>
      </c>
      <c r="H187" t="str">
        <f>_xlfn.XLOOKUP(Quota_tbl[[#This Row],[Rep_ID]],Dim_Reps!A:A,Dim_Reps!D:D)</f>
        <v>Strategic</v>
      </c>
      <c r="I187" t="str">
        <f>_xlfn.XLOOKUP(Quota_tbl[[#This Row],[Rep_ID]],Dim_Reps!A:A,Dim_Reps!E:E)</f>
        <v>APAC</v>
      </c>
      <c r="J187" t="str">
        <f>_xlfn.XLOOKUP(Quota_tbl[[#This Row],[Period_Start_Date]],Dim_Date!A:A,Dim_Date!H:H)</f>
        <v>May 2024</v>
      </c>
    </row>
    <row r="188" spans="1:10" ht="15" customHeight="1" x14ac:dyDescent="0.2">
      <c r="A188" t="s">
        <v>278</v>
      </c>
      <c r="B188" s="49">
        <v>45444</v>
      </c>
      <c r="C188">
        <v>23</v>
      </c>
      <c r="D188" s="33">
        <v>48100</v>
      </c>
      <c r="E188" t="str">
        <f>_xlfn.XLOOKUP(Quota_tbl[[#This Row],[Rep_ID]],Dim_Reps!A:A,Dim_Reps!K:K)</f>
        <v>EUR</v>
      </c>
      <c r="F188" s="33">
        <f>(_xlfn.XLOOKUP(Quota_tbl[[#This Row],[Rate_Code_Generalized]],Lookups!A:A,Lookups!B:B)*Quota_tbl[[#This Row],[Quota_Amount_USD]])</f>
        <v>48100</v>
      </c>
      <c r="G188" t="str">
        <f>_xlfn.XLOOKUP(Quota_tbl[[#This Row],[Rep_ID]],Dim_Reps!A:A,Dim_Reps!C:C)</f>
        <v>Senior Enterprise AE</v>
      </c>
      <c r="H188" t="str">
        <f>_xlfn.XLOOKUP(Quota_tbl[[#This Row],[Rep_ID]],Dim_Reps!A:A,Dim_Reps!D:D)</f>
        <v>Strategic</v>
      </c>
      <c r="I188" t="str">
        <f>_xlfn.XLOOKUP(Quota_tbl[[#This Row],[Rep_ID]],Dim_Reps!A:A,Dim_Reps!E:E)</f>
        <v>APAC</v>
      </c>
      <c r="J188" t="str">
        <f>_xlfn.XLOOKUP(Quota_tbl[[#This Row],[Period_Start_Date]],Dim_Date!A:A,Dim_Date!H:H)</f>
        <v>Jun 2024</v>
      </c>
    </row>
    <row r="189" spans="1:10" ht="15" customHeight="1" x14ac:dyDescent="0.2">
      <c r="A189" t="s">
        <v>278</v>
      </c>
      <c r="B189" s="49">
        <v>45474</v>
      </c>
      <c r="C189">
        <v>24</v>
      </c>
      <c r="D189" s="33">
        <v>46400</v>
      </c>
      <c r="E189" t="str">
        <f>_xlfn.XLOOKUP(Quota_tbl[[#This Row],[Rep_ID]],Dim_Reps!A:A,Dim_Reps!K:K)</f>
        <v>EUR</v>
      </c>
      <c r="F189" s="33">
        <f>(_xlfn.XLOOKUP(Quota_tbl[[#This Row],[Rate_Code_Generalized]],Lookups!A:A,Lookups!B:B)*Quota_tbl[[#This Row],[Quota_Amount_USD]])</f>
        <v>46400</v>
      </c>
      <c r="G189" t="str">
        <f>_xlfn.XLOOKUP(Quota_tbl[[#This Row],[Rep_ID]],Dim_Reps!A:A,Dim_Reps!C:C)</f>
        <v>Senior Enterprise AE</v>
      </c>
      <c r="H189" t="str">
        <f>_xlfn.XLOOKUP(Quota_tbl[[#This Row],[Rep_ID]],Dim_Reps!A:A,Dim_Reps!D:D)</f>
        <v>Strategic</v>
      </c>
      <c r="I189" t="str">
        <f>_xlfn.XLOOKUP(Quota_tbl[[#This Row],[Rep_ID]],Dim_Reps!A:A,Dim_Reps!E:E)</f>
        <v>APAC</v>
      </c>
      <c r="J189" t="str">
        <f>_xlfn.XLOOKUP(Quota_tbl[[#This Row],[Period_Start_Date]],Dim_Date!A:A,Dim_Date!H:H)</f>
        <v>Jul 2024</v>
      </c>
    </row>
    <row r="190" spans="1:10" ht="15" customHeight="1" x14ac:dyDescent="0.2">
      <c r="A190" t="s">
        <v>278</v>
      </c>
      <c r="B190" s="49">
        <v>45505</v>
      </c>
      <c r="C190">
        <v>25</v>
      </c>
      <c r="D190" s="33">
        <v>47000</v>
      </c>
      <c r="E190" t="str">
        <f>_xlfn.XLOOKUP(Quota_tbl[[#This Row],[Rep_ID]],Dim_Reps!A:A,Dim_Reps!K:K)</f>
        <v>EUR</v>
      </c>
      <c r="F190" s="33">
        <f>(_xlfn.XLOOKUP(Quota_tbl[[#This Row],[Rate_Code_Generalized]],Lookups!A:A,Lookups!B:B)*Quota_tbl[[#This Row],[Quota_Amount_USD]])</f>
        <v>47000</v>
      </c>
      <c r="G190" t="str">
        <f>_xlfn.XLOOKUP(Quota_tbl[[#This Row],[Rep_ID]],Dim_Reps!A:A,Dim_Reps!C:C)</f>
        <v>Senior Enterprise AE</v>
      </c>
      <c r="H190" t="str">
        <f>_xlfn.XLOOKUP(Quota_tbl[[#This Row],[Rep_ID]],Dim_Reps!A:A,Dim_Reps!D:D)</f>
        <v>Strategic</v>
      </c>
      <c r="I190" t="str">
        <f>_xlfn.XLOOKUP(Quota_tbl[[#This Row],[Rep_ID]],Dim_Reps!A:A,Dim_Reps!E:E)</f>
        <v>APAC</v>
      </c>
      <c r="J190" t="str">
        <f>_xlfn.XLOOKUP(Quota_tbl[[#This Row],[Period_Start_Date]],Dim_Date!A:A,Dim_Date!H:H)</f>
        <v>Aug 2024</v>
      </c>
    </row>
    <row r="191" spans="1:10" ht="15" customHeight="1" x14ac:dyDescent="0.2">
      <c r="A191" t="s">
        <v>278</v>
      </c>
      <c r="B191" s="49">
        <v>45536</v>
      </c>
      <c r="C191">
        <v>26</v>
      </c>
      <c r="D191" s="33">
        <v>49000</v>
      </c>
      <c r="E191" t="str">
        <f>_xlfn.XLOOKUP(Quota_tbl[[#This Row],[Rep_ID]],Dim_Reps!A:A,Dim_Reps!K:K)</f>
        <v>EUR</v>
      </c>
      <c r="F191" s="33">
        <f>(_xlfn.XLOOKUP(Quota_tbl[[#This Row],[Rate_Code_Generalized]],Lookups!A:A,Lookups!B:B)*Quota_tbl[[#This Row],[Quota_Amount_USD]])</f>
        <v>49000</v>
      </c>
      <c r="G191" t="str">
        <f>_xlfn.XLOOKUP(Quota_tbl[[#This Row],[Rep_ID]],Dim_Reps!A:A,Dim_Reps!C:C)</f>
        <v>Senior Enterprise AE</v>
      </c>
      <c r="H191" t="str">
        <f>_xlfn.XLOOKUP(Quota_tbl[[#This Row],[Rep_ID]],Dim_Reps!A:A,Dim_Reps!D:D)</f>
        <v>Strategic</v>
      </c>
      <c r="I191" t="str">
        <f>_xlfn.XLOOKUP(Quota_tbl[[#This Row],[Rep_ID]],Dim_Reps!A:A,Dim_Reps!E:E)</f>
        <v>APAC</v>
      </c>
      <c r="J191" t="str">
        <f>_xlfn.XLOOKUP(Quota_tbl[[#This Row],[Period_Start_Date]],Dim_Date!A:A,Dim_Date!H:H)</f>
        <v>Sep 2024</v>
      </c>
    </row>
    <row r="192" spans="1:10" ht="15" customHeight="1" x14ac:dyDescent="0.2">
      <c r="A192" t="s">
        <v>278</v>
      </c>
      <c r="B192" s="49">
        <v>45566</v>
      </c>
      <c r="C192">
        <v>27</v>
      </c>
      <c r="D192" s="33">
        <v>46900</v>
      </c>
      <c r="E192" t="str">
        <f>_xlfn.XLOOKUP(Quota_tbl[[#This Row],[Rep_ID]],Dim_Reps!A:A,Dim_Reps!K:K)</f>
        <v>EUR</v>
      </c>
      <c r="F192" s="33">
        <f>(_xlfn.XLOOKUP(Quota_tbl[[#This Row],[Rate_Code_Generalized]],Lookups!A:A,Lookups!B:B)*Quota_tbl[[#This Row],[Quota_Amount_USD]])</f>
        <v>46900</v>
      </c>
      <c r="G192" t="str">
        <f>_xlfn.XLOOKUP(Quota_tbl[[#This Row],[Rep_ID]],Dim_Reps!A:A,Dim_Reps!C:C)</f>
        <v>Senior Enterprise AE</v>
      </c>
      <c r="H192" t="str">
        <f>_xlfn.XLOOKUP(Quota_tbl[[#This Row],[Rep_ID]],Dim_Reps!A:A,Dim_Reps!D:D)</f>
        <v>Strategic</v>
      </c>
      <c r="I192" t="str">
        <f>_xlfn.XLOOKUP(Quota_tbl[[#This Row],[Rep_ID]],Dim_Reps!A:A,Dim_Reps!E:E)</f>
        <v>APAC</v>
      </c>
      <c r="J192" t="str">
        <f>_xlfn.XLOOKUP(Quota_tbl[[#This Row],[Period_Start_Date]],Dim_Date!A:A,Dim_Date!H:H)</f>
        <v>Oct 2024</v>
      </c>
    </row>
    <row r="193" spans="1:10" ht="15" customHeight="1" x14ac:dyDescent="0.2">
      <c r="A193" t="s">
        <v>278</v>
      </c>
      <c r="B193" s="49">
        <v>45597</v>
      </c>
      <c r="C193">
        <v>28</v>
      </c>
      <c r="D193" s="33">
        <v>48300</v>
      </c>
      <c r="E193" t="str">
        <f>_xlfn.XLOOKUP(Quota_tbl[[#This Row],[Rep_ID]],Dim_Reps!A:A,Dim_Reps!K:K)</f>
        <v>EUR</v>
      </c>
      <c r="F193" s="33">
        <f>(_xlfn.XLOOKUP(Quota_tbl[[#This Row],[Rate_Code_Generalized]],Lookups!A:A,Lookups!B:B)*Quota_tbl[[#This Row],[Quota_Amount_USD]])</f>
        <v>48300</v>
      </c>
      <c r="G193" t="str">
        <f>_xlfn.XLOOKUP(Quota_tbl[[#This Row],[Rep_ID]],Dim_Reps!A:A,Dim_Reps!C:C)</f>
        <v>Senior Enterprise AE</v>
      </c>
      <c r="H193" t="str">
        <f>_xlfn.XLOOKUP(Quota_tbl[[#This Row],[Rep_ID]],Dim_Reps!A:A,Dim_Reps!D:D)</f>
        <v>Strategic</v>
      </c>
      <c r="I193" t="str">
        <f>_xlfn.XLOOKUP(Quota_tbl[[#This Row],[Rep_ID]],Dim_Reps!A:A,Dim_Reps!E:E)</f>
        <v>APAC</v>
      </c>
      <c r="J193" t="str">
        <f>_xlfn.XLOOKUP(Quota_tbl[[#This Row],[Period_Start_Date]],Dim_Date!A:A,Dim_Date!H:H)</f>
        <v>Nov 2024</v>
      </c>
    </row>
    <row r="194" spans="1:10" ht="15" customHeight="1" x14ac:dyDescent="0.2">
      <c r="A194" t="s">
        <v>278</v>
      </c>
      <c r="B194" s="49">
        <v>45627</v>
      </c>
      <c r="C194">
        <v>29</v>
      </c>
      <c r="D194" s="33">
        <v>48100</v>
      </c>
      <c r="E194" t="str">
        <f>_xlfn.XLOOKUP(Quota_tbl[[#This Row],[Rep_ID]],Dim_Reps!A:A,Dim_Reps!K:K)</f>
        <v>EUR</v>
      </c>
      <c r="F194" s="33">
        <f>(_xlfn.XLOOKUP(Quota_tbl[[#This Row],[Rate_Code_Generalized]],Lookups!A:A,Lookups!B:B)*Quota_tbl[[#This Row],[Quota_Amount_USD]])</f>
        <v>48100</v>
      </c>
      <c r="G194" t="str">
        <f>_xlfn.XLOOKUP(Quota_tbl[[#This Row],[Rep_ID]],Dim_Reps!A:A,Dim_Reps!C:C)</f>
        <v>Senior Enterprise AE</v>
      </c>
      <c r="H194" t="str">
        <f>_xlfn.XLOOKUP(Quota_tbl[[#This Row],[Rep_ID]],Dim_Reps!A:A,Dim_Reps!D:D)</f>
        <v>Strategic</v>
      </c>
      <c r="I194" t="str">
        <f>_xlfn.XLOOKUP(Quota_tbl[[#This Row],[Rep_ID]],Dim_Reps!A:A,Dim_Reps!E:E)</f>
        <v>APAC</v>
      </c>
      <c r="J194" t="str">
        <f>_xlfn.XLOOKUP(Quota_tbl[[#This Row],[Period_Start_Date]],Dim_Date!A:A,Dim_Date!H:H)</f>
        <v>Dec 2024</v>
      </c>
    </row>
    <row r="195" spans="1:10" ht="15" customHeight="1" x14ac:dyDescent="0.2">
      <c r="A195" t="s">
        <v>278</v>
      </c>
      <c r="B195" s="49">
        <v>45658</v>
      </c>
      <c r="C195">
        <v>30</v>
      </c>
      <c r="D195" s="33">
        <v>47100</v>
      </c>
      <c r="E195" t="str">
        <f>_xlfn.XLOOKUP(Quota_tbl[[#This Row],[Rep_ID]],Dim_Reps!A:A,Dim_Reps!K:K)</f>
        <v>EUR</v>
      </c>
      <c r="F195" s="33">
        <f>(_xlfn.XLOOKUP(Quota_tbl[[#This Row],[Rate_Code_Generalized]],Lookups!A:A,Lookups!B:B)*Quota_tbl[[#This Row],[Quota_Amount_USD]])</f>
        <v>47100</v>
      </c>
      <c r="G195" t="str">
        <f>_xlfn.XLOOKUP(Quota_tbl[[#This Row],[Rep_ID]],Dim_Reps!A:A,Dim_Reps!C:C)</f>
        <v>Senior Enterprise AE</v>
      </c>
      <c r="H195" t="str">
        <f>_xlfn.XLOOKUP(Quota_tbl[[#This Row],[Rep_ID]],Dim_Reps!A:A,Dim_Reps!D:D)</f>
        <v>Strategic</v>
      </c>
      <c r="I195" t="str">
        <f>_xlfn.XLOOKUP(Quota_tbl[[#This Row],[Rep_ID]],Dim_Reps!A:A,Dim_Reps!E:E)</f>
        <v>APAC</v>
      </c>
      <c r="J195" t="str">
        <f>_xlfn.XLOOKUP(Quota_tbl[[#This Row],[Period_Start_Date]],Dim_Date!A:A,Dim_Date!H:H)</f>
        <v>Jan 2025</v>
      </c>
    </row>
    <row r="196" spans="1:10" ht="15" customHeight="1" x14ac:dyDescent="0.2">
      <c r="A196" t="s">
        <v>278</v>
      </c>
      <c r="B196" s="49">
        <v>45689</v>
      </c>
      <c r="C196">
        <v>31</v>
      </c>
      <c r="D196" s="33">
        <v>51100</v>
      </c>
      <c r="E196" t="str">
        <f>_xlfn.XLOOKUP(Quota_tbl[[#This Row],[Rep_ID]],Dim_Reps!A:A,Dim_Reps!K:K)</f>
        <v>EUR</v>
      </c>
      <c r="F196" s="33">
        <f>(_xlfn.XLOOKUP(Quota_tbl[[#This Row],[Rate_Code_Generalized]],Lookups!A:A,Lookups!B:B)*Quota_tbl[[#This Row],[Quota_Amount_USD]])</f>
        <v>51100</v>
      </c>
      <c r="G196" t="str">
        <f>_xlfn.XLOOKUP(Quota_tbl[[#This Row],[Rep_ID]],Dim_Reps!A:A,Dim_Reps!C:C)</f>
        <v>Senior Enterprise AE</v>
      </c>
      <c r="H196" t="str">
        <f>_xlfn.XLOOKUP(Quota_tbl[[#This Row],[Rep_ID]],Dim_Reps!A:A,Dim_Reps!D:D)</f>
        <v>Strategic</v>
      </c>
      <c r="I196" t="str">
        <f>_xlfn.XLOOKUP(Quota_tbl[[#This Row],[Rep_ID]],Dim_Reps!A:A,Dim_Reps!E:E)</f>
        <v>APAC</v>
      </c>
      <c r="J196" t="str">
        <f>_xlfn.XLOOKUP(Quota_tbl[[#This Row],[Period_Start_Date]],Dim_Date!A:A,Dim_Date!H:H)</f>
        <v>Feb 2025</v>
      </c>
    </row>
    <row r="197" spans="1:10" ht="15" customHeight="1" x14ac:dyDescent="0.2">
      <c r="A197" t="s">
        <v>278</v>
      </c>
      <c r="B197" s="49">
        <v>45717</v>
      </c>
      <c r="C197">
        <v>32</v>
      </c>
      <c r="D197" s="33">
        <v>48900</v>
      </c>
      <c r="E197" t="str">
        <f>_xlfn.XLOOKUP(Quota_tbl[[#This Row],[Rep_ID]],Dim_Reps!A:A,Dim_Reps!K:K)</f>
        <v>EUR</v>
      </c>
      <c r="F197" s="33">
        <f>(_xlfn.XLOOKUP(Quota_tbl[[#This Row],[Rate_Code_Generalized]],Lookups!A:A,Lookups!B:B)*Quota_tbl[[#This Row],[Quota_Amount_USD]])</f>
        <v>48900</v>
      </c>
      <c r="G197" t="str">
        <f>_xlfn.XLOOKUP(Quota_tbl[[#This Row],[Rep_ID]],Dim_Reps!A:A,Dim_Reps!C:C)</f>
        <v>Senior Enterprise AE</v>
      </c>
      <c r="H197" t="str">
        <f>_xlfn.XLOOKUP(Quota_tbl[[#This Row],[Rep_ID]],Dim_Reps!A:A,Dim_Reps!D:D)</f>
        <v>Strategic</v>
      </c>
      <c r="I197" t="str">
        <f>_xlfn.XLOOKUP(Quota_tbl[[#This Row],[Rep_ID]],Dim_Reps!A:A,Dim_Reps!E:E)</f>
        <v>APAC</v>
      </c>
      <c r="J197" t="str">
        <f>_xlfn.XLOOKUP(Quota_tbl[[#This Row],[Period_Start_Date]],Dim_Date!A:A,Dim_Date!H:H)</f>
        <v>Mar 2025</v>
      </c>
    </row>
    <row r="198" spans="1:10" ht="15" customHeight="1" x14ac:dyDescent="0.2">
      <c r="A198" t="s">
        <v>278</v>
      </c>
      <c r="B198" s="49">
        <v>45748</v>
      </c>
      <c r="C198">
        <v>33</v>
      </c>
      <c r="D198" s="33">
        <v>45100</v>
      </c>
      <c r="E198" t="str">
        <f>_xlfn.XLOOKUP(Quota_tbl[[#This Row],[Rep_ID]],Dim_Reps!A:A,Dim_Reps!K:K)</f>
        <v>EUR</v>
      </c>
      <c r="F198" s="33">
        <f>(_xlfn.XLOOKUP(Quota_tbl[[#This Row],[Rate_Code_Generalized]],Lookups!A:A,Lookups!B:B)*Quota_tbl[[#This Row],[Quota_Amount_USD]])</f>
        <v>45100</v>
      </c>
      <c r="G198" t="str">
        <f>_xlfn.XLOOKUP(Quota_tbl[[#This Row],[Rep_ID]],Dim_Reps!A:A,Dim_Reps!C:C)</f>
        <v>Senior Enterprise AE</v>
      </c>
      <c r="H198" t="str">
        <f>_xlfn.XLOOKUP(Quota_tbl[[#This Row],[Rep_ID]],Dim_Reps!A:A,Dim_Reps!D:D)</f>
        <v>Strategic</v>
      </c>
      <c r="I198" t="str">
        <f>_xlfn.XLOOKUP(Quota_tbl[[#This Row],[Rep_ID]],Dim_Reps!A:A,Dim_Reps!E:E)</f>
        <v>APAC</v>
      </c>
      <c r="J198" t="str">
        <f>_xlfn.XLOOKUP(Quota_tbl[[#This Row],[Period_Start_Date]],Dim_Date!A:A,Dim_Date!H:H)</f>
        <v>Apr 2025</v>
      </c>
    </row>
    <row r="199" spans="1:10" ht="15" customHeight="1" x14ac:dyDescent="0.2">
      <c r="A199" t="s">
        <v>278</v>
      </c>
      <c r="B199" s="49">
        <v>45778</v>
      </c>
      <c r="C199">
        <v>34</v>
      </c>
      <c r="D199" s="33">
        <v>48300</v>
      </c>
      <c r="E199" t="str">
        <f>_xlfn.XLOOKUP(Quota_tbl[[#This Row],[Rep_ID]],Dim_Reps!A:A,Dim_Reps!K:K)</f>
        <v>EUR</v>
      </c>
      <c r="F199" s="33">
        <f>(_xlfn.XLOOKUP(Quota_tbl[[#This Row],[Rate_Code_Generalized]],Lookups!A:A,Lookups!B:B)*Quota_tbl[[#This Row],[Quota_Amount_USD]])</f>
        <v>48300</v>
      </c>
      <c r="G199" t="str">
        <f>_xlfn.XLOOKUP(Quota_tbl[[#This Row],[Rep_ID]],Dim_Reps!A:A,Dim_Reps!C:C)</f>
        <v>Senior Enterprise AE</v>
      </c>
      <c r="H199" t="str">
        <f>_xlfn.XLOOKUP(Quota_tbl[[#This Row],[Rep_ID]],Dim_Reps!A:A,Dim_Reps!D:D)</f>
        <v>Strategic</v>
      </c>
      <c r="I199" t="str">
        <f>_xlfn.XLOOKUP(Quota_tbl[[#This Row],[Rep_ID]],Dim_Reps!A:A,Dim_Reps!E:E)</f>
        <v>APAC</v>
      </c>
      <c r="J199" t="str">
        <f>_xlfn.XLOOKUP(Quota_tbl[[#This Row],[Period_Start_Date]],Dim_Date!A:A,Dim_Date!H:H)</f>
        <v>May 2025</v>
      </c>
    </row>
    <row r="200" spans="1:10" ht="15" customHeight="1" x14ac:dyDescent="0.2">
      <c r="A200" t="s">
        <v>278</v>
      </c>
      <c r="B200" s="49">
        <v>45809</v>
      </c>
      <c r="C200">
        <v>35</v>
      </c>
      <c r="D200" s="33">
        <v>47000</v>
      </c>
      <c r="E200" t="str">
        <f>_xlfn.XLOOKUP(Quota_tbl[[#This Row],[Rep_ID]],Dim_Reps!A:A,Dim_Reps!K:K)</f>
        <v>EUR</v>
      </c>
      <c r="F200" s="33">
        <f>(_xlfn.XLOOKUP(Quota_tbl[[#This Row],[Rate_Code_Generalized]],Lookups!A:A,Lookups!B:B)*Quota_tbl[[#This Row],[Quota_Amount_USD]])</f>
        <v>47000</v>
      </c>
      <c r="G200" t="str">
        <f>_xlfn.XLOOKUP(Quota_tbl[[#This Row],[Rep_ID]],Dim_Reps!A:A,Dim_Reps!C:C)</f>
        <v>Senior Enterprise AE</v>
      </c>
      <c r="H200" t="str">
        <f>_xlfn.XLOOKUP(Quota_tbl[[#This Row],[Rep_ID]],Dim_Reps!A:A,Dim_Reps!D:D)</f>
        <v>Strategic</v>
      </c>
      <c r="I200" t="str">
        <f>_xlfn.XLOOKUP(Quota_tbl[[#This Row],[Rep_ID]],Dim_Reps!A:A,Dim_Reps!E:E)</f>
        <v>APAC</v>
      </c>
      <c r="J200" t="str">
        <f>_xlfn.XLOOKUP(Quota_tbl[[#This Row],[Period_Start_Date]],Dim_Date!A:A,Dim_Date!H:H)</f>
        <v>Jun 2025</v>
      </c>
    </row>
    <row r="201" spans="1:10" ht="15" customHeight="1" x14ac:dyDescent="0.2">
      <c r="A201" t="s">
        <v>278</v>
      </c>
      <c r="B201" s="49">
        <v>45839</v>
      </c>
      <c r="C201">
        <v>36</v>
      </c>
      <c r="D201" s="33">
        <v>49200</v>
      </c>
      <c r="E201" t="str">
        <f>_xlfn.XLOOKUP(Quota_tbl[[#This Row],[Rep_ID]],Dim_Reps!A:A,Dim_Reps!K:K)</f>
        <v>EUR</v>
      </c>
      <c r="F201" s="33">
        <f>(_xlfn.XLOOKUP(Quota_tbl[[#This Row],[Rate_Code_Generalized]],Lookups!A:A,Lookups!B:B)*Quota_tbl[[#This Row],[Quota_Amount_USD]])</f>
        <v>49200</v>
      </c>
      <c r="G201" t="str">
        <f>_xlfn.XLOOKUP(Quota_tbl[[#This Row],[Rep_ID]],Dim_Reps!A:A,Dim_Reps!C:C)</f>
        <v>Senior Enterprise AE</v>
      </c>
      <c r="H201" t="str">
        <f>_xlfn.XLOOKUP(Quota_tbl[[#This Row],[Rep_ID]],Dim_Reps!A:A,Dim_Reps!D:D)</f>
        <v>Strategic</v>
      </c>
      <c r="I201" t="str">
        <f>_xlfn.XLOOKUP(Quota_tbl[[#This Row],[Rep_ID]],Dim_Reps!A:A,Dim_Reps!E:E)</f>
        <v>APAC</v>
      </c>
      <c r="J201" t="str">
        <f>_xlfn.XLOOKUP(Quota_tbl[[#This Row],[Period_Start_Date]],Dim_Date!A:A,Dim_Date!H:H)</f>
        <v>Jul 2025</v>
      </c>
    </row>
    <row r="202" spans="1:10" ht="15" customHeight="1" x14ac:dyDescent="0.2">
      <c r="A202" t="s">
        <v>278</v>
      </c>
      <c r="B202" s="49">
        <v>45870</v>
      </c>
      <c r="C202">
        <v>37</v>
      </c>
      <c r="D202" s="33">
        <v>46900</v>
      </c>
      <c r="E202" t="str">
        <f>_xlfn.XLOOKUP(Quota_tbl[[#This Row],[Rep_ID]],Dim_Reps!A:A,Dim_Reps!K:K)</f>
        <v>EUR</v>
      </c>
      <c r="F202" s="33">
        <f>(_xlfn.XLOOKUP(Quota_tbl[[#This Row],[Rate_Code_Generalized]],Lookups!A:A,Lookups!B:B)*Quota_tbl[[#This Row],[Quota_Amount_USD]])</f>
        <v>46900</v>
      </c>
      <c r="G202" t="str">
        <f>_xlfn.XLOOKUP(Quota_tbl[[#This Row],[Rep_ID]],Dim_Reps!A:A,Dim_Reps!C:C)</f>
        <v>Senior Enterprise AE</v>
      </c>
      <c r="H202" t="str">
        <f>_xlfn.XLOOKUP(Quota_tbl[[#This Row],[Rep_ID]],Dim_Reps!A:A,Dim_Reps!D:D)</f>
        <v>Strategic</v>
      </c>
      <c r="I202" t="str">
        <f>_xlfn.XLOOKUP(Quota_tbl[[#This Row],[Rep_ID]],Dim_Reps!A:A,Dim_Reps!E:E)</f>
        <v>APAC</v>
      </c>
      <c r="J202" t="str">
        <f>_xlfn.XLOOKUP(Quota_tbl[[#This Row],[Period_Start_Date]],Dim_Date!A:A,Dim_Date!H:H)</f>
        <v>Aug 2025</v>
      </c>
    </row>
    <row r="203" spans="1:10" ht="15" customHeight="1" x14ac:dyDescent="0.2">
      <c r="A203" t="s">
        <v>278</v>
      </c>
      <c r="B203" s="49">
        <v>45901</v>
      </c>
      <c r="C203">
        <v>38</v>
      </c>
      <c r="D203" s="33">
        <v>47800</v>
      </c>
      <c r="E203" t="str">
        <f>_xlfn.XLOOKUP(Quota_tbl[[#This Row],[Rep_ID]],Dim_Reps!A:A,Dim_Reps!K:K)</f>
        <v>EUR</v>
      </c>
      <c r="F203" s="33">
        <f>(_xlfn.XLOOKUP(Quota_tbl[[#This Row],[Rate_Code_Generalized]],Lookups!A:A,Lookups!B:B)*Quota_tbl[[#This Row],[Quota_Amount_USD]])</f>
        <v>47800</v>
      </c>
      <c r="G203" t="str">
        <f>_xlfn.XLOOKUP(Quota_tbl[[#This Row],[Rep_ID]],Dim_Reps!A:A,Dim_Reps!C:C)</f>
        <v>Senior Enterprise AE</v>
      </c>
      <c r="H203" t="str">
        <f>_xlfn.XLOOKUP(Quota_tbl[[#This Row],[Rep_ID]],Dim_Reps!A:A,Dim_Reps!D:D)</f>
        <v>Strategic</v>
      </c>
      <c r="I203" t="str">
        <f>_xlfn.XLOOKUP(Quota_tbl[[#This Row],[Rep_ID]],Dim_Reps!A:A,Dim_Reps!E:E)</f>
        <v>APAC</v>
      </c>
      <c r="J203" t="str">
        <f>_xlfn.XLOOKUP(Quota_tbl[[#This Row],[Period_Start_Date]],Dim_Date!A:A,Dim_Date!H:H)</f>
        <v>Sep 2025</v>
      </c>
    </row>
    <row r="204" spans="1:10" ht="15" customHeight="1" x14ac:dyDescent="0.2">
      <c r="A204" t="s">
        <v>278</v>
      </c>
      <c r="B204" s="49">
        <v>45931</v>
      </c>
      <c r="C204">
        <v>39</v>
      </c>
      <c r="D204" s="33">
        <v>48700</v>
      </c>
      <c r="E204" t="str">
        <f>_xlfn.XLOOKUP(Quota_tbl[[#This Row],[Rep_ID]],Dim_Reps!A:A,Dim_Reps!K:K)</f>
        <v>EUR</v>
      </c>
      <c r="F204" s="33">
        <f>(_xlfn.XLOOKUP(Quota_tbl[[#This Row],[Rate_Code_Generalized]],Lookups!A:A,Lookups!B:B)*Quota_tbl[[#This Row],[Quota_Amount_USD]])</f>
        <v>48700</v>
      </c>
      <c r="G204" t="str">
        <f>_xlfn.XLOOKUP(Quota_tbl[[#This Row],[Rep_ID]],Dim_Reps!A:A,Dim_Reps!C:C)</f>
        <v>Senior Enterprise AE</v>
      </c>
      <c r="H204" t="str">
        <f>_xlfn.XLOOKUP(Quota_tbl[[#This Row],[Rep_ID]],Dim_Reps!A:A,Dim_Reps!D:D)</f>
        <v>Strategic</v>
      </c>
      <c r="I204" t="str">
        <f>_xlfn.XLOOKUP(Quota_tbl[[#This Row],[Rep_ID]],Dim_Reps!A:A,Dim_Reps!E:E)</f>
        <v>APAC</v>
      </c>
      <c r="J204" t="str">
        <f>_xlfn.XLOOKUP(Quota_tbl[[#This Row],[Period_Start_Date]],Dim_Date!A:A,Dim_Date!H:H)</f>
        <v>Oct 2025</v>
      </c>
    </row>
    <row r="205" spans="1:10" ht="15" customHeight="1" x14ac:dyDescent="0.2">
      <c r="A205" t="s">
        <v>278</v>
      </c>
      <c r="B205" s="49">
        <v>45962</v>
      </c>
      <c r="C205">
        <v>40</v>
      </c>
      <c r="D205" s="33">
        <v>49200</v>
      </c>
      <c r="E205" t="str">
        <f>_xlfn.XLOOKUP(Quota_tbl[[#This Row],[Rep_ID]],Dim_Reps!A:A,Dim_Reps!K:K)</f>
        <v>EUR</v>
      </c>
      <c r="F205" s="33">
        <f>(_xlfn.XLOOKUP(Quota_tbl[[#This Row],[Rate_Code_Generalized]],Lookups!A:A,Lookups!B:B)*Quota_tbl[[#This Row],[Quota_Amount_USD]])</f>
        <v>49200</v>
      </c>
      <c r="G205" t="str">
        <f>_xlfn.XLOOKUP(Quota_tbl[[#This Row],[Rep_ID]],Dim_Reps!A:A,Dim_Reps!C:C)</f>
        <v>Senior Enterprise AE</v>
      </c>
      <c r="H205" t="str">
        <f>_xlfn.XLOOKUP(Quota_tbl[[#This Row],[Rep_ID]],Dim_Reps!A:A,Dim_Reps!D:D)</f>
        <v>Strategic</v>
      </c>
      <c r="I205" t="str">
        <f>_xlfn.XLOOKUP(Quota_tbl[[#This Row],[Rep_ID]],Dim_Reps!A:A,Dim_Reps!E:E)</f>
        <v>APAC</v>
      </c>
      <c r="J205" t="str">
        <f>_xlfn.XLOOKUP(Quota_tbl[[#This Row],[Period_Start_Date]],Dim_Date!A:A,Dim_Date!H:H)</f>
        <v>Nov 2025</v>
      </c>
    </row>
    <row r="206" spans="1:10" ht="15" customHeight="1" x14ac:dyDescent="0.2">
      <c r="A206" t="s">
        <v>278</v>
      </c>
      <c r="B206" s="49">
        <v>45992</v>
      </c>
      <c r="C206">
        <v>41</v>
      </c>
      <c r="D206" s="33">
        <v>46300</v>
      </c>
      <c r="E206" t="str">
        <f>_xlfn.XLOOKUP(Quota_tbl[[#This Row],[Rep_ID]],Dim_Reps!A:A,Dim_Reps!K:K)</f>
        <v>EUR</v>
      </c>
      <c r="F206" s="33">
        <f>(_xlfn.XLOOKUP(Quota_tbl[[#This Row],[Rate_Code_Generalized]],Lookups!A:A,Lookups!B:B)*Quota_tbl[[#This Row],[Quota_Amount_USD]])</f>
        <v>46300</v>
      </c>
      <c r="G206" t="str">
        <f>_xlfn.XLOOKUP(Quota_tbl[[#This Row],[Rep_ID]],Dim_Reps!A:A,Dim_Reps!C:C)</f>
        <v>Senior Enterprise AE</v>
      </c>
      <c r="H206" t="str">
        <f>_xlfn.XLOOKUP(Quota_tbl[[#This Row],[Rep_ID]],Dim_Reps!A:A,Dim_Reps!D:D)</f>
        <v>Strategic</v>
      </c>
      <c r="I206" t="str">
        <f>_xlfn.XLOOKUP(Quota_tbl[[#This Row],[Rep_ID]],Dim_Reps!A:A,Dim_Reps!E:E)</f>
        <v>APAC</v>
      </c>
      <c r="J206" t="str">
        <f>_xlfn.XLOOKUP(Quota_tbl[[#This Row],[Period_Start_Date]],Dim_Date!A:A,Dim_Date!H:H)</f>
        <v>Dec 2025</v>
      </c>
    </row>
    <row r="207" spans="1:10" ht="15" customHeight="1" x14ac:dyDescent="0.2">
      <c r="A207" t="s">
        <v>185</v>
      </c>
      <c r="B207" s="49">
        <v>45383</v>
      </c>
      <c r="C207">
        <v>0</v>
      </c>
      <c r="D207" s="33">
        <v>7900</v>
      </c>
      <c r="E207" t="str">
        <f>_xlfn.XLOOKUP(Quota_tbl[[#This Row],[Rep_ID]],Dim_Reps!A:A,Dim_Reps!K:K)</f>
        <v>MXN</v>
      </c>
      <c r="F207" s="33">
        <f>(_xlfn.XLOOKUP(Quota_tbl[[#This Row],[Rate_Code_Generalized]],Lookups!A:A,Lookups!B:B)*Quota_tbl[[#This Row],[Quota_Amount_USD]])</f>
        <v>155888.33000000002</v>
      </c>
      <c r="G207" t="str">
        <f>_xlfn.XLOOKUP(Quota_tbl[[#This Row],[Rep_ID]],Dim_Reps!A:A,Dim_Reps!C:C)</f>
        <v>Enterprise AE</v>
      </c>
      <c r="H207" t="str">
        <f>_xlfn.XLOOKUP(Quota_tbl[[#This Row],[Rep_ID]],Dim_Reps!A:A,Dim_Reps!D:D)</f>
        <v>Enterprise</v>
      </c>
      <c r="I207" t="str">
        <f>_xlfn.XLOOKUP(Quota_tbl[[#This Row],[Rep_ID]],Dim_Reps!A:A,Dim_Reps!E:E)</f>
        <v>LATAM</v>
      </c>
      <c r="J207" t="str">
        <f>_xlfn.XLOOKUP(Quota_tbl[[#This Row],[Period_Start_Date]],Dim_Date!A:A,Dim_Date!H:H)</f>
        <v>Apr 2024</v>
      </c>
    </row>
    <row r="208" spans="1:10" ht="15" customHeight="1" x14ac:dyDescent="0.2">
      <c r="A208" t="s">
        <v>185</v>
      </c>
      <c r="B208" s="49">
        <v>45413</v>
      </c>
      <c r="C208">
        <v>1</v>
      </c>
      <c r="D208" s="33">
        <v>15800</v>
      </c>
      <c r="E208" t="str">
        <f>_xlfn.XLOOKUP(Quota_tbl[[#This Row],[Rep_ID]],Dim_Reps!A:A,Dim_Reps!K:K)</f>
        <v>MXN</v>
      </c>
      <c r="F208" s="33">
        <f>(_xlfn.XLOOKUP(Quota_tbl[[#This Row],[Rate_Code_Generalized]],Lookups!A:A,Lookups!B:B)*Quota_tbl[[#This Row],[Quota_Amount_USD]])</f>
        <v>311776.66000000003</v>
      </c>
      <c r="G208" t="str">
        <f>_xlfn.XLOOKUP(Quota_tbl[[#This Row],[Rep_ID]],Dim_Reps!A:A,Dim_Reps!C:C)</f>
        <v>Enterprise AE</v>
      </c>
      <c r="H208" t="str">
        <f>_xlfn.XLOOKUP(Quota_tbl[[#This Row],[Rep_ID]],Dim_Reps!A:A,Dim_Reps!D:D)</f>
        <v>Enterprise</v>
      </c>
      <c r="I208" t="str">
        <f>_xlfn.XLOOKUP(Quota_tbl[[#This Row],[Rep_ID]],Dim_Reps!A:A,Dim_Reps!E:E)</f>
        <v>LATAM</v>
      </c>
      <c r="J208" t="str">
        <f>_xlfn.XLOOKUP(Quota_tbl[[#This Row],[Period_Start_Date]],Dim_Date!A:A,Dim_Date!H:H)</f>
        <v>May 2024</v>
      </c>
    </row>
    <row r="209" spans="1:10" ht="15" customHeight="1" x14ac:dyDescent="0.2">
      <c r="A209" t="s">
        <v>185</v>
      </c>
      <c r="B209" s="49">
        <v>45444</v>
      </c>
      <c r="C209">
        <v>2</v>
      </c>
      <c r="D209" s="33">
        <v>23500</v>
      </c>
      <c r="E209" t="str">
        <f>_xlfn.XLOOKUP(Quota_tbl[[#This Row],[Rep_ID]],Dim_Reps!A:A,Dim_Reps!K:K)</f>
        <v>MXN</v>
      </c>
      <c r="F209" s="33">
        <f>(_xlfn.XLOOKUP(Quota_tbl[[#This Row],[Rate_Code_Generalized]],Lookups!A:A,Lookups!B:B)*Quota_tbl[[#This Row],[Quota_Amount_USD]])</f>
        <v>463718.45</v>
      </c>
      <c r="G209" t="str">
        <f>_xlfn.XLOOKUP(Quota_tbl[[#This Row],[Rep_ID]],Dim_Reps!A:A,Dim_Reps!C:C)</f>
        <v>Enterprise AE</v>
      </c>
      <c r="H209" t="str">
        <f>_xlfn.XLOOKUP(Quota_tbl[[#This Row],[Rep_ID]],Dim_Reps!A:A,Dim_Reps!D:D)</f>
        <v>Enterprise</v>
      </c>
      <c r="I209" t="str">
        <f>_xlfn.XLOOKUP(Quota_tbl[[#This Row],[Rep_ID]],Dim_Reps!A:A,Dim_Reps!E:E)</f>
        <v>LATAM</v>
      </c>
      <c r="J209" t="str">
        <f>_xlfn.XLOOKUP(Quota_tbl[[#This Row],[Period_Start_Date]],Dim_Date!A:A,Dim_Date!H:H)</f>
        <v>Jun 2024</v>
      </c>
    </row>
    <row r="210" spans="1:10" ht="15" customHeight="1" x14ac:dyDescent="0.2">
      <c r="A210" t="s">
        <v>185</v>
      </c>
      <c r="B210" s="49">
        <v>45474</v>
      </c>
      <c r="C210">
        <v>3</v>
      </c>
      <c r="D210" s="33">
        <v>33700</v>
      </c>
      <c r="E210" t="str">
        <f>_xlfn.XLOOKUP(Quota_tbl[[#This Row],[Rep_ID]],Dim_Reps!A:A,Dim_Reps!K:K)</f>
        <v>MXN</v>
      </c>
      <c r="F210" s="33">
        <f>(_xlfn.XLOOKUP(Quota_tbl[[#This Row],[Rate_Code_Generalized]],Lookups!A:A,Lookups!B:B)*Quota_tbl[[#This Row],[Quota_Amount_USD]])</f>
        <v>664991.99</v>
      </c>
      <c r="G210" t="str">
        <f>_xlfn.XLOOKUP(Quota_tbl[[#This Row],[Rep_ID]],Dim_Reps!A:A,Dim_Reps!C:C)</f>
        <v>Enterprise AE</v>
      </c>
      <c r="H210" t="str">
        <f>_xlfn.XLOOKUP(Quota_tbl[[#This Row],[Rep_ID]],Dim_Reps!A:A,Dim_Reps!D:D)</f>
        <v>Enterprise</v>
      </c>
      <c r="I210" t="str">
        <f>_xlfn.XLOOKUP(Quota_tbl[[#This Row],[Rep_ID]],Dim_Reps!A:A,Dim_Reps!E:E)</f>
        <v>LATAM</v>
      </c>
      <c r="J210" t="str">
        <f>_xlfn.XLOOKUP(Quota_tbl[[#This Row],[Period_Start_Date]],Dim_Date!A:A,Dim_Date!H:H)</f>
        <v>Jul 2024</v>
      </c>
    </row>
    <row r="211" spans="1:10" ht="15" customHeight="1" x14ac:dyDescent="0.2">
      <c r="A211" t="s">
        <v>185</v>
      </c>
      <c r="B211" s="49">
        <v>45505</v>
      </c>
      <c r="C211">
        <v>4</v>
      </c>
      <c r="D211" s="33">
        <v>32400</v>
      </c>
      <c r="E211" t="str">
        <f>_xlfn.XLOOKUP(Quota_tbl[[#This Row],[Rep_ID]],Dim_Reps!A:A,Dim_Reps!K:K)</f>
        <v>MXN</v>
      </c>
      <c r="F211" s="33">
        <f>(_xlfn.XLOOKUP(Quota_tbl[[#This Row],[Rate_Code_Generalized]],Lookups!A:A,Lookups!B:B)*Quota_tbl[[#This Row],[Quota_Amount_USD]])</f>
        <v>639339.4800000001</v>
      </c>
      <c r="G211" t="str">
        <f>_xlfn.XLOOKUP(Quota_tbl[[#This Row],[Rep_ID]],Dim_Reps!A:A,Dim_Reps!C:C)</f>
        <v>Enterprise AE</v>
      </c>
      <c r="H211" t="str">
        <f>_xlfn.XLOOKUP(Quota_tbl[[#This Row],[Rep_ID]],Dim_Reps!A:A,Dim_Reps!D:D)</f>
        <v>Enterprise</v>
      </c>
      <c r="I211" t="str">
        <f>_xlfn.XLOOKUP(Quota_tbl[[#This Row],[Rep_ID]],Dim_Reps!A:A,Dim_Reps!E:E)</f>
        <v>LATAM</v>
      </c>
      <c r="J211" t="str">
        <f>_xlfn.XLOOKUP(Quota_tbl[[#This Row],[Period_Start_Date]],Dim_Date!A:A,Dim_Date!H:H)</f>
        <v>Aug 2024</v>
      </c>
    </row>
    <row r="212" spans="1:10" ht="15" customHeight="1" x14ac:dyDescent="0.2">
      <c r="A212" t="s">
        <v>185</v>
      </c>
      <c r="B212" s="49">
        <v>45536</v>
      </c>
      <c r="C212">
        <v>5</v>
      </c>
      <c r="D212" s="33">
        <v>30800</v>
      </c>
      <c r="E212" t="str">
        <f>_xlfn.XLOOKUP(Quota_tbl[[#This Row],[Rep_ID]],Dim_Reps!A:A,Dim_Reps!K:K)</f>
        <v>MXN</v>
      </c>
      <c r="F212" s="33">
        <f>(_xlfn.XLOOKUP(Quota_tbl[[#This Row],[Rate_Code_Generalized]],Lookups!A:A,Lookups!B:B)*Quota_tbl[[#This Row],[Quota_Amount_USD]])</f>
        <v>607767.16</v>
      </c>
      <c r="G212" t="str">
        <f>_xlfn.XLOOKUP(Quota_tbl[[#This Row],[Rep_ID]],Dim_Reps!A:A,Dim_Reps!C:C)</f>
        <v>Enterprise AE</v>
      </c>
      <c r="H212" t="str">
        <f>_xlfn.XLOOKUP(Quota_tbl[[#This Row],[Rep_ID]],Dim_Reps!A:A,Dim_Reps!D:D)</f>
        <v>Enterprise</v>
      </c>
      <c r="I212" t="str">
        <f>_xlfn.XLOOKUP(Quota_tbl[[#This Row],[Rep_ID]],Dim_Reps!A:A,Dim_Reps!E:E)</f>
        <v>LATAM</v>
      </c>
      <c r="J212" t="str">
        <f>_xlfn.XLOOKUP(Quota_tbl[[#This Row],[Period_Start_Date]],Dim_Date!A:A,Dim_Date!H:H)</f>
        <v>Sep 2024</v>
      </c>
    </row>
    <row r="213" spans="1:10" ht="15" customHeight="1" x14ac:dyDescent="0.2">
      <c r="A213" t="s">
        <v>185</v>
      </c>
      <c r="B213" s="49">
        <v>45566</v>
      </c>
      <c r="C213">
        <v>6</v>
      </c>
      <c r="D213" s="33">
        <v>32900</v>
      </c>
      <c r="E213" t="str">
        <f>_xlfn.XLOOKUP(Quota_tbl[[#This Row],[Rep_ID]],Dim_Reps!A:A,Dim_Reps!K:K)</f>
        <v>MXN</v>
      </c>
      <c r="F213" s="33">
        <f>(_xlfn.XLOOKUP(Quota_tbl[[#This Row],[Rate_Code_Generalized]],Lookups!A:A,Lookups!B:B)*Quota_tbl[[#This Row],[Quota_Amount_USD]])</f>
        <v>649205.83000000007</v>
      </c>
      <c r="G213" t="str">
        <f>_xlfn.XLOOKUP(Quota_tbl[[#This Row],[Rep_ID]],Dim_Reps!A:A,Dim_Reps!C:C)</f>
        <v>Enterprise AE</v>
      </c>
      <c r="H213" t="str">
        <f>_xlfn.XLOOKUP(Quota_tbl[[#This Row],[Rep_ID]],Dim_Reps!A:A,Dim_Reps!D:D)</f>
        <v>Enterprise</v>
      </c>
      <c r="I213" t="str">
        <f>_xlfn.XLOOKUP(Quota_tbl[[#This Row],[Rep_ID]],Dim_Reps!A:A,Dim_Reps!E:E)</f>
        <v>LATAM</v>
      </c>
      <c r="J213" t="str">
        <f>_xlfn.XLOOKUP(Quota_tbl[[#This Row],[Period_Start_Date]],Dim_Date!A:A,Dim_Date!H:H)</f>
        <v>Oct 2024</v>
      </c>
    </row>
    <row r="214" spans="1:10" ht="15" customHeight="1" x14ac:dyDescent="0.2">
      <c r="A214" t="s">
        <v>185</v>
      </c>
      <c r="B214" s="49">
        <v>45597</v>
      </c>
      <c r="C214">
        <v>7</v>
      </c>
      <c r="D214" s="33">
        <v>34000</v>
      </c>
      <c r="E214" t="str">
        <f>_xlfn.XLOOKUP(Quota_tbl[[#This Row],[Rep_ID]],Dim_Reps!A:A,Dim_Reps!K:K)</f>
        <v>MXN</v>
      </c>
      <c r="F214" s="33">
        <f>(_xlfn.XLOOKUP(Quota_tbl[[#This Row],[Rate_Code_Generalized]],Lookups!A:A,Lookups!B:B)*Quota_tbl[[#This Row],[Quota_Amount_USD]])</f>
        <v>670911.80000000005</v>
      </c>
      <c r="G214" t="str">
        <f>_xlfn.XLOOKUP(Quota_tbl[[#This Row],[Rep_ID]],Dim_Reps!A:A,Dim_Reps!C:C)</f>
        <v>Enterprise AE</v>
      </c>
      <c r="H214" t="str">
        <f>_xlfn.XLOOKUP(Quota_tbl[[#This Row],[Rep_ID]],Dim_Reps!A:A,Dim_Reps!D:D)</f>
        <v>Enterprise</v>
      </c>
      <c r="I214" t="str">
        <f>_xlfn.XLOOKUP(Quota_tbl[[#This Row],[Rep_ID]],Dim_Reps!A:A,Dim_Reps!E:E)</f>
        <v>LATAM</v>
      </c>
      <c r="J214" t="str">
        <f>_xlfn.XLOOKUP(Quota_tbl[[#This Row],[Period_Start_Date]],Dim_Date!A:A,Dim_Date!H:H)</f>
        <v>Nov 2024</v>
      </c>
    </row>
    <row r="215" spans="1:10" ht="15" customHeight="1" x14ac:dyDescent="0.2">
      <c r="A215" t="s">
        <v>185</v>
      </c>
      <c r="B215" s="49">
        <v>45627</v>
      </c>
      <c r="C215">
        <v>8</v>
      </c>
      <c r="D215" s="33">
        <v>33000</v>
      </c>
      <c r="E215" t="str">
        <f>_xlfn.XLOOKUP(Quota_tbl[[#This Row],[Rep_ID]],Dim_Reps!A:A,Dim_Reps!K:K)</f>
        <v>MXN</v>
      </c>
      <c r="F215" s="33">
        <f>(_xlfn.XLOOKUP(Quota_tbl[[#This Row],[Rate_Code_Generalized]],Lookups!A:A,Lookups!B:B)*Quota_tbl[[#This Row],[Quota_Amount_USD]])</f>
        <v>651179.10000000009</v>
      </c>
      <c r="G215" t="str">
        <f>_xlfn.XLOOKUP(Quota_tbl[[#This Row],[Rep_ID]],Dim_Reps!A:A,Dim_Reps!C:C)</f>
        <v>Enterprise AE</v>
      </c>
      <c r="H215" t="str">
        <f>_xlfn.XLOOKUP(Quota_tbl[[#This Row],[Rep_ID]],Dim_Reps!A:A,Dim_Reps!D:D)</f>
        <v>Enterprise</v>
      </c>
      <c r="I215" t="str">
        <f>_xlfn.XLOOKUP(Quota_tbl[[#This Row],[Rep_ID]],Dim_Reps!A:A,Dim_Reps!E:E)</f>
        <v>LATAM</v>
      </c>
      <c r="J215" t="str">
        <f>_xlfn.XLOOKUP(Quota_tbl[[#This Row],[Period_Start_Date]],Dim_Date!A:A,Dim_Date!H:H)</f>
        <v>Dec 2024</v>
      </c>
    </row>
    <row r="216" spans="1:10" ht="15" customHeight="1" x14ac:dyDescent="0.2">
      <c r="A216" t="s">
        <v>185</v>
      </c>
      <c r="B216" s="49">
        <v>45658</v>
      </c>
      <c r="C216">
        <v>9</v>
      </c>
      <c r="D216" s="33">
        <v>30500</v>
      </c>
      <c r="E216" t="str">
        <f>_xlfn.XLOOKUP(Quota_tbl[[#This Row],[Rep_ID]],Dim_Reps!A:A,Dim_Reps!K:K)</f>
        <v>MXN</v>
      </c>
      <c r="F216" s="33">
        <f>(_xlfn.XLOOKUP(Quota_tbl[[#This Row],[Rate_Code_Generalized]],Lookups!A:A,Lookups!B:B)*Quota_tbl[[#This Row],[Quota_Amount_USD]])</f>
        <v>601847.35000000009</v>
      </c>
      <c r="G216" t="str">
        <f>_xlfn.XLOOKUP(Quota_tbl[[#This Row],[Rep_ID]],Dim_Reps!A:A,Dim_Reps!C:C)</f>
        <v>Enterprise AE</v>
      </c>
      <c r="H216" t="str">
        <f>_xlfn.XLOOKUP(Quota_tbl[[#This Row],[Rep_ID]],Dim_Reps!A:A,Dim_Reps!D:D)</f>
        <v>Enterprise</v>
      </c>
      <c r="I216" t="str">
        <f>_xlfn.XLOOKUP(Quota_tbl[[#This Row],[Rep_ID]],Dim_Reps!A:A,Dim_Reps!E:E)</f>
        <v>LATAM</v>
      </c>
      <c r="J216" t="str">
        <f>_xlfn.XLOOKUP(Quota_tbl[[#This Row],[Period_Start_Date]],Dim_Date!A:A,Dim_Date!H:H)</f>
        <v>Jan 2025</v>
      </c>
    </row>
    <row r="217" spans="1:10" ht="15" customHeight="1" x14ac:dyDescent="0.2">
      <c r="A217" t="s">
        <v>185</v>
      </c>
      <c r="B217" s="49">
        <v>45689</v>
      </c>
      <c r="C217">
        <v>10</v>
      </c>
      <c r="D217" s="33">
        <v>31500</v>
      </c>
      <c r="E217" t="str">
        <f>_xlfn.XLOOKUP(Quota_tbl[[#This Row],[Rep_ID]],Dim_Reps!A:A,Dim_Reps!K:K)</f>
        <v>MXN</v>
      </c>
      <c r="F217" s="33">
        <f>(_xlfn.XLOOKUP(Quota_tbl[[#This Row],[Rate_Code_Generalized]],Lookups!A:A,Lookups!B:B)*Quota_tbl[[#This Row],[Quota_Amount_USD]])</f>
        <v>621580.05000000005</v>
      </c>
      <c r="G217" t="str">
        <f>_xlfn.XLOOKUP(Quota_tbl[[#This Row],[Rep_ID]],Dim_Reps!A:A,Dim_Reps!C:C)</f>
        <v>Enterprise AE</v>
      </c>
      <c r="H217" t="str">
        <f>_xlfn.XLOOKUP(Quota_tbl[[#This Row],[Rep_ID]],Dim_Reps!A:A,Dim_Reps!D:D)</f>
        <v>Enterprise</v>
      </c>
      <c r="I217" t="str">
        <f>_xlfn.XLOOKUP(Quota_tbl[[#This Row],[Rep_ID]],Dim_Reps!A:A,Dim_Reps!E:E)</f>
        <v>LATAM</v>
      </c>
      <c r="J217" t="str">
        <f>_xlfn.XLOOKUP(Quota_tbl[[#This Row],[Period_Start_Date]],Dim_Date!A:A,Dim_Date!H:H)</f>
        <v>Feb 2025</v>
      </c>
    </row>
    <row r="218" spans="1:10" ht="15" customHeight="1" x14ac:dyDescent="0.2">
      <c r="A218" t="s">
        <v>185</v>
      </c>
      <c r="B218" s="49">
        <v>45717</v>
      </c>
      <c r="C218">
        <v>11</v>
      </c>
      <c r="D218" s="33">
        <v>33200</v>
      </c>
      <c r="E218" t="str">
        <f>_xlfn.XLOOKUP(Quota_tbl[[#This Row],[Rep_ID]],Dim_Reps!A:A,Dim_Reps!K:K)</f>
        <v>MXN</v>
      </c>
      <c r="F218" s="33">
        <f>(_xlfn.XLOOKUP(Quota_tbl[[#This Row],[Rate_Code_Generalized]],Lookups!A:A,Lookups!B:B)*Quota_tbl[[#This Row],[Quota_Amount_USD]])</f>
        <v>655125.64</v>
      </c>
      <c r="G218" t="str">
        <f>_xlfn.XLOOKUP(Quota_tbl[[#This Row],[Rep_ID]],Dim_Reps!A:A,Dim_Reps!C:C)</f>
        <v>Enterprise AE</v>
      </c>
      <c r="H218" t="str">
        <f>_xlfn.XLOOKUP(Quota_tbl[[#This Row],[Rep_ID]],Dim_Reps!A:A,Dim_Reps!D:D)</f>
        <v>Enterprise</v>
      </c>
      <c r="I218" t="str">
        <f>_xlfn.XLOOKUP(Quota_tbl[[#This Row],[Rep_ID]],Dim_Reps!A:A,Dim_Reps!E:E)</f>
        <v>LATAM</v>
      </c>
      <c r="J218" t="str">
        <f>_xlfn.XLOOKUP(Quota_tbl[[#This Row],[Period_Start_Date]],Dim_Date!A:A,Dim_Date!H:H)</f>
        <v>Mar 2025</v>
      </c>
    </row>
    <row r="219" spans="1:10" ht="15" customHeight="1" x14ac:dyDescent="0.2">
      <c r="A219" t="s">
        <v>185</v>
      </c>
      <c r="B219" s="49">
        <v>45748</v>
      </c>
      <c r="C219">
        <v>12</v>
      </c>
      <c r="D219" s="33">
        <v>31300</v>
      </c>
      <c r="E219" t="str">
        <f>_xlfn.XLOOKUP(Quota_tbl[[#This Row],[Rep_ID]],Dim_Reps!A:A,Dim_Reps!K:K)</f>
        <v>MXN</v>
      </c>
      <c r="F219" s="33">
        <f>(_xlfn.XLOOKUP(Quota_tbl[[#This Row],[Rate_Code_Generalized]],Lookups!A:A,Lookups!B:B)*Quota_tbl[[#This Row],[Quota_Amount_USD]])</f>
        <v>617633.51</v>
      </c>
      <c r="G219" t="str">
        <f>_xlfn.XLOOKUP(Quota_tbl[[#This Row],[Rep_ID]],Dim_Reps!A:A,Dim_Reps!C:C)</f>
        <v>Enterprise AE</v>
      </c>
      <c r="H219" t="str">
        <f>_xlfn.XLOOKUP(Quota_tbl[[#This Row],[Rep_ID]],Dim_Reps!A:A,Dim_Reps!D:D)</f>
        <v>Enterprise</v>
      </c>
      <c r="I219" t="str">
        <f>_xlfn.XLOOKUP(Quota_tbl[[#This Row],[Rep_ID]],Dim_Reps!A:A,Dim_Reps!E:E)</f>
        <v>LATAM</v>
      </c>
      <c r="J219" t="str">
        <f>_xlfn.XLOOKUP(Quota_tbl[[#This Row],[Period_Start_Date]],Dim_Date!A:A,Dim_Date!H:H)</f>
        <v>Apr 2025</v>
      </c>
    </row>
    <row r="220" spans="1:10" ht="15" customHeight="1" x14ac:dyDescent="0.2">
      <c r="A220" t="s">
        <v>185</v>
      </c>
      <c r="B220" s="49">
        <v>45778</v>
      </c>
      <c r="C220">
        <v>13</v>
      </c>
      <c r="D220" s="33">
        <v>32400</v>
      </c>
      <c r="E220" t="str">
        <f>_xlfn.XLOOKUP(Quota_tbl[[#This Row],[Rep_ID]],Dim_Reps!A:A,Dim_Reps!K:K)</f>
        <v>MXN</v>
      </c>
      <c r="F220" s="33">
        <f>(_xlfn.XLOOKUP(Quota_tbl[[#This Row],[Rate_Code_Generalized]],Lookups!A:A,Lookups!B:B)*Quota_tbl[[#This Row],[Quota_Amount_USD]])</f>
        <v>639339.4800000001</v>
      </c>
      <c r="G220" t="str">
        <f>_xlfn.XLOOKUP(Quota_tbl[[#This Row],[Rep_ID]],Dim_Reps!A:A,Dim_Reps!C:C)</f>
        <v>Enterprise AE</v>
      </c>
      <c r="H220" t="str">
        <f>_xlfn.XLOOKUP(Quota_tbl[[#This Row],[Rep_ID]],Dim_Reps!A:A,Dim_Reps!D:D)</f>
        <v>Enterprise</v>
      </c>
      <c r="I220" t="str">
        <f>_xlfn.XLOOKUP(Quota_tbl[[#This Row],[Rep_ID]],Dim_Reps!A:A,Dim_Reps!E:E)</f>
        <v>LATAM</v>
      </c>
      <c r="J220" t="str">
        <f>_xlfn.XLOOKUP(Quota_tbl[[#This Row],[Period_Start_Date]],Dim_Date!A:A,Dim_Date!H:H)</f>
        <v>May 2025</v>
      </c>
    </row>
    <row r="221" spans="1:10" ht="15" customHeight="1" x14ac:dyDescent="0.2">
      <c r="A221" t="s">
        <v>185</v>
      </c>
      <c r="B221" s="49">
        <v>45809</v>
      </c>
      <c r="C221">
        <v>14</v>
      </c>
      <c r="D221" s="33">
        <v>32700</v>
      </c>
      <c r="E221" t="str">
        <f>_xlfn.XLOOKUP(Quota_tbl[[#This Row],[Rep_ID]],Dim_Reps!A:A,Dim_Reps!K:K)</f>
        <v>MXN</v>
      </c>
      <c r="F221" s="33">
        <f>(_xlfn.XLOOKUP(Quota_tbl[[#This Row],[Rate_Code_Generalized]],Lookups!A:A,Lookups!B:B)*Quota_tbl[[#This Row],[Quota_Amount_USD]])</f>
        <v>645259.29</v>
      </c>
      <c r="G221" t="str">
        <f>_xlfn.XLOOKUP(Quota_tbl[[#This Row],[Rep_ID]],Dim_Reps!A:A,Dim_Reps!C:C)</f>
        <v>Enterprise AE</v>
      </c>
      <c r="H221" t="str">
        <f>_xlfn.XLOOKUP(Quota_tbl[[#This Row],[Rep_ID]],Dim_Reps!A:A,Dim_Reps!D:D)</f>
        <v>Enterprise</v>
      </c>
      <c r="I221" t="str">
        <f>_xlfn.XLOOKUP(Quota_tbl[[#This Row],[Rep_ID]],Dim_Reps!A:A,Dim_Reps!E:E)</f>
        <v>LATAM</v>
      </c>
      <c r="J221" t="str">
        <f>_xlfn.XLOOKUP(Quota_tbl[[#This Row],[Period_Start_Date]],Dim_Date!A:A,Dim_Date!H:H)</f>
        <v>Jun 2025</v>
      </c>
    </row>
    <row r="222" spans="1:10" ht="15" customHeight="1" x14ac:dyDescent="0.2">
      <c r="A222" t="s">
        <v>185</v>
      </c>
      <c r="B222" s="49">
        <v>45839</v>
      </c>
      <c r="C222">
        <v>15</v>
      </c>
      <c r="D222" s="33">
        <v>31100</v>
      </c>
      <c r="E222" t="str">
        <f>_xlfn.XLOOKUP(Quota_tbl[[#This Row],[Rep_ID]],Dim_Reps!A:A,Dim_Reps!K:K)</f>
        <v>MXN</v>
      </c>
      <c r="F222" s="33">
        <f>(_xlfn.XLOOKUP(Quota_tbl[[#This Row],[Rate_Code_Generalized]],Lookups!A:A,Lookups!B:B)*Quota_tbl[[#This Row],[Quota_Amount_USD]])</f>
        <v>613686.97000000009</v>
      </c>
      <c r="G222" t="str">
        <f>_xlfn.XLOOKUP(Quota_tbl[[#This Row],[Rep_ID]],Dim_Reps!A:A,Dim_Reps!C:C)</f>
        <v>Enterprise AE</v>
      </c>
      <c r="H222" t="str">
        <f>_xlfn.XLOOKUP(Quota_tbl[[#This Row],[Rep_ID]],Dim_Reps!A:A,Dim_Reps!D:D)</f>
        <v>Enterprise</v>
      </c>
      <c r="I222" t="str">
        <f>_xlfn.XLOOKUP(Quota_tbl[[#This Row],[Rep_ID]],Dim_Reps!A:A,Dim_Reps!E:E)</f>
        <v>LATAM</v>
      </c>
      <c r="J222" t="str">
        <f>_xlfn.XLOOKUP(Quota_tbl[[#This Row],[Period_Start_Date]],Dim_Date!A:A,Dim_Date!H:H)</f>
        <v>Jul 2025</v>
      </c>
    </row>
    <row r="223" spans="1:10" ht="15" customHeight="1" x14ac:dyDescent="0.2">
      <c r="A223" t="s">
        <v>185</v>
      </c>
      <c r="B223" s="49">
        <v>45870</v>
      </c>
      <c r="C223">
        <v>16</v>
      </c>
      <c r="D223" s="33">
        <v>31900</v>
      </c>
      <c r="E223" t="str">
        <f>_xlfn.XLOOKUP(Quota_tbl[[#This Row],[Rep_ID]],Dim_Reps!A:A,Dim_Reps!K:K)</f>
        <v>MXN</v>
      </c>
      <c r="F223" s="33">
        <f>(_xlfn.XLOOKUP(Quota_tbl[[#This Row],[Rate_Code_Generalized]],Lookups!A:A,Lookups!B:B)*Quota_tbl[[#This Row],[Quota_Amount_USD]])</f>
        <v>629473.13</v>
      </c>
      <c r="G223" t="str">
        <f>_xlfn.XLOOKUP(Quota_tbl[[#This Row],[Rep_ID]],Dim_Reps!A:A,Dim_Reps!C:C)</f>
        <v>Enterprise AE</v>
      </c>
      <c r="H223" t="str">
        <f>_xlfn.XLOOKUP(Quota_tbl[[#This Row],[Rep_ID]],Dim_Reps!A:A,Dim_Reps!D:D)</f>
        <v>Enterprise</v>
      </c>
      <c r="I223" t="str">
        <f>_xlfn.XLOOKUP(Quota_tbl[[#This Row],[Rep_ID]],Dim_Reps!A:A,Dim_Reps!E:E)</f>
        <v>LATAM</v>
      </c>
      <c r="J223" t="str">
        <f>_xlfn.XLOOKUP(Quota_tbl[[#This Row],[Period_Start_Date]],Dim_Date!A:A,Dim_Date!H:H)</f>
        <v>Aug 2025</v>
      </c>
    </row>
    <row r="224" spans="1:10" ht="15" customHeight="1" x14ac:dyDescent="0.2">
      <c r="A224" t="s">
        <v>185</v>
      </c>
      <c r="B224" s="49">
        <v>45901</v>
      </c>
      <c r="C224">
        <v>17</v>
      </c>
      <c r="D224" s="33">
        <v>28900</v>
      </c>
      <c r="E224" t="str">
        <f>_xlfn.XLOOKUP(Quota_tbl[[#This Row],[Rep_ID]],Dim_Reps!A:A,Dim_Reps!K:K)</f>
        <v>MXN</v>
      </c>
      <c r="F224" s="33">
        <f>(_xlfn.XLOOKUP(Quota_tbl[[#This Row],[Rate_Code_Generalized]],Lookups!A:A,Lookups!B:B)*Quota_tbl[[#This Row],[Quota_Amount_USD]])</f>
        <v>570275.03</v>
      </c>
      <c r="G224" t="str">
        <f>_xlfn.XLOOKUP(Quota_tbl[[#This Row],[Rep_ID]],Dim_Reps!A:A,Dim_Reps!C:C)</f>
        <v>Enterprise AE</v>
      </c>
      <c r="H224" t="str">
        <f>_xlfn.XLOOKUP(Quota_tbl[[#This Row],[Rep_ID]],Dim_Reps!A:A,Dim_Reps!D:D)</f>
        <v>Enterprise</v>
      </c>
      <c r="I224" t="str">
        <f>_xlfn.XLOOKUP(Quota_tbl[[#This Row],[Rep_ID]],Dim_Reps!A:A,Dim_Reps!E:E)</f>
        <v>LATAM</v>
      </c>
      <c r="J224" t="str">
        <f>_xlfn.XLOOKUP(Quota_tbl[[#This Row],[Period_Start_Date]],Dim_Date!A:A,Dim_Date!H:H)</f>
        <v>Sep 2025</v>
      </c>
    </row>
    <row r="225" spans="1:10" ht="15" customHeight="1" x14ac:dyDescent="0.2">
      <c r="A225" t="s">
        <v>185</v>
      </c>
      <c r="B225" s="49">
        <v>45931</v>
      </c>
      <c r="C225">
        <v>18</v>
      </c>
      <c r="D225" s="33">
        <v>31000</v>
      </c>
      <c r="E225" t="str">
        <f>_xlfn.XLOOKUP(Quota_tbl[[#This Row],[Rep_ID]],Dim_Reps!A:A,Dim_Reps!K:K)</f>
        <v>MXN</v>
      </c>
      <c r="F225" s="33">
        <f>(_xlfn.XLOOKUP(Quota_tbl[[#This Row],[Rate_Code_Generalized]],Lookups!A:A,Lookups!B:B)*Quota_tbl[[#This Row],[Quota_Amount_USD]])</f>
        <v>611713.70000000007</v>
      </c>
      <c r="G225" t="str">
        <f>_xlfn.XLOOKUP(Quota_tbl[[#This Row],[Rep_ID]],Dim_Reps!A:A,Dim_Reps!C:C)</f>
        <v>Enterprise AE</v>
      </c>
      <c r="H225" t="str">
        <f>_xlfn.XLOOKUP(Quota_tbl[[#This Row],[Rep_ID]],Dim_Reps!A:A,Dim_Reps!D:D)</f>
        <v>Enterprise</v>
      </c>
      <c r="I225" t="str">
        <f>_xlfn.XLOOKUP(Quota_tbl[[#This Row],[Rep_ID]],Dim_Reps!A:A,Dim_Reps!E:E)</f>
        <v>LATAM</v>
      </c>
      <c r="J225" t="str">
        <f>_xlfn.XLOOKUP(Quota_tbl[[#This Row],[Period_Start_Date]],Dim_Date!A:A,Dim_Date!H:H)</f>
        <v>Oct 2025</v>
      </c>
    </row>
    <row r="226" spans="1:10" ht="15" customHeight="1" x14ac:dyDescent="0.2">
      <c r="A226" t="s">
        <v>185</v>
      </c>
      <c r="B226" s="49">
        <v>45962</v>
      </c>
      <c r="C226">
        <v>19</v>
      </c>
      <c r="D226" s="33">
        <v>31800</v>
      </c>
      <c r="E226" t="str">
        <f>_xlfn.XLOOKUP(Quota_tbl[[#This Row],[Rep_ID]],Dim_Reps!A:A,Dim_Reps!K:K)</f>
        <v>MXN</v>
      </c>
      <c r="F226" s="33">
        <f>(_xlfn.XLOOKUP(Quota_tbl[[#This Row],[Rate_Code_Generalized]],Lookups!A:A,Lookups!B:B)*Quota_tbl[[#This Row],[Quota_Amount_USD]])</f>
        <v>627499.86</v>
      </c>
      <c r="G226" t="str">
        <f>_xlfn.XLOOKUP(Quota_tbl[[#This Row],[Rep_ID]],Dim_Reps!A:A,Dim_Reps!C:C)</f>
        <v>Enterprise AE</v>
      </c>
      <c r="H226" t="str">
        <f>_xlfn.XLOOKUP(Quota_tbl[[#This Row],[Rep_ID]],Dim_Reps!A:A,Dim_Reps!D:D)</f>
        <v>Enterprise</v>
      </c>
      <c r="I226" t="str">
        <f>_xlfn.XLOOKUP(Quota_tbl[[#This Row],[Rep_ID]],Dim_Reps!A:A,Dim_Reps!E:E)</f>
        <v>LATAM</v>
      </c>
      <c r="J226" t="str">
        <f>_xlfn.XLOOKUP(Quota_tbl[[#This Row],[Period_Start_Date]],Dim_Date!A:A,Dim_Date!H:H)</f>
        <v>Nov 2025</v>
      </c>
    </row>
    <row r="227" spans="1:10" ht="15" customHeight="1" x14ac:dyDescent="0.2">
      <c r="A227" t="s">
        <v>185</v>
      </c>
      <c r="B227" s="49">
        <v>45992</v>
      </c>
      <c r="C227">
        <v>20</v>
      </c>
      <c r="D227" s="33">
        <v>30800</v>
      </c>
      <c r="E227" t="str">
        <f>_xlfn.XLOOKUP(Quota_tbl[[#This Row],[Rep_ID]],Dim_Reps!A:A,Dim_Reps!K:K)</f>
        <v>MXN</v>
      </c>
      <c r="F227" s="33">
        <f>(_xlfn.XLOOKUP(Quota_tbl[[#This Row],[Rate_Code_Generalized]],Lookups!A:A,Lookups!B:B)*Quota_tbl[[#This Row],[Quota_Amount_USD]])</f>
        <v>607767.16</v>
      </c>
      <c r="G227" t="str">
        <f>_xlfn.XLOOKUP(Quota_tbl[[#This Row],[Rep_ID]],Dim_Reps!A:A,Dim_Reps!C:C)</f>
        <v>Enterprise AE</v>
      </c>
      <c r="H227" t="str">
        <f>_xlfn.XLOOKUP(Quota_tbl[[#This Row],[Rep_ID]],Dim_Reps!A:A,Dim_Reps!D:D)</f>
        <v>Enterprise</v>
      </c>
      <c r="I227" t="str">
        <f>_xlfn.XLOOKUP(Quota_tbl[[#This Row],[Rep_ID]],Dim_Reps!A:A,Dim_Reps!E:E)</f>
        <v>LATAM</v>
      </c>
      <c r="J227" t="str">
        <f>_xlfn.XLOOKUP(Quota_tbl[[#This Row],[Period_Start_Date]],Dim_Date!A:A,Dim_Date!H:H)</f>
        <v>Dec 2025</v>
      </c>
    </row>
    <row r="228" spans="1:10" ht="15" customHeight="1" x14ac:dyDescent="0.2">
      <c r="A228" t="s">
        <v>205</v>
      </c>
      <c r="B228" s="49">
        <v>45292</v>
      </c>
      <c r="C228">
        <v>1</v>
      </c>
      <c r="D228" s="33">
        <v>8100</v>
      </c>
      <c r="E228" t="str">
        <f>_xlfn.XLOOKUP(Quota_tbl[[#This Row],[Rep_ID]],Dim_Reps!A:A,Dim_Reps!K:K)</f>
        <v>EUR</v>
      </c>
      <c r="F228" s="33">
        <f>(_xlfn.XLOOKUP(Quota_tbl[[#This Row],[Rate_Code_Generalized]],Lookups!A:A,Lookups!B:B)*Quota_tbl[[#This Row],[Quota_Amount_USD]])</f>
        <v>8100</v>
      </c>
      <c r="G228" t="str">
        <f>_xlfn.XLOOKUP(Quota_tbl[[#This Row],[Rep_ID]],Dim_Reps!A:A,Dim_Reps!C:C)</f>
        <v>SDR / Inside Sales Rep</v>
      </c>
      <c r="H228" t="str">
        <f>_xlfn.XLOOKUP(Quota_tbl[[#This Row],[Rep_ID]],Dim_Reps!A:A,Dim_Reps!D:D)</f>
        <v>Inside Sales</v>
      </c>
      <c r="I228" t="str">
        <f>_xlfn.XLOOKUP(Quota_tbl[[#This Row],[Rep_ID]],Dim_Reps!A:A,Dim_Reps!E:E)</f>
        <v>EMEA</v>
      </c>
      <c r="J228" t="str">
        <f>_xlfn.XLOOKUP(Quota_tbl[[#This Row],[Period_Start_Date]],Dim_Date!A:A,Dim_Date!H:H)</f>
        <v>Jan 2024</v>
      </c>
    </row>
    <row r="229" spans="1:10" ht="15" customHeight="1" x14ac:dyDescent="0.2">
      <c r="A229" t="s">
        <v>205</v>
      </c>
      <c r="B229" s="49">
        <v>45323</v>
      </c>
      <c r="C229">
        <v>2</v>
      </c>
      <c r="D229" s="33">
        <v>11100</v>
      </c>
      <c r="E229" t="str">
        <f>_xlfn.XLOOKUP(Quota_tbl[[#This Row],[Rep_ID]],Dim_Reps!A:A,Dim_Reps!K:K)</f>
        <v>EUR</v>
      </c>
      <c r="F229" s="33">
        <f>(_xlfn.XLOOKUP(Quota_tbl[[#This Row],[Rate_Code_Generalized]],Lookups!A:A,Lookups!B:B)*Quota_tbl[[#This Row],[Quota_Amount_USD]])</f>
        <v>11100</v>
      </c>
      <c r="G229" t="str">
        <f>_xlfn.XLOOKUP(Quota_tbl[[#This Row],[Rep_ID]],Dim_Reps!A:A,Dim_Reps!C:C)</f>
        <v>SDR / Inside Sales Rep</v>
      </c>
      <c r="H229" t="str">
        <f>_xlfn.XLOOKUP(Quota_tbl[[#This Row],[Rep_ID]],Dim_Reps!A:A,Dim_Reps!D:D)</f>
        <v>Inside Sales</v>
      </c>
      <c r="I229" t="str">
        <f>_xlfn.XLOOKUP(Quota_tbl[[#This Row],[Rep_ID]],Dim_Reps!A:A,Dim_Reps!E:E)</f>
        <v>EMEA</v>
      </c>
      <c r="J229" t="str">
        <f>_xlfn.XLOOKUP(Quota_tbl[[#This Row],[Period_Start_Date]],Dim_Date!A:A,Dim_Date!H:H)</f>
        <v>Feb 2024</v>
      </c>
    </row>
    <row r="230" spans="1:10" ht="15" customHeight="1" x14ac:dyDescent="0.2">
      <c r="A230" t="s">
        <v>205</v>
      </c>
      <c r="B230" s="49">
        <v>45352</v>
      </c>
      <c r="C230">
        <v>3</v>
      </c>
      <c r="D230" s="33">
        <v>15300</v>
      </c>
      <c r="E230" t="str">
        <f>_xlfn.XLOOKUP(Quota_tbl[[#This Row],[Rep_ID]],Dim_Reps!A:A,Dim_Reps!K:K)</f>
        <v>EUR</v>
      </c>
      <c r="F230" s="33">
        <f>(_xlfn.XLOOKUP(Quota_tbl[[#This Row],[Rate_Code_Generalized]],Lookups!A:A,Lookups!B:B)*Quota_tbl[[#This Row],[Quota_Amount_USD]])</f>
        <v>15300</v>
      </c>
      <c r="G230" t="str">
        <f>_xlfn.XLOOKUP(Quota_tbl[[#This Row],[Rep_ID]],Dim_Reps!A:A,Dim_Reps!C:C)</f>
        <v>SDR / Inside Sales Rep</v>
      </c>
      <c r="H230" t="str">
        <f>_xlfn.XLOOKUP(Quota_tbl[[#This Row],[Rep_ID]],Dim_Reps!A:A,Dim_Reps!D:D)</f>
        <v>Inside Sales</v>
      </c>
      <c r="I230" t="str">
        <f>_xlfn.XLOOKUP(Quota_tbl[[#This Row],[Rep_ID]],Dim_Reps!A:A,Dim_Reps!E:E)</f>
        <v>EMEA</v>
      </c>
      <c r="J230" t="str">
        <f>_xlfn.XLOOKUP(Quota_tbl[[#This Row],[Period_Start_Date]],Dim_Date!A:A,Dim_Date!H:H)</f>
        <v>Mar 2024</v>
      </c>
    </row>
    <row r="231" spans="1:10" ht="15" customHeight="1" x14ac:dyDescent="0.2">
      <c r="A231" t="s">
        <v>205</v>
      </c>
      <c r="B231" s="49">
        <v>45383</v>
      </c>
      <c r="C231">
        <v>4</v>
      </c>
      <c r="D231" s="33">
        <v>15600</v>
      </c>
      <c r="E231" t="str">
        <f>_xlfn.XLOOKUP(Quota_tbl[[#This Row],[Rep_ID]],Dim_Reps!A:A,Dim_Reps!K:K)</f>
        <v>EUR</v>
      </c>
      <c r="F231" s="33">
        <f>(_xlfn.XLOOKUP(Quota_tbl[[#This Row],[Rate_Code_Generalized]],Lookups!A:A,Lookups!B:B)*Quota_tbl[[#This Row],[Quota_Amount_USD]])</f>
        <v>15600</v>
      </c>
      <c r="G231" t="str">
        <f>_xlfn.XLOOKUP(Quota_tbl[[#This Row],[Rep_ID]],Dim_Reps!A:A,Dim_Reps!C:C)</f>
        <v>SDR / Inside Sales Rep</v>
      </c>
      <c r="H231" t="str">
        <f>_xlfn.XLOOKUP(Quota_tbl[[#This Row],[Rep_ID]],Dim_Reps!A:A,Dim_Reps!D:D)</f>
        <v>Inside Sales</v>
      </c>
      <c r="I231" t="str">
        <f>_xlfn.XLOOKUP(Quota_tbl[[#This Row],[Rep_ID]],Dim_Reps!A:A,Dim_Reps!E:E)</f>
        <v>EMEA</v>
      </c>
      <c r="J231" t="str">
        <f>_xlfn.XLOOKUP(Quota_tbl[[#This Row],[Period_Start_Date]],Dim_Date!A:A,Dim_Date!H:H)</f>
        <v>Apr 2024</v>
      </c>
    </row>
    <row r="232" spans="1:10" ht="15" customHeight="1" x14ac:dyDescent="0.2">
      <c r="A232" t="s">
        <v>205</v>
      </c>
      <c r="B232" s="49">
        <v>45413</v>
      </c>
      <c r="C232">
        <v>5</v>
      </c>
      <c r="D232" s="33">
        <v>16200</v>
      </c>
      <c r="E232" t="str">
        <f>_xlfn.XLOOKUP(Quota_tbl[[#This Row],[Rep_ID]],Dim_Reps!A:A,Dim_Reps!K:K)</f>
        <v>EUR</v>
      </c>
      <c r="F232" s="33">
        <f>(_xlfn.XLOOKUP(Quota_tbl[[#This Row],[Rate_Code_Generalized]],Lookups!A:A,Lookups!B:B)*Quota_tbl[[#This Row],[Quota_Amount_USD]])</f>
        <v>16200</v>
      </c>
      <c r="G232" t="str">
        <f>_xlfn.XLOOKUP(Quota_tbl[[#This Row],[Rep_ID]],Dim_Reps!A:A,Dim_Reps!C:C)</f>
        <v>SDR / Inside Sales Rep</v>
      </c>
      <c r="H232" t="str">
        <f>_xlfn.XLOOKUP(Quota_tbl[[#This Row],[Rep_ID]],Dim_Reps!A:A,Dim_Reps!D:D)</f>
        <v>Inside Sales</v>
      </c>
      <c r="I232" t="str">
        <f>_xlfn.XLOOKUP(Quota_tbl[[#This Row],[Rep_ID]],Dim_Reps!A:A,Dim_Reps!E:E)</f>
        <v>EMEA</v>
      </c>
      <c r="J232" t="str">
        <f>_xlfn.XLOOKUP(Quota_tbl[[#This Row],[Period_Start_Date]],Dim_Date!A:A,Dim_Date!H:H)</f>
        <v>May 2024</v>
      </c>
    </row>
    <row r="233" spans="1:10" ht="15" customHeight="1" x14ac:dyDescent="0.2">
      <c r="A233" t="s">
        <v>205</v>
      </c>
      <c r="B233" s="49">
        <v>45444</v>
      </c>
      <c r="C233">
        <v>6</v>
      </c>
      <c r="D233" s="33">
        <v>14800</v>
      </c>
      <c r="E233" t="str">
        <f>_xlfn.XLOOKUP(Quota_tbl[[#This Row],[Rep_ID]],Dim_Reps!A:A,Dim_Reps!K:K)</f>
        <v>EUR</v>
      </c>
      <c r="F233" s="33">
        <f>(_xlfn.XLOOKUP(Quota_tbl[[#This Row],[Rate_Code_Generalized]],Lookups!A:A,Lookups!B:B)*Quota_tbl[[#This Row],[Quota_Amount_USD]])</f>
        <v>14800</v>
      </c>
      <c r="G233" t="str">
        <f>_xlfn.XLOOKUP(Quota_tbl[[#This Row],[Rep_ID]],Dim_Reps!A:A,Dim_Reps!C:C)</f>
        <v>SDR / Inside Sales Rep</v>
      </c>
      <c r="H233" t="str">
        <f>_xlfn.XLOOKUP(Quota_tbl[[#This Row],[Rep_ID]],Dim_Reps!A:A,Dim_Reps!D:D)</f>
        <v>Inside Sales</v>
      </c>
      <c r="I233" t="str">
        <f>_xlfn.XLOOKUP(Quota_tbl[[#This Row],[Rep_ID]],Dim_Reps!A:A,Dim_Reps!E:E)</f>
        <v>EMEA</v>
      </c>
      <c r="J233" t="str">
        <f>_xlfn.XLOOKUP(Quota_tbl[[#This Row],[Period_Start_Date]],Dim_Date!A:A,Dim_Date!H:H)</f>
        <v>Jun 2024</v>
      </c>
    </row>
    <row r="234" spans="1:10" ht="15" customHeight="1" x14ac:dyDescent="0.2">
      <c r="A234" t="s">
        <v>205</v>
      </c>
      <c r="B234" s="49">
        <v>45474</v>
      </c>
      <c r="C234">
        <v>7</v>
      </c>
      <c r="D234" s="33">
        <v>16000</v>
      </c>
      <c r="E234" t="str">
        <f>_xlfn.XLOOKUP(Quota_tbl[[#This Row],[Rep_ID]],Dim_Reps!A:A,Dim_Reps!K:K)</f>
        <v>EUR</v>
      </c>
      <c r="F234" s="33">
        <f>(_xlfn.XLOOKUP(Quota_tbl[[#This Row],[Rate_Code_Generalized]],Lookups!A:A,Lookups!B:B)*Quota_tbl[[#This Row],[Quota_Amount_USD]])</f>
        <v>16000</v>
      </c>
      <c r="G234" t="str">
        <f>_xlfn.XLOOKUP(Quota_tbl[[#This Row],[Rep_ID]],Dim_Reps!A:A,Dim_Reps!C:C)</f>
        <v>SDR / Inside Sales Rep</v>
      </c>
      <c r="H234" t="str">
        <f>_xlfn.XLOOKUP(Quota_tbl[[#This Row],[Rep_ID]],Dim_Reps!A:A,Dim_Reps!D:D)</f>
        <v>Inside Sales</v>
      </c>
      <c r="I234" t="str">
        <f>_xlfn.XLOOKUP(Quota_tbl[[#This Row],[Rep_ID]],Dim_Reps!A:A,Dim_Reps!E:E)</f>
        <v>EMEA</v>
      </c>
      <c r="J234" t="str">
        <f>_xlfn.XLOOKUP(Quota_tbl[[#This Row],[Period_Start_Date]],Dim_Date!A:A,Dim_Date!H:H)</f>
        <v>Jul 2024</v>
      </c>
    </row>
    <row r="235" spans="1:10" ht="15" customHeight="1" x14ac:dyDescent="0.2">
      <c r="A235" t="s">
        <v>205</v>
      </c>
      <c r="B235" s="49">
        <v>45505</v>
      </c>
      <c r="C235">
        <v>8</v>
      </c>
      <c r="D235" s="33">
        <v>15500</v>
      </c>
      <c r="E235" t="str">
        <f>_xlfn.XLOOKUP(Quota_tbl[[#This Row],[Rep_ID]],Dim_Reps!A:A,Dim_Reps!K:K)</f>
        <v>EUR</v>
      </c>
      <c r="F235" s="33">
        <f>(_xlfn.XLOOKUP(Quota_tbl[[#This Row],[Rate_Code_Generalized]],Lookups!A:A,Lookups!B:B)*Quota_tbl[[#This Row],[Quota_Amount_USD]])</f>
        <v>15500</v>
      </c>
      <c r="G235" t="str">
        <f>_xlfn.XLOOKUP(Quota_tbl[[#This Row],[Rep_ID]],Dim_Reps!A:A,Dim_Reps!C:C)</f>
        <v>SDR / Inside Sales Rep</v>
      </c>
      <c r="H235" t="str">
        <f>_xlfn.XLOOKUP(Quota_tbl[[#This Row],[Rep_ID]],Dim_Reps!A:A,Dim_Reps!D:D)</f>
        <v>Inside Sales</v>
      </c>
      <c r="I235" t="str">
        <f>_xlfn.XLOOKUP(Quota_tbl[[#This Row],[Rep_ID]],Dim_Reps!A:A,Dim_Reps!E:E)</f>
        <v>EMEA</v>
      </c>
      <c r="J235" t="str">
        <f>_xlfn.XLOOKUP(Quota_tbl[[#This Row],[Period_Start_Date]],Dim_Date!A:A,Dim_Date!H:H)</f>
        <v>Aug 2024</v>
      </c>
    </row>
    <row r="236" spans="1:10" ht="15" customHeight="1" x14ac:dyDescent="0.2">
      <c r="A236" t="s">
        <v>205</v>
      </c>
      <c r="B236" s="49">
        <v>45536</v>
      </c>
      <c r="C236">
        <v>9</v>
      </c>
      <c r="D236" s="33">
        <v>15000</v>
      </c>
      <c r="E236" t="str">
        <f>_xlfn.XLOOKUP(Quota_tbl[[#This Row],[Rep_ID]],Dim_Reps!A:A,Dim_Reps!K:K)</f>
        <v>EUR</v>
      </c>
      <c r="F236" s="33">
        <f>(_xlfn.XLOOKUP(Quota_tbl[[#This Row],[Rate_Code_Generalized]],Lookups!A:A,Lookups!B:B)*Quota_tbl[[#This Row],[Quota_Amount_USD]])</f>
        <v>15000</v>
      </c>
      <c r="G236" t="str">
        <f>_xlfn.XLOOKUP(Quota_tbl[[#This Row],[Rep_ID]],Dim_Reps!A:A,Dim_Reps!C:C)</f>
        <v>SDR / Inside Sales Rep</v>
      </c>
      <c r="H236" t="str">
        <f>_xlfn.XLOOKUP(Quota_tbl[[#This Row],[Rep_ID]],Dim_Reps!A:A,Dim_Reps!D:D)</f>
        <v>Inside Sales</v>
      </c>
      <c r="I236" t="str">
        <f>_xlfn.XLOOKUP(Quota_tbl[[#This Row],[Rep_ID]],Dim_Reps!A:A,Dim_Reps!E:E)</f>
        <v>EMEA</v>
      </c>
      <c r="J236" t="str">
        <f>_xlfn.XLOOKUP(Quota_tbl[[#This Row],[Period_Start_Date]],Dim_Date!A:A,Dim_Date!H:H)</f>
        <v>Sep 2024</v>
      </c>
    </row>
    <row r="237" spans="1:10" ht="15" customHeight="1" x14ac:dyDescent="0.2">
      <c r="A237" t="s">
        <v>205</v>
      </c>
      <c r="B237" s="49">
        <v>45566</v>
      </c>
      <c r="C237">
        <v>10</v>
      </c>
      <c r="D237" s="33">
        <v>15700</v>
      </c>
      <c r="E237" t="str">
        <f>_xlfn.XLOOKUP(Quota_tbl[[#This Row],[Rep_ID]],Dim_Reps!A:A,Dim_Reps!K:K)</f>
        <v>EUR</v>
      </c>
      <c r="F237" s="33">
        <f>(_xlfn.XLOOKUP(Quota_tbl[[#This Row],[Rate_Code_Generalized]],Lookups!A:A,Lookups!B:B)*Quota_tbl[[#This Row],[Quota_Amount_USD]])</f>
        <v>15700</v>
      </c>
      <c r="G237" t="str">
        <f>_xlfn.XLOOKUP(Quota_tbl[[#This Row],[Rep_ID]],Dim_Reps!A:A,Dim_Reps!C:C)</f>
        <v>SDR / Inside Sales Rep</v>
      </c>
      <c r="H237" t="str">
        <f>_xlfn.XLOOKUP(Quota_tbl[[#This Row],[Rep_ID]],Dim_Reps!A:A,Dim_Reps!D:D)</f>
        <v>Inside Sales</v>
      </c>
      <c r="I237" t="str">
        <f>_xlfn.XLOOKUP(Quota_tbl[[#This Row],[Rep_ID]],Dim_Reps!A:A,Dim_Reps!E:E)</f>
        <v>EMEA</v>
      </c>
      <c r="J237" t="str">
        <f>_xlfn.XLOOKUP(Quota_tbl[[#This Row],[Period_Start_Date]],Dim_Date!A:A,Dim_Date!H:H)</f>
        <v>Oct 2024</v>
      </c>
    </row>
    <row r="238" spans="1:10" ht="15" customHeight="1" x14ac:dyDescent="0.2">
      <c r="A238" t="s">
        <v>205</v>
      </c>
      <c r="B238" s="49">
        <v>45597</v>
      </c>
      <c r="C238">
        <v>11</v>
      </c>
      <c r="D238" s="33">
        <v>15600</v>
      </c>
      <c r="E238" t="str">
        <f>_xlfn.XLOOKUP(Quota_tbl[[#This Row],[Rep_ID]],Dim_Reps!A:A,Dim_Reps!K:K)</f>
        <v>EUR</v>
      </c>
      <c r="F238" s="33">
        <f>(_xlfn.XLOOKUP(Quota_tbl[[#This Row],[Rate_Code_Generalized]],Lookups!A:A,Lookups!B:B)*Quota_tbl[[#This Row],[Quota_Amount_USD]])</f>
        <v>15600</v>
      </c>
      <c r="G238" t="str">
        <f>_xlfn.XLOOKUP(Quota_tbl[[#This Row],[Rep_ID]],Dim_Reps!A:A,Dim_Reps!C:C)</f>
        <v>SDR / Inside Sales Rep</v>
      </c>
      <c r="H238" t="str">
        <f>_xlfn.XLOOKUP(Quota_tbl[[#This Row],[Rep_ID]],Dim_Reps!A:A,Dim_Reps!D:D)</f>
        <v>Inside Sales</v>
      </c>
      <c r="I238" t="str">
        <f>_xlfn.XLOOKUP(Quota_tbl[[#This Row],[Rep_ID]],Dim_Reps!A:A,Dim_Reps!E:E)</f>
        <v>EMEA</v>
      </c>
      <c r="J238" t="str">
        <f>_xlfn.XLOOKUP(Quota_tbl[[#This Row],[Period_Start_Date]],Dim_Date!A:A,Dim_Date!H:H)</f>
        <v>Nov 2024</v>
      </c>
    </row>
    <row r="239" spans="1:10" ht="15" customHeight="1" x14ac:dyDescent="0.2">
      <c r="A239" t="s">
        <v>205</v>
      </c>
      <c r="B239" s="49">
        <v>45627</v>
      </c>
      <c r="C239">
        <v>12</v>
      </c>
      <c r="D239" s="33">
        <v>15200</v>
      </c>
      <c r="E239" t="str">
        <f>_xlfn.XLOOKUP(Quota_tbl[[#This Row],[Rep_ID]],Dim_Reps!A:A,Dim_Reps!K:K)</f>
        <v>EUR</v>
      </c>
      <c r="F239" s="33">
        <f>(_xlfn.XLOOKUP(Quota_tbl[[#This Row],[Rate_Code_Generalized]],Lookups!A:A,Lookups!B:B)*Quota_tbl[[#This Row],[Quota_Amount_USD]])</f>
        <v>15200</v>
      </c>
      <c r="G239" t="str">
        <f>_xlfn.XLOOKUP(Quota_tbl[[#This Row],[Rep_ID]],Dim_Reps!A:A,Dim_Reps!C:C)</f>
        <v>SDR / Inside Sales Rep</v>
      </c>
      <c r="H239" t="str">
        <f>_xlfn.XLOOKUP(Quota_tbl[[#This Row],[Rep_ID]],Dim_Reps!A:A,Dim_Reps!D:D)</f>
        <v>Inside Sales</v>
      </c>
      <c r="I239" t="str">
        <f>_xlfn.XLOOKUP(Quota_tbl[[#This Row],[Rep_ID]],Dim_Reps!A:A,Dim_Reps!E:E)</f>
        <v>EMEA</v>
      </c>
      <c r="J239" t="str">
        <f>_xlfn.XLOOKUP(Quota_tbl[[#This Row],[Period_Start_Date]],Dim_Date!A:A,Dim_Date!H:H)</f>
        <v>Dec 2024</v>
      </c>
    </row>
    <row r="240" spans="1:10" ht="15" customHeight="1" x14ac:dyDescent="0.2">
      <c r="A240" t="s">
        <v>205</v>
      </c>
      <c r="B240" s="49">
        <v>45658</v>
      </c>
      <c r="C240">
        <v>13</v>
      </c>
      <c r="D240" s="33">
        <v>15500</v>
      </c>
      <c r="E240" t="str">
        <f>_xlfn.XLOOKUP(Quota_tbl[[#This Row],[Rep_ID]],Dim_Reps!A:A,Dim_Reps!K:K)</f>
        <v>EUR</v>
      </c>
      <c r="F240" s="33">
        <f>(_xlfn.XLOOKUP(Quota_tbl[[#This Row],[Rate_Code_Generalized]],Lookups!A:A,Lookups!B:B)*Quota_tbl[[#This Row],[Quota_Amount_USD]])</f>
        <v>15500</v>
      </c>
      <c r="G240" t="str">
        <f>_xlfn.XLOOKUP(Quota_tbl[[#This Row],[Rep_ID]],Dim_Reps!A:A,Dim_Reps!C:C)</f>
        <v>SDR / Inside Sales Rep</v>
      </c>
      <c r="H240" t="str">
        <f>_xlfn.XLOOKUP(Quota_tbl[[#This Row],[Rep_ID]],Dim_Reps!A:A,Dim_Reps!D:D)</f>
        <v>Inside Sales</v>
      </c>
      <c r="I240" t="str">
        <f>_xlfn.XLOOKUP(Quota_tbl[[#This Row],[Rep_ID]],Dim_Reps!A:A,Dim_Reps!E:E)</f>
        <v>EMEA</v>
      </c>
      <c r="J240" t="str">
        <f>_xlfn.XLOOKUP(Quota_tbl[[#This Row],[Period_Start_Date]],Dim_Date!A:A,Dim_Date!H:H)</f>
        <v>Jan 2025</v>
      </c>
    </row>
    <row r="241" spans="1:10" ht="15" customHeight="1" x14ac:dyDescent="0.2">
      <c r="A241" t="s">
        <v>205</v>
      </c>
      <c r="B241" s="49">
        <v>45689</v>
      </c>
      <c r="C241">
        <v>14</v>
      </c>
      <c r="D241" s="33">
        <v>15300</v>
      </c>
      <c r="E241" t="str">
        <f>_xlfn.XLOOKUP(Quota_tbl[[#This Row],[Rep_ID]],Dim_Reps!A:A,Dim_Reps!K:K)</f>
        <v>EUR</v>
      </c>
      <c r="F241" s="33">
        <f>(_xlfn.XLOOKUP(Quota_tbl[[#This Row],[Rate_Code_Generalized]],Lookups!A:A,Lookups!B:B)*Quota_tbl[[#This Row],[Quota_Amount_USD]])</f>
        <v>15300</v>
      </c>
      <c r="G241" t="str">
        <f>_xlfn.XLOOKUP(Quota_tbl[[#This Row],[Rep_ID]],Dim_Reps!A:A,Dim_Reps!C:C)</f>
        <v>SDR / Inside Sales Rep</v>
      </c>
      <c r="H241" t="str">
        <f>_xlfn.XLOOKUP(Quota_tbl[[#This Row],[Rep_ID]],Dim_Reps!A:A,Dim_Reps!D:D)</f>
        <v>Inside Sales</v>
      </c>
      <c r="I241" t="str">
        <f>_xlfn.XLOOKUP(Quota_tbl[[#This Row],[Rep_ID]],Dim_Reps!A:A,Dim_Reps!E:E)</f>
        <v>EMEA</v>
      </c>
      <c r="J241" t="str">
        <f>_xlfn.XLOOKUP(Quota_tbl[[#This Row],[Period_Start_Date]],Dim_Date!A:A,Dim_Date!H:H)</f>
        <v>Feb 2025</v>
      </c>
    </row>
    <row r="242" spans="1:10" ht="15" customHeight="1" x14ac:dyDescent="0.2">
      <c r="A242" t="s">
        <v>205</v>
      </c>
      <c r="B242" s="49">
        <v>45717</v>
      </c>
      <c r="C242">
        <v>15</v>
      </c>
      <c r="D242" s="33">
        <v>15600</v>
      </c>
      <c r="E242" t="str">
        <f>_xlfn.XLOOKUP(Quota_tbl[[#This Row],[Rep_ID]],Dim_Reps!A:A,Dim_Reps!K:K)</f>
        <v>EUR</v>
      </c>
      <c r="F242" s="33">
        <f>(_xlfn.XLOOKUP(Quota_tbl[[#This Row],[Rate_Code_Generalized]],Lookups!A:A,Lookups!B:B)*Quota_tbl[[#This Row],[Quota_Amount_USD]])</f>
        <v>15600</v>
      </c>
      <c r="G242" t="str">
        <f>_xlfn.XLOOKUP(Quota_tbl[[#This Row],[Rep_ID]],Dim_Reps!A:A,Dim_Reps!C:C)</f>
        <v>SDR / Inside Sales Rep</v>
      </c>
      <c r="H242" t="str">
        <f>_xlfn.XLOOKUP(Quota_tbl[[#This Row],[Rep_ID]],Dim_Reps!A:A,Dim_Reps!D:D)</f>
        <v>Inside Sales</v>
      </c>
      <c r="I242" t="str">
        <f>_xlfn.XLOOKUP(Quota_tbl[[#This Row],[Rep_ID]],Dim_Reps!A:A,Dim_Reps!E:E)</f>
        <v>EMEA</v>
      </c>
      <c r="J242" t="str">
        <f>_xlfn.XLOOKUP(Quota_tbl[[#This Row],[Period_Start_Date]],Dim_Date!A:A,Dim_Date!H:H)</f>
        <v>Mar 2025</v>
      </c>
    </row>
    <row r="243" spans="1:10" ht="15" customHeight="1" x14ac:dyDescent="0.2">
      <c r="A243" t="s">
        <v>205</v>
      </c>
      <c r="B243" s="49">
        <v>45748</v>
      </c>
      <c r="C243">
        <v>16</v>
      </c>
      <c r="D243" s="33">
        <v>15800</v>
      </c>
      <c r="E243" t="str">
        <f>_xlfn.XLOOKUP(Quota_tbl[[#This Row],[Rep_ID]],Dim_Reps!A:A,Dim_Reps!K:K)</f>
        <v>EUR</v>
      </c>
      <c r="F243" s="33">
        <f>(_xlfn.XLOOKUP(Quota_tbl[[#This Row],[Rate_Code_Generalized]],Lookups!A:A,Lookups!B:B)*Quota_tbl[[#This Row],[Quota_Amount_USD]])</f>
        <v>15800</v>
      </c>
      <c r="G243" t="str">
        <f>_xlfn.XLOOKUP(Quota_tbl[[#This Row],[Rep_ID]],Dim_Reps!A:A,Dim_Reps!C:C)</f>
        <v>SDR / Inside Sales Rep</v>
      </c>
      <c r="H243" t="str">
        <f>_xlfn.XLOOKUP(Quota_tbl[[#This Row],[Rep_ID]],Dim_Reps!A:A,Dim_Reps!D:D)</f>
        <v>Inside Sales</v>
      </c>
      <c r="I243" t="str">
        <f>_xlfn.XLOOKUP(Quota_tbl[[#This Row],[Rep_ID]],Dim_Reps!A:A,Dim_Reps!E:E)</f>
        <v>EMEA</v>
      </c>
      <c r="J243" t="str">
        <f>_xlfn.XLOOKUP(Quota_tbl[[#This Row],[Period_Start_Date]],Dim_Date!A:A,Dim_Date!H:H)</f>
        <v>Apr 2025</v>
      </c>
    </row>
    <row r="244" spans="1:10" ht="15" customHeight="1" x14ac:dyDescent="0.2">
      <c r="A244" t="s">
        <v>205</v>
      </c>
      <c r="B244" s="49">
        <v>45778</v>
      </c>
      <c r="C244">
        <v>17</v>
      </c>
      <c r="D244" s="33">
        <v>16200</v>
      </c>
      <c r="E244" t="str">
        <f>_xlfn.XLOOKUP(Quota_tbl[[#This Row],[Rep_ID]],Dim_Reps!A:A,Dim_Reps!K:K)</f>
        <v>EUR</v>
      </c>
      <c r="F244" s="33">
        <f>(_xlfn.XLOOKUP(Quota_tbl[[#This Row],[Rate_Code_Generalized]],Lookups!A:A,Lookups!B:B)*Quota_tbl[[#This Row],[Quota_Amount_USD]])</f>
        <v>16200</v>
      </c>
      <c r="G244" t="str">
        <f>_xlfn.XLOOKUP(Quota_tbl[[#This Row],[Rep_ID]],Dim_Reps!A:A,Dim_Reps!C:C)</f>
        <v>SDR / Inside Sales Rep</v>
      </c>
      <c r="H244" t="str">
        <f>_xlfn.XLOOKUP(Quota_tbl[[#This Row],[Rep_ID]],Dim_Reps!A:A,Dim_Reps!D:D)</f>
        <v>Inside Sales</v>
      </c>
      <c r="I244" t="str">
        <f>_xlfn.XLOOKUP(Quota_tbl[[#This Row],[Rep_ID]],Dim_Reps!A:A,Dim_Reps!E:E)</f>
        <v>EMEA</v>
      </c>
      <c r="J244" t="str">
        <f>_xlfn.XLOOKUP(Quota_tbl[[#This Row],[Period_Start_Date]],Dim_Date!A:A,Dim_Date!H:H)</f>
        <v>May 2025</v>
      </c>
    </row>
    <row r="245" spans="1:10" ht="15" customHeight="1" x14ac:dyDescent="0.2">
      <c r="A245" t="s">
        <v>205</v>
      </c>
      <c r="B245" s="49">
        <v>45809</v>
      </c>
      <c r="C245">
        <v>18</v>
      </c>
      <c r="D245" s="33">
        <v>14900</v>
      </c>
      <c r="E245" t="str">
        <f>_xlfn.XLOOKUP(Quota_tbl[[#This Row],[Rep_ID]],Dim_Reps!A:A,Dim_Reps!K:K)</f>
        <v>EUR</v>
      </c>
      <c r="F245" s="33">
        <f>(_xlfn.XLOOKUP(Quota_tbl[[#This Row],[Rate_Code_Generalized]],Lookups!A:A,Lookups!B:B)*Quota_tbl[[#This Row],[Quota_Amount_USD]])</f>
        <v>14900</v>
      </c>
      <c r="G245" t="str">
        <f>_xlfn.XLOOKUP(Quota_tbl[[#This Row],[Rep_ID]],Dim_Reps!A:A,Dim_Reps!C:C)</f>
        <v>SDR / Inside Sales Rep</v>
      </c>
      <c r="H245" t="str">
        <f>_xlfn.XLOOKUP(Quota_tbl[[#This Row],[Rep_ID]],Dim_Reps!A:A,Dim_Reps!D:D)</f>
        <v>Inside Sales</v>
      </c>
      <c r="I245" t="str">
        <f>_xlfn.XLOOKUP(Quota_tbl[[#This Row],[Rep_ID]],Dim_Reps!A:A,Dim_Reps!E:E)</f>
        <v>EMEA</v>
      </c>
      <c r="J245" t="str">
        <f>_xlfn.XLOOKUP(Quota_tbl[[#This Row],[Period_Start_Date]],Dim_Date!A:A,Dim_Date!H:H)</f>
        <v>Jun 2025</v>
      </c>
    </row>
    <row r="246" spans="1:10" ht="15" customHeight="1" x14ac:dyDescent="0.2">
      <c r="A246" t="s">
        <v>205</v>
      </c>
      <c r="B246" s="49">
        <v>45839</v>
      </c>
      <c r="C246">
        <v>19</v>
      </c>
      <c r="D246" s="33">
        <v>16500</v>
      </c>
      <c r="E246" t="str">
        <f>_xlfn.XLOOKUP(Quota_tbl[[#This Row],[Rep_ID]],Dim_Reps!A:A,Dim_Reps!K:K)</f>
        <v>EUR</v>
      </c>
      <c r="F246" s="33">
        <f>(_xlfn.XLOOKUP(Quota_tbl[[#This Row],[Rate_Code_Generalized]],Lookups!A:A,Lookups!B:B)*Quota_tbl[[#This Row],[Quota_Amount_USD]])</f>
        <v>16500</v>
      </c>
      <c r="G246" t="str">
        <f>_xlfn.XLOOKUP(Quota_tbl[[#This Row],[Rep_ID]],Dim_Reps!A:A,Dim_Reps!C:C)</f>
        <v>SDR / Inside Sales Rep</v>
      </c>
      <c r="H246" t="str">
        <f>_xlfn.XLOOKUP(Quota_tbl[[#This Row],[Rep_ID]],Dim_Reps!A:A,Dim_Reps!D:D)</f>
        <v>Inside Sales</v>
      </c>
      <c r="I246" t="str">
        <f>_xlfn.XLOOKUP(Quota_tbl[[#This Row],[Rep_ID]],Dim_Reps!A:A,Dim_Reps!E:E)</f>
        <v>EMEA</v>
      </c>
      <c r="J246" t="str">
        <f>_xlfn.XLOOKUP(Quota_tbl[[#This Row],[Period_Start_Date]],Dim_Date!A:A,Dim_Date!H:H)</f>
        <v>Jul 2025</v>
      </c>
    </row>
    <row r="247" spans="1:10" ht="15" customHeight="1" x14ac:dyDescent="0.2">
      <c r="A247" t="s">
        <v>205</v>
      </c>
      <c r="B247" s="49">
        <v>45870</v>
      </c>
      <c r="C247">
        <v>20</v>
      </c>
      <c r="D247" s="33">
        <v>14600</v>
      </c>
      <c r="E247" t="str">
        <f>_xlfn.XLOOKUP(Quota_tbl[[#This Row],[Rep_ID]],Dim_Reps!A:A,Dim_Reps!K:K)</f>
        <v>EUR</v>
      </c>
      <c r="F247" s="33">
        <f>(_xlfn.XLOOKUP(Quota_tbl[[#This Row],[Rate_Code_Generalized]],Lookups!A:A,Lookups!B:B)*Quota_tbl[[#This Row],[Quota_Amount_USD]])</f>
        <v>14600</v>
      </c>
      <c r="G247" t="str">
        <f>_xlfn.XLOOKUP(Quota_tbl[[#This Row],[Rep_ID]],Dim_Reps!A:A,Dim_Reps!C:C)</f>
        <v>SDR / Inside Sales Rep</v>
      </c>
      <c r="H247" t="str">
        <f>_xlfn.XLOOKUP(Quota_tbl[[#This Row],[Rep_ID]],Dim_Reps!A:A,Dim_Reps!D:D)</f>
        <v>Inside Sales</v>
      </c>
      <c r="I247" t="str">
        <f>_xlfn.XLOOKUP(Quota_tbl[[#This Row],[Rep_ID]],Dim_Reps!A:A,Dim_Reps!E:E)</f>
        <v>EMEA</v>
      </c>
      <c r="J247" t="str">
        <f>_xlfn.XLOOKUP(Quota_tbl[[#This Row],[Period_Start_Date]],Dim_Date!A:A,Dim_Date!H:H)</f>
        <v>Aug 2025</v>
      </c>
    </row>
    <row r="248" spans="1:10" ht="15" customHeight="1" x14ac:dyDescent="0.2">
      <c r="A248" t="s">
        <v>205</v>
      </c>
      <c r="B248" s="49">
        <v>45901</v>
      </c>
      <c r="C248">
        <v>21</v>
      </c>
      <c r="D248" s="33">
        <v>15400</v>
      </c>
      <c r="E248" t="str">
        <f>_xlfn.XLOOKUP(Quota_tbl[[#This Row],[Rep_ID]],Dim_Reps!A:A,Dim_Reps!K:K)</f>
        <v>EUR</v>
      </c>
      <c r="F248" s="33">
        <f>(_xlfn.XLOOKUP(Quota_tbl[[#This Row],[Rate_Code_Generalized]],Lookups!A:A,Lookups!B:B)*Quota_tbl[[#This Row],[Quota_Amount_USD]])</f>
        <v>15400</v>
      </c>
      <c r="G248" t="str">
        <f>_xlfn.XLOOKUP(Quota_tbl[[#This Row],[Rep_ID]],Dim_Reps!A:A,Dim_Reps!C:C)</f>
        <v>SDR / Inside Sales Rep</v>
      </c>
      <c r="H248" t="str">
        <f>_xlfn.XLOOKUP(Quota_tbl[[#This Row],[Rep_ID]],Dim_Reps!A:A,Dim_Reps!D:D)</f>
        <v>Inside Sales</v>
      </c>
      <c r="I248" t="str">
        <f>_xlfn.XLOOKUP(Quota_tbl[[#This Row],[Rep_ID]],Dim_Reps!A:A,Dim_Reps!E:E)</f>
        <v>EMEA</v>
      </c>
      <c r="J248" t="str">
        <f>_xlfn.XLOOKUP(Quota_tbl[[#This Row],[Period_Start_Date]],Dim_Date!A:A,Dim_Date!H:H)</f>
        <v>Sep 2025</v>
      </c>
    </row>
    <row r="249" spans="1:10" ht="15" customHeight="1" x14ac:dyDescent="0.2">
      <c r="A249" t="s">
        <v>205</v>
      </c>
      <c r="B249" s="49">
        <v>45931</v>
      </c>
      <c r="C249">
        <v>22</v>
      </c>
      <c r="D249" s="33">
        <v>15800</v>
      </c>
      <c r="E249" t="str">
        <f>_xlfn.XLOOKUP(Quota_tbl[[#This Row],[Rep_ID]],Dim_Reps!A:A,Dim_Reps!K:K)</f>
        <v>EUR</v>
      </c>
      <c r="F249" s="33">
        <f>(_xlfn.XLOOKUP(Quota_tbl[[#This Row],[Rate_Code_Generalized]],Lookups!A:A,Lookups!B:B)*Quota_tbl[[#This Row],[Quota_Amount_USD]])</f>
        <v>15800</v>
      </c>
      <c r="G249" t="str">
        <f>_xlfn.XLOOKUP(Quota_tbl[[#This Row],[Rep_ID]],Dim_Reps!A:A,Dim_Reps!C:C)</f>
        <v>SDR / Inside Sales Rep</v>
      </c>
      <c r="H249" t="str">
        <f>_xlfn.XLOOKUP(Quota_tbl[[#This Row],[Rep_ID]],Dim_Reps!A:A,Dim_Reps!D:D)</f>
        <v>Inside Sales</v>
      </c>
      <c r="I249" t="str">
        <f>_xlfn.XLOOKUP(Quota_tbl[[#This Row],[Rep_ID]],Dim_Reps!A:A,Dim_Reps!E:E)</f>
        <v>EMEA</v>
      </c>
      <c r="J249" t="str">
        <f>_xlfn.XLOOKUP(Quota_tbl[[#This Row],[Period_Start_Date]],Dim_Date!A:A,Dim_Date!H:H)</f>
        <v>Oct 2025</v>
      </c>
    </row>
    <row r="250" spans="1:10" ht="15" customHeight="1" x14ac:dyDescent="0.2">
      <c r="A250" t="s">
        <v>205</v>
      </c>
      <c r="B250" s="49">
        <v>45962</v>
      </c>
      <c r="C250">
        <v>23</v>
      </c>
      <c r="D250" s="33">
        <v>15600</v>
      </c>
      <c r="E250" t="str">
        <f>_xlfn.XLOOKUP(Quota_tbl[[#This Row],[Rep_ID]],Dim_Reps!A:A,Dim_Reps!K:K)</f>
        <v>EUR</v>
      </c>
      <c r="F250" s="33">
        <f>(_xlfn.XLOOKUP(Quota_tbl[[#This Row],[Rate_Code_Generalized]],Lookups!A:A,Lookups!B:B)*Quota_tbl[[#This Row],[Quota_Amount_USD]])</f>
        <v>15600</v>
      </c>
      <c r="G250" t="str">
        <f>_xlfn.XLOOKUP(Quota_tbl[[#This Row],[Rep_ID]],Dim_Reps!A:A,Dim_Reps!C:C)</f>
        <v>SDR / Inside Sales Rep</v>
      </c>
      <c r="H250" t="str">
        <f>_xlfn.XLOOKUP(Quota_tbl[[#This Row],[Rep_ID]],Dim_Reps!A:A,Dim_Reps!D:D)</f>
        <v>Inside Sales</v>
      </c>
      <c r="I250" t="str">
        <f>_xlfn.XLOOKUP(Quota_tbl[[#This Row],[Rep_ID]],Dim_Reps!A:A,Dim_Reps!E:E)</f>
        <v>EMEA</v>
      </c>
      <c r="J250" t="str">
        <f>_xlfn.XLOOKUP(Quota_tbl[[#This Row],[Period_Start_Date]],Dim_Date!A:A,Dim_Date!H:H)</f>
        <v>Nov 2025</v>
      </c>
    </row>
    <row r="251" spans="1:10" ht="15" customHeight="1" x14ac:dyDescent="0.2">
      <c r="A251" t="s">
        <v>205</v>
      </c>
      <c r="B251" s="49">
        <v>45992</v>
      </c>
      <c r="C251">
        <v>24</v>
      </c>
      <c r="D251" s="33">
        <v>15200</v>
      </c>
      <c r="E251" t="str">
        <f>_xlfn.XLOOKUP(Quota_tbl[[#This Row],[Rep_ID]],Dim_Reps!A:A,Dim_Reps!K:K)</f>
        <v>EUR</v>
      </c>
      <c r="F251" s="33">
        <f>(_xlfn.XLOOKUP(Quota_tbl[[#This Row],[Rate_Code_Generalized]],Lookups!A:A,Lookups!B:B)*Quota_tbl[[#This Row],[Quota_Amount_USD]])</f>
        <v>15200</v>
      </c>
      <c r="G251" t="str">
        <f>_xlfn.XLOOKUP(Quota_tbl[[#This Row],[Rep_ID]],Dim_Reps!A:A,Dim_Reps!C:C)</f>
        <v>SDR / Inside Sales Rep</v>
      </c>
      <c r="H251" t="str">
        <f>_xlfn.XLOOKUP(Quota_tbl[[#This Row],[Rep_ID]],Dim_Reps!A:A,Dim_Reps!D:D)</f>
        <v>Inside Sales</v>
      </c>
      <c r="I251" t="str">
        <f>_xlfn.XLOOKUP(Quota_tbl[[#This Row],[Rep_ID]],Dim_Reps!A:A,Dim_Reps!E:E)</f>
        <v>EMEA</v>
      </c>
      <c r="J251" t="str">
        <f>_xlfn.XLOOKUP(Quota_tbl[[#This Row],[Period_Start_Date]],Dim_Date!A:A,Dim_Date!H:H)</f>
        <v>Dec 2025</v>
      </c>
    </row>
    <row r="252" spans="1:10" ht="15" customHeight="1" x14ac:dyDescent="0.2">
      <c r="A252" t="s">
        <v>207</v>
      </c>
      <c r="B252" s="49">
        <v>45413</v>
      </c>
      <c r="C252">
        <v>0</v>
      </c>
      <c r="D252" s="33">
        <v>3900</v>
      </c>
      <c r="E252" t="str">
        <f>_xlfn.XLOOKUP(Quota_tbl[[#This Row],[Rep_ID]],Dim_Reps!A:A,Dim_Reps!K:K)</f>
        <v>EUR</v>
      </c>
      <c r="F252" s="33">
        <f>(_xlfn.XLOOKUP(Quota_tbl[[#This Row],[Rate_Code_Generalized]],Lookups!A:A,Lookups!B:B)*Quota_tbl[[#This Row],[Quota_Amount_USD]])</f>
        <v>3900</v>
      </c>
      <c r="G252" t="str">
        <f>_xlfn.XLOOKUP(Quota_tbl[[#This Row],[Rep_ID]],Dim_Reps!A:A,Dim_Reps!C:C)</f>
        <v>SDR / Inside Sales Rep</v>
      </c>
      <c r="H252" t="str">
        <f>_xlfn.XLOOKUP(Quota_tbl[[#This Row],[Rep_ID]],Dim_Reps!A:A,Dim_Reps!D:D)</f>
        <v>Inside Sales</v>
      </c>
      <c r="I252" t="str">
        <f>_xlfn.XLOOKUP(Quota_tbl[[#This Row],[Rep_ID]],Dim_Reps!A:A,Dim_Reps!E:E)</f>
        <v>APAC</v>
      </c>
      <c r="J252" t="str">
        <f>_xlfn.XLOOKUP(Quota_tbl[[#This Row],[Period_Start_Date]],Dim_Date!A:A,Dim_Date!H:H)</f>
        <v>May 2024</v>
      </c>
    </row>
    <row r="253" spans="1:10" ht="15" customHeight="1" x14ac:dyDescent="0.2">
      <c r="A253" t="s">
        <v>207</v>
      </c>
      <c r="B253" s="49">
        <v>45444</v>
      </c>
      <c r="C253">
        <v>1</v>
      </c>
      <c r="D253" s="33">
        <v>7600</v>
      </c>
      <c r="E253" t="str">
        <f>_xlfn.XLOOKUP(Quota_tbl[[#This Row],[Rep_ID]],Dim_Reps!A:A,Dim_Reps!K:K)</f>
        <v>EUR</v>
      </c>
      <c r="F253" s="33">
        <f>(_xlfn.XLOOKUP(Quota_tbl[[#This Row],[Rate_Code_Generalized]],Lookups!A:A,Lookups!B:B)*Quota_tbl[[#This Row],[Quota_Amount_USD]])</f>
        <v>7600</v>
      </c>
      <c r="G253" t="str">
        <f>_xlfn.XLOOKUP(Quota_tbl[[#This Row],[Rep_ID]],Dim_Reps!A:A,Dim_Reps!C:C)</f>
        <v>SDR / Inside Sales Rep</v>
      </c>
      <c r="H253" t="str">
        <f>_xlfn.XLOOKUP(Quota_tbl[[#This Row],[Rep_ID]],Dim_Reps!A:A,Dim_Reps!D:D)</f>
        <v>Inside Sales</v>
      </c>
      <c r="I253" t="str">
        <f>_xlfn.XLOOKUP(Quota_tbl[[#This Row],[Rep_ID]],Dim_Reps!A:A,Dim_Reps!E:E)</f>
        <v>APAC</v>
      </c>
      <c r="J253" t="str">
        <f>_xlfn.XLOOKUP(Quota_tbl[[#This Row],[Period_Start_Date]],Dim_Date!A:A,Dim_Date!H:H)</f>
        <v>Jun 2024</v>
      </c>
    </row>
    <row r="254" spans="1:10" ht="15" customHeight="1" x14ac:dyDescent="0.2">
      <c r="A254" t="s">
        <v>207</v>
      </c>
      <c r="B254" s="49">
        <v>45474</v>
      </c>
      <c r="C254">
        <v>2</v>
      </c>
      <c r="D254" s="33">
        <v>11400</v>
      </c>
      <c r="E254" t="str">
        <f>_xlfn.XLOOKUP(Quota_tbl[[#This Row],[Rep_ID]],Dim_Reps!A:A,Dim_Reps!K:K)</f>
        <v>EUR</v>
      </c>
      <c r="F254" s="33">
        <f>(_xlfn.XLOOKUP(Quota_tbl[[#This Row],[Rate_Code_Generalized]],Lookups!A:A,Lookups!B:B)*Quota_tbl[[#This Row],[Quota_Amount_USD]])</f>
        <v>11400</v>
      </c>
      <c r="G254" t="str">
        <f>_xlfn.XLOOKUP(Quota_tbl[[#This Row],[Rep_ID]],Dim_Reps!A:A,Dim_Reps!C:C)</f>
        <v>SDR / Inside Sales Rep</v>
      </c>
      <c r="H254" t="str">
        <f>_xlfn.XLOOKUP(Quota_tbl[[#This Row],[Rep_ID]],Dim_Reps!A:A,Dim_Reps!D:D)</f>
        <v>Inside Sales</v>
      </c>
      <c r="I254" t="str">
        <f>_xlfn.XLOOKUP(Quota_tbl[[#This Row],[Rep_ID]],Dim_Reps!A:A,Dim_Reps!E:E)</f>
        <v>APAC</v>
      </c>
      <c r="J254" t="str">
        <f>_xlfn.XLOOKUP(Quota_tbl[[#This Row],[Period_Start_Date]],Dim_Date!A:A,Dim_Date!H:H)</f>
        <v>Jul 2024</v>
      </c>
    </row>
    <row r="255" spans="1:10" ht="15" customHeight="1" x14ac:dyDescent="0.2">
      <c r="A255" t="s">
        <v>207</v>
      </c>
      <c r="B255" s="49">
        <v>45505</v>
      </c>
      <c r="C255">
        <v>3</v>
      </c>
      <c r="D255" s="33">
        <v>15900</v>
      </c>
      <c r="E255" t="str">
        <f>_xlfn.XLOOKUP(Quota_tbl[[#This Row],[Rep_ID]],Dim_Reps!A:A,Dim_Reps!K:K)</f>
        <v>EUR</v>
      </c>
      <c r="F255" s="33">
        <f>(_xlfn.XLOOKUP(Quota_tbl[[#This Row],[Rate_Code_Generalized]],Lookups!A:A,Lookups!B:B)*Quota_tbl[[#This Row],[Quota_Amount_USD]])</f>
        <v>15900</v>
      </c>
      <c r="G255" t="str">
        <f>_xlfn.XLOOKUP(Quota_tbl[[#This Row],[Rep_ID]],Dim_Reps!A:A,Dim_Reps!C:C)</f>
        <v>SDR / Inside Sales Rep</v>
      </c>
      <c r="H255" t="str">
        <f>_xlfn.XLOOKUP(Quota_tbl[[#This Row],[Rep_ID]],Dim_Reps!A:A,Dim_Reps!D:D)</f>
        <v>Inside Sales</v>
      </c>
      <c r="I255" t="str">
        <f>_xlfn.XLOOKUP(Quota_tbl[[#This Row],[Rep_ID]],Dim_Reps!A:A,Dim_Reps!E:E)</f>
        <v>APAC</v>
      </c>
      <c r="J255" t="str">
        <f>_xlfn.XLOOKUP(Quota_tbl[[#This Row],[Period_Start_Date]],Dim_Date!A:A,Dim_Date!H:H)</f>
        <v>Aug 2024</v>
      </c>
    </row>
    <row r="256" spans="1:10" ht="15" customHeight="1" x14ac:dyDescent="0.2">
      <c r="A256" t="s">
        <v>207</v>
      </c>
      <c r="B256" s="49">
        <v>45536</v>
      </c>
      <c r="C256">
        <v>4</v>
      </c>
      <c r="D256" s="33">
        <v>15700</v>
      </c>
      <c r="E256" t="str">
        <f>_xlfn.XLOOKUP(Quota_tbl[[#This Row],[Rep_ID]],Dim_Reps!A:A,Dim_Reps!K:K)</f>
        <v>EUR</v>
      </c>
      <c r="F256" s="33">
        <f>(_xlfn.XLOOKUP(Quota_tbl[[#This Row],[Rate_Code_Generalized]],Lookups!A:A,Lookups!B:B)*Quota_tbl[[#This Row],[Quota_Amount_USD]])</f>
        <v>15700</v>
      </c>
      <c r="G256" t="str">
        <f>_xlfn.XLOOKUP(Quota_tbl[[#This Row],[Rep_ID]],Dim_Reps!A:A,Dim_Reps!C:C)</f>
        <v>SDR / Inside Sales Rep</v>
      </c>
      <c r="H256" t="str">
        <f>_xlfn.XLOOKUP(Quota_tbl[[#This Row],[Rep_ID]],Dim_Reps!A:A,Dim_Reps!D:D)</f>
        <v>Inside Sales</v>
      </c>
      <c r="I256" t="str">
        <f>_xlfn.XLOOKUP(Quota_tbl[[#This Row],[Rep_ID]],Dim_Reps!A:A,Dim_Reps!E:E)</f>
        <v>APAC</v>
      </c>
      <c r="J256" t="str">
        <f>_xlfn.XLOOKUP(Quota_tbl[[#This Row],[Period_Start_Date]],Dim_Date!A:A,Dim_Date!H:H)</f>
        <v>Sep 2024</v>
      </c>
    </row>
    <row r="257" spans="1:10" ht="15" customHeight="1" x14ac:dyDescent="0.2">
      <c r="A257" t="s">
        <v>207</v>
      </c>
      <c r="B257" s="49">
        <v>45566</v>
      </c>
      <c r="C257">
        <v>5</v>
      </c>
      <c r="D257" s="33">
        <v>15200</v>
      </c>
      <c r="E257" t="str">
        <f>_xlfn.XLOOKUP(Quota_tbl[[#This Row],[Rep_ID]],Dim_Reps!A:A,Dim_Reps!K:K)</f>
        <v>EUR</v>
      </c>
      <c r="F257" s="33">
        <f>(_xlfn.XLOOKUP(Quota_tbl[[#This Row],[Rate_Code_Generalized]],Lookups!A:A,Lookups!B:B)*Quota_tbl[[#This Row],[Quota_Amount_USD]])</f>
        <v>15200</v>
      </c>
      <c r="G257" t="str">
        <f>_xlfn.XLOOKUP(Quota_tbl[[#This Row],[Rep_ID]],Dim_Reps!A:A,Dim_Reps!C:C)</f>
        <v>SDR / Inside Sales Rep</v>
      </c>
      <c r="H257" t="str">
        <f>_xlfn.XLOOKUP(Quota_tbl[[#This Row],[Rep_ID]],Dim_Reps!A:A,Dim_Reps!D:D)</f>
        <v>Inside Sales</v>
      </c>
      <c r="I257" t="str">
        <f>_xlfn.XLOOKUP(Quota_tbl[[#This Row],[Rep_ID]],Dim_Reps!A:A,Dim_Reps!E:E)</f>
        <v>APAC</v>
      </c>
      <c r="J257" t="str">
        <f>_xlfn.XLOOKUP(Quota_tbl[[#This Row],[Period_Start_Date]],Dim_Date!A:A,Dim_Date!H:H)</f>
        <v>Oct 2024</v>
      </c>
    </row>
    <row r="258" spans="1:10" ht="15" customHeight="1" x14ac:dyDescent="0.2">
      <c r="A258" t="s">
        <v>207</v>
      </c>
      <c r="B258" s="49">
        <v>45597</v>
      </c>
      <c r="C258">
        <v>6</v>
      </c>
      <c r="D258" s="33">
        <v>15900</v>
      </c>
      <c r="E258" t="str">
        <f>_xlfn.XLOOKUP(Quota_tbl[[#This Row],[Rep_ID]],Dim_Reps!A:A,Dim_Reps!K:K)</f>
        <v>EUR</v>
      </c>
      <c r="F258" s="33">
        <f>(_xlfn.XLOOKUP(Quota_tbl[[#This Row],[Rate_Code_Generalized]],Lookups!A:A,Lookups!B:B)*Quota_tbl[[#This Row],[Quota_Amount_USD]])</f>
        <v>15900</v>
      </c>
      <c r="G258" t="str">
        <f>_xlfn.XLOOKUP(Quota_tbl[[#This Row],[Rep_ID]],Dim_Reps!A:A,Dim_Reps!C:C)</f>
        <v>SDR / Inside Sales Rep</v>
      </c>
      <c r="H258" t="str">
        <f>_xlfn.XLOOKUP(Quota_tbl[[#This Row],[Rep_ID]],Dim_Reps!A:A,Dim_Reps!D:D)</f>
        <v>Inside Sales</v>
      </c>
      <c r="I258" t="str">
        <f>_xlfn.XLOOKUP(Quota_tbl[[#This Row],[Rep_ID]],Dim_Reps!A:A,Dim_Reps!E:E)</f>
        <v>APAC</v>
      </c>
      <c r="J258" t="str">
        <f>_xlfn.XLOOKUP(Quota_tbl[[#This Row],[Period_Start_Date]],Dim_Date!A:A,Dim_Date!H:H)</f>
        <v>Nov 2024</v>
      </c>
    </row>
    <row r="259" spans="1:10" ht="15" customHeight="1" x14ac:dyDescent="0.2">
      <c r="A259" t="s">
        <v>207</v>
      </c>
      <c r="B259" s="49">
        <v>45627</v>
      </c>
      <c r="C259">
        <v>7</v>
      </c>
      <c r="D259" s="33">
        <v>15600</v>
      </c>
      <c r="E259" t="str">
        <f>_xlfn.XLOOKUP(Quota_tbl[[#This Row],[Rep_ID]],Dim_Reps!A:A,Dim_Reps!K:K)</f>
        <v>EUR</v>
      </c>
      <c r="F259" s="33">
        <f>(_xlfn.XLOOKUP(Quota_tbl[[#This Row],[Rate_Code_Generalized]],Lookups!A:A,Lookups!B:B)*Quota_tbl[[#This Row],[Quota_Amount_USD]])</f>
        <v>15600</v>
      </c>
      <c r="G259" t="str">
        <f>_xlfn.XLOOKUP(Quota_tbl[[#This Row],[Rep_ID]],Dim_Reps!A:A,Dim_Reps!C:C)</f>
        <v>SDR / Inside Sales Rep</v>
      </c>
      <c r="H259" t="str">
        <f>_xlfn.XLOOKUP(Quota_tbl[[#This Row],[Rep_ID]],Dim_Reps!A:A,Dim_Reps!D:D)</f>
        <v>Inside Sales</v>
      </c>
      <c r="I259" t="str">
        <f>_xlfn.XLOOKUP(Quota_tbl[[#This Row],[Rep_ID]],Dim_Reps!A:A,Dim_Reps!E:E)</f>
        <v>APAC</v>
      </c>
      <c r="J259" t="str">
        <f>_xlfn.XLOOKUP(Quota_tbl[[#This Row],[Period_Start_Date]],Dim_Date!A:A,Dim_Date!H:H)</f>
        <v>Dec 2024</v>
      </c>
    </row>
    <row r="260" spans="1:10" ht="15" customHeight="1" x14ac:dyDescent="0.2">
      <c r="A260" t="s">
        <v>207</v>
      </c>
      <c r="B260" s="49">
        <v>45658</v>
      </c>
      <c r="C260">
        <v>8</v>
      </c>
      <c r="D260" s="33">
        <v>15900</v>
      </c>
      <c r="E260" t="str">
        <f>_xlfn.XLOOKUP(Quota_tbl[[#This Row],[Rep_ID]],Dim_Reps!A:A,Dim_Reps!K:K)</f>
        <v>EUR</v>
      </c>
      <c r="F260" s="33">
        <f>(_xlfn.XLOOKUP(Quota_tbl[[#This Row],[Rate_Code_Generalized]],Lookups!A:A,Lookups!B:B)*Quota_tbl[[#This Row],[Quota_Amount_USD]])</f>
        <v>15900</v>
      </c>
      <c r="G260" t="str">
        <f>_xlfn.XLOOKUP(Quota_tbl[[#This Row],[Rep_ID]],Dim_Reps!A:A,Dim_Reps!C:C)</f>
        <v>SDR / Inside Sales Rep</v>
      </c>
      <c r="H260" t="str">
        <f>_xlfn.XLOOKUP(Quota_tbl[[#This Row],[Rep_ID]],Dim_Reps!A:A,Dim_Reps!D:D)</f>
        <v>Inside Sales</v>
      </c>
      <c r="I260" t="str">
        <f>_xlfn.XLOOKUP(Quota_tbl[[#This Row],[Rep_ID]],Dim_Reps!A:A,Dim_Reps!E:E)</f>
        <v>APAC</v>
      </c>
      <c r="J260" t="str">
        <f>_xlfn.XLOOKUP(Quota_tbl[[#This Row],[Period_Start_Date]],Dim_Date!A:A,Dim_Date!H:H)</f>
        <v>Jan 2025</v>
      </c>
    </row>
    <row r="261" spans="1:10" ht="15" customHeight="1" x14ac:dyDescent="0.2">
      <c r="A261" t="s">
        <v>207</v>
      </c>
      <c r="B261" s="49">
        <v>45689</v>
      </c>
      <c r="C261">
        <v>9</v>
      </c>
      <c r="D261" s="33">
        <v>15800</v>
      </c>
      <c r="E261" t="str">
        <f>_xlfn.XLOOKUP(Quota_tbl[[#This Row],[Rep_ID]],Dim_Reps!A:A,Dim_Reps!K:K)</f>
        <v>EUR</v>
      </c>
      <c r="F261" s="33">
        <f>(_xlfn.XLOOKUP(Quota_tbl[[#This Row],[Rate_Code_Generalized]],Lookups!A:A,Lookups!B:B)*Quota_tbl[[#This Row],[Quota_Amount_USD]])</f>
        <v>15800</v>
      </c>
      <c r="G261" t="str">
        <f>_xlfn.XLOOKUP(Quota_tbl[[#This Row],[Rep_ID]],Dim_Reps!A:A,Dim_Reps!C:C)</f>
        <v>SDR / Inside Sales Rep</v>
      </c>
      <c r="H261" t="str">
        <f>_xlfn.XLOOKUP(Quota_tbl[[#This Row],[Rep_ID]],Dim_Reps!A:A,Dim_Reps!D:D)</f>
        <v>Inside Sales</v>
      </c>
      <c r="I261" t="str">
        <f>_xlfn.XLOOKUP(Quota_tbl[[#This Row],[Rep_ID]],Dim_Reps!A:A,Dim_Reps!E:E)</f>
        <v>APAC</v>
      </c>
      <c r="J261" t="str">
        <f>_xlfn.XLOOKUP(Quota_tbl[[#This Row],[Period_Start_Date]],Dim_Date!A:A,Dim_Date!H:H)</f>
        <v>Feb 2025</v>
      </c>
    </row>
    <row r="262" spans="1:10" ht="15" customHeight="1" x14ac:dyDescent="0.2">
      <c r="A262" t="s">
        <v>207</v>
      </c>
      <c r="B262" s="49">
        <v>45717</v>
      </c>
      <c r="C262">
        <v>10</v>
      </c>
      <c r="D262" s="33">
        <v>15100</v>
      </c>
      <c r="E262" t="str">
        <f>_xlfn.XLOOKUP(Quota_tbl[[#This Row],[Rep_ID]],Dim_Reps!A:A,Dim_Reps!K:K)</f>
        <v>EUR</v>
      </c>
      <c r="F262" s="33">
        <f>(_xlfn.XLOOKUP(Quota_tbl[[#This Row],[Rate_Code_Generalized]],Lookups!A:A,Lookups!B:B)*Quota_tbl[[#This Row],[Quota_Amount_USD]])</f>
        <v>15100</v>
      </c>
      <c r="G262" t="str">
        <f>_xlfn.XLOOKUP(Quota_tbl[[#This Row],[Rep_ID]],Dim_Reps!A:A,Dim_Reps!C:C)</f>
        <v>SDR / Inside Sales Rep</v>
      </c>
      <c r="H262" t="str">
        <f>_xlfn.XLOOKUP(Quota_tbl[[#This Row],[Rep_ID]],Dim_Reps!A:A,Dim_Reps!D:D)</f>
        <v>Inside Sales</v>
      </c>
      <c r="I262" t="str">
        <f>_xlfn.XLOOKUP(Quota_tbl[[#This Row],[Rep_ID]],Dim_Reps!A:A,Dim_Reps!E:E)</f>
        <v>APAC</v>
      </c>
      <c r="J262" t="str">
        <f>_xlfn.XLOOKUP(Quota_tbl[[#This Row],[Period_Start_Date]],Dim_Date!A:A,Dim_Date!H:H)</f>
        <v>Mar 2025</v>
      </c>
    </row>
    <row r="263" spans="1:10" ht="15" customHeight="1" x14ac:dyDescent="0.2">
      <c r="A263" t="s">
        <v>207</v>
      </c>
      <c r="B263" s="49">
        <v>45748</v>
      </c>
      <c r="C263">
        <v>11</v>
      </c>
      <c r="D263" s="33">
        <v>15200</v>
      </c>
      <c r="E263" t="str">
        <f>_xlfn.XLOOKUP(Quota_tbl[[#This Row],[Rep_ID]],Dim_Reps!A:A,Dim_Reps!K:K)</f>
        <v>EUR</v>
      </c>
      <c r="F263" s="33">
        <f>(_xlfn.XLOOKUP(Quota_tbl[[#This Row],[Rate_Code_Generalized]],Lookups!A:A,Lookups!B:B)*Quota_tbl[[#This Row],[Quota_Amount_USD]])</f>
        <v>15200</v>
      </c>
      <c r="G263" t="str">
        <f>_xlfn.XLOOKUP(Quota_tbl[[#This Row],[Rep_ID]],Dim_Reps!A:A,Dim_Reps!C:C)</f>
        <v>SDR / Inside Sales Rep</v>
      </c>
      <c r="H263" t="str">
        <f>_xlfn.XLOOKUP(Quota_tbl[[#This Row],[Rep_ID]],Dim_Reps!A:A,Dim_Reps!D:D)</f>
        <v>Inside Sales</v>
      </c>
      <c r="I263" t="str">
        <f>_xlfn.XLOOKUP(Quota_tbl[[#This Row],[Rep_ID]],Dim_Reps!A:A,Dim_Reps!E:E)</f>
        <v>APAC</v>
      </c>
      <c r="J263" t="str">
        <f>_xlfn.XLOOKUP(Quota_tbl[[#This Row],[Period_Start_Date]],Dim_Date!A:A,Dim_Date!H:H)</f>
        <v>Apr 2025</v>
      </c>
    </row>
    <row r="264" spans="1:10" ht="15" customHeight="1" x14ac:dyDescent="0.2">
      <c r="A264" t="s">
        <v>207</v>
      </c>
      <c r="B264" s="49">
        <v>45778</v>
      </c>
      <c r="C264">
        <v>12</v>
      </c>
      <c r="D264" s="33">
        <v>15800</v>
      </c>
      <c r="E264" t="str">
        <f>_xlfn.XLOOKUP(Quota_tbl[[#This Row],[Rep_ID]],Dim_Reps!A:A,Dim_Reps!K:K)</f>
        <v>EUR</v>
      </c>
      <c r="F264" s="33">
        <f>(_xlfn.XLOOKUP(Quota_tbl[[#This Row],[Rate_Code_Generalized]],Lookups!A:A,Lookups!B:B)*Quota_tbl[[#This Row],[Quota_Amount_USD]])</f>
        <v>15800</v>
      </c>
      <c r="G264" t="str">
        <f>_xlfn.XLOOKUP(Quota_tbl[[#This Row],[Rep_ID]],Dim_Reps!A:A,Dim_Reps!C:C)</f>
        <v>SDR / Inside Sales Rep</v>
      </c>
      <c r="H264" t="str">
        <f>_xlfn.XLOOKUP(Quota_tbl[[#This Row],[Rep_ID]],Dim_Reps!A:A,Dim_Reps!D:D)</f>
        <v>Inside Sales</v>
      </c>
      <c r="I264" t="str">
        <f>_xlfn.XLOOKUP(Quota_tbl[[#This Row],[Rep_ID]],Dim_Reps!A:A,Dim_Reps!E:E)</f>
        <v>APAC</v>
      </c>
      <c r="J264" t="str">
        <f>_xlfn.XLOOKUP(Quota_tbl[[#This Row],[Period_Start_Date]],Dim_Date!A:A,Dim_Date!H:H)</f>
        <v>May 2025</v>
      </c>
    </row>
    <row r="265" spans="1:10" ht="15" customHeight="1" x14ac:dyDescent="0.2">
      <c r="A265" t="s">
        <v>207</v>
      </c>
      <c r="B265" s="49">
        <v>45809</v>
      </c>
      <c r="C265">
        <v>13</v>
      </c>
      <c r="D265" s="33">
        <v>15800</v>
      </c>
      <c r="E265" t="str">
        <f>_xlfn.XLOOKUP(Quota_tbl[[#This Row],[Rep_ID]],Dim_Reps!A:A,Dim_Reps!K:K)</f>
        <v>EUR</v>
      </c>
      <c r="F265" s="33">
        <f>(_xlfn.XLOOKUP(Quota_tbl[[#This Row],[Rate_Code_Generalized]],Lookups!A:A,Lookups!B:B)*Quota_tbl[[#This Row],[Quota_Amount_USD]])</f>
        <v>15800</v>
      </c>
      <c r="G265" t="str">
        <f>_xlfn.XLOOKUP(Quota_tbl[[#This Row],[Rep_ID]],Dim_Reps!A:A,Dim_Reps!C:C)</f>
        <v>SDR / Inside Sales Rep</v>
      </c>
      <c r="H265" t="str">
        <f>_xlfn.XLOOKUP(Quota_tbl[[#This Row],[Rep_ID]],Dim_Reps!A:A,Dim_Reps!D:D)</f>
        <v>Inside Sales</v>
      </c>
      <c r="I265" t="str">
        <f>_xlfn.XLOOKUP(Quota_tbl[[#This Row],[Rep_ID]],Dim_Reps!A:A,Dim_Reps!E:E)</f>
        <v>APAC</v>
      </c>
      <c r="J265" t="str">
        <f>_xlfn.XLOOKUP(Quota_tbl[[#This Row],[Period_Start_Date]],Dim_Date!A:A,Dim_Date!H:H)</f>
        <v>Jun 2025</v>
      </c>
    </row>
    <row r="266" spans="1:10" ht="15" customHeight="1" x14ac:dyDescent="0.2">
      <c r="A266" t="s">
        <v>207</v>
      </c>
      <c r="B266" s="49">
        <v>45839</v>
      </c>
      <c r="C266">
        <v>14</v>
      </c>
      <c r="D266" s="33">
        <v>15500</v>
      </c>
      <c r="E266" t="str">
        <f>_xlfn.XLOOKUP(Quota_tbl[[#This Row],[Rep_ID]],Dim_Reps!A:A,Dim_Reps!K:K)</f>
        <v>EUR</v>
      </c>
      <c r="F266" s="33">
        <f>(_xlfn.XLOOKUP(Quota_tbl[[#This Row],[Rate_Code_Generalized]],Lookups!A:A,Lookups!B:B)*Quota_tbl[[#This Row],[Quota_Amount_USD]])</f>
        <v>15500</v>
      </c>
      <c r="G266" t="str">
        <f>_xlfn.XLOOKUP(Quota_tbl[[#This Row],[Rep_ID]],Dim_Reps!A:A,Dim_Reps!C:C)</f>
        <v>SDR / Inside Sales Rep</v>
      </c>
      <c r="H266" t="str">
        <f>_xlfn.XLOOKUP(Quota_tbl[[#This Row],[Rep_ID]],Dim_Reps!A:A,Dim_Reps!D:D)</f>
        <v>Inside Sales</v>
      </c>
      <c r="I266" t="str">
        <f>_xlfn.XLOOKUP(Quota_tbl[[#This Row],[Rep_ID]],Dim_Reps!A:A,Dim_Reps!E:E)</f>
        <v>APAC</v>
      </c>
      <c r="J266" t="str">
        <f>_xlfn.XLOOKUP(Quota_tbl[[#This Row],[Period_Start_Date]],Dim_Date!A:A,Dim_Date!H:H)</f>
        <v>Jul 2025</v>
      </c>
    </row>
    <row r="267" spans="1:10" ht="15" customHeight="1" x14ac:dyDescent="0.2">
      <c r="A267" t="s">
        <v>207</v>
      </c>
      <c r="B267" s="49">
        <v>45870</v>
      </c>
      <c r="C267">
        <v>15</v>
      </c>
      <c r="D267" s="33">
        <v>15600</v>
      </c>
      <c r="E267" t="str">
        <f>_xlfn.XLOOKUP(Quota_tbl[[#This Row],[Rep_ID]],Dim_Reps!A:A,Dim_Reps!K:K)</f>
        <v>EUR</v>
      </c>
      <c r="F267" s="33">
        <f>(_xlfn.XLOOKUP(Quota_tbl[[#This Row],[Rate_Code_Generalized]],Lookups!A:A,Lookups!B:B)*Quota_tbl[[#This Row],[Quota_Amount_USD]])</f>
        <v>15600</v>
      </c>
      <c r="G267" t="str">
        <f>_xlfn.XLOOKUP(Quota_tbl[[#This Row],[Rep_ID]],Dim_Reps!A:A,Dim_Reps!C:C)</f>
        <v>SDR / Inside Sales Rep</v>
      </c>
      <c r="H267" t="str">
        <f>_xlfn.XLOOKUP(Quota_tbl[[#This Row],[Rep_ID]],Dim_Reps!A:A,Dim_Reps!D:D)</f>
        <v>Inside Sales</v>
      </c>
      <c r="I267" t="str">
        <f>_xlfn.XLOOKUP(Quota_tbl[[#This Row],[Rep_ID]],Dim_Reps!A:A,Dim_Reps!E:E)</f>
        <v>APAC</v>
      </c>
      <c r="J267" t="str">
        <f>_xlfn.XLOOKUP(Quota_tbl[[#This Row],[Period_Start_Date]],Dim_Date!A:A,Dim_Date!H:H)</f>
        <v>Aug 2025</v>
      </c>
    </row>
    <row r="268" spans="1:10" ht="15" customHeight="1" x14ac:dyDescent="0.2">
      <c r="A268" t="s">
        <v>207</v>
      </c>
      <c r="B268" s="49">
        <v>45901</v>
      </c>
      <c r="C268">
        <v>16</v>
      </c>
      <c r="D268" s="33">
        <v>16100</v>
      </c>
      <c r="E268" t="str">
        <f>_xlfn.XLOOKUP(Quota_tbl[[#This Row],[Rep_ID]],Dim_Reps!A:A,Dim_Reps!K:K)</f>
        <v>EUR</v>
      </c>
      <c r="F268" s="33">
        <f>(_xlfn.XLOOKUP(Quota_tbl[[#This Row],[Rate_Code_Generalized]],Lookups!A:A,Lookups!B:B)*Quota_tbl[[#This Row],[Quota_Amount_USD]])</f>
        <v>16100</v>
      </c>
      <c r="G268" t="str">
        <f>_xlfn.XLOOKUP(Quota_tbl[[#This Row],[Rep_ID]],Dim_Reps!A:A,Dim_Reps!C:C)</f>
        <v>SDR / Inside Sales Rep</v>
      </c>
      <c r="H268" t="str">
        <f>_xlfn.XLOOKUP(Quota_tbl[[#This Row],[Rep_ID]],Dim_Reps!A:A,Dim_Reps!D:D)</f>
        <v>Inside Sales</v>
      </c>
      <c r="I268" t="str">
        <f>_xlfn.XLOOKUP(Quota_tbl[[#This Row],[Rep_ID]],Dim_Reps!A:A,Dim_Reps!E:E)</f>
        <v>APAC</v>
      </c>
      <c r="J268" t="str">
        <f>_xlfn.XLOOKUP(Quota_tbl[[#This Row],[Period_Start_Date]],Dim_Date!A:A,Dim_Date!H:H)</f>
        <v>Sep 2025</v>
      </c>
    </row>
    <row r="269" spans="1:10" ht="15" customHeight="1" x14ac:dyDescent="0.2">
      <c r="A269" t="s">
        <v>209</v>
      </c>
      <c r="B269" s="49">
        <v>45627</v>
      </c>
      <c r="C269">
        <v>0</v>
      </c>
      <c r="D269" s="33">
        <v>3800</v>
      </c>
      <c r="E269" t="str">
        <f>_xlfn.XLOOKUP(Quota_tbl[[#This Row],[Rep_ID]],Dim_Reps!A:A,Dim_Reps!K:K)</f>
        <v>EUR</v>
      </c>
      <c r="F269" s="33">
        <f>(_xlfn.XLOOKUP(Quota_tbl[[#This Row],[Rate_Code_Generalized]],Lookups!A:A,Lookups!B:B)*Quota_tbl[[#This Row],[Quota_Amount_USD]])</f>
        <v>3800</v>
      </c>
      <c r="G269" t="str">
        <f>_xlfn.XLOOKUP(Quota_tbl[[#This Row],[Rep_ID]],Dim_Reps!A:A,Dim_Reps!C:C)</f>
        <v>SDR / Inside Sales Rep</v>
      </c>
      <c r="H269" t="str">
        <f>_xlfn.XLOOKUP(Quota_tbl[[#This Row],[Rep_ID]],Dim_Reps!A:A,Dim_Reps!D:D)</f>
        <v>Inside Sales</v>
      </c>
      <c r="I269" t="str">
        <f>_xlfn.XLOOKUP(Quota_tbl[[#This Row],[Rep_ID]],Dim_Reps!A:A,Dim_Reps!E:E)</f>
        <v>EMEA</v>
      </c>
      <c r="J269" t="str">
        <f>_xlfn.XLOOKUP(Quota_tbl[[#This Row],[Period_Start_Date]],Dim_Date!A:A,Dim_Date!H:H)</f>
        <v>Dec 2024</v>
      </c>
    </row>
    <row r="270" spans="1:10" ht="15" customHeight="1" x14ac:dyDescent="0.2">
      <c r="A270" t="s">
        <v>209</v>
      </c>
      <c r="B270" s="49">
        <v>45658</v>
      </c>
      <c r="C270">
        <v>1</v>
      </c>
      <c r="D270" s="33">
        <v>7900</v>
      </c>
      <c r="E270" t="str">
        <f>_xlfn.XLOOKUP(Quota_tbl[[#This Row],[Rep_ID]],Dim_Reps!A:A,Dim_Reps!K:K)</f>
        <v>EUR</v>
      </c>
      <c r="F270" s="33">
        <f>(_xlfn.XLOOKUP(Quota_tbl[[#This Row],[Rate_Code_Generalized]],Lookups!A:A,Lookups!B:B)*Quota_tbl[[#This Row],[Quota_Amount_USD]])</f>
        <v>7900</v>
      </c>
      <c r="G270" t="str">
        <f>_xlfn.XLOOKUP(Quota_tbl[[#This Row],[Rep_ID]],Dim_Reps!A:A,Dim_Reps!C:C)</f>
        <v>SDR / Inside Sales Rep</v>
      </c>
      <c r="H270" t="str">
        <f>_xlfn.XLOOKUP(Quota_tbl[[#This Row],[Rep_ID]],Dim_Reps!A:A,Dim_Reps!D:D)</f>
        <v>Inside Sales</v>
      </c>
      <c r="I270" t="str">
        <f>_xlfn.XLOOKUP(Quota_tbl[[#This Row],[Rep_ID]],Dim_Reps!A:A,Dim_Reps!E:E)</f>
        <v>EMEA</v>
      </c>
      <c r="J270" t="str">
        <f>_xlfn.XLOOKUP(Quota_tbl[[#This Row],[Period_Start_Date]],Dim_Date!A:A,Dim_Date!H:H)</f>
        <v>Jan 2025</v>
      </c>
    </row>
    <row r="271" spans="1:10" ht="15" customHeight="1" x14ac:dyDescent="0.2">
      <c r="A271" t="s">
        <v>209</v>
      </c>
      <c r="B271" s="49">
        <v>45689</v>
      </c>
      <c r="C271">
        <v>2</v>
      </c>
      <c r="D271" s="33">
        <v>11600</v>
      </c>
      <c r="E271" t="str">
        <f>_xlfn.XLOOKUP(Quota_tbl[[#This Row],[Rep_ID]],Dim_Reps!A:A,Dim_Reps!K:K)</f>
        <v>EUR</v>
      </c>
      <c r="F271" s="33">
        <f>(_xlfn.XLOOKUP(Quota_tbl[[#This Row],[Rate_Code_Generalized]],Lookups!A:A,Lookups!B:B)*Quota_tbl[[#This Row],[Quota_Amount_USD]])</f>
        <v>11600</v>
      </c>
      <c r="G271" t="str">
        <f>_xlfn.XLOOKUP(Quota_tbl[[#This Row],[Rep_ID]],Dim_Reps!A:A,Dim_Reps!C:C)</f>
        <v>SDR / Inside Sales Rep</v>
      </c>
      <c r="H271" t="str">
        <f>_xlfn.XLOOKUP(Quota_tbl[[#This Row],[Rep_ID]],Dim_Reps!A:A,Dim_Reps!D:D)</f>
        <v>Inside Sales</v>
      </c>
      <c r="I271" t="str">
        <f>_xlfn.XLOOKUP(Quota_tbl[[#This Row],[Rep_ID]],Dim_Reps!A:A,Dim_Reps!E:E)</f>
        <v>EMEA</v>
      </c>
      <c r="J271" t="str">
        <f>_xlfn.XLOOKUP(Quota_tbl[[#This Row],[Period_Start_Date]],Dim_Date!A:A,Dim_Date!H:H)</f>
        <v>Feb 2025</v>
      </c>
    </row>
    <row r="272" spans="1:10" ht="15" customHeight="1" x14ac:dyDescent="0.2">
      <c r="A272" t="s">
        <v>209</v>
      </c>
      <c r="B272" s="49">
        <v>45717</v>
      </c>
      <c r="C272">
        <v>3</v>
      </c>
      <c r="D272" s="33">
        <v>15400</v>
      </c>
      <c r="E272" t="str">
        <f>_xlfn.XLOOKUP(Quota_tbl[[#This Row],[Rep_ID]],Dim_Reps!A:A,Dim_Reps!K:K)</f>
        <v>EUR</v>
      </c>
      <c r="F272" s="33">
        <f>(_xlfn.XLOOKUP(Quota_tbl[[#This Row],[Rate_Code_Generalized]],Lookups!A:A,Lookups!B:B)*Quota_tbl[[#This Row],[Quota_Amount_USD]])</f>
        <v>15400</v>
      </c>
      <c r="G272" t="str">
        <f>_xlfn.XLOOKUP(Quota_tbl[[#This Row],[Rep_ID]],Dim_Reps!A:A,Dim_Reps!C:C)</f>
        <v>SDR / Inside Sales Rep</v>
      </c>
      <c r="H272" t="str">
        <f>_xlfn.XLOOKUP(Quota_tbl[[#This Row],[Rep_ID]],Dim_Reps!A:A,Dim_Reps!D:D)</f>
        <v>Inside Sales</v>
      </c>
      <c r="I272" t="str">
        <f>_xlfn.XLOOKUP(Quota_tbl[[#This Row],[Rep_ID]],Dim_Reps!A:A,Dim_Reps!E:E)</f>
        <v>EMEA</v>
      </c>
      <c r="J272" t="str">
        <f>_xlfn.XLOOKUP(Quota_tbl[[#This Row],[Period_Start_Date]],Dim_Date!A:A,Dim_Date!H:H)</f>
        <v>Mar 2025</v>
      </c>
    </row>
    <row r="273" spans="1:10" ht="15" customHeight="1" x14ac:dyDescent="0.2">
      <c r="A273" t="s">
        <v>209</v>
      </c>
      <c r="B273" s="49">
        <v>45748</v>
      </c>
      <c r="C273">
        <v>4</v>
      </c>
      <c r="D273" s="33">
        <v>16000</v>
      </c>
      <c r="E273" t="str">
        <f>_xlfn.XLOOKUP(Quota_tbl[[#This Row],[Rep_ID]],Dim_Reps!A:A,Dim_Reps!K:K)</f>
        <v>EUR</v>
      </c>
      <c r="F273" s="33">
        <f>(_xlfn.XLOOKUP(Quota_tbl[[#This Row],[Rate_Code_Generalized]],Lookups!A:A,Lookups!B:B)*Quota_tbl[[#This Row],[Quota_Amount_USD]])</f>
        <v>16000</v>
      </c>
      <c r="G273" t="str">
        <f>_xlfn.XLOOKUP(Quota_tbl[[#This Row],[Rep_ID]],Dim_Reps!A:A,Dim_Reps!C:C)</f>
        <v>SDR / Inside Sales Rep</v>
      </c>
      <c r="H273" t="str">
        <f>_xlfn.XLOOKUP(Quota_tbl[[#This Row],[Rep_ID]],Dim_Reps!A:A,Dim_Reps!D:D)</f>
        <v>Inside Sales</v>
      </c>
      <c r="I273" t="str">
        <f>_xlfn.XLOOKUP(Quota_tbl[[#This Row],[Rep_ID]],Dim_Reps!A:A,Dim_Reps!E:E)</f>
        <v>EMEA</v>
      </c>
      <c r="J273" t="str">
        <f>_xlfn.XLOOKUP(Quota_tbl[[#This Row],[Period_Start_Date]],Dim_Date!A:A,Dim_Date!H:H)</f>
        <v>Apr 2025</v>
      </c>
    </row>
    <row r="274" spans="1:10" ht="15" customHeight="1" x14ac:dyDescent="0.2">
      <c r="A274" t="s">
        <v>209</v>
      </c>
      <c r="B274" s="49">
        <v>45778</v>
      </c>
      <c r="C274">
        <v>5</v>
      </c>
      <c r="D274" s="33">
        <v>15900</v>
      </c>
      <c r="E274" t="str">
        <f>_xlfn.XLOOKUP(Quota_tbl[[#This Row],[Rep_ID]],Dim_Reps!A:A,Dim_Reps!K:K)</f>
        <v>EUR</v>
      </c>
      <c r="F274" s="33">
        <f>(_xlfn.XLOOKUP(Quota_tbl[[#This Row],[Rate_Code_Generalized]],Lookups!A:A,Lookups!B:B)*Quota_tbl[[#This Row],[Quota_Amount_USD]])</f>
        <v>15900</v>
      </c>
      <c r="G274" t="str">
        <f>_xlfn.XLOOKUP(Quota_tbl[[#This Row],[Rep_ID]],Dim_Reps!A:A,Dim_Reps!C:C)</f>
        <v>SDR / Inside Sales Rep</v>
      </c>
      <c r="H274" t="str">
        <f>_xlfn.XLOOKUP(Quota_tbl[[#This Row],[Rep_ID]],Dim_Reps!A:A,Dim_Reps!D:D)</f>
        <v>Inside Sales</v>
      </c>
      <c r="I274" t="str">
        <f>_xlfn.XLOOKUP(Quota_tbl[[#This Row],[Rep_ID]],Dim_Reps!A:A,Dim_Reps!E:E)</f>
        <v>EMEA</v>
      </c>
      <c r="J274" t="str">
        <f>_xlfn.XLOOKUP(Quota_tbl[[#This Row],[Period_Start_Date]],Dim_Date!A:A,Dim_Date!H:H)</f>
        <v>May 2025</v>
      </c>
    </row>
    <row r="275" spans="1:10" ht="15" customHeight="1" x14ac:dyDescent="0.2">
      <c r="A275" t="s">
        <v>209</v>
      </c>
      <c r="B275" s="49">
        <v>45809</v>
      </c>
      <c r="C275">
        <v>6</v>
      </c>
      <c r="D275" s="33">
        <v>15900</v>
      </c>
      <c r="E275" t="str">
        <f>_xlfn.XLOOKUP(Quota_tbl[[#This Row],[Rep_ID]],Dim_Reps!A:A,Dim_Reps!K:K)</f>
        <v>EUR</v>
      </c>
      <c r="F275" s="33">
        <f>(_xlfn.XLOOKUP(Quota_tbl[[#This Row],[Rate_Code_Generalized]],Lookups!A:A,Lookups!B:B)*Quota_tbl[[#This Row],[Quota_Amount_USD]])</f>
        <v>15900</v>
      </c>
      <c r="G275" t="str">
        <f>_xlfn.XLOOKUP(Quota_tbl[[#This Row],[Rep_ID]],Dim_Reps!A:A,Dim_Reps!C:C)</f>
        <v>SDR / Inside Sales Rep</v>
      </c>
      <c r="H275" t="str">
        <f>_xlfn.XLOOKUP(Quota_tbl[[#This Row],[Rep_ID]],Dim_Reps!A:A,Dim_Reps!D:D)</f>
        <v>Inside Sales</v>
      </c>
      <c r="I275" t="str">
        <f>_xlfn.XLOOKUP(Quota_tbl[[#This Row],[Rep_ID]],Dim_Reps!A:A,Dim_Reps!E:E)</f>
        <v>EMEA</v>
      </c>
      <c r="J275" t="str">
        <f>_xlfn.XLOOKUP(Quota_tbl[[#This Row],[Period_Start_Date]],Dim_Date!A:A,Dim_Date!H:H)</f>
        <v>Jun 2025</v>
      </c>
    </row>
    <row r="276" spans="1:10" ht="15" customHeight="1" x14ac:dyDescent="0.2">
      <c r="A276" t="s">
        <v>209</v>
      </c>
      <c r="B276" s="49">
        <v>45839</v>
      </c>
      <c r="C276">
        <v>7</v>
      </c>
      <c r="D276" s="33">
        <v>16100</v>
      </c>
      <c r="E276" t="str">
        <f>_xlfn.XLOOKUP(Quota_tbl[[#This Row],[Rep_ID]],Dim_Reps!A:A,Dim_Reps!K:K)</f>
        <v>EUR</v>
      </c>
      <c r="F276" s="33">
        <f>(_xlfn.XLOOKUP(Quota_tbl[[#This Row],[Rate_Code_Generalized]],Lookups!A:A,Lookups!B:B)*Quota_tbl[[#This Row],[Quota_Amount_USD]])</f>
        <v>16100</v>
      </c>
      <c r="G276" t="str">
        <f>_xlfn.XLOOKUP(Quota_tbl[[#This Row],[Rep_ID]],Dim_Reps!A:A,Dim_Reps!C:C)</f>
        <v>SDR / Inside Sales Rep</v>
      </c>
      <c r="H276" t="str">
        <f>_xlfn.XLOOKUP(Quota_tbl[[#This Row],[Rep_ID]],Dim_Reps!A:A,Dim_Reps!D:D)</f>
        <v>Inside Sales</v>
      </c>
      <c r="I276" t="str">
        <f>_xlfn.XLOOKUP(Quota_tbl[[#This Row],[Rep_ID]],Dim_Reps!A:A,Dim_Reps!E:E)</f>
        <v>EMEA</v>
      </c>
      <c r="J276" t="str">
        <f>_xlfn.XLOOKUP(Quota_tbl[[#This Row],[Period_Start_Date]],Dim_Date!A:A,Dim_Date!H:H)</f>
        <v>Jul 2025</v>
      </c>
    </row>
    <row r="277" spans="1:10" ht="15" customHeight="1" x14ac:dyDescent="0.2">
      <c r="A277" t="s">
        <v>209</v>
      </c>
      <c r="B277" s="49">
        <v>45870</v>
      </c>
      <c r="C277">
        <v>8</v>
      </c>
      <c r="D277" s="33">
        <v>15500</v>
      </c>
      <c r="E277" t="str">
        <f>_xlfn.XLOOKUP(Quota_tbl[[#This Row],[Rep_ID]],Dim_Reps!A:A,Dim_Reps!K:K)</f>
        <v>EUR</v>
      </c>
      <c r="F277" s="33">
        <f>(_xlfn.XLOOKUP(Quota_tbl[[#This Row],[Rate_Code_Generalized]],Lookups!A:A,Lookups!B:B)*Quota_tbl[[#This Row],[Quota_Amount_USD]])</f>
        <v>15500</v>
      </c>
      <c r="G277" t="str">
        <f>_xlfn.XLOOKUP(Quota_tbl[[#This Row],[Rep_ID]],Dim_Reps!A:A,Dim_Reps!C:C)</f>
        <v>SDR / Inside Sales Rep</v>
      </c>
      <c r="H277" t="str">
        <f>_xlfn.XLOOKUP(Quota_tbl[[#This Row],[Rep_ID]],Dim_Reps!A:A,Dim_Reps!D:D)</f>
        <v>Inside Sales</v>
      </c>
      <c r="I277" t="str">
        <f>_xlfn.XLOOKUP(Quota_tbl[[#This Row],[Rep_ID]],Dim_Reps!A:A,Dim_Reps!E:E)</f>
        <v>EMEA</v>
      </c>
      <c r="J277" t="str">
        <f>_xlfn.XLOOKUP(Quota_tbl[[#This Row],[Period_Start_Date]],Dim_Date!A:A,Dim_Date!H:H)</f>
        <v>Aug 2025</v>
      </c>
    </row>
    <row r="278" spans="1:10" ht="15" customHeight="1" x14ac:dyDescent="0.2">
      <c r="A278" t="s">
        <v>209</v>
      </c>
      <c r="B278" s="49">
        <v>45901</v>
      </c>
      <c r="C278">
        <v>9</v>
      </c>
      <c r="D278" s="33">
        <v>15800</v>
      </c>
      <c r="E278" t="str">
        <f>_xlfn.XLOOKUP(Quota_tbl[[#This Row],[Rep_ID]],Dim_Reps!A:A,Dim_Reps!K:K)</f>
        <v>EUR</v>
      </c>
      <c r="F278" s="33">
        <f>(_xlfn.XLOOKUP(Quota_tbl[[#This Row],[Rate_Code_Generalized]],Lookups!A:A,Lookups!B:B)*Quota_tbl[[#This Row],[Quota_Amount_USD]])</f>
        <v>15800</v>
      </c>
      <c r="G278" t="str">
        <f>_xlfn.XLOOKUP(Quota_tbl[[#This Row],[Rep_ID]],Dim_Reps!A:A,Dim_Reps!C:C)</f>
        <v>SDR / Inside Sales Rep</v>
      </c>
      <c r="H278" t="str">
        <f>_xlfn.XLOOKUP(Quota_tbl[[#This Row],[Rep_ID]],Dim_Reps!A:A,Dim_Reps!D:D)</f>
        <v>Inside Sales</v>
      </c>
      <c r="I278" t="str">
        <f>_xlfn.XLOOKUP(Quota_tbl[[#This Row],[Rep_ID]],Dim_Reps!A:A,Dim_Reps!E:E)</f>
        <v>EMEA</v>
      </c>
      <c r="J278" t="str">
        <f>_xlfn.XLOOKUP(Quota_tbl[[#This Row],[Period_Start_Date]],Dim_Date!A:A,Dim_Date!H:H)</f>
        <v>Sep 2025</v>
      </c>
    </row>
    <row r="279" spans="1:10" ht="15" customHeight="1" x14ac:dyDescent="0.2">
      <c r="A279" t="s">
        <v>209</v>
      </c>
      <c r="B279" s="49">
        <v>45931</v>
      </c>
      <c r="C279">
        <v>10</v>
      </c>
      <c r="D279" s="33">
        <v>15400</v>
      </c>
      <c r="E279" t="str">
        <f>_xlfn.XLOOKUP(Quota_tbl[[#This Row],[Rep_ID]],Dim_Reps!A:A,Dim_Reps!K:K)</f>
        <v>EUR</v>
      </c>
      <c r="F279" s="33">
        <f>(_xlfn.XLOOKUP(Quota_tbl[[#This Row],[Rate_Code_Generalized]],Lookups!A:A,Lookups!B:B)*Quota_tbl[[#This Row],[Quota_Amount_USD]])</f>
        <v>15400</v>
      </c>
      <c r="G279" t="str">
        <f>_xlfn.XLOOKUP(Quota_tbl[[#This Row],[Rep_ID]],Dim_Reps!A:A,Dim_Reps!C:C)</f>
        <v>SDR / Inside Sales Rep</v>
      </c>
      <c r="H279" t="str">
        <f>_xlfn.XLOOKUP(Quota_tbl[[#This Row],[Rep_ID]],Dim_Reps!A:A,Dim_Reps!D:D)</f>
        <v>Inside Sales</v>
      </c>
      <c r="I279" t="str">
        <f>_xlfn.XLOOKUP(Quota_tbl[[#This Row],[Rep_ID]],Dim_Reps!A:A,Dim_Reps!E:E)</f>
        <v>EMEA</v>
      </c>
      <c r="J279" t="str">
        <f>_xlfn.XLOOKUP(Quota_tbl[[#This Row],[Period_Start_Date]],Dim_Date!A:A,Dim_Date!H:H)</f>
        <v>Oct 2025</v>
      </c>
    </row>
    <row r="280" spans="1:10" ht="15" customHeight="1" x14ac:dyDescent="0.2">
      <c r="A280" t="s">
        <v>209</v>
      </c>
      <c r="B280" s="49">
        <v>45962</v>
      </c>
      <c r="C280">
        <v>11</v>
      </c>
      <c r="D280" s="33">
        <v>15700</v>
      </c>
      <c r="E280" t="str">
        <f>_xlfn.XLOOKUP(Quota_tbl[[#This Row],[Rep_ID]],Dim_Reps!A:A,Dim_Reps!K:K)</f>
        <v>EUR</v>
      </c>
      <c r="F280" s="33">
        <f>(_xlfn.XLOOKUP(Quota_tbl[[#This Row],[Rate_Code_Generalized]],Lookups!A:A,Lookups!B:B)*Quota_tbl[[#This Row],[Quota_Amount_USD]])</f>
        <v>15700</v>
      </c>
      <c r="G280" t="str">
        <f>_xlfn.XLOOKUP(Quota_tbl[[#This Row],[Rep_ID]],Dim_Reps!A:A,Dim_Reps!C:C)</f>
        <v>SDR / Inside Sales Rep</v>
      </c>
      <c r="H280" t="str">
        <f>_xlfn.XLOOKUP(Quota_tbl[[#This Row],[Rep_ID]],Dim_Reps!A:A,Dim_Reps!D:D)</f>
        <v>Inside Sales</v>
      </c>
      <c r="I280" t="str">
        <f>_xlfn.XLOOKUP(Quota_tbl[[#This Row],[Rep_ID]],Dim_Reps!A:A,Dim_Reps!E:E)</f>
        <v>EMEA</v>
      </c>
      <c r="J280" t="str">
        <f>_xlfn.XLOOKUP(Quota_tbl[[#This Row],[Period_Start_Date]],Dim_Date!A:A,Dim_Date!H:H)</f>
        <v>Nov 2025</v>
      </c>
    </row>
    <row r="281" spans="1:10" ht="15" customHeight="1" x14ac:dyDescent="0.2">
      <c r="A281" t="s">
        <v>209</v>
      </c>
      <c r="B281" s="49">
        <v>45992</v>
      </c>
      <c r="C281">
        <v>12</v>
      </c>
      <c r="D281" s="33">
        <v>15400</v>
      </c>
      <c r="E281" t="str">
        <f>_xlfn.XLOOKUP(Quota_tbl[[#This Row],[Rep_ID]],Dim_Reps!A:A,Dim_Reps!K:K)</f>
        <v>EUR</v>
      </c>
      <c r="F281" s="33">
        <f>(_xlfn.XLOOKUP(Quota_tbl[[#This Row],[Rate_Code_Generalized]],Lookups!A:A,Lookups!B:B)*Quota_tbl[[#This Row],[Quota_Amount_USD]])</f>
        <v>15400</v>
      </c>
      <c r="G281" t="str">
        <f>_xlfn.XLOOKUP(Quota_tbl[[#This Row],[Rep_ID]],Dim_Reps!A:A,Dim_Reps!C:C)</f>
        <v>SDR / Inside Sales Rep</v>
      </c>
      <c r="H281" t="str">
        <f>_xlfn.XLOOKUP(Quota_tbl[[#This Row],[Rep_ID]],Dim_Reps!A:A,Dim_Reps!D:D)</f>
        <v>Inside Sales</v>
      </c>
      <c r="I281" t="str">
        <f>_xlfn.XLOOKUP(Quota_tbl[[#This Row],[Rep_ID]],Dim_Reps!A:A,Dim_Reps!E:E)</f>
        <v>EMEA</v>
      </c>
      <c r="J281" t="str">
        <f>_xlfn.XLOOKUP(Quota_tbl[[#This Row],[Period_Start_Date]],Dim_Date!A:A,Dim_Date!H:H)</f>
        <v>Dec 2025</v>
      </c>
    </row>
    <row r="282" spans="1:10" ht="15" customHeight="1" x14ac:dyDescent="0.2">
      <c r="A282" t="s">
        <v>211</v>
      </c>
      <c r="B282" s="49">
        <v>45292</v>
      </c>
      <c r="C282">
        <v>5</v>
      </c>
      <c r="D282" s="33">
        <v>15500</v>
      </c>
      <c r="E282" t="str">
        <f>_xlfn.XLOOKUP(Quota_tbl[[#This Row],[Rep_ID]],Dim_Reps!A:A,Dim_Reps!K:K)</f>
        <v>EUR</v>
      </c>
      <c r="F282" s="33">
        <f>(_xlfn.XLOOKUP(Quota_tbl[[#This Row],[Rate_Code_Generalized]],Lookups!A:A,Lookups!B:B)*Quota_tbl[[#This Row],[Quota_Amount_USD]])</f>
        <v>15500</v>
      </c>
      <c r="G282" t="str">
        <f>_xlfn.XLOOKUP(Quota_tbl[[#This Row],[Rep_ID]],Dim_Reps!A:A,Dim_Reps!C:C)</f>
        <v>SDR / Inside Sales Rep</v>
      </c>
      <c r="H282" t="str">
        <f>_xlfn.XLOOKUP(Quota_tbl[[#This Row],[Rep_ID]],Dim_Reps!A:A,Dim_Reps!D:D)</f>
        <v>Inside Sales</v>
      </c>
      <c r="I282" t="str">
        <f>_xlfn.XLOOKUP(Quota_tbl[[#This Row],[Rep_ID]],Dim_Reps!A:A,Dim_Reps!E:E)</f>
        <v>EMEA</v>
      </c>
      <c r="J282" t="str">
        <f>_xlfn.XLOOKUP(Quota_tbl[[#This Row],[Period_Start_Date]],Dim_Date!A:A,Dim_Date!H:H)</f>
        <v>Jan 2024</v>
      </c>
    </row>
    <row r="283" spans="1:10" ht="15" customHeight="1" x14ac:dyDescent="0.2">
      <c r="A283" t="s">
        <v>211</v>
      </c>
      <c r="B283" s="49">
        <v>45323</v>
      </c>
      <c r="C283">
        <v>6</v>
      </c>
      <c r="D283" s="33">
        <v>15800</v>
      </c>
      <c r="E283" t="str">
        <f>_xlfn.XLOOKUP(Quota_tbl[[#This Row],[Rep_ID]],Dim_Reps!A:A,Dim_Reps!K:K)</f>
        <v>EUR</v>
      </c>
      <c r="F283" s="33">
        <f>(_xlfn.XLOOKUP(Quota_tbl[[#This Row],[Rate_Code_Generalized]],Lookups!A:A,Lookups!B:B)*Quota_tbl[[#This Row],[Quota_Amount_USD]])</f>
        <v>15800</v>
      </c>
      <c r="G283" t="str">
        <f>_xlfn.XLOOKUP(Quota_tbl[[#This Row],[Rep_ID]],Dim_Reps!A:A,Dim_Reps!C:C)</f>
        <v>SDR / Inside Sales Rep</v>
      </c>
      <c r="H283" t="str">
        <f>_xlfn.XLOOKUP(Quota_tbl[[#This Row],[Rep_ID]],Dim_Reps!A:A,Dim_Reps!D:D)</f>
        <v>Inside Sales</v>
      </c>
      <c r="I283" t="str">
        <f>_xlfn.XLOOKUP(Quota_tbl[[#This Row],[Rep_ID]],Dim_Reps!A:A,Dim_Reps!E:E)</f>
        <v>EMEA</v>
      </c>
      <c r="J283" t="str">
        <f>_xlfn.XLOOKUP(Quota_tbl[[#This Row],[Period_Start_Date]],Dim_Date!A:A,Dim_Date!H:H)</f>
        <v>Feb 2024</v>
      </c>
    </row>
    <row r="284" spans="1:10" ht="15" customHeight="1" x14ac:dyDescent="0.2">
      <c r="A284" t="s">
        <v>211</v>
      </c>
      <c r="B284" s="49">
        <v>45352</v>
      </c>
      <c r="C284">
        <v>7</v>
      </c>
      <c r="D284" s="33">
        <v>15100</v>
      </c>
      <c r="E284" t="str">
        <f>_xlfn.XLOOKUP(Quota_tbl[[#This Row],[Rep_ID]],Dim_Reps!A:A,Dim_Reps!K:K)</f>
        <v>EUR</v>
      </c>
      <c r="F284" s="33">
        <f>(_xlfn.XLOOKUP(Quota_tbl[[#This Row],[Rate_Code_Generalized]],Lookups!A:A,Lookups!B:B)*Quota_tbl[[#This Row],[Quota_Amount_USD]])</f>
        <v>15100</v>
      </c>
      <c r="G284" t="str">
        <f>_xlfn.XLOOKUP(Quota_tbl[[#This Row],[Rep_ID]],Dim_Reps!A:A,Dim_Reps!C:C)</f>
        <v>SDR / Inside Sales Rep</v>
      </c>
      <c r="H284" t="str">
        <f>_xlfn.XLOOKUP(Quota_tbl[[#This Row],[Rep_ID]],Dim_Reps!A:A,Dim_Reps!D:D)</f>
        <v>Inside Sales</v>
      </c>
      <c r="I284" t="str">
        <f>_xlfn.XLOOKUP(Quota_tbl[[#This Row],[Rep_ID]],Dim_Reps!A:A,Dim_Reps!E:E)</f>
        <v>EMEA</v>
      </c>
      <c r="J284" t="str">
        <f>_xlfn.XLOOKUP(Quota_tbl[[#This Row],[Period_Start_Date]],Dim_Date!A:A,Dim_Date!H:H)</f>
        <v>Mar 2024</v>
      </c>
    </row>
    <row r="285" spans="1:10" ht="15" customHeight="1" x14ac:dyDescent="0.2">
      <c r="A285" t="s">
        <v>211</v>
      </c>
      <c r="B285" s="49">
        <v>45383</v>
      </c>
      <c r="C285">
        <v>8</v>
      </c>
      <c r="D285" s="33">
        <v>16500</v>
      </c>
      <c r="E285" t="str">
        <f>_xlfn.XLOOKUP(Quota_tbl[[#This Row],[Rep_ID]],Dim_Reps!A:A,Dim_Reps!K:K)</f>
        <v>EUR</v>
      </c>
      <c r="F285" s="33">
        <f>(_xlfn.XLOOKUP(Quota_tbl[[#This Row],[Rate_Code_Generalized]],Lookups!A:A,Lookups!B:B)*Quota_tbl[[#This Row],[Quota_Amount_USD]])</f>
        <v>16500</v>
      </c>
      <c r="G285" t="str">
        <f>_xlfn.XLOOKUP(Quota_tbl[[#This Row],[Rep_ID]],Dim_Reps!A:A,Dim_Reps!C:C)</f>
        <v>SDR / Inside Sales Rep</v>
      </c>
      <c r="H285" t="str">
        <f>_xlfn.XLOOKUP(Quota_tbl[[#This Row],[Rep_ID]],Dim_Reps!A:A,Dim_Reps!D:D)</f>
        <v>Inside Sales</v>
      </c>
      <c r="I285" t="str">
        <f>_xlfn.XLOOKUP(Quota_tbl[[#This Row],[Rep_ID]],Dim_Reps!A:A,Dim_Reps!E:E)</f>
        <v>EMEA</v>
      </c>
      <c r="J285" t="str">
        <f>_xlfn.XLOOKUP(Quota_tbl[[#This Row],[Period_Start_Date]],Dim_Date!A:A,Dim_Date!H:H)</f>
        <v>Apr 2024</v>
      </c>
    </row>
    <row r="286" spans="1:10" ht="15" customHeight="1" x14ac:dyDescent="0.2">
      <c r="A286" t="s">
        <v>211</v>
      </c>
      <c r="B286" s="49">
        <v>45413</v>
      </c>
      <c r="C286">
        <v>9</v>
      </c>
      <c r="D286" s="33">
        <v>15000</v>
      </c>
      <c r="E286" t="str">
        <f>_xlfn.XLOOKUP(Quota_tbl[[#This Row],[Rep_ID]],Dim_Reps!A:A,Dim_Reps!K:K)</f>
        <v>EUR</v>
      </c>
      <c r="F286" s="33">
        <f>(_xlfn.XLOOKUP(Quota_tbl[[#This Row],[Rate_Code_Generalized]],Lookups!A:A,Lookups!B:B)*Quota_tbl[[#This Row],[Quota_Amount_USD]])</f>
        <v>15000</v>
      </c>
      <c r="G286" t="str">
        <f>_xlfn.XLOOKUP(Quota_tbl[[#This Row],[Rep_ID]],Dim_Reps!A:A,Dim_Reps!C:C)</f>
        <v>SDR / Inside Sales Rep</v>
      </c>
      <c r="H286" t="str">
        <f>_xlfn.XLOOKUP(Quota_tbl[[#This Row],[Rep_ID]],Dim_Reps!A:A,Dim_Reps!D:D)</f>
        <v>Inside Sales</v>
      </c>
      <c r="I286" t="str">
        <f>_xlfn.XLOOKUP(Quota_tbl[[#This Row],[Rep_ID]],Dim_Reps!A:A,Dim_Reps!E:E)</f>
        <v>EMEA</v>
      </c>
      <c r="J286" t="str">
        <f>_xlfn.XLOOKUP(Quota_tbl[[#This Row],[Period_Start_Date]],Dim_Date!A:A,Dim_Date!H:H)</f>
        <v>May 2024</v>
      </c>
    </row>
    <row r="287" spans="1:10" ht="15" customHeight="1" x14ac:dyDescent="0.2">
      <c r="A287" t="s">
        <v>211</v>
      </c>
      <c r="B287" s="49">
        <v>45444</v>
      </c>
      <c r="C287">
        <v>10</v>
      </c>
      <c r="D287" s="33">
        <v>14900</v>
      </c>
      <c r="E287" t="str">
        <f>_xlfn.XLOOKUP(Quota_tbl[[#This Row],[Rep_ID]],Dim_Reps!A:A,Dim_Reps!K:K)</f>
        <v>EUR</v>
      </c>
      <c r="F287" s="33">
        <f>(_xlfn.XLOOKUP(Quota_tbl[[#This Row],[Rate_Code_Generalized]],Lookups!A:A,Lookups!B:B)*Quota_tbl[[#This Row],[Quota_Amount_USD]])</f>
        <v>14900</v>
      </c>
      <c r="G287" t="str">
        <f>_xlfn.XLOOKUP(Quota_tbl[[#This Row],[Rep_ID]],Dim_Reps!A:A,Dim_Reps!C:C)</f>
        <v>SDR / Inside Sales Rep</v>
      </c>
      <c r="H287" t="str">
        <f>_xlfn.XLOOKUP(Quota_tbl[[#This Row],[Rep_ID]],Dim_Reps!A:A,Dim_Reps!D:D)</f>
        <v>Inside Sales</v>
      </c>
      <c r="I287" t="str">
        <f>_xlfn.XLOOKUP(Quota_tbl[[#This Row],[Rep_ID]],Dim_Reps!A:A,Dim_Reps!E:E)</f>
        <v>EMEA</v>
      </c>
      <c r="J287" t="str">
        <f>_xlfn.XLOOKUP(Quota_tbl[[#This Row],[Period_Start_Date]],Dim_Date!A:A,Dim_Date!H:H)</f>
        <v>Jun 2024</v>
      </c>
    </row>
    <row r="288" spans="1:10" ht="15" customHeight="1" x14ac:dyDescent="0.2">
      <c r="A288" t="s">
        <v>211</v>
      </c>
      <c r="B288" s="49">
        <v>45474</v>
      </c>
      <c r="C288">
        <v>11</v>
      </c>
      <c r="D288" s="33">
        <v>16000</v>
      </c>
      <c r="E288" t="str">
        <f>_xlfn.XLOOKUP(Quota_tbl[[#This Row],[Rep_ID]],Dim_Reps!A:A,Dim_Reps!K:K)</f>
        <v>EUR</v>
      </c>
      <c r="F288" s="33">
        <f>(_xlfn.XLOOKUP(Quota_tbl[[#This Row],[Rate_Code_Generalized]],Lookups!A:A,Lookups!B:B)*Quota_tbl[[#This Row],[Quota_Amount_USD]])</f>
        <v>16000</v>
      </c>
      <c r="G288" t="str">
        <f>_xlfn.XLOOKUP(Quota_tbl[[#This Row],[Rep_ID]],Dim_Reps!A:A,Dim_Reps!C:C)</f>
        <v>SDR / Inside Sales Rep</v>
      </c>
      <c r="H288" t="str">
        <f>_xlfn.XLOOKUP(Quota_tbl[[#This Row],[Rep_ID]],Dim_Reps!A:A,Dim_Reps!D:D)</f>
        <v>Inside Sales</v>
      </c>
      <c r="I288" t="str">
        <f>_xlfn.XLOOKUP(Quota_tbl[[#This Row],[Rep_ID]],Dim_Reps!A:A,Dim_Reps!E:E)</f>
        <v>EMEA</v>
      </c>
      <c r="J288" t="str">
        <f>_xlfn.XLOOKUP(Quota_tbl[[#This Row],[Period_Start_Date]],Dim_Date!A:A,Dim_Date!H:H)</f>
        <v>Jul 2024</v>
      </c>
    </row>
    <row r="289" spans="1:10" ht="15" customHeight="1" x14ac:dyDescent="0.2">
      <c r="A289" t="s">
        <v>211</v>
      </c>
      <c r="B289" s="49">
        <v>45505</v>
      </c>
      <c r="C289">
        <v>12</v>
      </c>
      <c r="D289" s="33">
        <v>15900</v>
      </c>
      <c r="E289" t="str">
        <f>_xlfn.XLOOKUP(Quota_tbl[[#This Row],[Rep_ID]],Dim_Reps!A:A,Dim_Reps!K:K)</f>
        <v>EUR</v>
      </c>
      <c r="F289" s="33">
        <f>(_xlfn.XLOOKUP(Quota_tbl[[#This Row],[Rate_Code_Generalized]],Lookups!A:A,Lookups!B:B)*Quota_tbl[[#This Row],[Quota_Amount_USD]])</f>
        <v>15900</v>
      </c>
      <c r="G289" t="str">
        <f>_xlfn.XLOOKUP(Quota_tbl[[#This Row],[Rep_ID]],Dim_Reps!A:A,Dim_Reps!C:C)</f>
        <v>SDR / Inside Sales Rep</v>
      </c>
      <c r="H289" t="str">
        <f>_xlfn.XLOOKUP(Quota_tbl[[#This Row],[Rep_ID]],Dim_Reps!A:A,Dim_Reps!D:D)</f>
        <v>Inside Sales</v>
      </c>
      <c r="I289" t="str">
        <f>_xlfn.XLOOKUP(Quota_tbl[[#This Row],[Rep_ID]],Dim_Reps!A:A,Dim_Reps!E:E)</f>
        <v>EMEA</v>
      </c>
      <c r="J289" t="str">
        <f>_xlfn.XLOOKUP(Quota_tbl[[#This Row],[Period_Start_Date]],Dim_Date!A:A,Dim_Date!H:H)</f>
        <v>Aug 2024</v>
      </c>
    </row>
    <row r="290" spans="1:10" ht="15" customHeight="1" x14ac:dyDescent="0.2">
      <c r="A290" t="s">
        <v>211</v>
      </c>
      <c r="B290" s="49">
        <v>45536</v>
      </c>
      <c r="C290">
        <v>13</v>
      </c>
      <c r="D290" s="33">
        <v>15800</v>
      </c>
      <c r="E290" t="str">
        <f>_xlfn.XLOOKUP(Quota_tbl[[#This Row],[Rep_ID]],Dim_Reps!A:A,Dim_Reps!K:K)</f>
        <v>EUR</v>
      </c>
      <c r="F290" s="33">
        <f>(_xlfn.XLOOKUP(Quota_tbl[[#This Row],[Rate_Code_Generalized]],Lookups!A:A,Lookups!B:B)*Quota_tbl[[#This Row],[Quota_Amount_USD]])</f>
        <v>15800</v>
      </c>
      <c r="G290" t="str">
        <f>_xlfn.XLOOKUP(Quota_tbl[[#This Row],[Rep_ID]],Dim_Reps!A:A,Dim_Reps!C:C)</f>
        <v>SDR / Inside Sales Rep</v>
      </c>
      <c r="H290" t="str">
        <f>_xlfn.XLOOKUP(Quota_tbl[[#This Row],[Rep_ID]],Dim_Reps!A:A,Dim_Reps!D:D)</f>
        <v>Inside Sales</v>
      </c>
      <c r="I290" t="str">
        <f>_xlfn.XLOOKUP(Quota_tbl[[#This Row],[Rep_ID]],Dim_Reps!A:A,Dim_Reps!E:E)</f>
        <v>EMEA</v>
      </c>
      <c r="J290" t="str">
        <f>_xlfn.XLOOKUP(Quota_tbl[[#This Row],[Period_Start_Date]],Dim_Date!A:A,Dim_Date!H:H)</f>
        <v>Sep 2024</v>
      </c>
    </row>
    <row r="291" spans="1:10" ht="15" customHeight="1" x14ac:dyDescent="0.2">
      <c r="A291" t="s">
        <v>211</v>
      </c>
      <c r="B291" s="49">
        <v>45566</v>
      </c>
      <c r="C291">
        <v>14</v>
      </c>
      <c r="D291" s="33">
        <v>15800</v>
      </c>
      <c r="E291" t="str">
        <f>_xlfn.XLOOKUP(Quota_tbl[[#This Row],[Rep_ID]],Dim_Reps!A:A,Dim_Reps!K:K)</f>
        <v>EUR</v>
      </c>
      <c r="F291" s="33">
        <f>(_xlfn.XLOOKUP(Quota_tbl[[#This Row],[Rate_Code_Generalized]],Lookups!A:A,Lookups!B:B)*Quota_tbl[[#This Row],[Quota_Amount_USD]])</f>
        <v>15800</v>
      </c>
      <c r="G291" t="str">
        <f>_xlfn.XLOOKUP(Quota_tbl[[#This Row],[Rep_ID]],Dim_Reps!A:A,Dim_Reps!C:C)</f>
        <v>SDR / Inside Sales Rep</v>
      </c>
      <c r="H291" t="str">
        <f>_xlfn.XLOOKUP(Quota_tbl[[#This Row],[Rep_ID]],Dim_Reps!A:A,Dim_Reps!D:D)</f>
        <v>Inside Sales</v>
      </c>
      <c r="I291" t="str">
        <f>_xlfn.XLOOKUP(Quota_tbl[[#This Row],[Rep_ID]],Dim_Reps!A:A,Dim_Reps!E:E)</f>
        <v>EMEA</v>
      </c>
      <c r="J291" t="str">
        <f>_xlfn.XLOOKUP(Quota_tbl[[#This Row],[Period_Start_Date]],Dim_Date!A:A,Dim_Date!H:H)</f>
        <v>Oct 2024</v>
      </c>
    </row>
    <row r="292" spans="1:10" ht="15" customHeight="1" x14ac:dyDescent="0.2">
      <c r="A292" t="s">
        <v>211</v>
      </c>
      <c r="B292" s="49">
        <v>45597</v>
      </c>
      <c r="C292">
        <v>15</v>
      </c>
      <c r="D292" s="33">
        <v>15500</v>
      </c>
      <c r="E292" t="str">
        <f>_xlfn.XLOOKUP(Quota_tbl[[#This Row],[Rep_ID]],Dim_Reps!A:A,Dim_Reps!K:K)</f>
        <v>EUR</v>
      </c>
      <c r="F292" s="33">
        <f>(_xlfn.XLOOKUP(Quota_tbl[[#This Row],[Rate_Code_Generalized]],Lookups!A:A,Lookups!B:B)*Quota_tbl[[#This Row],[Quota_Amount_USD]])</f>
        <v>15500</v>
      </c>
      <c r="G292" t="str">
        <f>_xlfn.XLOOKUP(Quota_tbl[[#This Row],[Rep_ID]],Dim_Reps!A:A,Dim_Reps!C:C)</f>
        <v>SDR / Inside Sales Rep</v>
      </c>
      <c r="H292" t="str">
        <f>_xlfn.XLOOKUP(Quota_tbl[[#This Row],[Rep_ID]],Dim_Reps!A:A,Dim_Reps!D:D)</f>
        <v>Inside Sales</v>
      </c>
      <c r="I292" t="str">
        <f>_xlfn.XLOOKUP(Quota_tbl[[#This Row],[Rep_ID]],Dim_Reps!A:A,Dim_Reps!E:E)</f>
        <v>EMEA</v>
      </c>
      <c r="J292" t="str">
        <f>_xlfn.XLOOKUP(Quota_tbl[[#This Row],[Period_Start_Date]],Dim_Date!A:A,Dim_Date!H:H)</f>
        <v>Nov 2024</v>
      </c>
    </row>
    <row r="293" spans="1:10" ht="15" customHeight="1" x14ac:dyDescent="0.2">
      <c r="A293" t="s">
        <v>211</v>
      </c>
      <c r="B293" s="49">
        <v>45627</v>
      </c>
      <c r="C293">
        <v>16</v>
      </c>
      <c r="D293" s="33">
        <v>15100</v>
      </c>
      <c r="E293" t="str">
        <f>_xlfn.XLOOKUP(Quota_tbl[[#This Row],[Rep_ID]],Dim_Reps!A:A,Dim_Reps!K:K)</f>
        <v>EUR</v>
      </c>
      <c r="F293" s="33">
        <f>(_xlfn.XLOOKUP(Quota_tbl[[#This Row],[Rate_Code_Generalized]],Lookups!A:A,Lookups!B:B)*Quota_tbl[[#This Row],[Quota_Amount_USD]])</f>
        <v>15100</v>
      </c>
      <c r="G293" t="str">
        <f>_xlfn.XLOOKUP(Quota_tbl[[#This Row],[Rep_ID]],Dim_Reps!A:A,Dim_Reps!C:C)</f>
        <v>SDR / Inside Sales Rep</v>
      </c>
      <c r="H293" t="str">
        <f>_xlfn.XLOOKUP(Quota_tbl[[#This Row],[Rep_ID]],Dim_Reps!A:A,Dim_Reps!D:D)</f>
        <v>Inside Sales</v>
      </c>
      <c r="I293" t="str">
        <f>_xlfn.XLOOKUP(Quota_tbl[[#This Row],[Rep_ID]],Dim_Reps!A:A,Dim_Reps!E:E)</f>
        <v>EMEA</v>
      </c>
      <c r="J293" t="str">
        <f>_xlfn.XLOOKUP(Quota_tbl[[#This Row],[Period_Start_Date]],Dim_Date!A:A,Dim_Date!H:H)</f>
        <v>Dec 2024</v>
      </c>
    </row>
    <row r="294" spans="1:10" ht="15" customHeight="1" x14ac:dyDescent="0.2">
      <c r="A294" t="s">
        <v>211</v>
      </c>
      <c r="B294" s="49">
        <v>45658</v>
      </c>
      <c r="C294">
        <v>17</v>
      </c>
      <c r="D294" s="33">
        <v>15500</v>
      </c>
      <c r="E294" t="str">
        <f>_xlfn.XLOOKUP(Quota_tbl[[#This Row],[Rep_ID]],Dim_Reps!A:A,Dim_Reps!K:K)</f>
        <v>EUR</v>
      </c>
      <c r="F294" s="33">
        <f>(_xlfn.XLOOKUP(Quota_tbl[[#This Row],[Rate_Code_Generalized]],Lookups!A:A,Lookups!B:B)*Quota_tbl[[#This Row],[Quota_Amount_USD]])</f>
        <v>15500</v>
      </c>
      <c r="G294" t="str">
        <f>_xlfn.XLOOKUP(Quota_tbl[[#This Row],[Rep_ID]],Dim_Reps!A:A,Dim_Reps!C:C)</f>
        <v>SDR / Inside Sales Rep</v>
      </c>
      <c r="H294" t="str">
        <f>_xlfn.XLOOKUP(Quota_tbl[[#This Row],[Rep_ID]],Dim_Reps!A:A,Dim_Reps!D:D)</f>
        <v>Inside Sales</v>
      </c>
      <c r="I294" t="str">
        <f>_xlfn.XLOOKUP(Quota_tbl[[#This Row],[Rep_ID]],Dim_Reps!A:A,Dim_Reps!E:E)</f>
        <v>EMEA</v>
      </c>
      <c r="J294" t="str">
        <f>_xlfn.XLOOKUP(Quota_tbl[[#This Row],[Period_Start_Date]],Dim_Date!A:A,Dim_Date!H:H)</f>
        <v>Jan 2025</v>
      </c>
    </row>
    <row r="295" spans="1:10" ht="15" customHeight="1" x14ac:dyDescent="0.2">
      <c r="A295" t="s">
        <v>211</v>
      </c>
      <c r="B295" s="49">
        <v>45689</v>
      </c>
      <c r="C295">
        <v>18</v>
      </c>
      <c r="D295" s="33">
        <v>15200</v>
      </c>
      <c r="E295" t="str">
        <f>_xlfn.XLOOKUP(Quota_tbl[[#This Row],[Rep_ID]],Dim_Reps!A:A,Dim_Reps!K:K)</f>
        <v>EUR</v>
      </c>
      <c r="F295" s="33">
        <f>(_xlfn.XLOOKUP(Quota_tbl[[#This Row],[Rate_Code_Generalized]],Lookups!A:A,Lookups!B:B)*Quota_tbl[[#This Row],[Quota_Amount_USD]])</f>
        <v>15200</v>
      </c>
      <c r="G295" t="str">
        <f>_xlfn.XLOOKUP(Quota_tbl[[#This Row],[Rep_ID]],Dim_Reps!A:A,Dim_Reps!C:C)</f>
        <v>SDR / Inside Sales Rep</v>
      </c>
      <c r="H295" t="str">
        <f>_xlfn.XLOOKUP(Quota_tbl[[#This Row],[Rep_ID]],Dim_Reps!A:A,Dim_Reps!D:D)</f>
        <v>Inside Sales</v>
      </c>
      <c r="I295" t="str">
        <f>_xlfn.XLOOKUP(Quota_tbl[[#This Row],[Rep_ID]],Dim_Reps!A:A,Dim_Reps!E:E)</f>
        <v>EMEA</v>
      </c>
      <c r="J295" t="str">
        <f>_xlfn.XLOOKUP(Quota_tbl[[#This Row],[Period_Start_Date]],Dim_Date!A:A,Dim_Date!H:H)</f>
        <v>Feb 2025</v>
      </c>
    </row>
    <row r="296" spans="1:10" ht="15" customHeight="1" x14ac:dyDescent="0.2">
      <c r="A296" t="s">
        <v>211</v>
      </c>
      <c r="B296" s="49">
        <v>45717</v>
      </c>
      <c r="C296">
        <v>19</v>
      </c>
      <c r="D296" s="33">
        <v>16000</v>
      </c>
      <c r="E296" t="str">
        <f>_xlfn.XLOOKUP(Quota_tbl[[#This Row],[Rep_ID]],Dim_Reps!A:A,Dim_Reps!K:K)</f>
        <v>EUR</v>
      </c>
      <c r="F296" s="33">
        <f>(_xlfn.XLOOKUP(Quota_tbl[[#This Row],[Rate_Code_Generalized]],Lookups!A:A,Lookups!B:B)*Quota_tbl[[#This Row],[Quota_Amount_USD]])</f>
        <v>16000</v>
      </c>
      <c r="G296" t="str">
        <f>_xlfn.XLOOKUP(Quota_tbl[[#This Row],[Rep_ID]],Dim_Reps!A:A,Dim_Reps!C:C)</f>
        <v>SDR / Inside Sales Rep</v>
      </c>
      <c r="H296" t="str">
        <f>_xlfn.XLOOKUP(Quota_tbl[[#This Row],[Rep_ID]],Dim_Reps!A:A,Dim_Reps!D:D)</f>
        <v>Inside Sales</v>
      </c>
      <c r="I296" t="str">
        <f>_xlfn.XLOOKUP(Quota_tbl[[#This Row],[Rep_ID]],Dim_Reps!A:A,Dim_Reps!E:E)</f>
        <v>EMEA</v>
      </c>
      <c r="J296" t="str">
        <f>_xlfn.XLOOKUP(Quota_tbl[[#This Row],[Period_Start_Date]],Dim_Date!A:A,Dim_Date!H:H)</f>
        <v>Mar 2025</v>
      </c>
    </row>
    <row r="297" spans="1:10" ht="15" customHeight="1" x14ac:dyDescent="0.2">
      <c r="A297" t="s">
        <v>211</v>
      </c>
      <c r="B297" s="49">
        <v>45748</v>
      </c>
      <c r="C297">
        <v>20</v>
      </c>
      <c r="D297" s="33">
        <v>15400</v>
      </c>
      <c r="E297" t="str">
        <f>_xlfn.XLOOKUP(Quota_tbl[[#This Row],[Rep_ID]],Dim_Reps!A:A,Dim_Reps!K:K)</f>
        <v>EUR</v>
      </c>
      <c r="F297" s="33">
        <f>(_xlfn.XLOOKUP(Quota_tbl[[#This Row],[Rate_Code_Generalized]],Lookups!A:A,Lookups!B:B)*Quota_tbl[[#This Row],[Quota_Amount_USD]])</f>
        <v>15400</v>
      </c>
      <c r="G297" t="str">
        <f>_xlfn.XLOOKUP(Quota_tbl[[#This Row],[Rep_ID]],Dim_Reps!A:A,Dim_Reps!C:C)</f>
        <v>SDR / Inside Sales Rep</v>
      </c>
      <c r="H297" t="str">
        <f>_xlfn.XLOOKUP(Quota_tbl[[#This Row],[Rep_ID]],Dim_Reps!A:A,Dim_Reps!D:D)</f>
        <v>Inside Sales</v>
      </c>
      <c r="I297" t="str">
        <f>_xlfn.XLOOKUP(Quota_tbl[[#This Row],[Rep_ID]],Dim_Reps!A:A,Dim_Reps!E:E)</f>
        <v>EMEA</v>
      </c>
      <c r="J297" t="str">
        <f>_xlfn.XLOOKUP(Quota_tbl[[#This Row],[Period_Start_Date]],Dim_Date!A:A,Dim_Date!H:H)</f>
        <v>Apr 2025</v>
      </c>
    </row>
    <row r="298" spans="1:10" ht="15" customHeight="1" x14ac:dyDescent="0.2">
      <c r="A298" t="s">
        <v>211</v>
      </c>
      <c r="B298" s="49">
        <v>45778</v>
      </c>
      <c r="C298">
        <v>21</v>
      </c>
      <c r="D298" s="33">
        <v>15100</v>
      </c>
      <c r="E298" t="str">
        <f>_xlfn.XLOOKUP(Quota_tbl[[#This Row],[Rep_ID]],Dim_Reps!A:A,Dim_Reps!K:K)</f>
        <v>EUR</v>
      </c>
      <c r="F298" s="33">
        <f>(_xlfn.XLOOKUP(Quota_tbl[[#This Row],[Rate_Code_Generalized]],Lookups!A:A,Lookups!B:B)*Quota_tbl[[#This Row],[Quota_Amount_USD]])</f>
        <v>15100</v>
      </c>
      <c r="G298" t="str">
        <f>_xlfn.XLOOKUP(Quota_tbl[[#This Row],[Rep_ID]],Dim_Reps!A:A,Dim_Reps!C:C)</f>
        <v>SDR / Inside Sales Rep</v>
      </c>
      <c r="H298" t="str">
        <f>_xlfn.XLOOKUP(Quota_tbl[[#This Row],[Rep_ID]],Dim_Reps!A:A,Dim_Reps!D:D)</f>
        <v>Inside Sales</v>
      </c>
      <c r="I298" t="str">
        <f>_xlfn.XLOOKUP(Quota_tbl[[#This Row],[Rep_ID]],Dim_Reps!A:A,Dim_Reps!E:E)</f>
        <v>EMEA</v>
      </c>
      <c r="J298" t="str">
        <f>_xlfn.XLOOKUP(Quota_tbl[[#This Row],[Period_Start_Date]],Dim_Date!A:A,Dim_Date!H:H)</f>
        <v>May 2025</v>
      </c>
    </row>
    <row r="299" spans="1:10" ht="15" customHeight="1" x14ac:dyDescent="0.2">
      <c r="A299" t="s">
        <v>211</v>
      </c>
      <c r="B299" s="49">
        <v>45809</v>
      </c>
      <c r="C299">
        <v>22</v>
      </c>
      <c r="D299" s="33">
        <v>15400</v>
      </c>
      <c r="E299" t="str">
        <f>_xlfn.XLOOKUP(Quota_tbl[[#This Row],[Rep_ID]],Dim_Reps!A:A,Dim_Reps!K:K)</f>
        <v>EUR</v>
      </c>
      <c r="F299" s="33">
        <f>(_xlfn.XLOOKUP(Quota_tbl[[#This Row],[Rate_Code_Generalized]],Lookups!A:A,Lookups!B:B)*Quota_tbl[[#This Row],[Quota_Amount_USD]])</f>
        <v>15400</v>
      </c>
      <c r="G299" t="str">
        <f>_xlfn.XLOOKUP(Quota_tbl[[#This Row],[Rep_ID]],Dim_Reps!A:A,Dim_Reps!C:C)</f>
        <v>SDR / Inside Sales Rep</v>
      </c>
      <c r="H299" t="str">
        <f>_xlfn.XLOOKUP(Quota_tbl[[#This Row],[Rep_ID]],Dim_Reps!A:A,Dim_Reps!D:D)</f>
        <v>Inside Sales</v>
      </c>
      <c r="I299" t="str">
        <f>_xlfn.XLOOKUP(Quota_tbl[[#This Row],[Rep_ID]],Dim_Reps!A:A,Dim_Reps!E:E)</f>
        <v>EMEA</v>
      </c>
      <c r="J299" t="str">
        <f>_xlfn.XLOOKUP(Quota_tbl[[#This Row],[Period_Start_Date]],Dim_Date!A:A,Dim_Date!H:H)</f>
        <v>Jun 2025</v>
      </c>
    </row>
    <row r="300" spans="1:10" ht="15" customHeight="1" x14ac:dyDescent="0.2">
      <c r="A300" t="s">
        <v>211</v>
      </c>
      <c r="B300" s="49">
        <v>45839</v>
      </c>
      <c r="C300">
        <v>23</v>
      </c>
      <c r="D300" s="33">
        <v>15700</v>
      </c>
      <c r="E300" t="str">
        <f>_xlfn.XLOOKUP(Quota_tbl[[#This Row],[Rep_ID]],Dim_Reps!A:A,Dim_Reps!K:K)</f>
        <v>EUR</v>
      </c>
      <c r="F300" s="33">
        <f>(_xlfn.XLOOKUP(Quota_tbl[[#This Row],[Rate_Code_Generalized]],Lookups!A:A,Lookups!B:B)*Quota_tbl[[#This Row],[Quota_Amount_USD]])</f>
        <v>15700</v>
      </c>
      <c r="G300" t="str">
        <f>_xlfn.XLOOKUP(Quota_tbl[[#This Row],[Rep_ID]],Dim_Reps!A:A,Dim_Reps!C:C)</f>
        <v>SDR / Inside Sales Rep</v>
      </c>
      <c r="H300" t="str">
        <f>_xlfn.XLOOKUP(Quota_tbl[[#This Row],[Rep_ID]],Dim_Reps!A:A,Dim_Reps!D:D)</f>
        <v>Inside Sales</v>
      </c>
      <c r="I300" t="str">
        <f>_xlfn.XLOOKUP(Quota_tbl[[#This Row],[Rep_ID]],Dim_Reps!A:A,Dim_Reps!E:E)</f>
        <v>EMEA</v>
      </c>
      <c r="J300" t="str">
        <f>_xlfn.XLOOKUP(Quota_tbl[[#This Row],[Period_Start_Date]],Dim_Date!A:A,Dim_Date!H:H)</f>
        <v>Jul 2025</v>
      </c>
    </row>
    <row r="301" spans="1:10" ht="15" customHeight="1" x14ac:dyDescent="0.2">
      <c r="A301" t="s">
        <v>211</v>
      </c>
      <c r="B301" s="49">
        <v>45870</v>
      </c>
      <c r="C301">
        <v>24</v>
      </c>
      <c r="D301" s="33">
        <v>15200</v>
      </c>
      <c r="E301" t="str">
        <f>_xlfn.XLOOKUP(Quota_tbl[[#This Row],[Rep_ID]],Dim_Reps!A:A,Dim_Reps!K:K)</f>
        <v>EUR</v>
      </c>
      <c r="F301" s="33">
        <f>(_xlfn.XLOOKUP(Quota_tbl[[#This Row],[Rate_Code_Generalized]],Lookups!A:A,Lookups!B:B)*Quota_tbl[[#This Row],[Quota_Amount_USD]])</f>
        <v>15200</v>
      </c>
      <c r="G301" t="str">
        <f>_xlfn.XLOOKUP(Quota_tbl[[#This Row],[Rep_ID]],Dim_Reps!A:A,Dim_Reps!C:C)</f>
        <v>SDR / Inside Sales Rep</v>
      </c>
      <c r="H301" t="str">
        <f>_xlfn.XLOOKUP(Quota_tbl[[#This Row],[Rep_ID]],Dim_Reps!A:A,Dim_Reps!D:D)</f>
        <v>Inside Sales</v>
      </c>
      <c r="I301" t="str">
        <f>_xlfn.XLOOKUP(Quota_tbl[[#This Row],[Rep_ID]],Dim_Reps!A:A,Dim_Reps!E:E)</f>
        <v>EMEA</v>
      </c>
      <c r="J301" t="str">
        <f>_xlfn.XLOOKUP(Quota_tbl[[#This Row],[Period_Start_Date]],Dim_Date!A:A,Dim_Date!H:H)</f>
        <v>Aug 2025</v>
      </c>
    </row>
    <row r="302" spans="1:10" ht="15" customHeight="1" x14ac:dyDescent="0.2">
      <c r="A302" t="s">
        <v>211</v>
      </c>
      <c r="B302" s="49">
        <v>45901</v>
      </c>
      <c r="C302">
        <v>25</v>
      </c>
      <c r="D302" s="33">
        <v>15100</v>
      </c>
      <c r="E302" t="str">
        <f>_xlfn.XLOOKUP(Quota_tbl[[#This Row],[Rep_ID]],Dim_Reps!A:A,Dim_Reps!K:K)</f>
        <v>EUR</v>
      </c>
      <c r="F302" s="33">
        <f>(_xlfn.XLOOKUP(Quota_tbl[[#This Row],[Rate_Code_Generalized]],Lookups!A:A,Lookups!B:B)*Quota_tbl[[#This Row],[Quota_Amount_USD]])</f>
        <v>15100</v>
      </c>
      <c r="G302" t="str">
        <f>_xlfn.XLOOKUP(Quota_tbl[[#This Row],[Rep_ID]],Dim_Reps!A:A,Dim_Reps!C:C)</f>
        <v>SDR / Inside Sales Rep</v>
      </c>
      <c r="H302" t="str">
        <f>_xlfn.XLOOKUP(Quota_tbl[[#This Row],[Rep_ID]],Dim_Reps!A:A,Dim_Reps!D:D)</f>
        <v>Inside Sales</v>
      </c>
      <c r="I302" t="str">
        <f>_xlfn.XLOOKUP(Quota_tbl[[#This Row],[Rep_ID]],Dim_Reps!A:A,Dim_Reps!E:E)</f>
        <v>EMEA</v>
      </c>
      <c r="J302" t="str">
        <f>_xlfn.XLOOKUP(Quota_tbl[[#This Row],[Period_Start_Date]],Dim_Date!A:A,Dim_Date!H:H)</f>
        <v>Sep 2025</v>
      </c>
    </row>
    <row r="303" spans="1:10" ht="15" customHeight="1" x14ac:dyDescent="0.2">
      <c r="A303" t="s">
        <v>211</v>
      </c>
      <c r="B303" s="49">
        <v>45931</v>
      </c>
      <c r="C303">
        <v>26</v>
      </c>
      <c r="D303" s="33">
        <v>15600</v>
      </c>
      <c r="E303" t="str">
        <f>_xlfn.XLOOKUP(Quota_tbl[[#This Row],[Rep_ID]],Dim_Reps!A:A,Dim_Reps!K:K)</f>
        <v>EUR</v>
      </c>
      <c r="F303" s="33">
        <f>(_xlfn.XLOOKUP(Quota_tbl[[#This Row],[Rate_Code_Generalized]],Lookups!A:A,Lookups!B:B)*Quota_tbl[[#This Row],[Quota_Amount_USD]])</f>
        <v>15600</v>
      </c>
      <c r="G303" t="str">
        <f>_xlfn.XLOOKUP(Quota_tbl[[#This Row],[Rep_ID]],Dim_Reps!A:A,Dim_Reps!C:C)</f>
        <v>SDR / Inside Sales Rep</v>
      </c>
      <c r="H303" t="str">
        <f>_xlfn.XLOOKUP(Quota_tbl[[#This Row],[Rep_ID]],Dim_Reps!A:A,Dim_Reps!D:D)</f>
        <v>Inside Sales</v>
      </c>
      <c r="I303" t="str">
        <f>_xlfn.XLOOKUP(Quota_tbl[[#This Row],[Rep_ID]],Dim_Reps!A:A,Dim_Reps!E:E)</f>
        <v>EMEA</v>
      </c>
      <c r="J303" t="str">
        <f>_xlfn.XLOOKUP(Quota_tbl[[#This Row],[Period_Start_Date]],Dim_Date!A:A,Dim_Date!H:H)</f>
        <v>Oct 2025</v>
      </c>
    </row>
    <row r="304" spans="1:10" ht="15" customHeight="1" x14ac:dyDescent="0.2">
      <c r="A304" t="s">
        <v>211</v>
      </c>
      <c r="B304" s="49">
        <v>45962</v>
      </c>
      <c r="C304">
        <v>27</v>
      </c>
      <c r="D304" s="33">
        <v>15600</v>
      </c>
      <c r="E304" t="str">
        <f>_xlfn.XLOOKUP(Quota_tbl[[#This Row],[Rep_ID]],Dim_Reps!A:A,Dim_Reps!K:K)</f>
        <v>EUR</v>
      </c>
      <c r="F304" s="33">
        <f>(_xlfn.XLOOKUP(Quota_tbl[[#This Row],[Rate_Code_Generalized]],Lookups!A:A,Lookups!B:B)*Quota_tbl[[#This Row],[Quota_Amount_USD]])</f>
        <v>15600</v>
      </c>
      <c r="G304" t="str">
        <f>_xlfn.XLOOKUP(Quota_tbl[[#This Row],[Rep_ID]],Dim_Reps!A:A,Dim_Reps!C:C)</f>
        <v>SDR / Inside Sales Rep</v>
      </c>
      <c r="H304" t="str">
        <f>_xlfn.XLOOKUP(Quota_tbl[[#This Row],[Rep_ID]],Dim_Reps!A:A,Dim_Reps!D:D)</f>
        <v>Inside Sales</v>
      </c>
      <c r="I304" t="str">
        <f>_xlfn.XLOOKUP(Quota_tbl[[#This Row],[Rep_ID]],Dim_Reps!A:A,Dim_Reps!E:E)</f>
        <v>EMEA</v>
      </c>
      <c r="J304" t="str">
        <f>_xlfn.XLOOKUP(Quota_tbl[[#This Row],[Period_Start_Date]],Dim_Date!A:A,Dim_Date!H:H)</f>
        <v>Nov 2025</v>
      </c>
    </row>
    <row r="305" spans="1:10" ht="15" customHeight="1" x14ac:dyDescent="0.2">
      <c r="A305" t="s">
        <v>211</v>
      </c>
      <c r="B305" s="49">
        <v>45992</v>
      </c>
      <c r="C305">
        <v>28</v>
      </c>
      <c r="D305" s="33">
        <v>15300</v>
      </c>
      <c r="E305" t="str">
        <f>_xlfn.XLOOKUP(Quota_tbl[[#This Row],[Rep_ID]],Dim_Reps!A:A,Dim_Reps!K:K)</f>
        <v>EUR</v>
      </c>
      <c r="F305" s="33">
        <f>(_xlfn.XLOOKUP(Quota_tbl[[#This Row],[Rate_Code_Generalized]],Lookups!A:A,Lookups!B:B)*Quota_tbl[[#This Row],[Quota_Amount_USD]])</f>
        <v>15300</v>
      </c>
      <c r="G305" t="str">
        <f>_xlfn.XLOOKUP(Quota_tbl[[#This Row],[Rep_ID]],Dim_Reps!A:A,Dim_Reps!C:C)</f>
        <v>SDR / Inside Sales Rep</v>
      </c>
      <c r="H305" t="str">
        <f>_xlfn.XLOOKUP(Quota_tbl[[#This Row],[Rep_ID]],Dim_Reps!A:A,Dim_Reps!D:D)</f>
        <v>Inside Sales</v>
      </c>
      <c r="I305" t="str">
        <f>_xlfn.XLOOKUP(Quota_tbl[[#This Row],[Rep_ID]],Dim_Reps!A:A,Dim_Reps!E:E)</f>
        <v>EMEA</v>
      </c>
      <c r="J305" t="str">
        <f>_xlfn.XLOOKUP(Quota_tbl[[#This Row],[Period_Start_Date]],Dim_Date!A:A,Dim_Date!H:H)</f>
        <v>Dec 2025</v>
      </c>
    </row>
    <row r="306" spans="1:10" ht="15" customHeight="1" x14ac:dyDescent="0.2">
      <c r="A306" t="s">
        <v>249</v>
      </c>
      <c r="B306" s="49">
        <v>45809</v>
      </c>
      <c r="C306">
        <v>0</v>
      </c>
      <c r="D306" s="33">
        <v>5400</v>
      </c>
      <c r="E306" t="str">
        <f>_xlfn.XLOOKUP(Quota_tbl[[#This Row],[Rep_ID]],Dim_Reps!A:A,Dim_Reps!K:K)</f>
        <v>EUR</v>
      </c>
      <c r="F306" s="33">
        <f>(_xlfn.XLOOKUP(Quota_tbl[[#This Row],[Rate_Code_Generalized]],Lookups!A:A,Lookups!B:B)*Quota_tbl[[#This Row],[Quota_Amount_USD]])</f>
        <v>5400</v>
      </c>
      <c r="G306" t="str">
        <f>_xlfn.XLOOKUP(Quota_tbl[[#This Row],[Rep_ID]],Dim_Reps!A:A,Dim_Reps!C:C)</f>
        <v>Mid-Market AE</v>
      </c>
      <c r="H306" t="str">
        <f>_xlfn.XLOOKUP(Quota_tbl[[#This Row],[Rep_ID]],Dim_Reps!A:A,Dim_Reps!D:D)</f>
        <v>Mid-Market</v>
      </c>
      <c r="I306" t="str">
        <f>_xlfn.XLOOKUP(Quota_tbl[[#This Row],[Rep_ID]],Dim_Reps!A:A,Dim_Reps!E:E)</f>
        <v>APAC</v>
      </c>
      <c r="J306" t="str">
        <f>_xlfn.XLOOKUP(Quota_tbl[[#This Row],[Period_Start_Date]],Dim_Date!A:A,Dim_Date!H:H)</f>
        <v>Jun 2025</v>
      </c>
    </row>
    <row r="307" spans="1:10" ht="15" customHeight="1" x14ac:dyDescent="0.2">
      <c r="A307" t="s">
        <v>249</v>
      </c>
      <c r="B307" s="49">
        <v>45839</v>
      </c>
      <c r="C307">
        <v>1</v>
      </c>
      <c r="D307" s="33">
        <v>11100</v>
      </c>
      <c r="E307" t="str">
        <f>_xlfn.XLOOKUP(Quota_tbl[[#This Row],[Rep_ID]],Dim_Reps!A:A,Dim_Reps!K:K)</f>
        <v>EUR</v>
      </c>
      <c r="F307" s="33">
        <f>(_xlfn.XLOOKUP(Quota_tbl[[#This Row],[Rate_Code_Generalized]],Lookups!A:A,Lookups!B:B)*Quota_tbl[[#This Row],[Quota_Amount_USD]])</f>
        <v>11100</v>
      </c>
      <c r="G307" t="str">
        <f>_xlfn.XLOOKUP(Quota_tbl[[#This Row],[Rep_ID]],Dim_Reps!A:A,Dim_Reps!C:C)</f>
        <v>Mid-Market AE</v>
      </c>
      <c r="H307" t="str">
        <f>_xlfn.XLOOKUP(Quota_tbl[[#This Row],[Rep_ID]],Dim_Reps!A:A,Dim_Reps!D:D)</f>
        <v>Mid-Market</v>
      </c>
      <c r="I307" t="str">
        <f>_xlfn.XLOOKUP(Quota_tbl[[#This Row],[Rep_ID]],Dim_Reps!A:A,Dim_Reps!E:E)</f>
        <v>APAC</v>
      </c>
      <c r="J307" t="str">
        <f>_xlfn.XLOOKUP(Quota_tbl[[#This Row],[Period_Start_Date]],Dim_Date!A:A,Dim_Date!H:H)</f>
        <v>Jul 2025</v>
      </c>
    </row>
    <row r="308" spans="1:10" ht="15" customHeight="1" x14ac:dyDescent="0.2">
      <c r="A308" t="s">
        <v>249</v>
      </c>
      <c r="B308" s="49">
        <v>45870</v>
      </c>
      <c r="C308">
        <v>2</v>
      </c>
      <c r="D308" s="33">
        <v>15800</v>
      </c>
      <c r="E308" t="str">
        <f>_xlfn.XLOOKUP(Quota_tbl[[#This Row],[Rep_ID]],Dim_Reps!A:A,Dim_Reps!K:K)</f>
        <v>EUR</v>
      </c>
      <c r="F308" s="33">
        <f>(_xlfn.XLOOKUP(Quota_tbl[[#This Row],[Rate_Code_Generalized]],Lookups!A:A,Lookups!B:B)*Quota_tbl[[#This Row],[Quota_Amount_USD]])</f>
        <v>15800</v>
      </c>
      <c r="G308" t="str">
        <f>_xlfn.XLOOKUP(Quota_tbl[[#This Row],[Rep_ID]],Dim_Reps!A:A,Dim_Reps!C:C)</f>
        <v>Mid-Market AE</v>
      </c>
      <c r="H308" t="str">
        <f>_xlfn.XLOOKUP(Quota_tbl[[#This Row],[Rep_ID]],Dim_Reps!A:A,Dim_Reps!D:D)</f>
        <v>Mid-Market</v>
      </c>
      <c r="I308" t="str">
        <f>_xlfn.XLOOKUP(Quota_tbl[[#This Row],[Rep_ID]],Dim_Reps!A:A,Dim_Reps!E:E)</f>
        <v>APAC</v>
      </c>
      <c r="J308" t="str">
        <f>_xlfn.XLOOKUP(Quota_tbl[[#This Row],[Period_Start_Date]],Dim_Date!A:A,Dim_Date!H:H)</f>
        <v>Aug 2025</v>
      </c>
    </row>
    <row r="309" spans="1:10" ht="15" customHeight="1" x14ac:dyDescent="0.2">
      <c r="A309" t="s">
        <v>249</v>
      </c>
      <c r="B309" s="49">
        <v>45901</v>
      </c>
      <c r="C309">
        <v>3</v>
      </c>
      <c r="D309" s="33">
        <v>21100</v>
      </c>
      <c r="E309" t="str">
        <f>_xlfn.XLOOKUP(Quota_tbl[[#This Row],[Rep_ID]],Dim_Reps!A:A,Dim_Reps!K:K)</f>
        <v>EUR</v>
      </c>
      <c r="F309" s="33">
        <f>(_xlfn.XLOOKUP(Quota_tbl[[#This Row],[Rate_Code_Generalized]],Lookups!A:A,Lookups!B:B)*Quota_tbl[[#This Row],[Quota_Amount_USD]])</f>
        <v>21100</v>
      </c>
      <c r="G309" t="str">
        <f>_xlfn.XLOOKUP(Quota_tbl[[#This Row],[Rep_ID]],Dim_Reps!A:A,Dim_Reps!C:C)</f>
        <v>Mid-Market AE</v>
      </c>
      <c r="H309" t="str">
        <f>_xlfn.XLOOKUP(Quota_tbl[[#This Row],[Rep_ID]],Dim_Reps!A:A,Dim_Reps!D:D)</f>
        <v>Mid-Market</v>
      </c>
      <c r="I309" t="str">
        <f>_xlfn.XLOOKUP(Quota_tbl[[#This Row],[Rep_ID]],Dim_Reps!A:A,Dim_Reps!E:E)</f>
        <v>APAC</v>
      </c>
      <c r="J309" t="str">
        <f>_xlfn.XLOOKUP(Quota_tbl[[#This Row],[Period_Start_Date]],Dim_Date!A:A,Dim_Date!H:H)</f>
        <v>Sep 2025</v>
      </c>
    </row>
    <row r="310" spans="1:10" ht="15" customHeight="1" x14ac:dyDescent="0.2">
      <c r="A310" t="s">
        <v>249</v>
      </c>
      <c r="B310" s="49">
        <v>45931</v>
      </c>
      <c r="C310">
        <v>4</v>
      </c>
      <c r="D310" s="33">
        <v>21500</v>
      </c>
      <c r="E310" t="str">
        <f>_xlfn.XLOOKUP(Quota_tbl[[#This Row],[Rep_ID]],Dim_Reps!A:A,Dim_Reps!K:K)</f>
        <v>EUR</v>
      </c>
      <c r="F310" s="33">
        <f>(_xlfn.XLOOKUP(Quota_tbl[[#This Row],[Rate_Code_Generalized]],Lookups!A:A,Lookups!B:B)*Quota_tbl[[#This Row],[Quota_Amount_USD]])</f>
        <v>21500</v>
      </c>
      <c r="G310" t="str">
        <f>_xlfn.XLOOKUP(Quota_tbl[[#This Row],[Rep_ID]],Dim_Reps!A:A,Dim_Reps!C:C)</f>
        <v>Mid-Market AE</v>
      </c>
      <c r="H310" t="str">
        <f>_xlfn.XLOOKUP(Quota_tbl[[#This Row],[Rep_ID]],Dim_Reps!A:A,Dim_Reps!D:D)</f>
        <v>Mid-Market</v>
      </c>
      <c r="I310" t="str">
        <f>_xlfn.XLOOKUP(Quota_tbl[[#This Row],[Rep_ID]],Dim_Reps!A:A,Dim_Reps!E:E)</f>
        <v>APAC</v>
      </c>
      <c r="J310" t="str">
        <f>_xlfn.XLOOKUP(Quota_tbl[[#This Row],[Period_Start_Date]],Dim_Date!A:A,Dim_Date!H:H)</f>
        <v>Oct 2025</v>
      </c>
    </row>
    <row r="311" spans="1:10" ht="15" customHeight="1" x14ac:dyDescent="0.2">
      <c r="A311" t="s">
        <v>249</v>
      </c>
      <c r="B311" s="49">
        <v>45962</v>
      </c>
      <c r="C311">
        <v>5</v>
      </c>
      <c r="D311" s="33">
        <v>21900</v>
      </c>
      <c r="E311" t="str">
        <f>_xlfn.XLOOKUP(Quota_tbl[[#This Row],[Rep_ID]],Dim_Reps!A:A,Dim_Reps!K:K)</f>
        <v>EUR</v>
      </c>
      <c r="F311" s="33">
        <f>(_xlfn.XLOOKUP(Quota_tbl[[#This Row],[Rate_Code_Generalized]],Lookups!A:A,Lookups!B:B)*Quota_tbl[[#This Row],[Quota_Amount_USD]])</f>
        <v>21900</v>
      </c>
      <c r="G311" t="str">
        <f>_xlfn.XLOOKUP(Quota_tbl[[#This Row],[Rep_ID]],Dim_Reps!A:A,Dim_Reps!C:C)</f>
        <v>Mid-Market AE</v>
      </c>
      <c r="H311" t="str">
        <f>_xlfn.XLOOKUP(Quota_tbl[[#This Row],[Rep_ID]],Dim_Reps!A:A,Dim_Reps!D:D)</f>
        <v>Mid-Market</v>
      </c>
      <c r="I311" t="str">
        <f>_xlfn.XLOOKUP(Quota_tbl[[#This Row],[Rep_ID]],Dim_Reps!A:A,Dim_Reps!E:E)</f>
        <v>APAC</v>
      </c>
      <c r="J311" t="str">
        <f>_xlfn.XLOOKUP(Quota_tbl[[#This Row],[Period_Start_Date]],Dim_Date!A:A,Dim_Date!H:H)</f>
        <v>Nov 2025</v>
      </c>
    </row>
    <row r="312" spans="1:10" ht="15" customHeight="1" x14ac:dyDescent="0.2">
      <c r="A312" t="s">
        <v>249</v>
      </c>
      <c r="B312" s="49">
        <v>45992</v>
      </c>
      <c r="C312">
        <v>6</v>
      </c>
      <c r="D312" s="33">
        <v>22200</v>
      </c>
      <c r="E312" t="str">
        <f>_xlfn.XLOOKUP(Quota_tbl[[#This Row],[Rep_ID]],Dim_Reps!A:A,Dim_Reps!K:K)</f>
        <v>EUR</v>
      </c>
      <c r="F312" s="33">
        <f>(_xlfn.XLOOKUP(Quota_tbl[[#This Row],[Rate_Code_Generalized]],Lookups!A:A,Lookups!B:B)*Quota_tbl[[#This Row],[Quota_Amount_USD]])</f>
        <v>22200</v>
      </c>
      <c r="G312" t="str">
        <f>_xlfn.XLOOKUP(Quota_tbl[[#This Row],[Rep_ID]],Dim_Reps!A:A,Dim_Reps!C:C)</f>
        <v>Mid-Market AE</v>
      </c>
      <c r="H312" t="str">
        <f>_xlfn.XLOOKUP(Quota_tbl[[#This Row],[Rep_ID]],Dim_Reps!A:A,Dim_Reps!D:D)</f>
        <v>Mid-Market</v>
      </c>
      <c r="I312" t="str">
        <f>_xlfn.XLOOKUP(Quota_tbl[[#This Row],[Rep_ID]],Dim_Reps!A:A,Dim_Reps!E:E)</f>
        <v>APAC</v>
      </c>
      <c r="J312" t="str">
        <f>_xlfn.XLOOKUP(Quota_tbl[[#This Row],[Period_Start_Date]],Dim_Date!A:A,Dim_Date!H:H)</f>
        <v>Dec 2025</v>
      </c>
    </row>
    <row r="313" spans="1:10" ht="15" customHeight="1" x14ac:dyDescent="0.2">
      <c r="A313" t="s">
        <v>213</v>
      </c>
      <c r="B313" s="49">
        <v>45474</v>
      </c>
      <c r="C313">
        <v>0</v>
      </c>
      <c r="D313" s="33">
        <v>4000</v>
      </c>
      <c r="E313" t="str">
        <f>_xlfn.XLOOKUP(Quota_tbl[[#This Row],[Rep_ID]],Dim_Reps!A:A,Dim_Reps!K:K)</f>
        <v>EUR</v>
      </c>
      <c r="F313" s="33">
        <f>(_xlfn.XLOOKUP(Quota_tbl[[#This Row],[Rate_Code_Generalized]],Lookups!A:A,Lookups!B:B)*Quota_tbl[[#This Row],[Quota_Amount_USD]])</f>
        <v>4000</v>
      </c>
      <c r="G313" t="str">
        <f>_xlfn.XLOOKUP(Quota_tbl[[#This Row],[Rep_ID]],Dim_Reps!A:A,Dim_Reps!C:C)</f>
        <v>SDR / Inside Sales Rep</v>
      </c>
      <c r="H313" t="str">
        <f>_xlfn.XLOOKUP(Quota_tbl[[#This Row],[Rep_ID]],Dim_Reps!A:A,Dim_Reps!D:D)</f>
        <v>Inside Sales</v>
      </c>
      <c r="I313" t="str">
        <f>_xlfn.XLOOKUP(Quota_tbl[[#This Row],[Rep_ID]],Dim_Reps!A:A,Dim_Reps!E:E)</f>
        <v>EMEA</v>
      </c>
      <c r="J313" t="str">
        <f>_xlfn.XLOOKUP(Quota_tbl[[#This Row],[Period_Start_Date]],Dim_Date!A:A,Dim_Date!H:H)</f>
        <v>Jul 2024</v>
      </c>
    </row>
    <row r="314" spans="1:10" ht="15" customHeight="1" x14ac:dyDescent="0.2">
      <c r="A314" t="s">
        <v>213</v>
      </c>
      <c r="B314" s="49">
        <v>45505</v>
      </c>
      <c r="C314">
        <v>1</v>
      </c>
      <c r="D314" s="33">
        <v>7900</v>
      </c>
      <c r="E314" t="str">
        <f>_xlfn.XLOOKUP(Quota_tbl[[#This Row],[Rep_ID]],Dim_Reps!A:A,Dim_Reps!K:K)</f>
        <v>EUR</v>
      </c>
      <c r="F314" s="33">
        <f>(_xlfn.XLOOKUP(Quota_tbl[[#This Row],[Rate_Code_Generalized]],Lookups!A:A,Lookups!B:B)*Quota_tbl[[#This Row],[Quota_Amount_USD]])</f>
        <v>7900</v>
      </c>
      <c r="G314" t="str">
        <f>_xlfn.XLOOKUP(Quota_tbl[[#This Row],[Rep_ID]],Dim_Reps!A:A,Dim_Reps!C:C)</f>
        <v>SDR / Inside Sales Rep</v>
      </c>
      <c r="H314" t="str">
        <f>_xlfn.XLOOKUP(Quota_tbl[[#This Row],[Rep_ID]],Dim_Reps!A:A,Dim_Reps!D:D)</f>
        <v>Inside Sales</v>
      </c>
      <c r="I314" t="str">
        <f>_xlfn.XLOOKUP(Quota_tbl[[#This Row],[Rep_ID]],Dim_Reps!A:A,Dim_Reps!E:E)</f>
        <v>EMEA</v>
      </c>
      <c r="J314" t="str">
        <f>_xlfn.XLOOKUP(Quota_tbl[[#This Row],[Period_Start_Date]],Dim_Date!A:A,Dim_Date!H:H)</f>
        <v>Aug 2024</v>
      </c>
    </row>
    <row r="315" spans="1:10" ht="15" customHeight="1" x14ac:dyDescent="0.2">
      <c r="A315" t="s">
        <v>213</v>
      </c>
      <c r="B315" s="49">
        <v>45536</v>
      </c>
      <c r="C315">
        <v>2</v>
      </c>
      <c r="D315" s="33">
        <v>11600</v>
      </c>
      <c r="E315" t="str">
        <f>_xlfn.XLOOKUP(Quota_tbl[[#This Row],[Rep_ID]],Dim_Reps!A:A,Dim_Reps!K:K)</f>
        <v>EUR</v>
      </c>
      <c r="F315" s="33">
        <f>(_xlfn.XLOOKUP(Quota_tbl[[#This Row],[Rate_Code_Generalized]],Lookups!A:A,Lookups!B:B)*Quota_tbl[[#This Row],[Quota_Amount_USD]])</f>
        <v>11600</v>
      </c>
      <c r="G315" t="str">
        <f>_xlfn.XLOOKUP(Quota_tbl[[#This Row],[Rep_ID]],Dim_Reps!A:A,Dim_Reps!C:C)</f>
        <v>SDR / Inside Sales Rep</v>
      </c>
      <c r="H315" t="str">
        <f>_xlfn.XLOOKUP(Quota_tbl[[#This Row],[Rep_ID]],Dim_Reps!A:A,Dim_Reps!D:D)</f>
        <v>Inside Sales</v>
      </c>
      <c r="I315" t="str">
        <f>_xlfn.XLOOKUP(Quota_tbl[[#This Row],[Rep_ID]],Dim_Reps!A:A,Dim_Reps!E:E)</f>
        <v>EMEA</v>
      </c>
      <c r="J315" t="str">
        <f>_xlfn.XLOOKUP(Quota_tbl[[#This Row],[Period_Start_Date]],Dim_Date!A:A,Dim_Date!H:H)</f>
        <v>Sep 2024</v>
      </c>
    </row>
    <row r="316" spans="1:10" ht="15" customHeight="1" x14ac:dyDescent="0.2">
      <c r="A316" t="s">
        <v>213</v>
      </c>
      <c r="B316" s="49">
        <v>45566</v>
      </c>
      <c r="C316">
        <v>3</v>
      </c>
      <c r="D316" s="33">
        <v>15500</v>
      </c>
      <c r="E316" t="str">
        <f>_xlfn.XLOOKUP(Quota_tbl[[#This Row],[Rep_ID]],Dim_Reps!A:A,Dim_Reps!K:K)</f>
        <v>EUR</v>
      </c>
      <c r="F316" s="33">
        <f>(_xlfn.XLOOKUP(Quota_tbl[[#This Row],[Rate_Code_Generalized]],Lookups!A:A,Lookups!B:B)*Quota_tbl[[#This Row],[Quota_Amount_USD]])</f>
        <v>15500</v>
      </c>
      <c r="G316" t="str">
        <f>_xlfn.XLOOKUP(Quota_tbl[[#This Row],[Rep_ID]],Dim_Reps!A:A,Dim_Reps!C:C)</f>
        <v>SDR / Inside Sales Rep</v>
      </c>
      <c r="H316" t="str">
        <f>_xlfn.XLOOKUP(Quota_tbl[[#This Row],[Rep_ID]],Dim_Reps!A:A,Dim_Reps!D:D)</f>
        <v>Inside Sales</v>
      </c>
      <c r="I316" t="str">
        <f>_xlfn.XLOOKUP(Quota_tbl[[#This Row],[Rep_ID]],Dim_Reps!A:A,Dim_Reps!E:E)</f>
        <v>EMEA</v>
      </c>
      <c r="J316" t="str">
        <f>_xlfn.XLOOKUP(Quota_tbl[[#This Row],[Period_Start_Date]],Dim_Date!A:A,Dim_Date!H:H)</f>
        <v>Oct 2024</v>
      </c>
    </row>
    <row r="317" spans="1:10" ht="15" customHeight="1" x14ac:dyDescent="0.2">
      <c r="A317" t="s">
        <v>213</v>
      </c>
      <c r="B317" s="49">
        <v>45597</v>
      </c>
      <c r="C317">
        <v>4</v>
      </c>
      <c r="D317" s="33">
        <v>15000</v>
      </c>
      <c r="E317" t="str">
        <f>_xlfn.XLOOKUP(Quota_tbl[[#This Row],[Rep_ID]],Dim_Reps!A:A,Dim_Reps!K:K)</f>
        <v>EUR</v>
      </c>
      <c r="F317" s="33">
        <f>(_xlfn.XLOOKUP(Quota_tbl[[#This Row],[Rate_Code_Generalized]],Lookups!A:A,Lookups!B:B)*Quota_tbl[[#This Row],[Quota_Amount_USD]])</f>
        <v>15000</v>
      </c>
      <c r="G317" t="str">
        <f>_xlfn.XLOOKUP(Quota_tbl[[#This Row],[Rep_ID]],Dim_Reps!A:A,Dim_Reps!C:C)</f>
        <v>SDR / Inside Sales Rep</v>
      </c>
      <c r="H317" t="str">
        <f>_xlfn.XLOOKUP(Quota_tbl[[#This Row],[Rep_ID]],Dim_Reps!A:A,Dim_Reps!D:D)</f>
        <v>Inside Sales</v>
      </c>
      <c r="I317" t="str">
        <f>_xlfn.XLOOKUP(Quota_tbl[[#This Row],[Rep_ID]],Dim_Reps!A:A,Dim_Reps!E:E)</f>
        <v>EMEA</v>
      </c>
      <c r="J317" t="str">
        <f>_xlfn.XLOOKUP(Quota_tbl[[#This Row],[Period_Start_Date]],Dim_Date!A:A,Dim_Date!H:H)</f>
        <v>Nov 2024</v>
      </c>
    </row>
    <row r="318" spans="1:10" ht="15" customHeight="1" x14ac:dyDescent="0.2">
      <c r="A318" t="s">
        <v>213</v>
      </c>
      <c r="B318" s="49">
        <v>45627</v>
      </c>
      <c r="C318">
        <v>5</v>
      </c>
      <c r="D318" s="33">
        <v>15500</v>
      </c>
      <c r="E318" t="str">
        <f>_xlfn.XLOOKUP(Quota_tbl[[#This Row],[Rep_ID]],Dim_Reps!A:A,Dim_Reps!K:K)</f>
        <v>EUR</v>
      </c>
      <c r="F318" s="33">
        <f>(_xlfn.XLOOKUP(Quota_tbl[[#This Row],[Rate_Code_Generalized]],Lookups!A:A,Lookups!B:B)*Quota_tbl[[#This Row],[Quota_Amount_USD]])</f>
        <v>15500</v>
      </c>
      <c r="G318" t="str">
        <f>_xlfn.XLOOKUP(Quota_tbl[[#This Row],[Rep_ID]],Dim_Reps!A:A,Dim_Reps!C:C)</f>
        <v>SDR / Inside Sales Rep</v>
      </c>
      <c r="H318" t="str">
        <f>_xlfn.XLOOKUP(Quota_tbl[[#This Row],[Rep_ID]],Dim_Reps!A:A,Dim_Reps!D:D)</f>
        <v>Inside Sales</v>
      </c>
      <c r="I318" t="str">
        <f>_xlfn.XLOOKUP(Quota_tbl[[#This Row],[Rep_ID]],Dim_Reps!A:A,Dim_Reps!E:E)</f>
        <v>EMEA</v>
      </c>
      <c r="J318" t="str">
        <f>_xlfn.XLOOKUP(Quota_tbl[[#This Row],[Period_Start_Date]],Dim_Date!A:A,Dim_Date!H:H)</f>
        <v>Dec 2024</v>
      </c>
    </row>
    <row r="319" spans="1:10" ht="15" customHeight="1" x14ac:dyDescent="0.2">
      <c r="A319" t="s">
        <v>213</v>
      </c>
      <c r="B319" s="49">
        <v>45658</v>
      </c>
      <c r="C319">
        <v>6</v>
      </c>
      <c r="D319" s="33">
        <v>15400</v>
      </c>
      <c r="E319" t="str">
        <f>_xlfn.XLOOKUP(Quota_tbl[[#This Row],[Rep_ID]],Dim_Reps!A:A,Dim_Reps!K:K)</f>
        <v>EUR</v>
      </c>
      <c r="F319" s="33">
        <f>(_xlfn.XLOOKUP(Quota_tbl[[#This Row],[Rate_Code_Generalized]],Lookups!A:A,Lookups!B:B)*Quota_tbl[[#This Row],[Quota_Amount_USD]])</f>
        <v>15400</v>
      </c>
      <c r="G319" t="str">
        <f>_xlfn.XLOOKUP(Quota_tbl[[#This Row],[Rep_ID]],Dim_Reps!A:A,Dim_Reps!C:C)</f>
        <v>SDR / Inside Sales Rep</v>
      </c>
      <c r="H319" t="str">
        <f>_xlfn.XLOOKUP(Quota_tbl[[#This Row],[Rep_ID]],Dim_Reps!A:A,Dim_Reps!D:D)</f>
        <v>Inside Sales</v>
      </c>
      <c r="I319" t="str">
        <f>_xlfn.XLOOKUP(Quota_tbl[[#This Row],[Rep_ID]],Dim_Reps!A:A,Dim_Reps!E:E)</f>
        <v>EMEA</v>
      </c>
      <c r="J319" t="str">
        <f>_xlfn.XLOOKUP(Quota_tbl[[#This Row],[Period_Start_Date]],Dim_Date!A:A,Dim_Date!H:H)</f>
        <v>Jan 2025</v>
      </c>
    </row>
    <row r="320" spans="1:10" ht="15" customHeight="1" x14ac:dyDescent="0.2">
      <c r="A320" t="s">
        <v>213</v>
      </c>
      <c r="B320" s="49">
        <v>45689</v>
      </c>
      <c r="C320">
        <v>7</v>
      </c>
      <c r="D320" s="33">
        <v>15700</v>
      </c>
      <c r="E320" t="str">
        <f>_xlfn.XLOOKUP(Quota_tbl[[#This Row],[Rep_ID]],Dim_Reps!A:A,Dim_Reps!K:K)</f>
        <v>EUR</v>
      </c>
      <c r="F320" s="33">
        <f>(_xlfn.XLOOKUP(Quota_tbl[[#This Row],[Rate_Code_Generalized]],Lookups!A:A,Lookups!B:B)*Quota_tbl[[#This Row],[Quota_Amount_USD]])</f>
        <v>15700</v>
      </c>
      <c r="G320" t="str">
        <f>_xlfn.XLOOKUP(Quota_tbl[[#This Row],[Rep_ID]],Dim_Reps!A:A,Dim_Reps!C:C)</f>
        <v>SDR / Inside Sales Rep</v>
      </c>
      <c r="H320" t="str">
        <f>_xlfn.XLOOKUP(Quota_tbl[[#This Row],[Rep_ID]],Dim_Reps!A:A,Dim_Reps!D:D)</f>
        <v>Inside Sales</v>
      </c>
      <c r="I320" t="str">
        <f>_xlfn.XLOOKUP(Quota_tbl[[#This Row],[Rep_ID]],Dim_Reps!A:A,Dim_Reps!E:E)</f>
        <v>EMEA</v>
      </c>
      <c r="J320" t="str">
        <f>_xlfn.XLOOKUP(Quota_tbl[[#This Row],[Period_Start_Date]],Dim_Date!A:A,Dim_Date!H:H)</f>
        <v>Feb 2025</v>
      </c>
    </row>
    <row r="321" spans="1:10" ht="15" customHeight="1" x14ac:dyDescent="0.2">
      <c r="A321" t="s">
        <v>213</v>
      </c>
      <c r="B321" s="49">
        <v>45717</v>
      </c>
      <c r="C321">
        <v>8</v>
      </c>
      <c r="D321" s="33">
        <v>15100</v>
      </c>
      <c r="E321" t="str">
        <f>_xlfn.XLOOKUP(Quota_tbl[[#This Row],[Rep_ID]],Dim_Reps!A:A,Dim_Reps!K:K)</f>
        <v>EUR</v>
      </c>
      <c r="F321" s="33">
        <f>(_xlfn.XLOOKUP(Quota_tbl[[#This Row],[Rate_Code_Generalized]],Lookups!A:A,Lookups!B:B)*Quota_tbl[[#This Row],[Quota_Amount_USD]])</f>
        <v>15100</v>
      </c>
      <c r="G321" t="str">
        <f>_xlfn.XLOOKUP(Quota_tbl[[#This Row],[Rep_ID]],Dim_Reps!A:A,Dim_Reps!C:C)</f>
        <v>SDR / Inside Sales Rep</v>
      </c>
      <c r="H321" t="str">
        <f>_xlfn.XLOOKUP(Quota_tbl[[#This Row],[Rep_ID]],Dim_Reps!A:A,Dim_Reps!D:D)</f>
        <v>Inside Sales</v>
      </c>
      <c r="I321" t="str">
        <f>_xlfn.XLOOKUP(Quota_tbl[[#This Row],[Rep_ID]],Dim_Reps!A:A,Dim_Reps!E:E)</f>
        <v>EMEA</v>
      </c>
      <c r="J321" t="str">
        <f>_xlfn.XLOOKUP(Quota_tbl[[#This Row],[Period_Start_Date]],Dim_Date!A:A,Dim_Date!H:H)</f>
        <v>Mar 2025</v>
      </c>
    </row>
    <row r="322" spans="1:10" ht="15" customHeight="1" x14ac:dyDescent="0.2">
      <c r="A322" t="s">
        <v>213</v>
      </c>
      <c r="B322" s="49">
        <v>45748</v>
      </c>
      <c r="C322">
        <v>9</v>
      </c>
      <c r="D322" s="33">
        <v>15700</v>
      </c>
      <c r="E322" t="str">
        <f>_xlfn.XLOOKUP(Quota_tbl[[#This Row],[Rep_ID]],Dim_Reps!A:A,Dim_Reps!K:K)</f>
        <v>EUR</v>
      </c>
      <c r="F322" s="33">
        <f>(_xlfn.XLOOKUP(Quota_tbl[[#This Row],[Rate_Code_Generalized]],Lookups!A:A,Lookups!B:B)*Quota_tbl[[#This Row],[Quota_Amount_USD]])</f>
        <v>15700</v>
      </c>
      <c r="G322" t="str">
        <f>_xlfn.XLOOKUP(Quota_tbl[[#This Row],[Rep_ID]],Dim_Reps!A:A,Dim_Reps!C:C)</f>
        <v>SDR / Inside Sales Rep</v>
      </c>
      <c r="H322" t="str">
        <f>_xlfn.XLOOKUP(Quota_tbl[[#This Row],[Rep_ID]],Dim_Reps!A:A,Dim_Reps!D:D)</f>
        <v>Inside Sales</v>
      </c>
      <c r="I322" t="str">
        <f>_xlfn.XLOOKUP(Quota_tbl[[#This Row],[Rep_ID]],Dim_Reps!A:A,Dim_Reps!E:E)</f>
        <v>EMEA</v>
      </c>
      <c r="J322" t="str">
        <f>_xlfn.XLOOKUP(Quota_tbl[[#This Row],[Period_Start_Date]],Dim_Date!A:A,Dim_Date!H:H)</f>
        <v>Apr 2025</v>
      </c>
    </row>
    <row r="323" spans="1:10" ht="15" customHeight="1" x14ac:dyDescent="0.2">
      <c r="A323" t="s">
        <v>213</v>
      </c>
      <c r="B323" s="49">
        <v>45778</v>
      </c>
      <c r="C323">
        <v>10</v>
      </c>
      <c r="D323" s="33">
        <v>16200</v>
      </c>
      <c r="E323" t="str">
        <f>_xlfn.XLOOKUP(Quota_tbl[[#This Row],[Rep_ID]],Dim_Reps!A:A,Dim_Reps!K:K)</f>
        <v>EUR</v>
      </c>
      <c r="F323" s="33">
        <f>(_xlfn.XLOOKUP(Quota_tbl[[#This Row],[Rate_Code_Generalized]],Lookups!A:A,Lookups!B:B)*Quota_tbl[[#This Row],[Quota_Amount_USD]])</f>
        <v>16200</v>
      </c>
      <c r="G323" t="str">
        <f>_xlfn.XLOOKUP(Quota_tbl[[#This Row],[Rep_ID]],Dim_Reps!A:A,Dim_Reps!C:C)</f>
        <v>SDR / Inside Sales Rep</v>
      </c>
      <c r="H323" t="str">
        <f>_xlfn.XLOOKUP(Quota_tbl[[#This Row],[Rep_ID]],Dim_Reps!A:A,Dim_Reps!D:D)</f>
        <v>Inside Sales</v>
      </c>
      <c r="I323" t="str">
        <f>_xlfn.XLOOKUP(Quota_tbl[[#This Row],[Rep_ID]],Dim_Reps!A:A,Dim_Reps!E:E)</f>
        <v>EMEA</v>
      </c>
      <c r="J323" t="str">
        <f>_xlfn.XLOOKUP(Quota_tbl[[#This Row],[Period_Start_Date]],Dim_Date!A:A,Dim_Date!H:H)</f>
        <v>May 2025</v>
      </c>
    </row>
    <row r="324" spans="1:10" ht="15" customHeight="1" x14ac:dyDescent="0.2">
      <c r="A324" t="s">
        <v>213</v>
      </c>
      <c r="B324" s="49">
        <v>45809</v>
      </c>
      <c r="C324">
        <v>11</v>
      </c>
      <c r="D324" s="33">
        <v>15400</v>
      </c>
      <c r="E324" t="str">
        <f>_xlfn.XLOOKUP(Quota_tbl[[#This Row],[Rep_ID]],Dim_Reps!A:A,Dim_Reps!K:K)</f>
        <v>EUR</v>
      </c>
      <c r="F324" s="33">
        <f>(_xlfn.XLOOKUP(Quota_tbl[[#This Row],[Rate_Code_Generalized]],Lookups!A:A,Lookups!B:B)*Quota_tbl[[#This Row],[Quota_Amount_USD]])</f>
        <v>15400</v>
      </c>
      <c r="G324" t="str">
        <f>_xlfn.XLOOKUP(Quota_tbl[[#This Row],[Rep_ID]],Dim_Reps!A:A,Dim_Reps!C:C)</f>
        <v>SDR / Inside Sales Rep</v>
      </c>
      <c r="H324" t="str">
        <f>_xlfn.XLOOKUP(Quota_tbl[[#This Row],[Rep_ID]],Dim_Reps!A:A,Dim_Reps!D:D)</f>
        <v>Inside Sales</v>
      </c>
      <c r="I324" t="str">
        <f>_xlfn.XLOOKUP(Quota_tbl[[#This Row],[Rep_ID]],Dim_Reps!A:A,Dim_Reps!E:E)</f>
        <v>EMEA</v>
      </c>
      <c r="J324" t="str">
        <f>_xlfn.XLOOKUP(Quota_tbl[[#This Row],[Period_Start_Date]],Dim_Date!A:A,Dim_Date!H:H)</f>
        <v>Jun 2025</v>
      </c>
    </row>
    <row r="325" spans="1:10" ht="15" customHeight="1" x14ac:dyDescent="0.2">
      <c r="A325" t="s">
        <v>213</v>
      </c>
      <c r="B325" s="49">
        <v>45839</v>
      </c>
      <c r="C325">
        <v>12</v>
      </c>
      <c r="D325" s="33">
        <v>15700</v>
      </c>
      <c r="E325" t="str">
        <f>_xlfn.XLOOKUP(Quota_tbl[[#This Row],[Rep_ID]],Dim_Reps!A:A,Dim_Reps!K:K)</f>
        <v>EUR</v>
      </c>
      <c r="F325" s="33">
        <f>(_xlfn.XLOOKUP(Quota_tbl[[#This Row],[Rate_Code_Generalized]],Lookups!A:A,Lookups!B:B)*Quota_tbl[[#This Row],[Quota_Amount_USD]])</f>
        <v>15700</v>
      </c>
      <c r="G325" t="str">
        <f>_xlfn.XLOOKUP(Quota_tbl[[#This Row],[Rep_ID]],Dim_Reps!A:A,Dim_Reps!C:C)</f>
        <v>SDR / Inside Sales Rep</v>
      </c>
      <c r="H325" t="str">
        <f>_xlfn.XLOOKUP(Quota_tbl[[#This Row],[Rep_ID]],Dim_Reps!A:A,Dim_Reps!D:D)</f>
        <v>Inside Sales</v>
      </c>
      <c r="I325" t="str">
        <f>_xlfn.XLOOKUP(Quota_tbl[[#This Row],[Rep_ID]],Dim_Reps!A:A,Dim_Reps!E:E)</f>
        <v>EMEA</v>
      </c>
      <c r="J325" t="str">
        <f>_xlfn.XLOOKUP(Quota_tbl[[#This Row],[Period_Start_Date]],Dim_Date!A:A,Dim_Date!H:H)</f>
        <v>Jul 2025</v>
      </c>
    </row>
    <row r="326" spans="1:10" ht="15" customHeight="1" x14ac:dyDescent="0.2">
      <c r="A326" t="s">
        <v>213</v>
      </c>
      <c r="B326" s="49">
        <v>45870</v>
      </c>
      <c r="C326">
        <v>13</v>
      </c>
      <c r="D326" s="33">
        <v>15800</v>
      </c>
      <c r="E326" t="str">
        <f>_xlfn.XLOOKUP(Quota_tbl[[#This Row],[Rep_ID]],Dim_Reps!A:A,Dim_Reps!K:K)</f>
        <v>EUR</v>
      </c>
      <c r="F326" s="33">
        <f>(_xlfn.XLOOKUP(Quota_tbl[[#This Row],[Rate_Code_Generalized]],Lookups!A:A,Lookups!B:B)*Quota_tbl[[#This Row],[Quota_Amount_USD]])</f>
        <v>15800</v>
      </c>
      <c r="G326" t="str">
        <f>_xlfn.XLOOKUP(Quota_tbl[[#This Row],[Rep_ID]],Dim_Reps!A:A,Dim_Reps!C:C)</f>
        <v>SDR / Inside Sales Rep</v>
      </c>
      <c r="H326" t="str">
        <f>_xlfn.XLOOKUP(Quota_tbl[[#This Row],[Rep_ID]],Dim_Reps!A:A,Dim_Reps!D:D)</f>
        <v>Inside Sales</v>
      </c>
      <c r="I326" t="str">
        <f>_xlfn.XLOOKUP(Quota_tbl[[#This Row],[Rep_ID]],Dim_Reps!A:A,Dim_Reps!E:E)</f>
        <v>EMEA</v>
      </c>
      <c r="J326" t="str">
        <f>_xlfn.XLOOKUP(Quota_tbl[[#This Row],[Period_Start_Date]],Dim_Date!A:A,Dim_Date!H:H)</f>
        <v>Aug 2025</v>
      </c>
    </row>
    <row r="327" spans="1:10" ht="15" customHeight="1" x14ac:dyDescent="0.2">
      <c r="A327" t="s">
        <v>213</v>
      </c>
      <c r="B327" s="49">
        <v>45901</v>
      </c>
      <c r="C327">
        <v>14</v>
      </c>
      <c r="D327" s="33">
        <v>15300</v>
      </c>
      <c r="E327" t="str">
        <f>_xlfn.XLOOKUP(Quota_tbl[[#This Row],[Rep_ID]],Dim_Reps!A:A,Dim_Reps!K:K)</f>
        <v>EUR</v>
      </c>
      <c r="F327" s="33">
        <f>(_xlfn.XLOOKUP(Quota_tbl[[#This Row],[Rate_Code_Generalized]],Lookups!A:A,Lookups!B:B)*Quota_tbl[[#This Row],[Quota_Amount_USD]])</f>
        <v>15300</v>
      </c>
      <c r="G327" t="str">
        <f>_xlfn.XLOOKUP(Quota_tbl[[#This Row],[Rep_ID]],Dim_Reps!A:A,Dim_Reps!C:C)</f>
        <v>SDR / Inside Sales Rep</v>
      </c>
      <c r="H327" t="str">
        <f>_xlfn.XLOOKUP(Quota_tbl[[#This Row],[Rep_ID]],Dim_Reps!A:A,Dim_Reps!D:D)</f>
        <v>Inside Sales</v>
      </c>
      <c r="I327" t="str">
        <f>_xlfn.XLOOKUP(Quota_tbl[[#This Row],[Rep_ID]],Dim_Reps!A:A,Dim_Reps!E:E)</f>
        <v>EMEA</v>
      </c>
      <c r="J327" t="str">
        <f>_xlfn.XLOOKUP(Quota_tbl[[#This Row],[Period_Start_Date]],Dim_Date!A:A,Dim_Date!H:H)</f>
        <v>Sep 2025</v>
      </c>
    </row>
    <row r="328" spans="1:10" ht="15" customHeight="1" x14ac:dyDescent="0.2">
      <c r="A328" t="s">
        <v>213</v>
      </c>
      <c r="B328" s="49">
        <v>45931</v>
      </c>
      <c r="C328">
        <v>15</v>
      </c>
      <c r="D328" s="33">
        <v>15600</v>
      </c>
      <c r="E328" t="str">
        <f>_xlfn.XLOOKUP(Quota_tbl[[#This Row],[Rep_ID]],Dim_Reps!A:A,Dim_Reps!K:K)</f>
        <v>EUR</v>
      </c>
      <c r="F328" s="33">
        <f>(_xlfn.XLOOKUP(Quota_tbl[[#This Row],[Rate_Code_Generalized]],Lookups!A:A,Lookups!B:B)*Quota_tbl[[#This Row],[Quota_Amount_USD]])</f>
        <v>15600</v>
      </c>
      <c r="G328" t="str">
        <f>_xlfn.XLOOKUP(Quota_tbl[[#This Row],[Rep_ID]],Dim_Reps!A:A,Dim_Reps!C:C)</f>
        <v>SDR / Inside Sales Rep</v>
      </c>
      <c r="H328" t="str">
        <f>_xlfn.XLOOKUP(Quota_tbl[[#This Row],[Rep_ID]],Dim_Reps!A:A,Dim_Reps!D:D)</f>
        <v>Inside Sales</v>
      </c>
      <c r="I328" t="str">
        <f>_xlfn.XLOOKUP(Quota_tbl[[#This Row],[Rep_ID]],Dim_Reps!A:A,Dim_Reps!E:E)</f>
        <v>EMEA</v>
      </c>
      <c r="J328" t="str">
        <f>_xlfn.XLOOKUP(Quota_tbl[[#This Row],[Period_Start_Date]],Dim_Date!A:A,Dim_Date!H:H)</f>
        <v>Oct 2025</v>
      </c>
    </row>
    <row r="329" spans="1:10" ht="15" customHeight="1" x14ac:dyDescent="0.2">
      <c r="A329" t="s">
        <v>213</v>
      </c>
      <c r="B329" s="49">
        <v>45962</v>
      </c>
      <c r="C329">
        <v>16</v>
      </c>
      <c r="D329" s="33">
        <v>15500</v>
      </c>
      <c r="E329" t="str">
        <f>_xlfn.XLOOKUP(Quota_tbl[[#This Row],[Rep_ID]],Dim_Reps!A:A,Dim_Reps!K:K)</f>
        <v>EUR</v>
      </c>
      <c r="F329" s="33">
        <f>(_xlfn.XLOOKUP(Quota_tbl[[#This Row],[Rate_Code_Generalized]],Lookups!A:A,Lookups!B:B)*Quota_tbl[[#This Row],[Quota_Amount_USD]])</f>
        <v>15500</v>
      </c>
      <c r="G329" t="str">
        <f>_xlfn.XLOOKUP(Quota_tbl[[#This Row],[Rep_ID]],Dim_Reps!A:A,Dim_Reps!C:C)</f>
        <v>SDR / Inside Sales Rep</v>
      </c>
      <c r="H329" t="str">
        <f>_xlfn.XLOOKUP(Quota_tbl[[#This Row],[Rep_ID]],Dim_Reps!A:A,Dim_Reps!D:D)</f>
        <v>Inside Sales</v>
      </c>
      <c r="I329" t="str">
        <f>_xlfn.XLOOKUP(Quota_tbl[[#This Row],[Rep_ID]],Dim_Reps!A:A,Dim_Reps!E:E)</f>
        <v>EMEA</v>
      </c>
      <c r="J329" t="str">
        <f>_xlfn.XLOOKUP(Quota_tbl[[#This Row],[Period_Start_Date]],Dim_Date!A:A,Dim_Date!H:H)</f>
        <v>Nov 2025</v>
      </c>
    </row>
    <row r="330" spans="1:10" ht="15" customHeight="1" x14ac:dyDescent="0.2">
      <c r="A330" t="s">
        <v>213</v>
      </c>
      <c r="B330" s="49">
        <v>45992</v>
      </c>
      <c r="C330">
        <v>17</v>
      </c>
      <c r="D330" s="33">
        <v>15500</v>
      </c>
      <c r="E330" t="str">
        <f>_xlfn.XLOOKUP(Quota_tbl[[#This Row],[Rep_ID]],Dim_Reps!A:A,Dim_Reps!K:K)</f>
        <v>EUR</v>
      </c>
      <c r="F330" s="33">
        <f>(_xlfn.XLOOKUP(Quota_tbl[[#This Row],[Rate_Code_Generalized]],Lookups!A:A,Lookups!B:B)*Quota_tbl[[#This Row],[Quota_Amount_USD]])</f>
        <v>15500</v>
      </c>
      <c r="G330" t="str">
        <f>_xlfn.XLOOKUP(Quota_tbl[[#This Row],[Rep_ID]],Dim_Reps!A:A,Dim_Reps!C:C)</f>
        <v>SDR / Inside Sales Rep</v>
      </c>
      <c r="H330" t="str">
        <f>_xlfn.XLOOKUP(Quota_tbl[[#This Row],[Rep_ID]],Dim_Reps!A:A,Dim_Reps!D:D)</f>
        <v>Inside Sales</v>
      </c>
      <c r="I330" t="str">
        <f>_xlfn.XLOOKUP(Quota_tbl[[#This Row],[Rep_ID]],Dim_Reps!A:A,Dim_Reps!E:E)</f>
        <v>EMEA</v>
      </c>
      <c r="J330" t="str">
        <f>_xlfn.XLOOKUP(Quota_tbl[[#This Row],[Period_Start_Date]],Dim_Date!A:A,Dim_Date!H:H)</f>
        <v>Dec 2025</v>
      </c>
    </row>
    <row r="331" spans="1:10" ht="15" customHeight="1" x14ac:dyDescent="0.2">
      <c r="A331" t="s">
        <v>253</v>
      </c>
      <c r="B331" s="49">
        <v>45748</v>
      </c>
      <c r="C331">
        <v>0</v>
      </c>
      <c r="D331" s="33">
        <v>5400</v>
      </c>
      <c r="E331" t="str">
        <f>_xlfn.XLOOKUP(Quota_tbl[[#This Row],[Rep_ID]],Dim_Reps!A:A,Dim_Reps!K:K)</f>
        <v>EUR</v>
      </c>
      <c r="F331" s="33">
        <f>(_xlfn.XLOOKUP(Quota_tbl[[#This Row],[Rate_Code_Generalized]],Lookups!A:A,Lookups!B:B)*Quota_tbl[[#This Row],[Quota_Amount_USD]])</f>
        <v>5400</v>
      </c>
      <c r="G331" t="str">
        <f>_xlfn.XLOOKUP(Quota_tbl[[#This Row],[Rep_ID]],Dim_Reps!A:A,Dim_Reps!C:C)</f>
        <v>Mid-Market AE</v>
      </c>
      <c r="H331" t="str">
        <f>_xlfn.XLOOKUP(Quota_tbl[[#This Row],[Rep_ID]],Dim_Reps!A:A,Dim_Reps!D:D)</f>
        <v>Mid-Market</v>
      </c>
      <c r="I331" t="str">
        <f>_xlfn.XLOOKUP(Quota_tbl[[#This Row],[Rep_ID]],Dim_Reps!A:A,Dim_Reps!E:E)</f>
        <v>APAC</v>
      </c>
      <c r="J331" t="str">
        <f>_xlfn.XLOOKUP(Quota_tbl[[#This Row],[Period_Start_Date]],Dim_Date!A:A,Dim_Date!H:H)</f>
        <v>Apr 2025</v>
      </c>
    </row>
    <row r="332" spans="1:10" ht="15" customHeight="1" x14ac:dyDescent="0.2">
      <c r="A332" t="s">
        <v>253</v>
      </c>
      <c r="B332" s="49">
        <v>45778</v>
      </c>
      <c r="C332">
        <v>1</v>
      </c>
      <c r="D332" s="33">
        <v>11000</v>
      </c>
      <c r="E332" t="str">
        <f>_xlfn.XLOOKUP(Quota_tbl[[#This Row],[Rep_ID]],Dim_Reps!A:A,Dim_Reps!K:K)</f>
        <v>EUR</v>
      </c>
      <c r="F332" s="33">
        <f>(_xlfn.XLOOKUP(Quota_tbl[[#This Row],[Rate_Code_Generalized]],Lookups!A:A,Lookups!B:B)*Quota_tbl[[#This Row],[Quota_Amount_USD]])</f>
        <v>11000</v>
      </c>
      <c r="G332" t="str">
        <f>_xlfn.XLOOKUP(Quota_tbl[[#This Row],[Rep_ID]],Dim_Reps!A:A,Dim_Reps!C:C)</f>
        <v>Mid-Market AE</v>
      </c>
      <c r="H332" t="str">
        <f>_xlfn.XLOOKUP(Quota_tbl[[#This Row],[Rep_ID]],Dim_Reps!A:A,Dim_Reps!D:D)</f>
        <v>Mid-Market</v>
      </c>
      <c r="I332" t="str">
        <f>_xlfn.XLOOKUP(Quota_tbl[[#This Row],[Rep_ID]],Dim_Reps!A:A,Dim_Reps!E:E)</f>
        <v>APAC</v>
      </c>
      <c r="J332" t="str">
        <f>_xlfn.XLOOKUP(Quota_tbl[[#This Row],[Period_Start_Date]],Dim_Date!A:A,Dim_Date!H:H)</f>
        <v>May 2025</v>
      </c>
    </row>
    <row r="333" spans="1:10" ht="15" customHeight="1" x14ac:dyDescent="0.2">
      <c r="A333" t="s">
        <v>253</v>
      </c>
      <c r="B333" s="49">
        <v>45809</v>
      </c>
      <c r="C333">
        <v>2</v>
      </c>
      <c r="D333" s="33">
        <v>16700</v>
      </c>
      <c r="E333" t="str">
        <f>_xlfn.XLOOKUP(Quota_tbl[[#This Row],[Rep_ID]],Dim_Reps!A:A,Dim_Reps!K:K)</f>
        <v>EUR</v>
      </c>
      <c r="F333" s="33">
        <f>(_xlfn.XLOOKUP(Quota_tbl[[#This Row],[Rate_Code_Generalized]],Lookups!A:A,Lookups!B:B)*Quota_tbl[[#This Row],[Quota_Amount_USD]])</f>
        <v>16700</v>
      </c>
      <c r="G333" t="str">
        <f>_xlfn.XLOOKUP(Quota_tbl[[#This Row],[Rep_ID]],Dim_Reps!A:A,Dim_Reps!C:C)</f>
        <v>Mid-Market AE</v>
      </c>
      <c r="H333" t="str">
        <f>_xlfn.XLOOKUP(Quota_tbl[[#This Row],[Rep_ID]],Dim_Reps!A:A,Dim_Reps!D:D)</f>
        <v>Mid-Market</v>
      </c>
      <c r="I333" t="str">
        <f>_xlfn.XLOOKUP(Quota_tbl[[#This Row],[Rep_ID]],Dim_Reps!A:A,Dim_Reps!E:E)</f>
        <v>APAC</v>
      </c>
      <c r="J333" t="str">
        <f>_xlfn.XLOOKUP(Quota_tbl[[#This Row],[Period_Start_Date]],Dim_Date!A:A,Dim_Date!H:H)</f>
        <v>Jun 2025</v>
      </c>
    </row>
    <row r="334" spans="1:10" ht="15" customHeight="1" x14ac:dyDescent="0.2">
      <c r="A334" t="s">
        <v>253</v>
      </c>
      <c r="B334" s="49">
        <v>45839</v>
      </c>
      <c r="C334">
        <v>3</v>
      </c>
      <c r="D334" s="33">
        <v>23000</v>
      </c>
      <c r="E334" t="str">
        <f>_xlfn.XLOOKUP(Quota_tbl[[#This Row],[Rep_ID]],Dim_Reps!A:A,Dim_Reps!K:K)</f>
        <v>EUR</v>
      </c>
      <c r="F334" s="33">
        <f>(_xlfn.XLOOKUP(Quota_tbl[[#This Row],[Rate_Code_Generalized]],Lookups!A:A,Lookups!B:B)*Quota_tbl[[#This Row],[Quota_Amount_USD]])</f>
        <v>23000</v>
      </c>
      <c r="G334" t="str">
        <f>_xlfn.XLOOKUP(Quota_tbl[[#This Row],[Rep_ID]],Dim_Reps!A:A,Dim_Reps!C:C)</f>
        <v>Mid-Market AE</v>
      </c>
      <c r="H334" t="str">
        <f>_xlfn.XLOOKUP(Quota_tbl[[#This Row],[Rep_ID]],Dim_Reps!A:A,Dim_Reps!D:D)</f>
        <v>Mid-Market</v>
      </c>
      <c r="I334" t="str">
        <f>_xlfn.XLOOKUP(Quota_tbl[[#This Row],[Rep_ID]],Dim_Reps!A:A,Dim_Reps!E:E)</f>
        <v>APAC</v>
      </c>
      <c r="J334" t="str">
        <f>_xlfn.XLOOKUP(Quota_tbl[[#This Row],[Period_Start_Date]],Dim_Date!A:A,Dim_Date!H:H)</f>
        <v>Jul 2025</v>
      </c>
    </row>
    <row r="335" spans="1:10" ht="15" customHeight="1" x14ac:dyDescent="0.2">
      <c r="A335" t="s">
        <v>253</v>
      </c>
      <c r="B335" s="49">
        <v>45870</v>
      </c>
      <c r="C335">
        <v>4</v>
      </c>
      <c r="D335" s="33">
        <v>22600</v>
      </c>
      <c r="E335" t="str">
        <f>_xlfn.XLOOKUP(Quota_tbl[[#This Row],[Rep_ID]],Dim_Reps!A:A,Dim_Reps!K:K)</f>
        <v>EUR</v>
      </c>
      <c r="F335" s="33">
        <f>(_xlfn.XLOOKUP(Quota_tbl[[#This Row],[Rate_Code_Generalized]],Lookups!A:A,Lookups!B:B)*Quota_tbl[[#This Row],[Quota_Amount_USD]])</f>
        <v>22600</v>
      </c>
      <c r="G335" t="str">
        <f>_xlfn.XLOOKUP(Quota_tbl[[#This Row],[Rep_ID]],Dim_Reps!A:A,Dim_Reps!C:C)</f>
        <v>Mid-Market AE</v>
      </c>
      <c r="H335" t="str">
        <f>_xlfn.XLOOKUP(Quota_tbl[[#This Row],[Rep_ID]],Dim_Reps!A:A,Dim_Reps!D:D)</f>
        <v>Mid-Market</v>
      </c>
      <c r="I335" t="str">
        <f>_xlfn.XLOOKUP(Quota_tbl[[#This Row],[Rep_ID]],Dim_Reps!A:A,Dim_Reps!E:E)</f>
        <v>APAC</v>
      </c>
      <c r="J335" t="str">
        <f>_xlfn.XLOOKUP(Quota_tbl[[#This Row],[Period_Start_Date]],Dim_Date!A:A,Dim_Date!H:H)</f>
        <v>Aug 2025</v>
      </c>
    </row>
    <row r="336" spans="1:10" ht="15" customHeight="1" x14ac:dyDescent="0.2">
      <c r="A336" t="s">
        <v>253</v>
      </c>
      <c r="B336" s="49">
        <v>45901</v>
      </c>
      <c r="C336">
        <v>5</v>
      </c>
      <c r="D336" s="33">
        <v>23400</v>
      </c>
      <c r="E336" t="str">
        <f>_xlfn.XLOOKUP(Quota_tbl[[#This Row],[Rep_ID]],Dim_Reps!A:A,Dim_Reps!K:K)</f>
        <v>EUR</v>
      </c>
      <c r="F336" s="33">
        <f>(_xlfn.XLOOKUP(Quota_tbl[[#This Row],[Rate_Code_Generalized]],Lookups!A:A,Lookups!B:B)*Quota_tbl[[#This Row],[Quota_Amount_USD]])</f>
        <v>23400</v>
      </c>
      <c r="G336" t="str">
        <f>_xlfn.XLOOKUP(Quota_tbl[[#This Row],[Rep_ID]],Dim_Reps!A:A,Dim_Reps!C:C)</f>
        <v>Mid-Market AE</v>
      </c>
      <c r="H336" t="str">
        <f>_xlfn.XLOOKUP(Quota_tbl[[#This Row],[Rep_ID]],Dim_Reps!A:A,Dim_Reps!D:D)</f>
        <v>Mid-Market</v>
      </c>
      <c r="I336" t="str">
        <f>_xlfn.XLOOKUP(Quota_tbl[[#This Row],[Rep_ID]],Dim_Reps!A:A,Dim_Reps!E:E)</f>
        <v>APAC</v>
      </c>
      <c r="J336" t="str">
        <f>_xlfn.XLOOKUP(Quota_tbl[[#This Row],[Period_Start_Date]],Dim_Date!A:A,Dim_Date!H:H)</f>
        <v>Sep 2025</v>
      </c>
    </row>
    <row r="337" spans="1:10" ht="15" customHeight="1" x14ac:dyDescent="0.2">
      <c r="A337" t="s">
        <v>253</v>
      </c>
      <c r="B337" s="49">
        <v>45931</v>
      </c>
      <c r="C337">
        <v>6</v>
      </c>
      <c r="D337" s="33">
        <v>21500</v>
      </c>
      <c r="E337" t="str">
        <f>_xlfn.XLOOKUP(Quota_tbl[[#This Row],[Rep_ID]],Dim_Reps!A:A,Dim_Reps!K:K)</f>
        <v>EUR</v>
      </c>
      <c r="F337" s="33">
        <f>(_xlfn.XLOOKUP(Quota_tbl[[#This Row],[Rate_Code_Generalized]],Lookups!A:A,Lookups!B:B)*Quota_tbl[[#This Row],[Quota_Amount_USD]])</f>
        <v>21500</v>
      </c>
      <c r="G337" t="str">
        <f>_xlfn.XLOOKUP(Quota_tbl[[#This Row],[Rep_ID]],Dim_Reps!A:A,Dim_Reps!C:C)</f>
        <v>Mid-Market AE</v>
      </c>
      <c r="H337" t="str">
        <f>_xlfn.XLOOKUP(Quota_tbl[[#This Row],[Rep_ID]],Dim_Reps!A:A,Dim_Reps!D:D)</f>
        <v>Mid-Market</v>
      </c>
      <c r="I337" t="str">
        <f>_xlfn.XLOOKUP(Quota_tbl[[#This Row],[Rep_ID]],Dim_Reps!A:A,Dim_Reps!E:E)</f>
        <v>APAC</v>
      </c>
      <c r="J337" t="str">
        <f>_xlfn.XLOOKUP(Quota_tbl[[#This Row],[Period_Start_Date]],Dim_Date!A:A,Dim_Date!H:H)</f>
        <v>Oct 2025</v>
      </c>
    </row>
    <row r="338" spans="1:10" ht="15" customHeight="1" x14ac:dyDescent="0.2">
      <c r="A338" t="s">
        <v>253</v>
      </c>
      <c r="B338" s="49">
        <v>45962</v>
      </c>
      <c r="C338">
        <v>7</v>
      </c>
      <c r="D338" s="33">
        <v>22600</v>
      </c>
      <c r="E338" t="str">
        <f>_xlfn.XLOOKUP(Quota_tbl[[#This Row],[Rep_ID]],Dim_Reps!A:A,Dim_Reps!K:K)</f>
        <v>EUR</v>
      </c>
      <c r="F338" s="33">
        <f>(_xlfn.XLOOKUP(Quota_tbl[[#This Row],[Rate_Code_Generalized]],Lookups!A:A,Lookups!B:B)*Quota_tbl[[#This Row],[Quota_Amount_USD]])</f>
        <v>22600</v>
      </c>
      <c r="G338" t="str">
        <f>_xlfn.XLOOKUP(Quota_tbl[[#This Row],[Rep_ID]],Dim_Reps!A:A,Dim_Reps!C:C)</f>
        <v>Mid-Market AE</v>
      </c>
      <c r="H338" t="str">
        <f>_xlfn.XLOOKUP(Quota_tbl[[#This Row],[Rep_ID]],Dim_Reps!A:A,Dim_Reps!D:D)</f>
        <v>Mid-Market</v>
      </c>
      <c r="I338" t="str">
        <f>_xlfn.XLOOKUP(Quota_tbl[[#This Row],[Rep_ID]],Dim_Reps!A:A,Dim_Reps!E:E)</f>
        <v>APAC</v>
      </c>
      <c r="J338" t="str">
        <f>_xlfn.XLOOKUP(Quota_tbl[[#This Row],[Period_Start_Date]],Dim_Date!A:A,Dim_Date!H:H)</f>
        <v>Nov 2025</v>
      </c>
    </row>
    <row r="339" spans="1:10" ht="15" customHeight="1" x14ac:dyDescent="0.2">
      <c r="A339" t="s">
        <v>253</v>
      </c>
      <c r="B339" s="49">
        <v>45992</v>
      </c>
      <c r="C339">
        <v>8</v>
      </c>
      <c r="D339" s="33">
        <v>22100</v>
      </c>
      <c r="E339" t="str">
        <f>_xlfn.XLOOKUP(Quota_tbl[[#This Row],[Rep_ID]],Dim_Reps!A:A,Dim_Reps!K:K)</f>
        <v>EUR</v>
      </c>
      <c r="F339" s="33">
        <f>(_xlfn.XLOOKUP(Quota_tbl[[#This Row],[Rate_Code_Generalized]],Lookups!A:A,Lookups!B:B)*Quota_tbl[[#This Row],[Quota_Amount_USD]])</f>
        <v>22100</v>
      </c>
      <c r="G339" t="str">
        <f>_xlfn.XLOOKUP(Quota_tbl[[#This Row],[Rep_ID]],Dim_Reps!A:A,Dim_Reps!C:C)</f>
        <v>Mid-Market AE</v>
      </c>
      <c r="H339" t="str">
        <f>_xlfn.XLOOKUP(Quota_tbl[[#This Row],[Rep_ID]],Dim_Reps!A:A,Dim_Reps!D:D)</f>
        <v>Mid-Market</v>
      </c>
      <c r="I339" t="str">
        <f>_xlfn.XLOOKUP(Quota_tbl[[#This Row],[Rep_ID]],Dim_Reps!A:A,Dim_Reps!E:E)</f>
        <v>APAC</v>
      </c>
      <c r="J339" t="str">
        <f>_xlfn.XLOOKUP(Quota_tbl[[#This Row],[Period_Start_Date]],Dim_Date!A:A,Dim_Date!H:H)</f>
        <v>Dec 2025</v>
      </c>
    </row>
    <row r="340" spans="1:10" ht="15" customHeight="1" x14ac:dyDescent="0.2">
      <c r="A340" t="s">
        <v>215</v>
      </c>
      <c r="B340" s="49">
        <v>45292</v>
      </c>
      <c r="C340">
        <v>0</v>
      </c>
      <c r="D340" s="33">
        <v>4100</v>
      </c>
      <c r="E340" t="str">
        <f>_xlfn.XLOOKUP(Quota_tbl[[#This Row],[Rep_ID]],Dim_Reps!A:A,Dim_Reps!K:K)</f>
        <v>EUR</v>
      </c>
      <c r="F340" s="33">
        <f>(_xlfn.XLOOKUP(Quota_tbl[[#This Row],[Rate_Code_Generalized]],Lookups!A:A,Lookups!B:B)*Quota_tbl[[#This Row],[Quota_Amount_USD]])</f>
        <v>4100</v>
      </c>
      <c r="G340" t="str">
        <f>_xlfn.XLOOKUP(Quota_tbl[[#This Row],[Rep_ID]],Dim_Reps!A:A,Dim_Reps!C:C)</f>
        <v>SDR / Inside Sales Rep</v>
      </c>
      <c r="H340" t="str">
        <f>_xlfn.XLOOKUP(Quota_tbl[[#This Row],[Rep_ID]],Dim_Reps!A:A,Dim_Reps!D:D)</f>
        <v>Inside Sales</v>
      </c>
      <c r="I340" t="str">
        <f>_xlfn.XLOOKUP(Quota_tbl[[#This Row],[Rep_ID]],Dim_Reps!A:A,Dim_Reps!E:E)</f>
        <v>APAC</v>
      </c>
      <c r="J340" t="str">
        <f>_xlfn.XLOOKUP(Quota_tbl[[#This Row],[Period_Start_Date]],Dim_Date!A:A,Dim_Date!H:H)</f>
        <v>Jan 2024</v>
      </c>
    </row>
    <row r="341" spans="1:10" ht="15" customHeight="1" x14ac:dyDescent="0.2">
      <c r="A341" t="s">
        <v>215</v>
      </c>
      <c r="B341" s="49">
        <v>45323</v>
      </c>
      <c r="C341">
        <v>1</v>
      </c>
      <c r="D341" s="33">
        <v>7600</v>
      </c>
      <c r="E341" t="str">
        <f>_xlfn.XLOOKUP(Quota_tbl[[#This Row],[Rep_ID]],Dim_Reps!A:A,Dim_Reps!K:K)</f>
        <v>EUR</v>
      </c>
      <c r="F341" s="33">
        <f>(_xlfn.XLOOKUP(Quota_tbl[[#This Row],[Rate_Code_Generalized]],Lookups!A:A,Lookups!B:B)*Quota_tbl[[#This Row],[Quota_Amount_USD]])</f>
        <v>7600</v>
      </c>
      <c r="G341" t="str">
        <f>_xlfn.XLOOKUP(Quota_tbl[[#This Row],[Rep_ID]],Dim_Reps!A:A,Dim_Reps!C:C)</f>
        <v>SDR / Inside Sales Rep</v>
      </c>
      <c r="H341" t="str">
        <f>_xlfn.XLOOKUP(Quota_tbl[[#This Row],[Rep_ID]],Dim_Reps!A:A,Dim_Reps!D:D)</f>
        <v>Inside Sales</v>
      </c>
      <c r="I341" t="str">
        <f>_xlfn.XLOOKUP(Quota_tbl[[#This Row],[Rep_ID]],Dim_Reps!A:A,Dim_Reps!E:E)</f>
        <v>APAC</v>
      </c>
      <c r="J341" t="str">
        <f>_xlfn.XLOOKUP(Quota_tbl[[#This Row],[Period_Start_Date]],Dim_Date!A:A,Dim_Date!H:H)</f>
        <v>Feb 2024</v>
      </c>
    </row>
    <row r="342" spans="1:10" ht="15" customHeight="1" x14ac:dyDescent="0.2">
      <c r="A342" t="s">
        <v>215</v>
      </c>
      <c r="B342" s="49">
        <v>45352</v>
      </c>
      <c r="C342">
        <v>2</v>
      </c>
      <c r="D342" s="33">
        <v>11300</v>
      </c>
      <c r="E342" t="str">
        <f>_xlfn.XLOOKUP(Quota_tbl[[#This Row],[Rep_ID]],Dim_Reps!A:A,Dim_Reps!K:K)</f>
        <v>EUR</v>
      </c>
      <c r="F342" s="33">
        <f>(_xlfn.XLOOKUP(Quota_tbl[[#This Row],[Rate_Code_Generalized]],Lookups!A:A,Lookups!B:B)*Quota_tbl[[#This Row],[Quota_Amount_USD]])</f>
        <v>11300</v>
      </c>
      <c r="G342" t="str">
        <f>_xlfn.XLOOKUP(Quota_tbl[[#This Row],[Rep_ID]],Dim_Reps!A:A,Dim_Reps!C:C)</f>
        <v>SDR / Inside Sales Rep</v>
      </c>
      <c r="H342" t="str">
        <f>_xlfn.XLOOKUP(Quota_tbl[[#This Row],[Rep_ID]],Dim_Reps!A:A,Dim_Reps!D:D)</f>
        <v>Inside Sales</v>
      </c>
      <c r="I342" t="str">
        <f>_xlfn.XLOOKUP(Quota_tbl[[#This Row],[Rep_ID]],Dim_Reps!A:A,Dim_Reps!E:E)</f>
        <v>APAC</v>
      </c>
      <c r="J342" t="str">
        <f>_xlfn.XLOOKUP(Quota_tbl[[#This Row],[Period_Start_Date]],Dim_Date!A:A,Dim_Date!H:H)</f>
        <v>Mar 2024</v>
      </c>
    </row>
    <row r="343" spans="1:10" ht="15" customHeight="1" x14ac:dyDescent="0.2">
      <c r="A343" t="s">
        <v>215</v>
      </c>
      <c r="B343" s="49">
        <v>45383</v>
      </c>
      <c r="C343">
        <v>3</v>
      </c>
      <c r="D343" s="33">
        <v>15200</v>
      </c>
      <c r="E343" t="str">
        <f>_xlfn.XLOOKUP(Quota_tbl[[#This Row],[Rep_ID]],Dim_Reps!A:A,Dim_Reps!K:K)</f>
        <v>EUR</v>
      </c>
      <c r="F343" s="33">
        <f>(_xlfn.XLOOKUP(Quota_tbl[[#This Row],[Rate_Code_Generalized]],Lookups!A:A,Lookups!B:B)*Quota_tbl[[#This Row],[Quota_Amount_USD]])</f>
        <v>15200</v>
      </c>
      <c r="G343" t="str">
        <f>_xlfn.XLOOKUP(Quota_tbl[[#This Row],[Rep_ID]],Dim_Reps!A:A,Dim_Reps!C:C)</f>
        <v>SDR / Inside Sales Rep</v>
      </c>
      <c r="H343" t="str">
        <f>_xlfn.XLOOKUP(Quota_tbl[[#This Row],[Rep_ID]],Dim_Reps!A:A,Dim_Reps!D:D)</f>
        <v>Inside Sales</v>
      </c>
      <c r="I343" t="str">
        <f>_xlfn.XLOOKUP(Quota_tbl[[#This Row],[Rep_ID]],Dim_Reps!A:A,Dim_Reps!E:E)</f>
        <v>APAC</v>
      </c>
      <c r="J343" t="str">
        <f>_xlfn.XLOOKUP(Quota_tbl[[#This Row],[Period_Start_Date]],Dim_Date!A:A,Dim_Date!H:H)</f>
        <v>Apr 2024</v>
      </c>
    </row>
    <row r="344" spans="1:10" ht="15" customHeight="1" x14ac:dyDescent="0.2">
      <c r="A344" t="s">
        <v>215</v>
      </c>
      <c r="B344" s="49">
        <v>45413</v>
      </c>
      <c r="C344">
        <v>4</v>
      </c>
      <c r="D344" s="33">
        <v>14500</v>
      </c>
      <c r="E344" t="str">
        <f>_xlfn.XLOOKUP(Quota_tbl[[#This Row],[Rep_ID]],Dim_Reps!A:A,Dim_Reps!K:K)</f>
        <v>EUR</v>
      </c>
      <c r="F344" s="33">
        <f>(_xlfn.XLOOKUP(Quota_tbl[[#This Row],[Rate_Code_Generalized]],Lookups!A:A,Lookups!B:B)*Quota_tbl[[#This Row],[Quota_Amount_USD]])</f>
        <v>14500</v>
      </c>
      <c r="G344" t="str">
        <f>_xlfn.XLOOKUP(Quota_tbl[[#This Row],[Rep_ID]],Dim_Reps!A:A,Dim_Reps!C:C)</f>
        <v>SDR / Inside Sales Rep</v>
      </c>
      <c r="H344" t="str">
        <f>_xlfn.XLOOKUP(Quota_tbl[[#This Row],[Rep_ID]],Dim_Reps!A:A,Dim_Reps!D:D)</f>
        <v>Inside Sales</v>
      </c>
      <c r="I344" t="str">
        <f>_xlfn.XLOOKUP(Quota_tbl[[#This Row],[Rep_ID]],Dim_Reps!A:A,Dim_Reps!E:E)</f>
        <v>APAC</v>
      </c>
      <c r="J344" t="str">
        <f>_xlfn.XLOOKUP(Quota_tbl[[#This Row],[Period_Start_Date]],Dim_Date!A:A,Dim_Date!H:H)</f>
        <v>May 2024</v>
      </c>
    </row>
    <row r="345" spans="1:10" ht="15" customHeight="1" x14ac:dyDescent="0.2">
      <c r="A345" t="s">
        <v>215</v>
      </c>
      <c r="B345" s="49">
        <v>45444</v>
      </c>
      <c r="C345">
        <v>5</v>
      </c>
      <c r="D345" s="33">
        <v>15300</v>
      </c>
      <c r="E345" t="str">
        <f>_xlfn.XLOOKUP(Quota_tbl[[#This Row],[Rep_ID]],Dim_Reps!A:A,Dim_Reps!K:K)</f>
        <v>EUR</v>
      </c>
      <c r="F345" s="33">
        <f>(_xlfn.XLOOKUP(Quota_tbl[[#This Row],[Rate_Code_Generalized]],Lookups!A:A,Lookups!B:B)*Quota_tbl[[#This Row],[Quota_Amount_USD]])</f>
        <v>15300</v>
      </c>
      <c r="G345" t="str">
        <f>_xlfn.XLOOKUP(Quota_tbl[[#This Row],[Rep_ID]],Dim_Reps!A:A,Dim_Reps!C:C)</f>
        <v>SDR / Inside Sales Rep</v>
      </c>
      <c r="H345" t="str">
        <f>_xlfn.XLOOKUP(Quota_tbl[[#This Row],[Rep_ID]],Dim_Reps!A:A,Dim_Reps!D:D)</f>
        <v>Inside Sales</v>
      </c>
      <c r="I345" t="str">
        <f>_xlfn.XLOOKUP(Quota_tbl[[#This Row],[Rep_ID]],Dim_Reps!A:A,Dim_Reps!E:E)</f>
        <v>APAC</v>
      </c>
      <c r="J345" t="str">
        <f>_xlfn.XLOOKUP(Quota_tbl[[#This Row],[Period_Start_Date]],Dim_Date!A:A,Dim_Date!H:H)</f>
        <v>Jun 2024</v>
      </c>
    </row>
    <row r="346" spans="1:10" ht="15" customHeight="1" x14ac:dyDescent="0.2">
      <c r="A346" t="s">
        <v>215</v>
      </c>
      <c r="B346" s="49">
        <v>45474</v>
      </c>
      <c r="C346">
        <v>6</v>
      </c>
      <c r="D346" s="33">
        <v>15100</v>
      </c>
      <c r="E346" t="str">
        <f>_xlfn.XLOOKUP(Quota_tbl[[#This Row],[Rep_ID]],Dim_Reps!A:A,Dim_Reps!K:K)</f>
        <v>EUR</v>
      </c>
      <c r="F346" s="33">
        <f>(_xlfn.XLOOKUP(Quota_tbl[[#This Row],[Rate_Code_Generalized]],Lookups!A:A,Lookups!B:B)*Quota_tbl[[#This Row],[Quota_Amount_USD]])</f>
        <v>15100</v>
      </c>
      <c r="G346" t="str">
        <f>_xlfn.XLOOKUP(Quota_tbl[[#This Row],[Rep_ID]],Dim_Reps!A:A,Dim_Reps!C:C)</f>
        <v>SDR / Inside Sales Rep</v>
      </c>
      <c r="H346" t="str">
        <f>_xlfn.XLOOKUP(Quota_tbl[[#This Row],[Rep_ID]],Dim_Reps!A:A,Dim_Reps!D:D)</f>
        <v>Inside Sales</v>
      </c>
      <c r="I346" t="str">
        <f>_xlfn.XLOOKUP(Quota_tbl[[#This Row],[Rep_ID]],Dim_Reps!A:A,Dim_Reps!E:E)</f>
        <v>APAC</v>
      </c>
      <c r="J346" t="str">
        <f>_xlfn.XLOOKUP(Quota_tbl[[#This Row],[Period_Start_Date]],Dim_Date!A:A,Dim_Date!H:H)</f>
        <v>Jul 2024</v>
      </c>
    </row>
    <row r="347" spans="1:10" ht="15" customHeight="1" x14ac:dyDescent="0.2">
      <c r="A347" t="s">
        <v>215</v>
      </c>
      <c r="B347" s="49">
        <v>45505</v>
      </c>
      <c r="C347">
        <v>7</v>
      </c>
      <c r="D347" s="33">
        <v>15600</v>
      </c>
      <c r="E347" t="str">
        <f>_xlfn.XLOOKUP(Quota_tbl[[#This Row],[Rep_ID]],Dim_Reps!A:A,Dim_Reps!K:K)</f>
        <v>EUR</v>
      </c>
      <c r="F347" s="33">
        <f>(_xlfn.XLOOKUP(Quota_tbl[[#This Row],[Rate_Code_Generalized]],Lookups!A:A,Lookups!B:B)*Quota_tbl[[#This Row],[Quota_Amount_USD]])</f>
        <v>15600</v>
      </c>
      <c r="G347" t="str">
        <f>_xlfn.XLOOKUP(Quota_tbl[[#This Row],[Rep_ID]],Dim_Reps!A:A,Dim_Reps!C:C)</f>
        <v>SDR / Inside Sales Rep</v>
      </c>
      <c r="H347" t="str">
        <f>_xlfn.XLOOKUP(Quota_tbl[[#This Row],[Rep_ID]],Dim_Reps!A:A,Dim_Reps!D:D)</f>
        <v>Inside Sales</v>
      </c>
      <c r="I347" t="str">
        <f>_xlfn.XLOOKUP(Quota_tbl[[#This Row],[Rep_ID]],Dim_Reps!A:A,Dim_Reps!E:E)</f>
        <v>APAC</v>
      </c>
      <c r="J347" t="str">
        <f>_xlfn.XLOOKUP(Quota_tbl[[#This Row],[Period_Start_Date]],Dim_Date!A:A,Dim_Date!H:H)</f>
        <v>Aug 2024</v>
      </c>
    </row>
    <row r="348" spans="1:10" ht="15" customHeight="1" x14ac:dyDescent="0.2">
      <c r="A348" t="s">
        <v>215</v>
      </c>
      <c r="B348" s="49">
        <v>45536</v>
      </c>
      <c r="C348">
        <v>8</v>
      </c>
      <c r="D348" s="33">
        <v>15700</v>
      </c>
      <c r="E348" t="str">
        <f>_xlfn.XLOOKUP(Quota_tbl[[#This Row],[Rep_ID]],Dim_Reps!A:A,Dim_Reps!K:K)</f>
        <v>EUR</v>
      </c>
      <c r="F348" s="33">
        <f>(_xlfn.XLOOKUP(Quota_tbl[[#This Row],[Rate_Code_Generalized]],Lookups!A:A,Lookups!B:B)*Quota_tbl[[#This Row],[Quota_Amount_USD]])</f>
        <v>15700</v>
      </c>
      <c r="G348" t="str">
        <f>_xlfn.XLOOKUP(Quota_tbl[[#This Row],[Rep_ID]],Dim_Reps!A:A,Dim_Reps!C:C)</f>
        <v>SDR / Inside Sales Rep</v>
      </c>
      <c r="H348" t="str">
        <f>_xlfn.XLOOKUP(Quota_tbl[[#This Row],[Rep_ID]],Dim_Reps!A:A,Dim_Reps!D:D)</f>
        <v>Inside Sales</v>
      </c>
      <c r="I348" t="str">
        <f>_xlfn.XLOOKUP(Quota_tbl[[#This Row],[Rep_ID]],Dim_Reps!A:A,Dim_Reps!E:E)</f>
        <v>APAC</v>
      </c>
      <c r="J348" t="str">
        <f>_xlfn.XLOOKUP(Quota_tbl[[#This Row],[Period_Start_Date]],Dim_Date!A:A,Dim_Date!H:H)</f>
        <v>Sep 2024</v>
      </c>
    </row>
    <row r="349" spans="1:10" ht="15" customHeight="1" x14ac:dyDescent="0.2">
      <c r="A349" t="s">
        <v>215</v>
      </c>
      <c r="B349" s="49">
        <v>45566</v>
      </c>
      <c r="C349">
        <v>9</v>
      </c>
      <c r="D349" s="33">
        <v>16400</v>
      </c>
      <c r="E349" t="str">
        <f>_xlfn.XLOOKUP(Quota_tbl[[#This Row],[Rep_ID]],Dim_Reps!A:A,Dim_Reps!K:K)</f>
        <v>EUR</v>
      </c>
      <c r="F349" s="33">
        <f>(_xlfn.XLOOKUP(Quota_tbl[[#This Row],[Rate_Code_Generalized]],Lookups!A:A,Lookups!B:B)*Quota_tbl[[#This Row],[Quota_Amount_USD]])</f>
        <v>16400</v>
      </c>
      <c r="G349" t="str">
        <f>_xlfn.XLOOKUP(Quota_tbl[[#This Row],[Rep_ID]],Dim_Reps!A:A,Dim_Reps!C:C)</f>
        <v>SDR / Inside Sales Rep</v>
      </c>
      <c r="H349" t="str">
        <f>_xlfn.XLOOKUP(Quota_tbl[[#This Row],[Rep_ID]],Dim_Reps!A:A,Dim_Reps!D:D)</f>
        <v>Inside Sales</v>
      </c>
      <c r="I349" t="str">
        <f>_xlfn.XLOOKUP(Quota_tbl[[#This Row],[Rep_ID]],Dim_Reps!A:A,Dim_Reps!E:E)</f>
        <v>APAC</v>
      </c>
      <c r="J349" t="str">
        <f>_xlfn.XLOOKUP(Quota_tbl[[#This Row],[Period_Start_Date]],Dim_Date!A:A,Dim_Date!H:H)</f>
        <v>Oct 2024</v>
      </c>
    </row>
    <row r="350" spans="1:10" ht="15" customHeight="1" x14ac:dyDescent="0.2">
      <c r="A350" t="s">
        <v>215</v>
      </c>
      <c r="B350" s="49">
        <v>45597</v>
      </c>
      <c r="C350">
        <v>10</v>
      </c>
      <c r="D350" s="33">
        <v>15900</v>
      </c>
      <c r="E350" t="str">
        <f>_xlfn.XLOOKUP(Quota_tbl[[#This Row],[Rep_ID]],Dim_Reps!A:A,Dim_Reps!K:K)</f>
        <v>EUR</v>
      </c>
      <c r="F350" s="33">
        <f>(_xlfn.XLOOKUP(Quota_tbl[[#This Row],[Rate_Code_Generalized]],Lookups!A:A,Lookups!B:B)*Quota_tbl[[#This Row],[Quota_Amount_USD]])</f>
        <v>15900</v>
      </c>
      <c r="G350" t="str">
        <f>_xlfn.XLOOKUP(Quota_tbl[[#This Row],[Rep_ID]],Dim_Reps!A:A,Dim_Reps!C:C)</f>
        <v>SDR / Inside Sales Rep</v>
      </c>
      <c r="H350" t="str">
        <f>_xlfn.XLOOKUP(Quota_tbl[[#This Row],[Rep_ID]],Dim_Reps!A:A,Dim_Reps!D:D)</f>
        <v>Inside Sales</v>
      </c>
      <c r="I350" t="str">
        <f>_xlfn.XLOOKUP(Quota_tbl[[#This Row],[Rep_ID]],Dim_Reps!A:A,Dim_Reps!E:E)</f>
        <v>APAC</v>
      </c>
      <c r="J350" t="str">
        <f>_xlfn.XLOOKUP(Quota_tbl[[#This Row],[Period_Start_Date]],Dim_Date!A:A,Dim_Date!H:H)</f>
        <v>Nov 2024</v>
      </c>
    </row>
    <row r="351" spans="1:10" ht="15" customHeight="1" x14ac:dyDescent="0.2">
      <c r="A351" t="s">
        <v>215</v>
      </c>
      <c r="B351" s="49">
        <v>45627</v>
      </c>
      <c r="C351">
        <v>11</v>
      </c>
      <c r="D351" s="33">
        <v>15200</v>
      </c>
      <c r="E351" t="str">
        <f>_xlfn.XLOOKUP(Quota_tbl[[#This Row],[Rep_ID]],Dim_Reps!A:A,Dim_Reps!K:K)</f>
        <v>EUR</v>
      </c>
      <c r="F351" s="33">
        <f>(_xlfn.XLOOKUP(Quota_tbl[[#This Row],[Rate_Code_Generalized]],Lookups!A:A,Lookups!B:B)*Quota_tbl[[#This Row],[Quota_Amount_USD]])</f>
        <v>15200</v>
      </c>
      <c r="G351" t="str">
        <f>_xlfn.XLOOKUP(Quota_tbl[[#This Row],[Rep_ID]],Dim_Reps!A:A,Dim_Reps!C:C)</f>
        <v>SDR / Inside Sales Rep</v>
      </c>
      <c r="H351" t="str">
        <f>_xlfn.XLOOKUP(Quota_tbl[[#This Row],[Rep_ID]],Dim_Reps!A:A,Dim_Reps!D:D)</f>
        <v>Inside Sales</v>
      </c>
      <c r="I351" t="str">
        <f>_xlfn.XLOOKUP(Quota_tbl[[#This Row],[Rep_ID]],Dim_Reps!A:A,Dim_Reps!E:E)</f>
        <v>APAC</v>
      </c>
      <c r="J351" t="str">
        <f>_xlfn.XLOOKUP(Quota_tbl[[#This Row],[Period_Start_Date]],Dim_Date!A:A,Dim_Date!H:H)</f>
        <v>Dec 2024</v>
      </c>
    </row>
    <row r="352" spans="1:10" ht="15" customHeight="1" x14ac:dyDescent="0.2">
      <c r="A352" t="s">
        <v>215</v>
      </c>
      <c r="B352" s="49">
        <v>45658</v>
      </c>
      <c r="C352">
        <v>12</v>
      </c>
      <c r="D352" s="33">
        <v>15100</v>
      </c>
      <c r="E352" t="str">
        <f>_xlfn.XLOOKUP(Quota_tbl[[#This Row],[Rep_ID]],Dim_Reps!A:A,Dim_Reps!K:K)</f>
        <v>EUR</v>
      </c>
      <c r="F352" s="33">
        <f>(_xlfn.XLOOKUP(Quota_tbl[[#This Row],[Rate_Code_Generalized]],Lookups!A:A,Lookups!B:B)*Quota_tbl[[#This Row],[Quota_Amount_USD]])</f>
        <v>15100</v>
      </c>
      <c r="G352" t="str">
        <f>_xlfn.XLOOKUP(Quota_tbl[[#This Row],[Rep_ID]],Dim_Reps!A:A,Dim_Reps!C:C)</f>
        <v>SDR / Inside Sales Rep</v>
      </c>
      <c r="H352" t="str">
        <f>_xlfn.XLOOKUP(Quota_tbl[[#This Row],[Rep_ID]],Dim_Reps!A:A,Dim_Reps!D:D)</f>
        <v>Inside Sales</v>
      </c>
      <c r="I352" t="str">
        <f>_xlfn.XLOOKUP(Quota_tbl[[#This Row],[Rep_ID]],Dim_Reps!A:A,Dim_Reps!E:E)</f>
        <v>APAC</v>
      </c>
      <c r="J352" t="str">
        <f>_xlfn.XLOOKUP(Quota_tbl[[#This Row],[Period_Start_Date]],Dim_Date!A:A,Dim_Date!H:H)</f>
        <v>Jan 2025</v>
      </c>
    </row>
    <row r="353" spans="1:10" ht="15" customHeight="1" x14ac:dyDescent="0.2">
      <c r="A353" t="s">
        <v>215</v>
      </c>
      <c r="B353" s="49">
        <v>45689</v>
      </c>
      <c r="C353">
        <v>13</v>
      </c>
      <c r="D353" s="33">
        <v>15700</v>
      </c>
      <c r="E353" t="str">
        <f>_xlfn.XLOOKUP(Quota_tbl[[#This Row],[Rep_ID]],Dim_Reps!A:A,Dim_Reps!K:K)</f>
        <v>EUR</v>
      </c>
      <c r="F353" s="33">
        <f>(_xlfn.XLOOKUP(Quota_tbl[[#This Row],[Rate_Code_Generalized]],Lookups!A:A,Lookups!B:B)*Quota_tbl[[#This Row],[Quota_Amount_USD]])</f>
        <v>15700</v>
      </c>
      <c r="G353" t="str">
        <f>_xlfn.XLOOKUP(Quota_tbl[[#This Row],[Rep_ID]],Dim_Reps!A:A,Dim_Reps!C:C)</f>
        <v>SDR / Inside Sales Rep</v>
      </c>
      <c r="H353" t="str">
        <f>_xlfn.XLOOKUP(Quota_tbl[[#This Row],[Rep_ID]],Dim_Reps!A:A,Dim_Reps!D:D)</f>
        <v>Inside Sales</v>
      </c>
      <c r="I353" t="str">
        <f>_xlfn.XLOOKUP(Quota_tbl[[#This Row],[Rep_ID]],Dim_Reps!A:A,Dim_Reps!E:E)</f>
        <v>APAC</v>
      </c>
      <c r="J353" t="str">
        <f>_xlfn.XLOOKUP(Quota_tbl[[#This Row],[Period_Start_Date]],Dim_Date!A:A,Dim_Date!H:H)</f>
        <v>Feb 2025</v>
      </c>
    </row>
    <row r="354" spans="1:10" ht="15" customHeight="1" x14ac:dyDescent="0.2">
      <c r="A354" t="s">
        <v>215</v>
      </c>
      <c r="B354" s="49">
        <v>45717</v>
      </c>
      <c r="C354">
        <v>14</v>
      </c>
      <c r="D354" s="33">
        <v>14900</v>
      </c>
      <c r="E354" t="str">
        <f>_xlfn.XLOOKUP(Quota_tbl[[#This Row],[Rep_ID]],Dim_Reps!A:A,Dim_Reps!K:K)</f>
        <v>EUR</v>
      </c>
      <c r="F354" s="33">
        <f>(_xlfn.XLOOKUP(Quota_tbl[[#This Row],[Rate_Code_Generalized]],Lookups!A:A,Lookups!B:B)*Quota_tbl[[#This Row],[Quota_Amount_USD]])</f>
        <v>14900</v>
      </c>
      <c r="G354" t="str">
        <f>_xlfn.XLOOKUP(Quota_tbl[[#This Row],[Rep_ID]],Dim_Reps!A:A,Dim_Reps!C:C)</f>
        <v>SDR / Inside Sales Rep</v>
      </c>
      <c r="H354" t="str">
        <f>_xlfn.XLOOKUP(Quota_tbl[[#This Row],[Rep_ID]],Dim_Reps!A:A,Dim_Reps!D:D)</f>
        <v>Inside Sales</v>
      </c>
      <c r="I354" t="str">
        <f>_xlfn.XLOOKUP(Quota_tbl[[#This Row],[Rep_ID]],Dim_Reps!A:A,Dim_Reps!E:E)</f>
        <v>APAC</v>
      </c>
      <c r="J354" t="str">
        <f>_xlfn.XLOOKUP(Quota_tbl[[#This Row],[Period_Start_Date]],Dim_Date!A:A,Dim_Date!H:H)</f>
        <v>Mar 2025</v>
      </c>
    </row>
    <row r="355" spans="1:10" ht="15" customHeight="1" x14ac:dyDescent="0.2">
      <c r="A355" t="s">
        <v>215</v>
      </c>
      <c r="B355" s="49">
        <v>45748</v>
      </c>
      <c r="C355">
        <v>15</v>
      </c>
      <c r="D355" s="33">
        <v>16400</v>
      </c>
      <c r="E355" t="str">
        <f>_xlfn.XLOOKUP(Quota_tbl[[#This Row],[Rep_ID]],Dim_Reps!A:A,Dim_Reps!K:K)</f>
        <v>EUR</v>
      </c>
      <c r="F355" s="33">
        <f>(_xlfn.XLOOKUP(Quota_tbl[[#This Row],[Rate_Code_Generalized]],Lookups!A:A,Lookups!B:B)*Quota_tbl[[#This Row],[Quota_Amount_USD]])</f>
        <v>16400</v>
      </c>
      <c r="G355" t="str">
        <f>_xlfn.XLOOKUP(Quota_tbl[[#This Row],[Rep_ID]],Dim_Reps!A:A,Dim_Reps!C:C)</f>
        <v>SDR / Inside Sales Rep</v>
      </c>
      <c r="H355" t="str">
        <f>_xlfn.XLOOKUP(Quota_tbl[[#This Row],[Rep_ID]],Dim_Reps!A:A,Dim_Reps!D:D)</f>
        <v>Inside Sales</v>
      </c>
      <c r="I355" t="str">
        <f>_xlfn.XLOOKUP(Quota_tbl[[#This Row],[Rep_ID]],Dim_Reps!A:A,Dim_Reps!E:E)</f>
        <v>APAC</v>
      </c>
      <c r="J355" t="str">
        <f>_xlfn.XLOOKUP(Quota_tbl[[#This Row],[Period_Start_Date]],Dim_Date!A:A,Dim_Date!H:H)</f>
        <v>Apr 2025</v>
      </c>
    </row>
    <row r="356" spans="1:10" ht="15" customHeight="1" x14ac:dyDescent="0.2">
      <c r="A356" t="s">
        <v>215</v>
      </c>
      <c r="B356" s="49">
        <v>45778</v>
      </c>
      <c r="C356">
        <v>16</v>
      </c>
      <c r="D356" s="33">
        <v>16000</v>
      </c>
      <c r="E356" t="str">
        <f>_xlfn.XLOOKUP(Quota_tbl[[#This Row],[Rep_ID]],Dim_Reps!A:A,Dim_Reps!K:K)</f>
        <v>EUR</v>
      </c>
      <c r="F356" s="33">
        <f>(_xlfn.XLOOKUP(Quota_tbl[[#This Row],[Rate_Code_Generalized]],Lookups!A:A,Lookups!B:B)*Quota_tbl[[#This Row],[Quota_Amount_USD]])</f>
        <v>16000</v>
      </c>
      <c r="G356" t="str">
        <f>_xlfn.XLOOKUP(Quota_tbl[[#This Row],[Rep_ID]],Dim_Reps!A:A,Dim_Reps!C:C)</f>
        <v>SDR / Inside Sales Rep</v>
      </c>
      <c r="H356" t="str">
        <f>_xlfn.XLOOKUP(Quota_tbl[[#This Row],[Rep_ID]],Dim_Reps!A:A,Dim_Reps!D:D)</f>
        <v>Inside Sales</v>
      </c>
      <c r="I356" t="str">
        <f>_xlfn.XLOOKUP(Quota_tbl[[#This Row],[Rep_ID]],Dim_Reps!A:A,Dim_Reps!E:E)</f>
        <v>APAC</v>
      </c>
      <c r="J356" t="str">
        <f>_xlfn.XLOOKUP(Quota_tbl[[#This Row],[Period_Start_Date]],Dim_Date!A:A,Dim_Date!H:H)</f>
        <v>May 2025</v>
      </c>
    </row>
    <row r="357" spans="1:10" ht="15" customHeight="1" x14ac:dyDescent="0.2">
      <c r="A357" t="s">
        <v>215</v>
      </c>
      <c r="B357" s="49">
        <v>45809</v>
      </c>
      <c r="C357">
        <v>17</v>
      </c>
      <c r="D357" s="33">
        <v>15300</v>
      </c>
      <c r="E357" t="str">
        <f>_xlfn.XLOOKUP(Quota_tbl[[#This Row],[Rep_ID]],Dim_Reps!A:A,Dim_Reps!K:K)</f>
        <v>EUR</v>
      </c>
      <c r="F357" s="33">
        <f>(_xlfn.XLOOKUP(Quota_tbl[[#This Row],[Rate_Code_Generalized]],Lookups!A:A,Lookups!B:B)*Quota_tbl[[#This Row],[Quota_Amount_USD]])</f>
        <v>15300</v>
      </c>
      <c r="G357" t="str">
        <f>_xlfn.XLOOKUP(Quota_tbl[[#This Row],[Rep_ID]],Dim_Reps!A:A,Dim_Reps!C:C)</f>
        <v>SDR / Inside Sales Rep</v>
      </c>
      <c r="H357" t="str">
        <f>_xlfn.XLOOKUP(Quota_tbl[[#This Row],[Rep_ID]],Dim_Reps!A:A,Dim_Reps!D:D)</f>
        <v>Inside Sales</v>
      </c>
      <c r="I357" t="str">
        <f>_xlfn.XLOOKUP(Quota_tbl[[#This Row],[Rep_ID]],Dim_Reps!A:A,Dim_Reps!E:E)</f>
        <v>APAC</v>
      </c>
      <c r="J357" t="str">
        <f>_xlfn.XLOOKUP(Quota_tbl[[#This Row],[Period_Start_Date]],Dim_Date!A:A,Dim_Date!H:H)</f>
        <v>Jun 2025</v>
      </c>
    </row>
    <row r="358" spans="1:10" ht="15" customHeight="1" x14ac:dyDescent="0.2">
      <c r="A358" t="s">
        <v>215</v>
      </c>
      <c r="B358" s="49">
        <v>45839</v>
      </c>
      <c r="C358">
        <v>18</v>
      </c>
      <c r="D358" s="33">
        <v>14700</v>
      </c>
      <c r="E358" t="str">
        <f>_xlfn.XLOOKUP(Quota_tbl[[#This Row],[Rep_ID]],Dim_Reps!A:A,Dim_Reps!K:K)</f>
        <v>EUR</v>
      </c>
      <c r="F358" s="33">
        <f>(_xlfn.XLOOKUP(Quota_tbl[[#This Row],[Rate_Code_Generalized]],Lookups!A:A,Lookups!B:B)*Quota_tbl[[#This Row],[Quota_Amount_USD]])</f>
        <v>14700</v>
      </c>
      <c r="G358" t="str">
        <f>_xlfn.XLOOKUP(Quota_tbl[[#This Row],[Rep_ID]],Dim_Reps!A:A,Dim_Reps!C:C)</f>
        <v>SDR / Inside Sales Rep</v>
      </c>
      <c r="H358" t="str">
        <f>_xlfn.XLOOKUP(Quota_tbl[[#This Row],[Rep_ID]],Dim_Reps!A:A,Dim_Reps!D:D)</f>
        <v>Inside Sales</v>
      </c>
      <c r="I358" t="str">
        <f>_xlfn.XLOOKUP(Quota_tbl[[#This Row],[Rep_ID]],Dim_Reps!A:A,Dim_Reps!E:E)</f>
        <v>APAC</v>
      </c>
      <c r="J358" t="str">
        <f>_xlfn.XLOOKUP(Quota_tbl[[#This Row],[Period_Start_Date]],Dim_Date!A:A,Dim_Date!H:H)</f>
        <v>Jul 2025</v>
      </c>
    </row>
    <row r="359" spans="1:10" ht="15" customHeight="1" x14ac:dyDescent="0.2">
      <c r="A359" t="s">
        <v>215</v>
      </c>
      <c r="B359" s="49">
        <v>45870</v>
      </c>
      <c r="C359">
        <v>19</v>
      </c>
      <c r="D359" s="33">
        <v>16100</v>
      </c>
      <c r="E359" t="str">
        <f>_xlfn.XLOOKUP(Quota_tbl[[#This Row],[Rep_ID]],Dim_Reps!A:A,Dim_Reps!K:K)</f>
        <v>EUR</v>
      </c>
      <c r="F359" s="33">
        <f>(_xlfn.XLOOKUP(Quota_tbl[[#This Row],[Rate_Code_Generalized]],Lookups!A:A,Lookups!B:B)*Quota_tbl[[#This Row],[Quota_Amount_USD]])</f>
        <v>16100</v>
      </c>
      <c r="G359" t="str">
        <f>_xlfn.XLOOKUP(Quota_tbl[[#This Row],[Rep_ID]],Dim_Reps!A:A,Dim_Reps!C:C)</f>
        <v>SDR / Inside Sales Rep</v>
      </c>
      <c r="H359" t="str">
        <f>_xlfn.XLOOKUP(Quota_tbl[[#This Row],[Rep_ID]],Dim_Reps!A:A,Dim_Reps!D:D)</f>
        <v>Inside Sales</v>
      </c>
      <c r="I359" t="str">
        <f>_xlfn.XLOOKUP(Quota_tbl[[#This Row],[Rep_ID]],Dim_Reps!A:A,Dim_Reps!E:E)</f>
        <v>APAC</v>
      </c>
      <c r="J359" t="str">
        <f>_xlfn.XLOOKUP(Quota_tbl[[#This Row],[Period_Start_Date]],Dim_Date!A:A,Dim_Date!H:H)</f>
        <v>Aug 2025</v>
      </c>
    </row>
    <row r="360" spans="1:10" ht="15" customHeight="1" x14ac:dyDescent="0.2">
      <c r="A360" t="s">
        <v>215</v>
      </c>
      <c r="B360" s="49">
        <v>45901</v>
      </c>
      <c r="C360">
        <v>20</v>
      </c>
      <c r="D360" s="33">
        <v>15400</v>
      </c>
      <c r="E360" t="str">
        <f>_xlfn.XLOOKUP(Quota_tbl[[#This Row],[Rep_ID]],Dim_Reps!A:A,Dim_Reps!K:K)</f>
        <v>EUR</v>
      </c>
      <c r="F360" s="33">
        <f>(_xlfn.XLOOKUP(Quota_tbl[[#This Row],[Rate_Code_Generalized]],Lookups!A:A,Lookups!B:B)*Quota_tbl[[#This Row],[Quota_Amount_USD]])</f>
        <v>15400</v>
      </c>
      <c r="G360" t="str">
        <f>_xlfn.XLOOKUP(Quota_tbl[[#This Row],[Rep_ID]],Dim_Reps!A:A,Dim_Reps!C:C)</f>
        <v>SDR / Inside Sales Rep</v>
      </c>
      <c r="H360" t="str">
        <f>_xlfn.XLOOKUP(Quota_tbl[[#This Row],[Rep_ID]],Dim_Reps!A:A,Dim_Reps!D:D)</f>
        <v>Inside Sales</v>
      </c>
      <c r="I360" t="str">
        <f>_xlfn.XLOOKUP(Quota_tbl[[#This Row],[Rep_ID]],Dim_Reps!A:A,Dim_Reps!E:E)</f>
        <v>APAC</v>
      </c>
      <c r="J360" t="str">
        <f>_xlfn.XLOOKUP(Quota_tbl[[#This Row],[Period_Start_Date]],Dim_Date!A:A,Dim_Date!H:H)</f>
        <v>Sep 2025</v>
      </c>
    </row>
    <row r="361" spans="1:10" ht="15" customHeight="1" x14ac:dyDescent="0.2">
      <c r="A361" t="s">
        <v>215</v>
      </c>
      <c r="B361" s="49">
        <v>45931</v>
      </c>
      <c r="C361">
        <v>21</v>
      </c>
      <c r="D361" s="33">
        <v>16100</v>
      </c>
      <c r="E361" t="str">
        <f>_xlfn.XLOOKUP(Quota_tbl[[#This Row],[Rep_ID]],Dim_Reps!A:A,Dim_Reps!K:K)</f>
        <v>EUR</v>
      </c>
      <c r="F361" s="33">
        <f>(_xlfn.XLOOKUP(Quota_tbl[[#This Row],[Rate_Code_Generalized]],Lookups!A:A,Lookups!B:B)*Quota_tbl[[#This Row],[Quota_Amount_USD]])</f>
        <v>16100</v>
      </c>
      <c r="G361" t="str">
        <f>_xlfn.XLOOKUP(Quota_tbl[[#This Row],[Rep_ID]],Dim_Reps!A:A,Dim_Reps!C:C)</f>
        <v>SDR / Inside Sales Rep</v>
      </c>
      <c r="H361" t="str">
        <f>_xlfn.XLOOKUP(Quota_tbl[[#This Row],[Rep_ID]],Dim_Reps!A:A,Dim_Reps!D:D)</f>
        <v>Inside Sales</v>
      </c>
      <c r="I361" t="str">
        <f>_xlfn.XLOOKUP(Quota_tbl[[#This Row],[Rep_ID]],Dim_Reps!A:A,Dim_Reps!E:E)</f>
        <v>APAC</v>
      </c>
      <c r="J361" t="str">
        <f>_xlfn.XLOOKUP(Quota_tbl[[#This Row],[Period_Start_Date]],Dim_Date!A:A,Dim_Date!H:H)</f>
        <v>Oct 2025</v>
      </c>
    </row>
    <row r="362" spans="1:10" ht="15" customHeight="1" x14ac:dyDescent="0.2">
      <c r="A362" t="s">
        <v>215</v>
      </c>
      <c r="B362" s="49">
        <v>45962</v>
      </c>
      <c r="C362">
        <v>22</v>
      </c>
      <c r="D362" s="33">
        <v>14800</v>
      </c>
      <c r="E362" t="str">
        <f>_xlfn.XLOOKUP(Quota_tbl[[#This Row],[Rep_ID]],Dim_Reps!A:A,Dim_Reps!K:K)</f>
        <v>EUR</v>
      </c>
      <c r="F362" s="33">
        <f>(_xlfn.XLOOKUP(Quota_tbl[[#This Row],[Rate_Code_Generalized]],Lookups!A:A,Lookups!B:B)*Quota_tbl[[#This Row],[Quota_Amount_USD]])</f>
        <v>14800</v>
      </c>
      <c r="G362" t="str">
        <f>_xlfn.XLOOKUP(Quota_tbl[[#This Row],[Rep_ID]],Dim_Reps!A:A,Dim_Reps!C:C)</f>
        <v>SDR / Inside Sales Rep</v>
      </c>
      <c r="H362" t="str">
        <f>_xlfn.XLOOKUP(Quota_tbl[[#This Row],[Rep_ID]],Dim_Reps!A:A,Dim_Reps!D:D)</f>
        <v>Inside Sales</v>
      </c>
      <c r="I362" t="str">
        <f>_xlfn.XLOOKUP(Quota_tbl[[#This Row],[Rep_ID]],Dim_Reps!A:A,Dim_Reps!E:E)</f>
        <v>APAC</v>
      </c>
      <c r="J362" t="str">
        <f>_xlfn.XLOOKUP(Quota_tbl[[#This Row],[Period_Start_Date]],Dim_Date!A:A,Dim_Date!H:H)</f>
        <v>Nov 2025</v>
      </c>
    </row>
    <row r="363" spans="1:10" ht="15" customHeight="1" x14ac:dyDescent="0.2">
      <c r="A363" t="s">
        <v>215</v>
      </c>
      <c r="B363" s="49">
        <v>45992</v>
      </c>
      <c r="C363">
        <v>23</v>
      </c>
      <c r="D363" s="33">
        <v>15200</v>
      </c>
      <c r="E363" t="str">
        <f>_xlfn.XLOOKUP(Quota_tbl[[#This Row],[Rep_ID]],Dim_Reps!A:A,Dim_Reps!K:K)</f>
        <v>EUR</v>
      </c>
      <c r="F363" s="33">
        <f>(_xlfn.XLOOKUP(Quota_tbl[[#This Row],[Rate_Code_Generalized]],Lookups!A:A,Lookups!B:B)*Quota_tbl[[#This Row],[Quota_Amount_USD]])</f>
        <v>15200</v>
      </c>
      <c r="G363" t="str">
        <f>_xlfn.XLOOKUP(Quota_tbl[[#This Row],[Rep_ID]],Dim_Reps!A:A,Dim_Reps!C:C)</f>
        <v>SDR / Inside Sales Rep</v>
      </c>
      <c r="H363" t="str">
        <f>_xlfn.XLOOKUP(Quota_tbl[[#This Row],[Rep_ID]],Dim_Reps!A:A,Dim_Reps!D:D)</f>
        <v>Inside Sales</v>
      </c>
      <c r="I363" t="str">
        <f>_xlfn.XLOOKUP(Quota_tbl[[#This Row],[Rep_ID]],Dim_Reps!A:A,Dim_Reps!E:E)</f>
        <v>APAC</v>
      </c>
      <c r="J363" t="str">
        <f>_xlfn.XLOOKUP(Quota_tbl[[#This Row],[Period_Start_Date]],Dim_Date!A:A,Dim_Date!H:H)</f>
        <v>Dec 2025</v>
      </c>
    </row>
    <row r="364" spans="1:10" ht="15" customHeight="1" x14ac:dyDescent="0.2">
      <c r="A364" t="s">
        <v>217</v>
      </c>
      <c r="B364" s="49">
        <v>45292</v>
      </c>
      <c r="C364">
        <v>5</v>
      </c>
      <c r="D364" s="33">
        <v>15500</v>
      </c>
      <c r="E364" t="str">
        <f>_xlfn.XLOOKUP(Quota_tbl[[#This Row],[Rep_ID]],Dim_Reps!A:A,Dim_Reps!K:K)</f>
        <v>USD</v>
      </c>
      <c r="F364" s="33">
        <f>(_xlfn.XLOOKUP(Quota_tbl[[#This Row],[Rate_Code_Generalized]],Lookups!A:A,Lookups!B:B)*Quota_tbl[[#This Row],[Quota_Amount_USD]])</f>
        <v>18046.649999999998</v>
      </c>
      <c r="G364" t="str">
        <f>_xlfn.XLOOKUP(Quota_tbl[[#This Row],[Rep_ID]],Dim_Reps!A:A,Dim_Reps!C:C)</f>
        <v>SDR / Inside Sales Rep</v>
      </c>
      <c r="H364" t="str">
        <f>_xlfn.XLOOKUP(Quota_tbl[[#This Row],[Rep_ID]],Dim_Reps!A:A,Dim_Reps!D:D)</f>
        <v>Inside Sales</v>
      </c>
      <c r="I364" t="str">
        <f>_xlfn.XLOOKUP(Quota_tbl[[#This Row],[Rep_ID]],Dim_Reps!A:A,Dim_Reps!E:E)</f>
        <v>NAMER</v>
      </c>
      <c r="J364" t="str">
        <f>_xlfn.XLOOKUP(Quota_tbl[[#This Row],[Period_Start_Date]],Dim_Date!A:A,Dim_Date!H:H)</f>
        <v>Jan 2024</v>
      </c>
    </row>
    <row r="365" spans="1:10" ht="15" customHeight="1" x14ac:dyDescent="0.2">
      <c r="A365" t="s">
        <v>217</v>
      </c>
      <c r="B365" s="49">
        <v>45323</v>
      </c>
      <c r="C365">
        <v>6</v>
      </c>
      <c r="D365" s="33">
        <v>15500</v>
      </c>
      <c r="E365" t="str">
        <f>_xlfn.XLOOKUP(Quota_tbl[[#This Row],[Rep_ID]],Dim_Reps!A:A,Dim_Reps!K:K)</f>
        <v>USD</v>
      </c>
      <c r="F365" s="33">
        <f>(_xlfn.XLOOKUP(Quota_tbl[[#This Row],[Rate_Code_Generalized]],Lookups!A:A,Lookups!B:B)*Quota_tbl[[#This Row],[Quota_Amount_USD]])</f>
        <v>18046.649999999998</v>
      </c>
      <c r="G365" t="str">
        <f>_xlfn.XLOOKUP(Quota_tbl[[#This Row],[Rep_ID]],Dim_Reps!A:A,Dim_Reps!C:C)</f>
        <v>SDR / Inside Sales Rep</v>
      </c>
      <c r="H365" t="str">
        <f>_xlfn.XLOOKUP(Quota_tbl[[#This Row],[Rep_ID]],Dim_Reps!A:A,Dim_Reps!D:D)</f>
        <v>Inside Sales</v>
      </c>
      <c r="I365" t="str">
        <f>_xlfn.XLOOKUP(Quota_tbl[[#This Row],[Rep_ID]],Dim_Reps!A:A,Dim_Reps!E:E)</f>
        <v>NAMER</v>
      </c>
      <c r="J365" t="str">
        <f>_xlfn.XLOOKUP(Quota_tbl[[#This Row],[Period_Start_Date]],Dim_Date!A:A,Dim_Date!H:H)</f>
        <v>Feb 2024</v>
      </c>
    </row>
    <row r="366" spans="1:10" ht="15" customHeight="1" x14ac:dyDescent="0.2">
      <c r="A366" t="s">
        <v>217</v>
      </c>
      <c r="B366" s="49">
        <v>45352</v>
      </c>
      <c r="C366">
        <v>7</v>
      </c>
      <c r="D366" s="33">
        <v>15300</v>
      </c>
      <c r="E366" t="str">
        <f>_xlfn.XLOOKUP(Quota_tbl[[#This Row],[Rep_ID]],Dim_Reps!A:A,Dim_Reps!K:K)</f>
        <v>USD</v>
      </c>
      <c r="F366" s="33">
        <f>(_xlfn.XLOOKUP(Quota_tbl[[#This Row],[Rate_Code_Generalized]],Lookups!A:A,Lookups!B:B)*Quota_tbl[[#This Row],[Quota_Amount_USD]])</f>
        <v>17813.789999999997</v>
      </c>
      <c r="G366" t="str">
        <f>_xlfn.XLOOKUP(Quota_tbl[[#This Row],[Rep_ID]],Dim_Reps!A:A,Dim_Reps!C:C)</f>
        <v>SDR / Inside Sales Rep</v>
      </c>
      <c r="H366" t="str">
        <f>_xlfn.XLOOKUP(Quota_tbl[[#This Row],[Rep_ID]],Dim_Reps!A:A,Dim_Reps!D:D)</f>
        <v>Inside Sales</v>
      </c>
      <c r="I366" t="str">
        <f>_xlfn.XLOOKUP(Quota_tbl[[#This Row],[Rep_ID]],Dim_Reps!A:A,Dim_Reps!E:E)</f>
        <v>NAMER</v>
      </c>
      <c r="J366" t="str">
        <f>_xlfn.XLOOKUP(Quota_tbl[[#This Row],[Period_Start_Date]],Dim_Date!A:A,Dim_Date!H:H)</f>
        <v>Mar 2024</v>
      </c>
    </row>
    <row r="367" spans="1:10" ht="15" customHeight="1" x14ac:dyDescent="0.2">
      <c r="A367" t="s">
        <v>217</v>
      </c>
      <c r="B367" s="49">
        <v>45383</v>
      </c>
      <c r="C367">
        <v>8</v>
      </c>
      <c r="D367" s="33">
        <v>15800</v>
      </c>
      <c r="E367" t="str">
        <f>_xlfn.XLOOKUP(Quota_tbl[[#This Row],[Rep_ID]],Dim_Reps!A:A,Dim_Reps!K:K)</f>
        <v>USD</v>
      </c>
      <c r="F367" s="33">
        <f>(_xlfn.XLOOKUP(Quota_tbl[[#This Row],[Rate_Code_Generalized]],Lookups!A:A,Lookups!B:B)*Quota_tbl[[#This Row],[Quota_Amount_USD]])</f>
        <v>18395.939999999999</v>
      </c>
      <c r="G367" t="str">
        <f>_xlfn.XLOOKUP(Quota_tbl[[#This Row],[Rep_ID]],Dim_Reps!A:A,Dim_Reps!C:C)</f>
        <v>SDR / Inside Sales Rep</v>
      </c>
      <c r="H367" t="str">
        <f>_xlfn.XLOOKUP(Quota_tbl[[#This Row],[Rep_ID]],Dim_Reps!A:A,Dim_Reps!D:D)</f>
        <v>Inside Sales</v>
      </c>
      <c r="I367" t="str">
        <f>_xlfn.XLOOKUP(Quota_tbl[[#This Row],[Rep_ID]],Dim_Reps!A:A,Dim_Reps!E:E)</f>
        <v>NAMER</v>
      </c>
      <c r="J367" t="str">
        <f>_xlfn.XLOOKUP(Quota_tbl[[#This Row],[Period_Start_Date]],Dim_Date!A:A,Dim_Date!H:H)</f>
        <v>Apr 2024</v>
      </c>
    </row>
    <row r="368" spans="1:10" ht="15" customHeight="1" x14ac:dyDescent="0.2">
      <c r="A368" t="s">
        <v>217</v>
      </c>
      <c r="B368" s="49">
        <v>45413</v>
      </c>
      <c r="C368">
        <v>9</v>
      </c>
      <c r="D368" s="33">
        <v>15000</v>
      </c>
      <c r="E368" t="str">
        <f>_xlfn.XLOOKUP(Quota_tbl[[#This Row],[Rep_ID]],Dim_Reps!A:A,Dim_Reps!K:K)</f>
        <v>USD</v>
      </c>
      <c r="F368" s="33">
        <f>(_xlfn.XLOOKUP(Quota_tbl[[#This Row],[Rate_Code_Generalized]],Lookups!A:A,Lookups!B:B)*Quota_tbl[[#This Row],[Quota_Amount_USD]])</f>
        <v>17464.5</v>
      </c>
      <c r="G368" t="str">
        <f>_xlfn.XLOOKUP(Quota_tbl[[#This Row],[Rep_ID]],Dim_Reps!A:A,Dim_Reps!C:C)</f>
        <v>SDR / Inside Sales Rep</v>
      </c>
      <c r="H368" t="str">
        <f>_xlfn.XLOOKUP(Quota_tbl[[#This Row],[Rep_ID]],Dim_Reps!A:A,Dim_Reps!D:D)</f>
        <v>Inside Sales</v>
      </c>
      <c r="I368" t="str">
        <f>_xlfn.XLOOKUP(Quota_tbl[[#This Row],[Rep_ID]],Dim_Reps!A:A,Dim_Reps!E:E)</f>
        <v>NAMER</v>
      </c>
      <c r="J368" t="str">
        <f>_xlfn.XLOOKUP(Quota_tbl[[#This Row],[Period_Start_Date]],Dim_Date!A:A,Dim_Date!H:H)</f>
        <v>May 2024</v>
      </c>
    </row>
    <row r="369" spans="1:10" ht="15" customHeight="1" x14ac:dyDescent="0.2">
      <c r="A369" t="s">
        <v>217</v>
      </c>
      <c r="B369" s="49">
        <v>45444</v>
      </c>
      <c r="C369">
        <v>10</v>
      </c>
      <c r="D369" s="33">
        <v>15400</v>
      </c>
      <c r="E369" t="str">
        <f>_xlfn.XLOOKUP(Quota_tbl[[#This Row],[Rep_ID]],Dim_Reps!A:A,Dim_Reps!K:K)</f>
        <v>USD</v>
      </c>
      <c r="F369" s="33">
        <f>(_xlfn.XLOOKUP(Quota_tbl[[#This Row],[Rate_Code_Generalized]],Lookups!A:A,Lookups!B:B)*Quota_tbl[[#This Row],[Quota_Amount_USD]])</f>
        <v>17930.219999999998</v>
      </c>
      <c r="G369" t="str">
        <f>_xlfn.XLOOKUP(Quota_tbl[[#This Row],[Rep_ID]],Dim_Reps!A:A,Dim_Reps!C:C)</f>
        <v>SDR / Inside Sales Rep</v>
      </c>
      <c r="H369" t="str">
        <f>_xlfn.XLOOKUP(Quota_tbl[[#This Row],[Rep_ID]],Dim_Reps!A:A,Dim_Reps!D:D)</f>
        <v>Inside Sales</v>
      </c>
      <c r="I369" t="str">
        <f>_xlfn.XLOOKUP(Quota_tbl[[#This Row],[Rep_ID]],Dim_Reps!A:A,Dim_Reps!E:E)</f>
        <v>NAMER</v>
      </c>
      <c r="J369" t="str">
        <f>_xlfn.XLOOKUP(Quota_tbl[[#This Row],[Period_Start_Date]],Dim_Date!A:A,Dim_Date!H:H)</f>
        <v>Jun 2024</v>
      </c>
    </row>
    <row r="370" spans="1:10" ht="15" customHeight="1" x14ac:dyDescent="0.2">
      <c r="A370" t="s">
        <v>217</v>
      </c>
      <c r="B370" s="49">
        <v>45474</v>
      </c>
      <c r="C370">
        <v>11</v>
      </c>
      <c r="D370" s="33">
        <v>15600</v>
      </c>
      <c r="E370" t="str">
        <f>_xlfn.XLOOKUP(Quota_tbl[[#This Row],[Rep_ID]],Dim_Reps!A:A,Dim_Reps!K:K)</f>
        <v>USD</v>
      </c>
      <c r="F370" s="33">
        <f>(_xlfn.XLOOKUP(Quota_tbl[[#This Row],[Rate_Code_Generalized]],Lookups!A:A,Lookups!B:B)*Quota_tbl[[#This Row],[Quota_Amount_USD]])</f>
        <v>18163.079999999998</v>
      </c>
      <c r="G370" t="str">
        <f>_xlfn.XLOOKUP(Quota_tbl[[#This Row],[Rep_ID]],Dim_Reps!A:A,Dim_Reps!C:C)</f>
        <v>SDR / Inside Sales Rep</v>
      </c>
      <c r="H370" t="str">
        <f>_xlfn.XLOOKUP(Quota_tbl[[#This Row],[Rep_ID]],Dim_Reps!A:A,Dim_Reps!D:D)</f>
        <v>Inside Sales</v>
      </c>
      <c r="I370" t="str">
        <f>_xlfn.XLOOKUP(Quota_tbl[[#This Row],[Rep_ID]],Dim_Reps!A:A,Dim_Reps!E:E)</f>
        <v>NAMER</v>
      </c>
      <c r="J370" t="str">
        <f>_xlfn.XLOOKUP(Quota_tbl[[#This Row],[Period_Start_Date]],Dim_Date!A:A,Dim_Date!H:H)</f>
        <v>Jul 2024</v>
      </c>
    </row>
    <row r="371" spans="1:10" ht="15" customHeight="1" x14ac:dyDescent="0.2">
      <c r="A371" t="s">
        <v>217</v>
      </c>
      <c r="B371" s="49">
        <v>45505</v>
      </c>
      <c r="C371">
        <v>12</v>
      </c>
      <c r="D371" s="33">
        <v>15700</v>
      </c>
      <c r="E371" t="str">
        <f>_xlfn.XLOOKUP(Quota_tbl[[#This Row],[Rep_ID]],Dim_Reps!A:A,Dim_Reps!K:K)</f>
        <v>USD</v>
      </c>
      <c r="F371" s="33">
        <f>(_xlfn.XLOOKUP(Quota_tbl[[#This Row],[Rate_Code_Generalized]],Lookups!A:A,Lookups!B:B)*Quota_tbl[[#This Row],[Quota_Amount_USD]])</f>
        <v>18279.509999999998</v>
      </c>
      <c r="G371" t="str">
        <f>_xlfn.XLOOKUP(Quota_tbl[[#This Row],[Rep_ID]],Dim_Reps!A:A,Dim_Reps!C:C)</f>
        <v>SDR / Inside Sales Rep</v>
      </c>
      <c r="H371" t="str">
        <f>_xlfn.XLOOKUP(Quota_tbl[[#This Row],[Rep_ID]],Dim_Reps!A:A,Dim_Reps!D:D)</f>
        <v>Inside Sales</v>
      </c>
      <c r="I371" t="str">
        <f>_xlfn.XLOOKUP(Quota_tbl[[#This Row],[Rep_ID]],Dim_Reps!A:A,Dim_Reps!E:E)</f>
        <v>NAMER</v>
      </c>
      <c r="J371" t="str">
        <f>_xlfn.XLOOKUP(Quota_tbl[[#This Row],[Period_Start_Date]],Dim_Date!A:A,Dim_Date!H:H)</f>
        <v>Aug 2024</v>
      </c>
    </row>
    <row r="372" spans="1:10" ht="15" customHeight="1" x14ac:dyDescent="0.2">
      <c r="A372" t="s">
        <v>217</v>
      </c>
      <c r="B372" s="49">
        <v>45536</v>
      </c>
      <c r="C372">
        <v>13</v>
      </c>
      <c r="D372" s="33">
        <v>15800</v>
      </c>
      <c r="E372" t="str">
        <f>_xlfn.XLOOKUP(Quota_tbl[[#This Row],[Rep_ID]],Dim_Reps!A:A,Dim_Reps!K:K)</f>
        <v>USD</v>
      </c>
      <c r="F372" s="33">
        <f>(_xlfn.XLOOKUP(Quota_tbl[[#This Row],[Rate_Code_Generalized]],Lookups!A:A,Lookups!B:B)*Quota_tbl[[#This Row],[Quota_Amount_USD]])</f>
        <v>18395.939999999999</v>
      </c>
      <c r="G372" t="str">
        <f>_xlfn.XLOOKUP(Quota_tbl[[#This Row],[Rep_ID]],Dim_Reps!A:A,Dim_Reps!C:C)</f>
        <v>SDR / Inside Sales Rep</v>
      </c>
      <c r="H372" t="str">
        <f>_xlfn.XLOOKUP(Quota_tbl[[#This Row],[Rep_ID]],Dim_Reps!A:A,Dim_Reps!D:D)</f>
        <v>Inside Sales</v>
      </c>
      <c r="I372" t="str">
        <f>_xlfn.XLOOKUP(Quota_tbl[[#This Row],[Rep_ID]],Dim_Reps!A:A,Dim_Reps!E:E)</f>
        <v>NAMER</v>
      </c>
      <c r="J372" t="str">
        <f>_xlfn.XLOOKUP(Quota_tbl[[#This Row],[Period_Start_Date]],Dim_Date!A:A,Dim_Date!H:H)</f>
        <v>Sep 2024</v>
      </c>
    </row>
    <row r="373" spans="1:10" ht="15" customHeight="1" x14ac:dyDescent="0.2">
      <c r="A373" t="s">
        <v>217</v>
      </c>
      <c r="B373" s="49">
        <v>45566</v>
      </c>
      <c r="C373">
        <v>14</v>
      </c>
      <c r="D373" s="33">
        <v>15000</v>
      </c>
      <c r="E373" t="str">
        <f>_xlfn.XLOOKUP(Quota_tbl[[#This Row],[Rep_ID]],Dim_Reps!A:A,Dim_Reps!K:K)</f>
        <v>USD</v>
      </c>
      <c r="F373" s="33">
        <f>(_xlfn.XLOOKUP(Quota_tbl[[#This Row],[Rate_Code_Generalized]],Lookups!A:A,Lookups!B:B)*Quota_tbl[[#This Row],[Quota_Amount_USD]])</f>
        <v>17464.5</v>
      </c>
      <c r="G373" t="str">
        <f>_xlfn.XLOOKUP(Quota_tbl[[#This Row],[Rep_ID]],Dim_Reps!A:A,Dim_Reps!C:C)</f>
        <v>SDR / Inside Sales Rep</v>
      </c>
      <c r="H373" t="str">
        <f>_xlfn.XLOOKUP(Quota_tbl[[#This Row],[Rep_ID]],Dim_Reps!A:A,Dim_Reps!D:D)</f>
        <v>Inside Sales</v>
      </c>
      <c r="I373" t="str">
        <f>_xlfn.XLOOKUP(Quota_tbl[[#This Row],[Rep_ID]],Dim_Reps!A:A,Dim_Reps!E:E)</f>
        <v>NAMER</v>
      </c>
      <c r="J373" t="str">
        <f>_xlfn.XLOOKUP(Quota_tbl[[#This Row],[Period_Start_Date]],Dim_Date!A:A,Dim_Date!H:H)</f>
        <v>Oct 2024</v>
      </c>
    </row>
    <row r="374" spans="1:10" ht="15" customHeight="1" x14ac:dyDescent="0.2">
      <c r="A374" t="s">
        <v>217</v>
      </c>
      <c r="B374" s="49">
        <v>45597</v>
      </c>
      <c r="C374">
        <v>15</v>
      </c>
      <c r="D374" s="33">
        <v>14800</v>
      </c>
      <c r="E374" t="str">
        <f>_xlfn.XLOOKUP(Quota_tbl[[#This Row],[Rep_ID]],Dim_Reps!A:A,Dim_Reps!K:K)</f>
        <v>USD</v>
      </c>
      <c r="F374" s="33">
        <f>(_xlfn.XLOOKUP(Quota_tbl[[#This Row],[Rate_Code_Generalized]],Lookups!A:A,Lookups!B:B)*Quota_tbl[[#This Row],[Quota_Amount_USD]])</f>
        <v>17231.64</v>
      </c>
      <c r="G374" t="str">
        <f>_xlfn.XLOOKUP(Quota_tbl[[#This Row],[Rep_ID]],Dim_Reps!A:A,Dim_Reps!C:C)</f>
        <v>SDR / Inside Sales Rep</v>
      </c>
      <c r="H374" t="str">
        <f>_xlfn.XLOOKUP(Quota_tbl[[#This Row],[Rep_ID]],Dim_Reps!A:A,Dim_Reps!D:D)</f>
        <v>Inside Sales</v>
      </c>
      <c r="I374" t="str">
        <f>_xlfn.XLOOKUP(Quota_tbl[[#This Row],[Rep_ID]],Dim_Reps!A:A,Dim_Reps!E:E)</f>
        <v>NAMER</v>
      </c>
      <c r="J374" t="str">
        <f>_xlfn.XLOOKUP(Quota_tbl[[#This Row],[Period_Start_Date]],Dim_Date!A:A,Dim_Date!H:H)</f>
        <v>Nov 2024</v>
      </c>
    </row>
    <row r="375" spans="1:10" ht="15" customHeight="1" x14ac:dyDescent="0.2">
      <c r="A375" t="s">
        <v>217</v>
      </c>
      <c r="B375" s="49">
        <v>45627</v>
      </c>
      <c r="C375">
        <v>16</v>
      </c>
      <c r="D375" s="33">
        <v>16100</v>
      </c>
      <c r="E375" t="str">
        <f>_xlfn.XLOOKUP(Quota_tbl[[#This Row],[Rep_ID]],Dim_Reps!A:A,Dim_Reps!K:K)</f>
        <v>USD</v>
      </c>
      <c r="F375" s="33">
        <f>(_xlfn.XLOOKUP(Quota_tbl[[#This Row],[Rate_Code_Generalized]],Lookups!A:A,Lookups!B:B)*Quota_tbl[[#This Row],[Quota_Amount_USD]])</f>
        <v>18745.23</v>
      </c>
      <c r="G375" t="str">
        <f>_xlfn.XLOOKUP(Quota_tbl[[#This Row],[Rep_ID]],Dim_Reps!A:A,Dim_Reps!C:C)</f>
        <v>SDR / Inside Sales Rep</v>
      </c>
      <c r="H375" t="str">
        <f>_xlfn.XLOOKUP(Quota_tbl[[#This Row],[Rep_ID]],Dim_Reps!A:A,Dim_Reps!D:D)</f>
        <v>Inside Sales</v>
      </c>
      <c r="I375" t="str">
        <f>_xlfn.XLOOKUP(Quota_tbl[[#This Row],[Rep_ID]],Dim_Reps!A:A,Dim_Reps!E:E)</f>
        <v>NAMER</v>
      </c>
      <c r="J375" t="str">
        <f>_xlfn.XLOOKUP(Quota_tbl[[#This Row],[Period_Start_Date]],Dim_Date!A:A,Dim_Date!H:H)</f>
        <v>Dec 2024</v>
      </c>
    </row>
    <row r="376" spans="1:10" ht="15" customHeight="1" x14ac:dyDescent="0.2">
      <c r="A376" t="s">
        <v>217</v>
      </c>
      <c r="B376" s="49">
        <v>45658</v>
      </c>
      <c r="C376">
        <v>17</v>
      </c>
      <c r="D376" s="33">
        <v>15700</v>
      </c>
      <c r="E376" t="str">
        <f>_xlfn.XLOOKUP(Quota_tbl[[#This Row],[Rep_ID]],Dim_Reps!A:A,Dim_Reps!K:K)</f>
        <v>USD</v>
      </c>
      <c r="F376" s="33">
        <f>(_xlfn.XLOOKUP(Quota_tbl[[#This Row],[Rate_Code_Generalized]],Lookups!A:A,Lookups!B:B)*Quota_tbl[[#This Row],[Quota_Amount_USD]])</f>
        <v>18279.509999999998</v>
      </c>
      <c r="G376" t="str">
        <f>_xlfn.XLOOKUP(Quota_tbl[[#This Row],[Rep_ID]],Dim_Reps!A:A,Dim_Reps!C:C)</f>
        <v>SDR / Inside Sales Rep</v>
      </c>
      <c r="H376" t="str">
        <f>_xlfn.XLOOKUP(Quota_tbl[[#This Row],[Rep_ID]],Dim_Reps!A:A,Dim_Reps!D:D)</f>
        <v>Inside Sales</v>
      </c>
      <c r="I376" t="str">
        <f>_xlfn.XLOOKUP(Quota_tbl[[#This Row],[Rep_ID]],Dim_Reps!A:A,Dim_Reps!E:E)</f>
        <v>NAMER</v>
      </c>
      <c r="J376" t="str">
        <f>_xlfn.XLOOKUP(Quota_tbl[[#This Row],[Period_Start_Date]],Dim_Date!A:A,Dim_Date!H:H)</f>
        <v>Jan 2025</v>
      </c>
    </row>
    <row r="377" spans="1:10" ht="15" customHeight="1" x14ac:dyDescent="0.2">
      <c r="A377" t="s">
        <v>217</v>
      </c>
      <c r="B377" s="49">
        <v>45689</v>
      </c>
      <c r="C377">
        <v>18</v>
      </c>
      <c r="D377" s="33">
        <v>15200</v>
      </c>
      <c r="E377" t="str">
        <f>_xlfn.XLOOKUP(Quota_tbl[[#This Row],[Rep_ID]],Dim_Reps!A:A,Dim_Reps!K:K)</f>
        <v>USD</v>
      </c>
      <c r="F377" s="33">
        <f>(_xlfn.XLOOKUP(Quota_tbl[[#This Row],[Rate_Code_Generalized]],Lookups!A:A,Lookups!B:B)*Quota_tbl[[#This Row],[Quota_Amount_USD]])</f>
        <v>17697.359999999997</v>
      </c>
      <c r="G377" t="str">
        <f>_xlfn.XLOOKUP(Quota_tbl[[#This Row],[Rep_ID]],Dim_Reps!A:A,Dim_Reps!C:C)</f>
        <v>SDR / Inside Sales Rep</v>
      </c>
      <c r="H377" t="str">
        <f>_xlfn.XLOOKUP(Quota_tbl[[#This Row],[Rep_ID]],Dim_Reps!A:A,Dim_Reps!D:D)</f>
        <v>Inside Sales</v>
      </c>
      <c r="I377" t="str">
        <f>_xlfn.XLOOKUP(Quota_tbl[[#This Row],[Rep_ID]],Dim_Reps!A:A,Dim_Reps!E:E)</f>
        <v>NAMER</v>
      </c>
      <c r="J377" t="str">
        <f>_xlfn.XLOOKUP(Quota_tbl[[#This Row],[Period_Start_Date]],Dim_Date!A:A,Dim_Date!H:H)</f>
        <v>Feb 2025</v>
      </c>
    </row>
    <row r="378" spans="1:10" ht="15" customHeight="1" x14ac:dyDescent="0.2">
      <c r="A378" t="s">
        <v>217</v>
      </c>
      <c r="B378" s="49">
        <v>45717</v>
      </c>
      <c r="C378">
        <v>19</v>
      </c>
      <c r="D378" s="33">
        <v>16200</v>
      </c>
      <c r="E378" t="str">
        <f>_xlfn.XLOOKUP(Quota_tbl[[#This Row],[Rep_ID]],Dim_Reps!A:A,Dim_Reps!K:K)</f>
        <v>USD</v>
      </c>
      <c r="F378" s="33">
        <f>(_xlfn.XLOOKUP(Quota_tbl[[#This Row],[Rate_Code_Generalized]],Lookups!A:A,Lookups!B:B)*Quota_tbl[[#This Row],[Quota_Amount_USD]])</f>
        <v>18861.66</v>
      </c>
      <c r="G378" t="str">
        <f>_xlfn.XLOOKUP(Quota_tbl[[#This Row],[Rep_ID]],Dim_Reps!A:A,Dim_Reps!C:C)</f>
        <v>SDR / Inside Sales Rep</v>
      </c>
      <c r="H378" t="str">
        <f>_xlfn.XLOOKUP(Quota_tbl[[#This Row],[Rep_ID]],Dim_Reps!A:A,Dim_Reps!D:D)</f>
        <v>Inside Sales</v>
      </c>
      <c r="I378" t="str">
        <f>_xlfn.XLOOKUP(Quota_tbl[[#This Row],[Rep_ID]],Dim_Reps!A:A,Dim_Reps!E:E)</f>
        <v>NAMER</v>
      </c>
      <c r="J378" t="str">
        <f>_xlfn.XLOOKUP(Quota_tbl[[#This Row],[Period_Start_Date]],Dim_Date!A:A,Dim_Date!H:H)</f>
        <v>Mar 2025</v>
      </c>
    </row>
    <row r="379" spans="1:10" ht="15" customHeight="1" x14ac:dyDescent="0.2">
      <c r="A379" t="s">
        <v>217</v>
      </c>
      <c r="B379" s="49">
        <v>45748</v>
      </c>
      <c r="C379">
        <v>20</v>
      </c>
      <c r="D379" s="33">
        <v>15600</v>
      </c>
      <c r="E379" t="str">
        <f>_xlfn.XLOOKUP(Quota_tbl[[#This Row],[Rep_ID]],Dim_Reps!A:A,Dim_Reps!K:K)</f>
        <v>USD</v>
      </c>
      <c r="F379" s="33">
        <f>(_xlfn.XLOOKUP(Quota_tbl[[#This Row],[Rate_Code_Generalized]],Lookups!A:A,Lookups!B:B)*Quota_tbl[[#This Row],[Quota_Amount_USD]])</f>
        <v>18163.079999999998</v>
      </c>
      <c r="G379" t="str">
        <f>_xlfn.XLOOKUP(Quota_tbl[[#This Row],[Rep_ID]],Dim_Reps!A:A,Dim_Reps!C:C)</f>
        <v>SDR / Inside Sales Rep</v>
      </c>
      <c r="H379" t="str">
        <f>_xlfn.XLOOKUP(Quota_tbl[[#This Row],[Rep_ID]],Dim_Reps!A:A,Dim_Reps!D:D)</f>
        <v>Inside Sales</v>
      </c>
      <c r="I379" t="str">
        <f>_xlfn.XLOOKUP(Quota_tbl[[#This Row],[Rep_ID]],Dim_Reps!A:A,Dim_Reps!E:E)</f>
        <v>NAMER</v>
      </c>
      <c r="J379" t="str">
        <f>_xlfn.XLOOKUP(Quota_tbl[[#This Row],[Period_Start_Date]],Dim_Date!A:A,Dim_Date!H:H)</f>
        <v>Apr 2025</v>
      </c>
    </row>
    <row r="380" spans="1:10" ht="15" customHeight="1" x14ac:dyDescent="0.2">
      <c r="A380" t="s">
        <v>217</v>
      </c>
      <c r="B380" s="49">
        <v>45778</v>
      </c>
      <c r="C380">
        <v>21</v>
      </c>
      <c r="D380" s="33">
        <v>16000</v>
      </c>
      <c r="E380" t="str">
        <f>_xlfn.XLOOKUP(Quota_tbl[[#This Row],[Rep_ID]],Dim_Reps!A:A,Dim_Reps!K:K)</f>
        <v>USD</v>
      </c>
      <c r="F380" s="33">
        <f>(_xlfn.XLOOKUP(Quota_tbl[[#This Row],[Rate_Code_Generalized]],Lookups!A:A,Lookups!B:B)*Quota_tbl[[#This Row],[Quota_Amount_USD]])</f>
        <v>18628.8</v>
      </c>
      <c r="G380" t="str">
        <f>_xlfn.XLOOKUP(Quota_tbl[[#This Row],[Rep_ID]],Dim_Reps!A:A,Dim_Reps!C:C)</f>
        <v>SDR / Inside Sales Rep</v>
      </c>
      <c r="H380" t="str">
        <f>_xlfn.XLOOKUP(Quota_tbl[[#This Row],[Rep_ID]],Dim_Reps!A:A,Dim_Reps!D:D)</f>
        <v>Inside Sales</v>
      </c>
      <c r="I380" t="str">
        <f>_xlfn.XLOOKUP(Quota_tbl[[#This Row],[Rep_ID]],Dim_Reps!A:A,Dim_Reps!E:E)</f>
        <v>NAMER</v>
      </c>
      <c r="J380" t="str">
        <f>_xlfn.XLOOKUP(Quota_tbl[[#This Row],[Period_Start_Date]],Dim_Date!A:A,Dim_Date!H:H)</f>
        <v>May 2025</v>
      </c>
    </row>
    <row r="381" spans="1:10" ht="15" customHeight="1" x14ac:dyDescent="0.2">
      <c r="A381" t="s">
        <v>217</v>
      </c>
      <c r="B381" s="49">
        <v>45809</v>
      </c>
      <c r="C381">
        <v>22</v>
      </c>
      <c r="D381" s="33">
        <v>15500</v>
      </c>
      <c r="E381" t="str">
        <f>_xlfn.XLOOKUP(Quota_tbl[[#This Row],[Rep_ID]],Dim_Reps!A:A,Dim_Reps!K:K)</f>
        <v>USD</v>
      </c>
      <c r="F381" s="33">
        <f>(_xlfn.XLOOKUP(Quota_tbl[[#This Row],[Rate_Code_Generalized]],Lookups!A:A,Lookups!B:B)*Quota_tbl[[#This Row],[Quota_Amount_USD]])</f>
        <v>18046.649999999998</v>
      </c>
      <c r="G381" t="str">
        <f>_xlfn.XLOOKUP(Quota_tbl[[#This Row],[Rep_ID]],Dim_Reps!A:A,Dim_Reps!C:C)</f>
        <v>SDR / Inside Sales Rep</v>
      </c>
      <c r="H381" t="str">
        <f>_xlfn.XLOOKUP(Quota_tbl[[#This Row],[Rep_ID]],Dim_Reps!A:A,Dim_Reps!D:D)</f>
        <v>Inside Sales</v>
      </c>
      <c r="I381" t="str">
        <f>_xlfn.XLOOKUP(Quota_tbl[[#This Row],[Rep_ID]],Dim_Reps!A:A,Dim_Reps!E:E)</f>
        <v>NAMER</v>
      </c>
      <c r="J381" t="str">
        <f>_xlfn.XLOOKUP(Quota_tbl[[#This Row],[Period_Start_Date]],Dim_Date!A:A,Dim_Date!H:H)</f>
        <v>Jun 2025</v>
      </c>
    </row>
    <row r="382" spans="1:10" ht="15" customHeight="1" x14ac:dyDescent="0.2">
      <c r="A382" t="s">
        <v>217</v>
      </c>
      <c r="B382" s="49">
        <v>45839</v>
      </c>
      <c r="C382">
        <v>23</v>
      </c>
      <c r="D382" s="33">
        <v>16500</v>
      </c>
      <c r="E382" t="str">
        <f>_xlfn.XLOOKUP(Quota_tbl[[#This Row],[Rep_ID]],Dim_Reps!A:A,Dim_Reps!K:K)</f>
        <v>USD</v>
      </c>
      <c r="F382" s="33">
        <f>(_xlfn.XLOOKUP(Quota_tbl[[#This Row],[Rate_Code_Generalized]],Lookups!A:A,Lookups!B:B)*Quota_tbl[[#This Row],[Quota_Amount_USD]])</f>
        <v>19210.949999999997</v>
      </c>
      <c r="G382" t="str">
        <f>_xlfn.XLOOKUP(Quota_tbl[[#This Row],[Rep_ID]],Dim_Reps!A:A,Dim_Reps!C:C)</f>
        <v>SDR / Inside Sales Rep</v>
      </c>
      <c r="H382" t="str">
        <f>_xlfn.XLOOKUP(Quota_tbl[[#This Row],[Rep_ID]],Dim_Reps!A:A,Dim_Reps!D:D)</f>
        <v>Inside Sales</v>
      </c>
      <c r="I382" t="str">
        <f>_xlfn.XLOOKUP(Quota_tbl[[#This Row],[Rep_ID]],Dim_Reps!A:A,Dim_Reps!E:E)</f>
        <v>NAMER</v>
      </c>
      <c r="J382" t="str">
        <f>_xlfn.XLOOKUP(Quota_tbl[[#This Row],[Period_Start_Date]],Dim_Date!A:A,Dim_Date!H:H)</f>
        <v>Jul 2025</v>
      </c>
    </row>
    <row r="383" spans="1:10" ht="15" customHeight="1" x14ac:dyDescent="0.2">
      <c r="A383" t="s">
        <v>217</v>
      </c>
      <c r="B383" s="49">
        <v>45870</v>
      </c>
      <c r="C383">
        <v>24</v>
      </c>
      <c r="D383" s="33">
        <v>16300</v>
      </c>
      <c r="E383" t="str">
        <f>_xlfn.XLOOKUP(Quota_tbl[[#This Row],[Rep_ID]],Dim_Reps!A:A,Dim_Reps!K:K)</f>
        <v>USD</v>
      </c>
      <c r="F383" s="33">
        <f>(_xlfn.XLOOKUP(Quota_tbl[[#This Row],[Rate_Code_Generalized]],Lookups!A:A,Lookups!B:B)*Quota_tbl[[#This Row],[Quota_Amount_USD]])</f>
        <v>18978.089999999997</v>
      </c>
      <c r="G383" t="str">
        <f>_xlfn.XLOOKUP(Quota_tbl[[#This Row],[Rep_ID]],Dim_Reps!A:A,Dim_Reps!C:C)</f>
        <v>SDR / Inside Sales Rep</v>
      </c>
      <c r="H383" t="str">
        <f>_xlfn.XLOOKUP(Quota_tbl[[#This Row],[Rep_ID]],Dim_Reps!A:A,Dim_Reps!D:D)</f>
        <v>Inside Sales</v>
      </c>
      <c r="I383" t="str">
        <f>_xlfn.XLOOKUP(Quota_tbl[[#This Row],[Rep_ID]],Dim_Reps!A:A,Dim_Reps!E:E)</f>
        <v>NAMER</v>
      </c>
      <c r="J383" t="str">
        <f>_xlfn.XLOOKUP(Quota_tbl[[#This Row],[Period_Start_Date]],Dim_Date!A:A,Dim_Date!H:H)</f>
        <v>Aug 2025</v>
      </c>
    </row>
    <row r="384" spans="1:10" ht="15" customHeight="1" x14ac:dyDescent="0.2">
      <c r="A384" t="s">
        <v>217</v>
      </c>
      <c r="B384" s="49">
        <v>45901</v>
      </c>
      <c r="C384">
        <v>25</v>
      </c>
      <c r="D384" s="33">
        <v>15400</v>
      </c>
      <c r="E384" t="str">
        <f>_xlfn.XLOOKUP(Quota_tbl[[#This Row],[Rep_ID]],Dim_Reps!A:A,Dim_Reps!K:K)</f>
        <v>USD</v>
      </c>
      <c r="F384" s="33">
        <f>(_xlfn.XLOOKUP(Quota_tbl[[#This Row],[Rate_Code_Generalized]],Lookups!A:A,Lookups!B:B)*Quota_tbl[[#This Row],[Quota_Amount_USD]])</f>
        <v>17930.219999999998</v>
      </c>
      <c r="G384" t="str">
        <f>_xlfn.XLOOKUP(Quota_tbl[[#This Row],[Rep_ID]],Dim_Reps!A:A,Dim_Reps!C:C)</f>
        <v>SDR / Inside Sales Rep</v>
      </c>
      <c r="H384" t="str">
        <f>_xlfn.XLOOKUP(Quota_tbl[[#This Row],[Rep_ID]],Dim_Reps!A:A,Dim_Reps!D:D)</f>
        <v>Inside Sales</v>
      </c>
      <c r="I384" t="str">
        <f>_xlfn.XLOOKUP(Quota_tbl[[#This Row],[Rep_ID]],Dim_Reps!A:A,Dim_Reps!E:E)</f>
        <v>NAMER</v>
      </c>
      <c r="J384" t="str">
        <f>_xlfn.XLOOKUP(Quota_tbl[[#This Row],[Period_Start_Date]],Dim_Date!A:A,Dim_Date!H:H)</f>
        <v>Sep 2025</v>
      </c>
    </row>
    <row r="385" spans="1:10" ht="15" customHeight="1" x14ac:dyDescent="0.2">
      <c r="A385" t="s">
        <v>217</v>
      </c>
      <c r="B385" s="49">
        <v>45931</v>
      </c>
      <c r="C385">
        <v>26</v>
      </c>
      <c r="D385" s="33">
        <v>16000</v>
      </c>
      <c r="E385" t="str">
        <f>_xlfn.XLOOKUP(Quota_tbl[[#This Row],[Rep_ID]],Dim_Reps!A:A,Dim_Reps!K:K)</f>
        <v>USD</v>
      </c>
      <c r="F385" s="33">
        <f>(_xlfn.XLOOKUP(Quota_tbl[[#This Row],[Rate_Code_Generalized]],Lookups!A:A,Lookups!B:B)*Quota_tbl[[#This Row],[Quota_Amount_USD]])</f>
        <v>18628.8</v>
      </c>
      <c r="G385" t="str">
        <f>_xlfn.XLOOKUP(Quota_tbl[[#This Row],[Rep_ID]],Dim_Reps!A:A,Dim_Reps!C:C)</f>
        <v>SDR / Inside Sales Rep</v>
      </c>
      <c r="H385" t="str">
        <f>_xlfn.XLOOKUP(Quota_tbl[[#This Row],[Rep_ID]],Dim_Reps!A:A,Dim_Reps!D:D)</f>
        <v>Inside Sales</v>
      </c>
      <c r="I385" t="str">
        <f>_xlfn.XLOOKUP(Quota_tbl[[#This Row],[Rep_ID]],Dim_Reps!A:A,Dim_Reps!E:E)</f>
        <v>NAMER</v>
      </c>
      <c r="J385" t="str">
        <f>_xlfn.XLOOKUP(Quota_tbl[[#This Row],[Period_Start_Date]],Dim_Date!A:A,Dim_Date!H:H)</f>
        <v>Oct 2025</v>
      </c>
    </row>
    <row r="386" spans="1:10" ht="15" customHeight="1" x14ac:dyDescent="0.2">
      <c r="A386" t="s">
        <v>217</v>
      </c>
      <c r="B386" s="49">
        <v>45962</v>
      </c>
      <c r="C386">
        <v>27</v>
      </c>
      <c r="D386" s="33">
        <v>15800</v>
      </c>
      <c r="E386" t="str">
        <f>_xlfn.XLOOKUP(Quota_tbl[[#This Row],[Rep_ID]],Dim_Reps!A:A,Dim_Reps!K:K)</f>
        <v>USD</v>
      </c>
      <c r="F386" s="33">
        <f>(_xlfn.XLOOKUP(Quota_tbl[[#This Row],[Rate_Code_Generalized]],Lookups!A:A,Lookups!B:B)*Quota_tbl[[#This Row],[Quota_Amount_USD]])</f>
        <v>18395.939999999999</v>
      </c>
      <c r="G386" t="str">
        <f>_xlfn.XLOOKUP(Quota_tbl[[#This Row],[Rep_ID]],Dim_Reps!A:A,Dim_Reps!C:C)</f>
        <v>SDR / Inside Sales Rep</v>
      </c>
      <c r="H386" t="str">
        <f>_xlfn.XLOOKUP(Quota_tbl[[#This Row],[Rep_ID]],Dim_Reps!A:A,Dim_Reps!D:D)</f>
        <v>Inside Sales</v>
      </c>
      <c r="I386" t="str">
        <f>_xlfn.XLOOKUP(Quota_tbl[[#This Row],[Rep_ID]],Dim_Reps!A:A,Dim_Reps!E:E)</f>
        <v>NAMER</v>
      </c>
      <c r="J386" t="str">
        <f>_xlfn.XLOOKUP(Quota_tbl[[#This Row],[Period_Start_Date]],Dim_Date!A:A,Dim_Date!H:H)</f>
        <v>Nov 2025</v>
      </c>
    </row>
    <row r="387" spans="1:10" ht="15" customHeight="1" x14ac:dyDescent="0.2">
      <c r="A387" t="s">
        <v>217</v>
      </c>
      <c r="B387" s="49">
        <v>45992</v>
      </c>
      <c r="C387">
        <v>28</v>
      </c>
      <c r="D387" s="33">
        <v>16100</v>
      </c>
      <c r="E387" t="str">
        <f>_xlfn.XLOOKUP(Quota_tbl[[#This Row],[Rep_ID]],Dim_Reps!A:A,Dim_Reps!K:K)</f>
        <v>USD</v>
      </c>
      <c r="F387" s="33">
        <f>(_xlfn.XLOOKUP(Quota_tbl[[#This Row],[Rate_Code_Generalized]],Lookups!A:A,Lookups!B:B)*Quota_tbl[[#This Row],[Quota_Amount_USD]])</f>
        <v>18745.23</v>
      </c>
      <c r="G387" t="str">
        <f>_xlfn.XLOOKUP(Quota_tbl[[#This Row],[Rep_ID]],Dim_Reps!A:A,Dim_Reps!C:C)</f>
        <v>SDR / Inside Sales Rep</v>
      </c>
      <c r="H387" t="str">
        <f>_xlfn.XLOOKUP(Quota_tbl[[#This Row],[Rep_ID]],Dim_Reps!A:A,Dim_Reps!D:D)</f>
        <v>Inside Sales</v>
      </c>
      <c r="I387" t="str">
        <f>_xlfn.XLOOKUP(Quota_tbl[[#This Row],[Rep_ID]],Dim_Reps!A:A,Dim_Reps!E:E)</f>
        <v>NAMER</v>
      </c>
      <c r="J387" t="str">
        <f>_xlfn.XLOOKUP(Quota_tbl[[#This Row],[Period_Start_Date]],Dim_Date!A:A,Dim_Date!H:H)</f>
        <v>Dec 2025</v>
      </c>
    </row>
    <row r="388" spans="1:10" ht="15" customHeight="1" x14ac:dyDescent="0.2">
      <c r="A388" t="s">
        <v>219</v>
      </c>
      <c r="B388" s="49">
        <v>45901</v>
      </c>
      <c r="C388">
        <v>0</v>
      </c>
      <c r="D388" s="33">
        <v>3800</v>
      </c>
      <c r="E388" t="str">
        <f>_xlfn.XLOOKUP(Quota_tbl[[#This Row],[Rep_ID]],Dim_Reps!A:A,Dim_Reps!K:K)</f>
        <v>EUR</v>
      </c>
      <c r="F388" s="33">
        <f>(_xlfn.XLOOKUP(Quota_tbl[[#This Row],[Rate_Code_Generalized]],Lookups!A:A,Lookups!B:B)*Quota_tbl[[#This Row],[Quota_Amount_USD]])</f>
        <v>3800</v>
      </c>
      <c r="G388" t="str">
        <f>_xlfn.XLOOKUP(Quota_tbl[[#This Row],[Rep_ID]],Dim_Reps!A:A,Dim_Reps!C:C)</f>
        <v>SDR / Inside Sales Rep</v>
      </c>
      <c r="H388" t="str">
        <f>_xlfn.XLOOKUP(Quota_tbl[[#This Row],[Rep_ID]],Dim_Reps!A:A,Dim_Reps!D:D)</f>
        <v>Inside Sales</v>
      </c>
      <c r="I388" t="str">
        <f>_xlfn.XLOOKUP(Quota_tbl[[#This Row],[Rep_ID]],Dim_Reps!A:A,Dim_Reps!E:E)</f>
        <v>APAC</v>
      </c>
      <c r="J388" t="str">
        <f>_xlfn.XLOOKUP(Quota_tbl[[#This Row],[Period_Start_Date]],Dim_Date!A:A,Dim_Date!H:H)</f>
        <v>Sep 2025</v>
      </c>
    </row>
    <row r="389" spans="1:10" ht="15" customHeight="1" x14ac:dyDescent="0.2">
      <c r="A389" t="s">
        <v>219</v>
      </c>
      <c r="B389" s="49">
        <v>45931</v>
      </c>
      <c r="C389">
        <v>1</v>
      </c>
      <c r="D389" s="33">
        <v>7900</v>
      </c>
      <c r="E389" t="str">
        <f>_xlfn.XLOOKUP(Quota_tbl[[#This Row],[Rep_ID]],Dim_Reps!A:A,Dim_Reps!K:K)</f>
        <v>EUR</v>
      </c>
      <c r="F389" s="33">
        <f>(_xlfn.XLOOKUP(Quota_tbl[[#This Row],[Rate_Code_Generalized]],Lookups!A:A,Lookups!B:B)*Quota_tbl[[#This Row],[Quota_Amount_USD]])</f>
        <v>7900</v>
      </c>
      <c r="G389" t="str">
        <f>_xlfn.XLOOKUP(Quota_tbl[[#This Row],[Rep_ID]],Dim_Reps!A:A,Dim_Reps!C:C)</f>
        <v>SDR / Inside Sales Rep</v>
      </c>
      <c r="H389" t="str">
        <f>_xlfn.XLOOKUP(Quota_tbl[[#This Row],[Rep_ID]],Dim_Reps!A:A,Dim_Reps!D:D)</f>
        <v>Inside Sales</v>
      </c>
      <c r="I389" t="str">
        <f>_xlfn.XLOOKUP(Quota_tbl[[#This Row],[Rep_ID]],Dim_Reps!A:A,Dim_Reps!E:E)</f>
        <v>APAC</v>
      </c>
      <c r="J389" t="str">
        <f>_xlfn.XLOOKUP(Quota_tbl[[#This Row],[Period_Start_Date]],Dim_Date!A:A,Dim_Date!H:H)</f>
        <v>Oct 2025</v>
      </c>
    </row>
    <row r="390" spans="1:10" ht="15" customHeight="1" x14ac:dyDescent="0.2">
      <c r="A390" t="s">
        <v>219</v>
      </c>
      <c r="B390" s="49">
        <v>45962</v>
      </c>
      <c r="C390">
        <v>2</v>
      </c>
      <c r="D390" s="33">
        <v>12000</v>
      </c>
      <c r="E390" t="str">
        <f>_xlfn.XLOOKUP(Quota_tbl[[#This Row],[Rep_ID]],Dim_Reps!A:A,Dim_Reps!K:K)</f>
        <v>EUR</v>
      </c>
      <c r="F390" s="33">
        <f>(_xlfn.XLOOKUP(Quota_tbl[[#This Row],[Rate_Code_Generalized]],Lookups!A:A,Lookups!B:B)*Quota_tbl[[#This Row],[Quota_Amount_USD]])</f>
        <v>12000</v>
      </c>
      <c r="G390" t="str">
        <f>_xlfn.XLOOKUP(Quota_tbl[[#This Row],[Rep_ID]],Dim_Reps!A:A,Dim_Reps!C:C)</f>
        <v>SDR / Inside Sales Rep</v>
      </c>
      <c r="H390" t="str">
        <f>_xlfn.XLOOKUP(Quota_tbl[[#This Row],[Rep_ID]],Dim_Reps!A:A,Dim_Reps!D:D)</f>
        <v>Inside Sales</v>
      </c>
      <c r="I390" t="str">
        <f>_xlfn.XLOOKUP(Quota_tbl[[#This Row],[Rep_ID]],Dim_Reps!A:A,Dim_Reps!E:E)</f>
        <v>APAC</v>
      </c>
      <c r="J390" t="str">
        <f>_xlfn.XLOOKUP(Quota_tbl[[#This Row],[Period_Start_Date]],Dim_Date!A:A,Dim_Date!H:H)</f>
        <v>Nov 2025</v>
      </c>
    </row>
    <row r="391" spans="1:10" ht="15" customHeight="1" x14ac:dyDescent="0.2">
      <c r="A391" t="s">
        <v>219</v>
      </c>
      <c r="B391" s="49">
        <v>45992</v>
      </c>
      <c r="C391">
        <v>3</v>
      </c>
      <c r="D391" s="33">
        <v>14700</v>
      </c>
      <c r="E391" t="str">
        <f>_xlfn.XLOOKUP(Quota_tbl[[#This Row],[Rep_ID]],Dim_Reps!A:A,Dim_Reps!K:K)</f>
        <v>EUR</v>
      </c>
      <c r="F391" s="33">
        <f>(_xlfn.XLOOKUP(Quota_tbl[[#This Row],[Rate_Code_Generalized]],Lookups!A:A,Lookups!B:B)*Quota_tbl[[#This Row],[Quota_Amount_USD]])</f>
        <v>14700</v>
      </c>
      <c r="G391" t="str">
        <f>_xlfn.XLOOKUP(Quota_tbl[[#This Row],[Rep_ID]],Dim_Reps!A:A,Dim_Reps!C:C)</f>
        <v>SDR / Inside Sales Rep</v>
      </c>
      <c r="H391" t="str">
        <f>_xlfn.XLOOKUP(Quota_tbl[[#This Row],[Rep_ID]],Dim_Reps!A:A,Dim_Reps!D:D)</f>
        <v>Inside Sales</v>
      </c>
      <c r="I391" t="str">
        <f>_xlfn.XLOOKUP(Quota_tbl[[#This Row],[Rep_ID]],Dim_Reps!A:A,Dim_Reps!E:E)</f>
        <v>APAC</v>
      </c>
      <c r="J391" t="str">
        <f>_xlfn.XLOOKUP(Quota_tbl[[#This Row],[Period_Start_Date]],Dim_Date!A:A,Dim_Date!H:H)</f>
        <v>Dec 2025</v>
      </c>
    </row>
    <row r="392" spans="1:10" ht="15" customHeight="1" x14ac:dyDescent="0.2">
      <c r="A392" t="s">
        <v>255</v>
      </c>
      <c r="B392" s="49">
        <v>45839</v>
      </c>
      <c r="C392">
        <v>0</v>
      </c>
      <c r="D392" s="33">
        <v>5300</v>
      </c>
      <c r="E392" t="str">
        <f>_xlfn.XLOOKUP(Quota_tbl[[#This Row],[Rep_ID]],Dim_Reps!A:A,Dim_Reps!K:K)</f>
        <v>USD</v>
      </c>
      <c r="F392" s="33">
        <f>(_xlfn.XLOOKUP(Quota_tbl[[#This Row],[Rate_Code_Generalized]],Lookups!A:A,Lookups!B:B)*Quota_tbl[[#This Row],[Quota_Amount_USD]])</f>
        <v>6170.7899999999991</v>
      </c>
      <c r="G392" t="str">
        <f>_xlfn.XLOOKUP(Quota_tbl[[#This Row],[Rep_ID]],Dim_Reps!A:A,Dim_Reps!C:C)</f>
        <v>Mid-Market AE</v>
      </c>
      <c r="H392" t="str">
        <f>_xlfn.XLOOKUP(Quota_tbl[[#This Row],[Rep_ID]],Dim_Reps!A:A,Dim_Reps!D:D)</f>
        <v>Mid-Market</v>
      </c>
      <c r="I392" t="str">
        <f>_xlfn.XLOOKUP(Quota_tbl[[#This Row],[Rep_ID]],Dim_Reps!A:A,Dim_Reps!E:E)</f>
        <v>NAMER</v>
      </c>
      <c r="J392" t="str">
        <f>_xlfn.XLOOKUP(Quota_tbl[[#This Row],[Period_Start_Date]],Dim_Date!A:A,Dim_Date!H:H)</f>
        <v>Jul 2025</v>
      </c>
    </row>
    <row r="393" spans="1:10" ht="15" customHeight="1" x14ac:dyDescent="0.2">
      <c r="A393" t="s">
        <v>255</v>
      </c>
      <c r="B393" s="49">
        <v>45870</v>
      </c>
      <c r="C393">
        <v>1</v>
      </c>
      <c r="D393" s="33">
        <v>10300</v>
      </c>
      <c r="E393" t="str">
        <f>_xlfn.XLOOKUP(Quota_tbl[[#This Row],[Rep_ID]],Dim_Reps!A:A,Dim_Reps!K:K)</f>
        <v>USD</v>
      </c>
      <c r="F393" s="33">
        <f>(_xlfn.XLOOKUP(Quota_tbl[[#This Row],[Rate_Code_Generalized]],Lookups!A:A,Lookups!B:B)*Quota_tbl[[#This Row],[Quota_Amount_USD]])</f>
        <v>11992.289999999999</v>
      </c>
      <c r="G393" t="str">
        <f>_xlfn.XLOOKUP(Quota_tbl[[#This Row],[Rep_ID]],Dim_Reps!A:A,Dim_Reps!C:C)</f>
        <v>Mid-Market AE</v>
      </c>
      <c r="H393" t="str">
        <f>_xlfn.XLOOKUP(Quota_tbl[[#This Row],[Rep_ID]],Dim_Reps!A:A,Dim_Reps!D:D)</f>
        <v>Mid-Market</v>
      </c>
      <c r="I393" t="str">
        <f>_xlfn.XLOOKUP(Quota_tbl[[#This Row],[Rep_ID]],Dim_Reps!A:A,Dim_Reps!E:E)</f>
        <v>NAMER</v>
      </c>
      <c r="J393" t="str">
        <f>_xlfn.XLOOKUP(Quota_tbl[[#This Row],[Period_Start_Date]],Dim_Date!A:A,Dim_Date!H:H)</f>
        <v>Aug 2025</v>
      </c>
    </row>
    <row r="394" spans="1:10" ht="15" customHeight="1" x14ac:dyDescent="0.2">
      <c r="A394" t="s">
        <v>255</v>
      </c>
      <c r="B394" s="49">
        <v>45901</v>
      </c>
      <c r="C394">
        <v>2</v>
      </c>
      <c r="D394" s="33">
        <v>16400</v>
      </c>
      <c r="E394" t="str">
        <f>_xlfn.XLOOKUP(Quota_tbl[[#This Row],[Rep_ID]],Dim_Reps!A:A,Dim_Reps!K:K)</f>
        <v>USD</v>
      </c>
      <c r="F394" s="33">
        <f>(_xlfn.XLOOKUP(Quota_tbl[[#This Row],[Rate_Code_Generalized]],Lookups!A:A,Lookups!B:B)*Quota_tbl[[#This Row],[Quota_Amount_USD]])</f>
        <v>19094.519999999997</v>
      </c>
      <c r="G394" t="str">
        <f>_xlfn.XLOOKUP(Quota_tbl[[#This Row],[Rep_ID]],Dim_Reps!A:A,Dim_Reps!C:C)</f>
        <v>Mid-Market AE</v>
      </c>
      <c r="H394" t="str">
        <f>_xlfn.XLOOKUP(Quota_tbl[[#This Row],[Rep_ID]],Dim_Reps!A:A,Dim_Reps!D:D)</f>
        <v>Mid-Market</v>
      </c>
      <c r="I394" t="str">
        <f>_xlfn.XLOOKUP(Quota_tbl[[#This Row],[Rep_ID]],Dim_Reps!A:A,Dim_Reps!E:E)</f>
        <v>NAMER</v>
      </c>
      <c r="J394" t="str">
        <f>_xlfn.XLOOKUP(Quota_tbl[[#This Row],[Period_Start_Date]],Dim_Date!A:A,Dim_Date!H:H)</f>
        <v>Sep 2025</v>
      </c>
    </row>
    <row r="395" spans="1:10" ht="15" customHeight="1" x14ac:dyDescent="0.2">
      <c r="A395" t="s">
        <v>255</v>
      </c>
      <c r="B395" s="49">
        <v>45931</v>
      </c>
      <c r="C395">
        <v>3</v>
      </c>
      <c r="D395" s="33">
        <v>22500</v>
      </c>
      <c r="E395" t="str">
        <f>_xlfn.XLOOKUP(Quota_tbl[[#This Row],[Rep_ID]],Dim_Reps!A:A,Dim_Reps!K:K)</f>
        <v>USD</v>
      </c>
      <c r="F395" s="33">
        <f>(_xlfn.XLOOKUP(Quota_tbl[[#This Row],[Rate_Code_Generalized]],Lookups!A:A,Lookups!B:B)*Quota_tbl[[#This Row],[Quota_Amount_USD]])</f>
        <v>26196.749999999996</v>
      </c>
      <c r="G395" t="str">
        <f>_xlfn.XLOOKUP(Quota_tbl[[#This Row],[Rep_ID]],Dim_Reps!A:A,Dim_Reps!C:C)</f>
        <v>Mid-Market AE</v>
      </c>
      <c r="H395" t="str">
        <f>_xlfn.XLOOKUP(Quota_tbl[[#This Row],[Rep_ID]],Dim_Reps!A:A,Dim_Reps!D:D)</f>
        <v>Mid-Market</v>
      </c>
      <c r="I395" t="str">
        <f>_xlfn.XLOOKUP(Quota_tbl[[#This Row],[Rep_ID]],Dim_Reps!A:A,Dim_Reps!E:E)</f>
        <v>NAMER</v>
      </c>
      <c r="J395" t="str">
        <f>_xlfn.XLOOKUP(Quota_tbl[[#This Row],[Period_Start_Date]],Dim_Date!A:A,Dim_Date!H:H)</f>
        <v>Oct 2025</v>
      </c>
    </row>
    <row r="396" spans="1:10" ht="15" customHeight="1" x14ac:dyDescent="0.2">
      <c r="A396" t="s">
        <v>255</v>
      </c>
      <c r="B396" s="49">
        <v>45962</v>
      </c>
      <c r="C396">
        <v>4</v>
      </c>
      <c r="D396" s="33">
        <v>23000</v>
      </c>
      <c r="E396" t="str">
        <f>_xlfn.XLOOKUP(Quota_tbl[[#This Row],[Rep_ID]],Dim_Reps!A:A,Dim_Reps!K:K)</f>
        <v>USD</v>
      </c>
      <c r="F396" s="33">
        <f>(_xlfn.XLOOKUP(Quota_tbl[[#This Row],[Rate_Code_Generalized]],Lookups!A:A,Lookups!B:B)*Quota_tbl[[#This Row],[Quota_Amount_USD]])</f>
        <v>26778.899999999998</v>
      </c>
      <c r="G396" t="str">
        <f>_xlfn.XLOOKUP(Quota_tbl[[#This Row],[Rep_ID]],Dim_Reps!A:A,Dim_Reps!C:C)</f>
        <v>Mid-Market AE</v>
      </c>
      <c r="H396" t="str">
        <f>_xlfn.XLOOKUP(Quota_tbl[[#This Row],[Rep_ID]],Dim_Reps!A:A,Dim_Reps!D:D)</f>
        <v>Mid-Market</v>
      </c>
      <c r="I396" t="str">
        <f>_xlfn.XLOOKUP(Quota_tbl[[#This Row],[Rep_ID]],Dim_Reps!A:A,Dim_Reps!E:E)</f>
        <v>NAMER</v>
      </c>
      <c r="J396" t="str">
        <f>_xlfn.XLOOKUP(Quota_tbl[[#This Row],[Period_Start_Date]],Dim_Date!A:A,Dim_Date!H:H)</f>
        <v>Nov 2025</v>
      </c>
    </row>
    <row r="397" spans="1:10" ht="15" customHeight="1" x14ac:dyDescent="0.2">
      <c r="A397" t="s">
        <v>255</v>
      </c>
      <c r="B397" s="49">
        <v>45992</v>
      </c>
      <c r="C397">
        <v>5</v>
      </c>
      <c r="D397" s="33">
        <v>22000</v>
      </c>
      <c r="E397" t="str">
        <f>_xlfn.XLOOKUP(Quota_tbl[[#This Row],[Rep_ID]],Dim_Reps!A:A,Dim_Reps!K:K)</f>
        <v>USD</v>
      </c>
      <c r="F397" s="33">
        <f>(_xlfn.XLOOKUP(Quota_tbl[[#This Row],[Rate_Code_Generalized]],Lookups!A:A,Lookups!B:B)*Quota_tbl[[#This Row],[Quota_Amount_USD]])</f>
        <v>25614.6</v>
      </c>
      <c r="G397" t="str">
        <f>_xlfn.XLOOKUP(Quota_tbl[[#This Row],[Rep_ID]],Dim_Reps!A:A,Dim_Reps!C:C)</f>
        <v>Mid-Market AE</v>
      </c>
      <c r="H397" t="str">
        <f>_xlfn.XLOOKUP(Quota_tbl[[#This Row],[Rep_ID]],Dim_Reps!A:A,Dim_Reps!D:D)</f>
        <v>Mid-Market</v>
      </c>
      <c r="I397" t="str">
        <f>_xlfn.XLOOKUP(Quota_tbl[[#This Row],[Rep_ID]],Dim_Reps!A:A,Dim_Reps!E:E)</f>
        <v>NAMER</v>
      </c>
      <c r="J397" t="str">
        <f>_xlfn.XLOOKUP(Quota_tbl[[#This Row],[Period_Start_Date]],Dim_Date!A:A,Dim_Date!H:H)</f>
        <v>Dec 2025</v>
      </c>
    </row>
    <row r="398" spans="1:10" ht="15" customHeight="1" x14ac:dyDescent="0.2">
      <c r="A398" t="s">
        <v>188</v>
      </c>
      <c r="B398" s="49">
        <v>45292</v>
      </c>
      <c r="C398">
        <v>2</v>
      </c>
      <c r="D398" s="33">
        <v>25200</v>
      </c>
      <c r="E398" t="str">
        <f>_xlfn.XLOOKUP(Quota_tbl[[#This Row],[Rep_ID]],Dim_Reps!A:A,Dim_Reps!K:K)</f>
        <v>EUR</v>
      </c>
      <c r="F398" s="33">
        <f>(_xlfn.XLOOKUP(Quota_tbl[[#This Row],[Rate_Code_Generalized]],Lookups!A:A,Lookups!B:B)*Quota_tbl[[#This Row],[Quota_Amount_USD]])</f>
        <v>25200</v>
      </c>
      <c r="G398" t="str">
        <f>_xlfn.XLOOKUP(Quota_tbl[[#This Row],[Rep_ID]],Dim_Reps!A:A,Dim_Reps!C:C)</f>
        <v>Enterprise AE</v>
      </c>
      <c r="H398" t="str">
        <f>_xlfn.XLOOKUP(Quota_tbl[[#This Row],[Rep_ID]],Dim_Reps!A:A,Dim_Reps!D:D)</f>
        <v>Enterprise</v>
      </c>
      <c r="I398" t="str">
        <f>_xlfn.XLOOKUP(Quota_tbl[[#This Row],[Rep_ID]],Dim_Reps!A:A,Dim_Reps!E:E)</f>
        <v>APAC</v>
      </c>
      <c r="J398" t="str">
        <f>_xlfn.XLOOKUP(Quota_tbl[[#This Row],[Period_Start_Date]],Dim_Date!A:A,Dim_Date!H:H)</f>
        <v>Jan 2024</v>
      </c>
    </row>
    <row r="399" spans="1:10" ht="15" customHeight="1" x14ac:dyDescent="0.2">
      <c r="A399" t="s">
        <v>188</v>
      </c>
      <c r="B399" s="49">
        <v>45323</v>
      </c>
      <c r="C399">
        <v>3</v>
      </c>
      <c r="D399" s="33">
        <v>30700</v>
      </c>
      <c r="E399" t="str">
        <f>_xlfn.XLOOKUP(Quota_tbl[[#This Row],[Rep_ID]],Dim_Reps!A:A,Dim_Reps!K:K)</f>
        <v>EUR</v>
      </c>
      <c r="F399" s="33">
        <f>(_xlfn.XLOOKUP(Quota_tbl[[#This Row],[Rate_Code_Generalized]],Lookups!A:A,Lookups!B:B)*Quota_tbl[[#This Row],[Quota_Amount_USD]])</f>
        <v>30700</v>
      </c>
      <c r="G399" t="str">
        <f>_xlfn.XLOOKUP(Quota_tbl[[#This Row],[Rep_ID]],Dim_Reps!A:A,Dim_Reps!C:C)</f>
        <v>Enterprise AE</v>
      </c>
      <c r="H399" t="str">
        <f>_xlfn.XLOOKUP(Quota_tbl[[#This Row],[Rep_ID]],Dim_Reps!A:A,Dim_Reps!D:D)</f>
        <v>Enterprise</v>
      </c>
      <c r="I399" t="str">
        <f>_xlfn.XLOOKUP(Quota_tbl[[#This Row],[Rep_ID]],Dim_Reps!A:A,Dim_Reps!E:E)</f>
        <v>APAC</v>
      </c>
      <c r="J399" t="str">
        <f>_xlfn.XLOOKUP(Quota_tbl[[#This Row],[Period_Start_Date]],Dim_Date!A:A,Dim_Date!H:H)</f>
        <v>Feb 2024</v>
      </c>
    </row>
    <row r="400" spans="1:10" ht="15" customHeight="1" x14ac:dyDescent="0.2">
      <c r="A400" t="s">
        <v>188</v>
      </c>
      <c r="B400" s="49">
        <v>45352</v>
      </c>
      <c r="C400">
        <v>4</v>
      </c>
      <c r="D400" s="33">
        <v>30400</v>
      </c>
      <c r="E400" t="str">
        <f>_xlfn.XLOOKUP(Quota_tbl[[#This Row],[Rep_ID]],Dim_Reps!A:A,Dim_Reps!K:K)</f>
        <v>EUR</v>
      </c>
      <c r="F400" s="33">
        <f>(_xlfn.XLOOKUP(Quota_tbl[[#This Row],[Rate_Code_Generalized]],Lookups!A:A,Lookups!B:B)*Quota_tbl[[#This Row],[Quota_Amount_USD]])</f>
        <v>30400</v>
      </c>
      <c r="G400" t="str">
        <f>_xlfn.XLOOKUP(Quota_tbl[[#This Row],[Rep_ID]],Dim_Reps!A:A,Dim_Reps!C:C)</f>
        <v>Enterprise AE</v>
      </c>
      <c r="H400" t="str">
        <f>_xlfn.XLOOKUP(Quota_tbl[[#This Row],[Rep_ID]],Dim_Reps!A:A,Dim_Reps!D:D)</f>
        <v>Enterprise</v>
      </c>
      <c r="I400" t="str">
        <f>_xlfn.XLOOKUP(Quota_tbl[[#This Row],[Rep_ID]],Dim_Reps!A:A,Dim_Reps!E:E)</f>
        <v>APAC</v>
      </c>
      <c r="J400" t="str">
        <f>_xlfn.XLOOKUP(Quota_tbl[[#This Row],[Period_Start_Date]],Dim_Date!A:A,Dim_Date!H:H)</f>
        <v>Mar 2024</v>
      </c>
    </row>
    <row r="401" spans="1:10" ht="15" customHeight="1" x14ac:dyDescent="0.2">
      <c r="A401" t="s">
        <v>188</v>
      </c>
      <c r="B401" s="49">
        <v>45383</v>
      </c>
      <c r="C401">
        <v>5</v>
      </c>
      <c r="D401" s="33">
        <v>31900</v>
      </c>
      <c r="E401" t="str">
        <f>_xlfn.XLOOKUP(Quota_tbl[[#This Row],[Rep_ID]],Dim_Reps!A:A,Dim_Reps!K:K)</f>
        <v>EUR</v>
      </c>
      <c r="F401" s="33">
        <f>(_xlfn.XLOOKUP(Quota_tbl[[#This Row],[Rate_Code_Generalized]],Lookups!A:A,Lookups!B:B)*Quota_tbl[[#This Row],[Quota_Amount_USD]])</f>
        <v>31900</v>
      </c>
      <c r="G401" t="str">
        <f>_xlfn.XLOOKUP(Quota_tbl[[#This Row],[Rep_ID]],Dim_Reps!A:A,Dim_Reps!C:C)</f>
        <v>Enterprise AE</v>
      </c>
      <c r="H401" t="str">
        <f>_xlfn.XLOOKUP(Quota_tbl[[#This Row],[Rep_ID]],Dim_Reps!A:A,Dim_Reps!D:D)</f>
        <v>Enterprise</v>
      </c>
      <c r="I401" t="str">
        <f>_xlfn.XLOOKUP(Quota_tbl[[#This Row],[Rep_ID]],Dim_Reps!A:A,Dim_Reps!E:E)</f>
        <v>APAC</v>
      </c>
      <c r="J401" t="str">
        <f>_xlfn.XLOOKUP(Quota_tbl[[#This Row],[Period_Start_Date]],Dim_Date!A:A,Dim_Date!H:H)</f>
        <v>Apr 2024</v>
      </c>
    </row>
    <row r="402" spans="1:10" ht="15" customHeight="1" x14ac:dyDescent="0.2">
      <c r="A402" t="s">
        <v>188</v>
      </c>
      <c r="B402" s="49">
        <v>45413</v>
      </c>
      <c r="C402">
        <v>6</v>
      </c>
      <c r="D402" s="33">
        <v>32400</v>
      </c>
      <c r="E402" t="str">
        <f>_xlfn.XLOOKUP(Quota_tbl[[#This Row],[Rep_ID]],Dim_Reps!A:A,Dim_Reps!K:K)</f>
        <v>EUR</v>
      </c>
      <c r="F402" s="33">
        <f>(_xlfn.XLOOKUP(Quota_tbl[[#This Row],[Rate_Code_Generalized]],Lookups!A:A,Lookups!B:B)*Quota_tbl[[#This Row],[Quota_Amount_USD]])</f>
        <v>32400</v>
      </c>
      <c r="G402" t="str">
        <f>_xlfn.XLOOKUP(Quota_tbl[[#This Row],[Rep_ID]],Dim_Reps!A:A,Dim_Reps!C:C)</f>
        <v>Enterprise AE</v>
      </c>
      <c r="H402" t="str">
        <f>_xlfn.XLOOKUP(Quota_tbl[[#This Row],[Rep_ID]],Dim_Reps!A:A,Dim_Reps!D:D)</f>
        <v>Enterprise</v>
      </c>
      <c r="I402" t="str">
        <f>_xlfn.XLOOKUP(Quota_tbl[[#This Row],[Rep_ID]],Dim_Reps!A:A,Dim_Reps!E:E)</f>
        <v>APAC</v>
      </c>
      <c r="J402" t="str">
        <f>_xlfn.XLOOKUP(Quota_tbl[[#This Row],[Period_Start_Date]],Dim_Date!A:A,Dim_Date!H:H)</f>
        <v>May 2024</v>
      </c>
    </row>
    <row r="403" spans="1:10" ht="15" customHeight="1" x14ac:dyDescent="0.2">
      <c r="A403" t="s">
        <v>188</v>
      </c>
      <c r="B403" s="49">
        <v>45444</v>
      </c>
      <c r="C403">
        <v>7</v>
      </c>
      <c r="D403" s="33">
        <v>32000</v>
      </c>
      <c r="E403" t="str">
        <f>_xlfn.XLOOKUP(Quota_tbl[[#This Row],[Rep_ID]],Dim_Reps!A:A,Dim_Reps!K:K)</f>
        <v>EUR</v>
      </c>
      <c r="F403" s="33">
        <f>(_xlfn.XLOOKUP(Quota_tbl[[#This Row],[Rate_Code_Generalized]],Lookups!A:A,Lookups!B:B)*Quota_tbl[[#This Row],[Quota_Amount_USD]])</f>
        <v>32000</v>
      </c>
      <c r="G403" t="str">
        <f>_xlfn.XLOOKUP(Quota_tbl[[#This Row],[Rep_ID]],Dim_Reps!A:A,Dim_Reps!C:C)</f>
        <v>Enterprise AE</v>
      </c>
      <c r="H403" t="str">
        <f>_xlfn.XLOOKUP(Quota_tbl[[#This Row],[Rep_ID]],Dim_Reps!A:A,Dim_Reps!D:D)</f>
        <v>Enterprise</v>
      </c>
      <c r="I403" t="str">
        <f>_xlfn.XLOOKUP(Quota_tbl[[#This Row],[Rep_ID]],Dim_Reps!A:A,Dim_Reps!E:E)</f>
        <v>APAC</v>
      </c>
      <c r="J403" t="str">
        <f>_xlfn.XLOOKUP(Quota_tbl[[#This Row],[Period_Start_Date]],Dim_Date!A:A,Dim_Date!H:H)</f>
        <v>Jun 2024</v>
      </c>
    </row>
    <row r="404" spans="1:10" ht="15" customHeight="1" x14ac:dyDescent="0.2">
      <c r="A404" t="s">
        <v>188</v>
      </c>
      <c r="B404" s="49">
        <v>45474</v>
      </c>
      <c r="C404">
        <v>8</v>
      </c>
      <c r="D404" s="33">
        <v>30000</v>
      </c>
      <c r="E404" t="str">
        <f>_xlfn.XLOOKUP(Quota_tbl[[#This Row],[Rep_ID]],Dim_Reps!A:A,Dim_Reps!K:K)</f>
        <v>EUR</v>
      </c>
      <c r="F404" s="33">
        <f>(_xlfn.XLOOKUP(Quota_tbl[[#This Row],[Rate_Code_Generalized]],Lookups!A:A,Lookups!B:B)*Quota_tbl[[#This Row],[Quota_Amount_USD]])</f>
        <v>30000</v>
      </c>
      <c r="G404" t="str">
        <f>_xlfn.XLOOKUP(Quota_tbl[[#This Row],[Rep_ID]],Dim_Reps!A:A,Dim_Reps!C:C)</f>
        <v>Enterprise AE</v>
      </c>
      <c r="H404" t="str">
        <f>_xlfn.XLOOKUP(Quota_tbl[[#This Row],[Rep_ID]],Dim_Reps!A:A,Dim_Reps!D:D)</f>
        <v>Enterprise</v>
      </c>
      <c r="I404" t="str">
        <f>_xlfn.XLOOKUP(Quota_tbl[[#This Row],[Rep_ID]],Dim_Reps!A:A,Dim_Reps!E:E)</f>
        <v>APAC</v>
      </c>
      <c r="J404" t="str">
        <f>_xlfn.XLOOKUP(Quota_tbl[[#This Row],[Period_Start_Date]],Dim_Date!A:A,Dim_Date!H:H)</f>
        <v>Jul 2024</v>
      </c>
    </row>
    <row r="405" spans="1:10" ht="15" customHeight="1" x14ac:dyDescent="0.2">
      <c r="A405" t="s">
        <v>188</v>
      </c>
      <c r="B405" s="49">
        <v>45505</v>
      </c>
      <c r="C405">
        <v>9</v>
      </c>
      <c r="D405" s="33">
        <v>31900</v>
      </c>
      <c r="E405" t="str">
        <f>_xlfn.XLOOKUP(Quota_tbl[[#This Row],[Rep_ID]],Dim_Reps!A:A,Dim_Reps!K:K)</f>
        <v>EUR</v>
      </c>
      <c r="F405" s="33">
        <f>(_xlfn.XLOOKUP(Quota_tbl[[#This Row],[Rate_Code_Generalized]],Lookups!A:A,Lookups!B:B)*Quota_tbl[[#This Row],[Quota_Amount_USD]])</f>
        <v>31900</v>
      </c>
      <c r="G405" t="str">
        <f>_xlfn.XLOOKUP(Quota_tbl[[#This Row],[Rep_ID]],Dim_Reps!A:A,Dim_Reps!C:C)</f>
        <v>Enterprise AE</v>
      </c>
      <c r="H405" t="str">
        <f>_xlfn.XLOOKUP(Quota_tbl[[#This Row],[Rep_ID]],Dim_Reps!A:A,Dim_Reps!D:D)</f>
        <v>Enterprise</v>
      </c>
      <c r="I405" t="str">
        <f>_xlfn.XLOOKUP(Quota_tbl[[#This Row],[Rep_ID]],Dim_Reps!A:A,Dim_Reps!E:E)</f>
        <v>APAC</v>
      </c>
      <c r="J405" t="str">
        <f>_xlfn.XLOOKUP(Quota_tbl[[#This Row],[Period_Start_Date]],Dim_Date!A:A,Dim_Date!H:H)</f>
        <v>Aug 2024</v>
      </c>
    </row>
    <row r="406" spans="1:10" ht="15" customHeight="1" x14ac:dyDescent="0.2">
      <c r="A406" t="s">
        <v>188</v>
      </c>
      <c r="B406" s="49">
        <v>45536</v>
      </c>
      <c r="C406">
        <v>10</v>
      </c>
      <c r="D406" s="33">
        <v>30700</v>
      </c>
      <c r="E406" t="str">
        <f>_xlfn.XLOOKUP(Quota_tbl[[#This Row],[Rep_ID]],Dim_Reps!A:A,Dim_Reps!K:K)</f>
        <v>EUR</v>
      </c>
      <c r="F406" s="33">
        <f>(_xlfn.XLOOKUP(Quota_tbl[[#This Row],[Rate_Code_Generalized]],Lookups!A:A,Lookups!B:B)*Quota_tbl[[#This Row],[Quota_Amount_USD]])</f>
        <v>30700</v>
      </c>
      <c r="G406" t="str">
        <f>_xlfn.XLOOKUP(Quota_tbl[[#This Row],[Rep_ID]],Dim_Reps!A:A,Dim_Reps!C:C)</f>
        <v>Enterprise AE</v>
      </c>
      <c r="H406" t="str">
        <f>_xlfn.XLOOKUP(Quota_tbl[[#This Row],[Rep_ID]],Dim_Reps!A:A,Dim_Reps!D:D)</f>
        <v>Enterprise</v>
      </c>
      <c r="I406" t="str">
        <f>_xlfn.XLOOKUP(Quota_tbl[[#This Row],[Rep_ID]],Dim_Reps!A:A,Dim_Reps!E:E)</f>
        <v>APAC</v>
      </c>
      <c r="J406" t="str">
        <f>_xlfn.XLOOKUP(Quota_tbl[[#This Row],[Period_Start_Date]],Dim_Date!A:A,Dim_Date!H:H)</f>
        <v>Sep 2024</v>
      </c>
    </row>
    <row r="407" spans="1:10" ht="15" customHeight="1" x14ac:dyDescent="0.2">
      <c r="A407" t="s">
        <v>188</v>
      </c>
      <c r="B407" s="49">
        <v>45566</v>
      </c>
      <c r="C407">
        <v>11</v>
      </c>
      <c r="D407" s="33">
        <v>32600</v>
      </c>
      <c r="E407" t="str">
        <f>_xlfn.XLOOKUP(Quota_tbl[[#This Row],[Rep_ID]],Dim_Reps!A:A,Dim_Reps!K:K)</f>
        <v>EUR</v>
      </c>
      <c r="F407" s="33">
        <f>(_xlfn.XLOOKUP(Quota_tbl[[#This Row],[Rate_Code_Generalized]],Lookups!A:A,Lookups!B:B)*Quota_tbl[[#This Row],[Quota_Amount_USD]])</f>
        <v>32600</v>
      </c>
      <c r="G407" t="str">
        <f>_xlfn.XLOOKUP(Quota_tbl[[#This Row],[Rep_ID]],Dim_Reps!A:A,Dim_Reps!C:C)</f>
        <v>Enterprise AE</v>
      </c>
      <c r="H407" t="str">
        <f>_xlfn.XLOOKUP(Quota_tbl[[#This Row],[Rep_ID]],Dim_Reps!A:A,Dim_Reps!D:D)</f>
        <v>Enterprise</v>
      </c>
      <c r="I407" t="str">
        <f>_xlfn.XLOOKUP(Quota_tbl[[#This Row],[Rep_ID]],Dim_Reps!A:A,Dim_Reps!E:E)</f>
        <v>APAC</v>
      </c>
      <c r="J407" t="str">
        <f>_xlfn.XLOOKUP(Quota_tbl[[#This Row],[Period_Start_Date]],Dim_Date!A:A,Dim_Date!H:H)</f>
        <v>Oct 2024</v>
      </c>
    </row>
    <row r="408" spans="1:10" ht="15" customHeight="1" x14ac:dyDescent="0.2">
      <c r="A408" t="s">
        <v>188</v>
      </c>
      <c r="B408" s="49">
        <v>45597</v>
      </c>
      <c r="C408">
        <v>12</v>
      </c>
      <c r="D408" s="33">
        <v>32400</v>
      </c>
      <c r="E408" t="str">
        <f>_xlfn.XLOOKUP(Quota_tbl[[#This Row],[Rep_ID]],Dim_Reps!A:A,Dim_Reps!K:K)</f>
        <v>EUR</v>
      </c>
      <c r="F408" s="33">
        <f>(_xlfn.XLOOKUP(Quota_tbl[[#This Row],[Rate_Code_Generalized]],Lookups!A:A,Lookups!B:B)*Quota_tbl[[#This Row],[Quota_Amount_USD]])</f>
        <v>32400</v>
      </c>
      <c r="G408" t="str">
        <f>_xlfn.XLOOKUP(Quota_tbl[[#This Row],[Rep_ID]],Dim_Reps!A:A,Dim_Reps!C:C)</f>
        <v>Enterprise AE</v>
      </c>
      <c r="H408" t="str">
        <f>_xlfn.XLOOKUP(Quota_tbl[[#This Row],[Rep_ID]],Dim_Reps!A:A,Dim_Reps!D:D)</f>
        <v>Enterprise</v>
      </c>
      <c r="I408" t="str">
        <f>_xlfn.XLOOKUP(Quota_tbl[[#This Row],[Rep_ID]],Dim_Reps!A:A,Dim_Reps!E:E)</f>
        <v>APAC</v>
      </c>
      <c r="J408" t="str">
        <f>_xlfn.XLOOKUP(Quota_tbl[[#This Row],[Period_Start_Date]],Dim_Date!A:A,Dim_Date!H:H)</f>
        <v>Nov 2024</v>
      </c>
    </row>
    <row r="409" spans="1:10" ht="15" customHeight="1" x14ac:dyDescent="0.2">
      <c r="A409" t="s">
        <v>188</v>
      </c>
      <c r="B409" s="49">
        <v>45627</v>
      </c>
      <c r="C409">
        <v>13</v>
      </c>
      <c r="D409" s="33">
        <v>31100</v>
      </c>
      <c r="E409" t="str">
        <f>_xlfn.XLOOKUP(Quota_tbl[[#This Row],[Rep_ID]],Dim_Reps!A:A,Dim_Reps!K:K)</f>
        <v>EUR</v>
      </c>
      <c r="F409" s="33">
        <f>(_xlfn.XLOOKUP(Quota_tbl[[#This Row],[Rate_Code_Generalized]],Lookups!A:A,Lookups!B:B)*Quota_tbl[[#This Row],[Quota_Amount_USD]])</f>
        <v>31100</v>
      </c>
      <c r="G409" t="str">
        <f>_xlfn.XLOOKUP(Quota_tbl[[#This Row],[Rep_ID]],Dim_Reps!A:A,Dim_Reps!C:C)</f>
        <v>Enterprise AE</v>
      </c>
      <c r="H409" t="str">
        <f>_xlfn.XLOOKUP(Quota_tbl[[#This Row],[Rep_ID]],Dim_Reps!A:A,Dim_Reps!D:D)</f>
        <v>Enterprise</v>
      </c>
      <c r="I409" t="str">
        <f>_xlfn.XLOOKUP(Quota_tbl[[#This Row],[Rep_ID]],Dim_Reps!A:A,Dim_Reps!E:E)</f>
        <v>APAC</v>
      </c>
      <c r="J409" t="str">
        <f>_xlfn.XLOOKUP(Quota_tbl[[#This Row],[Period_Start_Date]],Dim_Date!A:A,Dim_Date!H:H)</f>
        <v>Dec 2024</v>
      </c>
    </row>
    <row r="410" spans="1:10" ht="15" customHeight="1" x14ac:dyDescent="0.2">
      <c r="A410" t="s">
        <v>188</v>
      </c>
      <c r="B410" s="49">
        <v>45658</v>
      </c>
      <c r="C410">
        <v>14</v>
      </c>
      <c r="D410" s="33">
        <v>31500</v>
      </c>
      <c r="E410" t="str">
        <f>_xlfn.XLOOKUP(Quota_tbl[[#This Row],[Rep_ID]],Dim_Reps!A:A,Dim_Reps!K:K)</f>
        <v>EUR</v>
      </c>
      <c r="F410" s="33">
        <f>(_xlfn.XLOOKUP(Quota_tbl[[#This Row],[Rate_Code_Generalized]],Lookups!A:A,Lookups!B:B)*Quota_tbl[[#This Row],[Quota_Amount_USD]])</f>
        <v>31500</v>
      </c>
      <c r="G410" t="str">
        <f>_xlfn.XLOOKUP(Quota_tbl[[#This Row],[Rep_ID]],Dim_Reps!A:A,Dim_Reps!C:C)</f>
        <v>Enterprise AE</v>
      </c>
      <c r="H410" t="str">
        <f>_xlfn.XLOOKUP(Quota_tbl[[#This Row],[Rep_ID]],Dim_Reps!A:A,Dim_Reps!D:D)</f>
        <v>Enterprise</v>
      </c>
      <c r="I410" t="str">
        <f>_xlfn.XLOOKUP(Quota_tbl[[#This Row],[Rep_ID]],Dim_Reps!A:A,Dim_Reps!E:E)</f>
        <v>APAC</v>
      </c>
      <c r="J410" t="str">
        <f>_xlfn.XLOOKUP(Quota_tbl[[#This Row],[Period_Start_Date]],Dim_Date!A:A,Dim_Date!H:H)</f>
        <v>Jan 2025</v>
      </c>
    </row>
    <row r="411" spans="1:10" ht="15" customHeight="1" x14ac:dyDescent="0.2">
      <c r="A411" t="s">
        <v>188</v>
      </c>
      <c r="B411" s="49">
        <v>45689</v>
      </c>
      <c r="C411">
        <v>15</v>
      </c>
      <c r="D411" s="33">
        <v>31000</v>
      </c>
      <c r="E411" t="str">
        <f>_xlfn.XLOOKUP(Quota_tbl[[#This Row],[Rep_ID]],Dim_Reps!A:A,Dim_Reps!K:K)</f>
        <v>EUR</v>
      </c>
      <c r="F411" s="33">
        <f>(_xlfn.XLOOKUP(Quota_tbl[[#This Row],[Rate_Code_Generalized]],Lookups!A:A,Lookups!B:B)*Quota_tbl[[#This Row],[Quota_Amount_USD]])</f>
        <v>31000</v>
      </c>
      <c r="G411" t="str">
        <f>_xlfn.XLOOKUP(Quota_tbl[[#This Row],[Rep_ID]],Dim_Reps!A:A,Dim_Reps!C:C)</f>
        <v>Enterprise AE</v>
      </c>
      <c r="H411" t="str">
        <f>_xlfn.XLOOKUP(Quota_tbl[[#This Row],[Rep_ID]],Dim_Reps!A:A,Dim_Reps!D:D)</f>
        <v>Enterprise</v>
      </c>
      <c r="I411" t="str">
        <f>_xlfn.XLOOKUP(Quota_tbl[[#This Row],[Rep_ID]],Dim_Reps!A:A,Dim_Reps!E:E)</f>
        <v>APAC</v>
      </c>
      <c r="J411" t="str">
        <f>_xlfn.XLOOKUP(Quota_tbl[[#This Row],[Period_Start_Date]],Dim_Date!A:A,Dim_Date!H:H)</f>
        <v>Feb 2025</v>
      </c>
    </row>
    <row r="412" spans="1:10" ht="15" customHeight="1" x14ac:dyDescent="0.2">
      <c r="A412" t="s">
        <v>188</v>
      </c>
      <c r="B412" s="49">
        <v>45717</v>
      </c>
      <c r="C412">
        <v>16</v>
      </c>
      <c r="D412" s="33">
        <v>31900</v>
      </c>
      <c r="E412" t="str">
        <f>_xlfn.XLOOKUP(Quota_tbl[[#This Row],[Rep_ID]],Dim_Reps!A:A,Dim_Reps!K:K)</f>
        <v>EUR</v>
      </c>
      <c r="F412" s="33">
        <f>(_xlfn.XLOOKUP(Quota_tbl[[#This Row],[Rate_Code_Generalized]],Lookups!A:A,Lookups!B:B)*Quota_tbl[[#This Row],[Quota_Amount_USD]])</f>
        <v>31900</v>
      </c>
      <c r="G412" t="str">
        <f>_xlfn.XLOOKUP(Quota_tbl[[#This Row],[Rep_ID]],Dim_Reps!A:A,Dim_Reps!C:C)</f>
        <v>Enterprise AE</v>
      </c>
      <c r="H412" t="str">
        <f>_xlfn.XLOOKUP(Quota_tbl[[#This Row],[Rep_ID]],Dim_Reps!A:A,Dim_Reps!D:D)</f>
        <v>Enterprise</v>
      </c>
      <c r="I412" t="str">
        <f>_xlfn.XLOOKUP(Quota_tbl[[#This Row],[Rep_ID]],Dim_Reps!A:A,Dim_Reps!E:E)</f>
        <v>APAC</v>
      </c>
      <c r="J412" t="str">
        <f>_xlfn.XLOOKUP(Quota_tbl[[#This Row],[Period_Start_Date]],Dim_Date!A:A,Dim_Date!H:H)</f>
        <v>Mar 2025</v>
      </c>
    </row>
    <row r="413" spans="1:10" ht="15" customHeight="1" x14ac:dyDescent="0.2">
      <c r="A413" t="s">
        <v>188</v>
      </c>
      <c r="B413" s="49">
        <v>45748</v>
      </c>
      <c r="C413">
        <v>17</v>
      </c>
      <c r="D413" s="33">
        <v>32900</v>
      </c>
      <c r="E413" t="str">
        <f>_xlfn.XLOOKUP(Quota_tbl[[#This Row],[Rep_ID]],Dim_Reps!A:A,Dim_Reps!K:K)</f>
        <v>EUR</v>
      </c>
      <c r="F413" s="33">
        <f>(_xlfn.XLOOKUP(Quota_tbl[[#This Row],[Rate_Code_Generalized]],Lookups!A:A,Lookups!B:B)*Quota_tbl[[#This Row],[Quota_Amount_USD]])</f>
        <v>32900</v>
      </c>
      <c r="G413" t="str">
        <f>_xlfn.XLOOKUP(Quota_tbl[[#This Row],[Rep_ID]],Dim_Reps!A:A,Dim_Reps!C:C)</f>
        <v>Enterprise AE</v>
      </c>
      <c r="H413" t="str">
        <f>_xlfn.XLOOKUP(Quota_tbl[[#This Row],[Rep_ID]],Dim_Reps!A:A,Dim_Reps!D:D)</f>
        <v>Enterprise</v>
      </c>
      <c r="I413" t="str">
        <f>_xlfn.XLOOKUP(Quota_tbl[[#This Row],[Rep_ID]],Dim_Reps!A:A,Dim_Reps!E:E)</f>
        <v>APAC</v>
      </c>
      <c r="J413" t="str">
        <f>_xlfn.XLOOKUP(Quota_tbl[[#This Row],[Period_Start_Date]],Dim_Date!A:A,Dim_Date!H:H)</f>
        <v>Apr 2025</v>
      </c>
    </row>
    <row r="414" spans="1:10" ht="15" customHeight="1" x14ac:dyDescent="0.2">
      <c r="A414" t="s">
        <v>188</v>
      </c>
      <c r="B414" s="49">
        <v>45778</v>
      </c>
      <c r="C414">
        <v>18</v>
      </c>
      <c r="D414" s="33">
        <v>31100</v>
      </c>
      <c r="E414" t="str">
        <f>_xlfn.XLOOKUP(Quota_tbl[[#This Row],[Rep_ID]],Dim_Reps!A:A,Dim_Reps!K:K)</f>
        <v>EUR</v>
      </c>
      <c r="F414" s="33">
        <f>(_xlfn.XLOOKUP(Quota_tbl[[#This Row],[Rate_Code_Generalized]],Lookups!A:A,Lookups!B:B)*Quota_tbl[[#This Row],[Quota_Amount_USD]])</f>
        <v>31100</v>
      </c>
      <c r="G414" t="str">
        <f>_xlfn.XLOOKUP(Quota_tbl[[#This Row],[Rep_ID]],Dim_Reps!A:A,Dim_Reps!C:C)</f>
        <v>Enterprise AE</v>
      </c>
      <c r="H414" t="str">
        <f>_xlfn.XLOOKUP(Quota_tbl[[#This Row],[Rep_ID]],Dim_Reps!A:A,Dim_Reps!D:D)</f>
        <v>Enterprise</v>
      </c>
      <c r="I414" t="str">
        <f>_xlfn.XLOOKUP(Quota_tbl[[#This Row],[Rep_ID]],Dim_Reps!A:A,Dim_Reps!E:E)</f>
        <v>APAC</v>
      </c>
      <c r="J414" t="str">
        <f>_xlfn.XLOOKUP(Quota_tbl[[#This Row],[Period_Start_Date]],Dim_Date!A:A,Dim_Date!H:H)</f>
        <v>May 2025</v>
      </c>
    </row>
    <row r="415" spans="1:10" ht="15" customHeight="1" x14ac:dyDescent="0.2">
      <c r="A415" t="s">
        <v>188</v>
      </c>
      <c r="B415" s="49">
        <v>45809</v>
      </c>
      <c r="C415">
        <v>19</v>
      </c>
      <c r="D415" s="33">
        <v>32500</v>
      </c>
      <c r="E415" t="str">
        <f>_xlfn.XLOOKUP(Quota_tbl[[#This Row],[Rep_ID]],Dim_Reps!A:A,Dim_Reps!K:K)</f>
        <v>EUR</v>
      </c>
      <c r="F415" s="33">
        <f>(_xlfn.XLOOKUP(Quota_tbl[[#This Row],[Rate_Code_Generalized]],Lookups!A:A,Lookups!B:B)*Quota_tbl[[#This Row],[Quota_Amount_USD]])</f>
        <v>32500</v>
      </c>
      <c r="G415" t="str">
        <f>_xlfn.XLOOKUP(Quota_tbl[[#This Row],[Rep_ID]],Dim_Reps!A:A,Dim_Reps!C:C)</f>
        <v>Enterprise AE</v>
      </c>
      <c r="H415" t="str">
        <f>_xlfn.XLOOKUP(Quota_tbl[[#This Row],[Rep_ID]],Dim_Reps!A:A,Dim_Reps!D:D)</f>
        <v>Enterprise</v>
      </c>
      <c r="I415" t="str">
        <f>_xlfn.XLOOKUP(Quota_tbl[[#This Row],[Rep_ID]],Dim_Reps!A:A,Dim_Reps!E:E)</f>
        <v>APAC</v>
      </c>
      <c r="J415" t="str">
        <f>_xlfn.XLOOKUP(Quota_tbl[[#This Row],[Period_Start_Date]],Dim_Date!A:A,Dim_Date!H:H)</f>
        <v>Jun 2025</v>
      </c>
    </row>
    <row r="416" spans="1:10" ht="15" customHeight="1" x14ac:dyDescent="0.2">
      <c r="A416" t="s">
        <v>188</v>
      </c>
      <c r="B416" s="49">
        <v>45839</v>
      </c>
      <c r="C416">
        <v>20</v>
      </c>
      <c r="D416" s="33">
        <v>31500</v>
      </c>
      <c r="E416" t="str">
        <f>_xlfn.XLOOKUP(Quota_tbl[[#This Row],[Rep_ID]],Dim_Reps!A:A,Dim_Reps!K:K)</f>
        <v>EUR</v>
      </c>
      <c r="F416" s="33">
        <f>(_xlfn.XLOOKUP(Quota_tbl[[#This Row],[Rate_Code_Generalized]],Lookups!A:A,Lookups!B:B)*Quota_tbl[[#This Row],[Quota_Amount_USD]])</f>
        <v>31500</v>
      </c>
      <c r="G416" t="str">
        <f>_xlfn.XLOOKUP(Quota_tbl[[#This Row],[Rep_ID]],Dim_Reps!A:A,Dim_Reps!C:C)</f>
        <v>Enterprise AE</v>
      </c>
      <c r="H416" t="str">
        <f>_xlfn.XLOOKUP(Quota_tbl[[#This Row],[Rep_ID]],Dim_Reps!A:A,Dim_Reps!D:D)</f>
        <v>Enterprise</v>
      </c>
      <c r="I416" t="str">
        <f>_xlfn.XLOOKUP(Quota_tbl[[#This Row],[Rep_ID]],Dim_Reps!A:A,Dim_Reps!E:E)</f>
        <v>APAC</v>
      </c>
      <c r="J416" t="str">
        <f>_xlfn.XLOOKUP(Quota_tbl[[#This Row],[Period_Start_Date]],Dim_Date!A:A,Dim_Date!H:H)</f>
        <v>Jul 2025</v>
      </c>
    </row>
    <row r="417" spans="1:10" ht="15" customHeight="1" x14ac:dyDescent="0.2">
      <c r="A417" t="s">
        <v>188</v>
      </c>
      <c r="B417" s="49">
        <v>45870</v>
      </c>
      <c r="C417">
        <v>21</v>
      </c>
      <c r="D417" s="33">
        <v>31200</v>
      </c>
      <c r="E417" t="str">
        <f>_xlfn.XLOOKUP(Quota_tbl[[#This Row],[Rep_ID]],Dim_Reps!A:A,Dim_Reps!K:K)</f>
        <v>EUR</v>
      </c>
      <c r="F417" s="33">
        <f>(_xlfn.XLOOKUP(Quota_tbl[[#This Row],[Rate_Code_Generalized]],Lookups!A:A,Lookups!B:B)*Quota_tbl[[#This Row],[Quota_Amount_USD]])</f>
        <v>31200</v>
      </c>
      <c r="G417" t="str">
        <f>_xlfn.XLOOKUP(Quota_tbl[[#This Row],[Rep_ID]],Dim_Reps!A:A,Dim_Reps!C:C)</f>
        <v>Enterprise AE</v>
      </c>
      <c r="H417" t="str">
        <f>_xlfn.XLOOKUP(Quota_tbl[[#This Row],[Rep_ID]],Dim_Reps!A:A,Dim_Reps!D:D)</f>
        <v>Enterprise</v>
      </c>
      <c r="I417" t="str">
        <f>_xlfn.XLOOKUP(Quota_tbl[[#This Row],[Rep_ID]],Dim_Reps!A:A,Dim_Reps!E:E)</f>
        <v>APAC</v>
      </c>
      <c r="J417" t="str">
        <f>_xlfn.XLOOKUP(Quota_tbl[[#This Row],[Period_Start_Date]],Dim_Date!A:A,Dim_Date!H:H)</f>
        <v>Aug 2025</v>
      </c>
    </row>
    <row r="418" spans="1:10" ht="15" customHeight="1" x14ac:dyDescent="0.2">
      <c r="A418" t="s">
        <v>188</v>
      </c>
      <c r="B418" s="49">
        <v>45901</v>
      </c>
      <c r="C418">
        <v>22</v>
      </c>
      <c r="D418" s="33">
        <v>31900</v>
      </c>
      <c r="E418" t="str">
        <f>_xlfn.XLOOKUP(Quota_tbl[[#This Row],[Rep_ID]],Dim_Reps!A:A,Dim_Reps!K:K)</f>
        <v>EUR</v>
      </c>
      <c r="F418" s="33">
        <f>(_xlfn.XLOOKUP(Quota_tbl[[#This Row],[Rate_Code_Generalized]],Lookups!A:A,Lookups!B:B)*Quota_tbl[[#This Row],[Quota_Amount_USD]])</f>
        <v>31900</v>
      </c>
      <c r="G418" t="str">
        <f>_xlfn.XLOOKUP(Quota_tbl[[#This Row],[Rep_ID]],Dim_Reps!A:A,Dim_Reps!C:C)</f>
        <v>Enterprise AE</v>
      </c>
      <c r="H418" t="str">
        <f>_xlfn.XLOOKUP(Quota_tbl[[#This Row],[Rep_ID]],Dim_Reps!A:A,Dim_Reps!D:D)</f>
        <v>Enterprise</v>
      </c>
      <c r="I418" t="str">
        <f>_xlfn.XLOOKUP(Quota_tbl[[#This Row],[Rep_ID]],Dim_Reps!A:A,Dim_Reps!E:E)</f>
        <v>APAC</v>
      </c>
      <c r="J418" t="str">
        <f>_xlfn.XLOOKUP(Quota_tbl[[#This Row],[Period_Start_Date]],Dim_Date!A:A,Dim_Date!H:H)</f>
        <v>Sep 2025</v>
      </c>
    </row>
    <row r="419" spans="1:10" ht="15" customHeight="1" x14ac:dyDescent="0.2">
      <c r="A419" t="s">
        <v>188</v>
      </c>
      <c r="B419" s="49">
        <v>45931</v>
      </c>
      <c r="C419">
        <v>23</v>
      </c>
      <c r="D419" s="33">
        <v>31000</v>
      </c>
      <c r="E419" t="str">
        <f>_xlfn.XLOOKUP(Quota_tbl[[#This Row],[Rep_ID]],Dim_Reps!A:A,Dim_Reps!K:K)</f>
        <v>EUR</v>
      </c>
      <c r="F419" s="33">
        <f>(_xlfn.XLOOKUP(Quota_tbl[[#This Row],[Rate_Code_Generalized]],Lookups!A:A,Lookups!B:B)*Quota_tbl[[#This Row],[Quota_Amount_USD]])</f>
        <v>31000</v>
      </c>
      <c r="G419" t="str">
        <f>_xlfn.XLOOKUP(Quota_tbl[[#This Row],[Rep_ID]],Dim_Reps!A:A,Dim_Reps!C:C)</f>
        <v>Enterprise AE</v>
      </c>
      <c r="H419" t="str">
        <f>_xlfn.XLOOKUP(Quota_tbl[[#This Row],[Rep_ID]],Dim_Reps!A:A,Dim_Reps!D:D)</f>
        <v>Enterprise</v>
      </c>
      <c r="I419" t="str">
        <f>_xlfn.XLOOKUP(Quota_tbl[[#This Row],[Rep_ID]],Dim_Reps!A:A,Dim_Reps!E:E)</f>
        <v>APAC</v>
      </c>
      <c r="J419" t="str">
        <f>_xlfn.XLOOKUP(Quota_tbl[[#This Row],[Period_Start_Date]],Dim_Date!A:A,Dim_Date!H:H)</f>
        <v>Oct 2025</v>
      </c>
    </row>
    <row r="420" spans="1:10" ht="15" customHeight="1" x14ac:dyDescent="0.2">
      <c r="A420" t="s">
        <v>188</v>
      </c>
      <c r="B420" s="49">
        <v>45962</v>
      </c>
      <c r="C420">
        <v>24</v>
      </c>
      <c r="D420" s="33">
        <v>31500</v>
      </c>
      <c r="E420" t="str">
        <f>_xlfn.XLOOKUP(Quota_tbl[[#This Row],[Rep_ID]],Dim_Reps!A:A,Dim_Reps!K:K)</f>
        <v>EUR</v>
      </c>
      <c r="F420" s="33">
        <f>(_xlfn.XLOOKUP(Quota_tbl[[#This Row],[Rate_Code_Generalized]],Lookups!A:A,Lookups!B:B)*Quota_tbl[[#This Row],[Quota_Amount_USD]])</f>
        <v>31500</v>
      </c>
      <c r="G420" t="str">
        <f>_xlfn.XLOOKUP(Quota_tbl[[#This Row],[Rep_ID]],Dim_Reps!A:A,Dim_Reps!C:C)</f>
        <v>Enterprise AE</v>
      </c>
      <c r="H420" t="str">
        <f>_xlfn.XLOOKUP(Quota_tbl[[#This Row],[Rep_ID]],Dim_Reps!A:A,Dim_Reps!D:D)</f>
        <v>Enterprise</v>
      </c>
      <c r="I420" t="str">
        <f>_xlfn.XLOOKUP(Quota_tbl[[#This Row],[Rep_ID]],Dim_Reps!A:A,Dim_Reps!E:E)</f>
        <v>APAC</v>
      </c>
      <c r="J420" t="str">
        <f>_xlfn.XLOOKUP(Quota_tbl[[#This Row],[Period_Start_Date]],Dim_Date!A:A,Dim_Date!H:H)</f>
        <v>Nov 2025</v>
      </c>
    </row>
    <row r="421" spans="1:10" ht="15" customHeight="1" x14ac:dyDescent="0.2">
      <c r="A421" t="s">
        <v>188</v>
      </c>
      <c r="B421" s="49">
        <v>45992</v>
      </c>
      <c r="C421">
        <v>25</v>
      </c>
      <c r="D421" s="33">
        <v>30900</v>
      </c>
      <c r="E421" t="str">
        <f>_xlfn.XLOOKUP(Quota_tbl[[#This Row],[Rep_ID]],Dim_Reps!A:A,Dim_Reps!K:K)</f>
        <v>EUR</v>
      </c>
      <c r="F421" s="33">
        <f>(_xlfn.XLOOKUP(Quota_tbl[[#This Row],[Rate_Code_Generalized]],Lookups!A:A,Lookups!B:B)*Quota_tbl[[#This Row],[Quota_Amount_USD]])</f>
        <v>30900</v>
      </c>
      <c r="G421" t="str">
        <f>_xlfn.XLOOKUP(Quota_tbl[[#This Row],[Rep_ID]],Dim_Reps!A:A,Dim_Reps!C:C)</f>
        <v>Enterprise AE</v>
      </c>
      <c r="H421" t="str">
        <f>_xlfn.XLOOKUP(Quota_tbl[[#This Row],[Rep_ID]],Dim_Reps!A:A,Dim_Reps!D:D)</f>
        <v>Enterprise</v>
      </c>
      <c r="I421" t="str">
        <f>_xlfn.XLOOKUP(Quota_tbl[[#This Row],[Rep_ID]],Dim_Reps!A:A,Dim_Reps!E:E)</f>
        <v>APAC</v>
      </c>
      <c r="J421" t="str">
        <f>_xlfn.XLOOKUP(Quota_tbl[[#This Row],[Period_Start_Date]],Dim_Date!A:A,Dim_Date!H:H)</f>
        <v>Dec 2025</v>
      </c>
    </row>
    <row r="422" spans="1:10" ht="15" customHeight="1" x14ac:dyDescent="0.2">
      <c r="A422" t="s">
        <v>221</v>
      </c>
      <c r="B422" s="49">
        <v>45292</v>
      </c>
      <c r="C422">
        <v>18</v>
      </c>
      <c r="D422" s="33">
        <v>16400</v>
      </c>
      <c r="E422" t="str">
        <f>_xlfn.XLOOKUP(Quota_tbl[[#This Row],[Rep_ID]],Dim_Reps!A:A,Dim_Reps!K:K)</f>
        <v>MXN</v>
      </c>
      <c r="F422" s="33">
        <f>(_xlfn.XLOOKUP(Quota_tbl[[#This Row],[Rate_Code_Generalized]],Lookups!A:A,Lookups!B:B)*Quota_tbl[[#This Row],[Quota_Amount_USD]])</f>
        <v>323616.28000000003</v>
      </c>
      <c r="G422" t="str">
        <f>_xlfn.XLOOKUP(Quota_tbl[[#This Row],[Rep_ID]],Dim_Reps!A:A,Dim_Reps!C:C)</f>
        <v>SDR / Inside Sales Rep</v>
      </c>
      <c r="H422" t="str">
        <f>_xlfn.XLOOKUP(Quota_tbl[[#This Row],[Rep_ID]],Dim_Reps!A:A,Dim_Reps!D:D)</f>
        <v>Inside Sales</v>
      </c>
      <c r="I422" t="str">
        <f>_xlfn.XLOOKUP(Quota_tbl[[#This Row],[Rep_ID]],Dim_Reps!A:A,Dim_Reps!E:E)</f>
        <v>LATAM</v>
      </c>
      <c r="J422" t="str">
        <f>_xlfn.XLOOKUP(Quota_tbl[[#This Row],[Period_Start_Date]],Dim_Date!A:A,Dim_Date!H:H)</f>
        <v>Jan 2024</v>
      </c>
    </row>
    <row r="423" spans="1:10" ht="15" customHeight="1" x14ac:dyDescent="0.2">
      <c r="A423" t="s">
        <v>221</v>
      </c>
      <c r="B423" s="49">
        <v>45323</v>
      </c>
      <c r="C423">
        <v>19</v>
      </c>
      <c r="D423" s="33">
        <v>15500</v>
      </c>
      <c r="E423" t="str">
        <f>_xlfn.XLOOKUP(Quota_tbl[[#This Row],[Rep_ID]],Dim_Reps!A:A,Dim_Reps!K:K)</f>
        <v>MXN</v>
      </c>
      <c r="F423" s="33">
        <f>(_xlfn.XLOOKUP(Quota_tbl[[#This Row],[Rate_Code_Generalized]],Lookups!A:A,Lookups!B:B)*Quota_tbl[[#This Row],[Quota_Amount_USD]])</f>
        <v>305856.85000000003</v>
      </c>
      <c r="G423" t="str">
        <f>_xlfn.XLOOKUP(Quota_tbl[[#This Row],[Rep_ID]],Dim_Reps!A:A,Dim_Reps!C:C)</f>
        <v>SDR / Inside Sales Rep</v>
      </c>
      <c r="H423" t="str">
        <f>_xlfn.XLOOKUP(Quota_tbl[[#This Row],[Rep_ID]],Dim_Reps!A:A,Dim_Reps!D:D)</f>
        <v>Inside Sales</v>
      </c>
      <c r="I423" t="str">
        <f>_xlfn.XLOOKUP(Quota_tbl[[#This Row],[Rep_ID]],Dim_Reps!A:A,Dim_Reps!E:E)</f>
        <v>LATAM</v>
      </c>
      <c r="J423" t="str">
        <f>_xlfn.XLOOKUP(Quota_tbl[[#This Row],[Period_Start_Date]],Dim_Date!A:A,Dim_Date!H:H)</f>
        <v>Feb 2024</v>
      </c>
    </row>
    <row r="424" spans="1:10" ht="15" customHeight="1" x14ac:dyDescent="0.2">
      <c r="A424" t="s">
        <v>221</v>
      </c>
      <c r="B424" s="49">
        <v>45352</v>
      </c>
      <c r="C424">
        <v>20</v>
      </c>
      <c r="D424" s="33">
        <v>15200</v>
      </c>
      <c r="E424" t="str">
        <f>_xlfn.XLOOKUP(Quota_tbl[[#This Row],[Rep_ID]],Dim_Reps!A:A,Dim_Reps!K:K)</f>
        <v>MXN</v>
      </c>
      <c r="F424" s="33">
        <f>(_xlfn.XLOOKUP(Quota_tbl[[#This Row],[Rate_Code_Generalized]],Lookups!A:A,Lookups!B:B)*Quota_tbl[[#This Row],[Quota_Amount_USD]])</f>
        <v>299937.04000000004</v>
      </c>
      <c r="G424" t="str">
        <f>_xlfn.XLOOKUP(Quota_tbl[[#This Row],[Rep_ID]],Dim_Reps!A:A,Dim_Reps!C:C)</f>
        <v>SDR / Inside Sales Rep</v>
      </c>
      <c r="H424" t="str">
        <f>_xlfn.XLOOKUP(Quota_tbl[[#This Row],[Rep_ID]],Dim_Reps!A:A,Dim_Reps!D:D)</f>
        <v>Inside Sales</v>
      </c>
      <c r="I424" t="str">
        <f>_xlfn.XLOOKUP(Quota_tbl[[#This Row],[Rep_ID]],Dim_Reps!A:A,Dim_Reps!E:E)</f>
        <v>LATAM</v>
      </c>
      <c r="J424" t="str">
        <f>_xlfn.XLOOKUP(Quota_tbl[[#This Row],[Period_Start_Date]],Dim_Date!A:A,Dim_Date!H:H)</f>
        <v>Mar 2024</v>
      </c>
    </row>
    <row r="425" spans="1:10" ht="15" customHeight="1" x14ac:dyDescent="0.2">
      <c r="A425" t="s">
        <v>221</v>
      </c>
      <c r="B425" s="49">
        <v>45383</v>
      </c>
      <c r="C425">
        <v>21</v>
      </c>
      <c r="D425" s="33">
        <v>15600</v>
      </c>
      <c r="E425" t="str">
        <f>_xlfn.XLOOKUP(Quota_tbl[[#This Row],[Rep_ID]],Dim_Reps!A:A,Dim_Reps!K:K)</f>
        <v>MXN</v>
      </c>
      <c r="F425" s="33">
        <f>(_xlfn.XLOOKUP(Quota_tbl[[#This Row],[Rate_Code_Generalized]],Lookups!A:A,Lookups!B:B)*Quota_tbl[[#This Row],[Quota_Amount_USD]])</f>
        <v>307830.12</v>
      </c>
      <c r="G425" t="str">
        <f>_xlfn.XLOOKUP(Quota_tbl[[#This Row],[Rep_ID]],Dim_Reps!A:A,Dim_Reps!C:C)</f>
        <v>SDR / Inside Sales Rep</v>
      </c>
      <c r="H425" t="str">
        <f>_xlfn.XLOOKUP(Quota_tbl[[#This Row],[Rep_ID]],Dim_Reps!A:A,Dim_Reps!D:D)</f>
        <v>Inside Sales</v>
      </c>
      <c r="I425" t="str">
        <f>_xlfn.XLOOKUP(Quota_tbl[[#This Row],[Rep_ID]],Dim_Reps!A:A,Dim_Reps!E:E)</f>
        <v>LATAM</v>
      </c>
      <c r="J425" t="str">
        <f>_xlfn.XLOOKUP(Quota_tbl[[#This Row],[Period_Start_Date]],Dim_Date!A:A,Dim_Date!H:H)</f>
        <v>Apr 2024</v>
      </c>
    </row>
    <row r="426" spans="1:10" ht="15" customHeight="1" x14ac:dyDescent="0.2">
      <c r="A426" t="s">
        <v>221</v>
      </c>
      <c r="B426" s="49">
        <v>45413</v>
      </c>
      <c r="C426">
        <v>22</v>
      </c>
      <c r="D426" s="33">
        <v>15400</v>
      </c>
      <c r="E426" t="str">
        <f>_xlfn.XLOOKUP(Quota_tbl[[#This Row],[Rep_ID]],Dim_Reps!A:A,Dim_Reps!K:K)</f>
        <v>MXN</v>
      </c>
      <c r="F426" s="33">
        <f>(_xlfn.XLOOKUP(Quota_tbl[[#This Row],[Rate_Code_Generalized]],Lookups!A:A,Lookups!B:B)*Quota_tbl[[#This Row],[Quota_Amount_USD]])</f>
        <v>303883.58</v>
      </c>
      <c r="G426" t="str">
        <f>_xlfn.XLOOKUP(Quota_tbl[[#This Row],[Rep_ID]],Dim_Reps!A:A,Dim_Reps!C:C)</f>
        <v>SDR / Inside Sales Rep</v>
      </c>
      <c r="H426" t="str">
        <f>_xlfn.XLOOKUP(Quota_tbl[[#This Row],[Rep_ID]],Dim_Reps!A:A,Dim_Reps!D:D)</f>
        <v>Inside Sales</v>
      </c>
      <c r="I426" t="str">
        <f>_xlfn.XLOOKUP(Quota_tbl[[#This Row],[Rep_ID]],Dim_Reps!A:A,Dim_Reps!E:E)</f>
        <v>LATAM</v>
      </c>
      <c r="J426" t="str">
        <f>_xlfn.XLOOKUP(Quota_tbl[[#This Row],[Period_Start_Date]],Dim_Date!A:A,Dim_Date!H:H)</f>
        <v>May 2024</v>
      </c>
    </row>
    <row r="427" spans="1:10" ht="15" customHeight="1" x14ac:dyDescent="0.2">
      <c r="A427" t="s">
        <v>221</v>
      </c>
      <c r="B427" s="49">
        <v>45444</v>
      </c>
      <c r="C427">
        <v>23</v>
      </c>
      <c r="D427" s="33">
        <v>15400</v>
      </c>
      <c r="E427" t="str">
        <f>_xlfn.XLOOKUP(Quota_tbl[[#This Row],[Rep_ID]],Dim_Reps!A:A,Dim_Reps!K:K)</f>
        <v>MXN</v>
      </c>
      <c r="F427" s="33">
        <f>(_xlfn.XLOOKUP(Quota_tbl[[#This Row],[Rate_Code_Generalized]],Lookups!A:A,Lookups!B:B)*Quota_tbl[[#This Row],[Quota_Amount_USD]])</f>
        <v>303883.58</v>
      </c>
      <c r="G427" t="str">
        <f>_xlfn.XLOOKUP(Quota_tbl[[#This Row],[Rep_ID]],Dim_Reps!A:A,Dim_Reps!C:C)</f>
        <v>SDR / Inside Sales Rep</v>
      </c>
      <c r="H427" t="str">
        <f>_xlfn.XLOOKUP(Quota_tbl[[#This Row],[Rep_ID]],Dim_Reps!A:A,Dim_Reps!D:D)</f>
        <v>Inside Sales</v>
      </c>
      <c r="I427" t="str">
        <f>_xlfn.XLOOKUP(Quota_tbl[[#This Row],[Rep_ID]],Dim_Reps!A:A,Dim_Reps!E:E)</f>
        <v>LATAM</v>
      </c>
      <c r="J427" t="str">
        <f>_xlfn.XLOOKUP(Quota_tbl[[#This Row],[Period_Start_Date]],Dim_Date!A:A,Dim_Date!H:H)</f>
        <v>Jun 2024</v>
      </c>
    </row>
    <row r="428" spans="1:10" ht="15" customHeight="1" x14ac:dyDescent="0.2">
      <c r="A428" t="s">
        <v>221</v>
      </c>
      <c r="B428" s="49">
        <v>45474</v>
      </c>
      <c r="C428">
        <v>24</v>
      </c>
      <c r="D428" s="33">
        <v>15800</v>
      </c>
      <c r="E428" t="str">
        <f>_xlfn.XLOOKUP(Quota_tbl[[#This Row],[Rep_ID]],Dim_Reps!A:A,Dim_Reps!K:K)</f>
        <v>MXN</v>
      </c>
      <c r="F428" s="33">
        <f>(_xlfn.XLOOKUP(Quota_tbl[[#This Row],[Rate_Code_Generalized]],Lookups!A:A,Lookups!B:B)*Quota_tbl[[#This Row],[Quota_Amount_USD]])</f>
        <v>311776.66000000003</v>
      </c>
      <c r="G428" t="str">
        <f>_xlfn.XLOOKUP(Quota_tbl[[#This Row],[Rep_ID]],Dim_Reps!A:A,Dim_Reps!C:C)</f>
        <v>SDR / Inside Sales Rep</v>
      </c>
      <c r="H428" t="str">
        <f>_xlfn.XLOOKUP(Quota_tbl[[#This Row],[Rep_ID]],Dim_Reps!A:A,Dim_Reps!D:D)</f>
        <v>Inside Sales</v>
      </c>
      <c r="I428" t="str">
        <f>_xlfn.XLOOKUP(Quota_tbl[[#This Row],[Rep_ID]],Dim_Reps!A:A,Dim_Reps!E:E)</f>
        <v>LATAM</v>
      </c>
      <c r="J428" t="str">
        <f>_xlfn.XLOOKUP(Quota_tbl[[#This Row],[Period_Start_Date]],Dim_Date!A:A,Dim_Date!H:H)</f>
        <v>Jul 2024</v>
      </c>
    </row>
    <row r="429" spans="1:10" ht="15" customHeight="1" x14ac:dyDescent="0.2">
      <c r="A429" t="s">
        <v>221</v>
      </c>
      <c r="B429" s="49">
        <v>45505</v>
      </c>
      <c r="C429">
        <v>25</v>
      </c>
      <c r="D429" s="33">
        <v>15900</v>
      </c>
      <c r="E429" t="str">
        <f>_xlfn.XLOOKUP(Quota_tbl[[#This Row],[Rep_ID]],Dim_Reps!A:A,Dim_Reps!K:K)</f>
        <v>MXN</v>
      </c>
      <c r="F429" s="33">
        <f>(_xlfn.XLOOKUP(Quota_tbl[[#This Row],[Rate_Code_Generalized]],Lookups!A:A,Lookups!B:B)*Quota_tbl[[#This Row],[Quota_Amount_USD]])</f>
        <v>313749.93</v>
      </c>
      <c r="G429" t="str">
        <f>_xlfn.XLOOKUP(Quota_tbl[[#This Row],[Rep_ID]],Dim_Reps!A:A,Dim_Reps!C:C)</f>
        <v>SDR / Inside Sales Rep</v>
      </c>
      <c r="H429" t="str">
        <f>_xlfn.XLOOKUP(Quota_tbl[[#This Row],[Rep_ID]],Dim_Reps!A:A,Dim_Reps!D:D)</f>
        <v>Inside Sales</v>
      </c>
      <c r="I429" t="str">
        <f>_xlfn.XLOOKUP(Quota_tbl[[#This Row],[Rep_ID]],Dim_Reps!A:A,Dim_Reps!E:E)</f>
        <v>LATAM</v>
      </c>
      <c r="J429" t="str">
        <f>_xlfn.XLOOKUP(Quota_tbl[[#This Row],[Period_Start_Date]],Dim_Date!A:A,Dim_Date!H:H)</f>
        <v>Aug 2024</v>
      </c>
    </row>
    <row r="430" spans="1:10" ht="15" customHeight="1" x14ac:dyDescent="0.2">
      <c r="A430" t="s">
        <v>221</v>
      </c>
      <c r="B430" s="49">
        <v>45536</v>
      </c>
      <c r="C430">
        <v>26</v>
      </c>
      <c r="D430" s="33">
        <v>15300</v>
      </c>
      <c r="E430" t="str">
        <f>_xlfn.XLOOKUP(Quota_tbl[[#This Row],[Rep_ID]],Dim_Reps!A:A,Dim_Reps!K:K)</f>
        <v>MXN</v>
      </c>
      <c r="F430" s="33">
        <f>(_xlfn.XLOOKUP(Quota_tbl[[#This Row],[Rate_Code_Generalized]],Lookups!A:A,Lookups!B:B)*Quota_tbl[[#This Row],[Quota_Amount_USD]])</f>
        <v>301910.31</v>
      </c>
      <c r="G430" t="str">
        <f>_xlfn.XLOOKUP(Quota_tbl[[#This Row],[Rep_ID]],Dim_Reps!A:A,Dim_Reps!C:C)</f>
        <v>SDR / Inside Sales Rep</v>
      </c>
      <c r="H430" t="str">
        <f>_xlfn.XLOOKUP(Quota_tbl[[#This Row],[Rep_ID]],Dim_Reps!A:A,Dim_Reps!D:D)</f>
        <v>Inside Sales</v>
      </c>
      <c r="I430" t="str">
        <f>_xlfn.XLOOKUP(Quota_tbl[[#This Row],[Rep_ID]],Dim_Reps!A:A,Dim_Reps!E:E)</f>
        <v>LATAM</v>
      </c>
      <c r="J430" t="str">
        <f>_xlfn.XLOOKUP(Quota_tbl[[#This Row],[Period_Start_Date]],Dim_Date!A:A,Dim_Date!H:H)</f>
        <v>Sep 2024</v>
      </c>
    </row>
    <row r="431" spans="1:10" ht="15" customHeight="1" x14ac:dyDescent="0.2">
      <c r="A431" t="s">
        <v>221</v>
      </c>
      <c r="B431" s="49">
        <v>45566</v>
      </c>
      <c r="C431">
        <v>27</v>
      </c>
      <c r="D431" s="33">
        <v>15200</v>
      </c>
      <c r="E431" t="str">
        <f>_xlfn.XLOOKUP(Quota_tbl[[#This Row],[Rep_ID]],Dim_Reps!A:A,Dim_Reps!K:K)</f>
        <v>MXN</v>
      </c>
      <c r="F431" s="33">
        <f>(_xlfn.XLOOKUP(Quota_tbl[[#This Row],[Rate_Code_Generalized]],Lookups!A:A,Lookups!B:B)*Quota_tbl[[#This Row],[Quota_Amount_USD]])</f>
        <v>299937.04000000004</v>
      </c>
      <c r="G431" t="str">
        <f>_xlfn.XLOOKUP(Quota_tbl[[#This Row],[Rep_ID]],Dim_Reps!A:A,Dim_Reps!C:C)</f>
        <v>SDR / Inside Sales Rep</v>
      </c>
      <c r="H431" t="str">
        <f>_xlfn.XLOOKUP(Quota_tbl[[#This Row],[Rep_ID]],Dim_Reps!A:A,Dim_Reps!D:D)</f>
        <v>Inside Sales</v>
      </c>
      <c r="I431" t="str">
        <f>_xlfn.XLOOKUP(Quota_tbl[[#This Row],[Rep_ID]],Dim_Reps!A:A,Dim_Reps!E:E)</f>
        <v>LATAM</v>
      </c>
      <c r="J431" t="str">
        <f>_xlfn.XLOOKUP(Quota_tbl[[#This Row],[Period_Start_Date]],Dim_Date!A:A,Dim_Date!H:H)</f>
        <v>Oct 2024</v>
      </c>
    </row>
    <row r="432" spans="1:10" ht="15" customHeight="1" x14ac:dyDescent="0.2">
      <c r="A432" t="s">
        <v>221</v>
      </c>
      <c r="B432" s="49">
        <v>45597</v>
      </c>
      <c r="C432">
        <v>28</v>
      </c>
      <c r="D432" s="33">
        <v>15400</v>
      </c>
      <c r="E432" t="str">
        <f>_xlfn.XLOOKUP(Quota_tbl[[#This Row],[Rep_ID]],Dim_Reps!A:A,Dim_Reps!K:K)</f>
        <v>MXN</v>
      </c>
      <c r="F432" s="33">
        <f>(_xlfn.XLOOKUP(Quota_tbl[[#This Row],[Rate_Code_Generalized]],Lookups!A:A,Lookups!B:B)*Quota_tbl[[#This Row],[Quota_Amount_USD]])</f>
        <v>303883.58</v>
      </c>
      <c r="G432" t="str">
        <f>_xlfn.XLOOKUP(Quota_tbl[[#This Row],[Rep_ID]],Dim_Reps!A:A,Dim_Reps!C:C)</f>
        <v>SDR / Inside Sales Rep</v>
      </c>
      <c r="H432" t="str">
        <f>_xlfn.XLOOKUP(Quota_tbl[[#This Row],[Rep_ID]],Dim_Reps!A:A,Dim_Reps!D:D)</f>
        <v>Inside Sales</v>
      </c>
      <c r="I432" t="str">
        <f>_xlfn.XLOOKUP(Quota_tbl[[#This Row],[Rep_ID]],Dim_Reps!A:A,Dim_Reps!E:E)</f>
        <v>LATAM</v>
      </c>
      <c r="J432" t="str">
        <f>_xlfn.XLOOKUP(Quota_tbl[[#This Row],[Period_Start_Date]],Dim_Date!A:A,Dim_Date!H:H)</f>
        <v>Nov 2024</v>
      </c>
    </row>
    <row r="433" spans="1:10" ht="15" customHeight="1" x14ac:dyDescent="0.2">
      <c r="A433" t="s">
        <v>221</v>
      </c>
      <c r="B433" s="49">
        <v>45627</v>
      </c>
      <c r="C433">
        <v>29</v>
      </c>
      <c r="D433" s="33">
        <v>14400</v>
      </c>
      <c r="E433" t="str">
        <f>_xlfn.XLOOKUP(Quota_tbl[[#This Row],[Rep_ID]],Dim_Reps!A:A,Dim_Reps!K:K)</f>
        <v>MXN</v>
      </c>
      <c r="F433" s="33">
        <f>(_xlfn.XLOOKUP(Quota_tbl[[#This Row],[Rate_Code_Generalized]],Lookups!A:A,Lookups!B:B)*Quota_tbl[[#This Row],[Quota_Amount_USD]])</f>
        <v>284150.88</v>
      </c>
      <c r="G433" t="str">
        <f>_xlfn.XLOOKUP(Quota_tbl[[#This Row],[Rep_ID]],Dim_Reps!A:A,Dim_Reps!C:C)</f>
        <v>SDR / Inside Sales Rep</v>
      </c>
      <c r="H433" t="str">
        <f>_xlfn.XLOOKUP(Quota_tbl[[#This Row],[Rep_ID]],Dim_Reps!A:A,Dim_Reps!D:D)</f>
        <v>Inside Sales</v>
      </c>
      <c r="I433" t="str">
        <f>_xlfn.XLOOKUP(Quota_tbl[[#This Row],[Rep_ID]],Dim_Reps!A:A,Dim_Reps!E:E)</f>
        <v>LATAM</v>
      </c>
      <c r="J433" t="str">
        <f>_xlfn.XLOOKUP(Quota_tbl[[#This Row],[Period_Start_Date]],Dim_Date!A:A,Dim_Date!H:H)</f>
        <v>Dec 2024</v>
      </c>
    </row>
    <row r="434" spans="1:10" ht="15" customHeight="1" x14ac:dyDescent="0.2">
      <c r="A434" t="s">
        <v>221</v>
      </c>
      <c r="B434" s="49">
        <v>45658</v>
      </c>
      <c r="C434">
        <v>30</v>
      </c>
      <c r="D434" s="33">
        <v>14800</v>
      </c>
      <c r="E434" t="str">
        <f>_xlfn.XLOOKUP(Quota_tbl[[#This Row],[Rep_ID]],Dim_Reps!A:A,Dim_Reps!K:K)</f>
        <v>MXN</v>
      </c>
      <c r="F434" s="33">
        <f>(_xlfn.XLOOKUP(Quota_tbl[[#This Row],[Rate_Code_Generalized]],Lookups!A:A,Lookups!B:B)*Quota_tbl[[#This Row],[Quota_Amount_USD]])</f>
        <v>292043.96000000002</v>
      </c>
      <c r="G434" t="str">
        <f>_xlfn.XLOOKUP(Quota_tbl[[#This Row],[Rep_ID]],Dim_Reps!A:A,Dim_Reps!C:C)</f>
        <v>SDR / Inside Sales Rep</v>
      </c>
      <c r="H434" t="str">
        <f>_xlfn.XLOOKUP(Quota_tbl[[#This Row],[Rep_ID]],Dim_Reps!A:A,Dim_Reps!D:D)</f>
        <v>Inside Sales</v>
      </c>
      <c r="I434" t="str">
        <f>_xlfn.XLOOKUP(Quota_tbl[[#This Row],[Rep_ID]],Dim_Reps!A:A,Dim_Reps!E:E)</f>
        <v>LATAM</v>
      </c>
      <c r="J434" t="str">
        <f>_xlfn.XLOOKUP(Quota_tbl[[#This Row],[Period_Start_Date]],Dim_Date!A:A,Dim_Date!H:H)</f>
        <v>Jan 2025</v>
      </c>
    </row>
    <row r="435" spans="1:10" ht="15" customHeight="1" x14ac:dyDescent="0.2">
      <c r="A435" t="s">
        <v>221</v>
      </c>
      <c r="B435" s="49">
        <v>45689</v>
      </c>
      <c r="C435">
        <v>31</v>
      </c>
      <c r="D435" s="33">
        <v>16100</v>
      </c>
      <c r="E435" t="str">
        <f>_xlfn.XLOOKUP(Quota_tbl[[#This Row],[Rep_ID]],Dim_Reps!A:A,Dim_Reps!K:K)</f>
        <v>MXN</v>
      </c>
      <c r="F435" s="33">
        <f>(_xlfn.XLOOKUP(Quota_tbl[[#This Row],[Rate_Code_Generalized]],Lookups!A:A,Lookups!B:B)*Quota_tbl[[#This Row],[Quota_Amount_USD]])</f>
        <v>317696.47000000003</v>
      </c>
      <c r="G435" t="str">
        <f>_xlfn.XLOOKUP(Quota_tbl[[#This Row],[Rep_ID]],Dim_Reps!A:A,Dim_Reps!C:C)</f>
        <v>SDR / Inside Sales Rep</v>
      </c>
      <c r="H435" t="str">
        <f>_xlfn.XLOOKUP(Quota_tbl[[#This Row],[Rep_ID]],Dim_Reps!A:A,Dim_Reps!D:D)</f>
        <v>Inside Sales</v>
      </c>
      <c r="I435" t="str">
        <f>_xlfn.XLOOKUP(Quota_tbl[[#This Row],[Rep_ID]],Dim_Reps!A:A,Dim_Reps!E:E)</f>
        <v>LATAM</v>
      </c>
      <c r="J435" t="str">
        <f>_xlfn.XLOOKUP(Quota_tbl[[#This Row],[Period_Start_Date]],Dim_Date!A:A,Dim_Date!H:H)</f>
        <v>Feb 2025</v>
      </c>
    </row>
    <row r="436" spans="1:10" ht="15" customHeight="1" x14ac:dyDescent="0.2">
      <c r="A436" t="s">
        <v>221</v>
      </c>
      <c r="B436" s="49">
        <v>45717</v>
      </c>
      <c r="C436">
        <v>32</v>
      </c>
      <c r="D436" s="33">
        <v>16300</v>
      </c>
      <c r="E436" t="str">
        <f>_xlfn.XLOOKUP(Quota_tbl[[#This Row],[Rep_ID]],Dim_Reps!A:A,Dim_Reps!K:K)</f>
        <v>MXN</v>
      </c>
      <c r="F436" s="33">
        <f>(_xlfn.XLOOKUP(Quota_tbl[[#This Row],[Rate_Code_Generalized]],Lookups!A:A,Lookups!B:B)*Quota_tbl[[#This Row],[Quota_Amount_USD]])</f>
        <v>321643.01</v>
      </c>
      <c r="G436" t="str">
        <f>_xlfn.XLOOKUP(Quota_tbl[[#This Row],[Rep_ID]],Dim_Reps!A:A,Dim_Reps!C:C)</f>
        <v>SDR / Inside Sales Rep</v>
      </c>
      <c r="H436" t="str">
        <f>_xlfn.XLOOKUP(Quota_tbl[[#This Row],[Rep_ID]],Dim_Reps!A:A,Dim_Reps!D:D)</f>
        <v>Inside Sales</v>
      </c>
      <c r="I436" t="str">
        <f>_xlfn.XLOOKUP(Quota_tbl[[#This Row],[Rep_ID]],Dim_Reps!A:A,Dim_Reps!E:E)</f>
        <v>LATAM</v>
      </c>
      <c r="J436" t="str">
        <f>_xlfn.XLOOKUP(Quota_tbl[[#This Row],[Period_Start_Date]],Dim_Date!A:A,Dim_Date!H:H)</f>
        <v>Mar 2025</v>
      </c>
    </row>
    <row r="437" spans="1:10" ht="15" customHeight="1" x14ac:dyDescent="0.2">
      <c r="A437" t="s">
        <v>221</v>
      </c>
      <c r="B437" s="49">
        <v>45748</v>
      </c>
      <c r="C437">
        <v>33</v>
      </c>
      <c r="D437" s="33">
        <v>15400</v>
      </c>
      <c r="E437" t="str">
        <f>_xlfn.XLOOKUP(Quota_tbl[[#This Row],[Rep_ID]],Dim_Reps!A:A,Dim_Reps!K:K)</f>
        <v>MXN</v>
      </c>
      <c r="F437" s="33">
        <f>(_xlfn.XLOOKUP(Quota_tbl[[#This Row],[Rate_Code_Generalized]],Lookups!A:A,Lookups!B:B)*Quota_tbl[[#This Row],[Quota_Amount_USD]])</f>
        <v>303883.58</v>
      </c>
      <c r="G437" t="str">
        <f>_xlfn.XLOOKUP(Quota_tbl[[#This Row],[Rep_ID]],Dim_Reps!A:A,Dim_Reps!C:C)</f>
        <v>SDR / Inside Sales Rep</v>
      </c>
      <c r="H437" t="str">
        <f>_xlfn.XLOOKUP(Quota_tbl[[#This Row],[Rep_ID]],Dim_Reps!A:A,Dim_Reps!D:D)</f>
        <v>Inside Sales</v>
      </c>
      <c r="I437" t="str">
        <f>_xlfn.XLOOKUP(Quota_tbl[[#This Row],[Rep_ID]],Dim_Reps!A:A,Dim_Reps!E:E)</f>
        <v>LATAM</v>
      </c>
      <c r="J437" t="str">
        <f>_xlfn.XLOOKUP(Quota_tbl[[#This Row],[Period_Start_Date]],Dim_Date!A:A,Dim_Date!H:H)</f>
        <v>Apr 2025</v>
      </c>
    </row>
    <row r="438" spans="1:10" ht="15" customHeight="1" x14ac:dyDescent="0.2">
      <c r="A438" t="s">
        <v>221</v>
      </c>
      <c r="B438" s="49">
        <v>45778</v>
      </c>
      <c r="C438">
        <v>34</v>
      </c>
      <c r="D438" s="33">
        <v>15800</v>
      </c>
      <c r="E438" t="str">
        <f>_xlfn.XLOOKUP(Quota_tbl[[#This Row],[Rep_ID]],Dim_Reps!A:A,Dim_Reps!K:K)</f>
        <v>MXN</v>
      </c>
      <c r="F438" s="33">
        <f>(_xlfn.XLOOKUP(Quota_tbl[[#This Row],[Rate_Code_Generalized]],Lookups!A:A,Lookups!B:B)*Quota_tbl[[#This Row],[Quota_Amount_USD]])</f>
        <v>311776.66000000003</v>
      </c>
      <c r="G438" t="str">
        <f>_xlfn.XLOOKUP(Quota_tbl[[#This Row],[Rep_ID]],Dim_Reps!A:A,Dim_Reps!C:C)</f>
        <v>SDR / Inside Sales Rep</v>
      </c>
      <c r="H438" t="str">
        <f>_xlfn.XLOOKUP(Quota_tbl[[#This Row],[Rep_ID]],Dim_Reps!A:A,Dim_Reps!D:D)</f>
        <v>Inside Sales</v>
      </c>
      <c r="I438" t="str">
        <f>_xlfn.XLOOKUP(Quota_tbl[[#This Row],[Rep_ID]],Dim_Reps!A:A,Dim_Reps!E:E)</f>
        <v>LATAM</v>
      </c>
      <c r="J438" t="str">
        <f>_xlfn.XLOOKUP(Quota_tbl[[#This Row],[Period_Start_Date]],Dim_Date!A:A,Dim_Date!H:H)</f>
        <v>May 2025</v>
      </c>
    </row>
    <row r="439" spans="1:10" ht="15" customHeight="1" x14ac:dyDescent="0.2">
      <c r="A439" t="s">
        <v>221</v>
      </c>
      <c r="B439" s="49">
        <v>45809</v>
      </c>
      <c r="C439">
        <v>35</v>
      </c>
      <c r="D439" s="33">
        <v>15600</v>
      </c>
      <c r="E439" t="str">
        <f>_xlfn.XLOOKUP(Quota_tbl[[#This Row],[Rep_ID]],Dim_Reps!A:A,Dim_Reps!K:K)</f>
        <v>MXN</v>
      </c>
      <c r="F439" s="33">
        <f>(_xlfn.XLOOKUP(Quota_tbl[[#This Row],[Rate_Code_Generalized]],Lookups!A:A,Lookups!B:B)*Quota_tbl[[#This Row],[Quota_Amount_USD]])</f>
        <v>307830.12</v>
      </c>
      <c r="G439" t="str">
        <f>_xlfn.XLOOKUP(Quota_tbl[[#This Row],[Rep_ID]],Dim_Reps!A:A,Dim_Reps!C:C)</f>
        <v>SDR / Inside Sales Rep</v>
      </c>
      <c r="H439" t="str">
        <f>_xlfn.XLOOKUP(Quota_tbl[[#This Row],[Rep_ID]],Dim_Reps!A:A,Dim_Reps!D:D)</f>
        <v>Inside Sales</v>
      </c>
      <c r="I439" t="str">
        <f>_xlfn.XLOOKUP(Quota_tbl[[#This Row],[Rep_ID]],Dim_Reps!A:A,Dim_Reps!E:E)</f>
        <v>LATAM</v>
      </c>
      <c r="J439" t="str">
        <f>_xlfn.XLOOKUP(Quota_tbl[[#This Row],[Period_Start_Date]],Dim_Date!A:A,Dim_Date!H:H)</f>
        <v>Jun 2025</v>
      </c>
    </row>
    <row r="440" spans="1:10" ht="15" customHeight="1" x14ac:dyDescent="0.2">
      <c r="A440" t="s">
        <v>221</v>
      </c>
      <c r="B440" s="49">
        <v>45839</v>
      </c>
      <c r="C440">
        <v>36</v>
      </c>
      <c r="D440" s="33">
        <v>16900</v>
      </c>
      <c r="E440" t="str">
        <f>_xlfn.XLOOKUP(Quota_tbl[[#This Row],[Rep_ID]],Dim_Reps!A:A,Dim_Reps!K:K)</f>
        <v>MXN</v>
      </c>
      <c r="F440" s="33">
        <f>(_xlfn.XLOOKUP(Quota_tbl[[#This Row],[Rate_Code_Generalized]],Lookups!A:A,Lookups!B:B)*Quota_tbl[[#This Row],[Quota_Amount_USD]])</f>
        <v>333482.63</v>
      </c>
      <c r="G440" t="str">
        <f>_xlfn.XLOOKUP(Quota_tbl[[#This Row],[Rep_ID]],Dim_Reps!A:A,Dim_Reps!C:C)</f>
        <v>SDR / Inside Sales Rep</v>
      </c>
      <c r="H440" t="str">
        <f>_xlfn.XLOOKUP(Quota_tbl[[#This Row],[Rep_ID]],Dim_Reps!A:A,Dim_Reps!D:D)</f>
        <v>Inside Sales</v>
      </c>
      <c r="I440" t="str">
        <f>_xlfn.XLOOKUP(Quota_tbl[[#This Row],[Rep_ID]],Dim_Reps!A:A,Dim_Reps!E:E)</f>
        <v>LATAM</v>
      </c>
      <c r="J440" t="str">
        <f>_xlfn.XLOOKUP(Quota_tbl[[#This Row],[Period_Start_Date]],Dim_Date!A:A,Dim_Date!H:H)</f>
        <v>Jul 2025</v>
      </c>
    </row>
    <row r="441" spans="1:10" ht="15" customHeight="1" x14ac:dyDescent="0.2">
      <c r="A441" t="s">
        <v>221</v>
      </c>
      <c r="B441" s="49">
        <v>45870</v>
      </c>
      <c r="C441">
        <v>37</v>
      </c>
      <c r="D441" s="33">
        <v>16000</v>
      </c>
      <c r="E441" t="str">
        <f>_xlfn.XLOOKUP(Quota_tbl[[#This Row],[Rep_ID]],Dim_Reps!A:A,Dim_Reps!K:K)</f>
        <v>MXN</v>
      </c>
      <c r="F441" s="33">
        <f>(_xlfn.XLOOKUP(Quota_tbl[[#This Row],[Rate_Code_Generalized]],Lookups!A:A,Lookups!B:B)*Quota_tbl[[#This Row],[Quota_Amount_USD]])</f>
        <v>315723.2</v>
      </c>
      <c r="G441" t="str">
        <f>_xlfn.XLOOKUP(Quota_tbl[[#This Row],[Rep_ID]],Dim_Reps!A:A,Dim_Reps!C:C)</f>
        <v>SDR / Inside Sales Rep</v>
      </c>
      <c r="H441" t="str">
        <f>_xlfn.XLOOKUP(Quota_tbl[[#This Row],[Rep_ID]],Dim_Reps!A:A,Dim_Reps!D:D)</f>
        <v>Inside Sales</v>
      </c>
      <c r="I441" t="str">
        <f>_xlfn.XLOOKUP(Quota_tbl[[#This Row],[Rep_ID]],Dim_Reps!A:A,Dim_Reps!E:E)</f>
        <v>LATAM</v>
      </c>
      <c r="J441" t="str">
        <f>_xlfn.XLOOKUP(Quota_tbl[[#This Row],[Period_Start_Date]],Dim_Date!A:A,Dim_Date!H:H)</f>
        <v>Aug 2025</v>
      </c>
    </row>
    <row r="442" spans="1:10" ht="15" customHeight="1" x14ac:dyDescent="0.2">
      <c r="A442" t="s">
        <v>221</v>
      </c>
      <c r="B442" s="49">
        <v>45901</v>
      </c>
      <c r="C442">
        <v>38</v>
      </c>
      <c r="D442" s="33">
        <v>15400</v>
      </c>
      <c r="E442" t="str">
        <f>_xlfn.XLOOKUP(Quota_tbl[[#This Row],[Rep_ID]],Dim_Reps!A:A,Dim_Reps!K:K)</f>
        <v>MXN</v>
      </c>
      <c r="F442" s="33">
        <f>(_xlfn.XLOOKUP(Quota_tbl[[#This Row],[Rate_Code_Generalized]],Lookups!A:A,Lookups!B:B)*Quota_tbl[[#This Row],[Quota_Amount_USD]])</f>
        <v>303883.58</v>
      </c>
      <c r="G442" t="str">
        <f>_xlfn.XLOOKUP(Quota_tbl[[#This Row],[Rep_ID]],Dim_Reps!A:A,Dim_Reps!C:C)</f>
        <v>SDR / Inside Sales Rep</v>
      </c>
      <c r="H442" t="str">
        <f>_xlfn.XLOOKUP(Quota_tbl[[#This Row],[Rep_ID]],Dim_Reps!A:A,Dim_Reps!D:D)</f>
        <v>Inside Sales</v>
      </c>
      <c r="I442" t="str">
        <f>_xlfn.XLOOKUP(Quota_tbl[[#This Row],[Rep_ID]],Dim_Reps!A:A,Dim_Reps!E:E)</f>
        <v>LATAM</v>
      </c>
      <c r="J442" t="str">
        <f>_xlfn.XLOOKUP(Quota_tbl[[#This Row],[Period_Start_Date]],Dim_Date!A:A,Dim_Date!H:H)</f>
        <v>Sep 2025</v>
      </c>
    </row>
    <row r="443" spans="1:10" ht="15" customHeight="1" x14ac:dyDescent="0.2">
      <c r="A443" t="s">
        <v>257</v>
      </c>
      <c r="B443" s="49">
        <v>45689</v>
      </c>
      <c r="C443">
        <v>0</v>
      </c>
      <c r="D443" s="33">
        <v>5300</v>
      </c>
      <c r="E443" t="str">
        <f>_xlfn.XLOOKUP(Quota_tbl[[#This Row],[Rep_ID]],Dim_Reps!A:A,Dim_Reps!K:K)</f>
        <v>EUR</v>
      </c>
      <c r="F443" s="33">
        <f>(_xlfn.XLOOKUP(Quota_tbl[[#This Row],[Rate_Code_Generalized]],Lookups!A:A,Lookups!B:B)*Quota_tbl[[#This Row],[Quota_Amount_USD]])</f>
        <v>5300</v>
      </c>
      <c r="G443" t="str">
        <f>_xlfn.XLOOKUP(Quota_tbl[[#This Row],[Rep_ID]],Dim_Reps!A:A,Dim_Reps!C:C)</f>
        <v>Mid-Market AE</v>
      </c>
      <c r="H443" t="str">
        <f>_xlfn.XLOOKUP(Quota_tbl[[#This Row],[Rep_ID]],Dim_Reps!A:A,Dim_Reps!D:D)</f>
        <v>Mid-Market</v>
      </c>
      <c r="I443" t="str">
        <f>_xlfn.XLOOKUP(Quota_tbl[[#This Row],[Rep_ID]],Dim_Reps!A:A,Dim_Reps!E:E)</f>
        <v>APAC</v>
      </c>
      <c r="J443" t="str">
        <f>_xlfn.XLOOKUP(Quota_tbl[[#This Row],[Period_Start_Date]],Dim_Date!A:A,Dim_Date!H:H)</f>
        <v>Feb 2025</v>
      </c>
    </row>
    <row r="444" spans="1:10" ht="15" customHeight="1" x14ac:dyDescent="0.2">
      <c r="A444" t="s">
        <v>257</v>
      </c>
      <c r="B444" s="49">
        <v>45717</v>
      </c>
      <c r="C444">
        <v>1</v>
      </c>
      <c r="D444" s="33">
        <v>10500</v>
      </c>
      <c r="E444" t="str">
        <f>_xlfn.XLOOKUP(Quota_tbl[[#This Row],[Rep_ID]],Dim_Reps!A:A,Dim_Reps!K:K)</f>
        <v>EUR</v>
      </c>
      <c r="F444" s="33">
        <f>(_xlfn.XLOOKUP(Quota_tbl[[#This Row],[Rate_Code_Generalized]],Lookups!A:A,Lookups!B:B)*Quota_tbl[[#This Row],[Quota_Amount_USD]])</f>
        <v>10500</v>
      </c>
      <c r="G444" t="str">
        <f>_xlfn.XLOOKUP(Quota_tbl[[#This Row],[Rep_ID]],Dim_Reps!A:A,Dim_Reps!C:C)</f>
        <v>Mid-Market AE</v>
      </c>
      <c r="H444" t="str">
        <f>_xlfn.XLOOKUP(Quota_tbl[[#This Row],[Rep_ID]],Dim_Reps!A:A,Dim_Reps!D:D)</f>
        <v>Mid-Market</v>
      </c>
      <c r="I444" t="str">
        <f>_xlfn.XLOOKUP(Quota_tbl[[#This Row],[Rep_ID]],Dim_Reps!A:A,Dim_Reps!E:E)</f>
        <v>APAC</v>
      </c>
      <c r="J444" t="str">
        <f>_xlfn.XLOOKUP(Quota_tbl[[#This Row],[Period_Start_Date]],Dim_Date!A:A,Dim_Date!H:H)</f>
        <v>Mar 2025</v>
      </c>
    </row>
    <row r="445" spans="1:10" ht="15" customHeight="1" x14ac:dyDescent="0.2">
      <c r="A445" t="s">
        <v>257</v>
      </c>
      <c r="B445" s="49">
        <v>45748</v>
      </c>
      <c r="C445">
        <v>2</v>
      </c>
      <c r="D445" s="33">
        <v>16600</v>
      </c>
      <c r="E445" t="str">
        <f>_xlfn.XLOOKUP(Quota_tbl[[#This Row],[Rep_ID]],Dim_Reps!A:A,Dim_Reps!K:K)</f>
        <v>EUR</v>
      </c>
      <c r="F445" s="33">
        <f>(_xlfn.XLOOKUP(Quota_tbl[[#This Row],[Rate_Code_Generalized]],Lookups!A:A,Lookups!B:B)*Quota_tbl[[#This Row],[Quota_Amount_USD]])</f>
        <v>16600</v>
      </c>
      <c r="G445" t="str">
        <f>_xlfn.XLOOKUP(Quota_tbl[[#This Row],[Rep_ID]],Dim_Reps!A:A,Dim_Reps!C:C)</f>
        <v>Mid-Market AE</v>
      </c>
      <c r="H445" t="str">
        <f>_xlfn.XLOOKUP(Quota_tbl[[#This Row],[Rep_ID]],Dim_Reps!A:A,Dim_Reps!D:D)</f>
        <v>Mid-Market</v>
      </c>
      <c r="I445" t="str">
        <f>_xlfn.XLOOKUP(Quota_tbl[[#This Row],[Rep_ID]],Dim_Reps!A:A,Dim_Reps!E:E)</f>
        <v>APAC</v>
      </c>
      <c r="J445" t="str">
        <f>_xlfn.XLOOKUP(Quota_tbl[[#This Row],[Period_Start_Date]],Dim_Date!A:A,Dim_Date!H:H)</f>
        <v>Apr 2025</v>
      </c>
    </row>
    <row r="446" spans="1:10" ht="15" customHeight="1" x14ac:dyDescent="0.2">
      <c r="A446" t="s">
        <v>257</v>
      </c>
      <c r="B446" s="49">
        <v>45778</v>
      </c>
      <c r="C446">
        <v>3</v>
      </c>
      <c r="D446" s="33">
        <v>21500</v>
      </c>
      <c r="E446" t="str">
        <f>_xlfn.XLOOKUP(Quota_tbl[[#This Row],[Rep_ID]],Dim_Reps!A:A,Dim_Reps!K:K)</f>
        <v>EUR</v>
      </c>
      <c r="F446" s="33">
        <f>(_xlfn.XLOOKUP(Quota_tbl[[#This Row],[Rate_Code_Generalized]],Lookups!A:A,Lookups!B:B)*Quota_tbl[[#This Row],[Quota_Amount_USD]])</f>
        <v>21500</v>
      </c>
      <c r="G446" t="str">
        <f>_xlfn.XLOOKUP(Quota_tbl[[#This Row],[Rep_ID]],Dim_Reps!A:A,Dim_Reps!C:C)</f>
        <v>Mid-Market AE</v>
      </c>
      <c r="H446" t="str">
        <f>_xlfn.XLOOKUP(Quota_tbl[[#This Row],[Rep_ID]],Dim_Reps!A:A,Dim_Reps!D:D)</f>
        <v>Mid-Market</v>
      </c>
      <c r="I446" t="str">
        <f>_xlfn.XLOOKUP(Quota_tbl[[#This Row],[Rep_ID]],Dim_Reps!A:A,Dim_Reps!E:E)</f>
        <v>APAC</v>
      </c>
      <c r="J446" t="str">
        <f>_xlfn.XLOOKUP(Quota_tbl[[#This Row],[Period_Start_Date]],Dim_Date!A:A,Dim_Date!H:H)</f>
        <v>May 2025</v>
      </c>
    </row>
    <row r="447" spans="1:10" ht="15" customHeight="1" x14ac:dyDescent="0.2">
      <c r="A447" t="s">
        <v>257</v>
      </c>
      <c r="B447" s="49">
        <v>45809</v>
      </c>
      <c r="C447">
        <v>4</v>
      </c>
      <c r="D447" s="33">
        <v>21100</v>
      </c>
      <c r="E447" t="str">
        <f>_xlfn.XLOOKUP(Quota_tbl[[#This Row],[Rep_ID]],Dim_Reps!A:A,Dim_Reps!K:K)</f>
        <v>EUR</v>
      </c>
      <c r="F447" s="33">
        <f>(_xlfn.XLOOKUP(Quota_tbl[[#This Row],[Rate_Code_Generalized]],Lookups!A:A,Lookups!B:B)*Quota_tbl[[#This Row],[Quota_Amount_USD]])</f>
        <v>21100</v>
      </c>
      <c r="G447" t="str">
        <f>_xlfn.XLOOKUP(Quota_tbl[[#This Row],[Rep_ID]],Dim_Reps!A:A,Dim_Reps!C:C)</f>
        <v>Mid-Market AE</v>
      </c>
      <c r="H447" t="str">
        <f>_xlfn.XLOOKUP(Quota_tbl[[#This Row],[Rep_ID]],Dim_Reps!A:A,Dim_Reps!D:D)</f>
        <v>Mid-Market</v>
      </c>
      <c r="I447" t="str">
        <f>_xlfn.XLOOKUP(Quota_tbl[[#This Row],[Rep_ID]],Dim_Reps!A:A,Dim_Reps!E:E)</f>
        <v>APAC</v>
      </c>
      <c r="J447" t="str">
        <f>_xlfn.XLOOKUP(Quota_tbl[[#This Row],[Period_Start_Date]],Dim_Date!A:A,Dim_Date!H:H)</f>
        <v>Jun 2025</v>
      </c>
    </row>
    <row r="448" spans="1:10" ht="15" customHeight="1" x14ac:dyDescent="0.2">
      <c r="A448" t="s">
        <v>257</v>
      </c>
      <c r="B448" s="49">
        <v>45839</v>
      </c>
      <c r="C448">
        <v>5</v>
      </c>
      <c r="D448" s="33">
        <v>21600</v>
      </c>
      <c r="E448" t="str">
        <f>_xlfn.XLOOKUP(Quota_tbl[[#This Row],[Rep_ID]],Dim_Reps!A:A,Dim_Reps!K:K)</f>
        <v>EUR</v>
      </c>
      <c r="F448" s="33">
        <f>(_xlfn.XLOOKUP(Quota_tbl[[#This Row],[Rate_Code_Generalized]],Lookups!A:A,Lookups!B:B)*Quota_tbl[[#This Row],[Quota_Amount_USD]])</f>
        <v>21600</v>
      </c>
      <c r="G448" t="str">
        <f>_xlfn.XLOOKUP(Quota_tbl[[#This Row],[Rep_ID]],Dim_Reps!A:A,Dim_Reps!C:C)</f>
        <v>Mid-Market AE</v>
      </c>
      <c r="H448" t="str">
        <f>_xlfn.XLOOKUP(Quota_tbl[[#This Row],[Rep_ID]],Dim_Reps!A:A,Dim_Reps!D:D)</f>
        <v>Mid-Market</v>
      </c>
      <c r="I448" t="str">
        <f>_xlfn.XLOOKUP(Quota_tbl[[#This Row],[Rep_ID]],Dim_Reps!A:A,Dim_Reps!E:E)</f>
        <v>APAC</v>
      </c>
      <c r="J448" t="str">
        <f>_xlfn.XLOOKUP(Quota_tbl[[#This Row],[Period_Start_Date]],Dim_Date!A:A,Dim_Date!H:H)</f>
        <v>Jul 2025</v>
      </c>
    </row>
    <row r="449" spans="1:10" ht="15" customHeight="1" x14ac:dyDescent="0.2">
      <c r="A449" t="s">
        <v>257</v>
      </c>
      <c r="B449" s="49">
        <v>45870</v>
      </c>
      <c r="C449">
        <v>6</v>
      </c>
      <c r="D449" s="33">
        <v>21300</v>
      </c>
      <c r="E449" t="str">
        <f>_xlfn.XLOOKUP(Quota_tbl[[#This Row],[Rep_ID]],Dim_Reps!A:A,Dim_Reps!K:K)</f>
        <v>EUR</v>
      </c>
      <c r="F449" s="33">
        <f>(_xlfn.XLOOKUP(Quota_tbl[[#This Row],[Rate_Code_Generalized]],Lookups!A:A,Lookups!B:B)*Quota_tbl[[#This Row],[Quota_Amount_USD]])</f>
        <v>21300</v>
      </c>
      <c r="G449" t="str">
        <f>_xlfn.XLOOKUP(Quota_tbl[[#This Row],[Rep_ID]],Dim_Reps!A:A,Dim_Reps!C:C)</f>
        <v>Mid-Market AE</v>
      </c>
      <c r="H449" t="str">
        <f>_xlfn.XLOOKUP(Quota_tbl[[#This Row],[Rep_ID]],Dim_Reps!A:A,Dim_Reps!D:D)</f>
        <v>Mid-Market</v>
      </c>
      <c r="I449" t="str">
        <f>_xlfn.XLOOKUP(Quota_tbl[[#This Row],[Rep_ID]],Dim_Reps!A:A,Dim_Reps!E:E)</f>
        <v>APAC</v>
      </c>
      <c r="J449" t="str">
        <f>_xlfn.XLOOKUP(Quota_tbl[[#This Row],[Period_Start_Date]],Dim_Date!A:A,Dim_Date!H:H)</f>
        <v>Aug 2025</v>
      </c>
    </row>
    <row r="450" spans="1:10" ht="15" customHeight="1" x14ac:dyDescent="0.2">
      <c r="A450" t="s">
        <v>257</v>
      </c>
      <c r="B450" s="49">
        <v>45901</v>
      </c>
      <c r="C450">
        <v>7</v>
      </c>
      <c r="D450" s="33">
        <v>23100</v>
      </c>
      <c r="E450" t="str">
        <f>_xlfn.XLOOKUP(Quota_tbl[[#This Row],[Rep_ID]],Dim_Reps!A:A,Dim_Reps!K:K)</f>
        <v>EUR</v>
      </c>
      <c r="F450" s="33">
        <f>(_xlfn.XLOOKUP(Quota_tbl[[#This Row],[Rate_Code_Generalized]],Lookups!A:A,Lookups!B:B)*Quota_tbl[[#This Row],[Quota_Amount_USD]])</f>
        <v>23100</v>
      </c>
      <c r="G450" t="str">
        <f>_xlfn.XLOOKUP(Quota_tbl[[#This Row],[Rep_ID]],Dim_Reps!A:A,Dim_Reps!C:C)</f>
        <v>Mid-Market AE</v>
      </c>
      <c r="H450" t="str">
        <f>_xlfn.XLOOKUP(Quota_tbl[[#This Row],[Rep_ID]],Dim_Reps!A:A,Dim_Reps!D:D)</f>
        <v>Mid-Market</v>
      </c>
      <c r="I450" t="str">
        <f>_xlfn.XLOOKUP(Quota_tbl[[#This Row],[Rep_ID]],Dim_Reps!A:A,Dim_Reps!E:E)</f>
        <v>APAC</v>
      </c>
      <c r="J450" t="str">
        <f>_xlfn.XLOOKUP(Quota_tbl[[#This Row],[Period_Start_Date]],Dim_Date!A:A,Dim_Date!H:H)</f>
        <v>Sep 2025</v>
      </c>
    </row>
    <row r="451" spans="1:10" ht="15" customHeight="1" x14ac:dyDescent="0.2">
      <c r="A451" t="s">
        <v>257</v>
      </c>
      <c r="B451" s="49">
        <v>45931</v>
      </c>
      <c r="C451">
        <v>8</v>
      </c>
      <c r="D451" s="33">
        <v>22600</v>
      </c>
      <c r="E451" t="str">
        <f>_xlfn.XLOOKUP(Quota_tbl[[#This Row],[Rep_ID]],Dim_Reps!A:A,Dim_Reps!K:K)</f>
        <v>EUR</v>
      </c>
      <c r="F451" s="33">
        <f>(_xlfn.XLOOKUP(Quota_tbl[[#This Row],[Rate_Code_Generalized]],Lookups!A:A,Lookups!B:B)*Quota_tbl[[#This Row],[Quota_Amount_USD]])</f>
        <v>22600</v>
      </c>
      <c r="G451" t="str">
        <f>_xlfn.XLOOKUP(Quota_tbl[[#This Row],[Rep_ID]],Dim_Reps!A:A,Dim_Reps!C:C)</f>
        <v>Mid-Market AE</v>
      </c>
      <c r="H451" t="str">
        <f>_xlfn.XLOOKUP(Quota_tbl[[#This Row],[Rep_ID]],Dim_Reps!A:A,Dim_Reps!D:D)</f>
        <v>Mid-Market</v>
      </c>
      <c r="I451" t="str">
        <f>_xlfn.XLOOKUP(Quota_tbl[[#This Row],[Rep_ID]],Dim_Reps!A:A,Dim_Reps!E:E)</f>
        <v>APAC</v>
      </c>
      <c r="J451" t="str">
        <f>_xlfn.XLOOKUP(Quota_tbl[[#This Row],[Period_Start_Date]],Dim_Date!A:A,Dim_Date!H:H)</f>
        <v>Oct 2025</v>
      </c>
    </row>
    <row r="452" spans="1:10" ht="15" customHeight="1" x14ac:dyDescent="0.2">
      <c r="A452" t="s">
        <v>257</v>
      </c>
      <c r="B452" s="49">
        <v>45962</v>
      </c>
      <c r="C452">
        <v>9</v>
      </c>
      <c r="D452" s="33">
        <v>22000</v>
      </c>
      <c r="E452" t="str">
        <f>_xlfn.XLOOKUP(Quota_tbl[[#This Row],[Rep_ID]],Dim_Reps!A:A,Dim_Reps!K:K)</f>
        <v>EUR</v>
      </c>
      <c r="F452" s="33">
        <f>(_xlfn.XLOOKUP(Quota_tbl[[#This Row],[Rate_Code_Generalized]],Lookups!A:A,Lookups!B:B)*Quota_tbl[[#This Row],[Quota_Amount_USD]])</f>
        <v>22000</v>
      </c>
      <c r="G452" t="str">
        <f>_xlfn.XLOOKUP(Quota_tbl[[#This Row],[Rep_ID]],Dim_Reps!A:A,Dim_Reps!C:C)</f>
        <v>Mid-Market AE</v>
      </c>
      <c r="H452" t="str">
        <f>_xlfn.XLOOKUP(Quota_tbl[[#This Row],[Rep_ID]],Dim_Reps!A:A,Dim_Reps!D:D)</f>
        <v>Mid-Market</v>
      </c>
      <c r="I452" t="str">
        <f>_xlfn.XLOOKUP(Quota_tbl[[#This Row],[Rep_ID]],Dim_Reps!A:A,Dim_Reps!E:E)</f>
        <v>APAC</v>
      </c>
      <c r="J452" t="str">
        <f>_xlfn.XLOOKUP(Quota_tbl[[#This Row],[Period_Start_Date]],Dim_Date!A:A,Dim_Date!H:H)</f>
        <v>Nov 2025</v>
      </c>
    </row>
    <row r="453" spans="1:10" ht="15" customHeight="1" x14ac:dyDescent="0.2">
      <c r="A453" t="s">
        <v>257</v>
      </c>
      <c r="B453" s="49">
        <v>45992</v>
      </c>
      <c r="C453">
        <v>10</v>
      </c>
      <c r="D453" s="33">
        <v>23000</v>
      </c>
      <c r="E453" t="str">
        <f>_xlfn.XLOOKUP(Quota_tbl[[#This Row],[Rep_ID]],Dim_Reps!A:A,Dim_Reps!K:K)</f>
        <v>EUR</v>
      </c>
      <c r="F453" s="33">
        <f>(_xlfn.XLOOKUP(Quota_tbl[[#This Row],[Rate_Code_Generalized]],Lookups!A:A,Lookups!B:B)*Quota_tbl[[#This Row],[Quota_Amount_USD]])</f>
        <v>23000</v>
      </c>
      <c r="G453" t="str">
        <f>_xlfn.XLOOKUP(Quota_tbl[[#This Row],[Rep_ID]],Dim_Reps!A:A,Dim_Reps!C:C)</f>
        <v>Mid-Market AE</v>
      </c>
      <c r="H453" t="str">
        <f>_xlfn.XLOOKUP(Quota_tbl[[#This Row],[Rep_ID]],Dim_Reps!A:A,Dim_Reps!D:D)</f>
        <v>Mid-Market</v>
      </c>
      <c r="I453" t="str">
        <f>_xlfn.XLOOKUP(Quota_tbl[[#This Row],[Rep_ID]],Dim_Reps!A:A,Dim_Reps!E:E)</f>
        <v>APAC</v>
      </c>
      <c r="J453" t="str">
        <f>_xlfn.XLOOKUP(Quota_tbl[[#This Row],[Period_Start_Date]],Dim_Date!A:A,Dim_Date!H:H)</f>
        <v>Dec 2025</v>
      </c>
    </row>
    <row r="454" spans="1:10" ht="15" customHeight="1" x14ac:dyDescent="0.2">
      <c r="A454" t="s">
        <v>259</v>
      </c>
      <c r="B454" s="49">
        <v>45292</v>
      </c>
      <c r="C454">
        <v>2</v>
      </c>
      <c r="D454" s="33">
        <v>16500</v>
      </c>
      <c r="E454" t="str">
        <f>_xlfn.XLOOKUP(Quota_tbl[[#This Row],[Rep_ID]],Dim_Reps!A:A,Dim_Reps!K:K)</f>
        <v>EUR</v>
      </c>
      <c r="F454" s="33">
        <f>(_xlfn.XLOOKUP(Quota_tbl[[#This Row],[Rate_Code_Generalized]],Lookups!A:A,Lookups!B:B)*Quota_tbl[[#This Row],[Quota_Amount_USD]])</f>
        <v>16500</v>
      </c>
      <c r="G454" t="str">
        <f>_xlfn.XLOOKUP(Quota_tbl[[#This Row],[Rep_ID]],Dim_Reps!A:A,Dim_Reps!C:C)</f>
        <v>Mid-Market AE</v>
      </c>
      <c r="H454" t="str">
        <f>_xlfn.XLOOKUP(Quota_tbl[[#This Row],[Rep_ID]],Dim_Reps!A:A,Dim_Reps!D:D)</f>
        <v>Mid-Market</v>
      </c>
      <c r="I454" t="str">
        <f>_xlfn.XLOOKUP(Quota_tbl[[#This Row],[Rep_ID]],Dim_Reps!A:A,Dim_Reps!E:E)</f>
        <v>EMEA</v>
      </c>
      <c r="J454" t="str">
        <f>_xlfn.XLOOKUP(Quota_tbl[[#This Row],[Period_Start_Date]],Dim_Date!A:A,Dim_Date!H:H)</f>
        <v>Jan 2024</v>
      </c>
    </row>
    <row r="455" spans="1:10" ht="15" customHeight="1" x14ac:dyDescent="0.2">
      <c r="A455" t="s">
        <v>259</v>
      </c>
      <c r="B455" s="49">
        <v>45323</v>
      </c>
      <c r="C455">
        <v>3</v>
      </c>
      <c r="D455" s="33">
        <v>21400</v>
      </c>
      <c r="E455" t="str">
        <f>_xlfn.XLOOKUP(Quota_tbl[[#This Row],[Rep_ID]],Dim_Reps!A:A,Dim_Reps!K:K)</f>
        <v>EUR</v>
      </c>
      <c r="F455" s="33">
        <f>(_xlfn.XLOOKUP(Quota_tbl[[#This Row],[Rate_Code_Generalized]],Lookups!A:A,Lookups!B:B)*Quota_tbl[[#This Row],[Quota_Amount_USD]])</f>
        <v>21400</v>
      </c>
      <c r="G455" t="str">
        <f>_xlfn.XLOOKUP(Quota_tbl[[#This Row],[Rep_ID]],Dim_Reps!A:A,Dim_Reps!C:C)</f>
        <v>Mid-Market AE</v>
      </c>
      <c r="H455" t="str">
        <f>_xlfn.XLOOKUP(Quota_tbl[[#This Row],[Rep_ID]],Dim_Reps!A:A,Dim_Reps!D:D)</f>
        <v>Mid-Market</v>
      </c>
      <c r="I455" t="str">
        <f>_xlfn.XLOOKUP(Quota_tbl[[#This Row],[Rep_ID]],Dim_Reps!A:A,Dim_Reps!E:E)</f>
        <v>EMEA</v>
      </c>
      <c r="J455" t="str">
        <f>_xlfn.XLOOKUP(Quota_tbl[[#This Row],[Period_Start_Date]],Dim_Date!A:A,Dim_Date!H:H)</f>
        <v>Feb 2024</v>
      </c>
    </row>
    <row r="456" spans="1:10" ht="15" customHeight="1" x14ac:dyDescent="0.2">
      <c r="A456" t="s">
        <v>259</v>
      </c>
      <c r="B456" s="49">
        <v>45352</v>
      </c>
      <c r="C456">
        <v>4</v>
      </c>
      <c r="D456" s="33">
        <v>23000</v>
      </c>
      <c r="E456" t="str">
        <f>_xlfn.XLOOKUP(Quota_tbl[[#This Row],[Rep_ID]],Dim_Reps!A:A,Dim_Reps!K:K)</f>
        <v>EUR</v>
      </c>
      <c r="F456" s="33">
        <f>(_xlfn.XLOOKUP(Quota_tbl[[#This Row],[Rate_Code_Generalized]],Lookups!A:A,Lookups!B:B)*Quota_tbl[[#This Row],[Quota_Amount_USD]])</f>
        <v>23000</v>
      </c>
      <c r="G456" t="str">
        <f>_xlfn.XLOOKUP(Quota_tbl[[#This Row],[Rep_ID]],Dim_Reps!A:A,Dim_Reps!C:C)</f>
        <v>Mid-Market AE</v>
      </c>
      <c r="H456" t="str">
        <f>_xlfn.XLOOKUP(Quota_tbl[[#This Row],[Rep_ID]],Dim_Reps!A:A,Dim_Reps!D:D)</f>
        <v>Mid-Market</v>
      </c>
      <c r="I456" t="str">
        <f>_xlfn.XLOOKUP(Quota_tbl[[#This Row],[Rep_ID]],Dim_Reps!A:A,Dim_Reps!E:E)</f>
        <v>EMEA</v>
      </c>
      <c r="J456" t="str">
        <f>_xlfn.XLOOKUP(Quota_tbl[[#This Row],[Period_Start_Date]],Dim_Date!A:A,Dim_Date!H:H)</f>
        <v>Mar 2024</v>
      </c>
    </row>
    <row r="457" spans="1:10" ht="15" customHeight="1" x14ac:dyDescent="0.2">
      <c r="A457" t="s">
        <v>259</v>
      </c>
      <c r="B457" s="49">
        <v>45383</v>
      </c>
      <c r="C457">
        <v>5</v>
      </c>
      <c r="D457" s="33">
        <v>22400</v>
      </c>
      <c r="E457" t="str">
        <f>_xlfn.XLOOKUP(Quota_tbl[[#This Row],[Rep_ID]],Dim_Reps!A:A,Dim_Reps!K:K)</f>
        <v>EUR</v>
      </c>
      <c r="F457" s="33">
        <f>(_xlfn.XLOOKUP(Quota_tbl[[#This Row],[Rate_Code_Generalized]],Lookups!A:A,Lookups!B:B)*Quota_tbl[[#This Row],[Quota_Amount_USD]])</f>
        <v>22400</v>
      </c>
      <c r="G457" t="str">
        <f>_xlfn.XLOOKUP(Quota_tbl[[#This Row],[Rep_ID]],Dim_Reps!A:A,Dim_Reps!C:C)</f>
        <v>Mid-Market AE</v>
      </c>
      <c r="H457" t="str">
        <f>_xlfn.XLOOKUP(Quota_tbl[[#This Row],[Rep_ID]],Dim_Reps!A:A,Dim_Reps!D:D)</f>
        <v>Mid-Market</v>
      </c>
      <c r="I457" t="str">
        <f>_xlfn.XLOOKUP(Quota_tbl[[#This Row],[Rep_ID]],Dim_Reps!A:A,Dim_Reps!E:E)</f>
        <v>EMEA</v>
      </c>
      <c r="J457" t="str">
        <f>_xlfn.XLOOKUP(Quota_tbl[[#This Row],[Period_Start_Date]],Dim_Date!A:A,Dim_Date!H:H)</f>
        <v>Apr 2024</v>
      </c>
    </row>
    <row r="458" spans="1:10" ht="15" customHeight="1" x14ac:dyDescent="0.2">
      <c r="A458" t="s">
        <v>259</v>
      </c>
      <c r="B458" s="49">
        <v>45413</v>
      </c>
      <c r="C458">
        <v>6</v>
      </c>
      <c r="D458" s="33">
        <v>21300</v>
      </c>
      <c r="E458" t="str">
        <f>_xlfn.XLOOKUP(Quota_tbl[[#This Row],[Rep_ID]],Dim_Reps!A:A,Dim_Reps!K:K)</f>
        <v>EUR</v>
      </c>
      <c r="F458" s="33">
        <f>(_xlfn.XLOOKUP(Quota_tbl[[#This Row],[Rate_Code_Generalized]],Lookups!A:A,Lookups!B:B)*Quota_tbl[[#This Row],[Quota_Amount_USD]])</f>
        <v>21300</v>
      </c>
      <c r="G458" t="str">
        <f>_xlfn.XLOOKUP(Quota_tbl[[#This Row],[Rep_ID]],Dim_Reps!A:A,Dim_Reps!C:C)</f>
        <v>Mid-Market AE</v>
      </c>
      <c r="H458" t="str">
        <f>_xlfn.XLOOKUP(Quota_tbl[[#This Row],[Rep_ID]],Dim_Reps!A:A,Dim_Reps!D:D)</f>
        <v>Mid-Market</v>
      </c>
      <c r="I458" t="str">
        <f>_xlfn.XLOOKUP(Quota_tbl[[#This Row],[Rep_ID]],Dim_Reps!A:A,Dim_Reps!E:E)</f>
        <v>EMEA</v>
      </c>
      <c r="J458" t="str">
        <f>_xlfn.XLOOKUP(Quota_tbl[[#This Row],[Period_Start_Date]],Dim_Date!A:A,Dim_Date!H:H)</f>
        <v>May 2024</v>
      </c>
    </row>
    <row r="459" spans="1:10" ht="15" customHeight="1" x14ac:dyDescent="0.2">
      <c r="A459" t="s">
        <v>259</v>
      </c>
      <c r="B459" s="49">
        <v>45444</v>
      </c>
      <c r="C459">
        <v>7</v>
      </c>
      <c r="D459" s="33">
        <v>21900</v>
      </c>
      <c r="E459" t="str">
        <f>_xlfn.XLOOKUP(Quota_tbl[[#This Row],[Rep_ID]],Dim_Reps!A:A,Dim_Reps!K:K)</f>
        <v>EUR</v>
      </c>
      <c r="F459" s="33">
        <f>(_xlfn.XLOOKUP(Quota_tbl[[#This Row],[Rate_Code_Generalized]],Lookups!A:A,Lookups!B:B)*Quota_tbl[[#This Row],[Quota_Amount_USD]])</f>
        <v>21900</v>
      </c>
      <c r="G459" t="str">
        <f>_xlfn.XLOOKUP(Quota_tbl[[#This Row],[Rep_ID]],Dim_Reps!A:A,Dim_Reps!C:C)</f>
        <v>Mid-Market AE</v>
      </c>
      <c r="H459" t="str">
        <f>_xlfn.XLOOKUP(Quota_tbl[[#This Row],[Rep_ID]],Dim_Reps!A:A,Dim_Reps!D:D)</f>
        <v>Mid-Market</v>
      </c>
      <c r="I459" t="str">
        <f>_xlfn.XLOOKUP(Quota_tbl[[#This Row],[Rep_ID]],Dim_Reps!A:A,Dim_Reps!E:E)</f>
        <v>EMEA</v>
      </c>
      <c r="J459" t="str">
        <f>_xlfn.XLOOKUP(Quota_tbl[[#This Row],[Period_Start_Date]],Dim_Date!A:A,Dim_Date!H:H)</f>
        <v>Jun 2024</v>
      </c>
    </row>
    <row r="460" spans="1:10" ht="15" customHeight="1" x14ac:dyDescent="0.2">
      <c r="A460" t="s">
        <v>259</v>
      </c>
      <c r="B460" s="49">
        <v>45474</v>
      </c>
      <c r="C460">
        <v>8</v>
      </c>
      <c r="D460" s="33">
        <v>21400</v>
      </c>
      <c r="E460" t="str">
        <f>_xlfn.XLOOKUP(Quota_tbl[[#This Row],[Rep_ID]],Dim_Reps!A:A,Dim_Reps!K:K)</f>
        <v>EUR</v>
      </c>
      <c r="F460" s="33">
        <f>(_xlfn.XLOOKUP(Quota_tbl[[#This Row],[Rate_Code_Generalized]],Lookups!A:A,Lookups!B:B)*Quota_tbl[[#This Row],[Quota_Amount_USD]])</f>
        <v>21400</v>
      </c>
      <c r="G460" t="str">
        <f>_xlfn.XLOOKUP(Quota_tbl[[#This Row],[Rep_ID]],Dim_Reps!A:A,Dim_Reps!C:C)</f>
        <v>Mid-Market AE</v>
      </c>
      <c r="H460" t="str">
        <f>_xlfn.XLOOKUP(Quota_tbl[[#This Row],[Rep_ID]],Dim_Reps!A:A,Dim_Reps!D:D)</f>
        <v>Mid-Market</v>
      </c>
      <c r="I460" t="str">
        <f>_xlfn.XLOOKUP(Quota_tbl[[#This Row],[Rep_ID]],Dim_Reps!A:A,Dim_Reps!E:E)</f>
        <v>EMEA</v>
      </c>
      <c r="J460" t="str">
        <f>_xlfn.XLOOKUP(Quota_tbl[[#This Row],[Period_Start_Date]],Dim_Date!A:A,Dim_Date!H:H)</f>
        <v>Jul 2024</v>
      </c>
    </row>
    <row r="461" spans="1:10" ht="15" customHeight="1" x14ac:dyDescent="0.2">
      <c r="A461" t="s">
        <v>259</v>
      </c>
      <c r="B461" s="49">
        <v>45505</v>
      </c>
      <c r="C461">
        <v>9</v>
      </c>
      <c r="D461" s="33">
        <v>21100</v>
      </c>
      <c r="E461" t="str">
        <f>_xlfn.XLOOKUP(Quota_tbl[[#This Row],[Rep_ID]],Dim_Reps!A:A,Dim_Reps!K:K)</f>
        <v>EUR</v>
      </c>
      <c r="F461" s="33">
        <f>(_xlfn.XLOOKUP(Quota_tbl[[#This Row],[Rate_Code_Generalized]],Lookups!A:A,Lookups!B:B)*Quota_tbl[[#This Row],[Quota_Amount_USD]])</f>
        <v>21100</v>
      </c>
      <c r="G461" t="str">
        <f>_xlfn.XLOOKUP(Quota_tbl[[#This Row],[Rep_ID]],Dim_Reps!A:A,Dim_Reps!C:C)</f>
        <v>Mid-Market AE</v>
      </c>
      <c r="H461" t="str">
        <f>_xlfn.XLOOKUP(Quota_tbl[[#This Row],[Rep_ID]],Dim_Reps!A:A,Dim_Reps!D:D)</f>
        <v>Mid-Market</v>
      </c>
      <c r="I461" t="str">
        <f>_xlfn.XLOOKUP(Quota_tbl[[#This Row],[Rep_ID]],Dim_Reps!A:A,Dim_Reps!E:E)</f>
        <v>EMEA</v>
      </c>
      <c r="J461" t="str">
        <f>_xlfn.XLOOKUP(Quota_tbl[[#This Row],[Period_Start_Date]],Dim_Date!A:A,Dim_Date!H:H)</f>
        <v>Aug 2024</v>
      </c>
    </row>
    <row r="462" spans="1:10" ht="15" customHeight="1" x14ac:dyDescent="0.2">
      <c r="A462" t="s">
        <v>259</v>
      </c>
      <c r="B462" s="49">
        <v>45536</v>
      </c>
      <c r="C462">
        <v>10</v>
      </c>
      <c r="D462" s="33">
        <v>22600</v>
      </c>
      <c r="E462" t="str">
        <f>_xlfn.XLOOKUP(Quota_tbl[[#This Row],[Rep_ID]],Dim_Reps!A:A,Dim_Reps!K:K)</f>
        <v>EUR</v>
      </c>
      <c r="F462" s="33">
        <f>(_xlfn.XLOOKUP(Quota_tbl[[#This Row],[Rate_Code_Generalized]],Lookups!A:A,Lookups!B:B)*Quota_tbl[[#This Row],[Quota_Amount_USD]])</f>
        <v>22600</v>
      </c>
      <c r="G462" t="str">
        <f>_xlfn.XLOOKUP(Quota_tbl[[#This Row],[Rep_ID]],Dim_Reps!A:A,Dim_Reps!C:C)</f>
        <v>Mid-Market AE</v>
      </c>
      <c r="H462" t="str">
        <f>_xlfn.XLOOKUP(Quota_tbl[[#This Row],[Rep_ID]],Dim_Reps!A:A,Dim_Reps!D:D)</f>
        <v>Mid-Market</v>
      </c>
      <c r="I462" t="str">
        <f>_xlfn.XLOOKUP(Quota_tbl[[#This Row],[Rep_ID]],Dim_Reps!A:A,Dim_Reps!E:E)</f>
        <v>EMEA</v>
      </c>
      <c r="J462" t="str">
        <f>_xlfn.XLOOKUP(Quota_tbl[[#This Row],[Period_Start_Date]],Dim_Date!A:A,Dim_Date!H:H)</f>
        <v>Sep 2024</v>
      </c>
    </row>
    <row r="463" spans="1:10" ht="15" customHeight="1" x14ac:dyDescent="0.2">
      <c r="A463" t="s">
        <v>259</v>
      </c>
      <c r="B463" s="49">
        <v>45566</v>
      </c>
      <c r="C463">
        <v>11</v>
      </c>
      <c r="D463" s="33">
        <v>23300</v>
      </c>
      <c r="E463" t="str">
        <f>_xlfn.XLOOKUP(Quota_tbl[[#This Row],[Rep_ID]],Dim_Reps!A:A,Dim_Reps!K:K)</f>
        <v>EUR</v>
      </c>
      <c r="F463" s="33">
        <f>(_xlfn.XLOOKUP(Quota_tbl[[#This Row],[Rate_Code_Generalized]],Lookups!A:A,Lookups!B:B)*Quota_tbl[[#This Row],[Quota_Amount_USD]])</f>
        <v>23300</v>
      </c>
      <c r="G463" t="str">
        <f>_xlfn.XLOOKUP(Quota_tbl[[#This Row],[Rep_ID]],Dim_Reps!A:A,Dim_Reps!C:C)</f>
        <v>Mid-Market AE</v>
      </c>
      <c r="H463" t="str">
        <f>_xlfn.XLOOKUP(Quota_tbl[[#This Row],[Rep_ID]],Dim_Reps!A:A,Dim_Reps!D:D)</f>
        <v>Mid-Market</v>
      </c>
      <c r="I463" t="str">
        <f>_xlfn.XLOOKUP(Quota_tbl[[#This Row],[Rep_ID]],Dim_Reps!A:A,Dim_Reps!E:E)</f>
        <v>EMEA</v>
      </c>
      <c r="J463" t="str">
        <f>_xlfn.XLOOKUP(Quota_tbl[[#This Row],[Period_Start_Date]],Dim_Date!A:A,Dim_Date!H:H)</f>
        <v>Oct 2024</v>
      </c>
    </row>
    <row r="464" spans="1:10" ht="15" customHeight="1" x14ac:dyDescent="0.2">
      <c r="A464" t="s">
        <v>259</v>
      </c>
      <c r="B464" s="49">
        <v>45597</v>
      </c>
      <c r="C464">
        <v>12</v>
      </c>
      <c r="D464" s="33">
        <v>21100</v>
      </c>
      <c r="E464" t="str">
        <f>_xlfn.XLOOKUP(Quota_tbl[[#This Row],[Rep_ID]],Dim_Reps!A:A,Dim_Reps!K:K)</f>
        <v>EUR</v>
      </c>
      <c r="F464" s="33">
        <f>(_xlfn.XLOOKUP(Quota_tbl[[#This Row],[Rate_Code_Generalized]],Lookups!A:A,Lookups!B:B)*Quota_tbl[[#This Row],[Quota_Amount_USD]])</f>
        <v>21100</v>
      </c>
      <c r="G464" t="str">
        <f>_xlfn.XLOOKUP(Quota_tbl[[#This Row],[Rep_ID]],Dim_Reps!A:A,Dim_Reps!C:C)</f>
        <v>Mid-Market AE</v>
      </c>
      <c r="H464" t="str">
        <f>_xlfn.XLOOKUP(Quota_tbl[[#This Row],[Rep_ID]],Dim_Reps!A:A,Dim_Reps!D:D)</f>
        <v>Mid-Market</v>
      </c>
      <c r="I464" t="str">
        <f>_xlfn.XLOOKUP(Quota_tbl[[#This Row],[Rep_ID]],Dim_Reps!A:A,Dim_Reps!E:E)</f>
        <v>EMEA</v>
      </c>
      <c r="J464" t="str">
        <f>_xlfn.XLOOKUP(Quota_tbl[[#This Row],[Period_Start_Date]],Dim_Date!A:A,Dim_Date!H:H)</f>
        <v>Nov 2024</v>
      </c>
    </row>
    <row r="465" spans="1:10" ht="15" customHeight="1" x14ac:dyDescent="0.2">
      <c r="A465" t="s">
        <v>259</v>
      </c>
      <c r="B465" s="49">
        <v>45627</v>
      </c>
      <c r="C465">
        <v>13</v>
      </c>
      <c r="D465" s="33">
        <v>22400</v>
      </c>
      <c r="E465" t="str">
        <f>_xlfn.XLOOKUP(Quota_tbl[[#This Row],[Rep_ID]],Dim_Reps!A:A,Dim_Reps!K:K)</f>
        <v>EUR</v>
      </c>
      <c r="F465" s="33">
        <f>(_xlfn.XLOOKUP(Quota_tbl[[#This Row],[Rate_Code_Generalized]],Lookups!A:A,Lookups!B:B)*Quota_tbl[[#This Row],[Quota_Amount_USD]])</f>
        <v>22400</v>
      </c>
      <c r="G465" t="str">
        <f>_xlfn.XLOOKUP(Quota_tbl[[#This Row],[Rep_ID]],Dim_Reps!A:A,Dim_Reps!C:C)</f>
        <v>Mid-Market AE</v>
      </c>
      <c r="H465" t="str">
        <f>_xlfn.XLOOKUP(Quota_tbl[[#This Row],[Rep_ID]],Dim_Reps!A:A,Dim_Reps!D:D)</f>
        <v>Mid-Market</v>
      </c>
      <c r="I465" t="str">
        <f>_xlfn.XLOOKUP(Quota_tbl[[#This Row],[Rep_ID]],Dim_Reps!A:A,Dim_Reps!E:E)</f>
        <v>EMEA</v>
      </c>
      <c r="J465" t="str">
        <f>_xlfn.XLOOKUP(Quota_tbl[[#This Row],[Period_Start_Date]],Dim_Date!A:A,Dim_Date!H:H)</f>
        <v>Dec 2024</v>
      </c>
    </row>
    <row r="466" spans="1:10" ht="15" customHeight="1" x14ac:dyDescent="0.2">
      <c r="A466" t="s">
        <v>259</v>
      </c>
      <c r="B466" s="49">
        <v>45658</v>
      </c>
      <c r="C466">
        <v>14</v>
      </c>
      <c r="D466" s="33">
        <v>21600</v>
      </c>
      <c r="E466" t="str">
        <f>_xlfn.XLOOKUP(Quota_tbl[[#This Row],[Rep_ID]],Dim_Reps!A:A,Dim_Reps!K:K)</f>
        <v>EUR</v>
      </c>
      <c r="F466" s="33">
        <f>(_xlfn.XLOOKUP(Quota_tbl[[#This Row],[Rate_Code_Generalized]],Lookups!A:A,Lookups!B:B)*Quota_tbl[[#This Row],[Quota_Amount_USD]])</f>
        <v>21600</v>
      </c>
      <c r="G466" t="str">
        <f>_xlfn.XLOOKUP(Quota_tbl[[#This Row],[Rep_ID]],Dim_Reps!A:A,Dim_Reps!C:C)</f>
        <v>Mid-Market AE</v>
      </c>
      <c r="H466" t="str">
        <f>_xlfn.XLOOKUP(Quota_tbl[[#This Row],[Rep_ID]],Dim_Reps!A:A,Dim_Reps!D:D)</f>
        <v>Mid-Market</v>
      </c>
      <c r="I466" t="str">
        <f>_xlfn.XLOOKUP(Quota_tbl[[#This Row],[Rep_ID]],Dim_Reps!A:A,Dim_Reps!E:E)</f>
        <v>EMEA</v>
      </c>
      <c r="J466" t="str">
        <f>_xlfn.XLOOKUP(Quota_tbl[[#This Row],[Period_Start_Date]],Dim_Date!A:A,Dim_Date!H:H)</f>
        <v>Jan 2025</v>
      </c>
    </row>
    <row r="467" spans="1:10" ht="15" customHeight="1" x14ac:dyDescent="0.2">
      <c r="A467" t="s">
        <v>259</v>
      </c>
      <c r="B467" s="49">
        <v>45689</v>
      </c>
      <c r="C467">
        <v>15</v>
      </c>
      <c r="D467" s="33">
        <v>21700</v>
      </c>
      <c r="E467" t="str">
        <f>_xlfn.XLOOKUP(Quota_tbl[[#This Row],[Rep_ID]],Dim_Reps!A:A,Dim_Reps!K:K)</f>
        <v>EUR</v>
      </c>
      <c r="F467" s="33">
        <f>(_xlfn.XLOOKUP(Quota_tbl[[#This Row],[Rate_Code_Generalized]],Lookups!A:A,Lookups!B:B)*Quota_tbl[[#This Row],[Quota_Amount_USD]])</f>
        <v>21700</v>
      </c>
      <c r="G467" t="str">
        <f>_xlfn.XLOOKUP(Quota_tbl[[#This Row],[Rep_ID]],Dim_Reps!A:A,Dim_Reps!C:C)</f>
        <v>Mid-Market AE</v>
      </c>
      <c r="H467" t="str">
        <f>_xlfn.XLOOKUP(Quota_tbl[[#This Row],[Rep_ID]],Dim_Reps!A:A,Dim_Reps!D:D)</f>
        <v>Mid-Market</v>
      </c>
      <c r="I467" t="str">
        <f>_xlfn.XLOOKUP(Quota_tbl[[#This Row],[Rep_ID]],Dim_Reps!A:A,Dim_Reps!E:E)</f>
        <v>EMEA</v>
      </c>
      <c r="J467" t="str">
        <f>_xlfn.XLOOKUP(Quota_tbl[[#This Row],[Period_Start_Date]],Dim_Date!A:A,Dim_Date!H:H)</f>
        <v>Feb 2025</v>
      </c>
    </row>
    <row r="468" spans="1:10" ht="15" customHeight="1" x14ac:dyDescent="0.2">
      <c r="A468" t="s">
        <v>259</v>
      </c>
      <c r="B468" s="49">
        <v>45717</v>
      </c>
      <c r="C468">
        <v>16</v>
      </c>
      <c r="D468" s="33">
        <v>21600</v>
      </c>
      <c r="E468" t="str">
        <f>_xlfn.XLOOKUP(Quota_tbl[[#This Row],[Rep_ID]],Dim_Reps!A:A,Dim_Reps!K:K)</f>
        <v>EUR</v>
      </c>
      <c r="F468" s="33">
        <f>(_xlfn.XLOOKUP(Quota_tbl[[#This Row],[Rate_Code_Generalized]],Lookups!A:A,Lookups!B:B)*Quota_tbl[[#This Row],[Quota_Amount_USD]])</f>
        <v>21600</v>
      </c>
      <c r="G468" t="str">
        <f>_xlfn.XLOOKUP(Quota_tbl[[#This Row],[Rep_ID]],Dim_Reps!A:A,Dim_Reps!C:C)</f>
        <v>Mid-Market AE</v>
      </c>
      <c r="H468" t="str">
        <f>_xlfn.XLOOKUP(Quota_tbl[[#This Row],[Rep_ID]],Dim_Reps!A:A,Dim_Reps!D:D)</f>
        <v>Mid-Market</v>
      </c>
      <c r="I468" t="str">
        <f>_xlfn.XLOOKUP(Quota_tbl[[#This Row],[Rep_ID]],Dim_Reps!A:A,Dim_Reps!E:E)</f>
        <v>EMEA</v>
      </c>
      <c r="J468" t="str">
        <f>_xlfn.XLOOKUP(Quota_tbl[[#This Row],[Period_Start_Date]],Dim_Date!A:A,Dim_Date!H:H)</f>
        <v>Mar 2025</v>
      </c>
    </row>
    <row r="469" spans="1:10" ht="15" customHeight="1" x14ac:dyDescent="0.2">
      <c r="A469" t="s">
        <v>259</v>
      </c>
      <c r="B469" s="49">
        <v>45748</v>
      </c>
      <c r="C469">
        <v>17</v>
      </c>
      <c r="D469" s="33">
        <v>21400</v>
      </c>
      <c r="E469" t="str">
        <f>_xlfn.XLOOKUP(Quota_tbl[[#This Row],[Rep_ID]],Dim_Reps!A:A,Dim_Reps!K:K)</f>
        <v>EUR</v>
      </c>
      <c r="F469" s="33">
        <f>(_xlfn.XLOOKUP(Quota_tbl[[#This Row],[Rate_Code_Generalized]],Lookups!A:A,Lookups!B:B)*Quota_tbl[[#This Row],[Quota_Amount_USD]])</f>
        <v>21400</v>
      </c>
      <c r="G469" t="str">
        <f>_xlfn.XLOOKUP(Quota_tbl[[#This Row],[Rep_ID]],Dim_Reps!A:A,Dim_Reps!C:C)</f>
        <v>Mid-Market AE</v>
      </c>
      <c r="H469" t="str">
        <f>_xlfn.XLOOKUP(Quota_tbl[[#This Row],[Rep_ID]],Dim_Reps!A:A,Dim_Reps!D:D)</f>
        <v>Mid-Market</v>
      </c>
      <c r="I469" t="str">
        <f>_xlfn.XLOOKUP(Quota_tbl[[#This Row],[Rep_ID]],Dim_Reps!A:A,Dim_Reps!E:E)</f>
        <v>EMEA</v>
      </c>
      <c r="J469" t="str">
        <f>_xlfn.XLOOKUP(Quota_tbl[[#This Row],[Period_Start_Date]],Dim_Date!A:A,Dim_Date!H:H)</f>
        <v>Apr 2025</v>
      </c>
    </row>
    <row r="470" spans="1:10" ht="15" customHeight="1" x14ac:dyDescent="0.2">
      <c r="A470" t="s">
        <v>259</v>
      </c>
      <c r="B470" s="49">
        <v>45778</v>
      </c>
      <c r="C470">
        <v>18</v>
      </c>
      <c r="D470" s="33">
        <v>22000</v>
      </c>
      <c r="E470" t="str">
        <f>_xlfn.XLOOKUP(Quota_tbl[[#This Row],[Rep_ID]],Dim_Reps!A:A,Dim_Reps!K:K)</f>
        <v>EUR</v>
      </c>
      <c r="F470" s="33">
        <f>(_xlfn.XLOOKUP(Quota_tbl[[#This Row],[Rate_Code_Generalized]],Lookups!A:A,Lookups!B:B)*Quota_tbl[[#This Row],[Quota_Amount_USD]])</f>
        <v>22000</v>
      </c>
      <c r="G470" t="str">
        <f>_xlfn.XLOOKUP(Quota_tbl[[#This Row],[Rep_ID]],Dim_Reps!A:A,Dim_Reps!C:C)</f>
        <v>Mid-Market AE</v>
      </c>
      <c r="H470" t="str">
        <f>_xlfn.XLOOKUP(Quota_tbl[[#This Row],[Rep_ID]],Dim_Reps!A:A,Dim_Reps!D:D)</f>
        <v>Mid-Market</v>
      </c>
      <c r="I470" t="str">
        <f>_xlfn.XLOOKUP(Quota_tbl[[#This Row],[Rep_ID]],Dim_Reps!A:A,Dim_Reps!E:E)</f>
        <v>EMEA</v>
      </c>
      <c r="J470" t="str">
        <f>_xlfn.XLOOKUP(Quota_tbl[[#This Row],[Period_Start_Date]],Dim_Date!A:A,Dim_Date!H:H)</f>
        <v>May 2025</v>
      </c>
    </row>
    <row r="471" spans="1:10" ht="15" customHeight="1" x14ac:dyDescent="0.2">
      <c r="A471" t="s">
        <v>259</v>
      </c>
      <c r="B471" s="49">
        <v>45809</v>
      </c>
      <c r="C471">
        <v>19</v>
      </c>
      <c r="D471" s="33">
        <v>21500</v>
      </c>
      <c r="E471" t="str">
        <f>_xlfn.XLOOKUP(Quota_tbl[[#This Row],[Rep_ID]],Dim_Reps!A:A,Dim_Reps!K:K)</f>
        <v>EUR</v>
      </c>
      <c r="F471" s="33">
        <f>(_xlfn.XLOOKUP(Quota_tbl[[#This Row],[Rate_Code_Generalized]],Lookups!A:A,Lookups!B:B)*Quota_tbl[[#This Row],[Quota_Amount_USD]])</f>
        <v>21500</v>
      </c>
      <c r="G471" t="str">
        <f>_xlfn.XLOOKUP(Quota_tbl[[#This Row],[Rep_ID]],Dim_Reps!A:A,Dim_Reps!C:C)</f>
        <v>Mid-Market AE</v>
      </c>
      <c r="H471" t="str">
        <f>_xlfn.XLOOKUP(Quota_tbl[[#This Row],[Rep_ID]],Dim_Reps!A:A,Dim_Reps!D:D)</f>
        <v>Mid-Market</v>
      </c>
      <c r="I471" t="str">
        <f>_xlfn.XLOOKUP(Quota_tbl[[#This Row],[Rep_ID]],Dim_Reps!A:A,Dim_Reps!E:E)</f>
        <v>EMEA</v>
      </c>
      <c r="J471" t="str">
        <f>_xlfn.XLOOKUP(Quota_tbl[[#This Row],[Period_Start_Date]],Dim_Date!A:A,Dim_Date!H:H)</f>
        <v>Jun 2025</v>
      </c>
    </row>
    <row r="472" spans="1:10" ht="15" customHeight="1" x14ac:dyDescent="0.2">
      <c r="A472" t="s">
        <v>259</v>
      </c>
      <c r="B472" s="49">
        <v>45839</v>
      </c>
      <c r="C472">
        <v>20</v>
      </c>
      <c r="D472" s="33">
        <v>22200</v>
      </c>
      <c r="E472" t="str">
        <f>_xlfn.XLOOKUP(Quota_tbl[[#This Row],[Rep_ID]],Dim_Reps!A:A,Dim_Reps!K:K)</f>
        <v>EUR</v>
      </c>
      <c r="F472" s="33">
        <f>(_xlfn.XLOOKUP(Quota_tbl[[#This Row],[Rate_Code_Generalized]],Lookups!A:A,Lookups!B:B)*Quota_tbl[[#This Row],[Quota_Amount_USD]])</f>
        <v>22200</v>
      </c>
      <c r="G472" t="str">
        <f>_xlfn.XLOOKUP(Quota_tbl[[#This Row],[Rep_ID]],Dim_Reps!A:A,Dim_Reps!C:C)</f>
        <v>Mid-Market AE</v>
      </c>
      <c r="H472" t="str">
        <f>_xlfn.XLOOKUP(Quota_tbl[[#This Row],[Rep_ID]],Dim_Reps!A:A,Dim_Reps!D:D)</f>
        <v>Mid-Market</v>
      </c>
      <c r="I472" t="str">
        <f>_xlfn.XLOOKUP(Quota_tbl[[#This Row],[Rep_ID]],Dim_Reps!A:A,Dim_Reps!E:E)</f>
        <v>EMEA</v>
      </c>
      <c r="J472" t="str">
        <f>_xlfn.XLOOKUP(Quota_tbl[[#This Row],[Period_Start_Date]],Dim_Date!A:A,Dim_Date!H:H)</f>
        <v>Jul 2025</v>
      </c>
    </row>
    <row r="473" spans="1:10" ht="15" customHeight="1" x14ac:dyDescent="0.2">
      <c r="A473" t="s">
        <v>259</v>
      </c>
      <c r="B473" s="49">
        <v>45870</v>
      </c>
      <c r="C473">
        <v>21</v>
      </c>
      <c r="D473" s="33">
        <v>22000</v>
      </c>
      <c r="E473" t="str">
        <f>_xlfn.XLOOKUP(Quota_tbl[[#This Row],[Rep_ID]],Dim_Reps!A:A,Dim_Reps!K:K)</f>
        <v>EUR</v>
      </c>
      <c r="F473" s="33">
        <f>(_xlfn.XLOOKUP(Quota_tbl[[#This Row],[Rate_Code_Generalized]],Lookups!A:A,Lookups!B:B)*Quota_tbl[[#This Row],[Quota_Amount_USD]])</f>
        <v>22000</v>
      </c>
      <c r="G473" t="str">
        <f>_xlfn.XLOOKUP(Quota_tbl[[#This Row],[Rep_ID]],Dim_Reps!A:A,Dim_Reps!C:C)</f>
        <v>Mid-Market AE</v>
      </c>
      <c r="H473" t="str">
        <f>_xlfn.XLOOKUP(Quota_tbl[[#This Row],[Rep_ID]],Dim_Reps!A:A,Dim_Reps!D:D)</f>
        <v>Mid-Market</v>
      </c>
      <c r="I473" t="str">
        <f>_xlfn.XLOOKUP(Quota_tbl[[#This Row],[Rep_ID]],Dim_Reps!A:A,Dim_Reps!E:E)</f>
        <v>EMEA</v>
      </c>
      <c r="J473" t="str">
        <f>_xlfn.XLOOKUP(Quota_tbl[[#This Row],[Period_Start_Date]],Dim_Date!A:A,Dim_Date!H:H)</f>
        <v>Aug 2025</v>
      </c>
    </row>
    <row r="474" spans="1:10" ht="15" customHeight="1" x14ac:dyDescent="0.2">
      <c r="A474" t="s">
        <v>259</v>
      </c>
      <c r="B474" s="49">
        <v>45901</v>
      </c>
      <c r="C474">
        <v>22</v>
      </c>
      <c r="D474" s="33">
        <v>21800</v>
      </c>
      <c r="E474" t="str">
        <f>_xlfn.XLOOKUP(Quota_tbl[[#This Row],[Rep_ID]],Dim_Reps!A:A,Dim_Reps!K:K)</f>
        <v>EUR</v>
      </c>
      <c r="F474" s="33">
        <f>(_xlfn.XLOOKUP(Quota_tbl[[#This Row],[Rate_Code_Generalized]],Lookups!A:A,Lookups!B:B)*Quota_tbl[[#This Row],[Quota_Amount_USD]])</f>
        <v>21800</v>
      </c>
      <c r="G474" t="str">
        <f>_xlfn.XLOOKUP(Quota_tbl[[#This Row],[Rep_ID]],Dim_Reps!A:A,Dim_Reps!C:C)</f>
        <v>Mid-Market AE</v>
      </c>
      <c r="H474" t="str">
        <f>_xlfn.XLOOKUP(Quota_tbl[[#This Row],[Rep_ID]],Dim_Reps!A:A,Dim_Reps!D:D)</f>
        <v>Mid-Market</v>
      </c>
      <c r="I474" t="str">
        <f>_xlfn.XLOOKUP(Quota_tbl[[#This Row],[Rep_ID]],Dim_Reps!A:A,Dim_Reps!E:E)</f>
        <v>EMEA</v>
      </c>
      <c r="J474" t="str">
        <f>_xlfn.XLOOKUP(Quota_tbl[[#This Row],[Period_Start_Date]],Dim_Date!A:A,Dim_Date!H:H)</f>
        <v>Sep 2025</v>
      </c>
    </row>
    <row r="475" spans="1:10" ht="15" customHeight="1" x14ac:dyDescent="0.2">
      <c r="A475" t="s">
        <v>259</v>
      </c>
      <c r="B475" s="49">
        <v>45931</v>
      </c>
      <c r="C475">
        <v>23</v>
      </c>
      <c r="D475" s="33">
        <v>21400</v>
      </c>
      <c r="E475" t="str">
        <f>_xlfn.XLOOKUP(Quota_tbl[[#This Row],[Rep_ID]],Dim_Reps!A:A,Dim_Reps!K:K)</f>
        <v>EUR</v>
      </c>
      <c r="F475" s="33">
        <f>(_xlfn.XLOOKUP(Quota_tbl[[#This Row],[Rate_Code_Generalized]],Lookups!A:A,Lookups!B:B)*Quota_tbl[[#This Row],[Quota_Amount_USD]])</f>
        <v>21400</v>
      </c>
      <c r="G475" t="str">
        <f>_xlfn.XLOOKUP(Quota_tbl[[#This Row],[Rep_ID]],Dim_Reps!A:A,Dim_Reps!C:C)</f>
        <v>Mid-Market AE</v>
      </c>
      <c r="H475" t="str">
        <f>_xlfn.XLOOKUP(Quota_tbl[[#This Row],[Rep_ID]],Dim_Reps!A:A,Dim_Reps!D:D)</f>
        <v>Mid-Market</v>
      </c>
      <c r="I475" t="str">
        <f>_xlfn.XLOOKUP(Quota_tbl[[#This Row],[Rep_ID]],Dim_Reps!A:A,Dim_Reps!E:E)</f>
        <v>EMEA</v>
      </c>
      <c r="J475" t="str">
        <f>_xlfn.XLOOKUP(Quota_tbl[[#This Row],[Period_Start_Date]],Dim_Date!A:A,Dim_Date!H:H)</f>
        <v>Oct 2025</v>
      </c>
    </row>
    <row r="476" spans="1:10" ht="15" customHeight="1" x14ac:dyDescent="0.2">
      <c r="A476" t="s">
        <v>259</v>
      </c>
      <c r="B476" s="49">
        <v>45962</v>
      </c>
      <c r="C476">
        <v>24</v>
      </c>
      <c r="D476" s="33">
        <v>21600</v>
      </c>
      <c r="E476" t="str">
        <f>_xlfn.XLOOKUP(Quota_tbl[[#This Row],[Rep_ID]],Dim_Reps!A:A,Dim_Reps!K:K)</f>
        <v>EUR</v>
      </c>
      <c r="F476" s="33">
        <f>(_xlfn.XLOOKUP(Quota_tbl[[#This Row],[Rate_Code_Generalized]],Lookups!A:A,Lookups!B:B)*Quota_tbl[[#This Row],[Quota_Amount_USD]])</f>
        <v>21600</v>
      </c>
      <c r="G476" t="str">
        <f>_xlfn.XLOOKUP(Quota_tbl[[#This Row],[Rep_ID]],Dim_Reps!A:A,Dim_Reps!C:C)</f>
        <v>Mid-Market AE</v>
      </c>
      <c r="H476" t="str">
        <f>_xlfn.XLOOKUP(Quota_tbl[[#This Row],[Rep_ID]],Dim_Reps!A:A,Dim_Reps!D:D)</f>
        <v>Mid-Market</v>
      </c>
      <c r="I476" t="str">
        <f>_xlfn.XLOOKUP(Quota_tbl[[#This Row],[Rep_ID]],Dim_Reps!A:A,Dim_Reps!E:E)</f>
        <v>EMEA</v>
      </c>
      <c r="J476" t="str">
        <f>_xlfn.XLOOKUP(Quota_tbl[[#This Row],[Period_Start_Date]],Dim_Date!A:A,Dim_Date!H:H)</f>
        <v>Nov 2025</v>
      </c>
    </row>
    <row r="477" spans="1:10" ht="15" customHeight="1" x14ac:dyDescent="0.2">
      <c r="A477" t="s">
        <v>259</v>
      </c>
      <c r="B477" s="49">
        <v>45992</v>
      </c>
      <c r="C477">
        <v>25</v>
      </c>
      <c r="D477" s="33">
        <v>22500</v>
      </c>
      <c r="E477" t="str">
        <f>_xlfn.XLOOKUP(Quota_tbl[[#This Row],[Rep_ID]],Dim_Reps!A:A,Dim_Reps!K:K)</f>
        <v>EUR</v>
      </c>
      <c r="F477" s="33">
        <f>(_xlfn.XLOOKUP(Quota_tbl[[#This Row],[Rate_Code_Generalized]],Lookups!A:A,Lookups!B:B)*Quota_tbl[[#This Row],[Quota_Amount_USD]])</f>
        <v>22500</v>
      </c>
      <c r="G477" t="str">
        <f>_xlfn.XLOOKUP(Quota_tbl[[#This Row],[Rep_ID]],Dim_Reps!A:A,Dim_Reps!C:C)</f>
        <v>Mid-Market AE</v>
      </c>
      <c r="H477" t="str">
        <f>_xlfn.XLOOKUP(Quota_tbl[[#This Row],[Rep_ID]],Dim_Reps!A:A,Dim_Reps!D:D)</f>
        <v>Mid-Market</v>
      </c>
      <c r="I477" t="str">
        <f>_xlfn.XLOOKUP(Quota_tbl[[#This Row],[Rep_ID]],Dim_Reps!A:A,Dim_Reps!E:E)</f>
        <v>EMEA</v>
      </c>
      <c r="J477" t="str">
        <f>_xlfn.XLOOKUP(Quota_tbl[[#This Row],[Period_Start_Date]],Dim_Date!A:A,Dim_Date!H:H)</f>
        <v>Dec 2025</v>
      </c>
    </row>
    <row r="478" spans="1:10" ht="15" customHeight="1" x14ac:dyDescent="0.2">
      <c r="A478" t="s">
        <v>223</v>
      </c>
      <c r="B478" s="49">
        <v>45658</v>
      </c>
      <c r="C478">
        <v>0</v>
      </c>
      <c r="D478" s="33">
        <v>3900</v>
      </c>
      <c r="E478" t="str">
        <f>_xlfn.XLOOKUP(Quota_tbl[[#This Row],[Rep_ID]],Dim_Reps!A:A,Dim_Reps!K:K)</f>
        <v>MXN</v>
      </c>
      <c r="F478" s="33">
        <f>(_xlfn.XLOOKUP(Quota_tbl[[#This Row],[Rate_Code_Generalized]],Lookups!A:A,Lookups!B:B)*Quota_tbl[[#This Row],[Quota_Amount_USD]])</f>
        <v>76957.53</v>
      </c>
      <c r="G478" t="str">
        <f>_xlfn.XLOOKUP(Quota_tbl[[#This Row],[Rep_ID]],Dim_Reps!A:A,Dim_Reps!C:C)</f>
        <v>SDR / Inside Sales Rep</v>
      </c>
      <c r="H478" t="str">
        <f>_xlfn.XLOOKUP(Quota_tbl[[#This Row],[Rep_ID]],Dim_Reps!A:A,Dim_Reps!D:D)</f>
        <v>Inside Sales</v>
      </c>
      <c r="I478" t="str">
        <f>_xlfn.XLOOKUP(Quota_tbl[[#This Row],[Rep_ID]],Dim_Reps!A:A,Dim_Reps!E:E)</f>
        <v>LATAM</v>
      </c>
      <c r="J478" t="str">
        <f>_xlfn.XLOOKUP(Quota_tbl[[#This Row],[Period_Start_Date]],Dim_Date!A:A,Dim_Date!H:H)</f>
        <v>Jan 2025</v>
      </c>
    </row>
    <row r="479" spans="1:10" ht="15" customHeight="1" x14ac:dyDescent="0.2">
      <c r="A479" t="s">
        <v>223</v>
      </c>
      <c r="B479" s="49">
        <v>45689</v>
      </c>
      <c r="C479">
        <v>1</v>
      </c>
      <c r="D479" s="33">
        <v>7500</v>
      </c>
      <c r="E479" t="str">
        <f>_xlfn.XLOOKUP(Quota_tbl[[#This Row],[Rep_ID]],Dim_Reps!A:A,Dim_Reps!K:K)</f>
        <v>MXN</v>
      </c>
      <c r="F479" s="33">
        <f>(_xlfn.XLOOKUP(Quota_tbl[[#This Row],[Rate_Code_Generalized]],Lookups!A:A,Lookups!B:B)*Quota_tbl[[#This Row],[Quota_Amount_USD]])</f>
        <v>147995.25</v>
      </c>
      <c r="G479" t="str">
        <f>_xlfn.XLOOKUP(Quota_tbl[[#This Row],[Rep_ID]],Dim_Reps!A:A,Dim_Reps!C:C)</f>
        <v>SDR / Inside Sales Rep</v>
      </c>
      <c r="H479" t="str">
        <f>_xlfn.XLOOKUP(Quota_tbl[[#This Row],[Rep_ID]],Dim_Reps!A:A,Dim_Reps!D:D)</f>
        <v>Inside Sales</v>
      </c>
      <c r="I479" t="str">
        <f>_xlfn.XLOOKUP(Quota_tbl[[#This Row],[Rep_ID]],Dim_Reps!A:A,Dim_Reps!E:E)</f>
        <v>LATAM</v>
      </c>
      <c r="J479" t="str">
        <f>_xlfn.XLOOKUP(Quota_tbl[[#This Row],[Period_Start_Date]],Dim_Date!A:A,Dim_Date!H:H)</f>
        <v>Feb 2025</v>
      </c>
    </row>
    <row r="480" spans="1:10" ht="15" customHeight="1" x14ac:dyDescent="0.2">
      <c r="A480" t="s">
        <v>223</v>
      </c>
      <c r="B480" s="49">
        <v>45717</v>
      </c>
      <c r="C480">
        <v>2</v>
      </c>
      <c r="D480" s="33">
        <v>11700</v>
      </c>
      <c r="E480" t="str">
        <f>_xlfn.XLOOKUP(Quota_tbl[[#This Row],[Rep_ID]],Dim_Reps!A:A,Dim_Reps!K:K)</f>
        <v>MXN</v>
      </c>
      <c r="F480" s="33">
        <f>(_xlfn.XLOOKUP(Quota_tbl[[#This Row],[Rate_Code_Generalized]],Lookups!A:A,Lookups!B:B)*Quota_tbl[[#This Row],[Quota_Amount_USD]])</f>
        <v>230872.59000000003</v>
      </c>
      <c r="G480" t="str">
        <f>_xlfn.XLOOKUP(Quota_tbl[[#This Row],[Rep_ID]],Dim_Reps!A:A,Dim_Reps!C:C)</f>
        <v>SDR / Inside Sales Rep</v>
      </c>
      <c r="H480" t="str">
        <f>_xlfn.XLOOKUP(Quota_tbl[[#This Row],[Rep_ID]],Dim_Reps!A:A,Dim_Reps!D:D)</f>
        <v>Inside Sales</v>
      </c>
      <c r="I480" t="str">
        <f>_xlfn.XLOOKUP(Quota_tbl[[#This Row],[Rep_ID]],Dim_Reps!A:A,Dim_Reps!E:E)</f>
        <v>LATAM</v>
      </c>
      <c r="J480" t="str">
        <f>_xlfn.XLOOKUP(Quota_tbl[[#This Row],[Period_Start_Date]],Dim_Date!A:A,Dim_Date!H:H)</f>
        <v>Mar 2025</v>
      </c>
    </row>
    <row r="481" spans="1:10" ht="15" customHeight="1" x14ac:dyDescent="0.2">
      <c r="A481" t="s">
        <v>223</v>
      </c>
      <c r="B481" s="49">
        <v>45748</v>
      </c>
      <c r="C481">
        <v>3</v>
      </c>
      <c r="D481" s="33">
        <v>15800</v>
      </c>
      <c r="E481" t="str">
        <f>_xlfn.XLOOKUP(Quota_tbl[[#This Row],[Rep_ID]],Dim_Reps!A:A,Dim_Reps!K:K)</f>
        <v>MXN</v>
      </c>
      <c r="F481" s="33">
        <f>(_xlfn.XLOOKUP(Quota_tbl[[#This Row],[Rate_Code_Generalized]],Lookups!A:A,Lookups!B:B)*Quota_tbl[[#This Row],[Quota_Amount_USD]])</f>
        <v>311776.66000000003</v>
      </c>
      <c r="G481" t="str">
        <f>_xlfn.XLOOKUP(Quota_tbl[[#This Row],[Rep_ID]],Dim_Reps!A:A,Dim_Reps!C:C)</f>
        <v>SDR / Inside Sales Rep</v>
      </c>
      <c r="H481" t="str">
        <f>_xlfn.XLOOKUP(Quota_tbl[[#This Row],[Rep_ID]],Dim_Reps!A:A,Dim_Reps!D:D)</f>
        <v>Inside Sales</v>
      </c>
      <c r="I481" t="str">
        <f>_xlfn.XLOOKUP(Quota_tbl[[#This Row],[Rep_ID]],Dim_Reps!A:A,Dim_Reps!E:E)</f>
        <v>LATAM</v>
      </c>
      <c r="J481" t="str">
        <f>_xlfn.XLOOKUP(Quota_tbl[[#This Row],[Period_Start_Date]],Dim_Date!A:A,Dim_Date!H:H)</f>
        <v>Apr 2025</v>
      </c>
    </row>
    <row r="482" spans="1:10" ht="15" customHeight="1" x14ac:dyDescent="0.2">
      <c r="A482" t="s">
        <v>223</v>
      </c>
      <c r="B482" s="49">
        <v>45778</v>
      </c>
      <c r="C482">
        <v>4</v>
      </c>
      <c r="D482" s="33">
        <v>14700</v>
      </c>
      <c r="E482" t="str">
        <f>_xlfn.XLOOKUP(Quota_tbl[[#This Row],[Rep_ID]],Dim_Reps!A:A,Dim_Reps!K:K)</f>
        <v>MXN</v>
      </c>
      <c r="F482" s="33">
        <f>(_xlfn.XLOOKUP(Quota_tbl[[#This Row],[Rate_Code_Generalized]],Lookups!A:A,Lookups!B:B)*Quota_tbl[[#This Row],[Quota_Amount_USD]])</f>
        <v>290070.69</v>
      </c>
      <c r="G482" t="str">
        <f>_xlfn.XLOOKUP(Quota_tbl[[#This Row],[Rep_ID]],Dim_Reps!A:A,Dim_Reps!C:C)</f>
        <v>SDR / Inside Sales Rep</v>
      </c>
      <c r="H482" t="str">
        <f>_xlfn.XLOOKUP(Quota_tbl[[#This Row],[Rep_ID]],Dim_Reps!A:A,Dim_Reps!D:D)</f>
        <v>Inside Sales</v>
      </c>
      <c r="I482" t="str">
        <f>_xlfn.XLOOKUP(Quota_tbl[[#This Row],[Rep_ID]],Dim_Reps!A:A,Dim_Reps!E:E)</f>
        <v>LATAM</v>
      </c>
      <c r="J482" t="str">
        <f>_xlfn.XLOOKUP(Quota_tbl[[#This Row],[Period_Start_Date]],Dim_Date!A:A,Dim_Date!H:H)</f>
        <v>May 2025</v>
      </c>
    </row>
    <row r="483" spans="1:10" ht="15" customHeight="1" x14ac:dyDescent="0.2">
      <c r="A483" t="s">
        <v>223</v>
      </c>
      <c r="B483" s="49">
        <v>45809</v>
      </c>
      <c r="C483">
        <v>5</v>
      </c>
      <c r="D483" s="33">
        <v>15800</v>
      </c>
      <c r="E483" t="str">
        <f>_xlfn.XLOOKUP(Quota_tbl[[#This Row],[Rep_ID]],Dim_Reps!A:A,Dim_Reps!K:K)</f>
        <v>MXN</v>
      </c>
      <c r="F483" s="33">
        <f>(_xlfn.XLOOKUP(Quota_tbl[[#This Row],[Rate_Code_Generalized]],Lookups!A:A,Lookups!B:B)*Quota_tbl[[#This Row],[Quota_Amount_USD]])</f>
        <v>311776.66000000003</v>
      </c>
      <c r="G483" t="str">
        <f>_xlfn.XLOOKUP(Quota_tbl[[#This Row],[Rep_ID]],Dim_Reps!A:A,Dim_Reps!C:C)</f>
        <v>SDR / Inside Sales Rep</v>
      </c>
      <c r="H483" t="str">
        <f>_xlfn.XLOOKUP(Quota_tbl[[#This Row],[Rep_ID]],Dim_Reps!A:A,Dim_Reps!D:D)</f>
        <v>Inside Sales</v>
      </c>
      <c r="I483" t="str">
        <f>_xlfn.XLOOKUP(Quota_tbl[[#This Row],[Rep_ID]],Dim_Reps!A:A,Dim_Reps!E:E)</f>
        <v>LATAM</v>
      </c>
      <c r="J483" t="str">
        <f>_xlfn.XLOOKUP(Quota_tbl[[#This Row],[Period_Start_Date]],Dim_Date!A:A,Dim_Date!H:H)</f>
        <v>Jun 2025</v>
      </c>
    </row>
    <row r="484" spans="1:10" ht="15" customHeight="1" x14ac:dyDescent="0.2">
      <c r="A484" t="s">
        <v>223</v>
      </c>
      <c r="B484" s="49">
        <v>45839</v>
      </c>
      <c r="C484">
        <v>6</v>
      </c>
      <c r="D484" s="33">
        <v>15200</v>
      </c>
      <c r="E484" t="str">
        <f>_xlfn.XLOOKUP(Quota_tbl[[#This Row],[Rep_ID]],Dim_Reps!A:A,Dim_Reps!K:K)</f>
        <v>MXN</v>
      </c>
      <c r="F484" s="33">
        <f>(_xlfn.XLOOKUP(Quota_tbl[[#This Row],[Rate_Code_Generalized]],Lookups!A:A,Lookups!B:B)*Quota_tbl[[#This Row],[Quota_Amount_USD]])</f>
        <v>299937.04000000004</v>
      </c>
      <c r="G484" t="str">
        <f>_xlfn.XLOOKUP(Quota_tbl[[#This Row],[Rep_ID]],Dim_Reps!A:A,Dim_Reps!C:C)</f>
        <v>SDR / Inside Sales Rep</v>
      </c>
      <c r="H484" t="str">
        <f>_xlfn.XLOOKUP(Quota_tbl[[#This Row],[Rep_ID]],Dim_Reps!A:A,Dim_Reps!D:D)</f>
        <v>Inside Sales</v>
      </c>
      <c r="I484" t="str">
        <f>_xlfn.XLOOKUP(Quota_tbl[[#This Row],[Rep_ID]],Dim_Reps!A:A,Dim_Reps!E:E)</f>
        <v>LATAM</v>
      </c>
      <c r="J484" t="str">
        <f>_xlfn.XLOOKUP(Quota_tbl[[#This Row],[Period_Start_Date]],Dim_Date!A:A,Dim_Date!H:H)</f>
        <v>Jul 2025</v>
      </c>
    </row>
    <row r="485" spans="1:10" ht="15" customHeight="1" x14ac:dyDescent="0.2">
      <c r="A485" t="s">
        <v>223</v>
      </c>
      <c r="B485" s="49">
        <v>45870</v>
      </c>
      <c r="C485">
        <v>7</v>
      </c>
      <c r="D485" s="33">
        <v>15800</v>
      </c>
      <c r="E485" t="str">
        <f>_xlfn.XLOOKUP(Quota_tbl[[#This Row],[Rep_ID]],Dim_Reps!A:A,Dim_Reps!K:K)</f>
        <v>MXN</v>
      </c>
      <c r="F485" s="33">
        <f>(_xlfn.XLOOKUP(Quota_tbl[[#This Row],[Rate_Code_Generalized]],Lookups!A:A,Lookups!B:B)*Quota_tbl[[#This Row],[Quota_Amount_USD]])</f>
        <v>311776.66000000003</v>
      </c>
      <c r="G485" t="str">
        <f>_xlfn.XLOOKUP(Quota_tbl[[#This Row],[Rep_ID]],Dim_Reps!A:A,Dim_Reps!C:C)</f>
        <v>SDR / Inside Sales Rep</v>
      </c>
      <c r="H485" t="str">
        <f>_xlfn.XLOOKUP(Quota_tbl[[#This Row],[Rep_ID]],Dim_Reps!A:A,Dim_Reps!D:D)</f>
        <v>Inside Sales</v>
      </c>
      <c r="I485" t="str">
        <f>_xlfn.XLOOKUP(Quota_tbl[[#This Row],[Rep_ID]],Dim_Reps!A:A,Dim_Reps!E:E)</f>
        <v>LATAM</v>
      </c>
      <c r="J485" t="str">
        <f>_xlfn.XLOOKUP(Quota_tbl[[#This Row],[Period_Start_Date]],Dim_Date!A:A,Dim_Date!H:H)</f>
        <v>Aug 2025</v>
      </c>
    </row>
    <row r="486" spans="1:10" ht="15" customHeight="1" x14ac:dyDescent="0.2">
      <c r="A486" t="s">
        <v>223</v>
      </c>
      <c r="B486" s="49">
        <v>45901</v>
      </c>
      <c r="C486">
        <v>8</v>
      </c>
      <c r="D486" s="33">
        <v>15100</v>
      </c>
      <c r="E486" t="str">
        <f>_xlfn.XLOOKUP(Quota_tbl[[#This Row],[Rep_ID]],Dim_Reps!A:A,Dim_Reps!K:K)</f>
        <v>MXN</v>
      </c>
      <c r="F486" s="33">
        <f>(_xlfn.XLOOKUP(Quota_tbl[[#This Row],[Rate_Code_Generalized]],Lookups!A:A,Lookups!B:B)*Quota_tbl[[#This Row],[Quota_Amount_USD]])</f>
        <v>297963.77</v>
      </c>
      <c r="G486" t="str">
        <f>_xlfn.XLOOKUP(Quota_tbl[[#This Row],[Rep_ID]],Dim_Reps!A:A,Dim_Reps!C:C)</f>
        <v>SDR / Inside Sales Rep</v>
      </c>
      <c r="H486" t="str">
        <f>_xlfn.XLOOKUP(Quota_tbl[[#This Row],[Rep_ID]],Dim_Reps!A:A,Dim_Reps!D:D)</f>
        <v>Inside Sales</v>
      </c>
      <c r="I486" t="str">
        <f>_xlfn.XLOOKUP(Quota_tbl[[#This Row],[Rep_ID]],Dim_Reps!A:A,Dim_Reps!E:E)</f>
        <v>LATAM</v>
      </c>
      <c r="J486" t="str">
        <f>_xlfn.XLOOKUP(Quota_tbl[[#This Row],[Period_Start_Date]],Dim_Date!A:A,Dim_Date!H:H)</f>
        <v>Sep 2025</v>
      </c>
    </row>
    <row r="487" spans="1:10" ht="15" customHeight="1" x14ac:dyDescent="0.2">
      <c r="A487" t="s">
        <v>261</v>
      </c>
      <c r="B487" s="49">
        <v>45809</v>
      </c>
      <c r="C487">
        <v>0</v>
      </c>
      <c r="D487" s="33">
        <v>5200</v>
      </c>
      <c r="E487" t="str">
        <f>_xlfn.XLOOKUP(Quota_tbl[[#This Row],[Rep_ID]],Dim_Reps!A:A,Dim_Reps!K:K)</f>
        <v>USD</v>
      </c>
      <c r="F487" s="33">
        <f>(_xlfn.XLOOKUP(Quota_tbl[[#This Row],[Rate_Code_Generalized]],Lookups!A:A,Lookups!B:B)*Quota_tbl[[#This Row],[Quota_Amount_USD]])</f>
        <v>6054.36</v>
      </c>
      <c r="G487" t="str">
        <f>_xlfn.XLOOKUP(Quota_tbl[[#This Row],[Rep_ID]],Dim_Reps!A:A,Dim_Reps!C:C)</f>
        <v>Mid-Market AE</v>
      </c>
      <c r="H487" t="str">
        <f>_xlfn.XLOOKUP(Quota_tbl[[#This Row],[Rep_ID]],Dim_Reps!A:A,Dim_Reps!D:D)</f>
        <v>Mid-Market</v>
      </c>
      <c r="I487" t="str">
        <f>_xlfn.XLOOKUP(Quota_tbl[[#This Row],[Rep_ID]],Dim_Reps!A:A,Dim_Reps!E:E)</f>
        <v>NAMER</v>
      </c>
      <c r="J487" t="str">
        <f>_xlfn.XLOOKUP(Quota_tbl[[#This Row],[Period_Start_Date]],Dim_Date!A:A,Dim_Date!H:H)</f>
        <v>Jun 2025</v>
      </c>
    </row>
    <row r="488" spans="1:10" ht="15" customHeight="1" x14ac:dyDescent="0.2">
      <c r="A488" t="s">
        <v>261</v>
      </c>
      <c r="B488" s="49">
        <v>45839</v>
      </c>
      <c r="C488">
        <v>1</v>
      </c>
      <c r="D488" s="33">
        <v>10500</v>
      </c>
      <c r="E488" t="str">
        <f>_xlfn.XLOOKUP(Quota_tbl[[#This Row],[Rep_ID]],Dim_Reps!A:A,Dim_Reps!K:K)</f>
        <v>USD</v>
      </c>
      <c r="F488" s="33">
        <f>(_xlfn.XLOOKUP(Quota_tbl[[#This Row],[Rate_Code_Generalized]],Lookups!A:A,Lookups!B:B)*Quota_tbl[[#This Row],[Quota_Amount_USD]])</f>
        <v>12225.15</v>
      </c>
      <c r="G488" t="str">
        <f>_xlfn.XLOOKUP(Quota_tbl[[#This Row],[Rep_ID]],Dim_Reps!A:A,Dim_Reps!C:C)</f>
        <v>Mid-Market AE</v>
      </c>
      <c r="H488" t="str">
        <f>_xlfn.XLOOKUP(Quota_tbl[[#This Row],[Rep_ID]],Dim_Reps!A:A,Dim_Reps!D:D)</f>
        <v>Mid-Market</v>
      </c>
      <c r="I488" t="str">
        <f>_xlfn.XLOOKUP(Quota_tbl[[#This Row],[Rep_ID]],Dim_Reps!A:A,Dim_Reps!E:E)</f>
        <v>NAMER</v>
      </c>
      <c r="J488" t="str">
        <f>_xlfn.XLOOKUP(Quota_tbl[[#This Row],[Period_Start_Date]],Dim_Date!A:A,Dim_Date!H:H)</f>
        <v>Jul 2025</v>
      </c>
    </row>
    <row r="489" spans="1:10" ht="15" customHeight="1" x14ac:dyDescent="0.2">
      <c r="A489" t="s">
        <v>261</v>
      </c>
      <c r="B489" s="49">
        <v>45870</v>
      </c>
      <c r="C489">
        <v>2</v>
      </c>
      <c r="D489" s="33">
        <v>16500</v>
      </c>
      <c r="E489" t="str">
        <f>_xlfn.XLOOKUP(Quota_tbl[[#This Row],[Rep_ID]],Dim_Reps!A:A,Dim_Reps!K:K)</f>
        <v>USD</v>
      </c>
      <c r="F489" s="33">
        <f>(_xlfn.XLOOKUP(Quota_tbl[[#This Row],[Rate_Code_Generalized]],Lookups!A:A,Lookups!B:B)*Quota_tbl[[#This Row],[Quota_Amount_USD]])</f>
        <v>19210.949999999997</v>
      </c>
      <c r="G489" t="str">
        <f>_xlfn.XLOOKUP(Quota_tbl[[#This Row],[Rep_ID]],Dim_Reps!A:A,Dim_Reps!C:C)</f>
        <v>Mid-Market AE</v>
      </c>
      <c r="H489" t="str">
        <f>_xlfn.XLOOKUP(Quota_tbl[[#This Row],[Rep_ID]],Dim_Reps!A:A,Dim_Reps!D:D)</f>
        <v>Mid-Market</v>
      </c>
      <c r="I489" t="str">
        <f>_xlfn.XLOOKUP(Quota_tbl[[#This Row],[Rep_ID]],Dim_Reps!A:A,Dim_Reps!E:E)</f>
        <v>NAMER</v>
      </c>
      <c r="J489" t="str">
        <f>_xlfn.XLOOKUP(Quota_tbl[[#This Row],[Period_Start_Date]],Dim_Date!A:A,Dim_Date!H:H)</f>
        <v>Aug 2025</v>
      </c>
    </row>
    <row r="490" spans="1:10" ht="15" customHeight="1" x14ac:dyDescent="0.2">
      <c r="A490" t="s">
        <v>261</v>
      </c>
      <c r="B490" s="49">
        <v>45901</v>
      </c>
      <c r="C490">
        <v>3</v>
      </c>
      <c r="D490" s="33">
        <v>22200</v>
      </c>
      <c r="E490" t="str">
        <f>_xlfn.XLOOKUP(Quota_tbl[[#This Row],[Rep_ID]],Dim_Reps!A:A,Dim_Reps!K:K)</f>
        <v>USD</v>
      </c>
      <c r="F490" s="33">
        <f>(_xlfn.XLOOKUP(Quota_tbl[[#This Row],[Rate_Code_Generalized]],Lookups!A:A,Lookups!B:B)*Quota_tbl[[#This Row],[Quota_Amount_USD]])</f>
        <v>25847.46</v>
      </c>
      <c r="G490" t="str">
        <f>_xlfn.XLOOKUP(Quota_tbl[[#This Row],[Rep_ID]],Dim_Reps!A:A,Dim_Reps!C:C)</f>
        <v>Mid-Market AE</v>
      </c>
      <c r="H490" t="str">
        <f>_xlfn.XLOOKUP(Quota_tbl[[#This Row],[Rep_ID]],Dim_Reps!A:A,Dim_Reps!D:D)</f>
        <v>Mid-Market</v>
      </c>
      <c r="I490" t="str">
        <f>_xlfn.XLOOKUP(Quota_tbl[[#This Row],[Rep_ID]],Dim_Reps!A:A,Dim_Reps!E:E)</f>
        <v>NAMER</v>
      </c>
      <c r="J490" t="str">
        <f>_xlfn.XLOOKUP(Quota_tbl[[#This Row],[Period_Start_Date]],Dim_Date!A:A,Dim_Date!H:H)</f>
        <v>Sep 2025</v>
      </c>
    </row>
    <row r="491" spans="1:10" ht="15" customHeight="1" x14ac:dyDescent="0.2">
      <c r="A491" t="s">
        <v>261</v>
      </c>
      <c r="B491" s="49">
        <v>45931</v>
      </c>
      <c r="C491">
        <v>4</v>
      </c>
      <c r="D491" s="33">
        <v>21400</v>
      </c>
      <c r="E491" t="str">
        <f>_xlfn.XLOOKUP(Quota_tbl[[#This Row],[Rep_ID]],Dim_Reps!A:A,Dim_Reps!K:K)</f>
        <v>USD</v>
      </c>
      <c r="F491" s="33">
        <f>(_xlfn.XLOOKUP(Quota_tbl[[#This Row],[Rate_Code_Generalized]],Lookups!A:A,Lookups!B:B)*Quota_tbl[[#This Row],[Quota_Amount_USD]])</f>
        <v>24916.019999999997</v>
      </c>
      <c r="G491" t="str">
        <f>_xlfn.XLOOKUP(Quota_tbl[[#This Row],[Rep_ID]],Dim_Reps!A:A,Dim_Reps!C:C)</f>
        <v>Mid-Market AE</v>
      </c>
      <c r="H491" t="str">
        <f>_xlfn.XLOOKUP(Quota_tbl[[#This Row],[Rep_ID]],Dim_Reps!A:A,Dim_Reps!D:D)</f>
        <v>Mid-Market</v>
      </c>
      <c r="I491" t="str">
        <f>_xlfn.XLOOKUP(Quota_tbl[[#This Row],[Rep_ID]],Dim_Reps!A:A,Dim_Reps!E:E)</f>
        <v>NAMER</v>
      </c>
      <c r="J491" t="str">
        <f>_xlfn.XLOOKUP(Quota_tbl[[#This Row],[Period_Start_Date]],Dim_Date!A:A,Dim_Date!H:H)</f>
        <v>Oct 2025</v>
      </c>
    </row>
    <row r="492" spans="1:10" ht="15" customHeight="1" x14ac:dyDescent="0.2">
      <c r="A492" t="s">
        <v>261</v>
      </c>
      <c r="B492" s="49">
        <v>45962</v>
      </c>
      <c r="C492">
        <v>5</v>
      </c>
      <c r="D492" s="33">
        <v>22400</v>
      </c>
      <c r="E492" t="str">
        <f>_xlfn.XLOOKUP(Quota_tbl[[#This Row],[Rep_ID]],Dim_Reps!A:A,Dim_Reps!K:K)</f>
        <v>USD</v>
      </c>
      <c r="F492" s="33">
        <f>(_xlfn.XLOOKUP(Quota_tbl[[#This Row],[Rate_Code_Generalized]],Lookups!A:A,Lookups!B:B)*Quota_tbl[[#This Row],[Quota_Amount_USD]])</f>
        <v>26080.319999999996</v>
      </c>
      <c r="G492" t="str">
        <f>_xlfn.XLOOKUP(Quota_tbl[[#This Row],[Rep_ID]],Dim_Reps!A:A,Dim_Reps!C:C)</f>
        <v>Mid-Market AE</v>
      </c>
      <c r="H492" t="str">
        <f>_xlfn.XLOOKUP(Quota_tbl[[#This Row],[Rep_ID]],Dim_Reps!A:A,Dim_Reps!D:D)</f>
        <v>Mid-Market</v>
      </c>
      <c r="I492" t="str">
        <f>_xlfn.XLOOKUP(Quota_tbl[[#This Row],[Rep_ID]],Dim_Reps!A:A,Dim_Reps!E:E)</f>
        <v>NAMER</v>
      </c>
      <c r="J492" t="str">
        <f>_xlfn.XLOOKUP(Quota_tbl[[#This Row],[Period_Start_Date]],Dim_Date!A:A,Dim_Date!H:H)</f>
        <v>Nov 2025</v>
      </c>
    </row>
    <row r="493" spans="1:10" ht="15" customHeight="1" x14ac:dyDescent="0.2">
      <c r="A493" t="s">
        <v>261</v>
      </c>
      <c r="B493" s="49">
        <v>45992</v>
      </c>
      <c r="C493">
        <v>6</v>
      </c>
      <c r="D493" s="33">
        <v>20900</v>
      </c>
      <c r="E493" t="str">
        <f>_xlfn.XLOOKUP(Quota_tbl[[#This Row],[Rep_ID]],Dim_Reps!A:A,Dim_Reps!K:K)</f>
        <v>USD</v>
      </c>
      <c r="F493" s="33">
        <f>(_xlfn.XLOOKUP(Quota_tbl[[#This Row],[Rate_Code_Generalized]],Lookups!A:A,Lookups!B:B)*Quota_tbl[[#This Row],[Quota_Amount_USD]])</f>
        <v>24333.87</v>
      </c>
      <c r="G493" t="str">
        <f>_xlfn.XLOOKUP(Quota_tbl[[#This Row],[Rep_ID]],Dim_Reps!A:A,Dim_Reps!C:C)</f>
        <v>Mid-Market AE</v>
      </c>
      <c r="H493" t="str">
        <f>_xlfn.XLOOKUP(Quota_tbl[[#This Row],[Rep_ID]],Dim_Reps!A:A,Dim_Reps!D:D)</f>
        <v>Mid-Market</v>
      </c>
      <c r="I493" t="str">
        <f>_xlfn.XLOOKUP(Quota_tbl[[#This Row],[Rep_ID]],Dim_Reps!A:A,Dim_Reps!E:E)</f>
        <v>NAMER</v>
      </c>
      <c r="J493" t="str">
        <f>_xlfn.XLOOKUP(Quota_tbl[[#This Row],[Period_Start_Date]],Dim_Date!A:A,Dim_Date!H:H)</f>
        <v>Dec 2025</v>
      </c>
    </row>
    <row r="494" spans="1:10" ht="15" customHeight="1" x14ac:dyDescent="0.2">
      <c r="A494" t="s">
        <v>225</v>
      </c>
      <c r="B494" s="49">
        <v>45292</v>
      </c>
      <c r="C494">
        <v>7</v>
      </c>
      <c r="D494" s="33">
        <v>15500</v>
      </c>
      <c r="E494" t="str">
        <f>_xlfn.XLOOKUP(Quota_tbl[[#This Row],[Rep_ID]],Dim_Reps!A:A,Dim_Reps!K:K)</f>
        <v>USD</v>
      </c>
      <c r="F494" s="33">
        <f>(_xlfn.XLOOKUP(Quota_tbl[[#This Row],[Rate_Code_Generalized]],Lookups!A:A,Lookups!B:B)*Quota_tbl[[#This Row],[Quota_Amount_USD]])</f>
        <v>18046.649999999998</v>
      </c>
      <c r="G494" t="str">
        <f>_xlfn.XLOOKUP(Quota_tbl[[#This Row],[Rep_ID]],Dim_Reps!A:A,Dim_Reps!C:C)</f>
        <v>SDR / Inside Sales Rep</v>
      </c>
      <c r="H494" t="str">
        <f>_xlfn.XLOOKUP(Quota_tbl[[#This Row],[Rep_ID]],Dim_Reps!A:A,Dim_Reps!D:D)</f>
        <v>Inside Sales</v>
      </c>
      <c r="I494" t="str">
        <f>_xlfn.XLOOKUP(Quota_tbl[[#This Row],[Rep_ID]],Dim_Reps!A:A,Dim_Reps!E:E)</f>
        <v>NAMER</v>
      </c>
      <c r="J494" t="str">
        <f>_xlfn.XLOOKUP(Quota_tbl[[#This Row],[Period_Start_Date]],Dim_Date!A:A,Dim_Date!H:H)</f>
        <v>Jan 2024</v>
      </c>
    </row>
    <row r="495" spans="1:10" ht="15" customHeight="1" x14ac:dyDescent="0.2">
      <c r="A495" t="s">
        <v>225</v>
      </c>
      <c r="B495" s="49">
        <v>45323</v>
      </c>
      <c r="C495">
        <v>8</v>
      </c>
      <c r="D495" s="33">
        <v>14900</v>
      </c>
      <c r="E495" t="str">
        <f>_xlfn.XLOOKUP(Quota_tbl[[#This Row],[Rep_ID]],Dim_Reps!A:A,Dim_Reps!K:K)</f>
        <v>USD</v>
      </c>
      <c r="F495" s="33">
        <f>(_xlfn.XLOOKUP(Quota_tbl[[#This Row],[Rate_Code_Generalized]],Lookups!A:A,Lookups!B:B)*Quota_tbl[[#This Row],[Quota_Amount_USD]])</f>
        <v>17348.07</v>
      </c>
      <c r="G495" t="str">
        <f>_xlfn.XLOOKUP(Quota_tbl[[#This Row],[Rep_ID]],Dim_Reps!A:A,Dim_Reps!C:C)</f>
        <v>SDR / Inside Sales Rep</v>
      </c>
      <c r="H495" t="str">
        <f>_xlfn.XLOOKUP(Quota_tbl[[#This Row],[Rep_ID]],Dim_Reps!A:A,Dim_Reps!D:D)</f>
        <v>Inside Sales</v>
      </c>
      <c r="I495" t="str">
        <f>_xlfn.XLOOKUP(Quota_tbl[[#This Row],[Rep_ID]],Dim_Reps!A:A,Dim_Reps!E:E)</f>
        <v>NAMER</v>
      </c>
      <c r="J495" t="str">
        <f>_xlfn.XLOOKUP(Quota_tbl[[#This Row],[Period_Start_Date]],Dim_Date!A:A,Dim_Date!H:H)</f>
        <v>Feb 2024</v>
      </c>
    </row>
    <row r="496" spans="1:10" ht="15" customHeight="1" x14ac:dyDescent="0.2">
      <c r="A496" t="s">
        <v>225</v>
      </c>
      <c r="B496" s="49">
        <v>45352</v>
      </c>
      <c r="C496">
        <v>9</v>
      </c>
      <c r="D496" s="33">
        <v>15200</v>
      </c>
      <c r="E496" t="str">
        <f>_xlfn.XLOOKUP(Quota_tbl[[#This Row],[Rep_ID]],Dim_Reps!A:A,Dim_Reps!K:K)</f>
        <v>USD</v>
      </c>
      <c r="F496" s="33">
        <f>(_xlfn.XLOOKUP(Quota_tbl[[#This Row],[Rate_Code_Generalized]],Lookups!A:A,Lookups!B:B)*Quota_tbl[[#This Row],[Quota_Amount_USD]])</f>
        <v>17697.359999999997</v>
      </c>
      <c r="G496" t="str">
        <f>_xlfn.XLOOKUP(Quota_tbl[[#This Row],[Rep_ID]],Dim_Reps!A:A,Dim_Reps!C:C)</f>
        <v>SDR / Inside Sales Rep</v>
      </c>
      <c r="H496" t="str">
        <f>_xlfn.XLOOKUP(Quota_tbl[[#This Row],[Rep_ID]],Dim_Reps!A:A,Dim_Reps!D:D)</f>
        <v>Inside Sales</v>
      </c>
      <c r="I496" t="str">
        <f>_xlfn.XLOOKUP(Quota_tbl[[#This Row],[Rep_ID]],Dim_Reps!A:A,Dim_Reps!E:E)</f>
        <v>NAMER</v>
      </c>
      <c r="J496" t="str">
        <f>_xlfn.XLOOKUP(Quota_tbl[[#This Row],[Period_Start_Date]],Dim_Date!A:A,Dim_Date!H:H)</f>
        <v>Mar 2024</v>
      </c>
    </row>
    <row r="497" spans="1:10" ht="15" customHeight="1" x14ac:dyDescent="0.2">
      <c r="A497" t="s">
        <v>225</v>
      </c>
      <c r="B497" s="49">
        <v>45383</v>
      </c>
      <c r="C497">
        <v>10</v>
      </c>
      <c r="D497" s="33">
        <v>15500</v>
      </c>
      <c r="E497" t="str">
        <f>_xlfn.XLOOKUP(Quota_tbl[[#This Row],[Rep_ID]],Dim_Reps!A:A,Dim_Reps!K:K)</f>
        <v>USD</v>
      </c>
      <c r="F497" s="33">
        <f>(_xlfn.XLOOKUP(Quota_tbl[[#This Row],[Rate_Code_Generalized]],Lookups!A:A,Lookups!B:B)*Quota_tbl[[#This Row],[Quota_Amount_USD]])</f>
        <v>18046.649999999998</v>
      </c>
      <c r="G497" t="str">
        <f>_xlfn.XLOOKUP(Quota_tbl[[#This Row],[Rep_ID]],Dim_Reps!A:A,Dim_Reps!C:C)</f>
        <v>SDR / Inside Sales Rep</v>
      </c>
      <c r="H497" t="str">
        <f>_xlfn.XLOOKUP(Quota_tbl[[#This Row],[Rep_ID]],Dim_Reps!A:A,Dim_Reps!D:D)</f>
        <v>Inside Sales</v>
      </c>
      <c r="I497" t="str">
        <f>_xlfn.XLOOKUP(Quota_tbl[[#This Row],[Rep_ID]],Dim_Reps!A:A,Dim_Reps!E:E)</f>
        <v>NAMER</v>
      </c>
      <c r="J497" t="str">
        <f>_xlfn.XLOOKUP(Quota_tbl[[#This Row],[Period_Start_Date]],Dim_Date!A:A,Dim_Date!H:H)</f>
        <v>Apr 2024</v>
      </c>
    </row>
    <row r="498" spans="1:10" ht="15" customHeight="1" x14ac:dyDescent="0.2">
      <c r="A498" t="s">
        <v>225</v>
      </c>
      <c r="B498" s="49">
        <v>45413</v>
      </c>
      <c r="C498">
        <v>11</v>
      </c>
      <c r="D498" s="33">
        <v>15100</v>
      </c>
      <c r="E498" t="str">
        <f>_xlfn.XLOOKUP(Quota_tbl[[#This Row],[Rep_ID]],Dim_Reps!A:A,Dim_Reps!K:K)</f>
        <v>USD</v>
      </c>
      <c r="F498" s="33">
        <f>(_xlfn.XLOOKUP(Quota_tbl[[#This Row],[Rate_Code_Generalized]],Lookups!A:A,Lookups!B:B)*Quota_tbl[[#This Row],[Quota_Amount_USD]])</f>
        <v>17580.929999999997</v>
      </c>
      <c r="G498" t="str">
        <f>_xlfn.XLOOKUP(Quota_tbl[[#This Row],[Rep_ID]],Dim_Reps!A:A,Dim_Reps!C:C)</f>
        <v>SDR / Inside Sales Rep</v>
      </c>
      <c r="H498" t="str">
        <f>_xlfn.XLOOKUP(Quota_tbl[[#This Row],[Rep_ID]],Dim_Reps!A:A,Dim_Reps!D:D)</f>
        <v>Inside Sales</v>
      </c>
      <c r="I498" t="str">
        <f>_xlfn.XLOOKUP(Quota_tbl[[#This Row],[Rep_ID]],Dim_Reps!A:A,Dim_Reps!E:E)</f>
        <v>NAMER</v>
      </c>
      <c r="J498" t="str">
        <f>_xlfn.XLOOKUP(Quota_tbl[[#This Row],[Period_Start_Date]],Dim_Date!A:A,Dim_Date!H:H)</f>
        <v>May 2024</v>
      </c>
    </row>
    <row r="499" spans="1:10" ht="15" customHeight="1" x14ac:dyDescent="0.2">
      <c r="A499" t="s">
        <v>225</v>
      </c>
      <c r="B499" s="49">
        <v>45444</v>
      </c>
      <c r="C499">
        <v>12</v>
      </c>
      <c r="D499" s="33">
        <v>15300</v>
      </c>
      <c r="E499" t="str">
        <f>_xlfn.XLOOKUP(Quota_tbl[[#This Row],[Rep_ID]],Dim_Reps!A:A,Dim_Reps!K:K)</f>
        <v>USD</v>
      </c>
      <c r="F499" s="33">
        <f>(_xlfn.XLOOKUP(Quota_tbl[[#This Row],[Rate_Code_Generalized]],Lookups!A:A,Lookups!B:B)*Quota_tbl[[#This Row],[Quota_Amount_USD]])</f>
        <v>17813.789999999997</v>
      </c>
      <c r="G499" t="str">
        <f>_xlfn.XLOOKUP(Quota_tbl[[#This Row],[Rep_ID]],Dim_Reps!A:A,Dim_Reps!C:C)</f>
        <v>SDR / Inside Sales Rep</v>
      </c>
      <c r="H499" t="str">
        <f>_xlfn.XLOOKUP(Quota_tbl[[#This Row],[Rep_ID]],Dim_Reps!A:A,Dim_Reps!D:D)</f>
        <v>Inside Sales</v>
      </c>
      <c r="I499" t="str">
        <f>_xlfn.XLOOKUP(Quota_tbl[[#This Row],[Rep_ID]],Dim_Reps!A:A,Dim_Reps!E:E)</f>
        <v>NAMER</v>
      </c>
      <c r="J499" t="str">
        <f>_xlfn.XLOOKUP(Quota_tbl[[#This Row],[Period_Start_Date]],Dim_Date!A:A,Dim_Date!H:H)</f>
        <v>Jun 2024</v>
      </c>
    </row>
    <row r="500" spans="1:10" ht="15" customHeight="1" x14ac:dyDescent="0.2">
      <c r="A500" t="s">
        <v>225</v>
      </c>
      <c r="B500" s="49">
        <v>45474</v>
      </c>
      <c r="C500">
        <v>13</v>
      </c>
      <c r="D500" s="33">
        <v>16000</v>
      </c>
      <c r="E500" t="str">
        <f>_xlfn.XLOOKUP(Quota_tbl[[#This Row],[Rep_ID]],Dim_Reps!A:A,Dim_Reps!K:K)</f>
        <v>USD</v>
      </c>
      <c r="F500" s="33">
        <f>(_xlfn.XLOOKUP(Quota_tbl[[#This Row],[Rate_Code_Generalized]],Lookups!A:A,Lookups!B:B)*Quota_tbl[[#This Row],[Quota_Amount_USD]])</f>
        <v>18628.8</v>
      </c>
      <c r="G500" t="str">
        <f>_xlfn.XLOOKUP(Quota_tbl[[#This Row],[Rep_ID]],Dim_Reps!A:A,Dim_Reps!C:C)</f>
        <v>SDR / Inside Sales Rep</v>
      </c>
      <c r="H500" t="str">
        <f>_xlfn.XLOOKUP(Quota_tbl[[#This Row],[Rep_ID]],Dim_Reps!A:A,Dim_Reps!D:D)</f>
        <v>Inside Sales</v>
      </c>
      <c r="I500" t="str">
        <f>_xlfn.XLOOKUP(Quota_tbl[[#This Row],[Rep_ID]],Dim_Reps!A:A,Dim_Reps!E:E)</f>
        <v>NAMER</v>
      </c>
      <c r="J500" t="str">
        <f>_xlfn.XLOOKUP(Quota_tbl[[#This Row],[Period_Start_Date]],Dim_Date!A:A,Dim_Date!H:H)</f>
        <v>Jul 2024</v>
      </c>
    </row>
    <row r="501" spans="1:10" ht="15" customHeight="1" x14ac:dyDescent="0.2">
      <c r="A501" t="s">
        <v>225</v>
      </c>
      <c r="B501" s="49">
        <v>45505</v>
      </c>
      <c r="C501">
        <v>14</v>
      </c>
      <c r="D501" s="33">
        <v>15200</v>
      </c>
      <c r="E501" t="str">
        <f>_xlfn.XLOOKUP(Quota_tbl[[#This Row],[Rep_ID]],Dim_Reps!A:A,Dim_Reps!K:K)</f>
        <v>USD</v>
      </c>
      <c r="F501" s="33">
        <f>(_xlfn.XLOOKUP(Quota_tbl[[#This Row],[Rate_Code_Generalized]],Lookups!A:A,Lookups!B:B)*Quota_tbl[[#This Row],[Quota_Amount_USD]])</f>
        <v>17697.359999999997</v>
      </c>
      <c r="G501" t="str">
        <f>_xlfn.XLOOKUP(Quota_tbl[[#This Row],[Rep_ID]],Dim_Reps!A:A,Dim_Reps!C:C)</f>
        <v>SDR / Inside Sales Rep</v>
      </c>
      <c r="H501" t="str">
        <f>_xlfn.XLOOKUP(Quota_tbl[[#This Row],[Rep_ID]],Dim_Reps!A:A,Dim_Reps!D:D)</f>
        <v>Inside Sales</v>
      </c>
      <c r="I501" t="str">
        <f>_xlfn.XLOOKUP(Quota_tbl[[#This Row],[Rep_ID]],Dim_Reps!A:A,Dim_Reps!E:E)</f>
        <v>NAMER</v>
      </c>
      <c r="J501" t="str">
        <f>_xlfn.XLOOKUP(Quota_tbl[[#This Row],[Period_Start_Date]],Dim_Date!A:A,Dim_Date!H:H)</f>
        <v>Aug 2024</v>
      </c>
    </row>
    <row r="502" spans="1:10" ht="15" customHeight="1" x14ac:dyDescent="0.2">
      <c r="A502" t="s">
        <v>225</v>
      </c>
      <c r="B502" s="49">
        <v>45536</v>
      </c>
      <c r="C502">
        <v>15</v>
      </c>
      <c r="D502" s="33">
        <v>15900</v>
      </c>
      <c r="E502" t="str">
        <f>_xlfn.XLOOKUP(Quota_tbl[[#This Row],[Rep_ID]],Dim_Reps!A:A,Dim_Reps!K:K)</f>
        <v>USD</v>
      </c>
      <c r="F502" s="33">
        <f>(_xlfn.XLOOKUP(Quota_tbl[[#This Row],[Rate_Code_Generalized]],Lookups!A:A,Lookups!B:B)*Quota_tbl[[#This Row],[Quota_Amount_USD]])</f>
        <v>18512.37</v>
      </c>
      <c r="G502" t="str">
        <f>_xlfn.XLOOKUP(Quota_tbl[[#This Row],[Rep_ID]],Dim_Reps!A:A,Dim_Reps!C:C)</f>
        <v>SDR / Inside Sales Rep</v>
      </c>
      <c r="H502" t="str">
        <f>_xlfn.XLOOKUP(Quota_tbl[[#This Row],[Rep_ID]],Dim_Reps!A:A,Dim_Reps!D:D)</f>
        <v>Inside Sales</v>
      </c>
      <c r="I502" t="str">
        <f>_xlfn.XLOOKUP(Quota_tbl[[#This Row],[Rep_ID]],Dim_Reps!A:A,Dim_Reps!E:E)</f>
        <v>NAMER</v>
      </c>
      <c r="J502" t="str">
        <f>_xlfn.XLOOKUP(Quota_tbl[[#This Row],[Period_Start_Date]],Dim_Date!A:A,Dim_Date!H:H)</f>
        <v>Sep 2024</v>
      </c>
    </row>
    <row r="503" spans="1:10" ht="15" customHeight="1" x14ac:dyDescent="0.2">
      <c r="A503" t="s">
        <v>225</v>
      </c>
      <c r="B503" s="49">
        <v>45566</v>
      </c>
      <c r="C503">
        <v>16</v>
      </c>
      <c r="D503" s="33">
        <v>15000</v>
      </c>
      <c r="E503" t="str">
        <f>_xlfn.XLOOKUP(Quota_tbl[[#This Row],[Rep_ID]],Dim_Reps!A:A,Dim_Reps!K:K)</f>
        <v>USD</v>
      </c>
      <c r="F503" s="33">
        <f>(_xlfn.XLOOKUP(Quota_tbl[[#This Row],[Rate_Code_Generalized]],Lookups!A:A,Lookups!B:B)*Quota_tbl[[#This Row],[Quota_Amount_USD]])</f>
        <v>17464.5</v>
      </c>
      <c r="G503" t="str">
        <f>_xlfn.XLOOKUP(Quota_tbl[[#This Row],[Rep_ID]],Dim_Reps!A:A,Dim_Reps!C:C)</f>
        <v>SDR / Inside Sales Rep</v>
      </c>
      <c r="H503" t="str">
        <f>_xlfn.XLOOKUP(Quota_tbl[[#This Row],[Rep_ID]],Dim_Reps!A:A,Dim_Reps!D:D)</f>
        <v>Inside Sales</v>
      </c>
      <c r="I503" t="str">
        <f>_xlfn.XLOOKUP(Quota_tbl[[#This Row],[Rep_ID]],Dim_Reps!A:A,Dim_Reps!E:E)</f>
        <v>NAMER</v>
      </c>
      <c r="J503" t="str">
        <f>_xlfn.XLOOKUP(Quota_tbl[[#This Row],[Period_Start_Date]],Dim_Date!A:A,Dim_Date!H:H)</f>
        <v>Oct 2024</v>
      </c>
    </row>
    <row r="504" spans="1:10" ht="15" customHeight="1" x14ac:dyDescent="0.2">
      <c r="A504" t="s">
        <v>225</v>
      </c>
      <c r="B504" s="49">
        <v>45597</v>
      </c>
      <c r="C504">
        <v>17</v>
      </c>
      <c r="D504" s="33">
        <v>15700</v>
      </c>
      <c r="E504" t="str">
        <f>_xlfn.XLOOKUP(Quota_tbl[[#This Row],[Rep_ID]],Dim_Reps!A:A,Dim_Reps!K:K)</f>
        <v>USD</v>
      </c>
      <c r="F504" s="33">
        <f>(_xlfn.XLOOKUP(Quota_tbl[[#This Row],[Rate_Code_Generalized]],Lookups!A:A,Lookups!B:B)*Quota_tbl[[#This Row],[Quota_Amount_USD]])</f>
        <v>18279.509999999998</v>
      </c>
      <c r="G504" t="str">
        <f>_xlfn.XLOOKUP(Quota_tbl[[#This Row],[Rep_ID]],Dim_Reps!A:A,Dim_Reps!C:C)</f>
        <v>SDR / Inside Sales Rep</v>
      </c>
      <c r="H504" t="str">
        <f>_xlfn.XLOOKUP(Quota_tbl[[#This Row],[Rep_ID]],Dim_Reps!A:A,Dim_Reps!D:D)</f>
        <v>Inside Sales</v>
      </c>
      <c r="I504" t="str">
        <f>_xlfn.XLOOKUP(Quota_tbl[[#This Row],[Rep_ID]],Dim_Reps!A:A,Dim_Reps!E:E)</f>
        <v>NAMER</v>
      </c>
      <c r="J504" t="str">
        <f>_xlfn.XLOOKUP(Quota_tbl[[#This Row],[Period_Start_Date]],Dim_Date!A:A,Dim_Date!H:H)</f>
        <v>Nov 2024</v>
      </c>
    </row>
    <row r="505" spans="1:10" ht="15" customHeight="1" x14ac:dyDescent="0.2">
      <c r="A505" t="s">
        <v>225</v>
      </c>
      <c r="B505" s="49">
        <v>45627</v>
      </c>
      <c r="C505">
        <v>18</v>
      </c>
      <c r="D505" s="33">
        <v>16200</v>
      </c>
      <c r="E505" t="str">
        <f>_xlfn.XLOOKUP(Quota_tbl[[#This Row],[Rep_ID]],Dim_Reps!A:A,Dim_Reps!K:K)</f>
        <v>USD</v>
      </c>
      <c r="F505" s="33">
        <f>(_xlfn.XLOOKUP(Quota_tbl[[#This Row],[Rate_Code_Generalized]],Lookups!A:A,Lookups!B:B)*Quota_tbl[[#This Row],[Quota_Amount_USD]])</f>
        <v>18861.66</v>
      </c>
      <c r="G505" t="str">
        <f>_xlfn.XLOOKUP(Quota_tbl[[#This Row],[Rep_ID]],Dim_Reps!A:A,Dim_Reps!C:C)</f>
        <v>SDR / Inside Sales Rep</v>
      </c>
      <c r="H505" t="str">
        <f>_xlfn.XLOOKUP(Quota_tbl[[#This Row],[Rep_ID]],Dim_Reps!A:A,Dim_Reps!D:D)</f>
        <v>Inside Sales</v>
      </c>
      <c r="I505" t="str">
        <f>_xlfn.XLOOKUP(Quota_tbl[[#This Row],[Rep_ID]],Dim_Reps!A:A,Dim_Reps!E:E)</f>
        <v>NAMER</v>
      </c>
      <c r="J505" t="str">
        <f>_xlfn.XLOOKUP(Quota_tbl[[#This Row],[Period_Start_Date]],Dim_Date!A:A,Dim_Date!H:H)</f>
        <v>Dec 2024</v>
      </c>
    </row>
    <row r="506" spans="1:10" ht="15" customHeight="1" x14ac:dyDescent="0.2">
      <c r="A506" t="s">
        <v>225</v>
      </c>
      <c r="B506" s="49">
        <v>45658</v>
      </c>
      <c r="C506">
        <v>19</v>
      </c>
      <c r="D506" s="33">
        <v>14400</v>
      </c>
      <c r="E506" t="str">
        <f>_xlfn.XLOOKUP(Quota_tbl[[#This Row],[Rep_ID]],Dim_Reps!A:A,Dim_Reps!K:K)</f>
        <v>USD</v>
      </c>
      <c r="F506" s="33">
        <f>(_xlfn.XLOOKUP(Quota_tbl[[#This Row],[Rate_Code_Generalized]],Lookups!A:A,Lookups!B:B)*Quota_tbl[[#This Row],[Quota_Amount_USD]])</f>
        <v>16765.919999999998</v>
      </c>
      <c r="G506" t="str">
        <f>_xlfn.XLOOKUP(Quota_tbl[[#This Row],[Rep_ID]],Dim_Reps!A:A,Dim_Reps!C:C)</f>
        <v>SDR / Inside Sales Rep</v>
      </c>
      <c r="H506" t="str">
        <f>_xlfn.XLOOKUP(Quota_tbl[[#This Row],[Rep_ID]],Dim_Reps!A:A,Dim_Reps!D:D)</f>
        <v>Inside Sales</v>
      </c>
      <c r="I506" t="str">
        <f>_xlfn.XLOOKUP(Quota_tbl[[#This Row],[Rep_ID]],Dim_Reps!A:A,Dim_Reps!E:E)</f>
        <v>NAMER</v>
      </c>
      <c r="J506" t="str">
        <f>_xlfn.XLOOKUP(Quota_tbl[[#This Row],[Period_Start_Date]],Dim_Date!A:A,Dim_Date!H:H)</f>
        <v>Jan 2025</v>
      </c>
    </row>
    <row r="507" spans="1:10" ht="15" customHeight="1" x14ac:dyDescent="0.2">
      <c r="A507" t="s">
        <v>225</v>
      </c>
      <c r="B507" s="49">
        <v>45689</v>
      </c>
      <c r="C507">
        <v>20</v>
      </c>
      <c r="D507" s="33">
        <v>15100</v>
      </c>
      <c r="E507" t="str">
        <f>_xlfn.XLOOKUP(Quota_tbl[[#This Row],[Rep_ID]],Dim_Reps!A:A,Dim_Reps!K:K)</f>
        <v>USD</v>
      </c>
      <c r="F507" s="33">
        <f>(_xlfn.XLOOKUP(Quota_tbl[[#This Row],[Rate_Code_Generalized]],Lookups!A:A,Lookups!B:B)*Quota_tbl[[#This Row],[Quota_Amount_USD]])</f>
        <v>17580.929999999997</v>
      </c>
      <c r="G507" t="str">
        <f>_xlfn.XLOOKUP(Quota_tbl[[#This Row],[Rep_ID]],Dim_Reps!A:A,Dim_Reps!C:C)</f>
        <v>SDR / Inside Sales Rep</v>
      </c>
      <c r="H507" t="str">
        <f>_xlfn.XLOOKUP(Quota_tbl[[#This Row],[Rep_ID]],Dim_Reps!A:A,Dim_Reps!D:D)</f>
        <v>Inside Sales</v>
      </c>
      <c r="I507" t="str">
        <f>_xlfn.XLOOKUP(Quota_tbl[[#This Row],[Rep_ID]],Dim_Reps!A:A,Dim_Reps!E:E)</f>
        <v>NAMER</v>
      </c>
      <c r="J507" t="str">
        <f>_xlfn.XLOOKUP(Quota_tbl[[#This Row],[Period_Start_Date]],Dim_Date!A:A,Dim_Date!H:H)</f>
        <v>Feb 2025</v>
      </c>
    </row>
    <row r="508" spans="1:10" ht="15" customHeight="1" x14ac:dyDescent="0.2">
      <c r="A508" t="s">
        <v>225</v>
      </c>
      <c r="B508" s="49">
        <v>45717</v>
      </c>
      <c r="C508">
        <v>21</v>
      </c>
      <c r="D508" s="33">
        <v>15800</v>
      </c>
      <c r="E508" t="str">
        <f>_xlfn.XLOOKUP(Quota_tbl[[#This Row],[Rep_ID]],Dim_Reps!A:A,Dim_Reps!K:K)</f>
        <v>USD</v>
      </c>
      <c r="F508" s="33">
        <f>(_xlfn.XLOOKUP(Quota_tbl[[#This Row],[Rate_Code_Generalized]],Lookups!A:A,Lookups!B:B)*Quota_tbl[[#This Row],[Quota_Amount_USD]])</f>
        <v>18395.939999999999</v>
      </c>
      <c r="G508" t="str">
        <f>_xlfn.XLOOKUP(Quota_tbl[[#This Row],[Rep_ID]],Dim_Reps!A:A,Dim_Reps!C:C)</f>
        <v>SDR / Inside Sales Rep</v>
      </c>
      <c r="H508" t="str">
        <f>_xlfn.XLOOKUP(Quota_tbl[[#This Row],[Rep_ID]],Dim_Reps!A:A,Dim_Reps!D:D)</f>
        <v>Inside Sales</v>
      </c>
      <c r="I508" t="str">
        <f>_xlfn.XLOOKUP(Quota_tbl[[#This Row],[Rep_ID]],Dim_Reps!A:A,Dim_Reps!E:E)</f>
        <v>NAMER</v>
      </c>
      <c r="J508" t="str">
        <f>_xlfn.XLOOKUP(Quota_tbl[[#This Row],[Period_Start_Date]],Dim_Date!A:A,Dim_Date!H:H)</f>
        <v>Mar 2025</v>
      </c>
    </row>
    <row r="509" spans="1:10" ht="15" customHeight="1" x14ac:dyDescent="0.2">
      <c r="A509" t="s">
        <v>225</v>
      </c>
      <c r="B509" s="49">
        <v>45748</v>
      </c>
      <c r="C509">
        <v>22</v>
      </c>
      <c r="D509" s="33">
        <v>15400</v>
      </c>
      <c r="E509" t="str">
        <f>_xlfn.XLOOKUP(Quota_tbl[[#This Row],[Rep_ID]],Dim_Reps!A:A,Dim_Reps!K:K)</f>
        <v>USD</v>
      </c>
      <c r="F509" s="33">
        <f>(_xlfn.XLOOKUP(Quota_tbl[[#This Row],[Rate_Code_Generalized]],Lookups!A:A,Lookups!B:B)*Quota_tbl[[#This Row],[Quota_Amount_USD]])</f>
        <v>17930.219999999998</v>
      </c>
      <c r="G509" t="str">
        <f>_xlfn.XLOOKUP(Quota_tbl[[#This Row],[Rep_ID]],Dim_Reps!A:A,Dim_Reps!C:C)</f>
        <v>SDR / Inside Sales Rep</v>
      </c>
      <c r="H509" t="str">
        <f>_xlfn.XLOOKUP(Quota_tbl[[#This Row],[Rep_ID]],Dim_Reps!A:A,Dim_Reps!D:D)</f>
        <v>Inside Sales</v>
      </c>
      <c r="I509" t="str">
        <f>_xlfn.XLOOKUP(Quota_tbl[[#This Row],[Rep_ID]],Dim_Reps!A:A,Dim_Reps!E:E)</f>
        <v>NAMER</v>
      </c>
      <c r="J509" t="str">
        <f>_xlfn.XLOOKUP(Quota_tbl[[#This Row],[Period_Start_Date]],Dim_Date!A:A,Dim_Date!H:H)</f>
        <v>Apr 2025</v>
      </c>
    </row>
    <row r="510" spans="1:10" ht="15" customHeight="1" x14ac:dyDescent="0.2">
      <c r="A510" t="s">
        <v>225</v>
      </c>
      <c r="B510" s="49">
        <v>45778</v>
      </c>
      <c r="C510">
        <v>23</v>
      </c>
      <c r="D510" s="33">
        <v>15700</v>
      </c>
      <c r="E510" t="str">
        <f>_xlfn.XLOOKUP(Quota_tbl[[#This Row],[Rep_ID]],Dim_Reps!A:A,Dim_Reps!K:K)</f>
        <v>USD</v>
      </c>
      <c r="F510" s="33">
        <f>(_xlfn.XLOOKUP(Quota_tbl[[#This Row],[Rate_Code_Generalized]],Lookups!A:A,Lookups!B:B)*Quota_tbl[[#This Row],[Quota_Amount_USD]])</f>
        <v>18279.509999999998</v>
      </c>
      <c r="G510" t="str">
        <f>_xlfn.XLOOKUP(Quota_tbl[[#This Row],[Rep_ID]],Dim_Reps!A:A,Dim_Reps!C:C)</f>
        <v>SDR / Inside Sales Rep</v>
      </c>
      <c r="H510" t="str">
        <f>_xlfn.XLOOKUP(Quota_tbl[[#This Row],[Rep_ID]],Dim_Reps!A:A,Dim_Reps!D:D)</f>
        <v>Inside Sales</v>
      </c>
      <c r="I510" t="str">
        <f>_xlfn.XLOOKUP(Quota_tbl[[#This Row],[Rep_ID]],Dim_Reps!A:A,Dim_Reps!E:E)</f>
        <v>NAMER</v>
      </c>
      <c r="J510" t="str">
        <f>_xlfn.XLOOKUP(Quota_tbl[[#This Row],[Period_Start_Date]],Dim_Date!A:A,Dim_Date!H:H)</f>
        <v>May 2025</v>
      </c>
    </row>
    <row r="511" spans="1:10" ht="15" customHeight="1" x14ac:dyDescent="0.2">
      <c r="A511" t="s">
        <v>225</v>
      </c>
      <c r="B511" s="49">
        <v>45809</v>
      </c>
      <c r="C511">
        <v>24</v>
      </c>
      <c r="D511" s="33">
        <v>15200</v>
      </c>
      <c r="E511" t="str">
        <f>_xlfn.XLOOKUP(Quota_tbl[[#This Row],[Rep_ID]],Dim_Reps!A:A,Dim_Reps!K:K)</f>
        <v>USD</v>
      </c>
      <c r="F511" s="33">
        <f>(_xlfn.XLOOKUP(Quota_tbl[[#This Row],[Rate_Code_Generalized]],Lookups!A:A,Lookups!B:B)*Quota_tbl[[#This Row],[Quota_Amount_USD]])</f>
        <v>17697.359999999997</v>
      </c>
      <c r="G511" t="str">
        <f>_xlfn.XLOOKUP(Quota_tbl[[#This Row],[Rep_ID]],Dim_Reps!A:A,Dim_Reps!C:C)</f>
        <v>SDR / Inside Sales Rep</v>
      </c>
      <c r="H511" t="str">
        <f>_xlfn.XLOOKUP(Quota_tbl[[#This Row],[Rep_ID]],Dim_Reps!A:A,Dim_Reps!D:D)</f>
        <v>Inside Sales</v>
      </c>
      <c r="I511" t="str">
        <f>_xlfn.XLOOKUP(Quota_tbl[[#This Row],[Rep_ID]],Dim_Reps!A:A,Dim_Reps!E:E)</f>
        <v>NAMER</v>
      </c>
      <c r="J511" t="str">
        <f>_xlfn.XLOOKUP(Quota_tbl[[#This Row],[Period_Start_Date]],Dim_Date!A:A,Dim_Date!H:H)</f>
        <v>Jun 2025</v>
      </c>
    </row>
    <row r="512" spans="1:10" ht="15" customHeight="1" x14ac:dyDescent="0.2">
      <c r="A512" t="s">
        <v>225</v>
      </c>
      <c r="B512" s="49">
        <v>45839</v>
      </c>
      <c r="C512">
        <v>25</v>
      </c>
      <c r="D512" s="33">
        <v>15500</v>
      </c>
      <c r="E512" t="str">
        <f>_xlfn.XLOOKUP(Quota_tbl[[#This Row],[Rep_ID]],Dim_Reps!A:A,Dim_Reps!K:K)</f>
        <v>USD</v>
      </c>
      <c r="F512" s="33">
        <f>(_xlfn.XLOOKUP(Quota_tbl[[#This Row],[Rate_Code_Generalized]],Lookups!A:A,Lookups!B:B)*Quota_tbl[[#This Row],[Quota_Amount_USD]])</f>
        <v>18046.649999999998</v>
      </c>
      <c r="G512" t="str">
        <f>_xlfn.XLOOKUP(Quota_tbl[[#This Row],[Rep_ID]],Dim_Reps!A:A,Dim_Reps!C:C)</f>
        <v>SDR / Inside Sales Rep</v>
      </c>
      <c r="H512" t="str">
        <f>_xlfn.XLOOKUP(Quota_tbl[[#This Row],[Rep_ID]],Dim_Reps!A:A,Dim_Reps!D:D)</f>
        <v>Inside Sales</v>
      </c>
      <c r="I512" t="str">
        <f>_xlfn.XLOOKUP(Quota_tbl[[#This Row],[Rep_ID]],Dim_Reps!A:A,Dim_Reps!E:E)</f>
        <v>NAMER</v>
      </c>
      <c r="J512" t="str">
        <f>_xlfn.XLOOKUP(Quota_tbl[[#This Row],[Period_Start_Date]],Dim_Date!A:A,Dim_Date!H:H)</f>
        <v>Jul 2025</v>
      </c>
    </row>
    <row r="513" spans="1:10" ht="15" customHeight="1" x14ac:dyDescent="0.2">
      <c r="A513" t="s">
        <v>225</v>
      </c>
      <c r="B513" s="49">
        <v>45870</v>
      </c>
      <c r="C513">
        <v>26</v>
      </c>
      <c r="D513" s="33">
        <v>15400</v>
      </c>
      <c r="E513" t="str">
        <f>_xlfn.XLOOKUP(Quota_tbl[[#This Row],[Rep_ID]],Dim_Reps!A:A,Dim_Reps!K:K)</f>
        <v>USD</v>
      </c>
      <c r="F513" s="33">
        <f>(_xlfn.XLOOKUP(Quota_tbl[[#This Row],[Rate_Code_Generalized]],Lookups!A:A,Lookups!B:B)*Quota_tbl[[#This Row],[Quota_Amount_USD]])</f>
        <v>17930.219999999998</v>
      </c>
      <c r="G513" t="str">
        <f>_xlfn.XLOOKUP(Quota_tbl[[#This Row],[Rep_ID]],Dim_Reps!A:A,Dim_Reps!C:C)</f>
        <v>SDR / Inside Sales Rep</v>
      </c>
      <c r="H513" t="str">
        <f>_xlfn.XLOOKUP(Quota_tbl[[#This Row],[Rep_ID]],Dim_Reps!A:A,Dim_Reps!D:D)</f>
        <v>Inside Sales</v>
      </c>
      <c r="I513" t="str">
        <f>_xlfn.XLOOKUP(Quota_tbl[[#This Row],[Rep_ID]],Dim_Reps!A:A,Dim_Reps!E:E)</f>
        <v>NAMER</v>
      </c>
      <c r="J513" t="str">
        <f>_xlfn.XLOOKUP(Quota_tbl[[#This Row],[Period_Start_Date]],Dim_Date!A:A,Dim_Date!H:H)</f>
        <v>Aug 2025</v>
      </c>
    </row>
    <row r="514" spans="1:10" ht="15" customHeight="1" x14ac:dyDescent="0.2">
      <c r="A514" t="s">
        <v>225</v>
      </c>
      <c r="B514" s="49">
        <v>45901</v>
      </c>
      <c r="C514">
        <v>27</v>
      </c>
      <c r="D514" s="33">
        <v>16000</v>
      </c>
      <c r="E514" t="str">
        <f>_xlfn.XLOOKUP(Quota_tbl[[#This Row],[Rep_ID]],Dim_Reps!A:A,Dim_Reps!K:K)</f>
        <v>USD</v>
      </c>
      <c r="F514" s="33">
        <f>(_xlfn.XLOOKUP(Quota_tbl[[#This Row],[Rate_Code_Generalized]],Lookups!A:A,Lookups!B:B)*Quota_tbl[[#This Row],[Quota_Amount_USD]])</f>
        <v>18628.8</v>
      </c>
      <c r="G514" t="str">
        <f>_xlfn.XLOOKUP(Quota_tbl[[#This Row],[Rep_ID]],Dim_Reps!A:A,Dim_Reps!C:C)</f>
        <v>SDR / Inside Sales Rep</v>
      </c>
      <c r="H514" t="str">
        <f>_xlfn.XLOOKUP(Quota_tbl[[#This Row],[Rep_ID]],Dim_Reps!A:A,Dim_Reps!D:D)</f>
        <v>Inside Sales</v>
      </c>
      <c r="I514" t="str">
        <f>_xlfn.XLOOKUP(Quota_tbl[[#This Row],[Rep_ID]],Dim_Reps!A:A,Dim_Reps!E:E)</f>
        <v>NAMER</v>
      </c>
      <c r="J514" t="str">
        <f>_xlfn.XLOOKUP(Quota_tbl[[#This Row],[Period_Start_Date]],Dim_Date!A:A,Dim_Date!H:H)</f>
        <v>Sep 2025</v>
      </c>
    </row>
    <row r="515" spans="1:10" ht="15" customHeight="1" x14ac:dyDescent="0.2">
      <c r="A515" t="s">
        <v>225</v>
      </c>
      <c r="B515" s="49">
        <v>45931</v>
      </c>
      <c r="C515">
        <v>28</v>
      </c>
      <c r="D515" s="33">
        <v>15600</v>
      </c>
      <c r="E515" t="str">
        <f>_xlfn.XLOOKUP(Quota_tbl[[#This Row],[Rep_ID]],Dim_Reps!A:A,Dim_Reps!K:K)</f>
        <v>USD</v>
      </c>
      <c r="F515" s="33">
        <f>(_xlfn.XLOOKUP(Quota_tbl[[#This Row],[Rate_Code_Generalized]],Lookups!A:A,Lookups!B:B)*Quota_tbl[[#This Row],[Quota_Amount_USD]])</f>
        <v>18163.079999999998</v>
      </c>
      <c r="G515" t="str">
        <f>_xlfn.XLOOKUP(Quota_tbl[[#This Row],[Rep_ID]],Dim_Reps!A:A,Dim_Reps!C:C)</f>
        <v>SDR / Inside Sales Rep</v>
      </c>
      <c r="H515" t="str">
        <f>_xlfn.XLOOKUP(Quota_tbl[[#This Row],[Rep_ID]],Dim_Reps!A:A,Dim_Reps!D:D)</f>
        <v>Inside Sales</v>
      </c>
      <c r="I515" t="str">
        <f>_xlfn.XLOOKUP(Quota_tbl[[#This Row],[Rep_ID]],Dim_Reps!A:A,Dim_Reps!E:E)</f>
        <v>NAMER</v>
      </c>
      <c r="J515" t="str">
        <f>_xlfn.XLOOKUP(Quota_tbl[[#This Row],[Period_Start_Date]],Dim_Date!A:A,Dim_Date!H:H)</f>
        <v>Oct 2025</v>
      </c>
    </row>
    <row r="516" spans="1:10" ht="15" customHeight="1" x14ac:dyDescent="0.2">
      <c r="A516" t="s">
        <v>225</v>
      </c>
      <c r="B516" s="49">
        <v>45962</v>
      </c>
      <c r="C516">
        <v>29</v>
      </c>
      <c r="D516" s="33">
        <v>15700</v>
      </c>
      <c r="E516" t="str">
        <f>_xlfn.XLOOKUP(Quota_tbl[[#This Row],[Rep_ID]],Dim_Reps!A:A,Dim_Reps!K:K)</f>
        <v>USD</v>
      </c>
      <c r="F516" s="33">
        <f>(_xlfn.XLOOKUP(Quota_tbl[[#This Row],[Rate_Code_Generalized]],Lookups!A:A,Lookups!B:B)*Quota_tbl[[#This Row],[Quota_Amount_USD]])</f>
        <v>18279.509999999998</v>
      </c>
      <c r="G516" t="str">
        <f>_xlfn.XLOOKUP(Quota_tbl[[#This Row],[Rep_ID]],Dim_Reps!A:A,Dim_Reps!C:C)</f>
        <v>SDR / Inside Sales Rep</v>
      </c>
      <c r="H516" t="str">
        <f>_xlfn.XLOOKUP(Quota_tbl[[#This Row],[Rep_ID]],Dim_Reps!A:A,Dim_Reps!D:D)</f>
        <v>Inside Sales</v>
      </c>
      <c r="I516" t="str">
        <f>_xlfn.XLOOKUP(Quota_tbl[[#This Row],[Rep_ID]],Dim_Reps!A:A,Dim_Reps!E:E)</f>
        <v>NAMER</v>
      </c>
      <c r="J516" t="str">
        <f>_xlfn.XLOOKUP(Quota_tbl[[#This Row],[Period_Start_Date]],Dim_Date!A:A,Dim_Date!H:H)</f>
        <v>Nov 2025</v>
      </c>
    </row>
    <row r="517" spans="1:10" ht="15" customHeight="1" x14ac:dyDescent="0.2">
      <c r="A517" t="s">
        <v>225</v>
      </c>
      <c r="B517" s="49">
        <v>45992</v>
      </c>
      <c r="C517">
        <v>30</v>
      </c>
      <c r="D517" s="33">
        <v>15300</v>
      </c>
      <c r="E517" t="str">
        <f>_xlfn.XLOOKUP(Quota_tbl[[#This Row],[Rep_ID]],Dim_Reps!A:A,Dim_Reps!K:K)</f>
        <v>USD</v>
      </c>
      <c r="F517" s="33">
        <f>(_xlfn.XLOOKUP(Quota_tbl[[#This Row],[Rate_Code_Generalized]],Lookups!A:A,Lookups!B:B)*Quota_tbl[[#This Row],[Quota_Amount_USD]])</f>
        <v>17813.789999999997</v>
      </c>
      <c r="G517" t="str">
        <f>_xlfn.XLOOKUP(Quota_tbl[[#This Row],[Rep_ID]],Dim_Reps!A:A,Dim_Reps!C:C)</f>
        <v>SDR / Inside Sales Rep</v>
      </c>
      <c r="H517" t="str">
        <f>_xlfn.XLOOKUP(Quota_tbl[[#This Row],[Rep_ID]],Dim_Reps!A:A,Dim_Reps!D:D)</f>
        <v>Inside Sales</v>
      </c>
      <c r="I517" t="str">
        <f>_xlfn.XLOOKUP(Quota_tbl[[#This Row],[Rep_ID]],Dim_Reps!A:A,Dim_Reps!E:E)</f>
        <v>NAMER</v>
      </c>
      <c r="J517" t="str">
        <f>_xlfn.XLOOKUP(Quota_tbl[[#This Row],[Period_Start_Date]],Dim_Date!A:A,Dim_Date!H:H)</f>
        <v>Dec 2025</v>
      </c>
    </row>
    <row r="518" spans="1:10" ht="15" customHeight="1" x14ac:dyDescent="0.2">
      <c r="A518" t="s">
        <v>227</v>
      </c>
      <c r="B518" s="49">
        <v>45292</v>
      </c>
      <c r="C518">
        <v>4</v>
      </c>
      <c r="D518" s="33">
        <v>15300</v>
      </c>
      <c r="E518" t="str">
        <f>_xlfn.XLOOKUP(Quota_tbl[[#This Row],[Rep_ID]],Dim_Reps!A:A,Dim_Reps!K:K)</f>
        <v>EUR</v>
      </c>
      <c r="F518" s="33">
        <f>(_xlfn.XLOOKUP(Quota_tbl[[#This Row],[Rate_Code_Generalized]],Lookups!A:A,Lookups!B:B)*Quota_tbl[[#This Row],[Quota_Amount_USD]])</f>
        <v>15300</v>
      </c>
      <c r="G518" t="str">
        <f>_xlfn.XLOOKUP(Quota_tbl[[#This Row],[Rep_ID]],Dim_Reps!A:A,Dim_Reps!C:C)</f>
        <v>SDR / Inside Sales Rep</v>
      </c>
      <c r="H518" t="str">
        <f>_xlfn.XLOOKUP(Quota_tbl[[#This Row],[Rep_ID]],Dim_Reps!A:A,Dim_Reps!D:D)</f>
        <v>Inside Sales</v>
      </c>
      <c r="I518" t="str">
        <f>_xlfn.XLOOKUP(Quota_tbl[[#This Row],[Rep_ID]],Dim_Reps!A:A,Dim_Reps!E:E)</f>
        <v>EMEA</v>
      </c>
      <c r="J518" t="str">
        <f>_xlfn.XLOOKUP(Quota_tbl[[#This Row],[Period_Start_Date]],Dim_Date!A:A,Dim_Date!H:H)</f>
        <v>Jan 2024</v>
      </c>
    </row>
    <row r="519" spans="1:10" ht="15" customHeight="1" x14ac:dyDescent="0.2">
      <c r="A519" t="s">
        <v>227</v>
      </c>
      <c r="B519" s="49">
        <v>45323</v>
      </c>
      <c r="C519">
        <v>5</v>
      </c>
      <c r="D519" s="33">
        <v>15300</v>
      </c>
      <c r="E519" t="str">
        <f>_xlfn.XLOOKUP(Quota_tbl[[#This Row],[Rep_ID]],Dim_Reps!A:A,Dim_Reps!K:K)</f>
        <v>EUR</v>
      </c>
      <c r="F519" s="33">
        <f>(_xlfn.XLOOKUP(Quota_tbl[[#This Row],[Rate_Code_Generalized]],Lookups!A:A,Lookups!B:B)*Quota_tbl[[#This Row],[Quota_Amount_USD]])</f>
        <v>15300</v>
      </c>
      <c r="G519" t="str">
        <f>_xlfn.XLOOKUP(Quota_tbl[[#This Row],[Rep_ID]],Dim_Reps!A:A,Dim_Reps!C:C)</f>
        <v>SDR / Inside Sales Rep</v>
      </c>
      <c r="H519" t="str">
        <f>_xlfn.XLOOKUP(Quota_tbl[[#This Row],[Rep_ID]],Dim_Reps!A:A,Dim_Reps!D:D)</f>
        <v>Inside Sales</v>
      </c>
      <c r="I519" t="str">
        <f>_xlfn.XLOOKUP(Quota_tbl[[#This Row],[Rep_ID]],Dim_Reps!A:A,Dim_Reps!E:E)</f>
        <v>EMEA</v>
      </c>
      <c r="J519" t="str">
        <f>_xlfn.XLOOKUP(Quota_tbl[[#This Row],[Period_Start_Date]],Dim_Date!A:A,Dim_Date!H:H)</f>
        <v>Feb 2024</v>
      </c>
    </row>
    <row r="520" spans="1:10" ht="15" customHeight="1" x14ac:dyDescent="0.2">
      <c r="A520" t="s">
        <v>227</v>
      </c>
      <c r="B520" s="49">
        <v>45352</v>
      </c>
      <c r="C520">
        <v>6</v>
      </c>
      <c r="D520" s="33">
        <v>15700</v>
      </c>
      <c r="E520" t="str">
        <f>_xlfn.XLOOKUP(Quota_tbl[[#This Row],[Rep_ID]],Dim_Reps!A:A,Dim_Reps!K:K)</f>
        <v>EUR</v>
      </c>
      <c r="F520" s="33">
        <f>(_xlfn.XLOOKUP(Quota_tbl[[#This Row],[Rate_Code_Generalized]],Lookups!A:A,Lookups!B:B)*Quota_tbl[[#This Row],[Quota_Amount_USD]])</f>
        <v>15700</v>
      </c>
      <c r="G520" t="str">
        <f>_xlfn.XLOOKUP(Quota_tbl[[#This Row],[Rep_ID]],Dim_Reps!A:A,Dim_Reps!C:C)</f>
        <v>SDR / Inside Sales Rep</v>
      </c>
      <c r="H520" t="str">
        <f>_xlfn.XLOOKUP(Quota_tbl[[#This Row],[Rep_ID]],Dim_Reps!A:A,Dim_Reps!D:D)</f>
        <v>Inside Sales</v>
      </c>
      <c r="I520" t="str">
        <f>_xlfn.XLOOKUP(Quota_tbl[[#This Row],[Rep_ID]],Dim_Reps!A:A,Dim_Reps!E:E)</f>
        <v>EMEA</v>
      </c>
      <c r="J520" t="str">
        <f>_xlfn.XLOOKUP(Quota_tbl[[#This Row],[Period_Start_Date]],Dim_Date!A:A,Dim_Date!H:H)</f>
        <v>Mar 2024</v>
      </c>
    </row>
    <row r="521" spans="1:10" ht="15" customHeight="1" x14ac:dyDescent="0.2">
      <c r="A521" t="s">
        <v>227</v>
      </c>
      <c r="B521" s="49">
        <v>45383</v>
      </c>
      <c r="C521">
        <v>7</v>
      </c>
      <c r="D521" s="33">
        <v>15300</v>
      </c>
      <c r="E521" t="str">
        <f>_xlfn.XLOOKUP(Quota_tbl[[#This Row],[Rep_ID]],Dim_Reps!A:A,Dim_Reps!K:K)</f>
        <v>EUR</v>
      </c>
      <c r="F521" s="33">
        <f>(_xlfn.XLOOKUP(Quota_tbl[[#This Row],[Rate_Code_Generalized]],Lookups!A:A,Lookups!B:B)*Quota_tbl[[#This Row],[Quota_Amount_USD]])</f>
        <v>15300</v>
      </c>
      <c r="G521" t="str">
        <f>_xlfn.XLOOKUP(Quota_tbl[[#This Row],[Rep_ID]],Dim_Reps!A:A,Dim_Reps!C:C)</f>
        <v>SDR / Inside Sales Rep</v>
      </c>
      <c r="H521" t="str">
        <f>_xlfn.XLOOKUP(Quota_tbl[[#This Row],[Rep_ID]],Dim_Reps!A:A,Dim_Reps!D:D)</f>
        <v>Inside Sales</v>
      </c>
      <c r="I521" t="str">
        <f>_xlfn.XLOOKUP(Quota_tbl[[#This Row],[Rep_ID]],Dim_Reps!A:A,Dim_Reps!E:E)</f>
        <v>EMEA</v>
      </c>
      <c r="J521" t="str">
        <f>_xlfn.XLOOKUP(Quota_tbl[[#This Row],[Period_Start_Date]],Dim_Date!A:A,Dim_Date!H:H)</f>
        <v>Apr 2024</v>
      </c>
    </row>
    <row r="522" spans="1:10" ht="15" customHeight="1" x14ac:dyDescent="0.2">
      <c r="A522" t="s">
        <v>227</v>
      </c>
      <c r="B522" s="49">
        <v>45413</v>
      </c>
      <c r="C522">
        <v>8</v>
      </c>
      <c r="D522" s="33">
        <v>15600</v>
      </c>
      <c r="E522" t="str">
        <f>_xlfn.XLOOKUP(Quota_tbl[[#This Row],[Rep_ID]],Dim_Reps!A:A,Dim_Reps!K:K)</f>
        <v>EUR</v>
      </c>
      <c r="F522" s="33">
        <f>(_xlfn.XLOOKUP(Quota_tbl[[#This Row],[Rate_Code_Generalized]],Lookups!A:A,Lookups!B:B)*Quota_tbl[[#This Row],[Quota_Amount_USD]])</f>
        <v>15600</v>
      </c>
      <c r="G522" t="str">
        <f>_xlfn.XLOOKUP(Quota_tbl[[#This Row],[Rep_ID]],Dim_Reps!A:A,Dim_Reps!C:C)</f>
        <v>SDR / Inside Sales Rep</v>
      </c>
      <c r="H522" t="str">
        <f>_xlfn.XLOOKUP(Quota_tbl[[#This Row],[Rep_ID]],Dim_Reps!A:A,Dim_Reps!D:D)</f>
        <v>Inside Sales</v>
      </c>
      <c r="I522" t="str">
        <f>_xlfn.XLOOKUP(Quota_tbl[[#This Row],[Rep_ID]],Dim_Reps!A:A,Dim_Reps!E:E)</f>
        <v>EMEA</v>
      </c>
      <c r="J522" t="str">
        <f>_xlfn.XLOOKUP(Quota_tbl[[#This Row],[Period_Start_Date]],Dim_Date!A:A,Dim_Date!H:H)</f>
        <v>May 2024</v>
      </c>
    </row>
    <row r="523" spans="1:10" ht="15" customHeight="1" x14ac:dyDescent="0.2">
      <c r="A523" t="s">
        <v>227</v>
      </c>
      <c r="B523" s="49">
        <v>45444</v>
      </c>
      <c r="C523">
        <v>9</v>
      </c>
      <c r="D523" s="33">
        <v>16500</v>
      </c>
      <c r="E523" t="str">
        <f>_xlfn.XLOOKUP(Quota_tbl[[#This Row],[Rep_ID]],Dim_Reps!A:A,Dim_Reps!K:K)</f>
        <v>EUR</v>
      </c>
      <c r="F523" s="33">
        <f>(_xlfn.XLOOKUP(Quota_tbl[[#This Row],[Rate_Code_Generalized]],Lookups!A:A,Lookups!B:B)*Quota_tbl[[#This Row],[Quota_Amount_USD]])</f>
        <v>16500</v>
      </c>
      <c r="G523" t="str">
        <f>_xlfn.XLOOKUP(Quota_tbl[[#This Row],[Rep_ID]],Dim_Reps!A:A,Dim_Reps!C:C)</f>
        <v>SDR / Inside Sales Rep</v>
      </c>
      <c r="H523" t="str">
        <f>_xlfn.XLOOKUP(Quota_tbl[[#This Row],[Rep_ID]],Dim_Reps!A:A,Dim_Reps!D:D)</f>
        <v>Inside Sales</v>
      </c>
      <c r="I523" t="str">
        <f>_xlfn.XLOOKUP(Quota_tbl[[#This Row],[Rep_ID]],Dim_Reps!A:A,Dim_Reps!E:E)</f>
        <v>EMEA</v>
      </c>
      <c r="J523" t="str">
        <f>_xlfn.XLOOKUP(Quota_tbl[[#This Row],[Period_Start_Date]],Dim_Date!A:A,Dim_Date!H:H)</f>
        <v>Jun 2024</v>
      </c>
    </row>
    <row r="524" spans="1:10" ht="15" customHeight="1" x14ac:dyDescent="0.2">
      <c r="A524" t="s">
        <v>227</v>
      </c>
      <c r="B524" s="49">
        <v>45474</v>
      </c>
      <c r="C524">
        <v>10</v>
      </c>
      <c r="D524" s="33">
        <v>15900</v>
      </c>
      <c r="E524" t="str">
        <f>_xlfn.XLOOKUP(Quota_tbl[[#This Row],[Rep_ID]],Dim_Reps!A:A,Dim_Reps!K:K)</f>
        <v>EUR</v>
      </c>
      <c r="F524" s="33">
        <f>(_xlfn.XLOOKUP(Quota_tbl[[#This Row],[Rate_Code_Generalized]],Lookups!A:A,Lookups!B:B)*Quota_tbl[[#This Row],[Quota_Amount_USD]])</f>
        <v>15900</v>
      </c>
      <c r="G524" t="str">
        <f>_xlfn.XLOOKUP(Quota_tbl[[#This Row],[Rep_ID]],Dim_Reps!A:A,Dim_Reps!C:C)</f>
        <v>SDR / Inside Sales Rep</v>
      </c>
      <c r="H524" t="str">
        <f>_xlfn.XLOOKUP(Quota_tbl[[#This Row],[Rep_ID]],Dim_Reps!A:A,Dim_Reps!D:D)</f>
        <v>Inside Sales</v>
      </c>
      <c r="I524" t="str">
        <f>_xlfn.XLOOKUP(Quota_tbl[[#This Row],[Rep_ID]],Dim_Reps!A:A,Dim_Reps!E:E)</f>
        <v>EMEA</v>
      </c>
      <c r="J524" t="str">
        <f>_xlfn.XLOOKUP(Quota_tbl[[#This Row],[Period_Start_Date]],Dim_Date!A:A,Dim_Date!H:H)</f>
        <v>Jul 2024</v>
      </c>
    </row>
    <row r="525" spans="1:10" ht="15" customHeight="1" x14ac:dyDescent="0.2">
      <c r="A525" t="s">
        <v>227</v>
      </c>
      <c r="B525" s="49">
        <v>45505</v>
      </c>
      <c r="C525">
        <v>11</v>
      </c>
      <c r="D525" s="33">
        <v>15300</v>
      </c>
      <c r="E525" t="str">
        <f>_xlfn.XLOOKUP(Quota_tbl[[#This Row],[Rep_ID]],Dim_Reps!A:A,Dim_Reps!K:K)</f>
        <v>EUR</v>
      </c>
      <c r="F525" s="33">
        <f>(_xlfn.XLOOKUP(Quota_tbl[[#This Row],[Rate_Code_Generalized]],Lookups!A:A,Lookups!B:B)*Quota_tbl[[#This Row],[Quota_Amount_USD]])</f>
        <v>15300</v>
      </c>
      <c r="G525" t="str">
        <f>_xlfn.XLOOKUP(Quota_tbl[[#This Row],[Rep_ID]],Dim_Reps!A:A,Dim_Reps!C:C)</f>
        <v>SDR / Inside Sales Rep</v>
      </c>
      <c r="H525" t="str">
        <f>_xlfn.XLOOKUP(Quota_tbl[[#This Row],[Rep_ID]],Dim_Reps!A:A,Dim_Reps!D:D)</f>
        <v>Inside Sales</v>
      </c>
      <c r="I525" t="str">
        <f>_xlfn.XLOOKUP(Quota_tbl[[#This Row],[Rep_ID]],Dim_Reps!A:A,Dim_Reps!E:E)</f>
        <v>EMEA</v>
      </c>
      <c r="J525" t="str">
        <f>_xlfn.XLOOKUP(Quota_tbl[[#This Row],[Period_Start_Date]],Dim_Date!A:A,Dim_Date!H:H)</f>
        <v>Aug 2024</v>
      </c>
    </row>
    <row r="526" spans="1:10" ht="15" customHeight="1" x14ac:dyDescent="0.2">
      <c r="A526" t="s">
        <v>227</v>
      </c>
      <c r="B526" s="49">
        <v>45536</v>
      </c>
      <c r="C526">
        <v>12</v>
      </c>
      <c r="D526" s="33">
        <v>16100</v>
      </c>
      <c r="E526" t="str">
        <f>_xlfn.XLOOKUP(Quota_tbl[[#This Row],[Rep_ID]],Dim_Reps!A:A,Dim_Reps!K:K)</f>
        <v>EUR</v>
      </c>
      <c r="F526" s="33">
        <f>(_xlfn.XLOOKUP(Quota_tbl[[#This Row],[Rate_Code_Generalized]],Lookups!A:A,Lookups!B:B)*Quota_tbl[[#This Row],[Quota_Amount_USD]])</f>
        <v>16100</v>
      </c>
      <c r="G526" t="str">
        <f>_xlfn.XLOOKUP(Quota_tbl[[#This Row],[Rep_ID]],Dim_Reps!A:A,Dim_Reps!C:C)</f>
        <v>SDR / Inside Sales Rep</v>
      </c>
      <c r="H526" t="str">
        <f>_xlfn.XLOOKUP(Quota_tbl[[#This Row],[Rep_ID]],Dim_Reps!A:A,Dim_Reps!D:D)</f>
        <v>Inside Sales</v>
      </c>
      <c r="I526" t="str">
        <f>_xlfn.XLOOKUP(Quota_tbl[[#This Row],[Rep_ID]],Dim_Reps!A:A,Dim_Reps!E:E)</f>
        <v>EMEA</v>
      </c>
      <c r="J526" t="str">
        <f>_xlfn.XLOOKUP(Quota_tbl[[#This Row],[Period_Start_Date]],Dim_Date!A:A,Dim_Date!H:H)</f>
        <v>Sep 2024</v>
      </c>
    </row>
    <row r="527" spans="1:10" ht="15" customHeight="1" x14ac:dyDescent="0.2">
      <c r="A527" t="s">
        <v>227</v>
      </c>
      <c r="B527" s="49">
        <v>45566</v>
      </c>
      <c r="C527">
        <v>13</v>
      </c>
      <c r="D527" s="33">
        <v>15300</v>
      </c>
      <c r="E527" t="str">
        <f>_xlfn.XLOOKUP(Quota_tbl[[#This Row],[Rep_ID]],Dim_Reps!A:A,Dim_Reps!K:K)</f>
        <v>EUR</v>
      </c>
      <c r="F527" s="33">
        <f>(_xlfn.XLOOKUP(Quota_tbl[[#This Row],[Rate_Code_Generalized]],Lookups!A:A,Lookups!B:B)*Quota_tbl[[#This Row],[Quota_Amount_USD]])</f>
        <v>15300</v>
      </c>
      <c r="G527" t="str">
        <f>_xlfn.XLOOKUP(Quota_tbl[[#This Row],[Rep_ID]],Dim_Reps!A:A,Dim_Reps!C:C)</f>
        <v>SDR / Inside Sales Rep</v>
      </c>
      <c r="H527" t="str">
        <f>_xlfn.XLOOKUP(Quota_tbl[[#This Row],[Rep_ID]],Dim_Reps!A:A,Dim_Reps!D:D)</f>
        <v>Inside Sales</v>
      </c>
      <c r="I527" t="str">
        <f>_xlfn.XLOOKUP(Quota_tbl[[#This Row],[Rep_ID]],Dim_Reps!A:A,Dim_Reps!E:E)</f>
        <v>EMEA</v>
      </c>
      <c r="J527" t="str">
        <f>_xlfn.XLOOKUP(Quota_tbl[[#This Row],[Period_Start_Date]],Dim_Date!A:A,Dim_Date!H:H)</f>
        <v>Oct 2024</v>
      </c>
    </row>
    <row r="528" spans="1:10" ht="15" customHeight="1" x14ac:dyDescent="0.2">
      <c r="A528" t="s">
        <v>227</v>
      </c>
      <c r="B528" s="49">
        <v>45597</v>
      </c>
      <c r="C528">
        <v>14</v>
      </c>
      <c r="D528" s="33">
        <v>14600</v>
      </c>
      <c r="E528" t="str">
        <f>_xlfn.XLOOKUP(Quota_tbl[[#This Row],[Rep_ID]],Dim_Reps!A:A,Dim_Reps!K:K)</f>
        <v>EUR</v>
      </c>
      <c r="F528" s="33">
        <f>(_xlfn.XLOOKUP(Quota_tbl[[#This Row],[Rate_Code_Generalized]],Lookups!A:A,Lookups!B:B)*Quota_tbl[[#This Row],[Quota_Amount_USD]])</f>
        <v>14600</v>
      </c>
      <c r="G528" t="str">
        <f>_xlfn.XLOOKUP(Quota_tbl[[#This Row],[Rep_ID]],Dim_Reps!A:A,Dim_Reps!C:C)</f>
        <v>SDR / Inside Sales Rep</v>
      </c>
      <c r="H528" t="str">
        <f>_xlfn.XLOOKUP(Quota_tbl[[#This Row],[Rep_ID]],Dim_Reps!A:A,Dim_Reps!D:D)</f>
        <v>Inside Sales</v>
      </c>
      <c r="I528" t="str">
        <f>_xlfn.XLOOKUP(Quota_tbl[[#This Row],[Rep_ID]],Dim_Reps!A:A,Dim_Reps!E:E)</f>
        <v>EMEA</v>
      </c>
      <c r="J528" t="str">
        <f>_xlfn.XLOOKUP(Quota_tbl[[#This Row],[Period_Start_Date]],Dim_Date!A:A,Dim_Date!H:H)</f>
        <v>Nov 2024</v>
      </c>
    </row>
    <row r="529" spans="1:10" ht="15" customHeight="1" x14ac:dyDescent="0.2">
      <c r="A529" t="s">
        <v>227</v>
      </c>
      <c r="B529" s="49">
        <v>45627</v>
      </c>
      <c r="C529">
        <v>15</v>
      </c>
      <c r="D529" s="33">
        <v>15000</v>
      </c>
      <c r="E529" t="str">
        <f>_xlfn.XLOOKUP(Quota_tbl[[#This Row],[Rep_ID]],Dim_Reps!A:A,Dim_Reps!K:K)</f>
        <v>EUR</v>
      </c>
      <c r="F529" s="33">
        <f>(_xlfn.XLOOKUP(Quota_tbl[[#This Row],[Rate_Code_Generalized]],Lookups!A:A,Lookups!B:B)*Quota_tbl[[#This Row],[Quota_Amount_USD]])</f>
        <v>15000</v>
      </c>
      <c r="G529" t="str">
        <f>_xlfn.XLOOKUP(Quota_tbl[[#This Row],[Rep_ID]],Dim_Reps!A:A,Dim_Reps!C:C)</f>
        <v>SDR / Inside Sales Rep</v>
      </c>
      <c r="H529" t="str">
        <f>_xlfn.XLOOKUP(Quota_tbl[[#This Row],[Rep_ID]],Dim_Reps!A:A,Dim_Reps!D:D)</f>
        <v>Inside Sales</v>
      </c>
      <c r="I529" t="str">
        <f>_xlfn.XLOOKUP(Quota_tbl[[#This Row],[Rep_ID]],Dim_Reps!A:A,Dim_Reps!E:E)</f>
        <v>EMEA</v>
      </c>
      <c r="J529" t="str">
        <f>_xlfn.XLOOKUP(Quota_tbl[[#This Row],[Period_Start_Date]],Dim_Date!A:A,Dim_Date!H:H)</f>
        <v>Dec 2024</v>
      </c>
    </row>
    <row r="530" spans="1:10" ht="15" customHeight="1" x14ac:dyDescent="0.2">
      <c r="A530" t="s">
        <v>227</v>
      </c>
      <c r="B530" s="49">
        <v>45658</v>
      </c>
      <c r="C530">
        <v>16</v>
      </c>
      <c r="D530" s="33">
        <v>14600</v>
      </c>
      <c r="E530" t="str">
        <f>_xlfn.XLOOKUP(Quota_tbl[[#This Row],[Rep_ID]],Dim_Reps!A:A,Dim_Reps!K:K)</f>
        <v>EUR</v>
      </c>
      <c r="F530" s="33">
        <f>(_xlfn.XLOOKUP(Quota_tbl[[#This Row],[Rate_Code_Generalized]],Lookups!A:A,Lookups!B:B)*Quota_tbl[[#This Row],[Quota_Amount_USD]])</f>
        <v>14600</v>
      </c>
      <c r="G530" t="str">
        <f>_xlfn.XLOOKUP(Quota_tbl[[#This Row],[Rep_ID]],Dim_Reps!A:A,Dim_Reps!C:C)</f>
        <v>SDR / Inside Sales Rep</v>
      </c>
      <c r="H530" t="str">
        <f>_xlfn.XLOOKUP(Quota_tbl[[#This Row],[Rep_ID]],Dim_Reps!A:A,Dim_Reps!D:D)</f>
        <v>Inside Sales</v>
      </c>
      <c r="I530" t="str">
        <f>_xlfn.XLOOKUP(Quota_tbl[[#This Row],[Rep_ID]],Dim_Reps!A:A,Dim_Reps!E:E)</f>
        <v>EMEA</v>
      </c>
      <c r="J530" t="str">
        <f>_xlfn.XLOOKUP(Quota_tbl[[#This Row],[Period_Start_Date]],Dim_Date!A:A,Dim_Date!H:H)</f>
        <v>Jan 2025</v>
      </c>
    </row>
    <row r="531" spans="1:10" ht="15" customHeight="1" x14ac:dyDescent="0.2">
      <c r="A531" t="s">
        <v>227</v>
      </c>
      <c r="B531" s="49">
        <v>45689</v>
      </c>
      <c r="C531">
        <v>17</v>
      </c>
      <c r="D531" s="33">
        <v>15300</v>
      </c>
      <c r="E531" t="str">
        <f>_xlfn.XLOOKUP(Quota_tbl[[#This Row],[Rep_ID]],Dim_Reps!A:A,Dim_Reps!K:K)</f>
        <v>EUR</v>
      </c>
      <c r="F531" s="33">
        <f>(_xlfn.XLOOKUP(Quota_tbl[[#This Row],[Rate_Code_Generalized]],Lookups!A:A,Lookups!B:B)*Quota_tbl[[#This Row],[Quota_Amount_USD]])</f>
        <v>15300</v>
      </c>
      <c r="G531" t="str">
        <f>_xlfn.XLOOKUP(Quota_tbl[[#This Row],[Rep_ID]],Dim_Reps!A:A,Dim_Reps!C:C)</f>
        <v>SDR / Inside Sales Rep</v>
      </c>
      <c r="H531" t="str">
        <f>_xlfn.XLOOKUP(Quota_tbl[[#This Row],[Rep_ID]],Dim_Reps!A:A,Dim_Reps!D:D)</f>
        <v>Inside Sales</v>
      </c>
      <c r="I531" t="str">
        <f>_xlfn.XLOOKUP(Quota_tbl[[#This Row],[Rep_ID]],Dim_Reps!A:A,Dim_Reps!E:E)</f>
        <v>EMEA</v>
      </c>
      <c r="J531" t="str">
        <f>_xlfn.XLOOKUP(Quota_tbl[[#This Row],[Period_Start_Date]],Dim_Date!A:A,Dim_Date!H:H)</f>
        <v>Feb 2025</v>
      </c>
    </row>
    <row r="532" spans="1:10" ht="15" customHeight="1" x14ac:dyDescent="0.2">
      <c r="A532" t="s">
        <v>227</v>
      </c>
      <c r="B532" s="49">
        <v>45717</v>
      </c>
      <c r="C532">
        <v>18</v>
      </c>
      <c r="D532" s="33">
        <v>15500</v>
      </c>
      <c r="E532" t="str">
        <f>_xlfn.XLOOKUP(Quota_tbl[[#This Row],[Rep_ID]],Dim_Reps!A:A,Dim_Reps!K:K)</f>
        <v>EUR</v>
      </c>
      <c r="F532" s="33">
        <f>(_xlfn.XLOOKUP(Quota_tbl[[#This Row],[Rate_Code_Generalized]],Lookups!A:A,Lookups!B:B)*Quota_tbl[[#This Row],[Quota_Amount_USD]])</f>
        <v>15500</v>
      </c>
      <c r="G532" t="str">
        <f>_xlfn.XLOOKUP(Quota_tbl[[#This Row],[Rep_ID]],Dim_Reps!A:A,Dim_Reps!C:C)</f>
        <v>SDR / Inside Sales Rep</v>
      </c>
      <c r="H532" t="str">
        <f>_xlfn.XLOOKUP(Quota_tbl[[#This Row],[Rep_ID]],Dim_Reps!A:A,Dim_Reps!D:D)</f>
        <v>Inside Sales</v>
      </c>
      <c r="I532" t="str">
        <f>_xlfn.XLOOKUP(Quota_tbl[[#This Row],[Rep_ID]],Dim_Reps!A:A,Dim_Reps!E:E)</f>
        <v>EMEA</v>
      </c>
      <c r="J532" t="str">
        <f>_xlfn.XLOOKUP(Quota_tbl[[#This Row],[Period_Start_Date]],Dim_Date!A:A,Dim_Date!H:H)</f>
        <v>Mar 2025</v>
      </c>
    </row>
    <row r="533" spans="1:10" ht="15" customHeight="1" x14ac:dyDescent="0.2">
      <c r="A533" t="s">
        <v>227</v>
      </c>
      <c r="B533" s="49">
        <v>45748</v>
      </c>
      <c r="C533">
        <v>19</v>
      </c>
      <c r="D533" s="33">
        <v>16300</v>
      </c>
      <c r="E533" t="str">
        <f>_xlfn.XLOOKUP(Quota_tbl[[#This Row],[Rep_ID]],Dim_Reps!A:A,Dim_Reps!K:K)</f>
        <v>EUR</v>
      </c>
      <c r="F533" s="33">
        <f>(_xlfn.XLOOKUP(Quota_tbl[[#This Row],[Rate_Code_Generalized]],Lookups!A:A,Lookups!B:B)*Quota_tbl[[#This Row],[Quota_Amount_USD]])</f>
        <v>16300</v>
      </c>
      <c r="G533" t="str">
        <f>_xlfn.XLOOKUP(Quota_tbl[[#This Row],[Rep_ID]],Dim_Reps!A:A,Dim_Reps!C:C)</f>
        <v>SDR / Inside Sales Rep</v>
      </c>
      <c r="H533" t="str">
        <f>_xlfn.XLOOKUP(Quota_tbl[[#This Row],[Rep_ID]],Dim_Reps!A:A,Dim_Reps!D:D)</f>
        <v>Inside Sales</v>
      </c>
      <c r="I533" t="str">
        <f>_xlfn.XLOOKUP(Quota_tbl[[#This Row],[Rep_ID]],Dim_Reps!A:A,Dim_Reps!E:E)</f>
        <v>EMEA</v>
      </c>
      <c r="J533" t="str">
        <f>_xlfn.XLOOKUP(Quota_tbl[[#This Row],[Period_Start_Date]],Dim_Date!A:A,Dim_Date!H:H)</f>
        <v>Apr 2025</v>
      </c>
    </row>
    <row r="534" spans="1:10" ht="15" customHeight="1" x14ac:dyDescent="0.2">
      <c r="A534" t="s">
        <v>227</v>
      </c>
      <c r="B534" s="49">
        <v>45778</v>
      </c>
      <c r="C534">
        <v>20</v>
      </c>
      <c r="D534" s="33">
        <v>15700</v>
      </c>
      <c r="E534" t="str">
        <f>_xlfn.XLOOKUP(Quota_tbl[[#This Row],[Rep_ID]],Dim_Reps!A:A,Dim_Reps!K:K)</f>
        <v>EUR</v>
      </c>
      <c r="F534" s="33">
        <f>(_xlfn.XLOOKUP(Quota_tbl[[#This Row],[Rate_Code_Generalized]],Lookups!A:A,Lookups!B:B)*Quota_tbl[[#This Row],[Quota_Amount_USD]])</f>
        <v>15700</v>
      </c>
      <c r="G534" t="str">
        <f>_xlfn.XLOOKUP(Quota_tbl[[#This Row],[Rep_ID]],Dim_Reps!A:A,Dim_Reps!C:C)</f>
        <v>SDR / Inside Sales Rep</v>
      </c>
      <c r="H534" t="str">
        <f>_xlfn.XLOOKUP(Quota_tbl[[#This Row],[Rep_ID]],Dim_Reps!A:A,Dim_Reps!D:D)</f>
        <v>Inside Sales</v>
      </c>
      <c r="I534" t="str">
        <f>_xlfn.XLOOKUP(Quota_tbl[[#This Row],[Rep_ID]],Dim_Reps!A:A,Dim_Reps!E:E)</f>
        <v>EMEA</v>
      </c>
      <c r="J534" t="str">
        <f>_xlfn.XLOOKUP(Quota_tbl[[#This Row],[Period_Start_Date]],Dim_Date!A:A,Dim_Date!H:H)</f>
        <v>May 2025</v>
      </c>
    </row>
    <row r="535" spans="1:10" ht="15" customHeight="1" x14ac:dyDescent="0.2">
      <c r="A535" t="s">
        <v>227</v>
      </c>
      <c r="B535" s="49">
        <v>45809</v>
      </c>
      <c r="C535">
        <v>21</v>
      </c>
      <c r="D535" s="33">
        <v>15400</v>
      </c>
      <c r="E535" t="str">
        <f>_xlfn.XLOOKUP(Quota_tbl[[#This Row],[Rep_ID]],Dim_Reps!A:A,Dim_Reps!K:K)</f>
        <v>EUR</v>
      </c>
      <c r="F535" s="33">
        <f>(_xlfn.XLOOKUP(Quota_tbl[[#This Row],[Rate_Code_Generalized]],Lookups!A:A,Lookups!B:B)*Quota_tbl[[#This Row],[Quota_Amount_USD]])</f>
        <v>15400</v>
      </c>
      <c r="G535" t="str">
        <f>_xlfn.XLOOKUP(Quota_tbl[[#This Row],[Rep_ID]],Dim_Reps!A:A,Dim_Reps!C:C)</f>
        <v>SDR / Inside Sales Rep</v>
      </c>
      <c r="H535" t="str">
        <f>_xlfn.XLOOKUP(Quota_tbl[[#This Row],[Rep_ID]],Dim_Reps!A:A,Dim_Reps!D:D)</f>
        <v>Inside Sales</v>
      </c>
      <c r="I535" t="str">
        <f>_xlfn.XLOOKUP(Quota_tbl[[#This Row],[Rep_ID]],Dim_Reps!A:A,Dim_Reps!E:E)</f>
        <v>EMEA</v>
      </c>
      <c r="J535" t="str">
        <f>_xlfn.XLOOKUP(Quota_tbl[[#This Row],[Period_Start_Date]],Dim_Date!A:A,Dim_Date!H:H)</f>
        <v>Jun 2025</v>
      </c>
    </row>
    <row r="536" spans="1:10" ht="15" customHeight="1" x14ac:dyDescent="0.2">
      <c r="A536" t="s">
        <v>227</v>
      </c>
      <c r="B536" s="49">
        <v>45839</v>
      </c>
      <c r="C536">
        <v>22</v>
      </c>
      <c r="D536" s="33">
        <v>15900</v>
      </c>
      <c r="E536" t="str">
        <f>_xlfn.XLOOKUP(Quota_tbl[[#This Row],[Rep_ID]],Dim_Reps!A:A,Dim_Reps!K:K)</f>
        <v>EUR</v>
      </c>
      <c r="F536" s="33">
        <f>(_xlfn.XLOOKUP(Quota_tbl[[#This Row],[Rate_Code_Generalized]],Lookups!A:A,Lookups!B:B)*Quota_tbl[[#This Row],[Quota_Amount_USD]])</f>
        <v>15900</v>
      </c>
      <c r="G536" t="str">
        <f>_xlfn.XLOOKUP(Quota_tbl[[#This Row],[Rep_ID]],Dim_Reps!A:A,Dim_Reps!C:C)</f>
        <v>SDR / Inside Sales Rep</v>
      </c>
      <c r="H536" t="str">
        <f>_xlfn.XLOOKUP(Quota_tbl[[#This Row],[Rep_ID]],Dim_Reps!A:A,Dim_Reps!D:D)</f>
        <v>Inside Sales</v>
      </c>
      <c r="I536" t="str">
        <f>_xlfn.XLOOKUP(Quota_tbl[[#This Row],[Rep_ID]],Dim_Reps!A:A,Dim_Reps!E:E)</f>
        <v>EMEA</v>
      </c>
      <c r="J536" t="str">
        <f>_xlfn.XLOOKUP(Quota_tbl[[#This Row],[Period_Start_Date]],Dim_Date!A:A,Dim_Date!H:H)</f>
        <v>Jul 2025</v>
      </c>
    </row>
    <row r="537" spans="1:10" ht="15" customHeight="1" x14ac:dyDescent="0.2">
      <c r="A537" t="s">
        <v>227</v>
      </c>
      <c r="B537" s="49">
        <v>45870</v>
      </c>
      <c r="C537">
        <v>23</v>
      </c>
      <c r="D537" s="33">
        <v>14500</v>
      </c>
      <c r="E537" t="str">
        <f>_xlfn.XLOOKUP(Quota_tbl[[#This Row],[Rep_ID]],Dim_Reps!A:A,Dim_Reps!K:K)</f>
        <v>EUR</v>
      </c>
      <c r="F537" s="33">
        <f>(_xlfn.XLOOKUP(Quota_tbl[[#This Row],[Rate_Code_Generalized]],Lookups!A:A,Lookups!B:B)*Quota_tbl[[#This Row],[Quota_Amount_USD]])</f>
        <v>14500</v>
      </c>
      <c r="G537" t="str">
        <f>_xlfn.XLOOKUP(Quota_tbl[[#This Row],[Rep_ID]],Dim_Reps!A:A,Dim_Reps!C:C)</f>
        <v>SDR / Inside Sales Rep</v>
      </c>
      <c r="H537" t="str">
        <f>_xlfn.XLOOKUP(Quota_tbl[[#This Row],[Rep_ID]],Dim_Reps!A:A,Dim_Reps!D:D)</f>
        <v>Inside Sales</v>
      </c>
      <c r="I537" t="str">
        <f>_xlfn.XLOOKUP(Quota_tbl[[#This Row],[Rep_ID]],Dim_Reps!A:A,Dim_Reps!E:E)</f>
        <v>EMEA</v>
      </c>
      <c r="J537" t="str">
        <f>_xlfn.XLOOKUP(Quota_tbl[[#This Row],[Period_Start_Date]],Dim_Date!A:A,Dim_Date!H:H)</f>
        <v>Aug 2025</v>
      </c>
    </row>
    <row r="538" spans="1:10" ht="15" customHeight="1" x14ac:dyDescent="0.2">
      <c r="A538" t="s">
        <v>227</v>
      </c>
      <c r="B538" s="49">
        <v>45901</v>
      </c>
      <c r="C538">
        <v>24</v>
      </c>
      <c r="D538" s="33">
        <v>15600</v>
      </c>
      <c r="E538" t="str">
        <f>_xlfn.XLOOKUP(Quota_tbl[[#This Row],[Rep_ID]],Dim_Reps!A:A,Dim_Reps!K:K)</f>
        <v>EUR</v>
      </c>
      <c r="F538" s="33">
        <f>(_xlfn.XLOOKUP(Quota_tbl[[#This Row],[Rate_Code_Generalized]],Lookups!A:A,Lookups!B:B)*Quota_tbl[[#This Row],[Quota_Amount_USD]])</f>
        <v>15600</v>
      </c>
      <c r="G538" t="str">
        <f>_xlfn.XLOOKUP(Quota_tbl[[#This Row],[Rep_ID]],Dim_Reps!A:A,Dim_Reps!C:C)</f>
        <v>SDR / Inside Sales Rep</v>
      </c>
      <c r="H538" t="str">
        <f>_xlfn.XLOOKUP(Quota_tbl[[#This Row],[Rep_ID]],Dim_Reps!A:A,Dim_Reps!D:D)</f>
        <v>Inside Sales</v>
      </c>
      <c r="I538" t="str">
        <f>_xlfn.XLOOKUP(Quota_tbl[[#This Row],[Rep_ID]],Dim_Reps!A:A,Dim_Reps!E:E)</f>
        <v>EMEA</v>
      </c>
      <c r="J538" t="str">
        <f>_xlfn.XLOOKUP(Quota_tbl[[#This Row],[Period_Start_Date]],Dim_Date!A:A,Dim_Date!H:H)</f>
        <v>Sep 2025</v>
      </c>
    </row>
    <row r="539" spans="1:10" ht="15" customHeight="1" x14ac:dyDescent="0.2">
      <c r="A539" t="s">
        <v>227</v>
      </c>
      <c r="B539" s="49">
        <v>45931</v>
      </c>
      <c r="C539">
        <v>25</v>
      </c>
      <c r="D539" s="33">
        <v>15900</v>
      </c>
      <c r="E539" t="str">
        <f>_xlfn.XLOOKUP(Quota_tbl[[#This Row],[Rep_ID]],Dim_Reps!A:A,Dim_Reps!K:K)</f>
        <v>EUR</v>
      </c>
      <c r="F539" s="33">
        <f>(_xlfn.XLOOKUP(Quota_tbl[[#This Row],[Rate_Code_Generalized]],Lookups!A:A,Lookups!B:B)*Quota_tbl[[#This Row],[Quota_Amount_USD]])</f>
        <v>15900</v>
      </c>
      <c r="G539" t="str">
        <f>_xlfn.XLOOKUP(Quota_tbl[[#This Row],[Rep_ID]],Dim_Reps!A:A,Dim_Reps!C:C)</f>
        <v>SDR / Inside Sales Rep</v>
      </c>
      <c r="H539" t="str">
        <f>_xlfn.XLOOKUP(Quota_tbl[[#This Row],[Rep_ID]],Dim_Reps!A:A,Dim_Reps!D:D)</f>
        <v>Inside Sales</v>
      </c>
      <c r="I539" t="str">
        <f>_xlfn.XLOOKUP(Quota_tbl[[#This Row],[Rep_ID]],Dim_Reps!A:A,Dim_Reps!E:E)</f>
        <v>EMEA</v>
      </c>
      <c r="J539" t="str">
        <f>_xlfn.XLOOKUP(Quota_tbl[[#This Row],[Period_Start_Date]],Dim_Date!A:A,Dim_Date!H:H)</f>
        <v>Oct 2025</v>
      </c>
    </row>
    <row r="540" spans="1:10" ht="15" customHeight="1" x14ac:dyDescent="0.2">
      <c r="A540" t="s">
        <v>227</v>
      </c>
      <c r="B540" s="49">
        <v>45962</v>
      </c>
      <c r="C540">
        <v>26</v>
      </c>
      <c r="D540" s="33">
        <v>14800</v>
      </c>
      <c r="E540" t="str">
        <f>_xlfn.XLOOKUP(Quota_tbl[[#This Row],[Rep_ID]],Dim_Reps!A:A,Dim_Reps!K:K)</f>
        <v>EUR</v>
      </c>
      <c r="F540" s="33">
        <f>(_xlfn.XLOOKUP(Quota_tbl[[#This Row],[Rate_Code_Generalized]],Lookups!A:A,Lookups!B:B)*Quota_tbl[[#This Row],[Quota_Amount_USD]])</f>
        <v>14800</v>
      </c>
      <c r="G540" t="str">
        <f>_xlfn.XLOOKUP(Quota_tbl[[#This Row],[Rep_ID]],Dim_Reps!A:A,Dim_Reps!C:C)</f>
        <v>SDR / Inside Sales Rep</v>
      </c>
      <c r="H540" t="str">
        <f>_xlfn.XLOOKUP(Quota_tbl[[#This Row],[Rep_ID]],Dim_Reps!A:A,Dim_Reps!D:D)</f>
        <v>Inside Sales</v>
      </c>
      <c r="I540" t="str">
        <f>_xlfn.XLOOKUP(Quota_tbl[[#This Row],[Rep_ID]],Dim_Reps!A:A,Dim_Reps!E:E)</f>
        <v>EMEA</v>
      </c>
      <c r="J540" t="str">
        <f>_xlfn.XLOOKUP(Quota_tbl[[#This Row],[Period_Start_Date]],Dim_Date!A:A,Dim_Date!H:H)</f>
        <v>Nov 2025</v>
      </c>
    </row>
    <row r="541" spans="1:10" ht="15" customHeight="1" x14ac:dyDescent="0.2">
      <c r="A541" t="s">
        <v>227</v>
      </c>
      <c r="B541" s="49">
        <v>45992</v>
      </c>
      <c r="C541">
        <v>27</v>
      </c>
      <c r="D541" s="33">
        <v>16000</v>
      </c>
      <c r="E541" t="str">
        <f>_xlfn.XLOOKUP(Quota_tbl[[#This Row],[Rep_ID]],Dim_Reps!A:A,Dim_Reps!K:K)</f>
        <v>EUR</v>
      </c>
      <c r="F541" s="33">
        <f>(_xlfn.XLOOKUP(Quota_tbl[[#This Row],[Rate_Code_Generalized]],Lookups!A:A,Lookups!B:B)*Quota_tbl[[#This Row],[Quota_Amount_USD]])</f>
        <v>16000</v>
      </c>
      <c r="G541" t="str">
        <f>_xlfn.XLOOKUP(Quota_tbl[[#This Row],[Rep_ID]],Dim_Reps!A:A,Dim_Reps!C:C)</f>
        <v>SDR / Inside Sales Rep</v>
      </c>
      <c r="H541" t="str">
        <f>_xlfn.XLOOKUP(Quota_tbl[[#This Row],[Rep_ID]],Dim_Reps!A:A,Dim_Reps!D:D)</f>
        <v>Inside Sales</v>
      </c>
      <c r="I541" t="str">
        <f>_xlfn.XLOOKUP(Quota_tbl[[#This Row],[Rep_ID]],Dim_Reps!A:A,Dim_Reps!E:E)</f>
        <v>EMEA</v>
      </c>
      <c r="J541" t="str">
        <f>_xlfn.XLOOKUP(Quota_tbl[[#This Row],[Period_Start_Date]],Dim_Date!A:A,Dim_Date!H:H)</f>
        <v>Dec 2025</v>
      </c>
    </row>
    <row r="542" spans="1:10" ht="15" customHeight="1" x14ac:dyDescent="0.2">
      <c r="A542" t="s">
        <v>280</v>
      </c>
      <c r="B542" s="49">
        <v>45292</v>
      </c>
      <c r="C542">
        <v>6</v>
      </c>
      <c r="D542" s="33">
        <v>48500</v>
      </c>
      <c r="E542" t="str">
        <f>_xlfn.XLOOKUP(Quota_tbl[[#This Row],[Rep_ID]],Dim_Reps!A:A,Dim_Reps!K:K)</f>
        <v>MXN</v>
      </c>
      <c r="F542" s="33">
        <f>(_xlfn.XLOOKUP(Quota_tbl[[#This Row],[Rate_Code_Generalized]],Lookups!A:A,Lookups!B:B)*Quota_tbl[[#This Row],[Quota_Amount_USD]])</f>
        <v>957035.95000000007</v>
      </c>
      <c r="G542" t="str">
        <f>_xlfn.XLOOKUP(Quota_tbl[[#This Row],[Rep_ID]],Dim_Reps!A:A,Dim_Reps!C:C)</f>
        <v>Senior Enterprise AE</v>
      </c>
      <c r="H542" t="str">
        <f>_xlfn.XLOOKUP(Quota_tbl[[#This Row],[Rep_ID]],Dim_Reps!A:A,Dim_Reps!D:D)</f>
        <v>Strategic</v>
      </c>
      <c r="I542" t="str">
        <f>_xlfn.XLOOKUP(Quota_tbl[[#This Row],[Rep_ID]],Dim_Reps!A:A,Dim_Reps!E:E)</f>
        <v>LATAM</v>
      </c>
      <c r="J542" t="str">
        <f>_xlfn.XLOOKUP(Quota_tbl[[#This Row],[Period_Start_Date]],Dim_Date!A:A,Dim_Date!H:H)</f>
        <v>Jan 2024</v>
      </c>
    </row>
    <row r="543" spans="1:10" ht="15" customHeight="1" x14ac:dyDescent="0.2">
      <c r="A543" t="s">
        <v>280</v>
      </c>
      <c r="B543" s="49">
        <v>45323</v>
      </c>
      <c r="C543">
        <v>7</v>
      </c>
      <c r="D543" s="33">
        <v>47400</v>
      </c>
      <c r="E543" t="str">
        <f>_xlfn.XLOOKUP(Quota_tbl[[#This Row],[Rep_ID]],Dim_Reps!A:A,Dim_Reps!K:K)</f>
        <v>MXN</v>
      </c>
      <c r="F543" s="33">
        <f>(_xlfn.XLOOKUP(Quota_tbl[[#This Row],[Rate_Code_Generalized]],Lookups!A:A,Lookups!B:B)*Quota_tbl[[#This Row],[Quota_Amount_USD]])</f>
        <v>935329.9800000001</v>
      </c>
      <c r="G543" t="str">
        <f>_xlfn.XLOOKUP(Quota_tbl[[#This Row],[Rep_ID]],Dim_Reps!A:A,Dim_Reps!C:C)</f>
        <v>Senior Enterprise AE</v>
      </c>
      <c r="H543" t="str">
        <f>_xlfn.XLOOKUP(Quota_tbl[[#This Row],[Rep_ID]],Dim_Reps!A:A,Dim_Reps!D:D)</f>
        <v>Strategic</v>
      </c>
      <c r="I543" t="str">
        <f>_xlfn.XLOOKUP(Quota_tbl[[#This Row],[Rep_ID]],Dim_Reps!A:A,Dim_Reps!E:E)</f>
        <v>LATAM</v>
      </c>
      <c r="J543" t="str">
        <f>_xlfn.XLOOKUP(Quota_tbl[[#This Row],[Period_Start_Date]],Dim_Date!A:A,Dim_Date!H:H)</f>
        <v>Feb 2024</v>
      </c>
    </row>
    <row r="544" spans="1:10" ht="15" customHeight="1" x14ac:dyDescent="0.2">
      <c r="A544" t="s">
        <v>280</v>
      </c>
      <c r="B544" s="49">
        <v>45352</v>
      </c>
      <c r="C544">
        <v>8</v>
      </c>
      <c r="D544" s="33">
        <v>48900</v>
      </c>
      <c r="E544" t="str">
        <f>_xlfn.XLOOKUP(Quota_tbl[[#This Row],[Rep_ID]],Dim_Reps!A:A,Dim_Reps!K:K)</f>
        <v>MXN</v>
      </c>
      <c r="F544" s="33">
        <f>(_xlfn.XLOOKUP(Quota_tbl[[#This Row],[Rate_Code_Generalized]],Lookups!A:A,Lookups!B:B)*Quota_tbl[[#This Row],[Quota_Amount_USD]])</f>
        <v>964929.03</v>
      </c>
      <c r="G544" t="str">
        <f>_xlfn.XLOOKUP(Quota_tbl[[#This Row],[Rep_ID]],Dim_Reps!A:A,Dim_Reps!C:C)</f>
        <v>Senior Enterprise AE</v>
      </c>
      <c r="H544" t="str">
        <f>_xlfn.XLOOKUP(Quota_tbl[[#This Row],[Rep_ID]],Dim_Reps!A:A,Dim_Reps!D:D)</f>
        <v>Strategic</v>
      </c>
      <c r="I544" t="str">
        <f>_xlfn.XLOOKUP(Quota_tbl[[#This Row],[Rep_ID]],Dim_Reps!A:A,Dim_Reps!E:E)</f>
        <v>LATAM</v>
      </c>
      <c r="J544" t="str">
        <f>_xlfn.XLOOKUP(Quota_tbl[[#This Row],[Period_Start_Date]],Dim_Date!A:A,Dim_Date!H:H)</f>
        <v>Mar 2024</v>
      </c>
    </row>
    <row r="545" spans="1:10" ht="15" customHeight="1" x14ac:dyDescent="0.2">
      <c r="A545" t="s">
        <v>280</v>
      </c>
      <c r="B545" s="49">
        <v>45383</v>
      </c>
      <c r="C545">
        <v>9</v>
      </c>
      <c r="D545" s="33">
        <v>51300</v>
      </c>
      <c r="E545" t="str">
        <f>_xlfn.XLOOKUP(Quota_tbl[[#This Row],[Rep_ID]],Dim_Reps!A:A,Dim_Reps!K:K)</f>
        <v>MXN</v>
      </c>
      <c r="F545" s="33">
        <f>(_xlfn.XLOOKUP(Quota_tbl[[#This Row],[Rate_Code_Generalized]],Lookups!A:A,Lookups!B:B)*Quota_tbl[[#This Row],[Quota_Amount_USD]])</f>
        <v>1012287.51</v>
      </c>
      <c r="G545" t="str">
        <f>_xlfn.XLOOKUP(Quota_tbl[[#This Row],[Rep_ID]],Dim_Reps!A:A,Dim_Reps!C:C)</f>
        <v>Senior Enterprise AE</v>
      </c>
      <c r="H545" t="str">
        <f>_xlfn.XLOOKUP(Quota_tbl[[#This Row],[Rep_ID]],Dim_Reps!A:A,Dim_Reps!D:D)</f>
        <v>Strategic</v>
      </c>
      <c r="I545" t="str">
        <f>_xlfn.XLOOKUP(Quota_tbl[[#This Row],[Rep_ID]],Dim_Reps!A:A,Dim_Reps!E:E)</f>
        <v>LATAM</v>
      </c>
      <c r="J545" t="str">
        <f>_xlfn.XLOOKUP(Quota_tbl[[#This Row],[Period_Start_Date]],Dim_Date!A:A,Dim_Date!H:H)</f>
        <v>Apr 2024</v>
      </c>
    </row>
    <row r="546" spans="1:10" ht="15" customHeight="1" x14ac:dyDescent="0.2">
      <c r="A546" t="s">
        <v>280</v>
      </c>
      <c r="B546" s="49">
        <v>45413</v>
      </c>
      <c r="C546">
        <v>10</v>
      </c>
      <c r="D546" s="33">
        <v>48300</v>
      </c>
      <c r="E546" t="str">
        <f>_xlfn.XLOOKUP(Quota_tbl[[#This Row],[Rep_ID]],Dim_Reps!A:A,Dim_Reps!K:K)</f>
        <v>MXN</v>
      </c>
      <c r="F546" s="33">
        <f>(_xlfn.XLOOKUP(Quota_tbl[[#This Row],[Rate_Code_Generalized]],Lookups!A:A,Lookups!B:B)*Quota_tbl[[#This Row],[Quota_Amount_USD]])</f>
        <v>953089.41</v>
      </c>
      <c r="G546" t="str">
        <f>_xlfn.XLOOKUP(Quota_tbl[[#This Row],[Rep_ID]],Dim_Reps!A:A,Dim_Reps!C:C)</f>
        <v>Senior Enterprise AE</v>
      </c>
      <c r="H546" t="str">
        <f>_xlfn.XLOOKUP(Quota_tbl[[#This Row],[Rep_ID]],Dim_Reps!A:A,Dim_Reps!D:D)</f>
        <v>Strategic</v>
      </c>
      <c r="I546" t="str">
        <f>_xlfn.XLOOKUP(Quota_tbl[[#This Row],[Rep_ID]],Dim_Reps!A:A,Dim_Reps!E:E)</f>
        <v>LATAM</v>
      </c>
      <c r="J546" t="str">
        <f>_xlfn.XLOOKUP(Quota_tbl[[#This Row],[Period_Start_Date]],Dim_Date!A:A,Dim_Date!H:H)</f>
        <v>May 2024</v>
      </c>
    </row>
    <row r="547" spans="1:10" ht="15" customHeight="1" x14ac:dyDescent="0.2">
      <c r="A547" t="s">
        <v>280</v>
      </c>
      <c r="B547" s="49">
        <v>45444</v>
      </c>
      <c r="C547">
        <v>11</v>
      </c>
      <c r="D547" s="33">
        <v>48400</v>
      </c>
      <c r="E547" t="str">
        <f>_xlfn.XLOOKUP(Quota_tbl[[#This Row],[Rep_ID]],Dim_Reps!A:A,Dim_Reps!K:K)</f>
        <v>MXN</v>
      </c>
      <c r="F547" s="33">
        <f>(_xlfn.XLOOKUP(Quota_tbl[[#This Row],[Rate_Code_Generalized]],Lookups!A:A,Lookups!B:B)*Quota_tbl[[#This Row],[Quota_Amount_USD]])</f>
        <v>955062.68</v>
      </c>
      <c r="G547" t="str">
        <f>_xlfn.XLOOKUP(Quota_tbl[[#This Row],[Rep_ID]],Dim_Reps!A:A,Dim_Reps!C:C)</f>
        <v>Senior Enterprise AE</v>
      </c>
      <c r="H547" t="str">
        <f>_xlfn.XLOOKUP(Quota_tbl[[#This Row],[Rep_ID]],Dim_Reps!A:A,Dim_Reps!D:D)</f>
        <v>Strategic</v>
      </c>
      <c r="I547" t="str">
        <f>_xlfn.XLOOKUP(Quota_tbl[[#This Row],[Rep_ID]],Dim_Reps!A:A,Dim_Reps!E:E)</f>
        <v>LATAM</v>
      </c>
      <c r="J547" t="str">
        <f>_xlfn.XLOOKUP(Quota_tbl[[#This Row],[Period_Start_Date]],Dim_Date!A:A,Dim_Date!H:H)</f>
        <v>Jun 2024</v>
      </c>
    </row>
    <row r="548" spans="1:10" ht="15" customHeight="1" x14ac:dyDescent="0.2">
      <c r="A548" t="s">
        <v>280</v>
      </c>
      <c r="B548" s="49">
        <v>45474</v>
      </c>
      <c r="C548">
        <v>12</v>
      </c>
      <c r="D548" s="33">
        <v>47300</v>
      </c>
      <c r="E548" t="str">
        <f>_xlfn.XLOOKUP(Quota_tbl[[#This Row],[Rep_ID]],Dim_Reps!A:A,Dim_Reps!K:K)</f>
        <v>MXN</v>
      </c>
      <c r="F548" s="33">
        <f>(_xlfn.XLOOKUP(Quota_tbl[[#This Row],[Rate_Code_Generalized]],Lookups!A:A,Lookups!B:B)*Quota_tbl[[#This Row],[Quota_Amount_USD]])</f>
        <v>933356.71000000008</v>
      </c>
      <c r="G548" t="str">
        <f>_xlfn.XLOOKUP(Quota_tbl[[#This Row],[Rep_ID]],Dim_Reps!A:A,Dim_Reps!C:C)</f>
        <v>Senior Enterprise AE</v>
      </c>
      <c r="H548" t="str">
        <f>_xlfn.XLOOKUP(Quota_tbl[[#This Row],[Rep_ID]],Dim_Reps!A:A,Dim_Reps!D:D)</f>
        <v>Strategic</v>
      </c>
      <c r="I548" t="str">
        <f>_xlfn.XLOOKUP(Quota_tbl[[#This Row],[Rep_ID]],Dim_Reps!A:A,Dim_Reps!E:E)</f>
        <v>LATAM</v>
      </c>
      <c r="J548" t="str">
        <f>_xlfn.XLOOKUP(Quota_tbl[[#This Row],[Period_Start_Date]],Dim_Date!A:A,Dim_Date!H:H)</f>
        <v>Jul 2024</v>
      </c>
    </row>
    <row r="549" spans="1:10" ht="15" customHeight="1" x14ac:dyDescent="0.2">
      <c r="A549" t="s">
        <v>280</v>
      </c>
      <c r="B549" s="49">
        <v>45505</v>
      </c>
      <c r="C549">
        <v>13</v>
      </c>
      <c r="D549" s="33">
        <v>46800</v>
      </c>
      <c r="E549" t="str">
        <f>_xlfn.XLOOKUP(Quota_tbl[[#This Row],[Rep_ID]],Dim_Reps!A:A,Dim_Reps!K:K)</f>
        <v>MXN</v>
      </c>
      <c r="F549" s="33">
        <f>(_xlfn.XLOOKUP(Quota_tbl[[#This Row],[Rate_Code_Generalized]],Lookups!A:A,Lookups!B:B)*Quota_tbl[[#This Row],[Quota_Amount_USD]])</f>
        <v>923490.3600000001</v>
      </c>
      <c r="G549" t="str">
        <f>_xlfn.XLOOKUP(Quota_tbl[[#This Row],[Rep_ID]],Dim_Reps!A:A,Dim_Reps!C:C)</f>
        <v>Senior Enterprise AE</v>
      </c>
      <c r="H549" t="str">
        <f>_xlfn.XLOOKUP(Quota_tbl[[#This Row],[Rep_ID]],Dim_Reps!A:A,Dim_Reps!D:D)</f>
        <v>Strategic</v>
      </c>
      <c r="I549" t="str">
        <f>_xlfn.XLOOKUP(Quota_tbl[[#This Row],[Rep_ID]],Dim_Reps!A:A,Dim_Reps!E:E)</f>
        <v>LATAM</v>
      </c>
      <c r="J549" t="str">
        <f>_xlfn.XLOOKUP(Quota_tbl[[#This Row],[Period_Start_Date]],Dim_Date!A:A,Dim_Date!H:H)</f>
        <v>Aug 2024</v>
      </c>
    </row>
    <row r="550" spans="1:10" ht="15" customHeight="1" x14ac:dyDescent="0.2">
      <c r="A550" t="s">
        <v>280</v>
      </c>
      <c r="B550" s="49">
        <v>45536</v>
      </c>
      <c r="C550">
        <v>14</v>
      </c>
      <c r="D550" s="33">
        <v>49200</v>
      </c>
      <c r="E550" t="str">
        <f>_xlfn.XLOOKUP(Quota_tbl[[#This Row],[Rep_ID]],Dim_Reps!A:A,Dim_Reps!K:K)</f>
        <v>MXN</v>
      </c>
      <c r="F550" s="33">
        <f>(_xlfn.XLOOKUP(Quota_tbl[[#This Row],[Rate_Code_Generalized]],Lookups!A:A,Lookups!B:B)*Quota_tbl[[#This Row],[Quota_Amount_USD]])</f>
        <v>970848.84000000008</v>
      </c>
      <c r="G550" t="str">
        <f>_xlfn.XLOOKUP(Quota_tbl[[#This Row],[Rep_ID]],Dim_Reps!A:A,Dim_Reps!C:C)</f>
        <v>Senior Enterprise AE</v>
      </c>
      <c r="H550" t="str">
        <f>_xlfn.XLOOKUP(Quota_tbl[[#This Row],[Rep_ID]],Dim_Reps!A:A,Dim_Reps!D:D)</f>
        <v>Strategic</v>
      </c>
      <c r="I550" t="str">
        <f>_xlfn.XLOOKUP(Quota_tbl[[#This Row],[Rep_ID]],Dim_Reps!A:A,Dim_Reps!E:E)</f>
        <v>LATAM</v>
      </c>
      <c r="J550" t="str">
        <f>_xlfn.XLOOKUP(Quota_tbl[[#This Row],[Period_Start_Date]],Dim_Date!A:A,Dim_Date!H:H)</f>
        <v>Sep 2024</v>
      </c>
    </row>
    <row r="551" spans="1:10" ht="15" customHeight="1" x14ac:dyDescent="0.2">
      <c r="A551" t="s">
        <v>280</v>
      </c>
      <c r="B551" s="49">
        <v>45566</v>
      </c>
      <c r="C551">
        <v>15</v>
      </c>
      <c r="D551" s="33">
        <v>46800</v>
      </c>
      <c r="E551" t="str">
        <f>_xlfn.XLOOKUP(Quota_tbl[[#This Row],[Rep_ID]],Dim_Reps!A:A,Dim_Reps!K:K)</f>
        <v>MXN</v>
      </c>
      <c r="F551" s="33">
        <f>(_xlfn.XLOOKUP(Quota_tbl[[#This Row],[Rate_Code_Generalized]],Lookups!A:A,Lookups!B:B)*Quota_tbl[[#This Row],[Quota_Amount_USD]])</f>
        <v>923490.3600000001</v>
      </c>
      <c r="G551" t="str">
        <f>_xlfn.XLOOKUP(Quota_tbl[[#This Row],[Rep_ID]],Dim_Reps!A:A,Dim_Reps!C:C)</f>
        <v>Senior Enterprise AE</v>
      </c>
      <c r="H551" t="str">
        <f>_xlfn.XLOOKUP(Quota_tbl[[#This Row],[Rep_ID]],Dim_Reps!A:A,Dim_Reps!D:D)</f>
        <v>Strategic</v>
      </c>
      <c r="I551" t="str">
        <f>_xlfn.XLOOKUP(Quota_tbl[[#This Row],[Rep_ID]],Dim_Reps!A:A,Dim_Reps!E:E)</f>
        <v>LATAM</v>
      </c>
      <c r="J551" t="str">
        <f>_xlfn.XLOOKUP(Quota_tbl[[#This Row],[Period_Start_Date]],Dim_Date!A:A,Dim_Date!H:H)</f>
        <v>Oct 2024</v>
      </c>
    </row>
    <row r="552" spans="1:10" ht="15" customHeight="1" x14ac:dyDescent="0.2">
      <c r="A552" t="s">
        <v>280</v>
      </c>
      <c r="B552" s="49">
        <v>45597</v>
      </c>
      <c r="C552">
        <v>16</v>
      </c>
      <c r="D552" s="33">
        <v>48100</v>
      </c>
      <c r="E552" t="str">
        <f>_xlfn.XLOOKUP(Quota_tbl[[#This Row],[Rep_ID]],Dim_Reps!A:A,Dim_Reps!K:K)</f>
        <v>MXN</v>
      </c>
      <c r="F552" s="33">
        <f>(_xlfn.XLOOKUP(Quota_tbl[[#This Row],[Rate_Code_Generalized]],Lookups!A:A,Lookups!B:B)*Quota_tbl[[#This Row],[Quota_Amount_USD]])</f>
        <v>949142.87000000011</v>
      </c>
      <c r="G552" t="str">
        <f>_xlfn.XLOOKUP(Quota_tbl[[#This Row],[Rep_ID]],Dim_Reps!A:A,Dim_Reps!C:C)</f>
        <v>Senior Enterprise AE</v>
      </c>
      <c r="H552" t="str">
        <f>_xlfn.XLOOKUP(Quota_tbl[[#This Row],[Rep_ID]],Dim_Reps!A:A,Dim_Reps!D:D)</f>
        <v>Strategic</v>
      </c>
      <c r="I552" t="str">
        <f>_xlfn.XLOOKUP(Quota_tbl[[#This Row],[Rep_ID]],Dim_Reps!A:A,Dim_Reps!E:E)</f>
        <v>LATAM</v>
      </c>
      <c r="J552" t="str">
        <f>_xlfn.XLOOKUP(Quota_tbl[[#This Row],[Period_Start_Date]],Dim_Date!A:A,Dim_Date!H:H)</f>
        <v>Nov 2024</v>
      </c>
    </row>
    <row r="553" spans="1:10" ht="15" customHeight="1" x14ac:dyDescent="0.2">
      <c r="A553" t="s">
        <v>280</v>
      </c>
      <c r="B553" s="49">
        <v>45627</v>
      </c>
      <c r="C553">
        <v>17</v>
      </c>
      <c r="D553" s="33">
        <v>47300</v>
      </c>
      <c r="E553" t="str">
        <f>_xlfn.XLOOKUP(Quota_tbl[[#This Row],[Rep_ID]],Dim_Reps!A:A,Dim_Reps!K:K)</f>
        <v>MXN</v>
      </c>
      <c r="F553" s="33">
        <f>(_xlfn.XLOOKUP(Quota_tbl[[#This Row],[Rate_Code_Generalized]],Lookups!A:A,Lookups!B:B)*Quota_tbl[[#This Row],[Quota_Amount_USD]])</f>
        <v>933356.71000000008</v>
      </c>
      <c r="G553" t="str">
        <f>_xlfn.XLOOKUP(Quota_tbl[[#This Row],[Rep_ID]],Dim_Reps!A:A,Dim_Reps!C:C)</f>
        <v>Senior Enterprise AE</v>
      </c>
      <c r="H553" t="str">
        <f>_xlfn.XLOOKUP(Quota_tbl[[#This Row],[Rep_ID]],Dim_Reps!A:A,Dim_Reps!D:D)</f>
        <v>Strategic</v>
      </c>
      <c r="I553" t="str">
        <f>_xlfn.XLOOKUP(Quota_tbl[[#This Row],[Rep_ID]],Dim_Reps!A:A,Dim_Reps!E:E)</f>
        <v>LATAM</v>
      </c>
      <c r="J553" t="str">
        <f>_xlfn.XLOOKUP(Quota_tbl[[#This Row],[Period_Start_Date]],Dim_Date!A:A,Dim_Date!H:H)</f>
        <v>Dec 2024</v>
      </c>
    </row>
    <row r="554" spans="1:10" ht="15" customHeight="1" x14ac:dyDescent="0.2">
      <c r="A554" t="s">
        <v>280</v>
      </c>
      <c r="B554" s="49">
        <v>45658</v>
      </c>
      <c r="C554">
        <v>18</v>
      </c>
      <c r="D554" s="33">
        <v>48700</v>
      </c>
      <c r="E554" t="str">
        <f>_xlfn.XLOOKUP(Quota_tbl[[#This Row],[Rep_ID]],Dim_Reps!A:A,Dim_Reps!K:K)</f>
        <v>MXN</v>
      </c>
      <c r="F554" s="33">
        <f>(_xlfn.XLOOKUP(Quota_tbl[[#This Row],[Rate_Code_Generalized]],Lookups!A:A,Lookups!B:B)*Quota_tbl[[#This Row],[Quota_Amount_USD]])</f>
        <v>960982.49000000011</v>
      </c>
      <c r="G554" t="str">
        <f>_xlfn.XLOOKUP(Quota_tbl[[#This Row],[Rep_ID]],Dim_Reps!A:A,Dim_Reps!C:C)</f>
        <v>Senior Enterprise AE</v>
      </c>
      <c r="H554" t="str">
        <f>_xlfn.XLOOKUP(Quota_tbl[[#This Row],[Rep_ID]],Dim_Reps!A:A,Dim_Reps!D:D)</f>
        <v>Strategic</v>
      </c>
      <c r="I554" t="str">
        <f>_xlfn.XLOOKUP(Quota_tbl[[#This Row],[Rep_ID]],Dim_Reps!A:A,Dim_Reps!E:E)</f>
        <v>LATAM</v>
      </c>
      <c r="J554" t="str">
        <f>_xlfn.XLOOKUP(Quota_tbl[[#This Row],[Period_Start_Date]],Dim_Date!A:A,Dim_Date!H:H)</f>
        <v>Jan 2025</v>
      </c>
    </row>
    <row r="555" spans="1:10" ht="15" customHeight="1" x14ac:dyDescent="0.2">
      <c r="A555" t="s">
        <v>280</v>
      </c>
      <c r="B555" s="49">
        <v>45689</v>
      </c>
      <c r="C555">
        <v>19</v>
      </c>
      <c r="D555" s="33">
        <v>48500</v>
      </c>
      <c r="E555" t="str">
        <f>_xlfn.XLOOKUP(Quota_tbl[[#This Row],[Rep_ID]],Dim_Reps!A:A,Dim_Reps!K:K)</f>
        <v>MXN</v>
      </c>
      <c r="F555" s="33">
        <f>(_xlfn.XLOOKUP(Quota_tbl[[#This Row],[Rate_Code_Generalized]],Lookups!A:A,Lookups!B:B)*Quota_tbl[[#This Row],[Quota_Amount_USD]])</f>
        <v>957035.95000000007</v>
      </c>
      <c r="G555" t="str">
        <f>_xlfn.XLOOKUP(Quota_tbl[[#This Row],[Rep_ID]],Dim_Reps!A:A,Dim_Reps!C:C)</f>
        <v>Senior Enterprise AE</v>
      </c>
      <c r="H555" t="str">
        <f>_xlfn.XLOOKUP(Quota_tbl[[#This Row],[Rep_ID]],Dim_Reps!A:A,Dim_Reps!D:D)</f>
        <v>Strategic</v>
      </c>
      <c r="I555" t="str">
        <f>_xlfn.XLOOKUP(Quota_tbl[[#This Row],[Rep_ID]],Dim_Reps!A:A,Dim_Reps!E:E)</f>
        <v>LATAM</v>
      </c>
      <c r="J555" t="str">
        <f>_xlfn.XLOOKUP(Quota_tbl[[#This Row],[Period_Start_Date]],Dim_Date!A:A,Dim_Date!H:H)</f>
        <v>Feb 2025</v>
      </c>
    </row>
    <row r="556" spans="1:10" ht="15" customHeight="1" x14ac:dyDescent="0.2">
      <c r="A556" t="s">
        <v>280</v>
      </c>
      <c r="B556" s="49">
        <v>45717</v>
      </c>
      <c r="C556">
        <v>20</v>
      </c>
      <c r="D556" s="33">
        <v>49500</v>
      </c>
      <c r="E556" t="str">
        <f>_xlfn.XLOOKUP(Quota_tbl[[#This Row],[Rep_ID]],Dim_Reps!A:A,Dim_Reps!K:K)</f>
        <v>MXN</v>
      </c>
      <c r="F556" s="33">
        <f>(_xlfn.XLOOKUP(Quota_tbl[[#This Row],[Rate_Code_Generalized]],Lookups!A:A,Lookups!B:B)*Quota_tbl[[#This Row],[Quota_Amount_USD]])</f>
        <v>976768.65</v>
      </c>
      <c r="G556" t="str">
        <f>_xlfn.XLOOKUP(Quota_tbl[[#This Row],[Rep_ID]],Dim_Reps!A:A,Dim_Reps!C:C)</f>
        <v>Senior Enterprise AE</v>
      </c>
      <c r="H556" t="str">
        <f>_xlfn.XLOOKUP(Quota_tbl[[#This Row],[Rep_ID]],Dim_Reps!A:A,Dim_Reps!D:D)</f>
        <v>Strategic</v>
      </c>
      <c r="I556" t="str">
        <f>_xlfn.XLOOKUP(Quota_tbl[[#This Row],[Rep_ID]],Dim_Reps!A:A,Dim_Reps!E:E)</f>
        <v>LATAM</v>
      </c>
      <c r="J556" t="str">
        <f>_xlfn.XLOOKUP(Quota_tbl[[#This Row],[Period_Start_Date]],Dim_Date!A:A,Dim_Date!H:H)</f>
        <v>Mar 2025</v>
      </c>
    </row>
    <row r="557" spans="1:10" ht="15" customHeight="1" x14ac:dyDescent="0.2">
      <c r="A557" t="s">
        <v>280</v>
      </c>
      <c r="B557" s="49">
        <v>45748</v>
      </c>
      <c r="C557">
        <v>21</v>
      </c>
      <c r="D557" s="33">
        <v>47300</v>
      </c>
      <c r="E557" t="str">
        <f>_xlfn.XLOOKUP(Quota_tbl[[#This Row],[Rep_ID]],Dim_Reps!A:A,Dim_Reps!K:K)</f>
        <v>MXN</v>
      </c>
      <c r="F557" s="33">
        <f>(_xlfn.XLOOKUP(Quota_tbl[[#This Row],[Rate_Code_Generalized]],Lookups!A:A,Lookups!B:B)*Quota_tbl[[#This Row],[Quota_Amount_USD]])</f>
        <v>933356.71000000008</v>
      </c>
      <c r="G557" t="str">
        <f>_xlfn.XLOOKUP(Quota_tbl[[#This Row],[Rep_ID]],Dim_Reps!A:A,Dim_Reps!C:C)</f>
        <v>Senior Enterprise AE</v>
      </c>
      <c r="H557" t="str">
        <f>_xlfn.XLOOKUP(Quota_tbl[[#This Row],[Rep_ID]],Dim_Reps!A:A,Dim_Reps!D:D)</f>
        <v>Strategic</v>
      </c>
      <c r="I557" t="str">
        <f>_xlfn.XLOOKUP(Quota_tbl[[#This Row],[Rep_ID]],Dim_Reps!A:A,Dim_Reps!E:E)</f>
        <v>LATAM</v>
      </c>
      <c r="J557" t="str">
        <f>_xlfn.XLOOKUP(Quota_tbl[[#This Row],[Period_Start_Date]],Dim_Date!A:A,Dim_Date!H:H)</f>
        <v>Apr 2025</v>
      </c>
    </row>
    <row r="558" spans="1:10" ht="15" customHeight="1" x14ac:dyDescent="0.2">
      <c r="A558" t="s">
        <v>280</v>
      </c>
      <c r="B558" s="49">
        <v>45778</v>
      </c>
      <c r="C558">
        <v>22</v>
      </c>
      <c r="D558" s="33">
        <v>47600</v>
      </c>
      <c r="E558" t="str">
        <f>_xlfn.XLOOKUP(Quota_tbl[[#This Row],[Rep_ID]],Dim_Reps!A:A,Dim_Reps!K:K)</f>
        <v>MXN</v>
      </c>
      <c r="F558" s="33">
        <f>(_xlfn.XLOOKUP(Quota_tbl[[#This Row],[Rate_Code_Generalized]],Lookups!A:A,Lookups!B:B)*Quota_tbl[[#This Row],[Quota_Amount_USD]])</f>
        <v>939276.52</v>
      </c>
      <c r="G558" t="str">
        <f>_xlfn.XLOOKUP(Quota_tbl[[#This Row],[Rep_ID]],Dim_Reps!A:A,Dim_Reps!C:C)</f>
        <v>Senior Enterprise AE</v>
      </c>
      <c r="H558" t="str">
        <f>_xlfn.XLOOKUP(Quota_tbl[[#This Row],[Rep_ID]],Dim_Reps!A:A,Dim_Reps!D:D)</f>
        <v>Strategic</v>
      </c>
      <c r="I558" t="str">
        <f>_xlfn.XLOOKUP(Quota_tbl[[#This Row],[Rep_ID]],Dim_Reps!A:A,Dim_Reps!E:E)</f>
        <v>LATAM</v>
      </c>
      <c r="J558" t="str">
        <f>_xlfn.XLOOKUP(Quota_tbl[[#This Row],[Period_Start_Date]],Dim_Date!A:A,Dim_Date!H:H)</f>
        <v>May 2025</v>
      </c>
    </row>
    <row r="559" spans="1:10" ht="15" customHeight="1" x14ac:dyDescent="0.2">
      <c r="A559" t="s">
        <v>280</v>
      </c>
      <c r="B559" s="49">
        <v>45809</v>
      </c>
      <c r="C559">
        <v>23</v>
      </c>
      <c r="D559" s="33">
        <v>46600</v>
      </c>
      <c r="E559" t="str">
        <f>_xlfn.XLOOKUP(Quota_tbl[[#This Row],[Rep_ID]],Dim_Reps!A:A,Dim_Reps!K:K)</f>
        <v>MXN</v>
      </c>
      <c r="F559" s="33">
        <f>(_xlfn.XLOOKUP(Quota_tbl[[#This Row],[Rate_Code_Generalized]],Lookups!A:A,Lookups!B:B)*Quota_tbl[[#This Row],[Quota_Amount_USD]])</f>
        <v>919543.82000000007</v>
      </c>
      <c r="G559" t="str">
        <f>_xlfn.XLOOKUP(Quota_tbl[[#This Row],[Rep_ID]],Dim_Reps!A:A,Dim_Reps!C:C)</f>
        <v>Senior Enterprise AE</v>
      </c>
      <c r="H559" t="str">
        <f>_xlfn.XLOOKUP(Quota_tbl[[#This Row],[Rep_ID]],Dim_Reps!A:A,Dim_Reps!D:D)</f>
        <v>Strategic</v>
      </c>
      <c r="I559" t="str">
        <f>_xlfn.XLOOKUP(Quota_tbl[[#This Row],[Rep_ID]],Dim_Reps!A:A,Dim_Reps!E:E)</f>
        <v>LATAM</v>
      </c>
      <c r="J559" t="str">
        <f>_xlfn.XLOOKUP(Quota_tbl[[#This Row],[Period_Start_Date]],Dim_Date!A:A,Dim_Date!H:H)</f>
        <v>Jun 2025</v>
      </c>
    </row>
    <row r="560" spans="1:10" ht="15" customHeight="1" x14ac:dyDescent="0.2">
      <c r="A560" t="s">
        <v>280</v>
      </c>
      <c r="B560" s="49">
        <v>45839</v>
      </c>
      <c r="C560">
        <v>24</v>
      </c>
      <c r="D560" s="33">
        <v>47400</v>
      </c>
      <c r="E560" t="str">
        <f>_xlfn.XLOOKUP(Quota_tbl[[#This Row],[Rep_ID]],Dim_Reps!A:A,Dim_Reps!K:K)</f>
        <v>MXN</v>
      </c>
      <c r="F560" s="33">
        <f>(_xlfn.XLOOKUP(Quota_tbl[[#This Row],[Rate_Code_Generalized]],Lookups!A:A,Lookups!B:B)*Quota_tbl[[#This Row],[Quota_Amount_USD]])</f>
        <v>935329.9800000001</v>
      </c>
      <c r="G560" t="str">
        <f>_xlfn.XLOOKUP(Quota_tbl[[#This Row],[Rep_ID]],Dim_Reps!A:A,Dim_Reps!C:C)</f>
        <v>Senior Enterprise AE</v>
      </c>
      <c r="H560" t="str">
        <f>_xlfn.XLOOKUP(Quota_tbl[[#This Row],[Rep_ID]],Dim_Reps!A:A,Dim_Reps!D:D)</f>
        <v>Strategic</v>
      </c>
      <c r="I560" t="str">
        <f>_xlfn.XLOOKUP(Quota_tbl[[#This Row],[Rep_ID]],Dim_Reps!A:A,Dim_Reps!E:E)</f>
        <v>LATAM</v>
      </c>
      <c r="J560" t="str">
        <f>_xlfn.XLOOKUP(Quota_tbl[[#This Row],[Period_Start_Date]],Dim_Date!A:A,Dim_Date!H:H)</f>
        <v>Jul 2025</v>
      </c>
    </row>
    <row r="561" spans="1:10" ht="15" customHeight="1" x14ac:dyDescent="0.2">
      <c r="A561" t="s">
        <v>280</v>
      </c>
      <c r="B561" s="49">
        <v>45870</v>
      </c>
      <c r="C561">
        <v>25</v>
      </c>
      <c r="D561" s="33">
        <v>48500</v>
      </c>
      <c r="E561" t="str">
        <f>_xlfn.XLOOKUP(Quota_tbl[[#This Row],[Rep_ID]],Dim_Reps!A:A,Dim_Reps!K:K)</f>
        <v>MXN</v>
      </c>
      <c r="F561" s="33">
        <f>(_xlfn.XLOOKUP(Quota_tbl[[#This Row],[Rate_Code_Generalized]],Lookups!A:A,Lookups!B:B)*Quota_tbl[[#This Row],[Quota_Amount_USD]])</f>
        <v>957035.95000000007</v>
      </c>
      <c r="G561" t="str">
        <f>_xlfn.XLOOKUP(Quota_tbl[[#This Row],[Rep_ID]],Dim_Reps!A:A,Dim_Reps!C:C)</f>
        <v>Senior Enterprise AE</v>
      </c>
      <c r="H561" t="str">
        <f>_xlfn.XLOOKUP(Quota_tbl[[#This Row],[Rep_ID]],Dim_Reps!A:A,Dim_Reps!D:D)</f>
        <v>Strategic</v>
      </c>
      <c r="I561" t="str">
        <f>_xlfn.XLOOKUP(Quota_tbl[[#This Row],[Rep_ID]],Dim_Reps!A:A,Dim_Reps!E:E)</f>
        <v>LATAM</v>
      </c>
      <c r="J561" t="str">
        <f>_xlfn.XLOOKUP(Quota_tbl[[#This Row],[Period_Start_Date]],Dim_Date!A:A,Dim_Date!H:H)</f>
        <v>Aug 2025</v>
      </c>
    </row>
    <row r="562" spans="1:10" ht="15" customHeight="1" x14ac:dyDescent="0.2">
      <c r="A562" t="s">
        <v>280</v>
      </c>
      <c r="B562" s="49">
        <v>45901</v>
      </c>
      <c r="C562">
        <v>26</v>
      </c>
      <c r="D562" s="33">
        <v>49100</v>
      </c>
      <c r="E562" t="str">
        <f>_xlfn.XLOOKUP(Quota_tbl[[#This Row],[Rep_ID]],Dim_Reps!A:A,Dim_Reps!K:K)</f>
        <v>MXN</v>
      </c>
      <c r="F562" s="33">
        <f>(_xlfn.XLOOKUP(Quota_tbl[[#This Row],[Rate_Code_Generalized]],Lookups!A:A,Lookups!B:B)*Quota_tbl[[#This Row],[Quota_Amount_USD]])</f>
        <v>968875.57000000007</v>
      </c>
      <c r="G562" t="str">
        <f>_xlfn.XLOOKUP(Quota_tbl[[#This Row],[Rep_ID]],Dim_Reps!A:A,Dim_Reps!C:C)</f>
        <v>Senior Enterprise AE</v>
      </c>
      <c r="H562" t="str">
        <f>_xlfn.XLOOKUP(Quota_tbl[[#This Row],[Rep_ID]],Dim_Reps!A:A,Dim_Reps!D:D)</f>
        <v>Strategic</v>
      </c>
      <c r="I562" t="str">
        <f>_xlfn.XLOOKUP(Quota_tbl[[#This Row],[Rep_ID]],Dim_Reps!A:A,Dim_Reps!E:E)</f>
        <v>LATAM</v>
      </c>
      <c r="J562" t="str">
        <f>_xlfn.XLOOKUP(Quota_tbl[[#This Row],[Period_Start_Date]],Dim_Date!A:A,Dim_Date!H:H)</f>
        <v>Sep 2025</v>
      </c>
    </row>
    <row r="563" spans="1:10" ht="15" customHeight="1" x14ac:dyDescent="0.2">
      <c r="A563" t="s">
        <v>280</v>
      </c>
      <c r="B563" s="49">
        <v>45931</v>
      </c>
      <c r="C563">
        <v>27</v>
      </c>
      <c r="D563" s="33">
        <v>46700</v>
      </c>
      <c r="E563" t="str">
        <f>_xlfn.XLOOKUP(Quota_tbl[[#This Row],[Rep_ID]],Dim_Reps!A:A,Dim_Reps!K:K)</f>
        <v>MXN</v>
      </c>
      <c r="F563" s="33">
        <f>(_xlfn.XLOOKUP(Quota_tbl[[#This Row],[Rate_Code_Generalized]],Lookups!A:A,Lookups!B:B)*Quota_tbl[[#This Row],[Quota_Amount_USD]])</f>
        <v>921517.09000000008</v>
      </c>
      <c r="G563" t="str">
        <f>_xlfn.XLOOKUP(Quota_tbl[[#This Row],[Rep_ID]],Dim_Reps!A:A,Dim_Reps!C:C)</f>
        <v>Senior Enterprise AE</v>
      </c>
      <c r="H563" t="str">
        <f>_xlfn.XLOOKUP(Quota_tbl[[#This Row],[Rep_ID]],Dim_Reps!A:A,Dim_Reps!D:D)</f>
        <v>Strategic</v>
      </c>
      <c r="I563" t="str">
        <f>_xlfn.XLOOKUP(Quota_tbl[[#This Row],[Rep_ID]],Dim_Reps!A:A,Dim_Reps!E:E)</f>
        <v>LATAM</v>
      </c>
      <c r="J563" t="str">
        <f>_xlfn.XLOOKUP(Quota_tbl[[#This Row],[Period_Start_Date]],Dim_Date!A:A,Dim_Date!H:H)</f>
        <v>Oct 2025</v>
      </c>
    </row>
    <row r="564" spans="1:10" ht="15" customHeight="1" x14ac:dyDescent="0.2">
      <c r="A564" t="s">
        <v>280</v>
      </c>
      <c r="B564" s="49">
        <v>45962</v>
      </c>
      <c r="C564">
        <v>28</v>
      </c>
      <c r="D564" s="33">
        <v>49300</v>
      </c>
      <c r="E564" t="str">
        <f>_xlfn.XLOOKUP(Quota_tbl[[#This Row],[Rep_ID]],Dim_Reps!A:A,Dim_Reps!K:K)</f>
        <v>MXN</v>
      </c>
      <c r="F564" s="33">
        <f>(_xlfn.XLOOKUP(Quota_tbl[[#This Row],[Rate_Code_Generalized]],Lookups!A:A,Lookups!B:B)*Quota_tbl[[#This Row],[Quota_Amount_USD]])</f>
        <v>972822.1100000001</v>
      </c>
      <c r="G564" t="str">
        <f>_xlfn.XLOOKUP(Quota_tbl[[#This Row],[Rep_ID]],Dim_Reps!A:A,Dim_Reps!C:C)</f>
        <v>Senior Enterprise AE</v>
      </c>
      <c r="H564" t="str">
        <f>_xlfn.XLOOKUP(Quota_tbl[[#This Row],[Rep_ID]],Dim_Reps!A:A,Dim_Reps!D:D)</f>
        <v>Strategic</v>
      </c>
      <c r="I564" t="str">
        <f>_xlfn.XLOOKUP(Quota_tbl[[#This Row],[Rep_ID]],Dim_Reps!A:A,Dim_Reps!E:E)</f>
        <v>LATAM</v>
      </c>
      <c r="J564" t="str">
        <f>_xlfn.XLOOKUP(Quota_tbl[[#This Row],[Period_Start_Date]],Dim_Date!A:A,Dim_Date!H:H)</f>
        <v>Nov 2025</v>
      </c>
    </row>
    <row r="565" spans="1:10" ht="15" customHeight="1" x14ac:dyDescent="0.2">
      <c r="A565" t="s">
        <v>280</v>
      </c>
      <c r="B565" s="49">
        <v>45992</v>
      </c>
      <c r="C565">
        <v>29</v>
      </c>
      <c r="D565" s="33">
        <v>50000</v>
      </c>
      <c r="E565" t="str">
        <f>_xlfn.XLOOKUP(Quota_tbl[[#This Row],[Rep_ID]],Dim_Reps!A:A,Dim_Reps!K:K)</f>
        <v>MXN</v>
      </c>
      <c r="F565" s="33">
        <f>(_xlfn.XLOOKUP(Quota_tbl[[#This Row],[Rate_Code_Generalized]],Lookups!A:A,Lookups!B:B)*Quota_tbl[[#This Row],[Quota_Amount_USD]])</f>
        <v>986635.00000000012</v>
      </c>
      <c r="G565" t="str">
        <f>_xlfn.XLOOKUP(Quota_tbl[[#This Row],[Rep_ID]],Dim_Reps!A:A,Dim_Reps!C:C)</f>
        <v>Senior Enterprise AE</v>
      </c>
      <c r="H565" t="str">
        <f>_xlfn.XLOOKUP(Quota_tbl[[#This Row],[Rep_ID]],Dim_Reps!A:A,Dim_Reps!D:D)</f>
        <v>Strategic</v>
      </c>
      <c r="I565" t="str">
        <f>_xlfn.XLOOKUP(Quota_tbl[[#This Row],[Rep_ID]],Dim_Reps!A:A,Dim_Reps!E:E)</f>
        <v>LATAM</v>
      </c>
      <c r="J565" t="str">
        <f>_xlfn.XLOOKUP(Quota_tbl[[#This Row],[Period_Start_Date]],Dim_Date!A:A,Dim_Date!H:H)</f>
        <v>Dec 2025</v>
      </c>
    </row>
    <row r="566" spans="1:10" ht="15" customHeight="1" x14ac:dyDescent="0.2">
      <c r="A566" t="s">
        <v>282</v>
      </c>
      <c r="B566" s="49">
        <v>45474</v>
      </c>
      <c r="C566">
        <v>0</v>
      </c>
      <c r="D566" s="33">
        <v>12100</v>
      </c>
      <c r="E566" t="str">
        <f>_xlfn.XLOOKUP(Quota_tbl[[#This Row],[Rep_ID]],Dim_Reps!A:A,Dim_Reps!K:K)</f>
        <v>USD</v>
      </c>
      <c r="F566" s="33">
        <f>(_xlfn.XLOOKUP(Quota_tbl[[#This Row],[Rate_Code_Generalized]],Lookups!A:A,Lookups!B:B)*Quota_tbl[[#This Row],[Quota_Amount_USD]])</f>
        <v>14088.029999999999</v>
      </c>
      <c r="G566" t="str">
        <f>_xlfn.XLOOKUP(Quota_tbl[[#This Row],[Rep_ID]],Dim_Reps!A:A,Dim_Reps!C:C)</f>
        <v>Senior Enterprise AE</v>
      </c>
      <c r="H566" t="str">
        <f>_xlfn.XLOOKUP(Quota_tbl[[#This Row],[Rep_ID]],Dim_Reps!A:A,Dim_Reps!D:D)</f>
        <v>Strategic</v>
      </c>
      <c r="I566" t="str">
        <f>_xlfn.XLOOKUP(Quota_tbl[[#This Row],[Rep_ID]],Dim_Reps!A:A,Dim_Reps!E:E)</f>
        <v>NAMER</v>
      </c>
      <c r="J566" t="str">
        <f>_xlfn.XLOOKUP(Quota_tbl[[#This Row],[Period_Start_Date]],Dim_Date!A:A,Dim_Date!H:H)</f>
        <v>Jul 2024</v>
      </c>
    </row>
    <row r="567" spans="1:10" ht="15" customHeight="1" x14ac:dyDescent="0.2">
      <c r="A567" t="s">
        <v>282</v>
      </c>
      <c r="B567" s="49">
        <v>45505</v>
      </c>
      <c r="C567">
        <v>1</v>
      </c>
      <c r="D567" s="33">
        <v>25400</v>
      </c>
      <c r="E567" t="str">
        <f>_xlfn.XLOOKUP(Quota_tbl[[#This Row],[Rep_ID]],Dim_Reps!A:A,Dim_Reps!K:K)</f>
        <v>USD</v>
      </c>
      <c r="F567" s="33">
        <f>(_xlfn.XLOOKUP(Quota_tbl[[#This Row],[Rate_Code_Generalized]],Lookups!A:A,Lookups!B:B)*Quota_tbl[[#This Row],[Quota_Amount_USD]])</f>
        <v>29573.219999999998</v>
      </c>
      <c r="G567" t="str">
        <f>_xlfn.XLOOKUP(Quota_tbl[[#This Row],[Rep_ID]],Dim_Reps!A:A,Dim_Reps!C:C)</f>
        <v>Senior Enterprise AE</v>
      </c>
      <c r="H567" t="str">
        <f>_xlfn.XLOOKUP(Quota_tbl[[#This Row],[Rep_ID]],Dim_Reps!A:A,Dim_Reps!D:D)</f>
        <v>Strategic</v>
      </c>
      <c r="I567" t="str">
        <f>_xlfn.XLOOKUP(Quota_tbl[[#This Row],[Rep_ID]],Dim_Reps!A:A,Dim_Reps!E:E)</f>
        <v>NAMER</v>
      </c>
      <c r="J567" t="str">
        <f>_xlfn.XLOOKUP(Quota_tbl[[#This Row],[Period_Start_Date]],Dim_Date!A:A,Dim_Date!H:H)</f>
        <v>Aug 2024</v>
      </c>
    </row>
    <row r="568" spans="1:10" ht="15" customHeight="1" x14ac:dyDescent="0.2">
      <c r="A568" t="s">
        <v>282</v>
      </c>
      <c r="B568" s="49">
        <v>45536</v>
      </c>
      <c r="C568">
        <v>2</v>
      </c>
      <c r="D568" s="33">
        <v>35200</v>
      </c>
      <c r="E568" t="str">
        <f>_xlfn.XLOOKUP(Quota_tbl[[#This Row],[Rep_ID]],Dim_Reps!A:A,Dim_Reps!K:K)</f>
        <v>USD</v>
      </c>
      <c r="F568" s="33">
        <f>(_xlfn.XLOOKUP(Quota_tbl[[#This Row],[Rate_Code_Generalized]],Lookups!A:A,Lookups!B:B)*Quota_tbl[[#This Row],[Quota_Amount_USD]])</f>
        <v>40983.359999999993</v>
      </c>
      <c r="G568" t="str">
        <f>_xlfn.XLOOKUP(Quota_tbl[[#This Row],[Rep_ID]],Dim_Reps!A:A,Dim_Reps!C:C)</f>
        <v>Senior Enterprise AE</v>
      </c>
      <c r="H568" t="str">
        <f>_xlfn.XLOOKUP(Quota_tbl[[#This Row],[Rep_ID]],Dim_Reps!A:A,Dim_Reps!D:D)</f>
        <v>Strategic</v>
      </c>
      <c r="I568" t="str">
        <f>_xlfn.XLOOKUP(Quota_tbl[[#This Row],[Rep_ID]],Dim_Reps!A:A,Dim_Reps!E:E)</f>
        <v>NAMER</v>
      </c>
      <c r="J568" t="str">
        <f>_xlfn.XLOOKUP(Quota_tbl[[#This Row],[Period_Start_Date]],Dim_Date!A:A,Dim_Date!H:H)</f>
        <v>Sep 2024</v>
      </c>
    </row>
    <row r="569" spans="1:10" ht="15" customHeight="1" x14ac:dyDescent="0.2">
      <c r="A569" t="s">
        <v>282</v>
      </c>
      <c r="B569" s="49">
        <v>45566</v>
      </c>
      <c r="C569">
        <v>3</v>
      </c>
      <c r="D569" s="33">
        <v>46200</v>
      </c>
      <c r="E569" t="str">
        <f>_xlfn.XLOOKUP(Quota_tbl[[#This Row],[Rep_ID]],Dim_Reps!A:A,Dim_Reps!K:K)</f>
        <v>USD</v>
      </c>
      <c r="F569" s="33">
        <f>(_xlfn.XLOOKUP(Quota_tbl[[#This Row],[Rate_Code_Generalized]],Lookups!A:A,Lookups!B:B)*Quota_tbl[[#This Row],[Quota_Amount_USD]])</f>
        <v>53790.659999999996</v>
      </c>
      <c r="G569" t="str">
        <f>_xlfn.XLOOKUP(Quota_tbl[[#This Row],[Rep_ID]],Dim_Reps!A:A,Dim_Reps!C:C)</f>
        <v>Senior Enterprise AE</v>
      </c>
      <c r="H569" t="str">
        <f>_xlfn.XLOOKUP(Quota_tbl[[#This Row],[Rep_ID]],Dim_Reps!A:A,Dim_Reps!D:D)</f>
        <v>Strategic</v>
      </c>
      <c r="I569" t="str">
        <f>_xlfn.XLOOKUP(Quota_tbl[[#This Row],[Rep_ID]],Dim_Reps!A:A,Dim_Reps!E:E)</f>
        <v>NAMER</v>
      </c>
      <c r="J569" t="str">
        <f>_xlfn.XLOOKUP(Quota_tbl[[#This Row],[Period_Start_Date]],Dim_Date!A:A,Dim_Date!H:H)</f>
        <v>Oct 2024</v>
      </c>
    </row>
    <row r="570" spans="1:10" ht="15" customHeight="1" x14ac:dyDescent="0.2">
      <c r="A570" t="s">
        <v>282</v>
      </c>
      <c r="B570" s="49">
        <v>45597</v>
      </c>
      <c r="C570">
        <v>4</v>
      </c>
      <c r="D570" s="33">
        <v>45400</v>
      </c>
      <c r="E570" t="str">
        <f>_xlfn.XLOOKUP(Quota_tbl[[#This Row],[Rep_ID]],Dim_Reps!A:A,Dim_Reps!K:K)</f>
        <v>USD</v>
      </c>
      <c r="F570" s="33">
        <f>(_xlfn.XLOOKUP(Quota_tbl[[#This Row],[Rate_Code_Generalized]],Lookups!A:A,Lookups!B:B)*Quota_tbl[[#This Row],[Quota_Amount_USD]])</f>
        <v>52859.219999999994</v>
      </c>
      <c r="G570" t="str">
        <f>_xlfn.XLOOKUP(Quota_tbl[[#This Row],[Rep_ID]],Dim_Reps!A:A,Dim_Reps!C:C)</f>
        <v>Senior Enterprise AE</v>
      </c>
      <c r="H570" t="str">
        <f>_xlfn.XLOOKUP(Quota_tbl[[#This Row],[Rep_ID]],Dim_Reps!A:A,Dim_Reps!D:D)</f>
        <v>Strategic</v>
      </c>
      <c r="I570" t="str">
        <f>_xlfn.XLOOKUP(Quota_tbl[[#This Row],[Rep_ID]],Dim_Reps!A:A,Dim_Reps!E:E)</f>
        <v>NAMER</v>
      </c>
      <c r="J570" t="str">
        <f>_xlfn.XLOOKUP(Quota_tbl[[#This Row],[Period_Start_Date]],Dim_Date!A:A,Dim_Date!H:H)</f>
        <v>Nov 2024</v>
      </c>
    </row>
    <row r="571" spans="1:10" ht="15" customHeight="1" x14ac:dyDescent="0.2">
      <c r="A571" t="s">
        <v>282</v>
      </c>
      <c r="B571" s="49">
        <v>45627</v>
      </c>
      <c r="C571">
        <v>5</v>
      </c>
      <c r="D571" s="33">
        <v>50200</v>
      </c>
      <c r="E571" t="str">
        <f>_xlfn.XLOOKUP(Quota_tbl[[#This Row],[Rep_ID]],Dim_Reps!A:A,Dim_Reps!K:K)</f>
        <v>USD</v>
      </c>
      <c r="F571" s="33">
        <f>(_xlfn.XLOOKUP(Quota_tbl[[#This Row],[Rate_Code_Generalized]],Lookups!A:A,Lookups!B:B)*Quota_tbl[[#This Row],[Quota_Amount_USD]])</f>
        <v>58447.859999999993</v>
      </c>
      <c r="G571" t="str">
        <f>_xlfn.XLOOKUP(Quota_tbl[[#This Row],[Rep_ID]],Dim_Reps!A:A,Dim_Reps!C:C)</f>
        <v>Senior Enterprise AE</v>
      </c>
      <c r="H571" t="str">
        <f>_xlfn.XLOOKUP(Quota_tbl[[#This Row],[Rep_ID]],Dim_Reps!A:A,Dim_Reps!D:D)</f>
        <v>Strategic</v>
      </c>
      <c r="I571" t="str">
        <f>_xlfn.XLOOKUP(Quota_tbl[[#This Row],[Rep_ID]],Dim_Reps!A:A,Dim_Reps!E:E)</f>
        <v>NAMER</v>
      </c>
      <c r="J571" t="str">
        <f>_xlfn.XLOOKUP(Quota_tbl[[#This Row],[Period_Start_Date]],Dim_Date!A:A,Dim_Date!H:H)</f>
        <v>Dec 2024</v>
      </c>
    </row>
    <row r="572" spans="1:10" ht="15" customHeight="1" x14ac:dyDescent="0.2">
      <c r="A572" t="s">
        <v>282</v>
      </c>
      <c r="B572" s="49">
        <v>45658</v>
      </c>
      <c r="C572">
        <v>6</v>
      </c>
      <c r="D572" s="33">
        <v>48900</v>
      </c>
      <c r="E572" t="str">
        <f>_xlfn.XLOOKUP(Quota_tbl[[#This Row],[Rep_ID]],Dim_Reps!A:A,Dim_Reps!K:K)</f>
        <v>USD</v>
      </c>
      <c r="F572" s="33">
        <f>(_xlfn.XLOOKUP(Quota_tbl[[#This Row],[Rate_Code_Generalized]],Lookups!A:A,Lookups!B:B)*Quota_tbl[[#This Row],[Quota_Amount_USD]])</f>
        <v>56934.27</v>
      </c>
      <c r="G572" t="str">
        <f>_xlfn.XLOOKUP(Quota_tbl[[#This Row],[Rep_ID]],Dim_Reps!A:A,Dim_Reps!C:C)</f>
        <v>Senior Enterprise AE</v>
      </c>
      <c r="H572" t="str">
        <f>_xlfn.XLOOKUP(Quota_tbl[[#This Row],[Rep_ID]],Dim_Reps!A:A,Dim_Reps!D:D)</f>
        <v>Strategic</v>
      </c>
      <c r="I572" t="str">
        <f>_xlfn.XLOOKUP(Quota_tbl[[#This Row],[Rep_ID]],Dim_Reps!A:A,Dim_Reps!E:E)</f>
        <v>NAMER</v>
      </c>
      <c r="J572" t="str">
        <f>_xlfn.XLOOKUP(Quota_tbl[[#This Row],[Period_Start_Date]],Dim_Date!A:A,Dim_Date!H:H)</f>
        <v>Jan 2025</v>
      </c>
    </row>
    <row r="573" spans="1:10" ht="15" customHeight="1" x14ac:dyDescent="0.2">
      <c r="A573" t="s">
        <v>282</v>
      </c>
      <c r="B573" s="49">
        <v>45689</v>
      </c>
      <c r="C573">
        <v>7</v>
      </c>
      <c r="D573" s="33">
        <v>47900</v>
      </c>
      <c r="E573" t="str">
        <f>_xlfn.XLOOKUP(Quota_tbl[[#This Row],[Rep_ID]],Dim_Reps!A:A,Dim_Reps!K:K)</f>
        <v>USD</v>
      </c>
      <c r="F573" s="33">
        <f>(_xlfn.XLOOKUP(Quota_tbl[[#This Row],[Rate_Code_Generalized]],Lookups!A:A,Lookups!B:B)*Quota_tbl[[#This Row],[Quota_Amount_USD]])</f>
        <v>55769.969999999994</v>
      </c>
      <c r="G573" t="str">
        <f>_xlfn.XLOOKUP(Quota_tbl[[#This Row],[Rep_ID]],Dim_Reps!A:A,Dim_Reps!C:C)</f>
        <v>Senior Enterprise AE</v>
      </c>
      <c r="H573" t="str">
        <f>_xlfn.XLOOKUP(Quota_tbl[[#This Row],[Rep_ID]],Dim_Reps!A:A,Dim_Reps!D:D)</f>
        <v>Strategic</v>
      </c>
      <c r="I573" t="str">
        <f>_xlfn.XLOOKUP(Quota_tbl[[#This Row],[Rep_ID]],Dim_Reps!A:A,Dim_Reps!E:E)</f>
        <v>NAMER</v>
      </c>
      <c r="J573" t="str">
        <f>_xlfn.XLOOKUP(Quota_tbl[[#This Row],[Period_Start_Date]],Dim_Date!A:A,Dim_Date!H:H)</f>
        <v>Feb 2025</v>
      </c>
    </row>
    <row r="574" spans="1:10" ht="15" customHeight="1" x14ac:dyDescent="0.2">
      <c r="A574" t="s">
        <v>282</v>
      </c>
      <c r="B574" s="49">
        <v>45717</v>
      </c>
      <c r="C574">
        <v>8</v>
      </c>
      <c r="D574" s="33">
        <v>48400</v>
      </c>
      <c r="E574" t="str">
        <f>_xlfn.XLOOKUP(Quota_tbl[[#This Row],[Rep_ID]],Dim_Reps!A:A,Dim_Reps!K:K)</f>
        <v>USD</v>
      </c>
      <c r="F574" s="33">
        <f>(_xlfn.XLOOKUP(Quota_tbl[[#This Row],[Rate_Code_Generalized]],Lookups!A:A,Lookups!B:B)*Quota_tbl[[#This Row],[Quota_Amount_USD]])</f>
        <v>56352.119999999995</v>
      </c>
      <c r="G574" t="str">
        <f>_xlfn.XLOOKUP(Quota_tbl[[#This Row],[Rep_ID]],Dim_Reps!A:A,Dim_Reps!C:C)</f>
        <v>Senior Enterprise AE</v>
      </c>
      <c r="H574" t="str">
        <f>_xlfn.XLOOKUP(Quota_tbl[[#This Row],[Rep_ID]],Dim_Reps!A:A,Dim_Reps!D:D)</f>
        <v>Strategic</v>
      </c>
      <c r="I574" t="str">
        <f>_xlfn.XLOOKUP(Quota_tbl[[#This Row],[Rep_ID]],Dim_Reps!A:A,Dim_Reps!E:E)</f>
        <v>NAMER</v>
      </c>
      <c r="J574" t="str">
        <f>_xlfn.XLOOKUP(Quota_tbl[[#This Row],[Period_Start_Date]],Dim_Date!A:A,Dim_Date!H:H)</f>
        <v>Mar 2025</v>
      </c>
    </row>
    <row r="575" spans="1:10" ht="15" customHeight="1" x14ac:dyDescent="0.2">
      <c r="A575" t="s">
        <v>282</v>
      </c>
      <c r="B575" s="49">
        <v>45748</v>
      </c>
      <c r="C575">
        <v>9</v>
      </c>
      <c r="D575" s="33">
        <v>46400</v>
      </c>
      <c r="E575" t="str">
        <f>_xlfn.XLOOKUP(Quota_tbl[[#This Row],[Rep_ID]],Dim_Reps!A:A,Dim_Reps!K:K)</f>
        <v>USD</v>
      </c>
      <c r="F575" s="33">
        <f>(_xlfn.XLOOKUP(Quota_tbl[[#This Row],[Rate_Code_Generalized]],Lookups!A:A,Lookups!B:B)*Quota_tbl[[#This Row],[Quota_Amount_USD]])</f>
        <v>54023.519999999997</v>
      </c>
      <c r="G575" t="str">
        <f>_xlfn.XLOOKUP(Quota_tbl[[#This Row],[Rep_ID]],Dim_Reps!A:A,Dim_Reps!C:C)</f>
        <v>Senior Enterprise AE</v>
      </c>
      <c r="H575" t="str">
        <f>_xlfn.XLOOKUP(Quota_tbl[[#This Row],[Rep_ID]],Dim_Reps!A:A,Dim_Reps!D:D)</f>
        <v>Strategic</v>
      </c>
      <c r="I575" t="str">
        <f>_xlfn.XLOOKUP(Quota_tbl[[#This Row],[Rep_ID]],Dim_Reps!A:A,Dim_Reps!E:E)</f>
        <v>NAMER</v>
      </c>
      <c r="J575" t="str">
        <f>_xlfn.XLOOKUP(Quota_tbl[[#This Row],[Period_Start_Date]],Dim_Date!A:A,Dim_Date!H:H)</f>
        <v>Apr 2025</v>
      </c>
    </row>
    <row r="576" spans="1:10" ht="15" customHeight="1" x14ac:dyDescent="0.2">
      <c r="A576" t="s">
        <v>282</v>
      </c>
      <c r="B576" s="49">
        <v>45778</v>
      </c>
      <c r="C576">
        <v>10</v>
      </c>
      <c r="D576" s="33">
        <v>51500</v>
      </c>
      <c r="E576" t="str">
        <f>_xlfn.XLOOKUP(Quota_tbl[[#This Row],[Rep_ID]],Dim_Reps!A:A,Dim_Reps!K:K)</f>
        <v>USD</v>
      </c>
      <c r="F576" s="33">
        <f>(_xlfn.XLOOKUP(Quota_tbl[[#This Row],[Rate_Code_Generalized]],Lookups!A:A,Lookups!B:B)*Quota_tbl[[#This Row],[Quota_Amount_USD]])</f>
        <v>59961.45</v>
      </c>
      <c r="G576" t="str">
        <f>_xlfn.XLOOKUP(Quota_tbl[[#This Row],[Rep_ID]],Dim_Reps!A:A,Dim_Reps!C:C)</f>
        <v>Senior Enterprise AE</v>
      </c>
      <c r="H576" t="str">
        <f>_xlfn.XLOOKUP(Quota_tbl[[#This Row],[Rep_ID]],Dim_Reps!A:A,Dim_Reps!D:D)</f>
        <v>Strategic</v>
      </c>
      <c r="I576" t="str">
        <f>_xlfn.XLOOKUP(Quota_tbl[[#This Row],[Rep_ID]],Dim_Reps!A:A,Dim_Reps!E:E)</f>
        <v>NAMER</v>
      </c>
      <c r="J576" t="str">
        <f>_xlfn.XLOOKUP(Quota_tbl[[#This Row],[Period_Start_Date]],Dim_Date!A:A,Dim_Date!H:H)</f>
        <v>May 2025</v>
      </c>
    </row>
    <row r="577" spans="1:10" ht="15" customHeight="1" x14ac:dyDescent="0.2">
      <c r="A577" t="s">
        <v>282</v>
      </c>
      <c r="B577" s="49">
        <v>45809</v>
      </c>
      <c r="C577">
        <v>11</v>
      </c>
      <c r="D577" s="33">
        <v>48200</v>
      </c>
      <c r="E577" t="str">
        <f>_xlfn.XLOOKUP(Quota_tbl[[#This Row],[Rep_ID]],Dim_Reps!A:A,Dim_Reps!K:K)</f>
        <v>USD</v>
      </c>
      <c r="F577" s="33">
        <f>(_xlfn.XLOOKUP(Quota_tbl[[#This Row],[Rate_Code_Generalized]],Lookups!A:A,Lookups!B:B)*Quota_tbl[[#This Row],[Quota_Amount_USD]])</f>
        <v>56119.259999999995</v>
      </c>
      <c r="G577" t="str">
        <f>_xlfn.XLOOKUP(Quota_tbl[[#This Row],[Rep_ID]],Dim_Reps!A:A,Dim_Reps!C:C)</f>
        <v>Senior Enterprise AE</v>
      </c>
      <c r="H577" t="str">
        <f>_xlfn.XLOOKUP(Quota_tbl[[#This Row],[Rep_ID]],Dim_Reps!A:A,Dim_Reps!D:D)</f>
        <v>Strategic</v>
      </c>
      <c r="I577" t="str">
        <f>_xlfn.XLOOKUP(Quota_tbl[[#This Row],[Rep_ID]],Dim_Reps!A:A,Dim_Reps!E:E)</f>
        <v>NAMER</v>
      </c>
      <c r="J577" t="str">
        <f>_xlfn.XLOOKUP(Quota_tbl[[#This Row],[Period_Start_Date]],Dim_Date!A:A,Dim_Date!H:H)</f>
        <v>Jun 2025</v>
      </c>
    </row>
    <row r="578" spans="1:10" ht="15" customHeight="1" x14ac:dyDescent="0.2">
      <c r="A578" t="s">
        <v>282</v>
      </c>
      <c r="B578" s="49">
        <v>45839</v>
      </c>
      <c r="C578">
        <v>12</v>
      </c>
      <c r="D578" s="33">
        <v>48200</v>
      </c>
      <c r="E578" t="str">
        <f>_xlfn.XLOOKUP(Quota_tbl[[#This Row],[Rep_ID]],Dim_Reps!A:A,Dim_Reps!K:K)</f>
        <v>USD</v>
      </c>
      <c r="F578" s="33">
        <f>(_xlfn.XLOOKUP(Quota_tbl[[#This Row],[Rate_Code_Generalized]],Lookups!A:A,Lookups!B:B)*Quota_tbl[[#This Row],[Quota_Amount_USD]])</f>
        <v>56119.259999999995</v>
      </c>
      <c r="G578" t="str">
        <f>_xlfn.XLOOKUP(Quota_tbl[[#This Row],[Rep_ID]],Dim_Reps!A:A,Dim_Reps!C:C)</f>
        <v>Senior Enterprise AE</v>
      </c>
      <c r="H578" t="str">
        <f>_xlfn.XLOOKUP(Quota_tbl[[#This Row],[Rep_ID]],Dim_Reps!A:A,Dim_Reps!D:D)</f>
        <v>Strategic</v>
      </c>
      <c r="I578" t="str">
        <f>_xlfn.XLOOKUP(Quota_tbl[[#This Row],[Rep_ID]],Dim_Reps!A:A,Dim_Reps!E:E)</f>
        <v>NAMER</v>
      </c>
      <c r="J578" t="str">
        <f>_xlfn.XLOOKUP(Quota_tbl[[#This Row],[Period_Start_Date]],Dim_Date!A:A,Dim_Date!H:H)</f>
        <v>Jul 2025</v>
      </c>
    </row>
    <row r="579" spans="1:10" ht="15" customHeight="1" x14ac:dyDescent="0.2">
      <c r="A579" t="s">
        <v>282</v>
      </c>
      <c r="B579" s="49">
        <v>45870</v>
      </c>
      <c r="C579">
        <v>13</v>
      </c>
      <c r="D579" s="33">
        <v>49000</v>
      </c>
      <c r="E579" t="str">
        <f>_xlfn.XLOOKUP(Quota_tbl[[#This Row],[Rep_ID]],Dim_Reps!A:A,Dim_Reps!K:K)</f>
        <v>USD</v>
      </c>
      <c r="F579" s="33">
        <f>(_xlfn.XLOOKUP(Quota_tbl[[#This Row],[Rate_Code_Generalized]],Lookups!A:A,Lookups!B:B)*Quota_tbl[[#This Row],[Quota_Amount_USD]])</f>
        <v>57050.7</v>
      </c>
      <c r="G579" t="str">
        <f>_xlfn.XLOOKUP(Quota_tbl[[#This Row],[Rep_ID]],Dim_Reps!A:A,Dim_Reps!C:C)</f>
        <v>Senior Enterprise AE</v>
      </c>
      <c r="H579" t="str">
        <f>_xlfn.XLOOKUP(Quota_tbl[[#This Row],[Rep_ID]],Dim_Reps!A:A,Dim_Reps!D:D)</f>
        <v>Strategic</v>
      </c>
      <c r="I579" t="str">
        <f>_xlfn.XLOOKUP(Quota_tbl[[#This Row],[Rep_ID]],Dim_Reps!A:A,Dim_Reps!E:E)</f>
        <v>NAMER</v>
      </c>
      <c r="J579" t="str">
        <f>_xlfn.XLOOKUP(Quota_tbl[[#This Row],[Period_Start_Date]],Dim_Date!A:A,Dim_Date!H:H)</f>
        <v>Aug 2025</v>
      </c>
    </row>
    <row r="580" spans="1:10" ht="15" customHeight="1" x14ac:dyDescent="0.2">
      <c r="A580" t="s">
        <v>282</v>
      </c>
      <c r="B580" s="49">
        <v>45901</v>
      </c>
      <c r="C580">
        <v>14</v>
      </c>
      <c r="D580" s="33">
        <v>48700</v>
      </c>
      <c r="E580" t="str">
        <f>_xlfn.XLOOKUP(Quota_tbl[[#This Row],[Rep_ID]],Dim_Reps!A:A,Dim_Reps!K:K)</f>
        <v>USD</v>
      </c>
      <c r="F580" s="33">
        <f>(_xlfn.XLOOKUP(Quota_tbl[[#This Row],[Rate_Code_Generalized]],Lookups!A:A,Lookups!B:B)*Quota_tbl[[#This Row],[Quota_Amount_USD]])</f>
        <v>56701.409999999996</v>
      </c>
      <c r="G580" t="str">
        <f>_xlfn.XLOOKUP(Quota_tbl[[#This Row],[Rep_ID]],Dim_Reps!A:A,Dim_Reps!C:C)</f>
        <v>Senior Enterprise AE</v>
      </c>
      <c r="H580" t="str">
        <f>_xlfn.XLOOKUP(Quota_tbl[[#This Row],[Rep_ID]],Dim_Reps!A:A,Dim_Reps!D:D)</f>
        <v>Strategic</v>
      </c>
      <c r="I580" t="str">
        <f>_xlfn.XLOOKUP(Quota_tbl[[#This Row],[Rep_ID]],Dim_Reps!A:A,Dim_Reps!E:E)</f>
        <v>NAMER</v>
      </c>
      <c r="J580" t="str">
        <f>_xlfn.XLOOKUP(Quota_tbl[[#This Row],[Period_Start_Date]],Dim_Date!A:A,Dim_Date!H:H)</f>
        <v>Sep 2025</v>
      </c>
    </row>
    <row r="581" spans="1:10" ht="15" customHeight="1" x14ac:dyDescent="0.2">
      <c r="A581" t="s">
        <v>282</v>
      </c>
      <c r="B581" s="49">
        <v>45931</v>
      </c>
      <c r="C581">
        <v>15</v>
      </c>
      <c r="D581" s="33">
        <v>48300</v>
      </c>
      <c r="E581" t="str">
        <f>_xlfn.XLOOKUP(Quota_tbl[[#This Row],[Rep_ID]],Dim_Reps!A:A,Dim_Reps!K:K)</f>
        <v>USD</v>
      </c>
      <c r="F581" s="33">
        <f>(_xlfn.XLOOKUP(Quota_tbl[[#This Row],[Rate_Code_Generalized]],Lookups!A:A,Lookups!B:B)*Quota_tbl[[#This Row],[Quota_Amount_USD]])</f>
        <v>56235.689999999995</v>
      </c>
      <c r="G581" t="str">
        <f>_xlfn.XLOOKUP(Quota_tbl[[#This Row],[Rep_ID]],Dim_Reps!A:A,Dim_Reps!C:C)</f>
        <v>Senior Enterprise AE</v>
      </c>
      <c r="H581" t="str">
        <f>_xlfn.XLOOKUP(Quota_tbl[[#This Row],[Rep_ID]],Dim_Reps!A:A,Dim_Reps!D:D)</f>
        <v>Strategic</v>
      </c>
      <c r="I581" t="str">
        <f>_xlfn.XLOOKUP(Quota_tbl[[#This Row],[Rep_ID]],Dim_Reps!A:A,Dim_Reps!E:E)</f>
        <v>NAMER</v>
      </c>
      <c r="J581" t="str">
        <f>_xlfn.XLOOKUP(Quota_tbl[[#This Row],[Period_Start_Date]],Dim_Date!A:A,Dim_Date!H:H)</f>
        <v>Oct 2025</v>
      </c>
    </row>
    <row r="582" spans="1:10" ht="15" customHeight="1" x14ac:dyDescent="0.2">
      <c r="A582" t="s">
        <v>282</v>
      </c>
      <c r="B582" s="49">
        <v>45962</v>
      </c>
      <c r="C582">
        <v>16</v>
      </c>
      <c r="D582" s="33">
        <v>46900</v>
      </c>
      <c r="E582" t="str">
        <f>_xlfn.XLOOKUP(Quota_tbl[[#This Row],[Rep_ID]],Dim_Reps!A:A,Dim_Reps!K:K)</f>
        <v>USD</v>
      </c>
      <c r="F582" s="33">
        <f>(_xlfn.XLOOKUP(Quota_tbl[[#This Row],[Rate_Code_Generalized]],Lookups!A:A,Lookups!B:B)*Quota_tbl[[#This Row],[Quota_Amount_USD]])</f>
        <v>54605.67</v>
      </c>
      <c r="G582" t="str">
        <f>_xlfn.XLOOKUP(Quota_tbl[[#This Row],[Rep_ID]],Dim_Reps!A:A,Dim_Reps!C:C)</f>
        <v>Senior Enterprise AE</v>
      </c>
      <c r="H582" t="str">
        <f>_xlfn.XLOOKUP(Quota_tbl[[#This Row],[Rep_ID]],Dim_Reps!A:A,Dim_Reps!D:D)</f>
        <v>Strategic</v>
      </c>
      <c r="I582" t="str">
        <f>_xlfn.XLOOKUP(Quota_tbl[[#This Row],[Rep_ID]],Dim_Reps!A:A,Dim_Reps!E:E)</f>
        <v>NAMER</v>
      </c>
      <c r="J582" t="str">
        <f>_xlfn.XLOOKUP(Quota_tbl[[#This Row],[Period_Start_Date]],Dim_Date!A:A,Dim_Date!H:H)</f>
        <v>Nov 2025</v>
      </c>
    </row>
    <row r="583" spans="1:10" ht="15" customHeight="1" x14ac:dyDescent="0.2">
      <c r="A583" t="s">
        <v>282</v>
      </c>
      <c r="B583" s="49">
        <v>45992</v>
      </c>
      <c r="C583">
        <v>17</v>
      </c>
      <c r="D583" s="33">
        <v>48700</v>
      </c>
      <c r="E583" t="str">
        <f>_xlfn.XLOOKUP(Quota_tbl[[#This Row],[Rep_ID]],Dim_Reps!A:A,Dim_Reps!K:K)</f>
        <v>USD</v>
      </c>
      <c r="F583" s="33">
        <f>(_xlfn.XLOOKUP(Quota_tbl[[#This Row],[Rate_Code_Generalized]],Lookups!A:A,Lookups!B:B)*Quota_tbl[[#This Row],[Quota_Amount_USD]])</f>
        <v>56701.409999999996</v>
      </c>
      <c r="G583" t="str">
        <f>_xlfn.XLOOKUP(Quota_tbl[[#This Row],[Rep_ID]],Dim_Reps!A:A,Dim_Reps!C:C)</f>
        <v>Senior Enterprise AE</v>
      </c>
      <c r="H583" t="str">
        <f>_xlfn.XLOOKUP(Quota_tbl[[#This Row],[Rep_ID]],Dim_Reps!A:A,Dim_Reps!D:D)</f>
        <v>Strategic</v>
      </c>
      <c r="I583" t="str">
        <f>_xlfn.XLOOKUP(Quota_tbl[[#This Row],[Rep_ID]],Dim_Reps!A:A,Dim_Reps!E:E)</f>
        <v>NAMER</v>
      </c>
      <c r="J583" t="str">
        <f>_xlfn.XLOOKUP(Quota_tbl[[#This Row],[Period_Start_Date]],Dim_Date!A:A,Dim_Date!H:H)</f>
        <v>Dec 2025</v>
      </c>
    </row>
    <row r="584" spans="1:10" ht="15" customHeight="1" x14ac:dyDescent="0.2">
      <c r="A584" t="s">
        <v>191</v>
      </c>
      <c r="B584" s="49">
        <v>45292</v>
      </c>
      <c r="C584">
        <v>16</v>
      </c>
      <c r="D584" s="33">
        <v>33800</v>
      </c>
      <c r="E584" t="str">
        <f>_xlfn.XLOOKUP(Quota_tbl[[#This Row],[Rep_ID]],Dim_Reps!A:A,Dim_Reps!K:K)</f>
        <v>USD</v>
      </c>
      <c r="F584" s="33">
        <f>(_xlfn.XLOOKUP(Quota_tbl[[#This Row],[Rate_Code_Generalized]],Lookups!A:A,Lookups!B:B)*Quota_tbl[[#This Row],[Quota_Amount_USD]])</f>
        <v>39353.339999999997</v>
      </c>
      <c r="G584" t="str">
        <f>_xlfn.XLOOKUP(Quota_tbl[[#This Row],[Rep_ID]],Dim_Reps!A:A,Dim_Reps!C:C)</f>
        <v>Enterprise AE</v>
      </c>
      <c r="H584" t="str">
        <f>_xlfn.XLOOKUP(Quota_tbl[[#This Row],[Rep_ID]],Dim_Reps!A:A,Dim_Reps!D:D)</f>
        <v>Enterprise</v>
      </c>
      <c r="I584" t="str">
        <f>_xlfn.XLOOKUP(Quota_tbl[[#This Row],[Rep_ID]],Dim_Reps!A:A,Dim_Reps!E:E)</f>
        <v>NAMER</v>
      </c>
      <c r="J584" t="str">
        <f>_xlfn.XLOOKUP(Quota_tbl[[#This Row],[Period_Start_Date]],Dim_Date!A:A,Dim_Date!H:H)</f>
        <v>Jan 2024</v>
      </c>
    </row>
    <row r="585" spans="1:10" ht="15" customHeight="1" x14ac:dyDescent="0.2">
      <c r="A585" t="s">
        <v>191</v>
      </c>
      <c r="B585" s="49">
        <v>45323</v>
      </c>
      <c r="C585">
        <v>17</v>
      </c>
      <c r="D585" s="33">
        <v>33300</v>
      </c>
      <c r="E585" t="str">
        <f>_xlfn.XLOOKUP(Quota_tbl[[#This Row],[Rep_ID]],Dim_Reps!A:A,Dim_Reps!K:K)</f>
        <v>USD</v>
      </c>
      <c r="F585" s="33">
        <f>(_xlfn.XLOOKUP(Quota_tbl[[#This Row],[Rate_Code_Generalized]],Lookups!A:A,Lookups!B:B)*Quota_tbl[[#This Row],[Quota_Amount_USD]])</f>
        <v>38771.189999999995</v>
      </c>
      <c r="G585" t="str">
        <f>_xlfn.XLOOKUP(Quota_tbl[[#This Row],[Rep_ID]],Dim_Reps!A:A,Dim_Reps!C:C)</f>
        <v>Enterprise AE</v>
      </c>
      <c r="H585" t="str">
        <f>_xlfn.XLOOKUP(Quota_tbl[[#This Row],[Rep_ID]],Dim_Reps!A:A,Dim_Reps!D:D)</f>
        <v>Enterprise</v>
      </c>
      <c r="I585" t="str">
        <f>_xlfn.XLOOKUP(Quota_tbl[[#This Row],[Rep_ID]],Dim_Reps!A:A,Dim_Reps!E:E)</f>
        <v>NAMER</v>
      </c>
      <c r="J585" t="str">
        <f>_xlfn.XLOOKUP(Quota_tbl[[#This Row],[Period_Start_Date]],Dim_Date!A:A,Dim_Date!H:H)</f>
        <v>Feb 2024</v>
      </c>
    </row>
    <row r="586" spans="1:10" ht="15" customHeight="1" x14ac:dyDescent="0.2">
      <c r="A586" t="s">
        <v>191</v>
      </c>
      <c r="B586" s="49">
        <v>45352</v>
      </c>
      <c r="C586">
        <v>18</v>
      </c>
      <c r="D586" s="33">
        <v>33500</v>
      </c>
      <c r="E586" t="str">
        <f>_xlfn.XLOOKUP(Quota_tbl[[#This Row],[Rep_ID]],Dim_Reps!A:A,Dim_Reps!K:K)</f>
        <v>USD</v>
      </c>
      <c r="F586" s="33">
        <f>(_xlfn.XLOOKUP(Quota_tbl[[#This Row],[Rate_Code_Generalized]],Lookups!A:A,Lookups!B:B)*Quota_tbl[[#This Row],[Quota_Amount_USD]])</f>
        <v>39004.049999999996</v>
      </c>
      <c r="G586" t="str">
        <f>_xlfn.XLOOKUP(Quota_tbl[[#This Row],[Rep_ID]],Dim_Reps!A:A,Dim_Reps!C:C)</f>
        <v>Enterprise AE</v>
      </c>
      <c r="H586" t="str">
        <f>_xlfn.XLOOKUP(Quota_tbl[[#This Row],[Rep_ID]],Dim_Reps!A:A,Dim_Reps!D:D)</f>
        <v>Enterprise</v>
      </c>
      <c r="I586" t="str">
        <f>_xlfn.XLOOKUP(Quota_tbl[[#This Row],[Rep_ID]],Dim_Reps!A:A,Dim_Reps!E:E)</f>
        <v>NAMER</v>
      </c>
      <c r="J586" t="str">
        <f>_xlfn.XLOOKUP(Quota_tbl[[#This Row],[Period_Start_Date]],Dim_Date!A:A,Dim_Date!H:H)</f>
        <v>Mar 2024</v>
      </c>
    </row>
    <row r="587" spans="1:10" ht="15" customHeight="1" x14ac:dyDescent="0.2">
      <c r="A587" t="s">
        <v>191</v>
      </c>
      <c r="B587" s="49">
        <v>45383</v>
      </c>
      <c r="C587">
        <v>19</v>
      </c>
      <c r="D587" s="33">
        <v>31500</v>
      </c>
      <c r="E587" t="str">
        <f>_xlfn.XLOOKUP(Quota_tbl[[#This Row],[Rep_ID]],Dim_Reps!A:A,Dim_Reps!K:K)</f>
        <v>USD</v>
      </c>
      <c r="F587" s="33">
        <f>(_xlfn.XLOOKUP(Quota_tbl[[#This Row],[Rate_Code_Generalized]],Lookups!A:A,Lookups!B:B)*Quota_tbl[[#This Row],[Quota_Amount_USD]])</f>
        <v>36675.449999999997</v>
      </c>
      <c r="G587" t="str">
        <f>_xlfn.XLOOKUP(Quota_tbl[[#This Row],[Rep_ID]],Dim_Reps!A:A,Dim_Reps!C:C)</f>
        <v>Enterprise AE</v>
      </c>
      <c r="H587" t="str">
        <f>_xlfn.XLOOKUP(Quota_tbl[[#This Row],[Rep_ID]],Dim_Reps!A:A,Dim_Reps!D:D)</f>
        <v>Enterprise</v>
      </c>
      <c r="I587" t="str">
        <f>_xlfn.XLOOKUP(Quota_tbl[[#This Row],[Rep_ID]],Dim_Reps!A:A,Dim_Reps!E:E)</f>
        <v>NAMER</v>
      </c>
      <c r="J587" t="str">
        <f>_xlfn.XLOOKUP(Quota_tbl[[#This Row],[Period_Start_Date]],Dim_Date!A:A,Dim_Date!H:H)</f>
        <v>Apr 2024</v>
      </c>
    </row>
    <row r="588" spans="1:10" ht="15" customHeight="1" x14ac:dyDescent="0.2">
      <c r="A588" t="s">
        <v>191</v>
      </c>
      <c r="B588" s="49">
        <v>45413</v>
      </c>
      <c r="C588">
        <v>20</v>
      </c>
      <c r="D588" s="33">
        <v>31000</v>
      </c>
      <c r="E588" t="str">
        <f>_xlfn.XLOOKUP(Quota_tbl[[#This Row],[Rep_ID]],Dim_Reps!A:A,Dim_Reps!K:K)</f>
        <v>USD</v>
      </c>
      <c r="F588" s="33">
        <f>(_xlfn.XLOOKUP(Quota_tbl[[#This Row],[Rate_Code_Generalized]],Lookups!A:A,Lookups!B:B)*Quota_tbl[[#This Row],[Quota_Amount_USD]])</f>
        <v>36093.299999999996</v>
      </c>
      <c r="G588" t="str">
        <f>_xlfn.XLOOKUP(Quota_tbl[[#This Row],[Rep_ID]],Dim_Reps!A:A,Dim_Reps!C:C)</f>
        <v>Enterprise AE</v>
      </c>
      <c r="H588" t="str">
        <f>_xlfn.XLOOKUP(Quota_tbl[[#This Row],[Rep_ID]],Dim_Reps!A:A,Dim_Reps!D:D)</f>
        <v>Enterprise</v>
      </c>
      <c r="I588" t="str">
        <f>_xlfn.XLOOKUP(Quota_tbl[[#This Row],[Rep_ID]],Dim_Reps!A:A,Dim_Reps!E:E)</f>
        <v>NAMER</v>
      </c>
      <c r="J588" t="str">
        <f>_xlfn.XLOOKUP(Quota_tbl[[#This Row],[Period_Start_Date]],Dim_Date!A:A,Dim_Date!H:H)</f>
        <v>May 2024</v>
      </c>
    </row>
    <row r="589" spans="1:10" ht="15" customHeight="1" x14ac:dyDescent="0.2">
      <c r="A589" t="s">
        <v>191</v>
      </c>
      <c r="B589" s="49">
        <v>45444</v>
      </c>
      <c r="C589">
        <v>21</v>
      </c>
      <c r="D589" s="33">
        <v>31900</v>
      </c>
      <c r="E589" t="str">
        <f>_xlfn.XLOOKUP(Quota_tbl[[#This Row],[Rep_ID]],Dim_Reps!A:A,Dim_Reps!K:K)</f>
        <v>USD</v>
      </c>
      <c r="F589" s="33">
        <f>(_xlfn.XLOOKUP(Quota_tbl[[#This Row],[Rate_Code_Generalized]],Lookups!A:A,Lookups!B:B)*Quota_tbl[[#This Row],[Quota_Amount_USD]])</f>
        <v>37141.17</v>
      </c>
      <c r="G589" t="str">
        <f>_xlfn.XLOOKUP(Quota_tbl[[#This Row],[Rep_ID]],Dim_Reps!A:A,Dim_Reps!C:C)</f>
        <v>Enterprise AE</v>
      </c>
      <c r="H589" t="str">
        <f>_xlfn.XLOOKUP(Quota_tbl[[#This Row],[Rep_ID]],Dim_Reps!A:A,Dim_Reps!D:D)</f>
        <v>Enterprise</v>
      </c>
      <c r="I589" t="str">
        <f>_xlfn.XLOOKUP(Quota_tbl[[#This Row],[Rep_ID]],Dim_Reps!A:A,Dim_Reps!E:E)</f>
        <v>NAMER</v>
      </c>
      <c r="J589" t="str">
        <f>_xlfn.XLOOKUP(Quota_tbl[[#This Row],[Period_Start_Date]],Dim_Date!A:A,Dim_Date!H:H)</f>
        <v>Jun 2024</v>
      </c>
    </row>
    <row r="590" spans="1:10" ht="15" customHeight="1" x14ac:dyDescent="0.2">
      <c r="A590" t="s">
        <v>191</v>
      </c>
      <c r="B590" s="49">
        <v>45474</v>
      </c>
      <c r="C590">
        <v>22</v>
      </c>
      <c r="D590" s="33">
        <v>32100</v>
      </c>
      <c r="E590" t="str">
        <f>_xlfn.XLOOKUP(Quota_tbl[[#This Row],[Rep_ID]],Dim_Reps!A:A,Dim_Reps!K:K)</f>
        <v>USD</v>
      </c>
      <c r="F590" s="33">
        <f>(_xlfn.XLOOKUP(Quota_tbl[[#This Row],[Rate_Code_Generalized]],Lookups!A:A,Lookups!B:B)*Quota_tbl[[#This Row],[Quota_Amount_USD]])</f>
        <v>37374.03</v>
      </c>
      <c r="G590" t="str">
        <f>_xlfn.XLOOKUP(Quota_tbl[[#This Row],[Rep_ID]],Dim_Reps!A:A,Dim_Reps!C:C)</f>
        <v>Enterprise AE</v>
      </c>
      <c r="H590" t="str">
        <f>_xlfn.XLOOKUP(Quota_tbl[[#This Row],[Rep_ID]],Dim_Reps!A:A,Dim_Reps!D:D)</f>
        <v>Enterprise</v>
      </c>
      <c r="I590" t="str">
        <f>_xlfn.XLOOKUP(Quota_tbl[[#This Row],[Rep_ID]],Dim_Reps!A:A,Dim_Reps!E:E)</f>
        <v>NAMER</v>
      </c>
      <c r="J590" t="str">
        <f>_xlfn.XLOOKUP(Quota_tbl[[#This Row],[Period_Start_Date]],Dim_Date!A:A,Dim_Date!H:H)</f>
        <v>Jul 2024</v>
      </c>
    </row>
    <row r="591" spans="1:10" ht="15" customHeight="1" x14ac:dyDescent="0.2">
      <c r="A591" t="s">
        <v>191</v>
      </c>
      <c r="B591" s="49">
        <v>45505</v>
      </c>
      <c r="C591">
        <v>23</v>
      </c>
      <c r="D591" s="33">
        <v>33100</v>
      </c>
      <c r="E591" t="str">
        <f>_xlfn.XLOOKUP(Quota_tbl[[#This Row],[Rep_ID]],Dim_Reps!A:A,Dim_Reps!K:K)</f>
        <v>USD</v>
      </c>
      <c r="F591" s="33">
        <f>(_xlfn.XLOOKUP(Quota_tbl[[#This Row],[Rate_Code_Generalized]],Lookups!A:A,Lookups!B:B)*Quota_tbl[[#This Row],[Quota_Amount_USD]])</f>
        <v>38538.329999999994</v>
      </c>
      <c r="G591" t="str">
        <f>_xlfn.XLOOKUP(Quota_tbl[[#This Row],[Rep_ID]],Dim_Reps!A:A,Dim_Reps!C:C)</f>
        <v>Enterprise AE</v>
      </c>
      <c r="H591" t="str">
        <f>_xlfn.XLOOKUP(Quota_tbl[[#This Row],[Rep_ID]],Dim_Reps!A:A,Dim_Reps!D:D)</f>
        <v>Enterprise</v>
      </c>
      <c r="I591" t="str">
        <f>_xlfn.XLOOKUP(Quota_tbl[[#This Row],[Rep_ID]],Dim_Reps!A:A,Dim_Reps!E:E)</f>
        <v>NAMER</v>
      </c>
      <c r="J591" t="str">
        <f>_xlfn.XLOOKUP(Quota_tbl[[#This Row],[Period_Start_Date]],Dim_Date!A:A,Dim_Date!H:H)</f>
        <v>Aug 2024</v>
      </c>
    </row>
    <row r="592" spans="1:10" ht="15" customHeight="1" x14ac:dyDescent="0.2">
      <c r="A592" t="s">
        <v>191</v>
      </c>
      <c r="B592" s="49">
        <v>45536</v>
      </c>
      <c r="C592">
        <v>24</v>
      </c>
      <c r="D592" s="33">
        <v>30400</v>
      </c>
      <c r="E592" t="str">
        <f>_xlfn.XLOOKUP(Quota_tbl[[#This Row],[Rep_ID]],Dim_Reps!A:A,Dim_Reps!K:K)</f>
        <v>USD</v>
      </c>
      <c r="F592" s="33">
        <f>(_xlfn.XLOOKUP(Quota_tbl[[#This Row],[Rate_Code_Generalized]],Lookups!A:A,Lookups!B:B)*Quota_tbl[[#This Row],[Quota_Amount_USD]])</f>
        <v>35394.719999999994</v>
      </c>
      <c r="G592" t="str">
        <f>_xlfn.XLOOKUP(Quota_tbl[[#This Row],[Rep_ID]],Dim_Reps!A:A,Dim_Reps!C:C)</f>
        <v>Enterprise AE</v>
      </c>
      <c r="H592" t="str">
        <f>_xlfn.XLOOKUP(Quota_tbl[[#This Row],[Rep_ID]],Dim_Reps!A:A,Dim_Reps!D:D)</f>
        <v>Enterprise</v>
      </c>
      <c r="I592" t="str">
        <f>_xlfn.XLOOKUP(Quota_tbl[[#This Row],[Rep_ID]],Dim_Reps!A:A,Dim_Reps!E:E)</f>
        <v>NAMER</v>
      </c>
      <c r="J592" t="str">
        <f>_xlfn.XLOOKUP(Quota_tbl[[#This Row],[Period_Start_Date]],Dim_Date!A:A,Dim_Date!H:H)</f>
        <v>Sep 2024</v>
      </c>
    </row>
    <row r="593" spans="1:10" ht="15" customHeight="1" x14ac:dyDescent="0.2">
      <c r="A593" t="s">
        <v>191</v>
      </c>
      <c r="B593" s="49">
        <v>45566</v>
      </c>
      <c r="C593">
        <v>25</v>
      </c>
      <c r="D593" s="33">
        <v>33500</v>
      </c>
      <c r="E593" t="str">
        <f>_xlfn.XLOOKUP(Quota_tbl[[#This Row],[Rep_ID]],Dim_Reps!A:A,Dim_Reps!K:K)</f>
        <v>USD</v>
      </c>
      <c r="F593" s="33">
        <f>(_xlfn.XLOOKUP(Quota_tbl[[#This Row],[Rate_Code_Generalized]],Lookups!A:A,Lookups!B:B)*Quota_tbl[[#This Row],[Quota_Amount_USD]])</f>
        <v>39004.049999999996</v>
      </c>
      <c r="G593" t="str">
        <f>_xlfn.XLOOKUP(Quota_tbl[[#This Row],[Rep_ID]],Dim_Reps!A:A,Dim_Reps!C:C)</f>
        <v>Enterprise AE</v>
      </c>
      <c r="H593" t="str">
        <f>_xlfn.XLOOKUP(Quota_tbl[[#This Row],[Rep_ID]],Dim_Reps!A:A,Dim_Reps!D:D)</f>
        <v>Enterprise</v>
      </c>
      <c r="I593" t="str">
        <f>_xlfn.XLOOKUP(Quota_tbl[[#This Row],[Rep_ID]],Dim_Reps!A:A,Dim_Reps!E:E)</f>
        <v>NAMER</v>
      </c>
      <c r="J593" t="str">
        <f>_xlfn.XLOOKUP(Quota_tbl[[#This Row],[Period_Start_Date]],Dim_Date!A:A,Dim_Date!H:H)</f>
        <v>Oct 2024</v>
      </c>
    </row>
    <row r="594" spans="1:10" ht="15" customHeight="1" x14ac:dyDescent="0.2">
      <c r="A594" t="s">
        <v>191</v>
      </c>
      <c r="B594" s="49">
        <v>45597</v>
      </c>
      <c r="C594">
        <v>26</v>
      </c>
      <c r="D594" s="33">
        <v>31800</v>
      </c>
      <c r="E594" t="str">
        <f>_xlfn.XLOOKUP(Quota_tbl[[#This Row],[Rep_ID]],Dim_Reps!A:A,Dim_Reps!K:K)</f>
        <v>USD</v>
      </c>
      <c r="F594" s="33">
        <f>(_xlfn.XLOOKUP(Quota_tbl[[#This Row],[Rate_Code_Generalized]],Lookups!A:A,Lookups!B:B)*Quota_tbl[[#This Row],[Quota_Amount_USD]])</f>
        <v>37024.74</v>
      </c>
      <c r="G594" t="str">
        <f>_xlfn.XLOOKUP(Quota_tbl[[#This Row],[Rep_ID]],Dim_Reps!A:A,Dim_Reps!C:C)</f>
        <v>Enterprise AE</v>
      </c>
      <c r="H594" t="str">
        <f>_xlfn.XLOOKUP(Quota_tbl[[#This Row],[Rep_ID]],Dim_Reps!A:A,Dim_Reps!D:D)</f>
        <v>Enterprise</v>
      </c>
      <c r="I594" t="str">
        <f>_xlfn.XLOOKUP(Quota_tbl[[#This Row],[Rep_ID]],Dim_Reps!A:A,Dim_Reps!E:E)</f>
        <v>NAMER</v>
      </c>
      <c r="J594" t="str">
        <f>_xlfn.XLOOKUP(Quota_tbl[[#This Row],[Period_Start_Date]],Dim_Date!A:A,Dim_Date!H:H)</f>
        <v>Nov 2024</v>
      </c>
    </row>
    <row r="595" spans="1:10" ht="15" customHeight="1" x14ac:dyDescent="0.2">
      <c r="A595" t="s">
        <v>191</v>
      </c>
      <c r="B595" s="49">
        <v>45627</v>
      </c>
      <c r="C595">
        <v>27</v>
      </c>
      <c r="D595" s="33">
        <v>31600</v>
      </c>
      <c r="E595" t="str">
        <f>_xlfn.XLOOKUP(Quota_tbl[[#This Row],[Rep_ID]],Dim_Reps!A:A,Dim_Reps!K:K)</f>
        <v>USD</v>
      </c>
      <c r="F595" s="33">
        <f>(_xlfn.XLOOKUP(Quota_tbl[[#This Row],[Rate_Code_Generalized]],Lookups!A:A,Lookups!B:B)*Quota_tbl[[#This Row],[Quota_Amount_USD]])</f>
        <v>36791.879999999997</v>
      </c>
      <c r="G595" t="str">
        <f>_xlfn.XLOOKUP(Quota_tbl[[#This Row],[Rep_ID]],Dim_Reps!A:A,Dim_Reps!C:C)</f>
        <v>Enterprise AE</v>
      </c>
      <c r="H595" t="str">
        <f>_xlfn.XLOOKUP(Quota_tbl[[#This Row],[Rep_ID]],Dim_Reps!A:A,Dim_Reps!D:D)</f>
        <v>Enterprise</v>
      </c>
      <c r="I595" t="str">
        <f>_xlfn.XLOOKUP(Quota_tbl[[#This Row],[Rep_ID]],Dim_Reps!A:A,Dim_Reps!E:E)</f>
        <v>NAMER</v>
      </c>
      <c r="J595" t="str">
        <f>_xlfn.XLOOKUP(Quota_tbl[[#This Row],[Period_Start_Date]],Dim_Date!A:A,Dim_Date!H:H)</f>
        <v>Dec 2024</v>
      </c>
    </row>
    <row r="596" spans="1:10" ht="15" customHeight="1" x14ac:dyDescent="0.2">
      <c r="A596" t="s">
        <v>191</v>
      </c>
      <c r="B596" s="49">
        <v>45658</v>
      </c>
      <c r="C596">
        <v>28</v>
      </c>
      <c r="D596" s="33">
        <v>31000</v>
      </c>
      <c r="E596" t="str">
        <f>_xlfn.XLOOKUP(Quota_tbl[[#This Row],[Rep_ID]],Dim_Reps!A:A,Dim_Reps!K:K)</f>
        <v>USD</v>
      </c>
      <c r="F596" s="33">
        <f>(_xlfn.XLOOKUP(Quota_tbl[[#This Row],[Rate_Code_Generalized]],Lookups!A:A,Lookups!B:B)*Quota_tbl[[#This Row],[Quota_Amount_USD]])</f>
        <v>36093.299999999996</v>
      </c>
      <c r="G596" t="str">
        <f>_xlfn.XLOOKUP(Quota_tbl[[#This Row],[Rep_ID]],Dim_Reps!A:A,Dim_Reps!C:C)</f>
        <v>Enterprise AE</v>
      </c>
      <c r="H596" t="str">
        <f>_xlfn.XLOOKUP(Quota_tbl[[#This Row],[Rep_ID]],Dim_Reps!A:A,Dim_Reps!D:D)</f>
        <v>Enterprise</v>
      </c>
      <c r="I596" t="str">
        <f>_xlfn.XLOOKUP(Quota_tbl[[#This Row],[Rep_ID]],Dim_Reps!A:A,Dim_Reps!E:E)</f>
        <v>NAMER</v>
      </c>
      <c r="J596" t="str">
        <f>_xlfn.XLOOKUP(Quota_tbl[[#This Row],[Period_Start_Date]],Dim_Date!A:A,Dim_Date!H:H)</f>
        <v>Jan 2025</v>
      </c>
    </row>
    <row r="597" spans="1:10" ht="15" customHeight="1" x14ac:dyDescent="0.2">
      <c r="A597" t="s">
        <v>191</v>
      </c>
      <c r="B597" s="49">
        <v>45689</v>
      </c>
      <c r="C597">
        <v>29</v>
      </c>
      <c r="D597" s="33">
        <v>30400</v>
      </c>
      <c r="E597" t="str">
        <f>_xlfn.XLOOKUP(Quota_tbl[[#This Row],[Rep_ID]],Dim_Reps!A:A,Dim_Reps!K:K)</f>
        <v>USD</v>
      </c>
      <c r="F597" s="33">
        <f>(_xlfn.XLOOKUP(Quota_tbl[[#This Row],[Rate_Code_Generalized]],Lookups!A:A,Lookups!B:B)*Quota_tbl[[#This Row],[Quota_Amount_USD]])</f>
        <v>35394.719999999994</v>
      </c>
      <c r="G597" t="str">
        <f>_xlfn.XLOOKUP(Quota_tbl[[#This Row],[Rep_ID]],Dim_Reps!A:A,Dim_Reps!C:C)</f>
        <v>Enterprise AE</v>
      </c>
      <c r="H597" t="str">
        <f>_xlfn.XLOOKUP(Quota_tbl[[#This Row],[Rep_ID]],Dim_Reps!A:A,Dim_Reps!D:D)</f>
        <v>Enterprise</v>
      </c>
      <c r="I597" t="str">
        <f>_xlfn.XLOOKUP(Quota_tbl[[#This Row],[Rep_ID]],Dim_Reps!A:A,Dim_Reps!E:E)</f>
        <v>NAMER</v>
      </c>
      <c r="J597" t="str">
        <f>_xlfn.XLOOKUP(Quota_tbl[[#This Row],[Period_Start_Date]],Dim_Date!A:A,Dim_Date!H:H)</f>
        <v>Feb 2025</v>
      </c>
    </row>
    <row r="598" spans="1:10" ht="15" customHeight="1" x14ac:dyDescent="0.2">
      <c r="A598" t="s">
        <v>191</v>
      </c>
      <c r="B598" s="49">
        <v>45717</v>
      </c>
      <c r="C598">
        <v>30</v>
      </c>
      <c r="D598" s="33">
        <v>32800</v>
      </c>
      <c r="E598" t="str">
        <f>_xlfn.XLOOKUP(Quota_tbl[[#This Row],[Rep_ID]],Dim_Reps!A:A,Dim_Reps!K:K)</f>
        <v>USD</v>
      </c>
      <c r="F598" s="33">
        <f>(_xlfn.XLOOKUP(Quota_tbl[[#This Row],[Rate_Code_Generalized]],Lookups!A:A,Lookups!B:B)*Quota_tbl[[#This Row],[Quota_Amount_USD]])</f>
        <v>38189.039999999994</v>
      </c>
      <c r="G598" t="str">
        <f>_xlfn.XLOOKUP(Quota_tbl[[#This Row],[Rep_ID]],Dim_Reps!A:A,Dim_Reps!C:C)</f>
        <v>Enterprise AE</v>
      </c>
      <c r="H598" t="str">
        <f>_xlfn.XLOOKUP(Quota_tbl[[#This Row],[Rep_ID]],Dim_Reps!A:A,Dim_Reps!D:D)</f>
        <v>Enterprise</v>
      </c>
      <c r="I598" t="str">
        <f>_xlfn.XLOOKUP(Quota_tbl[[#This Row],[Rep_ID]],Dim_Reps!A:A,Dim_Reps!E:E)</f>
        <v>NAMER</v>
      </c>
      <c r="J598" t="str">
        <f>_xlfn.XLOOKUP(Quota_tbl[[#This Row],[Period_Start_Date]],Dim_Date!A:A,Dim_Date!H:H)</f>
        <v>Mar 2025</v>
      </c>
    </row>
    <row r="599" spans="1:10" ht="15" customHeight="1" x14ac:dyDescent="0.2">
      <c r="A599" t="s">
        <v>191</v>
      </c>
      <c r="B599" s="49">
        <v>45748</v>
      </c>
      <c r="C599">
        <v>31</v>
      </c>
      <c r="D599" s="33">
        <v>32100</v>
      </c>
      <c r="E599" t="str">
        <f>_xlfn.XLOOKUP(Quota_tbl[[#This Row],[Rep_ID]],Dim_Reps!A:A,Dim_Reps!K:K)</f>
        <v>USD</v>
      </c>
      <c r="F599" s="33">
        <f>(_xlfn.XLOOKUP(Quota_tbl[[#This Row],[Rate_Code_Generalized]],Lookups!A:A,Lookups!B:B)*Quota_tbl[[#This Row],[Quota_Amount_USD]])</f>
        <v>37374.03</v>
      </c>
      <c r="G599" t="str">
        <f>_xlfn.XLOOKUP(Quota_tbl[[#This Row],[Rep_ID]],Dim_Reps!A:A,Dim_Reps!C:C)</f>
        <v>Enterprise AE</v>
      </c>
      <c r="H599" t="str">
        <f>_xlfn.XLOOKUP(Quota_tbl[[#This Row],[Rep_ID]],Dim_Reps!A:A,Dim_Reps!D:D)</f>
        <v>Enterprise</v>
      </c>
      <c r="I599" t="str">
        <f>_xlfn.XLOOKUP(Quota_tbl[[#This Row],[Rep_ID]],Dim_Reps!A:A,Dim_Reps!E:E)</f>
        <v>NAMER</v>
      </c>
      <c r="J599" t="str">
        <f>_xlfn.XLOOKUP(Quota_tbl[[#This Row],[Period_Start_Date]],Dim_Date!A:A,Dim_Date!H:H)</f>
        <v>Apr 2025</v>
      </c>
    </row>
    <row r="600" spans="1:10" ht="15" customHeight="1" x14ac:dyDescent="0.2">
      <c r="A600" t="s">
        <v>191</v>
      </c>
      <c r="B600" s="49">
        <v>45778</v>
      </c>
      <c r="C600">
        <v>32</v>
      </c>
      <c r="D600" s="33">
        <v>30800</v>
      </c>
      <c r="E600" t="str">
        <f>_xlfn.XLOOKUP(Quota_tbl[[#This Row],[Rep_ID]],Dim_Reps!A:A,Dim_Reps!K:K)</f>
        <v>USD</v>
      </c>
      <c r="F600" s="33">
        <f>(_xlfn.XLOOKUP(Quota_tbl[[#This Row],[Rate_Code_Generalized]],Lookups!A:A,Lookups!B:B)*Quota_tbl[[#This Row],[Quota_Amount_USD]])</f>
        <v>35860.439999999995</v>
      </c>
      <c r="G600" t="str">
        <f>_xlfn.XLOOKUP(Quota_tbl[[#This Row],[Rep_ID]],Dim_Reps!A:A,Dim_Reps!C:C)</f>
        <v>Enterprise AE</v>
      </c>
      <c r="H600" t="str">
        <f>_xlfn.XLOOKUP(Quota_tbl[[#This Row],[Rep_ID]],Dim_Reps!A:A,Dim_Reps!D:D)</f>
        <v>Enterprise</v>
      </c>
      <c r="I600" t="str">
        <f>_xlfn.XLOOKUP(Quota_tbl[[#This Row],[Rep_ID]],Dim_Reps!A:A,Dim_Reps!E:E)</f>
        <v>NAMER</v>
      </c>
      <c r="J600" t="str">
        <f>_xlfn.XLOOKUP(Quota_tbl[[#This Row],[Period_Start_Date]],Dim_Date!A:A,Dim_Date!H:H)</f>
        <v>May 2025</v>
      </c>
    </row>
    <row r="601" spans="1:10" ht="15" customHeight="1" x14ac:dyDescent="0.2">
      <c r="A601" t="s">
        <v>191</v>
      </c>
      <c r="B601" s="49">
        <v>45809</v>
      </c>
      <c r="C601">
        <v>33</v>
      </c>
      <c r="D601" s="33">
        <v>30800</v>
      </c>
      <c r="E601" t="str">
        <f>_xlfn.XLOOKUP(Quota_tbl[[#This Row],[Rep_ID]],Dim_Reps!A:A,Dim_Reps!K:K)</f>
        <v>USD</v>
      </c>
      <c r="F601" s="33">
        <f>(_xlfn.XLOOKUP(Quota_tbl[[#This Row],[Rate_Code_Generalized]],Lookups!A:A,Lookups!B:B)*Quota_tbl[[#This Row],[Quota_Amount_USD]])</f>
        <v>35860.439999999995</v>
      </c>
      <c r="G601" t="str">
        <f>_xlfn.XLOOKUP(Quota_tbl[[#This Row],[Rep_ID]],Dim_Reps!A:A,Dim_Reps!C:C)</f>
        <v>Enterprise AE</v>
      </c>
      <c r="H601" t="str">
        <f>_xlfn.XLOOKUP(Quota_tbl[[#This Row],[Rep_ID]],Dim_Reps!A:A,Dim_Reps!D:D)</f>
        <v>Enterprise</v>
      </c>
      <c r="I601" t="str">
        <f>_xlfn.XLOOKUP(Quota_tbl[[#This Row],[Rep_ID]],Dim_Reps!A:A,Dim_Reps!E:E)</f>
        <v>NAMER</v>
      </c>
      <c r="J601" t="str">
        <f>_xlfn.XLOOKUP(Quota_tbl[[#This Row],[Period_Start_Date]],Dim_Date!A:A,Dim_Date!H:H)</f>
        <v>Jun 2025</v>
      </c>
    </row>
    <row r="602" spans="1:10" ht="15" customHeight="1" x14ac:dyDescent="0.2">
      <c r="A602" t="s">
        <v>191</v>
      </c>
      <c r="B602" s="49">
        <v>45839</v>
      </c>
      <c r="C602">
        <v>34</v>
      </c>
      <c r="D602" s="33">
        <v>31700</v>
      </c>
      <c r="E602" t="str">
        <f>_xlfn.XLOOKUP(Quota_tbl[[#This Row],[Rep_ID]],Dim_Reps!A:A,Dim_Reps!K:K)</f>
        <v>USD</v>
      </c>
      <c r="F602" s="33">
        <f>(_xlfn.XLOOKUP(Quota_tbl[[#This Row],[Rate_Code_Generalized]],Lookups!A:A,Lookups!B:B)*Quota_tbl[[#This Row],[Quota_Amount_USD]])</f>
        <v>36908.31</v>
      </c>
      <c r="G602" t="str">
        <f>_xlfn.XLOOKUP(Quota_tbl[[#This Row],[Rep_ID]],Dim_Reps!A:A,Dim_Reps!C:C)</f>
        <v>Enterprise AE</v>
      </c>
      <c r="H602" t="str">
        <f>_xlfn.XLOOKUP(Quota_tbl[[#This Row],[Rep_ID]],Dim_Reps!A:A,Dim_Reps!D:D)</f>
        <v>Enterprise</v>
      </c>
      <c r="I602" t="str">
        <f>_xlfn.XLOOKUP(Quota_tbl[[#This Row],[Rep_ID]],Dim_Reps!A:A,Dim_Reps!E:E)</f>
        <v>NAMER</v>
      </c>
      <c r="J602" t="str">
        <f>_xlfn.XLOOKUP(Quota_tbl[[#This Row],[Period_Start_Date]],Dim_Date!A:A,Dim_Date!H:H)</f>
        <v>Jul 2025</v>
      </c>
    </row>
    <row r="603" spans="1:10" ht="15" customHeight="1" x14ac:dyDescent="0.2">
      <c r="A603" t="s">
        <v>191</v>
      </c>
      <c r="B603" s="49">
        <v>45870</v>
      </c>
      <c r="C603">
        <v>35</v>
      </c>
      <c r="D603" s="33">
        <v>33600</v>
      </c>
      <c r="E603" t="str">
        <f>_xlfn.XLOOKUP(Quota_tbl[[#This Row],[Rep_ID]],Dim_Reps!A:A,Dim_Reps!K:K)</f>
        <v>USD</v>
      </c>
      <c r="F603" s="33">
        <f>(_xlfn.XLOOKUP(Quota_tbl[[#This Row],[Rate_Code_Generalized]],Lookups!A:A,Lookups!B:B)*Quota_tbl[[#This Row],[Quota_Amount_USD]])</f>
        <v>39120.479999999996</v>
      </c>
      <c r="G603" t="str">
        <f>_xlfn.XLOOKUP(Quota_tbl[[#This Row],[Rep_ID]],Dim_Reps!A:A,Dim_Reps!C:C)</f>
        <v>Enterprise AE</v>
      </c>
      <c r="H603" t="str">
        <f>_xlfn.XLOOKUP(Quota_tbl[[#This Row],[Rep_ID]],Dim_Reps!A:A,Dim_Reps!D:D)</f>
        <v>Enterprise</v>
      </c>
      <c r="I603" t="str">
        <f>_xlfn.XLOOKUP(Quota_tbl[[#This Row],[Rep_ID]],Dim_Reps!A:A,Dim_Reps!E:E)</f>
        <v>NAMER</v>
      </c>
      <c r="J603" t="str">
        <f>_xlfn.XLOOKUP(Quota_tbl[[#This Row],[Period_Start_Date]],Dim_Date!A:A,Dim_Date!H:H)</f>
        <v>Aug 2025</v>
      </c>
    </row>
    <row r="604" spans="1:10" ht="15" customHeight="1" x14ac:dyDescent="0.2">
      <c r="A604" t="s">
        <v>191</v>
      </c>
      <c r="B604" s="49">
        <v>45901</v>
      </c>
      <c r="C604">
        <v>36</v>
      </c>
      <c r="D604" s="33">
        <v>31800</v>
      </c>
      <c r="E604" t="str">
        <f>_xlfn.XLOOKUP(Quota_tbl[[#This Row],[Rep_ID]],Dim_Reps!A:A,Dim_Reps!K:K)</f>
        <v>USD</v>
      </c>
      <c r="F604" s="33">
        <f>(_xlfn.XLOOKUP(Quota_tbl[[#This Row],[Rate_Code_Generalized]],Lookups!A:A,Lookups!B:B)*Quota_tbl[[#This Row],[Quota_Amount_USD]])</f>
        <v>37024.74</v>
      </c>
      <c r="G604" t="str">
        <f>_xlfn.XLOOKUP(Quota_tbl[[#This Row],[Rep_ID]],Dim_Reps!A:A,Dim_Reps!C:C)</f>
        <v>Enterprise AE</v>
      </c>
      <c r="H604" t="str">
        <f>_xlfn.XLOOKUP(Quota_tbl[[#This Row],[Rep_ID]],Dim_Reps!A:A,Dim_Reps!D:D)</f>
        <v>Enterprise</v>
      </c>
      <c r="I604" t="str">
        <f>_xlfn.XLOOKUP(Quota_tbl[[#This Row],[Rep_ID]],Dim_Reps!A:A,Dim_Reps!E:E)</f>
        <v>NAMER</v>
      </c>
      <c r="J604" t="str">
        <f>_xlfn.XLOOKUP(Quota_tbl[[#This Row],[Period_Start_Date]],Dim_Date!A:A,Dim_Date!H:H)</f>
        <v>Sep 2025</v>
      </c>
    </row>
    <row r="605" spans="1:10" ht="15" customHeight="1" x14ac:dyDescent="0.2">
      <c r="A605" t="s">
        <v>191</v>
      </c>
      <c r="B605" s="49">
        <v>45931</v>
      </c>
      <c r="C605">
        <v>37</v>
      </c>
      <c r="D605" s="33">
        <v>30600</v>
      </c>
      <c r="E605" t="str">
        <f>_xlfn.XLOOKUP(Quota_tbl[[#This Row],[Rep_ID]],Dim_Reps!A:A,Dim_Reps!K:K)</f>
        <v>USD</v>
      </c>
      <c r="F605" s="33">
        <f>(_xlfn.XLOOKUP(Quota_tbl[[#This Row],[Rate_Code_Generalized]],Lookups!A:A,Lookups!B:B)*Quota_tbl[[#This Row],[Quota_Amount_USD]])</f>
        <v>35627.579999999994</v>
      </c>
      <c r="G605" t="str">
        <f>_xlfn.XLOOKUP(Quota_tbl[[#This Row],[Rep_ID]],Dim_Reps!A:A,Dim_Reps!C:C)</f>
        <v>Enterprise AE</v>
      </c>
      <c r="H605" t="str">
        <f>_xlfn.XLOOKUP(Quota_tbl[[#This Row],[Rep_ID]],Dim_Reps!A:A,Dim_Reps!D:D)</f>
        <v>Enterprise</v>
      </c>
      <c r="I605" t="str">
        <f>_xlfn.XLOOKUP(Quota_tbl[[#This Row],[Rep_ID]],Dim_Reps!A:A,Dim_Reps!E:E)</f>
        <v>NAMER</v>
      </c>
      <c r="J605" t="str">
        <f>_xlfn.XLOOKUP(Quota_tbl[[#This Row],[Period_Start_Date]],Dim_Date!A:A,Dim_Date!H:H)</f>
        <v>Oct 2025</v>
      </c>
    </row>
    <row r="606" spans="1:10" ht="15" customHeight="1" x14ac:dyDescent="0.2">
      <c r="A606" t="s">
        <v>191</v>
      </c>
      <c r="B606" s="49">
        <v>45962</v>
      </c>
      <c r="C606">
        <v>38</v>
      </c>
      <c r="D606" s="33">
        <v>31800</v>
      </c>
      <c r="E606" t="str">
        <f>_xlfn.XLOOKUP(Quota_tbl[[#This Row],[Rep_ID]],Dim_Reps!A:A,Dim_Reps!K:K)</f>
        <v>USD</v>
      </c>
      <c r="F606" s="33">
        <f>(_xlfn.XLOOKUP(Quota_tbl[[#This Row],[Rate_Code_Generalized]],Lookups!A:A,Lookups!B:B)*Quota_tbl[[#This Row],[Quota_Amount_USD]])</f>
        <v>37024.74</v>
      </c>
      <c r="G606" t="str">
        <f>_xlfn.XLOOKUP(Quota_tbl[[#This Row],[Rep_ID]],Dim_Reps!A:A,Dim_Reps!C:C)</f>
        <v>Enterprise AE</v>
      </c>
      <c r="H606" t="str">
        <f>_xlfn.XLOOKUP(Quota_tbl[[#This Row],[Rep_ID]],Dim_Reps!A:A,Dim_Reps!D:D)</f>
        <v>Enterprise</v>
      </c>
      <c r="I606" t="str">
        <f>_xlfn.XLOOKUP(Quota_tbl[[#This Row],[Rep_ID]],Dim_Reps!A:A,Dim_Reps!E:E)</f>
        <v>NAMER</v>
      </c>
      <c r="J606" t="str">
        <f>_xlfn.XLOOKUP(Quota_tbl[[#This Row],[Period_Start_Date]],Dim_Date!A:A,Dim_Date!H:H)</f>
        <v>Nov 2025</v>
      </c>
    </row>
    <row r="607" spans="1:10" ht="15" customHeight="1" x14ac:dyDescent="0.2">
      <c r="A607" t="s">
        <v>191</v>
      </c>
      <c r="B607" s="49">
        <v>45992</v>
      </c>
      <c r="C607">
        <v>39</v>
      </c>
      <c r="D607" s="33">
        <v>31700</v>
      </c>
      <c r="E607" t="str">
        <f>_xlfn.XLOOKUP(Quota_tbl[[#This Row],[Rep_ID]],Dim_Reps!A:A,Dim_Reps!K:K)</f>
        <v>USD</v>
      </c>
      <c r="F607" s="33">
        <f>(_xlfn.XLOOKUP(Quota_tbl[[#This Row],[Rate_Code_Generalized]],Lookups!A:A,Lookups!B:B)*Quota_tbl[[#This Row],[Quota_Amount_USD]])</f>
        <v>36908.31</v>
      </c>
      <c r="G607" t="str">
        <f>_xlfn.XLOOKUP(Quota_tbl[[#This Row],[Rep_ID]],Dim_Reps!A:A,Dim_Reps!C:C)</f>
        <v>Enterprise AE</v>
      </c>
      <c r="H607" t="str">
        <f>_xlfn.XLOOKUP(Quota_tbl[[#This Row],[Rep_ID]],Dim_Reps!A:A,Dim_Reps!D:D)</f>
        <v>Enterprise</v>
      </c>
      <c r="I607" t="str">
        <f>_xlfn.XLOOKUP(Quota_tbl[[#This Row],[Rep_ID]],Dim_Reps!A:A,Dim_Reps!E:E)</f>
        <v>NAMER</v>
      </c>
      <c r="J607" t="str">
        <f>_xlfn.XLOOKUP(Quota_tbl[[#This Row],[Period_Start_Date]],Dim_Date!A:A,Dim_Date!H:H)</f>
        <v>Dec 2025</v>
      </c>
    </row>
    <row r="608" spans="1:10" ht="15" customHeight="1" x14ac:dyDescent="0.2">
      <c r="A608" t="s">
        <v>229</v>
      </c>
      <c r="B608" s="49">
        <v>45292</v>
      </c>
      <c r="C608">
        <v>6</v>
      </c>
      <c r="D608" s="33">
        <v>14200</v>
      </c>
      <c r="E608" t="str">
        <f>_xlfn.XLOOKUP(Quota_tbl[[#This Row],[Rep_ID]],Dim_Reps!A:A,Dim_Reps!K:K)</f>
        <v>USD</v>
      </c>
      <c r="F608" s="33">
        <f>(_xlfn.XLOOKUP(Quota_tbl[[#This Row],[Rate_Code_Generalized]],Lookups!A:A,Lookups!B:B)*Quota_tbl[[#This Row],[Quota_Amount_USD]])</f>
        <v>16533.059999999998</v>
      </c>
      <c r="G608" t="str">
        <f>_xlfn.XLOOKUP(Quota_tbl[[#This Row],[Rep_ID]],Dim_Reps!A:A,Dim_Reps!C:C)</f>
        <v>SDR / Inside Sales Rep</v>
      </c>
      <c r="H608" t="str">
        <f>_xlfn.XLOOKUP(Quota_tbl[[#This Row],[Rep_ID]],Dim_Reps!A:A,Dim_Reps!D:D)</f>
        <v>Inside Sales</v>
      </c>
      <c r="I608" t="str">
        <f>_xlfn.XLOOKUP(Quota_tbl[[#This Row],[Rep_ID]],Dim_Reps!A:A,Dim_Reps!E:E)</f>
        <v>NAMER</v>
      </c>
      <c r="J608" t="str">
        <f>_xlfn.XLOOKUP(Quota_tbl[[#This Row],[Period_Start_Date]],Dim_Date!A:A,Dim_Date!H:H)</f>
        <v>Jan 2024</v>
      </c>
    </row>
    <row r="609" spans="1:10" ht="15" customHeight="1" x14ac:dyDescent="0.2">
      <c r="A609" t="s">
        <v>229</v>
      </c>
      <c r="B609" s="49">
        <v>45323</v>
      </c>
      <c r="C609">
        <v>7</v>
      </c>
      <c r="D609" s="33">
        <v>15500</v>
      </c>
      <c r="E609" t="str">
        <f>_xlfn.XLOOKUP(Quota_tbl[[#This Row],[Rep_ID]],Dim_Reps!A:A,Dim_Reps!K:K)</f>
        <v>USD</v>
      </c>
      <c r="F609" s="33">
        <f>(_xlfn.XLOOKUP(Quota_tbl[[#This Row],[Rate_Code_Generalized]],Lookups!A:A,Lookups!B:B)*Quota_tbl[[#This Row],[Quota_Amount_USD]])</f>
        <v>18046.649999999998</v>
      </c>
      <c r="G609" t="str">
        <f>_xlfn.XLOOKUP(Quota_tbl[[#This Row],[Rep_ID]],Dim_Reps!A:A,Dim_Reps!C:C)</f>
        <v>SDR / Inside Sales Rep</v>
      </c>
      <c r="H609" t="str">
        <f>_xlfn.XLOOKUP(Quota_tbl[[#This Row],[Rep_ID]],Dim_Reps!A:A,Dim_Reps!D:D)</f>
        <v>Inside Sales</v>
      </c>
      <c r="I609" t="str">
        <f>_xlfn.XLOOKUP(Quota_tbl[[#This Row],[Rep_ID]],Dim_Reps!A:A,Dim_Reps!E:E)</f>
        <v>NAMER</v>
      </c>
      <c r="J609" t="str">
        <f>_xlfn.XLOOKUP(Quota_tbl[[#This Row],[Period_Start_Date]],Dim_Date!A:A,Dim_Date!H:H)</f>
        <v>Feb 2024</v>
      </c>
    </row>
    <row r="610" spans="1:10" ht="15" customHeight="1" x14ac:dyDescent="0.2">
      <c r="A610" t="s">
        <v>229</v>
      </c>
      <c r="B610" s="49">
        <v>45352</v>
      </c>
      <c r="C610">
        <v>8</v>
      </c>
      <c r="D610" s="33">
        <v>15400</v>
      </c>
      <c r="E610" t="str">
        <f>_xlfn.XLOOKUP(Quota_tbl[[#This Row],[Rep_ID]],Dim_Reps!A:A,Dim_Reps!K:K)</f>
        <v>USD</v>
      </c>
      <c r="F610" s="33">
        <f>(_xlfn.XLOOKUP(Quota_tbl[[#This Row],[Rate_Code_Generalized]],Lookups!A:A,Lookups!B:B)*Quota_tbl[[#This Row],[Quota_Amount_USD]])</f>
        <v>17930.219999999998</v>
      </c>
      <c r="G610" t="str">
        <f>_xlfn.XLOOKUP(Quota_tbl[[#This Row],[Rep_ID]],Dim_Reps!A:A,Dim_Reps!C:C)</f>
        <v>SDR / Inside Sales Rep</v>
      </c>
      <c r="H610" t="str">
        <f>_xlfn.XLOOKUP(Quota_tbl[[#This Row],[Rep_ID]],Dim_Reps!A:A,Dim_Reps!D:D)</f>
        <v>Inside Sales</v>
      </c>
      <c r="I610" t="str">
        <f>_xlfn.XLOOKUP(Quota_tbl[[#This Row],[Rep_ID]],Dim_Reps!A:A,Dim_Reps!E:E)</f>
        <v>NAMER</v>
      </c>
      <c r="J610" t="str">
        <f>_xlfn.XLOOKUP(Quota_tbl[[#This Row],[Period_Start_Date]],Dim_Date!A:A,Dim_Date!H:H)</f>
        <v>Mar 2024</v>
      </c>
    </row>
    <row r="611" spans="1:10" ht="15" customHeight="1" x14ac:dyDescent="0.2">
      <c r="A611" t="s">
        <v>229</v>
      </c>
      <c r="B611" s="49">
        <v>45383</v>
      </c>
      <c r="C611">
        <v>9</v>
      </c>
      <c r="D611" s="33">
        <v>15800</v>
      </c>
      <c r="E611" t="str">
        <f>_xlfn.XLOOKUP(Quota_tbl[[#This Row],[Rep_ID]],Dim_Reps!A:A,Dim_Reps!K:K)</f>
        <v>USD</v>
      </c>
      <c r="F611" s="33">
        <f>(_xlfn.XLOOKUP(Quota_tbl[[#This Row],[Rate_Code_Generalized]],Lookups!A:A,Lookups!B:B)*Quota_tbl[[#This Row],[Quota_Amount_USD]])</f>
        <v>18395.939999999999</v>
      </c>
      <c r="G611" t="str">
        <f>_xlfn.XLOOKUP(Quota_tbl[[#This Row],[Rep_ID]],Dim_Reps!A:A,Dim_Reps!C:C)</f>
        <v>SDR / Inside Sales Rep</v>
      </c>
      <c r="H611" t="str">
        <f>_xlfn.XLOOKUP(Quota_tbl[[#This Row],[Rep_ID]],Dim_Reps!A:A,Dim_Reps!D:D)</f>
        <v>Inside Sales</v>
      </c>
      <c r="I611" t="str">
        <f>_xlfn.XLOOKUP(Quota_tbl[[#This Row],[Rep_ID]],Dim_Reps!A:A,Dim_Reps!E:E)</f>
        <v>NAMER</v>
      </c>
      <c r="J611" t="str">
        <f>_xlfn.XLOOKUP(Quota_tbl[[#This Row],[Period_Start_Date]],Dim_Date!A:A,Dim_Date!H:H)</f>
        <v>Apr 2024</v>
      </c>
    </row>
    <row r="612" spans="1:10" ht="15" customHeight="1" x14ac:dyDescent="0.2">
      <c r="A612" t="s">
        <v>229</v>
      </c>
      <c r="B612" s="49">
        <v>45413</v>
      </c>
      <c r="C612">
        <v>10</v>
      </c>
      <c r="D612" s="33">
        <v>16400</v>
      </c>
      <c r="E612" t="str">
        <f>_xlfn.XLOOKUP(Quota_tbl[[#This Row],[Rep_ID]],Dim_Reps!A:A,Dim_Reps!K:K)</f>
        <v>USD</v>
      </c>
      <c r="F612" s="33">
        <f>(_xlfn.XLOOKUP(Quota_tbl[[#This Row],[Rate_Code_Generalized]],Lookups!A:A,Lookups!B:B)*Quota_tbl[[#This Row],[Quota_Amount_USD]])</f>
        <v>19094.519999999997</v>
      </c>
      <c r="G612" t="str">
        <f>_xlfn.XLOOKUP(Quota_tbl[[#This Row],[Rep_ID]],Dim_Reps!A:A,Dim_Reps!C:C)</f>
        <v>SDR / Inside Sales Rep</v>
      </c>
      <c r="H612" t="str">
        <f>_xlfn.XLOOKUP(Quota_tbl[[#This Row],[Rep_ID]],Dim_Reps!A:A,Dim_Reps!D:D)</f>
        <v>Inside Sales</v>
      </c>
      <c r="I612" t="str">
        <f>_xlfn.XLOOKUP(Quota_tbl[[#This Row],[Rep_ID]],Dim_Reps!A:A,Dim_Reps!E:E)</f>
        <v>NAMER</v>
      </c>
      <c r="J612" t="str">
        <f>_xlfn.XLOOKUP(Quota_tbl[[#This Row],[Period_Start_Date]],Dim_Date!A:A,Dim_Date!H:H)</f>
        <v>May 2024</v>
      </c>
    </row>
    <row r="613" spans="1:10" ht="15" customHeight="1" x14ac:dyDescent="0.2">
      <c r="A613" t="s">
        <v>229</v>
      </c>
      <c r="B613" s="49">
        <v>45444</v>
      </c>
      <c r="C613">
        <v>11</v>
      </c>
      <c r="D613" s="33">
        <v>16000</v>
      </c>
      <c r="E613" t="str">
        <f>_xlfn.XLOOKUP(Quota_tbl[[#This Row],[Rep_ID]],Dim_Reps!A:A,Dim_Reps!K:K)</f>
        <v>USD</v>
      </c>
      <c r="F613" s="33">
        <f>(_xlfn.XLOOKUP(Quota_tbl[[#This Row],[Rate_Code_Generalized]],Lookups!A:A,Lookups!B:B)*Quota_tbl[[#This Row],[Quota_Amount_USD]])</f>
        <v>18628.8</v>
      </c>
      <c r="G613" t="str">
        <f>_xlfn.XLOOKUP(Quota_tbl[[#This Row],[Rep_ID]],Dim_Reps!A:A,Dim_Reps!C:C)</f>
        <v>SDR / Inside Sales Rep</v>
      </c>
      <c r="H613" t="str">
        <f>_xlfn.XLOOKUP(Quota_tbl[[#This Row],[Rep_ID]],Dim_Reps!A:A,Dim_Reps!D:D)</f>
        <v>Inside Sales</v>
      </c>
      <c r="I613" t="str">
        <f>_xlfn.XLOOKUP(Quota_tbl[[#This Row],[Rep_ID]],Dim_Reps!A:A,Dim_Reps!E:E)</f>
        <v>NAMER</v>
      </c>
      <c r="J613" t="str">
        <f>_xlfn.XLOOKUP(Quota_tbl[[#This Row],[Period_Start_Date]],Dim_Date!A:A,Dim_Date!H:H)</f>
        <v>Jun 2024</v>
      </c>
    </row>
    <row r="614" spans="1:10" ht="15" customHeight="1" x14ac:dyDescent="0.2">
      <c r="A614" t="s">
        <v>229</v>
      </c>
      <c r="B614" s="49">
        <v>45474</v>
      </c>
      <c r="C614">
        <v>12</v>
      </c>
      <c r="D614" s="33">
        <v>15400</v>
      </c>
      <c r="E614" t="str">
        <f>_xlfn.XLOOKUP(Quota_tbl[[#This Row],[Rep_ID]],Dim_Reps!A:A,Dim_Reps!K:K)</f>
        <v>USD</v>
      </c>
      <c r="F614" s="33">
        <f>(_xlfn.XLOOKUP(Quota_tbl[[#This Row],[Rate_Code_Generalized]],Lookups!A:A,Lookups!B:B)*Quota_tbl[[#This Row],[Quota_Amount_USD]])</f>
        <v>17930.219999999998</v>
      </c>
      <c r="G614" t="str">
        <f>_xlfn.XLOOKUP(Quota_tbl[[#This Row],[Rep_ID]],Dim_Reps!A:A,Dim_Reps!C:C)</f>
        <v>SDR / Inside Sales Rep</v>
      </c>
      <c r="H614" t="str">
        <f>_xlfn.XLOOKUP(Quota_tbl[[#This Row],[Rep_ID]],Dim_Reps!A:A,Dim_Reps!D:D)</f>
        <v>Inside Sales</v>
      </c>
      <c r="I614" t="str">
        <f>_xlfn.XLOOKUP(Quota_tbl[[#This Row],[Rep_ID]],Dim_Reps!A:A,Dim_Reps!E:E)</f>
        <v>NAMER</v>
      </c>
      <c r="J614" t="str">
        <f>_xlfn.XLOOKUP(Quota_tbl[[#This Row],[Period_Start_Date]],Dim_Date!A:A,Dim_Date!H:H)</f>
        <v>Jul 2024</v>
      </c>
    </row>
    <row r="615" spans="1:10" ht="15" customHeight="1" x14ac:dyDescent="0.2">
      <c r="A615" t="s">
        <v>229</v>
      </c>
      <c r="B615" s="49">
        <v>45505</v>
      </c>
      <c r="C615">
        <v>13</v>
      </c>
      <c r="D615" s="33">
        <v>15000</v>
      </c>
      <c r="E615" t="str">
        <f>_xlfn.XLOOKUP(Quota_tbl[[#This Row],[Rep_ID]],Dim_Reps!A:A,Dim_Reps!K:K)</f>
        <v>USD</v>
      </c>
      <c r="F615" s="33">
        <f>(_xlfn.XLOOKUP(Quota_tbl[[#This Row],[Rate_Code_Generalized]],Lookups!A:A,Lookups!B:B)*Quota_tbl[[#This Row],[Quota_Amount_USD]])</f>
        <v>17464.5</v>
      </c>
      <c r="G615" t="str">
        <f>_xlfn.XLOOKUP(Quota_tbl[[#This Row],[Rep_ID]],Dim_Reps!A:A,Dim_Reps!C:C)</f>
        <v>SDR / Inside Sales Rep</v>
      </c>
      <c r="H615" t="str">
        <f>_xlfn.XLOOKUP(Quota_tbl[[#This Row],[Rep_ID]],Dim_Reps!A:A,Dim_Reps!D:D)</f>
        <v>Inside Sales</v>
      </c>
      <c r="I615" t="str">
        <f>_xlfn.XLOOKUP(Quota_tbl[[#This Row],[Rep_ID]],Dim_Reps!A:A,Dim_Reps!E:E)</f>
        <v>NAMER</v>
      </c>
      <c r="J615" t="str">
        <f>_xlfn.XLOOKUP(Quota_tbl[[#This Row],[Period_Start_Date]],Dim_Date!A:A,Dim_Date!H:H)</f>
        <v>Aug 2024</v>
      </c>
    </row>
    <row r="616" spans="1:10" ht="15" customHeight="1" x14ac:dyDescent="0.2">
      <c r="A616" t="s">
        <v>229</v>
      </c>
      <c r="B616" s="49">
        <v>45536</v>
      </c>
      <c r="C616">
        <v>14</v>
      </c>
      <c r="D616" s="33">
        <v>16700</v>
      </c>
      <c r="E616" t="str">
        <f>_xlfn.XLOOKUP(Quota_tbl[[#This Row],[Rep_ID]],Dim_Reps!A:A,Dim_Reps!K:K)</f>
        <v>USD</v>
      </c>
      <c r="F616" s="33">
        <f>(_xlfn.XLOOKUP(Quota_tbl[[#This Row],[Rate_Code_Generalized]],Lookups!A:A,Lookups!B:B)*Quota_tbl[[#This Row],[Quota_Amount_USD]])</f>
        <v>19443.809999999998</v>
      </c>
      <c r="G616" t="str">
        <f>_xlfn.XLOOKUP(Quota_tbl[[#This Row],[Rep_ID]],Dim_Reps!A:A,Dim_Reps!C:C)</f>
        <v>SDR / Inside Sales Rep</v>
      </c>
      <c r="H616" t="str">
        <f>_xlfn.XLOOKUP(Quota_tbl[[#This Row],[Rep_ID]],Dim_Reps!A:A,Dim_Reps!D:D)</f>
        <v>Inside Sales</v>
      </c>
      <c r="I616" t="str">
        <f>_xlfn.XLOOKUP(Quota_tbl[[#This Row],[Rep_ID]],Dim_Reps!A:A,Dim_Reps!E:E)</f>
        <v>NAMER</v>
      </c>
      <c r="J616" t="str">
        <f>_xlfn.XLOOKUP(Quota_tbl[[#This Row],[Period_Start_Date]],Dim_Date!A:A,Dim_Date!H:H)</f>
        <v>Sep 2024</v>
      </c>
    </row>
    <row r="617" spans="1:10" ht="15" customHeight="1" x14ac:dyDescent="0.2">
      <c r="A617" t="s">
        <v>229</v>
      </c>
      <c r="B617" s="49">
        <v>45566</v>
      </c>
      <c r="C617">
        <v>15</v>
      </c>
      <c r="D617" s="33">
        <v>15500</v>
      </c>
      <c r="E617" t="str">
        <f>_xlfn.XLOOKUP(Quota_tbl[[#This Row],[Rep_ID]],Dim_Reps!A:A,Dim_Reps!K:K)</f>
        <v>USD</v>
      </c>
      <c r="F617" s="33">
        <f>(_xlfn.XLOOKUP(Quota_tbl[[#This Row],[Rate_Code_Generalized]],Lookups!A:A,Lookups!B:B)*Quota_tbl[[#This Row],[Quota_Amount_USD]])</f>
        <v>18046.649999999998</v>
      </c>
      <c r="G617" t="str">
        <f>_xlfn.XLOOKUP(Quota_tbl[[#This Row],[Rep_ID]],Dim_Reps!A:A,Dim_Reps!C:C)</f>
        <v>SDR / Inside Sales Rep</v>
      </c>
      <c r="H617" t="str">
        <f>_xlfn.XLOOKUP(Quota_tbl[[#This Row],[Rep_ID]],Dim_Reps!A:A,Dim_Reps!D:D)</f>
        <v>Inside Sales</v>
      </c>
      <c r="I617" t="str">
        <f>_xlfn.XLOOKUP(Quota_tbl[[#This Row],[Rep_ID]],Dim_Reps!A:A,Dim_Reps!E:E)</f>
        <v>NAMER</v>
      </c>
      <c r="J617" t="str">
        <f>_xlfn.XLOOKUP(Quota_tbl[[#This Row],[Period_Start_Date]],Dim_Date!A:A,Dim_Date!H:H)</f>
        <v>Oct 2024</v>
      </c>
    </row>
    <row r="618" spans="1:10" ht="15" customHeight="1" x14ac:dyDescent="0.2">
      <c r="A618" t="s">
        <v>229</v>
      </c>
      <c r="B618" s="49">
        <v>45597</v>
      </c>
      <c r="C618">
        <v>16</v>
      </c>
      <c r="D618" s="33">
        <v>15500</v>
      </c>
      <c r="E618" t="str">
        <f>_xlfn.XLOOKUP(Quota_tbl[[#This Row],[Rep_ID]],Dim_Reps!A:A,Dim_Reps!K:K)</f>
        <v>USD</v>
      </c>
      <c r="F618" s="33">
        <f>(_xlfn.XLOOKUP(Quota_tbl[[#This Row],[Rate_Code_Generalized]],Lookups!A:A,Lookups!B:B)*Quota_tbl[[#This Row],[Quota_Amount_USD]])</f>
        <v>18046.649999999998</v>
      </c>
      <c r="G618" t="str">
        <f>_xlfn.XLOOKUP(Quota_tbl[[#This Row],[Rep_ID]],Dim_Reps!A:A,Dim_Reps!C:C)</f>
        <v>SDR / Inside Sales Rep</v>
      </c>
      <c r="H618" t="str">
        <f>_xlfn.XLOOKUP(Quota_tbl[[#This Row],[Rep_ID]],Dim_Reps!A:A,Dim_Reps!D:D)</f>
        <v>Inside Sales</v>
      </c>
      <c r="I618" t="str">
        <f>_xlfn.XLOOKUP(Quota_tbl[[#This Row],[Rep_ID]],Dim_Reps!A:A,Dim_Reps!E:E)</f>
        <v>NAMER</v>
      </c>
      <c r="J618" t="str">
        <f>_xlfn.XLOOKUP(Quota_tbl[[#This Row],[Period_Start_Date]],Dim_Date!A:A,Dim_Date!H:H)</f>
        <v>Nov 2024</v>
      </c>
    </row>
    <row r="619" spans="1:10" ht="15" customHeight="1" x14ac:dyDescent="0.2">
      <c r="A619" t="s">
        <v>229</v>
      </c>
      <c r="B619" s="49">
        <v>45627</v>
      </c>
      <c r="C619">
        <v>17</v>
      </c>
      <c r="D619" s="33">
        <v>15500</v>
      </c>
      <c r="E619" t="str">
        <f>_xlfn.XLOOKUP(Quota_tbl[[#This Row],[Rep_ID]],Dim_Reps!A:A,Dim_Reps!K:K)</f>
        <v>USD</v>
      </c>
      <c r="F619" s="33">
        <f>(_xlfn.XLOOKUP(Quota_tbl[[#This Row],[Rate_Code_Generalized]],Lookups!A:A,Lookups!B:B)*Quota_tbl[[#This Row],[Quota_Amount_USD]])</f>
        <v>18046.649999999998</v>
      </c>
      <c r="G619" t="str">
        <f>_xlfn.XLOOKUP(Quota_tbl[[#This Row],[Rep_ID]],Dim_Reps!A:A,Dim_Reps!C:C)</f>
        <v>SDR / Inside Sales Rep</v>
      </c>
      <c r="H619" t="str">
        <f>_xlfn.XLOOKUP(Quota_tbl[[#This Row],[Rep_ID]],Dim_Reps!A:A,Dim_Reps!D:D)</f>
        <v>Inside Sales</v>
      </c>
      <c r="I619" t="str">
        <f>_xlfn.XLOOKUP(Quota_tbl[[#This Row],[Rep_ID]],Dim_Reps!A:A,Dim_Reps!E:E)</f>
        <v>NAMER</v>
      </c>
      <c r="J619" t="str">
        <f>_xlfn.XLOOKUP(Quota_tbl[[#This Row],[Period_Start_Date]],Dim_Date!A:A,Dim_Date!H:H)</f>
        <v>Dec 2024</v>
      </c>
    </row>
    <row r="620" spans="1:10" ht="15" customHeight="1" x14ac:dyDescent="0.2">
      <c r="A620" t="s">
        <v>229</v>
      </c>
      <c r="B620" s="49">
        <v>45658</v>
      </c>
      <c r="C620">
        <v>18</v>
      </c>
      <c r="D620" s="33">
        <v>15600</v>
      </c>
      <c r="E620" t="str">
        <f>_xlfn.XLOOKUP(Quota_tbl[[#This Row],[Rep_ID]],Dim_Reps!A:A,Dim_Reps!K:K)</f>
        <v>USD</v>
      </c>
      <c r="F620" s="33">
        <f>(_xlfn.XLOOKUP(Quota_tbl[[#This Row],[Rate_Code_Generalized]],Lookups!A:A,Lookups!B:B)*Quota_tbl[[#This Row],[Quota_Amount_USD]])</f>
        <v>18163.079999999998</v>
      </c>
      <c r="G620" t="str">
        <f>_xlfn.XLOOKUP(Quota_tbl[[#This Row],[Rep_ID]],Dim_Reps!A:A,Dim_Reps!C:C)</f>
        <v>SDR / Inside Sales Rep</v>
      </c>
      <c r="H620" t="str">
        <f>_xlfn.XLOOKUP(Quota_tbl[[#This Row],[Rep_ID]],Dim_Reps!A:A,Dim_Reps!D:D)</f>
        <v>Inside Sales</v>
      </c>
      <c r="I620" t="str">
        <f>_xlfn.XLOOKUP(Quota_tbl[[#This Row],[Rep_ID]],Dim_Reps!A:A,Dim_Reps!E:E)</f>
        <v>NAMER</v>
      </c>
      <c r="J620" t="str">
        <f>_xlfn.XLOOKUP(Quota_tbl[[#This Row],[Period_Start_Date]],Dim_Date!A:A,Dim_Date!H:H)</f>
        <v>Jan 2025</v>
      </c>
    </row>
    <row r="621" spans="1:10" ht="15" customHeight="1" x14ac:dyDescent="0.2">
      <c r="A621" t="s">
        <v>229</v>
      </c>
      <c r="B621" s="49">
        <v>45689</v>
      </c>
      <c r="C621">
        <v>19</v>
      </c>
      <c r="D621" s="33">
        <v>15400</v>
      </c>
      <c r="E621" t="str">
        <f>_xlfn.XLOOKUP(Quota_tbl[[#This Row],[Rep_ID]],Dim_Reps!A:A,Dim_Reps!K:K)</f>
        <v>USD</v>
      </c>
      <c r="F621" s="33">
        <f>(_xlfn.XLOOKUP(Quota_tbl[[#This Row],[Rate_Code_Generalized]],Lookups!A:A,Lookups!B:B)*Quota_tbl[[#This Row],[Quota_Amount_USD]])</f>
        <v>17930.219999999998</v>
      </c>
      <c r="G621" t="str">
        <f>_xlfn.XLOOKUP(Quota_tbl[[#This Row],[Rep_ID]],Dim_Reps!A:A,Dim_Reps!C:C)</f>
        <v>SDR / Inside Sales Rep</v>
      </c>
      <c r="H621" t="str">
        <f>_xlfn.XLOOKUP(Quota_tbl[[#This Row],[Rep_ID]],Dim_Reps!A:A,Dim_Reps!D:D)</f>
        <v>Inside Sales</v>
      </c>
      <c r="I621" t="str">
        <f>_xlfn.XLOOKUP(Quota_tbl[[#This Row],[Rep_ID]],Dim_Reps!A:A,Dim_Reps!E:E)</f>
        <v>NAMER</v>
      </c>
      <c r="J621" t="str">
        <f>_xlfn.XLOOKUP(Quota_tbl[[#This Row],[Period_Start_Date]],Dim_Date!A:A,Dim_Date!H:H)</f>
        <v>Feb 2025</v>
      </c>
    </row>
    <row r="622" spans="1:10" ht="15" customHeight="1" x14ac:dyDescent="0.2">
      <c r="A622" t="s">
        <v>229</v>
      </c>
      <c r="B622" s="49">
        <v>45717</v>
      </c>
      <c r="C622">
        <v>20</v>
      </c>
      <c r="D622" s="33">
        <v>15200</v>
      </c>
      <c r="E622" t="str">
        <f>_xlfn.XLOOKUP(Quota_tbl[[#This Row],[Rep_ID]],Dim_Reps!A:A,Dim_Reps!K:K)</f>
        <v>USD</v>
      </c>
      <c r="F622" s="33">
        <f>(_xlfn.XLOOKUP(Quota_tbl[[#This Row],[Rate_Code_Generalized]],Lookups!A:A,Lookups!B:B)*Quota_tbl[[#This Row],[Quota_Amount_USD]])</f>
        <v>17697.359999999997</v>
      </c>
      <c r="G622" t="str">
        <f>_xlfn.XLOOKUP(Quota_tbl[[#This Row],[Rep_ID]],Dim_Reps!A:A,Dim_Reps!C:C)</f>
        <v>SDR / Inside Sales Rep</v>
      </c>
      <c r="H622" t="str">
        <f>_xlfn.XLOOKUP(Quota_tbl[[#This Row],[Rep_ID]],Dim_Reps!A:A,Dim_Reps!D:D)</f>
        <v>Inside Sales</v>
      </c>
      <c r="I622" t="str">
        <f>_xlfn.XLOOKUP(Quota_tbl[[#This Row],[Rep_ID]],Dim_Reps!A:A,Dim_Reps!E:E)</f>
        <v>NAMER</v>
      </c>
      <c r="J622" t="str">
        <f>_xlfn.XLOOKUP(Quota_tbl[[#This Row],[Period_Start_Date]],Dim_Date!A:A,Dim_Date!H:H)</f>
        <v>Mar 2025</v>
      </c>
    </row>
    <row r="623" spans="1:10" ht="15" customHeight="1" x14ac:dyDescent="0.2">
      <c r="A623" t="s">
        <v>229</v>
      </c>
      <c r="B623" s="49">
        <v>45748</v>
      </c>
      <c r="C623">
        <v>21</v>
      </c>
      <c r="D623" s="33">
        <v>15200</v>
      </c>
      <c r="E623" t="str">
        <f>_xlfn.XLOOKUP(Quota_tbl[[#This Row],[Rep_ID]],Dim_Reps!A:A,Dim_Reps!K:K)</f>
        <v>USD</v>
      </c>
      <c r="F623" s="33">
        <f>(_xlfn.XLOOKUP(Quota_tbl[[#This Row],[Rate_Code_Generalized]],Lookups!A:A,Lookups!B:B)*Quota_tbl[[#This Row],[Quota_Amount_USD]])</f>
        <v>17697.359999999997</v>
      </c>
      <c r="G623" t="str">
        <f>_xlfn.XLOOKUP(Quota_tbl[[#This Row],[Rep_ID]],Dim_Reps!A:A,Dim_Reps!C:C)</f>
        <v>SDR / Inside Sales Rep</v>
      </c>
      <c r="H623" t="str">
        <f>_xlfn.XLOOKUP(Quota_tbl[[#This Row],[Rep_ID]],Dim_Reps!A:A,Dim_Reps!D:D)</f>
        <v>Inside Sales</v>
      </c>
      <c r="I623" t="str">
        <f>_xlfn.XLOOKUP(Quota_tbl[[#This Row],[Rep_ID]],Dim_Reps!A:A,Dim_Reps!E:E)</f>
        <v>NAMER</v>
      </c>
      <c r="J623" t="str">
        <f>_xlfn.XLOOKUP(Quota_tbl[[#This Row],[Period_Start_Date]],Dim_Date!A:A,Dim_Date!H:H)</f>
        <v>Apr 2025</v>
      </c>
    </row>
    <row r="624" spans="1:10" ht="15" customHeight="1" x14ac:dyDescent="0.2">
      <c r="A624" t="s">
        <v>229</v>
      </c>
      <c r="B624" s="49">
        <v>45778</v>
      </c>
      <c r="C624">
        <v>22</v>
      </c>
      <c r="D624" s="33">
        <v>15500</v>
      </c>
      <c r="E624" t="str">
        <f>_xlfn.XLOOKUP(Quota_tbl[[#This Row],[Rep_ID]],Dim_Reps!A:A,Dim_Reps!K:K)</f>
        <v>USD</v>
      </c>
      <c r="F624" s="33">
        <f>(_xlfn.XLOOKUP(Quota_tbl[[#This Row],[Rate_Code_Generalized]],Lookups!A:A,Lookups!B:B)*Quota_tbl[[#This Row],[Quota_Amount_USD]])</f>
        <v>18046.649999999998</v>
      </c>
      <c r="G624" t="str">
        <f>_xlfn.XLOOKUP(Quota_tbl[[#This Row],[Rep_ID]],Dim_Reps!A:A,Dim_Reps!C:C)</f>
        <v>SDR / Inside Sales Rep</v>
      </c>
      <c r="H624" t="str">
        <f>_xlfn.XLOOKUP(Quota_tbl[[#This Row],[Rep_ID]],Dim_Reps!A:A,Dim_Reps!D:D)</f>
        <v>Inside Sales</v>
      </c>
      <c r="I624" t="str">
        <f>_xlfn.XLOOKUP(Quota_tbl[[#This Row],[Rep_ID]],Dim_Reps!A:A,Dim_Reps!E:E)</f>
        <v>NAMER</v>
      </c>
      <c r="J624" t="str">
        <f>_xlfn.XLOOKUP(Quota_tbl[[#This Row],[Period_Start_Date]],Dim_Date!A:A,Dim_Date!H:H)</f>
        <v>May 2025</v>
      </c>
    </row>
    <row r="625" spans="1:10" ht="15" customHeight="1" x14ac:dyDescent="0.2">
      <c r="A625" t="s">
        <v>229</v>
      </c>
      <c r="B625" s="49">
        <v>45809</v>
      </c>
      <c r="C625">
        <v>23</v>
      </c>
      <c r="D625" s="33">
        <v>15200</v>
      </c>
      <c r="E625" t="str">
        <f>_xlfn.XLOOKUP(Quota_tbl[[#This Row],[Rep_ID]],Dim_Reps!A:A,Dim_Reps!K:K)</f>
        <v>USD</v>
      </c>
      <c r="F625" s="33">
        <f>(_xlfn.XLOOKUP(Quota_tbl[[#This Row],[Rate_Code_Generalized]],Lookups!A:A,Lookups!B:B)*Quota_tbl[[#This Row],[Quota_Amount_USD]])</f>
        <v>17697.359999999997</v>
      </c>
      <c r="G625" t="str">
        <f>_xlfn.XLOOKUP(Quota_tbl[[#This Row],[Rep_ID]],Dim_Reps!A:A,Dim_Reps!C:C)</f>
        <v>SDR / Inside Sales Rep</v>
      </c>
      <c r="H625" t="str">
        <f>_xlfn.XLOOKUP(Quota_tbl[[#This Row],[Rep_ID]],Dim_Reps!A:A,Dim_Reps!D:D)</f>
        <v>Inside Sales</v>
      </c>
      <c r="I625" t="str">
        <f>_xlfn.XLOOKUP(Quota_tbl[[#This Row],[Rep_ID]],Dim_Reps!A:A,Dim_Reps!E:E)</f>
        <v>NAMER</v>
      </c>
      <c r="J625" t="str">
        <f>_xlfn.XLOOKUP(Quota_tbl[[#This Row],[Period_Start_Date]],Dim_Date!A:A,Dim_Date!H:H)</f>
        <v>Jun 2025</v>
      </c>
    </row>
    <row r="626" spans="1:10" ht="15" customHeight="1" x14ac:dyDescent="0.2">
      <c r="A626" t="s">
        <v>229</v>
      </c>
      <c r="B626" s="49">
        <v>45839</v>
      </c>
      <c r="C626">
        <v>24</v>
      </c>
      <c r="D626" s="33">
        <v>15200</v>
      </c>
      <c r="E626" t="str">
        <f>_xlfn.XLOOKUP(Quota_tbl[[#This Row],[Rep_ID]],Dim_Reps!A:A,Dim_Reps!K:K)</f>
        <v>USD</v>
      </c>
      <c r="F626" s="33">
        <f>(_xlfn.XLOOKUP(Quota_tbl[[#This Row],[Rate_Code_Generalized]],Lookups!A:A,Lookups!B:B)*Quota_tbl[[#This Row],[Quota_Amount_USD]])</f>
        <v>17697.359999999997</v>
      </c>
      <c r="G626" t="str">
        <f>_xlfn.XLOOKUP(Quota_tbl[[#This Row],[Rep_ID]],Dim_Reps!A:A,Dim_Reps!C:C)</f>
        <v>SDR / Inside Sales Rep</v>
      </c>
      <c r="H626" t="str">
        <f>_xlfn.XLOOKUP(Quota_tbl[[#This Row],[Rep_ID]],Dim_Reps!A:A,Dim_Reps!D:D)</f>
        <v>Inside Sales</v>
      </c>
      <c r="I626" t="str">
        <f>_xlfn.XLOOKUP(Quota_tbl[[#This Row],[Rep_ID]],Dim_Reps!A:A,Dim_Reps!E:E)</f>
        <v>NAMER</v>
      </c>
      <c r="J626" t="str">
        <f>_xlfn.XLOOKUP(Quota_tbl[[#This Row],[Period_Start_Date]],Dim_Date!A:A,Dim_Date!H:H)</f>
        <v>Jul 2025</v>
      </c>
    </row>
    <row r="627" spans="1:10" ht="15" customHeight="1" x14ac:dyDescent="0.2">
      <c r="A627" t="s">
        <v>229</v>
      </c>
      <c r="B627" s="49">
        <v>45870</v>
      </c>
      <c r="C627">
        <v>25</v>
      </c>
      <c r="D627" s="33">
        <v>15500</v>
      </c>
      <c r="E627" t="str">
        <f>_xlfn.XLOOKUP(Quota_tbl[[#This Row],[Rep_ID]],Dim_Reps!A:A,Dim_Reps!K:K)</f>
        <v>USD</v>
      </c>
      <c r="F627" s="33">
        <f>(_xlfn.XLOOKUP(Quota_tbl[[#This Row],[Rate_Code_Generalized]],Lookups!A:A,Lookups!B:B)*Quota_tbl[[#This Row],[Quota_Amount_USD]])</f>
        <v>18046.649999999998</v>
      </c>
      <c r="G627" t="str">
        <f>_xlfn.XLOOKUP(Quota_tbl[[#This Row],[Rep_ID]],Dim_Reps!A:A,Dim_Reps!C:C)</f>
        <v>SDR / Inside Sales Rep</v>
      </c>
      <c r="H627" t="str">
        <f>_xlfn.XLOOKUP(Quota_tbl[[#This Row],[Rep_ID]],Dim_Reps!A:A,Dim_Reps!D:D)</f>
        <v>Inside Sales</v>
      </c>
      <c r="I627" t="str">
        <f>_xlfn.XLOOKUP(Quota_tbl[[#This Row],[Rep_ID]],Dim_Reps!A:A,Dim_Reps!E:E)</f>
        <v>NAMER</v>
      </c>
      <c r="J627" t="str">
        <f>_xlfn.XLOOKUP(Quota_tbl[[#This Row],[Period_Start_Date]],Dim_Date!A:A,Dim_Date!H:H)</f>
        <v>Aug 2025</v>
      </c>
    </row>
    <row r="628" spans="1:10" ht="15" customHeight="1" x14ac:dyDescent="0.2">
      <c r="A628" t="s">
        <v>229</v>
      </c>
      <c r="B628" s="49">
        <v>45901</v>
      </c>
      <c r="C628">
        <v>26</v>
      </c>
      <c r="D628" s="33">
        <v>15400</v>
      </c>
      <c r="E628" t="str">
        <f>_xlfn.XLOOKUP(Quota_tbl[[#This Row],[Rep_ID]],Dim_Reps!A:A,Dim_Reps!K:K)</f>
        <v>USD</v>
      </c>
      <c r="F628" s="33">
        <f>(_xlfn.XLOOKUP(Quota_tbl[[#This Row],[Rate_Code_Generalized]],Lookups!A:A,Lookups!B:B)*Quota_tbl[[#This Row],[Quota_Amount_USD]])</f>
        <v>17930.219999999998</v>
      </c>
      <c r="G628" t="str">
        <f>_xlfn.XLOOKUP(Quota_tbl[[#This Row],[Rep_ID]],Dim_Reps!A:A,Dim_Reps!C:C)</f>
        <v>SDR / Inside Sales Rep</v>
      </c>
      <c r="H628" t="str">
        <f>_xlfn.XLOOKUP(Quota_tbl[[#This Row],[Rep_ID]],Dim_Reps!A:A,Dim_Reps!D:D)</f>
        <v>Inside Sales</v>
      </c>
      <c r="I628" t="str">
        <f>_xlfn.XLOOKUP(Quota_tbl[[#This Row],[Rep_ID]],Dim_Reps!A:A,Dim_Reps!E:E)</f>
        <v>NAMER</v>
      </c>
      <c r="J628" t="str">
        <f>_xlfn.XLOOKUP(Quota_tbl[[#This Row],[Period_Start_Date]],Dim_Date!A:A,Dim_Date!H:H)</f>
        <v>Sep 2025</v>
      </c>
    </row>
    <row r="629" spans="1:10" ht="15" customHeight="1" x14ac:dyDescent="0.2">
      <c r="A629" t="s">
        <v>229</v>
      </c>
      <c r="B629" s="49">
        <v>45931</v>
      </c>
      <c r="C629">
        <v>27</v>
      </c>
      <c r="D629" s="33">
        <v>16200</v>
      </c>
      <c r="E629" t="str">
        <f>_xlfn.XLOOKUP(Quota_tbl[[#This Row],[Rep_ID]],Dim_Reps!A:A,Dim_Reps!K:K)</f>
        <v>USD</v>
      </c>
      <c r="F629" s="33">
        <f>(_xlfn.XLOOKUP(Quota_tbl[[#This Row],[Rate_Code_Generalized]],Lookups!A:A,Lookups!B:B)*Quota_tbl[[#This Row],[Quota_Amount_USD]])</f>
        <v>18861.66</v>
      </c>
      <c r="G629" t="str">
        <f>_xlfn.XLOOKUP(Quota_tbl[[#This Row],[Rep_ID]],Dim_Reps!A:A,Dim_Reps!C:C)</f>
        <v>SDR / Inside Sales Rep</v>
      </c>
      <c r="H629" t="str">
        <f>_xlfn.XLOOKUP(Quota_tbl[[#This Row],[Rep_ID]],Dim_Reps!A:A,Dim_Reps!D:D)</f>
        <v>Inside Sales</v>
      </c>
      <c r="I629" t="str">
        <f>_xlfn.XLOOKUP(Quota_tbl[[#This Row],[Rep_ID]],Dim_Reps!A:A,Dim_Reps!E:E)</f>
        <v>NAMER</v>
      </c>
      <c r="J629" t="str">
        <f>_xlfn.XLOOKUP(Quota_tbl[[#This Row],[Period_Start_Date]],Dim_Date!A:A,Dim_Date!H:H)</f>
        <v>Oct 2025</v>
      </c>
    </row>
    <row r="630" spans="1:10" ht="15" customHeight="1" x14ac:dyDescent="0.2">
      <c r="A630" t="s">
        <v>229</v>
      </c>
      <c r="B630" s="49">
        <v>45962</v>
      </c>
      <c r="C630">
        <v>28</v>
      </c>
      <c r="D630" s="33">
        <v>14300</v>
      </c>
      <c r="E630" t="str">
        <f>_xlfn.XLOOKUP(Quota_tbl[[#This Row],[Rep_ID]],Dim_Reps!A:A,Dim_Reps!K:K)</f>
        <v>USD</v>
      </c>
      <c r="F630" s="33">
        <f>(_xlfn.XLOOKUP(Quota_tbl[[#This Row],[Rate_Code_Generalized]],Lookups!A:A,Lookups!B:B)*Quota_tbl[[#This Row],[Quota_Amount_USD]])</f>
        <v>16649.489999999998</v>
      </c>
      <c r="G630" t="str">
        <f>_xlfn.XLOOKUP(Quota_tbl[[#This Row],[Rep_ID]],Dim_Reps!A:A,Dim_Reps!C:C)</f>
        <v>SDR / Inside Sales Rep</v>
      </c>
      <c r="H630" t="str">
        <f>_xlfn.XLOOKUP(Quota_tbl[[#This Row],[Rep_ID]],Dim_Reps!A:A,Dim_Reps!D:D)</f>
        <v>Inside Sales</v>
      </c>
      <c r="I630" t="str">
        <f>_xlfn.XLOOKUP(Quota_tbl[[#This Row],[Rep_ID]],Dim_Reps!A:A,Dim_Reps!E:E)</f>
        <v>NAMER</v>
      </c>
      <c r="J630" t="str">
        <f>_xlfn.XLOOKUP(Quota_tbl[[#This Row],[Period_Start_Date]],Dim_Date!A:A,Dim_Date!H:H)</f>
        <v>Nov 2025</v>
      </c>
    </row>
    <row r="631" spans="1:10" ht="15" customHeight="1" x14ac:dyDescent="0.2">
      <c r="A631" t="s">
        <v>229</v>
      </c>
      <c r="B631" s="49">
        <v>45992</v>
      </c>
      <c r="C631">
        <v>29</v>
      </c>
      <c r="D631" s="33">
        <v>16000</v>
      </c>
      <c r="E631" t="str">
        <f>_xlfn.XLOOKUP(Quota_tbl[[#This Row],[Rep_ID]],Dim_Reps!A:A,Dim_Reps!K:K)</f>
        <v>USD</v>
      </c>
      <c r="F631" s="33">
        <f>(_xlfn.XLOOKUP(Quota_tbl[[#This Row],[Rate_Code_Generalized]],Lookups!A:A,Lookups!B:B)*Quota_tbl[[#This Row],[Quota_Amount_USD]])</f>
        <v>18628.8</v>
      </c>
      <c r="G631" t="str">
        <f>_xlfn.XLOOKUP(Quota_tbl[[#This Row],[Rep_ID]],Dim_Reps!A:A,Dim_Reps!C:C)</f>
        <v>SDR / Inside Sales Rep</v>
      </c>
      <c r="H631" t="str">
        <f>_xlfn.XLOOKUP(Quota_tbl[[#This Row],[Rep_ID]],Dim_Reps!A:A,Dim_Reps!D:D)</f>
        <v>Inside Sales</v>
      </c>
      <c r="I631" t="str">
        <f>_xlfn.XLOOKUP(Quota_tbl[[#This Row],[Rep_ID]],Dim_Reps!A:A,Dim_Reps!E:E)</f>
        <v>NAMER</v>
      </c>
      <c r="J631" t="str">
        <f>_xlfn.XLOOKUP(Quota_tbl[[#This Row],[Period_Start_Date]],Dim_Date!A:A,Dim_Date!H:H)</f>
        <v>Dec 2025</v>
      </c>
    </row>
    <row r="632" spans="1:10" ht="15" customHeight="1" x14ac:dyDescent="0.2">
      <c r="A632" t="s">
        <v>231</v>
      </c>
      <c r="B632" s="49">
        <v>45292</v>
      </c>
      <c r="C632">
        <v>10</v>
      </c>
      <c r="D632" s="33">
        <v>16100</v>
      </c>
      <c r="E632" t="str">
        <f>_xlfn.XLOOKUP(Quota_tbl[[#This Row],[Rep_ID]],Dim_Reps!A:A,Dim_Reps!K:K)</f>
        <v>MXN</v>
      </c>
      <c r="F632" s="33">
        <f>(_xlfn.XLOOKUP(Quota_tbl[[#This Row],[Rate_Code_Generalized]],Lookups!A:A,Lookups!B:B)*Quota_tbl[[#This Row],[Quota_Amount_USD]])</f>
        <v>317696.47000000003</v>
      </c>
      <c r="G632" t="str">
        <f>_xlfn.XLOOKUP(Quota_tbl[[#This Row],[Rep_ID]],Dim_Reps!A:A,Dim_Reps!C:C)</f>
        <v>SDR / Inside Sales Rep</v>
      </c>
      <c r="H632" t="str">
        <f>_xlfn.XLOOKUP(Quota_tbl[[#This Row],[Rep_ID]],Dim_Reps!A:A,Dim_Reps!D:D)</f>
        <v>Inside Sales</v>
      </c>
      <c r="I632" t="str">
        <f>_xlfn.XLOOKUP(Quota_tbl[[#This Row],[Rep_ID]],Dim_Reps!A:A,Dim_Reps!E:E)</f>
        <v>LATAM</v>
      </c>
      <c r="J632" t="str">
        <f>_xlfn.XLOOKUP(Quota_tbl[[#This Row],[Period_Start_Date]],Dim_Date!A:A,Dim_Date!H:H)</f>
        <v>Jan 2024</v>
      </c>
    </row>
    <row r="633" spans="1:10" ht="15" customHeight="1" x14ac:dyDescent="0.2">
      <c r="A633" t="s">
        <v>231</v>
      </c>
      <c r="B633" s="49">
        <v>45323</v>
      </c>
      <c r="C633">
        <v>11</v>
      </c>
      <c r="D633" s="33">
        <v>14500</v>
      </c>
      <c r="E633" t="str">
        <f>_xlfn.XLOOKUP(Quota_tbl[[#This Row],[Rep_ID]],Dim_Reps!A:A,Dim_Reps!K:K)</f>
        <v>MXN</v>
      </c>
      <c r="F633" s="33">
        <f>(_xlfn.XLOOKUP(Quota_tbl[[#This Row],[Rate_Code_Generalized]],Lookups!A:A,Lookups!B:B)*Quota_tbl[[#This Row],[Quota_Amount_USD]])</f>
        <v>286124.15000000002</v>
      </c>
      <c r="G633" t="str">
        <f>_xlfn.XLOOKUP(Quota_tbl[[#This Row],[Rep_ID]],Dim_Reps!A:A,Dim_Reps!C:C)</f>
        <v>SDR / Inside Sales Rep</v>
      </c>
      <c r="H633" t="str">
        <f>_xlfn.XLOOKUP(Quota_tbl[[#This Row],[Rep_ID]],Dim_Reps!A:A,Dim_Reps!D:D)</f>
        <v>Inside Sales</v>
      </c>
      <c r="I633" t="str">
        <f>_xlfn.XLOOKUP(Quota_tbl[[#This Row],[Rep_ID]],Dim_Reps!A:A,Dim_Reps!E:E)</f>
        <v>LATAM</v>
      </c>
      <c r="J633" t="str">
        <f>_xlfn.XLOOKUP(Quota_tbl[[#This Row],[Period_Start_Date]],Dim_Date!A:A,Dim_Date!H:H)</f>
        <v>Feb 2024</v>
      </c>
    </row>
    <row r="634" spans="1:10" ht="15" customHeight="1" x14ac:dyDescent="0.2">
      <c r="A634" t="s">
        <v>231</v>
      </c>
      <c r="B634" s="49">
        <v>45352</v>
      </c>
      <c r="C634">
        <v>12</v>
      </c>
      <c r="D634" s="33">
        <v>15300</v>
      </c>
      <c r="E634" t="str">
        <f>_xlfn.XLOOKUP(Quota_tbl[[#This Row],[Rep_ID]],Dim_Reps!A:A,Dim_Reps!K:K)</f>
        <v>MXN</v>
      </c>
      <c r="F634" s="33">
        <f>(_xlfn.XLOOKUP(Quota_tbl[[#This Row],[Rate_Code_Generalized]],Lookups!A:A,Lookups!B:B)*Quota_tbl[[#This Row],[Quota_Amount_USD]])</f>
        <v>301910.31</v>
      </c>
      <c r="G634" t="str">
        <f>_xlfn.XLOOKUP(Quota_tbl[[#This Row],[Rep_ID]],Dim_Reps!A:A,Dim_Reps!C:C)</f>
        <v>SDR / Inside Sales Rep</v>
      </c>
      <c r="H634" t="str">
        <f>_xlfn.XLOOKUP(Quota_tbl[[#This Row],[Rep_ID]],Dim_Reps!A:A,Dim_Reps!D:D)</f>
        <v>Inside Sales</v>
      </c>
      <c r="I634" t="str">
        <f>_xlfn.XLOOKUP(Quota_tbl[[#This Row],[Rep_ID]],Dim_Reps!A:A,Dim_Reps!E:E)</f>
        <v>LATAM</v>
      </c>
      <c r="J634" t="str">
        <f>_xlfn.XLOOKUP(Quota_tbl[[#This Row],[Period_Start_Date]],Dim_Date!A:A,Dim_Date!H:H)</f>
        <v>Mar 2024</v>
      </c>
    </row>
    <row r="635" spans="1:10" ht="15" customHeight="1" x14ac:dyDescent="0.2">
      <c r="A635" t="s">
        <v>231</v>
      </c>
      <c r="B635" s="49">
        <v>45383</v>
      </c>
      <c r="C635">
        <v>13</v>
      </c>
      <c r="D635" s="33">
        <v>15300</v>
      </c>
      <c r="E635" t="str">
        <f>_xlfn.XLOOKUP(Quota_tbl[[#This Row],[Rep_ID]],Dim_Reps!A:A,Dim_Reps!K:K)</f>
        <v>MXN</v>
      </c>
      <c r="F635" s="33">
        <f>(_xlfn.XLOOKUP(Quota_tbl[[#This Row],[Rate_Code_Generalized]],Lookups!A:A,Lookups!B:B)*Quota_tbl[[#This Row],[Quota_Amount_USD]])</f>
        <v>301910.31</v>
      </c>
      <c r="G635" t="str">
        <f>_xlfn.XLOOKUP(Quota_tbl[[#This Row],[Rep_ID]],Dim_Reps!A:A,Dim_Reps!C:C)</f>
        <v>SDR / Inside Sales Rep</v>
      </c>
      <c r="H635" t="str">
        <f>_xlfn.XLOOKUP(Quota_tbl[[#This Row],[Rep_ID]],Dim_Reps!A:A,Dim_Reps!D:D)</f>
        <v>Inside Sales</v>
      </c>
      <c r="I635" t="str">
        <f>_xlfn.XLOOKUP(Quota_tbl[[#This Row],[Rep_ID]],Dim_Reps!A:A,Dim_Reps!E:E)</f>
        <v>LATAM</v>
      </c>
      <c r="J635" t="str">
        <f>_xlfn.XLOOKUP(Quota_tbl[[#This Row],[Period_Start_Date]],Dim_Date!A:A,Dim_Date!H:H)</f>
        <v>Apr 2024</v>
      </c>
    </row>
    <row r="636" spans="1:10" ht="15" customHeight="1" x14ac:dyDescent="0.2">
      <c r="A636" t="s">
        <v>231</v>
      </c>
      <c r="B636" s="49">
        <v>45413</v>
      </c>
      <c r="C636">
        <v>14</v>
      </c>
      <c r="D636" s="33">
        <v>14800</v>
      </c>
      <c r="E636" t="str">
        <f>_xlfn.XLOOKUP(Quota_tbl[[#This Row],[Rep_ID]],Dim_Reps!A:A,Dim_Reps!K:K)</f>
        <v>MXN</v>
      </c>
      <c r="F636" s="33">
        <f>(_xlfn.XLOOKUP(Quota_tbl[[#This Row],[Rate_Code_Generalized]],Lookups!A:A,Lookups!B:B)*Quota_tbl[[#This Row],[Quota_Amount_USD]])</f>
        <v>292043.96000000002</v>
      </c>
      <c r="G636" t="str">
        <f>_xlfn.XLOOKUP(Quota_tbl[[#This Row],[Rep_ID]],Dim_Reps!A:A,Dim_Reps!C:C)</f>
        <v>SDR / Inside Sales Rep</v>
      </c>
      <c r="H636" t="str">
        <f>_xlfn.XLOOKUP(Quota_tbl[[#This Row],[Rep_ID]],Dim_Reps!A:A,Dim_Reps!D:D)</f>
        <v>Inside Sales</v>
      </c>
      <c r="I636" t="str">
        <f>_xlfn.XLOOKUP(Quota_tbl[[#This Row],[Rep_ID]],Dim_Reps!A:A,Dim_Reps!E:E)</f>
        <v>LATAM</v>
      </c>
      <c r="J636" t="str">
        <f>_xlfn.XLOOKUP(Quota_tbl[[#This Row],[Period_Start_Date]],Dim_Date!A:A,Dim_Date!H:H)</f>
        <v>May 2024</v>
      </c>
    </row>
    <row r="637" spans="1:10" ht="15" customHeight="1" x14ac:dyDescent="0.2">
      <c r="A637" t="s">
        <v>231</v>
      </c>
      <c r="B637" s="49">
        <v>45444</v>
      </c>
      <c r="C637">
        <v>15</v>
      </c>
      <c r="D637" s="33">
        <v>15100</v>
      </c>
      <c r="E637" t="str">
        <f>_xlfn.XLOOKUP(Quota_tbl[[#This Row],[Rep_ID]],Dim_Reps!A:A,Dim_Reps!K:K)</f>
        <v>MXN</v>
      </c>
      <c r="F637" s="33">
        <f>(_xlfn.XLOOKUP(Quota_tbl[[#This Row],[Rate_Code_Generalized]],Lookups!A:A,Lookups!B:B)*Quota_tbl[[#This Row],[Quota_Amount_USD]])</f>
        <v>297963.77</v>
      </c>
      <c r="G637" t="str">
        <f>_xlfn.XLOOKUP(Quota_tbl[[#This Row],[Rep_ID]],Dim_Reps!A:A,Dim_Reps!C:C)</f>
        <v>SDR / Inside Sales Rep</v>
      </c>
      <c r="H637" t="str">
        <f>_xlfn.XLOOKUP(Quota_tbl[[#This Row],[Rep_ID]],Dim_Reps!A:A,Dim_Reps!D:D)</f>
        <v>Inside Sales</v>
      </c>
      <c r="I637" t="str">
        <f>_xlfn.XLOOKUP(Quota_tbl[[#This Row],[Rep_ID]],Dim_Reps!A:A,Dim_Reps!E:E)</f>
        <v>LATAM</v>
      </c>
      <c r="J637" t="str">
        <f>_xlfn.XLOOKUP(Quota_tbl[[#This Row],[Period_Start_Date]],Dim_Date!A:A,Dim_Date!H:H)</f>
        <v>Jun 2024</v>
      </c>
    </row>
    <row r="638" spans="1:10" ht="15" customHeight="1" x14ac:dyDescent="0.2">
      <c r="A638" t="s">
        <v>231</v>
      </c>
      <c r="B638" s="49">
        <v>45474</v>
      </c>
      <c r="C638">
        <v>16</v>
      </c>
      <c r="D638" s="33">
        <v>15000</v>
      </c>
      <c r="E638" t="str">
        <f>_xlfn.XLOOKUP(Quota_tbl[[#This Row],[Rep_ID]],Dim_Reps!A:A,Dim_Reps!K:K)</f>
        <v>MXN</v>
      </c>
      <c r="F638" s="33">
        <f>(_xlfn.XLOOKUP(Quota_tbl[[#This Row],[Rate_Code_Generalized]],Lookups!A:A,Lookups!B:B)*Quota_tbl[[#This Row],[Quota_Amount_USD]])</f>
        <v>295990.5</v>
      </c>
      <c r="G638" t="str">
        <f>_xlfn.XLOOKUP(Quota_tbl[[#This Row],[Rep_ID]],Dim_Reps!A:A,Dim_Reps!C:C)</f>
        <v>SDR / Inside Sales Rep</v>
      </c>
      <c r="H638" t="str">
        <f>_xlfn.XLOOKUP(Quota_tbl[[#This Row],[Rep_ID]],Dim_Reps!A:A,Dim_Reps!D:D)</f>
        <v>Inside Sales</v>
      </c>
      <c r="I638" t="str">
        <f>_xlfn.XLOOKUP(Quota_tbl[[#This Row],[Rep_ID]],Dim_Reps!A:A,Dim_Reps!E:E)</f>
        <v>LATAM</v>
      </c>
      <c r="J638" t="str">
        <f>_xlfn.XLOOKUP(Quota_tbl[[#This Row],[Period_Start_Date]],Dim_Date!A:A,Dim_Date!H:H)</f>
        <v>Jul 2024</v>
      </c>
    </row>
    <row r="639" spans="1:10" ht="15" customHeight="1" x14ac:dyDescent="0.2">
      <c r="A639" t="s">
        <v>231</v>
      </c>
      <c r="B639" s="49">
        <v>45505</v>
      </c>
      <c r="C639">
        <v>17</v>
      </c>
      <c r="D639" s="33">
        <v>16300</v>
      </c>
      <c r="E639" t="str">
        <f>_xlfn.XLOOKUP(Quota_tbl[[#This Row],[Rep_ID]],Dim_Reps!A:A,Dim_Reps!K:K)</f>
        <v>MXN</v>
      </c>
      <c r="F639" s="33">
        <f>(_xlfn.XLOOKUP(Quota_tbl[[#This Row],[Rate_Code_Generalized]],Lookups!A:A,Lookups!B:B)*Quota_tbl[[#This Row],[Quota_Amount_USD]])</f>
        <v>321643.01</v>
      </c>
      <c r="G639" t="str">
        <f>_xlfn.XLOOKUP(Quota_tbl[[#This Row],[Rep_ID]],Dim_Reps!A:A,Dim_Reps!C:C)</f>
        <v>SDR / Inside Sales Rep</v>
      </c>
      <c r="H639" t="str">
        <f>_xlfn.XLOOKUP(Quota_tbl[[#This Row],[Rep_ID]],Dim_Reps!A:A,Dim_Reps!D:D)</f>
        <v>Inside Sales</v>
      </c>
      <c r="I639" t="str">
        <f>_xlfn.XLOOKUP(Quota_tbl[[#This Row],[Rep_ID]],Dim_Reps!A:A,Dim_Reps!E:E)</f>
        <v>LATAM</v>
      </c>
      <c r="J639" t="str">
        <f>_xlfn.XLOOKUP(Quota_tbl[[#This Row],[Period_Start_Date]],Dim_Date!A:A,Dim_Date!H:H)</f>
        <v>Aug 2024</v>
      </c>
    </row>
    <row r="640" spans="1:10" ht="15" customHeight="1" x14ac:dyDescent="0.2">
      <c r="A640" t="s">
        <v>231</v>
      </c>
      <c r="B640" s="49">
        <v>45536</v>
      </c>
      <c r="C640">
        <v>18</v>
      </c>
      <c r="D640" s="33">
        <v>15900</v>
      </c>
      <c r="E640" t="str">
        <f>_xlfn.XLOOKUP(Quota_tbl[[#This Row],[Rep_ID]],Dim_Reps!A:A,Dim_Reps!K:K)</f>
        <v>MXN</v>
      </c>
      <c r="F640" s="33">
        <f>(_xlfn.XLOOKUP(Quota_tbl[[#This Row],[Rate_Code_Generalized]],Lookups!A:A,Lookups!B:B)*Quota_tbl[[#This Row],[Quota_Amount_USD]])</f>
        <v>313749.93</v>
      </c>
      <c r="G640" t="str">
        <f>_xlfn.XLOOKUP(Quota_tbl[[#This Row],[Rep_ID]],Dim_Reps!A:A,Dim_Reps!C:C)</f>
        <v>SDR / Inside Sales Rep</v>
      </c>
      <c r="H640" t="str">
        <f>_xlfn.XLOOKUP(Quota_tbl[[#This Row],[Rep_ID]],Dim_Reps!A:A,Dim_Reps!D:D)</f>
        <v>Inside Sales</v>
      </c>
      <c r="I640" t="str">
        <f>_xlfn.XLOOKUP(Quota_tbl[[#This Row],[Rep_ID]],Dim_Reps!A:A,Dim_Reps!E:E)</f>
        <v>LATAM</v>
      </c>
      <c r="J640" t="str">
        <f>_xlfn.XLOOKUP(Quota_tbl[[#This Row],[Period_Start_Date]],Dim_Date!A:A,Dim_Date!H:H)</f>
        <v>Sep 2024</v>
      </c>
    </row>
    <row r="641" spans="1:10" ht="15" customHeight="1" x14ac:dyDescent="0.2">
      <c r="A641" t="s">
        <v>231</v>
      </c>
      <c r="B641" s="49">
        <v>45566</v>
      </c>
      <c r="C641">
        <v>19</v>
      </c>
      <c r="D641" s="33">
        <v>16100</v>
      </c>
      <c r="E641" t="str">
        <f>_xlfn.XLOOKUP(Quota_tbl[[#This Row],[Rep_ID]],Dim_Reps!A:A,Dim_Reps!K:K)</f>
        <v>MXN</v>
      </c>
      <c r="F641" s="33">
        <f>(_xlfn.XLOOKUP(Quota_tbl[[#This Row],[Rate_Code_Generalized]],Lookups!A:A,Lookups!B:B)*Quota_tbl[[#This Row],[Quota_Amount_USD]])</f>
        <v>317696.47000000003</v>
      </c>
      <c r="G641" t="str">
        <f>_xlfn.XLOOKUP(Quota_tbl[[#This Row],[Rep_ID]],Dim_Reps!A:A,Dim_Reps!C:C)</f>
        <v>SDR / Inside Sales Rep</v>
      </c>
      <c r="H641" t="str">
        <f>_xlfn.XLOOKUP(Quota_tbl[[#This Row],[Rep_ID]],Dim_Reps!A:A,Dim_Reps!D:D)</f>
        <v>Inside Sales</v>
      </c>
      <c r="I641" t="str">
        <f>_xlfn.XLOOKUP(Quota_tbl[[#This Row],[Rep_ID]],Dim_Reps!A:A,Dim_Reps!E:E)</f>
        <v>LATAM</v>
      </c>
      <c r="J641" t="str">
        <f>_xlfn.XLOOKUP(Quota_tbl[[#This Row],[Period_Start_Date]],Dim_Date!A:A,Dim_Date!H:H)</f>
        <v>Oct 2024</v>
      </c>
    </row>
    <row r="642" spans="1:10" ht="15" customHeight="1" x14ac:dyDescent="0.2">
      <c r="A642" t="s">
        <v>231</v>
      </c>
      <c r="B642" s="49">
        <v>45597</v>
      </c>
      <c r="C642">
        <v>20</v>
      </c>
      <c r="D642" s="33">
        <v>15800</v>
      </c>
      <c r="E642" t="str">
        <f>_xlfn.XLOOKUP(Quota_tbl[[#This Row],[Rep_ID]],Dim_Reps!A:A,Dim_Reps!K:K)</f>
        <v>MXN</v>
      </c>
      <c r="F642" s="33">
        <f>(_xlfn.XLOOKUP(Quota_tbl[[#This Row],[Rate_Code_Generalized]],Lookups!A:A,Lookups!B:B)*Quota_tbl[[#This Row],[Quota_Amount_USD]])</f>
        <v>311776.66000000003</v>
      </c>
      <c r="G642" t="str">
        <f>_xlfn.XLOOKUP(Quota_tbl[[#This Row],[Rep_ID]],Dim_Reps!A:A,Dim_Reps!C:C)</f>
        <v>SDR / Inside Sales Rep</v>
      </c>
      <c r="H642" t="str">
        <f>_xlfn.XLOOKUP(Quota_tbl[[#This Row],[Rep_ID]],Dim_Reps!A:A,Dim_Reps!D:D)</f>
        <v>Inside Sales</v>
      </c>
      <c r="I642" t="str">
        <f>_xlfn.XLOOKUP(Quota_tbl[[#This Row],[Rep_ID]],Dim_Reps!A:A,Dim_Reps!E:E)</f>
        <v>LATAM</v>
      </c>
      <c r="J642" t="str">
        <f>_xlfn.XLOOKUP(Quota_tbl[[#This Row],[Period_Start_Date]],Dim_Date!A:A,Dim_Date!H:H)</f>
        <v>Nov 2024</v>
      </c>
    </row>
    <row r="643" spans="1:10" ht="15" customHeight="1" x14ac:dyDescent="0.2">
      <c r="A643" t="s">
        <v>231</v>
      </c>
      <c r="B643" s="49">
        <v>45627</v>
      </c>
      <c r="C643">
        <v>21</v>
      </c>
      <c r="D643" s="33">
        <v>15000</v>
      </c>
      <c r="E643" t="str">
        <f>_xlfn.XLOOKUP(Quota_tbl[[#This Row],[Rep_ID]],Dim_Reps!A:A,Dim_Reps!K:K)</f>
        <v>MXN</v>
      </c>
      <c r="F643" s="33">
        <f>(_xlfn.XLOOKUP(Quota_tbl[[#This Row],[Rate_Code_Generalized]],Lookups!A:A,Lookups!B:B)*Quota_tbl[[#This Row],[Quota_Amount_USD]])</f>
        <v>295990.5</v>
      </c>
      <c r="G643" t="str">
        <f>_xlfn.XLOOKUP(Quota_tbl[[#This Row],[Rep_ID]],Dim_Reps!A:A,Dim_Reps!C:C)</f>
        <v>SDR / Inside Sales Rep</v>
      </c>
      <c r="H643" t="str">
        <f>_xlfn.XLOOKUP(Quota_tbl[[#This Row],[Rep_ID]],Dim_Reps!A:A,Dim_Reps!D:D)</f>
        <v>Inside Sales</v>
      </c>
      <c r="I643" t="str">
        <f>_xlfn.XLOOKUP(Quota_tbl[[#This Row],[Rep_ID]],Dim_Reps!A:A,Dim_Reps!E:E)</f>
        <v>LATAM</v>
      </c>
      <c r="J643" t="str">
        <f>_xlfn.XLOOKUP(Quota_tbl[[#This Row],[Period_Start_Date]],Dim_Date!A:A,Dim_Date!H:H)</f>
        <v>Dec 2024</v>
      </c>
    </row>
    <row r="644" spans="1:10" ht="15" customHeight="1" x14ac:dyDescent="0.2">
      <c r="A644" t="s">
        <v>231</v>
      </c>
      <c r="B644" s="49">
        <v>45658</v>
      </c>
      <c r="C644">
        <v>22</v>
      </c>
      <c r="D644" s="33">
        <v>15300</v>
      </c>
      <c r="E644" t="str">
        <f>_xlfn.XLOOKUP(Quota_tbl[[#This Row],[Rep_ID]],Dim_Reps!A:A,Dim_Reps!K:K)</f>
        <v>MXN</v>
      </c>
      <c r="F644" s="33">
        <f>(_xlfn.XLOOKUP(Quota_tbl[[#This Row],[Rate_Code_Generalized]],Lookups!A:A,Lookups!B:B)*Quota_tbl[[#This Row],[Quota_Amount_USD]])</f>
        <v>301910.31</v>
      </c>
      <c r="G644" t="str">
        <f>_xlfn.XLOOKUP(Quota_tbl[[#This Row],[Rep_ID]],Dim_Reps!A:A,Dim_Reps!C:C)</f>
        <v>SDR / Inside Sales Rep</v>
      </c>
      <c r="H644" t="str">
        <f>_xlfn.XLOOKUP(Quota_tbl[[#This Row],[Rep_ID]],Dim_Reps!A:A,Dim_Reps!D:D)</f>
        <v>Inside Sales</v>
      </c>
      <c r="I644" t="str">
        <f>_xlfn.XLOOKUP(Quota_tbl[[#This Row],[Rep_ID]],Dim_Reps!A:A,Dim_Reps!E:E)</f>
        <v>LATAM</v>
      </c>
      <c r="J644" t="str">
        <f>_xlfn.XLOOKUP(Quota_tbl[[#This Row],[Period_Start_Date]],Dim_Date!A:A,Dim_Date!H:H)</f>
        <v>Jan 2025</v>
      </c>
    </row>
    <row r="645" spans="1:10" ht="15" customHeight="1" x14ac:dyDescent="0.2">
      <c r="A645" t="s">
        <v>231</v>
      </c>
      <c r="B645" s="49">
        <v>45689</v>
      </c>
      <c r="C645">
        <v>23</v>
      </c>
      <c r="D645" s="33">
        <v>15700</v>
      </c>
      <c r="E645" t="str">
        <f>_xlfn.XLOOKUP(Quota_tbl[[#This Row],[Rep_ID]],Dim_Reps!A:A,Dim_Reps!K:K)</f>
        <v>MXN</v>
      </c>
      <c r="F645" s="33">
        <f>(_xlfn.XLOOKUP(Quota_tbl[[#This Row],[Rate_Code_Generalized]],Lookups!A:A,Lookups!B:B)*Quota_tbl[[#This Row],[Quota_Amount_USD]])</f>
        <v>309803.39</v>
      </c>
      <c r="G645" t="str">
        <f>_xlfn.XLOOKUP(Quota_tbl[[#This Row],[Rep_ID]],Dim_Reps!A:A,Dim_Reps!C:C)</f>
        <v>SDR / Inside Sales Rep</v>
      </c>
      <c r="H645" t="str">
        <f>_xlfn.XLOOKUP(Quota_tbl[[#This Row],[Rep_ID]],Dim_Reps!A:A,Dim_Reps!D:D)</f>
        <v>Inside Sales</v>
      </c>
      <c r="I645" t="str">
        <f>_xlfn.XLOOKUP(Quota_tbl[[#This Row],[Rep_ID]],Dim_Reps!A:A,Dim_Reps!E:E)</f>
        <v>LATAM</v>
      </c>
      <c r="J645" t="str">
        <f>_xlfn.XLOOKUP(Quota_tbl[[#This Row],[Period_Start_Date]],Dim_Date!A:A,Dim_Date!H:H)</f>
        <v>Feb 2025</v>
      </c>
    </row>
    <row r="646" spans="1:10" ht="15" customHeight="1" x14ac:dyDescent="0.2">
      <c r="A646" t="s">
        <v>231</v>
      </c>
      <c r="B646" s="49">
        <v>45717</v>
      </c>
      <c r="C646">
        <v>24</v>
      </c>
      <c r="D646" s="33">
        <v>14900</v>
      </c>
      <c r="E646" t="str">
        <f>_xlfn.XLOOKUP(Quota_tbl[[#This Row],[Rep_ID]],Dim_Reps!A:A,Dim_Reps!K:K)</f>
        <v>MXN</v>
      </c>
      <c r="F646" s="33">
        <f>(_xlfn.XLOOKUP(Quota_tbl[[#This Row],[Rate_Code_Generalized]],Lookups!A:A,Lookups!B:B)*Quota_tbl[[#This Row],[Quota_Amount_USD]])</f>
        <v>294017.23000000004</v>
      </c>
      <c r="G646" t="str">
        <f>_xlfn.XLOOKUP(Quota_tbl[[#This Row],[Rep_ID]],Dim_Reps!A:A,Dim_Reps!C:C)</f>
        <v>SDR / Inside Sales Rep</v>
      </c>
      <c r="H646" t="str">
        <f>_xlfn.XLOOKUP(Quota_tbl[[#This Row],[Rep_ID]],Dim_Reps!A:A,Dim_Reps!D:D)</f>
        <v>Inside Sales</v>
      </c>
      <c r="I646" t="str">
        <f>_xlfn.XLOOKUP(Quota_tbl[[#This Row],[Rep_ID]],Dim_Reps!A:A,Dim_Reps!E:E)</f>
        <v>LATAM</v>
      </c>
      <c r="J646" t="str">
        <f>_xlfn.XLOOKUP(Quota_tbl[[#This Row],[Period_Start_Date]],Dim_Date!A:A,Dim_Date!H:H)</f>
        <v>Mar 2025</v>
      </c>
    </row>
    <row r="647" spans="1:10" ht="15" customHeight="1" x14ac:dyDescent="0.2">
      <c r="A647" t="s">
        <v>231</v>
      </c>
      <c r="B647" s="49">
        <v>45748</v>
      </c>
      <c r="C647">
        <v>25</v>
      </c>
      <c r="D647" s="33">
        <v>15800</v>
      </c>
      <c r="E647" t="str">
        <f>_xlfn.XLOOKUP(Quota_tbl[[#This Row],[Rep_ID]],Dim_Reps!A:A,Dim_Reps!K:K)</f>
        <v>MXN</v>
      </c>
      <c r="F647" s="33">
        <f>(_xlfn.XLOOKUP(Quota_tbl[[#This Row],[Rate_Code_Generalized]],Lookups!A:A,Lookups!B:B)*Quota_tbl[[#This Row],[Quota_Amount_USD]])</f>
        <v>311776.66000000003</v>
      </c>
      <c r="G647" t="str">
        <f>_xlfn.XLOOKUP(Quota_tbl[[#This Row],[Rep_ID]],Dim_Reps!A:A,Dim_Reps!C:C)</f>
        <v>SDR / Inside Sales Rep</v>
      </c>
      <c r="H647" t="str">
        <f>_xlfn.XLOOKUP(Quota_tbl[[#This Row],[Rep_ID]],Dim_Reps!A:A,Dim_Reps!D:D)</f>
        <v>Inside Sales</v>
      </c>
      <c r="I647" t="str">
        <f>_xlfn.XLOOKUP(Quota_tbl[[#This Row],[Rep_ID]],Dim_Reps!A:A,Dim_Reps!E:E)</f>
        <v>LATAM</v>
      </c>
      <c r="J647" t="str">
        <f>_xlfn.XLOOKUP(Quota_tbl[[#This Row],[Period_Start_Date]],Dim_Date!A:A,Dim_Date!H:H)</f>
        <v>Apr 2025</v>
      </c>
    </row>
    <row r="648" spans="1:10" ht="15" customHeight="1" x14ac:dyDescent="0.2">
      <c r="A648" t="s">
        <v>231</v>
      </c>
      <c r="B648" s="49">
        <v>45778</v>
      </c>
      <c r="C648">
        <v>26</v>
      </c>
      <c r="D648" s="33">
        <v>15400</v>
      </c>
      <c r="E648" t="str">
        <f>_xlfn.XLOOKUP(Quota_tbl[[#This Row],[Rep_ID]],Dim_Reps!A:A,Dim_Reps!K:K)</f>
        <v>MXN</v>
      </c>
      <c r="F648" s="33">
        <f>(_xlfn.XLOOKUP(Quota_tbl[[#This Row],[Rate_Code_Generalized]],Lookups!A:A,Lookups!B:B)*Quota_tbl[[#This Row],[Quota_Amount_USD]])</f>
        <v>303883.58</v>
      </c>
      <c r="G648" t="str">
        <f>_xlfn.XLOOKUP(Quota_tbl[[#This Row],[Rep_ID]],Dim_Reps!A:A,Dim_Reps!C:C)</f>
        <v>SDR / Inside Sales Rep</v>
      </c>
      <c r="H648" t="str">
        <f>_xlfn.XLOOKUP(Quota_tbl[[#This Row],[Rep_ID]],Dim_Reps!A:A,Dim_Reps!D:D)</f>
        <v>Inside Sales</v>
      </c>
      <c r="I648" t="str">
        <f>_xlfn.XLOOKUP(Quota_tbl[[#This Row],[Rep_ID]],Dim_Reps!A:A,Dim_Reps!E:E)</f>
        <v>LATAM</v>
      </c>
      <c r="J648" t="str">
        <f>_xlfn.XLOOKUP(Quota_tbl[[#This Row],[Period_Start_Date]],Dim_Date!A:A,Dim_Date!H:H)</f>
        <v>May 2025</v>
      </c>
    </row>
    <row r="649" spans="1:10" ht="15" customHeight="1" x14ac:dyDescent="0.2">
      <c r="A649" t="s">
        <v>231</v>
      </c>
      <c r="B649" s="49">
        <v>45809</v>
      </c>
      <c r="C649">
        <v>27</v>
      </c>
      <c r="D649" s="33">
        <v>15300</v>
      </c>
      <c r="E649" t="str">
        <f>_xlfn.XLOOKUP(Quota_tbl[[#This Row],[Rep_ID]],Dim_Reps!A:A,Dim_Reps!K:K)</f>
        <v>MXN</v>
      </c>
      <c r="F649" s="33">
        <f>(_xlfn.XLOOKUP(Quota_tbl[[#This Row],[Rate_Code_Generalized]],Lookups!A:A,Lookups!B:B)*Quota_tbl[[#This Row],[Quota_Amount_USD]])</f>
        <v>301910.31</v>
      </c>
      <c r="G649" t="str">
        <f>_xlfn.XLOOKUP(Quota_tbl[[#This Row],[Rep_ID]],Dim_Reps!A:A,Dim_Reps!C:C)</f>
        <v>SDR / Inside Sales Rep</v>
      </c>
      <c r="H649" t="str">
        <f>_xlfn.XLOOKUP(Quota_tbl[[#This Row],[Rep_ID]],Dim_Reps!A:A,Dim_Reps!D:D)</f>
        <v>Inside Sales</v>
      </c>
      <c r="I649" t="str">
        <f>_xlfn.XLOOKUP(Quota_tbl[[#This Row],[Rep_ID]],Dim_Reps!A:A,Dim_Reps!E:E)</f>
        <v>LATAM</v>
      </c>
      <c r="J649" t="str">
        <f>_xlfn.XLOOKUP(Quota_tbl[[#This Row],[Period_Start_Date]],Dim_Date!A:A,Dim_Date!H:H)</f>
        <v>Jun 2025</v>
      </c>
    </row>
    <row r="650" spans="1:10" ht="15" customHeight="1" x14ac:dyDescent="0.2">
      <c r="A650" t="s">
        <v>231</v>
      </c>
      <c r="B650" s="49">
        <v>45839</v>
      </c>
      <c r="C650">
        <v>28</v>
      </c>
      <c r="D650" s="33">
        <v>15800</v>
      </c>
      <c r="E650" t="str">
        <f>_xlfn.XLOOKUP(Quota_tbl[[#This Row],[Rep_ID]],Dim_Reps!A:A,Dim_Reps!K:K)</f>
        <v>MXN</v>
      </c>
      <c r="F650" s="33">
        <f>(_xlfn.XLOOKUP(Quota_tbl[[#This Row],[Rate_Code_Generalized]],Lookups!A:A,Lookups!B:B)*Quota_tbl[[#This Row],[Quota_Amount_USD]])</f>
        <v>311776.66000000003</v>
      </c>
      <c r="G650" t="str">
        <f>_xlfn.XLOOKUP(Quota_tbl[[#This Row],[Rep_ID]],Dim_Reps!A:A,Dim_Reps!C:C)</f>
        <v>SDR / Inside Sales Rep</v>
      </c>
      <c r="H650" t="str">
        <f>_xlfn.XLOOKUP(Quota_tbl[[#This Row],[Rep_ID]],Dim_Reps!A:A,Dim_Reps!D:D)</f>
        <v>Inside Sales</v>
      </c>
      <c r="I650" t="str">
        <f>_xlfn.XLOOKUP(Quota_tbl[[#This Row],[Rep_ID]],Dim_Reps!A:A,Dim_Reps!E:E)</f>
        <v>LATAM</v>
      </c>
      <c r="J650" t="str">
        <f>_xlfn.XLOOKUP(Quota_tbl[[#This Row],[Period_Start_Date]],Dim_Date!A:A,Dim_Date!H:H)</f>
        <v>Jul 2025</v>
      </c>
    </row>
    <row r="651" spans="1:10" ht="15" customHeight="1" x14ac:dyDescent="0.2">
      <c r="A651" t="s">
        <v>231</v>
      </c>
      <c r="B651" s="49">
        <v>45870</v>
      </c>
      <c r="C651">
        <v>29</v>
      </c>
      <c r="D651" s="33">
        <v>15700</v>
      </c>
      <c r="E651" t="str">
        <f>_xlfn.XLOOKUP(Quota_tbl[[#This Row],[Rep_ID]],Dim_Reps!A:A,Dim_Reps!K:K)</f>
        <v>MXN</v>
      </c>
      <c r="F651" s="33">
        <f>(_xlfn.XLOOKUP(Quota_tbl[[#This Row],[Rate_Code_Generalized]],Lookups!A:A,Lookups!B:B)*Quota_tbl[[#This Row],[Quota_Amount_USD]])</f>
        <v>309803.39</v>
      </c>
      <c r="G651" t="str">
        <f>_xlfn.XLOOKUP(Quota_tbl[[#This Row],[Rep_ID]],Dim_Reps!A:A,Dim_Reps!C:C)</f>
        <v>SDR / Inside Sales Rep</v>
      </c>
      <c r="H651" t="str">
        <f>_xlfn.XLOOKUP(Quota_tbl[[#This Row],[Rep_ID]],Dim_Reps!A:A,Dim_Reps!D:D)</f>
        <v>Inside Sales</v>
      </c>
      <c r="I651" t="str">
        <f>_xlfn.XLOOKUP(Quota_tbl[[#This Row],[Rep_ID]],Dim_Reps!A:A,Dim_Reps!E:E)</f>
        <v>LATAM</v>
      </c>
      <c r="J651" t="str">
        <f>_xlfn.XLOOKUP(Quota_tbl[[#This Row],[Period_Start_Date]],Dim_Date!A:A,Dim_Date!H:H)</f>
        <v>Aug 2025</v>
      </c>
    </row>
    <row r="652" spans="1:10" ht="15" customHeight="1" x14ac:dyDescent="0.2">
      <c r="A652" t="s">
        <v>231</v>
      </c>
      <c r="B652" s="49">
        <v>45901</v>
      </c>
      <c r="C652">
        <v>30</v>
      </c>
      <c r="D652" s="33">
        <v>15300</v>
      </c>
      <c r="E652" t="str">
        <f>_xlfn.XLOOKUP(Quota_tbl[[#This Row],[Rep_ID]],Dim_Reps!A:A,Dim_Reps!K:K)</f>
        <v>MXN</v>
      </c>
      <c r="F652" s="33">
        <f>(_xlfn.XLOOKUP(Quota_tbl[[#This Row],[Rate_Code_Generalized]],Lookups!A:A,Lookups!B:B)*Quota_tbl[[#This Row],[Quota_Amount_USD]])</f>
        <v>301910.31</v>
      </c>
      <c r="G652" t="str">
        <f>_xlfn.XLOOKUP(Quota_tbl[[#This Row],[Rep_ID]],Dim_Reps!A:A,Dim_Reps!C:C)</f>
        <v>SDR / Inside Sales Rep</v>
      </c>
      <c r="H652" t="str">
        <f>_xlfn.XLOOKUP(Quota_tbl[[#This Row],[Rep_ID]],Dim_Reps!A:A,Dim_Reps!D:D)</f>
        <v>Inside Sales</v>
      </c>
      <c r="I652" t="str">
        <f>_xlfn.XLOOKUP(Quota_tbl[[#This Row],[Rep_ID]],Dim_Reps!A:A,Dim_Reps!E:E)</f>
        <v>LATAM</v>
      </c>
      <c r="J652" t="str">
        <f>_xlfn.XLOOKUP(Quota_tbl[[#This Row],[Period_Start_Date]],Dim_Date!A:A,Dim_Date!H:H)</f>
        <v>Sep 2025</v>
      </c>
    </row>
    <row r="653" spans="1:10" ht="15" customHeight="1" x14ac:dyDescent="0.2">
      <c r="A653" t="s">
        <v>231</v>
      </c>
      <c r="B653" s="49">
        <v>45931</v>
      </c>
      <c r="C653">
        <v>31</v>
      </c>
      <c r="D653" s="33">
        <v>16000</v>
      </c>
      <c r="E653" t="str">
        <f>_xlfn.XLOOKUP(Quota_tbl[[#This Row],[Rep_ID]],Dim_Reps!A:A,Dim_Reps!K:K)</f>
        <v>MXN</v>
      </c>
      <c r="F653" s="33">
        <f>(_xlfn.XLOOKUP(Quota_tbl[[#This Row],[Rate_Code_Generalized]],Lookups!A:A,Lookups!B:B)*Quota_tbl[[#This Row],[Quota_Amount_USD]])</f>
        <v>315723.2</v>
      </c>
      <c r="G653" t="str">
        <f>_xlfn.XLOOKUP(Quota_tbl[[#This Row],[Rep_ID]],Dim_Reps!A:A,Dim_Reps!C:C)</f>
        <v>SDR / Inside Sales Rep</v>
      </c>
      <c r="H653" t="str">
        <f>_xlfn.XLOOKUP(Quota_tbl[[#This Row],[Rep_ID]],Dim_Reps!A:A,Dim_Reps!D:D)</f>
        <v>Inside Sales</v>
      </c>
      <c r="I653" t="str">
        <f>_xlfn.XLOOKUP(Quota_tbl[[#This Row],[Rep_ID]],Dim_Reps!A:A,Dim_Reps!E:E)</f>
        <v>LATAM</v>
      </c>
      <c r="J653" t="str">
        <f>_xlfn.XLOOKUP(Quota_tbl[[#This Row],[Period_Start_Date]],Dim_Date!A:A,Dim_Date!H:H)</f>
        <v>Oct 2025</v>
      </c>
    </row>
    <row r="654" spans="1:10" ht="15" customHeight="1" x14ac:dyDescent="0.2">
      <c r="A654" t="s">
        <v>231</v>
      </c>
      <c r="B654" s="49">
        <v>45962</v>
      </c>
      <c r="C654">
        <v>32</v>
      </c>
      <c r="D654" s="33">
        <v>15000</v>
      </c>
      <c r="E654" t="str">
        <f>_xlfn.XLOOKUP(Quota_tbl[[#This Row],[Rep_ID]],Dim_Reps!A:A,Dim_Reps!K:K)</f>
        <v>MXN</v>
      </c>
      <c r="F654" s="33">
        <f>(_xlfn.XLOOKUP(Quota_tbl[[#This Row],[Rate_Code_Generalized]],Lookups!A:A,Lookups!B:B)*Quota_tbl[[#This Row],[Quota_Amount_USD]])</f>
        <v>295990.5</v>
      </c>
      <c r="G654" t="str">
        <f>_xlfn.XLOOKUP(Quota_tbl[[#This Row],[Rep_ID]],Dim_Reps!A:A,Dim_Reps!C:C)</f>
        <v>SDR / Inside Sales Rep</v>
      </c>
      <c r="H654" t="str">
        <f>_xlfn.XLOOKUP(Quota_tbl[[#This Row],[Rep_ID]],Dim_Reps!A:A,Dim_Reps!D:D)</f>
        <v>Inside Sales</v>
      </c>
      <c r="I654" t="str">
        <f>_xlfn.XLOOKUP(Quota_tbl[[#This Row],[Rep_ID]],Dim_Reps!A:A,Dim_Reps!E:E)</f>
        <v>LATAM</v>
      </c>
      <c r="J654" t="str">
        <f>_xlfn.XLOOKUP(Quota_tbl[[#This Row],[Period_Start_Date]],Dim_Date!A:A,Dim_Date!H:H)</f>
        <v>Nov 2025</v>
      </c>
    </row>
    <row r="655" spans="1:10" ht="15" customHeight="1" x14ac:dyDescent="0.2">
      <c r="A655" t="s">
        <v>231</v>
      </c>
      <c r="B655" s="49">
        <v>45992</v>
      </c>
      <c r="C655">
        <v>33</v>
      </c>
      <c r="D655" s="33">
        <v>15800</v>
      </c>
      <c r="E655" t="str">
        <f>_xlfn.XLOOKUP(Quota_tbl[[#This Row],[Rep_ID]],Dim_Reps!A:A,Dim_Reps!K:K)</f>
        <v>MXN</v>
      </c>
      <c r="F655" s="33">
        <f>(_xlfn.XLOOKUP(Quota_tbl[[#This Row],[Rate_Code_Generalized]],Lookups!A:A,Lookups!B:B)*Quota_tbl[[#This Row],[Quota_Amount_USD]])</f>
        <v>311776.66000000003</v>
      </c>
      <c r="G655" t="str">
        <f>_xlfn.XLOOKUP(Quota_tbl[[#This Row],[Rep_ID]],Dim_Reps!A:A,Dim_Reps!C:C)</f>
        <v>SDR / Inside Sales Rep</v>
      </c>
      <c r="H655" t="str">
        <f>_xlfn.XLOOKUP(Quota_tbl[[#This Row],[Rep_ID]],Dim_Reps!A:A,Dim_Reps!D:D)</f>
        <v>Inside Sales</v>
      </c>
      <c r="I655" t="str">
        <f>_xlfn.XLOOKUP(Quota_tbl[[#This Row],[Rep_ID]],Dim_Reps!A:A,Dim_Reps!E:E)</f>
        <v>LATAM</v>
      </c>
      <c r="J655" t="str">
        <f>_xlfn.XLOOKUP(Quota_tbl[[#This Row],[Period_Start_Date]],Dim_Date!A:A,Dim_Date!H:H)</f>
        <v>Dec 2025</v>
      </c>
    </row>
    <row r="656" spans="1:10" ht="15" customHeight="1" x14ac:dyDescent="0.2">
      <c r="A656" t="s">
        <v>263</v>
      </c>
      <c r="B656" s="49">
        <v>45292</v>
      </c>
      <c r="C656">
        <v>19</v>
      </c>
      <c r="D656" s="33">
        <v>22400</v>
      </c>
      <c r="E656" t="str">
        <f>_xlfn.XLOOKUP(Quota_tbl[[#This Row],[Rep_ID]],Dim_Reps!A:A,Dim_Reps!K:K)</f>
        <v>USD</v>
      </c>
      <c r="F656" s="33">
        <f>(_xlfn.XLOOKUP(Quota_tbl[[#This Row],[Rate_Code_Generalized]],Lookups!A:A,Lookups!B:B)*Quota_tbl[[#This Row],[Quota_Amount_USD]])</f>
        <v>26080.319999999996</v>
      </c>
      <c r="G656" t="str">
        <f>_xlfn.XLOOKUP(Quota_tbl[[#This Row],[Rep_ID]],Dim_Reps!A:A,Dim_Reps!C:C)</f>
        <v>Mid-Market AE</v>
      </c>
      <c r="H656" t="str">
        <f>_xlfn.XLOOKUP(Quota_tbl[[#This Row],[Rep_ID]],Dim_Reps!A:A,Dim_Reps!D:D)</f>
        <v>Mid-Market</v>
      </c>
      <c r="I656" t="str">
        <f>_xlfn.XLOOKUP(Quota_tbl[[#This Row],[Rep_ID]],Dim_Reps!A:A,Dim_Reps!E:E)</f>
        <v>NAMER</v>
      </c>
      <c r="J656" t="str">
        <f>_xlfn.XLOOKUP(Quota_tbl[[#This Row],[Period_Start_Date]],Dim_Date!A:A,Dim_Date!H:H)</f>
        <v>Jan 2024</v>
      </c>
    </row>
    <row r="657" spans="1:10" ht="15" customHeight="1" x14ac:dyDescent="0.2">
      <c r="A657" t="s">
        <v>263</v>
      </c>
      <c r="B657" s="49">
        <v>45323</v>
      </c>
      <c r="C657">
        <v>20</v>
      </c>
      <c r="D657" s="33">
        <v>21800</v>
      </c>
      <c r="E657" t="str">
        <f>_xlfn.XLOOKUP(Quota_tbl[[#This Row],[Rep_ID]],Dim_Reps!A:A,Dim_Reps!K:K)</f>
        <v>USD</v>
      </c>
      <c r="F657" s="33">
        <f>(_xlfn.XLOOKUP(Quota_tbl[[#This Row],[Rate_Code_Generalized]],Lookups!A:A,Lookups!B:B)*Quota_tbl[[#This Row],[Quota_Amount_USD]])</f>
        <v>25381.739999999998</v>
      </c>
      <c r="G657" t="str">
        <f>_xlfn.XLOOKUP(Quota_tbl[[#This Row],[Rep_ID]],Dim_Reps!A:A,Dim_Reps!C:C)</f>
        <v>Mid-Market AE</v>
      </c>
      <c r="H657" t="str">
        <f>_xlfn.XLOOKUP(Quota_tbl[[#This Row],[Rep_ID]],Dim_Reps!A:A,Dim_Reps!D:D)</f>
        <v>Mid-Market</v>
      </c>
      <c r="I657" t="str">
        <f>_xlfn.XLOOKUP(Quota_tbl[[#This Row],[Rep_ID]],Dim_Reps!A:A,Dim_Reps!E:E)</f>
        <v>NAMER</v>
      </c>
      <c r="J657" t="str">
        <f>_xlfn.XLOOKUP(Quota_tbl[[#This Row],[Period_Start_Date]],Dim_Date!A:A,Dim_Date!H:H)</f>
        <v>Feb 2024</v>
      </c>
    </row>
    <row r="658" spans="1:10" ht="15" customHeight="1" x14ac:dyDescent="0.2">
      <c r="A658" t="s">
        <v>263</v>
      </c>
      <c r="B658" s="49">
        <v>45352</v>
      </c>
      <c r="C658">
        <v>21</v>
      </c>
      <c r="D658" s="33">
        <v>22200</v>
      </c>
      <c r="E658" t="str">
        <f>_xlfn.XLOOKUP(Quota_tbl[[#This Row],[Rep_ID]],Dim_Reps!A:A,Dim_Reps!K:K)</f>
        <v>USD</v>
      </c>
      <c r="F658" s="33">
        <f>(_xlfn.XLOOKUP(Quota_tbl[[#This Row],[Rate_Code_Generalized]],Lookups!A:A,Lookups!B:B)*Quota_tbl[[#This Row],[Quota_Amount_USD]])</f>
        <v>25847.46</v>
      </c>
      <c r="G658" t="str">
        <f>_xlfn.XLOOKUP(Quota_tbl[[#This Row],[Rep_ID]],Dim_Reps!A:A,Dim_Reps!C:C)</f>
        <v>Mid-Market AE</v>
      </c>
      <c r="H658" t="str">
        <f>_xlfn.XLOOKUP(Quota_tbl[[#This Row],[Rep_ID]],Dim_Reps!A:A,Dim_Reps!D:D)</f>
        <v>Mid-Market</v>
      </c>
      <c r="I658" t="str">
        <f>_xlfn.XLOOKUP(Quota_tbl[[#This Row],[Rep_ID]],Dim_Reps!A:A,Dim_Reps!E:E)</f>
        <v>NAMER</v>
      </c>
      <c r="J658" t="str">
        <f>_xlfn.XLOOKUP(Quota_tbl[[#This Row],[Period_Start_Date]],Dim_Date!A:A,Dim_Date!H:H)</f>
        <v>Mar 2024</v>
      </c>
    </row>
    <row r="659" spans="1:10" ht="15" customHeight="1" x14ac:dyDescent="0.2">
      <c r="A659" t="s">
        <v>263</v>
      </c>
      <c r="B659" s="49">
        <v>45383</v>
      </c>
      <c r="C659">
        <v>22</v>
      </c>
      <c r="D659" s="33">
        <v>21200</v>
      </c>
      <c r="E659" t="str">
        <f>_xlfn.XLOOKUP(Quota_tbl[[#This Row],[Rep_ID]],Dim_Reps!A:A,Dim_Reps!K:K)</f>
        <v>USD</v>
      </c>
      <c r="F659" s="33">
        <f>(_xlfn.XLOOKUP(Quota_tbl[[#This Row],[Rate_Code_Generalized]],Lookups!A:A,Lookups!B:B)*Quota_tbl[[#This Row],[Quota_Amount_USD]])</f>
        <v>24683.159999999996</v>
      </c>
      <c r="G659" t="str">
        <f>_xlfn.XLOOKUP(Quota_tbl[[#This Row],[Rep_ID]],Dim_Reps!A:A,Dim_Reps!C:C)</f>
        <v>Mid-Market AE</v>
      </c>
      <c r="H659" t="str">
        <f>_xlfn.XLOOKUP(Quota_tbl[[#This Row],[Rep_ID]],Dim_Reps!A:A,Dim_Reps!D:D)</f>
        <v>Mid-Market</v>
      </c>
      <c r="I659" t="str">
        <f>_xlfn.XLOOKUP(Quota_tbl[[#This Row],[Rep_ID]],Dim_Reps!A:A,Dim_Reps!E:E)</f>
        <v>NAMER</v>
      </c>
      <c r="J659" t="str">
        <f>_xlfn.XLOOKUP(Quota_tbl[[#This Row],[Period_Start_Date]],Dim_Date!A:A,Dim_Date!H:H)</f>
        <v>Apr 2024</v>
      </c>
    </row>
    <row r="660" spans="1:10" ht="15" customHeight="1" x14ac:dyDescent="0.2">
      <c r="A660" t="s">
        <v>263</v>
      </c>
      <c r="B660" s="49">
        <v>45413</v>
      </c>
      <c r="C660">
        <v>23</v>
      </c>
      <c r="D660" s="33">
        <v>22600</v>
      </c>
      <c r="E660" t="str">
        <f>_xlfn.XLOOKUP(Quota_tbl[[#This Row],[Rep_ID]],Dim_Reps!A:A,Dim_Reps!K:K)</f>
        <v>USD</v>
      </c>
      <c r="F660" s="33">
        <f>(_xlfn.XLOOKUP(Quota_tbl[[#This Row],[Rate_Code_Generalized]],Lookups!A:A,Lookups!B:B)*Quota_tbl[[#This Row],[Quota_Amount_USD]])</f>
        <v>26313.179999999997</v>
      </c>
      <c r="G660" t="str">
        <f>_xlfn.XLOOKUP(Quota_tbl[[#This Row],[Rep_ID]],Dim_Reps!A:A,Dim_Reps!C:C)</f>
        <v>Mid-Market AE</v>
      </c>
      <c r="H660" t="str">
        <f>_xlfn.XLOOKUP(Quota_tbl[[#This Row],[Rep_ID]],Dim_Reps!A:A,Dim_Reps!D:D)</f>
        <v>Mid-Market</v>
      </c>
      <c r="I660" t="str">
        <f>_xlfn.XLOOKUP(Quota_tbl[[#This Row],[Rep_ID]],Dim_Reps!A:A,Dim_Reps!E:E)</f>
        <v>NAMER</v>
      </c>
      <c r="J660" t="str">
        <f>_xlfn.XLOOKUP(Quota_tbl[[#This Row],[Period_Start_Date]],Dim_Date!A:A,Dim_Date!H:H)</f>
        <v>May 2024</v>
      </c>
    </row>
    <row r="661" spans="1:10" ht="15" customHeight="1" x14ac:dyDescent="0.2">
      <c r="A661" t="s">
        <v>263</v>
      </c>
      <c r="B661" s="49">
        <v>45444</v>
      </c>
      <c r="C661">
        <v>24</v>
      </c>
      <c r="D661" s="33">
        <v>21900</v>
      </c>
      <c r="E661" t="str">
        <f>_xlfn.XLOOKUP(Quota_tbl[[#This Row],[Rep_ID]],Dim_Reps!A:A,Dim_Reps!K:K)</f>
        <v>USD</v>
      </c>
      <c r="F661" s="33">
        <f>(_xlfn.XLOOKUP(Quota_tbl[[#This Row],[Rate_Code_Generalized]],Lookups!A:A,Lookups!B:B)*Quota_tbl[[#This Row],[Quota_Amount_USD]])</f>
        <v>25498.17</v>
      </c>
      <c r="G661" t="str">
        <f>_xlfn.XLOOKUP(Quota_tbl[[#This Row],[Rep_ID]],Dim_Reps!A:A,Dim_Reps!C:C)</f>
        <v>Mid-Market AE</v>
      </c>
      <c r="H661" t="str">
        <f>_xlfn.XLOOKUP(Quota_tbl[[#This Row],[Rep_ID]],Dim_Reps!A:A,Dim_Reps!D:D)</f>
        <v>Mid-Market</v>
      </c>
      <c r="I661" t="str">
        <f>_xlfn.XLOOKUP(Quota_tbl[[#This Row],[Rep_ID]],Dim_Reps!A:A,Dim_Reps!E:E)</f>
        <v>NAMER</v>
      </c>
      <c r="J661" t="str">
        <f>_xlfn.XLOOKUP(Quota_tbl[[#This Row],[Period_Start_Date]],Dim_Date!A:A,Dim_Date!H:H)</f>
        <v>Jun 2024</v>
      </c>
    </row>
    <row r="662" spans="1:10" ht="15" customHeight="1" x14ac:dyDescent="0.2">
      <c r="A662" t="s">
        <v>263</v>
      </c>
      <c r="B662" s="49">
        <v>45474</v>
      </c>
      <c r="C662">
        <v>25</v>
      </c>
      <c r="D662" s="33">
        <v>21700</v>
      </c>
      <c r="E662" t="str">
        <f>_xlfn.XLOOKUP(Quota_tbl[[#This Row],[Rep_ID]],Dim_Reps!A:A,Dim_Reps!K:K)</f>
        <v>USD</v>
      </c>
      <c r="F662" s="33">
        <f>(_xlfn.XLOOKUP(Quota_tbl[[#This Row],[Rate_Code_Generalized]],Lookups!A:A,Lookups!B:B)*Quota_tbl[[#This Row],[Quota_Amount_USD]])</f>
        <v>25265.309999999998</v>
      </c>
      <c r="G662" t="str">
        <f>_xlfn.XLOOKUP(Quota_tbl[[#This Row],[Rep_ID]],Dim_Reps!A:A,Dim_Reps!C:C)</f>
        <v>Mid-Market AE</v>
      </c>
      <c r="H662" t="str">
        <f>_xlfn.XLOOKUP(Quota_tbl[[#This Row],[Rep_ID]],Dim_Reps!A:A,Dim_Reps!D:D)</f>
        <v>Mid-Market</v>
      </c>
      <c r="I662" t="str">
        <f>_xlfn.XLOOKUP(Quota_tbl[[#This Row],[Rep_ID]],Dim_Reps!A:A,Dim_Reps!E:E)</f>
        <v>NAMER</v>
      </c>
      <c r="J662" t="str">
        <f>_xlfn.XLOOKUP(Quota_tbl[[#This Row],[Period_Start_Date]],Dim_Date!A:A,Dim_Date!H:H)</f>
        <v>Jul 2024</v>
      </c>
    </row>
    <row r="663" spans="1:10" ht="15" customHeight="1" x14ac:dyDescent="0.2">
      <c r="A663" t="s">
        <v>263</v>
      </c>
      <c r="B663" s="49">
        <v>45505</v>
      </c>
      <c r="C663">
        <v>26</v>
      </c>
      <c r="D663" s="33">
        <v>22700</v>
      </c>
      <c r="E663" t="str">
        <f>_xlfn.XLOOKUP(Quota_tbl[[#This Row],[Rep_ID]],Dim_Reps!A:A,Dim_Reps!K:K)</f>
        <v>USD</v>
      </c>
      <c r="F663" s="33">
        <f>(_xlfn.XLOOKUP(Quota_tbl[[#This Row],[Rate_Code_Generalized]],Lookups!A:A,Lookups!B:B)*Quota_tbl[[#This Row],[Quota_Amount_USD]])</f>
        <v>26429.609999999997</v>
      </c>
      <c r="G663" t="str">
        <f>_xlfn.XLOOKUP(Quota_tbl[[#This Row],[Rep_ID]],Dim_Reps!A:A,Dim_Reps!C:C)</f>
        <v>Mid-Market AE</v>
      </c>
      <c r="H663" t="str">
        <f>_xlfn.XLOOKUP(Quota_tbl[[#This Row],[Rep_ID]],Dim_Reps!A:A,Dim_Reps!D:D)</f>
        <v>Mid-Market</v>
      </c>
      <c r="I663" t="str">
        <f>_xlfn.XLOOKUP(Quota_tbl[[#This Row],[Rep_ID]],Dim_Reps!A:A,Dim_Reps!E:E)</f>
        <v>NAMER</v>
      </c>
      <c r="J663" t="str">
        <f>_xlfn.XLOOKUP(Quota_tbl[[#This Row],[Period_Start_Date]],Dim_Date!A:A,Dim_Date!H:H)</f>
        <v>Aug 2024</v>
      </c>
    </row>
    <row r="664" spans="1:10" ht="15" customHeight="1" x14ac:dyDescent="0.2">
      <c r="A664" t="s">
        <v>263</v>
      </c>
      <c r="B664" s="49">
        <v>45536</v>
      </c>
      <c r="C664">
        <v>27</v>
      </c>
      <c r="D664" s="33">
        <v>21500</v>
      </c>
      <c r="E664" t="str">
        <f>_xlfn.XLOOKUP(Quota_tbl[[#This Row],[Rep_ID]],Dim_Reps!A:A,Dim_Reps!K:K)</f>
        <v>USD</v>
      </c>
      <c r="F664" s="33">
        <f>(_xlfn.XLOOKUP(Quota_tbl[[#This Row],[Rate_Code_Generalized]],Lookups!A:A,Lookups!B:B)*Quota_tbl[[#This Row],[Quota_Amount_USD]])</f>
        <v>25032.449999999997</v>
      </c>
      <c r="G664" t="str">
        <f>_xlfn.XLOOKUP(Quota_tbl[[#This Row],[Rep_ID]],Dim_Reps!A:A,Dim_Reps!C:C)</f>
        <v>Mid-Market AE</v>
      </c>
      <c r="H664" t="str">
        <f>_xlfn.XLOOKUP(Quota_tbl[[#This Row],[Rep_ID]],Dim_Reps!A:A,Dim_Reps!D:D)</f>
        <v>Mid-Market</v>
      </c>
      <c r="I664" t="str">
        <f>_xlfn.XLOOKUP(Quota_tbl[[#This Row],[Rep_ID]],Dim_Reps!A:A,Dim_Reps!E:E)</f>
        <v>NAMER</v>
      </c>
      <c r="J664" t="str">
        <f>_xlfn.XLOOKUP(Quota_tbl[[#This Row],[Period_Start_Date]],Dim_Date!A:A,Dim_Date!H:H)</f>
        <v>Sep 2024</v>
      </c>
    </row>
    <row r="665" spans="1:10" ht="15" customHeight="1" x14ac:dyDescent="0.2">
      <c r="A665" t="s">
        <v>263</v>
      </c>
      <c r="B665" s="49">
        <v>45566</v>
      </c>
      <c r="C665">
        <v>28</v>
      </c>
      <c r="D665" s="33">
        <v>21100</v>
      </c>
      <c r="E665" t="str">
        <f>_xlfn.XLOOKUP(Quota_tbl[[#This Row],[Rep_ID]],Dim_Reps!A:A,Dim_Reps!K:K)</f>
        <v>USD</v>
      </c>
      <c r="F665" s="33">
        <f>(_xlfn.XLOOKUP(Quota_tbl[[#This Row],[Rate_Code_Generalized]],Lookups!A:A,Lookups!B:B)*Quota_tbl[[#This Row],[Quota_Amount_USD]])</f>
        <v>24566.729999999996</v>
      </c>
      <c r="G665" t="str">
        <f>_xlfn.XLOOKUP(Quota_tbl[[#This Row],[Rep_ID]],Dim_Reps!A:A,Dim_Reps!C:C)</f>
        <v>Mid-Market AE</v>
      </c>
      <c r="H665" t="str">
        <f>_xlfn.XLOOKUP(Quota_tbl[[#This Row],[Rep_ID]],Dim_Reps!A:A,Dim_Reps!D:D)</f>
        <v>Mid-Market</v>
      </c>
      <c r="I665" t="str">
        <f>_xlfn.XLOOKUP(Quota_tbl[[#This Row],[Rep_ID]],Dim_Reps!A:A,Dim_Reps!E:E)</f>
        <v>NAMER</v>
      </c>
      <c r="J665" t="str">
        <f>_xlfn.XLOOKUP(Quota_tbl[[#This Row],[Period_Start_Date]],Dim_Date!A:A,Dim_Date!H:H)</f>
        <v>Oct 2024</v>
      </c>
    </row>
    <row r="666" spans="1:10" ht="15" customHeight="1" x14ac:dyDescent="0.2">
      <c r="A666" t="s">
        <v>263</v>
      </c>
      <c r="B666" s="49">
        <v>45597</v>
      </c>
      <c r="C666">
        <v>29</v>
      </c>
      <c r="D666" s="33">
        <v>21000</v>
      </c>
      <c r="E666" t="str">
        <f>_xlfn.XLOOKUP(Quota_tbl[[#This Row],[Rep_ID]],Dim_Reps!A:A,Dim_Reps!K:K)</f>
        <v>USD</v>
      </c>
      <c r="F666" s="33">
        <f>(_xlfn.XLOOKUP(Quota_tbl[[#This Row],[Rate_Code_Generalized]],Lookups!A:A,Lookups!B:B)*Quota_tbl[[#This Row],[Quota_Amount_USD]])</f>
        <v>24450.3</v>
      </c>
      <c r="G666" t="str">
        <f>_xlfn.XLOOKUP(Quota_tbl[[#This Row],[Rep_ID]],Dim_Reps!A:A,Dim_Reps!C:C)</f>
        <v>Mid-Market AE</v>
      </c>
      <c r="H666" t="str">
        <f>_xlfn.XLOOKUP(Quota_tbl[[#This Row],[Rep_ID]],Dim_Reps!A:A,Dim_Reps!D:D)</f>
        <v>Mid-Market</v>
      </c>
      <c r="I666" t="str">
        <f>_xlfn.XLOOKUP(Quota_tbl[[#This Row],[Rep_ID]],Dim_Reps!A:A,Dim_Reps!E:E)</f>
        <v>NAMER</v>
      </c>
      <c r="J666" t="str">
        <f>_xlfn.XLOOKUP(Quota_tbl[[#This Row],[Period_Start_Date]],Dim_Date!A:A,Dim_Date!H:H)</f>
        <v>Nov 2024</v>
      </c>
    </row>
    <row r="667" spans="1:10" ht="15" customHeight="1" x14ac:dyDescent="0.2">
      <c r="A667" t="s">
        <v>263</v>
      </c>
      <c r="B667" s="49">
        <v>45627</v>
      </c>
      <c r="C667">
        <v>30</v>
      </c>
      <c r="D667" s="33">
        <v>22400</v>
      </c>
      <c r="E667" t="str">
        <f>_xlfn.XLOOKUP(Quota_tbl[[#This Row],[Rep_ID]],Dim_Reps!A:A,Dim_Reps!K:K)</f>
        <v>USD</v>
      </c>
      <c r="F667" s="33">
        <f>(_xlfn.XLOOKUP(Quota_tbl[[#This Row],[Rate_Code_Generalized]],Lookups!A:A,Lookups!B:B)*Quota_tbl[[#This Row],[Quota_Amount_USD]])</f>
        <v>26080.319999999996</v>
      </c>
      <c r="G667" t="str">
        <f>_xlfn.XLOOKUP(Quota_tbl[[#This Row],[Rep_ID]],Dim_Reps!A:A,Dim_Reps!C:C)</f>
        <v>Mid-Market AE</v>
      </c>
      <c r="H667" t="str">
        <f>_xlfn.XLOOKUP(Quota_tbl[[#This Row],[Rep_ID]],Dim_Reps!A:A,Dim_Reps!D:D)</f>
        <v>Mid-Market</v>
      </c>
      <c r="I667" t="str">
        <f>_xlfn.XLOOKUP(Quota_tbl[[#This Row],[Rep_ID]],Dim_Reps!A:A,Dim_Reps!E:E)</f>
        <v>NAMER</v>
      </c>
      <c r="J667" t="str">
        <f>_xlfn.XLOOKUP(Quota_tbl[[#This Row],[Period_Start_Date]],Dim_Date!A:A,Dim_Date!H:H)</f>
        <v>Dec 2024</v>
      </c>
    </row>
    <row r="668" spans="1:10" ht="15" customHeight="1" x14ac:dyDescent="0.2">
      <c r="A668" t="s">
        <v>263</v>
      </c>
      <c r="B668" s="49">
        <v>45658</v>
      </c>
      <c r="C668">
        <v>31</v>
      </c>
      <c r="D668" s="33">
        <v>21200</v>
      </c>
      <c r="E668" t="str">
        <f>_xlfn.XLOOKUP(Quota_tbl[[#This Row],[Rep_ID]],Dim_Reps!A:A,Dim_Reps!K:K)</f>
        <v>USD</v>
      </c>
      <c r="F668" s="33">
        <f>(_xlfn.XLOOKUP(Quota_tbl[[#This Row],[Rate_Code_Generalized]],Lookups!A:A,Lookups!B:B)*Quota_tbl[[#This Row],[Quota_Amount_USD]])</f>
        <v>24683.159999999996</v>
      </c>
      <c r="G668" t="str">
        <f>_xlfn.XLOOKUP(Quota_tbl[[#This Row],[Rep_ID]],Dim_Reps!A:A,Dim_Reps!C:C)</f>
        <v>Mid-Market AE</v>
      </c>
      <c r="H668" t="str">
        <f>_xlfn.XLOOKUP(Quota_tbl[[#This Row],[Rep_ID]],Dim_Reps!A:A,Dim_Reps!D:D)</f>
        <v>Mid-Market</v>
      </c>
      <c r="I668" t="str">
        <f>_xlfn.XLOOKUP(Quota_tbl[[#This Row],[Rep_ID]],Dim_Reps!A:A,Dim_Reps!E:E)</f>
        <v>NAMER</v>
      </c>
      <c r="J668" t="str">
        <f>_xlfn.XLOOKUP(Quota_tbl[[#This Row],[Period_Start_Date]],Dim_Date!A:A,Dim_Date!H:H)</f>
        <v>Jan 2025</v>
      </c>
    </row>
    <row r="669" spans="1:10" ht="15" customHeight="1" x14ac:dyDescent="0.2">
      <c r="A669" t="s">
        <v>263</v>
      </c>
      <c r="B669" s="49">
        <v>45689</v>
      </c>
      <c r="C669">
        <v>32</v>
      </c>
      <c r="D669" s="33">
        <v>23200</v>
      </c>
      <c r="E669" t="str">
        <f>_xlfn.XLOOKUP(Quota_tbl[[#This Row],[Rep_ID]],Dim_Reps!A:A,Dim_Reps!K:K)</f>
        <v>USD</v>
      </c>
      <c r="F669" s="33">
        <f>(_xlfn.XLOOKUP(Quota_tbl[[#This Row],[Rate_Code_Generalized]],Lookups!A:A,Lookups!B:B)*Quota_tbl[[#This Row],[Quota_Amount_USD]])</f>
        <v>27011.759999999998</v>
      </c>
      <c r="G669" t="str">
        <f>_xlfn.XLOOKUP(Quota_tbl[[#This Row],[Rep_ID]],Dim_Reps!A:A,Dim_Reps!C:C)</f>
        <v>Mid-Market AE</v>
      </c>
      <c r="H669" t="str">
        <f>_xlfn.XLOOKUP(Quota_tbl[[#This Row],[Rep_ID]],Dim_Reps!A:A,Dim_Reps!D:D)</f>
        <v>Mid-Market</v>
      </c>
      <c r="I669" t="str">
        <f>_xlfn.XLOOKUP(Quota_tbl[[#This Row],[Rep_ID]],Dim_Reps!A:A,Dim_Reps!E:E)</f>
        <v>NAMER</v>
      </c>
      <c r="J669" t="str">
        <f>_xlfn.XLOOKUP(Quota_tbl[[#This Row],[Period_Start_Date]],Dim_Date!A:A,Dim_Date!H:H)</f>
        <v>Feb 2025</v>
      </c>
    </row>
    <row r="670" spans="1:10" ht="15" customHeight="1" x14ac:dyDescent="0.2">
      <c r="A670" t="s">
        <v>263</v>
      </c>
      <c r="B670" s="49">
        <v>45717</v>
      </c>
      <c r="C670">
        <v>33</v>
      </c>
      <c r="D670" s="33">
        <v>20600</v>
      </c>
      <c r="E670" t="str">
        <f>_xlfn.XLOOKUP(Quota_tbl[[#This Row],[Rep_ID]],Dim_Reps!A:A,Dim_Reps!K:K)</f>
        <v>USD</v>
      </c>
      <c r="F670" s="33">
        <f>(_xlfn.XLOOKUP(Quota_tbl[[#This Row],[Rate_Code_Generalized]],Lookups!A:A,Lookups!B:B)*Quota_tbl[[#This Row],[Quota_Amount_USD]])</f>
        <v>23984.579999999998</v>
      </c>
      <c r="G670" t="str">
        <f>_xlfn.XLOOKUP(Quota_tbl[[#This Row],[Rep_ID]],Dim_Reps!A:A,Dim_Reps!C:C)</f>
        <v>Mid-Market AE</v>
      </c>
      <c r="H670" t="str">
        <f>_xlfn.XLOOKUP(Quota_tbl[[#This Row],[Rep_ID]],Dim_Reps!A:A,Dim_Reps!D:D)</f>
        <v>Mid-Market</v>
      </c>
      <c r="I670" t="str">
        <f>_xlfn.XLOOKUP(Quota_tbl[[#This Row],[Rep_ID]],Dim_Reps!A:A,Dim_Reps!E:E)</f>
        <v>NAMER</v>
      </c>
      <c r="J670" t="str">
        <f>_xlfn.XLOOKUP(Quota_tbl[[#This Row],[Period_Start_Date]],Dim_Date!A:A,Dim_Date!H:H)</f>
        <v>Mar 2025</v>
      </c>
    </row>
    <row r="671" spans="1:10" ht="15" customHeight="1" x14ac:dyDescent="0.2">
      <c r="A671" t="s">
        <v>263</v>
      </c>
      <c r="B671" s="49">
        <v>45748</v>
      </c>
      <c r="C671">
        <v>34</v>
      </c>
      <c r="D671" s="33">
        <v>23100</v>
      </c>
      <c r="E671" t="str">
        <f>_xlfn.XLOOKUP(Quota_tbl[[#This Row],[Rep_ID]],Dim_Reps!A:A,Dim_Reps!K:K)</f>
        <v>USD</v>
      </c>
      <c r="F671" s="33">
        <f>(_xlfn.XLOOKUP(Quota_tbl[[#This Row],[Rate_Code_Generalized]],Lookups!A:A,Lookups!B:B)*Quota_tbl[[#This Row],[Quota_Amount_USD]])</f>
        <v>26895.329999999998</v>
      </c>
      <c r="G671" t="str">
        <f>_xlfn.XLOOKUP(Quota_tbl[[#This Row],[Rep_ID]],Dim_Reps!A:A,Dim_Reps!C:C)</f>
        <v>Mid-Market AE</v>
      </c>
      <c r="H671" t="str">
        <f>_xlfn.XLOOKUP(Quota_tbl[[#This Row],[Rep_ID]],Dim_Reps!A:A,Dim_Reps!D:D)</f>
        <v>Mid-Market</v>
      </c>
      <c r="I671" t="str">
        <f>_xlfn.XLOOKUP(Quota_tbl[[#This Row],[Rep_ID]],Dim_Reps!A:A,Dim_Reps!E:E)</f>
        <v>NAMER</v>
      </c>
      <c r="J671" t="str">
        <f>_xlfn.XLOOKUP(Quota_tbl[[#This Row],[Period_Start_Date]],Dim_Date!A:A,Dim_Date!H:H)</f>
        <v>Apr 2025</v>
      </c>
    </row>
    <row r="672" spans="1:10" ht="15" customHeight="1" x14ac:dyDescent="0.2">
      <c r="A672" t="s">
        <v>263</v>
      </c>
      <c r="B672" s="49">
        <v>45778</v>
      </c>
      <c r="C672">
        <v>35</v>
      </c>
      <c r="D672" s="33">
        <v>22100</v>
      </c>
      <c r="E672" t="str">
        <f>_xlfn.XLOOKUP(Quota_tbl[[#This Row],[Rep_ID]],Dim_Reps!A:A,Dim_Reps!K:K)</f>
        <v>USD</v>
      </c>
      <c r="F672" s="33">
        <f>(_xlfn.XLOOKUP(Quota_tbl[[#This Row],[Rate_Code_Generalized]],Lookups!A:A,Lookups!B:B)*Quota_tbl[[#This Row],[Quota_Amount_USD]])</f>
        <v>25731.03</v>
      </c>
      <c r="G672" t="str">
        <f>_xlfn.XLOOKUP(Quota_tbl[[#This Row],[Rep_ID]],Dim_Reps!A:A,Dim_Reps!C:C)</f>
        <v>Mid-Market AE</v>
      </c>
      <c r="H672" t="str">
        <f>_xlfn.XLOOKUP(Quota_tbl[[#This Row],[Rep_ID]],Dim_Reps!A:A,Dim_Reps!D:D)</f>
        <v>Mid-Market</v>
      </c>
      <c r="I672" t="str">
        <f>_xlfn.XLOOKUP(Quota_tbl[[#This Row],[Rep_ID]],Dim_Reps!A:A,Dim_Reps!E:E)</f>
        <v>NAMER</v>
      </c>
      <c r="J672" t="str">
        <f>_xlfn.XLOOKUP(Quota_tbl[[#This Row],[Period_Start_Date]],Dim_Date!A:A,Dim_Date!H:H)</f>
        <v>May 2025</v>
      </c>
    </row>
    <row r="673" spans="1:10" ht="15" customHeight="1" x14ac:dyDescent="0.2">
      <c r="A673" t="s">
        <v>263</v>
      </c>
      <c r="B673" s="49">
        <v>45809</v>
      </c>
      <c r="C673">
        <v>36</v>
      </c>
      <c r="D673" s="33">
        <v>21900</v>
      </c>
      <c r="E673" t="str">
        <f>_xlfn.XLOOKUP(Quota_tbl[[#This Row],[Rep_ID]],Dim_Reps!A:A,Dim_Reps!K:K)</f>
        <v>USD</v>
      </c>
      <c r="F673" s="33">
        <f>(_xlfn.XLOOKUP(Quota_tbl[[#This Row],[Rate_Code_Generalized]],Lookups!A:A,Lookups!B:B)*Quota_tbl[[#This Row],[Quota_Amount_USD]])</f>
        <v>25498.17</v>
      </c>
      <c r="G673" t="str">
        <f>_xlfn.XLOOKUP(Quota_tbl[[#This Row],[Rep_ID]],Dim_Reps!A:A,Dim_Reps!C:C)</f>
        <v>Mid-Market AE</v>
      </c>
      <c r="H673" t="str">
        <f>_xlfn.XLOOKUP(Quota_tbl[[#This Row],[Rep_ID]],Dim_Reps!A:A,Dim_Reps!D:D)</f>
        <v>Mid-Market</v>
      </c>
      <c r="I673" t="str">
        <f>_xlfn.XLOOKUP(Quota_tbl[[#This Row],[Rep_ID]],Dim_Reps!A:A,Dim_Reps!E:E)</f>
        <v>NAMER</v>
      </c>
      <c r="J673" t="str">
        <f>_xlfn.XLOOKUP(Quota_tbl[[#This Row],[Period_Start_Date]],Dim_Date!A:A,Dim_Date!H:H)</f>
        <v>Jun 2025</v>
      </c>
    </row>
    <row r="674" spans="1:10" ht="15" customHeight="1" x14ac:dyDescent="0.2">
      <c r="A674" t="s">
        <v>263</v>
      </c>
      <c r="B674" s="49">
        <v>45839</v>
      </c>
      <c r="C674">
        <v>37</v>
      </c>
      <c r="D674" s="33">
        <v>21600</v>
      </c>
      <c r="E674" t="str">
        <f>_xlfn.XLOOKUP(Quota_tbl[[#This Row],[Rep_ID]],Dim_Reps!A:A,Dim_Reps!K:K)</f>
        <v>USD</v>
      </c>
      <c r="F674" s="33">
        <f>(_xlfn.XLOOKUP(Quota_tbl[[#This Row],[Rate_Code_Generalized]],Lookups!A:A,Lookups!B:B)*Quota_tbl[[#This Row],[Quota_Amount_USD]])</f>
        <v>25148.879999999997</v>
      </c>
      <c r="G674" t="str">
        <f>_xlfn.XLOOKUP(Quota_tbl[[#This Row],[Rep_ID]],Dim_Reps!A:A,Dim_Reps!C:C)</f>
        <v>Mid-Market AE</v>
      </c>
      <c r="H674" t="str">
        <f>_xlfn.XLOOKUP(Quota_tbl[[#This Row],[Rep_ID]],Dim_Reps!A:A,Dim_Reps!D:D)</f>
        <v>Mid-Market</v>
      </c>
      <c r="I674" t="str">
        <f>_xlfn.XLOOKUP(Quota_tbl[[#This Row],[Rep_ID]],Dim_Reps!A:A,Dim_Reps!E:E)</f>
        <v>NAMER</v>
      </c>
      <c r="J674" t="str">
        <f>_xlfn.XLOOKUP(Quota_tbl[[#This Row],[Period_Start_Date]],Dim_Date!A:A,Dim_Date!H:H)</f>
        <v>Jul 2025</v>
      </c>
    </row>
    <row r="675" spans="1:10" ht="15" customHeight="1" x14ac:dyDescent="0.2">
      <c r="A675" t="s">
        <v>263</v>
      </c>
      <c r="B675" s="49">
        <v>45870</v>
      </c>
      <c r="C675">
        <v>38</v>
      </c>
      <c r="D675" s="33">
        <v>22300</v>
      </c>
      <c r="E675" t="str">
        <f>_xlfn.XLOOKUP(Quota_tbl[[#This Row],[Rep_ID]],Dim_Reps!A:A,Dim_Reps!K:K)</f>
        <v>USD</v>
      </c>
      <c r="F675" s="33">
        <f>(_xlfn.XLOOKUP(Quota_tbl[[#This Row],[Rate_Code_Generalized]],Lookups!A:A,Lookups!B:B)*Quota_tbl[[#This Row],[Quota_Amount_USD]])</f>
        <v>25963.889999999996</v>
      </c>
      <c r="G675" t="str">
        <f>_xlfn.XLOOKUP(Quota_tbl[[#This Row],[Rep_ID]],Dim_Reps!A:A,Dim_Reps!C:C)</f>
        <v>Mid-Market AE</v>
      </c>
      <c r="H675" t="str">
        <f>_xlfn.XLOOKUP(Quota_tbl[[#This Row],[Rep_ID]],Dim_Reps!A:A,Dim_Reps!D:D)</f>
        <v>Mid-Market</v>
      </c>
      <c r="I675" t="str">
        <f>_xlfn.XLOOKUP(Quota_tbl[[#This Row],[Rep_ID]],Dim_Reps!A:A,Dim_Reps!E:E)</f>
        <v>NAMER</v>
      </c>
      <c r="J675" t="str">
        <f>_xlfn.XLOOKUP(Quota_tbl[[#This Row],[Period_Start_Date]],Dim_Date!A:A,Dim_Date!H:H)</f>
        <v>Aug 2025</v>
      </c>
    </row>
    <row r="676" spans="1:10" ht="15" customHeight="1" x14ac:dyDescent="0.2">
      <c r="A676" t="s">
        <v>263</v>
      </c>
      <c r="B676" s="49">
        <v>45901</v>
      </c>
      <c r="C676">
        <v>39</v>
      </c>
      <c r="D676" s="33">
        <v>22000</v>
      </c>
      <c r="E676" t="str">
        <f>_xlfn.XLOOKUP(Quota_tbl[[#This Row],[Rep_ID]],Dim_Reps!A:A,Dim_Reps!K:K)</f>
        <v>USD</v>
      </c>
      <c r="F676" s="33">
        <f>(_xlfn.XLOOKUP(Quota_tbl[[#This Row],[Rate_Code_Generalized]],Lookups!A:A,Lookups!B:B)*Quota_tbl[[#This Row],[Quota_Amount_USD]])</f>
        <v>25614.6</v>
      </c>
      <c r="G676" t="str">
        <f>_xlfn.XLOOKUP(Quota_tbl[[#This Row],[Rep_ID]],Dim_Reps!A:A,Dim_Reps!C:C)</f>
        <v>Mid-Market AE</v>
      </c>
      <c r="H676" t="str">
        <f>_xlfn.XLOOKUP(Quota_tbl[[#This Row],[Rep_ID]],Dim_Reps!A:A,Dim_Reps!D:D)</f>
        <v>Mid-Market</v>
      </c>
      <c r="I676" t="str">
        <f>_xlfn.XLOOKUP(Quota_tbl[[#This Row],[Rep_ID]],Dim_Reps!A:A,Dim_Reps!E:E)</f>
        <v>NAMER</v>
      </c>
      <c r="J676" t="str">
        <f>_xlfn.XLOOKUP(Quota_tbl[[#This Row],[Period_Start_Date]],Dim_Date!A:A,Dim_Date!H:H)</f>
        <v>Sep 2025</v>
      </c>
    </row>
    <row r="677" spans="1:10" ht="15" customHeight="1" x14ac:dyDescent="0.2">
      <c r="A677" t="s">
        <v>263</v>
      </c>
      <c r="B677" s="49">
        <v>45931</v>
      </c>
      <c r="C677">
        <v>40</v>
      </c>
      <c r="D677" s="33">
        <v>22700</v>
      </c>
      <c r="E677" t="str">
        <f>_xlfn.XLOOKUP(Quota_tbl[[#This Row],[Rep_ID]],Dim_Reps!A:A,Dim_Reps!K:K)</f>
        <v>USD</v>
      </c>
      <c r="F677" s="33">
        <f>(_xlfn.XLOOKUP(Quota_tbl[[#This Row],[Rate_Code_Generalized]],Lookups!A:A,Lookups!B:B)*Quota_tbl[[#This Row],[Quota_Amount_USD]])</f>
        <v>26429.609999999997</v>
      </c>
      <c r="G677" t="str">
        <f>_xlfn.XLOOKUP(Quota_tbl[[#This Row],[Rep_ID]],Dim_Reps!A:A,Dim_Reps!C:C)</f>
        <v>Mid-Market AE</v>
      </c>
      <c r="H677" t="str">
        <f>_xlfn.XLOOKUP(Quota_tbl[[#This Row],[Rep_ID]],Dim_Reps!A:A,Dim_Reps!D:D)</f>
        <v>Mid-Market</v>
      </c>
      <c r="I677" t="str">
        <f>_xlfn.XLOOKUP(Quota_tbl[[#This Row],[Rep_ID]],Dim_Reps!A:A,Dim_Reps!E:E)</f>
        <v>NAMER</v>
      </c>
      <c r="J677" t="str">
        <f>_xlfn.XLOOKUP(Quota_tbl[[#This Row],[Period_Start_Date]],Dim_Date!A:A,Dim_Date!H:H)</f>
        <v>Oct 2025</v>
      </c>
    </row>
    <row r="678" spans="1:10" ht="15" customHeight="1" x14ac:dyDescent="0.2">
      <c r="A678" t="s">
        <v>263</v>
      </c>
      <c r="B678" s="49">
        <v>45962</v>
      </c>
      <c r="C678">
        <v>41</v>
      </c>
      <c r="D678" s="33">
        <v>22100</v>
      </c>
      <c r="E678" t="str">
        <f>_xlfn.XLOOKUP(Quota_tbl[[#This Row],[Rep_ID]],Dim_Reps!A:A,Dim_Reps!K:K)</f>
        <v>USD</v>
      </c>
      <c r="F678" s="33">
        <f>(_xlfn.XLOOKUP(Quota_tbl[[#This Row],[Rate_Code_Generalized]],Lookups!A:A,Lookups!B:B)*Quota_tbl[[#This Row],[Quota_Amount_USD]])</f>
        <v>25731.03</v>
      </c>
      <c r="G678" t="str">
        <f>_xlfn.XLOOKUP(Quota_tbl[[#This Row],[Rep_ID]],Dim_Reps!A:A,Dim_Reps!C:C)</f>
        <v>Mid-Market AE</v>
      </c>
      <c r="H678" t="str">
        <f>_xlfn.XLOOKUP(Quota_tbl[[#This Row],[Rep_ID]],Dim_Reps!A:A,Dim_Reps!D:D)</f>
        <v>Mid-Market</v>
      </c>
      <c r="I678" t="str">
        <f>_xlfn.XLOOKUP(Quota_tbl[[#This Row],[Rep_ID]],Dim_Reps!A:A,Dim_Reps!E:E)</f>
        <v>NAMER</v>
      </c>
      <c r="J678" t="str">
        <f>_xlfn.XLOOKUP(Quota_tbl[[#This Row],[Period_Start_Date]],Dim_Date!A:A,Dim_Date!H:H)</f>
        <v>Nov 2025</v>
      </c>
    </row>
    <row r="679" spans="1:10" ht="15" customHeight="1" x14ac:dyDescent="0.2">
      <c r="A679" t="s">
        <v>263</v>
      </c>
      <c r="B679" s="49">
        <v>45992</v>
      </c>
      <c r="C679">
        <v>42</v>
      </c>
      <c r="D679" s="33">
        <v>22100</v>
      </c>
      <c r="E679" t="str">
        <f>_xlfn.XLOOKUP(Quota_tbl[[#This Row],[Rep_ID]],Dim_Reps!A:A,Dim_Reps!K:K)</f>
        <v>USD</v>
      </c>
      <c r="F679" s="33">
        <f>(_xlfn.XLOOKUP(Quota_tbl[[#This Row],[Rate_Code_Generalized]],Lookups!A:A,Lookups!B:B)*Quota_tbl[[#This Row],[Quota_Amount_USD]])</f>
        <v>25731.03</v>
      </c>
      <c r="G679" t="str">
        <f>_xlfn.XLOOKUP(Quota_tbl[[#This Row],[Rep_ID]],Dim_Reps!A:A,Dim_Reps!C:C)</f>
        <v>Mid-Market AE</v>
      </c>
      <c r="H679" t="str">
        <f>_xlfn.XLOOKUP(Quota_tbl[[#This Row],[Rep_ID]],Dim_Reps!A:A,Dim_Reps!D:D)</f>
        <v>Mid-Market</v>
      </c>
      <c r="I679" t="str">
        <f>_xlfn.XLOOKUP(Quota_tbl[[#This Row],[Rep_ID]],Dim_Reps!A:A,Dim_Reps!E:E)</f>
        <v>NAMER</v>
      </c>
      <c r="J679" t="str">
        <f>_xlfn.XLOOKUP(Quota_tbl[[#This Row],[Period_Start_Date]],Dim_Date!A:A,Dim_Date!H:H)</f>
        <v>Dec 2025</v>
      </c>
    </row>
    <row r="680" spans="1:10" ht="15" customHeight="1" x14ac:dyDescent="0.2">
      <c r="A680" t="s">
        <v>265</v>
      </c>
      <c r="B680" s="49">
        <v>45292</v>
      </c>
      <c r="C680">
        <v>11</v>
      </c>
      <c r="D680" s="33">
        <v>21800</v>
      </c>
      <c r="E680" t="str">
        <f>_xlfn.XLOOKUP(Quota_tbl[[#This Row],[Rep_ID]],Dim_Reps!A:A,Dim_Reps!K:K)</f>
        <v>EUR</v>
      </c>
      <c r="F680" s="33">
        <f>(_xlfn.XLOOKUP(Quota_tbl[[#This Row],[Rate_Code_Generalized]],Lookups!A:A,Lookups!B:B)*Quota_tbl[[#This Row],[Quota_Amount_USD]])</f>
        <v>21800</v>
      </c>
      <c r="G680" t="str">
        <f>_xlfn.XLOOKUP(Quota_tbl[[#This Row],[Rep_ID]],Dim_Reps!A:A,Dim_Reps!C:C)</f>
        <v>Mid-Market AE</v>
      </c>
      <c r="H680" t="str">
        <f>_xlfn.XLOOKUP(Quota_tbl[[#This Row],[Rep_ID]],Dim_Reps!A:A,Dim_Reps!D:D)</f>
        <v>Mid-Market</v>
      </c>
      <c r="I680" t="str">
        <f>_xlfn.XLOOKUP(Quota_tbl[[#This Row],[Rep_ID]],Dim_Reps!A:A,Dim_Reps!E:E)</f>
        <v>EMEA</v>
      </c>
      <c r="J680" t="str">
        <f>_xlfn.XLOOKUP(Quota_tbl[[#This Row],[Period_Start_Date]],Dim_Date!A:A,Dim_Date!H:H)</f>
        <v>Jan 2024</v>
      </c>
    </row>
    <row r="681" spans="1:10" ht="15" customHeight="1" x14ac:dyDescent="0.2">
      <c r="A681" t="s">
        <v>265</v>
      </c>
      <c r="B681" s="49">
        <v>45323</v>
      </c>
      <c r="C681">
        <v>12</v>
      </c>
      <c r="D681" s="33">
        <v>22000</v>
      </c>
      <c r="E681" t="str">
        <f>_xlfn.XLOOKUP(Quota_tbl[[#This Row],[Rep_ID]],Dim_Reps!A:A,Dim_Reps!K:K)</f>
        <v>EUR</v>
      </c>
      <c r="F681" s="33">
        <f>(_xlfn.XLOOKUP(Quota_tbl[[#This Row],[Rate_Code_Generalized]],Lookups!A:A,Lookups!B:B)*Quota_tbl[[#This Row],[Quota_Amount_USD]])</f>
        <v>22000</v>
      </c>
      <c r="G681" t="str">
        <f>_xlfn.XLOOKUP(Quota_tbl[[#This Row],[Rep_ID]],Dim_Reps!A:A,Dim_Reps!C:C)</f>
        <v>Mid-Market AE</v>
      </c>
      <c r="H681" t="str">
        <f>_xlfn.XLOOKUP(Quota_tbl[[#This Row],[Rep_ID]],Dim_Reps!A:A,Dim_Reps!D:D)</f>
        <v>Mid-Market</v>
      </c>
      <c r="I681" t="str">
        <f>_xlfn.XLOOKUP(Quota_tbl[[#This Row],[Rep_ID]],Dim_Reps!A:A,Dim_Reps!E:E)</f>
        <v>EMEA</v>
      </c>
      <c r="J681" t="str">
        <f>_xlfn.XLOOKUP(Quota_tbl[[#This Row],[Period_Start_Date]],Dim_Date!A:A,Dim_Date!H:H)</f>
        <v>Feb 2024</v>
      </c>
    </row>
    <row r="682" spans="1:10" ht="15" customHeight="1" x14ac:dyDescent="0.2">
      <c r="A682" t="s">
        <v>265</v>
      </c>
      <c r="B682" s="49">
        <v>45352</v>
      </c>
      <c r="C682">
        <v>13</v>
      </c>
      <c r="D682" s="33">
        <v>22200</v>
      </c>
      <c r="E682" t="str">
        <f>_xlfn.XLOOKUP(Quota_tbl[[#This Row],[Rep_ID]],Dim_Reps!A:A,Dim_Reps!K:K)</f>
        <v>EUR</v>
      </c>
      <c r="F682" s="33">
        <f>(_xlfn.XLOOKUP(Quota_tbl[[#This Row],[Rate_Code_Generalized]],Lookups!A:A,Lookups!B:B)*Quota_tbl[[#This Row],[Quota_Amount_USD]])</f>
        <v>22200</v>
      </c>
      <c r="G682" t="str">
        <f>_xlfn.XLOOKUP(Quota_tbl[[#This Row],[Rep_ID]],Dim_Reps!A:A,Dim_Reps!C:C)</f>
        <v>Mid-Market AE</v>
      </c>
      <c r="H682" t="str">
        <f>_xlfn.XLOOKUP(Quota_tbl[[#This Row],[Rep_ID]],Dim_Reps!A:A,Dim_Reps!D:D)</f>
        <v>Mid-Market</v>
      </c>
      <c r="I682" t="str">
        <f>_xlfn.XLOOKUP(Quota_tbl[[#This Row],[Rep_ID]],Dim_Reps!A:A,Dim_Reps!E:E)</f>
        <v>EMEA</v>
      </c>
      <c r="J682" t="str">
        <f>_xlfn.XLOOKUP(Quota_tbl[[#This Row],[Period_Start_Date]],Dim_Date!A:A,Dim_Date!H:H)</f>
        <v>Mar 2024</v>
      </c>
    </row>
    <row r="683" spans="1:10" ht="15" customHeight="1" x14ac:dyDescent="0.2">
      <c r="A683" t="s">
        <v>265</v>
      </c>
      <c r="B683" s="49">
        <v>45383</v>
      </c>
      <c r="C683">
        <v>14</v>
      </c>
      <c r="D683" s="33">
        <v>20900</v>
      </c>
      <c r="E683" t="str">
        <f>_xlfn.XLOOKUP(Quota_tbl[[#This Row],[Rep_ID]],Dim_Reps!A:A,Dim_Reps!K:K)</f>
        <v>EUR</v>
      </c>
      <c r="F683" s="33">
        <f>(_xlfn.XLOOKUP(Quota_tbl[[#This Row],[Rate_Code_Generalized]],Lookups!A:A,Lookups!B:B)*Quota_tbl[[#This Row],[Quota_Amount_USD]])</f>
        <v>20900</v>
      </c>
      <c r="G683" t="str">
        <f>_xlfn.XLOOKUP(Quota_tbl[[#This Row],[Rep_ID]],Dim_Reps!A:A,Dim_Reps!C:C)</f>
        <v>Mid-Market AE</v>
      </c>
      <c r="H683" t="str">
        <f>_xlfn.XLOOKUP(Quota_tbl[[#This Row],[Rep_ID]],Dim_Reps!A:A,Dim_Reps!D:D)</f>
        <v>Mid-Market</v>
      </c>
      <c r="I683" t="str">
        <f>_xlfn.XLOOKUP(Quota_tbl[[#This Row],[Rep_ID]],Dim_Reps!A:A,Dim_Reps!E:E)</f>
        <v>EMEA</v>
      </c>
      <c r="J683" t="str">
        <f>_xlfn.XLOOKUP(Quota_tbl[[#This Row],[Period_Start_Date]],Dim_Date!A:A,Dim_Date!H:H)</f>
        <v>Apr 2024</v>
      </c>
    </row>
    <row r="684" spans="1:10" ht="15" customHeight="1" x14ac:dyDescent="0.2">
      <c r="A684" t="s">
        <v>265</v>
      </c>
      <c r="B684" s="49">
        <v>45413</v>
      </c>
      <c r="C684">
        <v>15</v>
      </c>
      <c r="D684" s="33">
        <v>21100</v>
      </c>
      <c r="E684" t="str">
        <f>_xlfn.XLOOKUP(Quota_tbl[[#This Row],[Rep_ID]],Dim_Reps!A:A,Dim_Reps!K:K)</f>
        <v>EUR</v>
      </c>
      <c r="F684" s="33">
        <f>(_xlfn.XLOOKUP(Quota_tbl[[#This Row],[Rate_Code_Generalized]],Lookups!A:A,Lookups!B:B)*Quota_tbl[[#This Row],[Quota_Amount_USD]])</f>
        <v>21100</v>
      </c>
      <c r="G684" t="str">
        <f>_xlfn.XLOOKUP(Quota_tbl[[#This Row],[Rep_ID]],Dim_Reps!A:A,Dim_Reps!C:C)</f>
        <v>Mid-Market AE</v>
      </c>
      <c r="H684" t="str">
        <f>_xlfn.XLOOKUP(Quota_tbl[[#This Row],[Rep_ID]],Dim_Reps!A:A,Dim_Reps!D:D)</f>
        <v>Mid-Market</v>
      </c>
      <c r="I684" t="str">
        <f>_xlfn.XLOOKUP(Quota_tbl[[#This Row],[Rep_ID]],Dim_Reps!A:A,Dim_Reps!E:E)</f>
        <v>EMEA</v>
      </c>
      <c r="J684" t="str">
        <f>_xlfn.XLOOKUP(Quota_tbl[[#This Row],[Period_Start_Date]],Dim_Date!A:A,Dim_Date!H:H)</f>
        <v>May 2024</v>
      </c>
    </row>
    <row r="685" spans="1:10" ht="15" customHeight="1" x14ac:dyDescent="0.2">
      <c r="A685" t="s">
        <v>265</v>
      </c>
      <c r="B685" s="49">
        <v>45444</v>
      </c>
      <c r="C685">
        <v>16</v>
      </c>
      <c r="D685" s="33">
        <v>22500</v>
      </c>
      <c r="E685" t="str">
        <f>_xlfn.XLOOKUP(Quota_tbl[[#This Row],[Rep_ID]],Dim_Reps!A:A,Dim_Reps!K:K)</f>
        <v>EUR</v>
      </c>
      <c r="F685" s="33">
        <f>(_xlfn.XLOOKUP(Quota_tbl[[#This Row],[Rate_Code_Generalized]],Lookups!A:A,Lookups!B:B)*Quota_tbl[[#This Row],[Quota_Amount_USD]])</f>
        <v>22500</v>
      </c>
      <c r="G685" t="str">
        <f>_xlfn.XLOOKUP(Quota_tbl[[#This Row],[Rep_ID]],Dim_Reps!A:A,Dim_Reps!C:C)</f>
        <v>Mid-Market AE</v>
      </c>
      <c r="H685" t="str">
        <f>_xlfn.XLOOKUP(Quota_tbl[[#This Row],[Rep_ID]],Dim_Reps!A:A,Dim_Reps!D:D)</f>
        <v>Mid-Market</v>
      </c>
      <c r="I685" t="str">
        <f>_xlfn.XLOOKUP(Quota_tbl[[#This Row],[Rep_ID]],Dim_Reps!A:A,Dim_Reps!E:E)</f>
        <v>EMEA</v>
      </c>
      <c r="J685" t="str">
        <f>_xlfn.XLOOKUP(Quota_tbl[[#This Row],[Period_Start_Date]],Dim_Date!A:A,Dim_Date!H:H)</f>
        <v>Jun 2024</v>
      </c>
    </row>
    <row r="686" spans="1:10" ht="15" customHeight="1" x14ac:dyDescent="0.2">
      <c r="A686" t="s">
        <v>265</v>
      </c>
      <c r="B686" s="49">
        <v>45474</v>
      </c>
      <c r="C686">
        <v>17</v>
      </c>
      <c r="D686" s="33">
        <v>22100</v>
      </c>
      <c r="E686" t="str">
        <f>_xlfn.XLOOKUP(Quota_tbl[[#This Row],[Rep_ID]],Dim_Reps!A:A,Dim_Reps!K:K)</f>
        <v>EUR</v>
      </c>
      <c r="F686" s="33">
        <f>(_xlfn.XLOOKUP(Quota_tbl[[#This Row],[Rate_Code_Generalized]],Lookups!A:A,Lookups!B:B)*Quota_tbl[[#This Row],[Quota_Amount_USD]])</f>
        <v>22100</v>
      </c>
      <c r="G686" t="str">
        <f>_xlfn.XLOOKUP(Quota_tbl[[#This Row],[Rep_ID]],Dim_Reps!A:A,Dim_Reps!C:C)</f>
        <v>Mid-Market AE</v>
      </c>
      <c r="H686" t="str">
        <f>_xlfn.XLOOKUP(Quota_tbl[[#This Row],[Rep_ID]],Dim_Reps!A:A,Dim_Reps!D:D)</f>
        <v>Mid-Market</v>
      </c>
      <c r="I686" t="str">
        <f>_xlfn.XLOOKUP(Quota_tbl[[#This Row],[Rep_ID]],Dim_Reps!A:A,Dim_Reps!E:E)</f>
        <v>EMEA</v>
      </c>
      <c r="J686" t="str">
        <f>_xlfn.XLOOKUP(Quota_tbl[[#This Row],[Period_Start_Date]],Dim_Date!A:A,Dim_Date!H:H)</f>
        <v>Jul 2024</v>
      </c>
    </row>
    <row r="687" spans="1:10" ht="15" customHeight="1" x14ac:dyDescent="0.2">
      <c r="A687" t="s">
        <v>265</v>
      </c>
      <c r="B687" s="49">
        <v>45505</v>
      </c>
      <c r="C687">
        <v>18</v>
      </c>
      <c r="D687" s="33">
        <v>21900</v>
      </c>
      <c r="E687" t="str">
        <f>_xlfn.XLOOKUP(Quota_tbl[[#This Row],[Rep_ID]],Dim_Reps!A:A,Dim_Reps!K:K)</f>
        <v>EUR</v>
      </c>
      <c r="F687" s="33">
        <f>(_xlfn.XLOOKUP(Quota_tbl[[#This Row],[Rate_Code_Generalized]],Lookups!A:A,Lookups!B:B)*Quota_tbl[[#This Row],[Quota_Amount_USD]])</f>
        <v>21900</v>
      </c>
      <c r="G687" t="str">
        <f>_xlfn.XLOOKUP(Quota_tbl[[#This Row],[Rep_ID]],Dim_Reps!A:A,Dim_Reps!C:C)</f>
        <v>Mid-Market AE</v>
      </c>
      <c r="H687" t="str">
        <f>_xlfn.XLOOKUP(Quota_tbl[[#This Row],[Rep_ID]],Dim_Reps!A:A,Dim_Reps!D:D)</f>
        <v>Mid-Market</v>
      </c>
      <c r="I687" t="str">
        <f>_xlfn.XLOOKUP(Quota_tbl[[#This Row],[Rep_ID]],Dim_Reps!A:A,Dim_Reps!E:E)</f>
        <v>EMEA</v>
      </c>
      <c r="J687" t="str">
        <f>_xlfn.XLOOKUP(Quota_tbl[[#This Row],[Period_Start_Date]],Dim_Date!A:A,Dim_Date!H:H)</f>
        <v>Aug 2024</v>
      </c>
    </row>
    <row r="688" spans="1:10" ht="15" customHeight="1" x14ac:dyDescent="0.2">
      <c r="A688" t="s">
        <v>265</v>
      </c>
      <c r="B688" s="49">
        <v>45536</v>
      </c>
      <c r="C688">
        <v>19</v>
      </c>
      <c r="D688" s="33">
        <v>22000</v>
      </c>
      <c r="E688" t="str">
        <f>_xlfn.XLOOKUP(Quota_tbl[[#This Row],[Rep_ID]],Dim_Reps!A:A,Dim_Reps!K:K)</f>
        <v>EUR</v>
      </c>
      <c r="F688" s="33">
        <f>(_xlfn.XLOOKUP(Quota_tbl[[#This Row],[Rate_Code_Generalized]],Lookups!A:A,Lookups!B:B)*Quota_tbl[[#This Row],[Quota_Amount_USD]])</f>
        <v>22000</v>
      </c>
      <c r="G688" t="str">
        <f>_xlfn.XLOOKUP(Quota_tbl[[#This Row],[Rep_ID]],Dim_Reps!A:A,Dim_Reps!C:C)</f>
        <v>Mid-Market AE</v>
      </c>
      <c r="H688" t="str">
        <f>_xlfn.XLOOKUP(Quota_tbl[[#This Row],[Rep_ID]],Dim_Reps!A:A,Dim_Reps!D:D)</f>
        <v>Mid-Market</v>
      </c>
      <c r="I688" t="str">
        <f>_xlfn.XLOOKUP(Quota_tbl[[#This Row],[Rep_ID]],Dim_Reps!A:A,Dim_Reps!E:E)</f>
        <v>EMEA</v>
      </c>
      <c r="J688" t="str">
        <f>_xlfn.XLOOKUP(Quota_tbl[[#This Row],[Period_Start_Date]],Dim_Date!A:A,Dim_Date!H:H)</f>
        <v>Sep 2024</v>
      </c>
    </row>
    <row r="689" spans="1:10" ht="15" customHeight="1" x14ac:dyDescent="0.2">
      <c r="A689" t="s">
        <v>265</v>
      </c>
      <c r="B689" s="49">
        <v>45566</v>
      </c>
      <c r="C689">
        <v>20</v>
      </c>
      <c r="D689" s="33">
        <v>22200</v>
      </c>
      <c r="E689" t="str">
        <f>_xlfn.XLOOKUP(Quota_tbl[[#This Row],[Rep_ID]],Dim_Reps!A:A,Dim_Reps!K:K)</f>
        <v>EUR</v>
      </c>
      <c r="F689" s="33">
        <f>(_xlfn.XLOOKUP(Quota_tbl[[#This Row],[Rate_Code_Generalized]],Lookups!A:A,Lookups!B:B)*Quota_tbl[[#This Row],[Quota_Amount_USD]])</f>
        <v>22200</v>
      </c>
      <c r="G689" t="str">
        <f>_xlfn.XLOOKUP(Quota_tbl[[#This Row],[Rep_ID]],Dim_Reps!A:A,Dim_Reps!C:C)</f>
        <v>Mid-Market AE</v>
      </c>
      <c r="H689" t="str">
        <f>_xlfn.XLOOKUP(Quota_tbl[[#This Row],[Rep_ID]],Dim_Reps!A:A,Dim_Reps!D:D)</f>
        <v>Mid-Market</v>
      </c>
      <c r="I689" t="str">
        <f>_xlfn.XLOOKUP(Quota_tbl[[#This Row],[Rep_ID]],Dim_Reps!A:A,Dim_Reps!E:E)</f>
        <v>EMEA</v>
      </c>
      <c r="J689" t="str">
        <f>_xlfn.XLOOKUP(Quota_tbl[[#This Row],[Period_Start_Date]],Dim_Date!A:A,Dim_Date!H:H)</f>
        <v>Oct 2024</v>
      </c>
    </row>
    <row r="690" spans="1:10" ht="15" customHeight="1" x14ac:dyDescent="0.2">
      <c r="A690" t="s">
        <v>265</v>
      </c>
      <c r="B690" s="49">
        <v>45597</v>
      </c>
      <c r="C690">
        <v>21</v>
      </c>
      <c r="D690" s="33">
        <v>21600</v>
      </c>
      <c r="E690" t="str">
        <f>_xlfn.XLOOKUP(Quota_tbl[[#This Row],[Rep_ID]],Dim_Reps!A:A,Dim_Reps!K:K)</f>
        <v>EUR</v>
      </c>
      <c r="F690" s="33">
        <f>(_xlfn.XLOOKUP(Quota_tbl[[#This Row],[Rate_Code_Generalized]],Lookups!A:A,Lookups!B:B)*Quota_tbl[[#This Row],[Quota_Amount_USD]])</f>
        <v>21600</v>
      </c>
      <c r="G690" t="str">
        <f>_xlfn.XLOOKUP(Quota_tbl[[#This Row],[Rep_ID]],Dim_Reps!A:A,Dim_Reps!C:C)</f>
        <v>Mid-Market AE</v>
      </c>
      <c r="H690" t="str">
        <f>_xlfn.XLOOKUP(Quota_tbl[[#This Row],[Rep_ID]],Dim_Reps!A:A,Dim_Reps!D:D)</f>
        <v>Mid-Market</v>
      </c>
      <c r="I690" t="str">
        <f>_xlfn.XLOOKUP(Quota_tbl[[#This Row],[Rep_ID]],Dim_Reps!A:A,Dim_Reps!E:E)</f>
        <v>EMEA</v>
      </c>
      <c r="J690" t="str">
        <f>_xlfn.XLOOKUP(Quota_tbl[[#This Row],[Period_Start_Date]],Dim_Date!A:A,Dim_Date!H:H)</f>
        <v>Nov 2024</v>
      </c>
    </row>
    <row r="691" spans="1:10" ht="15" customHeight="1" x14ac:dyDescent="0.2">
      <c r="A691" t="s">
        <v>265</v>
      </c>
      <c r="B691" s="49">
        <v>45627</v>
      </c>
      <c r="C691">
        <v>22</v>
      </c>
      <c r="D691" s="33">
        <v>21500</v>
      </c>
      <c r="E691" t="str">
        <f>_xlfn.XLOOKUP(Quota_tbl[[#This Row],[Rep_ID]],Dim_Reps!A:A,Dim_Reps!K:K)</f>
        <v>EUR</v>
      </c>
      <c r="F691" s="33">
        <f>(_xlfn.XLOOKUP(Quota_tbl[[#This Row],[Rate_Code_Generalized]],Lookups!A:A,Lookups!B:B)*Quota_tbl[[#This Row],[Quota_Amount_USD]])</f>
        <v>21500</v>
      </c>
      <c r="G691" t="str">
        <f>_xlfn.XLOOKUP(Quota_tbl[[#This Row],[Rep_ID]],Dim_Reps!A:A,Dim_Reps!C:C)</f>
        <v>Mid-Market AE</v>
      </c>
      <c r="H691" t="str">
        <f>_xlfn.XLOOKUP(Quota_tbl[[#This Row],[Rep_ID]],Dim_Reps!A:A,Dim_Reps!D:D)</f>
        <v>Mid-Market</v>
      </c>
      <c r="I691" t="str">
        <f>_xlfn.XLOOKUP(Quota_tbl[[#This Row],[Rep_ID]],Dim_Reps!A:A,Dim_Reps!E:E)</f>
        <v>EMEA</v>
      </c>
      <c r="J691" t="str">
        <f>_xlfn.XLOOKUP(Quota_tbl[[#This Row],[Period_Start_Date]],Dim_Date!A:A,Dim_Date!H:H)</f>
        <v>Dec 2024</v>
      </c>
    </row>
    <row r="692" spans="1:10" ht="15" customHeight="1" x14ac:dyDescent="0.2">
      <c r="A692" t="s">
        <v>265</v>
      </c>
      <c r="B692" s="49">
        <v>45658</v>
      </c>
      <c r="C692">
        <v>23</v>
      </c>
      <c r="D692" s="33">
        <v>22100</v>
      </c>
      <c r="E692" t="str">
        <f>_xlfn.XLOOKUP(Quota_tbl[[#This Row],[Rep_ID]],Dim_Reps!A:A,Dim_Reps!K:K)</f>
        <v>EUR</v>
      </c>
      <c r="F692" s="33">
        <f>(_xlfn.XLOOKUP(Quota_tbl[[#This Row],[Rate_Code_Generalized]],Lookups!A:A,Lookups!B:B)*Quota_tbl[[#This Row],[Quota_Amount_USD]])</f>
        <v>22100</v>
      </c>
      <c r="G692" t="str">
        <f>_xlfn.XLOOKUP(Quota_tbl[[#This Row],[Rep_ID]],Dim_Reps!A:A,Dim_Reps!C:C)</f>
        <v>Mid-Market AE</v>
      </c>
      <c r="H692" t="str">
        <f>_xlfn.XLOOKUP(Quota_tbl[[#This Row],[Rep_ID]],Dim_Reps!A:A,Dim_Reps!D:D)</f>
        <v>Mid-Market</v>
      </c>
      <c r="I692" t="str">
        <f>_xlfn.XLOOKUP(Quota_tbl[[#This Row],[Rep_ID]],Dim_Reps!A:A,Dim_Reps!E:E)</f>
        <v>EMEA</v>
      </c>
      <c r="J692" t="str">
        <f>_xlfn.XLOOKUP(Quota_tbl[[#This Row],[Period_Start_Date]],Dim_Date!A:A,Dim_Date!H:H)</f>
        <v>Jan 2025</v>
      </c>
    </row>
    <row r="693" spans="1:10" ht="15" customHeight="1" x14ac:dyDescent="0.2">
      <c r="A693" t="s">
        <v>265</v>
      </c>
      <c r="B693" s="49">
        <v>45689</v>
      </c>
      <c r="C693">
        <v>24</v>
      </c>
      <c r="D693" s="33">
        <v>21400</v>
      </c>
      <c r="E693" t="str">
        <f>_xlfn.XLOOKUP(Quota_tbl[[#This Row],[Rep_ID]],Dim_Reps!A:A,Dim_Reps!K:K)</f>
        <v>EUR</v>
      </c>
      <c r="F693" s="33">
        <f>(_xlfn.XLOOKUP(Quota_tbl[[#This Row],[Rate_Code_Generalized]],Lookups!A:A,Lookups!B:B)*Quota_tbl[[#This Row],[Quota_Amount_USD]])</f>
        <v>21400</v>
      </c>
      <c r="G693" t="str">
        <f>_xlfn.XLOOKUP(Quota_tbl[[#This Row],[Rep_ID]],Dim_Reps!A:A,Dim_Reps!C:C)</f>
        <v>Mid-Market AE</v>
      </c>
      <c r="H693" t="str">
        <f>_xlfn.XLOOKUP(Quota_tbl[[#This Row],[Rep_ID]],Dim_Reps!A:A,Dim_Reps!D:D)</f>
        <v>Mid-Market</v>
      </c>
      <c r="I693" t="str">
        <f>_xlfn.XLOOKUP(Quota_tbl[[#This Row],[Rep_ID]],Dim_Reps!A:A,Dim_Reps!E:E)</f>
        <v>EMEA</v>
      </c>
      <c r="J693" t="str">
        <f>_xlfn.XLOOKUP(Quota_tbl[[#This Row],[Period_Start_Date]],Dim_Date!A:A,Dim_Date!H:H)</f>
        <v>Feb 2025</v>
      </c>
    </row>
    <row r="694" spans="1:10" ht="15" customHeight="1" x14ac:dyDescent="0.2">
      <c r="A694" t="s">
        <v>265</v>
      </c>
      <c r="B694" s="49">
        <v>45717</v>
      </c>
      <c r="C694">
        <v>25</v>
      </c>
      <c r="D694" s="33">
        <v>22300</v>
      </c>
      <c r="E694" t="str">
        <f>_xlfn.XLOOKUP(Quota_tbl[[#This Row],[Rep_ID]],Dim_Reps!A:A,Dim_Reps!K:K)</f>
        <v>EUR</v>
      </c>
      <c r="F694" s="33">
        <f>(_xlfn.XLOOKUP(Quota_tbl[[#This Row],[Rate_Code_Generalized]],Lookups!A:A,Lookups!B:B)*Quota_tbl[[#This Row],[Quota_Amount_USD]])</f>
        <v>22300</v>
      </c>
      <c r="G694" t="str">
        <f>_xlfn.XLOOKUP(Quota_tbl[[#This Row],[Rep_ID]],Dim_Reps!A:A,Dim_Reps!C:C)</f>
        <v>Mid-Market AE</v>
      </c>
      <c r="H694" t="str">
        <f>_xlfn.XLOOKUP(Quota_tbl[[#This Row],[Rep_ID]],Dim_Reps!A:A,Dim_Reps!D:D)</f>
        <v>Mid-Market</v>
      </c>
      <c r="I694" t="str">
        <f>_xlfn.XLOOKUP(Quota_tbl[[#This Row],[Rep_ID]],Dim_Reps!A:A,Dim_Reps!E:E)</f>
        <v>EMEA</v>
      </c>
      <c r="J694" t="str">
        <f>_xlfn.XLOOKUP(Quota_tbl[[#This Row],[Period_Start_Date]],Dim_Date!A:A,Dim_Date!H:H)</f>
        <v>Mar 2025</v>
      </c>
    </row>
    <row r="695" spans="1:10" ht="15" customHeight="1" x14ac:dyDescent="0.2">
      <c r="A695" t="s">
        <v>265</v>
      </c>
      <c r="B695" s="49">
        <v>45748</v>
      </c>
      <c r="C695">
        <v>26</v>
      </c>
      <c r="D695" s="33">
        <v>20900</v>
      </c>
      <c r="E695" t="str">
        <f>_xlfn.XLOOKUP(Quota_tbl[[#This Row],[Rep_ID]],Dim_Reps!A:A,Dim_Reps!K:K)</f>
        <v>EUR</v>
      </c>
      <c r="F695" s="33">
        <f>(_xlfn.XLOOKUP(Quota_tbl[[#This Row],[Rate_Code_Generalized]],Lookups!A:A,Lookups!B:B)*Quota_tbl[[#This Row],[Quota_Amount_USD]])</f>
        <v>20900</v>
      </c>
      <c r="G695" t="str">
        <f>_xlfn.XLOOKUP(Quota_tbl[[#This Row],[Rep_ID]],Dim_Reps!A:A,Dim_Reps!C:C)</f>
        <v>Mid-Market AE</v>
      </c>
      <c r="H695" t="str">
        <f>_xlfn.XLOOKUP(Quota_tbl[[#This Row],[Rep_ID]],Dim_Reps!A:A,Dim_Reps!D:D)</f>
        <v>Mid-Market</v>
      </c>
      <c r="I695" t="str">
        <f>_xlfn.XLOOKUP(Quota_tbl[[#This Row],[Rep_ID]],Dim_Reps!A:A,Dim_Reps!E:E)</f>
        <v>EMEA</v>
      </c>
      <c r="J695" t="str">
        <f>_xlfn.XLOOKUP(Quota_tbl[[#This Row],[Period_Start_Date]],Dim_Date!A:A,Dim_Date!H:H)</f>
        <v>Apr 2025</v>
      </c>
    </row>
    <row r="696" spans="1:10" ht="15" customHeight="1" x14ac:dyDescent="0.2">
      <c r="A696" t="s">
        <v>265</v>
      </c>
      <c r="B696" s="49">
        <v>45778</v>
      </c>
      <c r="C696">
        <v>27</v>
      </c>
      <c r="D696" s="33">
        <v>22700</v>
      </c>
      <c r="E696" t="str">
        <f>_xlfn.XLOOKUP(Quota_tbl[[#This Row],[Rep_ID]],Dim_Reps!A:A,Dim_Reps!K:K)</f>
        <v>EUR</v>
      </c>
      <c r="F696" s="33">
        <f>(_xlfn.XLOOKUP(Quota_tbl[[#This Row],[Rate_Code_Generalized]],Lookups!A:A,Lookups!B:B)*Quota_tbl[[#This Row],[Quota_Amount_USD]])</f>
        <v>22700</v>
      </c>
      <c r="G696" t="str">
        <f>_xlfn.XLOOKUP(Quota_tbl[[#This Row],[Rep_ID]],Dim_Reps!A:A,Dim_Reps!C:C)</f>
        <v>Mid-Market AE</v>
      </c>
      <c r="H696" t="str">
        <f>_xlfn.XLOOKUP(Quota_tbl[[#This Row],[Rep_ID]],Dim_Reps!A:A,Dim_Reps!D:D)</f>
        <v>Mid-Market</v>
      </c>
      <c r="I696" t="str">
        <f>_xlfn.XLOOKUP(Quota_tbl[[#This Row],[Rep_ID]],Dim_Reps!A:A,Dim_Reps!E:E)</f>
        <v>EMEA</v>
      </c>
      <c r="J696" t="str">
        <f>_xlfn.XLOOKUP(Quota_tbl[[#This Row],[Period_Start_Date]],Dim_Date!A:A,Dim_Date!H:H)</f>
        <v>May 2025</v>
      </c>
    </row>
    <row r="697" spans="1:10" ht="15" customHeight="1" x14ac:dyDescent="0.2">
      <c r="A697" t="s">
        <v>265</v>
      </c>
      <c r="B697" s="49">
        <v>45809</v>
      </c>
      <c r="C697">
        <v>28</v>
      </c>
      <c r="D697" s="33">
        <v>22300</v>
      </c>
      <c r="E697" t="str">
        <f>_xlfn.XLOOKUP(Quota_tbl[[#This Row],[Rep_ID]],Dim_Reps!A:A,Dim_Reps!K:K)</f>
        <v>EUR</v>
      </c>
      <c r="F697" s="33">
        <f>(_xlfn.XLOOKUP(Quota_tbl[[#This Row],[Rate_Code_Generalized]],Lookups!A:A,Lookups!B:B)*Quota_tbl[[#This Row],[Quota_Amount_USD]])</f>
        <v>22300</v>
      </c>
      <c r="G697" t="str">
        <f>_xlfn.XLOOKUP(Quota_tbl[[#This Row],[Rep_ID]],Dim_Reps!A:A,Dim_Reps!C:C)</f>
        <v>Mid-Market AE</v>
      </c>
      <c r="H697" t="str">
        <f>_xlfn.XLOOKUP(Quota_tbl[[#This Row],[Rep_ID]],Dim_Reps!A:A,Dim_Reps!D:D)</f>
        <v>Mid-Market</v>
      </c>
      <c r="I697" t="str">
        <f>_xlfn.XLOOKUP(Quota_tbl[[#This Row],[Rep_ID]],Dim_Reps!A:A,Dim_Reps!E:E)</f>
        <v>EMEA</v>
      </c>
      <c r="J697" t="str">
        <f>_xlfn.XLOOKUP(Quota_tbl[[#This Row],[Period_Start_Date]],Dim_Date!A:A,Dim_Date!H:H)</f>
        <v>Jun 2025</v>
      </c>
    </row>
    <row r="698" spans="1:10" ht="15" customHeight="1" x14ac:dyDescent="0.2">
      <c r="A698" t="s">
        <v>265</v>
      </c>
      <c r="B698" s="49">
        <v>45839</v>
      </c>
      <c r="C698">
        <v>29</v>
      </c>
      <c r="D698" s="33">
        <v>22200</v>
      </c>
      <c r="E698" t="str">
        <f>_xlfn.XLOOKUP(Quota_tbl[[#This Row],[Rep_ID]],Dim_Reps!A:A,Dim_Reps!K:K)</f>
        <v>EUR</v>
      </c>
      <c r="F698" s="33">
        <f>(_xlfn.XLOOKUP(Quota_tbl[[#This Row],[Rate_Code_Generalized]],Lookups!A:A,Lookups!B:B)*Quota_tbl[[#This Row],[Quota_Amount_USD]])</f>
        <v>22200</v>
      </c>
      <c r="G698" t="str">
        <f>_xlfn.XLOOKUP(Quota_tbl[[#This Row],[Rep_ID]],Dim_Reps!A:A,Dim_Reps!C:C)</f>
        <v>Mid-Market AE</v>
      </c>
      <c r="H698" t="str">
        <f>_xlfn.XLOOKUP(Quota_tbl[[#This Row],[Rep_ID]],Dim_Reps!A:A,Dim_Reps!D:D)</f>
        <v>Mid-Market</v>
      </c>
      <c r="I698" t="str">
        <f>_xlfn.XLOOKUP(Quota_tbl[[#This Row],[Rep_ID]],Dim_Reps!A:A,Dim_Reps!E:E)</f>
        <v>EMEA</v>
      </c>
      <c r="J698" t="str">
        <f>_xlfn.XLOOKUP(Quota_tbl[[#This Row],[Period_Start_Date]],Dim_Date!A:A,Dim_Date!H:H)</f>
        <v>Jul 2025</v>
      </c>
    </row>
    <row r="699" spans="1:10" ht="15" customHeight="1" x14ac:dyDescent="0.2">
      <c r="A699" t="s">
        <v>265</v>
      </c>
      <c r="B699" s="49">
        <v>45870</v>
      </c>
      <c r="C699">
        <v>30</v>
      </c>
      <c r="D699" s="33">
        <v>22600</v>
      </c>
      <c r="E699" t="str">
        <f>_xlfn.XLOOKUP(Quota_tbl[[#This Row],[Rep_ID]],Dim_Reps!A:A,Dim_Reps!K:K)</f>
        <v>EUR</v>
      </c>
      <c r="F699" s="33">
        <f>(_xlfn.XLOOKUP(Quota_tbl[[#This Row],[Rate_Code_Generalized]],Lookups!A:A,Lookups!B:B)*Quota_tbl[[#This Row],[Quota_Amount_USD]])</f>
        <v>22600</v>
      </c>
      <c r="G699" t="str">
        <f>_xlfn.XLOOKUP(Quota_tbl[[#This Row],[Rep_ID]],Dim_Reps!A:A,Dim_Reps!C:C)</f>
        <v>Mid-Market AE</v>
      </c>
      <c r="H699" t="str">
        <f>_xlfn.XLOOKUP(Quota_tbl[[#This Row],[Rep_ID]],Dim_Reps!A:A,Dim_Reps!D:D)</f>
        <v>Mid-Market</v>
      </c>
      <c r="I699" t="str">
        <f>_xlfn.XLOOKUP(Quota_tbl[[#This Row],[Rep_ID]],Dim_Reps!A:A,Dim_Reps!E:E)</f>
        <v>EMEA</v>
      </c>
      <c r="J699" t="str">
        <f>_xlfn.XLOOKUP(Quota_tbl[[#This Row],[Period_Start_Date]],Dim_Date!A:A,Dim_Date!H:H)</f>
        <v>Aug 2025</v>
      </c>
    </row>
    <row r="700" spans="1:10" ht="15" customHeight="1" x14ac:dyDescent="0.2">
      <c r="A700" t="s">
        <v>265</v>
      </c>
      <c r="B700" s="49">
        <v>45901</v>
      </c>
      <c r="C700">
        <v>31</v>
      </c>
      <c r="D700" s="33">
        <v>23100</v>
      </c>
      <c r="E700" t="str">
        <f>_xlfn.XLOOKUP(Quota_tbl[[#This Row],[Rep_ID]],Dim_Reps!A:A,Dim_Reps!K:K)</f>
        <v>EUR</v>
      </c>
      <c r="F700" s="33">
        <f>(_xlfn.XLOOKUP(Quota_tbl[[#This Row],[Rate_Code_Generalized]],Lookups!A:A,Lookups!B:B)*Quota_tbl[[#This Row],[Quota_Amount_USD]])</f>
        <v>23100</v>
      </c>
      <c r="G700" t="str">
        <f>_xlfn.XLOOKUP(Quota_tbl[[#This Row],[Rep_ID]],Dim_Reps!A:A,Dim_Reps!C:C)</f>
        <v>Mid-Market AE</v>
      </c>
      <c r="H700" t="str">
        <f>_xlfn.XLOOKUP(Quota_tbl[[#This Row],[Rep_ID]],Dim_Reps!A:A,Dim_Reps!D:D)</f>
        <v>Mid-Market</v>
      </c>
      <c r="I700" t="str">
        <f>_xlfn.XLOOKUP(Quota_tbl[[#This Row],[Rep_ID]],Dim_Reps!A:A,Dim_Reps!E:E)</f>
        <v>EMEA</v>
      </c>
      <c r="J700" t="str">
        <f>_xlfn.XLOOKUP(Quota_tbl[[#This Row],[Period_Start_Date]],Dim_Date!A:A,Dim_Date!H:H)</f>
        <v>Sep 2025</v>
      </c>
    </row>
    <row r="701" spans="1:10" ht="15" customHeight="1" x14ac:dyDescent="0.2">
      <c r="A701" t="s">
        <v>265</v>
      </c>
      <c r="B701" s="49">
        <v>45931</v>
      </c>
      <c r="C701">
        <v>32</v>
      </c>
      <c r="D701" s="33">
        <v>22700</v>
      </c>
      <c r="E701" t="str">
        <f>_xlfn.XLOOKUP(Quota_tbl[[#This Row],[Rep_ID]],Dim_Reps!A:A,Dim_Reps!K:K)</f>
        <v>EUR</v>
      </c>
      <c r="F701" s="33">
        <f>(_xlfn.XLOOKUP(Quota_tbl[[#This Row],[Rate_Code_Generalized]],Lookups!A:A,Lookups!B:B)*Quota_tbl[[#This Row],[Quota_Amount_USD]])</f>
        <v>22700</v>
      </c>
      <c r="G701" t="str">
        <f>_xlfn.XLOOKUP(Quota_tbl[[#This Row],[Rep_ID]],Dim_Reps!A:A,Dim_Reps!C:C)</f>
        <v>Mid-Market AE</v>
      </c>
      <c r="H701" t="str">
        <f>_xlfn.XLOOKUP(Quota_tbl[[#This Row],[Rep_ID]],Dim_Reps!A:A,Dim_Reps!D:D)</f>
        <v>Mid-Market</v>
      </c>
      <c r="I701" t="str">
        <f>_xlfn.XLOOKUP(Quota_tbl[[#This Row],[Rep_ID]],Dim_Reps!A:A,Dim_Reps!E:E)</f>
        <v>EMEA</v>
      </c>
      <c r="J701" t="str">
        <f>_xlfn.XLOOKUP(Quota_tbl[[#This Row],[Period_Start_Date]],Dim_Date!A:A,Dim_Date!H:H)</f>
        <v>Oct 2025</v>
      </c>
    </row>
    <row r="702" spans="1:10" ht="15" customHeight="1" x14ac:dyDescent="0.2">
      <c r="A702" t="s">
        <v>265</v>
      </c>
      <c r="B702" s="49">
        <v>45962</v>
      </c>
      <c r="C702">
        <v>33</v>
      </c>
      <c r="D702" s="33">
        <v>20800</v>
      </c>
      <c r="E702" t="str">
        <f>_xlfn.XLOOKUP(Quota_tbl[[#This Row],[Rep_ID]],Dim_Reps!A:A,Dim_Reps!K:K)</f>
        <v>EUR</v>
      </c>
      <c r="F702" s="33">
        <f>(_xlfn.XLOOKUP(Quota_tbl[[#This Row],[Rate_Code_Generalized]],Lookups!A:A,Lookups!B:B)*Quota_tbl[[#This Row],[Quota_Amount_USD]])</f>
        <v>20800</v>
      </c>
      <c r="G702" t="str">
        <f>_xlfn.XLOOKUP(Quota_tbl[[#This Row],[Rep_ID]],Dim_Reps!A:A,Dim_Reps!C:C)</f>
        <v>Mid-Market AE</v>
      </c>
      <c r="H702" t="str">
        <f>_xlfn.XLOOKUP(Quota_tbl[[#This Row],[Rep_ID]],Dim_Reps!A:A,Dim_Reps!D:D)</f>
        <v>Mid-Market</v>
      </c>
      <c r="I702" t="str">
        <f>_xlfn.XLOOKUP(Quota_tbl[[#This Row],[Rep_ID]],Dim_Reps!A:A,Dim_Reps!E:E)</f>
        <v>EMEA</v>
      </c>
      <c r="J702" t="str">
        <f>_xlfn.XLOOKUP(Quota_tbl[[#This Row],[Period_Start_Date]],Dim_Date!A:A,Dim_Date!H:H)</f>
        <v>Nov 2025</v>
      </c>
    </row>
    <row r="703" spans="1:10" ht="15" customHeight="1" x14ac:dyDescent="0.2">
      <c r="A703" t="s">
        <v>265</v>
      </c>
      <c r="B703" s="49">
        <v>45992</v>
      </c>
      <c r="C703">
        <v>34</v>
      </c>
      <c r="D703" s="33">
        <v>21200</v>
      </c>
      <c r="E703" t="str">
        <f>_xlfn.XLOOKUP(Quota_tbl[[#This Row],[Rep_ID]],Dim_Reps!A:A,Dim_Reps!K:K)</f>
        <v>EUR</v>
      </c>
      <c r="F703" s="33">
        <f>(_xlfn.XLOOKUP(Quota_tbl[[#This Row],[Rate_Code_Generalized]],Lookups!A:A,Lookups!B:B)*Quota_tbl[[#This Row],[Quota_Amount_USD]])</f>
        <v>21200</v>
      </c>
      <c r="G703" t="str">
        <f>_xlfn.XLOOKUP(Quota_tbl[[#This Row],[Rep_ID]],Dim_Reps!A:A,Dim_Reps!C:C)</f>
        <v>Mid-Market AE</v>
      </c>
      <c r="H703" t="str">
        <f>_xlfn.XLOOKUP(Quota_tbl[[#This Row],[Rep_ID]],Dim_Reps!A:A,Dim_Reps!D:D)</f>
        <v>Mid-Market</v>
      </c>
      <c r="I703" t="str">
        <f>_xlfn.XLOOKUP(Quota_tbl[[#This Row],[Rep_ID]],Dim_Reps!A:A,Dim_Reps!E:E)</f>
        <v>EMEA</v>
      </c>
      <c r="J703" t="str">
        <f>_xlfn.XLOOKUP(Quota_tbl[[#This Row],[Period_Start_Date]],Dim_Date!A:A,Dim_Date!H:H)</f>
        <v>Dec 2025</v>
      </c>
    </row>
    <row r="704" spans="1:10" ht="15" customHeight="1" x14ac:dyDescent="0.2">
      <c r="A704" t="s">
        <v>233</v>
      </c>
      <c r="B704" s="49">
        <v>45292</v>
      </c>
      <c r="C704">
        <v>19</v>
      </c>
      <c r="D704" s="33">
        <v>15200</v>
      </c>
      <c r="E704" t="str">
        <f>_xlfn.XLOOKUP(Quota_tbl[[#This Row],[Rep_ID]],Dim_Reps!A:A,Dim_Reps!K:K)</f>
        <v>MXN</v>
      </c>
      <c r="F704" s="33">
        <f>(_xlfn.XLOOKUP(Quota_tbl[[#This Row],[Rate_Code_Generalized]],Lookups!A:A,Lookups!B:B)*Quota_tbl[[#This Row],[Quota_Amount_USD]])</f>
        <v>299937.04000000004</v>
      </c>
      <c r="G704" t="str">
        <f>_xlfn.XLOOKUP(Quota_tbl[[#This Row],[Rep_ID]],Dim_Reps!A:A,Dim_Reps!C:C)</f>
        <v>SDR / Inside Sales Rep</v>
      </c>
      <c r="H704" t="str">
        <f>_xlfn.XLOOKUP(Quota_tbl[[#This Row],[Rep_ID]],Dim_Reps!A:A,Dim_Reps!D:D)</f>
        <v>Inside Sales</v>
      </c>
      <c r="I704" t="str">
        <f>_xlfn.XLOOKUP(Quota_tbl[[#This Row],[Rep_ID]],Dim_Reps!A:A,Dim_Reps!E:E)</f>
        <v>LATAM</v>
      </c>
      <c r="J704" t="str">
        <f>_xlfn.XLOOKUP(Quota_tbl[[#This Row],[Period_Start_Date]],Dim_Date!A:A,Dim_Date!H:H)</f>
        <v>Jan 2024</v>
      </c>
    </row>
    <row r="705" spans="1:10" ht="15" customHeight="1" x14ac:dyDescent="0.2">
      <c r="A705" t="s">
        <v>233</v>
      </c>
      <c r="B705" s="49">
        <v>45323</v>
      </c>
      <c r="C705">
        <v>20</v>
      </c>
      <c r="D705" s="33">
        <v>15500</v>
      </c>
      <c r="E705" t="str">
        <f>_xlfn.XLOOKUP(Quota_tbl[[#This Row],[Rep_ID]],Dim_Reps!A:A,Dim_Reps!K:K)</f>
        <v>MXN</v>
      </c>
      <c r="F705" s="33">
        <f>(_xlfn.XLOOKUP(Quota_tbl[[#This Row],[Rate_Code_Generalized]],Lookups!A:A,Lookups!B:B)*Quota_tbl[[#This Row],[Quota_Amount_USD]])</f>
        <v>305856.85000000003</v>
      </c>
      <c r="G705" t="str">
        <f>_xlfn.XLOOKUP(Quota_tbl[[#This Row],[Rep_ID]],Dim_Reps!A:A,Dim_Reps!C:C)</f>
        <v>SDR / Inside Sales Rep</v>
      </c>
      <c r="H705" t="str">
        <f>_xlfn.XLOOKUP(Quota_tbl[[#This Row],[Rep_ID]],Dim_Reps!A:A,Dim_Reps!D:D)</f>
        <v>Inside Sales</v>
      </c>
      <c r="I705" t="str">
        <f>_xlfn.XLOOKUP(Quota_tbl[[#This Row],[Rep_ID]],Dim_Reps!A:A,Dim_Reps!E:E)</f>
        <v>LATAM</v>
      </c>
      <c r="J705" t="str">
        <f>_xlfn.XLOOKUP(Quota_tbl[[#This Row],[Period_Start_Date]],Dim_Date!A:A,Dim_Date!H:H)</f>
        <v>Feb 2024</v>
      </c>
    </row>
    <row r="706" spans="1:10" ht="15" customHeight="1" x14ac:dyDescent="0.2">
      <c r="A706" t="s">
        <v>233</v>
      </c>
      <c r="B706" s="49">
        <v>45352</v>
      </c>
      <c r="C706">
        <v>21</v>
      </c>
      <c r="D706" s="33">
        <v>15700</v>
      </c>
      <c r="E706" t="str">
        <f>_xlfn.XLOOKUP(Quota_tbl[[#This Row],[Rep_ID]],Dim_Reps!A:A,Dim_Reps!K:K)</f>
        <v>MXN</v>
      </c>
      <c r="F706" s="33">
        <f>(_xlfn.XLOOKUP(Quota_tbl[[#This Row],[Rate_Code_Generalized]],Lookups!A:A,Lookups!B:B)*Quota_tbl[[#This Row],[Quota_Amount_USD]])</f>
        <v>309803.39</v>
      </c>
      <c r="G706" t="str">
        <f>_xlfn.XLOOKUP(Quota_tbl[[#This Row],[Rep_ID]],Dim_Reps!A:A,Dim_Reps!C:C)</f>
        <v>SDR / Inside Sales Rep</v>
      </c>
      <c r="H706" t="str">
        <f>_xlfn.XLOOKUP(Quota_tbl[[#This Row],[Rep_ID]],Dim_Reps!A:A,Dim_Reps!D:D)</f>
        <v>Inside Sales</v>
      </c>
      <c r="I706" t="str">
        <f>_xlfn.XLOOKUP(Quota_tbl[[#This Row],[Rep_ID]],Dim_Reps!A:A,Dim_Reps!E:E)</f>
        <v>LATAM</v>
      </c>
      <c r="J706" t="str">
        <f>_xlfn.XLOOKUP(Quota_tbl[[#This Row],[Period_Start_Date]],Dim_Date!A:A,Dim_Date!H:H)</f>
        <v>Mar 2024</v>
      </c>
    </row>
    <row r="707" spans="1:10" ht="15" customHeight="1" x14ac:dyDescent="0.2">
      <c r="A707" t="s">
        <v>233</v>
      </c>
      <c r="B707" s="49">
        <v>45383</v>
      </c>
      <c r="C707">
        <v>22</v>
      </c>
      <c r="D707" s="33">
        <v>15200</v>
      </c>
      <c r="E707" t="str">
        <f>_xlfn.XLOOKUP(Quota_tbl[[#This Row],[Rep_ID]],Dim_Reps!A:A,Dim_Reps!K:K)</f>
        <v>MXN</v>
      </c>
      <c r="F707" s="33">
        <f>(_xlfn.XLOOKUP(Quota_tbl[[#This Row],[Rate_Code_Generalized]],Lookups!A:A,Lookups!B:B)*Quota_tbl[[#This Row],[Quota_Amount_USD]])</f>
        <v>299937.04000000004</v>
      </c>
      <c r="G707" t="str">
        <f>_xlfn.XLOOKUP(Quota_tbl[[#This Row],[Rep_ID]],Dim_Reps!A:A,Dim_Reps!C:C)</f>
        <v>SDR / Inside Sales Rep</v>
      </c>
      <c r="H707" t="str">
        <f>_xlfn.XLOOKUP(Quota_tbl[[#This Row],[Rep_ID]],Dim_Reps!A:A,Dim_Reps!D:D)</f>
        <v>Inside Sales</v>
      </c>
      <c r="I707" t="str">
        <f>_xlfn.XLOOKUP(Quota_tbl[[#This Row],[Rep_ID]],Dim_Reps!A:A,Dim_Reps!E:E)</f>
        <v>LATAM</v>
      </c>
      <c r="J707" t="str">
        <f>_xlfn.XLOOKUP(Quota_tbl[[#This Row],[Period_Start_Date]],Dim_Date!A:A,Dim_Date!H:H)</f>
        <v>Apr 2024</v>
      </c>
    </row>
    <row r="708" spans="1:10" ht="15" customHeight="1" x14ac:dyDescent="0.2">
      <c r="A708" t="s">
        <v>233</v>
      </c>
      <c r="B708" s="49">
        <v>45413</v>
      </c>
      <c r="C708">
        <v>23</v>
      </c>
      <c r="D708" s="33">
        <v>15600</v>
      </c>
      <c r="E708" t="str">
        <f>_xlfn.XLOOKUP(Quota_tbl[[#This Row],[Rep_ID]],Dim_Reps!A:A,Dim_Reps!K:K)</f>
        <v>MXN</v>
      </c>
      <c r="F708" s="33">
        <f>(_xlfn.XLOOKUP(Quota_tbl[[#This Row],[Rate_Code_Generalized]],Lookups!A:A,Lookups!B:B)*Quota_tbl[[#This Row],[Quota_Amount_USD]])</f>
        <v>307830.12</v>
      </c>
      <c r="G708" t="str">
        <f>_xlfn.XLOOKUP(Quota_tbl[[#This Row],[Rep_ID]],Dim_Reps!A:A,Dim_Reps!C:C)</f>
        <v>SDR / Inside Sales Rep</v>
      </c>
      <c r="H708" t="str">
        <f>_xlfn.XLOOKUP(Quota_tbl[[#This Row],[Rep_ID]],Dim_Reps!A:A,Dim_Reps!D:D)</f>
        <v>Inside Sales</v>
      </c>
      <c r="I708" t="str">
        <f>_xlfn.XLOOKUP(Quota_tbl[[#This Row],[Rep_ID]],Dim_Reps!A:A,Dim_Reps!E:E)</f>
        <v>LATAM</v>
      </c>
      <c r="J708" t="str">
        <f>_xlfn.XLOOKUP(Quota_tbl[[#This Row],[Period_Start_Date]],Dim_Date!A:A,Dim_Date!H:H)</f>
        <v>May 2024</v>
      </c>
    </row>
    <row r="709" spans="1:10" ht="15" customHeight="1" x14ac:dyDescent="0.2">
      <c r="A709" t="s">
        <v>233</v>
      </c>
      <c r="B709" s="49">
        <v>45444</v>
      </c>
      <c r="C709">
        <v>24</v>
      </c>
      <c r="D709" s="33">
        <v>15100</v>
      </c>
      <c r="E709" t="str">
        <f>_xlfn.XLOOKUP(Quota_tbl[[#This Row],[Rep_ID]],Dim_Reps!A:A,Dim_Reps!K:K)</f>
        <v>MXN</v>
      </c>
      <c r="F709" s="33">
        <f>(_xlfn.XLOOKUP(Quota_tbl[[#This Row],[Rate_Code_Generalized]],Lookups!A:A,Lookups!B:B)*Quota_tbl[[#This Row],[Quota_Amount_USD]])</f>
        <v>297963.77</v>
      </c>
      <c r="G709" t="str">
        <f>_xlfn.XLOOKUP(Quota_tbl[[#This Row],[Rep_ID]],Dim_Reps!A:A,Dim_Reps!C:C)</f>
        <v>SDR / Inside Sales Rep</v>
      </c>
      <c r="H709" t="str">
        <f>_xlfn.XLOOKUP(Quota_tbl[[#This Row],[Rep_ID]],Dim_Reps!A:A,Dim_Reps!D:D)</f>
        <v>Inside Sales</v>
      </c>
      <c r="I709" t="str">
        <f>_xlfn.XLOOKUP(Quota_tbl[[#This Row],[Rep_ID]],Dim_Reps!A:A,Dim_Reps!E:E)</f>
        <v>LATAM</v>
      </c>
      <c r="J709" t="str">
        <f>_xlfn.XLOOKUP(Quota_tbl[[#This Row],[Period_Start_Date]],Dim_Date!A:A,Dim_Date!H:H)</f>
        <v>Jun 2024</v>
      </c>
    </row>
    <row r="710" spans="1:10" ht="15" customHeight="1" x14ac:dyDescent="0.2">
      <c r="A710" t="s">
        <v>233</v>
      </c>
      <c r="B710" s="49">
        <v>45474</v>
      </c>
      <c r="C710">
        <v>25</v>
      </c>
      <c r="D710" s="33">
        <v>15200</v>
      </c>
      <c r="E710" t="str">
        <f>_xlfn.XLOOKUP(Quota_tbl[[#This Row],[Rep_ID]],Dim_Reps!A:A,Dim_Reps!K:K)</f>
        <v>MXN</v>
      </c>
      <c r="F710" s="33">
        <f>(_xlfn.XLOOKUP(Quota_tbl[[#This Row],[Rate_Code_Generalized]],Lookups!A:A,Lookups!B:B)*Quota_tbl[[#This Row],[Quota_Amount_USD]])</f>
        <v>299937.04000000004</v>
      </c>
      <c r="G710" t="str">
        <f>_xlfn.XLOOKUP(Quota_tbl[[#This Row],[Rep_ID]],Dim_Reps!A:A,Dim_Reps!C:C)</f>
        <v>SDR / Inside Sales Rep</v>
      </c>
      <c r="H710" t="str">
        <f>_xlfn.XLOOKUP(Quota_tbl[[#This Row],[Rep_ID]],Dim_Reps!A:A,Dim_Reps!D:D)</f>
        <v>Inside Sales</v>
      </c>
      <c r="I710" t="str">
        <f>_xlfn.XLOOKUP(Quota_tbl[[#This Row],[Rep_ID]],Dim_Reps!A:A,Dim_Reps!E:E)</f>
        <v>LATAM</v>
      </c>
      <c r="J710" t="str">
        <f>_xlfn.XLOOKUP(Quota_tbl[[#This Row],[Period_Start_Date]],Dim_Date!A:A,Dim_Date!H:H)</f>
        <v>Jul 2024</v>
      </c>
    </row>
    <row r="711" spans="1:10" ht="15" customHeight="1" x14ac:dyDescent="0.2">
      <c r="A711" t="s">
        <v>233</v>
      </c>
      <c r="B711" s="49">
        <v>45505</v>
      </c>
      <c r="C711">
        <v>26</v>
      </c>
      <c r="D711" s="33">
        <v>14800</v>
      </c>
      <c r="E711" t="str">
        <f>_xlfn.XLOOKUP(Quota_tbl[[#This Row],[Rep_ID]],Dim_Reps!A:A,Dim_Reps!K:K)</f>
        <v>MXN</v>
      </c>
      <c r="F711" s="33">
        <f>(_xlfn.XLOOKUP(Quota_tbl[[#This Row],[Rate_Code_Generalized]],Lookups!A:A,Lookups!B:B)*Quota_tbl[[#This Row],[Quota_Amount_USD]])</f>
        <v>292043.96000000002</v>
      </c>
      <c r="G711" t="str">
        <f>_xlfn.XLOOKUP(Quota_tbl[[#This Row],[Rep_ID]],Dim_Reps!A:A,Dim_Reps!C:C)</f>
        <v>SDR / Inside Sales Rep</v>
      </c>
      <c r="H711" t="str">
        <f>_xlfn.XLOOKUP(Quota_tbl[[#This Row],[Rep_ID]],Dim_Reps!A:A,Dim_Reps!D:D)</f>
        <v>Inside Sales</v>
      </c>
      <c r="I711" t="str">
        <f>_xlfn.XLOOKUP(Quota_tbl[[#This Row],[Rep_ID]],Dim_Reps!A:A,Dim_Reps!E:E)</f>
        <v>LATAM</v>
      </c>
      <c r="J711" t="str">
        <f>_xlfn.XLOOKUP(Quota_tbl[[#This Row],[Period_Start_Date]],Dim_Date!A:A,Dim_Date!H:H)</f>
        <v>Aug 2024</v>
      </c>
    </row>
    <row r="712" spans="1:10" ht="15" customHeight="1" x14ac:dyDescent="0.2">
      <c r="A712" t="s">
        <v>233</v>
      </c>
      <c r="B712" s="49">
        <v>45536</v>
      </c>
      <c r="C712">
        <v>27</v>
      </c>
      <c r="D712" s="33">
        <v>15100</v>
      </c>
      <c r="E712" t="str">
        <f>_xlfn.XLOOKUP(Quota_tbl[[#This Row],[Rep_ID]],Dim_Reps!A:A,Dim_Reps!K:K)</f>
        <v>MXN</v>
      </c>
      <c r="F712" s="33">
        <f>(_xlfn.XLOOKUP(Quota_tbl[[#This Row],[Rate_Code_Generalized]],Lookups!A:A,Lookups!B:B)*Quota_tbl[[#This Row],[Quota_Amount_USD]])</f>
        <v>297963.77</v>
      </c>
      <c r="G712" t="str">
        <f>_xlfn.XLOOKUP(Quota_tbl[[#This Row],[Rep_ID]],Dim_Reps!A:A,Dim_Reps!C:C)</f>
        <v>SDR / Inside Sales Rep</v>
      </c>
      <c r="H712" t="str">
        <f>_xlfn.XLOOKUP(Quota_tbl[[#This Row],[Rep_ID]],Dim_Reps!A:A,Dim_Reps!D:D)</f>
        <v>Inside Sales</v>
      </c>
      <c r="I712" t="str">
        <f>_xlfn.XLOOKUP(Quota_tbl[[#This Row],[Rep_ID]],Dim_Reps!A:A,Dim_Reps!E:E)</f>
        <v>LATAM</v>
      </c>
      <c r="J712" t="str">
        <f>_xlfn.XLOOKUP(Quota_tbl[[#This Row],[Period_Start_Date]],Dim_Date!A:A,Dim_Date!H:H)</f>
        <v>Sep 2024</v>
      </c>
    </row>
    <row r="713" spans="1:10" ht="15" customHeight="1" x14ac:dyDescent="0.2">
      <c r="A713" t="s">
        <v>233</v>
      </c>
      <c r="B713" s="49">
        <v>45566</v>
      </c>
      <c r="C713">
        <v>28</v>
      </c>
      <c r="D713" s="33">
        <v>14900</v>
      </c>
      <c r="E713" t="str">
        <f>_xlfn.XLOOKUP(Quota_tbl[[#This Row],[Rep_ID]],Dim_Reps!A:A,Dim_Reps!K:K)</f>
        <v>MXN</v>
      </c>
      <c r="F713" s="33">
        <f>(_xlfn.XLOOKUP(Quota_tbl[[#This Row],[Rate_Code_Generalized]],Lookups!A:A,Lookups!B:B)*Quota_tbl[[#This Row],[Quota_Amount_USD]])</f>
        <v>294017.23000000004</v>
      </c>
      <c r="G713" t="str">
        <f>_xlfn.XLOOKUP(Quota_tbl[[#This Row],[Rep_ID]],Dim_Reps!A:A,Dim_Reps!C:C)</f>
        <v>SDR / Inside Sales Rep</v>
      </c>
      <c r="H713" t="str">
        <f>_xlfn.XLOOKUP(Quota_tbl[[#This Row],[Rep_ID]],Dim_Reps!A:A,Dim_Reps!D:D)</f>
        <v>Inside Sales</v>
      </c>
      <c r="I713" t="str">
        <f>_xlfn.XLOOKUP(Quota_tbl[[#This Row],[Rep_ID]],Dim_Reps!A:A,Dim_Reps!E:E)</f>
        <v>LATAM</v>
      </c>
      <c r="J713" t="str">
        <f>_xlfn.XLOOKUP(Quota_tbl[[#This Row],[Period_Start_Date]],Dim_Date!A:A,Dim_Date!H:H)</f>
        <v>Oct 2024</v>
      </c>
    </row>
    <row r="714" spans="1:10" ht="15" customHeight="1" x14ac:dyDescent="0.2">
      <c r="A714" t="s">
        <v>233</v>
      </c>
      <c r="B714" s="49">
        <v>45597</v>
      </c>
      <c r="C714">
        <v>29</v>
      </c>
      <c r="D714" s="33">
        <v>15000</v>
      </c>
      <c r="E714" t="str">
        <f>_xlfn.XLOOKUP(Quota_tbl[[#This Row],[Rep_ID]],Dim_Reps!A:A,Dim_Reps!K:K)</f>
        <v>MXN</v>
      </c>
      <c r="F714" s="33">
        <f>(_xlfn.XLOOKUP(Quota_tbl[[#This Row],[Rate_Code_Generalized]],Lookups!A:A,Lookups!B:B)*Quota_tbl[[#This Row],[Quota_Amount_USD]])</f>
        <v>295990.5</v>
      </c>
      <c r="G714" t="str">
        <f>_xlfn.XLOOKUP(Quota_tbl[[#This Row],[Rep_ID]],Dim_Reps!A:A,Dim_Reps!C:C)</f>
        <v>SDR / Inside Sales Rep</v>
      </c>
      <c r="H714" t="str">
        <f>_xlfn.XLOOKUP(Quota_tbl[[#This Row],[Rep_ID]],Dim_Reps!A:A,Dim_Reps!D:D)</f>
        <v>Inside Sales</v>
      </c>
      <c r="I714" t="str">
        <f>_xlfn.XLOOKUP(Quota_tbl[[#This Row],[Rep_ID]],Dim_Reps!A:A,Dim_Reps!E:E)</f>
        <v>LATAM</v>
      </c>
      <c r="J714" t="str">
        <f>_xlfn.XLOOKUP(Quota_tbl[[#This Row],[Period_Start_Date]],Dim_Date!A:A,Dim_Date!H:H)</f>
        <v>Nov 2024</v>
      </c>
    </row>
    <row r="715" spans="1:10" ht="15" customHeight="1" x14ac:dyDescent="0.2">
      <c r="A715" t="s">
        <v>233</v>
      </c>
      <c r="B715" s="49">
        <v>45627</v>
      </c>
      <c r="C715">
        <v>30</v>
      </c>
      <c r="D715" s="33">
        <v>16000</v>
      </c>
      <c r="E715" t="str">
        <f>_xlfn.XLOOKUP(Quota_tbl[[#This Row],[Rep_ID]],Dim_Reps!A:A,Dim_Reps!K:K)</f>
        <v>MXN</v>
      </c>
      <c r="F715" s="33">
        <f>(_xlfn.XLOOKUP(Quota_tbl[[#This Row],[Rate_Code_Generalized]],Lookups!A:A,Lookups!B:B)*Quota_tbl[[#This Row],[Quota_Amount_USD]])</f>
        <v>315723.2</v>
      </c>
      <c r="G715" t="str">
        <f>_xlfn.XLOOKUP(Quota_tbl[[#This Row],[Rep_ID]],Dim_Reps!A:A,Dim_Reps!C:C)</f>
        <v>SDR / Inside Sales Rep</v>
      </c>
      <c r="H715" t="str">
        <f>_xlfn.XLOOKUP(Quota_tbl[[#This Row],[Rep_ID]],Dim_Reps!A:A,Dim_Reps!D:D)</f>
        <v>Inside Sales</v>
      </c>
      <c r="I715" t="str">
        <f>_xlfn.XLOOKUP(Quota_tbl[[#This Row],[Rep_ID]],Dim_Reps!A:A,Dim_Reps!E:E)</f>
        <v>LATAM</v>
      </c>
      <c r="J715" t="str">
        <f>_xlfn.XLOOKUP(Quota_tbl[[#This Row],[Period_Start_Date]],Dim_Date!A:A,Dim_Date!H:H)</f>
        <v>Dec 2024</v>
      </c>
    </row>
    <row r="716" spans="1:10" ht="15" customHeight="1" x14ac:dyDescent="0.2">
      <c r="A716" t="s">
        <v>233</v>
      </c>
      <c r="B716" s="49">
        <v>45658</v>
      </c>
      <c r="C716">
        <v>31</v>
      </c>
      <c r="D716" s="33">
        <v>15100</v>
      </c>
      <c r="E716" t="str">
        <f>_xlfn.XLOOKUP(Quota_tbl[[#This Row],[Rep_ID]],Dim_Reps!A:A,Dim_Reps!K:K)</f>
        <v>MXN</v>
      </c>
      <c r="F716" s="33">
        <f>(_xlfn.XLOOKUP(Quota_tbl[[#This Row],[Rate_Code_Generalized]],Lookups!A:A,Lookups!B:B)*Quota_tbl[[#This Row],[Quota_Amount_USD]])</f>
        <v>297963.77</v>
      </c>
      <c r="G716" t="str">
        <f>_xlfn.XLOOKUP(Quota_tbl[[#This Row],[Rep_ID]],Dim_Reps!A:A,Dim_Reps!C:C)</f>
        <v>SDR / Inside Sales Rep</v>
      </c>
      <c r="H716" t="str">
        <f>_xlfn.XLOOKUP(Quota_tbl[[#This Row],[Rep_ID]],Dim_Reps!A:A,Dim_Reps!D:D)</f>
        <v>Inside Sales</v>
      </c>
      <c r="I716" t="str">
        <f>_xlfn.XLOOKUP(Quota_tbl[[#This Row],[Rep_ID]],Dim_Reps!A:A,Dim_Reps!E:E)</f>
        <v>LATAM</v>
      </c>
      <c r="J716" t="str">
        <f>_xlfn.XLOOKUP(Quota_tbl[[#This Row],[Period_Start_Date]],Dim_Date!A:A,Dim_Date!H:H)</f>
        <v>Jan 2025</v>
      </c>
    </row>
    <row r="717" spans="1:10" ht="15" customHeight="1" x14ac:dyDescent="0.2">
      <c r="A717" t="s">
        <v>233</v>
      </c>
      <c r="B717" s="49">
        <v>45689</v>
      </c>
      <c r="C717">
        <v>32</v>
      </c>
      <c r="D717" s="33">
        <v>16700</v>
      </c>
      <c r="E717" t="str">
        <f>_xlfn.XLOOKUP(Quota_tbl[[#This Row],[Rep_ID]],Dim_Reps!A:A,Dim_Reps!K:K)</f>
        <v>MXN</v>
      </c>
      <c r="F717" s="33">
        <f>(_xlfn.XLOOKUP(Quota_tbl[[#This Row],[Rate_Code_Generalized]],Lookups!A:A,Lookups!B:B)*Quota_tbl[[#This Row],[Quota_Amount_USD]])</f>
        <v>329536.09000000003</v>
      </c>
      <c r="G717" t="str">
        <f>_xlfn.XLOOKUP(Quota_tbl[[#This Row],[Rep_ID]],Dim_Reps!A:A,Dim_Reps!C:C)</f>
        <v>SDR / Inside Sales Rep</v>
      </c>
      <c r="H717" t="str">
        <f>_xlfn.XLOOKUP(Quota_tbl[[#This Row],[Rep_ID]],Dim_Reps!A:A,Dim_Reps!D:D)</f>
        <v>Inside Sales</v>
      </c>
      <c r="I717" t="str">
        <f>_xlfn.XLOOKUP(Quota_tbl[[#This Row],[Rep_ID]],Dim_Reps!A:A,Dim_Reps!E:E)</f>
        <v>LATAM</v>
      </c>
      <c r="J717" t="str">
        <f>_xlfn.XLOOKUP(Quota_tbl[[#This Row],[Period_Start_Date]],Dim_Date!A:A,Dim_Date!H:H)</f>
        <v>Feb 2025</v>
      </c>
    </row>
    <row r="718" spans="1:10" ht="15" customHeight="1" x14ac:dyDescent="0.2">
      <c r="A718" t="s">
        <v>233</v>
      </c>
      <c r="B718" s="49">
        <v>45717</v>
      </c>
      <c r="C718">
        <v>33</v>
      </c>
      <c r="D718" s="33">
        <v>15700</v>
      </c>
      <c r="E718" t="str">
        <f>_xlfn.XLOOKUP(Quota_tbl[[#This Row],[Rep_ID]],Dim_Reps!A:A,Dim_Reps!K:K)</f>
        <v>MXN</v>
      </c>
      <c r="F718" s="33">
        <f>(_xlfn.XLOOKUP(Quota_tbl[[#This Row],[Rate_Code_Generalized]],Lookups!A:A,Lookups!B:B)*Quota_tbl[[#This Row],[Quota_Amount_USD]])</f>
        <v>309803.39</v>
      </c>
      <c r="G718" t="str">
        <f>_xlfn.XLOOKUP(Quota_tbl[[#This Row],[Rep_ID]],Dim_Reps!A:A,Dim_Reps!C:C)</f>
        <v>SDR / Inside Sales Rep</v>
      </c>
      <c r="H718" t="str">
        <f>_xlfn.XLOOKUP(Quota_tbl[[#This Row],[Rep_ID]],Dim_Reps!A:A,Dim_Reps!D:D)</f>
        <v>Inside Sales</v>
      </c>
      <c r="I718" t="str">
        <f>_xlfn.XLOOKUP(Quota_tbl[[#This Row],[Rep_ID]],Dim_Reps!A:A,Dim_Reps!E:E)</f>
        <v>LATAM</v>
      </c>
      <c r="J718" t="str">
        <f>_xlfn.XLOOKUP(Quota_tbl[[#This Row],[Period_Start_Date]],Dim_Date!A:A,Dim_Date!H:H)</f>
        <v>Mar 2025</v>
      </c>
    </row>
    <row r="719" spans="1:10" ht="15" customHeight="1" x14ac:dyDescent="0.2">
      <c r="A719" t="s">
        <v>233</v>
      </c>
      <c r="B719" s="49">
        <v>45748</v>
      </c>
      <c r="C719">
        <v>34</v>
      </c>
      <c r="D719" s="33">
        <v>15600</v>
      </c>
      <c r="E719" t="str">
        <f>_xlfn.XLOOKUP(Quota_tbl[[#This Row],[Rep_ID]],Dim_Reps!A:A,Dim_Reps!K:K)</f>
        <v>MXN</v>
      </c>
      <c r="F719" s="33">
        <f>(_xlfn.XLOOKUP(Quota_tbl[[#This Row],[Rate_Code_Generalized]],Lookups!A:A,Lookups!B:B)*Quota_tbl[[#This Row],[Quota_Amount_USD]])</f>
        <v>307830.12</v>
      </c>
      <c r="G719" t="str">
        <f>_xlfn.XLOOKUP(Quota_tbl[[#This Row],[Rep_ID]],Dim_Reps!A:A,Dim_Reps!C:C)</f>
        <v>SDR / Inside Sales Rep</v>
      </c>
      <c r="H719" t="str">
        <f>_xlfn.XLOOKUP(Quota_tbl[[#This Row],[Rep_ID]],Dim_Reps!A:A,Dim_Reps!D:D)</f>
        <v>Inside Sales</v>
      </c>
      <c r="I719" t="str">
        <f>_xlfn.XLOOKUP(Quota_tbl[[#This Row],[Rep_ID]],Dim_Reps!A:A,Dim_Reps!E:E)</f>
        <v>LATAM</v>
      </c>
      <c r="J719" t="str">
        <f>_xlfn.XLOOKUP(Quota_tbl[[#This Row],[Period_Start_Date]],Dim_Date!A:A,Dim_Date!H:H)</f>
        <v>Apr 2025</v>
      </c>
    </row>
    <row r="720" spans="1:10" ht="15" customHeight="1" x14ac:dyDescent="0.2">
      <c r="A720" t="s">
        <v>233</v>
      </c>
      <c r="B720" s="49">
        <v>45778</v>
      </c>
      <c r="C720">
        <v>35</v>
      </c>
      <c r="D720" s="33">
        <v>15100</v>
      </c>
      <c r="E720" t="str">
        <f>_xlfn.XLOOKUP(Quota_tbl[[#This Row],[Rep_ID]],Dim_Reps!A:A,Dim_Reps!K:K)</f>
        <v>MXN</v>
      </c>
      <c r="F720" s="33">
        <f>(_xlfn.XLOOKUP(Quota_tbl[[#This Row],[Rate_Code_Generalized]],Lookups!A:A,Lookups!B:B)*Quota_tbl[[#This Row],[Quota_Amount_USD]])</f>
        <v>297963.77</v>
      </c>
      <c r="G720" t="str">
        <f>_xlfn.XLOOKUP(Quota_tbl[[#This Row],[Rep_ID]],Dim_Reps!A:A,Dim_Reps!C:C)</f>
        <v>SDR / Inside Sales Rep</v>
      </c>
      <c r="H720" t="str">
        <f>_xlfn.XLOOKUP(Quota_tbl[[#This Row],[Rep_ID]],Dim_Reps!A:A,Dim_Reps!D:D)</f>
        <v>Inside Sales</v>
      </c>
      <c r="I720" t="str">
        <f>_xlfn.XLOOKUP(Quota_tbl[[#This Row],[Rep_ID]],Dim_Reps!A:A,Dim_Reps!E:E)</f>
        <v>LATAM</v>
      </c>
      <c r="J720" t="str">
        <f>_xlfn.XLOOKUP(Quota_tbl[[#This Row],[Period_Start_Date]],Dim_Date!A:A,Dim_Date!H:H)</f>
        <v>May 2025</v>
      </c>
    </row>
    <row r="721" spans="1:10" ht="15" customHeight="1" x14ac:dyDescent="0.2">
      <c r="A721" t="s">
        <v>233</v>
      </c>
      <c r="B721" s="49">
        <v>45809</v>
      </c>
      <c r="C721">
        <v>36</v>
      </c>
      <c r="D721" s="33">
        <v>15800</v>
      </c>
      <c r="E721" t="str">
        <f>_xlfn.XLOOKUP(Quota_tbl[[#This Row],[Rep_ID]],Dim_Reps!A:A,Dim_Reps!K:K)</f>
        <v>MXN</v>
      </c>
      <c r="F721" s="33">
        <f>(_xlfn.XLOOKUP(Quota_tbl[[#This Row],[Rate_Code_Generalized]],Lookups!A:A,Lookups!B:B)*Quota_tbl[[#This Row],[Quota_Amount_USD]])</f>
        <v>311776.66000000003</v>
      </c>
      <c r="G721" t="str">
        <f>_xlfn.XLOOKUP(Quota_tbl[[#This Row],[Rep_ID]],Dim_Reps!A:A,Dim_Reps!C:C)</f>
        <v>SDR / Inside Sales Rep</v>
      </c>
      <c r="H721" t="str">
        <f>_xlfn.XLOOKUP(Quota_tbl[[#This Row],[Rep_ID]],Dim_Reps!A:A,Dim_Reps!D:D)</f>
        <v>Inside Sales</v>
      </c>
      <c r="I721" t="str">
        <f>_xlfn.XLOOKUP(Quota_tbl[[#This Row],[Rep_ID]],Dim_Reps!A:A,Dim_Reps!E:E)</f>
        <v>LATAM</v>
      </c>
      <c r="J721" t="str">
        <f>_xlfn.XLOOKUP(Quota_tbl[[#This Row],[Period_Start_Date]],Dim_Date!A:A,Dim_Date!H:H)</f>
        <v>Jun 2025</v>
      </c>
    </row>
    <row r="722" spans="1:10" ht="15" customHeight="1" x14ac:dyDescent="0.2">
      <c r="A722" t="s">
        <v>233</v>
      </c>
      <c r="B722" s="49">
        <v>45839</v>
      </c>
      <c r="C722">
        <v>37</v>
      </c>
      <c r="D722" s="33">
        <v>15200</v>
      </c>
      <c r="E722" t="str">
        <f>_xlfn.XLOOKUP(Quota_tbl[[#This Row],[Rep_ID]],Dim_Reps!A:A,Dim_Reps!K:K)</f>
        <v>MXN</v>
      </c>
      <c r="F722" s="33">
        <f>(_xlfn.XLOOKUP(Quota_tbl[[#This Row],[Rate_Code_Generalized]],Lookups!A:A,Lookups!B:B)*Quota_tbl[[#This Row],[Quota_Amount_USD]])</f>
        <v>299937.04000000004</v>
      </c>
      <c r="G722" t="str">
        <f>_xlfn.XLOOKUP(Quota_tbl[[#This Row],[Rep_ID]],Dim_Reps!A:A,Dim_Reps!C:C)</f>
        <v>SDR / Inside Sales Rep</v>
      </c>
      <c r="H722" t="str">
        <f>_xlfn.XLOOKUP(Quota_tbl[[#This Row],[Rep_ID]],Dim_Reps!A:A,Dim_Reps!D:D)</f>
        <v>Inside Sales</v>
      </c>
      <c r="I722" t="str">
        <f>_xlfn.XLOOKUP(Quota_tbl[[#This Row],[Rep_ID]],Dim_Reps!A:A,Dim_Reps!E:E)</f>
        <v>LATAM</v>
      </c>
      <c r="J722" t="str">
        <f>_xlfn.XLOOKUP(Quota_tbl[[#This Row],[Period_Start_Date]],Dim_Date!A:A,Dim_Date!H:H)</f>
        <v>Jul 2025</v>
      </c>
    </row>
    <row r="723" spans="1:10" ht="15" customHeight="1" x14ac:dyDescent="0.2">
      <c r="A723" t="s">
        <v>233</v>
      </c>
      <c r="B723" s="49">
        <v>45870</v>
      </c>
      <c r="C723">
        <v>38</v>
      </c>
      <c r="D723" s="33">
        <v>15600</v>
      </c>
      <c r="E723" t="str">
        <f>_xlfn.XLOOKUP(Quota_tbl[[#This Row],[Rep_ID]],Dim_Reps!A:A,Dim_Reps!K:K)</f>
        <v>MXN</v>
      </c>
      <c r="F723" s="33">
        <f>(_xlfn.XLOOKUP(Quota_tbl[[#This Row],[Rate_Code_Generalized]],Lookups!A:A,Lookups!B:B)*Quota_tbl[[#This Row],[Quota_Amount_USD]])</f>
        <v>307830.12</v>
      </c>
      <c r="G723" t="str">
        <f>_xlfn.XLOOKUP(Quota_tbl[[#This Row],[Rep_ID]],Dim_Reps!A:A,Dim_Reps!C:C)</f>
        <v>SDR / Inside Sales Rep</v>
      </c>
      <c r="H723" t="str">
        <f>_xlfn.XLOOKUP(Quota_tbl[[#This Row],[Rep_ID]],Dim_Reps!A:A,Dim_Reps!D:D)</f>
        <v>Inside Sales</v>
      </c>
      <c r="I723" t="str">
        <f>_xlfn.XLOOKUP(Quota_tbl[[#This Row],[Rep_ID]],Dim_Reps!A:A,Dim_Reps!E:E)</f>
        <v>LATAM</v>
      </c>
      <c r="J723" t="str">
        <f>_xlfn.XLOOKUP(Quota_tbl[[#This Row],[Period_Start_Date]],Dim_Date!A:A,Dim_Date!H:H)</f>
        <v>Aug 2025</v>
      </c>
    </row>
    <row r="724" spans="1:10" ht="15" customHeight="1" x14ac:dyDescent="0.2">
      <c r="A724" t="s">
        <v>233</v>
      </c>
      <c r="B724" s="49">
        <v>45901</v>
      </c>
      <c r="C724">
        <v>39</v>
      </c>
      <c r="D724" s="33">
        <v>16700</v>
      </c>
      <c r="E724" t="str">
        <f>_xlfn.XLOOKUP(Quota_tbl[[#This Row],[Rep_ID]],Dim_Reps!A:A,Dim_Reps!K:K)</f>
        <v>MXN</v>
      </c>
      <c r="F724" s="33">
        <f>(_xlfn.XLOOKUP(Quota_tbl[[#This Row],[Rate_Code_Generalized]],Lookups!A:A,Lookups!B:B)*Quota_tbl[[#This Row],[Quota_Amount_USD]])</f>
        <v>329536.09000000003</v>
      </c>
      <c r="G724" t="str">
        <f>_xlfn.XLOOKUP(Quota_tbl[[#This Row],[Rep_ID]],Dim_Reps!A:A,Dim_Reps!C:C)</f>
        <v>SDR / Inside Sales Rep</v>
      </c>
      <c r="H724" t="str">
        <f>_xlfn.XLOOKUP(Quota_tbl[[#This Row],[Rep_ID]],Dim_Reps!A:A,Dim_Reps!D:D)</f>
        <v>Inside Sales</v>
      </c>
      <c r="I724" t="str">
        <f>_xlfn.XLOOKUP(Quota_tbl[[#This Row],[Rep_ID]],Dim_Reps!A:A,Dim_Reps!E:E)</f>
        <v>LATAM</v>
      </c>
      <c r="J724" t="str">
        <f>_xlfn.XLOOKUP(Quota_tbl[[#This Row],[Period_Start_Date]],Dim_Date!A:A,Dim_Date!H:H)</f>
        <v>Sep 2025</v>
      </c>
    </row>
    <row r="725" spans="1:10" ht="15" customHeight="1" x14ac:dyDescent="0.2">
      <c r="A725" t="s">
        <v>233</v>
      </c>
      <c r="B725" s="49">
        <v>45931</v>
      </c>
      <c r="C725">
        <v>40</v>
      </c>
      <c r="D725" s="33">
        <v>15500</v>
      </c>
      <c r="E725" t="str">
        <f>_xlfn.XLOOKUP(Quota_tbl[[#This Row],[Rep_ID]],Dim_Reps!A:A,Dim_Reps!K:K)</f>
        <v>MXN</v>
      </c>
      <c r="F725" s="33">
        <f>(_xlfn.XLOOKUP(Quota_tbl[[#This Row],[Rate_Code_Generalized]],Lookups!A:A,Lookups!B:B)*Quota_tbl[[#This Row],[Quota_Amount_USD]])</f>
        <v>305856.85000000003</v>
      </c>
      <c r="G725" t="str">
        <f>_xlfn.XLOOKUP(Quota_tbl[[#This Row],[Rep_ID]],Dim_Reps!A:A,Dim_Reps!C:C)</f>
        <v>SDR / Inside Sales Rep</v>
      </c>
      <c r="H725" t="str">
        <f>_xlfn.XLOOKUP(Quota_tbl[[#This Row],[Rep_ID]],Dim_Reps!A:A,Dim_Reps!D:D)</f>
        <v>Inside Sales</v>
      </c>
      <c r="I725" t="str">
        <f>_xlfn.XLOOKUP(Quota_tbl[[#This Row],[Rep_ID]],Dim_Reps!A:A,Dim_Reps!E:E)</f>
        <v>LATAM</v>
      </c>
      <c r="J725" t="str">
        <f>_xlfn.XLOOKUP(Quota_tbl[[#This Row],[Period_Start_Date]],Dim_Date!A:A,Dim_Date!H:H)</f>
        <v>Oct 2025</v>
      </c>
    </row>
    <row r="726" spans="1:10" ht="15" customHeight="1" x14ac:dyDescent="0.2">
      <c r="A726" t="s">
        <v>233</v>
      </c>
      <c r="B726" s="49">
        <v>45962</v>
      </c>
      <c r="C726">
        <v>41</v>
      </c>
      <c r="D726" s="33">
        <v>16000</v>
      </c>
      <c r="E726" t="str">
        <f>_xlfn.XLOOKUP(Quota_tbl[[#This Row],[Rep_ID]],Dim_Reps!A:A,Dim_Reps!K:K)</f>
        <v>MXN</v>
      </c>
      <c r="F726" s="33">
        <f>(_xlfn.XLOOKUP(Quota_tbl[[#This Row],[Rate_Code_Generalized]],Lookups!A:A,Lookups!B:B)*Quota_tbl[[#This Row],[Quota_Amount_USD]])</f>
        <v>315723.2</v>
      </c>
      <c r="G726" t="str">
        <f>_xlfn.XLOOKUP(Quota_tbl[[#This Row],[Rep_ID]],Dim_Reps!A:A,Dim_Reps!C:C)</f>
        <v>SDR / Inside Sales Rep</v>
      </c>
      <c r="H726" t="str">
        <f>_xlfn.XLOOKUP(Quota_tbl[[#This Row],[Rep_ID]],Dim_Reps!A:A,Dim_Reps!D:D)</f>
        <v>Inside Sales</v>
      </c>
      <c r="I726" t="str">
        <f>_xlfn.XLOOKUP(Quota_tbl[[#This Row],[Rep_ID]],Dim_Reps!A:A,Dim_Reps!E:E)</f>
        <v>LATAM</v>
      </c>
      <c r="J726" t="str">
        <f>_xlfn.XLOOKUP(Quota_tbl[[#This Row],[Period_Start_Date]],Dim_Date!A:A,Dim_Date!H:H)</f>
        <v>Nov 2025</v>
      </c>
    </row>
    <row r="727" spans="1:10" ht="15" customHeight="1" x14ac:dyDescent="0.2">
      <c r="A727" t="s">
        <v>233</v>
      </c>
      <c r="B727" s="49">
        <v>45992</v>
      </c>
      <c r="C727">
        <v>42</v>
      </c>
      <c r="D727" s="33">
        <v>15200</v>
      </c>
      <c r="E727" t="str">
        <f>_xlfn.XLOOKUP(Quota_tbl[[#This Row],[Rep_ID]],Dim_Reps!A:A,Dim_Reps!K:K)</f>
        <v>MXN</v>
      </c>
      <c r="F727" s="33">
        <f>(_xlfn.XLOOKUP(Quota_tbl[[#This Row],[Rate_Code_Generalized]],Lookups!A:A,Lookups!B:B)*Quota_tbl[[#This Row],[Quota_Amount_USD]])</f>
        <v>299937.04000000004</v>
      </c>
      <c r="G727" t="str">
        <f>_xlfn.XLOOKUP(Quota_tbl[[#This Row],[Rep_ID]],Dim_Reps!A:A,Dim_Reps!C:C)</f>
        <v>SDR / Inside Sales Rep</v>
      </c>
      <c r="H727" t="str">
        <f>_xlfn.XLOOKUP(Quota_tbl[[#This Row],[Rep_ID]],Dim_Reps!A:A,Dim_Reps!D:D)</f>
        <v>Inside Sales</v>
      </c>
      <c r="I727" t="str">
        <f>_xlfn.XLOOKUP(Quota_tbl[[#This Row],[Rep_ID]],Dim_Reps!A:A,Dim_Reps!E:E)</f>
        <v>LATAM</v>
      </c>
      <c r="J727" t="str">
        <f>_xlfn.XLOOKUP(Quota_tbl[[#This Row],[Period_Start_Date]],Dim_Date!A:A,Dim_Date!H:H)</f>
        <v>Dec 2025</v>
      </c>
    </row>
    <row r="728" spans="1:10" ht="15" customHeight="1" x14ac:dyDescent="0.2">
      <c r="A728" t="s">
        <v>267</v>
      </c>
      <c r="B728" s="49">
        <v>45292</v>
      </c>
      <c r="C728">
        <v>3</v>
      </c>
      <c r="D728" s="33">
        <v>22000</v>
      </c>
      <c r="E728" t="str">
        <f>_xlfn.XLOOKUP(Quota_tbl[[#This Row],[Rep_ID]],Dim_Reps!A:A,Dim_Reps!K:K)</f>
        <v>MXN</v>
      </c>
      <c r="F728" s="33">
        <f>(_xlfn.XLOOKUP(Quota_tbl[[#This Row],[Rate_Code_Generalized]],Lookups!A:A,Lookups!B:B)*Quota_tbl[[#This Row],[Quota_Amount_USD]])</f>
        <v>434119.4</v>
      </c>
      <c r="G728" t="str">
        <f>_xlfn.XLOOKUP(Quota_tbl[[#This Row],[Rep_ID]],Dim_Reps!A:A,Dim_Reps!C:C)</f>
        <v>Mid-Market AE</v>
      </c>
      <c r="H728" t="str">
        <f>_xlfn.XLOOKUP(Quota_tbl[[#This Row],[Rep_ID]],Dim_Reps!A:A,Dim_Reps!D:D)</f>
        <v>Mid-Market</v>
      </c>
      <c r="I728" t="str">
        <f>_xlfn.XLOOKUP(Quota_tbl[[#This Row],[Rep_ID]],Dim_Reps!A:A,Dim_Reps!E:E)</f>
        <v>LATAM</v>
      </c>
      <c r="J728" t="str">
        <f>_xlfn.XLOOKUP(Quota_tbl[[#This Row],[Period_Start_Date]],Dim_Date!A:A,Dim_Date!H:H)</f>
        <v>Jan 2024</v>
      </c>
    </row>
    <row r="729" spans="1:10" ht="15" customHeight="1" x14ac:dyDescent="0.2">
      <c r="A729" t="s">
        <v>267</v>
      </c>
      <c r="B729" s="49">
        <v>45323</v>
      </c>
      <c r="C729">
        <v>4</v>
      </c>
      <c r="D729" s="33">
        <v>23200</v>
      </c>
      <c r="E729" t="str">
        <f>_xlfn.XLOOKUP(Quota_tbl[[#This Row],[Rep_ID]],Dim_Reps!A:A,Dim_Reps!K:K)</f>
        <v>MXN</v>
      </c>
      <c r="F729" s="33">
        <f>(_xlfn.XLOOKUP(Quota_tbl[[#This Row],[Rate_Code_Generalized]],Lookups!A:A,Lookups!B:B)*Quota_tbl[[#This Row],[Quota_Amount_USD]])</f>
        <v>457798.64</v>
      </c>
      <c r="G729" t="str">
        <f>_xlfn.XLOOKUP(Quota_tbl[[#This Row],[Rep_ID]],Dim_Reps!A:A,Dim_Reps!C:C)</f>
        <v>Mid-Market AE</v>
      </c>
      <c r="H729" t="str">
        <f>_xlfn.XLOOKUP(Quota_tbl[[#This Row],[Rep_ID]],Dim_Reps!A:A,Dim_Reps!D:D)</f>
        <v>Mid-Market</v>
      </c>
      <c r="I729" t="str">
        <f>_xlfn.XLOOKUP(Quota_tbl[[#This Row],[Rep_ID]],Dim_Reps!A:A,Dim_Reps!E:E)</f>
        <v>LATAM</v>
      </c>
      <c r="J729" t="str">
        <f>_xlfn.XLOOKUP(Quota_tbl[[#This Row],[Period_Start_Date]],Dim_Date!A:A,Dim_Date!H:H)</f>
        <v>Feb 2024</v>
      </c>
    </row>
    <row r="730" spans="1:10" ht="15" customHeight="1" x14ac:dyDescent="0.2">
      <c r="A730" t="s">
        <v>267</v>
      </c>
      <c r="B730" s="49">
        <v>45352</v>
      </c>
      <c r="C730">
        <v>5</v>
      </c>
      <c r="D730" s="33">
        <v>21600</v>
      </c>
      <c r="E730" t="str">
        <f>_xlfn.XLOOKUP(Quota_tbl[[#This Row],[Rep_ID]],Dim_Reps!A:A,Dim_Reps!K:K)</f>
        <v>MXN</v>
      </c>
      <c r="F730" s="33">
        <f>(_xlfn.XLOOKUP(Quota_tbl[[#This Row],[Rate_Code_Generalized]],Lookups!A:A,Lookups!B:B)*Quota_tbl[[#This Row],[Quota_Amount_USD]])</f>
        <v>426226.32</v>
      </c>
      <c r="G730" t="str">
        <f>_xlfn.XLOOKUP(Quota_tbl[[#This Row],[Rep_ID]],Dim_Reps!A:A,Dim_Reps!C:C)</f>
        <v>Mid-Market AE</v>
      </c>
      <c r="H730" t="str">
        <f>_xlfn.XLOOKUP(Quota_tbl[[#This Row],[Rep_ID]],Dim_Reps!A:A,Dim_Reps!D:D)</f>
        <v>Mid-Market</v>
      </c>
      <c r="I730" t="str">
        <f>_xlfn.XLOOKUP(Quota_tbl[[#This Row],[Rep_ID]],Dim_Reps!A:A,Dim_Reps!E:E)</f>
        <v>LATAM</v>
      </c>
      <c r="J730" t="str">
        <f>_xlfn.XLOOKUP(Quota_tbl[[#This Row],[Period_Start_Date]],Dim_Date!A:A,Dim_Date!H:H)</f>
        <v>Mar 2024</v>
      </c>
    </row>
    <row r="731" spans="1:10" ht="15" customHeight="1" x14ac:dyDescent="0.2">
      <c r="A731" t="s">
        <v>267</v>
      </c>
      <c r="B731" s="49">
        <v>45383</v>
      </c>
      <c r="C731">
        <v>6</v>
      </c>
      <c r="D731" s="33">
        <v>23200</v>
      </c>
      <c r="E731" t="str">
        <f>_xlfn.XLOOKUP(Quota_tbl[[#This Row],[Rep_ID]],Dim_Reps!A:A,Dim_Reps!K:K)</f>
        <v>MXN</v>
      </c>
      <c r="F731" s="33">
        <f>(_xlfn.XLOOKUP(Quota_tbl[[#This Row],[Rate_Code_Generalized]],Lookups!A:A,Lookups!B:B)*Quota_tbl[[#This Row],[Quota_Amount_USD]])</f>
        <v>457798.64</v>
      </c>
      <c r="G731" t="str">
        <f>_xlfn.XLOOKUP(Quota_tbl[[#This Row],[Rep_ID]],Dim_Reps!A:A,Dim_Reps!C:C)</f>
        <v>Mid-Market AE</v>
      </c>
      <c r="H731" t="str">
        <f>_xlfn.XLOOKUP(Quota_tbl[[#This Row],[Rep_ID]],Dim_Reps!A:A,Dim_Reps!D:D)</f>
        <v>Mid-Market</v>
      </c>
      <c r="I731" t="str">
        <f>_xlfn.XLOOKUP(Quota_tbl[[#This Row],[Rep_ID]],Dim_Reps!A:A,Dim_Reps!E:E)</f>
        <v>LATAM</v>
      </c>
      <c r="J731" t="str">
        <f>_xlfn.XLOOKUP(Quota_tbl[[#This Row],[Period_Start_Date]],Dim_Date!A:A,Dim_Date!H:H)</f>
        <v>Apr 2024</v>
      </c>
    </row>
    <row r="732" spans="1:10" ht="15" customHeight="1" x14ac:dyDescent="0.2">
      <c r="A732" t="s">
        <v>267</v>
      </c>
      <c r="B732" s="49">
        <v>45413</v>
      </c>
      <c r="C732">
        <v>7</v>
      </c>
      <c r="D732" s="33">
        <v>22500</v>
      </c>
      <c r="E732" t="str">
        <f>_xlfn.XLOOKUP(Quota_tbl[[#This Row],[Rep_ID]],Dim_Reps!A:A,Dim_Reps!K:K)</f>
        <v>MXN</v>
      </c>
      <c r="F732" s="33">
        <f>(_xlfn.XLOOKUP(Quota_tbl[[#This Row],[Rate_Code_Generalized]],Lookups!A:A,Lookups!B:B)*Quota_tbl[[#This Row],[Quota_Amount_USD]])</f>
        <v>443985.75</v>
      </c>
      <c r="G732" t="str">
        <f>_xlfn.XLOOKUP(Quota_tbl[[#This Row],[Rep_ID]],Dim_Reps!A:A,Dim_Reps!C:C)</f>
        <v>Mid-Market AE</v>
      </c>
      <c r="H732" t="str">
        <f>_xlfn.XLOOKUP(Quota_tbl[[#This Row],[Rep_ID]],Dim_Reps!A:A,Dim_Reps!D:D)</f>
        <v>Mid-Market</v>
      </c>
      <c r="I732" t="str">
        <f>_xlfn.XLOOKUP(Quota_tbl[[#This Row],[Rep_ID]],Dim_Reps!A:A,Dim_Reps!E:E)</f>
        <v>LATAM</v>
      </c>
      <c r="J732" t="str">
        <f>_xlfn.XLOOKUP(Quota_tbl[[#This Row],[Period_Start_Date]],Dim_Date!A:A,Dim_Date!H:H)</f>
        <v>May 2024</v>
      </c>
    </row>
    <row r="733" spans="1:10" ht="15" customHeight="1" x14ac:dyDescent="0.2">
      <c r="A733" t="s">
        <v>267</v>
      </c>
      <c r="B733" s="49">
        <v>45444</v>
      </c>
      <c r="C733">
        <v>8</v>
      </c>
      <c r="D733" s="33">
        <v>21600</v>
      </c>
      <c r="E733" t="str">
        <f>_xlfn.XLOOKUP(Quota_tbl[[#This Row],[Rep_ID]],Dim_Reps!A:A,Dim_Reps!K:K)</f>
        <v>MXN</v>
      </c>
      <c r="F733" s="33">
        <f>(_xlfn.XLOOKUP(Quota_tbl[[#This Row],[Rate_Code_Generalized]],Lookups!A:A,Lookups!B:B)*Quota_tbl[[#This Row],[Quota_Amount_USD]])</f>
        <v>426226.32</v>
      </c>
      <c r="G733" t="str">
        <f>_xlfn.XLOOKUP(Quota_tbl[[#This Row],[Rep_ID]],Dim_Reps!A:A,Dim_Reps!C:C)</f>
        <v>Mid-Market AE</v>
      </c>
      <c r="H733" t="str">
        <f>_xlfn.XLOOKUP(Quota_tbl[[#This Row],[Rep_ID]],Dim_Reps!A:A,Dim_Reps!D:D)</f>
        <v>Mid-Market</v>
      </c>
      <c r="I733" t="str">
        <f>_xlfn.XLOOKUP(Quota_tbl[[#This Row],[Rep_ID]],Dim_Reps!A:A,Dim_Reps!E:E)</f>
        <v>LATAM</v>
      </c>
      <c r="J733" t="str">
        <f>_xlfn.XLOOKUP(Quota_tbl[[#This Row],[Period_Start_Date]],Dim_Date!A:A,Dim_Date!H:H)</f>
        <v>Jun 2024</v>
      </c>
    </row>
    <row r="734" spans="1:10" ht="15" customHeight="1" x14ac:dyDescent="0.2">
      <c r="A734" t="s">
        <v>267</v>
      </c>
      <c r="B734" s="49">
        <v>45474</v>
      </c>
      <c r="C734">
        <v>9</v>
      </c>
      <c r="D734" s="33">
        <v>22400</v>
      </c>
      <c r="E734" t="str">
        <f>_xlfn.XLOOKUP(Quota_tbl[[#This Row],[Rep_ID]],Dim_Reps!A:A,Dim_Reps!K:K)</f>
        <v>MXN</v>
      </c>
      <c r="F734" s="33">
        <f>(_xlfn.XLOOKUP(Quota_tbl[[#This Row],[Rate_Code_Generalized]],Lookups!A:A,Lookups!B:B)*Quota_tbl[[#This Row],[Quota_Amount_USD]])</f>
        <v>442012.48000000004</v>
      </c>
      <c r="G734" t="str">
        <f>_xlfn.XLOOKUP(Quota_tbl[[#This Row],[Rep_ID]],Dim_Reps!A:A,Dim_Reps!C:C)</f>
        <v>Mid-Market AE</v>
      </c>
      <c r="H734" t="str">
        <f>_xlfn.XLOOKUP(Quota_tbl[[#This Row],[Rep_ID]],Dim_Reps!A:A,Dim_Reps!D:D)</f>
        <v>Mid-Market</v>
      </c>
      <c r="I734" t="str">
        <f>_xlfn.XLOOKUP(Quota_tbl[[#This Row],[Rep_ID]],Dim_Reps!A:A,Dim_Reps!E:E)</f>
        <v>LATAM</v>
      </c>
      <c r="J734" t="str">
        <f>_xlfn.XLOOKUP(Quota_tbl[[#This Row],[Period_Start_Date]],Dim_Date!A:A,Dim_Date!H:H)</f>
        <v>Jul 2024</v>
      </c>
    </row>
    <row r="735" spans="1:10" ht="15" customHeight="1" x14ac:dyDescent="0.2">
      <c r="A735" t="s">
        <v>267</v>
      </c>
      <c r="B735" s="49">
        <v>45505</v>
      </c>
      <c r="C735">
        <v>10</v>
      </c>
      <c r="D735" s="33">
        <v>22600</v>
      </c>
      <c r="E735" t="str">
        <f>_xlfn.XLOOKUP(Quota_tbl[[#This Row],[Rep_ID]],Dim_Reps!A:A,Dim_Reps!K:K)</f>
        <v>MXN</v>
      </c>
      <c r="F735" s="33">
        <f>(_xlfn.XLOOKUP(Quota_tbl[[#This Row],[Rate_Code_Generalized]],Lookups!A:A,Lookups!B:B)*Quota_tbl[[#This Row],[Quota_Amount_USD]])</f>
        <v>445959.02</v>
      </c>
      <c r="G735" t="str">
        <f>_xlfn.XLOOKUP(Quota_tbl[[#This Row],[Rep_ID]],Dim_Reps!A:A,Dim_Reps!C:C)</f>
        <v>Mid-Market AE</v>
      </c>
      <c r="H735" t="str">
        <f>_xlfn.XLOOKUP(Quota_tbl[[#This Row],[Rep_ID]],Dim_Reps!A:A,Dim_Reps!D:D)</f>
        <v>Mid-Market</v>
      </c>
      <c r="I735" t="str">
        <f>_xlfn.XLOOKUP(Quota_tbl[[#This Row],[Rep_ID]],Dim_Reps!A:A,Dim_Reps!E:E)</f>
        <v>LATAM</v>
      </c>
      <c r="J735" t="str">
        <f>_xlfn.XLOOKUP(Quota_tbl[[#This Row],[Period_Start_Date]],Dim_Date!A:A,Dim_Date!H:H)</f>
        <v>Aug 2024</v>
      </c>
    </row>
    <row r="736" spans="1:10" ht="15" customHeight="1" x14ac:dyDescent="0.2">
      <c r="A736" t="s">
        <v>267</v>
      </c>
      <c r="B736" s="49">
        <v>45536</v>
      </c>
      <c r="C736">
        <v>11</v>
      </c>
      <c r="D736" s="33">
        <v>22400</v>
      </c>
      <c r="E736" t="str">
        <f>_xlfn.XLOOKUP(Quota_tbl[[#This Row],[Rep_ID]],Dim_Reps!A:A,Dim_Reps!K:K)</f>
        <v>MXN</v>
      </c>
      <c r="F736" s="33">
        <f>(_xlfn.XLOOKUP(Quota_tbl[[#This Row],[Rate_Code_Generalized]],Lookups!A:A,Lookups!B:B)*Quota_tbl[[#This Row],[Quota_Amount_USD]])</f>
        <v>442012.48000000004</v>
      </c>
      <c r="G736" t="str">
        <f>_xlfn.XLOOKUP(Quota_tbl[[#This Row],[Rep_ID]],Dim_Reps!A:A,Dim_Reps!C:C)</f>
        <v>Mid-Market AE</v>
      </c>
      <c r="H736" t="str">
        <f>_xlfn.XLOOKUP(Quota_tbl[[#This Row],[Rep_ID]],Dim_Reps!A:A,Dim_Reps!D:D)</f>
        <v>Mid-Market</v>
      </c>
      <c r="I736" t="str">
        <f>_xlfn.XLOOKUP(Quota_tbl[[#This Row],[Rep_ID]],Dim_Reps!A:A,Dim_Reps!E:E)</f>
        <v>LATAM</v>
      </c>
      <c r="J736" t="str">
        <f>_xlfn.XLOOKUP(Quota_tbl[[#This Row],[Period_Start_Date]],Dim_Date!A:A,Dim_Date!H:H)</f>
        <v>Sep 2024</v>
      </c>
    </row>
    <row r="737" spans="1:10" ht="15" customHeight="1" x14ac:dyDescent="0.2">
      <c r="A737" t="s">
        <v>267</v>
      </c>
      <c r="B737" s="49">
        <v>45566</v>
      </c>
      <c r="C737">
        <v>12</v>
      </c>
      <c r="D737" s="33">
        <v>21000</v>
      </c>
      <c r="E737" t="str">
        <f>_xlfn.XLOOKUP(Quota_tbl[[#This Row],[Rep_ID]],Dim_Reps!A:A,Dim_Reps!K:K)</f>
        <v>MXN</v>
      </c>
      <c r="F737" s="33">
        <f>(_xlfn.XLOOKUP(Quota_tbl[[#This Row],[Rate_Code_Generalized]],Lookups!A:A,Lookups!B:B)*Quota_tbl[[#This Row],[Quota_Amount_USD]])</f>
        <v>414386.7</v>
      </c>
      <c r="G737" t="str">
        <f>_xlfn.XLOOKUP(Quota_tbl[[#This Row],[Rep_ID]],Dim_Reps!A:A,Dim_Reps!C:C)</f>
        <v>Mid-Market AE</v>
      </c>
      <c r="H737" t="str">
        <f>_xlfn.XLOOKUP(Quota_tbl[[#This Row],[Rep_ID]],Dim_Reps!A:A,Dim_Reps!D:D)</f>
        <v>Mid-Market</v>
      </c>
      <c r="I737" t="str">
        <f>_xlfn.XLOOKUP(Quota_tbl[[#This Row],[Rep_ID]],Dim_Reps!A:A,Dim_Reps!E:E)</f>
        <v>LATAM</v>
      </c>
      <c r="J737" t="str">
        <f>_xlfn.XLOOKUP(Quota_tbl[[#This Row],[Period_Start_Date]],Dim_Date!A:A,Dim_Date!H:H)</f>
        <v>Oct 2024</v>
      </c>
    </row>
    <row r="738" spans="1:10" ht="15" customHeight="1" x14ac:dyDescent="0.2">
      <c r="A738" t="s">
        <v>267</v>
      </c>
      <c r="B738" s="49">
        <v>45597</v>
      </c>
      <c r="C738">
        <v>13</v>
      </c>
      <c r="D738" s="33">
        <v>21500</v>
      </c>
      <c r="E738" t="str">
        <f>_xlfn.XLOOKUP(Quota_tbl[[#This Row],[Rep_ID]],Dim_Reps!A:A,Dim_Reps!K:K)</f>
        <v>MXN</v>
      </c>
      <c r="F738" s="33">
        <f>(_xlfn.XLOOKUP(Quota_tbl[[#This Row],[Rate_Code_Generalized]],Lookups!A:A,Lookups!B:B)*Quota_tbl[[#This Row],[Quota_Amount_USD]])</f>
        <v>424253.05000000005</v>
      </c>
      <c r="G738" t="str">
        <f>_xlfn.XLOOKUP(Quota_tbl[[#This Row],[Rep_ID]],Dim_Reps!A:A,Dim_Reps!C:C)</f>
        <v>Mid-Market AE</v>
      </c>
      <c r="H738" t="str">
        <f>_xlfn.XLOOKUP(Quota_tbl[[#This Row],[Rep_ID]],Dim_Reps!A:A,Dim_Reps!D:D)</f>
        <v>Mid-Market</v>
      </c>
      <c r="I738" t="str">
        <f>_xlfn.XLOOKUP(Quota_tbl[[#This Row],[Rep_ID]],Dim_Reps!A:A,Dim_Reps!E:E)</f>
        <v>LATAM</v>
      </c>
      <c r="J738" t="str">
        <f>_xlfn.XLOOKUP(Quota_tbl[[#This Row],[Period_Start_Date]],Dim_Date!A:A,Dim_Date!H:H)</f>
        <v>Nov 2024</v>
      </c>
    </row>
    <row r="739" spans="1:10" ht="15" customHeight="1" x14ac:dyDescent="0.2">
      <c r="A739" t="s">
        <v>267</v>
      </c>
      <c r="B739" s="49">
        <v>45627</v>
      </c>
      <c r="C739">
        <v>14</v>
      </c>
      <c r="D739" s="33">
        <v>21800</v>
      </c>
      <c r="E739" t="str">
        <f>_xlfn.XLOOKUP(Quota_tbl[[#This Row],[Rep_ID]],Dim_Reps!A:A,Dim_Reps!K:K)</f>
        <v>MXN</v>
      </c>
      <c r="F739" s="33">
        <f>(_xlfn.XLOOKUP(Quota_tbl[[#This Row],[Rate_Code_Generalized]],Lookups!A:A,Lookups!B:B)*Quota_tbl[[#This Row],[Quota_Amount_USD]])</f>
        <v>430172.86000000004</v>
      </c>
      <c r="G739" t="str">
        <f>_xlfn.XLOOKUP(Quota_tbl[[#This Row],[Rep_ID]],Dim_Reps!A:A,Dim_Reps!C:C)</f>
        <v>Mid-Market AE</v>
      </c>
      <c r="H739" t="str">
        <f>_xlfn.XLOOKUP(Quota_tbl[[#This Row],[Rep_ID]],Dim_Reps!A:A,Dim_Reps!D:D)</f>
        <v>Mid-Market</v>
      </c>
      <c r="I739" t="str">
        <f>_xlfn.XLOOKUP(Quota_tbl[[#This Row],[Rep_ID]],Dim_Reps!A:A,Dim_Reps!E:E)</f>
        <v>LATAM</v>
      </c>
      <c r="J739" t="str">
        <f>_xlfn.XLOOKUP(Quota_tbl[[#This Row],[Period_Start_Date]],Dim_Date!A:A,Dim_Date!H:H)</f>
        <v>Dec 2024</v>
      </c>
    </row>
    <row r="740" spans="1:10" ht="15" customHeight="1" x14ac:dyDescent="0.2">
      <c r="A740" t="s">
        <v>267</v>
      </c>
      <c r="B740" s="49">
        <v>45658</v>
      </c>
      <c r="C740">
        <v>15</v>
      </c>
      <c r="D740" s="33">
        <v>22000</v>
      </c>
      <c r="E740" t="str">
        <f>_xlfn.XLOOKUP(Quota_tbl[[#This Row],[Rep_ID]],Dim_Reps!A:A,Dim_Reps!K:K)</f>
        <v>MXN</v>
      </c>
      <c r="F740" s="33">
        <f>(_xlfn.XLOOKUP(Quota_tbl[[#This Row],[Rate_Code_Generalized]],Lookups!A:A,Lookups!B:B)*Quota_tbl[[#This Row],[Quota_Amount_USD]])</f>
        <v>434119.4</v>
      </c>
      <c r="G740" t="str">
        <f>_xlfn.XLOOKUP(Quota_tbl[[#This Row],[Rep_ID]],Dim_Reps!A:A,Dim_Reps!C:C)</f>
        <v>Mid-Market AE</v>
      </c>
      <c r="H740" t="str">
        <f>_xlfn.XLOOKUP(Quota_tbl[[#This Row],[Rep_ID]],Dim_Reps!A:A,Dim_Reps!D:D)</f>
        <v>Mid-Market</v>
      </c>
      <c r="I740" t="str">
        <f>_xlfn.XLOOKUP(Quota_tbl[[#This Row],[Rep_ID]],Dim_Reps!A:A,Dim_Reps!E:E)</f>
        <v>LATAM</v>
      </c>
      <c r="J740" t="str">
        <f>_xlfn.XLOOKUP(Quota_tbl[[#This Row],[Period_Start_Date]],Dim_Date!A:A,Dim_Date!H:H)</f>
        <v>Jan 2025</v>
      </c>
    </row>
    <row r="741" spans="1:10" ht="15" customHeight="1" x14ac:dyDescent="0.2">
      <c r="A741" t="s">
        <v>267</v>
      </c>
      <c r="B741" s="49">
        <v>45689</v>
      </c>
      <c r="C741">
        <v>16</v>
      </c>
      <c r="D741" s="33">
        <v>22400</v>
      </c>
      <c r="E741" t="str">
        <f>_xlfn.XLOOKUP(Quota_tbl[[#This Row],[Rep_ID]],Dim_Reps!A:A,Dim_Reps!K:K)</f>
        <v>MXN</v>
      </c>
      <c r="F741" s="33">
        <f>(_xlfn.XLOOKUP(Quota_tbl[[#This Row],[Rate_Code_Generalized]],Lookups!A:A,Lookups!B:B)*Quota_tbl[[#This Row],[Quota_Amount_USD]])</f>
        <v>442012.48000000004</v>
      </c>
      <c r="G741" t="str">
        <f>_xlfn.XLOOKUP(Quota_tbl[[#This Row],[Rep_ID]],Dim_Reps!A:A,Dim_Reps!C:C)</f>
        <v>Mid-Market AE</v>
      </c>
      <c r="H741" t="str">
        <f>_xlfn.XLOOKUP(Quota_tbl[[#This Row],[Rep_ID]],Dim_Reps!A:A,Dim_Reps!D:D)</f>
        <v>Mid-Market</v>
      </c>
      <c r="I741" t="str">
        <f>_xlfn.XLOOKUP(Quota_tbl[[#This Row],[Rep_ID]],Dim_Reps!A:A,Dim_Reps!E:E)</f>
        <v>LATAM</v>
      </c>
      <c r="J741" t="str">
        <f>_xlfn.XLOOKUP(Quota_tbl[[#This Row],[Period_Start_Date]],Dim_Date!A:A,Dim_Date!H:H)</f>
        <v>Feb 2025</v>
      </c>
    </row>
    <row r="742" spans="1:10" ht="15" customHeight="1" x14ac:dyDescent="0.2">
      <c r="A742" t="s">
        <v>267</v>
      </c>
      <c r="B742" s="49">
        <v>45717</v>
      </c>
      <c r="C742">
        <v>17</v>
      </c>
      <c r="D742" s="33">
        <v>22100</v>
      </c>
      <c r="E742" t="str">
        <f>_xlfn.XLOOKUP(Quota_tbl[[#This Row],[Rep_ID]],Dim_Reps!A:A,Dim_Reps!K:K)</f>
        <v>MXN</v>
      </c>
      <c r="F742" s="33">
        <f>(_xlfn.XLOOKUP(Quota_tbl[[#This Row],[Rate_Code_Generalized]],Lookups!A:A,Lookups!B:B)*Quota_tbl[[#This Row],[Quota_Amount_USD]])</f>
        <v>436092.67000000004</v>
      </c>
      <c r="G742" t="str">
        <f>_xlfn.XLOOKUP(Quota_tbl[[#This Row],[Rep_ID]],Dim_Reps!A:A,Dim_Reps!C:C)</f>
        <v>Mid-Market AE</v>
      </c>
      <c r="H742" t="str">
        <f>_xlfn.XLOOKUP(Quota_tbl[[#This Row],[Rep_ID]],Dim_Reps!A:A,Dim_Reps!D:D)</f>
        <v>Mid-Market</v>
      </c>
      <c r="I742" t="str">
        <f>_xlfn.XLOOKUP(Quota_tbl[[#This Row],[Rep_ID]],Dim_Reps!A:A,Dim_Reps!E:E)</f>
        <v>LATAM</v>
      </c>
      <c r="J742" t="str">
        <f>_xlfn.XLOOKUP(Quota_tbl[[#This Row],[Period_Start_Date]],Dim_Date!A:A,Dim_Date!H:H)</f>
        <v>Mar 2025</v>
      </c>
    </row>
    <row r="743" spans="1:10" ht="15" customHeight="1" x14ac:dyDescent="0.2">
      <c r="A743" t="s">
        <v>267</v>
      </c>
      <c r="B743" s="49">
        <v>45748</v>
      </c>
      <c r="C743">
        <v>18</v>
      </c>
      <c r="D743" s="33">
        <v>21100</v>
      </c>
      <c r="E743" t="str">
        <f>_xlfn.XLOOKUP(Quota_tbl[[#This Row],[Rep_ID]],Dim_Reps!A:A,Dim_Reps!K:K)</f>
        <v>MXN</v>
      </c>
      <c r="F743" s="33">
        <f>(_xlfn.XLOOKUP(Quota_tbl[[#This Row],[Rate_Code_Generalized]],Lookups!A:A,Lookups!B:B)*Quota_tbl[[#This Row],[Quota_Amount_USD]])</f>
        <v>416359.97000000003</v>
      </c>
      <c r="G743" t="str">
        <f>_xlfn.XLOOKUP(Quota_tbl[[#This Row],[Rep_ID]],Dim_Reps!A:A,Dim_Reps!C:C)</f>
        <v>Mid-Market AE</v>
      </c>
      <c r="H743" t="str">
        <f>_xlfn.XLOOKUP(Quota_tbl[[#This Row],[Rep_ID]],Dim_Reps!A:A,Dim_Reps!D:D)</f>
        <v>Mid-Market</v>
      </c>
      <c r="I743" t="str">
        <f>_xlfn.XLOOKUP(Quota_tbl[[#This Row],[Rep_ID]],Dim_Reps!A:A,Dim_Reps!E:E)</f>
        <v>LATAM</v>
      </c>
      <c r="J743" t="str">
        <f>_xlfn.XLOOKUP(Quota_tbl[[#This Row],[Period_Start_Date]],Dim_Date!A:A,Dim_Date!H:H)</f>
        <v>Apr 2025</v>
      </c>
    </row>
    <row r="744" spans="1:10" ht="15" customHeight="1" x14ac:dyDescent="0.2">
      <c r="A744" t="s">
        <v>267</v>
      </c>
      <c r="B744" s="49">
        <v>45778</v>
      </c>
      <c r="C744">
        <v>19</v>
      </c>
      <c r="D744" s="33">
        <v>22300</v>
      </c>
      <c r="E744" t="str">
        <f>_xlfn.XLOOKUP(Quota_tbl[[#This Row],[Rep_ID]],Dim_Reps!A:A,Dim_Reps!K:K)</f>
        <v>MXN</v>
      </c>
      <c r="F744" s="33">
        <f>(_xlfn.XLOOKUP(Quota_tbl[[#This Row],[Rate_Code_Generalized]],Lookups!A:A,Lookups!B:B)*Quota_tbl[[#This Row],[Quota_Amount_USD]])</f>
        <v>440039.21</v>
      </c>
      <c r="G744" t="str">
        <f>_xlfn.XLOOKUP(Quota_tbl[[#This Row],[Rep_ID]],Dim_Reps!A:A,Dim_Reps!C:C)</f>
        <v>Mid-Market AE</v>
      </c>
      <c r="H744" t="str">
        <f>_xlfn.XLOOKUP(Quota_tbl[[#This Row],[Rep_ID]],Dim_Reps!A:A,Dim_Reps!D:D)</f>
        <v>Mid-Market</v>
      </c>
      <c r="I744" t="str">
        <f>_xlfn.XLOOKUP(Quota_tbl[[#This Row],[Rep_ID]],Dim_Reps!A:A,Dim_Reps!E:E)</f>
        <v>LATAM</v>
      </c>
      <c r="J744" t="str">
        <f>_xlfn.XLOOKUP(Quota_tbl[[#This Row],[Period_Start_Date]],Dim_Date!A:A,Dim_Date!H:H)</f>
        <v>May 2025</v>
      </c>
    </row>
    <row r="745" spans="1:10" ht="15" customHeight="1" x14ac:dyDescent="0.2">
      <c r="A745" t="s">
        <v>267</v>
      </c>
      <c r="B745" s="49">
        <v>45809</v>
      </c>
      <c r="C745">
        <v>20</v>
      </c>
      <c r="D745" s="33">
        <v>22400</v>
      </c>
      <c r="E745" t="str">
        <f>_xlfn.XLOOKUP(Quota_tbl[[#This Row],[Rep_ID]],Dim_Reps!A:A,Dim_Reps!K:K)</f>
        <v>MXN</v>
      </c>
      <c r="F745" s="33">
        <f>(_xlfn.XLOOKUP(Quota_tbl[[#This Row],[Rate_Code_Generalized]],Lookups!A:A,Lookups!B:B)*Quota_tbl[[#This Row],[Quota_Amount_USD]])</f>
        <v>442012.48000000004</v>
      </c>
      <c r="G745" t="str">
        <f>_xlfn.XLOOKUP(Quota_tbl[[#This Row],[Rep_ID]],Dim_Reps!A:A,Dim_Reps!C:C)</f>
        <v>Mid-Market AE</v>
      </c>
      <c r="H745" t="str">
        <f>_xlfn.XLOOKUP(Quota_tbl[[#This Row],[Rep_ID]],Dim_Reps!A:A,Dim_Reps!D:D)</f>
        <v>Mid-Market</v>
      </c>
      <c r="I745" t="str">
        <f>_xlfn.XLOOKUP(Quota_tbl[[#This Row],[Rep_ID]],Dim_Reps!A:A,Dim_Reps!E:E)</f>
        <v>LATAM</v>
      </c>
      <c r="J745" t="str">
        <f>_xlfn.XLOOKUP(Quota_tbl[[#This Row],[Period_Start_Date]],Dim_Date!A:A,Dim_Date!H:H)</f>
        <v>Jun 2025</v>
      </c>
    </row>
    <row r="746" spans="1:10" ht="15" customHeight="1" x14ac:dyDescent="0.2">
      <c r="A746" t="s">
        <v>267</v>
      </c>
      <c r="B746" s="49">
        <v>45839</v>
      </c>
      <c r="C746">
        <v>21</v>
      </c>
      <c r="D746" s="33">
        <v>22400</v>
      </c>
      <c r="E746" t="str">
        <f>_xlfn.XLOOKUP(Quota_tbl[[#This Row],[Rep_ID]],Dim_Reps!A:A,Dim_Reps!K:K)</f>
        <v>MXN</v>
      </c>
      <c r="F746" s="33">
        <f>(_xlfn.XLOOKUP(Quota_tbl[[#This Row],[Rate_Code_Generalized]],Lookups!A:A,Lookups!B:B)*Quota_tbl[[#This Row],[Quota_Amount_USD]])</f>
        <v>442012.48000000004</v>
      </c>
      <c r="G746" t="str">
        <f>_xlfn.XLOOKUP(Quota_tbl[[#This Row],[Rep_ID]],Dim_Reps!A:A,Dim_Reps!C:C)</f>
        <v>Mid-Market AE</v>
      </c>
      <c r="H746" t="str">
        <f>_xlfn.XLOOKUP(Quota_tbl[[#This Row],[Rep_ID]],Dim_Reps!A:A,Dim_Reps!D:D)</f>
        <v>Mid-Market</v>
      </c>
      <c r="I746" t="str">
        <f>_xlfn.XLOOKUP(Quota_tbl[[#This Row],[Rep_ID]],Dim_Reps!A:A,Dim_Reps!E:E)</f>
        <v>LATAM</v>
      </c>
      <c r="J746" t="str">
        <f>_xlfn.XLOOKUP(Quota_tbl[[#This Row],[Period_Start_Date]],Dim_Date!A:A,Dim_Date!H:H)</f>
        <v>Jul 2025</v>
      </c>
    </row>
    <row r="747" spans="1:10" ht="15" customHeight="1" x14ac:dyDescent="0.2">
      <c r="A747" t="s">
        <v>267</v>
      </c>
      <c r="B747" s="49">
        <v>45870</v>
      </c>
      <c r="C747">
        <v>22</v>
      </c>
      <c r="D747" s="33">
        <v>22700</v>
      </c>
      <c r="E747" t="str">
        <f>_xlfn.XLOOKUP(Quota_tbl[[#This Row],[Rep_ID]],Dim_Reps!A:A,Dim_Reps!K:K)</f>
        <v>MXN</v>
      </c>
      <c r="F747" s="33">
        <f>(_xlfn.XLOOKUP(Quota_tbl[[#This Row],[Rate_Code_Generalized]],Lookups!A:A,Lookups!B:B)*Quota_tbl[[#This Row],[Quota_Amount_USD]])</f>
        <v>447932.29000000004</v>
      </c>
      <c r="G747" t="str">
        <f>_xlfn.XLOOKUP(Quota_tbl[[#This Row],[Rep_ID]],Dim_Reps!A:A,Dim_Reps!C:C)</f>
        <v>Mid-Market AE</v>
      </c>
      <c r="H747" t="str">
        <f>_xlfn.XLOOKUP(Quota_tbl[[#This Row],[Rep_ID]],Dim_Reps!A:A,Dim_Reps!D:D)</f>
        <v>Mid-Market</v>
      </c>
      <c r="I747" t="str">
        <f>_xlfn.XLOOKUP(Quota_tbl[[#This Row],[Rep_ID]],Dim_Reps!A:A,Dim_Reps!E:E)</f>
        <v>LATAM</v>
      </c>
      <c r="J747" t="str">
        <f>_xlfn.XLOOKUP(Quota_tbl[[#This Row],[Period_Start_Date]],Dim_Date!A:A,Dim_Date!H:H)</f>
        <v>Aug 2025</v>
      </c>
    </row>
    <row r="748" spans="1:10" ht="15" customHeight="1" x14ac:dyDescent="0.2">
      <c r="A748" t="s">
        <v>267</v>
      </c>
      <c r="B748" s="49">
        <v>45901</v>
      </c>
      <c r="C748">
        <v>23</v>
      </c>
      <c r="D748" s="33">
        <v>22600</v>
      </c>
      <c r="E748" t="str">
        <f>_xlfn.XLOOKUP(Quota_tbl[[#This Row],[Rep_ID]],Dim_Reps!A:A,Dim_Reps!K:K)</f>
        <v>MXN</v>
      </c>
      <c r="F748" s="33">
        <f>(_xlfn.XLOOKUP(Quota_tbl[[#This Row],[Rate_Code_Generalized]],Lookups!A:A,Lookups!B:B)*Quota_tbl[[#This Row],[Quota_Amount_USD]])</f>
        <v>445959.02</v>
      </c>
      <c r="G748" t="str">
        <f>_xlfn.XLOOKUP(Quota_tbl[[#This Row],[Rep_ID]],Dim_Reps!A:A,Dim_Reps!C:C)</f>
        <v>Mid-Market AE</v>
      </c>
      <c r="H748" t="str">
        <f>_xlfn.XLOOKUP(Quota_tbl[[#This Row],[Rep_ID]],Dim_Reps!A:A,Dim_Reps!D:D)</f>
        <v>Mid-Market</v>
      </c>
      <c r="I748" t="str">
        <f>_xlfn.XLOOKUP(Quota_tbl[[#This Row],[Rep_ID]],Dim_Reps!A:A,Dim_Reps!E:E)</f>
        <v>LATAM</v>
      </c>
      <c r="J748" t="str">
        <f>_xlfn.XLOOKUP(Quota_tbl[[#This Row],[Period_Start_Date]],Dim_Date!A:A,Dim_Date!H:H)</f>
        <v>Sep 2025</v>
      </c>
    </row>
    <row r="749" spans="1:10" ht="15" customHeight="1" x14ac:dyDescent="0.2">
      <c r="A749" t="s">
        <v>267</v>
      </c>
      <c r="B749" s="49">
        <v>45931</v>
      </c>
      <c r="C749">
        <v>24</v>
      </c>
      <c r="D749" s="33">
        <v>22300</v>
      </c>
      <c r="E749" t="str">
        <f>_xlfn.XLOOKUP(Quota_tbl[[#This Row],[Rep_ID]],Dim_Reps!A:A,Dim_Reps!K:K)</f>
        <v>MXN</v>
      </c>
      <c r="F749" s="33">
        <f>(_xlfn.XLOOKUP(Quota_tbl[[#This Row],[Rate_Code_Generalized]],Lookups!A:A,Lookups!B:B)*Quota_tbl[[#This Row],[Quota_Amount_USD]])</f>
        <v>440039.21</v>
      </c>
      <c r="G749" t="str">
        <f>_xlfn.XLOOKUP(Quota_tbl[[#This Row],[Rep_ID]],Dim_Reps!A:A,Dim_Reps!C:C)</f>
        <v>Mid-Market AE</v>
      </c>
      <c r="H749" t="str">
        <f>_xlfn.XLOOKUP(Quota_tbl[[#This Row],[Rep_ID]],Dim_Reps!A:A,Dim_Reps!D:D)</f>
        <v>Mid-Market</v>
      </c>
      <c r="I749" t="str">
        <f>_xlfn.XLOOKUP(Quota_tbl[[#This Row],[Rep_ID]],Dim_Reps!A:A,Dim_Reps!E:E)</f>
        <v>LATAM</v>
      </c>
      <c r="J749" t="str">
        <f>_xlfn.XLOOKUP(Quota_tbl[[#This Row],[Period_Start_Date]],Dim_Date!A:A,Dim_Date!H:H)</f>
        <v>Oct 2025</v>
      </c>
    </row>
    <row r="750" spans="1:10" ht="15" customHeight="1" x14ac:dyDescent="0.2">
      <c r="A750" t="s">
        <v>267</v>
      </c>
      <c r="B750" s="49">
        <v>45962</v>
      </c>
      <c r="C750">
        <v>25</v>
      </c>
      <c r="D750" s="33">
        <v>22000</v>
      </c>
      <c r="E750" t="str">
        <f>_xlfn.XLOOKUP(Quota_tbl[[#This Row],[Rep_ID]],Dim_Reps!A:A,Dim_Reps!K:K)</f>
        <v>MXN</v>
      </c>
      <c r="F750" s="33">
        <f>(_xlfn.XLOOKUP(Quota_tbl[[#This Row],[Rate_Code_Generalized]],Lookups!A:A,Lookups!B:B)*Quota_tbl[[#This Row],[Quota_Amount_USD]])</f>
        <v>434119.4</v>
      </c>
      <c r="G750" t="str">
        <f>_xlfn.XLOOKUP(Quota_tbl[[#This Row],[Rep_ID]],Dim_Reps!A:A,Dim_Reps!C:C)</f>
        <v>Mid-Market AE</v>
      </c>
      <c r="H750" t="str">
        <f>_xlfn.XLOOKUP(Quota_tbl[[#This Row],[Rep_ID]],Dim_Reps!A:A,Dim_Reps!D:D)</f>
        <v>Mid-Market</v>
      </c>
      <c r="I750" t="str">
        <f>_xlfn.XLOOKUP(Quota_tbl[[#This Row],[Rep_ID]],Dim_Reps!A:A,Dim_Reps!E:E)</f>
        <v>LATAM</v>
      </c>
      <c r="J750" t="str">
        <f>_xlfn.XLOOKUP(Quota_tbl[[#This Row],[Period_Start_Date]],Dim_Date!A:A,Dim_Date!H:H)</f>
        <v>Nov 2025</v>
      </c>
    </row>
    <row r="751" spans="1:10" ht="15" customHeight="1" x14ac:dyDescent="0.2">
      <c r="A751" t="s">
        <v>267</v>
      </c>
      <c r="B751" s="49">
        <v>45992</v>
      </c>
      <c r="C751">
        <v>26</v>
      </c>
      <c r="D751" s="33">
        <v>20900</v>
      </c>
      <c r="E751" t="str">
        <f>_xlfn.XLOOKUP(Quota_tbl[[#This Row],[Rep_ID]],Dim_Reps!A:A,Dim_Reps!K:K)</f>
        <v>MXN</v>
      </c>
      <c r="F751" s="33">
        <f>(_xlfn.XLOOKUP(Quota_tbl[[#This Row],[Rate_Code_Generalized]],Lookups!A:A,Lookups!B:B)*Quota_tbl[[#This Row],[Quota_Amount_USD]])</f>
        <v>412413.43000000005</v>
      </c>
      <c r="G751" t="str">
        <f>_xlfn.XLOOKUP(Quota_tbl[[#This Row],[Rep_ID]],Dim_Reps!A:A,Dim_Reps!C:C)</f>
        <v>Mid-Market AE</v>
      </c>
      <c r="H751" t="str">
        <f>_xlfn.XLOOKUP(Quota_tbl[[#This Row],[Rep_ID]],Dim_Reps!A:A,Dim_Reps!D:D)</f>
        <v>Mid-Market</v>
      </c>
      <c r="I751" t="str">
        <f>_xlfn.XLOOKUP(Quota_tbl[[#This Row],[Rep_ID]],Dim_Reps!A:A,Dim_Reps!E:E)</f>
        <v>LATAM</v>
      </c>
      <c r="J751" t="str">
        <f>_xlfn.XLOOKUP(Quota_tbl[[#This Row],[Period_Start_Date]],Dim_Date!A:A,Dim_Date!H:H)</f>
        <v>Dec 2025</v>
      </c>
    </row>
    <row r="752" spans="1:10" ht="15" customHeight="1" x14ac:dyDescent="0.2">
      <c r="A752" t="s">
        <v>235</v>
      </c>
      <c r="B752" s="49">
        <v>45292</v>
      </c>
      <c r="C752">
        <v>12</v>
      </c>
      <c r="D752" s="33">
        <v>15700</v>
      </c>
      <c r="E752" t="str">
        <f>_xlfn.XLOOKUP(Quota_tbl[[#This Row],[Rep_ID]],Dim_Reps!A:A,Dim_Reps!K:K)</f>
        <v>MXN</v>
      </c>
      <c r="F752" s="33">
        <f>(_xlfn.XLOOKUP(Quota_tbl[[#This Row],[Rate_Code_Generalized]],Lookups!A:A,Lookups!B:B)*Quota_tbl[[#This Row],[Quota_Amount_USD]])</f>
        <v>309803.39</v>
      </c>
      <c r="G752" t="str">
        <f>_xlfn.XLOOKUP(Quota_tbl[[#This Row],[Rep_ID]],Dim_Reps!A:A,Dim_Reps!C:C)</f>
        <v>SDR / Inside Sales Rep</v>
      </c>
      <c r="H752" t="str">
        <f>_xlfn.XLOOKUP(Quota_tbl[[#This Row],[Rep_ID]],Dim_Reps!A:A,Dim_Reps!D:D)</f>
        <v>Inside Sales</v>
      </c>
      <c r="I752" t="str">
        <f>_xlfn.XLOOKUP(Quota_tbl[[#This Row],[Rep_ID]],Dim_Reps!A:A,Dim_Reps!E:E)</f>
        <v>LATAM</v>
      </c>
      <c r="J752" t="str">
        <f>_xlfn.XLOOKUP(Quota_tbl[[#This Row],[Period_Start_Date]],Dim_Date!A:A,Dim_Date!H:H)</f>
        <v>Jan 2024</v>
      </c>
    </row>
    <row r="753" spans="1:10" ht="15" customHeight="1" x14ac:dyDescent="0.2">
      <c r="A753" t="s">
        <v>235</v>
      </c>
      <c r="B753" s="49">
        <v>45323</v>
      </c>
      <c r="C753">
        <v>13</v>
      </c>
      <c r="D753" s="33">
        <v>15600</v>
      </c>
      <c r="E753" t="str">
        <f>_xlfn.XLOOKUP(Quota_tbl[[#This Row],[Rep_ID]],Dim_Reps!A:A,Dim_Reps!K:K)</f>
        <v>MXN</v>
      </c>
      <c r="F753" s="33">
        <f>(_xlfn.XLOOKUP(Quota_tbl[[#This Row],[Rate_Code_Generalized]],Lookups!A:A,Lookups!B:B)*Quota_tbl[[#This Row],[Quota_Amount_USD]])</f>
        <v>307830.12</v>
      </c>
      <c r="G753" t="str">
        <f>_xlfn.XLOOKUP(Quota_tbl[[#This Row],[Rep_ID]],Dim_Reps!A:A,Dim_Reps!C:C)</f>
        <v>SDR / Inside Sales Rep</v>
      </c>
      <c r="H753" t="str">
        <f>_xlfn.XLOOKUP(Quota_tbl[[#This Row],[Rep_ID]],Dim_Reps!A:A,Dim_Reps!D:D)</f>
        <v>Inside Sales</v>
      </c>
      <c r="I753" t="str">
        <f>_xlfn.XLOOKUP(Quota_tbl[[#This Row],[Rep_ID]],Dim_Reps!A:A,Dim_Reps!E:E)</f>
        <v>LATAM</v>
      </c>
      <c r="J753" t="str">
        <f>_xlfn.XLOOKUP(Quota_tbl[[#This Row],[Period_Start_Date]],Dim_Date!A:A,Dim_Date!H:H)</f>
        <v>Feb 2024</v>
      </c>
    </row>
    <row r="754" spans="1:10" ht="15" customHeight="1" x14ac:dyDescent="0.2">
      <c r="A754" t="s">
        <v>235</v>
      </c>
      <c r="B754" s="49">
        <v>45352</v>
      </c>
      <c r="C754">
        <v>14</v>
      </c>
      <c r="D754" s="33">
        <v>15600</v>
      </c>
      <c r="E754" t="str">
        <f>_xlfn.XLOOKUP(Quota_tbl[[#This Row],[Rep_ID]],Dim_Reps!A:A,Dim_Reps!K:K)</f>
        <v>MXN</v>
      </c>
      <c r="F754" s="33">
        <f>(_xlfn.XLOOKUP(Quota_tbl[[#This Row],[Rate_Code_Generalized]],Lookups!A:A,Lookups!B:B)*Quota_tbl[[#This Row],[Quota_Amount_USD]])</f>
        <v>307830.12</v>
      </c>
      <c r="G754" t="str">
        <f>_xlfn.XLOOKUP(Quota_tbl[[#This Row],[Rep_ID]],Dim_Reps!A:A,Dim_Reps!C:C)</f>
        <v>SDR / Inside Sales Rep</v>
      </c>
      <c r="H754" t="str">
        <f>_xlfn.XLOOKUP(Quota_tbl[[#This Row],[Rep_ID]],Dim_Reps!A:A,Dim_Reps!D:D)</f>
        <v>Inside Sales</v>
      </c>
      <c r="I754" t="str">
        <f>_xlfn.XLOOKUP(Quota_tbl[[#This Row],[Rep_ID]],Dim_Reps!A:A,Dim_Reps!E:E)</f>
        <v>LATAM</v>
      </c>
      <c r="J754" t="str">
        <f>_xlfn.XLOOKUP(Quota_tbl[[#This Row],[Period_Start_Date]],Dim_Date!A:A,Dim_Date!H:H)</f>
        <v>Mar 2024</v>
      </c>
    </row>
    <row r="755" spans="1:10" ht="15" customHeight="1" x14ac:dyDescent="0.2">
      <c r="A755" t="s">
        <v>235</v>
      </c>
      <c r="B755" s="49">
        <v>45383</v>
      </c>
      <c r="C755">
        <v>15</v>
      </c>
      <c r="D755" s="33">
        <v>14900</v>
      </c>
      <c r="E755" t="str">
        <f>_xlfn.XLOOKUP(Quota_tbl[[#This Row],[Rep_ID]],Dim_Reps!A:A,Dim_Reps!K:K)</f>
        <v>MXN</v>
      </c>
      <c r="F755" s="33">
        <f>(_xlfn.XLOOKUP(Quota_tbl[[#This Row],[Rate_Code_Generalized]],Lookups!A:A,Lookups!B:B)*Quota_tbl[[#This Row],[Quota_Amount_USD]])</f>
        <v>294017.23000000004</v>
      </c>
      <c r="G755" t="str">
        <f>_xlfn.XLOOKUP(Quota_tbl[[#This Row],[Rep_ID]],Dim_Reps!A:A,Dim_Reps!C:C)</f>
        <v>SDR / Inside Sales Rep</v>
      </c>
      <c r="H755" t="str">
        <f>_xlfn.XLOOKUP(Quota_tbl[[#This Row],[Rep_ID]],Dim_Reps!A:A,Dim_Reps!D:D)</f>
        <v>Inside Sales</v>
      </c>
      <c r="I755" t="str">
        <f>_xlfn.XLOOKUP(Quota_tbl[[#This Row],[Rep_ID]],Dim_Reps!A:A,Dim_Reps!E:E)</f>
        <v>LATAM</v>
      </c>
      <c r="J755" t="str">
        <f>_xlfn.XLOOKUP(Quota_tbl[[#This Row],[Period_Start_Date]],Dim_Date!A:A,Dim_Date!H:H)</f>
        <v>Apr 2024</v>
      </c>
    </row>
    <row r="756" spans="1:10" ht="15" customHeight="1" x14ac:dyDescent="0.2">
      <c r="A756" t="s">
        <v>235</v>
      </c>
      <c r="B756" s="49">
        <v>45413</v>
      </c>
      <c r="C756">
        <v>16</v>
      </c>
      <c r="D756" s="33">
        <v>15000</v>
      </c>
      <c r="E756" t="str">
        <f>_xlfn.XLOOKUP(Quota_tbl[[#This Row],[Rep_ID]],Dim_Reps!A:A,Dim_Reps!K:K)</f>
        <v>MXN</v>
      </c>
      <c r="F756" s="33">
        <f>(_xlfn.XLOOKUP(Quota_tbl[[#This Row],[Rate_Code_Generalized]],Lookups!A:A,Lookups!B:B)*Quota_tbl[[#This Row],[Quota_Amount_USD]])</f>
        <v>295990.5</v>
      </c>
      <c r="G756" t="str">
        <f>_xlfn.XLOOKUP(Quota_tbl[[#This Row],[Rep_ID]],Dim_Reps!A:A,Dim_Reps!C:C)</f>
        <v>SDR / Inside Sales Rep</v>
      </c>
      <c r="H756" t="str">
        <f>_xlfn.XLOOKUP(Quota_tbl[[#This Row],[Rep_ID]],Dim_Reps!A:A,Dim_Reps!D:D)</f>
        <v>Inside Sales</v>
      </c>
      <c r="I756" t="str">
        <f>_xlfn.XLOOKUP(Quota_tbl[[#This Row],[Rep_ID]],Dim_Reps!A:A,Dim_Reps!E:E)</f>
        <v>LATAM</v>
      </c>
      <c r="J756" t="str">
        <f>_xlfn.XLOOKUP(Quota_tbl[[#This Row],[Period_Start_Date]],Dim_Date!A:A,Dim_Date!H:H)</f>
        <v>May 2024</v>
      </c>
    </row>
    <row r="757" spans="1:10" ht="15" customHeight="1" x14ac:dyDescent="0.2">
      <c r="A757" t="s">
        <v>235</v>
      </c>
      <c r="B757" s="49">
        <v>45444</v>
      </c>
      <c r="C757">
        <v>17</v>
      </c>
      <c r="D757" s="33">
        <v>16000</v>
      </c>
      <c r="E757" t="str">
        <f>_xlfn.XLOOKUP(Quota_tbl[[#This Row],[Rep_ID]],Dim_Reps!A:A,Dim_Reps!K:K)</f>
        <v>MXN</v>
      </c>
      <c r="F757" s="33">
        <f>(_xlfn.XLOOKUP(Quota_tbl[[#This Row],[Rate_Code_Generalized]],Lookups!A:A,Lookups!B:B)*Quota_tbl[[#This Row],[Quota_Amount_USD]])</f>
        <v>315723.2</v>
      </c>
      <c r="G757" t="str">
        <f>_xlfn.XLOOKUP(Quota_tbl[[#This Row],[Rep_ID]],Dim_Reps!A:A,Dim_Reps!C:C)</f>
        <v>SDR / Inside Sales Rep</v>
      </c>
      <c r="H757" t="str">
        <f>_xlfn.XLOOKUP(Quota_tbl[[#This Row],[Rep_ID]],Dim_Reps!A:A,Dim_Reps!D:D)</f>
        <v>Inside Sales</v>
      </c>
      <c r="I757" t="str">
        <f>_xlfn.XLOOKUP(Quota_tbl[[#This Row],[Rep_ID]],Dim_Reps!A:A,Dim_Reps!E:E)</f>
        <v>LATAM</v>
      </c>
      <c r="J757" t="str">
        <f>_xlfn.XLOOKUP(Quota_tbl[[#This Row],[Period_Start_Date]],Dim_Date!A:A,Dim_Date!H:H)</f>
        <v>Jun 2024</v>
      </c>
    </row>
    <row r="758" spans="1:10" ht="15" customHeight="1" x14ac:dyDescent="0.2">
      <c r="A758" t="s">
        <v>235</v>
      </c>
      <c r="B758" s="49">
        <v>45474</v>
      </c>
      <c r="C758">
        <v>18</v>
      </c>
      <c r="D758" s="33">
        <v>15500</v>
      </c>
      <c r="E758" t="str">
        <f>_xlfn.XLOOKUP(Quota_tbl[[#This Row],[Rep_ID]],Dim_Reps!A:A,Dim_Reps!K:K)</f>
        <v>MXN</v>
      </c>
      <c r="F758" s="33">
        <f>(_xlfn.XLOOKUP(Quota_tbl[[#This Row],[Rate_Code_Generalized]],Lookups!A:A,Lookups!B:B)*Quota_tbl[[#This Row],[Quota_Amount_USD]])</f>
        <v>305856.85000000003</v>
      </c>
      <c r="G758" t="str">
        <f>_xlfn.XLOOKUP(Quota_tbl[[#This Row],[Rep_ID]],Dim_Reps!A:A,Dim_Reps!C:C)</f>
        <v>SDR / Inside Sales Rep</v>
      </c>
      <c r="H758" t="str">
        <f>_xlfn.XLOOKUP(Quota_tbl[[#This Row],[Rep_ID]],Dim_Reps!A:A,Dim_Reps!D:D)</f>
        <v>Inside Sales</v>
      </c>
      <c r="I758" t="str">
        <f>_xlfn.XLOOKUP(Quota_tbl[[#This Row],[Rep_ID]],Dim_Reps!A:A,Dim_Reps!E:E)</f>
        <v>LATAM</v>
      </c>
      <c r="J758" t="str">
        <f>_xlfn.XLOOKUP(Quota_tbl[[#This Row],[Period_Start_Date]],Dim_Date!A:A,Dim_Date!H:H)</f>
        <v>Jul 2024</v>
      </c>
    </row>
    <row r="759" spans="1:10" ht="15" customHeight="1" x14ac:dyDescent="0.2">
      <c r="A759" t="s">
        <v>235</v>
      </c>
      <c r="B759" s="49">
        <v>45505</v>
      </c>
      <c r="C759">
        <v>19</v>
      </c>
      <c r="D759" s="33">
        <v>15800</v>
      </c>
      <c r="E759" t="str">
        <f>_xlfn.XLOOKUP(Quota_tbl[[#This Row],[Rep_ID]],Dim_Reps!A:A,Dim_Reps!K:K)</f>
        <v>MXN</v>
      </c>
      <c r="F759" s="33">
        <f>(_xlfn.XLOOKUP(Quota_tbl[[#This Row],[Rate_Code_Generalized]],Lookups!A:A,Lookups!B:B)*Quota_tbl[[#This Row],[Quota_Amount_USD]])</f>
        <v>311776.66000000003</v>
      </c>
      <c r="G759" t="str">
        <f>_xlfn.XLOOKUP(Quota_tbl[[#This Row],[Rep_ID]],Dim_Reps!A:A,Dim_Reps!C:C)</f>
        <v>SDR / Inside Sales Rep</v>
      </c>
      <c r="H759" t="str">
        <f>_xlfn.XLOOKUP(Quota_tbl[[#This Row],[Rep_ID]],Dim_Reps!A:A,Dim_Reps!D:D)</f>
        <v>Inside Sales</v>
      </c>
      <c r="I759" t="str">
        <f>_xlfn.XLOOKUP(Quota_tbl[[#This Row],[Rep_ID]],Dim_Reps!A:A,Dim_Reps!E:E)</f>
        <v>LATAM</v>
      </c>
      <c r="J759" t="str">
        <f>_xlfn.XLOOKUP(Quota_tbl[[#This Row],[Period_Start_Date]],Dim_Date!A:A,Dim_Date!H:H)</f>
        <v>Aug 2024</v>
      </c>
    </row>
    <row r="760" spans="1:10" ht="15" customHeight="1" x14ac:dyDescent="0.2">
      <c r="A760" t="s">
        <v>235</v>
      </c>
      <c r="B760" s="49">
        <v>45536</v>
      </c>
      <c r="C760">
        <v>20</v>
      </c>
      <c r="D760" s="33">
        <v>15500</v>
      </c>
      <c r="E760" t="str">
        <f>_xlfn.XLOOKUP(Quota_tbl[[#This Row],[Rep_ID]],Dim_Reps!A:A,Dim_Reps!K:K)</f>
        <v>MXN</v>
      </c>
      <c r="F760" s="33">
        <f>(_xlfn.XLOOKUP(Quota_tbl[[#This Row],[Rate_Code_Generalized]],Lookups!A:A,Lookups!B:B)*Quota_tbl[[#This Row],[Quota_Amount_USD]])</f>
        <v>305856.85000000003</v>
      </c>
      <c r="G760" t="str">
        <f>_xlfn.XLOOKUP(Quota_tbl[[#This Row],[Rep_ID]],Dim_Reps!A:A,Dim_Reps!C:C)</f>
        <v>SDR / Inside Sales Rep</v>
      </c>
      <c r="H760" t="str">
        <f>_xlfn.XLOOKUP(Quota_tbl[[#This Row],[Rep_ID]],Dim_Reps!A:A,Dim_Reps!D:D)</f>
        <v>Inside Sales</v>
      </c>
      <c r="I760" t="str">
        <f>_xlfn.XLOOKUP(Quota_tbl[[#This Row],[Rep_ID]],Dim_Reps!A:A,Dim_Reps!E:E)</f>
        <v>LATAM</v>
      </c>
      <c r="J760" t="str">
        <f>_xlfn.XLOOKUP(Quota_tbl[[#This Row],[Period_Start_Date]],Dim_Date!A:A,Dim_Date!H:H)</f>
        <v>Sep 2024</v>
      </c>
    </row>
    <row r="761" spans="1:10" ht="15" customHeight="1" x14ac:dyDescent="0.2">
      <c r="A761" t="s">
        <v>235</v>
      </c>
      <c r="B761" s="49">
        <v>45566</v>
      </c>
      <c r="C761">
        <v>21</v>
      </c>
      <c r="D761" s="33">
        <v>15500</v>
      </c>
      <c r="E761" t="str">
        <f>_xlfn.XLOOKUP(Quota_tbl[[#This Row],[Rep_ID]],Dim_Reps!A:A,Dim_Reps!K:K)</f>
        <v>MXN</v>
      </c>
      <c r="F761" s="33">
        <f>(_xlfn.XLOOKUP(Quota_tbl[[#This Row],[Rate_Code_Generalized]],Lookups!A:A,Lookups!B:B)*Quota_tbl[[#This Row],[Quota_Amount_USD]])</f>
        <v>305856.85000000003</v>
      </c>
      <c r="G761" t="str">
        <f>_xlfn.XLOOKUP(Quota_tbl[[#This Row],[Rep_ID]],Dim_Reps!A:A,Dim_Reps!C:C)</f>
        <v>SDR / Inside Sales Rep</v>
      </c>
      <c r="H761" t="str">
        <f>_xlfn.XLOOKUP(Quota_tbl[[#This Row],[Rep_ID]],Dim_Reps!A:A,Dim_Reps!D:D)</f>
        <v>Inside Sales</v>
      </c>
      <c r="I761" t="str">
        <f>_xlfn.XLOOKUP(Quota_tbl[[#This Row],[Rep_ID]],Dim_Reps!A:A,Dim_Reps!E:E)</f>
        <v>LATAM</v>
      </c>
      <c r="J761" t="str">
        <f>_xlfn.XLOOKUP(Quota_tbl[[#This Row],[Period_Start_Date]],Dim_Date!A:A,Dim_Date!H:H)</f>
        <v>Oct 2024</v>
      </c>
    </row>
    <row r="762" spans="1:10" ht="15" customHeight="1" x14ac:dyDescent="0.2">
      <c r="A762" t="s">
        <v>235</v>
      </c>
      <c r="B762" s="49">
        <v>45597</v>
      </c>
      <c r="C762">
        <v>22</v>
      </c>
      <c r="D762" s="33">
        <v>15900</v>
      </c>
      <c r="E762" t="str">
        <f>_xlfn.XLOOKUP(Quota_tbl[[#This Row],[Rep_ID]],Dim_Reps!A:A,Dim_Reps!K:K)</f>
        <v>MXN</v>
      </c>
      <c r="F762" s="33">
        <f>(_xlfn.XLOOKUP(Quota_tbl[[#This Row],[Rate_Code_Generalized]],Lookups!A:A,Lookups!B:B)*Quota_tbl[[#This Row],[Quota_Amount_USD]])</f>
        <v>313749.93</v>
      </c>
      <c r="G762" t="str">
        <f>_xlfn.XLOOKUP(Quota_tbl[[#This Row],[Rep_ID]],Dim_Reps!A:A,Dim_Reps!C:C)</f>
        <v>SDR / Inside Sales Rep</v>
      </c>
      <c r="H762" t="str">
        <f>_xlfn.XLOOKUP(Quota_tbl[[#This Row],[Rep_ID]],Dim_Reps!A:A,Dim_Reps!D:D)</f>
        <v>Inside Sales</v>
      </c>
      <c r="I762" t="str">
        <f>_xlfn.XLOOKUP(Quota_tbl[[#This Row],[Rep_ID]],Dim_Reps!A:A,Dim_Reps!E:E)</f>
        <v>LATAM</v>
      </c>
      <c r="J762" t="str">
        <f>_xlfn.XLOOKUP(Quota_tbl[[#This Row],[Period_Start_Date]],Dim_Date!A:A,Dim_Date!H:H)</f>
        <v>Nov 2024</v>
      </c>
    </row>
    <row r="763" spans="1:10" ht="15" customHeight="1" x14ac:dyDescent="0.2">
      <c r="A763" t="s">
        <v>235</v>
      </c>
      <c r="B763" s="49">
        <v>45627</v>
      </c>
      <c r="C763">
        <v>23</v>
      </c>
      <c r="D763" s="33">
        <v>15300</v>
      </c>
      <c r="E763" t="str">
        <f>_xlfn.XLOOKUP(Quota_tbl[[#This Row],[Rep_ID]],Dim_Reps!A:A,Dim_Reps!K:K)</f>
        <v>MXN</v>
      </c>
      <c r="F763" s="33">
        <f>(_xlfn.XLOOKUP(Quota_tbl[[#This Row],[Rate_Code_Generalized]],Lookups!A:A,Lookups!B:B)*Quota_tbl[[#This Row],[Quota_Amount_USD]])</f>
        <v>301910.31</v>
      </c>
      <c r="G763" t="str">
        <f>_xlfn.XLOOKUP(Quota_tbl[[#This Row],[Rep_ID]],Dim_Reps!A:A,Dim_Reps!C:C)</f>
        <v>SDR / Inside Sales Rep</v>
      </c>
      <c r="H763" t="str">
        <f>_xlfn.XLOOKUP(Quota_tbl[[#This Row],[Rep_ID]],Dim_Reps!A:A,Dim_Reps!D:D)</f>
        <v>Inside Sales</v>
      </c>
      <c r="I763" t="str">
        <f>_xlfn.XLOOKUP(Quota_tbl[[#This Row],[Rep_ID]],Dim_Reps!A:A,Dim_Reps!E:E)</f>
        <v>LATAM</v>
      </c>
      <c r="J763" t="str">
        <f>_xlfn.XLOOKUP(Quota_tbl[[#This Row],[Period_Start_Date]],Dim_Date!A:A,Dim_Date!H:H)</f>
        <v>Dec 2024</v>
      </c>
    </row>
    <row r="764" spans="1:10" ht="15" customHeight="1" x14ac:dyDescent="0.2">
      <c r="A764" t="s">
        <v>235</v>
      </c>
      <c r="B764" s="49">
        <v>45658</v>
      </c>
      <c r="C764">
        <v>24</v>
      </c>
      <c r="D764" s="33">
        <v>15500</v>
      </c>
      <c r="E764" t="str">
        <f>_xlfn.XLOOKUP(Quota_tbl[[#This Row],[Rep_ID]],Dim_Reps!A:A,Dim_Reps!K:K)</f>
        <v>MXN</v>
      </c>
      <c r="F764" s="33">
        <f>(_xlfn.XLOOKUP(Quota_tbl[[#This Row],[Rate_Code_Generalized]],Lookups!A:A,Lookups!B:B)*Quota_tbl[[#This Row],[Quota_Amount_USD]])</f>
        <v>305856.85000000003</v>
      </c>
      <c r="G764" t="str">
        <f>_xlfn.XLOOKUP(Quota_tbl[[#This Row],[Rep_ID]],Dim_Reps!A:A,Dim_Reps!C:C)</f>
        <v>SDR / Inside Sales Rep</v>
      </c>
      <c r="H764" t="str">
        <f>_xlfn.XLOOKUP(Quota_tbl[[#This Row],[Rep_ID]],Dim_Reps!A:A,Dim_Reps!D:D)</f>
        <v>Inside Sales</v>
      </c>
      <c r="I764" t="str">
        <f>_xlfn.XLOOKUP(Quota_tbl[[#This Row],[Rep_ID]],Dim_Reps!A:A,Dim_Reps!E:E)</f>
        <v>LATAM</v>
      </c>
      <c r="J764" t="str">
        <f>_xlfn.XLOOKUP(Quota_tbl[[#This Row],[Period_Start_Date]],Dim_Date!A:A,Dim_Date!H:H)</f>
        <v>Jan 2025</v>
      </c>
    </row>
    <row r="765" spans="1:10" ht="15" customHeight="1" x14ac:dyDescent="0.2">
      <c r="A765" t="s">
        <v>235</v>
      </c>
      <c r="B765" s="49">
        <v>45689</v>
      </c>
      <c r="C765">
        <v>25</v>
      </c>
      <c r="D765" s="33">
        <v>15300</v>
      </c>
      <c r="E765" t="str">
        <f>_xlfn.XLOOKUP(Quota_tbl[[#This Row],[Rep_ID]],Dim_Reps!A:A,Dim_Reps!K:K)</f>
        <v>MXN</v>
      </c>
      <c r="F765" s="33">
        <f>(_xlfn.XLOOKUP(Quota_tbl[[#This Row],[Rate_Code_Generalized]],Lookups!A:A,Lookups!B:B)*Quota_tbl[[#This Row],[Quota_Amount_USD]])</f>
        <v>301910.31</v>
      </c>
      <c r="G765" t="str">
        <f>_xlfn.XLOOKUP(Quota_tbl[[#This Row],[Rep_ID]],Dim_Reps!A:A,Dim_Reps!C:C)</f>
        <v>SDR / Inside Sales Rep</v>
      </c>
      <c r="H765" t="str">
        <f>_xlfn.XLOOKUP(Quota_tbl[[#This Row],[Rep_ID]],Dim_Reps!A:A,Dim_Reps!D:D)</f>
        <v>Inside Sales</v>
      </c>
      <c r="I765" t="str">
        <f>_xlfn.XLOOKUP(Quota_tbl[[#This Row],[Rep_ID]],Dim_Reps!A:A,Dim_Reps!E:E)</f>
        <v>LATAM</v>
      </c>
      <c r="J765" t="str">
        <f>_xlfn.XLOOKUP(Quota_tbl[[#This Row],[Period_Start_Date]],Dim_Date!A:A,Dim_Date!H:H)</f>
        <v>Feb 2025</v>
      </c>
    </row>
    <row r="766" spans="1:10" ht="15" customHeight="1" x14ac:dyDescent="0.2">
      <c r="A766" t="s">
        <v>235</v>
      </c>
      <c r="B766" s="49">
        <v>45717</v>
      </c>
      <c r="C766">
        <v>26</v>
      </c>
      <c r="D766" s="33">
        <v>15300</v>
      </c>
      <c r="E766" t="str">
        <f>_xlfn.XLOOKUP(Quota_tbl[[#This Row],[Rep_ID]],Dim_Reps!A:A,Dim_Reps!K:K)</f>
        <v>MXN</v>
      </c>
      <c r="F766" s="33">
        <f>(_xlfn.XLOOKUP(Quota_tbl[[#This Row],[Rate_Code_Generalized]],Lookups!A:A,Lookups!B:B)*Quota_tbl[[#This Row],[Quota_Amount_USD]])</f>
        <v>301910.31</v>
      </c>
      <c r="G766" t="str">
        <f>_xlfn.XLOOKUP(Quota_tbl[[#This Row],[Rep_ID]],Dim_Reps!A:A,Dim_Reps!C:C)</f>
        <v>SDR / Inside Sales Rep</v>
      </c>
      <c r="H766" t="str">
        <f>_xlfn.XLOOKUP(Quota_tbl[[#This Row],[Rep_ID]],Dim_Reps!A:A,Dim_Reps!D:D)</f>
        <v>Inside Sales</v>
      </c>
      <c r="I766" t="str">
        <f>_xlfn.XLOOKUP(Quota_tbl[[#This Row],[Rep_ID]],Dim_Reps!A:A,Dim_Reps!E:E)</f>
        <v>LATAM</v>
      </c>
      <c r="J766" t="str">
        <f>_xlfn.XLOOKUP(Quota_tbl[[#This Row],[Period_Start_Date]],Dim_Date!A:A,Dim_Date!H:H)</f>
        <v>Mar 2025</v>
      </c>
    </row>
    <row r="767" spans="1:10" ht="15" customHeight="1" x14ac:dyDescent="0.2">
      <c r="A767" t="s">
        <v>235</v>
      </c>
      <c r="B767" s="49">
        <v>45748</v>
      </c>
      <c r="C767">
        <v>27</v>
      </c>
      <c r="D767" s="33">
        <v>15400</v>
      </c>
      <c r="E767" t="str">
        <f>_xlfn.XLOOKUP(Quota_tbl[[#This Row],[Rep_ID]],Dim_Reps!A:A,Dim_Reps!K:K)</f>
        <v>MXN</v>
      </c>
      <c r="F767" s="33">
        <f>(_xlfn.XLOOKUP(Quota_tbl[[#This Row],[Rate_Code_Generalized]],Lookups!A:A,Lookups!B:B)*Quota_tbl[[#This Row],[Quota_Amount_USD]])</f>
        <v>303883.58</v>
      </c>
      <c r="G767" t="str">
        <f>_xlfn.XLOOKUP(Quota_tbl[[#This Row],[Rep_ID]],Dim_Reps!A:A,Dim_Reps!C:C)</f>
        <v>SDR / Inside Sales Rep</v>
      </c>
      <c r="H767" t="str">
        <f>_xlfn.XLOOKUP(Quota_tbl[[#This Row],[Rep_ID]],Dim_Reps!A:A,Dim_Reps!D:D)</f>
        <v>Inside Sales</v>
      </c>
      <c r="I767" t="str">
        <f>_xlfn.XLOOKUP(Quota_tbl[[#This Row],[Rep_ID]],Dim_Reps!A:A,Dim_Reps!E:E)</f>
        <v>LATAM</v>
      </c>
      <c r="J767" t="str">
        <f>_xlfn.XLOOKUP(Quota_tbl[[#This Row],[Period_Start_Date]],Dim_Date!A:A,Dim_Date!H:H)</f>
        <v>Apr 2025</v>
      </c>
    </row>
    <row r="768" spans="1:10" ht="15" customHeight="1" x14ac:dyDescent="0.2">
      <c r="A768" t="s">
        <v>235</v>
      </c>
      <c r="B768" s="49">
        <v>45778</v>
      </c>
      <c r="C768">
        <v>28</v>
      </c>
      <c r="D768" s="33">
        <v>15600</v>
      </c>
      <c r="E768" t="str">
        <f>_xlfn.XLOOKUP(Quota_tbl[[#This Row],[Rep_ID]],Dim_Reps!A:A,Dim_Reps!K:K)</f>
        <v>MXN</v>
      </c>
      <c r="F768" s="33">
        <f>(_xlfn.XLOOKUP(Quota_tbl[[#This Row],[Rate_Code_Generalized]],Lookups!A:A,Lookups!B:B)*Quota_tbl[[#This Row],[Quota_Amount_USD]])</f>
        <v>307830.12</v>
      </c>
      <c r="G768" t="str">
        <f>_xlfn.XLOOKUP(Quota_tbl[[#This Row],[Rep_ID]],Dim_Reps!A:A,Dim_Reps!C:C)</f>
        <v>SDR / Inside Sales Rep</v>
      </c>
      <c r="H768" t="str">
        <f>_xlfn.XLOOKUP(Quota_tbl[[#This Row],[Rep_ID]],Dim_Reps!A:A,Dim_Reps!D:D)</f>
        <v>Inside Sales</v>
      </c>
      <c r="I768" t="str">
        <f>_xlfn.XLOOKUP(Quota_tbl[[#This Row],[Rep_ID]],Dim_Reps!A:A,Dim_Reps!E:E)</f>
        <v>LATAM</v>
      </c>
      <c r="J768" t="str">
        <f>_xlfn.XLOOKUP(Quota_tbl[[#This Row],[Period_Start_Date]],Dim_Date!A:A,Dim_Date!H:H)</f>
        <v>May 2025</v>
      </c>
    </row>
    <row r="769" spans="1:10" ht="15" customHeight="1" x14ac:dyDescent="0.2">
      <c r="A769" t="s">
        <v>235</v>
      </c>
      <c r="B769" s="49">
        <v>45809</v>
      </c>
      <c r="C769">
        <v>29</v>
      </c>
      <c r="D769" s="33">
        <v>15300</v>
      </c>
      <c r="E769" t="str">
        <f>_xlfn.XLOOKUP(Quota_tbl[[#This Row],[Rep_ID]],Dim_Reps!A:A,Dim_Reps!K:K)</f>
        <v>MXN</v>
      </c>
      <c r="F769" s="33">
        <f>(_xlfn.XLOOKUP(Quota_tbl[[#This Row],[Rate_Code_Generalized]],Lookups!A:A,Lookups!B:B)*Quota_tbl[[#This Row],[Quota_Amount_USD]])</f>
        <v>301910.31</v>
      </c>
      <c r="G769" t="str">
        <f>_xlfn.XLOOKUP(Quota_tbl[[#This Row],[Rep_ID]],Dim_Reps!A:A,Dim_Reps!C:C)</f>
        <v>SDR / Inside Sales Rep</v>
      </c>
      <c r="H769" t="str">
        <f>_xlfn.XLOOKUP(Quota_tbl[[#This Row],[Rep_ID]],Dim_Reps!A:A,Dim_Reps!D:D)</f>
        <v>Inside Sales</v>
      </c>
      <c r="I769" t="str">
        <f>_xlfn.XLOOKUP(Quota_tbl[[#This Row],[Rep_ID]],Dim_Reps!A:A,Dim_Reps!E:E)</f>
        <v>LATAM</v>
      </c>
      <c r="J769" t="str">
        <f>_xlfn.XLOOKUP(Quota_tbl[[#This Row],[Period_Start_Date]],Dim_Date!A:A,Dim_Date!H:H)</f>
        <v>Jun 2025</v>
      </c>
    </row>
    <row r="770" spans="1:10" ht="15" customHeight="1" x14ac:dyDescent="0.2">
      <c r="A770" t="s">
        <v>235</v>
      </c>
      <c r="B770" s="49">
        <v>45839</v>
      </c>
      <c r="C770">
        <v>30</v>
      </c>
      <c r="D770" s="33">
        <v>16100</v>
      </c>
      <c r="E770" t="str">
        <f>_xlfn.XLOOKUP(Quota_tbl[[#This Row],[Rep_ID]],Dim_Reps!A:A,Dim_Reps!K:K)</f>
        <v>MXN</v>
      </c>
      <c r="F770" s="33">
        <f>(_xlfn.XLOOKUP(Quota_tbl[[#This Row],[Rate_Code_Generalized]],Lookups!A:A,Lookups!B:B)*Quota_tbl[[#This Row],[Quota_Amount_USD]])</f>
        <v>317696.47000000003</v>
      </c>
      <c r="G770" t="str">
        <f>_xlfn.XLOOKUP(Quota_tbl[[#This Row],[Rep_ID]],Dim_Reps!A:A,Dim_Reps!C:C)</f>
        <v>SDR / Inside Sales Rep</v>
      </c>
      <c r="H770" t="str">
        <f>_xlfn.XLOOKUP(Quota_tbl[[#This Row],[Rep_ID]],Dim_Reps!A:A,Dim_Reps!D:D)</f>
        <v>Inside Sales</v>
      </c>
      <c r="I770" t="str">
        <f>_xlfn.XLOOKUP(Quota_tbl[[#This Row],[Rep_ID]],Dim_Reps!A:A,Dim_Reps!E:E)</f>
        <v>LATAM</v>
      </c>
      <c r="J770" t="str">
        <f>_xlfn.XLOOKUP(Quota_tbl[[#This Row],[Period_Start_Date]],Dim_Date!A:A,Dim_Date!H:H)</f>
        <v>Jul 2025</v>
      </c>
    </row>
    <row r="771" spans="1:10" ht="15" customHeight="1" x14ac:dyDescent="0.2">
      <c r="A771" t="s">
        <v>235</v>
      </c>
      <c r="B771" s="49">
        <v>45870</v>
      </c>
      <c r="C771">
        <v>31</v>
      </c>
      <c r="D771" s="33">
        <v>15100</v>
      </c>
      <c r="E771" t="str">
        <f>_xlfn.XLOOKUP(Quota_tbl[[#This Row],[Rep_ID]],Dim_Reps!A:A,Dim_Reps!K:K)</f>
        <v>MXN</v>
      </c>
      <c r="F771" s="33">
        <f>(_xlfn.XLOOKUP(Quota_tbl[[#This Row],[Rate_Code_Generalized]],Lookups!A:A,Lookups!B:B)*Quota_tbl[[#This Row],[Quota_Amount_USD]])</f>
        <v>297963.77</v>
      </c>
      <c r="G771" t="str">
        <f>_xlfn.XLOOKUP(Quota_tbl[[#This Row],[Rep_ID]],Dim_Reps!A:A,Dim_Reps!C:C)</f>
        <v>SDR / Inside Sales Rep</v>
      </c>
      <c r="H771" t="str">
        <f>_xlfn.XLOOKUP(Quota_tbl[[#This Row],[Rep_ID]],Dim_Reps!A:A,Dim_Reps!D:D)</f>
        <v>Inside Sales</v>
      </c>
      <c r="I771" t="str">
        <f>_xlfn.XLOOKUP(Quota_tbl[[#This Row],[Rep_ID]],Dim_Reps!A:A,Dim_Reps!E:E)</f>
        <v>LATAM</v>
      </c>
      <c r="J771" t="str">
        <f>_xlfn.XLOOKUP(Quota_tbl[[#This Row],[Period_Start_Date]],Dim_Date!A:A,Dim_Date!H:H)</f>
        <v>Aug 2025</v>
      </c>
    </row>
    <row r="772" spans="1:10" ht="15" customHeight="1" x14ac:dyDescent="0.2">
      <c r="A772" t="s">
        <v>235</v>
      </c>
      <c r="B772" s="49">
        <v>45901</v>
      </c>
      <c r="C772">
        <v>32</v>
      </c>
      <c r="D772" s="33">
        <v>15400</v>
      </c>
      <c r="E772" t="str">
        <f>_xlfn.XLOOKUP(Quota_tbl[[#This Row],[Rep_ID]],Dim_Reps!A:A,Dim_Reps!K:K)</f>
        <v>MXN</v>
      </c>
      <c r="F772" s="33">
        <f>(_xlfn.XLOOKUP(Quota_tbl[[#This Row],[Rate_Code_Generalized]],Lookups!A:A,Lookups!B:B)*Quota_tbl[[#This Row],[Quota_Amount_USD]])</f>
        <v>303883.58</v>
      </c>
      <c r="G772" t="str">
        <f>_xlfn.XLOOKUP(Quota_tbl[[#This Row],[Rep_ID]],Dim_Reps!A:A,Dim_Reps!C:C)</f>
        <v>SDR / Inside Sales Rep</v>
      </c>
      <c r="H772" t="str">
        <f>_xlfn.XLOOKUP(Quota_tbl[[#This Row],[Rep_ID]],Dim_Reps!A:A,Dim_Reps!D:D)</f>
        <v>Inside Sales</v>
      </c>
      <c r="I772" t="str">
        <f>_xlfn.XLOOKUP(Quota_tbl[[#This Row],[Rep_ID]],Dim_Reps!A:A,Dim_Reps!E:E)</f>
        <v>LATAM</v>
      </c>
      <c r="J772" t="str">
        <f>_xlfn.XLOOKUP(Quota_tbl[[#This Row],[Period_Start_Date]],Dim_Date!A:A,Dim_Date!H:H)</f>
        <v>Sep 2025</v>
      </c>
    </row>
    <row r="773" spans="1:10" ht="15" customHeight="1" x14ac:dyDescent="0.2">
      <c r="A773" t="s">
        <v>235</v>
      </c>
      <c r="B773" s="49">
        <v>45931</v>
      </c>
      <c r="C773">
        <v>33</v>
      </c>
      <c r="D773" s="33">
        <v>15300</v>
      </c>
      <c r="E773" t="str">
        <f>_xlfn.XLOOKUP(Quota_tbl[[#This Row],[Rep_ID]],Dim_Reps!A:A,Dim_Reps!K:K)</f>
        <v>MXN</v>
      </c>
      <c r="F773" s="33">
        <f>(_xlfn.XLOOKUP(Quota_tbl[[#This Row],[Rate_Code_Generalized]],Lookups!A:A,Lookups!B:B)*Quota_tbl[[#This Row],[Quota_Amount_USD]])</f>
        <v>301910.31</v>
      </c>
      <c r="G773" t="str">
        <f>_xlfn.XLOOKUP(Quota_tbl[[#This Row],[Rep_ID]],Dim_Reps!A:A,Dim_Reps!C:C)</f>
        <v>SDR / Inside Sales Rep</v>
      </c>
      <c r="H773" t="str">
        <f>_xlfn.XLOOKUP(Quota_tbl[[#This Row],[Rep_ID]],Dim_Reps!A:A,Dim_Reps!D:D)</f>
        <v>Inside Sales</v>
      </c>
      <c r="I773" t="str">
        <f>_xlfn.XLOOKUP(Quota_tbl[[#This Row],[Rep_ID]],Dim_Reps!A:A,Dim_Reps!E:E)</f>
        <v>LATAM</v>
      </c>
      <c r="J773" t="str">
        <f>_xlfn.XLOOKUP(Quota_tbl[[#This Row],[Period_Start_Date]],Dim_Date!A:A,Dim_Date!H:H)</f>
        <v>Oct 2025</v>
      </c>
    </row>
    <row r="774" spans="1:10" ht="15" customHeight="1" x14ac:dyDescent="0.2">
      <c r="A774" t="s">
        <v>235</v>
      </c>
      <c r="B774" s="49">
        <v>45962</v>
      </c>
      <c r="C774">
        <v>34</v>
      </c>
      <c r="D774" s="33">
        <v>16200</v>
      </c>
      <c r="E774" t="str">
        <f>_xlfn.XLOOKUP(Quota_tbl[[#This Row],[Rep_ID]],Dim_Reps!A:A,Dim_Reps!K:K)</f>
        <v>MXN</v>
      </c>
      <c r="F774" s="33">
        <f>(_xlfn.XLOOKUP(Quota_tbl[[#This Row],[Rate_Code_Generalized]],Lookups!A:A,Lookups!B:B)*Quota_tbl[[#This Row],[Quota_Amount_USD]])</f>
        <v>319669.74000000005</v>
      </c>
      <c r="G774" t="str">
        <f>_xlfn.XLOOKUP(Quota_tbl[[#This Row],[Rep_ID]],Dim_Reps!A:A,Dim_Reps!C:C)</f>
        <v>SDR / Inside Sales Rep</v>
      </c>
      <c r="H774" t="str">
        <f>_xlfn.XLOOKUP(Quota_tbl[[#This Row],[Rep_ID]],Dim_Reps!A:A,Dim_Reps!D:D)</f>
        <v>Inside Sales</v>
      </c>
      <c r="I774" t="str">
        <f>_xlfn.XLOOKUP(Quota_tbl[[#This Row],[Rep_ID]],Dim_Reps!A:A,Dim_Reps!E:E)</f>
        <v>LATAM</v>
      </c>
      <c r="J774" t="str">
        <f>_xlfn.XLOOKUP(Quota_tbl[[#This Row],[Period_Start_Date]],Dim_Date!A:A,Dim_Date!H:H)</f>
        <v>Nov 2025</v>
      </c>
    </row>
    <row r="775" spans="1:10" ht="15" customHeight="1" x14ac:dyDescent="0.2">
      <c r="A775" t="s">
        <v>235</v>
      </c>
      <c r="B775" s="49">
        <v>45992</v>
      </c>
      <c r="C775">
        <v>35</v>
      </c>
      <c r="D775" s="33">
        <v>15600</v>
      </c>
      <c r="E775" t="str">
        <f>_xlfn.XLOOKUP(Quota_tbl[[#This Row],[Rep_ID]],Dim_Reps!A:A,Dim_Reps!K:K)</f>
        <v>MXN</v>
      </c>
      <c r="F775" s="33">
        <f>(_xlfn.XLOOKUP(Quota_tbl[[#This Row],[Rate_Code_Generalized]],Lookups!A:A,Lookups!B:B)*Quota_tbl[[#This Row],[Quota_Amount_USD]])</f>
        <v>307830.12</v>
      </c>
      <c r="G775" t="str">
        <f>_xlfn.XLOOKUP(Quota_tbl[[#This Row],[Rep_ID]],Dim_Reps!A:A,Dim_Reps!C:C)</f>
        <v>SDR / Inside Sales Rep</v>
      </c>
      <c r="H775" t="str">
        <f>_xlfn.XLOOKUP(Quota_tbl[[#This Row],[Rep_ID]],Dim_Reps!A:A,Dim_Reps!D:D)</f>
        <v>Inside Sales</v>
      </c>
      <c r="I775" t="str">
        <f>_xlfn.XLOOKUP(Quota_tbl[[#This Row],[Rep_ID]],Dim_Reps!A:A,Dim_Reps!E:E)</f>
        <v>LATAM</v>
      </c>
      <c r="J775" t="str">
        <f>_xlfn.XLOOKUP(Quota_tbl[[#This Row],[Period_Start_Date]],Dim_Date!A:A,Dim_Date!H:H)</f>
        <v>Dec 2025</v>
      </c>
    </row>
    <row r="776" spans="1:10" ht="15" customHeight="1" x14ac:dyDescent="0.2">
      <c r="A776" t="s">
        <v>284</v>
      </c>
      <c r="B776" s="49">
        <v>45292</v>
      </c>
      <c r="C776">
        <v>1</v>
      </c>
      <c r="D776" s="33">
        <v>24700</v>
      </c>
      <c r="E776" t="str">
        <f>_xlfn.XLOOKUP(Quota_tbl[[#This Row],[Rep_ID]],Dim_Reps!A:A,Dim_Reps!K:K)</f>
        <v>USD</v>
      </c>
      <c r="F776" s="33">
        <f>(_xlfn.XLOOKUP(Quota_tbl[[#This Row],[Rate_Code_Generalized]],Lookups!A:A,Lookups!B:B)*Quota_tbl[[#This Row],[Quota_Amount_USD]])</f>
        <v>28758.209999999995</v>
      </c>
      <c r="G776" t="str">
        <f>_xlfn.XLOOKUP(Quota_tbl[[#This Row],[Rep_ID]],Dim_Reps!A:A,Dim_Reps!C:C)</f>
        <v>Senior Enterprise AE</v>
      </c>
      <c r="H776" t="str">
        <f>_xlfn.XLOOKUP(Quota_tbl[[#This Row],[Rep_ID]],Dim_Reps!A:A,Dim_Reps!D:D)</f>
        <v>Strategic</v>
      </c>
      <c r="I776" t="str">
        <f>_xlfn.XLOOKUP(Quota_tbl[[#This Row],[Rep_ID]],Dim_Reps!A:A,Dim_Reps!E:E)</f>
        <v>NAMER</v>
      </c>
      <c r="J776" t="str">
        <f>_xlfn.XLOOKUP(Quota_tbl[[#This Row],[Period_Start_Date]],Dim_Date!A:A,Dim_Date!H:H)</f>
        <v>Jan 2024</v>
      </c>
    </row>
    <row r="777" spans="1:10" ht="15" customHeight="1" x14ac:dyDescent="0.2">
      <c r="A777" t="s">
        <v>284</v>
      </c>
      <c r="B777" s="49">
        <v>45323</v>
      </c>
      <c r="C777">
        <v>2</v>
      </c>
      <c r="D777" s="33">
        <v>34400</v>
      </c>
      <c r="E777" t="str">
        <f>_xlfn.XLOOKUP(Quota_tbl[[#This Row],[Rep_ID]],Dim_Reps!A:A,Dim_Reps!K:K)</f>
        <v>USD</v>
      </c>
      <c r="F777" s="33">
        <f>(_xlfn.XLOOKUP(Quota_tbl[[#This Row],[Rate_Code_Generalized]],Lookups!A:A,Lookups!B:B)*Quota_tbl[[#This Row],[Quota_Amount_USD]])</f>
        <v>40051.919999999998</v>
      </c>
      <c r="G777" t="str">
        <f>_xlfn.XLOOKUP(Quota_tbl[[#This Row],[Rep_ID]],Dim_Reps!A:A,Dim_Reps!C:C)</f>
        <v>Senior Enterprise AE</v>
      </c>
      <c r="H777" t="str">
        <f>_xlfn.XLOOKUP(Quota_tbl[[#This Row],[Rep_ID]],Dim_Reps!A:A,Dim_Reps!D:D)</f>
        <v>Strategic</v>
      </c>
      <c r="I777" t="str">
        <f>_xlfn.XLOOKUP(Quota_tbl[[#This Row],[Rep_ID]],Dim_Reps!A:A,Dim_Reps!E:E)</f>
        <v>NAMER</v>
      </c>
      <c r="J777" t="str">
        <f>_xlfn.XLOOKUP(Quota_tbl[[#This Row],[Period_Start_Date]],Dim_Date!A:A,Dim_Date!H:H)</f>
        <v>Feb 2024</v>
      </c>
    </row>
    <row r="778" spans="1:10" ht="15" customHeight="1" x14ac:dyDescent="0.2">
      <c r="A778" t="s">
        <v>284</v>
      </c>
      <c r="B778" s="49">
        <v>45352</v>
      </c>
      <c r="C778">
        <v>3</v>
      </c>
      <c r="D778" s="33">
        <v>48400</v>
      </c>
      <c r="E778" t="str">
        <f>_xlfn.XLOOKUP(Quota_tbl[[#This Row],[Rep_ID]],Dim_Reps!A:A,Dim_Reps!K:K)</f>
        <v>USD</v>
      </c>
      <c r="F778" s="33">
        <f>(_xlfn.XLOOKUP(Quota_tbl[[#This Row],[Rate_Code_Generalized]],Lookups!A:A,Lookups!B:B)*Quota_tbl[[#This Row],[Quota_Amount_USD]])</f>
        <v>56352.119999999995</v>
      </c>
      <c r="G778" t="str">
        <f>_xlfn.XLOOKUP(Quota_tbl[[#This Row],[Rep_ID]],Dim_Reps!A:A,Dim_Reps!C:C)</f>
        <v>Senior Enterprise AE</v>
      </c>
      <c r="H778" t="str">
        <f>_xlfn.XLOOKUP(Quota_tbl[[#This Row],[Rep_ID]],Dim_Reps!A:A,Dim_Reps!D:D)</f>
        <v>Strategic</v>
      </c>
      <c r="I778" t="str">
        <f>_xlfn.XLOOKUP(Quota_tbl[[#This Row],[Rep_ID]],Dim_Reps!A:A,Dim_Reps!E:E)</f>
        <v>NAMER</v>
      </c>
      <c r="J778" t="str">
        <f>_xlfn.XLOOKUP(Quota_tbl[[#This Row],[Period_Start_Date]],Dim_Date!A:A,Dim_Date!H:H)</f>
        <v>Mar 2024</v>
      </c>
    </row>
    <row r="779" spans="1:10" ht="15" customHeight="1" x14ac:dyDescent="0.2">
      <c r="A779" t="s">
        <v>284</v>
      </c>
      <c r="B779" s="49">
        <v>45383</v>
      </c>
      <c r="C779">
        <v>4</v>
      </c>
      <c r="D779" s="33">
        <v>49300</v>
      </c>
      <c r="E779" t="str">
        <f>_xlfn.XLOOKUP(Quota_tbl[[#This Row],[Rep_ID]],Dim_Reps!A:A,Dim_Reps!K:K)</f>
        <v>USD</v>
      </c>
      <c r="F779" s="33">
        <f>(_xlfn.XLOOKUP(Quota_tbl[[#This Row],[Rate_Code_Generalized]],Lookups!A:A,Lookups!B:B)*Quota_tbl[[#This Row],[Quota_Amount_USD]])</f>
        <v>57399.99</v>
      </c>
      <c r="G779" t="str">
        <f>_xlfn.XLOOKUP(Quota_tbl[[#This Row],[Rep_ID]],Dim_Reps!A:A,Dim_Reps!C:C)</f>
        <v>Senior Enterprise AE</v>
      </c>
      <c r="H779" t="str">
        <f>_xlfn.XLOOKUP(Quota_tbl[[#This Row],[Rep_ID]],Dim_Reps!A:A,Dim_Reps!D:D)</f>
        <v>Strategic</v>
      </c>
      <c r="I779" t="str">
        <f>_xlfn.XLOOKUP(Quota_tbl[[#This Row],[Rep_ID]],Dim_Reps!A:A,Dim_Reps!E:E)</f>
        <v>NAMER</v>
      </c>
      <c r="J779" t="str">
        <f>_xlfn.XLOOKUP(Quota_tbl[[#This Row],[Period_Start_Date]],Dim_Date!A:A,Dim_Date!H:H)</f>
        <v>Apr 2024</v>
      </c>
    </row>
    <row r="780" spans="1:10" ht="15" customHeight="1" x14ac:dyDescent="0.2">
      <c r="A780" t="s">
        <v>284</v>
      </c>
      <c r="B780" s="49">
        <v>45413</v>
      </c>
      <c r="C780">
        <v>5</v>
      </c>
      <c r="D780" s="33">
        <v>48100</v>
      </c>
      <c r="E780" t="str">
        <f>_xlfn.XLOOKUP(Quota_tbl[[#This Row],[Rep_ID]],Dim_Reps!A:A,Dim_Reps!K:K)</f>
        <v>USD</v>
      </c>
      <c r="F780" s="33">
        <f>(_xlfn.XLOOKUP(Quota_tbl[[#This Row],[Rate_Code_Generalized]],Lookups!A:A,Lookups!B:B)*Quota_tbl[[#This Row],[Quota_Amount_USD]])</f>
        <v>56002.829999999994</v>
      </c>
      <c r="G780" t="str">
        <f>_xlfn.XLOOKUP(Quota_tbl[[#This Row],[Rep_ID]],Dim_Reps!A:A,Dim_Reps!C:C)</f>
        <v>Senior Enterprise AE</v>
      </c>
      <c r="H780" t="str">
        <f>_xlfn.XLOOKUP(Quota_tbl[[#This Row],[Rep_ID]],Dim_Reps!A:A,Dim_Reps!D:D)</f>
        <v>Strategic</v>
      </c>
      <c r="I780" t="str">
        <f>_xlfn.XLOOKUP(Quota_tbl[[#This Row],[Rep_ID]],Dim_Reps!A:A,Dim_Reps!E:E)</f>
        <v>NAMER</v>
      </c>
      <c r="J780" t="str">
        <f>_xlfn.XLOOKUP(Quota_tbl[[#This Row],[Period_Start_Date]],Dim_Date!A:A,Dim_Date!H:H)</f>
        <v>May 2024</v>
      </c>
    </row>
    <row r="781" spans="1:10" ht="15" customHeight="1" x14ac:dyDescent="0.2">
      <c r="A781" t="s">
        <v>284</v>
      </c>
      <c r="B781" s="49">
        <v>45444</v>
      </c>
      <c r="C781">
        <v>6</v>
      </c>
      <c r="D781" s="33">
        <v>49500</v>
      </c>
      <c r="E781" t="str">
        <f>_xlfn.XLOOKUP(Quota_tbl[[#This Row],[Rep_ID]],Dim_Reps!A:A,Dim_Reps!K:K)</f>
        <v>USD</v>
      </c>
      <c r="F781" s="33">
        <f>(_xlfn.XLOOKUP(Quota_tbl[[#This Row],[Rate_Code_Generalized]],Lookups!A:A,Lookups!B:B)*Quota_tbl[[#This Row],[Quota_Amount_USD]])</f>
        <v>57632.849999999991</v>
      </c>
      <c r="G781" t="str">
        <f>_xlfn.XLOOKUP(Quota_tbl[[#This Row],[Rep_ID]],Dim_Reps!A:A,Dim_Reps!C:C)</f>
        <v>Senior Enterprise AE</v>
      </c>
      <c r="H781" t="str">
        <f>_xlfn.XLOOKUP(Quota_tbl[[#This Row],[Rep_ID]],Dim_Reps!A:A,Dim_Reps!D:D)</f>
        <v>Strategic</v>
      </c>
      <c r="I781" t="str">
        <f>_xlfn.XLOOKUP(Quota_tbl[[#This Row],[Rep_ID]],Dim_Reps!A:A,Dim_Reps!E:E)</f>
        <v>NAMER</v>
      </c>
      <c r="J781" t="str">
        <f>_xlfn.XLOOKUP(Quota_tbl[[#This Row],[Period_Start_Date]],Dim_Date!A:A,Dim_Date!H:H)</f>
        <v>Jun 2024</v>
      </c>
    </row>
    <row r="782" spans="1:10" ht="15" customHeight="1" x14ac:dyDescent="0.2">
      <c r="A782" t="s">
        <v>284</v>
      </c>
      <c r="B782" s="49">
        <v>45474</v>
      </c>
      <c r="C782">
        <v>7</v>
      </c>
      <c r="D782" s="33">
        <v>47300</v>
      </c>
      <c r="E782" t="str">
        <f>_xlfn.XLOOKUP(Quota_tbl[[#This Row],[Rep_ID]],Dim_Reps!A:A,Dim_Reps!K:K)</f>
        <v>USD</v>
      </c>
      <c r="F782" s="33">
        <f>(_xlfn.XLOOKUP(Quota_tbl[[#This Row],[Rate_Code_Generalized]],Lookups!A:A,Lookups!B:B)*Quota_tbl[[#This Row],[Quota_Amount_USD]])</f>
        <v>55071.389999999992</v>
      </c>
      <c r="G782" t="str">
        <f>_xlfn.XLOOKUP(Quota_tbl[[#This Row],[Rep_ID]],Dim_Reps!A:A,Dim_Reps!C:C)</f>
        <v>Senior Enterprise AE</v>
      </c>
      <c r="H782" t="str">
        <f>_xlfn.XLOOKUP(Quota_tbl[[#This Row],[Rep_ID]],Dim_Reps!A:A,Dim_Reps!D:D)</f>
        <v>Strategic</v>
      </c>
      <c r="I782" t="str">
        <f>_xlfn.XLOOKUP(Quota_tbl[[#This Row],[Rep_ID]],Dim_Reps!A:A,Dim_Reps!E:E)</f>
        <v>NAMER</v>
      </c>
      <c r="J782" t="str">
        <f>_xlfn.XLOOKUP(Quota_tbl[[#This Row],[Period_Start_Date]],Dim_Date!A:A,Dim_Date!H:H)</f>
        <v>Jul 2024</v>
      </c>
    </row>
    <row r="783" spans="1:10" ht="15" customHeight="1" x14ac:dyDescent="0.2">
      <c r="A783" t="s">
        <v>284</v>
      </c>
      <c r="B783" s="49">
        <v>45505</v>
      </c>
      <c r="C783">
        <v>8</v>
      </c>
      <c r="D783" s="33">
        <v>50000</v>
      </c>
      <c r="E783" t="str">
        <f>_xlfn.XLOOKUP(Quota_tbl[[#This Row],[Rep_ID]],Dim_Reps!A:A,Dim_Reps!K:K)</f>
        <v>USD</v>
      </c>
      <c r="F783" s="33">
        <f>(_xlfn.XLOOKUP(Quota_tbl[[#This Row],[Rate_Code_Generalized]],Lookups!A:A,Lookups!B:B)*Quota_tbl[[#This Row],[Quota_Amount_USD]])</f>
        <v>58214.999999999993</v>
      </c>
      <c r="G783" t="str">
        <f>_xlfn.XLOOKUP(Quota_tbl[[#This Row],[Rep_ID]],Dim_Reps!A:A,Dim_Reps!C:C)</f>
        <v>Senior Enterprise AE</v>
      </c>
      <c r="H783" t="str">
        <f>_xlfn.XLOOKUP(Quota_tbl[[#This Row],[Rep_ID]],Dim_Reps!A:A,Dim_Reps!D:D)</f>
        <v>Strategic</v>
      </c>
      <c r="I783" t="str">
        <f>_xlfn.XLOOKUP(Quota_tbl[[#This Row],[Rep_ID]],Dim_Reps!A:A,Dim_Reps!E:E)</f>
        <v>NAMER</v>
      </c>
      <c r="J783" t="str">
        <f>_xlfn.XLOOKUP(Quota_tbl[[#This Row],[Period_Start_Date]],Dim_Date!A:A,Dim_Date!H:H)</f>
        <v>Aug 2024</v>
      </c>
    </row>
    <row r="784" spans="1:10" ht="15" customHeight="1" x14ac:dyDescent="0.2">
      <c r="A784" t="s">
        <v>284</v>
      </c>
      <c r="B784" s="49">
        <v>45536</v>
      </c>
      <c r="C784">
        <v>9</v>
      </c>
      <c r="D784" s="33">
        <v>51300</v>
      </c>
      <c r="E784" t="str">
        <f>_xlfn.XLOOKUP(Quota_tbl[[#This Row],[Rep_ID]],Dim_Reps!A:A,Dim_Reps!K:K)</f>
        <v>USD</v>
      </c>
      <c r="F784" s="33">
        <f>(_xlfn.XLOOKUP(Quota_tbl[[#This Row],[Rate_Code_Generalized]],Lookups!A:A,Lookups!B:B)*Quota_tbl[[#This Row],[Quota_Amount_USD]])</f>
        <v>59728.59</v>
      </c>
      <c r="G784" t="str">
        <f>_xlfn.XLOOKUP(Quota_tbl[[#This Row],[Rep_ID]],Dim_Reps!A:A,Dim_Reps!C:C)</f>
        <v>Senior Enterprise AE</v>
      </c>
      <c r="H784" t="str">
        <f>_xlfn.XLOOKUP(Quota_tbl[[#This Row],[Rep_ID]],Dim_Reps!A:A,Dim_Reps!D:D)</f>
        <v>Strategic</v>
      </c>
      <c r="I784" t="str">
        <f>_xlfn.XLOOKUP(Quota_tbl[[#This Row],[Rep_ID]],Dim_Reps!A:A,Dim_Reps!E:E)</f>
        <v>NAMER</v>
      </c>
      <c r="J784" t="str">
        <f>_xlfn.XLOOKUP(Quota_tbl[[#This Row],[Period_Start_Date]],Dim_Date!A:A,Dim_Date!H:H)</f>
        <v>Sep 2024</v>
      </c>
    </row>
    <row r="785" spans="1:10" ht="15" customHeight="1" x14ac:dyDescent="0.2">
      <c r="A785" t="s">
        <v>284</v>
      </c>
      <c r="B785" s="49">
        <v>45566</v>
      </c>
      <c r="C785">
        <v>10</v>
      </c>
      <c r="D785" s="33">
        <v>47500</v>
      </c>
      <c r="E785" t="str">
        <f>_xlfn.XLOOKUP(Quota_tbl[[#This Row],[Rep_ID]],Dim_Reps!A:A,Dim_Reps!K:K)</f>
        <v>USD</v>
      </c>
      <c r="F785" s="33">
        <f>(_xlfn.XLOOKUP(Quota_tbl[[#This Row],[Rate_Code_Generalized]],Lookups!A:A,Lookups!B:B)*Quota_tbl[[#This Row],[Quota_Amount_USD]])</f>
        <v>55304.249999999993</v>
      </c>
      <c r="G785" t="str">
        <f>_xlfn.XLOOKUP(Quota_tbl[[#This Row],[Rep_ID]],Dim_Reps!A:A,Dim_Reps!C:C)</f>
        <v>Senior Enterprise AE</v>
      </c>
      <c r="H785" t="str">
        <f>_xlfn.XLOOKUP(Quota_tbl[[#This Row],[Rep_ID]],Dim_Reps!A:A,Dim_Reps!D:D)</f>
        <v>Strategic</v>
      </c>
      <c r="I785" t="str">
        <f>_xlfn.XLOOKUP(Quota_tbl[[#This Row],[Rep_ID]],Dim_Reps!A:A,Dim_Reps!E:E)</f>
        <v>NAMER</v>
      </c>
      <c r="J785" t="str">
        <f>_xlfn.XLOOKUP(Quota_tbl[[#This Row],[Period_Start_Date]],Dim_Date!A:A,Dim_Date!H:H)</f>
        <v>Oct 2024</v>
      </c>
    </row>
    <row r="786" spans="1:10" ht="15" customHeight="1" x14ac:dyDescent="0.2">
      <c r="A786" t="s">
        <v>284</v>
      </c>
      <c r="B786" s="49">
        <v>45597</v>
      </c>
      <c r="C786">
        <v>11</v>
      </c>
      <c r="D786" s="33">
        <v>47400</v>
      </c>
      <c r="E786" t="str">
        <f>_xlfn.XLOOKUP(Quota_tbl[[#This Row],[Rep_ID]],Dim_Reps!A:A,Dim_Reps!K:K)</f>
        <v>USD</v>
      </c>
      <c r="F786" s="33">
        <f>(_xlfn.XLOOKUP(Quota_tbl[[#This Row],[Rate_Code_Generalized]],Lookups!A:A,Lookups!B:B)*Quota_tbl[[#This Row],[Quota_Amount_USD]])</f>
        <v>55187.819999999992</v>
      </c>
      <c r="G786" t="str">
        <f>_xlfn.XLOOKUP(Quota_tbl[[#This Row],[Rep_ID]],Dim_Reps!A:A,Dim_Reps!C:C)</f>
        <v>Senior Enterprise AE</v>
      </c>
      <c r="H786" t="str">
        <f>_xlfn.XLOOKUP(Quota_tbl[[#This Row],[Rep_ID]],Dim_Reps!A:A,Dim_Reps!D:D)</f>
        <v>Strategic</v>
      </c>
      <c r="I786" t="str">
        <f>_xlfn.XLOOKUP(Quota_tbl[[#This Row],[Rep_ID]],Dim_Reps!A:A,Dim_Reps!E:E)</f>
        <v>NAMER</v>
      </c>
      <c r="J786" t="str">
        <f>_xlfn.XLOOKUP(Quota_tbl[[#This Row],[Period_Start_Date]],Dim_Date!A:A,Dim_Date!H:H)</f>
        <v>Nov 2024</v>
      </c>
    </row>
    <row r="787" spans="1:10" ht="15" customHeight="1" x14ac:dyDescent="0.2">
      <c r="A787" t="s">
        <v>284</v>
      </c>
      <c r="B787" s="49">
        <v>45627</v>
      </c>
      <c r="C787">
        <v>12</v>
      </c>
      <c r="D787" s="33">
        <v>50100</v>
      </c>
      <c r="E787" t="str">
        <f>_xlfn.XLOOKUP(Quota_tbl[[#This Row],[Rep_ID]],Dim_Reps!A:A,Dim_Reps!K:K)</f>
        <v>USD</v>
      </c>
      <c r="F787" s="33">
        <f>(_xlfn.XLOOKUP(Quota_tbl[[#This Row],[Rate_Code_Generalized]],Lookups!A:A,Lookups!B:B)*Quota_tbl[[#This Row],[Quota_Amount_USD]])</f>
        <v>58331.429999999993</v>
      </c>
      <c r="G787" t="str">
        <f>_xlfn.XLOOKUP(Quota_tbl[[#This Row],[Rep_ID]],Dim_Reps!A:A,Dim_Reps!C:C)</f>
        <v>Senior Enterprise AE</v>
      </c>
      <c r="H787" t="str">
        <f>_xlfn.XLOOKUP(Quota_tbl[[#This Row],[Rep_ID]],Dim_Reps!A:A,Dim_Reps!D:D)</f>
        <v>Strategic</v>
      </c>
      <c r="I787" t="str">
        <f>_xlfn.XLOOKUP(Quota_tbl[[#This Row],[Rep_ID]],Dim_Reps!A:A,Dim_Reps!E:E)</f>
        <v>NAMER</v>
      </c>
      <c r="J787" t="str">
        <f>_xlfn.XLOOKUP(Quota_tbl[[#This Row],[Period_Start_Date]],Dim_Date!A:A,Dim_Date!H:H)</f>
        <v>Dec 2024</v>
      </c>
    </row>
    <row r="788" spans="1:10" ht="15" customHeight="1" x14ac:dyDescent="0.2">
      <c r="A788" t="s">
        <v>284</v>
      </c>
      <c r="B788" s="49">
        <v>45658</v>
      </c>
      <c r="C788">
        <v>13</v>
      </c>
      <c r="D788" s="33">
        <v>50300</v>
      </c>
      <c r="E788" t="str">
        <f>_xlfn.XLOOKUP(Quota_tbl[[#This Row],[Rep_ID]],Dim_Reps!A:A,Dim_Reps!K:K)</f>
        <v>USD</v>
      </c>
      <c r="F788" s="33">
        <f>(_xlfn.XLOOKUP(Quota_tbl[[#This Row],[Rate_Code_Generalized]],Lookups!A:A,Lookups!B:B)*Quota_tbl[[#This Row],[Quota_Amount_USD]])</f>
        <v>58564.289999999994</v>
      </c>
      <c r="G788" t="str">
        <f>_xlfn.XLOOKUP(Quota_tbl[[#This Row],[Rep_ID]],Dim_Reps!A:A,Dim_Reps!C:C)</f>
        <v>Senior Enterprise AE</v>
      </c>
      <c r="H788" t="str">
        <f>_xlfn.XLOOKUP(Quota_tbl[[#This Row],[Rep_ID]],Dim_Reps!A:A,Dim_Reps!D:D)</f>
        <v>Strategic</v>
      </c>
      <c r="I788" t="str">
        <f>_xlfn.XLOOKUP(Quota_tbl[[#This Row],[Rep_ID]],Dim_Reps!A:A,Dim_Reps!E:E)</f>
        <v>NAMER</v>
      </c>
      <c r="J788" t="str">
        <f>_xlfn.XLOOKUP(Quota_tbl[[#This Row],[Period_Start_Date]],Dim_Date!A:A,Dim_Date!H:H)</f>
        <v>Jan 2025</v>
      </c>
    </row>
    <row r="789" spans="1:10" ht="15" customHeight="1" x14ac:dyDescent="0.2">
      <c r="A789" t="s">
        <v>284</v>
      </c>
      <c r="B789" s="49">
        <v>45689</v>
      </c>
      <c r="C789">
        <v>14</v>
      </c>
      <c r="D789" s="33">
        <v>47200</v>
      </c>
      <c r="E789" t="str">
        <f>_xlfn.XLOOKUP(Quota_tbl[[#This Row],[Rep_ID]],Dim_Reps!A:A,Dim_Reps!K:K)</f>
        <v>USD</v>
      </c>
      <c r="F789" s="33">
        <f>(_xlfn.XLOOKUP(Quota_tbl[[#This Row],[Rate_Code_Generalized]],Lookups!A:A,Lookups!B:B)*Quota_tbl[[#This Row],[Quota_Amount_USD]])</f>
        <v>54954.959999999992</v>
      </c>
      <c r="G789" t="str">
        <f>_xlfn.XLOOKUP(Quota_tbl[[#This Row],[Rep_ID]],Dim_Reps!A:A,Dim_Reps!C:C)</f>
        <v>Senior Enterprise AE</v>
      </c>
      <c r="H789" t="str">
        <f>_xlfn.XLOOKUP(Quota_tbl[[#This Row],[Rep_ID]],Dim_Reps!A:A,Dim_Reps!D:D)</f>
        <v>Strategic</v>
      </c>
      <c r="I789" t="str">
        <f>_xlfn.XLOOKUP(Quota_tbl[[#This Row],[Rep_ID]],Dim_Reps!A:A,Dim_Reps!E:E)</f>
        <v>NAMER</v>
      </c>
      <c r="J789" t="str">
        <f>_xlfn.XLOOKUP(Quota_tbl[[#This Row],[Period_Start_Date]],Dim_Date!A:A,Dim_Date!H:H)</f>
        <v>Feb 2025</v>
      </c>
    </row>
    <row r="790" spans="1:10" ht="15" customHeight="1" x14ac:dyDescent="0.2">
      <c r="A790" t="s">
        <v>284</v>
      </c>
      <c r="B790" s="49">
        <v>45717</v>
      </c>
      <c r="C790">
        <v>15</v>
      </c>
      <c r="D790" s="33">
        <v>47400</v>
      </c>
      <c r="E790" t="str">
        <f>_xlfn.XLOOKUP(Quota_tbl[[#This Row],[Rep_ID]],Dim_Reps!A:A,Dim_Reps!K:K)</f>
        <v>USD</v>
      </c>
      <c r="F790" s="33">
        <f>(_xlfn.XLOOKUP(Quota_tbl[[#This Row],[Rate_Code_Generalized]],Lookups!A:A,Lookups!B:B)*Quota_tbl[[#This Row],[Quota_Amount_USD]])</f>
        <v>55187.819999999992</v>
      </c>
      <c r="G790" t="str">
        <f>_xlfn.XLOOKUP(Quota_tbl[[#This Row],[Rep_ID]],Dim_Reps!A:A,Dim_Reps!C:C)</f>
        <v>Senior Enterprise AE</v>
      </c>
      <c r="H790" t="str">
        <f>_xlfn.XLOOKUP(Quota_tbl[[#This Row],[Rep_ID]],Dim_Reps!A:A,Dim_Reps!D:D)</f>
        <v>Strategic</v>
      </c>
      <c r="I790" t="str">
        <f>_xlfn.XLOOKUP(Quota_tbl[[#This Row],[Rep_ID]],Dim_Reps!A:A,Dim_Reps!E:E)</f>
        <v>NAMER</v>
      </c>
      <c r="J790" t="str">
        <f>_xlfn.XLOOKUP(Quota_tbl[[#This Row],[Period_Start_Date]],Dim_Date!A:A,Dim_Date!H:H)</f>
        <v>Mar 2025</v>
      </c>
    </row>
    <row r="791" spans="1:10" ht="15" customHeight="1" x14ac:dyDescent="0.2">
      <c r="A791" t="s">
        <v>284</v>
      </c>
      <c r="B791" s="49">
        <v>45748</v>
      </c>
      <c r="C791">
        <v>16</v>
      </c>
      <c r="D791" s="33">
        <v>47600</v>
      </c>
      <c r="E791" t="str">
        <f>_xlfn.XLOOKUP(Quota_tbl[[#This Row],[Rep_ID]],Dim_Reps!A:A,Dim_Reps!K:K)</f>
        <v>USD</v>
      </c>
      <c r="F791" s="33">
        <f>(_xlfn.XLOOKUP(Quota_tbl[[#This Row],[Rate_Code_Generalized]],Lookups!A:A,Lookups!B:B)*Quota_tbl[[#This Row],[Quota_Amount_USD]])</f>
        <v>55420.679999999993</v>
      </c>
      <c r="G791" t="str">
        <f>_xlfn.XLOOKUP(Quota_tbl[[#This Row],[Rep_ID]],Dim_Reps!A:A,Dim_Reps!C:C)</f>
        <v>Senior Enterprise AE</v>
      </c>
      <c r="H791" t="str">
        <f>_xlfn.XLOOKUP(Quota_tbl[[#This Row],[Rep_ID]],Dim_Reps!A:A,Dim_Reps!D:D)</f>
        <v>Strategic</v>
      </c>
      <c r="I791" t="str">
        <f>_xlfn.XLOOKUP(Quota_tbl[[#This Row],[Rep_ID]],Dim_Reps!A:A,Dim_Reps!E:E)</f>
        <v>NAMER</v>
      </c>
      <c r="J791" t="str">
        <f>_xlfn.XLOOKUP(Quota_tbl[[#This Row],[Period_Start_Date]],Dim_Date!A:A,Dim_Date!H:H)</f>
        <v>Apr 2025</v>
      </c>
    </row>
    <row r="792" spans="1:10" ht="15" customHeight="1" x14ac:dyDescent="0.2">
      <c r="A792" t="s">
        <v>284</v>
      </c>
      <c r="B792" s="49">
        <v>45778</v>
      </c>
      <c r="C792">
        <v>17</v>
      </c>
      <c r="D792" s="33">
        <v>46100</v>
      </c>
      <c r="E792" t="str">
        <f>_xlfn.XLOOKUP(Quota_tbl[[#This Row],[Rep_ID]],Dim_Reps!A:A,Dim_Reps!K:K)</f>
        <v>USD</v>
      </c>
      <c r="F792" s="33">
        <f>(_xlfn.XLOOKUP(Quota_tbl[[#This Row],[Rate_Code_Generalized]],Lookups!A:A,Lookups!B:B)*Quota_tbl[[#This Row],[Quota_Amount_USD]])</f>
        <v>53674.229999999996</v>
      </c>
      <c r="G792" t="str">
        <f>_xlfn.XLOOKUP(Quota_tbl[[#This Row],[Rep_ID]],Dim_Reps!A:A,Dim_Reps!C:C)</f>
        <v>Senior Enterprise AE</v>
      </c>
      <c r="H792" t="str">
        <f>_xlfn.XLOOKUP(Quota_tbl[[#This Row],[Rep_ID]],Dim_Reps!A:A,Dim_Reps!D:D)</f>
        <v>Strategic</v>
      </c>
      <c r="I792" t="str">
        <f>_xlfn.XLOOKUP(Quota_tbl[[#This Row],[Rep_ID]],Dim_Reps!A:A,Dim_Reps!E:E)</f>
        <v>NAMER</v>
      </c>
      <c r="J792" t="str">
        <f>_xlfn.XLOOKUP(Quota_tbl[[#This Row],[Period_Start_Date]],Dim_Date!A:A,Dim_Date!H:H)</f>
        <v>May 2025</v>
      </c>
    </row>
    <row r="793" spans="1:10" ht="15" customHeight="1" x14ac:dyDescent="0.2">
      <c r="A793" t="s">
        <v>284</v>
      </c>
      <c r="B793" s="49">
        <v>45809</v>
      </c>
      <c r="C793">
        <v>18</v>
      </c>
      <c r="D793" s="33">
        <v>46700</v>
      </c>
      <c r="E793" t="str">
        <f>_xlfn.XLOOKUP(Quota_tbl[[#This Row],[Rep_ID]],Dim_Reps!A:A,Dim_Reps!K:K)</f>
        <v>USD</v>
      </c>
      <c r="F793" s="33">
        <f>(_xlfn.XLOOKUP(Quota_tbl[[#This Row],[Rate_Code_Generalized]],Lookups!A:A,Lookups!B:B)*Quota_tbl[[#This Row],[Quota_Amount_USD]])</f>
        <v>54372.81</v>
      </c>
      <c r="G793" t="str">
        <f>_xlfn.XLOOKUP(Quota_tbl[[#This Row],[Rep_ID]],Dim_Reps!A:A,Dim_Reps!C:C)</f>
        <v>Senior Enterprise AE</v>
      </c>
      <c r="H793" t="str">
        <f>_xlfn.XLOOKUP(Quota_tbl[[#This Row],[Rep_ID]],Dim_Reps!A:A,Dim_Reps!D:D)</f>
        <v>Strategic</v>
      </c>
      <c r="I793" t="str">
        <f>_xlfn.XLOOKUP(Quota_tbl[[#This Row],[Rep_ID]],Dim_Reps!A:A,Dim_Reps!E:E)</f>
        <v>NAMER</v>
      </c>
      <c r="J793" t="str">
        <f>_xlfn.XLOOKUP(Quota_tbl[[#This Row],[Period_Start_Date]],Dim_Date!A:A,Dim_Date!H:H)</f>
        <v>Jun 2025</v>
      </c>
    </row>
    <row r="794" spans="1:10" ht="15" customHeight="1" x14ac:dyDescent="0.2">
      <c r="A794" t="s">
        <v>284</v>
      </c>
      <c r="B794" s="49">
        <v>45839</v>
      </c>
      <c r="C794">
        <v>19</v>
      </c>
      <c r="D794" s="33">
        <v>46600</v>
      </c>
      <c r="E794" t="str">
        <f>_xlfn.XLOOKUP(Quota_tbl[[#This Row],[Rep_ID]],Dim_Reps!A:A,Dim_Reps!K:K)</f>
        <v>USD</v>
      </c>
      <c r="F794" s="33">
        <f>(_xlfn.XLOOKUP(Quota_tbl[[#This Row],[Rate_Code_Generalized]],Lookups!A:A,Lookups!B:B)*Quota_tbl[[#This Row],[Quota_Amount_USD]])</f>
        <v>54256.38</v>
      </c>
      <c r="G794" t="str">
        <f>_xlfn.XLOOKUP(Quota_tbl[[#This Row],[Rep_ID]],Dim_Reps!A:A,Dim_Reps!C:C)</f>
        <v>Senior Enterprise AE</v>
      </c>
      <c r="H794" t="str">
        <f>_xlfn.XLOOKUP(Quota_tbl[[#This Row],[Rep_ID]],Dim_Reps!A:A,Dim_Reps!D:D)</f>
        <v>Strategic</v>
      </c>
      <c r="I794" t="str">
        <f>_xlfn.XLOOKUP(Quota_tbl[[#This Row],[Rep_ID]],Dim_Reps!A:A,Dim_Reps!E:E)</f>
        <v>NAMER</v>
      </c>
      <c r="J794" t="str">
        <f>_xlfn.XLOOKUP(Quota_tbl[[#This Row],[Period_Start_Date]],Dim_Date!A:A,Dim_Date!H:H)</f>
        <v>Jul 2025</v>
      </c>
    </row>
    <row r="795" spans="1:10" ht="15" customHeight="1" x14ac:dyDescent="0.2">
      <c r="A795" t="s">
        <v>284</v>
      </c>
      <c r="B795" s="49">
        <v>45870</v>
      </c>
      <c r="C795">
        <v>20</v>
      </c>
      <c r="D795" s="33">
        <v>46900</v>
      </c>
      <c r="E795" t="str">
        <f>_xlfn.XLOOKUP(Quota_tbl[[#This Row],[Rep_ID]],Dim_Reps!A:A,Dim_Reps!K:K)</f>
        <v>USD</v>
      </c>
      <c r="F795" s="33">
        <f>(_xlfn.XLOOKUP(Quota_tbl[[#This Row],[Rate_Code_Generalized]],Lookups!A:A,Lookups!B:B)*Quota_tbl[[#This Row],[Quota_Amount_USD]])</f>
        <v>54605.67</v>
      </c>
      <c r="G795" t="str">
        <f>_xlfn.XLOOKUP(Quota_tbl[[#This Row],[Rep_ID]],Dim_Reps!A:A,Dim_Reps!C:C)</f>
        <v>Senior Enterprise AE</v>
      </c>
      <c r="H795" t="str">
        <f>_xlfn.XLOOKUP(Quota_tbl[[#This Row],[Rep_ID]],Dim_Reps!A:A,Dim_Reps!D:D)</f>
        <v>Strategic</v>
      </c>
      <c r="I795" t="str">
        <f>_xlfn.XLOOKUP(Quota_tbl[[#This Row],[Rep_ID]],Dim_Reps!A:A,Dim_Reps!E:E)</f>
        <v>NAMER</v>
      </c>
      <c r="J795" t="str">
        <f>_xlfn.XLOOKUP(Quota_tbl[[#This Row],[Period_Start_Date]],Dim_Date!A:A,Dim_Date!H:H)</f>
        <v>Aug 2025</v>
      </c>
    </row>
    <row r="796" spans="1:10" ht="15" customHeight="1" x14ac:dyDescent="0.2">
      <c r="A796" t="s">
        <v>284</v>
      </c>
      <c r="B796" s="49">
        <v>45901</v>
      </c>
      <c r="C796">
        <v>21</v>
      </c>
      <c r="D796" s="33">
        <v>48000</v>
      </c>
      <c r="E796" t="str">
        <f>_xlfn.XLOOKUP(Quota_tbl[[#This Row],[Rep_ID]],Dim_Reps!A:A,Dim_Reps!K:K)</f>
        <v>USD</v>
      </c>
      <c r="F796" s="33">
        <f>(_xlfn.XLOOKUP(Quota_tbl[[#This Row],[Rate_Code_Generalized]],Lookups!A:A,Lookups!B:B)*Quota_tbl[[#This Row],[Quota_Amount_USD]])</f>
        <v>55886.399999999994</v>
      </c>
      <c r="G796" t="str">
        <f>_xlfn.XLOOKUP(Quota_tbl[[#This Row],[Rep_ID]],Dim_Reps!A:A,Dim_Reps!C:C)</f>
        <v>Senior Enterprise AE</v>
      </c>
      <c r="H796" t="str">
        <f>_xlfn.XLOOKUP(Quota_tbl[[#This Row],[Rep_ID]],Dim_Reps!A:A,Dim_Reps!D:D)</f>
        <v>Strategic</v>
      </c>
      <c r="I796" t="str">
        <f>_xlfn.XLOOKUP(Quota_tbl[[#This Row],[Rep_ID]],Dim_Reps!A:A,Dim_Reps!E:E)</f>
        <v>NAMER</v>
      </c>
      <c r="J796" t="str">
        <f>_xlfn.XLOOKUP(Quota_tbl[[#This Row],[Period_Start_Date]],Dim_Date!A:A,Dim_Date!H:H)</f>
        <v>Sep 2025</v>
      </c>
    </row>
    <row r="797" spans="1:10" ht="15" customHeight="1" x14ac:dyDescent="0.2">
      <c r="A797" t="s">
        <v>284</v>
      </c>
      <c r="B797" s="49">
        <v>45931</v>
      </c>
      <c r="C797">
        <v>22</v>
      </c>
      <c r="D797" s="33">
        <v>48300</v>
      </c>
      <c r="E797" t="str">
        <f>_xlfn.XLOOKUP(Quota_tbl[[#This Row],[Rep_ID]],Dim_Reps!A:A,Dim_Reps!K:K)</f>
        <v>USD</v>
      </c>
      <c r="F797" s="33">
        <f>(_xlfn.XLOOKUP(Quota_tbl[[#This Row],[Rate_Code_Generalized]],Lookups!A:A,Lookups!B:B)*Quota_tbl[[#This Row],[Quota_Amount_USD]])</f>
        <v>56235.689999999995</v>
      </c>
      <c r="G797" t="str">
        <f>_xlfn.XLOOKUP(Quota_tbl[[#This Row],[Rep_ID]],Dim_Reps!A:A,Dim_Reps!C:C)</f>
        <v>Senior Enterprise AE</v>
      </c>
      <c r="H797" t="str">
        <f>_xlfn.XLOOKUP(Quota_tbl[[#This Row],[Rep_ID]],Dim_Reps!A:A,Dim_Reps!D:D)</f>
        <v>Strategic</v>
      </c>
      <c r="I797" t="str">
        <f>_xlfn.XLOOKUP(Quota_tbl[[#This Row],[Rep_ID]],Dim_Reps!A:A,Dim_Reps!E:E)</f>
        <v>NAMER</v>
      </c>
      <c r="J797" t="str">
        <f>_xlfn.XLOOKUP(Quota_tbl[[#This Row],[Period_Start_Date]],Dim_Date!A:A,Dim_Date!H:H)</f>
        <v>Oct 2025</v>
      </c>
    </row>
    <row r="798" spans="1:10" ht="15" customHeight="1" x14ac:dyDescent="0.2">
      <c r="A798" t="s">
        <v>237</v>
      </c>
      <c r="B798" s="49">
        <v>45292</v>
      </c>
      <c r="C798">
        <v>19</v>
      </c>
      <c r="D798" s="33">
        <v>16200</v>
      </c>
      <c r="E798" t="str">
        <f>_xlfn.XLOOKUP(Quota_tbl[[#This Row],[Rep_ID]],Dim_Reps!A:A,Dim_Reps!K:K)</f>
        <v>EUR</v>
      </c>
      <c r="F798" s="33">
        <f>(_xlfn.XLOOKUP(Quota_tbl[[#This Row],[Rate_Code_Generalized]],Lookups!A:A,Lookups!B:B)*Quota_tbl[[#This Row],[Quota_Amount_USD]])</f>
        <v>16200</v>
      </c>
      <c r="G798" t="str">
        <f>_xlfn.XLOOKUP(Quota_tbl[[#This Row],[Rep_ID]],Dim_Reps!A:A,Dim_Reps!C:C)</f>
        <v>SDR / Inside Sales Rep</v>
      </c>
      <c r="H798" t="str">
        <f>_xlfn.XLOOKUP(Quota_tbl[[#This Row],[Rep_ID]],Dim_Reps!A:A,Dim_Reps!D:D)</f>
        <v>Inside Sales</v>
      </c>
      <c r="I798" t="str">
        <f>_xlfn.XLOOKUP(Quota_tbl[[#This Row],[Rep_ID]],Dim_Reps!A:A,Dim_Reps!E:E)</f>
        <v>EMEA</v>
      </c>
      <c r="J798" t="str">
        <f>_xlfn.XLOOKUP(Quota_tbl[[#This Row],[Period_Start_Date]],Dim_Date!A:A,Dim_Date!H:H)</f>
        <v>Jan 2024</v>
      </c>
    </row>
    <row r="799" spans="1:10" ht="15" customHeight="1" x14ac:dyDescent="0.2">
      <c r="A799" t="s">
        <v>237</v>
      </c>
      <c r="B799" s="49">
        <v>45323</v>
      </c>
      <c r="C799">
        <v>20</v>
      </c>
      <c r="D799" s="33">
        <v>15000</v>
      </c>
      <c r="E799" t="str">
        <f>_xlfn.XLOOKUP(Quota_tbl[[#This Row],[Rep_ID]],Dim_Reps!A:A,Dim_Reps!K:K)</f>
        <v>EUR</v>
      </c>
      <c r="F799" s="33">
        <f>(_xlfn.XLOOKUP(Quota_tbl[[#This Row],[Rate_Code_Generalized]],Lookups!A:A,Lookups!B:B)*Quota_tbl[[#This Row],[Quota_Amount_USD]])</f>
        <v>15000</v>
      </c>
      <c r="G799" t="str">
        <f>_xlfn.XLOOKUP(Quota_tbl[[#This Row],[Rep_ID]],Dim_Reps!A:A,Dim_Reps!C:C)</f>
        <v>SDR / Inside Sales Rep</v>
      </c>
      <c r="H799" t="str">
        <f>_xlfn.XLOOKUP(Quota_tbl[[#This Row],[Rep_ID]],Dim_Reps!A:A,Dim_Reps!D:D)</f>
        <v>Inside Sales</v>
      </c>
      <c r="I799" t="str">
        <f>_xlfn.XLOOKUP(Quota_tbl[[#This Row],[Rep_ID]],Dim_Reps!A:A,Dim_Reps!E:E)</f>
        <v>EMEA</v>
      </c>
      <c r="J799" t="str">
        <f>_xlfn.XLOOKUP(Quota_tbl[[#This Row],[Period_Start_Date]],Dim_Date!A:A,Dim_Date!H:H)</f>
        <v>Feb 2024</v>
      </c>
    </row>
    <row r="800" spans="1:10" ht="15" customHeight="1" x14ac:dyDescent="0.2">
      <c r="A800" t="s">
        <v>237</v>
      </c>
      <c r="B800" s="49">
        <v>45352</v>
      </c>
      <c r="C800">
        <v>21</v>
      </c>
      <c r="D800" s="33">
        <v>16000</v>
      </c>
      <c r="E800" t="str">
        <f>_xlfn.XLOOKUP(Quota_tbl[[#This Row],[Rep_ID]],Dim_Reps!A:A,Dim_Reps!K:K)</f>
        <v>EUR</v>
      </c>
      <c r="F800" s="33">
        <f>(_xlfn.XLOOKUP(Quota_tbl[[#This Row],[Rate_Code_Generalized]],Lookups!A:A,Lookups!B:B)*Quota_tbl[[#This Row],[Quota_Amount_USD]])</f>
        <v>16000</v>
      </c>
      <c r="G800" t="str">
        <f>_xlfn.XLOOKUP(Quota_tbl[[#This Row],[Rep_ID]],Dim_Reps!A:A,Dim_Reps!C:C)</f>
        <v>SDR / Inside Sales Rep</v>
      </c>
      <c r="H800" t="str">
        <f>_xlfn.XLOOKUP(Quota_tbl[[#This Row],[Rep_ID]],Dim_Reps!A:A,Dim_Reps!D:D)</f>
        <v>Inside Sales</v>
      </c>
      <c r="I800" t="str">
        <f>_xlfn.XLOOKUP(Quota_tbl[[#This Row],[Rep_ID]],Dim_Reps!A:A,Dim_Reps!E:E)</f>
        <v>EMEA</v>
      </c>
      <c r="J800" t="str">
        <f>_xlfn.XLOOKUP(Quota_tbl[[#This Row],[Period_Start_Date]],Dim_Date!A:A,Dim_Date!H:H)</f>
        <v>Mar 2024</v>
      </c>
    </row>
    <row r="801" spans="1:10" ht="15" customHeight="1" x14ac:dyDescent="0.2">
      <c r="A801" t="s">
        <v>237</v>
      </c>
      <c r="B801" s="49">
        <v>45383</v>
      </c>
      <c r="C801">
        <v>22</v>
      </c>
      <c r="D801" s="33">
        <v>15400</v>
      </c>
      <c r="E801" t="str">
        <f>_xlfn.XLOOKUP(Quota_tbl[[#This Row],[Rep_ID]],Dim_Reps!A:A,Dim_Reps!K:K)</f>
        <v>EUR</v>
      </c>
      <c r="F801" s="33">
        <f>(_xlfn.XLOOKUP(Quota_tbl[[#This Row],[Rate_Code_Generalized]],Lookups!A:A,Lookups!B:B)*Quota_tbl[[#This Row],[Quota_Amount_USD]])</f>
        <v>15400</v>
      </c>
      <c r="G801" t="str">
        <f>_xlfn.XLOOKUP(Quota_tbl[[#This Row],[Rep_ID]],Dim_Reps!A:A,Dim_Reps!C:C)</f>
        <v>SDR / Inside Sales Rep</v>
      </c>
      <c r="H801" t="str">
        <f>_xlfn.XLOOKUP(Quota_tbl[[#This Row],[Rep_ID]],Dim_Reps!A:A,Dim_Reps!D:D)</f>
        <v>Inside Sales</v>
      </c>
      <c r="I801" t="str">
        <f>_xlfn.XLOOKUP(Quota_tbl[[#This Row],[Rep_ID]],Dim_Reps!A:A,Dim_Reps!E:E)</f>
        <v>EMEA</v>
      </c>
      <c r="J801" t="str">
        <f>_xlfn.XLOOKUP(Quota_tbl[[#This Row],[Period_Start_Date]],Dim_Date!A:A,Dim_Date!H:H)</f>
        <v>Apr 2024</v>
      </c>
    </row>
    <row r="802" spans="1:10" ht="15" customHeight="1" x14ac:dyDescent="0.2">
      <c r="A802" t="s">
        <v>237</v>
      </c>
      <c r="B802" s="49">
        <v>45413</v>
      </c>
      <c r="C802">
        <v>23</v>
      </c>
      <c r="D802" s="33">
        <v>15500</v>
      </c>
      <c r="E802" t="str">
        <f>_xlfn.XLOOKUP(Quota_tbl[[#This Row],[Rep_ID]],Dim_Reps!A:A,Dim_Reps!K:K)</f>
        <v>EUR</v>
      </c>
      <c r="F802" s="33">
        <f>(_xlfn.XLOOKUP(Quota_tbl[[#This Row],[Rate_Code_Generalized]],Lookups!A:A,Lookups!B:B)*Quota_tbl[[#This Row],[Quota_Amount_USD]])</f>
        <v>15500</v>
      </c>
      <c r="G802" t="str">
        <f>_xlfn.XLOOKUP(Quota_tbl[[#This Row],[Rep_ID]],Dim_Reps!A:A,Dim_Reps!C:C)</f>
        <v>SDR / Inside Sales Rep</v>
      </c>
      <c r="H802" t="str">
        <f>_xlfn.XLOOKUP(Quota_tbl[[#This Row],[Rep_ID]],Dim_Reps!A:A,Dim_Reps!D:D)</f>
        <v>Inside Sales</v>
      </c>
      <c r="I802" t="str">
        <f>_xlfn.XLOOKUP(Quota_tbl[[#This Row],[Rep_ID]],Dim_Reps!A:A,Dim_Reps!E:E)</f>
        <v>EMEA</v>
      </c>
      <c r="J802" t="str">
        <f>_xlfn.XLOOKUP(Quota_tbl[[#This Row],[Period_Start_Date]],Dim_Date!A:A,Dim_Date!H:H)</f>
        <v>May 2024</v>
      </c>
    </row>
    <row r="803" spans="1:10" ht="15" customHeight="1" x14ac:dyDescent="0.2">
      <c r="A803" t="s">
        <v>237</v>
      </c>
      <c r="B803" s="49">
        <v>45444</v>
      </c>
      <c r="C803">
        <v>24</v>
      </c>
      <c r="D803" s="33">
        <v>15800</v>
      </c>
      <c r="E803" t="str">
        <f>_xlfn.XLOOKUP(Quota_tbl[[#This Row],[Rep_ID]],Dim_Reps!A:A,Dim_Reps!K:K)</f>
        <v>EUR</v>
      </c>
      <c r="F803" s="33">
        <f>(_xlfn.XLOOKUP(Quota_tbl[[#This Row],[Rate_Code_Generalized]],Lookups!A:A,Lookups!B:B)*Quota_tbl[[#This Row],[Quota_Amount_USD]])</f>
        <v>15800</v>
      </c>
      <c r="G803" t="str">
        <f>_xlfn.XLOOKUP(Quota_tbl[[#This Row],[Rep_ID]],Dim_Reps!A:A,Dim_Reps!C:C)</f>
        <v>SDR / Inside Sales Rep</v>
      </c>
      <c r="H803" t="str">
        <f>_xlfn.XLOOKUP(Quota_tbl[[#This Row],[Rep_ID]],Dim_Reps!A:A,Dim_Reps!D:D)</f>
        <v>Inside Sales</v>
      </c>
      <c r="I803" t="str">
        <f>_xlfn.XLOOKUP(Quota_tbl[[#This Row],[Rep_ID]],Dim_Reps!A:A,Dim_Reps!E:E)</f>
        <v>EMEA</v>
      </c>
      <c r="J803" t="str">
        <f>_xlfn.XLOOKUP(Quota_tbl[[#This Row],[Period_Start_Date]],Dim_Date!A:A,Dim_Date!H:H)</f>
        <v>Jun 2024</v>
      </c>
    </row>
    <row r="804" spans="1:10" ht="15" customHeight="1" x14ac:dyDescent="0.2">
      <c r="A804" t="s">
        <v>237</v>
      </c>
      <c r="B804" s="49">
        <v>45474</v>
      </c>
      <c r="C804">
        <v>25</v>
      </c>
      <c r="D804" s="33">
        <v>15000</v>
      </c>
      <c r="E804" t="str">
        <f>_xlfn.XLOOKUP(Quota_tbl[[#This Row],[Rep_ID]],Dim_Reps!A:A,Dim_Reps!K:K)</f>
        <v>EUR</v>
      </c>
      <c r="F804" s="33">
        <f>(_xlfn.XLOOKUP(Quota_tbl[[#This Row],[Rate_Code_Generalized]],Lookups!A:A,Lookups!B:B)*Quota_tbl[[#This Row],[Quota_Amount_USD]])</f>
        <v>15000</v>
      </c>
      <c r="G804" t="str">
        <f>_xlfn.XLOOKUP(Quota_tbl[[#This Row],[Rep_ID]],Dim_Reps!A:A,Dim_Reps!C:C)</f>
        <v>SDR / Inside Sales Rep</v>
      </c>
      <c r="H804" t="str">
        <f>_xlfn.XLOOKUP(Quota_tbl[[#This Row],[Rep_ID]],Dim_Reps!A:A,Dim_Reps!D:D)</f>
        <v>Inside Sales</v>
      </c>
      <c r="I804" t="str">
        <f>_xlfn.XLOOKUP(Quota_tbl[[#This Row],[Rep_ID]],Dim_Reps!A:A,Dim_Reps!E:E)</f>
        <v>EMEA</v>
      </c>
      <c r="J804" t="str">
        <f>_xlfn.XLOOKUP(Quota_tbl[[#This Row],[Period_Start_Date]],Dim_Date!A:A,Dim_Date!H:H)</f>
        <v>Jul 2024</v>
      </c>
    </row>
    <row r="805" spans="1:10" ht="15" customHeight="1" x14ac:dyDescent="0.2">
      <c r="A805" t="s">
        <v>237</v>
      </c>
      <c r="B805" s="49">
        <v>45505</v>
      </c>
      <c r="C805">
        <v>26</v>
      </c>
      <c r="D805" s="33">
        <v>15700</v>
      </c>
      <c r="E805" t="str">
        <f>_xlfn.XLOOKUP(Quota_tbl[[#This Row],[Rep_ID]],Dim_Reps!A:A,Dim_Reps!K:K)</f>
        <v>EUR</v>
      </c>
      <c r="F805" s="33">
        <f>(_xlfn.XLOOKUP(Quota_tbl[[#This Row],[Rate_Code_Generalized]],Lookups!A:A,Lookups!B:B)*Quota_tbl[[#This Row],[Quota_Amount_USD]])</f>
        <v>15700</v>
      </c>
      <c r="G805" t="str">
        <f>_xlfn.XLOOKUP(Quota_tbl[[#This Row],[Rep_ID]],Dim_Reps!A:A,Dim_Reps!C:C)</f>
        <v>SDR / Inside Sales Rep</v>
      </c>
      <c r="H805" t="str">
        <f>_xlfn.XLOOKUP(Quota_tbl[[#This Row],[Rep_ID]],Dim_Reps!A:A,Dim_Reps!D:D)</f>
        <v>Inside Sales</v>
      </c>
      <c r="I805" t="str">
        <f>_xlfn.XLOOKUP(Quota_tbl[[#This Row],[Rep_ID]],Dim_Reps!A:A,Dim_Reps!E:E)</f>
        <v>EMEA</v>
      </c>
      <c r="J805" t="str">
        <f>_xlfn.XLOOKUP(Quota_tbl[[#This Row],[Period_Start_Date]],Dim_Date!A:A,Dim_Date!H:H)</f>
        <v>Aug 2024</v>
      </c>
    </row>
    <row r="806" spans="1:10" ht="15" customHeight="1" x14ac:dyDescent="0.2">
      <c r="A806" t="s">
        <v>237</v>
      </c>
      <c r="B806" s="49">
        <v>45536</v>
      </c>
      <c r="C806">
        <v>27</v>
      </c>
      <c r="D806" s="33">
        <v>15600</v>
      </c>
      <c r="E806" t="str">
        <f>_xlfn.XLOOKUP(Quota_tbl[[#This Row],[Rep_ID]],Dim_Reps!A:A,Dim_Reps!K:K)</f>
        <v>EUR</v>
      </c>
      <c r="F806" s="33">
        <f>(_xlfn.XLOOKUP(Quota_tbl[[#This Row],[Rate_Code_Generalized]],Lookups!A:A,Lookups!B:B)*Quota_tbl[[#This Row],[Quota_Amount_USD]])</f>
        <v>15600</v>
      </c>
      <c r="G806" t="str">
        <f>_xlfn.XLOOKUP(Quota_tbl[[#This Row],[Rep_ID]],Dim_Reps!A:A,Dim_Reps!C:C)</f>
        <v>SDR / Inside Sales Rep</v>
      </c>
      <c r="H806" t="str">
        <f>_xlfn.XLOOKUP(Quota_tbl[[#This Row],[Rep_ID]],Dim_Reps!A:A,Dim_Reps!D:D)</f>
        <v>Inside Sales</v>
      </c>
      <c r="I806" t="str">
        <f>_xlfn.XLOOKUP(Quota_tbl[[#This Row],[Rep_ID]],Dim_Reps!A:A,Dim_Reps!E:E)</f>
        <v>EMEA</v>
      </c>
      <c r="J806" t="str">
        <f>_xlfn.XLOOKUP(Quota_tbl[[#This Row],[Period_Start_Date]],Dim_Date!A:A,Dim_Date!H:H)</f>
        <v>Sep 2024</v>
      </c>
    </row>
    <row r="807" spans="1:10" ht="15" customHeight="1" x14ac:dyDescent="0.2">
      <c r="A807" t="s">
        <v>237</v>
      </c>
      <c r="B807" s="49">
        <v>45566</v>
      </c>
      <c r="C807">
        <v>28</v>
      </c>
      <c r="D807" s="33">
        <v>15700</v>
      </c>
      <c r="E807" t="str">
        <f>_xlfn.XLOOKUP(Quota_tbl[[#This Row],[Rep_ID]],Dim_Reps!A:A,Dim_Reps!K:K)</f>
        <v>EUR</v>
      </c>
      <c r="F807" s="33">
        <f>(_xlfn.XLOOKUP(Quota_tbl[[#This Row],[Rate_Code_Generalized]],Lookups!A:A,Lookups!B:B)*Quota_tbl[[#This Row],[Quota_Amount_USD]])</f>
        <v>15700</v>
      </c>
      <c r="G807" t="str">
        <f>_xlfn.XLOOKUP(Quota_tbl[[#This Row],[Rep_ID]],Dim_Reps!A:A,Dim_Reps!C:C)</f>
        <v>SDR / Inside Sales Rep</v>
      </c>
      <c r="H807" t="str">
        <f>_xlfn.XLOOKUP(Quota_tbl[[#This Row],[Rep_ID]],Dim_Reps!A:A,Dim_Reps!D:D)</f>
        <v>Inside Sales</v>
      </c>
      <c r="I807" t="str">
        <f>_xlfn.XLOOKUP(Quota_tbl[[#This Row],[Rep_ID]],Dim_Reps!A:A,Dim_Reps!E:E)</f>
        <v>EMEA</v>
      </c>
      <c r="J807" t="str">
        <f>_xlfn.XLOOKUP(Quota_tbl[[#This Row],[Period_Start_Date]],Dim_Date!A:A,Dim_Date!H:H)</f>
        <v>Oct 2024</v>
      </c>
    </row>
    <row r="808" spans="1:10" ht="15" customHeight="1" x14ac:dyDescent="0.2">
      <c r="A808" t="s">
        <v>237</v>
      </c>
      <c r="B808" s="49">
        <v>45597</v>
      </c>
      <c r="C808">
        <v>29</v>
      </c>
      <c r="D808" s="33">
        <v>15600</v>
      </c>
      <c r="E808" t="str">
        <f>_xlfn.XLOOKUP(Quota_tbl[[#This Row],[Rep_ID]],Dim_Reps!A:A,Dim_Reps!K:K)</f>
        <v>EUR</v>
      </c>
      <c r="F808" s="33">
        <f>(_xlfn.XLOOKUP(Quota_tbl[[#This Row],[Rate_Code_Generalized]],Lookups!A:A,Lookups!B:B)*Quota_tbl[[#This Row],[Quota_Amount_USD]])</f>
        <v>15600</v>
      </c>
      <c r="G808" t="str">
        <f>_xlfn.XLOOKUP(Quota_tbl[[#This Row],[Rep_ID]],Dim_Reps!A:A,Dim_Reps!C:C)</f>
        <v>SDR / Inside Sales Rep</v>
      </c>
      <c r="H808" t="str">
        <f>_xlfn.XLOOKUP(Quota_tbl[[#This Row],[Rep_ID]],Dim_Reps!A:A,Dim_Reps!D:D)</f>
        <v>Inside Sales</v>
      </c>
      <c r="I808" t="str">
        <f>_xlfn.XLOOKUP(Quota_tbl[[#This Row],[Rep_ID]],Dim_Reps!A:A,Dim_Reps!E:E)</f>
        <v>EMEA</v>
      </c>
      <c r="J808" t="str">
        <f>_xlfn.XLOOKUP(Quota_tbl[[#This Row],[Period_Start_Date]],Dim_Date!A:A,Dim_Date!H:H)</f>
        <v>Nov 2024</v>
      </c>
    </row>
    <row r="809" spans="1:10" ht="15" customHeight="1" x14ac:dyDescent="0.2">
      <c r="A809" t="s">
        <v>237</v>
      </c>
      <c r="B809" s="49">
        <v>45627</v>
      </c>
      <c r="C809">
        <v>30</v>
      </c>
      <c r="D809" s="33">
        <v>16600</v>
      </c>
      <c r="E809" t="str">
        <f>_xlfn.XLOOKUP(Quota_tbl[[#This Row],[Rep_ID]],Dim_Reps!A:A,Dim_Reps!K:K)</f>
        <v>EUR</v>
      </c>
      <c r="F809" s="33">
        <f>(_xlfn.XLOOKUP(Quota_tbl[[#This Row],[Rate_Code_Generalized]],Lookups!A:A,Lookups!B:B)*Quota_tbl[[#This Row],[Quota_Amount_USD]])</f>
        <v>16600</v>
      </c>
      <c r="G809" t="str">
        <f>_xlfn.XLOOKUP(Quota_tbl[[#This Row],[Rep_ID]],Dim_Reps!A:A,Dim_Reps!C:C)</f>
        <v>SDR / Inside Sales Rep</v>
      </c>
      <c r="H809" t="str">
        <f>_xlfn.XLOOKUP(Quota_tbl[[#This Row],[Rep_ID]],Dim_Reps!A:A,Dim_Reps!D:D)</f>
        <v>Inside Sales</v>
      </c>
      <c r="I809" t="str">
        <f>_xlfn.XLOOKUP(Quota_tbl[[#This Row],[Rep_ID]],Dim_Reps!A:A,Dim_Reps!E:E)</f>
        <v>EMEA</v>
      </c>
      <c r="J809" t="str">
        <f>_xlfn.XLOOKUP(Quota_tbl[[#This Row],[Period_Start_Date]],Dim_Date!A:A,Dim_Date!H:H)</f>
        <v>Dec 2024</v>
      </c>
    </row>
    <row r="810" spans="1:10" ht="15" customHeight="1" x14ac:dyDescent="0.2">
      <c r="A810" t="s">
        <v>237</v>
      </c>
      <c r="B810" s="49">
        <v>45658</v>
      </c>
      <c r="C810">
        <v>31</v>
      </c>
      <c r="D810" s="33">
        <v>15200</v>
      </c>
      <c r="E810" t="str">
        <f>_xlfn.XLOOKUP(Quota_tbl[[#This Row],[Rep_ID]],Dim_Reps!A:A,Dim_Reps!K:K)</f>
        <v>EUR</v>
      </c>
      <c r="F810" s="33">
        <f>(_xlfn.XLOOKUP(Quota_tbl[[#This Row],[Rate_Code_Generalized]],Lookups!A:A,Lookups!B:B)*Quota_tbl[[#This Row],[Quota_Amount_USD]])</f>
        <v>15200</v>
      </c>
      <c r="G810" t="str">
        <f>_xlfn.XLOOKUP(Quota_tbl[[#This Row],[Rep_ID]],Dim_Reps!A:A,Dim_Reps!C:C)</f>
        <v>SDR / Inside Sales Rep</v>
      </c>
      <c r="H810" t="str">
        <f>_xlfn.XLOOKUP(Quota_tbl[[#This Row],[Rep_ID]],Dim_Reps!A:A,Dim_Reps!D:D)</f>
        <v>Inside Sales</v>
      </c>
      <c r="I810" t="str">
        <f>_xlfn.XLOOKUP(Quota_tbl[[#This Row],[Rep_ID]],Dim_Reps!A:A,Dim_Reps!E:E)</f>
        <v>EMEA</v>
      </c>
      <c r="J810" t="str">
        <f>_xlfn.XLOOKUP(Quota_tbl[[#This Row],[Period_Start_Date]],Dim_Date!A:A,Dim_Date!H:H)</f>
        <v>Jan 2025</v>
      </c>
    </row>
    <row r="811" spans="1:10" ht="15" customHeight="1" x14ac:dyDescent="0.2">
      <c r="A811" t="s">
        <v>237</v>
      </c>
      <c r="B811" s="49">
        <v>45689</v>
      </c>
      <c r="C811">
        <v>32</v>
      </c>
      <c r="D811" s="33">
        <v>15300</v>
      </c>
      <c r="E811" t="str">
        <f>_xlfn.XLOOKUP(Quota_tbl[[#This Row],[Rep_ID]],Dim_Reps!A:A,Dim_Reps!K:K)</f>
        <v>EUR</v>
      </c>
      <c r="F811" s="33">
        <f>(_xlfn.XLOOKUP(Quota_tbl[[#This Row],[Rate_Code_Generalized]],Lookups!A:A,Lookups!B:B)*Quota_tbl[[#This Row],[Quota_Amount_USD]])</f>
        <v>15300</v>
      </c>
      <c r="G811" t="str">
        <f>_xlfn.XLOOKUP(Quota_tbl[[#This Row],[Rep_ID]],Dim_Reps!A:A,Dim_Reps!C:C)</f>
        <v>SDR / Inside Sales Rep</v>
      </c>
      <c r="H811" t="str">
        <f>_xlfn.XLOOKUP(Quota_tbl[[#This Row],[Rep_ID]],Dim_Reps!A:A,Dim_Reps!D:D)</f>
        <v>Inside Sales</v>
      </c>
      <c r="I811" t="str">
        <f>_xlfn.XLOOKUP(Quota_tbl[[#This Row],[Rep_ID]],Dim_Reps!A:A,Dim_Reps!E:E)</f>
        <v>EMEA</v>
      </c>
      <c r="J811" t="str">
        <f>_xlfn.XLOOKUP(Quota_tbl[[#This Row],[Period_Start_Date]],Dim_Date!A:A,Dim_Date!H:H)</f>
        <v>Feb 2025</v>
      </c>
    </row>
    <row r="812" spans="1:10" ht="15" customHeight="1" x14ac:dyDescent="0.2">
      <c r="A812" t="s">
        <v>237</v>
      </c>
      <c r="B812" s="49">
        <v>45717</v>
      </c>
      <c r="C812">
        <v>33</v>
      </c>
      <c r="D812" s="33">
        <v>15200</v>
      </c>
      <c r="E812" t="str">
        <f>_xlfn.XLOOKUP(Quota_tbl[[#This Row],[Rep_ID]],Dim_Reps!A:A,Dim_Reps!K:K)</f>
        <v>EUR</v>
      </c>
      <c r="F812" s="33">
        <f>(_xlfn.XLOOKUP(Quota_tbl[[#This Row],[Rate_Code_Generalized]],Lookups!A:A,Lookups!B:B)*Quota_tbl[[#This Row],[Quota_Amount_USD]])</f>
        <v>15200</v>
      </c>
      <c r="G812" t="str">
        <f>_xlfn.XLOOKUP(Quota_tbl[[#This Row],[Rep_ID]],Dim_Reps!A:A,Dim_Reps!C:C)</f>
        <v>SDR / Inside Sales Rep</v>
      </c>
      <c r="H812" t="str">
        <f>_xlfn.XLOOKUP(Quota_tbl[[#This Row],[Rep_ID]],Dim_Reps!A:A,Dim_Reps!D:D)</f>
        <v>Inside Sales</v>
      </c>
      <c r="I812" t="str">
        <f>_xlfn.XLOOKUP(Quota_tbl[[#This Row],[Rep_ID]],Dim_Reps!A:A,Dim_Reps!E:E)</f>
        <v>EMEA</v>
      </c>
      <c r="J812" t="str">
        <f>_xlfn.XLOOKUP(Quota_tbl[[#This Row],[Period_Start_Date]],Dim_Date!A:A,Dim_Date!H:H)</f>
        <v>Mar 2025</v>
      </c>
    </row>
    <row r="813" spans="1:10" ht="15" customHeight="1" x14ac:dyDescent="0.2">
      <c r="A813" t="s">
        <v>237</v>
      </c>
      <c r="B813" s="49">
        <v>45748</v>
      </c>
      <c r="C813">
        <v>34</v>
      </c>
      <c r="D813" s="33">
        <v>15200</v>
      </c>
      <c r="E813" t="str">
        <f>_xlfn.XLOOKUP(Quota_tbl[[#This Row],[Rep_ID]],Dim_Reps!A:A,Dim_Reps!K:K)</f>
        <v>EUR</v>
      </c>
      <c r="F813" s="33">
        <f>(_xlfn.XLOOKUP(Quota_tbl[[#This Row],[Rate_Code_Generalized]],Lookups!A:A,Lookups!B:B)*Quota_tbl[[#This Row],[Quota_Amount_USD]])</f>
        <v>15200</v>
      </c>
      <c r="G813" t="str">
        <f>_xlfn.XLOOKUP(Quota_tbl[[#This Row],[Rep_ID]],Dim_Reps!A:A,Dim_Reps!C:C)</f>
        <v>SDR / Inside Sales Rep</v>
      </c>
      <c r="H813" t="str">
        <f>_xlfn.XLOOKUP(Quota_tbl[[#This Row],[Rep_ID]],Dim_Reps!A:A,Dim_Reps!D:D)</f>
        <v>Inside Sales</v>
      </c>
      <c r="I813" t="str">
        <f>_xlfn.XLOOKUP(Quota_tbl[[#This Row],[Rep_ID]],Dim_Reps!A:A,Dim_Reps!E:E)</f>
        <v>EMEA</v>
      </c>
      <c r="J813" t="str">
        <f>_xlfn.XLOOKUP(Quota_tbl[[#This Row],[Period_Start_Date]],Dim_Date!A:A,Dim_Date!H:H)</f>
        <v>Apr 2025</v>
      </c>
    </row>
    <row r="814" spans="1:10" ht="15" customHeight="1" x14ac:dyDescent="0.2">
      <c r="A814" t="s">
        <v>237</v>
      </c>
      <c r="B814" s="49">
        <v>45778</v>
      </c>
      <c r="C814">
        <v>35</v>
      </c>
      <c r="D814" s="33">
        <v>15200</v>
      </c>
      <c r="E814" t="str">
        <f>_xlfn.XLOOKUP(Quota_tbl[[#This Row],[Rep_ID]],Dim_Reps!A:A,Dim_Reps!K:K)</f>
        <v>EUR</v>
      </c>
      <c r="F814" s="33">
        <f>(_xlfn.XLOOKUP(Quota_tbl[[#This Row],[Rate_Code_Generalized]],Lookups!A:A,Lookups!B:B)*Quota_tbl[[#This Row],[Quota_Amount_USD]])</f>
        <v>15200</v>
      </c>
      <c r="G814" t="str">
        <f>_xlfn.XLOOKUP(Quota_tbl[[#This Row],[Rep_ID]],Dim_Reps!A:A,Dim_Reps!C:C)</f>
        <v>SDR / Inside Sales Rep</v>
      </c>
      <c r="H814" t="str">
        <f>_xlfn.XLOOKUP(Quota_tbl[[#This Row],[Rep_ID]],Dim_Reps!A:A,Dim_Reps!D:D)</f>
        <v>Inside Sales</v>
      </c>
      <c r="I814" t="str">
        <f>_xlfn.XLOOKUP(Quota_tbl[[#This Row],[Rep_ID]],Dim_Reps!A:A,Dim_Reps!E:E)</f>
        <v>EMEA</v>
      </c>
      <c r="J814" t="str">
        <f>_xlfn.XLOOKUP(Quota_tbl[[#This Row],[Period_Start_Date]],Dim_Date!A:A,Dim_Date!H:H)</f>
        <v>May 2025</v>
      </c>
    </row>
    <row r="815" spans="1:10" ht="15" customHeight="1" x14ac:dyDescent="0.2">
      <c r="A815" t="s">
        <v>237</v>
      </c>
      <c r="B815" s="49">
        <v>45809</v>
      </c>
      <c r="C815">
        <v>36</v>
      </c>
      <c r="D815" s="33">
        <v>16100</v>
      </c>
      <c r="E815" t="str">
        <f>_xlfn.XLOOKUP(Quota_tbl[[#This Row],[Rep_ID]],Dim_Reps!A:A,Dim_Reps!K:K)</f>
        <v>EUR</v>
      </c>
      <c r="F815" s="33">
        <f>(_xlfn.XLOOKUP(Quota_tbl[[#This Row],[Rate_Code_Generalized]],Lookups!A:A,Lookups!B:B)*Quota_tbl[[#This Row],[Quota_Amount_USD]])</f>
        <v>16100</v>
      </c>
      <c r="G815" t="str">
        <f>_xlfn.XLOOKUP(Quota_tbl[[#This Row],[Rep_ID]],Dim_Reps!A:A,Dim_Reps!C:C)</f>
        <v>SDR / Inside Sales Rep</v>
      </c>
      <c r="H815" t="str">
        <f>_xlfn.XLOOKUP(Quota_tbl[[#This Row],[Rep_ID]],Dim_Reps!A:A,Dim_Reps!D:D)</f>
        <v>Inside Sales</v>
      </c>
      <c r="I815" t="str">
        <f>_xlfn.XLOOKUP(Quota_tbl[[#This Row],[Rep_ID]],Dim_Reps!A:A,Dim_Reps!E:E)</f>
        <v>EMEA</v>
      </c>
      <c r="J815" t="str">
        <f>_xlfn.XLOOKUP(Quota_tbl[[#This Row],[Period_Start_Date]],Dim_Date!A:A,Dim_Date!H:H)</f>
        <v>Jun 2025</v>
      </c>
    </row>
    <row r="816" spans="1:10" ht="15" customHeight="1" x14ac:dyDescent="0.2">
      <c r="A816" t="s">
        <v>237</v>
      </c>
      <c r="B816" s="49">
        <v>45839</v>
      </c>
      <c r="C816">
        <v>37</v>
      </c>
      <c r="D816" s="33">
        <v>16200</v>
      </c>
      <c r="E816" t="str">
        <f>_xlfn.XLOOKUP(Quota_tbl[[#This Row],[Rep_ID]],Dim_Reps!A:A,Dim_Reps!K:K)</f>
        <v>EUR</v>
      </c>
      <c r="F816" s="33">
        <f>(_xlfn.XLOOKUP(Quota_tbl[[#This Row],[Rate_Code_Generalized]],Lookups!A:A,Lookups!B:B)*Quota_tbl[[#This Row],[Quota_Amount_USD]])</f>
        <v>16200</v>
      </c>
      <c r="G816" t="str">
        <f>_xlfn.XLOOKUP(Quota_tbl[[#This Row],[Rep_ID]],Dim_Reps!A:A,Dim_Reps!C:C)</f>
        <v>SDR / Inside Sales Rep</v>
      </c>
      <c r="H816" t="str">
        <f>_xlfn.XLOOKUP(Quota_tbl[[#This Row],[Rep_ID]],Dim_Reps!A:A,Dim_Reps!D:D)</f>
        <v>Inside Sales</v>
      </c>
      <c r="I816" t="str">
        <f>_xlfn.XLOOKUP(Quota_tbl[[#This Row],[Rep_ID]],Dim_Reps!A:A,Dim_Reps!E:E)</f>
        <v>EMEA</v>
      </c>
      <c r="J816" t="str">
        <f>_xlfn.XLOOKUP(Quota_tbl[[#This Row],[Period_Start_Date]],Dim_Date!A:A,Dim_Date!H:H)</f>
        <v>Jul 2025</v>
      </c>
    </row>
    <row r="817" spans="1:10" ht="15" customHeight="1" x14ac:dyDescent="0.2">
      <c r="A817" t="s">
        <v>237</v>
      </c>
      <c r="B817" s="49">
        <v>45870</v>
      </c>
      <c r="C817">
        <v>38</v>
      </c>
      <c r="D817" s="33">
        <v>15200</v>
      </c>
      <c r="E817" t="str">
        <f>_xlfn.XLOOKUP(Quota_tbl[[#This Row],[Rep_ID]],Dim_Reps!A:A,Dim_Reps!K:K)</f>
        <v>EUR</v>
      </c>
      <c r="F817" s="33">
        <f>(_xlfn.XLOOKUP(Quota_tbl[[#This Row],[Rate_Code_Generalized]],Lookups!A:A,Lookups!B:B)*Quota_tbl[[#This Row],[Quota_Amount_USD]])</f>
        <v>15200</v>
      </c>
      <c r="G817" t="str">
        <f>_xlfn.XLOOKUP(Quota_tbl[[#This Row],[Rep_ID]],Dim_Reps!A:A,Dim_Reps!C:C)</f>
        <v>SDR / Inside Sales Rep</v>
      </c>
      <c r="H817" t="str">
        <f>_xlfn.XLOOKUP(Quota_tbl[[#This Row],[Rep_ID]],Dim_Reps!A:A,Dim_Reps!D:D)</f>
        <v>Inside Sales</v>
      </c>
      <c r="I817" t="str">
        <f>_xlfn.XLOOKUP(Quota_tbl[[#This Row],[Rep_ID]],Dim_Reps!A:A,Dim_Reps!E:E)</f>
        <v>EMEA</v>
      </c>
      <c r="J817" t="str">
        <f>_xlfn.XLOOKUP(Quota_tbl[[#This Row],[Period_Start_Date]],Dim_Date!A:A,Dim_Date!H:H)</f>
        <v>Aug 2025</v>
      </c>
    </row>
    <row r="818" spans="1:10" ht="15" customHeight="1" x14ac:dyDescent="0.2">
      <c r="A818" t="s">
        <v>237</v>
      </c>
      <c r="B818" s="49">
        <v>45901</v>
      </c>
      <c r="C818">
        <v>39</v>
      </c>
      <c r="D818" s="33">
        <v>15100</v>
      </c>
      <c r="E818" t="str">
        <f>_xlfn.XLOOKUP(Quota_tbl[[#This Row],[Rep_ID]],Dim_Reps!A:A,Dim_Reps!K:K)</f>
        <v>EUR</v>
      </c>
      <c r="F818" s="33">
        <f>(_xlfn.XLOOKUP(Quota_tbl[[#This Row],[Rate_Code_Generalized]],Lookups!A:A,Lookups!B:B)*Quota_tbl[[#This Row],[Quota_Amount_USD]])</f>
        <v>15100</v>
      </c>
      <c r="G818" t="str">
        <f>_xlfn.XLOOKUP(Quota_tbl[[#This Row],[Rep_ID]],Dim_Reps!A:A,Dim_Reps!C:C)</f>
        <v>SDR / Inside Sales Rep</v>
      </c>
      <c r="H818" t="str">
        <f>_xlfn.XLOOKUP(Quota_tbl[[#This Row],[Rep_ID]],Dim_Reps!A:A,Dim_Reps!D:D)</f>
        <v>Inside Sales</v>
      </c>
      <c r="I818" t="str">
        <f>_xlfn.XLOOKUP(Quota_tbl[[#This Row],[Rep_ID]],Dim_Reps!A:A,Dim_Reps!E:E)</f>
        <v>EMEA</v>
      </c>
      <c r="J818" t="str">
        <f>_xlfn.XLOOKUP(Quota_tbl[[#This Row],[Period_Start_Date]],Dim_Date!A:A,Dim_Date!H:H)</f>
        <v>Sep 2025</v>
      </c>
    </row>
    <row r="819" spans="1:10" ht="15" customHeight="1" x14ac:dyDescent="0.2">
      <c r="A819" t="s">
        <v>237</v>
      </c>
      <c r="B819" s="49">
        <v>45931</v>
      </c>
      <c r="C819">
        <v>40</v>
      </c>
      <c r="D819" s="33">
        <v>15700</v>
      </c>
      <c r="E819" t="str">
        <f>_xlfn.XLOOKUP(Quota_tbl[[#This Row],[Rep_ID]],Dim_Reps!A:A,Dim_Reps!K:K)</f>
        <v>EUR</v>
      </c>
      <c r="F819" s="33">
        <f>(_xlfn.XLOOKUP(Quota_tbl[[#This Row],[Rate_Code_Generalized]],Lookups!A:A,Lookups!B:B)*Quota_tbl[[#This Row],[Quota_Amount_USD]])</f>
        <v>15700</v>
      </c>
      <c r="G819" t="str">
        <f>_xlfn.XLOOKUP(Quota_tbl[[#This Row],[Rep_ID]],Dim_Reps!A:A,Dim_Reps!C:C)</f>
        <v>SDR / Inside Sales Rep</v>
      </c>
      <c r="H819" t="str">
        <f>_xlfn.XLOOKUP(Quota_tbl[[#This Row],[Rep_ID]],Dim_Reps!A:A,Dim_Reps!D:D)</f>
        <v>Inside Sales</v>
      </c>
      <c r="I819" t="str">
        <f>_xlfn.XLOOKUP(Quota_tbl[[#This Row],[Rep_ID]],Dim_Reps!A:A,Dim_Reps!E:E)</f>
        <v>EMEA</v>
      </c>
      <c r="J819" t="str">
        <f>_xlfn.XLOOKUP(Quota_tbl[[#This Row],[Period_Start_Date]],Dim_Date!A:A,Dim_Date!H:H)</f>
        <v>Oct 2025</v>
      </c>
    </row>
    <row r="820" spans="1:10" ht="15" customHeight="1" x14ac:dyDescent="0.2">
      <c r="A820" t="s">
        <v>237</v>
      </c>
      <c r="B820" s="49">
        <v>45962</v>
      </c>
      <c r="C820">
        <v>41</v>
      </c>
      <c r="D820" s="33">
        <v>15200</v>
      </c>
      <c r="E820" t="str">
        <f>_xlfn.XLOOKUP(Quota_tbl[[#This Row],[Rep_ID]],Dim_Reps!A:A,Dim_Reps!K:K)</f>
        <v>EUR</v>
      </c>
      <c r="F820" s="33">
        <f>(_xlfn.XLOOKUP(Quota_tbl[[#This Row],[Rate_Code_Generalized]],Lookups!A:A,Lookups!B:B)*Quota_tbl[[#This Row],[Quota_Amount_USD]])</f>
        <v>15200</v>
      </c>
      <c r="G820" t="str">
        <f>_xlfn.XLOOKUP(Quota_tbl[[#This Row],[Rep_ID]],Dim_Reps!A:A,Dim_Reps!C:C)</f>
        <v>SDR / Inside Sales Rep</v>
      </c>
      <c r="H820" t="str">
        <f>_xlfn.XLOOKUP(Quota_tbl[[#This Row],[Rep_ID]],Dim_Reps!A:A,Dim_Reps!D:D)</f>
        <v>Inside Sales</v>
      </c>
      <c r="I820" t="str">
        <f>_xlfn.XLOOKUP(Quota_tbl[[#This Row],[Rep_ID]],Dim_Reps!A:A,Dim_Reps!E:E)</f>
        <v>EMEA</v>
      </c>
      <c r="J820" t="str">
        <f>_xlfn.XLOOKUP(Quota_tbl[[#This Row],[Period_Start_Date]],Dim_Date!A:A,Dim_Date!H:H)</f>
        <v>Nov 2025</v>
      </c>
    </row>
    <row r="821" spans="1:10" ht="15" customHeight="1" x14ac:dyDescent="0.2">
      <c r="A821" t="s">
        <v>237</v>
      </c>
      <c r="B821" s="49">
        <v>45992</v>
      </c>
      <c r="C821">
        <v>42</v>
      </c>
      <c r="D821" s="33">
        <v>15800</v>
      </c>
      <c r="E821" t="str">
        <f>_xlfn.XLOOKUP(Quota_tbl[[#This Row],[Rep_ID]],Dim_Reps!A:A,Dim_Reps!K:K)</f>
        <v>EUR</v>
      </c>
      <c r="F821" s="33">
        <f>(_xlfn.XLOOKUP(Quota_tbl[[#This Row],[Rate_Code_Generalized]],Lookups!A:A,Lookups!B:B)*Quota_tbl[[#This Row],[Quota_Amount_USD]])</f>
        <v>15800</v>
      </c>
      <c r="G821" t="str">
        <f>_xlfn.XLOOKUP(Quota_tbl[[#This Row],[Rep_ID]],Dim_Reps!A:A,Dim_Reps!C:C)</f>
        <v>SDR / Inside Sales Rep</v>
      </c>
      <c r="H821" t="str">
        <f>_xlfn.XLOOKUP(Quota_tbl[[#This Row],[Rep_ID]],Dim_Reps!A:A,Dim_Reps!D:D)</f>
        <v>Inside Sales</v>
      </c>
      <c r="I821" t="str">
        <f>_xlfn.XLOOKUP(Quota_tbl[[#This Row],[Rep_ID]],Dim_Reps!A:A,Dim_Reps!E:E)</f>
        <v>EMEA</v>
      </c>
      <c r="J821" t="str">
        <f>_xlfn.XLOOKUP(Quota_tbl[[#This Row],[Period_Start_Date]],Dim_Date!A:A,Dim_Date!H:H)</f>
        <v>Dec 2025</v>
      </c>
    </row>
    <row r="822" spans="1:10" ht="15" customHeight="1" x14ac:dyDescent="0.2">
      <c r="A822" t="s">
        <v>269</v>
      </c>
      <c r="B822" s="49">
        <v>45292</v>
      </c>
      <c r="C822">
        <v>7</v>
      </c>
      <c r="D822" s="33">
        <v>22100</v>
      </c>
      <c r="E822" t="str">
        <f>_xlfn.XLOOKUP(Quota_tbl[[#This Row],[Rep_ID]],Dim_Reps!A:A,Dim_Reps!K:K)</f>
        <v>USD</v>
      </c>
      <c r="F822" s="33">
        <f>(_xlfn.XLOOKUP(Quota_tbl[[#This Row],[Rate_Code_Generalized]],Lookups!A:A,Lookups!B:B)*Quota_tbl[[#This Row],[Quota_Amount_USD]])</f>
        <v>25731.03</v>
      </c>
      <c r="G822" t="str">
        <f>_xlfn.XLOOKUP(Quota_tbl[[#This Row],[Rep_ID]],Dim_Reps!A:A,Dim_Reps!C:C)</f>
        <v>Mid-Market AE</v>
      </c>
      <c r="H822" t="str">
        <f>_xlfn.XLOOKUP(Quota_tbl[[#This Row],[Rep_ID]],Dim_Reps!A:A,Dim_Reps!D:D)</f>
        <v>Mid-Market</v>
      </c>
      <c r="I822" t="str">
        <f>_xlfn.XLOOKUP(Quota_tbl[[#This Row],[Rep_ID]],Dim_Reps!A:A,Dim_Reps!E:E)</f>
        <v>NAMER</v>
      </c>
      <c r="J822" t="str">
        <f>_xlfn.XLOOKUP(Quota_tbl[[#This Row],[Period_Start_Date]],Dim_Date!A:A,Dim_Date!H:H)</f>
        <v>Jan 2024</v>
      </c>
    </row>
    <row r="823" spans="1:10" ht="15" customHeight="1" x14ac:dyDescent="0.2">
      <c r="A823" t="s">
        <v>269</v>
      </c>
      <c r="B823" s="49">
        <v>45323</v>
      </c>
      <c r="C823">
        <v>8</v>
      </c>
      <c r="D823" s="33">
        <v>21000</v>
      </c>
      <c r="E823" t="str">
        <f>_xlfn.XLOOKUP(Quota_tbl[[#This Row],[Rep_ID]],Dim_Reps!A:A,Dim_Reps!K:K)</f>
        <v>USD</v>
      </c>
      <c r="F823" s="33">
        <f>(_xlfn.XLOOKUP(Quota_tbl[[#This Row],[Rate_Code_Generalized]],Lookups!A:A,Lookups!B:B)*Quota_tbl[[#This Row],[Quota_Amount_USD]])</f>
        <v>24450.3</v>
      </c>
      <c r="G823" t="str">
        <f>_xlfn.XLOOKUP(Quota_tbl[[#This Row],[Rep_ID]],Dim_Reps!A:A,Dim_Reps!C:C)</f>
        <v>Mid-Market AE</v>
      </c>
      <c r="H823" t="str">
        <f>_xlfn.XLOOKUP(Quota_tbl[[#This Row],[Rep_ID]],Dim_Reps!A:A,Dim_Reps!D:D)</f>
        <v>Mid-Market</v>
      </c>
      <c r="I823" t="str">
        <f>_xlfn.XLOOKUP(Quota_tbl[[#This Row],[Rep_ID]],Dim_Reps!A:A,Dim_Reps!E:E)</f>
        <v>NAMER</v>
      </c>
      <c r="J823" t="str">
        <f>_xlfn.XLOOKUP(Quota_tbl[[#This Row],[Period_Start_Date]],Dim_Date!A:A,Dim_Date!H:H)</f>
        <v>Feb 2024</v>
      </c>
    </row>
    <row r="824" spans="1:10" ht="15" customHeight="1" x14ac:dyDescent="0.2">
      <c r="A824" t="s">
        <v>269</v>
      </c>
      <c r="B824" s="49">
        <v>45352</v>
      </c>
      <c r="C824">
        <v>9</v>
      </c>
      <c r="D824" s="33">
        <v>23000</v>
      </c>
      <c r="E824" t="str">
        <f>_xlfn.XLOOKUP(Quota_tbl[[#This Row],[Rep_ID]],Dim_Reps!A:A,Dim_Reps!K:K)</f>
        <v>USD</v>
      </c>
      <c r="F824" s="33">
        <f>(_xlfn.XLOOKUP(Quota_tbl[[#This Row],[Rate_Code_Generalized]],Lookups!A:A,Lookups!B:B)*Quota_tbl[[#This Row],[Quota_Amount_USD]])</f>
        <v>26778.899999999998</v>
      </c>
      <c r="G824" t="str">
        <f>_xlfn.XLOOKUP(Quota_tbl[[#This Row],[Rep_ID]],Dim_Reps!A:A,Dim_Reps!C:C)</f>
        <v>Mid-Market AE</v>
      </c>
      <c r="H824" t="str">
        <f>_xlfn.XLOOKUP(Quota_tbl[[#This Row],[Rep_ID]],Dim_Reps!A:A,Dim_Reps!D:D)</f>
        <v>Mid-Market</v>
      </c>
      <c r="I824" t="str">
        <f>_xlfn.XLOOKUP(Quota_tbl[[#This Row],[Rep_ID]],Dim_Reps!A:A,Dim_Reps!E:E)</f>
        <v>NAMER</v>
      </c>
      <c r="J824" t="str">
        <f>_xlfn.XLOOKUP(Quota_tbl[[#This Row],[Period_Start_Date]],Dim_Date!A:A,Dim_Date!H:H)</f>
        <v>Mar 2024</v>
      </c>
    </row>
    <row r="825" spans="1:10" ht="15" customHeight="1" x14ac:dyDescent="0.2">
      <c r="A825" t="s">
        <v>269</v>
      </c>
      <c r="B825" s="49">
        <v>45383</v>
      </c>
      <c r="C825">
        <v>10</v>
      </c>
      <c r="D825" s="33">
        <v>23200</v>
      </c>
      <c r="E825" t="str">
        <f>_xlfn.XLOOKUP(Quota_tbl[[#This Row],[Rep_ID]],Dim_Reps!A:A,Dim_Reps!K:K)</f>
        <v>USD</v>
      </c>
      <c r="F825" s="33">
        <f>(_xlfn.XLOOKUP(Quota_tbl[[#This Row],[Rate_Code_Generalized]],Lookups!A:A,Lookups!B:B)*Quota_tbl[[#This Row],[Quota_Amount_USD]])</f>
        <v>27011.759999999998</v>
      </c>
      <c r="G825" t="str">
        <f>_xlfn.XLOOKUP(Quota_tbl[[#This Row],[Rep_ID]],Dim_Reps!A:A,Dim_Reps!C:C)</f>
        <v>Mid-Market AE</v>
      </c>
      <c r="H825" t="str">
        <f>_xlfn.XLOOKUP(Quota_tbl[[#This Row],[Rep_ID]],Dim_Reps!A:A,Dim_Reps!D:D)</f>
        <v>Mid-Market</v>
      </c>
      <c r="I825" t="str">
        <f>_xlfn.XLOOKUP(Quota_tbl[[#This Row],[Rep_ID]],Dim_Reps!A:A,Dim_Reps!E:E)</f>
        <v>NAMER</v>
      </c>
      <c r="J825" t="str">
        <f>_xlfn.XLOOKUP(Quota_tbl[[#This Row],[Period_Start_Date]],Dim_Date!A:A,Dim_Date!H:H)</f>
        <v>Apr 2024</v>
      </c>
    </row>
    <row r="826" spans="1:10" ht="15" customHeight="1" x14ac:dyDescent="0.2">
      <c r="A826" t="s">
        <v>269</v>
      </c>
      <c r="B826" s="49">
        <v>45413</v>
      </c>
      <c r="C826">
        <v>11</v>
      </c>
      <c r="D826" s="33">
        <v>21600</v>
      </c>
      <c r="E826" t="str">
        <f>_xlfn.XLOOKUP(Quota_tbl[[#This Row],[Rep_ID]],Dim_Reps!A:A,Dim_Reps!K:K)</f>
        <v>USD</v>
      </c>
      <c r="F826" s="33">
        <f>(_xlfn.XLOOKUP(Quota_tbl[[#This Row],[Rate_Code_Generalized]],Lookups!A:A,Lookups!B:B)*Quota_tbl[[#This Row],[Quota_Amount_USD]])</f>
        <v>25148.879999999997</v>
      </c>
      <c r="G826" t="str">
        <f>_xlfn.XLOOKUP(Quota_tbl[[#This Row],[Rep_ID]],Dim_Reps!A:A,Dim_Reps!C:C)</f>
        <v>Mid-Market AE</v>
      </c>
      <c r="H826" t="str">
        <f>_xlfn.XLOOKUP(Quota_tbl[[#This Row],[Rep_ID]],Dim_Reps!A:A,Dim_Reps!D:D)</f>
        <v>Mid-Market</v>
      </c>
      <c r="I826" t="str">
        <f>_xlfn.XLOOKUP(Quota_tbl[[#This Row],[Rep_ID]],Dim_Reps!A:A,Dim_Reps!E:E)</f>
        <v>NAMER</v>
      </c>
      <c r="J826" t="str">
        <f>_xlfn.XLOOKUP(Quota_tbl[[#This Row],[Period_Start_Date]],Dim_Date!A:A,Dim_Date!H:H)</f>
        <v>May 2024</v>
      </c>
    </row>
    <row r="827" spans="1:10" ht="15" customHeight="1" x14ac:dyDescent="0.2">
      <c r="A827" t="s">
        <v>269</v>
      </c>
      <c r="B827" s="49">
        <v>45444</v>
      </c>
      <c r="C827">
        <v>12</v>
      </c>
      <c r="D827" s="33">
        <v>21700</v>
      </c>
      <c r="E827" t="str">
        <f>_xlfn.XLOOKUP(Quota_tbl[[#This Row],[Rep_ID]],Dim_Reps!A:A,Dim_Reps!K:K)</f>
        <v>USD</v>
      </c>
      <c r="F827" s="33">
        <f>(_xlfn.XLOOKUP(Quota_tbl[[#This Row],[Rate_Code_Generalized]],Lookups!A:A,Lookups!B:B)*Quota_tbl[[#This Row],[Quota_Amount_USD]])</f>
        <v>25265.309999999998</v>
      </c>
      <c r="G827" t="str">
        <f>_xlfn.XLOOKUP(Quota_tbl[[#This Row],[Rep_ID]],Dim_Reps!A:A,Dim_Reps!C:C)</f>
        <v>Mid-Market AE</v>
      </c>
      <c r="H827" t="str">
        <f>_xlfn.XLOOKUP(Quota_tbl[[#This Row],[Rep_ID]],Dim_Reps!A:A,Dim_Reps!D:D)</f>
        <v>Mid-Market</v>
      </c>
      <c r="I827" t="str">
        <f>_xlfn.XLOOKUP(Quota_tbl[[#This Row],[Rep_ID]],Dim_Reps!A:A,Dim_Reps!E:E)</f>
        <v>NAMER</v>
      </c>
      <c r="J827" t="str">
        <f>_xlfn.XLOOKUP(Quota_tbl[[#This Row],[Period_Start_Date]],Dim_Date!A:A,Dim_Date!H:H)</f>
        <v>Jun 2024</v>
      </c>
    </row>
    <row r="828" spans="1:10" ht="15" customHeight="1" x14ac:dyDescent="0.2">
      <c r="A828" t="s">
        <v>269</v>
      </c>
      <c r="B828" s="49">
        <v>45474</v>
      </c>
      <c r="C828">
        <v>13</v>
      </c>
      <c r="D828" s="33">
        <v>22200</v>
      </c>
      <c r="E828" t="str">
        <f>_xlfn.XLOOKUP(Quota_tbl[[#This Row],[Rep_ID]],Dim_Reps!A:A,Dim_Reps!K:K)</f>
        <v>USD</v>
      </c>
      <c r="F828" s="33">
        <f>(_xlfn.XLOOKUP(Quota_tbl[[#This Row],[Rate_Code_Generalized]],Lookups!A:A,Lookups!B:B)*Quota_tbl[[#This Row],[Quota_Amount_USD]])</f>
        <v>25847.46</v>
      </c>
      <c r="G828" t="str">
        <f>_xlfn.XLOOKUP(Quota_tbl[[#This Row],[Rep_ID]],Dim_Reps!A:A,Dim_Reps!C:C)</f>
        <v>Mid-Market AE</v>
      </c>
      <c r="H828" t="str">
        <f>_xlfn.XLOOKUP(Quota_tbl[[#This Row],[Rep_ID]],Dim_Reps!A:A,Dim_Reps!D:D)</f>
        <v>Mid-Market</v>
      </c>
      <c r="I828" t="str">
        <f>_xlfn.XLOOKUP(Quota_tbl[[#This Row],[Rep_ID]],Dim_Reps!A:A,Dim_Reps!E:E)</f>
        <v>NAMER</v>
      </c>
      <c r="J828" t="str">
        <f>_xlfn.XLOOKUP(Quota_tbl[[#This Row],[Period_Start_Date]],Dim_Date!A:A,Dim_Date!H:H)</f>
        <v>Jul 2024</v>
      </c>
    </row>
    <row r="829" spans="1:10" ht="15" customHeight="1" x14ac:dyDescent="0.2">
      <c r="A829" t="s">
        <v>269</v>
      </c>
      <c r="B829" s="49">
        <v>45505</v>
      </c>
      <c r="C829">
        <v>14</v>
      </c>
      <c r="D829" s="33">
        <v>22200</v>
      </c>
      <c r="E829" t="str">
        <f>_xlfn.XLOOKUP(Quota_tbl[[#This Row],[Rep_ID]],Dim_Reps!A:A,Dim_Reps!K:K)</f>
        <v>USD</v>
      </c>
      <c r="F829" s="33">
        <f>(_xlfn.XLOOKUP(Quota_tbl[[#This Row],[Rate_Code_Generalized]],Lookups!A:A,Lookups!B:B)*Quota_tbl[[#This Row],[Quota_Amount_USD]])</f>
        <v>25847.46</v>
      </c>
      <c r="G829" t="str">
        <f>_xlfn.XLOOKUP(Quota_tbl[[#This Row],[Rep_ID]],Dim_Reps!A:A,Dim_Reps!C:C)</f>
        <v>Mid-Market AE</v>
      </c>
      <c r="H829" t="str">
        <f>_xlfn.XLOOKUP(Quota_tbl[[#This Row],[Rep_ID]],Dim_Reps!A:A,Dim_Reps!D:D)</f>
        <v>Mid-Market</v>
      </c>
      <c r="I829" t="str">
        <f>_xlfn.XLOOKUP(Quota_tbl[[#This Row],[Rep_ID]],Dim_Reps!A:A,Dim_Reps!E:E)</f>
        <v>NAMER</v>
      </c>
      <c r="J829" t="str">
        <f>_xlfn.XLOOKUP(Quota_tbl[[#This Row],[Period_Start_Date]],Dim_Date!A:A,Dim_Date!H:H)</f>
        <v>Aug 2024</v>
      </c>
    </row>
    <row r="830" spans="1:10" ht="15" customHeight="1" x14ac:dyDescent="0.2">
      <c r="A830" t="s">
        <v>269</v>
      </c>
      <c r="B830" s="49">
        <v>45536</v>
      </c>
      <c r="C830">
        <v>15</v>
      </c>
      <c r="D830" s="33">
        <v>22400</v>
      </c>
      <c r="E830" t="str">
        <f>_xlfn.XLOOKUP(Quota_tbl[[#This Row],[Rep_ID]],Dim_Reps!A:A,Dim_Reps!K:K)</f>
        <v>USD</v>
      </c>
      <c r="F830" s="33">
        <f>(_xlfn.XLOOKUP(Quota_tbl[[#This Row],[Rate_Code_Generalized]],Lookups!A:A,Lookups!B:B)*Quota_tbl[[#This Row],[Quota_Amount_USD]])</f>
        <v>26080.319999999996</v>
      </c>
      <c r="G830" t="str">
        <f>_xlfn.XLOOKUP(Quota_tbl[[#This Row],[Rep_ID]],Dim_Reps!A:A,Dim_Reps!C:C)</f>
        <v>Mid-Market AE</v>
      </c>
      <c r="H830" t="str">
        <f>_xlfn.XLOOKUP(Quota_tbl[[#This Row],[Rep_ID]],Dim_Reps!A:A,Dim_Reps!D:D)</f>
        <v>Mid-Market</v>
      </c>
      <c r="I830" t="str">
        <f>_xlfn.XLOOKUP(Quota_tbl[[#This Row],[Rep_ID]],Dim_Reps!A:A,Dim_Reps!E:E)</f>
        <v>NAMER</v>
      </c>
      <c r="J830" t="str">
        <f>_xlfn.XLOOKUP(Quota_tbl[[#This Row],[Period_Start_Date]],Dim_Date!A:A,Dim_Date!H:H)</f>
        <v>Sep 2024</v>
      </c>
    </row>
    <row r="831" spans="1:10" ht="15" customHeight="1" x14ac:dyDescent="0.2">
      <c r="A831" t="s">
        <v>269</v>
      </c>
      <c r="B831" s="49">
        <v>45566</v>
      </c>
      <c r="C831">
        <v>16</v>
      </c>
      <c r="D831" s="33">
        <v>23300</v>
      </c>
      <c r="E831" t="str">
        <f>_xlfn.XLOOKUP(Quota_tbl[[#This Row],[Rep_ID]],Dim_Reps!A:A,Dim_Reps!K:K)</f>
        <v>USD</v>
      </c>
      <c r="F831" s="33">
        <f>(_xlfn.XLOOKUP(Quota_tbl[[#This Row],[Rate_Code_Generalized]],Lookups!A:A,Lookups!B:B)*Quota_tbl[[#This Row],[Quota_Amount_USD]])</f>
        <v>27128.19</v>
      </c>
      <c r="G831" t="str">
        <f>_xlfn.XLOOKUP(Quota_tbl[[#This Row],[Rep_ID]],Dim_Reps!A:A,Dim_Reps!C:C)</f>
        <v>Mid-Market AE</v>
      </c>
      <c r="H831" t="str">
        <f>_xlfn.XLOOKUP(Quota_tbl[[#This Row],[Rep_ID]],Dim_Reps!A:A,Dim_Reps!D:D)</f>
        <v>Mid-Market</v>
      </c>
      <c r="I831" t="str">
        <f>_xlfn.XLOOKUP(Quota_tbl[[#This Row],[Rep_ID]],Dim_Reps!A:A,Dim_Reps!E:E)</f>
        <v>NAMER</v>
      </c>
      <c r="J831" t="str">
        <f>_xlfn.XLOOKUP(Quota_tbl[[#This Row],[Period_Start_Date]],Dim_Date!A:A,Dim_Date!H:H)</f>
        <v>Oct 2024</v>
      </c>
    </row>
    <row r="832" spans="1:10" ht="15" customHeight="1" x14ac:dyDescent="0.2">
      <c r="A832" t="s">
        <v>269</v>
      </c>
      <c r="B832" s="49">
        <v>45597</v>
      </c>
      <c r="C832">
        <v>17</v>
      </c>
      <c r="D832" s="33">
        <v>21900</v>
      </c>
      <c r="E832" t="str">
        <f>_xlfn.XLOOKUP(Quota_tbl[[#This Row],[Rep_ID]],Dim_Reps!A:A,Dim_Reps!K:K)</f>
        <v>USD</v>
      </c>
      <c r="F832" s="33">
        <f>(_xlfn.XLOOKUP(Quota_tbl[[#This Row],[Rate_Code_Generalized]],Lookups!A:A,Lookups!B:B)*Quota_tbl[[#This Row],[Quota_Amount_USD]])</f>
        <v>25498.17</v>
      </c>
      <c r="G832" t="str">
        <f>_xlfn.XLOOKUP(Quota_tbl[[#This Row],[Rep_ID]],Dim_Reps!A:A,Dim_Reps!C:C)</f>
        <v>Mid-Market AE</v>
      </c>
      <c r="H832" t="str">
        <f>_xlfn.XLOOKUP(Quota_tbl[[#This Row],[Rep_ID]],Dim_Reps!A:A,Dim_Reps!D:D)</f>
        <v>Mid-Market</v>
      </c>
      <c r="I832" t="str">
        <f>_xlfn.XLOOKUP(Quota_tbl[[#This Row],[Rep_ID]],Dim_Reps!A:A,Dim_Reps!E:E)</f>
        <v>NAMER</v>
      </c>
      <c r="J832" t="str">
        <f>_xlfn.XLOOKUP(Quota_tbl[[#This Row],[Period_Start_Date]],Dim_Date!A:A,Dim_Date!H:H)</f>
        <v>Nov 2024</v>
      </c>
    </row>
    <row r="833" spans="1:10" ht="15" customHeight="1" x14ac:dyDescent="0.2">
      <c r="A833" t="s">
        <v>269</v>
      </c>
      <c r="B833" s="49">
        <v>45627</v>
      </c>
      <c r="C833">
        <v>18</v>
      </c>
      <c r="D833" s="33">
        <v>21500</v>
      </c>
      <c r="E833" t="str">
        <f>_xlfn.XLOOKUP(Quota_tbl[[#This Row],[Rep_ID]],Dim_Reps!A:A,Dim_Reps!K:K)</f>
        <v>USD</v>
      </c>
      <c r="F833" s="33">
        <f>(_xlfn.XLOOKUP(Quota_tbl[[#This Row],[Rate_Code_Generalized]],Lookups!A:A,Lookups!B:B)*Quota_tbl[[#This Row],[Quota_Amount_USD]])</f>
        <v>25032.449999999997</v>
      </c>
      <c r="G833" t="str">
        <f>_xlfn.XLOOKUP(Quota_tbl[[#This Row],[Rep_ID]],Dim_Reps!A:A,Dim_Reps!C:C)</f>
        <v>Mid-Market AE</v>
      </c>
      <c r="H833" t="str">
        <f>_xlfn.XLOOKUP(Quota_tbl[[#This Row],[Rep_ID]],Dim_Reps!A:A,Dim_Reps!D:D)</f>
        <v>Mid-Market</v>
      </c>
      <c r="I833" t="str">
        <f>_xlfn.XLOOKUP(Quota_tbl[[#This Row],[Rep_ID]],Dim_Reps!A:A,Dim_Reps!E:E)</f>
        <v>NAMER</v>
      </c>
      <c r="J833" t="str">
        <f>_xlfn.XLOOKUP(Quota_tbl[[#This Row],[Period_Start_Date]],Dim_Date!A:A,Dim_Date!H:H)</f>
        <v>Dec 2024</v>
      </c>
    </row>
    <row r="834" spans="1:10" ht="15" customHeight="1" x14ac:dyDescent="0.2">
      <c r="A834" t="s">
        <v>269</v>
      </c>
      <c r="B834" s="49">
        <v>45658</v>
      </c>
      <c r="C834">
        <v>19</v>
      </c>
      <c r="D834" s="33">
        <v>21100</v>
      </c>
      <c r="E834" t="str">
        <f>_xlfn.XLOOKUP(Quota_tbl[[#This Row],[Rep_ID]],Dim_Reps!A:A,Dim_Reps!K:K)</f>
        <v>USD</v>
      </c>
      <c r="F834" s="33">
        <f>(_xlfn.XLOOKUP(Quota_tbl[[#This Row],[Rate_Code_Generalized]],Lookups!A:A,Lookups!B:B)*Quota_tbl[[#This Row],[Quota_Amount_USD]])</f>
        <v>24566.729999999996</v>
      </c>
      <c r="G834" t="str">
        <f>_xlfn.XLOOKUP(Quota_tbl[[#This Row],[Rep_ID]],Dim_Reps!A:A,Dim_Reps!C:C)</f>
        <v>Mid-Market AE</v>
      </c>
      <c r="H834" t="str">
        <f>_xlfn.XLOOKUP(Quota_tbl[[#This Row],[Rep_ID]],Dim_Reps!A:A,Dim_Reps!D:D)</f>
        <v>Mid-Market</v>
      </c>
      <c r="I834" t="str">
        <f>_xlfn.XLOOKUP(Quota_tbl[[#This Row],[Rep_ID]],Dim_Reps!A:A,Dim_Reps!E:E)</f>
        <v>NAMER</v>
      </c>
      <c r="J834" t="str">
        <f>_xlfn.XLOOKUP(Quota_tbl[[#This Row],[Period_Start_Date]],Dim_Date!A:A,Dim_Date!H:H)</f>
        <v>Jan 2025</v>
      </c>
    </row>
    <row r="835" spans="1:10" ht="15" customHeight="1" x14ac:dyDescent="0.2">
      <c r="A835" t="s">
        <v>269</v>
      </c>
      <c r="B835" s="49">
        <v>45689</v>
      </c>
      <c r="C835">
        <v>20</v>
      </c>
      <c r="D835" s="33">
        <v>21500</v>
      </c>
      <c r="E835" t="str">
        <f>_xlfn.XLOOKUP(Quota_tbl[[#This Row],[Rep_ID]],Dim_Reps!A:A,Dim_Reps!K:K)</f>
        <v>USD</v>
      </c>
      <c r="F835" s="33">
        <f>(_xlfn.XLOOKUP(Quota_tbl[[#This Row],[Rate_Code_Generalized]],Lookups!A:A,Lookups!B:B)*Quota_tbl[[#This Row],[Quota_Amount_USD]])</f>
        <v>25032.449999999997</v>
      </c>
      <c r="G835" t="str">
        <f>_xlfn.XLOOKUP(Quota_tbl[[#This Row],[Rep_ID]],Dim_Reps!A:A,Dim_Reps!C:C)</f>
        <v>Mid-Market AE</v>
      </c>
      <c r="H835" t="str">
        <f>_xlfn.XLOOKUP(Quota_tbl[[#This Row],[Rep_ID]],Dim_Reps!A:A,Dim_Reps!D:D)</f>
        <v>Mid-Market</v>
      </c>
      <c r="I835" t="str">
        <f>_xlfn.XLOOKUP(Quota_tbl[[#This Row],[Rep_ID]],Dim_Reps!A:A,Dim_Reps!E:E)</f>
        <v>NAMER</v>
      </c>
      <c r="J835" t="str">
        <f>_xlfn.XLOOKUP(Quota_tbl[[#This Row],[Period_Start_Date]],Dim_Date!A:A,Dim_Date!H:H)</f>
        <v>Feb 2025</v>
      </c>
    </row>
    <row r="836" spans="1:10" ht="15" customHeight="1" x14ac:dyDescent="0.2">
      <c r="A836" t="s">
        <v>269</v>
      </c>
      <c r="B836" s="49">
        <v>45717</v>
      </c>
      <c r="C836">
        <v>21</v>
      </c>
      <c r="D836" s="33">
        <v>22000</v>
      </c>
      <c r="E836" t="str">
        <f>_xlfn.XLOOKUP(Quota_tbl[[#This Row],[Rep_ID]],Dim_Reps!A:A,Dim_Reps!K:K)</f>
        <v>USD</v>
      </c>
      <c r="F836" s="33">
        <f>(_xlfn.XLOOKUP(Quota_tbl[[#This Row],[Rate_Code_Generalized]],Lookups!A:A,Lookups!B:B)*Quota_tbl[[#This Row],[Quota_Amount_USD]])</f>
        <v>25614.6</v>
      </c>
      <c r="G836" t="str">
        <f>_xlfn.XLOOKUP(Quota_tbl[[#This Row],[Rep_ID]],Dim_Reps!A:A,Dim_Reps!C:C)</f>
        <v>Mid-Market AE</v>
      </c>
      <c r="H836" t="str">
        <f>_xlfn.XLOOKUP(Quota_tbl[[#This Row],[Rep_ID]],Dim_Reps!A:A,Dim_Reps!D:D)</f>
        <v>Mid-Market</v>
      </c>
      <c r="I836" t="str">
        <f>_xlfn.XLOOKUP(Quota_tbl[[#This Row],[Rep_ID]],Dim_Reps!A:A,Dim_Reps!E:E)</f>
        <v>NAMER</v>
      </c>
      <c r="J836" t="str">
        <f>_xlfn.XLOOKUP(Quota_tbl[[#This Row],[Period_Start_Date]],Dim_Date!A:A,Dim_Date!H:H)</f>
        <v>Mar 2025</v>
      </c>
    </row>
    <row r="837" spans="1:10" ht="15" customHeight="1" x14ac:dyDescent="0.2">
      <c r="A837" t="s">
        <v>269</v>
      </c>
      <c r="B837" s="49">
        <v>45748</v>
      </c>
      <c r="C837">
        <v>22</v>
      </c>
      <c r="D837" s="33">
        <v>23200</v>
      </c>
      <c r="E837" t="str">
        <f>_xlfn.XLOOKUP(Quota_tbl[[#This Row],[Rep_ID]],Dim_Reps!A:A,Dim_Reps!K:K)</f>
        <v>USD</v>
      </c>
      <c r="F837" s="33">
        <f>(_xlfn.XLOOKUP(Quota_tbl[[#This Row],[Rate_Code_Generalized]],Lookups!A:A,Lookups!B:B)*Quota_tbl[[#This Row],[Quota_Amount_USD]])</f>
        <v>27011.759999999998</v>
      </c>
      <c r="G837" t="str">
        <f>_xlfn.XLOOKUP(Quota_tbl[[#This Row],[Rep_ID]],Dim_Reps!A:A,Dim_Reps!C:C)</f>
        <v>Mid-Market AE</v>
      </c>
      <c r="H837" t="str">
        <f>_xlfn.XLOOKUP(Quota_tbl[[#This Row],[Rep_ID]],Dim_Reps!A:A,Dim_Reps!D:D)</f>
        <v>Mid-Market</v>
      </c>
      <c r="I837" t="str">
        <f>_xlfn.XLOOKUP(Quota_tbl[[#This Row],[Rep_ID]],Dim_Reps!A:A,Dim_Reps!E:E)</f>
        <v>NAMER</v>
      </c>
      <c r="J837" t="str">
        <f>_xlfn.XLOOKUP(Quota_tbl[[#This Row],[Period_Start_Date]],Dim_Date!A:A,Dim_Date!H:H)</f>
        <v>Apr 2025</v>
      </c>
    </row>
    <row r="838" spans="1:10" ht="15" customHeight="1" x14ac:dyDescent="0.2">
      <c r="A838" t="s">
        <v>269</v>
      </c>
      <c r="B838" s="49">
        <v>45778</v>
      </c>
      <c r="C838">
        <v>23</v>
      </c>
      <c r="D838" s="33">
        <v>21700</v>
      </c>
      <c r="E838" t="str">
        <f>_xlfn.XLOOKUP(Quota_tbl[[#This Row],[Rep_ID]],Dim_Reps!A:A,Dim_Reps!K:K)</f>
        <v>USD</v>
      </c>
      <c r="F838" s="33">
        <f>(_xlfn.XLOOKUP(Quota_tbl[[#This Row],[Rate_Code_Generalized]],Lookups!A:A,Lookups!B:B)*Quota_tbl[[#This Row],[Quota_Amount_USD]])</f>
        <v>25265.309999999998</v>
      </c>
      <c r="G838" t="str">
        <f>_xlfn.XLOOKUP(Quota_tbl[[#This Row],[Rep_ID]],Dim_Reps!A:A,Dim_Reps!C:C)</f>
        <v>Mid-Market AE</v>
      </c>
      <c r="H838" t="str">
        <f>_xlfn.XLOOKUP(Quota_tbl[[#This Row],[Rep_ID]],Dim_Reps!A:A,Dim_Reps!D:D)</f>
        <v>Mid-Market</v>
      </c>
      <c r="I838" t="str">
        <f>_xlfn.XLOOKUP(Quota_tbl[[#This Row],[Rep_ID]],Dim_Reps!A:A,Dim_Reps!E:E)</f>
        <v>NAMER</v>
      </c>
      <c r="J838" t="str">
        <f>_xlfn.XLOOKUP(Quota_tbl[[#This Row],[Period_Start_Date]],Dim_Date!A:A,Dim_Date!H:H)</f>
        <v>May 2025</v>
      </c>
    </row>
    <row r="839" spans="1:10" ht="15" customHeight="1" x14ac:dyDescent="0.2">
      <c r="A839" t="s">
        <v>269</v>
      </c>
      <c r="B839" s="49">
        <v>45809</v>
      </c>
      <c r="C839">
        <v>24</v>
      </c>
      <c r="D839" s="33">
        <v>22100</v>
      </c>
      <c r="E839" t="str">
        <f>_xlfn.XLOOKUP(Quota_tbl[[#This Row],[Rep_ID]],Dim_Reps!A:A,Dim_Reps!K:K)</f>
        <v>USD</v>
      </c>
      <c r="F839" s="33">
        <f>(_xlfn.XLOOKUP(Quota_tbl[[#This Row],[Rate_Code_Generalized]],Lookups!A:A,Lookups!B:B)*Quota_tbl[[#This Row],[Quota_Amount_USD]])</f>
        <v>25731.03</v>
      </c>
      <c r="G839" t="str">
        <f>_xlfn.XLOOKUP(Quota_tbl[[#This Row],[Rep_ID]],Dim_Reps!A:A,Dim_Reps!C:C)</f>
        <v>Mid-Market AE</v>
      </c>
      <c r="H839" t="str">
        <f>_xlfn.XLOOKUP(Quota_tbl[[#This Row],[Rep_ID]],Dim_Reps!A:A,Dim_Reps!D:D)</f>
        <v>Mid-Market</v>
      </c>
      <c r="I839" t="str">
        <f>_xlfn.XLOOKUP(Quota_tbl[[#This Row],[Rep_ID]],Dim_Reps!A:A,Dim_Reps!E:E)</f>
        <v>NAMER</v>
      </c>
      <c r="J839" t="str">
        <f>_xlfn.XLOOKUP(Quota_tbl[[#This Row],[Period_Start_Date]],Dim_Date!A:A,Dim_Date!H:H)</f>
        <v>Jun 2025</v>
      </c>
    </row>
    <row r="840" spans="1:10" ht="15" customHeight="1" x14ac:dyDescent="0.2">
      <c r="A840" t="s">
        <v>269</v>
      </c>
      <c r="B840" s="49">
        <v>45839</v>
      </c>
      <c r="C840">
        <v>25</v>
      </c>
      <c r="D840" s="33">
        <v>22000</v>
      </c>
      <c r="E840" t="str">
        <f>_xlfn.XLOOKUP(Quota_tbl[[#This Row],[Rep_ID]],Dim_Reps!A:A,Dim_Reps!K:K)</f>
        <v>USD</v>
      </c>
      <c r="F840" s="33">
        <f>(_xlfn.XLOOKUP(Quota_tbl[[#This Row],[Rate_Code_Generalized]],Lookups!A:A,Lookups!B:B)*Quota_tbl[[#This Row],[Quota_Amount_USD]])</f>
        <v>25614.6</v>
      </c>
      <c r="G840" t="str">
        <f>_xlfn.XLOOKUP(Quota_tbl[[#This Row],[Rep_ID]],Dim_Reps!A:A,Dim_Reps!C:C)</f>
        <v>Mid-Market AE</v>
      </c>
      <c r="H840" t="str">
        <f>_xlfn.XLOOKUP(Quota_tbl[[#This Row],[Rep_ID]],Dim_Reps!A:A,Dim_Reps!D:D)</f>
        <v>Mid-Market</v>
      </c>
      <c r="I840" t="str">
        <f>_xlfn.XLOOKUP(Quota_tbl[[#This Row],[Rep_ID]],Dim_Reps!A:A,Dim_Reps!E:E)</f>
        <v>NAMER</v>
      </c>
      <c r="J840" t="str">
        <f>_xlfn.XLOOKUP(Quota_tbl[[#This Row],[Period_Start_Date]],Dim_Date!A:A,Dim_Date!H:H)</f>
        <v>Jul 2025</v>
      </c>
    </row>
    <row r="841" spans="1:10" ht="15" customHeight="1" x14ac:dyDescent="0.2">
      <c r="A841" t="s">
        <v>239</v>
      </c>
      <c r="B841" s="49">
        <v>45870</v>
      </c>
      <c r="C841">
        <v>0</v>
      </c>
      <c r="D841" s="33">
        <v>4000</v>
      </c>
      <c r="E841" t="str">
        <f>_xlfn.XLOOKUP(Quota_tbl[[#This Row],[Rep_ID]],Dim_Reps!A:A,Dim_Reps!K:K)</f>
        <v>USD</v>
      </c>
      <c r="F841" s="33">
        <f>(_xlfn.XLOOKUP(Quota_tbl[[#This Row],[Rate_Code_Generalized]],Lookups!A:A,Lookups!B:B)*Quota_tbl[[#This Row],[Quota_Amount_USD]])</f>
        <v>4657.2</v>
      </c>
      <c r="G841" t="str">
        <f>_xlfn.XLOOKUP(Quota_tbl[[#This Row],[Rep_ID]],Dim_Reps!A:A,Dim_Reps!C:C)</f>
        <v>SDR / Inside Sales Rep</v>
      </c>
      <c r="H841" t="str">
        <f>_xlfn.XLOOKUP(Quota_tbl[[#This Row],[Rep_ID]],Dim_Reps!A:A,Dim_Reps!D:D)</f>
        <v>Inside Sales</v>
      </c>
      <c r="I841" t="str">
        <f>_xlfn.XLOOKUP(Quota_tbl[[#This Row],[Rep_ID]],Dim_Reps!A:A,Dim_Reps!E:E)</f>
        <v>NAMER</v>
      </c>
      <c r="J841" t="str">
        <f>_xlfn.XLOOKUP(Quota_tbl[[#This Row],[Period_Start_Date]],Dim_Date!A:A,Dim_Date!H:H)</f>
        <v>Aug 2025</v>
      </c>
    </row>
    <row r="842" spans="1:10" ht="15" customHeight="1" x14ac:dyDescent="0.2">
      <c r="A842" t="s">
        <v>239</v>
      </c>
      <c r="B842" s="49">
        <v>45901</v>
      </c>
      <c r="C842">
        <v>1</v>
      </c>
      <c r="D842" s="33">
        <v>8300</v>
      </c>
      <c r="E842" t="str">
        <f>_xlfn.XLOOKUP(Quota_tbl[[#This Row],[Rep_ID]],Dim_Reps!A:A,Dim_Reps!K:K)</f>
        <v>USD</v>
      </c>
      <c r="F842" s="33">
        <f>(_xlfn.XLOOKUP(Quota_tbl[[#This Row],[Rate_Code_Generalized]],Lookups!A:A,Lookups!B:B)*Quota_tbl[[#This Row],[Quota_Amount_USD]])</f>
        <v>9663.6899999999987</v>
      </c>
      <c r="G842" t="str">
        <f>_xlfn.XLOOKUP(Quota_tbl[[#This Row],[Rep_ID]],Dim_Reps!A:A,Dim_Reps!C:C)</f>
        <v>SDR / Inside Sales Rep</v>
      </c>
      <c r="H842" t="str">
        <f>_xlfn.XLOOKUP(Quota_tbl[[#This Row],[Rep_ID]],Dim_Reps!A:A,Dim_Reps!D:D)</f>
        <v>Inside Sales</v>
      </c>
      <c r="I842" t="str">
        <f>_xlfn.XLOOKUP(Quota_tbl[[#This Row],[Rep_ID]],Dim_Reps!A:A,Dim_Reps!E:E)</f>
        <v>NAMER</v>
      </c>
      <c r="J842" t="str">
        <f>_xlfn.XLOOKUP(Quota_tbl[[#This Row],[Period_Start_Date]],Dim_Date!A:A,Dim_Date!H:H)</f>
        <v>Sep 2025</v>
      </c>
    </row>
    <row r="843" spans="1:10" ht="15" customHeight="1" x14ac:dyDescent="0.2">
      <c r="A843" t="s">
        <v>239</v>
      </c>
      <c r="B843" s="49">
        <v>45931</v>
      </c>
      <c r="C843">
        <v>2</v>
      </c>
      <c r="D843" s="33">
        <v>11400</v>
      </c>
      <c r="E843" t="str">
        <f>_xlfn.XLOOKUP(Quota_tbl[[#This Row],[Rep_ID]],Dim_Reps!A:A,Dim_Reps!K:K)</f>
        <v>USD</v>
      </c>
      <c r="F843" s="33">
        <f>(_xlfn.XLOOKUP(Quota_tbl[[#This Row],[Rate_Code_Generalized]],Lookups!A:A,Lookups!B:B)*Quota_tbl[[#This Row],[Quota_Amount_USD]])</f>
        <v>13273.019999999999</v>
      </c>
      <c r="G843" t="str">
        <f>_xlfn.XLOOKUP(Quota_tbl[[#This Row],[Rep_ID]],Dim_Reps!A:A,Dim_Reps!C:C)</f>
        <v>SDR / Inside Sales Rep</v>
      </c>
      <c r="H843" t="str">
        <f>_xlfn.XLOOKUP(Quota_tbl[[#This Row],[Rep_ID]],Dim_Reps!A:A,Dim_Reps!D:D)</f>
        <v>Inside Sales</v>
      </c>
      <c r="I843" t="str">
        <f>_xlfn.XLOOKUP(Quota_tbl[[#This Row],[Rep_ID]],Dim_Reps!A:A,Dim_Reps!E:E)</f>
        <v>NAMER</v>
      </c>
      <c r="J843" t="str">
        <f>_xlfn.XLOOKUP(Quota_tbl[[#This Row],[Period_Start_Date]],Dim_Date!A:A,Dim_Date!H:H)</f>
        <v>Oct 2025</v>
      </c>
    </row>
    <row r="844" spans="1:10" ht="15" customHeight="1" x14ac:dyDescent="0.2">
      <c r="A844" t="s">
        <v>239</v>
      </c>
      <c r="B844" s="49">
        <v>45962</v>
      </c>
      <c r="C844">
        <v>3</v>
      </c>
      <c r="D844" s="33">
        <v>15300</v>
      </c>
      <c r="E844" t="str">
        <f>_xlfn.XLOOKUP(Quota_tbl[[#This Row],[Rep_ID]],Dim_Reps!A:A,Dim_Reps!K:K)</f>
        <v>USD</v>
      </c>
      <c r="F844" s="33">
        <f>(_xlfn.XLOOKUP(Quota_tbl[[#This Row],[Rate_Code_Generalized]],Lookups!A:A,Lookups!B:B)*Quota_tbl[[#This Row],[Quota_Amount_USD]])</f>
        <v>17813.789999999997</v>
      </c>
      <c r="G844" t="str">
        <f>_xlfn.XLOOKUP(Quota_tbl[[#This Row],[Rep_ID]],Dim_Reps!A:A,Dim_Reps!C:C)</f>
        <v>SDR / Inside Sales Rep</v>
      </c>
      <c r="H844" t="str">
        <f>_xlfn.XLOOKUP(Quota_tbl[[#This Row],[Rep_ID]],Dim_Reps!A:A,Dim_Reps!D:D)</f>
        <v>Inside Sales</v>
      </c>
      <c r="I844" t="str">
        <f>_xlfn.XLOOKUP(Quota_tbl[[#This Row],[Rep_ID]],Dim_Reps!A:A,Dim_Reps!E:E)</f>
        <v>NAMER</v>
      </c>
      <c r="J844" t="str">
        <f>_xlfn.XLOOKUP(Quota_tbl[[#This Row],[Period_Start_Date]],Dim_Date!A:A,Dim_Date!H:H)</f>
        <v>Nov 2025</v>
      </c>
    </row>
    <row r="845" spans="1:10" ht="15" customHeight="1" x14ac:dyDescent="0.2">
      <c r="A845" t="s">
        <v>239</v>
      </c>
      <c r="B845" s="49">
        <v>45992</v>
      </c>
      <c r="C845">
        <v>4</v>
      </c>
      <c r="D845" s="33">
        <v>16000</v>
      </c>
      <c r="E845" t="str">
        <f>_xlfn.XLOOKUP(Quota_tbl[[#This Row],[Rep_ID]],Dim_Reps!A:A,Dim_Reps!K:K)</f>
        <v>USD</v>
      </c>
      <c r="F845" s="33">
        <f>(_xlfn.XLOOKUP(Quota_tbl[[#This Row],[Rate_Code_Generalized]],Lookups!A:A,Lookups!B:B)*Quota_tbl[[#This Row],[Quota_Amount_USD]])</f>
        <v>18628.8</v>
      </c>
      <c r="G845" t="str">
        <f>_xlfn.XLOOKUP(Quota_tbl[[#This Row],[Rep_ID]],Dim_Reps!A:A,Dim_Reps!C:C)</f>
        <v>SDR / Inside Sales Rep</v>
      </c>
      <c r="H845" t="str">
        <f>_xlfn.XLOOKUP(Quota_tbl[[#This Row],[Rep_ID]],Dim_Reps!A:A,Dim_Reps!D:D)</f>
        <v>Inside Sales</v>
      </c>
      <c r="I845" t="str">
        <f>_xlfn.XLOOKUP(Quota_tbl[[#This Row],[Rep_ID]],Dim_Reps!A:A,Dim_Reps!E:E)</f>
        <v>NAMER</v>
      </c>
      <c r="J845" t="str">
        <f>_xlfn.XLOOKUP(Quota_tbl[[#This Row],[Period_Start_Date]],Dim_Date!A:A,Dim_Date!H:H)</f>
        <v>Dec 2025</v>
      </c>
    </row>
    <row r="846" spans="1:10" ht="15" customHeight="1" x14ac:dyDescent="0.2">
      <c r="A846" t="s">
        <v>271</v>
      </c>
      <c r="B846" s="49">
        <v>45292</v>
      </c>
      <c r="C846">
        <v>5</v>
      </c>
      <c r="D846" s="33">
        <v>22500</v>
      </c>
      <c r="E846" t="str">
        <f>_xlfn.XLOOKUP(Quota_tbl[[#This Row],[Rep_ID]],Dim_Reps!A:A,Dim_Reps!K:K)</f>
        <v>EUR</v>
      </c>
      <c r="F846" s="33">
        <f>(_xlfn.XLOOKUP(Quota_tbl[[#This Row],[Rate_Code_Generalized]],Lookups!A:A,Lookups!B:B)*Quota_tbl[[#This Row],[Quota_Amount_USD]])</f>
        <v>22500</v>
      </c>
      <c r="G846" t="str">
        <f>_xlfn.XLOOKUP(Quota_tbl[[#This Row],[Rep_ID]],Dim_Reps!A:A,Dim_Reps!C:C)</f>
        <v>Mid-Market AE</v>
      </c>
      <c r="H846" t="str">
        <f>_xlfn.XLOOKUP(Quota_tbl[[#This Row],[Rep_ID]],Dim_Reps!A:A,Dim_Reps!D:D)</f>
        <v>Mid-Market</v>
      </c>
      <c r="I846" t="str">
        <f>_xlfn.XLOOKUP(Quota_tbl[[#This Row],[Rep_ID]],Dim_Reps!A:A,Dim_Reps!E:E)</f>
        <v>APAC</v>
      </c>
      <c r="J846" t="str">
        <f>_xlfn.XLOOKUP(Quota_tbl[[#This Row],[Period_Start_Date]],Dim_Date!A:A,Dim_Date!H:H)</f>
        <v>Jan 2024</v>
      </c>
    </row>
    <row r="847" spans="1:10" ht="15" customHeight="1" x14ac:dyDescent="0.2">
      <c r="A847" t="s">
        <v>271</v>
      </c>
      <c r="B847" s="49">
        <v>45323</v>
      </c>
      <c r="C847">
        <v>6</v>
      </c>
      <c r="D847" s="33">
        <v>23200</v>
      </c>
      <c r="E847" t="str">
        <f>_xlfn.XLOOKUP(Quota_tbl[[#This Row],[Rep_ID]],Dim_Reps!A:A,Dim_Reps!K:K)</f>
        <v>EUR</v>
      </c>
      <c r="F847" s="33">
        <f>(_xlfn.XLOOKUP(Quota_tbl[[#This Row],[Rate_Code_Generalized]],Lookups!A:A,Lookups!B:B)*Quota_tbl[[#This Row],[Quota_Amount_USD]])</f>
        <v>23200</v>
      </c>
      <c r="G847" t="str">
        <f>_xlfn.XLOOKUP(Quota_tbl[[#This Row],[Rep_ID]],Dim_Reps!A:A,Dim_Reps!C:C)</f>
        <v>Mid-Market AE</v>
      </c>
      <c r="H847" t="str">
        <f>_xlfn.XLOOKUP(Quota_tbl[[#This Row],[Rep_ID]],Dim_Reps!A:A,Dim_Reps!D:D)</f>
        <v>Mid-Market</v>
      </c>
      <c r="I847" t="str">
        <f>_xlfn.XLOOKUP(Quota_tbl[[#This Row],[Rep_ID]],Dim_Reps!A:A,Dim_Reps!E:E)</f>
        <v>APAC</v>
      </c>
      <c r="J847" t="str">
        <f>_xlfn.XLOOKUP(Quota_tbl[[#This Row],[Period_Start_Date]],Dim_Date!A:A,Dim_Date!H:H)</f>
        <v>Feb 2024</v>
      </c>
    </row>
    <row r="848" spans="1:10" ht="15" customHeight="1" x14ac:dyDescent="0.2">
      <c r="A848" t="s">
        <v>271</v>
      </c>
      <c r="B848" s="49">
        <v>45352</v>
      </c>
      <c r="C848">
        <v>7</v>
      </c>
      <c r="D848" s="33">
        <v>22400</v>
      </c>
      <c r="E848" t="str">
        <f>_xlfn.XLOOKUP(Quota_tbl[[#This Row],[Rep_ID]],Dim_Reps!A:A,Dim_Reps!K:K)</f>
        <v>EUR</v>
      </c>
      <c r="F848" s="33">
        <f>(_xlfn.XLOOKUP(Quota_tbl[[#This Row],[Rate_Code_Generalized]],Lookups!A:A,Lookups!B:B)*Quota_tbl[[#This Row],[Quota_Amount_USD]])</f>
        <v>22400</v>
      </c>
      <c r="G848" t="str">
        <f>_xlfn.XLOOKUP(Quota_tbl[[#This Row],[Rep_ID]],Dim_Reps!A:A,Dim_Reps!C:C)</f>
        <v>Mid-Market AE</v>
      </c>
      <c r="H848" t="str">
        <f>_xlfn.XLOOKUP(Quota_tbl[[#This Row],[Rep_ID]],Dim_Reps!A:A,Dim_Reps!D:D)</f>
        <v>Mid-Market</v>
      </c>
      <c r="I848" t="str">
        <f>_xlfn.XLOOKUP(Quota_tbl[[#This Row],[Rep_ID]],Dim_Reps!A:A,Dim_Reps!E:E)</f>
        <v>APAC</v>
      </c>
      <c r="J848" t="str">
        <f>_xlfn.XLOOKUP(Quota_tbl[[#This Row],[Period_Start_Date]],Dim_Date!A:A,Dim_Date!H:H)</f>
        <v>Mar 2024</v>
      </c>
    </row>
    <row r="849" spans="1:10" ht="15" customHeight="1" x14ac:dyDescent="0.2">
      <c r="A849" t="s">
        <v>271</v>
      </c>
      <c r="B849" s="49">
        <v>45383</v>
      </c>
      <c r="C849">
        <v>8</v>
      </c>
      <c r="D849" s="33">
        <v>21800</v>
      </c>
      <c r="E849" t="str">
        <f>_xlfn.XLOOKUP(Quota_tbl[[#This Row],[Rep_ID]],Dim_Reps!A:A,Dim_Reps!K:K)</f>
        <v>EUR</v>
      </c>
      <c r="F849" s="33">
        <f>(_xlfn.XLOOKUP(Quota_tbl[[#This Row],[Rate_Code_Generalized]],Lookups!A:A,Lookups!B:B)*Quota_tbl[[#This Row],[Quota_Amount_USD]])</f>
        <v>21800</v>
      </c>
      <c r="G849" t="str">
        <f>_xlfn.XLOOKUP(Quota_tbl[[#This Row],[Rep_ID]],Dim_Reps!A:A,Dim_Reps!C:C)</f>
        <v>Mid-Market AE</v>
      </c>
      <c r="H849" t="str">
        <f>_xlfn.XLOOKUP(Quota_tbl[[#This Row],[Rep_ID]],Dim_Reps!A:A,Dim_Reps!D:D)</f>
        <v>Mid-Market</v>
      </c>
      <c r="I849" t="str">
        <f>_xlfn.XLOOKUP(Quota_tbl[[#This Row],[Rep_ID]],Dim_Reps!A:A,Dim_Reps!E:E)</f>
        <v>APAC</v>
      </c>
      <c r="J849" t="str">
        <f>_xlfn.XLOOKUP(Quota_tbl[[#This Row],[Period_Start_Date]],Dim_Date!A:A,Dim_Date!H:H)</f>
        <v>Apr 2024</v>
      </c>
    </row>
    <row r="850" spans="1:10" ht="15" customHeight="1" x14ac:dyDescent="0.2">
      <c r="A850" t="s">
        <v>271</v>
      </c>
      <c r="B850" s="49">
        <v>45413</v>
      </c>
      <c r="C850">
        <v>9</v>
      </c>
      <c r="D850" s="33">
        <v>22400</v>
      </c>
      <c r="E850" t="str">
        <f>_xlfn.XLOOKUP(Quota_tbl[[#This Row],[Rep_ID]],Dim_Reps!A:A,Dim_Reps!K:K)</f>
        <v>EUR</v>
      </c>
      <c r="F850" s="33">
        <f>(_xlfn.XLOOKUP(Quota_tbl[[#This Row],[Rate_Code_Generalized]],Lookups!A:A,Lookups!B:B)*Quota_tbl[[#This Row],[Quota_Amount_USD]])</f>
        <v>22400</v>
      </c>
      <c r="G850" t="str">
        <f>_xlfn.XLOOKUP(Quota_tbl[[#This Row],[Rep_ID]],Dim_Reps!A:A,Dim_Reps!C:C)</f>
        <v>Mid-Market AE</v>
      </c>
      <c r="H850" t="str">
        <f>_xlfn.XLOOKUP(Quota_tbl[[#This Row],[Rep_ID]],Dim_Reps!A:A,Dim_Reps!D:D)</f>
        <v>Mid-Market</v>
      </c>
      <c r="I850" t="str">
        <f>_xlfn.XLOOKUP(Quota_tbl[[#This Row],[Rep_ID]],Dim_Reps!A:A,Dim_Reps!E:E)</f>
        <v>APAC</v>
      </c>
      <c r="J850" t="str">
        <f>_xlfn.XLOOKUP(Quota_tbl[[#This Row],[Period_Start_Date]],Dim_Date!A:A,Dim_Date!H:H)</f>
        <v>May 2024</v>
      </c>
    </row>
    <row r="851" spans="1:10" ht="15" customHeight="1" x14ac:dyDescent="0.2">
      <c r="A851" t="s">
        <v>271</v>
      </c>
      <c r="B851" s="49">
        <v>45444</v>
      </c>
      <c r="C851">
        <v>10</v>
      </c>
      <c r="D851" s="33">
        <v>22700</v>
      </c>
      <c r="E851" t="str">
        <f>_xlfn.XLOOKUP(Quota_tbl[[#This Row],[Rep_ID]],Dim_Reps!A:A,Dim_Reps!K:K)</f>
        <v>EUR</v>
      </c>
      <c r="F851" s="33">
        <f>(_xlfn.XLOOKUP(Quota_tbl[[#This Row],[Rate_Code_Generalized]],Lookups!A:A,Lookups!B:B)*Quota_tbl[[#This Row],[Quota_Amount_USD]])</f>
        <v>22700</v>
      </c>
      <c r="G851" t="str">
        <f>_xlfn.XLOOKUP(Quota_tbl[[#This Row],[Rep_ID]],Dim_Reps!A:A,Dim_Reps!C:C)</f>
        <v>Mid-Market AE</v>
      </c>
      <c r="H851" t="str">
        <f>_xlfn.XLOOKUP(Quota_tbl[[#This Row],[Rep_ID]],Dim_Reps!A:A,Dim_Reps!D:D)</f>
        <v>Mid-Market</v>
      </c>
      <c r="I851" t="str">
        <f>_xlfn.XLOOKUP(Quota_tbl[[#This Row],[Rep_ID]],Dim_Reps!A:A,Dim_Reps!E:E)</f>
        <v>APAC</v>
      </c>
      <c r="J851" t="str">
        <f>_xlfn.XLOOKUP(Quota_tbl[[#This Row],[Period_Start_Date]],Dim_Date!A:A,Dim_Date!H:H)</f>
        <v>Jun 2024</v>
      </c>
    </row>
    <row r="852" spans="1:10" ht="15" customHeight="1" x14ac:dyDescent="0.2">
      <c r="A852" t="s">
        <v>271</v>
      </c>
      <c r="B852" s="49">
        <v>45474</v>
      </c>
      <c r="C852">
        <v>11</v>
      </c>
      <c r="D852" s="33">
        <v>22500</v>
      </c>
      <c r="E852" t="str">
        <f>_xlfn.XLOOKUP(Quota_tbl[[#This Row],[Rep_ID]],Dim_Reps!A:A,Dim_Reps!K:K)</f>
        <v>EUR</v>
      </c>
      <c r="F852" s="33">
        <f>(_xlfn.XLOOKUP(Quota_tbl[[#This Row],[Rate_Code_Generalized]],Lookups!A:A,Lookups!B:B)*Quota_tbl[[#This Row],[Quota_Amount_USD]])</f>
        <v>22500</v>
      </c>
      <c r="G852" t="str">
        <f>_xlfn.XLOOKUP(Quota_tbl[[#This Row],[Rep_ID]],Dim_Reps!A:A,Dim_Reps!C:C)</f>
        <v>Mid-Market AE</v>
      </c>
      <c r="H852" t="str">
        <f>_xlfn.XLOOKUP(Quota_tbl[[#This Row],[Rep_ID]],Dim_Reps!A:A,Dim_Reps!D:D)</f>
        <v>Mid-Market</v>
      </c>
      <c r="I852" t="str">
        <f>_xlfn.XLOOKUP(Quota_tbl[[#This Row],[Rep_ID]],Dim_Reps!A:A,Dim_Reps!E:E)</f>
        <v>APAC</v>
      </c>
      <c r="J852" t="str">
        <f>_xlfn.XLOOKUP(Quota_tbl[[#This Row],[Period_Start_Date]],Dim_Date!A:A,Dim_Date!H:H)</f>
        <v>Jul 2024</v>
      </c>
    </row>
    <row r="853" spans="1:10" ht="15" customHeight="1" x14ac:dyDescent="0.2">
      <c r="A853" t="s">
        <v>271</v>
      </c>
      <c r="B853" s="49">
        <v>45505</v>
      </c>
      <c r="C853">
        <v>12</v>
      </c>
      <c r="D853" s="33">
        <v>22300</v>
      </c>
      <c r="E853" t="str">
        <f>_xlfn.XLOOKUP(Quota_tbl[[#This Row],[Rep_ID]],Dim_Reps!A:A,Dim_Reps!K:K)</f>
        <v>EUR</v>
      </c>
      <c r="F853" s="33">
        <f>(_xlfn.XLOOKUP(Quota_tbl[[#This Row],[Rate_Code_Generalized]],Lookups!A:A,Lookups!B:B)*Quota_tbl[[#This Row],[Quota_Amount_USD]])</f>
        <v>22300</v>
      </c>
      <c r="G853" t="str">
        <f>_xlfn.XLOOKUP(Quota_tbl[[#This Row],[Rep_ID]],Dim_Reps!A:A,Dim_Reps!C:C)</f>
        <v>Mid-Market AE</v>
      </c>
      <c r="H853" t="str">
        <f>_xlfn.XLOOKUP(Quota_tbl[[#This Row],[Rep_ID]],Dim_Reps!A:A,Dim_Reps!D:D)</f>
        <v>Mid-Market</v>
      </c>
      <c r="I853" t="str">
        <f>_xlfn.XLOOKUP(Quota_tbl[[#This Row],[Rep_ID]],Dim_Reps!A:A,Dim_Reps!E:E)</f>
        <v>APAC</v>
      </c>
      <c r="J853" t="str">
        <f>_xlfn.XLOOKUP(Quota_tbl[[#This Row],[Period_Start_Date]],Dim_Date!A:A,Dim_Date!H:H)</f>
        <v>Aug 2024</v>
      </c>
    </row>
    <row r="854" spans="1:10" ht="15" customHeight="1" x14ac:dyDescent="0.2">
      <c r="A854" t="s">
        <v>271</v>
      </c>
      <c r="B854" s="49">
        <v>45536</v>
      </c>
      <c r="C854">
        <v>13</v>
      </c>
      <c r="D854" s="33">
        <v>22700</v>
      </c>
      <c r="E854" t="str">
        <f>_xlfn.XLOOKUP(Quota_tbl[[#This Row],[Rep_ID]],Dim_Reps!A:A,Dim_Reps!K:K)</f>
        <v>EUR</v>
      </c>
      <c r="F854" s="33">
        <f>(_xlfn.XLOOKUP(Quota_tbl[[#This Row],[Rate_Code_Generalized]],Lookups!A:A,Lookups!B:B)*Quota_tbl[[#This Row],[Quota_Amount_USD]])</f>
        <v>22700</v>
      </c>
      <c r="G854" t="str">
        <f>_xlfn.XLOOKUP(Quota_tbl[[#This Row],[Rep_ID]],Dim_Reps!A:A,Dim_Reps!C:C)</f>
        <v>Mid-Market AE</v>
      </c>
      <c r="H854" t="str">
        <f>_xlfn.XLOOKUP(Quota_tbl[[#This Row],[Rep_ID]],Dim_Reps!A:A,Dim_Reps!D:D)</f>
        <v>Mid-Market</v>
      </c>
      <c r="I854" t="str">
        <f>_xlfn.XLOOKUP(Quota_tbl[[#This Row],[Rep_ID]],Dim_Reps!A:A,Dim_Reps!E:E)</f>
        <v>APAC</v>
      </c>
      <c r="J854" t="str">
        <f>_xlfn.XLOOKUP(Quota_tbl[[#This Row],[Period_Start_Date]],Dim_Date!A:A,Dim_Date!H:H)</f>
        <v>Sep 2024</v>
      </c>
    </row>
    <row r="855" spans="1:10" ht="15" customHeight="1" x14ac:dyDescent="0.2">
      <c r="A855" t="s">
        <v>271</v>
      </c>
      <c r="B855" s="49">
        <v>45566</v>
      </c>
      <c r="C855">
        <v>14</v>
      </c>
      <c r="D855" s="33">
        <v>22800</v>
      </c>
      <c r="E855" t="str">
        <f>_xlfn.XLOOKUP(Quota_tbl[[#This Row],[Rep_ID]],Dim_Reps!A:A,Dim_Reps!K:K)</f>
        <v>EUR</v>
      </c>
      <c r="F855" s="33">
        <f>(_xlfn.XLOOKUP(Quota_tbl[[#This Row],[Rate_Code_Generalized]],Lookups!A:A,Lookups!B:B)*Quota_tbl[[#This Row],[Quota_Amount_USD]])</f>
        <v>22800</v>
      </c>
      <c r="G855" t="str">
        <f>_xlfn.XLOOKUP(Quota_tbl[[#This Row],[Rep_ID]],Dim_Reps!A:A,Dim_Reps!C:C)</f>
        <v>Mid-Market AE</v>
      </c>
      <c r="H855" t="str">
        <f>_xlfn.XLOOKUP(Quota_tbl[[#This Row],[Rep_ID]],Dim_Reps!A:A,Dim_Reps!D:D)</f>
        <v>Mid-Market</v>
      </c>
      <c r="I855" t="str">
        <f>_xlfn.XLOOKUP(Quota_tbl[[#This Row],[Rep_ID]],Dim_Reps!A:A,Dim_Reps!E:E)</f>
        <v>APAC</v>
      </c>
      <c r="J855" t="str">
        <f>_xlfn.XLOOKUP(Quota_tbl[[#This Row],[Period_Start_Date]],Dim_Date!A:A,Dim_Date!H:H)</f>
        <v>Oct 2024</v>
      </c>
    </row>
    <row r="856" spans="1:10" ht="15" customHeight="1" x14ac:dyDescent="0.2">
      <c r="A856" t="s">
        <v>271</v>
      </c>
      <c r="B856" s="49">
        <v>45597</v>
      </c>
      <c r="C856">
        <v>15</v>
      </c>
      <c r="D856" s="33">
        <v>22900</v>
      </c>
      <c r="E856" t="str">
        <f>_xlfn.XLOOKUP(Quota_tbl[[#This Row],[Rep_ID]],Dim_Reps!A:A,Dim_Reps!K:K)</f>
        <v>EUR</v>
      </c>
      <c r="F856" s="33">
        <f>(_xlfn.XLOOKUP(Quota_tbl[[#This Row],[Rate_Code_Generalized]],Lookups!A:A,Lookups!B:B)*Quota_tbl[[#This Row],[Quota_Amount_USD]])</f>
        <v>22900</v>
      </c>
      <c r="G856" t="str">
        <f>_xlfn.XLOOKUP(Quota_tbl[[#This Row],[Rep_ID]],Dim_Reps!A:A,Dim_Reps!C:C)</f>
        <v>Mid-Market AE</v>
      </c>
      <c r="H856" t="str">
        <f>_xlfn.XLOOKUP(Quota_tbl[[#This Row],[Rep_ID]],Dim_Reps!A:A,Dim_Reps!D:D)</f>
        <v>Mid-Market</v>
      </c>
      <c r="I856" t="str">
        <f>_xlfn.XLOOKUP(Quota_tbl[[#This Row],[Rep_ID]],Dim_Reps!A:A,Dim_Reps!E:E)</f>
        <v>APAC</v>
      </c>
      <c r="J856" t="str">
        <f>_xlfn.XLOOKUP(Quota_tbl[[#This Row],[Period_Start_Date]],Dim_Date!A:A,Dim_Date!H:H)</f>
        <v>Nov 2024</v>
      </c>
    </row>
    <row r="857" spans="1:10" ht="15" customHeight="1" x14ac:dyDescent="0.2">
      <c r="A857" t="s">
        <v>271</v>
      </c>
      <c r="B857" s="49">
        <v>45627</v>
      </c>
      <c r="C857">
        <v>16</v>
      </c>
      <c r="D857" s="33">
        <v>22400</v>
      </c>
      <c r="E857" t="str">
        <f>_xlfn.XLOOKUP(Quota_tbl[[#This Row],[Rep_ID]],Dim_Reps!A:A,Dim_Reps!K:K)</f>
        <v>EUR</v>
      </c>
      <c r="F857" s="33">
        <f>(_xlfn.XLOOKUP(Quota_tbl[[#This Row],[Rate_Code_Generalized]],Lookups!A:A,Lookups!B:B)*Quota_tbl[[#This Row],[Quota_Amount_USD]])</f>
        <v>22400</v>
      </c>
      <c r="G857" t="str">
        <f>_xlfn.XLOOKUP(Quota_tbl[[#This Row],[Rep_ID]],Dim_Reps!A:A,Dim_Reps!C:C)</f>
        <v>Mid-Market AE</v>
      </c>
      <c r="H857" t="str">
        <f>_xlfn.XLOOKUP(Quota_tbl[[#This Row],[Rep_ID]],Dim_Reps!A:A,Dim_Reps!D:D)</f>
        <v>Mid-Market</v>
      </c>
      <c r="I857" t="str">
        <f>_xlfn.XLOOKUP(Quota_tbl[[#This Row],[Rep_ID]],Dim_Reps!A:A,Dim_Reps!E:E)</f>
        <v>APAC</v>
      </c>
      <c r="J857" t="str">
        <f>_xlfn.XLOOKUP(Quota_tbl[[#This Row],[Period_Start_Date]],Dim_Date!A:A,Dim_Date!H:H)</f>
        <v>Dec 2024</v>
      </c>
    </row>
    <row r="858" spans="1:10" ht="15" customHeight="1" x14ac:dyDescent="0.2">
      <c r="A858" t="s">
        <v>271</v>
      </c>
      <c r="B858" s="49">
        <v>45658</v>
      </c>
      <c r="C858">
        <v>17</v>
      </c>
      <c r="D858" s="33">
        <v>21900</v>
      </c>
      <c r="E858" t="str">
        <f>_xlfn.XLOOKUP(Quota_tbl[[#This Row],[Rep_ID]],Dim_Reps!A:A,Dim_Reps!K:K)</f>
        <v>EUR</v>
      </c>
      <c r="F858" s="33">
        <f>(_xlfn.XLOOKUP(Quota_tbl[[#This Row],[Rate_Code_Generalized]],Lookups!A:A,Lookups!B:B)*Quota_tbl[[#This Row],[Quota_Amount_USD]])</f>
        <v>21900</v>
      </c>
      <c r="G858" t="str">
        <f>_xlfn.XLOOKUP(Quota_tbl[[#This Row],[Rep_ID]],Dim_Reps!A:A,Dim_Reps!C:C)</f>
        <v>Mid-Market AE</v>
      </c>
      <c r="H858" t="str">
        <f>_xlfn.XLOOKUP(Quota_tbl[[#This Row],[Rep_ID]],Dim_Reps!A:A,Dim_Reps!D:D)</f>
        <v>Mid-Market</v>
      </c>
      <c r="I858" t="str">
        <f>_xlfn.XLOOKUP(Quota_tbl[[#This Row],[Rep_ID]],Dim_Reps!A:A,Dim_Reps!E:E)</f>
        <v>APAC</v>
      </c>
      <c r="J858" t="str">
        <f>_xlfn.XLOOKUP(Quota_tbl[[#This Row],[Period_Start_Date]],Dim_Date!A:A,Dim_Date!H:H)</f>
        <v>Jan 2025</v>
      </c>
    </row>
    <row r="859" spans="1:10" ht="15" customHeight="1" x14ac:dyDescent="0.2">
      <c r="A859" t="s">
        <v>271</v>
      </c>
      <c r="B859" s="49">
        <v>45689</v>
      </c>
      <c r="C859">
        <v>18</v>
      </c>
      <c r="D859" s="33">
        <v>22100</v>
      </c>
      <c r="E859" t="str">
        <f>_xlfn.XLOOKUP(Quota_tbl[[#This Row],[Rep_ID]],Dim_Reps!A:A,Dim_Reps!K:K)</f>
        <v>EUR</v>
      </c>
      <c r="F859" s="33">
        <f>(_xlfn.XLOOKUP(Quota_tbl[[#This Row],[Rate_Code_Generalized]],Lookups!A:A,Lookups!B:B)*Quota_tbl[[#This Row],[Quota_Amount_USD]])</f>
        <v>22100</v>
      </c>
      <c r="G859" t="str">
        <f>_xlfn.XLOOKUP(Quota_tbl[[#This Row],[Rep_ID]],Dim_Reps!A:A,Dim_Reps!C:C)</f>
        <v>Mid-Market AE</v>
      </c>
      <c r="H859" t="str">
        <f>_xlfn.XLOOKUP(Quota_tbl[[#This Row],[Rep_ID]],Dim_Reps!A:A,Dim_Reps!D:D)</f>
        <v>Mid-Market</v>
      </c>
      <c r="I859" t="str">
        <f>_xlfn.XLOOKUP(Quota_tbl[[#This Row],[Rep_ID]],Dim_Reps!A:A,Dim_Reps!E:E)</f>
        <v>APAC</v>
      </c>
      <c r="J859" t="str">
        <f>_xlfn.XLOOKUP(Quota_tbl[[#This Row],[Period_Start_Date]],Dim_Date!A:A,Dim_Date!H:H)</f>
        <v>Feb 2025</v>
      </c>
    </row>
    <row r="860" spans="1:10" ht="15" customHeight="1" x14ac:dyDescent="0.2">
      <c r="A860" t="s">
        <v>271</v>
      </c>
      <c r="B860" s="49">
        <v>45717</v>
      </c>
      <c r="C860">
        <v>19</v>
      </c>
      <c r="D860" s="33">
        <v>22800</v>
      </c>
      <c r="E860" t="str">
        <f>_xlfn.XLOOKUP(Quota_tbl[[#This Row],[Rep_ID]],Dim_Reps!A:A,Dim_Reps!K:K)</f>
        <v>EUR</v>
      </c>
      <c r="F860" s="33">
        <f>(_xlfn.XLOOKUP(Quota_tbl[[#This Row],[Rate_Code_Generalized]],Lookups!A:A,Lookups!B:B)*Quota_tbl[[#This Row],[Quota_Amount_USD]])</f>
        <v>22800</v>
      </c>
      <c r="G860" t="str">
        <f>_xlfn.XLOOKUP(Quota_tbl[[#This Row],[Rep_ID]],Dim_Reps!A:A,Dim_Reps!C:C)</f>
        <v>Mid-Market AE</v>
      </c>
      <c r="H860" t="str">
        <f>_xlfn.XLOOKUP(Quota_tbl[[#This Row],[Rep_ID]],Dim_Reps!A:A,Dim_Reps!D:D)</f>
        <v>Mid-Market</v>
      </c>
      <c r="I860" t="str">
        <f>_xlfn.XLOOKUP(Quota_tbl[[#This Row],[Rep_ID]],Dim_Reps!A:A,Dim_Reps!E:E)</f>
        <v>APAC</v>
      </c>
      <c r="J860" t="str">
        <f>_xlfn.XLOOKUP(Quota_tbl[[#This Row],[Period_Start_Date]],Dim_Date!A:A,Dim_Date!H:H)</f>
        <v>Mar 2025</v>
      </c>
    </row>
    <row r="861" spans="1:10" ht="15" customHeight="1" x14ac:dyDescent="0.2">
      <c r="A861" t="s">
        <v>271</v>
      </c>
      <c r="B861" s="49">
        <v>45748</v>
      </c>
      <c r="C861">
        <v>20</v>
      </c>
      <c r="D861" s="33">
        <v>21500</v>
      </c>
      <c r="E861" t="str">
        <f>_xlfn.XLOOKUP(Quota_tbl[[#This Row],[Rep_ID]],Dim_Reps!A:A,Dim_Reps!K:K)</f>
        <v>EUR</v>
      </c>
      <c r="F861" s="33">
        <f>(_xlfn.XLOOKUP(Quota_tbl[[#This Row],[Rate_Code_Generalized]],Lookups!A:A,Lookups!B:B)*Quota_tbl[[#This Row],[Quota_Amount_USD]])</f>
        <v>21500</v>
      </c>
      <c r="G861" t="str">
        <f>_xlfn.XLOOKUP(Quota_tbl[[#This Row],[Rep_ID]],Dim_Reps!A:A,Dim_Reps!C:C)</f>
        <v>Mid-Market AE</v>
      </c>
      <c r="H861" t="str">
        <f>_xlfn.XLOOKUP(Quota_tbl[[#This Row],[Rep_ID]],Dim_Reps!A:A,Dim_Reps!D:D)</f>
        <v>Mid-Market</v>
      </c>
      <c r="I861" t="str">
        <f>_xlfn.XLOOKUP(Quota_tbl[[#This Row],[Rep_ID]],Dim_Reps!A:A,Dim_Reps!E:E)</f>
        <v>APAC</v>
      </c>
      <c r="J861" t="str">
        <f>_xlfn.XLOOKUP(Quota_tbl[[#This Row],[Period_Start_Date]],Dim_Date!A:A,Dim_Date!H:H)</f>
        <v>Apr 2025</v>
      </c>
    </row>
    <row r="862" spans="1:10" ht="15" customHeight="1" x14ac:dyDescent="0.2">
      <c r="A862" t="s">
        <v>271</v>
      </c>
      <c r="B862" s="49">
        <v>45778</v>
      </c>
      <c r="C862">
        <v>21</v>
      </c>
      <c r="D862" s="33">
        <v>22200</v>
      </c>
      <c r="E862" t="str">
        <f>_xlfn.XLOOKUP(Quota_tbl[[#This Row],[Rep_ID]],Dim_Reps!A:A,Dim_Reps!K:K)</f>
        <v>EUR</v>
      </c>
      <c r="F862" s="33">
        <f>(_xlfn.XLOOKUP(Quota_tbl[[#This Row],[Rate_Code_Generalized]],Lookups!A:A,Lookups!B:B)*Quota_tbl[[#This Row],[Quota_Amount_USD]])</f>
        <v>22200</v>
      </c>
      <c r="G862" t="str">
        <f>_xlfn.XLOOKUP(Quota_tbl[[#This Row],[Rep_ID]],Dim_Reps!A:A,Dim_Reps!C:C)</f>
        <v>Mid-Market AE</v>
      </c>
      <c r="H862" t="str">
        <f>_xlfn.XLOOKUP(Quota_tbl[[#This Row],[Rep_ID]],Dim_Reps!A:A,Dim_Reps!D:D)</f>
        <v>Mid-Market</v>
      </c>
      <c r="I862" t="str">
        <f>_xlfn.XLOOKUP(Quota_tbl[[#This Row],[Rep_ID]],Dim_Reps!A:A,Dim_Reps!E:E)</f>
        <v>APAC</v>
      </c>
      <c r="J862" t="str">
        <f>_xlfn.XLOOKUP(Quota_tbl[[#This Row],[Period_Start_Date]],Dim_Date!A:A,Dim_Date!H:H)</f>
        <v>May 2025</v>
      </c>
    </row>
    <row r="863" spans="1:10" ht="15" customHeight="1" x14ac:dyDescent="0.2">
      <c r="A863" t="s">
        <v>271</v>
      </c>
      <c r="B863" s="49">
        <v>45809</v>
      </c>
      <c r="C863">
        <v>22</v>
      </c>
      <c r="D863" s="33">
        <v>21700</v>
      </c>
      <c r="E863" t="str">
        <f>_xlfn.XLOOKUP(Quota_tbl[[#This Row],[Rep_ID]],Dim_Reps!A:A,Dim_Reps!K:K)</f>
        <v>EUR</v>
      </c>
      <c r="F863" s="33">
        <f>(_xlfn.XLOOKUP(Quota_tbl[[#This Row],[Rate_Code_Generalized]],Lookups!A:A,Lookups!B:B)*Quota_tbl[[#This Row],[Quota_Amount_USD]])</f>
        <v>21700</v>
      </c>
      <c r="G863" t="str">
        <f>_xlfn.XLOOKUP(Quota_tbl[[#This Row],[Rep_ID]],Dim_Reps!A:A,Dim_Reps!C:C)</f>
        <v>Mid-Market AE</v>
      </c>
      <c r="H863" t="str">
        <f>_xlfn.XLOOKUP(Quota_tbl[[#This Row],[Rep_ID]],Dim_Reps!A:A,Dim_Reps!D:D)</f>
        <v>Mid-Market</v>
      </c>
      <c r="I863" t="str">
        <f>_xlfn.XLOOKUP(Quota_tbl[[#This Row],[Rep_ID]],Dim_Reps!A:A,Dim_Reps!E:E)</f>
        <v>APAC</v>
      </c>
      <c r="J863" t="str">
        <f>_xlfn.XLOOKUP(Quota_tbl[[#This Row],[Period_Start_Date]],Dim_Date!A:A,Dim_Date!H:H)</f>
        <v>Jun 2025</v>
      </c>
    </row>
    <row r="864" spans="1:10" ht="15" customHeight="1" x14ac:dyDescent="0.2">
      <c r="A864" t="s">
        <v>271</v>
      </c>
      <c r="B864" s="49">
        <v>45839</v>
      </c>
      <c r="C864">
        <v>23</v>
      </c>
      <c r="D864" s="33">
        <v>22000</v>
      </c>
      <c r="E864" t="str">
        <f>_xlfn.XLOOKUP(Quota_tbl[[#This Row],[Rep_ID]],Dim_Reps!A:A,Dim_Reps!K:K)</f>
        <v>EUR</v>
      </c>
      <c r="F864" s="33">
        <f>(_xlfn.XLOOKUP(Quota_tbl[[#This Row],[Rate_Code_Generalized]],Lookups!A:A,Lookups!B:B)*Quota_tbl[[#This Row],[Quota_Amount_USD]])</f>
        <v>22000</v>
      </c>
      <c r="G864" t="str">
        <f>_xlfn.XLOOKUP(Quota_tbl[[#This Row],[Rep_ID]],Dim_Reps!A:A,Dim_Reps!C:C)</f>
        <v>Mid-Market AE</v>
      </c>
      <c r="H864" t="str">
        <f>_xlfn.XLOOKUP(Quota_tbl[[#This Row],[Rep_ID]],Dim_Reps!A:A,Dim_Reps!D:D)</f>
        <v>Mid-Market</v>
      </c>
      <c r="I864" t="str">
        <f>_xlfn.XLOOKUP(Quota_tbl[[#This Row],[Rep_ID]],Dim_Reps!A:A,Dim_Reps!E:E)</f>
        <v>APAC</v>
      </c>
      <c r="J864" t="str">
        <f>_xlfn.XLOOKUP(Quota_tbl[[#This Row],[Period_Start_Date]],Dim_Date!A:A,Dim_Date!H:H)</f>
        <v>Jul 2025</v>
      </c>
    </row>
    <row r="865" spans="1:10" ht="15" customHeight="1" x14ac:dyDescent="0.2">
      <c r="A865" t="s">
        <v>271</v>
      </c>
      <c r="B865" s="49">
        <v>45870</v>
      </c>
      <c r="C865">
        <v>24</v>
      </c>
      <c r="D865" s="33">
        <v>22800</v>
      </c>
      <c r="E865" t="str">
        <f>_xlfn.XLOOKUP(Quota_tbl[[#This Row],[Rep_ID]],Dim_Reps!A:A,Dim_Reps!K:K)</f>
        <v>EUR</v>
      </c>
      <c r="F865" s="33">
        <f>(_xlfn.XLOOKUP(Quota_tbl[[#This Row],[Rate_Code_Generalized]],Lookups!A:A,Lookups!B:B)*Quota_tbl[[#This Row],[Quota_Amount_USD]])</f>
        <v>22800</v>
      </c>
      <c r="G865" t="str">
        <f>_xlfn.XLOOKUP(Quota_tbl[[#This Row],[Rep_ID]],Dim_Reps!A:A,Dim_Reps!C:C)</f>
        <v>Mid-Market AE</v>
      </c>
      <c r="H865" t="str">
        <f>_xlfn.XLOOKUP(Quota_tbl[[#This Row],[Rep_ID]],Dim_Reps!A:A,Dim_Reps!D:D)</f>
        <v>Mid-Market</v>
      </c>
      <c r="I865" t="str">
        <f>_xlfn.XLOOKUP(Quota_tbl[[#This Row],[Rep_ID]],Dim_Reps!A:A,Dim_Reps!E:E)</f>
        <v>APAC</v>
      </c>
      <c r="J865" t="str">
        <f>_xlfn.XLOOKUP(Quota_tbl[[#This Row],[Period_Start_Date]],Dim_Date!A:A,Dim_Date!H:H)</f>
        <v>Aug 2025</v>
      </c>
    </row>
    <row r="866" spans="1:10" ht="15" customHeight="1" x14ac:dyDescent="0.2">
      <c r="A866" t="s">
        <v>271</v>
      </c>
      <c r="B866" s="49">
        <v>45901</v>
      </c>
      <c r="C866">
        <v>25</v>
      </c>
      <c r="D866" s="33">
        <v>22100</v>
      </c>
      <c r="E866" t="str">
        <f>_xlfn.XLOOKUP(Quota_tbl[[#This Row],[Rep_ID]],Dim_Reps!A:A,Dim_Reps!K:K)</f>
        <v>EUR</v>
      </c>
      <c r="F866" s="33">
        <f>(_xlfn.XLOOKUP(Quota_tbl[[#This Row],[Rate_Code_Generalized]],Lookups!A:A,Lookups!B:B)*Quota_tbl[[#This Row],[Quota_Amount_USD]])</f>
        <v>22100</v>
      </c>
      <c r="G866" t="str">
        <f>_xlfn.XLOOKUP(Quota_tbl[[#This Row],[Rep_ID]],Dim_Reps!A:A,Dim_Reps!C:C)</f>
        <v>Mid-Market AE</v>
      </c>
      <c r="H866" t="str">
        <f>_xlfn.XLOOKUP(Quota_tbl[[#This Row],[Rep_ID]],Dim_Reps!A:A,Dim_Reps!D:D)</f>
        <v>Mid-Market</v>
      </c>
      <c r="I866" t="str">
        <f>_xlfn.XLOOKUP(Quota_tbl[[#This Row],[Rep_ID]],Dim_Reps!A:A,Dim_Reps!E:E)</f>
        <v>APAC</v>
      </c>
      <c r="J866" t="str">
        <f>_xlfn.XLOOKUP(Quota_tbl[[#This Row],[Period_Start_Date]],Dim_Date!A:A,Dim_Date!H:H)</f>
        <v>Sep 2025</v>
      </c>
    </row>
    <row r="867" spans="1:10" ht="15" customHeight="1" x14ac:dyDescent="0.2">
      <c r="A867" t="s">
        <v>271</v>
      </c>
      <c r="B867" s="49">
        <v>45931</v>
      </c>
      <c r="C867">
        <v>26</v>
      </c>
      <c r="D867" s="33">
        <v>22000</v>
      </c>
      <c r="E867" t="str">
        <f>_xlfn.XLOOKUP(Quota_tbl[[#This Row],[Rep_ID]],Dim_Reps!A:A,Dim_Reps!K:K)</f>
        <v>EUR</v>
      </c>
      <c r="F867" s="33">
        <f>(_xlfn.XLOOKUP(Quota_tbl[[#This Row],[Rate_Code_Generalized]],Lookups!A:A,Lookups!B:B)*Quota_tbl[[#This Row],[Quota_Amount_USD]])</f>
        <v>22000</v>
      </c>
      <c r="G867" t="str">
        <f>_xlfn.XLOOKUP(Quota_tbl[[#This Row],[Rep_ID]],Dim_Reps!A:A,Dim_Reps!C:C)</f>
        <v>Mid-Market AE</v>
      </c>
      <c r="H867" t="str">
        <f>_xlfn.XLOOKUP(Quota_tbl[[#This Row],[Rep_ID]],Dim_Reps!A:A,Dim_Reps!D:D)</f>
        <v>Mid-Market</v>
      </c>
      <c r="I867" t="str">
        <f>_xlfn.XLOOKUP(Quota_tbl[[#This Row],[Rep_ID]],Dim_Reps!A:A,Dim_Reps!E:E)</f>
        <v>APAC</v>
      </c>
      <c r="J867" t="str">
        <f>_xlfn.XLOOKUP(Quota_tbl[[#This Row],[Period_Start_Date]],Dim_Date!A:A,Dim_Date!H:H)</f>
        <v>Oct 2025</v>
      </c>
    </row>
    <row r="868" spans="1:10" ht="15" customHeight="1" x14ac:dyDescent="0.2">
      <c r="A868" t="s">
        <v>271</v>
      </c>
      <c r="B868" s="49">
        <v>45962</v>
      </c>
      <c r="C868">
        <v>27</v>
      </c>
      <c r="D868" s="33">
        <v>21100</v>
      </c>
      <c r="E868" t="str">
        <f>_xlfn.XLOOKUP(Quota_tbl[[#This Row],[Rep_ID]],Dim_Reps!A:A,Dim_Reps!K:K)</f>
        <v>EUR</v>
      </c>
      <c r="F868" s="33">
        <f>(_xlfn.XLOOKUP(Quota_tbl[[#This Row],[Rate_Code_Generalized]],Lookups!A:A,Lookups!B:B)*Quota_tbl[[#This Row],[Quota_Amount_USD]])</f>
        <v>21100</v>
      </c>
      <c r="G868" t="str">
        <f>_xlfn.XLOOKUP(Quota_tbl[[#This Row],[Rep_ID]],Dim_Reps!A:A,Dim_Reps!C:C)</f>
        <v>Mid-Market AE</v>
      </c>
      <c r="H868" t="str">
        <f>_xlfn.XLOOKUP(Quota_tbl[[#This Row],[Rep_ID]],Dim_Reps!A:A,Dim_Reps!D:D)</f>
        <v>Mid-Market</v>
      </c>
      <c r="I868" t="str">
        <f>_xlfn.XLOOKUP(Quota_tbl[[#This Row],[Rep_ID]],Dim_Reps!A:A,Dim_Reps!E:E)</f>
        <v>APAC</v>
      </c>
      <c r="J868" t="str">
        <f>_xlfn.XLOOKUP(Quota_tbl[[#This Row],[Period_Start_Date]],Dim_Date!A:A,Dim_Date!H:H)</f>
        <v>Nov 2025</v>
      </c>
    </row>
    <row r="869" spans="1:10" ht="15" customHeight="1" x14ac:dyDescent="0.2">
      <c r="A869" t="s">
        <v>271</v>
      </c>
      <c r="B869" s="49">
        <v>45992</v>
      </c>
      <c r="C869">
        <v>28</v>
      </c>
      <c r="D869" s="33">
        <v>22500</v>
      </c>
      <c r="E869" t="str">
        <f>_xlfn.XLOOKUP(Quota_tbl[[#This Row],[Rep_ID]],Dim_Reps!A:A,Dim_Reps!K:K)</f>
        <v>EUR</v>
      </c>
      <c r="F869" s="33">
        <f>(_xlfn.XLOOKUP(Quota_tbl[[#This Row],[Rate_Code_Generalized]],Lookups!A:A,Lookups!B:B)*Quota_tbl[[#This Row],[Quota_Amount_USD]])</f>
        <v>22500</v>
      </c>
      <c r="G869" t="str">
        <f>_xlfn.XLOOKUP(Quota_tbl[[#This Row],[Rep_ID]],Dim_Reps!A:A,Dim_Reps!C:C)</f>
        <v>Mid-Market AE</v>
      </c>
      <c r="H869" t="str">
        <f>_xlfn.XLOOKUP(Quota_tbl[[#This Row],[Rep_ID]],Dim_Reps!A:A,Dim_Reps!D:D)</f>
        <v>Mid-Market</v>
      </c>
      <c r="I869" t="str">
        <f>_xlfn.XLOOKUP(Quota_tbl[[#This Row],[Rep_ID]],Dim_Reps!A:A,Dim_Reps!E:E)</f>
        <v>APAC</v>
      </c>
      <c r="J869" t="str">
        <f>_xlfn.XLOOKUP(Quota_tbl[[#This Row],[Period_Start_Date]],Dim_Date!A:A,Dim_Date!H:H)</f>
        <v>Dec 2025</v>
      </c>
    </row>
    <row r="870" spans="1:10" ht="15" customHeight="1" x14ac:dyDescent="0.2">
      <c r="A870" t="s">
        <v>273</v>
      </c>
      <c r="B870" s="49">
        <v>45413</v>
      </c>
      <c r="C870">
        <v>0</v>
      </c>
      <c r="D870" s="33">
        <v>5600</v>
      </c>
      <c r="E870" t="str">
        <f>_xlfn.XLOOKUP(Quota_tbl[[#This Row],[Rep_ID]],Dim_Reps!A:A,Dim_Reps!K:K)</f>
        <v>EUR</v>
      </c>
      <c r="F870" s="33">
        <f>(_xlfn.XLOOKUP(Quota_tbl[[#This Row],[Rate_Code_Generalized]],Lookups!A:A,Lookups!B:B)*Quota_tbl[[#This Row],[Quota_Amount_USD]])</f>
        <v>5600</v>
      </c>
      <c r="G870" t="str">
        <f>_xlfn.XLOOKUP(Quota_tbl[[#This Row],[Rep_ID]],Dim_Reps!A:A,Dim_Reps!C:C)</f>
        <v>Mid-Market AE</v>
      </c>
      <c r="H870" t="str">
        <f>_xlfn.XLOOKUP(Quota_tbl[[#This Row],[Rep_ID]],Dim_Reps!A:A,Dim_Reps!D:D)</f>
        <v>Mid-Market</v>
      </c>
      <c r="I870" t="str">
        <f>_xlfn.XLOOKUP(Quota_tbl[[#This Row],[Rep_ID]],Dim_Reps!A:A,Dim_Reps!E:E)</f>
        <v>APAC</v>
      </c>
      <c r="J870" t="str">
        <f>_xlfn.XLOOKUP(Quota_tbl[[#This Row],[Period_Start_Date]],Dim_Date!A:A,Dim_Date!H:H)</f>
        <v>May 2024</v>
      </c>
    </row>
    <row r="871" spans="1:10" ht="15" customHeight="1" x14ac:dyDescent="0.2">
      <c r="A871" t="s">
        <v>273</v>
      </c>
      <c r="B871" s="49">
        <v>45444</v>
      </c>
      <c r="C871">
        <v>1</v>
      </c>
      <c r="D871" s="33">
        <v>11700</v>
      </c>
      <c r="E871" t="str">
        <f>_xlfn.XLOOKUP(Quota_tbl[[#This Row],[Rep_ID]],Dim_Reps!A:A,Dim_Reps!K:K)</f>
        <v>EUR</v>
      </c>
      <c r="F871" s="33">
        <f>(_xlfn.XLOOKUP(Quota_tbl[[#This Row],[Rate_Code_Generalized]],Lookups!A:A,Lookups!B:B)*Quota_tbl[[#This Row],[Quota_Amount_USD]])</f>
        <v>11700</v>
      </c>
      <c r="G871" t="str">
        <f>_xlfn.XLOOKUP(Quota_tbl[[#This Row],[Rep_ID]],Dim_Reps!A:A,Dim_Reps!C:C)</f>
        <v>Mid-Market AE</v>
      </c>
      <c r="H871" t="str">
        <f>_xlfn.XLOOKUP(Quota_tbl[[#This Row],[Rep_ID]],Dim_Reps!A:A,Dim_Reps!D:D)</f>
        <v>Mid-Market</v>
      </c>
      <c r="I871" t="str">
        <f>_xlfn.XLOOKUP(Quota_tbl[[#This Row],[Rep_ID]],Dim_Reps!A:A,Dim_Reps!E:E)</f>
        <v>APAC</v>
      </c>
      <c r="J871" t="str">
        <f>_xlfn.XLOOKUP(Quota_tbl[[#This Row],[Period_Start_Date]],Dim_Date!A:A,Dim_Date!H:H)</f>
        <v>Jun 2024</v>
      </c>
    </row>
    <row r="872" spans="1:10" ht="15" customHeight="1" x14ac:dyDescent="0.2">
      <c r="A872" t="s">
        <v>273</v>
      </c>
      <c r="B872" s="49">
        <v>45474</v>
      </c>
      <c r="C872">
        <v>2</v>
      </c>
      <c r="D872" s="33">
        <v>16300</v>
      </c>
      <c r="E872" t="str">
        <f>_xlfn.XLOOKUP(Quota_tbl[[#This Row],[Rep_ID]],Dim_Reps!A:A,Dim_Reps!K:K)</f>
        <v>EUR</v>
      </c>
      <c r="F872" s="33">
        <f>(_xlfn.XLOOKUP(Quota_tbl[[#This Row],[Rate_Code_Generalized]],Lookups!A:A,Lookups!B:B)*Quota_tbl[[#This Row],[Quota_Amount_USD]])</f>
        <v>16300</v>
      </c>
      <c r="G872" t="str">
        <f>_xlfn.XLOOKUP(Quota_tbl[[#This Row],[Rep_ID]],Dim_Reps!A:A,Dim_Reps!C:C)</f>
        <v>Mid-Market AE</v>
      </c>
      <c r="H872" t="str">
        <f>_xlfn.XLOOKUP(Quota_tbl[[#This Row],[Rep_ID]],Dim_Reps!A:A,Dim_Reps!D:D)</f>
        <v>Mid-Market</v>
      </c>
      <c r="I872" t="str">
        <f>_xlfn.XLOOKUP(Quota_tbl[[#This Row],[Rep_ID]],Dim_Reps!A:A,Dim_Reps!E:E)</f>
        <v>APAC</v>
      </c>
      <c r="J872" t="str">
        <f>_xlfn.XLOOKUP(Quota_tbl[[#This Row],[Period_Start_Date]],Dim_Date!A:A,Dim_Date!H:H)</f>
        <v>Jul 2024</v>
      </c>
    </row>
    <row r="873" spans="1:10" ht="15" customHeight="1" x14ac:dyDescent="0.2">
      <c r="A873" t="s">
        <v>273</v>
      </c>
      <c r="B873" s="49">
        <v>45505</v>
      </c>
      <c r="C873">
        <v>3</v>
      </c>
      <c r="D873" s="33">
        <v>22100</v>
      </c>
      <c r="E873" t="str">
        <f>_xlfn.XLOOKUP(Quota_tbl[[#This Row],[Rep_ID]],Dim_Reps!A:A,Dim_Reps!K:K)</f>
        <v>EUR</v>
      </c>
      <c r="F873" s="33">
        <f>(_xlfn.XLOOKUP(Quota_tbl[[#This Row],[Rate_Code_Generalized]],Lookups!A:A,Lookups!B:B)*Quota_tbl[[#This Row],[Quota_Amount_USD]])</f>
        <v>22100</v>
      </c>
      <c r="G873" t="str">
        <f>_xlfn.XLOOKUP(Quota_tbl[[#This Row],[Rep_ID]],Dim_Reps!A:A,Dim_Reps!C:C)</f>
        <v>Mid-Market AE</v>
      </c>
      <c r="H873" t="str">
        <f>_xlfn.XLOOKUP(Quota_tbl[[#This Row],[Rep_ID]],Dim_Reps!A:A,Dim_Reps!D:D)</f>
        <v>Mid-Market</v>
      </c>
      <c r="I873" t="str">
        <f>_xlfn.XLOOKUP(Quota_tbl[[#This Row],[Rep_ID]],Dim_Reps!A:A,Dim_Reps!E:E)</f>
        <v>APAC</v>
      </c>
      <c r="J873" t="str">
        <f>_xlfn.XLOOKUP(Quota_tbl[[#This Row],[Period_Start_Date]],Dim_Date!A:A,Dim_Date!H:H)</f>
        <v>Aug 2024</v>
      </c>
    </row>
    <row r="874" spans="1:10" ht="15" customHeight="1" x14ac:dyDescent="0.2">
      <c r="A874" t="s">
        <v>273</v>
      </c>
      <c r="B874" s="49">
        <v>45536</v>
      </c>
      <c r="C874">
        <v>4</v>
      </c>
      <c r="D874" s="33">
        <v>22200</v>
      </c>
      <c r="E874" t="str">
        <f>_xlfn.XLOOKUP(Quota_tbl[[#This Row],[Rep_ID]],Dim_Reps!A:A,Dim_Reps!K:K)</f>
        <v>EUR</v>
      </c>
      <c r="F874" s="33">
        <f>(_xlfn.XLOOKUP(Quota_tbl[[#This Row],[Rate_Code_Generalized]],Lookups!A:A,Lookups!B:B)*Quota_tbl[[#This Row],[Quota_Amount_USD]])</f>
        <v>22200</v>
      </c>
      <c r="G874" t="str">
        <f>_xlfn.XLOOKUP(Quota_tbl[[#This Row],[Rep_ID]],Dim_Reps!A:A,Dim_Reps!C:C)</f>
        <v>Mid-Market AE</v>
      </c>
      <c r="H874" t="str">
        <f>_xlfn.XLOOKUP(Quota_tbl[[#This Row],[Rep_ID]],Dim_Reps!A:A,Dim_Reps!D:D)</f>
        <v>Mid-Market</v>
      </c>
      <c r="I874" t="str">
        <f>_xlfn.XLOOKUP(Quota_tbl[[#This Row],[Rep_ID]],Dim_Reps!A:A,Dim_Reps!E:E)</f>
        <v>APAC</v>
      </c>
      <c r="J874" t="str">
        <f>_xlfn.XLOOKUP(Quota_tbl[[#This Row],[Period_Start_Date]],Dim_Date!A:A,Dim_Date!H:H)</f>
        <v>Sep 2024</v>
      </c>
    </row>
    <row r="875" spans="1:10" ht="15" customHeight="1" x14ac:dyDescent="0.2">
      <c r="A875" t="s">
        <v>273</v>
      </c>
      <c r="B875" s="49">
        <v>45566</v>
      </c>
      <c r="C875">
        <v>5</v>
      </c>
      <c r="D875" s="33">
        <v>23000</v>
      </c>
      <c r="E875" t="str">
        <f>_xlfn.XLOOKUP(Quota_tbl[[#This Row],[Rep_ID]],Dim_Reps!A:A,Dim_Reps!K:K)</f>
        <v>EUR</v>
      </c>
      <c r="F875" s="33">
        <f>(_xlfn.XLOOKUP(Quota_tbl[[#This Row],[Rate_Code_Generalized]],Lookups!A:A,Lookups!B:B)*Quota_tbl[[#This Row],[Quota_Amount_USD]])</f>
        <v>23000</v>
      </c>
      <c r="G875" t="str">
        <f>_xlfn.XLOOKUP(Quota_tbl[[#This Row],[Rep_ID]],Dim_Reps!A:A,Dim_Reps!C:C)</f>
        <v>Mid-Market AE</v>
      </c>
      <c r="H875" t="str">
        <f>_xlfn.XLOOKUP(Quota_tbl[[#This Row],[Rep_ID]],Dim_Reps!A:A,Dim_Reps!D:D)</f>
        <v>Mid-Market</v>
      </c>
      <c r="I875" t="str">
        <f>_xlfn.XLOOKUP(Quota_tbl[[#This Row],[Rep_ID]],Dim_Reps!A:A,Dim_Reps!E:E)</f>
        <v>APAC</v>
      </c>
      <c r="J875" t="str">
        <f>_xlfn.XLOOKUP(Quota_tbl[[#This Row],[Period_Start_Date]],Dim_Date!A:A,Dim_Date!H:H)</f>
        <v>Oct 2024</v>
      </c>
    </row>
    <row r="876" spans="1:10" ht="15" customHeight="1" x14ac:dyDescent="0.2">
      <c r="A876" t="s">
        <v>273</v>
      </c>
      <c r="B876" s="49">
        <v>45597</v>
      </c>
      <c r="C876">
        <v>6</v>
      </c>
      <c r="D876" s="33">
        <v>21900</v>
      </c>
      <c r="E876" t="str">
        <f>_xlfn.XLOOKUP(Quota_tbl[[#This Row],[Rep_ID]],Dim_Reps!A:A,Dim_Reps!K:K)</f>
        <v>EUR</v>
      </c>
      <c r="F876" s="33">
        <f>(_xlfn.XLOOKUP(Quota_tbl[[#This Row],[Rate_Code_Generalized]],Lookups!A:A,Lookups!B:B)*Quota_tbl[[#This Row],[Quota_Amount_USD]])</f>
        <v>21900</v>
      </c>
      <c r="G876" t="str">
        <f>_xlfn.XLOOKUP(Quota_tbl[[#This Row],[Rep_ID]],Dim_Reps!A:A,Dim_Reps!C:C)</f>
        <v>Mid-Market AE</v>
      </c>
      <c r="H876" t="str">
        <f>_xlfn.XLOOKUP(Quota_tbl[[#This Row],[Rep_ID]],Dim_Reps!A:A,Dim_Reps!D:D)</f>
        <v>Mid-Market</v>
      </c>
      <c r="I876" t="str">
        <f>_xlfn.XLOOKUP(Quota_tbl[[#This Row],[Rep_ID]],Dim_Reps!A:A,Dim_Reps!E:E)</f>
        <v>APAC</v>
      </c>
      <c r="J876" t="str">
        <f>_xlfn.XLOOKUP(Quota_tbl[[#This Row],[Period_Start_Date]],Dim_Date!A:A,Dim_Date!H:H)</f>
        <v>Nov 2024</v>
      </c>
    </row>
    <row r="877" spans="1:10" ht="15" customHeight="1" x14ac:dyDescent="0.2">
      <c r="A877" t="s">
        <v>273</v>
      </c>
      <c r="B877" s="49">
        <v>45627</v>
      </c>
      <c r="C877">
        <v>7</v>
      </c>
      <c r="D877" s="33">
        <v>22200</v>
      </c>
      <c r="E877" t="str">
        <f>_xlfn.XLOOKUP(Quota_tbl[[#This Row],[Rep_ID]],Dim_Reps!A:A,Dim_Reps!K:K)</f>
        <v>EUR</v>
      </c>
      <c r="F877" s="33">
        <f>(_xlfn.XLOOKUP(Quota_tbl[[#This Row],[Rate_Code_Generalized]],Lookups!A:A,Lookups!B:B)*Quota_tbl[[#This Row],[Quota_Amount_USD]])</f>
        <v>22200</v>
      </c>
      <c r="G877" t="str">
        <f>_xlfn.XLOOKUP(Quota_tbl[[#This Row],[Rep_ID]],Dim_Reps!A:A,Dim_Reps!C:C)</f>
        <v>Mid-Market AE</v>
      </c>
      <c r="H877" t="str">
        <f>_xlfn.XLOOKUP(Quota_tbl[[#This Row],[Rep_ID]],Dim_Reps!A:A,Dim_Reps!D:D)</f>
        <v>Mid-Market</v>
      </c>
      <c r="I877" t="str">
        <f>_xlfn.XLOOKUP(Quota_tbl[[#This Row],[Rep_ID]],Dim_Reps!A:A,Dim_Reps!E:E)</f>
        <v>APAC</v>
      </c>
      <c r="J877" t="str">
        <f>_xlfn.XLOOKUP(Quota_tbl[[#This Row],[Period_Start_Date]],Dim_Date!A:A,Dim_Date!H:H)</f>
        <v>Dec 2024</v>
      </c>
    </row>
    <row r="878" spans="1:10" ht="15" customHeight="1" x14ac:dyDescent="0.2">
      <c r="A878" t="s">
        <v>273</v>
      </c>
      <c r="B878" s="49">
        <v>45658</v>
      </c>
      <c r="C878">
        <v>8</v>
      </c>
      <c r="D878" s="33">
        <v>22400</v>
      </c>
      <c r="E878" t="str">
        <f>_xlfn.XLOOKUP(Quota_tbl[[#This Row],[Rep_ID]],Dim_Reps!A:A,Dim_Reps!K:K)</f>
        <v>EUR</v>
      </c>
      <c r="F878" s="33">
        <f>(_xlfn.XLOOKUP(Quota_tbl[[#This Row],[Rate_Code_Generalized]],Lookups!A:A,Lookups!B:B)*Quota_tbl[[#This Row],[Quota_Amount_USD]])</f>
        <v>22400</v>
      </c>
      <c r="G878" t="str">
        <f>_xlfn.XLOOKUP(Quota_tbl[[#This Row],[Rep_ID]],Dim_Reps!A:A,Dim_Reps!C:C)</f>
        <v>Mid-Market AE</v>
      </c>
      <c r="H878" t="str">
        <f>_xlfn.XLOOKUP(Quota_tbl[[#This Row],[Rep_ID]],Dim_Reps!A:A,Dim_Reps!D:D)</f>
        <v>Mid-Market</v>
      </c>
      <c r="I878" t="str">
        <f>_xlfn.XLOOKUP(Quota_tbl[[#This Row],[Rep_ID]],Dim_Reps!A:A,Dim_Reps!E:E)</f>
        <v>APAC</v>
      </c>
      <c r="J878" t="str">
        <f>_xlfn.XLOOKUP(Quota_tbl[[#This Row],[Period_Start_Date]],Dim_Date!A:A,Dim_Date!H:H)</f>
        <v>Jan 2025</v>
      </c>
    </row>
    <row r="879" spans="1:10" ht="15" customHeight="1" x14ac:dyDescent="0.2">
      <c r="A879" t="s">
        <v>273</v>
      </c>
      <c r="B879" s="49">
        <v>45689</v>
      </c>
      <c r="C879">
        <v>9</v>
      </c>
      <c r="D879" s="33">
        <v>22100</v>
      </c>
      <c r="E879" t="str">
        <f>_xlfn.XLOOKUP(Quota_tbl[[#This Row],[Rep_ID]],Dim_Reps!A:A,Dim_Reps!K:K)</f>
        <v>EUR</v>
      </c>
      <c r="F879" s="33">
        <f>(_xlfn.XLOOKUP(Quota_tbl[[#This Row],[Rate_Code_Generalized]],Lookups!A:A,Lookups!B:B)*Quota_tbl[[#This Row],[Quota_Amount_USD]])</f>
        <v>22100</v>
      </c>
      <c r="G879" t="str">
        <f>_xlfn.XLOOKUP(Quota_tbl[[#This Row],[Rep_ID]],Dim_Reps!A:A,Dim_Reps!C:C)</f>
        <v>Mid-Market AE</v>
      </c>
      <c r="H879" t="str">
        <f>_xlfn.XLOOKUP(Quota_tbl[[#This Row],[Rep_ID]],Dim_Reps!A:A,Dim_Reps!D:D)</f>
        <v>Mid-Market</v>
      </c>
      <c r="I879" t="str">
        <f>_xlfn.XLOOKUP(Quota_tbl[[#This Row],[Rep_ID]],Dim_Reps!A:A,Dim_Reps!E:E)</f>
        <v>APAC</v>
      </c>
      <c r="J879" t="str">
        <f>_xlfn.XLOOKUP(Quota_tbl[[#This Row],[Period_Start_Date]],Dim_Date!A:A,Dim_Date!H:H)</f>
        <v>Feb 2025</v>
      </c>
    </row>
    <row r="880" spans="1:10" ht="15" customHeight="1" x14ac:dyDescent="0.2">
      <c r="A880" t="s">
        <v>273</v>
      </c>
      <c r="B880" s="49">
        <v>45717</v>
      </c>
      <c r="C880">
        <v>10</v>
      </c>
      <c r="D880" s="33">
        <v>21700</v>
      </c>
      <c r="E880" t="str">
        <f>_xlfn.XLOOKUP(Quota_tbl[[#This Row],[Rep_ID]],Dim_Reps!A:A,Dim_Reps!K:K)</f>
        <v>EUR</v>
      </c>
      <c r="F880" s="33">
        <f>(_xlfn.XLOOKUP(Quota_tbl[[#This Row],[Rate_Code_Generalized]],Lookups!A:A,Lookups!B:B)*Quota_tbl[[#This Row],[Quota_Amount_USD]])</f>
        <v>21700</v>
      </c>
      <c r="G880" t="str">
        <f>_xlfn.XLOOKUP(Quota_tbl[[#This Row],[Rep_ID]],Dim_Reps!A:A,Dim_Reps!C:C)</f>
        <v>Mid-Market AE</v>
      </c>
      <c r="H880" t="str">
        <f>_xlfn.XLOOKUP(Quota_tbl[[#This Row],[Rep_ID]],Dim_Reps!A:A,Dim_Reps!D:D)</f>
        <v>Mid-Market</v>
      </c>
      <c r="I880" t="str">
        <f>_xlfn.XLOOKUP(Quota_tbl[[#This Row],[Rep_ID]],Dim_Reps!A:A,Dim_Reps!E:E)</f>
        <v>APAC</v>
      </c>
      <c r="J880" t="str">
        <f>_xlfn.XLOOKUP(Quota_tbl[[#This Row],[Period_Start_Date]],Dim_Date!A:A,Dim_Date!H:H)</f>
        <v>Mar 2025</v>
      </c>
    </row>
    <row r="881" spans="1:10" ht="15" customHeight="1" x14ac:dyDescent="0.2">
      <c r="A881" t="s">
        <v>273</v>
      </c>
      <c r="B881" s="49">
        <v>45748</v>
      </c>
      <c r="C881">
        <v>11</v>
      </c>
      <c r="D881" s="33">
        <v>22100</v>
      </c>
      <c r="E881" t="str">
        <f>_xlfn.XLOOKUP(Quota_tbl[[#This Row],[Rep_ID]],Dim_Reps!A:A,Dim_Reps!K:K)</f>
        <v>EUR</v>
      </c>
      <c r="F881" s="33">
        <f>(_xlfn.XLOOKUP(Quota_tbl[[#This Row],[Rate_Code_Generalized]],Lookups!A:A,Lookups!B:B)*Quota_tbl[[#This Row],[Quota_Amount_USD]])</f>
        <v>22100</v>
      </c>
      <c r="G881" t="str">
        <f>_xlfn.XLOOKUP(Quota_tbl[[#This Row],[Rep_ID]],Dim_Reps!A:A,Dim_Reps!C:C)</f>
        <v>Mid-Market AE</v>
      </c>
      <c r="H881" t="str">
        <f>_xlfn.XLOOKUP(Quota_tbl[[#This Row],[Rep_ID]],Dim_Reps!A:A,Dim_Reps!D:D)</f>
        <v>Mid-Market</v>
      </c>
      <c r="I881" t="str">
        <f>_xlfn.XLOOKUP(Quota_tbl[[#This Row],[Rep_ID]],Dim_Reps!A:A,Dim_Reps!E:E)</f>
        <v>APAC</v>
      </c>
      <c r="J881" t="str">
        <f>_xlfn.XLOOKUP(Quota_tbl[[#This Row],[Period_Start_Date]],Dim_Date!A:A,Dim_Date!H:H)</f>
        <v>Apr 2025</v>
      </c>
    </row>
    <row r="882" spans="1:10" ht="15" customHeight="1" x14ac:dyDescent="0.2">
      <c r="A882" t="s">
        <v>273</v>
      </c>
      <c r="B882" s="49">
        <v>45778</v>
      </c>
      <c r="C882">
        <v>12</v>
      </c>
      <c r="D882" s="33">
        <v>22700</v>
      </c>
      <c r="E882" t="str">
        <f>_xlfn.XLOOKUP(Quota_tbl[[#This Row],[Rep_ID]],Dim_Reps!A:A,Dim_Reps!K:K)</f>
        <v>EUR</v>
      </c>
      <c r="F882" s="33">
        <f>(_xlfn.XLOOKUP(Quota_tbl[[#This Row],[Rate_Code_Generalized]],Lookups!A:A,Lookups!B:B)*Quota_tbl[[#This Row],[Quota_Amount_USD]])</f>
        <v>22700</v>
      </c>
      <c r="G882" t="str">
        <f>_xlfn.XLOOKUP(Quota_tbl[[#This Row],[Rep_ID]],Dim_Reps!A:A,Dim_Reps!C:C)</f>
        <v>Mid-Market AE</v>
      </c>
      <c r="H882" t="str">
        <f>_xlfn.XLOOKUP(Quota_tbl[[#This Row],[Rep_ID]],Dim_Reps!A:A,Dim_Reps!D:D)</f>
        <v>Mid-Market</v>
      </c>
      <c r="I882" t="str">
        <f>_xlfn.XLOOKUP(Quota_tbl[[#This Row],[Rep_ID]],Dim_Reps!A:A,Dim_Reps!E:E)</f>
        <v>APAC</v>
      </c>
      <c r="J882" t="str">
        <f>_xlfn.XLOOKUP(Quota_tbl[[#This Row],[Period_Start_Date]],Dim_Date!A:A,Dim_Date!H:H)</f>
        <v>May 2025</v>
      </c>
    </row>
    <row r="883" spans="1:10" ht="15" customHeight="1" x14ac:dyDescent="0.2">
      <c r="A883" t="s">
        <v>273</v>
      </c>
      <c r="B883" s="49">
        <v>45809</v>
      </c>
      <c r="C883">
        <v>13</v>
      </c>
      <c r="D883" s="33">
        <v>21300</v>
      </c>
      <c r="E883" t="str">
        <f>_xlfn.XLOOKUP(Quota_tbl[[#This Row],[Rep_ID]],Dim_Reps!A:A,Dim_Reps!K:K)</f>
        <v>EUR</v>
      </c>
      <c r="F883" s="33">
        <f>(_xlfn.XLOOKUP(Quota_tbl[[#This Row],[Rate_Code_Generalized]],Lookups!A:A,Lookups!B:B)*Quota_tbl[[#This Row],[Quota_Amount_USD]])</f>
        <v>21300</v>
      </c>
      <c r="G883" t="str">
        <f>_xlfn.XLOOKUP(Quota_tbl[[#This Row],[Rep_ID]],Dim_Reps!A:A,Dim_Reps!C:C)</f>
        <v>Mid-Market AE</v>
      </c>
      <c r="H883" t="str">
        <f>_xlfn.XLOOKUP(Quota_tbl[[#This Row],[Rep_ID]],Dim_Reps!A:A,Dim_Reps!D:D)</f>
        <v>Mid-Market</v>
      </c>
      <c r="I883" t="str">
        <f>_xlfn.XLOOKUP(Quota_tbl[[#This Row],[Rep_ID]],Dim_Reps!A:A,Dim_Reps!E:E)</f>
        <v>APAC</v>
      </c>
      <c r="J883" t="str">
        <f>_xlfn.XLOOKUP(Quota_tbl[[#This Row],[Period_Start_Date]],Dim_Date!A:A,Dim_Date!H:H)</f>
        <v>Jun 2025</v>
      </c>
    </row>
    <row r="884" spans="1:10" ht="15" customHeight="1" x14ac:dyDescent="0.2">
      <c r="A884" t="s">
        <v>273</v>
      </c>
      <c r="B884" s="49">
        <v>45839</v>
      </c>
      <c r="C884">
        <v>14</v>
      </c>
      <c r="D884" s="33">
        <v>22100</v>
      </c>
      <c r="E884" t="str">
        <f>_xlfn.XLOOKUP(Quota_tbl[[#This Row],[Rep_ID]],Dim_Reps!A:A,Dim_Reps!K:K)</f>
        <v>EUR</v>
      </c>
      <c r="F884" s="33">
        <f>(_xlfn.XLOOKUP(Quota_tbl[[#This Row],[Rate_Code_Generalized]],Lookups!A:A,Lookups!B:B)*Quota_tbl[[#This Row],[Quota_Amount_USD]])</f>
        <v>22100</v>
      </c>
      <c r="G884" t="str">
        <f>_xlfn.XLOOKUP(Quota_tbl[[#This Row],[Rep_ID]],Dim_Reps!A:A,Dim_Reps!C:C)</f>
        <v>Mid-Market AE</v>
      </c>
      <c r="H884" t="str">
        <f>_xlfn.XLOOKUP(Quota_tbl[[#This Row],[Rep_ID]],Dim_Reps!A:A,Dim_Reps!D:D)</f>
        <v>Mid-Market</v>
      </c>
      <c r="I884" t="str">
        <f>_xlfn.XLOOKUP(Quota_tbl[[#This Row],[Rep_ID]],Dim_Reps!A:A,Dim_Reps!E:E)</f>
        <v>APAC</v>
      </c>
      <c r="J884" t="str">
        <f>_xlfn.XLOOKUP(Quota_tbl[[#This Row],[Period_Start_Date]],Dim_Date!A:A,Dim_Date!H:H)</f>
        <v>Jul 2025</v>
      </c>
    </row>
    <row r="885" spans="1:10" ht="15" customHeight="1" x14ac:dyDescent="0.2">
      <c r="A885" t="s">
        <v>273</v>
      </c>
      <c r="B885" s="49">
        <v>45870</v>
      </c>
      <c r="C885">
        <v>15</v>
      </c>
      <c r="D885" s="33">
        <v>21500</v>
      </c>
      <c r="E885" t="str">
        <f>_xlfn.XLOOKUP(Quota_tbl[[#This Row],[Rep_ID]],Dim_Reps!A:A,Dim_Reps!K:K)</f>
        <v>EUR</v>
      </c>
      <c r="F885" s="33">
        <f>(_xlfn.XLOOKUP(Quota_tbl[[#This Row],[Rate_Code_Generalized]],Lookups!A:A,Lookups!B:B)*Quota_tbl[[#This Row],[Quota_Amount_USD]])</f>
        <v>21500</v>
      </c>
      <c r="G885" t="str">
        <f>_xlfn.XLOOKUP(Quota_tbl[[#This Row],[Rep_ID]],Dim_Reps!A:A,Dim_Reps!C:C)</f>
        <v>Mid-Market AE</v>
      </c>
      <c r="H885" t="str">
        <f>_xlfn.XLOOKUP(Quota_tbl[[#This Row],[Rep_ID]],Dim_Reps!A:A,Dim_Reps!D:D)</f>
        <v>Mid-Market</v>
      </c>
      <c r="I885" t="str">
        <f>_xlfn.XLOOKUP(Quota_tbl[[#This Row],[Rep_ID]],Dim_Reps!A:A,Dim_Reps!E:E)</f>
        <v>APAC</v>
      </c>
      <c r="J885" t="str">
        <f>_xlfn.XLOOKUP(Quota_tbl[[#This Row],[Period_Start_Date]],Dim_Date!A:A,Dim_Date!H:H)</f>
        <v>Aug 2025</v>
      </c>
    </row>
    <row r="886" spans="1:10" ht="15" customHeight="1" x14ac:dyDescent="0.2">
      <c r="A886" t="s">
        <v>273</v>
      </c>
      <c r="B886" s="49">
        <v>45901</v>
      </c>
      <c r="C886">
        <v>16</v>
      </c>
      <c r="D886" s="33">
        <v>22800</v>
      </c>
      <c r="E886" t="str">
        <f>_xlfn.XLOOKUP(Quota_tbl[[#This Row],[Rep_ID]],Dim_Reps!A:A,Dim_Reps!K:K)</f>
        <v>EUR</v>
      </c>
      <c r="F886" s="33">
        <f>(_xlfn.XLOOKUP(Quota_tbl[[#This Row],[Rate_Code_Generalized]],Lookups!A:A,Lookups!B:B)*Quota_tbl[[#This Row],[Quota_Amount_USD]])</f>
        <v>22800</v>
      </c>
      <c r="G886" t="str">
        <f>_xlfn.XLOOKUP(Quota_tbl[[#This Row],[Rep_ID]],Dim_Reps!A:A,Dim_Reps!C:C)</f>
        <v>Mid-Market AE</v>
      </c>
      <c r="H886" t="str">
        <f>_xlfn.XLOOKUP(Quota_tbl[[#This Row],[Rep_ID]],Dim_Reps!A:A,Dim_Reps!D:D)</f>
        <v>Mid-Market</v>
      </c>
      <c r="I886" t="str">
        <f>_xlfn.XLOOKUP(Quota_tbl[[#This Row],[Rep_ID]],Dim_Reps!A:A,Dim_Reps!E:E)</f>
        <v>APAC</v>
      </c>
      <c r="J886" t="str">
        <f>_xlfn.XLOOKUP(Quota_tbl[[#This Row],[Period_Start_Date]],Dim_Date!A:A,Dim_Date!H:H)</f>
        <v>Sep 2025</v>
      </c>
    </row>
    <row r="887" spans="1:10" ht="15" customHeight="1" x14ac:dyDescent="0.2">
      <c r="A887" t="s">
        <v>273</v>
      </c>
      <c r="B887" s="49">
        <v>45931</v>
      </c>
      <c r="C887">
        <v>17</v>
      </c>
      <c r="D887" s="33">
        <v>21000</v>
      </c>
      <c r="E887" t="str">
        <f>_xlfn.XLOOKUP(Quota_tbl[[#This Row],[Rep_ID]],Dim_Reps!A:A,Dim_Reps!K:K)</f>
        <v>EUR</v>
      </c>
      <c r="F887" s="33">
        <f>(_xlfn.XLOOKUP(Quota_tbl[[#This Row],[Rate_Code_Generalized]],Lookups!A:A,Lookups!B:B)*Quota_tbl[[#This Row],[Quota_Amount_USD]])</f>
        <v>21000</v>
      </c>
      <c r="G887" t="str">
        <f>_xlfn.XLOOKUP(Quota_tbl[[#This Row],[Rep_ID]],Dim_Reps!A:A,Dim_Reps!C:C)</f>
        <v>Mid-Market AE</v>
      </c>
      <c r="H887" t="str">
        <f>_xlfn.XLOOKUP(Quota_tbl[[#This Row],[Rep_ID]],Dim_Reps!A:A,Dim_Reps!D:D)</f>
        <v>Mid-Market</v>
      </c>
      <c r="I887" t="str">
        <f>_xlfn.XLOOKUP(Quota_tbl[[#This Row],[Rep_ID]],Dim_Reps!A:A,Dim_Reps!E:E)</f>
        <v>APAC</v>
      </c>
      <c r="J887" t="str">
        <f>_xlfn.XLOOKUP(Quota_tbl[[#This Row],[Period_Start_Date]],Dim_Date!A:A,Dim_Date!H:H)</f>
        <v>Oct 2025</v>
      </c>
    </row>
    <row r="888" spans="1:10" ht="15" customHeight="1" x14ac:dyDescent="0.2">
      <c r="A888" t="s">
        <v>273</v>
      </c>
      <c r="B888" s="49">
        <v>45962</v>
      </c>
      <c r="C888">
        <v>18</v>
      </c>
      <c r="D888" s="33">
        <v>21600</v>
      </c>
      <c r="E888" t="str">
        <f>_xlfn.XLOOKUP(Quota_tbl[[#This Row],[Rep_ID]],Dim_Reps!A:A,Dim_Reps!K:K)</f>
        <v>EUR</v>
      </c>
      <c r="F888" s="33">
        <f>(_xlfn.XLOOKUP(Quota_tbl[[#This Row],[Rate_Code_Generalized]],Lookups!A:A,Lookups!B:B)*Quota_tbl[[#This Row],[Quota_Amount_USD]])</f>
        <v>21600</v>
      </c>
      <c r="G888" t="str">
        <f>_xlfn.XLOOKUP(Quota_tbl[[#This Row],[Rep_ID]],Dim_Reps!A:A,Dim_Reps!C:C)</f>
        <v>Mid-Market AE</v>
      </c>
      <c r="H888" t="str">
        <f>_xlfn.XLOOKUP(Quota_tbl[[#This Row],[Rep_ID]],Dim_Reps!A:A,Dim_Reps!D:D)</f>
        <v>Mid-Market</v>
      </c>
      <c r="I888" t="str">
        <f>_xlfn.XLOOKUP(Quota_tbl[[#This Row],[Rep_ID]],Dim_Reps!A:A,Dim_Reps!E:E)</f>
        <v>APAC</v>
      </c>
      <c r="J888" t="str">
        <f>_xlfn.XLOOKUP(Quota_tbl[[#This Row],[Period_Start_Date]],Dim_Date!A:A,Dim_Date!H:H)</f>
        <v>Nov 2025</v>
      </c>
    </row>
    <row r="889" spans="1:10" ht="15" customHeight="1" x14ac:dyDescent="0.2">
      <c r="A889" t="s">
        <v>273</v>
      </c>
      <c r="B889" s="49">
        <v>45992</v>
      </c>
      <c r="C889">
        <v>19</v>
      </c>
      <c r="D889" s="33">
        <v>22200</v>
      </c>
      <c r="E889" t="str">
        <f>_xlfn.XLOOKUP(Quota_tbl[[#This Row],[Rep_ID]],Dim_Reps!A:A,Dim_Reps!K:K)</f>
        <v>EUR</v>
      </c>
      <c r="F889" s="33">
        <f>(_xlfn.XLOOKUP(Quota_tbl[[#This Row],[Rate_Code_Generalized]],Lookups!A:A,Lookups!B:B)*Quota_tbl[[#This Row],[Quota_Amount_USD]])</f>
        <v>22200</v>
      </c>
      <c r="G889" t="str">
        <f>_xlfn.XLOOKUP(Quota_tbl[[#This Row],[Rep_ID]],Dim_Reps!A:A,Dim_Reps!C:C)</f>
        <v>Mid-Market AE</v>
      </c>
      <c r="H889" t="str">
        <f>_xlfn.XLOOKUP(Quota_tbl[[#This Row],[Rep_ID]],Dim_Reps!A:A,Dim_Reps!D:D)</f>
        <v>Mid-Market</v>
      </c>
      <c r="I889" t="str">
        <f>_xlfn.XLOOKUP(Quota_tbl[[#This Row],[Rep_ID]],Dim_Reps!A:A,Dim_Reps!E:E)</f>
        <v>APAC</v>
      </c>
      <c r="J889" t="str">
        <f>_xlfn.XLOOKUP(Quota_tbl[[#This Row],[Period_Start_Date]],Dim_Date!A:A,Dim_Date!H:H)</f>
        <v>Dec 2025</v>
      </c>
    </row>
    <row r="890" spans="1:10" ht="15" customHeight="1" x14ac:dyDescent="0.2">
      <c r="A890" t="s">
        <v>241</v>
      </c>
      <c r="B890" s="49">
        <v>45292</v>
      </c>
      <c r="C890">
        <v>18</v>
      </c>
      <c r="D890" s="33">
        <v>16200</v>
      </c>
      <c r="E890" t="str">
        <f>_xlfn.XLOOKUP(Quota_tbl[[#This Row],[Rep_ID]],Dim_Reps!A:A,Dim_Reps!K:K)</f>
        <v>EUR</v>
      </c>
      <c r="F890" s="33">
        <f>(_xlfn.XLOOKUP(Quota_tbl[[#This Row],[Rate_Code_Generalized]],Lookups!A:A,Lookups!B:B)*Quota_tbl[[#This Row],[Quota_Amount_USD]])</f>
        <v>16200</v>
      </c>
      <c r="G890" t="str">
        <f>_xlfn.XLOOKUP(Quota_tbl[[#This Row],[Rep_ID]],Dim_Reps!A:A,Dim_Reps!C:C)</f>
        <v>SDR / Inside Sales Rep</v>
      </c>
      <c r="H890" t="str">
        <f>_xlfn.XLOOKUP(Quota_tbl[[#This Row],[Rep_ID]],Dim_Reps!A:A,Dim_Reps!D:D)</f>
        <v>Inside Sales</v>
      </c>
      <c r="I890" t="str">
        <f>_xlfn.XLOOKUP(Quota_tbl[[#This Row],[Rep_ID]],Dim_Reps!A:A,Dim_Reps!E:E)</f>
        <v>APAC</v>
      </c>
      <c r="J890" t="str">
        <f>_xlfn.XLOOKUP(Quota_tbl[[#This Row],[Period_Start_Date]],Dim_Date!A:A,Dim_Date!H:H)</f>
        <v>Jan 2024</v>
      </c>
    </row>
    <row r="891" spans="1:10" ht="15" customHeight="1" x14ac:dyDescent="0.2">
      <c r="A891" t="s">
        <v>241</v>
      </c>
      <c r="B891" s="49">
        <v>45323</v>
      </c>
      <c r="C891">
        <v>19</v>
      </c>
      <c r="D891" s="33">
        <v>15500</v>
      </c>
      <c r="E891" t="str">
        <f>_xlfn.XLOOKUP(Quota_tbl[[#This Row],[Rep_ID]],Dim_Reps!A:A,Dim_Reps!K:K)</f>
        <v>EUR</v>
      </c>
      <c r="F891" s="33">
        <f>(_xlfn.XLOOKUP(Quota_tbl[[#This Row],[Rate_Code_Generalized]],Lookups!A:A,Lookups!B:B)*Quota_tbl[[#This Row],[Quota_Amount_USD]])</f>
        <v>15500</v>
      </c>
      <c r="G891" t="str">
        <f>_xlfn.XLOOKUP(Quota_tbl[[#This Row],[Rep_ID]],Dim_Reps!A:A,Dim_Reps!C:C)</f>
        <v>SDR / Inside Sales Rep</v>
      </c>
      <c r="H891" t="str">
        <f>_xlfn.XLOOKUP(Quota_tbl[[#This Row],[Rep_ID]],Dim_Reps!A:A,Dim_Reps!D:D)</f>
        <v>Inside Sales</v>
      </c>
      <c r="I891" t="str">
        <f>_xlfn.XLOOKUP(Quota_tbl[[#This Row],[Rep_ID]],Dim_Reps!A:A,Dim_Reps!E:E)</f>
        <v>APAC</v>
      </c>
      <c r="J891" t="str">
        <f>_xlfn.XLOOKUP(Quota_tbl[[#This Row],[Period_Start_Date]],Dim_Date!A:A,Dim_Date!H:H)</f>
        <v>Feb 2024</v>
      </c>
    </row>
    <row r="892" spans="1:10" ht="15" customHeight="1" x14ac:dyDescent="0.2">
      <c r="A892" t="s">
        <v>241</v>
      </c>
      <c r="B892" s="49">
        <v>45352</v>
      </c>
      <c r="C892">
        <v>20</v>
      </c>
      <c r="D892" s="33">
        <v>15200</v>
      </c>
      <c r="E892" t="str">
        <f>_xlfn.XLOOKUP(Quota_tbl[[#This Row],[Rep_ID]],Dim_Reps!A:A,Dim_Reps!K:K)</f>
        <v>EUR</v>
      </c>
      <c r="F892" s="33">
        <f>(_xlfn.XLOOKUP(Quota_tbl[[#This Row],[Rate_Code_Generalized]],Lookups!A:A,Lookups!B:B)*Quota_tbl[[#This Row],[Quota_Amount_USD]])</f>
        <v>15200</v>
      </c>
      <c r="G892" t="str">
        <f>_xlfn.XLOOKUP(Quota_tbl[[#This Row],[Rep_ID]],Dim_Reps!A:A,Dim_Reps!C:C)</f>
        <v>SDR / Inside Sales Rep</v>
      </c>
      <c r="H892" t="str">
        <f>_xlfn.XLOOKUP(Quota_tbl[[#This Row],[Rep_ID]],Dim_Reps!A:A,Dim_Reps!D:D)</f>
        <v>Inside Sales</v>
      </c>
      <c r="I892" t="str">
        <f>_xlfn.XLOOKUP(Quota_tbl[[#This Row],[Rep_ID]],Dim_Reps!A:A,Dim_Reps!E:E)</f>
        <v>APAC</v>
      </c>
      <c r="J892" t="str">
        <f>_xlfn.XLOOKUP(Quota_tbl[[#This Row],[Period_Start_Date]],Dim_Date!A:A,Dim_Date!H:H)</f>
        <v>Mar 2024</v>
      </c>
    </row>
    <row r="893" spans="1:10" ht="15" customHeight="1" x14ac:dyDescent="0.2">
      <c r="A893" t="s">
        <v>241</v>
      </c>
      <c r="B893" s="49">
        <v>45383</v>
      </c>
      <c r="C893">
        <v>21</v>
      </c>
      <c r="D893" s="33">
        <v>16400</v>
      </c>
      <c r="E893" t="str">
        <f>_xlfn.XLOOKUP(Quota_tbl[[#This Row],[Rep_ID]],Dim_Reps!A:A,Dim_Reps!K:K)</f>
        <v>EUR</v>
      </c>
      <c r="F893" s="33">
        <f>(_xlfn.XLOOKUP(Quota_tbl[[#This Row],[Rate_Code_Generalized]],Lookups!A:A,Lookups!B:B)*Quota_tbl[[#This Row],[Quota_Amount_USD]])</f>
        <v>16400</v>
      </c>
      <c r="G893" t="str">
        <f>_xlfn.XLOOKUP(Quota_tbl[[#This Row],[Rep_ID]],Dim_Reps!A:A,Dim_Reps!C:C)</f>
        <v>SDR / Inside Sales Rep</v>
      </c>
      <c r="H893" t="str">
        <f>_xlfn.XLOOKUP(Quota_tbl[[#This Row],[Rep_ID]],Dim_Reps!A:A,Dim_Reps!D:D)</f>
        <v>Inside Sales</v>
      </c>
      <c r="I893" t="str">
        <f>_xlfn.XLOOKUP(Quota_tbl[[#This Row],[Rep_ID]],Dim_Reps!A:A,Dim_Reps!E:E)</f>
        <v>APAC</v>
      </c>
      <c r="J893" t="str">
        <f>_xlfn.XLOOKUP(Quota_tbl[[#This Row],[Period_Start_Date]],Dim_Date!A:A,Dim_Date!H:H)</f>
        <v>Apr 2024</v>
      </c>
    </row>
    <row r="894" spans="1:10" ht="15" customHeight="1" x14ac:dyDescent="0.2">
      <c r="A894" t="s">
        <v>241</v>
      </c>
      <c r="B894" s="49">
        <v>45413</v>
      </c>
      <c r="C894">
        <v>22</v>
      </c>
      <c r="D894" s="33">
        <v>14800</v>
      </c>
      <c r="E894" t="str">
        <f>_xlfn.XLOOKUP(Quota_tbl[[#This Row],[Rep_ID]],Dim_Reps!A:A,Dim_Reps!K:K)</f>
        <v>EUR</v>
      </c>
      <c r="F894" s="33">
        <f>(_xlfn.XLOOKUP(Quota_tbl[[#This Row],[Rate_Code_Generalized]],Lookups!A:A,Lookups!B:B)*Quota_tbl[[#This Row],[Quota_Amount_USD]])</f>
        <v>14800</v>
      </c>
      <c r="G894" t="str">
        <f>_xlfn.XLOOKUP(Quota_tbl[[#This Row],[Rep_ID]],Dim_Reps!A:A,Dim_Reps!C:C)</f>
        <v>SDR / Inside Sales Rep</v>
      </c>
      <c r="H894" t="str">
        <f>_xlfn.XLOOKUP(Quota_tbl[[#This Row],[Rep_ID]],Dim_Reps!A:A,Dim_Reps!D:D)</f>
        <v>Inside Sales</v>
      </c>
      <c r="I894" t="str">
        <f>_xlfn.XLOOKUP(Quota_tbl[[#This Row],[Rep_ID]],Dim_Reps!A:A,Dim_Reps!E:E)</f>
        <v>APAC</v>
      </c>
      <c r="J894" t="str">
        <f>_xlfn.XLOOKUP(Quota_tbl[[#This Row],[Period_Start_Date]],Dim_Date!A:A,Dim_Date!H:H)</f>
        <v>May 2024</v>
      </c>
    </row>
    <row r="895" spans="1:10" ht="15" customHeight="1" x14ac:dyDescent="0.2">
      <c r="A895" t="s">
        <v>241</v>
      </c>
      <c r="B895" s="49">
        <v>45444</v>
      </c>
      <c r="C895">
        <v>23</v>
      </c>
      <c r="D895" s="33">
        <v>14500</v>
      </c>
      <c r="E895" t="str">
        <f>_xlfn.XLOOKUP(Quota_tbl[[#This Row],[Rep_ID]],Dim_Reps!A:A,Dim_Reps!K:K)</f>
        <v>EUR</v>
      </c>
      <c r="F895" s="33">
        <f>(_xlfn.XLOOKUP(Quota_tbl[[#This Row],[Rate_Code_Generalized]],Lookups!A:A,Lookups!B:B)*Quota_tbl[[#This Row],[Quota_Amount_USD]])</f>
        <v>14500</v>
      </c>
      <c r="G895" t="str">
        <f>_xlfn.XLOOKUP(Quota_tbl[[#This Row],[Rep_ID]],Dim_Reps!A:A,Dim_Reps!C:C)</f>
        <v>SDR / Inside Sales Rep</v>
      </c>
      <c r="H895" t="str">
        <f>_xlfn.XLOOKUP(Quota_tbl[[#This Row],[Rep_ID]],Dim_Reps!A:A,Dim_Reps!D:D)</f>
        <v>Inside Sales</v>
      </c>
      <c r="I895" t="str">
        <f>_xlfn.XLOOKUP(Quota_tbl[[#This Row],[Rep_ID]],Dim_Reps!A:A,Dim_Reps!E:E)</f>
        <v>APAC</v>
      </c>
      <c r="J895" t="str">
        <f>_xlfn.XLOOKUP(Quota_tbl[[#This Row],[Period_Start_Date]],Dim_Date!A:A,Dim_Date!H:H)</f>
        <v>Jun 2024</v>
      </c>
    </row>
    <row r="896" spans="1:10" ht="15" customHeight="1" x14ac:dyDescent="0.2">
      <c r="A896" t="s">
        <v>241</v>
      </c>
      <c r="B896" s="49">
        <v>45474</v>
      </c>
      <c r="C896">
        <v>24</v>
      </c>
      <c r="D896" s="33">
        <v>15700</v>
      </c>
      <c r="E896" t="str">
        <f>_xlfn.XLOOKUP(Quota_tbl[[#This Row],[Rep_ID]],Dim_Reps!A:A,Dim_Reps!K:K)</f>
        <v>EUR</v>
      </c>
      <c r="F896" s="33">
        <f>(_xlfn.XLOOKUP(Quota_tbl[[#This Row],[Rate_Code_Generalized]],Lookups!A:A,Lookups!B:B)*Quota_tbl[[#This Row],[Quota_Amount_USD]])</f>
        <v>15700</v>
      </c>
      <c r="G896" t="str">
        <f>_xlfn.XLOOKUP(Quota_tbl[[#This Row],[Rep_ID]],Dim_Reps!A:A,Dim_Reps!C:C)</f>
        <v>SDR / Inside Sales Rep</v>
      </c>
      <c r="H896" t="str">
        <f>_xlfn.XLOOKUP(Quota_tbl[[#This Row],[Rep_ID]],Dim_Reps!A:A,Dim_Reps!D:D)</f>
        <v>Inside Sales</v>
      </c>
      <c r="I896" t="str">
        <f>_xlfn.XLOOKUP(Quota_tbl[[#This Row],[Rep_ID]],Dim_Reps!A:A,Dim_Reps!E:E)</f>
        <v>APAC</v>
      </c>
      <c r="J896" t="str">
        <f>_xlfn.XLOOKUP(Quota_tbl[[#This Row],[Period_Start_Date]],Dim_Date!A:A,Dim_Date!H:H)</f>
        <v>Jul 2024</v>
      </c>
    </row>
    <row r="897" spans="1:10" ht="15" customHeight="1" x14ac:dyDescent="0.2">
      <c r="A897" t="s">
        <v>241</v>
      </c>
      <c r="B897" s="49">
        <v>45505</v>
      </c>
      <c r="C897">
        <v>25</v>
      </c>
      <c r="D897" s="33">
        <v>15300</v>
      </c>
      <c r="E897" t="str">
        <f>_xlfn.XLOOKUP(Quota_tbl[[#This Row],[Rep_ID]],Dim_Reps!A:A,Dim_Reps!K:K)</f>
        <v>EUR</v>
      </c>
      <c r="F897" s="33">
        <f>(_xlfn.XLOOKUP(Quota_tbl[[#This Row],[Rate_Code_Generalized]],Lookups!A:A,Lookups!B:B)*Quota_tbl[[#This Row],[Quota_Amount_USD]])</f>
        <v>15300</v>
      </c>
      <c r="G897" t="str">
        <f>_xlfn.XLOOKUP(Quota_tbl[[#This Row],[Rep_ID]],Dim_Reps!A:A,Dim_Reps!C:C)</f>
        <v>SDR / Inside Sales Rep</v>
      </c>
      <c r="H897" t="str">
        <f>_xlfn.XLOOKUP(Quota_tbl[[#This Row],[Rep_ID]],Dim_Reps!A:A,Dim_Reps!D:D)</f>
        <v>Inside Sales</v>
      </c>
      <c r="I897" t="str">
        <f>_xlfn.XLOOKUP(Quota_tbl[[#This Row],[Rep_ID]],Dim_Reps!A:A,Dim_Reps!E:E)</f>
        <v>APAC</v>
      </c>
      <c r="J897" t="str">
        <f>_xlfn.XLOOKUP(Quota_tbl[[#This Row],[Period_Start_Date]],Dim_Date!A:A,Dim_Date!H:H)</f>
        <v>Aug 2024</v>
      </c>
    </row>
    <row r="898" spans="1:10" ht="15" customHeight="1" x14ac:dyDescent="0.2">
      <c r="A898" t="s">
        <v>241</v>
      </c>
      <c r="B898" s="49">
        <v>45536</v>
      </c>
      <c r="C898">
        <v>26</v>
      </c>
      <c r="D898" s="33">
        <v>15000</v>
      </c>
      <c r="E898" t="str">
        <f>_xlfn.XLOOKUP(Quota_tbl[[#This Row],[Rep_ID]],Dim_Reps!A:A,Dim_Reps!K:K)</f>
        <v>EUR</v>
      </c>
      <c r="F898" s="33">
        <f>(_xlfn.XLOOKUP(Quota_tbl[[#This Row],[Rate_Code_Generalized]],Lookups!A:A,Lookups!B:B)*Quota_tbl[[#This Row],[Quota_Amount_USD]])</f>
        <v>15000</v>
      </c>
      <c r="G898" t="str">
        <f>_xlfn.XLOOKUP(Quota_tbl[[#This Row],[Rep_ID]],Dim_Reps!A:A,Dim_Reps!C:C)</f>
        <v>SDR / Inside Sales Rep</v>
      </c>
      <c r="H898" t="str">
        <f>_xlfn.XLOOKUP(Quota_tbl[[#This Row],[Rep_ID]],Dim_Reps!A:A,Dim_Reps!D:D)</f>
        <v>Inside Sales</v>
      </c>
      <c r="I898" t="str">
        <f>_xlfn.XLOOKUP(Quota_tbl[[#This Row],[Rep_ID]],Dim_Reps!A:A,Dim_Reps!E:E)</f>
        <v>APAC</v>
      </c>
      <c r="J898" t="str">
        <f>_xlfn.XLOOKUP(Quota_tbl[[#This Row],[Period_Start_Date]],Dim_Date!A:A,Dim_Date!H:H)</f>
        <v>Sep 2024</v>
      </c>
    </row>
    <row r="899" spans="1:10" ht="15" customHeight="1" x14ac:dyDescent="0.2">
      <c r="A899" t="s">
        <v>241</v>
      </c>
      <c r="B899" s="49">
        <v>45566</v>
      </c>
      <c r="C899">
        <v>27</v>
      </c>
      <c r="D899" s="33">
        <v>15800</v>
      </c>
      <c r="E899" t="str">
        <f>_xlfn.XLOOKUP(Quota_tbl[[#This Row],[Rep_ID]],Dim_Reps!A:A,Dim_Reps!K:K)</f>
        <v>EUR</v>
      </c>
      <c r="F899" s="33">
        <f>(_xlfn.XLOOKUP(Quota_tbl[[#This Row],[Rate_Code_Generalized]],Lookups!A:A,Lookups!B:B)*Quota_tbl[[#This Row],[Quota_Amount_USD]])</f>
        <v>15800</v>
      </c>
      <c r="G899" t="str">
        <f>_xlfn.XLOOKUP(Quota_tbl[[#This Row],[Rep_ID]],Dim_Reps!A:A,Dim_Reps!C:C)</f>
        <v>SDR / Inside Sales Rep</v>
      </c>
      <c r="H899" t="str">
        <f>_xlfn.XLOOKUP(Quota_tbl[[#This Row],[Rep_ID]],Dim_Reps!A:A,Dim_Reps!D:D)</f>
        <v>Inside Sales</v>
      </c>
      <c r="I899" t="str">
        <f>_xlfn.XLOOKUP(Quota_tbl[[#This Row],[Rep_ID]],Dim_Reps!A:A,Dim_Reps!E:E)</f>
        <v>APAC</v>
      </c>
      <c r="J899" t="str">
        <f>_xlfn.XLOOKUP(Quota_tbl[[#This Row],[Period_Start_Date]],Dim_Date!A:A,Dim_Date!H:H)</f>
        <v>Oct 2024</v>
      </c>
    </row>
    <row r="900" spans="1:10" ht="15" customHeight="1" x14ac:dyDescent="0.2">
      <c r="A900" t="s">
        <v>241</v>
      </c>
      <c r="B900" s="49">
        <v>45597</v>
      </c>
      <c r="C900">
        <v>28</v>
      </c>
      <c r="D900" s="33">
        <v>15600</v>
      </c>
      <c r="E900" t="str">
        <f>_xlfn.XLOOKUP(Quota_tbl[[#This Row],[Rep_ID]],Dim_Reps!A:A,Dim_Reps!K:K)</f>
        <v>EUR</v>
      </c>
      <c r="F900" s="33">
        <f>(_xlfn.XLOOKUP(Quota_tbl[[#This Row],[Rate_Code_Generalized]],Lookups!A:A,Lookups!B:B)*Quota_tbl[[#This Row],[Quota_Amount_USD]])</f>
        <v>15600</v>
      </c>
      <c r="G900" t="str">
        <f>_xlfn.XLOOKUP(Quota_tbl[[#This Row],[Rep_ID]],Dim_Reps!A:A,Dim_Reps!C:C)</f>
        <v>SDR / Inside Sales Rep</v>
      </c>
      <c r="H900" t="str">
        <f>_xlfn.XLOOKUP(Quota_tbl[[#This Row],[Rep_ID]],Dim_Reps!A:A,Dim_Reps!D:D)</f>
        <v>Inside Sales</v>
      </c>
      <c r="I900" t="str">
        <f>_xlfn.XLOOKUP(Quota_tbl[[#This Row],[Rep_ID]],Dim_Reps!A:A,Dim_Reps!E:E)</f>
        <v>APAC</v>
      </c>
      <c r="J900" t="str">
        <f>_xlfn.XLOOKUP(Quota_tbl[[#This Row],[Period_Start_Date]],Dim_Date!A:A,Dim_Date!H:H)</f>
        <v>Nov 2024</v>
      </c>
    </row>
    <row r="901" spans="1:10" ht="15" customHeight="1" x14ac:dyDescent="0.2">
      <c r="A901" t="s">
        <v>241</v>
      </c>
      <c r="B901" s="49">
        <v>45627</v>
      </c>
      <c r="C901">
        <v>29</v>
      </c>
      <c r="D901" s="33">
        <v>15200</v>
      </c>
      <c r="E901" t="str">
        <f>_xlfn.XLOOKUP(Quota_tbl[[#This Row],[Rep_ID]],Dim_Reps!A:A,Dim_Reps!K:K)</f>
        <v>EUR</v>
      </c>
      <c r="F901" s="33">
        <f>(_xlfn.XLOOKUP(Quota_tbl[[#This Row],[Rate_Code_Generalized]],Lookups!A:A,Lookups!B:B)*Quota_tbl[[#This Row],[Quota_Amount_USD]])</f>
        <v>15200</v>
      </c>
      <c r="G901" t="str">
        <f>_xlfn.XLOOKUP(Quota_tbl[[#This Row],[Rep_ID]],Dim_Reps!A:A,Dim_Reps!C:C)</f>
        <v>SDR / Inside Sales Rep</v>
      </c>
      <c r="H901" t="str">
        <f>_xlfn.XLOOKUP(Quota_tbl[[#This Row],[Rep_ID]],Dim_Reps!A:A,Dim_Reps!D:D)</f>
        <v>Inside Sales</v>
      </c>
      <c r="I901" t="str">
        <f>_xlfn.XLOOKUP(Quota_tbl[[#This Row],[Rep_ID]],Dim_Reps!A:A,Dim_Reps!E:E)</f>
        <v>APAC</v>
      </c>
      <c r="J901" t="str">
        <f>_xlfn.XLOOKUP(Quota_tbl[[#This Row],[Period_Start_Date]],Dim_Date!A:A,Dim_Date!H:H)</f>
        <v>Dec 2024</v>
      </c>
    </row>
    <row r="902" spans="1:10" ht="15" customHeight="1" x14ac:dyDescent="0.2">
      <c r="A902" t="s">
        <v>241</v>
      </c>
      <c r="B902" s="49">
        <v>45658</v>
      </c>
      <c r="C902">
        <v>30</v>
      </c>
      <c r="D902" s="33">
        <v>14900</v>
      </c>
      <c r="E902" t="str">
        <f>_xlfn.XLOOKUP(Quota_tbl[[#This Row],[Rep_ID]],Dim_Reps!A:A,Dim_Reps!K:K)</f>
        <v>EUR</v>
      </c>
      <c r="F902" s="33">
        <f>(_xlfn.XLOOKUP(Quota_tbl[[#This Row],[Rate_Code_Generalized]],Lookups!A:A,Lookups!B:B)*Quota_tbl[[#This Row],[Quota_Amount_USD]])</f>
        <v>14900</v>
      </c>
      <c r="G902" t="str">
        <f>_xlfn.XLOOKUP(Quota_tbl[[#This Row],[Rep_ID]],Dim_Reps!A:A,Dim_Reps!C:C)</f>
        <v>SDR / Inside Sales Rep</v>
      </c>
      <c r="H902" t="str">
        <f>_xlfn.XLOOKUP(Quota_tbl[[#This Row],[Rep_ID]],Dim_Reps!A:A,Dim_Reps!D:D)</f>
        <v>Inside Sales</v>
      </c>
      <c r="I902" t="str">
        <f>_xlfn.XLOOKUP(Quota_tbl[[#This Row],[Rep_ID]],Dim_Reps!A:A,Dim_Reps!E:E)</f>
        <v>APAC</v>
      </c>
      <c r="J902" t="str">
        <f>_xlfn.XLOOKUP(Quota_tbl[[#This Row],[Period_Start_Date]],Dim_Date!A:A,Dim_Date!H:H)</f>
        <v>Jan 2025</v>
      </c>
    </row>
    <row r="903" spans="1:10" ht="15" customHeight="1" x14ac:dyDescent="0.2">
      <c r="A903" t="s">
        <v>241</v>
      </c>
      <c r="B903" s="49">
        <v>45689</v>
      </c>
      <c r="C903">
        <v>31</v>
      </c>
      <c r="D903" s="33">
        <v>15900</v>
      </c>
      <c r="E903" t="str">
        <f>_xlfn.XLOOKUP(Quota_tbl[[#This Row],[Rep_ID]],Dim_Reps!A:A,Dim_Reps!K:K)</f>
        <v>EUR</v>
      </c>
      <c r="F903" s="33">
        <f>(_xlfn.XLOOKUP(Quota_tbl[[#This Row],[Rate_Code_Generalized]],Lookups!A:A,Lookups!B:B)*Quota_tbl[[#This Row],[Quota_Amount_USD]])</f>
        <v>15900</v>
      </c>
      <c r="G903" t="str">
        <f>_xlfn.XLOOKUP(Quota_tbl[[#This Row],[Rep_ID]],Dim_Reps!A:A,Dim_Reps!C:C)</f>
        <v>SDR / Inside Sales Rep</v>
      </c>
      <c r="H903" t="str">
        <f>_xlfn.XLOOKUP(Quota_tbl[[#This Row],[Rep_ID]],Dim_Reps!A:A,Dim_Reps!D:D)</f>
        <v>Inside Sales</v>
      </c>
      <c r="I903" t="str">
        <f>_xlfn.XLOOKUP(Quota_tbl[[#This Row],[Rep_ID]],Dim_Reps!A:A,Dim_Reps!E:E)</f>
        <v>APAC</v>
      </c>
      <c r="J903" t="str">
        <f>_xlfn.XLOOKUP(Quota_tbl[[#This Row],[Period_Start_Date]],Dim_Date!A:A,Dim_Date!H:H)</f>
        <v>Feb 2025</v>
      </c>
    </row>
    <row r="904" spans="1:10" ht="15" customHeight="1" x14ac:dyDescent="0.2">
      <c r="A904" t="s">
        <v>241</v>
      </c>
      <c r="B904" s="49">
        <v>45717</v>
      </c>
      <c r="C904">
        <v>32</v>
      </c>
      <c r="D904" s="33">
        <v>15800</v>
      </c>
      <c r="E904" t="str">
        <f>_xlfn.XLOOKUP(Quota_tbl[[#This Row],[Rep_ID]],Dim_Reps!A:A,Dim_Reps!K:K)</f>
        <v>EUR</v>
      </c>
      <c r="F904" s="33">
        <f>(_xlfn.XLOOKUP(Quota_tbl[[#This Row],[Rate_Code_Generalized]],Lookups!A:A,Lookups!B:B)*Quota_tbl[[#This Row],[Quota_Amount_USD]])</f>
        <v>15800</v>
      </c>
      <c r="G904" t="str">
        <f>_xlfn.XLOOKUP(Quota_tbl[[#This Row],[Rep_ID]],Dim_Reps!A:A,Dim_Reps!C:C)</f>
        <v>SDR / Inside Sales Rep</v>
      </c>
      <c r="H904" t="str">
        <f>_xlfn.XLOOKUP(Quota_tbl[[#This Row],[Rep_ID]],Dim_Reps!A:A,Dim_Reps!D:D)</f>
        <v>Inside Sales</v>
      </c>
      <c r="I904" t="str">
        <f>_xlfn.XLOOKUP(Quota_tbl[[#This Row],[Rep_ID]],Dim_Reps!A:A,Dim_Reps!E:E)</f>
        <v>APAC</v>
      </c>
      <c r="J904" t="str">
        <f>_xlfn.XLOOKUP(Quota_tbl[[#This Row],[Period_Start_Date]],Dim_Date!A:A,Dim_Date!H:H)</f>
        <v>Mar 2025</v>
      </c>
    </row>
    <row r="905" spans="1:10" ht="15" customHeight="1" x14ac:dyDescent="0.2">
      <c r="A905" t="s">
        <v>241</v>
      </c>
      <c r="B905" s="49">
        <v>45748</v>
      </c>
      <c r="C905">
        <v>33</v>
      </c>
      <c r="D905" s="33">
        <v>15500</v>
      </c>
      <c r="E905" t="str">
        <f>_xlfn.XLOOKUP(Quota_tbl[[#This Row],[Rep_ID]],Dim_Reps!A:A,Dim_Reps!K:K)</f>
        <v>EUR</v>
      </c>
      <c r="F905" s="33">
        <f>(_xlfn.XLOOKUP(Quota_tbl[[#This Row],[Rate_Code_Generalized]],Lookups!A:A,Lookups!B:B)*Quota_tbl[[#This Row],[Quota_Amount_USD]])</f>
        <v>15500</v>
      </c>
      <c r="G905" t="str">
        <f>_xlfn.XLOOKUP(Quota_tbl[[#This Row],[Rep_ID]],Dim_Reps!A:A,Dim_Reps!C:C)</f>
        <v>SDR / Inside Sales Rep</v>
      </c>
      <c r="H905" t="str">
        <f>_xlfn.XLOOKUP(Quota_tbl[[#This Row],[Rep_ID]],Dim_Reps!A:A,Dim_Reps!D:D)</f>
        <v>Inside Sales</v>
      </c>
      <c r="I905" t="str">
        <f>_xlfn.XLOOKUP(Quota_tbl[[#This Row],[Rep_ID]],Dim_Reps!A:A,Dim_Reps!E:E)</f>
        <v>APAC</v>
      </c>
      <c r="J905" t="str">
        <f>_xlfn.XLOOKUP(Quota_tbl[[#This Row],[Period_Start_Date]],Dim_Date!A:A,Dim_Date!H:H)</f>
        <v>Apr 2025</v>
      </c>
    </row>
    <row r="906" spans="1:10" ht="15" customHeight="1" x14ac:dyDescent="0.2">
      <c r="A906" t="s">
        <v>241</v>
      </c>
      <c r="B906" s="49">
        <v>45778</v>
      </c>
      <c r="C906">
        <v>34</v>
      </c>
      <c r="D906" s="33">
        <v>16400</v>
      </c>
      <c r="E906" t="str">
        <f>_xlfn.XLOOKUP(Quota_tbl[[#This Row],[Rep_ID]],Dim_Reps!A:A,Dim_Reps!K:K)</f>
        <v>EUR</v>
      </c>
      <c r="F906" s="33">
        <f>(_xlfn.XLOOKUP(Quota_tbl[[#This Row],[Rate_Code_Generalized]],Lookups!A:A,Lookups!B:B)*Quota_tbl[[#This Row],[Quota_Amount_USD]])</f>
        <v>16400</v>
      </c>
      <c r="G906" t="str">
        <f>_xlfn.XLOOKUP(Quota_tbl[[#This Row],[Rep_ID]],Dim_Reps!A:A,Dim_Reps!C:C)</f>
        <v>SDR / Inside Sales Rep</v>
      </c>
      <c r="H906" t="str">
        <f>_xlfn.XLOOKUP(Quota_tbl[[#This Row],[Rep_ID]],Dim_Reps!A:A,Dim_Reps!D:D)</f>
        <v>Inside Sales</v>
      </c>
      <c r="I906" t="str">
        <f>_xlfn.XLOOKUP(Quota_tbl[[#This Row],[Rep_ID]],Dim_Reps!A:A,Dim_Reps!E:E)</f>
        <v>APAC</v>
      </c>
      <c r="J906" t="str">
        <f>_xlfn.XLOOKUP(Quota_tbl[[#This Row],[Period_Start_Date]],Dim_Date!A:A,Dim_Date!H:H)</f>
        <v>May 2025</v>
      </c>
    </row>
    <row r="907" spans="1:10" ht="15" customHeight="1" x14ac:dyDescent="0.2">
      <c r="A907" t="s">
        <v>241</v>
      </c>
      <c r="B907" s="49">
        <v>45809</v>
      </c>
      <c r="C907">
        <v>35</v>
      </c>
      <c r="D907" s="33">
        <v>15000</v>
      </c>
      <c r="E907" t="str">
        <f>_xlfn.XLOOKUP(Quota_tbl[[#This Row],[Rep_ID]],Dim_Reps!A:A,Dim_Reps!K:K)</f>
        <v>EUR</v>
      </c>
      <c r="F907" s="33">
        <f>(_xlfn.XLOOKUP(Quota_tbl[[#This Row],[Rate_Code_Generalized]],Lookups!A:A,Lookups!B:B)*Quota_tbl[[#This Row],[Quota_Amount_USD]])</f>
        <v>15000</v>
      </c>
      <c r="G907" t="str">
        <f>_xlfn.XLOOKUP(Quota_tbl[[#This Row],[Rep_ID]],Dim_Reps!A:A,Dim_Reps!C:C)</f>
        <v>SDR / Inside Sales Rep</v>
      </c>
      <c r="H907" t="str">
        <f>_xlfn.XLOOKUP(Quota_tbl[[#This Row],[Rep_ID]],Dim_Reps!A:A,Dim_Reps!D:D)</f>
        <v>Inside Sales</v>
      </c>
      <c r="I907" t="str">
        <f>_xlfn.XLOOKUP(Quota_tbl[[#This Row],[Rep_ID]],Dim_Reps!A:A,Dim_Reps!E:E)</f>
        <v>APAC</v>
      </c>
      <c r="J907" t="str">
        <f>_xlfn.XLOOKUP(Quota_tbl[[#This Row],[Period_Start_Date]],Dim_Date!A:A,Dim_Date!H:H)</f>
        <v>Jun 2025</v>
      </c>
    </row>
    <row r="908" spans="1:10" ht="15" customHeight="1" x14ac:dyDescent="0.2">
      <c r="A908" t="s">
        <v>241</v>
      </c>
      <c r="B908" s="49">
        <v>45839</v>
      </c>
      <c r="C908">
        <v>36</v>
      </c>
      <c r="D908" s="33">
        <v>14800</v>
      </c>
      <c r="E908" t="str">
        <f>_xlfn.XLOOKUP(Quota_tbl[[#This Row],[Rep_ID]],Dim_Reps!A:A,Dim_Reps!K:K)</f>
        <v>EUR</v>
      </c>
      <c r="F908" s="33">
        <f>(_xlfn.XLOOKUP(Quota_tbl[[#This Row],[Rate_Code_Generalized]],Lookups!A:A,Lookups!B:B)*Quota_tbl[[#This Row],[Quota_Amount_USD]])</f>
        <v>14800</v>
      </c>
      <c r="G908" t="str">
        <f>_xlfn.XLOOKUP(Quota_tbl[[#This Row],[Rep_ID]],Dim_Reps!A:A,Dim_Reps!C:C)</f>
        <v>SDR / Inside Sales Rep</v>
      </c>
      <c r="H908" t="str">
        <f>_xlfn.XLOOKUP(Quota_tbl[[#This Row],[Rep_ID]],Dim_Reps!A:A,Dim_Reps!D:D)</f>
        <v>Inside Sales</v>
      </c>
      <c r="I908" t="str">
        <f>_xlfn.XLOOKUP(Quota_tbl[[#This Row],[Rep_ID]],Dim_Reps!A:A,Dim_Reps!E:E)</f>
        <v>APAC</v>
      </c>
      <c r="J908" t="str">
        <f>_xlfn.XLOOKUP(Quota_tbl[[#This Row],[Period_Start_Date]],Dim_Date!A:A,Dim_Date!H:H)</f>
        <v>Jul 2025</v>
      </c>
    </row>
    <row r="909" spans="1:10" ht="15" customHeight="1" x14ac:dyDescent="0.2">
      <c r="A909" t="s">
        <v>241</v>
      </c>
      <c r="B909" s="49">
        <v>45870</v>
      </c>
      <c r="C909">
        <v>37</v>
      </c>
      <c r="D909" s="33">
        <v>15200</v>
      </c>
      <c r="E909" t="str">
        <f>_xlfn.XLOOKUP(Quota_tbl[[#This Row],[Rep_ID]],Dim_Reps!A:A,Dim_Reps!K:K)</f>
        <v>EUR</v>
      </c>
      <c r="F909" s="33">
        <f>(_xlfn.XLOOKUP(Quota_tbl[[#This Row],[Rate_Code_Generalized]],Lookups!A:A,Lookups!B:B)*Quota_tbl[[#This Row],[Quota_Amount_USD]])</f>
        <v>15200</v>
      </c>
      <c r="G909" t="str">
        <f>_xlfn.XLOOKUP(Quota_tbl[[#This Row],[Rep_ID]],Dim_Reps!A:A,Dim_Reps!C:C)</f>
        <v>SDR / Inside Sales Rep</v>
      </c>
      <c r="H909" t="str">
        <f>_xlfn.XLOOKUP(Quota_tbl[[#This Row],[Rep_ID]],Dim_Reps!A:A,Dim_Reps!D:D)</f>
        <v>Inside Sales</v>
      </c>
      <c r="I909" t="str">
        <f>_xlfn.XLOOKUP(Quota_tbl[[#This Row],[Rep_ID]],Dim_Reps!A:A,Dim_Reps!E:E)</f>
        <v>APAC</v>
      </c>
      <c r="J909" t="str">
        <f>_xlfn.XLOOKUP(Quota_tbl[[#This Row],[Period_Start_Date]],Dim_Date!A:A,Dim_Date!H:H)</f>
        <v>Aug 2025</v>
      </c>
    </row>
    <row r="910" spans="1:10" ht="15" customHeight="1" x14ac:dyDescent="0.2">
      <c r="A910" t="s">
        <v>241</v>
      </c>
      <c r="B910" s="49">
        <v>45901</v>
      </c>
      <c r="C910">
        <v>38</v>
      </c>
      <c r="D910" s="33">
        <v>15500</v>
      </c>
      <c r="E910" t="str">
        <f>_xlfn.XLOOKUP(Quota_tbl[[#This Row],[Rep_ID]],Dim_Reps!A:A,Dim_Reps!K:K)</f>
        <v>EUR</v>
      </c>
      <c r="F910" s="33">
        <f>(_xlfn.XLOOKUP(Quota_tbl[[#This Row],[Rate_Code_Generalized]],Lookups!A:A,Lookups!B:B)*Quota_tbl[[#This Row],[Quota_Amount_USD]])</f>
        <v>15500</v>
      </c>
      <c r="G910" t="str">
        <f>_xlfn.XLOOKUP(Quota_tbl[[#This Row],[Rep_ID]],Dim_Reps!A:A,Dim_Reps!C:C)</f>
        <v>SDR / Inside Sales Rep</v>
      </c>
      <c r="H910" t="str">
        <f>_xlfn.XLOOKUP(Quota_tbl[[#This Row],[Rep_ID]],Dim_Reps!A:A,Dim_Reps!D:D)</f>
        <v>Inside Sales</v>
      </c>
      <c r="I910" t="str">
        <f>_xlfn.XLOOKUP(Quota_tbl[[#This Row],[Rep_ID]],Dim_Reps!A:A,Dim_Reps!E:E)</f>
        <v>APAC</v>
      </c>
      <c r="J910" t="str">
        <f>_xlfn.XLOOKUP(Quota_tbl[[#This Row],[Period_Start_Date]],Dim_Date!A:A,Dim_Date!H:H)</f>
        <v>Sep 2025</v>
      </c>
    </row>
    <row r="911" spans="1:10" ht="15" customHeight="1" x14ac:dyDescent="0.2">
      <c r="A911" t="s">
        <v>241</v>
      </c>
      <c r="B911" s="49">
        <v>45931</v>
      </c>
      <c r="C911">
        <v>39</v>
      </c>
      <c r="D911" s="33">
        <v>15600</v>
      </c>
      <c r="E911" t="str">
        <f>_xlfn.XLOOKUP(Quota_tbl[[#This Row],[Rep_ID]],Dim_Reps!A:A,Dim_Reps!K:K)</f>
        <v>EUR</v>
      </c>
      <c r="F911" s="33">
        <f>(_xlfn.XLOOKUP(Quota_tbl[[#This Row],[Rate_Code_Generalized]],Lookups!A:A,Lookups!B:B)*Quota_tbl[[#This Row],[Quota_Amount_USD]])</f>
        <v>15600</v>
      </c>
      <c r="G911" t="str">
        <f>_xlfn.XLOOKUP(Quota_tbl[[#This Row],[Rep_ID]],Dim_Reps!A:A,Dim_Reps!C:C)</f>
        <v>SDR / Inside Sales Rep</v>
      </c>
      <c r="H911" t="str">
        <f>_xlfn.XLOOKUP(Quota_tbl[[#This Row],[Rep_ID]],Dim_Reps!A:A,Dim_Reps!D:D)</f>
        <v>Inside Sales</v>
      </c>
      <c r="I911" t="str">
        <f>_xlfn.XLOOKUP(Quota_tbl[[#This Row],[Rep_ID]],Dim_Reps!A:A,Dim_Reps!E:E)</f>
        <v>APAC</v>
      </c>
      <c r="J911" t="str">
        <f>_xlfn.XLOOKUP(Quota_tbl[[#This Row],[Period_Start_Date]],Dim_Date!A:A,Dim_Date!H:H)</f>
        <v>Oct 2025</v>
      </c>
    </row>
    <row r="912" spans="1:10" ht="15" customHeight="1" x14ac:dyDescent="0.2">
      <c r="A912" t="s">
        <v>241</v>
      </c>
      <c r="B912" s="49">
        <v>45962</v>
      </c>
      <c r="C912">
        <v>40</v>
      </c>
      <c r="D912" s="33">
        <v>15400</v>
      </c>
      <c r="E912" t="str">
        <f>_xlfn.XLOOKUP(Quota_tbl[[#This Row],[Rep_ID]],Dim_Reps!A:A,Dim_Reps!K:K)</f>
        <v>EUR</v>
      </c>
      <c r="F912" s="33">
        <f>(_xlfn.XLOOKUP(Quota_tbl[[#This Row],[Rate_Code_Generalized]],Lookups!A:A,Lookups!B:B)*Quota_tbl[[#This Row],[Quota_Amount_USD]])</f>
        <v>15400</v>
      </c>
      <c r="G912" t="str">
        <f>_xlfn.XLOOKUP(Quota_tbl[[#This Row],[Rep_ID]],Dim_Reps!A:A,Dim_Reps!C:C)</f>
        <v>SDR / Inside Sales Rep</v>
      </c>
      <c r="H912" t="str">
        <f>_xlfn.XLOOKUP(Quota_tbl[[#This Row],[Rep_ID]],Dim_Reps!A:A,Dim_Reps!D:D)</f>
        <v>Inside Sales</v>
      </c>
      <c r="I912" t="str">
        <f>_xlfn.XLOOKUP(Quota_tbl[[#This Row],[Rep_ID]],Dim_Reps!A:A,Dim_Reps!E:E)</f>
        <v>APAC</v>
      </c>
      <c r="J912" t="str">
        <f>_xlfn.XLOOKUP(Quota_tbl[[#This Row],[Period_Start_Date]],Dim_Date!A:A,Dim_Date!H:H)</f>
        <v>Nov 2025</v>
      </c>
    </row>
    <row r="913" spans="1:10" ht="15" customHeight="1" x14ac:dyDescent="0.2">
      <c r="A913" t="s">
        <v>241</v>
      </c>
      <c r="B913" s="49">
        <v>45992</v>
      </c>
      <c r="C913">
        <v>41</v>
      </c>
      <c r="D913" s="33">
        <v>15700</v>
      </c>
      <c r="E913" t="str">
        <f>_xlfn.XLOOKUP(Quota_tbl[[#This Row],[Rep_ID]],Dim_Reps!A:A,Dim_Reps!K:K)</f>
        <v>EUR</v>
      </c>
      <c r="F913" s="33">
        <f>(_xlfn.XLOOKUP(Quota_tbl[[#This Row],[Rate_Code_Generalized]],Lookups!A:A,Lookups!B:B)*Quota_tbl[[#This Row],[Quota_Amount_USD]])</f>
        <v>15700</v>
      </c>
      <c r="G913" t="str">
        <f>_xlfn.XLOOKUP(Quota_tbl[[#This Row],[Rep_ID]],Dim_Reps!A:A,Dim_Reps!C:C)</f>
        <v>SDR / Inside Sales Rep</v>
      </c>
      <c r="H913" t="str">
        <f>_xlfn.XLOOKUP(Quota_tbl[[#This Row],[Rep_ID]],Dim_Reps!A:A,Dim_Reps!D:D)</f>
        <v>Inside Sales</v>
      </c>
      <c r="I913" t="str">
        <f>_xlfn.XLOOKUP(Quota_tbl[[#This Row],[Rep_ID]],Dim_Reps!A:A,Dim_Reps!E:E)</f>
        <v>APAC</v>
      </c>
      <c r="J913" t="str">
        <f>_xlfn.XLOOKUP(Quota_tbl[[#This Row],[Period_Start_Date]],Dim_Date!A:A,Dim_Date!H:H)</f>
        <v>Dec 2025</v>
      </c>
    </row>
  </sheetData>
  <pageMargins left="0.75" right="0.75" top="1" bottom="1" header="0.511811023622047" footer="0.511811023622047"/>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6860"/>
  <sheetViews>
    <sheetView zoomScaleNormal="100" workbookViewId="0">
      <pane ySplit="1" topLeftCell="A3" activePane="bottomLeft" state="frozen"/>
      <selection pane="bottomLeft" activeCell="S338" sqref="S338"/>
    </sheetView>
  </sheetViews>
  <sheetFormatPr baseColWidth="10" defaultColWidth="8.83203125" defaultRowHeight="15" x14ac:dyDescent="0.2"/>
  <cols>
    <col min="1" max="4" width="15.5" customWidth="1"/>
    <col min="5" max="5" width="20.1640625" customWidth="1"/>
    <col min="6" max="7" width="19.6640625" customWidth="1"/>
    <col min="8" max="8" width="22.1640625" customWidth="1"/>
    <col min="9" max="10" width="15.5" customWidth="1"/>
    <col min="11" max="11" width="11.1640625" customWidth="1"/>
    <col min="12" max="12" width="16.83203125" customWidth="1"/>
    <col min="14" max="14" width="11.6640625" customWidth="1"/>
    <col min="19" max="19" width="13.5" customWidth="1"/>
  </cols>
  <sheetData>
    <row r="1" spans="1:21" s="46" customFormat="1" ht="48" customHeight="1" x14ac:dyDescent="0.2">
      <c r="A1" s="46" t="s">
        <v>294</v>
      </c>
      <c r="B1" s="46" t="s">
        <v>78</v>
      </c>
      <c r="C1" s="46" t="s">
        <v>48</v>
      </c>
      <c r="D1" s="46" t="s">
        <v>295</v>
      </c>
      <c r="E1" s="46" t="s">
        <v>296</v>
      </c>
      <c r="F1" s="46" t="s">
        <v>297</v>
      </c>
      <c r="G1" s="46" t="s">
        <v>298</v>
      </c>
      <c r="H1" s="46" t="s">
        <v>299</v>
      </c>
      <c r="I1" s="46" t="s">
        <v>300</v>
      </c>
      <c r="J1" s="46" t="s">
        <v>80</v>
      </c>
      <c r="K1" s="46" t="s">
        <v>301</v>
      </c>
      <c r="L1" s="46" t="s">
        <v>302</v>
      </c>
      <c r="M1" s="46" t="s">
        <v>175</v>
      </c>
      <c r="N1" s="46" t="s">
        <v>303</v>
      </c>
      <c r="O1" s="46" t="s">
        <v>79</v>
      </c>
      <c r="P1" s="46" t="s">
        <v>290</v>
      </c>
      <c r="Q1" s="46" t="s">
        <v>291</v>
      </c>
      <c r="R1" s="46" t="s">
        <v>292</v>
      </c>
      <c r="S1" s="46" t="s">
        <v>304</v>
      </c>
      <c r="T1" s="46" t="s">
        <v>305</v>
      </c>
      <c r="U1" s="46" t="s">
        <v>306</v>
      </c>
    </row>
    <row r="2" spans="1:21" ht="15" customHeight="1" x14ac:dyDescent="0.2">
      <c r="A2" t="s">
        <v>307</v>
      </c>
      <c r="B2" t="s">
        <v>181</v>
      </c>
      <c r="C2" t="s">
        <v>52</v>
      </c>
      <c r="D2" s="49">
        <v>45925</v>
      </c>
      <c r="E2" s="49">
        <v>45935</v>
      </c>
      <c r="F2" s="49">
        <v>45955</v>
      </c>
      <c r="G2" s="49">
        <v>45986</v>
      </c>
      <c r="H2" s="49">
        <v>46011</v>
      </c>
      <c r="J2" t="s">
        <v>308</v>
      </c>
      <c r="K2" s="33">
        <v>39300</v>
      </c>
      <c r="M2" t="str">
        <f>_xlfn.XLOOKUP(Pipeline_tbl[[#This Row],[Rep_ID]],Dim_Reps!A:A,Dim_Reps!K:K)</f>
        <v>USD</v>
      </c>
      <c r="N2" s="33">
        <f>(_xlfn.XLOOKUP(Pipeline_tbl[[#This Row],[Rate_Code_Generalized]],Lookups!A:A,Lookups!B:B))*Pipeline_tbl[[#This Row],[Pipeline_Amount_USD]]</f>
        <v>45756.99</v>
      </c>
      <c r="O2" t="str">
        <f>_xlfn.XLOOKUP(Pipeline_tbl[[#This Row],[Rep_ID]],Dim_Reps!A:A,Dim_Reps!B:B)</f>
        <v>Milo Weber</v>
      </c>
      <c r="P2" t="str">
        <f>_xlfn.XLOOKUP(Pipeline_tbl[[#This Row],[Rep_ID]],Dim_Reps!A:A,Dim_Reps!C:C)</f>
        <v>Enterprise AE</v>
      </c>
      <c r="Q2" t="str">
        <f>_xlfn.XLOOKUP(Pipeline_tbl[[#This Row],[Rep_ID]],Dim_Reps!A:A,Dim_Reps!D:D)</f>
        <v>Enterprise</v>
      </c>
      <c r="R2" t="str">
        <f>_xlfn.XLOOKUP(Pipeline_tbl[[#This Row],[Rep_ID]],Dim_Reps!A:A,Dim_Reps!E:E)</f>
        <v>NAMER</v>
      </c>
      <c r="S2" t="str">
        <f>_xlfn.XLOOKUP(Pipeline_tbl[[#This Row],[Created_Date]],Dim_Date!A:A,Dim_Date!H:H)</f>
        <v>Sep 2025</v>
      </c>
      <c r="T2" t="str">
        <f>IF(Pipeline_tbl[[#This Row],[Closed_Date]]=0,"",(_xlfn.XLOOKUP(Pipeline_tbl[[#This Row],[Closed_Date]],Dim_Date!A:A,Dim_Date!H:H)))</f>
        <v/>
      </c>
      <c r="U2" t="str">
        <f>IF(Pipeline_tbl[[#This Row],[Closed_Date]]=0,"",Pipeline_tbl[[#This Row],[Closed_Date]]-Pipeline_tbl[[#This Row],[Created_Date]])</f>
        <v/>
      </c>
    </row>
    <row r="3" spans="1:21" ht="15" customHeight="1" x14ac:dyDescent="0.2">
      <c r="A3" t="s">
        <v>309</v>
      </c>
      <c r="B3" t="s">
        <v>278</v>
      </c>
      <c r="C3" t="s">
        <v>55</v>
      </c>
      <c r="D3" s="49">
        <v>45916</v>
      </c>
      <c r="E3" s="49">
        <v>45930</v>
      </c>
      <c r="F3" s="49">
        <v>45958</v>
      </c>
      <c r="G3" s="49">
        <v>46000</v>
      </c>
      <c r="J3" t="s">
        <v>308</v>
      </c>
      <c r="K3" s="33">
        <v>35100</v>
      </c>
      <c r="M3" t="str">
        <f>_xlfn.XLOOKUP(Pipeline_tbl[[#This Row],[Rep_ID]],Dim_Reps!A:A,Dim_Reps!K:K)</f>
        <v>EUR</v>
      </c>
      <c r="N3" s="33">
        <f>(_xlfn.XLOOKUP(Pipeline_tbl[[#This Row],[Rate_Code_Generalized]],Lookups!A:A,Lookups!B:B))*Pipeline_tbl[[#This Row],[Pipeline_Amount_USD]]</f>
        <v>35100</v>
      </c>
      <c r="O3" t="str">
        <f>_xlfn.XLOOKUP(Pipeline_tbl[[#This Row],[Rep_ID]],Dim_Reps!A:A,Dim_Reps!B:B)</f>
        <v>Sara Andersson</v>
      </c>
      <c r="P3" t="str">
        <f>_xlfn.XLOOKUP(Pipeline_tbl[[#This Row],[Rep_ID]],Dim_Reps!A:A,Dim_Reps!C:C)</f>
        <v>Senior Enterprise AE</v>
      </c>
      <c r="Q3" t="str">
        <f>_xlfn.XLOOKUP(Pipeline_tbl[[#This Row],[Rep_ID]],Dim_Reps!A:A,Dim_Reps!D:D)</f>
        <v>Strategic</v>
      </c>
      <c r="R3" t="str">
        <f>_xlfn.XLOOKUP(Pipeline_tbl[[#This Row],[Rep_ID]],Dim_Reps!A:A,Dim_Reps!E:E)</f>
        <v>APAC</v>
      </c>
      <c r="S3" t="str">
        <f>_xlfn.XLOOKUP(Pipeline_tbl[[#This Row],[Created_Date]],Dim_Date!A:A,Dim_Date!H:H)</f>
        <v>Sep 2025</v>
      </c>
      <c r="T3" t="str">
        <f>IF(Pipeline_tbl[[#This Row],[Closed_Date]]=0,"",(_xlfn.XLOOKUP(Pipeline_tbl[[#This Row],[Closed_Date]],Dim_Date!A:A,Dim_Date!H:H)))</f>
        <v/>
      </c>
      <c r="U3" t="str">
        <f>IF(Pipeline_tbl[[#This Row],[Closed_Date]]=0,"",Pipeline_tbl[[#This Row],[Closed_Date]]-Pipeline_tbl[[#This Row],[Created_Date]])</f>
        <v/>
      </c>
    </row>
    <row r="4" spans="1:21" ht="15" customHeight="1" x14ac:dyDescent="0.2">
      <c r="A4" t="s">
        <v>310</v>
      </c>
      <c r="B4" t="s">
        <v>282</v>
      </c>
      <c r="C4" t="s">
        <v>54</v>
      </c>
      <c r="D4" s="49">
        <v>45927</v>
      </c>
      <c r="E4" s="49">
        <v>45937</v>
      </c>
      <c r="F4" s="49">
        <v>45956</v>
      </c>
      <c r="G4" s="49">
        <v>45985</v>
      </c>
      <c r="H4" s="49">
        <v>46009</v>
      </c>
      <c r="J4" t="s">
        <v>308</v>
      </c>
      <c r="K4" s="33">
        <v>45000</v>
      </c>
      <c r="M4" t="str">
        <f>_xlfn.XLOOKUP(Pipeline_tbl[[#This Row],[Rep_ID]],Dim_Reps!A:A,Dim_Reps!K:K)</f>
        <v>USD</v>
      </c>
      <c r="N4" s="33">
        <f>(_xlfn.XLOOKUP(Pipeline_tbl[[#This Row],[Rate_Code_Generalized]],Lookups!A:A,Lookups!B:B))*Pipeline_tbl[[#This Row],[Pipeline_Amount_USD]]</f>
        <v>52393.499999999993</v>
      </c>
      <c r="O4" t="str">
        <f>_xlfn.XLOOKUP(Pipeline_tbl[[#This Row],[Rep_ID]],Dim_Reps!A:A,Dim_Reps!B:B)</f>
        <v>Fatima Rossi</v>
      </c>
      <c r="P4" t="str">
        <f>_xlfn.XLOOKUP(Pipeline_tbl[[#This Row],[Rep_ID]],Dim_Reps!A:A,Dim_Reps!C:C)</f>
        <v>Senior Enterprise AE</v>
      </c>
      <c r="Q4" t="str">
        <f>_xlfn.XLOOKUP(Pipeline_tbl[[#This Row],[Rep_ID]],Dim_Reps!A:A,Dim_Reps!D:D)</f>
        <v>Strategic</v>
      </c>
      <c r="R4" t="str">
        <f>_xlfn.XLOOKUP(Pipeline_tbl[[#This Row],[Rep_ID]],Dim_Reps!A:A,Dim_Reps!E:E)</f>
        <v>NAMER</v>
      </c>
      <c r="S4" t="str">
        <f>_xlfn.XLOOKUP(Pipeline_tbl[[#This Row],[Created_Date]],Dim_Date!A:A,Dim_Date!H:H)</f>
        <v>Sep 2025</v>
      </c>
      <c r="T4" t="str">
        <f>IF(Pipeline_tbl[[#This Row],[Closed_Date]]=0,"",(_xlfn.XLOOKUP(Pipeline_tbl[[#This Row],[Closed_Date]],Dim_Date!A:A,Dim_Date!H:H)))</f>
        <v/>
      </c>
      <c r="U4" t="str">
        <f>IF(Pipeline_tbl[[#This Row],[Closed_Date]]=0,"",Pipeline_tbl[[#This Row],[Closed_Date]]-Pipeline_tbl[[#This Row],[Created_Date]])</f>
        <v/>
      </c>
    </row>
    <row r="5" spans="1:21" ht="15" customHeight="1" x14ac:dyDescent="0.2">
      <c r="A5" t="s">
        <v>311</v>
      </c>
      <c r="B5" t="s">
        <v>275</v>
      </c>
      <c r="C5" t="s">
        <v>53</v>
      </c>
      <c r="D5" s="49">
        <v>45911</v>
      </c>
      <c r="E5" s="49">
        <v>45921</v>
      </c>
      <c r="F5" s="49">
        <v>45940</v>
      </c>
      <c r="G5" s="49">
        <v>45970</v>
      </c>
      <c r="H5" s="49">
        <v>45994</v>
      </c>
      <c r="I5" s="49">
        <v>46009</v>
      </c>
      <c r="J5" t="s">
        <v>49</v>
      </c>
      <c r="K5" s="33">
        <v>55600</v>
      </c>
      <c r="L5" t="s">
        <v>61</v>
      </c>
      <c r="M5" t="str">
        <f>_xlfn.XLOOKUP(Pipeline_tbl[[#This Row],[Rep_ID]],Dim_Reps!A:A,Dim_Reps!K:K)</f>
        <v>USD</v>
      </c>
      <c r="N5" s="33">
        <f>(_xlfn.XLOOKUP(Pipeline_tbl[[#This Row],[Rate_Code_Generalized]],Lookups!A:A,Lookups!B:B))*Pipeline_tbl[[#This Row],[Pipeline_Amount_USD]]</f>
        <v>64735.079999999994</v>
      </c>
      <c r="O5" t="str">
        <f>_xlfn.XLOOKUP(Pipeline_tbl[[#This Row],[Rep_ID]],Dim_Reps!A:A,Dim_Reps!B:B)</f>
        <v>Sana Rossi</v>
      </c>
      <c r="P5" t="str">
        <f>_xlfn.XLOOKUP(Pipeline_tbl[[#This Row],[Rep_ID]],Dim_Reps!A:A,Dim_Reps!C:C)</f>
        <v>Senior Enterprise AE</v>
      </c>
      <c r="Q5" t="str">
        <f>_xlfn.XLOOKUP(Pipeline_tbl[[#This Row],[Rep_ID]],Dim_Reps!A:A,Dim_Reps!D:D)</f>
        <v>Strategic</v>
      </c>
      <c r="R5" t="str">
        <f>_xlfn.XLOOKUP(Pipeline_tbl[[#This Row],[Rep_ID]],Dim_Reps!A:A,Dim_Reps!E:E)</f>
        <v>NAMER</v>
      </c>
      <c r="S5" t="str">
        <f>_xlfn.XLOOKUP(Pipeline_tbl[[#This Row],[Created_Date]],Dim_Date!A:A,Dim_Date!H:H)</f>
        <v>Sep 2025</v>
      </c>
      <c r="T5" t="str">
        <f>IF(Pipeline_tbl[[#This Row],[Closed_Date]]=0,"",(_xlfn.XLOOKUP(Pipeline_tbl[[#This Row],[Closed_Date]],Dim_Date!A:A,Dim_Date!H:H)))</f>
        <v>Dec 2025</v>
      </c>
      <c r="U5">
        <f>IF(Pipeline_tbl[[#This Row],[Closed_Date]]=0,"",Pipeline_tbl[[#This Row],[Closed_Date]]-Pipeline_tbl[[#This Row],[Created_Date]])</f>
        <v>98</v>
      </c>
    </row>
    <row r="6" spans="1:21" ht="15" customHeight="1" x14ac:dyDescent="0.2">
      <c r="A6" t="s">
        <v>312</v>
      </c>
      <c r="B6" t="s">
        <v>177</v>
      </c>
      <c r="C6" t="s">
        <v>52</v>
      </c>
      <c r="D6" s="49">
        <v>45922</v>
      </c>
      <c r="E6" s="49">
        <v>45930</v>
      </c>
      <c r="F6" s="49">
        <v>45945</v>
      </c>
      <c r="G6" s="49">
        <v>45967</v>
      </c>
      <c r="H6" s="49">
        <v>45986</v>
      </c>
      <c r="I6" s="49">
        <v>45997</v>
      </c>
      <c r="J6" t="s">
        <v>47</v>
      </c>
      <c r="K6" s="33">
        <v>39500</v>
      </c>
      <c r="M6" t="str">
        <f>_xlfn.XLOOKUP(Pipeline_tbl[[#This Row],[Rep_ID]],Dim_Reps!A:A,Dim_Reps!K:K)</f>
        <v>USD</v>
      </c>
      <c r="N6" s="33">
        <f>(_xlfn.XLOOKUP(Pipeline_tbl[[#This Row],[Rate_Code_Generalized]],Lookups!A:A,Lookups!B:B))*Pipeline_tbl[[#This Row],[Pipeline_Amount_USD]]</f>
        <v>45989.85</v>
      </c>
      <c r="O6" t="str">
        <f>_xlfn.XLOOKUP(Pipeline_tbl[[#This Row],[Rep_ID]],Dim_Reps!A:A,Dim_Reps!B:B)</f>
        <v>Lucas Cohen</v>
      </c>
      <c r="P6" t="str">
        <f>_xlfn.XLOOKUP(Pipeline_tbl[[#This Row],[Rep_ID]],Dim_Reps!A:A,Dim_Reps!C:C)</f>
        <v>Enterprise AE</v>
      </c>
      <c r="Q6" t="str">
        <f>_xlfn.XLOOKUP(Pipeline_tbl[[#This Row],[Rep_ID]],Dim_Reps!A:A,Dim_Reps!D:D)</f>
        <v>Enterprise</v>
      </c>
      <c r="R6" t="str">
        <f>_xlfn.XLOOKUP(Pipeline_tbl[[#This Row],[Rep_ID]],Dim_Reps!A:A,Dim_Reps!E:E)</f>
        <v>NAMER</v>
      </c>
      <c r="S6" t="str">
        <f>_xlfn.XLOOKUP(Pipeline_tbl[[#This Row],[Created_Date]],Dim_Date!A:A,Dim_Date!H:H)</f>
        <v>Sep 2025</v>
      </c>
      <c r="T6" t="str">
        <f>IF(Pipeline_tbl[[#This Row],[Closed_Date]]=0,"",(_xlfn.XLOOKUP(Pipeline_tbl[[#This Row],[Closed_Date]],Dim_Date!A:A,Dim_Date!H:H)))</f>
        <v>Dec 2025</v>
      </c>
      <c r="U6">
        <f>IF(Pipeline_tbl[[#This Row],[Closed_Date]]=0,"",Pipeline_tbl[[#This Row],[Closed_Date]]-Pipeline_tbl[[#This Row],[Created_Date]])</f>
        <v>75</v>
      </c>
    </row>
    <row r="7" spans="1:21" ht="15" customHeight="1" x14ac:dyDescent="0.2">
      <c r="A7" t="s">
        <v>313</v>
      </c>
      <c r="B7" t="s">
        <v>183</v>
      </c>
      <c r="C7" t="s">
        <v>53</v>
      </c>
      <c r="D7" s="49">
        <v>45916</v>
      </c>
      <c r="E7" s="49">
        <v>45925</v>
      </c>
      <c r="F7" s="49">
        <v>45943</v>
      </c>
      <c r="G7" s="49">
        <v>45969</v>
      </c>
      <c r="I7" s="49">
        <v>46005</v>
      </c>
      <c r="J7" t="s">
        <v>49</v>
      </c>
      <c r="K7" s="33">
        <v>29300</v>
      </c>
      <c r="L7" t="s">
        <v>61</v>
      </c>
      <c r="M7" t="str">
        <f>_xlfn.XLOOKUP(Pipeline_tbl[[#This Row],[Rep_ID]],Dim_Reps!A:A,Dim_Reps!K:K)</f>
        <v>EUR</v>
      </c>
      <c r="N7" s="33">
        <f>(_xlfn.XLOOKUP(Pipeline_tbl[[#This Row],[Rate_Code_Generalized]],Lookups!A:A,Lookups!B:B))*Pipeline_tbl[[#This Row],[Pipeline_Amount_USD]]</f>
        <v>29300</v>
      </c>
      <c r="O7" t="str">
        <f>_xlfn.XLOOKUP(Pipeline_tbl[[#This Row],[Rep_ID]],Dim_Reps!A:A,Dim_Reps!B:B)</f>
        <v>Sam Schmidt</v>
      </c>
      <c r="P7" t="str">
        <f>_xlfn.XLOOKUP(Pipeline_tbl[[#This Row],[Rep_ID]],Dim_Reps!A:A,Dim_Reps!C:C)</f>
        <v>Enterprise AE</v>
      </c>
      <c r="Q7" t="str">
        <f>_xlfn.XLOOKUP(Pipeline_tbl[[#This Row],[Rep_ID]],Dim_Reps!A:A,Dim_Reps!D:D)</f>
        <v>Enterprise</v>
      </c>
      <c r="R7" t="str">
        <f>_xlfn.XLOOKUP(Pipeline_tbl[[#This Row],[Rep_ID]],Dim_Reps!A:A,Dim_Reps!E:E)</f>
        <v>EMEA</v>
      </c>
      <c r="S7" t="str">
        <f>_xlfn.XLOOKUP(Pipeline_tbl[[#This Row],[Created_Date]],Dim_Date!A:A,Dim_Date!H:H)</f>
        <v>Sep 2025</v>
      </c>
      <c r="T7" t="str">
        <f>IF(Pipeline_tbl[[#This Row],[Closed_Date]]=0,"",(_xlfn.XLOOKUP(Pipeline_tbl[[#This Row],[Closed_Date]],Dim_Date!A:A,Dim_Date!H:H)))</f>
        <v>Dec 2025</v>
      </c>
      <c r="U7">
        <f>IF(Pipeline_tbl[[#This Row],[Closed_Date]]=0,"",Pipeline_tbl[[#This Row],[Closed_Date]]-Pipeline_tbl[[#This Row],[Created_Date]])</f>
        <v>89</v>
      </c>
    </row>
    <row r="8" spans="1:21" ht="15" customHeight="1" x14ac:dyDescent="0.2">
      <c r="A8" t="s">
        <v>314</v>
      </c>
      <c r="B8" t="s">
        <v>183</v>
      </c>
      <c r="C8" t="s">
        <v>54</v>
      </c>
      <c r="D8" s="49">
        <v>45926</v>
      </c>
      <c r="E8" s="49">
        <v>45934</v>
      </c>
      <c r="F8" s="49">
        <v>45952</v>
      </c>
      <c r="G8" s="49">
        <v>45977</v>
      </c>
      <c r="H8" s="49">
        <v>45998</v>
      </c>
      <c r="I8" s="49">
        <v>46011</v>
      </c>
      <c r="J8" t="s">
        <v>47</v>
      </c>
      <c r="K8" s="33">
        <v>35300</v>
      </c>
      <c r="M8" t="str">
        <f>_xlfn.XLOOKUP(Pipeline_tbl[[#This Row],[Rep_ID]],Dim_Reps!A:A,Dim_Reps!K:K)</f>
        <v>EUR</v>
      </c>
      <c r="N8" s="33">
        <f>(_xlfn.XLOOKUP(Pipeline_tbl[[#This Row],[Rate_Code_Generalized]],Lookups!A:A,Lookups!B:B))*Pipeline_tbl[[#This Row],[Pipeline_Amount_USD]]</f>
        <v>35300</v>
      </c>
      <c r="O8" t="str">
        <f>_xlfn.XLOOKUP(Pipeline_tbl[[#This Row],[Rep_ID]],Dim_Reps!A:A,Dim_Reps!B:B)</f>
        <v>Sam Schmidt</v>
      </c>
      <c r="P8" t="str">
        <f>_xlfn.XLOOKUP(Pipeline_tbl[[#This Row],[Rep_ID]],Dim_Reps!A:A,Dim_Reps!C:C)</f>
        <v>Enterprise AE</v>
      </c>
      <c r="Q8" t="str">
        <f>_xlfn.XLOOKUP(Pipeline_tbl[[#This Row],[Rep_ID]],Dim_Reps!A:A,Dim_Reps!D:D)</f>
        <v>Enterprise</v>
      </c>
      <c r="R8" t="str">
        <f>_xlfn.XLOOKUP(Pipeline_tbl[[#This Row],[Rep_ID]],Dim_Reps!A:A,Dim_Reps!E:E)</f>
        <v>EMEA</v>
      </c>
      <c r="S8" t="str">
        <f>_xlfn.XLOOKUP(Pipeline_tbl[[#This Row],[Created_Date]],Dim_Date!A:A,Dim_Date!H:H)</f>
        <v>Sep 2025</v>
      </c>
      <c r="T8" t="str">
        <f>IF(Pipeline_tbl[[#This Row],[Closed_Date]]=0,"",(_xlfn.XLOOKUP(Pipeline_tbl[[#This Row],[Closed_Date]],Dim_Date!A:A,Dim_Date!H:H)))</f>
        <v>Dec 2025</v>
      </c>
      <c r="U8">
        <f>IF(Pipeline_tbl[[#This Row],[Closed_Date]]=0,"",Pipeline_tbl[[#This Row],[Closed_Date]]-Pipeline_tbl[[#This Row],[Created_Date]])</f>
        <v>85</v>
      </c>
    </row>
    <row r="9" spans="1:21" ht="15" customHeight="1" x14ac:dyDescent="0.2">
      <c r="A9" t="s">
        <v>315</v>
      </c>
      <c r="B9" t="s">
        <v>185</v>
      </c>
      <c r="C9" t="s">
        <v>52</v>
      </c>
      <c r="D9" s="49">
        <v>45927</v>
      </c>
      <c r="E9" s="49">
        <v>45935</v>
      </c>
      <c r="F9" s="49">
        <v>45952</v>
      </c>
      <c r="G9" s="49">
        <v>45977</v>
      </c>
      <c r="I9" s="49">
        <v>46010</v>
      </c>
      <c r="J9" t="s">
        <v>49</v>
      </c>
      <c r="K9" s="33">
        <v>35600</v>
      </c>
      <c r="L9" t="s">
        <v>64</v>
      </c>
      <c r="M9" t="str">
        <f>_xlfn.XLOOKUP(Pipeline_tbl[[#This Row],[Rep_ID]],Dim_Reps!A:A,Dim_Reps!K:K)</f>
        <v>MXN</v>
      </c>
      <c r="N9" s="33">
        <f>(_xlfn.XLOOKUP(Pipeline_tbl[[#This Row],[Rate_Code_Generalized]],Lookups!A:A,Lookups!B:B))*Pipeline_tbl[[#This Row],[Pipeline_Amount_USD]]</f>
        <v>702484.12</v>
      </c>
      <c r="O9" t="str">
        <f>_xlfn.XLOOKUP(Pipeline_tbl[[#This Row],[Rep_ID]],Dim_Reps!A:A,Dim_Reps!B:B)</f>
        <v>Noah Kim</v>
      </c>
      <c r="P9" t="str">
        <f>_xlfn.XLOOKUP(Pipeline_tbl[[#This Row],[Rep_ID]],Dim_Reps!A:A,Dim_Reps!C:C)</f>
        <v>Enterprise AE</v>
      </c>
      <c r="Q9" t="str">
        <f>_xlfn.XLOOKUP(Pipeline_tbl[[#This Row],[Rep_ID]],Dim_Reps!A:A,Dim_Reps!D:D)</f>
        <v>Enterprise</v>
      </c>
      <c r="R9" t="str">
        <f>_xlfn.XLOOKUP(Pipeline_tbl[[#This Row],[Rep_ID]],Dim_Reps!A:A,Dim_Reps!E:E)</f>
        <v>LATAM</v>
      </c>
      <c r="S9" t="str">
        <f>_xlfn.XLOOKUP(Pipeline_tbl[[#This Row],[Created_Date]],Dim_Date!A:A,Dim_Date!H:H)</f>
        <v>Sep 2025</v>
      </c>
      <c r="T9" t="str">
        <f>IF(Pipeline_tbl[[#This Row],[Closed_Date]]=0,"",(_xlfn.XLOOKUP(Pipeline_tbl[[#This Row],[Closed_Date]],Dim_Date!A:A,Dim_Date!H:H)))</f>
        <v>Dec 2025</v>
      </c>
      <c r="U9">
        <f>IF(Pipeline_tbl[[#This Row],[Closed_Date]]=0,"",Pipeline_tbl[[#This Row],[Closed_Date]]-Pipeline_tbl[[#This Row],[Created_Date]])</f>
        <v>83</v>
      </c>
    </row>
    <row r="10" spans="1:21" ht="15" customHeight="1" x14ac:dyDescent="0.2">
      <c r="A10" t="s">
        <v>316</v>
      </c>
      <c r="B10" t="s">
        <v>280</v>
      </c>
      <c r="C10" t="s">
        <v>52</v>
      </c>
      <c r="D10" s="49">
        <v>45926</v>
      </c>
      <c r="E10" s="49">
        <v>45935</v>
      </c>
      <c r="I10" s="49">
        <v>46020</v>
      </c>
      <c r="J10" t="s">
        <v>49</v>
      </c>
      <c r="K10" s="33">
        <v>30600</v>
      </c>
      <c r="L10" t="s">
        <v>63</v>
      </c>
      <c r="M10" t="str">
        <f>_xlfn.XLOOKUP(Pipeline_tbl[[#This Row],[Rep_ID]],Dim_Reps!A:A,Dim_Reps!K:K)</f>
        <v>MXN</v>
      </c>
      <c r="N10" s="33">
        <f>(_xlfn.XLOOKUP(Pipeline_tbl[[#This Row],[Rate_Code_Generalized]],Lookups!A:A,Lookups!B:B))*Pipeline_tbl[[#This Row],[Pipeline_Amount_USD]]</f>
        <v>603820.62</v>
      </c>
      <c r="O10" t="str">
        <f>_xlfn.XLOOKUP(Pipeline_tbl[[#This Row],[Rep_ID]],Dim_Reps!A:A,Dim_Reps!B:B)</f>
        <v>Cameron Lund</v>
      </c>
      <c r="P10" t="str">
        <f>_xlfn.XLOOKUP(Pipeline_tbl[[#This Row],[Rep_ID]],Dim_Reps!A:A,Dim_Reps!C:C)</f>
        <v>Senior Enterprise AE</v>
      </c>
      <c r="Q10" t="str">
        <f>_xlfn.XLOOKUP(Pipeline_tbl[[#This Row],[Rep_ID]],Dim_Reps!A:A,Dim_Reps!D:D)</f>
        <v>Strategic</v>
      </c>
      <c r="R10" t="str">
        <f>_xlfn.XLOOKUP(Pipeline_tbl[[#This Row],[Rep_ID]],Dim_Reps!A:A,Dim_Reps!E:E)</f>
        <v>LATAM</v>
      </c>
      <c r="S10" t="str">
        <f>_xlfn.XLOOKUP(Pipeline_tbl[[#This Row],[Created_Date]],Dim_Date!A:A,Dim_Date!H:H)</f>
        <v>Sep 2025</v>
      </c>
      <c r="T10" t="str">
        <f>IF(Pipeline_tbl[[#This Row],[Closed_Date]]=0,"",(_xlfn.XLOOKUP(Pipeline_tbl[[#This Row],[Closed_Date]],Dim_Date!A:A,Dim_Date!H:H)))</f>
        <v>Dec 2025</v>
      </c>
      <c r="U10">
        <f>IF(Pipeline_tbl[[#This Row],[Closed_Date]]=0,"",Pipeline_tbl[[#This Row],[Closed_Date]]-Pipeline_tbl[[#This Row],[Created_Date]])</f>
        <v>94</v>
      </c>
    </row>
    <row r="11" spans="1:21" ht="15" customHeight="1" x14ac:dyDescent="0.2">
      <c r="A11" t="s">
        <v>317</v>
      </c>
      <c r="B11" t="s">
        <v>280</v>
      </c>
      <c r="C11" t="s">
        <v>52</v>
      </c>
      <c r="D11" s="49">
        <v>45907</v>
      </c>
      <c r="E11" s="49">
        <v>45918</v>
      </c>
      <c r="I11" s="49">
        <v>46018</v>
      </c>
      <c r="J11" t="s">
        <v>49</v>
      </c>
      <c r="K11" s="33">
        <v>26500</v>
      </c>
      <c r="L11" t="s">
        <v>61</v>
      </c>
      <c r="M11" t="str">
        <f>_xlfn.XLOOKUP(Pipeline_tbl[[#This Row],[Rep_ID]],Dim_Reps!A:A,Dim_Reps!K:K)</f>
        <v>MXN</v>
      </c>
      <c r="N11" s="33">
        <f>(_xlfn.XLOOKUP(Pipeline_tbl[[#This Row],[Rate_Code_Generalized]],Lookups!A:A,Lookups!B:B))*Pipeline_tbl[[#This Row],[Pipeline_Amount_USD]]</f>
        <v>522916.55000000005</v>
      </c>
      <c r="O11" t="str">
        <f>_xlfn.XLOOKUP(Pipeline_tbl[[#This Row],[Rep_ID]],Dim_Reps!A:A,Dim_Reps!B:B)</f>
        <v>Cameron Lund</v>
      </c>
      <c r="P11" t="str">
        <f>_xlfn.XLOOKUP(Pipeline_tbl[[#This Row],[Rep_ID]],Dim_Reps!A:A,Dim_Reps!C:C)</f>
        <v>Senior Enterprise AE</v>
      </c>
      <c r="Q11" t="str">
        <f>_xlfn.XLOOKUP(Pipeline_tbl[[#This Row],[Rep_ID]],Dim_Reps!A:A,Dim_Reps!D:D)</f>
        <v>Strategic</v>
      </c>
      <c r="R11" t="str">
        <f>_xlfn.XLOOKUP(Pipeline_tbl[[#This Row],[Rep_ID]],Dim_Reps!A:A,Dim_Reps!E:E)</f>
        <v>LATAM</v>
      </c>
      <c r="S11" t="str">
        <f>_xlfn.XLOOKUP(Pipeline_tbl[[#This Row],[Created_Date]],Dim_Date!A:A,Dim_Date!H:H)</f>
        <v>Sep 2025</v>
      </c>
      <c r="T11" t="str">
        <f>IF(Pipeline_tbl[[#This Row],[Closed_Date]]=0,"",(_xlfn.XLOOKUP(Pipeline_tbl[[#This Row],[Closed_Date]],Dim_Date!A:A,Dim_Date!H:H)))</f>
        <v>Dec 2025</v>
      </c>
      <c r="U11">
        <f>IF(Pipeline_tbl[[#This Row],[Closed_Date]]=0,"",Pipeline_tbl[[#This Row],[Closed_Date]]-Pipeline_tbl[[#This Row],[Created_Date]])</f>
        <v>111</v>
      </c>
    </row>
    <row r="12" spans="1:21" ht="15" customHeight="1" x14ac:dyDescent="0.2">
      <c r="A12" t="s">
        <v>318</v>
      </c>
      <c r="B12" t="s">
        <v>280</v>
      </c>
      <c r="C12" t="s">
        <v>52</v>
      </c>
      <c r="D12" s="49">
        <v>45927</v>
      </c>
      <c r="E12" s="49">
        <v>45936</v>
      </c>
      <c r="F12" s="49">
        <v>45954</v>
      </c>
      <c r="G12" s="49">
        <v>45982</v>
      </c>
      <c r="H12" s="49">
        <v>46004</v>
      </c>
      <c r="I12" s="49">
        <v>46018</v>
      </c>
      <c r="J12" t="s">
        <v>49</v>
      </c>
      <c r="K12" s="33">
        <v>50800</v>
      </c>
      <c r="L12" t="s">
        <v>64</v>
      </c>
      <c r="M12" t="str">
        <f>_xlfn.XLOOKUP(Pipeline_tbl[[#This Row],[Rep_ID]],Dim_Reps!A:A,Dim_Reps!K:K)</f>
        <v>MXN</v>
      </c>
      <c r="N12" s="33">
        <f>(_xlfn.XLOOKUP(Pipeline_tbl[[#This Row],[Rate_Code_Generalized]],Lookups!A:A,Lookups!B:B))*Pipeline_tbl[[#This Row],[Pipeline_Amount_USD]]</f>
        <v>1002421.16</v>
      </c>
      <c r="O12" t="str">
        <f>_xlfn.XLOOKUP(Pipeline_tbl[[#This Row],[Rep_ID]],Dim_Reps!A:A,Dim_Reps!B:B)</f>
        <v>Cameron Lund</v>
      </c>
      <c r="P12" t="str">
        <f>_xlfn.XLOOKUP(Pipeline_tbl[[#This Row],[Rep_ID]],Dim_Reps!A:A,Dim_Reps!C:C)</f>
        <v>Senior Enterprise AE</v>
      </c>
      <c r="Q12" t="str">
        <f>_xlfn.XLOOKUP(Pipeline_tbl[[#This Row],[Rep_ID]],Dim_Reps!A:A,Dim_Reps!D:D)</f>
        <v>Strategic</v>
      </c>
      <c r="R12" t="str">
        <f>_xlfn.XLOOKUP(Pipeline_tbl[[#This Row],[Rep_ID]],Dim_Reps!A:A,Dim_Reps!E:E)</f>
        <v>LATAM</v>
      </c>
      <c r="S12" t="str">
        <f>_xlfn.XLOOKUP(Pipeline_tbl[[#This Row],[Created_Date]],Dim_Date!A:A,Dim_Date!H:H)</f>
        <v>Sep 2025</v>
      </c>
      <c r="T12" t="str">
        <f>IF(Pipeline_tbl[[#This Row],[Closed_Date]]=0,"",(_xlfn.XLOOKUP(Pipeline_tbl[[#This Row],[Closed_Date]],Dim_Date!A:A,Dim_Date!H:H)))</f>
        <v>Dec 2025</v>
      </c>
      <c r="U12">
        <f>IF(Pipeline_tbl[[#This Row],[Closed_Date]]=0,"",Pipeline_tbl[[#This Row],[Closed_Date]]-Pipeline_tbl[[#This Row],[Created_Date]])</f>
        <v>91</v>
      </c>
    </row>
    <row r="13" spans="1:21" ht="15" customHeight="1" x14ac:dyDescent="0.2">
      <c r="A13" t="s">
        <v>319</v>
      </c>
      <c r="B13" t="s">
        <v>280</v>
      </c>
      <c r="C13" t="s">
        <v>52</v>
      </c>
      <c r="D13" s="49">
        <v>45907</v>
      </c>
      <c r="E13" s="49">
        <v>45916</v>
      </c>
      <c r="F13" s="49">
        <v>45933</v>
      </c>
      <c r="G13" s="49">
        <v>45959</v>
      </c>
      <c r="I13" s="49">
        <v>45993</v>
      </c>
      <c r="J13" t="s">
        <v>49</v>
      </c>
      <c r="K13" s="33">
        <v>121400</v>
      </c>
      <c r="L13" t="s">
        <v>62</v>
      </c>
      <c r="M13" t="str">
        <f>_xlfn.XLOOKUP(Pipeline_tbl[[#This Row],[Rep_ID]],Dim_Reps!A:A,Dim_Reps!K:K)</f>
        <v>MXN</v>
      </c>
      <c r="N13" s="33">
        <f>(_xlfn.XLOOKUP(Pipeline_tbl[[#This Row],[Rate_Code_Generalized]],Lookups!A:A,Lookups!B:B))*Pipeline_tbl[[#This Row],[Pipeline_Amount_USD]]</f>
        <v>2395549.7800000003</v>
      </c>
      <c r="O13" t="str">
        <f>_xlfn.XLOOKUP(Pipeline_tbl[[#This Row],[Rep_ID]],Dim_Reps!A:A,Dim_Reps!B:B)</f>
        <v>Cameron Lund</v>
      </c>
      <c r="P13" t="str">
        <f>_xlfn.XLOOKUP(Pipeline_tbl[[#This Row],[Rep_ID]],Dim_Reps!A:A,Dim_Reps!C:C)</f>
        <v>Senior Enterprise AE</v>
      </c>
      <c r="Q13" t="str">
        <f>_xlfn.XLOOKUP(Pipeline_tbl[[#This Row],[Rep_ID]],Dim_Reps!A:A,Dim_Reps!D:D)</f>
        <v>Strategic</v>
      </c>
      <c r="R13" t="str">
        <f>_xlfn.XLOOKUP(Pipeline_tbl[[#This Row],[Rep_ID]],Dim_Reps!A:A,Dim_Reps!E:E)</f>
        <v>LATAM</v>
      </c>
      <c r="S13" t="str">
        <f>_xlfn.XLOOKUP(Pipeline_tbl[[#This Row],[Created_Date]],Dim_Date!A:A,Dim_Date!H:H)</f>
        <v>Sep 2025</v>
      </c>
      <c r="T13" t="str">
        <f>IF(Pipeline_tbl[[#This Row],[Closed_Date]]=0,"",(_xlfn.XLOOKUP(Pipeline_tbl[[#This Row],[Closed_Date]],Dim_Date!A:A,Dim_Date!H:H)))</f>
        <v>Dec 2025</v>
      </c>
      <c r="U13">
        <f>IF(Pipeline_tbl[[#This Row],[Closed_Date]]=0,"",Pipeline_tbl[[#This Row],[Closed_Date]]-Pipeline_tbl[[#This Row],[Created_Date]])</f>
        <v>86</v>
      </c>
    </row>
    <row r="14" spans="1:21" ht="15" customHeight="1" x14ac:dyDescent="0.2">
      <c r="A14" t="s">
        <v>320</v>
      </c>
      <c r="B14" t="s">
        <v>280</v>
      </c>
      <c r="C14" t="s">
        <v>52</v>
      </c>
      <c r="D14" s="49">
        <v>45926</v>
      </c>
      <c r="E14" s="49">
        <v>45933</v>
      </c>
      <c r="I14" s="49">
        <v>45998</v>
      </c>
      <c r="J14" t="s">
        <v>49</v>
      </c>
      <c r="K14" s="33">
        <v>143000</v>
      </c>
      <c r="L14" t="s">
        <v>60</v>
      </c>
      <c r="M14" t="str">
        <f>_xlfn.XLOOKUP(Pipeline_tbl[[#This Row],[Rep_ID]],Dim_Reps!A:A,Dim_Reps!K:K)</f>
        <v>MXN</v>
      </c>
      <c r="N14" s="33">
        <f>(_xlfn.XLOOKUP(Pipeline_tbl[[#This Row],[Rate_Code_Generalized]],Lookups!A:A,Lookups!B:B))*Pipeline_tbl[[#This Row],[Pipeline_Amount_USD]]</f>
        <v>2821776.1</v>
      </c>
      <c r="O14" t="str">
        <f>_xlfn.XLOOKUP(Pipeline_tbl[[#This Row],[Rep_ID]],Dim_Reps!A:A,Dim_Reps!B:B)</f>
        <v>Cameron Lund</v>
      </c>
      <c r="P14" t="str">
        <f>_xlfn.XLOOKUP(Pipeline_tbl[[#This Row],[Rep_ID]],Dim_Reps!A:A,Dim_Reps!C:C)</f>
        <v>Senior Enterprise AE</v>
      </c>
      <c r="Q14" t="str">
        <f>_xlfn.XLOOKUP(Pipeline_tbl[[#This Row],[Rep_ID]],Dim_Reps!A:A,Dim_Reps!D:D)</f>
        <v>Strategic</v>
      </c>
      <c r="R14" t="str">
        <f>_xlfn.XLOOKUP(Pipeline_tbl[[#This Row],[Rep_ID]],Dim_Reps!A:A,Dim_Reps!E:E)</f>
        <v>LATAM</v>
      </c>
      <c r="S14" t="str">
        <f>_xlfn.XLOOKUP(Pipeline_tbl[[#This Row],[Created_Date]],Dim_Date!A:A,Dim_Date!H:H)</f>
        <v>Sep 2025</v>
      </c>
      <c r="T14" t="str">
        <f>IF(Pipeline_tbl[[#This Row],[Closed_Date]]=0,"",(_xlfn.XLOOKUP(Pipeline_tbl[[#This Row],[Closed_Date]],Dim_Date!A:A,Dim_Date!H:H)))</f>
        <v>Dec 2025</v>
      </c>
      <c r="U14">
        <f>IF(Pipeline_tbl[[#This Row],[Closed_Date]]=0,"",Pipeline_tbl[[#This Row],[Closed_Date]]-Pipeline_tbl[[#This Row],[Created_Date]])</f>
        <v>72</v>
      </c>
    </row>
    <row r="15" spans="1:21" ht="15" customHeight="1" x14ac:dyDescent="0.2">
      <c r="A15" t="s">
        <v>321</v>
      </c>
      <c r="B15" t="s">
        <v>191</v>
      </c>
      <c r="C15" t="s">
        <v>52</v>
      </c>
      <c r="D15" s="49">
        <v>45929</v>
      </c>
      <c r="E15" s="49">
        <v>45937</v>
      </c>
      <c r="F15" s="49">
        <v>45952</v>
      </c>
      <c r="G15" s="49">
        <v>45975</v>
      </c>
      <c r="H15" s="49">
        <v>45994</v>
      </c>
      <c r="I15" s="49">
        <v>46006</v>
      </c>
      <c r="J15" t="s">
        <v>47</v>
      </c>
      <c r="K15" s="33">
        <v>20800</v>
      </c>
      <c r="M15" t="str">
        <f>_xlfn.XLOOKUP(Pipeline_tbl[[#This Row],[Rep_ID]],Dim_Reps!A:A,Dim_Reps!K:K)</f>
        <v>USD</v>
      </c>
      <c r="N15" s="33">
        <f>(_xlfn.XLOOKUP(Pipeline_tbl[[#This Row],[Rate_Code_Generalized]],Lookups!A:A,Lookups!B:B))*Pipeline_tbl[[#This Row],[Pipeline_Amount_USD]]</f>
        <v>24217.439999999999</v>
      </c>
      <c r="O15" t="str">
        <f>_xlfn.XLOOKUP(Pipeline_tbl[[#This Row],[Rep_ID]],Dim_Reps!A:A,Dim_Reps!B:B)</f>
        <v>Zara Duarte</v>
      </c>
      <c r="P15" t="str">
        <f>_xlfn.XLOOKUP(Pipeline_tbl[[#This Row],[Rep_ID]],Dim_Reps!A:A,Dim_Reps!C:C)</f>
        <v>Enterprise AE</v>
      </c>
      <c r="Q15" t="str">
        <f>_xlfn.XLOOKUP(Pipeline_tbl[[#This Row],[Rep_ID]],Dim_Reps!A:A,Dim_Reps!D:D)</f>
        <v>Enterprise</v>
      </c>
      <c r="R15" t="str">
        <f>_xlfn.XLOOKUP(Pipeline_tbl[[#This Row],[Rep_ID]],Dim_Reps!A:A,Dim_Reps!E:E)</f>
        <v>NAMER</v>
      </c>
      <c r="S15" t="str">
        <f>_xlfn.XLOOKUP(Pipeline_tbl[[#This Row],[Created_Date]],Dim_Date!A:A,Dim_Date!H:H)</f>
        <v>Sep 2025</v>
      </c>
      <c r="T15" t="str">
        <f>IF(Pipeline_tbl[[#This Row],[Closed_Date]]=0,"",(_xlfn.XLOOKUP(Pipeline_tbl[[#This Row],[Closed_Date]],Dim_Date!A:A,Dim_Date!H:H)))</f>
        <v>Dec 2025</v>
      </c>
      <c r="U15">
        <f>IF(Pipeline_tbl[[#This Row],[Closed_Date]]=0,"",Pipeline_tbl[[#This Row],[Closed_Date]]-Pipeline_tbl[[#This Row],[Created_Date]])</f>
        <v>77</v>
      </c>
    </row>
    <row r="16" spans="1:21" ht="15" customHeight="1" x14ac:dyDescent="0.2">
      <c r="A16" t="s">
        <v>322</v>
      </c>
      <c r="B16" t="s">
        <v>284</v>
      </c>
      <c r="C16" t="s">
        <v>53</v>
      </c>
      <c r="D16" s="49">
        <v>45926</v>
      </c>
      <c r="E16" s="49">
        <v>45933</v>
      </c>
      <c r="F16" s="49">
        <v>45946</v>
      </c>
      <c r="G16" s="49">
        <v>45966</v>
      </c>
      <c r="H16" s="49">
        <v>45983</v>
      </c>
      <c r="I16" s="49">
        <v>45993</v>
      </c>
      <c r="J16" t="s">
        <v>47</v>
      </c>
      <c r="K16" s="33">
        <v>58900</v>
      </c>
      <c r="M16" t="str">
        <f>_xlfn.XLOOKUP(Pipeline_tbl[[#This Row],[Rep_ID]],Dim_Reps!A:A,Dim_Reps!K:K)</f>
        <v>USD</v>
      </c>
      <c r="N16" s="33">
        <f>(_xlfn.XLOOKUP(Pipeline_tbl[[#This Row],[Rate_Code_Generalized]],Lookups!A:A,Lookups!B:B))*Pipeline_tbl[[#This Row],[Pipeline_Amount_USD]]</f>
        <v>68577.26999999999</v>
      </c>
      <c r="O16" t="str">
        <f>_xlfn.XLOOKUP(Pipeline_tbl[[#This Row],[Rep_ID]],Dim_Reps!A:A,Dim_Reps!B:B)</f>
        <v>Taylor Adler</v>
      </c>
      <c r="P16" t="str">
        <f>_xlfn.XLOOKUP(Pipeline_tbl[[#This Row],[Rep_ID]],Dim_Reps!A:A,Dim_Reps!C:C)</f>
        <v>Senior Enterprise AE</v>
      </c>
      <c r="Q16" t="str">
        <f>_xlfn.XLOOKUP(Pipeline_tbl[[#This Row],[Rep_ID]],Dim_Reps!A:A,Dim_Reps!D:D)</f>
        <v>Strategic</v>
      </c>
      <c r="R16" t="str">
        <f>_xlfn.XLOOKUP(Pipeline_tbl[[#This Row],[Rep_ID]],Dim_Reps!A:A,Dim_Reps!E:E)</f>
        <v>NAMER</v>
      </c>
      <c r="S16" t="str">
        <f>_xlfn.XLOOKUP(Pipeline_tbl[[#This Row],[Created_Date]],Dim_Date!A:A,Dim_Date!H:H)</f>
        <v>Sep 2025</v>
      </c>
      <c r="T16" t="str">
        <f>IF(Pipeline_tbl[[#This Row],[Closed_Date]]=0,"",(_xlfn.XLOOKUP(Pipeline_tbl[[#This Row],[Closed_Date]],Dim_Date!A:A,Dim_Date!H:H)))</f>
        <v>Dec 2025</v>
      </c>
      <c r="U16">
        <f>IF(Pipeline_tbl[[#This Row],[Closed_Date]]=0,"",Pipeline_tbl[[#This Row],[Closed_Date]]-Pipeline_tbl[[#This Row],[Created_Date]])</f>
        <v>67</v>
      </c>
    </row>
    <row r="17" spans="1:21" ht="15" customHeight="1" x14ac:dyDescent="0.2">
      <c r="A17" t="s">
        <v>323</v>
      </c>
      <c r="B17" t="s">
        <v>284</v>
      </c>
      <c r="C17" t="s">
        <v>53</v>
      </c>
      <c r="D17" s="49">
        <v>45913</v>
      </c>
      <c r="E17" s="49">
        <v>45923</v>
      </c>
      <c r="F17" s="49">
        <v>45942</v>
      </c>
      <c r="G17" s="49">
        <v>45971</v>
      </c>
      <c r="H17" s="49">
        <v>45995</v>
      </c>
      <c r="I17" s="49">
        <v>46010</v>
      </c>
      <c r="J17" t="s">
        <v>49</v>
      </c>
      <c r="K17" s="33">
        <v>44900</v>
      </c>
      <c r="L17" t="s">
        <v>61</v>
      </c>
      <c r="M17" t="str">
        <f>_xlfn.XLOOKUP(Pipeline_tbl[[#This Row],[Rep_ID]],Dim_Reps!A:A,Dim_Reps!K:K)</f>
        <v>USD</v>
      </c>
      <c r="N17" s="33">
        <f>(_xlfn.XLOOKUP(Pipeline_tbl[[#This Row],[Rate_Code_Generalized]],Lookups!A:A,Lookups!B:B))*Pipeline_tbl[[#This Row],[Pipeline_Amount_USD]]</f>
        <v>52277.069999999992</v>
      </c>
      <c r="O17" t="str">
        <f>_xlfn.XLOOKUP(Pipeline_tbl[[#This Row],[Rep_ID]],Dim_Reps!A:A,Dim_Reps!B:B)</f>
        <v>Taylor Adler</v>
      </c>
      <c r="P17" t="str">
        <f>_xlfn.XLOOKUP(Pipeline_tbl[[#This Row],[Rep_ID]],Dim_Reps!A:A,Dim_Reps!C:C)</f>
        <v>Senior Enterprise AE</v>
      </c>
      <c r="Q17" t="str">
        <f>_xlfn.XLOOKUP(Pipeline_tbl[[#This Row],[Rep_ID]],Dim_Reps!A:A,Dim_Reps!D:D)</f>
        <v>Strategic</v>
      </c>
      <c r="R17" t="str">
        <f>_xlfn.XLOOKUP(Pipeline_tbl[[#This Row],[Rep_ID]],Dim_Reps!A:A,Dim_Reps!E:E)</f>
        <v>NAMER</v>
      </c>
      <c r="S17" t="str">
        <f>_xlfn.XLOOKUP(Pipeline_tbl[[#This Row],[Created_Date]],Dim_Date!A:A,Dim_Date!H:H)</f>
        <v>Sep 2025</v>
      </c>
      <c r="T17" t="str">
        <f>IF(Pipeline_tbl[[#This Row],[Closed_Date]]=0,"",(_xlfn.XLOOKUP(Pipeline_tbl[[#This Row],[Closed_Date]],Dim_Date!A:A,Dim_Date!H:H)))</f>
        <v>Dec 2025</v>
      </c>
      <c r="U17">
        <f>IF(Pipeline_tbl[[#This Row],[Closed_Date]]=0,"",Pipeline_tbl[[#This Row],[Closed_Date]]-Pipeline_tbl[[#This Row],[Created_Date]])</f>
        <v>97</v>
      </c>
    </row>
    <row r="18" spans="1:21" ht="15" customHeight="1" x14ac:dyDescent="0.2">
      <c r="A18" t="s">
        <v>324</v>
      </c>
      <c r="B18" t="s">
        <v>177</v>
      </c>
      <c r="C18" t="s">
        <v>53</v>
      </c>
      <c r="D18" s="49">
        <v>45913</v>
      </c>
      <c r="E18" s="49">
        <v>45918</v>
      </c>
      <c r="F18" s="49">
        <v>45929</v>
      </c>
      <c r="I18" s="49">
        <v>45965</v>
      </c>
      <c r="J18" t="s">
        <v>49</v>
      </c>
      <c r="K18" s="33">
        <v>31700</v>
      </c>
      <c r="L18" t="s">
        <v>60</v>
      </c>
      <c r="M18" t="str">
        <f>_xlfn.XLOOKUP(Pipeline_tbl[[#This Row],[Rep_ID]],Dim_Reps!A:A,Dim_Reps!K:K)</f>
        <v>USD</v>
      </c>
      <c r="N18" s="33">
        <f>(_xlfn.XLOOKUP(Pipeline_tbl[[#This Row],[Rate_Code_Generalized]],Lookups!A:A,Lookups!B:B))*Pipeline_tbl[[#This Row],[Pipeline_Amount_USD]]</f>
        <v>36908.31</v>
      </c>
      <c r="O18" t="str">
        <f>_xlfn.XLOOKUP(Pipeline_tbl[[#This Row],[Rep_ID]],Dim_Reps!A:A,Dim_Reps!B:B)</f>
        <v>Lucas Cohen</v>
      </c>
      <c r="P18" t="str">
        <f>_xlfn.XLOOKUP(Pipeline_tbl[[#This Row],[Rep_ID]],Dim_Reps!A:A,Dim_Reps!C:C)</f>
        <v>Enterprise AE</v>
      </c>
      <c r="Q18" t="str">
        <f>_xlfn.XLOOKUP(Pipeline_tbl[[#This Row],[Rep_ID]],Dim_Reps!A:A,Dim_Reps!D:D)</f>
        <v>Enterprise</v>
      </c>
      <c r="R18" t="str">
        <f>_xlfn.XLOOKUP(Pipeline_tbl[[#This Row],[Rep_ID]],Dim_Reps!A:A,Dim_Reps!E:E)</f>
        <v>NAMER</v>
      </c>
      <c r="S18" t="str">
        <f>_xlfn.XLOOKUP(Pipeline_tbl[[#This Row],[Created_Date]],Dim_Date!A:A,Dim_Date!H:H)</f>
        <v>Sep 2025</v>
      </c>
      <c r="T18" t="str">
        <f>IF(Pipeline_tbl[[#This Row],[Closed_Date]]=0,"",(_xlfn.XLOOKUP(Pipeline_tbl[[#This Row],[Closed_Date]],Dim_Date!A:A,Dim_Date!H:H)))</f>
        <v>Nov 2025</v>
      </c>
      <c r="U18">
        <f>IF(Pipeline_tbl[[#This Row],[Closed_Date]]=0,"",Pipeline_tbl[[#This Row],[Closed_Date]]-Pipeline_tbl[[#This Row],[Created_Date]])</f>
        <v>52</v>
      </c>
    </row>
    <row r="19" spans="1:21" ht="15" customHeight="1" x14ac:dyDescent="0.2">
      <c r="A19" t="s">
        <v>325</v>
      </c>
      <c r="B19" t="s">
        <v>177</v>
      </c>
      <c r="C19" t="s">
        <v>53</v>
      </c>
      <c r="D19" s="49">
        <v>45924</v>
      </c>
      <c r="E19" s="49">
        <v>45929</v>
      </c>
      <c r="F19" s="49">
        <v>45939</v>
      </c>
      <c r="I19" s="49">
        <v>45974</v>
      </c>
      <c r="J19" t="s">
        <v>49</v>
      </c>
      <c r="K19" s="33">
        <v>54700</v>
      </c>
      <c r="L19" t="s">
        <v>61</v>
      </c>
      <c r="M19" t="str">
        <f>_xlfn.XLOOKUP(Pipeline_tbl[[#This Row],[Rep_ID]],Dim_Reps!A:A,Dim_Reps!K:K)</f>
        <v>USD</v>
      </c>
      <c r="N19" s="33">
        <f>(_xlfn.XLOOKUP(Pipeline_tbl[[#This Row],[Rate_Code_Generalized]],Lookups!A:A,Lookups!B:B))*Pipeline_tbl[[#This Row],[Pipeline_Amount_USD]]</f>
        <v>63687.209999999992</v>
      </c>
      <c r="O19" t="str">
        <f>_xlfn.XLOOKUP(Pipeline_tbl[[#This Row],[Rep_ID]],Dim_Reps!A:A,Dim_Reps!B:B)</f>
        <v>Lucas Cohen</v>
      </c>
      <c r="P19" t="str">
        <f>_xlfn.XLOOKUP(Pipeline_tbl[[#This Row],[Rep_ID]],Dim_Reps!A:A,Dim_Reps!C:C)</f>
        <v>Enterprise AE</v>
      </c>
      <c r="Q19" t="str">
        <f>_xlfn.XLOOKUP(Pipeline_tbl[[#This Row],[Rep_ID]],Dim_Reps!A:A,Dim_Reps!D:D)</f>
        <v>Enterprise</v>
      </c>
      <c r="R19" t="str">
        <f>_xlfn.XLOOKUP(Pipeline_tbl[[#This Row],[Rep_ID]],Dim_Reps!A:A,Dim_Reps!E:E)</f>
        <v>NAMER</v>
      </c>
      <c r="S19" t="str">
        <f>_xlfn.XLOOKUP(Pipeline_tbl[[#This Row],[Created_Date]],Dim_Date!A:A,Dim_Date!H:H)</f>
        <v>Sep 2025</v>
      </c>
      <c r="T19" t="str">
        <f>IF(Pipeline_tbl[[#This Row],[Closed_Date]]=0,"",(_xlfn.XLOOKUP(Pipeline_tbl[[#This Row],[Closed_Date]],Dim_Date!A:A,Dim_Date!H:H)))</f>
        <v>Nov 2025</v>
      </c>
      <c r="U19">
        <f>IF(Pipeline_tbl[[#This Row],[Closed_Date]]=0,"",Pipeline_tbl[[#This Row],[Closed_Date]]-Pipeline_tbl[[#This Row],[Created_Date]])</f>
        <v>50</v>
      </c>
    </row>
    <row r="20" spans="1:21" ht="15" customHeight="1" x14ac:dyDescent="0.2">
      <c r="A20" t="s">
        <v>326</v>
      </c>
      <c r="B20" t="s">
        <v>243</v>
      </c>
      <c r="C20" t="s">
        <v>54</v>
      </c>
      <c r="D20" s="49">
        <v>45927</v>
      </c>
      <c r="E20" s="49">
        <v>45931</v>
      </c>
      <c r="I20" s="49">
        <v>45963</v>
      </c>
      <c r="J20" t="s">
        <v>49</v>
      </c>
      <c r="K20" s="33">
        <v>16800</v>
      </c>
      <c r="L20" t="s">
        <v>60</v>
      </c>
      <c r="M20" t="str">
        <f>_xlfn.XLOOKUP(Pipeline_tbl[[#This Row],[Rep_ID]],Dim_Reps!A:A,Dim_Reps!K:K)</f>
        <v>MXN</v>
      </c>
      <c r="N20" s="33">
        <f>(_xlfn.XLOOKUP(Pipeline_tbl[[#This Row],[Rate_Code_Generalized]],Lookups!A:A,Lookups!B:B))*Pipeline_tbl[[#This Row],[Pipeline_Amount_USD]]</f>
        <v>331509.36000000004</v>
      </c>
      <c r="O20" t="str">
        <f>_xlfn.XLOOKUP(Pipeline_tbl[[#This Row],[Rep_ID]],Dim_Reps!A:A,Dim_Reps!B:B)</f>
        <v>Jonas Sato</v>
      </c>
      <c r="P20" t="str">
        <f>_xlfn.XLOOKUP(Pipeline_tbl[[#This Row],[Rep_ID]],Dim_Reps!A:A,Dim_Reps!C:C)</f>
        <v>Mid-Market AE</v>
      </c>
      <c r="Q20" t="str">
        <f>_xlfn.XLOOKUP(Pipeline_tbl[[#This Row],[Rep_ID]],Dim_Reps!A:A,Dim_Reps!D:D)</f>
        <v>Mid-Market</v>
      </c>
      <c r="R20" t="str">
        <f>_xlfn.XLOOKUP(Pipeline_tbl[[#This Row],[Rep_ID]],Dim_Reps!A:A,Dim_Reps!E:E)</f>
        <v>LATAM</v>
      </c>
      <c r="S20" t="str">
        <f>_xlfn.XLOOKUP(Pipeline_tbl[[#This Row],[Created_Date]],Dim_Date!A:A,Dim_Date!H:H)</f>
        <v>Sep 2025</v>
      </c>
      <c r="T20" t="str">
        <f>IF(Pipeline_tbl[[#This Row],[Closed_Date]]=0,"",(_xlfn.XLOOKUP(Pipeline_tbl[[#This Row],[Closed_Date]],Dim_Date!A:A,Dim_Date!H:H)))</f>
        <v>Nov 2025</v>
      </c>
      <c r="U20">
        <f>IF(Pipeline_tbl[[#This Row],[Closed_Date]]=0,"",Pipeline_tbl[[#This Row],[Closed_Date]]-Pipeline_tbl[[#This Row],[Created_Date]])</f>
        <v>36</v>
      </c>
    </row>
    <row r="21" spans="1:21" ht="15" customHeight="1" x14ac:dyDescent="0.2">
      <c r="A21" t="s">
        <v>327</v>
      </c>
      <c r="B21" t="s">
        <v>243</v>
      </c>
      <c r="C21" t="s">
        <v>53</v>
      </c>
      <c r="D21" s="49">
        <v>45925</v>
      </c>
      <c r="E21" s="49">
        <v>45930</v>
      </c>
      <c r="F21" s="49">
        <v>45939</v>
      </c>
      <c r="G21" s="49">
        <v>45953</v>
      </c>
      <c r="H21" s="49">
        <v>45965</v>
      </c>
      <c r="I21" s="49">
        <v>45972</v>
      </c>
      <c r="J21" t="s">
        <v>49</v>
      </c>
      <c r="K21" s="33">
        <v>7100</v>
      </c>
      <c r="L21" t="s">
        <v>64</v>
      </c>
      <c r="M21" t="str">
        <f>_xlfn.XLOOKUP(Pipeline_tbl[[#This Row],[Rep_ID]],Dim_Reps!A:A,Dim_Reps!K:K)</f>
        <v>MXN</v>
      </c>
      <c r="N21" s="33">
        <f>(_xlfn.XLOOKUP(Pipeline_tbl[[#This Row],[Rate_Code_Generalized]],Lookups!A:A,Lookups!B:B))*Pipeline_tbl[[#This Row],[Pipeline_Amount_USD]]</f>
        <v>140102.17000000001</v>
      </c>
      <c r="O21" t="str">
        <f>_xlfn.XLOOKUP(Pipeline_tbl[[#This Row],[Rep_ID]],Dim_Reps!A:A,Dim_Reps!B:B)</f>
        <v>Jonas Sato</v>
      </c>
      <c r="P21" t="str">
        <f>_xlfn.XLOOKUP(Pipeline_tbl[[#This Row],[Rep_ID]],Dim_Reps!A:A,Dim_Reps!C:C)</f>
        <v>Mid-Market AE</v>
      </c>
      <c r="Q21" t="str">
        <f>_xlfn.XLOOKUP(Pipeline_tbl[[#This Row],[Rep_ID]],Dim_Reps!A:A,Dim_Reps!D:D)</f>
        <v>Mid-Market</v>
      </c>
      <c r="R21" t="str">
        <f>_xlfn.XLOOKUP(Pipeline_tbl[[#This Row],[Rep_ID]],Dim_Reps!A:A,Dim_Reps!E:E)</f>
        <v>LATAM</v>
      </c>
      <c r="S21" t="str">
        <f>_xlfn.XLOOKUP(Pipeline_tbl[[#This Row],[Created_Date]],Dim_Date!A:A,Dim_Date!H:H)</f>
        <v>Sep 2025</v>
      </c>
      <c r="T21" t="str">
        <f>IF(Pipeline_tbl[[#This Row],[Closed_Date]]=0,"",(_xlfn.XLOOKUP(Pipeline_tbl[[#This Row],[Closed_Date]],Dim_Date!A:A,Dim_Date!H:H)))</f>
        <v>Nov 2025</v>
      </c>
      <c r="U21">
        <f>IF(Pipeline_tbl[[#This Row],[Closed_Date]]=0,"",Pipeline_tbl[[#This Row],[Closed_Date]]-Pipeline_tbl[[#This Row],[Created_Date]])</f>
        <v>47</v>
      </c>
    </row>
    <row r="22" spans="1:21" ht="15" customHeight="1" x14ac:dyDescent="0.2">
      <c r="A22" t="s">
        <v>328</v>
      </c>
      <c r="B22" t="s">
        <v>181</v>
      </c>
      <c r="C22" t="s">
        <v>53</v>
      </c>
      <c r="D22" s="49">
        <v>45907</v>
      </c>
      <c r="E22" s="49">
        <v>45913</v>
      </c>
      <c r="I22" s="49">
        <v>45964</v>
      </c>
      <c r="J22" t="s">
        <v>49</v>
      </c>
      <c r="K22" s="33">
        <v>73600</v>
      </c>
      <c r="L22" t="s">
        <v>61</v>
      </c>
      <c r="M22" t="str">
        <f>_xlfn.XLOOKUP(Pipeline_tbl[[#This Row],[Rep_ID]],Dim_Reps!A:A,Dim_Reps!K:K)</f>
        <v>USD</v>
      </c>
      <c r="N22" s="33">
        <f>(_xlfn.XLOOKUP(Pipeline_tbl[[#This Row],[Rate_Code_Generalized]],Lookups!A:A,Lookups!B:B))*Pipeline_tbl[[#This Row],[Pipeline_Amount_USD]]</f>
        <v>85692.479999999996</v>
      </c>
      <c r="O22" t="str">
        <f>_xlfn.XLOOKUP(Pipeline_tbl[[#This Row],[Rep_ID]],Dim_Reps!A:A,Dim_Reps!B:B)</f>
        <v>Milo Weber</v>
      </c>
      <c r="P22" t="str">
        <f>_xlfn.XLOOKUP(Pipeline_tbl[[#This Row],[Rep_ID]],Dim_Reps!A:A,Dim_Reps!C:C)</f>
        <v>Enterprise AE</v>
      </c>
      <c r="Q22" t="str">
        <f>_xlfn.XLOOKUP(Pipeline_tbl[[#This Row],[Rep_ID]],Dim_Reps!A:A,Dim_Reps!D:D)</f>
        <v>Enterprise</v>
      </c>
      <c r="R22" t="str">
        <f>_xlfn.XLOOKUP(Pipeline_tbl[[#This Row],[Rep_ID]],Dim_Reps!A:A,Dim_Reps!E:E)</f>
        <v>NAMER</v>
      </c>
      <c r="S22" t="str">
        <f>_xlfn.XLOOKUP(Pipeline_tbl[[#This Row],[Created_Date]],Dim_Date!A:A,Dim_Date!H:H)</f>
        <v>Sep 2025</v>
      </c>
      <c r="T22" t="str">
        <f>IF(Pipeline_tbl[[#This Row],[Closed_Date]]=0,"",(_xlfn.XLOOKUP(Pipeline_tbl[[#This Row],[Closed_Date]],Dim_Date!A:A,Dim_Date!H:H)))</f>
        <v>Nov 2025</v>
      </c>
      <c r="U22">
        <f>IF(Pipeline_tbl[[#This Row],[Closed_Date]]=0,"",Pipeline_tbl[[#This Row],[Closed_Date]]-Pipeline_tbl[[#This Row],[Created_Date]])</f>
        <v>57</v>
      </c>
    </row>
    <row r="23" spans="1:21" ht="15" customHeight="1" x14ac:dyDescent="0.2">
      <c r="A23" t="s">
        <v>329</v>
      </c>
      <c r="B23" t="s">
        <v>181</v>
      </c>
      <c r="C23" t="s">
        <v>53</v>
      </c>
      <c r="D23" s="49">
        <v>45909</v>
      </c>
      <c r="E23" s="49">
        <v>45915</v>
      </c>
      <c r="F23" s="49">
        <v>45929</v>
      </c>
      <c r="G23" s="49">
        <v>45948</v>
      </c>
      <c r="H23" s="49">
        <v>45964</v>
      </c>
      <c r="I23" s="49">
        <v>45974</v>
      </c>
      <c r="J23" t="s">
        <v>49</v>
      </c>
      <c r="K23" s="33">
        <v>18200</v>
      </c>
      <c r="L23" t="s">
        <v>64</v>
      </c>
      <c r="M23" t="str">
        <f>_xlfn.XLOOKUP(Pipeline_tbl[[#This Row],[Rep_ID]],Dim_Reps!A:A,Dim_Reps!K:K)</f>
        <v>USD</v>
      </c>
      <c r="N23" s="33">
        <f>(_xlfn.XLOOKUP(Pipeline_tbl[[#This Row],[Rate_Code_Generalized]],Lookups!A:A,Lookups!B:B))*Pipeline_tbl[[#This Row],[Pipeline_Amount_USD]]</f>
        <v>21190.26</v>
      </c>
      <c r="O23" t="str">
        <f>_xlfn.XLOOKUP(Pipeline_tbl[[#This Row],[Rep_ID]],Dim_Reps!A:A,Dim_Reps!B:B)</f>
        <v>Milo Weber</v>
      </c>
      <c r="P23" t="str">
        <f>_xlfn.XLOOKUP(Pipeline_tbl[[#This Row],[Rep_ID]],Dim_Reps!A:A,Dim_Reps!C:C)</f>
        <v>Enterprise AE</v>
      </c>
      <c r="Q23" t="str">
        <f>_xlfn.XLOOKUP(Pipeline_tbl[[#This Row],[Rep_ID]],Dim_Reps!A:A,Dim_Reps!D:D)</f>
        <v>Enterprise</v>
      </c>
      <c r="R23" t="str">
        <f>_xlfn.XLOOKUP(Pipeline_tbl[[#This Row],[Rep_ID]],Dim_Reps!A:A,Dim_Reps!E:E)</f>
        <v>NAMER</v>
      </c>
      <c r="S23" t="str">
        <f>_xlfn.XLOOKUP(Pipeline_tbl[[#This Row],[Created_Date]],Dim_Date!A:A,Dim_Date!H:H)</f>
        <v>Sep 2025</v>
      </c>
      <c r="T23" t="str">
        <f>IF(Pipeline_tbl[[#This Row],[Closed_Date]]=0,"",(_xlfn.XLOOKUP(Pipeline_tbl[[#This Row],[Closed_Date]],Dim_Date!A:A,Dim_Date!H:H)))</f>
        <v>Nov 2025</v>
      </c>
      <c r="U23">
        <f>IF(Pipeline_tbl[[#This Row],[Closed_Date]]=0,"",Pipeline_tbl[[#This Row],[Closed_Date]]-Pipeline_tbl[[#This Row],[Created_Date]])</f>
        <v>65</v>
      </c>
    </row>
    <row r="24" spans="1:21" ht="15" customHeight="1" x14ac:dyDescent="0.2">
      <c r="A24" t="s">
        <v>330</v>
      </c>
      <c r="B24" t="s">
        <v>246</v>
      </c>
      <c r="C24" t="s">
        <v>52</v>
      </c>
      <c r="D24" s="49">
        <v>45927</v>
      </c>
      <c r="E24" s="49">
        <v>45931</v>
      </c>
      <c r="F24" s="49">
        <v>45938</v>
      </c>
      <c r="G24" s="49">
        <v>45948</v>
      </c>
      <c r="H24" s="49">
        <v>45957</v>
      </c>
      <c r="I24" s="49">
        <v>45962</v>
      </c>
      <c r="J24" t="s">
        <v>47</v>
      </c>
      <c r="K24" s="33">
        <v>12800</v>
      </c>
      <c r="M24" t="str">
        <f>_xlfn.XLOOKUP(Pipeline_tbl[[#This Row],[Rep_ID]],Dim_Reps!A:A,Dim_Reps!K:K)</f>
        <v>EUR</v>
      </c>
      <c r="N24" s="33">
        <f>(_xlfn.XLOOKUP(Pipeline_tbl[[#This Row],[Rate_Code_Generalized]],Lookups!A:A,Lookups!B:B))*Pipeline_tbl[[#This Row],[Pipeline_Amount_USD]]</f>
        <v>12800</v>
      </c>
      <c r="O24" t="str">
        <f>_xlfn.XLOOKUP(Pipeline_tbl[[#This Row],[Rep_ID]],Dim_Reps!A:A,Dim_Reps!B:B)</f>
        <v>Karim Rivera</v>
      </c>
      <c r="P24" t="str">
        <f>_xlfn.XLOOKUP(Pipeline_tbl[[#This Row],[Rep_ID]],Dim_Reps!A:A,Dim_Reps!C:C)</f>
        <v>Mid-Market AE</v>
      </c>
      <c r="Q24" t="str">
        <f>_xlfn.XLOOKUP(Pipeline_tbl[[#This Row],[Rep_ID]],Dim_Reps!A:A,Dim_Reps!D:D)</f>
        <v>Mid-Market</v>
      </c>
      <c r="R24" t="str">
        <f>_xlfn.XLOOKUP(Pipeline_tbl[[#This Row],[Rep_ID]],Dim_Reps!A:A,Dim_Reps!E:E)</f>
        <v>APAC</v>
      </c>
      <c r="S24" t="str">
        <f>_xlfn.XLOOKUP(Pipeline_tbl[[#This Row],[Created_Date]],Dim_Date!A:A,Dim_Date!H:H)</f>
        <v>Sep 2025</v>
      </c>
      <c r="T24" t="str">
        <f>IF(Pipeline_tbl[[#This Row],[Closed_Date]]=0,"",(_xlfn.XLOOKUP(Pipeline_tbl[[#This Row],[Closed_Date]],Dim_Date!A:A,Dim_Date!H:H)))</f>
        <v>Nov 2025</v>
      </c>
      <c r="U24">
        <f>IF(Pipeline_tbl[[#This Row],[Closed_Date]]=0,"",Pipeline_tbl[[#This Row],[Closed_Date]]-Pipeline_tbl[[#This Row],[Created_Date]])</f>
        <v>35</v>
      </c>
    </row>
    <row r="25" spans="1:21" ht="15" customHeight="1" x14ac:dyDescent="0.2">
      <c r="A25" t="s">
        <v>331</v>
      </c>
      <c r="B25" t="s">
        <v>246</v>
      </c>
      <c r="C25" t="s">
        <v>53</v>
      </c>
      <c r="D25" s="49">
        <v>45916</v>
      </c>
      <c r="E25" s="49">
        <v>45922</v>
      </c>
      <c r="F25" s="49">
        <v>45933</v>
      </c>
      <c r="I25" s="49">
        <v>45972</v>
      </c>
      <c r="J25" t="s">
        <v>49</v>
      </c>
      <c r="K25" s="33">
        <v>9800</v>
      </c>
      <c r="L25" t="s">
        <v>61</v>
      </c>
      <c r="M25" t="str">
        <f>_xlfn.XLOOKUP(Pipeline_tbl[[#This Row],[Rep_ID]],Dim_Reps!A:A,Dim_Reps!K:K)</f>
        <v>EUR</v>
      </c>
      <c r="N25" s="33">
        <f>(_xlfn.XLOOKUP(Pipeline_tbl[[#This Row],[Rate_Code_Generalized]],Lookups!A:A,Lookups!B:B))*Pipeline_tbl[[#This Row],[Pipeline_Amount_USD]]</f>
        <v>9800</v>
      </c>
      <c r="O25" t="str">
        <f>_xlfn.XLOOKUP(Pipeline_tbl[[#This Row],[Rep_ID]],Dim_Reps!A:A,Dim_Reps!B:B)</f>
        <v>Karim Rivera</v>
      </c>
      <c r="P25" t="str">
        <f>_xlfn.XLOOKUP(Pipeline_tbl[[#This Row],[Rep_ID]],Dim_Reps!A:A,Dim_Reps!C:C)</f>
        <v>Mid-Market AE</v>
      </c>
      <c r="Q25" t="str">
        <f>_xlfn.XLOOKUP(Pipeline_tbl[[#This Row],[Rep_ID]],Dim_Reps!A:A,Dim_Reps!D:D)</f>
        <v>Mid-Market</v>
      </c>
      <c r="R25" t="str">
        <f>_xlfn.XLOOKUP(Pipeline_tbl[[#This Row],[Rep_ID]],Dim_Reps!A:A,Dim_Reps!E:E)</f>
        <v>APAC</v>
      </c>
      <c r="S25" t="str">
        <f>_xlfn.XLOOKUP(Pipeline_tbl[[#This Row],[Created_Date]],Dim_Date!A:A,Dim_Date!H:H)</f>
        <v>Sep 2025</v>
      </c>
      <c r="T25" t="str">
        <f>IF(Pipeline_tbl[[#This Row],[Closed_Date]]=0,"",(_xlfn.XLOOKUP(Pipeline_tbl[[#This Row],[Closed_Date]],Dim_Date!A:A,Dim_Date!H:H)))</f>
        <v>Nov 2025</v>
      </c>
      <c r="U25">
        <f>IF(Pipeline_tbl[[#This Row],[Closed_Date]]=0,"",Pipeline_tbl[[#This Row],[Closed_Date]]-Pipeline_tbl[[#This Row],[Created_Date]])</f>
        <v>56</v>
      </c>
    </row>
    <row r="26" spans="1:21" ht="15" customHeight="1" x14ac:dyDescent="0.2">
      <c r="A26" t="s">
        <v>332</v>
      </c>
      <c r="B26" t="s">
        <v>183</v>
      </c>
      <c r="C26" t="s">
        <v>55</v>
      </c>
      <c r="D26" s="49">
        <v>45903</v>
      </c>
      <c r="E26" s="49">
        <v>45911</v>
      </c>
      <c r="F26" s="49">
        <v>45928</v>
      </c>
      <c r="G26" s="49">
        <v>45952</v>
      </c>
      <c r="H26" s="49">
        <v>45973</v>
      </c>
      <c r="I26" s="49">
        <v>45985</v>
      </c>
      <c r="J26" t="s">
        <v>49</v>
      </c>
      <c r="K26" s="33">
        <v>30500</v>
      </c>
      <c r="L26" t="s">
        <v>62</v>
      </c>
      <c r="M26" t="str">
        <f>_xlfn.XLOOKUP(Pipeline_tbl[[#This Row],[Rep_ID]],Dim_Reps!A:A,Dim_Reps!K:K)</f>
        <v>EUR</v>
      </c>
      <c r="N26" s="33">
        <f>(_xlfn.XLOOKUP(Pipeline_tbl[[#This Row],[Rate_Code_Generalized]],Lookups!A:A,Lookups!B:B))*Pipeline_tbl[[#This Row],[Pipeline_Amount_USD]]</f>
        <v>30500</v>
      </c>
      <c r="O26" t="str">
        <f>_xlfn.XLOOKUP(Pipeline_tbl[[#This Row],[Rep_ID]],Dim_Reps!A:A,Dim_Reps!B:B)</f>
        <v>Sam Schmidt</v>
      </c>
      <c r="P26" t="str">
        <f>_xlfn.XLOOKUP(Pipeline_tbl[[#This Row],[Rep_ID]],Dim_Reps!A:A,Dim_Reps!C:C)</f>
        <v>Enterprise AE</v>
      </c>
      <c r="Q26" t="str">
        <f>_xlfn.XLOOKUP(Pipeline_tbl[[#This Row],[Rep_ID]],Dim_Reps!A:A,Dim_Reps!D:D)</f>
        <v>Enterprise</v>
      </c>
      <c r="R26" t="str">
        <f>_xlfn.XLOOKUP(Pipeline_tbl[[#This Row],[Rep_ID]],Dim_Reps!A:A,Dim_Reps!E:E)</f>
        <v>EMEA</v>
      </c>
      <c r="S26" t="str">
        <f>_xlfn.XLOOKUP(Pipeline_tbl[[#This Row],[Created_Date]],Dim_Date!A:A,Dim_Date!H:H)</f>
        <v>Sep 2025</v>
      </c>
      <c r="T26" t="str">
        <f>IF(Pipeline_tbl[[#This Row],[Closed_Date]]=0,"",(_xlfn.XLOOKUP(Pipeline_tbl[[#This Row],[Closed_Date]],Dim_Date!A:A,Dim_Date!H:H)))</f>
        <v>Nov 2025</v>
      </c>
      <c r="U26">
        <f>IF(Pipeline_tbl[[#This Row],[Closed_Date]]=0,"",Pipeline_tbl[[#This Row],[Closed_Date]]-Pipeline_tbl[[#This Row],[Created_Date]])</f>
        <v>82</v>
      </c>
    </row>
    <row r="27" spans="1:21" ht="15" customHeight="1" x14ac:dyDescent="0.2">
      <c r="A27" t="s">
        <v>333</v>
      </c>
      <c r="B27" t="s">
        <v>278</v>
      </c>
      <c r="C27" t="s">
        <v>52</v>
      </c>
      <c r="D27" s="49">
        <v>45908</v>
      </c>
      <c r="E27" s="49">
        <v>45916</v>
      </c>
      <c r="F27" s="49">
        <v>45931</v>
      </c>
      <c r="I27" s="49">
        <v>45983</v>
      </c>
      <c r="J27" t="s">
        <v>49</v>
      </c>
      <c r="K27" s="33">
        <v>34800</v>
      </c>
      <c r="L27" t="s">
        <v>64</v>
      </c>
      <c r="M27" t="str">
        <f>_xlfn.XLOOKUP(Pipeline_tbl[[#This Row],[Rep_ID]],Dim_Reps!A:A,Dim_Reps!K:K)</f>
        <v>EUR</v>
      </c>
      <c r="N27" s="33">
        <f>(_xlfn.XLOOKUP(Pipeline_tbl[[#This Row],[Rate_Code_Generalized]],Lookups!A:A,Lookups!B:B))*Pipeline_tbl[[#This Row],[Pipeline_Amount_USD]]</f>
        <v>34800</v>
      </c>
      <c r="O27" t="str">
        <f>_xlfn.XLOOKUP(Pipeline_tbl[[#This Row],[Rep_ID]],Dim_Reps!A:A,Dim_Reps!B:B)</f>
        <v>Sara Andersson</v>
      </c>
      <c r="P27" t="str">
        <f>_xlfn.XLOOKUP(Pipeline_tbl[[#This Row],[Rep_ID]],Dim_Reps!A:A,Dim_Reps!C:C)</f>
        <v>Senior Enterprise AE</v>
      </c>
      <c r="Q27" t="str">
        <f>_xlfn.XLOOKUP(Pipeline_tbl[[#This Row],[Rep_ID]],Dim_Reps!A:A,Dim_Reps!D:D)</f>
        <v>Strategic</v>
      </c>
      <c r="R27" t="str">
        <f>_xlfn.XLOOKUP(Pipeline_tbl[[#This Row],[Rep_ID]],Dim_Reps!A:A,Dim_Reps!E:E)</f>
        <v>APAC</v>
      </c>
      <c r="S27" t="str">
        <f>_xlfn.XLOOKUP(Pipeline_tbl[[#This Row],[Created_Date]],Dim_Date!A:A,Dim_Date!H:H)</f>
        <v>Sep 2025</v>
      </c>
      <c r="T27" t="str">
        <f>IF(Pipeline_tbl[[#This Row],[Closed_Date]]=0,"",(_xlfn.XLOOKUP(Pipeline_tbl[[#This Row],[Closed_Date]],Dim_Date!A:A,Dim_Date!H:H)))</f>
        <v>Nov 2025</v>
      </c>
      <c r="U27">
        <f>IF(Pipeline_tbl[[#This Row],[Closed_Date]]=0,"",Pipeline_tbl[[#This Row],[Closed_Date]]-Pipeline_tbl[[#This Row],[Created_Date]])</f>
        <v>75</v>
      </c>
    </row>
    <row r="28" spans="1:21" ht="15" customHeight="1" x14ac:dyDescent="0.2">
      <c r="A28" t="s">
        <v>334</v>
      </c>
      <c r="B28" t="s">
        <v>278</v>
      </c>
      <c r="C28" t="s">
        <v>56</v>
      </c>
      <c r="D28" s="49">
        <v>45901</v>
      </c>
      <c r="E28" s="49">
        <v>45909</v>
      </c>
      <c r="F28" s="49">
        <v>45924</v>
      </c>
      <c r="G28" s="49">
        <v>45946</v>
      </c>
      <c r="H28" s="49">
        <v>45965</v>
      </c>
      <c r="I28" s="49">
        <v>45976</v>
      </c>
      <c r="J28" t="s">
        <v>47</v>
      </c>
      <c r="K28" s="33">
        <v>48600</v>
      </c>
      <c r="M28" t="str">
        <f>_xlfn.XLOOKUP(Pipeline_tbl[[#This Row],[Rep_ID]],Dim_Reps!A:A,Dim_Reps!K:K)</f>
        <v>EUR</v>
      </c>
      <c r="N28" s="33">
        <f>(_xlfn.XLOOKUP(Pipeline_tbl[[#This Row],[Rate_Code_Generalized]],Lookups!A:A,Lookups!B:B))*Pipeline_tbl[[#This Row],[Pipeline_Amount_USD]]</f>
        <v>48600</v>
      </c>
      <c r="O28" t="str">
        <f>_xlfn.XLOOKUP(Pipeline_tbl[[#This Row],[Rep_ID]],Dim_Reps!A:A,Dim_Reps!B:B)</f>
        <v>Sara Andersson</v>
      </c>
      <c r="P28" t="str">
        <f>_xlfn.XLOOKUP(Pipeline_tbl[[#This Row],[Rep_ID]],Dim_Reps!A:A,Dim_Reps!C:C)</f>
        <v>Senior Enterprise AE</v>
      </c>
      <c r="Q28" t="str">
        <f>_xlfn.XLOOKUP(Pipeline_tbl[[#This Row],[Rep_ID]],Dim_Reps!A:A,Dim_Reps!D:D)</f>
        <v>Strategic</v>
      </c>
      <c r="R28" t="str">
        <f>_xlfn.XLOOKUP(Pipeline_tbl[[#This Row],[Rep_ID]],Dim_Reps!A:A,Dim_Reps!E:E)</f>
        <v>APAC</v>
      </c>
      <c r="S28" t="str">
        <f>_xlfn.XLOOKUP(Pipeline_tbl[[#This Row],[Created_Date]],Dim_Date!A:A,Dim_Date!H:H)</f>
        <v>Sep 2025</v>
      </c>
      <c r="T28" t="str">
        <f>IF(Pipeline_tbl[[#This Row],[Closed_Date]]=0,"",(_xlfn.XLOOKUP(Pipeline_tbl[[#This Row],[Closed_Date]],Dim_Date!A:A,Dim_Date!H:H)))</f>
        <v>Nov 2025</v>
      </c>
      <c r="U28">
        <f>IF(Pipeline_tbl[[#This Row],[Closed_Date]]=0,"",Pipeline_tbl[[#This Row],[Closed_Date]]-Pipeline_tbl[[#This Row],[Created_Date]])</f>
        <v>75</v>
      </c>
    </row>
    <row r="29" spans="1:21" ht="15" customHeight="1" x14ac:dyDescent="0.2">
      <c r="A29" t="s">
        <v>335</v>
      </c>
      <c r="B29" t="s">
        <v>185</v>
      </c>
      <c r="C29" t="s">
        <v>56</v>
      </c>
      <c r="D29" s="49">
        <v>45919</v>
      </c>
      <c r="E29" s="49">
        <v>45925</v>
      </c>
      <c r="F29" s="49">
        <v>45936</v>
      </c>
      <c r="G29" s="49">
        <v>45952</v>
      </c>
      <c r="I29" s="49">
        <v>45974</v>
      </c>
      <c r="J29" t="s">
        <v>49</v>
      </c>
      <c r="K29" s="33">
        <v>65000</v>
      </c>
      <c r="L29" t="s">
        <v>60</v>
      </c>
      <c r="M29" t="str">
        <f>_xlfn.XLOOKUP(Pipeline_tbl[[#This Row],[Rep_ID]],Dim_Reps!A:A,Dim_Reps!K:K)</f>
        <v>MXN</v>
      </c>
      <c r="N29" s="33">
        <f>(_xlfn.XLOOKUP(Pipeline_tbl[[#This Row],[Rate_Code_Generalized]],Lookups!A:A,Lookups!B:B))*Pipeline_tbl[[#This Row],[Pipeline_Amount_USD]]</f>
        <v>1282625.5</v>
      </c>
      <c r="O29" t="str">
        <f>_xlfn.XLOOKUP(Pipeline_tbl[[#This Row],[Rep_ID]],Dim_Reps!A:A,Dim_Reps!B:B)</f>
        <v>Noah Kim</v>
      </c>
      <c r="P29" t="str">
        <f>_xlfn.XLOOKUP(Pipeline_tbl[[#This Row],[Rep_ID]],Dim_Reps!A:A,Dim_Reps!C:C)</f>
        <v>Enterprise AE</v>
      </c>
      <c r="Q29" t="str">
        <f>_xlfn.XLOOKUP(Pipeline_tbl[[#This Row],[Rep_ID]],Dim_Reps!A:A,Dim_Reps!D:D)</f>
        <v>Enterprise</v>
      </c>
      <c r="R29" t="str">
        <f>_xlfn.XLOOKUP(Pipeline_tbl[[#This Row],[Rep_ID]],Dim_Reps!A:A,Dim_Reps!E:E)</f>
        <v>LATAM</v>
      </c>
      <c r="S29" t="str">
        <f>_xlfn.XLOOKUP(Pipeline_tbl[[#This Row],[Created_Date]],Dim_Date!A:A,Dim_Date!H:H)</f>
        <v>Sep 2025</v>
      </c>
      <c r="T29" t="str">
        <f>IF(Pipeline_tbl[[#This Row],[Closed_Date]]=0,"",(_xlfn.XLOOKUP(Pipeline_tbl[[#This Row],[Closed_Date]],Dim_Date!A:A,Dim_Date!H:H)))</f>
        <v>Nov 2025</v>
      </c>
      <c r="U29">
        <f>IF(Pipeline_tbl[[#This Row],[Closed_Date]]=0,"",Pipeline_tbl[[#This Row],[Closed_Date]]-Pipeline_tbl[[#This Row],[Created_Date]])</f>
        <v>55</v>
      </c>
    </row>
    <row r="30" spans="1:21" ht="15" customHeight="1" x14ac:dyDescent="0.2">
      <c r="A30" t="s">
        <v>336</v>
      </c>
      <c r="B30" t="s">
        <v>185</v>
      </c>
      <c r="C30" t="s">
        <v>55</v>
      </c>
      <c r="D30" s="49">
        <v>45907</v>
      </c>
      <c r="E30" s="49">
        <v>45913</v>
      </c>
      <c r="F30" s="49">
        <v>45925</v>
      </c>
      <c r="G30" s="49">
        <v>45944</v>
      </c>
      <c r="H30" s="49">
        <v>45959</v>
      </c>
      <c r="I30" s="49">
        <v>45968</v>
      </c>
      <c r="J30" t="s">
        <v>47</v>
      </c>
      <c r="K30" s="33">
        <v>43400</v>
      </c>
      <c r="M30" t="str">
        <f>_xlfn.XLOOKUP(Pipeline_tbl[[#This Row],[Rep_ID]],Dim_Reps!A:A,Dim_Reps!K:K)</f>
        <v>MXN</v>
      </c>
      <c r="N30" s="33">
        <f>(_xlfn.XLOOKUP(Pipeline_tbl[[#This Row],[Rate_Code_Generalized]],Lookups!A:A,Lookups!B:B))*Pipeline_tbl[[#This Row],[Pipeline_Amount_USD]]</f>
        <v>856399.18</v>
      </c>
      <c r="O30" t="str">
        <f>_xlfn.XLOOKUP(Pipeline_tbl[[#This Row],[Rep_ID]],Dim_Reps!A:A,Dim_Reps!B:B)</f>
        <v>Noah Kim</v>
      </c>
      <c r="P30" t="str">
        <f>_xlfn.XLOOKUP(Pipeline_tbl[[#This Row],[Rep_ID]],Dim_Reps!A:A,Dim_Reps!C:C)</f>
        <v>Enterprise AE</v>
      </c>
      <c r="Q30" t="str">
        <f>_xlfn.XLOOKUP(Pipeline_tbl[[#This Row],[Rep_ID]],Dim_Reps!A:A,Dim_Reps!D:D)</f>
        <v>Enterprise</v>
      </c>
      <c r="R30" t="str">
        <f>_xlfn.XLOOKUP(Pipeline_tbl[[#This Row],[Rep_ID]],Dim_Reps!A:A,Dim_Reps!E:E)</f>
        <v>LATAM</v>
      </c>
      <c r="S30" t="str">
        <f>_xlfn.XLOOKUP(Pipeline_tbl[[#This Row],[Created_Date]],Dim_Date!A:A,Dim_Date!H:H)</f>
        <v>Sep 2025</v>
      </c>
      <c r="T30" t="str">
        <f>IF(Pipeline_tbl[[#This Row],[Closed_Date]]=0,"",(_xlfn.XLOOKUP(Pipeline_tbl[[#This Row],[Closed_Date]],Dim_Date!A:A,Dim_Date!H:H)))</f>
        <v>Nov 2025</v>
      </c>
      <c r="U30">
        <f>IF(Pipeline_tbl[[#This Row],[Closed_Date]]=0,"",Pipeline_tbl[[#This Row],[Closed_Date]]-Pipeline_tbl[[#This Row],[Created_Date]])</f>
        <v>61</v>
      </c>
    </row>
    <row r="31" spans="1:21" ht="15" customHeight="1" x14ac:dyDescent="0.2">
      <c r="A31" t="s">
        <v>337</v>
      </c>
      <c r="B31" t="s">
        <v>185</v>
      </c>
      <c r="C31" t="s">
        <v>53</v>
      </c>
      <c r="D31" s="49">
        <v>45908</v>
      </c>
      <c r="E31" s="49">
        <v>45915</v>
      </c>
      <c r="F31" s="49">
        <v>45928</v>
      </c>
      <c r="G31" s="49">
        <v>45948</v>
      </c>
      <c r="H31" s="49">
        <v>45964</v>
      </c>
      <c r="I31" s="49">
        <v>45974</v>
      </c>
      <c r="J31" t="s">
        <v>47</v>
      </c>
      <c r="K31" s="33">
        <v>19900</v>
      </c>
      <c r="M31" t="str">
        <f>_xlfn.XLOOKUP(Pipeline_tbl[[#This Row],[Rep_ID]],Dim_Reps!A:A,Dim_Reps!K:K)</f>
        <v>MXN</v>
      </c>
      <c r="N31" s="33">
        <f>(_xlfn.XLOOKUP(Pipeline_tbl[[#This Row],[Rate_Code_Generalized]],Lookups!A:A,Lookups!B:B))*Pipeline_tbl[[#This Row],[Pipeline_Amount_USD]]</f>
        <v>392680.73000000004</v>
      </c>
      <c r="O31" t="str">
        <f>_xlfn.XLOOKUP(Pipeline_tbl[[#This Row],[Rep_ID]],Dim_Reps!A:A,Dim_Reps!B:B)</f>
        <v>Noah Kim</v>
      </c>
      <c r="P31" t="str">
        <f>_xlfn.XLOOKUP(Pipeline_tbl[[#This Row],[Rep_ID]],Dim_Reps!A:A,Dim_Reps!C:C)</f>
        <v>Enterprise AE</v>
      </c>
      <c r="Q31" t="str">
        <f>_xlfn.XLOOKUP(Pipeline_tbl[[#This Row],[Rep_ID]],Dim_Reps!A:A,Dim_Reps!D:D)</f>
        <v>Enterprise</v>
      </c>
      <c r="R31" t="str">
        <f>_xlfn.XLOOKUP(Pipeline_tbl[[#This Row],[Rep_ID]],Dim_Reps!A:A,Dim_Reps!E:E)</f>
        <v>LATAM</v>
      </c>
      <c r="S31" t="str">
        <f>_xlfn.XLOOKUP(Pipeline_tbl[[#This Row],[Created_Date]],Dim_Date!A:A,Dim_Date!H:H)</f>
        <v>Sep 2025</v>
      </c>
      <c r="T31" t="str">
        <f>IF(Pipeline_tbl[[#This Row],[Closed_Date]]=0,"",(_xlfn.XLOOKUP(Pipeline_tbl[[#This Row],[Closed_Date]],Dim_Date!A:A,Dim_Date!H:H)))</f>
        <v>Nov 2025</v>
      </c>
      <c r="U31">
        <f>IF(Pipeline_tbl[[#This Row],[Closed_Date]]=0,"",Pipeline_tbl[[#This Row],[Closed_Date]]-Pipeline_tbl[[#This Row],[Created_Date]])</f>
        <v>66</v>
      </c>
    </row>
    <row r="32" spans="1:21" ht="15" customHeight="1" x14ac:dyDescent="0.2">
      <c r="A32" t="s">
        <v>338</v>
      </c>
      <c r="B32" t="s">
        <v>249</v>
      </c>
      <c r="C32" t="s">
        <v>54</v>
      </c>
      <c r="D32" s="49">
        <v>45918</v>
      </c>
      <c r="E32" s="49">
        <v>45923</v>
      </c>
      <c r="F32" s="49">
        <v>45932</v>
      </c>
      <c r="G32" s="49">
        <v>45946</v>
      </c>
      <c r="H32" s="49">
        <v>45958</v>
      </c>
      <c r="I32" s="49">
        <v>45965</v>
      </c>
      <c r="J32" t="s">
        <v>49</v>
      </c>
      <c r="K32" s="33">
        <v>20000</v>
      </c>
      <c r="L32" t="s">
        <v>61</v>
      </c>
      <c r="M32" t="str">
        <f>_xlfn.XLOOKUP(Pipeline_tbl[[#This Row],[Rep_ID]],Dim_Reps!A:A,Dim_Reps!K:K)</f>
        <v>EUR</v>
      </c>
      <c r="N32" s="33">
        <f>(_xlfn.XLOOKUP(Pipeline_tbl[[#This Row],[Rate_Code_Generalized]],Lookups!A:A,Lookups!B:B))*Pipeline_tbl[[#This Row],[Pipeline_Amount_USD]]</f>
        <v>20000</v>
      </c>
      <c r="O32" t="str">
        <f>_xlfn.XLOOKUP(Pipeline_tbl[[#This Row],[Rep_ID]],Dim_Reps!A:A,Dim_Reps!B:B)</f>
        <v>Ana Sato</v>
      </c>
      <c r="P32" t="str">
        <f>_xlfn.XLOOKUP(Pipeline_tbl[[#This Row],[Rep_ID]],Dim_Reps!A:A,Dim_Reps!C:C)</f>
        <v>Mid-Market AE</v>
      </c>
      <c r="Q32" t="str">
        <f>_xlfn.XLOOKUP(Pipeline_tbl[[#This Row],[Rep_ID]],Dim_Reps!A:A,Dim_Reps!D:D)</f>
        <v>Mid-Market</v>
      </c>
      <c r="R32" t="str">
        <f>_xlfn.XLOOKUP(Pipeline_tbl[[#This Row],[Rep_ID]],Dim_Reps!A:A,Dim_Reps!E:E)</f>
        <v>APAC</v>
      </c>
      <c r="S32" t="str">
        <f>_xlfn.XLOOKUP(Pipeline_tbl[[#This Row],[Created_Date]],Dim_Date!A:A,Dim_Date!H:H)</f>
        <v>Sep 2025</v>
      </c>
      <c r="T32" t="str">
        <f>IF(Pipeline_tbl[[#This Row],[Closed_Date]]=0,"",(_xlfn.XLOOKUP(Pipeline_tbl[[#This Row],[Closed_Date]],Dim_Date!A:A,Dim_Date!H:H)))</f>
        <v>Nov 2025</v>
      </c>
      <c r="U32">
        <f>IF(Pipeline_tbl[[#This Row],[Closed_Date]]=0,"",Pipeline_tbl[[#This Row],[Closed_Date]]-Pipeline_tbl[[#This Row],[Created_Date]])</f>
        <v>47</v>
      </c>
    </row>
    <row r="33" spans="1:21" ht="15" customHeight="1" x14ac:dyDescent="0.2">
      <c r="A33" t="s">
        <v>339</v>
      </c>
      <c r="B33" t="s">
        <v>188</v>
      </c>
      <c r="C33" t="s">
        <v>53</v>
      </c>
      <c r="D33" s="49">
        <v>45913</v>
      </c>
      <c r="E33" s="49">
        <v>45918</v>
      </c>
      <c r="F33" s="49">
        <v>45929</v>
      </c>
      <c r="G33" s="49">
        <v>45945</v>
      </c>
      <c r="H33" s="49">
        <v>45958</v>
      </c>
      <c r="I33" s="49">
        <v>45966</v>
      </c>
      <c r="J33" t="s">
        <v>49</v>
      </c>
      <c r="K33" s="33">
        <v>16700</v>
      </c>
      <c r="L33" t="s">
        <v>63</v>
      </c>
      <c r="M33" t="str">
        <f>_xlfn.XLOOKUP(Pipeline_tbl[[#This Row],[Rep_ID]],Dim_Reps!A:A,Dim_Reps!K:K)</f>
        <v>EUR</v>
      </c>
      <c r="N33" s="33">
        <f>(_xlfn.XLOOKUP(Pipeline_tbl[[#This Row],[Rate_Code_Generalized]],Lookups!A:A,Lookups!B:B))*Pipeline_tbl[[#This Row],[Pipeline_Amount_USD]]</f>
        <v>16700</v>
      </c>
      <c r="O33" t="str">
        <f>_xlfn.XLOOKUP(Pipeline_tbl[[#This Row],[Rep_ID]],Dim_Reps!A:A,Dim_Reps!B:B)</f>
        <v>Jamie Santos</v>
      </c>
      <c r="P33" t="str">
        <f>_xlfn.XLOOKUP(Pipeline_tbl[[#This Row],[Rep_ID]],Dim_Reps!A:A,Dim_Reps!C:C)</f>
        <v>Enterprise AE</v>
      </c>
      <c r="Q33" t="str">
        <f>_xlfn.XLOOKUP(Pipeline_tbl[[#This Row],[Rep_ID]],Dim_Reps!A:A,Dim_Reps!D:D)</f>
        <v>Enterprise</v>
      </c>
      <c r="R33" t="str">
        <f>_xlfn.XLOOKUP(Pipeline_tbl[[#This Row],[Rep_ID]],Dim_Reps!A:A,Dim_Reps!E:E)</f>
        <v>APAC</v>
      </c>
      <c r="S33" t="str">
        <f>_xlfn.XLOOKUP(Pipeline_tbl[[#This Row],[Created_Date]],Dim_Date!A:A,Dim_Date!H:H)</f>
        <v>Sep 2025</v>
      </c>
      <c r="T33" t="str">
        <f>IF(Pipeline_tbl[[#This Row],[Closed_Date]]=0,"",(_xlfn.XLOOKUP(Pipeline_tbl[[#This Row],[Closed_Date]],Dim_Date!A:A,Dim_Date!H:H)))</f>
        <v>Nov 2025</v>
      </c>
      <c r="U33">
        <f>IF(Pipeline_tbl[[#This Row],[Closed_Date]]=0,"",Pipeline_tbl[[#This Row],[Closed_Date]]-Pipeline_tbl[[#This Row],[Created_Date]])</f>
        <v>53</v>
      </c>
    </row>
    <row r="34" spans="1:21" ht="15" customHeight="1" x14ac:dyDescent="0.2">
      <c r="A34" t="s">
        <v>340</v>
      </c>
      <c r="B34" t="s">
        <v>257</v>
      </c>
      <c r="C34" t="s">
        <v>52</v>
      </c>
      <c r="D34" s="49">
        <v>45921</v>
      </c>
      <c r="E34" s="49">
        <v>45926</v>
      </c>
      <c r="I34" s="49">
        <v>45967</v>
      </c>
      <c r="J34" t="s">
        <v>49</v>
      </c>
      <c r="K34" s="33">
        <v>9500</v>
      </c>
      <c r="L34" t="s">
        <v>63</v>
      </c>
      <c r="M34" t="str">
        <f>_xlfn.XLOOKUP(Pipeline_tbl[[#This Row],[Rep_ID]],Dim_Reps!A:A,Dim_Reps!K:K)</f>
        <v>EUR</v>
      </c>
      <c r="N34" s="33">
        <f>(_xlfn.XLOOKUP(Pipeline_tbl[[#This Row],[Rate_Code_Generalized]],Lookups!A:A,Lookups!B:B))*Pipeline_tbl[[#This Row],[Pipeline_Amount_USD]]</f>
        <v>9500</v>
      </c>
      <c r="O34" t="str">
        <f>_xlfn.XLOOKUP(Pipeline_tbl[[#This Row],[Rep_ID]],Dim_Reps!A:A,Dim_Reps!B:B)</f>
        <v>Ana Kim</v>
      </c>
      <c r="P34" t="str">
        <f>_xlfn.XLOOKUP(Pipeline_tbl[[#This Row],[Rep_ID]],Dim_Reps!A:A,Dim_Reps!C:C)</f>
        <v>Mid-Market AE</v>
      </c>
      <c r="Q34" t="str">
        <f>_xlfn.XLOOKUP(Pipeline_tbl[[#This Row],[Rep_ID]],Dim_Reps!A:A,Dim_Reps!D:D)</f>
        <v>Mid-Market</v>
      </c>
      <c r="R34" t="str">
        <f>_xlfn.XLOOKUP(Pipeline_tbl[[#This Row],[Rep_ID]],Dim_Reps!A:A,Dim_Reps!E:E)</f>
        <v>APAC</v>
      </c>
      <c r="S34" t="str">
        <f>_xlfn.XLOOKUP(Pipeline_tbl[[#This Row],[Created_Date]],Dim_Date!A:A,Dim_Date!H:H)</f>
        <v>Sep 2025</v>
      </c>
      <c r="T34" t="str">
        <f>IF(Pipeline_tbl[[#This Row],[Closed_Date]]=0,"",(_xlfn.XLOOKUP(Pipeline_tbl[[#This Row],[Closed_Date]],Dim_Date!A:A,Dim_Date!H:H)))</f>
        <v>Nov 2025</v>
      </c>
      <c r="U34">
        <f>IF(Pipeline_tbl[[#This Row],[Closed_Date]]=0,"",Pipeline_tbl[[#This Row],[Closed_Date]]-Pipeline_tbl[[#This Row],[Created_Date]])</f>
        <v>46</v>
      </c>
    </row>
    <row r="35" spans="1:21" ht="15" customHeight="1" x14ac:dyDescent="0.2">
      <c r="A35" t="s">
        <v>341</v>
      </c>
      <c r="B35" t="s">
        <v>257</v>
      </c>
      <c r="C35" t="s">
        <v>56</v>
      </c>
      <c r="D35" s="49">
        <v>45930</v>
      </c>
      <c r="E35" s="49">
        <v>45934</v>
      </c>
      <c r="F35" s="49">
        <v>45943</v>
      </c>
      <c r="G35" s="49">
        <v>45955</v>
      </c>
      <c r="H35" s="49">
        <v>45966</v>
      </c>
      <c r="I35" s="49">
        <v>45972</v>
      </c>
      <c r="J35" t="s">
        <v>49</v>
      </c>
      <c r="K35" s="33">
        <v>11400</v>
      </c>
      <c r="L35" t="s">
        <v>63</v>
      </c>
      <c r="M35" t="str">
        <f>_xlfn.XLOOKUP(Pipeline_tbl[[#This Row],[Rep_ID]],Dim_Reps!A:A,Dim_Reps!K:K)</f>
        <v>EUR</v>
      </c>
      <c r="N35" s="33">
        <f>(_xlfn.XLOOKUP(Pipeline_tbl[[#This Row],[Rate_Code_Generalized]],Lookups!A:A,Lookups!B:B))*Pipeline_tbl[[#This Row],[Pipeline_Amount_USD]]</f>
        <v>11400</v>
      </c>
      <c r="O35" t="str">
        <f>_xlfn.XLOOKUP(Pipeline_tbl[[#This Row],[Rep_ID]],Dim_Reps!A:A,Dim_Reps!B:B)</f>
        <v>Ana Kim</v>
      </c>
      <c r="P35" t="str">
        <f>_xlfn.XLOOKUP(Pipeline_tbl[[#This Row],[Rep_ID]],Dim_Reps!A:A,Dim_Reps!C:C)</f>
        <v>Mid-Market AE</v>
      </c>
      <c r="Q35" t="str">
        <f>_xlfn.XLOOKUP(Pipeline_tbl[[#This Row],[Rep_ID]],Dim_Reps!A:A,Dim_Reps!D:D)</f>
        <v>Mid-Market</v>
      </c>
      <c r="R35" t="str">
        <f>_xlfn.XLOOKUP(Pipeline_tbl[[#This Row],[Rep_ID]],Dim_Reps!A:A,Dim_Reps!E:E)</f>
        <v>APAC</v>
      </c>
      <c r="S35" t="str">
        <f>_xlfn.XLOOKUP(Pipeline_tbl[[#This Row],[Created_Date]],Dim_Date!A:A,Dim_Date!H:H)</f>
        <v>Sep 2025</v>
      </c>
      <c r="T35" t="str">
        <f>IF(Pipeline_tbl[[#This Row],[Closed_Date]]=0,"",(_xlfn.XLOOKUP(Pipeline_tbl[[#This Row],[Closed_Date]],Dim_Date!A:A,Dim_Date!H:H)))</f>
        <v>Nov 2025</v>
      </c>
      <c r="U35">
        <f>IF(Pipeline_tbl[[#This Row],[Closed_Date]]=0,"",Pipeline_tbl[[#This Row],[Closed_Date]]-Pipeline_tbl[[#This Row],[Created_Date]])</f>
        <v>42</v>
      </c>
    </row>
    <row r="36" spans="1:21" ht="15" customHeight="1" x14ac:dyDescent="0.2">
      <c r="A36" t="s">
        <v>342</v>
      </c>
      <c r="B36" t="s">
        <v>257</v>
      </c>
      <c r="C36" t="s">
        <v>54</v>
      </c>
      <c r="D36" s="49">
        <v>45928</v>
      </c>
      <c r="E36" s="49">
        <v>45931</v>
      </c>
      <c r="F36" s="49">
        <v>45938</v>
      </c>
      <c r="G36" s="49">
        <v>45948</v>
      </c>
      <c r="H36" s="49">
        <v>45957</v>
      </c>
      <c r="I36" s="49">
        <v>45962</v>
      </c>
      <c r="J36" t="s">
        <v>47</v>
      </c>
      <c r="K36" s="33">
        <v>30900</v>
      </c>
      <c r="M36" t="str">
        <f>_xlfn.XLOOKUP(Pipeline_tbl[[#This Row],[Rep_ID]],Dim_Reps!A:A,Dim_Reps!K:K)</f>
        <v>EUR</v>
      </c>
      <c r="N36" s="33">
        <f>(_xlfn.XLOOKUP(Pipeline_tbl[[#This Row],[Rate_Code_Generalized]],Lookups!A:A,Lookups!B:B))*Pipeline_tbl[[#This Row],[Pipeline_Amount_USD]]</f>
        <v>30900</v>
      </c>
      <c r="O36" t="str">
        <f>_xlfn.XLOOKUP(Pipeline_tbl[[#This Row],[Rep_ID]],Dim_Reps!A:A,Dim_Reps!B:B)</f>
        <v>Ana Kim</v>
      </c>
      <c r="P36" t="str">
        <f>_xlfn.XLOOKUP(Pipeline_tbl[[#This Row],[Rep_ID]],Dim_Reps!A:A,Dim_Reps!C:C)</f>
        <v>Mid-Market AE</v>
      </c>
      <c r="Q36" t="str">
        <f>_xlfn.XLOOKUP(Pipeline_tbl[[#This Row],[Rep_ID]],Dim_Reps!A:A,Dim_Reps!D:D)</f>
        <v>Mid-Market</v>
      </c>
      <c r="R36" t="str">
        <f>_xlfn.XLOOKUP(Pipeline_tbl[[#This Row],[Rep_ID]],Dim_Reps!A:A,Dim_Reps!E:E)</f>
        <v>APAC</v>
      </c>
      <c r="S36" t="str">
        <f>_xlfn.XLOOKUP(Pipeline_tbl[[#This Row],[Created_Date]],Dim_Date!A:A,Dim_Date!H:H)</f>
        <v>Sep 2025</v>
      </c>
      <c r="T36" t="str">
        <f>IF(Pipeline_tbl[[#This Row],[Closed_Date]]=0,"",(_xlfn.XLOOKUP(Pipeline_tbl[[#This Row],[Closed_Date]],Dim_Date!A:A,Dim_Date!H:H)))</f>
        <v>Nov 2025</v>
      </c>
      <c r="U36">
        <f>IF(Pipeline_tbl[[#This Row],[Closed_Date]]=0,"",Pipeline_tbl[[#This Row],[Closed_Date]]-Pipeline_tbl[[#This Row],[Created_Date]])</f>
        <v>34</v>
      </c>
    </row>
    <row r="37" spans="1:21" ht="15" customHeight="1" x14ac:dyDescent="0.2">
      <c r="A37" t="s">
        <v>343</v>
      </c>
      <c r="B37" t="s">
        <v>261</v>
      </c>
      <c r="C37" t="s">
        <v>52</v>
      </c>
      <c r="D37" s="49">
        <v>45923</v>
      </c>
      <c r="E37" s="49">
        <v>45928</v>
      </c>
      <c r="I37" s="49">
        <v>45970</v>
      </c>
      <c r="J37" t="s">
        <v>49</v>
      </c>
      <c r="K37" s="33">
        <v>5500</v>
      </c>
      <c r="L37" t="s">
        <v>62</v>
      </c>
      <c r="M37" t="str">
        <f>_xlfn.XLOOKUP(Pipeline_tbl[[#This Row],[Rep_ID]],Dim_Reps!A:A,Dim_Reps!K:K)</f>
        <v>USD</v>
      </c>
      <c r="N37" s="33">
        <f>(_xlfn.XLOOKUP(Pipeline_tbl[[#This Row],[Rate_Code_Generalized]],Lookups!A:A,Lookups!B:B))*Pipeline_tbl[[#This Row],[Pipeline_Amount_USD]]</f>
        <v>6403.65</v>
      </c>
      <c r="O37" t="str">
        <f>_xlfn.XLOOKUP(Pipeline_tbl[[#This Row],[Rep_ID]],Dim_Reps!A:A,Dim_Reps!B:B)</f>
        <v>Morgan Larsen</v>
      </c>
      <c r="P37" t="str">
        <f>_xlfn.XLOOKUP(Pipeline_tbl[[#This Row],[Rep_ID]],Dim_Reps!A:A,Dim_Reps!C:C)</f>
        <v>Mid-Market AE</v>
      </c>
      <c r="Q37" t="str">
        <f>_xlfn.XLOOKUP(Pipeline_tbl[[#This Row],[Rep_ID]],Dim_Reps!A:A,Dim_Reps!D:D)</f>
        <v>Mid-Market</v>
      </c>
      <c r="R37" t="str">
        <f>_xlfn.XLOOKUP(Pipeline_tbl[[#This Row],[Rep_ID]],Dim_Reps!A:A,Dim_Reps!E:E)</f>
        <v>NAMER</v>
      </c>
      <c r="S37" t="str">
        <f>_xlfn.XLOOKUP(Pipeline_tbl[[#This Row],[Created_Date]],Dim_Date!A:A,Dim_Date!H:H)</f>
        <v>Sep 2025</v>
      </c>
      <c r="T37" t="str">
        <f>IF(Pipeline_tbl[[#This Row],[Closed_Date]]=0,"",(_xlfn.XLOOKUP(Pipeline_tbl[[#This Row],[Closed_Date]],Dim_Date!A:A,Dim_Date!H:H)))</f>
        <v>Nov 2025</v>
      </c>
      <c r="U37">
        <f>IF(Pipeline_tbl[[#This Row],[Closed_Date]]=0,"",Pipeline_tbl[[#This Row],[Closed_Date]]-Pipeline_tbl[[#This Row],[Created_Date]])</f>
        <v>47</v>
      </c>
    </row>
    <row r="38" spans="1:21" ht="15" customHeight="1" x14ac:dyDescent="0.2">
      <c r="A38" t="s">
        <v>344</v>
      </c>
      <c r="B38" t="s">
        <v>261</v>
      </c>
      <c r="C38" t="s">
        <v>52</v>
      </c>
      <c r="D38" s="49">
        <v>45919</v>
      </c>
      <c r="E38" s="49">
        <v>45925</v>
      </c>
      <c r="F38" s="49">
        <v>45936</v>
      </c>
      <c r="G38" s="49">
        <v>45953</v>
      </c>
      <c r="H38" s="49">
        <v>45967</v>
      </c>
      <c r="I38" s="49">
        <v>45975</v>
      </c>
      <c r="J38" t="s">
        <v>47</v>
      </c>
      <c r="K38" s="33">
        <v>19700</v>
      </c>
      <c r="M38" t="str">
        <f>_xlfn.XLOOKUP(Pipeline_tbl[[#This Row],[Rep_ID]],Dim_Reps!A:A,Dim_Reps!K:K)</f>
        <v>USD</v>
      </c>
      <c r="N38" s="33">
        <f>(_xlfn.XLOOKUP(Pipeline_tbl[[#This Row],[Rate_Code_Generalized]],Lookups!A:A,Lookups!B:B))*Pipeline_tbl[[#This Row],[Pipeline_Amount_USD]]</f>
        <v>22936.71</v>
      </c>
      <c r="O38" t="str">
        <f>_xlfn.XLOOKUP(Pipeline_tbl[[#This Row],[Rep_ID]],Dim_Reps!A:A,Dim_Reps!B:B)</f>
        <v>Morgan Larsen</v>
      </c>
      <c r="P38" t="str">
        <f>_xlfn.XLOOKUP(Pipeline_tbl[[#This Row],[Rep_ID]],Dim_Reps!A:A,Dim_Reps!C:C)</f>
        <v>Mid-Market AE</v>
      </c>
      <c r="Q38" t="str">
        <f>_xlfn.XLOOKUP(Pipeline_tbl[[#This Row],[Rep_ID]],Dim_Reps!A:A,Dim_Reps!D:D)</f>
        <v>Mid-Market</v>
      </c>
      <c r="R38" t="str">
        <f>_xlfn.XLOOKUP(Pipeline_tbl[[#This Row],[Rep_ID]],Dim_Reps!A:A,Dim_Reps!E:E)</f>
        <v>NAMER</v>
      </c>
      <c r="S38" t="str">
        <f>_xlfn.XLOOKUP(Pipeline_tbl[[#This Row],[Created_Date]],Dim_Date!A:A,Dim_Date!H:H)</f>
        <v>Sep 2025</v>
      </c>
      <c r="T38" t="str">
        <f>IF(Pipeline_tbl[[#This Row],[Closed_Date]]=0,"",(_xlfn.XLOOKUP(Pipeline_tbl[[#This Row],[Closed_Date]],Dim_Date!A:A,Dim_Date!H:H)))</f>
        <v>Nov 2025</v>
      </c>
      <c r="U38">
        <f>IF(Pipeline_tbl[[#This Row],[Closed_Date]]=0,"",Pipeline_tbl[[#This Row],[Closed_Date]]-Pipeline_tbl[[#This Row],[Created_Date]])</f>
        <v>56</v>
      </c>
    </row>
    <row r="39" spans="1:21" ht="15" customHeight="1" x14ac:dyDescent="0.2">
      <c r="A39" t="s">
        <v>345</v>
      </c>
      <c r="B39" t="s">
        <v>280</v>
      </c>
      <c r="C39" t="s">
        <v>56</v>
      </c>
      <c r="D39" s="49">
        <v>45902</v>
      </c>
      <c r="E39" s="49">
        <v>45908</v>
      </c>
      <c r="F39" s="49">
        <v>45921</v>
      </c>
      <c r="I39" s="49">
        <v>45966</v>
      </c>
      <c r="J39" t="s">
        <v>49</v>
      </c>
      <c r="K39" s="33">
        <v>44500</v>
      </c>
      <c r="L39" t="s">
        <v>61</v>
      </c>
      <c r="M39" t="str">
        <f>_xlfn.XLOOKUP(Pipeline_tbl[[#This Row],[Rep_ID]],Dim_Reps!A:A,Dim_Reps!K:K)</f>
        <v>MXN</v>
      </c>
      <c r="N39" s="33">
        <f>(_xlfn.XLOOKUP(Pipeline_tbl[[#This Row],[Rate_Code_Generalized]],Lookups!A:A,Lookups!B:B))*Pipeline_tbl[[#This Row],[Pipeline_Amount_USD]]</f>
        <v>878105.15</v>
      </c>
      <c r="O39" t="str">
        <f>_xlfn.XLOOKUP(Pipeline_tbl[[#This Row],[Rep_ID]],Dim_Reps!A:A,Dim_Reps!B:B)</f>
        <v>Cameron Lund</v>
      </c>
      <c r="P39" t="str">
        <f>_xlfn.XLOOKUP(Pipeline_tbl[[#This Row],[Rep_ID]],Dim_Reps!A:A,Dim_Reps!C:C)</f>
        <v>Senior Enterprise AE</v>
      </c>
      <c r="Q39" t="str">
        <f>_xlfn.XLOOKUP(Pipeline_tbl[[#This Row],[Rep_ID]],Dim_Reps!A:A,Dim_Reps!D:D)</f>
        <v>Strategic</v>
      </c>
      <c r="R39" t="str">
        <f>_xlfn.XLOOKUP(Pipeline_tbl[[#This Row],[Rep_ID]],Dim_Reps!A:A,Dim_Reps!E:E)</f>
        <v>LATAM</v>
      </c>
      <c r="S39" t="str">
        <f>_xlfn.XLOOKUP(Pipeline_tbl[[#This Row],[Created_Date]],Dim_Date!A:A,Dim_Date!H:H)</f>
        <v>Sep 2025</v>
      </c>
      <c r="T39" t="str">
        <f>IF(Pipeline_tbl[[#This Row],[Closed_Date]]=0,"",(_xlfn.XLOOKUP(Pipeline_tbl[[#This Row],[Closed_Date]],Dim_Date!A:A,Dim_Date!H:H)))</f>
        <v>Nov 2025</v>
      </c>
      <c r="U39">
        <f>IF(Pipeline_tbl[[#This Row],[Closed_Date]]=0,"",Pipeline_tbl[[#This Row],[Closed_Date]]-Pipeline_tbl[[#This Row],[Created_Date]])</f>
        <v>64</v>
      </c>
    </row>
    <row r="40" spans="1:21" ht="15" customHeight="1" x14ac:dyDescent="0.2">
      <c r="A40" t="s">
        <v>346</v>
      </c>
      <c r="B40" t="s">
        <v>282</v>
      </c>
      <c r="C40" t="s">
        <v>52</v>
      </c>
      <c r="D40" s="49">
        <v>45911</v>
      </c>
      <c r="E40" s="49">
        <v>45917</v>
      </c>
      <c r="F40" s="49">
        <v>45928</v>
      </c>
      <c r="G40" s="49">
        <v>45944</v>
      </c>
      <c r="H40" s="49">
        <v>45958</v>
      </c>
      <c r="I40" s="49">
        <v>45966</v>
      </c>
      <c r="J40" t="s">
        <v>47</v>
      </c>
      <c r="K40" s="33">
        <v>41800</v>
      </c>
      <c r="M40" t="str">
        <f>_xlfn.XLOOKUP(Pipeline_tbl[[#This Row],[Rep_ID]],Dim_Reps!A:A,Dim_Reps!K:K)</f>
        <v>USD</v>
      </c>
      <c r="N40" s="33">
        <f>(_xlfn.XLOOKUP(Pipeline_tbl[[#This Row],[Rate_Code_Generalized]],Lookups!A:A,Lookups!B:B))*Pipeline_tbl[[#This Row],[Pipeline_Amount_USD]]</f>
        <v>48667.74</v>
      </c>
      <c r="O40" t="str">
        <f>_xlfn.XLOOKUP(Pipeline_tbl[[#This Row],[Rep_ID]],Dim_Reps!A:A,Dim_Reps!B:B)</f>
        <v>Fatima Rossi</v>
      </c>
      <c r="P40" t="str">
        <f>_xlfn.XLOOKUP(Pipeline_tbl[[#This Row],[Rep_ID]],Dim_Reps!A:A,Dim_Reps!C:C)</f>
        <v>Senior Enterprise AE</v>
      </c>
      <c r="Q40" t="str">
        <f>_xlfn.XLOOKUP(Pipeline_tbl[[#This Row],[Rep_ID]],Dim_Reps!A:A,Dim_Reps!D:D)</f>
        <v>Strategic</v>
      </c>
      <c r="R40" t="str">
        <f>_xlfn.XLOOKUP(Pipeline_tbl[[#This Row],[Rep_ID]],Dim_Reps!A:A,Dim_Reps!E:E)</f>
        <v>NAMER</v>
      </c>
      <c r="S40" t="str">
        <f>_xlfn.XLOOKUP(Pipeline_tbl[[#This Row],[Created_Date]],Dim_Date!A:A,Dim_Date!H:H)</f>
        <v>Sep 2025</v>
      </c>
      <c r="T40" t="str">
        <f>IF(Pipeline_tbl[[#This Row],[Closed_Date]]=0,"",(_xlfn.XLOOKUP(Pipeline_tbl[[#This Row],[Closed_Date]],Dim_Date!A:A,Dim_Date!H:H)))</f>
        <v>Nov 2025</v>
      </c>
      <c r="U40">
        <f>IF(Pipeline_tbl[[#This Row],[Closed_Date]]=0,"",Pipeline_tbl[[#This Row],[Closed_Date]]-Pipeline_tbl[[#This Row],[Created_Date]])</f>
        <v>55</v>
      </c>
    </row>
    <row r="41" spans="1:21" ht="15" customHeight="1" x14ac:dyDescent="0.2">
      <c r="A41" t="s">
        <v>347</v>
      </c>
      <c r="B41" t="s">
        <v>191</v>
      </c>
      <c r="C41" t="s">
        <v>52</v>
      </c>
      <c r="D41" s="49">
        <v>45912</v>
      </c>
      <c r="E41" s="49">
        <v>45917</v>
      </c>
      <c r="I41" s="49">
        <v>45966</v>
      </c>
      <c r="J41" t="s">
        <v>49</v>
      </c>
      <c r="K41" s="33">
        <v>21100</v>
      </c>
      <c r="L41" t="s">
        <v>62</v>
      </c>
      <c r="M41" t="str">
        <f>_xlfn.XLOOKUP(Pipeline_tbl[[#This Row],[Rep_ID]],Dim_Reps!A:A,Dim_Reps!K:K)</f>
        <v>USD</v>
      </c>
      <c r="N41" s="33">
        <f>(_xlfn.XLOOKUP(Pipeline_tbl[[#This Row],[Rate_Code_Generalized]],Lookups!A:A,Lookups!B:B))*Pipeline_tbl[[#This Row],[Pipeline_Amount_USD]]</f>
        <v>24566.729999999996</v>
      </c>
      <c r="O41" t="str">
        <f>_xlfn.XLOOKUP(Pipeline_tbl[[#This Row],[Rep_ID]],Dim_Reps!A:A,Dim_Reps!B:B)</f>
        <v>Zara Duarte</v>
      </c>
      <c r="P41" t="str">
        <f>_xlfn.XLOOKUP(Pipeline_tbl[[#This Row],[Rep_ID]],Dim_Reps!A:A,Dim_Reps!C:C)</f>
        <v>Enterprise AE</v>
      </c>
      <c r="Q41" t="str">
        <f>_xlfn.XLOOKUP(Pipeline_tbl[[#This Row],[Rep_ID]],Dim_Reps!A:A,Dim_Reps!D:D)</f>
        <v>Enterprise</v>
      </c>
      <c r="R41" t="str">
        <f>_xlfn.XLOOKUP(Pipeline_tbl[[#This Row],[Rep_ID]],Dim_Reps!A:A,Dim_Reps!E:E)</f>
        <v>NAMER</v>
      </c>
      <c r="S41" t="str">
        <f>_xlfn.XLOOKUP(Pipeline_tbl[[#This Row],[Created_Date]],Dim_Date!A:A,Dim_Date!H:H)</f>
        <v>Sep 2025</v>
      </c>
      <c r="T41" t="str">
        <f>IF(Pipeline_tbl[[#This Row],[Closed_Date]]=0,"",(_xlfn.XLOOKUP(Pipeline_tbl[[#This Row],[Closed_Date]],Dim_Date!A:A,Dim_Date!H:H)))</f>
        <v>Nov 2025</v>
      </c>
      <c r="U41">
        <f>IF(Pipeline_tbl[[#This Row],[Closed_Date]]=0,"",Pipeline_tbl[[#This Row],[Closed_Date]]-Pipeline_tbl[[#This Row],[Created_Date]])</f>
        <v>54</v>
      </c>
    </row>
    <row r="42" spans="1:21" ht="15" customHeight="1" x14ac:dyDescent="0.2">
      <c r="A42" t="s">
        <v>348</v>
      </c>
      <c r="B42" t="s">
        <v>191</v>
      </c>
      <c r="C42" t="s">
        <v>53</v>
      </c>
      <c r="D42" s="49">
        <v>45921</v>
      </c>
      <c r="E42" s="49">
        <v>45927</v>
      </c>
      <c r="F42" s="49">
        <v>45940</v>
      </c>
      <c r="G42" s="49">
        <v>45959</v>
      </c>
      <c r="H42" s="49">
        <v>45975</v>
      </c>
      <c r="I42" s="49">
        <v>45985</v>
      </c>
      <c r="J42" t="s">
        <v>47</v>
      </c>
      <c r="K42" s="33">
        <v>27200</v>
      </c>
      <c r="M42" t="str">
        <f>_xlfn.XLOOKUP(Pipeline_tbl[[#This Row],[Rep_ID]],Dim_Reps!A:A,Dim_Reps!K:K)</f>
        <v>USD</v>
      </c>
      <c r="N42" s="33">
        <f>(_xlfn.XLOOKUP(Pipeline_tbl[[#This Row],[Rate_Code_Generalized]],Lookups!A:A,Lookups!B:B))*Pipeline_tbl[[#This Row],[Pipeline_Amount_USD]]</f>
        <v>31668.959999999995</v>
      </c>
      <c r="O42" t="str">
        <f>_xlfn.XLOOKUP(Pipeline_tbl[[#This Row],[Rep_ID]],Dim_Reps!A:A,Dim_Reps!B:B)</f>
        <v>Zara Duarte</v>
      </c>
      <c r="P42" t="str">
        <f>_xlfn.XLOOKUP(Pipeline_tbl[[#This Row],[Rep_ID]],Dim_Reps!A:A,Dim_Reps!C:C)</f>
        <v>Enterprise AE</v>
      </c>
      <c r="Q42" t="str">
        <f>_xlfn.XLOOKUP(Pipeline_tbl[[#This Row],[Rep_ID]],Dim_Reps!A:A,Dim_Reps!D:D)</f>
        <v>Enterprise</v>
      </c>
      <c r="R42" t="str">
        <f>_xlfn.XLOOKUP(Pipeline_tbl[[#This Row],[Rep_ID]],Dim_Reps!A:A,Dim_Reps!E:E)</f>
        <v>NAMER</v>
      </c>
      <c r="S42" t="str">
        <f>_xlfn.XLOOKUP(Pipeline_tbl[[#This Row],[Created_Date]],Dim_Date!A:A,Dim_Date!H:H)</f>
        <v>Sep 2025</v>
      </c>
      <c r="T42" t="str">
        <f>IF(Pipeline_tbl[[#This Row],[Closed_Date]]=0,"",(_xlfn.XLOOKUP(Pipeline_tbl[[#This Row],[Closed_Date]],Dim_Date!A:A,Dim_Date!H:H)))</f>
        <v>Nov 2025</v>
      </c>
      <c r="U42">
        <f>IF(Pipeline_tbl[[#This Row],[Closed_Date]]=0,"",Pipeline_tbl[[#This Row],[Closed_Date]]-Pipeline_tbl[[#This Row],[Created_Date]])</f>
        <v>64</v>
      </c>
    </row>
    <row r="43" spans="1:21" ht="15" customHeight="1" x14ac:dyDescent="0.2">
      <c r="A43" t="s">
        <v>349</v>
      </c>
      <c r="B43" t="s">
        <v>191</v>
      </c>
      <c r="C43" t="s">
        <v>54</v>
      </c>
      <c r="D43" s="49">
        <v>45906</v>
      </c>
      <c r="E43" s="49">
        <v>45914</v>
      </c>
      <c r="F43" s="49">
        <v>45930</v>
      </c>
      <c r="G43" s="49">
        <v>45955</v>
      </c>
      <c r="H43" s="49">
        <v>45975</v>
      </c>
      <c r="I43" s="49">
        <v>45987</v>
      </c>
      <c r="J43" t="s">
        <v>49</v>
      </c>
      <c r="K43" s="33">
        <v>36600</v>
      </c>
      <c r="L43" t="s">
        <v>63</v>
      </c>
      <c r="M43" t="str">
        <f>_xlfn.XLOOKUP(Pipeline_tbl[[#This Row],[Rep_ID]],Dim_Reps!A:A,Dim_Reps!K:K)</f>
        <v>USD</v>
      </c>
      <c r="N43" s="33">
        <f>(_xlfn.XLOOKUP(Pipeline_tbl[[#This Row],[Rate_Code_Generalized]],Lookups!A:A,Lookups!B:B))*Pipeline_tbl[[#This Row],[Pipeline_Amount_USD]]</f>
        <v>42613.38</v>
      </c>
      <c r="O43" t="str">
        <f>_xlfn.XLOOKUP(Pipeline_tbl[[#This Row],[Rep_ID]],Dim_Reps!A:A,Dim_Reps!B:B)</f>
        <v>Zara Duarte</v>
      </c>
      <c r="P43" t="str">
        <f>_xlfn.XLOOKUP(Pipeline_tbl[[#This Row],[Rep_ID]],Dim_Reps!A:A,Dim_Reps!C:C)</f>
        <v>Enterprise AE</v>
      </c>
      <c r="Q43" t="str">
        <f>_xlfn.XLOOKUP(Pipeline_tbl[[#This Row],[Rep_ID]],Dim_Reps!A:A,Dim_Reps!D:D)</f>
        <v>Enterprise</v>
      </c>
      <c r="R43" t="str">
        <f>_xlfn.XLOOKUP(Pipeline_tbl[[#This Row],[Rep_ID]],Dim_Reps!A:A,Dim_Reps!E:E)</f>
        <v>NAMER</v>
      </c>
      <c r="S43" t="str">
        <f>_xlfn.XLOOKUP(Pipeline_tbl[[#This Row],[Created_Date]],Dim_Date!A:A,Dim_Date!H:H)</f>
        <v>Sep 2025</v>
      </c>
      <c r="T43" t="str">
        <f>IF(Pipeline_tbl[[#This Row],[Closed_Date]]=0,"",(_xlfn.XLOOKUP(Pipeline_tbl[[#This Row],[Closed_Date]],Dim_Date!A:A,Dim_Date!H:H)))</f>
        <v>Nov 2025</v>
      </c>
      <c r="U43">
        <f>IF(Pipeline_tbl[[#This Row],[Closed_Date]]=0,"",Pipeline_tbl[[#This Row],[Closed_Date]]-Pipeline_tbl[[#This Row],[Created_Date]])</f>
        <v>81</v>
      </c>
    </row>
    <row r="44" spans="1:21" ht="15" customHeight="1" x14ac:dyDescent="0.2">
      <c r="A44" t="s">
        <v>350</v>
      </c>
      <c r="B44" t="s">
        <v>265</v>
      </c>
      <c r="C44" t="s">
        <v>54</v>
      </c>
      <c r="D44" s="49">
        <v>45923</v>
      </c>
      <c r="E44" s="49">
        <v>45927</v>
      </c>
      <c r="I44" s="49">
        <v>45968</v>
      </c>
      <c r="J44" t="s">
        <v>49</v>
      </c>
      <c r="K44" s="33">
        <v>12100</v>
      </c>
      <c r="L44" t="s">
        <v>63</v>
      </c>
      <c r="M44" t="str">
        <f>_xlfn.XLOOKUP(Pipeline_tbl[[#This Row],[Rep_ID]],Dim_Reps!A:A,Dim_Reps!K:K)</f>
        <v>EUR</v>
      </c>
      <c r="N44" s="33">
        <f>(_xlfn.XLOOKUP(Pipeline_tbl[[#This Row],[Rate_Code_Generalized]],Lookups!A:A,Lookups!B:B))*Pipeline_tbl[[#This Row],[Pipeline_Amount_USD]]</f>
        <v>12100</v>
      </c>
      <c r="O44" t="str">
        <f>_xlfn.XLOOKUP(Pipeline_tbl[[#This Row],[Rep_ID]],Dim_Reps!A:A,Dim_Reps!B:B)</f>
        <v>Erik Duarte</v>
      </c>
      <c r="P44" t="str">
        <f>_xlfn.XLOOKUP(Pipeline_tbl[[#This Row],[Rep_ID]],Dim_Reps!A:A,Dim_Reps!C:C)</f>
        <v>Mid-Market AE</v>
      </c>
      <c r="Q44" t="str">
        <f>_xlfn.XLOOKUP(Pipeline_tbl[[#This Row],[Rep_ID]],Dim_Reps!A:A,Dim_Reps!D:D)</f>
        <v>Mid-Market</v>
      </c>
      <c r="R44" t="str">
        <f>_xlfn.XLOOKUP(Pipeline_tbl[[#This Row],[Rep_ID]],Dim_Reps!A:A,Dim_Reps!E:E)</f>
        <v>EMEA</v>
      </c>
      <c r="S44" t="str">
        <f>_xlfn.XLOOKUP(Pipeline_tbl[[#This Row],[Created_Date]],Dim_Date!A:A,Dim_Date!H:H)</f>
        <v>Sep 2025</v>
      </c>
      <c r="T44" t="str">
        <f>IF(Pipeline_tbl[[#This Row],[Closed_Date]]=0,"",(_xlfn.XLOOKUP(Pipeline_tbl[[#This Row],[Closed_Date]],Dim_Date!A:A,Dim_Date!H:H)))</f>
        <v>Nov 2025</v>
      </c>
      <c r="U44">
        <f>IF(Pipeline_tbl[[#This Row],[Closed_Date]]=0,"",Pipeline_tbl[[#This Row],[Closed_Date]]-Pipeline_tbl[[#This Row],[Created_Date]])</f>
        <v>45</v>
      </c>
    </row>
    <row r="45" spans="1:21" ht="15" customHeight="1" x14ac:dyDescent="0.2">
      <c r="A45" t="s">
        <v>351</v>
      </c>
      <c r="B45" t="s">
        <v>267</v>
      </c>
      <c r="C45" t="s">
        <v>52</v>
      </c>
      <c r="D45" s="49">
        <v>45922</v>
      </c>
      <c r="E45" s="49">
        <v>45926</v>
      </c>
      <c r="F45" s="49">
        <v>45935</v>
      </c>
      <c r="I45" s="49">
        <v>45964</v>
      </c>
      <c r="J45" t="s">
        <v>49</v>
      </c>
      <c r="K45" s="33">
        <v>15600</v>
      </c>
      <c r="L45" t="s">
        <v>60</v>
      </c>
      <c r="M45" t="str">
        <f>_xlfn.XLOOKUP(Pipeline_tbl[[#This Row],[Rep_ID]],Dim_Reps!A:A,Dim_Reps!K:K)</f>
        <v>MXN</v>
      </c>
      <c r="N45" s="33">
        <f>(_xlfn.XLOOKUP(Pipeline_tbl[[#This Row],[Rate_Code_Generalized]],Lookups!A:A,Lookups!B:B))*Pipeline_tbl[[#This Row],[Pipeline_Amount_USD]]</f>
        <v>307830.12</v>
      </c>
      <c r="O45" t="str">
        <f>_xlfn.XLOOKUP(Pipeline_tbl[[#This Row],[Rep_ID]],Dim_Reps!A:A,Dim_Reps!B:B)</f>
        <v>Yuki Dubois</v>
      </c>
      <c r="P45" t="str">
        <f>_xlfn.XLOOKUP(Pipeline_tbl[[#This Row],[Rep_ID]],Dim_Reps!A:A,Dim_Reps!C:C)</f>
        <v>Mid-Market AE</v>
      </c>
      <c r="Q45" t="str">
        <f>_xlfn.XLOOKUP(Pipeline_tbl[[#This Row],[Rep_ID]],Dim_Reps!A:A,Dim_Reps!D:D)</f>
        <v>Mid-Market</v>
      </c>
      <c r="R45" t="str">
        <f>_xlfn.XLOOKUP(Pipeline_tbl[[#This Row],[Rep_ID]],Dim_Reps!A:A,Dim_Reps!E:E)</f>
        <v>LATAM</v>
      </c>
      <c r="S45" t="str">
        <f>_xlfn.XLOOKUP(Pipeline_tbl[[#This Row],[Created_Date]],Dim_Date!A:A,Dim_Date!H:H)</f>
        <v>Sep 2025</v>
      </c>
      <c r="T45" t="str">
        <f>IF(Pipeline_tbl[[#This Row],[Closed_Date]]=0,"",(_xlfn.XLOOKUP(Pipeline_tbl[[#This Row],[Closed_Date]],Dim_Date!A:A,Dim_Date!H:H)))</f>
        <v>Nov 2025</v>
      </c>
      <c r="U45">
        <f>IF(Pipeline_tbl[[#This Row],[Closed_Date]]=0,"",Pipeline_tbl[[#This Row],[Closed_Date]]-Pipeline_tbl[[#This Row],[Created_Date]])</f>
        <v>42</v>
      </c>
    </row>
    <row r="46" spans="1:21" ht="15" customHeight="1" x14ac:dyDescent="0.2">
      <c r="A46" t="s">
        <v>352</v>
      </c>
      <c r="B46" t="s">
        <v>284</v>
      </c>
      <c r="C46" t="s">
        <v>56</v>
      </c>
      <c r="D46" s="49">
        <v>45901</v>
      </c>
      <c r="E46" s="49">
        <v>45908</v>
      </c>
      <c r="F46" s="49">
        <v>45923</v>
      </c>
      <c r="I46" s="49">
        <v>45974</v>
      </c>
      <c r="J46" t="s">
        <v>49</v>
      </c>
      <c r="K46" s="33">
        <v>178200</v>
      </c>
      <c r="L46" t="s">
        <v>61</v>
      </c>
      <c r="M46" t="str">
        <f>_xlfn.XLOOKUP(Pipeline_tbl[[#This Row],[Rep_ID]],Dim_Reps!A:A,Dim_Reps!K:K)</f>
        <v>USD</v>
      </c>
      <c r="N46" s="33">
        <f>(_xlfn.XLOOKUP(Pipeline_tbl[[#This Row],[Rate_Code_Generalized]],Lookups!A:A,Lookups!B:B))*Pipeline_tbl[[#This Row],[Pipeline_Amount_USD]]</f>
        <v>207478.25999999998</v>
      </c>
      <c r="O46" t="str">
        <f>_xlfn.XLOOKUP(Pipeline_tbl[[#This Row],[Rep_ID]],Dim_Reps!A:A,Dim_Reps!B:B)</f>
        <v>Taylor Adler</v>
      </c>
      <c r="P46" t="str">
        <f>_xlfn.XLOOKUP(Pipeline_tbl[[#This Row],[Rep_ID]],Dim_Reps!A:A,Dim_Reps!C:C)</f>
        <v>Senior Enterprise AE</v>
      </c>
      <c r="Q46" t="str">
        <f>_xlfn.XLOOKUP(Pipeline_tbl[[#This Row],[Rep_ID]],Dim_Reps!A:A,Dim_Reps!D:D)</f>
        <v>Strategic</v>
      </c>
      <c r="R46" t="str">
        <f>_xlfn.XLOOKUP(Pipeline_tbl[[#This Row],[Rep_ID]],Dim_Reps!A:A,Dim_Reps!E:E)</f>
        <v>NAMER</v>
      </c>
      <c r="S46" t="str">
        <f>_xlfn.XLOOKUP(Pipeline_tbl[[#This Row],[Created_Date]],Dim_Date!A:A,Dim_Date!H:H)</f>
        <v>Sep 2025</v>
      </c>
      <c r="T46" t="str">
        <f>IF(Pipeline_tbl[[#This Row],[Closed_Date]]=0,"",(_xlfn.XLOOKUP(Pipeline_tbl[[#This Row],[Closed_Date]],Dim_Date!A:A,Dim_Date!H:H)))</f>
        <v>Nov 2025</v>
      </c>
      <c r="U46">
        <f>IF(Pipeline_tbl[[#This Row],[Closed_Date]]=0,"",Pipeline_tbl[[#This Row],[Closed_Date]]-Pipeline_tbl[[#This Row],[Created_Date]])</f>
        <v>73</v>
      </c>
    </row>
    <row r="47" spans="1:21" ht="15" customHeight="1" x14ac:dyDescent="0.2">
      <c r="A47" t="s">
        <v>353</v>
      </c>
      <c r="B47" t="s">
        <v>271</v>
      </c>
      <c r="C47" t="s">
        <v>52</v>
      </c>
      <c r="D47" s="49">
        <v>45928</v>
      </c>
      <c r="E47" s="49">
        <v>45932</v>
      </c>
      <c r="F47" s="49">
        <v>45940</v>
      </c>
      <c r="G47" s="49">
        <v>45953</v>
      </c>
      <c r="H47" s="49">
        <v>45963</v>
      </c>
      <c r="I47" s="49">
        <v>45969</v>
      </c>
      <c r="J47" t="s">
        <v>47</v>
      </c>
      <c r="K47" s="33">
        <v>10700</v>
      </c>
      <c r="M47" t="str">
        <f>_xlfn.XLOOKUP(Pipeline_tbl[[#This Row],[Rep_ID]],Dim_Reps!A:A,Dim_Reps!K:K)</f>
        <v>EUR</v>
      </c>
      <c r="N47" s="33">
        <f>(_xlfn.XLOOKUP(Pipeline_tbl[[#This Row],[Rate_Code_Generalized]],Lookups!A:A,Lookups!B:B))*Pipeline_tbl[[#This Row],[Pipeline_Amount_USD]]</f>
        <v>10700</v>
      </c>
      <c r="O47" t="str">
        <f>_xlfn.XLOOKUP(Pipeline_tbl[[#This Row],[Rep_ID]],Dim_Reps!A:A,Dim_Reps!B:B)</f>
        <v>Ivy Adler</v>
      </c>
      <c r="P47" t="str">
        <f>_xlfn.XLOOKUP(Pipeline_tbl[[#This Row],[Rep_ID]],Dim_Reps!A:A,Dim_Reps!C:C)</f>
        <v>Mid-Market AE</v>
      </c>
      <c r="Q47" t="str">
        <f>_xlfn.XLOOKUP(Pipeline_tbl[[#This Row],[Rep_ID]],Dim_Reps!A:A,Dim_Reps!D:D)</f>
        <v>Mid-Market</v>
      </c>
      <c r="R47" t="str">
        <f>_xlfn.XLOOKUP(Pipeline_tbl[[#This Row],[Rep_ID]],Dim_Reps!A:A,Dim_Reps!E:E)</f>
        <v>APAC</v>
      </c>
      <c r="S47" t="str">
        <f>_xlfn.XLOOKUP(Pipeline_tbl[[#This Row],[Created_Date]],Dim_Date!A:A,Dim_Date!H:H)</f>
        <v>Sep 2025</v>
      </c>
      <c r="T47" t="str">
        <f>IF(Pipeline_tbl[[#This Row],[Closed_Date]]=0,"",(_xlfn.XLOOKUP(Pipeline_tbl[[#This Row],[Closed_Date]],Dim_Date!A:A,Dim_Date!H:H)))</f>
        <v>Nov 2025</v>
      </c>
      <c r="U47">
        <f>IF(Pipeline_tbl[[#This Row],[Closed_Date]]=0,"",Pipeline_tbl[[#This Row],[Closed_Date]]-Pipeline_tbl[[#This Row],[Created_Date]])</f>
        <v>41</v>
      </c>
    </row>
    <row r="48" spans="1:21" ht="15" customHeight="1" x14ac:dyDescent="0.2">
      <c r="A48" t="s">
        <v>354</v>
      </c>
      <c r="B48" t="s">
        <v>271</v>
      </c>
      <c r="C48" t="s">
        <v>53</v>
      </c>
      <c r="D48" s="49">
        <v>45924</v>
      </c>
      <c r="E48" s="49">
        <v>45928</v>
      </c>
      <c r="F48" s="49">
        <v>45938</v>
      </c>
      <c r="I48" s="49">
        <v>45969</v>
      </c>
      <c r="J48" t="s">
        <v>49</v>
      </c>
      <c r="K48" s="33">
        <v>6500</v>
      </c>
      <c r="L48" t="s">
        <v>61</v>
      </c>
      <c r="M48" t="str">
        <f>_xlfn.XLOOKUP(Pipeline_tbl[[#This Row],[Rep_ID]],Dim_Reps!A:A,Dim_Reps!K:K)</f>
        <v>EUR</v>
      </c>
      <c r="N48" s="33">
        <f>(_xlfn.XLOOKUP(Pipeline_tbl[[#This Row],[Rate_Code_Generalized]],Lookups!A:A,Lookups!B:B))*Pipeline_tbl[[#This Row],[Pipeline_Amount_USD]]</f>
        <v>6500</v>
      </c>
      <c r="O48" t="str">
        <f>_xlfn.XLOOKUP(Pipeline_tbl[[#This Row],[Rep_ID]],Dim_Reps!A:A,Dim_Reps!B:B)</f>
        <v>Ivy Adler</v>
      </c>
      <c r="P48" t="str">
        <f>_xlfn.XLOOKUP(Pipeline_tbl[[#This Row],[Rep_ID]],Dim_Reps!A:A,Dim_Reps!C:C)</f>
        <v>Mid-Market AE</v>
      </c>
      <c r="Q48" t="str">
        <f>_xlfn.XLOOKUP(Pipeline_tbl[[#This Row],[Rep_ID]],Dim_Reps!A:A,Dim_Reps!D:D)</f>
        <v>Mid-Market</v>
      </c>
      <c r="R48" t="str">
        <f>_xlfn.XLOOKUP(Pipeline_tbl[[#This Row],[Rep_ID]],Dim_Reps!A:A,Dim_Reps!E:E)</f>
        <v>APAC</v>
      </c>
      <c r="S48" t="str">
        <f>_xlfn.XLOOKUP(Pipeline_tbl[[#This Row],[Created_Date]],Dim_Date!A:A,Dim_Date!H:H)</f>
        <v>Sep 2025</v>
      </c>
      <c r="T48" t="str">
        <f>IF(Pipeline_tbl[[#This Row],[Closed_Date]]=0,"",(_xlfn.XLOOKUP(Pipeline_tbl[[#This Row],[Closed_Date]],Dim_Date!A:A,Dim_Date!H:H)))</f>
        <v>Nov 2025</v>
      </c>
      <c r="U48">
        <f>IF(Pipeline_tbl[[#This Row],[Closed_Date]]=0,"",Pipeline_tbl[[#This Row],[Closed_Date]]-Pipeline_tbl[[#This Row],[Created_Date]])</f>
        <v>45</v>
      </c>
    </row>
    <row r="49" spans="1:21" ht="15" customHeight="1" x14ac:dyDescent="0.2">
      <c r="A49" t="s">
        <v>355</v>
      </c>
      <c r="B49" t="s">
        <v>271</v>
      </c>
      <c r="C49" t="s">
        <v>53</v>
      </c>
      <c r="D49" s="49">
        <v>45918</v>
      </c>
      <c r="E49" s="49">
        <v>45922</v>
      </c>
      <c r="F49" s="49">
        <v>45932</v>
      </c>
      <c r="G49" s="49">
        <v>45945</v>
      </c>
      <c r="H49" s="49">
        <v>45956</v>
      </c>
      <c r="I49" s="49">
        <v>45963</v>
      </c>
      <c r="J49" t="s">
        <v>47</v>
      </c>
      <c r="K49" s="33">
        <v>13000</v>
      </c>
      <c r="M49" t="str">
        <f>_xlfn.XLOOKUP(Pipeline_tbl[[#This Row],[Rep_ID]],Dim_Reps!A:A,Dim_Reps!K:K)</f>
        <v>EUR</v>
      </c>
      <c r="N49" s="33">
        <f>(_xlfn.XLOOKUP(Pipeline_tbl[[#This Row],[Rate_Code_Generalized]],Lookups!A:A,Lookups!B:B))*Pipeline_tbl[[#This Row],[Pipeline_Amount_USD]]</f>
        <v>13000</v>
      </c>
      <c r="O49" t="str">
        <f>_xlfn.XLOOKUP(Pipeline_tbl[[#This Row],[Rep_ID]],Dim_Reps!A:A,Dim_Reps!B:B)</f>
        <v>Ivy Adler</v>
      </c>
      <c r="P49" t="str">
        <f>_xlfn.XLOOKUP(Pipeline_tbl[[#This Row],[Rep_ID]],Dim_Reps!A:A,Dim_Reps!C:C)</f>
        <v>Mid-Market AE</v>
      </c>
      <c r="Q49" t="str">
        <f>_xlfn.XLOOKUP(Pipeline_tbl[[#This Row],[Rep_ID]],Dim_Reps!A:A,Dim_Reps!D:D)</f>
        <v>Mid-Market</v>
      </c>
      <c r="R49" t="str">
        <f>_xlfn.XLOOKUP(Pipeline_tbl[[#This Row],[Rep_ID]],Dim_Reps!A:A,Dim_Reps!E:E)</f>
        <v>APAC</v>
      </c>
      <c r="S49" t="str">
        <f>_xlfn.XLOOKUP(Pipeline_tbl[[#This Row],[Created_Date]],Dim_Date!A:A,Dim_Date!H:H)</f>
        <v>Sep 2025</v>
      </c>
      <c r="T49" t="str">
        <f>IF(Pipeline_tbl[[#This Row],[Closed_Date]]=0,"",(_xlfn.XLOOKUP(Pipeline_tbl[[#This Row],[Closed_Date]],Dim_Date!A:A,Dim_Date!H:H)))</f>
        <v>Nov 2025</v>
      </c>
      <c r="U49">
        <f>IF(Pipeline_tbl[[#This Row],[Closed_Date]]=0,"",Pipeline_tbl[[#This Row],[Closed_Date]]-Pipeline_tbl[[#This Row],[Created_Date]])</f>
        <v>45</v>
      </c>
    </row>
    <row r="50" spans="1:21" ht="15" customHeight="1" x14ac:dyDescent="0.2">
      <c r="A50" t="s">
        <v>356</v>
      </c>
      <c r="B50" t="s">
        <v>193</v>
      </c>
      <c r="C50" t="s">
        <v>52</v>
      </c>
      <c r="D50" s="49">
        <v>45929</v>
      </c>
      <c r="E50" s="49">
        <v>45932</v>
      </c>
      <c r="F50" s="49">
        <v>45938</v>
      </c>
      <c r="G50" s="49">
        <v>45947</v>
      </c>
      <c r="I50" s="49">
        <v>45959</v>
      </c>
      <c r="J50" t="s">
        <v>49</v>
      </c>
      <c r="K50" s="33">
        <v>7600</v>
      </c>
      <c r="L50" t="s">
        <v>63</v>
      </c>
      <c r="M50" t="str">
        <f>_xlfn.XLOOKUP(Pipeline_tbl[[#This Row],[Rep_ID]],Dim_Reps!A:A,Dim_Reps!K:K)</f>
        <v>USD</v>
      </c>
      <c r="N50" s="33">
        <f>(_xlfn.XLOOKUP(Pipeline_tbl[[#This Row],[Rate_Code_Generalized]],Lookups!A:A,Lookups!B:B))*Pipeline_tbl[[#This Row],[Pipeline_Amount_USD]]</f>
        <v>8848.6799999999985</v>
      </c>
      <c r="O50" t="str">
        <f>_xlfn.XLOOKUP(Pipeline_tbl[[#This Row],[Rep_ID]],Dim_Reps!A:A,Dim_Reps!B:B)</f>
        <v>Karim Rossi</v>
      </c>
      <c r="P50" t="str">
        <f>_xlfn.XLOOKUP(Pipeline_tbl[[#This Row],[Rep_ID]],Dim_Reps!A:A,Dim_Reps!C:C)</f>
        <v>SDR / Inside Sales Rep</v>
      </c>
      <c r="Q50" t="str">
        <f>_xlfn.XLOOKUP(Pipeline_tbl[[#This Row],[Rep_ID]],Dim_Reps!A:A,Dim_Reps!D:D)</f>
        <v>Inside Sales</v>
      </c>
      <c r="R50" t="str">
        <f>_xlfn.XLOOKUP(Pipeline_tbl[[#This Row],[Rep_ID]],Dim_Reps!A:A,Dim_Reps!E:E)</f>
        <v>NAMER</v>
      </c>
      <c r="S50" t="str">
        <f>_xlfn.XLOOKUP(Pipeline_tbl[[#This Row],[Created_Date]],Dim_Date!A:A,Dim_Date!H:H)</f>
        <v>Sep 2025</v>
      </c>
      <c r="T50" t="str">
        <f>IF(Pipeline_tbl[[#This Row],[Closed_Date]]=0,"",(_xlfn.XLOOKUP(Pipeline_tbl[[#This Row],[Closed_Date]],Dim_Date!A:A,Dim_Date!H:H)))</f>
        <v>Oct 2025</v>
      </c>
      <c r="U50">
        <f>IF(Pipeline_tbl[[#This Row],[Closed_Date]]=0,"",Pipeline_tbl[[#This Row],[Closed_Date]]-Pipeline_tbl[[#This Row],[Created_Date]])</f>
        <v>30</v>
      </c>
    </row>
    <row r="51" spans="1:21" ht="15" customHeight="1" x14ac:dyDescent="0.2">
      <c r="A51" t="s">
        <v>357</v>
      </c>
      <c r="B51" t="s">
        <v>193</v>
      </c>
      <c r="C51" t="s">
        <v>53</v>
      </c>
      <c r="D51" s="49">
        <v>45919</v>
      </c>
      <c r="E51" s="49">
        <v>45921</v>
      </c>
      <c r="F51" s="49">
        <v>45924</v>
      </c>
      <c r="G51" s="49">
        <v>45929</v>
      </c>
      <c r="I51" s="49">
        <v>45935</v>
      </c>
      <c r="J51" t="s">
        <v>49</v>
      </c>
      <c r="K51" s="33">
        <v>1100</v>
      </c>
      <c r="L51" t="s">
        <v>63</v>
      </c>
      <c r="M51" t="str">
        <f>_xlfn.XLOOKUP(Pipeline_tbl[[#This Row],[Rep_ID]],Dim_Reps!A:A,Dim_Reps!K:K)</f>
        <v>USD</v>
      </c>
      <c r="N51" s="33">
        <f>(_xlfn.XLOOKUP(Pipeline_tbl[[#This Row],[Rate_Code_Generalized]],Lookups!A:A,Lookups!B:B))*Pipeline_tbl[[#This Row],[Pipeline_Amount_USD]]</f>
        <v>1280.7299999999998</v>
      </c>
      <c r="O51" t="str">
        <f>_xlfn.XLOOKUP(Pipeline_tbl[[#This Row],[Rep_ID]],Dim_Reps!A:A,Dim_Reps!B:B)</f>
        <v>Karim Rossi</v>
      </c>
      <c r="P51" t="str">
        <f>_xlfn.XLOOKUP(Pipeline_tbl[[#This Row],[Rep_ID]],Dim_Reps!A:A,Dim_Reps!C:C)</f>
        <v>SDR / Inside Sales Rep</v>
      </c>
      <c r="Q51" t="str">
        <f>_xlfn.XLOOKUP(Pipeline_tbl[[#This Row],[Rep_ID]],Dim_Reps!A:A,Dim_Reps!D:D)</f>
        <v>Inside Sales</v>
      </c>
      <c r="R51" t="str">
        <f>_xlfn.XLOOKUP(Pipeline_tbl[[#This Row],[Rep_ID]],Dim_Reps!A:A,Dim_Reps!E:E)</f>
        <v>NAMER</v>
      </c>
      <c r="S51" t="str">
        <f>_xlfn.XLOOKUP(Pipeline_tbl[[#This Row],[Created_Date]],Dim_Date!A:A,Dim_Date!H:H)</f>
        <v>Sep 2025</v>
      </c>
      <c r="T51" t="str">
        <f>IF(Pipeline_tbl[[#This Row],[Closed_Date]]=0,"",(_xlfn.XLOOKUP(Pipeline_tbl[[#This Row],[Closed_Date]],Dim_Date!A:A,Dim_Date!H:H)))</f>
        <v>Oct 2025</v>
      </c>
      <c r="U51">
        <f>IF(Pipeline_tbl[[#This Row],[Closed_Date]]=0,"",Pipeline_tbl[[#This Row],[Closed_Date]]-Pipeline_tbl[[#This Row],[Created_Date]])</f>
        <v>16</v>
      </c>
    </row>
    <row r="52" spans="1:21" ht="15" customHeight="1" x14ac:dyDescent="0.2">
      <c r="A52" t="s">
        <v>358</v>
      </c>
      <c r="B52" t="s">
        <v>193</v>
      </c>
      <c r="C52" t="s">
        <v>54</v>
      </c>
      <c r="D52" s="49">
        <v>45920</v>
      </c>
      <c r="E52" s="49">
        <v>45922</v>
      </c>
      <c r="F52" s="49">
        <v>45925</v>
      </c>
      <c r="G52" s="49">
        <v>45930</v>
      </c>
      <c r="H52" s="49">
        <v>45934</v>
      </c>
      <c r="I52" s="49">
        <v>45936</v>
      </c>
      <c r="J52" t="s">
        <v>47</v>
      </c>
      <c r="K52" s="33">
        <v>4000</v>
      </c>
      <c r="M52" t="str">
        <f>_xlfn.XLOOKUP(Pipeline_tbl[[#This Row],[Rep_ID]],Dim_Reps!A:A,Dim_Reps!K:K)</f>
        <v>USD</v>
      </c>
      <c r="N52" s="33">
        <f>(_xlfn.XLOOKUP(Pipeline_tbl[[#This Row],[Rate_Code_Generalized]],Lookups!A:A,Lookups!B:B))*Pipeline_tbl[[#This Row],[Pipeline_Amount_USD]]</f>
        <v>4657.2</v>
      </c>
      <c r="O52" t="str">
        <f>_xlfn.XLOOKUP(Pipeline_tbl[[#This Row],[Rep_ID]],Dim_Reps!A:A,Dim_Reps!B:B)</f>
        <v>Karim Rossi</v>
      </c>
      <c r="P52" t="str">
        <f>_xlfn.XLOOKUP(Pipeline_tbl[[#This Row],[Rep_ID]],Dim_Reps!A:A,Dim_Reps!C:C)</f>
        <v>SDR / Inside Sales Rep</v>
      </c>
      <c r="Q52" t="str">
        <f>_xlfn.XLOOKUP(Pipeline_tbl[[#This Row],[Rep_ID]],Dim_Reps!A:A,Dim_Reps!D:D)</f>
        <v>Inside Sales</v>
      </c>
      <c r="R52" t="str">
        <f>_xlfn.XLOOKUP(Pipeline_tbl[[#This Row],[Rep_ID]],Dim_Reps!A:A,Dim_Reps!E:E)</f>
        <v>NAMER</v>
      </c>
      <c r="S52" t="str">
        <f>_xlfn.XLOOKUP(Pipeline_tbl[[#This Row],[Created_Date]],Dim_Date!A:A,Dim_Date!H:H)</f>
        <v>Sep 2025</v>
      </c>
      <c r="T52" t="str">
        <f>IF(Pipeline_tbl[[#This Row],[Closed_Date]]=0,"",(_xlfn.XLOOKUP(Pipeline_tbl[[#This Row],[Closed_Date]],Dim_Date!A:A,Dim_Date!H:H)))</f>
        <v>Oct 2025</v>
      </c>
      <c r="U52">
        <f>IF(Pipeline_tbl[[#This Row],[Closed_Date]]=0,"",Pipeline_tbl[[#This Row],[Closed_Date]]-Pipeline_tbl[[#This Row],[Created_Date]])</f>
        <v>16</v>
      </c>
    </row>
    <row r="53" spans="1:21" ht="15" customHeight="1" x14ac:dyDescent="0.2">
      <c r="A53" t="s">
        <v>359</v>
      </c>
      <c r="B53" t="s">
        <v>193</v>
      </c>
      <c r="C53" t="s">
        <v>55</v>
      </c>
      <c r="D53" s="49">
        <v>45914</v>
      </c>
      <c r="E53" s="49">
        <v>45916</v>
      </c>
      <c r="F53" s="49">
        <v>45919</v>
      </c>
      <c r="G53" s="49">
        <v>45924</v>
      </c>
      <c r="I53" s="49">
        <v>45931</v>
      </c>
      <c r="J53" t="s">
        <v>49</v>
      </c>
      <c r="K53" s="33">
        <v>4100</v>
      </c>
      <c r="L53" t="s">
        <v>63</v>
      </c>
      <c r="M53" t="str">
        <f>_xlfn.XLOOKUP(Pipeline_tbl[[#This Row],[Rep_ID]],Dim_Reps!A:A,Dim_Reps!K:K)</f>
        <v>USD</v>
      </c>
      <c r="N53" s="33">
        <f>(_xlfn.XLOOKUP(Pipeline_tbl[[#This Row],[Rate_Code_Generalized]],Lookups!A:A,Lookups!B:B))*Pipeline_tbl[[#This Row],[Pipeline_Amount_USD]]</f>
        <v>4773.6299999999992</v>
      </c>
      <c r="O53" t="str">
        <f>_xlfn.XLOOKUP(Pipeline_tbl[[#This Row],[Rep_ID]],Dim_Reps!A:A,Dim_Reps!B:B)</f>
        <v>Karim Rossi</v>
      </c>
      <c r="P53" t="str">
        <f>_xlfn.XLOOKUP(Pipeline_tbl[[#This Row],[Rep_ID]],Dim_Reps!A:A,Dim_Reps!C:C)</f>
        <v>SDR / Inside Sales Rep</v>
      </c>
      <c r="Q53" t="str">
        <f>_xlfn.XLOOKUP(Pipeline_tbl[[#This Row],[Rep_ID]],Dim_Reps!A:A,Dim_Reps!D:D)</f>
        <v>Inside Sales</v>
      </c>
      <c r="R53" t="str">
        <f>_xlfn.XLOOKUP(Pipeline_tbl[[#This Row],[Rep_ID]],Dim_Reps!A:A,Dim_Reps!E:E)</f>
        <v>NAMER</v>
      </c>
      <c r="S53" t="str">
        <f>_xlfn.XLOOKUP(Pipeline_tbl[[#This Row],[Created_Date]],Dim_Date!A:A,Dim_Date!H:H)</f>
        <v>Sep 2025</v>
      </c>
      <c r="T53" t="str">
        <f>IF(Pipeline_tbl[[#This Row],[Closed_Date]]=0,"",(_xlfn.XLOOKUP(Pipeline_tbl[[#This Row],[Closed_Date]],Dim_Date!A:A,Dim_Date!H:H)))</f>
        <v>Oct 2025</v>
      </c>
      <c r="U53">
        <f>IF(Pipeline_tbl[[#This Row],[Closed_Date]]=0,"",Pipeline_tbl[[#This Row],[Closed_Date]]-Pipeline_tbl[[#This Row],[Created_Date]])</f>
        <v>17</v>
      </c>
    </row>
    <row r="54" spans="1:21" ht="15" customHeight="1" x14ac:dyDescent="0.2">
      <c r="A54" t="s">
        <v>360</v>
      </c>
      <c r="B54" t="s">
        <v>177</v>
      </c>
      <c r="C54" t="s">
        <v>52</v>
      </c>
      <c r="D54" s="49">
        <v>45922</v>
      </c>
      <c r="E54" s="49">
        <v>45925</v>
      </c>
      <c r="F54" s="49">
        <v>45932</v>
      </c>
      <c r="G54" s="49">
        <v>45941</v>
      </c>
      <c r="H54" s="49">
        <v>45949</v>
      </c>
      <c r="I54" s="49">
        <v>45954</v>
      </c>
      <c r="J54" t="s">
        <v>49</v>
      </c>
      <c r="K54" s="33">
        <v>17500</v>
      </c>
      <c r="L54" t="s">
        <v>64</v>
      </c>
      <c r="M54" t="str">
        <f>_xlfn.XLOOKUP(Pipeline_tbl[[#This Row],[Rep_ID]],Dim_Reps!A:A,Dim_Reps!K:K)</f>
        <v>USD</v>
      </c>
      <c r="N54" s="33">
        <f>(_xlfn.XLOOKUP(Pipeline_tbl[[#This Row],[Rate_Code_Generalized]],Lookups!A:A,Lookups!B:B))*Pipeline_tbl[[#This Row],[Pipeline_Amount_USD]]</f>
        <v>20375.249999999996</v>
      </c>
      <c r="O54" t="str">
        <f>_xlfn.XLOOKUP(Pipeline_tbl[[#This Row],[Rep_ID]],Dim_Reps!A:A,Dim_Reps!B:B)</f>
        <v>Lucas Cohen</v>
      </c>
      <c r="P54" t="str">
        <f>_xlfn.XLOOKUP(Pipeline_tbl[[#This Row],[Rep_ID]],Dim_Reps!A:A,Dim_Reps!C:C)</f>
        <v>Enterprise AE</v>
      </c>
      <c r="Q54" t="str">
        <f>_xlfn.XLOOKUP(Pipeline_tbl[[#This Row],[Rep_ID]],Dim_Reps!A:A,Dim_Reps!D:D)</f>
        <v>Enterprise</v>
      </c>
      <c r="R54" t="str">
        <f>_xlfn.XLOOKUP(Pipeline_tbl[[#This Row],[Rep_ID]],Dim_Reps!A:A,Dim_Reps!E:E)</f>
        <v>NAMER</v>
      </c>
      <c r="S54" t="str">
        <f>_xlfn.XLOOKUP(Pipeline_tbl[[#This Row],[Created_Date]],Dim_Date!A:A,Dim_Date!H:H)</f>
        <v>Sep 2025</v>
      </c>
      <c r="T54" t="str">
        <f>IF(Pipeline_tbl[[#This Row],[Closed_Date]]=0,"",(_xlfn.XLOOKUP(Pipeline_tbl[[#This Row],[Closed_Date]],Dim_Date!A:A,Dim_Date!H:H)))</f>
        <v>Oct 2025</v>
      </c>
      <c r="U54">
        <f>IF(Pipeline_tbl[[#This Row],[Closed_Date]]=0,"",Pipeline_tbl[[#This Row],[Closed_Date]]-Pipeline_tbl[[#This Row],[Created_Date]])</f>
        <v>32</v>
      </c>
    </row>
    <row r="55" spans="1:21" ht="15" customHeight="1" x14ac:dyDescent="0.2">
      <c r="A55" t="s">
        <v>361</v>
      </c>
      <c r="B55" t="s">
        <v>243</v>
      </c>
      <c r="C55" t="s">
        <v>55</v>
      </c>
      <c r="D55" s="49">
        <v>45921</v>
      </c>
      <c r="E55" s="49">
        <v>45925</v>
      </c>
      <c r="F55" s="49">
        <v>45932</v>
      </c>
      <c r="G55" s="49">
        <v>45943</v>
      </c>
      <c r="H55" s="49">
        <v>45952</v>
      </c>
      <c r="I55" s="49">
        <v>45957</v>
      </c>
      <c r="J55" t="s">
        <v>47</v>
      </c>
      <c r="K55" s="33">
        <v>23900</v>
      </c>
      <c r="M55" t="str">
        <f>_xlfn.XLOOKUP(Pipeline_tbl[[#This Row],[Rep_ID]],Dim_Reps!A:A,Dim_Reps!K:K)</f>
        <v>MXN</v>
      </c>
      <c r="N55" s="33">
        <f>(_xlfn.XLOOKUP(Pipeline_tbl[[#This Row],[Rate_Code_Generalized]],Lookups!A:A,Lookups!B:B))*Pipeline_tbl[[#This Row],[Pipeline_Amount_USD]]</f>
        <v>471611.53</v>
      </c>
      <c r="O55" t="str">
        <f>_xlfn.XLOOKUP(Pipeline_tbl[[#This Row],[Rep_ID]],Dim_Reps!A:A,Dim_Reps!B:B)</f>
        <v>Jonas Sato</v>
      </c>
      <c r="P55" t="str">
        <f>_xlfn.XLOOKUP(Pipeline_tbl[[#This Row],[Rep_ID]],Dim_Reps!A:A,Dim_Reps!C:C)</f>
        <v>Mid-Market AE</v>
      </c>
      <c r="Q55" t="str">
        <f>_xlfn.XLOOKUP(Pipeline_tbl[[#This Row],[Rep_ID]],Dim_Reps!A:A,Dim_Reps!D:D)</f>
        <v>Mid-Market</v>
      </c>
      <c r="R55" t="str">
        <f>_xlfn.XLOOKUP(Pipeline_tbl[[#This Row],[Rep_ID]],Dim_Reps!A:A,Dim_Reps!E:E)</f>
        <v>LATAM</v>
      </c>
      <c r="S55" t="str">
        <f>_xlfn.XLOOKUP(Pipeline_tbl[[#This Row],[Created_Date]],Dim_Date!A:A,Dim_Date!H:H)</f>
        <v>Sep 2025</v>
      </c>
      <c r="T55" t="str">
        <f>IF(Pipeline_tbl[[#This Row],[Closed_Date]]=0,"",(_xlfn.XLOOKUP(Pipeline_tbl[[#This Row],[Closed_Date]],Dim_Date!A:A,Dim_Date!H:H)))</f>
        <v>Oct 2025</v>
      </c>
      <c r="U55">
        <f>IF(Pipeline_tbl[[#This Row],[Closed_Date]]=0,"",Pipeline_tbl[[#This Row],[Closed_Date]]-Pipeline_tbl[[#This Row],[Created_Date]])</f>
        <v>36</v>
      </c>
    </row>
    <row r="56" spans="1:21" ht="15" customHeight="1" x14ac:dyDescent="0.2">
      <c r="A56" t="s">
        <v>362</v>
      </c>
      <c r="B56" t="s">
        <v>243</v>
      </c>
      <c r="C56" t="s">
        <v>52</v>
      </c>
      <c r="D56" s="49">
        <v>45909</v>
      </c>
      <c r="E56" s="49">
        <v>45913</v>
      </c>
      <c r="F56" s="49">
        <v>45920</v>
      </c>
      <c r="G56" s="49">
        <v>45931</v>
      </c>
      <c r="H56" s="49">
        <v>45940</v>
      </c>
      <c r="I56" s="49">
        <v>45946</v>
      </c>
      <c r="J56" t="s">
        <v>47</v>
      </c>
      <c r="K56" s="33">
        <v>15100</v>
      </c>
      <c r="M56" t="str">
        <f>_xlfn.XLOOKUP(Pipeline_tbl[[#This Row],[Rep_ID]],Dim_Reps!A:A,Dim_Reps!K:K)</f>
        <v>MXN</v>
      </c>
      <c r="N56" s="33">
        <f>(_xlfn.XLOOKUP(Pipeline_tbl[[#This Row],[Rate_Code_Generalized]],Lookups!A:A,Lookups!B:B))*Pipeline_tbl[[#This Row],[Pipeline_Amount_USD]]</f>
        <v>297963.77</v>
      </c>
      <c r="O56" t="str">
        <f>_xlfn.XLOOKUP(Pipeline_tbl[[#This Row],[Rep_ID]],Dim_Reps!A:A,Dim_Reps!B:B)</f>
        <v>Jonas Sato</v>
      </c>
      <c r="P56" t="str">
        <f>_xlfn.XLOOKUP(Pipeline_tbl[[#This Row],[Rep_ID]],Dim_Reps!A:A,Dim_Reps!C:C)</f>
        <v>Mid-Market AE</v>
      </c>
      <c r="Q56" t="str">
        <f>_xlfn.XLOOKUP(Pipeline_tbl[[#This Row],[Rep_ID]],Dim_Reps!A:A,Dim_Reps!D:D)</f>
        <v>Mid-Market</v>
      </c>
      <c r="R56" t="str">
        <f>_xlfn.XLOOKUP(Pipeline_tbl[[#This Row],[Rep_ID]],Dim_Reps!A:A,Dim_Reps!E:E)</f>
        <v>LATAM</v>
      </c>
      <c r="S56" t="str">
        <f>_xlfn.XLOOKUP(Pipeline_tbl[[#This Row],[Created_Date]],Dim_Date!A:A,Dim_Date!H:H)</f>
        <v>Sep 2025</v>
      </c>
      <c r="T56" t="str">
        <f>IF(Pipeline_tbl[[#This Row],[Closed_Date]]=0,"",(_xlfn.XLOOKUP(Pipeline_tbl[[#This Row],[Closed_Date]],Dim_Date!A:A,Dim_Date!H:H)))</f>
        <v>Oct 2025</v>
      </c>
      <c r="U56">
        <f>IF(Pipeline_tbl[[#This Row],[Closed_Date]]=0,"",Pipeline_tbl[[#This Row],[Closed_Date]]-Pipeline_tbl[[#This Row],[Created_Date]])</f>
        <v>37</v>
      </c>
    </row>
    <row r="57" spans="1:21" ht="15" customHeight="1" x14ac:dyDescent="0.2">
      <c r="A57" t="s">
        <v>363</v>
      </c>
      <c r="B57" t="s">
        <v>243</v>
      </c>
      <c r="C57" t="s">
        <v>54</v>
      </c>
      <c r="D57" s="49">
        <v>45925</v>
      </c>
      <c r="E57" s="49">
        <v>45927</v>
      </c>
      <c r="F57" s="49">
        <v>45932</v>
      </c>
      <c r="G57" s="49">
        <v>45939</v>
      </c>
      <c r="H57" s="49">
        <v>45945</v>
      </c>
      <c r="I57" s="49">
        <v>45949</v>
      </c>
      <c r="J57" t="s">
        <v>49</v>
      </c>
      <c r="K57" s="33">
        <v>7800</v>
      </c>
      <c r="L57" t="s">
        <v>60</v>
      </c>
      <c r="M57" t="str">
        <f>_xlfn.XLOOKUP(Pipeline_tbl[[#This Row],[Rep_ID]],Dim_Reps!A:A,Dim_Reps!K:K)</f>
        <v>MXN</v>
      </c>
      <c r="N57" s="33">
        <f>(_xlfn.XLOOKUP(Pipeline_tbl[[#This Row],[Rate_Code_Generalized]],Lookups!A:A,Lookups!B:B))*Pipeline_tbl[[#This Row],[Pipeline_Amount_USD]]</f>
        <v>153915.06</v>
      </c>
      <c r="O57" t="str">
        <f>_xlfn.XLOOKUP(Pipeline_tbl[[#This Row],[Rep_ID]],Dim_Reps!A:A,Dim_Reps!B:B)</f>
        <v>Jonas Sato</v>
      </c>
      <c r="P57" t="str">
        <f>_xlfn.XLOOKUP(Pipeline_tbl[[#This Row],[Rep_ID]],Dim_Reps!A:A,Dim_Reps!C:C)</f>
        <v>Mid-Market AE</v>
      </c>
      <c r="Q57" t="str">
        <f>_xlfn.XLOOKUP(Pipeline_tbl[[#This Row],[Rep_ID]],Dim_Reps!A:A,Dim_Reps!D:D)</f>
        <v>Mid-Market</v>
      </c>
      <c r="R57" t="str">
        <f>_xlfn.XLOOKUP(Pipeline_tbl[[#This Row],[Rep_ID]],Dim_Reps!A:A,Dim_Reps!E:E)</f>
        <v>LATAM</v>
      </c>
      <c r="S57" t="str">
        <f>_xlfn.XLOOKUP(Pipeline_tbl[[#This Row],[Created_Date]],Dim_Date!A:A,Dim_Date!H:H)</f>
        <v>Sep 2025</v>
      </c>
      <c r="T57" t="str">
        <f>IF(Pipeline_tbl[[#This Row],[Closed_Date]]=0,"",(_xlfn.XLOOKUP(Pipeline_tbl[[#This Row],[Closed_Date]],Dim_Date!A:A,Dim_Date!H:H)))</f>
        <v>Oct 2025</v>
      </c>
      <c r="U57">
        <f>IF(Pipeline_tbl[[#This Row],[Closed_Date]]=0,"",Pipeline_tbl[[#This Row],[Closed_Date]]-Pipeline_tbl[[#This Row],[Created_Date]])</f>
        <v>24</v>
      </c>
    </row>
    <row r="58" spans="1:21" ht="15" customHeight="1" x14ac:dyDescent="0.2">
      <c r="A58" t="s">
        <v>364</v>
      </c>
      <c r="B58" t="s">
        <v>243</v>
      </c>
      <c r="C58" t="s">
        <v>54</v>
      </c>
      <c r="D58" s="49">
        <v>45917</v>
      </c>
      <c r="E58" s="49">
        <v>45919</v>
      </c>
      <c r="F58" s="49">
        <v>45923</v>
      </c>
      <c r="G58" s="49">
        <v>45930</v>
      </c>
      <c r="H58" s="49">
        <v>45935</v>
      </c>
      <c r="I58" s="49">
        <v>45938</v>
      </c>
      <c r="J58" t="s">
        <v>47</v>
      </c>
      <c r="K58" s="33">
        <v>7400</v>
      </c>
      <c r="M58" t="str">
        <f>_xlfn.XLOOKUP(Pipeline_tbl[[#This Row],[Rep_ID]],Dim_Reps!A:A,Dim_Reps!K:K)</f>
        <v>MXN</v>
      </c>
      <c r="N58" s="33">
        <f>(_xlfn.XLOOKUP(Pipeline_tbl[[#This Row],[Rate_Code_Generalized]],Lookups!A:A,Lookups!B:B))*Pipeline_tbl[[#This Row],[Pipeline_Amount_USD]]</f>
        <v>146021.98000000001</v>
      </c>
      <c r="O58" t="str">
        <f>_xlfn.XLOOKUP(Pipeline_tbl[[#This Row],[Rep_ID]],Dim_Reps!A:A,Dim_Reps!B:B)</f>
        <v>Jonas Sato</v>
      </c>
      <c r="P58" t="str">
        <f>_xlfn.XLOOKUP(Pipeline_tbl[[#This Row],[Rep_ID]],Dim_Reps!A:A,Dim_Reps!C:C)</f>
        <v>Mid-Market AE</v>
      </c>
      <c r="Q58" t="str">
        <f>_xlfn.XLOOKUP(Pipeline_tbl[[#This Row],[Rep_ID]],Dim_Reps!A:A,Dim_Reps!D:D)</f>
        <v>Mid-Market</v>
      </c>
      <c r="R58" t="str">
        <f>_xlfn.XLOOKUP(Pipeline_tbl[[#This Row],[Rep_ID]],Dim_Reps!A:A,Dim_Reps!E:E)</f>
        <v>LATAM</v>
      </c>
      <c r="S58" t="str">
        <f>_xlfn.XLOOKUP(Pipeline_tbl[[#This Row],[Created_Date]],Dim_Date!A:A,Dim_Date!H:H)</f>
        <v>Sep 2025</v>
      </c>
      <c r="T58" t="str">
        <f>IF(Pipeline_tbl[[#This Row],[Closed_Date]]=0,"",(_xlfn.XLOOKUP(Pipeline_tbl[[#This Row],[Closed_Date]],Dim_Date!A:A,Dim_Date!H:H)))</f>
        <v>Oct 2025</v>
      </c>
      <c r="U58">
        <f>IF(Pipeline_tbl[[#This Row],[Closed_Date]]=0,"",Pipeline_tbl[[#This Row],[Closed_Date]]-Pipeline_tbl[[#This Row],[Created_Date]])</f>
        <v>21</v>
      </c>
    </row>
    <row r="59" spans="1:21" ht="15" customHeight="1" x14ac:dyDescent="0.2">
      <c r="A59" t="s">
        <v>365</v>
      </c>
      <c r="B59" t="s">
        <v>196</v>
      </c>
      <c r="C59" t="s">
        <v>52</v>
      </c>
      <c r="D59" s="49">
        <v>45922</v>
      </c>
      <c r="E59" s="49">
        <v>45925</v>
      </c>
      <c r="F59" s="49">
        <v>45930</v>
      </c>
      <c r="I59" s="49">
        <v>45949</v>
      </c>
      <c r="J59" t="s">
        <v>49</v>
      </c>
      <c r="K59" s="33">
        <v>3200</v>
      </c>
      <c r="L59" t="s">
        <v>61</v>
      </c>
      <c r="M59" t="str">
        <f>_xlfn.XLOOKUP(Pipeline_tbl[[#This Row],[Rep_ID]],Dim_Reps!A:A,Dim_Reps!K:K)</f>
        <v>EUR</v>
      </c>
      <c r="N59" s="33">
        <f>(_xlfn.XLOOKUP(Pipeline_tbl[[#This Row],[Rate_Code_Generalized]],Lookups!A:A,Lookups!B:B))*Pipeline_tbl[[#This Row],[Pipeline_Amount_USD]]</f>
        <v>3200</v>
      </c>
      <c r="O59" t="str">
        <f>_xlfn.XLOOKUP(Pipeline_tbl[[#This Row],[Rep_ID]],Dim_Reps!A:A,Dim_Reps!B:B)</f>
        <v>Alex Okafor</v>
      </c>
      <c r="P59" t="str">
        <f>_xlfn.XLOOKUP(Pipeline_tbl[[#This Row],[Rep_ID]],Dim_Reps!A:A,Dim_Reps!C:C)</f>
        <v>SDR / Inside Sales Rep</v>
      </c>
      <c r="Q59" t="str">
        <f>_xlfn.XLOOKUP(Pipeline_tbl[[#This Row],[Rep_ID]],Dim_Reps!A:A,Dim_Reps!D:D)</f>
        <v>Inside Sales</v>
      </c>
      <c r="R59" t="str">
        <f>_xlfn.XLOOKUP(Pipeline_tbl[[#This Row],[Rep_ID]],Dim_Reps!A:A,Dim_Reps!E:E)</f>
        <v>EMEA</v>
      </c>
      <c r="S59" t="str">
        <f>_xlfn.XLOOKUP(Pipeline_tbl[[#This Row],[Created_Date]],Dim_Date!A:A,Dim_Date!H:H)</f>
        <v>Sep 2025</v>
      </c>
      <c r="T59" t="str">
        <f>IF(Pipeline_tbl[[#This Row],[Closed_Date]]=0,"",(_xlfn.XLOOKUP(Pipeline_tbl[[#This Row],[Closed_Date]],Dim_Date!A:A,Dim_Date!H:H)))</f>
        <v>Oct 2025</v>
      </c>
      <c r="U59">
        <f>IF(Pipeline_tbl[[#This Row],[Closed_Date]]=0,"",Pipeline_tbl[[#This Row],[Closed_Date]]-Pipeline_tbl[[#This Row],[Created_Date]])</f>
        <v>27</v>
      </c>
    </row>
    <row r="60" spans="1:21" ht="15" customHeight="1" x14ac:dyDescent="0.2">
      <c r="A60" t="s">
        <v>366</v>
      </c>
      <c r="B60" t="s">
        <v>196</v>
      </c>
      <c r="C60" t="s">
        <v>53</v>
      </c>
      <c r="D60" s="49">
        <v>45919</v>
      </c>
      <c r="E60" s="49">
        <v>45921</v>
      </c>
      <c r="F60" s="49">
        <v>45925</v>
      </c>
      <c r="G60" s="49">
        <v>45931</v>
      </c>
      <c r="H60" s="49">
        <v>45936</v>
      </c>
      <c r="I60" s="49">
        <v>45939</v>
      </c>
      <c r="J60" t="s">
        <v>49</v>
      </c>
      <c r="K60" s="33">
        <v>4200</v>
      </c>
      <c r="L60" t="s">
        <v>60</v>
      </c>
      <c r="M60" t="str">
        <f>_xlfn.XLOOKUP(Pipeline_tbl[[#This Row],[Rep_ID]],Dim_Reps!A:A,Dim_Reps!K:K)</f>
        <v>EUR</v>
      </c>
      <c r="N60" s="33">
        <f>(_xlfn.XLOOKUP(Pipeline_tbl[[#This Row],[Rate_Code_Generalized]],Lookups!A:A,Lookups!B:B))*Pipeline_tbl[[#This Row],[Pipeline_Amount_USD]]</f>
        <v>4200</v>
      </c>
      <c r="O60" t="str">
        <f>_xlfn.XLOOKUP(Pipeline_tbl[[#This Row],[Rep_ID]],Dim_Reps!A:A,Dim_Reps!B:B)</f>
        <v>Alex Okafor</v>
      </c>
      <c r="P60" t="str">
        <f>_xlfn.XLOOKUP(Pipeline_tbl[[#This Row],[Rep_ID]],Dim_Reps!A:A,Dim_Reps!C:C)</f>
        <v>SDR / Inside Sales Rep</v>
      </c>
      <c r="Q60" t="str">
        <f>_xlfn.XLOOKUP(Pipeline_tbl[[#This Row],[Rep_ID]],Dim_Reps!A:A,Dim_Reps!D:D)</f>
        <v>Inside Sales</v>
      </c>
      <c r="R60" t="str">
        <f>_xlfn.XLOOKUP(Pipeline_tbl[[#This Row],[Rep_ID]],Dim_Reps!A:A,Dim_Reps!E:E)</f>
        <v>EMEA</v>
      </c>
      <c r="S60" t="str">
        <f>_xlfn.XLOOKUP(Pipeline_tbl[[#This Row],[Created_Date]],Dim_Date!A:A,Dim_Date!H:H)</f>
        <v>Sep 2025</v>
      </c>
      <c r="T60" t="str">
        <f>IF(Pipeline_tbl[[#This Row],[Closed_Date]]=0,"",(_xlfn.XLOOKUP(Pipeline_tbl[[#This Row],[Closed_Date]],Dim_Date!A:A,Dim_Date!H:H)))</f>
        <v>Oct 2025</v>
      </c>
      <c r="U60">
        <f>IF(Pipeline_tbl[[#This Row],[Closed_Date]]=0,"",Pipeline_tbl[[#This Row],[Closed_Date]]-Pipeline_tbl[[#This Row],[Created_Date]])</f>
        <v>20</v>
      </c>
    </row>
    <row r="61" spans="1:21" ht="15" customHeight="1" x14ac:dyDescent="0.2">
      <c r="A61" t="s">
        <v>367</v>
      </c>
      <c r="B61" t="s">
        <v>196</v>
      </c>
      <c r="C61" t="s">
        <v>54</v>
      </c>
      <c r="D61" s="49">
        <v>45907</v>
      </c>
      <c r="E61" s="49">
        <v>45909</v>
      </c>
      <c r="I61" s="49">
        <v>45932</v>
      </c>
      <c r="J61" t="s">
        <v>49</v>
      </c>
      <c r="K61" s="33">
        <v>2300</v>
      </c>
      <c r="L61" t="s">
        <v>62</v>
      </c>
      <c r="M61" t="str">
        <f>_xlfn.XLOOKUP(Pipeline_tbl[[#This Row],[Rep_ID]],Dim_Reps!A:A,Dim_Reps!K:K)</f>
        <v>EUR</v>
      </c>
      <c r="N61" s="33">
        <f>(_xlfn.XLOOKUP(Pipeline_tbl[[#This Row],[Rate_Code_Generalized]],Lookups!A:A,Lookups!B:B))*Pipeline_tbl[[#This Row],[Pipeline_Amount_USD]]</f>
        <v>2300</v>
      </c>
      <c r="O61" t="str">
        <f>_xlfn.XLOOKUP(Pipeline_tbl[[#This Row],[Rep_ID]],Dim_Reps!A:A,Dim_Reps!B:B)</f>
        <v>Alex Okafor</v>
      </c>
      <c r="P61" t="str">
        <f>_xlfn.XLOOKUP(Pipeline_tbl[[#This Row],[Rep_ID]],Dim_Reps!A:A,Dim_Reps!C:C)</f>
        <v>SDR / Inside Sales Rep</v>
      </c>
      <c r="Q61" t="str">
        <f>_xlfn.XLOOKUP(Pipeline_tbl[[#This Row],[Rep_ID]],Dim_Reps!A:A,Dim_Reps!D:D)</f>
        <v>Inside Sales</v>
      </c>
      <c r="R61" t="str">
        <f>_xlfn.XLOOKUP(Pipeline_tbl[[#This Row],[Rep_ID]],Dim_Reps!A:A,Dim_Reps!E:E)</f>
        <v>EMEA</v>
      </c>
      <c r="S61" t="str">
        <f>_xlfn.XLOOKUP(Pipeline_tbl[[#This Row],[Created_Date]],Dim_Date!A:A,Dim_Date!H:H)</f>
        <v>Sep 2025</v>
      </c>
      <c r="T61" t="str">
        <f>IF(Pipeline_tbl[[#This Row],[Closed_Date]]=0,"",(_xlfn.XLOOKUP(Pipeline_tbl[[#This Row],[Closed_Date]],Dim_Date!A:A,Dim_Date!H:H)))</f>
        <v>Oct 2025</v>
      </c>
      <c r="U61">
        <f>IF(Pipeline_tbl[[#This Row],[Closed_Date]]=0,"",Pipeline_tbl[[#This Row],[Closed_Date]]-Pipeline_tbl[[#This Row],[Created_Date]])</f>
        <v>25</v>
      </c>
    </row>
    <row r="62" spans="1:21" ht="15" customHeight="1" x14ac:dyDescent="0.2">
      <c r="A62" t="s">
        <v>368</v>
      </c>
      <c r="B62" t="s">
        <v>196</v>
      </c>
      <c r="C62" t="s">
        <v>53</v>
      </c>
      <c r="D62" s="49">
        <v>45915</v>
      </c>
      <c r="E62" s="49">
        <v>45917</v>
      </c>
      <c r="F62" s="49">
        <v>45921</v>
      </c>
      <c r="I62" s="49">
        <v>45934</v>
      </c>
      <c r="J62" t="s">
        <v>49</v>
      </c>
      <c r="K62" s="33">
        <v>3600</v>
      </c>
      <c r="L62" t="s">
        <v>60</v>
      </c>
      <c r="M62" t="str">
        <f>_xlfn.XLOOKUP(Pipeline_tbl[[#This Row],[Rep_ID]],Dim_Reps!A:A,Dim_Reps!K:K)</f>
        <v>EUR</v>
      </c>
      <c r="N62" s="33">
        <f>(_xlfn.XLOOKUP(Pipeline_tbl[[#This Row],[Rate_Code_Generalized]],Lookups!A:A,Lookups!B:B))*Pipeline_tbl[[#This Row],[Pipeline_Amount_USD]]</f>
        <v>3600</v>
      </c>
      <c r="O62" t="str">
        <f>_xlfn.XLOOKUP(Pipeline_tbl[[#This Row],[Rep_ID]],Dim_Reps!A:A,Dim_Reps!B:B)</f>
        <v>Alex Okafor</v>
      </c>
      <c r="P62" t="str">
        <f>_xlfn.XLOOKUP(Pipeline_tbl[[#This Row],[Rep_ID]],Dim_Reps!A:A,Dim_Reps!C:C)</f>
        <v>SDR / Inside Sales Rep</v>
      </c>
      <c r="Q62" t="str">
        <f>_xlfn.XLOOKUP(Pipeline_tbl[[#This Row],[Rep_ID]],Dim_Reps!A:A,Dim_Reps!D:D)</f>
        <v>Inside Sales</v>
      </c>
      <c r="R62" t="str">
        <f>_xlfn.XLOOKUP(Pipeline_tbl[[#This Row],[Rep_ID]],Dim_Reps!A:A,Dim_Reps!E:E)</f>
        <v>EMEA</v>
      </c>
      <c r="S62" t="str">
        <f>_xlfn.XLOOKUP(Pipeline_tbl[[#This Row],[Created_Date]],Dim_Date!A:A,Dim_Date!H:H)</f>
        <v>Sep 2025</v>
      </c>
      <c r="T62" t="str">
        <f>IF(Pipeline_tbl[[#This Row],[Closed_Date]]=0,"",(_xlfn.XLOOKUP(Pipeline_tbl[[#This Row],[Closed_Date]],Dim_Date!A:A,Dim_Date!H:H)))</f>
        <v>Oct 2025</v>
      </c>
      <c r="U62">
        <f>IF(Pipeline_tbl[[#This Row],[Closed_Date]]=0,"",Pipeline_tbl[[#This Row],[Closed_Date]]-Pipeline_tbl[[#This Row],[Created_Date]])</f>
        <v>19</v>
      </c>
    </row>
    <row r="63" spans="1:21" ht="15" customHeight="1" x14ac:dyDescent="0.2">
      <c r="A63" t="s">
        <v>369</v>
      </c>
      <c r="B63" t="s">
        <v>196</v>
      </c>
      <c r="C63" t="s">
        <v>56</v>
      </c>
      <c r="D63" s="49">
        <v>45923</v>
      </c>
      <c r="E63" s="49">
        <v>45924</v>
      </c>
      <c r="I63" s="49">
        <v>45937</v>
      </c>
      <c r="J63" t="s">
        <v>49</v>
      </c>
      <c r="K63" s="33">
        <v>5500</v>
      </c>
      <c r="L63" t="s">
        <v>60</v>
      </c>
      <c r="M63" t="str">
        <f>_xlfn.XLOOKUP(Pipeline_tbl[[#This Row],[Rep_ID]],Dim_Reps!A:A,Dim_Reps!K:K)</f>
        <v>EUR</v>
      </c>
      <c r="N63" s="33">
        <f>(_xlfn.XLOOKUP(Pipeline_tbl[[#This Row],[Rate_Code_Generalized]],Lookups!A:A,Lookups!B:B))*Pipeline_tbl[[#This Row],[Pipeline_Amount_USD]]</f>
        <v>5500</v>
      </c>
      <c r="O63" t="str">
        <f>_xlfn.XLOOKUP(Pipeline_tbl[[#This Row],[Rep_ID]],Dim_Reps!A:A,Dim_Reps!B:B)</f>
        <v>Alex Okafor</v>
      </c>
      <c r="P63" t="str">
        <f>_xlfn.XLOOKUP(Pipeline_tbl[[#This Row],[Rep_ID]],Dim_Reps!A:A,Dim_Reps!C:C)</f>
        <v>SDR / Inside Sales Rep</v>
      </c>
      <c r="Q63" t="str">
        <f>_xlfn.XLOOKUP(Pipeline_tbl[[#This Row],[Rep_ID]],Dim_Reps!A:A,Dim_Reps!D:D)</f>
        <v>Inside Sales</v>
      </c>
      <c r="R63" t="str">
        <f>_xlfn.XLOOKUP(Pipeline_tbl[[#This Row],[Rep_ID]],Dim_Reps!A:A,Dim_Reps!E:E)</f>
        <v>EMEA</v>
      </c>
      <c r="S63" t="str">
        <f>_xlfn.XLOOKUP(Pipeline_tbl[[#This Row],[Created_Date]],Dim_Date!A:A,Dim_Date!H:H)</f>
        <v>Sep 2025</v>
      </c>
      <c r="T63" t="str">
        <f>IF(Pipeline_tbl[[#This Row],[Closed_Date]]=0,"",(_xlfn.XLOOKUP(Pipeline_tbl[[#This Row],[Closed_Date]],Dim_Date!A:A,Dim_Date!H:H)))</f>
        <v>Oct 2025</v>
      </c>
      <c r="U63">
        <f>IF(Pipeline_tbl[[#This Row],[Closed_Date]]=0,"",Pipeline_tbl[[#This Row],[Closed_Date]]-Pipeline_tbl[[#This Row],[Created_Date]])</f>
        <v>14</v>
      </c>
    </row>
    <row r="64" spans="1:21" ht="15" customHeight="1" x14ac:dyDescent="0.2">
      <c r="A64" t="s">
        <v>370</v>
      </c>
      <c r="B64" t="s">
        <v>196</v>
      </c>
      <c r="C64" t="s">
        <v>52</v>
      </c>
      <c r="D64" s="49">
        <v>45925</v>
      </c>
      <c r="E64" s="49">
        <v>45927</v>
      </c>
      <c r="F64" s="49">
        <v>45932</v>
      </c>
      <c r="G64" s="49">
        <v>45939</v>
      </c>
      <c r="I64" s="49">
        <v>45948</v>
      </c>
      <c r="J64" t="s">
        <v>49</v>
      </c>
      <c r="K64" s="33">
        <v>1000</v>
      </c>
      <c r="L64" t="s">
        <v>61</v>
      </c>
      <c r="M64" t="str">
        <f>_xlfn.XLOOKUP(Pipeline_tbl[[#This Row],[Rep_ID]],Dim_Reps!A:A,Dim_Reps!K:K)</f>
        <v>EUR</v>
      </c>
      <c r="N64" s="33">
        <f>(_xlfn.XLOOKUP(Pipeline_tbl[[#This Row],[Rate_Code_Generalized]],Lookups!A:A,Lookups!B:B))*Pipeline_tbl[[#This Row],[Pipeline_Amount_USD]]</f>
        <v>1000</v>
      </c>
      <c r="O64" t="str">
        <f>_xlfn.XLOOKUP(Pipeline_tbl[[#This Row],[Rep_ID]],Dim_Reps!A:A,Dim_Reps!B:B)</f>
        <v>Alex Okafor</v>
      </c>
      <c r="P64" t="str">
        <f>_xlfn.XLOOKUP(Pipeline_tbl[[#This Row],[Rep_ID]],Dim_Reps!A:A,Dim_Reps!C:C)</f>
        <v>SDR / Inside Sales Rep</v>
      </c>
      <c r="Q64" t="str">
        <f>_xlfn.XLOOKUP(Pipeline_tbl[[#This Row],[Rep_ID]],Dim_Reps!A:A,Dim_Reps!D:D)</f>
        <v>Inside Sales</v>
      </c>
      <c r="R64" t="str">
        <f>_xlfn.XLOOKUP(Pipeline_tbl[[#This Row],[Rep_ID]],Dim_Reps!A:A,Dim_Reps!E:E)</f>
        <v>EMEA</v>
      </c>
      <c r="S64" t="str">
        <f>_xlfn.XLOOKUP(Pipeline_tbl[[#This Row],[Created_Date]],Dim_Date!A:A,Dim_Date!H:H)</f>
        <v>Sep 2025</v>
      </c>
      <c r="T64" t="str">
        <f>IF(Pipeline_tbl[[#This Row],[Closed_Date]]=0,"",(_xlfn.XLOOKUP(Pipeline_tbl[[#This Row],[Closed_Date]],Dim_Date!A:A,Dim_Date!H:H)))</f>
        <v>Oct 2025</v>
      </c>
      <c r="U64">
        <f>IF(Pipeline_tbl[[#This Row],[Closed_Date]]=0,"",Pipeline_tbl[[#This Row],[Closed_Date]]-Pipeline_tbl[[#This Row],[Created_Date]])</f>
        <v>23</v>
      </c>
    </row>
    <row r="65" spans="1:21" ht="15" customHeight="1" x14ac:dyDescent="0.2">
      <c r="A65" t="s">
        <v>371</v>
      </c>
      <c r="B65" t="s">
        <v>196</v>
      </c>
      <c r="C65" t="s">
        <v>52</v>
      </c>
      <c r="D65" s="49">
        <v>45920</v>
      </c>
      <c r="E65" s="49">
        <v>45923</v>
      </c>
      <c r="F65" s="49">
        <v>45928</v>
      </c>
      <c r="G65" s="49">
        <v>45936</v>
      </c>
      <c r="H65" s="49">
        <v>45942</v>
      </c>
      <c r="I65" s="49">
        <v>45946</v>
      </c>
      <c r="J65" t="s">
        <v>47</v>
      </c>
      <c r="K65" s="33">
        <v>3600</v>
      </c>
      <c r="M65" t="str">
        <f>_xlfn.XLOOKUP(Pipeline_tbl[[#This Row],[Rep_ID]],Dim_Reps!A:A,Dim_Reps!K:K)</f>
        <v>EUR</v>
      </c>
      <c r="N65" s="33">
        <f>(_xlfn.XLOOKUP(Pipeline_tbl[[#This Row],[Rate_Code_Generalized]],Lookups!A:A,Lookups!B:B))*Pipeline_tbl[[#This Row],[Pipeline_Amount_USD]]</f>
        <v>3600</v>
      </c>
      <c r="O65" t="str">
        <f>_xlfn.XLOOKUP(Pipeline_tbl[[#This Row],[Rep_ID]],Dim_Reps!A:A,Dim_Reps!B:B)</f>
        <v>Alex Okafor</v>
      </c>
      <c r="P65" t="str">
        <f>_xlfn.XLOOKUP(Pipeline_tbl[[#This Row],[Rep_ID]],Dim_Reps!A:A,Dim_Reps!C:C)</f>
        <v>SDR / Inside Sales Rep</v>
      </c>
      <c r="Q65" t="str">
        <f>_xlfn.XLOOKUP(Pipeline_tbl[[#This Row],[Rep_ID]],Dim_Reps!A:A,Dim_Reps!D:D)</f>
        <v>Inside Sales</v>
      </c>
      <c r="R65" t="str">
        <f>_xlfn.XLOOKUP(Pipeline_tbl[[#This Row],[Rep_ID]],Dim_Reps!A:A,Dim_Reps!E:E)</f>
        <v>EMEA</v>
      </c>
      <c r="S65" t="str">
        <f>_xlfn.XLOOKUP(Pipeline_tbl[[#This Row],[Created_Date]],Dim_Date!A:A,Dim_Date!H:H)</f>
        <v>Sep 2025</v>
      </c>
      <c r="T65" t="str">
        <f>IF(Pipeline_tbl[[#This Row],[Closed_Date]]=0,"",(_xlfn.XLOOKUP(Pipeline_tbl[[#This Row],[Closed_Date]],Dim_Date!A:A,Dim_Date!H:H)))</f>
        <v>Oct 2025</v>
      </c>
      <c r="U65">
        <f>IF(Pipeline_tbl[[#This Row],[Closed_Date]]=0,"",Pipeline_tbl[[#This Row],[Closed_Date]]-Pipeline_tbl[[#This Row],[Created_Date]])</f>
        <v>26</v>
      </c>
    </row>
    <row r="66" spans="1:21" ht="15" customHeight="1" x14ac:dyDescent="0.2">
      <c r="A66" t="s">
        <v>372</v>
      </c>
      <c r="B66" t="s">
        <v>196</v>
      </c>
      <c r="C66" t="s">
        <v>53</v>
      </c>
      <c r="D66" s="49">
        <v>45920</v>
      </c>
      <c r="E66" s="49">
        <v>45922</v>
      </c>
      <c r="I66" s="49">
        <v>45938</v>
      </c>
      <c r="J66" t="s">
        <v>49</v>
      </c>
      <c r="K66" s="33">
        <v>3500</v>
      </c>
      <c r="L66" t="s">
        <v>61</v>
      </c>
      <c r="M66" t="str">
        <f>_xlfn.XLOOKUP(Pipeline_tbl[[#This Row],[Rep_ID]],Dim_Reps!A:A,Dim_Reps!K:K)</f>
        <v>EUR</v>
      </c>
      <c r="N66" s="33">
        <f>(_xlfn.XLOOKUP(Pipeline_tbl[[#This Row],[Rate_Code_Generalized]],Lookups!A:A,Lookups!B:B))*Pipeline_tbl[[#This Row],[Pipeline_Amount_USD]]</f>
        <v>3500</v>
      </c>
      <c r="O66" t="str">
        <f>_xlfn.XLOOKUP(Pipeline_tbl[[#This Row],[Rep_ID]],Dim_Reps!A:A,Dim_Reps!B:B)</f>
        <v>Alex Okafor</v>
      </c>
      <c r="P66" t="str">
        <f>_xlfn.XLOOKUP(Pipeline_tbl[[#This Row],[Rep_ID]],Dim_Reps!A:A,Dim_Reps!C:C)</f>
        <v>SDR / Inside Sales Rep</v>
      </c>
      <c r="Q66" t="str">
        <f>_xlfn.XLOOKUP(Pipeline_tbl[[#This Row],[Rep_ID]],Dim_Reps!A:A,Dim_Reps!D:D)</f>
        <v>Inside Sales</v>
      </c>
      <c r="R66" t="str">
        <f>_xlfn.XLOOKUP(Pipeline_tbl[[#This Row],[Rep_ID]],Dim_Reps!A:A,Dim_Reps!E:E)</f>
        <v>EMEA</v>
      </c>
      <c r="S66" t="str">
        <f>_xlfn.XLOOKUP(Pipeline_tbl[[#This Row],[Created_Date]],Dim_Date!A:A,Dim_Date!H:H)</f>
        <v>Sep 2025</v>
      </c>
      <c r="T66" t="str">
        <f>IF(Pipeline_tbl[[#This Row],[Closed_Date]]=0,"",(_xlfn.XLOOKUP(Pipeline_tbl[[#This Row],[Closed_Date]],Dim_Date!A:A,Dim_Date!H:H)))</f>
        <v>Oct 2025</v>
      </c>
      <c r="U66">
        <f>IF(Pipeline_tbl[[#This Row],[Closed_Date]]=0,"",Pipeline_tbl[[#This Row],[Closed_Date]]-Pipeline_tbl[[#This Row],[Created_Date]])</f>
        <v>18</v>
      </c>
    </row>
    <row r="67" spans="1:21" ht="15" customHeight="1" x14ac:dyDescent="0.2">
      <c r="A67" t="s">
        <v>373</v>
      </c>
      <c r="B67" t="s">
        <v>196</v>
      </c>
      <c r="C67" t="s">
        <v>52</v>
      </c>
      <c r="D67" s="49">
        <v>45924</v>
      </c>
      <c r="E67" s="49">
        <v>45926</v>
      </c>
      <c r="F67" s="49">
        <v>45929</v>
      </c>
      <c r="G67" s="49">
        <v>45933</v>
      </c>
      <c r="H67" s="49">
        <v>45937</v>
      </c>
      <c r="I67" s="49">
        <v>45939</v>
      </c>
      <c r="J67" t="s">
        <v>47</v>
      </c>
      <c r="K67" s="33">
        <v>1900</v>
      </c>
      <c r="M67" t="str">
        <f>_xlfn.XLOOKUP(Pipeline_tbl[[#This Row],[Rep_ID]],Dim_Reps!A:A,Dim_Reps!K:K)</f>
        <v>EUR</v>
      </c>
      <c r="N67" s="33">
        <f>(_xlfn.XLOOKUP(Pipeline_tbl[[#This Row],[Rate_Code_Generalized]],Lookups!A:A,Lookups!B:B))*Pipeline_tbl[[#This Row],[Pipeline_Amount_USD]]</f>
        <v>1900</v>
      </c>
      <c r="O67" t="str">
        <f>_xlfn.XLOOKUP(Pipeline_tbl[[#This Row],[Rep_ID]],Dim_Reps!A:A,Dim_Reps!B:B)</f>
        <v>Alex Okafor</v>
      </c>
      <c r="P67" t="str">
        <f>_xlfn.XLOOKUP(Pipeline_tbl[[#This Row],[Rep_ID]],Dim_Reps!A:A,Dim_Reps!C:C)</f>
        <v>SDR / Inside Sales Rep</v>
      </c>
      <c r="Q67" t="str">
        <f>_xlfn.XLOOKUP(Pipeline_tbl[[#This Row],[Rep_ID]],Dim_Reps!A:A,Dim_Reps!D:D)</f>
        <v>Inside Sales</v>
      </c>
      <c r="R67" t="str">
        <f>_xlfn.XLOOKUP(Pipeline_tbl[[#This Row],[Rep_ID]],Dim_Reps!A:A,Dim_Reps!E:E)</f>
        <v>EMEA</v>
      </c>
      <c r="S67" t="str">
        <f>_xlfn.XLOOKUP(Pipeline_tbl[[#This Row],[Created_Date]],Dim_Date!A:A,Dim_Date!H:H)</f>
        <v>Sep 2025</v>
      </c>
      <c r="T67" t="str">
        <f>IF(Pipeline_tbl[[#This Row],[Closed_Date]]=0,"",(_xlfn.XLOOKUP(Pipeline_tbl[[#This Row],[Closed_Date]],Dim_Date!A:A,Dim_Date!H:H)))</f>
        <v>Oct 2025</v>
      </c>
      <c r="U67">
        <f>IF(Pipeline_tbl[[#This Row],[Closed_Date]]=0,"",Pipeline_tbl[[#This Row],[Closed_Date]]-Pipeline_tbl[[#This Row],[Created_Date]])</f>
        <v>15</v>
      </c>
    </row>
    <row r="68" spans="1:21" ht="15" customHeight="1" x14ac:dyDescent="0.2">
      <c r="A68" t="s">
        <v>374</v>
      </c>
      <c r="B68" t="s">
        <v>196</v>
      </c>
      <c r="C68" t="s">
        <v>55</v>
      </c>
      <c r="D68" s="49">
        <v>45923</v>
      </c>
      <c r="E68" s="49">
        <v>45925</v>
      </c>
      <c r="F68" s="49">
        <v>45929</v>
      </c>
      <c r="G68" s="49">
        <v>45936</v>
      </c>
      <c r="H68" s="49">
        <v>45941</v>
      </c>
      <c r="I68" s="49">
        <v>45944</v>
      </c>
      <c r="J68" t="s">
        <v>47</v>
      </c>
      <c r="K68" s="33">
        <v>4300</v>
      </c>
      <c r="M68" t="str">
        <f>_xlfn.XLOOKUP(Pipeline_tbl[[#This Row],[Rep_ID]],Dim_Reps!A:A,Dim_Reps!K:K)</f>
        <v>EUR</v>
      </c>
      <c r="N68" s="33">
        <f>(_xlfn.XLOOKUP(Pipeline_tbl[[#This Row],[Rate_Code_Generalized]],Lookups!A:A,Lookups!B:B))*Pipeline_tbl[[#This Row],[Pipeline_Amount_USD]]</f>
        <v>4300</v>
      </c>
      <c r="O68" t="str">
        <f>_xlfn.XLOOKUP(Pipeline_tbl[[#This Row],[Rep_ID]],Dim_Reps!A:A,Dim_Reps!B:B)</f>
        <v>Alex Okafor</v>
      </c>
      <c r="P68" t="str">
        <f>_xlfn.XLOOKUP(Pipeline_tbl[[#This Row],[Rep_ID]],Dim_Reps!A:A,Dim_Reps!C:C)</f>
        <v>SDR / Inside Sales Rep</v>
      </c>
      <c r="Q68" t="str">
        <f>_xlfn.XLOOKUP(Pipeline_tbl[[#This Row],[Rep_ID]],Dim_Reps!A:A,Dim_Reps!D:D)</f>
        <v>Inside Sales</v>
      </c>
      <c r="R68" t="str">
        <f>_xlfn.XLOOKUP(Pipeline_tbl[[#This Row],[Rep_ID]],Dim_Reps!A:A,Dim_Reps!E:E)</f>
        <v>EMEA</v>
      </c>
      <c r="S68" t="str">
        <f>_xlfn.XLOOKUP(Pipeline_tbl[[#This Row],[Created_Date]],Dim_Date!A:A,Dim_Date!H:H)</f>
        <v>Sep 2025</v>
      </c>
      <c r="T68" t="str">
        <f>IF(Pipeline_tbl[[#This Row],[Closed_Date]]=0,"",(_xlfn.XLOOKUP(Pipeline_tbl[[#This Row],[Closed_Date]],Dim_Date!A:A,Dim_Date!H:H)))</f>
        <v>Oct 2025</v>
      </c>
      <c r="U68">
        <f>IF(Pipeline_tbl[[#This Row],[Closed_Date]]=0,"",Pipeline_tbl[[#This Row],[Closed_Date]]-Pipeline_tbl[[#This Row],[Created_Date]])</f>
        <v>21</v>
      </c>
    </row>
    <row r="69" spans="1:21" ht="15" customHeight="1" x14ac:dyDescent="0.2">
      <c r="A69" t="s">
        <v>375</v>
      </c>
      <c r="B69" t="s">
        <v>199</v>
      </c>
      <c r="C69" t="s">
        <v>52</v>
      </c>
      <c r="D69" s="49">
        <v>45926</v>
      </c>
      <c r="E69" s="49">
        <v>45928</v>
      </c>
      <c r="F69" s="49">
        <v>45931</v>
      </c>
      <c r="G69" s="49">
        <v>45935</v>
      </c>
      <c r="H69" s="49">
        <v>45939</v>
      </c>
      <c r="I69" s="49">
        <v>45941</v>
      </c>
      <c r="J69" t="s">
        <v>47</v>
      </c>
      <c r="K69" s="33">
        <v>3800</v>
      </c>
      <c r="M69" t="str">
        <f>_xlfn.XLOOKUP(Pipeline_tbl[[#This Row],[Rep_ID]],Dim_Reps!A:A,Dim_Reps!K:K)</f>
        <v>EUR</v>
      </c>
      <c r="N69" s="33">
        <f>(_xlfn.XLOOKUP(Pipeline_tbl[[#This Row],[Rate_Code_Generalized]],Lookups!A:A,Lookups!B:B))*Pipeline_tbl[[#This Row],[Pipeline_Amount_USD]]</f>
        <v>3800</v>
      </c>
      <c r="O69" t="str">
        <f>_xlfn.XLOOKUP(Pipeline_tbl[[#This Row],[Rep_ID]],Dim_Reps!A:A,Dim_Reps!B:B)</f>
        <v>Lucas Okafor</v>
      </c>
      <c r="P69" t="str">
        <f>_xlfn.XLOOKUP(Pipeline_tbl[[#This Row],[Rep_ID]],Dim_Reps!A:A,Dim_Reps!C:C)</f>
        <v>SDR / Inside Sales Rep</v>
      </c>
      <c r="Q69" t="str">
        <f>_xlfn.XLOOKUP(Pipeline_tbl[[#This Row],[Rep_ID]],Dim_Reps!A:A,Dim_Reps!D:D)</f>
        <v>Inside Sales</v>
      </c>
      <c r="R69" t="str">
        <f>_xlfn.XLOOKUP(Pipeline_tbl[[#This Row],[Rep_ID]],Dim_Reps!A:A,Dim_Reps!E:E)</f>
        <v>APAC</v>
      </c>
      <c r="S69" t="str">
        <f>_xlfn.XLOOKUP(Pipeline_tbl[[#This Row],[Created_Date]],Dim_Date!A:A,Dim_Date!H:H)</f>
        <v>Sep 2025</v>
      </c>
      <c r="T69" t="str">
        <f>IF(Pipeline_tbl[[#This Row],[Closed_Date]]=0,"",(_xlfn.XLOOKUP(Pipeline_tbl[[#This Row],[Closed_Date]],Dim_Date!A:A,Dim_Date!H:H)))</f>
        <v>Oct 2025</v>
      </c>
      <c r="U69">
        <f>IF(Pipeline_tbl[[#This Row],[Closed_Date]]=0,"",Pipeline_tbl[[#This Row],[Closed_Date]]-Pipeline_tbl[[#This Row],[Created_Date]])</f>
        <v>15</v>
      </c>
    </row>
    <row r="70" spans="1:21" ht="15" customHeight="1" x14ac:dyDescent="0.2">
      <c r="A70" t="s">
        <v>376</v>
      </c>
      <c r="B70" t="s">
        <v>199</v>
      </c>
      <c r="C70" t="s">
        <v>56</v>
      </c>
      <c r="D70" s="49">
        <v>45920</v>
      </c>
      <c r="E70" s="49">
        <v>45922</v>
      </c>
      <c r="F70" s="49">
        <v>45926</v>
      </c>
      <c r="I70" s="49">
        <v>45939</v>
      </c>
      <c r="J70" t="s">
        <v>49</v>
      </c>
      <c r="K70" s="33">
        <v>2600</v>
      </c>
      <c r="L70" t="s">
        <v>60</v>
      </c>
      <c r="M70" t="str">
        <f>_xlfn.XLOOKUP(Pipeline_tbl[[#This Row],[Rep_ID]],Dim_Reps!A:A,Dim_Reps!K:K)</f>
        <v>EUR</v>
      </c>
      <c r="N70" s="33">
        <f>(_xlfn.XLOOKUP(Pipeline_tbl[[#This Row],[Rate_Code_Generalized]],Lookups!A:A,Lookups!B:B))*Pipeline_tbl[[#This Row],[Pipeline_Amount_USD]]</f>
        <v>2600</v>
      </c>
      <c r="O70" t="str">
        <f>_xlfn.XLOOKUP(Pipeline_tbl[[#This Row],[Rep_ID]],Dim_Reps!A:A,Dim_Reps!B:B)</f>
        <v>Lucas Okafor</v>
      </c>
      <c r="P70" t="str">
        <f>_xlfn.XLOOKUP(Pipeline_tbl[[#This Row],[Rep_ID]],Dim_Reps!A:A,Dim_Reps!C:C)</f>
        <v>SDR / Inside Sales Rep</v>
      </c>
      <c r="Q70" t="str">
        <f>_xlfn.XLOOKUP(Pipeline_tbl[[#This Row],[Rep_ID]],Dim_Reps!A:A,Dim_Reps!D:D)</f>
        <v>Inside Sales</v>
      </c>
      <c r="R70" t="str">
        <f>_xlfn.XLOOKUP(Pipeline_tbl[[#This Row],[Rep_ID]],Dim_Reps!A:A,Dim_Reps!E:E)</f>
        <v>APAC</v>
      </c>
      <c r="S70" t="str">
        <f>_xlfn.XLOOKUP(Pipeline_tbl[[#This Row],[Created_Date]],Dim_Date!A:A,Dim_Date!H:H)</f>
        <v>Sep 2025</v>
      </c>
      <c r="T70" t="str">
        <f>IF(Pipeline_tbl[[#This Row],[Closed_Date]]=0,"",(_xlfn.XLOOKUP(Pipeline_tbl[[#This Row],[Closed_Date]],Dim_Date!A:A,Dim_Date!H:H)))</f>
        <v>Oct 2025</v>
      </c>
      <c r="U70">
        <f>IF(Pipeline_tbl[[#This Row],[Closed_Date]]=0,"",Pipeline_tbl[[#This Row],[Closed_Date]]-Pipeline_tbl[[#This Row],[Created_Date]])</f>
        <v>19</v>
      </c>
    </row>
    <row r="71" spans="1:21" ht="15" customHeight="1" x14ac:dyDescent="0.2">
      <c r="A71" t="s">
        <v>377</v>
      </c>
      <c r="B71" t="s">
        <v>199</v>
      </c>
      <c r="C71" t="s">
        <v>53</v>
      </c>
      <c r="D71" s="49">
        <v>45925</v>
      </c>
      <c r="E71" s="49">
        <v>45926</v>
      </c>
      <c r="F71" s="49">
        <v>45929</v>
      </c>
      <c r="I71" s="49">
        <v>45939</v>
      </c>
      <c r="J71" t="s">
        <v>49</v>
      </c>
      <c r="K71" s="33">
        <v>6000</v>
      </c>
      <c r="L71" t="s">
        <v>60</v>
      </c>
      <c r="M71" t="str">
        <f>_xlfn.XLOOKUP(Pipeline_tbl[[#This Row],[Rep_ID]],Dim_Reps!A:A,Dim_Reps!K:K)</f>
        <v>EUR</v>
      </c>
      <c r="N71" s="33">
        <f>(_xlfn.XLOOKUP(Pipeline_tbl[[#This Row],[Rate_Code_Generalized]],Lookups!A:A,Lookups!B:B))*Pipeline_tbl[[#This Row],[Pipeline_Amount_USD]]</f>
        <v>6000</v>
      </c>
      <c r="O71" t="str">
        <f>_xlfn.XLOOKUP(Pipeline_tbl[[#This Row],[Rep_ID]],Dim_Reps!A:A,Dim_Reps!B:B)</f>
        <v>Lucas Okafor</v>
      </c>
      <c r="P71" t="str">
        <f>_xlfn.XLOOKUP(Pipeline_tbl[[#This Row],[Rep_ID]],Dim_Reps!A:A,Dim_Reps!C:C)</f>
        <v>SDR / Inside Sales Rep</v>
      </c>
      <c r="Q71" t="str">
        <f>_xlfn.XLOOKUP(Pipeline_tbl[[#This Row],[Rep_ID]],Dim_Reps!A:A,Dim_Reps!D:D)</f>
        <v>Inside Sales</v>
      </c>
      <c r="R71" t="str">
        <f>_xlfn.XLOOKUP(Pipeline_tbl[[#This Row],[Rep_ID]],Dim_Reps!A:A,Dim_Reps!E:E)</f>
        <v>APAC</v>
      </c>
      <c r="S71" t="str">
        <f>_xlfn.XLOOKUP(Pipeline_tbl[[#This Row],[Created_Date]],Dim_Date!A:A,Dim_Date!H:H)</f>
        <v>Sep 2025</v>
      </c>
      <c r="T71" t="str">
        <f>IF(Pipeline_tbl[[#This Row],[Closed_Date]]=0,"",(_xlfn.XLOOKUP(Pipeline_tbl[[#This Row],[Closed_Date]],Dim_Date!A:A,Dim_Date!H:H)))</f>
        <v>Oct 2025</v>
      </c>
      <c r="U71">
        <f>IF(Pipeline_tbl[[#This Row],[Closed_Date]]=0,"",Pipeline_tbl[[#This Row],[Closed_Date]]-Pipeline_tbl[[#This Row],[Created_Date]])</f>
        <v>14</v>
      </c>
    </row>
    <row r="72" spans="1:21" ht="15" customHeight="1" x14ac:dyDescent="0.2">
      <c r="A72" t="s">
        <v>378</v>
      </c>
      <c r="B72" t="s">
        <v>199</v>
      </c>
      <c r="C72" t="s">
        <v>52</v>
      </c>
      <c r="D72" s="49">
        <v>45917</v>
      </c>
      <c r="E72" s="49">
        <v>45919</v>
      </c>
      <c r="F72" s="49">
        <v>45922</v>
      </c>
      <c r="I72" s="49">
        <v>45932</v>
      </c>
      <c r="J72" t="s">
        <v>49</v>
      </c>
      <c r="K72" s="33">
        <v>4200</v>
      </c>
      <c r="L72" t="s">
        <v>60</v>
      </c>
      <c r="M72" t="str">
        <f>_xlfn.XLOOKUP(Pipeline_tbl[[#This Row],[Rep_ID]],Dim_Reps!A:A,Dim_Reps!K:K)</f>
        <v>EUR</v>
      </c>
      <c r="N72" s="33">
        <f>(_xlfn.XLOOKUP(Pipeline_tbl[[#This Row],[Rate_Code_Generalized]],Lookups!A:A,Lookups!B:B))*Pipeline_tbl[[#This Row],[Pipeline_Amount_USD]]</f>
        <v>4200</v>
      </c>
      <c r="O72" t="str">
        <f>_xlfn.XLOOKUP(Pipeline_tbl[[#This Row],[Rep_ID]],Dim_Reps!A:A,Dim_Reps!B:B)</f>
        <v>Lucas Okafor</v>
      </c>
      <c r="P72" t="str">
        <f>_xlfn.XLOOKUP(Pipeline_tbl[[#This Row],[Rep_ID]],Dim_Reps!A:A,Dim_Reps!C:C)</f>
        <v>SDR / Inside Sales Rep</v>
      </c>
      <c r="Q72" t="str">
        <f>_xlfn.XLOOKUP(Pipeline_tbl[[#This Row],[Rep_ID]],Dim_Reps!A:A,Dim_Reps!D:D)</f>
        <v>Inside Sales</v>
      </c>
      <c r="R72" t="str">
        <f>_xlfn.XLOOKUP(Pipeline_tbl[[#This Row],[Rep_ID]],Dim_Reps!A:A,Dim_Reps!E:E)</f>
        <v>APAC</v>
      </c>
      <c r="S72" t="str">
        <f>_xlfn.XLOOKUP(Pipeline_tbl[[#This Row],[Created_Date]],Dim_Date!A:A,Dim_Date!H:H)</f>
        <v>Sep 2025</v>
      </c>
      <c r="T72" t="str">
        <f>IF(Pipeline_tbl[[#This Row],[Closed_Date]]=0,"",(_xlfn.XLOOKUP(Pipeline_tbl[[#This Row],[Closed_Date]],Dim_Date!A:A,Dim_Date!H:H)))</f>
        <v>Oct 2025</v>
      </c>
      <c r="U72">
        <f>IF(Pipeline_tbl[[#This Row],[Closed_Date]]=0,"",Pipeline_tbl[[#This Row],[Closed_Date]]-Pipeline_tbl[[#This Row],[Created_Date]])</f>
        <v>15</v>
      </c>
    </row>
    <row r="73" spans="1:21" ht="15" customHeight="1" x14ac:dyDescent="0.2">
      <c r="A73" t="s">
        <v>379</v>
      </c>
      <c r="B73" t="s">
        <v>199</v>
      </c>
      <c r="C73" t="s">
        <v>52</v>
      </c>
      <c r="D73" s="49">
        <v>45913</v>
      </c>
      <c r="E73" s="49">
        <v>45915</v>
      </c>
      <c r="F73" s="49">
        <v>45919</v>
      </c>
      <c r="I73" s="49">
        <v>45932</v>
      </c>
      <c r="J73" t="s">
        <v>49</v>
      </c>
      <c r="K73" s="33">
        <v>2300</v>
      </c>
      <c r="L73" t="s">
        <v>63</v>
      </c>
      <c r="M73" t="str">
        <f>_xlfn.XLOOKUP(Pipeline_tbl[[#This Row],[Rep_ID]],Dim_Reps!A:A,Dim_Reps!K:K)</f>
        <v>EUR</v>
      </c>
      <c r="N73" s="33">
        <f>(_xlfn.XLOOKUP(Pipeline_tbl[[#This Row],[Rate_Code_Generalized]],Lookups!A:A,Lookups!B:B))*Pipeline_tbl[[#This Row],[Pipeline_Amount_USD]]</f>
        <v>2300</v>
      </c>
      <c r="O73" t="str">
        <f>_xlfn.XLOOKUP(Pipeline_tbl[[#This Row],[Rep_ID]],Dim_Reps!A:A,Dim_Reps!B:B)</f>
        <v>Lucas Okafor</v>
      </c>
      <c r="P73" t="str">
        <f>_xlfn.XLOOKUP(Pipeline_tbl[[#This Row],[Rep_ID]],Dim_Reps!A:A,Dim_Reps!C:C)</f>
        <v>SDR / Inside Sales Rep</v>
      </c>
      <c r="Q73" t="str">
        <f>_xlfn.XLOOKUP(Pipeline_tbl[[#This Row],[Rep_ID]],Dim_Reps!A:A,Dim_Reps!D:D)</f>
        <v>Inside Sales</v>
      </c>
      <c r="R73" t="str">
        <f>_xlfn.XLOOKUP(Pipeline_tbl[[#This Row],[Rep_ID]],Dim_Reps!A:A,Dim_Reps!E:E)</f>
        <v>APAC</v>
      </c>
      <c r="S73" t="str">
        <f>_xlfn.XLOOKUP(Pipeline_tbl[[#This Row],[Created_Date]],Dim_Date!A:A,Dim_Date!H:H)</f>
        <v>Sep 2025</v>
      </c>
      <c r="T73" t="str">
        <f>IF(Pipeline_tbl[[#This Row],[Closed_Date]]=0,"",(_xlfn.XLOOKUP(Pipeline_tbl[[#This Row],[Closed_Date]],Dim_Date!A:A,Dim_Date!H:H)))</f>
        <v>Oct 2025</v>
      </c>
      <c r="U73">
        <f>IF(Pipeline_tbl[[#This Row],[Closed_Date]]=0,"",Pipeline_tbl[[#This Row],[Closed_Date]]-Pipeline_tbl[[#This Row],[Created_Date]])</f>
        <v>19</v>
      </c>
    </row>
    <row r="74" spans="1:21" ht="15" customHeight="1" x14ac:dyDescent="0.2">
      <c r="A74" t="s">
        <v>380</v>
      </c>
      <c r="B74" t="s">
        <v>199</v>
      </c>
      <c r="C74" t="s">
        <v>53</v>
      </c>
      <c r="D74" s="49">
        <v>45915</v>
      </c>
      <c r="E74" s="49">
        <v>45917</v>
      </c>
      <c r="F74" s="49">
        <v>45922</v>
      </c>
      <c r="G74" s="49">
        <v>45928</v>
      </c>
      <c r="H74" s="49">
        <v>45934</v>
      </c>
      <c r="I74" s="49">
        <v>45937</v>
      </c>
      <c r="J74" t="s">
        <v>47</v>
      </c>
      <c r="K74" s="33">
        <v>3700</v>
      </c>
      <c r="M74" t="str">
        <f>_xlfn.XLOOKUP(Pipeline_tbl[[#This Row],[Rep_ID]],Dim_Reps!A:A,Dim_Reps!K:K)</f>
        <v>EUR</v>
      </c>
      <c r="N74" s="33">
        <f>(_xlfn.XLOOKUP(Pipeline_tbl[[#This Row],[Rate_Code_Generalized]],Lookups!A:A,Lookups!B:B))*Pipeline_tbl[[#This Row],[Pipeline_Amount_USD]]</f>
        <v>3700</v>
      </c>
      <c r="O74" t="str">
        <f>_xlfn.XLOOKUP(Pipeline_tbl[[#This Row],[Rep_ID]],Dim_Reps!A:A,Dim_Reps!B:B)</f>
        <v>Lucas Okafor</v>
      </c>
      <c r="P74" t="str">
        <f>_xlfn.XLOOKUP(Pipeline_tbl[[#This Row],[Rep_ID]],Dim_Reps!A:A,Dim_Reps!C:C)</f>
        <v>SDR / Inside Sales Rep</v>
      </c>
      <c r="Q74" t="str">
        <f>_xlfn.XLOOKUP(Pipeline_tbl[[#This Row],[Rep_ID]],Dim_Reps!A:A,Dim_Reps!D:D)</f>
        <v>Inside Sales</v>
      </c>
      <c r="R74" t="str">
        <f>_xlfn.XLOOKUP(Pipeline_tbl[[#This Row],[Rep_ID]],Dim_Reps!A:A,Dim_Reps!E:E)</f>
        <v>APAC</v>
      </c>
      <c r="S74" t="str">
        <f>_xlfn.XLOOKUP(Pipeline_tbl[[#This Row],[Created_Date]],Dim_Date!A:A,Dim_Date!H:H)</f>
        <v>Sep 2025</v>
      </c>
      <c r="T74" t="str">
        <f>IF(Pipeline_tbl[[#This Row],[Closed_Date]]=0,"",(_xlfn.XLOOKUP(Pipeline_tbl[[#This Row],[Closed_Date]],Dim_Date!A:A,Dim_Date!H:H)))</f>
        <v>Oct 2025</v>
      </c>
      <c r="U74">
        <f>IF(Pipeline_tbl[[#This Row],[Closed_Date]]=0,"",Pipeline_tbl[[#This Row],[Closed_Date]]-Pipeline_tbl[[#This Row],[Created_Date]])</f>
        <v>22</v>
      </c>
    </row>
    <row r="75" spans="1:21" ht="15" customHeight="1" x14ac:dyDescent="0.2">
      <c r="A75" t="s">
        <v>381</v>
      </c>
      <c r="B75" t="s">
        <v>199</v>
      </c>
      <c r="C75" t="s">
        <v>52</v>
      </c>
      <c r="D75" s="49">
        <v>45930</v>
      </c>
      <c r="E75" s="49">
        <v>45932</v>
      </c>
      <c r="F75" s="49">
        <v>45937</v>
      </c>
      <c r="G75" s="49">
        <v>45944</v>
      </c>
      <c r="H75" s="49">
        <v>45950</v>
      </c>
      <c r="I75" s="49">
        <v>45953</v>
      </c>
      <c r="J75" t="s">
        <v>49</v>
      </c>
      <c r="K75" s="33">
        <v>4200</v>
      </c>
      <c r="L75" t="s">
        <v>63</v>
      </c>
      <c r="M75" t="str">
        <f>_xlfn.XLOOKUP(Pipeline_tbl[[#This Row],[Rep_ID]],Dim_Reps!A:A,Dim_Reps!K:K)</f>
        <v>EUR</v>
      </c>
      <c r="N75" s="33">
        <f>(_xlfn.XLOOKUP(Pipeline_tbl[[#This Row],[Rate_Code_Generalized]],Lookups!A:A,Lookups!B:B))*Pipeline_tbl[[#This Row],[Pipeline_Amount_USD]]</f>
        <v>4200</v>
      </c>
      <c r="O75" t="str">
        <f>_xlfn.XLOOKUP(Pipeline_tbl[[#This Row],[Rep_ID]],Dim_Reps!A:A,Dim_Reps!B:B)</f>
        <v>Lucas Okafor</v>
      </c>
      <c r="P75" t="str">
        <f>_xlfn.XLOOKUP(Pipeline_tbl[[#This Row],[Rep_ID]],Dim_Reps!A:A,Dim_Reps!C:C)</f>
        <v>SDR / Inside Sales Rep</v>
      </c>
      <c r="Q75" t="str">
        <f>_xlfn.XLOOKUP(Pipeline_tbl[[#This Row],[Rep_ID]],Dim_Reps!A:A,Dim_Reps!D:D)</f>
        <v>Inside Sales</v>
      </c>
      <c r="R75" t="str">
        <f>_xlfn.XLOOKUP(Pipeline_tbl[[#This Row],[Rep_ID]],Dim_Reps!A:A,Dim_Reps!E:E)</f>
        <v>APAC</v>
      </c>
      <c r="S75" t="str">
        <f>_xlfn.XLOOKUP(Pipeline_tbl[[#This Row],[Created_Date]],Dim_Date!A:A,Dim_Date!H:H)</f>
        <v>Sep 2025</v>
      </c>
      <c r="T75" t="str">
        <f>IF(Pipeline_tbl[[#This Row],[Closed_Date]]=0,"",(_xlfn.XLOOKUP(Pipeline_tbl[[#This Row],[Closed_Date]],Dim_Date!A:A,Dim_Date!H:H)))</f>
        <v>Oct 2025</v>
      </c>
      <c r="U75">
        <f>IF(Pipeline_tbl[[#This Row],[Closed_Date]]=0,"",Pipeline_tbl[[#This Row],[Closed_Date]]-Pipeline_tbl[[#This Row],[Created_Date]])</f>
        <v>23</v>
      </c>
    </row>
    <row r="76" spans="1:21" ht="15" customHeight="1" x14ac:dyDescent="0.2">
      <c r="A76" t="s">
        <v>382</v>
      </c>
      <c r="B76" t="s">
        <v>201</v>
      </c>
      <c r="C76" t="s">
        <v>52</v>
      </c>
      <c r="D76" s="49">
        <v>45921</v>
      </c>
      <c r="E76" s="49">
        <v>45923</v>
      </c>
      <c r="I76" s="49">
        <v>45939</v>
      </c>
      <c r="J76" t="s">
        <v>49</v>
      </c>
      <c r="K76" s="33">
        <v>5500</v>
      </c>
      <c r="L76" t="s">
        <v>62</v>
      </c>
      <c r="M76" t="str">
        <f>_xlfn.XLOOKUP(Pipeline_tbl[[#This Row],[Rep_ID]],Dim_Reps!A:A,Dim_Reps!K:K)</f>
        <v>EUR</v>
      </c>
      <c r="N76" s="33">
        <f>(_xlfn.XLOOKUP(Pipeline_tbl[[#This Row],[Rate_Code_Generalized]],Lookups!A:A,Lookups!B:B))*Pipeline_tbl[[#This Row],[Pipeline_Amount_USD]]</f>
        <v>5500</v>
      </c>
      <c r="O76" t="str">
        <f>_xlfn.XLOOKUP(Pipeline_tbl[[#This Row],[Rep_ID]],Dim_Reps!A:A,Dim_Reps!B:B)</f>
        <v>Sara Duarte</v>
      </c>
      <c r="P76" t="str">
        <f>_xlfn.XLOOKUP(Pipeline_tbl[[#This Row],[Rep_ID]],Dim_Reps!A:A,Dim_Reps!C:C)</f>
        <v>SDR / Inside Sales Rep</v>
      </c>
      <c r="Q76" t="str">
        <f>_xlfn.XLOOKUP(Pipeline_tbl[[#This Row],[Rep_ID]],Dim_Reps!A:A,Dim_Reps!D:D)</f>
        <v>Inside Sales</v>
      </c>
      <c r="R76" t="str">
        <f>_xlfn.XLOOKUP(Pipeline_tbl[[#This Row],[Rep_ID]],Dim_Reps!A:A,Dim_Reps!E:E)</f>
        <v>APAC</v>
      </c>
      <c r="S76" t="str">
        <f>_xlfn.XLOOKUP(Pipeline_tbl[[#This Row],[Created_Date]],Dim_Date!A:A,Dim_Date!H:H)</f>
        <v>Sep 2025</v>
      </c>
      <c r="T76" t="str">
        <f>IF(Pipeline_tbl[[#This Row],[Closed_Date]]=0,"",(_xlfn.XLOOKUP(Pipeline_tbl[[#This Row],[Closed_Date]],Dim_Date!A:A,Dim_Date!H:H)))</f>
        <v>Oct 2025</v>
      </c>
      <c r="U76">
        <f>IF(Pipeline_tbl[[#This Row],[Closed_Date]]=0,"",Pipeline_tbl[[#This Row],[Closed_Date]]-Pipeline_tbl[[#This Row],[Created_Date]])</f>
        <v>18</v>
      </c>
    </row>
    <row r="77" spans="1:21" ht="15" customHeight="1" x14ac:dyDescent="0.2">
      <c r="A77" t="s">
        <v>383</v>
      </c>
      <c r="B77" t="s">
        <v>201</v>
      </c>
      <c r="C77" t="s">
        <v>52</v>
      </c>
      <c r="D77" s="49">
        <v>45930</v>
      </c>
      <c r="E77" s="49">
        <v>45932</v>
      </c>
      <c r="F77" s="49">
        <v>45938</v>
      </c>
      <c r="G77" s="49">
        <v>45945</v>
      </c>
      <c r="H77" s="49">
        <v>45951</v>
      </c>
      <c r="I77" s="49">
        <v>45955</v>
      </c>
      <c r="J77" t="s">
        <v>47</v>
      </c>
      <c r="K77" s="33">
        <v>3200</v>
      </c>
      <c r="M77" t="str">
        <f>_xlfn.XLOOKUP(Pipeline_tbl[[#This Row],[Rep_ID]],Dim_Reps!A:A,Dim_Reps!K:K)</f>
        <v>EUR</v>
      </c>
      <c r="N77" s="33">
        <f>(_xlfn.XLOOKUP(Pipeline_tbl[[#This Row],[Rate_Code_Generalized]],Lookups!A:A,Lookups!B:B))*Pipeline_tbl[[#This Row],[Pipeline_Amount_USD]]</f>
        <v>3200</v>
      </c>
      <c r="O77" t="str">
        <f>_xlfn.XLOOKUP(Pipeline_tbl[[#This Row],[Rep_ID]],Dim_Reps!A:A,Dim_Reps!B:B)</f>
        <v>Sara Duarte</v>
      </c>
      <c r="P77" t="str">
        <f>_xlfn.XLOOKUP(Pipeline_tbl[[#This Row],[Rep_ID]],Dim_Reps!A:A,Dim_Reps!C:C)</f>
        <v>SDR / Inside Sales Rep</v>
      </c>
      <c r="Q77" t="str">
        <f>_xlfn.XLOOKUP(Pipeline_tbl[[#This Row],[Rep_ID]],Dim_Reps!A:A,Dim_Reps!D:D)</f>
        <v>Inside Sales</v>
      </c>
      <c r="R77" t="str">
        <f>_xlfn.XLOOKUP(Pipeline_tbl[[#This Row],[Rep_ID]],Dim_Reps!A:A,Dim_Reps!E:E)</f>
        <v>APAC</v>
      </c>
      <c r="S77" t="str">
        <f>_xlfn.XLOOKUP(Pipeline_tbl[[#This Row],[Created_Date]],Dim_Date!A:A,Dim_Date!H:H)</f>
        <v>Sep 2025</v>
      </c>
      <c r="T77" t="str">
        <f>IF(Pipeline_tbl[[#This Row],[Closed_Date]]=0,"",(_xlfn.XLOOKUP(Pipeline_tbl[[#This Row],[Closed_Date]],Dim_Date!A:A,Dim_Date!H:H)))</f>
        <v>Oct 2025</v>
      </c>
      <c r="U77">
        <f>IF(Pipeline_tbl[[#This Row],[Closed_Date]]=0,"",Pipeline_tbl[[#This Row],[Closed_Date]]-Pipeline_tbl[[#This Row],[Created_Date]])</f>
        <v>25</v>
      </c>
    </row>
    <row r="78" spans="1:21" ht="15" customHeight="1" x14ac:dyDescent="0.2">
      <c r="A78" t="s">
        <v>384</v>
      </c>
      <c r="B78" t="s">
        <v>201</v>
      </c>
      <c r="C78" t="s">
        <v>52</v>
      </c>
      <c r="D78" s="49">
        <v>45927</v>
      </c>
      <c r="E78" s="49">
        <v>45929</v>
      </c>
      <c r="F78" s="49">
        <v>45932</v>
      </c>
      <c r="G78" s="49">
        <v>45937</v>
      </c>
      <c r="I78" s="49">
        <v>45944</v>
      </c>
      <c r="J78" t="s">
        <v>49</v>
      </c>
      <c r="K78" s="33">
        <v>3900</v>
      </c>
      <c r="L78" t="s">
        <v>61</v>
      </c>
      <c r="M78" t="str">
        <f>_xlfn.XLOOKUP(Pipeline_tbl[[#This Row],[Rep_ID]],Dim_Reps!A:A,Dim_Reps!K:K)</f>
        <v>EUR</v>
      </c>
      <c r="N78" s="33">
        <f>(_xlfn.XLOOKUP(Pipeline_tbl[[#This Row],[Rate_Code_Generalized]],Lookups!A:A,Lookups!B:B))*Pipeline_tbl[[#This Row],[Pipeline_Amount_USD]]</f>
        <v>3900</v>
      </c>
      <c r="O78" t="str">
        <f>_xlfn.XLOOKUP(Pipeline_tbl[[#This Row],[Rep_ID]],Dim_Reps!A:A,Dim_Reps!B:B)</f>
        <v>Sara Duarte</v>
      </c>
      <c r="P78" t="str">
        <f>_xlfn.XLOOKUP(Pipeline_tbl[[#This Row],[Rep_ID]],Dim_Reps!A:A,Dim_Reps!C:C)</f>
        <v>SDR / Inside Sales Rep</v>
      </c>
      <c r="Q78" t="str">
        <f>_xlfn.XLOOKUP(Pipeline_tbl[[#This Row],[Rep_ID]],Dim_Reps!A:A,Dim_Reps!D:D)</f>
        <v>Inside Sales</v>
      </c>
      <c r="R78" t="str">
        <f>_xlfn.XLOOKUP(Pipeline_tbl[[#This Row],[Rep_ID]],Dim_Reps!A:A,Dim_Reps!E:E)</f>
        <v>APAC</v>
      </c>
      <c r="S78" t="str">
        <f>_xlfn.XLOOKUP(Pipeline_tbl[[#This Row],[Created_Date]],Dim_Date!A:A,Dim_Date!H:H)</f>
        <v>Sep 2025</v>
      </c>
      <c r="T78" t="str">
        <f>IF(Pipeline_tbl[[#This Row],[Closed_Date]]=0,"",(_xlfn.XLOOKUP(Pipeline_tbl[[#This Row],[Closed_Date]],Dim_Date!A:A,Dim_Date!H:H)))</f>
        <v>Oct 2025</v>
      </c>
      <c r="U78">
        <f>IF(Pipeline_tbl[[#This Row],[Closed_Date]]=0,"",Pipeline_tbl[[#This Row],[Closed_Date]]-Pipeline_tbl[[#This Row],[Created_Date]])</f>
        <v>17</v>
      </c>
    </row>
    <row r="79" spans="1:21" ht="15" customHeight="1" x14ac:dyDescent="0.2">
      <c r="A79" t="s">
        <v>385</v>
      </c>
      <c r="B79" t="s">
        <v>181</v>
      </c>
      <c r="C79" t="s">
        <v>56</v>
      </c>
      <c r="D79" s="49">
        <v>45902</v>
      </c>
      <c r="E79" s="49">
        <v>45907</v>
      </c>
      <c r="F79" s="49">
        <v>45916</v>
      </c>
      <c r="I79" s="49">
        <v>45948</v>
      </c>
      <c r="J79" t="s">
        <v>49</v>
      </c>
      <c r="K79" s="33">
        <v>65700</v>
      </c>
      <c r="L79" t="s">
        <v>61</v>
      </c>
      <c r="M79" t="str">
        <f>_xlfn.XLOOKUP(Pipeline_tbl[[#This Row],[Rep_ID]],Dim_Reps!A:A,Dim_Reps!K:K)</f>
        <v>USD</v>
      </c>
      <c r="N79" s="33">
        <f>(_xlfn.XLOOKUP(Pipeline_tbl[[#This Row],[Rate_Code_Generalized]],Lookups!A:A,Lookups!B:B))*Pipeline_tbl[[#This Row],[Pipeline_Amount_USD]]</f>
        <v>76494.509999999995</v>
      </c>
      <c r="O79" t="str">
        <f>_xlfn.XLOOKUP(Pipeline_tbl[[#This Row],[Rep_ID]],Dim_Reps!A:A,Dim_Reps!B:B)</f>
        <v>Milo Weber</v>
      </c>
      <c r="P79" t="str">
        <f>_xlfn.XLOOKUP(Pipeline_tbl[[#This Row],[Rep_ID]],Dim_Reps!A:A,Dim_Reps!C:C)</f>
        <v>Enterprise AE</v>
      </c>
      <c r="Q79" t="str">
        <f>_xlfn.XLOOKUP(Pipeline_tbl[[#This Row],[Rep_ID]],Dim_Reps!A:A,Dim_Reps!D:D)</f>
        <v>Enterprise</v>
      </c>
      <c r="R79" t="str">
        <f>_xlfn.XLOOKUP(Pipeline_tbl[[#This Row],[Rep_ID]],Dim_Reps!A:A,Dim_Reps!E:E)</f>
        <v>NAMER</v>
      </c>
      <c r="S79" t="str">
        <f>_xlfn.XLOOKUP(Pipeline_tbl[[#This Row],[Created_Date]],Dim_Date!A:A,Dim_Date!H:H)</f>
        <v>Sep 2025</v>
      </c>
      <c r="T79" t="str">
        <f>IF(Pipeline_tbl[[#This Row],[Closed_Date]]=0,"",(_xlfn.XLOOKUP(Pipeline_tbl[[#This Row],[Closed_Date]],Dim_Date!A:A,Dim_Date!H:H)))</f>
        <v>Oct 2025</v>
      </c>
      <c r="U79">
        <f>IF(Pipeline_tbl[[#This Row],[Closed_Date]]=0,"",Pipeline_tbl[[#This Row],[Closed_Date]]-Pipeline_tbl[[#This Row],[Created_Date]])</f>
        <v>46</v>
      </c>
    </row>
    <row r="80" spans="1:21" ht="15" customHeight="1" x14ac:dyDescent="0.2">
      <c r="A80" t="s">
        <v>386</v>
      </c>
      <c r="B80" t="s">
        <v>246</v>
      </c>
      <c r="C80" t="s">
        <v>52</v>
      </c>
      <c r="D80" s="49">
        <v>45921</v>
      </c>
      <c r="E80" s="49">
        <v>45923</v>
      </c>
      <c r="F80" s="49">
        <v>45927</v>
      </c>
      <c r="G80" s="49">
        <v>45932</v>
      </c>
      <c r="H80" s="49">
        <v>45937</v>
      </c>
      <c r="I80" s="49">
        <v>45940</v>
      </c>
      <c r="J80" t="s">
        <v>47</v>
      </c>
      <c r="K80" s="33">
        <v>5700</v>
      </c>
      <c r="M80" t="str">
        <f>_xlfn.XLOOKUP(Pipeline_tbl[[#This Row],[Rep_ID]],Dim_Reps!A:A,Dim_Reps!K:K)</f>
        <v>EUR</v>
      </c>
      <c r="N80" s="33">
        <f>(_xlfn.XLOOKUP(Pipeline_tbl[[#This Row],[Rate_Code_Generalized]],Lookups!A:A,Lookups!B:B))*Pipeline_tbl[[#This Row],[Pipeline_Amount_USD]]</f>
        <v>5700</v>
      </c>
      <c r="O80" t="str">
        <f>_xlfn.XLOOKUP(Pipeline_tbl[[#This Row],[Rep_ID]],Dim_Reps!A:A,Dim_Reps!B:B)</f>
        <v>Karim Rivera</v>
      </c>
      <c r="P80" t="str">
        <f>_xlfn.XLOOKUP(Pipeline_tbl[[#This Row],[Rep_ID]],Dim_Reps!A:A,Dim_Reps!C:C)</f>
        <v>Mid-Market AE</v>
      </c>
      <c r="Q80" t="str">
        <f>_xlfn.XLOOKUP(Pipeline_tbl[[#This Row],[Rep_ID]],Dim_Reps!A:A,Dim_Reps!D:D)</f>
        <v>Mid-Market</v>
      </c>
      <c r="R80" t="str">
        <f>_xlfn.XLOOKUP(Pipeline_tbl[[#This Row],[Rep_ID]],Dim_Reps!A:A,Dim_Reps!E:E)</f>
        <v>APAC</v>
      </c>
      <c r="S80" t="str">
        <f>_xlfn.XLOOKUP(Pipeline_tbl[[#This Row],[Created_Date]],Dim_Date!A:A,Dim_Date!H:H)</f>
        <v>Sep 2025</v>
      </c>
      <c r="T80" t="str">
        <f>IF(Pipeline_tbl[[#This Row],[Closed_Date]]=0,"",(_xlfn.XLOOKUP(Pipeline_tbl[[#This Row],[Closed_Date]],Dim_Date!A:A,Dim_Date!H:H)))</f>
        <v>Oct 2025</v>
      </c>
      <c r="U80">
        <f>IF(Pipeline_tbl[[#This Row],[Closed_Date]]=0,"",Pipeline_tbl[[#This Row],[Closed_Date]]-Pipeline_tbl[[#This Row],[Created_Date]])</f>
        <v>19</v>
      </c>
    </row>
    <row r="81" spans="1:21" ht="15" customHeight="1" x14ac:dyDescent="0.2">
      <c r="A81" t="s">
        <v>387</v>
      </c>
      <c r="B81" t="s">
        <v>246</v>
      </c>
      <c r="C81" t="s">
        <v>52</v>
      </c>
      <c r="D81" s="49">
        <v>45905</v>
      </c>
      <c r="E81" s="49">
        <v>45909</v>
      </c>
      <c r="F81" s="49">
        <v>45918</v>
      </c>
      <c r="G81" s="49">
        <v>45931</v>
      </c>
      <c r="H81" s="49">
        <v>45942</v>
      </c>
      <c r="I81" s="49">
        <v>45948</v>
      </c>
      <c r="J81" t="s">
        <v>49</v>
      </c>
      <c r="K81" s="33">
        <v>8700</v>
      </c>
      <c r="L81" t="s">
        <v>62</v>
      </c>
      <c r="M81" t="str">
        <f>_xlfn.XLOOKUP(Pipeline_tbl[[#This Row],[Rep_ID]],Dim_Reps!A:A,Dim_Reps!K:K)</f>
        <v>EUR</v>
      </c>
      <c r="N81" s="33">
        <f>(_xlfn.XLOOKUP(Pipeline_tbl[[#This Row],[Rate_Code_Generalized]],Lookups!A:A,Lookups!B:B))*Pipeline_tbl[[#This Row],[Pipeline_Amount_USD]]</f>
        <v>8700</v>
      </c>
      <c r="O81" t="str">
        <f>_xlfn.XLOOKUP(Pipeline_tbl[[#This Row],[Rep_ID]],Dim_Reps!A:A,Dim_Reps!B:B)</f>
        <v>Karim Rivera</v>
      </c>
      <c r="P81" t="str">
        <f>_xlfn.XLOOKUP(Pipeline_tbl[[#This Row],[Rep_ID]],Dim_Reps!A:A,Dim_Reps!C:C)</f>
        <v>Mid-Market AE</v>
      </c>
      <c r="Q81" t="str">
        <f>_xlfn.XLOOKUP(Pipeline_tbl[[#This Row],[Rep_ID]],Dim_Reps!A:A,Dim_Reps!D:D)</f>
        <v>Mid-Market</v>
      </c>
      <c r="R81" t="str">
        <f>_xlfn.XLOOKUP(Pipeline_tbl[[#This Row],[Rep_ID]],Dim_Reps!A:A,Dim_Reps!E:E)</f>
        <v>APAC</v>
      </c>
      <c r="S81" t="str">
        <f>_xlfn.XLOOKUP(Pipeline_tbl[[#This Row],[Created_Date]],Dim_Date!A:A,Dim_Date!H:H)</f>
        <v>Sep 2025</v>
      </c>
      <c r="T81" t="str">
        <f>IF(Pipeline_tbl[[#This Row],[Closed_Date]]=0,"",(_xlfn.XLOOKUP(Pipeline_tbl[[#This Row],[Closed_Date]],Dim_Date!A:A,Dim_Date!H:H)))</f>
        <v>Oct 2025</v>
      </c>
      <c r="U81">
        <f>IF(Pipeline_tbl[[#This Row],[Closed_Date]]=0,"",Pipeline_tbl[[#This Row],[Closed_Date]]-Pipeline_tbl[[#This Row],[Created_Date]])</f>
        <v>43</v>
      </c>
    </row>
    <row r="82" spans="1:21" ht="15" customHeight="1" x14ac:dyDescent="0.2">
      <c r="A82" t="s">
        <v>388</v>
      </c>
      <c r="B82" t="s">
        <v>203</v>
      </c>
      <c r="C82" t="s">
        <v>52</v>
      </c>
      <c r="D82" s="49">
        <v>45927</v>
      </c>
      <c r="E82" s="49">
        <v>45929</v>
      </c>
      <c r="F82" s="49">
        <v>45932</v>
      </c>
      <c r="G82" s="49">
        <v>45937</v>
      </c>
      <c r="H82" s="49">
        <v>45941</v>
      </c>
      <c r="I82" s="49">
        <v>45944</v>
      </c>
      <c r="J82" t="s">
        <v>47</v>
      </c>
      <c r="K82" s="33">
        <v>8500</v>
      </c>
      <c r="M82" t="str">
        <f>_xlfn.XLOOKUP(Pipeline_tbl[[#This Row],[Rep_ID]],Dim_Reps!A:A,Dim_Reps!K:K)</f>
        <v>EUR</v>
      </c>
      <c r="N82" s="33">
        <f>(_xlfn.XLOOKUP(Pipeline_tbl[[#This Row],[Rate_Code_Generalized]],Lookups!A:A,Lookups!B:B))*Pipeline_tbl[[#This Row],[Pipeline_Amount_USD]]</f>
        <v>8500</v>
      </c>
      <c r="O82" t="str">
        <f>_xlfn.XLOOKUP(Pipeline_tbl[[#This Row],[Rep_ID]],Dim_Reps!A:A,Dim_Reps!B:B)</f>
        <v>Riley Haddad</v>
      </c>
      <c r="P82" t="str">
        <f>_xlfn.XLOOKUP(Pipeline_tbl[[#This Row],[Rep_ID]],Dim_Reps!A:A,Dim_Reps!C:C)</f>
        <v>SDR / Inside Sales Rep</v>
      </c>
      <c r="Q82" t="str">
        <f>_xlfn.XLOOKUP(Pipeline_tbl[[#This Row],[Rep_ID]],Dim_Reps!A:A,Dim_Reps!D:D)</f>
        <v>Inside Sales</v>
      </c>
      <c r="R82" t="str">
        <f>_xlfn.XLOOKUP(Pipeline_tbl[[#This Row],[Rep_ID]],Dim_Reps!A:A,Dim_Reps!E:E)</f>
        <v>APAC</v>
      </c>
      <c r="S82" t="str">
        <f>_xlfn.XLOOKUP(Pipeline_tbl[[#This Row],[Created_Date]],Dim_Date!A:A,Dim_Date!H:H)</f>
        <v>Sep 2025</v>
      </c>
      <c r="T82" t="str">
        <f>IF(Pipeline_tbl[[#This Row],[Closed_Date]]=0,"",(_xlfn.XLOOKUP(Pipeline_tbl[[#This Row],[Closed_Date]],Dim_Date!A:A,Dim_Date!H:H)))</f>
        <v>Oct 2025</v>
      </c>
      <c r="U82">
        <f>IF(Pipeline_tbl[[#This Row],[Closed_Date]]=0,"",Pipeline_tbl[[#This Row],[Closed_Date]]-Pipeline_tbl[[#This Row],[Created_Date]])</f>
        <v>17</v>
      </c>
    </row>
    <row r="83" spans="1:21" ht="15" customHeight="1" x14ac:dyDescent="0.2">
      <c r="A83" t="s">
        <v>389</v>
      </c>
      <c r="B83" t="s">
        <v>203</v>
      </c>
      <c r="C83" t="s">
        <v>54</v>
      </c>
      <c r="D83" s="49">
        <v>45929</v>
      </c>
      <c r="E83" s="49">
        <v>45931</v>
      </c>
      <c r="F83" s="49">
        <v>45936</v>
      </c>
      <c r="G83" s="49">
        <v>45943</v>
      </c>
      <c r="I83" s="49">
        <v>45952</v>
      </c>
      <c r="J83" t="s">
        <v>49</v>
      </c>
      <c r="K83" s="33">
        <v>5700</v>
      </c>
      <c r="L83" t="s">
        <v>64</v>
      </c>
      <c r="M83" t="str">
        <f>_xlfn.XLOOKUP(Pipeline_tbl[[#This Row],[Rep_ID]],Dim_Reps!A:A,Dim_Reps!K:K)</f>
        <v>EUR</v>
      </c>
      <c r="N83" s="33">
        <f>(_xlfn.XLOOKUP(Pipeline_tbl[[#This Row],[Rate_Code_Generalized]],Lookups!A:A,Lookups!B:B))*Pipeline_tbl[[#This Row],[Pipeline_Amount_USD]]</f>
        <v>5700</v>
      </c>
      <c r="O83" t="str">
        <f>_xlfn.XLOOKUP(Pipeline_tbl[[#This Row],[Rep_ID]],Dim_Reps!A:A,Dim_Reps!B:B)</f>
        <v>Riley Haddad</v>
      </c>
      <c r="P83" t="str">
        <f>_xlfn.XLOOKUP(Pipeline_tbl[[#This Row],[Rep_ID]],Dim_Reps!A:A,Dim_Reps!C:C)</f>
        <v>SDR / Inside Sales Rep</v>
      </c>
      <c r="Q83" t="str">
        <f>_xlfn.XLOOKUP(Pipeline_tbl[[#This Row],[Rep_ID]],Dim_Reps!A:A,Dim_Reps!D:D)</f>
        <v>Inside Sales</v>
      </c>
      <c r="R83" t="str">
        <f>_xlfn.XLOOKUP(Pipeline_tbl[[#This Row],[Rep_ID]],Dim_Reps!A:A,Dim_Reps!E:E)</f>
        <v>APAC</v>
      </c>
      <c r="S83" t="str">
        <f>_xlfn.XLOOKUP(Pipeline_tbl[[#This Row],[Created_Date]],Dim_Date!A:A,Dim_Date!H:H)</f>
        <v>Sep 2025</v>
      </c>
      <c r="T83" t="str">
        <f>IF(Pipeline_tbl[[#This Row],[Closed_Date]]=0,"",(_xlfn.XLOOKUP(Pipeline_tbl[[#This Row],[Closed_Date]],Dim_Date!A:A,Dim_Date!H:H)))</f>
        <v>Oct 2025</v>
      </c>
      <c r="U83">
        <f>IF(Pipeline_tbl[[#This Row],[Closed_Date]]=0,"",Pipeline_tbl[[#This Row],[Closed_Date]]-Pipeline_tbl[[#This Row],[Created_Date]])</f>
        <v>23</v>
      </c>
    </row>
    <row r="84" spans="1:21" ht="15" customHeight="1" x14ac:dyDescent="0.2">
      <c r="A84" t="s">
        <v>390</v>
      </c>
      <c r="B84" t="s">
        <v>203</v>
      </c>
      <c r="C84" t="s">
        <v>53</v>
      </c>
      <c r="D84" s="49">
        <v>45929</v>
      </c>
      <c r="E84" s="49">
        <v>45930</v>
      </c>
      <c r="F84" s="49">
        <v>45933</v>
      </c>
      <c r="G84" s="49">
        <v>45936</v>
      </c>
      <c r="H84" s="49">
        <v>45939</v>
      </c>
      <c r="I84" s="49">
        <v>45941</v>
      </c>
      <c r="J84" t="s">
        <v>47</v>
      </c>
      <c r="K84" s="33">
        <v>2600</v>
      </c>
      <c r="M84" t="str">
        <f>_xlfn.XLOOKUP(Pipeline_tbl[[#This Row],[Rep_ID]],Dim_Reps!A:A,Dim_Reps!K:K)</f>
        <v>EUR</v>
      </c>
      <c r="N84" s="33">
        <f>(_xlfn.XLOOKUP(Pipeline_tbl[[#This Row],[Rate_Code_Generalized]],Lookups!A:A,Lookups!B:B))*Pipeline_tbl[[#This Row],[Pipeline_Amount_USD]]</f>
        <v>2600</v>
      </c>
      <c r="O84" t="str">
        <f>_xlfn.XLOOKUP(Pipeline_tbl[[#This Row],[Rep_ID]],Dim_Reps!A:A,Dim_Reps!B:B)</f>
        <v>Riley Haddad</v>
      </c>
      <c r="P84" t="str">
        <f>_xlfn.XLOOKUP(Pipeline_tbl[[#This Row],[Rep_ID]],Dim_Reps!A:A,Dim_Reps!C:C)</f>
        <v>SDR / Inside Sales Rep</v>
      </c>
      <c r="Q84" t="str">
        <f>_xlfn.XLOOKUP(Pipeline_tbl[[#This Row],[Rep_ID]],Dim_Reps!A:A,Dim_Reps!D:D)</f>
        <v>Inside Sales</v>
      </c>
      <c r="R84" t="str">
        <f>_xlfn.XLOOKUP(Pipeline_tbl[[#This Row],[Rep_ID]],Dim_Reps!A:A,Dim_Reps!E:E)</f>
        <v>APAC</v>
      </c>
      <c r="S84" t="str">
        <f>_xlfn.XLOOKUP(Pipeline_tbl[[#This Row],[Created_Date]],Dim_Date!A:A,Dim_Date!H:H)</f>
        <v>Sep 2025</v>
      </c>
      <c r="T84" t="str">
        <f>IF(Pipeline_tbl[[#This Row],[Closed_Date]]=0,"",(_xlfn.XLOOKUP(Pipeline_tbl[[#This Row],[Closed_Date]],Dim_Date!A:A,Dim_Date!H:H)))</f>
        <v>Oct 2025</v>
      </c>
      <c r="U84">
        <f>IF(Pipeline_tbl[[#This Row],[Closed_Date]]=0,"",Pipeline_tbl[[#This Row],[Closed_Date]]-Pipeline_tbl[[#This Row],[Created_Date]])</f>
        <v>12</v>
      </c>
    </row>
    <row r="85" spans="1:21" ht="15" customHeight="1" x14ac:dyDescent="0.2">
      <c r="A85" t="s">
        <v>391</v>
      </c>
      <c r="B85" t="s">
        <v>203</v>
      </c>
      <c r="C85" t="s">
        <v>52</v>
      </c>
      <c r="D85" s="49">
        <v>45925</v>
      </c>
      <c r="E85" s="49">
        <v>45927</v>
      </c>
      <c r="F85" s="49">
        <v>45931</v>
      </c>
      <c r="G85" s="49">
        <v>45936</v>
      </c>
      <c r="I85" s="49">
        <v>45944</v>
      </c>
      <c r="J85" t="s">
        <v>49</v>
      </c>
      <c r="K85" s="33">
        <v>2800</v>
      </c>
      <c r="L85" t="s">
        <v>61</v>
      </c>
      <c r="M85" t="str">
        <f>_xlfn.XLOOKUP(Pipeline_tbl[[#This Row],[Rep_ID]],Dim_Reps!A:A,Dim_Reps!K:K)</f>
        <v>EUR</v>
      </c>
      <c r="N85" s="33">
        <f>(_xlfn.XLOOKUP(Pipeline_tbl[[#This Row],[Rate_Code_Generalized]],Lookups!A:A,Lookups!B:B))*Pipeline_tbl[[#This Row],[Pipeline_Amount_USD]]</f>
        <v>2800</v>
      </c>
      <c r="O85" t="str">
        <f>_xlfn.XLOOKUP(Pipeline_tbl[[#This Row],[Rep_ID]],Dim_Reps!A:A,Dim_Reps!B:B)</f>
        <v>Riley Haddad</v>
      </c>
      <c r="P85" t="str">
        <f>_xlfn.XLOOKUP(Pipeline_tbl[[#This Row],[Rep_ID]],Dim_Reps!A:A,Dim_Reps!C:C)</f>
        <v>SDR / Inside Sales Rep</v>
      </c>
      <c r="Q85" t="str">
        <f>_xlfn.XLOOKUP(Pipeline_tbl[[#This Row],[Rep_ID]],Dim_Reps!A:A,Dim_Reps!D:D)</f>
        <v>Inside Sales</v>
      </c>
      <c r="R85" t="str">
        <f>_xlfn.XLOOKUP(Pipeline_tbl[[#This Row],[Rep_ID]],Dim_Reps!A:A,Dim_Reps!E:E)</f>
        <v>APAC</v>
      </c>
      <c r="S85" t="str">
        <f>_xlfn.XLOOKUP(Pipeline_tbl[[#This Row],[Created_Date]],Dim_Date!A:A,Dim_Date!H:H)</f>
        <v>Sep 2025</v>
      </c>
      <c r="T85" t="str">
        <f>IF(Pipeline_tbl[[#This Row],[Closed_Date]]=0,"",(_xlfn.XLOOKUP(Pipeline_tbl[[#This Row],[Closed_Date]],Dim_Date!A:A,Dim_Date!H:H)))</f>
        <v>Oct 2025</v>
      </c>
      <c r="U85">
        <f>IF(Pipeline_tbl[[#This Row],[Closed_Date]]=0,"",Pipeline_tbl[[#This Row],[Closed_Date]]-Pipeline_tbl[[#This Row],[Created_Date]])</f>
        <v>19</v>
      </c>
    </row>
    <row r="86" spans="1:21" ht="15" customHeight="1" x14ac:dyDescent="0.2">
      <c r="A86" t="s">
        <v>392</v>
      </c>
      <c r="B86" t="s">
        <v>203</v>
      </c>
      <c r="C86" t="s">
        <v>53</v>
      </c>
      <c r="D86" s="49">
        <v>45926</v>
      </c>
      <c r="E86" s="49">
        <v>45927</v>
      </c>
      <c r="F86" s="49">
        <v>45930</v>
      </c>
      <c r="G86" s="49">
        <v>45933</v>
      </c>
      <c r="H86" s="49">
        <v>45936</v>
      </c>
      <c r="I86" s="49">
        <v>45938</v>
      </c>
      <c r="J86" t="s">
        <v>47</v>
      </c>
      <c r="K86" s="33">
        <v>2200</v>
      </c>
      <c r="M86" t="str">
        <f>_xlfn.XLOOKUP(Pipeline_tbl[[#This Row],[Rep_ID]],Dim_Reps!A:A,Dim_Reps!K:K)</f>
        <v>EUR</v>
      </c>
      <c r="N86" s="33">
        <f>(_xlfn.XLOOKUP(Pipeline_tbl[[#This Row],[Rate_Code_Generalized]],Lookups!A:A,Lookups!B:B))*Pipeline_tbl[[#This Row],[Pipeline_Amount_USD]]</f>
        <v>2200</v>
      </c>
      <c r="O86" t="str">
        <f>_xlfn.XLOOKUP(Pipeline_tbl[[#This Row],[Rep_ID]],Dim_Reps!A:A,Dim_Reps!B:B)</f>
        <v>Riley Haddad</v>
      </c>
      <c r="P86" t="str">
        <f>_xlfn.XLOOKUP(Pipeline_tbl[[#This Row],[Rep_ID]],Dim_Reps!A:A,Dim_Reps!C:C)</f>
        <v>SDR / Inside Sales Rep</v>
      </c>
      <c r="Q86" t="str">
        <f>_xlfn.XLOOKUP(Pipeline_tbl[[#This Row],[Rep_ID]],Dim_Reps!A:A,Dim_Reps!D:D)</f>
        <v>Inside Sales</v>
      </c>
      <c r="R86" t="str">
        <f>_xlfn.XLOOKUP(Pipeline_tbl[[#This Row],[Rep_ID]],Dim_Reps!A:A,Dim_Reps!E:E)</f>
        <v>APAC</v>
      </c>
      <c r="S86" t="str">
        <f>_xlfn.XLOOKUP(Pipeline_tbl[[#This Row],[Created_Date]],Dim_Date!A:A,Dim_Date!H:H)</f>
        <v>Sep 2025</v>
      </c>
      <c r="T86" t="str">
        <f>IF(Pipeline_tbl[[#This Row],[Closed_Date]]=0,"",(_xlfn.XLOOKUP(Pipeline_tbl[[#This Row],[Closed_Date]],Dim_Date!A:A,Dim_Date!H:H)))</f>
        <v>Oct 2025</v>
      </c>
      <c r="U86">
        <f>IF(Pipeline_tbl[[#This Row],[Closed_Date]]=0,"",Pipeline_tbl[[#This Row],[Closed_Date]]-Pipeline_tbl[[#This Row],[Created_Date]])</f>
        <v>12</v>
      </c>
    </row>
    <row r="87" spans="1:21" ht="15" customHeight="1" x14ac:dyDescent="0.2">
      <c r="A87" t="s">
        <v>393</v>
      </c>
      <c r="B87" t="s">
        <v>203</v>
      </c>
      <c r="C87" t="s">
        <v>52</v>
      </c>
      <c r="D87" s="49">
        <v>45926</v>
      </c>
      <c r="E87" s="49">
        <v>45928</v>
      </c>
      <c r="F87" s="49">
        <v>45931</v>
      </c>
      <c r="G87" s="49">
        <v>45936</v>
      </c>
      <c r="H87" s="49">
        <v>45940</v>
      </c>
      <c r="I87" s="49">
        <v>45943</v>
      </c>
      <c r="J87" t="s">
        <v>49</v>
      </c>
      <c r="K87" s="33">
        <v>4700</v>
      </c>
      <c r="L87" t="s">
        <v>60</v>
      </c>
      <c r="M87" t="str">
        <f>_xlfn.XLOOKUP(Pipeline_tbl[[#This Row],[Rep_ID]],Dim_Reps!A:A,Dim_Reps!K:K)</f>
        <v>EUR</v>
      </c>
      <c r="N87" s="33">
        <f>(_xlfn.XLOOKUP(Pipeline_tbl[[#This Row],[Rate_Code_Generalized]],Lookups!A:A,Lookups!B:B))*Pipeline_tbl[[#This Row],[Pipeline_Amount_USD]]</f>
        <v>4700</v>
      </c>
      <c r="O87" t="str">
        <f>_xlfn.XLOOKUP(Pipeline_tbl[[#This Row],[Rep_ID]],Dim_Reps!A:A,Dim_Reps!B:B)</f>
        <v>Riley Haddad</v>
      </c>
      <c r="P87" t="str">
        <f>_xlfn.XLOOKUP(Pipeline_tbl[[#This Row],[Rep_ID]],Dim_Reps!A:A,Dim_Reps!C:C)</f>
        <v>SDR / Inside Sales Rep</v>
      </c>
      <c r="Q87" t="str">
        <f>_xlfn.XLOOKUP(Pipeline_tbl[[#This Row],[Rep_ID]],Dim_Reps!A:A,Dim_Reps!D:D)</f>
        <v>Inside Sales</v>
      </c>
      <c r="R87" t="str">
        <f>_xlfn.XLOOKUP(Pipeline_tbl[[#This Row],[Rep_ID]],Dim_Reps!A:A,Dim_Reps!E:E)</f>
        <v>APAC</v>
      </c>
      <c r="S87" t="str">
        <f>_xlfn.XLOOKUP(Pipeline_tbl[[#This Row],[Created_Date]],Dim_Date!A:A,Dim_Date!H:H)</f>
        <v>Sep 2025</v>
      </c>
      <c r="T87" t="str">
        <f>IF(Pipeline_tbl[[#This Row],[Closed_Date]]=0,"",(_xlfn.XLOOKUP(Pipeline_tbl[[#This Row],[Closed_Date]],Dim_Date!A:A,Dim_Date!H:H)))</f>
        <v>Oct 2025</v>
      </c>
      <c r="U87">
        <f>IF(Pipeline_tbl[[#This Row],[Closed_Date]]=0,"",Pipeline_tbl[[#This Row],[Closed_Date]]-Pipeline_tbl[[#This Row],[Created_Date]])</f>
        <v>17</v>
      </c>
    </row>
    <row r="88" spans="1:21" ht="15" customHeight="1" x14ac:dyDescent="0.2">
      <c r="A88" t="s">
        <v>394</v>
      </c>
      <c r="B88" t="s">
        <v>185</v>
      </c>
      <c r="C88" t="s">
        <v>53</v>
      </c>
      <c r="D88" s="49">
        <v>45928</v>
      </c>
      <c r="E88" s="49">
        <v>45931</v>
      </c>
      <c r="F88" s="49">
        <v>45937</v>
      </c>
      <c r="G88" s="49">
        <v>45946</v>
      </c>
      <c r="H88" s="49">
        <v>45954</v>
      </c>
      <c r="I88" s="49">
        <v>45958</v>
      </c>
      <c r="J88" t="s">
        <v>49</v>
      </c>
      <c r="K88" s="33">
        <v>80600</v>
      </c>
      <c r="L88" t="s">
        <v>60</v>
      </c>
      <c r="M88" t="str">
        <f>_xlfn.XLOOKUP(Pipeline_tbl[[#This Row],[Rep_ID]],Dim_Reps!A:A,Dim_Reps!K:K)</f>
        <v>MXN</v>
      </c>
      <c r="N88" s="33">
        <f>(_xlfn.XLOOKUP(Pipeline_tbl[[#This Row],[Rate_Code_Generalized]],Lookups!A:A,Lookups!B:B))*Pipeline_tbl[[#This Row],[Pipeline_Amount_USD]]</f>
        <v>1590455.62</v>
      </c>
      <c r="O88" t="str">
        <f>_xlfn.XLOOKUP(Pipeline_tbl[[#This Row],[Rep_ID]],Dim_Reps!A:A,Dim_Reps!B:B)</f>
        <v>Noah Kim</v>
      </c>
      <c r="P88" t="str">
        <f>_xlfn.XLOOKUP(Pipeline_tbl[[#This Row],[Rep_ID]],Dim_Reps!A:A,Dim_Reps!C:C)</f>
        <v>Enterprise AE</v>
      </c>
      <c r="Q88" t="str">
        <f>_xlfn.XLOOKUP(Pipeline_tbl[[#This Row],[Rep_ID]],Dim_Reps!A:A,Dim_Reps!D:D)</f>
        <v>Enterprise</v>
      </c>
      <c r="R88" t="str">
        <f>_xlfn.XLOOKUP(Pipeline_tbl[[#This Row],[Rep_ID]],Dim_Reps!A:A,Dim_Reps!E:E)</f>
        <v>LATAM</v>
      </c>
      <c r="S88" t="str">
        <f>_xlfn.XLOOKUP(Pipeline_tbl[[#This Row],[Created_Date]],Dim_Date!A:A,Dim_Date!H:H)</f>
        <v>Sep 2025</v>
      </c>
      <c r="T88" t="str">
        <f>IF(Pipeline_tbl[[#This Row],[Closed_Date]]=0,"",(_xlfn.XLOOKUP(Pipeline_tbl[[#This Row],[Closed_Date]],Dim_Date!A:A,Dim_Date!H:H)))</f>
        <v>Oct 2025</v>
      </c>
      <c r="U88">
        <f>IF(Pipeline_tbl[[#This Row],[Closed_Date]]=0,"",Pipeline_tbl[[#This Row],[Closed_Date]]-Pipeline_tbl[[#This Row],[Created_Date]])</f>
        <v>30</v>
      </c>
    </row>
    <row r="89" spans="1:21" ht="15" customHeight="1" x14ac:dyDescent="0.2">
      <c r="A89" t="s">
        <v>395</v>
      </c>
      <c r="B89" t="s">
        <v>205</v>
      </c>
      <c r="C89" t="s">
        <v>54</v>
      </c>
      <c r="D89" s="49">
        <v>45930</v>
      </c>
      <c r="E89" s="49">
        <v>45933</v>
      </c>
      <c r="F89" s="49">
        <v>45939</v>
      </c>
      <c r="G89" s="49">
        <v>45947</v>
      </c>
      <c r="H89" s="49">
        <v>45955</v>
      </c>
      <c r="I89" s="49">
        <v>45959</v>
      </c>
      <c r="J89" t="s">
        <v>47</v>
      </c>
      <c r="K89" s="33">
        <v>1600</v>
      </c>
      <c r="M89" t="str">
        <f>_xlfn.XLOOKUP(Pipeline_tbl[[#This Row],[Rep_ID]],Dim_Reps!A:A,Dim_Reps!K:K)</f>
        <v>EUR</v>
      </c>
      <c r="N89" s="33">
        <f>(_xlfn.XLOOKUP(Pipeline_tbl[[#This Row],[Rate_Code_Generalized]],Lookups!A:A,Lookups!B:B))*Pipeline_tbl[[#This Row],[Pipeline_Amount_USD]]</f>
        <v>1600</v>
      </c>
      <c r="O89" t="str">
        <f>_xlfn.XLOOKUP(Pipeline_tbl[[#This Row],[Rep_ID]],Dim_Reps!A:A,Dim_Reps!B:B)</f>
        <v>Karim Alvarez</v>
      </c>
      <c r="P89" t="str">
        <f>_xlfn.XLOOKUP(Pipeline_tbl[[#This Row],[Rep_ID]],Dim_Reps!A:A,Dim_Reps!C:C)</f>
        <v>SDR / Inside Sales Rep</v>
      </c>
      <c r="Q89" t="str">
        <f>_xlfn.XLOOKUP(Pipeline_tbl[[#This Row],[Rep_ID]],Dim_Reps!A:A,Dim_Reps!D:D)</f>
        <v>Inside Sales</v>
      </c>
      <c r="R89" t="str">
        <f>_xlfn.XLOOKUP(Pipeline_tbl[[#This Row],[Rep_ID]],Dim_Reps!A:A,Dim_Reps!E:E)</f>
        <v>EMEA</v>
      </c>
      <c r="S89" t="str">
        <f>_xlfn.XLOOKUP(Pipeline_tbl[[#This Row],[Created_Date]],Dim_Date!A:A,Dim_Date!H:H)</f>
        <v>Sep 2025</v>
      </c>
      <c r="T89" t="str">
        <f>IF(Pipeline_tbl[[#This Row],[Closed_Date]]=0,"",(_xlfn.XLOOKUP(Pipeline_tbl[[#This Row],[Closed_Date]],Dim_Date!A:A,Dim_Date!H:H)))</f>
        <v>Oct 2025</v>
      </c>
      <c r="U89">
        <f>IF(Pipeline_tbl[[#This Row],[Closed_Date]]=0,"",Pipeline_tbl[[#This Row],[Closed_Date]]-Pipeline_tbl[[#This Row],[Created_Date]])</f>
        <v>29</v>
      </c>
    </row>
    <row r="90" spans="1:21" ht="15" customHeight="1" x14ac:dyDescent="0.2">
      <c r="A90" t="s">
        <v>396</v>
      </c>
      <c r="B90" t="s">
        <v>205</v>
      </c>
      <c r="C90" t="s">
        <v>52</v>
      </c>
      <c r="D90" s="49">
        <v>45912</v>
      </c>
      <c r="E90" s="49">
        <v>45914</v>
      </c>
      <c r="F90" s="49">
        <v>45919</v>
      </c>
      <c r="G90" s="49">
        <v>45926</v>
      </c>
      <c r="H90" s="49">
        <v>45932</v>
      </c>
      <c r="I90" s="49">
        <v>45936</v>
      </c>
      <c r="J90" t="s">
        <v>47</v>
      </c>
      <c r="K90" s="33">
        <v>3800</v>
      </c>
      <c r="M90" t="str">
        <f>_xlfn.XLOOKUP(Pipeline_tbl[[#This Row],[Rep_ID]],Dim_Reps!A:A,Dim_Reps!K:K)</f>
        <v>EUR</v>
      </c>
      <c r="N90" s="33">
        <f>(_xlfn.XLOOKUP(Pipeline_tbl[[#This Row],[Rate_Code_Generalized]],Lookups!A:A,Lookups!B:B))*Pipeline_tbl[[#This Row],[Pipeline_Amount_USD]]</f>
        <v>3800</v>
      </c>
      <c r="O90" t="str">
        <f>_xlfn.XLOOKUP(Pipeline_tbl[[#This Row],[Rep_ID]],Dim_Reps!A:A,Dim_Reps!B:B)</f>
        <v>Karim Alvarez</v>
      </c>
      <c r="P90" t="str">
        <f>_xlfn.XLOOKUP(Pipeline_tbl[[#This Row],[Rep_ID]],Dim_Reps!A:A,Dim_Reps!C:C)</f>
        <v>SDR / Inside Sales Rep</v>
      </c>
      <c r="Q90" t="str">
        <f>_xlfn.XLOOKUP(Pipeline_tbl[[#This Row],[Rep_ID]],Dim_Reps!A:A,Dim_Reps!D:D)</f>
        <v>Inside Sales</v>
      </c>
      <c r="R90" t="str">
        <f>_xlfn.XLOOKUP(Pipeline_tbl[[#This Row],[Rep_ID]],Dim_Reps!A:A,Dim_Reps!E:E)</f>
        <v>EMEA</v>
      </c>
      <c r="S90" t="str">
        <f>_xlfn.XLOOKUP(Pipeline_tbl[[#This Row],[Created_Date]],Dim_Date!A:A,Dim_Date!H:H)</f>
        <v>Sep 2025</v>
      </c>
      <c r="T90" t="str">
        <f>IF(Pipeline_tbl[[#This Row],[Closed_Date]]=0,"",(_xlfn.XLOOKUP(Pipeline_tbl[[#This Row],[Closed_Date]],Dim_Date!A:A,Dim_Date!H:H)))</f>
        <v>Oct 2025</v>
      </c>
      <c r="U90">
        <f>IF(Pipeline_tbl[[#This Row],[Closed_Date]]=0,"",Pipeline_tbl[[#This Row],[Closed_Date]]-Pipeline_tbl[[#This Row],[Created_Date]])</f>
        <v>24</v>
      </c>
    </row>
    <row r="91" spans="1:21" ht="15" customHeight="1" x14ac:dyDescent="0.2">
      <c r="A91" t="s">
        <v>397</v>
      </c>
      <c r="B91" t="s">
        <v>205</v>
      </c>
      <c r="C91" t="s">
        <v>54</v>
      </c>
      <c r="D91" s="49">
        <v>45928</v>
      </c>
      <c r="E91" s="49">
        <v>45930</v>
      </c>
      <c r="F91" s="49">
        <v>45935</v>
      </c>
      <c r="G91" s="49">
        <v>45941</v>
      </c>
      <c r="I91" s="49">
        <v>45950</v>
      </c>
      <c r="J91" t="s">
        <v>49</v>
      </c>
      <c r="K91" s="33">
        <v>5000</v>
      </c>
      <c r="L91" t="s">
        <v>63</v>
      </c>
      <c r="M91" t="str">
        <f>_xlfn.XLOOKUP(Pipeline_tbl[[#This Row],[Rep_ID]],Dim_Reps!A:A,Dim_Reps!K:K)</f>
        <v>EUR</v>
      </c>
      <c r="N91" s="33">
        <f>(_xlfn.XLOOKUP(Pipeline_tbl[[#This Row],[Rate_Code_Generalized]],Lookups!A:A,Lookups!B:B))*Pipeline_tbl[[#This Row],[Pipeline_Amount_USD]]</f>
        <v>5000</v>
      </c>
      <c r="O91" t="str">
        <f>_xlfn.XLOOKUP(Pipeline_tbl[[#This Row],[Rep_ID]],Dim_Reps!A:A,Dim_Reps!B:B)</f>
        <v>Karim Alvarez</v>
      </c>
      <c r="P91" t="str">
        <f>_xlfn.XLOOKUP(Pipeline_tbl[[#This Row],[Rep_ID]],Dim_Reps!A:A,Dim_Reps!C:C)</f>
        <v>SDR / Inside Sales Rep</v>
      </c>
      <c r="Q91" t="str">
        <f>_xlfn.XLOOKUP(Pipeline_tbl[[#This Row],[Rep_ID]],Dim_Reps!A:A,Dim_Reps!D:D)</f>
        <v>Inside Sales</v>
      </c>
      <c r="R91" t="str">
        <f>_xlfn.XLOOKUP(Pipeline_tbl[[#This Row],[Rep_ID]],Dim_Reps!A:A,Dim_Reps!E:E)</f>
        <v>EMEA</v>
      </c>
      <c r="S91" t="str">
        <f>_xlfn.XLOOKUP(Pipeline_tbl[[#This Row],[Created_Date]],Dim_Date!A:A,Dim_Date!H:H)</f>
        <v>Sep 2025</v>
      </c>
      <c r="T91" t="str">
        <f>IF(Pipeline_tbl[[#This Row],[Closed_Date]]=0,"",(_xlfn.XLOOKUP(Pipeline_tbl[[#This Row],[Closed_Date]],Dim_Date!A:A,Dim_Date!H:H)))</f>
        <v>Oct 2025</v>
      </c>
      <c r="U91">
        <f>IF(Pipeline_tbl[[#This Row],[Closed_Date]]=0,"",Pipeline_tbl[[#This Row],[Closed_Date]]-Pipeline_tbl[[#This Row],[Created_Date]])</f>
        <v>22</v>
      </c>
    </row>
    <row r="92" spans="1:21" ht="15" customHeight="1" x14ac:dyDescent="0.2">
      <c r="A92" t="s">
        <v>398</v>
      </c>
      <c r="B92" t="s">
        <v>205</v>
      </c>
      <c r="C92" t="s">
        <v>56</v>
      </c>
      <c r="D92" s="49">
        <v>45919</v>
      </c>
      <c r="E92" s="49">
        <v>45920</v>
      </c>
      <c r="F92" s="49">
        <v>45923</v>
      </c>
      <c r="I92" s="49">
        <v>45932</v>
      </c>
      <c r="J92" t="s">
        <v>49</v>
      </c>
      <c r="K92" s="33">
        <v>1500</v>
      </c>
      <c r="L92" t="s">
        <v>63</v>
      </c>
      <c r="M92" t="str">
        <f>_xlfn.XLOOKUP(Pipeline_tbl[[#This Row],[Rep_ID]],Dim_Reps!A:A,Dim_Reps!K:K)</f>
        <v>EUR</v>
      </c>
      <c r="N92" s="33">
        <f>(_xlfn.XLOOKUP(Pipeline_tbl[[#This Row],[Rate_Code_Generalized]],Lookups!A:A,Lookups!B:B))*Pipeline_tbl[[#This Row],[Pipeline_Amount_USD]]</f>
        <v>1500</v>
      </c>
      <c r="O92" t="str">
        <f>_xlfn.XLOOKUP(Pipeline_tbl[[#This Row],[Rep_ID]],Dim_Reps!A:A,Dim_Reps!B:B)</f>
        <v>Karim Alvarez</v>
      </c>
      <c r="P92" t="str">
        <f>_xlfn.XLOOKUP(Pipeline_tbl[[#This Row],[Rep_ID]],Dim_Reps!A:A,Dim_Reps!C:C)</f>
        <v>SDR / Inside Sales Rep</v>
      </c>
      <c r="Q92" t="str">
        <f>_xlfn.XLOOKUP(Pipeline_tbl[[#This Row],[Rep_ID]],Dim_Reps!A:A,Dim_Reps!D:D)</f>
        <v>Inside Sales</v>
      </c>
      <c r="R92" t="str">
        <f>_xlfn.XLOOKUP(Pipeline_tbl[[#This Row],[Rep_ID]],Dim_Reps!A:A,Dim_Reps!E:E)</f>
        <v>EMEA</v>
      </c>
      <c r="S92" t="str">
        <f>_xlfn.XLOOKUP(Pipeline_tbl[[#This Row],[Created_Date]],Dim_Date!A:A,Dim_Date!H:H)</f>
        <v>Sep 2025</v>
      </c>
      <c r="T92" t="str">
        <f>IF(Pipeline_tbl[[#This Row],[Closed_Date]]=0,"",(_xlfn.XLOOKUP(Pipeline_tbl[[#This Row],[Closed_Date]],Dim_Date!A:A,Dim_Date!H:H)))</f>
        <v>Oct 2025</v>
      </c>
      <c r="U92">
        <f>IF(Pipeline_tbl[[#This Row],[Closed_Date]]=0,"",Pipeline_tbl[[#This Row],[Closed_Date]]-Pipeline_tbl[[#This Row],[Created_Date]])</f>
        <v>13</v>
      </c>
    </row>
    <row r="93" spans="1:21" ht="15" customHeight="1" x14ac:dyDescent="0.2">
      <c r="A93" t="s">
        <v>399</v>
      </c>
      <c r="B93" t="s">
        <v>205</v>
      </c>
      <c r="C93" t="s">
        <v>53</v>
      </c>
      <c r="D93" s="49">
        <v>45922</v>
      </c>
      <c r="E93" s="49">
        <v>45924</v>
      </c>
      <c r="F93" s="49">
        <v>45927</v>
      </c>
      <c r="G93" s="49">
        <v>45932</v>
      </c>
      <c r="H93" s="49">
        <v>45936</v>
      </c>
      <c r="I93" s="49">
        <v>45938</v>
      </c>
      <c r="J93" t="s">
        <v>49</v>
      </c>
      <c r="K93" s="33">
        <v>2100</v>
      </c>
      <c r="L93" t="s">
        <v>61</v>
      </c>
      <c r="M93" t="str">
        <f>_xlfn.XLOOKUP(Pipeline_tbl[[#This Row],[Rep_ID]],Dim_Reps!A:A,Dim_Reps!K:K)</f>
        <v>EUR</v>
      </c>
      <c r="N93" s="33">
        <f>(_xlfn.XLOOKUP(Pipeline_tbl[[#This Row],[Rate_Code_Generalized]],Lookups!A:A,Lookups!B:B))*Pipeline_tbl[[#This Row],[Pipeline_Amount_USD]]</f>
        <v>2100</v>
      </c>
      <c r="O93" t="str">
        <f>_xlfn.XLOOKUP(Pipeline_tbl[[#This Row],[Rep_ID]],Dim_Reps!A:A,Dim_Reps!B:B)</f>
        <v>Karim Alvarez</v>
      </c>
      <c r="P93" t="str">
        <f>_xlfn.XLOOKUP(Pipeline_tbl[[#This Row],[Rep_ID]],Dim_Reps!A:A,Dim_Reps!C:C)</f>
        <v>SDR / Inside Sales Rep</v>
      </c>
      <c r="Q93" t="str">
        <f>_xlfn.XLOOKUP(Pipeline_tbl[[#This Row],[Rep_ID]],Dim_Reps!A:A,Dim_Reps!D:D)</f>
        <v>Inside Sales</v>
      </c>
      <c r="R93" t="str">
        <f>_xlfn.XLOOKUP(Pipeline_tbl[[#This Row],[Rep_ID]],Dim_Reps!A:A,Dim_Reps!E:E)</f>
        <v>EMEA</v>
      </c>
      <c r="S93" t="str">
        <f>_xlfn.XLOOKUP(Pipeline_tbl[[#This Row],[Created_Date]],Dim_Date!A:A,Dim_Date!H:H)</f>
        <v>Sep 2025</v>
      </c>
      <c r="T93" t="str">
        <f>IF(Pipeline_tbl[[#This Row],[Closed_Date]]=0,"",(_xlfn.XLOOKUP(Pipeline_tbl[[#This Row],[Closed_Date]],Dim_Date!A:A,Dim_Date!H:H)))</f>
        <v>Oct 2025</v>
      </c>
      <c r="U93">
        <f>IF(Pipeline_tbl[[#This Row],[Closed_Date]]=0,"",Pipeline_tbl[[#This Row],[Closed_Date]]-Pipeline_tbl[[#This Row],[Created_Date]])</f>
        <v>16</v>
      </c>
    </row>
    <row r="94" spans="1:21" ht="15" customHeight="1" x14ac:dyDescent="0.2">
      <c r="A94" t="s">
        <v>400</v>
      </c>
      <c r="B94" t="s">
        <v>205</v>
      </c>
      <c r="C94" t="s">
        <v>52</v>
      </c>
      <c r="D94" s="49">
        <v>45913</v>
      </c>
      <c r="E94" s="49">
        <v>45915</v>
      </c>
      <c r="F94" s="49">
        <v>45918</v>
      </c>
      <c r="G94" s="49">
        <v>45924</v>
      </c>
      <c r="I94" s="49">
        <v>45931</v>
      </c>
      <c r="J94" t="s">
        <v>49</v>
      </c>
      <c r="K94" s="33">
        <v>2900</v>
      </c>
      <c r="L94" t="s">
        <v>62</v>
      </c>
      <c r="M94" t="str">
        <f>_xlfn.XLOOKUP(Pipeline_tbl[[#This Row],[Rep_ID]],Dim_Reps!A:A,Dim_Reps!K:K)</f>
        <v>EUR</v>
      </c>
      <c r="N94" s="33">
        <f>(_xlfn.XLOOKUP(Pipeline_tbl[[#This Row],[Rate_Code_Generalized]],Lookups!A:A,Lookups!B:B))*Pipeline_tbl[[#This Row],[Pipeline_Amount_USD]]</f>
        <v>2900</v>
      </c>
      <c r="O94" t="str">
        <f>_xlfn.XLOOKUP(Pipeline_tbl[[#This Row],[Rep_ID]],Dim_Reps!A:A,Dim_Reps!B:B)</f>
        <v>Karim Alvarez</v>
      </c>
      <c r="P94" t="str">
        <f>_xlfn.XLOOKUP(Pipeline_tbl[[#This Row],[Rep_ID]],Dim_Reps!A:A,Dim_Reps!C:C)</f>
        <v>SDR / Inside Sales Rep</v>
      </c>
      <c r="Q94" t="str">
        <f>_xlfn.XLOOKUP(Pipeline_tbl[[#This Row],[Rep_ID]],Dim_Reps!A:A,Dim_Reps!D:D)</f>
        <v>Inside Sales</v>
      </c>
      <c r="R94" t="str">
        <f>_xlfn.XLOOKUP(Pipeline_tbl[[#This Row],[Rep_ID]],Dim_Reps!A:A,Dim_Reps!E:E)</f>
        <v>EMEA</v>
      </c>
      <c r="S94" t="str">
        <f>_xlfn.XLOOKUP(Pipeline_tbl[[#This Row],[Created_Date]],Dim_Date!A:A,Dim_Date!H:H)</f>
        <v>Sep 2025</v>
      </c>
      <c r="T94" t="str">
        <f>IF(Pipeline_tbl[[#This Row],[Closed_Date]]=0,"",(_xlfn.XLOOKUP(Pipeline_tbl[[#This Row],[Closed_Date]],Dim_Date!A:A,Dim_Date!H:H)))</f>
        <v>Oct 2025</v>
      </c>
      <c r="U94">
        <f>IF(Pipeline_tbl[[#This Row],[Closed_Date]]=0,"",Pipeline_tbl[[#This Row],[Closed_Date]]-Pipeline_tbl[[#This Row],[Created_Date]])</f>
        <v>18</v>
      </c>
    </row>
    <row r="95" spans="1:21" ht="15" customHeight="1" x14ac:dyDescent="0.2">
      <c r="A95" t="s">
        <v>401</v>
      </c>
      <c r="B95" t="s">
        <v>207</v>
      </c>
      <c r="C95" t="s">
        <v>52</v>
      </c>
      <c r="D95" s="49">
        <v>45922</v>
      </c>
      <c r="E95" s="49">
        <v>45924</v>
      </c>
      <c r="F95" s="49">
        <v>45929</v>
      </c>
      <c r="G95" s="49">
        <v>45936</v>
      </c>
      <c r="I95" s="49">
        <v>45946</v>
      </c>
      <c r="J95" t="s">
        <v>49</v>
      </c>
      <c r="K95" s="33">
        <v>2400</v>
      </c>
      <c r="L95" t="s">
        <v>62</v>
      </c>
      <c r="M95" t="str">
        <f>_xlfn.XLOOKUP(Pipeline_tbl[[#This Row],[Rep_ID]],Dim_Reps!A:A,Dim_Reps!K:K)</f>
        <v>EUR</v>
      </c>
      <c r="N95" s="33">
        <f>(_xlfn.XLOOKUP(Pipeline_tbl[[#This Row],[Rate_Code_Generalized]],Lookups!A:A,Lookups!B:B))*Pipeline_tbl[[#This Row],[Pipeline_Amount_USD]]</f>
        <v>2400</v>
      </c>
      <c r="O95" t="str">
        <f>_xlfn.XLOOKUP(Pipeline_tbl[[#This Row],[Rep_ID]],Dim_Reps!A:A,Dim_Reps!B:B)</f>
        <v>Sam Castro</v>
      </c>
      <c r="P95" t="str">
        <f>_xlfn.XLOOKUP(Pipeline_tbl[[#This Row],[Rep_ID]],Dim_Reps!A:A,Dim_Reps!C:C)</f>
        <v>SDR / Inside Sales Rep</v>
      </c>
      <c r="Q95" t="str">
        <f>_xlfn.XLOOKUP(Pipeline_tbl[[#This Row],[Rep_ID]],Dim_Reps!A:A,Dim_Reps!D:D)</f>
        <v>Inside Sales</v>
      </c>
      <c r="R95" t="str">
        <f>_xlfn.XLOOKUP(Pipeline_tbl[[#This Row],[Rep_ID]],Dim_Reps!A:A,Dim_Reps!E:E)</f>
        <v>APAC</v>
      </c>
      <c r="S95" t="str">
        <f>_xlfn.XLOOKUP(Pipeline_tbl[[#This Row],[Created_Date]],Dim_Date!A:A,Dim_Date!H:H)</f>
        <v>Sep 2025</v>
      </c>
      <c r="T95" t="str">
        <f>IF(Pipeline_tbl[[#This Row],[Closed_Date]]=0,"",(_xlfn.XLOOKUP(Pipeline_tbl[[#This Row],[Closed_Date]],Dim_Date!A:A,Dim_Date!H:H)))</f>
        <v>Oct 2025</v>
      </c>
      <c r="U95">
        <f>IF(Pipeline_tbl[[#This Row],[Closed_Date]]=0,"",Pipeline_tbl[[#This Row],[Closed_Date]]-Pipeline_tbl[[#This Row],[Created_Date]])</f>
        <v>24</v>
      </c>
    </row>
    <row r="96" spans="1:21" ht="15" customHeight="1" x14ac:dyDescent="0.2">
      <c r="A96" t="s">
        <v>402</v>
      </c>
      <c r="B96" t="s">
        <v>207</v>
      </c>
      <c r="C96" t="s">
        <v>56</v>
      </c>
      <c r="D96" s="49">
        <v>45930</v>
      </c>
      <c r="E96" s="49">
        <v>45931</v>
      </c>
      <c r="F96" s="49">
        <v>45934</v>
      </c>
      <c r="G96" s="49">
        <v>45937</v>
      </c>
      <c r="H96" s="49">
        <v>45940</v>
      </c>
      <c r="I96" s="49">
        <v>45942</v>
      </c>
      <c r="J96" t="s">
        <v>47</v>
      </c>
      <c r="K96" s="33">
        <v>2800</v>
      </c>
      <c r="M96" t="str">
        <f>_xlfn.XLOOKUP(Pipeline_tbl[[#This Row],[Rep_ID]],Dim_Reps!A:A,Dim_Reps!K:K)</f>
        <v>EUR</v>
      </c>
      <c r="N96" s="33">
        <f>(_xlfn.XLOOKUP(Pipeline_tbl[[#This Row],[Rate_Code_Generalized]],Lookups!A:A,Lookups!B:B))*Pipeline_tbl[[#This Row],[Pipeline_Amount_USD]]</f>
        <v>2800</v>
      </c>
      <c r="O96" t="str">
        <f>_xlfn.XLOOKUP(Pipeline_tbl[[#This Row],[Rep_ID]],Dim_Reps!A:A,Dim_Reps!B:B)</f>
        <v>Sam Castro</v>
      </c>
      <c r="P96" t="str">
        <f>_xlfn.XLOOKUP(Pipeline_tbl[[#This Row],[Rep_ID]],Dim_Reps!A:A,Dim_Reps!C:C)</f>
        <v>SDR / Inside Sales Rep</v>
      </c>
      <c r="Q96" t="str">
        <f>_xlfn.XLOOKUP(Pipeline_tbl[[#This Row],[Rep_ID]],Dim_Reps!A:A,Dim_Reps!D:D)</f>
        <v>Inside Sales</v>
      </c>
      <c r="R96" t="str">
        <f>_xlfn.XLOOKUP(Pipeline_tbl[[#This Row],[Rep_ID]],Dim_Reps!A:A,Dim_Reps!E:E)</f>
        <v>APAC</v>
      </c>
      <c r="S96" t="str">
        <f>_xlfn.XLOOKUP(Pipeline_tbl[[#This Row],[Created_Date]],Dim_Date!A:A,Dim_Date!H:H)</f>
        <v>Sep 2025</v>
      </c>
      <c r="T96" t="str">
        <f>IF(Pipeline_tbl[[#This Row],[Closed_Date]]=0,"",(_xlfn.XLOOKUP(Pipeline_tbl[[#This Row],[Closed_Date]],Dim_Date!A:A,Dim_Date!H:H)))</f>
        <v>Oct 2025</v>
      </c>
      <c r="U96">
        <f>IF(Pipeline_tbl[[#This Row],[Closed_Date]]=0,"",Pipeline_tbl[[#This Row],[Closed_Date]]-Pipeline_tbl[[#This Row],[Created_Date]])</f>
        <v>12</v>
      </c>
    </row>
    <row r="97" spans="1:21" ht="15" customHeight="1" x14ac:dyDescent="0.2">
      <c r="A97" t="s">
        <v>403</v>
      </c>
      <c r="B97" t="s">
        <v>207</v>
      </c>
      <c r="C97" t="s">
        <v>53</v>
      </c>
      <c r="D97" s="49">
        <v>45929</v>
      </c>
      <c r="E97" s="49">
        <v>45931</v>
      </c>
      <c r="F97" s="49">
        <v>45936</v>
      </c>
      <c r="G97" s="49">
        <v>45943</v>
      </c>
      <c r="I97" s="49">
        <v>45953</v>
      </c>
      <c r="J97" t="s">
        <v>49</v>
      </c>
      <c r="K97" s="33">
        <v>2200</v>
      </c>
      <c r="L97" t="s">
        <v>62</v>
      </c>
      <c r="M97" t="str">
        <f>_xlfn.XLOOKUP(Pipeline_tbl[[#This Row],[Rep_ID]],Dim_Reps!A:A,Dim_Reps!K:K)</f>
        <v>EUR</v>
      </c>
      <c r="N97" s="33">
        <f>(_xlfn.XLOOKUP(Pipeline_tbl[[#This Row],[Rate_Code_Generalized]],Lookups!A:A,Lookups!B:B))*Pipeline_tbl[[#This Row],[Pipeline_Amount_USD]]</f>
        <v>2200</v>
      </c>
      <c r="O97" t="str">
        <f>_xlfn.XLOOKUP(Pipeline_tbl[[#This Row],[Rep_ID]],Dim_Reps!A:A,Dim_Reps!B:B)</f>
        <v>Sam Castro</v>
      </c>
      <c r="P97" t="str">
        <f>_xlfn.XLOOKUP(Pipeline_tbl[[#This Row],[Rep_ID]],Dim_Reps!A:A,Dim_Reps!C:C)</f>
        <v>SDR / Inside Sales Rep</v>
      </c>
      <c r="Q97" t="str">
        <f>_xlfn.XLOOKUP(Pipeline_tbl[[#This Row],[Rep_ID]],Dim_Reps!A:A,Dim_Reps!D:D)</f>
        <v>Inside Sales</v>
      </c>
      <c r="R97" t="str">
        <f>_xlfn.XLOOKUP(Pipeline_tbl[[#This Row],[Rep_ID]],Dim_Reps!A:A,Dim_Reps!E:E)</f>
        <v>APAC</v>
      </c>
      <c r="S97" t="str">
        <f>_xlfn.XLOOKUP(Pipeline_tbl[[#This Row],[Created_Date]],Dim_Date!A:A,Dim_Date!H:H)</f>
        <v>Sep 2025</v>
      </c>
      <c r="T97" t="str">
        <f>IF(Pipeline_tbl[[#This Row],[Closed_Date]]=0,"",(_xlfn.XLOOKUP(Pipeline_tbl[[#This Row],[Closed_Date]],Dim_Date!A:A,Dim_Date!H:H)))</f>
        <v>Oct 2025</v>
      </c>
      <c r="U97">
        <f>IF(Pipeline_tbl[[#This Row],[Closed_Date]]=0,"",Pipeline_tbl[[#This Row],[Closed_Date]]-Pipeline_tbl[[#This Row],[Created_Date]])</f>
        <v>24</v>
      </c>
    </row>
    <row r="98" spans="1:21" ht="15" customHeight="1" x14ac:dyDescent="0.2">
      <c r="A98" t="s">
        <v>404</v>
      </c>
      <c r="B98" t="s">
        <v>207</v>
      </c>
      <c r="C98" t="s">
        <v>55</v>
      </c>
      <c r="D98" s="49">
        <v>45919</v>
      </c>
      <c r="E98" s="49">
        <v>45921</v>
      </c>
      <c r="F98" s="49">
        <v>45925</v>
      </c>
      <c r="G98" s="49">
        <v>45932</v>
      </c>
      <c r="H98" s="49">
        <v>45937</v>
      </c>
      <c r="I98" s="49">
        <v>45940</v>
      </c>
      <c r="J98" t="s">
        <v>49</v>
      </c>
      <c r="K98" s="33">
        <v>1900</v>
      </c>
      <c r="L98" t="s">
        <v>64</v>
      </c>
      <c r="M98" t="str">
        <f>_xlfn.XLOOKUP(Pipeline_tbl[[#This Row],[Rep_ID]],Dim_Reps!A:A,Dim_Reps!K:K)</f>
        <v>EUR</v>
      </c>
      <c r="N98" s="33">
        <f>(_xlfn.XLOOKUP(Pipeline_tbl[[#This Row],[Rate_Code_Generalized]],Lookups!A:A,Lookups!B:B))*Pipeline_tbl[[#This Row],[Pipeline_Amount_USD]]</f>
        <v>1900</v>
      </c>
      <c r="O98" t="str">
        <f>_xlfn.XLOOKUP(Pipeline_tbl[[#This Row],[Rep_ID]],Dim_Reps!A:A,Dim_Reps!B:B)</f>
        <v>Sam Castro</v>
      </c>
      <c r="P98" t="str">
        <f>_xlfn.XLOOKUP(Pipeline_tbl[[#This Row],[Rep_ID]],Dim_Reps!A:A,Dim_Reps!C:C)</f>
        <v>SDR / Inside Sales Rep</v>
      </c>
      <c r="Q98" t="str">
        <f>_xlfn.XLOOKUP(Pipeline_tbl[[#This Row],[Rep_ID]],Dim_Reps!A:A,Dim_Reps!D:D)</f>
        <v>Inside Sales</v>
      </c>
      <c r="R98" t="str">
        <f>_xlfn.XLOOKUP(Pipeline_tbl[[#This Row],[Rep_ID]],Dim_Reps!A:A,Dim_Reps!E:E)</f>
        <v>APAC</v>
      </c>
      <c r="S98" t="str">
        <f>_xlfn.XLOOKUP(Pipeline_tbl[[#This Row],[Created_Date]],Dim_Date!A:A,Dim_Date!H:H)</f>
        <v>Sep 2025</v>
      </c>
      <c r="T98" t="str">
        <f>IF(Pipeline_tbl[[#This Row],[Closed_Date]]=0,"",(_xlfn.XLOOKUP(Pipeline_tbl[[#This Row],[Closed_Date]],Dim_Date!A:A,Dim_Date!H:H)))</f>
        <v>Oct 2025</v>
      </c>
      <c r="U98">
        <f>IF(Pipeline_tbl[[#This Row],[Closed_Date]]=0,"",Pipeline_tbl[[#This Row],[Closed_Date]]-Pipeline_tbl[[#This Row],[Created_Date]])</f>
        <v>21</v>
      </c>
    </row>
    <row r="99" spans="1:21" ht="15" customHeight="1" x14ac:dyDescent="0.2">
      <c r="A99" t="s">
        <v>405</v>
      </c>
      <c r="B99" t="s">
        <v>207</v>
      </c>
      <c r="C99" t="s">
        <v>53</v>
      </c>
      <c r="D99" s="49">
        <v>45921</v>
      </c>
      <c r="E99" s="49">
        <v>45922</v>
      </c>
      <c r="F99" s="49">
        <v>45925</v>
      </c>
      <c r="G99" s="49">
        <v>45929</v>
      </c>
      <c r="I99" s="49">
        <v>45934</v>
      </c>
      <c r="J99" t="s">
        <v>49</v>
      </c>
      <c r="K99" s="33">
        <v>2200</v>
      </c>
      <c r="L99" t="s">
        <v>60</v>
      </c>
      <c r="M99" t="str">
        <f>_xlfn.XLOOKUP(Pipeline_tbl[[#This Row],[Rep_ID]],Dim_Reps!A:A,Dim_Reps!K:K)</f>
        <v>EUR</v>
      </c>
      <c r="N99" s="33">
        <f>(_xlfn.XLOOKUP(Pipeline_tbl[[#This Row],[Rate_Code_Generalized]],Lookups!A:A,Lookups!B:B))*Pipeline_tbl[[#This Row],[Pipeline_Amount_USD]]</f>
        <v>2200</v>
      </c>
      <c r="O99" t="str">
        <f>_xlfn.XLOOKUP(Pipeline_tbl[[#This Row],[Rep_ID]],Dim_Reps!A:A,Dim_Reps!B:B)</f>
        <v>Sam Castro</v>
      </c>
      <c r="P99" t="str">
        <f>_xlfn.XLOOKUP(Pipeline_tbl[[#This Row],[Rep_ID]],Dim_Reps!A:A,Dim_Reps!C:C)</f>
        <v>SDR / Inside Sales Rep</v>
      </c>
      <c r="Q99" t="str">
        <f>_xlfn.XLOOKUP(Pipeline_tbl[[#This Row],[Rep_ID]],Dim_Reps!A:A,Dim_Reps!D:D)</f>
        <v>Inside Sales</v>
      </c>
      <c r="R99" t="str">
        <f>_xlfn.XLOOKUP(Pipeline_tbl[[#This Row],[Rep_ID]],Dim_Reps!A:A,Dim_Reps!E:E)</f>
        <v>APAC</v>
      </c>
      <c r="S99" t="str">
        <f>_xlfn.XLOOKUP(Pipeline_tbl[[#This Row],[Created_Date]],Dim_Date!A:A,Dim_Date!H:H)</f>
        <v>Sep 2025</v>
      </c>
      <c r="T99" t="str">
        <f>IF(Pipeline_tbl[[#This Row],[Closed_Date]]=0,"",(_xlfn.XLOOKUP(Pipeline_tbl[[#This Row],[Closed_Date]],Dim_Date!A:A,Dim_Date!H:H)))</f>
        <v>Oct 2025</v>
      </c>
      <c r="U99">
        <f>IF(Pipeline_tbl[[#This Row],[Closed_Date]]=0,"",Pipeline_tbl[[#This Row],[Closed_Date]]-Pipeline_tbl[[#This Row],[Created_Date]])</f>
        <v>13</v>
      </c>
    </row>
    <row r="100" spans="1:21" ht="15" customHeight="1" x14ac:dyDescent="0.2">
      <c r="A100" t="s">
        <v>406</v>
      </c>
      <c r="B100" t="s">
        <v>207</v>
      </c>
      <c r="C100" t="s">
        <v>52</v>
      </c>
      <c r="D100" s="49">
        <v>45921</v>
      </c>
      <c r="E100" s="49">
        <v>45922</v>
      </c>
      <c r="F100" s="49">
        <v>45925</v>
      </c>
      <c r="I100" s="49">
        <v>45935</v>
      </c>
      <c r="J100" t="s">
        <v>49</v>
      </c>
      <c r="K100" s="33">
        <v>2100</v>
      </c>
      <c r="L100" t="s">
        <v>62</v>
      </c>
      <c r="M100" t="str">
        <f>_xlfn.XLOOKUP(Pipeline_tbl[[#This Row],[Rep_ID]],Dim_Reps!A:A,Dim_Reps!K:K)</f>
        <v>EUR</v>
      </c>
      <c r="N100" s="33">
        <f>(_xlfn.XLOOKUP(Pipeline_tbl[[#This Row],[Rate_Code_Generalized]],Lookups!A:A,Lookups!B:B))*Pipeline_tbl[[#This Row],[Pipeline_Amount_USD]]</f>
        <v>2100</v>
      </c>
      <c r="O100" t="str">
        <f>_xlfn.XLOOKUP(Pipeline_tbl[[#This Row],[Rep_ID]],Dim_Reps!A:A,Dim_Reps!B:B)</f>
        <v>Sam Castro</v>
      </c>
      <c r="P100" t="str">
        <f>_xlfn.XLOOKUP(Pipeline_tbl[[#This Row],[Rep_ID]],Dim_Reps!A:A,Dim_Reps!C:C)</f>
        <v>SDR / Inside Sales Rep</v>
      </c>
      <c r="Q100" t="str">
        <f>_xlfn.XLOOKUP(Pipeline_tbl[[#This Row],[Rep_ID]],Dim_Reps!A:A,Dim_Reps!D:D)</f>
        <v>Inside Sales</v>
      </c>
      <c r="R100" t="str">
        <f>_xlfn.XLOOKUP(Pipeline_tbl[[#This Row],[Rep_ID]],Dim_Reps!A:A,Dim_Reps!E:E)</f>
        <v>APAC</v>
      </c>
      <c r="S100" t="str">
        <f>_xlfn.XLOOKUP(Pipeline_tbl[[#This Row],[Created_Date]],Dim_Date!A:A,Dim_Date!H:H)</f>
        <v>Sep 2025</v>
      </c>
      <c r="T100" t="str">
        <f>IF(Pipeline_tbl[[#This Row],[Closed_Date]]=0,"",(_xlfn.XLOOKUP(Pipeline_tbl[[#This Row],[Closed_Date]],Dim_Date!A:A,Dim_Date!H:H)))</f>
        <v>Oct 2025</v>
      </c>
      <c r="U100">
        <f>IF(Pipeline_tbl[[#This Row],[Closed_Date]]=0,"",Pipeline_tbl[[#This Row],[Closed_Date]]-Pipeline_tbl[[#This Row],[Created_Date]])</f>
        <v>14</v>
      </c>
    </row>
    <row r="101" spans="1:21" ht="15" customHeight="1" x14ac:dyDescent="0.2">
      <c r="A101" t="s">
        <v>407</v>
      </c>
      <c r="B101" t="s">
        <v>207</v>
      </c>
      <c r="C101" t="s">
        <v>52</v>
      </c>
      <c r="D101" s="49">
        <v>45920</v>
      </c>
      <c r="E101" s="49">
        <v>45922</v>
      </c>
      <c r="F101" s="49">
        <v>45925</v>
      </c>
      <c r="G101" s="49">
        <v>45931</v>
      </c>
      <c r="I101" s="49">
        <v>45938</v>
      </c>
      <c r="J101" t="s">
        <v>49</v>
      </c>
      <c r="K101" s="33">
        <v>1800</v>
      </c>
      <c r="L101" t="s">
        <v>63</v>
      </c>
      <c r="M101" t="str">
        <f>_xlfn.XLOOKUP(Pipeline_tbl[[#This Row],[Rep_ID]],Dim_Reps!A:A,Dim_Reps!K:K)</f>
        <v>EUR</v>
      </c>
      <c r="N101" s="33">
        <f>(_xlfn.XLOOKUP(Pipeline_tbl[[#This Row],[Rate_Code_Generalized]],Lookups!A:A,Lookups!B:B))*Pipeline_tbl[[#This Row],[Pipeline_Amount_USD]]</f>
        <v>1800</v>
      </c>
      <c r="O101" t="str">
        <f>_xlfn.XLOOKUP(Pipeline_tbl[[#This Row],[Rep_ID]],Dim_Reps!A:A,Dim_Reps!B:B)</f>
        <v>Sam Castro</v>
      </c>
      <c r="P101" t="str">
        <f>_xlfn.XLOOKUP(Pipeline_tbl[[#This Row],[Rep_ID]],Dim_Reps!A:A,Dim_Reps!C:C)</f>
        <v>SDR / Inside Sales Rep</v>
      </c>
      <c r="Q101" t="str">
        <f>_xlfn.XLOOKUP(Pipeline_tbl[[#This Row],[Rep_ID]],Dim_Reps!A:A,Dim_Reps!D:D)</f>
        <v>Inside Sales</v>
      </c>
      <c r="R101" t="str">
        <f>_xlfn.XLOOKUP(Pipeline_tbl[[#This Row],[Rep_ID]],Dim_Reps!A:A,Dim_Reps!E:E)</f>
        <v>APAC</v>
      </c>
      <c r="S101" t="str">
        <f>_xlfn.XLOOKUP(Pipeline_tbl[[#This Row],[Created_Date]],Dim_Date!A:A,Dim_Date!H:H)</f>
        <v>Sep 2025</v>
      </c>
      <c r="T101" t="str">
        <f>IF(Pipeline_tbl[[#This Row],[Closed_Date]]=0,"",(_xlfn.XLOOKUP(Pipeline_tbl[[#This Row],[Closed_Date]],Dim_Date!A:A,Dim_Date!H:H)))</f>
        <v>Oct 2025</v>
      </c>
      <c r="U101">
        <f>IF(Pipeline_tbl[[#This Row],[Closed_Date]]=0,"",Pipeline_tbl[[#This Row],[Closed_Date]]-Pipeline_tbl[[#This Row],[Created_Date]])</f>
        <v>18</v>
      </c>
    </row>
    <row r="102" spans="1:21" ht="15" customHeight="1" x14ac:dyDescent="0.2">
      <c r="A102" t="s">
        <v>408</v>
      </c>
      <c r="B102" t="s">
        <v>207</v>
      </c>
      <c r="C102" t="s">
        <v>53</v>
      </c>
      <c r="D102" s="49">
        <v>45928</v>
      </c>
      <c r="E102" s="49">
        <v>45929</v>
      </c>
      <c r="F102" s="49">
        <v>45931</v>
      </c>
      <c r="I102" s="49">
        <v>45939</v>
      </c>
      <c r="J102" t="s">
        <v>49</v>
      </c>
      <c r="K102" s="33">
        <v>4400</v>
      </c>
      <c r="L102" t="s">
        <v>60</v>
      </c>
      <c r="M102" t="str">
        <f>_xlfn.XLOOKUP(Pipeline_tbl[[#This Row],[Rep_ID]],Dim_Reps!A:A,Dim_Reps!K:K)</f>
        <v>EUR</v>
      </c>
      <c r="N102" s="33">
        <f>(_xlfn.XLOOKUP(Pipeline_tbl[[#This Row],[Rate_Code_Generalized]],Lookups!A:A,Lookups!B:B))*Pipeline_tbl[[#This Row],[Pipeline_Amount_USD]]</f>
        <v>4400</v>
      </c>
      <c r="O102" t="str">
        <f>_xlfn.XLOOKUP(Pipeline_tbl[[#This Row],[Rep_ID]],Dim_Reps!A:A,Dim_Reps!B:B)</f>
        <v>Sam Castro</v>
      </c>
      <c r="P102" t="str">
        <f>_xlfn.XLOOKUP(Pipeline_tbl[[#This Row],[Rep_ID]],Dim_Reps!A:A,Dim_Reps!C:C)</f>
        <v>SDR / Inside Sales Rep</v>
      </c>
      <c r="Q102" t="str">
        <f>_xlfn.XLOOKUP(Pipeline_tbl[[#This Row],[Rep_ID]],Dim_Reps!A:A,Dim_Reps!D:D)</f>
        <v>Inside Sales</v>
      </c>
      <c r="R102" t="str">
        <f>_xlfn.XLOOKUP(Pipeline_tbl[[#This Row],[Rep_ID]],Dim_Reps!A:A,Dim_Reps!E:E)</f>
        <v>APAC</v>
      </c>
      <c r="S102" t="str">
        <f>_xlfn.XLOOKUP(Pipeline_tbl[[#This Row],[Created_Date]],Dim_Date!A:A,Dim_Date!H:H)</f>
        <v>Sep 2025</v>
      </c>
      <c r="T102" t="str">
        <f>IF(Pipeline_tbl[[#This Row],[Closed_Date]]=0,"",(_xlfn.XLOOKUP(Pipeline_tbl[[#This Row],[Closed_Date]],Dim_Date!A:A,Dim_Date!H:H)))</f>
        <v>Oct 2025</v>
      </c>
      <c r="U102">
        <f>IF(Pipeline_tbl[[#This Row],[Closed_Date]]=0,"",Pipeline_tbl[[#This Row],[Closed_Date]]-Pipeline_tbl[[#This Row],[Created_Date]])</f>
        <v>11</v>
      </c>
    </row>
    <row r="103" spans="1:21" ht="15" customHeight="1" x14ac:dyDescent="0.2">
      <c r="A103" t="s">
        <v>409</v>
      </c>
      <c r="B103" t="s">
        <v>209</v>
      </c>
      <c r="C103" t="s">
        <v>56</v>
      </c>
      <c r="D103" s="49">
        <v>45915</v>
      </c>
      <c r="E103" s="49">
        <v>45917</v>
      </c>
      <c r="I103" s="49">
        <v>45937</v>
      </c>
      <c r="J103" t="s">
        <v>49</v>
      </c>
      <c r="K103" s="33">
        <v>5500</v>
      </c>
      <c r="L103" t="s">
        <v>61</v>
      </c>
      <c r="M103" t="str">
        <f>_xlfn.XLOOKUP(Pipeline_tbl[[#This Row],[Rep_ID]],Dim_Reps!A:A,Dim_Reps!K:K)</f>
        <v>EUR</v>
      </c>
      <c r="N103" s="33">
        <f>(_xlfn.XLOOKUP(Pipeline_tbl[[#This Row],[Rate_Code_Generalized]],Lookups!A:A,Lookups!B:B))*Pipeline_tbl[[#This Row],[Pipeline_Amount_USD]]</f>
        <v>5500</v>
      </c>
      <c r="O103" t="str">
        <f>_xlfn.XLOOKUP(Pipeline_tbl[[#This Row],[Rep_ID]],Dim_Reps!A:A,Dim_Reps!B:B)</f>
        <v>Petra Larsen</v>
      </c>
      <c r="P103" t="str">
        <f>_xlfn.XLOOKUP(Pipeline_tbl[[#This Row],[Rep_ID]],Dim_Reps!A:A,Dim_Reps!C:C)</f>
        <v>SDR / Inside Sales Rep</v>
      </c>
      <c r="Q103" t="str">
        <f>_xlfn.XLOOKUP(Pipeline_tbl[[#This Row],[Rep_ID]],Dim_Reps!A:A,Dim_Reps!D:D)</f>
        <v>Inside Sales</v>
      </c>
      <c r="R103" t="str">
        <f>_xlfn.XLOOKUP(Pipeline_tbl[[#This Row],[Rep_ID]],Dim_Reps!A:A,Dim_Reps!E:E)</f>
        <v>EMEA</v>
      </c>
      <c r="S103" t="str">
        <f>_xlfn.XLOOKUP(Pipeline_tbl[[#This Row],[Created_Date]],Dim_Date!A:A,Dim_Date!H:H)</f>
        <v>Sep 2025</v>
      </c>
      <c r="T103" t="str">
        <f>IF(Pipeline_tbl[[#This Row],[Closed_Date]]=0,"",(_xlfn.XLOOKUP(Pipeline_tbl[[#This Row],[Closed_Date]],Dim_Date!A:A,Dim_Date!H:H)))</f>
        <v>Oct 2025</v>
      </c>
      <c r="U103">
        <f>IF(Pipeline_tbl[[#This Row],[Closed_Date]]=0,"",Pipeline_tbl[[#This Row],[Closed_Date]]-Pipeline_tbl[[#This Row],[Created_Date]])</f>
        <v>22</v>
      </c>
    </row>
    <row r="104" spans="1:21" ht="15" customHeight="1" x14ac:dyDescent="0.2">
      <c r="A104" t="s">
        <v>410</v>
      </c>
      <c r="B104" t="s">
        <v>209</v>
      </c>
      <c r="C104" t="s">
        <v>54</v>
      </c>
      <c r="D104" s="49">
        <v>45926</v>
      </c>
      <c r="E104" s="49">
        <v>45928</v>
      </c>
      <c r="F104" s="49">
        <v>45931</v>
      </c>
      <c r="G104" s="49">
        <v>45936</v>
      </c>
      <c r="H104" s="49">
        <v>45940</v>
      </c>
      <c r="I104" s="49">
        <v>45942</v>
      </c>
      <c r="J104" t="s">
        <v>47</v>
      </c>
      <c r="K104" s="33">
        <v>3200</v>
      </c>
      <c r="M104" t="str">
        <f>_xlfn.XLOOKUP(Pipeline_tbl[[#This Row],[Rep_ID]],Dim_Reps!A:A,Dim_Reps!K:K)</f>
        <v>EUR</v>
      </c>
      <c r="N104" s="33">
        <f>(_xlfn.XLOOKUP(Pipeline_tbl[[#This Row],[Rate_Code_Generalized]],Lookups!A:A,Lookups!B:B))*Pipeline_tbl[[#This Row],[Pipeline_Amount_USD]]</f>
        <v>3200</v>
      </c>
      <c r="O104" t="str">
        <f>_xlfn.XLOOKUP(Pipeline_tbl[[#This Row],[Rep_ID]],Dim_Reps!A:A,Dim_Reps!B:B)</f>
        <v>Petra Larsen</v>
      </c>
      <c r="P104" t="str">
        <f>_xlfn.XLOOKUP(Pipeline_tbl[[#This Row],[Rep_ID]],Dim_Reps!A:A,Dim_Reps!C:C)</f>
        <v>SDR / Inside Sales Rep</v>
      </c>
      <c r="Q104" t="str">
        <f>_xlfn.XLOOKUP(Pipeline_tbl[[#This Row],[Rep_ID]],Dim_Reps!A:A,Dim_Reps!D:D)</f>
        <v>Inside Sales</v>
      </c>
      <c r="R104" t="str">
        <f>_xlfn.XLOOKUP(Pipeline_tbl[[#This Row],[Rep_ID]],Dim_Reps!A:A,Dim_Reps!E:E)</f>
        <v>EMEA</v>
      </c>
      <c r="S104" t="str">
        <f>_xlfn.XLOOKUP(Pipeline_tbl[[#This Row],[Created_Date]],Dim_Date!A:A,Dim_Date!H:H)</f>
        <v>Sep 2025</v>
      </c>
      <c r="T104" t="str">
        <f>IF(Pipeline_tbl[[#This Row],[Closed_Date]]=0,"",(_xlfn.XLOOKUP(Pipeline_tbl[[#This Row],[Closed_Date]],Dim_Date!A:A,Dim_Date!H:H)))</f>
        <v>Oct 2025</v>
      </c>
      <c r="U104">
        <f>IF(Pipeline_tbl[[#This Row],[Closed_Date]]=0,"",Pipeline_tbl[[#This Row],[Closed_Date]]-Pipeline_tbl[[#This Row],[Created_Date]])</f>
        <v>16</v>
      </c>
    </row>
    <row r="105" spans="1:21" ht="15" customHeight="1" x14ac:dyDescent="0.2">
      <c r="A105" t="s">
        <v>411</v>
      </c>
      <c r="B105" t="s">
        <v>209</v>
      </c>
      <c r="C105" t="s">
        <v>53</v>
      </c>
      <c r="D105" s="49">
        <v>45929</v>
      </c>
      <c r="E105" s="49">
        <v>45931</v>
      </c>
      <c r="F105" s="49">
        <v>45936</v>
      </c>
      <c r="G105" s="49">
        <v>45943</v>
      </c>
      <c r="H105" s="49">
        <v>45949</v>
      </c>
      <c r="I105" s="49">
        <v>45952</v>
      </c>
      <c r="J105" t="s">
        <v>47</v>
      </c>
      <c r="K105" s="33">
        <v>2600</v>
      </c>
      <c r="M105" t="str">
        <f>_xlfn.XLOOKUP(Pipeline_tbl[[#This Row],[Rep_ID]],Dim_Reps!A:A,Dim_Reps!K:K)</f>
        <v>EUR</v>
      </c>
      <c r="N105" s="33">
        <f>(_xlfn.XLOOKUP(Pipeline_tbl[[#This Row],[Rate_Code_Generalized]],Lookups!A:A,Lookups!B:B))*Pipeline_tbl[[#This Row],[Pipeline_Amount_USD]]</f>
        <v>2600</v>
      </c>
      <c r="O105" t="str">
        <f>_xlfn.XLOOKUP(Pipeline_tbl[[#This Row],[Rep_ID]],Dim_Reps!A:A,Dim_Reps!B:B)</f>
        <v>Petra Larsen</v>
      </c>
      <c r="P105" t="str">
        <f>_xlfn.XLOOKUP(Pipeline_tbl[[#This Row],[Rep_ID]],Dim_Reps!A:A,Dim_Reps!C:C)</f>
        <v>SDR / Inside Sales Rep</v>
      </c>
      <c r="Q105" t="str">
        <f>_xlfn.XLOOKUP(Pipeline_tbl[[#This Row],[Rep_ID]],Dim_Reps!A:A,Dim_Reps!D:D)</f>
        <v>Inside Sales</v>
      </c>
      <c r="R105" t="str">
        <f>_xlfn.XLOOKUP(Pipeline_tbl[[#This Row],[Rep_ID]],Dim_Reps!A:A,Dim_Reps!E:E)</f>
        <v>EMEA</v>
      </c>
      <c r="S105" t="str">
        <f>_xlfn.XLOOKUP(Pipeline_tbl[[#This Row],[Created_Date]],Dim_Date!A:A,Dim_Date!H:H)</f>
        <v>Sep 2025</v>
      </c>
      <c r="T105" t="str">
        <f>IF(Pipeline_tbl[[#This Row],[Closed_Date]]=0,"",(_xlfn.XLOOKUP(Pipeline_tbl[[#This Row],[Closed_Date]],Dim_Date!A:A,Dim_Date!H:H)))</f>
        <v>Oct 2025</v>
      </c>
      <c r="U105">
        <f>IF(Pipeline_tbl[[#This Row],[Closed_Date]]=0,"",Pipeline_tbl[[#This Row],[Closed_Date]]-Pipeline_tbl[[#This Row],[Created_Date]])</f>
        <v>23</v>
      </c>
    </row>
    <row r="106" spans="1:21" ht="15" customHeight="1" x14ac:dyDescent="0.2">
      <c r="A106" t="s">
        <v>412</v>
      </c>
      <c r="B106" t="s">
        <v>209</v>
      </c>
      <c r="C106" t="s">
        <v>53</v>
      </c>
      <c r="D106" s="49">
        <v>45927</v>
      </c>
      <c r="E106" s="49">
        <v>45929</v>
      </c>
      <c r="F106" s="49">
        <v>45933</v>
      </c>
      <c r="G106" s="49">
        <v>45940</v>
      </c>
      <c r="H106" s="49">
        <v>45945</v>
      </c>
      <c r="I106" s="49">
        <v>45948</v>
      </c>
      <c r="J106" t="s">
        <v>47</v>
      </c>
      <c r="K106" s="33">
        <v>2400</v>
      </c>
      <c r="M106" t="str">
        <f>_xlfn.XLOOKUP(Pipeline_tbl[[#This Row],[Rep_ID]],Dim_Reps!A:A,Dim_Reps!K:K)</f>
        <v>EUR</v>
      </c>
      <c r="N106" s="33">
        <f>(_xlfn.XLOOKUP(Pipeline_tbl[[#This Row],[Rate_Code_Generalized]],Lookups!A:A,Lookups!B:B))*Pipeline_tbl[[#This Row],[Pipeline_Amount_USD]]</f>
        <v>2400</v>
      </c>
      <c r="O106" t="str">
        <f>_xlfn.XLOOKUP(Pipeline_tbl[[#This Row],[Rep_ID]],Dim_Reps!A:A,Dim_Reps!B:B)</f>
        <v>Petra Larsen</v>
      </c>
      <c r="P106" t="str">
        <f>_xlfn.XLOOKUP(Pipeline_tbl[[#This Row],[Rep_ID]],Dim_Reps!A:A,Dim_Reps!C:C)</f>
        <v>SDR / Inside Sales Rep</v>
      </c>
      <c r="Q106" t="str">
        <f>_xlfn.XLOOKUP(Pipeline_tbl[[#This Row],[Rep_ID]],Dim_Reps!A:A,Dim_Reps!D:D)</f>
        <v>Inside Sales</v>
      </c>
      <c r="R106" t="str">
        <f>_xlfn.XLOOKUP(Pipeline_tbl[[#This Row],[Rep_ID]],Dim_Reps!A:A,Dim_Reps!E:E)</f>
        <v>EMEA</v>
      </c>
      <c r="S106" t="str">
        <f>_xlfn.XLOOKUP(Pipeline_tbl[[#This Row],[Created_Date]],Dim_Date!A:A,Dim_Date!H:H)</f>
        <v>Sep 2025</v>
      </c>
      <c r="T106" t="str">
        <f>IF(Pipeline_tbl[[#This Row],[Closed_Date]]=0,"",(_xlfn.XLOOKUP(Pipeline_tbl[[#This Row],[Closed_Date]],Dim_Date!A:A,Dim_Date!H:H)))</f>
        <v>Oct 2025</v>
      </c>
      <c r="U106">
        <f>IF(Pipeline_tbl[[#This Row],[Closed_Date]]=0,"",Pipeline_tbl[[#This Row],[Closed_Date]]-Pipeline_tbl[[#This Row],[Created_Date]])</f>
        <v>21</v>
      </c>
    </row>
    <row r="107" spans="1:21" ht="15" customHeight="1" x14ac:dyDescent="0.2">
      <c r="A107" t="s">
        <v>413</v>
      </c>
      <c r="B107" t="s">
        <v>209</v>
      </c>
      <c r="C107" t="s">
        <v>56</v>
      </c>
      <c r="D107" s="49">
        <v>45911</v>
      </c>
      <c r="E107" s="49">
        <v>45913</v>
      </c>
      <c r="F107" s="49">
        <v>45917</v>
      </c>
      <c r="G107" s="49">
        <v>45923</v>
      </c>
      <c r="H107" s="49">
        <v>45928</v>
      </c>
      <c r="I107" s="49">
        <v>45931</v>
      </c>
      <c r="J107" t="s">
        <v>47</v>
      </c>
      <c r="K107" s="33">
        <v>2800</v>
      </c>
      <c r="M107" t="str">
        <f>_xlfn.XLOOKUP(Pipeline_tbl[[#This Row],[Rep_ID]],Dim_Reps!A:A,Dim_Reps!K:K)</f>
        <v>EUR</v>
      </c>
      <c r="N107" s="33">
        <f>(_xlfn.XLOOKUP(Pipeline_tbl[[#This Row],[Rate_Code_Generalized]],Lookups!A:A,Lookups!B:B))*Pipeline_tbl[[#This Row],[Pipeline_Amount_USD]]</f>
        <v>2800</v>
      </c>
      <c r="O107" t="str">
        <f>_xlfn.XLOOKUP(Pipeline_tbl[[#This Row],[Rep_ID]],Dim_Reps!A:A,Dim_Reps!B:B)</f>
        <v>Petra Larsen</v>
      </c>
      <c r="P107" t="str">
        <f>_xlfn.XLOOKUP(Pipeline_tbl[[#This Row],[Rep_ID]],Dim_Reps!A:A,Dim_Reps!C:C)</f>
        <v>SDR / Inside Sales Rep</v>
      </c>
      <c r="Q107" t="str">
        <f>_xlfn.XLOOKUP(Pipeline_tbl[[#This Row],[Rep_ID]],Dim_Reps!A:A,Dim_Reps!D:D)</f>
        <v>Inside Sales</v>
      </c>
      <c r="R107" t="str">
        <f>_xlfn.XLOOKUP(Pipeline_tbl[[#This Row],[Rep_ID]],Dim_Reps!A:A,Dim_Reps!E:E)</f>
        <v>EMEA</v>
      </c>
      <c r="S107" t="str">
        <f>_xlfn.XLOOKUP(Pipeline_tbl[[#This Row],[Created_Date]],Dim_Date!A:A,Dim_Date!H:H)</f>
        <v>Sep 2025</v>
      </c>
      <c r="T107" t="str">
        <f>IF(Pipeline_tbl[[#This Row],[Closed_Date]]=0,"",(_xlfn.XLOOKUP(Pipeline_tbl[[#This Row],[Closed_Date]],Dim_Date!A:A,Dim_Date!H:H)))</f>
        <v>Oct 2025</v>
      </c>
      <c r="U107">
        <f>IF(Pipeline_tbl[[#This Row],[Closed_Date]]=0,"",Pipeline_tbl[[#This Row],[Closed_Date]]-Pipeline_tbl[[#This Row],[Created_Date]])</f>
        <v>20</v>
      </c>
    </row>
    <row r="108" spans="1:21" ht="15" customHeight="1" x14ac:dyDescent="0.2">
      <c r="A108" t="s">
        <v>414</v>
      </c>
      <c r="B108" t="s">
        <v>209</v>
      </c>
      <c r="C108" t="s">
        <v>52</v>
      </c>
      <c r="D108" s="49">
        <v>45923</v>
      </c>
      <c r="E108" s="49">
        <v>45925</v>
      </c>
      <c r="F108" s="49">
        <v>45928</v>
      </c>
      <c r="I108" s="49">
        <v>45940</v>
      </c>
      <c r="J108" t="s">
        <v>49</v>
      </c>
      <c r="K108" s="33">
        <v>3900</v>
      </c>
      <c r="L108" t="s">
        <v>62</v>
      </c>
      <c r="M108" t="str">
        <f>_xlfn.XLOOKUP(Pipeline_tbl[[#This Row],[Rep_ID]],Dim_Reps!A:A,Dim_Reps!K:K)</f>
        <v>EUR</v>
      </c>
      <c r="N108" s="33">
        <f>(_xlfn.XLOOKUP(Pipeline_tbl[[#This Row],[Rate_Code_Generalized]],Lookups!A:A,Lookups!B:B))*Pipeline_tbl[[#This Row],[Pipeline_Amount_USD]]</f>
        <v>3900</v>
      </c>
      <c r="O108" t="str">
        <f>_xlfn.XLOOKUP(Pipeline_tbl[[#This Row],[Rep_ID]],Dim_Reps!A:A,Dim_Reps!B:B)</f>
        <v>Petra Larsen</v>
      </c>
      <c r="P108" t="str">
        <f>_xlfn.XLOOKUP(Pipeline_tbl[[#This Row],[Rep_ID]],Dim_Reps!A:A,Dim_Reps!C:C)</f>
        <v>SDR / Inside Sales Rep</v>
      </c>
      <c r="Q108" t="str">
        <f>_xlfn.XLOOKUP(Pipeline_tbl[[#This Row],[Rep_ID]],Dim_Reps!A:A,Dim_Reps!D:D)</f>
        <v>Inside Sales</v>
      </c>
      <c r="R108" t="str">
        <f>_xlfn.XLOOKUP(Pipeline_tbl[[#This Row],[Rep_ID]],Dim_Reps!A:A,Dim_Reps!E:E)</f>
        <v>EMEA</v>
      </c>
      <c r="S108" t="str">
        <f>_xlfn.XLOOKUP(Pipeline_tbl[[#This Row],[Created_Date]],Dim_Date!A:A,Dim_Date!H:H)</f>
        <v>Sep 2025</v>
      </c>
      <c r="T108" t="str">
        <f>IF(Pipeline_tbl[[#This Row],[Closed_Date]]=0,"",(_xlfn.XLOOKUP(Pipeline_tbl[[#This Row],[Closed_Date]],Dim_Date!A:A,Dim_Date!H:H)))</f>
        <v>Oct 2025</v>
      </c>
      <c r="U108">
        <f>IF(Pipeline_tbl[[#This Row],[Closed_Date]]=0,"",Pipeline_tbl[[#This Row],[Closed_Date]]-Pipeline_tbl[[#This Row],[Created_Date]])</f>
        <v>17</v>
      </c>
    </row>
    <row r="109" spans="1:21" ht="15" customHeight="1" x14ac:dyDescent="0.2">
      <c r="A109" t="s">
        <v>415</v>
      </c>
      <c r="B109" t="s">
        <v>211</v>
      </c>
      <c r="C109" t="s">
        <v>52</v>
      </c>
      <c r="D109" s="49">
        <v>45924</v>
      </c>
      <c r="E109" s="49">
        <v>45925</v>
      </c>
      <c r="F109" s="49">
        <v>45928</v>
      </c>
      <c r="G109" s="49">
        <v>45932</v>
      </c>
      <c r="H109" s="49">
        <v>45935</v>
      </c>
      <c r="I109" s="49">
        <v>45937</v>
      </c>
      <c r="J109" t="s">
        <v>49</v>
      </c>
      <c r="K109" s="33">
        <v>4900</v>
      </c>
      <c r="L109" t="s">
        <v>63</v>
      </c>
      <c r="M109" t="str">
        <f>_xlfn.XLOOKUP(Pipeline_tbl[[#This Row],[Rep_ID]],Dim_Reps!A:A,Dim_Reps!K:K)</f>
        <v>EUR</v>
      </c>
      <c r="N109" s="33">
        <f>(_xlfn.XLOOKUP(Pipeline_tbl[[#This Row],[Rate_Code_Generalized]],Lookups!A:A,Lookups!B:B))*Pipeline_tbl[[#This Row],[Pipeline_Amount_USD]]</f>
        <v>4900</v>
      </c>
      <c r="O109" t="str">
        <f>_xlfn.XLOOKUP(Pipeline_tbl[[#This Row],[Rep_ID]],Dim_Reps!A:A,Dim_Reps!B:B)</f>
        <v>Lea Weber</v>
      </c>
      <c r="P109" t="str">
        <f>_xlfn.XLOOKUP(Pipeline_tbl[[#This Row],[Rep_ID]],Dim_Reps!A:A,Dim_Reps!C:C)</f>
        <v>SDR / Inside Sales Rep</v>
      </c>
      <c r="Q109" t="str">
        <f>_xlfn.XLOOKUP(Pipeline_tbl[[#This Row],[Rep_ID]],Dim_Reps!A:A,Dim_Reps!D:D)</f>
        <v>Inside Sales</v>
      </c>
      <c r="R109" t="str">
        <f>_xlfn.XLOOKUP(Pipeline_tbl[[#This Row],[Rep_ID]],Dim_Reps!A:A,Dim_Reps!E:E)</f>
        <v>EMEA</v>
      </c>
      <c r="S109" t="str">
        <f>_xlfn.XLOOKUP(Pipeline_tbl[[#This Row],[Created_Date]],Dim_Date!A:A,Dim_Date!H:H)</f>
        <v>Sep 2025</v>
      </c>
      <c r="T109" t="str">
        <f>IF(Pipeline_tbl[[#This Row],[Closed_Date]]=0,"",(_xlfn.XLOOKUP(Pipeline_tbl[[#This Row],[Closed_Date]],Dim_Date!A:A,Dim_Date!H:H)))</f>
        <v>Oct 2025</v>
      </c>
      <c r="U109">
        <f>IF(Pipeline_tbl[[#This Row],[Closed_Date]]=0,"",Pipeline_tbl[[#This Row],[Closed_Date]]-Pipeline_tbl[[#This Row],[Created_Date]])</f>
        <v>13</v>
      </c>
    </row>
    <row r="110" spans="1:21" ht="15" customHeight="1" x14ac:dyDescent="0.2">
      <c r="A110" t="s">
        <v>416</v>
      </c>
      <c r="B110" t="s">
        <v>211</v>
      </c>
      <c r="C110" t="s">
        <v>52</v>
      </c>
      <c r="D110" s="49">
        <v>45920</v>
      </c>
      <c r="E110" s="49">
        <v>45922</v>
      </c>
      <c r="F110" s="49">
        <v>45926</v>
      </c>
      <c r="I110" s="49">
        <v>45939</v>
      </c>
      <c r="J110" t="s">
        <v>49</v>
      </c>
      <c r="K110" s="33">
        <v>3100</v>
      </c>
      <c r="L110" t="s">
        <v>62</v>
      </c>
      <c r="M110" t="str">
        <f>_xlfn.XLOOKUP(Pipeline_tbl[[#This Row],[Rep_ID]],Dim_Reps!A:A,Dim_Reps!K:K)</f>
        <v>EUR</v>
      </c>
      <c r="N110" s="33">
        <f>(_xlfn.XLOOKUP(Pipeline_tbl[[#This Row],[Rate_Code_Generalized]],Lookups!A:A,Lookups!B:B))*Pipeline_tbl[[#This Row],[Pipeline_Amount_USD]]</f>
        <v>3100</v>
      </c>
      <c r="O110" t="str">
        <f>_xlfn.XLOOKUP(Pipeline_tbl[[#This Row],[Rep_ID]],Dim_Reps!A:A,Dim_Reps!B:B)</f>
        <v>Lea Weber</v>
      </c>
      <c r="P110" t="str">
        <f>_xlfn.XLOOKUP(Pipeline_tbl[[#This Row],[Rep_ID]],Dim_Reps!A:A,Dim_Reps!C:C)</f>
        <v>SDR / Inside Sales Rep</v>
      </c>
      <c r="Q110" t="str">
        <f>_xlfn.XLOOKUP(Pipeline_tbl[[#This Row],[Rep_ID]],Dim_Reps!A:A,Dim_Reps!D:D)</f>
        <v>Inside Sales</v>
      </c>
      <c r="R110" t="str">
        <f>_xlfn.XLOOKUP(Pipeline_tbl[[#This Row],[Rep_ID]],Dim_Reps!A:A,Dim_Reps!E:E)</f>
        <v>EMEA</v>
      </c>
      <c r="S110" t="str">
        <f>_xlfn.XLOOKUP(Pipeline_tbl[[#This Row],[Created_Date]],Dim_Date!A:A,Dim_Date!H:H)</f>
        <v>Sep 2025</v>
      </c>
      <c r="T110" t="str">
        <f>IF(Pipeline_tbl[[#This Row],[Closed_Date]]=0,"",(_xlfn.XLOOKUP(Pipeline_tbl[[#This Row],[Closed_Date]],Dim_Date!A:A,Dim_Date!H:H)))</f>
        <v>Oct 2025</v>
      </c>
      <c r="U110">
        <f>IF(Pipeline_tbl[[#This Row],[Closed_Date]]=0,"",Pipeline_tbl[[#This Row],[Closed_Date]]-Pipeline_tbl[[#This Row],[Created_Date]])</f>
        <v>19</v>
      </c>
    </row>
    <row r="111" spans="1:21" ht="15" customHeight="1" x14ac:dyDescent="0.2">
      <c r="A111" t="s">
        <v>417</v>
      </c>
      <c r="B111" t="s">
        <v>211</v>
      </c>
      <c r="C111" t="s">
        <v>56</v>
      </c>
      <c r="D111" s="49">
        <v>45917</v>
      </c>
      <c r="E111" s="49">
        <v>45919</v>
      </c>
      <c r="F111" s="49">
        <v>45922</v>
      </c>
      <c r="G111" s="49">
        <v>45927</v>
      </c>
      <c r="I111" s="49">
        <v>45934</v>
      </c>
      <c r="J111" t="s">
        <v>49</v>
      </c>
      <c r="K111" s="33">
        <v>2600</v>
      </c>
      <c r="L111" t="s">
        <v>62</v>
      </c>
      <c r="M111" t="str">
        <f>_xlfn.XLOOKUP(Pipeline_tbl[[#This Row],[Rep_ID]],Dim_Reps!A:A,Dim_Reps!K:K)</f>
        <v>EUR</v>
      </c>
      <c r="N111" s="33">
        <f>(_xlfn.XLOOKUP(Pipeline_tbl[[#This Row],[Rate_Code_Generalized]],Lookups!A:A,Lookups!B:B))*Pipeline_tbl[[#This Row],[Pipeline_Amount_USD]]</f>
        <v>2600</v>
      </c>
      <c r="O111" t="str">
        <f>_xlfn.XLOOKUP(Pipeline_tbl[[#This Row],[Rep_ID]],Dim_Reps!A:A,Dim_Reps!B:B)</f>
        <v>Lea Weber</v>
      </c>
      <c r="P111" t="str">
        <f>_xlfn.XLOOKUP(Pipeline_tbl[[#This Row],[Rep_ID]],Dim_Reps!A:A,Dim_Reps!C:C)</f>
        <v>SDR / Inside Sales Rep</v>
      </c>
      <c r="Q111" t="str">
        <f>_xlfn.XLOOKUP(Pipeline_tbl[[#This Row],[Rep_ID]],Dim_Reps!A:A,Dim_Reps!D:D)</f>
        <v>Inside Sales</v>
      </c>
      <c r="R111" t="str">
        <f>_xlfn.XLOOKUP(Pipeline_tbl[[#This Row],[Rep_ID]],Dim_Reps!A:A,Dim_Reps!E:E)</f>
        <v>EMEA</v>
      </c>
      <c r="S111" t="str">
        <f>_xlfn.XLOOKUP(Pipeline_tbl[[#This Row],[Created_Date]],Dim_Date!A:A,Dim_Date!H:H)</f>
        <v>Sep 2025</v>
      </c>
      <c r="T111" t="str">
        <f>IF(Pipeline_tbl[[#This Row],[Closed_Date]]=0,"",(_xlfn.XLOOKUP(Pipeline_tbl[[#This Row],[Closed_Date]],Dim_Date!A:A,Dim_Date!H:H)))</f>
        <v>Oct 2025</v>
      </c>
      <c r="U111">
        <f>IF(Pipeline_tbl[[#This Row],[Closed_Date]]=0,"",Pipeline_tbl[[#This Row],[Closed_Date]]-Pipeline_tbl[[#This Row],[Created_Date]])</f>
        <v>17</v>
      </c>
    </row>
    <row r="112" spans="1:21" ht="15" customHeight="1" x14ac:dyDescent="0.2">
      <c r="A112" t="s">
        <v>418</v>
      </c>
      <c r="B112" t="s">
        <v>211</v>
      </c>
      <c r="C112" t="s">
        <v>54</v>
      </c>
      <c r="D112" s="49">
        <v>45925</v>
      </c>
      <c r="E112" s="49">
        <v>45927</v>
      </c>
      <c r="F112" s="49">
        <v>45932</v>
      </c>
      <c r="G112" s="49">
        <v>45939</v>
      </c>
      <c r="I112" s="49">
        <v>45949</v>
      </c>
      <c r="J112" t="s">
        <v>49</v>
      </c>
      <c r="K112" s="33">
        <v>3000</v>
      </c>
      <c r="L112" t="s">
        <v>60</v>
      </c>
      <c r="M112" t="str">
        <f>_xlfn.XLOOKUP(Pipeline_tbl[[#This Row],[Rep_ID]],Dim_Reps!A:A,Dim_Reps!K:K)</f>
        <v>EUR</v>
      </c>
      <c r="N112" s="33">
        <f>(_xlfn.XLOOKUP(Pipeline_tbl[[#This Row],[Rate_Code_Generalized]],Lookups!A:A,Lookups!B:B))*Pipeline_tbl[[#This Row],[Pipeline_Amount_USD]]</f>
        <v>3000</v>
      </c>
      <c r="O112" t="str">
        <f>_xlfn.XLOOKUP(Pipeline_tbl[[#This Row],[Rep_ID]],Dim_Reps!A:A,Dim_Reps!B:B)</f>
        <v>Lea Weber</v>
      </c>
      <c r="P112" t="str">
        <f>_xlfn.XLOOKUP(Pipeline_tbl[[#This Row],[Rep_ID]],Dim_Reps!A:A,Dim_Reps!C:C)</f>
        <v>SDR / Inside Sales Rep</v>
      </c>
      <c r="Q112" t="str">
        <f>_xlfn.XLOOKUP(Pipeline_tbl[[#This Row],[Rep_ID]],Dim_Reps!A:A,Dim_Reps!D:D)</f>
        <v>Inside Sales</v>
      </c>
      <c r="R112" t="str">
        <f>_xlfn.XLOOKUP(Pipeline_tbl[[#This Row],[Rep_ID]],Dim_Reps!A:A,Dim_Reps!E:E)</f>
        <v>EMEA</v>
      </c>
      <c r="S112" t="str">
        <f>_xlfn.XLOOKUP(Pipeline_tbl[[#This Row],[Created_Date]],Dim_Date!A:A,Dim_Date!H:H)</f>
        <v>Sep 2025</v>
      </c>
      <c r="T112" t="str">
        <f>IF(Pipeline_tbl[[#This Row],[Closed_Date]]=0,"",(_xlfn.XLOOKUP(Pipeline_tbl[[#This Row],[Closed_Date]],Dim_Date!A:A,Dim_Date!H:H)))</f>
        <v>Oct 2025</v>
      </c>
      <c r="U112">
        <f>IF(Pipeline_tbl[[#This Row],[Closed_Date]]=0,"",Pipeline_tbl[[#This Row],[Closed_Date]]-Pipeline_tbl[[#This Row],[Created_Date]])</f>
        <v>24</v>
      </c>
    </row>
    <row r="113" spans="1:21" ht="15" customHeight="1" x14ac:dyDescent="0.2">
      <c r="A113" t="s">
        <v>419</v>
      </c>
      <c r="B113" t="s">
        <v>249</v>
      </c>
      <c r="C113" t="s">
        <v>52</v>
      </c>
      <c r="D113" s="49">
        <v>45903</v>
      </c>
      <c r="E113" s="49">
        <v>45907</v>
      </c>
      <c r="F113" s="49">
        <v>45915</v>
      </c>
      <c r="G113" s="49">
        <v>45928</v>
      </c>
      <c r="H113" s="49">
        <v>45938</v>
      </c>
      <c r="I113" s="49">
        <v>45944</v>
      </c>
      <c r="J113" t="s">
        <v>47</v>
      </c>
      <c r="K113" s="33">
        <v>14900</v>
      </c>
      <c r="M113" t="str">
        <f>_xlfn.XLOOKUP(Pipeline_tbl[[#This Row],[Rep_ID]],Dim_Reps!A:A,Dim_Reps!K:K)</f>
        <v>EUR</v>
      </c>
      <c r="N113" s="33">
        <f>(_xlfn.XLOOKUP(Pipeline_tbl[[#This Row],[Rate_Code_Generalized]],Lookups!A:A,Lookups!B:B))*Pipeline_tbl[[#This Row],[Pipeline_Amount_USD]]</f>
        <v>14900</v>
      </c>
      <c r="O113" t="str">
        <f>_xlfn.XLOOKUP(Pipeline_tbl[[#This Row],[Rep_ID]],Dim_Reps!A:A,Dim_Reps!B:B)</f>
        <v>Ana Sato</v>
      </c>
      <c r="P113" t="str">
        <f>_xlfn.XLOOKUP(Pipeline_tbl[[#This Row],[Rep_ID]],Dim_Reps!A:A,Dim_Reps!C:C)</f>
        <v>Mid-Market AE</v>
      </c>
      <c r="Q113" t="str">
        <f>_xlfn.XLOOKUP(Pipeline_tbl[[#This Row],[Rep_ID]],Dim_Reps!A:A,Dim_Reps!D:D)</f>
        <v>Mid-Market</v>
      </c>
      <c r="R113" t="str">
        <f>_xlfn.XLOOKUP(Pipeline_tbl[[#This Row],[Rep_ID]],Dim_Reps!A:A,Dim_Reps!E:E)</f>
        <v>APAC</v>
      </c>
      <c r="S113" t="str">
        <f>_xlfn.XLOOKUP(Pipeline_tbl[[#This Row],[Created_Date]],Dim_Date!A:A,Dim_Date!H:H)</f>
        <v>Sep 2025</v>
      </c>
      <c r="T113" t="str">
        <f>IF(Pipeline_tbl[[#This Row],[Closed_Date]]=0,"",(_xlfn.XLOOKUP(Pipeline_tbl[[#This Row],[Closed_Date]],Dim_Date!A:A,Dim_Date!H:H)))</f>
        <v>Oct 2025</v>
      </c>
      <c r="U113">
        <f>IF(Pipeline_tbl[[#This Row],[Closed_Date]]=0,"",Pipeline_tbl[[#This Row],[Closed_Date]]-Pipeline_tbl[[#This Row],[Created_Date]])</f>
        <v>41</v>
      </c>
    </row>
    <row r="114" spans="1:21" ht="15" customHeight="1" x14ac:dyDescent="0.2">
      <c r="A114" t="s">
        <v>420</v>
      </c>
      <c r="B114" t="s">
        <v>249</v>
      </c>
      <c r="C114" t="s">
        <v>52</v>
      </c>
      <c r="D114" s="49">
        <v>45917</v>
      </c>
      <c r="E114" s="49">
        <v>45921</v>
      </c>
      <c r="F114" s="49">
        <v>45929</v>
      </c>
      <c r="I114" s="49">
        <v>45956</v>
      </c>
      <c r="J114" t="s">
        <v>49</v>
      </c>
      <c r="K114" s="33">
        <v>12500</v>
      </c>
      <c r="L114" t="s">
        <v>60</v>
      </c>
      <c r="M114" t="str">
        <f>_xlfn.XLOOKUP(Pipeline_tbl[[#This Row],[Rep_ID]],Dim_Reps!A:A,Dim_Reps!K:K)</f>
        <v>EUR</v>
      </c>
      <c r="N114" s="33">
        <f>(_xlfn.XLOOKUP(Pipeline_tbl[[#This Row],[Rate_Code_Generalized]],Lookups!A:A,Lookups!B:B))*Pipeline_tbl[[#This Row],[Pipeline_Amount_USD]]</f>
        <v>12500</v>
      </c>
      <c r="O114" t="str">
        <f>_xlfn.XLOOKUP(Pipeline_tbl[[#This Row],[Rep_ID]],Dim_Reps!A:A,Dim_Reps!B:B)</f>
        <v>Ana Sato</v>
      </c>
      <c r="P114" t="str">
        <f>_xlfn.XLOOKUP(Pipeline_tbl[[#This Row],[Rep_ID]],Dim_Reps!A:A,Dim_Reps!C:C)</f>
        <v>Mid-Market AE</v>
      </c>
      <c r="Q114" t="str">
        <f>_xlfn.XLOOKUP(Pipeline_tbl[[#This Row],[Rep_ID]],Dim_Reps!A:A,Dim_Reps!D:D)</f>
        <v>Mid-Market</v>
      </c>
      <c r="R114" t="str">
        <f>_xlfn.XLOOKUP(Pipeline_tbl[[#This Row],[Rep_ID]],Dim_Reps!A:A,Dim_Reps!E:E)</f>
        <v>APAC</v>
      </c>
      <c r="S114" t="str">
        <f>_xlfn.XLOOKUP(Pipeline_tbl[[#This Row],[Created_Date]],Dim_Date!A:A,Dim_Date!H:H)</f>
        <v>Sep 2025</v>
      </c>
      <c r="T114" t="str">
        <f>IF(Pipeline_tbl[[#This Row],[Closed_Date]]=0,"",(_xlfn.XLOOKUP(Pipeline_tbl[[#This Row],[Closed_Date]],Dim_Date!A:A,Dim_Date!H:H)))</f>
        <v>Oct 2025</v>
      </c>
      <c r="U114">
        <f>IF(Pipeline_tbl[[#This Row],[Closed_Date]]=0,"",Pipeline_tbl[[#This Row],[Closed_Date]]-Pipeline_tbl[[#This Row],[Created_Date]])</f>
        <v>39</v>
      </c>
    </row>
    <row r="115" spans="1:21" ht="15" customHeight="1" x14ac:dyDescent="0.2">
      <c r="A115" t="s">
        <v>421</v>
      </c>
      <c r="B115" t="s">
        <v>249</v>
      </c>
      <c r="C115" t="s">
        <v>52</v>
      </c>
      <c r="D115" s="49">
        <v>45917</v>
      </c>
      <c r="E115" s="49">
        <v>45920</v>
      </c>
      <c r="F115" s="49">
        <v>45926</v>
      </c>
      <c r="G115" s="49">
        <v>45936</v>
      </c>
      <c r="H115" s="49">
        <v>45943</v>
      </c>
      <c r="I115" s="49">
        <v>45948</v>
      </c>
      <c r="J115" t="s">
        <v>49</v>
      </c>
      <c r="K115" s="33">
        <v>17800</v>
      </c>
      <c r="L115" t="s">
        <v>61</v>
      </c>
      <c r="M115" t="str">
        <f>_xlfn.XLOOKUP(Pipeline_tbl[[#This Row],[Rep_ID]],Dim_Reps!A:A,Dim_Reps!K:K)</f>
        <v>EUR</v>
      </c>
      <c r="N115" s="33">
        <f>(_xlfn.XLOOKUP(Pipeline_tbl[[#This Row],[Rate_Code_Generalized]],Lookups!A:A,Lookups!B:B))*Pipeline_tbl[[#This Row],[Pipeline_Amount_USD]]</f>
        <v>17800</v>
      </c>
      <c r="O115" t="str">
        <f>_xlfn.XLOOKUP(Pipeline_tbl[[#This Row],[Rep_ID]],Dim_Reps!A:A,Dim_Reps!B:B)</f>
        <v>Ana Sato</v>
      </c>
      <c r="P115" t="str">
        <f>_xlfn.XLOOKUP(Pipeline_tbl[[#This Row],[Rep_ID]],Dim_Reps!A:A,Dim_Reps!C:C)</f>
        <v>Mid-Market AE</v>
      </c>
      <c r="Q115" t="str">
        <f>_xlfn.XLOOKUP(Pipeline_tbl[[#This Row],[Rep_ID]],Dim_Reps!A:A,Dim_Reps!D:D)</f>
        <v>Mid-Market</v>
      </c>
      <c r="R115" t="str">
        <f>_xlfn.XLOOKUP(Pipeline_tbl[[#This Row],[Rep_ID]],Dim_Reps!A:A,Dim_Reps!E:E)</f>
        <v>APAC</v>
      </c>
      <c r="S115" t="str">
        <f>_xlfn.XLOOKUP(Pipeline_tbl[[#This Row],[Created_Date]],Dim_Date!A:A,Dim_Date!H:H)</f>
        <v>Sep 2025</v>
      </c>
      <c r="T115" t="str">
        <f>IF(Pipeline_tbl[[#This Row],[Closed_Date]]=0,"",(_xlfn.XLOOKUP(Pipeline_tbl[[#This Row],[Closed_Date]],Dim_Date!A:A,Dim_Date!H:H)))</f>
        <v>Oct 2025</v>
      </c>
      <c r="U115">
        <f>IF(Pipeline_tbl[[#This Row],[Closed_Date]]=0,"",Pipeline_tbl[[#This Row],[Closed_Date]]-Pipeline_tbl[[#This Row],[Created_Date]])</f>
        <v>31</v>
      </c>
    </row>
    <row r="116" spans="1:21" ht="15" customHeight="1" x14ac:dyDescent="0.2">
      <c r="A116" t="s">
        <v>422</v>
      </c>
      <c r="B116" t="s">
        <v>249</v>
      </c>
      <c r="C116" t="s">
        <v>56</v>
      </c>
      <c r="D116" s="49">
        <v>45926</v>
      </c>
      <c r="E116" s="49">
        <v>45928</v>
      </c>
      <c r="F116" s="49">
        <v>45931</v>
      </c>
      <c r="G116" s="49">
        <v>45936</v>
      </c>
      <c r="H116" s="49">
        <v>45940</v>
      </c>
      <c r="I116" s="49">
        <v>45942</v>
      </c>
      <c r="J116" t="s">
        <v>49</v>
      </c>
      <c r="K116" s="33">
        <v>5100</v>
      </c>
      <c r="L116" t="s">
        <v>63</v>
      </c>
      <c r="M116" t="str">
        <f>_xlfn.XLOOKUP(Pipeline_tbl[[#This Row],[Rep_ID]],Dim_Reps!A:A,Dim_Reps!K:K)</f>
        <v>EUR</v>
      </c>
      <c r="N116" s="33">
        <f>(_xlfn.XLOOKUP(Pipeline_tbl[[#This Row],[Rate_Code_Generalized]],Lookups!A:A,Lookups!B:B))*Pipeline_tbl[[#This Row],[Pipeline_Amount_USD]]</f>
        <v>5100</v>
      </c>
      <c r="O116" t="str">
        <f>_xlfn.XLOOKUP(Pipeline_tbl[[#This Row],[Rep_ID]],Dim_Reps!A:A,Dim_Reps!B:B)</f>
        <v>Ana Sato</v>
      </c>
      <c r="P116" t="str">
        <f>_xlfn.XLOOKUP(Pipeline_tbl[[#This Row],[Rep_ID]],Dim_Reps!A:A,Dim_Reps!C:C)</f>
        <v>Mid-Market AE</v>
      </c>
      <c r="Q116" t="str">
        <f>_xlfn.XLOOKUP(Pipeline_tbl[[#This Row],[Rep_ID]],Dim_Reps!A:A,Dim_Reps!D:D)</f>
        <v>Mid-Market</v>
      </c>
      <c r="R116" t="str">
        <f>_xlfn.XLOOKUP(Pipeline_tbl[[#This Row],[Rep_ID]],Dim_Reps!A:A,Dim_Reps!E:E)</f>
        <v>APAC</v>
      </c>
      <c r="S116" t="str">
        <f>_xlfn.XLOOKUP(Pipeline_tbl[[#This Row],[Created_Date]],Dim_Date!A:A,Dim_Date!H:H)</f>
        <v>Sep 2025</v>
      </c>
      <c r="T116" t="str">
        <f>IF(Pipeline_tbl[[#This Row],[Closed_Date]]=0,"",(_xlfn.XLOOKUP(Pipeline_tbl[[#This Row],[Closed_Date]],Dim_Date!A:A,Dim_Date!H:H)))</f>
        <v>Oct 2025</v>
      </c>
      <c r="U116">
        <f>IF(Pipeline_tbl[[#This Row],[Closed_Date]]=0,"",Pipeline_tbl[[#This Row],[Closed_Date]]-Pipeline_tbl[[#This Row],[Created_Date]])</f>
        <v>16</v>
      </c>
    </row>
    <row r="117" spans="1:21" ht="15" customHeight="1" x14ac:dyDescent="0.2">
      <c r="A117" t="s">
        <v>423</v>
      </c>
      <c r="B117" t="s">
        <v>213</v>
      </c>
      <c r="C117" t="s">
        <v>53</v>
      </c>
      <c r="D117" s="49">
        <v>45921</v>
      </c>
      <c r="E117" s="49">
        <v>45923</v>
      </c>
      <c r="F117" s="49">
        <v>45926</v>
      </c>
      <c r="G117" s="49">
        <v>45931</v>
      </c>
      <c r="H117" s="49">
        <v>45935</v>
      </c>
      <c r="I117" s="49">
        <v>45937</v>
      </c>
      <c r="J117" t="s">
        <v>47</v>
      </c>
      <c r="K117" s="33">
        <v>2400</v>
      </c>
      <c r="M117" t="str">
        <f>_xlfn.XLOOKUP(Pipeline_tbl[[#This Row],[Rep_ID]],Dim_Reps!A:A,Dim_Reps!K:K)</f>
        <v>EUR</v>
      </c>
      <c r="N117" s="33">
        <f>(_xlfn.XLOOKUP(Pipeline_tbl[[#This Row],[Rate_Code_Generalized]],Lookups!A:A,Lookups!B:B))*Pipeline_tbl[[#This Row],[Pipeline_Amount_USD]]</f>
        <v>2400</v>
      </c>
      <c r="O117" t="str">
        <f>_xlfn.XLOOKUP(Pipeline_tbl[[#This Row],[Rep_ID]],Dim_Reps!A:A,Dim_Reps!B:B)</f>
        <v>Jamie Silva</v>
      </c>
      <c r="P117" t="str">
        <f>_xlfn.XLOOKUP(Pipeline_tbl[[#This Row],[Rep_ID]],Dim_Reps!A:A,Dim_Reps!C:C)</f>
        <v>SDR / Inside Sales Rep</v>
      </c>
      <c r="Q117" t="str">
        <f>_xlfn.XLOOKUP(Pipeline_tbl[[#This Row],[Rep_ID]],Dim_Reps!A:A,Dim_Reps!D:D)</f>
        <v>Inside Sales</v>
      </c>
      <c r="R117" t="str">
        <f>_xlfn.XLOOKUP(Pipeline_tbl[[#This Row],[Rep_ID]],Dim_Reps!A:A,Dim_Reps!E:E)</f>
        <v>EMEA</v>
      </c>
      <c r="S117" t="str">
        <f>_xlfn.XLOOKUP(Pipeline_tbl[[#This Row],[Created_Date]],Dim_Date!A:A,Dim_Date!H:H)</f>
        <v>Sep 2025</v>
      </c>
      <c r="T117" t="str">
        <f>IF(Pipeline_tbl[[#This Row],[Closed_Date]]=0,"",(_xlfn.XLOOKUP(Pipeline_tbl[[#This Row],[Closed_Date]],Dim_Date!A:A,Dim_Date!H:H)))</f>
        <v>Oct 2025</v>
      </c>
      <c r="U117">
        <f>IF(Pipeline_tbl[[#This Row],[Closed_Date]]=0,"",Pipeline_tbl[[#This Row],[Closed_Date]]-Pipeline_tbl[[#This Row],[Created_Date]])</f>
        <v>16</v>
      </c>
    </row>
    <row r="118" spans="1:21" ht="15" customHeight="1" x14ac:dyDescent="0.2">
      <c r="A118" t="s">
        <v>424</v>
      </c>
      <c r="B118" t="s">
        <v>213</v>
      </c>
      <c r="C118" t="s">
        <v>55</v>
      </c>
      <c r="D118" s="49">
        <v>45926</v>
      </c>
      <c r="E118" s="49">
        <v>45927</v>
      </c>
      <c r="F118" s="49">
        <v>45930</v>
      </c>
      <c r="I118" s="49">
        <v>45938</v>
      </c>
      <c r="J118" t="s">
        <v>49</v>
      </c>
      <c r="K118" s="33">
        <v>5700</v>
      </c>
      <c r="L118" t="s">
        <v>61</v>
      </c>
      <c r="M118" t="str">
        <f>_xlfn.XLOOKUP(Pipeline_tbl[[#This Row],[Rep_ID]],Dim_Reps!A:A,Dim_Reps!K:K)</f>
        <v>EUR</v>
      </c>
      <c r="N118" s="33">
        <f>(_xlfn.XLOOKUP(Pipeline_tbl[[#This Row],[Rate_Code_Generalized]],Lookups!A:A,Lookups!B:B))*Pipeline_tbl[[#This Row],[Pipeline_Amount_USD]]</f>
        <v>5700</v>
      </c>
      <c r="O118" t="str">
        <f>_xlfn.XLOOKUP(Pipeline_tbl[[#This Row],[Rep_ID]],Dim_Reps!A:A,Dim_Reps!B:B)</f>
        <v>Jamie Silva</v>
      </c>
      <c r="P118" t="str">
        <f>_xlfn.XLOOKUP(Pipeline_tbl[[#This Row],[Rep_ID]],Dim_Reps!A:A,Dim_Reps!C:C)</f>
        <v>SDR / Inside Sales Rep</v>
      </c>
      <c r="Q118" t="str">
        <f>_xlfn.XLOOKUP(Pipeline_tbl[[#This Row],[Rep_ID]],Dim_Reps!A:A,Dim_Reps!D:D)</f>
        <v>Inside Sales</v>
      </c>
      <c r="R118" t="str">
        <f>_xlfn.XLOOKUP(Pipeline_tbl[[#This Row],[Rep_ID]],Dim_Reps!A:A,Dim_Reps!E:E)</f>
        <v>EMEA</v>
      </c>
      <c r="S118" t="str">
        <f>_xlfn.XLOOKUP(Pipeline_tbl[[#This Row],[Created_Date]],Dim_Date!A:A,Dim_Date!H:H)</f>
        <v>Sep 2025</v>
      </c>
      <c r="T118" t="str">
        <f>IF(Pipeline_tbl[[#This Row],[Closed_Date]]=0,"",(_xlfn.XLOOKUP(Pipeline_tbl[[#This Row],[Closed_Date]],Dim_Date!A:A,Dim_Date!H:H)))</f>
        <v>Oct 2025</v>
      </c>
      <c r="U118">
        <f>IF(Pipeline_tbl[[#This Row],[Closed_Date]]=0,"",Pipeline_tbl[[#This Row],[Closed_Date]]-Pipeline_tbl[[#This Row],[Created_Date]])</f>
        <v>12</v>
      </c>
    </row>
    <row r="119" spans="1:21" ht="15" customHeight="1" x14ac:dyDescent="0.2">
      <c r="A119" t="s">
        <v>425</v>
      </c>
      <c r="B119" t="s">
        <v>213</v>
      </c>
      <c r="C119" t="s">
        <v>53</v>
      </c>
      <c r="D119" s="49">
        <v>45922</v>
      </c>
      <c r="E119" s="49">
        <v>45924</v>
      </c>
      <c r="F119" s="49">
        <v>45927</v>
      </c>
      <c r="I119" s="49">
        <v>45939</v>
      </c>
      <c r="J119" t="s">
        <v>49</v>
      </c>
      <c r="K119" s="33">
        <v>5000</v>
      </c>
      <c r="L119" t="s">
        <v>60</v>
      </c>
      <c r="M119" t="str">
        <f>_xlfn.XLOOKUP(Pipeline_tbl[[#This Row],[Rep_ID]],Dim_Reps!A:A,Dim_Reps!K:K)</f>
        <v>EUR</v>
      </c>
      <c r="N119" s="33">
        <f>(_xlfn.XLOOKUP(Pipeline_tbl[[#This Row],[Rate_Code_Generalized]],Lookups!A:A,Lookups!B:B))*Pipeline_tbl[[#This Row],[Pipeline_Amount_USD]]</f>
        <v>5000</v>
      </c>
      <c r="O119" t="str">
        <f>_xlfn.XLOOKUP(Pipeline_tbl[[#This Row],[Rep_ID]],Dim_Reps!A:A,Dim_Reps!B:B)</f>
        <v>Jamie Silva</v>
      </c>
      <c r="P119" t="str">
        <f>_xlfn.XLOOKUP(Pipeline_tbl[[#This Row],[Rep_ID]],Dim_Reps!A:A,Dim_Reps!C:C)</f>
        <v>SDR / Inside Sales Rep</v>
      </c>
      <c r="Q119" t="str">
        <f>_xlfn.XLOOKUP(Pipeline_tbl[[#This Row],[Rep_ID]],Dim_Reps!A:A,Dim_Reps!D:D)</f>
        <v>Inside Sales</v>
      </c>
      <c r="R119" t="str">
        <f>_xlfn.XLOOKUP(Pipeline_tbl[[#This Row],[Rep_ID]],Dim_Reps!A:A,Dim_Reps!E:E)</f>
        <v>EMEA</v>
      </c>
      <c r="S119" t="str">
        <f>_xlfn.XLOOKUP(Pipeline_tbl[[#This Row],[Created_Date]],Dim_Date!A:A,Dim_Date!H:H)</f>
        <v>Sep 2025</v>
      </c>
      <c r="T119" t="str">
        <f>IF(Pipeline_tbl[[#This Row],[Closed_Date]]=0,"",(_xlfn.XLOOKUP(Pipeline_tbl[[#This Row],[Closed_Date]],Dim_Date!A:A,Dim_Date!H:H)))</f>
        <v>Oct 2025</v>
      </c>
      <c r="U119">
        <f>IF(Pipeline_tbl[[#This Row],[Closed_Date]]=0,"",Pipeline_tbl[[#This Row],[Closed_Date]]-Pipeline_tbl[[#This Row],[Created_Date]])</f>
        <v>17</v>
      </c>
    </row>
    <row r="120" spans="1:21" ht="15" customHeight="1" x14ac:dyDescent="0.2">
      <c r="A120" t="s">
        <v>426</v>
      </c>
      <c r="B120" t="s">
        <v>213</v>
      </c>
      <c r="C120" t="s">
        <v>54</v>
      </c>
      <c r="D120" s="49">
        <v>45921</v>
      </c>
      <c r="E120" s="49">
        <v>45923</v>
      </c>
      <c r="F120" s="49">
        <v>45928</v>
      </c>
      <c r="G120" s="49">
        <v>45935</v>
      </c>
      <c r="I120" s="49">
        <v>45945</v>
      </c>
      <c r="J120" t="s">
        <v>49</v>
      </c>
      <c r="K120" s="33">
        <v>3800</v>
      </c>
      <c r="L120" t="s">
        <v>62</v>
      </c>
      <c r="M120" t="str">
        <f>_xlfn.XLOOKUP(Pipeline_tbl[[#This Row],[Rep_ID]],Dim_Reps!A:A,Dim_Reps!K:K)</f>
        <v>EUR</v>
      </c>
      <c r="N120" s="33">
        <f>(_xlfn.XLOOKUP(Pipeline_tbl[[#This Row],[Rate_Code_Generalized]],Lookups!A:A,Lookups!B:B))*Pipeline_tbl[[#This Row],[Pipeline_Amount_USD]]</f>
        <v>3800</v>
      </c>
      <c r="O120" t="str">
        <f>_xlfn.XLOOKUP(Pipeline_tbl[[#This Row],[Rep_ID]],Dim_Reps!A:A,Dim_Reps!B:B)</f>
        <v>Jamie Silva</v>
      </c>
      <c r="P120" t="str">
        <f>_xlfn.XLOOKUP(Pipeline_tbl[[#This Row],[Rep_ID]],Dim_Reps!A:A,Dim_Reps!C:C)</f>
        <v>SDR / Inside Sales Rep</v>
      </c>
      <c r="Q120" t="str">
        <f>_xlfn.XLOOKUP(Pipeline_tbl[[#This Row],[Rep_ID]],Dim_Reps!A:A,Dim_Reps!D:D)</f>
        <v>Inside Sales</v>
      </c>
      <c r="R120" t="str">
        <f>_xlfn.XLOOKUP(Pipeline_tbl[[#This Row],[Rep_ID]],Dim_Reps!A:A,Dim_Reps!E:E)</f>
        <v>EMEA</v>
      </c>
      <c r="S120" t="str">
        <f>_xlfn.XLOOKUP(Pipeline_tbl[[#This Row],[Created_Date]],Dim_Date!A:A,Dim_Date!H:H)</f>
        <v>Sep 2025</v>
      </c>
      <c r="T120" t="str">
        <f>IF(Pipeline_tbl[[#This Row],[Closed_Date]]=0,"",(_xlfn.XLOOKUP(Pipeline_tbl[[#This Row],[Closed_Date]],Dim_Date!A:A,Dim_Date!H:H)))</f>
        <v>Oct 2025</v>
      </c>
      <c r="U120">
        <f>IF(Pipeline_tbl[[#This Row],[Closed_Date]]=0,"",Pipeline_tbl[[#This Row],[Closed_Date]]-Pipeline_tbl[[#This Row],[Created_Date]])</f>
        <v>24</v>
      </c>
    </row>
    <row r="121" spans="1:21" ht="15" customHeight="1" x14ac:dyDescent="0.2">
      <c r="A121" t="s">
        <v>427</v>
      </c>
      <c r="B121" t="s">
        <v>213</v>
      </c>
      <c r="C121" t="s">
        <v>54</v>
      </c>
      <c r="D121" s="49">
        <v>45913</v>
      </c>
      <c r="E121" s="49">
        <v>45915</v>
      </c>
      <c r="F121" s="49">
        <v>45921</v>
      </c>
      <c r="G121" s="49">
        <v>45928</v>
      </c>
      <c r="H121" s="49">
        <v>45934</v>
      </c>
      <c r="I121" s="49">
        <v>45938</v>
      </c>
      <c r="J121" t="s">
        <v>47</v>
      </c>
      <c r="K121" s="33">
        <v>4800</v>
      </c>
      <c r="M121" t="str">
        <f>_xlfn.XLOOKUP(Pipeline_tbl[[#This Row],[Rep_ID]],Dim_Reps!A:A,Dim_Reps!K:K)</f>
        <v>EUR</v>
      </c>
      <c r="N121" s="33">
        <f>(_xlfn.XLOOKUP(Pipeline_tbl[[#This Row],[Rate_Code_Generalized]],Lookups!A:A,Lookups!B:B))*Pipeline_tbl[[#This Row],[Pipeline_Amount_USD]]</f>
        <v>4800</v>
      </c>
      <c r="O121" t="str">
        <f>_xlfn.XLOOKUP(Pipeline_tbl[[#This Row],[Rep_ID]],Dim_Reps!A:A,Dim_Reps!B:B)</f>
        <v>Jamie Silva</v>
      </c>
      <c r="P121" t="str">
        <f>_xlfn.XLOOKUP(Pipeline_tbl[[#This Row],[Rep_ID]],Dim_Reps!A:A,Dim_Reps!C:C)</f>
        <v>SDR / Inside Sales Rep</v>
      </c>
      <c r="Q121" t="str">
        <f>_xlfn.XLOOKUP(Pipeline_tbl[[#This Row],[Rep_ID]],Dim_Reps!A:A,Dim_Reps!D:D)</f>
        <v>Inside Sales</v>
      </c>
      <c r="R121" t="str">
        <f>_xlfn.XLOOKUP(Pipeline_tbl[[#This Row],[Rep_ID]],Dim_Reps!A:A,Dim_Reps!E:E)</f>
        <v>EMEA</v>
      </c>
      <c r="S121" t="str">
        <f>_xlfn.XLOOKUP(Pipeline_tbl[[#This Row],[Created_Date]],Dim_Date!A:A,Dim_Date!H:H)</f>
        <v>Sep 2025</v>
      </c>
      <c r="T121" t="str">
        <f>IF(Pipeline_tbl[[#This Row],[Closed_Date]]=0,"",(_xlfn.XLOOKUP(Pipeline_tbl[[#This Row],[Closed_Date]],Dim_Date!A:A,Dim_Date!H:H)))</f>
        <v>Oct 2025</v>
      </c>
      <c r="U121">
        <f>IF(Pipeline_tbl[[#This Row],[Closed_Date]]=0,"",Pipeline_tbl[[#This Row],[Closed_Date]]-Pipeline_tbl[[#This Row],[Created_Date]])</f>
        <v>25</v>
      </c>
    </row>
    <row r="122" spans="1:21" ht="15" customHeight="1" x14ac:dyDescent="0.2">
      <c r="A122" t="s">
        <v>428</v>
      </c>
      <c r="B122" t="s">
        <v>213</v>
      </c>
      <c r="C122" t="s">
        <v>55</v>
      </c>
      <c r="D122" s="49">
        <v>45917</v>
      </c>
      <c r="E122" s="49">
        <v>45919</v>
      </c>
      <c r="F122" s="49">
        <v>45922</v>
      </c>
      <c r="G122" s="49">
        <v>45926</v>
      </c>
      <c r="I122" s="49">
        <v>45932</v>
      </c>
      <c r="J122" t="s">
        <v>49</v>
      </c>
      <c r="K122" s="33">
        <v>3400</v>
      </c>
      <c r="L122" t="s">
        <v>61</v>
      </c>
      <c r="M122" t="str">
        <f>_xlfn.XLOOKUP(Pipeline_tbl[[#This Row],[Rep_ID]],Dim_Reps!A:A,Dim_Reps!K:K)</f>
        <v>EUR</v>
      </c>
      <c r="N122" s="33">
        <f>(_xlfn.XLOOKUP(Pipeline_tbl[[#This Row],[Rate_Code_Generalized]],Lookups!A:A,Lookups!B:B))*Pipeline_tbl[[#This Row],[Pipeline_Amount_USD]]</f>
        <v>3400</v>
      </c>
      <c r="O122" t="str">
        <f>_xlfn.XLOOKUP(Pipeline_tbl[[#This Row],[Rep_ID]],Dim_Reps!A:A,Dim_Reps!B:B)</f>
        <v>Jamie Silva</v>
      </c>
      <c r="P122" t="str">
        <f>_xlfn.XLOOKUP(Pipeline_tbl[[#This Row],[Rep_ID]],Dim_Reps!A:A,Dim_Reps!C:C)</f>
        <v>SDR / Inside Sales Rep</v>
      </c>
      <c r="Q122" t="str">
        <f>_xlfn.XLOOKUP(Pipeline_tbl[[#This Row],[Rep_ID]],Dim_Reps!A:A,Dim_Reps!D:D)</f>
        <v>Inside Sales</v>
      </c>
      <c r="R122" t="str">
        <f>_xlfn.XLOOKUP(Pipeline_tbl[[#This Row],[Rep_ID]],Dim_Reps!A:A,Dim_Reps!E:E)</f>
        <v>EMEA</v>
      </c>
      <c r="S122" t="str">
        <f>_xlfn.XLOOKUP(Pipeline_tbl[[#This Row],[Created_Date]],Dim_Date!A:A,Dim_Date!H:H)</f>
        <v>Sep 2025</v>
      </c>
      <c r="T122" t="str">
        <f>IF(Pipeline_tbl[[#This Row],[Closed_Date]]=0,"",(_xlfn.XLOOKUP(Pipeline_tbl[[#This Row],[Closed_Date]],Dim_Date!A:A,Dim_Date!H:H)))</f>
        <v>Oct 2025</v>
      </c>
      <c r="U122">
        <f>IF(Pipeline_tbl[[#This Row],[Closed_Date]]=0,"",Pipeline_tbl[[#This Row],[Closed_Date]]-Pipeline_tbl[[#This Row],[Created_Date]])</f>
        <v>15</v>
      </c>
    </row>
    <row r="123" spans="1:21" ht="15" customHeight="1" x14ac:dyDescent="0.2">
      <c r="A123" t="s">
        <v>429</v>
      </c>
      <c r="B123" t="s">
        <v>213</v>
      </c>
      <c r="C123" t="s">
        <v>53</v>
      </c>
      <c r="D123" s="49">
        <v>45926</v>
      </c>
      <c r="E123" s="49">
        <v>45928</v>
      </c>
      <c r="F123" s="49">
        <v>45931</v>
      </c>
      <c r="G123" s="49">
        <v>45936</v>
      </c>
      <c r="H123" s="49">
        <v>45940</v>
      </c>
      <c r="I123" s="49">
        <v>45943</v>
      </c>
      <c r="J123" t="s">
        <v>47</v>
      </c>
      <c r="K123" s="33">
        <v>2300</v>
      </c>
      <c r="M123" t="str">
        <f>_xlfn.XLOOKUP(Pipeline_tbl[[#This Row],[Rep_ID]],Dim_Reps!A:A,Dim_Reps!K:K)</f>
        <v>EUR</v>
      </c>
      <c r="N123" s="33">
        <f>(_xlfn.XLOOKUP(Pipeline_tbl[[#This Row],[Rate_Code_Generalized]],Lookups!A:A,Lookups!B:B))*Pipeline_tbl[[#This Row],[Pipeline_Amount_USD]]</f>
        <v>2300</v>
      </c>
      <c r="O123" t="str">
        <f>_xlfn.XLOOKUP(Pipeline_tbl[[#This Row],[Rep_ID]],Dim_Reps!A:A,Dim_Reps!B:B)</f>
        <v>Jamie Silva</v>
      </c>
      <c r="P123" t="str">
        <f>_xlfn.XLOOKUP(Pipeline_tbl[[#This Row],[Rep_ID]],Dim_Reps!A:A,Dim_Reps!C:C)</f>
        <v>SDR / Inside Sales Rep</v>
      </c>
      <c r="Q123" t="str">
        <f>_xlfn.XLOOKUP(Pipeline_tbl[[#This Row],[Rep_ID]],Dim_Reps!A:A,Dim_Reps!D:D)</f>
        <v>Inside Sales</v>
      </c>
      <c r="R123" t="str">
        <f>_xlfn.XLOOKUP(Pipeline_tbl[[#This Row],[Rep_ID]],Dim_Reps!A:A,Dim_Reps!E:E)</f>
        <v>EMEA</v>
      </c>
      <c r="S123" t="str">
        <f>_xlfn.XLOOKUP(Pipeline_tbl[[#This Row],[Created_Date]],Dim_Date!A:A,Dim_Date!H:H)</f>
        <v>Sep 2025</v>
      </c>
      <c r="T123" t="str">
        <f>IF(Pipeline_tbl[[#This Row],[Closed_Date]]=0,"",(_xlfn.XLOOKUP(Pipeline_tbl[[#This Row],[Closed_Date]],Dim_Date!A:A,Dim_Date!H:H)))</f>
        <v>Oct 2025</v>
      </c>
      <c r="U123">
        <f>IF(Pipeline_tbl[[#This Row],[Closed_Date]]=0,"",Pipeline_tbl[[#This Row],[Closed_Date]]-Pipeline_tbl[[#This Row],[Created_Date]])</f>
        <v>17</v>
      </c>
    </row>
    <row r="124" spans="1:21" ht="15" customHeight="1" x14ac:dyDescent="0.2">
      <c r="A124" t="s">
        <v>430</v>
      </c>
      <c r="B124" t="s">
        <v>213</v>
      </c>
      <c r="C124" t="s">
        <v>52</v>
      </c>
      <c r="D124" s="49">
        <v>45924</v>
      </c>
      <c r="E124" s="49">
        <v>45926</v>
      </c>
      <c r="F124" s="49">
        <v>45930</v>
      </c>
      <c r="G124" s="49">
        <v>45936</v>
      </c>
      <c r="H124" s="49">
        <v>45941</v>
      </c>
      <c r="I124" s="49">
        <v>45944</v>
      </c>
      <c r="J124" t="s">
        <v>49</v>
      </c>
      <c r="K124" s="33">
        <v>3300</v>
      </c>
      <c r="L124" t="s">
        <v>61</v>
      </c>
      <c r="M124" t="str">
        <f>_xlfn.XLOOKUP(Pipeline_tbl[[#This Row],[Rep_ID]],Dim_Reps!A:A,Dim_Reps!K:K)</f>
        <v>EUR</v>
      </c>
      <c r="N124" s="33">
        <f>(_xlfn.XLOOKUP(Pipeline_tbl[[#This Row],[Rate_Code_Generalized]],Lookups!A:A,Lookups!B:B))*Pipeline_tbl[[#This Row],[Pipeline_Amount_USD]]</f>
        <v>3300</v>
      </c>
      <c r="O124" t="str">
        <f>_xlfn.XLOOKUP(Pipeline_tbl[[#This Row],[Rep_ID]],Dim_Reps!A:A,Dim_Reps!B:B)</f>
        <v>Jamie Silva</v>
      </c>
      <c r="P124" t="str">
        <f>_xlfn.XLOOKUP(Pipeline_tbl[[#This Row],[Rep_ID]],Dim_Reps!A:A,Dim_Reps!C:C)</f>
        <v>SDR / Inside Sales Rep</v>
      </c>
      <c r="Q124" t="str">
        <f>_xlfn.XLOOKUP(Pipeline_tbl[[#This Row],[Rep_ID]],Dim_Reps!A:A,Dim_Reps!D:D)</f>
        <v>Inside Sales</v>
      </c>
      <c r="R124" t="str">
        <f>_xlfn.XLOOKUP(Pipeline_tbl[[#This Row],[Rep_ID]],Dim_Reps!A:A,Dim_Reps!E:E)</f>
        <v>EMEA</v>
      </c>
      <c r="S124" t="str">
        <f>_xlfn.XLOOKUP(Pipeline_tbl[[#This Row],[Created_Date]],Dim_Date!A:A,Dim_Date!H:H)</f>
        <v>Sep 2025</v>
      </c>
      <c r="T124" t="str">
        <f>IF(Pipeline_tbl[[#This Row],[Closed_Date]]=0,"",(_xlfn.XLOOKUP(Pipeline_tbl[[#This Row],[Closed_Date]],Dim_Date!A:A,Dim_Date!H:H)))</f>
        <v>Oct 2025</v>
      </c>
      <c r="U124">
        <f>IF(Pipeline_tbl[[#This Row],[Closed_Date]]=0,"",Pipeline_tbl[[#This Row],[Closed_Date]]-Pipeline_tbl[[#This Row],[Created_Date]])</f>
        <v>20</v>
      </c>
    </row>
    <row r="125" spans="1:21" ht="15" customHeight="1" x14ac:dyDescent="0.2">
      <c r="A125" t="s">
        <v>431</v>
      </c>
      <c r="B125" t="s">
        <v>253</v>
      </c>
      <c r="C125" t="s">
        <v>53</v>
      </c>
      <c r="D125" s="49">
        <v>45907</v>
      </c>
      <c r="E125" s="49">
        <v>45911</v>
      </c>
      <c r="F125" s="49">
        <v>45918</v>
      </c>
      <c r="G125" s="49">
        <v>45928</v>
      </c>
      <c r="I125" s="49">
        <v>45942</v>
      </c>
      <c r="J125" t="s">
        <v>49</v>
      </c>
      <c r="K125" s="33">
        <v>10800</v>
      </c>
      <c r="L125" t="s">
        <v>62</v>
      </c>
      <c r="M125" t="str">
        <f>_xlfn.XLOOKUP(Pipeline_tbl[[#This Row],[Rep_ID]],Dim_Reps!A:A,Dim_Reps!K:K)</f>
        <v>EUR</v>
      </c>
      <c r="N125" s="33">
        <f>(_xlfn.XLOOKUP(Pipeline_tbl[[#This Row],[Rate_Code_Generalized]],Lookups!A:A,Lookups!B:B))*Pipeline_tbl[[#This Row],[Pipeline_Amount_USD]]</f>
        <v>10800</v>
      </c>
      <c r="O125" t="str">
        <f>_xlfn.XLOOKUP(Pipeline_tbl[[#This Row],[Rep_ID]],Dim_Reps!A:A,Dim_Reps!B:B)</f>
        <v>Rafael Weber</v>
      </c>
      <c r="P125" t="str">
        <f>_xlfn.XLOOKUP(Pipeline_tbl[[#This Row],[Rep_ID]],Dim_Reps!A:A,Dim_Reps!C:C)</f>
        <v>Mid-Market AE</v>
      </c>
      <c r="Q125" t="str">
        <f>_xlfn.XLOOKUP(Pipeline_tbl[[#This Row],[Rep_ID]],Dim_Reps!A:A,Dim_Reps!D:D)</f>
        <v>Mid-Market</v>
      </c>
      <c r="R125" t="str">
        <f>_xlfn.XLOOKUP(Pipeline_tbl[[#This Row],[Rep_ID]],Dim_Reps!A:A,Dim_Reps!E:E)</f>
        <v>APAC</v>
      </c>
      <c r="S125" t="str">
        <f>_xlfn.XLOOKUP(Pipeline_tbl[[#This Row],[Created_Date]],Dim_Date!A:A,Dim_Date!H:H)</f>
        <v>Sep 2025</v>
      </c>
      <c r="T125" t="str">
        <f>IF(Pipeline_tbl[[#This Row],[Closed_Date]]=0,"",(_xlfn.XLOOKUP(Pipeline_tbl[[#This Row],[Closed_Date]],Dim_Date!A:A,Dim_Date!H:H)))</f>
        <v>Oct 2025</v>
      </c>
      <c r="U125">
        <f>IF(Pipeline_tbl[[#This Row],[Closed_Date]]=0,"",Pipeline_tbl[[#This Row],[Closed_Date]]-Pipeline_tbl[[#This Row],[Created_Date]])</f>
        <v>35</v>
      </c>
    </row>
    <row r="126" spans="1:21" ht="15" customHeight="1" x14ac:dyDescent="0.2">
      <c r="A126" t="s">
        <v>432</v>
      </c>
      <c r="B126" t="s">
        <v>253</v>
      </c>
      <c r="C126" t="s">
        <v>52</v>
      </c>
      <c r="D126" s="49">
        <v>45920</v>
      </c>
      <c r="E126" s="49">
        <v>45923</v>
      </c>
      <c r="F126" s="49">
        <v>45930</v>
      </c>
      <c r="I126" s="49">
        <v>45953</v>
      </c>
      <c r="J126" t="s">
        <v>49</v>
      </c>
      <c r="K126" s="33">
        <v>15500</v>
      </c>
      <c r="L126" t="s">
        <v>60</v>
      </c>
      <c r="M126" t="str">
        <f>_xlfn.XLOOKUP(Pipeline_tbl[[#This Row],[Rep_ID]],Dim_Reps!A:A,Dim_Reps!K:K)</f>
        <v>EUR</v>
      </c>
      <c r="N126" s="33">
        <f>(_xlfn.XLOOKUP(Pipeline_tbl[[#This Row],[Rate_Code_Generalized]],Lookups!A:A,Lookups!B:B))*Pipeline_tbl[[#This Row],[Pipeline_Amount_USD]]</f>
        <v>15500</v>
      </c>
      <c r="O126" t="str">
        <f>_xlfn.XLOOKUP(Pipeline_tbl[[#This Row],[Rep_ID]],Dim_Reps!A:A,Dim_Reps!B:B)</f>
        <v>Rafael Weber</v>
      </c>
      <c r="P126" t="str">
        <f>_xlfn.XLOOKUP(Pipeline_tbl[[#This Row],[Rep_ID]],Dim_Reps!A:A,Dim_Reps!C:C)</f>
        <v>Mid-Market AE</v>
      </c>
      <c r="Q126" t="str">
        <f>_xlfn.XLOOKUP(Pipeline_tbl[[#This Row],[Rep_ID]],Dim_Reps!A:A,Dim_Reps!D:D)</f>
        <v>Mid-Market</v>
      </c>
      <c r="R126" t="str">
        <f>_xlfn.XLOOKUP(Pipeline_tbl[[#This Row],[Rep_ID]],Dim_Reps!A:A,Dim_Reps!E:E)</f>
        <v>APAC</v>
      </c>
      <c r="S126" t="str">
        <f>_xlfn.XLOOKUP(Pipeline_tbl[[#This Row],[Created_Date]],Dim_Date!A:A,Dim_Date!H:H)</f>
        <v>Sep 2025</v>
      </c>
      <c r="T126" t="str">
        <f>IF(Pipeline_tbl[[#This Row],[Closed_Date]]=0,"",(_xlfn.XLOOKUP(Pipeline_tbl[[#This Row],[Closed_Date]],Dim_Date!A:A,Dim_Date!H:H)))</f>
        <v>Oct 2025</v>
      </c>
      <c r="U126">
        <f>IF(Pipeline_tbl[[#This Row],[Closed_Date]]=0,"",Pipeline_tbl[[#This Row],[Closed_Date]]-Pipeline_tbl[[#This Row],[Created_Date]])</f>
        <v>33</v>
      </c>
    </row>
    <row r="127" spans="1:21" ht="15" customHeight="1" x14ac:dyDescent="0.2">
      <c r="A127" t="s">
        <v>433</v>
      </c>
      <c r="B127" t="s">
        <v>253</v>
      </c>
      <c r="C127" t="s">
        <v>53</v>
      </c>
      <c r="D127" s="49">
        <v>45910</v>
      </c>
      <c r="E127" s="49">
        <v>45912</v>
      </c>
      <c r="I127" s="49">
        <v>45933</v>
      </c>
      <c r="J127" t="s">
        <v>49</v>
      </c>
      <c r="K127" s="33">
        <v>22300</v>
      </c>
      <c r="L127" t="s">
        <v>61</v>
      </c>
      <c r="M127" t="str">
        <f>_xlfn.XLOOKUP(Pipeline_tbl[[#This Row],[Rep_ID]],Dim_Reps!A:A,Dim_Reps!K:K)</f>
        <v>EUR</v>
      </c>
      <c r="N127" s="33">
        <f>(_xlfn.XLOOKUP(Pipeline_tbl[[#This Row],[Rate_Code_Generalized]],Lookups!A:A,Lookups!B:B))*Pipeline_tbl[[#This Row],[Pipeline_Amount_USD]]</f>
        <v>22300</v>
      </c>
      <c r="O127" t="str">
        <f>_xlfn.XLOOKUP(Pipeline_tbl[[#This Row],[Rep_ID]],Dim_Reps!A:A,Dim_Reps!B:B)</f>
        <v>Rafael Weber</v>
      </c>
      <c r="P127" t="str">
        <f>_xlfn.XLOOKUP(Pipeline_tbl[[#This Row],[Rep_ID]],Dim_Reps!A:A,Dim_Reps!C:C)</f>
        <v>Mid-Market AE</v>
      </c>
      <c r="Q127" t="str">
        <f>_xlfn.XLOOKUP(Pipeline_tbl[[#This Row],[Rep_ID]],Dim_Reps!A:A,Dim_Reps!D:D)</f>
        <v>Mid-Market</v>
      </c>
      <c r="R127" t="str">
        <f>_xlfn.XLOOKUP(Pipeline_tbl[[#This Row],[Rep_ID]],Dim_Reps!A:A,Dim_Reps!E:E)</f>
        <v>APAC</v>
      </c>
      <c r="S127" t="str">
        <f>_xlfn.XLOOKUP(Pipeline_tbl[[#This Row],[Created_Date]],Dim_Date!A:A,Dim_Date!H:H)</f>
        <v>Sep 2025</v>
      </c>
      <c r="T127" t="str">
        <f>IF(Pipeline_tbl[[#This Row],[Closed_Date]]=0,"",(_xlfn.XLOOKUP(Pipeline_tbl[[#This Row],[Closed_Date]],Dim_Date!A:A,Dim_Date!H:H)))</f>
        <v>Oct 2025</v>
      </c>
      <c r="U127">
        <f>IF(Pipeline_tbl[[#This Row],[Closed_Date]]=0,"",Pipeline_tbl[[#This Row],[Closed_Date]]-Pipeline_tbl[[#This Row],[Created_Date]])</f>
        <v>23</v>
      </c>
    </row>
    <row r="128" spans="1:21" ht="15" customHeight="1" x14ac:dyDescent="0.2">
      <c r="A128" t="s">
        <v>434</v>
      </c>
      <c r="B128" t="s">
        <v>253</v>
      </c>
      <c r="C128" t="s">
        <v>55</v>
      </c>
      <c r="D128" s="49">
        <v>45923</v>
      </c>
      <c r="E128" s="49">
        <v>45927</v>
      </c>
      <c r="F128" s="49">
        <v>45934</v>
      </c>
      <c r="G128" s="49">
        <v>45945</v>
      </c>
      <c r="H128" s="49">
        <v>45954</v>
      </c>
      <c r="I128" s="49">
        <v>45959</v>
      </c>
      <c r="J128" t="s">
        <v>47</v>
      </c>
      <c r="K128" s="33">
        <v>14700</v>
      </c>
      <c r="M128" t="str">
        <f>_xlfn.XLOOKUP(Pipeline_tbl[[#This Row],[Rep_ID]],Dim_Reps!A:A,Dim_Reps!K:K)</f>
        <v>EUR</v>
      </c>
      <c r="N128" s="33">
        <f>(_xlfn.XLOOKUP(Pipeline_tbl[[#This Row],[Rate_Code_Generalized]],Lookups!A:A,Lookups!B:B))*Pipeline_tbl[[#This Row],[Pipeline_Amount_USD]]</f>
        <v>14700</v>
      </c>
      <c r="O128" t="str">
        <f>_xlfn.XLOOKUP(Pipeline_tbl[[#This Row],[Rep_ID]],Dim_Reps!A:A,Dim_Reps!B:B)</f>
        <v>Rafael Weber</v>
      </c>
      <c r="P128" t="str">
        <f>_xlfn.XLOOKUP(Pipeline_tbl[[#This Row],[Rep_ID]],Dim_Reps!A:A,Dim_Reps!C:C)</f>
        <v>Mid-Market AE</v>
      </c>
      <c r="Q128" t="str">
        <f>_xlfn.XLOOKUP(Pipeline_tbl[[#This Row],[Rep_ID]],Dim_Reps!A:A,Dim_Reps!D:D)</f>
        <v>Mid-Market</v>
      </c>
      <c r="R128" t="str">
        <f>_xlfn.XLOOKUP(Pipeline_tbl[[#This Row],[Rep_ID]],Dim_Reps!A:A,Dim_Reps!E:E)</f>
        <v>APAC</v>
      </c>
      <c r="S128" t="str">
        <f>_xlfn.XLOOKUP(Pipeline_tbl[[#This Row],[Created_Date]],Dim_Date!A:A,Dim_Date!H:H)</f>
        <v>Sep 2025</v>
      </c>
      <c r="T128" t="str">
        <f>IF(Pipeline_tbl[[#This Row],[Closed_Date]]=0,"",(_xlfn.XLOOKUP(Pipeline_tbl[[#This Row],[Closed_Date]],Dim_Date!A:A,Dim_Date!H:H)))</f>
        <v>Oct 2025</v>
      </c>
      <c r="U128">
        <f>IF(Pipeline_tbl[[#This Row],[Closed_Date]]=0,"",Pipeline_tbl[[#This Row],[Closed_Date]]-Pipeline_tbl[[#This Row],[Created_Date]])</f>
        <v>36</v>
      </c>
    </row>
    <row r="129" spans="1:21" ht="15" customHeight="1" x14ac:dyDescent="0.2">
      <c r="A129" t="s">
        <v>435</v>
      </c>
      <c r="B129" t="s">
        <v>253</v>
      </c>
      <c r="C129" t="s">
        <v>52</v>
      </c>
      <c r="D129" s="49">
        <v>45930</v>
      </c>
      <c r="E129" s="49">
        <v>45933</v>
      </c>
      <c r="F129" s="49">
        <v>45938</v>
      </c>
      <c r="G129" s="49">
        <v>45946</v>
      </c>
      <c r="H129" s="49">
        <v>45953</v>
      </c>
      <c r="I129" s="49">
        <v>45957</v>
      </c>
      <c r="J129" t="s">
        <v>49</v>
      </c>
      <c r="K129" s="33">
        <v>3200</v>
      </c>
      <c r="L129" t="s">
        <v>64</v>
      </c>
      <c r="M129" t="str">
        <f>_xlfn.XLOOKUP(Pipeline_tbl[[#This Row],[Rep_ID]],Dim_Reps!A:A,Dim_Reps!K:K)</f>
        <v>EUR</v>
      </c>
      <c r="N129" s="33">
        <f>(_xlfn.XLOOKUP(Pipeline_tbl[[#This Row],[Rate_Code_Generalized]],Lookups!A:A,Lookups!B:B))*Pipeline_tbl[[#This Row],[Pipeline_Amount_USD]]</f>
        <v>3200</v>
      </c>
      <c r="O129" t="str">
        <f>_xlfn.XLOOKUP(Pipeline_tbl[[#This Row],[Rep_ID]],Dim_Reps!A:A,Dim_Reps!B:B)</f>
        <v>Rafael Weber</v>
      </c>
      <c r="P129" t="str">
        <f>_xlfn.XLOOKUP(Pipeline_tbl[[#This Row],[Rep_ID]],Dim_Reps!A:A,Dim_Reps!C:C)</f>
        <v>Mid-Market AE</v>
      </c>
      <c r="Q129" t="str">
        <f>_xlfn.XLOOKUP(Pipeline_tbl[[#This Row],[Rep_ID]],Dim_Reps!A:A,Dim_Reps!D:D)</f>
        <v>Mid-Market</v>
      </c>
      <c r="R129" t="str">
        <f>_xlfn.XLOOKUP(Pipeline_tbl[[#This Row],[Rep_ID]],Dim_Reps!A:A,Dim_Reps!E:E)</f>
        <v>APAC</v>
      </c>
      <c r="S129" t="str">
        <f>_xlfn.XLOOKUP(Pipeline_tbl[[#This Row],[Created_Date]],Dim_Date!A:A,Dim_Date!H:H)</f>
        <v>Sep 2025</v>
      </c>
      <c r="T129" t="str">
        <f>IF(Pipeline_tbl[[#This Row],[Closed_Date]]=0,"",(_xlfn.XLOOKUP(Pipeline_tbl[[#This Row],[Closed_Date]],Dim_Date!A:A,Dim_Date!H:H)))</f>
        <v>Oct 2025</v>
      </c>
      <c r="U129">
        <f>IF(Pipeline_tbl[[#This Row],[Closed_Date]]=0,"",Pipeline_tbl[[#This Row],[Closed_Date]]-Pipeline_tbl[[#This Row],[Created_Date]])</f>
        <v>27</v>
      </c>
    </row>
    <row r="130" spans="1:21" ht="15" customHeight="1" x14ac:dyDescent="0.2">
      <c r="A130" t="s">
        <v>436</v>
      </c>
      <c r="B130" t="s">
        <v>253</v>
      </c>
      <c r="C130" t="s">
        <v>54</v>
      </c>
      <c r="D130" s="49">
        <v>45916</v>
      </c>
      <c r="E130" s="49">
        <v>45919</v>
      </c>
      <c r="F130" s="49">
        <v>45924</v>
      </c>
      <c r="G130" s="49">
        <v>45932</v>
      </c>
      <c r="H130" s="49">
        <v>45939</v>
      </c>
      <c r="I130" s="49">
        <v>45943</v>
      </c>
      <c r="J130" t="s">
        <v>49</v>
      </c>
      <c r="K130" s="33">
        <v>15100</v>
      </c>
      <c r="L130" t="s">
        <v>61</v>
      </c>
      <c r="M130" t="str">
        <f>_xlfn.XLOOKUP(Pipeline_tbl[[#This Row],[Rep_ID]],Dim_Reps!A:A,Dim_Reps!K:K)</f>
        <v>EUR</v>
      </c>
      <c r="N130" s="33">
        <f>(_xlfn.XLOOKUP(Pipeline_tbl[[#This Row],[Rate_Code_Generalized]],Lookups!A:A,Lookups!B:B))*Pipeline_tbl[[#This Row],[Pipeline_Amount_USD]]</f>
        <v>15100</v>
      </c>
      <c r="O130" t="str">
        <f>_xlfn.XLOOKUP(Pipeline_tbl[[#This Row],[Rep_ID]],Dim_Reps!A:A,Dim_Reps!B:B)</f>
        <v>Rafael Weber</v>
      </c>
      <c r="P130" t="str">
        <f>_xlfn.XLOOKUP(Pipeline_tbl[[#This Row],[Rep_ID]],Dim_Reps!A:A,Dim_Reps!C:C)</f>
        <v>Mid-Market AE</v>
      </c>
      <c r="Q130" t="str">
        <f>_xlfn.XLOOKUP(Pipeline_tbl[[#This Row],[Rep_ID]],Dim_Reps!A:A,Dim_Reps!D:D)</f>
        <v>Mid-Market</v>
      </c>
      <c r="R130" t="str">
        <f>_xlfn.XLOOKUP(Pipeline_tbl[[#This Row],[Rep_ID]],Dim_Reps!A:A,Dim_Reps!E:E)</f>
        <v>APAC</v>
      </c>
      <c r="S130" t="str">
        <f>_xlfn.XLOOKUP(Pipeline_tbl[[#This Row],[Created_Date]],Dim_Date!A:A,Dim_Date!H:H)</f>
        <v>Sep 2025</v>
      </c>
      <c r="T130" t="str">
        <f>IF(Pipeline_tbl[[#This Row],[Closed_Date]]=0,"",(_xlfn.XLOOKUP(Pipeline_tbl[[#This Row],[Closed_Date]],Dim_Date!A:A,Dim_Date!H:H)))</f>
        <v>Oct 2025</v>
      </c>
      <c r="U130">
        <f>IF(Pipeline_tbl[[#This Row],[Closed_Date]]=0,"",Pipeline_tbl[[#This Row],[Closed_Date]]-Pipeline_tbl[[#This Row],[Created_Date]])</f>
        <v>27</v>
      </c>
    </row>
    <row r="131" spans="1:21" ht="15" customHeight="1" x14ac:dyDescent="0.2">
      <c r="A131" t="s">
        <v>437</v>
      </c>
      <c r="B131" t="s">
        <v>215</v>
      </c>
      <c r="C131" t="s">
        <v>53</v>
      </c>
      <c r="D131" s="49">
        <v>45912</v>
      </c>
      <c r="E131" s="49">
        <v>45914</v>
      </c>
      <c r="I131" s="49">
        <v>45936</v>
      </c>
      <c r="J131" t="s">
        <v>49</v>
      </c>
      <c r="K131" s="33">
        <v>2100</v>
      </c>
      <c r="L131" t="s">
        <v>60</v>
      </c>
      <c r="M131" t="str">
        <f>_xlfn.XLOOKUP(Pipeline_tbl[[#This Row],[Rep_ID]],Dim_Reps!A:A,Dim_Reps!K:K)</f>
        <v>EUR</v>
      </c>
      <c r="N131" s="33">
        <f>(_xlfn.XLOOKUP(Pipeline_tbl[[#This Row],[Rate_Code_Generalized]],Lookups!A:A,Lookups!B:B))*Pipeline_tbl[[#This Row],[Pipeline_Amount_USD]]</f>
        <v>2100</v>
      </c>
      <c r="O131" t="str">
        <f>_xlfn.XLOOKUP(Pipeline_tbl[[#This Row],[Rep_ID]],Dim_Reps!A:A,Dim_Reps!B:B)</f>
        <v>Jamie Schmidt</v>
      </c>
      <c r="P131" t="str">
        <f>_xlfn.XLOOKUP(Pipeline_tbl[[#This Row],[Rep_ID]],Dim_Reps!A:A,Dim_Reps!C:C)</f>
        <v>SDR / Inside Sales Rep</v>
      </c>
      <c r="Q131" t="str">
        <f>_xlfn.XLOOKUP(Pipeline_tbl[[#This Row],[Rep_ID]],Dim_Reps!A:A,Dim_Reps!D:D)</f>
        <v>Inside Sales</v>
      </c>
      <c r="R131" t="str">
        <f>_xlfn.XLOOKUP(Pipeline_tbl[[#This Row],[Rep_ID]],Dim_Reps!A:A,Dim_Reps!E:E)</f>
        <v>APAC</v>
      </c>
      <c r="S131" t="str">
        <f>_xlfn.XLOOKUP(Pipeline_tbl[[#This Row],[Created_Date]],Dim_Date!A:A,Dim_Date!H:H)</f>
        <v>Sep 2025</v>
      </c>
      <c r="T131" t="str">
        <f>IF(Pipeline_tbl[[#This Row],[Closed_Date]]=0,"",(_xlfn.XLOOKUP(Pipeline_tbl[[#This Row],[Closed_Date]],Dim_Date!A:A,Dim_Date!H:H)))</f>
        <v>Oct 2025</v>
      </c>
      <c r="U131">
        <f>IF(Pipeline_tbl[[#This Row],[Closed_Date]]=0,"",Pipeline_tbl[[#This Row],[Closed_Date]]-Pipeline_tbl[[#This Row],[Created_Date]])</f>
        <v>24</v>
      </c>
    </row>
    <row r="132" spans="1:21" ht="15" customHeight="1" x14ac:dyDescent="0.2">
      <c r="A132" t="s">
        <v>438</v>
      </c>
      <c r="B132" t="s">
        <v>215</v>
      </c>
      <c r="C132" t="s">
        <v>53</v>
      </c>
      <c r="D132" s="49">
        <v>45918</v>
      </c>
      <c r="E132" s="49">
        <v>45920</v>
      </c>
      <c r="F132" s="49">
        <v>45925</v>
      </c>
      <c r="I132" s="49">
        <v>45940</v>
      </c>
      <c r="J132" t="s">
        <v>49</v>
      </c>
      <c r="K132" s="33">
        <v>5200</v>
      </c>
      <c r="L132" t="s">
        <v>60</v>
      </c>
      <c r="M132" t="str">
        <f>_xlfn.XLOOKUP(Pipeline_tbl[[#This Row],[Rep_ID]],Dim_Reps!A:A,Dim_Reps!K:K)</f>
        <v>EUR</v>
      </c>
      <c r="N132" s="33">
        <f>(_xlfn.XLOOKUP(Pipeline_tbl[[#This Row],[Rate_Code_Generalized]],Lookups!A:A,Lookups!B:B))*Pipeline_tbl[[#This Row],[Pipeline_Amount_USD]]</f>
        <v>5200</v>
      </c>
      <c r="O132" t="str">
        <f>_xlfn.XLOOKUP(Pipeline_tbl[[#This Row],[Rep_ID]],Dim_Reps!A:A,Dim_Reps!B:B)</f>
        <v>Jamie Schmidt</v>
      </c>
      <c r="P132" t="str">
        <f>_xlfn.XLOOKUP(Pipeline_tbl[[#This Row],[Rep_ID]],Dim_Reps!A:A,Dim_Reps!C:C)</f>
        <v>SDR / Inside Sales Rep</v>
      </c>
      <c r="Q132" t="str">
        <f>_xlfn.XLOOKUP(Pipeline_tbl[[#This Row],[Rep_ID]],Dim_Reps!A:A,Dim_Reps!D:D)</f>
        <v>Inside Sales</v>
      </c>
      <c r="R132" t="str">
        <f>_xlfn.XLOOKUP(Pipeline_tbl[[#This Row],[Rep_ID]],Dim_Reps!A:A,Dim_Reps!E:E)</f>
        <v>APAC</v>
      </c>
      <c r="S132" t="str">
        <f>_xlfn.XLOOKUP(Pipeline_tbl[[#This Row],[Created_Date]],Dim_Date!A:A,Dim_Date!H:H)</f>
        <v>Sep 2025</v>
      </c>
      <c r="T132" t="str">
        <f>IF(Pipeline_tbl[[#This Row],[Closed_Date]]=0,"",(_xlfn.XLOOKUP(Pipeline_tbl[[#This Row],[Closed_Date]],Dim_Date!A:A,Dim_Date!H:H)))</f>
        <v>Oct 2025</v>
      </c>
      <c r="U132">
        <f>IF(Pipeline_tbl[[#This Row],[Closed_Date]]=0,"",Pipeline_tbl[[#This Row],[Closed_Date]]-Pipeline_tbl[[#This Row],[Created_Date]])</f>
        <v>22</v>
      </c>
    </row>
    <row r="133" spans="1:21" ht="15" customHeight="1" x14ac:dyDescent="0.2">
      <c r="A133" t="s">
        <v>439</v>
      </c>
      <c r="B133" t="s">
        <v>215</v>
      </c>
      <c r="C133" t="s">
        <v>52</v>
      </c>
      <c r="D133" s="49">
        <v>45908</v>
      </c>
      <c r="E133" s="49">
        <v>45910</v>
      </c>
      <c r="F133" s="49">
        <v>45915</v>
      </c>
      <c r="G133" s="49">
        <v>45922</v>
      </c>
      <c r="H133" s="49">
        <v>45928</v>
      </c>
      <c r="I133" s="49">
        <v>45932</v>
      </c>
      <c r="J133" t="s">
        <v>47</v>
      </c>
      <c r="K133" s="33">
        <v>1600</v>
      </c>
      <c r="M133" t="str">
        <f>_xlfn.XLOOKUP(Pipeline_tbl[[#This Row],[Rep_ID]],Dim_Reps!A:A,Dim_Reps!K:K)</f>
        <v>EUR</v>
      </c>
      <c r="N133" s="33">
        <f>(_xlfn.XLOOKUP(Pipeline_tbl[[#This Row],[Rate_Code_Generalized]],Lookups!A:A,Lookups!B:B))*Pipeline_tbl[[#This Row],[Pipeline_Amount_USD]]</f>
        <v>1600</v>
      </c>
      <c r="O133" t="str">
        <f>_xlfn.XLOOKUP(Pipeline_tbl[[#This Row],[Rep_ID]],Dim_Reps!A:A,Dim_Reps!B:B)</f>
        <v>Jamie Schmidt</v>
      </c>
      <c r="P133" t="str">
        <f>_xlfn.XLOOKUP(Pipeline_tbl[[#This Row],[Rep_ID]],Dim_Reps!A:A,Dim_Reps!C:C)</f>
        <v>SDR / Inside Sales Rep</v>
      </c>
      <c r="Q133" t="str">
        <f>_xlfn.XLOOKUP(Pipeline_tbl[[#This Row],[Rep_ID]],Dim_Reps!A:A,Dim_Reps!D:D)</f>
        <v>Inside Sales</v>
      </c>
      <c r="R133" t="str">
        <f>_xlfn.XLOOKUP(Pipeline_tbl[[#This Row],[Rep_ID]],Dim_Reps!A:A,Dim_Reps!E:E)</f>
        <v>APAC</v>
      </c>
      <c r="S133" t="str">
        <f>_xlfn.XLOOKUP(Pipeline_tbl[[#This Row],[Created_Date]],Dim_Date!A:A,Dim_Date!H:H)</f>
        <v>Sep 2025</v>
      </c>
      <c r="T133" t="str">
        <f>IF(Pipeline_tbl[[#This Row],[Closed_Date]]=0,"",(_xlfn.XLOOKUP(Pipeline_tbl[[#This Row],[Closed_Date]],Dim_Date!A:A,Dim_Date!H:H)))</f>
        <v>Oct 2025</v>
      </c>
      <c r="U133">
        <f>IF(Pipeline_tbl[[#This Row],[Closed_Date]]=0,"",Pipeline_tbl[[#This Row],[Closed_Date]]-Pipeline_tbl[[#This Row],[Created_Date]])</f>
        <v>24</v>
      </c>
    </row>
    <row r="134" spans="1:21" ht="15" customHeight="1" x14ac:dyDescent="0.2">
      <c r="A134" t="s">
        <v>440</v>
      </c>
      <c r="B134" t="s">
        <v>217</v>
      </c>
      <c r="C134" t="s">
        <v>52</v>
      </c>
      <c r="D134" s="49">
        <v>45909</v>
      </c>
      <c r="E134" s="49">
        <v>45912</v>
      </c>
      <c r="F134" s="49">
        <v>45917</v>
      </c>
      <c r="G134" s="49">
        <v>45925</v>
      </c>
      <c r="H134" s="49">
        <v>45932</v>
      </c>
      <c r="I134" s="49">
        <v>45936</v>
      </c>
      <c r="J134" t="s">
        <v>49</v>
      </c>
      <c r="K134" s="33">
        <v>1200</v>
      </c>
      <c r="L134" t="s">
        <v>62</v>
      </c>
      <c r="M134" t="str">
        <f>_xlfn.XLOOKUP(Pipeline_tbl[[#This Row],[Rep_ID]],Dim_Reps!A:A,Dim_Reps!K:K)</f>
        <v>USD</v>
      </c>
      <c r="N134" s="33">
        <f>(_xlfn.XLOOKUP(Pipeline_tbl[[#This Row],[Rate_Code_Generalized]],Lookups!A:A,Lookups!B:B))*Pipeline_tbl[[#This Row],[Pipeline_Amount_USD]]</f>
        <v>1397.1599999999999</v>
      </c>
      <c r="O134" t="str">
        <f>_xlfn.XLOOKUP(Pipeline_tbl[[#This Row],[Rep_ID]],Dim_Reps!A:A,Dim_Reps!B:B)</f>
        <v>Priya Weber</v>
      </c>
      <c r="P134" t="str">
        <f>_xlfn.XLOOKUP(Pipeline_tbl[[#This Row],[Rep_ID]],Dim_Reps!A:A,Dim_Reps!C:C)</f>
        <v>SDR / Inside Sales Rep</v>
      </c>
      <c r="Q134" t="str">
        <f>_xlfn.XLOOKUP(Pipeline_tbl[[#This Row],[Rep_ID]],Dim_Reps!A:A,Dim_Reps!D:D)</f>
        <v>Inside Sales</v>
      </c>
      <c r="R134" t="str">
        <f>_xlfn.XLOOKUP(Pipeline_tbl[[#This Row],[Rep_ID]],Dim_Reps!A:A,Dim_Reps!E:E)</f>
        <v>NAMER</v>
      </c>
      <c r="S134" t="str">
        <f>_xlfn.XLOOKUP(Pipeline_tbl[[#This Row],[Created_Date]],Dim_Date!A:A,Dim_Date!H:H)</f>
        <v>Sep 2025</v>
      </c>
      <c r="T134" t="str">
        <f>IF(Pipeline_tbl[[#This Row],[Closed_Date]]=0,"",(_xlfn.XLOOKUP(Pipeline_tbl[[#This Row],[Closed_Date]],Dim_Date!A:A,Dim_Date!H:H)))</f>
        <v>Oct 2025</v>
      </c>
      <c r="U134">
        <f>IF(Pipeline_tbl[[#This Row],[Closed_Date]]=0,"",Pipeline_tbl[[#This Row],[Closed_Date]]-Pipeline_tbl[[#This Row],[Created_Date]])</f>
        <v>27</v>
      </c>
    </row>
    <row r="135" spans="1:21" ht="15" customHeight="1" x14ac:dyDescent="0.2">
      <c r="A135" t="s">
        <v>441</v>
      </c>
      <c r="B135" t="s">
        <v>217</v>
      </c>
      <c r="C135" t="s">
        <v>54</v>
      </c>
      <c r="D135" s="49">
        <v>45918</v>
      </c>
      <c r="E135" s="49">
        <v>45920</v>
      </c>
      <c r="I135" s="49">
        <v>45937</v>
      </c>
      <c r="J135" t="s">
        <v>49</v>
      </c>
      <c r="K135" s="33">
        <v>3600</v>
      </c>
      <c r="L135" t="s">
        <v>60</v>
      </c>
      <c r="M135" t="str">
        <f>_xlfn.XLOOKUP(Pipeline_tbl[[#This Row],[Rep_ID]],Dim_Reps!A:A,Dim_Reps!K:K)</f>
        <v>USD</v>
      </c>
      <c r="N135" s="33">
        <f>(_xlfn.XLOOKUP(Pipeline_tbl[[#This Row],[Rate_Code_Generalized]],Lookups!A:A,Lookups!B:B))*Pipeline_tbl[[#This Row],[Pipeline_Amount_USD]]</f>
        <v>4191.4799999999996</v>
      </c>
      <c r="O135" t="str">
        <f>_xlfn.XLOOKUP(Pipeline_tbl[[#This Row],[Rep_ID]],Dim_Reps!A:A,Dim_Reps!B:B)</f>
        <v>Priya Weber</v>
      </c>
      <c r="P135" t="str">
        <f>_xlfn.XLOOKUP(Pipeline_tbl[[#This Row],[Rep_ID]],Dim_Reps!A:A,Dim_Reps!C:C)</f>
        <v>SDR / Inside Sales Rep</v>
      </c>
      <c r="Q135" t="str">
        <f>_xlfn.XLOOKUP(Pipeline_tbl[[#This Row],[Rep_ID]],Dim_Reps!A:A,Dim_Reps!D:D)</f>
        <v>Inside Sales</v>
      </c>
      <c r="R135" t="str">
        <f>_xlfn.XLOOKUP(Pipeline_tbl[[#This Row],[Rep_ID]],Dim_Reps!A:A,Dim_Reps!E:E)</f>
        <v>NAMER</v>
      </c>
      <c r="S135" t="str">
        <f>_xlfn.XLOOKUP(Pipeline_tbl[[#This Row],[Created_Date]],Dim_Date!A:A,Dim_Date!H:H)</f>
        <v>Sep 2025</v>
      </c>
      <c r="T135" t="str">
        <f>IF(Pipeline_tbl[[#This Row],[Closed_Date]]=0,"",(_xlfn.XLOOKUP(Pipeline_tbl[[#This Row],[Closed_Date]],Dim_Date!A:A,Dim_Date!H:H)))</f>
        <v>Oct 2025</v>
      </c>
      <c r="U135">
        <f>IF(Pipeline_tbl[[#This Row],[Closed_Date]]=0,"",Pipeline_tbl[[#This Row],[Closed_Date]]-Pipeline_tbl[[#This Row],[Created_Date]])</f>
        <v>19</v>
      </c>
    </row>
    <row r="136" spans="1:21" ht="15" customHeight="1" x14ac:dyDescent="0.2">
      <c r="A136" t="s">
        <v>442</v>
      </c>
      <c r="B136" t="s">
        <v>217</v>
      </c>
      <c r="C136" t="s">
        <v>53</v>
      </c>
      <c r="D136" s="49">
        <v>45908</v>
      </c>
      <c r="E136" s="49">
        <v>45910</v>
      </c>
      <c r="F136" s="49">
        <v>45915</v>
      </c>
      <c r="G136" s="49">
        <v>45922</v>
      </c>
      <c r="H136" s="49">
        <v>45928</v>
      </c>
      <c r="I136" s="49">
        <v>45931</v>
      </c>
      <c r="J136" t="s">
        <v>49</v>
      </c>
      <c r="K136" s="33">
        <v>1900</v>
      </c>
      <c r="L136" t="s">
        <v>64</v>
      </c>
      <c r="M136" t="str">
        <f>_xlfn.XLOOKUP(Pipeline_tbl[[#This Row],[Rep_ID]],Dim_Reps!A:A,Dim_Reps!K:K)</f>
        <v>USD</v>
      </c>
      <c r="N136" s="33">
        <f>(_xlfn.XLOOKUP(Pipeline_tbl[[#This Row],[Rate_Code_Generalized]],Lookups!A:A,Lookups!B:B))*Pipeline_tbl[[#This Row],[Pipeline_Amount_USD]]</f>
        <v>2212.1699999999996</v>
      </c>
      <c r="O136" t="str">
        <f>_xlfn.XLOOKUP(Pipeline_tbl[[#This Row],[Rep_ID]],Dim_Reps!A:A,Dim_Reps!B:B)</f>
        <v>Priya Weber</v>
      </c>
      <c r="P136" t="str">
        <f>_xlfn.XLOOKUP(Pipeline_tbl[[#This Row],[Rep_ID]],Dim_Reps!A:A,Dim_Reps!C:C)</f>
        <v>SDR / Inside Sales Rep</v>
      </c>
      <c r="Q136" t="str">
        <f>_xlfn.XLOOKUP(Pipeline_tbl[[#This Row],[Rep_ID]],Dim_Reps!A:A,Dim_Reps!D:D)</f>
        <v>Inside Sales</v>
      </c>
      <c r="R136" t="str">
        <f>_xlfn.XLOOKUP(Pipeline_tbl[[#This Row],[Rep_ID]],Dim_Reps!A:A,Dim_Reps!E:E)</f>
        <v>NAMER</v>
      </c>
      <c r="S136" t="str">
        <f>_xlfn.XLOOKUP(Pipeline_tbl[[#This Row],[Created_Date]],Dim_Date!A:A,Dim_Date!H:H)</f>
        <v>Sep 2025</v>
      </c>
      <c r="T136" t="str">
        <f>IF(Pipeline_tbl[[#This Row],[Closed_Date]]=0,"",(_xlfn.XLOOKUP(Pipeline_tbl[[#This Row],[Closed_Date]],Dim_Date!A:A,Dim_Date!H:H)))</f>
        <v>Oct 2025</v>
      </c>
      <c r="U136">
        <f>IF(Pipeline_tbl[[#This Row],[Closed_Date]]=0,"",Pipeline_tbl[[#This Row],[Closed_Date]]-Pipeline_tbl[[#This Row],[Created_Date]])</f>
        <v>23</v>
      </c>
    </row>
    <row r="137" spans="1:21" ht="15" customHeight="1" x14ac:dyDescent="0.2">
      <c r="A137" t="s">
        <v>443</v>
      </c>
      <c r="B137" t="s">
        <v>217</v>
      </c>
      <c r="C137" t="s">
        <v>52</v>
      </c>
      <c r="D137" s="49">
        <v>45925</v>
      </c>
      <c r="E137" s="49">
        <v>45927</v>
      </c>
      <c r="I137" s="49">
        <v>45949</v>
      </c>
      <c r="J137" t="s">
        <v>49</v>
      </c>
      <c r="K137" s="33">
        <v>2600</v>
      </c>
      <c r="L137" t="s">
        <v>64</v>
      </c>
      <c r="M137" t="str">
        <f>_xlfn.XLOOKUP(Pipeline_tbl[[#This Row],[Rep_ID]],Dim_Reps!A:A,Dim_Reps!K:K)</f>
        <v>USD</v>
      </c>
      <c r="N137" s="33">
        <f>(_xlfn.XLOOKUP(Pipeline_tbl[[#This Row],[Rate_Code_Generalized]],Lookups!A:A,Lookups!B:B))*Pipeline_tbl[[#This Row],[Pipeline_Amount_USD]]</f>
        <v>3027.18</v>
      </c>
      <c r="O137" t="str">
        <f>_xlfn.XLOOKUP(Pipeline_tbl[[#This Row],[Rep_ID]],Dim_Reps!A:A,Dim_Reps!B:B)</f>
        <v>Priya Weber</v>
      </c>
      <c r="P137" t="str">
        <f>_xlfn.XLOOKUP(Pipeline_tbl[[#This Row],[Rep_ID]],Dim_Reps!A:A,Dim_Reps!C:C)</f>
        <v>SDR / Inside Sales Rep</v>
      </c>
      <c r="Q137" t="str">
        <f>_xlfn.XLOOKUP(Pipeline_tbl[[#This Row],[Rep_ID]],Dim_Reps!A:A,Dim_Reps!D:D)</f>
        <v>Inside Sales</v>
      </c>
      <c r="R137" t="str">
        <f>_xlfn.XLOOKUP(Pipeline_tbl[[#This Row],[Rep_ID]],Dim_Reps!A:A,Dim_Reps!E:E)</f>
        <v>NAMER</v>
      </c>
      <c r="S137" t="str">
        <f>_xlfn.XLOOKUP(Pipeline_tbl[[#This Row],[Created_Date]],Dim_Date!A:A,Dim_Date!H:H)</f>
        <v>Sep 2025</v>
      </c>
      <c r="T137" t="str">
        <f>IF(Pipeline_tbl[[#This Row],[Closed_Date]]=0,"",(_xlfn.XLOOKUP(Pipeline_tbl[[#This Row],[Closed_Date]],Dim_Date!A:A,Dim_Date!H:H)))</f>
        <v>Oct 2025</v>
      </c>
      <c r="U137">
        <f>IF(Pipeline_tbl[[#This Row],[Closed_Date]]=0,"",Pipeline_tbl[[#This Row],[Closed_Date]]-Pipeline_tbl[[#This Row],[Created_Date]])</f>
        <v>24</v>
      </c>
    </row>
    <row r="138" spans="1:21" ht="15" customHeight="1" x14ac:dyDescent="0.2">
      <c r="A138" t="s">
        <v>444</v>
      </c>
      <c r="B138" t="s">
        <v>217</v>
      </c>
      <c r="C138" t="s">
        <v>56</v>
      </c>
      <c r="D138" s="49">
        <v>45910</v>
      </c>
      <c r="E138" s="49">
        <v>45913</v>
      </c>
      <c r="F138" s="49">
        <v>45918</v>
      </c>
      <c r="G138" s="49">
        <v>45926</v>
      </c>
      <c r="H138" s="49">
        <v>45933</v>
      </c>
      <c r="I138" s="49">
        <v>45937</v>
      </c>
      <c r="J138" t="s">
        <v>47</v>
      </c>
      <c r="K138" s="33">
        <v>3800</v>
      </c>
      <c r="M138" t="str">
        <f>_xlfn.XLOOKUP(Pipeline_tbl[[#This Row],[Rep_ID]],Dim_Reps!A:A,Dim_Reps!K:K)</f>
        <v>USD</v>
      </c>
      <c r="N138" s="33">
        <f>(_xlfn.XLOOKUP(Pipeline_tbl[[#This Row],[Rate_Code_Generalized]],Lookups!A:A,Lookups!B:B))*Pipeline_tbl[[#This Row],[Pipeline_Amount_USD]]</f>
        <v>4424.3399999999992</v>
      </c>
      <c r="O138" t="str">
        <f>_xlfn.XLOOKUP(Pipeline_tbl[[#This Row],[Rep_ID]],Dim_Reps!A:A,Dim_Reps!B:B)</f>
        <v>Priya Weber</v>
      </c>
      <c r="P138" t="str">
        <f>_xlfn.XLOOKUP(Pipeline_tbl[[#This Row],[Rep_ID]],Dim_Reps!A:A,Dim_Reps!C:C)</f>
        <v>SDR / Inside Sales Rep</v>
      </c>
      <c r="Q138" t="str">
        <f>_xlfn.XLOOKUP(Pipeline_tbl[[#This Row],[Rep_ID]],Dim_Reps!A:A,Dim_Reps!D:D)</f>
        <v>Inside Sales</v>
      </c>
      <c r="R138" t="str">
        <f>_xlfn.XLOOKUP(Pipeline_tbl[[#This Row],[Rep_ID]],Dim_Reps!A:A,Dim_Reps!E:E)</f>
        <v>NAMER</v>
      </c>
      <c r="S138" t="str">
        <f>_xlfn.XLOOKUP(Pipeline_tbl[[#This Row],[Created_Date]],Dim_Date!A:A,Dim_Date!H:H)</f>
        <v>Sep 2025</v>
      </c>
      <c r="T138" t="str">
        <f>IF(Pipeline_tbl[[#This Row],[Closed_Date]]=0,"",(_xlfn.XLOOKUP(Pipeline_tbl[[#This Row],[Closed_Date]],Dim_Date!A:A,Dim_Date!H:H)))</f>
        <v>Oct 2025</v>
      </c>
      <c r="U138">
        <f>IF(Pipeline_tbl[[#This Row],[Closed_Date]]=0,"",Pipeline_tbl[[#This Row],[Closed_Date]]-Pipeline_tbl[[#This Row],[Created_Date]])</f>
        <v>27</v>
      </c>
    </row>
    <row r="139" spans="1:21" ht="15" customHeight="1" x14ac:dyDescent="0.2">
      <c r="A139" t="s">
        <v>445</v>
      </c>
      <c r="B139" t="s">
        <v>217</v>
      </c>
      <c r="C139" t="s">
        <v>53</v>
      </c>
      <c r="D139" s="49">
        <v>45923</v>
      </c>
      <c r="E139" s="49">
        <v>45924</v>
      </c>
      <c r="F139" s="49">
        <v>45926</v>
      </c>
      <c r="G139" s="49">
        <v>45928</v>
      </c>
      <c r="H139" s="49">
        <v>45931</v>
      </c>
      <c r="I139" s="49">
        <v>45932</v>
      </c>
      <c r="J139" t="s">
        <v>47</v>
      </c>
      <c r="K139" s="33">
        <v>5600</v>
      </c>
      <c r="M139" t="str">
        <f>_xlfn.XLOOKUP(Pipeline_tbl[[#This Row],[Rep_ID]],Dim_Reps!A:A,Dim_Reps!K:K)</f>
        <v>USD</v>
      </c>
      <c r="N139" s="33">
        <f>(_xlfn.XLOOKUP(Pipeline_tbl[[#This Row],[Rate_Code_Generalized]],Lookups!A:A,Lookups!B:B))*Pipeline_tbl[[#This Row],[Pipeline_Amount_USD]]</f>
        <v>6520.079999999999</v>
      </c>
      <c r="O139" t="str">
        <f>_xlfn.XLOOKUP(Pipeline_tbl[[#This Row],[Rep_ID]],Dim_Reps!A:A,Dim_Reps!B:B)</f>
        <v>Priya Weber</v>
      </c>
      <c r="P139" t="str">
        <f>_xlfn.XLOOKUP(Pipeline_tbl[[#This Row],[Rep_ID]],Dim_Reps!A:A,Dim_Reps!C:C)</f>
        <v>SDR / Inside Sales Rep</v>
      </c>
      <c r="Q139" t="str">
        <f>_xlfn.XLOOKUP(Pipeline_tbl[[#This Row],[Rep_ID]],Dim_Reps!A:A,Dim_Reps!D:D)</f>
        <v>Inside Sales</v>
      </c>
      <c r="R139" t="str">
        <f>_xlfn.XLOOKUP(Pipeline_tbl[[#This Row],[Rep_ID]],Dim_Reps!A:A,Dim_Reps!E:E)</f>
        <v>NAMER</v>
      </c>
      <c r="S139" t="str">
        <f>_xlfn.XLOOKUP(Pipeline_tbl[[#This Row],[Created_Date]],Dim_Date!A:A,Dim_Date!H:H)</f>
        <v>Sep 2025</v>
      </c>
      <c r="T139" t="str">
        <f>IF(Pipeline_tbl[[#This Row],[Closed_Date]]=0,"",(_xlfn.XLOOKUP(Pipeline_tbl[[#This Row],[Closed_Date]],Dim_Date!A:A,Dim_Date!H:H)))</f>
        <v>Oct 2025</v>
      </c>
      <c r="U139">
        <f>IF(Pipeline_tbl[[#This Row],[Closed_Date]]=0,"",Pipeline_tbl[[#This Row],[Closed_Date]]-Pipeline_tbl[[#This Row],[Created_Date]])</f>
        <v>9</v>
      </c>
    </row>
    <row r="140" spans="1:21" ht="15" customHeight="1" x14ac:dyDescent="0.2">
      <c r="A140" t="s">
        <v>446</v>
      </c>
      <c r="B140" t="s">
        <v>217</v>
      </c>
      <c r="C140" t="s">
        <v>53</v>
      </c>
      <c r="D140" s="49">
        <v>45907</v>
      </c>
      <c r="E140" s="49">
        <v>45909</v>
      </c>
      <c r="F140" s="49">
        <v>45915</v>
      </c>
      <c r="G140" s="49">
        <v>45922</v>
      </c>
      <c r="H140" s="49">
        <v>45928</v>
      </c>
      <c r="I140" s="49">
        <v>45932</v>
      </c>
      <c r="J140" t="s">
        <v>49</v>
      </c>
      <c r="K140" s="33">
        <v>9200</v>
      </c>
      <c r="L140" t="s">
        <v>60</v>
      </c>
      <c r="M140" t="str">
        <f>_xlfn.XLOOKUP(Pipeline_tbl[[#This Row],[Rep_ID]],Dim_Reps!A:A,Dim_Reps!K:K)</f>
        <v>USD</v>
      </c>
      <c r="N140" s="33">
        <f>(_xlfn.XLOOKUP(Pipeline_tbl[[#This Row],[Rate_Code_Generalized]],Lookups!A:A,Lookups!B:B))*Pipeline_tbl[[#This Row],[Pipeline_Amount_USD]]</f>
        <v>10711.56</v>
      </c>
      <c r="O140" t="str">
        <f>_xlfn.XLOOKUP(Pipeline_tbl[[#This Row],[Rep_ID]],Dim_Reps!A:A,Dim_Reps!B:B)</f>
        <v>Priya Weber</v>
      </c>
      <c r="P140" t="str">
        <f>_xlfn.XLOOKUP(Pipeline_tbl[[#This Row],[Rep_ID]],Dim_Reps!A:A,Dim_Reps!C:C)</f>
        <v>SDR / Inside Sales Rep</v>
      </c>
      <c r="Q140" t="str">
        <f>_xlfn.XLOOKUP(Pipeline_tbl[[#This Row],[Rep_ID]],Dim_Reps!A:A,Dim_Reps!D:D)</f>
        <v>Inside Sales</v>
      </c>
      <c r="R140" t="str">
        <f>_xlfn.XLOOKUP(Pipeline_tbl[[#This Row],[Rep_ID]],Dim_Reps!A:A,Dim_Reps!E:E)</f>
        <v>NAMER</v>
      </c>
      <c r="S140" t="str">
        <f>_xlfn.XLOOKUP(Pipeline_tbl[[#This Row],[Created_Date]],Dim_Date!A:A,Dim_Date!H:H)</f>
        <v>Sep 2025</v>
      </c>
      <c r="T140" t="str">
        <f>IF(Pipeline_tbl[[#This Row],[Closed_Date]]=0,"",(_xlfn.XLOOKUP(Pipeline_tbl[[#This Row],[Closed_Date]],Dim_Date!A:A,Dim_Date!H:H)))</f>
        <v>Oct 2025</v>
      </c>
      <c r="U140">
        <f>IF(Pipeline_tbl[[#This Row],[Closed_Date]]=0,"",Pipeline_tbl[[#This Row],[Closed_Date]]-Pipeline_tbl[[#This Row],[Created_Date]])</f>
        <v>25</v>
      </c>
    </row>
    <row r="141" spans="1:21" ht="15" customHeight="1" x14ac:dyDescent="0.2">
      <c r="A141" t="s">
        <v>447</v>
      </c>
      <c r="B141" t="s">
        <v>219</v>
      </c>
      <c r="C141" t="s">
        <v>52</v>
      </c>
      <c r="D141" s="49">
        <v>45920</v>
      </c>
      <c r="E141" s="49">
        <v>45922</v>
      </c>
      <c r="F141" s="49">
        <v>45926</v>
      </c>
      <c r="G141" s="49">
        <v>45933</v>
      </c>
      <c r="H141" s="49">
        <v>45938</v>
      </c>
      <c r="I141" s="49">
        <v>45941</v>
      </c>
      <c r="J141" t="s">
        <v>49</v>
      </c>
      <c r="K141" s="33">
        <v>3900</v>
      </c>
      <c r="L141" t="s">
        <v>61</v>
      </c>
      <c r="M141" t="str">
        <f>_xlfn.XLOOKUP(Pipeline_tbl[[#This Row],[Rep_ID]],Dim_Reps!A:A,Dim_Reps!K:K)</f>
        <v>EUR</v>
      </c>
      <c r="N141" s="33">
        <f>(_xlfn.XLOOKUP(Pipeline_tbl[[#This Row],[Rate_Code_Generalized]],Lookups!A:A,Lookups!B:B))*Pipeline_tbl[[#This Row],[Pipeline_Amount_USD]]</f>
        <v>3900</v>
      </c>
      <c r="O141" t="str">
        <f>_xlfn.XLOOKUP(Pipeline_tbl[[#This Row],[Rep_ID]],Dim_Reps!A:A,Dim_Reps!B:B)</f>
        <v>Riley Duarte</v>
      </c>
      <c r="P141" t="str">
        <f>_xlfn.XLOOKUP(Pipeline_tbl[[#This Row],[Rep_ID]],Dim_Reps!A:A,Dim_Reps!C:C)</f>
        <v>SDR / Inside Sales Rep</v>
      </c>
      <c r="Q141" t="str">
        <f>_xlfn.XLOOKUP(Pipeline_tbl[[#This Row],[Rep_ID]],Dim_Reps!A:A,Dim_Reps!D:D)</f>
        <v>Inside Sales</v>
      </c>
      <c r="R141" t="str">
        <f>_xlfn.XLOOKUP(Pipeline_tbl[[#This Row],[Rep_ID]],Dim_Reps!A:A,Dim_Reps!E:E)</f>
        <v>APAC</v>
      </c>
      <c r="S141" t="str">
        <f>_xlfn.XLOOKUP(Pipeline_tbl[[#This Row],[Created_Date]],Dim_Date!A:A,Dim_Date!H:H)</f>
        <v>Sep 2025</v>
      </c>
      <c r="T141" t="str">
        <f>IF(Pipeline_tbl[[#This Row],[Closed_Date]]=0,"",(_xlfn.XLOOKUP(Pipeline_tbl[[#This Row],[Closed_Date]],Dim_Date!A:A,Dim_Date!H:H)))</f>
        <v>Oct 2025</v>
      </c>
      <c r="U141">
        <f>IF(Pipeline_tbl[[#This Row],[Closed_Date]]=0,"",Pipeline_tbl[[#This Row],[Closed_Date]]-Pipeline_tbl[[#This Row],[Created_Date]])</f>
        <v>21</v>
      </c>
    </row>
    <row r="142" spans="1:21" ht="15" customHeight="1" x14ac:dyDescent="0.2">
      <c r="A142" t="s">
        <v>448</v>
      </c>
      <c r="B142" t="s">
        <v>219</v>
      </c>
      <c r="C142" t="s">
        <v>54</v>
      </c>
      <c r="D142" s="49">
        <v>45924</v>
      </c>
      <c r="E142" s="49">
        <v>45926</v>
      </c>
      <c r="F142" s="49">
        <v>45931</v>
      </c>
      <c r="G142" s="49">
        <v>45937</v>
      </c>
      <c r="H142" s="49">
        <v>45943</v>
      </c>
      <c r="I142" s="49">
        <v>45946</v>
      </c>
      <c r="J142" t="s">
        <v>47</v>
      </c>
      <c r="K142" s="33">
        <v>3300</v>
      </c>
      <c r="M142" t="str">
        <f>_xlfn.XLOOKUP(Pipeline_tbl[[#This Row],[Rep_ID]],Dim_Reps!A:A,Dim_Reps!K:K)</f>
        <v>EUR</v>
      </c>
      <c r="N142" s="33">
        <f>(_xlfn.XLOOKUP(Pipeline_tbl[[#This Row],[Rate_Code_Generalized]],Lookups!A:A,Lookups!B:B))*Pipeline_tbl[[#This Row],[Pipeline_Amount_USD]]</f>
        <v>3300</v>
      </c>
      <c r="O142" t="str">
        <f>_xlfn.XLOOKUP(Pipeline_tbl[[#This Row],[Rep_ID]],Dim_Reps!A:A,Dim_Reps!B:B)</f>
        <v>Riley Duarte</v>
      </c>
      <c r="P142" t="str">
        <f>_xlfn.XLOOKUP(Pipeline_tbl[[#This Row],[Rep_ID]],Dim_Reps!A:A,Dim_Reps!C:C)</f>
        <v>SDR / Inside Sales Rep</v>
      </c>
      <c r="Q142" t="str">
        <f>_xlfn.XLOOKUP(Pipeline_tbl[[#This Row],[Rep_ID]],Dim_Reps!A:A,Dim_Reps!D:D)</f>
        <v>Inside Sales</v>
      </c>
      <c r="R142" t="str">
        <f>_xlfn.XLOOKUP(Pipeline_tbl[[#This Row],[Rep_ID]],Dim_Reps!A:A,Dim_Reps!E:E)</f>
        <v>APAC</v>
      </c>
      <c r="S142" t="str">
        <f>_xlfn.XLOOKUP(Pipeline_tbl[[#This Row],[Created_Date]],Dim_Date!A:A,Dim_Date!H:H)</f>
        <v>Sep 2025</v>
      </c>
      <c r="T142" t="str">
        <f>IF(Pipeline_tbl[[#This Row],[Closed_Date]]=0,"",(_xlfn.XLOOKUP(Pipeline_tbl[[#This Row],[Closed_Date]],Dim_Date!A:A,Dim_Date!H:H)))</f>
        <v>Oct 2025</v>
      </c>
      <c r="U142">
        <f>IF(Pipeline_tbl[[#This Row],[Closed_Date]]=0,"",Pipeline_tbl[[#This Row],[Closed_Date]]-Pipeline_tbl[[#This Row],[Created_Date]])</f>
        <v>22</v>
      </c>
    </row>
    <row r="143" spans="1:21" ht="15" customHeight="1" x14ac:dyDescent="0.2">
      <c r="A143" t="s">
        <v>449</v>
      </c>
      <c r="B143" t="s">
        <v>219</v>
      </c>
      <c r="C143" t="s">
        <v>54</v>
      </c>
      <c r="D143" s="49">
        <v>45908</v>
      </c>
      <c r="E143" s="49">
        <v>45910</v>
      </c>
      <c r="F143" s="49">
        <v>45916</v>
      </c>
      <c r="G143" s="49">
        <v>45923</v>
      </c>
      <c r="H143" s="49">
        <v>45929</v>
      </c>
      <c r="I143" s="49">
        <v>45933</v>
      </c>
      <c r="J143" t="s">
        <v>47</v>
      </c>
      <c r="K143" s="33">
        <v>3500</v>
      </c>
      <c r="M143" t="str">
        <f>_xlfn.XLOOKUP(Pipeline_tbl[[#This Row],[Rep_ID]],Dim_Reps!A:A,Dim_Reps!K:K)</f>
        <v>EUR</v>
      </c>
      <c r="N143" s="33">
        <f>(_xlfn.XLOOKUP(Pipeline_tbl[[#This Row],[Rate_Code_Generalized]],Lookups!A:A,Lookups!B:B))*Pipeline_tbl[[#This Row],[Pipeline_Amount_USD]]</f>
        <v>3500</v>
      </c>
      <c r="O143" t="str">
        <f>_xlfn.XLOOKUP(Pipeline_tbl[[#This Row],[Rep_ID]],Dim_Reps!A:A,Dim_Reps!B:B)</f>
        <v>Riley Duarte</v>
      </c>
      <c r="P143" t="str">
        <f>_xlfn.XLOOKUP(Pipeline_tbl[[#This Row],[Rep_ID]],Dim_Reps!A:A,Dim_Reps!C:C)</f>
        <v>SDR / Inside Sales Rep</v>
      </c>
      <c r="Q143" t="str">
        <f>_xlfn.XLOOKUP(Pipeline_tbl[[#This Row],[Rep_ID]],Dim_Reps!A:A,Dim_Reps!D:D)</f>
        <v>Inside Sales</v>
      </c>
      <c r="R143" t="str">
        <f>_xlfn.XLOOKUP(Pipeline_tbl[[#This Row],[Rep_ID]],Dim_Reps!A:A,Dim_Reps!E:E)</f>
        <v>APAC</v>
      </c>
      <c r="S143" t="str">
        <f>_xlfn.XLOOKUP(Pipeline_tbl[[#This Row],[Created_Date]],Dim_Date!A:A,Dim_Date!H:H)</f>
        <v>Sep 2025</v>
      </c>
      <c r="T143" t="str">
        <f>IF(Pipeline_tbl[[#This Row],[Closed_Date]]=0,"",(_xlfn.XLOOKUP(Pipeline_tbl[[#This Row],[Closed_Date]],Dim_Date!A:A,Dim_Date!H:H)))</f>
        <v>Oct 2025</v>
      </c>
      <c r="U143">
        <f>IF(Pipeline_tbl[[#This Row],[Closed_Date]]=0,"",Pipeline_tbl[[#This Row],[Closed_Date]]-Pipeline_tbl[[#This Row],[Created_Date]])</f>
        <v>25</v>
      </c>
    </row>
    <row r="144" spans="1:21" ht="15" customHeight="1" x14ac:dyDescent="0.2">
      <c r="A144" t="s">
        <v>450</v>
      </c>
      <c r="B144" t="s">
        <v>219</v>
      </c>
      <c r="C144" t="s">
        <v>53</v>
      </c>
      <c r="D144" s="49">
        <v>45908</v>
      </c>
      <c r="E144" s="49">
        <v>45910</v>
      </c>
      <c r="F144" s="49">
        <v>45916</v>
      </c>
      <c r="I144" s="49">
        <v>45933</v>
      </c>
      <c r="J144" t="s">
        <v>49</v>
      </c>
      <c r="K144" s="33">
        <v>2900</v>
      </c>
      <c r="L144" t="s">
        <v>61</v>
      </c>
      <c r="M144" t="str">
        <f>_xlfn.XLOOKUP(Pipeline_tbl[[#This Row],[Rep_ID]],Dim_Reps!A:A,Dim_Reps!K:K)</f>
        <v>EUR</v>
      </c>
      <c r="N144" s="33">
        <f>(_xlfn.XLOOKUP(Pipeline_tbl[[#This Row],[Rate_Code_Generalized]],Lookups!A:A,Lookups!B:B))*Pipeline_tbl[[#This Row],[Pipeline_Amount_USD]]</f>
        <v>2900</v>
      </c>
      <c r="O144" t="str">
        <f>_xlfn.XLOOKUP(Pipeline_tbl[[#This Row],[Rep_ID]],Dim_Reps!A:A,Dim_Reps!B:B)</f>
        <v>Riley Duarte</v>
      </c>
      <c r="P144" t="str">
        <f>_xlfn.XLOOKUP(Pipeline_tbl[[#This Row],[Rep_ID]],Dim_Reps!A:A,Dim_Reps!C:C)</f>
        <v>SDR / Inside Sales Rep</v>
      </c>
      <c r="Q144" t="str">
        <f>_xlfn.XLOOKUP(Pipeline_tbl[[#This Row],[Rep_ID]],Dim_Reps!A:A,Dim_Reps!D:D)</f>
        <v>Inside Sales</v>
      </c>
      <c r="R144" t="str">
        <f>_xlfn.XLOOKUP(Pipeline_tbl[[#This Row],[Rep_ID]],Dim_Reps!A:A,Dim_Reps!E:E)</f>
        <v>APAC</v>
      </c>
      <c r="S144" t="str">
        <f>_xlfn.XLOOKUP(Pipeline_tbl[[#This Row],[Created_Date]],Dim_Date!A:A,Dim_Date!H:H)</f>
        <v>Sep 2025</v>
      </c>
      <c r="T144" t="str">
        <f>IF(Pipeline_tbl[[#This Row],[Closed_Date]]=0,"",(_xlfn.XLOOKUP(Pipeline_tbl[[#This Row],[Closed_Date]],Dim_Date!A:A,Dim_Date!H:H)))</f>
        <v>Oct 2025</v>
      </c>
      <c r="U144">
        <f>IF(Pipeline_tbl[[#This Row],[Closed_Date]]=0,"",Pipeline_tbl[[#This Row],[Closed_Date]]-Pipeline_tbl[[#This Row],[Created_Date]])</f>
        <v>25</v>
      </c>
    </row>
    <row r="145" spans="1:21" ht="15" customHeight="1" x14ac:dyDescent="0.2">
      <c r="A145" t="s">
        <v>451</v>
      </c>
      <c r="B145" t="s">
        <v>255</v>
      </c>
      <c r="C145" t="s">
        <v>52</v>
      </c>
      <c r="D145" s="49">
        <v>45911</v>
      </c>
      <c r="E145" s="49">
        <v>45915</v>
      </c>
      <c r="F145" s="49">
        <v>45924</v>
      </c>
      <c r="G145" s="49">
        <v>45936</v>
      </c>
      <c r="H145" s="49">
        <v>45947</v>
      </c>
      <c r="I145" s="49">
        <v>45953</v>
      </c>
      <c r="J145" t="s">
        <v>47</v>
      </c>
      <c r="K145" s="33">
        <v>13500</v>
      </c>
      <c r="M145" t="str">
        <f>_xlfn.XLOOKUP(Pipeline_tbl[[#This Row],[Rep_ID]],Dim_Reps!A:A,Dim_Reps!K:K)</f>
        <v>USD</v>
      </c>
      <c r="N145" s="33">
        <f>(_xlfn.XLOOKUP(Pipeline_tbl[[#This Row],[Rate_Code_Generalized]],Lookups!A:A,Lookups!B:B))*Pipeline_tbl[[#This Row],[Pipeline_Amount_USD]]</f>
        <v>15718.05</v>
      </c>
      <c r="O145" t="str">
        <f>_xlfn.XLOOKUP(Pipeline_tbl[[#This Row],[Rep_ID]],Dim_Reps!A:A,Dim_Reps!B:B)</f>
        <v>Erik Kim</v>
      </c>
      <c r="P145" t="str">
        <f>_xlfn.XLOOKUP(Pipeline_tbl[[#This Row],[Rep_ID]],Dim_Reps!A:A,Dim_Reps!C:C)</f>
        <v>Mid-Market AE</v>
      </c>
      <c r="Q145" t="str">
        <f>_xlfn.XLOOKUP(Pipeline_tbl[[#This Row],[Rep_ID]],Dim_Reps!A:A,Dim_Reps!D:D)</f>
        <v>Mid-Market</v>
      </c>
      <c r="R145" t="str">
        <f>_xlfn.XLOOKUP(Pipeline_tbl[[#This Row],[Rep_ID]],Dim_Reps!A:A,Dim_Reps!E:E)</f>
        <v>NAMER</v>
      </c>
      <c r="S145" t="str">
        <f>_xlfn.XLOOKUP(Pipeline_tbl[[#This Row],[Created_Date]],Dim_Date!A:A,Dim_Date!H:H)</f>
        <v>Sep 2025</v>
      </c>
      <c r="T145" t="str">
        <f>IF(Pipeline_tbl[[#This Row],[Closed_Date]]=0,"",(_xlfn.XLOOKUP(Pipeline_tbl[[#This Row],[Closed_Date]],Dim_Date!A:A,Dim_Date!H:H)))</f>
        <v>Oct 2025</v>
      </c>
      <c r="U145">
        <f>IF(Pipeline_tbl[[#This Row],[Closed_Date]]=0,"",Pipeline_tbl[[#This Row],[Closed_Date]]-Pipeline_tbl[[#This Row],[Created_Date]])</f>
        <v>42</v>
      </c>
    </row>
    <row r="146" spans="1:21" ht="15" customHeight="1" x14ac:dyDescent="0.2">
      <c r="A146" t="s">
        <v>452</v>
      </c>
      <c r="B146" t="s">
        <v>188</v>
      </c>
      <c r="C146" t="s">
        <v>52</v>
      </c>
      <c r="D146" s="49">
        <v>45906</v>
      </c>
      <c r="E146" s="49">
        <v>45912</v>
      </c>
      <c r="F146" s="49">
        <v>45923</v>
      </c>
      <c r="G146" s="49">
        <v>45939</v>
      </c>
      <c r="H146" s="49">
        <v>45953</v>
      </c>
      <c r="I146" s="49">
        <v>45961</v>
      </c>
      <c r="J146" t="s">
        <v>47</v>
      </c>
      <c r="K146" s="33">
        <v>58200</v>
      </c>
      <c r="M146" t="str">
        <f>_xlfn.XLOOKUP(Pipeline_tbl[[#This Row],[Rep_ID]],Dim_Reps!A:A,Dim_Reps!K:K)</f>
        <v>EUR</v>
      </c>
      <c r="N146" s="33">
        <f>(_xlfn.XLOOKUP(Pipeline_tbl[[#This Row],[Rate_Code_Generalized]],Lookups!A:A,Lookups!B:B))*Pipeline_tbl[[#This Row],[Pipeline_Amount_USD]]</f>
        <v>58200</v>
      </c>
      <c r="O146" t="str">
        <f>_xlfn.XLOOKUP(Pipeline_tbl[[#This Row],[Rep_ID]],Dim_Reps!A:A,Dim_Reps!B:B)</f>
        <v>Jamie Santos</v>
      </c>
      <c r="P146" t="str">
        <f>_xlfn.XLOOKUP(Pipeline_tbl[[#This Row],[Rep_ID]],Dim_Reps!A:A,Dim_Reps!C:C)</f>
        <v>Enterprise AE</v>
      </c>
      <c r="Q146" t="str">
        <f>_xlfn.XLOOKUP(Pipeline_tbl[[#This Row],[Rep_ID]],Dim_Reps!A:A,Dim_Reps!D:D)</f>
        <v>Enterprise</v>
      </c>
      <c r="R146" t="str">
        <f>_xlfn.XLOOKUP(Pipeline_tbl[[#This Row],[Rep_ID]],Dim_Reps!A:A,Dim_Reps!E:E)</f>
        <v>APAC</v>
      </c>
      <c r="S146" t="str">
        <f>_xlfn.XLOOKUP(Pipeline_tbl[[#This Row],[Created_Date]],Dim_Date!A:A,Dim_Date!H:H)</f>
        <v>Sep 2025</v>
      </c>
      <c r="T146" t="str">
        <f>IF(Pipeline_tbl[[#This Row],[Closed_Date]]=0,"",(_xlfn.XLOOKUP(Pipeline_tbl[[#This Row],[Closed_Date]],Dim_Date!A:A,Dim_Date!H:H)))</f>
        <v>Oct 2025</v>
      </c>
      <c r="U146">
        <f>IF(Pipeline_tbl[[#This Row],[Closed_Date]]=0,"",Pipeline_tbl[[#This Row],[Closed_Date]]-Pipeline_tbl[[#This Row],[Created_Date]])</f>
        <v>55</v>
      </c>
    </row>
    <row r="147" spans="1:21" ht="15" customHeight="1" x14ac:dyDescent="0.2">
      <c r="A147" t="s">
        <v>453</v>
      </c>
      <c r="B147" t="s">
        <v>221</v>
      </c>
      <c r="C147" t="s">
        <v>53</v>
      </c>
      <c r="D147" s="49">
        <v>45918</v>
      </c>
      <c r="E147" s="49">
        <v>45920</v>
      </c>
      <c r="I147" s="49">
        <v>45942</v>
      </c>
      <c r="J147" t="s">
        <v>49</v>
      </c>
      <c r="K147" s="33">
        <v>2400</v>
      </c>
      <c r="L147" t="s">
        <v>64</v>
      </c>
      <c r="M147" t="str">
        <f>_xlfn.XLOOKUP(Pipeline_tbl[[#This Row],[Rep_ID]],Dim_Reps!A:A,Dim_Reps!K:K)</f>
        <v>MXN</v>
      </c>
      <c r="N147" s="33">
        <f>(_xlfn.XLOOKUP(Pipeline_tbl[[#This Row],[Rate_Code_Generalized]],Lookups!A:A,Lookups!B:B))*Pipeline_tbl[[#This Row],[Pipeline_Amount_USD]]</f>
        <v>47358.48</v>
      </c>
      <c r="O147" t="str">
        <f>_xlfn.XLOOKUP(Pipeline_tbl[[#This Row],[Rep_ID]],Dim_Reps!A:A,Dim_Reps!B:B)</f>
        <v>Casey Muller</v>
      </c>
      <c r="P147" t="str">
        <f>_xlfn.XLOOKUP(Pipeline_tbl[[#This Row],[Rep_ID]],Dim_Reps!A:A,Dim_Reps!C:C)</f>
        <v>SDR / Inside Sales Rep</v>
      </c>
      <c r="Q147" t="str">
        <f>_xlfn.XLOOKUP(Pipeline_tbl[[#This Row],[Rep_ID]],Dim_Reps!A:A,Dim_Reps!D:D)</f>
        <v>Inside Sales</v>
      </c>
      <c r="R147" t="str">
        <f>_xlfn.XLOOKUP(Pipeline_tbl[[#This Row],[Rep_ID]],Dim_Reps!A:A,Dim_Reps!E:E)</f>
        <v>LATAM</v>
      </c>
      <c r="S147" t="str">
        <f>_xlfn.XLOOKUP(Pipeline_tbl[[#This Row],[Created_Date]],Dim_Date!A:A,Dim_Date!H:H)</f>
        <v>Sep 2025</v>
      </c>
      <c r="T147" t="str">
        <f>IF(Pipeline_tbl[[#This Row],[Closed_Date]]=0,"",(_xlfn.XLOOKUP(Pipeline_tbl[[#This Row],[Closed_Date]],Dim_Date!A:A,Dim_Date!H:H)))</f>
        <v>Oct 2025</v>
      </c>
      <c r="U147">
        <f>IF(Pipeline_tbl[[#This Row],[Closed_Date]]=0,"",Pipeline_tbl[[#This Row],[Closed_Date]]-Pipeline_tbl[[#This Row],[Created_Date]])</f>
        <v>24</v>
      </c>
    </row>
    <row r="148" spans="1:21" ht="15" customHeight="1" x14ac:dyDescent="0.2">
      <c r="A148" t="s">
        <v>454</v>
      </c>
      <c r="B148" t="s">
        <v>221</v>
      </c>
      <c r="C148" t="s">
        <v>56</v>
      </c>
      <c r="D148" s="49">
        <v>45929</v>
      </c>
      <c r="E148" s="49">
        <v>45930</v>
      </c>
      <c r="F148" s="49">
        <v>45933</v>
      </c>
      <c r="G148" s="49">
        <v>45937</v>
      </c>
      <c r="H148" s="49">
        <v>45941</v>
      </c>
      <c r="I148" s="49">
        <v>45943</v>
      </c>
      <c r="J148" t="s">
        <v>47</v>
      </c>
      <c r="K148" s="33">
        <v>8600</v>
      </c>
      <c r="M148" t="str">
        <f>_xlfn.XLOOKUP(Pipeline_tbl[[#This Row],[Rep_ID]],Dim_Reps!A:A,Dim_Reps!K:K)</f>
        <v>MXN</v>
      </c>
      <c r="N148" s="33">
        <f>(_xlfn.XLOOKUP(Pipeline_tbl[[#This Row],[Rate_Code_Generalized]],Lookups!A:A,Lookups!B:B))*Pipeline_tbl[[#This Row],[Pipeline_Amount_USD]]</f>
        <v>169701.22</v>
      </c>
      <c r="O148" t="str">
        <f>_xlfn.XLOOKUP(Pipeline_tbl[[#This Row],[Rep_ID]],Dim_Reps!A:A,Dim_Reps!B:B)</f>
        <v>Casey Muller</v>
      </c>
      <c r="P148" t="str">
        <f>_xlfn.XLOOKUP(Pipeline_tbl[[#This Row],[Rep_ID]],Dim_Reps!A:A,Dim_Reps!C:C)</f>
        <v>SDR / Inside Sales Rep</v>
      </c>
      <c r="Q148" t="str">
        <f>_xlfn.XLOOKUP(Pipeline_tbl[[#This Row],[Rep_ID]],Dim_Reps!A:A,Dim_Reps!D:D)</f>
        <v>Inside Sales</v>
      </c>
      <c r="R148" t="str">
        <f>_xlfn.XLOOKUP(Pipeline_tbl[[#This Row],[Rep_ID]],Dim_Reps!A:A,Dim_Reps!E:E)</f>
        <v>LATAM</v>
      </c>
      <c r="S148" t="str">
        <f>_xlfn.XLOOKUP(Pipeline_tbl[[#This Row],[Created_Date]],Dim_Date!A:A,Dim_Date!H:H)</f>
        <v>Sep 2025</v>
      </c>
      <c r="T148" t="str">
        <f>IF(Pipeline_tbl[[#This Row],[Closed_Date]]=0,"",(_xlfn.XLOOKUP(Pipeline_tbl[[#This Row],[Closed_Date]],Dim_Date!A:A,Dim_Date!H:H)))</f>
        <v>Oct 2025</v>
      </c>
      <c r="U148">
        <f>IF(Pipeline_tbl[[#This Row],[Closed_Date]]=0,"",Pipeline_tbl[[#This Row],[Closed_Date]]-Pipeline_tbl[[#This Row],[Created_Date]])</f>
        <v>14</v>
      </c>
    </row>
    <row r="149" spans="1:21" ht="15" customHeight="1" x14ac:dyDescent="0.2">
      <c r="A149" t="s">
        <v>455</v>
      </c>
      <c r="B149" t="s">
        <v>221</v>
      </c>
      <c r="C149" t="s">
        <v>52</v>
      </c>
      <c r="D149" s="49">
        <v>45924</v>
      </c>
      <c r="E149" s="49">
        <v>45926</v>
      </c>
      <c r="F149" s="49">
        <v>45929</v>
      </c>
      <c r="G149" s="49">
        <v>45933</v>
      </c>
      <c r="H149" s="49">
        <v>45937</v>
      </c>
      <c r="I149" s="49">
        <v>45939</v>
      </c>
      <c r="J149" t="s">
        <v>49</v>
      </c>
      <c r="K149" s="33">
        <v>7200</v>
      </c>
      <c r="L149" t="s">
        <v>63</v>
      </c>
      <c r="M149" t="str">
        <f>_xlfn.XLOOKUP(Pipeline_tbl[[#This Row],[Rep_ID]],Dim_Reps!A:A,Dim_Reps!K:K)</f>
        <v>MXN</v>
      </c>
      <c r="N149" s="33">
        <f>(_xlfn.XLOOKUP(Pipeline_tbl[[#This Row],[Rate_Code_Generalized]],Lookups!A:A,Lookups!B:B))*Pipeline_tbl[[#This Row],[Pipeline_Amount_USD]]</f>
        <v>142075.44</v>
      </c>
      <c r="O149" t="str">
        <f>_xlfn.XLOOKUP(Pipeline_tbl[[#This Row],[Rep_ID]],Dim_Reps!A:A,Dim_Reps!B:B)</f>
        <v>Casey Muller</v>
      </c>
      <c r="P149" t="str">
        <f>_xlfn.XLOOKUP(Pipeline_tbl[[#This Row],[Rep_ID]],Dim_Reps!A:A,Dim_Reps!C:C)</f>
        <v>SDR / Inside Sales Rep</v>
      </c>
      <c r="Q149" t="str">
        <f>_xlfn.XLOOKUP(Pipeline_tbl[[#This Row],[Rep_ID]],Dim_Reps!A:A,Dim_Reps!D:D)</f>
        <v>Inside Sales</v>
      </c>
      <c r="R149" t="str">
        <f>_xlfn.XLOOKUP(Pipeline_tbl[[#This Row],[Rep_ID]],Dim_Reps!A:A,Dim_Reps!E:E)</f>
        <v>LATAM</v>
      </c>
      <c r="S149" t="str">
        <f>_xlfn.XLOOKUP(Pipeline_tbl[[#This Row],[Created_Date]],Dim_Date!A:A,Dim_Date!H:H)</f>
        <v>Sep 2025</v>
      </c>
      <c r="T149" t="str">
        <f>IF(Pipeline_tbl[[#This Row],[Closed_Date]]=0,"",(_xlfn.XLOOKUP(Pipeline_tbl[[#This Row],[Closed_Date]],Dim_Date!A:A,Dim_Date!H:H)))</f>
        <v>Oct 2025</v>
      </c>
      <c r="U149">
        <f>IF(Pipeline_tbl[[#This Row],[Closed_Date]]=0,"",Pipeline_tbl[[#This Row],[Closed_Date]]-Pipeline_tbl[[#This Row],[Created_Date]])</f>
        <v>15</v>
      </c>
    </row>
    <row r="150" spans="1:21" ht="15" customHeight="1" x14ac:dyDescent="0.2">
      <c r="A150" t="s">
        <v>456</v>
      </c>
      <c r="B150" t="s">
        <v>221</v>
      </c>
      <c r="C150" t="s">
        <v>52</v>
      </c>
      <c r="D150" s="49">
        <v>45930</v>
      </c>
      <c r="E150" s="49">
        <v>45933</v>
      </c>
      <c r="F150" s="49">
        <v>45938</v>
      </c>
      <c r="G150" s="49">
        <v>45947</v>
      </c>
      <c r="I150" s="49">
        <v>45958</v>
      </c>
      <c r="J150" t="s">
        <v>49</v>
      </c>
      <c r="K150" s="33">
        <v>2300</v>
      </c>
      <c r="L150" t="s">
        <v>63</v>
      </c>
      <c r="M150" t="str">
        <f>_xlfn.XLOOKUP(Pipeline_tbl[[#This Row],[Rep_ID]],Dim_Reps!A:A,Dim_Reps!K:K)</f>
        <v>MXN</v>
      </c>
      <c r="N150" s="33">
        <f>(_xlfn.XLOOKUP(Pipeline_tbl[[#This Row],[Rate_Code_Generalized]],Lookups!A:A,Lookups!B:B))*Pipeline_tbl[[#This Row],[Pipeline_Amount_USD]]</f>
        <v>45385.210000000006</v>
      </c>
      <c r="O150" t="str">
        <f>_xlfn.XLOOKUP(Pipeline_tbl[[#This Row],[Rep_ID]],Dim_Reps!A:A,Dim_Reps!B:B)</f>
        <v>Casey Muller</v>
      </c>
      <c r="P150" t="str">
        <f>_xlfn.XLOOKUP(Pipeline_tbl[[#This Row],[Rep_ID]],Dim_Reps!A:A,Dim_Reps!C:C)</f>
        <v>SDR / Inside Sales Rep</v>
      </c>
      <c r="Q150" t="str">
        <f>_xlfn.XLOOKUP(Pipeline_tbl[[#This Row],[Rep_ID]],Dim_Reps!A:A,Dim_Reps!D:D)</f>
        <v>Inside Sales</v>
      </c>
      <c r="R150" t="str">
        <f>_xlfn.XLOOKUP(Pipeline_tbl[[#This Row],[Rep_ID]],Dim_Reps!A:A,Dim_Reps!E:E)</f>
        <v>LATAM</v>
      </c>
      <c r="S150" t="str">
        <f>_xlfn.XLOOKUP(Pipeline_tbl[[#This Row],[Created_Date]],Dim_Date!A:A,Dim_Date!H:H)</f>
        <v>Sep 2025</v>
      </c>
      <c r="T150" t="str">
        <f>IF(Pipeline_tbl[[#This Row],[Closed_Date]]=0,"",(_xlfn.XLOOKUP(Pipeline_tbl[[#This Row],[Closed_Date]],Dim_Date!A:A,Dim_Date!H:H)))</f>
        <v>Oct 2025</v>
      </c>
      <c r="U150">
        <f>IF(Pipeline_tbl[[#This Row],[Closed_Date]]=0,"",Pipeline_tbl[[#This Row],[Closed_Date]]-Pipeline_tbl[[#This Row],[Created_Date]])</f>
        <v>28</v>
      </c>
    </row>
    <row r="151" spans="1:21" ht="15" customHeight="1" x14ac:dyDescent="0.2">
      <c r="A151" t="s">
        <v>457</v>
      </c>
      <c r="B151" t="s">
        <v>221</v>
      </c>
      <c r="C151" t="s">
        <v>55</v>
      </c>
      <c r="D151" s="49">
        <v>45906</v>
      </c>
      <c r="E151" s="49">
        <v>45909</v>
      </c>
      <c r="I151" s="49">
        <v>45933</v>
      </c>
      <c r="J151" t="s">
        <v>49</v>
      </c>
      <c r="K151" s="33">
        <v>4300</v>
      </c>
      <c r="L151" t="s">
        <v>60</v>
      </c>
      <c r="M151" t="str">
        <f>_xlfn.XLOOKUP(Pipeline_tbl[[#This Row],[Rep_ID]],Dim_Reps!A:A,Dim_Reps!K:K)</f>
        <v>MXN</v>
      </c>
      <c r="N151" s="33">
        <f>(_xlfn.XLOOKUP(Pipeline_tbl[[#This Row],[Rate_Code_Generalized]],Lookups!A:A,Lookups!B:B))*Pipeline_tbl[[#This Row],[Pipeline_Amount_USD]]</f>
        <v>84850.61</v>
      </c>
      <c r="O151" t="str">
        <f>_xlfn.XLOOKUP(Pipeline_tbl[[#This Row],[Rep_ID]],Dim_Reps!A:A,Dim_Reps!B:B)</f>
        <v>Casey Muller</v>
      </c>
      <c r="P151" t="str">
        <f>_xlfn.XLOOKUP(Pipeline_tbl[[#This Row],[Rep_ID]],Dim_Reps!A:A,Dim_Reps!C:C)</f>
        <v>SDR / Inside Sales Rep</v>
      </c>
      <c r="Q151" t="str">
        <f>_xlfn.XLOOKUP(Pipeline_tbl[[#This Row],[Rep_ID]],Dim_Reps!A:A,Dim_Reps!D:D)</f>
        <v>Inside Sales</v>
      </c>
      <c r="R151" t="str">
        <f>_xlfn.XLOOKUP(Pipeline_tbl[[#This Row],[Rep_ID]],Dim_Reps!A:A,Dim_Reps!E:E)</f>
        <v>LATAM</v>
      </c>
      <c r="S151" t="str">
        <f>_xlfn.XLOOKUP(Pipeline_tbl[[#This Row],[Created_Date]],Dim_Date!A:A,Dim_Date!H:H)</f>
        <v>Sep 2025</v>
      </c>
      <c r="T151" t="str">
        <f>IF(Pipeline_tbl[[#This Row],[Closed_Date]]=0,"",(_xlfn.XLOOKUP(Pipeline_tbl[[#This Row],[Closed_Date]],Dim_Date!A:A,Dim_Date!H:H)))</f>
        <v>Oct 2025</v>
      </c>
      <c r="U151">
        <f>IF(Pipeline_tbl[[#This Row],[Closed_Date]]=0,"",Pipeline_tbl[[#This Row],[Closed_Date]]-Pipeline_tbl[[#This Row],[Created_Date]])</f>
        <v>27</v>
      </c>
    </row>
    <row r="152" spans="1:21" ht="15" customHeight="1" x14ac:dyDescent="0.2">
      <c r="A152" t="s">
        <v>458</v>
      </c>
      <c r="B152" t="s">
        <v>221</v>
      </c>
      <c r="C152" t="s">
        <v>52</v>
      </c>
      <c r="D152" s="49">
        <v>45921</v>
      </c>
      <c r="E152" s="49">
        <v>45923</v>
      </c>
      <c r="F152" s="49">
        <v>45926</v>
      </c>
      <c r="G152" s="49">
        <v>45931</v>
      </c>
      <c r="I152" s="49">
        <v>45937</v>
      </c>
      <c r="J152" t="s">
        <v>49</v>
      </c>
      <c r="K152" s="33">
        <v>1800</v>
      </c>
      <c r="L152" t="s">
        <v>61</v>
      </c>
      <c r="M152" t="str">
        <f>_xlfn.XLOOKUP(Pipeline_tbl[[#This Row],[Rep_ID]],Dim_Reps!A:A,Dim_Reps!K:K)</f>
        <v>MXN</v>
      </c>
      <c r="N152" s="33">
        <f>(_xlfn.XLOOKUP(Pipeline_tbl[[#This Row],[Rate_Code_Generalized]],Lookups!A:A,Lookups!B:B))*Pipeline_tbl[[#This Row],[Pipeline_Amount_USD]]</f>
        <v>35518.86</v>
      </c>
      <c r="O152" t="str">
        <f>_xlfn.XLOOKUP(Pipeline_tbl[[#This Row],[Rep_ID]],Dim_Reps!A:A,Dim_Reps!B:B)</f>
        <v>Casey Muller</v>
      </c>
      <c r="P152" t="str">
        <f>_xlfn.XLOOKUP(Pipeline_tbl[[#This Row],[Rep_ID]],Dim_Reps!A:A,Dim_Reps!C:C)</f>
        <v>SDR / Inside Sales Rep</v>
      </c>
      <c r="Q152" t="str">
        <f>_xlfn.XLOOKUP(Pipeline_tbl[[#This Row],[Rep_ID]],Dim_Reps!A:A,Dim_Reps!D:D)</f>
        <v>Inside Sales</v>
      </c>
      <c r="R152" t="str">
        <f>_xlfn.XLOOKUP(Pipeline_tbl[[#This Row],[Rep_ID]],Dim_Reps!A:A,Dim_Reps!E:E)</f>
        <v>LATAM</v>
      </c>
      <c r="S152" t="str">
        <f>_xlfn.XLOOKUP(Pipeline_tbl[[#This Row],[Created_Date]],Dim_Date!A:A,Dim_Date!H:H)</f>
        <v>Sep 2025</v>
      </c>
      <c r="T152" t="str">
        <f>IF(Pipeline_tbl[[#This Row],[Closed_Date]]=0,"",(_xlfn.XLOOKUP(Pipeline_tbl[[#This Row],[Closed_Date]],Dim_Date!A:A,Dim_Date!H:H)))</f>
        <v>Oct 2025</v>
      </c>
      <c r="U152">
        <f>IF(Pipeline_tbl[[#This Row],[Closed_Date]]=0,"",Pipeline_tbl[[#This Row],[Closed_Date]]-Pipeline_tbl[[#This Row],[Created_Date]])</f>
        <v>16</v>
      </c>
    </row>
    <row r="153" spans="1:21" ht="15" customHeight="1" x14ac:dyDescent="0.2">
      <c r="A153" t="s">
        <v>459</v>
      </c>
      <c r="B153" t="s">
        <v>221</v>
      </c>
      <c r="C153" t="s">
        <v>52</v>
      </c>
      <c r="D153" s="49">
        <v>45922</v>
      </c>
      <c r="E153" s="49">
        <v>45923</v>
      </c>
      <c r="F153" s="49">
        <v>45925</v>
      </c>
      <c r="G153" s="49">
        <v>45929</v>
      </c>
      <c r="I153" s="49">
        <v>45933</v>
      </c>
      <c r="J153" t="s">
        <v>49</v>
      </c>
      <c r="K153" s="33">
        <v>2100</v>
      </c>
      <c r="L153" t="s">
        <v>61</v>
      </c>
      <c r="M153" t="str">
        <f>_xlfn.XLOOKUP(Pipeline_tbl[[#This Row],[Rep_ID]],Dim_Reps!A:A,Dim_Reps!K:K)</f>
        <v>MXN</v>
      </c>
      <c r="N153" s="33">
        <f>(_xlfn.XLOOKUP(Pipeline_tbl[[#This Row],[Rate_Code_Generalized]],Lookups!A:A,Lookups!B:B))*Pipeline_tbl[[#This Row],[Pipeline_Amount_USD]]</f>
        <v>41438.670000000006</v>
      </c>
      <c r="O153" t="str">
        <f>_xlfn.XLOOKUP(Pipeline_tbl[[#This Row],[Rep_ID]],Dim_Reps!A:A,Dim_Reps!B:B)</f>
        <v>Casey Muller</v>
      </c>
      <c r="P153" t="str">
        <f>_xlfn.XLOOKUP(Pipeline_tbl[[#This Row],[Rep_ID]],Dim_Reps!A:A,Dim_Reps!C:C)</f>
        <v>SDR / Inside Sales Rep</v>
      </c>
      <c r="Q153" t="str">
        <f>_xlfn.XLOOKUP(Pipeline_tbl[[#This Row],[Rep_ID]],Dim_Reps!A:A,Dim_Reps!D:D)</f>
        <v>Inside Sales</v>
      </c>
      <c r="R153" t="str">
        <f>_xlfn.XLOOKUP(Pipeline_tbl[[#This Row],[Rep_ID]],Dim_Reps!A:A,Dim_Reps!E:E)</f>
        <v>LATAM</v>
      </c>
      <c r="S153" t="str">
        <f>_xlfn.XLOOKUP(Pipeline_tbl[[#This Row],[Created_Date]],Dim_Date!A:A,Dim_Date!H:H)</f>
        <v>Sep 2025</v>
      </c>
      <c r="T153" t="str">
        <f>IF(Pipeline_tbl[[#This Row],[Closed_Date]]=0,"",(_xlfn.XLOOKUP(Pipeline_tbl[[#This Row],[Closed_Date]],Dim_Date!A:A,Dim_Date!H:H)))</f>
        <v>Oct 2025</v>
      </c>
      <c r="U153">
        <f>IF(Pipeline_tbl[[#This Row],[Closed_Date]]=0,"",Pipeline_tbl[[#This Row],[Closed_Date]]-Pipeline_tbl[[#This Row],[Created_Date]])</f>
        <v>11</v>
      </c>
    </row>
    <row r="154" spans="1:21" ht="15" customHeight="1" x14ac:dyDescent="0.2">
      <c r="A154" t="s">
        <v>460</v>
      </c>
      <c r="B154" t="s">
        <v>221</v>
      </c>
      <c r="C154" t="s">
        <v>53</v>
      </c>
      <c r="D154" s="49">
        <v>45914</v>
      </c>
      <c r="E154" s="49">
        <v>45916</v>
      </c>
      <c r="F154" s="49">
        <v>45919</v>
      </c>
      <c r="G154" s="49">
        <v>45925</v>
      </c>
      <c r="I154" s="49">
        <v>45932</v>
      </c>
      <c r="J154" t="s">
        <v>49</v>
      </c>
      <c r="K154" s="33">
        <v>3100</v>
      </c>
      <c r="L154" t="s">
        <v>61</v>
      </c>
      <c r="M154" t="str">
        <f>_xlfn.XLOOKUP(Pipeline_tbl[[#This Row],[Rep_ID]],Dim_Reps!A:A,Dim_Reps!K:K)</f>
        <v>MXN</v>
      </c>
      <c r="N154" s="33">
        <f>(_xlfn.XLOOKUP(Pipeline_tbl[[#This Row],[Rate_Code_Generalized]],Lookups!A:A,Lookups!B:B))*Pipeline_tbl[[#This Row],[Pipeline_Amount_USD]]</f>
        <v>61171.37</v>
      </c>
      <c r="O154" t="str">
        <f>_xlfn.XLOOKUP(Pipeline_tbl[[#This Row],[Rep_ID]],Dim_Reps!A:A,Dim_Reps!B:B)</f>
        <v>Casey Muller</v>
      </c>
      <c r="P154" t="str">
        <f>_xlfn.XLOOKUP(Pipeline_tbl[[#This Row],[Rep_ID]],Dim_Reps!A:A,Dim_Reps!C:C)</f>
        <v>SDR / Inside Sales Rep</v>
      </c>
      <c r="Q154" t="str">
        <f>_xlfn.XLOOKUP(Pipeline_tbl[[#This Row],[Rep_ID]],Dim_Reps!A:A,Dim_Reps!D:D)</f>
        <v>Inside Sales</v>
      </c>
      <c r="R154" t="str">
        <f>_xlfn.XLOOKUP(Pipeline_tbl[[#This Row],[Rep_ID]],Dim_Reps!A:A,Dim_Reps!E:E)</f>
        <v>LATAM</v>
      </c>
      <c r="S154" t="str">
        <f>_xlfn.XLOOKUP(Pipeline_tbl[[#This Row],[Created_Date]],Dim_Date!A:A,Dim_Date!H:H)</f>
        <v>Sep 2025</v>
      </c>
      <c r="T154" t="str">
        <f>IF(Pipeline_tbl[[#This Row],[Closed_Date]]=0,"",(_xlfn.XLOOKUP(Pipeline_tbl[[#This Row],[Closed_Date]],Dim_Date!A:A,Dim_Date!H:H)))</f>
        <v>Oct 2025</v>
      </c>
      <c r="U154">
        <f>IF(Pipeline_tbl[[#This Row],[Closed_Date]]=0,"",Pipeline_tbl[[#This Row],[Closed_Date]]-Pipeline_tbl[[#This Row],[Created_Date]])</f>
        <v>18</v>
      </c>
    </row>
    <row r="155" spans="1:21" ht="15" customHeight="1" x14ac:dyDescent="0.2">
      <c r="A155" t="s">
        <v>461</v>
      </c>
      <c r="B155" t="s">
        <v>221</v>
      </c>
      <c r="C155" t="s">
        <v>52</v>
      </c>
      <c r="D155" s="49">
        <v>45918</v>
      </c>
      <c r="E155" s="49">
        <v>45920</v>
      </c>
      <c r="F155" s="49">
        <v>45923</v>
      </c>
      <c r="G155" s="49">
        <v>45927</v>
      </c>
      <c r="H155" s="49">
        <v>45931</v>
      </c>
      <c r="I155" s="49">
        <v>45933</v>
      </c>
      <c r="J155" t="s">
        <v>49</v>
      </c>
      <c r="K155" s="33">
        <v>1800</v>
      </c>
      <c r="L155" t="s">
        <v>61</v>
      </c>
      <c r="M155" t="str">
        <f>_xlfn.XLOOKUP(Pipeline_tbl[[#This Row],[Rep_ID]],Dim_Reps!A:A,Dim_Reps!K:K)</f>
        <v>MXN</v>
      </c>
      <c r="N155" s="33">
        <f>(_xlfn.XLOOKUP(Pipeline_tbl[[#This Row],[Rate_Code_Generalized]],Lookups!A:A,Lookups!B:B))*Pipeline_tbl[[#This Row],[Pipeline_Amount_USD]]</f>
        <v>35518.86</v>
      </c>
      <c r="O155" t="str">
        <f>_xlfn.XLOOKUP(Pipeline_tbl[[#This Row],[Rep_ID]],Dim_Reps!A:A,Dim_Reps!B:B)</f>
        <v>Casey Muller</v>
      </c>
      <c r="P155" t="str">
        <f>_xlfn.XLOOKUP(Pipeline_tbl[[#This Row],[Rep_ID]],Dim_Reps!A:A,Dim_Reps!C:C)</f>
        <v>SDR / Inside Sales Rep</v>
      </c>
      <c r="Q155" t="str">
        <f>_xlfn.XLOOKUP(Pipeline_tbl[[#This Row],[Rep_ID]],Dim_Reps!A:A,Dim_Reps!D:D)</f>
        <v>Inside Sales</v>
      </c>
      <c r="R155" t="str">
        <f>_xlfn.XLOOKUP(Pipeline_tbl[[#This Row],[Rep_ID]],Dim_Reps!A:A,Dim_Reps!E:E)</f>
        <v>LATAM</v>
      </c>
      <c r="S155" t="str">
        <f>_xlfn.XLOOKUP(Pipeline_tbl[[#This Row],[Created_Date]],Dim_Date!A:A,Dim_Date!H:H)</f>
        <v>Sep 2025</v>
      </c>
      <c r="T155" t="str">
        <f>IF(Pipeline_tbl[[#This Row],[Closed_Date]]=0,"",(_xlfn.XLOOKUP(Pipeline_tbl[[#This Row],[Closed_Date]],Dim_Date!A:A,Dim_Date!H:H)))</f>
        <v>Oct 2025</v>
      </c>
      <c r="U155">
        <f>IF(Pipeline_tbl[[#This Row],[Closed_Date]]=0,"",Pipeline_tbl[[#This Row],[Closed_Date]]-Pipeline_tbl[[#This Row],[Created_Date]])</f>
        <v>15</v>
      </c>
    </row>
    <row r="156" spans="1:21" ht="15" customHeight="1" x14ac:dyDescent="0.2">
      <c r="A156" t="s">
        <v>462</v>
      </c>
      <c r="B156" t="s">
        <v>257</v>
      </c>
      <c r="C156" t="s">
        <v>53</v>
      </c>
      <c r="D156" s="49">
        <v>45909</v>
      </c>
      <c r="E156" s="49">
        <v>45912</v>
      </c>
      <c r="I156" s="49">
        <v>45940</v>
      </c>
      <c r="J156" t="s">
        <v>49</v>
      </c>
      <c r="K156" s="33">
        <v>13100</v>
      </c>
      <c r="L156" t="s">
        <v>62</v>
      </c>
      <c r="M156" t="str">
        <f>_xlfn.XLOOKUP(Pipeline_tbl[[#This Row],[Rep_ID]],Dim_Reps!A:A,Dim_Reps!K:K)</f>
        <v>EUR</v>
      </c>
      <c r="N156" s="33">
        <f>(_xlfn.XLOOKUP(Pipeline_tbl[[#This Row],[Rate_Code_Generalized]],Lookups!A:A,Lookups!B:B))*Pipeline_tbl[[#This Row],[Pipeline_Amount_USD]]</f>
        <v>13100</v>
      </c>
      <c r="O156" t="str">
        <f>_xlfn.XLOOKUP(Pipeline_tbl[[#This Row],[Rep_ID]],Dim_Reps!A:A,Dim_Reps!B:B)</f>
        <v>Ana Kim</v>
      </c>
      <c r="P156" t="str">
        <f>_xlfn.XLOOKUP(Pipeline_tbl[[#This Row],[Rep_ID]],Dim_Reps!A:A,Dim_Reps!C:C)</f>
        <v>Mid-Market AE</v>
      </c>
      <c r="Q156" t="str">
        <f>_xlfn.XLOOKUP(Pipeline_tbl[[#This Row],[Rep_ID]],Dim_Reps!A:A,Dim_Reps!D:D)</f>
        <v>Mid-Market</v>
      </c>
      <c r="R156" t="str">
        <f>_xlfn.XLOOKUP(Pipeline_tbl[[#This Row],[Rep_ID]],Dim_Reps!A:A,Dim_Reps!E:E)</f>
        <v>APAC</v>
      </c>
      <c r="S156" t="str">
        <f>_xlfn.XLOOKUP(Pipeline_tbl[[#This Row],[Created_Date]],Dim_Date!A:A,Dim_Date!H:H)</f>
        <v>Sep 2025</v>
      </c>
      <c r="T156" t="str">
        <f>IF(Pipeline_tbl[[#This Row],[Closed_Date]]=0,"",(_xlfn.XLOOKUP(Pipeline_tbl[[#This Row],[Closed_Date]],Dim_Date!A:A,Dim_Date!H:H)))</f>
        <v>Oct 2025</v>
      </c>
      <c r="U156">
        <f>IF(Pipeline_tbl[[#This Row],[Closed_Date]]=0,"",Pipeline_tbl[[#This Row],[Closed_Date]]-Pipeline_tbl[[#This Row],[Created_Date]])</f>
        <v>31</v>
      </c>
    </row>
    <row r="157" spans="1:21" ht="15" customHeight="1" x14ac:dyDescent="0.2">
      <c r="A157" t="s">
        <v>463</v>
      </c>
      <c r="B157" t="s">
        <v>257</v>
      </c>
      <c r="C157" t="s">
        <v>54</v>
      </c>
      <c r="D157" s="49">
        <v>45907</v>
      </c>
      <c r="E157" s="49">
        <v>45910</v>
      </c>
      <c r="F157" s="49">
        <v>45915</v>
      </c>
      <c r="G157" s="49">
        <v>45923</v>
      </c>
      <c r="H157" s="49">
        <v>45929</v>
      </c>
      <c r="I157" s="49">
        <v>45933</v>
      </c>
      <c r="J157" t="s">
        <v>47</v>
      </c>
      <c r="K157" s="33">
        <v>18900</v>
      </c>
      <c r="M157" t="str">
        <f>_xlfn.XLOOKUP(Pipeline_tbl[[#This Row],[Rep_ID]],Dim_Reps!A:A,Dim_Reps!K:K)</f>
        <v>EUR</v>
      </c>
      <c r="N157" s="33">
        <f>(_xlfn.XLOOKUP(Pipeline_tbl[[#This Row],[Rate_Code_Generalized]],Lookups!A:A,Lookups!B:B))*Pipeline_tbl[[#This Row],[Pipeline_Amount_USD]]</f>
        <v>18900</v>
      </c>
      <c r="O157" t="str">
        <f>_xlfn.XLOOKUP(Pipeline_tbl[[#This Row],[Rep_ID]],Dim_Reps!A:A,Dim_Reps!B:B)</f>
        <v>Ana Kim</v>
      </c>
      <c r="P157" t="str">
        <f>_xlfn.XLOOKUP(Pipeline_tbl[[#This Row],[Rep_ID]],Dim_Reps!A:A,Dim_Reps!C:C)</f>
        <v>Mid-Market AE</v>
      </c>
      <c r="Q157" t="str">
        <f>_xlfn.XLOOKUP(Pipeline_tbl[[#This Row],[Rep_ID]],Dim_Reps!A:A,Dim_Reps!D:D)</f>
        <v>Mid-Market</v>
      </c>
      <c r="R157" t="str">
        <f>_xlfn.XLOOKUP(Pipeline_tbl[[#This Row],[Rep_ID]],Dim_Reps!A:A,Dim_Reps!E:E)</f>
        <v>APAC</v>
      </c>
      <c r="S157" t="str">
        <f>_xlfn.XLOOKUP(Pipeline_tbl[[#This Row],[Created_Date]],Dim_Date!A:A,Dim_Date!H:H)</f>
        <v>Sep 2025</v>
      </c>
      <c r="T157" t="str">
        <f>IF(Pipeline_tbl[[#This Row],[Closed_Date]]=0,"",(_xlfn.XLOOKUP(Pipeline_tbl[[#This Row],[Closed_Date]],Dim_Date!A:A,Dim_Date!H:H)))</f>
        <v>Oct 2025</v>
      </c>
      <c r="U157">
        <f>IF(Pipeline_tbl[[#This Row],[Closed_Date]]=0,"",Pipeline_tbl[[#This Row],[Closed_Date]]-Pipeline_tbl[[#This Row],[Created_Date]])</f>
        <v>26</v>
      </c>
    </row>
    <row r="158" spans="1:21" ht="15" customHeight="1" x14ac:dyDescent="0.2">
      <c r="A158" t="s">
        <v>464</v>
      </c>
      <c r="B158" t="s">
        <v>257</v>
      </c>
      <c r="C158" t="s">
        <v>54</v>
      </c>
      <c r="D158" s="49">
        <v>45911</v>
      </c>
      <c r="E158" s="49">
        <v>45915</v>
      </c>
      <c r="F158" s="49">
        <v>45922</v>
      </c>
      <c r="G158" s="49">
        <v>45934</v>
      </c>
      <c r="H158" s="49">
        <v>45943</v>
      </c>
      <c r="I158" s="49">
        <v>45949</v>
      </c>
      <c r="J158" t="s">
        <v>49</v>
      </c>
      <c r="K158" s="33">
        <v>8200</v>
      </c>
      <c r="L158" t="s">
        <v>64</v>
      </c>
      <c r="M158" t="str">
        <f>_xlfn.XLOOKUP(Pipeline_tbl[[#This Row],[Rep_ID]],Dim_Reps!A:A,Dim_Reps!K:K)</f>
        <v>EUR</v>
      </c>
      <c r="N158" s="33">
        <f>(_xlfn.XLOOKUP(Pipeline_tbl[[#This Row],[Rate_Code_Generalized]],Lookups!A:A,Lookups!B:B))*Pipeline_tbl[[#This Row],[Pipeline_Amount_USD]]</f>
        <v>8200</v>
      </c>
      <c r="O158" t="str">
        <f>_xlfn.XLOOKUP(Pipeline_tbl[[#This Row],[Rep_ID]],Dim_Reps!A:A,Dim_Reps!B:B)</f>
        <v>Ana Kim</v>
      </c>
      <c r="P158" t="str">
        <f>_xlfn.XLOOKUP(Pipeline_tbl[[#This Row],[Rep_ID]],Dim_Reps!A:A,Dim_Reps!C:C)</f>
        <v>Mid-Market AE</v>
      </c>
      <c r="Q158" t="str">
        <f>_xlfn.XLOOKUP(Pipeline_tbl[[#This Row],[Rep_ID]],Dim_Reps!A:A,Dim_Reps!D:D)</f>
        <v>Mid-Market</v>
      </c>
      <c r="R158" t="str">
        <f>_xlfn.XLOOKUP(Pipeline_tbl[[#This Row],[Rep_ID]],Dim_Reps!A:A,Dim_Reps!E:E)</f>
        <v>APAC</v>
      </c>
      <c r="S158" t="str">
        <f>_xlfn.XLOOKUP(Pipeline_tbl[[#This Row],[Created_Date]],Dim_Date!A:A,Dim_Date!H:H)</f>
        <v>Sep 2025</v>
      </c>
      <c r="T158" t="str">
        <f>IF(Pipeline_tbl[[#This Row],[Closed_Date]]=0,"",(_xlfn.XLOOKUP(Pipeline_tbl[[#This Row],[Closed_Date]],Dim_Date!A:A,Dim_Date!H:H)))</f>
        <v>Oct 2025</v>
      </c>
      <c r="U158">
        <f>IF(Pipeline_tbl[[#This Row],[Closed_Date]]=0,"",Pipeline_tbl[[#This Row],[Closed_Date]]-Pipeline_tbl[[#This Row],[Created_Date]])</f>
        <v>38</v>
      </c>
    </row>
    <row r="159" spans="1:21" ht="15" customHeight="1" x14ac:dyDescent="0.2">
      <c r="A159" t="s">
        <v>465</v>
      </c>
      <c r="B159" t="s">
        <v>257</v>
      </c>
      <c r="C159" t="s">
        <v>53</v>
      </c>
      <c r="D159" s="49">
        <v>45903</v>
      </c>
      <c r="E159" s="49">
        <v>45906</v>
      </c>
      <c r="F159" s="49">
        <v>45911</v>
      </c>
      <c r="G159" s="49">
        <v>45920</v>
      </c>
      <c r="I159" s="49">
        <v>45931</v>
      </c>
      <c r="J159" t="s">
        <v>49</v>
      </c>
      <c r="K159" s="33">
        <v>19900</v>
      </c>
      <c r="L159" t="s">
        <v>62</v>
      </c>
      <c r="M159" t="str">
        <f>_xlfn.XLOOKUP(Pipeline_tbl[[#This Row],[Rep_ID]],Dim_Reps!A:A,Dim_Reps!K:K)</f>
        <v>EUR</v>
      </c>
      <c r="N159" s="33">
        <f>(_xlfn.XLOOKUP(Pipeline_tbl[[#This Row],[Rate_Code_Generalized]],Lookups!A:A,Lookups!B:B))*Pipeline_tbl[[#This Row],[Pipeline_Amount_USD]]</f>
        <v>19900</v>
      </c>
      <c r="O159" t="str">
        <f>_xlfn.XLOOKUP(Pipeline_tbl[[#This Row],[Rep_ID]],Dim_Reps!A:A,Dim_Reps!B:B)</f>
        <v>Ana Kim</v>
      </c>
      <c r="P159" t="str">
        <f>_xlfn.XLOOKUP(Pipeline_tbl[[#This Row],[Rep_ID]],Dim_Reps!A:A,Dim_Reps!C:C)</f>
        <v>Mid-Market AE</v>
      </c>
      <c r="Q159" t="str">
        <f>_xlfn.XLOOKUP(Pipeline_tbl[[#This Row],[Rep_ID]],Dim_Reps!A:A,Dim_Reps!D:D)</f>
        <v>Mid-Market</v>
      </c>
      <c r="R159" t="str">
        <f>_xlfn.XLOOKUP(Pipeline_tbl[[#This Row],[Rep_ID]],Dim_Reps!A:A,Dim_Reps!E:E)</f>
        <v>APAC</v>
      </c>
      <c r="S159" t="str">
        <f>_xlfn.XLOOKUP(Pipeline_tbl[[#This Row],[Created_Date]],Dim_Date!A:A,Dim_Date!H:H)</f>
        <v>Sep 2025</v>
      </c>
      <c r="T159" t="str">
        <f>IF(Pipeline_tbl[[#This Row],[Closed_Date]]=0,"",(_xlfn.XLOOKUP(Pipeline_tbl[[#This Row],[Closed_Date]],Dim_Date!A:A,Dim_Date!H:H)))</f>
        <v>Oct 2025</v>
      </c>
      <c r="U159">
        <f>IF(Pipeline_tbl[[#This Row],[Closed_Date]]=0,"",Pipeline_tbl[[#This Row],[Closed_Date]]-Pipeline_tbl[[#This Row],[Created_Date]])</f>
        <v>28</v>
      </c>
    </row>
    <row r="160" spans="1:21" ht="15" customHeight="1" x14ac:dyDescent="0.2">
      <c r="A160" t="s">
        <v>466</v>
      </c>
      <c r="B160" t="s">
        <v>257</v>
      </c>
      <c r="C160" t="s">
        <v>52</v>
      </c>
      <c r="D160" s="49">
        <v>45915</v>
      </c>
      <c r="E160" s="49">
        <v>45917</v>
      </c>
      <c r="F160" s="49">
        <v>45922</v>
      </c>
      <c r="G160" s="49">
        <v>45928</v>
      </c>
      <c r="I160" s="49">
        <v>45937</v>
      </c>
      <c r="J160" t="s">
        <v>49</v>
      </c>
      <c r="K160" s="33">
        <v>7400</v>
      </c>
      <c r="L160" t="s">
        <v>60</v>
      </c>
      <c r="M160" t="str">
        <f>_xlfn.XLOOKUP(Pipeline_tbl[[#This Row],[Rep_ID]],Dim_Reps!A:A,Dim_Reps!K:K)</f>
        <v>EUR</v>
      </c>
      <c r="N160" s="33">
        <f>(_xlfn.XLOOKUP(Pipeline_tbl[[#This Row],[Rate_Code_Generalized]],Lookups!A:A,Lookups!B:B))*Pipeline_tbl[[#This Row],[Pipeline_Amount_USD]]</f>
        <v>7400</v>
      </c>
      <c r="O160" t="str">
        <f>_xlfn.XLOOKUP(Pipeline_tbl[[#This Row],[Rep_ID]],Dim_Reps!A:A,Dim_Reps!B:B)</f>
        <v>Ana Kim</v>
      </c>
      <c r="P160" t="str">
        <f>_xlfn.XLOOKUP(Pipeline_tbl[[#This Row],[Rep_ID]],Dim_Reps!A:A,Dim_Reps!C:C)</f>
        <v>Mid-Market AE</v>
      </c>
      <c r="Q160" t="str">
        <f>_xlfn.XLOOKUP(Pipeline_tbl[[#This Row],[Rep_ID]],Dim_Reps!A:A,Dim_Reps!D:D)</f>
        <v>Mid-Market</v>
      </c>
      <c r="R160" t="str">
        <f>_xlfn.XLOOKUP(Pipeline_tbl[[#This Row],[Rep_ID]],Dim_Reps!A:A,Dim_Reps!E:E)</f>
        <v>APAC</v>
      </c>
      <c r="S160" t="str">
        <f>_xlfn.XLOOKUP(Pipeline_tbl[[#This Row],[Created_Date]],Dim_Date!A:A,Dim_Date!H:H)</f>
        <v>Sep 2025</v>
      </c>
      <c r="T160" t="str">
        <f>IF(Pipeline_tbl[[#This Row],[Closed_Date]]=0,"",(_xlfn.XLOOKUP(Pipeline_tbl[[#This Row],[Closed_Date]],Dim_Date!A:A,Dim_Date!H:H)))</f>
        <v>Oct 2025</v>
      </c>
      <c r="U160">
        <f>IF(Pipeline_tbl[[#This Row],[Closed_Date]]=0,"",Pipeline_tbl[[#This Row],[Closed_Date]]-Pipeline_tbl[[#This Row],[Created_Date]])</f>
        <v>22</v>
      </c>
    </row>
    <row r="161" spans="1:21" ht="15" customHeight="1" x14ac:dyDescent="0.2">
      <c r="A161" t="s">
        <v>467</v>
      </c>
      <c r="B161" t="s">
        <v>257</v>
      </c>
      <c r="C161" t="s">
        <v>55</v>
      </c>
      <c r="D161" s="49">
        <v>45912</v>
      </c>
      <c r="E161" s="49">
        <v>45916</v>
      </c>
      <c r="F161" s="49">
        <v>45924</v>
      </c>
      <c r="G161" s="49">
        <v>45937</v>
      </c>
      <c r="H161" s="49">
        <v>45947</v>
      </c>
      <c r="I161" s="49">
        <v>45953</v>
      </c>
      <c r="J161" t="s">
        <v>49</v>
      </c>
      <c r="K161" s="33">
        <v>12900</v>
      </c>
      <c r="L161" t="s">
        <v>60</v>
      </c>
      <c r="M161" t="str">
        <f>_xlfn.XLOOKUP(Pipeline_tbl[[#This Row],[Rep_ID]],Dim_Reps!A:A,Dim_Reps!K:K)</f>
        <v>EUR</v>
      </c>
      <c r="N161" s="33">
        <f>(_xlfn.XLOOKUP(Pipeline_tbl[[#This Row],[Rate_Code_Generalized]],Lookups!A:A,Lookups!B:B))*Pipeline_tbl[[#This Row],[Pipeline_Amount_USD]]</f>
        <v>12900</v>
      </c>
      <c r="O161" t="str">
        <f>_xlfn.XLOOKUP(Pipeline_tbl[[#This Row],[Rep_ID]],Dim_Reps!A:A,Dim_Reps!B:B)</f>
        <v>Ana Kim</v>
      </c>
      <c r="P161" t="str">
        <f>_xlfn.XLOOKUP(Pipeline_tbl[[#This Row],[Rep_ID]],Dim_Reps!A:A,Dim_Reps!C:C)</f>
        <v>Mid-Market AE</v>
      </c>
      <c r="Q161" t="str">
        <f>_xlfn.XLOOKUP(Pipeline_tbl[[#This Row],[Rep_ID]],Dim_Reps!A:A,Dim_Reps!D:D)</f>
        <v>Mid-Market</v>
      </c>
      <c r="R161" t="str">
        <f>_xlfn.XLOOKUP(Pipeline_tbl[[#This Row],[Rep_ID]],Dim_Reps!A:A,Dim_Reps!E:E)</f>
        <v>APAC</v>
      </c>
      <c r="S161" t="str">
        <f>_xlfn.XLOOKUP(Pipeline_tbl[[#This Row],[Created_Date]],Dim_Date!A:A,Dim_Date!H:H)</f>
        <v>Sep 2025</v>
      </c>
      <c r="T161" t="str">
        <f>IF(Pipeline_tbl[[#This Row],[Closed_Date]]=0,"",(_xlfn.XLOOKUP(Pipeline_tbl[[#This Row],[Closed_Date]],Dim_Date!A:A,Dim_Date!H:H)))</f>
        <v>Oct 2025</v>
      </c>
      <c r="U161">
        <f>IF(Pipeline_tbl[[#This Row],[Closed_Date]]=0,"",Pipeline_tbl[[#This Row],[Closed_Date]]-Pipeline_tbl[[#This Row],[Created_Date]])</f>
        <v>41</v>
      </c>
    </row>
    <row r="162" spans="1:21" ht="15" customHeight="1" x14ac:dyDescent="0.2">
      <c r="A162" t="s">
        <v>468</v>
      </c>
      <c r="B162" t="s">
        <v>259</v>
      </c>
      <c r="C162" t="s">
        <v>52</v>
      </c>
      <c r="D162" s="49">
        <v>45905</v>
      </c>
      <c r="E162" s="49">
        <v>45909</v>
      </c>
      <c r="F162" s="49">
        <v>45919</v>
      </c>
      <c r="I162" s="49">
        <v>45950</v>
      </c>
      <c r="J162" t="s">
        <v>49</v>
      </c>
      <c r="K162" s="33">
        <v>12300</v>
      </c>
      <c r="L162" t="s">
        <v>60</v>
      </c>
      <c r="M162" t="str">
        <f>_xlfn.XLOOKUP(Pipeline_tbl[[#This Row],[Rep_ID]],Dim_Reps!A:A,Dim_Reps!K:K)</f>
        <v>EUR</v>
      </c>
      <c r="N162" s="33">
        <f>(_xlfn.XLOOKUP(Pipeline_tbl[[#This Row],[Rate_Code_Generalized]],Lookups!A:A,Lookups!B:B))*Pipeline_tbl[[#This Row],[Pipeline_Amount_USD]]</f>
        <v>12300</v>
      </c>
      <c r="O162" t="str">
        <f>_xlfn.XLOOKUP(Pipeline_tbl[[#This Row],[Rep_ID]],Dim_Reps!A:A,Dim_Reps!B:B)</f>
        <v>Felix Okafor</v>
      </c>
      <c r="P162" t="str">
        <f>_xlfn.XLOOKUP(Pipeline_tbl[[#This Row],[Rep_ID]],Dim_Reps!A:A,Dim_Reps!C:C)</f>
        <v>Mid-Market AE</v>
      </c>
      <c r="Q162" t="str">
        <f>_xlfn.XLOOKUP(Pipeline_tbl[[#This Row],[Rep_ID]],Dim_Reps!A:A,Dim_Reps!D:D)</f>
        <v>Mid-Market</v>
      </c>
      <c r="R162" t="str">
        <f>_xlfn.XLOOKUP(Pipeline_tbl[[#This Row],[Rep_ID]],Dim_Reps!A:A,Dim_Reps!E:E)</f>
        <v>EMEA</v>
      </c>
      <c r="S162" t="str">
        <f>_xlfn.XLOOKUP(Pipeline_tbl[[#This Row],[Created_Date]],Dim_Date!A:A,Dim_Date!H:H)</f>
        <v>Sep 2025</v>
      </c>
      <c r="T162" t="str">
        <f>IF(Pipeline_tbl[[#This Row],[Closed_Date]]=0,"",(_xlfn.XLOOKUP(Pipeline_tbl[[#This Row],[Closed_Date]],Dim_Date!A:A,Dim_Date!H:H)))</f>
        <v>Oct 2025</v>
      </c>
      <c r="U162">
        <f>IF(Pipeline_tbl[[#This Row],[Closed_Date]]=0,"",Pipeline_tbl[[#This Row],[Closed_Date]]-Pipeline_tbl[[#This Row],[Created_Date]])</f>
        <v>45</v>
      </c>
    </row>
    <row r="163" spans="1:21" ht="15" customHeight="1" x14ac:dyDescent="0.2">
      <c r="A163" t="s">
        <v>469</v>
      </c>
      <c r="B163" t="s">
        <v>259</v>
      </c>
      <c r="C163" t="s">
        <v>52</v>
      </c>
      <c r="D163" s="49">
        <v>45927</v>
      </c>
      <c r="E163" s="49">
        <v>45930</v>
      </c>
      <c r="F163" s="49">
        <v>45937</v>
      </c>
      <c r="I163" s="49">
        <v>45961</v>
      </c>
      <c r="J163" t="s">
        <v>49</v>
      </c>
      <c r="K163" s="33">
        <v>11700</v>
      </c>
      <c r="L163" t="s">
        <v>60</v>
      </c>
      <c r="M163" t="str">
        <f>_xlfn.XLOOKUP(Pipeline_tbl[[#This Row],[Rep_ID]],Dim_Reps!A:A,Dim_Reps!K:K)</f>
        <v>EUR</v>
      </c>
      <c r="N163" s="33">
        <f>(_xlfn.XLOOKUP(Pipeline_tbl[[#This Row],[Rate_Code_Generalized]],Lookups!A:A,Lookups!B:B))*Pipeline_tbl[[#This Row],[Pipeline_Amount_USD]]</f>
        <v>11700</v>
      </c>
      <c r="O163" t="str">
        <f>_xlfn.XLOOKUP(Pipeline_tbl[[#This Row],[Rep_ID]],Dim_Reps!A:A,Dim_Reps!B:B)</f>
        <v>Felix Okafor</v>
      </c>
      <c r="P163" t="str">
        <f>_xlfn.XLOOKUP(Pipeline_tbl[[#This Row],[Rep_ID]],Dim_Reps!A:A,Dim_Reps!C:C)</f>
        <v>Mid-Market AE</v>
      </c>
      <c r="Q163" t="str">
        <f>_xlfn.XLOOKUP(Pipeline_tbl[[#This Row],[Rep_ID]],Dim_Reps!A:A,Dim_Reps!D:D)</f>
        <v>Mid-Market</v>
      </c>
      <c r="R163" t="str">
        <f>_xlfn.XLOOKUP(Pipeline_tbl[[#This Row],[Rep_ID]],Dim_Reps!A:A,Dim_Reps!E:E)</f>
        <v>EMEA</v>
      </c>
      <c r="S163" t="str">
        <f>_xlfn.XLOOKUP(Pipeline_tbl[[#This Row],[Created_Date]],Dim_Date!A:A,Dim_Date!H:H)</f>
        <v>Sep 2025</v>
      </c>
      <c r="T163" t="str">
        <f>IF(Pipeline_tbl[[#This Row],[Closed_Date]]=0,"",(_xlfn.XLOOKUP(Pipeline_tbl[[#This Row],[Closed_Date]],Dim_Date!A:A,Dim_Date!H:H)))</f>
        <v>Oct 2025</v>
      </c>
      <c r="U163">
        <f>IF(Pipeline_tbl[[#This Row],[Closed_Date]]=0,"",Pipeline_tbl[[#This Row],[Closed_Date]]-Pipeline_tbl[[#This Row],[Created_Date]])</f>
        <v>34</v>
      </c>
    </row>
    <row r="164" spans="1:21" ht="15" customHeight="1" x14ac:dyDescent="0.2">
      <c r="A164" t="s">
        <v>470</v>
      </c>
      <c r="B164" t="s">
        <v>259</v>
      </c>
      <c r="C164" t="s">
        <v>53</v>
      </c>
      <c r="D164" s="49">
        <v>45921</v>
      </c>
      <c r="E164" s="49">
        <v>45924</v>
      </c>
      <c r="F164" s="49">
        <v>45929</v>
      </c>
      <c r="G164" s="49">
        <v>45938</v>
      </c>
      <c r="H164" s="49">
        <v>45945</v>
      </c>
      <c r="I164" s="49">
        <v>45949</v>
      </c>
      <c r="J164" t="s">
        <v>47</v>
      </c>
      <c r="K164" s="33">
        <v>5800</v>
      </c>
      <c r="M164" t="str">
        <f>_xlfn.XLOOKUP(Pipeline_tbl[[#This Row],[Rep_ID]],Dim_Reps!A:A,Dim_Reps!K:K)</f>
        <v>EUR</v>
      </c>
      <c r="N164" s="33">
        <f>(_xlfn.XLOOKUP(Pipeline_tbl[[#This Row],[Rate_Code_Generalized]],Lookups!A:A,Lookups!B:B))*Pipeline_tbl[[#This Row],[Pipeline_Amount_USD]]</f>
        <v>5800</v>
      </c>
      <c r="O164" t="str">
        <f>_xlfn.XLOOKUP(Pipeline_tbl[[#This Row],[Rep_ID]],Dim_Reps!A:A,Dim_Reps!B:B)</f>
        <v>Felix Okafor</v>
      </c>
      <c r="P164" t="str">
        <f>_xlfn.XLOOKUP(Pipeline_tbl[[#This Row],[Rep_ID]],Dim_Reps!A:A,Dim_Reps!C:C)</f>
        <v>Mid-Market AE</v>
      </c>
      <c r="Q164" t="str">
        <f>_xlfn.XLOOKUP(Pipeline_tbl[[#This Row],[Rep_ID]],Dim_Reps!A:A,Dim_Reps!D:D)</f>
        <v>Mid-Market</v>
      </c>
      <c r="R164" t="str">
        <f>_xlfn.XLOOKUP(Pipeline_tbl[[#This Row],[Rep_ID]],Dim_Reps!A:A,Dim_Reps!E:E)</f>
        <v>EMEA</v>
      </c>
      <c r="S164" t="str">
        <f>_xlfn.XLOOKUP(Pipeline_tbl[[#This Row],[Created_Date]],Dim_Date!A:A,Dim_Date!H:H)</f>
        <v>Sep 2025</v>
      </c>
      <c r="T164" t="str">
        <f>IF(Pipeline_tbl[[#This Row],[Closed_Date]]=0,"",(_xlfn.XLOOKUP(Pipeline_tbl[[#This Row],[Closed_Date]],Dim_Date!A:A,Dim_Date!H:H)))</f>
        <v>Oct 2025</v>
      </c>
      <c r="U164">
        <f>IF(Pipeline_tbl[[#This Row],[Closed_Date]]=0,"",Pipeline_tbl[[#This Row],[Closed_Date]]-Pipeline_tbl[[#This Row],[Created_Date]])</f>
        <v>28</v>
      </c>
    </row>
    <row r="165" spans="1:21" ht="15" customHeight="1" x14ac:dyDescent="0.2">
      <c r="A165" t="s">
        <v>471</v>
      </c>
      <c r="B165" t="s">
        <v>259</v>
      </c>
      <c r="C165" t="s">
        <v>54</v>
      </c>
      <c r="D165" s="49">
        <v>45908</v>
      </c>
      <c r="E165" s="49">
        <v>45912</v>
      </c>
      <c r="F165" s="49">
        <v>45919</v>
      </c>
      <c r="G165" s="49">
        <v>45930</v>
      </c>
      <c r="H165" s="49">
        <v>45939</v>
      </c>
      <c r="I165" s="49">
        <v>45944</v>
      </c>
      <c r="J165" t="s">
        <v>47</v>
      </c>
      <c r="K165" s="33">
        <v>11800</v>
      </c>
      <c r="M165" t="str">
        <f>_xlfn.XLOOKUP(Pipeline_tbl[[#This Row],[Rep_ID]],Dim_Reps!A:A,Dim_Reps!K:K)</f>
        <v>EUR</v>
      </c>
      <c r="N165" s="33">
        <f>(_xlfn.XLOOKUP(Pipeline_tbl[[#This Row],[Rate_Code_Generalized]],Lookups!A:A,Lookups!B:B))*Pipeline_tbl[[#This Row],[Pipeline_Amount_USD]]</f>
        <v>11800</v>
      </c>
      <c r="O165" t="str">
        <f>_xlfn.XLOOKUP(Pipeline_tbl[[#This Row],[Rep_ID]],Dim_Reps!A:A,Dim_Reps!B:B)</f>
        <v>Felix Okafor</v>
      </c>
      <c r="P165" t="str">
        <f>_xlfn.XLOOKUP(Pipeline_tbl[[#This Row],[Rep_ID]],Dim_Reps!A:A,Dim_Reps!C:C)</f>
        <v>Mid-Market AE</v>
      </c>
      <c r="Q165" t="str">
        <f>_xlfn.XLOOKUP(Pipeline_tbl[[#This Row],[Rep_ID]],Dim_Reps!A:A,Dim_Reps!D:D)</f>
        <v>Mid-Market</v>
      </c>
      <c r="R165" t="str">
        <f>_xlfn.XLOOKUP(Pipeline_tbl[[#This Row],[Rep_ID]],Dim_Reps!A:A,Dim_Reps!E:E)</f>
        <v>EMEA</v>
      </c>
      <c r="S165" t="str">
        <f>_xlfn.XLOOKUP(Pipeline_tbl[[#This Row],[Created_Date]],Dim_Date!A:A,Dim_Date!H:H)</f>
        <v>Sep 2025</v>
      </c>
      <c r="T165" t="str">
        <f>IF(Pipeline_tbl[[#This Row],[Closed_Date]]=0,"",(_xlfn.XLOOKUP(Pipeline_tbl[[#This Row],[Closed_Date]],Dim_Date!A:A,Dim_Date!H:H)))</f>
        <v>Oct 2025</v>
      </c>
      <c r="U165">
        <f>IF(Pipeline_tbl[[#This Row],[Closed_Date]]=0,"",Pipeline_tbl[[#This Row],[Closed_Date]]-Pipeline_tbl[[#This Row],[Created_Date]])</f>
        <v>36</v>
      </c>
    </row>
    <row r="166" spans="1:21" ht="15" customHeight="1" x14ac:dyDescent="0.2">
      <c r="A166" t="s">
        <v>472</v>
      </c>
      <c r="B166" t="s">
        <v>259</v>
      </c>
      <c r="C166" t="s">
        <v>52</v>
      </c>
      <c r="D166" s="49">
        <v>45903</v>
      </c>
      <c r="E166" s="49">
        <v>45908</v>
      </c>
      <c r="F166" s="49">
        <v>45918</v>
      </c>
      <c r="G166" s="49">
        <v>45934</v>
      </c>
      <c r="H166" s="49">
        <v>45946</v>
      </c>
      <c r="I166" s="49">
        <v>45954</v>
      </c>
      <c r="J166" t="s">
        <v>49</v>
      </c>
      <c r="K166" s="33">
        <v>13800</v>
      </c>
      <c r="L166" t="s">
        <v>62</v>
      </c>
      <c r="M166" t="str">
        <f>_xlfn.XLOOKUP(Pipeline_tbl[[#This Row],[Rep_ID]],Dim_Reps!A:A,Dim_Reps!K:K)</f>
        <v>EUR</v>
      </c>
      <c r="N166" s="33">
        <f>(_xlfn.XLOOKUP(Pipeline_tbl[[#This Row],[Rate_Code_Generalized]],Lookups!A:A,Lookups!B:B))*Pipeline_tbl[[#This Row],[Pipeline_Amount_USD]]</f>
        <v>13800</v>
      </c>
      <c r="O166" t="str">
        <f>_xlfn.XLOOKUP(Pipeline_tbl[[#This Row],[Rep_ID]],Dim_Reps!A:A,Dim_Reps!B:B)</f>
        <v>Felix Okafor</v>
      </c>
      <c r="P166" t="str">
        <f>_xlfn.XLOOKUP(Pipeline_tbl[[#This Row],[Rep_ID]],Dim_Reps!A:A,Dim_Reps!C:C)</f>
        <v>Mid-Market AE</v>
      </c>
      <c r="Q166" t="str">
        <f>_xlfn.XLOOKUP(Pipeline_tbl[[#This Row],[Rep_ID]],Dim_Reps!A:A,Dim_Reps!D:D)</f>
        <v>Mid-Market</v>
      </c>
      <c r="R166" t="str">
        <f>_xlfn.XLOOKUP(Pipeline_tbl[[#This Row],[Rep_ID]],Dim_Reps!A:A,Dim_Reps!E:E)</f>
        <v>EMEA</v>
      </c>
      <c r="S166" t="str">
        <f>_xlfn.XLOOKUP(Pipeline_tbl[[#This Row],[Created_Date]],Dim_Date!A:A,Dim_Date!H:H)</f>
        <v>Sep 2025</v>
      </c>
      <c r="T166" t="str">
        <f>IF(Pipeline_tbl[[#This Row],[Closed_Date]]=0,"",(_xlfn.XLOOKUP(Pipeline_tbl[[#This Row],[Closed_Date]],Dim_Date!A:A,Dim_Date!H:H)))</f>
        <v>Oct 2025</v>
      </c>
      <c r="U166">
        <f>IF(Pipeline_tbl[[#This Row],[Closed_Date]]=0,"",Pipeline_tbl[[#This Row],[Closed_Date]]-Pipeline_tbl[[#This Row],[Created_Date]])</f>
        <v>51</v>
      </c>
    </row>
    <row r="167" spans="1:21" ht="15" customHeight="1" x14ac:dyDescent="0.2">
      <c r="A167" t="s">
        <v>473</v>
      </c>
      <c r="B167" t="s">
        <v>223</v>
      </c>
      <c r="C167" t="s">
        <v>52</v>
      </c>
      <c r="D167" s="49">
        <v>45921</v>
      </c>
      <c r="E167" s="49">
        <v>45923</v>
      </c>
      <c r="I167" s="49">
        <v>45942</v>
      </c>
      <c r="J167" t="s">
        <v>49</v>
      </c>
      <c r="K167" s="33">
        <v>2900</v>
      </c>
      <c r="L167" t="s">
        <v>62</v>
      </c>
      <c r="M167" t="str">
        <f>_xlfn.XLOOKUP(Pipeline_tbl[[#This Row],[Rep_ID]],Dim_Reps!A:A,Dim_Reps!K:K)</f>
        <v>MXN</v>
      </c>
      <c r="N167" s="33">
        <f>(_xlfn.XLOOKUP(Pipeline_tbl[[#This Row],[Rate_Code_Generalized]],Lookups!A:A,Lookups!B:B))*Pipeline_tbl[[#This Row],[Pipeline_Amount_USD]]</f>
        <v>57224.83</v>
      </c>
      <c r="O167" t="str">
        <f>_xlfn.XLOOKUP(Pipeline_tbl[[#This Row],[Rep_ID]],Dim_Reps!A:A,Dim_Reps!B:B)</f>
        <v>Lea Petrov</v>
      </c>
      <c r="P167" t="str">
        <f>_xlfn.XLOOKUP(Pipeline_tbl[[#This Row],[Rep_ID]],Dim_Reps!A:A,Dim_Reps!C:C)</f>
        <v>SDR / Inside Sales Rep</v>
      </c>
      <c r="Q167" t="str">
        <f>_xlfn.XLOOKUP(Pipeline_tbl[[#This Row],[Rep_ID]],Dim_Reps!A:A,Dim_Reps!D:D)</f>
        <v>Inside Sales</v>
      </c>
      <c r="R167" t="str">
        <f>_xlfn.XLOOKUP(Pipeline_tbl[[#This Row],[Rep_ID]],Dim_Reps!A:A,Dim_Reps!E:E)</f>
        <v>LATAM</v>
      </c>
      <c r="S167" t="str">
        <f>_xlfn.XLOOKUP(Pipeline_tbl[[#This Row],[Created_Date]],Dim_Date!A:A,Dim_Date!H:H)</f>
        <v>Sep 2025</v>
      </c>
      <c r="T167" t="str">
        <f>IF(Pipeline_tbl[[#This Row],[Closed_Date]]=0,"",(_xlfn.XLOOKUP(Pipeline_tbl[[#This Row],[Closed_Date]],Dim_Date!A:A,Dim_Date!H:H)))</f>
        <v>Oct 2025</v>
      </c>
      <c r="U167">
        <f>IF(Pipeline_tbl[[#This Row],[Closed_Date]]=0,"",Pipeline_tbl[[#This Row],[Closed_Date]]-Pipeline_tbl[[#This Row],[Created_Date]])</f>
        <v>21</v>
      </c>
    </row>
    <row r="168" spans="1:21" ht="15" customHeight="1" x14ac:dyDescent="0.2">
      <c r="A168" t="s">
        <v>474</v>
      </c>
      <c r="B168" t="s">
        <v>223</v>
      </c>
      <c r="C168" t="s">
        <v>53</v>
      </c>
      <c r="D168" s="49">
        <v>45923</v>
      </c>
      <c r="E168" s="49">
        <v>45925</v>
      </c>
      <c r="F168" s="49">
        <v>45929</v>
      </c>
      <c r="G168" s="49">
        <v>45936</v>
      </c>
      <c r="H168" s="49">
        <v>45941</v>
      </c>
      <c r="I168" s="49">
        <v>45944</v>
      </c>
      <c r="J168" t="s">
        <v>49</v>
      </c>
      <c r="K168" s="33">
        <v>2200</v>
      </c>
      <c r="L168" t="s">
        <v>62</v>
      </c>
      <c r="M168" t="str">
        <f>_xlfn.XLOOKUP(Pipeline_tbl[[#This Row],[Rep_ID]],Dim_Reps!A:A,Dim_Reps!K:K)</f>
        <v>MXN</v>
      </c>
      <c r="N168" s="33">
        <f>(_xlfn.XLOOKUP(Pipeline_tbl[[#This Row],[Rate_Code_Generalized]],Lookups!A:A,Lookups!B:B))*Pipeline_tbl[[#This Row],[Pipeline_Amount_USD]]</f>
        <v>43411.94</v>
      </c>
      <c r="O168" t="str">
        <f>_xlfn.XLOOKUP(Pipeline_tbl[[#This Row],[Rep_ID]],Dim_Reps!A:A,Dim_Reps!B:B)</f>
        <v>Lea Petrov</v>
      </c>
      <c r="P168" t="str">
        <f>_xlfn.XLOOKUP(Pipeline_tbl[[#This Row],[Rep_ID]],Dim_Reps!A:A,Dim_Reps!C:C)</f>
        <v>SDR / Inside Sales Rep</v>
      </c>
      <c r="Q168" t="str">
        <f>_xlfn.XLOOKUP(Pipeline_tbl[[#This Row],[Rep_ID]],Dim_Reps!A:A,Dim_Reps!D:D)</f>
        <v>Inside Sales</v>
      </c>
      <c r="R168" t="str">
        <f>_xlfn.XLOOKUP(Pipeline_tbl[[#This Row],[Rep_ID]],Dim_Reps!A:A,Dim_Reps!E:E)</f>
        <v>LATAM</v>
      </c>
      <c r="S168" t="str">
        <f>_xlfn.XLOOKUP(Pipeline_tbl[[#This Row],[Created_Date]],Dim_Date!A:A,Dim_Date!H:H)</f>
        <v>Sep 2025</v>
      </c>
      <c r="T168" t="str">
        <f>IF(Pipeline_tbl[[#This Row],[Closed_Date]]=0,"",(_xlfn.XLOOKUP(Pipeline_tbl[[#This Row],[Closed_Date]],Dim_Date!A:A,Dim_Date!H:H)))</f>
        <v>Oct 2025</v>
      </c>
      <c r="U168">
        <f>IF(Pipeline_tbl[[#This Row],[Closed_Date]]=0,"",Pipeline_tbl[[#This Row],[Closed_Date]]-Pipeline_tbl[[#This Row],[Created_Date]])</f>
        <v>21</v>
      </c>
    </row>
    <row r="169" spans="1:21" ht="15" customHeight="1" x14ac:dyDescent="0.2">
      <c r="A169" t="s">
        <v>475</v>
      </c>
      <c r="B169" t="s">
        <v>223</v>
      </c>
      <c r="C169" t="s">
        <v>53</v>
      </c>
      <c r="D169" s="49">
        <v>45916</v>
      </c>
      <c r="E169" s="49">
        <v>45918</v>
      </c>
      <c r="F169" s="49">
        <v>45921</v>
      </c>
      <c r="G169" s="49">
        <v>45925</v>
      </c>
      <c r="I169" s="49">
        <v>45931</v>
      </c>
      <c r="J169" t="s">
        <v>49</v>
      </c>
      <c r="K169" s="33">
        <v>5800</v>
      </c>
      <c r="L169" t="s">
        <v>64</v>
      </c>
      <c r="M169" t="str">
        <f>_xlfn.XLOOKUP(Pipeline_tbl[[#This Row],[Rep_ID]],Dim_Reps!A:A,Dim_Reps!K:K)</f>
        <v>MXN</v>
      </c>
      <c r="N169" s="33">
        <f>(_xlfn.XLOOKUP(Pipeline_tbl[[#This Row],[Rate_Code_Generalized]],Lookups!A:A,Lookups!B:B))*Pipeline_tbl[[#This Row],[Pipeline_Amount_USD]]</f>
        <v>114449.66</v>
      </c>
      <c r="O169" t="str">
        <f>_xlfn.XLOOKUP(Pipeline_tbl[[#This Row],[Rep_ID]],Dim_Reps!A:A,Dim_Reps!B:B)</f>
        <v>Lea Petrov</v>
      </c>
      <c r="P169" t="str">
        <f>_xlfn.XLOOKUP(Pipeline_tbl[[#This Row],[Rep_ID]],Dim_Reps!A:A,Dim_Reps!C:C)</f>
        <v>SDR / Inside Sales Rep</v>
      </c>
      <c r="Q169" t="str">
        <f>_xlfn.XLOOKUP(Pipeline_tbl[[#This Row],[Rep_ID]],Dim_Reps!A:A,Dim_Reps!D:D)</f>
        <v>Inside Sales</v>
      </c>
      <c r="R169" t="str">
        <f>_xlfn.XLOOKUP(Pipeline_tbl[[#This Row],[Rep_ID]],Dim_Reps!A:A,Dim_Reps!E:E)</f>
        <v>LATAM</v>
      </c>
      <c r="S169" t="str">
        <f>_xlfn.XLOOKUP(Pipeline_tbl[[#This Row],[Created_Date]],Dim_Date!A:A,Dim_Date!H:H)</f>
        <v>Sep 2025</v>
      </c>
      <c r="T169" t="str">
        <f>IF(Pipeline_tbl[[#This Row],[Closed_Date]]=0,"",(_xlfn.XLOOKUP(Pipeline_tbl[[#This Row],[Closed_Date]],Dim_Date!A:A,Dim_Date!H:H)))</f>
        <v>Oct 2025</v>
      </c>
      <c r="U169">
        <f>IF(Pipeline_tbl[[#This Row],[Closed_Date]]=0,"",Pipeline_tbl[[#This Row],[Closed_Date]]-Pipeline_tbl[[#This Row],[Created_Date]])</f>
        <v>15</v>
      </c>
    </row>
    <row r="170" spans="1:21" ht="15" customHeight="1" x14ac:dyDescent="0.2">
      <c r="A170" t="s">
        <v>476</v>
      </c>
      <c r="B170" t="s">
        <v>223</v>
      </c>
      <c r="C170" t="s">
        <v>52</v>
      </c>
      <c r="D170" s="49">
        <v>45928</v>
      </c>
      <c r="E170" s="49">
        <v>45930</v>
      </c>
      <c r="F170" s="49">
        <v>45934</v>
      </c>
      <c r="G170" s="49">
        <v>45940</v>
      </c>
      <c r="I170" s="49">
        <v>45948</v>
      </c>
      <c r="J170" t="s">
        <v>49</v>
      </c>
      <c r="K170" s="33">
        <v>3400</v>
      </c>
      <c r="L170" t="s">
        <v>61</v>
      </c>
      <c r="M170" t="str">
        <f>_xlfn.XLOOKUP(Pipeline_tbl[[#This Row],[Rep_ID]],Dim_Reps!A:A,Dim_Reps!K:K)</f>
        <v>MXN</v>
      </c>
      <c r="N170" s="33">
        <f>(_xlfn.XLOOKUP(Pipeline_tbl[[#This Row],[Rate_Code_Generalized]],Lookups!A:A,Lookups!B:B))*Pipeline_tbl[[#This Row],[Pipeline_Amount_USD]]</f>
        <v>67091.180000000008</v>
      </c>
      <c r="O170" t="str">
        <f>_xlfn.XLOOKUP(Pipeline_tbl[[#This Row],[Rep_ID]],Dim_Reps!A:A,Dim_Reps!B:B)</f>
        <v>Lea Petrov</v>
      </c>
      <c r="P170" t="str">
        <f>_xlfn.XLOOKUP(Pipeline_tbl[[#This Row],[Rep_ID]],Dim_Reps!A:A,Dim_Reps!C:C)</f>
        <v>SDR / Inside Sales Rep</v>
      </c>
      <c r="Q170" t="str">
        <f>_xlfn.XLOOKUP(Pipeline_tbl[[#This Row],[Rep_ID]],Dim_Reps!A:A,Dim_Reps!D:D)</f>
        <v>Inside Sales</v>
      </c>
      <c r="R170" t="str">
        <f>_xlfn.XLOOKUP(Pipeline_tbl[[#This Row],[Rep_ID]],Dim_Reps!A:A,Dim_Reps!E:E)</f>
        <v>LATAM</v>
      </c>
      <c r="S170" t="str">
        <f>_xlfn.XLOOKUP(Pipeline_tbl[[#This Row],[Created_Date]],Dim_Date!A:A,Dim_Date!H:H)</f>
        <v>Sep 2025</v>
      </c>
      <c r="T170" t="str">
        <f>IF(Pipeline_tbl[[#This Row],[Closed_Date]]=0,"",(_xlfn.XLOOKUP(Pipeline_tbl[[#This Row],[Closed_Date]],Dim_Date!A:A,Dim_Date!H:H)))</f>
        <v>Oct 2025</v>
      </c>
      <c r="U170">
        <f>IF(Pipeline_tbl[[#This Row],[Closed_Date]]=0,"",Pipeline_tbl[[#This Row],[Closed_Date]]-Pipeline_tbl[[#This Row],[Created_Date]])</f>
        <v>20</v>
      </c>
    </row>
    <row r="171" spans="1:21" ht="15" customHeight="1" x14ac:dyDescent="0.2">
      <c r="A171" t="s">
        <v>477</v>
      </c>
      <c r="B171" t="s">
        <v>223</v>
      </c>
      <c r="C171" t="s">
        <v>52</v>
      </c>
      <c r="D171" s="49">
        <v>45921</v>
      </c>
      <c r="E171" s="49">
        <v>45923</v>
      </c>
      <c r="F171" s="49">
        <v>45928</v>
      </c>
      <c r="G171" s="49">
        <v>45935</v>
      </c>
      <c r="I171" s="49">
        <v>45944</v>
      </c>
      <c r="J171" t="s">
        <v>49</v>
      </c>
      <c r="K171" s="33">
        <v>2100</v>
      </c>
      <c r="L171" t="s">
        <v>61</v>
      </c>
      <c r="M171" t="str">
        <f>_xlfn.XLOOKUP(Pipeline_tbl[[#This Row],[Rep_ID]],Dim_Reps!A:A,Dim_Reps!K:K)</f>
        <v>MXN</v>
      </c>
      <c r="N171" s="33">
        <f>(_xlfn.XLOOKUP(Pipeline_tbl[[#This Row],[Rate_Code_Generalized]],Lookups!A:A,Lookups!B:B))*Pipeline_tbl[[#This Row],[Pipeline_Amount_USD]]</f>
        <v>41438.670000000006</v>
      </c>
      <c r="O171" t="str">
        <f>_xlfn.XLOOKUP(Pipeline_tbl[[#This Row],[Rep_ID]],Dim_Reps!A:A,Dim_Reps!B:B)</f>
        <v>Lea Petrov</v>
      </c>
      <c r="P171" t="str">
        <f>_xlfn.XLOOKUP(Pipeline_tbl[[#This Row],[Rep_ID]],Dim_Reps!A:A,Dim_Reps!C:C)</f>
        <v>SDR / Inside Sales Rep</v>
      </c>
      <c r="Q171" t="str">
        <f>_xlfn.XLOOKUP(Pipeline_tbl[[#This Row],[Rep_ID]],Dim_Reps!A:A,Dim_Reps!D:D)</f>
        <v>Inside Sales</v>
      </c>
      <c r="R171" t="str">
        <f>_xlfn.XLOOKUP(Pipeline_tbl[[#This Row],[Rep_ID]],Dim_Reps!A:A,Dim_Reps!E:E)</f>
        <v>LATAM</v>
      </c>
      <c r="S171" t="str">
        <f>_xlfn.XLOOKUP(Pipeline_tbl[[#This Row],[Created_Date]],Dim_Date!A:A,Dim_Date!H:H)</f>
        <v>Sep 2025</v>
      </c>
      <c r="T171" t="str">
        <f>IF(Pipeline_tbl[[#This Row],[Closed_Date]]=0,"",(_xlfn.XLOOKUP(Pipeline_tbl[[#This Row],[Closed_Date]],Dim_Date!A:A,Dim_Date!H:H)))</f>
        <v>Oct 2025</v>
      </c>
      <c r="U171">
        <f>IF(Pipeline_tbl[[#This Row],[Closed_Date]]=0,"",Pipeline_tbl[[#This Row],[Closed_Date]]-Pipeline_tbl[[#This Row],[Created_Date]])</f>
        <v>23</v>
      </c>
    </row>
    <row r="172" spans="1:21" ht="15" customHeight="1" x14ac:dyDescent="0.2">
      <c r="A172" t="s">
        <v>478</v>
      </c>
      <c r="B172" t="s">
        <v>223</v>
      </c>
      <c r="C172" t="s">
        <v>56</v>
      </c>
      <c r="D172" s="49">
        <v>45926</v>
      </c>
      <c r="E172" s="49">
        <v>45928</v>
      </c>
      <c r="F172" s="49">
        <v>45933</v>
      </c>
      <c r="G172" s="49">
        <v>45940</v>
      </c>
      <c r="H172" s="49">
        <v>45946</v>
      </c>
      <c r="I172" s="49">
        <v>45950</v>
      </c>
      <c r="J172" t="s">
        <v>47</v>
      </c>
      <c r="K172" s="33">
        <v>4700</v>
      </c>
      <c r="M172" t="str">
        <f>_xlfn.XLOOKUP(Pipeline_tbl[[#This Row],[Rep_ID]],Dim_Reps!A:A,Dim_Reps!K:K)</f>
        <v>MXN</v>
      </c>
      <c r="N172" s="33">
        <f>(_xlfn.XLOOKUP(Pipeline_tbl[[#This Row],[Rate_Code_Generalized]],Lookups!A:A,Lookups!B:B))*Pipeline_tbl[[#This Row],[Pipeline_Amount_USD]]</f>
        <v>92743.69</v>
      </c>
      <c r="O172" t="str">
        <f>_xlfn.XLOOKUP(Pipeline_tbl[[#This Row],[Rep_ID]],Dim_Reps!A:A,Dim_Reps!B:B)</f>
        <v>Lea Petrov</v>
      </c>
      <c r="P172" t="str">
        <f>_xlfn.XLOOKUP(Pipeline_tbl[[#This Row],[Rep_ID]],Dim_Reps!A:A,Dim_Reps!C:C)</f>
        <v>SDR / Inside Sales Rep</v>
      </c>
      <c r="Q172" t="str">
        <f>_xlfn.XLOOKUP(Pipeline_tbl[[#This Row],[Rep_ID]],Dim_Reps!A:A,Dim_Reps!D:D)</f>
        <v>Inside Sales</v>
      </c>
      <c r="R172" t="str">
        <f>_xlfn.XLOOKUP(Pipeline_tbl[[#This Row],[Rep_ID]],Dim_Reps!A:A,Dim_Reps!E:E)</f>
        <v>LATAM</v>
      </c>
      <c r="S172" t="str">
        <f>_xlfn.XLOOKUP(Pipeline_tbl[[#This Row],[Created_Date]],Dim_Date!A:A,Dim_Date!H:H)</f>
        <v>Sep 2025</v>
      </c>
      <c r="T172" t="str">
        <f>IF(Pipeline_tbl[[#This Row],[Closed_Date]]=0,"",(_xlfn.XLOOKUP(Pipeline_tbl[[#This Row],[Closed_Date]],Dim_Date!A:A,Dim_Date!H:H)))</f>
        <v>Oct 2025</v>
      </c>
      <c r="U172">
        <f>IF(Pipeline_tbl[[#This Row],[Closed_Date]]=0,"",Pipeline_tbl[[#This Row],[Closed_Date]]-Pipeline_tbl[[#This Row],[Created_Date]])</f>
        <v>24</v>
      </c>
    </row>
    <row r="173" spans="1:21" ht="15" customHeight="1" x14ac:dyDescent="0.2">
      <c r="A173" t="s">
        <v>479</v>
      </c>
      <c r="B173" t="s">
        <v>223</v>
      </c>
      <c r="C173" t="s">
        <v>52</v>
      </c>
      <c r="D173" s="49">
        <v>45919</v>
      </c>
      <c r="E173" s="49">
        <v>45921</v>
      </c>
      <c r="F173" s="49">
        <v>45925</v>
      </c>
      <c r="G173" s="49">
        <v>45931</v>
      </c>
      <c r="H173" s="49">
        <v>45936</v>
      </c>
      <c r="I173" s="49">
        <v>45939</v>
      </c>
      <c r="J173" t="s">
        <v>47</v>
      </c>
      <c r="K173" s="33">
        <v>4900</v>
      </c>
      <c r="M173" t="str">
        <f>_xlfn.XLOOKUP(Pipeline_tbl[[#This Row],[Rep_ID]],Dim_Reps!A:A,Dim_Reps!K:K)</f>
        <v>MXN</v>
      </c>
      <c r="N173" s="33">
        <f>(_xlfn.XLOOKUP(Pipeline_tbl[[#This Row],[Rate_Code_Generalized]],Lookups!A:A,Lookups!B:B))*Pipeline_tbl[[#This Row],[Pipeline_Amount_USD]]</f>
        <v>96690.23000000001</v>
      </c>
      <c r="O173" t="str">
        <f>_xlfn.XLOOKUP(Pipeline_tbl[[#This Row],[Rep_ID]],Dim_Reps!A:A,Dim_Reps!B:B)</f>
        <v>Lea Petrov</v>
      </c>
      <c r="P173" t="str">
        <f>_xlfn.XLOOKUP(Pipeline_tbl[[#This Row],[Rep_ID]],Dim_Reps!A:A,Dim_Reps!C:C)</f>
        <v>SDR / Inside Sales Rep</v>
      </c>
      <c r="Q173" t="str">
        <f>_xlfn.XLOOKUP(Pipeline_tbl[[#This Row],[Rep_ID]],Dim_Reps!A:A,Dim_Reps!D:D)</f>
        <v>Inside Sales</v>
      </c>
      <c r="R173" t="str">
        <f>_xlfn.XLOOKUP(Pipeline_tbl[[#This Row],[Rep_ID]],Dim_Reps!A:A,Dim_Reps!E:E)</f>
        <v>LATAM</v>
      </c>
      <c r="S173" t="str">
        <f>_xlfn.XLOOKUP(Pipeline_tbl[[#This Row],[Created_Date]],Dim_Date!A:A,Dim_Date!H:H)</f>
        <v>Sep 2025</v>
      </c>
      <c r="T173" t="str">
        <f>IF(Pipeline_tbl[[#This Row],[Closed_Date]]=0,"",(_xlfn.XLOOKUP(Pipeline_tbl[[#This Row],[Closed_Date]],Dim_Date!A:A,Dim_Date!H:H)))</f>
        <v>Oct 2025</v>
      </c>
      <c r="U173">
        <f>IF(Pipeline_tbl[[#This Row],[Closed_Date]]=0,"",Pipeline_tbl[[#This Row],[Closed_Date]]-Pipeline_tbl[[#This Row],[Created_Date]])</f>
        <v>20</v>
      </c>
    </row>
    <row r="174" spans="1:21" ht="15" customHeight="1" x14ac:dyDescent="0.2">
      <c r="A174" t="s">
        <v>480</v>
      </c>
      <c r="B174" t="s">
        <v>261</v>
      </c>
      <c r="C174" t="s">
        <v>53</v>
      </c>
      <c r="D174" s="49">
        <v>45929</v>
      </c>
      <c r="E174" s="49">
        <v>45932</v>
      </c>
      <c r="F174" s="49">
        <v>45938</v>
      </c>
      <c r="G174" s="49">
        <v>45946</v>
      </c>
      <c r="H174" s="49">
        <v>45954</v>
      </c>
      <c r="I174" s="49">
        <v>45958</v>
      </c>
      <c r="J174" t="s">
        <v>47</v>
      </c>
      <c r="K174" s="33">
        <v>10400</v>
      </c>
      <c r="M174" t="str">
        <f>_xlfn.XLOOKUP(Pipeline_tbl[[#This Row],[Rep_ID]],Dim_Reps!A:A,Dim_Reps!K:K)</f>
        <v>USD</v>
      </c>
      <c r="N174" s="33">
        <f>(_xlfn.XLOOKUP(Pipeline_tbl[[#This Row],[Rate_Code_Generalized]],Lookups!A:A,Lookups!B:B))*Pipeline_tbl[[#This Row],[Pipeline_Amount_USD]]</f>
        <v>12108.72</v>
      </c>
      <c r="O174" t="str">
        <f>_xlfn.XLOOKUP(Pipeline_tbl[[#This Row],[Rep_ID]],Dim_Reps!A:A,Dim_Reps!B:B)</f>
        <v>Morgan Larsen</v>
      </c>
      <c r="P174" t="str">
        <f>_xlfn.XLOOKUP(Pipeline_tbl[[#This Row],[Rep_ID]],Dim_Reps!A:A,Dim_Reps!C:C)</f>
        <v>Mid-Market AE</v>
      </c>
      <c r="Q174" t="str">
        <f>_xlfn.XLOOKUP(Pipeline_tbl[[#This Row],[Rep_ID]],Dim_Reps!A:A,Dim_Reps!D:D)</f>
        <v>Mid-Market</v>
      </c>
      <c r="R174" t="str">
        <f>_xlfn.XLOOKUP(Pipeline_tbl[[#This Row],[Rep_ID]],Dim_Reps!A:A,Dim_Reps!E:E)</f>
        <v>NAMER</v>
      </c>
      <c r="S174" t="str">
        <f>_xlfn.XLOOKUP(Pipeline_tbl[[#This Row],[Created_Date]],Dim_Date!A:A,Dim_Date!H:H)</f>
        <v>Sep 2025</v>
      </c>
      <c r="T174" t="str">
        <f>IF(Pipeline_tbl[[#This Row],[Closed_Date]]=0,"",(_xlfn.XLOOKUP(Pipeline_tbl[[#This Row],[Closed_Date]],Dim_Date!A:A,Dim_Date!H:H)))</f>
        <v>Oct 2025</v>
      </c>
      <c r="U174">
        <f>IF(Pipeline_tbl[[#This Row],[Closed_Date]]=0,"",Pipeline_tbl[[#This Row],[Closed_Date]]-Pipeline_tbl[[#This Row],[Created_Date]])</f>
        <v>29</v>
      </c>
    </row>
    <row r="175" spans="1:21" ht="15" customHeight="1" x14ac:dyDescent="0.2">
      <c r="A175" t="s">
        <v>481</v>
      </c>
      <c r="B175" t="s">
        <v>261</v>
      </c>
      <c r="C175" t="s">
        <v>56</v>
      </c>
      <c r="D175" s="49">
        <v>45916</v>
      </c>
      <c r="E175" s="49">
        <v>45919</v>
      </c>
      <c r="F175" s="49">
        <v>45926</v>
      </c>
      <c r="G175" s="49">
        <v>45936</v>
      </c>
      <c r="H175" s="49">
        <v>45944</v>
      </c>
      <c r="I175" s="49">
        <v>45949</v>
      </c>
      <c r="J175" t="s">
        <v>47</v>
      </c>
      <c r="K175" s="33">
        <v>8100</v>
      </c>
      <c r="M175" t="str">
        <f>_xlfn.XLOOKUP(Pipeline_tbl[[#This Row],[Rep_ID]],Dim_Reps!A:A,Dim_Reps!K:K)</f>
        <v>USD</v>
      </c>
      <c r="N175" s="33">
        <f>(_xlfn.XLOOKUP(Pipeline_tbl[[#This Row],[Rate_Code_Generalized]],Lookups!A:A,Lookups!B:B))*Pipeline_tbl[[#This Row],[Pipeline_Amount_USD]]</f>
        <v>9430.83</v>
      </c>
      <c r="O175" t="str">
        <f>_xlfn.XLOOKUP(Pipeline_tbl[[#This Row],[Rep_ID]],Dim_Reps!A:A,Dim_Reps!B:B)</f>
        <v>Morgan Larsen</v>
      </c>
      <c r="P175" t="str">
        <f>_xlfn.XLOOKUP(Pipeline_tbl[[#This Row],[Rep_ID]],Dim_Reps!A:A,Dim_Reps!C:C)</f>
        <v>Mid-Market AE</v>
      </c>
      <c r="Q175" t="str">
        <f>_xlfn.XLOOKUP(Pipeline_tbl[[#This Row],[Rep_ID]],Dim_Reps!A:A,Dim_Reps!D:D)</f>
        <v>Mid-Market</v>
      </c>
      <c r="R175" t="str">
        <f>_xlfn.XLOOKUP(Pipeline_tbl[[#This Row],[Rep_ID]],Dim_Reps!A:A,Dim_Reps!E:E)</f>
        <v>NAMER</v>
      </c>
      <c r="S175" t="str">
        <f>_xlfn.XLOOKUP(Pipeline_tbl[[#This Row],[Created_Date]],Dim_Date!A:A,Dim_Date!H:H)</f>
        <v>Sep 2025</v>
      </c>
      <c r="T175" t="str">
        <f>IF(Pipeline_tbl[[#This Row],[Closed_Date]]=0,"",(_xlfn.XLOOKUP(Pipeline_tbl[[#This Row],[Closed_Date]],Dim_Date!A:A,Dim_Date!H:H)))</f>
        <v>Oct 2025</v>
      </c>
      <c r="U175">
        <f>IF(Pipeline_tbl[[#This Row],[Closed_Date]]=0,"",Pipeline_tbl[[#This Row],[Closed_Date]]-Pipeline_tbl[[#This Row],[Created_Date]])</f>
        <v>33</v>
      </c>
    </row>
    <row r="176" spans="1:21" ht="15" customHeight="1" x14ac:dyDescent="0.2">
      <c r="A176" t="s">
        <v>482</v>
      </c>
      <c r="B176" t="s">
        <v>225</v>
      </c>
      <c r="C176" t="s">
        <v>52</v>
      </c>
      <c r="D176" s="49">
        <v>45924</v>
      </c>
      <c r="E176" s="49">
        <v>45925</v>
      </c>
      <c r="F176" s="49">
        <v>45928</v>
      </c>
      <c r="G176" s="49">
        <v>45932</v>
      </c>
      <c r="H176" s="49">
        <v>45936</v>
      </c>
      <c r="I176" s="49">
        <v>45938</v>
      </c>
      <c r="J176" t="s">
        <v>47</v>
      </c>
      <c r="K176" s="33">
        <v>4600</v>
      </c>
      <c r="M176" t="str">
        <f>_xlfn.XLOOKUP(Pipeline_tbl[[#This Row],[Rep_ID]],Dim_Reps!A:A,Dim_Reps!K:K)</f>
        <v>USD</v>
      </c>
      <c r="N176" s="33">
        <f>(_xlfn.XLOOKUP(Pipeline_tbl[[#This Row],[Rate_Code_Generalized]],Lookups!A:A,Lookups!B:B))*Pipeline_tbl[[#This Row],[Pipeline_Amount_USD]]</f>
        <v>5355.78</v>
      </c>
      <c r="O176" t="str">
        <f>_xlfn.XLOOKUP(Pipeline_tbl[[#This Row],[Rep_ID]],Dim_Reps!A:A,Dim_Reps!B:B)</f>
        <v>Alex Muller</v>
      </c>
      <c r="P176" t="str">
        <f>_xlfn.XLOOKUP(Pipeline_tbl[[#This Row],[Rep_ID]],Dim_Reps!A:A,Dim_Reps!C:C)</f>
        <v>SDR / Inside Sales Rep</v>
      </c>
      <c r="Q176" t="str">
        <f>_xlfn.XLOOKUP(Pipeline_tbl[[#This Row],[Rep_ID]],Dim_Reps!A:A,Dim_Reps!D:D)</f>
        <v>Inside Sales</v>
      </c>
      <c r="R176" t="str">
        <f>_xlfn.XLOOKUP(Pipeline_tbl[[#This Row],[Rep_ID]],Dim_Reps!A:A,Dim_Reps!E:E)</f>
        <v>NAMER</v>
      </c>
      <c r="S176" t="str">
        <f>_xlfn.XLOOKUP(Pipeline_tbl[[#This Row],[Created_Date]],Dim_Date!A:A,Dim_Date!H:H)</f>
        <v>Sep 2025</v>
      </c>
      <c r="T176" t="str">
        <f>IF(Pipeline_tbl[[#This Row],[Closed_Date]]=0,"",(_xlfn.XLOOKUP(Pipeline_tbl[[#This Row],[Closed_Date]],Dim_Date!A:A,Dim_Date!H:H)))</f>
        <v>Oct 2025</v>
      </c>
      <c r="U176">
        <f>IF(Pipeline_tbl[[#This Row],[Closed_Date]]=0,"",Pipeline_tbl[[#This Row],[Closed_Date]]-Pipeline_tbl[[#This Row],[Created_Date]])</f>
        <v>14</v>
      </c>
    </row>
    <row r="177" spans="1:21" ht="15" customHeight="1" x14ac:dyDescent="0.2">
      <c r="A177" t="s">
        <v>483</v>
      </c>
      <c r="B177" t="s">
        <v>225</v>
      </c>
      <c r="C177" t="s">
        <v>56</v>
      </c>
      <c r="D177" s="49">
        <v>45915</v>
      </c>
      <c r="E177" s="49">
        <v>45917</v>
      </c>
      <c r="F177" s="49">
        <v>45923</v>
      </c>
      <c r="G177" s="49">
        <v>45930</v>
      </c>
      <c r="H177" s="49">
        <v>45936</v>
      </c>
      <c r="I177" s="49">
        <v>45940</v>
      </c>
      <c r="J177" t="s">
        <v>47</v>
      </c>
      <c r="K177" s="33">
        <v>11800</v>
      </c>
      <c r="M177" t="str">
        <f>_xlfn.XLOOKUP(Pipeline_tbl[[#This Row],[Rep_ID]],Dim_Reps!A:A,Dim_Reps!K:K)</f>
        <v>USD</v>
      </c>
      <c r="N177" s="33">
        <f>(_xlfn.XLOOKUP(Pipeline_tbl[[#This Row],[Rate_Code_Generalized]],Lookups!A:A,Lookups!B:B))*Pipeline_tbl[[#This Row],[Pipeline_Amount_USD]]</f>
        <v>13738.739999999998</v>
      </c>
      <c r="O177" t="str">
        <f>_xlfn.XLOOKUP(Pipeline_tbl[[#This Row],[Rep_ID]],Dim_Reps!A:A,Dim_Reps!B:B)</f>
        <v>Alex Muller</v>
      </c>
      <c r="P177" t="str">
        <f>_xlfn.XLOOKUP(Pipeline_tbl[[#This Row],[Rep_ID]],Dim_Reps!A:A,Dim_Reps!C:C)</f>
        <v>SDR / Inside Sales Rep</v>
      </c>
      <c r="Q177" t="str">
        <f>_xlfn.XLOOKUP(Pipeline_tbl[[#This Row],[Rep_ID]],Dim_Reps!A:A,Dim_Reps!D:D)</f>
        <v>Inside Sales</v>
      </c>
      <c r="R177" t="str">
        <f>_xlfn.XLOOKUP(Pipeline_tbl[[#This Row],[Rep_ID]],Dim_Reps!A:A,Dim_Reps!E:E)</f>
        <v>NAMER</v>
      </c>
      <c r="S177" t="str">
        <f>_xlfn.XLOOKUP(Pipeline_tbl[[#This Row],[Created_Date]],Dim_Date!A:A,Dim_Date!H:H)</f>
        <v>Sep 2025</v>
      </c>
      <c r="T177" t="str">
        <f>IF(Pipeline_tbl[[#This Row],[Closed_Date]]=0,"",(_xlfn.XLOOKUP(Pipeline_tbl[[#This Row],[Closed_Date]],Dim_Date!A:A,Dim_Date!H:H)))</f>
        <v>Oct 2025</v>
      </c>
      <c r="U177">
        <f>IF(Pipeline_tbl[[#This Row],[Closed_Date]]=0,"",Pipeline_tbl[[#This Row],[Closed_Date]]-Pipeline_tbl[[#This Row],[Created_Date]])</f>
        <v>25</v>
      </c>
    </row>
    <row r="178" spans="1:21" ht="15" customHeight="1" x14ac:dyDescent="0.2">
      <c r="A178" t="s">
        <v>484</v>
      </c>
      <c r="B178" t="s">
        <v>225</v>
      </c>
      <c r="C178" t="s">
        <v>54</v>
      </c>
      <c r="D178" s="49">
        <v>45923</v>
      </c>
      <c r="E178" s="49">
        <v>45925</v>
      </c>
      <c r="F178" s="49">
        <v>45928</v>
      </c>
      <c r="G178" s="49">
        <v>45933</v>
      </c>
      <c r="H178" s="49">
        <v>45937</v>
      </c>
      <c r="I178" s="49">
        <v>45939</v>
      </c>
      <c r="J178" t="s">
        <v>47</v>
      </c>
      <c r="K178" s="33">
        <v>1400</v>
      </c>
      <c r="M178" t="str">
        <f>_xlfn.XLOOKUP(Pipeline_tbl[[#This Row],[Rep_ID]],Dim_Reps!A:A,Dim_Reps!K:K)</f>
        <v>USD</v>
      </c>
      <c r="N178" s="33">
        <f>(_xlfn.XLOOKUP(Pipeline_tbl[[#This Row],[Rate_Code_Generalized]],Lookups!A:A,Lookups!B:B))*Pipeline_tbl[[#This Row],[Pipeline_Amount_USD]]</f>
        <v>1630.0199999999998</v>
      </c>
      <c r="O178" t="str">
        <f>_xlfn.XLOOKUP(Pipeline_tbl[[#This Row],[Rep_ID]],Dim_Reps!A:A,Dim_Reps!B:B)</f>
        <v>Alex Muller</v>
      </c>
      <c r="P178" t="str">
        <f>_xlfn.XLOOKUP(Pipeline_tbl[[#This Row],[Rep_ID]],Dim_Reps!A:A,Dim_Reps!C:C)</f>
        <v>SDR / Inside Sales Rep</v>
      </c>
      <c r="Q178" t="str">
        <f>_xlfn.XLOOKUP(Pipeline_tbl[[#This Row],[Rep_ID]],Dim_Reps!A:A,Dim_Reps!D:D)</f>
        <v>Inside Sales</v>
      </c>
      <c r="R178" t="str">
        <f>_xlfn.XLOOKUP(Pipeline_tbl[[#This Row],[Rep_ID]],Dim_Reps!A:A,Dim_Reps!E:E)</f>
        <v>NAMER</v>
      </c>
      <c r="S178" t="str">
        <f>_xlfn.XLOOKUP(Pipeline_tbl[[#This Row],[Created_Date]],Dim_Date!A:A,Dim_Date!H:H)</f>
        <v>Sep 2025</v>
      </c>
      <c r="T178" t="str">
        <f>IF(Pipeline_tbl[[#This Row],[Closed_Date]]=0,"",(_xlfn.XLOOKUP(Pipeline_tbl[[#This Row],[Closed_Date]],Dim_Date!A:A,Dim_Date!H:H)))</f>
        <v>Oct 2025</v>
      </c>
      <c r="U178">
        <f>IF(Pipeline_tbl[[#This Row],[Closed_Date]]=0,"",Pipeline_tbl[[#This Row],[Closed_Date]]-Pipeline_tbl[[#This Row],[Created_Date]])</f>
        <v>16</v>
      </c>
    </row>
    <row r="179" spans="1:21" ht="15" customHeight="1" x14ac:dyDescent="0.2">
      <c r="A179" t="s">
        <v>485</v>
      </c>
      <c r="B179" t="s">
        <v>225</v>
      </c>
      <c r="C179" t="s">
        <v>54</v>
      </c>
      <c r="D179" s="49">
        <v>45926</v>
      </c>
      <c r="E179" s="49">
        <v>45927</v>
      </c>
      <c r="F179" s="49">
        <v>45929</v>
      </c>
      <c r="G179" s="49">
        <v>45932</v>
      </c>
      <c r="I179" s="49">
        <v>45936</v>
      </c>
      <c r="J179" t="s">
        <v>49</v>
      </c>
      <c r="K179" s="33">
        <v>4000</v>
      </c>
      <c r="L179" t="s">
        <v>62</v>
      </c>
      <c r="M179" t="str">
        <f>_xlfn.XLOOKUP(Pipeline_tbl[[#This Row],[Rep_ID]],Dim_Reps!A:A,Dim_Reps!K:K)</f>
        <v>USD</v>
      </c>
      <c r="N179" s="33">
        <f>(_xlfn.XLOOKUP(Pipeline_tbl[[#This Row],[Rate_Code_Generalized]],Lookups!A:A,Lookups!B:B))*Pipeline_tbl[[#This Row],[Pipeline_Amount_USD]]</f>
        <v>4657.2</v>
      </c>
      <c r="O179" t="str">
        <f>_xlfn.XLOOKUP(Pipeline_tbl[[#This Row],[Rep_ID]],Dim_Reps!A:A,Dim_Reps!B:B)</f>
        <v>Alex Muller</v>
      </c>
      <c r="P179" t="str">
        <f>_xlfn.XLOOKUP(Pipeline_tbl[[#This Row],[Rep_ID]],Dim_Reps!A:A,Dim_Reps!C:C)</f>
        <v>SDR / Inside Sales Rep</v>
      </c>
      <c r="Q179" t="str">
        <f>_xlfn.XLOOKUP(Pipeline_tbl[[#This Row],[Rep_ID]],Dim_Reps!A:A,Dim_Reps!D:D)</f>
        <v>Inside Sales</v>
      </c>
      <c r="R179" t="str">
        <f>_xlfn.XLOOKUP(Pipeline_tbl[[#This Row],[Rep_ID]],Dim_Reps!A:A,Dim_Reps!E:E)</f>
        <v>NAMER</v>
      </c>
      <c r="S179" t="str">
        <f>_xlfn.XLOOKUP(Pipeline_tbl[[#This Row],[Created_Date]],Dim_Date!A:A,Dim_Date!H:H)</f>
        <v>Sep 2025</v>
      </c>
      <c r="T179" t="str">
        <f>IF(Pipeline_tbl[[#This Row],[Closed_Date]]=0,"",(_xlfn.XLOOKUP(Pipeline_tbl[[#This Row],[Closed_Date]],Dim_Date!A:A,Dim_Date!H:H)))</f>
        <v>Oct 2025</v>
      </c>
      <c r="U179">
        <f>IF(Pipeline_tbl[[#This Row],[Closed_Date]]=0,"",Pipeline_tbl[[#This Row],[Closed_Date]]-Pipeline_tbl[[#This Row],[Created_Date]])</f>
        <v>10</v>
      </c>
    </row>
    <row r="180" spans="1:21" ht="15" customHeight="1" x14ac:dyDescent="0.2">
      <c r="A180" t="s">
        <v>486</v>
      </c>
      <c r="B180" t="s">
        <v>225</v>
      </c>
      <c r="C180" t="s">
        <v>53</v>
      </c>
      <c r="D180" s="49">
        <v>45927</v>
      </c>
      <c r="E180" s="49">
        <v>45929</v>
      </c>
      <c r="F180" s="49">
        <v>45932</v>
      </c>
      <c r="G180" s="49">
        <v>45936</v>
      </c>
      <c r="H180" s="49">
        <v>45940</v>
      </c>
      <c r="I180" s="49">
        <v>45942</v>
      </c>
      <c r="J180" t="s">
        <v>49</v>
      </c>
      <c r="K180" s="33">
        <v>4700</v>
      </c>
      <c r="L180" t="s">
        <v>62</v>
      </c>
      <c r="M180" t="str">
        <f>_xlfn.XLOOKUP(Pipeline_tbl[[#This Row],[Rep_ID]],Dim_Reps!A:A,Dim_Reps!K:K)</f>
        <v>USD</v>
      </c>
      <c r="N180" s="33">
        <f>(_xlfn.XLOOKUP(Pipeline_tbl[[#This Row],[Rate_Code_Generalized]],Lookups!A:A,Lookups!B:B))*Pipeline_tbl[[#This Row],[Pipeline_Amount_USD]]</f>
        <v>5472.2099999999991</v>
      </c>
      <c r="O180" t="str">
        <f>_xlfn.XLOOKUP(Pipeline_tbl[[#This Row],[Rep_ID]],Dim_Reps!A:A,Dim_Reps!B:B)</f>
        <v>Alex Muller</v>
      </c>
      <c r="P180" t="str">
        <f>_xlfn.XLOOKUP(Pipeline_tbl[[#This Row],[Rep_ID]],Dim_Reps!A:A,Dim_Reps!C:C)</f>
        <v>SDR / Inside Sales Rep</v>
      </c>
      <c r="Q180" t="str">
        <f>_xlfn.XLOOKUP(Pipeline_tbl[[#This Row],[Rep_ID]],Dim_Reps!A:A,Dim_Reps!D:D)</f>
        <v>Inside Sales</v>
      </c>
      <c r="R180" t="str">
        <f>_xlfn.XLOOKUP(Pipeline_tbl[[#This Row],[Rep_ID]],Dim_Reps!A:A,Dim_Reps!E:E)</f>
        <v>NAMER</v>
      </c>
      <c r="S180" t="str">
        <f>_xlfn.XLOOKUP(Pipeline_tbl[[#This Row],[Created_Date]],Dim_Date!A:A,Dim_Date!H:H)</f>
        <v>Sep 2025</v>
      </c>
      <c r="T180" t="str">
        <f>IF(Pipeline_tbl[[#This Row],[Closed_Date]]=0,"",(_xlfn.XLOOKUP(Pipeline_tbl[[#This Row],[Closed_Date]],Dim_Date!A:A,Dim_Date!H:H)))</f>
        <v>Oct 2025</v>
      </c>
      <c r="U180">
        <f>IF(Pipeline_tbl[[#This Row],[Closed_Date]]=0,"",Pipeline_tbl[[#This Row],[Closed_Date]]-Pipeline_tbl[[#This Row],[Created_Date]])</f>
        <v>15</v>
      </c>
    </row>
    <row r="181" spans="1:21" ht="15" customHeight="1" x14ac:dyDescent="0.2">
      <c r="A181" t="s">
        <v>487</v>
      </c>
      <c r="B181" t="s">
        <v>227</v>
      </c>
      <c r="C181" t="s">
        <v>52</v>
      </c>
      <c r="D181" s="49">
        <v>45930</v>
      </c>
      <c r="E181" s="49">
        <v>45932</v>
      </c>
      <c r="F181" s="49">
        <v>45935</v>
      </c>
      <c r="G181" s="49">
        <v>45940</v>
      </c>
      <c r="I181" s="49">
        <v>45947</v>
      </c>
      <c r="J181" t="s">
        <v>49</v>
      </c>
      <c r="K181" s="33">
        <v>3400</v>
      </c>
      <c r="L181" t="s">
        <v>61</v>
      </c>
      <c r="M181" t="str">
        <f>_xlfn.XLOOKUP(Pipeline_tbl[[#This Row],[Rep_ID]],Dim_Reps!A:A,Dim_Reps!K:K)</f>
        <v>EUR</v>
      </c>
      <c r="N181" s="33">
        <f>(_xlfn.XLOOKUP(Pipeline_tbl[[#This Row],[Rate_Code_Generalized]],Lookups!A:A,Lookups!B:B))*Pipeline_tbl[[#This Row],[Pipeline_Amount_USD]]</f>
        <v>3400</v>
      </c>
      <c r="O181" t="str">
        <f>_xlfn.XLOOKUP(Pipeline_tbl[[#This Row],[Rep_ID]],Dim_Reps!A:A,Dim_Reps!B:B)</f>
        <v>Liam Muller</v>
      </c>
      <c r="P181" t="str">
        <f>_xlfn.XLOOKUP(Pipeline_tbl[[#This Row],[Rep_ID]],Dim_Reps!A:A,Dim_Reps!C:C)</f>
        <v>SDR / Inside Sales Rep</v>
      </c>
      <c r="Q181" t="str">
        <f>_xlfn.XLOOKUP(Pipeline_tbl[[#This Row],[Rep_ID]],Dim_Reps!A:A,Dim_Reps!D:D)</f>
        <v>Inside Sales</v>
      </c>
      <c r="R181" t="str">
        <f>_xlfn.XLOOKUP(Pipeline_tbl[[#This Row],[Rep_ID]],Dim_Reps!A:A,Dim_Reps!E:E)</f>
        <v>EMEA</v>
      </c>
      <c r="S181" t="str">
        <f>_xlfn.XLOOKUP(Pipeline_tbl[[#This Row],[Created_Date]],Dim_Date!A:A,Dim_Date!H:H)</f>
        <v>Sep 2025</v>
      </c>
      <c r="T181" t="str">
        <f>IF(Pipeline_tbl[[#This Row],[Closed_Date]]=0,"",(_xlfn.XLOOKUP(Pipeline_tbl[[#This Row],[Closed_Date]],Dim_Date!A:A,Dim_Date!H:H)))</f>
        <v>Oct 2025</v>
      </c>
      <c r="U181">
        <f>IF(Pipeline_tbl[[#This Row],[Closed_Date]]=0,"",Pipeline_tbl[[#This Row],[Closed_Date]]-Pipeline_tbl[[#This Row],[Created_Date]])</f>
        <v>17</v>
      </c>
    </row>
    <row r="182" spans="1:21" ht="15" customHeight="1" x14ac:dyDescent="0.2">
      <c r="A182" t="s">
        <v>488</v>
      </c>
      <c r="B182" t="s">
        <v>227</v>
      </c>
      <c r="C182" t="s">
        <v>53</v>
      </c>
      <c r="D182" s="49">
        <v>45921</v>
      </c>
      <c r="E182" s="49">
        <v>45922</v>
      </c>
      <c r="F182" s="49">
        <v>45925</v>
      </c>
      <c r="I182" s="49">
        <v>45935</v>
      </c>
      <c r="J182" t="s">
        <v>49</v>
      </c>
      <c r="K182" s="33">
        <v>2100</v>
      </c>
      <c r="L182" t="s">
        <v>62</v>
      </c>
      <c r="M182" t="str">
        <f>_xlfn.XLOOKUP(Pipeline_tbl[[#This Row],[Rep_ID]],Dim_Reps!A:A,Dim_Reps!K:K)</f>
        <v>EUR</v>
      </c>
      <c r="N182" s="33">
        <f>(_xlfn.XLOOKUP(Pipeline_tbl[[#This Row],[Rate_Code_Generalized]],Lookups!A:A,Lookups!B:B))*Pipeline_tbl[[#This Row],[Pipeline_Amount_USD]]</f>
        <v>2100</v>
      </c>
      <c r="O182" t="str">
        <f>_xlfn.XLOOKUP(Pipeline_tbl[[#This Row],[Rep_ID]],Dim_Reps!A:A,Dim_Reps!B:B)</f>
        <v>Liam Muller</v>
      </c>
      <c r="P182" t="str">
        <f>_xlfn.XLOOKUP(Pipeline_tbl[[#This Row],[Rep_ID]],Dim_Reps!A:A,Dim_Reps!C:C)</f>
        <v>SDR / Inside Sales Rep</v>
      </c>
      <c r="Q182" t="str">
        <f>_xlfn.XLOOKUP(Pipeline_tbl[[#This Row],[Rep_ID]],Dim_Reps!A:A,Dim_Reps!D:D)</f>
        <v>Inside Sales</v>
      </c>
      <c r="R182" t="str">
        <f>_xlfn.XLOOKUP(Pipeline_tbl[[#This Row],[Rep_ID]],Dim_Reps!A:A,Dim_Reps!E:E)</f>
        <v>EMEA</v>
      </c>
      <c r="S182" t="str">
        <f>_xlfn.XLOOKUP(Pipeline_tbl[[#This Row],[Created_Date]],Dim_Date!A:A,Dim_Date!H:H)</f>
        <v>Sep 2025</v>
      </c>
      <c r="T182" t="str">
        <f>IF(Pipeline_tbl[[#This Row],[Closed_Date]]=0,"",(_xlfn.XLOOKUP(Pipeline_tbl[[#This Row],[Closed_Date]],Dim_Date!A:A,Dim_Date!H:H)))</f>
        <v>Oct 2025</v>
      </c>
      <c r="U182">
        <f>IF(Pipeline_tbl[[#This Row],[Closed_Date]]=0,"",Pipeline_tbl[[#This Row],[Closed_Date]]-Pipeline_tbl[[#This Row],[Created_Date]])</f>
        <v>14</v>
      </c>
    </row>
    <row r="183" spans="1:21" ht="15" customHeight="1" x14ac:dyDescent="0.2">
      <c r="A183" t="s">
        <v>489</v>
      </c>
      <c r="B183" t="s">
        <v>227</v>
      </c>
      <c r="C183" t="s">
        <v>52</v>
      </c>
      <c r="D183" s="49">
        <v>45930</v>
      </c>
      <c r="E183" s="49">
        <v>45933</v>
      </c>
      <c r="F183" s="49">
        <v>45939</v>
      </c>
      <c r="G183" s="49">
        <v>45948</v>
      </c>
      <c r="I183" s="49">
        <v>45960</v>
      </c>
      <c r="J183" t="s">
        <v>49</v>
      </c>
      <c r="K183" s="33">
        <v>4000</v>
      </c>
      <c r="L183" t="s">
        <v>63</v>
      </c>
      <c r="M183" t="str">
        <f>_xlfn.XLOOKUP(Pipeline_tbl[[#This Row],[Rep_ID]],Dim_Reps!A:A,Dim_Reps!K:K)</f>
        <v>EUR</v>
      </c>
      <c r="N183" s="33">
        <f>(_xlfn.XLOOKUP(Pipeline_tbl[[#This Row],[Rate_Code_Generalized]],Lookups!A:A,Lookups!B:B))*Pipeline_tbl[[#This Row],[Pipeline_Amount_USD]]</f>
        <v>4000</v>
      </c>
      <c r="O183" t="str">
        <f>_xlfn.XLOOKUP(Pipeline_tbl[[#This Row],[Rep_ID]],Dim_Reps!A:A,Dim_Reps!B:B)</f>
        <v>Liam Muller</v>
      </c>
      <c r="P183" t="str">
        <f>_xlfn.XLOOKUP(Pipeline_tbl[[#This Row],[Rep_ID]],Dim_Reps!A:A,Dim_Reps!C:C)</f>
        <v>SDR / Inside Sales Rep</v>
      </c>
      <c r="Q183" t="str">
        <f>_xlfn.XLOOKUP(Pipeline_tbl[[#This Row],[Rep_ID]],Dim_Reps!A:A,Dim_Reps!D:D)</f>
        <v>Inside Sales</v>
      </c>
      <c r="R183" t="str">
        <f>_xlfn.XLOOKUP(Pipeline_tbl[[#This Row],[Rep_ID]],Dim_Reps!A:A,Dim_Reps!E:E)</f>
        <v>EMEA</v>
      </c>
      <c r="S183" t="str">
        <f>_xlfn.XLOOKUP(Pipeline_tbl[[#This Row],[Created_Date]],Dim_Date!A:A,Dim_Date!H:H)</f>
        <v>Sep 2025</v>
      </c>
      <c r="T183" t="str">
        <f>IF(Pipeline_tbl[[#This Row],[Closed_Date]]=0,"",(_xlfn.XLOOKUP(Pipeline_tbl[[#This Row],[Closed_Date]],Dim_Date!A:A,Dim_Date!H:H)))</f>
        <v>Oct 2025</v>
      </c>
      <c r="U183">
        <f>IF(Pipeline_tbl[[#This Row],[Closed_Date]]=0,"",Pipeline_tbl[[#This Row],[Closed_Date]]-Pipeline_tbl[[#This Row],[Created_Date]])</f>
        <v>30</v>
      </c>
    </row>
    <row r="184" spans="1:21" ht="15" customHeight="1" x14ac:dyDescent="0.2">
      <c r="A184" t="s">
        <v>490</v>
      </c>
      <c r="B184" t="s">
        <v>227</v>
      </c>
      <c r="C184" t="s">
        <v>53</v>
      </c>
      <c r="D184" s="49">
        <v>45918</v>
      </c>
      <c r="E184" s="49">
        <v>45920</v>
      </c>
      <c r="F184" s="49">
        <v>45924</v>
      </c>
      <c r="G184" s="49">
        <v>45931</v>
      </c>
      <c r="H184" s="49">
        <v>45936</v>
      </c>
      <c r="I184" s="49">
        <v>45939</v>
      </c>
      <c r="J184" t="s">
        <v>47</v>
      </c>
      <c r="K184" s="33">
        <v>6900</v>
      </c>
      <c r="M184" t="str">
        <f>_xlfn.XLOOKUP(Pipeline_tbl[[#This Row],[Rep_ID]],Dim_Reps!A:A,Dim_Reps!K:K)</f>
        <v>EUR</v>
      </c>
      <c r="N184" s="33">
        <f>(_xlfn.XLOOKUP(Pipeline_tbl[[#This Row],[Rate_Code_Generalized]],Lookups!A:A,Lookups!B:B))*Pipeline_tbl[[#This Row],[Pipeline_Amount_USD]]</f>
        <v>6900</v>
      </c>
      <c r="O184" t="str">
        <f>_xlfn.XLOOKUP(Pipeline_tbl[[#This Row],[Rep_ID]],Dim_Reps!A:A,Dim_Reps!B:B)</f>
        <v>Liam Muller</v>
      </c>
      <c r="P184" t="str">
        <f>_xlfn.XLOOKUP(Pipeline_tbl[[#This Row],[Rep_ID]],Dim_Reps!A:A,Dim_Reps!C:C)</f>
        <v>SDR / Inside Sales Rep</v>
      </c>
      <c r="Q184" t="str">
        <f>_xlfn.XLOOKUP(Pipeline_tbl[[#This Row],[Rep_ID]],Dim_Reps!A:A,Dim_Reps!D:D)</f>
        <v>Inside Sales</v>
      </c>
      <c r="R184" t="str">
        <f>_xlfn.XLOOKUP(Pipeline_tbl[[#This Row],[Rep_ID]],Dim_Reps!A:A,Dim_Reps!E:E)</f>
        <v>EMEA</v>
      </c>
      <c r="S184" t="str">
        <f>_xlfn.XLOOKUP(Pipeline_tbl[[#This Row],[Created_Date]],Dim_Date!A:A,Dim_Date!H:H)</f>
        <v>Sep 2025</v>
      </c>
      <c r="T184" t="str">
        <f>IF(Pipeline_tbl[[#This Row],[Closed_Date]]=0,"",(_xlfn.XLOOKUP(Pipeline_tbl[[#This Row],[Closed_Date]],Dim_Date!A:A,Dim_Date!H:H)))</f>
        <v>Oct 2025</v>
      </c>
      <c r="U184">
        <f>IF(Pipeline_tbl[[#This Row],[Closed_Date]]=0,"",Pipeline_tbl[[#This Row],[Closed_Date]]-Pipeline_tbl[[#This Row],[Created_Date]])</f>
        <v>21</v>
      </c>
    </row>
    <row r="185" spans="1:21" ht="15" customHeight="1" x14ac:dyDescent="0.2">
      <c r="A185" t="s">
        <v>491</v>
      </c>
      <c r="B185" t="s">
        <v>227</v>
      </c>
      <c r="C185" t="s">
        <v>53</v>
      </c>
      <c r="D185" s="49">
        <v>45906</v>
      </c>
      <c r="E185" s="49">
        <v>45909</v>
      </c>
      <c r="F185" s="49">
        <v>45914</v>
      </c>
      <c r="I185" s="49">
        <v>45932</v>
      </c>
      <c r="J185" t="s">
        <v>49</v>
      </c>
      <c r="K185" s="33">
        <v>3500</v>
      </c>
      <c r="L185" t="s">
        <v>63</v>
      </c>
      <c r="M185" t="str">
        <f>_xlfn.XLOOKUP(Pipeline_tbl[[#This Row],[Rep_ID]],Dim_Reps!A:A,Dim_Reps!K:K)</f>
        <v>EUR</v>
      </c>
      <c r="N185" s="33">
        <f>(_xlfn.XLOOKUP(Pipeline_tbl[[#This Row],[Rate_Code_Generalized]],Lookups!A:A,Lookups!B:B))*Pipeline_tbl[[#This Row],[Pipeline_Amount_USD]]</f>
        <v>3500</v>
      </c>
      <c r="O185" t="str">
        <f>_xlfn.XLOOKUP(Pipeline_tbl[[#This Row],[Rep_ID]],Dim_Reps!A:A,Dim_Reps!B:B)</f>
        <v>Liam Muller</v>
      </c>
      <c r="P185" t="str">
        <f>_xlfn.XLOOKUP(Pipeline_tbl[[#This Row],[Rep_ID]],Dim_Reps!A:A,Dim_Reps!C:C)</f>
        <v>SDR / Inside Sales Rep</v>
      </c>
      <c r="Q185" t="str">
        <f>_xlfn.XLOOKUP(Pipeline_tbl[[#This Row],[Rep_ID]],Dim_Reps!A:A,Dim_Reps!D:D)</f>
        <v>Inside Sales</v>
      </c>
      <c r="R185" t="str">
        <f>_xlfn.XLOOKUP(Pipeline_tbl[[#This Row],[Rep_ID]],Dim_Reps!A:A,Dim_Reps!E:E)</f>
        <v>EMEA</v>
      </c>
      <c r="S185" t="str">
        <f>_xlfn.XLOOKUP(Pipeline_tbl[[#This Row],[Created_Date]],Dim_Date!A:A,Dim_Date!H:H)</f>
        <v>Sep 2025</v>
      </c>
      <c r="T185" t="str">
        <f>IF(Pipeline_tbl[[#This Row],[Closed_Date]]=0,"",(_xlfn.XLOOKUP(Pipeline_tbl[[#This Row],[Closed_Date]],Dim_Date!A:A,Dim_Date!H:H)))</f>
        <v>Oct 2025</v>
      </c>
      <c r="U185">
        <f>IF(Pipeline_tbl[[#This Row],[Closed_Date]]=0,"",Pipeline_tbl[[#This Row],[Closed_Date]]-Pipeline_tbl[[#This Row],[Created_Date]])</f>
        <v>26</v>
      </c>
    </row>
    <row r="186" spans="1:21" ht="15" customHeight="1" x14ac:dyDescent="0.2">
      <c r="A186" t="s">
        <v>492</v>
      </c>
      <c r="B186" t="s">
        <v>227</v>
      </c>
      <c r="C186" t="s">
        <v>52</v>
      </c>
      <c r="D186" s="49">
        <v>45916</v>
      </c>
      <c r="E186" s="49">
        <v>45918</v>
      </c>
      <c r="F186" s="49">
        <v>45922</v>
      </c>
      <c r="G186" s="49">
        <v>45928</v>
      </c>
      <c r="H186" s="49">
        <v>45933</v>
      </c>
      <c r="I186" s="49">
        <v>45936</v>
      </c>
      <c r="J186" t="s">
        <v>49</v>
      </c>
      <c r="K186" s="33">
        <v>5300</v>
      </c>
      <c r="L186" t="s">
        <v>62</v>
      </c>
      <c r="M186" t="str">
        <f>_xlfn.XLOOKUP(Pipeline_tbl[[#This Row],[Rep_ID]],Dim_Reps!A:A,Dim_Reps!K:K)</f>
        <v>EUR</v>
      </c>
      <c r="N186" s="33">
        <f>(_xlfn.XLOOKUP(Pipeline_tbl[[#This Row],[Rate_Code_Generalized]],Lookups!A:A,Lookups!B:B))*Pipeline_tbl[[#This Row],[Pipeline_Amount_USD]]</f>
        <v>5300</v>
      </c>
      <c r="O186" t="str">
        <f>_xlfn.XLOOKUP(Pipeline_tbl[[#This Row],[Rep_ID]],Dim_Reps!A:A,Dim_Reps!B:B)</f>
        <v>Liam Muller</v>
      </c>
      <c r="P186" t="str">
        <f>_xlfn.XLOOKUP(Pipeline_tbl[[#This Row],[Rep_ID]],Dim_Reps!A:A,Dim_Reps!C:C)</f>
        <v>SDR / Inside Sales Rep</v>
      </c>
      <c r="Q186" t="str">
        <f>_xlfn.XLOOKUP(Pipeline_tbl[[#This Row],[Rep_ID]],Dim_Reps!A:A,Dim_Reps!D:D)</f>
        <v>Inside Sales</v>
      </c>
      <c r="R186" t="str">
        <f>_xlfn.XLOOKUP(Pipeline_tbl[[#This Row],[Rep_ID]],Dim_Reps!A:A,Dim_Reps!E:E)</f>
        <v>EMEA</v>
      </c>
      <c r="S186" t="str">
        <f>_xlfn.XLOOKUP(Pipeline_tbl[[#This Row],[Created_Date]],Dim_Date!A:A,Dim_Date!H:H)</f>
        <v>Sep 2025</v>
      </c>
      <c r="T186" t="str">
        <f>IF(Pipeline_tbl[[#This Row],[Closed_Date]]=0,"",(_xlfn.XLOOKUP(Pipeline_tbl[[#This Row],[Closed_Date]],Dim_Date!A:A,Dim_Date!H:H)))</f>
        <v>Oct 2025</v>
      </c>
      <c r="U186">
        <f>IF(Pipeline_tbl[[#This Row],[Closed_Date]]=0,"",Pipeline_tbl[[#This Row],[Closed_Date]]-Pipeline_tbl[[#This Row],[Created_Date]])</f>
        <v>20</v>
      </c>
    </row>
    <row r="187" spans="1:21" ht="15" customHeight="1" x14ac:dyDescent="0.2">
      <c r="A187" t="s">
        <v>493</v>
      </c>
      <c r="B187" t="s">
        <v>227</v>
      </c>
      <c r="C187" t="s">
        <v>53</v>
      </c>
      <c r="D187" s="49">
        <v>45927</v>
      </c>
      <c r="E187" s="49">
        <v>45929</v>
      </c>
      <c r="F187" s="49">
        <v>45932</v>
      </c>
      <c r="G187" s="49">
        <v>45937</v>
      </c>
      <c r="H187" s="49">
        <v>45941</v>
      </c>
      <c r="I187" s="49">
        <v>45944</v>
      </c>
      <c r="J187" t="s">
        <v>49</v>
      </c>
      <c r="K187" s="33">
        <v>3800</v>
      </c>
      <c r="L187" t="s">
        <v>63</v>
      </c>
      <c r="M187" t="str">
        <f>_xlfn.XLOOKUP(Pipeline_tbl[[#This Row],[Rep_ID]],Dim_Reps!A:A,Dim_Reps!K:K)</f>
        <v>EUR</v>
      </c>
      <c r="N187" s="33">
        <f>(_xlfn.XLOOKUP(Pipeline_tbl[[#This Row],[Rate_Code_Generalized]],Lookups!A:A,Lookups!B:B))*Pipeline_tbl[[#This Row],[Pipeline_Amount_USD]]</f>
        <v>3800</v>
      </c>
      <c r="O187" t="str">
        <f>_xlfn.XLOOKUP(Pipeline_tbl[[#This Row],[Rep_ID]],Dim_Reps!A:A,Dim_Reps!B:B)</f>
        <v>Liam Muller</v>
      </c>
      <c r="P187" t="str">
        <f>_xlfn.XLOOKUP(Pipeline_tbl[[#This Row],[Rep_ID]],Dim_Reps!A:A,Dim_Reps!C:C)</f>
        <v>SDR / Inside Sales Rep</v>
      </c>
      <c r="Q187" t="str">
        <f>_xlfn.XLOOKUP(Pipeline_tbl[[#This Row],[Rep_ID]],Dim_Reps!A:A,Dim_Reps!D:D)</f>
        <v>Inside Sales</v>
      </c>
      <c r="R187" t="str">
        <f>_xlfn.XLOOKUP(Pipeline_tbl[[#This Row],[Rep_ID]],Dim_Reps!A:A,Dim_Reps!E:E)</f>
        <v>EMEA</v>
      </c>
      <c r="S187" t="str">
        <f>_xlfn.XLOOKUP(Pipeline_tbl[[#This Row],[Created_Date]],Dim_Date!A:A,Dim_Date!H:H)</f>
        <v>Sep 2025</v>
      </c>
      <c r="T187" t="str">
        <f>IF(Pipeline_tbl[[#This Row],[Closed_Date]]=0,"",(_xlfn.XLOOKUP(Pipeline_tbl[[#This Row],[Closed_Date]],Dim_Date!A:A,Dim_Date!H:H)))</f>
        <v>Oct 2025</v>
      </c>
      <c r="U187">
        <f>IF(Pipeline_tbl[[#This Row],[Closed_Date]]=0,"",Pipeline_tbl[[#This Row],[Closed_Date]]-Pipeline_tbl[[#This Row],[Created_Date]])</f>
        <v>17</v>
      </c>
    </row>
    <row r="188" spans="1:21" ht="15" customHeight="1" x14ac:dyDescent="0.2">
      <c r="A188" t="s">
        <v>494</v>
      </c>
      <c r="B188" t="s">
        <v>227</v>
      </c>
      <c r="C188" t="s">
        <v>52</v>
      </c>
      <c r="D188" s="49">
        <v>45915</v>
      </c>
      <c r="E188" s="49">
        <v>45917</v>
      </c>
      <c r="F188" s="49">
        <v>45920</v>
      </c>
      <c r="G188" s="49">
        <v>45925</v>
      </c>
      <c r="H188" s="49">
        <v>45929</v>
      </c>
      <c r="I188" s="49">
        <v>45931</v>
      </c>
      <c r="J188" t="s">
        <v>49</v>
      </c>
      <c r="K188" s="33">
        <v>3200</v>
      </c>
      <c r="L188" t="s">
        <v>64</v>
      </c>
      <c r="M188" t="str">
        <f>_xlfn.XLOOKUP(Pipeline_tbl[[#This Row],[Rep_ID]],Dim_Reps!A:A,Dim_Reps!K:K)</f>
        <v>EUR</v>
      </c>
      <c r="N188" s="33">
        <f>(_xlfn.XLOOKUP(Pipeline_tbl[[#This Row],[Rate_Code_Generalized]],Lookups!A:A,Lookups!B:B))*Pipeline_tbl[[#This Row],[Pipeline_Amount_USD]]</f>
        <v>3200</v>
      </c>
      <c r="O188" t="str">
        <f>_xlfn.XLOOKUP(Pipeline_tbl[[#This Row],[Rep_ID]],Dim_Reps!A:A,Dim_Reps!B:B)</f>
        <v>Liam Muller</v>
      </c>
      <c r="P188" t="str">
        <f>_xlfn.XLOOKUP(Pipeline_tbl[[#This Row],[Rep_ID]],Dim_Reps!A:A,Dim_Reps!C:C)</f>
        <v>SDR / Inside Sales Rep</v>
      </c>
      <c r="Q188" t="str">
        <f>_xlfn.XLOOKUP(Pipeline_tbl[[#This Row],[Rep_ID]],Dim_Reps!A:A,Dim_Reps!D:D)</f>
        <v>Inside Sales</v>
      </c>
      <c r="R188" t="str">
        <f>_xlfn.XLOOKUP(Pipeline_tbl[[#This Row],[Rep_ID]],Dim_Reps!A:A,Dim_Reps!E:E)</f>
        <v>EMEA</v>
      </c>
      <c r="S188" t="str">
        <f>_xlfn.XLOOKUP(Pipeline_tbl[[#This Row],[Created_Date]],Dim_Date!A:A,Dim_Date!H:H)</f>
        <v>Sep 2025</v>
      </c>
      <c r="T188" t="str">
        <f>IF(Pipeline_tbl[[#This Row],[Closed_Date]]=0,"",(_xlfn.XLOOKUP(Pipeline_tbl[[#This Row],[Closed_Date]],Dim_Date!A:A,Dim_Date!H:H)))</f>
        <v>Oct 2025</v>
      </c>
      <c r="U188">
        <f>IF(Pipeline_tbl[[#This Row],[Closed_Date]]=0,"",Pipeline_tbl[[#This Row],[Closed_Date]]-Pipeline_tbl[[#This Row],[Created_Date]])</f>
        <v>16</v>
      </c>
    </row>
    <row r="189" spans="1:21" ht="15" customHeight="1" x14ac:dyDescent="0.2">
      <c r="A189" t="s">
        <v>495</v>
      </c>
      <c r="B189" t="s">
        <v>227</v>
      </c>
      <c r="C189" t="s">
        <v>54</v>
      </c>
      <c r="D189" s="49">
        <v>45920</v>
      </c>
      <c r="E189" s="49">
        <v>45922</v>
      </c>
      <c r="F189" s="49">
        <v>45926</v>
      </c>
      <c r="I189" s="49">
        <v>45940</v>
      </c>
      <c r="J189" t="s">
        <v>49</v>
      </c>
      <c r="K189" s="33">
        <v>2500</v>
      </c>
      <c r="L189" t="s">
        <v>64</v>
      </c>
      <c r="M189" t="str">
        <f>_xlfn.XLOOKUP(Pipeline_tbl[[#This Row],[Rep_ID]],Dim_Reps!A:A,Dim_Reps!K:K)</f>
        <v>EUR</v>
      </c>
      <c r="N189" s="33">
        <f>(_xlfn.XLOOKUP(Pipeline_tbl[[#This Row],[Rate_Code_Generalized]],Lookups!A:A,Lookups!B:B))*Pipeline_tbl[[#This Row],[Pipeline_Amount_USD]]</f>
        <v>2500</v>
      </c>
      <c r="O189" t="str">
        <f>_xlfn.XLOOKUP(Pipeline_tbl[[#This Row],[Rep_ID]],Dim_Reps!A:A,Dim_Reps!B:B)</f>
        <v>Liam Muller</v>
      </c>
      <c r="P189" t="str">
        <f>_xlfn.XLOOKUP(Pipeline_tbl[[#This Row],[Rep_ID]],Dim_Reps!A:A,Dim_Reps!C:C)</f>
        <v>SDR / Inside Sales Rep</v>
      </c>
      <c r="Q189" t="str">
        <f>_xlfn.XLOOKUP(Pipeline_tbl[[#This Row],[Rep_ID]],Dim_Reps!A:A,Dim_Reps!D:D)</f>
        <v>Inside Sales</v>
      </c>
      <c r="R189" t="str">
        <f>_xlfn.XLOOKUP(Pipeline_tbl[[#This Row],[Rep_ID]],Dim_Reps!A:A,Dim_Reps!E:E)</f>
        <v>EMEA</v>
      </c>
      <c r="S189" t="str">
        <f>_xlfn.XLOOKUP(Pipeline_tbl[[#This Row],[Created_Date]],Dim_Date!A:A,Dim_Date!H:H)</f>
        <v>Sep 2025</v>
      </c>
      <c r="T189" t="str">
        <f>IF(Pipeline_tbl[[#This Row],[Closed_Date]]=0,"",(_xlfn.XLOOKUP(Pipeline_tbl[[#This Row],[Closed_Date]],Dim_Date!A:A,Dim_Date!H:H)))</f>
        <v>Oct 2025</v>
      </c>
      <c r="U189">
        <f>IF(Pipeline_tbl[[#This Row],[Closed_Date]]=0,"",Pipeline_tbl[[#This Row],[Closed_Date]]-Pipeline_tbl[[#This Row],[Created_Date]])</f>
        <v>20</v>
      </c>
    </row>
    <row r="190" spans="1:21" ht="15" customHeight="1" x14ac:dyDescent="0.2">
      <c r="A190" t="s">
        <v>496</v>
      </c>
      <c r="B190" t="s">
        <v>227</v>
      </c>
      <c r="C190" t="s">
        <v>52</v>
      </c>
      <c r="D190" s="49">
        <v>45928</v>
      </c>
      <c r="E190" s="49">
        <v>45930</v>
      </c>
      <c r="F190" s="49">
        <v>45935</v>
      </c>
      <c r="G190" s="49">
        <v>45942</v>
      </c>
      <c r="I190" s="49">
        <v>45951</v>
      </c>
      <c r="J190" t="s">
        <v>49</v>
      </c>
      <c r="K190" s="33">
        <v>5500</v>
      </c>
      <c r="L190" t="s">
        <v>61</v>
      </c>
      <c r="M190" t="str">
        <f>_xlfn.XLOOKUP(Pipeline_tbl[[#This Row],[Rep_ID]],Dim_Reps!A:A,Dim_Reps!K:K)</f>
        <v>EUR</v>
      </c>
      <c r="N190" s="33">
        <f>(_xlfn.XLOOKUP(Pipeline_tbl[[#This Row],[Rate_Code_Generalized]],Lookups!A:A,Lookups!B:B))*Pipeline_tbl[[#This Row],[Pipeline_Amount_USD]]</f>
        <v>5500</v>
      </c>
      <c r="O190" t="str">
        <f>_xlfn.XLOOKUP(Pipeline_tbl[[#This Row],[Rep_ID]],Dim_Reps!A:A,Dim_Reps!B:B)</f>
        <v>Liam Muller</v>
      </c>
      <c r="P190" t="str">
        <f>_xlfn.XLOOKUP(Pipeline_tbl[[#This Row],[Rep_ID]],Dim_Reps!A:A,Dim_Reps!C:C)</f>
        <v>SDR / Inside Sales Rep</v>
      </c>
      <c r="Q190" t="str">
        <f>_xlfn.XLOOKUP(Pipeline_tbl[[#This Row],[Rep_ID]],Dim_Reps!A:A,Dim_Reps!D:D)</f>
        <v>Inside Sales</v>
      </c>
      <c r="R190" t="str">
        <f>_xlfn.XLOOKUP(Pipeline_tbl[[#This Row],[Rep_ID]],Dim_Reps!A:A,Dim_Reps!E:E)</f>
        <v>EMEA</v>
      </c>
      <c r="S190" t="str">
        <f>_xlfn.XLOOKUP(Pipeline_tbl[[#This Row],[Created_Date]],Dim_Date!A:A,Dim_Date!H:H)</f>
        <v>Sep 2025</v>
      </c>
      <c r="T190" t="str">
        <f>IF(Pipeline_tbl[[#This Row],[Closed_Date]]=0,"",(_xlfn.XLOOKUP(Pipeline_tbl[[#This Row],[Closed_Date]],Dim_Date!A:A,Dim_Date!H:H)))</f>
        <v>Oct 2025</v>
      </c>
      <c r="U190">
        <f>IF(Pipeline_tbl[[#This Row],[Closed_Date]]=0,"",Pipeline_tbl[[#This Row],[Closed_Date]]-Pipeline_tbl[[#This Row],[Created_Date]])</f>
        <v>23</v>
      </c>
    </row>
    <row r="191" spans="1:21" ht="15" customHeight="1" x14ac:dyDescent="0.2">
      <c r="A191" t="s">
        <v>497</v>
      </c>
      <c r="B191" t="s">
        <v>227</v>
      </c>
      <c r="C191" t="s">
        <v>54</v>
      </c>
      <c r="D191" s="49">
        <v>45912</v>
      </c>
      <c r="E191" s="49">
        <v>45914</v>
      </c>
      <c r="F191" s="49">
        <v>45919</v>
      </c>
      <c r="I191" s="49">
        <v>45935</v>
      </c>
      <c r="J191" t="s">
        <v>49</v>
      </c>
      <c r="K191" s="33">
        <v>4700</v>
      </c>
      <c r="L191" t="s">
        <v>60</v>
      </c>
      <c r="M191" t="str">
        <f>_xlfn.XLOOKUP(Pipeline_tbl[[#This Row],[Rep_ID]],Dim_Reps!A:A,Dim_Reps!K:K)</f>
        <v>EUR</v>
      </c>
      <c r="N191" s="33">
        <f>(_xlfn.XLOOKUP(Pipeline_tbl[[#This Row],[Rate_Code_Generalized]],Lookups!A:A,Lookups!B:B))*Pipeline_tbl[[#This Row],[Pipeline_Amount_USD]]</f>
        <v>4700</v>
      </c>
      <c r="O191" t="str">
        <f>_xlfn.XLOOKUP(Pipeline_tbl[[#This Row],[Rep_ID]],Dim_Reps!A:A,Dim_Reps!B:B)</f>
        <v>Liam Muller</v>
      </c>
      <c r="P191" t="str">
        <f>_xlfn.XLOOKUP(Pipeline_tbl[[#This Row],[Rep_ID]],Dim_Reps!A:A,Dim_Reps!C:C)</f>
        <v>SDR / Inside Sales Rep</v>
      </c>
      <c r="Q191" t="str">
        <f>_xlfn.XLOOKUP(Pipeline_tbl[[#This Row],[Rep_ID]],Dim_Reps!A:A,Dim_Reps!D:D)</f>
        <v>Inside Sales</v>
      </c>
      <c r="R191" t="str">
        <f>_xlfn.XLOOKUP(Pipeline_tbl[[#This Row],[Rep_ID]],Dim_Reps!A:A,Dim_Reps!E:E)</f>
        <v>EMEA</v>
      </c>
      <c r="S191" t="str">
        <f>_xlfn.XLOOKUP(Pipeline_tbl[[#This Row],[Created_Date]],Dim_Date!A:A,Dim_Date!H:H)</f>
        <v>Sep 2025</v>
      </c>
      <c r="T191" t="str">
        <f>IF(Pipeline_tbl[[#This Row],[Closed_Date]]=0,"",(_xlfn.XLOOKUP(Pipeline_tbl[[#This Row],[Closed_Date]],Dim_Date!A:A,Dim_Date!H:H)))</f>
        <v>Oct 2025</v>
      </c>
      <c r="U191">
        <f>IF(Pipeline_tbl[[#This Row],[Closed_Date]]=0,"",Pipeline_tbl[[#This Row],[Closed_Date]]-Pipeline_tbl[[#This Row],[Created_Date]])</f>
        <v>23</v>
      </c>
    </row>
    <row r="192" spans="1:21" ht="15" customHeight="1" x14ac:dyDescent="0.2">
      <c r="A192" t="s">
        <v>498</v>
      </c>
      <c r="B192" t="s">
        <v>191</v>
      </c>
      <c r="C192" t="s">
        <v>54</v>
      </c>
      <c r="D192" s="49">
        <v>45903</v>
      </c>
      <c r="E192" s="49">
        <v>45907</v>
      </c>
      <c r="F192" s="49">
        <v>45916</v>
      </c>
      <c r="G192" s="49">
        <v>45929</v>
      </c>
      <c r="H192" s="49">
        <v>45940</v>
      </c>
      <c r="I192" s="49">
        <v>45946</v>
      </c>
      <c r="J192" t="s">
        <v>47</v>
      </c>
      <c r="K192" s="33">
        <v>30800</v>
      </c>
      <c r="M192" t="str">
        <f>_xlfn.XLOOKUP(Pipeline_tbl[[#This Row],[Rep_ID]],Dim_Reps!A:A,Dim_Reps!K:K)</f>
        <v>USD</v>
      </c>
      <c r="N192" s="33">
        <f>(_xlfn.XLOOKUP(Pipeline_tbl[[#This Row],[Rate_Code_Generalized]],Lookups!A:A,Lookups!B:B))*Pipeline_tbl[[#This Row],[Pipeline_Amount_USD]]</f>
        <v>35860.439999999995</v>
      </c>
      <c r="O192" t="str">
        <f>_xlfn.XLOOKUP(Pipeline_tbl[[#This Row],[Rep_ID]],Dim_Reps!A:A,Dim_Reps!B:B)</f>
        <v>Zara Duarte</v>
      </c>
      <c r="P192" t="str">
        <f>_xlfn.XLOOKUP(Pipeline_tbl[[#This Row],[Rep_ID]],Dim_Reps!A:A,Dim_Reps!C:C)</f>
        <v>Enterprise AE</v>
      </c>
      <c r="Q192" t="str">
        <f>_xlfn.XLOOKUP(Pipeline_tbl[[#This Row],[Rep_ID]],Dim_Reps!A:A,Dim_Reps!D:D)</f>
        <v>Enterprise</v>
      </c>
      <c r="R192" t="str">
        <f>_xlfn.XLOOKUP(Pipeline_tbl[[#This Row],[Rep_ID]],Dim_Reps!A:A,Dim_Reps!E:E)</f>
        <v>NAMER</v>
      </c>
      <c r="S192" t="str">
        <f>_xlfn.XLOOKUP(Pipeline_tbl[[#This Row],[Created_Date]],Dim_Date!A:A,Dim_Date!H:H)</f>
        <v>Sep 2025</v>
      </c>
      <c r="T192" t="str">
        <f>IF(Pipeline_tbl[[#This Row],[Closed_Date]]=0,"",(_xlfn.XLOOKUP(Pipeline_tbl[[#This Row],[Closed_Date]],Dim_Date!A:A,Dim_Date!H:H)))</f>
        <v>Oct 2025</v>
      </c>
      <c r="U192">
        <f>IF(Pipeline_tbl[[#This Row],[Closed_Date]]=0,"",Pipeline_tbl[[#This Row],[Closed_Date]]-Pipeline_tbl[[#This Row],[Created_Date]])</f>
        <v>43</v>
      </c>
    </row>
    <row r="193" spans="1:21" ht="15" customHeight="1" x14ac:dyDescent="0.2">
      <c r="A193" t="s">
        <v>499</v>
      </c>
      <c r="B193" t="s">
        <v>191</v>
      </c>
      <c r="C193" t="s">
        <v>52</v>
      </c>
      <c r="D193" s="49">
        <v>45922</v>
      </c>
      <c r="E193" s="49">
        <v>45924</v>
      </c>
      <c r="F193" s="49">
        <v>45928</v>
      </c>
      <c r="G193" s="49">
        <v>45935</v>
      </c>
      <c r="H193" s="49">
        <v>45940</v>
      </c>
      <c r="I193" s="49">
        <v>45943</v>
      </c>
      <c r="J193" t="s">
        <v>49</v>
      </c>
      <c r="K193" s="33">
        <v>30900</v>
      </c>
      <c r="L193" t="s">
        <v>63</v>
      </c>
      <c r="M193" t="str">
        <f>_xlfn.XLOOKUP(Pipeline_tbl[[#This Row],[Rep_ID]],Dim_Reps!A:A,Dim_Reps!K:K)</f>
        <v>USD</v>
      </c>
      <c r="N193" s="33">
        <f>(_xlfn.XLOOKUP(Pipeline_tbl[[#This Row],[Rate_Code_Generalized]],Lookups!A:A,Lookups!B:B))*Pipeline_tbl[[#This Row],[Pipeline_Amount_USD]]</f>
        <v>35976.869999999995</v>
      </c>
      <c r="O193" t="str">
        <f>_xlfn.XLOOKUP(Pipeline_tbl[[#This Row],[Rep_ID]],Dim_Reps!A:A,Dim_Reps!B:B)</f>
        <v>Zara Duarte</v>
      </c>
      <c r="P193" t="str">
        <f>_xlfn.XLOOKUP(Pipeline_tbl[[#This Row],[Rep_ID]],Dim_Reps!A:A,Dim_Reps!C:C)</f>
        <v>Enterprise AE</v>
      </c>
      <c r="Q193" t="str">
        <f>_xlfn.XLOOKUP(Pipeline_tbl[[#This Row],[Rep_ID]],Dim_Reps!A:A,Dim_Reps!D:D)</f>
        <v>Enterprise</v>
      </c>
      <c r="R193" t="str">
        <f>_xlfn.XLOOKUP(Pipeline_tbl[[#This Row],[Rep_ID]],Dim_Reps!A:A,Dim_Reps!E:E)</f>
        <v>NAMER</v>
      </c>
      <c r="S193" t="str">
        <f>_xlfn.XLOOKUP(Pipeline_tbl[[#This Row],[Created_Date]],Dim_Date!A:A,Dim_Date!H:H)</f>
        <v>Sep 2025</v>
      </c>
      <c r="T193" t="str">
        <f>IF(Pipeline_tbl[[#This Row],[Closed_Date]]=0,"",(_xlfn.XLOOKUP(Pipeline_tbl[[#This Row],[Closed_Date]],Dim_Date!A:A,Dim_Date!H:H)))</f>
        <v>Oct 2025</v>
      </c>
      <c r="U193">
        <f>IF(Pipeline_tbl[[#This Row],[Closed_Date]]=0,"",Pipeline_tbl[[#This Row],[Closed_Date]]-Pipeline_tbl[[#This Row],[Created_Date]])</f>
        <v>21</v>
      </c>
    </row>
    <row r="194" spans="1:21" ht="15" customHeight="1" x14ac:dyDescent="0.2">
      <c r="A194" t="s">
        <v>500</v>
      </c>
      <c r="B194" t="s">
        <v>229</v>
      </c>
      <c r="C194" t="s">
        <v>54</v>
      </c>
      <c r="D194" s="49">
        <v>45916</v>
      </c>
      <c r="E194" s="49">
        <v>45918</v>
      </c>
      <c r="F194" s="49">
        <v>45922</v>
      </c>
      <c r="G194" s="49">
        <v>45929</v>
      </c>
      <c r="H194" s="49">
        <v>45934</v>
      </c>
      <c r="I194" s="49">
        <v>45937</v>
      </c>
      <c r="J194" t="s">
        <v>47</v>
      </c>
      <c r="K194" s="33">
        <v>2700</v>
      </c>
      <c r="M194" t="str">
        <f>_xlfn.XLOOKUP(Pipeline_tbl[[#This Row],[Rep_ID]],Dim_Reps!A:A,Dim_Reps!K:K)</f>
        <v>USD</v>
      </c>
      <c r="N194" s="33">
        <f>(_xlfn.XLOOKUP(Pipeline_tbl[[#This Row],[Rate_Code_Generalized]],Lookups!A:A,Lookups!B:B))*Pipeline_tbl[[#This Row],[Pipeline_Amount_USD]]</f>
        <v>3143.6099999999997</v>
      </c>
      <c r="O194" t="str">
        <f>_xlfn.XLOOKUP(Pipeline_tbl[[#This Row],[Rep_ID]],Dim_Reps!A:A,Dim_Reps!B:B)</f>
        <v>Liam Castro</v>
      </c>
      <c r="P194" t="str">
        <f>_xlfn.XLOOKUP(Pipeline_tbl[[#This Row],[Rep_ID]],Dim_Reps!A:A,Dim_Reps!C:C)</f>
        <v>SDR / Inside Sales Rep</v>
      </c>
      <c r="Q194" t="str">
        <f>_xlfn.XLOOKUP(Pipeline_tbl[[#This Row],[Rep_ID]],Dim_Reps!A:A,Dim_Reps!D:D)</f>
        <v>Inside Sales</v>
      </c>
      <c r="R194" t="str">
        <f>_xlfn.XLOOKUP(Pipeline_tbl[[#This Row],[Rep_ID]],Dim_Reps!A:A,Dim_Reps!E:E)</f>
        <v>NAMER</v>
      </c>
      <c r="S194" t="str">
        <f>_xlfn.XLOOKUP(Pipeline_tbl[[#This Row],[Created_Date]],Dim_Date!A:A,Dim_Date!H:H)</f>
        <v>Sep 2025</v>
      </c>
      <c r="T194" t="str">
        <f>IF(Pipeline_tbl[[#This Row],[Closed_Date]]=0,"",(_xlfn.XLOOKUP(Pipeline_tbl[[#This Row],[Closed_Date]],Dim_Date!A:A,Dim_Date!H:H)))</f>
        <v>Oct 2025</v>
      </c>
      <c r="U194">
        <f>IF(Pipeline_tbl[[#This Row],[Closed_Date]]=0,"",Pipeline_tbl[[#This Row],[Closed_Date]]-Pipeline_tbl[[#This Row],[Created_Date]])</f>
        <v>21</v>
      </c>
    </row>
    <row r="195" spans="1:21" ht="15" customHeight="1" x14ac:dyDescent="0.2">
      <c r="A195" t="s">
        <v>501</v>
      </c>
      <c r="B195" t="s">
        <v>229</v>
      </c>
      <c r="C195" t="s">
        <v>52</v>
      </c>
      <c r="D195" s="49">
        <v>45917</v>
      </c>
      <c r="E195" s="49">
        <v>45919</v>
      </c>
      <c r="I195" s="49">
        <v>45939</v>
      </c>
      <c r="J195" t="s">
        <v>49</v>
      </c>
      <c r="K195" s="33">
        <v>5700</v>
      </c>
      <c r="L195" t="s">
        <v>60</v>
      </c>
      <c r="M195" t="str">
        <f>_xlfn.XLOOKUP(Pipeline_tbl[[#This Row],[Rep_ID]],Dim_Reps!A:A,Dim_Reps!K:K)</f>
        <v>USD</v>
      </c>
      <c r="N195" s="33">
        <f>(_xlfn.XLOOKUP(Pipeline_tbl[[#This Row],[Rate_Code_Generalized]],Lookups!A:A,Lookups!B:B))*Pipeline_tbl[[#This Row],[Pipeline_Amount_USD]]</f>
        <v>6636.5099999999993</v>
      </c>
      <c r="O195" t="str">
        <f>_xlfn.XLOOKUP(Pipeline_tbl[[#This Row],[Rep_ID]],Dim_Reps!A:A,Dim_Reps!B:B)</f>
        <v>Liam Castro</v>
      </c>
      <c r="P195" t="str">
        <f>_xlfn.XLOOKUP(Pipeline_tbl[[#This Row],[Rep_ID]],Dim_Reps!A:A,Dim_Reps!C:C)</f>
        <v>SDR / Inside Sales Rep</v>
      </c>
      <c r="Q195" t="str">
        <f>_xlfn.XLOOKUP(Pipeline_tbl[[#This Row],[Rep_ID]],Dim_Reps!A:A,Dim_Reps!D:D)</f>
        <v>Inside Sales</v>
      </c>
      <c r="R195" t="str">
        <f>_xlfn.XLOOKUP(Pipeline_tbl[[#This Row],[Rep_ID]],Dim_Reps!A:A,Dim_Reps!E:E)</f>
        <v>NAMER</v>
      </c>
      <c r="S195" t="str">
        <f>_xlfn.XLOOKUP(Pipeline_tbl[[#This Row],[Created_Date]],Dim_Date!A:A,Dim_Date!H:H)</f>
        <v>Sep 2025</v>
      </c>
      <c r="T195" t="str">
        <f>IF(Pipeline_tbl[[#This Row],[Closed_Date]]=0,"",(_xlfn.XLOOKUP(Pipeline_tbl[[#This Row],[Closed_Date]],Dim_Date!A:A,Dim_Date!H:H)))</f>
        <v>Oct 2025</v>
      </c>
      <c r="U195">
        <f>IF(Pipeline_tbl[[#This Row],[Closed_Date]]=0,"",Pipeline_tbl[[#This Row],[Closed_Date]]-Pipeline_tbl[[#This Row],[Created_Date]])</f>
        <v>22</v>
      </c>
    </row>
    <row r="196" spans="1:21" ht="15" customHeight="1" x14ac:dyDescent="0.2">
      <c r="A196" t="s">
        <v>502</v>
      </c>
      <c r="B196" t="s">
        <v>229</v>
      </c>
      <c r="C196" t="s">
        <v>52</v>
      </c>
      <c r="D196" s="49">
        <v>45926</v>
      </c>
      <c r="E196" s="49">
        <v>45927</v>
      </c>
      <c r="F196" s="49">
        <v>45928</v>
      </c>
      <c r="G196" s="49">
        <v>45931</v>
      </c>
      <c r="H196" s="49">
        <v>45933</v>
      </c>
      <c r="I196" s="49">
        <v>45934</v>
      </c>
      <c r="J196" t="s">
        <v>49</v>
      </c>
      <c r="K196" s="33">
        <v>2300</v>
      </c>
      <c r="L196" t="s">
        <v>60</v>
      </c>
      <c r="M196" t="str">
        <f>_xlfn.XLOOKUP(Pipeline_tbl[[#This Row],[Rep_ID]],Dim_Reps!A:A,Dim_Reps!K:K)</f>
        <v>USD</v>
      </c>
      <c r="N196" s="33">
        <f>(_xlfn.XLOOKUP(Pipeline_tbl[[#This Row],[Rate_Code_Generalized]],Lookups!A:A,Lookups!B:B))*Pipeline_tbl[[#This Row],[Pipeline_Amount_USD]]</f>
        <v>2677.89</v>
      </c>
      <c r="O196" t="str">
        <f>_xlfn.XLOOKUP(Pipeline_tbl[[#This Row],[Rep_ID]],Dim_Reps!A:A,Dim_Reps!B:B)</f>
        <v>Liam Castro</v>
      </c>
      <c r="P196" t="str">
        <f>_xlfn.XLOOKUP(Pipeline_tbl[[#This Row],[Rep_ID]],Dim_Reps!A:A,Dim_Reps!C:C)</f>
        <v>SDR / Inside Sales Rep</v>
      </c>
      <c r="Q196" t="str">
        <f>_xlfn.XLOOKUP(Pipeline_tbl[[#This Row],[Rep_ID]],Dim_Reps!A:A,Dim_Reps!D:D)</f>
        <v>Inside Sales</v>
      </c>
      <c r="R196" t="str">
        <f>_xlfn.XLOOKUP(Pipeline_tbl[[#This Row],[Rep_ID]],Dim_Reps!A:A,Dim_Reps!E:E)</f>
        <v>NAMER</v>
      </c>
      <c r="S196" t="str">
        <f>_xlfn.XLOOKUP(Pipeline_tbl[[#This Row],[Created_Date]],Dim_Date!A:A,Dim_Date!H:H)</f>
        <v>Sep 2025</v>
      </c>
      <c r="T196" t="str">
        <f>IF(Pipeline_tbl[[#This Row],[Closed_Date]]=0,"",(_xlfn.XLOOKUP(Pipeline_tbl[[#This Row],[Closed_Date]],Dim_Date!A:A,Dim_Date!H:H)))</f>
        <v>Oct 2025</v>
      </c>
      <c r="U196">
        <f>IF(Pipeline_tbl[[#This Row],[Closed_Date]]=0,"",Pipeline_tbl[[#This Row],[Closed_Date]]-Pipeline_tbl[[#This Row],[Created_Date]])</f>
        <v>8</v>
      </c>
    </row>
    <row r="197" spans="1:21" ht="15" customHeight="1" x14ac:dyDescent="0.2">
      <c r="A197" t="s">
        <v>503</v>
      </c>
      <c r="B197" t="s">
        <v>229</v>
      </c>
      <c r="C197" t="s">
        <v>55</v>
      </c>
      <c r="D197" s="49">
        <v>45927</v>
      </c>
      <c r="E197" s="49">
        <v>45929</v>
      </c>
      <c r="F197" s="49">
        <v>45933</v>
      </c>
      <c r="G197" s="49">
        <v>45940</v>
      </c>
      <c r="H197" s="49">
        <v>45945</v>
      </c>
      <c r="I197" s="49">
        <v>45948</v>
      </c>
      <c r="J197" t="s">
        <v>49</v>
      </c>
      <c r="K197" s="33">
        <v>5000</v>
      </c>
      <c r="L197" t="s">
        <v>61</v>
      </c>
      <c r="M197" t="str">
        <f>_xlfn.XLOOKUP(Pipeline_tbl[[#This Row],[Rep_ID]],Dim_Reps!A:A,Dim_Reps!K:K)</f>
        <v>USD</v>
      </c>
      <c r="N197" s="33">
        <f>(_xlfn.XLOOKUP(Pipeline_tbl[[#This Row],[Rate_Code_Generalized]],Lookups!A:A,Lookups!B:B))*Pipeline_tbl[[#This Row],[Pipeline_Amount_USD]]</f>
        <v>5821.4999999999991</v>
      </c>
      <c r="O197" t="str">
        <f>_xlfn.XLOOKUP(Pipeline_tbl[[#This Row],[Rep_ID]],Dim_Reps!A:A,Dim_Reps!B:B)</f>
        <v>Liam Castro</v>
      </c>
      <c r="P197" t="str">
        <f>_xlfn.XLOOKUP(Pipeline_tbl[[#This Row],[Rep_ID]],Dim_Reps!A:A,Dim_Reps!C:C)</f>
        <v>SDR / Inside Sales Rep</v>
      </c>
      <c r="Q197" t="str">
        <f>_xlfn.XLOOKUP(Pipeline_tbl[[#This Row],[Rep_ID]],Dim_Reps!A:A,Dim_Reps!D:D)</f>
        <v>Inside Sales</v>
      </c>
      <c r="R197" t="str">
        <f>_xlfn.XLOOKUP(Pipeline_tbl[[#This Row],[Rep_ID]],Dim_Reps!A:A,Dim_Reps!E:E)</f>
        <v>NAMER</v>
      </c>
      <c r="S197" t="str">
        <f>_xlfn.XLOOKUP(Pipeline_tbl[[#This Row],[Created_Date]],Dim_Date!A:A,Dim_Date!H:H)</f>
        <v>Sep 2025</v>
      </c>
      <c r="T197" t="str">
        <f>IF(Pipeline_tbl[[#This Row],[Closed_Date]]=0,"",(_xlfn.XLOOKUP(Pipeline_tbl[[#This Row],[Closed_Date]],Dim_Date!A:A,Dim_Date!H:H)))</f>
        <v>Oct 2025</v>
      </c>
      <c r="U197">
        <f>IF(Pipeline_tbl[[#This Row],[Closed_Date]]=0,"",Pipeline_tbl[[#This Row],[Closed_Date]]-Pipeline_tbl[[#This Row],[Created_Date]])</f>
        <v>21</v>
      </c>
    </row>
    <row r="198" spans="1:21" ht="15" customHeight="1" x14ac:dyDescent="0.2">
      <c r="A198" t="s">
        <v>504</v>
      </c>
      <c r="B198" t="s">
        <v>229</v>
      </c>
      <c r="C198" t="s">
        <v>52</v>
      </c>
      <c r="D198" s="49">
        <v>45924</v>
      </c>
      <c r="E198" s="49">
        <v>45926</v>
      </c>
      <c r="F198" s="49">
        <v>45930</v>
      </c>
      <c r="G198" s="49">
        <v>45935</v>
      </c>
      <c r="H198" s="49">
        <v>45940</v>
      </c>
      <c r="I198" s="49">
        <v>45943</v>
      </c>
      <c r="J198" t="s">
        <v>47</v>
      </c>
      <c r="K198" s="33">
        <v>6200</v>
      </c>
      <c r="M198" t="str">
        <f>_xlfn.XLOOKUP(Pipeline_tbl[[#This Row],[Rep_ID]],Dim_Reps!A:A,Dim_Reps!K:K)</f>
        <v>USD</v>
      </c>
      <c r="N198" s="33">
        <f>(_xlfn.XLOOKUP(Pipeline_tbl[[#This Row],[Rate_Code_Generalized]],Lookups!A:A,Lookups!B:B))*Pipeline_tbl[[#This Row],[Pipeline_Amount_USD]]</f>
        <v>7218.6599999999989</v>
      </c>
      <c r="O198" t="str">
        <f>_xlfn.XLOOKUP(Pipeline_tbl[[#This Row],[Rep_ID]],Dim_Reps!A:A,Dim_Reps!B:B)</f>
        <v>Liam Castro</v>
      </c>
      <c r="P198" t="str">
        <f>_xlfn.XLOOKUP(Pipeline_tbl[[#This Row],[Rep_ID]],Dim_Reps!A:A,Dim_Reps!C:C)</f>
        <v>SDR / Inside Sales Rep</v>
      </c>
      <c r="Q198" t="str">
        <f>_xlfn.XLOOKUP(Pipeline_tbl[[#This Row],[Rep_ID]],Dim_Reps!A:A,Dim_Reps!D:D)</f>
        <v>Inside Sales</v>
      </c>
      <c r="R198" t="str">
        <f>_xlfn.XLOOKUP(Pipeline_tbl[[#This Row],[Rep_ID]],Dim_Reps!A:A,Dim_Reps!E:E)</f>
        <v>NAMER</v>
      </c>
      <c r="S198" t="str">
        <f>_xlfn.XLOOKUP(Pipeline_tbl[[#This Row],[Created_Date]],Dim_Date!A:A,Dim_Date!H:H)</f>
        <v>Sep 2025</v>
      </c>
      <c r="T198" t="str">
        <f>IF(Pipeline_tbl[[#This Row],[Closed_Date]]=0,"",(_xlfn.XLOOKUP(Pipeline_tbl[[#This Row],[Closed_Date]],Dim_Date!A:A,Dim_Date!H:H)))</f>
        <v>Oct 2025</v>
      </c>
      <c r="U198">
        <f>IF(Pipeline_tbl[[#This Row],[Closed_Date]]=0,"",Pipeline_tbl[[#This Row],[Closed_Date]]-Pipeline_tbl[[#This Row],[Created_Date]])</f>
        <v>19</v>
      </c>
    </row>
    <row r="199" spans="1:21" ht="15" customHeight="1" x14ac:dyDescent="0.2">
      <c r="A199" t="s">
        <v>505</v>
      </c>
      <c r="B199" t="s">
        <v>231</v>
      </c>
      <c r="C199" t="s">
        <v>52</v>
      </c>
      <c r="D199" s="49">
        <v>45915</v>
      </c>
      <c r="E199" s="49">
        <v>45917</v>
      </c>
      <c r="F199" s="49">
        <v>45922</v>
      </c>
      <c r="I199" s="49">
        <v>45939</v>
      </c>
      <c r="J199" t="s">
        <v>49</v>
      </c>
      <c r="K199" s="33">
        <v>4500</v>
      </c>
      <c r="L199" t="s">
        <v>62</v>
      </c>
      <c r="M199" t="str">
        <f>_xlfn.XLOOKUP(Pipeline_tbl[[#This Row],[Rep_ID]],Dim_Reps!A:A,Dim_Reps!K:K)</f>
        <v>MXN</v>
      </c>
      <c r="N199" s="33">
        <f>(_xlfn.XLOOKUP(Pipeline_tbl[[#This Row],[Rate_Code_Generalized]],Lookups!A:A,Lookups!B:B))*Pipeline_tbl[[#This Row],[Pipeline_Amount_USD]]</f>
        <v>88797.150000000009</v>
      </c>
      <c r="O199" t="str">
        <f>_xlfn.XLOOKUP(Pipeline_tbl[[#This Row],[Rep_ID]],Dim_Reps!A:A,Dim_Reps!B:B)</f>
        <v>Ben Silva</v>
      </c>
      <c r="P199" t="str">
        <f>_xlfn.XLOOKUP(Pipeline_tbl[[#This Row],[Rep_ID]],Dim_Reps!A:A,Dim_Reps!C:C)</f>
        <v>SDR / Inside Sales Rep</v>
      </c>
      <c r="Q199" t="str">
        <f>_xlfn.XLOOKUP(Pipeline_tbl[[#This Row],[Rep_ID]],Dim_Reps!A:A,Dim_Reps!D:D)</f>
        <v>Inside Sales</v>
      </c>
      <c r="R199" t="str">
        <f>_xlfn.XLOOKUP(Pipeline_tbl[[#This Row],[Rep_ID]],Dim_Reps!A:A,Dim_Reps!E:E)</f>
        <v>LATAM</v>
      </c>
      <c r="S199" t="str">
        <f>_xlfn.XLOOKUP(Pipeline_tbl[[#This Row],[Created_Date]],Dim_Date!A:A,Dim_Date!H:H)</f>
        <v>Sep 2025</v>
      </c>
      <c r="T199" t="str">
        <f>IF(Pipeline_tbl[[#This Row],[Closed_Date]]=0,"",(_xlfn.XLOOKUP(Pipeline_tbl[[#This Row],[Closed_Date]],Dim_Date!A:A,Dim_Date!H:H)))</f>
        <v>Oct 2025</v>
      </c>
      <c r="U199">
        <f>IF(Pipeline_tbl[[#This Row],[Closed_Date]]=0,"",Pipeline_tbl[[#This Row],[Closed_Date]]-Pipeline_tbl[[#This Row],[Created_Date]])</f>
        <v>24</v>
      </c>
    </row>
    <row r="200" spans="1:21" ht="15" customHeight="1" x14ac:dyDescent="0.2">
      <c r="A200" t="s">
        <v>506</v>
      </c>
      <c r="B200" t="s">
        <v>231</v>
      </c>
      <c r="C200" t="s">
        <v>52</v>
      </c>
      <c r="D200" s="49">
        <v>45910</v>
      </c>
      <c r="E200" s="49">
        <v>45912</v>
      </c>
      <c r="F200" s="49">
        <v>45916</v>
      </c>
      <c r="G200" s="49">
        <v>45923</v>
      </c>
      <c r="H200" s="49">
        <v>45928</v>
      </c>
      <c r="I200" s="49">
        <v>45931</v>
      </c>
      <c r="J200" t="s">
        <v>47</v>
      </c>
      <c r="K200" s="33">
        <v>4300</v>
      </c>
      <c r="M200" t="str">
        <f>_xlfn.XLOOKUP(Pipeline_tbl[[#This Row],[Rep_ID]],Dim_Reps!A:A,Dim_Reps!K:K)</f>
        <v>MXN</v>
      </c>
      <c r="N200" s="33">
        <f>(_xlfn.XLOOKUP(Pipeline_tbl[[#This Row],[Rate_Code_Generalized]],Lookups!A:A,Lookups!B:B))*Pipeline_tbl[[#This Row],[Pipeline_Amount_USD]]</f>
        <v>84850.61</v>
      </c>
      <c r="O200" t="str">
        <f>_xlfn.XLOOKUP(Pipeline_tbl[[#This Row],[Rep_ID]],Dim_Reps!A:A,Dim_Reps!B:B)</f>
        <v>Ben Silva</v>
      </c>
      <c r="P200" t="str">
        <f>_xlfn.XLOOKUP(Pipeline_tbl[[#This Row],[Rep_ID]],Dim_Reps!A:A,Dim_Reps!C:C)</f>
        <v>SDR / Inside Sales Rep</v>
      </c>
      <c r="Q200" t="str">
        <f>_xlfn.XLOOKUP(Pipeline_tbl[[#This Row],[Rep_ID]],Dim_Reps!A:A,Dim_Reps!D:D)</f>
        <v>Inside Sales</v>
      </c>
      <c r="R200" t="str">
        <f>_xlfn.XLOOKUP(Pipeline_tbl[[#This Row],[Rep_ID]],Dim_Reps!A:A,Dim_Reps!E:E)</f>
        <v>LATAM</v>
      </c>
      <c r="S200" t="str">
        <f>_xlfn.XLOOKUP(Pipeline_tbl[[#This Row],[Created_Date]],Dim_Date!A:A,Dim_Date!H:H)</f>
        <v>Sep 2025</v>
      </c>
      <c r="T200" t="str">
        <f>IF(Pipeline_tbl[[#This Row],[Closed_Date]]=0,"",(_xlfn.XLOOKUP(Pipeline_tbl[[#This Row],[Closed_Date]],Dim_Date!A:A,Dim_Date!H:H)))</f>
        <v>Oct 2025</v>
      </c>
      <c r="U200">
        <f>IF(Pipeline_tbl[[#This Row],[Closed_Date]]=0,"",Pipeline_tbl[[#This Row],[Closed_Date]]-Pipeline_tbl[[#This Row],[Created_Date]])</f>
        <v>21</v>
      </c>
    </row>
    <row r="201" spans="1:21" ht="15" customHeight="1" x14ac:dyDescent="0.2">
      <c r="A201" t="s">
        <v>507</v>
      </c>
      <c r="B201" t="s">
        <v>231</v>
      </c>
      <c r="C201" t="s">
        <v>54</v>
      </c>
      <c r="D201" s="49">
        <v>45928</v>
      </c>
      <c r="E201" s="49">
        <v>45930</v>
      </c>
      <c r="F201" s="49">
        <v>45933</v>
      </c>
      <c r="G201" s="49">
        <v>45937</v>
      </c>
      <c r="I201" s="49">
        <v>45943</v>
      </c>
      <c r="J201" t="s">
        <v>49</v>
      </c>
      <c r="K201" s="33">
        <v>4700</v>
      </c>
      <c r="L201" t="s">
        <v>61</v>
      </c>
      <c r="M201" t="str">
        <f>_xlfn.XLOOKUP(Pipeline_tbl[[#This Row],[Rep_ID]],Dim_Reps!A:A,Dim_Reps!K:K)</f>
        <v>MXN</v>
      </c>
      <c r="N201" s="33">
        <f>(_xlfn.XLOOKUP(Pipeline_tbl[[#This Row],[Rate_Code_Generalized]],Lookups!A:A,Lookups!B:B))*Pipeline_tbl[[#This Row],[Pipeline_Amount_USD]]</f>
        <v>92743.69</v>
      </c>
      <c r="O201" t="str">
        <f>_xlfn.XLOOKUP(Pipeline_tbl[[#This Row],[Rep_ID]],Dim_Reps!A:A,Dim_Reps!B:B)</f>
        <v>Ben Silva</v>
      </c>
      <c r="P201" t="str">
        <f>_xlfn.XLOOKUP(Pipeline_tbl[[#This Row],[Rep_ID]],Dim_Reps!A:A,Dim_Reps!C:C)</f>
        <v>SDR / Inside Sales Rep</v>
      </c>
      <c r="Q201" t="str">
        <f>_xlfn.XLOOKUP(Pipeline_tbl[[#This Row],[Rep_ID]],Dim_Reps!A:A,Dim_Reps!D:D)</f>
        <v>Inside Sales</v>
      </c>
      <c r="R201" t="str">
        <f>_xlfn.XLOOKUP(Pipeline_tbl[[#This Row],[Rep_ID]],Dim_Reps!A:A,Dim_Reps!E:E)</f>
        <v>LATAM</v>
      </c>
      <c r="S201" t="str">
        <f>_xlfn.XLOOKUP(Pipeline_tbl[[#This Row],[Created_Date]],Dim_Date!A:A,Dim_Date!H:H)</f>
        <v>Sep 2025</v>
      </c>
      <c r="T201" t="str">
        <f>IF(Pipeline_tbl[[#This Row],[Closed_Date]]=0,"",(_xlfn.XLOOKUP(Pipeline_tbl[[#This Row],[Closed_Date]],Dim_Date!A:A,Dim_Date!H:H)))</f>
        <v>Oct 2025</v>
      </c>
      <c r="U201">
        <f>IF(Pipeline_tbl[[#This Row],[Closed_Date]]=0,"",Pipeline_tbl[[#This Row],[Closed_Date]]-Pipeline_tbl[[#This Row],[Created_Date]])</f>
        <v>15</v>
      </c>
    </row>
    <row r="202" spans="1:21" ht="15" customHeight="1" x14ac:dyDescent="0.2">
      <c r="A202" t="s">
        <v>508</v>
      </c>
      <c r="B202" t="s">
        <v>263</v>
      </c>
      <c r="C202" t="s">
        <v>52</v>
      </c>
      <c r="D202" s="49">
        <v>45906</v>
      </c>
      <c r="E202" s="49">
        <v>45909</v>
      </c>
      <c r="F202" s="49">
        <v>45915</v>
      </c>
      <c r="I202" s="49">
        <v>45936</v>
      </c>
      <c r="J202" t="s">
        <v>49</v>
      </c>
      <c r="K202" s="33">
        <v>9000</v>
      </c>
      <c r="L202" t="s">
        <v>62</v>
      </c>
      <c r="M202" t="str">
        <f>_xlfn.XLOOKUP(Pipeline_tbl[[#This Row],[Rep_ID]],Dim_Reps!A:A,Dim_Reps!K:K)</f>
        <v>USD</v>
      </c>
      <c r="N202" s="33">
        <f>(_xlfn.XLOOKUP(Pipeline_tbl[[#This Row],[Rate_Code_Generalized]],Lookups!A:A,Lookups!B:B))*Pipeline_tbl[[#This Row],[Pipeline_Amount_USD]]</f>
        <v>10478.699999999999</v>
      </c>
      <c r="O202" t="str">
        <f>_xlfn.XLOOKUP(Pipeline_tbl[[#This Row],[Rep_ID]],Dim_Reps!A:A,Dim_Reps!B:B)</f>
        <v>Morgan Weber</v>
      </c>
      <c r="P202" t="str">
        <f>_xlfn.XLOOKUP(Pipeline_tbl[[#This Row],[Rep_ID]],Dim_Reps!A:A,Dim_Reps!C:C)</f>
        <v>Mid-Market AE</v>
      </c>
      <c r="Q202" t="str">
        <f>_xlfn.XLOOKUP(Pipeline_tbl[[#This Row],[Rep_ID]],Dim_Reps!A:A,Dim_Reps!D:D)</f>
        <v>Mid-Market</v>
      </c>
      <c r="R202" t="str">
        <f>_xlfn.XLOOKUP(Pipeline_tbl[[#This Row],[Rep_ID]],Dim_Reps!A:A,Dim_Reps!E:E)</f>
        <v>NAMER</v>
      </c>
      <c r="S202" t="str">
        <f>_xlfn.XLOOKUP(Pipeline_tbl[[#This Row],[Created_Date]],Dim_Date!A:A,Dim_Date!H:H)</f>
        <v>Sep 2025</v>
      </c>
      <c r="T202" t="str">
        <f>IF(Pipeline_tbl[[#This Row],[Closed_Date]]=0,"",(_xlfn.XLOOKUP(Pipeline_tbl[[#This Row],[Closed_Date]],Dim_Date!A:A,Dim_Date!H:H)))</f>
        <v>Oct 2025</v>
      </c>
      <c r="U202">
        <f>IF(Pipeline_tbl[[#This Row],[Closed_Date]]=0,"",Pipeline_tbl[[#This Row],[Closed_Date]]-Pipeline_tbl[[#This Row],[Created_Date]])</f>
        <v>30</v>
      </c>
    </row>
    <row r="203" spans="1:21" ht="15" customHeight="1" x14ac:dyDescent="0.2">
      <c r="A203" t="s">
        <v>509</v>
      </c>
      <c r="B203" t="s">
        <v>265</v>
      </c>
      <c r="C203" t="s">
        <v>53</v>
      </c>
      <c r="D203" s="49">
        <v>45913</v>
      </c>
      <c r="E203" s="49">
        <v>45916</v>
      </c>
      <c r="F203" s="49">
        <v>45923</v>
      </c>
      <c r="G203" s="49">
        <v>45933</v>
      </c>
      <c r="I203" s="49">
        <v>45946</v>
      </c>
      <c r="J203" t="s">
        <v>49</v>
      </c>
      <c r="K203" s="33">
        <v>12900</v>
      </c>
      <c r="L203" t="s">
        <v>61</v>
      </c>
      <c r="M203" t="str">
        <f>_xlfn.XLOOKUP(Pipeline_tbl[[#This Row],[Rep_ID]],Dim_Reps!A:A,Dim_Reps!K:K)</f>
        <v>EUR</v>
      </c>
      <c r="N203" s="33">
        <f>(_xlfn.XLOOKUP(Pipeline_tbl[[#This Row],[Rate_Code_Generalized]],Lookups!A:A,Lookups!B:B))*Pipeline_tbl[[#This Row],[Pipeline_Amount_USD]]</f>
        <v>12900</v>
      </c>
      <c r="O203" t="str">
        <f>_xlfn.XLOOKUP(Pipeline_tbl[[#This Row],[Rep_ID]],Dim_Reps!A:A,Dim_Reps!B:B)</f>
        <v>Erik Duarte</v>
      </c>
      <c r="P203" t="str">
        <f>_xlfn.XLOOKUP(Pipeline_tbl[[#This Row],[Rep_ID]],Dim_Reps!A:A,Dim_Reps!C:C)</f>
        <v>Mid-Market AE</v>
      </c>
      <c r="Q203" t="str">
        <f>_xlfn.XLOOKUP(Pipeline_tbl[[#This Row],[Rep_ID]],Dim_Reps!A:A,Dim_Reps!D:D)</f>
        <v>Mid-Market</v>
      </c>
      <c r="R203" t="str">
        <f>_xlfn.XLOOKUP(Pipeline_tbl[[#This Row],[Rep_ID]],Dim_Reps!A:A,Dim_Reps!E:E)</f>
        <v>EMEA</v>
      </c>
      <c r="S203" t="str">
        <f>_xlfn.XLOOKUP(Pipeline_tbl[[#This Row],[Created_Date]],Dim_Date!A:A,Dim_Date!H:H)</f>
        <v>Sep 2025</v>
      </c>
      <c r="T203" t="str">
        <f>IF(Pipeline_tbl[[#This Row],[Closed_Date]]=0,"",(_xlfn.XLOOKUP(Pipeline_tbl[[#This Row],[Closed_Date]],Dim_Date!A:A,Dim_Date!H:H)))</f>
        <v>Oct 2025</v>
      </c>
      <c r="U203">
        <f>IF(Pipeline_tbl[[#This Row],[Closed_Date]]=0,"",Pipeline_tbl[[#This Row],[Closed_Date]]-Pipeline_tbl[[#This Row],[Created_Date]])</f>
        <v>33</v>
      </c>
    </row>
    <row r="204" spans="1:21" ht="15" customHeight="1" x14ac:dyDescent="0.2">
      <c r="A204" t="s">
        <v>510</v>
      </c>
      <c r="B204" t="s">
        <v>265</v>
      </c>
      <c r="C204" t="s">
        <v>52</v>
      </c>
      <c r="D204" s="49">
        <v>45910</v>
      </c>
      <c r="E204" s="49">
        <v>45915</v>
      </c>
      <c r="F204" s="49">
        <v>45924</v>
      </c>
      <c r="G204" s="49">
        <v>45938</v>
      </c>
      <c r="H204" s="49">
        <v>45949</v>
      </c>
      <c r="I204" s="49">
        <v>45956</v>
      </c>
      <c r="J204" t="s">
        <v>47</v>
      </c>
      <c r="K204" s="33">
        <v>4700</v>
      </c>
      <c r="M204" t="str">
        <f>_xlfn.XLOOKUP(Pipeline_tbl[[#This Row],[Rep_ID]],Dim_Reps!A:A,Dim_Reps!K:K)</f>
        <v>EUR</v>
      </c>
      <c r="N204" s="33">
        <f>(_xlfn.XLOOKUP(Pipeline_tbl[[#This Row],[Rate_Code_Generalized]],Lookups!A:A,Lookups!B:B))*Pipeline_tbl[[#This Row],[Pipeline_Amount_USD]]</f>
        <v>4700</v>
      </c>
      <c r="O204" t="str">
        <f>_xlfn.XLOOKUP(Pipeline_tbl[[#This Row],[Rep_ID]],Dim_Reps!A:A,Dim_Reps!B:B)</f>
        <v>Erik Duarte</v>
      </c>
      <c r="P204" t="str">
        <f>_xlfn.XLOOKUP(Pipeline_tbl[[#This Row],[Rep_ID]],Dim_Reps!A:A,Dim_Reps!C:C)</f>
        <v>Mid-Market AE</v>
      </c>
      <c r="Q204" t="str">
        <f>_xlfn.XLOOKUP(Pipeline_tbl[[#This Row],[Rep_ID]],Dim_Reps!A:A,Dim_Reps!D:D)</f>
        <v>Mid-Market</v>
      </c>
      <c r="R204" t="str">
        <f>_xlfn.XLOOKUP(Pipeline_tbl[[#This Row],[Rep_ID]],Dim_Reps!A:A,Dim_Reps!E:E)</f>
        <v>EMEA</v>
      </c>
      <c r="S204" t="str">
        <f>_xlfn.XLOOKUP(Pipeline_tbl[[#This Row],[Created_Date]],Dim_Date!A:A,Dim_Date!H:H)</f>
        <v>Sep 2025</v>
      </c>
      <c r="T204" t="str">
        <f>IF(Pipeline_tbl[[#This Row],[Closed_Date]]=0,"",(_xlfn.XLOOKUP(Pipeline_tbl[[#This Row],[Closed_Date]],Dim_Date!A:A,Dim_Date!H:H)))</f>
        <v>Oct 2025</v>
      </c>
      <c r="U204">
        <f>IF(Pipeline_tbl[[#This Row],[Closed_Date]]=0,"",Pipeline_tbl[[#This Row],[Closed_Date]]-Pipeline_tbl[[#This Row],[Created_Date]])</f>
        <v>46</v>
      </c>
    </row>
    <row r="205" spans="1:21" ht="15" customHeight="1" x14ac:dyDescent="0.2">
      <c r="A205" t="s">
        <v>511</v>
      </c>
      <c r="B205" t="s">
        <v>265</v>
      </c>
      <c r="C205" t="s">
        <v>55</v>
      </c>
      <c r="D205" s="49">
        <v>45924</v>
      </c>
      <c r="E205" s="49">
        <v>45926</v>
      </c>
      <c r="F205" s="49">
        <v>45931</v>
      </c>
      <c r="I205" s="49">
        <v>45947</v>
      </c>
      <c r="J205" t="s">
        <v>49</v>
      </c>
      <c r="K205" s="33">
        <v>19800</v>
      </c>
      <c r="L205" t="s">
        <v>61</v>
      </c>
      <c r="M205" t="str">
        <f>_xlfn.XLOOKUP(Pipeline_tbl[[#This Row],[Rep_ID]],Dim_Reps!A:A,Dim_Reps!K:K)</f>
        <v>EUR</v>
      </c>
      <c r="N205" s="33">
        <f>(_xlfn.XLOOKUP(Pipeline_tbl[[#This Row],[Rate_Code_Generalized]],Lookups!A:A,Lookups!B:B))*Pipeline_tbl[[#This Row],[Pipeline_Amount_USD]]</f>
        <v>19800</v>
      </c>
      <c r="O205" t="str">
        <f>_xlfn.XLOOKUP(Pipeline_tbl[[#This Row],[Rep_ID]],Dim_Reps!A:A,Dim_Reps!B:B)</f>
        <v>Erik Duarte</v>
      </c>
      <c r="P205" t="str">
        <f>_xlfn.XLOOKUP(Pipeline_tbl[[#This Row],[Rep_ID]],Dim_Reps!A:A,Dim_Reps!C:C)</f>
        <v>Mid-Market AE</v>
      </c>
      <c r="Q205" t="str">
        <f>_xlfn.XLOOKUP(Pipeline_tbl[[#This Row],[Rep_ID]],Dim_Reps!A:A,Dim_Reps!D:D)</f>
        <v>Mid-Market</v>
      </c>
      <c r="R205" t="str">
        <f>_xlfn.XLOOKUP(Pipeline_tbl[[#This Row],[Rep_ID]],Dim_Reps!A:A,Dim_Reps!E:E)</f>
        <v>EMEA</v>
      </c>
      <c r="S205" t="str">
        <f>_xlfn.XLOOKUP(Pipeline_tbl[[#This Row],[Created_Date]],Dim_Date!A:A,Dim_Date!H:H)</f>
        <v>Sep 2025</v>
      </c>
      <c r="T205" t="str">
        <f>IF(Pipeline_tbl[[#This Row],[Closed_Date]]=0,"",(_xlfn.XLOOKUP(Pipeline_tbl[[#This Row],[Closed_Date]],Dim_Date!A:A,Dim_Date!H:H)))</f>
        <v>Oct 2025</v>
      </c>
      <c r="U205">
        <f>IF(Pipeline_tbl[[#This Row],[Closed_Date]]=0,"",Pipeline_tbl[[#This Row],[Closed_Date]]-Pipeline_tbl[[#This Row],[Created_Date]])</f>
        <v>23</v>
      </c>
    </row>
    <row r="206" spans="1:21" ht="15" customHeight="1" x14ac:dyDescent="0.2">
      <c r="A206" t="s">
        <v>512</v>
      </c>
      <c r="B206" t="s">
        <v>265</v>
      </c>
      <c r="C206" t="s">
        <v>54</v>
      </c>
      <c r="D206" s="49">
        <v>45910</v>
      </c>
      <c r="E206" s="49">
        <v>45913</v>
      </c>
      <c r="F206" s="49">
        <v>45920</v>
      </c>
      <c r="G206" s="49">
        <v>45930</v>
      </c>
      <c r="H206" s="49">
        <v>45938</v>
      </c>
      <c r="I206" s="49">
        <v>45943</v>
      </c>
      <c r="J206" t="s">
        <v>47</v>
      </c>
      <c r="K206" s="33">
        <v>25600</v>
      </c>
      <c r="M206" t="str">
        <f>_xlfn.XLOOKUP(Pipeline_tbl[[#This Row],[Rep_ID]],Dim_Reps!A:A,Dim_Reps!K:K)</f>
        <v>EUR</v>
      </c>
      <c r="N206" s="33">
        <f>(_xlfn.XLOOKUP(Pipeline_tbl[[#This Row],[Rate_Code_Generalized]],Lookups!A:A,Lookups!B:B))*Pipeline_tbl[[#This Row],[Pipeline_Amount_USD]]</f>
        <v>25600</v>
      </c>
      <c r="O206" t="str">
        <f>_xlfn.XLOOKUP(Pipeline_tbl[[#This Row],[Rep_ID]],Dim_Reps!A:A,Dim_Reps!B:B)</f>
        <v>Erik Duarte</v>
      </c>
      <c r="P206" t="str">
        <f>_xlfn.XLOOKUP(Pipeline_tbl[[#This Row],[Rep_ID]],Dim_Reps!A:A,Dim_Reps!C:C)</f>
        <v>Mid-Market AE</v>
      </c>
      <c r="Q206" t="str">
        <f>_xlfn.XLOOKUP(Pipeline_tbl[[#This Row],[Rep_ID]],Dim_Reps!A:A,Dim_Reps!D:D)</f>
        <v>Mid-Market</v>
      </c>
      <c r="R206" t="str">
        <f>_xlfn.XLOOKUP(Pipeline_tbl[[#This Row],[Rep_ID]],Dim_Reps!A:A,Dim_Reps!E:E)</f>
        <v>EMEA</v>
      </c>
      <c r="S206" t="str">
        <f>_xlfn.XLOOKUP(Pipeline_tbl[[#This Row],[Created_Date]],Dim_Date!A:A,Dim_Date!H:H)</f>
        <v>Sep 2025</v>
      </c>
      <c r="T206" t="str">
        <f>IF(Pipeline_tbl[[#This Row],[Closed_Date]]=0,"",(_xlfn.XLOOKUP(Pipeline_tbl[[#This Row],[Closed_Date]],Dim_Date!A:A,Dim_Date!H:H)))</f>
        <v>Oct 2025</v>
      </c>
      <c r="U206">
        <f>IF(Pipeline_tbl[[#This Row],[Closed_Date]]=0,"",Pipeline_tbl[[#This Row],[Closed_Date]]-Pipeline_tbl[[#This Row],[Created_Date]])</f>
        <v>33</v>
      </c>
    </row>
    <row r="207" spans="1:21" ht="15" customHeight="1" x14ac:dyDescent="0.2">
      <c r="A207" t="s">
        <v>513</v>
      </c>
      <c r="B207" t="s">
        <v>233</v>
      </c>
      <c r="C207" t="s">
        <v>53</v>
      </c>
      <c r="D207" s="49">
        <v>45927</v>
      </c>
      <c r="E207" s="49">
        <v>45928</v>
      </c>
      <c r="I207" s="49">
        <v>45938</v>
      </c>
      <c r="J207" t="s">
        <v>49</v>
      </c>
      <c r="K207" s="33">
        <v>3700</v>
      </c>
      <c r="L207" t="s">
        <v>61</v>
      </c>
      <c r="M207" t="str">
        <f>_xlfn.XLOOKUP(Pipeline_tbl[[#This Row],[Rep_ID]],Dim_Reps!A:A,Dim_Reps!K:K)</f>
        <v>MXN</v>
      </c>
      <c r="N207" s="33">
        <f>(_xlfn.XLOOKUP(Pipeline_tbl[[#This Row],[Rate_Code_Generalized]],Lookups!A:A,Lookups!B:B))*Pipeline_tbl[[#This Row],[Pipeline_Amount_USD]]</f>
        <v>73010.990000000005</v>
      </c>
      <c r="O207" t="str">
        <f>_xlfn.XLOOKUP(Pipeline_tbl[[#This Row],[Rep_ID]],Dim_Reps!A:A,Dim_Reps!B:B)</f>
        <v>Lucas Duarte</v>
      </c>
      <c r="P207" t="str">
        <f>_xlfn.XLOOKUP(Pipeline_tbl[[#This Row],[Rep_ID]],Dim_Reps!A:A,Dim_Reps!C:C)</f>
        <v>SDR / Inside Sales Rep</v>
      </c>
      <c r="Q207" t="str">
        <f>_xlfn.XLOOKUP(Pipeline_tbl[[#This Row],[Rep_ID]],Dim_Reps!A:A,Dim_Reps!D:D)</f>
        <v>Inside Sales</v>
      </c>
      <c r="R207" t="str">
        <f>_xlfn.XLOOKUP(Pipeline_tbl[[#This Row],[Rep_ID]],Dim_Reps!A:A,Dim_Reps!E:E)</f>
        <v>LATAM</v>
      </c>
      <c r="S207" t="str">
        <f>_xlfn.XLOOKUP(Pipeline_tbl[[#This Row],[Created_Date]],Dim_Date!A:A,Dim_Date!H:H)</f>
        <v>Sep 2025</v>
      </c>
      <c r="T207" t="str">
        <f>IF(Pipeline_tbl[[#This Row],[Closed_Date]]=0,"",(_xlfn.XLOOKUP(Pipeline_tbl[[#This Row],[Closed_Date]],Dim_Date!A:A,Dim_Date!H:H)))</f>
        <v>Oct 2025</v>
      </c>
      <c r="U207">
        <f>IF(Pipeline_tbl[[#This Row],[Closed_Date]]=0,"",Pipeline_tbl[[#This Row],[Closed_Date]]-Pipeline_tbl[[#This Row],[Created_Date]])</f>
        <v>11</v>
      </c>
    </row>
    <row r="208" spans="1:21" ht="15" customHeight="1" x14ac:dyDescent="0.2">
      <c r="A208" t="s">
        <v>514</v>
      </c>
      <c r="B208" t="s">
        <v>233</v>
      </c>
      <c r="C208" t="s">
        <v>56</v>
      </c>
      <c r="D208" s="49">
        <v>45920</v>
      </c>
      <c r="E208" s="49">
        <v>45921</v>
      </c>
      <c r="F208" s="49">
        <v>45924</v>
      </c>
      <c r="I208" s="49">
        <v>45932</v>
      </c>
      <c r="J208" t="s">
        <v>49</v>
      </c>
      <c r="K208" s="33">
        <v>4900</v>
      </c>
      <c r="L208" t="s">
        <v>61</v>
      </c>
      <c r="M208" t="str">
        <f>_xlfn.XLOOKUP(Pipeline_tbl[[#This Row],[Rep_ID]],Dim_Reps!A:A,Dim_Reps!K:K)</f>
        <v>MXN</v>
      </c>
      <c r="N208" s="33">
        <f>(_xlfn.XLOOKUP(Pipeline_tbl[[#This Row],[Rate_Code_Generalized]],Lookups!A:A,Lookups!B:B))*Pipeline_tbl[[#This Row],[Pipeline_Amount_USD]]</f>
        <v>96690.23000000001</v>
      </c>
      <c r="O208" t="str">
        <f>_xlfn.XLOOKUP(Pipeline_tbl[[#This Row],[Rep_ID]],Dim_Reps!A:A,Dim_Reps!B:B)</f>
        <v>Lucas Duarte</v>
      </c>
      <c r="P208" t="str">
        <f>_xlfn.XLOOKUP(Pipeline_tbl[[#This Row],[Rep_ID]],Dim_Reps!A:A,Dim_Reps!C:C)</f>
        <v>SDR / Inside Sales Rep</v>
      </c>
      <c r="Q208" t="str">
        <f>_xlfn.XLOOKUP(Pipeline_tbl[[#This Row],[Rep_ID]],Dim_Reps!A:A,Dim_Reps!D:D)</f>
        <v>Inside Sales</v>
      </c>
      <c r="R208" t="str">
        <f>_xlfn.XLOOKUP(Pipeline_tbl[[#This Row],[Rep_ID]],Dim_Reps!A:A,Dim_Reps!E:E)</f>
        <v>LATAM</v>
      </c>
      <c r="S208" t="str">
        <f>_xlfn.XLOOKUP(Pipeline_tbl[[#This Row],[Created_Date]],Dim_Date!A:A,Dim_Date!H:H)</f>
        <v>Sep 2025</v>
      </c>
      <c r="T208" t="str">
        <f>IF(Pipeline_tbl[[#This Row],[Closed_Date]]=0,"",(_xlfn.XLOOKUP(Pipeline_tbl[[#This Row],[Closed_Date]],Dim_Date!A:A,Dim_Date!H:H)))</f>
        <v>Oct 2025</v>
      </c>
      <c r="U208">
        <f>IF(Pipeline_tbl[[#This Row],[Closed_Date]]=0,"",Pipeline_tbl[[#This Row],[Closed_Date]]-Pipeline_tbl[[#This Row],[Created_Date]])</f>
        <v>12</v>
      </c>
    </row>
    <row r="209" spans="1:21" ht="15" customHeight="1" x14ac:dyDescent="0.2">
      <c r="A209" t="s">
        <v>515</v>
      </c>
      <c r="B209" t="s">
        <v>233</v>
      </c>
      <c r="C209" t="s">
        <v>56</v>
      </c>
      <c r="D209" s="49">
        <v>45909</v>
      </c>
      <c r="E209" s="49">
        <v>45911</v>
      </c>
      <c r="F209" s="49">
        <v>45916</v>
      </c>
      <c r="G209" s="49">
        <v>45922</v>
      </c>
      <c r="H209" s="49">
        <v>45928</v>
      </c>
      <c r="I209" s="49">
        <v>45931</v>
      </c>
      <c r="J209" t="s">
        <v>47</v>
      </c>
      <c r="K209" s="33">
        <v>3500</v>
      </c>
      <c r="M209" t="str">
        <f>_xlfn.XLOOKUP(Pipeline_tbl[[#This Row],[Rep_ID]],Dim_Reps!A:A,Dim_Reps!K:K)</f>
        <v>MXN</v>
      </c>
      <c r="N209" s="33">
        <f>(_xlfn.XLOOKUP(Pipeline_tbl[[#This Row],[Rate_Code_Generalized]],Lookups!A:A,Lookups!B:B))*Pipeline_tbl[[#This Row],[Pipeline_Amount_USD]]</f>
        <v>69064.45</v>
      </c>
      <c r="O209" t="str">
        <f>_xlfn.XLOOKUP(Pipeline_tbl[[#This Row],[Rep_ID]],Dim_Reps!A:A,Dim_Reps!B:B)</f>
        <v>Lucas Duarte</v>
      </c>
      <c r="P209" t="str">
        <f>_xlfn.XLOOKUP(Pipeline_tbl[[#This Row],[Rep_ID]],Dim_Reps!A:A,Dim_Reps!C:C)</f>
        <v>SDR / Inside Sales Rep</v>
      </c>
      <c r="Q209" t="str">
        <f>_xlfn.XLOOKUP(Pipeline_tbl[[#This Row],[Rep_ID]],Dim_Reps!A:A,Dim_Reps!D:D)</f>
        <v>Inside Sales</v>
      </c>
      <c r="R209" t="str">
        <f>_xlfn.XLOOKUP(Pipeline_tbl[[#This Row],[Rep_ID]],Dim_Reps!A:A,Dim_Reps!E:E)</f>
        <v>LATAM</v>
      </c>
      <c r="S209" t="str">
        <f>_xlfn.XLOOKUP(Pipeline_tbl[[#This Row],[Created_Date]],Dim_Date!A:A,Dim_Date!H:H)</f>
        <v>Sep 2025</v>
      </c>
      <c r="T209" t="str">
        <f>IF(Pipeline_tbl[[#This Row],[Closed_Date]]=0,"",(_xlfn.XLOOKUP(Pipeline_tbl[[#This Row],[Closed_Date]],Dim_Date!A:A,Dim_Date!H:H)))</f>
        <v>Oct 2025</v>
      </c>
      <c r="U209">
        <f>IF(Pipeline_tbl[[#This Row],[Closed_Date]]=0,"",Pipeline_tbl[[#This Row],[Closed_Date]]-Pipeline_tbl[[#This Row],[Created_Date]])</f>
        <v>22</v>
      </c>
    </row>
    <row r="210" spans="1:21" ht="15" customHeight="1" x14ac:dyDescent="0.2">
      <c r="A210" t="s">
        <v>516</v>
      </c>
      <c r="B210" t="s">
        <v>233</v>
      </c>
      <c r="C210" t="s">
        <v>52</v>
      </c>
      <c r="D210" s="49">
        <v>45930</v>
      </c>
      <c r="E210" s="49">
        <v>45932</v>
      </c>
      <c r="F210" s="49">
        <v>45935</v>
      </c>
      <c r="G210" s="49">
        <v>45940</v>
      </c>
      <c r="H210" s="49">
        <v>45944</v>
      </c>
      <c r="I210" s="49">
        <v>45946</v>
      </c>
      <c r="J210" t="s">
        <v>49</v>
      </c>
      <c r="K210" s="33">
        <v>7300</v>
      </c>
      <c r="L210" t="s">
        <v>62</v>
      </c>
      <c r="M210" t="str">
        <f>_xlfn.XLOOKUP(Pipeline_tbl[[#This Row],[Rep_ID]],Dim_Reps!A:A,Dim_Reps!K:K)</f>
        <v>MXN</v>
      </c>
      <c r="N210" s="33">
        <f>(_xlfn.XLOOKUP(Pipeline_tbl[[#This Row],[Rate_Code_Generalized]],Lookups!A:A,Lookups!B:B))*Pipeline_tbl[[#This Row],[Pipeline_Amount_USD]]</f>
        <v>144048.71000000002</v>
      </c>
      <c r="O210" t="str">
        <f>_xlfn.XLOOKUP(Pipeline_tbl[[#This Row],[Rep_ID]],Dim_Reps!A:A,Dim_Reps!B:B)</f>
        <v>Lucas Duarte</v>
      </c>
      <c r="P210" t="str">
        <f>_xlfn.XLOOKUP(Pipeline_tbl[[#This Row],[Rep_ID]],Dim_Reps!A:A,Dim_Reps!C:C)</f>
        <v>SDR / Inside Sales Rep</v>
      </c>
      <c r="Q210" t="str">
        <f>_xlfn.XLOOKUP(Pipeline_tbl[[#This Row],[Rep_ID]],Dim_Reps!A:A,Dim_Reps!D:D)</f>
        <v>Inside Sales</v>
      </c>
      <c r="R210" t="str">
        <f>_xlfn.XLOOKUP(Pipeline_tbl[[#This Row],[Rep_ID]],Dim_Reps!A:A,Dim_Reps!E:E)</f>
        <v>LATAM</v>
      </c>
      <c r="S210" t="str">
        <f>_xlfn.XLOOKUP(Pipeline_tbl[[#This Row],[Created_Date]],Dim_Date!A:A,Dim_Date!H:H)</f>
        <v>Sep 2025</v>
      </c>
      <c r="T210" t="str">
        <f>IF(Pipeline_tbl[[#This Row],[Closed_Date]]=0,"",(_xlfn.XLOOKUP(Pipeline_tbl[[#This Row],[Closed_Date]],Dim_Date!A:A,Dim_Date!H:H)))</f>
        <v>Oct 2025</v>
      </c>
      <c r="U210">
        <f>IF(Pipeline_tbl[[#This Row],[Closed_Date]]=0,"",Pipeline_tbl[[#This Row],[Closed_Date]]-Pipeline_tbl[[#This Row],[Created_Date]])</f>
        <v>16</v>
      </c>
    </row>
    <row r="211" spans="1:21" ht="15" customHeight="1" x14ac:dyDescent="0.2">
      <c r="A211" t="s">
        <v>517</v>
      </c>
      <c r="B211" t="s">
        <v>267</v>
      </c>
      <c r="C211" t="s">
        <v>52</v>
      </c>
      <c r="D211" s="49">
        <v>45915</v>
      </c>
      <c r="E211" s="49">
        <v>45918</v>
      </c>
      <c r="I211" s="49">
        <v>45946</v>
      </c>
      <c r="J211" t="s">
        <v>49</v>
      </c>
      <c r="K211" s="33">
        <v>8800</v>
      </c>
      <c r="L211" t="s">
        <v>60</v>
      </c>
      <c r="M211" t="str">
        <f>_xlfn.XLOOKUP(Pipeline_tbl[[#This Row],[Rep_ID]],Dim_Reps!A:A,Dim_Reps!K:K)</f>
        <v>MXN</v>
      </c>
      <c r="N211" s="33">
        <f>(_xlfn.XLOOKUP(Pipeline_tbl[[#This Row],[Rate_Code_Generalized]],Lookups!A:A,Lookups!B:B))*Pipeline_tbl[[#This Row],[Pipeline_Amount_USD]]</f>
        <v>173647.76</v>
      </c>
      <c r="O211" t="str">
        <f>_xlfn.XLOOKUP(Pipeline_tbl[[#This Row],[Rep_ID]],Dim_Reps!A:A,Dim_Reps!B:B)</f>
        <v>Yuki Dubois</v>
      </c>
      <c r="P211" t="str">
        <f>_xlfn.XLOOKUP(Pipeline_tbl[[#This Row],[Rep_ID]],Dim_Reps!A:A,Dim_Reps!C:C)</f>
        <v>Mid-Market AE</v>
      </c>
      <c r="Q211" t="str">
        <f>_xlfn.XLOOKUP(Pipeline_tbl[[#This Row],[Rep_ID]],Dim_Reps!A:A,Dim_Reps!D:D)</f>
        <v>Mid-Market</v>
      </c>
      <c r="R211" t="str">
        <f>_xlfn.XLOOKUP(Pipeline_tbl[[#This Row],[Rep_ID]],Dim_Reps!A:A,Dim_Reps!E:E)</f>
        <v>LATAM</v>
      </c>
      <c r="S211" t="str">
        <f>_xlfn.XLOOKUP(Pipeline_tbl[[#This Row],[Created_Date]],Dim_Date!A:A,Dim_Date!H:H)</f>
        <v>Sep 2025</v>
      </c>
      <c r="T211" t="str">
        <f>IF(Pipeline_tbl[[#This Row],[Closed_Date]]=0,"",(_xlfn.XLOOKUP(Pipeline_tbl[[#This Row],[Closed_Date]],Dim_Date!A:A,Dim_Date!H:H)))</f>
        <v>Oct 2025</v>
      </c>
      <c r="U211">
        <f>IF(Pipeline_tbl[[#This Row],[Closed_Date]]=0,"",Pipeline_tbl[[#This Row],[Closed_Date]]-Pipeline_tbl[[#This Row],[Created_Date]])</f>
        <v>31</v>
      </c>
    </row>
    <row r="212" spans="1:21" ht="15" customHeight="1" x14ac:dyDescent="0.2">
      <c r="A212" t="s">
        <v>518</v>
      </c>
      <c r="B212" t="s">
        <v>267</v>
      </c>
      <c r="C212" t="s">
        <v>54</v>
      </c>
      <c r="D212" s="49">
        <v>45917</v>
      </c>
      <c r="E212" s="49">
        <v>45921</v>
      </c>
      <c r="F212" s="49">
        <v>45928</v>
      </c>
      <c r="G212" s="49">
        <v>45940</v>
      </c>
      <c r="H212" s="49">
        <v>45949</v>
      </c>
      <c r="I212" s="49">
        <v>45955</v>
      </c>
      <c r="J212" t="s">
        <v>49</v>
      </c>
      <c r="K212" s="33">
        <v>13100</v>
      </c>
      <c r="L212" t="s">
        <v>62</v>
      </c>
      <c r="M212" t="str">
        <f>_xlfn.XLOOKUP(Pipeline_tbl[[#This Row],[Rep_ID]],Dim_Reps!A:A,Dim_Reps!K:K)</f>
        <v>MXN</v>
      </c>
      <c r="N212" s="33">
        <f>(_xlfn.XLOOKUP(Pipeline_tbl[[#This Row],[Rate_Code_Generalized]],Lookups!A:A,Lookups!B:B))*Pipeline_tbl[[#This Row],[Pipeline_Amount_USD]]</f>
        <v>258498.37000000002</v>
      </c>
      <c r="O212" t="str">
        <f>_xlfn.XLOOKUP(Pipeline_tbl[[#This Row],[Rep_ID]],Dim_Reps!A:A,Dim_Reps!B:B)</f>
        <v>Yuki Dubois</v>
      </c>
      <c r="P212" t="str">
        <f>_xlfn.XLOOKUP(Pipeline_tbl[[#This Row],[Rep_ID]],Dim_Reps!A:A,Dim_Reps!C:C)</f>
        <v>Mid-Market AE</v>
      </c>
      <c r="Q212" t="str">
        <f>_xlfn.XLOOKUP(Pipeline_tbl[[#This Row],[Rep_ID]],Dim_Reps!A:A,Dim_Reps!D:D)</f>
        <v>Mid-Market</v>
      </c>
      <c r="R212" t="str">
        <f>_xlfn.XLOOKUP(Pipeline_tbl[[#This Row],[Rep_ID]],Dim_Reps!A:A,Dim_Reps!E:E)</f>
        <v>LATAM</v>
      </c>
      <c r="S212" t="str">
        <f>_xlfn.XLOOKUP(Pipeline_tbl[[#This Row],[Created_Date]],Dim_Date!A:A,Dim_Date!H:H)</f>
        <v>Sep 2025</v>
      </c>
      <c r="T212" t="str">
        <f>IF(Pipeline_tbl[[#This Row],[Closed_Date]]=0,"",(_xlfn.XLOOKUP(Pipeline_tbl[[#This Row],[Closed_Date]],Dim_Date!A:A,Dim_Date!H:H)))</f>
        <v>Oct 2025</v>
      </c>
      <c r="U212">
        <f>IF(Pipeline_tbl[[#This Row],[Closed_Date]]=0,"",Pipeline_tbl[[#This Row],[Closed_Date]]-Pipeline_tbl[[#This Row],[Created_Date]])</f>
        <v>38</v>
      </c>
    </row>
    <row r="213" spans="1:21" ht="15" customHeight="1" x14ac:dyDescent="0.2">
      <c r="A213" t="s">
        <v>519</v>
      </c>
      <c r="B213" t="s">
        <v>267</v>
      </c>
      <c r="C213" t="s">
        <v>53</v>
      </c>
      <c r="D213" s="49">
        <v>45913</v>
      </c>
      <c r="E213" s="49">
        <v>45918</v>
      </c>
      <c r="F213" s="49">
        <v>45927</v>
      </c>
      <c r="G213" s="49">
        <v>45941</v>
      </c>
      <c r="H213" s="49">
        <v>45952</v>
      </c>
      <c r="I213" s="49">
        <v>45959</v>
      </c>
      <c r="J213" t="s">
        <v>49</v>
      </c>
      <c r="K213" s="33">
        <v>15100</v>
      </c>
      <c r="L213" t="s">
        <v>62</v>
      </c>
      <c r="M213" t="str">
        <f>_xlfn.XLOOKUP(Pipeline_tbl[[#This Row],[Rep_ID]],Dim_Reps!A:A,Dim_Reps!K:K)</f>
        <v>MXN</v>
      </c>
      <c r="N213" s="33">
        <f>(_xlfn.XLOOKUP(Pipeline_tbl[[#This Row],[Rate_Code_Generalized]],Lookups!A:A,Lookups!B:B))*Pipeline_tbl[[#This Row],[Pipeline_Amount_USD]]</f>
        <v>297963.77</v>
      </c>
      <c r="O213" t="str">
        <f>_xlfn.XLOOKUP(Pipeline_tbl[[#This Row],[Rep_ID]],Dim_Reps!A:A,Dim_Reps!B:B)</f>
        <v>Yuki Dubois</v>
      </c>
      <c r="P213" t="str">
        <f>_xlfn.XLOOKUP(Pipeline_tbl[[#This Row],[Rep_ID]],Dim_Reps!A:A,Dim_Reps!C:C)</f>
        <v>Mid-Market AE</v>
      </c>
      <c r="Q213" t="str">
        <f>_xlfn.XLOOKUP(Pipeline_tbl[[#This Row],[Rep_ID]],Dim_Reps!A:A,Dim_Reps!D:D)</f>
        <v>Mid-Market</v>
      </c>
      <c r="R213" t="str">
        <f>_xlfn.XLOOKUP(Pipeline_tbl[[#This Row],[Rep_ID]],Dim_Reps!A:A,Dim_Reps!E:E)</f>
        <v>LATAM</v>
      </c>
      <c r="S213" t="str">
        <f>_xlfn.XLOOKUP(Pipeline_tbl[[#This Row],[Created_Date]],Dim_Date!A:A,Dim_Date!H:H)</f>
        <v>Sep 2025</v>
      </c>
      <c r="T213" t="str">
        <f>IF(Pipeline_tbl[[#This Row],[Closed_Date]]=0,"",(_xlfn.XLOOKUP(Pipeline_tbl[[#This Row],[Closed_Date]],Dim_Date!A:A,Dim_Date!H:H)))</f>
        <v>Oct 2025</v>
      </c>
      <c r="U213">
        <f>IF(Pipeline_tbl[[#This Row],[Closed_Date]]=0,"",Pipeline_tbl[[#This Row],[Closed_Date]]-Pipeline_tbl[[#This Row],[Created_Date]])</f>
        <v>46</v>
      </c>
    </row>
    <row r="214" spans="1:21" ht="15" customHeight="1" x14ac:dyDescent="0.2">
      <c r="A214" t="s">
        <v>520</v>
      </c>
      <c r="B214" t="s">
        <v>267</v>
      </c>
      <c r="C214" t="s">
        <v>55</v>
      </c>
      <c r="D214" s="49">
        <v>45921</v>
      </c>
      <c r="E214" s="49">
        <v>45924</v>
      </c>
      <c r="F214" s="49">
        <v>45930</v>
      </c>
      <c r="G214" s="49">
        <v>45938</v>
      </c>
      <c r="H214" s="49">
        <v>45946</v>
      </c>
      <c r="I214" s="49">
        <v>45950</v>
      </c>
      <c r="J214" t="s">
        <v>47</v>
      </c>
      <c r="K214" s="33">
        <v>9700</v>
      </c>
      <c r="M214" t="str">
        <f>_xlfn.XLOOKUP(Pipeline_tbl[[#This Row],[Rep_ID]],Dim_Reps!A:A,Dim_Reps!K:K)</f>
        <v>MXN</v>
      </c>
      <c r="N214" s="33">
        <f>(_xlfn.XLOOKUP(Pipeline_tbl[[#This Row],[Rate_Code_Generalized]],Lookups!A:A,Lookups!B:B))*Pipeline_tbl[[#This Row],[Pipeline_Amount_USD]]</f>
        <v>191407.19</v>
      </c>
      <c r="O214" t="str">
        <f>_xlfn.XLOOKUP(Pipeline_tbl[[#This Row],[Rep_ID]],Dim_Reps!A:A,Dim_Reps!B:B)</f>
        <v>Yuki Dubois</v>
      </c>
      <c r="P214" t="str">
        <f>_xlfn.XLOOKUP(Pipeline_tbl[[#This Row],[Rep_ID]],Dim_Reps!A:A,Dim_Reps!C:C)</f>
        <v>Mid-Market AE</v>
      </c>
      <c r="Q214" t="str">
        <f>_xlfn.XLOOKUP(Pipeline_tbl[[#This Row],[Rep_ID]],Dim_Reps!A:A,Dim_Reps!D:D)</f>
        <v>Mid-Market</v>
      </c>
      <c r="R214" t="str">
        <f>_xlfn.XLOOKUP(Pipeline_tbl[[#This Row],[Rep_ID]],Dim_Reps!A:A,Dim_Reps!E:E)</f>
        <v>LATAM</v>
      </c>
      <c r="S214" t="str">
        <f>_xlfn.XLOOKUP(Pipeline_tbl[[#This Row],[Created_Date]],Dim_Date!A:A,Dim_Date!H:H)</f>
        <v>Sep 2025</v>
      </c>
      <c r="T214" t="str">
        <f>IF(Pipeline_tbl[[#This Row],[Closed_Date]]=0,"",(_xlfn.XLOOKUP(Pipeline_tbl[[#This Row],[Closed_Date]],Dim_Date!A:A,Dim_Date!H:H)))</f>
        <v>Oct 2025</v>
      </c>
      <c r="U214">
        <f>IF(Pipeline_tbl[[#This Row],[Closed_Date]]=0,"",Pipeline_tbl[[#This Row],[Closed_Date]]-Pipeline_tbl[[#This Row],[Created_Date]])</f>
        <v>29</v>
      </c>
    </row>
    <row r="215" spans="1:21" ht="15" customHeight="1" x14ac:dyDescent="0.2">
      <c r="A215" t="s">
        <v>521</v>
      </c>
      <c r="B215" t="s">
        <v>267</v>
      </c>
      <c r="C215" t="s">
        <v>52</v>
      </c>
      <c r="D215" s="49">
        <v>45930</v>
      </c>
      <c r="E215" s="49">
        <v>45932</v>
      </c>
      <c r="F215" s="49">
        <v>45937</v>
      </c>
      <c r="G215" s="49">
        <v>45944</v>
      </c>
      <c r="I215" s="49">
        <v>45954</v>
      </c>
      <c r="J215" t="s">
        <v>49</v>
      </c>
      <c r="K215" s="33">
        <v>18000</v>
      </c>
      <c r="L215" t="s">
        <v>62</v>
      </c>
      <c r="M215" t="str">
        <f>_xlfn.XLOOKUP(Pipeline_tbl[[#This Row],[Rep_ID]],Dim_Reps!A:A,Dim_Reps!K:K)</f>
        <v>MXN</v>
      </c>
      <c r="N215" s="33">
        <f>(_xlfn.XLOOKUP(Pipeline_tbl[[#This Row],[Rate_Code_Generalized]],Lookups!A:A,Lookups!B:B))*Pipeline_tbl[[#This Row],[Pipeline_Amount_USD]]</f>
        <v>355188.60000000003</v>
      </c>
      <c r="O215" t="str">
        <f>_xlfn.XLOOKUP(Pipeline_tbl[[#This Row],[Rep_ID]],Dim_Reps!A:A,Dim_Reps!B:B)</f>
        <v>Yuki Dubois</v>
      </c>
      <c r="P215" t="str">
        <f>_xlfn.XLOOKUP(Pipeline_tbl[[#This Row],[Rep_ID]],Dim_Reps!A:A,Dim_Reps!C:C)</f>
        <v>Mid-Market AE</v>
      </c>
      <c r="Q215" t="str">
        <f>_xlfn.XLOOKUP(Pipeline_tbl[[#This Row],[Rep_ID]],Dim_Reps!A:A,Dim_Reps!D:D)</f>
        <v>Mid-Market</v>
      </c>
      <c r="R215" t="str">
        <f>_xlfn.XLOOKUP(Pipeline_tbl[[#This Row],[Rep_ID]],Dim_Reps!A:A,Dim_Reps!E:E)</f>
        <v>LATAM</v>
      </c>
      <c r="S215" t="str">
        <f>_xlfn.XLOOKUP(Pipeline_tbl[[#This Row],[Created_Date]],Dim_Date!A:A,Dim_Date!H:H)</f>
        <v>Sep 2025</v>
      </c>
      <c r="T215" t="str">
        <f>IF(Pipeline_tbl[[#This Row],[Closed_Date]]=0,"",(_xlfn.XLOOKUP(Pipeline_tbl[[#This Row],[Closed_Date]],Dim_Date!A:A,Dim_Date!H:H)))</f>
        <v>Oct 2025</v>
      </c>
      <c r="U215">
        <f>IF(Pipeline_tbl[[#This Row],[Closed_Date]]=0,"",Pipeline_tbl[[#This Row],[Closed_Date]]-Pipeline_tbl[[#This Row],[Created_Date]])</f>
        <v>24</v>
      </c>
    </row>
    <row r="216" spans="1:21" ht="15" customHeight="1" x14ac:dyDescent="0.2">
      <c r="A216" t="s">
        <v>522</v>
      </c>
      <c r="B216" t="s">
        <v>267</v>
      </c>
      <c r="C216" t="s">
        <v>53</v>
      </c>
      <c r="D216" s="49">
        <v>45904</v>
      </c>
      <c r="E216" s="49">
        <v>45907</v>
      </c>
      <c r="F216" s="49">
        <v>45913</v>
      </c>
      <c r="I216" s="49">
        <v>45935</v>
      </c>
      <c r="J216" t="s">
        <v>49</v>
      </c>
      <c r="K216" s="33">
        <v>13400</v>
      </c>
      <c r="L216" t="s">
        <v>61</v>
      </c>
      <c r="M216" t="str">
        <f>_xlfn.XLOOKUP(Pipeline_tbl[[#This Row],[Rep_ID]],Dim_Reps!A:A,Dim_Reps!K:K)</f>
        <v>MXN</v>
      </c>
      <c r="N216" s="33">
        <f>(_xlfn.XLOOKUP(Pipeline_tbl[[#This Row],[Rate_Code_Generalized]],Lookups!A:A,Lookups!B:B))*Pipeline_tbl[[#This Row],[Pipeline_Amount_USD]]</f>
        <v>264418.18</v>
      </c>
      <c r="O216" t="str">
        <f>_xlfn.XLOOKUP(Pipeline_tbl[[#This Row],[Rep_ID]],Dim_Reps!A:A,Dim_Reps!B:B)</f>
        <v>Yuki Dubois</v>
      </c>
      <c r="P216" t="str">
        <f>_xlfn.XLOOKUP(Pipeline_tbl[[#This Row],[Rep_ID]],Dim_Reps!A:A,Dim_Reps!C:C)</f>
        <v>Mid-Market AE</v>
      </c>
      <c r="Q216" t="str">
        <f>_xlfn.XLOOKUP(Pipeline_tbl[[#This Row],[Rep_ID]],Dim_Reps!A:A,Dim_Reps!D:D)</f>
        <v>Mid-Market</v>
      </c>
      <c r="R216" t="str">
        <f>_xlfn.XLOOKUP(Pipeline_tbl[[#This Row],[Rep_ID]],Dim_Reps!A:A,Dim_Reps!E:E)</f>
        <v>LATAM</v>
      </c>
      <c r="S216" t="str">
        <f>_xlfn.XLOOKUP(Pipeline_tbl[[#This Row],[Created_Date]],Dim_Date!A:A,Dim_Date!H:H)</f>
        <v>Sep 2025</v>
      </c>
      <c r="T216" t="str">
        <f>IF(Pipeline_tbl[[#This Row],[Closed_Date]]=0,"",(_xlfn.XLOOKUP(Pipeline_tbl[[#This Row],[Closed_Date]],Dim_Date!A:A,Dim_Date!H:H)))</f>
        <v>Oct 2025</v>
      </c>
      <c r="U216">
        <f>IF(Pipeline_tbl[[#This Row],[Closed_Date]]=0,"",Pipeline_tbl[[#This Row],[Closed_Date]]-Pipeline_tbl[[#This Row],[Created_Date]])</f>
        <v>31</v>
      </c>
    </row>
    <row r="217" spans="1:21" ht="15" customHeight="1" x14ac:dyDescent="0.2">
      <c r="A217" t="s">
        <v>523</v>
      </c>
      <c r="B217" t="s">
        <v>235</v>
      </c>
      <c r="C217" t="s">
        <v>53</v>
      </c>
      <c r="D217" s="49">
        <v>45923</v>
      </c>
      <c r="E217" s="49">
        <v>45925</v>
      </c>
      <c r="F217" s="49">
        <v>45928</v>
      </c>
      <c r="G217" s="49">
        <v>45933</v>
      </c>
      <c r="H217" s="49">
        <v>45937</v>
      </c>
      <c r="I217" s="49">
        <v>45939</v>
      </c>
      <c r="J217" t="s">
        <v>47</v>
      </c>
      <c r="K217" s="33">
        <v>3400</v>
      </c>
      <c r="M217" t="str">
        <f>_xlfn.XLOOKUP(Pipeline_tbl[[#This Row],[Rep_ID]],Dim_Reps!A:A,Dim_Reps!K:K)</f>
        <v>MXN</v>
      </c>
      <c r="N217" s="33">
        <f>(_xlfn.XLOOKUP(Pipeline_tbl[[#This Row],[Rate_Code_Generalized]],Lookups!A:A,Lookups!B:B))*Pipeline_tbl[[#This Row],[Pipeline_Amount_USD]]</f>
        <v>67091.180000000008</v>
      </c>
      <c r="O217" t="str">
        <f>_xlfn.XLOOKUP(Pipeline_tbl[[#This Row],[Rep_ID]],Dim_Reps!A:A,Dim_Reps!B:B)</f>
        <v>Milo Castro</v>
      </c>
      <c r="P217" t="str">
        <f>_xlfn.XLOOKUP(Pipeline_tbl[[#This Row],[Rep_ID]],Dim_Reps!A:A,Dim_Reps!C:C)</f>
        <v>SDR / Inside Sales Rep</v>
      </c>
      <c r="Q217" t="str">
        <f>_xlfn.XLOOKUP(Pipeline_tbl[[#This Row],[Rep_ID]],Dim_Reps!A:A,Dim_Reps!D:D)</f>
        <v>Inside Sales</v>
      </c>
      <c r="R217" t="str">
        <f>_xlfn.XLOOKUP(Pipeline_tbl[[#This Row],[Rep_ID]],Dim_Reps!A:A,Dim_Reps!E:E)</f>
        <v>LATAM</v>
      </c>
      <c r="S217" t="str">
        <f>_xlfn.XLOOKUP(Pipeline_tbl[[#This Row],[Created_Date]],Dim_Date!A:A,Dim_Date!H:H)</f>
        <v>Sep 2025</v>
      </c>
      <c r="T217" t="str">
        <f>IF(Pipeline_tbl[[#This Row],[Closed_Date]]=0,"",(_xlfn.XLOOKUP(Pipeline_tbl[[#This Row],[Closed_Date]],Dim_Date!A:A,Dim_Date!H:H)))</f>
        <v>Oct 2025</v>
      </c>
      <c r="U217">
        <f>IF(Pipeline_tbl[[#This Row],[Closed_Date]]=0,"",Pipeline_tbl[[#This Row],[Closed_Date]]-Pipeline_tbl[[#This Row],[Created_Date]])</f>
        <v>16</v>
      </c>
    </row>
    <row r="218" spans="1:21" ht="15" customHeight="1" x14ac:dyDescent="0.2">
      <c r="A218" t="s">
        <v>524</v>
      </c>
      <c r="B218" t="s">
        <v>235</v>
      </c>
      <c r="C218" t="s">
        <v>52</v>
      </c>
      <c r="D218" s="49">
        <v>45906</v>
      </c>
      <c r="E218" s="49">
        <v>45908</v>
      </c>
      <c r="F218" s="49">
        <v>45914</v>
      </c>
      <c r="G218" s="49">
        <v>45921</v>
      </c>
      <c r="H218" s="49">
        <v>45927</v>
      </c>
      <c r="I218" s="49">
        <v>45931</v>
      </c>
      <c r="J218" t="s">
        <v>47</v>
      </c>
      <c r="K218" s="33">
        <v>2100</v>
      </c>
      <c r="M218" t="str">
        <f>_xlfn.XLOOKUP(Pipeline_tbl[[#This Row],[Rep_ID]],Dim_Reps!A:A,Dim_Reps!K:K)</f>
        <v>MXN</v>
      </c>
      <c r="N218" s="33">
        <f>(_xlfn.XLOOKUP(Pipeline_tbl[[#This Row],[Rate_Code_Generalized]],Lookups!A:A,Lookups!B:B))*Pipeline_tbl[[#This Row],[Pipeline_Amount_USD]]</f>
        <v>41438.670000000006</v>
      </c>
      <c r="O218" t="str">
        <f>_xlfn.XLOOKUP(Pipeline_tbl[[#This Row],[Rep_ID]],Dim_Reps!A:A,Dim_Reps!B:B)</f>
        <v>Milo Castro</v>
      </c>
      <c r="P218" t="str">
        <f>_xlfn.XLOOKUP(Pipeline_tbl[[#This Row],[Rep_ID]],Dim_Reps!A:A,Dim_Reps!C:C)</f>
        <v>SDR / Inside Sales Rep</v>
      </c>
      <c r="Q218" t="str">
        <f>_xlfn.XLOOKUP(Pipeline_tbl[[#This Row],[Rep_ID]],Dim_Reps!A:A,Dim_Reps!D:D)</f>
        <v>Inside Sales</v>
      </c>
      <c r="R218" t="str">
        <f>_xlfn.XLOOKUP(Pipeline_tbl[[#This Row],[Rep_ID]],Dim_Reps!A:A,Dim_Reps!E:E)</f>
        <v>LATAM</v>
      </c>
      <c r="S218" t="str">
        <f>_xlfn.XLOOKUP(Pipeline_tbl[[#This Row],[Created_Date]],Dim_Date!A:A,Dim_Date!H:H)</f>
        <v>Sep 2025</v>
      </c>
      <c r="T218" t="str">
        <f>IF(Pipeline_tbl[[#This Row],[Closed_Date]]=0,"",(_xlfn.XLOOKUP(Pipeline_tbl[[#This Row],[Closed_Date]],Dim_Date!A:A,Dim_Date!H:H)))</f>
        <v>Oct 2025</v>
      </c>
      <c r="U218">
        <f>IF(Pipeline_tbl[[#This Row],[Closed_Date]]=0,"",Pipeline_tbl[[#This Row],[Closed_Date]]-Pipeline_tbl[[#This Row],[Created_Date]])</f>
        <v>25</v>
      </c>
    </row>
    <row r="219" spans="1:21" ht="15" customHeight="1" x14ac:dyDescent="0.2">
      <c r="A219" t="s">
        <v>525</v>
      </c>
      <c r="B219" t="s">
        <v>235</v>
      </c>
      <c r="C219" t="s">
        <v>56</v>
      </c>
      <c r="D219" s="49">
        <v>45925</v>
      </c>
      <c r="E219" s="49">
        <v>45928</v>
      </c>
      <c r="I219" s="49">
        <v>45952</v>
      </c>
      <c r="J219" t="s">
        <v>49</v>
      </c>
      <c r="K219" s="33">
        <v>3700</v>
      </c>
      <c r="L219" t="s">
        <v>62</v>
      </c>
      <c r="M219" t="str">
        <f>_xlfn.XLOOKUP(Pipeline_tbl[[#This Row],[Rep_ID]],Dim_Reps!A:A,Dim_Reps!K:K)</f>
        <v>MXN</v>
      </c>
      <c r="N219" s="33">
        <f>(_xlfn.XLOOKUP(Pipeline_tbl[[#This Row],[Rate_Code_Generalized]],Lookups!A:A,Lookups!B:B))*Pipeline_tbl[[#This Row],[Pipeline_Amount_USD]]</f>
        <v>73010.990000000005</v>
      </c>
      <c r="O219" t="str">
        <f>_xlfn.XLOOKUP(Pipeline_tbl[[#This Row],[Rep_ID]],Dim_Reps!A:A,Dim_Reps!B:B)</f>
        <v>Milo Castro</v>
      </c>
      <c r="P219" t="str">
        <f>_xlfn.XLOOKUP(Pipeline_tbl[[#This Row],[Rep_ID]],Dim_Reps!A:A,Dim_Reps!C:C)</f>
        <v>SDR / Inside Sales Rep</v>
      </c>
      <c r="Q219" t="str">
        <f>_xlfn.XLOOKUP(Pipeline_tbl[[#This Row],[Rep_ID]],Dim_Reps!A:A,Dim_Reps!D:D)</f>
        <v>Inside Sales</v>
      </c>
      <c r="R219" t="str">
        <f>_xlfn.XLOOKUP(Pipeline_tbl[[#This Row],[Rep_ID]],Dim_Reps!A:A,Dim_Reps!E:E)</f>
        <v>LATAM</v>
      </c>
      <c r="S219" t="str">
        <f>_xlfn.XLOOKUP(Pipeline_tbl[[#This Row],[Created_Date]],Dim_Date!A:A,Dim_Date!H:H)</f>
        <v>Sep 2025</v>
      </c>
      <c r="T219" t="str">
        <f>IF(Pipeline_tbl[[#This Row],[Closed_Date]]=0,"",(_xlfn.XLOOKUP(Pipeline_tbl[[#This Row],[Closed_Date]],Dim_Date!A:A,Dim_Date!H:H)))</f>
        <v>Oct 2025</v>
      </c>
      <c r="U219">
        <f>IF(Pipeline_tbl[[#This Row],[Closed_Date]]=0,"",Pipeline_tbl[[#This Row],[Closed_Date]]-Pipeline_tbl[[#This Row],[Created_Date]])</f>
        <v>27</v>
      </c>
    </row>
    <row r="220" spans="1:21" ht="15" customHeight="1" x14ac:dyDescent="0.2">
      <c r="A220" t="s">
        <v>526</v>
      </c>
      <c r="B220" t="s">
        <v>235</v>
      </c>
      <c r="C220" t="s">
        <v>52</v>
      </c>
      <c r="D220" s="49">
        <v>45916</v>
      </c>
      <c r="E220" s="49">
        <v>45918</v>
      </c>
      <c r="F220" s="49">
        <v>45921</v>
      </c>
      <c r="G220" s="49">
        <v>45926</v>
      </c>
      <c r="I220" s="49">
        <v>45932</v>
      </c>
      <c r="J220" t="s">
        <v>49</v>
      </c>
      <c r="K220" s="33">
        <v>2900</v>
      </c>
      <c r="L220" t="s">
        <v>61</v>
      </c>
      <c r="M220" t="str">
        <f>_xlfn.XLOOKUP(Pipeline_tbl[[#This Row],[Rep_ID]],Dim_Reps!A:A,Dim_Reps!K:K)</f>
        <v>MXN</v>
      </c>
      <c r="N220" s="33">
        <f>(_xlfn.XLOOKUP(Pipeline_tbl[[#This Row],[Rate_Code_Generalized]],Lookups!A:A,Lookups!B:B))*Pipeline_tbl[[#This Row],[Pipeline_Amount_USD]]</f>
        <v>57224.83</v>
      </c>
      <c r="O220" t="str">
        <f>_xlfn.XLOOKUP(Pipeline_tbl[[#This Row],[Rep_ID]],Dim_Reps!A:A,Dim_Reps!B:B)</f>
        <v>Milo Castro</v>
      </c>
      <c r="P220" t="str">
        <f>_xlfn.XLOOKUP(Pipeline_tbl[[#This Row],[Rep_ID]],Dim_Reps!A:A,Dim_Reps!C:C)</f>
        <v>SDR / Inside Sales Rep</v>
      </c>
      <c r="Q220" t="str">
        <f>_xlfn.XLOOKUP(Pipeline_tbl[[#This Row],[Rep_ID]],Dim_Reps!A:A,Dim_Reps!D:D)</f>
        <v>Inside Sales</v>
      </c>
      <c r="R220" t="str">
        <f>_xlfn.XLOOKUP(Pipeline_tbl[[#This Row],[Rep_ID]],Dim_Reps!A:A,Dim_Reps!E:E)</f>
        <v>LATAM</v>
      </c>
      <c r="S220" t="str">
        <f>_xlfn.XLOOKUP(Pipeline_tbl[[#This Row],[Created_Date]],Dim_Date!A:A,Dim_Date!H:H)</f>
        <v>Sep 2025</v>
      </c>
      <c r="T220" t="str">
        <f>IF(Pipeline_tbl[[#This Row],[Closed_Date]]=0,"",(_xlfn.XLOOKUP(Pipeline_tbl[[#This Row],[Closed_Date]],Dim_Date!A:A,Dim_Date!H:H)))</f>
        <v>Oct 2025</v>
      </c>
      <c r="U220">
        <f>IF(Pipeline_tbl[[#This Row],[Closed_Date]]=0,"",Pipeline_tbl[[#This Row],[Closed_Date]]-Pipeline_tbl[[#This Row],[Created_Date]])</f>
        <v>16</v>
      </c>
    </row>
    <row r="221" spans="1:21" ht="15" customHeight="1" x14ac:dyDescent="0.2">
      <c r="A221" t="s">
        <v>527</v>
      </c>
      <c r="B221" t="s">
        <v>235</v>
      </c>
      <c r="C221" t="s">
        <v>52</v>
      </c>
      <c r="D221" s="49">
        <v>45921</v>
      </c>
      <c r="E221" s="49">
        <v>45922</v>
      </c>
      <c r="F221" s="49">
        <v>45925</v>
      </c>
      <c r="G221" s="49">
        <v>45929</v>
      </c>
      <c r="H221" s="49">
        <v>45933</v>
      </c>
      <c r="I221" s="49">
        <v>45935</v>
      </c>
      <c r="J221" t="s">
        <v>47</v>
      </c>
      <c r="K221" s="33">
        <v>2300</v>
      </c>
      <c r="M221" t="str">
        <f>_xlfn.XLOOKUP(Pipeline_tbl[[#This Row],[Rep_ID]],Dim_Reps!A:A,Dim_Reps!K:K)</f>
        <v>MXN</v>
      </c>
      <c r="N221" s="33">
        <f>(_xlfn.XLOOKUP(Pipeline_tbl[[#This Row],[Rate_Code_Generalized]],Lookups!A:A,Lookups!B:B))*Pipeline_tbl[[#This Row],[Pipeline_Amount_USD]]</f>
        <v>45385.210000000006</v>
      </c>
      <c r="O221" t="str">
        <f>_xlfn.XLOOKUP(Pipeline_tbl[[#This Row],[Rep_ID]],Dim_Reps!A:A,Dim_Reps!B:B)</f>
        <v>Milo Castro</v>
      </c>
      <c r="P221" t="str">
        <f>_xlfn.XLOOKUP(Pipeline_tbl[[#This Row],[Rep_ID]],Dim_Reps!A:A,Dim_Reps!C:C)</f>
        <v>SDR / Inside Sales Rep</v>
      </c>
      <c r="Q221" t="str">
        <f>_xlfn.XLOOKUP(Pipeline_tbl[[#This Row],[Rep_ID]],Dim_Reps!A:A,Dim_Reps!D:D)</f>
        <v>Inside Sales</v>
      </c>
      <c r="R221" t="str">
        <f>_xlfn.XLOOKUP(Pipeline_tbl[[#This Row],[Rep_ID]],Dim_Reps!A:A,Dim_Reps!E:E)</f>
        <v>LATAM</v>
      </c>
      <c r="S221" t="str">
        <f>_xlfn.XLOOKUP(Pipeline_tbl[[#This Row],[Created_Date]],Dim_Date!A:A,Dim_Date!H:H)</f>
        <v>Sep 2025</v>
      </c>
      <c r="T221" t="str">
        <f>IF(Pipeline_tbl[[#This Row],[Closed_Date]]=0,"",(_xlfn.XLOOKUP(Pipeline_tbl[[#This Row],[Closed_Date]],Dim_Date!A:A,Dim_Date!H:H)))</f>
        <v>Oct 2025</v>
      </c>
      <c r="U221">
        <f>IF(Pipeline_tbl[[#This Row],[Closed_Date]]=0,"",Pipeline_tbl[[#This Row],[Closed_Date]]-Pipeline_tbl[[#This Row],[Created_Date]])</f>
        <v>14</v>
      </c>
    </row>
    <row r="222" spans="1:21" ht="15" customHeight="1" x14ac:dyDescent="0.2">
      <c r="A222" t="s">
        <v>528</v>
      </c>
      <c r="B222" t="s">
        <v>235</v>
      </c>
      <c r="C222" t="s">
        <v>56</v>
      </c>
      <c r="D222" s="49">
        <v>45911</v>
      </c>
      <c r="E222" s="49">
        <v>45913</v>
      </c>
      <c r="F222" s="49">
        <v>45918</v>
      </c>
      <c r="G222" s="49">
        <v>45924</v>
      </c>
      <c r="H222" s="49">
        <v>45930</v>
      </c>
      <c r="I222" s="49">
        <v>45933</v>
      </c>
      <c r="J222" t="s">
        <v>47</v>
      </c>
      <c r="K222" s="33">
        <v>5900</v>
      </c>
      <c r="M222" t="str">
        <f>_xlfn.XLOOKUP(Pipeline_tbl[[#This Row],[Rep_ID]],Dim_Reps!A:A,Dim_Reps!K:K)</f>
        <v>MXN</v>
      </c>
      <c r="N222" s="33">
        <f>(_xlfn.XLOOKUP(Pipeline_tbl[[#This Row],[Rate_Code_Generalized]],Lookups!A:A,Lookups!B:B))*Pipeline_tbl[[#This Row],[Pipeline_Amount_USD]]</f>
        <v>116422.93000000001</v>
      </c>
      <c r="O222" t="str">
        <f>_xlfn.XLOOKUP(Pipeline_tbl[[#This Row],[Rep_ID]],Dim_Reps!A:A,Dim_Reps!B:B)</f>
        <v>Milo Castro</v>
      </c>
      <c r="P222" t="str">
        <f>_xlfn.XLOOKUP(Pipeline_tbl[[#This Row],[Rep_ID]],Dim_Reps!A:A,Dim_Reps!C:C)</f>
        <v>SDR / Inside Sales Rep</v>
      </c>
      <c r="Q222" t="str">
        <f>_xlfn.XLOOKUP(Pipeline_tbl[[#This Row],[Rep_ID]],Dim_Reps!A:A,Dim_Reps!D:D)</f>
        <v>Inside Sales</v>
      </c>
      <c r="R222" t="str">
        <f>_xlfn.XLOOKUP(Pipeline_tbl[[#This Row],[Rep_ID]],Dim_Reps!A:A,Dim_Reps!E:E)</f>
        <v>LATAM</v>
      </c>
      <c r="S222" t="str">
        <f>_xlfn.XLOOKUP(Pipeline_tbl[[#This Row],[Created_Date]],Dim_Date!A:A,Dim_Date!H:H)</f>
        <v>Sep 2025</v>
      </c>
      <c r="T222" t="str">
        <f>IF(Pipeline_tbl[[#This Row],[Closed_Date]]=0,"",(_xlfn.XLOOKUP(Pipeline_tbl[[#This Row],[Closed_Date]],Dim_Date!A:A,Dim_Date!H:H)))</f>
        <v>Oct 2025</v>
      </c>
      <c r="U222">
        <f>IF(Pipeline_tbl[[#This Row],[Closed_Date]]=0,"",Pipeline_tbl[[#This Row],[Closed_Date]]-Pipeline_tbl[[#This Row],[Created_Date]])</f>
        <v>22</v>
      </c>
    </row>
    <row r="223" spans="1:21" ht="15" customHeight="1" x14ac:dyDescent="0.2">
      <c r="A223" t="s">
        <v>529</v>
      </c>
      <c r="B223" t="s">
        <v>237</v>
      </c>
      <c r="C223" t="s">
        <v>56</v>
      </c>
      <c r="D223" s="49">
        <v>45929</v>
      </c>
      <c r="E223" s="49">
        <v>45930</v>
      </c>
      <c r="F223" s="49">
        <v>45933</v>
      </c>
      <c r="G223" s="49">
        <v>45937</v>
      </c>
      <c r="H223" s="49">
        <v>45940</v>
      </c>
      <c r="I223" s="49">
        <v>45942</v>
      </c>
      <c r="J223" t="s">
        <v>49</v>
      </c>
      <c r="K223" s="33">
        <v>1500</v>
      </c>
      <c r="L223" t="s">
        <v>63</v>
      </c>
      <c r="M223" t="str">
        <f>_xlfn.XLOOKUP(Pipeline_tbl[[#This Row],[Rep_ID]],Dim_Reps!A:A,Dim_Reps!K:K)</f>
        <v>EUR</v>
      </c>
      <c r="N223" s="33">
        <f>(_xlfn.XLOOKUP(Pipeline_tbl[[#This Row],[Rate_Code_Generalized]],Lookups!A:A,Lookups!B:B))*Pipeline_tbl[[#This Row],[Pipeline_Amount_USD]]</f>
        <v>1500</v>
      </c>
      <c r="O223" t="str">
        <f>_xlfn.XLOOKUP(Pipeline_tbl[[#This Row],[Rep_ID]],Dim_Reps!A:A,Dim_Reps!B:B)</f>
        <v>Hugo Santos</v>
      </c>
      <c r="P223" t="str">
        <f>_xlfn.XLOOKUP(Pipeline_tbl[[#This Row],[Rep_ID]],Dim_Reps!A:A,Dim_Reps!C:C)</f>
        <v>SDR / Inside Sales Rep</v>
      </c>
      <c r="Q223" t="str">
        <f>_xlfn.XLOOKUP(Pipeline_tbl[[#This Row],[Rep_ID]],Dim_Reps!A:A,Dim_Reps!D:D)</f>
        <v>Inside Sales</v>
      </c>
      <c r="R223" t="str">
        <f>_xlfn.XLOOKUP(Pipeline_tbl[[#This Row],[Rep_ID]],Dim_Reps!A:A,Dim_Reps!E:E)</f>
        <v>EMEA</v>
      </c>
      <c r="S223" t="str">
        <f>_xlfn.XLOOKUP(Pipeline_tbl[[#This Row],[Created_Date]],Dim_Date!A:A,Dim_Date!H:H)</f>
        <v>Sep 2025</v>
      </c>
      <c r="T223" t="str">
        <f>IF(Pipeline_tbl[[#This Row],[Closed_Date]]=0,"",(_xlfn.XLOOKUP(Pipeline_tbl[[#This Row],[Closed_Date]],Dim_Date!A:A,Dim_Date!H:H)))</f>
        <v>Oct 2025</v>
      </c>
      <c r="U223">
        <f>IF(Pipeline_tbl[[#This Row],[Closed_Date]]=0,"",Pipeline_tbl[[#This Row],[Closed_Date]]-Pipeline_tbl[[#This Row],[Created_Date]])</f>
        <v>13</v>
      </c>
    </row>
    <row r="224" spans="1:21" ht="15" customHeight="1" x14ac:dyDescent="0.2">
      <c r="A224" t="s">
        <v>530</v>
      </c>
      <c r="B224" t="s">
        <v>237</v>
      </c>
      <c r="C224" t="s">
        <v>52</v>
      </c>
      <c r="D224" s="49">
        <v>45914</v>
      </c>
      <c r="E224" s="49">
        <v>45916</v>
      </c>
      <c r="F224" s="49">
        <v>45919</v>
      </c>
      <c r="G224" s="49">
        <v>45924</v>
      </c>
      <c r="H224" s="49">
        <v>45928</v>
      </c>
      <c r="I224" s="49">
        <v>45931</v>
      </c>
      <c r="J224" t="s">
        <v>47</v>
      </c>
      <c r="K224" s="33">
        <v>5300</v>
      </c>
      <c r="M224" t="str">
        <f>_xlfn.XLOOKUP(Pipeline_tbl[[#This Row],[Rep_ID]],Dim_Reps!A:A,Dim_Reps!K:K)</f>
        <v>EUR</v>
      </c>
      <c r="N224" s="33">
        <f>(_xlfn.XLOOKUP(Pipeline_tbl[[#This Row],[Rate_Code_Generalized]],Lookups!A:A,Lookups!B:B))*Pipeline_tbl[[#This Row],[Pipeline_Amount_USD]]</f>
        <v>5300</v>
      </c>
      <c r="O224" t="str">
        <f>_xlfn.XLOOKUP(Pipeline_tbl[[#This Row],[Rep_ID]],Dim_Reps!A:A,Dim_Reps!B:B)</f>
        <v>Hugo Santos</v>
      </c>
      <c r="P224" t="str">
        <f>_xlfn.XLOOKUP(Pipeline_tbl[[#This Row],[Rep_ID]],Dim_Reps!A:A,Dim_Reps!C:C)</f>
        <v>SDR / Inside Sales Rep</v>
      </c>
      <c r="Q224" t="str">
        <f>_xlfn.XLOOKUP(Pipeline_tbl[[#This Row],[Rep_ID]],Dim_Reps!A:A,Dim_Reps!D:D)</f>
        <v>Inside Sales</v>
      </c>
      <c r="R224" t="str">
        <f>_xlfn.XLOOKUP(Pipeline_tbl[[#This Row],[Rep_ID]],Dim_Reps!A:A,Dim_Reps!E:E)</f>
        <v>EMEA</v>
      </c>
      <c r="S224" t="str">
        <f>_xlfn.XLOOKUP(Pipeline_tbl[[#This Row],[Created_Date]],Dim_Date!A:A,Dim_Date!H:H)</f>
        <v>Sep 2025</v>
      </c>
      <c r="T224" t="str">
        <f>IF(Pipeline_tbl[[#This Row],[Closed_Date]]=0,"",(_xlfn.XLOOKUP(Pipeline_tbl[[#This Row],[Closed_Date]],Dim_Date!A:A,Dim_Date!H:H)))</f>
        <v>Oct 2025</v>
      </c>
      <c r="U224">
        <f>IF(Pipeline_tbl[[#This Row],[Closed_Date]]=0,"",Pipeline_tbl[[#This Row],[Closed_Date]]-Pipeline_tbl[[#This Row],[Created_Date]])</f>
        <v>17</v>
      </c>
    </row>
    <row r="225" spans="1:21" ht="15" customHeight="1" x14ac:dyDescent="0.2">
      <c r="A225" t="s">
        <v>531</v>
      </c>
      <c r="B225" t="s">
        <v>237</v>
      </c>
      <c r="C225" t="s">
        <v>52</v>
      </c>
      <c r="D225" s="49">
        <v>45923</v>
      </c>
      <c r="E225" s="49">
        <v>45924</v>
      </c>
      <c r="F225" s="49">
        <v>45927</v>
      </c>
      <c r="I225" s="49">
        <v>45936</v>
      </c>
      <c r="J225" t="s">
        <v>49</v>
      </c>
      <c r="K225" s="33">
        <v>700</v>
      </c>
      <c r="L225" t="s">
        <v>61</v>
      </c>
      <c r="M225" t="str">
        <f>_xlfn.XLOOKUP(Pipeline_tbl[[#This Row],[Rep_ID]],Dim_Reps!A:A,Dim_Reps!K:K)</f>
        <v>EUR</v>
      </c>
      <c r="N225" s="33">
        <f>(_xlfn.XLOOKUP(Pipeline_tbl[[#This Row],[Rate_Code_Generalized]],Lookups!A:A,Lookups!B:B))*Pipeline_tbl[[#This Row],[Pipeline_Amount_USD]]</f>
        <v>700</v>
      </c>
      <c r="O225" t="str">
        <f>_xlfn.XLOOKUP(Pipeline_tbl[[#This Row],[Rep_ID]],Dim_Reps!A:A,Dim_Reps!B:B)</f>
        <v>Hugo Santos</v>
      </c>
      <c r="P225" t="str">
        <f>_xlfn.XLOOKUP(Pipeline_tbl[[#This Row],[Rep_ID]],Dim_Reps!A:A,Dim_Reps!C:C)</f>
        <v>SDR / Inside Sales Rep</v>
      </c>
      <c r="Q225" t="str">
        <f>_xlfn.XLOOKUP(Pipeline_tbl[[#This Row],[Rep_ID]],Dim_Reps!A:A,Dim_Reps!D:D)</f>
        <v>Inside Sales</v>
      </c>
      <c r="R225" t="str">
        <f>_xlfn.XLOOKUP(Pipeline_tbl[[#This Row],[Rep_ID]],Dim_Reps!A:A,Dim_Reps!E:E)</f>
        <v>EMEA</v>
      </c>
      <c r="S225" t="str">
        <f>_xlfn.XLOOKUP(Pipeline_tbl[[#This Row],[Created_Date]],Dim_Date!A:A,Dim_Date!H:H)</f>
        <v>Sep 2025</v>
      </c>
      <c r="T225" t="str">
        <f>IF(Pipeline_tbl[[#This Row],[Closed_Date]]=0,"",(_xlfn.XLOOKUP(Pipeline_tbl[[#This Row],[Closed_Date]],Dim_Date!A:A,Dim_Date!H:H)))</f>
        <v>Oct 2025</v>
      </c>
      <c r="U225">
        <f>IF(Pipeline_tbl[[#This Row],[Closed_Date]]=0,"",Pipeline_tbl[[#This Row],[Closed_Date]]-Pipeline_tbl[[#This Row],[Created_Date]])</f>
        <v>13</v>
      </c>
    </row>
    <row r="226" spans="1:21" ht="15" customHeight="1" x14ac:dyDescent="0.2">
      <c r="A226" t="s">
        <v>532</v>
      </c>
      <c r="B226" t="s">
        <v>237</v>
      </c>
      <c r="C226" t="s">
        <v>52</v>
      </c>
      <c r="D226" s="49">
        <v>45928</v>
      </c>
      <c r="E226" s="49">
        <v>45930</v>
      </c>
      <c r="F226" s="49">
        <v>45933</v>
      </c>
      <c r="G226" s="49">
        <v>45939</v>
      </c>
      <c r="H226" s="49">
        <v>45943</v>
      </c>
      <c r="I226" s="49">
        <v>45946</v>
      </c>
      <c r="J226" t="s">
        <v>47</v>
      </c>
      <c r="K226" s="33">
        <v>4800</v>
      </c>
      <c r="M226" t="str">
        <f>_xlfn.XLOOKUP(Pipeline_tbl[[#This Row],[Rep_ID]],Dim_Reps!A:A,Dim_Reps!K:K)</f>
        <v>EUR</v>
      </c>
      <c r="N226" s="33">
        <f>(_xlfn.XLOOKUP(Pipeline_tbl[[#This Row],[Rate_Code_Generalized]],Lookups!A:A,Lookups!B:B))*Pipeline_tbl[[#This Row],[Pipeline_Amount_USD]]</f>
        <v>4800</v>
      </c>
      <c r="O226" t="str">
        <f>_xlfn.XLOOKUP(Pipeline_tbl[[#This Row],[Rep_ID]],Dim_Reps!A:A,Dim_Reps!B:B)</f>
        <v>Hugo Santos</v>
      </c>
      <c r="P226" t="str">
        <f>_xlfn.XLOOKUP(Pipeline_tbl[[#This Row],[Rep_ID]],Dim_Reps!A:A,Dim_Reps!C:C)</f>
        <v>SDR / Inside Sales Rep</v>
      </c>
      <c r="Q226" t="str">
        <f>_xlfn.XLOOKUP(Pipeline_tbl[[#This Row],[Rep_ID]],Dim_Reps!A:A,Dim_Reps!D:D)</f>
        <v>Inside Sales</v>
      </c>
      <c r="R226" t="str">
        <f>_xlfn.XLOOKUP(Pipeline_tbl[[#This Row],[Rep_ID]],Dim_Reps!A:A,Dim_Reps!E:E)</f>
        <v>EMEA</v>
      </c>
      <c r="S226" t="str">
        <f>_xlfn.XLOOKUP(Pipeline_tbl[[#This Row],[Created_Date]],Dim_Date!A:A,Dim_Date!H:H)</f>
        <v>Sep 2025</v>
      </c>
      <c r="T226" t="str">
        <f>IF(Pipeline_tbl[[#This Row],[Closed_Date]]=0,"",(_xlfn.XLOOKUP(Pipeline_tbl[[#This Row],[Closed_Date]],Dim_Date!A:A,Dim_Date!H:H)))</f>
        <v>Oct 2025</v>
      </c>
      <c r="U226">
        <f>IF(Pipeline_tbl[[#This Row],[Closed_Date]]=0,"",Pipeline_tbl[[#This Row],[Closed_Date]]-Pipeline_tbl[[#This Row],[Created_Date]])</f>
        <v>18</v>
      </c>
    </row>
    <row r="227" spans="1:21" ht="15" customHeight="1" x14ac:dyDescent="0.2">
      <c r="A227" t="s">
        <v>533</v>
      </c>
      <c r="B227" t="s">
        <v>237</v>
      </c>
      <c r="C227" t="s">
        <v>54</v>
      </c>
      <c r="D227" s="49">
        <v>45922</v>
      </c>
      <c r="E227" s="49">
        <v>45924</v>
      </c>
      <c r="F227" s="49">
        <v>45927</v>
      </c>
      <c r="G227" s="49">
        <v>45931</v>
      </c>
      <c r="I227" s="49">
        <v>45937</v>
      </c>
      <c r="J227" t="s">
        <v>49</v>
      </c>
      <c r="K227" s="33">
        <v>1600</v>
      </c>
      <c r="L227" t="s">
        <v>61</v>
      </c>
      <c r="M227" t="str">
        <f>_xlfn.XLOOKUP(Pipeline_tbl[[#This Row],[Rep_ID]],Dim_Reps!A:A,Dim_Reps!K:K)</f>
        <v>EUR</v>
      </c>
      <c r="N227" s="33">
        <f>(_xlfn.XLOOKUP(Pipeline_tbl[[#This Row],[Rate_Code_Generalized]],Lookups!A:A,Lookups!B:B))*Pipeline_tbl[[#This Row],[Pipeline_Amount_USD]]</f>
        <v>1600</v>
      </c>
      <c r="O227" t="str">
        <f>_xlfn.XLOOKUP(Pipeline_tbl[[#This Row],[Rep_ID]],Dim_Reps!A:A,Dim_Reps!B:B)</f>
        <v>Hugo Santos</v>
      </c>
      <c r="P227" t="str">
        <f>_xlfn.XLOOKUP(Pipeline_tbl[[#This Row],[Rep_ID]],Dim_Reps!A:A,Dim_Reps!C:C)</f>
        <v>SDR / Inside Sales Rep</v>
      </c>
      <c r="Q227" t="str">
        <f>_xlfn.XLOOKUP(Pipeline_tbl[[#This Row],[Rep_ID]],Dim_Reps!A:A,Dim_Reps!D:D)</f>
        <v>Inside Sales</v>
      </c>
      <c r="R227" t="str">
        <f>_xlfn.XLOOKUP(Pipeline_tbl[[#This Row],[Rep_ID]],Dim_Reps!A:A,Dim_Reps!E:E)</f>
        <v>EMEA</v>
      </c>
      <c r="S227" t="str">
        <f>_xlfn.XLOOKUP(Pipeline_tbl[[#This Row],[Created_Date]],Dim_Date!A:A,Dim_Date!H:H)</f>
        <v>Sep 2025</v>
      </c>
      <c r="T227" t="str">
        <f>IF(Pipeline_tbl[[#This Row],[Closed_Date]]=0,"",(_xlfn.XLOOKUP(Pipeline_tbl[[#This Row],[Closed_Date]],Dim_Date!A:A,Dim_Date!H:H)))</f>
        <v>Oct 2025</v>
      </c>
      <c r="U227">
        <f>IF(Pipeline_tbl[[#This Row],[Closed_Date]]=0,"",Pipeline_tbl[[#This Row],[Closed_Date]]-Pipeline_tbl[[#This Row],[Created_Date]])</f>
        <v>15</v>
      </c>
    </row>
    <row r="228" spans="1:21" ht="15" customHeight="1" x14ac:dyDescent="0.2">
      <c r="A228" t="s">
        <v>534</v>
      </c>
      <c r="B228" t="s">
        <v>239</v>
      </c>
      <c r="C228" t="s">
        <v>55</v>
      </c>
      <c r="D228" s="49">
        <v>45925</v>
      </c>
      <c r="E228" s="49">
        <v>45927</v>
      </c>
      <c r="F228" s="49">
        <v>45930</v>
      </c>
      <c r="I228" s="49">
        <v>45941</v>
      </c>
      <c r="J228" t="s">
        <v>49</v>
      </c>
      <c r="K228" s="33">
        <v>1500</v>
      </c>
      <c r="L228" t="s">
        <v>60</v>
      </c>
      <c r="M228" t="str">
        <f>_xlfn.XLOOKUP(Pipeline_tbl[[#This Row],[Rep_ID]],Dim_Reps!A:A,Dim_Reps!K:K)</f>
        <v>USD</v>
      </c>
      <c r="N228" s="33">
        <f>(_xlfn.XLOOKUP(Pipeline_tbl[[#This Row],[Rate_Code_Generalized]],Lookups!A:A,Lookups!B:B))*Pipeline_tbl[[#This Row],[Pipeline_Amount_USD]]</f>
        <v>1746.4499999999998</v>
      </c>
      <c r="O228" t="str">
        <f>_xlfn.XLOOKUP(Pipeline_tbl[[#This Row],[Rep_ID]],Dim_Reps!A:A,Dim_Reps!B:B)</f>
        <v>Noah Adler</v>
      </c>
      <c r="P228" t="str">
        <f>_xlfn.XLOOKUP(Pipeline_tbl[[#This Row],[Rep_ID]],Dim_Reps!A:A,Dim_Reps!C:C)</f>
        <v>SDR / Inside Sales Rep</v>
      </c>
      <c r="Q228" t="str">
        <f>_xlfn.XLOOKUP(Pipeline_tbl[[#This Row],[Rep_ID]],Dim_Reps!A:A,Dim_Reps!D:D)</f>
        <v>Inside Sales</v>
      </c>
      <c r="R228" t="str">
        <f>_xlfn.XLOOKUP(Pipeline_tbl[[#This Row],[Rep_ID]],Dim_Reps!A:A,Dim_Reps!E:E)</f>
        <v>NAMER</v>
      </c>
      <c r="S228" t="str">
        <f>_xlfn.XLOOKUP(Pipeline_tbl[[#This Row],[Created_Date]],Dim_Date!A:A,Dim_Date!H:H)</f>
        <v>Sep 2025</v>
      </c>
      <c r="T228" t="str">
        <f>IF(Pipeline_tbl[[#This Row],[Closed_Date]]=0,"",(_xlfn.XLOOKUP(Pipeline_tbl[[#This Row],[Closed_Date]],Dim_Date!A:A,Dim_Date!H:H)))</f>
        <v>Oct 2025</v>
      </c>
      <c r="U228">
        <f>IF(Pipeline_tbl[[#This Row],[Closed_Date]]=0,"",Pipeline_tbl[[#This Row],[Closed_Date]]-Pipeline_tbl[[#This Row],[Created_Date]])</f>
        <v>16</v>
      </c>
    </row>
    <row r="229" spans="1:21" ht="15" customHeight="1" x14ac:dyDescent="0.2">
      <c r="A229" t="s">
        <v>535</v>
      </c>
      <c r="B229" t="s">
        <v>239</v>
      </c>
      <c r="C229" t="s">
        <v>52</v>
      </c>
      <c r="D229" s="49">
        <v>45929</v>
      </c>
      <c r="E229" s="49">
        <v>45931</v>
      </c>
      <c r="F229" s="49">
        <v>45935</v>
      </c>
      <c r="G229" s="49">
        <v>45941</v>
      </c>
      <c r="I229" s="49">
        <v>45949</v>
      </c>
      <c r="J229" t="s">
        <v>49</v>
      </c>
      <c r="K229" s="33">
        <v>4200</v>
      </c>
      <c r="L229" t="s">
        <v>60</v>
      </c>
      <c r="M229" t="str">
        <f>_xlfn.XLOOKUP(Pipeline_tbl[[#This Row],[Rep_ID]],Dim_Reps!A:A,Dim_Reps!K:K)</f>
        <v>USD</v>
      </c>
      <c r="N229" s="33">
        <f>(_xlfn.XLOOKUP(Pipeline_tbl[[#This Row],[Rate_Code_Generalized]],Lookups!A:A,Lookups!B:B))*Pipeline_tbl[[#This Row],[Pipeline_Amount_USD]]</f>
        <v>4890.0599999999995</v>
      </c>
      <c r="O229" t="str">
        <f>_xlfn.XLOOKUP(Pipeline_tbl[[#This Row],[Rep_ID]],Dim_Reps!A:A,Dim_Reps!B:B)</f>
        <v>Noah Adler</v>
      </c>
      <c r="P229" t="str">
        <f>_xlfn.XLOOKUP(Pipeline_tbl[[#This Row],[Rep_ID]],Dim_Reps!A:A,Dim_Reps!C:C)</f>
        <v>SDR / Inside Sales Rep</v>
      </c>
      <c r="Q229" t="str">
        <f>_xlfn.XLOOKUP(Pipeline_tbl[[#This Row],[Rep_ID]],Dim_Reps!A:A,Dim_Reps!D:D)</f>
        <v>Inside Sales</v>
      </c>
      <c r="R229" t="str">
        <f>_xlfn.XLOOKUP(Pipeline_tbl[[#This Row],[Rep_ID]],Dim_Reps!A:A,Dim_Reps!E:E)</f>
        <v>NAMER</v>
      </c>
      <c r="S229" t="str">
        <f>_xlfn.XLOOKUP(Pipeline_tbl[[#This Row],[Created_Date]],Dim_Date!A:A,Dim_Date!H:H)</f>
        <v>Sep 2025</v>
      </c>
      <c r="T229" t="str">
        <f>IF(Pipeline_tbl[[#This Row],[Closed_Date]]=0,"",(_xlfn.XLOOKUP(Pipeline_tbl[[#This Row],[Closed_Date]],Dim_Date!A:A,Dim_Date!H:H)))</f>
        <v>Oct 2025</v>
      </c>
      <c r="U229">
        <f>IF(Pipeline_tbl[[#This Row],[Closed_Date]]=0,"",Pipeline_tbl[[#This Row],[Closed_Date]]-Pipeline_tbl[[#This Row],[Created_Date]])</f>
        <v>20</v>
      </c>
    </row>
    <row r="230" spans="1:21" ht="15" customHeight="1" x14ac:dyDescent="0.2">
      <c r="A230" t="s">
        <v>536</v>
      </c>
      <c r="B230" t="s">
        <v>271</v>
      </c>
      <c r="C230" t="s">
        <v>52</v>
      </c>
      <c r="D230" s="49">
        <v>45922</v>
      </c>
      <c r="E230" s="49">
        <v>45926</v>
      </c>
      <c r="F230" s="49">
        <v>45933</v>
      </c>
      <c r="I230" s="49">
        <v>45958</v>
      </c>
      <c r="J230" t="s">
        <v>49</v>
      </c>
      <c r="K230" s="33">
        <v>14000</v>
      </c>
      <c r="L230" t="s">
        <v>60</v>
      </c>
      <c r="M230" t="str">
        <f>_xlfn.XLOOKUP(Pipeline_tbl[[#This Row],[Rep_ID]],Dim_Reps!A:A,Dim_Reps!K:K)</f>
        <v>EUR</v>
      </c>
      <c r="N230" s="33">
        <f>(_xlfn.XLOOKUP(Pipeline_tbl[[#This Row],[Rate_Code_Generalized]],Lookups!A:A,Lookups!B:B))*Pipeline_tbl[[#This Row],[Pipeline_Amount_USD]]</f>
        <v>14000</v>
      </c>
      <c r="O230" t="str">
        <f>_xlfn.XLOOKUP(Pipeline_tbl[[#This Row],[Rep_ID]],Dim_Reps!A:A,Dim_Reps!B:B)</f>
        <v>Ivy Adler</v>
      </c>
      <c r="P230" t="str">
        <f>_xlfn.XLOOKUP(Pipeline_tbl[[#This Row],[Rep_ID]],Dim_Reps!A:A,Dim_Reps!C:C)</f>
        <v>Mid-Market AE</v>
      </c>
      <c r="Q230" t="str">
        <f>_xlfn.XLOOKUP(Pipeline_tbl[[#This Row],[Rep_ID]],Dim_Reps!A:A,Dim_Reps!D:D)</f>
        <v>Mid-Market</v>
      </c>
      <c r="R230" t="str">
        <f>_xlfn.XLOOKUP(Pipeline_tbl[[#This Row],[Rep_ID]],Dim_Reps!A:A,Dim_Reps!E:E)</f>
        <v>APAC</v>
      </c>
      <c r="S230" t="str">
        <f>_xlfn.XLOOKUP(Pipeline_tbl[[#This Row],[Created_Date]],Dim_Date!A:A,Dim_Date!H:H)</f>
        <v>Sep 2025</v>
      </c>
      <c r="T230" t="str">
        <f>IF(Pipeline_tbl[[#This Row],[Closed_Date]]=0,"",(_xlfn.XLOOKUP(Pipeline_tbl[[#This Row],[Closed_Date]],Dim_Date!A:A,Dim_Date!H:H)))</f>
        <v>Oct 2025</v>
      </c>
      <c r="U230">
        <f>IF(Pipeline_tbl[[#This Row],[Closed_Date]]=0,"",Pipeline_tbl[[#This Row],[Closed_Date]]-Pipeline_tbl[[#This Row],[Created_Date]])</f>
        <v>36</v>
      </c>
    </row>
    <row r="231" spans="1:21" ht="15" customHeight="1" x14ac:dyDescent="0.2">
      <c r="A231" t="s">
        <v>537</v>
      </c>
      <c r="B231" t="s">
        <v>271</v>
      </c>
      <c r="C231" t="s">
        <v>54</v>
      </c>
      <c r="D231" s="49">
        <v>45924</v>
      </c>
      <c r="E231" s="49">
        <v>45926</v>
      </c>
      <c r="F231" s="49">
        <v>45929</v>
      </c>
      <c r="G231" s="49">
        <v>45935</v>
      </c>
      <c r="H231" s="49">
        <v>45939</v>
      </c>
      <c r="I231" s="49">
        <v>45942</v>
      </c>
      <c r="J231" t="s">
        <v>49</v>
      </c>
      <c r="K231" s="33">
        <v>37700</v>
      </c>
      <c r="L231" t="s">
        <v>60</v>
      </c>
      <c r="M231" t="str">
        <f>_xlfn.XLOOKUP(Pipeline_tbl[[#This Row],[Rep_ID]],Dim_Reps!A:A,Dim_Reps!K:K)</f>
        <v>EUR</v>
      </c>
      <c r="N231" s="33">
        <f>(_xlfn.XLOOKUP(Pipeline_tbl[[#This Row],[Rate_Code_Generalized]],Lookups!A:A,Lookups!B:B))*Pipeline_tbl[[#This Row],[Pipeline_Amount_USD]]</f>
        <v>37700</v>
      </c>
      <c r="O231" t="str">
        <f>_xlfn.XLOOKUP(Pipeline_tbl[[#This Row],[Rep_ID]],Dim_Reps!A:A,Dim_Reps!B:B)</f>
        <v>Ivy Adler</v>
      </c>
      <c r="P231" t="str">
        <f>_xlfn.XLOOKUP(Pipeline_tbl[[#This Row],[Rep_ID]],Dim_Reps!A:A,Dim_Reps!C:C)</f>
        <v>Mid-Market AE</v>
      </c>
      <c r="Q231" t="str">
        <f>_xlfn.XLOOKUP(Pipeline_tbl[[#This Row],[Rep_ID]],Dim_Reps!A:A,Dim_Reps!D:D)</f>
        <v>Mid-Market</v>
      </c>
      <c r="R231" t="str">
        <f>_xlfn.XLOOKUP(Pipeline_tbl[[#This Row],[Rep_ID]],Dim_Reps!A:A,Dim_Reps!E:E)</f>
        <v>APAC</v>
      </c>
      <c r="S231" t="str">
        <f>_xlfn.XLOOKUP(Pipeline_tbl[[#This Row],[Created_Date]],Dim_Date!A:A,Dim_Date!H:H)</f>
        <v>Sep 2025</v>
      </c>
      <c r="T231" t="str">
        <f>IF(Pipeline_tbl[[#This Row],[Closed_Date]]=0,"",(_xlfn.XLOOKUP(Pipeline_tbl[[#This Row],[Closed_Date]],Dim_Date!A:A,Dim_Date!H:H)))</f>
        <v>Oct 2025</v>
      </c>
      <c r="U231">
        <f>IF(Pipeline_tbl[[#This Row],[Closed_Date]]=0,"",Pipeline_tbl[[#This Row],[Closed_Date]]-Pipeline_tbl[[#This Row],[Created_Date]])</f>
        <v>18</v>
      </c>
    </row>
    <row r="232" spans="1:21" ht="15" customHeight="1" x14ac:dyDescent="0.2">
      <c r="A232" t="s">
        <v>538</v>
      </c>
      <c r="B232" t="s">
        <v>271</v>
      </c>
      <c r="C232" t="s">
        <v>55</v>
      </c>
      <c r="D232" s="49">
        <v>45918</v>
      </c>
      <c r="E232" s="49">
        <v>45921</v>
      </c>
      <c r="I232" s="49">
        <v>45947</v>
      </c>
      <c r="J232" t="s">
        <v>49</v>
      </c>
      <c r="K232" s="33">
        <v>33000</v>
      </c>
      <c r="L232" t="s">
        <v>60</v>
      </c>
      <c r="M232" t="str">
        <f>_xlfn.XLOOKUP(Pipeline_tbl[[#This Row],[Rep_ID]],Dim_Reps!A:A,Dim_Reps!K:K)</f>
        <v>EUR</v>
      </c>
      <c r="N232" s="33">
        <f>(_xlfn.XLOOKUP(Pipeline_tbl[[#This Row],[Rate_Code_Generalized]],Lookups!A:A,Lookups!B:B))*Pipeline_tbl[[#This Row],[Pipeline_Amount_USD]]</f>
        <v>33000</v>
      </c>
      <c r="O232" t="str">
        <f>_xlfn.XLOOKUP(Pipeline_tbl[[#This Row],[Rep_ID]],Dim_Reps!A:A,Dim_Reps!B:B)</f>
        <v>Ivy Adler</v>
      </c>
      <c r="P232" t="str">
        <f>_xlfn.XLOOKUP(Pipeline_tbl[[#This Row],[Rep_ID]],Dim_Reps!A:A,Dim_Reps!C:C)</f>
        <v>Mid-Market AE</v>
      </c>
      <c r="Q232" t="str">
        <f>_xlfn.XLOOKUP(Pipeline_tbl[[#This Row],[Rep_ID]],Dim_Reps!A:A,Dim_Reps!D:D)</f>
        <v>Mid-Market</v>
      </c>
      <c r="R232" t="str">
        <f>_xlfn.XLOOKUP(Pipeline_tbl[[#This Row],[Rep_ID]],Dim_Reps!A:A,Dim_Reps!E:E)</f>
        <v>APAC</v>
      </c>
      <c r="S232" t="str">
        <f>_xlfn.XLOOKUP(Pipeline_tbl[[#This Row],[Created_Date]],Dim_Date!A:A,Dim_Date!H:H)</f>
        <v>Sep 2025</v>
      </c>
      <c r="T232" t="str">
        <f>IF(Pipeline_tbl[[#This Row],[Closed_Date]]=0,"",(_xlfn.XLOOKUP(Pipeline_tbl[[#This Row],[Closed_Date]],Dim_Date!A:A,Dim_Date!H:H)))</f>
        <v>Oct 2025</v>
      </c>
      <c r="U232">
        <f>IF(Pipeline_tbl[[#This Row],[Closed_Date]]=0,"",Pipeline_tbl[[#This Row],[Closed_Date]]-Pipeline_tbl[[#This Row],[Created_Date]])</f>
        <v>29</v>
      </c>
    </row>
    <row r="233" spans="1:21" ht="15" customHeight="1" x14ac:dyDescent="0.2">
      <c r="A233" t="s">
        <v>539</v>
      </c>
      <c r="B233" t="s">
        <v>271</v>
      </c>
      <c r="C233" t="s">
        <v>52</v>
      </c>
      <c r="D233" s="49">
        <v>45921</v>
      </c>
      <c r="E233" s="49">
        <v>45924</v>
      </c>
      <c r="F233" s="49">
        <v>45929</v>
      </c>
      <c r="G233" s="49">
        <v>45937</v>
      </c>
      <c r="H233" s="49">
        <v>45943</v>
      </c>
      <c r="I233" s="49">
        <v>45947</v>
      </c>
      <c r="J233" t="s">
        <v>49</v>
      </c>
      <c r="K233" s="33">
        <v>12100</v>
      </c>
      <c r="L233" t="s">
        <v>61</v>
      </c>
      <c r="M233" t="str">
        <f>_xlfn.XLOOKUP(Pipeline_tbl[[#This Row],[Rep_ID]],Dim_Reps!A:A,Dim_Reps!K:K)</f>
        <v>EUR</v>
      </c>
      <c r="N233" s="33">
        <f>(_xlfn.XLOOKUP(Pipeline_tbl[[#This Row],[Rate_Code_Generalized]],Lookups!A:A,Lookups!B:B))*Pipeline_tbl[[#This Row],[Pipeline_Amount_USD]]</f>
        <v>12100</v>
      </c>
      <c r="O233" t="str">
        <f>_xlfn.XLOOKUP(Pipeline_tbl[[#This Row],[Rep_ID]],Dim_Reps!A:A,Dim_Reps!B:B)</f>
        <v>Ivy Adler</v>
      </c>
      <c r="P233" t="str">
        <f>_xlfn.XLOOKUP(Pipeline_tbl[[#This Row],[Rep_ID]],Dim_Reps!A:A,Dim_Reps!C:C)</f>
        <v>Mid-Market AE</v>
      </c>
      <c r="Q233" t="str">
        <f>_xlfn.XLOOKUP(Pipeline_tbl[[#This Row],[Rep_ID]],Dim_Reps!A:A,Dim_Reps!D:D)</f>
        <v>Mid-Market</v>
      </c>
      <c r="R233" t="str">
        <f>_xlfn.XLOOKUP(Pipeline_tbl[[#This Row],[Rep_ID]],Dim_Reps!A:A,Dim_Reps!E:E)</f>
        <v>APAC</v>
      </c>
      <c r="S233" t="str">
        <f>_xlfn.XLOOKUP(Pipeline_tbl[[#This Row],[Created_Date]],Dim_Date!A:A,Dim_Date!H:H)</f>
        <v>Sep 2025</v>
      </c>
      <c r="T233" t="str">
        <f>IF(Pipeline_tbl[[#This Row],[Closed_Date]]=0,"",(_xlfn.XLOOKUP(Pipeline_tbl[[#This Row],[Closed_Date]],Dim_Date!A:A,Dim_Date!H:H)))</f>
        <v>Oct 2025</v>
      </c>
      <c r="U233">
        <f>IF(Pipeline_tbl[[#This Row],[Closed_Date]]=0,"",Pipeline_tbl[[#This Row],[Closed_Date]]-Pipeline_tbl[[#This Row],[Created_Date]])</f>
        <v>26</v>
      </c>
    </row>
    <row r="234" spans="1:21" ht="15" customHeight="1" x14ac:dyDescent="0.2">
      <c r="A234" t="s">
        <v>540</v>
      </c>
      <c r="B234" t="s">
        <v>273</v>
      </c>
      <c r="C234" t="s">
        <v>54</v>
      </c>
      <c r="D234" s="49">
        <v>45917</v>
      </c>
      <c r="E234" s="49">
        <v>45921</v>
      </c>
      <c r="F234" s="49">
        <v>45928</v>
      </c>
      <c r="G234" s="49">
        <v>45939</v>
      </c>
      <c r="H234" s="49">
        <v>45948</v>
      </c>
      <c r="I234" s="49">
        <v>45954</v>
      </c>
      <c r="J234" t="s">
        <v>47</v>
      </c>
      <c r="K234" s="33">
        <v>11600</v>
      </c>
      <c r="M234" t="str">
        <f>_xlfn.XLOOKUP(Pipeline_tbl[[#This Row],[Rep_ID]],Dim_Reps!A:A,Dim_Reps!K:K)</f>
        <v>EUR</v>
      </c>
      <c r="N234" s="33">
        <f>(_xlfn.XLOOKUP(Pipeline_tbl[[#This Row],[Rate_Code_Generalized]],Lookups!A:A,Lookups!B:B))*Pipeline_tbl[[#This Row],[Pipeline_Amount_USD]]</f>
        <v>11600</v>
      </c>
      <c r="O234" t="str">
        <f>_xlfn.XLOOKUP(Pipeline_tbl[[#This Row],[Rep_ID]],Dim_Reps!A:A,Dim_Reps!B:B)</f>
        <v>Olivia Cohen</v>
      </c>
      <c r="P234" t="str">
        <f>_xlfn.XLOOKUP(Pipeline_tbl[[#This Row],[Rep_ID]],Dim_Reps!A:A,Dim_Reps!C:C)</f>
        <v>Mid-Market AE</v>
      </c>
      <c r="Q234" t="str">
        <f>_xlfn.XLOOKUP(Pipeline_tbl[[#This Row],[Rep_ID]],Dim_Reps!A:A,Dim_Reps!D:D)</f>
        <v>Mid-Market</v>
      </c>
      <c r="R234" t="str">
        <f>_xlfn.XLOOKUP(Pipeline_tbl[[#This Row],[Rep_ID]],Dim_Reps!A:A,Dim_Reps!E:E)</f>
        <v>APAC</v>
      </c>
      <c r="S234" t="str">
        <f>_xlfn.XLOOKUP(Pipeline_tbl[[#This Row],[Created_Date]],Dim_Date!A:A,Dim_Date!H:H)</f>
        <v>Sep 2025</v>
      </c>
      <c r="T234" t="str">
        <f>IF(Pipeline_tbl[[#This Row],[Closed_Date]]=0,"",(_xlfn.XLOOKUP(Pipeline_tbl[[#This Row],[Closed_Date]],Dim_Date!A:A,Dim_Date!H:H)))</f>
        <v>Oct 2025</v>
      </c>
      <c r="U234">
        <f>IF(Pipeline_tbl[[#This Row],[Closed_Date]]=0,"",Pipeline_tbl[[#This Row],[Closed_Date]]-Pipeline_tbl[[#This Row],[Created_Date]])</f>
        <v>37</v>
      </c>
    </row>
    <row r="235" spans="1:21" ht="15" customHeight="1" x14ac:dyDescent="0.2">
      <c r="A235" t="s">
        <v>541</v>
      </c>
      <c r="B235" t="s">
        <v>273</v>
      </c>
      <c r="C235" t="s">
        <v>52</v>
      </c>
      <c r="D235" s="49">
        <v>45914</v>
      </c>
      <c r="E235" s="49">
        <v>45917</v>
      </c>
      <c r="F235" s="49">
        <v>45922</v>
      </c>
      <c r="G235" s="49">
        <v>45931</v>
      </c>
      <c r="H235" s="49">
        <v>45938</v>
      </c>
      <c r="I235" s="49">
        <v>45942</v>
      </c>
      <c r="J235" t="s">
        <v>47</v>
      </c>
      <c r="K235" s="33">
        <v>29800</v>
      </c>
      <c r="M235" t="str">
        <f>_xlfn.XLOOKUP(Pipeline_tbl[[#This Row],[Rep_ID]],Dim_Reps!A:A,Dim_Reps!K:K)</f>
        <v>EUR</v>
      </c>
      <c r="N235" s="33">
        <f>(_xlfn.XLOOKUP(Pipeline_tbl[[#This Row],[Rate_Code_Generalized]],Lookups!A:A,Lookups!B:B))*Pipeline_tbl[[#This Row],[Pipeline_Amount_USD]]</f>
        <v>29800</v>
      </c>
      <c r="O235" t="str">
        <f>_xlfn.XLOOKUP(Pipeline_tbl[[#This Row],[Rep_ID]],Dim_Reps!A:A,Dim_Reps!B:B)</f>
        <v>Olivia Cohen</v>
      </c>
      <c r="P235" t="str">
        <f>_xlfn.XLOOKUP(Pipeline_tbl[[#This Row],[Rep_ID]],Dim_Reps!A:A,Dim_Reps!C:C)</f>
        <v>Mid-Market AE</v>
      </c>
      <c r="Q235" t="str">
        <f>_xlfn.XLOOKUP(Pipeline_tbl[[#This Row],[Rep_ID]],Dim_Reps!A:A,Dim_Reps!D:D)</f>
        <v>Mid-Market</v>
      </c>
      <c r="R235" t="str">
        <f>_xlfn.XLOOKUP(Pipeline_tbl[[#This Row],[Rep_ID]],Dim_Reps!A:A,Dim_Reps!E:E)</f>
        <v>APAC</v>
      </c>
      <c r="S235" t="str">
        <f>_xlfn.XLOOKUP(Pipeline_tbl[[#This Row],[Created_Date]],Dim_Date!A:A,Dim_Date!H:H)</f>
        <v>Sep 2025</v>
      </c>
      <c r="T235" t="str">
        <f>IF(Pipeline_tbl[[#This Row],[Closed_Date]]=0,"",(_xlfn.XLOOKUP(Pipeline_tbl[[#This Row],[Closed_Date]],Dim_Date!A:A,Dim_Date!H:H)))</f>
        <v>Oct 2025</v>
      </c>
      <c r="U235">
        <f>IF(Pipeline_tbl[[#This Row],[Closed_Date]]=0,"",Pipeline_tbl[[#This Row],[Closed_Date]]-Pipeline_tbl[[#This Row],[Created_Date]])</f>
        <v>28</v>
      </c>
    </row>
    <row r="236" spans="1:21" ht="15" customHeight="1" x14ac:dyDescent="0.2">
      <c r="A236" t="s">
        <v>542</v>
      </c>
      <c r="B236" t="s">
        <v>273</v>
      </c>
      <c r="C236" t="s">
        <v>54</v>
      </c>
      <c r="D236" s="49">
        <v>45918</v>
      </c>
      <c r="E236" s="49">
        <v>45920</v>
      </c>
      <c r="F236" s="49">
        <v>45925</v>
      </c>
      <c r="G236" s="49">
        <v>45932</v>
      </c>
      <c r="H236" s="49">
        <v>45938</v>
      </c>
      <c r="I236" s="49">
        <v>45941</v>
      </c>
      <c r="J236" t="s">
        <v>47</v>
      </c>
      <c r="K236" s="33">
        <v>12500</v>
      </c>
      <c r="M236" t="str">
        <f>_xlfn.XLOOKUP(Pipeline_tbl[[#This Row],[Rep_ID]],Dim_Reps!A:A,Dim_Reps!K:K)</f>
        <v>EUR</v>
      </c>
      <c r="N236" s="33">
        <f>(_xlfn.XLOOKUP(Pipeline_tbl[[#This Row],[Rate_Code_Generalized]],Lookups!A:A,Lookups!B:B))*Pipeline_tbl[[#This Row],[Pipeline_Amount_USD]]</f>
        <v>12500</v>
      </c>
      <c r="O236" t="str">
        <f>_xlfn.XLOOKUP(Pipeline_tbl[[#This Row],[Rep_ID]],Dim_Reps!A:A,Dim_Reps!B:B)</f>
        <v>Olivia Cohen</v>
      </c>
      <c r="P236" t="str">
        <f>_xlfn.XLOOKUP(Pipeline_tbl[[#This Row],[Rep_ID]],Dim_Reps!A:A,Dim_Reps!C:C)</f>
        <v>Mid-Market AE</v>
      </c>
      <c r="Q236" t="str">
        <f>_xlfn.XLOOKUP(Pipeline_tbl[[#This Row],[Rep_ID]],Dim_Reps!A:A,Dim_Reps!D:D)</f>
        <v>Mid-Market</v>
      </c>
      <c r="R236" t="str">
        <f>_xlfn.XLOOKUP(Pipeline_tbl[[#This Row],[Rep_ID]],Dim_Reps!A:A,Dim_Reps!E:E)</f>
        <v>APAC</v>
      </c>
      <c r="S236" t="str">
        <f>_xlfn.XLOOKUP(Pipeline_tbl[[#This Row],[Created_Date]],Dim_Date!A:A,Dim_Date!H:H)</f>
        <v>Sep 2025</v>
      </c>
      <c r="T236" t="str">
        <f>IF(Pipeline_tbl[[#This Row],[Closed_Date]]=0,"",(_xlfn.XLOOKUP(Pipeline_tbl[[#This Row],[Closed_Date]],Dim_Date!A:A,Dim_Date!H:H)))</f>
        <v>Oct 2025</v>
      </c>
      <c r="U236">
        <f>IF(Pipeline_tbl[[#This Row],[Closed_Date]]=0,"",Pipeline_tbl[[#This Row],[Closed_Date]]-Pipeline_tbl[[#This Row],[Created_Date]])</f>
        <v>23</v>
      </c>
    </row>
    <row r="237" spans="1:21" ht="15" customHeight="1" x14ac:dyDescent="0.2">
      <c r="A237" t="s">
        <v>543</v>
      </c>
      <c r="B237" t="s">
        <v>273</v>
      </c>
      <c r="C237" t="s">
        <v>54</v>
      </c>
      <c r="D237" s="49">
        <v>45918</v>
      </c>
      <c r="E237" s="49">
        <v>45921</v>
      </c>
      <c r="F237" s="49">
        <v>45928</v>
      </c>
      <c r="I237" s="49">
        <v>45952</v>
      </c>
      <c r="J237" t="s">
        <v>49</v>
      </c>
      <c r="K237" s="33">
        <v>12400</v>
      </c>
      <c r="L237" t="s">
        <v>61</v>
      </c>
      <c r="M237" t="str">
        <f>_xlfn.XLOOKUP(Pipeline_tbl[[#This Row],[Rep_ID]],Dim_Reps!A:A,Dim_Reps!K:K)</f>
        <v>EUR</v>
      </c>
      <c r="N237" s="33">
        <f>(_xlfn.XLOOKUP(Pipeline_tbl[[#This Row],[Rate_Code_Generalized]],Lookups!A:A,Lookups!B:B))*Pipeline_tbl[[#This Row],[Pipeline_Amount_USD]]</f>
        <v>12400</v>
      </c>
      <c r="O237" t="str">
        <f>_xlfn.XLOOKUP(Pipeline_tbl[[#This Row],[Rep_ID]],Dim_Reps!A:A,Dim_Reps!B:B)</f>
        <v>Olivia Cohen</v>
      </c>
      <c r="P237" t="str">
        <f>_xlfn.XLOOKUP(Pipeline_tbl[[#This Row],[Rep_ID]],Dim_Reps!A:A,Dim_Reps!C:C)</f>
        <v>Mid-Market AE</v>
      </c>
      <c r="Q237" t="str">
        <f>_xlfn.XLOOKUP(Pipeline_tbl[[#This Row],[Rep_ID]],Dim_Reps!A:A,Dim_Reps!D:D)</f>
        <v>Mid-Market</v>
      </c>
      <c r="R237" t="str">
        <f>_xlfn.XLOOKUP(Pipeline_tbl[[#This Row],[Rep_ID]],Dim_Reps!A:A,Dim_Reps!E:E)</f>
        <v>APAC</v>
      </c>
      <c r="S237" t="str">
        <f>_xlfn.XLOOKUP(Pipeline_tbl[[#This Row],[Created_Date]],Dim_Date!A:A,Dim_Date!H:H)</f>
        <v>Sep 2025</v>
      </c>
      <c r="T237" t="str">
        <f>IF(Pipeline_tbl[[#This Row],[Closed_Date]]=0,"",(_xlfn.XLOOKUP(Pipeline_tbl[[#This Row],[Closed_Date]],Dim_Date!A:A,Dim_Date!H:H)))</f>
        <v>Oct 2025</v>
      </c>
      <c r="U237">
        <f>IF(Pipeline_tbl[[#This Row],[Closed_Date]]=0,"",Pipeline_tbl[[#This Row],[Closed_Date]]-Pipeline_tbl[[#This Row],[Created_Date]])</f>
        <v>34</v>
      </c>
    </row>
    <row r="238" spans="1:21" ht="15" customHeight="1" x14ac:dyDescent="0.2">
      <c r="A238" t="s">
        <v>544</v>
      </c>
      <c r="B238" t="s">
        <v>273</v>
      </c>
      <c r="C238" t="s">
        <v>56</v>
      </c>
      <c r="D238" s="49">
        <v>45913</v>
      </c>
      <c r="E238" s="49">
        <v>45917</v>
      </c>
      <c r="F238" s="49">
        <v>45924</v>
      </c>
      <c r="I238" s="49">
        <v>45949</v>
      </c>
      <c r="J238" t="s">
        <v>49</v>
      </c>
      <c r="K238" s="33">
        <v>19300</v>
      </c>
      <c r="L238" t="s">
        <v>61</v>
      </c>
      <c r="M238" t="str">
        <f>_xlfn.XLOOKUP(Pipeline_tbl[[#This Row],[Rep_ID]],Dim_Reps!A:A,Dim_Reps!K:K)</f>
        <v>EUR</v>
      </c>
      <c r="N238" s="33">
        <f>(_xlfn.XLOOKUP(Pipeline_tbl[[#This Row],[Rate_Code_Generalized]],Lookups!A:A,Lookups!B:B))*Pipeline_tbl[[#This Row],[Pipeline_Amount_USD]]</f>
        <v>19300</v>
      </c>
      <c r="O238" t="str">
        <f>_xlfn.XLOOKUP(Pipeline_tbl[[#This Row],[Rep_ID]],Dim_Reps!A:A,Dim_Reps!B:B)</f>
        <v>Olivia Cohen</v>
      </c>
      <c r="P238" t="str">
        <f>_xlfn.XLOOKUP(Pipeline_tbl[[#This Row],[Rep_ID]],Dim_Reps!A:A,Dim_Reps!C:C)</f>
        <v>Mid-Market AE</v>
      </c>
      <c r="Q238" t="str">
        <f>_xlfn.XLOOKUP(Pipeline_tbl[[#This Row],[Rep_ID]],Dim_Reps!A:A,Dim_Reps!D:D)</f>
        <v>Mid-Market</v>
      </c>
      <c r="R238" t="str">
        <f>_xlfn.XLOOKUP(Pipeline_tbl[[#This Row],[Rep_ID]],Dim_Reps!A:A,Dim_Reps!E:E)</f>
        <v>APAC</v>
      </c>
      <c r="S238" t="str">
        <f>_xlfn.XLOOKUP(Pipeline_tbl[[#This Row],[Created_Date]],Dim_Date!A:A,Dim_Date!H:H)</f>
        <v>Sep 2025</v>
      </c>
      <c r="T238" t="str">
        <f>IF(Pipeline_tbl[[#This Row],[Closed_Date]]=0,"",(_xlfn.XLOOKUP(Pipeline_tbl[[#This Row],[Closed_Date]],Dim_Date!A:A,Dim_Date!H:H)))</f>
        <v>Oct 2025</v>
      </c>
      <c r="U238">
        <f>IF(Pipeline_tbl[[#This Row],[Closed_Date]]=0,"",Pipeline_tbl[[#This Row],[Closed_Date]]-Pipeline_tbl[[#This Row],[Created_Date]])</f>
        <v>36</v>
      </c>
    </row>
    <row r="239" spans="1:21" ht="15" customHeight="1" x14ac:dyDescent="0.2">
      <c r="A239" t="s">
        <v>545</v>
      </c>
      <c r="B239" t="s">
        <v>273</v>
      </c>
      <c r="C239" t="s">
        <v>52</v>
      </c>
      <c r="D239" s="49">
        <v>45903</v>
      </c>
      <c r="E239" s="49">
        <v>45908</v>
      </c>
      <c r="F239" s="49">
        <v>45918</v>
      </c>
      <c r="G239" s="49">
        <v>45933</v>
      </c>
      <c r="H239" s="49">
        <v>45946</v>
      </c>
      <c r="I239" s="49">
        <v>45953</v>
      </c>
      <c r="J239" t="s">
        <v>49</v>
      </c>
      <c r="K239" s="33">
        <v>10900</v>
      </c>
      <c r="L239" t="s">
        <v>60</v>
      </c>
      <c r="M239" t="str">
        <f>_xlfn.XLOOKUP(Pipeline_tbl[[#This Row],[Rep_ID]],Dim_Reps!A:A,Dim_Reps!K:K)</f>
        <v>EUR</v>
      </c>
      <c r="N239" s="33">
        <f>(_xlfn.XLOOKUP(Pipeline_tbl[[#This Row],[Rate_Code_Generalized]],Lookups!A:A,Lookups!B:B))*Pipeline_tbl[[#This Row],[Pipeline_Amount_USD]]</f>
        <v>10900</v>
      </c>
      <c r="O239" t="str">
        <f>_xlfn.XLOOKUP(Pipeline_tbl[[#This Row],[Rep_ID]],Dim_Reps!A:A,Dim_Reps!B:B)</f>
        <v>Olivia Cohen</v>
      </c>
      <c r="P239" t="str">
        <f>_xlfn.XLOOKUP(Pipeline_tbl[[#This Row],[Rep_ID]],Dim_Reps!A:A,Dim_Reps!C:C)</f>
        <v>Mid-Market AE</v>
      </c>
      <c r="Q239" t="str">
        <f>_xlfn.XLOOKUP(Pipeline_tbl[[#This Row],[Rep_ID]],Dim_Reps!A:A,Dim_Reps!D:D)</f>
        <v>Mid-Market</v>
      </c>
      <c r="R239" t="str">
        <f>_xlfn.XLOOKUP(Pipeline_tbl[[#This Row],[Rep_ID]],Dim_Reps!A:A,Dim_Reps!E:E)</f>
        <v>APAC</v>
      </c>
      <c r="S239" t="str">
        <f>_xlfn.XLOOKUP(Pipeline_tbl[[#This Row],[Created_Date]],Dim_Date!A:A,Dim_Date!H:H)</f>
        <v>Sep 2025</v>
      </c>
      <c r="T239" t="str">
        <f>IF(Pipeline_tbl[[#This Row],[Closed_Date]]=0,"",(_xlfn.XLOOKUP(Pipeline_tbl[[#This Row],[Closed_Date]],Dim_Date!A:A,Dim_Date!H:H)))</f>
        <v>Oct 2025</v>
      </c>
      <c r="U239">
        <f>IF(Pipeline_tbl[[#This Row],[Closed_Date]]=0,"",Pipeline_tbl[[#This Row],[Closed_Date]]-Pipeline_tbl[[#This Row],[Created_Date]])</f>
        <v>50</v>
      </c>
    </row>
    <row r="240" spans="1:21" ht="15" customHeight="1" x14ac:dyDescent="0.2">
      <c r="A240" t="s">
        <v>546</v>
      </c>
      <c r="B240" t="s">
        <v>273</v>
      </c>
      <c r="C240" t="s">
        <v>54</v>
      </c>
      <c r="D240" s="49">
        <v>45912</v>
      </c>
      <c r="E240" s="49">
        <v>45916</v>
      </c>
      <c r="F240" s="49">
        <v>45923</v>
      </c>
      <c r="G240" s="49">
        <v>45934</v>
      </c>
      <c r="H240" s="49">
        <v>45943</v>
      </c>
      <c r="I240" s="49">
        <v>45948</v>
      </c>
      <c r="J240" t="s">
        <v>47</v>
      </c>
      <c r="K240" s="33">
        <v>17900</v>
      </c>
      <c r="M240" t="str">
        <f>_xlfn.XLOOKUP(Pipeline_tbl[[#This Row],[Rep_ID]],Dim_Reps!A:A,Dim_Reps!K:K)</f>
        <v>EUR</v>
      </c>
      <c r="N240" s="33">
        <f>(_xlfn.XLOOKUP(Pipeline_tbl[[#This Row],[Rate_Code_Generalized]],Lookups!A:A,Lookups!B:B))*Pipeline_tbl[[#This Row],[Pipeline_Amount_USD]]</f>
        <v>17900</v>
      </c>
      <c r="O240" t="str">
        <f>_xlfn.XLOOKUP(Pipeline_tbl[[#This Row],[Rep_ID]],Dim_Reps!A:A,Dim_Reps!B:B)</f>
        <v>Olivia Cohen</v>
      </c>
      <c r="P240" t="str">
        <f>_xlfn.XLOOKUP(Pipeline_tbl[[#This Row],[Rep_ID]],Dim_Reps!A:A,Dim_Reps!C:C)</f>
        <v>Mid-Market AE</v>
      </c>
      <c r="Q240" t="str">
        <f>_xlfn.XLOOKUP(Pipeline_tbl[[#This Row],[Rep_ID]],Dim_Reps!A:A,Dim_Reps!D:D)</f>
        <v>Mid-Market</v>
      </c>
      <c r="R240" t="str">
        <f>_xlfn.XLOOKUP(Pipeline_tbl[[#This Row],[Rep_ID]],Dim_Reps!A:A,Dim_Reps!E:E)</f>
        <v>APAC</v>
      </c>
      <c r="S240" t="str">
        <f>_xlfn.XLOOKUP(Pipeline_tbl[[#This Row],[Created_Date]],Dim_Date!A:A,Dim_Date!H:H)</f>
        <v>Sep 2025</v>
      </c>
      <c r="T240" t="str">
        <f>IF(Pipeline_tbl[[#This Row],[Closed_Date]]=0,"",(_xlfn.XLOOKUP(Pipeline_tbl[[#This Row],[Closed_Date]],Dim_Date!A:A,Dim_Date!H:H)))</f>
        <v>Oct 2025</v>
      </c>
      <c r="U240">
        <f>IF(Pipeline_tbl[[#This Row],[Closed_Date]]=0,"",Pipeline_tbl[[#This Row],[Closed_Date]]-Pipeline_tbl[[#This Row],[Created_Date]])</f>
        <v>36</v>
      </c>
    </row>
    <row r="241" spans="1:21" ht="15" customHeight="1" x14ac:dyDescent="0.2">
      <c r="A241" t="s">
        <v>547</v>
      </c>
      <c r="B241" t="s">
        <v>241</v>
      </c>
      <c r="C241" t="s">
        <v>52</v>
      </c>
      <c r="D241" s="49">
        <v>45911</v>
      </c>
      <c r="E241" s="49">
        <v>45913</v>
      </c>
      <c r="F241" s="49">
        <v>45917</v>
      </c>
      <c r="I241" s="49">
        <v>45931</v>
      </c>
      <c r="J241" t="s">
        <v>49</v>
      </c>
      <c r="K241" s="33">
        <v>4100</v>
      </c>
      <c r="L241" t="s">
        <v>61</v>
      </c>
      <c r="M241" t="str">
        <f>_xlfn.XLOOKUP(Pipeline_tbl[[#This Row],[Rep_ID]],Dim_Reps!A:A,Dim_Reps!K:K)</f>
        <v>EUR</v>
      </c>
      <c r="N241" s="33">
        <f>(_xlfn.XLOOKUP(Pipeline_tbl[[#This Row],[Rate_Code_Generalized]],Lookups!A:A,Lookups!B:B))*Pipeline_tbl[[#This Row],[Pipeline_Amount_USD]]</f>
        <v>4100</v>
      </c>
      <c r="O241" t="str">
        <f>_xlfn.XLOOKUP(Pipeline_tbl[[#This Row],[Rep_ID]],Dim_Reps!A:A,Dim_Reps!B:B)</f>
        <v>Kenji Weber</v>
      </c>
      <c r="P241" t="str">
        <f>_xlfn.XLOOKUP(Pipeline_tbl[[#This Row],[Rep_ID]],Dim_Reps!A:A,Dim_Reps!C:C)</f>
        <v>SDR / Inside Sales Rep</v>
      </c>
      <c r="Q241" t="str">
        <f>_xlfn.XLOOKUP(Pipeline_tbl[[#This Row],[Rep_ID]],Dim_Reps!A:A,Dim_Reps!D:D)</f>
        <v>Inside Sales</v>
      </c>
      <c r="R241" t="str">
        <f>_xlfn.XLOOKUP(Pipeline_tbl[[#This Row],[Rep_ID]],Dim_Reps!A:A,Dim_Reps!E:E)</f>
        <v>APAC</v>
      </c>
      <c r="S241" t="str">
        <f>_xlfn.XLOOKUP(Pipeline_tbl[[#This Row],[Created_Date]],Dim_Date!A:A,Dim_Date!H:H)</f>
        <v>Sep 2025</v>
      </c>
      <c r="T241" t="str">
        <f>IF(Pipeline_tbl[[#This Row],[Closed_Date]]=0,"",(_xlfn.XLOOKUP(Pipeline_tbl[[#This Row],[Closed_Date]],Dim_Date!A:A,Dim_Date!H:H)))</f>
        <v>Oct 2025</v>
      </c>
      <c r="U241">
        <f>IF(Pipeline_tbl[[#This Row],[Closed_Date]]=0,"",Pipeline_tbl[[#This Row],[Closed_Date]]-Pipeline_tbl[[#This Row],[Created_Date]])</f>
        <v>20</v>
      </c>
    </row>
    <row r="242" spans="1:21" ht="15" customHeight="1" x14ac:dyDescent="0.2">
      <c r="A242" t="s">
        <v>548</v>
      </c>
      <c r="B242" t="s">
        <v>241</v>
      </c>
      <c r="C242" t="s">
        <v>52</v>
      </c>
      <c r="D242" s="49">
        <v>45920</v>
      </c>
      <c r="E242" s="49">
        <v>45922</v>
      </c>
      <c r="F242" s="49">
        <v>45925</v>
      </c>
      <c r="G242" s="49">
        <v>45930</v>
      </c>
      <c r="H242" s="49">
        <v>45934</v>
      </c>
      <c r="I242" s="49">
        <v>45936</v>
      </c>
      <c r="J242" t="s">
        <v>49</v>
      </c>
      <c r="K242" s="33">
        <v>3200</v>
      </c>
      <c r="L242" t="s">
        <v>63</v>
      </c>
      <c r="M242" t="str">
        <f>_xlfn.XLOOKUP(Pipeline_tbl[[#This Row],[Rep_ID]],Dim_Reps!A:A,Dim_Reps!K:K)</f>
        <v>EUR</v>
      </c>
      <c r="N242" s="33">
        <f>(_xlfn.XLOOKUP(Pipeline_tbl[[#This Row],[Rate_Code_Generalized]],Lookups!A:A,Lookups!B:B))*Pipeline_tbl[[#This Row],[Pipeline_Amount_USD]]</f>
        <v>3200</v>
      </c>
      <c r="O242" t="str">
        <f>_xlfn.XLOOKUP(Pipeline_tbl[[#This Row],[Rep_ID]],Dim_Reps!A:A,Dim_Reps!B:B)</f>
        <v>Kenji Weber</v>
      </c>
      <c r="P242" t="str">
        <f>_xlfn.XLOOKUP(Pipeline_tbl[[#This Row],[Rep_ID]],Dim_Reps!A:A,Dim_Reps!C:C)</f>
        <v>SDR / Inside Sales Rep</v>
      </c>
      <c r="Q242" t="str">
        <f>_xlfn.XLOOKUP(Pipeline_tbl[[#This Row],[Rep_ID]],Dim_Reps!A:A,Dim_Reps!D:D)</f>
        <v>Inside Sales</v>
      </c>
      <c r="R242" t="str">
        <f>_xlfn.XLOOKUP(Pipeline_tbl[[#This Row],[Rep_ID]],Dim_Reps!A:A,Dim_Reps!E:E)</f>
        <v>APAC</v>
      </c>
      <c r="S242" t="str">
        <f>_xlfn.XLOOKUP(Pipeline_tbl[[#This Row],[Created_Date]],Dim_Date!A:A,Dim_Date!H:H)</f>
        <v>Sep 2025</v>
      </c>
      <c r="T242" t="str">
        <f>IF(Pipeline_tbl[[#This Row],[Closed_Date]]=0,"",(_xlfn.XLOOKUP(Pipeline_tbl[[#This Row],[Closed_Date]],Dim_Date!A:A,Dim_Date!H:H)))</f>
        <v>Oct 2025</v>
      </c>
      <c r="U242">
        <f>IF(Pipeline_tbl[[#This Row],[Closed_Date]]=0,"",Pipeline_tbl[[#This Row],[Closed_Date]]-Pipeline_tbl[[#This Row],[Created_Date]])</f>
        <v>16</v>
      </c>
    </row>
    <row r="243" spans="1:21" ht="15" customHeight="1" x14ac:dyDescent="0.2">
      <c r="A243" t="s">
        <v>549</v>
      </c>
      <c r="B243" t="s">
        <v>241</v>
      </c>
      <c r="C243" t="s">
        <v>53</v>
      </c>
      <c r="D243" s="49">
        <v>45922</v>
      </c>
      <c r="E243" s="49">
        <v>45924</v>
      </c>
      <c r="I243" s="49">
        <v>45945</v>
      </c>
      <c r="J243" t="s">
        <v>49</v>
      </c>
      <c r="K243" s="33">
        <v>3200</v>
      </c>
      <c r="L243" t="s">
        <v>60</v>
      </c>
      <c r="M243" t="str">
        <f>_xlfn.XLOOKUP(Pipeline_tbl[[#This Row],[Rep_ID]],Dim_Reps!A:A,Dim_Reps!K:K)</f>
        <v>EUR</v>
      </c>
      <c r="N243" s="33">
        <f>(_xlfn.XLOOKUP(Pipeline_tbl[[#This Row],[Rate_Code_Generalized]],Lookups!A:A,Lookups!B:B))*Pipeline_tbl[[#This Row],[Pipeline_Amount_USD]]</f>
        <v>3200</v>
      </c>
      <c r="O243" t="str">
        <f>_xlfn.XLOOKUP(Pipeline_tbl[[#This Row],[Rep_ID]],Dim_Reps!A:A,Dim_Reps!B:B)</f>
        <v>Kenji Weber</v>
      </c>
      <c r="P243" t="str">
        <f>_xlfn.XLOOKUP(Pipeline_tbl[[#This Row],[Rep_ID]],Dim_Reps!A:A,Dim_Reps!C:C)</f>
        <v>SDR / Inside Sales Rep</v>
      </c>
      <c r="Q243" t="str">
        <f>_xlfn.XLOOKUP(Pipeline_tbl[[#This Row],[Rep_ID]],Dim_Reps!A:A,Dim_Reps!D:D)</f>
        <v>Inside Sales</v>
      </c>
      <c r="R243" t="str">
        <f>_xlfn.XLOOKUP(Pipeline_tbl[[#This Row],[Rep_ID]],Dim_Reps!A:A,Dim_Reps!E:E)</f>
        <v>APAC</v>
      </c>
      <c r="S243" t="str">
        <f>_xlfn.XLOOKUP(Pipeline_tbl[[#This Row],[Created_Date]],Dim_Date!A:A,Dim_Date!H:H)</f>
        <v>Sep 2025</v>
      </c>
      <c r="T243" t="str">
        <f>IF(Pipeline_tbl[[#This Row],[Closed_Date]]=0,"",(_xlfn.XLOOKUP(Pipeline_tbl[[#This Row],[Closed_Date]],Dim_Date!A:A,Dim_Date!H:H)))</f>
        <v>Oct 2025</v>
      </c>
      <c r="U243">
        <f>IF(Pipeline_tbl[[#This Row],[Closed_Date]]=0,"",Pipeline_tbl[[#This Row],[Closed_Date]]-Pipeline_tbl[[#This Row],[Created_Date]])</f>
        <v>23</v>
      </c>
    </row>
    <row r="244" spans="1:21" ht="15" customHeight="1" x14ac:dyDescent="0.2">
      <c r="A244" t="s">
        <v>550</v>
      </c>
      <c r="B244" t="s">
        <v>241</v>
      </c>
      <c r="C244" t="s">
        <v>52</v>
      </c>
      <c r="D244" s="49">
        <v>45923</v>
      </c>
      <c r="E244" s="49">
        <v>45925</v>
      </c>
      <c r="F244" s="49">
        <v>45928</v>
      </c>
      <c r="G244" s="49">
        <v>45934</v>
      </c>
      <c r="I244" s="49">
        <v>45941</v>
      </c>
      <c r="J244" t="s">
        <v>49</v>
      </c>
      <c r="K244" s="33">
        <v>3600</v>
      </c>
      <c r="L244" t="s">
        <v>63</v>
      </c>
      <c r="M244" t="str">
        <f>_xlfn.XLOOKUP(Pipeline_tbl[[#This Row],[Rep_ID]],Dim_Reps!A:A,Dim_Reps!K:K)</f>
        <v>EUR</v>
      </c>
      <c r="N244" s="33">
        <f>(_xlfn.XLOOKUP(Pipeline_tbl[[#This Row],[Rate_Code_Generalized]],Lookups!A:A,Lookups!B:B))*Pipeline_tbl[[#This Row],[Pipeline_Amount_USD]]</f>
        <v>3600</v>
      </c>
      <c r="O244" t="str">
        <f>_xlfn.XLOOKUP(Pipeline_tbl[[#This Row],[Rep_ID]],Dim_Reps!A:A,Dim_Reps!B:B)</f>
        <v>Kenji Weber</v>
      </c>
      <c r="P244" t="str">
        <f>_xlfn.XLOOKUP(Pipeline_tbl[[#This Row],[Rep_ID]],Dim_Reps!A:A,Dim_Reps!C:C)</f>
        <v>SDR / Inside Sales Rep</v>
      </c>
      <c r="Q244" t="str">
        <f>_xlfn.XLOOKUP(Pipeline_tbl[[#This Row],[Rep_ID]],Dim_Reps!A:A,Dim_Reps!D:D)</f>
        <v>Inside Sales</v>
      </c>
      <c r="R244" t="str">
        <f>_xlfn.XLOOKUP(Pipeline_tbl[[#This Row],[Rep_ID]],Dim_Reps!A:A,Dim_Reps!E:E)</f>
        <v>APAC</v>
      </c>
      <c r="S244" t="str">
        <f>_xlfn.XLOOKUP(Pipeline_tbl[[#This Row],[Created_Date]],Dim_Date!A:A,Dim_Date!H:H)</f>
        <v>Sep 2025</v>
      </c>
      <c r="T244" t="str">
        <f>IF(Pipeline_tbl[[#This Row],[Closed_Date]]=0,"",(_xlfn.XLOOKUP(Pipeline_tbl[[#This Row],[Closed_Date]],Dim_Date!A:A,Dim_Date!H:H)))</f>
        <v>Oct 2025</v>
      </c>
      <c r="U244">
        <f>IF(Pipeline_tbl[[#This Row],[Closed_Date]]=0,"",Pipeline_tbl[[#This Row],[Closed_Date]]-Pipeline_tbl[[#This Row],[Created_Date]])</f>
        <v>18</v>
      </c>
    </row>
    <row r="245" spans="1:21" ht="15" customHeight="1" x14ac:dyDescent="0.2">
      <c r="A245" t="s">
        <v>551</v>
      </c>
      <c r="B245" t="s">
        <v>241</v>
      </c>
      <c r="C245" t="s">
        <v>52</v>
      </c>
      <c r="D245" s="49">
        <v>45919</v>
      </c>
      <c r="E245" s="49">
        <v>45920</v>
      </c>
      <c r="F245" s="49">
        <v>45923</v>
      </c>
      <c r="G245" s="49">
        <v>45927</v>
      </c>
      <c r="I245" s="49">
        <v>45933</v>
      </c>
      <c r="J245" t="s">
        <v>49</v>
      </c>
      <c r="K245" s="33">
        <v>2800</v>
      </c>
      <c r="L245" t="s">
        <v>62</v>
      </c>
      <c r="M245" t="str">
        <f>_xlfn.XLOOKUP(Pipeline_tbl[[#This Row],[Rep_ID]],Dim_Reps!A:A,Dim_Reps!K:K)</f>
        <v>EUR</v>
      </c>
      <c r="N245" s="33">
        <f>(_xlfn.XLOOKUP(Pipeline_tbl[[#This Row],[Rate_Code_Generalized]],Lookups!A:A,Lookups!B:B))*Pipeline_tbl[[#This Row],[Pipeline_Amount_USD]]</f>
        <v>2800</v>
      </c>
      <c r="O245" t="str">
        <f>_xlfn.XLOOKUP(Pipeline_tbl[[#This Row],[Rep_ID]],Dim_Reps!A:A,Dim_Reps!B:B)</f>
        <v>Kenji Weber</v>
      </c>
      <c r="P245" t="str">
        <f>_xlfn.XLOOKUP(Pipeline_tbl[[#This Row],[Rep_ID]],Dim_Reps!A:A,Dim_Reps!C:C)</f>
        <v>SDR / Inside Sales Rep</v>
      </c>
      <c r="Q245" t="str">
        <f>_xlfn.XLOOKUP(Pipeline_tbl[[#This Row],[Rep_ID]],Dim_Reps!A:A,Dim_Reps!D:D)</f>
        <v>Inside Sales</v>
      </c>
      <c r="R245" t="str">
        <f>_xlfn.XLOOKUP(Pipeline_tbl[[#This Row],[Rep_ID]],Dim_Reps!A:A,Dim_Reps!E:E)</f>
        <v>APAC</v>
      </c>
      <c r="S245" t="str">
        <f>_xlfn.XLOOKUP(Pipeline_tbl[[#This Row],[Created_Date]],Dim_Date!A:A,Dim_Date!H:H)</f>
        <v>Sep 2025</v>
      </c>
      <c r="T245" t="str">
        <f>IF(Pipeline_tbl[[#This Row],[Closed_Date]]=0,"",(_xlfn.XLOOKUP(Pipeline_tbl[[#This Row],[Closed_Date]],Dim_Date!A:A,Dim_Date!H:H)))</f>
        <v>Oct 2025</v>
      </c>
      <c r="U245">
        <f>IF(Pipeline_tbl[[#This Row],[Closed_Date]]=0,"",Pipeline_tbl[[#This Row],[Closed_Date]]-Pipeline_tbl[[#This Row],[Created_Date]])</f>
        <v>14</v>
      </c>
    </row>
    <row r="246" spans="1:21" ht="15" customHeight="1" x14ac:dyDescent="0.2">
      <c r="A246" t="s">
        <v>552</v>
      </c>
      <c r="B246" t="s">
        <v>241</v>
      </c>
      <c r="C246" t="s">
        <v>53</v>
      </c>
      <c r="D246" s="49">
        <v>45919</v>
      </c>
      <c r="E246" s="49">
        <v>45921</v>
      </c>
      <c r="F246" s="49">
        <v>45924</v>
      </c>
      <c r="G246" s="49">
        <v>45928</v>
      </c>
      <c r="H246" s="49">
        <v>45932</v>
      </c>
      <c r="I246" s="49">
        <v>45934</v>
      </c>
      <c r="J246" t="s">
        <v>47</v>
      </c>
      <c r="K246" s="33">
        <v>3500</v>
      </c>
      <c r="M246" t="str">
        <f>_xlfn.XLOOKUP(Pipeline_tbl[[#This Row],[Rep_ID]],Dim_Reps!A:A,Dim_Reps!K:K)</f>
        <v>EUR</v>
      </c>
      <c r="N246" s="33">
        <f>(_xlfn.XLOOKUP(Pipeline_tbl[[#This Row],[Rate_Code_Generalized]],Lookups!A:A,Lookups!B:B))*Pipeline_tbl[[#This Row],[Pipeline_Amount_USD]]</f>
        <v>3500</v>
      </c>
      <c r="O246" t="str">
        <f>_xlfn.XLOOKUP(Pipeline_tbl[[#This Row],[Rep_ID]],Dim_Reps!A:A,Dim_Reps!B:B)</f>
        <v>Kenji Weber</v>
      </c>
      <c r="P246" t="str">
        <f>_xlfn.XLOOKUP(Pipeline_tbl[[#This Row],[Rep_ID]],Dim_Reps!A:A,Dim_Reps!C:C)</f>
        <v>SDR / Inside Sales Rep</v>
      </c>
      <c r="Q246" t="str">
        <f>_xlfn.XLOOKUP(Pipeline_tbl[[#This Row],[Rep_ID]],Dim_Reps!A:A,Dim_Reps!D:D)</f>
        <v>Inside Sales</v>
      </c>
      <c r="R246" t="str">
        <f>_xlfn.XLOOKUP(Pipeline_tbl[[#This Row],[Rep_ID]],Dim_Reps!A:A,Dim_Reps!E:E)</f>
        <v>APAC</v>
      </c>
      <c r="S246" t="str">
        <f>_xlfn.XLOOKUP(Pipeline_tbl[[#This Row],[Created_Date]],Dim_Date!A:A,Dim_Date!H:H)</f>
        <v>Sep 2025</v>
      </c>
      <c r="T246" t="str">
        <f>IF(Pipeline_tbl[[#This Row],[Closed_Date]]=0,"",(_xlfn.XLOOKUP(Pipeline_tbl[[#This Row],[Closed_Date]],Dim_Date!A:A,Dim_Date!H:H)))</f>
        <v>Oct 2025</v>
      </c>
      <c r="U246">
        <f>IF(Pipeline_tbl[[#This Row],[Closed_Date]]=0,"",Pipeline_tbl[[#This Row],[Closed_Date]]-Pipeline_tbl[[#This Row],[Created_Date]])</f>
        <v>15</v>
      </c>
    </row>
    <row r="247" spans="1:21" ht="15" customHeight="1" x14ac:dyDescent="0.2">
      <c r="A247" t="s">
        <v>553</v>
      </c>
      <c r="B247" t="s">
        <v>241</v>
      </c>
      <c r="C247" t="s">
        <v>53</v>
      </c>
      <c r="D247" s="49">
        <v>45919</v>
      </c>
      <c r="E247" s="49">
        <v>45921</v>
      </c>
      <c r="F247" s="49">
        <v>45925</v>
      </c>
      <c r="G247" s="49">
        <v>45931</v>
      </c>
      <c r="H247" s="49">
        <v>45936</v>
      </c>
      <c r="I247" s="49">
        <v>45939</v>
      </c>
      <c r="J247" t="s">
        <v>49</v>
      </c>
      <c r="K247" s="33">
        <v>2000</v>
      </c>
      <c r="L247" t="s">
        <v>61</v>
      </c>
      <c r="M247" t="str">
        <f>_xlfn.XLOOKUP(Pipeline_tbl[[#This Row],[Rep_ID]],Dim_Reps!A:A,Dim_Reps!K:K)</f>
        <v>EUR</v>
      </c>
      <c r="N247" s="33">
        <f>(_xlfn.XLOOKUP(Pipeline_tbl[[#This Row],[Rate_Code_Generalized]],Lookups!A:A,Lookups!B:B))*Pipeline_tbl[[#This Row],[Pipeline_Amount_USD]]</f>
        <v>2000</v>
      </c>
      <c r="O247" t="str">
        <f>_xlfn.XLOOKUP(Pipeline_tbl[[#This Row],[Rep_ID]],Dim_Reps!A:A,Dim_Reps!B:B)</f>
        <v>Kenji Weber</v>
      </c>
      <c r="P247" t="str">
        <f>_xlfn.XLOOKUP(Pipeline_tbl[[#This Row],[Rep_ID]],Dim_Reps!A:A,Dim_Reps!C:C)</f>
        <v>SDR / Inside Sales Rep</v>
      </c>
      <c r="Q247" t="str">
        <f>_xlfn.XLOOKUP(Pipeline_tbl[[#This Row],[Rep_ID]],Dim_Reps!A:A,Dim_Reps!D:D)</f>
        <v>Inside Sales</v>
      </c>
      <c r="R247" t="str">
        <f>_xlfn.XLOOKUP(Pipeline_tbl[[#This Row],[Rep_ID]],Dim_Reps!A:A,Dim_Reps!E:E)</f>
        <v>APAC</v>
      </c>
      <c r="S247" t="str">
        <f>_xlfn.XLOOKUP(Pipeline_tbl[[#This Row],[Created_Date]],Dim_Date!A:A,Dim_Date!H:H)</f>
        <v>Sep 2025</v>
      </c>
      <c r="T247" t="str">
        <f>IF(Pipeline_tbl[[#This Row],[Closed_Date]]=0,"",(_xlfn.XLOOKUP(Pipeline_tbl[[#This Row],[Closed_Date]],Dim_Date!A:A,Dim_Date!H:H)))</f>
        <v>Oct 2025</v>
      </c>
      <c r="U247">
        <f>IF(Pipeline_tbl[[#This Row],[Closed_Date]]=0,"",Pipeline_tbl[[#This Row],[Closed_Date]]-Pipeline_tbl[[#This Row],[Created_Date]])</f>
        <v>20</v>
      </c>
    </row>
    <row r="248" spans="1:21" ht="15" customHeight="1" x14ac:dyDescent="0.2">
      <c r="A248" t="s">
        <v>554</v>
      </c>
      <c r="B248" t="s">
        <v>241</v>
      </c>
      <c r="C248" t="s">
        <v>53</v>
      </c>
      <c r="D248" s="49">
        <v>45926</v>
      </c>
      <c r="E248" s="49">
        <v>45928</v>
      </c>
      <c r="F248" s="49">
        <v>45931</v>
      </c>
      <c r="G248" s="49">
        <v>45936</v>
      </c>
      <c r="H248" s="49">
        <v>45940</v>
      </c>
      <c r="I248" s="49">
        <v>45943</v>
      </c>
      <c r="J248" t="s">
        <v>49</v>
      </c>
      <c r="K248" s="33">
        <v>5100</v>
      </c>
      <c r="L248" t="s">
        <v>61</v>
      </c>
      <c r="M248" t="str">
        <f>_xlfn.XLOOKUP(Pipeline_tbl[[#This Row],[Rep_ID]],Dim_Reps!A:A,Dim_Reps!K:K)</f>
        <v>EUR</v>
      </c>
      <c r="N248" s="33">
        <f>(_xlfn.XLOOKUP(Pipeline_tbl[[#This Row],[Rate_Code_Generalized]],Lookups!A:A,Lookups!B:B))*Pipeline_tbl[[#This Row],[Pipeline_Amount_USD]]</f>
        <v>5100</v>
      </c>
      <c r="O248" t="str">
        <f>_xlfn.XLOOKUP(Pipeline_tbl[[#This Row],[Rep_ID]],Dim_Reps!A:A,Dim_Reps!B:B)</f>
        <v>Kenji Weber</v>
      </c>
      <c r="P248" t="str">
        <f>_xlfn.XLOOKUP(Pipeline_tbl[[#This Row],[Rep_ID]],Dim_Reps!A:A,Dim_Reps!C:C)</f>
        <v>SDR / Inside Sales Rep</v>
      </c>
      <c r="Q248" t="str">
        <f>_xlfn.XLOOKUP(Pipeline_tbl[[#This Row],[Rep_ID]],Dim_Reps!A:A,Dim_Reps!D:D)</f>
        <v>Inside Sales</v>
      </c>
      <c r="R248" t="str">
        <f>_xlfn.XLOOKUP(Pipeline_tbl[[#This Row],[Rep_ID]],Dim_Reps!A:A,Dim_Reps!E:E)</f>
        <v>APAC</v>
      </c>
      <c r="S248" t="str">
        <f>_xlfn.XLOOKUP(Pipeline_tbl[[#This Row],[Created_Date]],Dim_Date!A:A,Dim_Date!H:H)</f>
        <v>Sep 2025</v>
      </c>
      <c r="T248" t="str">
        <f>IF(Pipeline_tbl[[#This Row],[Closed_Date]]=0,"",(_xlfn.XLOOKUP(Pipeline_tbl[[#This Row],[Closed_Date]],Dim_Date!A:A,Dim_Date!H:H)))</f>
        <v>Oct 2025</v>
      </c>
      <c r="U248">
        <f>IF(Pipeline_tbl[[#This Row],[Closed_Date]]=0,"",Pipeline_tbl[[#This Row],[Closed_Date]]-Pipeline_tbl[[#This Row],[Created_Date]])</f>
        <v>17</v>
      </c>
    </row>
    <row r="249" spans="1:21" ht="15" customHeight="1" x14ac:dyDescent="0.2">
      <c r="A249" t="s">
        <v>555</v>
      </c>
      <c r="B249" t="s">
        <v>193</v>
      </c>
      <c r="C249" t="s">
        <v>52</v>
      </c>
      <c r="D249" s="49">
        <v>45909</v>
      </c>
      <c r="E249" s="49">
        <v>45910</v>
      </c>
      <c r="F249" s="49">
        <v>45913</v>
      </c>
      <c r="G249" s="49">
        <v>45917</v>
      </c>
      <c r="H249" s="49">
        <v>45921</v>
      </c>
      <c r="I249" s="49">
        <v>45923</v>
      </c>
      <c r="J249" t="s">
        <v>47</v>
      </c>
      <c r="K249" s="33">
        <v>2500</v>
      </c>
      <c r="M249" t="str">
        <f>_xlfn.XLOOKUP(Pipeline_tbl[[#This Row],[Rep_ID]],Dim_Reps!A:A,Dim_Reps!K:K)</f>
        <v>USD</v>
      </c>
      <c r="N249" s="33">
        <f>(_xlfn.XLOOKUP(Pipeline_tbl[[#This Row],[Rate_Code_Generalized]],Lookups!A:A,Lookups!B:B))*Pipeline_tbl[[#This Row],[Pipeline_Amount_USD]]</f>
        <v>2910.7499999999995</v>
      </c>
      <c r="O249" t="str">
        <f>_xlfn.XLOOKUP(Pipeline_tbl[[#This Row],[Rep_ID]],Dim_Reps!A:A,Dim_Reps!B:B)</f>
        <v>Karim Rossi</v>
      </c>
      <c r="P249" t="str">
        <f>_xlfn.XLOOKUP(Pipeline_tbl[[#This Row],[Rep_ID]],Dim_Reps!A:A,Dim_Reps!C:C)</f>
        <v>SDR / Inside Sales Rep</v>
      </c>
      <c r="Q249" t="str">
        <f>_xlfn.XLOOKUP(Pipeline_tbl[[#This Row],[Rep_ID]],Dim_Reps!A:A,Dim_Reps!D:D)</f>
        <v>Inside Sales</v>
      </c>
      <c r="R249" t="str">
        <f>_xlfn.XLOOKUP(Pipeline_tbl[[#This Row],[Rep_ID]],Dim_Reps!A:A,Dim_Reps!E:E)</f>
        <v>NAMER</v>
      </c>
      <c r="S249" t="str">
        <f>_xlfn.XLOOKUP(Pipeline_tbl[[#This Row],[Created_Date]],Dim_Date!A:A,Dim_Date!H:H)</f>
        <v>Sep 2025</v>
      </c>
      <c r="T249" t="str">
        <f>IF(Pipeline_tbl[[#This Row],[Closed_Date]]=0,"",(_xlfn.XLOOKUP(Pipeline_tbl[[#This Row],[Closed_Date]],Dim_Date!A:A,Dim_Date!H:H)))</f>
        <v>Sep 2025</v>
      </c>
      <c r="U249">
        <f>IF(Pipeline_tbl[[#This Row],[Closed_Date]]=0,"",Pipeline_tbl[[#This Row],[Closed_Date]]-Pipeline_tbl[[#This Row],[Created_Date]])</f>
        <v>14</v>
      </c>
    </row>
    <row r="250" spans="1:21" ht="15" customHeight="1" x14ac:dyDescent="0.2">
      <c r="A250" t="s">
        <v>556</v>
      </c>
      <c r="B250" t="s">
        <v>193</v>
      </c>
      <c r="C250" t="s">
        <v>52</v>
      </c>
      <c r="D250" s="49">
        <v>45906</v>
      </c>
      <c r="E250" s="49">
        <v>45908</v>
      </c>
      <c r="F250" s="49">
        <v>45913</v>
      </c>
      <c r="G250" s="49">
        <v>45919</v>
      </c>
      <c r="I250" s="49">
        <v>45928</v>
      </c>
      <c r="J250" t="s">
        <v>49</v>
      </c>
      <c r="K250" s="33">
        <v>1400</v>
      </c>
      <c r="L250" t="s">
        <v>60</v>
      </c>
      <c r="M250" t="str">
        <f>_xlfn.XLOOKUP(Pipeline_tbl[[#This Row],[Rep_ID]],Dim_Reps!A:A,Dim_Reps!K:K)</f>
        <v>USD</v>
      </c>
      <c r="N250" s="33">
        <f>(_xlfn.XLOOKUP(Pipeline_tbl[[#This Row],[Rate_Code_Generalized]],Lookups!A:A,Lookups!B:B))*Pipeline_tbl[[#This Row],[Pipeline_Amount_USD]]</f>
        <v>1630.0199999999998</v>
      </c>
      <c r="O250" t="str">
        <f>_xlfn.XLOOKUP(Pipeline_tbl[[#This Row],[Rep_ID]],Dim_Reps!A:A,Dim_Reps!B:B)</f>
        <v>Karim Rossi</v>
      </c>
      <c r="P250" t="str">
        <f>_xlfn.XLOOKUP(Pipeline_tbl[[#This Row],[Rep_ID]],Dim_Reps!A:A,Dim_Reps!C:C)</f>
        <v>SDR / Inside Sales Rep</v>
      </c>
      <c r="Q250" t="str">
        <f>_xlfn.XLOOKUP(Pipeline_tbl[[#This Row],[Rep_ID]],Dim_Reps!A:A,Dim_Reps!D:D)</f>
        <v>Inside Sales</v>
      </c>
      <c r="R250" t="str">
        <f>_xlfn.XLOOKUP(Pipeline_tbl[[#This Row],[Rep_ID]],Dim_Reps!A:A,Dim_Reps!E:E)</f>
        <v>NAMER</v>
      </c>
      <c r="S250" t="str">
        <f>_xlfn.XLOOKUP(Pipeline_tbl[[#This Row],[Created_Date]],Dim_Date!A:A,Dim_Date!H:H)</f>
        <v>Sep 2025</v>
      </c>
      <c r="T250" t="str">
        <f>IF(Pipeline_tbl[[#This Row],[Closed_Date]]=0,"",(_xlfn.XLOOKUP(Pipeline_tbl[[#This Row],[Closed_Date]],Dim_Date!A:A,Dim_Date!H:H)))</f>
        <v>Sep 2025</v>
      </c>
      <c r="U250">
        <f>IF(Pipeline_tbl[[#This Row],[Closed_Date]]=0,"",Pipeline_tbl[[#This Row],[Closed_Date]]-Pipeline_tbl[[#This Row],[Created_Date]])</f>
        <v>22</v>
      </c>
    </row>
    <row r="251" spans="1:21" ht="15" customHeight="1" x14ac:dyDescent="0.2">
      <c r="A251" t="s">
        <v>557</v>
      </c>
      <c r="B251" t="s">
        <v>193</v>
      </c>
      <c r="C251" t="s">
        <v>53</v>
      </c>
      <c r="D251" s="49">
        <v>45909</v>
      </c>
      <c r="E251" s="49">
        <v>45911</v>
      </c>
      <c r="F251" s="49">
        <v>45915</v>
      </c>
      <c r="G251" s="49">
        <v>45921</v>
      </c>
      <c r="H251" s="49">
        <v>45926</v>
      </c>
      <c r="I251" s="49">
        <v>45929</v>
      </c>
      <c r="J251" t="s">
        <v>47</v>
      </c>
      <c r="K251" s="33">
        <v>2000</v>
      </c>
      <c r="M251" t="str">
        <f>_xlfn.XLOOKUP(Pipeline_tbl[[#This Row],[Rep_ID]],Dim_Reps!A:A,Dim_Reps!K:K)</f>
        <v>USD</v>
      </c>
      <c r="N251" s="33">
        <f>(_xlfn.XLOOKUP(Pipeline_tbl[[#This Row],[Rate_Code_Generalized]],Lookups!A:A,Lookups!B:B))*Pipeline_tbl[[#This Row],[Pipeline_Amount_USD]]</f>
        <v>2328.6</v>
      </c>
      <c r="O251" t="str">
        <f>_xlfn.XLOOKUP(Pipeline_tbl[[#This Row],[Rep_ID]],Dim_Reps!A:A,Dim_Reps!B:B)</f>
        <v>Karim Rossi</v>
      </c>
      <c r="P251" t="str">
        <f>_xlfn.XLOOKUP(Pipeline_tbl[[#This Row],[Rep_ID]],Dim_Reps!A:A,Dim_Reps!C:C)</f>
        <v>SDR / Inside Sales Rep</v>
      </c>
      <c r="Q251" t="str">
        <f>_xlfn.XLOOKUP(Pipeline_tbl[[#This Row],[Rep_ID]],Dim_Reps!A:A,Dim_Reps!D:D)</f>
        <v>Inside Sales</v>
      </c>
      <c r="R251" t="str">
        <f>_xlfn.XLOOKUP(Pipeline_tbl[[#This Row],[Rep_ID]],Dim_Reps!A:A,Dim_Reps!E:E)</f>
        <v>NAMER</v>
      </c>
      <c r="S251" t="str">
        <f>_xlfn.XLOOKUP(Pipeline_tbl[[#This Row],[Created_Date]],Dim_Date!A:A,Dim_Date!H:H)</f>
        <v>Sep 2025</v>
      </c>
      <c r="T251" t="str">
        <f>IF(Pipeline_tbl[[#This Row],[Closed_Date]]=0,"",(_xlfn.XLOOKUP(Pipeline_tbl[[#This Row],[Closed_Date]],Dim_Date!A:A,Dim_Date!H:H)))</f>
        <v>Sep 2025</v>
      </c>
      <c r="U251">
        <f>IF(Pipeline_tbl[[#This Row],[Closed_Date]]=0,"",Pipeline_tbl[[#This Row],[Closed_Date]]-Pipeline_tbl[[#This Row],[Created_Date]])</f>
        <v>20</v>
      </c>
    </row>
    <row r="252" spans="1:21" ht="15" customHeight="1" x14ac:dyDescent="0.2">
      <c r="A252" t="s">
        <v>558</v>
      </c>
      <c r="B252" t="s">
        <v>193</v>
      </c>
      <c r="C252" t="s">
        <v>52</v>
      </c>
      <c r="D252" s="49">
        <v>45902</v>
      </c>
      <c r="E252" s="49">
        <v>45903</v>
      </c>
      <c r="F252" s="49">
        <v>45905</v>
      </c>
      <c r="G252" s="49">
        <v>45907</v>
      </c>
      <c r="H252" s="49">
        <v>45910</v>
      </c>
      <c r="I252" s="49">
        <v>45911</v>
      </c>
      <c r="J252" t="s">
        <v>47</v>
      </c>
      <c r="K252" s="33">
        <v>11500</v>
      </c>
      <c r="M252" t="str">
        <f>_xlfn.XLOOKUP(Pipeline_tbl[[#This Row],[Rep_ID]],Dim_Reps!A:A,Dim_Reps!K:K)</f>
        <v>USD</v>
      </c>
      <c r="N252" s="33">
        <f>(_xlfn.XLOOKUP(Pipeline_tbl[[#This Row],[Rate_Code_Generalized]],Lookups!A:A,Lookups!B:B))*Pipeline_tbl[[#This Row],[Pipeline_Amount_USD]]</f>
        <v>13389.449999999999</v>
      </c>
      <c r="O252" t="str">
        <f>_xlfn.XLOOKUP(Pipeline_tbl[[#This Row],[Rep_ID]],Dim_Reps!A:A,Dim_Reps!B:B)</f>
        <v>Karim Rossi</v>
      </c>
      <c r="P252" t="str">
        <f>_xlfn.XLOOKUP(Pipeline_tbl[[#This Row],[Rep_ID]],Dim_Reps!A:A,Dim_Reps!C:C)</f>
        <v>SDR / Inside Sales Rep</v>
      </c>
      <c r="Q252" t="str">
        <f>_xlfn.XLOOKUP(Pipeline_tbl[[#This Row],[Rep_ID]],Dim_Reps!A:A,Dim_Reps!D:D)</f>
        <v>Inside Sales</v>
      </c>
      <c r="R252" t="str">
        <f>_xlfn.XLOOKUP(Pipeline_tbl[[#This Row],[Rep_ID]],Dim_Reps!A:A,Dim_Reps!E:E)</f>
        <v>NAMER</v>
      </c>
      <c r="S252" t="str">
        <f>_xlfn.XLOOKUP(Pipeline_tbl[[#This Row],[Created_Date]],Dim_Date!A:A,Dim_Date!H:H)</f>
        <v>Sep 2025</v>
      </c>
      <c r="T252" t="str">
        <f>IF(Pipeline_tbl[[#This Row],[Closed_Date]]=0,"",(_xlfn.XLOOKUP(Pipeline_tbl[[#This Row],[Closed_Date]],Dim_Date!A:A,Dim_Date!H:H)))</f>
        <v>Sep 2025</v>
      </c>
      <c r="U252">
        <f>IF(Pipeline_tbl[[#This Row],[Closed_Date]]=0,"",Pipeline_tbl[[#This Row],[Closed_Date]]-Pipeline_tbl[[#This Row],[Created_Date]])</f>
        <v>9</v>
      </c>
    </row>
    <row r="253" spans="1:21" ht="15" customHeight="1" x14ac:dyDescent="0.2">
      <c r="A253" t="s">
        <v>559</v>
      </c>
      <c r="B253" t="s">
        <v>193</v>
      </c>
      <c r="C253" t="s">
        <v>56</v>
      </c>
      <c r="D253" s="49">
        <v>45904</v>
      </c>
      <c r="E253" s="49">
        <v>45906</v>
      </c>
      <c r="I253" s="49">
        <v>45924</v>
      </c>
      <c r="J253" t="s">
        <v>49</v>
      </c>
      <c r="K253" s="33">
        <v>3900</v>
      </c>
      <c r="L253" t="s">
        <v>63</v>
      </c>
      <c r="M253" t="str">
        <f>_xlfn.XLOOKUP(Pipeline_tbl[[#This Row],[Rep_ID]],Dim_Reps!A:A,Dim_Reps!K:K)</f>
        <v>USD</v>
      </c>
      <c r="N253" s="33">
        <f>(_xlfn.XLOOKUP(Pipeline_tbl[[#This Row],[Rate_Code_Generalized]],Lookups!A:A,Lookups!B:B))*Pipeline_tbl[[#This Row],[Pipeline_Amount_USD]]</f>
        <v>4540.7699999999995</v>
      </c>
      <c r="O253" t="str">
        <f>_xlfn.XLOOKUP(Pipeline_tbl[[#This Row],[Rep_ID]],Dim_Reps!A:A,Dim_Reps!B:B)</f>
        <v>Karim Rossi</v>
      </c>
      <c r="P253" t="str">
        <f>_xlfn.XLOOKUP(Pipeline_tbl[[#This Row],[Rep_ID]],Dim_Reps!A:A,Dim_Reps!C:C)</f>
        <v>SDR / Inside Sales Rep</v>
      </c>
      <c r="Q253" t="str">
        <f>_xlfn.XLOOKUP(Pipeline_tbl[[#This Row],[Rep_ID]],Dim_Reps!A:A,Dim_Reps!D:D)</f>
        <v>Inside Sales</v>
      </c>
      <c r="R253" t="str">
        <f>_xlfn.XLOOKUP(Pipeline_tbl[[#This Row],[Rep_ID]],Dim_Reps!A:A,Dim_Reps!E:E)</f>
        <v>NAMER</v>
      </c>
      <c r="S253" t="str">
        <f>_xlfn.XLOOKUP(Pipeline_tbl[[#This Row],[Created_Date]],Dim_Date!A:A,Dim_Date!H:H)</f>
        <v>Sep 2025</v>
      </c>
      <c r="T253" t="str">
        <f>IF(Pipeline_tbl[[#This Row],[Closed_Date]]=0,"",(_xlfn.XLOOKUP(Pipeline_tbl[[#This Row],[Closed_Date]],Dim_Date!A:A,Dim_Date!H:H)))</f>
        <v>Sep 2025</v>
      </c>
      <c r="U253">
        <f>IF(Pipeline_tbl[[#This Row],[Closed_Date]]=0,"",Pipeline_tbl[[#This Row],[Closed_Date]]-Pipeline_tbl[[#This Row],[Created_Date]])</f>
        <v>20</v>
      </c>
    </row>
    <row r="254" spans="1:21" ht="15" customHeight="1" x14ac:dyDescent="0.2">
      <c r="A254" t="s">
        <v>560</v>
      </c>
      <c r="B254" t="s">
        <v>196</v>
      </c>
      <c r="C254" t="s">
        <v>55</v>
      </c>
      <c r="D254" s="49">
        <v>45904</v>
      </c>
      <c r="E254" s="49">
        <v>45906</v>
      </c>
      <c r="F254" s="49">
        <v>45910</v>
      </c>
      <c r="G254" s="49">
        <v>45915</v>
      </c>
      <c r="I254" s="49">
        <v>45923</v>
      </c>
      <c r="J254" t="s">
        <v>49</v>
      </c>
      <c r="K254" s="33">
        <v>1900</v>
      </c>
      <c r="L254" t="s">
        <v>61</v>
      </c>
      <c r="M254" t="str">
        <f>_xlfn.XLOOKUP(Pipeline_tbl[[#This Row],[Rep_ID]],Dim_Reps!A:A,Dim_Reps!K:K)</f>
        <v>EUR</v>
      </c>
      <c r="N254" s="33">
        <f>(_xlfn.XLOOKUP(Pipeline_tbl[[#This Row],[Rate_Code_Generalized]],Lookups!A:A,Lookups!B:B))*Pipeline_tbl[[#This Row],[Pipeline_Amount_USD]]</f>
        <v>1900</v>
      </c>
      <c r="O254" t="str">
        <f>_xlfn.XLOOKUP(Pipeline_tbl[[#This Row],[Rep_ID]],Dim_Reps!A:A,Dim_Reps!B:B)</f>
        <v>Alex Okafor</v>
      </c>
      <c r="P254" t="str">
        <f>_xlfn.XLOOKUP(Pipeline_tbl[[#This Row],[Rep_ID]],Dim_Reps!A:A,Dim_Reps!C:C)</f>
        <v>SDR / Inside Sales Rep</v>
      </c>
      <c r="Q254" t="str">
        <f>_xlfn.XLOOKUP(Pipeline_tbl[[#This Row],[Rep_ID]],Dim_Reps!A:A,Dim_Reps!D:D)</f>
        <v>Inside Sales</v>
      </c>
      <c r="R254" t="str">
        <f>_xlfn.XLOOKUP(Pipeline_tbl[[#This Row],[Rep_ID]],Dim_Reps!A:A,Dim_Reps!E:E)</f>
        <v>EMEA</v>
      </c>
      <c r="S254" t="str">
        <f>_xlfn.XLOOKUP(Pipeline_tbl[[#This Row],[Created_Date]],Dim_Date!A:A,Dim_Date!H:H)</f>
        <v>Sep 2025</v>
      </c>
      <c r="T254" t="str">
        <f>IF(Pipeline_tbl[[#This Row],[Closed_Date]]=0,"",(_xlfn.XLOOKUP(Pipeline_tbl[[#This Row],[Closed_Date]],Dim_Date!A:A,Dim_Date!H:H)))</f>
        <v>Sep 2025</v>
      </c>
      <c r="U254">
        <f>IF(Pipeline_tbl[[#This Row],[Closed_Date]]=0,"",Pipeline_tbl[[#This Row],[Closed_Date]]-Pipeline_tbl[[#This Row],[Created_Date]])</f>
        <v>19</v>
      </c>
    </row>
    <row r="255" spans="1:21" ht="15" customHeight="1" x14ac:dyDescent="0.2">
      <c r="A255" t="s">
        <v>561</v>
      </c>
      <c r="B255" t="s">
        <v>196</v>
      </c>
      <c r="C255" t="s">
        <v>53</v>
      </c>
      <c r="D255" s="49">
        <v>45909</v>
      </c>
      <c r="E255" s="49">
        <v>45911</v>
      </c>
      <c r="F255" s="49">
        <v>45915</v>
      </c>
      <c r="G255" s="49">
        <v>45920</v>
      </c>
      <c r="H255" s="49">
        <v>45925</v>
      </c>
      <c r="I255" s="49">
        <v>45928</v>
      </c>
      <c r="J255" t="s">
        <v>47</v>
      </c>
      <c r="K255" s="33">
        <v>3400</v>
      </c>
      <c r="M255" t="str">
        <f>_xlfn.XLOOKUP(Pipeline_tbl[[#This Row],[Rep_ID]],Dim_Reps!A:A,Dim_Reps!K:K)</f>
        <v>EUR</v>
      </c>
      <c r="N255" s="33">
        <f>(_xlfn.XLOOKUP(Pipeline_tbl[[#This Row],[Rate_Code_Generalized]],Lookups!A:A,Lookups!B:B))*Pipeline_tbl[[#This Row],[Pipeline_Amount_USD]]</f>
        <v>3400</v>
      </c>
      <c r="O255" t="str">
        <f>_xlfn.XLOOKUP(Pipeline_tbl[[#This Row],[Rep_ID]],Dim_Reps!A:A,Dim_Reps!B:B)</f>
        <v>Alex Okafor</v>
      </c>
      <c r="P255" t="str">
        <f>_xlfn.XLOOKUP(Pipeline_tbl[[#This Row],[Rep_ID]],Dim_Reps!A:A,Dim_Reps!C:C)</f>
        <v>SDR / Inside Sales Rep</v>
      </c>
      <c r="Q255" t="str">
        <f>_xlfn.XLOOKUP(Pipeline_tbl[[#This Row],[Rep_ID]],Dim_Reps!A:A,Dim_Reps!D:D)</f>
        <v>Inside Sales</v>
      </c>
      <c r="R255" t="str">
        <f>_xlfn.XLOOKUP(Pipeline_tbl[[#This Row],[Rep_ID]],Dim_Reps!A:A,Dim_Reps!E:E)</f>
        <v>EMEA</v>
      </c>
      <c r="S255" t="str">
        <f>_xlfn.XLOOKUP(Pipeline_tbl[[#This Row],[Created_Date]],Dim_Date!A:A,Dim_Date!H:H)</f>
        <v>Sep 2025</v>
      </c>
      <c r="T255" t="str">
        <f>IF(Pipeline_tbl[[#This Row],[Closed_Date]]=0,"",(_xlfn.XLOOKUP(Pipeline_tbl[[#This Row],[Closed_Date]],Dim_Date!A:A,Dim_Date!H:H)))</f>
        <v>Sep 2025</v>
      </c>
      <c r="U255">
        <f>IF(Pipeline_tbl[[#This Row],[Closed_Date]]=0,"",Pipeline_tbl[[#This Row],[Closed_Date]]-Pipeline_tbl[[#This Row],[Created_Date]])</f>
        <v>19</v>
      </c>
    </row>
    <row r="256" spans="1:21" ht="15" customHeight="1" x14ac:dyDescent="0.2">
      <c r="A256" t="s">
        <v>562</v>
      </c>
      <c r="B256" t="s">
        <v>196</v>
      </c>
      <c r="C256" t="s">
        <v>52</v>
      </c>
      <c r="D256" s="49">
        <v>45912</v>
      </c>
      <c r="E256" s="49">
        <v>45913</v>
      </c>
      <c r="F256" s="49">
        <v>45916</v>
      </c>
      <c r="G256" s="49">
        <v>45920</v>
      </c>
      <c r="I256" s="49">
        <v>45926</v>
      </c>
      <c r="J256" t="s">
        <v>49</v>
      </c>
      <c r="K256" s="33">
        <v>3900</v>
      </c>
      <c r="L256" t="s">
        <v>61</v>
      </c>
      <c r="M256" t="str">
        <f>_xlfn.XLOOKUP(Pipeline_tbl[[#This Row],[Rep_ID]],Dim_Reps!A:A,Dim_Reps!K:K)</f>
        <v>EUR</v>
      </c>
      <c r="N256" s="33">
        <f>(_xlfn.XLOOKUP(Pipeline_tbl[[#This Row],[Rate_Code_Generalized]],Lookups!A:A,Lookups!B:B))*Pipeline_tbl[[#This Row],[Pipeline_Amount_USD]]</f>
        <v>3900</v>
      </c>
      <c r="O256" t="str">
        <f>_xlfn.XLOOKUP(Pipeline_tbl[[#This Row],[Rep_ID]],Dim_Reps!A:A,Dim_Reps!B:B)</f>
        <v>Alex Okafor</v>
      </c>
      <c r="P256" t="str">
        <f>_xlfn.XLOOKUP(Pipeline_tbl[[#This Row],[Rep_ID]],Dim_Reps!A:A,Dim_Reps!C:C)</f>
        <v>SDR / Inside Sales Rep</v>
      </c>
      <c r="Q256" t="str">
        <f>_xlfn.XLOOKUP(Pipeline_tbl[[#This Row],[Rep_ID]],Dim_Reps!A:A,Dim_Reps!D:D)</f>
        <v>Inside Sales</v>
      </c>
      <c r="R256" t="str">
        <f>_xlfn.XLOOKUP(Pipeline_tbl[[#This Row],[Rep_ID]],Dim_Reps!A:A,Dim_Reps!E:E)</f>
        <v>EMEA</v>
      </c>
      <c r="S256" t="str">
        <f>_xlfn.XLOOKUP(Pipeline_tbl[[#This Row],[Created_Date]],Dim_Date!A:A,Dim_Date!H:H)</f>
        <v>Sep 2025</v>
      </c>
      <c r="T256" t="str">
        <f>IF(Pipeline_tbl[[#This Row],[Closed_Date]]=0,"",(_xlfn.XLOOKUP(Pipeline_tbl[[#This Row],[Closed_Date]],Dim_Date!A:A,Dim_Date!H:H)))</f>
        <v>Sep 2025</v>
      </c>
      <c r="U256">
        <f>IF(Pipeline_tbl[[#This Row],[Closed_Date]]=0,"",Pipeline_tbl[[#This Row],[Closed_Date]]-Pipeline_tbl[[#This Row],[Created_Date]])</f>
        <v>14</v>
      </c>
    </row>
    <row r="257" spans="1:21" ht="15" customHeight="1" x14ac:dyDescent="0.2">
      <c r="A257" t="s">
        <v>563</v>
      </c>
      <c r="B257" t="s">
        <v>196</v>
      </c>
      <c r="C257" t="s">
        <v>54</v>
      </c>
      <c r="D257" s="49">
        <v>45906</v>
      </c>
      <c r="E257" s="49">
        <v>45908</v>
      </c>
      <c r="F257" s="49">
        <v>45911</v>
      </c>
      <c r="G257" s="49">
        <v>45915</v>
      </c>
      <c r="I257" s="49">
        <v>45921</v>
      </c>
      <c r="J257" t="s">
        <v>49</v>
      </c>
      <c r="K257" s="33">
        <v>4400</v>
      </c>
      <c r="L257" t="s">
        <v>61</v>
      </c>
      <c r="M257" t="str">
        <f>_xlfn.XLOOKUP(Pipeline_tbl[[#This Row],[Rep_ID]],Dim_Reps!A:A,Dim_Reps!K:K)</f>
        <v>EUR</v>
      </c>
      <c r="N257" s="33">
        <f>(_xlfn.XLOOKUP(Pipeline_tbl[[#This Row],[Rate_Code_Generalized]],Lookups!A:A,Lookups!B:B))*Pipeline_tbl[[#This Row],[Pipeline_Amount_USD]]</f>
        <v>4400</v>
      </c>
      <c r="O257" t="str">
        <f>_xlfn.XLOOKUP(Pipeline_tbl[[#This Row],[Rep_ID]],Dim_Reps!A:A,Dim_Reps!B:B)</f>
        <v>Alex Okafor</v>
      </c>
      <c r="P257" t="str">
        <f>_xlfn.XLOOKUP(Pipeline_tbl[[#This Row],[Rep_ID]],Dim_Reps!A:A,Dim_Reps!C:C)</f>
        <v>SDR / Inside Sales Rep</v>
      </c>
      <c r="Q257" t="str">
        <f>_xlfn.XLOOKUP(Pipeline_tbl[[#This Row],[Rep_ID]],Dim_Reps!A:A,Dim_Reps!D:D)</f>
        <v>Inside Sales</v>
      </c>
      <c r="R257" t="str">
        <f>_xlfn.XLOOKUP(Pipeline_tbl[[#This Row],[Rep_ID]],Dim_Reps!A:A,Dim_Reps!E:E)</f>
        <v>EMEA</v>
      </c>
      <c r="S257" t="str">
        <f>_xlfn.XLOOKUP(Pipeline_tbl[[#This Row],[Created_Date]],Dim_Date!A:A,Dim_Date!H:H)</f>
        <v>Sep 2025</v>
      </c>
      <c r="T257" t="str">
        <f>IF(Pipeline_tbl[[#This Row],[Closed_Date]]=0,"",(_xlfn.XLOOKUP(Pipeline_tbl[[#This Row],[Closed_Date]],Dim_Date!A:A,Dim_Date!H:H)))</f>
        <v>Sep 2025</v>
      </c>
      <c r="U257">
        <f>IF(Pipeline_tbl[[#This Row],[Closed_Date]]=0,"",Pipeline_tbl[[#This Row],[Closed_Date]]-Pipeline_tbl[[#This Row],[Created_Date]])</f>
        <v>15</v>
      </c>
    </row>
    <row r="258" spans="1:21" ht="15" customHeight="1" x14ac:dyDescent="0.2">
      <c r="A258" t="s">
        <v>564</v>
      </c>
      <c r="B258" t="s">
        <v>199</v>
      </c>
      <c r="C258" t="s">
        <v>53</v>
      </c>
      <c r="D258" s="49">
        <v>45908</v>
      </c>
      <c r="E258" s="49">
        <v>45909</v>
      </c>
      <c r="F258" s="49">
        <v>45912</v>
      </c>
      <c r="G258" s="49">
        <v>45916</v>
      </c>
      <c r="H258" s="49">
        <v>45920</v>
      </c>
      <c r="I258" s="49">
        <v>45922</v>
      </c>
      <c r="J258" t="s">
        <v>47</v>
      </c>
      <c r="K258" s="33">
        <v>3500</v>
      </c>
      <c r="M258" t="str">
        <f>_xlfn.XLOOKUP(Pipeline_tbl[[#This Row],[Rep_ID]],Dim_Reps!A:A,Dim_Reps!K:K)</f>
        <v>EUR</v>
      </c>
      <c r="N258" s="33">
        <f>(_xlfn.XLOOKUP(Pipeline_tbl[[#This Row],[Rate_Code_Generalized]],Lookups!A:A,Lookups!B:B))*Pipeline_tbl[[#This Row],[Pipeline_Amount_USD]]</f>
        <v>3500</v>
      </c>
      <c r="O258" t="str">
        <f>_xlfn.XLOOKUP(Pipeline_tbl[[#This Row],[Rep_ID]],Dim_Reps!A:A,Dim_Reps!B:B)</f>
        <v>Lucas Okafor</v>
      </c>
      <c r="P258" t="str">
        <f>_xlfn.XLOOKUP(Pipeline_tbl[[#This Row],[Rep_ID]],Dim_Reps!A:A,Dim_Reps!C:C)</f>
        <v>SDR / Inside Sales Rep</v>
      </c>
      <c r="Q258" t="str">
        <f>_xlfn.XLOOKUP(Pipeline_tbl[[#This Row],[Rep_ID]],Dim_Reps!A:A,Dim_Reps!D:D)</f>
        <v>Inside Sales</v>
      </c>
      <c r="R258" t="str">
        <f>_xlfn.XLOOKUP(Pipeline_tbl[[#This Row],[Rep_ID]],Dim_Reps!A:A,Dim_Reps!E:E)</f>
        <v>APAC</v>
      </c>
      <c r="S258" t="str">
        <f>_xlfn.XLOOKUP(Pipeline_tbl[[#This Row],[Created_Date]],Dim_Date!A:A,Dim_Date!H:H)</f>
        <v>Sep 2025</v>
      </c>
      <c r="T258" t="str">
        <f>IF(Pipeline_tbl[[#This Row],[Closed_Date]]=0,"",(_xlfn.XLOOKUP(Pipeline_tbl[[#This Row],[Closed_Date]],Dim_Date!A:A,Dim_Date!H:H)))</f>
        <v>Sep 2025</v>
      </c>
      <c r="U258">
        <f>IF(Pipeline_tbl[[#This Row],[Closed_Date]]=0,"",Pipeline_tbl[[#This Row],[Closed_Date]]-Pipeline_tbl[[#This Row],[Created_Date]])</f>
        <v>14</v>
      </c>
    </row>
    <row r="259" spans="1:21" ht="15" customHeight="1" x14ac:dyDescent="0.2">
      <c r="A259" t="s">
        <v>565</v>
      </c>
      <c r="B259" t="s">
        <v>201</v>
      </c>
      <c r="C259" t="s">
        <v>54</v>
      </c>
      <c r="D259" s="49">
        <v>45905</v>
      </c>
      <c r="E259" s="49">
        <v>45905</v>
      </c>
      <c r="F259" s="49">
        <v>45907</v>
      </c>
      <c r="G259" s="49">
        <v>45908</v>
      </c>
      <c r="H259" s="49">
        <v>45909</v>
      </c>
      <c r="I259" s="49">
        <v>45910</v>
      </c>
      <c r="J259" t="s">
        <v>47</v>
      </c>
      <c r="K259" s="33">
        <v>2400</v>
      </c>
      <c r="M259" t="str">
        <f>_xlfn.XLOOKUP(Pipeline_tbl[[#This Row],[Rep_ID]],Dim_Reps!A:A,Dim_Reps!K:K)</f>
        <v>EUR</v>
      </c>
      <c r="N259" s="33">
        <f>(_xlfn.XLOOKUP(Pipeline_tbl[[#This Row],[Rate_Code_Generalized]],Lookups!A:A,Lookups!B:B))*Pipeline_tbl[[#This Row],[Pipeline_Amount_USD]]</f>
        <v>2400</v>
      </c>
      <c r="O259" t="str">
        <f>_xlfn.XLOOKUP(Pipeline_tbl[[#This Row],[Rep_ID]],Dim_Reps!A:A,Dim_Reps!B:B)</f>
        <v>Sara Duarte</v>
      </c>
      <c r="P259" t="str">
        <f>_xlfn.XLOOKUP(Pipeline_tbl[[#This Row],[Rep_ID]],Dim_Reps!A:A,Dim_Reps!C:C)</f>
        <v>SDR / Inside Sales Rep</v>
      </c>
      <c r="Q259" t="str">
        <f>_xlfn.XLOOKUP(Pipeline_tbl[[#This Row],[Rep_ID]],Dim_Reps!A:A,Dim_Reps!D:D)</f>
        <v>Inside Sales</v>
      </c>
      <c r="R259" t="str">
        <f>_xlfn.XLOOKUP(Pipeline_tbl[[#This Row],[Rep_ID]],Dim_Reps!A:A,Dim_Reps!E:E)</f>
        <v>APAC</v>
      </c>
      <c r="S259" t="str">
        <f>_xlfn.XLOOKUP(Pipeline_tbl[[#This Row],[Created_Date]],Dim_Date!A:A,Dim_Date!H:H)</f>
        <v>Sep 2025</v>
      </c>
      <c r="T259" t="str">
        <f>IF(Pipeline_tbl[[#This Row],[Closed_Date]]=0,"",(_xlfn.XLOOKUP(Pipeline_tbl[[#This Row],[Closed_Date]],Dim_Date!A:A,Dim_Date!H:H)))</f>
        <v>Sep 2025</v>
      </c>
      <c r="U259">
        <f>IF(Pipeline_tbl[[#This Row],[Closed_Date]]=0,"",Pipeline_tbl[[#This Row],[Closed_Date]]-Pipeline_tbl[[#This Row],[Created_Date]])</f>
        <v>5</v>
      </c>
    </row>
    <row r="260" spans="1:21" ht="15" customHeight="1" x14ac:dyDescent="0.2">
      <c r="A260" t="s">
        <v>566</v>
      </c>
      <c r="B260" t="s">
        <v>201</v>
      </c>
      <c r="C260" t="s">
        <v>52</v>
      </c>
      <c r="D260" s="49">
        <v>45909</v>
      </c>
      <c r="E260" s="49">
        <v>45911</v>
      </c>
      <c r="F260" s="49">
        <v>45915</v>
      </c>
      <c r="G260" s="49">
        <v>45922</v>
      </c>
      <c r="H260" s="49">
        <v>45927</v>
      </c>
      <c r="I260" s="49">
        <v>45930</v>
      </c>
      <c r="J260" t="s">
        <v>47</v>
      </c>
      <c r="K260" s="33">
        <v>4300</v>
      </c>
      <c r="M260" t="str">
        <f>_xlfn.XLOOKUP(Pipeline_tbl[[#This Row],[Rep_ID]],Dim_Reps!A:A,Dim_Reps!K:K)</f>
        <v>EUR</v>
      </c>
      <c r="N260" s="33">
        <f>(_xlfn.XLOOKUP(Pipeline_tbl[[#This Row],[Rate_Code_Generalized]],Lookups!A:A,Lookups!B:B))*Pipeline_tbl[[#This Row],[Pipeline_Amount_USD]]</f>
        <v>4300</v>
      </c>
      <c r="O260" t="str">
        <f>_xlfn.XLOOKUP(Pipeline_tbl[[#This Row],[Rep_ID]],Dim_Reps!A:A,Dim_Reps!B:B)</f>
        <v>Sara Duarte</v>
      </c>
      <c r="P260" t="str">
        <f>_xlfn.XLOOKUP(Pipeline_tbl[[#This Row],[Rep_ID]],Dim_Reps!A:A,Dim_Reps!C:C)</f>
        <v>SDR / Inside Sales Rep</v>
      </c>
      <c r="Q260" t="str">
        <f>_xlfn.XLOOKUP(Pipeline_tbl[[#This Row],[Rep_ID]],Dim_Reps!A:A,Dim_Reps!D:D)</f>
        <v>Inside Sales</v>
      </c>
      <c r="R260" t="str">
        <f>_xlfn.XLOOKUP(Pipeline_tbl[[#This Row],[Rep_ID]],Dim_Reps!A:A,Dim_Reps!E:E)</f>
        <v>APAC</v>
      </c>
      <c r="S260" t="str">
        <f>_xlfn.XLOOKUP(Pipeline_tbl[[#This Row],[Created_Date]],Dim_Date!A:A,Dim_Date!H:H)</f>
        <v>Sep 2025</v>
      </c>
      <c r="T260" t="str">
        <f>IF(Pipeline_tbl[[#This Row],[Closed_Date]]=0,"",(_xlfn.XLOOKUP(Pipeline_tbl[[#This Row],[Closed_Date]],Dim_Date!A:A,Dim_Date!H:H)))</f>
        <v>Sep 2025</v>
      </c>
      <c r="U260">
        <f>IF(Pipeline_tbl[[#This Row],[Closed_Date]]=0,"",Pipeline_tbl[[#This Row],[Closed_Date]]-Pipeline_tbl[[#This Row],[Created_Date]])</f>
        <v>21</v>
      </c>
    </row>
    <row r="261" spans="1:21" ht="15" customHeight="1" x14ac:dyDescent="0.2">
      <c r="A261" t="s">
        <v>567</v>
      </c>
      <c r="B261" t="s">
        <v>246</v>
      </c>
      <c r="C261" t="s">
        <v>52</v>
      </c>
      <c r="D261" s="49">
        <v>45904</v>
      </c>
      <c r="E261" s="49">
        <v>45906</v>
      </c>
      <c r="F261" s="49">
        <v>45909</v>
      </c>
      <c r="G261" s="49">
        <v>45915</v>
      </c>
      <c r="H261" s="49">
        <v>45919</v>
      </c>
      <c r="I261" s="49">
        <v>45922</v>
      </c>
      <c r="J261" t="s">
        <v>49</v>
      </c>
      <c r="K261" s="33">
        <v>12000</v>
      </c>
      <c r="L261" t="s">
        <v>62</v>
      </c>
      <c r="M261" t="str">
        <f>_xlfn.XLOOKUP(Pipeline_tbl[[#This Row],[Rep_ID]],Dim_Reps!A:A,Dim_Reps!K:K)</f>
        <v>EUR</v>
      </c>
      <c r="N261" s="33">
        <f>(_xlfn.XLOOKUP(Pipeline_tbl[[#This Row],[Rate_Code_Generalized]],Lookups!A:A,Lookups!B:B))*Pipeline_tbl[[#This Row],[Pipeline_Amount_USD]]</f>
        <v>12000</v>
      </c>
      <c r="O261" t="str">
        <f>_xlfn.XLOOKUP(Pipeline_tbl[[#This Row],[Rep_ID]],Dim_Reps!A:A,Dim_Reps!B:B)</f>
        <v>Karim Rivera</v>
      </c>
      <c r="P261" t="str">
        <f>_xlfn.XLOOKUP(Pipeline_tbl[[#This Row],[Rep_ID]],Dim_Reps!A:A,Dim_Reps!C:C)</f>
        <v>Mid-Market AE</v>
      </c>
      <c r="Q261" t="str">
        <f>_xlfn.XLOOKUP(Pipeline_tbl[[#This Row],[Rep_ID]],Dim_Reps!A:A,Dim_Reps!D:D)</f>
        <v>Mid-Market</v>
      </c>
      <c r="R261" t="str">
        <f>_xlfn.XLOOKUP(Pipeline_tbl[[#This Row],[Rep_ID]],Dim_Reps!A:A,Dim_Reps!E:E)</f>
        <v>APAC</v>
      </c>
      <c r="S261" t="str">
        <f>_xlfn.XLOOKUP(Pipeline_tbl[[#This Row],[Created_Date]],Dim_Date!A:A,Dim_Date!H:H)</f>
        <v>Sep 2025</v>
      </c>
      <c r="T261" t="str">
        <f>IF(Pipeline_tbl[[#This Row],[Closed_Date]]=0,"",(_xlfn.XLOOKUP(Pipeline_tbl[[#This Row],[Closed_Date]],Dim_Date!A:A,Dim_Date!H:H)))</f>
        <v>Sep 2025</v>
      </c>
      <c r="U261">
        <f>IF(Pipeline_tbl[[#This Row],[Closed_Date]]=0,"",Pipeline_tbl[[#This Row],[Closed_Date]]-Pipeline_tbl[[#This Row],[Created_Date]])</f>
        <v>18</v>
      </c>
    </row>
    <row r="262" spans="1:21" ht="15" customHeight="1" x14ac:dyDescent="0.2">
      <c r="A262" t="s">
        <v>568</v>
      </c>
      <c r="B262" t="s">
        <v>203</v>
      </c>
      <c r="C262" t="s">
        <v>53</v>
      </c>
      <c r="D262" s="49">
        <v>45910</v>
      </c>
      <c r="E262" s="49">
        <v>45911</v>
      </c>
      <c r="F262" s="49">
        <v>45914</v>
      </c>
      <c r="I262" s="49">
        <v>45922</v>
      </c>
      <c r="J262" t="s">
        <v>49</v>
      </c>
      <c r="K262" s="33">
        <v>2400</v>
      </c>
      <c r="L262" t="s">
        <v>61</v>
      </c>
      <c r="M262" t="str">
        <f>_xlfn.XLOOKUP(Pipeline_tbl[[#This Row],[Rep_ID]],Dim_Reps!A:A,Dim_Reps!K:K)</f>
        <v>EUR</v>
      </c>
      <c r="N262" s="33">
        <f>(_xlfn.XLOOKUP(Pipeline_tbl[[#This Row],[Rate_Code_Generalized]],Lookups!A:A,Lookups!B:B))*Pipeline_tbl[[#This Row],[Pipeline_Amount_USD]]</f>
        <v>2400</v>
      </c>
      <c r="O262" t="str">
        <f>_xlfn.XLOOKUP(Pipeline_tbl[[#This Row],[Rep_ID]],Dim_Reps!A:A,Dim_Reps!B:B)</f>
        <v>Riley Haddad</v>
      </c>
      <c r="P262" t="str">
        <f>_xlfn.XLOOKUP(Pipeline_tbl[[#This Row],[Rep_ID]],Dim_Reps!A:A,Dim_Reps!C:C)</f>
        <v>SDR / Inside Sales Rep</v>
      </c>
      <c r="Q262" t="str">
        <f>_xlfn.XLOOKUP(Pipeline_tbl[[#This Row],[Rep_ID]],Dim_Reps!A:A,Dim_Reps!D:D)</f>
        <v>Inside Sales</v>
      </c>
      <c r="R262" t="str">
        <f>_xlfn.XLOOKUP(Pipeline_tbl[[#This Row],[Rep_ID]],Dim_Reps!A:A,Dim_Reps!E:E)</f>
        <v>APAC</v>
      </c>
      <c r="S262" t="str">
        <f>_xlfn.XLOOKUP(Pipeline_tbl[[#This Row],[Created_Date]],Dim_Date!A:A,Dim_Date!H:H)</f>
        <v>Sep 2025</v>
      </c>
      <c r="T262" t="str">
        <f>IF(Pipeline_tbl[[#This Row],[Closed_Date]]=0,"",(_xlfn.XLOOKUP(Pipeline_tbl[[#This Row],[Closed_Date]],Dim_Date!A:A,Dim_Date!H:H)))</f>
        <v>Sep 2025</v>
      </c>
      <c r="U262">
        <f>IF(Pipeline_tbl[[#This Row],[Closed_Date]]=0,"",Pipeline_tbl[[#This Row],[Closed_Date]]-Pipeline_tbl[[#This Row],[Created_Date]])</f>
        <v>12</v>
      </c>
    </row>
    <row r="263" spans="1:21" ht="15" customHeight="1" x14ac:dyDescent="0.2">
      <c r="A263" t="s">
        <v>569</v>
      </c>
      <c r="B263" t="s">
        <v>203</v>
      </c>
      <c r="C263" t="s">
        <v>52</v>
      </c>
      <c r="D263" s="49">
        <v>45908</v>
      </c>
      <c r="E263" s="49">
        <v>45909</v>
      </c>
      <c r="F263" s="49">
        <v>45910</v>
      </c>
      <c r="G263" s="49">
        <v>45912</v>
      </c>
      <c r="H263" s="49">
        <v>45914</v>
      </c>
      <c r="I263" s="49">
        <v>45915</v>
      </c>
      <c r="J263" t="s">
        <v>49</v>
      </c>
      <c r="K263" s="33">
        <v>3900</v>
      </c>
      <c r="L263" t="s">
        <v>61</v>
      </c>
      <c r="M263" t="str">
        <f>_xlfn.XLOOKUP(Pipeline_tbl[[#This Row],[Rep_ID]],Dim_Reps!A:A,Dim_Reps!K:K)</f>
        <v>EUR</v>
      </c>
      <c r="N263" s="33">
        <f>(_xlfn.XLOOKUP(Pipeline_tbl[[#This Row],[Rate_Code_Generalized]],Lookups!A:A,Lookups!B:B))*Pipeline_tbl[[#This Row],[Pipeline_Amount_USD]]</f>
        <v>3900</v>
      </c>
      <c r="O263" t="str">
        <f>_xlfn.XLOOKUP(Pipeline_tbl[[#This Row],[Rep_ID]],Dim_Reps!A:A,Dim_Reps!B:B)</f>
        <v>Riley Haddad</v>
      </c>
      <c r="P263" t="str">
        <f>_xlfn.XLOOKUP(Pipeline_tbl[[#This Row],[Rep_ID]],Dim_Reps!A:A,Dim_Reps!C:C)</f>
        <v>SDR / Inside Sales Rep</v>
      </c>
      <c r="Q263" t="str">
        <f>_xlfn.XLOOKUP(Pipeline_tbl[[#This Row],[Rep_ID]],Dim_Reps!A:A,Dim_Reps!D:D)</f>
        <v>Inside Sales</v>
      </c>
      <c r="R263" t="str">
        <f>_xlfn.XLOOKUP(Pipeline_tbl[[#This Row],[Rep_ID]],Dim_Reps!A:A,Dim_Reps!E:E)</f>
        <v>APAC</v>
      </c>
      <c r="S263" t="str">
        <f>_xlfn.XLOOKUP(Pipeline_tbl[[#This Row],[Created_Date]],Dim_Date!A:A,Dim_Date!H:H)</f>
        <v>Sep 2025</v>
      </c>
      <c r="T263" t="str">
        <f>IF(Pipeline_tbl[[#This Row],[Closed_Date]]=0,"",(_xlfn.XLOOKUP(Pipeline_tbl[[#This Row],[Closed_Date]],Dim_Date!A:A,Dim_Date!H:H)))</f>
        <v>Sep 2025</v>
      </c>
      <c r="U263">
        <f>IF(Pipeline_tbl[[#This Row],[Closed_Date]]=0,"",Pipeline_tbl[[#This Row],[Closed_Date]]-Pipeline_tbl[[#This Row],[Created_Date]])</f>
        <v>7</v>
      </c>
    </row>
    <row r="264" spans="1:21" ht="15" customHeight="1" x14ac:dyDescent="0.2">
      <c r="A264" t="s">
        <v>570</v>
      </c>
      <c r="B264" t="s">
        <v>203</v>
      </c>
      <c r="C264" t="s">
        <v>52</v>
      </c>
      <c r="D264" s="49">
        <v>45920</v>
      </c>
      <c r="E264" s="49">
        <v>45921</v>
      </c>
      <c r="F264" s="49">
        <v>45922</v>
      </c>
      <c r="G264" s="49">
        <v>45925</v>
      </c>
      <c r="H264" s="49">
        <v>45927</v>
      </c>
      <c r="I264" s="49">
        <v>45928</v>
      </c>
      <c r="J264" t="s">
        <v>47</v>
      </c>
      <c r="K264" s="33">
        <v>4100</v>
      </c>
      <c r="M264" t="str">
        <f>_xlfn.XLOOKUP(Pipeline_tbl[[#This Row],[Rep_ID]],Dim_Reps!A:A,Dim_Reps!K:K)</f>
        <v>EUR</v>
      </c>
      <c r="N264" s="33">
        <f>(_xlfn.XLOOKUP(Pipeline_tbl[[#This Row],[Rate_Code_Generalized]],Lookups!A:A,Lookups!B:B))*Pipeline_tbl[[#This Row],[Pipeline_Amount_USD]]</f>
        <v>4100</v>
      </c>
      <c r="O264" t="str">
        <f>_xlfn.XLOOKUP(Pipeline_tbl[[#This Row],[Rep_ID]],Dim_Reps!A:A,Dim_Reps!B:B)</f>
        <v>Riley Haddad</v>
      </c>
      <c r="P264" t="str">
        <f>_xlfn.XLOOKUP(Pipeline_tbl[[#This Row],[Rep_ID]],Dim_Reps!A:A,Dim_Reps!C:C)</f>
        <v>SDR / Inside Sales Rep</v>
      </c>
      <c r="Q264" t="str">
        <f>_xlfn.XLOOKUP(Pipeline_tbl[[#This Row],[Rep_ID]],Dim_Reps!A:A,Dim_Reps!D:D)</f>
        <v>Inside Sales</v>
      </c>
      <c r="R264" t="str">
        <f>_xlfn.XLOOKUP(Pipeline_tbl[[#This Row],[Rep_ID]],Dim_Reps!A:A,Dim_Reps!E:E)</f>
        <v>APAC</v>
      </c>
      <c r="S264" t="str">
        <f>_xlfn.XLOOKUP(Pipeline_tbl[[#This Row],[Created_Date]],Dim_Date!A:A,Dim_Date!H:H)</f>
        <v>Sep 2025</v>
      </c>
      <c r="T264" t="str">
        <f>IF(Pipeline_tbl[[#This Row],[Closed_Date]]=0,"",(_xlfn.XLOOKUP(Pipeline_tbl[[#This Row],[Closed_Date]],Dim_Date!A:A,Dim_Date!H:H)))</f>
        <v>Sep 2025</v>
      </c>
      <c r="U264">
        <f>IF(Pipeline_tbl[[#This Row],[Closed_Date]]=0,"",Pipeline_tbl[[#This Row],[Closed_Date]]-Pipeline_tbl[[#This Row],[Created_Date]])</f>
        <v>8</v>
      </c>
    </row>
    <row r="265" spans="1:21" ht="15" customHeight="1" x14ac:dyDescent="0.2">
      <c r="A265" t="s">
        <v>571</v>
      </c>
      <c r="B265" t="s">
        <v>205</v>
      </c>
      <c r="C265" t="s">
        <v>53</v>
      </c>
      <c r="D265" s="49">
        <v>45911</v>
      </c>
      <c r="E265" s="49">
        <v>45912</v>
      </c>
      <c r="F265" s="49">
        <v>45915</v>
      </c>
      <c r="G265" s="49">
        <v>45919</v>
      </c>
      <c r="I265" s="49">
        <v>45924</v>
      </c>
      <c r="J265" t="s">
        <v>49</v>
      </c>
      <c r="K265" s="33">
        <v>6000</v>
      </c>
      <c r="L265" t="s">
        <v>63</v>
      </c>
      <c r="M265" t="str">
        <f>_xlfn.XLOOKUP(Pipeline_tbl[[#This Row],[Rep_ID]],Dim_Reps!A:A,Dim_Reps!K:K)</f>
        <v>EUR</v>
      </c>
      <c r="N265" s="33">
        <f>(_xlfn.XLOOKUP(Pipeline_tbl[[#This Row],[Rate_Code_Generalized]],Lookups!A:A,Lookups!B:B))*Pipeline_tbl[[#This Row],[Pipeline_Amount_USD]]</f>
        <v>6000</v>
      </c>
      <c r="O265" t="str">
        <f>_xlfn.XLOOKUP(Pipeline_tbl[[#This Row],[Rep_ID]],Dim_Reps!A:A,Dim_Reps!B:B)</f>
        <v>Karim Alvarez</v>
      </c>
      <c r="P265" t="str">
        <f>_xlfn.XLOOKUP(Pipeline_tbl[[#This Row],[Rep_ID]],Dim_Reps!A:A,Dim_Reps!C:C)</f>
        <v>SDR / Inside Sales Rep</v>
      </c>
      <c r="Q265" t="str">
        <f>_xlfn.XLOOKUP(Pipeline_tbl[[#This Row],[Rep_ID]],Dim_Reps!A:A,Dim_Reps!D:D)</f>
        <v>Inside Sales</v>
      </c>
      <c r="R265" t="str">
        <f>_xlfn.XLOOKUP(Pipeline_tbl[[#This Row],[Rep_ID]],Dim_Reps!A:A,Dim_Reps!E:E)</f>
        <v>EMEA</v>
      </c>
      <c r="S265" t="str">
        <f>_xlfn.XLOOKUP(Pipeline_tbl[[#This Row],[Created_Date]],Dim_Date!A:A,Dim_Date!H:H)</f>
        <v>Sep 2025</v>
      </c>
      <c r="T265" t="str">
        <f>IF(Pipeline_tbl[[#This Row],[Closed_Date]]=0,"",(_xlfn.XLOOKUP(Pipeline_tbl[[#This Row],[Closed_Date]],Dim_Date!A:A,Dim_Date!H:H)))</f>
        <v>Sep 2025</v>
      </c>
      <c r="U265">
        <f>IF(Pipeline_tbl[[#This Row],[Closed_Date]]=0,"",Pipeline_tbl[[#This Row],[Closed_Date]]-Pipeline_tbl[[#This Row],[Created_Date]])</f>
        <v>13</v>
      </c>
    </row>
    <row r="266" spans="1:21" ht="15" customHeight="1" x14ac:dyDescent="0.2">
      <c r="A266" t="s">
        <v>572</v>
      </c>
      <c r="B266" t="s">
        <v>205</v>
      </c>
      <c r="C266" t="s">
        <v>53</v>
      </c>
      <c r="D266" s="49">
        <v>45901</v>
      </c>
      <c r="E266" s="49">
        <v>45903</v>
      </c>
      <c r="I266" s="49">
        <v>45916</v>
      </c>
      <c r="J266" t="s">
        <v>49</v>
      </c>
      <c r="K266" s="33">
        <v>5500</v>
      </c>
      <c r="L266" t="s">
        <v>62</v>
      </c>
      <c r="M266" t="str">
        <f>_xlfn.XLOOKUP(Pipeline_tbl[[#This Row],[Rep_ID]],Dim_Reps!A:A,Dim_Reps!K:K)</f>
        <v>EUR</v>
      </c>
      <c r="N266" s="33">
        <f>(_xlfn.XLOOKUP(Pipeline_tbl[[#This Row],[Rate_Code_Generalized]],Lookups!A:A,Lookups!B:B))*Pipeline_tbl[[#This Row],[Pipeline_Amount_USD]]</f>
        <v>5500</v>
      </c>
      <c r="O266" t="str">
        <f>_xlfn.XLOOKUP(Pipeline_tbl[[#This Row],[Rep_ID]],Dim_Reps!A:A,Dim_Reps!B:B)</f>
        <v>Karim Alvarez</v>
      </c>
      <c r="P266" t="str">
        <f>_xlfn.XLOOKUP(Pipeline_tbl[[#This Row],[Rep_ID]],Dim_Reps!A:A,Dim_Reps!C:C)</f>
        <v>SDR / Inside Sales Rep</v>
      </c>
      <c r="Q266" t="str">
        <f>_xlfn.XLOOKUP(Pipeline_tbl[[#This Row],[Rep_ID]],Dim_Reps!A:A,Dim_Reps!D:D)</f>
        <v>Inside Sales</v>
      </c>
      <c r="R266" t="str">
        <f>_xlfn.XLOOKUP(Pipeline_tbl[[#This Row],[Rep_ID]],Dim_Reps!A:A,Dim_Reps!E:E)</f>
        <v>EMEA</v>
      </c>
      <c r="S266" t="str">
        <f>_xlfn.XLOOKUP(Pipeline_tbl[[#This Row],[Created_Date]],Dim_Date!A:A,Dim_Date!H:H)</f>
        <v>Sep 2025</v>
      </c>
      <c r="T266" t="str">
        <f>IF(Pipeline_tbl[[#This Row],[Closed_Date]]=0,"",(_xlfn.XLOOKUP(Pipeline_tbl[[#This Row],[Closed_Date]],Dim_Date!A:A,Dim_Date!H:H)))</f>
        <v>Sep 2025</v>
      </c>
      <c r="U266">
        <f>IF(Pipeline_tbl[[#This Row],[Closed_Date]]=0,"",Pipeline_tbl[[#This Row],[Closed_Date]]-Pipeline_tbl[[#This Row],[Created_Date]])</f>
        <v>15</v>
      </c>
    </row>
    <row r="267" spans="1:21" ht="15" customHeight="1" x14ac:dyDescent="0.2">
      <c r="A267" t="s">
        <v>573</v>
      </c>
      <c r="B267" t="s">
        <v>205</v>
      </c>
      <c r="C267" t="s">
        <v>52</v>
      </c>
      <c r="D267" s="49">
        <v>45906</v>
      </c>
      <c r="E267" s="49">
        <v>45907</v>
      </c>
      <c r="F267" s="49">
        <v>45910</v>
      </c>
      <c r="G267" s="49">
        <v>45914</v>
      </c>
      <c r="H267" s="49">
        <v>45917</v>
      </c>
      <c r="I267" s="49">
        <v>45919</v>
      </c>
      <c r="J267" t="s">
        <v>47</v>
      </c>
      <c r="K267" s="33">
        <v>2800</v>
      </c>
      <c r="M267" t="str">
        <f>_xlfn.XLOOKUP(Pipeline_tbl[[#This Row],[Rep_ID]],Dim_Reps!A:A,Dim_Reps!K:K)</f>
        <v>EUR</v>
      </c>
      <c r="N267" s="33">
        <f>(_xlfn.XLOOKUP(Pipeline_tbl[[#This Row],[Rate_Code_Generalized]],Lookups!A:A,Lookups!B:B))*Pipeline_tbl[[#This Row],[Pipeline_Amount_USD]]</f>
        <v>2800</v>
      </c>
      <c r="O267" t="str">
        <f>_xlfn.XLOOKUP(Pipeline_tbl[[#This Row],[Rep_ID]],Dim_Reps!A:A,Dim_Reps!B:B)</f>
        <v>Karim Alvarez</v>
      </c>
      <c r="P267" t="str">
        <f>_xlfn.XLOOKUP(Pipeline_tbl[[#This Row],[Rep_ID]],Dim_Reps!A:A,Dim_Reps!C:C)</f>
        <v>SDR / Inside Sales Rep</v>
      </c>
      <c r="Q267" t="str">
        <f>_xlfn.XLOOKUP(Pipeline_tbl[[#This Row],[Rep_ID]],Dim_Reps!A:A,Dim_Reps!D:D)</f>
        <v>Inside Sales</v>
      </c>
      <c r="R267" t="str">
        <f>_xlfn.XLOOKUP(Pipeline_tbl[[#This Row],[Rep_ID]],Dim_Reps!A:A,Dim_Reps!E:E)</f>
        <v>EMEA</v>
      </c>
      <c r="S267" t="str">
        <f>_xlfn.XLOOKUP(Pipeline_tbl[[#This Row],[Created_Date]],Dim_Date!A:A,Dim_Date!H:H)</f>
        <v>Sep 2025</v>
      </c>
      <c r="T267" t="str">
        <f>IF(Pipeline_tbl[[#This Row],[Closed_Date]]=0,"",(_xlfn.XLOOKUP(Pipeline_tbl[[#This Row],[Closed_Date]],Dim_Date!A:A,Dim_Date!H:H)))</f>
        <v>Sep 2025</v>
      </c>
      <c r="U267">
        <f>IF(Pipeline_tbl[[#This Row],[Closed_Date]]=0,"",Pipeline_tbl[[#This Row],[Closed_Date]]-Pipeline_tbl[[#This Row],[Created_Date]])</f>
        <v>13</v>
      </c>
    </row>
    <row r="268" spans="1:21" ht="15" customHeight="1" x14ac:dyDescent="0.2">
      <c r="A268" t="s">
        <v>574</v>
      </c>
      <c r="B268" t="s">
        <v>205</v>
      </c>
      <c r="C268" t="s">
        <v>52</v>
      </c>
      <c r="D268" s="49">
        <v>45905</v>
      </c>
      <c r="E268" s="49">
        <v>45907</v>
      </c>
      <c r="F268" s="49">
        <v>45910</v>
      </c>
      <c r="G268" s="49">
        <v>45916</v>
      </c>
      <c r="I268" s="49">
        <v>45923</v>
      </c>
      <c r="J268" t="s">
        <v>49</v>
      </c>
      <c r="K268" s="33">
        <v>4600</v>
      </c>
      <c r="L268" t="s">
        <v>61</v>
      </c>
      <c r="M268" t="str">
        <f>_xlfn.XLOOKUP(Pipeline_tbl[[#This Row],[Rep_ID]],Dim_Reps!A:A,Dim_Reps!K:K)</f>
        <v>EUR</v>
      </c>
      <c r="N268" s="33">
        <f>(_xlfn.XLOOKUP(Pipeline_tbl[[#This Row],[Rate_Code_Generalized]],Lookups!A:A,Lookups!B:B))*Pipeline_tbl[[#This Row],[Pipeline_Amount_USD]]</f>
        <v>4600</v>
      </c>
      <c r="O268" t="str">
        <f>_xlfn.XLOOKUP(Pipeline_tbl[[#This Row],[Rep_ID]],Dim_Reps!A:A,Dim_Reps!B:B)</f>
        <v>Karim Alvarez</v>
      </c>
      <c r="P268" t="str">
        <f>_xlfn.XLOOKUP(Pipeline_tbl[[#This Row],[Rep_ID]],Dim_Reps!A:A,Dim_Reps!C:C)</f>
        <v>SDR / Inside Sales Rep</v>
      </c>
      <c r="Q268" t="str">
        <f>_xlfn.XLOOKUP(Pipeline_tbl[[#This Row],[Rep_ID]],Dim_Reps!A:A,Dim_Reps!D:D)</f>
        <v>Inside Sales</v>
      </c>
      <c r="R268" t="str">
        <f>_xlfn.XLOOKUP(Pipeline_tbl[[#This Row],[Rep_ID]],Dim_Reps!A:A,Dim_Reps!E:E)</f>
        <v>EMEA</v>
      </c>
      <c r="S268" t="str">
        <f>_xlfn.XLOOKUP(Pipeline_tbl[[#This Row],[Created_Date]],Dim_Date!A:A,Dim_Date!H:H)</f>
        <v>Sep 2025</v>
      </c>
      <c r="T268" t="str">
        <f>IF(Pipeline_tbl[[#This Row],[Closed_Date]]=0,"",(_xlfn.XLOOKUP(Pipeline_tbl[[#This Row],[Closed_Date]],Dim_Date!A:A,Dim_Date!H:H)))</f>
        <v>Sep 2025</v>
      </c>
      <c r="U268">
        <f>IF(Pipeline_tbl[[#This Row],[Closed_Date]]=0,"",Pipeline_tbl[[#This Row],[Closed_Date]]-Pipeline_tbl[[#This Row],[Created_Date]])</f>
        <v>18</v>
      </c>
    </row>
    <row r="269" spans="1:21" ht="15" customHeight="1" x14ac:dyDescent="0.2">
      <c r="A269" t="s">
        <v>575</v>
      </c>
      <c r="B269" t="s">
        <v>207</v>
      </c>
      <c r="C269" t="s">
        <v>53</v>
      </c>
      <c r="D269" s="49">
        <v>45911</v>
      </c>
      <c r="E269" s="49">
        <v>45913</v>
      </c>
      <c r="F269" s="49">
        <v>45916</v>
      </c>
      <c r="I269" s="49">
        <v>45929</v>
      </c>
      <c r="J269" t="s">
        <v>49</v>
      </c>
      <c r="K269" s="33">
        <v>5000</v>
      </c>
      <c r="L269" t="s">
        <v>61</v>
      </c>
      <c r="M269" t="str">
        <f>_xlfn.XLOOKUP(Pipeline_tbl[[#This Row],[Rep_ID]],Dim_Reps!A:A,Dim_Reps!K:K)</f>
        <v>EUR</v>
      </c>
      <c r="N269" s="33">
        <f>(_xlfn.XLOOKUP(Pipeline_tbl[[#This Row],[Rate_Code_Generalized]],Lookups!A:A,Lookups!B:B))*Pipeline_tbl[[#This Row],[Pipeline_Amount_USD]]</f>
        <v>5000</v>
      </c>
      <c r="O269" t="str">
        <f>_xlfn.XLOOKUP(Pipeline_tbl[[#This Row],[Rep_ID]],Dim_Reps!A:A,Dim_Reps!B:B)</f>
        <v>Sam Castro</v>
      </c>
      <c r="P269" t="str">
        <f>_xlfn.XLOOKUP(Pipeline_tbl[[#This Row],[Rep_ID]],Dim_Reps!A:A,Dim_Reps!C:C)</f>
        <v>SDR / Inside Sales Rep</v>
      </c>
      <c r="Q269" t="str">
        <f>_xlfn.XLOOKUP(Pipeline_tbl[[#This Row],[Rep_ID]],Dim_Reps!A:A,Dim_Reps!D:D)</f>
        <v>Inside Sales</v>
      </c>
      <c r="R269" t="str">
        <f>_xlfn.XLOOKUP(Pipeline_tbl[[#This Row],[Rep_ID]],Dim_Reps!A:A,Dim_Reps!E:E)</f>
        <v>APAC</v>
      </c>
      <c r="S269" t="str">
        <f>_xlfn.XLOOKUP(Pipeline_tbl[[#This Row],[Created_Date]],Dim_Date!A:A,Dim_Date!H:H)</f>
        <v>Sep 2025</v>
      </c>
      <c r="T269" t="str">
        <f>IF(Pipeline_tbl[[#This Row],[Closed_Date]]=0,"",(_xlfn.XLOOKUP(Pipeline_tbl[[#This Row],[Closed_Date]],Dim_Date!A:A,Dim_Date!H:H)))</f>
        <v>Sep 2025</v>
      </c>
      <c r="U269">
        <f>IF(Pipeline_tbl[[#This Row],[Closed_Date]]=0,"",Pipeline_tbl[[#This Row],[Closed_Date]]-Pipeline_tbl[[#This Row],[Created_Date]])</f>
        <v>18</v>
      </c>
    </row>
    <row r="270" spans="1:21" ht="15" customHeight="1" x14ac:dyDescent="0.2">
      <c r="A270" t="s">
        <v>576</v>
      </c>
      <c r="B270" t="s">
        <v>209</v>
      </c>
      <c r="C270" t="s">
        <v>56</v>
      </c>
      <c r="D270" s="49">
        <v>45902</v>
      </c>
      <c r="E270" s="49">
        <v>45903</v>
      </c>
      <c r="F270" s="49">
        <v>45906</v>
      </c>
      <c r="G270" s="49">
        <v>45910</v>
      </c>
      <c r="H270" s="49">
        <v>45913</v>
      </c>
      <c r="I270" s="49">
        <v>45915</v>
      </c>
      <c r="J270" t="s">
        <v>47</v>
      </c>
      <c r="K270" s="33">
        <v>2300</v>
      </c>
      <c r="M270" t="str">
        <f>_xlfn.XLOOKUP(Pipeline_tbl[[#This Row],[Rep_ID]],Dim_Reps!A:A,Dim_Reps!K:K)</f>
        <v>EUR</v>
      </c>
      <c r="N270" s="33">
        <f>(_xlfn.XLOOKUP(Pipeline_tbl[[#This Row],[Rate_Code_Generalized]],Lookups!A:A,Lookups!B:B))*Pipeline_tbl[[#This Row],[Pipeline_Amount_USD]]</f>
        <v>2300</v>
      </c>
      <c r="O270" t="str">
        <f>_xlfn.XLOOKUP(Pipeline_tbl[[#This Row],[Rep_ID]],Dim_Reps!A:A,Dim_Reps!B:B)</f>
        <v>Petra Larsen</v>
      </c>
      <c r="P270" t="str">
        <f>_xlfn.XLOOKUP(Pipeline_tbl[[#This Row],[Rep_ID]],Dim_Reps!A:A,Dim_Reps!C:C)</f>
        <v>SDR / Inside Sales Rep</v>
      </c>
      <c r="Q270" t="str">
        <f>_xlfn.XLOOKUP(Pipeline_tbl[[#This Row],[Rep_ID]],Dim_Reps!A:A,Dim_Reps!D:D)</f>
        <v>Inside Sales</v>
      </c>
      <c r="R270" t="str">
        <f>_xlfn.XLOOKUP(Pipeline_tbl[[#This Row],[Rep_ID]],Dim_Reps!A:A,Dim_Reps!E:E)</f>
        <v>EMEA</v>
      </c>
      <c r="S270" t="str">
        <f>_xlfn.XLOOKUP(Pipeline_tbl[[#This Row],[Created_Date]],Dim_Date!A:A,Dim_Date!H:H)</f>
        <v>Sep 2025</v>
      </c>
      <c r="T270" t="str">
        <f>IF(Pipeline_tbl[[#This Row],[Closed_Date]]=0,"",(_xlfn.XLOOKUP(Pipeline_tbl[[#This Row],[Closed_Date]],Dim_Date!A:A,Dim_Date!H:H)))</f>
        <v>Sep 2025</v>
      </c>
      <c r="U270">
        <f>IF(Pipeline_tbl[[#This Row],[Closed_Date]]=0,"",Pipeline_tbl[[#This Row],[Closed_Date]]-Pipeline_tbl[[#This Row],[Created_Date]])</f>
        <v>13</v>
      </c>
    </row>
    <row r="271" spans="1:21" ht="15" customHeight="1" x14ac:dyDescent="0.2">
      <c r="A271" t="s">
        <v>577</v>
      </c>
      <c r="B271" t="s">
        <v>209</v>
      </c>
      <c r="C271" t="s">
        <v>53</v>
      </c>
      <c r="D271" s="49">
        <v>45904</v>
      </c>
      <c r="E271" s="49">
        <v>45906</v>
      </c>
      <c r="F271" s="49">
        <v>45912</v>
      </c>
      <c r="G271" s="49">
        <v>45919</v>
      </c>
      <c r="H271" s="49">
        <v>45925</v>
      </c>
      <c r="I271" s="49">
        <v>45929</v>
      </c>
      <c r="J271" t="s">
        <v>47</v>
      </c>
      <c r="K271" s="33">
        <v>2900</v>
      </c>
      <c r="M271" t="str">
        <f>_xlfn.XLOOKUP(Pipeline_tbl[[#This Row],[Rep_ID]],Dim_Reps!A:A,Dim_Reps!K:K)</f>
        <v>EUR</v>
      </c>
      <c r="N271" s="33">
        <f>(_xlfn.XLOOKUP(Pipeline_tbl[[#This Row],[Rate_Code_Generalized]],Lookups!A:A,Lookups!B:B))*Pipeline_tbl[[#This Row],[Pipeline_Amount_USD]]</f>
        <v>2900</v>
      </c>
      <c r="O271" t="str">
        <f>_xlfn.XLOOKUP(Pipeline_tbl[[#This Row],[Rep_ID]],Dim_Reps!A:A,Dim_Reps!B:B)</f>
        <v>Petra Larsen</v>
      </c>
      <c r="P271" t="str">
        <f>_xlfn.XLOOKUP(Pipeline_tbl[[#This Row],[Rep_ID]],Dim_Reps!A:A,Dim_Reps!C:C)</f>
        <v>SDR / Inside Sales Rep</v>
      </c>
      <c r="Q271" t="str">
        <f>_xlfn.XLOOKUP(Pipeline_tbl[[#This Row],[Rep_ID]],Dim_Reps!A:A,Dim_Reps!D:D)</f>
        <v>Inside Sales</v>
      </c>
      <c r="R271" t="str">
        <f>_xlfn.XLOOKUP(Pipeline_tbl[[#This Row],[Rep_ID]],Dim_Reps!A:A,Dim_Reps!E:E)</f>
        <v>EMEA</v>
      </c>
      <c r="S271" t="str">
        <f>_xlfn.XLOOKUP(Pipeline_tbl[[#This Row],[Created_Date]],Dim_Date!A:A,Dim_Date!H:H)</f>
        <v>Sep 2025</v>
      </c>
      <c r="T271" t="str">
        <f>IF(Pipeline_tbl[[#This Row],[Closed_Date]]=0,"",(_xlfn.XLOOKUP(Pipeline_tbl[[#This Row],[Closed_Date]],Dim_Date!A:A,Dim_Date!H:H)))</f>
        <v>Sep 2025</v>
      </c>
      <c r="U271">
        <f>IF(Pipeline_tbl[[#This Row],[Closed_Date]]=0,"",Pipeline_tbl[[#This Row],[Closed_Date]]-Pipeline_tbl[[#This Row],[Created_Date]])</f>
        <v>25</v>
      </c>
    </row>
    <row r="272" spans="1:21" ht="15" customHeight="1" x14ac:dyDescent="0.2">
      <c r="A272" t="s">
        <v>578</v>
      </c>
      <c r="B272" t="s">
        <v>209</v>
      </c>
      <c r="C272" t="s">
        <v>55</v>
      </c>
      <c r="D272" s="49">
        <v>45903</v>
      </c>
      <c r="E272" s="49">
        <v>45905</v>
      </c>
      <c r="I272" s="49">
        <v>45922</v>
      </c>
      <c r="J272" t="s">
        <v>49</v>
      </c>
      <c r="K272" s="33">
        <v>3000</v>
      </c>
      <c r="L272" t="s">
        <v>60</v>
      </c>
      <c r="M272" t="str">
        <f>_xlfn.XLOOKUP(Pipeline_tbl[[#This Row],[Rep_ID]],Dim_Reps!A:A,Dim_Reps!K:K)</f>
        <v>EUR</v>
      </c>
      <c r="N272" s="33">
        <f>(_xlfn.XLOOKUP(Pipeline_tbl[[#This Row],[Rate_Code_Generalized]],Lookups!A:A,Lookups!B:B))*Pipeline_tbl[[#This Row],[Pipeline_Amount_USD]]</f>
        <v>3000</v>
      </c>
      <c r="O272" t="str">
        <f>_xlfn.XLOOKUP(Pipeline_tbl[[#This Row],[Rep_ID]],Dim_Reps!A:A,Dim_Reps!B:B)</f>
        <v>Petra Larsen</v>
      </c>
      <c r="P272" t="str">
        <f>_xlfn.XLOOKUP(Pipeline_tbl[[#This Row],[Rep_ID]],Dim_Reps!A:A,Dim_Reps!C:C)</f>
        <v>SDR / Inside Sales Rep</v>
      </c>
      <c r="Q272" t="str">
        <f>_xlfn.XLOOKUP(Pipeline_tbl[[#This Row],[Rep_ID]],Dim_Reps!A:A,Dim_Reps!D:D)</f>
        <v>Inside Sales</v>
      </c>
      <c r="R272" t="str">
        <f>_xlfn.XLOOKUP(Pipeline_tbl[[#This Row],[Rep_ID]],Dim_Reps!A:A,Dim_Reps!E:E)</f>
        <v>EMEA</v>
      </c>
      <c r="S272" t="str">
        <f>_xlfn.XLOOKUP(Pipeline_tbl[[#This Row],[Created_Date]],Dim_Date!A:A,Dim_Date!H:H)</f>
        <v>Sep 2025</v>
      </c>
      <c r="T272" t="str">
        <f>IF(Pipeline_tbl[[#This Row],[Closed_Date]]=0,"",(_xlfn.XLOOKUP(Pipeline_tbl[[#This Row],[Closed_Date]],Dim_Date!A:A,Dim_Date!H:H)))</f>
        <v>Sep 2025</v>
      </c>
      <c r="U272">
        <f>IF(Pipeline_tbl[[#This Row],[Closed_Date]]=0,"",Pipeline_tbl[[#This Row],[Closed_Date]]-Pipeline_tbl[[#This Row],[Created_Date]])</f>
        <v>19</v>
      </c>
    </row>
    <row r="273" spans="1:21" ht="15" customHeight="1" x14ac:dyDescent="0.2">
      <c r="A273" t="s">
        <v>579</v>
      </c>
      <c r="B273" t="s">
        <v>211</v>
      </c>
      <c r="C273" t="s">
        <v>53</v>
      </c>
      <c r="D273" s="49">
        <v>45914</v>
      </c>
      <c r="E273" s="49">
        <v>45915</v>
      </c>
      <c r="F273" s="49">
        <v>45916</v>
      </c>
      <c r="G273" s="49">
        <v>45919</v>
      </c>
      <c r="H273" s="49">
        <v>45921</v>
      </c>
      <c r="I273" s="49">
        <v>45922</v>
      </c>
      <c r="J273" t="s">
        <v>47</v>
      </c>
      <c r="K273" s="33">
        <v>3200</v>
      </c>
      <c r="M273" t="str">
        <f>_xlfn.XLOOKUP(Pipeline_tbl[[#This Row],[Rep_ID]],Dim_Reps!A:A,Dim_Reps!K:K)</f>
        <v>EUR</v>
      </c>
      <c r="N273" s="33">
        <f>(_xlfn.XLOOKUP(Pipeline_tbl[[#This Row],[Rate_Code_Generalized]],Lookups!A:A,Lookups!B:B))*Pipeline_tbl[[#This Row],[Pipeline_Amount_USD]]</f>
        <v>3200</v>
      </c>
      <c r="O273" t="str">
        <f>_xlfn.XLOOKUP(Pipeline_tbl[[#This Row],[Rep_ID]],Dim_Reps!A:A,Dim_Reps!B:B)</f>
        <v>Lea Weber</v>
      </c>
      <c r="P273" t="str">
        <f>_xlfn.XLOOKUP(Pipeline_tbl[[#This Row],[Rep_ID]],Dim_Reps!A:A,Dim_Reps!C:C)</f>
        <v>SDR / Inside Sales Rep</v>
      </c>
      <c r="Q273" t="str">
        <f>_xlfn.XLOOKUP(Pipeline_tbl[[#This Row],[Rep_ID]],Dim_Reps!A:A,Dim_Reps!D:D)</f>
        <v>Inside Sales</v>
      </c>
      <c r="R273" t="str">
        <f>_xlfn.XLOOKUP(Pipeline_tbl[[#This Row],[Rep_ID]],Dim_Reps!A:A,Dim_Reps!E:E)</f>
        <v>EMEA</v>
      </c>
      <c r="S273" t="str">
        <f>_xlfn.XLOOKUP(Pipeline_tbl[[#This Row],[Created_Date]],Dim_Date!A:A,Dim_Date!H:H)</f>
        <v>Sep 2025</v>
      </c>
      <c r="T273" t="str">
        <f>IF(Pipeline_tbl[[#This Row],[Closed_Date]]=0,"",(_xlfn.XLOOKUP(Pipeline_tbl[[#This Row],[Closed_Date]],Dim_Date!A:A,Dim_Date!H:H)))</f>
        <v>Sep 2025</v>
      </c>
      <c r="U273">
        <f>IF(Pipeline_tbl[[#This Row],[Closed_Date]]=0,"",Pipeline_tbl[[#This Row],[Closed_Date]]-Pipeline_tbl[[#This Row],[Created_Date]])</f>
        <v>8</v>
      </c>
    </row>
    <row r="274" spans="1:21" ht="15" customHeight="1" x14ac:dyDescent="0.2">
      <c r="A274" t="s">
        <v>580</v>
      </c>
      <c r="B274" t="s">
        <v>211</v>
      </c>
      <c r="C274" t="s">
        <v>54</v>
      </c>
      <c r="D274" s="49">
        <v>45904</v>
      </c>
      <c r="E274" s="49">
        <v>45905</v>
      </c>
      <c r="F274" s="49">
        <v>45908</v>
      </c>
      <c r="G274" s="49">
        <v>45912</v>
      </c>
      <c r="H274" s="49">
        <v>45916</v>
      </c>
      <c r="I274" s="49">
        <v>45918</v>
      </c>
      <c r="J274" t="s">
        <v>47</v>
      </c>
      <c r="K274" s="33">
        <v>1800</v>
      </c>
      <c r="M274" t="str">
        <f>_xlfn.XLOOKUP(Pipeline_tbl[[#This Row],[Rep_ID]],Dim_Reps!A:A,Dim_Reps!K:K)</f>
        <v>EUR</v>
      </c>
      <c r="N274" s="33">
        <f>(_xlfn.XLOOKUP(Pipeline_tbl[[#This Row],[Rate_Code_Generalized]],Lookups!A:A,Lookups!B:B))*Pipeline_tbl[[#This Row],[Pipeline_Amount_USD]]</f>
        <v>1800</v>
      </c>
      <c r="O274" t="str">
        <f>_xlfn.XLOOKUP(Pipeline_tbl[[#This Row],[Rep_ID]],Dim_Reps!A:A,Dim_Reps!B:B)</f>
        <v>Lea Weber</v>
      </c>
      <c r="P274" t="str">
        <f>_xlfn.XLOOKUP(Pipeline_tbl[[#This Row],[Rep_ID]],Dim_Reps!A:A,Dim_Reps!C:C)</f>
        <v>SDR / Inside Sales Rep</v>
      </c>
      <c r="Q274" t="str">
        <f>_xlfn.XLOOKUP(Pipeline_tbl[[#This Row],[Rep_ID]],Dim_Reps!A:A,Dim_Reps!D:D)</f>
        <v>Inside Sales</v>
      </c>
      <c r="R274" t="str">
        <f>_xlfn.XLOOKUP(Pipeline_tbl[[#This Row],[Rep_ID]],Dim_Reps!A:A,Dim_Reps!E:E)</f>
        <v>EMEA</v>
      </c>
      <c r="S274" t="str">
        <f>_xlfn.XLOOKUP(Pipeline_tbl[[#This Row],[Created_Date]],Dim_Date!A:A,Dim_Date!H:H)</f>
        <v>Sep 2025</v>
      </c>
      <c r="T274" t="str">
        <f>IF(Pipeline_tbl[[#This Row],[Closed_Date]]=0,"",(_xlfn.XLOOKUP(Pipeline_tbl[[#This Row],[Closed_Date]],Dim_Date!A:A,Dim_Date!H:H)))</f>
        <v>Sep 2025</v>
      </c>
      <c r="U274">
        <f>IF(Pipeline_tbl[[#This Row],[Closed_Date]]=0,"",Pipeline_tbl[[#This Row],[Closed_Date]]-Pipeline_tbl[[#This Row],[Created_Date]])</f>
        <v>14</v>
      </c>
    </row>
    <row r="275" spans="1:21" ht="15" customHeight="1" x14ac:dyDescent="0.2">
      <c r="A275" t="s">
        <v>581</v>
      </c>
      <c r="B275" t="s">
        <v>211</v>
      </c>
      <c r="C275" t="s">
        <v>52</v>
      </c>
      <c r="D275" s="49">
        <v>45910</v>
      </c>
      <c r="E275" s="49">
        <v>45912</v>
      </c>
      <c r="F275" s="49">
        <v>45915</v>
      </c>
      <c r="G275" s="49">
        <v>45920</v>
      </c>
      <c r="H275" s="49">
        <v>45924</v>
      </c>
      <c r="I275" s="49">
        <v>45927</v>
      </c>
      <c r="J275" t="s">
        <v>49</v>
      </c>
      <c r="K275" s="33">
        <v>9500</v>
      </c>
      <c r="L275" t="s">
        <v>61</v>
      </c>
      <c r="M275" t="str">
        <f>_xlfn.XLOOKUP(Pipeline_tbl[[#This Row],[Rep_ID]],Dim_Reps!A:A,Dim_Reps!K:K)</f>
        <v>EUR</v>
      </c>
      <c r="N275" s="33">
        <f>(_xlfn.XLOOKUP(Pipeline_tbl[[#This Row],[Rate_Code_Generalized]],Lookups!A:A,Lookups!B:B))*Pipeline_tbl[[#This Row],[Pipeline_Amount_USD]]</f>
        <v>9500</v>
      </c>
      <c r="O275" t="str">
        <f>_xlfn.XLOOKUP(Pipeline_tbl[[#This Row],[Rep_ID]],Dim_Reps!A:A,Dim_Reps!B:B)</f>
        <v>Lea Weber</v>
      </c>
      <c r="P275" t="str">
        <f>_xlfn.XLOOKUP(Pipeline_tbl[[#This Row],[Rep_ID]],Dim_Reps!A:A,Dim_Reps!C:C)</f>
        <v>SDR / Inside Sales Rep</v>
      </c>
      <c r="Q275" t="str">
        <f>_xlfn.XLOOKUP(Pipeline_tbl[[#This Row],[Rep_ID]],Dim_Reps!A:A,Dim_Reps!D:D)</f>
        <v>Inside Sales</v>
      </c>
      <c r="R275" t="str">
        <f>_xlfn.XLOOKUP(Pipeline_tbl[[#This Row],[Rep_ID]],Dim_Reps!A:A,Dim_Reps!E:E)</f>
        <v>EMEA</v>
      </c>
      <c r="S275" t="str">
        <f>_xlfn.XLOOKUP(Pipeline_tbl[[#This Row],[Created_Date]],Dim_Date!A:A,Dim_Date!H:H)</f>
        <v>Sep 2025</v>
      </c>
      <c r="T275" t="str">
        <f>IF(Pipeline_tbl[[#This Row],[Closed_Date]]=0,"",(_xlfn.XLOOKUP(Pipeline_tbl[[#This Row],[Closed_Date]],Dim_Date!A:A,Dim_Date!H:H)))</f>
        <v>Sep 2025</v>
      </c>
      <c r="U275">
        <f>IF(Pipeline_tbl[[#This Row],[Closed_Date]]=0,"",Pipeline_tbl[[#This Row],[Closed_Date]]-Pipeline_tbl[[#This Row],[Created_Date]])</f>
        <v>17</v>
      </c>
    </row>
    <row r="276" spans="1:21" ht="15" customHeight="1" x14ac:dyDescent="0.2">
      <c r="A276" t="s">
        <v>582</v>
      </c>
      <c r="B276" t="s">
        <v>213</v>
      </c>
      <c r="C276" t="s">
        <v>53</v>
      </c>
      <c r="D276" s="49">
        <v>45914</v>
      </c>
      <c r="E276" s="49">
        <v>45915</v>
      </c>
      <c r="F276" s="49">
        <v>45917</v>
      </c>
      <c r="G276" s="49">
        <v>45921</v>
      </c>
      <c r="H276" s="49">
        <v>45923</v>
      </c>
      <c r="I276" s="49">
        <v>45925</v>
      </c>
      <c r="J276" t="s">
        <v>49</v>
      </c>
      <c r="K276" s="33">
        <v>7000</v>
      </c>
      <c r="L276" t="s">
        <v>61</v>
      </c>
      <c r="M276" t="str">
        <f>_xlfn.XLOOKUP(Pipeline_tbl[[#This Row],[Rep_ID]],Dim_Reps!A:A,Dim_Reps!K:K)</f>
        <v>EUR</v>
      </c>
      <c r="N276" s="33">
        <f>(_xlfn.XLOOKUP(Pipeline_tbl[[#This Row],[Rate_Code_Generalized]],Lookups!A:A,Lookups!B:B))*Pipeline_tbl[[#This Row],[Pipeline_Amount_USD]]</f>
        <v>7000</v>
      </c>
      <c r="O276" t="str">
        <f>_xlfn.XLOOKUP(Pipeline_tbl[[#This Row],[Rep_ID]],Dim_Reps!A:A,Dim_Reps!B:B)</f>
        <v>Jamie Silva</v>
      </c>
      <c r="P276" t="str">
        <f>_xlfn.XLOOKUP(Pipeline_tbl[[#This Row],[Rep_ID]],Dim_Reps!A:A,Dim_Reps!C:C)</f>
        <v>SDR / Inside Sales Rep</v>
      </c>
      <c r="Q276" t="str">
        <f>_xlfn.XLOOKUP(Pipeline_tbl[[#This Row],[Rep_ID]],Dim_Reps!A:A,Dim_Reps!D:D)</f>
        <v>Inside Sales</v>
      </c>
      <c r="R276" t="str">
        <f>_xlfn.XLOOKUP(Pipeline_tbl[[#This Row],[Rep_ID]],Dim_Reps!A:A,Dim_Reps!E:E)</f>
        <v>EMEA</v>
      </c>
      <c r="S276" t="str">
        <f>_xlfn.XLOOKUP(Pipeline_tbl[[#This Row],[Created_Date]],Dim_Date!A:A,Dim_Date!H:H)</f>
        <v>Sep 2025</v>
      </c>
      <c r="T276" t="str">
        <f>IF(Pipeline_tbl[[#This Row],[Closed_Date]]=0,"",(_xlfn.XLOOKUP(Pipeline_tbl[[#This Row],[Closed_Date]],Dim_Date!A:A,Dim_Date!H:H)))</f>
        <v>Sep 2025</v>
      </c>
      <c r="U276">
        <f>IF(Pipeline_tbl[[#This Row],[Closed_Date]]=0,"",Pipeline_tbl[[#This Row],[Closed_Date]]-Pipeline_tbl[[#This Row],[Created_Date]])</f>
        <v>11</v>
      </c>
    </row>
    <row r="277" spans="1:21" ht="15" customHeight="1" x14ac:dyDescent="0.2">
      <c r="A277" t="s">
        <v>583</v>
      </c>
      <c r="B277" t="s">
        <v>213</v>
      </c>
      <c r="C277" t="s">
        <v>52</v>
      </c>
      <c r="D277" s="49">
        <v>45909</v>
      </c>
      <c r="E277" s="49">
        <v>45910</v>
      </c>
      <c r="F277" s="49">
        <v>45913</v>
      </c>
      <c r="G277" s="49">
        <v>45917</v>
      </c>
      <c r="H277" s="49">
        <v>45920</v>
      </c>
      <c r="I277" s="49">
        <v>45922</v>
      </c>
      <c r="J277" t="s">
        <v>47</v>
      </c>
      <c r="K277" s="33">
        <v>1700</v>
      </c>
      <c r="M277" t="str">
        <f>_xlfn.XLOOKUP(Pipeline_tbl[[#This Row],[Rep_ID]],Dim_Reps!A:A,Dim_Reps!K:K)</f>
        <v>EUR</v>
      </c>
      <c r="N277" s="33">
        <f>(_xlfn.XLOOKUP(Pipeline_tbl[[#This Row],[Rate_Code_Generalized]],Lookups!A:A,Lookups!B:B))*Pipeline_tbl[[#This Row],[Pipeline_Amount_USD]]</f>
        <v>1700</v>
      </c>
      <c r="O277" t="str">
        <f>_xlfn.XLOOKUP(Pipeline_tbl[[#This Row],[Rep_ID]],Dim_Reps!A:A,Dim_Reps!B:B)</f>
        <v>Jamie Silva</v>
      </c>
      <c r="P277" t="str">
        <f>_xlfn.XLOOKUP(Pipeline_tbl[[#This Row],[Rep_ID]],Dim_Reps!A:A,Dim_Reps!C:C)</f>
        <v>SDR / Inside Sales Rep</v>
      </c>
      <c r="Q277" t="str">
        <f>_xlfn.XLOOKUP(Pipeline_tbl[[#This Row],[Rep_ID]],Dim_Reps!A:A,Dim_Reps!D:D)</f>
        <v>Inside Sales</v>
      </c>
      <c r="R277" t="str">
        <f>_xlfn.XLOOKUP(Pipeline_tbl[[#This Row],[Rep_ID]],Dim_Reps!A:A,Dim_Reps!E:E)</f>
        <v>EMEA</v>
      </c>
      <c r="S277" t="str">
        <f>_xlfn.XLOOKUP(Pipeline_tbl[[#This Row],[Created_Date]],Dim_Date!A:A,Dim_Date!H:H)</f>
        <v>Sep 2025</v>
      </c>
      <c r="T277" t="str">
        <f>IF(Pipeline_tbl[[#This Row],[Closed_Date]]=0,"",(_xlfn.XLOOKUP(Pipeline_tbl[[#This Row],[Closed_Date]],Dim_Date!A:A,Dim_Date!H:H)))</f>
        <v>Sep 2025</v>
      </c>
      <c r="U277">
        <f>IF(Pipeline_tbl[[#This Row],[Closed_Date]]=0,"",Pipeline_tbl[[#This Row],[Closed_Date]]-Pipeline_tbl[[#This Row],[Created_Date]])</f>
        <v>13</v>
      </c>
    </row>
    <row r="278" spans="1:21" ht="15" customHeight="1" x14ac:dyDescent="0.2">
      <c r="A278" t="s">
        <v>584</v>
      </c>
      <c r="B278" t="s">
        <v>213</v>
      </c>
      <c r="C278" t="s">
        <v>52</v>
      </c>
      <c r="D278" s="49">
        <v>45902</v>
      </c>
      <c r="E278" s="49">
        <v>45904</v>
      </c>
      <c r="F278" s="49">
        <v>45909</v>
      </c>
      <c r="G278" s="49">
        <v>45916</v>
      </c>
      <c r="H278" s="49">
        <v>45922</v>
      </c>
      <c r="I278" s="49">
        <v>45925</v>
      </c>
      <c r="J278" t="s">
        <v>47</v>
      </c>
      <c r="K278" s="33">
        <v>1600</v>
      </c>
      <c r="M278" t="str">
        <f>_xlfn.XLOOKUP(Pipeline_tbl[[#This Row],[Rep_ID]],Dim_Reps!A:A,Dim_Reps!K:K)</f>
        <v>EUR</v>
      </c>
      <c r="N278" s="33">
        <f>(_xlfn.XLOOKUP(Pipeline_tbl[[#This Row],[Rate_Code_Generalized]],Lookups!A:A,Lookups!B:B))*Pipeline_tbl[[#This Row],[Pipeline_Amount_USD]]</f>
        <v>1600</v>
      </c>
      <c r="O278" t="str">
        <f>_xlfn.XLOOKUP(Pipeline_tbl[[#This Row],[Rep_ID]],Dim_Reps!A:A,Dim_Reps!B:B)</f>
        <v>Jamie Silva</v>
      </c>
      <c r="P278" t="str">
        <f>_xlfn.XLOOKUP(Pipeline_tbl[[#This Row],[Rep_ID]],Dim_Reps!A:A,Dim_Reps!C:C)</f>
        <v>SDR / Inside Sales Rep</v>
      </c>
      <c r="Q278" t="str">
        <f>_xlfn.XLOOKUP(Pipeline_tbl[[#This Row],[Rep_ID]],Dim_Reps!A:A,Dim_Reps!D:D)</f>
        <v>Inside Sales</v>
      </c>
      <c r="R278" t="str">
        <f>_xlfn.XLOOKUP(Pipeline_tbl[[#This Row],[Rep_ID]],Dim_Reps!A:A,Dim_Reps!E:E)</f>
        <v>EMEA</v>
      </c>
      <c r="S278" t="str">
        <f>_xlfn.XLOOKUP(Pipeline_tbl[[#This Row],[Created_Date]],Dim_Date!A:A,Dim_Date!H:H)</f>
        <v>Sep 2025</v>
      </c>
      <c r="T278" t="str">
        <f>IF(Pipeline_tbl[[#This Row],[Closed_Date]]=0,"",(_xlfn.XLOOKUP(Pipeline_tbl[[#This Row],[Closed_Date]],Dim_Date!A:A,Dim_Date!H:H)))</f>
        <v>Sep 2025</v>
      </c>
      <c r="U278">
        <f>IF(Pipeline_tbl[[#This Row],[Closed_Date]]=0,"",Pipeline_tbl[[#This Row],[Closed_Date]]-Pipeline_tbl[[#This Row],[Created_Date]])</f>
        <v>23</v>
      </c>
    </row>
    <row r="279" spans="1:21" ht="15" customHeight="1" x14ac:dyDescent="0.2">
      <c r="A279" t="s">
        <v>585</v>
      </c>
      <c r="B279" t="s">
        <v>213</v>
      </c>
      <c r="C279" t="s">
        <v>52</v>
      </c>
      <c r="D279" s="49">
        <v>45903</v>
      </c>
      <c r="E279" s="49">
        <v>45905</v>
      </c>
      <c r="F279" s="49">
        <v>45910</v>
      </c>
      <c r="G279" s="49">
        <v>45917</v>
      </c>
      <c r="H279" s="49">
        <v>45923</v>
      </c>
      <c r="I279" s="49">
        <v>45926</v>
      </c>
      <c r="J279" t="s">
        <v>49</v>
      </c>
      <c r="K279" s="33">
        <v>3300</v>
      </c>
      <c r="L279" t="s">
        <v>61</v>
      </c>
      <c r="M279" t="str">
        <f>_xlfn.XLOOKUP(Pipeline_tbl[[#This Row],[Rep_ID]],Dim_Reps!A:A,Dim_Reps!K:K)</f>
        <v>EUR</v>
      </c>
      <c r="N279" s="33">
        <f>(_xlfn.XLOOKUP(Pipeline_tbl[[#This Row],[Rate_Code_Generalized]],Lookups!A:A,Lookups!B:B))*Pipeline_tbl[[#This Row],[Pipeline_Amount_USD]]</f>
        <v>3300</v>
      </c>
      <c r="O279" t="str">
        <f>_xlfn.XLOOKUP(Pipeline_tbl[[#This Row],[Rep_ID]],Dim_Reps!A:A,Dim_Reps!B:B)</f>
        <v>Jamie Silva</v>
      </c>
      <c r="P279" t="str">
        <f>_xlfn.XLOOKUP(Pipeline_tbl[[#This Row],[Rep_ID]],Dim_Reps!A:A,Dim_Reps!C:C)</f>
        <v>SDR / Inside Sales Rep</v>
      </c>
      <c r="Q279" t="str">
        <f>_xlfn.XLOOKUP(Pipeline_tbl[[#This Row],[Rep_ID]],Dim_Reps!A:A,Dim_Reps!D:D)</f>
        <v>Inside Sales</v>
      </c>
      <c r="R279" t="str">
        <f>_xlfn.XLOOKUP(Pipeline_tbl[[#This Row],[Rep_ID]],Dim_Reps!A:A,Dim_Reps!E:E)</f>
        <v>EMEA</v>
      </c>
      <c r="S279" t="str">
        <f>_xlfn.XLOOKUP(Pipeline_tbl[[#This Row],[Created_Date]],Dim_Date!A:A,Dim_Date!H:H)</f>
        <v>Sep 2025</v>
      </c>
      <c r="T279" t="str">
        <f>IF(Pipeline_tbl[[#This Row],[Closed_Date]]=0,"",(_xlfn.XLOOKUP(Pipeline_tbl[[#This Row],[Closed_Date]],Dim_Date!A:A,Dim_Date!H:H)))</f>
        <v>Sep 2025</v>
      </c>
      <c r="U279">
        <f>IF(Pipeline_tbl[[#This Row],[Closed_Date]]=0,"",Pipeline_tbl[[#This Row],[Closed_Date]]-Pipeline_tbl[[#This Row],[Created_Date]])</f>
        <v>23</v>
      </c>
    </row>
    <row r="280" spans="1:21" ht="15" customHeight="1" x14ac:dyDescent="0.2">
      <c r="A280" t="s">
        <v>586</v>
      </c>
      <c r="B280" t="s">
        <v>213</v>
      </c>
      <c r="C280" t="s">
        <v>52</v>
      </c>
      <c r="D280" s="49">
        <v>45912</v>
      </c>
      <c r="E280" s="49">
        <v>45913</v>
      </c>
      <c r="F280" s="49">
        <v>45916</v>
      </c>
      <c r="G280" s="49">
        <v>45919</v>
      </c>
      <c r="I280" s="49">
        <v>45924</v>
      </c>
      <c r="J280" t="s">
        <v>49</v>
      </c>
      <c r="K280" s="33">
        <v>7700</v>
      </c>
      <c r="L280" t="s">
        <v>61</v>
      </c>
      <c r="M280" t="str">
        <f>_xlfn.XLOOKUP(Pipeline_tbl[[#This Row],[Rep_ID]],Dim_Reps!A:A,Dim_Reps!K:K)</f>
        <v>EUR</v>
      </c>
      <c r="N280" s="33">
        <f>(_xlfn.XLOOKUP(Pipeline_tbl[[#This Row],[Rate_Code_Generalized]],Lookups!A:A,Lookups!B:B))*Pipeline_tbl[[#This Row],[Pipeline_Amount_USD]]</f>
        <v>7700</v>
      </c>
      <c r="O280" t="str">
        <f>_xlfn.XLOOKUP(Pipeline_tbl[[#This Row],[Rep_ID]],Dim_Reps!A:A,Dim_Reps!B:B)</f>
        <v>Jamie Silva</v>
      </c>
      <c r="P280" t="str">
        <f>_xlfn.XLOOKUP(Pipeline_tbl[[#This Row],[Rep_ID]],Dim_Reps!A:A,Dim_Reps!C:C)</f>
        <v>SDR / Inside Sales Rep</v>
      </c>
      <c r="Q280" t="str">
        <f>_xlfn.XLOOKUP(Pipeline_tbl[[#This Row],[Rep_ID]],Dim_Reps!A:A,Dim_Reps!D:D)</f>
        <v>Inside Sales</v>
      </c>
      <c r="R280" t="str">
        <f>_xlfn.XLOOKUP(Pipeline_tbl[[#This Row],[Rep_ID]],Dim_Reps!A:A,Dim_Reps!E:E)</f>
        <v>EMEA</v>
      </c>
      <c r="S280" t="str">
        <f>_xlfn.XLOOKUP(Pipeline_tbl[[#This Row],[Created_Date]],Dim_Date!A:A,Dim_Date!H:H)</f>
        <v>Sep 2025</v>
      </c>
      <c r="T280" t="str">
        <f>IF(Pipeline_tbl[[#This Row],[Closed_Date]]=0,"",(_xlfn.XLOOKUP(Pipeline_tbl[[#This Row],[Closed_Date]],Dim_Date!A:A,Dim_Date!H:H)))</f>
        <v>Sep 2025</v>
      </c>
      <c r="U280">
        <f>IF(Pipeline_tbl[[#This Row],[Closed_Date]]=0,"",Pipeline_tbl[[#This Row],[Closed_Date]]-Pipeline_tbl[[#This Row],[Created_Date]])</f>
        <v>12</v>
      </c>
    </row>
    <row r="281" spans="1:21" ht="15" customHeight="1" x14ac:dyDescent="0.2">
      <c r="A281" t="s">
        <v>587</v>
      </c>
      <c r="B281" t="s">
        <v>215</v>
      </c>
      <c r="C281" t="s">
        <v>54</v>
      </c>
      <c r="D281" s="49">
        <v>45917</v>
      </c>
      <c r="E281" s="49">
        <v>45918</v>
      </c>
      <c r="F281" s="49">
        <v>45920</v>
      </c>
      <c r="I281" s="49">
        <v>45928</v>
      </c>
      <c r="J281" t="s">
        <v>49</v>
      </c>
      <c r="K281" s="33">
        <v>6700</v>
      </c>
      <c r="L281" t="s">
        <v>63</v>
      </c>
      <c r="M281" t="str">
        <f>_xlfn.XLOOKUP(Pipeline_tbl[[#This Row],[Rep_ID]],Dim_Reps!A:A,Dim_Reps!K:K)</f>
        <v>EUR</v>
      </c>
      <c r="N281" s="33">
        <f>(_xlfn.XLOOKUP(Pipeline_tbl[[#This Row],[Rate_Code_Generalized]],Lookups!A:A,Lookups!B:B))*Pipeline_tbl[[#This Row],[Pipeline_Amount_USD]]</f>
        <v>6700</v>
      </c>
      <c r="O281" t="str">
        <f>_xlfn.XLOOKUP(Pipeline_tbl[[#This Row],[Rep_ID]],Dim_Reps!A:A,Dim_Reps!B:B)</f>
        <v>Jamie Schmidt</v>
      </c>
      <c r="P281" t="str">
        <f>_xlfn.XLOOKUP(Pipeline_tbl[[#This Row],[Rep_ID]],Dim_Reps!A:A,Dim_Reps!C:C)</f>
        <v>SDR / Inside Sales Rep</v>
      </c>
      <c r="Q281" t="str">
        <f>_xlfn.XLOOKUP(Pipeline_tbl[[#This Row],[Rep_ID]],Dim_Reps!A:A,Dim_Reps!D:D)</f>
        <v>Inside Sales</v>
      </c>
      <c r="R281" t="str">
        <f>_xlfn.XLOOKUP(Pipeline_tbl[[#This Row],[Rep_ID]],Dim_Reps!A:A,Dim_Reps!E:E)</f>
        <v>APAC</v>
      </c>
      <c r="S281" t="str">
        <f>_xlfn.XLOOKUP(Pipeline_tbl[[#This Row],[Created_Date]],Dim_Date!A:A,Dim_Date!H:H)</f>
        <v>Sep 2025</v>
      </c>
      <c r="T281" t="str">
        <f>IF(Pipeline_tbl[[#This Row],[Closed_Date]]=0,"",(_xlfn.XLOOKUP(Pipeline_tbl[[#This Row],[Closed_Date]],Dim_Date!A:A,Dim_Date!H:H)))</f>
        <v>Sep 2025</v>
      </c>
      <c r="U281">
        <f>IF(Pipeline_tbl[[#This Row],[Closed_Date]]=0,"",Pipeline_tbl[[#This Row],[Closed_Date]]-Pipeline_tbl[[#This Row],[Created_Date]])</f>
        <v>11</v>
      </c>
    </row>
    <row r="282" spans="1:21" ht="15" customHeight="1" x14ac:dyDescent="0.2">
      <c r="A282" t="s">
        <v>588</v>
      </c>
      <c r="B282" t="s">
        <v>215</v>
      </c>
      <c r="C282" t="s">
        <v>53</v>
      </c>
      <c r="D282" s="49">
        <v>45904</v>
      </c>
      <c r="E282" s="49">
        <v>45906</v>
      </c>
      <c r="F282" s="49">
        <v>45911</v>
      </c>
      <c r="G282" s="49">
        <v>45918</v>
      </c>
      <c r="H282" s="49">
        <v>45924</v>
      </c>
      <c r="I282" s="49">
        <v>45928</v>
      </c>
      <c r="J282" t="s">
        <v>47</v>
      </c>
      <c r="K282" s="33">
        <v>2400</v>
      </c>
      <c r="M282" t="str">
        <f>_xlfn.XLOOKUP(Pipeline_tbl[[#This Row],[Rep_ID]],Dim_Reps!A:A,Dim_Reps!K:K)</f>
        <v>EUR</v>
      </c>
      <c r="N282" s="33">
        <f>(_xlfn.XLOOKUP(Pipeline_tbl[[#This Row],[Rate_Code_Generalized]],Lookups!A:A,Lookups!B:B))*Pipeline_tbl[[#This Row],[Pipeline_Amount_USD]]</f>
        <v>2400</v>
      </c>
      <c r="O282" t="str">
        <f>_xlfn.XLOOKUP(Pipeline_tbl[[#This Row],[Rep_ID]],Dim_Reps!A:A,Dim_Reps!B:B)</f>
        <v>Jamie Schmidt</v>
      </c>
      <c r="P282" t="str">
        <f>_xlfn.XLOOKUP(Pipeline_tbl[[#This Row],[Rep_ID]],Dim_Reps!A:A,Dim_Reps!C:C)</f>
        <v>SDR / Inside Sales Rep</v>
      </c>
      <c r="Q282" t="str">
        <f>_xlfn.XLOOKUP(Pipeline_tbl[[#This Row],[Rep_ID]],Dim_Reps!A:A,Dim_Reps!D:D)</f>
        <v>Inside Sales</v>
      </c>
      <c r="R282" t="str">
        <f>_xlfn.XLOOKUP(Pipeline_tbl[[#This Row],[Rep_ID]],Dim_Reps!A:A,Dim_Reps!E:E)</f>
        <v>APAC</v>
      </c>
      <c r="S282" t="str">
        <f>_xlfn.XLOOKUP(Pipeline_tbl[[#This Row],[Created_Date]],Dim_Date!A:A,Dim_Date!H:H)</f>
        <v>Sep 2025</v>
      </c>
      <c r="T282" t="str">
        <f>IF(Pipeline_tbl[[#This Row],[Closed_Date]]=0,"",(_xlfn.XLOOKUP(Pipeline_tbl[[#This Row],[Closed_Date]],Dim_Date!A:A,Dim_Date!H:H)))</f>
        <v>Sep 2025</v>
      </c>
      <c r="U282">
        <f>IF(Pipeline_tbl[[#This Row],[Closed_Date]]=0,"",Pipeline_tbl[[#This Row],[Closed_Date]]-Pipeline_tbl[[#This Row],[Created_Date]])</f>
        <v>24</v>
      </c>
    </row>
    <row r="283" spans="1:21" ht="15" customHeight="1" x14ac:dyDescent="0.2">
      <c r="A283" t="s">
        <v>589</v>
      </c>
      <c r="B283" t="s">
        <v>215</v>
      </c>
      <c r="C283" t="s">
        <v>54</v>
      </c>
      <c r="D283" s="49">
        <v>45911</v>
      </c>
      <c r="E283" s="49">
        <v>45913</v>
      </c>
      <c r="F283" s="49">
        <v>45916</v>
      </c>
      <c r="G283" s="49">
        <v>45920</v>
      </c>
      <c r="H283" s="49">
        <v>45924</v>
      </c>
      <c r="I283" s="49">
        <v>45926</v>
      </c>
      <c r="J283" t="s">
        <v>47</v>
      </c>
      <c r="K283" s="33">
        <v>2400</v>
      </c>
      <c r="M283" t="str">
        <f>_xlfn.XLOOKUP(Pipeline_tbl[[#This Row],[Rep_ID]],Dim_Reps!A:A,Dim_Reps!K:K)</f>
        <v>EUR</v>
      </c>
      <c r="N283" s="33">
        <f>(_xlfn.XLOOKUP(Pipeline_tbl[[#This Row],[Rate_Code_Generalized]],Lookups!A:A,Lookups!B:B))*Pipeline_tbl[[#This Row],[Pipeline_Amount_USD]]</f>
        <v>2400</v>
      </c>
      <c r="O283" t="str">
        <f>_xlfn.XLOOKUP(Pipeline_tbl[[#This Row],[Rep_ID]],Dim_Reps!A:A,Dim_Reps!B:B)</f>
        <v>Jamie Schmidt</v>
      </c>
      <c r="P283" t="str">
        <f>_xlfn.XLOOKUP(Pipeline_tbl[[#This Row],[Rep_ID]],Dim_Reps!A:A,Dim_Reps!C:C)</f>
        <v>SDR / Inside Sales Rep</v>
      </c>
      <c r="Q283" t="str">
        <f>_xlfn.XLOOKUP(Pipeline_tbl[[#This Row],[Rep_ID]],Dim_Reps!A:A,Dim_Reps!D:D)</f>
        <v>Inside Sales</v>
      </c>
      <c r="R283" t="str">
        <f>_xlfn.XLOOKUP(Pipeline_tbl[[#This Row],[Rep_ID]],Dim_Reps!A:A,Dim_Reps!E:E)</f>
        <v>APAC</v>
      </c>
      <c r="S283" t="str">
        <f>_xlfn.XLOOKUP(Pipeline_tbl[[#This Row],[Created_Date]],Dim_Date!A:A,Dim_Date!H:H)</f>
        <v>Sep 2025</v>
      </c>
      <c r="T283" t="str">
        <f>IF(Pipeline_tbl[[#This Row],[Closed_Date]]=0,"",(_xlfn.XLOOKUP(Pipeline_tbl[[#This Row],[Closed_Date]],Dim_Date!A:A,Dim_Date!H:H)))</f>
        <v>Sep 2025</v>
      </c>
      <c r="U283">
        <f>IF(Pipeline_tbl[[#This Row],[Closed_Date]]=0,"",Pipeline_tbl[[#This Row],[Closed_Date]]-Pipeline_tbl[[#This Row],[Created_Date]])</f>
        <v>15</v>
      </c>
    </row>
    <row r="284" spans="1:21" ht="15" customHeight="1" x14ac:dyDescent="0.2">
      <c r="A284" t="s">
        <v>590</v>
      </c>
      <c r="B284" t="s">
        <v>215</v>
      </c>
      <c r="C284" t="s">
        <v>52</v>
      </c>
      <c r="D284" s="49">
        <v>45915</v>
      </c>
      <c r="E284" s="49">
        <v>45916</v>
      </c>
      <c r="F284" s="49">
        <v>45918</v>
      </c>
      <c r="G284" s="49">
        <v>45922</v>
      </c>
      <c r="H284" s="49">
        <v>45924</v>
      </c>
      <c r="I284" s="49">
        <v>45926</v>
      </c>
      <c r="J284" t="s">
        <v>47</v>
      </c>
      <c r="K284" s="33">
        <v>5400</v>
      </c>
      <c r="M284" t="str">
        <f>_xlfn.XLOOKUP(Pipeline_tbl[[#This Row],[Rep_ID]],Dim_Reps!A:A,Dim_Reps!K:K)</f>
        <v>EUR</v>
      </c>
      <c r="N284" s="33">
        <f>(_xlfn.XLOOKUP(Pipeline_tbl[[#This Row],[Rate_Code_Generalized]],Lookups!A:A,Lookups!B:B))*Pipeline_tbl[[#This Row],[Pipeline_Amount_USD]]</f>
        <v>5400</v>
      </c>
      <c r="O284" t="str">
        <f>_xlfn.XLOOKUP(Pipeline_tbl[[#This Row],[Rep_ID]],Dim_Reps!A:A,Dim_Reps!B:B)</f>
        <v>Jamie Schmidt</v>
      </c>
      <c r="P284" t="str">
        <f>_xlfn.XLOOKUP(Pipeline_tbl[[#This Row],[Rep_ID]],Dim_Reps!A:A,Dim_Reps!C:C)</f>
        <v>SDR / Inside Sales Rep</v>
      </c>
      <c r="Q284" t="str">
        <f>_xlfn.XLOOKUP(Pipeline_tbl[[#This Row],[Rep_ID]],Dim_Reps!A:A,Dim_Reps!D:D)</f>
        <v>Inside Sales</v>
      </c>
      <c r="R284" t="str">
        <f>_xlfn.XLOOKUP(Pipeline_tbl[[#This Row],[Rep_ID]],Dim_Reps!A:A,Dim_Reps!E:E)</f>
        <v>APAC</v>
      </c>
      <c r="S284" t="str">
        <f>_xlfn.XLOOKUP(Pipeline_tbl[[#This Row],[Created_Date]],Dim_Date!A:A,Dim_Date!H:H)</f>
        <v>Sep 2025</v>
      </c>
      <c r="T284" t="str">
        <f>IF(Pipeline_tbl[[#This Row],[Closed_Date]]=0,"",(_xlfn.XLOOKUP(Pipeline_tbl[[#This Row],[Closed_Date]],Dim_Date!A:A,Dim_Date!H:H)))</f>
        <v>Sep 2025</v>
      </c>
      <c r="U284">
        <f>IF(Pipeline_tbl[[#This Row],[Closed_Date]]=0,"",Pipeline_tbl[[#This Row],[Closed_Date]]-Pipeline_tbl[[#This Row],[Created_Date]])</f>
        <v>11</v>
      </c>
    </row>
    <row r="285" spans="1:21" ht="15" customHeight="1" x14ac:dyDescent="0.2">
      <c r="A285" t="s">
        <v>591</v>
      </c>
      <c r="B285" t="s">
        <v>217</v>
      </c>
      <c r="C285" t="s">
        <v>53</v>
      </c>
      <c r="D285" s="49">
        <v>45910</v>
      </c>
      <c r="E285" s="49">
        <v>45912</v>
      </c>
      <c r="F285" s="49">
        <v>45916</v>
      </c>
      <c r="G285" s="49">
        <v>45921</v>
      </c>
      <c r="H285" s="49">
        <v>45926</v>
      </c>
      <c r="I285" s="49">
        <v>45929</v>
      </c>
      <c r="J285" t="s">
        <v>47</v>
      </c>
      <c r="K285" s="33">
        <v>3400</v>
      </c>
      <c r="M285" t="str">
        <f>_xlfn.XLOOKUP(Pipeline_tbl[[#This Row],[Rep_ID]],Dim_Reps!A:A,Dim_Reps!K:K)</f>
        <v>USD</v>
      </c>
      <c r="N285" s="33">
        <f>(_xlfn.XLOOKUP(Pipeline_tbl[[#This Row],[Rate_Code_Generalized]],Lookups!A:A,Lookups!B:B))*Pipeline_tbl[[#This Row],[Pipeline_Amount_USD]]</f>
        <v>3958.6199999999994</v>
      </c>
      <c r="O285" t="str">
        <f>_xlfn.XLOOKUP(Pipeline_tbl[[#This Row],[Rep_ID]],Dim_Reps!A:A,Dim_Reps!B:B)</f>
        <v>Priya Weber</v>
      </c>
      <c r="P285" t="str">
        <f>_xlfn.XLOOKUP(Pipeline_tbl[[#This Row],[Rep_ID]],Dim_Reps!A:A,Dim_Reps!C:C)</f>
        <v>SDR / Inside Sales Rep</v>
      </c>
      <c r="Q285" t="str">
        <f>_xlfn.XLOOKUP(Pipeline_tbl[[#This Row],[Rep_ID]],Dim_Reps!A:A,Dim_Reps!D:D)</f>
        <v>Inside Sales</v>
      </c>
      <c r="R285" t="str">
        <f>_xlfn.XLOOKUP(Pipeline_tbl[[#This Row],[Rep_ID]],Dim_Reps!A:A,Dim_Reps!E:E)</f>
        <v>NAMER</v>
      </c>
      <c r="S285" t="str">
        <f>_xlfn.XLOOKUP(Pipeline_tbl[[#This Row],[Created_Date]],Dim_Date!A:A,Dim_Date!H:H)</f>
        <v>Sep 2025</v>
      </c>
      <c r="T285" t="str">
        <f>IF(Pipeline_tbl[[#This Row],[Closed_Date]]=0,"",(_xlfn.XLOOKUP(Pipeline_tbl[[#This Row],[Closed_Date]],Dim_Date!A:A,Dim_Date!H:H)))</f>
        <v>Sep 2025</v>
      </c>
      <c r="U285">
        <f>IF(Pipeline_tbl[[#This Row],[Closed_Date]]=0,"",Pipeline_tbl[[#This Row],[Closed_Date]]-Pipeline_tbl[[#This Row],[Created_Date]])</f>
        <v>19</v>
      </c>
    </row>
    <row r="286" spans="1:21" ht="15" customHeight="1" x14ac:dyDescent="0.2">
      <c r="A286" t="s">
        <v>592</v>
      </c>
      <c r="B286" t="s">
        <v>217</v>
      </c>
      <c r="C286" t="s">
        <v>52</v>
      </c>
      <c r="D286" s="49">
        <v>45910</v>
      </c>
      <c r="E286" s="49">
        <v>45911</v>
      </c>
      <c r="F286" s="49">
        <v>45913</v>
      </c>
      <c r="G286" s="49">
        <v>45916</v>
      </c>
      <c r="H286" s="49">
        <v>45918</v>
      </c>
      <c r="I286" s="49">
        <v>45920</v>
      </c>
      <c r="J286" t="s">
        <v>47</v>
      </c>
      <c r="K286" s="33">
        <v>2100</v>
      </c>
      <c r="M286" t="str">
        <f>_xlfn.XLOOKUP(Pipeline_tbl[[#This Row],[Rep_ID]],Dim_Reps!A:A,Dim_Reps!K:K)</f>
        <v>USD</v>
      </c>
      <c r="N286" s="33">
        <f>(_xlfn.XLOOKUP(Pipeline_tbl[[#This Row],[Rate_Code_Generalized]],Lookups!A:A,Lookups!B:B))*Pipeline_tbl[[#This Row],[Pipeline_Amount_USD]]</f>
        <v>2445.0299999999997</v>
      </c>
      <c r="O286" t="str">
        <f>_xlfn.XLOOKUP(Pipeline_tbl[[#This Row],[Rep_ID]],Dim_Reps!A:A,Dim_Reps!B:B)</f>
        <v>Priya Weber</v>
      </c>
      <c r="P286" t="str">
        <f>_xlfn.XLOOKUP(Pipeline_tbl[[#This Row],[Rep_ID]],Dim_Reps!A:A,Dim_Reps!C:C)</f>
        <v>SDR / Inside Sales Rep</v>
      </c>
      <c r="Q286" t="str">
        <f>_xlfn.XLOOKUP(Pipeline_tbl[[#This Row],[Rep_ID]],Dim_Reps!A:A,Dim_Reps!D:D)</f>
        <v>Inside Sales</v>
      </c>
      <c r="R286" t="str">
        <f>_xlfn.XLOOKUP(Pipeline_tbl[[#This Row],[Rep_ID]],Dim_Reps!A:A,Dim_Reps!E:E)</f>
        <v>NAMER</v>
      </c>
      <c r="S286" t="str">
        <f>_xlfn.XLOOKUP(Pipeline_tbl[[#This Row],[Created_Date]],Dim_Date!A:A,Dim_Date!H:H)</f>
        <v>Sep 2025</v>
      </c>
      <c r="T286" t="str">
        <f>IF(Pipeline_tbl[[#This Row],[Closed_Date]]=0,"",(_xlfn.XLOOKUP(Pipeline_tbl[[#This Row],[Closed_Date]],Dim_Date!A:A,Dim_Date!H:H)))</f>
        <v>Sep 2025</v>
      </c>
      <c r="U286">
        <f>IF(Pipeline_tbl[[#This Row],[Closed_Date]]=0,"",Pipeline_tbl[[#This Row],[Closed_Date]]-Pipeline_tbl[[#This Row],[Created_Date]])</f>
        <v>10</v>
      </c>
    </row>
    <row r="287" spans="1:21" ht="15" customHeight="1" x14ac:dyDescent="0.2">
      <c r="A287" t="s">
        <v>593</v>
      </c>
      <c r="B287" t="s">
        <v>219</v>
      </c>
      <c r="C287" t="s">
        <v>53</v>
      </c>
      <c r="D287" s="49">
        <v>45919</v>
      </c>
      <c r="E287" s="49">
        <v>45920</v>
      </c>
      <c r="F287" s="49">
        <v>45922</v>
      </c>
      <c r="G287" s="49">
        <v>45924</v>
      </c>
      <c r="I287" s="49">
        <v>45928</v>
      </c>
      <c r="J287" t="s">
        <v>49</v>
      </c>
      <c r="K287" s="33">
        <v>7700</v>
      </c>
      <c r="L287" t="s">
        <v>60</v>
      </c>
      <c r="M287" t="str">
        <f>_xlfn.XLOOKUP(Pipeline_tbl[[#This Row],[Rep_ID]],Dim_Reps!A:A,Dim_Reps!K:K)</f>
        <v>EUR</v>
      </c>
      <c r="N287" s="33">
        <f>(_xlfn.XLOOKUP(Pipeline_tbl[[#This Row],[Rate_Code_Generalized]],Lookups!A:A,Lookups!B:B))*Pipeline_tbl[[#This Row],[Pipeline_Amount_USD]]</f>
        <v>7700</v>
      </c>
      <c r="O287" t="str">
        <f>_xlfn.XLOOKUP(Pipeline_tbl[[#This Row],[Rep_ID]],Dim_Reps!A:A,Dim_Reps!B:B)</f>
        <v>Riley Duarte</v>
      </c>
      <c r="P287" t="str">
        <f>_xlfn.XLOOKUP(Pipeline_tbl[[#This Row],[Rep_ID]],Dim_Reps!A:A,Dim_Reps!C:C)</f>
        <v>SDR / Inside Sales Rep</v>
      </c>
      <c r="Q287" t="str">
        <f>_xlfn.XLOOKUP(Pipeline_tbl[[#This Row],[Rep_ID]],Dim_Reps!A:A,Dim_Reps!D:D)</f>
        <v>Inside Sales</v>
      </c>
      <c r="R287" t="str">
        <f>_xlfn.XLOOKUP(Pipeline_tbl[[#This Row],[Rep_ID]],Dim_Reps!A:A,Dim_Reps!E:E)</f>
        <v>APAC</v>
      </c>
      <c r="S287" t="str">
        <f>_xlfn.XLOOKUP(Pipeline_tbl[[#This Row],[Created_Date]],Dim_Date!A:A,Dim_Date!H:H)</f>
        <v>Sep 2025</v>
      </c>
      <c r="T287" t="str">
        <f>IF(Pipeline_tbl[[#This Row],[Closed_Date]]=0,"",(_xlfn.XLOOKUP(Pipeline_tbl[[#This Row],[Closed_Date]],Dim_Date!A:A,Dim_Date!H:H)))</f>
        <v>Sep 2025</v>
      </c>
      <c r="U287">
        <f>IF(Pipeline_tbl[[#This Row],[Closed_Date]]=0,"",Pipeline_tbl[[#This Row],[Closed_Date]]-Pipeline_tbl[[#This Row],[Created_Date]])</f>
        <v>9</v>
      </c>
    </row>
    <row r="288" spans="1:21" ht="15" customHeight="1" x14ac:dyDescent="0.2">
      <c r="A288" t="s">
        <v>594</v>
      </c>
      <c r="B288" t="s">
        <v>255</v>
      </c>
      <c r="C288" t="s">
        <v>52</v>
      </c>
      <c r="D288" s="49">
        <v>45910</v>
      </c>
      <c r="E288" s="49">
        <v>45912</v>
      </c>
      <c r="F288" s="49">
        <v>45915</v>
      </c>
      <c r="G288" s="49">
        <v>45921</v>
      </c>
      <c r="H288" s="49">
        <v>45925</v>
      </c>
      <c r="I288" s="49">
        <v>45928</v>
      </c>
      <c r="J288" t="s">
        <v>49</v>
      </c>
      <c r="K288" s="33">
        <v>9600</v>
      </c>
      <c r="L288" t="s">
        <v>62</v>
      </c>
      <c r="M288" t="str">
        <f>_xlfn.XLOOKUP(Pipeline_tbl[[#This Row],[Rep_ID]],Dim_Reps!A:A,Dim_Reps!K:K)</f>
        <v>USD</v>
      </c>
      <c r="N288" s="33">
        <f>(_xlfn.XLOOKUP(Pipeline_tbl[[#This Row],[Rate_Code_Generalized]],Lookups!A:A,Lookups!B:B))*Pipeline_tbl[[#This Row],[Pipeline_Amount_USD]]</f>
        <v>11177.279999999999</v>
      </c>
      <c r="O288" t="str">
        <f>_xlfn.XLOOKUP(Pipeline_tbl[[#This Row],[Rep_ID]],Dim_Reps!A:A,Dim_Reps!B:B)</f>
        <v>Erik Kim</v>
      </c>
      <c r="P288" t="str">
        <f>_xlfn.XLOOKUP(Pipeline_tbl[[#This Row],[Rep_ID]],Dim_Reps!A:A,Dim_Reps!C:C)</f>
        <v>Mid-Market AE</v>
      </c>
      <c r="Q288" t="str">
        <f>_xlfn.XLOOKUP(Pipeline_tbl[[#This Row],[Rep_ID]],Dim_Reps!A:A,Dim_Reps!D:D)</f>
        <v>Mid-Market</v>
      </c>
      <c r="R288" t="str">
        <f>_xlfn.XLOOKUP(Pipeline_tbl[[#This Row],[Rep_ID]],Dim_Reps!A:A,Dim_Reps!E:E)</f>
        <v>NAMER</v>
      </c>
      <c r="S288" t="str">
        <f>_xlfn.XLOOKUP(Pipeline_tbl[[#This Row],[Created_Date]],Dim_Date!A:A,Dim_Date!H:H)</f>
        <v>Sep 2025</v>
      </c>
      <c r="T288" t="str">
        <f>IF(Pipeline_tbl[[#This Row],[Closed_Date]]=0,"",(_xlfn.XLOOKUP(Pipeline_tbl[[#This Row],[Closed_Date]],Dim_Date!A:A,Dim_Date!H:H)))</f>
        <v>Sep 2025</v>
      </c>
      <c r="U288">
        <f>IF(Pipeline_tbl[[#This Row],[Closed_Date]]=0,"",Pipeline_tbl[[#This Row],[Closed_Date]]-Pipeline_tbl[[#This Row],[Created_Date]])</f>
        <v>18</v>
      </c>
    </row>
    <row r="289" spans="1:21" ht="15" customHeight="1" x14ac:dyDescent="0.2">
      <c r="A289" t="s">
        <v>595</v>
      </c>
      <c r="B289" t="s">
        <v>221</v>
      </c>
      <c r="C289" t="s">
        <v>54</v>
      </c>
      <c r="D289" s="49">
        <v>45902</v>
      </c>
      <c r="E289" s="49">
        <v>45904</v>
      </c>
      <c r="F289" s="49">
        <v>45908</v>
      </c>
      <c r="G289" s="49">
        <v>45914</v>
      </c>
      <c r="I289" s="49">
        <v>45922</v>
      </c>
      <c r="J289" t="s">
        <v>49</v>
      </c>
      <c r="K289" s="33">
        <v>2600</v>
      </c>
      <c r="L289" t="s">
        <v>64</v>
      </c>
      <c r="M289" t="str">
        <f>_xlfn.XLOOKUP(Pipeline_tbl[[#This Row],[Rep_ID]],Dim_Reps!A:A,Dim_Reps!K:K)</f>
        <v>MXN</v>
      </c>
      <c r="N289" s="33">
        <f>(_xlfn.XLOOKUP(Pipeline_tbl[[#This Row],[Rate_Code_Generalized]],Lookups!A:A,Lookups!B:B))*Pipeline_tbl[[#This Row],[Pipeline_Amount_USD]]</f>
        <v>51305.020000000004</v>
      </c>
      <c r="O289" t="str">
        <f>_xlfn.XLOOKUP(Pipeline_tbl[[#This Row],[Rep_ID]],Dim_Reps!A:A,Dim_Reps!B:B)</f>
        <v>Casey Muller</v>
      </c>
      <c r="P289" t="str">
        <f>_xlfn.XLOOKUP(Pipeline_tbl[[#This Row],[Rep_ID]],Dim_Reps!A:A,Dim_Reps!C:C)</f>
        <v>SDR / Inside Sales Rep</v>
      </c>
      <c r="Q289" t="str">
        <f>_xlfn.XLOOKUP(Pipeline_tbl[[#This Row],[Rep_ID]],Dim_Reps!A:A,Dim_Reps!D:D)</f>
        <v>Inside Sales</v>
      </c>
      <c r="R289" t="str">
        <f>_xlfn.XLOOKUP(Pipeline_tbl[[#This Row],[Rep_ID]],Dim_Reps!A:A,Dim_Reps!E:E)</f>
        <v>LATAM</v>
      </c>
      <c r="S289" t="str">
        <f>_xlfn.XLOOKUP(Pipeline_tbl[[#This Row],[Created_Date]],Dim_Date!A:A,Dim_Date!H:H)</f>
        <v>Sep 2025</v>
      </c>
      <c r="T289" t="str">
        <f>IF(Pipeline_tbl[[#This Row],[Closed_Date]]=0,"",(_xlfn.XLOOKUP(Pipeline_tbl[[#This Row],[Closed_Date]],Dim_Date!A:A,Dim_Date!H:H)))</f>
        <v>Sep 2025</v>
      </c>
      <c r="U289">
        <f>IF(Pipeline_tbl[[#This Row],[Closed_Date]]=0,"",Pipeline_tbl[[#This Row],[Closed_Date]]-Pipeline_tbl[[#This Row],[Created_Date]])</f>
        <v>20</v>
      </c>
    </row>
    <row r="290" spans="1:21" ht="15" customHeight="1" x14ac:dyDescent="0.2">
      <c r="A290" t="s">
        <v>596</v>
      </c>
      <c r="B290" t="s">
        <v>221</v>
      </c>
      <c r="C290" t="s">
        <v>55</v>
      </c>
      <c r="D290" s="49">
        <v>45919</v>
      </c>
      <c r="E290" s="49">
        <v>45920</v>
      </c>
      <c r="F290" s="49">
        <v>45922</v>
      </c>
      <c r="G290" s="49">
        <v>45924</v>
      </c>
      <c r="H290" s="49">
        <v>45927</v>
      </c>
      <c r="I290" s="49">
        <v>45928</v>
      </c>
      <c r="J290" t="s">
        <v>49</v>
      </c>
      <c r="K290" s="33">
        <v>3200</v>
      </c>
      <c r="L290" t="s">
        <v>63</v>
      </c>
      <c r="M290" t="str">
        <f>_xlfn.XLOOKUP(Pipeline_tbl[[#This Row],[Rep_ID]],Dim_Reps!A:A,Dim_Reps!K:K)</f>
        <v>MXN</v>
      </c>
      <c r="N290" s="33">
        <f>(_xlfn.XLOOKUP(Pipeline_tbl[[#This Row],[Rate_Code_Generalized]],Lookups!A:A,Lookups!B:B))*Pipeline_tbl[[#This Row],[Pipeline_Amount_USD]]</f>
        <v>63144.640000000007</v>
      </c>
      <c r="O290" t="str">
        <f>_xlfn.XLOOKUP(Pipeline_tbl[[#This Row],[Rep_ID]],Dim_Reps!A:A,Dim_Reps!B:B)</f>
        <v>Casey Muller</v>
      </c>
      <c r="P290" t="str">
        <f>_xlfn.XLOOKUP(Pipeline_tbl[[#This Row],[Rep_ID]],Dim_Reps!A:A,Dim_Reps!C:C)</f>
        <v>SDR / Inside Sales Rep</v>
      </c>
      <c r="Q290" t="str">
        <f>_xlfn.XLOOKUP(Pipeline_tbl[[#This Row],[Rep_ID]],Dim_Reps!A:A,Dim_Reps!D:D)</f>
        <v>Inside Sales</v>
      </c>
      <c r="R290" t="str">
        <f>_xlfn.XLOOKUP(Pipeline_tbl[[#This Row],[Rep_ID]],Dim_Reps!A:A,Dim_Reps!E:E)</f>
        <v>LATAM</v>
      </c>
      <c r="S290" t="str">
        <f>_xlfn.XLOOKUP(Pipeline_tbl[[#This Row],[Created_Date]],Dim_Date!A:A,Dim_Date!H:H)</f>
        <v>Sep 2025</v>
      </c>
      <c r="T290" t="str">
        <f>IF(Pipeline_tbl[[#This Row],[Closed_Date]]=0,"",(_xlfn.XLOOKUP(Pipeline_tbl[[#This Row],[Closed_Date]],Dim_Date!A:A,Dim_Date!H:H)))</f>
        <v>Sep 2025</v>
      </c>
      <c r="U290">
        <f>IF(Pipeline_tbl[[#This Row],[Closed_Date]]=0,"",Pipeline_tbl[[#This Row],[Closed_Date]]-Pipeline_tbl[[#This Row],[Created_Date]])</f>
        <v>9</v>
      </c>
    </row>
    <row r="291" spans="1:21" ht="15" customHeight="1" x14ac:dyDescent="0.2">
      <c r="A291" t="s">
        <v>597</v>
      </c>
      <c r="B291" t="s">
        <v>221</v>
      </c>
      <c r="C291" t="s">
        <v>53</v>
      </c>
      <c r="D291" s="49">
        <v>45916</v>
      </c>
      <c r="E291" s="49">
        <v>45917</v>
      </c>
      <c r="F291" s="49">
        <v>45919</v>
      </c>
      <c r="G291" s="49">
        <v>45921</v>
      </c>
      <c r="H291" s="49">
        <v>45924</v>
      </c>
      <c r="I291" s="49">
        <v>45925</v>
      </c>
      <c r="J291" t="s">
        <v>47</v>
      </c>
      <c r="K291" s="33">
        <v>3600</v>
      </c>
      <c r="M291" t="str">
        <f>_xlfn.XLOOKUP(Pipeline_tbl[[#This Row],[Rep_ID]],Dim_Reps!A:A,Dim_Reps!K:K)</f>
        <v>MXN</v>
      </c>
      <c r="N291" s="33">
        <f>(_xlfn.XLOOKUP(Pipeline_tbl[[#This Row],[Rate_Code_Generalized]],Lookups!A:A,Lookups!B:B))*Pipeline_tbl[[#This Row],[Pipeline_Amount_USD]]</f>
        <v>71037.72</v>
      </c>
      <c r="O291" t="str">
        <f>_xlfn.XLOOKUP(Pipeline_tbl[[#This Row],[Rep_ID]],Dim_Reps!A:A,Dim_Reps!B:B)</f>
        <v>Casey Muller</v>
      </c>
      <c r="P291" t="str">
        <f>_xlfn.XLOOKUP(Pipeline_tbl[[#This Row],[Rep_ID]],Dim_Reps!A:A,Dim_Reps!C:C)</f>
        <v>SDR / Inside Sales Rep</v>
      </c>
      <c r="Q291" t="str">
        <f>_xlfn.XLOOKUP(Pipeline_tbl[[#This Row],[Rep_ID]],Dim_Reps!A:A,Dim_Reps!D:D)</f>
        <v>Inside Sales</v>
      </c>
      <c r="R291" t="str">
        <f>_xlfn.XLOOKUP(Pipeline_tbl[[#This Row],[Rep_ID]],Dim_Reps!A:A,Dim_Reps!E:E)</f>
        <v>LATAM</v>
      </c>
      <c r="S291" t="str">
        <f>_xlfn.XLOOKUP(Pipeline_tbl[[#This Row],[Created_Date]],Dim_Date!A:A,Dim_Date!H:H)</f>
        <v>Sep 2025</v>
      </c>
      <c r="T291" t="str">
        <f>IF(Pipeline_tbl[[#This Row],[Closed_Date]]=0,"",(_xlfn.XLOOKUP(Pipeline_tbl[[#This Row],[Closed_Date]],Dim_Date!A:A,Dim_Date!H:H)))</f>
        <v>Sep 2025</v>
      </c>
      <c r="U291">
        <f>IF(Pipeline_tbl[[#This Row],[Closed_Date]]=0,"",Pipeline_tbl[[#This Row],[Closed_Date]]-Pipeline_tbl[[#This Row],[Created_Date]])</f>
        <v>9</v>
      </c>
    </row>
    <row r="292" spans="1:21" ht="15" customHeight="1" x14ac:dyDescent="0.2">
      <c r="A292" t="s">
        <v>598</v>
      </c>
      <c r="B292" t="s">
        <v>257</v>
      </c>
      <c r="C292" t="s">
        <v>52</v>
      </c>
      <c r="D292" s="49">
        <v>45903</v>
      </c>
      <c r="E292" s="49">
        <v>45905</v>
      </c>
      <c r="F292" s="49">
        <v>45911</v>
      </c>
      <c r="G292" s="49">
        <v>45918</v>
      </c>
      <c r="I292" s="49">
        <v>45928</v>
      </c>
      <c r="J292" t="s">
        <v>49</v>
      </c>
      <c r="K292" s="33">
        <v>5600</v>
      </c>
      <c r="L292" t="s">
        <v>61</v>
      </c>
      <c r="M292" t="str">
        <f>_xlfn.XLOOKUP(Pipeline_tbl[[#This Row],[Rep_ID]],Dim_Reps!A:A,Dim_Reps!K:K)</f>
        <v>EUR</v>
      </c>
      <c r="N292" s="33">
        <f>(_xlfn.XLOOKUP(Pipeline_tbl[[#This Row],[Rate_Code_Generalized]],Lookups!A:A,Lookups!B:B))*Pipeline_tbl[[#This Row],[Pipeline_Amount_USD]]</f>
        <v>5600</v>
      </c>
      <c r="O292" t="str">
        <f>_xlfn.XLOOKUP(Pipeline_tbl[[#This Row],[Rep_ID]],Dim_Reps!A:A,Dim_Reps!B:B)</f>
        <v>Ana Kim</v>
      </c>
      <c r="P292" t="str">
        <f>_xlfn.XLOOKUP(Pipeline_tbl[[#This Row],[Rep_ID]],Dim_Reps!A:A,Dim_Reps!C:C)</f>
        <v>Mid-Market AE</v>
      </c>
      <c r="Q292" t="str">
        <f>_xlfn.XLOOKUP(Pipeline_tbl[[#This Row],[Rep_ID]],Dim_Reps!A:A,Dim_Reps!D:D)</f>
        <v>Mid-Market</v>
      </c>
      <c r="R292" t="str">
        <f>_xlfn.XLOOKUP(Pipeline_tbl[[#This Row],[Rep_ID]],Dim_Reps!A:A,Dim_Reps!E:E)</f>
        <v>APAC</v>
      </c>
      <c r="S292" t="str">
        <f>_xlfn.XLOOKUP(Pipeline_tbl[[#This Row],[Created_Date]],Dim_Date!A:A,Dim_Date!H:H)</f>
        <v>Sep 2025</v>
      </c>
      <c r="T292" t="str">
        <f>IF(Pipeline_tbl[[#This Row],[Closed_Date]]=0,"",(_xlfn.XLOOKUP(Pipeline_tbl[[#This Row],[Closed_Date]],Dim_Date!A:A,Dim_Date!H:H)))</f>
        <v>Sep 2025</v>
      </c>
      <c r="U292">
        <f>IF(Pipeline_tbl[[#This Row],[Closed_Date]]=0,"",Pipeline_tbl[[#This Row],[Closed_Date]]-Pipeline_tbl[[#This Row],[Created_Date]])</f>
        <v>25</v>
      </c>
    </row>
    <row r="293" spans="1:21" ht="15" customHeight="1" x14ac:dyDescent="0.2">
      <c r="A293" t="s">
        <v>599</v>
      </c>
      <c r="B293" t="s">
        <v>223</v>
      </c>
      <c r="C293" t="s">
        <v>55</v>
      </c>
      <c r="D293" s="49">
        <v>45902</v>
      </c>
      <c r="E293" s="49">
        <v>45903</v>
      </c>
      <c r="F293" s="49">
        <v>45906</v>
      </c>
      <c r="G293" s="49">
        <v>45910</v>
      </c>
      <c r="H293" s="49">
        <v>45913</v>
      </c>
      <c r="I293" s="49">
        <v>45915</v>
      </c>
      <c r="J293" t="s">
        <v>49</v>
      </c>
      <c r="K293" s="33">
        <v>2500</v>
      </c>
      <c r="L293" t="s">
        <v>63</v>
      </c>
      <c r="M293" t="str">
        <f>_xlfn.XLOOKUP(Pipeline_tbl[[#This Row],[Rep_ID]],Dim_Reps!A:A,Dim_Reps!K:K)</f>
        <v>MXN</v>
      </c>
      <c r="N293" s="33">
        <f>(_xlfn.XLOOKUP(Pipeline_tbl[[#This Row],[Rate_Code_Generalized]],Lookups!A:A,Lookups!B:B))*Pipeline_tbl[[#This Row],[Pipeline_Amount_USD]]</f>
        <v>49331.75</v>
      </c>
      <c r="O293" t="str">
        <f>_xlfn.XLOOKUP(Pipeline_tbl[[#This Row],[Rep_ID]],Dim_Reps!A:A,Dim_Reps!B:B)</f>
        <v>Lea Petrov</v>
      </c>
      <c r="P293" t="str">
        <f>_xlfn.XLOOKUP(Pipeline_tbl[[#This Row],[Rep_ID]],Dim_Reps!A:A,Dim_Reps!C:C)</f>
        <v>SDR / Inside Sales Rep</v>
      </c>
      <c r="Q293" t="str">
        <f>_xlfn.XLOOKUP(Pipeline_tbl[[#This Row],[Rep_ID]],Dim_Reps!A:A,Dim_Reps!D:D)</f>
        <v>Inside Sales</v>
      </c>
      <c r="R293" t="str">
        <f>_xlfn.XLOOKUP(Pipeline_tbl[[#This Row],[Rep_ID]],Dim_Reps!A:A,Dim_Reps!E:E)</f>
        <v>LATAM</v>
      </c>
      <c r="S293" t="str">
        <f>_xlfn.XLOOKUP(Pipeline_tbl[[#This Row],[Created_Date]],Dim_Date!A:A,Dim_Date!H:H)</f>
        <v>Sep 2025</v>
      </c>
      <c r="T293" t="str">
        <f>IF(Pipeline_tbl[[#This Row],[Closed_Date]]=0,"",(_xlfn.XLOOKUP(Pipeline_tbl[[#This Row],[Closed_Date]],Dim_Date!A:A,Dim_Date!H:H)))</f>
        <v>Sep 2025</v>
      </c>
      <c r="U293">
        <f>IF(Pipeline_tbl[[#This Row],[Closed_Date]]=0,"",Pipeline_tbl[[#This Row],[Closed_Date]]-Pipeline_tbl[[#This Row],[Created_Date]])</f>
        <v>13</v>
      </c>
    </row>
    <row r="294" spans="1:21" ht="15" customHeight="1" x14ac:dyDescent="0.2">
      <c r="A294" t="s">
        <v>600</v>
      </c>
      <c r="B294" t="s">
        <v>223</v>
      </c>
      <c r="C294" t="s">
        <v>52</v>
      </c>
      <c r="D294" s="49">
        <v>45901</v>
      </c>
      <c r="E294" s="49">
        <v>45903</v>
      </c>
      <c r="F294" s="49">
        <v>45906</v>
      </c>
      <c r="G294" s="49">
        <v>45911</v>
      </c>
      <c r="H294" s="49">
        <v>45915</v>
      </c>
      <c r="I294" s="49">
        <v>45917</v>
      </c>
      <c r="J294" t="s">
        <v>49</v>
      </c>
      <c r="K294" s="33">
        <v>3000</v>
      </c>
      <c r="L294" t="s">
        <v>60</v>
      </c>
      <c r="M294" t="str">
        <f>_xlfn.XLOOKUP(Pipeline_tbl[[#This Row],[Rep_ID]],Dim_Reps!A:A,Dim_Reps!K:K)</f>
        <v>MXN</v>
      </c>
      <c r="N294" s="33">
        <f>(_xlfn.XLOOKUP(Pipeline_tbl[[#This Row],[Rate_Code_Generalized]],Lookups!A:A,Lookups!B:B))*Pipeline_tbl[[#This Row],[Pipeline_Amount_USD]]</f>
        <v>59198.100000000006</v>
      </c>
      <c r="O294" t="str">
        <f>_xlfn.XLOOKUP(Pipeline_tbl[[#This Row],[Rep_ID]],Dim_Reps!A:A,Dim_Reps!B:B)</f>
        <v>Lea Petrov</v>
      </c>
      <c r="P294" t="str">
        <f>_xlfn.XLOOKUP(Pipeline_tbl[[#This Row],[Rep_ID]],Dim_Reps!A:A,Dim_Reps!C:C)</f>
        <v>SDR / Inside Sales Rep</v>
      </c>
      <c r="Q294" t="str">
        <f>_xlfn.XLOOKUP(Pipeline_tbl[[#This Row],[Rep_ID]],Dim_Reps!A:A,Dim_Reps!D:D)</f>
        <v>Inside Sales</v>
      </c>
      <c r="R294" t="str">
        <f>_xlfn.XLOOKUP(Pipeline_tbl[[#This Row],[Rep_ID]],Dim_Reps!A:A,Dim_Reps!E:E)</f>
        <v>LATAM</v>
      </c>
      <c r="S294" t="str">
        <f>_xlfn.XLOOKUP(Pipeline_tbl[[#This Row],[Created_Date]],Dim_Date!A:A,Dim_Date!H:H)</f>
        <v>Sep 2025</v>
      </c>
      <c r="T294" t="str">
        <f>IF(Pipeline_tbl[[#This Row],[Closed_Date]]=0,"",(_xlfn.XLOOKUP(Pipeline_tbl[[#This Row],[Closed_Date]],Dim_Date!A:A,Dim_Date!H:H)))</f>
        <v>Sep 2025</v>
      </c>
      <c r="U294">
        <f>IF(Pipeline_tbl[[#This Row],[Closed_Date]]=0,"",Pipeline_tbl[[#This Row],[Closed_Date]]-Pipeline_tbl[[#This Row],[Created_Date]])</f>
        <v>16</v>
      </c>
    </row>
    <row r="295" spans="1:21" ht="15" customHeight="1" x14ac:dyDescent="0.2">
      <c r="A295" t="s">
        <v>601</v>
      </c>
      <c r="B295" t="s">
        <v>223</v>
      </c>
      <c r="C295" t="s">
        <v>56</v>
      </c>
      <c r="D295" s="49">
        <v>45906</v>
      </c>
      <c r="E295" s="49">
        <v>45908</v>
      </c>
      <c r="F295" s="49">
        <v>45912</v>
      </c>
      <c r="G295" s="49">
        <v>45917</v>
      </c>
      <c r="I295" s="49">
        <v>45925</v>
      </c>
      <c r="J295" t="s">
        <v>49</v>
      </c>
      <c r="K295" s="33">
        <v>4100</v>
      </c>
      <c r="L295" t="s">
        <v>61</v>
      </c>
      <c r="M295" t="str">
        <f>_xlfn.XLOOKUP(Pipeline_tbl[[#This Row],[Rep_ID]],Dim_Reps!A:A,Dim_Reps!K:K)</f>
        <v>MXN</v>
      </c>
      <c r="N295" s="33">
        <f>(_xlfn.XLOOKUP(Pipeline_tbl[[#This Row],[Rate_Code_Generalized]],Lookups!A:A,Lookups!B:B))*Pipeline_tbl[[#This Row],[Pipeline_Amount_USD]]</f>
        <v>80904.070000000007</v>
      </c>
      <c r="O295" t="str">
        <f>_xlfn.XLOOKUP(Pipeline_tbl[[#This Row],[Rep_ID]],Dim_Reps!A:A,Dim_Reps!B:B)</f>
        <v>Lea Petrov</v>
      </c>
      <c r="P295" t="str">
        <f>_xlfn.XLOOKUP(Pipeline_tbl[[#This Row],[Rep_ID]],Dim_Reps!A:A,Dim_Reps!C:C)</f>
        <v>SDR / Inside Sales Rep</v>
      </c>
      <c r="Q295" t="str">
        <f>_xlfn.XLOOKUP(Pipeline_tbl[[#This Row],[Rep_ID]],Dim_Reps!A:A,Dim_Reps!D:D)</f>
        <v>Inside Sales</v>
      </c>
      <c r="R295" t="str">
        <f>_xlfn.XLOOKUP(Pipeline_tbl[[#This Row],[Rep_ID]],Dim_Reps!A:A,Dim_Reps!E:E)</f>
        <v>LATAM</v>
      </c>
      <c r="S295" t="str">
        <f>_xlfn.XLOOKUP(Pipeline_tbl[[#This Row],[Created_Date]],Dim_Date!A:A,Dim_Date!H:H)</f>
        <v>Sep 2025</v>
      </c>
      <c r="T295" t="str">
        <f>IF(Pipeline_tbl[[#This Row],[Closed_Date]]=0,"",(_xlfn.XLOOKUP(Pipeline_tbl[[#This Row],[Closed_Date]],Dim_Date!A:A,Dim_Date!H:H)))</f>
        <v>Sep 2025</v>
      </c>
      <c r="U295">
        <f>IF(Pipeline_tbl[[#This Row],[Closed_Date]]=0,"",Pipeline_tbl[[#This Row],[Closed_Date]]-Pipeline_tbl[[#This Row],[Created_Date]])</f>
        <v>19</v>
      </c>
    </row>
    <row r="296" spans="1:21" ht="15" customHeight="1" x14ac:dyDescent="0.2">
      <c r="A296" t="s">
        <v>602</v>
      </c>
      <c r="B296" t="s">
        <v>223</v>
      </c>
      <c r="C296" t="s">
        <v>52</v>
      </c>
      <c r="D296" s="49">
        <v>45903</v>
      </c>
      <c r="E296" s="49">
        <v>45904</v>
      </c>
      <c r="F296" s="49">
        <v>45906</v>
      </c>
      <c r="G296" s="49">
        <v>45908</v>
      </c>
      <c r="H296" s="49">
        <v>45911</v>
      </c>
      <c r="I296" s="49">
        <v>45912</v>
      </c>
      <c r="J296" t="s">
        <v>47</v>
      </c>
      <c r="K296" s="33">
        <v>3400</v>
      </c>
      <c r="M296" t="str">
        <f>_xlfn.XLOOKUP(Pipeline_tbl[[#This Row],[Rep_ID]],Dim_Reps!A:A,Dim_Reps!K:K)</f>
        <v>MXN</v>
      </c>
      <c r="N296" s="33">
        <f>(_xlfn.XLOOKUP(Pipeline_tbl[[#This Row],[Rate_Code_Generalized]],Lookups!A:A,Lookups!B:B))*Pipeline_tbl[[#This Row],[Pipeline_Amount_USD]]</f>
        <v>67091.180000000008</v>
      </c>
      <c r="O296" t="str">
        <f>_xlfn.XLOOKUP(Pipeline_tbl[[#This Row],[Rep_ID]],Dim_Reps!A:A,Dim_Reps!B:B)</f>
        <v>Lea Petrov</v>
      </c>
      <c r="P296" t="str">
        <f>_xlfn.XLOOKUP(Pipeline_tbl[[#This Row],[Rep_ID]],Dim_Reps!A:A,Dim_Reps!C:C)</f>
        <v>SDR / Inside Sales Rep</v>
      </c>
      <c r="Q296" t="str">
        <f>_xlfn.XLOOKUP(Pipeline_tbl[[#This Row],[Rep_ID]],Dim_Reps!A:A,Dim_Reps!D:D)</f>
        <v>Inside Sales</v>
      </c>
      <c r="R296" t="str">
        <f>_xlfn.XLOOKUP(Pipeline_tbl[[#This Row],[Rep_ID]],Dim_Reps!A:A,Dim_Reps!E:E)</f>
        <v>LATAM</v>
      </c>
      <c r="S296" t="str">
        <f>_xlfn.XLOOKUP(Pipeline_tbl[[#This Row],[Created_Date]],Dim_Date!A:A,Dim_Date!H:H)</f>
        <v>Sep 2025</v>
      </c>
      <c r="T296" t="str">
        <f>IF(Pipeline_tbl[[#This Row],[Closed_Date]]=0,"",(_xlfn.XLOOKUP(Pipeline_tbl[[#This Row],[Closed_Date]],Dim_Date!A:A,Dim_Date!H:H)))</f>
        <v>Sep 2025</v>
      </c>
      <c r="U296">
        <f>IF(Pipeline_tbl[[#This Row],[Closed_Date]]=0,"",Pipeline_tbl[[#This Row],[Closed_Date]]-Pipeline_tbl[[#This Row],[Created_Date]])</f>
        <v>9</v>
      </c>
    </row>
    <row r="297" spans="1:21" ht="15" customHeight="1" x14ac:dyDescent="0.2">
      <c r="A297" t="s">
        <v>603</v>
      </c>
      <c r="B297" t="s">
        <v>223</v>
      </c>
      <c r="C297" t="s">
        <v>52</v>
      </c>
      <c r="D297" s="49">
        <v>45914</v>
      </c>
      <c r="E297" s="49">
        <v>45915</v>
      </c>
      <c r="F297" s="49">
        <v>45917</v>
      </c>
      <c r="G297" s="49">
        <v>45919</v>
      </c>
      <c r="H297" s="49">
        <v>45922</v>
      </c>
      <c r="I297" s="49">
        <v>45923</v>
      </c>
      <c r="J297" t="s">
        <v>49</v>
      </c>
      <c r="K297" s="33">
        <v>2900</v>
      </c>
      <c r="L297" t="s">
        <v>60</v>
      </c>
      <c r="M297" t="str">
        <f>_xlfn.XLOOKUP(Pipeline_tbl[[#This Row],[Rep_ID]],Dim_Reps!A:A,Dim_Reps!K:K)</f>
        <v>MXN</v>
      </c>
      <c r="N297" s="33">
        <f>(_xlfn.XLOOKUP(Pipeline_tbl[[#This Row],[Rate_Code_Generalized]],Lookups!A:A,Lookups!B:B))*Pipeline_tbl[[#This Row],[Pipeline_Amount_USD]]</f>
        <v>57224.83</v>
      </c>
      <c r="O297" t="str">
        <f>_xlfn.XLOOKUP(Pipeline_tbl[[#This Row],[Rep_ID]],Dim_Reps!A:A,Dim_Reps!B:B)</f>
        <v>Lea Petrov</v>
      </c>
      <c r="P297" t="str">
        <f>_xlfn.XLOOKUP(Pipeline_tbl[[#This Row],[Rep_ID]],Dim_Reps!A:A,Dim_Reps!C:C)</f>
        <v>SDR / Inside Sales Rep</v>
      </c>
      <c r="Q297" t="str">
        <f>_xlfn.XLOOKUP(Pipeline_tbl[[#This Row],[Rep_ID]],Dim_Reps!A:A,Dim_Reps!D:D)</f>
        <v>Inside Sales</v>
      </c>
      <c r="R297" t="str">
        <f>_xlfn.XLOOKUP(Pipeline_tbl[[#This Row],[Rep_ID]],Dim_Reps!A:A,Dim_Reps!E:E)</f>
        <v>LATAM</v>
      </c>
      <c r="S297" t="str">
        <f>_xlfn.XLOOKUP(Pipeline_tbl[[#This Row],[Created_Date]],Dim_Date!A:A,Dim_Date!H:H)</f>
        <v>Sep 2025</v>
      </c>
      <c r="T297" t="str">
        <f>IF(Pipeline_tbl[[#This Row],[Closed_Date]]=0,"",(_xlfn.XLOOKUP(Pipeline_tbl[[#This Row],[Closed_Date]],Dim_Date!A:A,Dim_Date!H:H)))</f>
        <v>Sep 2025</v>
      </c>
      <c r="U297">
        <f>IF(Pipeline_tbl[[#This Row],[Closed_Date]]=0,"",Pipeline_tbl[[#This Row],[Closed_Date]]-Pipeline_tbl[[#This Row],[Created_Date]])</f>
        <v>9</v>
      </c>
    </row>
    <row r="298" spans="1:21" ht="15" customHeight="1" x14ac:dyDescent="0.2">
      <c r="A298" t="s">
        <v>604</v>
      </c>
      <c r="B298" t="s">
        <v>223</v>
      </c>
      <c r="C298" t="s">
        <v>53</v>
      </c>
      <c r="D298" s="49">
        <v>45911</v>
      </c>
      <c r="E298" s="49">
        <v>45913</v>
      </c>
      <c r="F298" s="49">
        <v>45916</v>
      </c>
      <c r="G298" s="49">
        <v>45921</v>
      </c>
      <c r="H298" s="49">
        <v>45925</v>
      </c>
      <c r="I298" s="49">
        <v>45927</v>
      </c>
      <c r="J298" t="s">
        <v>49</v>
      </c>
      <c r="K298" s="33">
        <v>6000</v>
      </c>
      <c r="L298" t="s">
        <v>62</v>
      </c>
      <c r="M298" t="str">
        <f>_xlfn.XLOOKUP(Pipeline_tbl[[#This Row],[Rep_ID]],Dim_Reps!A:A,Dim_Reps!K:K)</f>
        <v>MXN</v>
      </c>
      <c r="N298" s="33">
        <f>(_xlfn.XLOOKUP(Pipeline_tbl[[#This Row],[Rate_Code_Generalized]],Lookups!A:A,Lookups!B:B))*Pipeline_tbl[[#This Row],[Pipeline_Amount_USD]]</f>
        <v>118396.20000000001</v>
      </c>
      <c r="O298" t="str">
        <f>_xlfn.XLOOKUP(Pipeline_tbl[[#This Row],[Rep_ID]],Dim_Reps!A:A,Dim_Reps!B:B)</f>
        <v>Lea Petrov</v>
      </c>
      <c r="P298" t="str">
        <f>_xlfn.XLOOKUP(Pipeline_tbl[[#This Row],[Rep_ID]],Dim_Reps!A:A,Dim_Reps!C:C)</f>
        <v>SDR / Inside Sales Rep</v>
      </c>
      <c r="Q298" t="str">
        <f>_xlfn.XLOOKUP(Pipeline_tbl[[#This Row],[Rep_ID]],Dim_Reps!A:A,Dim_Reps!D:D)</f>
        <v>Inside Sales</v>
      </c>
      <c r="R298" t="str">
        <f>_xlfn.XLOOKUP(Pipeline_tbl[[#This Row],[Rep_ID]],Dim_Reps!A:A,Dim_Reps!E:E)</f>
        <v>LATAM</v>
      </c>
      <c r="S298" t="str">
        <f>_xlfn.XLOOKUP(Pipeline_tbl[[#This Row],[Created_Date]],Dim_Date!A:A,Dim_Date!H:H)</f>
        <v>Sep 2025</v>
      </c>
      <c r="T298" t="str">
        <f>IF(Pipeline_tbl[[#This Row],[Closed_Date]]=0,"",(_xlfn.XLOOKUP(Pipeline_tbl[[#This Row],[Closed_Date]],Dim_Date!A:A,Dim_Date!H:H)))</f>
        <v>Sep 2025</v>
      </c>
      <c r="U298">
        <f>IF(Pipeline_tbl[[#This Row],[Closed_Date]]=0,"",Pipeline_tbl[[#This Row],[Closed_Date]]-Pipeline_tbl[[#This Row],[Created_Date]])</f>
        <v>16</v>
      </c>
    </row>
    <row r="299" spans="1:21" ht="15" customHeight="1" x14ac:dyDescent="0.2">
      <c r="A299" t="s">
        <v>605</v>
      </c>
      <c r="B299" t="s">
        <v>225</v>
      </c>
      <c r="C299" t="s">
        <v>56</v>
      </c>
      <c r="D299" s="49">
        <v>45907</v>
      </c>
      <c r="E299" s="49">
        <v>45908</v>
      </c>
      <c r="F299" s="49">
        <v>45909</v>
      </c>
      <c r="G299" s="49">
        <v>45912</v>
      </c>
      <c r="H299" s="49">
        <v>45914</v>
      </c>
      <c r="I299" s="49">
        <v>45915</v>
      </c>
      <c r="J299" t="s">
        <v>47</v>
      </c>
      <c r="K299" s="33">
        <v>2800</v>
      </c>
      <c r="M299" t="str">
        <f>_xlfn.XLOOKUP(Pipeline_tbl[[#This Row],[Rep_ID]],Dim_Reps!A:A,Dim_Reps!K:K)</f>
        <v>USD</v>
      </c>
      <c r="N299" s="33">
        <f>(_xlfn.XLOOKUP(Pipeline_tbl[[#This Row],[Rate_Code_Generalized]],Lookups!A:A,Lookups!B:B))*Pipeline_tbl[[#This Row],[Pipeline_Amount_USD]]</f>
        <v>3260.0399999999995</v>
      </c>
      <c r="O299" t="str">
        <f>_xlfn.XLOOKUP(Pipeline_tbl[[#This Row],[Rep_ID]],Dim_Reps!A:A,Dim_Reps!B:B)</f>
        <v>Alex Muller</v>
      </c>
      <c r="P299" t="str">
        <f>_xlfn.XLOOKUP(Pipeline_tbl[[#This Row],[Rep_ID]],Dim_Reps!A:A,Dim_Reps!C:C)</f>
        <v>SDR / Inside Sales Rep</v>
      </c>
      <c r="Q299" t="str">
        <f>_xlfn.XLOOKUP(Pipeline_tbl[[#This Row],[Rep_ID]],Dim_Reps!A:A,Dim_Reps!D:D)</f>
        <v>Inside Sales</v>
      </c>
      <c r="R299" t="str">
        <f>_xlfn.XLOOKUP(Pipeline_tbl[[#This Row],[Rep_ID]],Dim_Reps!A:A,Dim_Reps!E:E)</f>
        <v>NAMER</v>
      </c>
      <c r="S299" t="str">
        <f>_xlfn.XLOOKUP(Pipeline_tbl[[#This Row],[Created_Date]],Dim_Date!A:A,Dim_Date!H:H)</f>
        <v>Sep 2025</v>
      </c>
      <c r="T299" t="str">
        <f>IF(Pipeline_tbl[[#This Row],[Closed_Date]]=0,"",(_xlfn.XLOOKUP(Pipeline_tbl[[#This Row],[Closed_Date]],Dim_Date!A:A,Dim_Date!H:H)))</f>
        <v>Sep 2025</v>
      </c>
      <c r="U299">
        <f>IF(Pipeline_tbl[[#This Row],[Closed_Date]]=0,"",Pipeline_tbl[[#This Row],[Closed_Date]]-Pipeline_tbl[[#This Row],[Created_Date]])</f>
        <v>8</v>
      </c>
    </row>
    <row r="300" spans="1:21" ht="15" customHeight="1" x14ac:dyDescent="0.2">
      <c r="A300" t="s">
        <v>606</v>
      </c>
      <c r="B300" t="s">
        <v>225</v>
      </c>
      <c r="C300" t="s">
        <v>52</v>
      </c>
      <c r="D300" s="49">
        <v>45915</v>
      </c>
      <c r="E300" s="49">
        <v>45917</v>
      </c>
      <c r="F300" s="49">
        <v>45920</v>
      </c>
      <c r="G300" s="49">
        <v>45924</v>
      </c>
      <c r="H300" s="49">
        <v>45928</v>
      </c>
      <c r="I300" s="49">
        <v>45930</v>
      </c>
      <c r="J300" t="s">
        <v>49</v>
      </c>
      <c r="K300" s="33">
        <v>2800</v>
      </c>
      <c r="L300" t="s">
        <v>61</v>
      </c>
      <c r="M300" t="str">
        <f>_xlfn.XLOOKUP(Pipeline_tbl[[#This Row],[Rep_ID]],Dim_Reps!A:A,Dim_Reps!K:K)</f>
        <v>USD</v>
      </c>
      <c r="N300" s="33">
        <f>(_xlfn.XLOOKUP(Pipeline_tbl[[#This Row],[Rate_Code_Generalized]],Lookups!A:A,Lookups!B:B))*Pipeline_tbl[[#This Row],[Pipeline_Amount_USD]]</f>
        <v>3260.0399999999995</v>
      </c>
      <c r="O300" t="str">
        <f>_xlfn.XLOOKUP(Pipeline_tbl[[#This Row],[Rep_ID]],Dim_Reps!A:A,Dim_Reps!B:B)</f>
        <v>Alex Muller</v>
      </c>
      <c r="P300" t="str">
        <f>_xlfn.XLOOKUP(Pipeline_tbl[[#This Row],[Rep_ID]],Dim_Reps!A:A,Dim_Reps!C:C)</f>
        <v>SDR / Inside Sales Rep</v>
      </c>
      <c r="Q300" t="str">
        <f>_xlfn.XLOOKUP(Pipeline_tbl[[#This Row],[Rep_ID]],Dim_Reps!A:A,Dim_Reps!D:D)</f>
        <v>Inside Sales</v>
      </c>
      <c r="R300" t="str">
        <f>_xlfn.XLOOKUP(Pipeline_tbl[[#This Row],[Rep_ID]],Dim_Reps!A:A,Dim_Reps!E:E)</f>
        <v>NAMER</v>
      </c>
      <c r="S300" t="str">
        <f>_xlfn.XLOOKUP(Pipeline_tbl[[#This Row],[Created_Date]],Dim_Date!A:A,Dim_Date!H:H)</f>
        <v>Sep 2025</v>
      </c>
      <c r="T300" t="str">
        <f>IF(Pipeline_tbl[[#This Row],[Closed_Date]]=0,"",(_xlfn.XLOOKUP(Pipeline_tbl[[#This Row],[Closed_Date]],Dim_Date!A:A,Dim_Date!H:H)))</f>
        <v>Sep 2025</v>
      </c>
      <c r="U300">
        <f>IF(Pipeline_tbl[[#This Row],[Closed_Date]]=0,"",Pipeline_tbl[[#This Row],[Closed_Date]]-Pipeline_tbl[[#This Row],[Created_Date]])</f>
        <v>15</v>
      </c>
    </row>
    <row r="301" spans="1:21" ht="15" customHeight="1" x14ac:dyDescent="0.2">
      <c r="A301" t="s">
        <v>607</v>
      </c>
      <c r="B301" t="s">
        <v>225</v>
      </c>
      <c r="C301" t="s">
        <v>54</v>
      </c>
      <c r="D301" s="49">
        <v>45910</v>
      </c>
      <c r="E301" s="49">
        <v>45912</v>
      </c>
      <c r="F301" s="49">
        <v>45915</v>
      </c>
      <c r="G301" s="49">
        <v>45920</v>
      </c>
      <c r="H301" s="49">
        <v>45924</v>
      </c>
      <c r="I301" s="49">
        <v>45927</v>
      </c>
      <c r="J301" t="s">
        <v>47</v>
      </c>
      <c r="K301" s="33">
        <v>3500</v>
      </c>
      <c r="M301" t="str">
        <f>_xlfn.XLOOKUP(Pipeline_tbl[[#This Row],[Rep_ID]],Dim_Reps!A:A,Dim_Reps!K:K)</f>
        <v>USD</v>
      </c>
      <c r="N301" s="33">
        <f>(_xlfn.XLOOKUP(Pipeline_tbl[[#This Row],[Rate_Code_Generalized]],Lookups!A:A,Lookups!B:B))*Pipeline_tbl[[#This Row],[Pipeline_Amount_USD]]</f>
        <v>4075.0499999999997</v>
      </c>
      <c r="O301" t="str">
        <f>_xlfn.XLOOKUP(Pipeline_tbl[[#This Row],[Rep_ID]],Dim_Reps!A:A,Dim_Reps!B:B)</f>
        <v>Alex Muller</v>
      </c>
      <c r="P301" t="str">
        <f>_xlfn.XLOOKUP(Pipeline_tbl[[#This Row],[Rep_ID]],Dim_Reps!A:A,Dim_Reps!C:C)</f>
        <v>SDR / Inside Sales Rep</v>
      </c>
      <c r="Q301" t="str">
        <f>_xlfn.XLOOKUP(Pipeline_tbl[[#This Row],[Rep_ID]],Dim_Reps!A:A,Dim_Reps!D:D)</f>
        <v>Inside Sales</v>
      </c>
      <c r="R301" t="str">
        <f>_xlfn.XLOOKUP(Pipeline_tbl[[#This Row],[Rep_ID]],Dim_Reps!A:A,Dim_Reps!E:E)</f>
        <v>NAMER</v>
      </c>
      <c r="S301" t="str">
        <f>_xlfn.XLOOKUP(Pipeline_tbl[[#This Row],[Created_Date]],Dim_Date!A:A,Dim_Date!H:H)</f>
        <v>Sep 2025</v>
      </c>
      <c r="T301" t="str">
        <f>IF(Pipeline_tbl[[#This Row],[Closed_Date]]=0,"",(_xlfn.XLOOKUP(Pipeline_tbl[[#This Row],[Closed_Date]],Dim_Date!A:A,Dim_Date!H:H)))</f>
        <v>Sep 2025</v>
      </c>
      <c r="U301">
        <f>IF(Pipeline_tbl[[#This Row],[Closed_Date]]=0,"",Pipeline_tbl[[#This Row],[Closed_Date]]-Pipeline_tbl[[#This Row],[Created_Date]])</f>
        <v>17</v>
      </c>
    </row>
    <row r="302" spans="1:21" ht="15" customHeight="1" x14ac:dyDescent="0.2">
      <c r="A302" t="s">
        <v>608</v>
      </c>
      <c r="B302" t="s">
        <v>227</v>
      </c>
      <c r="C302" t="s">
        <v>52</v>
      </c>
      <c r="D302" s="49">
        <v>45906</v>
      </c>
      <c r="E302" s="49">
        <v>45908</v>
      </c>
      <c r="F302" s="49">
        <v>45911</v>
      </c>
      <c r="G302" s="49">
        <v>45915</v>
      </c>
      <c r="I302" s="49">
        <v>45921</v>
      </c>
      <c r="J302" t="s">
        <v>49</v>
      </c>
      <c r="K302" s="33">
        <v>4100</v>
      </c>
      <c r="L302" t="s">
        <v>60</v>
      </c>
      <c r="M302" t="str">
        <f>_xlfn.XLOOKUP(Pipeline_tbl[[#This Row],[Rep_ID]],Dim_Reps!A:A,Dim_Reps!K:K)</f>
        <v>EUR</v>
      </c>
      <c r="N302" s="33">
        <f>(_xlfn.XLOOKUP(Pipeline_tbl[[#This Row],[Rate_Code_Generalized]],Lookups!A:A,Lookups!B:B))*Pipeline_tbl[[#This Row],[Pipeline_Amount_USD]]</f>
        <v>4100</v>
      </c>
      <c r="O302" t="str">
        <f>_xlfn.XLOOKUP(Pipeline_tbl[[#This Row],[Rep_ID]],Dim_Reps!A:A,Dim_Reps!B:B)</f>
        <v>Liam Muller</v>
      </c>
      <c r="P302" t="str">
        <f>_xlfn.XLOOKUP(Pipeline_tbl[[#This Row],[Rep_ID]],Dim_Reps!A:A,Dim_Reps!C:C)</f>
        <v>SDR / Inside Sales Rep</v>
      </c>
      <c r="Q302" t="str">
        <f>_xlfn.XLOOKUP(Pipeline_tbl[[#This Row],[Rep_ID]],Dim_Reps!A:A,Dim_Reps!D:D)</f>
        <v>Inside Sales</v>
      </c>
      <c r="R302" t="str">
        <f>_xlfn.XLOOKUP(Pipeline_tbl[[#This Row],[Rep_ID]],Dim_Reps!A:A,Dim_Reps!E:E)</f>
        <v>EMEA</v>
      </c>
      <c r="S302" t="str">
        <f>_xlfn.XLOOKUP(Pipeline_tbl[[#This Row],[Created_Date]],Dim_Date!A:A,Dim_Date!H:H)</f>
        <v>Sep 2025</v>
      </c>
      <c r="T302" t="str">
        <f>IF(Pipeline_tbl[[#This Row],[Closed_Date]]=0,"",(_xlfn.XLOOKUP(Pipeline_tbl[[#This Row],[Closed_Date]],Dim_Date!A:A,Dim_Date!H:H)))</f>
        <v>Sep 2025</v>
      </c>
      <c r="U302">
        <f>IF(Pipeline_tbl[[#This Row],[Closed_Date]]=0,"",Pipeline_tbl[[#This Row],[Closed_Date]]-Pipeline_tbl[[#This Row],[Created_Date]])</f>
        <v>15</v>
      </c>
    </row>
    <row r="303" spans="1:21" ht="15" customHeight="1" x14ac:dyDescent="0.2">
      <c r="A303" t="s">
        <v>609</v>
      </c>
      <c r="B303" t="s">
        <v>227</v>
      </c>
      <c r="C303" t="s">
        <v>54</v>
      </c>
      <c r="D303" s="49">
        <v>45910</v>
      </c>
      <c r="E303" s="49">
        <v>45912</v>
      </c>
      <c r="F303" s="49">
        <v>45915</v>
      </c>
      <c r="G303" s="49">
        <v>45920</v>
      </c>
      <c r="H303" s="49">
        <v>45924</v>
      </c>
      <c r="I303" s="49">
        <v>45926</v>
      </c>
      <c r="J303" t="s">
        <v>47</v>
      </c>
      <c r="K303" s="33">
        <v>3800</v>
      </c>
      <c r="M303" t="str">
        <f>_xlfn.XLOOKUP(Pipeline_tbl[[#This Row],[Rep_ID]],Dim_Reps!A:A,Dim_Reps!K:K)</f>
        <v>EUR</v>
      </c>
      <c r="N303" s="33">
        <f>(_xlfn.XLOOKUP(Pipeline_tbl[[#This Row],[Rate_Code_Generalized]],Lookups!A:A,Lookups!B:B))*Pipeline_tbl[[#This Row],[Pipeline_Amount_USD]]</f>
        <v>3800</v>
      </c>
      <c r="O303" t="str">
        <f>_xlfn.XLOOKUP(Pipeline_tbl[[#This Row],[Rep_ID]],Dim_Reps!A:A,Dim_Reps!B:B)</f>
        <v>Liam Muller</v>
      </c>
      <c r="P303" t="str">
        <f>_xlfn.XLOOKUP(Pipeline_tbl[[#This Row],[Rep_ID]],Dim_Reps!A:A,Dim_Reps!C:C)</f>
        <v>SDR / Inside Sales Rep</v>
      </c>
      <c r="Q303" t="str">
        <f>_xlfn.XLOOKUP(Pipeline_tbl[[#This Row],[Rep_ID]],Dim_Reps!A:A,Dim_Reps!D:D)</f>
        <v>Inside Sales</v>
      </c>
      <c r="R303" t="str">
        <f>_xlfn.XLOOKUP(Pipeline_tbl[[#This Row],[Rep_ID]],Dim_Reps!A:A,Dim_Reps!E:E)</f>
        <v>EMEA</v>
      </c>
      <c r="S303" t="str">
        <f>_xlfn.XLOOKUP(Pipeline_tbl[[#This Row],[Created_Date]],Dim_Date!A:A,Dim_Date!H:H)</f>
        <v>Sep 2025</v>
      </c>
      <c r="T303" t="str">
        <f>IF(Pipeline_tbl[[#This Row],[Closed_Date]]=0,"",(_xlfn.XLOOKUP(Pipeline_tbl[[#This Row],[Closed_Date]],Dim_Date!A:A,Dim_Date!H:H)))</f>
        <v>Sep 2025</v>
      </c>
      <c r="U303">
        <f>IF(Pipeline_tbl[[#This Row],[Closed_Date]]=0,"",Pipeline_tbl[[#This Row],[Closed_Date]]-Pipeline_tbl[[#This Row],[Created_Date]])</f>
        <v>16</v>
      </c>
    </row>
    <row r="304" spans="1:21" ht="15" customHeight="1" x14ac:dyDescent="0.2">
      <c r="A304" t="s">
        <v>610</v>
      </c>
      <c r="B304" t="s">
        <v>227</v>
      </c>
      <c r="C304" t="s">
        <v>52</v>
      </c>
      <c r="D304" s="49">
        <v>45905</v>
      </c>
      <c r="E304" s="49">
        <v>45906</v>
      </c>
      <c r="F304" s="49">
        <v>45909</v>
      </c>
      <c r="G304" s="49">
        <v>45913</v>
      </c>
      <c r="H304" s="49">
        <v>45916</v>
      </c>
      <c r="I304" s="49">
        <v>45918</v>
      </c>
      <c r="J304" t="s">
        <v>47</v>
      </c>
      <c r="K304" s="33">
        <v>1700</v>
      </c>
      <c r="M304" t="str">
        <f>_xlfn.XLOOKUP(Pipeline_tbl[[#This Row],[Rep_ID]],Dim_Reps!A:A,Dim_Reps!K:K)</f>
        <v>EUR</v>
      </c>
      <c r="N304" s="33">
        <f>(_xlfn.XLOOKUP(Pipeline_tbl[[#This Row],[Rate_Code_Generalized]],Lookups!A:A,Lookups!B:B))*Pipeline_tbl[[#This Row],[Pipeline_Amount_USD]]</f>
        <v>1700</v>
      </c>
      <c r="O304" t="str">
        <f>_xlfn.XLOOKUP(Pipeline_tbl[[#This Row],[Rep_ID]],Dim_Reps!A:A,Dim_Reps!B:B)</f>
        <v>Liam Muller</v>
      </c>
      <c r="P304" t="str">
        <f>_xlfn.XLOOKUP(Pipeline_tbl[[#This Row],[Rep_ID]],Dim_Reps!A:A,Dim_Reps!C:C)</f>
        <v>SDR / Inside Sales Rep</v>
      </c>
      <c r="Q304" t="str">
        <f>_xlfn.XLOOKUP(Pipeline_tbl[[#This Row],[Rep_ID]],Dim_Reps!A:A,Dim_Reps!D:D)</f>
        <v>Inside Sales</v>
      </c>
      <c r="R304" t="str">
        <f>_xlfn.XLOOKUP(Pipeline_tbl[[#This Row],[Rep_ID]],Dim_Reps!A:A,Dim_Reps!E:E)</f>
        <v>EMEA</v>
      </c>
      <c r="S304" t="str">
        <f>_xlfn.XLOOKUP(Pipeline_tbl[[#This Row],[Created_Date]],Dim_Date!A:A,Dim_Date!H:H)</f>
        <v>Sep 2025</v>
      </c>
      <c r="T304" t="str">
        <f>IF(Pipeline_tbl[[#This Row],[Closed_Date]]=0,"",(_xlfn.XLOOKUP(Pipeline_tbl[[#This Row],[Closed_Date]],Dim_Date!A:A,Dim_Date!H:H)))</f>
        <v>Sep 2025</v>
      </c>
      <c r="U304">
        <f>IF(Pipeline_tbl[[#This Row],[Closed_Date]]=0,"",Pipeline_tbl[[#This Row],[Closed_Date]]-Pipeline_tbl[[#This Row],[Created_Date]])</f>
        <v>13</v>
      </c>
    </row>
    <row r="305" spans="1:21" ht="15" customHeight="1" x14ac:dyDescent="0.2">
      <c r="A305" t="s">
        <v>611</v>
      </c>
      <c r="B305" t="s">
        <v>227</v>
      </c>
      <c r="C305" t="s">
        <v>52</v>
      </c>
      <c r="D305" s="49">
        <v>45906</v>
      </c>
      <c r="E305" s="49">
        <v>45908</v>
      </c>
      <c r="F305" s="49">
        <v>45911</v>
      </c>
      <c r="G305" s="49">
        <v>45916</v>
      </c>
      <c r="I305" s="49">
        <v>45923</v>
      </c>
      <c r="J305" t="s">
        <v>49</v>
      </c>
      <c r="K305" s="33">
        <v>7100</v>
      </c>
      <c r="L305" t="s">
        <v>63</v>
      </c>
      <c r="M305" t="str">
        <f>_xlfn.XLOOKUP(Pipeline_tbl[[#This Row],[Rep_ID]],Dim_Reps!A:A,Dim_Reps!K:K)</f>
        <v>EUR</v>
      </c>
      <c r="N305" s="33">
        <f>(_xlfn.XLOOKUP(Pipeline_tbl[[#This Row],[Rate_Code_Generalized]],Lookups!A:A,Lookups!B:B))*Pipeline_tbl[[#This Row],[Pipeline_Amount_USD]]</f>
        <v>7100</v>
      </c>
      <c r="O305" t="str">
        <f>_xlfn.XLOOKUP(Pipeline_tbl[[#This Row],[Rep_ID]],Dim_Reps!A:A,Dim_Reps!B:B)</f>
        <v>Liam Muller</v>
      </c>
      <c r="P305" t="str">
        <f>_xlfn.XLOOKUP(Pipeline_tbl[[#This Row],[Rep_ID]],Dim_Reps!A:A,Dim_Reps!C:C)</f>
        <v>SDR / Inside Sales Rep</v>
      </c>
      <c r="Q305" t="str">
        <f>_xlfn.XLOOKUP(Pipeline_tbl[[#This Row],[Rep_ID]],Dim_Reps!A:A,Dim_Reps!D:D)</f>
        <v>Inside Sales</v>
      </c>
      <c r="R305" t="str">
        <f>_xlfn.XLOOKUP(Pipeline_tbl[[#This Row],[Rep_ID]],Dim_Reps!A:A,Dim_Reps!E:E)</f>
        <v>EMEA</v>
      </c>
      <c r="S305" t="str">
        <f>_xlfn.XLOOKUP(Pipeline_tbl[[#This Row],[Created_Date]],Dim_Date!A:A,Dim_Date!H:H)</f>
        <v>Sep 2025</v>
      </c>
      <c r="T305" t="str">
        <f>IF(Pipeline_tbl[[#This Row],[Closed_Date]]=0,"",(_xlfn.XLOOKUP(Pipeline_tbl[[#This Row],[Closed_Date]],Dim_Date!A:A,Dim_Date!H:H)))</f>
        <v>Sep 2025</v>
      </c>
      <c r="U305">
        <f>IF(Pipeline_tbl[[#This Row],[Closed_Date]]=0,"",Pipeline_tbl[[#This Row],[Closed_Date]]-Pipeline_tbl[[#This Row],[Created_Date]])</f>
        <v>17</v>
      </c>
    </row>
    <row r="306" spans="1:21" ht="15" customHeight="1" x14ac:dyDescent="0.2">
      <c r="A306" t="s">
        <v>612</v>
      </c>
      <c r="B306" t="s">
        <v>227</v>
      </c>
      <c r="C306" t="s">
        <v>54</v>
      </c>
      <c r="D306" s="49">
        <v>45911</v>
      </c>
      <c r="E306" s="49">
        <v>45913</v>
      </c>
      <c r="F306" s="49">
        <v>45916</v>
      </c>
      <c r="G306" s="49">
        <v>45921</v>
      </c>
      <c r="H306" s="49">
        <v>45925</v>
      </c>
      <c r="I306" s="49">
        <v>45928</v>
      </c>
      <c r="J306" t="s">
        <v>49</v>
      </c>
      <c r="K306" s="33">
        <v>3200</v>
      </c>
      <c r="L306" t="s">
        <v>62</v>
      </c>
      <c r="M306" t="str">
        <f>_xlfn.XLOOKUP(Pipeline_tbl[[#This Row],[Rep_ID]],Dim_Reps!A:A,Dim_Reps!K:K)</f>
        <v>EUR</v>
      </c>
      <c r="N306" s="33">
        <f>(_xlfn.XLOOKUP(Pipeline_tbl[[#This Row],[Rate_Code_Generalized]],Lookups!A:A,Lookups!B:B))*Pipeline_tbl[[#This Row],[Pipeline_Amount_USD]]</f>
        <v>3200</v>
      </c>
      <c r="O306" t="str">
        <f>_xlfn.XLOOKUP(Pipeline_tbl[[#This Row],[Rep_ID]],Dim_Reps!A:A,Dim_Reps!B:B)</f>
        <v>Liam Muller</v>
      </c>
      <c r="P306" t="str">
        <f>_xlfn.XLOOKUP(Pipeline_tbl[[#This Row],[Rep_ID]],Dim_Reps!A:A,Dim_Reps!C:C)</f>
        <v>SDR / Inside Sales Rep</v>
      </c>
      <c r="Q306" t="str">
        <f>_xlfn.XLOOKUP(Pipeline_tbl[[#This Row],[Rep_ID]],Dim_Reps!A:A,Dim_Reps!D:D)</f>
        <v>Inside Sales</v>
      </c>
      <c r="R306" t="str">
        <f>_xlfn.XLOOKUP(Pipeline_tbl[[#This Row],[Rep_ID]],Dim_Reps!A:A,Dim_Reps!E:E)</f>
        <v>EMEA</v>
      </c>
      <c r="S306" t="str">
        <f>_xlfn.XLOOKUP(Pipeline_tbl[[#This Row],[Created_Date]],Dim_Date!A:A,Dim_Date!H:H)</f>
        <v>Sep 2025</v>
      </c>
      <c r="T306" t="str">
        <f>IF(Pipeline_tbl[[#This Row],[Closed_Date]]=0,"",(_xlfn.XLOOKUP(Pipeline_tbl[[#This Row],[Closed_Date]],Dim_Date!A:A,Dim_Date!H:H)))</f>
        <v>Sep 2025</v>
      </c>
      <c r="U306">
        <f>IF(Pipeline_tbl[[#This Row],[Closed_Date]]=0,"",Pipeline_tbl[[#This Row],[Closed_Date]]-Pipeline_tbl[[#This Row],[Created_Date]])</f>
        <v>17</v>
      </c>
    </row>
    <row r="307" spans="1:21" ht="15" customHeight="1" x14ac:dyDescent="0.2">
      <c r="A307" t="s">
        <v>613</v>
      </c>
      <c r="B307" t="s">
        <v>227</v>
      </c>
      <c r="C307" t="s">
        <v>54</v>
      </c>
      <c r="D307" s="49">
        <v>45902</v>
      </c>
      <c r="E307" s="49">
        <v>45903</v>
      </c>
      <c r="F307" s="49">
        <v>45906</v>
      </c>
      <c r="G307" s="49">
        <v>45910</v>
      </c>
      <c r="H307" s="49">
        <v>45913</v>
      </c>
      <c r="I307" s="49">
        <v>45915</v>
      </c>
      <c r="J307" t="s">
        <v>47</v>
      </c>
      <c r="K307" s="33">
        <v>4300</v>
      </c>
      <c r="M307" t="str">
        <f>_xlfn.XLOOKUP(Pipeline_tbl[[#This Row],[Rep_ID]],Dim_Reps!A:A,Dim_Reps!K:K)</f>
        <v>EUR</v>
      </c>
      <c r="N307" s="33">
        <f>(_xlfn.XLOOKUP(Pipeline_tbl[[#This Row],[Rate_Code_Generalized]],Lookups!A:A,Lookups!B:B))*Pipeline_tbl[[#This Row],[Pipeline_Amount_USD]]</f>
        <v>4300</v>
      </c>
      <c r="O307" t="str">
        <f>_xlfn.XLOOKUP(Pipeline_tbl[[#This Row],[Rep_ID]],Dim_Reps!A:A,Dim_Reps!B:B)</f>
        <v>Liam Muller</v>
      </c>
      <c r="P307" t="str">
        <f>_xlfn.XLOOKUP(Pipeline_tbl[[#This Row],[Rep_ID]],Dim_Reps!A:A,Dim_Reps!C:C)</f>
        <v>SDR / Inside Sales Rep</v>
      </c>
      <c r="Q307" t="str">
        <f>_xlfn.XLOOKUP(Pipeline_tbl[[#This Row],[Rep_ID]],Dim_Reps!A:A,Dim_Reps!D:D)</f>
        <v>Inside Sales</v>
      </c>
      <c r="R307" t="str">
        <f>_xlfn.XLOOKUP(Pipeline_tbl[[#This Row],[Rep_ID]],Dim_Reps!A:A,Dim_Reps!E:E)</f>
        <v>EMEA</v>
      </c>
      <c r="S307" t="str">
        <f>_xlfn.XLOOKUP(Pipeline_tbl[[#This Row],[Created_Date]],Dim_Date!A:A,Dim_Date!H:H)</f>
        <v>Sep 2025</v>
      </c>
      <c r="T307" t="str">
        <f>IF(Pipeline_tbl[[#This Row],[Closed_Date]]=0,"",(_xlfn.XLOOKUP(Pipeline_tbl[[#This Row],[Closed_Date]],Dim_Date!A:A,Dim_Date!H:H)))</f>
        <v>Sep 2025</v>
      </c>
      <c r="U307">
        <f>IF(Pipeline_tbl[[#This Row],[Closed_Date]]=0,"",Pipeline_tbl[[#This Row],[Closed_Date]]-Pipeline_tbl[[#This Row],[Created_Date]])</f>
        <v>13</v>
      </c>
    </row>
    <row r="308" spans="1:21" ht="15" customHeight="1" x14ac:dyDescent="0.2">
      <c r="A308" t="s">
        <v>614</v>
      </c>
      <c r="B308" t="s">
        <v>229</v>
      </c>
      <c r="C308" t="s">
        <v>53</v>
      </c>
      <c r="D308" s="49">
        <v>45901</v>
      </c>
      <c r="E308" s="49">
        <v>45902</v>
      </c>
      <c r="F308" s="49">
        <v>45903</v>
      </c>
      <c r="G308" s="49">
        <v>45905</v>
      </c>
      <c r="H308" s="49">
        <v>45907</v>
      </c>
      <c r="I308" s="49">
        <v>45908</v>
      </c>
      <c r="J308" t="s">
        <v>47</v>
      </c>
      <c r="K308" s="33">
        <v>3300</v>
      </c>
      <c r="M308" t="str">
        <f>_xlfn.XLOOKUP(Pipeline_tbl[[#This Row],[Rep_ID]],Dim_Reps!A:A,Dim_Reps!K:K)</f>
        <v>USD</v>
      </c>
      <c r="N308" s="33">
        <f>(_xlfn.XLOOKUP(Pipeline_tbl[[#This Row],[Rate_Code_Generalized]],Lookups!A:A,Lookups!B:B))*Pipeline_tbl[[#This Row],[Pipeline_Amount_USD]]</f>
        <v>3842.1899999999996</v>
      </c>
      <c r="O308" t="str">
        <f>_xlfn.XLOOKUP(Pipeline_tbl[[#This Row],[Rep_ID]],Dim_Reps!A:A,Dim_Reps!B:B)</f>
        <v>Liam Castro</v>
      </c>
      <c r="P308" t="str">
        <f>_xlfn.XLOOKUP(Pipeline_tbl[[#This Row],[Rep_ID]],Dim_Reps!A:A,Dim_Reps!C:C)</f>
        <v>SDR / Inside Sales Rep</v>
      </c>
      <c r="Q308" t="str">
        <f>_xlfn.XLOOKUP(Pipeline_tbl[[#This Row],[Rep_ID]],Dim_Reps!A:A,Dim_Reps!D:D)</f>
        <v>Inside Sales</v>
      </c>
      <c r="R308" t="str">
        <f>_xlfn.XLOOKUP(Pipeline_tbl[[#This Row],[Rep_ID]],Dim_Reps!A:A,Dim_Reps!E:E)</f>
        <v>NAMER</v>
      </c>
      <c r="S308" t="str">
        <f>_xlfn.XLOOKUP(Pipeline_tbl[[#This Row],[Created_Date]],Dim_Date!A:A,Dim_Date!H:H)</f>
        <v>Sep 2025</v>
      </c>
      <c r="T308" t="str">
        <f>IF(Pipeline_tbl[[#This Row],[Closed_Date]]=0,"",(_xlfn.XLOOKUP(Pipeline_tbl[[#This Row],[Closed_Date]],Dim_Date!A:A,Dim_Date!H:H)))</f>
        <v>Sep 2025</v>
      </c>
      <c r="U308">
        <f>IF(Pipeline_tbl[[#This Row],[Closed_Date]]=0,"",Pipeline_tbl[[#This Row],[Closed_Date]]-Pipeline_tbl[[#This Row],[Created_Date]])</f>
        <v>7</v>
      </c>
    </row>
    <row r="309" spans="1:21" ht="15" customHeight="1" x14ac:dyDescent="0.2">
      <c r="A309" t="s">
        <v>615</v>
      </c>
      <c r="B309" t="s">
        <v>229</v>
      </c>
      <c r="C309" t="s">
        <v>52</v>
      </c>
      <c r="D309" s="49">
        <v>45906</v>
      </c>
      <c r="E309" s="49">
        <v>45908</v>
      </c>
      <c r="F309" s="49">
        <v>45913</v>
      </c>
      <c r="G309" s="49">
        <v>45920</v>
      </c>
      <c r="H309" s="49">
        <v>45926</v>
      </c>
      <c r="I309" s="49">
        <v>45930</v>
      </c>
      <c r="J309" t="s">
        <v>49</v>
      </c>
      <c r="K309" s="33">
        <v>6400</v>
      </c>
      <c r="L309" t="s">
        <v>63</v>
      </c>
      <c r="M309" t="str">
        <f>_xlfn.XLOOKUP(Pipeline_tbl[[#This Row],[Rep_ID]],Dim_Reps!A:A,Dim_Reps!K:K)</f>
        <v>USD</v>
      </c>
      <c r="N309" s="33">
        <f>(_xlfn.XLOOKUP(Pipeline_tbl[[#This Row],[Rate_Code_Generalized]],Lookups!A:A,Lookups!B:B))*Pipeline_tbl[[#This Row],[Pipeline_Amount_USD]]</f>
        <v>7451.5199999999995</v>
      </c>
      <c r="O309" t="str">
        <f>_xlfn.XLOOKUP(Pipeline_tbl[[#This Row],[Rep_ID]],Dim_Reps!A:A,Dim_Reps!B:B)</f>
        <v>Liam Castro</v>
      </c>
      <c r="P309" t="str">
        <f>_xlfn.XLOOKUP(Pipeline_tbl[[#This Row],[Rep_ID]],Dim_Reps!A:A,Dim_Reps!C:C)</f>
        <v>SDR / Inside Sales Rep</v>
      </c>
      <c r="Q309" t="str">
        <f>_xlfn.XLOOKUP(Pipeline_tbl[[#This Row],[Rep_ID]],Dim_Reps!A:A,Dim_Reps!D:D)</f>
        <v>Inside Sales</v>
      </c>
      <c r="R309" t="str">
        <f>_xlfn.XLOOKUP(Pipeline_tbl[[#This Row],[Rep_ID]],Dim_Reps!A:A,Dim_Reps!E:E)</f>
        <v>NAMER</v>
      </c>
      <c r="S309" t="str">
        <f>_xlfn.XLOOKUP(Pipeline_tbl[[#This Row],[Created_Date]],Dim_Date!A:A,Dim_Date!H:H)</f>
        <v>Sep 2025</v>
      </c>
      <c r="T309" t="str">
        <f>IF(Pipeline_tbl[[#This Row],[Closed_Date]]=0,"",(_xlfn.XLOOKUP(Pipeline_tbl[[#This Row],[Closed_Date]],Dim_Date!A:A,Dim_Date!H:H)))</f>
        <v>Sep 2025</v>
      </c>
      <c r="U309">
        <f>IF(Pipeline_tbl[[#This Row],[Closed_Date]]=0,"",Pipeline_tbl[[#This Row],[Closed_Date]]-Pipeline_tbl[[#This Row],[Created_Date]])</f>
        <v>24</v>
      </c>
    </row>
    <row r="310" spans="1:21" ht="15" customHeight="1" x14ac:dyDescent="0.2">
      <c r="A310" t="s">
        <v>616</v>
      </c>
      <c r="B310" t="s">
        <v>229</v>
      </c>
      <c r="C310" t="s">
        <v>52</v>
      </c>
      <c r="D310" s="49">
        <v>45912</v>
      </c>
      <c r="E310" s="49">
        <v>45913</v>
      </c>
      <c r="F310" s="49">
        <v>45916</v>
      </c>
      <c r="G310" s="49">
        <v>45920</v>
      </c>
      <c r="H310" s="49">
        <v>45924</v>
      </c>
      <c r="I310" s="49">
        <v>45926</v>
      </c>
      <c r="J310" t="s">
        <v>47</v>
      </c>
      <c r="K310" s="33">
        <v>4600</v>
      </c>
      <c r="M310" t="str">
        <f>_xlfn.XLOOKUP(Pipeline_tbl[[#This Row],[Rep_ID]],Dim_Reps!A:A,Dim_Reps!K:K)</f>
        <v>USD</v>
      </c>
      <c r="N310" s="33">
        <f>(_xlfn.XLOOKUP(Pipeline_tbl[[#This Row],[Rate_Code_Generalized]],Lookups!A:A,Lookups!B:B))*Pipeline_tbl[[#This Row],[Pipeline_Amount_USD]]</f>
        <v>5355.78</v>
      </c>
      <c r="O310" t="str">
        <f>_xlfn.XLOOKUP(Pipeline_tbl[[#This Row],[Rep_ID]],Dim_Reps!A:A,Dim_Reps!B:B)</f>
        <v>Liam Castro</v>
      </c>
      <c r="P310" t="str">
        <f>_xlfn.XLOOKUP(Pipeline_tbl[[#This Row],[Rep_ID]],Dim_Reps!A:A,Dim_Reps!C:C)</f>
        <v>SDR / Inside Sales Rep</v>
      </c>
      <c r="Q310" t="str">
        <f>_xlfn.XLOOKUP(Pipeline_tbl[[#This Row],[Rep_ID]],Dim_Reps!A:A,Dim_Reps!D:D)</f>
        <v>Inside Sales</v>
      </c>
      <c r="R310" t="str">
        <f>_xlfn.XLOOKUP(Pipeline_tbl[[#This Row],[Rep_ID]],Dim_Reps!A:A,Dim_Reps!E:E)</f>
        <v>NAMER</v>
      </c>
      <c r="S310" t="str">
        <f>_xlfn.XLOOKUP(Pipeline_tbl[[#This Row],[Created_Date]],Dim_Date!A:A,Dim_Date!H:H)</f>
        <v>Sep 2025</v>
      </c>
      <c r="T310" t="str">
        <f>IF(Pipeline_tbl[[#This Row],[Closed_Date]]=0,"",(_xlfn.XLOOKUP(Pipeline_tbl[[#This Row],[Closed_Date]],Dim_Date!A:A,Dim_Date!H:H)))</f>
        <v>Sep 2025</v>
      </c>
      <c r="U310">
        <f>IF(Pipeline_tbl[[#This Row],[Closed_Date]]=0,"",Pipeline_tbl[[#This Row],[Closed_Date]]-Pipeline_tbl[[#This Row],[Created_Date]])</f>
        <v>14</v>
      </c>
    </row>
    <row r="311" spans="1:21" ht="15" customHeight="1" x14ac:dyDescent="0.2">
      <c r="A311" t="s">
        <v>617</v>
      </c>
      <c r="B311" t="s">
        <v>229</v>
      </c>
      <c r="C311" t="s">
        <v>53</v>
      </c>
      <c r="D311" s="49">
        <v>45917</v>
      </c>
      <c r="E311" s="49">
        <v>45918</v>
      </c>
      <c r="F311" s="49">
        <v>45921</v>
      </c>
      <c r="G311" s="49">
        <v>45925</v>
      </c>
      <c r="H311" s="49">
        <v>45928</v>
      </c>
      <c r="I311" s="49">
        <v>45930</v>
      </c>
      <c r="J311" t="s">
        <v>49</v>
      </c>
      <c r="K311" s="33">
        <v>4300</v>
      </c>
      <c r="L311" t="s">
        <v>61</v>
      </c>
      <c r="M311" t="str">
        <f>_xlfn.XLOOKUP(Pipeline_tbl[[#This Row],[Rep_ID]],Dim_Reps!A:A,Dim_Reps!K:K)</f>
        <v>USD</v>
      </c>
      <c r="N311" s="33">
        <f>(_xlfn.XLOOKUP(Pipeline_tbl[[#This Row],[Rate_Code_Generalized]],Lookups!A:A,Lookups!B:B))*Pipeline_tbl[[#This Row],[Pipeline_Amount_USD]]</f>
        <v>5006.49</v>
      </c>
      <c r="O311" t="str">
        <f>_xlfn.XLOOKUP(Pipeline_tbl[[#This Row],[Rep_ID]],Dim_Reps!A:A,Dim_Reps!B:B)</f>
        <v>Liam Castro</v>
      </c>
      <c r="P311" t="str">
        <f>_xlfn.XLOOKUP(Pipeline_tbl[[#This Row],[Rep_ID]],Dim_Reps!A:A,Dim_Reps!C:C)</f>
        <v>SDR / Inside Sales Rep</v>
      </c>
      <c r="Q311" t="str">
        <f>_xlfn.XLOOKUP(Pipeline_tbl[[#This Row],[Rep_ID]],Dim_Reps!A:A,Dim_Reps!D:D)</f>
        <v>Inside Sales</v>
      </c>
      <c r="R311" t="str">
        <f>_xlfn.XLOOKUP(Pipeline_tbl[[#This Row],[Rep_ID]],Dim_Reps!A:A,Dim_Reps!E:E)</f>
        <v>NAMER</v>
      </c>
      <c r="S311" t="str">
        <f>_xlfn.XLOOKUP(Pipeline_tbl[[#This Row],[Created_Date]],Dim_Date!A:A,Dim_Date!H:H)</f>
        <v>Sep 2025</v>
      </c>
      <c r="T311" t="str">
        <f>IF(Pipeline_tbl[[#This Row],[Closed_Date]]=0,"",(_xlfn.XLOOKUP(Pipeline_tbl[[#This Row],[Closed_Date]],Dim_Date!A:A,Dim_Date!H:H)))</f>
        <v>Sep 2025</v>
      </c>
      <c r="U311">
        <f>IF(Pipeline_tbl[[#This Row],[Closed_Date]]=0,"",Pipeline_tbl[[#This Row],[Closed_Date]]-Pipeline_tbl[[#This Row],[Created_Date]])</f>
        <v>13</v>
      </c>
    </row>
    <row r="312" spans="1:21" ht="15" customHeight="1" x14ac:dyDescent="0.2">
      <c r="A312" t="s">
        <v>618</v>
      </c>
      <c r="B312" t="s">
        <v>229</v>
      </c>
      <c r="C312" t="s">
        <v>53</v>
      </c>
      <c r="D312" s="49">
        <v>45909</v>
      </c>
      <c r="E312" s="49">
        <v>45911</v>
      </c>
      <c r="F312" s="49">
        <v>45914</v>
      </c>
      <c r="G312" s="49">
        <v>45919</v>
      </c>
      <c r="H312" s="49">
        <v>45923</v>
      </c>
      <c r="I312" s="49">
        <v>45925</v>
      </c>
      <c r="J312" t="s">
        <v>47</v>
      </c>
      <c r="K312" s="33">
        <v>4200</v>
      </c>
      <c r="M312" t="str">
        <f>_xlfn.XLOOKUP(Pipeline_tbl[[#This Row],[Rep_ID]],Dim_Reps!A:A,Dim_Reps!K:K)</f>
        <v>USD</v>
      </c>
      <c r="N312" s="33">
        <f>(_xlfn.XLOOKUP(Pipeline_tbl[[#This Row],[Rate_Code_Generalized]],Lookups!A:A,Lookups!B:B))*Pipeline_tbl[[#This Row],[Pipeline_Amount_USD]]</f>
        <v>4890.0599999999995</v>
      </c>
      <c r="O312" t="str">
        <f>_xlfn.XLOOKUP(Pipeline_tbl[[#This Row],[Rep_ID]],Dim_Reps!A:A,Dim_Reps!B:B)</f>
        <v>Liam Castro</v>
      </c>
      <c r="P312" t="str">
        <f>_xlfn.XLOOKUP(Pipeline_tbl[[#This Row],[Rep_ID]],Dim_Reps!A:A,Dim_Reps!C:C)</f>
        <v>SDR / Inside Sales Rep</v>
      </c>
      <c r="Q312" t="str">
        <f>_xlfn.XLOOKUP(Pipeline_tbl[[#This Row],[Rep_ID]],Dim_Reps!A:A,Dim_Reps!D:D)</f>
        <v>Inside Sales</v>
      </c>
      <c r="R312" t="str">
        <f>_xlfn.XLOOKUP(Pipeline_tbl[[#This Row],[Rep_ID]],Dim_Reps!A:A,Dim_Reps!E:E)</f>
        <v>NAMER</v>
      </c>
      <c r="S312" t="str">
        <f>_xlfn.XLOOKUP(Pipeline_tbl[[#This Row],[Created_Date]],Dim_Date!A:A,Dim_Date!H:H)</f>
        <v>Sep 2025</v>
      </c>
      <c r="T312" t="str">
        <f>IF(Pipeline_tbl[[#This Row],[Closed_Date]]=0,"",(_xlfn.XLOOKUP(Pipeline_tbl[[#This Row],[Closed_Date]],Dim_Date!A:A,Dim_Date!H:H)))</f>
        <v>Sep 2025</v>
      </c>
      <c r="U312">
        <f>IF(Pipeline_tbl[[#This Row],[Closed_Date]]=0,"",Pipeline_tbl[[#This Row],[Closed_Date]]-Pipeline_tbl[[#This Row],[Created_Date]])</f>
        <v>16</v>
      </c>
    </row>
    <row r="313" spans="1:21" ht="15" customHeight="1" x14ac:dyDescent="0.2">
      <c r="A313" t="s">
        <v>619</v>
      </c>
      <c r="B313" t="s">
        <v>229</v>
      </c>
      <c r="C313" t="s">
        <v>55</v>
      </c>
      <c r="D313" s="49">
        <v>45906</v>
      </c>
      <c r="E313" s="49">
        <v>45907</v>
      </c>
      <c r="F313" s="49">
        <v>45909</v>
      </c>
      <c r="G313" s="49">
        <v>45913</v>
      </c>
      <c r="I313" s="49">
        <v>45917</v>
      </c>
      <c r="J313" t="s">
        <v>49</v>
      </c>
      <c r="K313" s="33">
        <v>2500</v>
      </c>
      <c r="L313" t="s">
        <v>60</v>
      </c>
      <c r="M313" t="str">
        <f>_xlfn.XLOOKUP(Pipeline_tbl[[#This Row],[Rep_ID]],Dim_Reps!A:A,Dim_Reps!K:K)</f>
        <v>USD</v>
      </c>
      <c r="N313" s="33">
        <f>(_xlfn.XLOOKUP(Pipeline_tbl[[#This Row],[Rate_Code_Generalized]],Lookups!A:A,Lookups!B:B))*Pipeline_tbl[[#This Row],[Pipeline_Amount_USD]]</f>
        <v>2910.7499999999995</v>
      </c>
      <c r="O313" t="str">
        <f>_xlfn.XLOOKUP(Pipeline_tbl[[#This Row],[Rep_ID]],Dim_Reps!A:A,Dim_Reps!B:B)</f>
        <v>Liam Castro</v>
      </c>
      <c r="P313" t="str">
        <f>_xlfn.XLOOKUP(Pipeline_tbl[[#This Row],[Rep_ID]],Dim_Reps!A:A,Dim_Reps!C:C)</f>
        <v>SDR / Inside Sales Rep</v>
      </c>
      <c r="Q313" t="str">
        <f>_xlfn.XLOOKUP(Pipeline_tbl[[#This Row],[Rep_ID]],Dim_Reps!A:A,Dim_Reps!D:D)</f>
        <v>Inside Sales</v>
      </c>
      <c r="R313" t="str">
        <f>_xlfn.XLOOKUP(Pipeline_tbl[[#This Row],[Rep_ID]],Dim_Reps!A:A,Dim_Reps!E:E)</f>
        <v>NAMER</v>
      </c>
      <c r="S313" t="str">
        <f>_xlfn.XLOOKUP(Pipeline_tbl[[#This Row],[Created_Date]],Dim_Date!A:A,Dim_Date!H:H)</f>
        <v>Sep 2025</v>
      </c>
      <c r="T313" t="str">
        <f>IF(Pipeline_tbl[[#This Row],[Closed_Date]]=0,"",(_xlfn.XLOOKUP(Pipeline_tbl[[#This Row],[Closed_Date]],Dim_Date!A:A,Dim_Date!H:H)))</f>
        <v>Sep 2025</v>
      </c>
      <c r="U313">
        <f>IF(Pipeline_tbl[[#This Row],[Closed_Date]]=0,"",Pipeline_tbl[[#This Row],[Closed_Date]]-Pipeline_tbl[[#This Row],[Created_Date]])</f>
        <v>11</v>
      </c>
    </row>
    <row r="314" spans="1:21" ht="15" customHeight="1" x14ac:dyDescent="0.2">
      <c r="A314" t="s">
        <v>620</v>
      </c>
      <c r="B314" t="s">
        <v>231</v>
      </c>
      <c r="C314" t="s">
        <v>54</v>
      </c>
      <c r="D314" s="49">
        <v>45915</v>
      </c>
      <c r="E314" s="49">
        <v>45915</v>
      </c>
      <c r="F314" s="49">
        <v>45917</v>
      </c>
      <c r="I314" s="49">
        <v>45920</v>
      </c>
      <c r="J314" t="s">
        <v>49</v>
      </c>
      <c r="K314" s="33">
        <v>2200</v>
      </c>
      <c r="L314" t="s">
        <v>62</v>
      </c>
      <c r="M314" t="str">
        <f>_xlfn.XLOOKUP(Pipeline_tbl[[#This Row],[Rep_ID]],Dim_Reps!A:A,Dim_Reps!K:K)</f>
        <v>MXN</v>
      </c>
      <c r="N314" s="33">
        <f>(_xlfn.XLOOKUP(Pipeline_tbl[[#This Row],[Rate_Code_Generalized]],Lookups!A:A,Lookups!B:B))*Pipeline_tbl[[#This Row],[Pipeline_Amount_USD]]</f>
        <v>43411.94</v>
      </c>
      <c r="O314" t="str">
        <f>_xlfn.XLOOKUP(Pipeline_tbl[[#This Row],[Rep_ID]],Dim_Reps!A:A,Dim_Reps!B:B)</f>
        <v>Ben Silva</v>
      </c>
      <c r="P314" t="str">
        <f>_xlfn.XLOOKUP(Pipeline_tbl[[#This Row],[Rep_ID]],Dim_Reps!A:A,Dim_Reps!C:C)</f>
        <v>SDR / Inside Sales Rep</v>
      </c>
      <c r="Q314" t="str">
        <f>_xlfn.XLOOKUP(Pipeline_tbl[[#This Row],[Rep_ID]],Dim_Reps!A:A,Dim_Reps!D:D)</f>
        <v>Inside Sales</v>
      </c>
      <c r="R314" t="str">
        <f>_xlfn.XLOOKUP(Pipeline_tbl[[#This Row],[Rep_ID]],Dim_Reps!A:A,Dim_Reps!E:E)</f>
        <v>LATAM</v>
      </c>
      <c r="S314" t="str">
        <f>_xlfn.XLOOKUP(Pipeline_tbl[[#This Row],[Created_Date]],Dim_Date!A:A,Dim_Date!H:H)</f>
        <v>Sep 2025</v>
      </c>
      <c r="T314" t="str">
        <f>IF(Pipeline_tbl[[#This Row],[Closed_Date]]=0,"",(_xlfn.XLOOKUP(Pipeline_tbl[[#This Row],[Closed_Date]],Dim_Date!A:A,Dim_Date!H:H)))</f>
        <v>Sep 2025</v>
      </c>
      <c r="U314">
        <f>IF(Pipeline_tbl[[#This Row],[Closed_Date]]=0,"",Pipeline_tbl[[#This Row],[Closed_Date]]-Pipeline_tbl[[#This Row],[Created_Date]])</f>
        <v>5</v>
      </c>
    </row>
    <row r="315" spans="1:21" ht="15" customHeight="1" x14ac:dyDescent="0.2">
      <c r="A315" t="s">
        <v>621</v>
      </c>
      <c r="B315" t="s">
        <v>231</v>
      </c>
      <c r="C315" t="s">
        <v>52</v>
      </c>
      <c r="D315" s="49">
        <v>45909</v>
      </c>
      <c r="E315" s="49">
        <v>45911</v>
      </c>
      <c r="F315" s="49">
        <v>45914</v>
      </c>
      <c r="G315" s="49">
        <v>45918</v>
      </c>
      <c r="H315" s="49">
        <v>45922</v>
      </c>
      <c r="I315" s="49">
        <v>45924</v>
      </c>
      <c r="J315" t="s">
        <v>47</v>
      </c>
      <c r="K315" s="33">
        <v>2600</v>
      </c>
      <c r="M315" t="str">
        <f>_xlfn.XLOOKUP(Pipeline_tbl[[#This Row],[Rep_ID]],Dim_Reps!A:A,Dim_Reps!K:K)</f>
        <v>MXN</v>
      </c>
      <c r="N315" s="33">
        <f>(_xlfn.XLOOKUP(Pipeline_tbl[[#This Row],[Rate_Code_Generalized]],Lookups!A:A,Lookups!B:B))*Pipeline_tbl[[#This Row],[Pipeline_Amount_USD]]</f>
        <v>51305.020000000004</v>
      </c>
      <c r="O315" t="str">
        <f>_xlfn.XLOOKUP(Pipeline_tbl[[#This Row],[Rep_ID]],Dim_Reps!A:A,Dim_Reps!B:B)</f>
        <v>Ben Silva</v>
      </c>
      <c r="P315" t="str">
        <f>_xlfn.XLOOKUP(Pipeline_tbl[[#This Row],[Rep_ID]],Dim_Reps!A:A,Dim_Reps!C:C)</f>
        <v>SDR / Inside Sales Rep</v>
      </c>
      <c r="Q315" t="str">
        <f>_xlfn.XLOOKUP(Pipeline_tbl[[#This Row],[Rep_ID]],Dim_Reps!A:A,Dim_Reps!D:D)</f>
        <v>Inside Sales</v>
      </c>
      <c r="R315" t="str">
        <f>_xlfn.XLOOKUP(Pipeline_tbl[[#This Row],[Rep_ID]],Dim_Reps!A:A,Dim_Reps!E:E)</f>
        <v>LATAM</v>
      </c>
      <c r="S315" t="str">
        <f>_xlfn.XLOOKUP(Pipeline_tbl[[#This Row],[Created_Date]],Dim_Date!A:A,Dim_Date!H:H)</f>
        <v>Sep 2025</v>
      </c>
      <c r="T315" t="str">
        <f>IF(Pipeline_tbl[[#This Row],[Closed_Date]]=0,"",(_xlfn.XLOOKUP(Pipeline_tbl[[#This Row],[Closed_Date]],Dim_Date!A:A,Dim_Date!H:H)))</f>
        <v>Sep 2025</v>
      </c>
      <c r="U315">
        <f>IF(Pipeline_tbl[[#This Row],[Closed_Date]]=0,"",Pipeline_tbl[[#This Row],[Closed_Date]]-Pipeline_tbl[[#This Row],[Created_Date]])</f>
        <v>15</v>
      </c>
    </row>
    <row r="316" spans="1:21" ht="15" customHeight="1" x14ac:dyDescent="0.2">
      <c r="A316" t="s">
        <v>622</v>
      </c>
      <c r="B316" t="s">
        <v>231</v>
      </c>
      <c r="C316" t="s">
        <v>54</v>
      </c>
      <c r="D316" s="49">
        <v>45904</v>
      </c>
      <c r="E316" s="49">
        <v>45906</v>
      </c>
      <c r="F316" s="49">
        <v>45909</v>
      </c>
      <c r="G316" s="49">
        <v>45915</v>
      </c>
      <c r="H316" s="49">
        <v>45919</v>
      </c>
      <c r="I316" s="49">
        <v>45922</v>
      </c>
      <c r="J316" t="s">
        <v>49</v>
      </c>
      <c r="K316" s="33">
        <v>3100</v>
      </c>
      <c r="L316" t="s">
        <v>60</v>
      </c>
      <c r="M316" t="str">
        <f>_xlfn.XLOOKUP(Pipeline_tbl[[#This Row],[Rep_ID]],Dim_Reps!A:A,Dim_Reps!K:K)</f>
        <v>MXN</v>
      </c>
      <c r="N316" s="33">
        <f>(_xlfn.XLOOKUP(Pipeline_tbl[[#This Row],[Rate_Code_Generalized]],Lookups!A:A,Lookups!B:B))*Pipeline_tbl[[#This Row],[Pipeline_Amount_USD]]</f>
        <v>61171.37</v>
      </c>
      <c r="O316" t="str">
        <f>_xlfn.XLOOKUP(Pipeline_tbl[[#This Row],[Rep_ID]],Dim_Reps!A:A,Dim_Reps!B:B)</f>
        <v>Ben Silva</v>
      </c>
      <c r="P316" t="str">
        <f>_xlfn.XLOOKUP(Pipeline_tbl[[#This Row],[Rep_ID]],Dim_Reps!A:A,Dim_Reps!C:C)</f>
        <v>SDR / Inside Sales Rep</v>
      </c>
      <c r="Q316" t="str">
        <f>_xlfn.XLOOKUP(Pipeline_tbl[[#This Row],[Rep_ID]],Dim_Reps!A:A,Dim_Reps!D:D)</f>
        <v>Inside Sales</v>
      </c>
      <c r="R316" t="str">
        <f>_xlfn.XLOOKUP(Pipeline_tbl[[#This Row],[Rep_ID]],Dim_Reps!A:A,Dim_Reps!E:E)</f>
        <v>LATAM</v>
      </c>
      <c r="S316" t="str">
        <f>_xlfn.XLOOKUP(Pipeline_tbl[[#This Row],[Created_Date]],Dim_Date!A:A,Dim_Date!H:H)</f>
        <v>Sep 2025</v>
      </c>
      <c r="T316" t="str">
        <f>IF(Pipeline_tbl[[#This Row],[Closed_Date]]=0,"",(_xlfn.XLOOKUP(Pipeline_tbl[[#This Row],[Closed_Date]],Dim_Date!A:A,Dim_Date!H:H)))</f>
        <v>Sep 2025</v>
      </c>
      <c r="U316">
        <f>IF(Pipeline_tbl[[#This Row],[Closed_Date]]=0,"",Pipeline_tbl[[#This Row],[Closed_Date]]-Pipeline_tbl[[#This Row],[Created_Date]])</f>
        <v>18</v>
      </c>
    </row>
    <row r="317" spans="1:21" ht="15" customHeight="1" x14ac:dyDescent="0.2">
      <c r="A317" t="s">
        <v>623</v>
      </c>
      <c r="B317" t="s">
        <v>231</v>
      </c>
      <c r="C317" t="s">
        <v>52</v>
      </c>
      <c r="D317" s="49">
        <v>45903</v>
      </c>
      <c r="E317" s="49">
        <v>45906</v>
      </c>
      <c r="F317" s="49">
        <v>45911</v>
      </c>
      <c r="I317" s="49">
        <v>45929</v>
      </c>
      <c r="J317" t="s">
        <v>49</v>
      </c>
      <c r="K317" s="33">
        <v>3800</v>
      </c>
      <c r="L317" t="s">
        <v>60</v>
      </c>
      <c r="M317" t="str">
        <f>_xlfn.XLOOKUP(Pipeline_tbl[[#This Row],[Rep_ID]],Dim_Reps!A:A,Dim_Reps!K:K)</f>
        <v>MXN</v>
      </c>
      <c r="N317" s="33">
        <f>(_xlfn.XLOOKUP(Pipeline_tbl[[#This Row],[Rate_Code_Generalized]],Lookups!A:A,Lookups!B:B))*Pipeline_tbl[[#This Row],[Pipeline_Amount_USD]]</f>
        <v>74984.260000000009</v>
      </c>
      <c r="O317" t="str">
        <f>_xlfn.XLOOKUP(Pipeline_tbl[[#This Row],[Rep_ID]],Dim_Reps!A:A,Dim_Reps!B:B)</f>
        <v>Ben Silva</v>
      </c>
      <c r="P317" t="str">
        <f>_xlfn.XLOOKUP(Pipeline_tbl[[#This Row],[Rep_ID]],Dim_Reps!A:A,Dim_Reps!C:C)</f>
        <v>SDR / Inside Sales Rep</v>
      </c>
      <c r="Q317" t="str">
        <f>_xlfn.XLOOKUP(Pipeline_tbl[[#This Row],[Rep_ID]],Dim_Reps!A:A,Dim_Reps!D:D)</f>
        <v>Inside Sales</v>
      </c>
      <c r="R317" t="str">
        <f>_xlfn.XLOOKUP(Pipeline_tbl[[#This Row],[Rep_ID]],Dim_Reps!A:A,Dim_Reps!E:E)</f>
        <v>LATAM</v>
      </c>
      <c r="S317" t="str">
        <f>_xlfn.XLOOKUP(Pipeline_tbl[[#This Row],[Created_Date]],Dim_Date!A:A,Dim_Date!H:H)</f>
        <v>Sep 2025</v>
      </c>
      <c r="T317" t="str">
        <f>IF(Pipeline_tbl[[#This Row],[Closed_Date]]=0,"",(_xlfn.XLOOKUP(Pipeline_tbl[[#This Row],[Closed_Date]],Dim_Date!A:A,Dim_Date!H:H)))</f>
        <v>Sep 2025</v>
      </c>
      <c r="U317">
        <f>IF(Pipeline_tbl[[#This Row],[Closed_Date]]=0,"",Pipeline_tbl[[#This Row],[Closed_Date]]-Pipeline_tbl[[#This Row],[Created_Date]])</f>
        <v>26</v>
      </c>
    </row>
    <row r="318" spans="1:21" ht="15" customHeight="1" x14ac:dyDescent="0.2">
      <c r="A318" t="s">
        <v>624</v>
      </c>
      <c r="B318" t="s">
        <v>231</v>
      </c>
      <c r="C318" t="s">
        <v>54</v>
      </c>
      <c r="D318" s="49">
        <v>45906</v>
      </c>
      <c r="E318" s="49">
        <v>45908</v>
      </c>
      <c r="F318" s="49">
        <v>45913</v>
      </c>
      <c r="G318" s="49">
        <v>45920</v>
      </c>
      <c r="H318" s="49">
        <v>45926</v>
      </c>
      <c r="I318" s="49">
        <v>45929</v>
      </c>
      <c r="J318" t="s">
        <v>47</v>
      </c>
      <c r="K318" s="33">
        <v>3600</v>
      </c>
      <c r="M318" t="str">
        <f>_xlfn.XLOOKUP(Pipeline_tbl[[#This Row],[Rep_ID]],Dim_Reps!A:A,Dim_Reps!K:K)</f>
        <v>MXN</v>
      </c>
      <c r="N318" s="33">
        <f>(_xlfn.XLOOKUP(Pipeline_tbl[[#This Row],[Rate_Code_Generalized]],Lookups!A:A,Lookups!B:B))*Pipeline_tbl[[#This Row],[Pipeline_Amount_USD]]</f>
        <v>71037.72</v>
      </c>
      <c r="O318" t="str">
        <f>_xlfn.XLOOKUP(Pipeline_tbl[[#This Row],[Rep_ID]],Dim_Reps!A:A,Dim_Reps!B:B)</f>
        <v>Ben Silva</v>
      </c>
      <c r="P318" t="str">
        <f>_xlfn.XLOOKUP(Pipeline_tbl[[#This Row],[Rep_ID]],Dim_Reps!A:A,Dim_Reps!C:C)</f>
        <v>SDR / Inside Sales Rep</v>
      </c>
      <c r="Q318" t="str">
        <f>_xlfn.XLOOKUP(Pipeline_tbl[[#This Row],[Rep_ID]],Dim_Reps!A:A,Dim_Reps!D:D)</f>
        <v>Inside Sales</v>
      </c>
      <c r="R318" t="str">
        <f>_xlfn.XLOOKUP(Pipeline_tbl[[#This Row],[Rep_ID]],Dim_Reps!A:A,Dim_Reps!E:E)</f>
        <v>LATAM</v>
      </c>
      <c r="S318" t="str">
        <f>_xlfn.XLOOKUP(Pipeline_tbl[[#This Row],[Created_Date]],Dim_Date!A:A,Dim_Date!H:H)</f>
        <v>Sep 2025</v>
      </c>
      <c r="T318" t="str">
        <f>IF(Pipeline_tbl[[#This Row],[Closed_Date]]=0,"",(_xlfn.XLOOKUP(Pipeline_tbl[[#This Row],[Closed_Date]],Dim_Date!A:A,Dim_Date!H:H)))</f>
        <v>Sep 2025</v>
      </c>
      <c r="U318">
        <f>IF(Pipeline_tbl[[#This Row],[Closed_Date]]=0,"",Pipeline_tbl[[#This Row],[Closed_Date]]-Pipeline_tbl[[#This Row],[Created_Date]])</f>
        <v>23</v>
      </c>
    </row>
    <row r="319" spans="1:21" ht="15" customHeight="1" x14ac:dyDescent="0.2">
      <c r="A319" t="s">
        <v>625</v>
      </c>
      <c r="B319" t="s">
        <v>263</v>
      </c>
      <c r="C319" t="s">
        <v>52</v>
      </c>
      <c r="D319" s="49">
        <v>45909</v>
      </c>
      <c r="E319" s="49">
        <v>45911</v>
      </c>
      <c r="F319" s="49">
        <v>45914</v>
      </c>
      <c r="G319" s="49">
        <v>45920</v>
      </c>
      <c r="I319" s="49">
        <v>45927</v>
      </c>
      <c r="J319" t="s">
        <v>49</v>
      </c>
      <c r="K319" s="33">
        <v>14600</v>
      </c>
      <c r="L319" t="s">
        <v>61</v>
      </c>
      <c r="M319" t="str">
        <f>_xlfn.XLOOKUP(Pipeline_tbl[[#This Row],[Rep_ID]],Dim_Reps!A:A,Dim_Reps!K:K)</f>
        <v>USD</v>
      </c>
      <c r="N319" s="33">
        <f>(_xlfn.XLOOKUP(Pipeline_tbl[[#This Row],[Rate_Code_Generalized]],Lookups!A:A,Lookups!B:B))*Pipeline_tbl[[#This Row],[Pipeline_Amount_USD]]</f>
        <v>16998.78</v>
      </c>
      <c r="O319" t="str">
        <f>_xlfn.XLOOKUP(Pipeline_tbl[[#This Row],[Rep_ID]],Dim_Reps!A:A,Dim_Reps!B:B)</f>
        <v>Morgan Weber</v>
      </c>
      <c r="P319" t="str">
        <f>_xlfn.XLOOKUP(Pipeline_tbl[[#This Row],[Rep_ID]],Dim_Reps!A:A,Dim_Reps!C:C)</f>
        <v>Mid-Market AE</v>
      </c>
      <c r="Q319" t="str">
        <f>_xlfn.XLOOKUP(Pipeline_tbl[[#This Row],[Rep_ID]],Dim_Reps!A:A,Dim_Reps!D:D)</f>
        <v>Mid-Market</v>
      </c>
      <c r="R319" t="str">
        <f>_xlfn.XLOOKUP(Pipeline_tbl[[#This Row],[Rep_ID]],Dim_Reps!A:A,Dim_Reps!E:E)</f>
        <v>NAMER</v>
      </c>
      <c r="S319" t="str">
        <f>_xlfn.XLOOKUP(Pipeline_tbl[[#This Row],[Created_Date]],Dim_Date!A:A,Dim_Date!H:H)</f>
        <v>Sep 2025</v>
      </c>
      <c r="T319" t="str">
        <f>IF(Pipeline_tbl[[#This Row],[Closed_Date]]=0,"",(_xlfn.XLOOKUP(Pipeline_tbl[[#This Row],[Closed_Date]],Dim_Date!A:A,Dim_Date!H:H)))</f>
        <v>Sep 2025</v>
      </c>
      <c r="U319">
        <f>IF(Pipeline_tbl[[#This Row],[Closed_Date]]=0,"",Pipeline_tbl[[#This Row],[Closed_Date]]-Pipeline_tbl[[#This Row],[Created_Date]])</f>
        <v>18</v>
      </c>
    </row>
    <row r="320" spans="1:21" ht="15" customHeight="1" x14ac:dyDescent="0.2">
      <c r="A320" t="s">
        <v>626</v>
      </c>
      <c r="B320" t="s">
        <v>263</v>
      </c>
      <c r="C320" t="s">
        <v>55</v>
      </c>
      <c r="D320" s="49">
        <v>45901</v>
      </c>
      <c r="E320" s="49">
        <v>45903</v>
      </c>
      <c r="F320" s="49">
        <v>45908</v>
      </c>
      <c r="G320" s="49">
        <v>45915</v>
      </c>
      <c r="I320" s="49">
        <v>45924</v>
      </c>
      <c r="J320" t="s">
        <v>49</v>
      </c>
      <c r="K320" s="33">
        <v>9500</v>
      </c>
      <c r="L320" t="s">
        <v>64</v>
      </c>
      <c r="M320" t="str">
        <f>_xlfn.XLOOKUP(Pipeline_tbl[[#This Row],[Rep_ID]],Dim_Reps!A:A,Dim_Reps!K:K)</f>
        <v>USD</v>
      </c>
      <c r="N320" s="33">
        <f>(_xlfn.XLOOKUP(Pipeline_tbl[[#This Row],[Rate_Code_Generalized]],Lookups!A:A,Lookups!B:B))*Pipeline_tbl[[#This Row],[Pipeline_Amount_USD]]</f>
        <v>11060.849999999999</v>
      </c>
      <c r="O320" t="str">
        <f>_xlfn.XLOOKUP(Pipeline_tbl[[#This Row],[Rep_ID]],Dim_Reps!A:A,Dim_Reps!B:B)</f>
        <v>Morgan Weber</v>
      </c>
      <c r="P320" t="str">
        <f>_xlfn.XLOOKUP(Pipeline_tbl[[#This Row],[Rep_ID]],Dim_Reps!A:A,Dim_Reps!C:C)</f>
        <v>Mid-Market AE</v>
      </c>
      <c r="Q320" t="str">
        <f>_xlfn.XLOOKUP(Pipeline_tbl[[#This Row],[Rep_ID]],Dim_Reps!A:A,Dim_Reps!D:D)</f>
        <v>Mid-Market</v>
      </c>
      <c r="R320" t="str">
        <f>_xlfn.XLOOKUP(Pipeline_tbl[[#This Row],[Rep_ID]],Dim_Reps!A:A,Dim_Reps!E:E)</f>
        <v>NAMER</v>
      </c>
      <c r="S320" t="str">
        <f>_xlfn.XLOOKUP(Pipeline_tbl[[#This Row],[Created_Date]],Dim_Date!A:A,Dim_Date!H:H)</f>
        <v>Sep 2025</v>
      </c>
      <c r="T320" t="str">
        <f>IF(Pipeline_tbl[[#This Row],[Closed_Date]]=0,"",(_xlfn.XLOOKUP(Pipeline_tbl[[#This Row],[Closed_Date]],Dim_Date!A:A,Dim_Date!H:H)))</f>
        <v>Sep 2025</v>
      </c>
      <c r="U320">
        <f>IF(Pipeline_tbl[[#This Row],[Closed_Date]]=0,"",Pipeline_tbl[[#This Row],[Closed_Date]]-Pipeline_tbl[[#This Row],[Created_Date]])</f>
        <v>23</v>
      </c>
    </row>
    <row r="321" spans="1:21" ht="15" customHeight="1" x14ac:dyDescent="0.2">
      <c r="A321" t="s">
        <v>627</v>
      </c>
      <c r="B321" t="s">
        <v>233</v>
      </c>
      <c r="C321" t="s">
        <v>52</v>
      </c>
      <c r="D321" s="49">
        <v>45905</v>
      </c>
      <c r="E321" s="49">
        <v>45907</v>
      </c>
      <c r="F321" s="49">
        <v>45910</v>
      </c>
      <c r="G321" s="49">
        <v>45914</v>
      </c>
      <c r="H321" s="49">
        <v>45918</v>
      </c>
      <c r="I321" s="49">
        <v>45920</v>
      </c>
      <c r="J321" t="s">
        <v>49</v>
      </c>
      <c r="K321" s="33">
        <v>2300</v>
      </c>
      <c r="L321" t="s">
        <v>61</v>
      </c>
      <c r="M321" t="str">
        <f>_xlfn.XLOOKUP(Pipeline_tbl[[#This Row],[Rep_ID]],Dim_Reps!A:A,Dim_Reps!K:K)</f>
        <v>MXN</v>
      </c>
      <c r="N321" s="33">
        <f>(_xlfn.XLOOKUP(Pipeline_tbl[[#This Row],[Rate_Code_Generalized]],Lookups!A:A,Lookups!B:B))*Pipeline_tbl[[#This Row],[Pipeline_Amount_USD]]</f>
        <v>45385.210000000006</v>
      </c>
      <c r="O321" t="str">
        <f>_xlfn.XLOOKUP(Pipeline_tbl[[#This Row],[Rep_ID]],Dim_Reps!A:A,Dim_Reps!B:B)</f>
        <v>Lucas Duarte</v>
      </c>
      <c r="P321" t="str">
        <f>_xlfn.XLOOKUP(Pipeline_tbl[[#This Row],[Rep_ID]],Dim_Reps!A:A,Dim_Reps!C:C)</f>
        <v>SDR / Inside Sales Rep</v>
      </c>
      <c r="Q321" t="str">
        <f>_xlfn.XLOOKUP(Pipeline_tbl[[#This Row],[Rep_ID]],Dim_Reps!A:A,Dim_Reps!D:D)</f>
        <v>Inside Sales</v>
      </c>
      <c r="R321" t="str">
        <f>_xlfn.XLOOKUP(Pipeline_tbl[[#This Row],[Rep_ID]],Dim_Reps!A:A,Dim_Reps!E:E)</f>
        <v>LATAM</v>
      </c>
      <c r="S321" t="str">
        <f>_xlfn.XLOOKUP(Pipeline_tbl[[#This Row],[Created_Date]],Dim_Date!A:A,Dim_Date!H:H)</f>
        <v>Sep 2025</v>
      </c>
      <c r="T321" t="str">
        <f>IF(Pipeline_tbl[[#This Row],[Closed_Date]]=0,"",(_xlfn.XLOOKUP(Pipeline_tbl[[#This Row],[Closed_Date]],Dim_Date!A:A,Dim_Date!H:H)))</f>
        <v>Sep 2025</v>
      </c>
      <c r="U321">
        <f>IF(Pipeline_tbl[[#This Row],[Closed_Date]]=0,"",Pipeline_tbl[[#This Row],[Closed_Date]]-Pipeline_tbl[[#This Row],[Created_Date]])</f>
        <v>15</v>
      </c>
    </row>
    <row r="322" spans="1:21" ht="15" customHeight="1" x14ac:dyDescent="0.2">
      <c r="A322" t="s">
        <v>628</v>
      </c>
      <c r="B322" t="s">
        <v>233</v>
      </c>
      <c r="C322" t="s">
        <v>52</v>
      </c>
      <c r="D322" s="49">
        <v>45911</v>
      </c>
      <c r="E322" s="49">
        <v>45912</v>
      </c>
      <c r="F322" s="49">
        <v>45914</v>
      </c>
      <c r="G322" s="49">
        <v>45918</v>
      </c>
      <c r="H322" s="49">
        <v>45920</v>
      </c>
      <c r="I322" s="49">
        <v>45922</v>
      </c>
      <c r="J322" t="s">
        <v>47</v>
      </c>
      <c r="K322" s="33">
        <v>3600</v>
      </c>
      <c r="M322" t="str">
        <f>_xlfn.XLOOKUP(Pipeline_tbl[[#This Row],[Rep_ID]],Dim_Reps!A:A,Dim_Reps!K:K)</f>
        <v>MXN</v>
      </c>
      <c r="N322" s="33">
        <f>(_xlfn.XLOOKUP(Pipeline_tbl[[#This Row],[Rate_Code_Generalized]],Lookups!A:A,Lookups!B:B))*Pipeline_tbl[[#This Row],[Pipeline_Amount_USD]]</f>
        <v>71037.72</v>
      </c>
      <c r="O322" t="str">
        <f>_xlfn.XLOOKUP(Pipeline_tbl[[#This Row],[Rep_ID]],Dim_Reps!A:A,Dim_Reps!B:B)</f>
        <v>Lucas Duarte</v>
      </c>
      <c r="P322" t="str">
        <f>_xlfn.XLOOKUP(Pipeline_tbl[[#This Row],[Rep_ID]],Dim_Reps!A:A,Dim_Reps!C:C)</f>
        <v>SDR / Inside Sales Rep</v>
      </c>
      <c r="Q322" t="str">
        <f>_xlfn.XLOOKUP(Pipeline_tbl[[#This Row],[Rep_ID]],Dim_Reps!A:A,Dim_Reps!D:D)</f>
        <v>Inside Sales</v>
      </c>
      <c r="R322" t="str">
        <f>_xlfn.XLOOKUP(Pipeline_tbl[[#This Row],[Rep_ID]],Dim_Reps!A:A,Dim_Reps!E:E)</f>
        <v>LATAM</v>
      </c>
      <c r="S322" t="str">
        <f>_xlfn.XLOOKUP(Pipeline_tbl[[#This Row],[Created_Date]],Dim_Date!A:A,Dim_Date!H:H)</f>
        <v>Sep 2025</v>
      </c>
      <c r="T322" t="str">
        <f>IF(Pipeline_tbl[[#This Row],[Closed_Date]]=0,"",(_xlfn.XLOOKUP(Pipeline_tbl[[#This Row],[Closed_Date]],Dim_Date!A:A,Dim_Date!H:H)))</f>
        <v>Sep 2025</v>
      </c>
      <c r="U322">
        <f>IF(Pipeline_tbl[[#This Row],[Closed_Date]]=0,"",Pipeline_tbl[[#This Row],[Closed_Date]]-Pipeline_tbl[[#This Row],[Created_Date]])</f>
        <v>11</v>
      </c>
    </row>
    <row r="323" spans="1:21" ht="15" customHeight="1" x14ac:dyDescent="0.2">
      <c r="A323" t="s">
        <v>629</v>
      </c>
      <c r="B323" t="s">
        <v>267</v>
      </c>
      <c r="C323" t="s">
        <v>52</v>
      </c>
      <c r="D323" s="49">
        <v>45901</v>
      </c>
      <c r="E323" s="49">
        <v>45903</v>
      </c>
      <c r="F323" s="49">
        <v>45909</v>
      </c>
      <c r="G323" s="49">
        <v>45916</v>
      </c>
      <c r="I323" s="49">
        <v>45926</v>
      </c>
      <c r="J323" t="s">
        <v>49</v>
      </c>
      <c r="K323" s="33">
        <v>12700</v>
      </c>
      <c r="L323" t="s">
        <v>61</v>
      </c>
      <c r="M323" t="str">
        <f>_xlfn.XLOOKUP(Pipeline_tbl[[#This Row],[Rep_ID]],Dim_Reps!A:A,Dim_Reps!K:K)</f>
        <v>MXN</v>
      </c>
      <c r="N323" s="33">
        <f>(_xlfn.XLOOKUP(Pipeline_tbl[[#This Row],[Rate_Code_Generalized]],Lookups!A:A,Lookups!B:B))*Pipeline_tbl[[#This Row],[Pipeline_Amount_USD]]</f>
        <v>250605.29</v>
      </c>
      <c r="O323" t="str">
        <f>_xlfn.XLOOKUP(Pipeline_tbl[[#This Row],[Rep_ID]],Dim_Reps!A:A,Dim_Reps!B:B)</f>
        <v>Yuki Dubois</v>
      </c>
      <c r="P323" t="str">
        <f>_xlfn.XLOOKUP(Pipeline_tbl[[#This Row],[Rep_ID]],Dim_Reps!A:A,Dim_Reps!C:C)</f>
        <v>Mid-Market AE</v>
      </c>
      <c r="Q323" t="str">
        <f>_xlfn.XLOOKUP(Pipeline_tbl[[#This Row],[Rep_ID]],Dim_Reps!A:A,Dim_Reps!D:D)</f>
        <v>Mid-Market</v>
      </c>
      <c r="R323" t="str">
        <f>_xlfn.XLOOKUP(Pipeline_tbl[[#This Row],[Rep_ID]],Dim_Reps!A:A,Dim_Reps!E:E)</f>
        <v>LATAM</v>
      </c>
      <c r="S323" t="str">
        <f>_xlfn.XLOOKUP(Pipeline_tbl[[#This Row],[Created_Date]],Dim_Date!A:A,Dim_Date!H:H)</f>
        <v>Sep 2025</v>
      </c>
      <c r="T323" t="str">
        <f>IF(Pipeline_tbl[[#This Row],[Closed_Date]]=0,"",(_xlfn.XLOOKUP(Pipeline_tbl[[#This Row],[Closed_Date]],Dim_Date!A:A,Dim_Date!H:H)))</f>
        <v>Sep 2025</v>
      </c>
      <c r="U323">
        <f>IF(Pipeline_tbl[[#This Row],[Closed_Date]]=0,"",Pipeline_tbl[[#This Row],[Closed_Date]]-Pipeline_tbl[[#This Row],[Created_Date]])</f>
        <v>25</v>
      </c>
    </row>
    <row r="324" spans="1:21" ht="15" customHeight="1" x14ac:dyDescent="0.2">
      <c r="A324" t="s">
        <v>630</v>
      </c>
      <c r="B324" t="s">
        <v>235</v>
      </c>
      <c r="C324" t="s">
        <v>52</v>
      </c>
      <c r="D324" s="49">
        <v>45903</v>
      </c>
      <c r="E324" s="49">
        <v>45905</v>
      </c>
      <c r="F324" s="49">
        <v>45911</v>
      </c>
      <c r="G324" s="49">
        <v>45918</v>
      </c>
      <c r="H324" s="49">
        <v>45924</v>
      </c>
      <c r="I324" s="49">
        <v>45928</v>
      </c>
      <c r="J324" t="s">
        <v>47</v>
      </c>
      <c r="K324" s="33">
        <v>2000</v>
      </c>
      <c r="M324" t="str">
        <f>_xlfn.XLOOKUP(Pipeline_tbl[[#This Row],[Rep_ID]],Dim_Reps!A:A,Dim_Reps!K:K)</f>
        <v>MXN</v>
      </c>
      <c r="N324" s="33">
        <f>(_xlfn.XLOOKUP(Pipeline_tbl[[#This Row],[Rate_Code_Generalized]],Lookups!A:A,Lookups!B:B))*Pipeline_tbl[[#This Row],[Pipeline_Amount_USD]]</f>
        <v>39465.4</v>
      </c>
      <c r="O324" t="str">
        <f>_xlfn.XLOOKUP(Pipeline_tbl[[#This Row],[Rep_ID]],Dim_Reps!A:A,Dim_Reps!B:B)</f>
        <v>Milo Castro</v>
      </c>
      <c r="P324" t="str">
        <f>_xlfn.XLOOKUP(Pipeline_tbl[[#This Row],[Rep_ID]],Dim_Reps!A:A,Dim_Reps!C:C)</f>
        <v>SDR / Inside Sales Rep</v>
      </c>
      <c r="Q324" t="str">
        <f>_xlfn.XLOOKUP(Pipeline_tbl[[#This Row],[Rep_ID]],Dim_Reps!A:A,Dim_Reps!D:D)</f>
        <v>Inside Sales</v>
      </c>
      <c r="R324" t="str">
        <f>_xlfn.XLOOKUP(Pipeline_tbl[[#This Row],[Rep_ID]],Dim_Reps!A:A,Dim_Reps!E:E)</f>
        <v>LATAM</v>
      </c>
      <c r="S324" t="str">
        <f>_xlfn.XLOOKUP(Pipeline_tbl[[#This Row],[Created_Date]],Dim_Date!A:A,Dim_Date!H:H)</f>
        <v>Sep 2025</v>
      </c>
      <c r="T324" t="str">
        <f>IF(Pipeline_tbl[[#This Row],[Closed_Date]]=0,"",(_xlfn.XLOOKUP(Pipeline_tbl[[#This Row],[Closed_Date]],Dim_Date!A:A,Dim_Date!H:H)))</f>
        <v>Sep 2025</v>
      </c>
      <c r="U324">
        <f>IF(Pipeline_tbl[[#This Row],[Closed_Date]]=0,"",Pipeline_tbl[[#This Row],[Closed_Date]]-Pipeline_tbl[[#This Row],[Created_Date]])</f>
        <v>25</v>
      </c>
    </row>
    <row r="325" spans="1:21" ht="15" customHeight="1" x14ac:dyDescent="0.2">
      <c r="A325" t="s">
        <v>631</v>
      </c>
      <c r="B325" t="s">
        <v>235</v>
      </c>
      <c r="C325" t="s">
        <v>53</v>
      </c>
      <c r="D325" s="49">
        <v>45911</v>
      </c>
      <c r="E325" s="49">
        <v>45913</v>
      </c>
      <c r="F325" s="49">
        <v>45916</v>
      </c>
      <c r="G325" s="49">
        <v>45921</v>
      </c>
      <c r="H325" s="49">
        <v>45925</v>
      </c>
      <c r="I325" s="49">
        <v>45928</v>
      </c>
      <c r="J325" t="s">
        <v>47</v>
      </c>
      <c r="K325" s="33">
        <v>6900</v>
      </c>
      <c r="M325" t="str">
        <f>_xlfn.XLOOKUP(Pipeline_tbl[[#This Row],[Rep_ID]],Dim_Reps!A:A,Dim_Reps!K:K)</f>
        <v>MXN</v>
      </c>
      <c r="N325" s="33">
        <f>(_xlfn.XLOOKUP(Pipeline_tbl[[#This Row],[Rate_Code_Generalized]],Lookups!A:A,Lookups!B:B))*Pipeline_tbl[[#This Row],[Pipeline_Amount_USD]]</f>
        <v>136155.63</v>
      </c>
      <c r="O325" t="str">
        <f>_xlfn.XLOOKUP(Pipeline_tbl[[#This Row],[Rep_ID]],Dim_Reps!A:A,Dim_Reps!B:B)</f>
        <v>Milo Castro</v>
      </c>
      <c r="P325" t="str">
        <f>_xlfn.XLOOKUP(Pipeline_tbl[[#This Row],[Rep_ID]],Dim_Reps!A:A,Dim_Reps!C:C)</f>
        <v>SDR / Inside Sales Rep</v>
      </c>
      <c r="Q325" t="str">
        <f>_xlfn.XLOOKUP(Pipeline_tbl[[#This Row],[Rep_ID]],Dim_Reps!A:A,Dim_Reps!D:D)</f>
        <v>Inside Sales</v>
      </c>
      <c r="R325" t="str">
        <f>_xlfn.XLOOKUP(Pipeline_tbl[[#This Row],[Rep_ID]],Dim_Reps!A:A,Dim_Reps!E:E)</f>
        <v>LATAM</v>
      </c>
      <c r="S325" t="str">
        <f>_xlfn.XLOOKUP(Pipeline_tbl[[#This Row],[Created_Date]],Dim_Date!A:A,Dim_Date!H:H)</f>
        <v>Sep 2025</v>
      </c>
      <c r="T325" t="str">
        <f>IF(Pipeline_tbl[[#This Row],[Closed_Date]]=0,"",(_xlfn.XLOOKUP(Pipeline_tbl[[#This Row],[Closed_Date]],Dim_Date!A:A,Dim_Date!H:H)))</f>
        <v>Sep 2025</v>
      </c>
      <c r="U325">
        <f>IF(Pipeline_tbl[[#This Row],[Closed_Date]]=0,"",Pipeline_tbl[[#This Row],[Closed_Date]]-Pipeline_tbl[[#This Row],[Created_Date]])</f>
        <v>17</v>
      </c>
    </row>
    <row r="326" spans="1:21" ht="15" customHeight="1" x14ac:dyDescent="0.2">
      <c r="A326" t="s">
        <v>632</v>
      </c>
      <c r="B326" t="s">
        <v>235</v>
      </c>
      <c r="C326" t="s">
        <v>52</v>
      </c>
      <c r="D326" s="49">
        <v>45906</v>
      </c>
      <c r="E326" s="49">
        <v>45908</v>
      </c>
      <c r="F326" s="49">
        <v>45911</v>
      </c>
      <c r="G326" s="49">
        <v>45916</v>
      </c>
      <c r="I326" s="49">
        <v>45923</v>
      </c>
      <c r="J326" t="s">
        <v>49</v>
      </c>
      <c r="K326" s="33">
        <v>3300</v>
      </c>
      <c r="L326" t="s">
        <v>63</v>
      </c>
      <c r="M326" t="str">
        <f>_xlfn.XLOOKUP(Pipeline_tbl[[#This Row],[Rep_ID]],Dim_Reps!A:A,Dim_Reps!K:K)</f>
        <v>MXN</v>
      </c>
      <c r="N326" s="33">
        <f>(_xlfn.XLOOKUP(Pipeline_tbl[[#This Row],[Rate_Code_Generalized]],Lookups!A:A,Lookups!B:B))*Pipeline_tbl[[#This Row],[Pipeline_Amount_USD]]</f>
        <v>65117.91</v>
      </c>
      <c r="O326" t="str">
        <f>_xlfn.XLOOKUP(Pipeline_tbl[[#This Row],[Rep_ID]],Dim_Reps!A:A,Dim_Reps!B:B)</f>
        <v>Milo Castro</v>
      </c>
      <c r="P326" t="str">
        <f>_xlfn.XLOOKUP(Pipeline_tbl[[#This Row],[Rep_ID]],Dim_Reps!A:A,Dim_Reps!C:C)</f>
        <v>SDR / Inside Sales Rep</v>
      </c>
      <c r="Q326" t="str">
        <f>_xlfn.XLOOKUP(Pipeline_tbl[[#This Row],[Rep_ID]],Dim_Reps!A:A,Dim_Reps!D:D)</f>
        <v>Inside Sales</v>
      </c>
      <c r="R326" t="str">
        <f>_xlfn.XLOOKUP(Pipeline_tbl[[#This Row],[Rep_ID]],Dim_Reps!A:A,Dim_Reps!E:E)</f>
        <v>LATAM</v>
      </c>
      <c r="S326" t="str">
        <f>_xlfn.XLOOKUP(Pipeline_tbl[[#This Row],[Created_Date]],Dim_Date!A:A,Dim_Date!H:H)</f>
        <v>Sep 2025</v>
      </c>
      <c r="T326" t="str">
        <f>IF(Pipeline_tbl[[#This Row],[Closed_Date]]=0,"",(_xlfn.XLOOKUP(Pipeline_tbl[[#This Row],[Closed_Date]],Dim_Date!A:A,Dim_Date!H:H)))</f>
        <v>Sep 2025</v>
      </c>
      <c r="U326">
        <f>IF(Pipeline_tbl[[#This Row],[Closed_Date]]=0,"",Pipeline_tbl[[#This Row],[Closed_Date]]-Pipeline_tbl[[#This Row],[Created_Date]])</f>
        <v>17</v>
      </c>
    </row>
    <row r="327" spans="1:21" ht="15" customHeight="1" x14ac:dyDescent="0.2">
      <c r="A327" t="s">
        <v>633</v>
      </c>
      <c r="B327" t="s">
        <v>237</v>
      </c>
      <c r="C327" t="s">
        <v>54</v>
      </c>
      <c r="D327" s="49">
        <v>45915</v>
      </c>
      <c r="E327" s="49">
        <v>45916</v>
      </c>
      <c r="F327" s="49">
        <v>45919</v>
      </c>
      <c r="G327" s="49">
        <v>45923</v>
      </c>
      <c r="H327" s="49">
        <v>45926</v>
      </c>
      <c r="I327" s="49">
        <v>45928</v>
      </c>
      <c r="J327" t="s">
        <v>49</v>
      </c>
      <c r="K327" s="33">
        <v>1300</v>
      </c>
      <c r="L327" t="s">
        <v>61</v>
      </c>
      <c r="M327" t="str">
        <f>_xlfn.XLOOKUP(Pipeline_tbl[[#This Row],[Rep_ID]],Dim_Reps!A:A,Dim_Reps!K:K)</f>
        <v>EUR</v>
      </c>
      <c r="N327" s="33">
        <f>(_xlfn.XLOOKUP(Pipeline_tbl[[#This Row],[Rate_Code_Generalized]],Lookups!A:A,Lookups!B:B))*Pipeline_tbl[[#This Row],[Pipeline_Amount_USD]]</f>
        <v>1300</v>
      </c>
      <c r="O327" t="str">
        <f>_xlfn.XLOOKUP(Pipeline_tbl[[#This Row],[Rep_ID]],Dim_Reps!A:A,Dim_Reps!B:B)</f>
        <v>Hugo Santos</v>
      </c>
      <c r="P327" t="str">
        <f>_xlfn.XLOOKUP(Pipeline_tbl[[#This Row],[Rep_ID]],Dim_Reps!A:A,Dim_Reps!C:C)</f>
        <v>SDR / Inside Sales Rep</v>
      </c>
      <c r="Q327" t="str">
        <f>_xlfn.XLOOKUP(Pipeline_tbl[[#This Row],[Rep_ID]],Dim_Reps!A:A,Dim_Reps!D:D)</f>
        <v>Inside Sales</v>
      </c>
      <c r="R327" t="str">
        <f>_xlfn.XLOOKUP(Pipeline_tbl[[#This Row],[Rep_ID]],Dim_Reps!A:A,Dim_Reps!E:E)</f>
        <v>EMEA</v>
      </c>
      <c r="S327" t="str">
        <f>_xlfn.XLOOKUP(Pipeline_tbl[[#This Row],[Created_Date]],Dim_Date!A:A,Dim_Date!H:H)</f>
        <v>Sep 2025</v>
      </c>
      <c r="T327" t="str">
        <f>IF(Pipeline_tbl[[#This Row],[Closed_Date]]=0,"",(_xlfn.XLOOKUP(Pipeline_tbl[[#This Row],[Closed_Date]],Dim_Date!A:A,Dim_Date!H:H)))</f>
        <v>Sep 2025</v>
      </c>
      <c r="U327">
        <f>IF(Pipeline_tbl[[#This Row],[Closed_Date]]=0,"",Pipeline_tbl[[#This Row],[Closed_Date]]-Pipeline_tbl[[#This Row],[Created_Date]])</f>
        <v>13</v>
      </c>
    </row>
    <row r="328" spans="1:21" ht="15" customHeight="1" x14ac:dyDescent="0.2">
      <c r="A328" t="s">
        <v>634</v>
      </c>
      <c r="B328" t="s">
        <v>237</v>
      </c>
      <c r="C328" t="s">
        <v>56</v>
      </c>
      <c r="D328" s="49">
        <v>45902</v>
      </c>
      <c r="E328" s="49">
        <v>45904</v>
      </c>
      <c r="F328" s="49">
        <v>45907</v>
      </c>
      <c r="G328" s="49">
        <v>45912</v>
      </c>
      <c r="I328" s="49">
        <v>45919</v>
      </c>
      <c r="J328" t="s">
        <v>49</v>
      </c>
      <c r="K328" s="33">
        <v>6200</v>
      </c>
      <c r="L328" t="s">
        <v>61</v>
      </c>
      <c r="M328" t="str">
        <f>_xlfn.XLOOKUP(Pipeline_tbl[[#This Row],[Rep_ID]],Dim_Reps!A:A,Dim_Reps!K:K)</f>
        <v>EUR</v>
      </c>
      <c r="N328" s="33">
        <f>(_xlfn.XLOOKUP(Pipeline_tbl[[#This Row],[Rate_Code_Generalized]],Lookups!A:A,Lookups!B:B))*Pipeline_tbl[[#This Row],[Pipeline_Amount_USD]]</f>
        <v>6200</v>
      </c>
      <c r="O328" t="str">
        <f>_xlfn.XLOOKUP(Pipeline_tbl[[#This Row],[Rep_ID]],Dim_Reps!A:A,Dim_Reps!B:B)</f>
        <v>Hugo Santos</v>
      </c>
      <c r="P328" t="str">
        <f>_xlfn.XLOOKUP(Pipeline_tbl[[#This Row],[Rep_ID]],Dim_Reps!A:A,Dim_Reps!C:C)</f>
        <v>SDR / Inside Sales Rep</v>
      </c>
      <c r="Q328" t="str">
        <f>_xlfn.XLOOKUP(Pipeline_tbl[[#This Row],[Rep_ID]],Dim_Reps!A:A,Dim_Reps!D:D)</f>
        <v>Inside Sales</v>
      </c>
      <c r="R328" t="str">
        <f>_xlfn.XLOOKUP(Pipeline_tbl[[#This Row],[Rep_ID]],Dim_Reps!A:A,Dim_Reps!E:E)</f>
        <v>EMEA</v>
      </c>
      <c r="S328" t="str">
        <f>_xlfn.XLOOKUP(Pipeline_tbl[[#This Row],[Created_Date]],Dim_Date!A:A,Dim_Date!H:H)</f>
        <v>Sep 2025</v>
      </c>
      <c r="T328" t="str">
        <f>IF(Pipeline_tbl[[#This Row],[Closed_Date]]=0,"",(_xlfn.XLOOKUP(Pipeline_tbl[[#This Row],[Closed_Date]],Dim_Date!A:A,Dim_Date!H:H)))</f>
        <v>Sep 2025</v>
      </c>
      <c r="U328">
        <f>IF(Pipeline_tbl[[#This Row],[Closed_Date]]=0,"",Pipeline_tbl[[#This Row],[Closed_Date]]-Pipeline_tbl[[#This Row],[Created_Date]])</f>
        <v>17</v>
      </c>
    </row>
    <row r="329" spans="1:21" ht="15" customHeight="1" x14ac:dyDescent="0.2">
      <c r="A329" t="s">
        <v>635</v>
      </c>
      <c r="B329" t="s">
        <v>237</v>
      </c>
      <c r="C329" t="s">
        <v>54</v>
      </c>
      <c r="D329" s="49">
        <v>45903</v>
      </c>
      <c r="E329" s="49">
        <v>45905</v>
      </c>
      <c r="F329" s="49">
        <v>45908</v>
      </c>
      <c r="I329" s="49">
        <v>45919</v>
      </c>
      <c r="J329" t="s">
        <v>49</v>
      </c>
      <c r="K329" s="33">
        <v>3400</v>
      </c>
      <c r="L329" t="s">
        <v>62</v>
      </c>
      <c r="M329" t="str">
        <f>_xlfn.XLOOKUP(Pipeline_tbl[[#This Row],[Rep_ID]],Dim_Reps!A:A,Dim_Reps!K:K)</f>
        <v>EUR</v>
      </c>
      <c r="N329" s="33">
        <f>(_xlfn.XLOOKUP(Pipeline_tbl[[#This Row],[Rate_Code_Generalized]],Lookups!A:A,Lookups!B:B))*Pipeline_tbl[[#This Row],[Pipeline_Amount_USD]]</f>
        <v>3400</v>
      </c>
      <c r="O329" t="str">
        <f>_xlfn.XLOOKUP(Pipeline_tbl[[#This Row],[Rep_ID]],Dim_Reps!A:A,Dim_Reps!B:B)</f>
        <v>Hugo Santos</v>
      </c>
      <c r="P329" t="str">
        <f>_xlfn.XLOOKUP(Pipeline_tbl[[#This Row],[Rep_ID]],Dim_Reps!A:A,Dim_Reps!C:C)</f>
        <v>SDR / Inside Sales Rep</v>
      </c>
      <c r="Q329" t="str">
        <f>_xlfn.XLOOKUP(Pipeline_tbl[[#This Row],[Rep_ID]],Dim_Reps!A:A,Dim_Reps!D:D)</f>
        <v>Inside Sales</v>
      </c>
      <c r="R329" t="str">
        <f>_xlfn.XLOOKUP(Pipeline_tbl[[#This Row],[Rep_ID]],Dim_Reps!A:A,Dim_Reps!E:E)</f>
        <v>EMEA</v>
      </c>
      <c r="S329" t="str">
        <f>_xlfn.XLOOKUP(Pipeline_tbl[[#This Row],[Created_Date]],Dim_Date!A:A,Dim_Date!H:H)</f>
        <v>Sep 2025</v>
      </c>
      <c r="T329" t="str">
        <f>IF(Pipeline_tbl[[#This Row],[Closed_Date]]=0,"",(_xlfn.XLOOKUP(Pipeline_tbl[[#This Row],[Closed_Date]],Dim_Date!A:A,Dim_Date!H:H)))</f>
        <v>Sep 2025</v>
      </c>
      <c r="U329">
        <f>IF(Pipeline_tbl[[#This Row],[Closed_Date]]=0,"",Pipeline_tbl[[#This Row],[Closed_Date]]-Pipeline_tbl[[#This Row],[Created_Date]])</f>
        <v>16</v>
      </c>
    </row>
    <row r="330" spans="1:21" ht="15" customHeight="1" x14ac:dyDescent="0.2">
      <c r="A330" t="s">
        <v>636</v>
      </c>
      <c r="B330" t="s">
        <v>237</v>
      </c>
      <c r="C330" t="s">
        <v>52</v>
      </c>
      <c r="D330" s="49">
        <v>45909</v>
      </c>
      <c r="E330" s="49">
        <v>45910</v>
      </c>
      <c r="F330" s="49">
        <v>45912</v>
      </c>
      <c r="G330" s="49">
        <v>45915</v>
      </c>
      <c r="H330" s="49">
        <v>45917</v>
      </c>
      <c r="I330" s="49">
        <v>45919</v>
      </c>
      <c r="J330" t="s">
        <v>47</v>
      </c>
      <c r="K330" s="33">
        <v>2900</v>
      </c>
      <c r="M330" t="str">
        <f>_xlfn.XLOOKUP(Pipeline_tbl[[#This Row],[Rep_ID]],Dim_Reps!A:A,Dim_Reps!K:K)</f>
        <v>EUR</v>
      </c>
      <c r="N330" s="33">
        <f>(_xlfn.XLOOKUP(Pipeline_tbl[[#This Row],[Rate_Code_Generalized]],Lookups!A:A,Lookups!B:B))*Pipeline_tbl[[#This Row],[Pipeline_Amount_USD]]</f>
        <v>2900</v>
      </c>
      <c r="O330" t="str">
        <f>_xlfn.XLOOKUP(Pipeline_tbl[[#This Row],[Rep_ID]],Dim_Reps!A:A,Dim_Reps!B:B)</f>
        <v>Hugo Santos</v>
      </c>
      <c r="P330" t="str">
        <f>_xlfn.XLOOKUP(Pipeline_tbl[[#This Row],[Rep_ID]],Dim_Reps!A:A,Dim_Reps!C:C)</f>
        <v>SDR / Inside Sales Rep</v>
      </c>
      <c r="Q330" t="str">
        <f>_xlfn.XLOOKUP(Pipeline_tbl[[#This Row],[Rep_ID]],Dim_Reps!A:A,Dim_Reps!D:D)</f>
        <v>Inside Sales</v>
      </c>
      <c r="R330" t="str">
        <f>_xlfn.XLOOKUP(Pipeline_tbl[[#This Row],[Rep_ID]],Dim_Reps!A:A,Dim_Reps!E:E)</f>
        <v>EMEA</v>
      </c>
      <c r="S330" t="str">
        <f>_xlfn.XLOOKUP(Pipeline_tbl[[#This Row],[Created_Date]],Dim_Date!A:A,Dim_Date!H:H)</f>
        <v>Sep 2025</v>
      </c>
      <c r="T330" t="str">
        <f>IF(Pipeline_tbl[[#This Row],[Closed_Date]]=0,"",(_xlfn.XLOOKUP(Pipeline_tbl[[#This Row],[Closed_Date]],Dim_Date!A:A,Dim_Date!H:H)))</f>
        <v>Sep 2025</v>
      </c>
      <c r="U330">
        <f>IF(Pipeline_tbl[[#This Row],[Closed_Date]]=0,"",Pipeline_tbl[[#This Row],[Closed_Date]]-Pipeline_tbl[[#This Row],[Created_Date]])</f>
        <v>10</v>
      </c>
    </row>
    <row r="331" spans="1:21" ht="15" customHeight="1" x14ac:dyDescent="0.2">
      <c r="A331" t="s">
        <v>637</v>
      </c>
      <c r="B331" t="s">
        <v>237</v>
      </c>
      <c r="C331" t="s">
        <v>52</v>
      </c>
      <c r="D331" s="49">
        <v>45921</v>
      </c>
      <c r="E331" s="49">
        <v>45922</v>
      </c>
      <c r="F331" s="49">
        <v>45924</v>
      </c>
      <c r="G331" s="49">
        <v>45926</v>
      </c>
      <c r="H331" s="49">
        <v>45929</v>
      </c>
      <c r="I331" s="49">
        <v>45930</v>
      </c>
      <c r="J331" t="s">
        <v>47</v>
      </c>
      <c r="K331" s="33">
        <v>6200</v>
      </c>
      <c r="M331" t="str">
        <f>_xlfn.XLOOKUP(Pipeline_tbl[[#This Row],[Rep_ID]],Dim_Reps!A:A,Dim_Reps!K:K)</f>
        <v>EUR</v>
      </c>
      <c r="N331" s="33">
        <f>(_xlfn.XLOOKUP(Pipeline_tbl[[#This Row],[Rate_Code_Generalized]],Lookups!A:A,Lookups!B:B))*Pipeline_tbl[[#This Row],[Pipeline_Amount_USD]]</f>
        <v>6200</v>
      </c>
      <c r="O331" t="str">
        <f>_xlfn.XLOOKUP(Pipeline_tbl[[#This Row],[Rep_ID]],Dim_Reps!A:A,Dim_Reps!B:B)</f>
        <v>Hugo Santos</v>
      </c>
      <c r="P331" t="str">
        <f>_xlfn.XLOOKUP(Pipeline_tbl[[#This Row],[Rep_ID]],Dim_Reps!A:A,Dim_Reps!C:C)</f>
        <v>SDR / Inside Sales Rep</v>
      </c>
      <c r="Q331" t="str">
        <f>_xlfn.XLOOKUP(Pipeline_tbl[[#This Row],[Rep_ID]],Dim_Reps!A:A,Dim_Reps!D:D)</f>
        <v>Inside Sales</v>
      </c>
      <c r="R331" t="str">
        <f>_xlfn.XLOOKUP(Pipeline_tbl[[#This Row],[Rep_ID]],Dim_Reps!A:A,Dim_Reps!E:E)</f>
        <v>EMEA</v>
      </c>
      <c r="S331" t="str">
        <f>_xlfn.XLOOKUP(Pipeline_tbl[[#This Row],[Created_Date]],Dim_Date!A:A,Dim_Date!H:H)</f>
        <v>Sep 2025</v>
      </c>
      <c r="T331" t="str">
        <f>IF(Pipeline_tbl[[#This Row],[Closed_Date]]=0,"",(_xlfn.XLOOKUP(Pipeline_tbl[[#This Row],[Closed_Date]],Dim_Date!A:A,Dim_Date!H:H)))</f>
        <v>Sep 2025</v>
      </c>
      <c r="U331">
        <f>IF(Pipeline_tbl[[#This Row],[Closed_Date]]=0,"",Pipeline_tbl[[#This Row],[Closed_Date]]-Pipeline_tbl[[#This Row],[Created_Date]])</f>
        <v>9</v>
      </c>
    </row>
    <row r="332" spans="1:21" ht="15" customHeight="1" x14ac:dyDescent="0.2">
      <c r="A332" t="s">
        <v>638</v>
      </c>
      <c r="B332" t="s">
        <v>237</v>
      </c>
      <c r="C332" t="s">
        <v>52</v>
      </c>
      <c r="D332" s="49">
        <v>45911</v>
      </c>
      <c r="E332" s="49">
        <v>45912</v>
      </c>
      <c r="F332" s="49">
        <v>45914</v>
      </c>
      <c r="G332" s="49">
        <v>45917</v>
      </c>
      <c r="H332" s="49">
        <v>45919</v>
      </c>
      <c r="I332" s="49">
        <v>45921</v>
      </c>
      <c r="J332" t="s">
        <v>49</v>
      </c>
      <c r="K332" s="33">
        <v>3800</v>
      </c>
      <c r="L332" t="s">
        <v>61</v>
      </c>
      <c r="M332" t="str">
        <f>_xlfn.XLOOKUP(Pipeline_tbl[[#This Row],[Rep_ID]],Dim_Reps!A:A,Dim_Reps!K:K)</f>
        <v>EUR</v>
      </c>
      <c r="N332" s="33">
        <f>(_xlfn.XLOOKUP(Pipeline_tbl[[#This Row],[Rate_Code_Generalized]],Lookups!A:A,Lookups!B:B))*Pipeline_tbl[[#This Row],[Pipeline_Amount_USD]]</f>
        <v>3800</v>
      </c>
      <c r="O332" t="str">
        <f>_xlfn.XLOOKUP(Pipeline_tbl[[#This Row],[Rep_ID]],Dim_Reps!A:A,Dim_Reps!B:B)</f>
        <v>Hugo Santos</v>
      </c>
      <c r="P332" t="str">
        <f>_xlfn.XLOOKUP(Pipeline_tbl[[#This Row],[Rep_ID]],Dim_Reps!A:A,Dim_Reps!C:C)</f>
        <v>SDR / Inside Sales Rep</v>
      </c>
      <c r="Q332" t="str">
        <f>_xlfn.XLOOKUP(Pipeline_tbl[[#This Row],[Rep_ID]],Dim_Reps!A:A,Dim_Reps!D:D)</f>
        <v>Inside Sales</v>
      </c>
      <c r="R332" t="str">
        <f>_xlfn.XLOOKUP(Pipeline_tbl[[#This Row],[Rep_ID]],Dim_Reps!A:A,Dim_Reps!E:E)</f>
        <v>EMEA</v>
      </c>
      <c r="S332" t="str">
        <f>_xlfn.XLOOKUP(Pipeline_tbl[[#This Row],[Created_Date]],Dim_Date!A:A,Dim_Date!H:H)</f>
        <v>Sep 2025</v>
      </c>
      <c r="T332" t="str">
        <f>IF(Pipeline_tbl[[#This Row],[Closed_Date]]=0,"",(_xlfn.XLOOKUP(Pipeline_tbl[[#This Row],[Closed_Date]],Dim_Date!A:A,Dim_Date!H:H)))</f>
        <v>Sep 2025</v>
      </c>
      <c r="U332">
        <f>IF(Pipeline_tbl[[#This Row],[Closed_Date]]=0,"",Pipeline_tbl[[#This Row],[Closed_Date]]-Pipeline_tbl[[#This Row],[Created_Date]])</f>
        <v>10</v>
      </c>
    </row>
    <row r="333" spans="1:21" ht="15" customHeight="1" x14ac:dyDescent="0.2">
      <c r="A333" t="s">
        <v>639</v>
      </c>
      <c r="B333" t="s">
        <v>237</v>
      </c>
      <c r="C333" t="s">
        <v>53</v>
      </c>
      <c r="D333" s="49">
        <v>45901</v>
      </c>
      <c r="E333" s="49">
        <v>45903</v>
      </c>
      <c r="F333" s="49">
        <v>45906</v>
      </c>
      <c r="I333" s="49">
        <v>45916</v>
      </c>
      <c r="J333" t="s">
        <v>49</v>
      </c>
      <c r="K333" s="33">
        <v>3100</v>
      </c>
      <c r="L333" t="s">
        <v>64</v>
      </c>
      <c r="M333" t="str">
        <f>_xlfn.XLOOKUP(Pipeline_tbl[[#This Row],[Rep_ID]],Dim_Reps!A:A,Dim_Reps!K:K)</f>
        <v>EUR</v>
      </c>
      <c r="N333" s="33">
        <f>(_xlfn.XLOOKUP(Pipeline_tbl[[#This Row],[Rate_Code_Generalized]],Lookups!A:A,Lookups!B:B))*Pipeline_tbl[[#This Row],[Pipeline_Amount_USD]]</f>
        <v>3100</v>
      </c>
      <c r="O333" t="str">
        <f>_xlfn.XLOOKUP(Pipeline_tbl[[#This Row],[Rep_ID]],Dim_Reps!A:A,Dim_Reps!B:B)</f>
        <v>Hugo Santos</v>
      </c>
      <c r="P333" t="str">
        <f>_xlfn.XLOOKUP(Pipeline_tbl[[#This Row],[Rep_ID]],Dim_Reps!A:A,Dim_Reps!C:C)</f>
        <v>SDR / Inside Sales Rep</v>
      </c>
      <c r="Q333" t="str">
        <f>_xlfn.XLOOKUP(Pipeline_tbl[[#This Row],[Rep_ID]],Dim_Reps!A:A,Dim_Reps!D:D)</f>
        <v>Inside Sales</v>
      </c>
      <c r="R333" t="str">
        <f>_xlfn.XLOOKUP(Pipeline_tbl[[#This Row],[Rep_ID]],Dim_Reps!A:A,Dim_Reps!E:E)</f>
        <v>EMEA</v>
      </c>
      <c r="S333" t="str">
        <f>_xlfn.XLOOKUP(Pipeline_tbl[[#This Row],[Created_Date]],Dim_Date!A:A,Dim_Date!H:H)</f>
        <v>Sep 2025</v>
      </c>
      <c r="T333" t="str">
        <f>IF(Pipeline_tbl[[#This Row],[Closed_Date]]=0,"",(_xlfn.XLOOKUP(Pipeline_tbl[[#This Row],[Closed_Date]],Dim_Date!A:A,Dim_Date!H:H)))</f>
        <v>Sep 2025</v>
      </c>
      <c r="U333">
        <f>IF(Pipeline_tbl[[#This Row],[Closed_Date]]=0,"",Pipeline_tbl[[#This Row],[Closed_Date]]-Pipeline_tbl[[#This Row],[Created_Date]])</f>
        <v>15</v>
      </c>
    </row>
    <row r="334" spans="1:21" ht="15" customHeight="1" x14ac:dyDescent="0.2">
      <c r="A334" t="s">
        <v>640</v>
      </c>
      <c r="B334" t="s">
        <v>237</v>
      </c>
      <c r="C334" t="s">
        <v>53</v>
      </c>
      <c r="D334" s="49">
        <v>45917</v>
      </c>
      <c r="E334" s="49">
        <v>45918</v>
      </c>
      <c r="F334" s="49">
        <v>45921</v>
      </c>
      <c r="G334" s="49">
        <v>45925</v>
      </c>
      <c r="I334" s="49">
        <v>45930</v>
      </c>
      <c r="J334" t="s">
        <v>49</v>
      </c>
      <c r="K334" s="33">
        <v>3800</v>
      </c>
      <c r="L334" t="s">
        <v>60</v>
      </c>
      <c r="M334" t="str">
        <f>_xlfn.XLOOKUP(Pipeline_tbl[[#This Row],[Rep_ID]],Dim_Reps!A:A,Dim_Reps!K:K)</f>
        <v>EUR</v>
      </c>
      <c r="N334" s="33">
        <f>(_xlfn.XLOOKUP(Pipeline_tbl[[#This Row],[Rate_Code_Generalized]],Lookups!A:A,Lookups!B:B))*Pipeline_tbl[[#This Row],[Pipeline_Amount_USD]]</f>
        <v>3800</v>
      </c>
      <c r="O334" t="str">
        <f>_xlfn.XLOOKUP(Pipeline_tbl[[#This Row],[Rep_ID]],Dim_Reps!A:A,Dim_Reps!B:B)</f>
        <v>Hugo Santos</v>
      </c>
      <c r="P334" t="str">
        <f>_xlfn.XLOOKUP(Pipeline_tbl[[#This Row],[Rep_ID]],Dim_Reps!A:A,Dim_Reps!C:C)</f>
        <v>SDR / Inside Sales Rep</v>
      </c>
      <c r="Q334" t="str">
        <f>_xlfn.XLOOKUP(Pipeline_tbl[[#This Row],[Rep_ID]],Dim_Reps!A:A,Dim_Reps!D:D)</f>
        <v>Inside Sales</v>
      </c>
      <c r="R334" t="str">
        <f>_xlfn.XLOOKUP(Pipeline_tbl[[#This Row],[Rep_ID]],Dim_Reps!A:A,Dim_Reps!E:E)</f>
        <v>EMEA</v>
      </c>
      <c r="S334" t="str">
        <f>_xlfn.XLOOKUP(Pipeline_tbl[[#This Row],[Created_Date]],Dim_Date!A:A,Dim_Date!H:H)</f>
        <v>Sep 2025</v>
      </c>
      <c r="T334" t="str">
        <f>IF(Pipeline_tbl[[#This Row],[Closed_Date]]=0,"",(_xlfn.XLOOKUP(Pipeline_tbl[[#This Row],[Closed_Date]],Dim_Date!A:A,Dim_Date!H:H)))</f>
        <v>Sep 2025</v>
      </c>
      <c r="U334">
        <f>IF(Pipeline_tbl[[#This Row],[Closed_Date]]=0,"",Pipeline_tbl[[#This Row],[Closed_Date]]-Pipeline_tbl[[#This Row],[Created_Date]])</f>
        <v>13</v>
      </c>
    </row>
    <row r="335" spans="1:21" ht="15" customHeight="1" x14ac:dyDescent="0.2">
      <c r="A335" t="s">
        <v>641</v>
      </c>
      <c r="B335" t="s">
        <v>271</v>
      </c>
      <c r="C335" t="s">
        <v>53</v>
      </c>
      <c r="D335" s="49">
        <v>45908</v>
      </c>
      <c r="E335" s="49">
        <v>45908</v>
      </c>
      <c r="F335" s="49">
        <v>45910</v>
      </c>
      <c r="G335" s="49">
        <v>45911</v>
      </c>
      <c r="I335" s="49">
        <v>45913</v>
      </c>
      <c r="J335" t="s">
        <v>49</v>
      </c>
      <c r="K335" s="33">
        <v>34500</v>
      </c>
      <c r="L335" t="s">
        <v>62</v>
      </c>
      <c r="M335" t="str">
        <f>_xlfn.XLOOKUP(Pipeline_tbl[[#This Row],[Rep_ID]],Dim_Reps!A:A,Dim_Reps!K:K)</f>
        <v>EUR</v>
      </c>
      <c r="N335" s="33">
        <f>(_xlfn.XLOOKUP(Pipeline_tbl[[#This Row],[Rate_Code_Generalized]],Lookups!A:A,Lookups!B:B))*Pipeline_tbl[[#This Row],[Pipeline_Amount_USD]]</f>
        <v>34500</v>
      </c>
      <c r="O335" t="str">
        <f>_xlfn.XLOOKUP(Pipeline_tbl[[#This Row],[Rep_ID]],Dim_Reps!A:A,Dim_Reps!B:B)</f>
        <v>Ivy Adler</v>
      </c>
      <c r="P335" t="str">
        <f>_xlfn.XLOOKUP(Pipeline_tbl[[#This Row],[Rep_ID]],Dim_Reps!A:A,Dim_Reps!C:C)</f>
        <v>Mid-Market AE</v>
      </c>
      <c r="Q335" t="str">
        <f>_xlfn.XLOOKUP(Pipeline_tbl[[#This Row],[Rep_ID]],Dim_Reps!A:A,Dim_Reps!D:D)</f>
        <v>Mid-Market</v>
      </c>
      <c r="R335" t="str">
        <f>_xlfn.XLOOKUP(Pipeline_tbl[[#This Row],[Rep_ID]],Dim_Reps!A:A,Dim_Reps!E:E)</f>
        <v>APAC</v>
      </c>
      <c r="S335" t="str">
        <f>_xlfn.XLOOKUP(Pipeline_tbl[[#This Row],[Created_Date]],Dim_Date!A:A,Dim_Date!H:H)</f>
        <v>Sep 2025</v>
      </c>
      <c r="T335" t="str">
        <f>IF(Pipeline_tbl[[#This Row],[Closed_Date]]=0,"",(_xlfn.XLOOKUP(Pipeline_tbl[[#This Row],[Closed_Date]],Dim_Date!A:A,Dim_Date!H:H)))</f>
        <v>Sep 2025</v>
      </c>
      <c r="U335">
        <f>IF(Pipeline_tbl[[#This Row],[Closed_Date]]=0,"",Pipeline_tbl[[#This Row],[Closed_Date]]-Pipeline_tbl[[#This Row],[Created_Date]])</f>
        <v>5</v>
      </c>
    </row>
    <row r="336" spans="1:21" ht="15" customHeight="1" x14ac:dyDescent="0.2">
      <c r="A336" t="s">
        <v>642</v>
      </c>
      <c r="B336" t="s">
        <v>273</v>
      </c>
      <c r="C336" t="s">
        <v>55</v>
      </c>
      <c r="D336" s="49">
        <v>45906</v>
      </c>
      <c r="E336" s="49">
        <v>45908</v>
      </c>
      <c r="F336" s="49">
        <v>45913</v>
      </c>
      <c r="G336" s="49">
        <v>45920</v>
      </c>
      <c r="H336" s="49">
        <v>45926</v>
      </c>
      <c r="I336" s="49">
        <v>45930</v>
      </c>
      <c r="J336" t="s">
        <v>47</v>
      </c>
      <c r="K336" s="33">
        <v>15900</v>
      </c>
      <c r="M336" t="str">
        <f>_xlfn.XLOOKUP(Pipeline_tbl[[#This Row],[Rep_ID]],Dim_Reps!A:A,Dim_Reps!K:K)</f>
        <v>EUR</v>
      </c>
      <c r="N336" s="33">
        <f>(_xlfn.XLOOKUP(Pipeline_tbl[[#This Row],[Rate_Code_Generalized]],Lookups!A:A,Lookups!B:B))*Pipeline_tbl[[#This Row],[Pipeline_Amount_USD]]</f>
        <v>15900</v>
      </c>
      <c r="O336" t="str">
        <f>_xlfn.XLOOKUP(Pipeline_tbl[[#This Row],[Rep_ID]],Dim_Reps!A:A,Dim_Reps!B:B)</f>
        <v>Olivia Cohen</v>
      </c>
      <c r="P336" t="str">
        <f>_xlfn.XLOOKUP(Pipeline_tbl[[#This Row],[Rep_ID]],Dim_Reps!A:A,Dim_Reps!C:C)</f>
        <v>Mid-Market AE</v>
      </c>
      <c r="Q336" t="str">
        <f>_xlfn.XLOOKUP(Pipeline_tbl[[#This Row],[Rep_ID]],Dim_Reps!A:A,Dim_Reps!D:D)</f>
        <v>Mid-Market</v>
      </c>
      <c r="R336" t="str">
        <f>_xlfn.XLOOKUP(Pipeline_tbl[[#This Row],[Rep_ID]],Dim_Reps!A:A,Dim_Reps!E:E)</f>
        <v>APAC</v>
      </c>
      <c r="S336" t="str">
        <f>_xlfn.XLOOKUP(Pipeline_tbl[[#This Row],[Created_Date]],Dim_Date!A:A,Dim_Date!H:H)</f>
        <v>Sep 2025</v>
      </c>
      <c r="T336" t="str">
        <f>IF(Pipeline_tbl[[#This Row],[Closed_Date]]=0,"",(_xlfn.XLOOKUP(Pipeline_tbl[[#This Row],[Closed_Date]],Dim_Date!A:A,Dim_Date!H:H)))</f>
        <v>Sep 2025</v>
      </c>
      <c r="U336">
        <f>IF(Pipeline_tbl[[#This Row],[Closed_Date]]=0,"",Pipeline_tbl[[#This Row],[Closed_Date]]-Pipeline_tbl[[#This Row],[Created_Date]])</f>
        <v>24</v>
      </c>
    </row>
    <row r="337" spans="1:21" ht="15" customHeight="1" x14ac:dyDescent="0.2">
      <c r="A337" t="s">
        <v>643</v>
      </c>
      <c r="B337" t="s">
        <v>241</v>
      </c>
      <c r="C337" t="s">
        <v>52</v>
      </c>
      <c r="D337" s="49">
        <v>45910</v>
      </c>
      <c r="E337" s="49">
        <v>45911</v>
      </c>
      <c r="F337" s="49">
        <v>45913</v>
      </c>
      <c r="G337" s="49">
        <v>45916</v>
      </c>
      <c r="H337" s="49">
        <v>45918</v>
      </c>
      <c r="I337" s="49">
        <v>45920</v>
      </c>
      <c r="J337" t="s">
        <v>47</v>
      </c>
      <c r="K337" s="33">
        <v>3400</v>
      </c>
      <c r="M337" t="str">
        <f>_xlfn.XLOOKUP(Pipeline_tbl[[#This Row],[Rep_ID]],Dim_Reps!A:A,Dim_Reps!K:K)</f>
        <v>EUR</v>
      </c>
      <c r="N337" s="33">
        <f>(_xlfn.XLOOKUP(Pipeline_tbl[[#This Row],[Rate_Code_Generalized]],Lookups!A:A,Lookups!B:B))*Pipeline_tbl[[#This Row],[Pipeline_Amount_USD]]</f>
        <v>3400</v>
      </c>
      <c r="O337" t="str">
        <f>_xlfn.XLOOKUP(Pipeline_tbl[[#This Row],[Rep_ID]],Dim_Reps!A:A,Dim_Reps!B:B)</f>
        <v>Kenji Weber</v>
      </c>
      <c r="P337" t="str">
        <f>_xlfn.XLOOKUP(Pipeline_tbl[[#This Row],[Rep_ID]],Dim_Reps!A:A,Dim_Reps!C:C)</f>
        <v>SDR / Inside Sales Rep</v>
      </c>
      <c r="Q337" t="str">
        <f>_xlfn.XLOOKUP(Pipeline_tbl[[#This Row],[Rep_ID]],Dim_Reps!A:A,Dim_Reps!D:D)</f>
        <v>Inside Sales</v>
      </c>
      <c r="R337" t="str">
        <f>_xlfn.XLOOKUP(Pipeline_tbl[[#This Row],[Rep_ID]],Dim_Reps!A:A,Dim_Reps!E:E)</f>
        <v>APAC</v>
      </c>
      <c r="S337" t="str">
        <f>_xlfn.XLOOKUP(Pipeline_tbl[[#This Row],[Created_Date]],Dim_Date!A:A,Dim_Date!H:H)</f>
        <v>Sep 2025</v>
      </c>
      <c r="T337" t="str">
        <f>IF(Pipeline_tbl[[#This Row],[Closed_Date]]=0,"",(_xlfn.XLOOKUP(Pipeline_tbl[[#This Row],[Closed_Date]],Dim_Date!A:A,Dim_Date!H:H)))</f>
        <v>Sep 2025</v>
      </c>
      <c r="U337">
        <f>IF(Pipeline_tbl[[#This Row],[Closed_Date]]=0,"",Pipeline_tbl[[#This Row],[Closed_Date]]-Pipeline_tbl[[#This Row],[Created_Date]])</f>
        <v>10</v>
      </c>
    </row>
    <row r="338" spans="1:21" ht="15" customHeight="1" x14ac:dyDescent="0.2">
      <c r="A338" t="s">
        <v>644</v>
      </c>
      <c r="B338" t="s">
        <v>241</v>
      </c>
      <c r="C338" t="s">
        <v>52</v>
      </c>
      <c r="D338" s="49">
        <v>45905</v>
      </c>
      <c r="E338" s="49">
        <v>45906</v>
      </c>
      <c r="F338" s="49">
        <v>45909</v>
      </c>
      <c r="I338" s="49">
        <v>45917</v>
      </c>
      <c r="J338" t="s">
        <v>49</v>
      </c>
      <c r="K338" s="33">
        <v>5300</v>
      </c>
      <c r="L338" t="s">
        <v>61</v>
      </c>
      <c r="M338" t="str">
        <f>_xlfn.XLOOKUP(Pipeline_tbl[[#This Row],[Rep_ID]],Dim_Reps!A:A,Dim_Reps!K:K)</f>
        <v>EUR</v>
      </c>
      <c r="N338" s="33">
        <f>(_xlfn.XLOOKUP(Pipeline_tbl[[#This Row],[Rate_Code_Generalized]],Lookups!A:A,Lookups!B:B))*Pipeline_tbl[[#This Row],[Pipeline_Amount_USD]]</f>
        <v>5300</v>
      </c>
      <c r="O338" t="str">
        <f>_xlfn.XLOOKUP(Pipeline_tbl[[#This Row],[Rep_ID]],Dim_Reps!A:A,Dim_Reps!B:B)</f>
        <v>Kenji Weber</v>
      </c>
      <c r="P338" t="str">
        <f>_xlfn.XLOOKUP(Pipeline_tbl[[#This Row],[Rep_ID]],Dim_Reps!A:A,Dim_Reps!C:C)</f>
        <v>SDR / Inside Sales Rep</v>
      </c>
      <c r="Q338" t="str">
        <f>_xlfn.XLOOKUP(Pipeline_tbl[[#This Row],[Rep_ID]],Dim_Reps!A:A,Dim_Reps!D:D)</f>
        <v>Inside Sales</v>
      </c>
      <c r="R338" t="str">
        <f>_xlfn.XLOOKUP(Pipeline_tbl[[#This Row],[Rep_ID]],Dim_Reps!A:A,Dim_Reps!E:E)</f>
        <v>APAC</v>
      </c>
      <c r="S338" t="str">
        <f>_xlfn.XLOOKUP(Pipeline_tbl[[#This Row],[Created_Date]],Dim_Date!A:A,Dim_Date!H:H)</f>
        <v>Sep 2025</v>
      </c>
      <c r="T338" t="str">
        <f>IF(Pipeline_tbl[[#This Row],[Closed_Date]]=0,"",(_xlfn.XLOOKUP(Pipeline_tbl[[#This Row],[Closed_Date]],Dim_Date!A:A,Dim_Date!H:H)))</f>
        <v>Sep 2025</v>
      </c>
      <c r="U338">
        <f>IF(Pipeline_tbl[[#This Row],[Closed_Date]]=0,"",Pipeline_tbl[[#This Row],[Closed_Date]]-Pipeline_tbl[[#This Row],[Created_Date]])</f>
        <v>12</v>
      </c>
    </row>
    <row r="339" spans="1:21" ht="15" customHeight="1" x14ac:dyDescent="0.2">
      <c r="A339" t="s">
        <v>645</v>
      </c>
      <c r="B339" t="s">
        <v>241</v>
      </c>
      <c r="C339" t="s">
        <v>52</v>
      </c>
      <c r="D339" s="49">
        <v>45912</v>
      </c>
      <c r="E339" s="49">
        <v>45913</v>
      </c>
      <c r="F339" s="49">
        <v>45916</v>
      </c>
      <c r="G339" s="49">
        <v>45919</v>
      </c>
      <c r="H339" s="49">
        <v>45922</v>
      </c>
      <c r="I339" s="49">
        <v>45924</v>
      </c>
      <c r="J339" t="s">
        <v>49</v>
      </c>
      <c r="K339" s="33">
        <v>4600</v>
      </c>
      <c r="L339" t="s">
        <v>62</v>
      </c>
      <c r="M339" t="str">
        <f>_xlfn.XLOOKUP(Pipeline_tbl[[#This Row],[Rep_ID]],Dim_Reps!A:A,Dim_Reps!K:K)</f>
        <v>EUR</v>
      </c>
      <c r="N339" s="33">
        <f>(_xlfn.XLOOKUP(Pipeline_tbl[[#This Row],[Rate_Code_Generalized]],Lookups!A:A,Lookups!B:B))*Pipeline_tbl[[#This Row],[Pipeline_Amount_USD]]</f>
        <v>4600</v>
      </c>
      <c r="O339" t="str">
        <f>_xlfn.XLOOKUP(Pipeline_tbl[[#This Row],[Rep_ID]],Dim_Reps!A:A,Dim_Reps!B:B)</f>
        <v>Kenji Weber</v>
      </c>
      <c r="P339" t="str">
        <f>_xlfn.XLOOKUP(Pipeline_tbl[[#This Row],[Rep_ID]],Dim_Reps!A:A,Dim_Reps!C:C)</f>
        <v>SDR / Inside Sales Rep</v>
      </c>
      <c r="Q339" t="str">
        <f>_xlfn.XLOOKUP(Pipeline_tbl[[#This Row],[Rep_ID]],Dim_Reps!A:A,Dim_Reps!D:D)</f>
        <v>Inside Sales</v>
      </c>
      <c r="R339" t="str">
        <f>_xlfn.XLOOKUP(Pipeline_tbl[[#This Row],[Rep_ID]],Dim_Reps!A:A,Dim_Reps!E:E)</f>
        <v>APAC</v>
      </c>
      <c r="S339" t="str">
        <f>_xlfn.XLOOKUP(Pipeline_tbl[[#This Row],[Created_Date]],Dim_Date!A:A,Dim_Date!H:H)</f>
        <v>Sep 2025</v>
      </c>
      <c r="T339" t="str">
        <f>IF(Pipeline_tbl[[#This Row],[Closed_Date]]=0,"",(_xlfn.XLOOKUP(Pipeline_tbl[[#This Row],[Closed_Date]],Dim_Date!A:A,Dim_Date!H:H)))</f>
        <v>Sep 2025</v>
      </c>
      <c r="U339">
        <f>IF(Pipeline_tbl[[#This Row],[Closed_Date]]=0,"",Pipeline_tbl[[#This Row],[Closed_Date]]-Pipeline_tbl[[#This Row],[Created_Date]])</f>
        <v>12</v>
      </c>
    </row>
    <row r="340" spans="1:21" ht="15" customHeight="1" x14ac:dyDescent="0.2">
      <c r="A340" t="s">
        <v>646</v>
      </c>
      <c r="B340" t="s">
        <v>181</v>
      </c>
      <c r="C340" t="s">
        <v>52</v>
      </c>
      <c r="D340" s="49">
        <v>45554</v>
      </c>
      <c r="E340" s="49">
        <v>45562</v>
      </c>
      <c r="F340" s="49">
        <v>45577</v>
      </c>
      <c r="I340" s="49">
        <v>45630</v>
      </c>
      <c r="J340" t="s">
        <v>49</v>
      </c>
      <c r="K340" s="33">
        <v>8000</v>
      </c>
      <c r="L340" t="s">
        <v>64</v>
      </c>
      <c r="M340" t="str">
        <f>_xlfn.XLOOKUP(Pipeline_tbl[[#This Row],[Rep_ID]],Dim_Reps!A:A,Dim_Reps!K:K)</f>
        <v>USD</v>
      </c>
      <c r="N340" s="33">
        <f>(_xlfn.XLOOKUP(Pipeline_tbl[[#This Row],[Rate_Code_Generalized]],Lookups!A:A,Lookups!B:B))*Pipeline_tbl[[#This Row],[Pipeline_Amount_USD]]</f>
        <v>9314.4</v>
      </c>
      <c r="O340" t="str">
        <f>_xlfn.XLOOKUP(Pipeline_tbl[[#This Row],[Rep_ID]],Dim_Reps!A:A,Dim_Reps!B:B)</f>
        <v>Milo Weber</v>
      </c>
      <c r="P340" t="str">
        <f>_xlfn.XLOOKUP(Pipeline_tbl[[#This Row],[Rep_ID]],Dim_Reps!A:A,Dim_Reps!C:C)</f>
        <v>Enterprise AE</v>
      </c>
      <c r="Q340" t="str">
        <f>_xlfn.XLOOKUP(Pipeline_tbl[[#This Row],[Rep_ID]],Dim_Reps!A:A,Dim_Reps!D:D)</f>
        <v>Enterprise</v>
      </c>
      <c r="R340" t="str">
        <f>_xlfn.XLOOKUP(Pipeline_tbl[[#This Row],[Rep_ID]],Dim_Reps!A:A,Dim_Reps!E:E)</f>
        <v>NAMER</v>
      </c>
      <c r="S340" t="str">
        <f>_xlfn.XLOOKUP(Pipeline_tbl[[#This Row],[Created_Date]],Dim_Date!A:A,Dim_Date!H:H)</f>
        <v>Sep 2024</v>
      </c>
      <c r="T340" t="str">
        <f>IF(Pipeline_tbl[[#This Row],[Closed_Date]]=0,"",(_xlfn.XLOOKUP(Pipeline_tbl[[#This Row],[Closed_Date]],Dim_Date!A:A,Dim_Date!H:H)))</f>
        <v>Dec 2024</v>
      </c>
      <c r="U340">
        <f>IF(Pipeline_tbl[[#This Row],[Closed_Date]]=0,"",Pipeline_tbl[[#This Row],[Closed_Date]]-Pipeline_tbl[[#This Row],[Created_Date]])</f>
        <v>76</v>
      </c>
    </row>
    <row r="341" spans="1:21" ht="15" customHeight="1" x14ac:dyDescent="0.2">
      <c r="A341" t="s">
        <v>647</v>
      </c>
      <c r="B341" t="s">
        <v>181</v>
      </c>
      <c r="C341" t="s">
        <v>52</v>
      </c>
      <c r="D341" s="49">
        <v>45560</v>
      </c>
      <c r="E341" s="49">
        <v>45568</v>
      </c>
      <c r="F341" s="49">
        <v>45583</v>
      </c>
      <c r="G341" s="49">
        <v>45606</v>
      </c>
      <c r="H341" s="49">
        <v>45625</v>
      </c>
      <c r="I341" s="49">
        <v>45636</v>
      </c>
      <c r="J341" t="s">
        <v>47</v>
      </c>
      <c r="K341" s="33">
        <v>17700</v>
      </c>
      <c r="M341" t="str">
        <f>_xlfn.XLOOKUP(Pipeline_tbl[[#This Row],[Rep_ID]],Dim_Reps!A:A,Dim_Reps!K:K)</f>
        <v>USD</v>
      </c>
      <c r="N341" s="33">
        <f>(_xlfn.XLOOKUP(Pipeline_tbl[[#This Row],[Rate_Code_Generalized]],Lookups!A:A,Lookups!B:B))*Pipeline_tbl[[#This Row],[Pipeline_Amount_USD]]</f>
        <v>20608.109999999997</v>
      </c>
      <c r="O341" t="str">
        <f>_xlfn.XLOOKUP(Pipeline_tbl[[#This Row],[Rep_ID]],Dim_Reps!A:A,Dim_Reps!B:B)</f>
        <v>Milo Weber</v>
      </c>
      <c r="P341" t="str">
        <f>_xlfn.XLOOKUP(Pipeline_tbl[[#This Row],[Rep_ID]],Dim_Reps!A:A,Dim_Reps!C:C)</f>
        <v>Enterprise AE</v>
      </c>
      <c r="Q341" t="str">
        <f>_xlfn.XLOOKUP(Pipeline_tbl[[#This Row],[Rep_ID]],Dim_Reps!A:A,Dim_Reps!D:D)</f>
        <v>Enterprise</v>
      </c>
      <c r="R341" t="str">
        <f>_xlfn.XLOOKUP(Pipeline_tbl[[#This Row],[Rep_ID]],Dim_Reps!A:A,Dim_Reps!E:E)</f>
        <v>NAMER</v>
      </c>
      <c r="S341" t="str">
        <f>_xlfn.XLOOKUP(Pipeline_tbl[[#This Row],[Created_Date]],Dim_Date!A:A,Dim_Date!H:H)</f>
        <v>Sep 2024</v>
      </c>
      <c r="T341" t="str">
        <f>IF(Pipeline_tbl[[#This Row],[Closed_Date]]=0,"",(_xlfn.XLOOKUP(Pipeline_tbl[[#This Row],[Closed_Date]],Dim_Date!A:A,Dim_Date!H:H)))</f>
        <v>Dec 2024</v>
      </c>
      <c r="U341">
        <f>IF(Pipeline_tbl[[#This Row],[Closed_Date]]=0,"",Pipeline_tbl[[#This Row],[Closed_Date]]-Pipeline_tbl[[#This Row],[Created_Date]])</f>
        <v>76</v>
      </c>
    </row>
    <row r="342" spans="1:21" ht="15" customHeight="1" x14ac:dyDescent="0.2">
      <c r="A342" t="s">
        <v>648</v>
      </c>
      <c r="B342" t="s">
        <v>185</v>
      </c>
      <c r="C342" t="s">
        <v>52</v>
      </c>
      <c r="D342" s="49">
        <v>45557</v>
      </c>
      <c r="E342" s="49">
        <v>45567</v>
      </c>
      <c r="F342" s="49">
        <v>45586</v>
      </c>
      <c r="G342" s="49">
        <v>45615</v>
      </c>
      <c r="I342" s="49">
        <v>45654</v>
      </c>
      <c r="J342" t="s">
        <v>49</v>
      </c>
      <c r="K342" s="33">
        <v>47300</v>
      </c>
      <c r="L342" t="s">
        <v>60</v>
      </c>
      <c r="M342" t="str">
        <f>_xlfn.XLOOKUP(Pipeline_tbl[[#This Row],[Rep_ID]],Dim_Reps!A:A,Dim_Reps!K:K)</f>
        <v>MXN</v>
      </c>
      <c r="N342" s="33">
        <f>(_xlfn.XLOOKUP(Pipeline_tbl[[#This Row],[Rate_Code_Generalized]],Lookups!A:A,Lookups!B:B))*Pipeline_tbl[[#This Row],[Pipeline_Amount_USD]]</f>
        <v>933356.71000000008</v>
      </c>
      <c r="O342" t="str">
        <f>_xlfn.XLOOKUP(Pipeline_tbl[[#This Row],[Rep_ID]],Dim_Reps!A:A,Dim_Reps!B:B)</f>
        <v>Noah Kim</v>
      </c>
      <c r="P342" t="str">
        <f>_xlfn.XLOOKUP(Pipeline_tbl[[#This Row],[Rep_ID]],Dim_Reps!A:A,Dim_Reps!C:C)</f>
        <v>Enterprise AE</v>
      </c>
      <c r="Q342" t="str">
        <f>_xlfn.XLOOKUP(Pipeline_tbl[[#This Row],[Rep_ID]],Dim_Reps!A:A,Dim_Reps!D:D)</f>
        <v>Enterprise</v>
      </c>
      <c r="R342" t="str">
        <f>_xlfn.XLOOKUP(Pipeline_tbl[[#This Row],[Rep_ID]],Dim_Reps!A:A,Dim_Reps!E:E)</f>
        <v>LATAM</v>
      </c>
      <c r="S342" t="str">
        <f>_xlfn.XLOOKUP(Pipeline_tbl[[#This Row],[Created_Date]],Dim_Date!A:A,Dim_Date!H:H)</f>
        <v>Sep 2024</v>
      </c>
      <c r="T342" t="str">
        <f>IF(Pipeline_tbl[[#This Row],[Closed_Date]]=0,"",(_xlfn.XLOOKUP(Pipeline_tbl[[#This Row],[Closed_Date]],Dim_Date!A:A,Dim_Date!H:H)))</f>
        <v>Dec 2024</v>
      </c>
      <c r="U342">
        <f>IF(Pipeline_tbl[[#This Row],[Closed_Date]]=0,"",Pipeline_tbl[[#This Row],[Closed_Date]]-Pipeline_tbl[[#This Row],[Created_Date]])</f>
        <v>97</v>
      </c>
    </row>
    <row r="343" spans="1:21" ht="15" customHeight="1" x14ac:dyDescent="0.2">
      <c r="A343" t="s">
        <v>649</v>
      </c>
      <c r="B343" t="s">
        <v>280</v>
      </c>
      <c r="C343" t="s">
        <v>53</v>
      </c>
      <c r="D343" s="49">
        <v>45560</v>
      </c>
      <c r="E343" s="49">
        <v>45567</v>
      </c>
      <c r="F343" s="49">
        <v>45580</v>
      </c>
      <c r="G343" s="49">
        <v>45601</v>
      </c>
      <c r="H343" s="49">
        <v>45618</v>
      </c>
      <c r="I343" s="49">
        <v>45628</v>
      </c>
      <c r="J343" t="s">
        <v>47</v>
      </c>
      <c r="K343" s="33">
        <v>90200</v>
      </c>
      <c r="M343" t="str">
        <f>_xlfn.XLOOKUP(Pipeline_tbl[[#This Row],[Rep_ID]],Dim_Reps!A:A,Dim_Reps!K:K)</f>
        <v>MXN</v>
      </c>
      <c r="N343" s="33">
        <f>(_xlfn.XLOOKUP(Pipeline_tbl[[#This Row],[Rate_Code_Generalized]],Lookups!A:A,Lookups!B:B))*Pipeline_tbl[[#This Row],[Pipeline_Amount_USD]]</f>
        <v>1779889.54</v>
      </c>
      <c r="O343" t="str">
        <f>_xlfn.XLOOKUP(Pipeline_tbl[[#This Row],[Rep_ID]],Dim_Reps!A:A,Dim_Reps!B:B)</f>
        <v>Cameron Lund</v>
      </c>
      <c r="P343" t="str">
        <f>_xlfn.XLOOKUP(Pipeline_tbl[[#This Row],[Rep_ID]],Dim_Reps!A:A,Dim_Reps!C:C)</f>
        <v>Senior Enterprise AE</v>
      </c>
      <c r="Q343" t="str">
        <f>_xlfn.XLOOKUP(Pipeline_tbl[[#This Row],[Rep_ID]],Dim_Reps!A:A,Dim_Reps!D:D)</f>
        <v>Strategic</v>
      </c>
      <c r="R343" t="str">
        <f>_xlfn.XLOOKUP(Pipeline_tbl[[#This Row],[Rep_ID]],Dim_Reps!A:A,Dim_Reps!E:E)</f>
        <v>LATAM</v>
      </c>
      <c r="S343" t="str">
        <f>_xlfn.XLOOKUP(Pipeline_tbl[[#This Row],[Created_Date]],Dim_Date!A:A,Dim_Date!H:H)</f>
        <v>Sep 2024</v>
      </c>
      <c r="T343" t="str">
        <f>IF(Pipeline_tbl[[#This Row],[Closed_Date]]=0,"",(_xlfn.XLOOKUP(Pipeline_tbl[[#This Row],[Closed_Date]],Dim_Date!A:A,Dim_Date!H:H)))</f>
        <v>Dec 2024</v>
      </c>
      <c r="U343">
        <f>IF(Pipeline_tbl[[#This Row],[Closed_Date]]=0,"",Pipeline_tbl[[#This Row],[Closed_Date]]-Pipeline_tbl[[#This Row],[Created_Date]])</f>
        <v>68</v>
      </c>
    </row>
    <row r="344" spans="1:21" ht="15" customHeight="1" x14ac:dyDescent="0.2">
      <c r="A344" t="s">
        <v>650</v>
      </c>
      <c r="B344" t="s">
        <v>282</v>
      </c>
      <c r="C344" t="s">
        <v>53</v>
      </c>
      <c r="D344" s="49">
        <v>45554</v>
      </c>
      <c r="E344" s="49">
        <v>45564</v>
      </c>
      <c r="F344" s="49">
        <v>45584</v>
      </c>
      <c r="I344" s="49">
        <v>45653</v>
      </c>
      <c r="J344" t="s">
        <v>49</v>
      </c>
      <c r="K344" s="33">
        <v>73200</v>
      </c>
      <c r="L344" t="s">
        <v>61</v>
      </c>
      <c r="M344" t="str">
        <f>_xlfn.XLOOKUP(Pipeline_tbl[[#This Row],[Rep_ID]],Dim_Reps!A:A,Dim_Reps!K:K)</f>
        <v>USD</v>
      </c>
      <c r="N344" s="33">
        <f>(_xlfn.XLOOKUP(Pipeline_tbl[[#This Row],[Rate_Code_Generalized]],Lookups!A:A,Lookups!B:B))*Pipeline_tbl[[#This Row],[Pipeline_Amount_USD]]</f>
        <v>85226.76</v>
      </c>
      <c r="O344" t="str">
        <f>_xlfn.XLOOKUP(Pipeline_tbl[[#This Row],[Rep_ID]],Dim_Reps!A:A,Dim_Reps!B:B)</f>
        <v>Fatima Rossi</v>
      </c>
      <c r="P344" t="str">
        <f>_xlfn.XLOOKUP(Pipeline_tbl[[#This Row],[Rep_ID]],Dim_Reps!A:A,Dim_Reps!C:C)</f>
        <v>Senior Enterprise AE</v>
      </c>
      <c r="Q344" t="str">
        <f>_xlfn.XLOOKUP(Pipeline_tbl[[#This Row],[Rep_ID]],Dim_Reps!A:A,Dim_Reps!D:D)</f>
        <v>Strategic</v>
      </c>
      <c r="R344" t="str">
        <f>_xlfn.XLOOKUP(Pipeline_tbl[[#This Row],[Rep_ID]],Dim_Reps!A:A,Dim_Reps!E:E)</f>
        <v>NAMER</v>
      </c>
      <c r="S344" t="str">
        <f>_xlfn.XLOOKUP(Pipeline_tbl[[#This Row],[Created_Date]],Dim_Date!A:A,Dim_Date!H:H)</f>
        <v>Sep 2024</v>
      </c>
      <c r="T344" t="str">
        <f>IF(Pipeline_tbl[[#This Row],[Closed_Date]]=0,"",(_xlfn.XLOOKUP(Pipeline_tbl[[#This Row],[Closed_Date]],Dim_Date!A:A,Dim_Date!H:H)))</f>
        <v>Dec 2024</v>
      </c>
      <c r="U344">
        <f>IF(Pipeline_tbl[[#This Row],[Closed_Date]]=0,"",Pipeline_tbl[[#This Row],[Closed_Date]]-Pipeline_tbl[[#This Row],[Created_Date]])</f>
        <v>99</v>
      </c>
    </row>
    <row r="345" spans="1:21" ht="15" customHeight="1" x14ac:dyDescent="0.2">
      <c r="A345" t="s">
        <v>651</v>
      </c>
      <c r="B345" t="s">
        <v>191</v>
      </c>
      <c r="C345" t="s">
        <v>52</v>
      </c>
      <c r="D345" s="49">
        <v>45562</v>
      </c>
      <c r="E345" s="49">
        <v>45570</v>
      </c>
      <c r="F345" s="49">
        <v>45588</v>
      </c>
      <c r="G345" s="49">
        <v>45613</v>
      </c>
      <c r="H345" s="49">
        <v>45634</v>
      </c>
      <c r="I345" s="49">
        <v>45647</v>
      </c>
      <c r="J345" t="s">
        <v>47</v>
      </c>
      <c r="K345" s="33">
        <v>15800</v>
      </c>
      <c r="M345" t="str">
        <f>_xlfn.XLOOKUP(Pipeline_tbl[[#This Row],[Rep_ID]],Dim_Reps!A:A,Dim_Reps!K:K)</f>
        <v>USD</v>
      </c>
      <c r="N345" s="33">
        <f>(_xlfn.XLOOKUP(Pipeline_tbl[[#This Row],[Rate_Code_Generalized]],Lookups!A:A,Lookups!B:B))*Pipeline_tbl[[#This Row],[Pipeline_Amount_USD]]</f>
        <v>18395.939999999999</v>
      </c>
      <c r="O345" t="str">
        <f>_xlfn.XLOOKUP(Pipeline_tbl[[#This Row],[Rep_ID]],Dim_Reps!A:A,Dim_Reps!B:B)</f>
        <v>Zara Duarte</v>
      </c>
      <c r="P345" t="str">
        <f>_xlfn.XLOOKUP(Pipeline_tbl[[#This Row],[Rep_ID]],Dim_Reps!A:A,Dim_Reps!C:C)</f>
        <v>Enterprise AE</v>
      </c>
      <c r="Q345" t="str">
        <f>_xlfn.XLOOKUP(Pipeline_tbl[[#This Row],[Rep_ID]],Dim_Reps!A:A,Dim_Reps!D:D)</f>
        <v>Enterprise</v>
      </c>
      <c r="R345" t="str">
        <f>_xlfn.XLOOKUP(Pipeline_tbl[[#This Row],[Rep_ID]],Dim_Reps!A:A,Dim_Reps!E:E)</f>
        <v>NAMER</v>
      </c>
      <c r="S345" t="str">
        <f>_xlfn.XLOOKUP(Pipeline_tbl[[#This Row],[Created_Date]],Dim_Date!A:A,Dim_Date!H:H)</f>
        <v>Sep 2024</v>
      </c>
      <c r="T345" t="str">
        <f>IF(Pipeline_tbl[[#This Row],[Closed_Date]]=0,"",(_xlfn.XLOOKUP(Pipeline_tbl[[#This Row],[Closed_Date]],Dim_Date!A:A,Dim_Date!H:H)))</f>
        <v>Dec 2024</v>
      </c>
      <c r="U345">
        <f>IF(Pipeline_tbl[[#This Row],[Closed_Date]]=0,"",Pipeline_tbl[[#This Row],[Closed_Date]]-Pipeline_tbl[[#This Row],[Created_Date]])</f>
        <v>85</v>
      </c>
    </row>
    <row r="346" spans="1:21" ht="15" customHeight="1" x14ac:dyDescent="0.2">
      <c r="A346" t="s">
        <v>652</v>
      </c>
      <c r="B346" t="s">
        <v>284</v>
      </c>
      <c r="C346" t="s">
        <v>54</v>
      </c>
      <c r="D346" s="49">
        <v>45552</v>
      </c>
      <c r="E346" s="49">
        <v>45564</v>
      </c>
      <c r="F346" s="49">
        <v>45589</v>
      </c>
      <c r="G346" s="49">
        <v>45626</v>
      </c>
      <c r="H346" s="49">
        <v>45657</v>
      </c>
      <c r="I346" s="49">
        <v>45675</v>
      </c>
      <c r="J346" t="s">
        <v>47</v>
      </c>
      <c r="K346" s="33">
        <v>58900</v>
      </c>
      <c r="M346" t="str">
        <f>_xlfn.XLOOKUP(Pipeline_tbl[[#This Row],[Rep_ID]],Dim_Reps!A:A,Dim_Reps!K:K)</f>
        <v>USD</v>
      </c>
      <c r="N346" s="33">
        <f>(_xlfn.XLOOKUP(Pipeline_tbl[[#This Row],[Rate_Code_Generalized]],Lookups!A:A,Lookups!B:B))*Pipeline_tbl[[#This Row],[Pipeline_Amount_USD]]</f>
        <v>68577.26999999999</v>
      </c>
      <c r="O346" t="str">
        <f>_xlfn.XLOOKUP(Pipeline_tbl[[#This Row],[Rep_ID]],Dim_Reps!A:A,Dim_Reps!B:B)</f>
        <v>Taylor Adler</v>
      </c>
      <c r="P346" t="str">
        <f>_xlfn.XLOOKUP(Pipeline_tbl[[#This Row],[Rep_ID]],Dim_Reps!A:A,Dim_Reps!C:C)</f>
        <v>Senior Enterprise AE</v>
      </c>
      <c r="Q346" t="str">
        <f>_xlfn.XLOOKUP(Pipeline_tbl[[#This Row],[Rep_ID]],Dim_Reps!A:A,Dim_Reps!D:D)</f>
        <v>Strategic</v>
      </c>
      <c r="R346" t="str">
        <f>_xlfn.XLOOKUP(Pipeline_tbl[[#This Row],[Rep_ID]],Dim_Reps!A:A,Dim_Reps!E:E)</f>
        <v>NAMER</v>
      </c>
      <c r="S346" t="str">
        <f>_xlfn.XLOOKUP(Pipeline_tbl[[#This Row],[Created_Date]],Dim_Date!A:A,Dim_Date!H:H)</f>
        <v>Sep 2024</v>
      </c>
      <c r="T346" t="str">
        <f>IF(Pipeline_tbl[[#This Row],[Closed_Date]]=0,"",(_xlfn.XLOOKUP(Pipeline_tbl[[#This Row],[Closed_Date]],Dim_Date!A:A,Dim_Date!H:H)))</f>
        <v>Jan 2025</v>
      </c>
      <c r="U346">
        <f>IF(Pipeline_tbl[[#This Row],[Closed_Date]]=0,"",Pipeline_tbl[[#This Row],[Closed_Date]]-Pipeline_tbl[[#This Row],[Created_Date]])</f>
        <v>123</v>
      </c>
    </row>
    <row r="347" spans="1:21" ht="15" customHeight="1" x14ac:dyDescent="0.2">
      <c r="A347" t="s">
        <v>653</v>
      </c>
      <c r="B347" t="s">
        <v>181</v>
      </c>
      <c r="C347" t="s">
        <v>54</v>
      </c>
      <c r="D347" s="49">
        <v>45562</v>
      </c>
      <c r="E347" s="49">
        <v>45567</v>
      </c>
      <c r="F347" s="49">
        <v>45576</v>
      </c>
      <c r="G347" s="49">
        <v>45590</v>
      </c>
      <c r="H347" s="49">
        <v>45602</v>
      </c>
      <c r="I347" s="49">
        <v>45609</v>
      </c>
      <c r="J347" t="s">
        <v>47</v>
      </c>
      <c r="K347" s="33">
        <v>47500</v>
      </c>
      <c r="M347" t="str">
        <f>_xlfn.XLOOKUP(Pipeline_tbl[[#This Row],[Rep_ID]],Dim_Reps!A:A,Dim_Reps!K:K)</f>
        <v>USD</v>
      </c>
      <c r="N347" s="33">
        <f>(_xlfn.XLOOKUP(Pipeline_tbl[[#This Row],[Rate_Code_Generalized]],Lookups!A:A,Lookups!B:B))*Pipeline_tbl[[#This Row],[Pipeline_Amount_USD]]</f>
        <v>55304.249999999993</v>
      </c>
      <c r="O347" t="str">
        <f>_xlfn.XLOOKUP(Pipeline_tbl[[#This Row],[Rep_ID]],Dim_Reps!A:A,Dim_Reps!B:B)</f>
        <v>Milo Weber</v>
      </c>
      <c r="P347" t="str">
        <f>_xlfn.XLOOKUP(Pipeline_tbl[[#This Row],[Rep_ID]],Dim_Reps!A:A,Dim_Reps!C:C)</f>
        <v>Enterprise AE</v>
      </c>
      <c r="Q347" t="str">
        <f>_xlfn.XLOOKUP(Pipeline_tbl[[#This Row],[Rep_ID]],Dim_Reps!A:A,Dim_Reps!D:D)</f>
        <v>Enterprise</v>
      </c>
      <c r="R347" t="str">
        <f>_xlfn.XLOOKUP(Pipeline_tbl[[#This Row],[Rep_ID]],Dim_Reps!A:A,Dim_Reps!E:E)</f>
        <v>NAMER</v>
      </c>
      <c r="S347" t="str">
        <f>_xlfn.XLOOKUP(Pipeline_tbl[[#This Row],[Created_Date]],Dim_Date!A:A,Dim_Date!H:H)</f>
        <v>Sep 2024</v>
      </c>
      <c r="T347" t="str">
        <f>IF(Pipeline_tbl[[#This Row],[Closed_Date]]=0,"",(_xlfn.XLOOKUP(Pipeline_tbl[[#This Row],[Closed_Date]],Dim_Date!A:A,Dim_Date!H:H)))</f>
        <v>Nov 2024</v>
      </c>
      <c r="U347">
        <f>IF(Pipeline_tbl[[#This Row],[Closed_Date]]=0,"",Pipeline_tbl[[#This Row],[Closed_Date]]-Pipeline_tbl[[#This Row],[Created_Date]])</f>
        <v>47</v>
      </c>
    </row>
    <row r="348" spans="1:21" ht="15" customHeight="1" x14ac:dyDescent="0.2">
      <c r="A348" t="s">
        <v>654</v>
      </c>
      <c r="B348" t="s">
        <v>181</v>
      </c>
      <c r="C348" t="s">
        <v>52</v>
      </c>
      <c r="D348" s="49">
        <v>45544</v>
      </c>
      <c r="E348" s="49">
        <v>45550</v>
      </c>
      <c r="F348" s="49">
        <v>45562</v>
      </c>
      <c r="I348" s="49">
        <v>45605</v>
      </c>
      <c r="J348" t="s">
        <v>49</v>
      </c>
      <c r="K348" s="33">
        <v>43500</v>
      </c>
      <c r="L348" t="s">
        <v>60</v>
      </c>
      <c r="M348" t="str">
        <f>_xlfn.XLOOKUP(Pipeline_tbl[[#This Row],[Rep_ID]],Dim_Reps!A:A,Dim_Reps!K:K)</f>
        <v>USD</v>
      </c>
      <c r="N348" s="33">
        <f>(_xlfn.XLOOKUP(Pipeline_tbl[[#This Row],[Rate_Code_Generalized]],Lookups!A:A,Lookups!B:B))*Pipeline_tbl[[#This Row],[Pipeline_Amount_USD]]</f>
        <v>50647.049999999996</v>
      </c>
      <c r="O348" t="str">
        <f>_xlfn.XLOOKUP(Pipeline_tbl[[#This Row],[Rep_ID]],Dim_Reps!A:A,Dim_Reps!B:B)</f>
        <v>Milo Weber</v>
      </c>
      <c r="P348" t="str">
        <f>_xlfn.XLOOKUP(Pipeline_tbl[[#This Row],[Rep_ID]],Dim_Reps!A:A,Dim_Reps!C:C)</f>
        <v>Enterprise AE</v>
      </c>
      <c r="Q348" t="str">
        <f>_xlfn.XLOOKUP(Pipeline_tbl[[#This Row],[Rep_ID]],Dim_Reps!A:A,Dim_Reps!D:D)</f>
        <v>Enterprise</v>
      </c>
      <c r="R348" t="str">
        <f>_xlfn.XLOOKUP(Pipeline_tbl[[#This Row],[Rep_ID]],Dim_Reps!A:A,Dim_Reps!E:E)</f>
        <v>NAMER</v>
      </c>
      <c r="S348" t="str">
        <f>_xlfn.XLOOKUP(Pipeline_tbl[[#This Row],[Created_Date]],Dim_Date!A:A,Dim_Date!H:H)</f>
        <v>Sep 2024</v>
      </c>
      <c r="T348" t="str">
        <f>IF(Pipeline_tbl[[#This Row],[Closed_Date]]=0,"",(_xlfn.XLOOKUP(Pipeline_tbl[[#This Row],[Closed_Date]],Dim_Date!A:A,Dim_Date!H:H)))</f>
        <v>Nov 2024</v>
      </c>
      <c r="U348">
        <f>IF(Pipeline_tbl[[#This Row],[Closed_Date]]=0,"",Pipeline_tbl[[#This Row],[Closed_Date]]-Pipeline_tbl[[#This Row],[Created_Date]])</f>
        <v>61</v>
      </c>
    </row>
    <row r="349" spans="1:21" ht="15" customHeight="1" x14ac:dyDescent="0.2">
      <c r="A349" t="s">
        <v>655</v>
      </c>
      <c r="B349" t="s">
        <v>183</v>
      </c>
      <c r="C349" t="s">
        <v>53</v>
      </c>
      <c r="D349" s="49">
        <v>45540</v>
      </c>
      <c r="E349" s="49">
        <v>45546</v>
      </c>
      <c r="F349" s="49">
        <v>45559</v>
      </c>
      <c r="G349" s="49">
        <v>45578</v>
      </c>
      <c r="H349" s="49">
        <v>45594</v>
      </c>
      <c r="I349" s="49">
        <v>45604</v>
      </c>
      <c r="J349" t="s">
        <v>47</v>
      </c>
      <c r="K349" s="33">
        <v>49800</v>
      </c>
      <c r="M349" t="str">
        <f>_xlfn.XLOOKUP(Pipeline_tbl[[#This Row],[Rep_ID]],Dim_Reps!A:A,Dim_Reps!K:K)</f>
        <v>EUR</v>
      </c>
      <c r="N349" s="33">
        <f>(_xlfn.XLOOKUP(Pipeline_tbl[[#This Row],[Rate_Code_Generalized]],Lookups!A:A,Lookups!B:B))*Pipeline_tbl[[#This Row],[Pipeline_Amount_USD]]</f>
        <v>49800</v>
      </c>
      <c r="O349" t="str">
        <f>_xlfn.XLOOKUP(Pipeline_tbl[[#This Row],[Rep_ID]],Dim_Reps!A:A,Dim_Reps!B:B)</f>
        <v>Sam Schmidt</v>
      </c>
      <c r="P349" t="str">
        <f>_xlfn.XLOOKUP(Pipeline_tbl[[#This Row],[Rep_ID]],Dim_Reps!A:A,Dim_Reps!C:C)</f>
        <v>Enterprise AE</v>
      </c>
      <c r="Q349" t="str">
        <f>_xlfn.XLOOKUP(Pipeline_tbl[[#This Row],[Rep_ID]],Dim_Reps!A:A,Dim_Reps!D:D)</f>
        <v>Enterprise</v>
      </c>
      <c r="R349" t="str">
        <f>_xlfn.XLOOKUP(Pipeline_tbl[[#This Row],[Rep_ID]],Dim_Reps!A:A,Dim_Reps!E:E)</f>
        <v>EMEA</v>
      </c>
      <c r="S349" t="str">
        <f>_xlfn.XLOOKUP(Pipeline_tbl[[#This Row],[Created_Date]],Dim_Date!A:A,Dim_Date!H:H)</f>
        <v>Sep 2024</v>
      </c>
      <c r="T349" t="str">
        <f>IF(Pipeline_tbl[[#This Row],[Closed_Date]]=0,"",(_xlfn.XLOOKUP(Pipeline_tbl[[#This Row],[Closed_Date]],Dim_Date!A:A,Dim_Date!H:H)))</f>
        <v>Nov 2024</v>
      </c>
      <c r="U349">
        <f>IF(Pipeline_tbl[[#This Row],[Closed_Date]]=0,"",Pipeline_tbl[[#This Row],[Closed_Date]]-Pipeline_tbl[[#This Row],[Created_Date]])</f>
        <v>64</v>
      </c>
    </row>
    <row r="350" spans="1:21" ht="15" customHeight="1" x14ac:dyDescent="0.2">
      <c r="A350" t="s">
        <v>656</v>
      </c>
      <c r="B350" t="s">
        <v>278</v>
      </c>
      <c r="C350" t="s">
        <v>52</v>
      </c>
      <c r="D350" s="49">
        <v>45543</v>
      </c>
      <c r="E350" s="49">
        <v>45549</v>
      </c>
      <c r="F350" s="49">
        <v>45561</v>
      </c>
      <c r="G350" s="49">
        <v>45579</v>
      </c>
      <c r="I350" s="49">
        <v>45603</v>
      </c>
      <c r="J350" t="s">
        <v>49</v>
      </c>
      <c r="K350" s="33">
        <v>75800</v>
      </c>
      <c r="L350" t="s">
        <v>61</v>
      </c>
      <c r="M350" t="str">
        <f>_xlfn.XLOOKUP(Pipeline_tbl[[#This Row],[Rep_ID]],Dim_Reps!A:A,Dim_Reps!K:K)</f>
        <v>EUR</v>
      </c>
      <c r="N350" s="33">
        <f>(_xlfn.XLOOKUP(Pipeline_tbl[[#This Row],[Rate_Code_Generalized]],Lookups!A:A,Lookups!B:B))*Pipeline_tbl[[#This Row],[Pipeline_Amount_USD]]</f>
        <v>75800</v>
      </c>
      <c r="O350" t="str">
        <f>_xlfn.XLOOKUP(Pipeline_tbl[[#This Row],[Rep_ID]],Dim_Reps!A:A,Dim_Reps!B:B)</f>
        <v>Sara Andersson</v>
      </c>
      <c r="P350" t="str">
        <f>_xlfn.XLOOKUP(Pipeline_tbl[[#This Row],[Rep_ID]],Dim_Reps!A:A,Dim_Reps!C:C)</f>
        <v>Senior Enterprise AE</v>
      </c>
      <c r="Q350" t="str">
        <f>_xlfn.XLOOKUP(Pipeline_tbl[[#This Row],[Rep_ID]],Dim_Reps!A:A,Dim_Reps!D:D)</f>
        <v>Strategic</v>
      </c>
      <c r="R350" t="str">
        <f>_xlfn.XLOOKUP(Pipeline_tbl[[#This Row],[Rep_ID]],Dim_Reps!A:A,Dim_Reps!E:E)</f>
        <v>APAC</v>
      </c>
      <c r="S350" t="str">
        <f>_xlfn.XLOOKUP(Pipeline_tbl[[#This Row],[Created_Date]],Dim_Date!A:A,Dim_Date!H:H)</f>
        <v>Sep 2024</v>
      </c>
      <c r="T350" t="str">
        <f>IF(Pipeline_tbl[[#This Row],[Closed_Date]]=0,"",(_xlfn.XLOOKUP(Pipeline_tbl[[#This Row],[Closed_Date]],Dim_Date!A:A,Dim_Date!H:H)))</f>
        <v>Nov 2024</v>
      </c>
      <c r="U350">
        <f>IF(Pipeline_tbl[[#This Row],[Closed_Date]]=0,"",Pipeline_tbl[[#This Row],[Closed_Date]]-Pipeline_tbl[[#This Row],[Created_Date]])</f>
        <v>60</v>
      </c>
    </row>
    <row r="351" spans="1:21" ht="15" customHeight="1" x14ac:dyDescent="0.2">
      <c r="A351" t="s">
        <v>657</v>
      </c>
      <c r="B351" t="s">
        <v>185</v>
      </c>
      <c r="C351" t="s">
        <v>54</v>
      </c>
      <c r="D351" s="49">
        <v>45553</v>
      </c>
      <c r="E351" s="49">
        <v>45558</v>
      </c>
      <c r="F351" s="49">
        <v>45567</v>
      </c>
      <c r="I351" s="49">
        <v>45599</v>
      </c>
      <c r="J351" t="s">
        <v>49</v>
      </c>
      <c r="K351" s="33">
        <v>23100</v>
      </c>
      <c r="L351" t="s">
        <v>61</v>
      </c>
      <c r="M351" t="str">
        <f>_xlfn.XLOOKUP(Pipeline_tbl[[#This Row],[Rep_ID]],Dim_Reps!A:A,Dim_Reps!K:K)</f>
        <v>MXN</v>
      </c>
      <c r="N351" s="33">
        <f>(_xlfn.XLOOKUP(Pipeline_tbl[[#This Row],[Rate_Code_Generalized]],Lookups!A:A,Lookups!B:B))*Pipeline_tbl[[#This Row],[Pipeline_Amount_USD]]</f>
        <v>455825.37000000005</v>
      </c>
      <c r="O351" t="str">
        <f>_xlfn.XLOOKUP(Pipeline_tbl[[#This Row],[Rep_ID]],Dim_Reps!A:A,Dim_Reps!B:B)</f>
        <v>Noah Kim</v>
      </c>
      <c r="P351" t="str">
        <f>_xlfn.XLOOKUP(Pipeline_tbl[[#This Row],[Rep_ID]],Dim_Reps!A:A,Dim_Reps!C:C)</f>
        <v>Enterprise AE</v>
      </c>
      <c r="Q351" t="str">
        <f>_xlfn.XLOOKUP(Pipeline_tbl[[#This Row],[Rep_ID]],Dim_Reps!A:A,Dim_Reps!D:D)</f>
        <v>Enterprise</v>
      </c>
      <c r="R351" t="str">
        <f>_xlfn.XLOOKUP(Pipeline_tbl[[#This Row],[Rep_ID]],Dim_Reps!A:A,Dim_Reps!E:E)</f>
        <v>LATAM</v>
      </c>
      <c r="S351" t="str">
        <f>_xlfn.XLOOKUP(Pipeline_tbl[[#This Row],[Created_Date]],Dim_Date!A:A,Dim_Date!H:H)</f>
        <v>Sep 2024</v>
      </c>
      <c r="T351" t="str">
        <f>IF(Pipeline_tbl[[#This Row],[Closed_Date]]=0,"",(_xlfn.XLOOKUP(Pipeline_tbl[[#This Row],[Closed_Date]],Dim_Date!A:A,Dim_Date!H:H)))</f>
        <v>Nov 2024</v>
      </c>
      <c r="U351">
        <f>IF(Pipeline_tbl[[#This Row],[Closed_Date]]=0,"",Pipeline_tbl[[#This Row],[Closed_Date]]-Pipeline_tbl[[#This Row],[Created_Date]])</f>
        <v>46</v>
      </c>
    </row>
    <row r="352" spans="1:21" ht="15" customHeight="1" x14ac:dyDescent="0.2">
      <c r="A352" t="s">
        <v>658</v>
      </c>
      <c r="B352" t="s">
        <v>185</v>
      </c>
      <c r="C352" t="s">
        <v>52</v>
      </c>
      <c r="D352" s="49">
        <v>45540</v>
      </c>
      <c r="E352" s="49">
        <v>45546</v>
      </c>
      <c r="F352" s="49">
        <v>45558</v>
      </c>
      <c r="G352" s="49">
        <v>45577</v>
      </c>
      <c r="H352" s="49">
        <v>45592</v>
      </c>
      <c r="I352" s="49">
        <v>45601</v>
      </c>
      <c r="J352" t="s">
        <v>47</v>
      </c>
      <c r="K352" s="33">
        <v>21200</v>
      </c>
      <c r="M352" t="str">
        <f>_xlfn.XLOOKUP(Pipeline_tbl[[#This Row],[Rep_ID]],Dim_Reps!A:A,Dim_Reps!K:K)</f>
        <v>MXN</v>
      </c>
      <c r="N352" s="33">
        <f>(_xlfn.XLOOKUP(Pipeline_tbl[[#This Row],[Rate_Code_Generalized]],Lookups!A:A,Lookups!B:B))*Pipeline_tbl[[#This Row],[Pipeline_Amount_USD]]</f>
        <v>418333.24000000005</v>
      </c>
      <c r="O352" t="str">
        <f>_xlfn.XLOOKUP(Pipeline_tbl[[#This Row],[Rep_ID]],Dim_Reps!A:A,Dim_Reps!B:B)</f>
        <v>Noah Kim</v>
      </c>
      <c r="P352" t="str">
        <f>_xlfn.XLOOKUP(Pipeline_tbl[[#This Row],[Rep_ID]],Dim_Reps!A:A,Dim_Reps!C:C)</f>
        <v>Enterprise AE</v>
      </c>
      <c r="Q352" t="str">
        <f>_xlfn.XLOOKUP(Pipeline_tbl[[#This Row],[Rep_ID]],Dim_Reps!A:A,Dim_Reps!D:D)</f>
        <v>Enterprise</v>
      </c>
      <c r="R352" t="str">
        <f>_xlfn.XLOOKUP(Pipeline_tbl[[#This Row],[Rep_ID]],Dim_Reps!A:A,Dim_Reps!E:E)</f>
        <v>LATAM</v>
      </c>
      <c r="S352" t="str">
        <f>_xlfn.XLOOKUP(Pipeline_tbl[[#This Row],[Created_Date]],Dim_Date!A:A,Dim_Date!H:H)</f>
        <v>Sep 2024</v>
      </c>
      <c r="T352" t="str">
        <f>IF(Pipeline_tbl[[#This Row],[Closed_Date]]=0,"",(_xlfn.XLOOKUP(Pipeline_tbl[[#This Row],[Closed_Date]],Dim_Date!A:A,Dim_Date!H:H)))</f>
        <v>Nov 2024</v>
      </c>
      <c r="U352">
        <f>IF(Pipeline_tbl[[#This Row],[Closed_Date]]=0,"",Pipeline_tbl[[#This Row],[Closed_Date]]-Pipeline_tbl[[#This Row],[Created_Date]])</f>
        <v>61</v>
      </c>
    </row>
    <row r="353" spans="1:21" ht="15" customHeight="1" x14ac:dyDescent="0.2">
      <c r="A353" t="s">
        <v>659</v>
      </c>
      <c r="B353" t="s">
        <v>185</v>
      </c>
      <c r="C353" t="s">
        <v>52</v>
      </c>
      <c r="D353" s="49">
        <v>45548</v>
      </c>
      <c r="E353" s="49">
        <v>45555</v>
      </c>
      <c r="F353" s="49">
        <v>45568</v>
      </c>
      <c r="I353" s="49">
        <v>45614</v>
      </c>
      <c r="J353" t="s">
        <v>49</v>
      </c>
      <c r="K353" s="33">
        <v>22300</v>
      </c>
      <c r="L353" t="s">
        <v>60</v>
      </c>
      <c r="M353" t="str">
        <f>_xlfn.XLOOKUP(Pipeline_tbl[[#This Row],[Rep_ID]],Dim_Reps!A:A,Dim_Reps!K:K)</f>
        <v>MXN</v>
      </c>
      <c r="N353" s="33">
        <f>(_xlfn.XLOOKUP(Pipeline_tbl[[#This Row],[Rate_Code_Generalized]],Lookups!A:A,Lookups!B:B))*Pipeline_tbl[[#This Row],[Pipeline_Amount_USD]]</f>
        <v>440039.21</v>
      </c>
      <c r="O353" t="str">
        <f>_xlfn.XLOOKUP(Pipeline_tbl[[#This Row],[Rep_ID]],Dim_Reps!A:A,Dim_Reps!B:B)</f>
        <v>Noah Kim</v>
      </c>
      <c r="P353" t="str">
        <f>_xlfn.XLOOKUP(Pipeline_tbl[[#This Row],[Rep_ID]],Dim_Reps!A:A,Dim_Reps!C:C)</f>
        <v>Enterprise AE</v>
      </c>
      <c r="Q353" t="str">
        <f>_xlfn.XLOOKUP(Pipeline_tbl[[#This Row],[Rep_ID]],Dim_Reps!A:A,Dim_Reps!D:D)</f>
        <v>Enterprise</v>
      </c>
      <c r="R353" t="str">
        <f>_xlfn.XLOOKUP(Pipeline_tbl[[#This Row],[Rep_ID]],Dim_Reps!A:A,Dim_Reps!E:E)</f>
        <v>LATAM</v>
      </c>
      <c r="S353" t="str">
        <f>_xlfn.XLOOKUP(Pipeline_tbl[[#This Row],[Created_Date]],Dim_Date!A:A,Dim_Date!H:H)</f>
        <v>Sep 2024</v>
      </c>
      <c r="T353" t="str">
        <f>IF(Pipeline_tbl[[#This Row],[Closed_Date]]=0,"",(_xlfn.XLOOKUP(Pipeline_tbl[[#This Row],[Closed_Date]],Dim_Date!A:A,Dim_Date!H:H)))</f>
        <v>Nov 2024</v>
      </c>
      <c r="U353">
        <f>IF(Pipeline_tbl[[#This Row],[Closed_Date]]=0,"",Pipeline_tbl[[#This Row],[Closed_Date]]-Pipeline_tbl[[#This Row],[Created_Date]])</f>
        <v>66</v>
      </c>
    </row>
    <row r="354" spans="1:21" ht="15" customHeight="1" x14ac:dyDescent="0.2">
      <c r="A354" t="s">
        <v>660</v>
      </c>
      <c r="B354" t="s">
        <v>185</v>
      </c>
      <c r="C354" t="s">
        <v>55</v>
      </c>
      <c r="D354" s="49">
        <v>45550</v>
      </c>
      <c r="E354" s="49">
        <v>45556</v>
      </c>
      <c r="F354" s="49">
        <v>45570</v>
      </c>
      <c r="G354" s="49">
        <v>45589</v>
      </c>
      <c r="H354" s="49">
        <v>45605</v>
      </c>
      <c r="I354" s="49">
        <v>45615</v>
      </c>
      <c r="J354" t="s">
        <v>49</v>
      </c>
      <c r="K354" s="33">
        <v>27200</v>
      </c>
      <c r="L354" t="s">
        <v>61</v>
      </c>
      <c r="M354" t="str">
        <f>_xlfn.XLOOKUP(Pipeline_tbl[[#This Row],[Rep_ID]],Dim_Reps!A:A,Dim_Reps!K:K)</f>
        <v>MXN</v>
      </c>
      <c r="N354" s="33">
        <f>(_xlfn.XLOOKUP(Pipeline_tbl[[#This Row],[Rate_Code_Generalized]],Lookups!A:A,Lookups!B:B))*Pipeline_tbl[[#This Row],[Pipeline_Amount_USD]]</f>
        <v>536729.44000000006</v>
      </c>
      <c r="O354" t="str">
        <f>_xlfn.XLOOKUP(Pipeline_tbl[[#This Row],[Rep_ID]],Dim_Reps!A:A,Dim_Reps!B:B)</f>
        <v>Noah Kim</v>
      </c>
      <c r="P354" t="str">
        <f>_xlfn.XLOOKUP(Pipeline_tbl[[#This Row],[Rep_ID]],Dim_Reps!A:A,Dim_Reps!C:C)</f>
        <v>Enterprise AE</v>
      </c>
      <c r="Q354" t="str">
        <f>_xlfn.XLOOKUP(Pipeline_tbl[[#This Row],[Rep_ID]],Dim_Reps!A:A,Dim_Reps!D:D)</f>
        <v>Enterprise</v>
      </c>
      <c r="R354" t="str">
        <f>_xlfn.XLOOKUP(Pipeline_tbl[[#This Row],[Rep_ID]],Dim_Reps!A:A,Dim_Reps!E:E)</f>
        <v>LATAM</v>
      </c>
      <c r="S354" t="str">
        <f>_xlfn.XLOOKUP(Pipeline_tbl[[#This Row],[Created_Date]],Dim_Date!A:A,Dim_Date!H:H)</f>
        <v>Sep 2024</v>
      </c>
      <c r="T354" t="str">
        <f>IF(Pipeline_tbl[[#This Row],[Closed_Date]]=0,"",(_xlfn.XLOOKUP(Pipeline_tbl[[#This Row],[Closed_Date]],Dim_Date!A:A,Dim_Date!H:H)))</f>
        <v>Nov 2024</v>
      </c>
      <c r="U354">
        <f>IF(Pipeline_tbl[[#This Row],[Closed_Date]]=0,"",Pipeline_tbl[[#This Row],[Closed_Date]]-Pipeline_tbl[[#This Row],[Created_Date]])</f>
        <v>65</v>
      </c>
    </row>
    <row r="355" spans="1:21" ht="15" customHeight="1" x14ac:dyDescent="0.2">
      <c r="A355" t="s">
        <v>661</v>
      </c>
      <c r="B355" t="s">
        <v>188</v>
      </c>
      <c r="C355" t="s">
        <v>54</v>
      </c>
      <c r="D355" s="49">
        <v>45550</v>
      </c>
      <c r="E355" s="49">
        <v>45556</v>
      </c>
      <c r="F355" s="49">
        <v>45570</v>
      </c>
      <c r="G355" s="49">
        <v>45589</v>
      </c>
      <c r="H355" s="49">
        <v>45605</v>
      </c>
      <c r="I355" s="49">
        <v>45615</v>
      </c>
      <c r="J355" t="s">
        <v>49</v>
      </c>
      <c r="K355" s="33">
        <v>16400</v>
      </c>
      <c r="L355" t="s">
        <v>64</v>
      </c>
      <c r="M355" t="str">
        <f>_xlfn.XLOOKUP(Pipeline_tbl[[#This Row],[Rep_ID]],Dim_Reps!A:A,Dim_Reps!K:K)</f>
        <v>EUR</v>
      </c>
      <c r="N355" s="33">
        <f>(_xlfn.XLOOKUP(Pipeline_tbl[[#This Row],[Rate_Code_Generalized]],Lookups!A:A,Lookups!B:B))*Pipeline_tbl[[#This Row],[Pipeline_Amount_USD]]</f>
        <v>16400</v>
      </c>
      <c r="O355" t="str">
        <f>_xlfn.XLOOKUP(Pipeline_tbl[[#This Row],[Rep_ID]],Dim_Reps!A:A,Dim_Reps!B:B)</f>
        <v>Jamie Santos</v>
      </c>
      <c r="P355" t="str">
        <f>_xlfn.XLOOKUP(Pipeline_tbl[[#This Row],[Rep_ID]],Dim_Reps!A:A,Dim_Reps!C:C)</f>
        <v>Enterprise AE</v>
      </c>
      <c r="Q355" t="str">
        <f>_xlfn.XLOOKUP(Pipeline_tbl[[#This Row],[Rep_ID]],Dim_Reps!A:A,Dim_Reps!D:D)</f>
        <v>Enterprise</v>
      </c>
      <c r="R355" t="str">
        <f>_xlfn.XLOOKUP(Pipeline_tbl[[#This Row],[Rep_ID]],Dim_Reps!A:A,Dim_Reps!E:E)</f>
        <v>APAC</v>
      </c>
      <c r="S355" t="str">
        <f>_xlfn.XLOOKUP(Pipeline_tbl[[#This Row],[Created_Date]],Dim_Date!A:A,Dim_Date!H:H)</f>
        <v>Sep 2024</v>
      </c>
      <c r="T355" t="str">
        <f>IF(Pipeline_tbl[[#This Row],[Closed_Date]]=0,"",(_xlfn.XLOOKUP(Pipeline_tbl[[#This Row],[Closed_Date]],Dim_Date!A:A,Dim_Date!H:H)))</f>
        <v>Nov 2024</v>
      </c>
      <c r="U355">
        <f>IF(Pipeline_tbl[[#This Row],[Closed_Date]]=0,"",Pipeline_tbl[[#This Row],[Closed_Date]]-Pipeline_tbl[[#This Row],[Created_Date]])</f>
        <v>65</v>
      </c>
    </row>
    <row r="356" spans="1:21" ht="15" customHeight="1" x14ac:dyDescent="0.2">
      <c r="A356" t="s">
        <v>662</v>
      </c>
      <c r="B356" t="s">
        <v>188</v>
      </c>
      <c r="C356" t="s">
        <v>52</v>
      </c>
      <c r="D356" s="49">
        <v>45561</v>
      </c>
      <c r="E356" s="49">
        <v>45565</v>
      </c>
      <c r="F356" s="49">
        <v>45574</v>
      </c>
      <c r="G356" s="49">
        <v>45587</v>
      </c>
      <c r="H356" s="49">
        <v>45598</v>
      </c>
      <c r="I356" s="49">
        <v>45604</v>
      </c>
      <c r="J356" t="s">
        <v>47</v>
      </c>
      <c r="K356" s="33">
        <v>28600</v>
      </c>
      <c r="M356" t="str">
        <f>_xlfn.XLOOKUP(Pipeline_tbl[[#This Row],[Rep_ID]],Dim_Reps!A:A,Dim_Reps!K:K)</f>
        <v>EUR</v>
      </c>
      <c r="N356" s="33">
        <f>(_xlfn.XLOOKUP(Pipeline_tbl[[#This Row],[Rate_Code_Generalized]],Lookups!A:A,Lookups!B:B))*Pipeline_tbl[[#This Row],[Pipeline_Amount_USD]]</f>
        <v>28600</v>
      </c>
      <c r="O356" t="str">
        <f>_xlfn.XLOOKUP(Pipeline_tbl[[#This Row],[Rep_ID]],Dim_Reps!A:A,Dim_Reps!B:B)</f>
        <v>Jamie Santos</v>
      </c>
      <c r="P356" t="str">
        <f>_xlfn.XLOOKUP(Pipeline_tbl[[#This Row],[Rep_ID]],Dim_Reps!A:A,Dim_Reps!C:C)</f>
        <v>Enterprise AE</v>
      </c>
      <c r="Q356" t="str">
        <f>_xlfn.XLOOKUP(Pipeline_tbl[[#This Row],[Rep_ID]],Dim_Reps!A:A,Dim_Reps!D:D)</f>
        <v>Enterprise</v>
      </c>
      <c r="R356" t="str">
        <f>_xlfn.XLOOKUP(Pipeline_tbl[[#This Row],[Rep_ID]],Dim_Reps!A:A,Dim_Reps!E:E)</f>
        <v>APAC</v>
      </c>
      <c r="S356" t="str">
        <f>_xlfn.XLOOKUP(Pipeline_tbl[[#This Row],[Created_Date]],Dim_Date!A:A,Dim_Date!H:H)</f>
        <v>Sep 2024</v>
      </c>
      <c r="T356" t="str">
        <f>IF(Pipeline_tbl[[#This Row],[Closed_Date]]=0,"",(_xlfn.XLOOKUP(Pipeline_tbl[[#This Row],[Closed_Date]],Dim_Date!A:A,Dim_Date!H:H)))</f>
        <v>Nov 2024</v>
      </c>
      <c r="U356">
        <f>IF(Pipeline_tbl[[#This Row],[Closed_Date]]=0,"",Pipeline_tbl[[#This Row],[Closed_Date]]-Pipeline_tbl[[#This Row],[Created_Date]])</f>
        <v>43</v>
      </c>
    </row>
    <row r="357" spans="1:21" ht="15" customHeight="1" x14ac:dyDescent="0.2">
      <c r="A357" t="s">
        <v>663</v>
      </c>
      <c r="B357" t="s">
        <v>259</v>
      </c>
      <c r="C357" t="s">
        <v>55</v>
      </c>
      <c r="D357" s="49">
        <v>45551</v>
      </c>
      <c r="E357" s="49">
        <v>45556</v>
      </c>
      <c r="F357" s="49">
        <v>45565</v>
      </c>
      <c r="G357" s="49">
        <v>45580</v>
      </c>
      <c r="H357" s="49">
        <v>45592</v>
      </c>
      <c r="I357" s="49">
        <v>45599</v>
      </c>
      <c r="J357" t="s">
        <v>47</v>
      </c>
      <c r="K357" s="33">
        <v>13700</v>
      </c>
      <c r="M357" t="str">
        <f>_xlfn.XLOOKUP(Pipeline_tbl[[#This Row],[Rep_ID]],Dim_Reps!A:A,Dim_Reps!K:K)</f>
        <v>EUR</v>
      </c>
      <c r="N357" s="33">
        <f>(_xlfn.XLOOKUP(Pipeline_tbl[[#This Row],[Rate_Code_Generalized]],Lookups!A:A,Lookups!B:B))*Pipeline_tbl[[#This Row],[Pipeline_Amount_USD]]</f>
        <v>13700</v>
      </c>
      <c r="O357" t="str">
        <f>_xlfn.XLOOKUP(Pipeline_tbl[[#This Row],[Rep_ID]],Dim_Reps!A:A,Dim_Reps!B:B)</f>
        <v>Felix Okafor</v>
      </c>
      <c r="P357" t="str">
        <f>_xlfn.XLOOKUP(Pipeline_tbl[[#This Row],[Rep_ID]],Dim_Reps!A:A,Dim_Reps!C:C)</f>
        <v>Mid-Market AE</v>
      </c>
      <c r="Q357" t="str">
        <f>_xlfn.XLOOKUP(Pipeline_tbl[[#This Row],[Rep_ID]],Dim_Reps!A:A,Dim_Reps!D:D)</f>
        <v>Mid-Market</v>
      </c>
      <c r="R357" t="str">
        <f>_xlfn.XLOOKUP(Pipeline_tbl[[#This Row],[Rep_ID]],Dim_Reps!A:A,Dim_Reps!E:E)</f>
        <v>EMEA</v>
      </c>
      <c r="S357" t="str">
        <f>_xlfn.XLOOKUP(Pipeline_tbl[[#This Row],[Created_Date]],Dim_Date!A:A,Dim_Date!H:H)</f>
        <v>Sep 2024</v>
      </c>
      <c r="T357" t="str">
        <f>IF(Pipeline_tbl[[#This Row],[Closed_Date]]=0,"",(_xlfn.XLOOKUP(Pipeline_tbl[[#This Row],[Closed_Date]],Dim_Date!A:A,Dim_Date!H:H)))</f>
        <v>Nov 2024</v>
      </c>
      <c r="U357">
        <f>IF(Pipeline_tbl[[#This Row],[Closed_Date]]=0,"",Pipeline_tbl[[#This Row],[Closed_Date]]-Pipeline_tbl[[#This Row],[Created_Date]])</f>
        <v>48</v>
      </c>
    </row>
    <row r="358" spans="1:21" ht="15" customHeight="1" x14ac:dyDescent="0.2">
      <c r="A358" t="s">
        <v>664</v>
      </c>
      <c r="B358" t="s">
        <v>259</v>
      </c>
      <c r="C358" t="s">
        <v>52</v>
      </c>
      <c r="D358" s="49">
        <v>45562</v>
      </c>
      <c r="E358" s="49">
        <v>45566</v>
      </c>
      <c r="I358" s="49">
        <v>45603</v>
      </c>
      <c r="J358" t="s">
        <v>49</v>
      </c>
      <c r="K358" s="33">
        <v>19600</v>
      </c>
      <c r="L358" t="s">
        <v>62</v>
      </c>
      <c r="M358" t="str">
        <f>_xlfn.XLOOKUP(Pipeline_tbl[[#This Row],[Rep_ID]],Dim_Reps!A:A,Dim_Reps!K:K)</f>
        <v>EUR</v>
      </c>
      <c r="N358" s="33">
        <f>(_xlfn.XLOOKUP(Pipeline_tbl[[#This Row],[Rate_Code_Generalized]],Lookups!A:A,Lookups!B:B))*Pipeline_tbl[[#This Row],[Pipeline_Amount_USD]]</f>
        <v>19600</v>
      </c>
      <c r="O358" t="str">
        <f>_xlfn.XLOOKUP(Pipeline_tbl[[#This Row],[Rep_ID]],Dim_Reps!A:A,Dim_Reps!B:B)</f>
        <v>Felix Okafor</v>
      </c>
      <c r="P358" t="str">
        <f>_xlfn.XLOOKUP(Pipeline_tbl[[#This Row],[Rep_ID]],Dim_Reps!A:A,Dim_Reps!C:C)</f>
        <v>Mid-Market AE</v>
      </c>
      <c r="Q358" t="str">
        <f>_xlfn.XLOOKUP(Pipeline_tbl[[#This Row],[Rep_ID]],Dim_Reps!A:A,Dim_Reps!D:D)</f>
        <v>Mid-Market</v>
      </c>
      <c r="R358" t="str">
        <f>_xlfn.XLOOKUP(Pipeline_tbl[[#This Row],[Rep_ID]],Dim_Reps!A:A,Dim_Reps!E:E)</f>
        <v>EMEA</v>
      </c>
      <c r="S358" t="str">
        <f>_xlfn.XLOOKUP(Pipeline_tbl[[#This Row],[Created_Date]],Dim_Date!A:A,Dim_Date!H:H)</f>
        <v>Sep 2024</v>
      </c>
      <c r="T358" t="str">
        <f>IF(Pipeline_tbl[[#This Row],[Closed_Date]]=0,"",(_xlfn.XLOOKUP(Pipeline_tbl[[#This Row],[Closed_Date]],Dim_Date!A:A,Dim_Date!H:H)))</f>
        <v>Nov 2024</v>
      </c>
      <c r="U358">
        <f>IF(Pipeline_tbl[[#This Row],[Closed_Date]]=0,"",Pipeline_tbl[[#This Row],[Closed_Date]]-Pipeline_tbl[[#This Row],[Created_Date]])</f>
        <v>41</v>
      </c>
    </row>
    <row r="359" spans="1:21" ht="15" customHeight="1" x14ac:dyDescent="0.2">
      <c r="A359" t="s">
        <v>665</v>
      </c>
      <c r="B359" t="s">
        <v>280</v>
      </c>
      <c r="C359" t="s">
        <v>56</v>
      </c>
      <c r="D359" s="49">
        <v>45543</v>
      </c>
      <c r="E359" s="49">
        <v>45550</v>
      </c>
      <c r="I359" s="49">
        <v>45617</v>
      </c>
      <c r="J359" t="s">
        <v>49</v>
      </c>
      <c r="K359" s="33">
        <v>62500</v>
      </c>
      <c r="L359" t="s">
        <v>63</v>
      </c>
      <c r="M359" t="str">
        <f>_xlfn.XLOOKUP(Pipeline_tbl[[#This Row],[Rep_ID]],Dim_Reps!A:A,Dim_Reps!K:K)</f>
        <v>MXN</v>
      </c>
      <c r="N359" s="33">
        <f>(_xlfn.XLOOKUP(Pipeline_tbl[[#This Row],[Rate_Code_Generalized]],Lookups!A:A,Lookups!B:B))*Pipeline_tbl[[#This Row],[Pipeline_Amount_USD]]</f>
        <v>1233293.75</v>
      </c>
      <c r="O359" t="str">
        <f>_xlfn.XLOOKUP(Pipeline_tbl[[#This Row],[Rep_ID]],Dim_Reps!A:A,Dim_Reps!B:B)</f>
        <v>Cameron Lund</v>
      </c>
      <c r="P359" t="str">
        <f>_xlfn.XLOOKUP(Pipeline_tbl[[#This Row],[Rep_ID]],Dim_Reps!A:A,Dim_Reps!C:C)</f>
        <v>Senior Enterprise AE</v>
      </c>
      <c r="Q359" t="str">
        <f>_xlfn.XLOOKUP(Pipeline_tbl[[#This Row],[Rep_ID]],Dim_Reps!A:A,Dim_Reps!D:D)</f>
        <v>Strategic</v>
      </c>
      <c r="R359" t="str">
        <f>_xlfn.XLOOKUP(Pipeline_tbl[[#This Row],[Rep_ID]],Dim_Reps!A:A,Dim_Reps!E:E)</f>
        <v>LATAM</v>
      </c>
      <c r="S359" t="str">
        <f>_xlfn.XLOOKUP(Pipeline_tbl[[#This Row],[Created_Date]],Dim_Date!A:A,Dim_Date!H:H)</f>
        <v>Sep 2024</v>
      </c>
      <c r="T359" t="str">
        <f>IF(Pipeline_tbl[[#This Row],[Closed_Date]]=0,"",(_xlfn.XLOOKUP(Pipeline_tbl[[#This Row],[Closed_Date]],Dim_Date!A:A,Dim_Date!H:H)))</f>
        <v>Nov 2024</v>
      </c>
      <c r="U359">
        <f>IF(Pipeline_tbl[[#This Row],[Closed_Date]]=0,"",Pipeline_tbl[[#This Row],[Closed_Date]]-Pipeline_tbl[[#This Row],[Created_Date]])</f>
        <v>74</v>
      </c>
    </row>
    <row r="360" spans="1:21" ht="15" customHeight="1" x14ac:dyDescent="0.2">
      <c r="A360" t="s">
        <v>666</v>
      </c>
      <c r="B360" t="s">
        <v>191</v>
      </c>
      <c r="C360" t="s">
        <v>56</v>
      </c>
      <c r="D360" s="49">
        <v>45561</v>
      </c>
      <c r="E360" s="49">
        <v>45567</v>
      </c>
      <c r="F360" s="49">
        <v>45578</v>
      </c>
      <c r="G360" s="49">
        <v>45595</v>
      </c>
      <c r="I360" s="49">
        <v>45618</v>
      </c>
      <c r="J360" t="s">
        <v>49</v>
      </c>
      <c r="K360" s="33">
        <v>29600</v>
      </c>
      <c r="L360" t="s">
        <v>60</v>
      </c>
      <c r="M360" t="str">
        <f>_xlfn.XLOOKUP(Pipeline_tbl[[#This Row],[Rep_ID]],Dim_Reps!A:A,Dim_Reps!K:K)</f>
        <v>USD</v>
      </c>
      <c r="N360" s="33">
        <f>(_xlfn.XLOOKUP(Pipeline_tbl[[#This Row],[Rate_Code_Generalized]],Lookups!A:A,Lookups!B:B))*Pipeline_tbl[[#This Row],[Pipeline_Amount_USD]]</f>
        <v>34463.279999999999</v>
      </c>
      <c r="O360" t="str">
        <f>_xlfn.XLOOKUP(Pipeline_tbl[[#This Row],[Rep_ID]],Dim_Reps!A:A,Dim_Reps!B:B)</f>
        <v>Zara Duarte</v>
      </c>
      <c r="P360" t="str">
        <f>_xlfn.XLOOKUP(Pipeline_tbl[[#This Row],[Rep_ID]],Dim_Reps!A:A,Dim_Reps!C:C)</f>
        <v>Enterprise AE</v>
      </c>
      <c r="Q360" t="str">
        <f>_xlfn.XLOOKUP(Pipeline_tbl[[#This Row],[Rep_ID]],Dim_Reps!A:A,Dim_Reps!D:D)</f>
        <v>Enterprise</v>
      </c>
      <c r="R360" t="str">
        <f>_xlfn.XLOOKUP(Pipeline_tbl[[#This Row],[Rep_ID]],Dim_Reps!A:A,Dim_Reps!E:E)</f>
        <v>NAMER</v>
      </c>
      <c r="S360" t="str">
        <f>_xlfn.XLOOKUP(Pipeline_tbl[[#This Row],[Created_Date]],Dim_Date!A:A,Dim_Date!H:H)</f>
        <v>Sep 2024</v>
      </c>
      <c r="T360" t="str">
        <f>IF(Pipeline_tbl[[#This Row],[Closed_Date]]=0,"",(_xlfn.XLOOKUP(Pipeline_tbl[[#This Row],[Closed_Date]],Dim_Date!A:A,Dim_Date!H:H)))</f>
        <v>Nov 2024</v>
      </c>
      <c r="U360">
        <f>IF(Pipeline_tbl[[#This Row],[Closed_Date]]=0,"",Pipeline_tbl[[#This Row],[Closed_Date]]-Pipeline_tbl[[#This Row],[Created_Date]])</f>
        <v>57</v>
      </c>
    </row>
    <row r="361" spans="1:21" ht="15" customHeight="1" x14ac:dyDescent="0.2">
      <c r="A361" t="s">
        <v>667</v>
      </c>
      <c r="B361" t="s">
        <v>191</v>
      </c>
      <c r="C361" t="s">
        <v>52</v>
      </c>
      <c r="D361" s="49">
        <v>45553</v>
      </c>
      <c r="E361" s="49">
        <v>45557</v>
      </c>
      <c r="F361" s="49">
        <v>45567</v>
      </c>
      <c r="G361" s="49">
        <v>45580</v>
      </c>
      <c r="H361" s="49">
        <v>45591</v>
      </c>
      <c r="I361" s="49">
        <v>45598</v>
      </c>
      <c r="J361" t="s">
        <v>49</v>
      </c>
      <c r="K361" s="33">
        <v>24900</v>
      </c>
      <c r="L361" t="s">
        <v>63</v>
      </c>
      <c r="M361" t="str">
        <f>_xlfn.XLOOKUP(Pipeline_tbl[[#This Row],[Rep_ID]],Dim_Reps!A:A,Dim_Reps!K:K)</f>
        <v>USD</v>
      </c>
      <c r="N361" s="33">
        <f>(_xlfn.XLOOKUP(Pipeline_tbl[[#This Row],[Rate_Code_Generalized]],Lookups!A:A,Lookups!B:B))*Pipeline_tbl[[#This Row],[Pipeline_Amount_USD]]</f>
        <v>28991.069999999996</v>
      </c>
      <c r="O361" t="str">
        <f>_xlfn.XLOOKUP(Pipeline_tbl[[#This Row],[Rep_ID]],Dim_Reps!A:A,Dim_Reps!B:B)</f>
        <v>Zara Duarte</v>
      </c>
      <c r="P361" t="str">
        <f>_xlfn.XLOOKUP(Pipeline_tbl[[#This Row],[Rep_ID]],Dim_Reps!A:A,Dim_Reps!C:C)</f>
        <v>Enterprise AE</v>
      </c>
      <c r="Q361" t="str">
        <f>_xlfn.XLOOKUP(Pipeline_tbl[[#This Row],[Rep_ID]],Dim_Reps!A:A,Dim_Reps!D:D)</f>
        <v>Enterprise</v>
      </c>
      <c r="R361" t="str">
        <f>_xlfn.XLOOKUP(Pipeline_tbl[[#This Row],[Rep_ID]],Dim_Reps!A:A,Dim_Reps!E:E)</f>
        <v>NAMER</v>
      </c>
      <c r="S361" t="str">
        <f>_xlfn.XLOOKUP(Pipeline_tbl[[#This Row],[Created_Date]],Dim_Date!A:A,Dim_Date!H:H)</f>
        <v>Sep 2024</v>
      </c>
      <c r="T361" t="str">
        <f>IF(Pipeline_tbl[[#This Row],[Closed_Date]]=0,"",(_xlfn.XLOOKUP(Pipeline_tbl[[#This Row],[Closed_Date]],Dim_Date!A:A,Dim_Date!H:H)))</f>
        <v>Nov 2024</v>
      </c>
      <c r="U361">
        <f>IF(Pipeline_tbl[[#This Row],[Closed_Date]]=0,"",Pipeline_tbl[[#This Row],[Closed_Date]]-Pipeline_tbl[[#This Row],[Created_Date]])</f>
        <v>45</v>
      </c>
    </row>
    <row r="362" spans="1:21" ht="15" customHeight="1" x14ac:dyDescent="0.2">
      <c r="A362" t="s">
        <v>668</v>
      </c>
      <c r="B362" t="s">
        <v>191</v>
      </c>
      <c r="C362" t="s">
        <v>52</v>
      </c>
      <c r="D362" s="49">
        <v>45548</v>
      </c>
      <c r="E362" s="49">
        <v>45554</v>
      </c>
      <c r="F362" s="49">
        <v>45567</v>
      </c>
      <c r="G362" s="49">
        <v>45586</v>
      </c>
      <c r="I362" s="49">
        <v>45611</v>
      </c>
      <c r="J362" t="s">
        <v>49</v>
      </c>
      <c r="K362" s="33">
        <v>26100</v>
      </c>
      <c r="L362" t="s">
        <v>63</v>
      </c>
      <c r="M362" t="str">
        <f>_xlfn.XLOOKUP(Pipeline_tbl[[#This Row],[Rep_ID]],Dim_Reps!A:A,Dim_Reps!K:K)</f>
        <v>USD</v>
      </c>
      <c r="N362" s="33">
        <f>(_xlfn.XLOOKUP(Pipeline_tbl[[#This Row],[Rate_Code_Generalized]],Lookups!A:A,Lookups!B:B))*Pipeline_tbl[[#This Row],[Pipeline_Amount_USD]]</f>
        <v>30388.229999999996</v>
      </c>
      <c r="O362" t="str">
        <f>_xlfn.XLOOKUP(Pipeline_tbl[[#This Row],[Rep_ID]],Dim_Reps!A:A,Dim_Reps!B:B)</f>
        <v>Zara Duarte</v>
      </c>
      <c r="P362" t="str">
        <f>_xlfn.XLOOKUP(Pipeline_tbl[[#This Row],[Rep_ID]],Dim_Reps!A:A,Dim_Reps!C:C)</f>
        <v>Enterprise AE</v>
      </c>
      <c r="Q362" t="str">
        <f>_xlfn.XLOOKUP(Pipeline_tbl[[#This Row],[Rep_ID]],Dim_Reps!A:A,Dim_Reps!D:D)</f>
        <v>Enterprise</v>
      </c>
      <c r="R362" t="str">
        <f>_xlfn.XLOOKUP(Pipeline_tbl[[#This Row],[Rep_ID]],Dim_Reps!A:A,Dim_Reps!E:E)</f>
        <v>NAMER</v>
      </c>
      <c r="S362" t="str">
        <f>_xlfn.XLOOKUP(Pipeline_tbl[[#This Row],[Created_Date]],Dim_Date!A:A,Dim_Date!H:H)</f>
        <v>Sep 2024</v>
      </c>
      <c r="T362" t="str">
        <f>IF(Pipeline_tbl[[#This Row],[Closed_Date]]=0,"",(_xlfn.XLOOKUP(Pipeline_tbl[[#This Row],[Closed_Date]],Dim_Date!A:A,Dim_Date!H:H)))</f>
        <v>Nov 2024</v>
      </c>
      <c r="U362">
        <f>IF(Pipeline_tbl[[#This Row],[Closed_Date]]=0,"",Pipeline_tbl[[#This Row],[Closed_Date]]-Pipeline_tbl[[#This Row],[Created_Date]])</f>
        <v>63</v>
      </c>
    </row>
    <row r="363" spans="1:21" ht="15" customHeight="1" x14ac:dyDescent="0.2">
      <c r="A363" t="s">
        <v>669</v>
      </c>
      <c r="B363" t="s">
        <v>191</v>
      </c>
      <c r="C363" t="s">
        <v>52</v>
      </c>
      <c r="D363" s="49">
        <v>45542</v>
      </c>
      <c r="E363" s="49">
        <v>45548</v>
      </c>
      <c r="F363" s="49">
        <v>45559</v>
      </c>
      <c r="I363" s="49">
        <v>45598</v>
      </c>
      <c r="J363" t="s">
        <v>49</v>
      </c>
      <c r="K363" s="33">
        <v>17300</v>
      </c>
      <c r="L363" t="s">
        <v>61</v>
      </c>
      <c r="M363" t="str">
        <f>_xlfn.XLOOKUP(Pipeline_tbl[[#This Row],[Rep_ID]],Dim_Reps!A:A,Dim_Reps!K:K)</f>
        <v>USD</v>
      </c>
      <c r="N363" s="33">
        <f>(_xlfn.XLOOKUP(Pipeline_tbl[[#This Row],[Rate_Code_Generalized]],Lookups!A:A,Lookups!B:B))*Pipeline_tbl[[#This Row],[Pipeline_Amount_USD]]</f>
        <v>20142.39</v>
      </c>
      <c r="O363" t="str">
        <f>_xlfn.XLOOKUP(Pipeline_tbl[[#This Row],[Rep_ID]],Dim_Reps!A:A,Dim_Reps!B:B)</f>
        <v>Zara Duarte</v>
      </c>
      <c r="P363" t="str">
        <f>_xlfn.XLOOKUP(Pipeline_tbl[[#This Row],[Rep_ID]],Dim_Reps!A:A,Dim_Reps!C:C)</f>
        <v>Enterprise AE</v>
      </c>
      <c r="Q363" t="str">
        <f>_xlfn.XLOOKUP(Pipeline_tbl[[#This Row],[Rep_ID]],Dim_Reps!A:A,Dim_Reps!D:D)</f>
        <v>Enterprise</v>
      </c>
      <c r="R363" t="str">
        <f>_xlfn.XLOOKUP(Pipeline_tbl[[#This Row],[Rep_ID]],Dim_Reps!A:A,Dim_Reps!E:E)</f>
        <v>NAMER</v>
      </c>
      <c r="S363" t="str">
        <f>_xlfn.XLOOKUP(Pipeline_tbl[[#This Row],[Created_Date]],Dim_Date!A:A,Dim_Date!H:H)</f>
        <v>Sep 2024</v>
      </c>
      <c r="T363" t="str">
        <f>IF(Pipeline_tbl[[#This Row],[Closed_Date]]=0,"",(_xlfn.XLOOKUP(Pipeline_tbl[[#This Row],[Closed_Date]],Dim_Date!A:A,Dim_Date!H:H)))</f>
        <v>Nov 2024</v>
      </c>
      <c r="U363">
        <f>IF(Pipeline_tbl[[#This Row],[Closed_Date]]=0,"",Pipeline_tbl[[#This Row],[Closed_Date]]-Pipeline_tbl[[#This Row],[Created_Date]])</f>
        <v>56</v>
      </c>
    </row>
    <row r="364" spans="1:21" ht="15" customHeight="1" x14ac:dyDescent="0.2">
      <c r="A364" t="s">
        <v>670</v>
      </c>
      <c r="B364" t="s">
        <v>191</v>
      </c>
      <c r="C364" t="s">
        <v>56</v>
      </c>
      <c r="D364" s="49">
        <v>45549</v>
      </c>
      <c r="E364" s="49">
        <v>45556</v>
      </c>
      <c r="F364" s="49">
        <v>45569</v>
      </c>
      <c r="G364" s="49">
        <v>45589</v>
      </c>
      <c r="I364" s="49">
        <v>45615</v>
      </c>
      <c r="J364" t="s">
        <v>49</v>
      </c>
      <c r="K364" s="33">
        <v>54500</v>
      </c>
      <c r="L364" t="s">
        <v>62</v>
      </c>
      <c r="M364" t="str">
        <f>_xlfn.XLOOKUP(Pipeline_tbl[[#This Row],[Rep_ID]],Dim_Reps!A:A,Dim_Reps!K:K)</f>
        <v>USD</v>
      </c>
      <c r="N364" s="33">
        <f>(_xlfn.XLOOKUP(Pipeline_tbl[[#This Row],[Rate_Code_Generalized]],Lookups!A:A,Lookups!B:B))*Pipeline_tbl[[#This Row],[Pipeline_Amount_USD]]</f>
        <v>63454.349999999991</v>
      </c>
      <c r="O364" t="str">
        <f>_xlfn.XLOOKUP(Pipeline_tbl[[#This Row],[Rep_ID]],Dim_Reps!A:A,Dim_Reps!B:B)</f>
        <v>Zara Duarte</v>
      </c>
      <c r="P364" t="str">
        <f>_xlfn.XLOOKUP(Pipeline_tbl[[#This Row],[Rep_ID]],Dim_Reps!A:A,Dim_Reps!C:C)</f>
        <v>Enterprise AE</v>
      </c>
      <c r="Q364" t="str">
        <f>_xlfn.XLOOKUP(Pipeline_tbl[[#This Row],[Rep_ID]],Dim_Reps!A:A,Dim_Reps!D:D)</f>
        <v>Enterprise</v>
      </c>
      <c r="R364" t="str">
        <f>_xlfn.XLOOKUP(Pipeline_tbl[[#This Row],[Rep_ID]],Dim_Reps!A:A,Dim_Reps!E:E)</f>
        <v>NAMER</v>
      </c>
      <c r="S364" t="str">
        <f>_xlfn.XLOOKUP(Pipeline_tbl[[#This Row],[Created_Date]],Dim_Date!A:A,Dim_Date!H:H)</f>
        <v>Sep 2024</v>
      </c>
      <c r="T364" t="str">
        <f>IF(Pipeline_tbl[[#This Row],[Closed_Date]]=0,"",(_xlfn.XLOOKUP(Pipeline_tbl[[#This Row],[Closed_Date]],Dim_Date!A:A,Dim_Date!H:H)))</f>
        <v>Nov 2024</v>
      </c>
      <c r="U364">
        <f>IF(Pipeline_tbl[[#This Row],[Closed_Date]]=0,"",Pipeline_tbl[[#This Row],[Closed_Date]]-Pipeline_tbl[[#This Row],[Created_Date]])</f>
        <v>66</v>
      </c>
    </row>
    <row r="365" spans="1:21" ht="15" customHeight="1" x14ac:dyDescent="0.2">
      <c r="A365" t="s">
        <v>671</v>
      </c>
      <c r="B365" t="s">
        <v>263</v>
      </c>
      <c r="C365" t="s">
        <v>52</v>
      </c>
      <c r="D365" s="49">
        <v>45548</v>
      </c>
      <c r="E365" s="49">
        <v>45553</v>
      </c>
      <c r="F365" s="49">
        <v>45563</v>
      </c>
      <c r="G365" s="49">
        <v>45579</v>
      </c>
      <c r="H365" s="49">
        <v>45591</v>
      </c>
      <c r="I365" s="49">
        <v>45599</v>
      </c>
      <c r="J365" t="s">
        <v>47</v>
      </c>
      <c r="K365" s="33">
        <v>22200</v>
      </c>
      <c r="M365" t="str">
        <f>_xlfn.XLOOKUP(Pipeline_tbl[[#This Row],[Rep_ID]],Dim_Reps!A:A,Dim_Reps!K:K)</f>
        <v>USD</v>
      </c>
      <c r="N365" s="33">
        <f>(_xlfn.XLOOKUP(Pipeline_tbl[[#This Row],[Rate_Code_Generalized]],Lookups!A:A,Lookups!B:B))*Pipeline_tbl[[#This Row],[Pipeline_Amount_USD]]</f>
        <v>25847.46</v>
      </c>
      <c r="O365" t="str">
        <f>_xlfn.XLOOKUP(Pipeline_tbl[[#This Row],[Rep_ID]],Dim_Reps!A:A,Dim_Reps!B:B)</f>
        <v>Morgan Weber</v>
      </c>
      <c r="P365" t="str">
        <f>_xlfn.XLOOKUP(Pipeline_tbl[[#This Row],[Rep_ID]],Dim_Reps!A:A,Dim_Reps!C:C)</f>
        <v>Mid-Market AE</v>
      </c>
      <c r="Q365" t="str">
        <f>_xlfn.XLOOKUP(Pipeline_tbl[[#This Row],[Rep_ID]],Dim_Reps!A:A,Dim_Reps!D:D)</f>
        <v>Mid-Market</v>
      </c>
      <c r="R365" t="str">
        <f>_xlfn.XLOOKUP(Pipeline_tbl[[#This Row],[Rep_ID]],Dim_Reps!A:A,Dim_Reps!E:E)</f>
        <v>NAMER</v>
      </c>
      <c r="S365" t="str">
        <f>_xlfn.XLOOKUP(Pipeline_tbl[[#This Row],[Created_Date]],Dim_Date!A:A,Dim_Date!H:H)</f>
        <v>Sep 2024</v>
      </c>
      <c r="T365" t="str">
        <f>IF(Pipeline_tbl[[#This Row],[Closed_Date]]=0,"",(_xlfn.XLOOKUP(Pipeline_tbl[[#This Row],[Closed_Date]],Dim_Date!A:A,Dim_Date!H:H)))</f>
        <v>Nov 2024</v>
      </c>
      <c r="U365">
        <f>IF(Pipeline_tbl[[#This Row],[Closed_Date]]=0,"",Pipeline_tbl[[#This Row],[Closed_Date]]-Pipeline_tbl[[#This Row],[Created_Date]])</f>
        <v>51</v>
      </c>
    </row>
    <row r="366" spans="1:21" ht="15" customHeight="1" x14ac:dyDescent="0.2">
      <c r="A366" t="s">
        <v>672</v>
      </c>
      <c r="B366" t="s">
        <v>265</v>
      </c>
      <c r="C366" t="s">
        <v>52</v>
      </c>
      <c r="D366" s="49">
        <v>45562</v>
      </c>
      <c r="E366" s="49">
        <v>45566</v>
      </c>
      <c r="F366" s="49">
        <v>45573</v>
      </c>
      <c r="I366" s="49">
        <v>45597</v>
      </c>
      <c r="J366" t="s">
        <v>49</v>
      </c>
      <c r="K366" s="33">
        <v>9900</v>
      </c>
      <c r="L366" t="s">
        <v>62</v>
      </c>
      <c r="M366" t="str">
        <f>_xlfn.XLOOKUP(Pipeline_tbl[[#This Row],[Rep_ID]],Dim_Reps!A:A,Dim_Reps!K:K)</f>
        <v>EUR</v>
      </c>
      <c r="N366" s="33">
        <f>(_xlfn.XLOOKUP(Pipeline_tbl[[#This Row],[Rate_Code_Generalized]],Lookups!A:A,Lookups!B:B))*Pipeline_tbl[[#This Row],[Pipeline_Amount_USD]]</f>
        <v>9900</v>
      </c>
      <c r="O366" t="str">
        <f>_xlfn.XLOOKUP(Pipeline_tbl[[#This Row],[Rep_ID]],Dim_Reps!A:A,Dim_Reps!B:B)</f>
        <v>Erik Duarte</v>
      </c>
      <c r="P366" t="str">
        <f>_xlfn.XLOOKUP(Pipeline_tbl[[#This Row],[Rep_ID]],Dim_Reps!A:A,Dim_Reps!C:C)</f>
        <v>Mid-Market AE</v>
      </c>
      <c r="Q366" t="str">
        <f>_xlfn.XLOOKUP(Pipeline_tbl[[#This Row],[Rep_ID]],Dim_Reps!A:A,Dim_Reps!D:D)</f>
        <v>Mid-Market</v>
      </c>
      <c r="R366" t="str">
        <f>_xlfn.XLOOKUP(Pipeline_tbl[[#This Row],[Rep_ID]],Dim_Reps!A:A,Dim_Reps!E:E)</f>
        <v>EMEA</v>
      </c>
      <c r="S366" t="str">
        <f>_xlfn.XLOOKUP(Pipeline_tbl[[#This Row],[Created_Date]],Dim_Date!A:A,Dim_Date!H:H)</f>
        <v>Sep 2024</v>
      </c>
      <c r="T366" t="str">
        <f>IF(Pipeline_tbl[[#This Row],[Closed_Date]]=0,"",(_xlfn.XLOOKUP(Pipeline_tbl[[#This Row],[Closed_Date]],Dim_Date!A:A,Dim_Date!H:H)))</f>
        <v>Nov 2024</v>
      </c>
      <c r="U366">
        <f>IF(Pipeline_tbl[[#This Row],[Closed_Date]]=0,"",Pipeline_tbl[[#This Row],[Closed_Date]]-Pipeline_tbl[[#This Row],[Created_Date]])</f>
        <v>35</v>
      </c>
    </row>
    <row r="367" spans="1:21" ht="15" customHeight="1" x14ac:dyDescent="0.2">
      <c r="A367" t="s">
        <v>673</v>
      </c>
      <c r="B367" t="s">
        <v>267</v>
      </c>
      <c r="C367" t="s">
        <v>55</v>
      </c>
      <c r="D367" s="49">
        <v>45559</v>
      </c>
      <c r="E367" s="49">
        <v>45565</v>
      </c>
      <c r="F367" s="49">
        <v>45576</v>
      </c>
      <c r="G367" s="49">
        <v>45592</v>
      </c>
      <c r="I367" s="49">
        <v>45614</v>
      </c>
      <c r="J367" t="s">
        <v>49</v>
      </c>
      <c r="K367" s="33">
        <v>12600</v>
      </c>
      <c r="L367" t="s">
        <v>63</v>
      </c>
      <c r="M367" t="str">
        <f>_xlfn.XLOOKUP(Pipeline_tbl[[#This Row],[Rep_ID]],Dim_Reps!A:A,Dim_Reps!K:K)</f>
        <v>MXN</v>
      </c>
      <c r="N367" s="33">
        <f>(_xlfn.XLOOKUP(Pipeline_tbl[[#This Row],[Rate_Code_Generalized]],Lookups!A:A,Lookups!B:B))*Pipeline_tbl[[#This Row],[Pipeline_Amount_USD]]</f>
        <v>248632.02000000002</v>
      </c>
      <c r="O367" t="str">
        <f>_xlfn.XLOOKUP(Pipeline_tbl[[#This Row],[Rep_ID]],Dim_Reps!A:A,Dim_Reps!B:B)</f>
        <v>Yuki Dubois</v>
      </c>
      <c r="P367" t="str">
        <f>_xlfn.XLOOKUP(Pipeline_tbl[[#This Row],[Rep_ID]],Dim_Reps!A:A,Dim_Reps!C:C)</f>
        <v>Mid-Market AE</v>
      </c>
      <c r="Q367" t="str">
        <f>_xlfn.XLOOKUP(Pipeline_tbl[[#This Row],[Rep_ID]],Dim_Reps!A:A,Dim_Reps!D:D)</f>
        <v>Mid-Market</v>
      </c>
      <c r="R367" t="str">
        <f>_xlfn.XLOOKUP(Pipeline_tbl[[#This Row],[Rep_ID]],Dim_Reps!A:A,Dim_Reps!E:E)</f>
        <v>LATAM</v>
      </c>
      <c r="S367" t="str">
        <f>_xlfn.XLOOKUP(Pipeline_tbl[[#This Row],[Created_Date]],Dim_Date!A:A,Dim_Date!H:H)</f>
        <v>Sep 2024</v>
      </c>
      <c r="T367" t="str">
        <f>IF(Pipeline_tbl[[#This Row],[Closed_Date]]=0,"",(_xlfn.XLOOKUP(Pipeline_tbl[[#This Row],[Closed_Date]],Dim_Date!A:A,Dim_Date!H:H)))</f>
        <v>Nov 2024</v>
      </c>
      <c r="U367">
        <f>IF(Pipeline_tbl[[#This Row],[Closed_Date]]=0,"",Pipeline_tbl[[#This Row],[Closed_Date]]-Pipeline_tbl[[#This Row],[Created_Date]])</f>
        <v>55</v>
      </c>
    </row>
    <row r="368" spans="1:21" ht="15" customHeight="1" x14ac:dyDescent="0.2">
      <c r="A368" t="s">
        <v>674</v>
      </c>
      <c r="B368" t="s">
        <v>267</v>
      </c>
      <c r="C368" t="s">
        <v>53</v>
      </c>
      <c r="D368" s="49">
        <v>45562</v>
      </c>
      <c r="E368" s="49">
        <v>45566</v>
      </c>
      <c r="F368" s="49">
        <v>45574</v>
      </c>
      <c r="G368" s="49">
        <v>45585</v>
      </c>
      <c r="I368" s="49">
        <v>45601</v>
      </c>
      <c r="J368" t="s">
        <v>49</v>
      </c>
      <c r="K368" s="33">
        <v>13500</v>
      </c>
      <c r="L368" t="s">
        <v>60</v>
      </c>
      <c r="M368" t="str">
        <f>_xlfn.XLOOKUP(Pipeline_tbl[[#This Row],[Rep_ID]],Dim_Reps!A:A,Dim_Reps!K:K)</f>
        <v>MXN</v>
      </c>
      <c r="N368" s="33">
        <f>(_xlfn.XLOOKUP(Pipeline_tbl[[#This Row],[Rate_Code_Generalized]],Lookups!A:A,Lookups!B:B))*Pipeline_tbl[[#This Row],[Pipeline_Amount_USD]]</f>
        <v>266391.45</v>
      </c>
      <c r="O368" t="str">
        <f>_xlfn.XLOOKUP(Pipeline_tbl[[#This Row],[Rep_ID]],Dim_Reps!A:A,Dim_Reps!B:B)</f>
        <v>Yuki Dubois</v>
      </c>
      <c r="P368" t="str">
        <f>_xlfn.XLOOKUP(Pipeline_tbl[[#This Row],[Rep_ID]],Dim_Reps!A:A,Dim_Reps!C:C)</f>
        <v>Mid-Market AE</v>
      </c>
      <c r="Q368" t="str">
        <f>_xlfn.XLOOKUP(Pipeline_tbl[[#This Row],[Rep_ID]],Dim_Reps!A:A,Dim_Reps!D:D)</f>
        <v>Mid-Market</v>
      </c>
      <c r="R368" t="str">
        <f>_xlfn.XLOOKUP(Pipeline_tbl[[#This Row],[Rep_ID]],Dim_Reps!A:A,Dim_Reps!E:E)</f>
        <v>LATAM</v>
      </c>
      <c r="S368" t="str">
        <f>_xlfn.XLOOKUP(Pipeline_tbl[[#This Row],[Created_Date]],Dim_Date!A:A,Dim_Date!H:H)</f>
        <v>Sep 2024</v>
      </c>
      <c r="T368" t="str">
        <f>IF(Pipeline_tbl[[#This Row],[Closed_Date]]=0,"",(_xlfn.XLOOKUP(Pipeline_tbl[[#This Row],[Closed_Date]],Dim_Date!A:A,Dim_Date!H:H)))</f>
        <v>Nov 2024</v>
      </c>
      <c r="U368">
        <f>IF(Pipeline_tbl[[#This Row],[Closed_Date]]=0,"",Pipeline_tbl[[#This Row],[Closed_Date]]-Pipeline_tbl[[#This Row],[Created_Date]])</f>
        <v>39</v>
      </c>
    </row>
    <row r="369" spans="1:21" ht="15" customHeight="1" x14ac:dyDescent="0.2">
      <c r="A369" t="s">
        <v>675</v>
      </c>
      <c r="B369" t="s">
        <v>269</v>
      </c>
      <c r="C369" t="s">
        <v>53</v>
      </c>
      <c r="D369" s="49">
        <v>45561</v>
      </c>
      <c r="E369" s="49">
        <v>45565</v>
      </c>
      <c r="F369" s="49">
        <v>45574</v>
      </c>
      <c r="G369" s="49">
        <v>45587</v>
      </c>
      <c r="I369" s="49">
        <v>45605</v>
      </c>
      <c r="J369" t="s">
        <v>49</v>
      </c>
      <c r="K369" s="33">
        <v>5600</v>
      </c>
      <c r="L369" t="s">
        <v>60</v>
      </c>
      <c r="M369" t="str">
        <f>_xlfn.XLOOKUP(Pipeline_tbl[[#This Row],[Rep_ID]],Dim_Reps!A:A,Dim_Reps!K:K)</f>
        <v>USD</v>
      </c>
      <c r="N369" s="33">
        <f>(_xlfn.XLOOKUP(Pipeline_tbl[[#This Row],[Rate_Code_Generalized]],Lookups!A:A,Lookups!B:B))*Pipeline_tbl[[#This Row],[Pipeline_Amount_USD]]</f>
        <v>6520.079999999999</v>
      </c>
      <c r="O369" t="str">
        <f>_xlfn.XLOOKUP(Pipeline_tbl[[#This Row],[Rep_ID]],Dim_Reps!A:A,Dim_Reps!B:B)</f>
        <v>Morgan Rivera</v>
      </c>
      <c r="P369" t="str">
        <f>_xlfn.XLOOKUP(Pipeline_tbl[[#This Row],[Rep_ID]],Dim_Reps!A:A,Dim_Reps!C:C)</f>
        <v>Mid-Market AE</v>
      </c>
      <c r="Q369" t="str">
        <f>_xlfn.XLOOKUP(Pipeline_tbl[[#This Row],[Rep_ID]],Dim_Reps!A:A,Dim_Reps!D:D)</f>
        <v>Mid-Market</v>
      </c>
      <c r="R369" t="str">
        <f>_xlfn.XLOOKUP(Pipeline_tbl[[#This Row],[Rep_ID]],Dim_Reps!A:A,Dim_Reps!E:E)</f>
        <v>NAMER</v>
      </c>
      <c r="S369" t="str">
        <f>_xlfn.XLOOKUP(Pipeline_tbl[[#This Row],[Created_Date]],Dim_Date!A:A,Dim_Date!H:H)</f>
        <v>Sep 2024</v>
      </c>
      <c r="T369" t="str">
        <f>IF(Pipeline_tbl[[#This Row],[Closed_Date]]=0,"",(_xlfn.XLOOKUP(Pipeline_tbl[[#This Row],[Closed_Date]],Dim_Date!A:A,Dim_Date!H:H)))</f>
        <v>Nov 2024</v>
      </c>
      <c r="U369">
        <f>IF(Pipeline_tbl[[#This Row],[Closed_Date]]=0,"",Pipeline_tbl[[#This Row],[Closed_Date]]-Pipeline_tbl[[#This Row],[Created_Date]])</f>
        <v>44</v>
      </c>
    </row>
    <row r="370" spans="1:21" ht="15" customHeight="1" x14ac:dyDescent="0.2">
      <c r="A370" t="s">
        <v>676</v>
      </c>
      <c r="B370" t="s">
        <v>269</v>
      </c>
      <c r="C370" t="s">
        <v>53</v>
      </c>
      <c r="D370" s="49">
        <v>45555</v>
      </c>
      <c r="E370" s="49">
        <v>45560</v>
      </c>
      <c r="I370" s="49">
        <v>45601</v>
      </c>
      <c r="J370" t="s">
        <v>49</v>
      </c>
      <c r="K370" s="33">
        <v>10600</v>
      </c>
      <c r="L370" t="s">
        <v>62</v>
      </c>
      <c r="M370" t="str">
        <f>_xlfn.XLOOKUP(Pipeline_tbl[[#This Row],[Rep_ID]],Dim_Reps!A:A,Dim_Reps!K:K)</f>
        <v>USD</v>
      </c>
      <c r="N370" s="33">
        <f>(_xlfn.XLOOKUP(Pipeline_tbl[[#This Row],[Rate_Code_Generalized]],Lookups!A:A,Lookups!B:B))*Pipeline_tbl[[#This Row],[Pipeline_Amount_USD]]</f>
        <v>12341.579999999998</v>
      </c>
      <c r="O370" t="str">
        <f>_xlfn.XLOOKUP(Pipeline_tbl[[#This Row],[Rep_ID]],Dim_Reps!A:A,Dim_Reps!B:B)</f>
        <v>Morgan Rivera</v>
      </c>
      <c r="P370" t="str">
        <f>_xlfn.XLOOKUP(Pipeline_tbl[[#This Row],[Rep_ID]],Dim_Reps!A:A,Dim_Reps!C:C)</f>
        <v>Mid-Market AE</v>
      </c>
      <c r="Q370" t="str">
        <f>_xlfn.XLOOKUP(Pipeline_tbl[[#This Row],[Rep_ID]],Dim_Reps!A:A,Dim_Reps!D:D)</f>
        <v>Mid-Market</v>
      </c>
      <c r="R370" t="str">
        <f>_xlfn.XLOOKUP(Pipeline_tbl[[#This Row],[Rep_ID]],Dim_Reps!A:A,Dim_Reps!E:E)</f>
        <v>NAMER</v>
      </c>
      <c r="S370" t="str">
        <f>_xlfn.XLOOKUP(Pipeline_tbl[[#This Row],[Created_Date]],Dim_Date!A:A,Dim_Date!H:H)</f>
        <v>Sep 2024</v>
      </c>
      <c r="T370" t="str">
        <f>IF(Pipeline_tbl[[#This Row],[Closed_Date]]=0,"",(_xlfn.XLOOKUP(Pipeline_tbl[[#This Row],[Closed_Date]],Dim_Date!A:A,Dim_Date!H:H)))</f>
        <v>Nov 2024</v>
      </c>
      <c r="U370">
        <f>IF(Pipeline_tbl[[#This Row],[Closed_Date]]=0,"",Pipeline_tbl[[#This Row],[Closed_Date]]-Pipeline_tbl[[#This Row],[Created_Date]])</f>
        <v>46</v>
      </c>
    </row>
    <row r="371" spans="1:21" ht="15" customHeight="1" x14ac:dyDescent="0.2">
      <c r="A371" t="s">
        <v>677</v>
      </c>
      <c r="B371" t="s">
        <v>269</v>
      </c>
      <c r="C371" t="s">
        <v>52</v>
      </c>
      <c r="D371" s="49">
        <v>45555</v>
      </c>
      <c r="E371" s="49">
        <v>45559</v>
      </c>
      <c r="F371" s="49">
        <v>45568</v>
      </c>
      <c r="G371" s="49">
        <v>45581</v>
      </c>
      <c r="H371" s="49">
        <v>45592</v>
      </c>
      <c r="I371" s="49">
        <v>45599</v>
      </c>
      <c r="J371" t="s">
        <v>49</v>
      </c>
      <c r="K371" s="33">
        <v>8800</v>
      </c>
      <c r="L371" t="s">
        <v>60</v>
      </c>
      <c r="M371" t="str">
        <f>_xlfn.XLOOKUP(Pipeline_tbl[[#This Row],[Rep_ID]],Dim_Reps!A:A,Dim_Reps!K:K)</f>
        <v>USD</v>
      </c>
      <c r="N371" s="33">
        <f>(_xlfn.XLOOKUP(Pipeline_tbl[[#This Row],[Rate_Code_Generalized]],Lookups!A:A,Lookups!B:B))*Pipeline_tbl[[#This Row],[Pipeline_Amount_USD]]</f>
        <v>10245.839999999998</v>
      </c>
      <c r="O371" t="str">
        <f>_xlfn.XLOOKUP(Pipeline_tbl[[#This Row],[Rep_ID]],Dim_Reps!A:A,Dim_Reps!B:B)</f>
        <v>Morgan Rivera</v>
      </c>
      <c r="P371" t="str">
        <f>_xlfn.XLOOKUP(Pipeline_tbl[[#This Row],[Rep_ID]],Dim_Reps!A:A,Dim_Reps!C:C)</f>
        <v>Mid-Market AE</v>
      </c>
      <c r="Q371" t="str">
        <f>_xlfn.XLOOKUP(Pipeline_tbl[[#This Row],[Rep_ID]],Dim_Reps!A:A,Dim_Reps!D:D)</f>
        <v>Mid-Market</v>
      </c>
      <c r="R371" t="str">
        <f>_xlfn.XLOOKUP(Pipeline_tbl[[#This Row],[Rep_ID]],Dim_Reps!A:A,Dim_Reps!E:E)</f>
        <v>NAMER</v>
      </c>
      <c r="S371" t="str">
        <f>_xlfn.XLOOKUP(Pipeline_tbl[[#This Row],[Created_Date]],Dim_Date!A:A,Dim_Date!H:H)</f>
        <v>Sep 2024</v>
      </c>
      <c r="T371" t="str">
        <f>IF(Pipeline_tbl[[#This Row],[Closed_Date]]=0,"",(_xlfn.XLOOKUP(Pipeline_tbl[[#This Row],[Closed_Date]],Dim_Date!A:A,Dim_Date!H:H)))</f>
        <v>Nov 2024</v>
      </c>
      <c r="U371">
        <f>IF(Pipeline_tbl[[#This Row],[Closed_Date]]=0,"",Pipeline_tbl[[#This Row],[Closed_Date]]-Pipeline_tbl[[#This Row],[Created_Date]])</f>
        <v>44</v>
      </c>
    </row>
    <row r="372" spans="1:21" ht="15" customHeight="1" x14ac:dyDescent="0.2">
      <c r="A372" t="s">
        <v>678</v>
      </c>
      <c r="B372" t="s">
        <v>271</v>
      </c>
      <c r="C372" t="s">
        <v>55</v>
      </c>
      <c r="D372" s="49">
        <v>45559</v>
      </c>
      <c r="E372" s="49">
        <v>45564</v>
      </c>
      <c r="I372" s="49">
        <v>45606</v>
      </c>
      <c r="J372" t="s">
        <v>49</v>
      </c>
      <c r="K372" s="33">
        <v>6500</v>
      </c>
      <c r="L372" t="s">
        <v>61</v>
      </c>
      <c r="M372" t="str">
        <f>_xlfn.XLOOKUP(Pipeline_tbl[[#This Row],[Rep_ID]],Dim_Reps!A:A,Dim_Reps!K:K)</f>
        <v>EUR</v>
      </c>
      <c r="N372" s="33">
        <f>(_xlfn.XLOOKUP(Pipeline_tbl[[#This Row],[Rate_Code_Generalized]],Lookups!A:A,Lookups!B:B))*Pipeline_tbl[[#This Row],[Pipeline_Amount_USD]]</f>
        <v>6500</v>
      </c>
      <c r="O372" t="str">
        <f>_xlfn.XLOOKUP(Pipeline_tbl[[#This Row],[Rep_ID]],Dim_Reps!A:A,Dim_Reps!B:B)</f>
        <v>Ivy Adler</v>
      </c>
      <c r="P372" t="str">
        <f>_xlfn.XLOOKUP(Pipeline_tbl[[#This Row],[Rep_ID]],Dim_Reps!A:A,Dim_Reps!C:C)</f>
        <v>Mid-Market AE</v>
      </c>
      <c r="Q372" t="str">
        <f>_xlfn.XLOOKUP(Pipeline_tbl[[#This Row],[Rep_ID]],Dim_Reps!A:A,Dim_Reps!D:D)</f>
        <v>Mid-Market</v>
      </c>
      <c r="R372" t="str">
        <f>_xlfn.XLOOKUP(Pipeline_tbl[[#This Row],[Rep_ID]],Dim_Reps!A:A,Dim_Reps!E:E)</f>
        <v>APAC</v>
      </c>
      <c r="S372" t="str">
        <f>_xlfn.XLOOKUP(Pipeline_tbl[[#This Row],[Created_Date]],Dim_Date!A:A,Dim_Date!H:H)</f>
        <v>Sep 2024</v>
      </c>
      <c r="T372" t="str">
        <f>IF(Pipeline_tbl[[#This Row],[Closed_Date]]=0,"",(_xlfn.XLOOKUP(Pipeline_tbl[[#This Row],[Closed_Date]],Dim_Date!A:A,Dim_Date!H:H)))</f>
        <v>Nov 2024</v>
      </c>
      <c r="U372">
        <f>IF(Pipeline_tbl[[#This Row],[Closed_Date]]=0,"",Pipeline_tbl[[#This Row],[Closed_Date]]-Pipeline_tbl[[#This Row],[Created_Date]])</f>
        <v>47</v>
      </c>
    </row>
    <row r="373" spans="1:21" ht="15" customHeight="1" x14ac:dyDescent="0.2">
      <c r="A373" t="s">
        <v>679</v>
      </c>
      <c r="B373" t="s">
        <v>273</v>
      </c>
      <c r="C373" t="s">
        <v>53</v>
      </c>
      <c r="D373" s="49">
        <v>45554</v>
      </c>
      <c r="E373" s="49">
        <v>45559</v>
      </c>
      <c r="F373" s="49">
        <v>45568</v>
      </c>
      <c r="G373" s="49">
        <v>45582</v>
      </c>
      <c r="I373" s="49">
        <v>45601</v>
      </c>
      <c r="J373" t="s">
        <v>49</v>
      </c>
      <c r="K373" s="33">
        <v>16700</v>
      </c>
      <c r="L373" t="s">
        <v>64</v>
      </c>
      <c r="M373" t="str">
        <f>_xlfn.XLOOKUP(Pipeline_tbl[[#This Row],[Rep_ID]],Dim_Reps!A:A,Dim_Reps!K:K)</f>
        <v>EUR</v>
      </c>
      <c r="N373" s="33">
        <f>(_xlfn.XLOOKUP(Pipeline_tbl[[#This Row],[Rate_Code_Generalized]],Lookups!A:A,Lookups!B:B))*Pipeline_tbl[[#This Row],[Pipeline_Amount_USD]]</f>
        <v>16700</v>
      </c>
      <c r="O373" t="str">
        <f>_xlfn.XLOOKUP(Pipeline_tbl[[#This Row],[Rep_ID]],Dim_Reps!A:A,Dim_Reps!B:B)</f>
        <v>Olivia Cohen</v>
      </c>
      <c r="P373" t="str">
        <f>_xlfn.XLOOKUP(Pipeline_tbl[[#This Row],[Rep_ID]],Dim_Reps!A:A,Dim_Reps!C:C)</f>
        <v>Mid-Market AE</v>
      </c>
      <c r="Q373" t="str">
        <f>_xlfn.XLOOKUP(Pipeline_tbl[[#This Row],[Rep_ID]],Dim_Reps!A:A,Dim_Reps!D:D)</f>
        <v>Mid-Market</v>
      </c>
      <c r="R373" t="str">
        <f>_xlfn.XLOOKUP(Pipeline_tbl[[#This Row],[Rep_ID]],Dim_Reps!A:A,Dim_Reps!E:E)</f>
        <v>APAC</v>
      </c>
      <c r="S373" t="str">
        <f>_xlfn.XLOOKUP(Pipeline_tbl[[#This Row],[Created_Date]],Dim_Date!A:A,Dim_Date!H:H)</f>
        <v>Sep 2024</v>
      </c>
      <c r="T373" t="str">
        <f>IF(Pipeline_tbl[[#This Row],[Closed_Date]]=0,"",(_xlfn.XLOOKUP(Pipeline_tbl[[#This Row],[Closed_Date]],Dim_Date!A:A,Dim_Date!H:H)))</f>
        <v>Nov 2024</v>
      </c>
      <c r="U373">
        <f>IF(Pipeline_tbl[[#This Row],[Closed_Date]]=0,"",Pipeline_tbl[[#This Row],[Closed_Date]]-Pipeline_tbl[[#This Row],[Created_Date]])</f>
        <v>47</v>
      </c>
    </row>
    <row r="374" spans="1:21" ht="15" customHeight="1" x14ac:dyDescent="0.2">
      <c r="A374" t="s">
        <v>680</v>
      </c>
      <c r="B374" t="s">
        <v>193</v>
      </c>
      <c r="C374" t="s">
        <v>53</v>
      </c>
      <c r="D374" s="49">
        <v>45559</v>
      </c>
      <c r="E374" s="49">
        <v>45561</v>
      </c>
      <c r="F374" s="49">
        <v>45564</v>
      </c>
      <c r="G374" s="49">
        <v>45569</v>
      </c>
      <c r="H374" s="49">
        <v>45573</v>
      </c>
      <c r="I374" s="49">
        <v>45576</v>
      </c>
      <c r="J374" t="s">
        <v>47</v>
      </c>
      <c r="K374" s="33">
        <v>2900</v>
      </c>
      <c r="M374" t="str">
        <f>_xlfn.XLOOKUP(Pipeline_tbl[[#This Row],[Rep_ID]],Dim_Reps!A:A,Dim_Reps!K:K)</f>
        <v>USD</v>
      </c>
      <c r="N374" s="33">
        <f>(_xlfn.XLOOKUP(Pipeline_tbl[[#This Row],[Rate_Code_Generalized]],Lookups!A:A,Lookups!B:B))*Pipeline_tbl[[#This Row],[Pipeline_Amount_USD]]</f>
        <v>3376.47</v>
      </c>
      <c r="O374" t="str">
        <f>_xlfn.XLOOKUP(Pipeline_tbl[[#This Row],[Rep_ID]],Dim_Reps!A:A,Dim_Reps!B:B)</f>
        <v>Karim Rossi</v>
      </c>
      <c r="P374" t="str">
        <f>_xlfn.XLOOKUP(Pipeline_tbl[[#This Row],[Rep_ID]],Dim_Reps!A:A,Dim_Reps!C:C)</f>
        <v>SDR / Inside Sales Rep</v>
      </c>
      <c r="Q374" t="str">
        <f>_xlfn.XLOOKUP(Pipeline_tbl[[#This Row],[Rep_ID]],Dim_Reps!A:A,Dim_Reps!D:D)</f>
        <v>Inside Sales</v>
      </c>
      <c r="R374" t="str">
        <f>_xlfn.XLOOKUP(Pipeline_tbl[[#This Row],[Rep_ID]],Dim_Reps!A:A,Dim_Reps!E:E)</f>
        <v>NAMER</v>
      </c>
      <c r="S374" t="str">
        <f>_xlfn.XLOOKUP(Pipeline_tbl[[#This Row],[Created_Date]],Dim_Date!A:A,Dim_Date!H:H)</f>
        <v>Sep 2024</v>
      </c>
      <c r="T374" t="str">
        <f>IF(Pipeline_tbl[[#This Row],[Closed_Date]]=0,"",(_xlfn.XLOOKUP(Pipeline_tbl[[#This Row],[Closed_Date]],Dim_Date!A:A,Dim_Date!H:H)))</f>
        <v>Oct 2024</v>
      </c>
      <c r="U374">
        <f>IF(Pipeline_tbl[[#This Row],[Closed_Date]]=0,"",Pipeline_tbl[[#This Row],[Closed_Date]]-Pipeline_tbl[[#This Row],[Created_Date]])</f>
        <v>17</v>
      </c>
    </row>
    <row r="375" spans="1:21" ht="15" customHeight="1" x14ac:dyDescent="0.2">
      <c r="A375" t="s">
        <v>681</v>
      </c>
      <c r="B375" t="s">
        <v>193</v>
      </c>
      <c r="C375" t="s">
        <v>52</v>
      </c>
      <c r="D375" s="49">
        <v>45553</v>
      </c>
      <c r="E375" s="49">
        <v>45555</v>
      </c>
      <c r="F375" s="49">
        <v>45558</v>
      </c>
      <c r="G375" s="49">
        <v>45563</v>
      </c>
      <c r="H375" s="49">
        <v>45567</v>
      </c>
      <c r="I375" s="49">
        <v>45570</v>
      </c>
      <c r="J375" t="s">
        <v>49</v>
      </c>
      <c r="K375" s="33">
        <v>2200</v>
      </c>
      <c r="L375" t="s">
        <v>61</v>
      </c>
      <c r="M375" t="str">
        <f>_xlfn.XLOOKUP(Pipeline_tbl[[#This Row],[Rep_ID]],Dim_Reps!A:A,Dim_Reps!K:K)</f>
        <v>USD</v>
      </c>
      <c r="N375" s="33">
        <f>(_xlfn.XLOOKUP(Pipeline_tbl[[#This Row],[Rate_Code_Generalized]],Lookups!A:A,Lookups!B:B))*Pipeline_tbl[[#This Row],[Pipeline_Amount_USD]]</f>
        <v>2561.4599999999996</v>
      </c>
      <c r="O375" t="str">
        <f>_xlfn.XLOOKUP(Pipeline_tbl[[#This Row],[Rep_ID]],Dim_Reps!A:A,Dim_Reps!B:B)</f>
        <v>Karim Rossi</v>
      </c>
      <c r="P375" t="str">
        <f>_xlfn.XLOOKUP(Pipeline_tbl[[#This Row],[Rep_ID]],Dim_Reps!A:A,Dim_Reps!C:C)</f>
        <v>SDR / Inside Sales Rep</v>
      </c>
      <c r="Q375" t="str">
        <f>_xlfn.XLOOKUP(Pipeline_tbl[[#This Row],[Rep_ID]],Dim_Reps!A:A,Dim_Reps!D:D)</f>
        <v>Inside Sales</v>
      </c>
      <c r="R375" t="str">
        <f>_xlfn.XLOOKUP(Pipeline_tbl[[#This Row],[Rep_ID]],Dim_Reps!A:A,Dim_Reps!E:E)</f>
        <v>NAMER</v>
      </c>
      <c r="S375" t="str">
        <f>_xlfn.XLOOKUP(Pipeline_tbl[[#This Row],[Created_Date]],Dim_Date!A:A,Dim_Date!H:H)</f>
        <v>Sep 2024</v>
      </c>
      <c r="T375" t="str">
        <f>IF(Pipeline_tbl[[#This Row],[Closed_Date]]=0,"",(_xlfn.XLOOKUP(Pipeline_tbl[[#This Row],[Closed_Date]],Dim_Date!A:A,Dim_Date!H:H)))</f>
        <v>Oct 2024</v>
      </c>
      <c r="U375">
        <f>IF(Pipeline_tbl[[#This Row],[Closed_Date]]=0,"",Pipeline_tbl[[#This Row],[Closed_Date]]-Pipeline_tbl[[#This Row],[Created_Date]])</f>
        <v>17</v>
      </c>
    </row>
    <row r="376" spans="1:21" ht="15" customHeight="1" x14ac:dyDescent="0.2">
      <c r="A376" t="s">
        <v>682</v>
      </c>
      <c r="B376" t="s">
        <v>193</v>
      </c>
      <c r="C376" t="s">
        <v>52</v>
      </c>
      <c r="D376" s="49">
        <v>45558</v>
      </c>
      <c r="E376" s="49">
        <v>45560</v>
      </c>
      <c r="F376" s="49">
        <v>45563</v>
      </c>
      <c r="G376" s="49">
        <v>45568</v>
      </c>
      <c r="H376" s="49">
        <v>45572</v>
      </c>
      <c r="I376" s="49">
        <v>45575</v>
      </c>
      <c r="J376" t="s">
        <v>47</v>
      </c>
      <c r="K376" s="33">
        <v>2000</v>
      </c>
      <c r="M376" t="str">
        <f>_xlfn.XLOOKUP(Pipeline_tbl[[#This Row],[Rep_ID]],Dim_Reps!A:A,Dim_Reps!K:K)</f>
        <v>USD</v>
      </c>
      <c r="N376" s="33">
        <f>(_xlfn.XLOOKUP(Pipeline_tbl[[#This Row],[Rate_Code_Generalized]],Lookups!A:A,Lookups!B:B))*Pipeline_tbl[[#This Row],[Pipeline_Amount_USD]]</f>
        <v>2328.6</v>
      </c>
      <c r="O376" t="str">
        <f>_xlfn.XLOOKUP(Pipeline_tbl[[#This Row],[Rep_ID]],Dim_Reps!A:A,Dim_Reps!B:B)</f>
        <v>Karim Rossi</v>
      </c>
      <c r="P376" t="str">
        <f>_xlfn.XLOOKUP(Pipeline_tbl[[#This Row],[Rep_ID]],Dim_Reps!A:A,Dim_Reps!C:C)</f>
        <v>SDR / Inside Sales Rep</v>
      </c>
      <c r="Q376" t="str">
        <f>_xlfn.XLOOKUP(Pipeline_tbl[[#This Row],[Rep_ID]],Dim_Reps!A:A,Dim_Reps!D:D)</f>
        <v>Inside Sales</v>
      </c>
      <c r="R376" t="str">
        <f>_xlfn.XLOOKUP(Pipeline_tbl[[#This Row],[Rep_ID]],Dim_Reps!A:A,Dim_Reps!E:E)</f>
        <v>NAMER</v>
      </c>
      <c r="S376" t="str">
        <f>_xlfn.XLOOKUP(Pipeline_tbl[[#This Row],[Created_Date]],Dim_Date!A:A,Dim_Date!H:H)</f>
        <v>Sep 2024</v>
      </c>
      <c r="T376" t="str">
        <f>IF(Pipeline_tbl[[#This Row],[Closed_Date]]=0,"",(_xlfn.XLOOKUP(Pipeline_tbl[[#This Row],[Closed_Date]],Dim_Date!A:A,Dim_Date!H:H)))</f>
        <v>Oct 2024</v>
      </c>
      <c r="U376">
        <f>IF(Pipeline_tbl[[#This Row],[Closed_Date]]=0,"",Pipeline_tbl[[#This Row],[Closed_Date]]-Pipeline_tbl[[#This Row],[Created_Date]])</f>
        <v>17</v>
      </c>
    </row>
    <row r="377" spans="1:21" ht="15" customHeight="1" x14ac:dyDescent="0.2">
      <c r="A377" t="s">
        <v>683</v>
      </c>
      <c r="B377" t="s">
        <v>193</v>
      </c>
      <c r="C377" t="s">
        <v>54</v>
      </c>
      <c r="D377" s="49">
        <v>45564</v>
      </c>
      <c r="E377" s="49">
        <v>45566</v>
      </c>
      <c r="F377" s="49">
        <v>45572</v>
      </c>
      <c r="G377" s="49">
        <v>45579</v>
      </c>
      <c r="H377" s="49">
        <v>45585</v>
      </c>
      <c r="I377" s="49">
        <v>45589</v>
      </c>
      <c r="J377" t="s">
        <v>47</v>
      </c>
      <c r="K377" s="33">
        <v>2400</v>
      </c>
      <c r="M377" t="str">
        <f>_xlfn.XLOOKUP(Pipeline_tbl[[#This Row],[Rep_ID]],Dim_Reps!A:A,Dim_Reps!K:K)</f>
        <v>USD</v>
      </c>
      <c r="N377" s="33">
        <f>(_xlfn.XLOOKUP(Pipeline_tbl[[#This Row],[Rate_Code_Generalized]],Lookups!A:A,Lookups!B:B))*Pipeline_tbl[[#This Row],[Pipeline_Amount_USD]]</f>
        <v>2794.3199999999997</v>
      </c>
      <c r="O377" t="str">
        <f>_xlfn.XLOOKUP(Pipeline_tbl[[#This Row],[Rep_ID]],Dim_Reps!A:A,Dim_Reps!B:B)</f>
        <v>Karim Rossi</v>
      </c>
      <c r="P377" t="str">
        <f>_xlfn.XLOOKUP(Pipeline_tbl[[#This Row],[Rep_ID]],Dim_Reps!A:A,Dim_Reps!C:C)</f>
        <v>SDR / Inside Sales Rep</v>
      </c>
      <c r="Q377" t="str">
        <f>_xlfn.XLOOKUP(Pipeline_tbl[[#This Row],[Rep_ID]],Dim_Reps!A:A,Dim_Reps!D:D)</f>
        <v>Inside Sales</v>
      </c>
      <c r="R377" t="str">
        <f>_xlfn.XLOOKUP(Pipeline_tbl[[#This Row],[Rep_ID]],Dim_Reps!A:A,Dim_Reps!E:E)</f>
        <v>NAMER</v>
      </c>
      <c r="S377" t="str">
        <f>_xlfn.XLOOKUP(Pipeline_tbl[[#This Row],[Created_Date]],Dim_Date!A:A,Dim_Date!H:H)</f>
        <v>Sep 2024</v>
      </c>
      <c r="T377" t="str">
        <f>IF(Pipeline_tbl[[#This Row],[Closed_Date]]=0,"",(_xlfn.XLOOKUP(Pipeline_tbl[[#This Row],[Closed_Date]],Dim_Date!A:A,Dim_Date!H:H)))</f>
        <v>Oct 2024</v>
      </c>
      <c r="U377">
        <f>IF(Pipeline_tbl[[#This Row],[Closed_Date]]=0,"",Pipeline_tbl[[#This Row],[Closed_Date]]-Pipeline_tbl[[#This Row],[Created_Date]])</f>
        <v>25</v>
      </c>
    </row>
    <row r="378" spans="1:21" ht="15" customHeight="1" x14ac:dyDescent="0.2">
      <c r="A378" t="s">
        <v>684</v>
      </c>
      <c r="B378" t="s">
        <v>193</v>
      </c>
      <c r="C378" t="s">
        <v>52</v>
      </c>
      <c r="D378" s="49">
        <v>45558</v>
      </c>
      <c r="E378" s="49">
        <v>45560</v>
      </c>
      <c r="F378" s="49">
        <v>45565</v>
      </c>
      <c r="G378" s="49">
        <v>45572</v>
      </c>
      <c r="H378" s="49">
        <v>45578</v>
      </c>
      <c r="I378" s="49">
        <v>45582</v>
      </c>
      <c r="J378" t="s">
        <v>47</v>
      </c>
      <c r="K378" s="33">
        <v>4800</v>
      </c>
      <c r="M378" t="str">
        <f>_xlfn.XLOOKUP(Pipeline_tbl[[#This Row],[Rep_ID]],Dim_Reps!A:A,Dim_Reps!K:K)</f>
        <v>USD</v>
      </c>
      <c r="N378" s="33">
        <f>(_xlfn.XLOOKUP(Pipeline_tbl[[#This Row],[Rate_Code_Generalized]],Lookups!A:A,Lookups!B:B))*Pipeline_tbl[[#This Row],[Pipeline_Amount_USD]]</f>
        <v>5588.6399999999994</v>
      </c>
      <c r="O378" t="str">
        <f>_xlfn.XLOOKUP(Pipeline_tbl[[#This Row],[Rep_ID]],Dim_Reps!A:A,Dim_Reps!B:B)</f>
        <v>Karim Rossi</v>
      </c>
      <c r="P378" t="str">
        <f>_xlfn.XLOOKUP(Pipeline_tbl[[#This Row],[Rep_ID]],Dim_Reps!A:A,Dim_Reps!C:C)</f>
        <v>SDR / Inside Sales Rep</v>
      </c>
      <c r="Q378" t="str">
        <f>_xlfn.XLOOKUP(Pipeline_tbl[[#This Row],[Rep_ID]],Dim_Reps!A:A,Dim_Reps!D:D)</f>
        <v>Inside Sales</v>
      </c>
      <c r="R378" t="str">
        <f>_xlfn.XLOOKUP(Pipeline_tbl[[#This Row],[Rep_ID]],Dim_Reps!A:A,Dim_Reps!E:E)</f>
        <v>NAMER</v>
      </c>
      <c r="S378" t="str">
        <f>_xlfn.XLOOKUP(Pipeline_tbl[[#This Row],[Created_Date]],Dim_Date!A:A,Dim_Date!H:H)</f>
        <v>Sep 2024</v>
      </c>
      <c r="T378" t="str">
        <f>IF(Pipeline_tbl[[#This Row],[Closed_Date]]=0,"",(_xlfn.XLOOKUP(Pipeline_tbl[[#This Row],[Closed_Date]],Dim_Date!A:A,Dim_Date!H:H)))</f>
        <v>Oct 2024</v>
      </c>
      <c r="U378">
        <f>IF(Pipeline_tbl[[#This Row],[Closed_Date]]=0,"",Pipeline_tbl[[#This Row],[Closed_Date]]-Pipeline_tbl[[#This Row],[Created_Date]])</f>
        <v>24</v>
      </c>
    </row>
    <row r="379" spans="1:21" ht="15" customHeight="1" x14ac:dyDescent="0.2">
      <c r="A379" t="s">
        <v>685</v>
      </c>
      <c r="B379" t="s">
        <v>243</v>
      </c>
      <c r="C379" t="s">
        <v>54</v>
      </c>
      <c r="D379" s="49">
        <v>45543</v>
      </c>
      <c r="E379" s="49">
        <v>45547</v>
      </c>
      <c r="F379" s="49">
        <v>45554</v>
      </c>
      <c r="I379" s="49">
        <v>45579</v>
      </c>
      <c r="J379" t="s">
        <v>49</v>
      </c>
      <c r="K379" s="33">
        <v>12800</v>
      </c>
      <c r="L379" t="s">
        <v>60</v>
      </c>
      <c r="M379" t="str">
        <f>_xlfn.XLOOKUP(Pipeline_tbl[[#This Row],[Rep_ID]],Dim_Reps!A:A,Dim_Reps!K:K)</f>
        <v>MXN</v>
      </c>
      <c r="N379" s="33">
        <f>(_xlfn.XLOOKUP(Pipeline_tbl[[#This Row],[Rate_Code_Generalized]],Lookups!A:A,Lookups!B:B))*Pipeline_tbl[[#This Row],[Pipeline_Amount_USD]]</f>
        <v>252578.56000000003</v>
      </c>
      <c r="O379" t="str">
        <f>_xlfn.XLOOKUP(Pipeline_tbl[[#This Row],[Rep_ID]],Dim_Reps!A:A,Dim_Reps!B:B)</f>
        <v>Jonas Sato</v>
      </c>
      <c r="P379" t="str">
        <f>_xlfn.XLOOKUP(Pipeline_tbl[[#This Row],[Rep_ID]],Dim_Reps!A:A,Dim_Reps!C:C)</f>
        <v>Mid-Market AE</v>
      </c>
      <c r="Q379" t="str">
        <f>_xlfn.XLOOKUP(Pipeline_tbl[[#This Row],[Rep_ID]],Dim_Reps!A:A,Dim_Reps!D:D)</f>
        <v>Mid-Market</v>
      </c>
      <c r="R379" t="str">
        <f>_xlfn.XLOOKUP(Pipeline_tbl[[#This Row],[Rep_ID]],Dim_Reps!A:A,Dim_Reps!E:E)</f>
        <v>LATAM</v>
      </c>
      <c r="S379" t="str">
        <f>_xlfn.XLOOKUP(Pipeline_tbl[[#This Row],[Created_Date]],Dim_Date!A:A,Dim_Date!H:H)</f>
        <v>Sep 2024</v>
      </c>
      <c r="T379" t="str">
        <f>IF(Pipeline_tbl[[#This Row],[Closed_Date]]=0,"",(_xlfn.XLOOKUP(Pipeline_tbl[[#This Row],[Closed_Date]],Dim_Date!A:A,Dim_Date!H:H)))</f>
        <v>Oct 2024</v>
      </c>
      <c r="U379">
        <f>IF(Pipeline_tbl[[#This Row],[Closed_Date]]=0,"",Pipeline_tbl[[#This Row],[Closed_Date]]-Pipeline_tbl[[#This Row],[Created_Date]])</f>
        <v>36</v>
      </c>
    </row>
    <row r="380" spans="1:21" ht="15" customHeight="1" x14ac:dyDescent="0.2">
      <c r="A380" t="s">
        <v>686</v>
      </c>
      <c r="B380" t="s">
        <v>243</v>
      </c>
      <c r="C380" t="s">
        <v>52</v>
      </c>
      <c r="D380" s="49">
        <v>45551</v>
      </c>
      <c r="E380" s="49">
        <v>45553</v>
      </c>
      <c r="F380" s="49">
        <v>45556</v>
      </c>
      <c r="I380" s="49">
        <v>45568</v>
      </c>
      <c r="J380" t="s">
        <v>49</v>
      </c>
      <c r="K380" s="33">
        <v>12600</v>
      </c>
      <c r="L380" t="s">
        <v>61</v>
      </c>
      <c r="M380" t="str">
        <f>_xlfn.XLOOKUP(Pipeline_tbl[[#This Row],[Rep_ID]],Dim_Reps!A:A,Dim_Reps!K:K)</f>
        <v>MXN</v>
      </c>
      <c r="N380" s="33">
        <f>(_xlfn.XLOOKUP(Pipeline_tbl[[#This Row],[Rate_Code_Generalized]],Lookups!A:A,Lookups!B:B))*Pipeline_tbl[[#This Row],[Pipeline_Amount_USD]]</f>
        <v>248632.02000000002</v>
      </c>
      <c r="O380" t="str">
        <f>_xlfn.XLOOKUP(Pipeline_tbl[[#This Row],[Rep_ID]],Dim_Reps!A:A,Dim_Reps!B:B)</f>
        <v>Jonas Sato</v>
      </c>
      <c r="P380" t="str">
        <f>_xlfn.XLOOKUP(Pipeline_tbl[[#This Row],[Rep_ID]],Dim_Reps!A:A,Dim_Reps!C:C)</f>
        <v>Mid-Market AE</v>
      </c>
      <c r="Q380" t="str">
        <f>_xlfn.XLOOKUP(Pipeline_tbl[[#This Row],[Rep_ID]],Dim_Reps!A:A,Dim_Reps!D:D)</f>
        <v>Mid-Market</v>
      </c>
      <c r="R380" t="str">
        <f>_xlfn.XLOOKUP(Pipeline_tbl[[#This Row],[Rep_ID]],Dim_Reps!A:A,Dim_Reps!E:E)</f>
        <v>LATAM</v>
      </c>
      <c r="S380" t="str">
        <f>_xlfn.XLOOKUP(Pipeline_tbl[[#This Row],[Created_Date]],Dim_Date!A:A,Dim_Date!H:H)</f>
        <v>Sep 2024</v>
      </c>
      <c r="T380" t="str">
        <f>IF(Pipeline_tbl[[#This Row],[Closed_Date]]=0,"",(_xlfn.XLOOKUP(Pipeline_tbl[[#This Row],[Closed_Date]],Dim_Date!A:A,Dim_Date!H:H)))</f>
        <v>Oct 2024</v>
      </c>
      <c r="U380">
        <f>IF(Pipeline_tbl[[#This Row],[Closed_Date]]=0,"",Pipeline_tbl[[#This Row],[Closed_Date]]-Pipeline_tbl[[#This Row],[Created_Date]])</f>
        <v>17</v>
      </c>
    </row>
    <row r="381" spans="1:21" ht="15" customHeight="1" x14ac:dyDescent="0.2">
      <c r="A381" t="s">
        <v>687</v>
      </c>
      <c r="B381" t="s">
        <v>196</v>
      </c>
      <c r="C381" t="s">
        <v>53</v>
      </c>
      <c r="D381" s="49">
        <v>45550</v>
      </c>
      <c r="E381" s="49">
        <v>45552</v>
      </c>
      <c r="I381" s="49">
        <v>45568</v>
      </c>
      <c r="J381" t="s">
        <v>49</v>
      </c>
      <c r="K381" s="33">
        <v>1500</v>
      </c>
      <c r="L381" t="s">
        <v>61</v>
      </c>
      <c r="M381" t="str">
        <f>_xlfn.XLOOKUP(Pipeline_tbl[[#This Row],[Rep_ID]],Dim_Reps!A:A,Dim_Reps!K:K)</f>
        <v>EUR</v>
      </c>
      <c r="N381" s="33">
        <f>(_xlfn.XLOOKUP(Pipeline_tbl[[#This Row],[Rate_Code_Generalized]],Lookups!A:A,Lookups!B:B))*Pipeline_tbl[[#This Row],[Pipeline_Amount_USD]]</f>
        <v>1500</v>
      </c>
      <c r="O381" t="str">
        <f>_xlfn.XLOOKUP(Pipeline_tbl[[#This Row],[Rep_ID]],Dim_Reps!A:A,Dim_Reps!B:B)</f>
        <v>Alex Okafor</v>
      </c>
      <c r="P381" t="str">
        <f>_xlfn.XLOOKUP(Pipeline_tbl[[#This Row],[Rep_ID]],Dim_Reps!A:A,Dim_Reps!C:C)</f>
        <v>SDR / Inside Sales Rep</v>
      </c>
      <c r="Q381" t="str">
        <f>_xlfn.XLOOKUP(Pipeline_tbl[[#This Row],[Rep_ID]],Dim_Reps!A:A,Dim_Reps!D:D)</f>
        <v>Inside Sales</v>
      </c>
      <c r="R381" t="str">
        <f>_xlfn.XLOOKUP(Pipeline_tbl[[#This Row],[Rep_ID]],Dim_Reps!A:A,Dim_Reps!E:E)</f>
        <v>EMEA</v>
      </c>
      <c r="S381" t="str">
        <f>_xlfn.XLOOKUP(Pipeline_tbl[[#This Row],[Created_Date]],Dim_Date!A:A,Dim_Date!H:H)</f>
        <v>Sep 2024</v>
      </c>
      <c r="T381" t="str">
        <f>IF(Pipeline_tbl[[#This Row],[Closed_Date]]=0,"",(_xlfn.XLOOKUP(Pipeline_tbl[[#This Row],[Closed_Date]],Dim_Date!A:A,Dim_Date!H:H)))</f>
        <v>Oct 2024</v>
      </c>
      <c r="U381">
        <f>IF(Pipeline_tbl[[#This Row],[Closed_Date]]=0,"",Pipeline_tbl[[#This Row],[Closed_Date]]-Pipeline_tbl[[#This Row],[Created_Date]])</f>
        <v>18</v>
      </c>
    </row>
    <row r="382" spans="1:21" ht="15" customHeight="1" x14ac:dyDescent="0.2">
      <c r="A382" t="s">
        <v>688</v>
      </c>
      <c r="B382" t="s">
        <v>196</v>
      </c>
      <c r="C382" t="s">
        <v>52</v>
      </c>
      <c r="D382" s="49">
        <v>45549</v>
      </c>
      <c r="E382" s="49">
        <v>45551</v>
      </c>
      <c r="F382" s="49">
        <v>45555</v>
      </c>
      <c r="G382" s="49">
        <v>45561</v>
      </c>
      <c r="I382" s="49">
        <v>45569</v>
      </c>
      <c r="J382" t="s">
        <v>49</v>
      </c>
      <c r="K382" s="33">
        <v>3400</v>
      </c>
      <c r="L382" t="s">
        <v>61</v>
      </c>
      <c r="M382" t="str">
        <f>_xlfn.XLOOKUP(Pipeline_tbl[[#This Row],[Rep_ID]],Dim_Reps!A:A,Dim_Reps!K:K)</f>
        <v>EUR</v>
      </c>
      <c r="N382" s="33">
        <f>(_xlfn.XLOOKUP(Pipeline_tbl[[#This Row],[Rate_Code_Generalized]],Lookups!A:A,Lookups!B:B))*Pipeline_tbl[[#This Row],[Pipeline_Amount_USD]]</f>
        <v>3400</v>
      </c>
      <c r="O382" t="str">
        <f>_xlfn.XLOOKUP(Pipeline_tbl[[#This Row],[Rep_ID]],Dim_Reps!A:A,Dim_Reps!B:B)</f>
        <v>Alex Okafor</v>
      </c>
      <c r="P382" t="str">
        <f>_xlfn.XLOOKUP(Pipeline_tbl[[#This Row],[Rep_ID]],Dim_Reps!A:A,Dim_Reps!C:C)</f>
        <v>SDR / Inside Sales Rep</v>
      </c>
      <c r="Q382" t="str">
        <f>_xlfn.XLOOKUP(Pipeline_tbl[[#This Row],[Rep_ID]],Dim_Reps!A:A,Dim_Reps!D:D)</f>
        <v>Inside Sales</v>
      </c>
      <c r="R382" t="str">
        <f>_xlfn.XLOOKUP(Pipeline_tbl[[#This Row],[Rep_ID]],Dim_Reps!A:A,Dim_Reps!E:E)</f>
        <v>EMEA</v>
      </c>
      <c r="S382" t="str">
        <f>_xlfn.XLOOKUP(Pipeline_tbl[[#This Row],[Created_Date]],Dim_Date!A:A,Dim_Date!H:H)</f>
        <v>Sep 2024</v>
      </c>
      <c r="T382" t="str">
        <f>IF(Pipeline_tbl[[#This Row],[Closed_Date]]=0,"",(_xlfn.XLOOKUP(Pipeline_tbl[[#This Row],[Closed_Date]],Dim_Date!A:A,Dim_Date!H:H)))</f>
        <v>Oct 2024</v>
      </c>
      <c r="U382">
        <f>IF(Pipeline_tbl[[#This Row],[Closed_Date]]=0,"",Pipeline_tbl[[#This Row],[Closed_Date]]-Pipeline_tbl[[#This Row],[Created_Date]])</f>
        <v>20</v>
      </c>
    </row>
    <row r="383" spans="1:21" ht="15" customHeight="1" x14ac:dyDescent="0.2">
      <c r="A383" t="s">
        <v>689</v>
      </c>
      <c r="B383" t="s">
        <v>196</v>
      </c>
      <c r="C383" t="s">
        <v>52</v>
      </c>
      <c r="D383" s="49">
        <v>45562</v>
      </c>
      <c r="E383" s="49">
        <v>45564</v>
      </c>
      <c r="F383" s="49">
        <v>45568</v>
      </c>
      <c r="G383" s="49">
        <v>45575</v>
      </c>
      <c r="H383" s="49">
        <v>45580</v>
      </c>
      <c r="I383" s="49">
        <v>45583</v>
      </c>
      <c r="J383" t="s">
        <v>47</v>
      </c>
      <c r="K383" s="33">
        <v>2000</v>
      </c>
      <c r="M383" t="str">
        <f>_xlfn.XLOOKUP(Pipeline_tbl[[#This Row],[Rep_ID]],Dim_Reps!A:A,Dim_Reps!K:K)</f>
        <v>EUR</v>
      </c>
      <c r="N383" s="33">
        <f>(_xlfn.XLOOKUP(Pipeline_tbl[[#This Row],[Rate_Code_Generalized]],Lookups!A:A,Lookups!B:B))*Pipeline_tbl[[#This Row],[Pipeline_Amount_USD]]</f>
        <v>2000</v>
      </c>
      <c r="O383" t="str">
        <f>_xlfn.XLOOKUP(Pipeline_tbl[[#This Row],[Rep_ID]],Dim_Reps!A:A,Dim_Reps!B:B)</f>
        <v>Alex Okafor</v>
      </c>
      <c r="P383" t="str">
        <f>_xlfn.XLOOKUP(Pipeline_tbl[[#This Row],[Rep_ID]],Dim_Reps!A:A,Dim_Reps!C:C)</f>
        <v>SDR / Inside Sales Rep</v>
      </c>
      <c r="Q383" t="str">
        <f>_xlfn.XLOOKUP(Pipeline_tbl[[#This Row],[Rep_ID]],Dim_Reps!A:A,Dim_Reps!D:D)</f>
        <v>Inside Sales</v>
      </c>
      <c r="R383" t="str">
        <f>_xlfn.XLOOKUP(Pipeline_tbl[[#This Row],[Rep_ID]],Dim_Reps!A:A,Dim_Reps!E:E)</f>
        <v>EMEA</v>
      </c>
      <c r="S383" t="str">
        <f>_xlfn.XLOOKUP(Pipeline_tbl[[#This Row],[Created_Date]],Dim_Date!A:A,Dim_Date!H:H)</f>
        <v>Sep 2024</v>
      </c>
      <c r="T383" t="str">
        <f>IF(Pipeline_tbl[[#This Row],[Closed_Date]]=0,"",(_xlfn.XLOOKUP(Pipeline_tbl[[#This Row],[Closed_Date]],Dim_Date!A:A,Dim_Date!H:H)))</f>
        <v>Oct 2024</v>
      </c>
      <c r="U383">
        <f>IF(Pipeline_tbl[[#This Row],[Closed_Date]]=0,"",Pipeline_tbl[[#This Row],[Closed_Date]]-Pipeline_tbl[[#This Row],[Created_Date]])</f>
        <v>21</v>
      </c>
    </row>
    <row r="384" spans="1:21" ht="15" customHeight="1" x14ac:dyDescent="0.2">
      <c r="A384" t="s">
        <v>690</v>
      </c>
      <c r="B384" t="s">
        <v>196</v>
      </c>
      <c r="C384" t="s">
        <v>53</v>
      </c>
      <c r="D384" s="49">
        <v>45548</v>
      </c>
      <c r="E384" s="49">
        <v>45550</v>
      </c>
      <c r="F384" s="49">
        <v>45554</v>
      </c>
      <c r="G384" s="49">
        <v>45559</v>
      </c>
      <c r="H384" s="49">
        <v>45564</v>
      </c>
      <c r="I384" s="49">
        <v>45567</v>
      </c>
      <c r="J384" t="s">
        <v>47</v>
      </c>
      <c r="K384" s="33">
        <v>4200</v>
      </c>
      <c r="M384" t="str">
        <f>_xlfn.XLOOKUP(Pipeline_tbl[[#This Row],[Rep_ID]],Dim_Reps!A:A,Dim_Reps!K:K)</f>
        <v>EUR</v>
      </c>
      <c r="N384" s="33">
        <f>(_xlfn.XLOOKUP(Pipeline_tbl[[#This Row],[Rate_Code_Generalized]],Lookups!A:A,Lookups!B:B))*Pipeline_tbl[[#This Row],[Pipeline_Amount_USD]]</f>
        <v>4200</v>
      </c>
      <c r="O384" t="str">
        <f>_xlfn.XLOOKUP(Pipeline_tbl[[#This Row],[Rep_ID]],Dim_Reps!A:A,Dim_Reps!B:B)</f>
        <v>Alex Okafor</v>
      </c>
      <c r="P384" t="str">
        <f>_xlfn.XLOOKUP(Pipeline_tbl[[#This Row],[Rep_ID]],Dim_Reps!A:A,Dim_Reps!C:C)</f>
        <v>SDR / Inside Sales Rep</v>
      </c>
      <c r="Q384" t="str">
        <f>_xlfn.XLOOKUP(Pipeline_tbl[[#This Row],[Rep_ID]],Dim_Reps!A:A,Dim_Reps!D:D)</f>
        <v>Inside Sales</v>
      </c>
      <c r="R384" t="str">
        <f>_xlfn.XLOOKUP(Pipeline_tbl[[#This Row],[Rep_ID]],Dim_Reps!A:A,Dim_Reps!E:E)</f>
        <v>EMEA</v>
      </c>
      <c r="S384" t="str">
        <f>_xlfn.XLOOKUP(Pipeline_tbl[[#This Row],[Created_Date]],Dim_Date!A:A,Dim_Date!H:H)</f>
        <v>Sep 2024</v>
      </c>
      <c r="T384" t="str">
        <f>IF(Pipeline_tbl[[#This Row],[Closed_Date]]=0,"",(_xlfn.XLOOKUP(Pipeline_tbl[[#This Row],[Closed_Date]],Dim_Date!A:A,Dim_Date!H:H)))</f>
        <v>Oct 2024</v>
      </c>
      <c r="U384">
        <f>IF(Pipeline_tbl[[#This Row],[Closed_Date]]=0,"",Pipeline_tbl[[#This Row],[Closed_Date]]-Pipeline_tbl[[#This Row],[Created_Date]])</f>
        <v>19</v>
      </c>
    </row>
    <row r="385" spans="1:21" ht="15" customHeight="1" x14ac:dyDescent="0.2">
      <c r="A385" t="s">
        <v>691</v>
      </c>
      <c r="B385" t="s">
        <v>196</v>
      </c>
      <c r="C385" t="s">
        <v>52</v>
      </c>
      <c r="D385" s="49">
        <v>45564</v>
      </c>
      <c r="E385" s="49">
        <v>45567</v>
      </c>
      <c r="F385" s="49">
        <v>45572</v>
      </c>
      <c r="G385" s="49">
        <v>45580</v>
      </c>
      <c r="H385" s="49">
        <v>45586</v>
      </c>
      <c r="I385" s="49">
        <v>45590</v>
      </c>
      <c r="J385" t="s">
        <v>47</v>
      </c>
      <c r="K385" s="33">
        <v>5600</v>
      </c>
      <c r="M385" t="str">
        <f>_xlfn.XLOOKUP(Pipeline_tbl[[#This Row],[Rep_ID]],Dim_Reps!A:A,Dim_Reps!K:K)</f>
        <v>EUR</v>
      </c>
      <c r="N385" s="33">
        <f>(_xlfn.XLOOKUP(Pipeline_tbl[[#This Row],[Rate_Code_Generalized]],Lookups!A:A,Lookups!B:B))*Pipeline_tbl[[#This Row],[Pipeline_Amount_USD]]</f>
        <v>5600</v>
      </c>
      <c r="O385" t="str">
        <f>_xlfn.XLOOKUP(Pipeline_tbl[[#This Row],[Rep_ID]],Dim_Reps!A:A,Dim_Reps!B:B)</f>
        <v>Alex Okafor</v>
      </c>
      <c r="P385" t="str">
        <f>_xlfn.XLOOKUP(Pipeline_tbl[[#This Row],[Rep_ID]],Dim_Reps!A:A,Dim_Reps!C:C)</f>
        <v>SDR / Inside Sales Rep</v>
      </c>
      <c r="Q385" t="str">
        <f>_xlfn.XLOOKUP(Pipeline_tbl[[#This Row],[Rep_ID]],Dim_Reps!A:A,Dim_Reps!D:D)</f>
        <v>Inside Sales</v>
      </c>
      <c r="R385" t="str">
        <f>_xlfn.XLOOKUP(Pipeline_tbl[[#This Row],[Rep_ID]],Dim_Reps!A:A,Dim_Reps!E:E)</f>
        <v>EMEA</v>
      </c>
      <c r="S385" t="str">
        <f>_xlfn.XLOOKUP(Pipeline_tbl[[#This Row],[Created_Date]],Dim_Date!A:A,Dim_Date!H:H)</f>
        <v>Sep 2024</v>
      </c>
      <c r="T385" t="str">
        <f>IF(Pipeline_tbl[[#This Row],[Closed_Date]]=0,"",(_xlfn.XLOOKUP(Pipeline_tbl[[#This Row],[Closed_Date]],Dim_Date!A:A,Dim_Date!H:H)))</f>
        <v>Oct 2024</v>
      </c>
      <c r="U385">
        <f>IF(Pipeline_tbl[[#This Row],[Closed_Date]]=0,"",Pipeline_tbl[[#This Row],[Closed_Date]]-Pipeline_tbl[[#This Row],[Created_Date]])</f>
        <v>26</v>
      </c>
    </row>
    <row r="386" spans="1:21" ht="15" customHeight="1" x14ac:dyDescent="0.2">
      <c r="A386" t="s">
        <v>692</v>
      </c>
      <c r="B386" t="s">
        <v>196</v>
      </c>
      <c r="C386" t="s">
        <v>52</v>
      </c>
      <c r="D386" s="49">
        <v>45560</v>
      </c>
      <c r="E386" s="49">
        <v>45562</v>
      </c>
      <c r="I386" s="49">
        <v>45576</v>
      </c>
      <c r="J386" t="s">
        <v>49</v>
      </c>
      <c r="K386" s="33">
        <v>4400</v>
      </c>
      <c r="L386" t="s">
        <v>61</v>
      </c>
      <c r="M386" t="str">
        <f>_xlfn.XLOOKUP(Pipeline_tbl[[#This Row],[Rep_ID]],Dim_Reps!A:A,Dim_Reps!K:K)</f>
        <v>EUR</v>
      </c>
      <c r="N386" s="33">
        <f>(_xlfn.XLOOKUP(Pipeline_tbl[[#This Row],[Rate_Code_Generalized]],Lookups!A:A,Lookups!B:B))*Pipeline_tbl[[#This Row],[Pipeline_Amount_USD]]</f>
        <v>4400</v>
      </c>
      <c r="O386" t="str">
        <f>_xlfn.XLOOKUP(Pipeline_tbl[[#This Row],[Rep_ID]],Dim_Reps!A:A,Dim_Reps!B:B)</f>
        <v>Alex Okafor</v>
      </c>
      <c r="P386" t="str">
        <f>_xlfn.XLOOKUP(Pipeline_tbl[[#This Row],[Rep_ID]],Dim_Reps!A:A,Dim_Reps!C:C)</f>
        <v>SDR / Inside Sales Rep</v>
      </c>
      <c r="Q386" t="str">
        <f>_xlfn.XLOOKUP(Pipeline_tbl[[#This Row],[Rep_ID]],Dim_Reps!A:A,Dim_Reps!D:D)</f>
        <v>Inside Sales</v>
      </c>
      <c r="R386" t="str">
        <f>_xlfn.XLOOKUP(Pipeline_tbl[[#This Row],[Rep_ID]],Dim_Reps!A:A,Dim_Reps!E:E)</f>
        <v>EMEA</v>
      </c>
      <c r="S386" t="str">
        <f>_xlfn.XLOOKUP(Pipeline_tbl[[#This Row],[Created_Date]],Dim_Date!A:A,Dim_Date!H:H)</f>
        <v>Sep 2024</v>
      </c>
      <c r="T386" t="str">
        <f>IF(Pipeline_tbl[[#This Row],[Closed_Date]]=0,"",(_xlfn.XLOOKUP(Pipeline_tbl[[#This Row],[Closed_Date]],Dim_Date!A:A,Dim_Date!H:H)))</f>
        <v>Oct 2024</v>
      </c>
      <c r="U386">
        <f>IF(Pipeline_tbl[[#This Row],[Closed_Date]]=0,"",Pipeline_tbl[[#This Row],[Closed_Date]]-Pipeline_tbl[[#This Row],[Created_Date]])</f>
        <v>16</v>
      </c>
    </row>
    <row r="387" spans="1:21" ht="15" customHeight="1" x14ac:dyDescent="0.2">
      <c r="A387" t="s">
        <v>693</v>
      </c>
      <c r="B387" t="s">
        <v>196</v>
      </c>
      <c r="C387" t="s">
        <v>52</v>
      </c>
      <c r="D387" s="49">
        <v>45554</v>
      </c>
      <c r="E387" s="49">
        <v>45556</v>
      </c>
      <c r="F387" s="49">
        <v>45562</v>
      </c>
      <c r="G387" s="49">
        <v>45569</v>
      </c>
      <c r="H387" s="49">
        <v>45575</v>
      </c>
      <c r="I387" s="49">
        <v>45579</v>
      </c>
      <c r="J387" t="s">
        <v>47</v>
      </c>
      <c r="K387" s="33">
        <v>1500</v>
      </c>
      <c r="M387" t="str">
        <f>_xlfn.XLOOKUP(Pipeline_tbl[[#This Row],[Rep_ID]],Dim_Reps!A:A,Dim_Reps!K:K)</f>
        <v>EUR</v>
      </c>
      <c r="N387" s="33">
        <f>(_xlfn.XLOOKUP(Pipeline_tbl[[#This Row],[Rate_Code_Generalized]],Lookups!A:A,Lookups!B:B))*Pipeline_tbl[[#This Row],[Pipeline_Amount_USD]]</f>
        <v>1500</v>
      </c>
      <c r="O387" t="str">
        <f>_xlfn.XLOOKUP(Pipeline_tbl[[#This Row],[Rep_ID]],Dim_Reps!A:A,Dim_Reps!B:B)</f>
        <v>Alex Okafor</v>
      </c>
      <c r="P387" t="str">
        <f>_xlfn.XLOOKUP(Pipeline_tbl[[#This Row],[Rep_ID]],Dim_Reps!A:A,Dim_Reps!C:C)</f>
        <v>SDR / Inside Sales Rep</v>
      </c>
      <c r="Q387" t="str">
        <f>_xlfn.XLOOKUP(Pipeline_tbl[[#This Row],[Rep_ID]],Dim_Reps!A:A,Dim_Reps!D:D)</f>
        <v>Inside Sales</v>
      </c>
      <c r="R387" t="str">
        <f>_xlfn.XLOOKUP(Pipeline_tbl[[#This Row],[Rep_ID]],Dim_Reps!A:A,Dim_Reps!E:E)</f>
        <v>EMEA</v>
      </c>
      <c r="S387" t="str">
        <f>_xlfn.XLOOKUP(Pipeline_tbl[[#This Row],[Created_Date]],Dim_Date!A:A,Dim_Date!H:H)</f>
        <v>Sep 2024</v>
      </c>
      <c r="T387" t="str">
        <f>IF(Pipeline_tbl[[#This Row],[Closed_Date]]=0,"",(_xlfn.XLOOKUP(Pipeline_tbl[[#This Row],[Closed_Date]],Dim_Date!A:A,Dim_Date!H:H)))</f>
        <v>Oct 2024</v>
      </c>
      <c r="U387">
        <f>IF(Pipeline_tbl[[#This Row],[Closed_Date]]=0,"",Pipeline_tbl[[#This Row],[Closed_Date]]-Pipeline_tbl[[#This Row],[Created_Date]])</f>
        <v>25</v>
      </c>
    </row>
    <row r="388" spans="1:21" ht="15" customHeight="1" x14ac:dyDescent="0.2">
      <c r="A388" t="s">
        <v>694</v>
      </c>
      <c r="B388" t="s">
        <v>199</v>
      </c>
      <c r="C388" t="s">
        <v>52</v>
      </c>
      <c r="D388" s="49">
        <v>45559</v>
      </c>
      <c r="E388" s="49">
        <v>45560</v>
      </c>
      <c r="F388" s="49">
        <v>45561</v>
      </c>
      <c r="G388" s="49">
        <v>45564</v>
      </c>
      <c r="H388" s="49">
        <v>45566</v>
      </c>
      <c r="I388" s="49">
        <v>45567</v>
      </c>
      <c r="J388" t="s">
        <v>49</v>
      </c>
      <c r="K388" s="33">
        <v>3600</v>
      </c>
      <c r="L388" t="s">
        <v>63</v>
      </c>
      <c r="M388" t="str">
        <f>_xlfn.XLOOKUP(Pipeline_tbl[[#This Row],[Rep_ID]],Dim_Reps!A:A,Dim_Reps!K:K)</f>
        <v>EUR</v>
      </c>
      <c r="N388" s="33">
        <f>(_xlfn.XLOOKUP(Pipeline_tbl[[#This Row],[Rate_Code_Generalized]],Lookups!A:A,Lookups!B:B))*Pipeline_tbl[[#This Row],[Pipeline_Amount_USD]]</f>
        <v>3600</v>
      </c>
      <c r="O388" t="str">
        <f>_xlfn.XLOOKUP(Pipeline_tbl[[#This Row],[Rep_ID]],Dim_Reps!A:A,Dim_Reps!B:B)</f>
        <v>Lucas Okafor</v>
      </c>
      <c r="P388" t="str">
        <f>_xlfn.XLOOKUP(Pipeline_tbl[[#This Row],[Rep_ID]],Dim_Reps!A:A,Dim_Reps!C:C)</f>
        <v>SDR / Inside Sales Rep</v>
      </c>
      <c r="Q388" t="str">
        <f>_xlfn.XLOOKUP(Pipeline_tbl[[#This Row],[Rep_ID]],Dim_Reps!A:A,Dim_Reps!D:D)</f>
        <v>Inside Sales</v>
      </c>
      <c r="R388" t="str">
        <f>_xlfn.XLOOKUP(Pipeline_tbl[[#This Row],[Rep_ID]],Dim_Reps!A:A,Dim_Reps!E:E)</f>
        <v>APAC</v>
      </c>
      <c r="S388" t="str">
        <f>_xlfn.XLOOKUP(Pipeline_tbl[[#This Row],[Created_Date]],Dim_Date!A:A,Dim_Date!H:H)</f>
        <v>Sep 2024</v>
      </c>
      <c r="T388" t="str">
        <f>IF(Pipeline_tbl[[#This Row],[Closed_Date]]=0,"",(_xlfn.XLOOKUP(Pipeline_tbl[[#This Row],[Closed_Date]],Dim_Date!A:A,Dim_Date!H:H)))</f>
        <v>Oct 2024</v>
      </c>
      <c r="U388">
        <f>IF(Pipeline_tbl[[#This Row],[Closed_Date]]=0,"",Pipeline_tbl[[#This Row],[Closed_Date]]-Pipeline_tbl[[#This Row],[Created_Date]])</f>
        <v>8</v>
      </c>
    </row>
    <row r="389" spans="1:21" ht="15" customHeight="1" x14ac:dyDescent="0.2">
      <c r="A389" t="s">
        <v>695</v>
      </c>
      <c r="B389" t="s">
        <v>199</v>
      </c>
      <c r="C389" t="s">
        <v>52</v>
      </c>
      <c r="D389" s="49">
        <v>45549</v>
      </c>
      <c r="E389" s="49">
        <v>45551</v>
      </c>
      <c r="F389" s="49">
        <v>45556</v>
      </c>
      <c r="G389" s="49">
        <v>45563</v>
      </c>
      <c r="H389" s="49">
        <v>45569</v>
      </c>
      <c r="I389" s="49">
        <v>45573</v>
      </c>
      <c r="J389" t="s">
        <v>47</v>
      </c>
      <c r="K389" s="33">
        <v>2100</v>
      </c>
      <c r="M389" t="str">
        <f>_xlfn.XLOOKUP(Pipeline_tbl[[#This Row],[Rep_ID]],Dim_Reps!A:A,Dim_Reps!K:K)</f>
        <v>EUR</v>
      </c>
      <c r="N389" s="33">
        <f>(_xlfn.XLOOKUP(Pipeline_tbl[[#This Row],[Rate_Code_Generalized]],Lookups!A:A,Lookups!B:B))*Pipeline_tbl[[#This Row],[Pipeline_Amount_USD]]</f>
        <v>2100</v>
      </c>
      <c r="O389" t="str">
        <f>_xlfn.XLOOKUP(Pipeline_tbl[[#This Row],[Rep_ID]],Dim_Reps!A:A,Dim_Reps!B:B)</f>
        <v>Lucas Okafor</v>
      </c>
      <c r="P389" t="str">
        <f>_xlfn.XLOOKUP(Pipeline_tbl[[#This Row],[Rep_ID]],Dim_Reps!A:A,Dim_Reps!C:C)</f>
        <v>SDR / Inside Sales Rep</v>
      </c>
      <c r="Q389" t="str">
        <f>_xlfn.XLOOKUP(Pipeline_tbl[[#This Row],[Rep_ID]],Dim_Reps!A:A,Dim_Reps!D:D)</f>
        <v>Inside Sales</v>
      </c>
      <c r="R389" t="str">
        <f>_xlfn.XLOOKUP(Pipeline_tbl[[#This Row],[Rep_ID]],Dim_Reps!A:A,Dim_Reps!E:E)</f>
        <v>APAC</v>
      </c>
      <c r="S389" t="str">
        <f>_xlfn.XLOOKUP(Pipeline_tbl[[#This Row],[Created_Date]],Dim_Date!A:A,Dim_Date!H:H)</f>
        <v>Sep 2024</v>
      </c>
      <c r="T389" t="str">
        <f>IF(Pipeline_tbl[[#This Row],[Closed_Date]]=0,"",(_xlfn.XLOOKUP(Pipeline_tbl[[#This Row],[Closed_Date]],Dim_Date!A:A,Dim_Date!H:H)))</f>
        <v>Oct 2024</v>
      </c>
      <c r="U389">
        <f>IF(Pipeline_tbl[[#This Row],[Closed_Date]]=0,"",Pipeline_tbl[[#This Row],[Closed_Date]]-Pipeline_tbl[[#This Row],[Created_Date]])</f>
        <v>24</v>
      </c>
    </row>
    <row r="390" spans="1:21" ht="15" customHeight="1" x14ac:dyDescent="0.2">
      <c r="A390" t="s">
        <v>696</v>
      </c>
      <c r="B390" t="s">
        <v>199</v>
      </c>
      <c r="C390" t="s">
        <v>54</v>
      </c>
      <c r="D390" s="49">
        <v>45551</v>
      </c>
      <c r="E390" s="49">
        <v>45553</v>
      </c>
      <c r="F390" s="49">
        <v>45556</v>
      </c>
      <c r="G390" s="49">
        <v>45561</v>
      </c>
      <c r="H390" s="49">
        <v>45565</v>
      </c>
      <c r="I390" s="49">
        <v>45568</v>
      </c>
      <c r="J390" t="s">
        <v>47</v>
      </c>
      <c r="K390" s="33">
        <v>3500</v>
      </c>
      <c r="M390" t="str">
        <f>_xlfn.XLOOKUP(Pipeline_tbl[[#This Row],[Rep_ID]],Dim_Reps!A:A,Dim_Reps!K:K)</f>
        <v>EUR</v>
      </c>
      <c r="N390" s="33">
        <f>(_xlfn.XLOOKUP(Pipeline_tbl[[#This Row],[Rate_Code_Generalized]],Lookups!A:A,Lookups!B:B))*Pipeline_tbl[[#This Row],[Pipeline_Amount_USD]]</f>
        <v>3500</v>
      </c>
      <c r="O390" t="str">
        <f>_xlfn.XLOOKUP(Pipeline_tbl[[#This Row],[Rep_ID]],Dim_Reps!A:A,Dim_Reps!B:B)</f>
        <v>Lucas Okafor</v>
      </c>
      <c r="P390" t="str">
        <f>_xlfn.XLOOKUP(Pipeline_tbl[[#This Row],[Rep_ID]],Dim_Reps!A:A,Dim_Reps!C:C)</f>
        <v>SDR / Inside Sales Rep</v>
      </c>
      <c r="Q390" t="str">
        <f>_xlfn.XLOOKUP(Pipeline_tbl[[#This Row],[Rep_ID]],Dim_Reps!A:A,Dim_Reps!D:D)</f>
        <v>Inside Sales</v>
      </c>
      <c r="R390" t="str">
        <f>_xlfn.XLOOKUP(Pipeline_tbl[[#This Row],[Rep_ID]],Dim_Reps!A:A,Dim_Reps!E:E)</f>
        <v>APAC</v>
      </c>
      <c r="S390" t="str">
        <f>_xlfn.XLOOKUP(Pipeline_tbl[[#This Row],[Created_Date]],Dim_Date!A:A,Dim_Date!H:H)</f>
        <v>Sep 2024</v>
      </c>
      <c r="T390" t="str">
        <f>IF(Pipeline_tbl[[#This Row],[Closed_Date]]=0,"",(_xlfn.XLOOKUP(Pipeline_tbl[[#This Row],[Closed_Date]],Dim_Date!A:A,Dim_Date!H:H)))</f>
        <v>Oct 2024</v>
      </c>
      <c r="U390">
        <f>IF(Pipeline_tbl[[#This Row],[Closed_Date]]=0,"",Pipeline_tbl[[#This Row],[Closed_Date]]-Pipeline_tbl[[#This Row],[Created_Date]])</f>
        <v>17</v>
      </c>
    </row>
    <row r="391" spans="1:21" ht="15" customHeight="1" x14ac:dyDescent="0.2">
      <c r="A391" t="s">
        <v>697</v>
      </c>
      <c r="B391" t="s">
        <v>199</v>
      </c>
      <c r="C391" t="s">
        <v>54</v>
      </c>
      <c r="D391" s="49">
        <v>45553</v>
      </c>
      <c r="E391" s="49">
        <v>45555</v>
      </c>
      <c r="F391" s="49">
        <v>45560</v>
      </c>
      <c r="G391" s="49">
        <v>45567</v>
      </c>
      <c r="I391" s="49">
        <v>45576</v>
      </c>
      <c r="J391" t="s">
        <v>49</v>
      </c>
      <c r="K391" s="33">
        <v>2500</v>
      </c>
      <c r="L391" t="s">
        <v>60</v>
      </c>
      <c r="M391" t="str">
        <f>_xlfn.XLOOKUP(Pipeline_tbl[[#This Row],[Rep_ID]],Dim_Reps!A:A,Dim_Reps!K:K)</f>
        <v>EUR</v>
      </c>
      <c r="N391" s="33">
        <f>(_xlfn.XLOOKUP(Pipeline_tbl[[#This Row],[Rate_Code_Generalized]],Lookups!A:A,Lookups!B:B))*Pipeline_tbl[[#This Row],[Pipeline_Amount_USD]]</f>
        <v>2500</v>
      </c>
      <c r="O391" t="str">
        <f>_xlfn.XLOOKUP(Pipeline_tbl[[#This Row],[Rep_ID]],Dim_Reps!A:A,Dim_Reps!B:B)</f>
        <v>Lucas Okafor</v>
      </c>
      <c r="P391" t="str">
        <f>_xlfn.XLOOKUP(Pipeline_tbl[[#This Row],[Rep_ID]],Dim_Reps!A:A,Dim_Reps!C:C)</f>
        <v>SDR / Inside Sales Rep</v>
      </c>
      <c r="Q391" t="str">
        <f>_xlfn.XLOOKUP(Pipeline_tbl[[#This Row],[Rep_ID]],Dim_Reps!A:A,Dim_Reps!D:D)</f>
        <v>Inside Sales</v>
      </c>
      <c r="R391" t="str">
        <f>_xlfn.XLOOKUP(Pipeline_tbl[[#This Row],[Rep_ID]],Dim_Reps!A:A,Dim_Reps!E:E)</f>
        <v>APAC</v>
      </c>
      <c r="S391" t="str">
        <f>_xlfn.XLOOKUP(Pipeline_tbl[[#This Row],[Created_Date]],Dim_Date!A:A,Dim_Date!H:H)</f>
        <v>Sep 2024</v>
      </c>
      <c r="T391" t="str">
        <f>IF(Pipeline_tbl[[#This Row],[Closed_Date]]=0,"",(_xlfn.XLOOKUP(Pipeline_tbl[[#This Row],[Closed_Date]],Dim_Date!A:A,Dim_Date!H:H)))</f>
        <v>Oct 2024</v>
      </c>
      <c r="U391">
        <f>IF(Pipeline_tbl[[#This Row],[Closed_Date]]=0,"",Pipeline_tbl[[#This Row],[Closed_Date]]-Pipeline_tbl[[#This Row],[Created_Date]])</f>
        <v>23</v>
      </c>
    </row>
    <row r="392" spans="1:21" ht="15" customHeight="1" x14ac:dyDescent="0.2">
      <c r="A392" t="s">
        <v>698</v>
      </c>
      <c r="B392" t="s">
        <v>199</v>
      </c>
      <c r="C392" t="s">
        <v>54</v>
      </c>
      <c r="D392" s="49">
        <v>45560</v>
      </c>
      <c r="E392" s="49">
        <v>45561</v>
      </c>
      <c r="F392" s="49">
        <v>45563</v>
      </c>
      <c r="I392" s="49">
        <v>45571</v>
      </c>
      <c r="J392" t="s">
        <v>49</v>
      </c>
      <c r="K392" s="33">
        <v>4800</v>
      </c>
      <c r="L392" t="s">
        <v>64</v>
      </c>
      <c r="M392" t="str">
        <f>_xlfn.XLOOKUP(Pipeline_tbl[[#This Row],[Rep_ID]],Dim_Reps!A:A,Dim_Reps!K:K)</f>
        <v>EUR</v>
      </c>
      <c r="N392" s="33">
        <f>(_xlfn.XLOOKUP(Pipeline_tbl[[#This Row],[Rate_Code_Generalized]],Lookups!A:A,Lookups!B:B))*Pipeline_tbl[[#This Row],[Pipeline_Amount_USD]]</f>
        <v>4800</v>
      </c>
      <c r="O392" t="str">
        <f>_xlfn.XLOOKUP(Pipeline_tbl[[#This Row],[Rep_ID]],Dim_Reps!A:A,Dim_Reps!B:B)</f>
        <v>Lucas Okafor</v>
      </c>
      <c r="P392" t="str">
        <f>_xlfn.XLOOKUP(Pipeline_tbl[[#This Row],[Rep_ID]],Dim_Reps!A:A,Dim_Reps!C:C)</f>
        <v>SDR / Inside Sales Rep</v>
      </c>
      <c r="Q392" t="str">
        <f>_xlfn.XLOOKUP(Pipeline_tbl[[#This Row],[Rep_ID]],Dim_Reps!A:A,Dim_Reps!D:D)</f>
        <v>Inside Sales</v>
      </c>
      <c r="R392" t="str">
        <f>_xlfn.XLOOKUP(Pipeline_tbl[[#This Row],[Rep_ID]],Dim_Reps!A:A,Dim_Reps!E:E)</f>
        <v>APAC</v>
      </c>
      <c r="S392" t="str">
        <f>_xlfn.XLOOKUP(Pipeline_tbl[[#This Row],[Created_Date]],Dim_Date!A:A,Dim_Date!H:H)</f>
        <v>Sep 2024</v>
      </c>
      <c r="T392" t="str">
        <f>IF(Pipeline_tbl[[#This Row],[Closed_Date]]=0,"",(_xlfn.XLOOKUP(Pipeline_tbl[[#This Row],[Closed_Date]],Dim_Date!A:A,Dim_Date!H:H)))</f>
        <v>Oct 2024</v>
      </c>
      <c r="U392">
        <f>IF(Pipeline_tbl[[#This Row],[Closed_Date]]=0,"",Pipeline_tbl[[#This Row],[Closed_Date]]-Pipeline_tbl[[#This Row],[Created_Date]])</f>
        <v>11</v>
      </c>
    </row>
    <row r="393" spans="1:21" ht="15" customHeight="1" x14ac:dyDescent="0.2">
      <c r="A393" t="s">
        <v>699</v>
      </c>
      <c r="B393" t="s">
        <v>181</v>
      </c>
      <c r="C393" t="s">
        <v>53</v>
      </c>
      <c r="D393" s="49">
        <v>45537</v>
      </c>
      <c r="E393" s="49">
        <v>45542</v>
      </c>
      <c r="F393" s="49">
        <v>45553</v>
      </c>
      <c r="G393" s="49">
        <v>45569</v>
      </c>
      <c r="H393" s="49">
        <v>45583</v>
      </c>
      <c r="I393" s="49">
        <v>45591</v>
      </c>
      <c r="J393" t="s">
        <v>47</v>
      </c>
      <c r="K393" s="33">
        <v>16600</v>
      </c>
      <c r="M393" t="str">
        <f>_xlfn.XLOOKUP(Pipeline_tbl[[#This Row],[Rep_ID]],Dim_Reps!A:A,Dim_Reps!K:K)</f>
        <v>USD</v>
      </c>
      <c r="N393" s="33">
        <f>(_xlfn.XLOOKUP(Pipeline_tbl[[#This Row],[Rate_Code_Generalized]],Lookups!A:A,Lookups!B:B))*Pipeline_tbl[[#This Row],[Pipeline_Amount_USD]]</f>
        <v>19327.379999999997</v>
      </c>
      <c r="O393" t="str">
        <f>_xlfn.XLOOKUP(Pipeline_tbl[[#This Row],[Rep_ID]],Dim_Reps!A:A,Dim_Reps!B:B)</f>
        <v>Milo Weber</v>
      </c>
      <c r="P393" t="str">
        <f>_xlfn.XLOOKUP(Pipeline_tbl[[#This Row],[Rep_ID]],Dim_Reps!A:A,Dim_Reps!C:C)</f>
        <v>Enterprise AE</v>
      </c>
      <c r="Q393" t="str">
        <f>_xlfn.XLOOKUP(Pipeline_tbl[[#This Row],[Rep_ID]],Dim_Reps!A:A,Dim_Reps!D:D)</f>
        <v>Enterprise</v>
      </c>
      <c r="R393" t="str">
        <f>_xlfn.XLOOKUP(Pipeline_tbl[[#This Row],[Rep_ID]],Dim_Reps!A:A,Dim_Reps!E:E)</f>
        <v>NAMER</v>
      </c>
      <c r="S393" t="str">
        <f>_xlfn.XLOOKUP(Pipeline_tbl[[#This Row],[Created_Date]],Dim_Date!A:A,Dim_Date!H:H)</f>
        <v>Sep 2024</v>
      </c>
      <c r="T393" t="str">
        <f>IF(Pipeline_tbl[[#This Row],[Closed_Date]]=0,"",(_xlfn.XLOOKUP(Pipeline_tbl[[#This Row],[Closed_Date]],Dim_Date!A:A,Dim_Date!H:H)))</f>
        <v>Oct 2024</v>
      </c>
      <c r="U393">
        <f>IF(Pipeline_tbl[[#This Row],[Closed_Date]]=0,"",Pipeline_tbl[[#This Row],[Closed_Date]]-Pipeline_tbl[[#This Row],[Created_Date]])</f>
        <v>54</v>
      </c>
    </row>
    <row r="394" spans="1:21" ht="15" customHeight="1" x14ac:dyDescent="0.2">
      <c r="A394" t="s">
        <v>700</v>
      </c>
      <c r="B394" t="s">
        <v>183</v>
      </c>
      <c r="C394" t="s">
        <v>55</v>
      </c>
      <c r="D394" s="49">
        <v>45550</v>
      </c>
      <c r="E394" s="49">
        <v>45554</v>
      </c>
      <c r="F394" s="49">
        <v>45561</v>
      </c>
      <c r="I394" s="49">
        <v>45587</v>
      </c>
      <c r="J394" t="s">
        <v>49</v>
      </c>
      <c r="K394" s="33">
        <v>25800</v>
      </c>
      <c r="L394" t="s">
        <v>61</v>
      </c>
      <c r="M394" t="str">
        <f>_xlfn.XLOOKUP(Pipeline_tbl[[#This Row],[Rep_ID]],Dim_Reps!A:A,Dim_Reps!K:K)</f>
        <v>EUR</v>
      </c>
      <c r="N394" s="33">
        <f>(_xlfn.XLOOKUP(Pipeline_tbl[[#This Row],[Rate_Code_Generalized]],Lookups!A:A,Lookups!B:B))*Pipeline_tbl[[#This Row],[Pipeline_Amount_USD]]</f>
        <v>25800</v>
      </c>
      <c r="O394" t="str">
        <f>_xlfn.XLOOKUP(Pipeline_tbl[[#This Row],[Rep_ID]],Dim_Reps!A:A,Dim_Reps!B:B)</f>
        <v>Sam Schmidt</v>
      </c>
      <c r="P394" t="str">
        <f>_xlfn.XLOOKUP(Pipeline_tbl[[#This Row],[Rep_ID]],Dim_Reps!A:A,Dim_Reps!C:C)</f>
        <v>Enterprise AE</v>
      </c>
      <c r="Q394" t="str">
        <f>_xlfn.XLOOKUP(Pipeline_tbl[[#This Row],[Rep_ID]],Dim_Reps!A:A,Dim_Reps!D:D)</f>
        <v>Enterprise</v>
      </c>
      <c r="R394" t="str">
        <f>_xlfn.XLOOKUP(Pipeline_tbl[[#This Row],[Rep_ID]],Dim_Reps!A:A,Dim_Reps!E:E)</f>
        <v>EMEA</v>
      </c>
      <c r="S394" t="str">
        <f>_xlfn.XLOOKUP(Pipeline_tbl[[#This Row],[Created_Date]],Dim_Date!A:A,Dim_Date!H:H)</f>
        <v>Sep 2024</v>
      </c>
      <c r="T394" t="str">
        <f>IF(Pipeline_tbl[[#This Row],[Closed_Date]]=0,"",(_xlfn.XLOOKUP(Pipeline_tbl[[#This Row],[Closed_Date]],Dim_Date!A:A,Dim_Date!H:H)))</f>
        <v>Oct 2024</v>
      </c>
      <c r="U394">
        <f>IF(Pipeline_tbl[[#This Row],[Closed_Date]]=0,"",Pipeline_tbl[[#This Row],[Closed_Date]]-Pipeline_tbl[[#This Row],[Created_Date]])</f>
        <v>37</v>
      </c>
    </row>
    <row r="395" spans="1:21" ht="15" customHeight="1" x14ac:dyDescent="0.2">
      <c r="A395" t="s">
        <v>701</v>
      </c>
      <c r="B395" t="s">
        <v>203</v>
      </c>
      <c r="C395" t="s">
        <v>53</v>
      </c>
      <c r="D395" s="49">
        <v>45556</v>
      </c>
      <c r="E395" s="49">
        <v>45558</v>
      </c>
      <c r="F395" s="49">
        <v>45561</v>
      </c>
      <c r="G395" s="49">
        <v>45565</v>
      </c>
      <c r="I395" s="49">
        <v>45571</v>
      </c>
      <c r="J395" t="s">
        <v>49</v>
      </c>
      <c r="K395" s="33">
        <v>2600</v>
      </c>
      <c r="L395" t="s">
        <v>60</v>
      </c>
      <c r="M395" t="str">
        <f>_xlfn.XLOOKUP(Pipeline_tbl[[#This Row],[Rep_ID]],Dim_Reps!A:A,Dim_Reps!K:K)</f>
        <v>EUR</v>
      </c>
      <c r="N395" s="33">
        <f>(_xlfn.XLOOKUP(Pipeline_tbl[[#This Row],[Rate_Code_Generalized]],Lookups!A:A,Lookups!B:B))*Pipeline_tbl[[#This Row],[Pipeline_Amount_USD]]</f>
        <v>2600</v>
      </c>
      <c r="O395" t="str">
        <f>_xlfn.XLOOKUP(Pipeline_tbl[[#This Row],[Rep_ID]],Dim_Reps!A:A,Dim_Reps!B:B)</f>
        <v>Riley Haddad</v>
      </c>
      <c r="P395" t="str">
        <f>_xlfn.XLOOKUP(Pipeline_tbl[[#This Row],[Rep_ID]],Dim_Reps!A:A,Dim_Reps!C:C)</f>
        <v>SDR / Inside Sales Rep</v>
      </c>
      <c r="Q395" t="str">
        <f>_xlfn.XLOOKUP(Pipeline_tbl[[#This Row],[Rep_ID]],Dim_Reps!A:A,Dim_Reps!D:D)</f>
        <v>Inside Sales</v>
      </c>
      <c r="R395" t="str">
        <f>_xlfn.XLOOKUP(Pipeline_tbl[[#This Row],[Rep_ID]],Dim_Reps!A:A,Dim_Reps!E:E)</f>
        <v>APAC</v>
      </c>
      <c r="S395" t="str">
        <f>_xlfn.XLOOKUP(Pipeline_tbl[[#This Row],[Created_Date]],Dim_Date!A:A,Dim_Date!H:H)</f>
        <v>Sep 2024</v>
      </c>
      <c r="T395" t="str">
        <f>IF(Pipeline_tbl[[#This Row],[Closed_Date]]=0,"",(_xlfn.XLOOKUP(Pipeline_tbl[[#This Row],[Closed_Date]],Dim_Date!A:A,Dim_Date!H:H)))</f>
        <v>Oct 2024</v>
      </c>
      <c r="U395">
        <f>IF(Pipeline_tbl[[#This Row],[Closed_Date]]=0,"",Pipeline_tbl[[#This Row],[Closed_Date]]-Pipeline_tbl[[#This Row],[Created_Date]])</f>
        <v>15</v>
      </c>
    </row>
    <row r="396" spans="1:21" ht="15" customHeight="1" x14ac:dyDescent="0.2">
      <c r="A396" t="s">
        <v>702</v>
      </c>
      <c r="B396" t="s">
        <v>185</v>
      </c>
      <c r="C396" t="s">
        <v>53</v>
      </c>
      <c r="D396" s="49">
        <v>45547</v>
      </c>
      <c r="E396" s="49">
        <v>45551</v>
      </c>
      <c r="I396" s="49">
        <v>45584</v>
      </c>
      <c r="J396" t="s">
        <v>49</v>
      </c>
      <c r="K396" s="33">
        <v>42100</v>
      </c>
      <c r="L396" t="s">
        <v>60</v>
      </c>
      <c r="M396" t="str">
        <f>_xlfn.XLOOKUP(Pipeline_tbl[[#This Row],[Rep_ID]],Dim_Reps!A:A,Dim_Reps!K:K)</f>
        <v>MXN</v>
      </c>
      <c r="N396" s="33">
        <f>(_xlfn.XLOOKUP(Pipeline_tbl[[#This Row],[Rate_Code_Generalized]],Lookups!A:A,Lookups!B:B))*Pipeline_tbl[[#This Row],[Pipeline_Amount_USD]]</f>
        <v>830746.67</v>
      </c>
      <c r="O396" t="str">
        <f>_xlfn.XLOOKUP(Pipeline_tbl[[#This Row],[Rep_ID]],Dim_Reps!A:A,Dim_Reps!B:B)</f>
        <v>Noah Kim</v>
      </c>
      <c r="P396" t="str">
        <f>_xlfn.XLOOKUP(Pipeline_tbl[[#This Row],[Rep_ID]],Dim_Reps!A:A,Dim_Reps!C:C)</f>
        <v>Enterprise AE</v>
      </c>
      <c r="Q396" t="str">
        <f>_xlfn.XLOOKUP(Pipeline_tbl[[#This Row],[Rep_ID]],Dim_Reps!A:A,Dim_Reps!D:D)</f>
        <v>Enterprise</v>
      </c>
      <c r="R396" t="str">
        <f>_xlfn.XLOOKUP(Pipeline_tbl[[#This Row],[Rep_ID]],Dim_Reps!A:A,Dim_Reps!E:E)</f>
        <v>LATAM</v>
      </c>
      <c r="S396" t="str">
        <f>_xlfn.XLOOKUP(Pipeline_tbl[[#This Row],[Created_Date]],Dim_Date!A:A,Dim_Date!H:H)</f>
        <v>Sep 2024</v>
      </c>
      <c r="T396" t="str">
        <f>IF(Pipeline_tbl[[#This Row],[Closed_Date]]=0,"",(_xlfn.XLOOKUP(Pipeline_tbl[[#This Row],[Closed_Date]],Dim_Date!A:A,Dim_Date!H:H)))</f>
        <v>Oct 2024</v>
      </c>
      <c r="U396">
        <f>IF(Pipeline_tbl[[#This Row],[Closed_Date]]=0,"",Pipeline_tbl[[#This Row],[Closed_Date]]-Pipeline_tbl[[#This Row],[Created_Date]])</f>
        <v>37</v>
      </c>
    </row>
    <row r="397" spans="1:21" ht="15" customHeight="1" x14ac:dyDescent="0.2">
      <c r="A397" t="s">
        <v>703</v>
      </c>
      <c r="B397" t="s">
        <v>205</v>
      </c>
      <c r="C397" t="s">
        <v>52</v>
      </c>
      <c r="D397" s="49">
        <v>45555</v>
      </c>
      <c r="E397" s="49">
        <v>45557</v>
      </c>
      <c r="F397" s="49">
        <v>45560</v>
      </c>
      <c r="G397" s="49">
        <v>45564</v>
      </c>
      <c r="I397" s="49">
        <v>45570</v>
      </c>
      <c r="J397" t="s">
        <v>49</v>
      </c>
      <c r="K397" s="33">
        <v>6600</v>
      </c>
      <c r="L397" t="s">
        <v>61</v>
      </c>
      <c r="M397" t="str">
        <f>_xlfn.XLOOKUP(Pipeline_tbl[[#This Row],[Rep_ID]],Dim_Reps!A:A,Dim_Reps!K:K)</f>
        <v>EUR</v>
      </c>
      <c r="N397" s="33">
        <f>(_xlfn.XLOOKUP(Pipeline_tbl[[#This Row],[Rate_Code_Generalized]],Lookups!A:A,Lookups!B:B))*Pipeline_tbl[[#This Row],[Pipeline_Amount_USD]]</f>
        <v>6600</v>
      </c>
      <c r="O397" t="str">
        <f>_xlfn.XLOOKUP(Pipeline_tbl[[#This Row],[Rep_ID]],Dim_Reps!A:A,Dim_Reps!B:B)</f>
        <v>Karim Alvarez</v>
      </c>
      <c r="P397" t="str">
        <f>_xlfn.XLOOKUP(Pipeline_tbl[[#This Row],[Rep_ID]],Dim_Reps!A:A,Dim_Reps!C:C)</f>
        <v>SDR / Inside Sales Rep</v>
      </c>
      <c r="Q397" t="str">
        <f>_xlfn.XLOOKUP(Pipeline_tbl[[#This Row],[Rep_ID]],Dim_Reps!A:A,Dim_Reps!D:D)</f>
        <v>Inside Sales</v>
      </c>
      <c r="R397" t="str">
        <f>_xlfn.XLOOKUP(Pipeline_tbl[[#This Row],[Rep_ID]],Dim_Reps!A:A,Dim_Reps!E:E)</f>
        <v>EMEA</v>
      </c>
      <c r="S397" t="str">
        <f>_xlfn.XLOOKUP(Pipeline_tbl[[#This Row],[Created_Date]],Dim_Date!A:A,Dim_Date!H:H)</f>
        <v>Sep 2024</v>
      </c>
      <c r="T397" t="str">
        <f>IF(Pipeline_tbl[[#This Row],[Closed_Date]]=0,"",(_xlfn.XLOOKUP(Pipeline_tbl[[#This Row],[Closed_Date]],Dim_Date!A:A,Dim_Date!H:H)))</f>
        <v>Oct 2024</v>
      </c>
      <c r="U397">
        <f>IF(Pipeline_tbl[[#This Row],[Closed_Date]]=0,"",Pipeline_tbl[[#This Row],[Closed_Date]]-Pipeline_tbl[[#This Row],[Created_Date]])</f>
        <v>15</v>
      </c>
    </row>
    <row r="398" spans="1:21" ht="15" customHeight="1" x14ac:dyDescent="0.2">
      <c r="A398" t="s">
        <v>704</v>
      </c>
      <c r="B398" t="s">
        <v>205</v>
      </c>
      <c r="C398" t="s">
        <v>54</v>
      </c>
      <c r="D398" s="49">
        <v>45556</v>
      </c>
      <c r="E398" s="49">
        <v>45558</v>
      </c>
      <c r="F398" s="49">
        <v>45561</v>
      </c>
      <c r="G398" s="49">
        <v>45566</v>
      </c>
      <c r="I398" s="49">
        <v>45572</v>
      </c>
      <c r="J398" t="s">
        <v>49</v>
      </c>
      <c r="K398" s="33">
        <v>6500</v>
      </c>
      <c r="L398" t="s">
        <v>60</v>
      </c>
      <c r="M398" t="str">
        <f>_xlfn.XLOOKUP(Pipeline_tbl[[#This Row],[Rep_ID]],Dim_Reps!A:A,Dim_Reps!K:K)</f>
        <v>EUR</v>
      </c>
      <c r="N398" s="33">
        <f>(_xlfn.XLOOKUP(Pipeline_tbl[[#This Row],[Rate_Code_Generalized]],Lookups!A:A,Lookups!B:B))*Pipeline_tbl[[#This Row],[Pipeline_Amount_USD]]</f>
        <v>6500</v>
      </c>
      <c r="O398" t="str">
        <f>_xlfn.XLOOKUP(Pipeline_tbl[[#This Row],[Rep_ID]],Dim_Reps!A:A,Dim_Reps!B:B)</f>
        <v>Karim Alvarez</v>
      </c>
      <c r="P398" t="str">
        <f>_xlfn.XLOOKUP(Pipeline_tbl[[#This Row],[Rep_ID]],Dim_Reps!A:A,Dim_Reps!C:C)</f>
        <v>SDR / Inside Sales Rep</v>
      </c>
      <c r="Q398" t="str">
        <f>_xlfn.XLOOKUP(Pipeline_tbl[[#This Row],[Rep_ID]],Dim_Reps!A:A,Dim_Reps!D:D)</f>
        <v>Inside Sales</v>
      </c>
      <c r="R398" t="str">
        <f>_xlfn.XLOOKUP(Pipeline_tbl[[#This Row],[Rep_ID]],Dim_Reps!A:A,Dim_Reps!E:E)</f>
        <v>EMEA</v>
      </c>
      <c r="S398" t="str">
        <f>_xlfn.XLOOKUP(Pipeline_tbl[[#This Row],[Created_Date]],Dim_Date!A:A,Dim_Date!H:H)</f>
        <v>Sep 2024</v>
      </c>
      <c r="T398" t="str">
        <f>IF(Pipeline_tbl[[#This Row],[Closed_Date]]=0,"",(_xlfn.XLOOKUP(Pipeline_tbl[[#This Row],[Closed_Date]],Dim_Date!A:A,Dim_Date!H:H)))</f>
        <v>Oct 2024</v>
      </c>
      <c r="U398">
        <f>IF(Pipeline_tbl[[#This Row],[Closed_Date]]=0,"",Pipeline_tbl[[#This Row],[Closed_Date]]-Pipeline_tbl[[#This Row],[Created_Date]])</f>
        <v>16</v>
      </c>
    </row>
    <row r="399" spans="1:21" ht="15" customHeight="1" x14ac:dyDescent="0.2">
      <c r="A399" t="s">
        <v>705</v>
      </c>
      <c r="B399" t="s">
        <v>205</v>
      </c>
      <c r="C399" t="s">
        <v>52</v>
      </c>
      <c r="D399" s="49">
        <v>45554</v>
      </c>
      <c r="E399" s="49">
        <v>45556</v>
      </c>
      <c r="F399" s="49">
        <v>45561</v>
      </c>
      <c r="I399" s="49">
        <v>45577</v>
      </c>
      <c r="J399" t="s">
        <v>49</v>
      </c>
      <c r="K399" s="33">
        <v>14400</v>
      </c>
      <c r="L399" t="s">
        <v>61</v>
      </c>
      <c r="M399" t="str">
        <f>_xlfn.XLOOKUP(Pipeline_tbl[[#This Row],[Rep_ID]],Dim_Reps!A:A,Dim_Reps!K:K)</f>
        <v>EUR</v>
      </c>
      <c r="N399" s="33">
        <f>(_xlfn.XLOOKUP(Pipeline_tbl[[#This Row],[Rate_Code_Generalized]],Lookups!A:A,Lookups!B:B))*Pipeline_tbl[[#This Row],[Pipeline_Amount_USD]]</f>
        <v>14400</v>
      </c>
      <c r="O399" t="str">
        <f>_xlfn.XLOOKUP(Pipeline_tbl[[#This Row],[Rep_ID]],Dim_Reps!A:A,Dim_Reps!B:B)</f>
        <v>Karim Alvarez</v>
      </c>
      <c r="P399" t="str">
        <f>_xlfn.XLOOKUP(Pipeline_tbl[[#This Row],[Rep_ID]],Dim_Reps!A:A,Dim_Reps!C:C)</f>
        <v>SDR / Inside Sales Rep</v>
      </c>
      <c r="Q399" t="str">
        <f>_xlfn.XLOOKUP(Pipeline_tbl[[#This Row],[Rep_ID]],Dim_Reps!A:A,Dim_Reps!D:D)</f>
        <v>Inside Sales</v>
      </c>
      <c r="R399" t="str">
        <f>_xlfn.XLOOKUP(Pipeline_tbl[[#This Row],[Rep_ID]],Dim_Reps!A:A,Dim_Reps!E:E)</f>
        <v>EMEA</v>
      </c>
      <c r="S399" t="str">
        <f>_xlfn.XLOOKUP(Pipeline_tbl[[#This Row],[Created_Date]],Dim_Date!A:A,Dim_Date!H:H)</f>
        <v>Sep 2024</v>
      </c>
      <c r="T399" t="str">
        <f>IF(Pipeline_tbl[[#This Row],[Closed_Date]]=0,"",(_xlfn.XLOOKUP(Pipeline_tbl[[#This Row],[Closed_Date]],Dim_Date!A:A,Dim_Date!H:H)))</f>
        <v>Oct 2024</v>
      </c>
      <c r="U399">
        <f>IF(Pipeline_tbl[[#This Row],[Closed_Date]]=0,"",Pipeline_tbl[[#This Row],[Closed_Date]]-Pipeline_tbl[[#This Row],[Created_Date]])</f>
        <v>23</v>
      </c>
    </row>
    <row r="400" spans="1:21" ht="15" customHeight="1" x14ac:dyDescent="0.2">
      <c r="A400" t="s">
        <v>706</v>
      </c>
      <c r="B400" t="s">
        <v>205</v>
      </c>
      <c r="C400" t="s">
        <v>52</v>
      </c>
      <c r="D400" s="49">
        <v>45553</v>
      </c>
      <c r="E400" s="49">
        <v>45555</v>
      </c>
      <c r="F400" s="49">
        <v>45558</v>
      </c>
      <c r="G400" s="49">
        <v>45564</v>
      </c>
      <c r="H400" s="49">
        <v>45568</v>
      </c>
      <c r="I400" s="49">
        <v>45571</v>
      </c>
      <c r="J400" t="s">
        <v>49</v>
      </c>
      <c r="K400" s="33">
        <v>3400</v>
      </c>
      <c r="L400" t="s">
        <v>60</v>
      </c>
      <c r="M400" t="str">
        <f>_xlfn.XLOOKUP(Pipeline_tbl[[#This Row],[Rep_ID]],Dim_Reps!A:A,Dim_Reps!K:K)</f>
        <v>EUR</v>
      </c>
      <c r="N400" s="33">
        <f>(_xlfn.XLOOKUP(Pipeline_tbl[[#This Row],[Rate_Code_Generalized]],Lookups!A:A,Lookups!B:B))*Pipeline_tbl[[#This Row],[Pipeline_Amount_USD]]</f>
        <v>3400</v>
      </c>
      <c r="O400" t="str">
        <f>_xlfn.XLOOKUP(Pipeline_tbl[[#This Row],[Rep_ID]],Dim_Reps!A:A,Dim_Reps!B:B)</f>
        <v>Karim Alvarez</v>
      </c>
      <c r="P400" t="str">
        <f>_xlfn.XLOOKUP(Pipeline_tbl[[#This Row],[Rep_ID]],Dim_Reps!A:A,Dim_Reps!C:C)</f>
        <v>SDR / Inside Sales Rep</v>
      </c>
      <c r="Q400" t="str">
        <f>_xlfn.XLOOKUP(Pipeline_tbl[[#This Row],[Rep_ID]],Dim_Reps!A:A,Dim_Reps!D:D)</f>
        <v>Inside Sales</v>
      </c>
      <c r="R400" t="str">
        <f>_xlfn.XLOOKUP(Pipeline_tbl[[#This Row],[Rep_ID]],Dim_Reps!A:A,Dim_Reps!E:E)</f>
        <v>EMEA</v>
      </c>
      <c r="S400" t="str">
        <f>_xlfn.XLOOKUP(Pipeline_tbl[[#This Row],[Created_Date]],Dim_Date!A:A,Dim_Date!H:H)</f>
        <v>Sep 2024</v>
      </c>
      <c r="T400" t="str">
        <f>IF(Pipeline_tbl[[#This Row],[Closed_Date]]=0,"",(_xlfn.XLOOKUP(Pipeline_tbl[[#This Row],[Closed_Date]],Dim_Date!A:A,Dim_Date!H:H)))</f>
        <v>Oct 2024</v>
      </c>
      <c r="U400">
        <f>IF(Pipeline_tbl[[#This Row],[Closed_Date]]=0,"",Pipeline_tbl[[#This Row],[Closed_Date]]-Pipeline_tbl[[#This Row],[Created_Date]])</f>
        <v>18</v>
      </c>
    </row>
    <row r="401" spans="1:21" ht="15" customHeight="1" x14ac:dyDescent="0.2">
      <c r="A401" t="s">
        <v>707</v>
      </c>
      <c r="B401" t="s">
        <v>205</v>
      </c>
      <c r="C401" t="s">
        <v>53</v>
      </c>
      <c r="D401" s="49">
        <v>45558</v>
      </c>
      <c r="E401" s="49">
        <v>45559</v>
      </c>
      <c r="F401" s="49">
        <v>45561</v>
      </c>
      <c r="G401" s="49">
        <v>45564</v>
      </c>
      <c r="H401" s="49">
        <v>45566</v>
      </c>
      <c r="I401" s="49">
        <v>45568</v>
      </c>
      <c r="J401" t="s">
        <v>49</v>
      </c>
      <c r="K401" s="33">
        <v>2000</v>
      </c>
      <c r="L401" t="s">
        <v>61</v>
      </c>
      <c r="M401" t="str">
        <f>_xlfn.XLOOKUP(Pipeline_tbl[[#This Row],[Rep_ID]],Dim_Reps!A:A,Dim_Reps!K:K)</f>
        <v>EUR</v>
      </c>
      <c r="N401" s="33">
        <f>(_xlfn.XLOOKUP(Pipeline_tbl[[#This Row],[Rate_Code_Generalized]],Lookups!A:A,Lookups!B:B))*Pipeline_tbl[[#This Row],[Pipeline_Amount_USD]]</f>
        <v>2000</v>
      </c>
      <c r="O401" t="str">
        <f>_xlfn.XLOOKUP(Pipeline_tbl[[#This Row],[Rep_ID]],Dim_Reps!A:A,Dim_Reps!B:B)</f>
        <v>Karim Alvarez</v>
      </c>
      <c r="P401" t="str">
        <f>_xlfn.XLOOKUP(Pipeline_tbl[[#This Row],[Rep_ID]],Dim_Reps!A:A,Dim_Reps!C:C)</f>
        <v>SDR / Inside Sales Rep</v>
      </c>
      <c r="Q401" t="str">
        <f>_xlfn.XLOOKUP(Pipeline_tbl[[#This Row],[Rep_ID]],Dim_Reps!A:A,Dim_Reps!D:D)</f>
        <v>Inside Sales</v>
      </c>
      <c r="R401" t="str">
        <f>_xlfn.XLOOKUP(Pipeline_tbl[[#This Row],[Rep_ID]],Dim_Reps!A:A,Dim_Reps!E:E)</f>
        <v>EMEA</v>
      </c>
      <c r="S401" t="str">
        <f>_xlfn.XLOOKUP(Pipeline_tbl[[#This Row],[Created_Date]],Dim_Date!A:A,Dim_Date!H:H)</f>
        <v>Sep 2024</v>
      </c>
      <c r="T401" t="str">
        <f>IF(Pipeline_tbl[[#This Row],[Closed_Date]]=0,"",(_xlfn.XLOOKUP(Pipeline_tbl[[#This Row],[Closed_Date]],Dim_Date!A:A,Dim_Date!H:H)))</f>
        <v>Oct 2024</v>
      </c>
      <c r="U401">
        <f>IF(Pipeline_tbl[[#This Row],[Closed_Date]]=0,"",Pipeline_tbl[[#This Row],[Closed_Date]]-Pipeline_tbl[[#This Row],[Created_Date]])</f>
        <v>10</v>
      </c>
    </row>
    <row r="402" spans="1:21" ht="15" customHeight="1" x14ac:dyDescent="0.2">
      <c r="A402" t="s">
        <v>708</v>
      </c>
      <c r="B402" t="s">
        <v>205</v>
      </c>
      <c r="C402" t="s">
        <v>55</v>
      </c>
      <c r="D402" s="49">
        <v>45546</v>
      </c>
      <c r="E402" s="49">
        <v>45548</v>
      </c>
      <c r="F402" s="49">
        <v>45552</v>
      </c>
      <c r="I402" s="49">
        <v>45567</v>
      </c>
      <c r="J402" t="s">
        <v>49</v>
      </c>
      <c r="K402" s="33">
        <v>3100</v>
      </c>
      <c r="L402" t="s">
        <v>60</v>
      </c>
      <c r="M402" t="str">
        <f>_xlfn.XLOOKUP(Pipeline_tbl[[#This Row],[Rep_ID]],Dim_Reps!A:A,Dim_Reps!K:K)</f>
        <v>EUR</v>
      </c>
      <c r="N402" s="33">
        <f>(_xlfn.XLOOKUP(Pipeline_tbl[[#This Row],[Rate_Code_Generalized]],Lookups!A:A,Lookups!B:B))*Pipeline_tbl[[#This Row],[Pipeline_Amount_USD]]</f>
        <v>3100</v>
      </c>
      <c r="O402" t="str">
        <f>_xlfn.XLOOKUP(Pipeline_tbl[[#This Row],[Rep_ID]],Dim_Reps!A:A,Dim_Reps!B:B)</f>
        <v>Karim Alvarez</v>
      </c>
      <c r="P402" t="str">
        <f>_xlfn.XLOOKUP(Pipeline_tbl[[#This Row],[Rep_ID]],Dim_Reps!A:A,Dim_Reps!C:C)</f>
        <v>SDR / Inside Sales Rep</v>
      </c>
      <c r="Q402" t="str">
        <f>_xlfn.XLOOKUP(Pipeline_tbl[[#This Row],[Rep_ID]],Dim_Reps!A:A,Dim_Reps!D:D)</f>
        <v>Inside Sales</v>
      </c>
      <c r="R402" t="str">
        <f>_xlfn.XLOOKUP(Pipeline_tbl[[#This Row],[Rep_ID]],Dim_Reps!A:A,Dim_Reps!E:E)</f>
        <v>EMEA</v>
      </c>
      <c r="S402" t="str">
        <f>_xlfn.XLOOKUP(Pipeline_tbl[[#This Row],[Created_Date]],Dim_Date!A:A,Dim_Date!H:H)</f>
        <v>Sep 2024</v>
      </c>
      <c r="T402" t="str">
        <f>IF(Pipeline_tbl[[#This Row],[Closed_Date]]=0,"",(_xlfn.XLOOKUP(Pipeline_tbl[[#This Row],[Closed_Date]],Dim_Date!A:A,Dim_Date!H:H)))</f>
        <v>Oct 2024</v>
      </c>
      <c r="U402">
        <f>IF(Pipeline_tbl[[#This Row],[Closed_Date]]=0,"",Pipeline_tbl[[#This Row],[Closed_Date]]-Pipeline_tbl[[#This Row],[Created_Date]])</f>
        <v>21</v>
      </c>
    </row>
    <row r="403" spans="1:21" ht="15" customHeight="1" x14ac:dyDescent="0.2">
      <c r="A403" t="s">
        <v>709</v>
      </c>
      <c r="B403" t="s">
        <v>207</v>
      </c>
      <c r="C403" t="s">
        <v>52</v>
      </c>
      <c r="D403" s="49">
        <v>45555</v>
      </c>
      <c r="E403" s="49">
        <v>45557</v>
      </c>
      <c r="F403" s="49">
        <v>45560</v>
      </c>
      <c r="I403" s="49">
        <v>45570</v>
      </c>
      <c r="J403" t="s">
        <v>49</v>
      </c>
      <c r="K403" s="33">
        <v>2900</v>
      </c>
      <c r="L403" t="s">
        <v>61</v>
      </c>
      <c r="M403" t="str">
        <f>_xlfn.XLOOKUP(Pipeline_tbl[[#This Row],[Rep_ID]],Dim_Reps!A:A,Dim_Reps!K:K)</f>
        <v>EUR</v>
      </c>
      <c r="N403" s="33">
        <f>(_xlfn.XLOOKUP(Pipeline_tbl[[#This Row],[Rate_Code_Generalized]],Lookups!A:A,Lookups!B:B))*Pipeline_tbl[[#This Row],[Pipeline_Amount_USD]]</f>
        <v>2900</v>
      </c>
      <c r="O403" t="str">
        <f>_xlfn.XLOOKUP(Pipeline_tbl[[#This Row],[Rep_ID]],Dim_Reps!A:A,Dim_Reps!B:B)</f>
        <v>Sam Castro</v>
      </c>
      <c r="P403" t="str">
        <f>_xlfn.XLOOKUP(Pipeline_tbl[[#This Row],[Rep_ID]],Dim_Reps!A:A,Dim_Reps!C:C)</f>
        <v>SDR / Inside Sales Rep</v>
      </c>
      <c r="Q403" t="str">
        <f>_xlfn.XLOOKUP(Pipeline_tbl[[#This Row],[Rep_ID]],Dim_Reps!A:A,Dim_Reps!D:D)</f>
        <v>Inside Sales</v>
      </c>
      <c r="R403" t="str">
        <f>_xlfn.XLOOKUP(Pipeline_tbl[[#This Row],[Rep_ID]],Dim_Reps!A:A,Dim_Reps!E:E)</f>
        <v>APAC</v>
      </c>
      <c r="S403" t="str">
        <f>_xlfn.XLOOKUP(Pipeline_tbl[[#This Row],[Created_Date]],Dim_Date!A:A,Dim_Date!H:H)</f>
        <v>Sep 2024</v>
      </c>
      <c r="T403" t="str">
        <f>IF(Pipeline_tbl[[#This Row],[Closed_Date]]=0,"",(_xlfn.XLOOKUP(Pipeline_tbl[[#This Row],[Closed_Date]],Dim_Date!A:A,Dim_Date!H:H)))</f>
        <v>Oct 2024</v>
      </c>
      <c r="U403">
        <f>IF(Pipeline_tbl[[#This Row],[Closed_Date]]=0,"",Pipeline_tbl[[#This Row],[Closed_Date]]-Pipeline_tbl[[#This Row],[Created_Date]])</f>
        <v>15</v>
      </c>
    </row>
    <row r="404" spans="1:21" ht="15" customHeight="1" x14ac:dyDescent="0.2">
      <c r="A404" t="s">
        <v>710</v>
      </c>
      <c r="B404" t="s">
        <v>211</v>
      </c>
      <c r="C404" t="s">
        <v>53</v>
      </c>
      <c r="D404" s="49">
        <v>45555</v>
      </c>
      <c r="E404" s="49">
        <v>45557</v>
      </c>
      <c r="F404" s="49">
        <v>45560</v>
      </c>
      <c r="G404" s="49">
        <v>45565</v>
      </c>
      <c r="H404" s="49">
        <v>45569</v>
      </c>
      <c r="I404" s="49">
        <v>45571</v>
      </c>
      <c r="J404" t="s">
        <v>47</v>
      </c>
      <c r="K404" s="33">
        <v>3400</v>
      </c>
      <c r="M404" t="str">
        <f>_xlfn.XLOOKUP(Pipeline_tbl[[#This Row],[Rep_ID]],Dim_Reps!A:A,Dim_Reps!K:K)</f>
        <v>EUR</v>
      </c>
      <c r="N404" s="33">
        <f>(_xlfn.XLOOKUP(Pipeline_tbl[[#This Row],[Rate_Code_Generalized]],Lookups!A:A,Lookups!B:B))*Pipeline_tbl[[#This Row],[Pipeline_Amount_USD]]</f>
        <v>3400</v>
      </c>
      <c r="O404" t="str">
        <f>_xlfn.XLOOKUP(Pipeline_tbl[[#This Row],[Rep_ID]],Dim_Reps!A:A,Dim_Reps!B:B)</f>
        <v>Lea Weber</v>
      </c>
      <c r="P404" t="str">
        <f>_xlfn.XLOOKUP(Pipeline_tbl[[#This Row],[Rep_ID]],Dim_Reps!A:A,Dim_Reps!C:C)</f>
        <v>SDR / Inside Sales Rep</v>
      </c>
      <c r="Q404" t="str">
        <f>_xlfn.XLOOKUP(Pipeline_tbl[[#This Row],[Rep_ID]],Dim_Reps!A:A,Dim_Reps!D:D)</f>
        <v>Inside Sales</v>
      </c>
      <c r="R404" t="str">
        <f>_xlfn.XLOOKUP(Pipeline_tbl[[#This Row],[Rep_ID]],Dim_Reps!A:A,Dim_Reps!E:E)</f>
        <v>EMEA</v>
      </c>
      <c r="S404" t="str">
        <f>_xlfn.XLOOKUP(Pipeline_tbl[[#This Row],[Created_Date]],Dim_Date!A:A,Dim_Date!H:H)</f>
        <v>Sep 2024</v>
      </c>
      <c r="T404" t="str">
        <f>IF(Pipeline_tbl[[#This Row],[Closed_Date]]=0,"",(_xlfn.XLOOKUP(Pipeline_tbl[[#This Row],[Closed_Date]],Dim_Date!A:A,Dim_Date!H:H)))</f>
        <v>Oct 2024</v>
      </c>
      <c r="U404">
        <f>IF(Pipeline_tbl[[#This Row],[Closed_Date]]=0,"",Pipeline_tbl[[#This Row],[Closed_Date]]-Pipeline_tbl[[#This Row],[Created_Date]])</f>
        <v>16</v>
      </c>
    </row>
    <row r="405" spans="1:21" ht="15" customHeight="1" x14ac:dyDescent="0.2">
      <c r="A405" t="s">
        <v>711</v>
      </c>
      <c r="B405" t="s">
        <v>211</v>
      </c>
      <c r="C405" t="s">
        <v>52</v>
      </c>
      <c r="D405" s="49">
        <v>45555</v>
      </c>
      <c r="E405" s="49">
        <v>45558</v>
      </c>
      <c r="F405" s="49">
        <v>45563</v>
      </c>
      <c r="I405" s="49">
        <v>45581</v>
      </c>
      <c r="J405" t="s">
        <v>49</v>
      </c>
      <c r="K405" s="33">
        <v>2500</v>
      </c>
      <c r="L405" t="s">
        <v>61</v>
      </c>
      <c r="M405" t="str">
        <f>_xlfn.XLOOKUP(Pipeline_tbl[[#This Row],[Rep_ID]],Dim_Reps!A:A,Dim_Reps!K:K)</f>
        <v>EUR</v>
      </c>
      <c r="N405" s="33">
        <f>(_xlfn.XLOOKUP(Pipeline_tbl[[#This Row],[Rate_Code_Generalized]],Lookups!A:A,Lookups!B:B))*Pipeline_tbl[[#This Row],[Pipeline_Amount_USD]]</f>
        <v>2500</v>
      </c>
      <c r="O405" t="str">
        <f>_xlfn.XLOOKUP(Pipeline_tbl[[#This Row],[Rep_ID]],Dim_Reps!A:A,Dim_Reps!B:B)</f>
        <v>Lea Weber</v>
      </c>
      <c r="P405" t="str">
        <f>_xlfn.XLOOKUP(Pipeline_tbl[[#This Row],[Rep_ID]],Dim_Reps!A:A,Dim_Reps!C:C)</f>
        <v>SDR / Inside Sales Rep</v>
      </c>
      <c r="Q405" t="str">
        <f>_xlfn.XLOOKUP(Pipeline_tbl[[#This Row],[Rep_ID]],Dim_Reps!A:A,Dim_Reps!D:D)</f>
        <v>Inside Sales</v>
      </c>
      <c r="R405" t="str">
        <f>_xlfn.XLOOKUP(Pipeline_tbl[[#This Row],[Rep_ID]],Dim_Reps!A:A,Dim_Reps!E:E)</f>
        <v>EMEA</v>
      </c>
      <c r="S405" t="str">
        <f>_xlfn.XLOOKUP(Pipeline_tbl[[#This Row],[Created_Date]],Dim_Date!A:A,Dim_Date!H:H)</f>
        <v>Sep 2024</v>
      </c>
      <c r="T405" t="str">
        <f>IF(Pipeline_tbl[[#This Row],[Closed_Date]]=0,"",(_xlfn.XLOOKUP(Pipeline_tbl[[#This Row],[Closed_Date]],Dim_Date!A:A,Dim_Date!H:H)))</f>
        <v>Oct 2024</v>
      </c>
      <c r="U405">
        <f>IF(Pipeline_tbl[[#This Row],[Closed_Date]]=0,"",Pipeline_tbl[[#This Row],[Closed_Date]]-Pipeline_tbl[[#This Row],[Created_Date]])</f>
        <v>26</v>
      </c>
    </row>
    <row r="406" spans="1:21" ht="15" customHeight="1" x14ac:dyDescent="0.2">
      <c r="A406" t="s">
        <v>712</v>
      </c>
      <c r="B406" t="s">
        <v>211</v>
      </c>
      <c r="C406" t="s">
        <v>53</v>
      </c>
      <c r="D406" s="49">
        <v>45548</v>
      </c>
      <c r="E406" s="49">
        <v>45550</v>
      </c>
      <c r="F406" s="49">
        <v>45554</v>
      </c>
      <c r="G406" s="49">
        <v>45559</v>
      </c>
      <c r="H406" s="49">
        <v>45564</v>
      </c>
      <c r="I406" s="49">
        <v>45567</v>
      </c>
      <c r="J406" t="s">
        <v>47</v>
      </c>
      <c r="K406" s="33">
        <v>4200</v>
      </c>
      <c r="M406" t="str">
        <f>_xlfn.XLOOKUP(Pipeline_tbl[[#This Row],[Rep_ID]],Dim_Reps!A:A,Dim_Reps!K:K)</f>
        <v>EUR</v>
      </c>
      <c r="N406" s="33">
        <f>(_xlfn.XLOOKUP(Pipeline_tbl[[#This Row],[Rate_Code_Generalized]],Lookups!A:A,Lookups!B:B))*Pipeline_tbl[[#This Row],[Pipeline_Amount_USD]]</f>
        <v>4200</v>
      </c>
      <c r="O406" t="str">
        <f>_xlfn.XLOOKUP(Pipeline_tbl[[#This Row],[Rep_ID]],Dim_Reps!A:A,Dim_Reps!B:B)</f>
        <v>Lea Weber</v>
      </c>
      <c r="P406" t="str">
        <f>_xlfn.XLOOKUP(Pipeline_tbl[[#This Row],[Rep_ID]],Dim_Reps!A:A,Dim_Reps!C:C)</f>
        <v>SDR / Inside Sales Rep</v>
      </c>
      <c r="Q406" t="str">
        <f>_xlfn.XLOOKUP(Pipeline_tbl[[#This Row],[Rep_ID]],Dim_Reps!A:A,Dim_Reps!D:D)</f>
        <v>Inside Sales</v>
      </c>
      <c r="R406" t="str">
        <f>_xlfn.XLOOKUP(Pipeline_tbl[[#This Row],[Rep_ID]],Dim_Reps!A:A,Dim_Reps!E:E)</f>
        <v>EMEA</v>
      </c>
      <c r="S406" t="str">
        <f>_xlfn.XLOOKUP(Pipeline_tbl[[#This Row],[Created_Date]],Dim_Date!A:A,Dim_Date!H:H)</f>
        <v>Sep 2024</v>
      </c>
      <c r="T406" t="str">
        <f>IF(Pipeline_tbl[[#This Row],[Closed_Date]]=0,"",(_xlfn.XLOOKUP(Pipeline_tbl[[#This Row],[Closed_Date]],Dim_Date!A:A,Dim_Date!H:H)))</f>
        <v>Oct 2024</v>
      </c>
      <c r="U406">
        <f>IF(Pipeline_tbl[[#This Row],[Closed_Date]]=0,"",Pipeline_tbl[[#This Row],[Closed_Date]]-Pipeline_tbl[[#This Row],[Created_Date]])</f>
        <v>19</v>
      </c>
    </row>
    <row r="407" spans="1:21" ht="15" customHeight="1" x14ac:dyDescent="0.2">
      <c r="A407" t="s">
        <v>713</v>
      </c>
      <c r="B407" t="s">
        <v>213</v>
      </c>
      <c r="C407" t="s">
        <v>55</v>
      </c>
      <c r="D407" s="49">
        <v>45562</v>
      </c>
      <c r="E407" s="49">
        <v>45564</v>
      </c>
      <c r="F407" s="49">
        <v>45570</v>
      </c>
      <c r="G407" s="49">
        <v>45577</v>
      </c>
      <c r="H407" s="49">
        <v>45583</v>
      </c>
      <c r="I407" s="49">
        <v>45587</v>
      </c>
      <c r="J407" t="s">
        <v>47</v>
      </c>
      <c r="K407" s="33">
        <v>4100</v>
      </c>
      <c r="M407" t="str">
        <f>_xlfn.XLOOKUP(Pipeline_tbl[[#This Row],[Rep_ID]],Dim_Reps!A:A,Dim_Reps!K:K)</f>
        <v>EUR</v>
      </c>
      <c r="N407" s="33">
        <f>(_xlfn.XLOOKUP(Pipeline_tbl[[#This Row],[Rate_Code_Generalized]],Lookups!A:A,Lookups!B:B))*Pipeline_tbl[[#This Row],[Pipeline_Amount_USD]]</f>
        <v>4100</v>
      </c>
      <c r="O407" t="str">
        <f>_xlfn.XLOOKUP(Pipeline_tbl[[#This Row],[Rep_ID]],Dim_Reps!A:A,Dim_Reps!B:B)</f>
        <v>Jamie Silva</v>
      </c>
      <c r="P407" t="str">
        <f>_xlfn.XLOOKUP(Pipeline_tbl[[#This Row],[Rep_ID]],Dim_Reps!A:A,Dim_Reps!C:C)</f>
        <v>SDR / Inside Sales Rep</v>
      </c>
      <c r="Q407" t="str">
        <f>_xlfn.XLOOKUP(Pipeline_tbl[[#This Row],[Rep_ID]],Dim_Reps!A:A,Dim_Reps!D:D)</f>
        <v>Inside Sales</v>
      </c>
      <c r="R407" t="str">
        <f>_xlfn.XLOOKUP(Pipeline_tbl[[#This Row],[Rep_ID]],Dim_Reps!A:A,Dim_Reps!E:E)</f>
        <v>EMEA</v>
      </c>
      <c r="S407" t="str">
        <f>_xlfn.XLOOKUP(Pipeline_tbl[[#This Row],[Created_Date]],Dim_Date!A:A,Dim_Date!H:H)</f>
        <v>Sep 2024</v>
      </c>
      <c r="T407" t="str">
        <f>IF(Pipeline_tbl[[#This Row],[Closed_Date]]=0,"",(_xlfn.XLOOKUP(Pipeline_tbl[[#This Row],[Closed_Date]],Dim_Date!A:A,Dim_Date!H:H)))</f>
        <v>Oct 2024</v>
      </c>
      <c r="U407">
        <f>IF(Pipeline_tbl[[#This Row],[Closed_Date]]=0,"",Pipeline_tbl[[#This Row],[Closed_Date]]-Pipeline_tbl[[#This Row],[Created_Date]])</f>
        <v>25</v>
      </c>
    </row>
    <row r="408" spans="1:21" ht="15" customHeight="1" x14ac:dyDescent="0.2">
      <c r="A408" t="s">
        <v>714</v>
      </c>
      <c r="B408" t="s">
        <v>215</v>
      </c>
      <c r="C408" t="s">
        <v>53</v>
      </c>
      <c r="D408" s="49">
        <v>45541</v>
      </c>
      <c r="E408" s="49">
        <v>45544</v>
      </c>
      <c r="F408" s="49">
        <v>45549</v>
      </c>
      <c r="G408" s="49">
        <v>45557</v>
      </c>
      <c r="H408" s="49">
        <v>45563</v>
      </c>
      <c r="I408" s="49">
        <v>45567</v>
      </c>
      <c r="J408" t="s">
        <v>49</v>
      </c>
      <c r="K408" s="33">
        <v>2000</v>
      </c>
      <c r="L408" t="s">
        <v>64</v>
      </c>
      <c r="M408" t="str">
        <f>_xlfn.XLOOKUP(Pipeline_tbl[[#This Row],[Rep_ID]],Dim_Reps!A:A,Dim_Reps!K:K)</f>
        <v>EUR</v>
      </c>
      <c r="N408" s="33">
        <f>(_xlfn.XLOOKUP(Pipeline_tbl[[#This Row],[Rate_Code_Generalized]],Lookups!A:A,Lookups!B:B))*Pipeline_tbl[[#This Row],[Pipeline_Amount_USD]]</f>
        <v>2000</v>
      </c>
      <c r="O408" t="str">
        <f>_xlfn.XLOOKUP(Pipeline_tbl[[#This Row],[Rep_ID]],Dim_Reps!A:A,Dim_Reps!B:B)</f>
        <v>Jamie Schmidt</v>
      </c>
      <c r="P408" t="str">
        <f>_xlfn.XLOOKUP(Pipeline_tbl[[#This Row],[Rep_ID]],Dim_Reps!A:A,Dim_Reps!C:C)</f>
        <v>SDR / Inside Sales Rep</v>
      </c>
      <c r="Q408" t="str">
        <f>_xlfn.XLOOKUP(Pipeline_tbl[[#This Row],[Rep_ID]],Dim_Reps!A:A,Dim_Reps!D:D)</f>
        <v>Inside Sales</v>
      </c>
      <c r="R408" t="str">
        <f>_xlfn.XLOOKUP(Pipeline_tbl[[#This Row],[Rep_ID]],Dim_Reps!A:A,Dim_Reps!E:E)</f>
        <v>APAC</v>
      </c>
      <c r="S408" t="str">
        <f>_xlfn.XLOOKUP(Pipeline_tbl[[#This Row],[Created_Date]],Dim_Date!A:A,Dim_Date!H:H)</f>
        <v>Sep 2024</v>
      </c>
      <c r="T408" t="str">
        <f>IF(Pipeline_tbl[[#This Row],[Closed_Date]]=0,"",(_xlfn.XLOOKUP(Pipeline_tbl[[#This Row],[Closed_Date]],Dim_Date!A:A,Dim_Date!H:H)))</f>
        <v>Oct 2024</v>
      </c>
      <c r="U408">
        <f>IF(Pipeline_tbl[[#This Row],[Closed_Date]]=0,"",Pipeline_tbl[[#This Row],[Closed_Date]]-Pipeline_tbl[[#This Row],[Created_Date]])</f>
        <v>26</v>
      </c>
    </row>
    <row r="409" spans="1:21" ht="15" customHeight="1" x14ac:dyDescent="0.2">
      <c r="A409" t="s">
        <v>715</v>
      </c>
      <c r="B409" t="s">
        <v>215</v>
      </c>
      <c r="C409" t="s">
        <v>55</v>
      </c>
      <c r="D409" s="49">
        <v>45560</v>
      </c>
      <c r="E409" s="49">
        <v>45562</v>
      </c>
      <c r="F409" s="49">
        <v>45566</v>
      </c>
      <c r="G409" s="49">
        <v>45572</v>
      </c>
      <c r="I409" s="49">
        <v>45580</v>
      </c>
      <c r="J409" t="s">
        <v>49</v>
      </c>
      <c r="K409" s="33">
        <v>3300</v>
      </c>
      <c r="L409" t="s">
        <v>62</v>
      </c>
      <c r="M409" t="str">
        <f>_xlfn.XLOOKUP(Pipeline_tbl[[#This Row],[Rep_ID]],Dim_Reps!A:A,Dim_Reps!K:K)</f>
        <v>EUR</v>
      </c>
      <c r="N409" s="33">
        <f>(_xlfn.XLOOKUP(Pipeline_tbl[[#This Row],[Rate_Code_Generalized]],Lookups!A:A,Lookups!B:B))*Pipeline_tbl[[#This Row],[Pipeline_Amount_USD]]</f>
        <v>3300</v>
      </c>
      <c r="O409" t="str">
        <f>_xlfn.XLOOKUP(Pipeline_tbl[[#This Row],[Rep_ID]],Dim_Reps!A:A,Dim_Reps!B:B)</f>
        <v>Jamie Schmidt</v>
      </c>
      <c r="P409" t="str">
        <f>_xlfn.XLOOKUP(Pipeline_tbl[[#This Row],[Rep_ID]],Dim_Reps!A:A,Dim_Reps!C:C)</f>
        <v>SDR / Inside Sales Rep</v>
      </c>
      <c r="Q409" t="str">
        <f>_xlfn.XLOOKUP(Pipeline_tbl[[#This Row],[Rep_ID]],Dim_Reps!A:A,Dim_Reps!D:D)</f>
        <v>Inside Sales</v>
      </c>
      <c r="R409" t="str">
        <f>_xlfn.XLOOKUP(Pipeline_tbl[[#This Row],[Rep_ID]],Dim_Reps!A:A,Dim_Reps!E:E)</f>
        <v>APAC</v>
      </c>
      <c r="S409" t="str">
        <f>_xlfn.XLOOKUP(Pipeline_tbl[[#This Row],[Created_Date]],Dim_Date!A:A,Dim_Date!H:H)</f>
        <v>Sep 2024</v>
      </c>
      <c r="T409" t="str">
        <f>IF(Pipeline_tbl[[#This Row],[Closed_Date]]=0,"",(_xlfn.XLOOKUP(Pipeline_tbl[[#This Row],[Closed_Date]],Dim_Date!A:A,Dim_Date!H:H)))</f>
        <v>Oct 2024</v>
      </c>
      <c r="U409">
        <f>IF(Pipeline_tbl[[#This Row],[Closed_Date]]=0,"",Pipeline_tbl[[#This Row],[Closed_Date]]-Pipeline_tbl[[#This Row],[Created_Date]])</f>
        <v>20</v>
      </c>
    </row>
    <row r="410" spans="1:21" ht="15" customHeight="1" x14ac:dyDescent="0.2">
      <c r="A410" t="s">
        <v>716</v>
      </c>
      <c r="B410" t="s">
        <v>215</v>
      </c>
      <c r="C410" t="s">
        <v>52</v>
      </c>
      <c r="D410" s="49">
        <v>45552</v>
      </c>
      <c r="E410" s="49">
        <v>45554</v>
      </c>
      <c r="F410" s="49">
        <v>45557</v>
      </c>
      <c r="G410" s="49">
        <v>45561</v>
      </c>
      <c r="I410" s="49">
        <v>45567</v>
      </c>
      <c r="J410" t="s">
        <v>49</v>
      </c>
      <c r="K410" s="33">
        <v>2200</v>
      </c>
      <c r="L410" t="s">
        <v>64</v>
      </c>
      <c r="M410" t="str">
        <f>_xlfn.XLOOKUP(Pipeline_tbl[[#This Row],[Rep_ID]],Dim_Reps!A:A,Dim_Reps!K:K)</f>
        <v>EUR</v>
      </c>
      <c r="N410" s="33">
        <f>(_xlfn.XLOOKUP(Pipeline_tbl[[#This Row],[Rate_Code_Generalized]],Lookups!A:A,Lookups!B:B))*Pipeline_tbl[[#This Row],[Pipeline_Amount_USD]]</f>
        <v>2200</v>
      </c>
      <c r="O410" t="str">
        <f>_xlfn.XLOOKUP(Pipeline_tbl[[#This Row],[Rep_ID]],Dim_Reps!A:A,Dim_Reps!B:B)</f>
        <v>Jamie Schmidt</v>
      </c>
      <c r="P410" t="str">
        <f>_xlfn.XLOOKUP(Pipeline_tbl[[#This Row],[Rep_ID]],Dim_Reps!A:A,Dim_Reps!C:C)</f>
        <v>SDR / Inside Sales Rep</v>
      </c>
      <c r="Q410" t="str">
        <f>_xlfn.XLOOKUP(Pipeline_tbl[[#This Row],[Rep_ID]],Dim_Reps!A:A,Dim_Reps!D:D)</f>
        <v>Inside Sales</v>
      </c>
      <c r="R410" t="str">
        <f>_xlfn.XLOOKUP(Pipeline_tbl[[#This Row],[Rep_ID]],Dim_Reps!A:A,Dim_Reps!E:E)</f>
        <v>APAC</v>
      </c>
      <c r="S410" t="str">
        <f>_xlfn.XLOOKUP(Pipeline_tbl[[#This Row],[Created_Date]],Dim_Date!A:A,Dim_Date!H:H)</f>
        <v>Sep 2024</v>
      </c>
      <c r="T410" t="str">
        <f>IF(Pipeline_tbl[[#This Row],[Closed_Date]]=0,"",(_xlfn.XLOOKUP(Pipeline_tbl[[#This Row],[Closed_Date]],Dim_Date!A:A,Dim_Date!H:H)))</f>
        <v>Oct 2024</v>
      </c>
      <c r="U410">
        <f>IF(Pipeline_tbl[[#This Row],[Closed_Date]]=0,"",Pipeline_tbl[[#This Row],[Closed_Date]]-Pipeline_tbl[[#This Row],[Created_Date]])</f>
        <v>15</v>
      </c>
    </row>
    <row r="411" spans="1:21" ht="15" customHeight="1" x14ac:dyDescent="0.2">
      <c r="A411" t="s">
        <v>717</v>
      </c>
      <c r="B411" t="s">
        <v>215</v>
      </c>
      <c r="C411" t="s">
        <v>53</v>
      </c>
      <c r="D411" s="49">
        <v>45565</v>
      </c>
      <c r="E411" s="49">
        <v>45567</v>
      </c>
      <c r="F411" s="49">
        <v>45570</v>
      </c>
      <c r="G411" s="49">
        <v>45576</v>
      </c>
      <c r="I411" s="49">
        <v>45583</v>
      </c>
      <c r="J411" t="s">
        <v>49</v>
      </c>
      <c r="K411" s="33">
        <v>2400</v>
      </c>
      <c r="L411" t="s">
        <v>62</v>
      </c>
      <c r="M411" t="str">
        <f>_xlfn.XLOOKUP(Pipeline_tbl[[#This Row],[Rep_ID]],Dim_Reps!A:A,Dim_Reps!K:K)</f>
        <v>EUR</v>
      </c>
      <c r="N411" s="33">
        <f>(_xlfn.XLOOKUP(Pipeline_tbl[[#This Row],[Rate_Code_Generalized]],Lookups!A:A,Lookups!B:B))*Pipeline_tbl[[#This Row],[Pipeline_Amount_USD]]</f>
        <v>2400</v>
      </c>
      <c r="O411" t="str">
        <f>_xlfn.XLOOKUP(Pipeline_tbl[[#This Row],[Rep_ID]],Dim_Reps!A:A,Dim_Reps!B:B)</f>
        <v>Jamie Schmidt</v>
      </c>
      <c r="P411" t="str">
        <f>_xlfn.XLOOKUP(Pipeline_tbl[[#This Row],[Rep_ID]],Dim_Reps!A:A,Dim_Reps!C:C)</f>
        <v>SDR / Inside Sales Rep</v>
      </c>
      <c r="Q411" t="str">
        <f>_xlfn.XLOOKUP(Pipeline_tbl[[#This Row],[Rep_ID]],Dim_Reps!A:A,Dim_Reps!D:D)</f>
        <v>Inside Sales</v>
      </c>
      <c r="R411" t="str">
        <f>_xlfn.XLOOKUP(Pipeline_tbl[[#This Row],[Rep_ID]],Dim_Reps!A:A,Dim_Reps!E:E)</f>
        <v>APAC</v>
      </c>
      <c r="S411" t="str">
        <f>_xlfn.XLOOKUP(Pipeline_tbl[[#This Row],[Created_Date]],Dim_Date!A:A,Dim_Date!H:H)</f>
        <v>Sep 2024</v>
      </c>
      <c r="T411" t="str">
        <f>IF(Pipeline_tbl[[#This Row],[Closed_Date]]=0,"",(_xlfn.XLOOKUP(Pipeline_tbl[[#This Row],[Closed_Date]],Dim_Date!A:A,Dim_Date!H:H)))</f>
        <v>Oct 2024</v>
      </c>
      <c r="U411">
        <f>IF(Pipeline_tbl[[#This Row],[Closed_Date]]=0,"",Pipeline_tbl[[#This Row],[Closed_Date]]-Pipeline_tbl[[#This Row],[Created_Date]])</f>
        <v>18</v>
      </c>
    </row>
    <row r="412" spans="1:21" ht="15" customHeight="1" x14ac:dyDescent="0.2">
      <c r="A412" t="s">
        <v>718</v>
      </c>
      <c r="B412" t="s">
        <v>215</v>
      </c>
      <c r="C412" t="s">
        <v>55</v>
      </c>
      <c r="D412" s="49">
        <v>45563</v>
      </c>
      <c r="E412" s="49">
        <v>45565</v>
      </c>
      <c r="F412" s="49">
        <v>45569</v>
      </c>
      <c r="G412" s="49">
        <v>45576</v>
      </c>
      <c r="I412" s="49">
        <v>45584</v>
      </c>
      <c r="J412" t="s">
        <v>49</v>
      </c>
      <c r="K412" s="33">
        <v>4700</v>
      </c>
      <c r="L412" t="s">
        <v>64</v>
      </c>
      <c r="M412" t="str">
        <f>_xlfn.XLOOKUP(Pipeline_tbl[[#This Row],[Rep_ID]],Dim_Reps!A:A,Dim_Reps!K:K)</f>
        <v>EUR</v>
      </c>
      <c r="N412" s="33">
        <f>(_xlfn.XLOOKUP(Pipeline_tbl[[#This Row],[Rate_Code_Generalized]],Lookups!A:A,Lookups!B:B))*Pipeline_tbl[[#This Row],[Pipeline_Amount_USD]]</f>
        <v>4700</v>
      </c>
      <c r="O412" t="str">
        <f>_xlfn.XLOOKUP(Pipeline_tbl[[#This Row],[Rep_ID]],Dim_Reps!A:A,Dim_Reps!B:B)</f>
        <v>Jamie Schmidt</v>
      </c>
      <c r="P412" t="str">
        <f>_xlfn.XLOOKUP(Pipeline_tbl[[#This Row],[Rep_ID]],Dim_Reps!A:A,Dim_Reps!C:C)</f>
        <v>SDR / Inside Sales Rep</v>
      </c>
      <c r="Q412" t="str">
        <f>_xlfn.XLOOKUP(Pipeline_tbl[[#This Row],[Rep_ID]],Dim_Reps!A:A,Dim_Reps!D:D)</f>
        <v>Inside Sales</v>
      </c>
      <c r="R412" t="str">
        <f>_xlfn.XLOOKUP(Pipeline_tbl[[#This Row],[Rep_ID]],Dim_Reps!A:A,Dim_Reps!E:E)</f>
        <v>APAC</v>
      </c>
      <c r="S412" t="str">
        <f>_xlfn.XLOOKUP(Pipeline_tbl[[#This Row],[Created_Date]],Dim_Date!A:A,Dim_Date!H:H)</f>
        <v>Sep 2024</v>
      </c>
      <c r="T412" t="str">
        <f>IF(Pipeline_tbl[[#This Row],[Closed_Date]]=0,"",(_xlfn.XLOOKUP(Pipeline_tbl[[#This Row],[Closed_Date]],Dim_Date!A:A,Dim_Date!H:H)))</f>
        <v>Oct 2024</v>
      </c>
      <c r="U412">
        <f>IF(Pipeline_tbl[[#This Row],[Closed_Date]]=0,"",Pipeline_tbl[[#This Row],[Closed_Date]]-Pipeline_tbl[[#This Row],[Created_Date]])</f>
        <v>21</v>
      </c>
    </row>
    <row r="413" spans="1:21" ht="15" customHeight="1" x14ac:dyDescent="0.2">
      <c r="A413" t="s">
        <v>719</v>
      </c>
      <c r="B413" t="s">
        <v>215</v>
      </c>
      <c r="C413" t="s">
        <v>52</v>
      </c>
      <c r="D413" s="49">
        <v>45562</v>
      </c>
      <c r="E413" s="49">
        <v>45564</v>
      </c>
      <c r="I413" s="49">
        <v>45578</v>
      </c>
      <c r="J413" t="s">
        <v>49</v>
      </c>
      <c r="K413" s="33">
        <v>3700</v>
      </c>
      <c r="L413" t="s">
        <v>61</v>
      </c>
      <c r="M413" t="str">
        <f>_xlfn.XLOOKUP(Pipeline_tbl[[#This Row],[Rep_ID]],Dim_Reps!A:A,Dim_Reps!K:K)</f>
        <v>EUR</v>
      </c>
      <c r="N413" s="33">
        <f>(_xlfn.XLOOKUP(Pipeline_tbl[[#This Row],[Rate_Code_Generalized]],Lookups!A:A,Lookups!B:B))*Pipeline_tbl[[#This Row],[Pipeline_Amount_USD]]</f>
        <v>3700</v>
      </c>
      <c r="O413" t="str">
        <f>_xlfn.XLOOKUP(Pipeline_tbl[[#This Row],[Rep_ID]],Dim_Reps!A:A,Dim_Reps!B:B)</f>
        <v>Jamie Schmidt</v>
      </c>
      <c r="P413" t="str">
        <f>_xlfn.XLOOKUP(Pipeline_tbl[[#This Row],[Rep_ID]],Dim_Reps!A:A,Dim_Reps!C:C)</f>
        <v>SDR / Inside Sales Rep</v>
      </c>
      <c r="Q413" t="str">
        <f>_xlfn.XLOOKUP(Pipeline_tbl[[#This Row],[Rep_ID]],Dim_Reps!A:A,Dim_Reps!D:D)</f>
        <v>Inside Sales</v>
      </c>
      <c r="R413" t="str">
        <f>_xlfn.XLOOKUP(Pipeline_tbl[[#This Row],[Rep_ID]],Dim_Reps!A:A,Dim_Reps!E:E)</f>
        <v>APAC</v>
      </c>
      <c r="S413" t="str">
        <f>_xlfn.XLOOKUP(Pipeline_tbl[[#This Row],[Created_Date]],Dim_Date!A:A,Dim_Date!H:H)</f>
        <v>Sep 2024</v>
      </c>
      <c r="T413" t="str">
        <f>IF(Pipeline_tbl[[#This Row],[Closed_Date]]=0,"",(_xlfn.XLOOKUP(Pipeline_tbl[[#This Row],[Closed_Date]],Dim_Date!A:A,Dim_Date!H:H)))</f>
        <v>Oct 2024</v>
      </c>
      <c r="U413">
        <f>IF(Pipeline_tbl[[#This Row],[Closed_Date]]=0,"",Pipeline_tbl[[#This Row],[Closed_Date]]-Pipeline_tbl[[#This Row],[Created_Date]])</f>
        <v>16</v>
      </c>
    </row>
    <row r="414" spans="1:21" ht="15" customHeight="1" x14ac:dyDescent="0.2">
      <c r="A414" t="s">
        <v>720</v>
      </c>
      <c r="B414" t="s">
        <v>215</v>
      </c>
      <c r="C414" t="s">
        <v>53</v>
      </c>
      <c r="D414" s="49">
        <v>45552</v>
      </c>
      <c r="E414" s="49">
        <v>45553</v>
      </c>
      <c r="F414" s="49">
        <v>45556</v>
      </c>
      <c r="G414" s="49">
        <v>45560</v>
      </c>
      <c r="H414" s="49">
        <v>45564</v>
      </c>
      <c r="I414" s="49">
        <v>45566</v>
      </c>
      <c r="J414" t="s">
        <v>47</v>
      </c>
      <c r="K414" s="33">
        <v>5100</v>
      </c>
      <c r="M414" t="str">
        <f>_xlfn.XLOOKUP(Pipeline_tbl[[#This Row],[Rep_ID]],Dim_Reps!A:A,Dim_Reps!K:K)</f>
        <v>EUR</v>
      </c>
      <c r="N414" s="33">
        <f>(_xlfn.XLOOKUP(Pipeline_tbl[[#This Row],[Rate_Code_Generalized]],Lookups!A:A,Lookups!B:B))*Pipeline_tbl[[#This Row],[Pipeline_Amount_USD]]</f>
        <v>5100</v>
      </c>
      <c r="O414" t="str">
        <f>_xlfn.XLOOKUP(Pipeline_tbl[[#This Row],[Rep_ID]],Dim_Reps!A:A,Dim_Reps!B:B)</f>
        <v>Jamie Schmidt</v>
      </c>
      <c r="P414" t="str">
        <f>_xlfn.XLOOKUP(Pipeline_tbl[[#This Row],[Rep_ID]],Dim_Reps!A:A,Dim_Reps!C:C)</f>
        <v>SDR / Inside Sales Rep</v>
      </c>
      <c r="Q414" t="str">
        <f>_xlfn.XLOOKUP(Pipeline_tbl[[#This Row],[Rep_ID]],Dim_Reps!A:A,Dim_Reps!D:D)</f>
        <v>Inside Sales</v>
      </c>
      <c r="R414" t="str">
        <f>_xlfn.XLOOKUP(Pipeline_tbl[[#This Row],[Rep_ID]],Dim_Reps!A:A,Dim_Reps!E:E)</f>
        <v>APAC</v>
      </c>
      <c r="S414" t="str">
        <f>_xlfn.XLOOKUP(Pipeline_tbl[[#This Row],[Created_Date]],Dim_Date!A:A,Dim_Date!H:H)</f>
        <v>Sep 2024</v>
      </c>
      <c r="T414" t="str">
        <f>IF(Pipeline_tbl[[#This Row],[Closed_Date]]=0,"",(_xlfn.XLOOKUP(Pipeline_tbl[[#This Row],[Closed_Date]],Dim_Date!A:A,Dim_Date!H:H)))</f>
        <v>Oct 2024</v>
      </c>
      <c r="U414">
        <f>IF(Pipeline_tbl[[#This Row],[Closed_Date]]=0,"",Pipeline_tbl[[#This Row],[Closed_Date]]-Pipeline_tbl[[#This Row],[Created_Date]])</f>
        <v>14</v>
      </c>
    </row>
    <row r="415" spans="1:21" ht="15" customHeight="1" x14ac:dyDescent="0.2">
      <c r="A415" t="s">
        <v>721</v>
      </c>
      <c r="B415" t="s">
        <v>217</v>
      </c>
      <c r="C415" t="s">
        <v>55</v>
      </c>
      <c r="D415" s="49">
        <v>45565</v>
      </c>
      <c r="E415" s="49">
        <v>45567</v>
      </c>
      <c r="F415" s="49">
        <v>45570</v>
      </c>
      <c r="G415" s="49">
        <v>45576</v>
      </c>
      <c r="H415" s="49">
        <v>45580</v>
      </c>
      <c r="I415" s="49">
        <v>45583</v>
      </c>
      <c r="J415" t="s">
        <v>47</v>
      </c>
      <c r="K415" s="33">
        <v>4800</v>
      </c>
      <c r="M415" t="str">
        <f>_xlfn.XLOOKUP(Pipeline_tbl[[#This Row],[Rep_ID]],Dim_Reps!A:A,Dim_Reps!K:K)</f>
        <v>USD</v>
      </c>
      <c r="N415" s="33">
        <f>(_xlfn.XLOOKUP(Pipeline_tbl[[#This Row],[Rate_Code_Generalized]],Lookups!A:A,Lookups!B:B))*Pipeline_tbl[[#This Row],[Pipeline_Amount_USD]]</f>
        <v>5588.6399999999994</v>
      </c>
      <c r="O415" t="str">
        <f>_xlfn.XLOOKUP(Pipeline_tbl[[#This Row],[Rep_ID]],Dim_Reps!A:A,Dim_Reps!B:B)</f>
        <v>Priya Weber</v>
      </c>
      <c r="P415" t="str">
        <f>_xlfn.XLOOKUP(Pipeline_tbl[[#This Row],[Rep_ID]],Dim_Reps!A:A,Dim_Reps!C:C)</f>
        <v>SDR / Inside Sales Rep</v>
      </c>
      <c r="Q415" t="str">
        <f>_xlfn.XLOOKUP(Pipeline_tbl[[#This Row],[Rep_ID]],Dim_Reps!A:A,Dim_Reps!D:D)</f>
        <v>Inside Sales</v>
      </c>
      <c r="R415" t="str">
        <f>_xlfn.XLOOKUP(Pipeline_tbl[[#This Row],[Rep_ID]],Dim_Reps!A:A,Dim_Reps!E:E)</f>
        <v>NAMER</v>
      </c>
      <c r="S415" t="str">
        <f>_xlfn.XLOOKUP(Pipeline_tbl[[#This Row],[Created_Date]],Dim_Date!A:A,Dim_Date!H:H)</f>
        <v>Sep 2024</v>
      </c>
      <c r="T415" t="str">
        <f>IF(Pipeline_tbl[[#This Row],[Closed_Date]]=0,"",(_xlfn.XLOOKUP(Pipeline_tbl[[#This Row],[Closed_Date]],Dim_Date!A:A,Dim_Date!H:H)))</f>
        <v>Oct 2024</v>
      </c>
      <c r="U415">
        <f>IF(Pipeline_tbl[[#This Row],[Closed_Date]]=0,"",Pipeline_tbl[[#This Row],[Closed_Date]]-Pipeline_tbl[[#This Row],[Created_Date]])</f>
        <v>18</v>
      </c>
    </row>
    <row r="416" spans="1:21" ht="15" customHeight="1" x14ac:dyDescent="0.2">
      <c r="A416" t="s">
        <v>722</v>
      </c>
      <c r="B416" t="s">
        <v>217</v>
      </c>
      <c r="C416" t="s">
        <v>54</v>
      </c>
      <c r="D416" s="49">
        <v>45555</v>
      </c>
      <c r="E416" s="49">
        <v>45556</v>
      </c>
      <c r="F416" s="49">
        <v>45558</v>
      </c>
      <c r="G416" s="49">
        <v>45562</v>
      </c>
      <c r="H416" s="49">
        <v>45564</v>
      </c>
      <c r="I416" s="49">
        <v>45566</v>
      </c>
      <c r="J416" t="s">
        <v>47</v>
      </c>
      <c r="K416" s="33">
        <v>4400</v>
      </c>
      <c r="M416" t="str">
        <f>_xlfn.XLOOKUP(Pipeline_tbl[[#This Row],[Rep_ID]],Dim_Reps!A:A,Dim_Reps!K:K)</f>
        <v>USD</v>
      </c>
      <c r="N416" s="33">
        <f>(_xlfn.XLOOKUP(Pipeline_tbl[[#This Row],[Rate_Code_Generalized]],Lookups!A:A,Lookups!B:B))*Pipeline_tbl[[#This Row],[Pipeline_Amount_USD]]</f>
        <v>5122.9199999999992</v>
      </c>
      <c r="O416" t="str">
        <f>_xlfn.XLOOKUP(Pipeline_tbl[[#This Row],[Rep_ID]],Dim_Reps!A:A,Dim_Reps!B:B)</f>
        <v>Priya Weber</v>
      </c>
      <c r="P416" t="str">
        <f>_xlfn.XLOOKUP(Pipeline_tbl[[#This Row],[Rep_ID]],Dim_Reps!A:A,Dim_Reps!C:C)</f>
        <v>SDR / Inside Sales Rep</v>
      </c>
      <c r="Q416" t="str">
        <f>_xlfn.XLOOKUP(Pipeline_tbl[[#This Row],[Rep_ID]],Dim_Reps!A:A,Dim_Reps!D:D)</f>
        <v>Inside Sales</v>
      </c>
      <c r="R416" t="str">
        <f>_xlfn.XLOOKUP(Pipeline_tbl[[#This Row],[Rep_ID]],Dim_Reps!A:A,Dim_Reps!E:E)</f>
        <v>NAMER</v>
      </c>
      <c r="S416" t="str">
        <f>_xlfn.XLOOKUP(Pipeline_tbl[[#This Row],[Created_Date]],Dim_Date!A:A,Dim_Date!H:H)</f>
        <v>Sep 2024</v>
      </c>
      <c r="T416" t="str">
        <f>IF(Pipeline_tbl[[#This Row],[Closed_Date]]=0,"",(_xlfn.XLOOKUP(Pipeline_tbl[[#This Row],[Closed_Date]],Dim_Date!A:A,Dim_Date!H:H)))</f>
        <v>Oct 2024</v>
      </c>
      <c r="U416">
        <f>IF(Pipeline_tbl[[#This Row],[Closed_Date]]=0,"",Pipeline_tbl[[#This Row],[Closed_Date]]-Pipeline_tbl[[#This Row],[Created_Date]])</f>
        <v>11</v>
      </c>
    </row>
    <row r="417" spans="1:21" ht="15" customHeight="1" x14ac:dyDescent="0.2">
      <c r="A417" t="s">
        <v>723</v>
      </c>
      <c r="B417" t="s">
        <v>217</v>
      </c>
      <c r="C417" t="s">
        <v>52</v>
      </c>
      <c r="D417" s="49">
        <v>45546</v>
      </c>
      <c r="E417" s="49">
        <v>45548</v>
      </c>
      <c r="F417" s="49">
        <v>45552</v>
      </c>
      <c r="I417" s="49">
        <v>45567</v>
      </c>
      <c r="J417" t="s">
        <v>49</v>
      </c>
      <c r="K417" s="33">
        <v>3700</v>
      </c>
      <c r="L417" t="s">
        <v>61</v>
      </c>
      <c r="M417" t="str">
        <f>_xlfn.XLOOKUP(Pipeline_tbl[[#This Row],[Rep_ID]],Dim_Reps!A:A,Dim_Reps!K:K)</f>
        <v>USD</v>
      </c>
      <c r="N417" s="33">
        <f>(_xlfn.XLOOKUP(Pipeline_tbl[[#This Row],[Rate_Code_Generalized]],Lookups!A:A,Lookups!B:B))*Pipeline_tbl[[#This Row],[Pipeline_Amount_USD]]</f>
        <v>4307.91</v>
      </c>
      <c r="O417" t="str">
        <f>_xlfn.XLOOKUP(Pipeline_tbl[[#This Row],[Rep_ID]],Dim_Reps!A:A,Dim_Reps!B:B)</f>
        <v>Priya Weber</v>
      </c>
      <c r="P417" t="str">
        <f>_xlfn.XLOOKUP(Pipeline_tbl[[#This Row],[Rep_ID]],Dim_Reps!A:A,Dim_Reps!C:C)</f>
        <v>SDR / Inside Sales Rep</v>
      </c>
      <c r="Q417" t="str">
        <f>_xlfn.XLOOKUP(Pipeline_tbl[[#This Row],[Rep_ID]],Dim_Reps!A:A,Dim_Reps!D:D)</f>
        <v>Inside Sales</v>
      </c>
      <c r="R417" t="str">
        <f>_xlfn.XLOOKUP(Pipeline_tbl[[#This Row],[Rep_ID]],Dim_Reps!A:A,Dim_Reps!E:E)</f>
        <v>NAMER</v>
      </c>
      <c r="S417" t="str">
        <f>_xlfn.XLOOKUP(Pipeline_tbl[[#This Row],[Created_Date]],Dim_Date!A:A,Dim_Date!H:H)</f>
        <v>Sep 2024</v>
      </c>
      <c r="T417" t="str">
        <f>IF(Pipeline_tbl[[#This Row],[Closed_Date]]=0,"",(_xlfn.XLOOKUP(Pipeline_tbl[[#This Row],[Closed_Date]],Dim_Date!A:A,Dim_Date!H:H)))</f>
        <v>Oct 2024</v>
      </c>
      <c r="U417">
        <f>IF(Pipeline_tbl[[#This Row],[Closed_Date]]=0,"",Pipeline_tbl[[#This Row],[Closed_Date]]-Pipeline_tbl[[#This Row],[Created_Date]])</f>
        <v>21</v>
      </c>
    </row>
    <row r="418" spans="1:21" ht="15" customHeight="1" x14ac:dyDescent="0.2">
      <c r="A418" t="s">
        <v>724</v>
      </c>
      <c r="B418" t="s">
        <v>217</v>
      </c>
      <c r="C418" t="s">
        <v>53</v>
      </c>
      <c r="D418" s="49">
        <v>45541</v>
      </c>
      <c r="E418" s="49">
        <v>45544</v>
      </c>
      <c r="F418" s="49">
        <v>45549</v>
      </c>
      <c r="G418" s="49">
        <v>45557</v>
      </c>
      <c r="H418" s="49">
        <v>45564</v>
      </c>
      <c r="I418" s="49">
        <v>45568</v>
      </c>
      <c r="J418" t="s">
        <v>49</v>
      </c>
      <c r="K418" s="33">
        <v>4500</v>
      </c>
      <c r="L418" t="s">
        <v>60</v>
      </c>
      <c r="M418" t="str">
        <f>_xlfn.XLOOKUP(Pipeline_tbl[[#This Row],[Rep_ID]],Dim_Reps!A:A,Dim_Reps!K:K)</f>
        <v>USD</v>
      </c>
      <c r="N418" s="33">
        <f>(_xlfn.XLOOKUP(Pipeline_tbl[[#This Row],[Rate_Code_Generalized]],Lookups!A:A,Lookups!B:B))*Pipeline_tbl[[#This Row],[Pipeline_Amount_USD]]</f>
        <v>5239.3499999999995</v>
      </c>
      <c r="O418" t="str">
        <f>_xlfn.XLOOKUP(Pipeline_tbl[[#This Row],[Rep_ID]],Dim_Reps!A:A,Dim_Reps!B:B)</f>
        <v>Priya Weber</v>
      </c>
      <c r="P418" t="str">
        <f>_xlfn.XLOOKUP(Pipeline_tbl[[#This Row],[Rep_ID]],Dim_Reps!A:A,Dim_Reps!C:C)</f>
        <v>SDR / Inside Sales Rep</v>
      </c>
      <c r="Q418" t="str">
        <f>_xlfn.XLOOKUP(Pipeline_tbl[[#This Row],[Rep_ID]],Dim_Reps!A:A,Dim_Reps!D:D)</f>
        <v>Inside Sales</v>
      </c>
      <c r="R418" t="str">
        <f>_xlfn.XLOOKUP(Pipeline_tbl[[#This Row],[Rep_ID]],Dim_Reps!A:A,Dim_Reps!E:E)</f>
        <v>NAMER</v>
      </c>
      <c r="S418" t="str">
        <f>_xlfn.XLOOKUP(Pipeline_tbl[[#This Row],[Created_Date]],Dim_Date!A:A,Dim_Date!H:H)</f>
        <v>Sep 2024</v>
      </c>
      <c r="T418" t="str">
        <f>IF(Pipeline_tbl[[#This Row],[Closed_Date]]=0,"",(_xlfn.XLOOKUP(Pipeline_tbl[[#This Row],[Closed_Date]],Dim_Date!A:A,Dim_Date!H:H)))</f>
        <v>Oct 2024</v>
      </c>
      <c r="U418">
        <f>IF(Pipeline_tbl[[#This Row],[Closed_Date]]=0,"",Pipeline_tbl[[#This Row],[Closed_Date]]-Pipeline_tbl[[#This Row],[Created_Date]])</f>
        <v>27</v>
      </c>
    </row>
    <row r="419" spans="1:21" ht="15" customHeight="1" x14ac:dyDescent="0.2">
      <c r="A419" t="s">
        <v>725</v>
      </c>
      <c r="B419" t="s">
        <v>188</v>
      </c>
      <c r="C419" t="s">
        <v>55</v>
      </c>
      <c r="D419" s="49">
        <v>45544</v>
      </c>
      <c r="E419" s="49">
        <v>45549</v>
      </c>
      <c r="F419" s="49">
        <v>45558</v>
      </c>
      <c r="G419" s="49">
        <v>45573</v>
      </c>
      <c r="I419" s="49">
        <v>45592</v>
      </c>
      <c r="J419" t="s">
        <v>49</v>
      </c>
      <c r="K419" s="33">
        <v>86400</v>
      </c>
      <c r="L419" t="s">
        <v>60</v>
      </c>
      <c r="M419" t="str">
        <f>_xlfn.XLOOKUP(Pipeline_tbl[[#This Row],[Rep_ID]],Dim_Reps!A:A,Dim_Reps!K:K)</f>
        <v>EUR</v>
      </c>
      <c r="N419" s="33">
        <f>(_xlfn.XLOOKUP(Pipeline_tbl[[#This Row],[Rate_Code_Generalized]],Lookups!A:A,Lookups!B:B))*Pipeline_tbl[[#This Row],[Pipeline_Amount_USD]]</f>
        <v>86400</v>
      </c>
      <c r="O419" t="str">
        <f>_xlfn.XLOOKUP(Pipeline_tbl[[#This Row],[Rep_ID]],Dim_Reps!A:A,Dim_Reps!B:B)</f>
        <v>Jamie Santos</v>
      </c>
      <c r="P419" t="str">
        <f>_xlfn.XLOOKUP(Pipeline_tbl[[#This Row],[Rep_ID]],Dim_Reps!A:A,Dim_Reps!C:C)</f>
        <v>Enterprise AE</v>
      </c>
      <c r="Q419" t="str">
        <f>_xlfn.XLOOKUP(Pipeline_tbl[[#This Row],[Rep_ID]],Dim_Reps!A:A,Dim_Reps!D:D)</f>
        <v>Enterprise</v>
      </c>
      <c r="R419" t="str">
        <f>_xlfn.XLOOKUP(Pipeline_tbl[[#This Row],[Rep_ID]],Dim_Reps!A:A,Dim_Reps!E:E)</f>
        <v>APAC</v>
      </c>
      <c r="S419" t="str">
        <f>_xlfn.XLOOKUP(Pipeline_tbl[[#This Row],[Created_Date]],Dim_Date!A:A,Dim_Date!H:H)</f>
        <v>Sep 2024</v>
      </c>
      <c r="T419" t="str">
        <f>IF(Pipeline_tbl[[#This Row],[Closed_Date]]=0,"",(_xlfn.XLOOKUP(Pipeline_tbl[[#This Row],[Closed_Date]],Dim_Date!A:A,Dim_Date!H:H)))</f>
        <v>Oct 2024</v>
      </c>
      <c r="U419">
        <f>IF(Pipeline_tbl[[#This Row],[Closed_Date]]=0,"",Pipeline_tbl[[#This Row],[Closed_Date]]-Pipeline_tbl[[#This Row],[Created_Date]])</f>
        <v>48</v>
      </c>
    </row>
    <row r="420" spans="1:21" ht="15" customHeight="1" x14ac:dyDescent="0.2">
      <c r="A420" t="s">
        <v>726</v>
      </c>
      <c r="B420" t="s">
        <v>188</v>
      </c>
      <c r="C420" t="s">
        <v>53</v>
      </c>
      <c r="D420" s="49">
        <v>45542</v>
      </c>
      <c r="E420" s="49">
        <v>45547</v>
      </c>
      <c r="F420" s="49">
        <v>45558</v>
      </c>
      <c r="G420" s="49">
        <v>45574</v>
      </c>
      <c r="H420" s="49">
        <v>45587</v>
      </c>
      <c r="I420" s="49">
        <v>45595</v>
      </c>
      <c r="J420" t="s">
        <v>47</v>
      </c>
      <c r="K420" s="33">
        <v>45200</v>
      </c>
      <c r="M420" t="str">
        <f>_xlfn.XLOOKUP(Pipeline_tbl[[#This Row],[Rep_ID]],Dim_Reps!A:A,Dim_Reps!K:K)</f>
        <v>EUR</v>
      </c>
      <c r="N420" s="33">
        <f>(_xlfn.XLOOKUP(Pipeline_tbl[[#This Row],[Rate_Code_Generalized]],Lookups!A:A,Lookups!B:B))*Pipeline_tbl[[#This Row],[Pipeline_Amount_USD]]</f>
        <v>45200</v>
      </c>
      <c r="O420" t="str">
        <f>_xlfn.XLOOKUP(Pipeline_tbl[[#This Row],[Rep_ID]],Dim_Reps!A:A,Dim_Reps!B:B)</f>
        <v>Jamie Santos</v>
      </c>
      <c r="P420" t="str">
        <f>_xlfn.XLOOKUP(Pipeline_tbl[[#This Row],[Rep_ID]],Dim_Reps!A:A,Dim_Reps!C:C)</f>
        <v>Enterprise AE</v>
      </c>
      <c r="Q420" t="str">
        <f>_xlfn.XLOOKUP(Pipeline_tbl[[#This Row],[Rep_ID]],Dim_Reps!A:A,Dim_Reps!D:D)</f>
        <v>Enterprise</v>
      </c>
      <c r="R420" t="str">
        <f>_xlfn.XLOOKUP(Pipeline_tbl[[#This Row],[Rep_ID]],Dim_Reps!A:A,Dim_Reps!E:E)</f>
        <v>APAC</v>
      </c>
      <c r="S420" t="str">
        <f>_xlfn.XLOOKUP(Pipeline_tbl[[#This Row],[Created_Date]],Dim_Date!A:A,Dim_Date!H:H)</f>
        <v>Sep 2024</v>
      </c>
      <c r="T420" t="str">
        <f>IF(Pipeline_tbl[[#This Row],[Closed_Date]]=0,"",(_xlfn.XLOOKUP(Pipeline_tbl[[#This Row],[Closed_Date]],Dim_Date!A:A,Dim_Date!H:H)))</f>
        <v>Oct 2024</v>
      </c>
      <c r="U420">
        <f>IF(Pipeline_tbl[[#This Row],[Closed_Date]]=0,"",Pipeline_tbl[[#This Row],[Closed_Date]]-Pipeline_tbl[[#This Row],[Created_Date]])</f>
        <v>53</v>
      </c>
    </row>
    <row r="421" spans="1:21" ht="15" customHeight="1" x14ac:dyDescent="0.2">
      <c r="A421" t="s">
        <v>727</v>
      </c>
      <c r="B421" t="s">
        <v>221</v>
      </c>
      <c r="C421" t="s">
        <v>53</v>
      </c>
      <c r="D421" s="49">
        <v>45547</v>
      </c>
      <c r="E421" s="49">
        <v>45549</v>
      </c>
      <c r="F421" s="49">
        <v>45553</v>
      </c>
      <c r="G421" s="49">
        <v>45558</v>
      </c>
      <c r="H421" s="49">
        <v>45563</v>
      </c>
      <c r="I421" s="49">
        <v>45566</v>
      </c>
      <c r="J421" t="s">
        <v>49</v>
      </c>
      <c r="K421" s="33">
        <v>4800</v>
      </c>
      <c r="L421" t="s">
        <v>60</v>
      </c>
      <c r="M421" t="str">
        <f>_xlfn.XLOOKUP(Pipeline_tbl[[#This Row],[Rep_ID]],Dim_Reps!A:A,Dim_Reps!K:K)</f>
        <v>MXN</v>
      </c>
      <c r="N421" s="33">
        <f>(_xlfn.XLOOKUP(Pipeline_tbl[[#This Row],[Rate_Code_Generalized]],Lookups!A:A,Lookups!B:B))*Pipeline_tbl[[#This Row],[Pipeline_Amount_USD]]</f>
        <v>94716.96</v>
      </c>
      <c r="O421" t="str">
        <f>_xlfn.XLOOKUP(Pipeline_tbl[[#This Row],[Rep_ID]],Dim_Reps!A:A,Dim_Reps!B:B)</f>
        <v>Casey Muller</v>
      </c>
      <c r="P421" t="str">
        <f>_xlfn.XLOOKUP(Pipeline_tbl[[#This Row],[Rep_ID]],Dim_Reps!A:A,Dim_Reps!C:C)</f>
        <v>SDR / Inside Sales Rep</v>
      </c>
      <c r="Q421" t="str">
        <f>_xlfn.XLOOKUP(Pipeline_tbl[[#This Row],[Rep_ID]],Dim_Reps!A:A,Dim_Reps!D:D)</f>
        <v>Inside Sales</v>
      </c>
      <c r="R421" t="str">
        <f>_xlfn.XLOOKUP(Pipeline_tbl[[#This Row],[Rep_ID]],Dim_Reps!A:A,Dim_Reps!E:E)</f>
        <v>LATAM</v>
      </c>
      <c r="S421" t="str">
        <f>_xlfn.XLOOKUP(Pipeline_tbl[[#This Row],[Created_Date]],Dim_Date!A:A,Dim_Date!H:H)</f>
        <v>Sep 2024</v>
      </c>
      <c r="T421" t="str">
        <f>IF(Pipeline_tbl[[#This Row],[Closed_Date]]=0,"",(_xlfn.XLOOKUP(Pipeline_tbl[[#This Row],[Closed_Date]],Dim_Date!A:A,Dim_Date!H:H)))</f>
        <v>Oct 2024</v>
      </c>
      <c r="U421">
        <f>IF(Pipeline_tbl[[#This Row],[Closed_Date]]=0,"",Pipeline_tbl[[#This Row],[Closed_Date]]-Pipeline_tbl[[#This Row],[Created_Date]])</f>
        <v>19</v>
      </c>
    </row>
    <row r="422" spans="1:21" ht="15" customHeight="1" x14ac:dyDescent="0.2">
      <c r="A422" t="s">
        <v>728</v>
      </c>
      <c r="B422" t="s">
        <v>221</v>
      </c>
      <c r="C422" t="s">
        <v>56</v>
      </c>
      <c r="D422" s="49">
        <v>45558</v>
      </c>
      <c r="E422" s="49">
        <v>45560</v>
      </c>
      <c r="F422" s="49">
        <v>45563</v>
      </c>
      <c r="I422" s="49">
        <v>45575</v>
      </c>
      <c r="J422" t="s">
        <v>49</v>
      </c>
      <c r="K422" s="33">
        <v>4400</v>
      </c>
      <c r="L422" t="s">
        <v>61</v>
      </c>
      <c r="M422" t="str">
        <f>_xlfn.XLOOKUP(Pipeline_tbl[[#This Row],[Rep_ID]],Dim_Reps!A:A,Dim_Reps!K:K)</f>
        <v>MXN</v>
      </c>
      <c r="N422" s="33">
        <f>(_xlfn.XLOOKUP(Pipeline_tbl[[#This Row],[Rate_Code_Generalized]],Lookups!A:A,Lookups!B:B))*Pipeline_tbl[[#This Row],[Pipeline_Amount_USD]]</f>
        <v>86823.88</v>
      </c>
      <c r="O422" t="str">
        <f>_xlfn.XLOOKUP(Pipeline_tbl[[#This Row],[Rep_ID]],Dim_Reps!A:A,Dim_Reps!B:B)</f>
        <v>Casey Muller</v>
      </c>
      <c r="P422" t="str">
        <f>_xlfn.XLOOKUP(Pipeline_tbl[[#This Row],[Rep_ID]],Dim_Reps!A:A,Dim_Reps!C:C)</f>
        <v>SDR / Inside Sales Rep</v>
      </c>
      <c r="Q422" t="str">
        <f>_xlfn.XLOOKUP(Pipeline_tbl[[#This Row],[Rep_ID]],Dim_Reps!A:A,Dim_Reps!D:D)</f>
        <v>Inside Sales</v>
      </c>
      <c r="R422" t="str">
        <f>_xlfn.XLOOKUP(Pipeline_tbl[[#This Row],[Rep_ID]],Dim_Reps!A:A,Dim_Reps!E:E)</f>
        <v>LATAM</v>
      </c>
      <c r="S422" t="str">
        <f>_xlfn.XLOOKUP(Pipeline_tbl[[#This Row],[Created_Date]],Dim_Date!A:A,Dim_Date!H:H)</f>
        <v>Sep 2024</v>
      </c>
      <c r="T422" t="str">
        <f>IF(Pipeline_tbl[[#This Row],[Closed_Date]]=0,"",(_xlfn.XLOOKUP(Pipeline_tbl[[#This Row],[Closed_Date]],Dim_Date!A:A,Dim_Date!H:H)))</f>
        <v>Oct 2024</v>
      </c>
      <c r="U422">
        <f>IF(Pipeline_tbl[[#This Row],[Closed_Date]]=0,"",Pipeline_tbl[[#This Row],[Closed_Date]]-Pipeline_tbl[[#This Row],[Created_Date]])</f>
        <v>17</v>
      </c>
    </row>
    <row r="423" spans="1:21" ht="15" customHeight="1" x14ac:dyDescent="0.2">
      <c r="A423" t="s">
        <v>729</v>
      </c>
      <c r="B423" t="s">
        <v>221</v>
      </c>
      <c r="C423" t="s">
        <v>52</v>
      </c>
      <c r="D423" s="49">
        <v>45565</v>
      </c>
      <c r="E423" s="49">
        <v>45566</v>
      </c>
      <c r="F423" s="49">
        <v>45569</v>
      </c>
      <c r="I423" s="49">
        <v>45579</v>
      </c>
      <c r="J423" t="s">
        <v>49</v>
      </c>
      <c r="K423" s="33">
        <v>3600</v>
      </c>
      <c r="L423" t="s">
        <v>60</v>
      </c>
      <c r="M423" t="str">
        <f>_xlfn.XLOOKUP(Pipeline_tbl[[#This Row],[Rep_ID]],Dim_Reps!A:A,Dim_Reps!K:K)</f>
        <v>MXN</v>
      </c>
      <c r="N423" s="33">
        <f>(_xlfn.XLOOKUP(Pipeline_tbl[[#This Row],[Rate_Code_Generalized]],Lookups!A:A,Lookups!B:B))*Pipeline_tbl[[#This Row],[Pipeline_Amount_USD]]</f>
        <v>71037.72</v>
      </c>
      <c r="O423" t="str">
        <f>_xlfn.XLOOKUP(Pipeline_tbl[[#This Row],[Rep_ID]],Dim_Reps!A:A,Dim_Reps!B:B)</f>
        <v>Casey Muller</v>
      </c>
      <c r="P423" t="str">
        <f>_xlfn.XLOOKUP(Pipeline_tbl[[#This Row],[Rep_ID]],Dim_Reps!A:A,Dim_Reps!C:C)</f>
        <v>SDR / Inside Sales Rep</v>
      </c>
      <c r="Q423" t="str">
        <f>_xlfn.XLOOKUP(Pipeline_tbl[[#This Row],[Rep_ID]],Dim_Reps!A:A,Dim_Reps!D:D)</f>
        <v>Inside Sales</v>
      </c>
      <c r="R423" t="str">
        <f>_xlfn.XLOOKUP(Pipeline_tbl[[#This Row],[Rep_ID]],Dim_Reps!A:A,Dim_Reps!E:E)</f>
        <v>LATAM</v>
      </c>
      <c r="S423" t="str">
        <f>_xlfn.XLOOKUP(Pipeline_tbl[[#This Row],[Created_Date]],Dim_Date!A:A,Dim_Date!H:H)</f>
        <v>Sep 2024</v>
      </c>
      <c r="T423" t="str">
        <f>IF(Pipeline_tbl[[#This Row],[Closed_Date]]=0,"",(_xlfn.XLOOKUP(Pipeline_tbl[[#This Row],[Closed_Date]],Dim_Date!A:A,Dim_Date!H:H)))</f>
        <v>Oct 2024</v>
      </c>
      <c r="U423">
        <f>IF(Pipeline_tbl[[#This Row],[Closed_Date]]=0,"",Pipeline_tbl[[#This Row],[Closed_Date]]-Pipeline_tbl[[#This Row],[Created_Date]])</f>
        <v>14</v>
      </c>
    </row>
    <row r="424" spans="1:21" ht="15" customHeight="1" x14ac:dyDescent="0.2">
      <c r="A424" t="s">
        <v>730</v>
      </c>
      <c r="B424" t="s">
        <v>221</v>
      </c>
      <c r="C424" t="s">
        <v>52</v>
      </c>
      <c r="D424" s="49">
        <v>45564</v>
      </c>
      <c r="E424" s="49">
        <v>45566</v>
      </c>
      <c r="F424" s="49">
        <v>45570</v>
      </c>
      <c r="G424" s="49">
        <v>45576</v>
      </c>
      <c r="H424" s="49">
        <v>45581</v>
      </c>
      <c r="I424" s="49">
        <v>45584</v>
      </c>
      <c r="J424" t="s">
        <v>47</v>
      </c>
      <c r="K424" s="33">
        <v>4300</v>
      </c>
      <c r="M424" t="str">
        <f>_xlfn.XLOOKUP(Pipeline_tbl[[#This Row],[Rep_ID]],Dim_Reps!A:A,Dim_Reps!K:K)</f>
        <v>MXN</v>
      </c>
      <c r="N424" s="33">
        <f>(_xlfn.XLOOKUP(Pipeline_tbl[[#This Row],[Rate_Code_Generalized]],Lookups!A:A,Lookups!B:B))*Pipeline_tbl[[#This Row],[Pipeline_Amount_USD]]</f>
        <v>84850.61</v>
      </c>
      <c r="O424" t="str">
        <f>_xlfn.XLOOKUP(Pipeline_tbl[[#This Row],[Rep_ID]],Dim_Reps!A:A,Dim_Reps!B:B)</f>
        <v>Casey Muller</v>
      </c>
      <c r="P424" t="str">
        <f>_xlfn.XLOOKUP(Pipeline_tbl[[#This Row],[Rep_ID]],Dim_Reps!A:A,Dim_Reps!C:C)</f>
        <v>SDR / Inside Sales Rep</v>
      </c>
      <c r="Q424" t="str">
        <f>_xlfn.XLOOKUP(Pipeline_tbl[[#This Row],[Rep_ID]],Dim_Reps!A:A,Dim_Reps!D:D)</f>
        <v>Inside Sales</v>
      </c>
      <c r="R424" t="str">
        <f>_xlfn.XLOOKUP(Pipeline_tbl[[#This Row],[Rep_ID]],Dim_Reps!A:A,Dim_Reps!E:E)</f>
        <v>LATAM</v>
      </c>
      <c r="S424" t="str">
        <f>_xlfn.XLOOKUP(Pipeline_tbl[[#This Row],[Created_Date]],Dim_Date!A:A,Dim_Date!H:H)</f>
        <v>Sep 2024</v>
      </c>
      <c r="T424" t="str">
        <f>IF(Pipeline_tbl[[#This Row],[Closed_Date]]=0,"",(_xlfn.XLOOKUP(Pipeline_tbl[[#This Row],[Closed_Date]],Dim_Date!A:A,Dim_Date!H:H)))</f>
        <v>Oct 2024</v>
      </c>
      <c r="U424">
        <f>IF(Pipeline_tbl[[#This Row],[Closed_Date]]=0,"",Pipeline_tbl[[#This Row],[Closed_Date]]-Pipeline_tbl[[#This Row],[Created_Date]])</f>
        <v>20</v>
      </c>
    </row>
    <row r="425" spans="1:21" ht="15" customHeight="1" x14ac:dyDescent="0.2">
      <c r="A425" t="s">
        <v>731</v>
      </c>
      <c r="B425" t="s">
        <v>221</v>
      </c>
      <c r="C425" t="s">
        <v>56</v>
      </c>
      <c r="D425" s="49">
        <v>45565</v>
      </c>
      <c r="E425" s="49">
        <v>45565</v>
      </c>
      <c r="F425" s="49">
        <v>45567</v>
      </c>
      <c r="G425" s="49">
        <v>45568</v>
      </c>
      <c r="H425" s="49">
        <v>45569</v>
      </c>
      <c r="I425" s="49">
        <v>45570</v>
      </c>
      <c r="J425" t="s">
        <v>47</v>
      </c>
      <c r="K425" s="33">
        <v>3300</v>
      </c>
      <c r="M425" t="str">
        <f>_xlfn.XLOOKUP(Pipeline_tbl[[#This Row],[Rep_ID]],Dim_Reps!A:A,Dim_Reps!K:K)</f>
        <v>MXN</v>
      </c>
      <c r="N425" s="33">
        <f>(_xlfn.XLOOKUP(Pipeline_tbl[[#This Row],[Rate_Code_Generalized]],Lookups!A:A,Lookups!B:B))*Pipeline_tbl[[#This Row],[Pipeline_Amount_USD]]</f>
        <v>65117.91</v>
      </c>
      <c r="O425" t="str">
        <f>_xlfn.XLOOKUP(Pipeline_tbl[[#This Row],[Rep_ID]],Dim_Reps!A:A,Dim_Reps!B:B)</f>
        <v>Casey Muller</v>
      </c>
      <c r="P425" t="str">
        <f>_xlfn.XLOOKUP(Pipeline_tbl[[#This Row],[Rep_ID]],Dim_Reps!A:A,Dim_Reps!C:C)</f>
        <v>SDR / Inside Sales Rep</v>
      </c>
      <c r="Q425" t="str">
        <f>_xlfn.XLOOKUP(Pipeline_tbl[[#This Row],[Rep_ID]],Dim_Reps!A:A,Dim_Reps!D:D)</f>
        <v>Inside Sales</v>
      </c>
      <c r="R425" t="str">
        <f>_xlfn.XLOOKUP(Pipeline_tbl[[#This Row],[Rep_ID]],Dim_Reps!A:A,Dim_Reps!E:E)</f>
        <v>LATAM</v>
      </c>
      <c r="S425" t="str">
        <f>_xlfn.XLOOKUP(Pipeline_tbl[[#This Row],[Created_Date]],Dim_Date!A:A,Dim_Date!H:H)</f>
        <v>Sep 2024</v>
      </c>
      <c r="T425" t="str">
        <f>IF(Pipeline_tbl[[#This Row],[Closed_Date]]=0,"",(_xlfn.XLOOKUP(Pipeline_tbl[[#This Row],[Closed_Date]],Dim_Date!A:A,Dim_Date!H:H)))</f>
        <v>Oct 2024</v>
      </c>
      <c r="U425">
        <f>IF(Pipeline_tbl[[#This Row],[Closed_Date]]=0,"",Pipeline_tbl[[#This Row],[Closed_Date]]-Pipeline_tbl[[#This Row],[Created_Date]])</f>
        <v>5</v>
      </c>
    </row>
    <row r="426" spans="1:21" ht="15" customHeight="1" x14ac:dyDescent="0.2">
      <c r="A426" t="s">
        <v>732</v>
      </c>
      <c r="B426" t="s">
        <v>221</v>
      </c>
      <c r="C426" t="s">
        <v>56</v>
      </c>
      <c r="D426" s="49">
        <v>45551</v>
      </c>
      <c r="E426" s="49">
        <v>45554</v>
      </c>
      <c r="F426" s="49">
        <v>45559</v>
      </c>
      <c r="G426" s="49">
        <v>45567</v>
      </c>
      <c r="H426" s="49">
        <v>45574</v>
      </c>
      <c r="I426" s="49">
        <v>45578</v>
      </c>
      <c r="J426" t="s">
        <v>47</v>
      </c>
      <c r="K426" s="33">
        <v>2900</v>
      </c>
      <c r="M426" t="str">
        <f>_xlfn.XLOOKUP(Pipeline_tbl[[#This Row],[Rep_ID]],Dim_Reps!A:A,Dim_Reps!K:K)</f>
        <v>MXN</v>
      </c>
      <c r="N426" s="33">
        <f>(_xlfn.XLOOKUP(Pipeline_tbl[[#This Row],[Rate_Code_Generalized]],Lookups!A:A,Lookups!B:B))*Pipeline_tbl[[#This Row],[Pipeline_Amount_USD]]</f>
        <v>57224.83</v>
      </c>
      <c r="O426" t="str">
        <f>_xlfn.XLOOKUP(Pipeline_tbl[[#This Row],[Rep_ID]],Dim_Reps!A:A,Dim_Reps!B:B)</f>
        <v>Casey Muller</v>
      </c>
      <c r="P426" t="str">
        <f>_xlfn.XLOOKUP(Pipeline_tbl[[#This Row],[Rep_ID]],Dim_Reps!A:A,Dim_Reps!C:C)</f>
        <v>SDR / Inside Sales Rep</v>
      </c>
      <c r="Q426" t="str">
        <f>_xlfn.XLOOKUP(Pipeline_tbl[[#This Row],[Rep_ID]],Dim_Reps!A:A,Dim_Reps!D:D)</f>
        <v>Inside Sales</v>
      </c>
      <c r="R426" t="str">
        <f>_xlfn.XLOOKUP(Pipeline_tbl[[#This Row],[Rep_ID]],Dim_Reps!A:A,Dim_Reps!E:E)</f>
        <v>LATAM</v>
      </c>
      <c r="S426" t="str">
        <f>_xlfn.XLOOKUP(Pipeline_tbl[[#This Row],[Created_Date]],Dim_Date!A:A,Dim_Date!H:H)</f>
        <v>Sep 2024</v>
      </c>
      <c r="T426" t="str">
        <f>IF(Pipeline_tbl[[#This Row],[Closed_Date]]=0,"",(_xlfn.XLOOKUP(Pipeline_tbl[[#This Row],[Closed_Date]],Dim_Date!A:A,Dim_Date!H:H)))</f>
        <v>Oct 2024</v>
      </c>
      <c r="U426">
        <f>IF(Pipeline_tbl[[#This Row],[Closed_Date]]=0,"",Pipeline_tbl[[#This Row],[Closed_Date]]-Pipeline_tbl[[#This Row],[Created_Date]])</f>
        <v>27</v>
      </c>
    </row>
    <row r="427" spans="1:21" ht="15" customHeight="1" x14ac:dyDescent="0.2">
      <c r="A427" t="s">
        <v>733</v>
      </c>
      <c r="B427" t="s">
        <v>221</v>
      </c>
      <c r="C427" t="s">
        <v>53</v>
      </c>
      <c r="D427" s="49">
        <v>45549</v>
      </c>
      <c r="E427" s="49">
        <v>45552</v>
      </c>
      <c r="F427" s="49">
        <v>45558</v>
      </c>
      <c r="G427" s="49">
        <v>45567</v>
      </c>
      <c r="I427" s="49">
        <v>45579</v>
      </c>
      <c r="J427" t="s">
        <v>49</v>
      </c>
      <c r="K427" s="33">
        <v>5500</v>
      </c>
      <c r="L427" t="s">
        <v>61</v>
      </c>
      <c r="M427" t="str">
        <f>_xlfn.XLOOKUP(Pipeline_tbl[[#This Row],[Rep_ID]],Dim_Reps!A:A,Dim_Reps!K:K)</f>
        <v>MXN</v>
      </c>
      <c r="N427" s="33">
        <f>(_xlfn.XLOOKUP(Pipeline_tbl[[#This Row],[Rate_Code_Generalized]],Lookups!A:A,Lookups!B:B))*Pipeline_tbl[[#This Row],[Pipeline_Amount_USD]]</f>
        <v>108529.85</v>
      </c>
      <c r="O427" t="str">
        <f>_xlfn.XLOOKUP(Pipeline_tbl[[#This Row],[Rep_ID]],Dim_Reps!A:A,Dim_Reps!B:B)</f>
        <v>Casey Muller</v>
      </c>
      <c r="P427" t="str">
        <f>_xlfn.XLOOKUP(Pipeline_tbl[[#This Row],[Rep_ID]],Dim_Reps!A:A,Dim_Reps!C:C)</f>
        <v>SDR / Inside Sales Rep</v>
      </c>
      <c r="Q427" t="str">
        <f>_xlfn.XLOOKUP(Pipeline_tbl[[#This Row],[Rep_ID]],Dim_Reps!A:A,Dim_Reps!D:D)</f>
        <v>Inside Sales</v>
      </c>
      <c r="R427" t="str">
        <f>_xlfn.XLOOKUP(Pipeline_tbl[[#This Row],[Rep_ID]],Dim_Reps!A:A,Dim_Reps!E:E)</f>
        <v>LATAM</v>
      </c>
      <c r="S427" t="str">
        <f>_xlfn.XLOOKUP(Pipeline_tbl[[#This Row],[Created_Date]],Dim_Date!A:A,Dim_Date!H:H)</f>
        <v>Sep 2024</v>
      </c>
      <c r="T427" t="str">
        <f>IF(Pipeline_tbl[[#This Row],[Closed_Date]]=0,"",(_xlfn.XLOOKUP(Pipeline_tbl[[#This Row],[Closed_Date]],Dim_Date!A:A,Dim_Date!H:H)))</f>
        <v>Oct 2024</v>
      </c>
      <c r="U427">
        <f>IF(Pipeline_tbl[[#This Row],[Closed_Date]]=0,"",Pipeline_tbl[[#This Row],[Closed_Date]]-Pipeline_tbl[[#This Row],[Created_Date]])</f>
        <v>30</v>
      </c>
    </row>
    <row r="428" spans="1:21" ht="15" customHeight="1" x14ac:dyDescent="0.2">
      <c r="A428" t="s">
        <v>734</v>
      </c>
      <c r="B428" t="s">
        <v>259</v>
      </c>
      <c r="C428" t="s">
        <v>53</v>
      </c>
      <c r="D428" s="49">
        <v>45547</v>
      </c>
      <c r="E428" s="49">
        <v>45550</v>
      </c>
      <c r="F428" s="49">
        <v>45555</v>
      </c>
      <c r="G428" s="49">
        <v>45564</v>
      </c>
      <c r="H428" s="49">
        <v>45571</v>
      </c>
      <c r="I428" s="49">
        <v>45575</v>
      </c>
      <c r="J428" t="s">
        <v>49</v>
      </c>
      <c r="K428" s="33">
        <v>12600</v>
      </c>
      <c r="L428" t="s">
        <v>63</v>
      </c>
      <c r="M428" t="str">
        <f>_xlfn.XLOOKUP(Pipeline_tbl[[#This Row],[Rep_ID]],Dim_Reps!A:A,Dim_Reps!K:K)</f>
        <v>EUR</v>
      </c>
      <c r="N428" s="33">
        <f>(_xlfn.XLOOKUP(Pipeline_tbl[[#This Row],[Rate_Code_Generalized]],Lookups!A:A,Lookups!B:B))*Pipeline_tbl[[#This Row],[Pipeline_Amount_USD]]</f>
        <v>12600</v>
      </c>
      <c r="O428" t="str">
        <f>_xlfn.XLOOKUP(Pipeline_tbl[[#This Row],[Rep_ID]],Dim_Reps!A:A,Dim_Reps!B:B)</f>
        <v>Felix Okafor</v>
      </c>
      <c r="P428" t="str">
        <f>_xlfn.XLOOKUP(Pipeline_tbl[[#This Row],[Rep_ID]],Dim_Reps!A:A,Dim_Reps!C:C)</f>
        <v>Mid-Market AE</v>
      </c>
      <c r="Q428" t="str">
        <f>_xlfn.XLOOKUP(Pipeline_tbl[[#This Row],[Rep_ID]],Dim_Reps!A:A,Dim_Reps!D:D)</f>
        <v>Mid-Market</v>
      </c>
      <c r="R428" t="str">
        <f>_xlfn.XLOOKUP(Pipeline_tbl[[#This Row],[Rep_ID]],Dim_Reps!A:A,Dim_Reps!E:E)</f>
        <v>EMEA</v>
      </c>
      <c r="S428" t="str">
        <f>_xlfn.XLOOKUP(Pipeline_tbl[[#This Row],[Created_Date]],Dim_Date!A:A,Dim_Date!H:H)</f>
        <v>Sep 2024</v>
      </c>
      <c r="T428" t="str">
        <f>IF(Pipeline_tbl[[#This Row],[Closed_Date]]=0,"",(_xlfn.XLOOKUP(Pipeline_tbl[[#This Row],[Closed_Date]],Dim_Date!A:A,Dim_Date!H:H)))</f>
        <v>Oct 2024</v>
      </c>
      <c r="U428">
        <f>IF(Pipeline_tbl[[#This Row],[Closed_Date]]=0,"",Pipeline_tbl[[#This Row],[Closed_Date]]-Pipeline_tbl[[#This Row],[Created_Date]])</f>
        <v>28</v>
      </c>
    </row>
    <row r="429" spans="1:21" ht="15" customHeight="1" x14ac:dyDescent="0.2">
      <c r="A429" t="s">
        <v>735</v>
      </c>
      <c r="B429" t="s">
        <v>259</v>
      </c>
      <c r="C429" t="s">
        <v>52</v>
      </c>
      <c r="D429" s="49">
        <v>45552</v>
      </c>
      <c r="E429" s="49">
        <v>45555</v>
      </c>
      <c r="F429" s="49">
        <v>45560</v>
      </c>
      <c r="I429" s="49">
        <v>45580</v>
      </c>
      <c r="J429" t="s">
        <v>49</v>
      </c>
      <c r="K429" s="33">
        <v>6800</v>
      </c>
      <c r="L429" t="s">
        <v>61</v>
      </c>
      <c r="M429" t="str">
        <f>_xlfn.XLOOKUP(Pipeline_tbl[[#This Row],[Rep_ID]],Dim_Reps!A:A,Dim_Reps!K:K)</f>
        <v>EUR</v>
      </c>
      <c r="N429" s="33">
        <f>(_xlfn.XLOOKUP(Pipeline_tbl[[#This Row],[Rate_Code_Generalized]],Lookups!A:A,Lookups!B:B))*Pipeline_tbl[[#This Row],[Pipeline_Amount_USD]]</f>
        <v>6800</v>
      </c>
      <c r="O429" t="str">
        <f>_xlfn.XLOOKUP(Pipeline_tbl[[#This Row],[Rep_ID]],Dim_Reps!A:A,Dim_Reps!B:B)</f>
        <v>Felix Okafor</v>
      </c>
      <c r="P429" t="str">
        <f>_xlfn.XLOOKUP(Pipeline_tbl[[#This Row],[Rep_ID]],Dim_Reps!A:A,Dim_Reps!C:C)</f>
        <v>Mid-Market AE</v>
      </c>
      <c r="Q429" t="str">
        <f>_xlfn.XLOOKUP(Pipeline_tbl[[#This Row],[Rep_ID]],Dim_Reps!A:A,Dim_Reps!D:D)</f>
        <v>Mid-Market</v>
      </c>
      <c r="R429" t="str">
        <f>_xlfn.XLOOKUP(Pipeline_tbl[[#This Row],[Rep_ID]],Dim_Reps!A:A,Dim_Reps!E:E)</f>
        <v>EMEA</v>
      </c>
      <c r="S429" t="str">
        <f>_xlfn.XLOOKUP(Pipeline_tbl[[#This Row],[Created_Date]],Dim_Date!A:A,Dim_Date!H:H)</f>
        <v>Sep 2024</v>
      </c>
      <c r="T429" t="str">
        <f>IF(Pipeline_tbl[[#This Row],[Closed_Date]]=0,"",(_xlfn.XLOOKUP(Pipeline_tbl[[#This Row],[Closed_Date]],Dim_Date!A:A,Dim_Date!H:H)))</f>
        <v>Oct 2024</v>
      </c>
      <c r="U429">
        <f>IF(Pipeline_tbl[[#This Row],[Closed_Date]]=0,"",Pipeline_tbl[[#This Row],[Closed_Date]]-Pipeline_tbl[[#This Row],[Created_Date]])</f>
        <v>28</v>
      </c>
    </row>
    <row r="430" spans="1:21" ht="15" customHeight="1" x14ac:dyDescent="0.2">
      <c r="A430" t="s">
        <v>736</v>
      </c>
      <c r="B430" t="s">
        <v>259</v>
      </c>
      <c r="C430" t="s">
        <v>53</v>
      </c>
      <c r="D430" s="49">
        <v>45564</v>
      </c>
      <c r="E430" s="49">
        <v>45567</v>
      </c>
      <c r="F430" s="49">
        <v>45573</v>
      </c>
      <c r="G430" s="49">
        <v>45581</v>
      </c>
      <c r="H430" s="49">
        <v>45589</v>
      </c>
      <c r="I430" s="49">
        <v>45593</v>
      </c>
      <c r="J430" t="s">
        <v>47</v>
      </c>
      <c r="K430" s="33">
        <v>5500</v>
      </c>
      <c r="M430" t="str">
        <f>_xlfn.XLOOKUP(Pipeline_tbl[[#This Row],[Rep_ID]],Dim_Reps!A:A,Dim_Reps!K:K)</f>
        <v>EUR</v>
      </c>
      <c r="N430" s="33">
        <f>(_xlfn.XLOOKUP(Pipeline_tbl[[#This Row],[Rate_Code_Generalized]],Lookups!A:A,Lookups!B:B))*Pipeline_tbl[[#This Row],[Pipeline_Amount_USD]]</f>
        <v>5500</v>
      </c>
      <c r="O430" t="str">
        <f>_xlfn.XLOOKUP(Pipeline_tbl[[#This Row],[Rep_ID]],Dim_Reps!A:A,Dim_Reps!B:B)</f>
        <v>Felix Okafor</v>
      </c>
      <c r="P430" t="str">
        <f>_xlfn.XLOOKUP(Pipeline_tbl[[#This Row],[Rep_ID]],Dim_Reps!A:A,Dim_Reps!C:C)</f>
        <v>Mid-Market AE</v>
      </c>
      <c r="Q430" t="str">
        <f>_xlfn.XLOOKUP(Pipeline_tbl[[#This Row],[Rep_ID]],Dim_Reps!A:A,Dim_Reps!D:D)</f>
        <v>Mid-Market</v>
      </c>
      <c r="R430" t="str">
        <f>_xlfn.XLOOKUP(Pipeline_tbl[[#This Row],[Rep_ID]],Dim_Reps!A:A,Dim_Reps!E:E)</f>
        <v>EMEA</v>
      </c>
      <c r="S430" t="str">
        <f>_xlfn.XLOOKUP(Pipeline_tbl[[#This Row],[Created_Date]],Dim_Date!A:A,Dim_Date!H:H)</f>
        <v>Sep 2024</v>
      </c>
      <c r="T430" t="str">
        <f>IF(Pipeline_tbl[[#This Row],[Closed_Date]]=0,"",(_xlfn.XLOOKUP(Pipeline_tbl[[#This Row],[Closed_Date]],Dim_Date!A:A,Dim_Date!H:H)))</f>
        <v>Oct 2024</v>
      </c>
      <c r="U430">
        <f>IF(Pipeline_tbl[[#This Row],[Closed_Date]]=0,"",Pipeline_tbl[[#This Row],[Closed_Date]]-Pipeline_tbl[[#This Row],[Created_Date]])</f>
        <v>29</v>
      </c>
    </row>
    <row r="431" spans="1:21" ht="15" customHeight="1" x14ac:dyDescent="0.2">
      <c r="A431" t="s">
        <v>737</v>
      </c>
      <c r="B431" t="s">
        <v>259</v>
      </c>
      <c r="C431" t="s">
        <v>52</v>
      </c>
      <c r="D431" s="49">
        <v>45550</v>
      </c>
      <c r="E431" s="49">
        <v>45553</v>
      </c>
      <c r="F431" s="49">
        <v>45560</v>
      </c>
      <c r="G431" s="49">
        <v>45569</v>
      </c>
      <c r="H431" s="49">
        <v>45577</v>
      </c>
      <c r="I431" s="49">
        <v>45582</v>
      </c>
      <c r="J431" t="s">
        <v>47</v>
      </c>
      <c r="K431" s="33">
        <v>12300</v>
      </c>
      <c r="M431" t="str">
        <f>_xlfn.XLOOKUP(Pipeline_tbl[[#This Row],[Rep_ID]],Dim_Reps!A:A,Dim_Reps!K:K)</f>
        <v>EUR</v>
      </c>
      <c r="N431" s="33">
        <f>(_xlfn.XLOOKUP(Pipeline_tbl[[#This Row],[Rate_Code_Generalized]],Lookups!A:A,Lookups!B:B))*Pipeline_tbl[[#This Row],[Pipeline_Amount_USD]]</f>
        <v>12300</v>
      </c>
      <c r="O431" t="str">
        <f>_xlfn.XLOOKUP(Pipeline_tbl[[#This Row],[Rep_ID]],Dim_Reps!A:A,Dim_Reps!B:B)</f>
        <v>Felix Okafor</v>
      </c>
      <c r="P431" t="str">
        <f>_xlfn.XLOOKUP(Pipeline_tbl[[#This Row],[Rep_ID]],Dim_Reps!A:A,Dim_Reps!C:C)</f>
        <v>Mid-Market AE</v>
      </c>
      <c r="Q431" t="str">
        <f>_xlfn.XLOOKUP(Pipeline_tbl[[#This Row],[Rep_ID]],Dim_Reps!A:A,Dim_Reps!D:D)</f>
        <v>Mid-Market</v>
      </c>
      <c r="R431" t="str">
        <f>_xlfn.XLOOKUP(Pipeline_tbl[[#This Row],[Rep_ID]],Dim_Reps!A:A,Dim_Reps!E:E)</f>
        <v>EMEA</v>
      </c>
      <c r="S431" t="str">
        <f>_xlfn.XLOOKUP(Pipeline_tbl[[#This Row],[Created_Date]],Dim_Date!A:A,Dim_Date!H:H)</f>
        <v>Sep 2024</v>
      </c>
      <c r="T431" t="str">
        <f>IF(Pipeline_tbl[[#This Row],[Closed_Date]]=0,"",(_xlfn.XLOOKUP(Pipeline_tbl[[#This Row],[Closed_Date]],Dim_Date!A:A,Dim_Date!H:H)))</f>
        <v>Oct 2024</v>
      </c>
      <c r="U431">
        <f>IF(Pipeline_tbl[[#This Row],[Closed_Date]]=0,"",Pipeline_tbl[[#This Row],[Closed_Date]]-Pipeline_tbl[[#This Row],[Created_Date]])</f>
        <v>32</v>
      </c>
    </row>
    <row r="432" spans="1:21" ht="15" customHeight="1" x14ac:dyDescent="0.2">
      <c r="A432" t="s">
        <v>738</v>
      </c>
      <c r="B432" t="s">
        <v>259</v>
      </c>
      <c r="C432" t="s">
        <v>53</v>
      </c>
      <c r="D432" s="49">
        <v>45561</v>
      </c>
      <c r="E432" s="49">
        <v>45564</v>
      </c>
      <c r="F432" s="49">
        <v>45571</v>
      </c>
      <c r="G432" s="49">
        <v>45581</v>
      </c>
      <c r="H432" s="49">
        <v>45589</v>
      </c>
      <c r="I432" s="49">
        <v>45594</v>
      </c>
      <c r="J432" t="s">
        <v>49</v>
      </c>
      <c r="K432" s="33">
        <v>12500</v>
      </c>
      <c r="L432" t="s">
        <v>60</v>
      </c>
      <c r="M432" t="str">
        <f>_xlfn.XLOOKUP(Pipeline_tbl[[#This Row],[Rep_ID]],Dim_Reps!A:A,Dim_Reps!K:K)</f>
        <v>EUR</v>
      </c>
      <c r="N432" s="33">
        <f>(_xlfn.XLOOKUP(Pipeline_tbl[[#This Row],[Rate_Code_Generalized]],Lookups!A:A,Lookups!B:B))*Pipeline_tbl[[#This Row],[Pipeline_Amount_USD]]</f>
        <v>12500</v>
      </c>
      <c r="O432" t="str">
        <f>_xlfn.XLOOKUP(Pipeline_tbl[[#This Row],[Rep_ID]],Dim_Reps!A:A,Dim_Reps!B:B)</f>
        <v>Felix Okafor</v>
      </c>
      <c r="P432" t="str">
        <f>_xlfn.XLOOKUP(Pipeline_tbl[[#This Row],[Rep_ID]],Dim_Reps!A:A,Dim_Reps!C:C)</f>
        <v>Mid-Market AE</v>
      </c>
      <c r="Q432" t="str">
        <f>_xlfn.XLOOKUP(Pipeline_tbl[[#This Row],[Rep_ID]],Dim_Reps!A:A,Dim_Reps!D:D)</f>
        <v>Mid-Market</v>
      </c>
      <c r="R432" t="str">
        <f>_xlfn.XLOOKUP(Pipeline_tbl[[#This Row],[Rep_ID]],Dim_Reps!A:A,Dim_Reps!E:E)</f>
        <v>EMEA</v>
      </c>
      <c r="S432" t="str">
        <f>_xlfn.XLOOKUP(Pipeline_tbl[[#This Row],[Created_Date]],Dim_Date!A:A,Dim_Date!H:H)</f>
        <v>Sep 2024</v>
      </c>
      <c r="T432" t="str">
        <f>IF(Pipeline_tbl[[#This Row],[Closed_Date]]=0,"",(_xlfn.XLOOKUP(Pipeline_tbl[[#This Row],[Closed_Date]],Dim_Date!A:A,Dim_Date!H:H)))</f>
        <v>Oct 2024</v>
      </c>
      <c r="U432">
        <f>IF(Pipeline_tbl[[#This Row],[Closed_Date]]=0,"",Pipeline_tbl[[#This Row],[Closed_Date]]-Pipeline_tbl[[#This Row],[Created_Date]])</f>
        <v>33</v>
      </c>
    </row>
    <row r="433" spans="1:21" ht="15" customHeight="1" x14ac:dyDescent="0.2">
      <c r="A433" t="s">
        <v>739</v>
      </c>
      <c r="B433" t="s">
        <v>259</v>
      </c>
      <c r="C433" t="s">
        <v>53</v>
      </c>
      <c r="D433" s="49">
        <v>45559</v>
      </c>
      <c r="E433" s="49">
        <v>45562</v>
      </c>
      <c r="F433" s="49">
        <v>45569</v>
      </c>
      <c r="G433" s="49">
        <v>45579</v>
      </c>
      <c r="H433" s="49">
        <v>45588</v>
      </c>
      <c r="I433" s="49">
        <v>45593</v>
      </c>
      <c r="J433" t="s">
        <v>49</v>
      </c>
      <c r="K433" s="33">
        <v>5800</v>
      </c>
      <c r="L433" t="s">
        <v>60</v>
      </c>
      <c r="M433" t="str">
        <f>_xlfn.XLOOKUP(Pipeline_tbl[[#This Row],[Rep_ID]],Dim_Reps!A:A,Dim_Reps!K:K)</f>
        <v>EUR</v>
      </c>
      <c r="N433" s="33">
        <f>(_xlfn.XLOOKUP(Pipeline_tbl[[#This Row],[Rate_Code_Generalized]],Lookups!A:A,Lookups!B:B))*Pipeline_tbl[[#This Row],[Pipeline_Amount_USD]]</f>
        <v>5800</v>
      </c>
      <c r="O433" t="str">
        <f>_xlfn.XLOOKUP(Pipeline_tbl[[#This Row],[Rep_ID]],Dim_Reps!A:A,Dim_Reps!B:B)</f>
        <v>Felix Okafor</v>
      </c>
      <c r="P433" t="str">
        <f>_xlfn.XLOOKUP(Pipeline_tbl[[#This Row],[Rep_ID]],Dim_Reps!A:A,Dim_Reps!C:C)</f>
        <v>Mid-Market AE</v>
      </c>
      <c r="Q433" t="str">
        <f>_xlfn.XLOOKUP(Pipeline_tbl[[#This Row],[Rep_ID]],Dim_Reps!A:A,Dim_Reps!D:D)</f>
        <v>Mid-Market</v>
      </c>
      <c r="R433" t="str">
        <f>_xlfn.XLOOKUP(Pipeline_tbl[[#This Row],[Rep_ID]],Dim_Reps!A:A,Dim_Reps!E:E)</f>
        <v>EMEA</v>
      </c>
      <c r="S433" t="str">
        <f>_xlfn.XLOOKUP(Pipeline_tbl[[#This Row],[Created_Date]],Dim_Date!A:A,Dim_Date!H:H)</f>
        <v>Sep 2024</v>
      </c>
      <c r="T433" t="str">
        <f>IF(Pipeline_tbl[[#This Row],[Closed_Date]]=0,"",(_xlfn.XLOOKUP(Pipeline_tbl[[#This Row],[Closed_Date]],Dim_Date!A:A,Dim_Date!H:H)))</f>
        <v>Oct 2024</v>
      </c>
      <c r="U433">
        <f>IF(Pipeline_tbl[[#This Row],[Closed_Date]]=0,"",Pipeline_tbl[[#This Row],[Closed_Date]]-Pipeline_tbl[[#This Row],[Created_Date]])</f>
        <v>34</v>
      </c>
    </row>
    <row r="434" spans="1:21" ht="15" customHeight="1" x14ac:dyDescent="0.2">
      <c r="A434" t="s">
        <v>740</v>
      </c>
      <c r="B434" t="s">
        <v>259</v>
      </c>
      <c r="C434" t="s">
        <v>55</v>
      </c>
      <c r="D434" s="49">
        <v>45551</v>
      </c>
      <c r="E434" s="49">
        <v>45555</v>
      </c>
      <c r="F434" s="49">
        <v>45564</v>
      </c>
      <c r="G434" s="49">
        <v>45577</v>
      </c>
      <c r="I434" s="49">
        <v>45595</v>
      </c>
      <c r="J434" t="s">
        <v>49</v>
      </c>
      <c r="K434" s="33">
        <v>8700</v>
      </c>
      <c r="L434" t="s">
        <v>61</v>
      </c>
      <c r="M434" t="str">
        <f>_xlfn.XLOOKUP(Pipeline_tbl[[#This Row],[Rep_ID]],Dim_Reps!A:A,Dim_Reps!K:K)</f>
        <v>EUR</v>
      </c>
      <c r="N434" s="33">
        <f>(_xlfn.XLOOKUP(Pipeline_tbl[[#This Row],[Rate_Code_Generalized]],Lookups!A:A,Lookups!B:B))*Pipeline_tbl[[#This Row],[Pipeline_Amount_USD]]</f>
        <v>8700</v>
      </c>
      <c r="O434" t="str">
        <f>_xlfn.XLOOKUP(Pipeline_tbl[[#This Row],[Rep_ID]],Dim_Reps!A:A,Dim_Reps!B:B)</f>
        <v>Felix Okafor</v>
      </c>
      <c r="P434" t="str">
        <f>_xlfn.XLOOKUP(Pipeline_tbl[[#This Row],[Rep_ID]],Dim_Reps!A:A,Dim_Reps!C:C)</f>
        <v>Mid-Market AE</v>
      </c>
      <c r="Q434" t="str">
        <f>_xlfn.XLOOKUP(Pipeline_tbl[[#This Row],[Rep_ID]],Dim_Reps!A:A,Dim_Reps!D:D)</f>
        <v>Mid-Market</v>
      </c>
      <c r="R434" t="str">
        <f>_xlfn.XLOOKUP(Pipeline_tbl[[#This Row],[Rep_ID]],Dim_Reps!A:A,Dim_Reps!E:E)</f>
        <v>EMEA</v>
      </c>
      <c r="S434" t="str">
        <f>_xlfn.XLOOKUP(Pipeline_tbl[[#This Row],[Created_Date]],Dim_Date!A:A,Dim_Date!H:H)</f>
        <v>Sep 2024</v>
      </c>
      <c r="T434" t="str">
        <f>IF(Pipeline_tbl[[#This Row],[Closed_Date]]=0,"",(_xlfn.XLOOKUP(Pipeline_tbl[[#This Row],[Closed_Date]],Dim_Date!A:A,Dim_Date!H:H)))</f>
        <v>Oct 2024</v>
      </c>
      <c r="U434">
        <f>IF(Pipeline_tbl[[#This Row],[Closed_Date]]=0,"",Pipeline_tbl[[#This Row],[Closed_Date]]-Pipeline_tbl[[#This Row],[Created_Date]])</f>
        <v>44</v>
      </c>
    </row>
    <row r="435" spans="1:21" ht="15" customHeight="1" x14ac:dyDescent="0.2">
      <c r="A435" t="s">
        <v>741</v>
      </c>
      <c r="B435" t="s">
        <v>259</v>
      </c>
      <c r="C435" t="s">
        <v>52</v>
      </c>
      <c r="D435" s="49">
        <v>45546</v>
      </c>
      <c r="E435" s="49">
        <v>45550</v>
      </c>
      <c r="F435" s="49">
        <v>45558</v>
      </c>
      <c r="G435" s="49">
        <v>45571</v>
      </c>
      <c r="I435" s="49">
        <v>45587</v>
      </c>
      <c r="J435" t="s">
        <v>49</v>
      </c>
      <c r="K435" s="33">
        <v>26000</v>
      </c>
      <c r="L435" t="s">
        <v>64</v>
      </c>
      <c r="M435" t="str">
        <f>_xlfn.XLOOKUP(Pipeline_tbl[[#This Row],[Rep_ID]],Dim_Reps!A:A,Dim_Reps!K:K)</f>
        <v>EUR</v>
      </c>
      <c r="N435" s="33">
        <f>(_xlfn.XLOOKUP(Pipeline_tbl[[#This Row],[Rate_Code_Generalized]],Lookups!A:A,Lookups!B:B))*Pipeline_tbl[[#This Row],[Pipeline_Amount_USD]]</f>
        <v>26000</v>
      </c>
      <c r="O435" t="str">
        <f>_xlfn.XLOOKUP(Pipeline_tbl[[#This Row],[Rep_ID]],Dim_Reps!A:A,Dim_Reps!B:B)</f>
        <v>Felix Okafor</v>
      </c>
      <c r="P435" t="str">
        <f>_xlfn.XLOOKUP(Pipeline_tbl[[#This Row],[Rep_ID]],Dim_Reps!A:A,Dim_Reps!C:C)</f>
        <v>Mid-Market AE</v>
      </c>
      <c r="Q435" t="str">
        <f>_xlfn.XLOOKUP(Pipeline_tbl[[#This Row],[Rep_ID]],Dim_Reps!A:A,Dim_Reps!D:D)</f>
        <v>Mid-Market</v>
      </c>
      <c r="R435" t="str">
        <f>_xlfn.XLOOKUP(Pipeline_tbl[[#This Row],[Rep_ID]],Dim_Reps!A:A,Dim_Reps!E:E)</f>
        <v>EMEA</v>
      </c>
      <c r="S435" t="str">
        <f>_xlfn.XLOOKUP(Pipeline_tbl[[#This Row],[Created_Date]],Dim_Date!A:A,Dim_Date!H:H)</f>
        <v>Sep 2024</v>
      </c>
      <c r="T435" t="str">
        <f>IF(Pipeline_tbl[[#This Row],[Closed_Date]]=0,"",(_xlfn.XLOOKUP(Pipeline_tbl[[#This Row],[Closed_Date]],Dim_Date!A:A,Dim_Date!H:H)))</f>
        <v>Oct 2024</v>
      </c>
      <c r="U435">
        <f>IF(Pipeline_tbl[[#This Row],[Closed_Date]]=0,"",Pipeline_tbl[[#This Row],[Closed_Date]]-Pipeline_tbl[[#This Row],[Created_Date]])</f>
        <v>41</v>
      </c>
    </row>
    <row r="436" spans="1:21" ht="15" customHeight="1" x14ac:dyDescent="0.2">
      <c r="A436" t="s">
        <v>742</v>
      </c>
      <c r="B436" t="s">
        <v>225</v>
      </c>
      <c r="C436" t="s">
        <v>54</v>
      </c>
      <c r="D436" s="49">
        <v>45560</v>
      </c>
      <c r="E436" s="49">
        <v>45562</v>
      </c>
      <c r="F436" s="49">
        <v>45568</v>
      </c>
      <c r="G436" s="49">
        <v>45575</v>
      </c>
      <c r="H436" s="49">
        <v>45581</v>
      </c>
      <c r="I436" s="49">
        <v>45585</v>
      </c>
      <c r="J436" t="s">
        <v>47</v>
      </c>
      <c r="K436" s="33">
        <v>2300</v>
      </c>
      <c r="M436" t="str">
        <f>_xlfn.XLOOKUP(Pipeline_tbl[[#This Row],[Rep_ID]],Dim_Reps!A:A,Dim_Reps!K:K)</f>
        <v>USD</v>
      </c>
      <c r="N436" s="33">
        <f>(_xlfn.XLOOKUP(Pipeline_tbl[[#This Row],[Rate_Code_Generalized]],Lookups!A:A,Lookups!B:B))*Pipeline_tbl[[#This Row],[Pipeline_Amount_USD]]</f>
        <v>2677.89</v>
      </c>
      <c r="O436" t="str">
        <f>_xlfn.XLOOKUP(Pipeline_tbl[[#This Row],[Rep_ID]],Dim_Reps!A:A,Dim_Reps!B:B)</f>
        <v>Alex Muller</v>
      </c>
      <c r="P436" t="str">
        <f>_xlfn.XLOOKUP(Pipeline_tbl[[#This Row],[Rep_ID]],Dim_Reps!A:A,Dim_Reps!C:C)</f>
        <v>SDR / Inside Sales Rep</v>
      </c>
      <c r="Q436" t="str">
        <f>_xlfn.XLOOKUP(Pipeline_tbl[[#This Row],[Rep_ID]],Dim_Reps!A:A,Dim_Reps!D:D)</f>
        <v>Inside Sales</v>
      </c>
      <c r="R436" t="str">
        <f>_xlfn.XLOOKUP(Pipeline_tbl[[#This Row],[Rep_ID]],Dim_Reps!A:A,Dim_Reps!E:E)</f>
        <v>NAMER</v>
      </c>
      <c r="S436" t="str">
        <f>_xlfn.XLOOKUP(Pipeline_tbl[[#This Row],[Created_Date]],Dim_Date!A:A,Dim_Date!H:H)</f>
        <v>Sep 2024</v>
      </c>
      <c r="T436" t="str">
        <f>IF(Pipeline_tbl[[#This Row],[Closed_Date]]=0,"",(_xlfn.XLOOKUP(Pipeline_tbl[[#This Row],[Closed_Date]],Dim_Date!A:A,Dim_Date!H:H)))</f>
        <v>Oct 2024</v>
      </c>
      <c r="U436">
        <f>IF(Pipeline_tbl[[#This Row],[Closed_Date]]=0,"",Pipeline_tbl[[#This Row],[Closed_Date]]-Pipeline_tbl[[#This Row],[Created_Date]])</f>
        <v>25</v>
      </c>
    </row>
    <row r="437" spans="1:21" ht="15" customHeight="1" x14ac:dyDescent="0.2">
      <c r="A437" t="s">
        <v>743</v>
      </c>
      <c r="B437" t="s">
        <v>225</v>
      </c>
      <c r="C437" t="s">
        <v>52</v>
      </c>
      <c r="D437" s="49">
        <v>45550</v>
      </c>
      <c r="E437" s="49">
        <v>45552</v>
      </c>
      <c r="F437" s="49">
        <v>45557</v>
      </c>
      <c r="G437" s="49">
        <v>45563</v>
      </c>
      <c r="H437" s="49">
        <v>45569</v>
      </c>
      <c r="I437" s="49">
        <v>45572</v>
      </c>
      <c r="J437" t="s">
        <v>47</v>
      </c>
      <c r="K437" s="33">
        <v>4500</v>
      </c>
      <c r="M437" t="str">
        <f>_xlfn.XLOOKUP(Pipeline_tbl[[#This Row],[Rep_ID]],Dim_Reps!A:A,Dim_Reps!K:K)</f>
        <v>USD</v>
      </c>
      <c r="N437" s="33">
        <f>(_xlfn.XLOOKUP(Pipeline_tbl[[#This Row],[Rate_Code_Generalized]],Lookups!A:A,Lookups!B:B))*Pipeline_tbl[[#This Row],[Pipeline_Amount_USD]]</f>
        <v>5239.3499999999995</v>
      </c>
      <c r="O437" t="str">
        <f>_xlfn.XLOOKUP(Pipeline_tbl[[#This Row],[Rep_ID]],Dim_Reps!A:A,Dim_Reps!B:B)</f>
        <v>Alex Muller</v>
      </c>
      <c r="P437" t="str">
        <f>_xlfn.XLOOKUP(Pipeline_tbl[[#This Row],[Rep_ID]],Dim_Reps!A:A,Dim_Reps!C:C)</f>
        <v>SDR / Inside Sales Rep</v>
      </c>
      <c r="Q437" t="str">
        <f>_xlfn.XLOOKUP(Pipeline_tbl[[#This Row],[Rep_ID]],Dim_Reps!A:A,Dim_Reps!D:D)</f>
        <v>Inside Sales</v>
      </c>
      <c r="R437" t="str">
        <f>_xlfn.XLOOKUP(Pipeline_tbl[[#This Row],[Rep_ID]],Dim_Reps!A:A,Dim_Reps!E:E)</f>
        <v>NAMER</v>
      </c>
      <c r="S437" t="str">
        <f>_xlfn.XLOOKUP(Pipeline_tbl[[#This Row],[Created_Date]],Dim_Date!A:A,Dim_Date!H:H)</f>
        <v>Sep 2024</v>
      </c>
      <c r="T437" t="str">
        <f>IF(Pipeline_tbl[[#This Row],[Closed_Date]]=0,"",(_xlfn.XLOOKUP(Pipeline_tbl[[#This Row],[Closed_Date]],Dim_Date!A:A,Dim_Date!H:H)))</f>
        <v>Oct 2024</v>
      </c>
      <c r="U437">
        <f>IF(Pipeline_tbl[[#This Row],[Closed_Date]]=0,"",Pipeline_tbl[[#This Row],[Closed_Date]]-Pipeline_tbl[[#This Row],[Created_Date]])</f>
        <v>22</v>
      </c>
    </row>
    <row r="438" spans="1:21" ht="15" customHeight="1" x14ac:dyDescent="0.2">
      <c r="A438" t="s">
        <v>744</v>
      </c>
      <c r="B438" t="s">
        <v>225</v>
      </c>
      <c r="C438" t="s">
        <v>56</v>
      </c>
      <c r="D438" s="49">
        <v>45553</v>
      </c>
      <c r="E438" s="49">
        <v>45555</v>
      </c>
      <c r="F438" s="49">
        <v>45560</v>
      </c>
      <c r="I438" s="49">
        <v>45576</v>
      </c>
      <c r="J438" t="s">
        <v>49</v>
      </c>
      <c r="K438" s="33">
        <v>5000</v>
      </c>
      <c r="L438" t="s">
        <v>61</v>
      </c>
      <c r="M438" t="str">
        <f>_xlfn.XLOOKUP(Pipeline_tbl[[#This Row],[Rep_ID]],Dim_Reps!A:A,Dim_Reps!K:K)</f>
        <v>USD</v>
      </c>
      <c r="N438" s="33">
        <f>(_xlfn.XLOOKUP(Pipeline_tbl[[#This Row],[Rate_Code_Generalized]],Lookups!A:A,Lookups!B:B))*Pipeline_tbl[[#This Row],[Pipeline_Amount_USD]]</f>
        <v>5821.4999999999991</v>
      </c>
      <c r="O438" t="str">
        <f>_xlfn.XLOOKUP(Pipeline_tbl[[#This Row],[Rep_ID]],Dim_Reps!A:A,Dim_Reps!B:B)</f>
        <v>Alex Muller</v>
      </c>
      <c r="P438" t="str">
        <f>_xlfn.XLOOKUP(Pipeline_tbl[[#This Row],[Rep_ID]],Dim_Reps!A:A,Dim_Reps!C:C)</f>
        <v>SDR / Inside Sales Rep</v>
      </c>
      <c r="Q438" t="str">
        <f>_xlfn.XLOOKUP(Pipeline_tbl[[#This Row],[Rep_ID]],Dim_Reps!A:A,Dim_Reps!D:D)</f>
        <v>Inside Sales</v>
      </c>
      <c r="R438" t="str">
        <f>_xlfn.XLOOKUP(Pipeline_tbl[[#This Row],[Rep_ID]],Dim_Reps!A:A,Dim_Reps!E:E)</f>
        <v>NAMER</v>
      </c>
      <c r="S438" t="str">
        <f>_xlfn.XLOOKUP(Pipeline_tbl[[#This Row],[Created_Date]],Dim_Date!A:A,Dim_Date!H:H)</f>
        <v>Sep 2024</v>
      </c>
      <c r="T438" t="str">
        <f>IF(Pipeline_tbl[[#This Row],[Closed_Date]]=0,"",(_xlfn.XLOOKUP(Pipeline_tbl[[#This Row],[Closed_Date]],Dim_Date!A:A,Dim_Date!H:H)))</f>
        <v>Oct 2024</v>
      </c>
      <c r="U438">
        <f>IF(Pipeline_tbl[[#This Row],[Closed_Date]]=0,"",Pipeline_tbl[[#This Row],[Closed_Date]]-Pipeline_tbl[[#This Row],[Created_Date]])</f>
        <v>23</v>
      </c>
    </row>
    <row r="439" spans="1:21" ht="15" customHeight="1" x14ac:dyDescent="0.2">
      <c r="A439" t="s">
        <v>745</v>
      </c>
      <c r="B439" t="s">
        <v>225</v>
      </c>
      <c r="C439" t="s">
        <v>52</v>
      </c>
      <c r="D439" s="49">
        <v>45553</v>
      </c>
      <c r="E439" s="49">
        <v>45555</v>
      </c>
      <c r="F439" s="49">
        <v>45558</v>
      </c>
      <c r="G439" s="49">
        <v>45562</v>
      </c>
      <c r="I439" s="49">
        <v>45568</v>
      </c>
      <c r="J439" t="s">
        <v>49</v>
      </c>
      <c r="K439" s="33">
        <v>4300</v>
      </c>
      <c r="L439" t="s">
        <v>60</v>
      </c>
      <c r="M439" t="str">
        <f>_xlfn.XLOOKUP(Pipeline_tbl[[#This Row],[Rep_ID]],Dim_Reps!A:A,Dim_Reps!K:K)</f>
        <v>USD</v>
      </c>
      <c r="N439" s="33">
        <f>(_xlfn.XLOOKUP(Pipeline_tbl[[#This Row],[Rate_Code_Generalized]],Lookups!A:A,Lookups!B:B))*Pipeline_tbl[[#This Row],[Pipeline_Amount_USD]]</f>
        <v>5006.49</v>
      </c>
      <c r="O439" t="str">
        <f>_xlfn.XLOOKUP(Pipeline_tbl[[#This Row],[Rep_ID]],Dim_Reps!A:A,Dim_Reps!B:B)</f>
        <v>Alex Muller</v>
      </c>
      <c r="P439" t="str">
        <f>_xlfn.XLOOKUP(Pipeline_tbl[[#This Row],[Rep_ID]],Dim_Reps!A:A,Dim_Reps!C:C)</f>
        <v>SDR / Inside Sales Rep</v>
      </c>
      <c r="Q439" t="str">
        <f>_xlfn.XLOOKUP(Pipeline_tbl[[#This Row],[Rep_ID]],Dim_Reps!A:A,Dim_Reps!D:D)</f>
        <v>Inside Sales</v>
      </c>
      <c r="R439" t="str">
        <f>_xlfn.XLOOKUP(Pipeline_tbl[[#This Row],[Rep_ID]],Dim_Reps!A:A,Dim_Reps!E:E)</f>
        <v>NAMER</v>
      </c>
      <c r="S439" t="str">
        <f>_xlfn.XLOOKUP(Pipeline_tbl[[#This Row],[Created_Date]],Dim_Date!A:A,Dim_Date!H:H)</f>
        <v>Sep 2024</v>
      </c>
      <c r="T439" t="str">
        <f>IF(Pipeline_tbl[[#This Row],[Closed_Date]]=0,"",(_xlfn.XLOOKUP(Pipeline_tbl[[#This Row],[Closed_Date]],Dim_Date!A:A,Dim_Date!H:H)))</f>
        <v>Oct 2024</v>
      </c>
      <c r="U439">
        <f>IF(Pipeline_tbl[[#This Row],[Closed_Date]]=0,"",Pipeline_tbl[[#This Row],[Closed_Date]]-Pipeline_tbl[[#This Row],[Created_Date]])</f>
        <v>15</v>
      </c>
    </row>
    <row r="440" spans="1:21" ht="15" customHeight="1" x14ac:dyDescent="0.2">
      <c r="A440" t="s">
        <v>746</v>
      </c>
      <c r="B440" t="s">
        <v>225</v>
      </c>
      <c r="C440" t="s">
        <v>53</v>
      </c>
      <c r="D440" s="49">
        <v>45552</v>
      </c>
      <c r="E440" s="49">
        <v>45554</v>
      </c>
      <c r="F440" s="49">
        <v>45558</v>
      </c>
      <c r="G440" s="49">
        <v>45564</v>
      </c>
      <c r="H440" s="49">
        <v>45569</v>
      </c>
      <c r="I440" s="49">
        <v>45572</v>
      </c>
      <c r="J440" t="s">
        <v>47</v>
      </c>
      <c r="K440" s="33">
        <v>4700</v>
      </c>
      <c r="M440" t="str">
        <f>_xlfn.XLOOKUP(Pipeline_tbl[[#This Row],[Rep_ID]],Dim_Reps!A:A,Dim_Reps!K:K)</f>
        <v>USD</v>
      </c>
      <c r="N440" s="33">
        <f>(_xlfn.XLOOKUP(Pipeline_tbl[[#This Row],[Rate_Code_Generalized]],Lookups!A:A,Lookups!B:B))*Pipeline_tbl[[#This Row],[Pipeline_Amount_USD]]</f>
        <v>5472.2099999999991</v>
      </c>
      <c r="O440" t="str">
        <f>_xlfn.XLOOKUP(Pipeline_tbl[[#This Row],[Rep_ID]],Dim_Reps!A:A,Dim_Reps!B:B)</f>
        <v>Alex Muller</v>
      </c>
      <c r="P440" t="str">
        <f>_xlfn.XLOOKUP(Pipeline_tbl[[#This Row],[Rep_ID]],Dim_Reps!A:A,Dim_Reps!C:C)</f>
        <v>SDR / Inside Sales Rep</v>
      </c>
      <c r="Q440" t="str">
        <f>_xlfn.XLOOKUP(Pipeline_tbl[[#This Row],[Rep_ID]],Dim_Reps!A:A,Dim_Reps!D:D)</f>
        <v>Inside Sales</v>
      </c>
      <c r="R440" t="str">
        <f>_xlfn.XLOOKUP(Pipeline_tbl[[#This Row],[Rep_ID]],Dim_Reps!A:A,Dim_Reps!E:E)</f>
        <v>NAMER</v>
      </c>
      <c r="S440" t="str">
        <f>_xlfn.XLOOKUP(Pipeline_tbl[[#This Row],[Created_Date]],Dim_Date!A:A,Dim_Date!H:H)</f>
        <v>Sep 2024</v>
      </c>
      <c r="T440" t="str">
        <f>IF(Pipeline_tbl[[#This Row],[Closed_Date]]=0,"",(_xlfn.XLOOKUP(Pipeline_tbl[[#This Row],[Closed_Date]],Dim_Date!A:A,Dim_Date!H:H)))</f>
        <v>Oct 2024</v>
      </c>
      <c r="U440">
        <f>IF(Pipeline_tbl[[#This Row],[Closed_Date]]=0,"",Pipeline_tbl[[#This Row],[Closed_Date]]-Pipeline_tbl[[#This Row],[Created_Date]])</f>
        <v>20</v>
      </c>
    </row>
    <row r="441" spans="1:21" ht="15" customHeight="1" x14ac:dyDescent="0.2">
      <c r="A441" t="s">
        <v>747</v>
      </c>
      <c r="B441" t="s">
        <v>225</v>
      </c>
      <c r="C441" t="s">
        <v>53</v>
      </c>
      <c r="D441" s="49">
        <v>45549</v>
      </c>
      <c r="E441" s="49">
        <v>45551</v>
      </c>
      <c r="F441" s="49">
        <v>45555</v>
      </c>
      <c r="G441" s="49">
        <v>45562</v>
      </c>
      <c r="H441" s="49">
        <v>45567</v>
      </c>
      <c r="I441" s="49">
        <v>45570</v>
      </c>
      <c r="J441" t="s">
        <v>47</v>
      </c>
      <c r="K441" s="33">
        <v>4900</v>
      </c>
      <c r="M441" t="str">
        <f>_xlfn.XLOOKUP(Pipeline_tbl[[#This Row],[Rep_ID]],Dim_Reps!A:A,Dim_Reps!K:K)</f>
        <v>USD</v>
      </c>
      <c r="N441" s="33">
        <f>(_xlfn.XLOOKUP(Pipeline_tbl[[#This Row],[Rate_Code_Generalized]],Lookups!A:A,Lookups!B:B))*Pipeline_tbl[[#This Row],[Pipeline_Amount_USD]]</f>
        <v>5705.07</v>
      </c>
      <c r="O441" t="str">
        <f>_xlfn.XLOOKUP(Pipeline_tbl[[#This Row],[Rep_ID]],Dim_Reps!A:A,Dim_Reps!B:B)</f>
        <v>Alex Muller</v>
      </c>
      <c r="P441" t="str">
        <f>_xlfn.XLOOKUP(Pipeline_tbl[[#This Row],[Rep_ID]],Dim_Reps!A:A,Dim_Reps!C:C)</f>
        <v>SDR / Inside Sales Rep</v>
      </c>
      <c r="Q441" t="str">
        <f>_xlfn.XLOOKUP(Pipeline_tbl[[#This Row],[Rep_ID]],Dim_Reps!A:A,Dim_Reps!D:D)</f>
        <v>Inside Sales</v>
      </c>
      <c r="R441" t="str">
        <f>_xlfn.XLOOKUP(Pipeline_tbl[[#This Row],[Rep_ID]],Dim_Reps!A:A,Dim_Reps!E:E)</f>
        <v>NAMER</v>
      </c>
      <c r="S441" t="str">
        <f>_xlfn.XLOOKUP(Pipeline_tbl[[#This Row],[Created_Date]],Dim_Date!A:A,Dim_Date!H:H)</f>
        <v>Sep 2024</v>
      </c>
      <c r="T441" t="str">
        <f>IF(Pipeline_tbl[[#This Row],[Closed_Date]]=0,"",(_xlfn.XLOOKUP(Pipeline_tbl[[#This Row],[Closed_Date]],Dim_Date!A:A,Dim_Date!H:H)))</f>
        <v>Oct 2024</v>
      </c>
      <c r="U441">
        <f>IF(Pipeline_tbl[[#This Row],[Closed_Date]]=0,"",Pipeline_tbl[[#This Row],[Closed_Date]]-Pipeline_tbl[[#This Row],[Created_Date]])</f>
        <v>21</v>
      </c>
    </row>
    <row r="442" spans="1:21" ht="15" customHeight="1" x14ac:dyDescent="0.2">
      <c r="A442" t="s">
        <v>748</v>
      </c>
      <c r="B442" t="s">
        <v>227</v>
      </c>
      <c r="C442" t="s">
        <v>52</v>
      </c>
      <c r="D442" s="49">
        <v>45550</v>
      </c>
      <c r="E442" s="49">
        <v>45552</v>
      </c>
      <c r="F442" s="49">
        <v>45556</v>
      </c>
      <c r="G442" s="49">
        <v>45563</v>
      </c>
      <c r="I442" s="49">
        <v>45571</v>
      </c>
      <c r="J442" t="s">
        <v>49</v>
      </c>
      <c r="K442" s="33">
        <v>2500</v>
      </c>
      <c r="L442" t="s">
        <v>62</v>
      </c>
      <c r="M442" t="str">
        <f>_xlfn.XLOOKUP(Pipeline_tbl[[#This Row],[Rep_ID]],Dim_Reps!A:A,Dim_Reps!K:K)</f>
        <v>EUR</v>
      </c>
      <c r="N442" s="33">
        <f>(_xlfn.XLOOKUP(Pipeline_tbl[[#This Row],[Rate_Code_Generalized]],Lookups!A:A,Lookups!B:B))*Pipeline_tbl[[#This Row],[Pipeline_Amount_USD]]</f>
        <v>2500</v>
      </c>
      <c r="O442" t="str">
        <f>_xlfn.XLOOKUP(Pipeline_tbl[[#This Row],[Rep_ID]],Dim_Reps!A:A,Dim_Reps!B:B)</f>
        <v>Liam Muller</v>
      </c>
      <c r="P442" t="str">
        <f>_xlfn.XLOOKUP(Pipeline_tbl[[#This Row],[Rep_ID]],Dim_Reps!A:A,Dim_Reps!C:C)</f>
        <v>SDR / Inside Sales Rep</v>
      </c>
      <c r="Q442" t="str">
        <f>_xlfn.XLOOKUP(Pipeline_tbl[[#This Row],[Rep_ID]],Dim_Reps!A:A,Dim_Reps!D:D)</f>
        <v>Inside Sales</v>
      </c>
      <c r="R442" t="str">
        <f>_xlfn.XLOOKUP(Pipeline_tbl[[#This Row],[Rep_ID]],Dim_Reps!A:A,Dim_Reps!E:E)</f>
        <v>EMEA</v>
      </c>
      <c r="S442" t="str">
        <f>_xlfn.XLOOKUP(Pipeline_tbl[[#This Row],[Created_Date]],Dim_Date!A:A,Dim_Date!H:H)</f>
        <v>Sep 2024</v>
      </c>
      <c r="T442" t="str">
        <f>IF(Pipeline_tbl[[#This Row],[Closed_Date]]=0,"",(_xlfn.XLOOKUP(Pipeline_tbl[[#This Row],[Closed_Date]],Dim_Date!A:A,Dim_Date!H:H)))</f>
        <v>Oct 2024</v>
      </c>
      <c r="U442">
        <f>IF(Pipeline_tbl[[#This Row],[Closed_Date]]=0,"",Pipeline_tbl[[#This Row],[Closed_Date]]-Pipeline_tbl[[#This Row],[Created_Date]])</f>
        <v>21</v>
      </c>
    </row>
    <row r="443" spans="1:21" ht="15" customHeight="1" x14ac:dyDescent="0.2">
      <c r="A443" t="s">
        <v>749</v>
      </c>
      <c r="B443" t="s">
        <v>227</v>
      </c>
      <c r="C443" t="s">
        <v>54</v>
      </c>
      <c r="D443" s="49">
        <v>45559</v>
      </c>
      <c r="E443" s="49">
        <v>45561</v>
      </c>
      <c r="F443" s="49">
        <v>45564</v>
      </c>
      <c r="G443" s="49">
        <v>45569</v>
      </c>
      <c r="H443" s="49">
        <v>45573</v>
      </c>
      <c r="I443" s="49">
        <v>45575</v>
      </c>
      <c r="J443" t="s">
        <v>47</v>
      </c>
      <c r="K443" s="33">
        <v>5100</v>
      </c>
      <c r="M443" t="str">
        <f>_xlfn.XLOOKUP(Pipeline_tbl[[#This Row],[Rep_ID]],Dim_Reps!A:A,Dim_Reps!K:K)</f>
        <v>EUR</v>
      </c>
      <c r="N443" s="33">
        <f>(_xlfn.XLOOKUP(Pipeline_tbl[[#This Row],[Rate_Code_Generalized]],Lookups!A:A,Lookups!B:B))*Pipeline_tbl[[#This Row],[Pipeline_Amount_USD]]</f>
        <v>5100</v>
      </c>
      <c r="O443" t="str">
        <f>_xlfn.XLOOKUP(Pipeline_tbl[[#This Row],[Rep_ID]],Dim_Reps!A:A,Dim_Reps!B:B)</f>
        <v>Liam Muller</v>
      </c>
      <c r="P443" t="str">
        <f>_xlfn.XLOOKUP(Pipeline_tbl[[#This Row],[Rep_ID]],Dim_Reps!A:A,Dim_Reps!C:C)</f>
        <v>SDR / Inside Sales Rep</v>
      </c>
      <c r="Q443" t="str">
        <f>_xlfn.XLOOKUP(Pipeline_tbl[[#This Row],[Rep_ID]],Dim_Reps!A:A,Dim_Reps!D:D)</f>
        <v>Inside Sales</v>
      </c>
      <c r="R443" t="str">
        <f>_xlfn.XLOOKUP(Pipeline_tbl[[#This Row],[Rep_ID]],Dim_Reps!A:A,Dim_Reps!E:E)</f>
        <v>EMEA</v>
      </c>
      <c r="S443" t="str">
        <f>_xlfn.XLOOKUP(Pipeline_tbl[[#This Row],[Created_Date]],Dim_Date!A:A,Dim_Date!H:H)</f>
        <v>Sep 2024</v>
      </c>
      <c r="T443" t="str">
        <f>IF(Pipeline_tbl[[#This Row],[Closed_Date]]=0,"",(_xlfn.XLOOKUP(Pipeline_tbl[[#This Row],[Closed_Date]],Dim_Date!A:A,Dim_Date!H:H)))</f>
        <v>Oct 2024</v>
      </c>
      <c r="U443">
        <f>IF(Pipeline_tbl[[#This Row],[Closed_Date]]=0,"",Pipeline_tbl[[#This Row],[Closed_Date]]-Pipeline_tbl[[#This Row],[Created_Date]])</f>
        <v>16</v>
      </c>
    </row>
    <row r="444" spans="1:21" ht="15" customHeight="1" x14ac:dyDescent="0.2">
      <c r="A444" t="s">
        <v>750</v>
      </c>
      <c r="B444" t="s">
        <v>227</v>
      </c>
      <c r="C444" t="s">
        <v>52</v>
      </c>
      <c r="D444" s="49">
        <v>45558</v>
      </c>
      <c r="E444" s="49">
        <v>45560</v>
      </c>
      <c r="F444" s="49">
        <v>45563</v>
      </c>
      <c r="G444" s="49">
        <v>45567</v>
      </c>
      <c r="H444" s="49">
        <v>45571</v>
      </c>
      <c r="I444" s="49">
        <v>45573</v>
      </c>
      <c r="J444" t="s">
        <v>47</v>
      </c>
      <c r="K444" s="33">
        <v>3700</v>
      </c>
      <c r="M444" t="str">
        <f>_xlfn.XLOOKUP(Pipeline_tbl[[#This Row],[Rep_ID]],Dim_Reps!A:A,Dim_Reps!K:K)</f>
        <v>EUR</v>
      </c>
      <c r="N444" s="33">
        <f>(_xlfn.XLOOKUP(Pipeline_tbl[[#This Row],[Rate_Code_Generalized]],Lookups!A:A,Lookups!B:B))*Pipeline_tbl[[#This Row],[Pipeline_Amount_USD]]</f>
        <v>3700</v>
      </c>
      <c r="O444" t="str">
        <f>_xlfn.XLOOKUP(Pipeline_tbl[[#This Row],[Rep_ID]],Dim_Reps!A:A,Dim_Reps!B:B)</f>
        <v>Liam Muller</v>
      </c>
      <c r="P444" t="str">
        <f>_xlfn.XLOOKUP(Pipeline_tbl[[#This Row],[Rep_ID]],Dim_Reps!A:A,Dim_Reps!C:C)</f>
        <v>SDR / Inside Sales Rep</v>
      </c>
      <c r="Q444" t="str">
        <f>_xlfn.XLOOKUP(Pipeline_tbl[[#This Row],[Rep_ID]],Dim_Reps!A:A,Dim_Reps!D:D)</f>
        <v>Inside Sales</v>
      </c>
      <c r="R444" t="str">
        <f>_xlfn.XLOOKUP(Pipeline_tbl[[#This Row],[Rep_ID]],Dim_Reps!A:A,Dim_Reps!E:E)</f>
        <v>EMEA</v>
      </c>
      <c r="S444" t="str">
        <f>_xlfn.XLOOKUP(Pipeline_tbl[[#This Row],[Created_Date]],Dim_Date!A:A,Dim_Date!H:H)</f>
        <v>Sep 2024</v>
      </c>
      <c r="T444" t="str">
        <f>IF(Pipeline_tbl[[#This Row],[Closed_Date]]=0,"",(_xlfn.XLOOKUP(Pipeline_tbl[[#This Row],[Closed_Date]],Dim_Date!A:A,Dim_Date!H:H)))</f>
        <v>Oct 2024</v>
      </c>
      <c r="U444">
        <f>IF(Pipeline_tbl[[#This Row],[Closed_Date]]=0,"",Pipeline_tbl[[#This Row],[Closed_Date]]-Pipeline_tbl[[#This Row],[Created_Date]])</f>
        <v>15</v>
      </c>
    </row>
    <row r="445" spans="1:21" ht="15" customHeight="1" x14ac:dyDescent="0.2">
      <c r="A445" t="s">
        <v>751</v>
      </c>
      <c r="B445" t="s">
        <v>227</v>
      </c>
      <c r="C445" t="s">
        <v>55</v>
      </c>
      <c r="D445" s="49">
        <v>45550</v>
      </c>
      <c r="E445" s="49">
        <v>45552</v>
      </c>
      <c r="F445" s="49">
        <v>45555</v>
      </c>
      <c r="G445" s="49">
        <v>45561</v>
      </c>
      <c r="I445" s="49">
        <v>45568</v>
      </c>
      <c r="J445" t="s">
        <v>49</v>
      </c>
      <c r="K445" s="33">
        <v>3200</v>
      </c>
      <c r="L445" t="s">
        <v>63</v>
      </c>
      <c r="M445" t="str">
        <f>_xlfn.XLOOKUP(Pipeline_tbl[[#This Row],[Rep_ID]],Dim_Reps!A:A,Dim_Reps!K:K)</f>
        <v>EUR</v>
      </c>
      <c r="N445" s="33">
        <f>(_xlfn.XLOOKUP(Pipeline_tbl[[#This Row],[Rate_Code_Generalized]],Lookups!A:A,Lookups!B:B))*Pipeline_tbl[[#This Row],[Pipeline_Amount_USD]]</f>
        <v>3200</v>
      </c>
      <c r="O445" t="str">
        <f>_xlfn.XLOOKUP(Pipeline_tbl[[#This Row],[Rep_ID]],Dim_Reps!A:A,Dim_Reps!B:B)</f>
        <v>Liam Muller</v>
      </c>
      <c r="P445" t="str">
        <f>_xlfn.XLOOKUP(Pipeline_tbl[[#This Row],[Rep_ID]],Dim_Reps!A:A,Dim_Reps!C:C)</f>
        <v>SDR / Inside Sales Rep</v>
      </c>
      <c r="Q445" t="str">
        <f>_xlfn.XLOOKUP(Pipeline_tbl[[#This Row],[Rep_ID]],Dim_Reps!A:A,Dim_Reps!D:D)</f>
        <v>Inside Sales</v>
      </c>
      <c r="R445" t="str">
        <f>_xlfn.XLOOKUP(Pipeline_tbl[[#This Row],[Rep_ID]],Dim_Reps!A:A,Dim_Reps!E:E)</f>
        <v>EMEA</v>
      </c>
      <c r="S445" t="str">
        <f>_xlfn.XLOOKUP(Pipeline_tbl[[#This Row],[Created_Date]],Dim_Date!A:A,Dim_Date!H:H)</f>
        <v>Sep 2024</v>
      </c>
      <c r="T445" t="str">
        <f>IF(Pipeline_tbl[[#This Row],[Closed_Date]]=0,"",(_xlfn.XLOOKUP(Pipeline_tbl[[#This Row],[Closed_Date]],Dim_Date!A:A,Dim_Date!H:H)))</f>
        <v>Oct 2024</v>
      </c>
      <c r="U445">
        <f>IF(Pipeline_tbl[[#This Row],[Closed_Date]]=0,"",Pipeline_tbl[[#This Row],[Closed_Date]]-Pipeline_tbl[[#This Row],[Created_Date]])</f>
        <v>18</v>
      </c>
    </row>
    <row r="446" spans="1:21" ht="15" customHeight="1" x14ac:dyDescent="0.2">
      <c r="A446" t="s">
        <v>752</v>
      </c>
      <c r="B446" t="s">
        <v>227</v>
      </c>
      <c r="C446" t="s">
        <v>52</v>
      </c>
      <c r="D446" s="49">
        <v>45546</v>
      </c>
      <c r="E446" s="49">
        <v>45548</v>
      </c>
      <c r="F446" s="49">
        <v>45552</v>
      </c>
      <c r="G446" s="49">
        <v>45559</v>
      </c>
      <c r="I446" s="49">
        <v>45567</v>
      </c>
      <c r="J446" t="s">
        <v>49</v>
      </c>
      <c r="K446" s="33">
        <v>4300</v>
      </c>
      <c r="L446" t="s">
        <v>61</v>
      </c>
      <c r="M446" t="str">
        <f>_xlfn.XLOOKUP(Pipeline_tbl[[#This Row],[Rep_ID]],Dim_Reps!A:A,Dim_Reps!K:K)</f>
        <v>EUR</v>
      </c>
      <c r="N446" s="33">
        <f>(_xlfn.XLOOKUP(Pipeline_tbl[[#This Row],[Rate_Code_Generalized]],Lookups!A:A,Lookups!B:B))*Pipeline_tbl[[#This Row],[Pipeline_Amount_USD]]</f>
        <v>4300</v>
      </c>
      <c r="O446" t="str">
        <f>_xlfn.XLOOKUP(Pipeline_tbl[[#This Row],[Rep_ID]],Dim_Reps!A:A,Dim_Reps!B:B)</f>
        <v>Liam Muller</v>
      </c>
      <c r="P446" t="str">
        <f>_xlfn.XLOOKUP(Pipeline_tbl[[#This Row],[Rep_ID]],Dim_Reps!A:A,Dim_Reps!C:C)</f>
        <v>SDR / Inside Sales Rep</v>
      </c>
      <c r="Q446" t="str">
        <f>_xlfn.XLOOKUP(Pipeline_tbl[[#This Row],[Rep_ID]],Dim_Reps!A:A,Dim_Reps!D:D)</f>
        <v>Inside Sales</v>
      </c>
      <c r="R446" t="str">
        <f>_xlfn.XLOOKUP(Pipeline_tbl[[#This Row],[Rep_ID]],Dim_Reps!A:A,Dim_Reps!E:E)</f>
        <v>EMEA</v>
      </c>
      <c r="S446" t="str">
        <f>_xlfn.XLOOKUP(Pipeline_tbl[[#This Row],[Created_Date]],Dim_Date!A:A,Dim_Date!H:H)</f>
        <v>Sep 2024</v>
      </c>
      <c r="T446" t="str">
        <f>IF(Pipeline_tbl[[#This Row],[Closed_Date]]=0,"",(_xlfn.XLOOKUP(Pipeline_tbl[[#This Row],[Closed_Date]],Dim_Date!A:A,Dim_Date!H:H)))</f>
        <v>Oct 2024</v>
      </c>
      <c r="U446">
        <f>IF(Pipeline_tbl[[#This Row],[Closed_Date]]=0,"",Pipeline_tbl[[#This Row],[Closed_Date]]-Pipeline_tbl[[#This Row],[Created_Date]])</f>
        <v>21</v>
      </c>
    </row>
    <row r="447" spans="1:21" ht="15" customHeight="1" x14ac:dyDescent="0.2">
      <c r="A447" t="s">
        <v>753</v>
      </c>
      <c r="B447" t="s">
        <v>227</v>
      </c>
      <c r="C447" t="s">
        <v>52</v>
      </c>
      <c r="D447" s="49">
        <v>45561</v>
      </c>
      <c r="E447" s="49">
        <v>45563</v>
      </c>
      <c r="F447" s="49">
        <v>45566</v>
      </c>
      <c r="G447" s="49">
        <v>45570</v>
      </c>
      <c r="H447" s="49">
        <v>45574</v>
      </c>
      <c r="I447" s="49">
        <v>45576</v>
      </c>
      <c r="J447" t="s">
        <v>47</v>
      </c>
      <c r="K447" s="33">
        <v>7200</v>
      </c>
      <c r="M447" t="str">
        <f>_xlfn.XLOOKUP(Pipeline_tbl[[#This Row],[Rep_ID]],Dim_Reps!A:A,Dim_Reps!K:K)</f>
        <v>EUR</v>
      </c>
      <c r="N447" s="33">
        <f>(_xlfn.XLOOKUP(Pipeline_tbl[[#This Row],[Rate_Code_Generalized]],Lookups!A:A,Lookups!B:B))*Pipeline_tbl[[#This Row],[Pipeline_Amount_USD]]</f>
        <v>7200</v>
      </c>
      <c r="O447" t="str">
        <f>_xlfn.XLOOKUP(Pipeline_tbl[[#This Row],[Rep_ID]],Dim_Reps!A:A,Dim_Reps!B:B)</f>
        <v>Liam Muller</v>
      </c>
      <c r="P447" t="str">
        <f>_xlfn.XLOOKUP(Pipeline_tbl[[#This Row],[Rep_ID]],Dim_Reps!A:A,Dim_Reps!C:C)</f>
        <v>SDR / Inside Sales Rep</v>
      </c>
      <c r="Q447" t="str">
        <f>_xlfn.XLOOKUP(Pipeline_tbl[[#This Row],[Rep_ID]],Dim_Reps!A:A,Dim_Reps!D:D)</f>
        <v>Inside Sales</v>
      </c>
      <c r="R447" t="str">
        <f>_xlfn.XLOOKUP(Pipeline_tbl[[#This Row],[Rep_ID]],Dim_Reps!A:A,Dim_Reps!E:E)</f>
        <v>EMEA</v>
      </c>
      <c r="S447" t="str">
        <f>_xlfn.XLOOKUP(Pipeline_tbl[[#This Row],[Created_Date]],Dim_Date!A:A,Dim_Date!H:H)</f>
        <v>Sep 2024</v>
      </c>
      <c r="T447" t="str">
        <f>IF(Pipeline_tbl[[#This Row],[Closed_Date]]=0,"",(_xlfn.XLOOKUP(Pipeline_tbl[[#This Row],[Closed_Date]],Dim_Date!A:A,Dim_Date!H:H)))</f>
        <v>Oct 2024</v>
      </c>
      <c r="U447">
        <f>IF(Pipeline_tbl[[#This Row],[Closed_Date]]=0,"",Pipeline_tbl[[#This Row],[Closed_Date]]-Pipeline_tbl[[#This Row],[Created_Date]])</f>
        <v>15</v>
      </c>
    </row>
    <row r="448" spans="1:21" ht="15" customHeight="1" x14ac:dyDescent="0.2">
      <c r="A448" t="s">
        <v>754</v>
      </c>
      <c r="B448" t="s">
        <v>227</v>
      </c>
      <c r="C448" t="s">
        <v>52</v>
      </c>
      <c r="D448" s="49">
        <v>45558</v>
      </c>
      <c r="E448" s="49">
        <v>45559</v>
      </c>
      <c r="F448" s="49">
        <v>45562</v>
      </c>
      <c r="G448" s="49">
        <v>45565</v>
      </c>
      <c r="H448" s="49">
        <v>45568</v>
      </c>
      <c r="I448" s="49">
        <v>45570</v>
      </c>
      <c r="J448" t="s">
        <v>47</v>
      </c>
      <c r="K448" s="33">
        <v>7200</v>
      </c>
      <c r="M448" t="str">
        <f>_xlfn.XLOOKUP(Pipeline_tbl[[#This Row],[Rep_ID]],Dim_Reps!A:A,Dim_Reps!K:K)</f>
        <v>EUR</v>
      </c>
      <c r="N448" s="33">
        <f>(_xlfn.XLOOKUP(Pipeline_tbl[[#This Row],[Rate_Code_Generalized]],Lookups!A:A,Lookups!B:B))*Pipeline_tbl[[#This Row],[Pipeline_Amount_USD]]</f>
        <v>7200</v>
      </c>
      <c r="O448" t="str">
        <f>_xlfn.XLOOKUP(Pipeline_tbl[[#This Row],[Rep_ID]],Dim_Reps!A:A,Dim_Reps!B:B)</f>
        <v>Liam Muller</v>
      </c>
      <c r="P448" t="str">
        <f>_xlfn.XLOOKUP(Pipeline_tbl[[#This Row],[Rep_ID]],Dim_Reps!A:A,Dim_Reps!C:C)</f>
        <v>SDR / Inside Sales Rep</v>
      </c>
      <c r="Q448" t="str">
        <f>_xlfn.XLOOKUP(Pipeline_tbl[[#This Row],[Rep_ID]],Dim_Reps!A:A,Dim_Reps!D:D)</f>
        <v>Inside Sales</v>
      </c>
      <c r="R448" t="str">
        <f>_xlfn.XLOOKUP(Pipeline_tbl[[#This Row],[Rep_ID]],Dim_Reps!A:A,Dim_Reps!E:E)</f>
        <v>EMEA</v>
      </c>
      <c r="S448" t="str">
        <f>_xlfn.XLOOKUP(Pipeline_tbl[[#This Row],[Created_Date]],Dim_Date!A:A,Dim_Date!H:H)</f>
        <v>Sep 2024</v>
      </c>
      <c r="T448" t="str">
        <f>IF(Pipeline_tbl[[#This Row],[Closed_Date]]=0,"",(_xlfn.XLOOKUP(Pipeline_tbl[[#This Row],[Closed_Date]],Dim_Date!A:A,Dim_Date!H:H)))</f>
        <v>Oct 2024</v>
      </c>
      <c r="U448">
        <f>IF(Pipeline_tbl[[#This Row],[Closed_Date]]=0,"",Pipeline_tbl[[#This Row],[Closed_Date]]-Pipeline_tbl[[#This Row],[Created_Date]])</f>
        <v>12</v>
      </c>
    </row>
    <row r="449" spans="1:21" ht="15" customHeight="1" x14ac:dyDescent="0.2">
      <c r="A449" t="s">
        <v>755</v>
      </c>
      <c r="B449" t="s">
        <v>227</v>
      </c>
      <c r="C449" t="s">
        <v>54</v>
      </c>
      <c r="D449" s="49">
        <v>45563</v>
      </c>
      <c r="E449" s="49">
        <v>45565</v>
      </c>
      <c r="F449" s="49">
        <v>45568</v>
      </c>
      <c r="G449" s="49">
        <v>45572</v>
      </c>
      <c r="I449" s="49">
        <v>45578</v>
      </c>
      <c r="J449" t="s">
        <v>49</v>
      </c>
      <c r="K449" s="33">
        <v>3300</v>
      </c>
      <c r="L449" t="s">
        <v>64</v>
      </c>
      <c r="M449" t="str">
        <f>_xlfn.XLOOKUP(Pipeline_tbl[[#This Row],[Rep_ID]],Dim_Reps!A:A,Dim_Reps!K:K)</f>
        <v>EUR</v>
      </c>
      <c r="N449" s="33">
        <f>(_xlfn.XLOOKUP(Pipeline_tbl[[#This Row],[Rate_Code_Generalized]],Lookups!A:A,Lookups!B:B))*Pipeline_tbl[[#This Row],[Pipeline_Amount_USD]]</f>
        <v>3300</v>
      </c>
      <c r="O449" t="str">
        <f>_xlfn.XLOOKUP(Pipeline_tbl[[#This Row],[Rep_ID]],Dim_Reps!A:A,Dim_Reps!B:B)</f>
        <v>Liam Muller</v>
      </c>
      <c r="P449" t="str">
        <f>_xlfn.XLOOKUP(Pipeline_tbl[[#This Row],[Rep_ID]],Dim_Reps!A:A,Dim_Reps!C:C)</f>
        <v>SDR / Inside Sales Rep</v>
      </c>
      <c r="Q449" t="str">
        <f>_xlfn.XLOOKUP(Pipeline_tbl[[#This Row],[Rep_ID]],Dim_Reps!A:A,Dim_Reps!D:D)</f>
        <v>Inside Sales</v>
      </c>
      <c r="R449" t="str">
        <f>_xlfn.XLOOKUP(Pipeline_tbl[[#This Row],[Rep_ID]],Dim_Reps!A:A,Dim_Reps!E:E)</f>
        <v>EMEA</v>
      </c>
      <c r="S449" t="str">
        <f>_xlfn.XLOOKUP(Pipeline_tbl[[#This Row],[Created_Date]],Dim_Date!A:A,Dim_Date!H:H)</f>
        <v>Sep 2024</v>
      </c>
      <c r="T449" t="str">
        <f>IF(Pipeline_tbl[[#This Row],[Closed_Date]]=0,"",(_xlfn.XLOOKUP(Pipeline_tbl[[#This Row],[Closed_Date]],Dim_Date!A:A,Dim_Date!H:H)))</f>
        <v>Oct 2024</v>
      </c>
      <c r="U449">
        <f>IF(Pipeline_tbl[[#This Row],[Closed_Date]]=0,"",Pipeline_tbl[[#This Row],[Closed_Date]]-Pipeline_tbl[[#This Row],[Created_Date]])</f>
        <v>15</v>
      </c>
    </row>
    <row r="450" spans="1:21" ht="15" customHeight="1" x14ac:dyDescent="0.2">
      <c r="A450" t="s">
        <v>756</v>
      </c>
      <c r="B450" t="s">
        <v>229</v>
      </c>
      <c r="C450" t="s">
        <v>54</v>
      </c>
      <c r="D450" s="49">
        <v>45563</v>
      </c>
      <c r="E450" s="49">
        <v>45565</v>
      </c>
      <c r="F450" s="49">
        <v>45571</v>
      </c>
      <c r="G450" s="49">
        <v>45578</v>
      </c>
      <c r="H450" s="49">
        <v>45584</v>
      </c>
      <c r="I450" s="49">
        <v>45588</v>
      </c>
      <c r="J450" t="s">
        <v>47</v>
      </c>
      <c r="K450" s="33">
        <v>1700</v>
      </c>
      <c r="M450" t="str">
        <f>_xlfn.XLOOKUP(Pipeline_tbl[[#This Row],[Rep_ID]],Dim_Reps!A:A,Dim_Reps!K:K)</f>
        <v>USD</v>
      </c>
      <c r="N450" s="33">
        <f>(_xlfn.XLOOKUP(Pipeline_tbl[[#This Row],[Rate_Code_Generalized]],Lookups!A:A,Lookups!B:B))*Pipeline_tbl[[#This Row],[Pipeline_Amount_USD]]</f>
        <v>1979.3099999999997</v>
      </c>
      <c r="O450" t="str">
        <f>_xlfn.XLOOKUP(Pipeline_tbl[[#This Row],[Rep_ID]],Dim_Reps!A:A,Dim_Reps!B:B)</f>
        <v>Liam Castro</v>
      </c>
      <c r="P450" t="str">
        <f>_xlfn.XLOOKUP(Pipeline_tbl[[#This Row],[Rep_ID]],Dim_Reps!A:A,Dim_Reps!C:C)</f>
        <v>SDR / Inside Sales Rep</v>
      </c>
      <c r="Q450" t="str">
        <f>_xlfn.XLOOKUP(Pipeline_tbl[[#This Row],[Rep_ID]],Dim_Reps!A:A,Dim_Reps!D:D)</f>
        <v>Inside Sales</v>
      </c>
      <c r="R450" t="str">
        <f>_xlfn.XLOOKUP(Pipeline_tbl[[#This Row],[Rep_ID]],Dim_Reps!A:A,Dim_Reps!E:E)</f>
        <v>NAMER</v>
      </c>
      <c r="S450" t="str">
        <f>_xlfn.XLOOKUP(Pipeline_tbl[[#This Row],[Created_Date]],Dim_Date!A:A,Dim_Date!H:H)</f>
        <v>Sep 2024</v>
      </c>
      <c r="T450" t="str">
        <f>IF(Pipeline_tbl[[#This Row],[Closed_Date]]=0,"",(_xlfn.XLOOKUP(Pipeline_tbl[[#This Row],[Closed_Date]],Dim_Date!A:A,Dim_Date!H:H)))</f>
        <v>Oct 2024</v>
      </c>
      <c r="U450">
        <f>IF(Pipeline_tbl[[#This Row],[Closed_Date]]=0,"",Pipeline_tbl[[#This Row],[Closed_Date]]-Pipeline_tbl[[#This Row],[Created_Date]])</f>
        <v>25</v>
      </c>
    </row>
    <row r="451" spans="1:21" ht="15" customHeight="1" x14ac:dyDescent="0.2">
      <c r="A451" t="s">
        <v>757</v>
      </c>
      <c r="B451" t="s">
        <v>229</v>
      </c>
      <c r="C451" t="s">
        <v>53</v>
      </c>
      <c r="D451" s="49">
        <v>45563</v>
      </c>
      <c r="E451" s="49">
        <v>45565</v>
      </c>
      <c r="F451" s="49">
        <v>45570</v>
      </c>
      <c r="G451" s="49">
        <v>45576</v>
      </c>
      <c r="H451" s="49">
        <v>45582</v>
      </c>
      <c r="I451" s="49">
        <v>45585</v>
      </c>
      <c r="J451" t="s">
        <v>49</v>
      </c>
      <c r="K451" s="33">
        <v>4000</v>
      </c>
      <c r="L451" t="s">
        <v>61</v>
      </c>
      <c r="M451" t="str">
        <f>_xlfn.XLOOKUP(Pipeline_tbl[[#This Row],[Rep_ID]],Dim_Reps!A:A,Dim_Reps!K:K)</f>
        <v>USD</v>
      </c>
      <c r="N451" s="33">
        <f>(_xlfn.XLOOKUP(Pipeline_tbl[[#This Row],[Rate_Code_Generalized]],Lookups!A:A,Lookups!B:B))*Pipeline_tbl[[#This Row],[Pipeline_Amount_USD]]</f>
        <v>4657.2</v>
      </c>
      <c r="O451" t="str">
        <f>_xlfn.XLOOKUP(Pipeline_tbl[[#This Row],[Rep_ID]],Dim_Reps!A:A,Dim_Reps!B:B)</f>
        <v>Liam Castro</v>
      </c>
      <c r="P451" t="str">
        <f>_xlfn.XLOOKUP(Pipeline_tbl[[#This Row],[Rep_ID]],Dim_Reps!A:A,Dim_Reps!C:C)</f>
        <v>SDR / Inside Sales Rep</v>
      </c>
      <c r="Q451" t="str">
        <f>_xlfn.XLOOKUP(Pipeline_tbl[[#This Row],[Rep_ID]],Dim_Reps!A:A,Dim_Reps!D:D)</f>
        <v>Inside Sales</v>
      </c>
      <c r="R451" t="str">
        <f>_xlfn.XLOOKUP(Pipeline_tbl[[#This Row],[Rep_ID]],Dim_Reps!A:A,Dim_Reps!E:E)</f>
        <v>NAMER</v>
      </c>
      <c r="S451" t="str">
        <f>_xlfn.XLOOKUP(Pipeline_tbl[[#This Row],[Created_Date]],Dim_Date!A:A,Dim_Date!H:H)</f>
        <v>Sep 2024</v>
      </c>
      <c r="T451" t="str">
        <f>IF(Pipeline_tbl[[#This Row],[Closed_Date]]=0,"",(_xlfn.XLOOKUP(Pipeline_tbl[[#This Row],[Closed_Date]],Dim_Date!A:A,Dim_Date!H:H)))</f>
        <v>Oct 2024</v>
      </c>
      <c r="U451">
        <f>IF(Pipeline_tbl[[#This Row],[Closed_Date]]=0,"",Pipeline_tbl[[#This Row],[Closed_Date]]-Pipeline_tbl[[#This Row],[Created_Date]])</f>
        <v>22</v>
      </c>
    </row>
    <row r="452" spans="1:21" ht="15" customHeight="1" x14ac:dyDescent="0.2">
      <c r="A452" t="s">
        <v>758</v>
      </c>
      <c r="B452" t="s">
        <v>229</v>
      </c>
      <c r="C452" t="s">
        <v>55</v>
      </c>
      <c r="D452" s="49">
        <v>45557</v>
      </c>
      <c r="E452" s="49">
        <v>45559</v>
      </c>
      <c r="F452" s="49">
        <v>45562</v>
      </c>
      <c r="G452" s="49">
        <v>45568</v>
      </c>
      <c r="I452" s="49">
        <v>45575</v>
      </c>
      <c r="J452" t="s">
        <v>49</v>
      </c>
      <c r="K452" s="33">
        <v>3800</v>
      </c>
      <c r="L452" t="s">
        <v>64</v>
      </c>
      <c r="M452" t="str">
        <f>_xlfn.XLOOKUP(Pipeline_tbl[[#This Row],[Rep_ID]],Dim_Reps!A:A,Dim_Reps!K:K)</f>
        <v>USD</v>
      </c>
      <c r="N452" s="33">
        <f>(_xlfn.XLOOKUP(Pipeline_tbl[[#This Row],[Rate_Code_Generalized]],Lookups!A:A,Lookups!B:B))*Pipeline_tbl[[#This Row],[Pipeline_Amount_USD]]</f>
        <v>4424.3399999999992</v>
      </c>
      <c r="O452" t="str">
        <f>_xlfn.XLOOKUP(Pipeline_tbl[[#This Row],[Rep_ID]],Dim_Reps!A:A,Dim_Reps!B:B)</f>
        <v>Liam Castro</v>
      </c>
      <c r="P452" t="str">
        <f>_xlfn.XLOOKUP(Pipeline_tbl[[#This Row],[Rep_ID]],Dim_Reps!A:A,Dim_Reps!C:C)</f>
        <v>SDR / Inside Sales Rep</v>
      </c>
      <c r="Q452" t="str">
        <f>_xlfn.XLOOKUP(Pipeline_tbl[[#This Row],[Rep_ID]],Dim_Reps!A:A,Dim_Reps!D:D)</f>
        <v>Inside Sales</v>
      </c>
      <c r="R452" t="str">
        <f>_xlfn.XLOOKUP(Pipeline_tbl[[#This Row],[Rep_ID]],Dim_Reps!A:A,Dim_Reps!E:E)</f>
        <v>NAMER</v>
      </c>
      <c r="S452" t="str">
        <f>_xlfn.XLOOKUP(Pipeline_tbl[[#This Row],[Created_Date]],Dim_Date!A:A,Dim_Date!H:H)</f>
        <v>Sep 2024</v>
      </c>
      <c r="T452" t="str">
        <f>IF(Pipeline_tbl[[#This Row],[Closed_Date]]=0,"",(_xlfn.XLOOKUP(Pipeline_tbl[[#This Row],[Closed_Date]],Dim_Date!A:A,Dim_Date!H:H)))</f>
        <v>Oct 2024</v>
      </c>
      <c r="U452">
        <f>IF(Pipeline_tbl[[#This Row],[Closed_Date]]=0,"",Pipeline_tbl[[#This Row],[Closed_Date]]-Pipeline_tbl[[#This Row],[Created_Date]])</f>
        <v>18</v>
      </c>
    </row>
    <row r="453" spans="1:21" ht="15" customHeight="1" x14ac:dyDescent="0.2">
      <c r="A453" t="s">
        <v>759</v>
      </c>
      <c r="B453" t="s">
        <v>229</v>
      </c>
      <c r="C453" t="s">
        <v>55</v>
      </c>
      <c r="D453" s="49">
        <v>45564</v>
      </c>
      <c r="E453" s="49">
        <v>45566</v>
      </c>
      <c r="F453" s="49">
        <v>45569</v>
      </c>
      <c r="G453" s="49">
        <v>45574</v>
      </c>
      <c r="I453" s="49">
        <v>45580</v>
      </c>
      <c r="J453" t="s">
        <v>49</v>
      </c>
      <c r="K453" s="33">
        <v>3700</v>
      </c>
      <c r="L453" t="s">
        <v>60</v>
      </c>
      <c r="M453" t="str">
        <f>_xlfn.XLOOKUP(Pipeline_tbl[[#This Row],[Rep_ID]],Dim_Reps!A:A,Dim_Reps!K:K)</f>
        <v>USD</v>
      </c>
      <c r="N453" s="33">
        <f>(_xlfn.XLOOKUP(Pipeline_tbl[[#This Row],[Rate_Code_Generalized]],Lookups!A:A,Lookups!B:B))*Pipeline_tbl[[#This Row],[Pipeline_Amount_USD]]</f>
        <v>4307.91</v>
      </c>
      <c r="O453" t="str">
        <f>_xlfn.XLOOKUP(Pipeline_tbl[[#This Row],[Rep_ID]],Dim_Reps!A:A,Dim_Reps!B:B)</f>
        <v>Liam Castro</v>
      </c>
      <c r="P453" t="str">
        <f>_xlfn.XLOOKUP(Pipeline_tbl[[#This Row],[Rep_ID]],Dim_Reps!A:A,Dim_Reps!C:C)</f>
        <v>SDR / Inside Sales Rep</v>
      </c>
      <c r="Q453" t="str">
        <f>_xlfn.XLOOKUP(Pipeline_tbl[[#This Row],[Rep_ID]],Dim_Reps!A:A,Dim_Reps!D:D)</f>
        <v>Inside Sales</v>
      </c>
      <c r="R453" t="str">
        <f>_xlfn.XLOOKUP(Pipeline_tbl[[#This Row],[Rep_ID]],Dim_Reps!A:A,Dim_Reps!E:E)</f>
        <v>NAMER</v>
      </c>
      <c r="S453" t="str">
        <f>_xlfn.XLOOKUP(Pipeline_tbl[[#This Row],[Created_Date]],Dim_Date!A:A,Dim_Date!H:H)</f>
        <v>Sep 2024</v>
      </c>
      <c r="T453" t="str">
        <f>IF(Pipeline_tbl[[#This Row],[Closed_Date]]=0,"",(_xlfn.XLOOKUP(Pipeline_tbl[[#This Row],[Closed_Date]],Dim_Date!A:A,Dim_Date!H:H)))</f>
        <v>Oct 2024</v>
      </c>
      <c r="U453">
        <f>IF(Pipeline_tbl[[#This Row],[Closed_Date]]=0,"",Pipeline_tbl[[#This Row],[Closed_Date]]-Pipeline_tbl[[#This Row],[Created_Date]])</f>
        <v>16</v>
      </c>
    </row>
    <row r="454" spans="1:21" ht="15" customHeight="1" x14ac:dyDescent="0.2">
      <c r="A454" t="s">
        <v>760</v>
      </c>
      <c r="B454" t="s">
        <v>231</v>
      </c>
      <c r="C454" t="s">
        <v>55</v>
      </c>
      <c r="D454" s="49">
        <v>45559</v>
      </c>
      <c r="E454" s="49">
        <v>45561</v>
      </c>
      <c r="F454" s="49">
        <v>45564</v>
      </c>
      <c r="I454" s="49">
        <v>45575</v>
      </c>
      <c r="J454" t="s">
        <v>49</v>
      </c>
      <c r="K454" s="33">
        <v>2200</v>
      </c>
      <c r="L454" t="s">
        <v>64</v>
      </c>
      <c r="M454" t="str">
        <f>_xlfn.XLOOKUP(Pipeline_tbl[[#This Row],[Rep_ID]],Dim_Reps!A:A,Dim_Reps!K:K)</f>
        <v>MXN</v>
      </c>
      <c r="N454" s="33">
        <f>(_xlfn.XLOOKUP(Pipeline_tbl[[#This Row],[Rate_Code_Generalized]],Lookups!A:A,Lookups!B:B))*Pipeline_tbl[[#This Row],[Pipeline_Amount_USD]]</f>
        <v>43411.94</v>
      </c>
      <c r="O454" t="str">
        <f>_xlfn.XLOOKUP(Pipeline_tbl[[#This Row],[Rep_ID]],Dim_Reps!A:A,Dim_Reps!B:B)</f>
        <v>Ben Silva</v>
      </c>
      <c r="P454" t="str">
        <f>_xlfn.XLOOKUP(Pipeline_tbl[[#This Row],[Rep_ID]],Dim_Reps!A:A,Dim_Reps!C:C)</f>
        <v>SDR / Inside Sales Rep</v>
      </c>
      <c r="Q454" t="str">
        <f>_xlfn.XLOOKUP(Pipeline_tbl[[#This Row],[Rep_ID]],Dim_Reps!A:A,Dim_Reps!D:D)</f>
        <v>Inside Sales</v>
      </c>
      <c r="R454" t="str">
        <f>_xlfn.XLOOKUP(Pipeline_tbl[[#This Row],[Rep_ID]],Dim_Reps!A:A,Dim_Reps!E:E)</f>
        <v>LATAM</v>
      </c>
      <c r="S454" t="str">
        <f>_xlfn.XLOOKUP(Pipeline_tbl[[#This Row],[Created_Date]],Dim_Date!A:A,Dim_Date!H:H)</f>
        <v>Sep 2024</v>
      </c>
      <c r="T454" t="str">
        <f>IF(Pipeline_tbl[[#This Row],[Closed_Date]]=0,"",(_xlfn.XLOOKUP(Pipeline_tbl[[#This Row],[Closed_Date]],Dim_Date!A:A,Dim_Date!H:H)))</f>
        <v>Oct 2024</v>
      </c>
      <c r="U454">
        <f>IF(Pipeline_tbl[[#This Row],[Closed_Date]]=0,"",Pipeline_tbl[[#This Row],[Closed_Date]]-Pipeline_tbl[[#This Row],[Created_Date]])</f>
        <v>16</v>
      </c>
    </row>
    <row r="455" spans="1:21" ht="15" customHeight="1" x14ac:dyDescent="0.2">
      <c r="A455" t="s">
        <v>761</v>
      </c>
      <c r="B455" t="s">
        <v>231</v>
      </c>
      <c r="C455" t="s">
        <v>52</v>
      </c>
      <c r="D455" s="49">
        <v>45555</v>
      </c>
      <c r="E455" s="49">
        <v>45557</v>
      </c>
      <c r="F455" s="49">
        <v>45560</v>
      </c>
      <c r="G455" s="49">
        <v>45564</v>
      </c>
      <c r="H455" s="49">
        <v>45568</v>
      </c>
      <c r="I455" s="49">
        <v>45570</v>
      </c>
      <c r="J455" t="s">
        <v>47</v>
      </c>
      <c r="K455" s="33">
        <v>6000</v>
      </c>
      <c r="M455" t="str">
        <f>_xlfn.XLOOKUP(Pipeline_tbl[[#This Row],[Rep_ID]],Dim_Reps!A:A,Dim_Reps!K:K)</f>
        <v>MXN</v>
      </c>
      <c r="N455" s="33">
        <f>(_xlfn.XLOOKUP(Pipeline_tbl[[#This Row],[Rate_Code_Generalized]],Lookups!A:A,Lookups!B:B))*Pipeline_tbl[[#This Row],[Pipeline_Amount_USD]]</f>
        <v>118396.20000000001</v>
      </c>
      <c r="O455" t="str">
        <f>_xlfn.XLOOKUP(Pipeline_tbl[[#This Row],[Rep_ID]],Dim_Reps!A:A,Dim_Reps!B:B)</f>
        <v>Ben Silva</v>
      </c>
      <c r="P455" t="str">
        <f>_xlfn.XLOOKUP(Pipeline_tbl[[#This Row],[Rep_ID]],Dim_Reps!A:A,Dim_Reps!C:C)</f>
        <v>SDR / Inside Sales Rep</v>
      </c>
      <c r="Q455" t="str">
        <f>_xlfn.XLOOKUP(Pipeline_tbl[[#This Row],[Rep_ID]],Dim_Reps!A:A,Dim_Reps!D:D)</f>
        <v>Inside Sales</v>
      </c>
      <c r="R455" t="str">
        <f>_xlfn.XLOOKUP(Pipeline_tbl[[#This Row],[Rep_ID]],Dim_Reps!A:A,Dim_Reps!E:E)</f>
        <v>LATAM</v>
      </c>
      <c r="S455" t="str">
        <f>_xlfn.XLOOKUP(Pipeline_tbl[[#This Row],[Created_Date]],Dim_Date!A:A,Dim_Date!H:H)</f>
        <v>Sep 2024</v>
      </c>
      <c r="T455" t="str">
        <f>IF(Pipeline_tbl[[#This Row],[Closed_Date]]=0,"",(_xlfn.XLOOKUP(Pipeline_tbl[[#This Row],[Closed_Date]],Dim_Date!A:A,Dim_Date!H:H)))</f>
        <v>Oct 2024</v>
      </c>
      <c r="U455">
        <f>IF(Pipeline_tbl[[#This Row],[Closed_Date]]=0,"",Pipeline_tbl[[#This Row],[Closed_Date]]-Pipeline_tbl[[#This Row],[Created_Date]])</f>
        <v>15</v>
      </c>
    </row>
    <row r="456" spans="1:21" ht="15" customHeight="1" x14ac:dyDescent="0.2">
      <c r="A456" t="s">
        <v>762</v>
      </c>
      <c r="B456" t="s">
        <v>231</v>
      </c>
      <c r="C456" t="s">
        <v>52</v>
      </c>
      <c r="D456" s="49">
        <v>45543</v>
      </c>
      <c r="E456" s="49">
        <v>45546</v>
      </c>
      <c r="F456" s="49">
        <v>45551</v>
      </c>
      <c r="G456" s="49">
        <v>45559</v>
      </c>
      <c r="H456" s="49">
        <v>45565</v>
      </c>
      <c r="I456" s="49">
        <v>45569</v>
      </c>
      <c r="J456" t="s">
        <v>47</v>
      </c>
      <c r="K456" s="33">
        <v>2500</v>
      </c>
      <c r="M456" t="str">
        <f>_xlfn.XLOOKUP(Pipeline_tbl[[#This Row],[Rep_ID]],Dim_Reps!A:A,Dim_Reps!K:K)</f>
        <v>MXN</v>
      </c>
      <c r="N456" s="33">
        <f>(_xlfn.XLOOKUP(Pipeline_tbl[[#This Row],[Rate_Code_Generalized]],Lookups!A:A,Lookups!B:B))*Pipeline_tbl[[#This Row],[Pipeline_Amount_USD]]</f>
        <v>49331.75</v>
      </c>
      <c r="O456" t="str">
        <f>_xlfn.XLOOKUP(Pipeline_tbl[[#This Row],[Rep_ID]],Dim_Reps!A:A,Dim_Reps!B:B)</f>
        <v>Ben Silva</v>
      </c>
      <c r="P456" t="str">
        <f>_xlfn.XLOOKUP(Pipeline_tbl[[#This Row],[Rep_ID]],Dim_Reps!A:A,Dim_Reps!C:C)</f>
        <v>SDR / Inside Sales Rep</v>
      </c>
      <c r="Q456" t="str">
        <f>_xlfn.XLOOKUP(Pipeline_tbl[[#This Row],[Rep_ID]],Dim_Reps!A:A,Dim_Reps!D:D)</f>
        <v>Inside Sales</v>
      </c>
      <c r="R456" t="str">
        <f>_xlfn.XLOOKUP(Pipeline_tbl[[#This Row],[Rep_ID]],Dim_Reps!A:A,Dim_Reps!E:E)</f>
        <v>LATAM</v>
      </c>
      <c r="S456" t="str">
        <f>_xlfn.XLOOKUP(Pipeline_tbl[[#This Row],[Created_Date]],Dim_Date!A:A,Dim_Date!H:H)</f>
        <v>Sep 2024</v>
      </c>
      <c r="T456" t="str">
        <f>IF(Pipeline_tbl[[#This Row],[Closed_Date]]=0,"",(_xlfn.XLOOKUP(Pipeline_tbl[[#This Row],[Closed_Date]],Dim_Date!A:A,Dim_Date!H:H)))</f>
        <v>Oct 2024</v>
      </c>
      <c r="U456">
        <f>IF(Pipeline_tbl[[#This Row],[Closed_Date]]=0,"",Pipeline_tbl[[#This Row],[Closed_Date]]-Pipeline_tbl[[#This Row],[Created_Date]])</f>
        <v>26</v>
      </c>
    </row>
    <row r="457" spans="1:21" ht="15" customHeight="1" x14ac:dyDescent="0.2">
      <c r="A457" t="s">
        <v>763</v>
      </c>
      <c r="B457" t="s">
        <v>231</v>
      </c>
      <c r="C457" t="s">
        <v>55</v>
      </c>
      <c r="D457" s="49">
        <v>45550</v>
      </c>
      <c r="E457" s="49">
        <v>45552</v>
      </c>
      <c r="F457" s="49">
        <v>45555</v>
      </c>
      <c r="G457" s="49">
        <v>45560</v>
      </c>
      <c r="I457" s="49">
        <v>45566</v>
      </c>
      <c r="J457" t="s">
        <v>49</v>
      </c>
      <c r="K457" s="33">
        <v>4200</v>
      </c>
      <c r="L457" t="s">
        <v>60</v>
      </c>
      <c r="M457" t="str">
        <f>_xlfn.XLOOKUP(Pipeline_tbl[[#This Row],[Rep_ID]],Dim_Reps!A:A,Dim_Reps!K:K)</f>
        <v>MXN</v>
      </c>
      <c r="N457" s="33">
        <f>(_xlfn.XLOOKUP(Pipeline_tbl[[#This Row],[Rate_Code_Generalized]],Lookups!A:A,Lookups!B:B))*Pipeline_tbl[[#This Row],[Pipeline_Amount_USD]]</f>
        <v>82877.340000000011</v>
      </c>
      <c r="O457" t="str">
        <f>_xlfn.XLOOKUP(Pipeline_tbl[[#This Row],[Rep_ID]],Dim_Reps!A:A,Dim_Reps!B:B)</f>
        <v>Ben Silva</v>
      </c>
      <c r="P457" t="str">
        <f>_xlfn.XLOOKUP(Pipeline_tbl[[#This Row],[Rep_ID]],Dim_Reps!A:A,Dim_Reps!C:C)</f>
        <v>SDR / Inside Sales Rep</v>
      </c>
      <c r="Q457" t="str">
        <f>_xlfn.XLOOKUP(Pipeline_tbl[[#This Row],[Rep_ID]],Dim_Reps!A:A,Dim_Reps!D:D)</f>
        <v>Inside Sales</v>
      </c>
      <c r="R457" t="str">
        <f>_xlfn.XLOOKUP(Pipeline_tbl[[#This Row],[Rep_ID]],Dim_Reps!A:A,Dim_Reps!E:E)</f>
        <v>LATAM</v>
      </c>
      <c r="S457" t="str">
        <f>_xlfn.XLOOKUP(Pipeline_tbl[[#This Row],[Created_Date]],Dim_Date!A:A,Dim_Date!H:H)</f>
        <v>Sep 2024</v>
      </c>
      <c r="T457" t="str">
        <f>IF(Pipeline_tbl[[#This Row],[Closed_Date]]=0,"",(_xlfn.XLOOKUP(Pipeline_tbl[[#This Row],[Closed_Date]],Dim_Date!A:A,Dim_Date!H:H)))</f>
        <v>Oct 2024</v>
      </c>
      <c r="U457">
        <f>IF(Pipeline_tbl[[#This Row],[Closed_Date]]=0,"",Pipeline_tbl[[#This Row],[Closed_Date]]-Pipeline_tbl[[#This Row],[Created_Date]])</f>
        <v>16</v>
      </c>
    </row>
    <row r="458" spans="1:21" ht="15" customHeight="1" x14ac:dyDescent="0.2">
      <c r="A458" t="s">
        <v>764</v>
      </c>
      <c r="B458" t="s">
        <v>231</v>
      </c>
      <c r="C458" t="s">
        <v>52</v>
      </c>
      <c r="D458" s="49">
        <v>45547</v>
      </c>
      <c r="E458" s="49">
        <v>45549</v>
      </c>
      <c r="F458" s="49">
        <v>45554</v>
      </c>
      <c r="G458" s="49">
        <v>45560</v>
      </c>
      <c r="I458" s="49">
        <v>45569</v>
      </c>
      <c r="J458" t="s">
        <v>49</v>
      </c>
      <c r="K458" s="33">
        <v>5500</v>
      </c>
      <c r="L458" t="s">
        <v>60</v>
      </c>
      <c r="M458" t="str">
        <f>_xlfn.XLOOKUP(Pipeline_tbl[[#This Row],[Rep_ID]],Dim_Reps!A:A,Dim_Reps!K:K)</f>
        <v>MXN</v>
      </c>
      <c r="N458" s="33">
        <f>(_xlfn.XLOOKUP(Pipeline_tbl[[#This Row],[Rate_Code_Generalized]],Lookups!A:A,Lookups!B:B))*Pipeline_tbl[[#This Row],[Pipeline_Amount_USD]]</f>
        <v>108529.85</v>
      </c>
      <c r="O458" t="str">
        <f>_xlfn.XLOOKUP(Pipeline_tbl[[#This Row],[Rep_ID]],Dim_Reps!A:A,Dim_Reps!B:B)</f>
        <v>Ben Silva</v>
      </c>
      <c r="P458" t="str">
        <f>_xlfn.XLOOKUP(Pipeline_tbl[[#This Row],[Rep_ID]],Dim_Reps!A:A,Dim_Reps!C:C)</f>
        <v>SDR / Inside Sales Rep</v>
      </c>
      <c r="Q458" t="str">
        <f>_xlfn.XLOOKUP(Pipeline_tbl[[#This Row],[Rep_ID]],Dim_Reps!A:A,Dim_Reps!D:D)</f>
        <v>Inside Sales</v>
      </c>
      <c r="R458" t="str">
        <f>_xlfn.XLOOKUP(Pipeline_tbl[[#This Row],[Rep_ID]],Dim_Reps!A:A,Dim_Reps!E:E)</f>
        <v>LATAM</v>
      </c>
      <c r="S458" t="str">
        <f>_xlfn.XLOOKUP(Pipeline_tbl[[#This Row],[Created_Date]],Dim_Date!A:A,Dim_Date!H:H)</f>
        <v>Sep 2024</v>
      </c>
      <c r="T458" t="str">
        <f>IF(Pipeline_tbl[[#This Row],[Closed_Date]]=0,"",(_xlfn.XLOOKUP(Pipeline_tbl[[#This Row],[Closed_Date]],Dim_Date!A:A,Dim_Date!H:H)))</f>
        <v>Oct 2024</v>
      </c>
      <c r="U458">
        <f>IF(Pipeline_tbl[[#This Row],[Closed_Date]]=0,"",Pipeline_tbl[[#This Row],[Closed_Date]]-Pipeline_tbl[[#This Row],[Created_Date]])</f>
        <v>22</v>
      </c>
    </row>
    <row r="459" spans="1:21" ht="15" customHeight="1" x14ac:dyDescent="0.2">
      <c r="A459" t="s">
        <v>765</v>
      </c>
      <c r="B459" t="s">
        <v>231</v>
      </c>
      <c r="C459" t="s">
        <v>52</v>
      </c>
      <c r="D459" s="49">
        <v>45554</v>
      </c>
      <c r="E459" s="49">
        <v>45556</v>
      </c>
      <c r="F459" s="49">
        <v>45560</v>
      </c>
      <c r="G459" s="49">
        <v>45566</v>
      </c>
      <c r="H459" s="49">
        <v>45571</v>
      </c>
      <c r="I459" s="49">
        <v>45574</v>
      </c>
      <c r="J459" t="s">
        <v>47</v>
      </c>
      <c r="K459" s="33">
        <v>3700</v>
      </c>
      <c r="M459" t="str">
        <f>_xlfn.XLOOKUP(Pipeline_tbl[[#This Row],[Rep_ID]],Dim_Reps!A:A,Dim_Reps!K:K)</f>
        <v>MXN</v>
      </c>
      <c r="N459" s="33">
        <f>(_xlfn.XLOOKUP(Pipeline_tbl[[#This Row],[Rate_Code_Generalized]],Lookups!A:A,Lookups!B:B))*Pipeline_tbl[[#This Row],[Pipeline_Amount_USD]]</f>
        <v>73010.990000000005</v>
      </c>
      <c r="O459" t="str">
        <f>_xlfn.XLOOKUP(Pipeline_tbl[[#This Row],[Rep_ID]],Dim_Reps!A:A,Dim_Reps!B:B)</f>
        <v>Ben Silva</v>
      </c>
      <c r="P459" t="str">
        <f>_xlfn.XLOOKUP(Pipeline_tbl[[#This Row],[Rep_ID]],Dim_Reps!A:A,Dim_Reps!C:C)</f>
        <v>SDR / Inside Sales Rep</v>
      </c>
      <c r="Q459" t="str">
        <f>_xlfn.XLOOKUP(Pipeline_tbl[[#This Row],[Rep_ID]],Dim_Reps!A:A,Dim_Reps!D:D)</f>
        <v>Inside Sales</v>
      </c>
      <c r="R459" t="str">
        <f>_xlfn.XLOOKUP(Pipeline_tbl[[#This Row],[Rep_ID]],Dim_Reps!A:A,Dim_Reps!E:E)</f>
        <v>LATAM</v>
      </c>
      <c r="S459" t="str">
        <f>_xlfn.XLOOKUP(Pipeline_tbl[[#This Row],[Created_Date]],Dim_Date!A:A,Dim_Date!H:H)</f>
        <v>Sep 2024</v>
      </c>
      <c r="T459" t="str">
        <f>IF(Pipeline_tbl[[#This Row],[Closed_Date]]=0,"",(_xlfn.XLOOKUP(Pipeline_tbl[[#This Row],[Closed_Date]],Dim_Date!A:A,Dim_Date!H:H)))</f>
        <v>Oct 2024</v>
      </c>
      <c r="U459">
        <f>IF(Pipeline_tbl[[#This Row],[Closed_Date]]=0,"",Pipeline_tbl[[#This Row],[Closed_Date]]-Pipeline_tbl[[#This Row],[Created_Date]])</f>
        <v>20</v>
      </c>
    </row>
    <row r="460" spans="1:21" ht="15" customHeight="1" x14ac:dyDescent="0.2">
      <c r="A460" t="s">
        <v>766</v>
      </c>
      <c r="B460" t="s">
        <v>231</v>
      </c>
      <c r="C460" t="s">
        <v>52</v>
      </c>
      <c r="D460" s="49">
        <v>45551</v>
      </c>
      <c r="E460" s="49">
        <v>45554</v>
      </c>
      <c r="F460" s="49">
        <v>45560</v>
      </c>
      <c r="G460" s="49">
        <v>45568</v>
      </c>
      <c r="I460" s="49">
        <v>45580</v>
      </c>
      <c r="J460" t="s">
        <v>49</v>
      </c>
      <c r="K460" s="33">
        <v>3100</v>
      </c>
      <c r="L460" t="s">
        <v>60</v>
      </c>
      <c r="M460" t="str">
        <f>_xlfn.XLOOKUP(Pipeline_tbl[[#This Row],[Rep_ID]],Dim_Reps!A:A,Dim_Reps!K:K)</f>
        <v>MXN</v>
      </c>
      <c r="N460" s="33">
        <f>(_xlfn.XLOOKUP(Pipeline_tbl[[#This Row],[Rate_Code_Generalized]],Lookups!A:A,Lookups!B:B))*Pipeline_tbl[[#This Row],[Pipeline_Amount_USD]]</f>
        <v>61171.37</v>
      </c>
      <c r="O460" t="str">
        <f>_xlfn.XLOOKUP(Pipeline_tbl[[#This Row],[Rep_ID]],Dim_Reps!A:A,Dim_Reps!B:B)</f>
        <v>Ben Silva</v>
      </c>
      <c r="P460" t="str">
        <f>_xlfn.XLOOKUP(Pipeline_tbl[[#This Row],[Rep_ID]],Dim_Reps!A:A,Dim_Reps!C:C)</f>
        <v>SDR / Inside Sales Rep</v>
      </c>
      <c r="Q460" t="str">
        <f>_xlfn.XLOOKUP(Pipeline_tbl[[#This Row],[Rep_ID]],Dim_Reps!A:A,Dim_Reps!D:D)</f>
        <v>Inside Sales</v>
      </c>
      <c r="R460" t="str">
        <f>_xlfn.XLOOKUP(Pipeline_tbl[[#This Row],[Rep_ID]],Dim_Reps!A:A,Dim_Reps!E:E)</f>
        <v>LATAM</v>
      </c>
      <c r="S460" t="str">
        <f>_xlfn.XLOOKUP(Pipeline_tbl[[#This Row],[Created_Date]],Dim_Date!A:A,Dim_Date!H:H)</f>
        <v>Sep 2024</v>
      </c>
      <c r="T460" t="str">
        <f>IF(Pipeline_tbl[[#This Row],[Closed_Date]]=0,"",(_xlfn.XLOOKUP(Pipeline_tbl[[#This Row],[Closed_Date]],Dim_Date!A:A,Dim_Date!H:H)))</f>
        <v>Oct 2024</v>
      </c>
      <c r="U460">
        <f>IF(Pipeline_tbl[[#This Row],[Closed_Date]]=0,"",Pipeline_tbl[[#This Row],[Closed_Date]]-Pipeline_tbl[[#This Row],[Created_Date]])</f>
        <v>29</v>
      </c>
    </row>
    <row r="461" spans="1:21" ht="15" customHeight="1" x14ac:dyDescent="0.2">
      <c r="A461" t="s">
        <v>767</v>
      </c>
      <c r="B461" t="s">
        <v>231</v>
      </c>
      <c r="C461" t="s">
        <v>52</v>
      </c>
      <c r="D461" s="49">
        <v>45560</v>
      </c>
      <c r="E461" s="49">
        <v>45562</v>
      </c>
      <c r="F461" s="49">
        <v>45565</v>
      </c>
      <c r="G461" s="49">
        <v>45571</v>
      </c>
      <c r="H461" s="49">
        <v>45575</v>
      </c>
      <c r="I461" s="49">
        <v>45578</v>
      </c>
      <c r="J461" t="s">
        <v>49</v>
      </c>
      <c r="K461" s="33">
        <v>4500</v>
      </c>
      <c r="L461" t="s">
        <v>60</v>
      </c>
      <c r="M461" t="str">
        <f>_xlfn.XLOOKUP(Pipeline_tbl[[#This Row],[Rep_ID]],Dim_Reps!A:A,Dim_Reps!K:K)</f>
        <v>MXN</v>
      </c>
      <c r="N461" s="33">
        <f>(_xlfn.XLOOKUP(Pipeline_tbl[[#This Row],[Rate_Code_Generalized]],Lookups!A:A,Lookups!B:B))*Pipeline_tbl[[#This Row],[Pipeline_Amount_USD]]</f>
        <v>88797.150000000009</v>
      </c>
      <c r="O461" t="str">
        <f>_xlfn.XLOOKUP(Pipeline_tbl[[#This Row],[Rep_ID]],Dim_Reps!A:A,Dim_Reps!B:B)</f>
        <v>Ben Silva</v>
      </c>
      <c r="P461" t="str">
        <f>_xlfn.XLOOKUP(Pipeline_tbl[[#This Row],[Rep_ID]],Dim_Reps!A:A,Dim_Reps!C:C)</f>
        <v>SDR / Inside Sales Rep</v>
      </c>
      <c r="Q461" t="str">
        <f>_xlfn.XLOOKUP(Pipeline_tbl[[#This Row],[Rep_ID]],Dim_Reps!A:A,Dim_Reps!D:D)</f>
        <v>Inside Sales</v>
      </c>
      <c r="R461" t="str">
        <f>_xlfn.XLOOKUP(Pipeline_tbl[[#This Row],[Rep_ID]],Dim_Reps!A:A,Dim_Reps!E:E)</f>
        <v>LATAM</v>
      </c>
      <c r="S461" t="str">
        <f>_xlfn.XLOOKUP(Pipeline_tbl[[#This Row],[Created_Date]],Dim_Date!A:A,Dim_Date!H:H)</f>
        <v>Sep 2024</v>
      </c>
      <c r="T461" t="str">
        <f>IF(Pipeline_tbl[[#This Row],[Closed_Date]]=0,"",(_xlfn.XLOOKUP(Pipeline_tbl[[#This Row],[Closed_Date]],Dim_Date!A:A,Dim_Date!H:H)))</f>
        <v>Oct 2024</v>
      </c>
      <c r="U461">
        <f>IF(Pipeline_tbl[[#This Row],[Closed_Date]]=0,"",Pipeline_tbl[[#This Row],[Closed_Date]]-Pipeline_tbl[[#This Row],[Created_Date]])</f>
        <v>18</v>
      </c>
    </row>
    <row r="462" spans="1:21" ht="15" customHeight="1" x14ac:dyDescent="0.2">
      <c r="A462" t="s">
        <v>768</v>
      </c>
      <c r="B462" t="s">
        <v>231</v>
      </c>
      <c r="C462" t="s">
        <v>52</v>
      </c>
      <c r="D462" s="49">
        <v>45560</v>
      </c>
      <c r="E462" s="49">
        <v>45563</v>
      </c>
      <c r="F462" s="49">
        <v>45568</v>
      </c>
      <c r="G462" s="49">
        <v>45576</v>
      </c>
      <c r="H462" s="49">
        <v>45583</v>
      </c>
      <c r="I462" s="49">
        <v>45587</v>
      </c>
      <c r="J462" t="s">
        <v>47</v>
      </c>
      <c r="K462" s="33">
        <v>3900</v>
      </c>
      <c r="M462" t="str">
        <f>_xlfn.XLOOKUP(Pipeline_tbl[[#This Row],[Rep_ID]],Dim_Reps!A:A,Dim_Reps!K:K)</f>
        <v>MXN</v>
      </c>
      <c r="N462" s="33">
        <f>(_xlfn.XLOOKUP(Pipeline_tbl[[#This Row],[Rate_Code_Generalized]],Lookups!A:A,Lookups!B:B))*Pipeline_tbl[[#This Row],[Pipeline_Amount_USD]]</f>
        <v>76957.53</v>
      </c>
      <c r="O462" t="str">
        <f>_xlfn.XLOOKUP(Pipeline_tbl[[#This Row],[Rep_ID]],Dim_Reps!A:A,Dim_Reps!B:B)</f>
        <v>Ben Silva</v>
      </c>
      <c r="P462" t="str">
        <f>_xlfn.XLOOKUP(Pipeline_tbl[[#This Row],[Rep_ID]],Dim_Reps!A:A,Dim_Reps!C:C)</f>
        <v>SDR / Inside Sales Rep</v>
      </c>
      <c r="Q462" t="str">
        <f>_xlfn.XLOOKUP(Pipeline_tbl[[#This Row],[Rep_ID]],Dim_Reps!A:A,Dim_Reps!D:D)</f>
        <v>Inside Sales</v>
      </c>
      <c r="R462" t="str">
        <f>_xlfn.XLOOKUP(Pipeline_tbl[[#This Row],[Rep_ID]],Dim_Reps!A:A,Dim_Reps!E:E)</f>
        <v>LATAM</v>
      </c>
      <c r="S462" t="str">
        <f>_xlfn.XLOOKUP(Pipeline_tbl[[#This Row],[Created_Date]],Dim_Date!A:A,Dim_Date!H:H)</f>
        <v>Sep 2024</v>
      </c>
      <c r="T462" t="str">
        <f>IF(Pipeline_tbl[[#This Row],[Closed_Date]]=0,"",(_xlfn.XLOOKUP(Pipeline_tbl[[#This Row],[Closed_Date]],Dim_Date!A:A,Dim_Date!H:H)))</f>
        <v>Oct 2024</v>
      </c>
      <c r="U462">
        <f>IF(Pipeline_tbl[[#This Row],[Closed_Date]]=0,"",Pipeline_tbl[[#This Row],[Closed_Date]]-Pipeline_tbl[[#This Row],[Created_Date]])</f>
        <v>27</v>
      </c>
    </row>
    <row r="463" spans="1:21" ht="15" customHeight="1" x14ac:dyDescent="0.2">
      <c r="A463" t="s">
        <v>769</v>
      </c>
      <c r="B463" t="s">
        <v>263</v>
      </c>
      <c r="C463" t="s">
        <v>53</v>
      </c>
      <c r="D463" s="49">
        <v>45536</v>
      </c>
      <c r="E463" s="49">
        <v>45541</v>
      </c>
      <c r="F463" s="49">
        <v>45550</v>
      </c>
      <c r="G463" s="49">
        <v>45565</v>
      </c>
      <c r="H463" s="49">
        <v>45577</v>
      </c>
      <c r="I463" s="49">
        <v>45584</v>
      </c>
      <c r="J463" t="s">
        <v>49</v>
      </c>
      <c r="K463" s="33">
        <v>4100</v>
      </c>
      <c r="L463" t="s">
        <v>61</v>
      </c>
      <c r="M463" t="str">
        <f>_xlfn.XLOOKUP(Pipeline_tbl[[#This Row],[Rep_ID]],Dim_Reps!A:A,Dim_Reps!K:K)</f>
        <v>USD</v>
      </c>
      <c r="N463" s="33">
        <f>(_xlfn.XLOOKUP(Pipeline_tbl[[#This Row],[Rate_Code_Generalized]],Lookups!A:A,Lookups!B:B))*Pipeline_tbl[[#This Row],[Pipeline_Amount_USD]]</f>
        <v>4773.6299999999992</v>
      </c>
      <c r="O463" t="str">
        <f>_xlfn.XLOOKUP(Pipeline_tbl[[#This Row],[Rep_ID]],Dim_Reps!A:A,Dim_Reps!B:B)</f>
        <v>Morgan Weber</v>
      </c>
      <c r="P463" t="str">
        <f>_xlfn.XLOOKUP(Pipeline_tbl[[#This Row],[Rep_ID]],Dim_Reps!A:A,Dim_Reps!C:C)</f>
        <v>Mid-Market AE</v>
      </c>
      <c r="Q463" t="str">
        <f>_xlfn.XLOOKUP(Pipeline_tbl[[#This Row],[Rep_ID]],Dim_Reps!A:A,Dim_Reps!D:D)</f>
        <v>Mid-Market</v>
      </c>
      <c r="R463" t="str">
        <f>_xlfn.XLOOKUP(Pipeline_tbl[[#This Row],[Rep_ID]],Dim_Reps!A:A,Dim_Reps!E:E)</f>
        <v>NAMER</v>
      </c>
      <c r="S463" t="str">
        <f>_xlfn.XLOOKUP(Pipeline_tbl[[#This Row],[Created_Date]],Dim_Date!A:A,Dim_Date!H:H)</f>
        <v>Sep 2024</v>
      </c>
      <c r="T463" t="str">
        <f>IF(Pipeline_tbl[[#This Row],[Closed_Date]]=0,"",(_xlfn.XLOOKUP(Pipeline_tbl[[#This Row],[Closed_Date]],Dim_Date!A:A,Dim_Date!H:H)))</f>
        <v>Oct 2024</v>
      </c>
      <c r="U463">
        <f>IF(Pipeline_tbl[[#This Row],[Closed_Date]]=0,"",Pipeline_tbl[[#This Row],[Closed_Date]]-Pipeline_tbl[[#This Row],[Created_Date]])</f>
        <v>48</v>
      </c>
    </row>
    <row r="464" spans="1:21" ht="15" customHeight="1" x14ac:dyDescent="0.2">
      <c r="A464" t="s">
        <v>770</v>
      </c>
      <c r="B464" t="s">
        <v>263</v>
      </c>
      <c r="C464" t="s">
        <v>53</v>
      </c>
      <c r="D464" s="49">
        <v>45557</v>
      </c>
      <c r="E464" s="49">
        <v>45560</v>
      </c>
      <c r="F464" s="49">
        <v>45566</v>
      </c>
      <c r="I464" s="49">
        <v>45587</v>
      </c>
      <c r="J464" t="s">
        <v>49</v>
      </c>
      <c r="K464" s="33">
        <v>7400</v>
      </c>
      <c r="L464" t="s">
        <v>61</v>
      </c>
      <c r="M464" t="str">
        <f>_xlfn.XLOOKUP(Pipeline_tbl[[#This Row],[Rep_ID]],Dim_Reps!A:A,Dim_Reps!K:K)</f>
        <v>USD</v>
      </c>
      <c r="N464" s="33">
        <f>(_xlfn.XLOOKUP(Pipeline_tbl[[#This Row],[Rate_Code_Generalized]],Lookups!A:A,Lookups!B:B))*Pipeline_tbl[[#This Row],[Pipeline_Amount_USD]]</f>
        <v>8615.82</v>
      </c>
      <c r="O464" t="str">
        <f>_xlfn.XLOOKUP(Pipeline_tbl[[#This Row],[Rep_ID]],Dim_Reps!A:A,Dim_Reps!B:B)</f>
        <v>Morgan Weber</v>
      </c>
      <c r="P464" t="str">
        <f>_xlfn.XLOOKUP(Pipeline_tbl[[#This Row],[Rep_ID]],Dim_Reps!A:A,Dim_Reps!C:C)</f>
        <v>Mid-Market AE</v>
      </c>
      <c r="Q464" t="str">
        <f>_xlfn.XLOOKUP(Pipeline_tbl[[#This Row],[Rep_ID]],Dim_Reps!A:A,Dim_Reps!D:D)</f>
        <v>Mid-Market</v>
      </c>
      <c r="R464" t="str">
        <f>_xlfn.XLOOKUP(Pipeline_tbl[[#This Row],[Rep_ID]],Dim_Reps!A:A,Dim_Reps!E:E)</f>
        <v>NAMER</v>
      </c>
      <c r="S464" t="str">
        <f>_xlfn.XLOOKUP(Pipeline_tbl[[#This Row],[Created_Date]],Dim_Date!A:A,Dim_Date!H:H)</f>
        <v>Sep 2024</v>
      </c>
      <c r="T464" t="str">
        <f>IF(Pipeline_tbl[[#This Row],[Closed_Date]]=0,"",(_xlfn.XLOOKUP(Pipeline_tbl[[#This Row],[Closed_Date]],Dim_Date!A:A,Dim_Date!H:H)))</f>
        <v>Oct 2024</v>
      </c>
      <c r="U464">
        <f>IF(Pipeline_tbl[[#This Row],[Closed_Date]]=0,"",Pipeline_tbl[[#This Row],[Closed_Date]]-Pipeline_tbl[[#This Row],[Created_Date]])</f>
        <v>30</v>
      </c>
    </row>
    <row r="465" spans="1:21" ht="15" customHeight="1" x14ac:dyDescent="0.2">
      <c r="A465" t="s">
        <v>771</v>
      </c>
      <c r="B465" t="s">
        <v>263</v>
      </c>
      <c r="C465" t="s">
        <v>53</v>
      </c>
      <c r="D465" s="49">
        <v>45549</v>
      </c>
      <c r="E465" s="49">
        <v>45552</v>
      </c>
      <c r="F465" s="49">
        <v>45559</v>
      </c>
      <c r="G465" s="49">
        <v>45568</v>
      </c>
      <c r="H465" s="49">
        <v>45576</v>
      </c>
      <c r="I465" s="49">
        <v>45581</v>
      </c>
      <c r="J465" t="s">
        <v>47</v>
      </c>
      <c r="K465" s="33">
        <v>7500</v>
      </c>
      <c r="M465" t="str">
        <f>_xlfn.XLOOKUP(Pipeline_tbl[[#This Row],[Rep_ID]],Dim_Reps!A:A,Dim_Reps!K:K)</f>
        <v>USD</v>
      </c>
      <c r="N465" s="33">
        <f>(_xlfn.XLOOKUP(Pipeline_tbl[[#This Row],[Rate_Code_Generalized]],Lookups!A:A,Lookups!B:B))*Pipeline_tbl[[#This Row],[Pipeline_Amount_USD]]</f>
        <v>8732.25</v>
      </c>
      <c r="O465" t="str">
        <f>_xlfn.XLOOKUP(Pipeline_tbl[[#This Row],[Rep_ID]],Dim_Reps!A:A,Dim_Reps!B:B)</f>
        <v>Morgan Weber</v>
      </c>
      <c r="P465" t="str">
        <f>_xlfn.XLOOKUP(Pipeline_tbl[[#This Row],[Rep_ID]],Dim_Reps!A:A,Dim_Reps!C:C)</f>
        <v>Mid-Market AE</v>
      </c>
      <c r="Q465" t="str">
        <f>_xlfn.XLOOKUP(Pipeline_tbl[[#This Row],[Rep_ID]],Dim_Reps!A:A,Dim_Reps!D:D)</f>
        <v>Mid-Market</v>
      </c>
      <c r="R465" t="str">
        <f>_xlfn.XLOOKUP(Pipeline_tbl[[#This Row],[Rep_ID]],Dim_Reps!A:A,Dim_Reps!E:E)</f>
        <v>NAMER</v>
      </c>
      <c r="S465" t="str">
        <f>_xlfn.XLOOKUP(Pipeline_tbl[[#This Row],[Created_Date]],Dim_Date!A:A,Dim_Date!H:H)</f>
        <v>Sep 2024</v>
      </c>
      <c r="T465" t="str">
        <f>IF(Pipeline_tbl[[#This Row],[Closed_Date]]=0,"",(_xlfn.XLOOKUP(Pipeline_tbl[[#This Row],[Closed_Date]],Dim_Date!A:A,Dim_Date!H:H)))</f>
        <v>Oct 2024</v>
      </c>
      <c r="U465">
        <f>IF(Pipeline_tbl[[#This Row],[Closed_Date]]=0,"",Pipeline_tbl[[#This Row],[Closed_Date]]-Pipeline_tbl[[#This Row],[Created_Date]])</f>
        <v>32</v>
      </c>
    </row>
    <row r="466" spans="1:21" ht="15" customHeight="1" x14ac:dyDescent="0.2">
      <c r="A466" t="s">
        <v>772</v>
      </c>
      <c r="B466" t="s">
        <v>263</v>
      </c>
      <c r="C466" t="s">
        <v>53</v>
      </c>
      <c r="D466" s="49">
        <v>45541</v>
      </c>
      <c r="E466" s="49">
        <v>45545</v>
      </c>
      <c r="F466" s="49">
        <v>45552</v>
      </c>
      <c r="G466" s="49">
        <v>45563</v>
      </c>
      <c r="H466" s="49">
        <v>45572</v>
      </c>
      <c r="I466" s="49">
        <v>45577</v>
      </c>
      <c r="J466" t="s">
        <v>47</v>
      </c>
      <c r="K466" s="33">
        <v>13700</v>
      </c>
      <c r="M466" t="str">
        <f>_xlfn.XLOOKUP(Pipeline_tbl[[#This Row],[Rep_ID]],Dim_Reps!A:A,Dim_Reps!K:K)</f>
        <v>USD</v>
      </c>
      <c r="N466" s="33">
        <f>(_xlfn.XLOOKUP(Pipeline_tbl[[#This Row],[Rate_Code_Generalized]],Lookups!A:A,Lookups!B:B))*Pipeline_tbl[[#This Row],[Pipeline_Amount_USD]]</f>
        <v>15950.909999999998</v>
      </c>
      <c r="O466" t="str">
        <f>_xlfn.XLOOKUP(Pipeline_tbl[[#This Row],[Rep_ID]],Dim_Reps!A:A,Dim_Reps!B:B)</f>
        <v>Morgan Weber</v>
      </c>
      <c r="P466" t="str">
        <f>_xlfn.XLOOKUP(Pipeline_tbl[[#This Row],[Rep_ID]],Dim_Reps!A:A,Dim_Reps!C:C)</f>
        <v>Mid-Market AE</v>
      </c>
      <c r="Q466" t="str">
        <f>_xlfn.XLOOKUP(Pipeline_tbl[[#This Row],[Rep_ID]],Dim_Reps!A:A,Dim_Reps!D:D)</f>
        <v>Mid-Market</v>
      </c>
      <c r="R466" t="str">
        <f>_xlfn.XLOOKUP(Pipeline_tbl[[#This Row],[Rep_ID]],Dim_Reps!A:A,Dim_Reps!E:E)</f>
        <v>NAMER</v>
      </c>
      <c r="S466" t="str">
        <f>_xlfn.XLOOKUP(Pipeline_tbl[[#This Row],[Created_Date]],Dim_Date!A:A,Dim_Date!H:H)</f>
        <v>Sep 2024</v>
      </c>
      <c r="T466" t="str">
        <f>IF(Pipeline_tbl[[#This Row],[Closed_Date]]=0,"",(_xlfn.XLOOKUP(Pipeline_tbl[[#This Row],[Closed_Date]],Dim_Date!A:A,Dim_Date!H:H)))</f>
        <v>Oct 2024</v>
      </c>
      <c r="U466">
        <f>IF(Pipeline_tbl[[#This Row],[Closed_Date]]=0,"",Pipeline_tbl[[#This Row],[Closed_Date]]-Pipeline_tbl[[#This Row],[Created_Date]])</f>
        <v>36</v>
      </c>
    </row>
    <row r="467" spans="1:21" ht="15" customHeight="1" x14ac:dyDescent="0.2">
      <c r="A467" t="s">
        <v>773</v>
      </c>
      <c r="B467" t="s">
        <v>263</v>
      </c>
      <c r="C467" t="s">
        <v>52</v>
      </c>
      <c r="D467" s="49">
        <v>45547</v>
      </c>
      <c r="E467" s="49">
        <v>45550</v>
      </c>
      <c r="F467" s="49">
        <v>45555</v>
      </c>
      <c r="G467" s="49">
        <v>45564</v>
      </c>
      <c r="H467" s="49">
        <v>45571</v>
      </c>
      <c r="I467" s="49">
        <v>45575</v>
      </c>
      <c r="J467" t="s">
        <v>49</v>
      </c>
      <c r="K467" s="33">
        <v>12300</v>
      </c>
      <c r="L467" t="s">
        <v>61</v>
      </c>
      <c r="M467" t="str">
        <f>_xlfn.XLOOKUP(Pipeline_tbl[[#This Row],[Rep_ID]],Dim_Reps!A:A,Dim_Reps!K:K)</f>
        <v>USD</v>
      </c>
      <c r="N467" s="33">
        <f>(_xlfn.XLOOKUP(Pipeline_tbl[[#This Row],[Rate_Code_Generalized]],Lookups!A:A,Lookups!B:B))*Pipeline_tbl[[#This Row],[Pipeline_Amount_USD]]</f>
        <v>14320.89</v>
      </c>
      <c r="O467" t="str">
        <f>_xlfn.XLOOKUP(Pipeline_tbl[[#This Row],[Rep_ID]],Dim_Reps!A:A,Dim_Reps!B:B)</f>
        <v>Morgan Weber</v>
      </c>
      <c r="P467" t="str">
        <f>_xlfn.XLOOKUP(Pipeline_tbl[[#This Row],[Rep_ID]],Dim_Reps!A:A,Dim_Reps!C:C)</f>
        <v>Mid-Market AE</v>
      </c>
      <c r="Q467" t="str">
        <f>_xlfn.XLOOKUP(Pipeline_tbl[[#This Row],[Rep_ID]],Dim_Reps!A:A,Dim_Reps!D:D)</f>
        <v>Mid-Market</v>
      </c>
      <c r="R467" t="str">
        <f>_xlfn.XLOOKUP(Pipeline_tbl[[#This Row],[Rep_ID]],Dim_Reps!A:A,Dim_Reps!E:E)</f>
        <v>NAMER</v>
      </c>
      <c r="S467" t="str">
        <f>_xlfn.XLOOKUP(Pipeline_tbl[[#This Row],[Created_Date]],Dim_Date!A:A,Dim_Date!H:H)</f>
        <v>Sep 2024</v>
      </c>
      <c r="T467" t="str">
        <f>IF(Pipeline_tbl[[#This Row],[Closed_Date]]=0,"",(_xlfn.XLOOKUP(Pipeline_tbl[[#This Row],[Closed_Date]],Dim_Date!A:A,Dim_Date!H:H)))</f>
        <v>Oct 2024</v>
      </c>
      <c r="U467">
        <f>IF(Pipeline_tbl[[#This Row],[Closed_Date]]=0,"",Pipeline_tbl[[#This Row],[Closed_Date]]-Pipeline_tbl[[#This Row],[Created_Date]])</f>
        <v>28</v>
      </c>
    </row>
    <row r="468" spans="1:21" ht="15" customHeight="1" x14ac:dyDescent="0.2">
      <c r="A468" t="s">
        <v>774</v>
      </c>
      <c r="B468" t="s">
        <v>265</v>
      </c>
      <c r="C468" t="s">
        <v>52</v>
      </c>
      <c r="D468" s="49">
        <v>45542</v>
      </c>
      <c r="E468" s="49">
        <v>45547</v>
      </c>
      <c r="F468" s="49">
        <v>45556</v>
      </c>
      <c r="G468" s="49">
        <v>45570</v>
      </c>
      <c r="H468" s="49">
        <v>45582</v>
      </c>
      <c r="I468" s="49">
        <v>45589</v>
      </c>
      <c r="J468" t="s">
        <v>49</v>
      </c>
      <c r="K468" s="33">
        <v>7000</v>
      </c>
      <c r="L468" t="s">
        <v>60</v>
      </c>
      <c r="M468" t="str">
        <f>_xlfn.XLOOKUP(Pipeline_tbl[[#This Row],[Rep_ID]],Dim_Reps!A:A,Dim_Reps!K:K)</f>
        <v>EUR</v>
      </c>
      <c r="N468" s="33">
        <f>(_xlfn.XLOOKUP(Pipeline_tbl[[#This Row],[Rate_Code_Generalized]],Lookups!A:A,Lookups!B:B))*Pipeline_tbl[[#This Row],[Pipeline_Amount_USD]]</f>
        <v>7000</v>
      </c>
      <c r="O468" t="str">
        <f>_xlfn.XLOOKUP(Pipeline_tbl[[#This Row],[Rep_ID]],Dim_Reps!A:A,Dim_Reps!B:B)</f>
        <v>Erik Duarte</v>
      </c>
      <c r="P468" t="str">
        <f>_xlfn.XLOOKUP(Pipeline_tbl[[#This Row],[Rep_ID]],Dim_Reps!A:A,Dim_Reps!C:C)</f>
        <v>Mid-Market AE</v>
      </c>
      <c r="Q468" t="str">
        <f>_xlfn.XLOOKUP(Pipeline_tbl[[#This Row],[Rep_ID]],Dim_Reps!A:A,Dim_Reps!D:D)</f>
        <v>Mid-Market</v>
      </c>
      <c r="R468" t="str">
        <f>_xlfn.XLOOKUP(Pipeline_tbl[[#This Row],[Rep_ID]],Dim_Reps!A:A,Dim_Reps!E:E)</f>
        <v>EMEA</v>
      </c>
      <c r="S468" t="str">
        <f>_xlfn.XLOOKUP(Pipeline_tbl[[#This Row],[Created_Date]],Dim_Date!A:A,Dim_Date!H:H)</f>
        <v>Sep 2024</v>
      </c>
      <c r="T468" t="str">
        <f>IF(Pipeline_tbl[[#This Row],[Closed_Date]]=0,"",(_xlfn.XLOOKUP(Pipeline_tbl[[#This Row],[Closed_Date]],Dim_Date!A:A,Dim_Date!H:H)))</f>
        <v>Oct 2024</v>
      </c>
      <c r="U468">
        <f>IF(Pipeline_tbl[[#This Row],[Closed_Date]]=0,"",Pipeline_tbl[[#This Row],[Closed_Date]]-Pipeline_tbl[[#This Row],[Created_Date]])</f>
        <v>47</v>
      </c>
    </row>
    <row r="469" spans="1:21" ht="15" customHeight="1" x14ac:dyDescent="0.2">
      <c r="A469" t="s">
        <v>775</v>
      </c>
      <c r="B469" t="s">
        <v>265</v>
      </c>
      <c r="C469" t="s">
        <v>52</v>
      </c>
      <c r="D469" s="49">
        <v>45561</v>
      </c>
      <c r="E469" s="49">
        <v>45563</v>
      </c>
      <c r="F469" s="49">
        <v>45566</v>
      </c>
      <c r="G469" s="49">
        <v>45572</v>
      </c>
      <c r="I469" s="49">
        <v>45579</v>
      </c>
      <c r="J469" t="s">
        <v>49</v>
      </c>
      <c r="K469" s="33">
        <v>15100</v>
      </c>
      <c r="L469" t="s">
        <v>60</v>
      </c>
      <c r="M469" t="str">
        <f>_xlfn.XLOOKUP(Pipeline_tbl[[#This Row],[Rep_ID]],Dim_Reps!A:A,Dim_Reps!K:K)</f>
        <v>EUR</v>
      </c>
      <c r="N469" s="33">
        <f>(_xlfn.XLOOKUP(Pipeline_tbl[[#This Row],[Rate_Code_Generalized]],Lookups!A:A,Lookups!B:B))*Pipeline_tbl[[#This Row],[Pipeline_Amount_USD]]</f>
        <v>15100</v>
      </c>
      <c r="O469" t="str">
        <f>_xlfn.XLOOKUP(Pipeline_tbl[[#This Row],[Rep_ID]],Dim_Reps!A:A,Dim_Reps!B:B)</f>
        <v>Erik Duarte</v>
      </c>
      <c r="P469" t="str">
        <f>_xlfn.XLOOKUP(Pipeline_tbl[[#This Row],[Rep_ID]],Dim_Reps!A:A,Dim_Reps!C:C)</f>
        <v>Mid-Market AE</v>
      </c>
      <c r="Q469" t="str">
        <f>_xlfn.XLOOKUP(Pipeline_tbl[[#This Row],[Rep_ID]],Dim_Reps!A:A,Dim_Reps!D:D)</f>
        <v>Mid-Market</v>
      </c>
      <c r="R469" t="str">
        <f>_xlfn.XLOOKUP(Pipeline_tbl[[#This Row],[Rep_ID]],Dim_Reps!A:A,Dim_Reps!E:E)</f>
        <v>EMEA</v>
      </c>
      <c r="S469" t="str">
        <f>_xlfn.XLOOKUP(Pipeline_tbl[[#This Row],[Created_Date]],Dim_Date!A:A,Dim_Date!H:H)</f>
        <v>Sep 2024</v>
      </c>
      <c r="T469" t="str">
        <f>IF(Pipeline_tbl[[#This Row],[Closed_Date]]=0,"",(_xlfn.XLOOKUP(Pipeline_tbl[[#This Row],[Closed_Date]],Dim_Date!A:A,Dim_Date!H:H)))</f>
        <v>Oct 2024</v>
      </c>
      <c r="U469">
        <f>IF(Pipeline_tbl[[#This Row],[Closed_Date]]=0,"",Pipeline_tbl[[#This Row],[Closed_Date]]-Pipeline_tbl[[#This Row],[Created_Date]])</f>
        <v>18</v>
      </c>
    </row>
    <row r="470" spans="1:21" ht="15" customHeight="1" x14ac:dyDescent="0.2">
      <c r="A470" t="s">
        <v>776</v>
      </c>
      <c r="B470" t="s">
        <v>265</v>
      </c>
      <c r="C470" t="s">
        <v>55</v>
      </c>
      <c r="D470" s="49">
        <v>45564</v>
      </c>
      <c r="E470" s="49">
        <v>45567</v>
      </c>
      <c r="I470" s="49">
        <v>45593</v>
      </c>
      <c r="J470" t="s">
        <v>49</v>
      </c>
      <c r="K470" s="33">
        <v>11500</v>
      </c>
      <c r="L470" t="s">
        <v>62</v>
      </c>
      <c r="M470" t="str">
        <f>_xlfn.XLOOKUP(Pipeline_tbl[[#This Row],[Rep_ID]],Dim_Reps!A:A,Dim_Reps!K:K)</f>
        <v>EUR</v>
      </c>
      <c r="N470" s="33">
        <f>(_xlfn.XLOOKUP(Pipeline_tbl[[#This Row],[Rate_Code_Generalized]],Lookups!A:A,Lookups!B:B))*Pipeline_tbl[[#This Row],[Pipeline_Amount_USD]]</f>
        <v>11500</v>
      </c>
      <c r="O470" t="str">
        <f>_xlfn.XLOOKUP(Pipeline_tbl[[#This Row],[Rep_ID]],Dim_Reps!A:A,Dim_Reps!B:B)</f>
        <v>Erik Duarte</v>
      </c>
      <c r="P470" t="str">
        <f>_xlfn.XLOOKUP(Pipeline_tbl[[#This Row],[Rep_ID]],Dim_Reps!A:A,Dim_Reps!C:C)</f>
        <v>Mid-Market AE</v>
      </c>
      <c r="Q470" t="str">
        <f>_xlfn.XLOOKUP(Pipeline_tbl[[#This Row],[Rep_ID]],Dim_Reps!A:A,Dim_Reps!D:D)</f>
        <v>Mid-Market</v>
      </c>
      <c r="R470" t="str">
        <f>_xlfn.XLOOKUP(Pipeline_tbl[[#This Row],[Rep_ID]],Dim_Reps!A:A,Dim_Reps!E:E)</f>
        <v>EMEA</v>
      </c>
      <c r="S470" t="str">
        <f>_xlfn.XLOOKUP(Pipeline_tbl[[#This Row],[Created_Date]],Dim_Date!A:A,Dim_Date!H:H)</f>
        <v>Sep 2024</v>
      </c>
      <c r="T470" t="str">
        <f>IF(Pipeline_tbl[[#This Row],[Closed_Date]]=0,"",(_xlfn.XLOOKUP(Pipeline_tbl[[#This Row],[Closed_Date]],Dim_Date!A:A,Dim_Date!H:H)))</f>
        <v>Oct 2024</v>
      </c>
      <c r="U470">
        <f>IF(Pipeline_tbl[[#This Row],[Closed_Date]]=0,"",Pipeline_tbl[[#This Row],[Closed_Date]]-Pipeline_tbl[[#This Row],[Created_Date]])</f>
        <v>29</v>
      </c>
    </row>
    <row r="471" spans="1:21" ht="15" customHeight="1" x14ac:dyDescent="0.2">
      <c r="A471" t="s">
        <v>777</v>
      </c>
      <c r="B471" t="s">
        <v>265</v>
      </c>
      <c r="C471" t="s">
        <v>52</v>
      </c>
      <c r="D471" s="49">
        <v>45551</v>
      </c>
      <c r="E471" s="49">
        <v>45554</v>
      </c>
      <c r="F471" s="49">
        <v>45559</v>
      </c>
      <c r="I471" s="49">
        <v>45578</v>
      </c>
      <c r="J471" t="s">
        <v>49</v>
      </c>
      <c r="K471" s="33">
        <v>12600</v>
      </c>
      <c r="L471" t="s">
        <v>60</v>
      </c>
      <c r="M471" t="str">
        <f>_xlfn.XLOOKUP(Pipeline_tbl[[#This Row],[Rep_ID]],Dim_Reps!A:A,Dim_Reps!K:K)</f>
        <v>EUR</v>
      </c>
      <c r="N471" s="33">
        <f>(_xlfn.XLOOKUP(Pipeline_tbl[[#This Row],[Rate_Code_Generalized]],Lookups!A:A,Lookups!B:B))*Pipeline_tbl[[#This Row],[Pipeline_Amount_USD]]</f>
        <v>12600</v>
      </c>
      <c r="O471" t="str">
        <f>_xlfn.XLOOKUP(Pipeline_tbl[[#This Row],[Rep_ID]],Dim_Reps!A:A,Dim_Reps!B:B)</f>
        <v>Erik Duarte</v>
      </c>
      <c r="P471" t="str">
        <f>_xlfn.XLOOKUP(Pipeline_tbl[[#This Row],[Rep_ID]],Dim_Reps!A:A,Dim_Reps!C:C)</f>
        <v>Mid-Market AE</v>
      </c>
      <c r="Q471" t="str">
        <f>_xlfn.XLOOKUP(Pipeline_tbl[[#This Row],[Rep_ID]],Dim_Reps!A:A,Dim_Reps!D:D)</f>
        <v>Mid-Market</v>
      </c>
      <c r="R471" t="str">
        <f>_xlfn.XLOOKUP(Pipeline_tbl[[#This Row],[Rep_ID]],Dim_Reps!A:A,Dim_Reps!E:E)</f>
        <v>EMEA</v>
      </c>
      <c r="S471" t="str">
        <f>_xlfn.XLOOKUP(Pipeline_tbl[[#This Row],[Created_Date]],Dim_Date!A:A,Dim_Date!H:H)</f>
        <v>Sep 2024</v>
      </c>
      <c r="T471" t="str">
        <f>IF(Pipeline_tbl[[#This Row],[Closed_Date]]=0,"",(_xlfn.XLOOKUP(Pipeline_tbl[[#This Row],[Closed_Date]],Dim_Date!A:A,Dim_Date!H:H)))</f>
        <v>Oct 2024</v>
      </c>
      <c r="U471">
        <f>IF(Pipeline_tbl[[#This Row],[Closed_Date]]=0,"",Pipeline_tbl[[#This Row],[Closed_Date]]-Pipeline_tbl[[#This Row],[Created_Date]])</f>
        <v>27</v>
      </c>
    </row>
    <row r="472" spans="1:21" ht="15" customHeight="1" x14ac:dyDescent="0.2">
      <c r="A472" t="s">
        <v>778</v>
      </c>
      <c r="B472" t="s">
        <v>265</v>
      </c>
      <c r="C472" t="s">
        <v>52</v>
      </c>
      <c r="D472" s="49">
        <v>45553</v>
      </c>
      <c r="E472" s="49">
        <v>45557</v>
      </c>
      <c r="F472" s="49">
        <v>45565</v>
      </c>
      <c r="G472" s="49">
        <v>45577</v>
      </c>
      <c r="H472" s="49">
        <v>45587</v>
      </c>
      <c r="I472" s="49">
        <v>45593</v>
      </c>
      <c r="J472" t="s">
        <v>49</v>
      </c>
      <c r="K472" s="33">
        <v>9700</v>
      </c>
      <c r="L472" t="s">
        <v>63</v>
      </c>
      <c r="M472" t="str">
        <f>_xlfn.XLOOKUP(Pipeline_tbl[[#This Row],[Rep_ID]],Dim_Reps!A:A,Dim_Reps!K:K)</f>
        <v>EUR</v>
      </c>
      <c r="N472" s="33">
        <f>(_xlfn.XLOOKUP(Pipeline_tbl[[#This Row],[Rate_Code_Generalized]],Lookups!A:A,Lookups!B:B))*Pipeline_tbl[[#This Row],[Pipeline_Amount_USD]]</f>
        <v>9700</v>
      </c>
      <c r="O472" t="str">
        <f>_xlfn.XLOOKUP(Pipeline_tbl[[#This Row],[Rep_ID]],Dim_Reps!A:A,Dim_Reps!B:B)</f>
        <v>Erik Duarte</v>
      </c>
      <c r="P472" t="str">
        <f>_xlfn.XLOOKUP(Pipeline_tbl[[#This Row],[Rep_ID]],Dim_Reps!A:A,Dim_Reps!C:C)</f>
        <v>Mid-Market AE</v>
      </c>
      <c r="Q472" t="str">
        <f>_xlfn.XLOOKUP(Pipeline_tbl[[#This Row],[Rep_ID]],Dim_Reps!A:A,Dim_Reps!D:D)</f>
        <v>Mid-Market</v>
      </c>
      <c r="R472" t="str">
        <f>_xlfn.XLOOKUP(Pipeline_tbl[[#This Row],[Rep_ID]],Dim_Reps!A:A,Dim_Reps!E:E)</f>
        <v>EMEA</v>
      </c>
      <c r="S472" t="str">
        <f>_xlfn.XLOOKUP(Pipeline_tbl[[#This Row],[Created_Date]],Dim_Date!A:A,Dim_Date!H:H)</f>
        <v>Sep 2024</v>
      </c>
      <c r="T472" t="str">
        <f>IF(Pipeline_tbl[[#This Row],[Closed_Date]]=0,"",(_xlfn.XLOOKUP(Pipeline_tbl[[#This Row],[Closed_Date]],Dim_Date!A:A,Dim_Date!H:H)))</f>
        <v>Oct 2024</v>
      </c>
      <c r="U472">
        <f>IF(Pipeline_tbl[[#This Row],[Closed_Date]]=0,"",Pipeline_tbl[[#This Row],[Closed_Date]]-Pipeline_tbl[[#This Row],[Created_Date]])</f>
        <v>40</v>
      </c>
    </row>
    <row r="473" spans="1:21" ht="15" customHeight="1" x14ac:dyDescent="0.2">
      <c r="A473" t="s">
        <v>779</v>
      </c>
      <c r="B473" t="s">
        <v>265</v>
      </c>
      <c r="C473" t="s">
        <v>54</v>
      </c>
      <c r="D473" s="49">
        <v>45545</v>
      </c>
      <c r="E473" s="49">
        <v>45548</v>
      </c>
      <c r="I473" s="49">
        <v>45574</v>
      </c>
      <c r="J473" t="s">
        <v>49</v>
      </c>
      <c r="K473" s="33">
        <v>17900</v>
      </c>
      <c r="L473" t="s">
        <v>62</v>
      </c>
      <c r="M473" t="str">
        <f>_xlfn.XLOOKUP(Pipeline_tbl[[#This Row],[Rep_ID]],Dim_Reps!A:A,Dim_Reps!K:K)</f>
        <v>EUR</v>
      </c>
      <c r="N473" s="33">
        <f>(_xlfn.XLOOKUP(Pipeline_tbl[[#This Row],[Rate_Code_Generalized]],Lookups!A:A,Lookups!B:B))*Pipeline_tbl[[#This Row],[Pipeline_Amount_USD]]</f>
        <v>17900</v>
      </c>
      <c r="O473" t="str">
        <f>_xlfn.XLOOKUP(Pipeline_tbl[[#This Row],[Rep_ID]],Dim_Reps!A:A,Dim_Reps!B:B)</f>
        <v>Erik Duarte</v>
      </c>
      <c r="P473" t="str">
        <f>_xlfn.XLOOKUP(Pipeline_tbl[[#This Row],[Rep_ID]],Dim_Reps!A:A,Dim_Reps!C:C)</f>
        <v>Mid-Market AE</v>
      </c>
      <c r="Q473" t="str">
        <f>_xlfn.XLOOKUP(Pipeline_tbl[[#This Row],[Rep_ID]],Dim_Reps!A:A,Dim_Reps!D:D)</f>
        <v>Mid-Market</v>
      </c>
      <c r="R473" t="str">
        <f>_xlfn.XLOOKUP(Pipeline_tbl[[#This Row],[Rep_ID]],Dim_Reps!A:A,Dim_Reps!E:E)</f>
        <v>EMEA</v>
      </c>
      <c r="S473" t="str">
        <f>_xlfn.XLOOKUP(Pipeline_tbl[[#This Row],[Created_Date]],Dim_Date!A:A,Dim_Date!H:H)</f>
        <v>Sep 2024</v>
      </c>
      <c r="T473" t="str">
        <f>IF(Pipeline_tbl[[#This Row],[Closed_Date]]=0,"",(_xlfn.XLOOKUP(Pipeline_tbl[[#This Row],[Closed_Date]],Dim_Date!A:A,Dim_Date!H:H)))</f>
        <v>Oct 2024</v>
      </c>
      <c r="U473">
        <f>IF(Pipeline_tbl[[#This Row],[Closed_Date]]=0,"",Pipeline_tbl[[#This Row],[Closed_Date]]-Pipeline_tbl[[#This Row],[Created_Date]])</f>
        <v>29</v>
      </c>
    </row>
    <row r="474" spans="1:21" ht="15" customHeight="1" x14ac:dyDescent="0.2">
      <c r="A474" t="s">
        <v>780</v>
      </c>
      <c r="B474" t="s">
        <v>265</v>
      </c>
      <c r="C474" t="s">
        <v>52</v>
      </c>
      <c r="D474" s="49">
        <v>45541</v>
      </c>
      <c r="E474" s="49">
        <v>45545</v>
      </c>
      <c r="F474" s="49">
        <v>45552</v>
      </c>
      <c r="G474" s="49">
        <v>45563</v>
      </c>
      <c r="I474" s="49">
        <v>45577</v>
      </c>
      <c r="J474" t="s">
        <v>49</v>
      </c>
      <c r="K474" s="33">
        <v>13800</v>
      </c>
      <c r="L474" t="s">
        <v>63</v>
      </c>
      <c r="M474" t="str">
        <f>_xlfn.XLOOKUP(Pipeline_tbl[[#This Row],[Rep_ID]],Dim_Reps!A:A,Dim_Reps!K:K)</f>
        <v>EUR</v>
      </c>
      <c r="N474" s="33">
        <f>(_xlfn.XLOOKUP(Pipeline_tbl[[#This Row],[Rate_Code_Generalized]],Lookups!A:A,Lookups!B:B))*Pipeline_tbl[[#This Row],[Pipeline_Amount_USD]]</f>
        <v>13800</v>
      </c>
      <c r="O474" t="str">
        <f>_xlfn.XLOOKUP(Pipeline_tbl[[#This Row],[Rep_ID]],Dim_Reps!A:A,Dim_Reps!B:B)</f>
        <v>Erik Duarte</v>
      </c>
      <c r="P474" t="str">
        <f>_xlfn.XLOOKUP(Pipeline_tbl[[#This Row],[Rep_ID]],Dim_Reps!A:A,Dim_Reps!C:C)</f>
        <v>Mid-Market AE</v>
      </c>
      <c r="Q474" t="str">
        <f>_xlfn.XLOOKUP(Pipeline_tbl[[#This Row],[Rep_ID]],Dim_Reps!A:A,Dim_Reps!D:D)</f>
        <v>Mid-Market</v>
      </c>
      <c r="R474" t="str">
        <f>_xlfn.XLOOKUP(Pipeline_tbl[[#This Row],[Rep_ID]],Dim_Reps!A:A,Dim_Reps!E:E)</f>
        <v>EMEA</v>
      </c>
      <c r="S474" t="str">
        <f>_xlfn.XLOOKUP(Pipeline_tbl[[#This Row],[Created_Date]],Dim_Date!A:A,Dim_Date!H:H)</f>
        <v>Sep 2024</v>
      </c>
      <c r="T474" t="str">
        <f>IF(Pipeline_tbl[[#This Row],[Closed_Date]]=0,"",(_xlfn.XLOOKUP(Pipeline_tbl[[#This Row],[Closed_Date]],Dim_Date!A:A,Dim_Date!H:H)))</f>
        <v>Oct 2024</v>
      </c>
      <c r="U474">
        <f>IF(Pipeline_tbl[[#This Row],[Closed_Date]]=0,"",Pipeline_tbl[[#This Row],[Closed_Date]]-Pipeline_tbl[[#This Row],[Created_Date]])</f>
        <v>36</v>
      </c>
    </row>
    <row r="475" spans="1:21" ht="15" customHeight="1" x14ac:dyDescent="0.2">
      <c r="A475" t="s">
        <v>781</v>
      </c>
      <c r="B475" t="s">
        <v>265</v>
      </c>
      <c r="C475" t="s">
        <v>52</v>
      </c>
      <c r="D475" s="49">
        <v>45551</v>
      </c>
      <c r="E475" s="49">
        <v>45555</v>
      </c>
      <c r="F475" s="49">
        <v>45565</v>
      </c>
      <c r="I475" s="49">
        <v>45596</v>
      </c>
      <c r="J475" t="s">
        <v>49</v>
      </c>
      <c r="K475" s="33">
        <v>20400</v>
      </c>
      <c r="L475" t="s">
        <v>64</v>
      </c>
      <c r="M475" t="str">
        <f>_xlfn.XLOOKUP(Pipeline_tbl[[#This Row],[Rep_ID]],Dim_Reps!A:A,Dim_Reps!K:K)</f>
        <v>EUR</v>
      </c>
      <c r="N475" s="33">
        <f>(_xlfn.XLOOKUP(Pipeline_tbl[[#This Row],[Rate_Code_Generalized]],Lookups!A:A,Lookups!B:B))*Pipeline_tbl[[#This Row],[Pipeline_Amount_USD]]</f>
        <v>20400</v>
      </c>
      <c r="O475" t="str">
        <f>_xlfn.XLOOKUP(Pipeline_tbl[[#This Row],[Rep_ID]],Dim_Reps!A:A,Dim_Reps!B:B)</f>
        <v>Erik Duarte</v>
      </c>
      <c r="P475" t="str">
        <f>_xlfn.XLOOKUP(Pipeline_tbl[[#This Row],[Rep_ID]],Dim_Reps!A:A,Dim_Reps!C:C)</f>
        <v>Mid-Market AE</v>
      </c>
      <c r="Q475" t="str">
        <f>_xlfn.XLOOKUP(Pipeline_tbl[[#This Row],[Rep_ID]],Dim_Reps!A:A,Dim_Reps!D:D)</f>
        <v>Mid-Market</v>
      </c>
      <c r="R475" t="str">
        <f>_xlfn.XLOOKUP(Pipeline_tbl[[#This Row],[Rep_ID]],Dim_Reps!A:A,Dim_Reps!E:E)</f>
        <v>EMEA</v>
      </c>
      <c r="S475" t="str">
        <f>_xlfn.XLOOKUP(Pipeline_tbl[[#This Row],[Created_Date]],Dim_Date!A:A,Dim_Date!H:H)</f>
        <v>Sep 2024</v>
      </c>
      <c r="T475" t="str">
        <f>IF(Pipeline_tbl[[#This Row],[Closed_Date]]=0,"",(_xlfn.XLOOKUP(Pipeline_tbl[[#This Row],[Closed_Date]],Dim_Date!A:A,Dim_Date!H:H)))</f>
        <v>Oct 2024</v>
      </c>
      <c r="U475">
        <f>IF(Pipeline_tbl[[#This Row],[Closed_Date]]=0,"",Pipeline_tbl[[#This Row],[Closed_Date]]-Pipeline_tbl[[#This Row],[Created_Date]])</f>
        <v>45</v>
      </c>
    </row>
    <row r="476" spans="1:21" ht="15" customHeight="1" x14ac:dyDescent="0.2">
      <c r="A476" t="s">
        <v>782</v>
      </c>
      <c r="B476" t="s">
        <v>233</v>
      </c>
      <c r="C476" t="s">
        <v>52</v>
      </c>
      <c r="D476" s="49">
        <v>45549</v>
      </c>
      <c r="E476" s="49">
        <v>45551</v>
      </c>
      <c r="F476" s="49">
        <v>45556</v>
      </c>
      <c r="G476" s="49">
        <v>45563</v>
      </c>
      <c r="H476" s="49">
        <v>45569</v>
      </c>
      <c r="I476" s="49">
        <v>45573</v>
      </c>
      <c r="J476" t="s">
        <v>47</v>
      </c>
      <c r="K476" s="33">
        <v>4700</v>
      </c>
      <c r="M476" t="str">
        <f>_xlfn.XLOOKUP(Pipeline_tbl[[#This Row],[Rep_ID]],Dim_Reps!A:A,Dim_Reps!K:K)</f>
        <v>MXN</v>
      </c>
      <c r="N476" s="33">
        <f>(_xlfn.XLOOKUP(Pipeline_tbl[[#This Row],[Rate_Code_Generalized]],Lookups!A:A,Lookups!B:B))*Pipeline_tbl[[#This Row],[Pipeline_Amount_USD]]</f>
        <v>92743.69</v>
      </c>
      <c r="O476" t="str">
        <f>_xlfn.XLOOKUP(Pipeline_tbl[[#This Row],[Rep_ID]],Dim_Reps!A:A,Dim_Reps!B:B)</f>
        <v>Lucas Duarte</v>
      </c>
      <c r="P476" t="str">
        <f>_xlfn.XLOOKUP(Pipeline_tbl[[#This Row],[Rep_ID]],Dim_Reps!A:A,Dim_Reps!C:C)</f>
        <v>SDR / Inside Sales Rep</v>
      </c>
      <c r="Q476" t="str">
        <f>_xlfn.XLOOKUP(Pipeline_tbl[[#This Row],[Rep_ID]],Dim_Reps!A:A,Dim_Reps!D:D)</f>
        <v>Inside Sales</v>
      </c>
      <c r="R476" t="str">
        <f>_xlfn.XLOOKUP(Pipeline_tbl[[#This Row],[Rep_ID]],Dim_Reps!A:A,Dim_Reps!E:E)</f>
        <v>LATAM</v>
      </c>
      <c r="S476" t="str">
        <f>_xlfn.XLOOKUP(Pipeline_tbl[[#This Row],[Created_Date]],Dim_Date!A:A,Dim_Date!H:H)</f>
        <v>Sep 2024</v>
      </c>
      <c r="T476" t="str">
        <f>IF(Pipeline_tbl[[#This Row],[Closed_Date]]=0,"",(_xlfn.XLOOKUP(Pipeline_tbl[[#This Row],[Closed_Date]],Dim_Date!A:A,Dim_Date!H:H)))</f>
        <v>Oct 2024</v>
      </c>
      <c r="U476">
        <f>IF(Pipeline_tbl[[#This Row],[Closed_Date]]=0,"",Pipeline_tbl[[#This Row],[Closed_Date]]-Pipeline_tbl[[#This Row],[Created_Date]])</f>
        <v>24</v>
      </c>
    </row>
    <row r="477" spans="1:21" ht="15" customHeight="1" x14ac:dyDescent="0.2">
      <c r="A477" t="s">
        <v>783</v>
      </c>
      <c r="B477" t="s">
        <v>233</v>
      </c>
      <c r="C477" t="s">
        <v>52</v>
      </c>
      <c r="D477" s="49">
        <v>45558</v>
      </c>
      <c r="E477" s="49">
        <v>45560</v>
      </c>
      <c r="F477" s="49">
        <v>45563</v>
      </c>
      <c r="G477" s="49">
        <v>45567</v>
      </c>
      <c r="H477" s="49">
        <v>45571</v>
      </c>
      <c r="I477" s="49">
        <v>45573</v>
      </c>
      <c r="J477" t="s">
        <v>47</v>
      </c>
      <c r="K477" s="33">
        <v>3000</v>
      </c>
      <c r="M477" t="str">
        <f>_xlfn.XLOOKUP(Pipeline_tbl[[#This Row],[Rep_ID]],Dim_Reps!A:A,Dim_Reps!K:K)</f>
        <v>MXN</v>
      </c>
      <c r="N477" s="33">
        <f>(_xlfn.XLOOKUP(Pipeline_tbl[[#This Row],[Rate_Code_Generalized]],Lookups!A:A,Lookups!B:B))*Pipeline_tbl[[#This Row],[Pipeline_Amount_USD]]</f>
        <v>59198.100000000006</v>
      </c>
      <c r="O477" t="str">
        <f>_xlfn.XLOOKUP(Pipeline_tbl[[#This Row],[Rep_ID]],Dim_Reps!A:A,Dim_Reps!B:B)</f>
        <v>Lucas Duarte</v>
      </c>
      <c r="P477" t="str">
        <f>_xlfn.XLOOKUP(Pipeline_tbl[[#This Row],[Rep_ID]],Dim_Reps!A:A,Dim_Reps!C:C)</f>
        <v>SDR / Inside Sales Rep</v>
      </c>
      <c r="Q477" t="str">
        <f>_xlfn.XLOOKUP(Pipeline_tbl[[#This Row],[Rep_ID]],Dim_Reps!A:A,Dim_Reps!D:D)</f>
        <v>Inside Sales</v>
      </c>
      <c r="R477" t="str">
        <f>_xlfn.XLOOKUP(Pipeline_tbl[[#This Row],[Rep_ID]],Dim_Reps!A:A,Dim_Reps!E:E)</f>
        <v>LATAM</v>
      </c>
      <c r="S477" t="str">
        <f>_xlfn.XLOOKUP(Pipeline_tbl[[#This Row],[Created_Date]],Dim_Date!A:A,Dim_Date!H:H)</f>
        <v>Sep 2024</v>
      </c>
      <c r="T477" t="str">
        <f>IF(Pipeline_tbl[[#This Row],[Closed_Date]]=0,"",(_xlfn.XLOOKUP(Pipeline_tbl[[#This Row],[Closed_Date]],Dim_Date!A:A,Dim_Date!H:H)))</f>
        <v>Oct 2024</v>
      </c>
      <c r="U477">
        <f>IF(Pipeline_tbl[[#This Row],[Closed_Date]]=0,"",Pipeline_tbl[[#This Row],[Closed_Date]]-Pipeline_tbl[[#This Row],[Created_Date]])</f>
        <v>15</v>
      </c>
    </row>
    <row r="478" spans="1:21" ht="15" customHeight="1" x14ac:dyDescent="0.2">
      <c r="A478" t="s">
        <v>784</v>
      </c>
      <c r="B478" t="s">
        <v>233</v>
      </c>
      <c r="C478" t="s">
        <v>53</v>
      </c>
      <c r="D478" s="49">
        <v>45553</v>
      </c>
      <c r="E478" s="49">
        <v>45556</v>
      </c>
      <c r="F478" s="49">
        <v>45561</v>
      </c>
      <c r="G478" s="49">
        <v>45569</v>
      </c>
      <c r="H478" s="49">
        <v>45576</v>
      </c>
      <c r="I478" s="49">
        <v>45580</v>
      </c>
      <c r="J478" t="s">
        <v>49</v>
      </c>
      <c r="K478" s="33">
        <v>6900</v>
      </c>
      <c r="L478" t="s">
        <v>63</v>
      </c>
      <c r="M478" t="str">
        <f>_xlfn.XLOOKUP(Pipeline_tbl[[#This Row],[Rep_ID]],Dim_Reps!A:A,Dim_Reps!K:K)</f>
        <v>MXN</v>
      </c>
      <c r="N478" s="33">
        <f>(_xlfn.XLOOKUP(Pipeline_tbl[[#This Row],[Rate_Code_Generalized]],Lookups!A:A,Lookups!B:B))*Pipeline_tbl[[#This Row],[Pipeline_Amount_USD]]</f>
        <v>136155.63</v>
      </c>
      <c r="O478" t="str">
        <f>_xlfn.XLOOKUP(Pipeline_tbl[[#This Row],[Rep_ID]],Dim_Reps!A:A,Dim_Reps!B:B)</f>
        <v>Lucas Duarte</v>
      </c>
      <c r="P478" t="str">
        <f>_xlfn.XLOOKUP(Pipeline_tbl[[#This Row],[Rep_ID]],Dim_Reps!A:A,Dim_Reps!C:C)</f>
        <v>SDR / Inside Sales Rep</v>
      </c>
      <c r="Q478" t="str">
        <f>_xlfn.XLOOKUP(Pipeline_tbl[[#This Row],[Rep_ID]],Dim_Reps!A:A,Dim_Reps!D:D)</f>
        <v>Inside Sales</v>
      </c>
      <c r="R478" t="str">
        <f>_xlfn.XLOOKUP(Pipeline_tbl[[#This Row],[Rep_ID]],Dim_Reps!A:A,Dim_Reps!E:E)</f>
        <v>LATAM</v>
      </c>
      <c r="S478" t="str">
        <f>_xlfn.XLOOKUP(Pipeline_tbl[[#This Row],[Created_Date]],Dim_Date!A:A,Dim_Date!H:H)</f>
        <v>Sep 2024</v>
      </c>
      <c r="T478" t="str">
        <f>IF(Pipeline_tbl[[#This Row],[Closed_Date]]=0,"",(_xlfn.XLOOKUP(Pipeline_tbl[[#This Row],[Closed_Date]],Dim_Date!A:A,Dim_Date!H:H)))</f>
        <v>Oct 2024</v>
      </c>
      <c r="U478">
        <f>IF(Pipeline_tbl[[#This Row],[Closed_Date]]=0,"",Pipeline_tbl[[#This Row],[Closed_Date]]-Pipeline_tbl[[#This Row],[Created_Date]])</f>
        <v>27</v>
      </c>
    </row>
    <row r="479" spans="1:21" ht="15" customHeight="1" x14ac:dyDescent="0.2">
      <c r="A479" t="s">
        <v>785</v>
      </c>
      <c r="B479" t="s">
        <v>233</v>
      </c>
      <c r="C479" t="s">
        <v>52</v>
      </c>
      <c r="D479" s="49">
        <v>45559</v>
      </c>
      <c r="E479" s="49">
        <v>45561</v>
      </c>
      <c r="F479" s="49">
        <v>45564</v>
      </c>
      <c r="G479" s="49">
        <v>45570</v>
      </c>
      <c r="H479" s="49">
        <v>45574</v>
      </c>
      <c r="I479" s="49">
        <v>45577</v>
      </c>
      <c r="J479" t="s">
        <v>47</v>
      </c>
      <c r="K479" s="33">
        <v>2500</v>
      </c>
      <c r="M479" t="str">
        <f>_xlfn.XLOOKUP(Pipeline_tbl[[#This Row],[Rep_ID]],Dim_Reps!A:A,Dim_Reps!K:K)</f>
        <v>MXN</v>
      </c>
      <c r="N479" s="33">
        <f>(_xlfn.XLOOKUP(Pipeline_tbl[[#This Row],[Rate_Code_Generalized]],Lookups!A:A,Lookups!B:B))*Pipeline_tbl[[#This Row],[Pipeline_Amount_USD]]</f>
        <v>49331.75</v>
      </c>
      <c r="O479" t="str">
        <f>_xlfn.XLOOKUP(Pipeline_tbl[[#This Row],[Rep_ID]],Dim_Reps!A:A,Dim_Reps!B:B)</f>
        <v>Lucas Duarte</v>
      </c>
      <c r="P479" t="str">
        <f>_xlfn.XLOOKUP(Pipeline_tbl[[#This Row],[Rep_ID]],Dim_Reps!A:A,Dim_Reps!C:C)</f>
        <v>SDR / Inside Sales Rep</v>
      </c>
      <c r="Q479" t="str">
        <f>_xlfn.XLOOKUP(Pipeline_tbl[[#This Row],[Rep_ID]],Dim_Reps!A:A,Dim_Reps!D:D)</f>
        <v>Inside Sales</v>
      </c>
      <c r="R479" t="str">
        <f>_xlfn.XLOOKUP(Pipeline_tbl[[#This Row],[Rep_ID]],Dim_Reps!A:A,Dim_Reps!E:E)</f>
        <v>LATAM</v>
      </c>
      <c r="S479" t="str">
        <f>_xlfn.XLOOKUP(Pipeline_tbl[[#This Row],[Created_Date]],Dim_Date!A:A,Dim_Date!H:H)</f>
        <v>Sep 2024</v>
      </c>
      <c r="T479" t="str">
        <f>IF(Pipeline_tbl[[#This Row],[Closed_Date]]=0,"",(_xlfn.XLOOKUP(Pipeline_tbl[[#This Row],[Closed_Date]],Dim_Date!A:A,Dim_Date!H:H)))</f>
        <v>Oct 2024</v>
      </c>
      <c r="U479">
        <f>IF(Pipeline_tbl[[#This Row],[Closed_Date]]=0,"",Pipeline_tbl[[#This Row],[Closed_Date]]-Pipeline_tbl[[#This Row],[Created_Date]])</f>
        <v>18</v>
      </c>
    </row>
    <row r="480" spans="1:21" ht="15" customHeight="1" x14ac:dyDescent="0.2">
      <c r="A480" t="s">
        <v>786</v>
      </c>
      <c r="B480" t="s">
        <v>233</v>
      </c>
      <c r="C480" t="s">
        <v>54</v>
      </c>
      <c r="D480" s="49">
        <v>45565</v>
      </c>
      <c r="E480" s="49">
        <v>45567</v>
      </c>
      <c r="F480" s="49">
        <v>45570</v>
      </c>
      <c r="G480" s="49">
        <v>45575</v>
      </c>
      <c r="H480" s="49">
        <v>45579</v>
      </c>
      <c r="I480" s="49">
        <v>45582</v>
      </c>
      <c r="J480" t="s">
        <v>49</v>
      </c>
      <c r="K480" s="33">
        <v>7300</v>
      </c>
      <c r="L480" t="s">
        <v>60</v>
      </c>
      <c r="M480" t="str">
        <f>_xlfn.XLOOKUP(Pipeline_tbl[[#This Row],[Rep_ID]],Dim_Reps!A:A,Dim_Reps!K:K)</f>
        <v>MXN</v>
      </c>
      <c r="N480" s="33">
        <f>(_xlfn.XLOOKUP(Pipeline_tbl[[#This Row],[Rate_Code_Generalized]],Lookups!A:A,Lookups!B:B))*Pipeline_tbl[[#This Row],[Pipeline_Amount_USD]]</f>
        <v>144048.71000000002</v>
      </c>
      <c r="O480" t="str">
        <f>_xlfn.XLOOKUP(Pipeline_tbl[[#This Row],[Rep_ID]],Dim_Reps!A:A,Dim_Reps!B:B)</f>
        <v>Lucas Duarte</v>
      </c>
      <c r="P480" t="str">
        <f>_xlfn.XLOOKUP(Pipeline_tbl[[#This Row],[Rep_ID]],Dim_Reps!A:A,Dim_Reps!C:C)</f>
        <v>SDR / Inside Sales Rep</v>
      </c>
      <c r="Q480" t="str">
        <f>_xlfn.XLOOKUP(Pipeline_tbl[[#This Row],[Rep_ID]],Dim_Reps!A:A,Dim_Reps!D:D)</f>
        <v>Inside Sales</v>
      </c>
      <c r="R480" t="str">
        <f>_xlfn.XLOOKUP(Pipeline_tbl[[#This Row],[Rep_ID]],Dim_Reps!A:A,Dim_Reps!E:E)</f>
        <v>LATAM</v>
      </c>
      <c r="S480" t="str">
        <f>_xlfn.XLOOKUP(Pipeline_tbl[[#This Row],[Created_Date]],Dim_Date!A:A,Dim_Date!H:H)</f>
        <v>Sep 2024</v>
      </c>
      <c r="T480" t="str">
        <f>IF(Pipeline_tbl[[#This Row],[Closed_Date]]=0,"",(_xlfn.XLOOKUP(Pipeline_tbl[[#This Row],[Closed_Date]],Dim_Date!A:A,Dim_Date!H:H)))</f>
        <v>Oct 2024</v>
      </c>
      <c r="U480">
        <f>IF(Pipeline_tbl[[#This Row],[Closed_Date]]=0,"",Pipeline_tbl[[#This Row],[Closed_Date]]-Pipeline_tbl[[#This Row],[Created_Date]])</f>
        <v>17</v>
      </c>
    </row>
    <row r="481" spans="1:21" ht="15" customHeight="1" x14ac:dyDescent="0.2">
      <c r="A481" t="s">
        <v>787</v>
      </c>
      <c r="B481" t="s">
        <v>233</v>
      </c>
      <c r="C481" t="s">
        <v>52</v>
      </c>
      <c r="D481" s="49">
        <v>45559</v>
      </c>
      <c r="E481" s="49">
        <v>45560</v>
      </c>
      <c r="F481" s="49">
        <v>45563</v>
      </c>
      <c r="G481" s="49">
        <v>45567</v>
      </c>
      <c r="I481" s="49">
        <v>45572</v>
      </c>
      <c r="J481" t="s">
        <v>49</v>
      </c>
      <c r="K481" s="33">
        <v>2700</v>
      </c>
      <c r="L481" t="s">
        <v>61</v>
      </c>
      <c r="M481" t="str">
        <f>_xlfn.XLOOKUP(Pipeline_tbl[[#This Row],[Rep_ID]],Dim_Reps!A:A,Dim_Reps!K:K)</f>
        <v>MXN</v>
      </c>
      <c r="N481" s="33">
        <f>(_xlfn.XLOOKUP(Pipeline_tbl[[#This Row],[Rate_Code_Generalized]],Lookups!A:A,Lookups!B:B))*Pipeline_tbl[[#This Row],[Pipeline_Amount_USD]]</f>
        <v>53278.29</v>
      </c>
      <c r="O481" t="str">
        <f>_xlfn.XLOOKUP(Pipeline_tbl[[#This Row],[Rep_ID]],Dim_Reps!A:A,Dim_Reps!B:B)</f>
        <v>Lucas Duarte</v>
      </c>
      <c r="P481" t="str">
        <f>_xlfn.XLOOKUP(Pipeline_tbl[[#This Row],[Rep_ID]],Dim_Reps!A:A,Dim_Reps!C:C)</f>
        <v>SDR / Inside Sales Rep</v>
      </c>
      <c r="Q481" t="str">
        <f>_xlfn.XLOOKUP(Pipeline_tbl[[#This Row],[Rep_ID]],Dim_Reps!A:A,Dim_Reps!D:D)</f>
        <v>Inside Sales</v>
      </c>
      <c r="R481" t="str">
        <f>_xlfn.XLOOKUP(Pipeline_tbl[[#This Row],[Rep_ID]],Dim_Reps!A:A,Dim_Reps!E:E)</f>
        <v>LATAM</v>
      </c>
      <c r="S481" t="str">
        <f>_xlfn.XLOOKUP(Pipeline_tbl[[#This Row],[Created_Date]],Dim_Date!A:A,Dim_Date!H:H)</f>
        <v>Sep 2024</v>
      </c>
      <c r="T481" t="str">
        <f>IF(Pipeline_tbl[[#This Row],[Closed_Date]]=0,"",(_xlfn.XLOOKUP(Pipeline_tbl[[#This Row],[Closed_Date]],Dim_Date!A:A,Dim_Date!H:H)))</f>
        <v>Oct 2024</v>
      </c>
      <c r="U481">
        <f>IF(Pipeline_tbl[[#This Row],[Closed_Date]]=0,"",Pipeline_tbl[[#This Row],[Closed_Date]]-Pipeline_tbl[[#This Row],[Created_Date]])</f>
        <v>13</v>
      </c>
    </row>
    <row r="482" spans="1:21" ht="15" customHeight="1" x14ac:dyDescent="0.2">
      <c r="A482" t="s">
        <v>788</v>
      </c>
      <c r="B482" t="s">
        <v>233</v>
      </c>
      <c r="C482" t="s">
        <v>54</v>
      </c>
      <c r="D482" s="49">
        <v>45553</v>
      </c>
      <c r="E482" s="49">
        <v>45555</v>
      </c>
      <c r="F482" s="49">
        <v>45559</v>
      </c>
      <c r="G482" s="49">
        <v>45565</v>
      </c>
      <c r="H482" s="49">
        <v>45570</v>
      </c>
      <c r="I482" s="49">
        <v>45573</v>
      </c>
      <c r="J482" t="s">
        <v>49</v>
      </c>
      <c r="K482" s="33">
        <v>5600</v>
      </c>
      <c r="L482" t="s">
        <v>64</v>
      </c>
      <c r="M482" t="str">
        <f>_xlfn.XLOOKUP(Pipeline_tbl[[#This Row],[Rep_ID]],Dim_Reps!A:A,Dim_Reps!K:K)</f>
        <v>MXN</v>
      </c>
      <c r="N482" s="33">
        <f>(_xlfn.XLOOKUP(Pipeline_tbl[[#This Row],[Rate_Code_Generalized]],Lookups!A:A,Lookups!B:B))*Pipeline_tbl[[#This Row],[Pipeline_Amount_USD]]</f>
        <v>110503.12000000001</v>
      </c>
      <c r="O482" t="str">
        <f>_xlfn.XLOOKUP(Pipeline_tbl[[#This Row],[Rep_ID]],Dim_Reps!A:A,Dim_Reps!B:B)</f>
        <v>Lucas Duarte</v>
      </c>
      <c r="P482" t="str">
        <f>_xlfn.XLOOKUP(Pipeline_tbl[[#This Row],[Rep_ID]],Dim_Reps!A:A,Dim_Reps!C:C)</f>
        <v>SDR / Inside Sales Rep</v>
      </c>
      <c r="Q482" t="str">
        <f>_xlfn.XLOOKUP(Pipeline_tbl[[#This Row],[Rep_ID]],Dim_Reps!A:A,Dim_Reps!D:D)</f>
        <v>Inside Sales</v>
      </c>
      <c r="R482" t="str">
        <f>_xlfn.XLOOKUP(Pipeline_tbl[[#This Row],[Rep_ID]],Dim_Reps!A:A,Dim_Reps!E:E)</f>
        <v>LATAM</v>
      </c>
      <c r="S482" t="str">
        <f>_xlfn.XLOOKUP(Pipeline_tbl[[#This Row],[Created_Date]],Dim_Date!A:A,Dim_Date!H:H)</f>
        <v>Sep 2024</v>
      </c>
      <c r="T482" t="str">
        <f>IF(Pipeline_tbl[[#This Row],[Closed_Date]]=0,"",(_xlfn.XLOOKUP(Pipeline_tbl[[#This Row],[Closed_Date]],Dim_Date!A:A,Dim_Date!H:H)))</f>
        <v>Oct 2024</v>
      </c>
      <c r="U482">
        <f>IF(Pipeline_tbl[[#This Row],[Closed_Date]]=0,"",Pipeline_tbl[[#This Row],[Closed_Date]]-Pipeline_tbl[[#This Row],[Created_Date]])</f>
        <v>20</v>
      </c>
    </row>
    <row r="483" spans="1:21" ht="15" customHeight="1" x14ac:dyDescent="0.2">
      <c r="A483" t="s">
        <v>789</v>
      </c>
      <c r="B483" t="s">
        <v>267</v>
      </c>
      <c r="C483" t="s">
        <v>53</v>
      </c>
      <c r="D483" s="49">
        <v>45563</v>
      </c>
      <c r="E483" s="49">
        <v>45566</v>
      </c>
      <c r="F483" s="49">
        <v>45572</v>
      </c>
      <c r="G483" s="49">
        <v>45580</v>
      </c>
      <c r="I483" s="49">
        <v>45592</v>
      </c>
      <c r="J483" t="s">
        <v>49</v>
      </c>
      <c r="K483" s="33">
        <v>13600</v>
      </c>
      <c r="L483" t="s">
        <v>62</v>
      </c>
      <c r="M483" t="str">
        <f>_xlfn.XLOOKUP(Pipeline_tbl[[#This Row],[Rep_ID]],Dim_Reps!A:A,Dim_Reps!K:K)</f>
        <v>MXN</v>
      </c>
      <c r="N483" s="33">
        <f>(_xlfn.XLOOKUP(Pipeline_tbl[[#This Row],[Rate_Code_Generalized]],Lookups!A:A,Lookups!B:B))*Pipeline_tbl[[#This Row],[Pipeline_Amount_USD]]</f>
        <v>268364.72000000003</v>
      </c>
      <c r="O483" t="str">
        <f>_xlfn.XLOOKUP(Pipeline_tbl[[#This Row],[Rep_ID]],Dim_Reps!A:A,Dim_Reps!B:B)</f>
        <v>Yuki Dubois</v>
      </c>
      <c r="P483" t="str">
        <f>_xlfn.XLOOKUP(Pipeline_tbl[[#This Row],[Rep_ID]],Dim_Reps!A:A,Dim_Reps!C:C)</f>
        <v>Mid-Market AE</v>
      </c>
      <c r="Q483" t="str">
        <f>_xlfn.XLOOKUP(Pipeline_tbl[[#This Row],[Rep_ID]],Dim_Reps!A:A,Dim_Reps!D:D)</f>
        <v>Mid-Market</v>
      </c>
      <c r="R483" t="str">
        <f>_xlfn.XLOOKUP(Pipeline_tbl[[#This Row],[Rep_ID]],Dim_Reps!A:A,Dim_Reps!E:E)</f>
        <v>LATAM</v>
      </c>
      <c r="S483" t="str">
        <f>_xlfn.XLOOKUP(Pipeline_tbl[[#This Row],[Created_Date]],Dim_Date!A:A,Dim_Date!H:H)</f>
        <v>Sep 2024</v>
      </c>
      <c r="T483" t="str">
        <f>IF(Pipeline_tbl[[#This Row],[Closed_Date]]=0,"",(_xlfn.XLOOKUP(Pipeline_tbl[[#This Row],[Closed_Date]],Dim_Date!A:A,Dim_Date!H:H)))</f>
        <v>Oct 2024</v>
      </c>
      <c r="U483">
        <f>IF(Pipeline_tbl[[#This Row],[Closed_Date]]=0,"",Pipeline_tbl[[#This Row],[Closed_Date]]-Pipeline_tbl[[#This Row],[Created_Date]])</f>
        <v>29</v>
      </c>
    </row>
    <row r="484" spans="1:21" ht="15" customHeight="1" x14ac:dyDescent="0.2">
      <c r="A484" t="s">
        <v>790</v>
      </c>
      <c r="B484" t="s">
        <v>267</v>
      </c>
      <c r="C484" t="s">
        <v>56</v>
      </c>
      <c r="D484" s="49">
        <v>45543</v>
      </c>
      <c r="E484" s="49">
        <v>45547</v>
      </c>
      <c r="F484" s="49">
        <v>45556</v>
      </c>
      <c r="G484" s="49">
        <v>45568</v>
      </c>
      <c r="H484" s="49">
        <v>45579</v>
      </c>
      <c r="I484" s="49">
        <v>45585</v>
      </c>
      <c r="J484" t="s">
        <v>47</v>
      </c>
      <c r="K484" s="33">
        <v>13900</v>
      </c>
      <c r="M484" t="str">
        <f>_xlfn.XLOOKUP(Pipeline_tbl[[#This Row],[Rep_ID]],Dim_Reps!A:A,Dim_Reps!K:K)</f>
        <v>MXN</v>
      </c>
      <c r="N484" s="33">
        <f>(_xlfn.XLOOKUP(Pipeline_tbl[[#This Row],[Rate_Code_Generalized]],Lookups!A:A,Lookups!B:B))*Pipeline_tbl[[#This Row],[Pipeline_Amount_USD]]</f>
        <v>274284.53000000003</v>
      </c>
      <c r="O484" t="str">
        <f>_xlfn.XLOOKUP(Pipeline_tbl[[#This Row],[Rep_ID]],Dim_Reps!A:A,Dim_Reps!B:B)</f>
        <v>Yuki Dubois</v>
      </c>
      <c r="P484" t="str">
        <f>_xlfn.XLOOKUP(Pipeline_tbl[[#This Row],[Rep_ID]],Dim_Reps!A:A,Dim_Reps!C:C)</f>
        <v>Mid-Market AE</v>
      </c>
      <c r="Q484" t="str">
        <f>_xlfn.XLOOKUP(Pipeline_tbl[[#This Row],[Rep_ID]],Dim_Reps!A:A,Dim_Reps!D:D)</f>
        <v>Mid-Market</v>
      </c>
      <c r="R484" t="str">
        <f>_xlfn.XLOOKUP(Pipeline_tbl[[#This Row],[Rep_ID]],Dim_Reps!A:A,Dim_Reps!E:E)</f>
        <v>LATAM</v>
      </c>
      <c r="S484" t="str">
        <f>_xlfn.XLOOKUP(Pipeline_tbl[[#This Row],[Created_Date]],Dim_Date!A:A,Dim_Date!H:H)</f>
        <v>Sep 2024</v>
      </c>
      <c r="T484" t="str">
        <f>IF(Pipeline_tbl[[#This Row],[Closed_Date]]=0,"",(_xlfn.XLOOKUP(Pipeline_tbl[[#This Row],[Closed_Date]],Dim_Date!A:A,Dim_Date!H:H)))</f>
        <v>Oct 2024</v>
      </c>
      <c r="U484">
        <f>IF(Pipeline_tbl[[#This Row],[Closed_Date]]=0,"",Pipeline_tbl[[#This Row],[Closed_Date]]-Pipeline_tbl[[#This Row],[Created_Date]])</f>
        <v>42</v>
      </c>
    </row>
    <row r="485" spans="1:21" ht="15" customHeight="1" x14ac:dyDescent="0.2">
      <c r="A485" t="s">
        <v>791</v>
      </c>
      <c r="B485" t="s">
        <v>267</v>
      </c>
      <c r="C485" t="s">
        <v>52</v>
      </c>
      <c r="D485" s="49">
        <v>45540</v>
      </c>
      <c r="E485" s="49">
        <v>45544</v>
      </c>
      <c r="I485" s="49">
        <v>45585</v>
      </c>
      <c r="J485" t="s">
        <v>49</v>
      </c>
      <c r="K485" s="33">
        <v>13200</v>
      </c>
      <c r="L485" t="s">
        <v>61</v>
      </c>
      <c r="M485" t="str">
        <f>_xlfn.XLOOKUP(Pipeline_tbl[[#This Row],[Rep_ID]],Dim_Reps!A:A,Dim_Reps!K:K)</f>
        <v>MXN</v>
      </c>
      <c r="N485" s="33">
        <f>(_xlfn.XLOOKUP(Pipeline_tbl[[#This Row],[Rate_Code_Generalized]],Lookups!A:A,Lookups!B:B))*Pipeline_tbl[[#This Row],[Pipeline_Amount_USD]]</f>
        <v>260471.64</v>
      </c>
      <c r="O485" t="str">
        <f>_xlfn.XLOOKUP(Pipeline_tbl[[#This Row],[Rep_ID]],Dim_Reps!A:A,Dim_Reps!B:B)</f>
        <v>Yuki Dubois</v>
      </c>
      <c r="P485" t="str">
        <f>_xlfn.XLOOKUP(Pipeline_tbl[[#This Row],[Rep_ID]],Dim_Reps!A:A,Dim_Reps!C:C)</f>
        <v>Mid-Market AE</v>
      </c>
      <c r="Q485" t="str">
        <f>_xlfn.XLOOKUP(Pipeline_tbl[[#This Row],[Rep_ID]],Dim_Reps!A:A,Dim_Reps!D:D)</f>
        <v>Mid-Market</v>
      </c>
      <c r="R485" t="str">
        <f>_xlfn.XLOOKUP(Pipeline_tbl[[#This Row],[Rep_ID]],Dim_Reps!A:A,Dim_Reps!E:E)</f>
        <v>LATAM</v>
      </c>
      <c r="S485" t="str">
        <f>_xlfn.XLOOKUP(Pipeline_tbl[[#This Row],[Created_Date]],Dim_Date!A:A,Dim_Date!H:H)</f>
        <v>Sep 2024</v>
      </c>
      <c r="T485" t="str">
        <f>IF(Pipeline_tbl[[#This Row],[Closed_Date]]=0,"",(_xlfn.XLOOKUP(Pipeline_tbl[[#This Row],[Closed_Date]],Dim_Date!A:A,Dim_Date!H:H)))</f>
        <v>Oct 2024</v>
      </c>
      <c r="U485">
        <f>IF(Pipeline_tbl[[#This Row],[Closed_Date]]=0,"",Pipeline_tbl[[#This Row],[Closed_Date]]-Pipeline_tbl[[#This Row],[Created_Date]])</f>
        <v>45</v>
      </c>
    </row>
    <row r="486" spans="1:21" ht="15" customHeight="1" x14ac:dyDescent="0.2">
      <c r="A486" t="s">
        <v>792</v>
      </c>
      <c r="B486" t="s">
        <v>267</v>
      </c>
      <c r="C486" t="s">
        <v>52</v>
      </c>
      <c r="D486" s="49">
        <v>45545</v>
      </c>
      <c r="E486" s="49">
        <v>45548</v>
      </c>
      <c r="F486" s="49">
        <v>45554</v>
      </c>
      <c r="G486" s="49">
        <v>45562</v>
      </c>
      <c r="I486" s="49">
        <v>45574</v>
      </c>
      <c r="J486" t="s">
        <v>49</v>
      </c>
      <c r="K486" s="33">
        <v>14700</v>
      </c>
      <c r="L486" t="s">
        <v>60</v>
      </c>
      <c r="M486" t="str">
        <f>_xlfn.XLOOKUP(Pipeline_tbl[[#This Row],[Rep_ID]],Dim_Reps!A:A,Dim_Reps!K:K)</f>
        <v>MXN</v>
      </c>
      <c r="N486" s="33">
        <f>(_xlfn.XLOOKUP(Pipeline_tbl[[#This Row],[Rate_Code_Generalized]],Lookups!A:A,Lookups!B:B))*Pipeline_tbl[[#This Row],[Pipeline_Amount_USD]]</f>
        <v>290070.69</v>
      </c>
      <c r="O486" t="str">
        <f>_xlfn.XLOOKUP(Pipeline_tbl[[#This Row],[Rep_ID]],Dim_Reps!A:A,Dim_Reps!B:B)</f>
        <v>Yuki Dubois</v>
      </c>
      <c r="P486" t="str">
        <f>_xlfn.XLOOKUP(Pipeline_tbl[[#This Row],[Rep_ID]],Dim_Reps!A:A,Dim_Reps!C:C)</f>
        <v>Mid-Market AE</v>
      </c>
      <c r="Q486" t="str">
        <f>_xlfn.XLOOKUP(Pipeline_tbl[[#This Row],[Rep_ID]],Dim_Reps!A:A,Dim_Reps!D:D)</f>
        <v>Mid-Market</v>
      </c>
      <c r="R486" t="str">
        <f>_xlfn.XLOOKUP(Pipeline_tbl[[#This Row],[Rep_ID]],Dim_Reps!A:A,Dim_Reps!E:E)</f>
        <v>LATAM</v>
      </c>
      <c r="S486" t="str">
        <f>_xlfn.XLOOKUP(Pipeline_tbl[[#This Row],[Created_Date]],Dim_Date!A:A,Dim_Date!H:H)</f>
        <v>Sep 2024</v>
      </c>
      <c r="T486" t="str">
        <f>IF(Pipeline_tbl[[#This Row],[Closed_Date]]=0,"",(_xlfn.XLOOKUP(Pipeline_tbl[[#This Row],[Closed_Date]],Dim_Date!A:A,Dim_Date!H:H)))</f>
        <v>Oct 2024</v>
      </c>
      <c r="U486">
        <f>IF(Pipeline_tbl[[#This Row],[Closed_Date]]=0,"",Pipeline_tbl[[#This Row],[Closed_Date]]-Pipeline_tbl[[#This Row],[Created_Date]])</f>
        <v>29</v>
      </c>
    </row>
    <row r="487" spans="1:21" ht="15" customHeight="1" x14ac:dyDescent="0.2">
      <c r="A487" t="s">
        <v>793</v>
      </c>
      <c r="B487" t="s">
        <v>267</v>
      </c>
      <c r="C487" t="s">
        <v>55</v>
      </c>
      <c r="D487" s="49">
        <v>45550</v>
      </c>
      <c r="E487" s="49">
        <v>45554</v>
      </c>
      <c r="I487" s="49">
        <v>45590</v>
      </c>
      <c r="J487" t="s">
        <v>49</v>
      </c>
      <c r="K487" s="33">
        <v>15700</v>
      </c>
      <c r="L487" t="s">
        <v>62</v>
      </c>
      <c r="M487" t="str">
        <f>_xlfn.XLOOKUP(Pipeline_tbl[[#This Row],[Rep_ID]],Dim_Reps!A:A,Dim_Reps!K:K)</f>
        <v>MXN</v>
      </c>
      <c r="N487" s="33">
        <f>(_xlfn.XLOOKUP(Pipeline_tbl[[#This Row],[Rate_Code_Generalized]],Lookups!A:A,Lookups!B:B))*Pipeline_tbl[[#This Row],[Pipeline_Amount_USD]]</f>
        <v>309803.39</v>
      </c>
      <c r="O487" t="str">
        <f>_xlfn.XLOOKUP(Pipeline_tbl[[#This Row],[Rep_ID]],Dim_Reps!A:A,Dim_Reps!B:B)</f>
        <v>Yuki Dubois</v>
      </c>
      <c r="P487" t="str">
        <f>_xlfn.XLOOKUP(Pipeline_tbl[[#This Row],[Rep_ID]],Dim_Reps!A:A,Dim_Reps!C:C)</f>
        <v>Mid-Market AE</v>
      </c>
      <c r="Q487" t="str">
        <f>_xlfn.XLOOKUP(Pipeline_tbl[[#This Row],[Rep_ID]],Dim_Reps!A:A,Dim_Reps!D:D)</f>
        <v>Mid-Market</v>
      </c>
      <c r="R487" t="str">
        <f>_xlfn.XLOOKUP(Pipeline_tbl[[#This Row],[Rep_ID]],Dim_Reps!A:A,Dim_Reps!E:E)</f>
        <v>LATAM</v>
      </c>
      <c r="S487" t="str">
        <f>_xlfn.XLOOKUP(Pipeline_tbl[[#This Row],[Created_Date]],Dim_Date!A:A,Dim_Date!H:H)</f>
        <v>Sep 2024</v>
      </c>
      <c r="T487" t="str">
        <f>IF(Pipeline_tbl[[#This Row],[Closed_Date]]=0,"",(_xlfn.XLOOKUP(Pipeline_tbl[[#This Row],[Closed_Date]],Dim_Date!A:A,Dim_Date!H:H)))</f>
        <v>Oct 2024</v>
      </c>
      <c r="U487">
        <f>IF(Pipeline_tbl[[#This Row],[Closed_Date]]=0,"",Pipeline_tbl[[#This Row],[Closed_Date]]-Pipeline_tbl[[#This Row],[Created_Date]])</f>
        <v>40</v>
      </c>
    </row>
    <row r="488" spans="1:21" ht="15" customHeight="1" x14ac:dyDescent="0.2">
      <c r="A488" t="s">
        <v>794</v>
      </c>
      <c r="B488" t="s">
        <v>267</v>
      </c>
      <c r="C488" t="s">
        <v>52</v>
      </c>
      <c r="D488" s="49">
        <v>45560</v>
      </c>
      <c r="E488" s="49">
        <v>45563</v>
      </c>
      <c r="F488" s="49">
        <v>45568</v>
      </c>
      <c r="G488" s="49">
        <v>45576</v>
      </c>
      <c r="H488" s="49">
        <v>45583</v>
      </c>
      <c r="I488" s="49">
        <v>45587</v>
      </c>
      <c r="J488" t="s">
        <v>47</v>
      </c>
      <c r="K488" s="33">
        <v>12000</v>
      </c>
      <c r="M488" t="str">
        <f>_xlfn.XLOOKUP(Pipeline_tbl[[#This Row],[Rep_ID]],Dim_Reps!A:A,Dim_Reps!K:K)</f>
        <v>MXN</v>
      </c>
      <c r="N488" s="33">
        <f>(_xlfn.XLOOKUP(Pipeline_tbl[[#This Row],[Rate_Code_Generalized]],Lookups!A:A,Lookups!B:B))*Pipeline_tbl[[#This Row],[Pipeline_Amount_USD]]</f>
        <v>236792.40000000002</v>
      </c>
      <c r="O488" t="str">
        <f>_xlfn.XLOOKUP(Pipeline_tbl[[#This Row],[Rep_ID]],Dim_Reps!A:A,Dim_Reps!B:B)</f>
        <v>Yuki Dubois</v>
      </c>
      <c r="P488" t="str">
        <f>_xlfn.XLOOKUP(Pipeline_tbl[[#This Row],[Rep_ID]],Dim_Reps!A:A,Dim_Reps!C:C)</f>
        <v>Mid-Market AE</v>
      </c>
      <c r="Q488" t="str">
        <f>_xlfn.XLOOKUP(Pipeline_tbl[[#This Row],[Rep_ID]],Dim_Reps!A:A,Dim_Reps!D:D)</f>
        <v>Mid-Market</v>
      </c>
      <c r="R488" t="str">
        <f>_xlfn.XLOOKUP(Pipeline_tbl[[#This Row],[Rep_ID]],Dim_Reps!A:A,Dim_Reps!E:E)</f>
        <v>LATAM</v>
      </c>
      <c r="S488" t="str">
        <f>_xlfn.XLOOKUP(Pipeline_tbl[[#This Row],[Created_Date]],Dim_Date!A:A,Dim_Date!H:H)</f>
        <v>Sep 2024</v>
      </c>
      <c r="T488" t="str">
        <f>IF(Pipeline_tbl[[#This Row],[Closed_Date]]=0,"",(_xlfn.XLOOKUP(Pipeline_tbl[[#This Row],[Closed_Date]],Dim_Date!A:A,Dim_Date!H:H)))</f>
        <v>Oct 2024</v>
      </c>
      <c r="U488">
        <f>IF(Pipeline_tbl[[#This Row],[Closed_Date]]=0,"",Pipeline_tbl[[#This Row],[Closed_Date]]-Pipeline_tbl[[#This Row],[Created_Date]])</f>
        <v>27</v>
      </c>
    </row>
    <row r="489" spans="1:21" ht="15" customHeight="1" x14ac:dyDescent="0.2">
      <c r="A489" t="s">
        <v>795</v>
      </c>
      <c r="B489" t="s">
        <v>267</v>
      </c>
      <c r="C489" t="s">
        <v>52</v>
      </c>
      <c r="D489" s="49">
        <v>45546</v>
      </c>
      <c r="E489" s="49">
        <v>45549</v>
      </c>
      <c r="F489" s="49">
        <v>45555</v>
      </c>
      <c r="G489" s="49">
        <v>45565</v>
      </c>
      <c r="H489" s="49">
        <v>45572</v>
      </c>
      <c r="I489" s="49">
        <v>45577</v>
      </c>
      <c r="J489" t="s">
        <v>47</v>
      </c>
      <c r="K489" s="33">
        <v>44800</v>
      </c>
      <c r="M489" t="str">
        <f>_xlfn.XLOOKUP(Pipeline_tbl[[#This Row],[Rep_ID]],Dim_Reps!A:A,Dim_Reps!K:K)</f>
        <v>MXN</v>
      </c>
      <c r="N489" s="33">
        <f>(_xlfn.XLOOKUP(Pipeline_tbl[[#This Row],[Rate_Code_Generalized]],Lookups!A:A,Lookups!B:B))*Pipeline_tbl[[#This Row],[Pipeline_Amount_USD]]</f>
        <v>884024.96000000008</v>
      </c>
      <c r="O489" t="str">
        <f>_xlfn.XLOOKUP(Pipeline_tbl[[#This Row],[Rep_ID]],Dim_Reps!A:A,Dim_Reps!B:B)</f>
        <v>Yuki Dubois</v>
      </c>
      <c r="P489" t="str">
        <f>_xlfn.XLOOKUP(Pipeline_tbl[[#This Row],[Rep_ID]],Dim_Reps!A:A,Dim_Reps!C:C)</f>
        <v>Mid-Market AE</v>
      </c>
      <c r="Q489" t="str">
        <f>_xlfn.XLOOKUP(Pipeline_tbl[[#This Row],[Rep_ID]],Dim_Reps!A:A,Dim_Reps!D:D)</f>
        <v>Mid-Market</v>
      </c>
      <c r="R489" t="str">
        <f>_xlfn.XLOOKUP(Pipeline_tbl[[#This Row],[Rep_ID]],Dim_Reps!A:A,Dim_Reps!E:E)</f>
        <v>LATAM</v>
      </c>
      <c r="S489" t="str">
        <f>_xlfn.XLOOKUP(Pipeline_tbl[[#This Row],[Created_Date]],Dim_Date!A:A,Dim_Date!H:H)</f>
        <v>Sep 2024</v>
      </c>
      <c r="T489" t="str">
        <f>IF(Pipeline_tbl[[#This Row],[Closed_Date]]=0,"",(_xlfn.XLOOKUP(Pipeline_tbl[[#This Row],[Closed_Date]],Dim_Date!A:A,Dim_Date!H:H)))</f>
        <v>Oct 2024</v>
      </c>
      <c r="U489">
        <f>IF(Pipeline_tbl[[#This Row],[Closed_Date]]=0,"",Pipeline_tbl[[#This Row],[Closed_Date]]-Pipeline_tbl[[#This Row],[Created_Date]])</f>
        <v>31</v>
      </c>
    </row>
    <row r="490" spans="1:21" ht="15" customHeight="1" x14ac:dyDescent="0.2">
      <c r="A490" t="s">
        <v>796</v>
      </c>
      <c r="B490" t="s">
        <v>235</v>
      </c>
      <c r="C490" t="s">
        <v>53</v>
      </c>
      <c r="D490" s="49">
        <v>45560</v>
      </c>
      <c r="E490" s="49">
        <v>45563</v>
      </c>
      <c r="F490" s="49">
        <v>45568</v>
      </c>
      <c r="G490" s="49">
        <v>45576</v>
      </c>
      <c r="H490" s="49">
        <v>45582</v>
      </c>
      <c r="I490" s="49">
        <v>45586</v>
      </c>
      <c r="J490" t="s">
        <v>49</v>
      </c>
      <c r="K490" s="33">
        <v>4700</v>
      </c>
      <c r="L490" t="s">
        <v>63</v>
      </c>
      <c r="M490" t="str">
        <f>_xlfn.XLOOKUP(Pipeline_tbl[[#This Row],[Rep_ID]],Dim_Reps!A:A,Dim_Reps!K:K)</f>
        <v>MXN</v>
      </c>
      <c r="N490" s="33">
        <f>(_xlfn.XLOOKUP(Pipeline_tbl[[#This Row],[Rate_Code_Generalized]],Lookups!A:A,Lookups!B:B))*Pipeline_tbl[[#This Row],[Pipeline_Amount_USD]]</f>
        <v>92743.69</v>
      </c>
      <c r="O490" t="str">
        <f>_xlfn.XLOOKUP(Pipeline_tbl[[#This Row],[Rep_ID]],Dim_Reps!A:A,Dim_Reps!B:B)</f>
        <v>Milo Castro</v>
      </c>
      <c r="P490" t="str">
        <f>_xlfn.XLOOKUP(Pipeline_tbl[[#This Row],[Rep_ID]],Dim_Reps!A:A,Dim_Reps!C:C)</f>
        <v>SDR / Inside Sales Rep</v>
      </c>
      <c r="Q490" t="str">
        <f>_xlfn.XLOOKUP(Pipeline_tbl[[#This Row],[Rep_ID]],Dim_Reps!A:A,Dim_Reps!D:D)</f>
        <v>Inside Sales</v>
      </c>
      <c r="R490" t="str">
        <f>_xlfn.XLOOKUP(Pipeline_tbl[[#This Row],[Rep_ID]],Dim_Reps!A:A,Dim_Reps!E:E)</f>
        <v>LATAM</v>
      </c>
      <c r="S490" t="str">
        <f>_xlfn.XLOOKUP(Pipeline_tbl[[#This Row],[Created_Date]],Dim_Date!A:A,Dim_Date!H:H)</f>
        <v>Sep 2024</v>
      </c>
      <c r="T490" t="str">
        <f>IF(Pipeline_tbl[[#This Row],[Closed_Date]]=0,"",(_xlfn.XLOOKUP(Pipeline_tbl[[#This Row],[Closed_Date]],Dim_Date!A:A,Dim_Date!H:H)))</f>
        <v>Oct 2024</v>
      </c>
      <c r="U490">
        <f>IF(Pipeline_tbl[[#This Row],[Closed_Date]]=0,"",Pipeline_tbl[[#This Row],[Closed_Date]]-Pipeline_tbl[[#This Row],[Created_Date]])</f>
        <v>26</v>
      </c>
    </row>
    <row r="491" spans="1:21" ht="15" customHeight="1" x14ac:dyDescent="0.2">
      <c r="A491" t="s">
        <v>797</v>
      </c>
      <c r="B491" t="s">
        <v>235</v>
      </c>
      <c r="C491" t="s">
        <v>52</v>
      </c>
      <c r="D491" s="49">
        <v>45564</v>
      </c>
      <c r="E491" s="49">
        <v>45566</v>
      </c>
      <c r="F491" s="49">
        <v>45569</v>
      </c>
      <c r="G491" s="49">
        <v>45575</v>
      </c>
      <c r="H491" s="49">
        <v>45579</v>
      </c>
      <c r="I491" s="49">
        <v>45582</v>
      </c>
      <c r="J491" t="s">
        <v>49</v>
      </c>
      <c r="K491" s="33">
        <v>3500</v>
      </c>
      <c r="L491" t="s">
        <v>60</v>
      </c>
      <c r="M491" t="str">
        <f>_xlfn.XLOOKUP(Pipeline_tbl[[#This Row],[Rep_ID]],Dim_Reps!A:A,Dim_Reps!K:K)</f>
        <v>MXN</v>
      </c>
      <c r="N491" s="33">
        <f>(_xlfn.XLOOKUP(Pipeline_tbl[[#This Row],[Rate_Code_Generalized]],Lookups!A:A,Lookups!B:B))*Pipeline_tbl[[#This Row],[Pipeline_Amount_USD]]</f>
        <v>69064.45</v>
      </c>
      <c r="O491" t="str">
        <f>_xlfn.XLOOKUP(Pipeline_tbl[[#This Row],[Rep_ID]],Dim_Reps!A:A,Dim_Reps!B:B)</f>
        <v>Milo Castro</v>
      </c>
      <c r="P491" t="str">
        <f>_xlfn.XLOOKUP(Pipeline_tbl[[#This Row],[Rep_ID]],Dim_Reps!A:A,Dim_Reps!C:C)</f>
        <v>SDR / Inside Sales Rep</v>
      </c>
      <c r="Q491" t="str">
        <f>_xlfn.XLOOKUP(Pipeline_tbl[[#This Row],[Rep_ID]],Dim_Reps!A:A,Dim_Reps!D:D)</f>
        <v>Inside Sales</v>
      </c>
      <c r="R491" t="str">
        <f>_xlfn.XLOOKUP(Pipeline_tbl[[#This Row],[Rep_ID]],Dim_Reps!A:A,Dim_Reps!E:E)</f>
        <v>LATAM</v>
      </c>
      <c r="S491" t="str">
        <f>_xlfn.XLOOKUP(Pipeline_tbl[[#This Row],[Created_Date]],Dim_Date!A:A,Dim_Date!H:H)</f>
        <v>Sep 2024</v>
      </c>
      <c r="T491" t="str">
        <f>IF(Pipeline_tbl[[#This Row],[Closed_Date]]=0,"",(_xlfn.XLOOKUP(Pipeline_tbl[[#This Row],[Closed_Date]],Dim_Date!A:A,Dim_Date!H:H)))</f>
        <v>Oct 2024</v>
      </c>
      <c r="U491">
        <f>IF(Pipeline_tbl[[#This Row],[Closed_Date]]=0,"",Pipeline_tbl[[#This Row],[Closed_Date]]-Pipeline_tbl[[#This Row],[Created_Date]])</f>
        <v>18</v>
      </c>
    </row>
    <row r="492" spans="1:21" ht="15" customHeight="1" x14ac:dyDescent="0.2">
      <c r="A492" t="s">
        <v>798</v>
      </c>
      <c r="B492" t="s">
        <v>235</v>
      </c>
      <c r="C492" t="s">
        <v>52</v>
      </c>
      <c r="D492" s="49">
        <v>45561</v>
      </c>
      <c r="E492" s="49">
        <v>45562</v>
      </c>
      <c r="F492" s="49">
        <v>45565</v>
      </c>
      <c r="G492" s="49">
        <v>45568</v>
      </c>
      <c r="H492" s="49">
        <v>45571</v>
      </c>
      <c r="I492" s="49">
        <v>45573</v>
      </c>
      <c r="J492" t="s">
        <v>47</v>
      </c>
      <c r="K492" s="33">
        <v>3200</v>
      </c>
      <c r="M492" t="str">
        <f>_xlfn.XLOOKUP(Pipeline_tbl[[#This Row],[Rep_ID]],Dim_Reps!A:A,Dim_Reps!K:K)</f>
        <v>MXN</v>
      </c>
      <c r="N492" s="33">
        <f>(_xlfn.XLOOKUP(Pipeline_tbl[[#This Row],[Rate_Code_Generalized]],Lookups!A:A,Lookups!B:B))*Pipeline_tbl[[#This Row],[Pipeline_Amount_USD]]</f>
        <v>63144.640000000007</v>
      </c>
      <c r="O492" t="str">
        <f>_xlfn.XLOOKUP(Pipeline_tbl[[#This Row],[Rep_ID]],Dim_Reps!A:A,Dim_Reps!B:B)</f>
        <v>Milo Castro</v>
      </c>
      <c r="P492" t="str">
        <f>_xlfn.XLOOKUP(Pipeline_tbl[[#This Row],[Rep_ID]],Dim_Reps!A:A,Dim_Reps!C:C)</f>
        <v>SDR / Inside Sales Rep</v>
      </c>
      <c r="Q492" t="str">
        <f>_xlfn.XLOOKUP(Pipeline_tbl[[#This Row],[Rep_ID]],Dim_Reps!A:A,Dim_Reps!D:D)</f>
        <v>Inside Sales</v>
      </c>
      <c r="R492" t="str">
        <f>_xlfn.XLOOKUP(Pipeline_tbl[[#This Row],[Rep_ID]],Dim_Reps!A:A,Dim_Reps!E:E)</f>
        <v>LATAM</v>
      </c>
      <c r="S492" t="str">
        <f>_xlfn.XLOOKUP(Pipeline_tbl[[#This Row],[Created_Date]],Dim_Date!A:A,Dim_Date!H:H)</f>
        <v>Sep 2024</v>
      </c>
      <c r="T492" t="str">
        <f>IF(Pipeline_tbl[[#This Row],[Closed_Date]]=0,"",(_xlfn.XLOOKUP(Pipeline_tbl[[#This Row],[Closed_Date]],Dim_Date!A:A,Dim_Date!H:H)))</f>
        <v>Oct 2024</v>
      </c>
      <c r="U492">
        <f>IF(Pipeline_tbl[[#This Row],[Closed_Date]]=0,"",Pipeline_tbl[[#This Row],[Closed_Date]]-Pipeline_tbl[[#This Row],[Created_Date]])</f>
        <v>12</v>
      </c>
    </row>
    <row r="493" spans="1:21" ht="15" customHeight="1" x14ac:dyDescent="0.2">
      <c r="A493" t="s">
        <v>799</v>
      </c>
      <c r="B493" t="s">
        <v>235</v>
      </c>
      <c r="C493" t="s">
        <v>53</v>
      </c>
      <c r="D493" s="49">
        <v>45563</v>
      </c>
      <c r="E493" s="49">
        <v>45565</v>
      </c>
      <c r="F493" s="49">
        <v>45569</v>
      </c>
      <c r="G493" s="49">
        <v>45575</v>
      </c>
      <c r="H493" s="49">
        <v>45580</v>
      </c>
      <c r="I493" s="49">
        <v>45583</v>
      </c>
      <c r="J493" t="s">
        <v>47</v>
      </c>
      <c r="K493" s="33">
        <v>10000</v>
      </c>
      <c r="M493" t="str">
        <f>_xlfn.XLOOKUP(Pipeline_tbl[[#This Row],[Rep_ID]],Dim_Reps!A:A,Dim_Reps!K:K)</f>
        <v>MXN</v>
      </c>
      <c r="N493" s="33">
        <f>(_xlfn.XLOOKUP(Pipeline_tbl[[#This Row],[Rate_Code_Generalized]],Lookups!A:A,Lookups!B:B))*Pipeline_tbl[[#This Row],[Pipeline_Amount_USD]]</f>
        <v>197327</v>
      </c>
      <c r="O493" t="str">
        <f>_xlfn.XLOOKUP(Pipeline_tbl[[#This Row],[Rep_ID]],Dim_Reps!A:A,Dim_Reps!B:B)</f>
        <v>Milo Castro</v>
      </c>
      <c r="P493" t="str">
        <f>_xlfn.XLOOKUP(Pipeline_tbl[[#This Row],[Rep_ID]],Dim_Reps!A:A,Dim_Reps!C:C)</f>
        <v>SDR / Inside Sales Rep</v>
      </c>
      <c r="Q493" t="str">
        <f>_xlfn.XLOOKUP(Pipeline_tbl[[#This Row],[Rep_ID]],Dim_Reps!A:A,Dim_Reps!D:D)</f>
        <v>Inside Sales</v>
      </c>
      <c r="R493" t="str">
        <f>_xlfn.XLOOKUP(Pipeline_tbl[[#This Row],[Rep_ID]],Dim_Reps!A:A,Dim_Reps!E:E)</f>
        <v>LATAM</v>
      </c>
      <c r="S493" t="str">
        <f>_xlfn.XLOOKUP(Pipeline_tbl[[#This Row],[Created_Date]],Dim_Date!A:A,Dim_Date!H:H)</f>
        <v>Sep 2024</v>
      </c>
      <c r="T493" t="str">
        <f>IF(Pipeline_tbl[[#This Row],[Closed_Date]]=0,"",(_xlfn.XLOOKUP(Pipeline_tbl[[#This Row],[Closed_Date]],Dim_Date!A:A,Dim_Date!H:H)))</f>
        <v>Oct 2024</v>
      </c>
      <c r="U493">
        <f>IF(Pipeline_tbl[[#This Row],[Closed_Date]]=0,"",Pipeline_tbl[[#This Row],[Closed_Date]]-Pipeline_tbl[[#This Row],[Created_Date]])</f>
        <v>20</v>
      </c>
    </row>
    <row r="494" spans="1:21" ht="15" customHeight="1" x14ac:dyDescent="0.2">
      <c r="A494" t="s">
        <v>800</v>
      </c>
      <c r="B494" t="s">
        <v>235</v>
      </c>
      <c r="C494" t="s">
        <v>52</v>
      </c>
      <c r="D494" s="49">
        <v>45561</v>
      </c>
      <c r="E494" s="49">
        <v>45563</v>
      </c>
      <c r="F494" s="49">
        <v>45568</v>
      </c>
      <c r="G494" s="49">
        <v>45575</v>
      </c>
      <c r="H494" s="49">
        <v>45581</v>
      </c>
      <c r="I494" s="49">
        <v>45585</v>
      </c>
      <c r="J494" t="s">
        <v>47</v>
      </c>
      <c r="K494" s="33">
        <v>7100</v>
      </c>
      <c r="M494" t="str">
        <f>_xlfn.XLOOKUP(Pipeline_tbl[[#This Row],[Rep_ID]],Dim_Reps!A:A,Dim_Reps!K:K)</f>
        <v>MXN</v>
      </c>
      <c r="N494" s="33">
        <f>(_xlfn.XLOOKUP(Pipeline_tbl[[#This Row],[Rate_Code_Generalized]],Lookups!A:A,Lookups!B:B))*Pipeline_tbl[[#This Row],[Pipeline_Amount_USD]]</f>
        <v>140102.17000000001</v>
      </c>
      <c r="O494" t="str">
        <f>_xlfn.XLOOKUP(Pipeline_tbl[[#This Row],[Rep_ID]],Dim_Reps!A:A,Dim_Reps!B:B)</f>
        <v>Milo Castro</v>
      </c>
      <c r="P494" t="str">
        <f>_xlfn.XLOOKUP(Pipeline_tbl[[#This Row],[Rep_ID]],Dim_Reps!A:A,Dim_Reps!C:C)</f>
        <v>SDR / Inside Sales Rep</v>
      </c>
      <c r="Q494" t="str">
        <f>_xlfn.XLOOKUP(Pipeline_tbl[[#This Row],[Rep_ID]],Dim_Reps!A:A,Dim_Reps!D:D)</f>
        <v>Inside Sales</v>
      </c>
      <c r="R494" t="str">
        <f>_xlfn.XLOOKUP(Pipeline_tbl[[#This Row],[Rep_ID]],Dim_Reps!A:A,Dim_Reps!E:E)</f>
        <v>LATAM</v>
      </c>
      <c r="S494" t="str">
        <f>_xlfn.XLOOKUP(Pipeline_tbl[[#This Row],[Created_Date]],Dim_Date!A:A,Dim_Date!H:H)</f>
        <v>Sep 2024</v>
      </c>
      <c r="T494" t="str">
        <f>IF(Pipeline_tbl[[#This Row],[Closed_Date]]=0,"",(_xlfn.XLOOKUP(Pipeline_tbl[[#This Row],[Closed_Date]],Dim_Date!A:A,Dim_Date!H:H)))</f>
        <v>Oct 2024</v>
      </c>
      <c r="U494">
        <f>IF(Pipeline_tbl[[#This Row],[Closed_Date]]=0,"",Pipeline_tbl[[#This Row],[Closed_Date]]-Pipeline_tbl[[#This Row],[Created_Date]])</f>
        <v>24</v>
      </c>
    </row>
    <row r="495" spans="1:21" ht="15" customHeight="1" x14ac:dyDescent="0.2">
      <c r="A495" t="s">
        <v>801</v>
      </c>
      <c r="B495" t="s">
        <v>235</v>
      </c>
      <c r="C495" t="s">
        <v>53</v>
      </c>
      <c r="D495" s="49">
        <v>45561</v>
      </c>
      <c r="E495" s="49">
        <v>45562</v>
      </c>
      <c r="F495" s="49">
        <v>45565</v>
      </c>
      <c r="I495" s="49">
        <v>45574</v>
      </c>
      <c r="J495" t="s">
        <v>49</v>
      </c>
      <c r="K495" s="33">
        <v>1600</v>
      </c>
      <c r="L495" t="s">
        <v>60</v>
      </c>
      <c r="M495" t="str">
        <f>_xlfn.XLOOKUP(Pipeline_tbl[[#This Row],[Rep_ID]],Dim_Reps!A:A,Dim_Reps!K:K)</f>
        <v>MXN</v>
      </c>
      <c r="N495" s="33">
        <f>(_xlfn.XLOOKUP(Pipeline_tbl[[#This Row],[Rate_Code_Generalized]],Lookups!A:A,Lookups!B:B))*Pipeline_tbl[[#This Row],[Pipeline_Amount_USD]]</f>
        <v>31572.320000000003</v>
      </c>
      <c r="O495" t="str">
        <f>_xlfn.XLOOKUP(Pipeline_tbl[[#This Row],[Rep_ID]],Dim_Reps!A:A,Dim_Reps!B:B)</f>
        <v>Milo Castro</v>
      </c>
      <c r="P495" t="str">
        <f>_xlfn.XLOOKUP(Pipeline_tbl[[#This Row],[Rep_ID]],Dim_Reps!A:A,Dim_Reps!C:C)</f>
        <v>SDR / Inside Sales Rep</v>
      </c>
      <c r="Q495" t="str">
        <f>_xlfn.XLOOKUP(Pipeline_tbl[[#This Row],[Rep_ID]],Dim_Reps!A:A,Dim_Reps!D:D)</f>
        <v>Inside Sales</v>
      </c>
      <c r="R495" t="str">
        <f>_xlfn.XLOOKUP(Pipeline_tbl[[#This Row],[Rep_ID]],Dim_Reps!A:A,Dim_Reps!E:E)</f>
        <v>LATAM</v>
      </c>
      <c r="S495" t="str">
        <f>_xlfn.XLOOKUP(Pipeline_tbl[[#This Row],[Created_Date]],Dim_Date!A:A,Dim_Date!H:H)</f>
        <v>Sep 2024</v>
      </c>
      <c r="T495" t="str">
        <f>IF(Pipeline_tbl[[#This Row],[Closed_Date]]=0,"",(_xlfn.XLOOKUP(Pipeline_tbl[[#This Row],[Closed_Date]],Dim_Date!A:A,Dim_Date!H:H)))</f>
        <v>Oct 2024</v>
      </c>
      <c r="U495">
        <f>IF(Pipeline_tbl[[#This Row],[Closed_Date]]=0,"",Pipeline_tbl[[#This Row],[Closed_Date]]-Pipeline_tbl[[#This Row],[Created_Date]])</f>
        <v>13</v>
      </c>
    </row>
    <row r="496" spans="1:21" ht="15" customHeight="1" x14ac:dyDescent="0.2">
      <c r="A496" t="s">
        <v>802</v>
      </c>
      <c r="B496" t="s">
        <v>235</v>
      </c>
      <c r="C496" t="s">
        <v>56</v>
      </c>
      <c r="D496" s="49">
        <v>45548</v>
      </c>
      <c r="E496" s="49">
        <v>45550</v>
      </c>
      <c r="F496" s="49">
        <v>45555</v>
      </c>
      <c r="G496" s="49">
        <v>45562</v>
      </c>
      <c r="H496" s="49">
        <v>45568</v>
      </c>
      <c r="I496" s="49">
        <v>45571</v>
      </c>
      <c r="J496" t="s">
        <v>47</v>
      </c>
      <c r="K496" s="33">
        <v>4300</v>
      </c>
      <c r="M496" t="str">
        <f>_xlfn.XLOOKUP(Pipeline_tbl[[#This Row],[Rep_ID]],Dim_Reps!A:A,Dim_Reps!K:K)</f>
        <v>MXN</v>
      </c>
      <c r="N496" s="33">
        <f>(_xlfn.XLOOKUP(Pipeline_tbl[[#This Row],[Rate_Code_Generalized]],Lookups!A:A,Lookups!B:B))*Pipeline_tbl[[#This Row],[Pipeline_Amount_USD]]</f>
        <v>84850.61</v>
      </c>
      <c r="O496" t="str">
        <f>_xlfn.XLOOKUP(Pipeline_tbl[[#This Row],[Rep_ID]],Dim_Reps!A:A,Dim_Reps!B:B)</f>
        <v>Milo Castro</v>
      </c>
      <c r="P496" t="str">
        <f>_xlfn.XLOOKUP(Pipeline_tbl[[#This Row],[Rep_ID]],Dim_Reps!A:A,Dim_Reps!C:C)</f>
        <v>SDR / Inside Sales Rep</v>
      </c>
      <c r="Q496" t="str">
        <f>_xlfn.XLOOKUP(Pipeline_tbl[[#This Row],[Rep_ID]],Dim_Reps!A:A,Dim_Reps!D:D)</f>
        <v>Inside Sales</v>
      </c>
      <c r="R496" t="str">
        <f>_xlfn.XLOOKUP(Pipeline_tbl[[#This Row],[Rep_ID]],Dim_Reps!A:A,Dim_Reps!E:E)</f>
        <v>LATAM</v>
      </c>
      <c r="S496" t="str">
        <f>_xlfn.XLOOKUP(Pipeline_tbl[[#This Row],[Created_Date]],Dim_Date!A:A,Dim_Date!H:H)</f>
        <v>Sep 2024</v>
      </c>
      <c r="T496" t="str">
        <f>IF(Pipeline_tbl[[#This Row],[Closed_Date]]=0,"",(_xlfn.XLOOKUP(Pipeline_tbl[[#This Row],[Closed_Date]],Dim_Date!A:A,Dim_Date!H:H)))</f>
        <v>Oct 2024</v>
      </c>
      <c r="U496">
        <f>IF(Pipeline_tbl[[#This Row],[Closed_Date]]=0,"",Pipeline_tbl[[#This Row],[Closed_Date]]-Pipeline_tbl[[#This Row],[Created_Date]])</f>
        <v>23</v>
      </c>
    </row>
    <row r="497" spans="1:21" ht="15" customHeight="1" x14ac:dyDescent="0.2">
      <c r="A497" t="s">
        <v>803</v>
      </c>
      <c r="B497" t="s">
        <v>235</v>
      </c>
      <c r="C497" t="s">
        <v>52</v>
      </c>
      <c r="D497" s="49">
        <v>45557</v>
      </c>
      <c r="E497" s="49">
        <v>45559</v>
      </c>
      <c r="F497" s="49">
        <v>45563</v>
      </c>
      <c r="G497" s="49">
        <v>45569</v>
      </c>
      <c r="H497" s="49">
        <v>45574</v>
      </c>
      <c r="I497" s="49">
        <v>45577</v>
      </c>
      <c r="J497" t="s">
        <v>49</v>
      </c>
      <c r="K497" s="33">
        <v>1600</v>
      </c>
      <c r="L497" t="s">
        <v>62</v>
      </c>
      <c r="M497" t="str">
        <f>_xlfn.XLOOKUP(Pipeline_tbl[[#This Row],[Rep_ID]],Dim_Reps!A:A,Dim_Reps!K:K)</f>
        <v>MXN</v>
      </c>
      <c r="N497" s="33">
        <f>(_xlfn.XLOOKUP(Pipeline_tbl[[#This Row],[Rate_Code_Generalized]],Lookups!A:A,Lookups!B:B))*Pipeline_tbl[[#This Row],[Pipeline_Amount_USD]]</f>
        <v>31572.320000000003</v>
      </c>
      <c r="O497" t="str">
        <f>_xlfn.XLOOKUP(Pipeline_tbl[[#This Row],[Rep_ID]],Dim_Reps!A:A,Dim_Reps!B:B)</f>
        <v>Milo Castro</v>
      </c>
      <c r="P497" t="str">
        <f>_xlfn.XLOOKUP(Pipeline_tbl[[#This Row],[Rep_ID]],Dim_Reps!A:A,Dim_Reps!C:C)</f>
        <v>SDR / Inside Sales Rep</v>
      </c>
      <c r="Q497" t="str">
        <f>_xlfn.XLOOKUP(Pipeline_tbl[[#This Row],[Rep_ID]],Dim_Reps!A:A,Dim_Reps!D:D)</f>
        <v>Inside Sales</v>
      </c>
      <c r="R497" t="str">
        <f>_xlfn.XLOOKUP(Pipeline_tbl[[#This Row],[Rep_ID]],Dim_Reps!A:A,Dim_Reps!E:E)</f>
        <v>LATAM</v>
      </c>
      <c r="S497" t="str">
        <f>_xlfn.XLOOKUP(Pipeline_tbl[[#This Row],[Created_Date]],Dim_Date!A:A,Dim_Date!H:H)</f>
        <v>Sep 2024</v>
      </c>
      <c r="T497" t="str">
        <f>IF(Pipeline_tbl[[#This Row],[Closed_Date]]=0,"",(_xlfn.XLOOKUP(Pipeline_tbl[[#This Row],[Closed_Date]],Dim_Date!A:A,Dim_Date!H:H)))</f>
        <v>Oct 2024</v>
      </c>
      <c r="U497">
        <f>IF(Pipeline_tbl[[#This Row],[Closed_Date]]=0,"",Pipeline_tbl[[#This Row],[Closed_Date]]-Pipeline_tbl[[#This Row],[Created_Date]])</f>
        <v>20</v>
      </c>
    </row>
    <row r="498" spans="1:21" ht="15" customHeight="1" x14ac:dyDescent="0.2">
      <c r="A498" t="s">
        <v>804</v>
      </c>
      <c r="B498" t="s">
        <v>235</v>
      </c>
      <c r="C498" t="s">
        <v>52</v>
      </c>
      <c r="D498" s="49">
        <v>45546</v>
      </c>
      <c r="E498" s="49">
        <v>45548</v>
      </c>
      <c r="I498" s="49">
        <v>45566</v>
      </c>
      <c r="J498" t="s">
        <v>49</v>
      </c>
      <c r="K498" s="33">
        <v>6700</v>
      </c>
      <c r="L498" t="s">
        <v>63</v>
      </c>
      <c r="M498" t="str">
        <f>_xlfn.XLOOKUP(Pipeline_tbl[[#This Row],[Rep_ID]],Dim_Reps!A:A,Dim_Reps!K:K)</f>
        <v>MXN</v>
      </c>
      <c r="N498" s="33">
        <f>(_xlfn.XLOOKUP(Pipeline_tbl[[#This Row],[Rate_Code_Generalized]],Lookups!A:A,Lookups!B:B))*Pipeline_tbl[[#This Row],[Pipeline_Amount_USD]]</f>
        <v>132209.09</v>
      </c>
      <c r="O498" t="str">
        <f>_xlfn.XLOOKUP(Pipeline_tbl[[#This Row],[Rep_ID]],Dim_Reps!A:A,Dim_Reps!B:B)</f>
        <v>Milo Castro</v>
      </c>
      <c r="P498" t="str">
        <f>_xlfn.XLOOKUP(Pipeline_tbl[[#This Row],[Rep_ID]],Dim_Reps!A:A,Dim_Reps!C:C)</f>
        <v>SDR / Inside Sales Rep</v>
      </c>
      <c r="Q498" t="str">
        <f>_xlfn.XLOOKUP(Pipeline_tbl[[#This Row],[Rep_ID]],Dim_Reps!A:A,Dim_Reps!D:D)</f>
        <v>Inside Sales</v>
      </c>
      <c r="R498" t="str">
        <f>_xlfn.XLOOKUP(Pipeline_tbl[[#This Row],[Rep_ID]],Dim_Reps!A:A,Dim_Reps!E:E)</f>
        <v>LATAM</v>
      </c>
      <c r="S498" t="str">
        <f>_xlfn.XLOOKUP(Pipeline_tbl[[#This Row],[Created_Date]],Dim_Date!A:A,Dim_Date!H:H)</f>
        <v>Sep 2024</v>
      </c>
      <c r="T498" t="str">
        <f>IF(Pipeline_tbl[[#This Row],[Closed_Date]]=0,"",(_xlfn.XLOOKUP(Pipeline_tbl[[#This Row],[Closed_Date]],Dim_Date!A:A,Dim_Date!H:H)))</f>
        <v>Oct 2024</v>
      </c>
      <c r="U498">
        <f>IF(Pipeline_tbl[[#This Row],[Closed_Date]]=0,"",Pipeline_tbl[[#This Row],[Closed_Date]]-Pipeline_tbl[[#This Row],[Created_Date]])</f>
        <v>20</v>
      </c>
    </row>
    <row r="499" spans="1:21" ht="15" customHeight="1" x14ac:dyDescent="0.2">
      <c r="A499" t="s">
        <v>805</v>
      </c>
      <c r="B499" t="s">
        <v>235</v>
      </c>
      <c r="C499" t="s">
        <v>54</v>
      </c>
      <c r="D499" s="49">
        <v>45557</v>
      </c>
      <c r="E499" s="49">
        <v>45559</v>
      </c>
      <c r="F499" s="49">
        <v>45563</v>
      </c>
      <c r="G499" s="49">
        <v>45569</v>
      </c>
      <c r="H499" s="49">
        <v>45574</v>
      </c>
      <c r="I499" s="49">
        <v>45577</v>
      </c>
      <c r="J499" t="s">
        <v>47</v>
      </c>
      <c r="K499" s="33">
        <v>3300</v>
      </c>
      <c r="M499" t="str">
        <f>_xlfn.XLOOKUP(Pipeline_tbl[[#This Row],[Rep_ID]],Dim_Reps!A:A,Dim_Reps!K:K)</f>
        <v>MXN</v>
      </c>
      <c r="N499" s="33">
        <f>(_xlfn.XLOOKUP(Pipeline_tbl[[#This Row],[Rate_Code_Generalized]],Lookups!A:A,Lookups!B:B))*Pipeline_tbl[[#This Row],[Pipeline_Amount_USD]]</f>
        <v>65117.91</v>
      </c>
      <c r="O499" t="str">
        <f>_xlfn.XLOOKUP(Pipeline_tbl[[#This Row],[Rep_ID]],Dim_Reps!A:A,Dim_Reps!B:B)</f>
        <v>Milo Castro</v>
      </c>
      <c r="P499" t="str">
        <f>_xlfn.XLOOKUP(Pipeline_tbl[[#This Row],[Rep_ID]],Dim_Reps!A:A,Dim_Reps!C:C)</f>
        <v>SDR / Inside Sales Rep</v>
      </c>
      <c r="Q499" t="str">
        <f>_xlfn.XLOOKUP(Pipeline_tbl[[#This Row],[Rep_ID]],Dim_Reps!A:A,Dim_Reps!D:D)</f>
        <v>Inside Sales</v>
      </c>
      <c r="R499" t="str">
        <f>_xlfn.XLOOKUP(Pipeline_tbl[[#This Row],[Rep_ID]],Dim_Reps!A:A,Dim_Reps!E:E)</f>
        <v>LATAM</v>
      </c>
      <c r="S499" t="str">
        <f>_xlfn.XLOOKUP(Pipeline_tbl[[#This Row],[Created_Date]],Dim_Date!A:A,Dim_Date!H:H)</f>
        <v>Sep 2024</v>
      </c>
      <c r="T499" t="str">
        <f>IF(Pipeline_tbl[[#This Row],[Closed_Date]]=0,"",(_xlfn.XLOOKUP(Pipeline_tbl[[#This Row],[Closed_Date]],Dim_Date!A:A,Dim_Date!H:H)))</f>
        <v>Oct 2024</v>
      </c>
      <c r="U499">
        <f>IF(Pipeline_tbl[[#This Row],[Closed_Date]]=0,"",Pipeline_tbl[[#This Row],[Closed_Date]]-Pipeline_tbl[[#This Row],[Created_Date]])</f>
        <v>20</v>
      </c>
    </row>
    <row r="500" spans="1:21" ht="15" customHeight="1" x14ac:dyDescent="0.2">
      <c r="A500" t="s">
        <v>806</v>
      </c>
      <c r="B500" t="s">
        <v>237</v>
      </c>
      <c r="C500" t="s">
        <v>56</v>
      </c>
      <c r="D500" s="49">
        <v>45558</v>
      </c>
      <c r="E500" s="49">
        <v>45560</v>
      </c>
      <c r="F500" s="49">
        <v>45564</v>
      </c>
      <c r="G500" s="49">
        <v>45569</v>
      </c>
      <c r="H500" s="49">
        <v>45574</v>
      </c>
      <c r="I500" s="49">
        <v>45577</v>
      </c>
      <c r="J500" t="s">
        <v>47</v>
      </c>
      <c r="K500" s="33">
        <v>3200</v>
      </c>
      <c r="M500" t="str">
        <f>_xlfn.XLOOKUP(Pipeline_tbl[[#This Row],[Rep_ID]],Dim_Reps!A:A,Dim_Reps!K:K)</f>
        <v>EUR</v>
      </c>
      <c r="N500" s="33">
        <f>(_xlfn.XLOOKUP(Pipeline_tbl[[#This Row],[Rate_Code_Generalized]],Lookups!A:A,Lookups!B:B))*Pipeline_tbl[[#This Row],[Pipeline_Amount_USD]]</f>
        <v>3200</v>
      </c>
      <c r="O500" t="str">
        <f>_xlfn.XLOOKUP(Pipeline_tbl[[#This Row],[Rep_ID]],Dim_Reps!A:A,Dim_Reps!B:B)</f>
        <v>Hugo Santos</v>
      </c>
      <c r="P500" t="str">
        <f>_xlfn.XLOOKUP(Pipeline_tbl[[#This Row],[Rep_ID]],Dim_Reps!A:A,Dim_Reps!C:C)</f>
        <v>SDR / Inside Sales Rep</v>
      </c>
      <c r="Q500" t="str">
        <f>_xlfn.XLOOKUP(Pipeline_tbl[[#This Row],[Rep_ID]],Dim_Reps!A:A,Dim_Reps!D:D)</f>
        <v>Inside Sales</v>
      </c>
      <c r="R500" t="str">
        <f>_xlfn.XLOOKUP(Pipeline_tbl[[#This Row],[Rep_ID]],Dim_Reps!A:A,Dim_Reps!E:E)</f>
        <v>EMEA</v>
      </c>
      <c r="S500" t="str">
        <f>_xlfn.XLOOKUP(Pipeline_tbl[[#This Row],[Created_Date]],Dim_Date!A:A,Dim_Date!H:H)</f>
        <v>Sep 2024</v>
      </c>
      <c r="T500" t="str">
        <f>IF(Pipeline_tbl[[#This Row],[Closed_Date]]=0,"",(_xlfn.XLOOKUP(Pipeline_tbl[[#This Row],[Closed_Date]],Dim_Date!A:A,Dim_Date!H:H)))</f>
        <v>Oct 2024</v>
      </c>
      <c r="U500">
        <f>IF(Pipeline_tbl[[#This Row],[Closed_Date]]=0,"",Pipeline_tbl[[#This Row],[Closed_Date]]-Pipeline_tbl[[#This Row],[Created_Date]])</f>
        <v>19</v>
      </c>
    </row>
    <row r="501" spans="1:21" ht="15" customHeight="1" x14ac:dyDescent="0.2">
      <c r="A501" t="s">
        <v>807</v>
      </c>
      <c r="B501" t="s">
        <v>237</v>
      </c>
      <c r="C501" t="s">
        <v>52</v>
      </c>
      <c r="D501" s="49">
        <v>45565</v>
      </c>
      <c r="E501" s="49">
        <v>45567</v>
      </c>
      <c r="F501" s="49">
        <v>45571</v>
      </c>
      <c r="G501" s="49">
        <v>45576</v>
      </c>
      <c r="I501" s="49">
        <v>45584</v>
      </c>
      <c r="J501" t="s">
        <v>49</v>
      </c>
      <c r="K501" s="33">
        <v>5500</v>
      </c>
      <c r="L501" t="s">
        <v>62</v>
      </c>
      <c r="M501" t="str">
        <f>_xlfn.XLOOKUP(Pipeline_tbl[[#This Row],[Rep_ID]],Dim_Reps!A:A,Dim_Reps!K:K)</f>
        <v>EUR</v>
      </c>
      <c r="N501" s="33">
        <f>(_xlfn.XLOOKUP(Pipeline_tbl[[#This Row],[Rate_Code_Generalized]],Lookups!A:A,Lookups!B:B))*Pipeline_tbl[[#This Row],[Pipeline_Amount_USD]]</f>
        <v>5500</v>
      </c>
      <c r="O501" t="str">
        <f>_xlfn.XLOOKUP(Pipeline_tbl[[#This Row],[Rep_ID]],Dim_Reps!A:A,Dim_Reps!B:B)</f>
        <v>Hugo Santos</v>
      </c>
      <c r="P501" t="str">
        <f>_xlfn.XLOOKUP(Pipeline_tbl[[#This Row],[Rep_ID]],Dim_Reps!A:A,Dim_Reps!C:C)</f>
        <v>SDR / Inside Sales Rep</v>
      </c>
      <c r="Q501" t="str">
        <f>_xlfn.XLOOKUP(Pipeline_tbl[[#This Row],[Rep_ID]],Dim_Reps!A:A,Dim_Reps!D:D)</f>
        <v>Inside Sales</v>
      </c>
      <c r="R501" t="str">
        <f>_xlfn.XLOOKUP(Pipeline_tbl[[#This Row],[Rep_ID]],Dim_Reps!A:A,Dim_Reps!E:E)</f>
        <v>EMEA</v>
      </c>
      <c r="S501" t="str">
        <f>_xlfn.XLOOKUP(Pipeline_tbl[[#This Row],[Created_Date]],Dim_Date!A:A,Dim_Date!H:H)</f>
        <v>Sep 2024</v>
      </c>
      <c r="T501" t="str">
        <f>IF(Pipeline_tbl[[#This Row],[Closed_Date]]=0,"",(_xlfn.XLOOKUP(Pipeline_tbl[[#This Row],[Closed_Date]],Dim_Date!A:A,Dim_Date!H:H)))</f>
        <v>Oct 2024</v>
      </c>
      <c r="U501">
        <f>IF(Pipeline_tbl[[#This Row],[Closed_Date]]=0,"",Pipeline_tbl[[#This Row],[Closed_Date]]-Pipeline_tbl[[#This Row],[Created_Date]])</f>
        <v>19</v>
      </c>
    </row>
    <row r="502" spans="1:21" ht="15" customHeight="1" x14ac:dyDescent="0.2">
      <c r="A502" t="s">
        <v>808</v>
      </c>
      <c r="B502" t="s">
        <v>237</v>
      </c>
      <c r="C502" t="s">
        <v>54</v>
      </c>
      <c r="D502" s="49">
        <v>45557</v>
      </c>
      <c r="E502" s="49">
        <v>45558</v>
      </c>
      <c r="F502" s="49">
        <v>45561</v>
      </c>
      <c r="G502" s="49">
        <v>45565</v>
      </c>
      <c r="H502" s="49">
        <v>45568</v>
      </c>
      <c r="I502" s="49">
        <v>45570</v>
      </c>
      <c r="J502" t="s">
        <v>47</v>
      </c>
      <c r="K502" s="33">
        <v>4100</v>
      </c>
      <c r="M502" t="str">
        <f>_xlfn.XLOOKUP(Pipeline_tbl[[#This Row],[Rep_ID]],Dim_Reps!A:A,Dim_Reps!K:K)</f>
        <v>EUR</v>
      </c>
      <c r="N502" s="33">
        <f>(_xlfn.XLOOKUP(Pipeline_tbl[[#This Row],[Rate_Code_Generalized]],Lookups!A:A,Lookups!B:B))*Pipeline_tbl[[#This Row],[Pipeline_Amount_USD]]</f>
        <v>4100</v>
      </c>
      <c r="O502" t="str">
        <f>_xlfn.XLOOKUP(Pipeline_tbl[[#This Row],[Rep_ID]],Dim_Reps!A:A,Dim_Reps!B:B)</f>
        <v>Hugo Santos</v>
      </c>
      <c r="P502" t="str">
        <f>_xlfn.XLOOKUP(Pipeline_tbl[[#This Row],[Rep_ID]],Dim_Reps!A:A,Dim_Reps!C:C)</f>
        <v>SDR / Inside Sales Rep</v>
      </c>
      <c r="Q502" t="str">
        <f>_xlfn.XLOOKUP(Pipeline_tbl[[#This Row],[Rep_ID]],Dim_Reps!A:A,Dim_Reps!D:D)</f>
        <v>Inside Sales</v>
      </c>
      <c r="R502" t="str">
        <f>_xlfn.XLOOKUP(Pipeline_tbl[[#This Row],[Rep_ID]],Dim_Reps!A:A,Dim_Reps!E:E)</f>
        <v>EMEA</v>
      </c>
      <c r="S502" t="str">
        <f>_xlfn.XLOOKUP(Pipeline_tbl[[#This Row],[Created_Date]],Dim_Date!A:A,Dim_Date!H:H)</f>
        <v>Sep 2024</v>
      </c>
      <c r="T502" t="str">
        <f>IF(Pipeline_tbl[[#This Row],[Closed_Date]]=0,"",(_xlfn.XLOOKUP(Pipeline_tbl[[#This Row],[Closed_Date]],Dim_Date!A:A,Dim_Date!H:H)))</f>
        <v>Oct 2024</v>
      </c>
      <c r="U502">
        <f>IF(Pipeline_tbl[[#This Row],[Closed_Date]]=0,"",Pipeline_tbl[[#This Row],[Closed_Date]]-Pipeline_tbl[[#This Row],[Created_Date]])</f>
        <v>13</v>
      </c>
    </row>
    <row r="503" spans="1:21" ht="15" customHeight="1" x14ac:dyDescent="0.2">
      <c r="A503" t="s">
        <v>809</v>
      </c>
      <c r="B503" t="s">
        <v>237</v>
      </c>
      <c r="C503" t="s">
        <v>52</v>
      </c>
      <c r="D503" s="49">
        <v>45565</v>
      </c>
      <c r="E503" s="49">
        <v>45567</v>
      </c>
      <c r="F503" s="49">
        <v>45570</v>
      </c>
      <c r="G503" s="49">
        <v>45575</v>
      </c>
      <c r="H503" s="49">
        <v>45579</v>
      </c>
      <c r="I503" s="49">
        <v>45582</v>
      </c>
      <c r="J503" t="s">
        <v>47</v>
      </c>
      <c r="K503" s="33">
        <v>5800</v>
      </c>
      <c r="M503" t="str">
        <f>_xlfn.XLOOKUP(Pipeline_tbl[[#This Row],[Rep_ID]],Dim_Reps!A:A,Dim_Reps!K:K)</f>
        <v>EUR</v>
      </c>
      <c r="N503" s="33">
        <f>(_xlfn.XLOOKUP(Pipeline_tbl[[#This Row],[Rate_Code_Generalized]],Lookups!A:A,Lookups!B:B))*Pipeline_tbl[[#This Row],[Pipeline_Amount_USD]]</f>
        <v>5800</v>
      </c>
      <c r="O503" t="str">
        <f>_xlfn.XLOOKUP(Pipeline_tbl[[#This Row],[Rep_ID]],Dim_Reps!A:A,Dim_Reps!B:B)</f>
        <v>Hugo Santos</v>
      </c>
      <c r="P503" t="str">
        <f>_xlfn.XLOOKUP(Pipeline_tbl[[#This Row],[Rep_ID]],Dim_Reps!A:A,Dim_Reps!C:C)</f>
        <v>SDR / Inside Sales Rep</v>
      </c>
      <c r="Q503" t="str">
        <f>_xlfn.XLOOKUP(Pipeline_tbl[[#This Row],[Rep_ID]],Dim_Reps!A:A,Dim_Reps!D:D)</f>
        <v>Inside Sales</v>
      </c>
      <c r="R503" t="str">
        <f>_xlfn.XLOOKUP(Pipeline_tbl[[#This Row],[Rep_ID]],Dim_Reps!A:A,Dim_Reps!E:E)</f>
        <v>EMEA</v>
      </c>
      <c r="S503" t="str">
        <f>_xlfn.XLOOKUP(Pipeline_tbl[[#This Row],[Created_Date]],Dim_Date!A:A,Dim_Date!H:H)</f>
        <v>Sep 2024</v>
      </c>
      <c r="T503" t="str">
        <f>IF(Pipeline_tbl[[#This Row],[Closed_Date]]=0,"",(_xlfn.XLOOKUP(Pipeline_tbl[[#This Row],[Closed_Date]],Dim_Date!A:A,Dim_Date!H:H)))</f>
        <v>Oct 2024</v>
      </c>
      <c r="U503">
        <f>IF(Pipeline_tbl[[#This Row],[Closed_Date]]=0,"",Pipeline_tbl[[#This Row],[Closed_Date]]-Pipeline_tbl[[#This Row],[Created_Date]])</f>
        <v>17</v>
      </c>
    </row>
    <row r="504" spans="1:21" ht="15" customHeight="1" x14ac:dyDescent="0.2">
      <c r="A504" t="s">
        <v>810</v>
      </c>
      <c r="B504" t="s">
        <v>237</v>
      </c>
      <c r="C504" t="s">
        <v>53</v>
      </c>
      <c r="D504" s="49">
        <v>45562</v>
      </c>
      <c r="E504" s="49">
        <v>45563</v>
      </c>
      <c r="I504" s="49">
        <v>45576</v>
      </c>
      <c r="J504" t="s">
        <v>49</v>
      </c>
      <c r="K504" s="33">
        <v>3900</v>
      </c>
      <c r="L504" t="s">
        <v>61</v>
      </c>
      <c r="M504" t="str">
        <f>_xlfn.XLOOKUP(Pipeline_tbl[[#This Row],[Rep_ID]],Dim_Reps!A:A,Dim_Reps!K:K)</f>
        <v>EUR</v>
      </c>
      <c r="N504" s="33">
        <f>(_xlfn.XLOOKUP(Pipeline_tbl[[#This Row],[Rate_Code_Generalized]],Lookups!A:A,Lookups!B:B))*Pipeline_tbl[[#This Row],[Pipeline_Amount_USD]]</f>
        <v>3900</v>
      </c>
      <c r="O504" t="str">
        <f>_xlfn.XLOOKUP(Pipeline_tbl[[#This Row],[Rep_ID]],Dim_Reps!A:A,Dim_Reps!B:B)</f>
        <v>Hugo Santos</v>
      </c>
      <c r="P504" t="str">
        <f>_xlfn.XLOOKUP(Pipeline_tbl[[#This Row],[Rep_ID]],Dim_Reps!A:A,Dim_Reps!C:C)</f>
        <v>SDR / Inside Sales Rep</v>
      </c>
      <c r="Q504" t="str">
        <f>_xlfn.XLOOKUP(Pipeline_tbl[[#This Row],[Rep_ID]],Dim_Reps!A:A,Dim_Reps!D:D)</f>
        <v>Inside Sales</v>
      </c>
      <c r="R504" t="str">
        <f>_xlfn.XLOOKUP(Pipeline_tbl[[#This Row],[Rep_ID]],Dim_Reps!A:A,Dim_Reps!E:E)</f>
        <v>EMEA</v>
      </c>
      <c r="S504" t="str">
        <f>_xlfn.XLOOKUP(Pipeline_tbl[[#This Row],[Created_Date]],Dim_Date!A:A,Dim_Date!H:H)</f>
        <v>Sep 2024</v>
      </c>
      <c r="T504" t="str">
        <f>IF(Pipeline_tbl[[#This Row],[Closed_Date]]=0,"",(_xlfn.XLOOKUP(Pipeline_tbl[[#This Row],[Closed_Date]],Dim_Date!A:A,Dim_Date!H:H)))</f>
        <v>Oct 2024</v>
      </c>
      <c r="U504">
        <f>IF(Pipeline_tbl[[#This Row],[Closed_Date]]=0,"",Pipeline_tbl[[#This Row],[Closed_Date]]-Pipeline_tbl[[#This Row],[Created_Date]])</f>
        <v>14</v>
      </c>
    </row>
    <row r="505" spans="1:21" ht="15" customHeight="1" x14ac:dyDescent="0.2">
      <c r="A505" t="s">
        <v>811</v>
      </c>
      <c r="B505" t="s">
        <v>237</v>
      </c>
      <c r="C505" t="s">
        <v>52</v>
      </c>
      <c r="D505" s="49">
        <v>45554</v>
      </c>
      <c r="E505" s="49">
        <v>45556</v>
      </c>
      <c r="F505" s="49">
        <v>45559</v>
      </c>
      <c r="G505" s="49">
        <v>45563</v>
      </c>
      <c r="H505" s="49">
        <v>45567</v>
      </c>
      <c r="I505" s="49">
        <v>45569</v>
      </c>
      <c r="J505" t="s">
        <v>49</v>
      </c>
      <c r="K505" s="33">
        <v>2000</v>
      </c>
      <c r="L505" t="s">
        <v>62</v>
      </c>
      <c r="M505" t="str">
        <f>_xlfn.XLOOKUP(Pipeline_tbl[[#This Row],[Rep_ID]],Dim_Reps!A:A,Dim_Reps!K:K)</f>
        <v>EUR</v>
      </c>
      <c r="N505" s="33">
        <f>(_xlfn.XLOOKUP(Pipeline_tbl[[#This Row],[Rate_Code_Generalized]],Lookups!A:A,Lookups!B:B))*Pipeline_tbl[[#This Row],[Pipeline_Amount_USD]]</f>
        <v>2000</v>
      </c>
      <c r="O505" t="str">
        <f>_xlfn.XLOOKUP(Pipeline_tbl[[#This Row],[Rep_ID]],Dim_Reps!A:A,Dim_Reps!B:B)</f>
        <v>Hugo Santos</v>
      </c>
      <c r="P505" t="str">
        <f>_xlfn.XLOOKUP(Pipeline_tbl[[#This Row],[Rep_ID]],Dim_Reps!A:A,Dim_Reps!C:C)</f>
        <v>SDR / Inside Sales Rep</v>
      </c>
      <c r="Q505" t="str">
        <f>_xlfn.XLOOKUP(Pipeline_tbl[[#This Row],[Rep_ID]],Dim_Reps!A:A,Dim_Reps!D:D)</f>
        <v>Inside Sales</v>
      </c>
      <c r="R505" t="str">
        <f>_xlfn.XLOOKUP(Pipeline_tbl[[#This Row],[Rep_ID]],Dim_Reps!A:A,Dim_Reps!E:E)</f>
        <v>EMEA</v>
      </c>
      <c r="S505" t="str">
        <f>_xlfn.XLOOKUP(Pipeline_tbl[[#This Row],[Created_Date]],Dim_Date!A:A,Dim_Date!H:H)</f>
        <v>Sep 2024</v>
      </c>
      <c r="T505" t="str">
        <f>IF(Pipeline_tbl[[#This Row],[Closed_Date]]=0,"",(_xlfn.XLOOKUP(Pipeline_tbl[[#This Row],[Closed_Date]],Dim_Date!A:A,Dim_Date!H:H)))</f>
        <v>Oct 2024</v>
      </c>
      <c r="U505">
        <f>IF(Pipeline_tbl[[#This Row],[Closed_Date]]=0,"",Pipeline_tbl[[#This Row],[Closed_Date]]-Pipeline_tbl[[#This Row],[Created_Date]])</f>
        <v>15</v>
      </c>
    </row>
    <row r="506" spans="1:21" ht="15" customHeight="1" x14ac:dyDescent="0.2">
      <c r="A506" t="s">
        <v>812</v>
      </c>
      <c r="B506" t="s">
        <v>269</v>
      </c>
      <c r="C506" t="s">
        <v>56</v>
      </c>
      <c r="D506" s="49">
        <v>45556</v>
      </c>
      <c r="E506" s="49">
        <v>45557</v>
      </c>
      <c r="I506" s="49">
        <v>45566</v>
      </c>
      <c r="J506" t="s">
        <v>49</v>
      </c>
      <c r="K506" s="33">
        <v>12600</v>
      </c>
      <c r="L506" t="s">
        <v>63</v>
      </c>
      <c r="M506" t="str">
        <f>_xlfn.XLOOKUP(Pipeline_tbl[[#This Row],[Rep_ID]],Dim_Reps!A:A,Dim_Reps!K:K)</f>
        <v>USD</v>
      </c>
      <c r="N506" s="33">
        <f>(_xlfn.XLOOKUP(Pipeline_tbl[[#This Row],[Rate_Code_Generalized]],Lookups!A:A,Lookups!B:B))*Pipeline_tbl[[#This Row],[Pipeline_Amount_USD]]</f>
        <v>14670.179999999998</v>
      </c>
      <c r="O506" t="str">
        <f>_xlfn.XLOOKUP(Pipeline_tbl[[#This Row],[Rep_ID]],Dim_Reps!A:A,Dim_Reps!B:B)</f>
        <v>Morgan Rivera</v>
      </c>
      <c r="P506" t="str">
        <f>_xlfn.XLOOKUP(Pipeline_tbl[[#This Row],[Rep_ID]],Dim_Reps!A:A,Dim_Reps!C:C)</f>
        <v>Mid-Market AE</v>
      </c>
      <c r="Q506" t="str">
        <f>_xlfn.XLOOKUP(Pipeline_tbl[[#This Row],[Rep_ID]],Dim_Reps!A:A,Dim_Reps!D:D)</f>
        <v>Mid-Market</v>
      </c>
      <c r="R506" t="str">
        <f>_xlfn.XLOOKUP(Pipeline_tbl[[#This Row],[Rep_ID]],Dim_Reps!A:A,Dim_Reps!E:E)</f>
        <v>NAMER</v>
      </c>
      <c r="S506" t="str">
        <f>_xlfn.XLOOKUP(Pipeline_tbl[[#This Row],[Created_Date]],Dim_Date!A:A,Dim_Date!H:H)</f>
        <v>Sep 2024</v>
      </c>
      <c r="T506" t="str">
        <f>IF(Pipeline_tbl[[#This Row],[Closed_Date]]=0,"",(_xlfn.XLOOKUP(Pipeline_tbl[[#This Row],[Closed_Date]],Dim_Date!A:A,Dim_Date!H:H)))</f>
        <v>Oct 2024</v>
      </c>
      <c r="U506">
        <f>IF(Pipeline_tbl[[#This Row],[Closed_Date]]=0,"",Pipeline_tbl[[#This Row],[Closed_Date]]-Pipeline_tbl[[#This Row],[Created_Date]])</f>
        <v>10</v>
      </c>
    </row>
    <row r="507" spans="1:21" ht="15" customHeight="1" x14ac:dyDescent="0.2">
      <c r="A507" t="s">
        <v>813</v>
      </c>
      <c r="B507" t="s">
        <v>271</v>
      </c>
      <c r="C507" t="s">
        <v>54</v>
      </c>
      <c r="D507" s="49">
        <v>45565</v>
      </c>
      <c r="E507" s="49">
        <v>45568</v>
      </c>
      <c r="F507" s="49">
        <v>45574</v>
      </c>
      <c r="G507" s="49">
        <v>45584</v>
      </c>
      <c r="H507" s="49">
        <v>45591</v>
      </c>
      <c r="I507" s="49">
        <v>45596</v>
      </c>
      <c r="J507" t="s">
        <v>47</v>
      </c>
      <c r="K507" s="33">
        <v>9700</v>
      </c>
      <c r="M507" t="str">
        <f>_xlfn.XLOOKUP(Pipeline_tbl[[#This Row],[Rep_ID]],Dim_Reps!A:A,Dim_Reps!K:K)</f>
        <v>EUR</v>
      </c>
      <c r="N507" s="33">
        <f>(_xlfn.XLOOKUP(Pipeline_tbl[[#This Row],[Rate_Code_Generalized]],Lookups!A:A,Lookups!B:B))*Pipeline_tbl[[#This Row],[Pipeline_Amount_USD]]</f>
        <v>9700</v>
      </c>
      <c r="O507" t="str">
        <f>_xlfn.XLOOKUP(Pipeline_tbl[[#This Row],[Rep_ID]],Dim_Reps!A:A,Dim_Reps!B:B)</f>
        <v>Ivy Adler</v>
      </c>
      <c r="P507" t="str">
        <f>_xlfn.XLOOKUP(Pipeline_tbl[[#This Row],[Rep_ID]],Dim_Reps!A:A,Dim_Reps!C:C)</f>
        <v>Mid-Market AE</v>
      </c>
      <c r="Q507" t="str">
        <f>_xlfn.XLOOKUP(Pipeline_tbl[[#This Row],[Rep_ID]],Dim_Reps!A:A,Dim_Reps!D:D)</f>
        <v>Mid-Market</v>
      </c>
      <c r="R507" t="str">
        <f>_xlfn.XLOOKUP(Pipeline_tbl[[#This Row],[Rep_ID]],Dim_Reps!A:A,Dim_Reps!E:E)</f>
        <v>APAC</v>
      </c>
      <c r="S507" t="str">
        <f>_xlfn.XLOOKUP(Pipeline_tbl[[#This Row],[Created_Date]],Dim_Date!A:A,Dim_Date!H:H)</f>
        <v>Sep 2024</v>
      </c>
      <c r="T507" t="str">
        <f>IF(Pipeline_tbl[[#This Row],[Closed_Date]]=0,"",(_xlfn.XLOOKUP(Pipeline_tbl[[#This Row],[Closed_Date]],Dim_Date!A:A,Dim_Date!H:H)))</f>
        <v>Oct 2024</v>
      </c>
      <c r="U507">
        <f>IF(Pipeline_tbl[[#This Row],[Closed_Date]]=0,"",Pipeline_tbl[[#This Row],[Closed_Date]]-Pipeline_tbl[[#This Row],[Created_Date]])</f>
        <v>31</v>
      </c>
    </row>
    <row r="508" spans="1:21" ht="15" customHeight="1" x14ac:dyDescent="0.2">
      <c r="A508" t="s">
        <v>814</v>
      </c>
      <c r="B508" t="s">
        <v>271</v>
      </c>
      <c r="C508" t="s">
        <v>53</v>
      </c>
      <c r="D508" s="49">
        <v>45553</v>
      </c>
      <c r="E508" s="49">
        <v>45557</v>
      </c>
      <c r="F508" s="49">
        <v>45565</v>
      </c>
      <c r="G508" s="49">
        <v>45577</v>
      </c>
      <c r="I508" s="49">
        <v>45593</v>
      </c>
      <c r="J508" t="s">
        <v>49</v>
      </c>
      <c r="K508" s="33">
        <v>5400</v>
      </c>
      <c r="L508" t="s">
        <v>63</v>
      </c>
      <c r="M508" t="str">
        <f>_xlfn.XLOOKUP(Pipeline_tbl[[#This Row],[Rep_ID]],Dim_Reps!A:A,Dim_Reps!K:K)</f>
        <v>EUR</v>
      </c>
      <c r="N508" s="33">
        <f>(_xlfn.XLOOKUP(Pipeline_tbl[[#This Row],[Rate_Code_Generalized]],Lookups!A:A,Lookups!B:B))*Pipeline_tbl[[#This Row],[Pipeline_Amount_USD]]</f>
        <v>5400</v>
      </c>
      <c r="O508" t="str">
        <f>_xlfn.XLOOKUP(Pipeline_tbl[[#This Row],[Rep_ID]],Dim_Reps!A:A,Dim_Reps!B:B)</f>
        <v>Ivy Adler</v>
      </c>
      <c r="P508" t="str">
        <f>_xlfn.XLOOKUP(Pipeline_tbl[[#This Row],[Rep_ID]],Dim_Reps!A:A,Dim_Reps!C:C)</f>
        <v>Mid-Market AE</v>
      </c>
      <c r="Q508" t="str">
        <f>_xlfn.XLOOKUP(Pipeline_tbl[[#This Row],[Rep_ID]],Dim_Reps!A:A,Dim_Reps!D:D)</f>
        <v>Mid-Market</v>
      </c>
      <c r="R508" t="str">
        <f>_xlfn.XLOOKUP(Pipeline_tbl[[#This Row],[Rep_ID]],Dim_Reps!A:A,Dim_Reps!E:E)</f>
        <v>APAC</v>
      </c>
      <c r="S508" t="str">
        <f>_xlfn.XLOOKUP(Pipeline_tbl[[#This Row],[Created_Date]],Dim_Date!A:A,Dim_Date!H:H)</f>
        <v>Sep 2024</v>
      </c>
      <c r="T508" t="str">
        <f>IF(Pipeline_tbl[[#This Row],[Closed_Date]]=0,"",(_xlfn.XLOOKUP(Pipeline_tbl[[#This Row],[Closed_Date]],Dim_Date!A:A,Dim_Date!H:H)))</f>
        <v>Oct 2024</v>
      </c>
      <c r="U508">
        <f>IF(Pipeline_tbl[[#This Row],[Closed_Date]]=0,"",Pipeline_tbl[[#This Row],[Closed_Date]]-Pipeline_tbl[[#This Row],[Created_Date]])</f>
        <v>40</v>
      </c>
    </row>
    <row r="509" spans="1:21" ht="15" customHeight="1" x14ac:dyDescent="0.2">
      <c r="A509" t="s">
        <v>815</v>
      </c>
      <c r="B509" t="s">
        <v>271</v>
      </c>
      <c r="C509" t="s">
        <v>52</v>
      </c>
      <c r="D509" s="49">
        <v>45556</v>
      </c>
      <c r="E509" s="49">
        <v>45560</v>
      </c>
      <c r="F509" s="49">
        <v>45568</v>
      </c>
      <c r="G509" s="49">
        <v>45579</v>
      </c>
      <c r="I509" s="49">
        <v>45595</v>
      </c>
      <c r="J509" t="s">
        <v>49</v>
      </c>
      <c r="K509" s="33">
        <v>7700</v>
      </c>
      <c r="L509" t="s">
        <v>63</v>
      </c>
      <c r="M509" t="str">
        <f>_xlfn.XLOOKUP(Pipeline_tbl[[#This Row],[Rep_ID]],Dim_Reps!A:A,Dim_Reps!K:K)</f>
        <v>EUR</v>
      </c>
      <c r="N509" s="33">
        <f>(_xlfn.XLOOKUP(Pipeline_tbl[[#This Row],[Rate_Code_Generalized]],Lookups!A:A,Lookups!B:B))*Pipeline_tbl[[#This Row],[Pipeline_Amount_USD]]</f>
        <v>7700</v>
      </c>
      <c r="O509" t="str">
        <f>_xlfn.XLOOKUP(Pipeline_tbl[[#This Row],[Rep_ID]],Dim_Reps!A:A,Dim_Reps!B:B)</f>
        <v>Ivy Adler</v>
      </c>
      <c r="P509" t="str">
        <f>_xlfn.XLOOKUP(Pipeline_tbl[[#This Row],[Rep_ID]],Dim_Reps!A:A,Dim_Reps!C:C)</f>
        <v>Mid-Market AE</v>
      </c>
      <c r="Q509" t="str">
        <f>_xlfn.XLOOKUP(Pipeline_tbl[[#This Row],[Rep_ID]],Dim_Reps!A:A,Dim_Reps!D:D)</f>
        <v>Mid-Market</v>
      </c>
      <c r="R509" t="str">
        <f>_xlfn.XLOOKUP(Pipeline_tbl[[#This Row],[Rep_ID]],Dim_Reps!A:A,Dim_Reps!E:E)</f>
        <v>APAC</v>
      </c>
      <c r="S509" t="str">
        <f>_xlfn.XLOOKUP(Pipeline_tbl[[#This Row],[Created_Date]],Dim_Date!A:A,Dim_Date!H:H)</f>
        <v>Sep 2024</v>
      </c>
      <c r="T509" t="str">
        <f>IF(Pipeline_tbl[[#This Row],[Closed_Date]]=0,"",(_xlfn.XLOOKUP(Pipeline_tbl[[#This Row],[Closed_Date]],Dim_Date!A:A,Dim_Date!H:H)))</f>
        <v>Oct 2024</v>
      </c>
      <c r="U509">
        <f>IF(Pipeline_tbl[[#This Row],[Closed_Date]]=0,"",Pipeline_tbl[[#This Row],[Closed_Date]]-Pipeline_tbl[[#This Row],[Created_Date]])</f>
        <v>39</v>
      </c>
    </row>
    <row r="510" spans="1:21" ht="15" customHeight="1" x14ac:dyDescent="0.2">
      <c r="A510" t="s">
        <v>816</v>
      </c>
      <c r="B510" t="s">
        <v>271</v>
      </c>
      <c r="C510" t="s">
        <v>55</v>
      </c>
      <c r="D510" s="49">
        <v>45542</v>
      </c>
      <c r="E510" s="49">
        <v>45545</v>
      </c>
      <c r="F510" s="49">
        <v>45552</v>
      </c>
      <c r="G510" s="49">
        <v>45562</v>
      </c>
      <c r="H510" s="49">
        <v>45570</v>
      </c>
      <c r="I510" s="49">
        <v>45575</v>
      </c>
      <c r="J510" t="s">
        <v>49</v>
      </c>
      <c r="K510" s="33">
        <v>23200</v>
      </c>
      <c r="L510" t="s">
        <v>60</v>
      </c>
      <c r="M510" t="str">
        <f>_xlfn.XLOOKUP(Pipeline_tbl[[#This Row],[Rep_ID]],Dim_Reps!A:A,Dim_Reps!K:K)</f>
        <v>EUR</v>
      </c>
      <c r="N510" s="33">
        <f>(_xlfn.XLOOKUP(Pipeline_tbl[[#This Row],[Rate_Code_Generalized]],Lookups!A:A,Lookups!B:B))*Pipeline_tbl[[#This Row],[Pipeline_Amount_USD]]</f>
        <v>23200</v>
      </c>
      <c r="O510" t="str">
        <f>_xlfn.XLOOKUP(Pipeline_tbl[[#This Row],[Rep_ID]],Dim_Reps!A:A,Dim_Reps!B:B)</f>
        <v>Ivy Adler</v>
      </c>
      <c r="P510" t="str">
        <f>_xlfn.XLOOKUP(Pipeline_tbl[[#This Row],[Rep_ID]],Dim_Reps!A:A,Dim_Reps!C:C)</f>
        <v>Mid-Market AE</v>
      </c>
      <c r="Q510" t="str">
        <f>_xlfn.XLOOKUP(Pipeline_tbl[[#This Row],[Rep_ID]],Dim_Reps!A:A,Dim_Reps!D:D)</f>
        <v>Mid-Market</v>
      </c>
      <c r="R510" t="str">
        <f>_xlfn.XLOOKUP(Pipeline_tbl[[#This Row],[Rep_ID]],Dim_Reps!A:A,Dim_Reps!E:E)</f>
        <v>APAC</v>
      </c>
      <c r="S510" t="str">
        <f>_xlfn.XLOOKUP(Pipeline_tbl[[#This Row],[Created_Date]],Dim_Date!A:A,Dim_Date!H:H)</f>
        <v>Sep 2024</v>
      </c>
      <c r="T510" t="str">
        <f>IF(Pipeline_tbl[[#This Row],[Closed_Date]]=0,"",(_xlfn.XLOOKUP(Pipeline_tbl[[#This Row],[Closed_Date]],Dim_Date!A:A,Dim_Date!H:H)))</f>
        <v>Oct 2024</v>
      </c>
      <c r="U510">
        <f>IF(Pipeline_tbl[[#This Row],[Closed_Date]]=0,"",Pipeline_tbl[[#This Row],[Closed_Date]]-Pipeline_tbl[[#This Row],[Created_Date]])</f>
        <v>33</v>
      </c>
    </row>
    <row r="511" spans="1:21" ht="15" customHeight="1" x14ac:dyDescent="0.2">
      <c r="A511" t="s">
        <v>817</v>
      </c>
      <c r="B511" t="s">
        <v>271</v>
      </c>
      <c r="C511" t="s">
        <v>55</v>
      </c>
      <c r="D511" s="49">
        <v>45542</v>
      </c>
      <c r="E511" s="49">
        <v>45545</v>
      </c>
      <c r="F511" s="49">
        <v>45551</v>
      </c>
      <c r="G511" s="49">
        <v>45560</v>
      </c>
      <c r="H511" s="49">
        <v>45568</v>
      </c>
      <c r="I511" s="49">
        <v>45572</v>
      </c>
      <c r="J511" t="s">
        <v>47</v>
      </c>
      <c r="K511" s="33">
        <v>6600</v>
      </c>
      <c r="M511" t="str">
        <f>_xlfn.XLOOKUP(Pipeline_tbl[[#This Row],[Rep_ID]],Dim_Reps!A:A,Dim_Reps!K:K)</f>
        <v>EUR</v>
      </c>
      <c r="N511" s="33">
        <f>(_xlfn.XLOOKUP(Pipeline_tbl[[#This Row],[Rate_Code_Generalized]],Lookups!A:A,Lookups!B:B))*Pipeline_tbl[[#This Row],[Pipeline_Amount_USD]]</f>
        <v>6600</v>
      </c>
      <c r="O511" t="str">
        <f>_xlfn.XLOOKUP(Pipeline_tbl[[#This Row],[Rep_ID]],Dim_Reps!A:A,Dim_Reps!B:B)</f>
        <v>Ivy Adler</v>
      </c>
      <c r="P511" t="str">
        <f>_xlfn.XLOOKUP(Pipeline_tbl[[#This Row],[Rep_ID]],Dim_Reps!A:A,Dim_Reps!C:C)</f>
        <v>Mid-Market AE</v>
      </c>
      <c r="Q511" t="str">
        <f>_xlfn.XLOOKUP(Pipeline_tbl[[#This Row],[Rep_ID]],Dim_Reps!A:A,Dim_Reps!D:D)</f>
        <v>Mid-Market</v>
      </c>
      <c r="R511" t="str">
        <f>_xlfn.XLOOKUP(Pipeline_tbl[[#This Row],[Rep_ID]],Dim_Reps!A:A,Dim_Reps!E:E)</f>
        <v>APAC</v>
      </c>
      <c r="S511" t="str">
        <f>_xlfn.XLOOKUP(Pipeline_tbl[[#This Row],[Created_Date]],Dim_Date!A:A,Dim_Date!H:H)</f>
        <v>Sep 2024</v>
      </c>
      <c r="T511" t="str">
        <f>IF(Pipeline_tbl[[#This Row],[Closed_Date]]=0,"",(_xlfn.XLOOKUP(Pipeline_tbl[[#This Row],[Closed_Date]],Dim_Date!A:A,Dim_Date!H:H)))</f>
        <v>Oct 2024</v>
      </c>
      <c r="U511">
        <f>IF(Pipeline_tbl[[#This Row],[Closed_Date]]=0,"",Pipeline_tbl[[#This Row],[Closed_Date]]-Pipeline_tbl[[#This Row],[Created_Date]])</f>
        <v>30</v>
      </c>
    </row>
    <row r="512" spans="1:21" ht="15" customHeight="1" x14ac:dyDescent="0.2">
      <c r="A512" t="s">
        <v>818</v>
      </c>
      <c r="B512" t="s">
        <v>273</v>
      </c>
      <c r="C512" t="s">
        <v>52</v>
      </c>
      <c r="D512" s="49">
        <v>45547</v>
      </c>
      <c r="E512" s="49">
        <v>45550</v>
      </c>
      <c r="F512" s="49">
        <v>45555</v>
      </c>
      <c r="G512" s="49">
        <v>45563</v>
      </c>
      <c r="H512" s="49">
        <v>45570</v>
      </c>
      <c r="I512" s="49">
        <v>45574</v>
      </c>
      <c r="J512" t="s">
        <v>49</v>
      </c>
      <c r="K512" s="33">
        <v>9400</v>
      </c>
      <c r="L512" t="s">
        <v>62</v>
      </c>
      <c r="M512" t="str">
        <f>_xlfn.XLOOKUP(Pipeline_tbl[[#This Row],[Rep_ID]],Dim_Reps!A:A,Dim_Reps!K:K)</f>
        <v>EUR</v>
      </c>
      <c r="N512" s="33">
        <f>(_xlfn.XLOOKUP(Pipeline_tbl[[#This Row],[Rate_Code_Generalized]],Lookups!A:A,Lookups!B:B))*Pipeline_tbl[[#This Row],[Pipeline_Amount_USD]]</f>
        <v>9400</v>
      </c>
      <c r="O512" t="str">
        <f>_xlfn.XLOOKUP(Pipeline_tbl[[#This Row],[Rep_ID]],Dim_Reps!A:A,Dim_Reps!B:B)</f>
        <v>Olivia Cohen</v>
      </c>
      <c r="P512" t="str">
        <f>_xlfn.XLOOKUP(Pipeline_tbl[[#This Row],[Rep_ID]],Dim_Reps!A:A,Dim_Reps!C:C)</f>
        <v>Mid-Market AE</v>
      </c>
      <c r="Q512" t="str">
        <f>_xlfn.XLOOKUP(Pipeline_tbl[[#This Row],[Rep_ID]],Dim_Reps!A:A,Dim_Reps!D:D)</f>
        <v>Mid-Market</v>
      </c>
      <c r="R512" t="str">
        <f>_xlfn.XLOOKUP(Pipeline_tbl[[#This Row],[Rep_ID]],Dim_Reps!A:A,Dim_Reps!E:E)</f>
        <v>APAC</v>
      </c>
      <c r="S512" t="str">
        <f>_xlfn.XLOOKUP(Pipeline_tbl[[#This Row],[Created_Date]],Dim_Date!A:A,Dim_Date!H:H)</f>
        <v>Sep 2024</v>
      </c>
      <c r="T512" t="str">
        <f>IF(Pipeline_tbl[[#This Row],[Closed_Date]]=0,"",(_xlfn.XLOOKUP(Pipeline_tbl[[#This Row],[Closed_Date]],Dim_Date!A:A,Dim_Date!H:H)))</f>
        <v>Oct 2024</v>
      </c>
      <c r="U512">
        <f>IF(Pipeline_tbl[[#This Row],[Closed_Date]]=0,"",Pipeline_tbl[[#This Row],[Closed_Date]]-Pipeline_tbl[[#This Row],[Created_Date]])</f>
        <v>27</v>
      </c>
    </row>
    <row r="513" spans="1:21" ht="15" customHeight="1" x14ac:dyDescent="0.2">
      <c r="A513" t="s">
        <v>819</v>
      </c>
      <c r="B513" t="s">
        <v>273</v>
      </c>
      <c r="C513" t="s">
        <v>52</v>
      </c>
      <c r="D513" s="49">
        <v>45560</v>
      </c>
      <c r="E513" s="49">
        <v>45563</v>
      </c>
      <c r="F513" s="49">
        <v>45568</v>
      </c>
      <c r="G513" s="49">
        <v>45576</v>
      </c>
      <c r="I513" s="49">
        <v>45587</v>
      </c>
      <c r="J513" t="s">
        <v>49</v>
      </c>
      <c r="K513" s="33">
        <v>24200</v>
      </c>
      <c r="L513" t="s">
        <v>61</v>
      </c>
      <c r="M513" t="str">
        <f>_xlfn.XLOOKUP(Pipeline_tbl[[#This Row],[Rep_ID]],Dim_Reps!A:A,Dim_Reps!K:K)</f>
        <v>EUR</v>
      </c>
      <c r="N513" s="33">
        <f>(_xlfn.XLOOKUP(Pipeline_tbl[[#This Row],[Rate_Code_Generalized]],Lookups!A:A,Lookups!B:B))*Pipeline_tbl[[#This Row],[Pipeline_Amount_USD]]</f>
        <v>24200</v>
      </c>
      <c r="O513" t="str">
        <f>_xlfn.XLOOKUP(Pipeline_tbl[[#This Row],[Rep_ID]],Dim_Reps!A:A,Dim_Reps!B:B)</f>
        <v>Olivia Cohen</v>
      </c>
      <c r="P513" t="str">
        <f>_xlfn.XLOOKUP(Pipeline_tbl[[#This Row],[Rep_ID]],Dim_Reps!A:A,Dim_Reps!C:C)</f>
        <v>Mid-Market AE</v>
      </c>
      <c r="Q513" t="str">
        <f>_xlfn.XLOOKUP(Pipeline_tbl[[#This Row],[Rep_ID]],Dim_Reps!A:A,Dim_Reps!D:D)</f>
        <v>Mid-Market</v>
      </c>
      <c r="R513" t="str">
        <f>_xlfn.XLOOKUP(Pipeline_tbl[[#This Row],[Rep_ID]],Dim_Reps!A:A,Dim_Reps!E:E)</f>
        <v>APAC</v>
      </c>
      <c r="S513" t="str">
        <f>_xlfn.XLOOKUP(Pipeline_tbl[[#This Row],[Created_Date]],Dim_Date!A:A,Dim_Date!H:H)</f>
        <v>Sep 2024</v>
      </c>
      <c r="T513" t="str">
        <f>IF(Pipeline_tbl[[#This Row],[Closed_Date]]=0,"",(_xlfn.XLOOKUP(Pipeline_tbl[[#This Row],[Closed_Date]],Dim_Date!A:A,Dim_Date!H:H)))</f>
        <v>Oct 2024</v>
      </c>
      <c r="U513">
        <f>IF(Pipeline_tbl[[#This Row],[Closed_Date]]=0,"",Pipeline_tbl[[#This Row],[Closed_Date]]-Pipeline_tbl[[#This Row],[Created_Date]])</f>
        <v>27</v>
      </c>
    </row>
    <row r="514" spans="1:21" ht="15" customHeight="1" x14ac:dyDescent="0.2">
      <c r="A514" t="s">
        <v>820</v>
      </c>
      <c r="B514" t="s">
        <v>241</v>
      </c>
      <c r="C514" t="s">
        <v>52</v>
      </c>
      <c r="D514" s="49">
        <v>45562</v>
      </c>
      <c r="E514" s="49">
        <v>45564</v>
      </c>
      <c r="F514" s="49">
        <v>45567</v>
      </c>
      <c r="G514" s="49">
        <v>45573</v>
      </c>
      <c r="H514" s="49">
        <v>45577</v>
      </c>
      <c r="I514" s="49">
        <v>45580</v>
      </c>
      <c r="J514" t="s">
        <v>47</v>
      </c>
      <c r="K514" s="33">
        <v>7300</v>
      </c>
      <c r="M514" t="str">
        <f>_xlfn.XLOOKUP(Pipeline_tbl[[#This Row],[Rep_ID]],Dim_Reps!A:A,Dim_Reps!K:K)</f>
        <v>EUR</v>
      </c>
      <c r="N514" s="33">
        <f>(_xlfn.XLOOKUP(Pipeline_tbl[[#This Row],[Rate_Code_Generalized]],Lookups!A:A,Lookups!B:B))*Pipeline_tbl[[#This Row],[Pipeline_Amount_USD]]</f>
        <v>7300</v>
      </c>
      <c r="O514" t="str">
        <f>_xlfn.XLOOKUP(Pipeline_tbl[[#This Row],[Rep_ID]],Dim_Reps!A:A,Dim_Reps!B:B)</f>
        <v>Kenji Weber</v>
      </c>
      <c r="P514" t="str">
        <f>_xlfn.XLOOKUP(Pipeline_tbl[[#This Row],[Rep_ID]],Dim_Reps!A:A,Dim_Reps!C:C)</f>
        <v>SDR / Inside Sales Rep</v>
      </c>
      <c r="Q514" t="str">
        <f>_xlfn.XLOOKUP(Pipeline_tbl[[#This Row],[Rep_ID]],Dim_Reps!A:A,Dim_Reps!D:D)</f>
        <v>Inside Sales</v>
      </c>
      <c r="R514" t="str">
        <f>_xlfn.XLOOKUP(Pipeline_tbl[[#This Row],[Rep_ID]],Dim_Reps!A:A,Dim_Reps!E:E)</f>
        <v>APAC</v>
      </c>
      <c r="S514" t="str">
        <f>_xlfn.XLOOKUP(Pipeline_tbl[[#This Row],[Created_Date]],Dim_Date!A:A,Dim_Date!H:H)</f>
        <v>Sep 2024</v>
      </c>
      <c r="T514" t="str">
        <f>IF(Pipeline_tbl[[#This Row],[Closed_Date]]=0,"",(_xlfn.XLOOKUP(Pipeline_tbl[[#This Row],[Closed_Date]],Dim_Date!A:A,Dim_Date!H:H)))</f>
        <v>Oct 2024</v>
      </c>
      <c r="U514">
        <f>IF(Pipeline_tbl[[#This Row],[Closed_Date]]=0,"",Pipeline_tbl[[#This Row],[Closed_Date]]-Pipeline_tbl[[#This Row],[Created_Date]])</f>
        <v>18</v>
      </c>
    </row>
    <row r="515" spans="1:21" ht="15" customHeight="1" x14ac:dyDescent="0.2">
      <c r="A515" t="s">
        <v>821</v>
      </c>
      <c r="B515" t="s">
        <v>241</v>
      </c>
      <c r="C515" t="s">
        <v>53</v>
      </c>
      <c r="D515" s="49">
        <v>45565</v>
      </c>
      <c r="E515" s="49">
        <v>45567</v>
      </c>
      <c r="F515" s="49">
        <v>45570</v>
      </c>
      <c r="I515" s="49">
        <v>45582</v>
      </c>
      <c r="J515" t="s">
        <v>49</v>
      </c>
      <c r="K515" s="33">
        <v>2300</v>
      </c>
      <c r="L515" t="s">
        <v>60</v>
      </c>
      <c r="M515" t="str">
        <f>_xlfn.XLOOKUP(Pipeline_tbl[[#This Row],[Rep_ID]],Dim_Reps!A:A,Dim_Reps!K:K)</f>
        <v>EUR</v>
      </c>
      <c r="N515" s="33">
        <f>(_xlfn.XLOOKUP(Pipeline_tbl[[#This Row],[Rate_Code_Generalized]],Lookups!A:A,Lookups!B:B))*Pipeline_tbl[[#This Row],[Pipeline_Amount_USD]]</f>
        <v>2300</v>
      </c>
      <c r="O515" t="str">
        <f>_xlfn.XLOOKUP(Pipeline_tbl[[#This Row],[Rep_ID]],Dim_Reps!A:A,Dim_Reps!B:B)</f>
        <v>Kenji Weber</v>
      </c>
      <c r="P515" t="str">
        <f>_xlfn.XLOOKUP(Pipeline_tbl[[#This Row],[Rep_ID]],Dim_Reps!A:A,Dim_Reps!C:C)</f>
        <v>SDR / Inside Sales Rep</v>
      </c>
      <c r="Q515" t="str">
        <f>_xlfn.XLOOKUP(Pipeline_tbl[[#This Row],[Rep_ID]],Dim_Reps!A:A,Dim_Reps!D:D)</f>
        <v>Inside Sales</v>
      </c>
      <c r="R515" t="str">
        <f>_xlfn.XLOOKUP(Pipeline_tbl[[#This Row],[Rep_ID]],Dim_Reps!A:A,Dim_Reps!E:E)</f>
        <v>APAC</v>
      </c>
      <c r="S515" t="str">
        <f>_xlfn.XLOOKUP(Pipeline_tbl[[#This Row],[Created_Date]],Dim_Date!A:A,Dim_Date!H:H)</f>
        <v>Sep 2024</v>
      </c>
      <c r="T515" t="str">
        <f>IF(Pipeline_tbl[[#This Row],[Closed_Date]]=0,"",(_xlfn.XLOOKUP(Pipeline_tbl[[#This Row],[Closed_Date]],Dim_Date!A:A,Dim_Date!H:H)))</f>
        <v>Oct 2024</v>
      </c>
      <c r="U515">
        <f>IF(Pipeline_tbl[[#This Row],[Closed_Date]]=0,"",Pipeline_tbl[[#This Row],[Closed_Date]]-Pipeline_tbl[[#This Row],[Created_Date]])</f>
        <v>17</v>
      </c>
    </row>
    <row r="516" spans="1:21" ht="15" customHeight="1" x14ac:dyDescent="0.2">
      <c r="A516" t="s">
        <v>822</v>
      </c>
      <c r="B516" t="s">
        <v>241</v>
      </c>
      <c r="C516" t="s">
        <v>52</v>
      </c>
      <c r="D516" s="49">
        <v>45548</v>
      </c>
      <c r="E516" s="49">
        <v>45550</v>
      </c>
      <c r="F516" s="49">
        <v>45554</v>
      </c>
      <c r="G516" s="49">
        <v>45561</v>
      </c>
      <c r="H516" s="49">
        <v>45566</v>
      </c>
      <c r="I516" s="49">
        <v>45569</v>
      </c>
      <c r="J516" t="s">
        <v>47</v>
      </c>
      <c r="K516" s="33">
        <v>2200</v>
      </c>
      <c r="M516" t="str">
        <f>_xlfn.XLOOKUP(Pipeline_tbl[[#This Row],[Rep_ID]],Dim_Reps!A:A,Dim_Reps!K:K)</f>
        <v>EUR</v>
      </c>
      <c r="N516" s="33">
        <f>(_xlfn.XLOOKUP(Pipeline_tbl[[#This Row],[Rate_Code_Generalized]],Lookups!A:A,Lookups!B:B))*Pipeline_tbl[[#This Row],[Pipeline_Amount_USD]]</f>
        <v>2200</v>
      </c>
      <c r="O516" t="str">
        <f>_xlfn.XLOOKUP(Pipeline_tbl[[#This Row],[Rep_ID]],Dim_Reps!A:A,Dim_Reps!B:B)</f>
        <v>Kenji Weber</v>
      </c>
      <c r="P516" t="str">
        <f>_xlfn.XLOOKUP(Pipeline_tbl[[#This Row],[Rep_ID]],Dim_Reps!A:A,Dim_Reps!C:C)</f>
        <v>SDR / Inside Sales Rep</v>
      </c>
      <c r="Q516" t="str">
        <f>_xlfn.XLOOKUP(Pipeline_tbl[[#This Row],[Rep_ID]],Dim_Reps!A:A,Dim_Reps!D:D)</f>
        <v>Inside Sales</v>
      </c>
      <c r="R516" t="str">
        <f>_xlfn.XLOOKUP(Pipeline_tbl[[#This Row],[Rep_ID]],Dim_Reps!A:A,Dim_Reps!E:E)</f>
        <v>APAC</v>
      </c>
      <c r="S516" t="str">
        <f>_xlfn.XLOOKUP(Pipeline_tbl[[#This Row],[Created_Date]],Dim_Date!A:A,Dim_Date!H:H)</f>
        <v>Sep 2024</v>
      </c>
      <c r="T516" t="str">
        <f>IF(Pipeline_tbl[[#This Row],[Closed_Date]]=0,"",(_xlfn.XLOOKUP(Pipeline_tbl[[#This Row],[Closed_Date]],Dim_Date!A:A,Dim_Date!H:H)))</f>
        <v>Oct 2024</v>
      </c>
      <c r="U516">
        <f>IF(Pipeline_tbl[[#This Row],[Closed_Date]]=0,"",Pipeline_tbl[[#This Row],[Closed_Date]]-Pipeline_tbl[[#This Row],[Created_Date]])</f>
        <v>21</v>
      </c>
    </row>
    <row r="517" spans="1:21" ht="15" customHeight="1" x14ac:dyDescent="0.2">
      <c r="A517" t="s">
        <v>823</v>
      </c>
      <c r="B517" t="s">
        <v>241</v>
      </c>
      <c r="C517" t="s">
        <v>53</v>
      </c>
      <c r="D517" s="49">
        <v>45550</v>
      </c>
      <c r="E517" s="49">
        <v>45552</v>
      </c>
      <c r="F517" s="49">
        <v>45555</v>
      </c>
      <c r="G517" s="49">
        <v>45560</v>
      </c>
      <c r="H517" s="49">
        <v>45564</v>
      </c>
      <c r="I517" s="49">
        <v>45566</v>
      </c>
      <c r="J517" t="s">
        <v>49</v>
      </c>
      <c r="K517" s="33">
        <v>2900</v>
      </c>
      <c r="L517" t="s">
        <v>61</v>
      </c>
      <c r="M517" t="str">
        <f>_xlfn.XLOOKUP(Pipeline_tbl[[#This Row],[Rep_ID]],Dim_Reps!A:A,Dim_Reps!K:K)</f>
        <v>EUR</v>
      </c>
      <c r="N517" s="33">
        <f>(_xlfn.XLOOKUP(Pipeline_tbl[[#This Row],[Rate_Code_Generalized]],Lookups!A:A,Lookups!B:B))*Pipeline_tbl[[#This Row],[Pipeline_Amount_USD]]</f>
        <v>2900</v>
      </c>
      <c r="O517" t="str">
        <f>_xlfn.XLOOKUP(Pipeline_tbl[[#This Row],[Rep_ID]],Dim_Reps!A:A,Dim_Reps!B:B)</f>
        <v>Kenji Weber</v>
      </c>
      <c r="P517" t="str">
        <f>_xlfn.XLOOKUP(Pipeline_tbl[[#This Row],[Rep_ID]],Dim_Reps!A:A,Dim_Reps!C:C)</f>
        <v>SDR / Inside Sales Rep</v>
      </c>
      <c r="Q517" t="str">
        <f>_xlfn.XLOOKUP(Pipeline_tbl[[#This Row],[Rep_ID]],Dim_Reps!A:A,Dim_Reps!D:D)</f>
        <v>Inside Sales</v>
      </c>
      <c r="R517" t="str">
        <f>_xlfn.XLOOKUP(Pipeline_tbl[[#This Row],[Rep_ID]],Dim_Reps!A:A,Dim_Reps!E:E)</f>
        <v>APAC</v>
      </c>
      <c r="S517" t="str">
        <f>_xlfn.XLOOKUP(Pipeline_tbl[[#This Row],[Created_Date]],Dim_Date!A:A,Dim_Date!H:H)</f>
        <v>Sep 2024</v>
      </c>
      <c r="T517" t="str">
        <f>IF(Pipeline_tbl[[#This Row],[Closed_Date]]=0,"",(_xlfn.XLOOKUP(Pipeline_tbl[[#This Row],[Closed_Date]],Dim_Date!A:A,Dim_Date!H:H)))</f>
        <v>Oct 2024</v>
      </c>
      <c r="U517">
        <f>IF(Pipeline_tbl[[#This Row],[Closed_Date]]=0,"",Pipeline_tbl[[#This Row],[Closed_Date]]-Pipeline_tbl[[#This Row],[Created_Date]])</f>
        <v>16</v>
      </c>
    </row>
    <row r="518" spans="1:21" ht="15" customHeight="1" x14ac:dyDescent="0.2">
      <c r="A518" t="s">
        <v>824</v>
      </c>
      <c r="B518" t="s">
        <v>241</v>
      </c>
      <c r="C518" t="s">
        <v>53</v>
      </c>
      <c r="D518" s="49">
        <v>45556</v>
      </c>
      <c r="E518" s="49">
        <v>45558</v>
      </c>
      <c r="F518" s="49">
        <v>45561</v>
      </c>
      <c r="G518" s="49">
        <v>45567</v>
      </c>
      <c r="H518" s="49">
        <v>45571</v>
      </c>
      <c r="I518" s="49">
        <v>45574</v>
      </c>
      <c r="J518" t="s">
        <v>47</v>
      </c>
      <c r="K518" s="33">
        <v>9500</v>
      </c>
      <c r="M518" t="str">
        <f>_xlfn.XLOOKUP(Pipeline_tbl[[#This Row],[Rep_ID]],Dim_Reps!A:A,Dim_Reps!K:K)</f>
        <v>EUR</v>
      </c>
      <c r="N518" s="33">
        <f>(_xlfn.XLOOKUP(Pipeline_tbl[[#This Row],[Rate_Code_Generalized]],Lookups!A:A,Lookups!B:B))*Pipeline_tbl[[#This Row],[Pipeline_Amount_USD]]</f>
        <v>9500</v>
      </c>
      <c r="O518" t="str">
        <f>_xlfn.XLOOKUP(Pipeline_tbl[[#This Row],[Rep_ID]],Dim_Reps!A:A,Dim_Reps!B:B)</f>
        <v>Kenji Weber</v>
      </c>
      <c r="P518" t="str">
        <f>_xlfn.XLOOKUP(Pipeline_tbl[[#This Row],[Rep_ID]],Dim_Reps!A:A,Dim_Reps!C:C)</f>
        <v>SDR / Inside Sales Rep</v>
      </c>
      <c r="Q518" t="str">
        <f>_xlfn.XLOOKUP(Pipeline_tbl[[#This Row],[Rep_ID]],Dim_Reps!A:A,Dim_Reps!D:D)</f>
        <v>Inside Sales</v>
      </c>
      <c r="R518" t="str">
        <f>_xlfn.XLOOKUP(Pipeline_tbl[[#This Row],[Rep_ID]],Dim_Reps!A:A,Dim_Reps!E:E)</f>
        <v>APAC</v>
      </c>
      <c r="S518" t="str">
        <f>_xlfn.XLOOKUP(Pipeline_tbl[[#This Row],[Created_Date]],Dim_Date!A:A,Dim_Date!H:H)</f>
        <v>Sep 2024</v>
      </c>
      <c r="T518" t="str">
        <f>IF(Pipeline_tbl[[#This Row],[Closed_Date]]=0,"",(_xlfn.XLOOKUP(Pipeline_tbl[[#This Row],[Closed_Date]],Dim_Date!A:A,Dim_Date!H:H)))</f>
        <v>Oct 2024</v>
      </c>
      <c r="U518">
        <f>IF(Pipeline_tbl[[#This Row],[Closed_Date]]=0,"",Pipeline_tbl[[#This Row],[Closed_Date]]-Pipeline_tbl[[#This Row],[Created_Date]])</f>
        <v>18</v>
      </c>
    </row>
    <row r="519" spans="1:21" ht="15" customHeight="1" x14ac:dyDescent="0.2">
      <c r="A519" t="s">
        <v>825</v>
      </c>
      <c r="B519" t="s">
        <v>241</v>
      </c>
      <c r="C519" t="s">
        <v>52</v>
      </c>
      <c r="D519" s="49">
        <v>45549</v>
      </c>
      <c r="E519" s="49">
        <v>45551</v>
      </c>
      <c r="F519" s="49">
        <v>45555</v>
      </c>
      <c r="G519" s="49">
        <v>45562</v>
      </c>
      <c r="H519" s="49">
        <v>45567</v>
      </c>
      <c r="I519" s="49">
        <v>45570</v>
      </c>
      <c r="J519" t="s">
        <v>49</v>
      </c>
      <c r="K519" s="33">
        <v>3600</v>
      </c>
      <c r="L519" t="s">
        <v>62</v>
      </c>
      <c r="M519" t="str">
        <f>_xlfn.XLOOKUP(Pipeline_tbl[[#This Row],[Rep_ID]],Dim_Reps!A:A,Dim_Reps!K:K)</f>
        <v>EUR</v>
      </c>
      <c r="N519" s="33">
        <f>(_xlfn.XLOOKUP(Pipeline_tbl[[#This Row],[Rate_Code_Generalized]],Lookups!A:A,Lookups!B:B))*Pipeline_tbl[[#This Row],[Pipeline_Amount_USD]]</f>
        <v>3600</v>
      </c>
      <c r="O519" t="str">
        <f>_xlfn.XLOOKUP(Pipeline_tbl[[#This Row],[Rep_ID]],Dim_Reps!A:A,Dim_Reps!B:B)</f>
        <v>Kenji Weber</v>
      </c>
      <c r="P519" t="str">
        <f>_xlfn.XLOOKUP(Pipeline_tbl[[#This Row],[Rep_ID]],Dim_Reps!A:A,Dim_Reps!C:C)</f>
        <v>SDR / Inside Sales Rep</v>
      </c>
      <c r="Q519" t="str">
        <f>_xlfn.XLOOKUP(Pipeline_tbl[[#This Row],[Rep_ID]],Dim_Reps!A:A,Dim_Reps!D:D)</f>
        <v>Inside Sales</v>
      </c>
      <c r="R519" t="str">
        <f>_xlfn.XLOOKUP(Pipeline_tbl[[#This Row],[Rep_ID]],Dim_Reps!A:A,Dim_Reps!E:E)</f>
        <v>APAC</v>
      </c>
      <c r="S519" t="str">
        <f>_xlfn.XLOOKUP(Pipeline_tbl[[#This Row],[Created_Date]],Dim_Date!A:A,Dim_Date!H:H)</f>
        <v>Sep 2024</v>
      </c>
      <c r="T519" t="str">
        <f>IF(Pipeline_tbl[[#This Row],[Closed_Date]]=0,"",(_xlfn.XLOOKUP(Pipeline_tbl[[#This Row],[Closed_Date]],Dim_Date!A:A,Dim_Date!H:H)))</f>
        <v>Oct 2024</v>
      </c>
      <c r="U519">
        <f>IF(Pipeline_tbl[[#This Row],[Closed_Date]]=0,"",Pipeline_tbl[[#This Row],[Closed_Date]]-Pipeline_tbl[[#This Row],[Created_Date]])</f>
        <v>21</v>
      </c>
    </row>
    <row r="520" spans="1:21" ht="15" customHeight="1" x14ac:dyDescent="0.2">
      <c r="A520" t="s">
        <v>826</v>
      </c>
      <c r="B520" t="s">
        <v>241</v>
      </c>
      <c r="C520" t="s">
        <v>52</v>
      </c>
      <c r="D520" s="49">
        <v>45546</v>
      </c>
      <c r="E520" s="49">
        <v>45548</v>
      </c>
      <c r="F520" s="49">
        <v>45553</v>
      </c>
      <c r="I520" s="49">
        <v>45570</v>
      </c>
      <c r="J520" t="s">
        <v>49</v>
      </c>
      <c r="K520" s="33">
        <v>4300</v>
      </c>
      <c r="L520" t="s">
        <v>64</v>
      </c>
      <c r="M520" t="str">
        <f>_xlfn.XLOOKUP(Pipeline_tbl[[#This Row],[Rep_ID]],Dim_Reps!A:A,Dim_Reps!K:K)</f>
        <v>EUR</v>
      </c>
      <c r="N520" s="33">
        <f>(_xlfn.XLOOKUP(Pipeline_tbl[[#This Row],[Rate_Code_Generalized]],Lookups!A:A,Lookups!B:B))*Pipeline_tbl[[#This Row],[Pipeline_Amount_USD]]</f>
        <v>4300</v>
      </c>
      <c r="O520" t="str">
        <f>_xlfn.XLOOKUP(Pipeline_tbl[[#This Row],[Rep_ID]],Dim_Reps!A:A,Dim_Reps!B:B)</f>
        <v>Kenji Weber</v>
      </c>
      <c r="P520" t="str">
        <f>_xlfn.XLOOKUP(Pipeline_tbl[[#This Row],[Rep_ID]],Dim_Reps!A:A,Dim_Reps!C:C)</f>
        <v>SDR / Inside Sales Rep</v>
      </c>
      <c r="Q520" t="str">
        <f>_xlfn.XLOOKUP(Pipeline_tbl[[#This Row],[Rep_ID]],Dim_Reps!A:A,Dim_Reps!D:D)</f>
        <v>Inside Sales</v>
      </c>
      <c r="R520" t="str">
        <f>_xlfn.XLOOKUP(Pipeline_tbl[[#This Row],[Rep_ID]],Dim_Reps!A:A,Dim_Reps!E:E)</f>
        <v>APAC</v>
      </c>
      <c r="S520" t="str">
        <f>_xlfn.XLOOKUP(Pipeline_tbl[[#This Row],[Created_Date]],Dim_Date!A:A,Dim_Date!H:H)</f>
        <v>Sep 2024</v>
      </c>
      <c r="T520" t="str">
        <f>IF(Pipeline_tbl[[#This Row],[Closed_Date]]=0,"",(_xlfn.XLOOKUP(Pipeline_tbl[[#This Row],[Closed_Date]],Dim_Date!A:A,Dim_Date!H:H)))</f>
        <v>Oct 2024</v>
      </c>
      <c r="U520">
        <f>IF(Pipeline_tbl[[#This Row],[Closed_Date]]=0,"",Pipeline_tbl[[#This Row],[Closed_Date]]-Pipeline_tbl[[#This Row],[Created_Date]])</f>
        <v>24</v>
      </c>
    </row>
    <row r="521" spans="1:21" ht="15" customHeight="1" x14ac:dyDescent="0.2">
      <c r="A521" t="s">
        <v>827</v>
      </c>
      <c r="B521" t="s">
        <v>241</v>
      </c>
      <c r="C521" t="s">
        <v>56</v>
      </c>
      <c r="D521" s="49">
        <v>45557</v>
      </c>
      <c r="E521" s="49">
        <v>45559</v>
      </c>
      <c r="F521" s="49">
        <v>45563</v>
      </c>
      <c r="G521" s="49">
        <v>45569</v>
      </c>
      <c r="H521" s="49">
        <v>45574</v>
      </c>
      <c r="I521" s="49">
        <v>45577</v>
      </c>
      <c r="J521" t="s">
        <v>49</v>
      </c>
      <c r="K521" s="33">
        <v>4700</v>
      </c>
      <c r="L521" t="s">
        <v>61</v>
      </c>
      <c r="M521" t="str">
        <f>_xlfn.XLOOKUP(Pipeline_tbl[[#This Row],[Rep_ID]],Dim_Reps!A:A,Dim_Reps!K:K)</f>
        <v>EUR</v>
      </c>
      <c r="N521" s="33">
        <f>(_xlfn.XLOOKUP(Pipeline_tbl[[#This Row],[Rate_Code_Generalized]],Lookups!A:A,Lookups!B:B))*Pipeline_tbl[[#This Row],[Pipeline_Amount_USD]]</f>
        <v>4700</v>
      </c>
      <c r="O521" t="str">
        <f>_xlfn.XLOOKUP(Pipeline_tbl[[#This Row],[Rep_ID]],Dim_Reps!A:A,Dim_Reps!B:B)</f>
        <v>Kenji Weber</v>
      </c>
      <c r="P521" t="str">
        <f>_xlfn.XLOOKUP(Pipeline_tbl[[#This Row],[Rep_ID]],Dim_Reps!A:A,Dim_Reps!C:C)</f>
        <v>SDR / Inside Sales Rep</v>
      </c>
      <c r="Q521" t="str">
        <f>_xlfn.XLOOKUP(Pipeline_tbl[[#This Row],[Rep_ID]],Dim_Reps!A:A,Dim_Reps!D:D)</f>
        <v>Inside Sales</v>
      </c>
      <c r="R521" t="str">
        <f>_xlfn.XLOOKUP(Pipeline_tbl[[#This Row],[Rep_ID]],Dim_Reps!A:A,Dim_Reps!E:E)</f>
        <v>APAC</v>
      </c>
      <c r="S521" t="str">
        <f>_xlfn.XLOOKUP(Pipeline_tbl[[#This Row],[Created_Date]],Dim_Date!A:A,Dim_Date!H:H)</f>
        <v>Sep 2024</v>
      </c>
      <c r="T521" t="str">
        <f>IF(Pipeline_tbl[[#This Row],[Closed_Date]]=0,"",(_xlfn.XLOOKUP(Pipeline_tbl[[#This Row],[Closed_Date]],Dim_Date!A:A,Dim_Date!H:H)))</f>
        <v>Oct 2024</v>
      </c>
      <c r="U521">
        <f>IF(Pipeline_tbl[[#This Row],[Closed_Date]]=0,"",Pipeline_tbl[[#This Row],[Closed_Date]]-Pipeline_tbl[[#This Row],[Created_Date]])</f>
        <v>20</v>
      </c>
    </row>
    <row r="522" spans="1:21" ht="15" customHeight="1" x14ac:dyDescent="0.2">
      <c r="A522" t="s">
        <v>828</v>
      </c>
      <c r="B522" t="s">
        <v>193</v>
      </c>
      <c r="C522" t="s">
        <v>55</v>
      </c>
      <c r="D522" s="49">
        <v>45541</v>
      </c>
      <c r="E522" s="49">
        <v>45543</v>
      </c>
      <c r="F522" s="49">
        <v>45548</v>
      </c>
      <c r="G522" s="49">
        <v>45554</v>
      </c>
      <c r="H522" s="49">
        <v>45560</v>
      </c>
      <c r="I522" s="49">
        <v>45563</v>
      </c>
      <c r="J522" t="s">
        <v>47</v>
      </c>
      <c r="K522" s="33">
        <v>5200</v>
      </c>
      <c r="M522" t="str">
        <f>_xlfn.XLOOKUP(Pipeline_tbl[[#This Row],[Rep_ID]],Dim_Reps!A:A,Dim_Reps!K:K)</f>
        <v>USD</v>
      </c>
      <c r="N522" s="33">
        <f>(_xlfn.XLOOKUP(Pipeline_tbl[[#This Row],[Rate_Code_Generalized]],Lookups!A:A,Lookups!B:B))*Pipeline_tbl[[#This Row],[Pipeline_Amount_USD]]</f>
        <v>6054.36</v>
      </c>
      <c r="O522" t="str">
        <f>_xlfn.XLOOKUP(Pipeline_tbl[[#This Row],[Rep_ID]],Dim_Reps!A:A,Dim_Reps!B:B)</f>
        <v>Karim Rossi</v>
      </c>
      <c r="P522" t="str">
        <f>_xlfn.XLOOKUP(Pipeline_tbl[[#This Row],[Rep_ID]],Dim_Reps!A:A,Dim_Reps!C:C)</f>
        <v>SDR / Inside Sales Rep</v>
      </c>
      <c r="Q522" t="str">
        <f>_xlfn.XLOOKUP(Pipeline_tbl[[#This Row],[Rep_ID]],Dim_Reps!A:A,Dim_Reps!D:D)</f>
        <v>Inside Sales</v>
      </c>
      <c r="R522" t="str">
        <f>_xlfn.XLOOKUP(Pipeline_tbl[[#This Row],[Rep_ID]],Dim_Reps!A:A,Dim_Reps!E:E)</f>
        <v>NAMER</v>
      </c>
      <c r="S522" t="str">
        <f>_xlfn.XLOOKUP(Pipeline_tbl[[#This Row],[Created_Date]],Dim_Date!A:A,Dim_Date!H:H)</f>
        <v>Sep 2024</v>
      </c>
      <c r="T522" t="str">
        <f>IF(Pipeline_tbl[[#This Row],[Closed_Date]]=0,"",(_xlfn.XLOOKUP(Pipeline_tbl[[#This Row],[Closed_Date]],Dim_Date!A:A,Dim_Date!H:H)))</f>
        <v>Sep 2024</v>
      </c>
      <c r="U522">
        <f>IF(Pipeline_tbl[[#This Row],[Closed_Date]]=0,"",Pipeline_tbl[[#This Row],[Closed_Date]]-Pipeline_tbl[[#This Row],[Created_Date]])</f>
        <v>22</v>
      </c>
    </row>
    <row r="523" spans="1:21" ht="15" customHeight="1" x14ac:dyDescent="0.2">
      <c r="A523" t="s">
        <v>829</v>
      </c>
      <c r="B523" t="s">
        <v>193</v>
      </c>
      <c r="C523" t="s">
        <v>54</v>
      </c>
      <c r="D523" s="49">
        <v>45550</v>
      </c>
      <c r="E523" s="49">
        <v>45551</v>
      </c>
      <c r="F523" s="49">
        <v>45553</v>
      </c>
      <c r="G523" s="49">
        <v>45557</v>
      </c>
      <c r="H523" s="49">
        <v>45559</v>
      </c>
      <c r="I523" s="49">
        <v>45561</v>
      </c>
      <c r="J523" t="s">
        <v>47</v>
      </c>
      <c r="K523" s="33">
        <v>3700</v>
      </c>
      <c r="M523" t="str">
        <f>_xlfn.XLOOKUP(Pipeline_tbl[[#This Row],[Rep_ID]],Dim_Reps!A:A,Dim_Reps!K:K)</f>
        <v>USD</v>
      </c>
      <c r="N523" s="33">
        <f>(_xlfn.XLOOKUP(Pipeline_tbl[[#This Row],[Rate_Code_Generalized]],Lookups!A:A,Lookups!B:B))*Pipeline_tbl[[#This Row],[Pipeline_Amount_USD]]</f>
        <v>4307.91</v>
      </c>
      <c r="O523" t="str">
        <f>_xlfn.XLOOKUP(Pipeline_tbl[[#This Row],[Rep_ID]],Dim_Reps!A:A,Dim_Reps!B:B)</f>
        <v>Karim Rossi</v>
      </c>
      <c r="P523" t="str">
        <f>_xlfn.XLOOKUP(Pipeline_tbl[[#This Row],[Rep_ID]],Dim_Reps!A:A,Dim_Reps!C:C)</f>
        <v>SDR / Inside Sales Rep</v>
      </c>
      <c r="Q523" t="str">
        <f>_xlfn.XLOOKUP(Pipeline_tbl[[#This Row],[Rep_ID]],Dim_Reps!A:A,Dim_Reps!D:D)</f>
        <v>Inside Sales</v>
      </c>
      <c r="R523" t="str">
        <f>_xlfn.XLOOKUP(Pipeline_tbl[[#This Row],[Rep_ID]],Dim_Reps!A:A,Dim_Reps!E:E)</f>
        <v>NAMER</v>
      </c>
      <c r="S523" t="str">
        <f>_xlfn.XLOOKUP(Pipeline_tbl[[#This Row],[Created_Date]],Dim_Date!A:A,Dim_Date!H:H)</f>
        <v>Sep 2024</v>
      </c>
      <c r="T523" t="str">
        <f>IF(Pipeline_tbl[[#This Row],[Closed_Date]]=0,"",(_xlfn.XLOOKUP(Pipeline_tbl[[#This Row],[Closed_Date]],Dim_Date!A:A,Dim_Date!H:H)))</f>
        <v>Sep 2024</v>
      </c>
      <c r="U523">
        <f>IF(Pipeline_tbl[[#This Row],[Closed_Date]]=0,"",Pipeline_tbl[[#This Row],[Closed_Date]]-Pipeline_tbl[[#This Row],[Created_Date]])</f>
        <v>11</v>
      </c>
    </row>
    <row r="524" spans="1:21" ht="15" customHeight="1" x14ac:dyDescent="0.2">
      <c r="A524" t="s">
        <v>830</v>
      </c>
      <c r="B524" t="s">
        <v>193</v>
      </c>
      <c r="C524" t="s">
        <v>54</v>
      </c>
      <c r="D524" s="49">
        <v>45549</v>
      </c>
      <c r="E524" s="49">
        <v>45551</v>
      </c>
      <c r="F524" s="49">
        <v>45554</v>
      </c>
      <c r="G524" s="49">
        <v>45558</v>
      </c>
      <c r="H524" s="49">
        <v>45562</v>
      </c>
      <c r="I524" s="49">
        <v>45564</v>
      </c>
      <c r="J524" t="s">
        <v>49</v>
      </c>
      <c r="K524" s="33">
        <v>1200</v>
      </c>
      <c r="L524" t="s">
        <v>61</v>
      </c>
      <c r="M524" t="str">
        <f>_xlfn.XLOOKUP(Pipeline_tbl[[#This Row],[Rep_ID]],Dim_Reps!A:A,Dim_Reps!K:K)</f>
        <v>USD</v>
      </c>
      <c r="N524" s="33">
        <f>(_xlfn.XLOOKUP(Pipeline_tbl[[#This Row],[Rate_Code_Generalized]],Lookups!A:A,Lookups!B:B))*Pipeline_tbl[[#This Row],[Pipeline_Amount_USD]]</f>
        <v>1397.1599999999999</v>
      </c>
      <c r="O524" t="str">
        <f>_xlfn.XLOOKUP(Pipeline_tbl[[#This Row],[Rep_ID]],Dim_Reps!A:A,Dim_Reps!B:B)</f>
        <v>Karim Rossi</v>
      </c>
      <c r="P524" t="str">
        <f>_xlfn.XLOOKUP(Pipeline_tbl[[#This Row],[Rep_ID]],Dim_Reps!A:A,Dim_Reps!C:C)</f>
        <v>SDR / Inside Sales Rep</v>
      </c>
      <c r="Q524" t="str">
        <f>_xlfn.XLOOKUP(Pipeline_tbl[[#This Row],[Rep_ID]],Dim_Reps!A:A,Dim_Reps!D:D)</f>
        <v>Inside Sales</v>
      </c>
      <c r="R524" t="str">
        <f>_xlfn.XLOOKUP(Pipeline_tbl[[#This Row],[Rep_ID]],Dim_Reps!A:A,Dim_Reps!E:E)</f>
        <v>NAMER</v>
      </c>
      <c r="S524" t="str">
        <f>_xlfn.XLOOKUP(Pipeline_tbl[[#This Row],[Created_Date]],Dim_Date!A:A,Dim_Date!H:H)</f>
        <v>Sep 2024</v>
      </c>
      <c r="T524" t="str">
        <f>IF(Pipeline_tbl[[#This Row],[Closed_Date]]=0,"",(_xlfn.XLOOKUP(Pipeline_tbl[[#This Row],[Closed_Date]],Dim_Date!A:A,Dim_Date!H:H)))</f>
        <v>Sep 2024</v>
      </c>
      <c r="U524">
        <f>IF(Pipeline_tbl[[#This Row],[Closed_Date]]=0,"",Pipeline_tbl[[#This Row],[Closed_Date]]-Pipeline_tbl[[#This Row],[Created_Date]])</f>
        <v>15</v>
      </c>
    </row>
    <row r="525" spans="1:21" ht="15" customHeight="1" x14ac:dyDescent="0.2">
      <c r="A525" t="s">
        <v>831</v>
      </c>
      <c r="B525" t="s">
        <v>193</v>
      </c>
      <c r="C525" t="s">
        <v>55</v>
      </c>
      <c r="D525" s="49">
        <v>45553</v>
      </c>
      <c r="E525" s="49">
        <v>45554</v>
      </c>
      <c r="F525" s="49">
        <v>45556</v>
      </c>
      <c r="G525" s="49">
        <v>45560</v>
      </c>
      <c r="H525" s="49">
        <v>45562</v>
      </c>
      <c r="I525" s="49">
        <v>45564</v>
      </c>
      <c r="J525" t="s">
        <v>49</v>
      </c>
      <c r="K525" s="33">
        <v>5900</v>
      </c>
      <c r="L525" t="s">
        <v>60</v>
      </c>
      <c r="M525" t="str">
        <f>_xlfn.XLOOKUP(Pipeline_tbl[[#This Row],[Rep_ID]],Dim_Reps!A:A,Dim_Reps!K:K)</f>
        <v>USD</v>
      </c>
      <c r="N525" s="33">
        <f>(_xlfn.XLOOKUP(Pipeline_tbl[[#This Row],[Rate_Code_Generalized]],Lookups!A:A,Lookups!B:B))*Pipeline_tbl[[#This Row],[Pipeline_Amount_USD]]</f>
        <v>6869.369999999999</v>
      </c>
      <c r="O525" t="str">
        <f>_xlfn.XLOOKUP(Pipeline_tbl[[#This Row],[Rep_ID]],Dim_Reps!A:A,Dim_Reps!B:B)</f>
        <v>Karim Rossi</v>
      </c>
      <c r="P525" t="str">
        <f>_xlfn.XLOOKUP(Pipeline_tbl[[#This Row],[Rep_ID]],Dim_Reps!A:A,Dim_Reps!C:C)</f>
        <v>SDR / Inside Sales Rep</v>
      </c>
      <c r="Q525" t="str">
        <f>_xlfn.XLOOKUP(Pipeline_tbl[[#This Row],[Rep_ID]],Dim_Reps!A:A,Dim_Reps!D:D)</f>
        <v>Inside Sales</v>
      </c>
      <c r="R525" t="str">
        <f>_xlfn.XLOOKUP(Pipeline_tbl[[#This Row],[Rep_ID]],Dim_Reps!A:A,Dim_Reps!E:E)</f>
        <v>NAMER</v>
      </c>
      <c r="S525" t="str">
        <f>_xlfn.XLOOKUP(Pipeline_tbl[[#This Row],[Created_Date]],Dim_Date!A:A,Dim_Date!H:H)</f>
        <v>Sep 2024</v>
      </c>
      <c r="T525" t="str">
        <f>IF(Pipeline_tbl[[#This Row],[Closed_Date]]=0,"",(_xlfn.XLOOKUP(Pipeline_tbl[[#This Row],[Closed_Date]],Dim_Date!A:A,Dim_Date!H:H)))</f>
        <v>Sep 2024</v>
      </c>
      <c r="U525">
        <f>IF(Pipeline_tbl[[#This Row],[Closed_Date]]=0,"",Pipeline_tbl[[#This Row],[Closed_Date]]-Pipeline_tbl[[#This Row],[Created_Date]])</f>
        <v>11</v>
      </c>
    </row>
    <row r="526" spans="1:21" ht="15" customHeight="1" x14ac:dyDescent="0.2">
      <c r="A526" t="s">
        <v>832</v>
      </c>
      <c r="B526" t="s">
        <v>193</v>
      </c>
      <c r="C526" t="s">
        <v>52</v>
      </c>
      <c r="D526" s="49">
        <v>45536</v>
      </c>
      <c r="E526" s="49">
        <v>45538</v>
      </c>
      <c r="F526" s="49">
        <v>45543</v>
      </c>
      <c r="G526" s="49">
        <v>45549</v>
      </c>
      <c r="H526" s="49">
        <v>45555</v>
      </c>
      <c r="I526" s="49">
        <v>45558</v>
      </c>
      <c r="J526" t="s">
        <v>49</v>
      </c>
      <c r="K526" s="33">
        <v>3400</v>
      </c>
      <c r="L526" t="s">
        <v>62</v>
      </c>
      <c r="M526" t="str">
        <f>_xlfn.XLOOKUP(Pipeline_tbl[[#This Row],[Rep_ID]],Dim_Reps!A:A,Dim_Reps!K:K)</f>
        <v>USD</v>
      </c>
      <c r="N526" s="33">
        <f>(_xlfn.XLOOKUP(Pipeline_tbl[[#This Row],[Rate_Code_Generalized]],Lookups!A:A,Lookups!B:B))*Pipeline_tbl[[#This Row],[Pipeline_Amount_USD]]</f>
        <v>3958.6199999999994</v>
      </c>
      <c r="O526" t="str">
        <f>_xlfn.XLOOKUP(Pipeline_tbl[[#This Row],[Rep_ID]],Dim_Reps!A:A,Dim_Reps!B:B)</f>
        <v>Karim Rossi</v>
      </c>
      <c r="P526" t="str">
        <f>_xlfn.XLOOKUP(Pipeline_tbl[[#This Row],[Rep_ID]],Dim_Reps!A:A,Dim_Reps!C:C)</f>
        <v>SDR / Inside Sales Rep</v>
      </c>
      <c r="Q526" t="str">
        <f>_xlfn.XLOOKUP(Pipeline_tbl[[#This Row],[Rep_ID]],Dim_Reps!A:A,Dim_Reps!D:D)</f>
        <v>Inside Sales</v>
      </c>
      <c r="R526" t="str">
        <f>_xlfn.XLOOKUP(Pipeline_tbl[[#This Row],[Rep_ID]],Dim_Reps!A:A,Dim_Reps!E:E)</f>
        <v>NAMER</v>
      </c>
      <c r="S526" t="str">
        <f>_xlfn.XLOOKUP(Pipeline_tbl[[#This Row],[Created_Date]],Dim_Date!A:A,Dim_Date!H:H)</f>
        <v>Sep 2024</v>
      </c>
      <c r="T526" t="str">
        <f>IF(Pipeline_tbl[[#This Row],[Closed_Date]]=0,"",(_xlfn.XLOOKUP(Pipeline_tbl[[#This Row],[Closed_Date]],Dim_Date!A:A,Dim_Date!H:H)))</f>
        <v>Sep 2024</v>
      </c>
      <c r="U526">
        <f>IF(Pipeline_tbl[[#This Row],[Closed_Date]]=0,"",Pipeline_tbl[[#This Row],[Closed_Date]]-Pipeline_tbl[[#This Row],[Created_Date]])</f>
        <v>22</v>
      </c>
    </row>
    <row r="527" spans="1:21" ht="15" customHeight="1" x14ac:dyDescent="0.2">
      <c r="A527" t="s">
        <v>833</v>
      </c>
      <c r="B527" t="s">
        <v>193</v>
      </c>
      <c r="C527" t="s">
        <v>53</v>
      </c>
      <c r="D527" s="49">
        <v>45539</v>
      </c>
      <c r="E527" s="49">
        <v>45541</v>
      </c>
      <c r="F527" s="49">
        <v>45544</v>
      </c>
      <c r="G527" s="49">
        <v>45550</v>
      </c>
      <c r="H527" s="49">
        <v>45554</v>
      </c>
      <c r="I527" s="49">
        <v>45557</v>
      </c>
      <c r="J527" t="s">
        <v>49</v>
      </c>
      <c r="K527" s="33">
        <v>2600</v>
      </c>
      <c r="L527" t="s">
        <v>60</v>
      </c>
      <c r="M527" t="str">
        <f>_xlfn.XLOOKUP(Pipeline_tbl[[#This Row],[Rep_ID]],Dim_Reps!A:A,Dim_Reps!K:K)</f>
        <v>USD</v>
      </c>
      <c r="N527" s="33">
        <f>(_xlfn.XLOOKUP(Pipeline_tbl[[#This Row],[Rate_Code_Generalized]],Lookups!A:A,Lookups!B:B))*Pipeline_tbl[[#This Row],[Pipeline_Amount_USD]]</f>
        <v>3027.18</v>
      </c>
      <c r="O527" t="str">
        <f>_xlfn.XLOOKUP(Pipeline_tbl[[#This Row],[Rep_ID]],Dim_Reps!A:A,Dim_Reps!B:B)</f>
        <v>Karim Rossi</v>
      </c>
      <c r="P527" t="str">
        <f>_xlfn.XLOOKUP(Pipeline_tbl[[#This Row],[Rep_ID]],Dim_Reps!A:A,Dim_Reps!C:C)</f>
        <v>SDR / Inside Sales Rep</v>
      </c>
      <c r="Q527" t="str">
        <f>_xlfn.XLOOKUP(Pipeline_tbl[[#This Row],[Rep_ID]],Dim_Reps!A:A,Dim_Reps!D:D)</f>
        <v>Inside Sales</v>
      </c>
      <c r="R527" t="str">
        <f>_xlfn.XLOOKUP(Pipeline_tbl[[#This Row],[Rep_ID]],Dim_Reps!A:A,Dim_Reps!E:E)</f>
        <v>NAMER</v>
      </c>
      <c r="S527" t="str">
        <f>_xlfn.XLOOKUP(Pipeline_tbl[[#This Row],[Created_Date]],Dim_Date!A:A,Dim_Date!H:H)</f>
        <v>Sep 2024</v>
      </c>
      <c r="T527" t="str">
        <f>IF(Pipeline_tbl[[#This Row],[Closed_Date]]=0,"",(_xlfn.XLOOKUP(Pipeline_tbl[[#This Row],[Closed_Date]],Dim_Date!A:A,Dim_Date!H:H)))</f>
        <v>Sep 2024</v>
      </c>
      <c r="U527">
        <f>IF(Pipeline_tbl[[#This Row],[Closed_Date]]=0,"",Pipeline_tbl[[#This Row],[Closed_Date]]-Pipeline_tbl[[#This Row],[Created_Date]])</f>
        <v>18</v>
      </c>
    </row>
    <row r="528" spans="1:21" ht="15" customHeight="1" x14ac:dyDescent="0.2">
      <c r="A528" t="s">
        <v>834</v>
      </c>
      <c r="B528" t="s">
        <v>193</v>
      </c>
      <c r="C528" t="s">
        <v>53</v>
      </c>
      <c r="D528" s="49">
        <v>45538</v>
      </c>
      <c r="E528" s="49">
        <v>45540</v>
      </c>
      <c r="F528" s="49">
        <v>45543</v>
      </c>
      <c r="G528" s="49">
        <v>45549</v>
      </c>
      <c r="H528" s="49">
        <v>45553</v>
      </c>
      <c r="I528" s="49">
        <v>45556</v>
      </c>
      <c r="J528" t="s">
        <v>47</v>
      </c>
      <c r="K528" s="33">
        <v>3200</v>
      </c>
      <c r="M528" t="str">
        <f>_xlfn.XLOOKUP(Pipeline_tbl[[#This Row],[Rep_ID]],Dim_Reps!A:A,Dim_Reps!K:K)</f>
        <v>USD</v>
      </c>
      <c r="N528" s="33">
        <f>(_xlfn.XLOOKUP(Pipeline_tbl[[#This Row],[Rate_Code_Generalized]],Lookups!A:A,Lookups!B:B))*Pipeline_tbl[[#This Row],[Pipeline_Amount_USD]]</f>
        <v>3725.7599999999998</v>
      </c>
      <c r="O528" t="str">
        <f>_xlfn.XLOOKUP(Pipeline_tbl[[#This Row],[Rep_ID]],Dim_Reps!A:A,Dim_Reps!B:B)</f>
        <v>Karim Rossi</v>
      </c>
      <c r="P528" t="str">
        <f>_xlfn.XLOOKUP(Pipeline_tbl[[#This Row],[Rep_ID]],Dim_Reps!A:A,Dim_Reps!C:C)</f>
        <v>SDR / Inside Sales Rep</v>
      </c>
      <c r="Q528" t="str">
        <f>_xlfn.XLOOKUP(Pipeline_tbl[[#This Row],[Rep_ID]],Dim_Reps!A:A,Dim_Reps!D:D)</f>
        <v>Inside Sales</v>
      </c>
      <c r="R528" t="str">
        <f>_xlfn.XLOOKUP(Pipeline_tbl[[#This Row],[Rep_ID]],Dim_Reps!A:A,Dim_Reps!E:E)</f>
        <v>NAMER</v>
      </c>
      <c r="S528" t="str">
        <f>_xlfn.XLOOKUP(Pipeline_tbl[[#This Row],[Created_Date]],Dim_Date!A:A,Dim_Date!H:H)</f>
        <v>Sep 2024</v>
      </c>
      <c r="T528" t="str">
        <f>IF(Pipeline_tbl[[#This Row],[Closed_Date]]=0,"",(_xlfn.XLOOKUP(Pipeline_tbl[[#This Row],[Closed_Date]],Dim_Date!A:A,Dim_Date!H:H)))</f>
        <v>Sep 2024</v>
      </c>
      <c r="U528">
        <f>IF(Pipeline_tbl[[#This Row],[Closed_Date]]=0,"",Pipeline_tbl[[#This Row],[Closed_Date]]-Pipeline_tbl[[#This Row],[Created_Date]])</f>
        <v>18</v>
      </c>
    </row>
    <row r="529" spans="1:21" ht="15" customHeight="1" x14ac:dyDescent="0.2">
      <c r="A529" t="s">
        <v>835</v>
      </c>
      <c r="B529" t="s">
        <v>196</v>
      </c>
      <c r="C529" t="s">
        <v>55</v>
      </c>
      <c r="D529" s="49">
        <v>45537</v>
      </c>
      <c r="E529" s="49">
        <v>45539</v>
      </c>
      <c r="F529" s="49">
        <v>45543</v>
      </c>
      <c r="G529" s="49">
        <v>45550</v>
      </c>
      <c r="H529" s="49">
        <v>45555</v>
      </c>
      <c r="I529" s="49">
        <v>45558</v>
      </c>
      <c r="J529" t="s">
        <v>49</v>
      </c>
      <c r="K529" s="33">
        <v>3300</v>
      </c>
      <c r="L529" t="s">
        <v>60</v>
      </c>
      <c r="M529" t="str">
        <f>_xlfn.XLOOKUP(Pipeline_tbl[[#This Row],[Rep_ID]],Dim_Reps!A:A,Dim_Reps!K:K)</f>
        <v>EUR</v>
      </c>
      <c r="N529" s="33">
        <f>(_xlfn.XLOOKUP(Pipeline_tbl[[#This Row],[Rate_Code_Generalized]],Lookups!A:A,Lookups!B:B))*Pipeline_tbl[[#This Row],[Pipeline_Amount_USD]]</f>
        <v>3300</v>
      </c>
      <c r="O529" t="str">
        <f>_xlfn.XLOOKUP(Pipeline_tbl[[#This Row],[Rep_ID]],Dim_Reps!A:A,Dim_Reps!B:B)</f>
        <v>Alex Okafor</v>
      </c>
      <c r="P529" t="str">
        <f>_xlfn.XLOOKUP(Pipeline_tbl[[#This Row],[Rep_ID]],Dim_Reps!A:A,Dim_Reps!C:C)</f>
        <v>SDR / Inside Sales Rep</v>
      </c>
      <c r="Q529" t="str">
        <f>_xlfn.XLOOKUP(Pipeline_tbl[[#This Row],[Rep_ID]],Dim_Reps!A:A,Dim_Reps!D:D)</f>
        <v>Inside Sales</v>
      </c>
      <c r="R529" t="str">
        <f>_xlfn.XLOOKUP(Pipeline_tbl[[#This Row],[Rep_ID]],Dim_Reps!A:A,Dim_Reps!E:E)</f>
        <v>EMEA</v>
      </c>
      <c r="S529" t="str">
        <f>_xlfn.XLOOKUP(Pipeline_tbl[[#This Row],[Created_Date]],Dim_Date!A:A,Dim_Date!H:H)</f>
        <v>Sep 2024</v>
      </c>
      <c r="T529" t="str">
        <f>IF(Pipeline_tbl[[#This Row],[Closed_Date]]=0,"",(_xlfn.XLOOKUP(Pipeline_tbl[[#This Row],[Closed_Date]],Dim_Date!A:A,Dim_Date!H:H)))</f>
        <v>Sep 2024</v>
      </c>
      <c r="U529">
        <f>IF(Pipeline_tbl[[#This Row],[Closed_Date]]=0,"",Pipeline_tbl[[#This Row],[Closed_Date]]-Pipeline_tbl[[#This Row],[Created_Date]])</f>
        <v>21</v>
      </c>
    </row>
    <row r="530" spans="1:21" ht="15" customHeight="1" x14ac:dyDescent="0.2">
      <c r="A530" t="s">
        <v>836</v>
      </c>
      <c r="B530" t="s">
        <v>196</v>
      </c>
      <c r="C530" t="s">
        <v>52</v>
      </c>
      <c r="D530" s="49">
        <v>45542</v>
      </c>
      <c r="E530" s="49">
        <v>45544</v>
      </c>
      <c r="F530" s="49">
        <v>45549</v>
      </c>
      <c r="G530" s="49">
        <v>45556</v>
      </c>
      <c r="H530" s="49">
        <v>45562</v>
      </c>
      <c r="I530" s="49">
        <v>45565</v>
      </c>
      <c r="J530" t="s">
        <v>49</v>
      </c>
      <c r="K530" s="33">
        <v>7400</v>
      </c>
      <c r="L530" t="s">
        <v>60</v>
      </c>
      <c r="M530" t="str">
        <f>_xlfn.XLOOKUP(Pipeline_tbl[[#This Row],[Rep_ID]],Dim_Reps!A:A,Dim_Reps!K:K)</f>
        <v>EUR</v>
      </c>
      <c r="N530" s="33">
        <f>(_xlfn.XLOOKUP(Pipeline_tbl[[#This Row],[Rate_Code_Generalized]],Lookups!A:A,Lookups!B:B))*Pipeline_tbl[[#This Row],[Pipeline_Amount_USD]]</f>
        <v>7400</v>
      </c>
      <c r="O530" t="str">
        <f>_xlfn.XLOOKUP(Pipeline_tbl[[#This Row],[Rep_ID]],Dim_Reps!A:A,Dim_Reps!B:B)</f>
        <v>Alex Okafor</v>
      </c>
      <c r="P530" t="str">
        <f>_xlfn.XLOOKUP(Pipeline_tbl[[#This Row],[Rep_ID]],Dim_Reps!A:A,Dim_Reps!C:C)</f>
        <v>SDR / Inside Sales Rep</v>
      </c>
      <c r="Q530" t="str">
        <f>_xlfn.XLOOKUP(Pipeline_tbl[[#This Row],[Rep_ID]],Dim_Reps!A:A,Dim_Reps!D:D)</f>
        <v>Inside Sales</v>
      </c>
      <c r="R530" t="str">
        <f>_xlfn.XLOOKUP(Pipeline_tbl[[#This Row],[Rep_ID]],Dim_Reps!A:A,Dim_Reps!E:E)</f>
        <v>EMEA</v>
      </c>
      <c r="S530" t="str">
        <f>_xlfn.XLOOKUP(Pipeline_tbl[[#This Row],[Created_Date]],Dim_Date!A:A,Dim_Date!H:H)</f>
        <v>Sep 2024</v>
      </c>
      <c r="T530" t="str">
        <f>IF(Pipeline_tbl[[#This Row],[Closed_Date]]=0,"",(_xlfn.XLOOKUP(Pipeline_tbl[[#This Row],[Closed_Date]],Dim_Date!A:A,Dim_Date!H:H)))</f>
        <v>Sep 2024</v>
      </c>
      <c r="U530">
        <f>IF(Pipeline_tbl[[#This Row],[Closed_Date]]=0,"",Pipeline_tbl[[#This Row],[Closed_Date]]-Pipeline_tbl[[#This Row],[Created_Date]])</f>
        <v>23</v>
      </c>
    </row>
    <row r="531" spans="1:21" ht="15" customHeight="1" x14ac:dyDescent="0.2">
      <c r="A531" t="s">
        <v>837</v>
      </c>
      <c r="B531" t="s">
        <v>196</v>
      </c>
      <c r="C531" t="s">
        <v>53</v>
      </c>
      <c r="D531" s="49">
        <v>45549</v>
      </c>
      <c r="E531" s="49">
        <v>45551</v>
      </c>
      <c r="F531" s="49">
        <v>45554</v>
      </c>
      <c r="G531" s="49">
        <v>45559</v>
      </c>
      <c r="H531" s="49">
        <v>45563</v>
      </c>
      <c r="I531" s="49">
        <v>45565</v>
      </c>
      <c r="J531" t="s">
        <v>47</v>
      </c>
      <c r="K531" s="33">
        <v>2100</v>
      </c>
      <c r="M531" t="str">
        <f>_xlfn.XLOOKUP(Pipeline_tbl[[#This Row],[Rep_ID]],Dim_Reps!A:A,Dim_Reps!K:K)</f>
        <v>EUR</v>
      </c>
      <c r="N531" s="33">
        <f>(_xlfn.XLOOKUP(Pipeline_tbl[[#This Row],[Rate_Code_Generalized]],Lookups!A:A,Lookups!B:B))*Pipeline_tbl[[#This Row],[Pipeline_Amount_USD]]</f>
        <v>2100</v>
      </c>
      <c r="O531" t="str">
        <f>_xlfn.XLOOKUP(Pipeline_tbl[[#This Row],[Rep_ID]],Dim_Reps!A:A,Dim_Reps!B:B)</f>
        <v>Alex Okafor</v>
      </c>
      <c r="P531" t="str">
        <f>_xlfn.XLOOKUP(Pipeline_tbl[[#This Row],[Rep_ID]],Dim_Reps!A:A,Dim_Reps!C:C)</f>
        <v>SDR / Inside Sales Rep</v>
      </c>
      <c r="Q531" t="str">
        <f>_xlfn.XLOOKUP(Pipeline_tbl[[#This Row],[Rep_ID]],Dim_Reps!A:A,Dim_Reps!D:D)</f>
        <v>Inside Sales</v>
      </c>
      <c r="R531" t="str">
        <f>_xlfn.XLOOKUP(Pipeline_tbl[[#This Row],[Rep_ID]],Dim_Reps!A:A,Dim_Reps!E:E)</f>
        <v>EMEA</v>
      </c>
      <c r="S531" t="str">
        <f>_xlfn.XLOOKUP(Pipeline_tbl[[#This Row],[Created_Date]],Dim_Date!A:A,Dim_Date!H:H)</f>
        <v>Sep 2024</v>
      </c>
      <c r="T531" t="str">
        <f>IF(Pipeline_tbl[[#This Row],[Closed_Date]]=0,"",(_xlfn.XLOOKUP(Pipeline_tbl[[#This Row],[Closed_Date]],Dim_Date!A:A,Dim_Date!H:H)))</f>
        <v>Sep 2024</v>
      </c>
      <c r="U531">
        <f>IF(Pipeline_tbl[[#This Row],[Closed_Date]]=0,"",Pipeline_tbl[[#This Row],[Closed_Date]]-Pipeline_tbl[[#This Row],[Created_Date]])</f>
        <v>16</v>
      </c>
    </row>
    <row r="532" spans="1:21" ht="15" customHeight="1" x14ac:dyDescent="0.2">
      <c r="A532" t="s">
        <v>838</v>
      </c>
      <c r="B532" t="s">
        <v>199</v>
      </c>
      <c r="C532" t="s">
        <v>53</v>
      </c>
      <c r="D532" s="49">
        <v>45538</v>
      </c>
      <c r="E532" s="49">
        <v>45540</v>
      </c>
      <c r="F532" s="49">
        <v>45544</v>
      </c>
      <c r="G532" s="49">
        <v>45551</v>
      </c>
      <c r="H532" s="49">
        <v>45556</v>
      </c>
      <c r="I532" s="49">
        <v>45559</v>
      </c>
      <c r="J532" t="s">
        <v>47</v>
      </c>
      <c r="K532" s="33">
        <v>2300</v>
      </c>
      <c r="M532" t="str">
        <f>_xlfn.XLOOKUP(Pipeline_tbl[[#This Row],[Rep_ID]],Dim_Reps!A:A,Dim_Reps!K:K)</f>
        <v>EUR</v>
      </c>
      <c r="N532" s="33">
        <f>(_xlfn.XLOOKUP(Pipeline_tbl[[#This Row],[Rate_Code_Generalized]],Lookups!A:A,Lookups!B:B))*Pipeline_tbl[[#This Row],[Pipeline_Amount_USD]]</f>
        <v>2300</v>
      </c>
      <c r="O532" t="str">
        <f>_xlfn.XLOOKUP(Pipeline_tbl[[#This Row],[Rep_ID]],Dim_Reps!A:A,Dim_Reps!B:B)</f>
        <v>Lucas Okafor</v>
      </c>
      <c r="P532" t="str">
        <f>_xlfn.XLOOKUP(Pipeline_tbl[[#This Row],[Rep_ID]],Dim_Reps!A:A,Dim_Reps!C:C)</f>
        <v>SDR / Inside Sales Rep</v>
      </c>
      <c r="Q532" t="str">
        <f>_xlfn.XLOOKUP(Pipeline_tbl[[#This Row],[Rep_ID]],Dim_Reps!A:A,Dim_Reps!D:D)</f>
        <v>Inside Sales</v>
      </c>
      <c r="R532" t="str">
        <f>_xlfn.XLOOKUP(Pipeline_tbl[[#This Row],[Rep_ID]],Dim_Reps!A:A,Dim_Reps!E:E)</f>
        <v>APAC</v>
      </c>
      <c r="S532" t="str">
        <f>_xlfn.XLOOKUP(Pipeline_tbl[[#This Row],[Created_Date]],Dim_Date!A:A,Dim_Date!H:H)</f>
        <v>Sep 2024</v>
      </c>
      <c r="T532" t="str">
        <f>IF(Pipeline_tbl[[#This Row],[Closed_Date]]=0,"",(_xlfn.XLOOKUP(Pipeline_tbl[[#This Row],[Closed_Date]],Dim_Date!A:A,Dim_Date!H:H)))</f>
        <v>Sep 2024</v>
      </c>
      <c r="U532">
        <f>IF(Pipeline_tbl[[#This Row],[Closed_Date]]=0,"",Pipeline_tbl[[#This Row],[Closed_Date]]-Pipeline_tbl[[#This Row],[Created_Date]])</f>
        <v>21</v>
      </c>
    </row>
    <row r="533" spans="1:21" ht="15" customHeight="1" x14ac:dyDescent="0.2">
      <c r="A533" t="s">
        <v>839</v>
      </c>
      <c r="B533" t="s">
        <v>199</v>
      </c>
      <c r="C533" t="s">
        <v>52</v>
      </c>
      <c r="D533" s="49">
        <v>45543</v>
      </c>
      <c r="E533" s="49">
        <v>45545</v>
      </c>
      <c r="F533" s="49">
        <v>45549</v>
      </c>
      <c r="G533" s="49">
        <v>45556</v>
      </c>
      <c r="H533" s="49">
        <v>45561</v>
      </c>
      <c r="I533" s="49">
        <v>45564</v>
      </c>
      <c r="J533" t="s">
        <v>47</v>
      </c>
      <c r="K533" s="33">
        <v>2600</v>
      </c>
      <c r="M533" t="str">
        <f>_xlfn.XLOOKUP(Pipeline_tbl[[#This Row],[Rep_ID]],Dim_Reps!A:A,Dim_Reps!K:K)</f>
        <v>EUR</v>
      </c>
      <c r="N533" s="33">
        <f>(_xlfn.XLOOKUP(Pipeline_tbl[[#This Row],[Rate_Code_Generalized]],Lookups!A:A,Lookups!B:B))*Pipeline_tbl[[#This Row],[Pipeline_Amount_USD]]</f>
        <v>2600</v>
      </c>
      <c r="O533" t="str">
        <f>_xlfn.XLOOKUP(Pipeline_tbl[[#This Row],[Rep_ID]],Dim_Reps!A:A,Dim_Reps!B:B)</f>
        <v>Lucas Okafor</v>
      </c>
      <c r="P533" t="str">
        <f>_xlfn.XLOOKUP(Pipeline_tbl[[#This Row],[Rep_ID]],Dim_Reps!A:A,Dim_Reps!C:C)</f>
        <v>SDR / Inside Sales Rep</v>
      </c>
      <c r="Q533" t="str">
        <f>_xlfn.XLOOKUP(Pipeline_tbl[[#This Row],[Rep_ID]],Dim_Reps!A:A,Dim_Reps!D:D)</f>
        <v>Inside Sales</v>
      </c>
      <c r="R533" t="str">
        <f>_xlfn.XLOOKUP(Pipeline_tbl[[#This Row],[Rep_ID]],Dim_Reps!A:A,Dim_Reps!E:E)</f>
        <v>APAC</v>
      </c>
      <c r="S533" t="str">
        <f>_xlfn.XLOOKUP(Pipeline_tbl[[#This Row],[Created_Date]],Dim_Date!A:A,Dim_Date!H:H)</f>
        <v>Sep 2024</v>
      </c>
      <c r="T533" t="str">
        <f>IF(Pipeline_tbl[[#This Row],[Closed_Date]]=0,"",(_xlfn.XLOOKUP(Pipeline_tbl[[#This Row],[Closed_Date]],Dim_Date!A:A,Dim_Date!H:H)))</f>
        <v>Sep 2024</v>
      </c>
      <c r="U533">
        <f>IF(Pipeline_tbl[[#This Row],[Closed_Date]]=0,"",Pipeline_tbl[[#This Row],[Closed_Date]]-Pipeline_tbl[[#This Row],[Created_Date]])</f>
        <v>21</v>
      </c>
    </row>
    <row r="534" spans="1:21" ht="15" customHeight="1" x14ac:dyDescent="0.2">
      <c r="A534" t="s">
        <v>840</v>
      </c>
      <c r="B534" t="s">
        <v>199</v>
      </c>
      <c r="C534" t="s">
        <v>54</v>
      </c>
      <c r="D534" s="49">
        <v>45543</v>
      </c>
      <c r="E534" s="49">
        <v>45545</v>
      </c>
      <c r="F534" s="49">
        <v>45549</v>
      </c>
      <c r="G534" s="49">
        <v>45555</v>
      </c>
      <c r="I534" s="49">
        <v>45563</v>
      </c>
      <c r="J534" t="s">
        <v>49</v>
      </c>
      <c r="K534" s="33">
        <v>1700</v>
      </c>
      <c r="L534" t="s">
        <v>61</v>
      </c>
      <c r="M534" t="str">
        <f>_xlfn.XLOOKUP(Pipeline_tbl[[#This Row],[Rep_ID]],Dim_Reps!A:A,Dim_Reps!K:K)</f>
        <v>EUR</v>
      </c>
      <c r="N534" s="33">
        <f>(_xlfn.XLOOKUP(Pipeline_tbl[[#This Row],[Rate_Code_Generalized]],Lookups!A:A,Lookups!B:B))*Pipeline_tbl[[#This Row],[Pipeline_Amount_USD]]</f>
        <v>1700</v>
      </c>
      <c r="O534" t="str">
        <f>_xlfn.XLOOKUP(Pipeline_tbl[[#This Row],[Rep_ID]],Dim_Reps!A:A,Dim_Reps!B:B)</f>
        <v>Lucas Okafor</v>
      </c>
      <c r="P534" t="str">
        <f>_xlfn.XLOOKUP(Pipeline_tbl[[#This Row],[Rep_ID]],Dim_Reps!A:A,Dim_Reps!C:C)</f>
        <v>SDR / Inside Sales Rep</v>
      </c>
      <c r="Q534" t="str">
        <f>_xlfn.XLOOKUP(Pipeline_tbl[[#This Row],[Rep_ID]],Dim_Reps!A:A,Dim_Reps!D:D)</f>
        <v>Inside Sales</v>
      </c>
      <c r="R534" t="str">
        <f>_xlfn.XLOOKUP(Pipeline_tbl[[#This Row],[Rep_ID]],Dim_Reps!A:A,Dim_Reps!E:E)</f>
        <v>APAC</v>
      </c>
      <c r="S534" t="str">
        <f>_xlfn.XLOOKUP(Pipeline_tbl[[#This Row],[Created_Date]],Dim_Date!A:A,Dim_Date!H:H)</f>
        <v>Sep 2024</v>
      </c>
      <c r="T534" t="str">
        <f>IF(Pipeline_tbl[[#This Row],[Closed_Date]]=0,"",(_xlfn.XLOOKUP(Pipeline_tbl[[#This Row],[Closed_Date]],Dim_Date!A:A,Dim_Date!H:H)))</f>
        <v>Sep 2024</v>
      </c>
      <c r="U534">
        <f>IF(Pipeline_tbl[[#This Row],[Closed_Date]]=0,"",Pipeline_tbl[[#This Row],[Closed_Date]]-Pipeline_tbl[[#This Row],[Created_Date]])</f>
        <v>20</v>
      </c>
    </row>
    <row r="535" spans="1:21" ht="15" customHeight="1" x14ac:dyDescent="0.2">
      <c r="A535" t="s">
        <v>841</v>
      </c>
      <c r="B535" t="s">
        <v>203</v>
      </c>
      <c r="C535" t="s">
        <v>52</v>
      </c>
      <c r="D535" s="49">
        <v>45543</v>
      </c>
      <c r="E535" s="49">
        <v>45545</v>
      </c>
      <c r="F535" s="49">
        <v>45550</v>
      </c>
      <c r="G535" s="49">
        <v>45556</v>
      </c>
      <c r="H535" s="49">
        <v>45562</v>
      </c>
      <c r="I535" s="49">
        <v>45565</v>
      </c>
      <c r="J535" t="s">
        <v>47</v>
      </c>
      <c r="K535" s="33">
        <v>5300</v>
      </c>
      <c r="M535" t="str">
        <f>_xlfn.XLOOKUP(Pipeline_tbl[[#This Row],[Rep_ID]],Dim_Reps!A:A,Dim_Reps!K:K)</f>
        <v>EUR</v>
      </c>
      <c r="N535" s="33">
        <f>(_xlfn.XLOOKUP(Pipeline_tbl[[#This Row],[Rate_Code_Generalized]],Lookups!A:A,Lookups!B:B))*Pipeline_tbl[[#This Row],[Pipeline_Amount_USD]]</f>
        <v>5300</v>
      </c>
      <c r="O535" t="str">
        <f>_xlfn.XLOOKUP(Pipeline_tbl[[#This Row],[Rep_ID]],Dim_Reps!A:A,Dim_Reps!B:B)</f>
        <v>Riley Haddad</v>
      </c>
      <c r="P535" t="str">
        <f>_xlfn.XLOOKUP(Pipeline_tbl[[#This Row],[Rep_ID]],Dim_Reps!A:A,Dim_Reps!C:C)</f>
        <v>SDR / Inside Sales Rep</v>
      </c>
      <c r="Q535" t="str">
        <f>_xlfn.XLOOKUP(Pipeline_tbl[[#This Row],[Rep_ID]],Dim_Reps!A:A,Dim_Reps!D:D)</f>
        <v>Inside Sales</v>
      </c>
      <c r="R535" t="str">
        <f>_xlfn.XLOOKUP(Pipeline_tbl[[#This Row],[Rep_ID]],Dim_Reps!A:A,Dim_Reps!E:E)</f>
        <v>APAC</v>
      </c>
      <c r="S535" t="str">
        <f>_xlfn.XLOOKUP(Pipeline_tbl[[#This Row],[Created_Date]],Dim_Date!A:A,Dim_Date!H:H)</f>
        <v>Sep 2024</v>
      </c>
      <c r="T535" t="str">
        <f>IF(Pipeline_tbl[[#This Row],[Closed_Date]]=0,"",(_xlfn.XLOOKUP(Pipeline_tbl[[#This Row],[Closed_Date]],Dim_Date!A:A,Dim_Date!H:H)))</f>
        <v>Sep 2024</v>
      </c>
      <c r="U535">
        <f>IF(Pipeline_tbl[[#This Row],[Closed_Date]]=0,"",Pipeline_tbl[[#This Row],[Closed_Date]]-Pipeline_tbl[[#This Row],[Created_Date]])</f>
        <v>22</v>
      </c>
    </row>
    <row r="536" spans="1:21" ht="15" customHeight="1" x14ac:dyDescent="0.2">
      <c r="A536" t="s">
        <v>842</v>
      </c>
      <c r="B536" t="s">
        <v>205</v>
      </c>
      <c r="C536" t="s">
        <v>53</v>
      </c>
      <c r="D536" s="49">
        <v>45538</v>
      </c>
      <c r="E536" s="49">
        <v>45540</v>
      </c>
      <c r="F536" s="49">
        <v>45544</v>
      </c>
      <c r="I536" s="49">
        <v>45557</v>
      </c>
      <c r="J536" t="s">
        <v>49</v>
      </c>
      <c r="K536" s="33">
        <v>4100</v>
      </c>
      <c r="L536" t="s">
        <v>62</v>
      </c>
      <c r="M536" t="str">
        <f>_xlfn.XLOOKUP(Pipeline_tbl[[#This Row],[Rep_ID]],Dim_Reps!A:A,Dim_Reps!K:K)</f>
        <v>EUR</v>
      </c>
      <c r="N536" s="33">
        <f>(_xlfn.XLOOKUP(Pipeline_tbl[[#This Row],[Rate_Code_Generalized]],Lookups!A:A,Lookups!B:B))*Pipeline_tbl[[#This Row],[Pipeline_Amount_USD]]</f>
        <v>4100</v>
      </c>
      <c r="O536" t="str">
        <f>_xlfn.XLOOKUP(Pipeline_tbl[[#This Row],[Rep_ID]],Dim_Reps!A:A,Dim_Reps!B:B)</f>
        <v>Karim Alvarez</v>
      </c>
      <c r="P536" t="str">
        <f>_xlfn.XLOOKUP(Pipeline_tbl[[#This Row],[Rep_ID]],Dim_Reps!A:A,Dim_Reps!C:C)</f>
        <v>SDR / Inside Sales Rep</v>
      </c>
      <c r="Q536" t="str">
        <f>_xlfn.XLOOKUP(Pipeline_tbl[[#This Row],[Rep_ID]],Dim_Reps!A:A,Dim_Reps!D:D)</f>
        <v>Inside Sales</v>
      </c>
      <c r="R536" t="str">
        <f>_xlfn.XLOOKUP(Pipeline_tbl[[#This Row],[Rep_ID]],Dim_Reps!A:A,Dim_Reps!E:E)</f>
        <v>EMEA</v>
      </c>
      <c r="S536" t="str">
        <f>_xlfn.XLOOKUP(Pipeline_tbl[[#This Row],[Created_Date]],Dim_Date!A:A,Dim_Date!H:H)</f>
        <v>Sep 2024</v>
      </c>
      <c r="T536" t="str">
        <f>IF(Pipeline_tbl[[#This Row],[Closed_Date]]=0,"",(_xlfn.XLOOKUP(Pipeline_tbl[[#This Row],[Closed_Date]],Dim_Date!A:A,Dim_Date!H:H)))</f>
        <v>Sep 2024</v>
      </c>
      <c r="U536">
        <f>IF(Pipeline_tbl[[#This Row],[Closed_Date]]=0,"",Pipeline_tbl[[#This Row],[Closed_Date]]-Pipeline_tbl[[#This Row],[Created_Date]])</f>
        <v>19</v>
      </c>
    </row>
    <row r="537" spans="1:21" ht="15" customHeight="1" x14ac:dyDescent="0.2">
      <c r="A537" t="s">
        <v>843</v>
      </c>
      <c r="B537" t="s">
        <v>205</v>
      </c>
      <c r="C537" t="s">
        <v>52</v>
      </c>
      <c r="D537" s="49">
        <v>45540</v>
      </c>
      <c r="E537" s="49">
        <v>45542</v>
      </c>
      <c r="I537" s="49">
        <v>45556</v>
      </c>
      <c r="J537" t="s">
        <v>49</v>
      </c>
      <c r="K537" s="33">
        <v>2200</v>
      </c>
      <c r="L537" t="s">
        <v>62</v>
      </c>
      <c r="M537" t="str">
        <f>_xlfn.XLOOKUP(Pipeline_tbl[[#This Row],[Rep_ID]],Dim_Reps!A:A,Dim_Reps!K:K)</f>
        <v>EUR</v>
      </c>
      <c r="N537" s="33">
        <f>(_xlfn.XLOOKUP(Pipeline_tbl[[#This Row],[Rate_Code_Generalized]],Lookups!A:A,Lookups!B:B))*Pipeline_tbl[[#This Row],[Pipeline_Amount_USD]]</f>
        <v>2200</v>
      </c>
      <c r="O537" t="str">
        <f>_xlfn.XLOOKUP(Pipeline_tbl[[#This Row],[Rep_ID]],Dim_Reps!A:A,Dim_Reps!B:B)</f>
        <v>Karim Alvarez</v>
      </c>
      <c r="P537" t="str">
        <f>_xlfn.XLOOKUP(Pipeline_tbl[[#This Row],[Rep_ID]],Dim_Reps!A:A,Dim_Reps!C:C)</f>
        <v>SDR / Inside Sales Rep</v>
      </c>
      <c r="Q537" t="str">
        <f>_xlfn.XLOOKUP(Pipeline_tbl[[#This Row],[Rep_ID]],Dim_Reps!A:A,Dim_Reps!D:D)</f>
        <v>Inside Sales</v>
      </c>
      <c r="R537" t="str">
        <f>_xlfn.XLOOKUP(Pipeline_tbl[[#This Row],[Rep_ID]],Dim_Reps!A:A,Dim_Reps!E:E)</f>
        <v>EMEA</v>
      </c>
      <c r="S537" t="str">
        <f>_xlfn.XLOOKUP(Pipeline_tbl[[#This Row],[Created_Date]],Dim_Date!A:A,Dim_Date!H:H)</f>
        <v>Sep 2024</v>
      </c>
      <c r="T537" t="str">
        <f>IF(Pipeline_tbl[[#This Row],[Closed_Date]]=0,"",(_xlfn.XLOOKUP(Pipeline_tbl[[#This Row],[Closed_Date]],Dim_Date!A:A,Dim_Date!H:H)))</f>
        <v>Sep 2024</v>
      </c>
      <c r="U537">
        <f>IF(Pipeline_tbl[[#This Row],[Closed_Date]]=0,"",Pipeline_tbl[[#This Row],[Closed_Date]]-Pipeline_tbl[[#This Row],[Created_Date]])</f>
        <v>16</v>
      </c>
    </row>
    <row r="538" spans="1:21" ht="15" customHeight="1" x14ac:dyDescent="0.2">
      <c r="A538" t="s">
        <v>844</v>
      </c>
      <c r="B538" t="s">
        <v>205</v>
      </c>
      <c r="C538" t="s">
        <v>55</v>
      </c>
      <c r="D538" s="49">
        <v>45544</v>
      </c>
      <c r="E538" s="49">
        <v>45545</v>
      </c>
      <c r="F538" s="49">
        <v>45547</v>
      </c>
      <c r="G538" s="49">
        <v>45549</v>
      </c>
      <c r="I538" s="49">
        <v>45553</v>
      </c>
      <c r="J538" t="s">
        <v>49</v>
      </c>
      <c r="K538" s="33">
        <v>2900</v>
      </c>
      <c r="L538" t="s">
        <v>61</v>
      </c>
      <c r="M538" t="str">
        <f>_xlfn.XLOOKUP(Pipeline_tbl[[#This Row],[Rep_ID]],Dim_Reps!A:A,Dim_Reps!K:K)</f>
        <v>EUR</v>
      </c>
      <c r="N538" s="33">
        <f>(_xlfn.XLOOKUP(Pipeline_tbl[[#This Row],[Rate_Code_Generalized]],Lookups!A:A,Lookups!B:B))*Pipeline_tbl[[#This Row],[Pipeline_Amount_USD]]</f>
        <v>2900</v>
      </c>
      <c r="O538" t="str">
        <f>_xlfn.XLOOKUP(Pipeline_tbl[[#This Row],[Rep_ID]],Dim_Reps!A:A,Dim_Reps!B:B)</f>
        <v>Karim Alvarez</v>
      </c>
      <c r="P538" t="str">
        <f>_xlfn.XLOOKUP(Pipeline_tbl[[#This Row],[Rep_ID]],Dim_Reps!A:A,Dim_Reps!C:C)</f>
        <v>SDR / Inside Sales Rep</v>
      </c>
      <c r="Q538" t="str">
        <f>_xlfn.XLOOKUP(Pipeline_tbl[[#This Row],[Rep_ID]],Dim_Reps!A:A,Dim_Reps!D:D)</f>
        <v>Inside Sales</v>
      </c>
      <c r="R538" t="str">
        <f>_xlfn.XLOOKUP(Pipeline_tbl[[#This Row],[Rep_ID]],Dim_Reps!A:A,Dim_Reps!E:E)</f>
        <v>EMEA</v>
      </c>
      <c r="S538" t="str">
        <f>_xlfn.XLOOKUP(Pipeline_tbl[[#This Row],[Created_Date]],Dim_Date!A:A,Dim_Date!H:H)</f>
        <v>Sep 2024</v>
      </c>
      <c r="T538" t="str">
        <f>IF(Pipeline_tbl[[#This Row],[Closed_Date]]=0,"",(_xlfn.XLOOKUP(Pipeline_tbl[[#This Row],[Closed_Date]],Dim_Date!A:A,Dim_Date!H:H)))</f>
        <v>Sep 2024</v>
      </c>
      <c r="U538">
        <f>IF(Pipeline_tbl[[#This Row],[Closed_Date]]=0,"",Pipeline_tbl[[#This Row],[Closed_Date]]-Pipeline_tbl[[#This Row],[Created_Date]])</f>
        <v>9</v>
      </c>
    </row>
    <row r="539" spans="1:21" ht="15" customHeight="1" x14ac:dyDescent="0.2">
      <c r="A539" t="s">
        <v>845</v>
      </c>
      <c r="B539" t="s">
        <v>207</v>
      </c>
      <c r="C539" t="s">
        <v>53</v>
      </c>
      <c r="D539" s="49">
        <v>45548</v>
      </c>
      <c r="E539" s="49">
        <v>45550</v>
      </c>
      <c r="F539" s="49">
        <v>45553</v>
      </c>
      <c r="G539" s="49">
        <v>45557</v>
      </c>
      <c r="H539" s="49">
        <v>45561</v>
      </c>
      <c r="I539" s="49">
        <v>45563</v>
      </c>
      <c r="J539" t="s">
        <v>49</v>
      </c>
      <c r="K539" s="33">
        <v>4900</v>
      </c>
      <c r="L539" t="s">
        <v>60</v>
      </c>
      <c r="M539" t="str">
        <f>_xlfn.XLOOKUP(Pipeline_tbl[[#This Row],[Rep_ID]],Dim_Reps!A:A,Dim_Reps!K:K)</f>
        <v>EUR</v>
      </c>
      <c r="N539" s="33">
        <f>(_xlfn.XLOOKUP(Pipeline_tbl[[#This Row],[Rate_Code_Generalized]],Lookups!A:A,Lookups!B:B))*Pipeline_tbl[[#This Row],[Pipeline_Amount_USD]]</f>
        <v>4900</v>
      </c>
      <c r="O539" t="str">
        <f>_xlfn.XLOOKUP(Pipeline_tbl[[#This Row],[Rep_ID]],Dim_Reps!A:A,Dim_Reps!B:B)</f>
        <v>Sam Castro</v>
      </c>
      <c r="P539" t="str">
        <f>_xlfn.XLOOKUP(Pipeline_tbl[[#This Row],[Rep_ID]],Dim_Reps!A:A,Dim_Reps!C:C)</f>
        <v>SDR / Inside Sales Rep</v>
      </c>
      <c r="Q539" t="str">
        <f>_xlfn.XLOOKUP(Pipeline_tbl[[#This Row],[Rep_ID]],Dim_Reps!A:A,Dim_Reps!D:D)</f>
        <v>Inside Sales</v>
      </c>
      <c r="R539" t="str">
        <f>_xlfn.XLOOKUP(Pipeline_tbl[[#This Row],[Rep_ID]],Dim_Reps!A:A,Dim_Reps!E:E)</f>
        <v>APAC</v>
      </c>
      <c r="S539" t="str">
        <f>_xlfn.XLOOKUP(Pipeline_tbl[[#This Row],[Created_Date]],Dim_Date!A:A,Dim_Date!H:H)</f>
        <v>Sep 2024</v>
      </c>
      <c r="T539" t="str">
        <f>IF(Pipeline_tbl[[#This Row],[Closed_Date]]=0,"",(_xlfn.XLOOKUP(Pipeline_tbl[[#This Row],[Closed_Date]],Dim_Date!A:A,Dim_Date!H:H)))</f>
        <v>Sep 2024</v>
      </c>
      <c r="U539">
        <f>IF(Pipeline_tbl[[#This Row],[Closed_Date]]=0,"",Pipeline_tbl[[#This Row],[Closed_Date]]-Pipeline_tbl[[#This Row],[Created_Date]])</f>
        <v>15</v>
      </c>
    </row>
    <row r="540" spans="1:21" ht="15" customHeight="1" x14ac:dyDescent="0.2">
      <c r="A540" t="s">
        <v>846</v>
      </c>
      <c r="B540" t="s">
        <v>207</v>
      </c>
      <c r="C540" t="s">
        <v>52</v>
      </c>
      <c r="D540" s="49">
        <v>45537</v>
      </c>
      <c r="E540" s="49">
        <v>45539</v>
      </c>
      <c r="F540" s="49">
        <v>45544</v>
      </c>
      <c r="G540" s="49">
        <v>45551</v>
      </c>
      <c r="H540" s="49">
        <v>45557</v>
      </c>
      <c r="I540" s="49">
        <v>45560</v>
      </c>
      <c r="J540" t="s">
        <v>47</v>
      </c>
      <c r="K540" s="33">
        <v>2500</v>
      </c>
      <c r="M540" t="str">
        <f>_xlfn.XLOOKUP(Pipeline_tbl[[#This Row],[Rep_ID]],Dim_Reps!A:A,Dim_Reps!K:K)</f>
        <v>EUR</v>
      </c>
      <c r="N540" s="33">
        <f>(_xlfn.XLOOKUP(Pipeline_tbl[[#This Row],[Rate_Code_Generalized]],Lookups!A:A,Lookups!B:B))*Pipeline_tbl[[#This Row],[Pipeline_Amount_USD]]</f>
        <v>2500</v>
      </c>
      <c r="O540" t="str">
        <f>_xlfn.XLOOKUP(Pipeline_tbl[[#This Row],[Rep_ID]],Dim_Reps!A:A,Dim_Reps!B:B)</f>
        <v>Sam Castro</v>
      </c>
      <c r="P540" t="str">
        <f>_xlfn.XLOOKUP(Pipeline_tbl[[#This Row],[Rep_ID]],Dim_Reps!A:A,Dim_Reps!C:C)</f>
        <v>SDR / Inside Sales Rep</v>
      </c>
      <c r="Q540" t="str">
        <f>_xlfn.XLOOKUP(Pipeline_tbl[[#This Row],[Rep_ID]],Dim_Reps!A:A,Dim_Reps!D:D)</f>
        <v>Inside Sales</v>
      </c>
      <c r="R540" t="str">
        <f>_xlfn.XLOOKUP(Pipeline_tbl[[#This Row],[Rep_ID]],Dim_Reps!A:A,Dim_Reps!E:E)</f>
        <v>APAC</v>
      </c>
      <c r="S540" t="str">
        <f>_xlfn.XLOOKUP(Pipeline_tbl[[#This Row],[Created_Date]],Dim_Date!A:A,Dim_Date!H:H)</f>
        <v>Sep 2024</v>
      </c>
      <c r="T540" t="str">
        <f>IF(Pipeline_tbl[[#This Row],[Closed_Date]]=0,"",(_xlfn.XLOOKUP(Pipeline_tbl[[#This Row],[Closed_Date]],Dim_Date!A:A,Dim_Date!H:H)))</f>
        <v>Sep 2024</v>
      </c>
      <c r="U540">
        <f>IF(Pipeline_tbl[[#This Row],[Closed_Date]]=0,"",Pipeline_tbl[[#This Row],[Closed_Date]]-Pipeline_tbl[[#This Row],[Created_Date]])</f>
        <v>23</v>
      </c>
    </row>
    <row r="541" spans="1:21" ht="15" customHeight="1" x14ac:dyDescent="0.2">
      <c r="A541" t="s">
        <v>847</v>
      </c>
      <c r="B541" t="s">
        <v>207</v>
      </c>
      <c r="C541" t="s">
        <v>52</v>
      </c>
      <c r="D541" s="49">
        <v>45536</v>
      </c>
      <c r="E541" s="49">
        <v>45537</v>
      </c>
      <c r="F541" s="49">
        <v>45540</v>
      </c>
      <c r="G541" s="49">
        <v>45543</v>
      </c>
      <c r="I541" s="49">
        <v>45548</v>
      </c>
      <c r="J541" t="s">
        <v>49</v>
      </c>
      <c r="K541" s="33">
        <v>3800</v>
      </c>
      <c r="L541" t="s">
        <v>62</v>
      </c>
      <c r="M541" t="str">
        <f>_xlfn.XLOOKUP(Pipeline_tbl[[#This Row],[Rep_ID]],Dim_Reps!A:A,Dim_Reps!K:K)</f>
        <v>EUR</v>
      </c>
      <c r="N541" s="33">
        <f>(_xlfn.XLOOKUP(Pipeline_tbl[[#This Row],[Rate_Code_Generalized]],Lookups!A:A,Lookups!B:B))*Pipeline_tbl[[#This Row],[Pipeline_Amount_USD]]</f>
        <v>3800</v>
      </c>
      <c r="O541" t="str">
        <f>_xlfn.XLOOKUP(Pipeline_tbl[[#This Row],[Rep_ID]],Dim_Reps!A:A,Dim_Reps!B:B)</f>
        <v>Sam Castro</v>
      </c>
      <c r="P541" t="str">
        <f>_xlfn.XLOOKUP(Pipeline_tbl[[#This Row],[Rep_ID]],Dim_Reps!A:A,Dim_Reps!C:C)</f>
        <v>SDR / Inside Sales Rep</v>
      </c>
      <c r="Q541" t="str">
        <f>_xlfn.XLOOKUP(Pipeline_tbl[[#This Row],[Rep_ID]],Dim_Reps!A:A,Dim_Reps!D:D)</f>
        <v>Inside Sales</v>
      </c>
      <c r="R541" t="str">
        <f>_xlfn.XLOOKUP(Pipeline_tbl[[#This Row],[Rep_ID]],Dim_Reps!A:A,Dim_Reps!E:E)</f>
        <v>APAC</v>
      </c>
      <c r="S541" t="str">
        <f>_xlfn.XLOOKUP(Pipeline_tbl[[#This Row],[Created_Date]],Dim_Date!A:A,Dim_Date!H:H)</f>
        <v>Sep 2024</v>
      </c>
      <c r="T541" t="str">
        <f>IF(Pipeline_tbl[[#This Row],[Closed_Date]]=0,"",(_xlfn.XLOOKUP(Pipeline_tbl[[#This Row],[Closed_Date]],Dim_Date!A:A,Dim_Date!H:H)))</f>
        <v>Sep 2024</v>
      </c>
      <c r="U541">
        <f>IF(Pipeline_tbl[[#This Row],[Closed_Date]]=0,"",Pipeline_tbl[[#This Row],[Closed_Date]]-Pipeline_tbl[[#This Row],[Created_Date]])</f>
        <v>12</v>
      </c>
    </row>
    <row r="542" spans="1:21" ht="15" customHeight="1" x14ac:dyDescent="0.2">
      <c r="A542" t="s">
        <v>848</v>
      </c>
      <c r="B542" t="s">
        <v>207</v>
      </c>
      <c r="C542" t="s">
        <v>52</v>
      </c>
      <c r="D542" s="49">
        <v>45542</v>
      </c>
      <c r="E542" s="49">
        <v>45543</v>
      </c>
      <c r="F542" s="49">
        <v>45545</v>
      </c>
      <c r="I542" s="49">
        <v>45553</v>
      </c>
      <c r="J542" t="s">
        <v>49</v>
      </c>
      <c r="K542" s="33">
        <v>6100</v>
      </c>
      <c r="L542" t="s">
        <v>60</v>
      </c>
      <c r="M542" t="str">
        <f>_xlfn.XLOOKUP(Pipeline_tbl[[#This Row],[Rep_ID]],Dim_Reps!A:A,Dim_Reps!K:K)</f>
        <v>EUR</v>
      </c>
      <c r="N542" s="33">
        <f>(_xlfn.XLOOKUP(Pipeline_tbl[[#This Row],[Rate_Code_Generalized]],Lookups!A:A,Lookups!B:B))*Pipeline_tbl[[#This Row],[Pipeline_Amount_USD]]</f>
        <v>6100</v>
      </c>
      <c r="O542" t="str">
        <f>_xlfn.XLOOKUP(Pipeline_tbl[[#This Row],[Rep_ID]],Dim_Reps!A:A,Dim_Reps!B:B)</f>
        <v>Sam Castro</v>
      </c>
      <c r="P542" t="str">
        <f>_xlfn.XLOOKUP(Pipeline_tbl[[#This Row],[Rep_ID]],Dim_Reps!A:A,Dim_Reps!C:C)</f>
        <v>SDR / Inside Sales Rep</v>
      </c>
      <c r="Q542" t="str">
        <f>_xlfn.XLOOKUP(Pipeline_tbl[[#This Row],[Rep_ID]],Dim_Reps!A:A,Dim_Reps!D:D)</f>
        <v>Inside Sales</v>
      </c>
      <c r="R542" t="str">
        <f>_xlfn.XLOOKUP(Pipeline_tbl[[#This Row],[Rep_ID]],Dim_Reps!A:A,Dim_Reps!E:E)</f>
        <v>APAC</v>
      </c>
      <c r="S542" t="str">
        <f>_xlfn.XLOOKUP(Pipeline_tbl[[#This Row],[Created_Date]],Dim_Date!A:A,Dim_Date!H:H)</f>
        <v>Sep 2024</v>
      </c>
      <c r="T542" t="str">
        <f>IF(Pipeline_tbl[[#This Row],[Closed_Date]]=0,"",(_xlfn.XLOOKUP(Pipeline_tbl[[#This Row],[Closed_Date]],Dim_Date!A:A,Dim_Date!H:H)))</f>
        <v>Sep 2024</v>
      </c>
      <c r="U542">
        <f>IF(Pipeline_tbl[[#This Row],[Closed_Date]]=0,"",Pipeline_tbl[[#This Row],[Closed_Date]]-Pipeline_tbl[[#This Row],[Created_Date]])</f>
        <v>11</v>
      </c>
    </row>
    <row r="543" spans="1:21" ht="15" customHeight="1" x14ac:dyDescent="0.2">
      <c r="A543" t="s">
        <v>849</v>
      </c>
      <c r="B543" t="s">
        <v>207</v>
      </c>
      <c r="C543" t="s">
        <v>52</v>
      </c>
      <c r="D543" s="49">
        <v>45545</v>
      </c>
      <c r="E543" s="49">
        <v>45547</v>
      </c>
      <c r="F543" s="49">
        <v>45551</v>
      </c>
      <c r="G543" s="49">
        <v>45557</v>
      </c>
      <c r="H543" s="49">
        <v>45562</v>
      </c>
      <c r="I543" s="49">
        <v>45565</v>
      </c>
      <c r="J543" t="s">
        <v>47</v>
      </c>
      <c r="K543" s="33">
        <v>2900</v>
      </c>
      <c r="M543" t="str">
        <f>_xlfn.XLOOKUP(Pipeline_tbl[[#This Row],[Rep_ID]],Dim_Reps!A:A,Dim_Reps!K:K)</f>
        <v>EUR</v>
      </c>
      <c r="N543" s="33">
        <f>(_xlfn.XLOOKUP(Pipeline_tbl[[#This Row],[Rate_Code_Generalized]],Lookups!A:A,Lookups!B:B))*Pipeline_tbl[[#This Row],[Pipeline_Amount_USD]]</f>
        <v>2900</v>
      </c>
      <c r="O543" t="str">
        <f>_xlfn.XLOOKUP(Pipeline_tbl[[#This Row],[Rep_ID]],Dim_Reps!A:A,Dim_Reps!B:B)</f>
        <v>Sam Castro</v>
      </c>
      <c r="P543" t="str">
        <f>_xlfn.XLOOKUP(Pipeline_tbl[[#This Row],[Rep_ID]],Dim_Reps!A:A,Dim_Reps!C:C)</f>
        <v>SDR / Inside Sales Rep</v>
      </c>
      <c r="Q543" t="str">
        <f>_xlfn.XLOOKUP(Pipeline_tbl[[#This Row],[Rep_ID]],Dim_Reps!A:A,Dim_Reps!D:D)</f>
        <v>Inside Sales</v>
      </c>
      <c r="R543" t="str">
        <f>_xlfn.XLOOKUP(Pipeline_tbl[[#This Row],[Rep_ID]],Dim_Reps!A:A,Dim_Reps!E:E)</f>
        <v>APAC</v>
      </c>
      <c r="S543" t="str">
        <f>_xlfn.XLOOKUP(Pipeline_tbl[[#This Row],[Created_Date]],Dim_Date!A:A,Dim_Date!H:H)</f>
        <v>Sep 2024</v>
      </c>
      <c r="T543" t="str">
        <f>IF(Pipeline_tbl[[#This Row],[Closed_Date]]=0,"",(_xlfn.XLOOKUP(Pipeline_tbl[[#This Row],[Closed_Date]],Dim_Date!A:A,Dim_Date!H:H)))</f>
        <v>Sep 2024</v>
      </c>
      <c r="U543">
        <f>IF(Pipeline_tbl[[#This Row],[Closed_Date]]=0,"",Pipeline_tbl[[#This Row],[Closed_Date]]-Pipeline_tbl[[#This Row],[Created_Date]])</f>
        <v>20</v>
      </c>
    </row>
    <row r="544" spans="1:21" ht="15" customHeight="1" x14ac:dyDescent="0.2">
      <c r="A544" t="s">
        <v>850</v>
      </c>
      <c r="B544" t="s">
        <v>207</v>
      </c>
      <c r="C544" t="s">
        <v>54</v>
      </c>
      <c r="D544" s="49">
        <v>45542</v>
      </c>
      <c r="E544" s="49">
        <v>45543</v>
      </c>
      <c r="F544" s="49">
        <v>45545</v>
      </c>
      <c r="G544" s="49">
        <v>45548</v>
      </c>
      <c r="H544" s="49">
        <v>45550</v>
      </c>
      <c r="I544" s="49">
        <v>45552</v>
      </c>
      <c r="J544" t="s">
        <v>47</v>
      </c>
      <c r="K544" s="33">
        <v>2800</v>
      </c>
      <c r="M544" t="str">
        <f>_xlfn.XLOOKUP(Pipeline_tbl[[#This Row],[Rep_ID]],Dim_Reps!A:A,Dim_Reps!K:K)</f>
        <v>EUR</v>
      </c>
      <c r="N544" s="33">
        <f>(_xlfn.XLOOKUP(Pipeline_tbl[[#This Row],[Rate_Code_Generalized]],Lookups!A:A,Lookups!B:B))*Pipeline_tbl[[#This Row],[Pipeline_Amount_USD]]</f>
        <v>2800</v>
      </c>
      <c r="O544" t="str">
        <f>_xlfn.XLOOKUP(Pipeline_tbl[[#This Row],[Rep_ID]],Dim_Reps!A:A,Dim_Reps!B:B)</f>
        <v>Sam Castro</v>
      </c>
      <c r="P544" t="str">
        <f>_xlfn.XLOOKUP(Pipeline_tbl[[#This Row],[Rep_ID]],Dim_Reps!A:A,Dim_Reps!C:C)</f>
        <v>SDR / Inside Sales Rep</v>
      </c>
      <c r="Q544" t="str">
        <f>_xlfn.XLOOKUP(Pipeline_tbl[[#This Row],[Rep_ID]],Dim_Reps!A:A,Dim_Reps!D:D)</f>
        <v>Inside Sales</v>
      </c>
      <c r="R544" t="str">
        <f>_xlfn.XLOOKUP(Pipeline_tbl[[#This Row],[Rep_ID]],Dim_Reps!A:A,Dim_Reps!E:E)</f>
        <v>APAC</v>
      </c>
      <c r="S544" t="str">
        <f>_xlfn.XLOOKUP(Pipeline_tbl[[#This Row],[Created_Date]],Dim_Date!A:A,Dim_Date!H:H)</f>
        <v>Sep 2024</v>
      </c>
      <c r="T544" t="str">
        <f>IF(Pipeline_tbl[[#This Row],[Closed_Date]]=0,"",(_xlfn.XLOOKUP(Pipeline_tbl[[#This Row],[Closed_Date]],Dim_Date!A:A,Dim_Date!H:H)))</f>
        <v>Sep 2024</v>
      </c>
      <c r="U544">
        <f>IF(Pipeline_tbl[[#This Row],[Closed_Date]]=0,"",Pipeline_tbl[[#This Row],[Closed_Date]]-Pipeline_tbl[[#This Row],[Created_Date]])</f>
        <v>10</v>
      </c>
    </row>
    <row r="545" spans="1:21" ht="15" customHeight="1" x14ac:dyDescent="0.2">
      <c r="A545" t="s">
        <v>851</v>
      </c>
      <c r="B545" t="s">
        <v>211</v>
      </c>
      <c r="C545" t="s">
        <v>53</v>
      </c>
      <c r="D545" s="49">
        <v>45540</v>
      </c>
      <c r="E545" s="49">
        <v>45541</v>
      </c>
      <c r="F545" s="49">
        <v>45544</v>
      </c>
      <c r="I545" s="49">
        <v>45552</v>
      </c>
      <c r="J545" t="s">
        <v>49</v>
      </c>
      <c r="K545" s="33">
        <v>2600</v>
      </c>
      <c r="L545" t="s">
        <v>62</v>
      </c>
      <c r="M545" t="str">
        <f>_xlfn.XLOOKUP(Pipeline_tbl[[#This Row],[Rep_ID]],Dim_Reps!A:A,Dim_Reps!K:K)</f>
        <v>EUR</v>
      </c>
      <c r="N545" s="33">
        <f>(_xlfn.XLOOKUP(Pipeline_tbl[[#This Row],[Rate_Code_Generalized]],Lookups!A:A,Lookups!B:B))*Pipeline_tbl[[#This Row],[Pipeline_Amount_USD]]</f>
        <v>2600</v>
      </c>
      <c r="O545" t="str">
        <f>_xlfn.XLOOKUP(Pipeline_tbl[[#This Row],[Rep_ID]],Dim_Reps!A:A,Dim_Reps!B:B)</f>
        <v>Lea Weber</v>
      </c>
      <c r="P545" t="str">
        <f>_xlfn.XLOOKUP(Pipeline_tbl[[#This Row],[Rep_ID]],Dim_Reps!A:A,Dim_Reps!C:C)</f>
        <v>SDR / Inside Sales Rep</v>
      </c>
      <c r="Q545" t="str">
        <f>_xlfn.XLOOKUP(Pipeline_tbl[[#This Row],[Rep_ID]],Dim_Reps!A:A,Dim_Reps!D:D)</f>
        <v>Inside Sales</v>
      </c>
      <c r="R545" t="str">
        <f>_xlfn.XLOOKUP(Pipeline_tbl[[#This Row],[Rep_ID]],Dim_Reps!A:A,Dim_Reps!E:E)</f>
        <v>EMEA</v>
      </c>
      <c r="S545" t="str">
        <f>_xlfn.XLOOKUP(Pipeline_tbl[[#This Row],[Created_Date]],Dim_Date!A:A,Dim_Date!H:H)</f>
        <v>Sep 2024</v>
      </c>
      <c r="T545" t="str">
        <f>IF(Pipeline_tbl[[#This Row],[Closed_Date]]=0,"",(_xlfn.XLOOKUP(Pipeline_tbl[[#This Row],[Closed_Date]],Dim_Date!A:A,Dim_Date!H:H)))</f>
        <v>Sep 2024</v>
      </c>
      <c r="U545">
        <f>IF(Pipeline_tbl[[#This Row],[Closed_Date]]=0,"",Pipeline_tbl[[#This Row],[Closed_Date]]-Pipeline_tbl[[#This Row],[Created_Date]])</f>
        <v>12</v>
      </c>
    </row>
    <row r="546" spans="1:21" ht="15" customHeight="1" x14ac:dyDescent="0.2">
      <c r="A546" t="s">
        <v>852</v>
      </c>
      <c r="B546" t="s">
        <v>211</v>
      </c>
      <c r="C546" t="s">
        <v>53</v>
      </c>
      <c r="D546" s="49">
        <v>45540</v>
      </c>
      <c r="E546" s="49">
        <v>45542</v>
      </c>
      <c r="F546" s="49">
        <v>45545</v>
      </c>
      <c r="G546" s="49">
        <v>45549</v>
      </c>
      <c r="H546" s="49">
        <v>45553</v>
      </c>
      <c r="I546" s="49">
        <v>45555</v>
      </c>
      <c r="J546" t="s">
        <v>49</v>
      </c>
      <c r="K546" s="33">
        <v>3400</v>
      </c>
      <c r="L546" t="s">
        <v>61</v>
      </c>
      <c r="M546" t="str">
        <f>_xlfn.XLOOKUP(Pipeline_tbl[[#This Row],[Rep_ID]],Dim_Reps!A:A,Dim_Reps!K:K)</f>
        <v>EUR</v>
      </c>
      <c r="N546" s="33">
        <f>(_xlfn.XLOOKUP(Pipeline_tbl[[#This Row],[Rate_Code_Generalized]],Lookups!A:A,Lookups!B:B))*Pipeline_tbl[[#This Row],[Pipeline_Amount_USD]]</f>
        <v>3400</v>
      </c>
      <c r="O546" t="str">
        <f>_xlfn.XLOOKUP(Pipeline_tbl[[#This Row],[Rep_ID]],Dim_Reps!A:A,Dim_Reps!B:B)</f>
        <v>Lea Weber</v>
      </c>
      <c r="P546" t="str">
        <f>_xlfn.XLOOKUP(Pipeline_tbl[[#This Row],[Rep_ID]],Dim_Reps!A:A,Dim_Reps!C:C)</f>
        <v>SDR / Inside Sales Rep</v>
      </c>
      <c r="Q546" t="str">
        <f>_xlfn.XLOOKUP(Pipeline_tbl[[#This Row],[Rep_ID]],Dim_Reps!A:A,Dim_Reps!D:D)</f>
        <v>Inside Sales</v>
      </c>
      <c r="R546" t="str">
        <f>_xlfn.XLOOKUP(Pipeline_tbl[[#This Row],[Rep_ID]],Dim_Reps!A:A,Dim_Reps!E:E)</f>
        <v>EMEA</v>
      </c>
      <c r="S546" t="str">
        <f>_xlfn.XLOOKUP(Pipeline_tbl[[#This Row],[Created_Date]],Dim_Date!A:A,Dim_Date!H:H)</f>
        <v>Sep 2024</v>
      </c>
      <c r="T546" t="str">
        <f>IF(Pipeline_tbl[[#This Row],[Closed_Date]]=0,"",(_xlfn.XLOOKUP(Pipeline_tbl[[#This Row],[Closed_Date]],Dim_Date!A:A,Dim_Date!H:H)))</f>
        <v>Sep 2024</v>
      </c>
      <c r="U546">
        <f>IF(Pipeline_tbl[[#This Row],[Closed_Date]]=0,"",Pipeline_tbl[[#This Row],[Closed_Date]]-Pipeline_tbl[[#This Row],[Created_Date]])</f>
        <v>15</v>
      </c>
    </row>
    <row r="547" spans="1:21" ht="15" customHeight="1" x14ac:dyDescent="0.2">
      <c r="A547" t="s">
        <v>853</v>
      </c>
      <c r="B547" t="s">
        <v>211</v>
      </c>
      <c r="C547" t="s">
        <v>53</v>
      </c>
      <c r="D547" s="49">
        <v>45541</v>
      </c>
      <c r="E547" s="49">
        <v>45543</v>
      </c>
      <c r="F547" s="49">
        <v>45546</v>
      </c>
      <c r="G547" s="49">
        <v>45551</v>
      </c>
      <c r="I547" s="49">
        <v>45557</v>
      </c>
      <c r="J547" t="s">
        <v>49</v>
      </c>
      <c r="K547" s="33">
        <v>3200</v>
      </c>
      <c r="L547" t="s">
        <v>60</v>
      </c>
      <c r="M547" t="str">
        <f>_xlfn.XLOOKUP(Pipeline_tbl[[#This Row],[Rep_ID]],Dim_Reps!A:A,Dim_Reps!K:K)</f>
        <v>EUR</v>
      </c>
      <c r="N547" s="33">
        <f>(_xlfn.XLOOKUP(Pipeline_tbl[[#This Row],[Rate_Code_Generalized]],Lookups!A:A,Lookups!B:B))*Pipeline_tbl[[#This Row],[Pipeline_Amount_USD]]</f>
        <v>3200</v>
      </c>
      <c r="O547" t="str">
        <f>_xlfn.XLOOKUP(Pipeline_tbl[[#This Row],[Rep_ID]],Dim_Reps!A:A,Dim_Reps!B:B)</f>
        <v>Lea Weber</v>
      </c>
      <c r="P547" t="str">
        <f>_xlfn.XLOOKUP(Pipeline_tbl[[#This Row],[Rep_ID]],Dim_Reps!A:A,Dim_Reps!C:C)</f>
        <v>SDR / Inside Sales Rep</v>
      </c>
      <c r="Q547" t="str">
        <f>_xlfn.XLOOKUP(Pipeline_tbl[[#This Row],[Rep_ID]],Dim_Reps!A:A,Dim_Reps!D:D)</f>
        <v>Inside Sales</v>
      </c>
      <c r="R547" t="str">
        <f>_xlfn.XLOOKUP(Pipeline_tbl[[#This Row],[Rep_ID]],Dim_Reps!A:A,Dim_Reps!E:E)</f>
        <v>EMEA</v>
      </c>
      <c r="S547" t="str">
        <f>_xlfn.XLOOKUP(Pipeline_tbl[[#This Row],[Created_Date]],Dim_Date!A:A,Dim_Date!H:H)</f>
        <v>Sep 2024</v>
      </c>
      <c r="T547" t="str">
        <f>IF(Pipeline_tbl[[#This Row],[Closed_Date]]=0,"",(_xlfn.XLOOKUP(Pipeline_tbl[[#This Row],[Closed_Date]],Dim_Date!A:A,Dim_Date!H:H)))</f>
        <v>Sep 2024</v>
      </c>
      <c r="U547">
        <f>IF(Pipeline_tbl[[#This Row],[Closed_Date]]=0,"",Pipeline_tbl[[#This Row],[Closed_Date]]-Pipeline_tbl[[#This Row],[Created_Date]])</f>
        <v>16</v>
      </c>
    </row>
    <row r="548" spans="1:21" ht="15" customHeight="1" x14ac:dyDescent="0.2">
      <c r="A548" t="s">
        <v>854</v>
      </c>
      <c r="B548" t="s">
        <v>211</v>
      </c>
      <c r="C548" t="s">
        <v>53</v>
      </c>
      <c r="D548" s="49">
        <v>45541</v>
      </c>
      <c r="E548" s="49">
        <v>45543</v>
      </c>
      <c r="F548" s="49">
        <v>45547</v>
      </c>
      <c r="G548" s="49">
        <v>45554</v>
      </c>
      <c r="H548" s="49">
        <v>45559</v>
      </c>
      <c r="I548" s="49">
        <v>45562</v>
      </c>
      <c r="J548" t="s">
        <v>49</v>
      </c>
      <c r="K548" s="33">
        <v>3400</v>
      </c>
      <c r="L548" t="s">
        <v>64</v>
      </c>
      <c r="M548" t="str">
        <f>_xlfn.XLOOKUP(Pipeline_tbl[[#This Row],[Rep_ID]],Dim_Reps!A:A,Dim_Reps!K:K)</f>
        <v>EUR</v>
      </c>
      <c r="N548" s="33">
        <f>(_xlfn.XLOOKUP(Pipeline_tbl[[#This Row],[Rate_Code_Generalized]],Lookups!A:A,Lookups!B:B))*Pipeline_tbl[[#This Row],[Pipeline_Amount_USD]]</f>
        <v>3400</v>
      </c>
      <c r="O548" t="str">
        <f>_xlfn.XLOOKUP(Pipeline_tbl[[#This Row],[Rep_ID]],Dim_Reps!A:A,Dim_Reps!B:B)</f>
        <v>Lea Weber</v>
      </c>
      <c r="P548" t="str">
        <f>_xlfn.XLOOKUP(Pipeline_tbl[[#This Row],[Rep_ID]],Dim_Reps!A:A,Dim_Reps!C:C)</f>
        <v>SDR / Inside Sales Rep</v>
      </c>
      <c r="Q548" t="str">
        <f>_xlfn.XLOOKUP(Pipeline_tbl[[#This Row],[Rep_ID]],Dim_Reps!A:A,Dim_Reps!D:D)</f>
        <v>Inside Sales</v>
      </c>
      <c r="R548" t="str">
        <f>_xlfn.XLOOKUP(Pipeline_tbl[[#This Row],[Rep_ID]],Dim_Reps!A:A,Dim_Reps!E:E)</f>
        <v>EMEA</v>
      </c>
      <c r="S548" t="str">
        <f>_xlfn.XLOOKUP(Pipeline_tbl[[#This Row],[Created_Date]],Dim_Date!A:A,Dim_Date!H:H)</f>
        <v>Sep 2024</v>
      </c>
      <c r="T548" t="str">
        <f>IF(Pipeline_tbl[[#This Row],[Closed_Date]]=0,"",(_xlfn.XLOOKUP(Pipeline_tbl[[#This Row],[Closed_Date]],Dim_Date!A:A,Dim_Date!H:H)))</f>
        <v>Sep 2024</v>
      </c>
      <c r="U548">
        <f>IF(Pipeline_tbl[[#This Row],[Closed_Date]]=0,"",Pipeline_tbl[[#This Row],[Closed_Date]]-Pipeline_tbl[[#This Row],[Created_Date]])</f>
        <v>21</v>
      </c>
    </row>
    <row r="549" spans="1:21" ht="15" customHeight="1" x14ac:dyDescent="0.2">
      <c r="A549" t="s">
        <v>855</v>
      </c>
      <c r="B549" t="s">
        <v>213</v>
      </c>
      <c r="C549" t="s">
        <v>52</v>
      </c>
      <c r="D549" s="49">
        <v>45556</v>
      </c>
      <c r="E549" s="49">
        <v>45557</v>
      </c>
      <c r="F549" s="49">
        <v>45558</v>
      </c>
      <c r="G549" s="49">
        <v>45561</v>
      </c>
      <c r="H549" s="49">
        <v>45563</v>
      </c>
      <c r="I549" s="49">
        <v>45564</v>
      </c>
      <c r="J549" t="s">
        <v>47</v>
      </c>
      <c r="K549" s="33">
        <v>4500</v>
      </c>
      <c r="M549" t="str">
        <f>_xlfn.XLOOKUP(Pipeline_tbl[[#This Row],[Rep_ID]],Dim_Reps!A:A,Dim_Reps!K:K)</f>
        <v>EUR</v>
      </c>
      <c r="N549" s="33">
        <f>(_xlfn.XLOOKUP(Pipeline_tbl[[#This Row],[Rate_Code_Generalized]],Lookups!A:A,Lookups!B:B))*Pipeline_tbl[[#This Row],[Pipeline_Amount_USD]]</f>
        <v>4500</v>
      </c>
      <c r="O549" t="str">
        <f>_xlfn.XLOOKUP(Pipeline_tbl[[#This Row],[Rep_ID]],Dim_Reps!A:A,Dim_Reps!B:B)</f>
        <v>Jamie Silva</v>
      </c>
      <c r="P549" t="str">
        <f>_xlfn.XLOOKUP(Pipeline_tbl[[#This Row],[Rep_ID]],Dim_Reps!A:A,Dim_Reps!C:C)</f>
        <v>SDR / Inside Sales Rep</v>
      </c>
      <c r="Q549" t="str">
        <f>_xlfn.XLOOKUP(Pipeline_tbl[[#This Row],[Rep_ID]],Dim_Reps!A:A,Dim_Reps!D:D)</f>
        <v>Inside Sales</v>
      </c>
      <c r="R549" t="str">
        <f>_xlfn.XLOOKUP(Pipeline_tbl[[#This Row],[Rep_ID]],Dim_Reps!A:A,Dim_Reps!E:E)</f>
        <v>EMEA</v>
      </c>
      <c r="S549" t="str">
        <f>_xlfn.XLOOKUP(Pipeline_tbl[[#This Row],[Created_Date]],Dim_Date!A:A,Dim_Date!H:H)</f>
        <v>Sep 2024</v>
      </c>
      <c r="T549" t="str">
        <f>IF(Pipeline_tbl[[#This Row],[Closed_Date]]=0,"",(_xlfn.XLOOKUP(Pipeline_tbl[[#This Row],[Closed_Date]],Dim_Date!A:A,Dim_Date!H:H)))</f>
        <v>Sep 2024</v>
      </c>
      <c r="U549">
        <f>IF(Pipeline_tbl[[#This Row],[Closed_Date]]=0,"",Pipeline_tbl[[#This Row],[Closed_Date]]-Pipeline_tbl[[#This Row],[Created_Date]])</f>
        <v>8</v>
      </c>
    </row>
    <row r="550" spans="1:21" ht="15" customHeight="1" x14ac:dyDescent="0.2">
      <c r="A550" t="s">
        <v>856</v>
      </c>
      <c r="B550" t="s">
        <v>215</v>
      </c>
      <c r="C550" t="s">
        <v>55</v>
      </c>
      <c r="D550" s="49">
        <v>45554</v>
      </c>
      <c r="E550" s="49">
        <v>45555</v>
      </c>
      <c r="F550" s="49">
        <v>45557</v>
      </c>
      <c r="G550" s="49">
        <v>45560</v>
      </c>
      <c r="H550" s="49">
        <v>45562</v>
      </c>
      <c r="I550" s="49">
        <v>45564</v>
      </c>
      <c r="J550" t="s">
        <v>49</v>
      </c>
      <c r="K550" s="33">
        <v>3900</v>
      </c>
      <c r="L550" t="s">
        <v>64</v>
      </c>
      <c r="M550" t="str">
        <f>_xlfn.XLOOKUP(Pipeline_tbl[[#This Row],[Rep_ID]],Dim_Reps!A:A,Dim_Reps!K:K)</f>
        <v>EUR</v>
      </c>
      <c r="N550" s="33">
        <f>(_xlfn.XLOOKUP(Pipeline_tbl[[#This Row],[Rate_Code_Generalized]],Lookups!A:A,Lookups!B:B))*Pipeline_tbl[[#This Row],[Pipeline_Amount_USD]]</f>
        <v>3900</v>
      </c>
      <c r="O550" t="str">
        <f>_xlfn.XLOOKUP(Pipeline_tbl[[#This Row],[Rep_ID]],Dim_Reps!A:A,Dim_Reps!B:B)</f>
        <v>Jamie Schmidt</v>
      </c>
      <c r="P550" t="str">
        <f>_xlfn.XLOOKUP(Pipeline_tbl[[#This Row],[Rep_ID]],Dim_Reps!A:A,Dim_Reps!C:C)</f>
        <v>SDR / Inside Sales Rep</v>
      </c>
      <c r="Q550" t="str">
        <f>_xlfn.XLOOKUP(Pipeline_tbl[[#This Row],[Rep_ID]],Dim_Reps!A:A,Dim_Reps!D:D)</f>
        <v>Inside Sales</v>
      </c>
      <c r="R550" t="str">
        <f>_xlfn.XLOOKUP(Pipeline_tbl[[#This Row],[Rep_ID]],Dim_Reps!A:A,Dim_Reps!E:E)</f>
        <v>APAC</v>
      </c>
      <c r="S550" t="str">
        <f>_xlfn.XLOOKUP(Pipeline_tbl[[#This Row],[Created_Date]],Dim_Date!A:A,Dim_Date!H:H)</f>
        <v>Sep 2024</v>
      </c>
      <c r="T550" t="str">
        <f>IF(Pipeline_tbl[[#This Row],[Closed_Date]]=0,"",(_xlfn.XLOOKUP(Pipeline_tbl[[#This Row],[Closed_Date]],Dim_Date!A:A,Dim_Date!H:H)))</f>
        <v>Sep 2024</v>
      </c>
      <c r="U550">
        <f>IF(Pipeline_tbl[[#This Row],[Closed_Date]]=0,"",Pipeline_tbl[[#This Row],[Closed_Date]]-Pipeline_tbl[[#This Row],[Created_Date]])</f>
        <v>10</v>
      </c>
    </row>
    <row r="551" spans="1:21" ht="15" customHeight="1" x14ac:dyDescent="0.2">
      <c r="A551" t="s">
        <v>857</v>
      </c>
      <c r="B551" t="s">
        <v>215</v>
      </c>
      <c r="C551" t="s">
        <v>56</v>
      </c>
      <c r="D551" s="49">
        <v>45540</v>
      </c>
      <c r="E551" s="49">
        <v>45542</v>
      </c>
      <c r="F551" s="49">
        <v>45545</v>
      </c>
      <c r="G551" s="49">
        <v>45550</v>
      </c>
      <c r="H551" s="49">
        <v>45554</v>
      </c>
      <c r="I551" s="49">
        <v>45556</v>
      </c>
      <c r="J551" t="s">
        <v>49</v>
      </c>
      <c r="K551" s="33">
        <v>7800</v>
      </c>
      <c r="L551" t="s">
        <v>61</v>
      </c>
      <c r="M551" t="str">
        <f>_xlfn.XLOOKUP(Pipeline_tbl[[#This Row],[Rep_ID]],Dim_Reps!A:A,Dim_Reps!K:K)</f>
        <v>EUR</v>
      </c>
      <c r="N551" s="33">
        <f>(_xlfn.XLOOKUP(Pipeline_tbl[[#This Row],[Rate_Code_Generalized]],Lookups!A:A,Lookups!B:B))*Pipeline_tbl[[#This Row],[Pipeline_Amount_USD]]</f>
        <v>7800</v>
      </c>
      <c r="O551" t="str">
        <f>_xlfn.XLOOKUP(Pipeline_tbl[[#This Row],[Rep_ID]],Dim_Reps!A:A,Dim_Reps!B:B)</f>
        <v>Jamie Schmidt</v>
      </c>
      <c r="P551" t="str">
        <f>_xlfn.XLOOKUP(Pipeline_tbl[[#This Row],[Rep_ID]],Dim_Reps!A:A,Dim_Reps!C:C)</f>
        <v>SDR / Inside Sales Rep</v>
      </c>
      <c r="Q551" t="str">
        <f>_xlfn.XLOOKUP(Pipeline_tbl[[#This Row],[Rep_ID]],Dim_Reps!A:A,Dim_Reps!D:D)</f>
        <v>Inside Sales</v>
      </c>
      <c r="R551" t="str">
        <f>_xlfn.XLOOKUP(Pipeline_tbl[[#This Row],[Rep_ID]],Dim_Reps!A:A,Dim_Reps!E:E)</f>
        <v>APAC</v>
      </c>
      <c r="S551" t="str">
        <f>_xlfn.XLOOKUP(Pipeline_tbl[[#This Row],[Created_Date]],Dim_Date!A:A,Dim_Date!H:H)</f>
        <v>Sep 2024</v>
      </c>
      <c r="T551" t="str">
        <f>IF(Pipeline_tbl[[#This Row],[Closed_Date]]=0,"",(_xlfn.XLOOKUP(Pipeline_tbl[[#This Row],[Closed_Date]],Dim_Date!A:A,Dim_Date!H:H)))</f>
        <v>Sep 2024</v>
      </c>
      <c r="U551">
        <f>IF(Pipeline_tbl[[#This Row],[Closed_Date]]=0,"",Pipeline_tbl[[#This Row],[Closed_Date]]-Pipeline_tbl[[#This Row],[Created_Date]])</f>
        <v>16</v>
      </c>
    </row>
    <row r="552" spans="1:21" ht="15" customHeight="1" x14ac:dyDescent="0.2">
      <c r="A552" t="s">
        <v>858</v>
      </c>
      <c r="B552" t="s">
        <v>215</v>
      </c>
      <c r="C552" t="s">
        <v>53</v>
      </c>
      <c r="D552" s="49">
        <v>45549</v>
      </c>
      <c r="E552" s="49">
        <v>45551</v>
      </c>
      <c r="F552" s="49">
        <v>45554</v>
      </c>
      <c r="G552" s="49">
        <v>45559</v>
      </c>
      <c r="H552" s="49">
        <v>45563</v>
      </c>
      <c r="I552" s="49">
        <v>45565</v>
      </c>
      <c r="J552" t="s">
        <v>49</v>
      </c>
      <c r="K552" s="33">
        <v>2300</v>
      </c>
      <c r="L552" t="s">
        <v>62</v>
      </c>
      <c r="M552" t="str">
        <f>_xlfn.XLOOKUP(Pipeline_tbl[[#This Row],[Rep_ID]],Dim_Reps!A:A,Dim_Reps!K:K)</f>
        <v>EUR</v>
      </c>
      <c r="N552" s="33">
        <f>(_xlfn.XLOOKUP(Pipeline_tbl[[#This Row],[Rate_Code_Generalized]],Lookups!A:A,Lookups!B:B))*Pipeline_tbl[[#This Row],[Pipeline_Amount_USD]]</f>
        <v>2300</v>
      </c>
      <c r="O552" t="str">
        <f>_xlfn.XLOOKUP(Pipeline_tbl[[#This Row],[Rep_ID]],Dim_Reps!A:A,Dim_Reps!B:B)</f>
        <v>Jamie Schmidt</v>
      </c>
      <c r="P552" t="str">
        <f>_xlfn.XLOOKUP(Pipeline_tbl[[#This Row],[Rep_ID]],Dim_Reps!A:A,Dim_Reps!C:C)</f>
        <v>SDR / Inside Sales Rep</v>
      </c>
      <c r="Q552" t="str">
        <f>_xlfn.XLOOKUP(Pipeline_tbl[[#This Row],[Rep_ID]],Dim_Reps!A:A,Dim_Reps!D:D)</f>
        <v>Inside Sales</v>
      </c>
      <c r="R552" t="str">
        <f>_xlfn.XLOOKUP(Pipeline_tbl[[#This Row],[Rep_ID]],Dim_Reps!A:A,Dim_Reps!E:E)</f>
        <v>APAC</v>
      </c>
      <c r="S552" t="str">
        <f>_xlfn.XLOOKUP(Pipeline_tbl[[#This Row],[Created_Date]],Dim_Date!A:A,Dim_Date!H:H)</f>
        <v>Sep 2024</v>
      </c>
      <c r="T552" t="str">
        <f>IF(Pipeline_tbl[[#This Row],[Closed_Date]]=0,"",(_xlfn.XLOOKUP(Pipeline_tbl[[#This Row],[Closed_Date]],Dim_Date!A:A,Dim_Date!H:H)))</f>
        <v>Sep 2024</v>
      </c>
      <c r="U552">
        <f>IF(Pipeline_tbl[[#This Row],[Closed_Date]]=0,"",Pipeline_tbl[[#This Row],[Closed_Date]]-Pipeline_tbl[[#This Row],[Created_Date]])</f>
        <v>16</v>
      </c>
    </row>
    <row r="553" spans="1:21" ht="15" customHeight="1" x14ac:dyDescent="0.2">
      <c r="A553" t="s">
        <v>859</v>
      </c>
      <c r="B553" t="s">
        <v>215</v>
      </c>
      <c r="C553" t="s">
        <v>52</v>
      </c>
      <c r="D553" s="49">
        <v>45537</v>
      </c>
      <c r="E553" s="49">
        <v>45539</v>
      </c>
      <c r="F553" s="49">
        <v>45542</v>
      </c>
      <c r="G553" s="49">
        <v>45547</v>
      </c>
      <c r="H553" s="49">
        <v>45551</v>
      </c>
      <c r="I553" s="49">
        <v>45553</v>
      </c>
      <c r="J553" t="s">
        <v>47</v>
      </c>
      <c r="K553" s="33">
        <v>6700</v>
      </c>
      <c r="M553" t="str">
        <f>_xlfn.XLOOKUP(Pipeline_tbl[[#This Row],[Rep_ID]],Dim_Reps!A:A,Dim_Reps!K:K)</f>
        <v>EUR</v>
      </c>
      <c r="N553" s="33">
        <f>(_xlfn.XLOOKUP(Pipeline_tbl[[#This Row],[Rate_Code_Generalized]],Lookups!A:A,Lookups!B:B))*Pipeline_tbl[[#This Row],[Pipeline_Amount_USD]]</f>
        <v>6700</v>
      </c>
      <c r="O553" t="str">
        <f>_xlfn.XLOOKUP(Pipeline_tbl[[#This Row],[Rep_ID]],Dim_Reps!A:A,Dim_Reps!B:B)</f>
        <v>Jamie Schmidt</v>
      </c>
      <c r="P553" t="str">
        <f>_xlfn.XLOOKUP(Pipeline_tbl[[#This Row],[Rep_ID]],Dim_Reps!A:A,Dim_Reps!C:C)</f>
        <v>SDR / Inside Sales Rep</v>
      </c>
      <c r="Q553" t="str">
        <f>_xlfn.XLOOKUP(Pipeline_tbl[[#This Row],[Rep_ID]],Dim_Reps!A:A,Dim_Reps!D:D)</f>
        <v>Inside Sales</v>
      </c>
      <c r="R553" t="str">
        <f>_xlfn.XLOOKUP(Pipeline_tbl[[#This Row],[Rep_ID]],Dim_Reps!A:A,Dim_Reps!E:E)</f>
        <v>APAC</v>
      </c>
      <c r="S553" t="str">
        <f>_xlfn.XLOOKUP(Pipeline_tbl[[#This Row],[Created_Date]],Dim_Date!A:A,Dim_Date!H:H)</f>
        <v>Sep 2024</v>
      </c>
      <c r="T553" t="str">
        <f>IF(Pipeline_tbl[[#This Row],[Closed_Date]]=0,"",(_xlfn.XLOOKUP(Pipeline_tbl[[#This Row],[Closed_Date]],Dim_Date!A:A,Dim_Date!H:H)))</f>
        <v>Sep 2024</v>
      </c>
      <c r="U553">
        <f>IF(Pipeline_tbl[[#This Row],[Closed_Date]]=0,"",Pipeline_tbl[[#This Row],[Closed_Date]]-Pipeline_tbl[[#This Row],[Created_Date]])</f>
        <v>16</v>
      </c>
    </row>
    <row r="554" spans="1:21" ht="15" customHeight="1" x14ac:dyDescent="0.2">
      <c r="A554" t="s">
        <v>860</v>
      </c>
      <c r="B554" t="s">
        <v>215</v>
      </c>
      <c r="C554" t="s">
        <v>54</v>
      </c>
      <c r="D554" s="49">
        <v>45539</v>
      </c>
      <c r="E554" s="49">
        <v>45540</v>
      </c>
      <c r="F554" s="49">
        <v>45543</v>
      </c>
      <c r="I554" s="49">
        <v>45552</v>
      </c>
      <c r="J554" t="s">
        <v>49</v>
      </c>
      <c r="K554" s="33">
        <v>2100</v>
      </c>
      <c r="L554" t="s">
        <v>61</v>
      </c>
      <c r="M554" t="str">
        <f>_xlfn.XLOOKUP(Pipeline_tbl[[#This Row],[Rep_ID]],Dim_Reps!A:A,Dim_Reps!K:K)</f>
        <v>EUR</v>
      </c>
      <c r="N554" s="33">
        <f>(_xlfn.XLOOKUP(Pipeline_tbl[[#This Row],[Rate_Code_Generalized]],Lookups!A:A,Lookups!B:B))*Pipeline_tbl[[#This Row],[Pipeline_Amount_USD]]</f>
        <v>2100</v>
      </c>
      <c r="O554" t="str">
        <f>_xlfn.XLOOKUP(Pipeline_tbl[[#This Row],[Rep_ID]],Dim_Reps!A:A,Dim_Reps!B:B)</f>
        <v>Jamie Schmidt</v>
      </c>
      <c r="P554" t="str">
        <f>_xlfn.XLOOKUP(Pipeline_tbl[[#This Row],[Rep_ID]],Dim_Reps!A:A,Dim_Reps!C:C)</f>
        <v>SDR / Inside Sales Rep</v>
      </c>
      <c r="Q554" t="str">
        <f>_xlfn.XLOOKUP(Pipeline_tbl[[#This Row],[Rep_ID]],Dim_Reps!A:A,Dim_Reps!D:D)</f>
        <v>Inside Sales</v>
      </c>
      <c r="R554" t="str">
        <f>_xlfn.XLOOKUP(Pipeline_tbl[[#This Row],[Rep_ID]],Dim_Reps!A:A,Dim_Reps!E:E)</f>
        <v>APAC</v>
      </c>
      <c r="S554" t="str">
        <f>_xlfn.XLOOKUP(Pipeline_tbl[[#This Row],[Created_Date]],Dim_Date!A:A,Dim_Date!H:H)</f>
        <v>Sep 2024</v>
      </c>
      <c r="T554" t="str">
        <f>IF(Pipeline_tbl[[#This Row],[Closed_Date]]=0,"",(_xlfn.XLOOKUP(Pipeline_tbl[[#This Row],[Closed_Date]],Dim_Date!A:A,Dim_Date!H:H)))</f>
        <v>Sep 2024</v>
      </c>
      <c r="U554">
        <f>IF(Pipeline_tbl[[#This Row],[Closed_Date]]=0,"",Pipeline_tbl[[#This Row],[Closed_Date]]-Pipeline_tbl[[#This Row],[Created_Date]])</f>
        <v>13</v>
      </c>
    </row>
    <row r="555" spans="1:21" ht="15" customHeight="1" x14ac:dyDescent="0.2">
      <c r="A555" t="s">
        <v>861</v>
      </c>
      <c r="B555" t="s">
        <v>217</v>
      </c>
      <c r="C555" t="s">
        <v>54</v>
      </c>
      <c r="D555" s="49">
        <v>45540</v>
      </c>
      <c r="E555" s="49">
        <v>45542</v>
      </c>
      <c r="F555" s="49">
        <v>45545</v>
      </c>
      <c r="G555" s="49">
        <v>45550</v>
      </c>
      <c r="H555" s="49">
        <v>45554</v>
      </c>
      <c r="I555" s="49">
        <v>45556</v>
      </c>
      <c r="J555" t="s">
        <v>47</v>
      </c>
      <c r="K555" s="33">
        <v>2600</v>
      </c>
      <c r="M555" t="str">
        <f>_xlfn.XLOOKUP(Pipeline_tbl[[#This Row],[Rep_ID]],Dim_Reps!A:A,Dim_Reps!K:K)</f>
        <v>USD</v>
      </c>
      <c r="N555" s="33">
        <f>(_xlfn.XLOOKUP(Pipeline_tbl[[#This Row],[Rate_Code_Generalized]],Lookups!A:A,Lookups!B:B))*Pipeline_tbl[[#This Row],[Pipeline_Amount_USD]]</f>
        <v>3027.18</v>
      </c>
      <c r="O555" t="str">
        <f>_xlfn.XLOOKUP(Pipeline_tbl[[#This Row],[Rep_ID]],Dim_Reps!A:A,Dim_Reps!B:B)</f>
        <v>Priya Weber</v>
      </c>
      <c r="P555" t="str">
        <f>_xlfn.XLOOKUP(Pipeline_tbl[[#This Row],[Rep_ID]],Dim_Reps!A:A,Dim_Reps!C:C)</f>
        <v>SDR / Inside Sales Rep</v>
      </c>
      <c r="Q555" t="str">
        <f>_xlfn.XLOOKUP(Pipeline_tbl[[#This Row],[Rep_ID]],Dim_Reps!A:A,Dim_Reps!D:D)</f>
        <v>Inside Sales</v>
      </c>
      <c r="R555" t="str">
        <f>_xlfn.XLOOKUP(Pipeline_tbl[[#This Row],[Rep_ID]],Dim_Reps!A:A,Dim_Reps!E:E)</f>
        <v>NAMER</v>
      </c>
      <c r="S555" t="str">
        <f>_xlfn.XLOOKUP(Pipeline_tbl[[#This Row],[Created_Date]],Dim_Date!A:A,Dim_Date!H:H)</f>
        <v>Sep 2024</v>
      </c>
      <c r="T555" t="str">
        <f>IF(Pipeline_tbl[[#This Row],[Closed_Date]]=0,"",(_xlfn.XLOOKUP(Pipeline_tbl[[#This Row],[Closed_Date]],Dim_Date!A:A,Dim_Date!H:H)))</f>
        <v>Sep 2024</v>
      </c>
      <c r="U555">
        <f>IF(Pipeline_tbl[[#This Row],[Closed_Date]]=0,"",Pipeline_tbl[[#This Row],[Closed_Date]]-Pipeline_tbl[[#This Row],[Created_Date]])</f>
        <v>16</v>
      </c>
    </row>
    <row r="556" spans="1:21" ht="15" customHeight="1" x14ac:dyDescent="0.2">
      <c r="A556" t="s">
        <v>862</v>
      </c>
      <c r="B556" t="s">
        <v>217</v>
      </c>
      <c r="C556" t="s">
        <v>52</v>
      </c>
      <c r="D556" s="49">
        <v>45546</v>
      </c>
      <c r="E556" s="49">
        <v>45548</v>
      </c>
      <c r="F556" s="49">
        <v>45551</v>
      </c>
      <c r="G556" s="49">
        <v>45556</v>
      </c>
      <c r="H556" s="49">
        <v>45560</v>
      </c>
      <c r="I556" s="49">
        <v>45562</v>
      </c>
      <c r="J556" t="s">
        <v>47</v>
      </c>
      <c r="K556" s="33">
        <v>2200</v>
      </c>
      <c r="M556" t="str">
        <f>_xlfn.XLOOKUP(Pipeline_tbl[[#This Row],[Rep_ID]],Dim_Reps!A:A,Dim_Reps!K:K)</f>
        <v>USD</v>
      </c>
      <c r="N556" s="33">
        <f>(_xlfn.XLOOKUP(Pipeline_tbl[[#This Row],[Rate_Code_Generalized]],Lookups!A:A,Lookups!B:B))*Pipeline_tbl[[#This Row],[Pipeline_Amount_USD]]</f>
        <v>2561.4599999999996</v>
      </c>
      <c r="O556" t="str">
        <f>_xlfn.XLOOKUP(Pipeline_tbl[[#This Row],[Rep_ID]],Dim_Reps!A:A,Dim_Reps!B:B)</f>
        <v>Priya Weber</v>
      </c>
      <c r="P556" t="str">
        <f>_xlfn.XLOOKUP(Pipeline_tbl[[#This Row],[Rep_ID]],Dim_Reps!A:A,Dim_Reps!C:C)</f>
        <v>SDR / Inside Sales Rep</v>
      </c>
      <c r="Q556" t="str">
        <f>_xlfn.XLOOKUP(Pipeline_tbl[[#This Row],[Rep_ID]],Dim_Reps!A:A,Dim_Reps!D:D)</f>
        <v>Inside Sales</v>
      </c>
      <c r="R556" t="str">
        <f>_xlfn.XLOOKUP(Pipeline_tbl[[#This Row],[Rep_ID]],Dim_Reps!A:A,Dim_Reps!E:E)</f>
        <v>NAMER</v>
      </c>
      <c r="S556" t="str">
        <f>_xlfn.XLOOKUP(Pipeline_tbl[[#This Row],[Created_Date]],Dim_Date!A:A,Dim_Date!H:H)</f>
        <v>Sep 2024</v>
      </c>
      <c r="T556" t="str">
        <f>IF(Pipeline_tbl[[#This Row],[Closed_Date]]=0,"",(_xlfn.XLOOKUP(Pipeline_tbl[[#This Row],[Closed_Date]],Dim_Date!A:A,Dim_Date!H:H)))</f>
        <v>Sep 2024</v>
      </c>
      <c r="U556">
        <f>IF(Pipeline_tbl[[#This Row],[Closed_Date]]=0,"",Pipeline_tbl[[#This Row],[Closed_Date]]-Pipeline_tbl[[#This Row],[Created_Date]])</f>
        <v>16</v>
      </c>
    </row>
    <row r="557" spans="1:21" ht="15" customHeight="1" x14ac:dyDescent="0.2">
      <c r="A557" t="s">
        <v>863</v>
      </c>
      <c r="B557" t="s">
        <v>221</v>
      </c>
      <c r="C557" t="s">
        <v>54</v>
      </c>
      <c r="D557" s="49">
        <v>45538</v>
      </c>
      <c r="E557" s="49">
        <v>45540</v>
      </c>
      <c r="F557" s="49">
        <v>45543</v>
      </c>
      <c r="G557" s="49">
        <v>45548</v>
      </c>
      <c r="H557" s="49">
        <v>45552</v>
      </c>
      <c r="I557" s="49">
        <v>45554</v>
      </c>
      <c r="J557" t="s">
        <v>47</v>
      </c>
      <c r="K557" s="33">
        <v>3000</v>
      </c>
      <c r="M557" t="str">
        <f>_xlfn.XLOOKUP(Pipeline_tbl[[#This Row],[Rep_ID]],Dim_Reps!A:A,Dim_Reps!K:K)</f>
        <v>MXN</v>
      </c>
      <c r="N557" s="33">
        <f>(_xlfn.XLOOKUP(Pipeline_tbl[[#This Row],[Rate_Code_Generalized]],Lookups!A:A,Lookups!B:B))*Pipeline_tbl[[#This Row],[Pipeline_Amount_USD]]</f>
        <v>59198.100000000006</v>
      </c>
      <c r="O557" t="str">
        <f>_xlfn.XLOOKUP(Pipeline_tbl[[#This Row],[Rep_ID]],Dim_Reps!A:A,Dim_Reps!B:B)</f>
        <v>Casey Muller</v>
      </c>
      <c r="P557" t="str">
        <f>_xlfn.XLOOKUP(Pipeline_tbl[[#This Row],[Rep_ID]],Dim_Reps!A:A,Dim_Reps!C:C)</f>
        <v>SDR / Inside Sales Rep</v>
      </c>
      <c r="Q557" t="str">
        <f>_xlfn.XLOOKUP(Pipeline_tbl[[#This Row],[Rep_ID]],Dim_Reps!A:A,Dim_Reps!D:D)</f>
        <v>Inside Sales</v>
      </c>
      <c r="R557" t="str">
        <f>_xlfn.XLOOKUP(Pipeline_tbl[[#This Row],[Rep_ID]],Dim_Reps!A:A,Dim_Reps!E:E)</f>
        <v>LATAM</v>
      </c>
      <c r="S557" t="str">
        <f>_xlfn.XLOOKUP(Pipeline_tbl[[#This Row],[Created_Date]],Dim_Date!A:A,Dim_Date!H:H)</f>
        <v>Sep 2024</v>
      </c>
      <c r="T557" t="str">
        <f>IF(Pipeline_tbl[[#This Row],[Closed_Date]]=0,"",(_xlfn.XLOOKUP(Pipeline_tbl[[#This Row],[Closed_Date]],Dim_Date!A:A,Dim_Date!H:H)))</f>
        <v>Sep 2024</v>
      </c>
      <c r="U557">
        <f>IF(Pipeline_tbl[[#This Row],[Closed_Date]]=0,"",Pipeline_tbl[[#This Row],[Closed_Date]]-Pipeline_tbl[[#This Row],[Created_Date]])</f>
        <v>16</v>
      </c>
    </row>
    <row r="558" spans="1:21" ht="15" customHeight="1" x14ac:dyDescent="0.2">
      <c r="A558" t="s">
        <v>864</v>
      </c>
      <c r="B558" t="s">
        <v>221</v>
      </c>
      <c r="C558" t="s">
        <v>52</v>
      </c>
      <c r="D558" s="49">
        <v>45553</v>
      </c>
      <c r="E558" s="49">
        <v>45554</v>
      </c>
      <c r="F558" s="49">
        <v>45555</v>
      </c>
      <c r="G558" s="49">
        <v>45557</v>
      </c>
      <c r="H558" s="49">
        <v>45558</v>
      </c>
      <c r="I558" s="49">
        <v>45559</v>
      </c>
      <c r="J558" t="s">
        <v>47</v>
      </c>
      <c r="K558" s="33">
        <v>5700</v>
      </c>
      <c r="M558" t="str">
        <f>_xlfn.XLOOKUP(Pipeline_tbl[[#This Row],[Rep_ID]],Dim_Reps!A:A,Dim_Reps!K:K)</f>
        <v>MXN</v>
      </c>
      <c r="N558" s="33">
        <f>(_xlfn.XLOOKUP(Pipeline_tbl[[#This Row],[Rate_Code_Generalized]],Lookups!A:A,Lookups!B:B))*Pipeline_tbl[[#This Row],[Pipeline_Amount_USD]]</f>
        <v>112476.39000000001</v>
      </c>
      <c r="O558" t="str">
        <f>_xlfn.XLOOKUP(Pipeline_tbl[[#This Row],[Rep_ID]],Dim_Reps!A:A,Dim_Reps!B:B)</f>
        <v>Casey Muller</v>
      </c>
      <c r="P558" t="str">
        <f>_xlfn.XLOOKUP(Pipeline_tbl[[#This Row],[Rep_ID]],Dim_Reps!A:A,Dim_Reps!C:C)</f>
        <v>SDR / Inside Sales Rep</v>
      </c>
      <c r="Q558" t="str">
        <f>_xlfn.XLOOKUP(Pipeline_tbl[[#This Row],[Rep_ID]],Dim_Reps!A:A,Dim_Reps!D:D)</f>
        <v>Inside Sales</v>
      </c>
      <c r="R558" t="str">
        <f>_xlfn.XLOOKUP(Pipeline_tbl[[#This Row],[Rep_ID]],Dim_Reps!A:A,Dim_Reps!E:E)</f>
        <v>LATAM</v>
      </c>
      <c r="S558" t="str">
        <f>_xlfn.XLOOKUP(Pipeline_tbl[[#This Row],[Created_Date]],Dim_Date!A:A,Dim_Date!H:H)</f>
        <v>Sep 2024</v>
      </c>
      <c r="T558" t="str">
        <f>IF(Pipeline_tbl[[#This Row],[Closed_Date]]=0,"",(_xlfn.XLOOKUP(Pipeline_tbl[[#This Row],[Closed_Date]],Dim_Date!A:A,Dim_Date!H:H)))</f>
        <v>Sep 2024</v>
      </c>
      <c r="U558">
        <f>IF(Pipeline_tbl[[#This Row],[Closed_Date]]=0,"",Pipeline_tbl[[#This Row],[Closed_Date]]-Pipeline_tbl[[#This Row],[Created_Date]])</f>
        <v>6</v>
      </c>
    </row>
    <row r="559" spans="1:21" ht="15" customHeight="1" x14ac:dyDescent="0.2">
      <c r="A559" t="s">
        <v>865</v>
      </c>
      <c r="B559" t="s">
        <v>221</v>
      </c>
      <c r="C559" t="s">
        <v>56</v>
      </c>
      <c r="D559" s="49">
        <v>45537</v>
      </c>
      <c r="E559" s="49">
        <v>45538</v>
      </c>
      <c r="F559" s="49">
        <v>45539</v>
      </c>
      <c r="G559" s="49">
        <v>45542</v>
      </c>
      <c r="H559" s="49">
        <v>45544</v>
      </c>
      <c r="I559" s="49">
        <v>45545</v>
      </c>
      <c r="J559" t="s">
        <v>47</v>
      </c>
      <c r="K559" s="33">
        <v>2800</v>
      </c>
      <c r="M559" t="str">
        <f>_xlfn.XLOOKUP(Pipeline_tbl[[#This Row],[Rep_ID]],Dim_Reps!A:A,Dim_Reps!K:K)</f>
        <v>MXN</v>
      </c>
      <c r="N559" s="33">
        <f>(_xlfn.XLOOKUP(Pipeline_tbl[[#This Row],[Rate_Code_Generalized]],Lookups!A:A,Lookups!B:B))*Pipeline_tbl[[#This Row],[Pipeline_Amount_USD]]</f>
        <v>55251.560000000005</v>
      </c>
      <c r="O559" t="str">
        <f>_xlfn.XLOOKUP(Pipeline_tbl[[#This Row],[Rep_ID]],Dim_Reps!A:A,Dim_Reps!B:B)</f>
        <v>Casey Muller</v>
      </c>
      <c r="P559" t="str">
        <f>_xlfn.XLOOKUP(Pipeline_tbl[[#This Row],[Rep_ID]],Dim_Reps!A:A,Dim_Reps!C:C)</f>
        <v>SDR / Inside Sales Rep</v>
      </c>
      <c r="Q559" t="str">
        <f>_xlfn.XLOOKUP(Pipeline_tbl[[#This Row],[Rep_ID]],Dim_Reps!A:A,Dim_Reps!D:D)</f>
        <v>Inside Sales</v>
      </c>
      <c r="R559" t="str">
        <f>_xlfn.XLOOKUP(Pipeline_tbl[[#This Row],[Rep_ID]],Dim_Reps!A:A,Dim_Reps!E:E)</f>
        <v>LATAM</v>
      </c>
      <c r="S559" t="str">
        <f>_xlfn.XLOOKUP(Pipeline_tbl[[#This Row],[Created_Date]],Dim_Date!A:A,Dim_Date!H:H)</f>
        <v>Sep 2024</v>
      </c>
      <c r="T559" t="str">
        <f>IF(Pipeline_tbl[[#This Row],[Closed_Date]]=0,"",(_xlfn.XLOOKUP(Pipeline_tbl[[#This Row],[Closed_Date]],Dim_Date!A:A,Dim_Date!H:H)))</f>
        <v>Sep 2024</v>
      </c>
      <c r="U559">
        <f>IF(Pipeline_tbl[[#This Row],[Closed_Date]]=0,"",Pipeline_tbl[[#This Row],[Closed_Date]]-Pipeline_tbl[[#This Row],[Created_Date]])</f>
        <v>8</v>
      </c>
    </row>
    <row r="560" spans="1:21" ht="15" customHeight="1" x14ac:dyDescent="0.2">
      <c r="A560" t="s">
        <v>866</v>
      </c>
      <c r="B560" t="s">
        <v>221</v>
      </c>
      <c r="C560" t="s">
        <v>52</v>
      </c>
      <c r="D560" s="49">
        <v>45538</v>
      </c>
      <c r="E560" s="49">
        <v>45540</v>
      </c>
      <c r="F560" s="49">
        <v>45544</v>
      </c>
      <c r="G560" s="49">
        <v>45550</v>
      </c>
      <c r="I560" s="49">
        <v>45558</v>
      </c>
      <c r="J560" t="s">
        <v>49</v>
      </c>
      <c r="K560" s="33">
        <v>3300</v>
      </c>
      <c r="L560" t="s">
        <v>61</v>
      </c>
      <c r="M560" t="str">
        <f>_xlfn.XLOOKUP(Pipeline_tbl[[#This Row],[Rep_ID]],Dim_Reps!A:A,Dim_Reps!K:K)</f>
        <v>MXN</v>
      </c>
      <c r="N560" s="33">
        <f>(_xlfn.XLOOKUP(Pipeline_tbl[[#This Row],[Rate_Code_Generalized]],Lookups!A:A,Lookups!B:B))*Pipeline_tbl[[#This Row],[Pipeline_Amount_USD]]</f>
        <v>65117.91</v>
      </c>
      <c r="O560" t="str">
        <f>_xlfn.XLOOKUP(Pipeline_tbl[[#This Row],[Rep_ID]],Dim_Reps!A:A,Dim_Reps!B:B)</f>
        <v>Casey Muller</v>
      </c>
      <c r="P560" t="str">
        <f>_xlfn.XLOOKUP(Pipeline_tbl[[#This Row],[Rep_ID]],Dim_Reps!A:A,Dim_Reps!C:C)</f>
        <v>SDR / Inside Sales Rep</v>
      </c>
      <c r="Q560" t="str">
        <f>_xlfn.XLOOKUP(Pipeline_tbl[[#This Row],[Rep_ID]],Dim_Reps!A:A,Dim_Reps!D:D)</f>
        <v>Inside Sales</v>
      </c>
      <c r="R560" t="str">
        <f>_xlfn.XLOOKUP(Pipeline_tbl[[#This Row],[Rep_ID]],Dim_Reps!A:A,Dim_Reps!E:E)</f>
        <v>LATAM</v>
      </c>
      <c r="S560" t="str">
        <f>_xlfn.XLOOKUP(Pipeline_tbl[[#This Row],[Created_Date]],Dim_Date!A:A,Dim_Date!H:H)</f>
        <v>Sep 2024</v>
      </c>
      <c r="T560" t="str">
        <f>IF(Pipeline_tbl[[#This Row],[Closed_Date]]=0,"",(_xlfn.XLOOKUP(Pipeline_tbl[[#This Row],[Closed_Date]],Dim_Date!A:A,Dim_Date!H:H)))</f>
        <v>Sep 2024</v>
      </c>
      <c r="U560">
        <f>IF(Pipeline_tbl[[#This Row],[Closed_Date]]=0,"",Pipeline_tbl[[#This Row],[Closed_Date]]-Pipeline_tbl[[#This Row],[Created_Date]])</f>
        <v>20</v>
      </c>
    </row>
    <row r="561" spans="1:21" ht="15" customHeight="1" x14ac:dyDescent="0.2">
      <c r="A561" t="s">
        <v>867</v>
      </c>
      <c r="B561" t="s">
        <v>221</v>
      </c>
      <c r="C561" t="s">
        <v>53</v>
      </c>
      <c r="D561" s="49">
        <v>45537</v>
      </c>
      <c r="E561" s="49">
        <v>45539</v>
      </c>
      <c r="F561" s="49">
        <v>45543</v>
      </c>
      <c r="G561" s="49">
        <v>45548</v>
      </c>
      <c r="H561" s="49">
        <v>45553</v>
      </c>
      <c r="I561" s="49">
        <v>45556</v>
      </c>
      <c r="J561" t="s">
        <v>47</v>
      </c>
      <c r="K561" s="33">
        <v>3500</v>
      </c>
      <c r="M561" t="str">
        <f>_xlfn.XLOOKUP(Pipeline_tbl[[#This Row],[Rep_ID]],Dim_Reps!A:A,Dim_Reps!K:K)</f>
        <v>MXN</v>
      </c>
      <c r="N561" s="33">
        <f>(_xlfn.XLOOKUP(Pipeline_tbl[[#This Row],[Rate_Code_Generalized]],Lookups!A:A,Lookups!B:B))*Pipeline_tbl[[#This Row],[Pipeline_Amount_USD]]</f>
        <v>69064.45</v>
      </c>
      <c r="O561" t="str">
        <f>_xlfn.XLOOKUP(Pipeline_tbl[[#This Row],[Rep_ID]],Dim_Reps!A:A,Dim_Reps!B:B)</f>
        <v>Casey Muller</v>
      </c>
      <c r="P561" t="str">
        <f>_xlfn.XLOOKUP(Pipeline_tbl[[#This Row],[Rep_ID]],Dim_Reps!A:A,Dim_Reps!C:C)</f>
        <v>SDR / Inside Sales Rep</v>
      </c>
      <c r="Q561" t="str">
        <f>_xlfn.XLOOKUP(Pipeline_tbl[[#This Row],[Rep_ID]],Dim_Reps!A:A,Dim_Reps!D:D)</f>
        <v>Inside Sales</v>
      </c>
      <c r="R561" t="str">
        <f>_xlfn.XLOOKUP(Pipeline_tbl[[#This Row],[Rep_ID]],Dim_Reps!A:A,Dim_Reps!E:E)</f>
        <v>LATAM</v>
      </c>
      <c r="S561" t="str">
        <f>_xlfn.XLOOKUP(Pipeline_tbl[[#This Row],[Created_Date]],Dim_Date!A:A,Dim_Date!H:H)</f>
        <v>Sep 2024</v>
      </c>
      <c r="T561" t="str">
        <f>IF(Pipeline_tbl[[#This Row],[Closed_Date]]=0,"",(_xlfn.XLOOKUP(Pipeline_tbl[[#This Row],[Closed_Date]],Dim_Date!A:A,Dim_Date!H:H)))</f>
        <v>Sep 2024</v>
      </c>
      <c r="U561">
        <f>IF(Pipeline_tbl[[#This Row],[Closed_Date]]=0,"",Pipeline_tbl[[#This Row],[Closed_Date]]-Pipeline_tbl[[#This Row],[Created_Date]])</f>
        <v>19</v>
      </c>
    </row>
    <row r="562" spans="1:21" ht="15" customHeight="1" x14ac:dyDescent="0.2">
      <c r="A562" t="s">
        <v>868</v>
      </c>
      <c r="B562" t="s">
        <v>221</v>
      </c>
      <c r="C562" t="s">
        <v>52</v>
      </c>
      <c r="D562" s="49">
        <v>45545</v>
      </c>
      <c r="E562" s="49">
        <v>45547</v>
      </c>
      <c r="F562" s="49">
        <v>45550</v>
      </c>
      <c r="G562" s="49">
        <v>45555</v>
      </c>
      <c r="H562" s="49">
        <v>45559</v>
      </c>
      <c r="I562" s="49">
        <v>45561</v>
      </c>
      <c r="J562" t="s">
        <v>49</v>
      </c>
      <c r="K562" s="33">
        <v>4700</v>
      </c>
      <c r="L562" t="s">
        <v>64</v>
      </c>
      <c r="M562" t="str">
        <f>_xlfn.XLOOKUP(Pipeline_tbl[[#This Row],[Rep_ID]],Dim_Reps!A:A,Dim_Reps!K:K)</f>
        <v>MXN</v>
      </c>
      <c r="N562" s="33">
        <f>(_xlfn.XLOOKUP(Pipeline_tbl[[#This Row],[Rate_Code_Generalized]],Lookups!A:A,Lookups!B:B))*Pipeline_tbl[[#This Row],[Pipeline_Amount_USD]]</f>
        <v>92743.69</v>
      </c>
      <c r="O562" t="str">
        <f>_xlfn.XLOOKUP(Pipeline_tbl[[#This Row],[Rep_ID]],Dim_Reps!A:A,Dim_Reps!B:B)</f>
        <v>Casey Muller</v>
      </c>
      <c r="P562" t="str">
        <f>_xlfn.XLOOKUP(Pipeline_tbl[[#This Row],[Rep_ID]],Dim_Reps!A:A,Dim_Reps!C:C)</f>
        <v>SDR / Inside Sales Rep</v>
      </c>
      <c r="Q562" t="str">
        <f>_xlfn.XLOOKUP(Pipeline_tbl[[#This Row],[Rep_ID]],Dim_Reps!A:A,Dim_Reps!D:D)</f>
        <v>Inside Sales</v>
      </c>
      <c r="R562" t="str">
        <f>_xlfn.XLOOKUP(Pipeline_tbl[[#This Row],[Rep_ID]],Dim_Reps!A:A,Dim_Reps!E:E)</f>
        <v>LATAM</v>
      </c>
      <c r="S562" t="str">
        <f>_xlfn.XLOOKUP(Pipeline_tbl[[#This Row],[Created_Date]],Dim_Date!A:A,Dim_Date!H:H)</f>
        <v>Sep 2024</v>
      </c>
      <c r="T562" t="str">
        <f>IF(Pipeline_tbl[[#This Row],[Closed_Date]]=0,"",(_xlfn.XLOOKUP(Pipeline_tbl[[#This Row],[Closed_Date]],Dim_Date!A:A,Dim_Date!H:H)))</f>
        <v>Sep 2024</v>
      </c>
      <c r="U562">
        <f>IF(Pipeline_tbl[[#This Row],[Closed_Date]]=0,"",Pipeline_tbl[[#This Row],[Closed_Date]]-Pipeline_tbl[[#This Row],[Created_Date]])</f>
        <v>16</v>
      </c>
    </row>
    <row r="563" spans="1:21" ht="15" customHeight="1" x14ac:dyDescent="0.2">
      <c r="A563" t="s">
        <v>869</v>
      </c>
      <c r="B563" t="s">
        <v>221</v>
      </c>
      <c r="C563" t="s">
        <v>52</v>
      </c>
      <c r="D563" s="49">
        <v>45541</v>
      </c>
      <c r="E563" s="49">
        <v>45543</v>
      </c>
      <c r="I563" s="49">
        <v>45556</v>
      </c>
      <c r="J563" t="s">
        <v>49</v>
      </c>
      <c r="K563" s="33">
        <v>4900</v>
      </c>
      <c r="L563" t="s">
        <v>61</v>
      </c>
      <c r="M563" t="str">
        <f>_xlfn.XLOOKUP(Pipeline_tbl[[#This Row],[Rep_ID]],Dim_Reps!A:A,Dim_Reps!K:K)</f>
        <v>MXN</v>
      </c>
      <c r="N563" s="33">
        <f>(_xlfn.XLOOKUP(Pipeline_tbl[[#This Row],[Rate_Code_Generalized]],Lookups!A:A,Lookups!B:B))*Pipeline_tbl[[#This Row],[Pipeline_Amount_USD]]</f>
        <v>96690.23000000001</v>
      </c>
      <c r="O563" t="str">
        <f>_xlfn.XLOOKUP(Pipeline_tbl[[#This Row],[Rep_ID]],Dim_Reps!A:A,Dim_Reps!B:B)</f>
        <v>Casey Muller</v>
      </c>
      <c r="P563" t="str">
        <f>_xlfn.XLOOKUP(Pipeline_tbl[[#This Row],[Rep_ID]],Dim_Reps!A:A,Dim_Reps!C:C)</f>
        <v>SDR / Inside Sales Rep</v>
      </c>
      <c r="Q563" t="str">
        <f>_xlfn.XLOOKUP(Pipeline_tbl[[#This Row],[Rep_ID]],Dim_Reps!A:A,Dim_Reps!D:D)</f>
        <v>Inside Sales</v>
      </c>
      <c r="R563" t="str">
        <f>_xlfn.XLOOKUP(Pipeline_tbl[[#This Row],[Rep_ID]],Dim_Reps!A:A,Dim_Reps!E:E)</f>
        <v>LATAM</v>
      </c>
      <c r="S563" t="str">
        <f>_xlfn.XLOOKUP(Pipeline_tbl[[#This Row],[Created_Date]],Dim_Date!A:A,Dim_Date!H:H)</f>
        <v>Sep 2024</v>
      </c>
      <c r="T563" t="str">
        <f>IF(Pipeline_tbl[[#This Row],[Closed_Date]]=0,"",(_xlfn.XLOOKUP(Pipeline_tbl[[#This Row],[Closed_Date]],Dim_Date!A:A,Dim_Date!H:H)))</f>
        <v>Sep 2024</v>
      </c>
      <c r="U563">
        <f>IF(Pipeline_tbl[[#This Row],[Closed_Date]]=0,"",Pipeline_tbl[[#This Row],[Closed_Date]]-Pipeline_tbl[[#This Row],[Created_Date]])</f>
        <v>15</v>
      </c>
    </row>
    <row r="564" spans="1:21" ht="15" customHeight="1" x14ac:dyDescent="0.2">
      <c r="A564" t="s">
        <v>870</v>
      </c>
      <c r="B564" t="s">
        <v>259</v>
      </c>
      <c r="C564" t="s">
        <v>56</v>
      </c>
      <c r="D564" s="49">
        <v>45539</v>
      </c>
      <c r="E564" s="49">
        <v>45541</v>
      </c>
      <c r="F564" s="49">
        <v>45547</v>
      </c>
      <c r="G564" s="49">
        <v>45554</v>
      </c>
      <c r="H564" s="49">
        <v>45560</v>
      </c>
      <c r="I564" s="49">
        <v>45564</v>
      </c>
      <c r="J564" t="s">
        <v>47</v>
      </c>
      <c r="K564" s="33">
        <v>15600</v>
      </c>
      <c r="M564" t="str">
        <f>_xlfn.XLOOKUP(Pipeline_tbl[[#This Row],[Rep_ID]],Dim_Reps!A:A,Dim_Reps!K:K)</f>
        <v>EUR</v>
      </c>
      <c r="N564" s="33">
        <f>(_xlfn.XLOOKUP(Pipeline_tbl[[#This Row],[Rate_Code_Generalized]],Lookups!A:A,Lookups!B:B))*Pipeline_tbl[[#This Row],[Pipeline_Amount_USD]]</f>
        <v>15600</v>
      </c>
      <c r="O564" t="str">
        <f>_xlfn.XLOOKUP(Pipeline_tbl[[#This Row],[Rep_ID]],Dim_Reps!A:A,Dim_Reps!B:B)</f>
        <v>Felix Okafor</v>
      </c>
      <c r="P564" t="str">
        <f>_xlfn.XLOOKUP(Pipeline_tbl[[#This Row],[Rep_ID]],Dim_Reps!A:A,Dim_Reps!C:C)</f>
        <v>Mid-Market AE</v>
      </c>
      <c r="Q564" t="str">
        <f>_xlfn.XLOOKUP(Pipeline_tbl[[#This Row],[Rep_ID]],Dim_Reps!A:A,Dim_Reps!D:D)</f>
        <v>Mid-Market</v>
      </c>
      <c r="R564" t="str">
        <f>_xlfn.XLOOKUP(Pipeline_tbl[[#This Row],[Rep_ID]],Dim_Reps!A:A,Dim_Reps!E:E)</f>
        <v>EMEA</v>
      </c>
      <c r="S564" t="str">
        <f>_xlfn.XLOOKUP(Pipeline_tbl[[#This Row],[Created_Date]],Dim_Date!A:A,Dim_Date!H:H)</f>
        <v>Sep 2024</v>
      </c>
      <c r="T564" t="str">
        <f>IF(Pipeline_tbl[[#This Row],[Closed_Date]]=0,"",(_xlfn.XLOOKUP(Pipeline_tbl[[#This Row],[Closed_Date]],Dim_Date!A:A,Dim_Date!H:H)))</f>
        <v>Sep 2024</v>
      </c>
      <c r="U564">
        <f>IF(Pipeline_tbl[[#This Row],[Closed_Date]]=0,"",Pipeline_tbl[[#This Row],[Closed_Date]]-Pipeline_tbl[[#This Row],[Created_Date]])</f>
        <v>25</v>
      </c>
    </row>
    <row r="565" spans="1:21" ht="15" customHeight="1" x14ac:dyDescent="0.2">
      <c r="A565" t="s">
        <v>871</v>
      </c>
      <c r="B565" t="s">
        <v>259</v>
      </c>
      <c r="C565" t="s">
        <v>52</v>
      </c>
      <c r="D565" s="49">
        <v>45560</v>
      </c>
      <c r="E565" s="49">
        <v>45560</v>
      </c>
      <c r="F565" s="49">
        <v>45562</v>
      </c>
      <c r="G565" s="49">
        <v>45563</v>
      </c>
      <c r="I565" s="49">
        <v>45565</v>
      </c>
      <c r="J565" t="s">
        <v>49</v>
      </c>
      <c r="K565" s="33">
        <v>16300</v>
      </c>
      <c r="L565" t="s">
        <v>63</v>
      </c>
      <c r="M565" t="str">
        <f>_xlfn.XLOOKUP(Pipeline_tbl[[#This Row],[Rep_ID]],Dim_Reps!A:A,Dim_Reps!K:K)</f>
        <v>EUR</v>
      </c>
      <c r="N565" s="33">
        <f>(_xlfn.XLOOKUP(Pipeline_tbl[[#This Row],[Rate_Code_Generalized]],Lookups!A:A,Lookups!B:B))*Pipeline_tbl[[#This Row],[Pipeline_Amount_USD]]</f>
        <v>16300</v>
      </c>
      <c r="O565" t="str">
        <f>_xlfn.XLOOKUP(Pipeline_tbl[[#This Row],[Rep_ID]],Dim_Reps!A:A,Dim_Reps!B:B)</f>
        <v>Felix Okafor</v>
      </c>
      <c r="P565" t="str">
        <f>_xlfn.XLOOKUP(Pipeline_tbl[[#This Row],[Rep_ID]],Dim_Reps!A:A,Dim_Reps!C:C)</f>
        <v>Mid-Market AE</v>
      </c>
      <c r="Q565" t="str">
        <f>_xlfn.XLOOKUP(Pipeline_tbl[[#This Row],[Rep_ID]],Dim_Reps!A:A,Dim_Reps!D:D)</f>
        <v>Mid-Market</v>
      </c>
      <c r="R565" t="str">
        <f>_xlfn.XLOOKUP(Pipeline_tbl[[#This Row],[Rep_ID]],Dim_Reps!A:A,Dim_Reps!E:E)</f>
        <v>EMEA</v>
      </c>
      <c r="S565" t="str">
        <f>_xlfn.XLOOKUP(Pipeline_tbl[[#This Row],[Created_Date]],Dim_Date!A:A,Dim_Date!H:H)</f>
        <v>Sep 2024</v>
      </c>
      <c r="T565" t="str">
        <f>IF(Pipeline_tbl[[#This Row],[Closed_Date]]=0,"",(_xlfn.XLOOKUP(Pipeline_tbl[[#This Row],[Closed_Date]],Dim_Date!A:A,Dim_Date!H:H)))</f>
        <v>Sep 2024</v>
      </c>
      <c r="U565">
        <f>IF(Pipeline_tbl[[#This Row],[Closed_Date]]=0,"",Pipeline_tbl[[#This Row],[Closed_Date]]-Pipeline_tbl[[#This Row],[Created_Date]])</f>
        <v>5</v>
      </c>
    </row>
    <row r="566" spans="1:21" ht="15" customHeight="1" x14ac:dyDescent="0.2">
      <c r="A566" t="s">
        <v>872</v>
      </c>
      <c r="B566" t="s">
        <v>225</v>
      </c>
      <c r="C566" t="s">
        <v>55</v>
      </c>
      <c r="D566" s="49">
        <v>45544</v>
      </c>
      <c r="E566" s="49">
        <v>45545</v>
      </c>
      <c r="F566" s="49">
        <v>45548</v>
      </c>
      <c r="G566" s="49">
        <v>45552</v>
      </c>
      <c r="H566" s="49">
        <v>45555</v>
      </c>
      <c r="I566" s="49">
        <v>45557</v>
      </c>
      <c r="J566" t="s">
        <v>47</v>
      </c>
      <c r="K566" s="33">
        <v>8100</v>
      </c>
      <c r="M566" t="str">
        <f>_xlfn.XLOOKUP(Pipeline_tbl[[#This Row],[Rep_ID]],Dim_Reps!A:A,Dim_Reps!K:K)</f>
        <v>USD</v>
      </c>
      <c r="N566" s="33">
        <f>(_xlfn.XLOOKUP(Pipeline_tbl[[#This Row],[Rate_Code_Generalized]],Lookups!A:A,Lookups!B:B))*Pipeline_tbl[[#This Row],[Pipeline_Amount_USD]]</f>
        <v>9430.83</v>
      </c>
      <c r="O566" t="str">
        <f>_xlfn.XLOOKUP(Pipeline_tbl[[#This Row],[Rep_ID]],Dim_Reps!A:A,Dim_Reps!B:B)</f>
        <v>Alex Muller</v>
      </c>
      <c r="P566" t="str">
        <f>_xlfn.XLOOKUP(Pipeline_tbl[[#This Row],[Rep_ID]],Dim_Reps!A:A,Dim_Reps!C:C)</f>
        <v>SDR / Inside Sales Rep</v>
      </c>
      <c r="Q566" t="str">
        <f>_xlfn.XLOOKUP(Pipeline_tbl[[#This Row],[Rep_ID]],Dim_Reps!A:A,Dim_Reps!D:D)</f>
        <v>Inside Sales</v>
      </c>
      <c r="R566" t="str">
        <f>_xlfn.XLOOKUP(Pipeline_tbl[[#This Row],[Rep_ID]],Dim_Reps!A:A,Dim_Reps!E:E)</f>
        <v>NAMER</v>
      </c>
      <c r="S566" t="str">
        <f>_xlfn.XLOOKUP(Pipeline_tbl[[#This Row],[Created_Date]],Dim_Date!A:A,Dim_Date!H:H)</f>
        <v>Sep 2024</v>
      </c>
      <c r="T566" t="str">
        <f>IF(Pipeline_tbl[[#This Row],[Closed_Date]]=0,"",(_xlfn.XLOOKUP(Pipeline_tbl[[#This Row],[Closed_Date]],Dim_Date!A:A,Dim_Date!H:H)))</f>
        <v>Sep 2024</v>
      </c>
      <c r="U566">
        <f>IF(Pipeline_tbl[[#This Row],[Closed_Date]]=0,"",Pipeline_tbl[[#This Row],[Closed_Date]]-Pipeline_tbl[[#This Row],[Created_Date]])</f>
        <v>13</v>
      </c>
    </row>
    <row r="567" spans="1:21" ht="15" customHeight="1" x14ac:dyDescent="0.2">
      <c r="A567" t="s">
        <v>873</v>
      </c>
      <c r="B567" t="s">
        <v>225</v>
      </c>
      <c r="C567" t="s">
        <v>53</v>
      </c>
      <c r="D567" s="49">
        <v>45539</v>
      </c>
      <c r="E567" s="49">
        <v>45541</v>
      </c>
      <c r="F567" s="49">
        <v>45546</v>
      </c>
      <c r="G567" s="49">
        <v>45553</v>
      </c>
      <c r="I567" s="49">
        <v>45563</v>
      </c>
      <c r="J567" t="s">
        <v>49</v>
      </c>
      <c r="K567" s="33">
        <v>2900</v>
      </c>
      <c r="L567" t="s">
        <v>60</v>
      </c>
      <c r="M567" t="str">
        <f>_xlfn.XLOOKUP(Pipeline_tbl[[#This Row],[Rep_ID]],Dim_Reps!A:A,Dim_Reps!K:K)</f>
        <v>USD</v>
      </c>
      <c r="N567" s="33">
        <f>(_xlfn.XLOOKUP(Pipeline_tbl[[#This Row],[Rate_Code_Generalized]],Lookups!A:A,Lookups!B:B))*Pipeline_tbl[[#This Row],[Pipeline_Amount_USD]]</f>
        <v>3376.47</v>
      </c>
      <c r="O567" t="str">
        <f>_xlfn.XLOOKUP(Pipeline_tbl[[#This Row],[Rep_ID]],Dim_Reps!A:A,Dim_Reps!B:B)</f>
        <v>Alex Muller</v>
      </c>
      <c r="P567" t="str">
        <f>_xlfn.XLOOKUP(Pipeline_tbl[[#This Row],[Rep_ID]],Dim_Reps!A:A,Dim_Reps!C:C)</f>
        <v>SDR / Inside Sales Rep</v>
      </c>
      <c r="Q567" t="str">
        <f>_xlfn.XLOOKUP(Pipeline_tbl[[#This Row],[Rep_ID]],Dim_Reps!A:A,Dim_Reps!D:D)</f>
        <v>Inside Sales</v>
      </c>
      <c r="R567" t="str">
        <f>_xlfn.XLOOKUP(Pipeline_tbl[[#This Row],[Rep_ID]],Dim_Reps!A:A,Dim_Reps!E:E)</f>
        <v>NAMER</v>
      </c>
      <c r="S567" t="str">
        <f>_xlfn.XLOOKUP(Pipeline_tbl[[#This Row],[Created_Date]],Dim_Date!A:A,Dim_Date!H:H)</f>
        <v>Sep 2024</v>
      </c>
      <c r="T567" t="str">
        <f>IF(Pipeline_tbl[[#This Row],[Closed_Date]]=0,"",(_xlfn.XLOOKUP(Pipeline_tbl[[#This Row],[Closed_Date]],Dim_Date!A:A,Dim_Date!H:H)))</f>
        <v>Sep 2024</v>
      </c>
      <c r="U567">
        <f>IF(Pipeline_tbl[[#This Row],[Closed_Date]]=0,"",Pipeline_tbl[[#This Row],[Closed_Date]]-Pipeline_tbl[[#This Row],[Created_Date]])</f>
        <v>24</v>
      </c>
    </row>
    <row r="568" spans="1:21" ht="15" customHeight="1" x14ac:dyDescent="0.2">
      <c r="A568" t="s">
        <v>874</v>
      </c>
      <c r="B568" t="s">
        <v>225</v>
      </c>
      <c r="C568" t="s">
        <v>56</v>
      </c>
      <c r="D568" s="49">
        <v>45540</v>
      </c>
      <c r="E568" s="49">
        <v>45542</v>
      </c>
      <c r="F568" s="49">
        <v>45545</v>
      </c>
      <c r="G568" s="49">
        <v>45551</v>
      </c>
      <c r="H568" s="49">
        <v>45555</v>
      </c>
      <c r="I568" s="49">
        <v>45558</v>
      </c>
      <c r="J568" t="s">
        <v>49</v>
      </c>
      <c r="K568" s="33">
        <v>5200</v>
      </c>
      <c r="L568" t="s">
        <v>64</v>
      </c>
      <c r="M568" t="str">
        <f>_xlfn.XLOOKUP(Pipeline_tbl[[#This Row],[Rep_ID]],Dim_Reps!A:A,Dim_Reps!K:K)</f>
        <v>USD</v>
      </c>
      <c r="N568" s="33">
        <f>(_xlfn.XLOOKUP(Pipeline_tbl[[#This Row],[Rate_Code_Generalized]],Lookups!A:A,Lookups!B:B))*Pipeline_tbl[[#This Row],[Pipeline_Amount_USD]]</f>
        <v>6054.36</v>
      </c>
      <c r="O568" t="str">
        <f>_xlfn.XLOOKUP(Pipeline_tbl[[#This Row],[Rep_ID]],Dim_Reps!A:A,Dim_Reps!B:B)</f>
        <v>Alex Muller</v>
      </c>
      <c r="P568" t="str">
        <f>_xlfn.XLOOKUP(Pipeline_tbl[[#This Row],[Rep_ID]],Dim_Reps!A:A,Dim_Reps!C:C)</f>
        <v>SDR / Inside Sales Rep</v>
      </c>
      <c r="Q568" t="str">
        <f>_xlfn.XLOOKUP(Pipeline_tbl[[#This Row],[Rep_ID]],Dim_Reps!A:A,Dim_Reps!D:D)</f>
        <v>Inside Sales</v>
      </c>
      <c r="R568" t="str">
        <f>_xlfn.XLOOKUP(Pipeline_tbl[[#This Row],[Rep_ID]],Dim_Reps!A:A,Dim_Reps!E:E)</f>
        <v>NAMER</v>
      </c>
      <c r="S568" t="str">
        <f>_xlfn.XLOOKUP(Pipeline_tbl[[#This Row],[Created_Date]],Dim_Date!A:A,Dim_Date!H:H)</f>
        <v>Sep 2024</v>
      </c>
      <c r="T568" t="str">
        <f>IF(Pipeline_tbl[[#This Row],[Closed_Date]]=0,"",(_xlfn.XLOOKUP(Pipeline_tbl[[#This Row],[Closed_Date]],Dim_Date!A:A,Dim_Date!H:H)))</f>
        <v>Sep 2024</v>
      </c>
      <c r="U568">
        <f>IF(Pipeline_tbl[[#This Row],[Closed_Date]]=0,"",Pipeline_tbl[[#This Row],[Closed_Date]]-Pipeline_tbl[[#This Row],[Created_Date]])</f>
        <v>18</v>
      </c>
    </row>
    <row r="569" spans="1:21" ht="15" customHeight="1" x14ac:dyDescent="0.2">
      <c r="A569" t="s">
        <v>875</v>
      </c>
      <c r="B569" t="s">
        <v>225</v>
      </c>
      <c r="C569" t="s">
        <v>52</v>
      </c>
      <c r="D569" s="49">
        <v>45538</v>
      </c>
      <c r="E569" s="49">
        <v>45539</v>
      </c>
      <c r="F569" s="49">
        <v>45541</v>
      </c>
      <c r="G569" s="49">
        <v>45543</v>
      </c>
      <c r="I569" s="49">
        <v>45547</v>
      </c>
      <c r="J569" t="s">
        <v>49</v>
      </c>
      <c r="K569" s="33">
        <v>6100</v>
      </c>
      <c r="L569" t="s">
        <v>60</v>
      </c>
      <c r="M569" t="str">
        <f>_xlfn.XLOOKUP(Pipeline_tbl[[#This Row],[Rep_ID]],Dim_Reps!A:A,Dim_Reps!K:K)</f>
        <v>USD</v>
      </c>
      <c r="N569" s="33">
        <f>(_xlfn.XLOOKUP(Pipeline_tbl[[#This Row],[Rate_Code_Generalized]],Lookups!A:A,Lookups!B:B))*Pipeline_tbl[[#This Row],[Pipeline_Amount_USD]]</f>
        <v>7102.23</v>
      </c>
      <c r="O569" t="str">
        <f>_xlfn.XLOOKUP(Pipeline_tbl[[#This Row],[Rep_ID]],Dim_Reps!A:A,Dim_Reps!B:B)</f>
        <v>Alex Muller</v>
      </c>
      <c r="P569" t="str">
        <f>_xlfn.XLOOKUP(Pipeline_tbl[[#This Row],[Rep_ID]],Dim_Reps!A:A,Dim_Reps!C:C)</f>
        <v>SDR / Inside Sales Rep</v>
      </c>
      <c r="Q569" t="str">
        <f>_xlfn.XLOOKUP(Pipeline_tbl[[#This Row],[Rep_ID]],Dim_Reps!A:A,Dim_Reps!D:D)</f>
        <v>Inside Sales</v>
      </c>
      <c r="R569" t="str">
        <f>_xlfn.XLOOKUP(Pipeline_tbl[[#This Row],[Rep_ID]],Dim_Reps!A:A,Dim_Reps!E:E)</f>
        <v>NAMER</v>
      </c>
      <c r="S569" t="str">
        <f>_xlfn.XLOOKUP(Pipeline_tbl[[#This Row],[Created_Date]],Dim_Date!A:A,Dim_Date!H:H)</f>
        <v>Sep 2024</v>
      </c>
      <c r="T569" t="str">
        <f>IF(Pipeline_tbl[[#This Row],[Closed_Date]]=0,"",(_xlfn.XLOOKUP(Pipeline_tbl[[#This Row],[Closed_Date]],Dim_Date!A:A,Dim_Date!H:H)))</f>
        <v>Sep 2024</v>
      </c>
      <c r="U569">
        <f>IF(Pipeline_tbl[[#This Row],[Closed_Date]]=0,"",Pipeline_tbl[[#This Row],[Closed_Date]]-Pipeline_tbl[[#This Row],[Created_Date]])</f>
        <v>9</v>
      </c>
    </row>
    <row r="570" spans="1:21" ht="15" customHeight="1" x14ac:dyDescent="0.2">
      <c r="A570" t="s">
        <v>876</v>
      </c>
      <c r="B570" t="s">
        <v>225</v>
      </c>
      <c r="C570" t="s">
        <v>53</v>
      </c>
      <c r="D570" s="49">
        <v>45541</v>
      </c>
      <c r="E570" s="49">
        <v>45543</v>
      </c>
      <c r="F570" s="49">
        <v>45548</v>
      </c>
      <c r="G570" s="49">
        <v>45555</v>
      </c>
      <c r="H570" s="49">
        <v>45561</v>
      </c>
      <c r="I570" s="49">
        <v>45564</v>
      </c>
      <c r="J570" t="s">
        <v>47</v>
      </c>
      <c r="K570" s="33">
        <v>2400</v>
      </c>
      <c r="M570" t="str">
        <f>_xlfn.XLOOKUP(Pipeline_tbl[[#This Row],[Rep_ID]],Dim_Reps!A:A,Dim_Reps!K:K)</f>
        <v>USD</v>
      </c>
      <c r="N570" s="33">
        <f>(_xlfn.XLOOKUP(Pipeline_tbl[[#This Row],[Rate_Code_Generalized]],Lookups!A:A,Lookups!B:B))*Pipeline_tbl[[#This Row],[Pipeline_Amount_USD]]</f>
        <v>2794.3199999999997</v>
      </c>
      <c r="O570" t="str">
        <f>_xlfn.XLOOKUP(Pipeline_tbl[[#This Row],[Rep_ID]],Dim_Reps!A:A,Dim_Reps!B:B)</f>
        <v>Alex Muller</v>
      </c>
      <c r="P570" t="str">
        <f>_xlfn.XLOOKUP(Pipeline_tbl[[#This Row],[Rep_ID]],Dim_Reps!A:A,Dim_Reps!C:C)</f>
        <v>SDR / Inside Sales Rep</v>
      </c>
      <c r="Q570" t="str">
        <f>_xlfn.XLOOKUP(Pipeline_tbl[[#This Row],[Rep_ID]],Dim_Reps!A:A,Dim_Reps!D:D)</f>
        <v>Inside Sales</v>
      </c>
      <c r="R570" t="str">
        <f>_xlfn.XLOOKUP(Pipeline_tbl[[#This Row],[Rep_ID]],Dim_Reps!A:A,Dim_Reps!E:E)</f>
        <v>NAMER</v>
      </c>
      <c r="S570" t="str">
        <f>_xlfn.XLOOKUP(Pipeline_tbl[[#This Row],[Created_Date]],Dim_Date!A:A,Dim_Date!H:H)</f>
        <v>Sep 2024</v>
      </c>
      <c r="T570" t="str">
        <f>IF(Pipeline_tbl[[#This Row],[Closed_Date]]=0,"",(_xlfn.XLOOKUP(Pipeline_tbl[[#This Row],[Closed_Date]],Dim_Date!A:A,Dim_Date!H:H)))</f>
        <v>Sep 2024</v>
      </c>
      <c r="U570">
        <f>IF(Pipeline_tbl[[#This Row],[Closed_Date]]=0,"",Pipeline_tbl[[#This Row],[Closed_Date]]-Pipeline_tbl[[#This Row],[Created_Date]])</f>
        <v>23</v>
      </c>
    </row>
    <row r="571" spans="1:21" ht="15" customHeight="1" x14ac:dyDescent="0.2">
      <c r="A571" t="s">
        <v>877</v>
      </c>
      <c r="B571" t="s">
        <v>225</v>
      </c>
      <c r="C571" t="s">
        <v>52</v>
      </c>
      <c r="D571" s="49">
        <v>45549</v>
      </c>
      <c r="E571" s="49">
        <v>45550</v>
      </c>
      <c r="F571" s="49">
        <v>45552</v>
      </c>
      <c r="I571" s="49">
        <v>45558</v>
      </c>
      <c r="J571" t="s">
        <v>49</v>
      </c>
      <c r="K571" s="33">
        <v>5100</v>
      </c>
      <c r="L571" t="s">
        <v>61</v>
      </c>
      <c r="M571" t="str">
        <f>_xlfn.XLOOKUP(Pipeline_tbl[[#This Row],[Rep_ID]],Dim_Reps!A:A,Dim_Reps!K:K)</f>
        <v>USD</v>
      </c>
      <c r="N571" s="33">
        <f>(_xlfn.XLOOKUP(Pipeline_tbl[[#This Row],[Rate_Code_Generalized]],Lookups!A:A,Lookups!B:B))*Pipeline_tbl[[#This Row],[Pipeline_Amount_USD]]</f>
        <v>5937.9299999999994</v>
      </c>
      <c r="O571" t="str">
        <f>_xlfn.XLOOKUP(Pipeline_tbl[[#This Row],[Rep_ID]],Dim_Reps!A:A,Dim_Reps!B:B)</f>
        <v>Alex Muller</v>
      </c>
      <c r="P571" t="str">
        <f>_xlfn.XLOOKUP(Pipeline_tbl[[#This Row],[Rep_ID]],Dim_Reps!A:A,Dim_Reps!C:C)</f>
        <v>SDR / Inside Sales Rep</v>
      </c>
      <c r="Q571" t="str">
        <f>_xlfn.XLOOKUP(Pipeline_tbl[[#This Row],[Rep_ID]],Dim_Reps!A:A,Dim_Reps!D:D)</f>
        <v>Inside Sales</v>
      </c>
      <c r="R571" t="str">
        <f>_xlfn.XLOOKUP(Pipeline_tbl[[#This Row],[Rep_ID]],Dim_Reps!A:A,Dim_Reps!E:E)</f>
        <v>NAMER</v>
      </c>
      <c r="S571" t="str">
        <f>_xlfn.XLOOKUP(Pipeline_tbl[[#This Row],[Created_Date]],Dim_Date!A:A,Dim_Date!H:H)</f>
        <v>Sep 2024</v>
      </c>
      <c r="T571" t="str">
        <f>IF(Pipeline_tbl[[#This Row],[Closed_Date]]=0,"",(_xlfn.XLOOKUP(Pipeline_tbl[[#This Row],[Closed_Date]],Dim_Date!A:A,Dim_Date!H:H)))</f>
        <v>Sep 2024</v>
      </c>
      <c r="U571">
        <f>IF(Pipeline_tbl[[#This Row],[Closed_Date]]=0,"",Pipeline_tbl[[#This Row],[Closed_Date]]-Pipeline_tbl[[#This Row],[Created_Date]])</f>
        <v>9</v>
      </c>
    </row>
    <row r="572" spans="1:21" ht="15" customHeight="1" x14ac:dyDescent="0.2">
      <c r="A572" t="s">
        <v>878</v>
      </c>
      <c r="B572" t="s">
        <v>227</v>
      </c>
      <c r="C572" t="s">
        <v>55</v>
      </c>
      <c r="D572" s="49">
        <v>45538</v>
      </c>
      <c r="E572" s="49">
        <v>45540</v>
      </c>
      <c r="F572" s="49">
        <v>45543</v>
      </c>
      <c r="G572" s="49">
        <v>45548</v>
      </c>
      <c r="H572" s="49">
        <v>45552</v>
      </c>
      <c r="I572" s="49">
        <v>45554</v>
      </c>
      <c r="J572" t="s">
        <v>49</v>
      </c>
      <c r="K572" s="33">
        <v>2900</v>
      </c>
      <c r="L572" t="s">
        <v>60</v>
      </c>
      <c r="M572" t="str">
        <f>_xlfn.XLOOKUP(Pipeline_tbl[[#This Row],[Rep_ID]],Dim_Reps!A:A,Dim_Reps!K:K)</f>
        <v>EUR</v>
      </c>
      <c r="N572" s="33">
        <f>(_xlfn.XLOOKUP(Pipeline_tbl[[#This Row],[Rate_Code_Generalized]],Lookups!A:A,Lookups!B:B))*Pipeline_tbl[[#This Row],[Pipeline_Amount_USD]]</f>
        <v>2900</v>
      </c>
      <c r="O572" t="str">
        <f>_xlfn.XLOOKUP(Pipeline_tbl[[#This Row],[Rep_ID]],Dim_Reps!A:A,Dim_Reps!B:B)</f>
        <v>Liam Muller</v>
      </c>
      <c r="P572" t="str">
        <f>_xlfn.XLOOKUP(Pipeline_tbl[[#This Row],[Rep_ID]],Dim_Reps!A:A,Dim_Reps!C:C)</f>
        <v>SDR / Inside Sales Rep</v>
      </c>
      <c r="Q572" t="str">
        <f>_xlfn.XLOOKUP(Pipeline_tbl[[#This Row],[Rep_ID]],Dim_Reps!A:A,Dim_Reps!D:D)</f>
        <v>Inside Sales</v>
      </c>
      <c r="R572" t="str">
        <f>_xlfn.XLOOKUP(Pipeline_tbl[[#This Row],[Rep_ID]],Dim_Reps!A:A,Dim_Reps!E:E)</f>
        <v>EMEA</v>
      </c>
      <c r="S572" t="str">
        <f>_xlfn.XLOOKUP(Pipeline_tbl[[#This Row],[Created_Date]],Dim_Date!A:A,Dim_Date!H:H)</f>
        <v>Sep 2024</v>
      </c>
      <c r="T572" t="str">
        <f>IF(Pipeline_tbl[[#This Row],[Closed_Date]]=0,"",(_xlfn.XLOOKUP(Pipeline_tbl[[#This Row],[Closed_Date]],Dim_Date!A:A,Dim_Date!H:H)))</f>
        <v>Sep 2024</v>
      </c>
      <c r="U572">
        <f>IF(Pipeline_tbl[[#This Row],[Closed_Date]]=0,"",Pipeline_tbl[[#This Row],[Closed_Date]]-Pipeline_tbl[[#This Row],[Created_Date]])</f>
        <v>16</v>
      </c>
    </row>
    <row r="573" spans="1:21" ht="15" customHeight="1" x14ac:dyDescent="0.2">
      <c r="A573" t="s">
        <v>879</v>
      </c>
      <c r="B573" t="s">
        <v>227</v>
      </c>
      <c r="C573" t="s">
        <v>52</v>
      </c>
      <c r="D573" s="49">
        <v>45545</v>
      </c>
      <c r="E573" s="49">
        <v>45547</v>
      </c>
      <c r="F573" s="49">
        <v>45550</v>
      </c>
      <c r="G573" s="49">
        <v>45556</v>
      </c>
      <c r="H573" s="49">
        <v>45560</v>
      </c>
      <c r="I573" s="49">
        <v>45563</v>
      </c>
      <c r="J573" t="s">
        <v>49</v>
      </c>
      <c r="K573" s="33">
        <v>2100</v>
      </c>
      <c r="L573" t="s">
        <v>62</v>
      </c>
      <c r="M573" t="str">
        <f>_xlfn.XLOOKUP(Pipeline_tbl[[#This Row],[Rep_ID]],Dim_Reps!A:A,Dim_Reps!K:K)</f>
        <v>EUR</v>
      </c>
      <c r="N573" s="33">
        <f>(_xlfn.XLOOKUP(Pipeline_tbl[[#This Row],[Rate_Code_Generalized]],Lookups!A:A,Lookups!B:B))*Pipeline_tbl[[#This Row],[Pipeline_Amount_USD]]</f>
        <v>2100</v>
      </c>
      <c r="O573" t="str">
        <f>_xlfn.XLOOKUP(Pipeline_tbl[[#This Row],[Rep_ID]],Dim_Reps!A:A,Dim_Reps!B:B)</f>
        <v>Liam Muller</v>
      </c>
      <c r="P573" t="str">
        <f>_xlfn.XLOOKUP(Pipeline_tbl[[#This Row],[Rep_ID]],Dim_Reps!A:A,Dim_Reps!C:C)</f>
        <v>SDR / Inside Sales Rep</v>
      </c>
      <c r="Q573" t="str">
        <f>_xlfn.XLOOKUP(Pipeline_tbl[[#This Row],[Rep_ID]],Dim_Reps!A:A,Dim_Reps!D:D)</f>
        <v>Inside Sales</v>
      </c>
      <c r="R573" t="str">
        <f>_xlfn.XLOOKUP(Pipeline_tbl[[#This Row],[Rep_ID]],Dim_Reps!A:A,Dim_Reps!E:E)</f>
        <v>EMEA</v>
      </c>
      <c r="S573" t="str">
        <f>_xlfn.XLOOKUP(Pipeline_tbl[[#This Row],[Created_Date]],Dim_Date!A:A,Dim_Date!H:H)</f>
        <v>Sep 2024</v>
      </c>
      <c r="T573" t="str">
        <f>IF(Pipeline_tbl[[#This Row],[Closed_Date]]=0,"",(_xlfn.XLOOKUP(Pipeline_tbl[[#This Row],[Closed_Date]],Dim_Date!A:A,Dim_Date!H:H)))</f>
        <v>Sep 2024</v>
      </c>
      <c r="U573">
        <f>IF(Pipeline_tbl[[#This Row],[Closed_Date]]=0,"",Pipeline_tbl[[#This Row],[Closed_Date]]-Pipeline_tbl[[#This Row],[Created_Date]])</f>
        <v>18</v>
      </c>
    </row>
    <row r="574" spans="1:21" ht="15" customHeight="1" x14ac:dyDescent="0.2">
      <c r="A574" t="s">
        <v>880</v>
      </c>
      <c r="B574" t="s">
        <v>227</v>
      </c>
      <c r="C574" t="s">
        <v>54</v>
      </c>
      <c r="D574" s="49">
        <v>45537</v>
      </c>
      <c r="E574" s="49">
        <v>45538</v>
      </c>
      <c r="F574" s="49">
        <v>45541</v>
      </c>
      <c r="G574" s="49">
        <v>45544</v>
      </c>
      <c r="H574" s="49">
        <v>45547</v>
      </c>
      <c r="I574" s="49">
        <v>45549</v>
      </c>
      <c r="J574" t="s">
        <v>49</v>
      </c>
      <c r="K574" s="33">
        <v>2700</v>
      </c>
      <c r="L574" t="s">
        <v>62</v>
      </c>
      <c r="M574" t="str">
        <f>_xlfn.XLOOKUP(Pipeline_tbl[[#This Row],[Rep_ID]],Dim_Reps!A:A,Dim_Reps!K:K)</f>
        <v>EUR</v>
      </c>
      <c r="N574" s="33">
        <f>(_xlfn.XLOOKUP(Pipeline_tbl[[#This Row],[Rate_Code_Generalized]],Lookups!A:A,Lookups!B:B))*Pipeline_tbl[[#This Row],[Pipeline_Amount_USD]]</f>
        <v>2700</v>
      </c>
      <c r="O574" t="str">
        <f>_xlfn.XLOOKUP(Pipeline_tbl[[#This Row],[Rep_ID]],Dim_Reps!A:A,Dim_Reps!B:B)</f>
        <v>Liam Muller</v>
      </c>
      <c r="P574" t="str">
        <f>_xlfn.XLOOKUP(Pipeline_tbl[[#This Row],[Rep_ID]],Dim_Reps!A:A,Dim_Reps!C:C)</f>
        <v>SDR / Inside Sales Rep</v>
      </c>
      <c r="Q574" t="str">
        <f>_xlfn.XLOOKUP(Pipeline_tbl[[#This Row],[Rep_ID]],Dim_Reps!A:A,Dim_Reps!D:D)</f>
        <v>Inside Sales</v>
      </c>
      <c r="R574" t="str">
        <f>_xlfn.XLOOKUP(Pipeline_tbl[[#This Row],[Rep_ID]],Dim_Reps!A:A,Dim_Reps!E:E)</f>
        <v>EMEA</v>
      </c>
      <c r="S574" t="str">
        <f>_xlfn.XLOOKUP(Pipeline_tbl[[#This Row],[Created_Date]],Dim_Date!A:A,Dim_Date!H:H)</f>
        <v>Sep 2024</v>
      </c>
      <c r="T574" t="str">
        <f>IF(Pipeline_tbl[[#This Row],[Closed_Date]]=0,"",(_xlfn.XLOOKUP(Pipeline_tbl[[#This Row],[Closed_Date]],Dim_Date!A:A,Dim_Date!H:H)))</f>
        <v>Sep 2024</v>
      </c>
      <c r="U574">
        <f>IF(Pipeline_tbl[[#This Row],[Closed_Date]]=0,"",Pipeline_tbl[[#This Row],[Closed_Date]]-Pipeline_tbl[[#This Row],[Created_Date]])</f>
        <v>12</v>
      </c>
    </row>
    <row r="575" spans="1:21" ht="15" customHeight="1" x14ac:dyDescent="0.2">
      <c r="A575" t="s">
        <v>881</v>
      </c>
      <c r="B575" t="s">
        <v>227</v>
      </c>
      <c r="C575" t="s">
        <v>53</v>
      </c>
      <c r="D575" s="49">
        <v>45539</v>
      </c>
      <c r="E575" s="49">
        <v>45541</v>
      </c>
      <c r="F575" s="49">
        <v>45544</v>
      </c>
      <c r="G575" s="49">
        <v>45549</v>
      </c>
      <c r="H575" s="49">
        <v>45553</v>
      </c>
      <c r="I575" s="49">
        <v>45555</v>
      </c>
      <c r="J575" t="s">
        <v>47</v>
      </c>
      <c r="K575" s="33">
        <v>1800</v>
      </c>
      <c r="M575" t="str">
        <f>_xlfn.XLOOKUP(Pipeline_tbl[[#This Row],[Rep_ID]],Dim_Reps!A:A,Dim_Reps!K:K)</f>
        <v>EUR</v>
      </c>
      <c r="N575" s="33">
        <f>(_xlfn.XLOOKUP(Pipeline_tbl[[#This Row],[Rate_Code_Generalized]],Lookups!A:A,Lookups!B:B))*Pipeline_tbl[[#This Row],[Pipeline_Amount_USD]]</f>
        <v>1800</v>
      </c>
      <c r="O575" t="str">
        <f>_xlfn.XLOOKUP(Pipeline_tbl[[#This Row],[Rep_ID]],Dim_Reps!A:A,Dim_Reps!B:B)</f>
        <v>Liam Muller</v>
      </c>
      <c r="P575" t="str">
        <f>_xlfn.XLOOKUP(Pipeline_tbl[[#This Row],[Rep_ID]],Dim_Reps!A:A,Dim_Reps!C:C)</f>
        <v>SDR / Inside Sales Rep</v>
      </c>
      <c r="Q575" t="str">
        <f>_xlfn.XLOOKUP(Pipeline_tbl[[#This Row],[Rep_ID]],Dim_Reps!A:A,Dim_Reps!D:D)</f>
        <v>Inside Sales</v>
      </c>
      <c r="R575" t="str">
        <f>_xlfn.XLOOKUP(Pipeline_tbl[[#This Row],[Rep_ID]],Dim_Reps!A:A,Dim_Reps!E:E)</f>
        <v>EMEA</v>
      </c>
      <c r="S575" t="str">
        <f>_xlfn.XLOOKUP(Pipeline_tbl[[#This Row],[Created_Date]],Dim_Date!A:A,Dim_Date!H:H)</f>
        <v>Sep 2024</v>
      </c>
      <c r="T575" t="str">
        <f>IF(Pipeline_tbl[[#This Row],[Closed_Date]]=0,"",(_xlfn.XLOOKUP(Pipeline_tbl[[#This Row],[Closed_Date]],Dim_Date!A:A,Dim_Date!H:H)))</f>
        <v>Sep 2024</v>
      </c>
      <c r="U575">
        <f>IF(Pipeline_tbl[[#This Row],[Closed_Date]]=0,"",Pipeline_tbl[[#This Row],[Closed_Date]]-Pipeline_tbl[[#This Row],[Created_Date]])</f>
        <v>16</v>
      </c>
    </row>
    <row r="576" spans="1:21" ht="15" customHeight="1" x14ac:dyDescent="0.2">
      <c r="A576" t="s">
        <v>882</v>
      </c>
      <c r="B576" t="s">
        <v>227</v>
      </c>
      <c r="C576" t="s">
        <v>56</v>
      </c>
      <c r="D576" s="49">
        <v>45536</v>
      </c>
      <c r="E576" s="49">
        <v>45537</v>
      </c>
      <c r="F576" s="49">
        <v>45540</v>
      </c>
      <c r="G576" s="49">
        <v>45544</v>
      </c>
      <c r="H576" s="49">
        <v>45548</v>
      </c>
      <c r="I576" s="49">
        <v>45550</v>
      </c>
      <c r="J576" t="s">
        <v>49</v>
      </c>
      <c r="K576" s="33">
        <v>2300</v>
      </c>
      <c r="L576" t="s">
        <v>62</v>
      </c>
      <c r="M576" t="str">
        <f>_xlfn.XLOOKUP(Pipeline_tbl[[#This Row],[Rep_ID]],Dim_Reps!A:A,Dim_Reps!K:K)</f>
        <v>EUR</v>
      </c>
      <c r="N576" s="33">
        <f>(_xlfn.XLOOKUP(Pipeline_tbl[[#This Row],[Rate_Code_Generalized]],Lookups!A:A,Lookups!B:B))*Pipeline_tbl[[#This Row],[Pipeline_Amount_USD]]</f>
        <v>2300</v>
      </c>
      <c r="O576" t="str">
        <f>_xlfn.XLOOKUP(Pipeline_tbl[[#This Row],[Rep_ID]],Dim_Reps!A:A,Dim_Reps!B:B)</f>
        <v>Liam Muller</v>
      </c>
      <c r="P576" t="str">
        <f>_xlfn.XLOOKUP(Pipeline_tbl[[#This Row],[Rep_ID]],Dim_Reps!A:A,Dim_Reps!C:C)</f>
        <v>SDR / Inside Sales Rep</v>
      </c>
      <c r="Q576" t="str">
        <f>_xlfn.XLOOKUP(Pipeline_tbl[[#This Row],[Rep_ID]],Dim_Reps!A:A,Dim_Reps!D:D)</f>
        <v>Inside Sales</v>
      </c>
      <c r="R576" t="str">
        <f>_xlfn.XLOOKUP(Pipeline_tbl[[#This Row],[Rep_ID]],Dim_Reps!A:A,Dim_Reps!E:E)</f>
        <v>EMEA</v>
      </c>
      <c r="S576" t="str">
        <f>_xlfn.XLOOKUP(Pipeline_tbl[[#This Row],[Created_Date]],Dim_Date!A:A,Dim_Date!H:H)</f>
        <v>Sep 2024</v>
      </c>
      <c r="T576" t="str">
        <f>IF(Pipeline_tbl[[#This Row],[Closed_Date]]=0,"",(_xlfn.XLOOKUP(Pipeline_tbl[[#This Row],[Closed_Date]],Dim_Date!A:A,Dim_Date!H:H)))</f>
        <v>Sep 2024</v>
      </c>
      <c r="U576">
        <f>IF(Pipeline_tbl[[#This Row],[Closed_Date]]=0,"",Pipeline_tbl[[#This Row],[Closed_Date]]-Pipeline_tbl[[#This Row],[Created_Date]])</f>
        <v>14</v>
      </c>
    </row>
    <row r="577" spans="1:21" ht="15" customHeight="1" x14ac:dyDescent="0.2">
      <c r="A577" t="s">
        <v>883</v>
      </c>
      <c r="B577" t="s">
        <v>191</v>
      </c>
      <c r="C577" t="s">
        <v>53</v>
      </c>
      <c r="D577" s="49">
        <v>45542</v>
      </c>
      <c r="E577" s="49">
        <v>45544</v>
      </c>
      <c r="I577" s="49">
        <v>45563</v>
      </c>
      <c r="J577" t="s">
        <v>49</v>
      </c>
      <c r="K577" s="33">
        <v>44600</v>
      </c>
      <c r="L577" t="s">
        <v>61</v>
      </c>
      <c r="M577" t="str">
        <f>_xlfn.XLOOKUP(Pipeline_tbl[[#This Row],[Rep_ID]],Dim_Reps!A:A,Dim_Reps!K:K)</f>
        <v>USD</v>
      </c>
      <c r="N577" s="33">
        <f>(_xlfn.XLOOKUP(Pipeline_tbl[[#This Row],[Rate_Code_Generalized]],Lookups!A:A,Lookups!B:B))*Pipeline_tbl[[#This Row],[Pipeline_Amount_USD]]</f>
        <v>51927.779999999992</v>
      </c>
      <c r="O577" t="str">
        <f>_xlfn.XLOOKUP(Pipeline_tbl[[#This Row],[Rep_ID]],Dim_Reps!A:A,Dim_Reps!B:B)</f>
        <v>Zara Duarte</v>
      </c>
      <c r="P577" t="str">
        <f>_xlfn.XLOOKUP(Pipeline_tbl[[#This Row],[Rep_ID]],Dim_Reps!A:A,Dim_Reps!C:C)</f>
        <v>Enterprise AE</v>
      </c>
      <c r="Q577" t="str">
        <f>_xlfn.XLOOKUP(Pipeline_tbl[[#This Row],[Rep_ID]],Dim_Reps!A:A,Dim_Reps!D:D)</f>
        <v>Enterprise</v>
      </c>
      <c r="R577" t="str">
        <f>_xlfn.XLOOKUP(Pipeline_tbl[[#This Row],[Rep_ID]],Dim_Reps!A:A,Dim_Reps!E:E)</f>
        <v>NAMER</v>
      </c>
      <c r="S577" t="str">
        <f>_xlfn.XLOOKUP(Pipeline_tbl[[#This Row],[Created_Date]],Dim_Date!A:A,Dim_Date!H:H)</f>
        <v>Sep 2024</v>
      </c>
      <c r="T577" t="str">
        <f>IF(Pipeline_tbl[[#This Row],[Closed_Date]]=0,"",(_xlfn.XLOOKUP(Pipeline_tbl[[#This Row],[Closed_Date]],Dim_Date!A:A,Dim_Date!H:H)))</f>
        <v>Sep 2024</v>
      </c>
      <c r="U577">
        <f>IF(Pipeline_tbl[[#This Row],[Closed_Date]]=0,"",Pipeline_tbl[[#This Row],[Closed_Date]]-Pipeline_tbl[[#This Row],[Created_Date]])</f>
        <v>21</v>
      </c>
    </row>
    <row r="578" spans="1:21" ht="15" customHeight="1" x14ac:dyDescent="0.2">
      <c r="A578" t="s">
        <v>884</v>
      </c>
      <c r="B578" t="s">
        <v>229</v>
      </c>
      <c r="C578" t="s">
        <v>53</v>
      </c>
      <c r="D578" s="49">
        <v>45536</v>
      </c>
      <c r="E578" s="49">
        <v>45538</v>
      </c>
      <c r="F578" s="49">
        <v>45541</v>
      </c>
      <c r="G578" s="49">
        <v>45546</v>
      </c>
      <c r="H578" s="49">
        <v>45550</v>
      </c>
      <c r="I578" s="49">
        <v>45553</v>
      </c>
      <c r="J578" t="s">
        <v>47</v>
      </c>
      <c r="K578" s="33">
        <v>2600</v>
      </c>
      <c r="M578" t="str">
        <f>_xlfn.XLOOKUP(Pipeline_tbl[[#This Row],[Rep_ID]],Dim_Reps!A:A,Dim_Reps!K:K)</f>
        <v>USD</v>
      </c>
      <c r="N578" s="33">
        <f>(_xlfn.XLOOKUP(Pipeline_tbl[[#This Row],[Rate_Code_Generalized]],Lookups!A:A,Lookups!B:B))*Pipeline_tbl[[#This Row],[Pipeline_Amount_USD]]</f>
        <v>3027.18</v>
      </c>
      <c r="O578" t="str">
        <f>_xlfn.XLOOKUP(Pipeline_tbl[[#This Row],[Rep_ID]],Dim_Reps!A:A,Dim_Reps!B:B)</f>
        <v>Liam Castro</v>
      </c>
      <c r="P578" t="str">
        <f>_xlfn.XLOOKUP(Pipeline_tbl[[#This Row],[Rep_ID]],Dim_Reps!A:A,Dim_Reps!C:C)</f>
        <v>SDR / Inside Sales Rep</v>
      </c>
      <c r="Q578" t="str">
        <f>_xlfn.XLOOKUP(Pipeline_tbl[[#This Row],[Rep_ID]],Dim_Reps!A:A,Dim_Reps!D:D)</f>
        <v>Inside Sales</v>
      </c>
      <c r="R578" t="str">
        <f>_xlfn.XLOOKUP(Pipeline_tbl[[#This Row],[Rep_ID]],Dim_Reps!A:A,Dim_Reps!E:E)</f>
        <v>NAMER</v>
      </c>
      <c r="S578" t="str">
        <f>_xlfn.XLOOKUP(Pipeline_tbl[[#This Row],[Created_Date]],Dim_Date!A:A,Dim_Date!H:H)</f>
        <v>Sep 2024</v>
      </c>
      <c r="T578" t="str">
        <f>IF(Pipeline_tbl[[#This Row],[Closed_Date]]=0,"",(_xlfn.XLOOKUP(Pipeline_tbl[[#This Row],[Closed_Date]],Dim_Date!A:A,Dim_Date!H:H)))</f>
        <v>Sep 2024</v>
      </c>
      <c r="U578">
        <f>IF(Pipeline_tbl[[#This Row],[Closed_Date]]=0,"",Pipeline_tbl[[#This Row],[Closed_Date]]-Pipeline_tbl[[#This Row],[Created_Date]])</f>
        <v>17</v>
      </c>
    </row>
    <row r="579" spans="1:21" ht="15" customHeight="1" x14ac:dyDescent="0.2">
      <c r="A579" t="s">
        <v>885</v>
      </c>
      <c r="B579" t="s">
        <v>229</v>
      </c>
      <c r="C579" t="s">
        <v>55</v>
      </c>
      <c r="D579" s="49">
        <v>45545</v>
      </c>
      <c r="E579" s="49">
        <v>45546</v>
      </c>
      <c r="I579" s="49">
        <v>45554</v>
      </c>
      <c r="J579" t="s">
        <v>49</v>
      </c>
      <c r="K579" s="33">
        <v>2500</v>
      </c>
      <c r="L579" t="s">
        <v>61</v>
      </c>
      <c r="M579" t="str">
        <f>_xlfn.XLOOKUP(Pipeline_tbl[[#This Row],[Rep_ID]],Dim_Reps!A:A,Dim_Reps!K:K)</f>
        <v>USD</v>
      </c>
      <c r="N579" s="33">
        <f>(_xlfn.XLOOKUP(Pipeline_tbl[[#This Row],[Rate_Code_Generalized]],Lookups!A:A,Lookups!B:B))*Pipeline_tbl[[#This Row],[Pipeline_Amount_USD]]</f>
        <v>2910.7499999999995</v>
      </c>
      <c r="O579" t="str">
        <f>_xlfn.XLOOKUP(Pipeline_tbl[[#This Row],[Rep_ID]],Dim_Reps!A:A,Dim_Reps!B:B)</f>
        <v>Liam Castro</v>
      </c>
      <c r="P579" t="str">
        <f>_xlfn.XLOOKUP(Pipeline_tbl[[#This Row],[Rep_ID]],Dim_Reps!A:A,Dim_Reps!C:C)</f>
        <v>SDR / Inside Sales Rep</v>
      </c>
      <c r="Q579" t="str">
        <f>_xlfn.XLOOKUP(Pipeline_tbl[[#This Row],[Rep_ID]],Dim_Reps!A:A,Dim_Reps!D:D)</f>
        <v>Inside Sales</v>
      </c>
      <c r="R579" t="str">
        <f>_xlfn.XLOOKUP(Pipeline_tbl[[#This Row],[Rep_ID]],Dim_Reps!A:A,Dim_Reps!E:E)</f>
        <v>NAMER</v>
      </c>
      <c r="S579" t="str">
        <f>_xlfn.XLOOKUP(Pipeline_tbl[[#This Row],[Created_Date]],Dim_Date!A:A,Dim_Date!H:H)</f>
        <v>Sep 2024</v>
      </c>
      <c r="T579" t="str">
        <f>IF(Pipeline_tbl[[#This Row],[Closed_Date]]=0,"",(_xlfn.XLOOKUP(Pipeline_tbl[[#This Row],[Closed_Date]],Dim_Date!A:A,Dim_Date!H:H)))</f>
        <v>Sep 2024</v>
      </c>
      <c r="U579">
        <f>IF(Pipeline_tbl[[#This Row],[Closed_Date]]=0,"",Pipeline_tbl[[#This Row],[Closed_Date]]-Pipeline_tbl[[#This Row],[Created_Date]])</f>
        <v>9</v>
      </c>
    </row>
    <row r="580" spans="1:21" ht="15" customHeight="1" x14ac:dyDescent="0.2">
      <c r="A580" t="s">
        <v>886</v>
      </c>
      <c r="B580" t="s">
        <v>229</v>
      </c>
      <c r="C580" t="s">
        <v>52</v>
      </c>
      <c r="D580" s="49">
        <v>45542</v>
      </c>
      <c r="E580" s="49">
        <v>45544</v>
      </c>
      <c r="F580" s="49">
        <v>45547</v>
      </c>
      <c r="G580" s="49">
        <v>45551</v>
      </c>
      <c r="H580" s="49">
        <v>45555</v>
      </c>
      <c r="I580" s="49">
        <v>45557</v>
      </c>
      <c r="J580" t="s">
        <v>47</v>
      </c>
      <c r="K580" s="33">
        <v>3100</v>
      </c>
      <c r="M580" t="str">
        <f>_xlfn.XLOOKUP(Pipeline_tbl[[#This Row],[Rep_ID]],Dim_Reps!A:A,Dim_Reps!K:K)</f>
        <v>USD</v>
      </c>
      <c r="N580" s="33">
        <f>(_xlfn.XLOOKUP(Pipeline_tbl[[#This Row],[Rate_Code_Generalized]],Lookups!A:A,Lookups!B:B))*Pipeline_tbl[[#This Row],[Pipeline_Amount_USD]]</f>
        <v>3609.3299999999995</v>
      </c>
      <c r="O580" t="str">
        <f>_xlfn.XLOOKUP(Pipeline_tbl[[#This Row],[Rep_ID]],Dim_Reps!A:A,Dim_Reps!B:B)</f>
        <v>Liam Castro</v>
      </c>
      <c r="P580" t="str">
        <f>_xlfn.XLOOKUP(Pipeline_tbl[[#This Row],[Rep_ID]],Dim_Reps!A:A,Dim_Reps!C:C)</f>
        <v>SDR / Inside Sales Rep</v>
      </c>
      <c r="Q580" t="str">
        <f>_xlfn.XLOOKUP(Pipeline_tbl[[#This Row],[Rep_ID]],Dim_Reps!A:A,Dim_Reps!D:D)</f>
        <v>Inside Sales</v>
      </c>
      <c r="R580" t="str">
        <f>_xlfn.XLOOKUP(Pipeline_tbl[[#This Row],[Rep_ID]],Dim_Reps!A:A,Dim_Reps!E:E)</f>
        <v>NAMER</v>
      </c>
      <c r="S580" t="str">
        <f>_xlfn.XLOOKUP(Pipeline_tbl[[#This Row],[Created_Date]],Dim_Date!A:A,Dim_Date!H:H)</f>
        <v>Sep 2024</v>
      </c>
      <c r="T580" t="str">
        <f>IF(Pipeline_tbl[[#This Row],[Closed_Date]]=0,"",(_xlfn.XLOOKUP(Pipeline_tbl[[#This Row],[Closed_Date]],Dim_Date!A:A,Dim_Date!H:H)))</f>
        <v>Sep 2024</v>
      </c>
      <c r="U580">
        <f>IF(Pipeline_tbl[[#This Row],[Closed_Date]]=0,"",Pipeline_tbl[[#This Row],[Closed_Date]]-Pipeline_tbl[[#This Row],[Created_Date]])</f>
        <v>15</v>
      </c>
    </row>
    <row r="581" spans="1:21" ht="15" customHeight="1" x14ac:dyDescent="0.2">
      <c r="A581" t="s">
        <v>887</v>
      </c>
      <c r="B581" t="s">
        <v>231</v>
      </c>
      <c r="C581" t="s">
        <v>54</v>
      </c>
      <c r="D581" s="49">
        <v>45545</v>
      </c>
      <c r="E581" s="49">
        <v>45547</v>
      </c>
      <c r="F581" s="49">
        <v>45550</v>
      </c>
      <c r="I581" s="49">
        <v>45560</v>
      </c>
      <c r="J581" t="s">
        <v>49</v>
      </c>
      <c r="K581" s="33">
        <v>2000</v>
      </c>
      <c r="L581" t="s">
        <v>64</v>
      </c>
      <c r="M581" t="str">
        <f>_xlfn.XLOOKUP(Pipeline_tbl[[#This Row],[Rep_ID]],Dim_Reps!A:A,Dim_Reps!K:K)</f>
        <v>MXN</v>
      </c>
      <c r="N581" s="33">
        <f>(_xlfn.XLOOKUP(Pipeline_tbl[[#This Row],[Rate_Code_Generalized]],Lookups!A:A,Lookups!B:B))*Pipeline_tbl[[#This Row],[Pipeline_Amount_USD]]</f>
        <v>39465.4</v>
      </c>
      <c r="O581" t="str">
        <f>_xlfn.XLOOKUP(Pipeline_tbl[[#This Row],[Rep_ID]],Dim_Reps!A:A,Dim_Reps!B:B)</f>
        <v>Ben Silva</v>
      </c>
      <c r="P581" t="str">
        <f>_xlfn.XLOOKUP(Pipeline_tbl[[#This Row],[Rep_ID]],Dim_Reps!A:A,Dim_Reps!C:C)</f>
        <v>SDR / Inside Sales Rep</v>
      </c>
      <c r="Q581" t="str">
        <f>_xlfn.XLOOKUP(Pipeline_tbl[[#This Row],[Rep_ID]],Dim_Reps!A:A,Dim_Reps!D:D)</f>
        <v>Inside Sales</v>
      </c>
      <c r="R581" t="str">
        <f>_xlfn.XLOOKUP(Pipeline_tbl[[#This Row],[Rep_ID]],Dim_Reps!A:A,Dim_Reps!E:E)</f>
        <v>LATAM</v>
      </c>
      <c r="S581" t="str">
        <f>_xlfn.XLOOKUP(Pipeline_tbl[[#This Row],[Created_Date]],Dim_Date!A:A,Dim_Date!H:H)</f>
        <v>Sep 2024</v>
      </c>
      <c r="T581" t="str">
        <f>IF(Pipeline_tbl[[#This Row],[Closed_Date]]=0,"",(_xlfn.XLOOKUP(Pipeline_tbl[[#This Row],[Closed_Date]],Dim_Date!A:A,Dim_Date!H:H)))</f>
        <v>Sep 2024</v>
      </c>
      <c r="U581">
        <f>IF(Pipeline_tbl[[#This Row],[Closed_Date]]=0,"",Pipeline_tbl[[#This Row],[Closed_Date]]-Pipeline_tbl[[#This Row],[Created_Date]])</f>
        <v>15</v>
      </c>
    </row>
    <row r="582" spans="1:21" ht="15" customHeight="1" x14ac:dyDescent="0.2">
      <c r="A582" t="s">
        <v>888</v>
      </c>
      <c r="B582" t="s">
        <v>233</v>
      </c>
      <c r="C582" t="s">
        <v>52</v>
      </c>
      <c r="D582" s="49">
        <v>45541</v>
      </c>
      <c r="E582" s="49">
        <v>45543</v>
      </c>
      <c r="F582" s="49">
        <v>45547</v>
      </c>
      <c r="G582" s="49">
        <v>45554</v>
      </c>
      <c r="I582" s="49">
        <v>45562</v>
      </c>
      <c r="J582" t="s">
        <v>49</v>
      </c>
      <c r="K582" s="33">
        <v>4300</v>
      </c>
      <c r="L582" t="s">
        <v>61</v>
      </c>
      <c r="M582" t="str">
        <f>_xlfn.XLOOKUP(Pipeline_tbl[[#This Row],[Rep_ID]],Dim_Reps!A:A,Dim_Reps!K:K)</f>
        <v>MXN</v>
      </c>
      <c r="N582" s="33">
        <f>(_xlfn.XLOOKUP(Pipeline_tbl[[#This Row],[Rate_Code_Generalized]],Lookups!A:A,Lookups!B:B))*Pipeline_tbl[[#This Row],[Pipeline_Amount_USD]]</f>
        <v>84850.61</v>
      </c>
      <c r="O582" t="str">
        <f>_xlfn.XLOOKUP(Pipeline_tbl[[#This Row],[Rep_ID]],Dim_Reps!A:A,Dim_Reps!B:B)</f>
        <v>Lucas Duarte</v>
      </c>
      <c r="P582" t="str">
        <f>_xlfn.XLOOKUP(Pipeline_tbl[[#This Row],[Rep_ID]],Dim_Reps!A:A,Dim_Reps!C:C)</f>
        <v>SDR / Inside Sales Rep</v>
      </c>
      <c r="Q582" t="str">
        <f>_xlfn.XLOOKUP(Pipeline_tbl[[#This Row],[Rep_ID]],Dim_Reps!A:A,Dim_Reps!D:D)</f>
        <v>Inside Sales</v>
      </c>
      <c r="R582" t="str">
        <f>_xlfn.XLOOKUP(Pipeline_tbl[[#This Row],[Rep_ID]],Dim_Reps!A:A,Dim_Reps!E:E)</f>
        <v>LATAM</v>
      </c>
      <c r="S582" t="str">
        <f>_xlfn.XLOOKUP(Pipeline_tbl[[#This Row],[Created_Date]],Dim_Date!A:A,Dim_Date!H:H)</f>
        <v>Sep 2024</v>
      </c>
      <c r="T582" t="str">
        <f>IF(Pipeline_tbl[[#This Row],[Closed_Date]]=0,"",(_xlfn.XLOOKUP(Pipeline_tbl[[#This Row],[Closed_Date]],Dim_Date!A:A,Dim_Date!H:H)))</f>
        <v>Sep 2024</v>
      </c>
      <c r="U582">
        <f>IF(Pipeline_tbl[[#This Row],[Closed_Date]]=0,"",Pipeline_tbl[[#This Row],[Closed_Date]]-Pipeline_tbl[[#This Row],[Created_Date]])</f>
        <v>21</v>
      </c>
    </row>
    <row r="583" spans="1:21" ht="15" customHeight="1" x14ac:dyDescent="0.2">
      <c r="A583" t="s">
        <v>889</v>
      </c>
      <c r="B583" t="s">
        <v>233</v>
      </c>
      <c r="C583" t="s">
        <v>55</v>
      </c>
      <c r="D583" s="49">
        <v>45537</v>
      </c>
      <c r="E583" s="49">
        <v>45539</v>
      </c>
      <c r="F583" s="49">
        <v>45543</v>
      </c>
      <c r="G583" s="49">
        <v>45549</v>
      </c>
      <c r="H583" s="49">
        <v>45554</v>
      </c>
      <c r="I583" s="49">
        <v>45557</v>
      </c>
      <c r="J583" t="s">
        <v>49</v>
      </c>
      <c r="K583" s="33">
        <v>4700</v>
      </c>
      <c r="L583" t="s">
        <v>62</v>
      </c>
      <c r="M583" t="str">
        <f>_xlfn.XLOOKUP(Pipeline_tbl[[#This Row],[Rep_ID]],Dim_Reps!A:A,Dim_Reps!K:K)</f>
        <v>MXN</v>
      </c>
      <c r="N583" s="33">
        <f>(_xlfn.XLOOKUP(Pipeline_tbl[[#This Row],[Rate_Code_Generalized]],Lookups!A:A,Lookups!B:B))*Pipeline_tbl[[#This Row],[Pipeline_Amount_USD]]</f>
        <v>92743.69</v>
      </c>
      <c r="O583" t="str">
        <f>_xlfn.XLOOKUP(Pipeline_tbl[[#This Row],[Rep_ID]],Dim_Reps!A:A,Dim_Reps!B:B)</f>
        <v>Lucas Duarte</v>
      </c>
      <c r="P583" t="str">
        <f>_xlfn.XLOOKUP(Pipeline_tbl[[#This Row],[Rep_ID]],Dim_Reps!A:A,Dim_Reps!C:C)</f>
        <v>SDR / Inside Sales Rep</v>
      </c>
      <c r="Q583" t="str">
        <f>_xlfn.XLOOKUP(Pipeline_tbl[[#This Row],[Rep_ID]],Dim_Reps!A:A,Dim_Reps!D:D)</f>
        <v>Inside Sales</v>
      </c>
      <c r="R583" t="str">
        <f>_xlfn.XLOOKUP(Pipeline_tbl[[#This Row],[Rep_ID]],Dim_Reps!A:A,Dim_Reps!E:E)</f>
        <v>LATAM</v>
      </c>
      <c r="S583" t="str">
        <f>_xlfn.XLOOKUP(Pipeline_tbl[[#This Row],[Created_Date]],Dim_Date!A:A,Dim_Date!H:H)</f>
        <v>Sep 2024</v>
      </c>
      <c r="T583" t="str">
        <f>IF(Pipeline_tbl[[#This Row],[Closed_Date]]=0,"",(_xlfn.XLOOKUP(Pipeline_tbl[[#This Row],[Closed_Date]],Dim_Date!A:A,Dim_Date!H:H)))</f>
        <v>Sep 2024</v>
      </c>
      <c r="U583">
        <f>IF(Pipeline_tbl[[#This Row],[Closed_Date]]=0,"",Pipeline_tbl[[#This Row],[Closed_Date]]-Pipeline_tbl[[#This Row],[Created_Date]])</f>
        <v>20</v>
      </c>
    </row>
    <row r="584" spans="1:21" ht="15" customHeight="1" x14ac:dyDescent="0.2">
      <c r="A584" t="s">
        <v>890</v>
      </c>
      <c r="B584" t="s">
        <v>233</v>
      </c>
      <c r="C584" t="s">
        <v>52</v>
      </c>
      <c r="D584" s="49">
        <v>45539</v>
      </c>
      <c r="E584" s="49">
        <v>45540</v>
      </c>
      <c r="F584" s="49">
        <v>45543</v>
      </c>
      <c r="I584" s="49">
        <v>45551</v>
      </c>
      <c r="J584" t="s">
        <v>49</v>
      </c>
      <c r="K584" s="33">
        <v>9000</v>
      </c>
      <c r="L584" t="s">
        <v>60</v>
      </c>
      <c r="M584" t="str">
        <f>_xlfn.XLOOKUP(Pipeline_tbl[[#This Row],[Rep_ID]],Dim_Reps!A:A,Dim_Reps!K:K)</f>
        <v>MXN</v>
      </c>
      <c r="N584" s="33">
        <f>(_xlfn.XLOOKUP(Pipeline_tbl[[#This Row],[Rate_Code_Generalized]],Lookups!A:A,Lookups!B:B))*Pipeline_tbl[[#This Row],[Pipeline_Amount_USD]]</f>
        <v>177594.30000000002</v>
      </c>
      <c r="O584" t="str">
        <f>_xlfn.XLOOKUP(Pipeline_tbl[[#This Row],[Rep_ID]],Dim_Reps!A:A,Dim_Reps!B:B)</f>
        <v>Lucas Duarte</v>
      </c>
      <c r="P584" t="str">
        <f>_xlfn.XLOOKUP(Pipeline_tbl[[#This Row],[Rep_ID]],Dim_Reps!A:A,Dim_Reps!C:C)</f>
        <v>SDR / Inside Sales Rep</v>
      </c>
      <c r="Q584" t="str">
        <f>_xlfn.XLOOKUP(Pipeline_tbl[[#This Row],[Rep_ID]],Dim_Reps!A:A,Dim_Reps!D:D)</f>
        <v>Inside Sales</v>
      </c>
      <c r="R584" t="str">
        <f>_xlfn.XLOOKUP(Pipeline_tbl[[#This Row],[Rep_ID]],Dim_Reps!A:A,Dim_Reps!E:E)</f>
        <v>LATAM</v>
      </c>
      <c r="S584" t="str">
        <f>_xlfn.XLOOKUP(Pipeline_tbl[[#This Row],[Created_Date]],Dim_Date!A:A,Dim_Date!H:H)</f>
        <v>Sep 2024</v>
      </c>
      <c r="T584" t="str">
        <f>IF(Pipeline_tbl[[#This Row],[Closed_Date]]=0,"",(_xlfn.XLOOKUP(Pipeline_tbl[[#This Row],[Closed_Date]],Dim_Date!A:A,Dim_Date!H:H)))</f>
        <v>Sep 2024</v>
      </c>
      <c r="U584">
        <f>IF(Pipeline_tbl[[#This Row],[Closed_Date]]=0,"",Pipeline_tbl[[#This Row],[Closed_Date]]-Pipeline_tbl[[#This Row],[Created_Date]])</f>
        <v>12</v>
      </c>
    </row>
    <row r="585" spans="1:21" ht="15" customHeight="1" x14ac:dyDescent="0.2">
      <c r="A585" t="s">
        <v>891</v>
      </c>
      <c r="B585" t="s">
        <v>233</v>
      </c>
      <c r="C585" t="s">
        <v>52</v>
      </c>
      <c r="D585" s="49">
        <v>45546</v>
      </c>
      <c r="E585" s="49">
        <v>45547</v>
      </c>
      <c r="F585" s="49">
        <v>45550</v>
      </c>
      <c r="G585" s="49">
        <v>45553</v>
      </c>
      <c r="I585" s="49">
        <v>45558</v>
      </c>
      <c r="J585" t="s">
        <v>49</v>
      </c>
      <c r="K585" s="33">
        <v>2000</v>
      </c>
      <c r="L585" t="s">
        <v>63</v>
      </c>
      <c r="M585" t="str">
        <f>_xlfn.XLOOKUP(Pipeline_tbl[[#This Row],[Rep_ID]],Dim_Reps!A:A,Dim_Reps!K:K)</f>
        <v>MXN</v>
      </c>
      <c r="N585" s="33">
        <f>(_xlfn.XLOOKUP(Pipeline_tbl[[#This Row],[Rate_Code_Generalized]],Lookups!A:A,Lookups!B:B))*Pipeline_tbl[[#This Row],[Pipeline_Amount_USD]]</f>
        <v>39465.4</v>
      </c>
      <c r="O585" t="str">
        <f>_xlfn.XLOOKUP(Pipeline_tbl[[#This Row],[Rep_ID]],Dim_Reps!A:A,Dim_Reps!B:B)</f>
        <v>Lucas Duarte</v>
      </c>
      <c r="P585" t="str">
        <f>_xlfn.XLOOKUP(Pipeline_tbl[[#This Row],[Rep_ID]],Dim_Reps!A:A,Dim_Reps!C:C)</f>
        <v>SDR / Inside Sales Rep</v>
      </c>
      <c r="Q585" t="str">
        <f>_xlfn.XLOOKUP(Pipeline_tbl[[#This Row],[Rep_ID]],Dim_Reps!A:A,Dim_Reps!D:D)</f>
        <v>Inside Sales</v>
      </c>
      <c r="R585" t="str">
        <f>_xlfn.XLOOKUP(Pipeline_tbl[[#This Row],[Rep_ID]],Dim_Reps!A:A,Dim_Reps!E:E)</f>
        <v>LATAM</v>
      </c>
      <c r="S585" t="str">
        <f>_xlfn.XLOOKUP(Pipeline_tbl[[#This Row],[Created_Date]],Dim_Date!A:A,Dim_Date!H:H)</f>
        <v>Sep 2024</v>
      </c>
      <c r="T585" t="str">
        <f>IF(Pipeline_tbl[[#This Row],[Closed_Date]]=0,"",(_xlfn.XLOOKUP(Pipeline_tbl[[#This Row],[Closed_Date]],Dim_Date!A:A,Dim_Date!H:H)))</f>
        <v>Sep 2024</v>
      </c>
      <c r="U585">
        <f>IF(Pipeline_tbl[[#This Row],[Closed_Date]]=0,"",Pipeline_tbl[[#This Row],[Closed_Date]]-Pipeline_tbl[[#This Row],[Created_Date]])</f>
        <v>12</v>
      </c>
    </row>
    <row r="586" spans="1:21" ht="15" customHeight="1" x14ac:dyDescent="0.2">
      <c r="A586" t="s">
        <v>892</v>
      </c>
      <c r="B586" t="s">
        <v>233</v>
      </c>
      <c r="C586" t="s">
        <v>52</v>
      </c>
      <c r="D586" s="49">
        <v>45542</v>
      </c>
      <c r="E586" s="49">
        <v>45544</v>
      </c>
      <c r="F586" s="49">
        <v>45549</v>
      </c>
      <c r="G586" s="49">
        <v>45556</v>
      </c>
      <c r="H586" s="49">
        <v>45562</v>
      </c>
      <c r="I586" s="49">
        <v>45565</v>
      </c>
      <c r="J586" t="s">
        <v>47</v>
      </c>
      <c r="K586" s="33">
        <v>4100</v>
      </c>
      <c r="M586" t="str">
        <f>_xlfn.XLOOKUP(Pipeline_tbl[[#This Row],[Rep_ID]],Dim_Reps!A:A,Dim_Reps!K:K)</f>
        <v>MXN</v>
      </c>
      <c r="N586" s="33">
        <f>(_xlfn.XLOOKUP(Pipeline_tbl[[#This Row],[Rate_Code_Generalized]],Lookups!A:A,Lookups!B:B))*Pipeline_tbl[[#This Row],[Pipeline_Amount_USD]]</f>
        <v>80904.070000000007</v>
      </c>
      <c r="O586" t="str">
        <f>_xlfn.XLOOKUP(Pipeline_tbl[[#This Row],[Rep_ID]],Dim_Reps!A:A,Dim_Reps!B:B)</f>
        <v>Lucas Duarte</v>
      </c>
      <c r="P586" t="str">
        <f>_xlfn.XLOOKUP(Pipeline_tbl[[#This Row],[Rep_ID]],Dim_Reps!A:A,Dim_Reps!C:C)</f>
        <v>SDR / Inside Sales Rep</v>
      </c>
      <c r="Q586" t="str">
        <f>_xlfn.XLOOKUP(Pipeline_tbl[[#This Row],[Rep_ID]],Dim_Reps!A:A,Dim_Reps!D:D)</f>
        <v>Inside Sales</v>
      </c>
      <c r="R586" t="str">
        <f>_xlfn.XLOOKUP(Pipeline_tbl[[#This Row],[Rep_ID]],Dim_Reps!A:A,Dim_Reps!E:E)</f>
        <v>LATAM</v>
      </c>
      <c r="S586" t="str">
        <f>_xlfn.XLOOKUP(Pipeline_tbl[[#This Row],[Created_Date]],Dim_Date!A:A,Dim_Date!H:H)</f>
        <v>Sep 2024</v>
      </c>
      <c r="T586" t="str">
        <f>IF(Pipeline_tbl[[#This Row],[Closed_Date]]=0,"",(_xlfn.XLOOKUP(Pipeline_tbl[[#This Row],[Closed_Date]],Dim_Date!A:A,Dim_Date!H:H)))</f>
        <v>Sep 2024</v>
      </c>
      <c r="U586">
        <f>IF(Pipeline_tbl[[#This Row],[Closed_Date]]=0,"",Pipeline_tbl[[#This Row],[Closed_Date]]-Pipeline_tbl[[#This Row],[Created_Date]])</f>
        <v>23</v>
      </c>
    </row>
    <row r="587" spans="1:21" ht="15" customHeight="1" x14ac:dyDescent="0.2">
      <c r="A587" t="s">
        <v>893</v>
      </c>
      <c r="B587" t="s">
        <v>233</v>
      </c>
      <c r="C587" t="s">
        <v>52</v>
      </c>
      <c r="D587" s="49">
        <v>45542</v>
      </c>
      <c r="E587" s="49">
        <v>45544</v>
      </c>
      <c r="F587" s="49">
        <v>45549</v>
      </c>
      <c r="G587" s="49">
        <v>45555</v>
      </c>
      <c r="H587" s="49">
        <v>45561</v>
      </c>
      <c r="I587" s="49">
        <v>45564</v>
      </c>
      <c r="J587" t="s">
        <v>49</v>
      </c>
      <c r="K587" s="33">
        <v>4800</v>
      </c>
      <c r="L587" t="s">
        <v>60</v>
      </c>
      <c r="M587" t="str">
        <f>_xlfn.XLOOKUP(Pipeline_tbl[[#This Row],[Rep_ID]],Dim_Reps!A:A,Dim_Reps!K:K)</f>
        <v>MXN</v>
      </c>
      <c r="N587" s="33">
        <f>(_xlfn.XLOOKUP(Pipeline_tbl[[#This Row],[Rate_Code_Generalized]],Lookups!A:A,Lookups!B:B))*Pipeline_tbl[[#This Row],[Pipeline_Amount_USD]]</f>
        <v>94716.96</v>
      </c>
      <c r="O587" t="str">
        <f>_xlfn.XLOOKUP(Pipeline_tbl[[#This Row],[Rep_ID]],Dim_Reps!A:A,Dim_Reps!B:B)</f>
        <v>Lucas Duarte</v>
      </c>
      <c r="P587" t="str">
        <f>_xlfn.XLOOKUP(Pipeline_tbl[[#This Row],[Rep_ID]],Dim_Reps!A:A,Dim_Reps!C:C)</f>
        <v>SDR / Inside Sales Rep</v>
      </c>
      <c r="Q587" t="str">
        <f>_xlfn.XLOOKUP(Pipeline_tbl[[#This Row],[Rep_ID]],Dim_Reps!A:A,Dim_Reps!D:D)</f>
        <v>Inside Sales</v>
      </c>
      <c r="R587" t="str">
        <f>_xlfn.XLOOKUP(Pipeline_tbl[[#This Row],[Rep_ID]],Dim_Reps!A:A,Dim_Reps!E:E)</f>
        <v>LATAM</v>
      </c>
      <c r="S587" t="str">
        <f>_xlfn.XLOOKUP(Pipeline_tbl[[#This Row],[Created_Date]],Dim_Date!A:A,Dim_Date!H:H)</f>
        <v>Sep 2024</v>
      </c>
      <c r="T587" t="str">
        <f>IF(Pipeline_tbl[[#This Row],[Closed_Date]]=0,"",(_xlfn.XLOOKUP(Pipeline_tbl[[#This Row],[Closed_Date]],Dim_Date!A:A,Dim_Date!H:H)))</f>
        <v>Sep 2024</v>
      </c>
      <c r="U587">
        <f>IF(Pipeline_tbl[[#This Row],[Closed_Date]]=0,"",Pipeline_tbl[[#This Row],[Closed_Date]]-Pipeline_tbl[[#This Row],[Created_Date]])</f>
        <v>22</v>
      </c>
    </row>
    <row r="588" spans="1:21" ht="15" customHeight="1" x14ac:dyDescent="0.2">
      <c r="A588" t="s">
        <v>894</v>
      </c>
      <c r="B588" t="s">
        <v>235</v>
      </c>
      <c r="C588" t="s">
        <v>53</v>
      </c>
      <c r="D588" s="49">
        <v>45542</v>
      </c>
      <c r="E588" s="49">
        <v>45544</v>
      </c>
      <c r="F588" s="49">
        <v>45548</v>
      </c>
      <c r="G588" s="49">
        <v>45555</v>
      </c>
      <c r="H588" s="49">
        <v>45560</v>
      </c>
      <c r="I588" s="49">
        <v>45563</v>
      </c>
      <c r="J588" t="s">
        <v>47</v>
      </c>
      <c r="K588" s="33">
        <v>4900</v>
      </c>
      <c r="M588" t="str">
        <f>_xlfn.XLOOKUP(Pipeline_tbl[[#This Row],[Rep_ID]],Dim_Reps!A:A,Dim_Reps!K:K)</f>
        <v>MXN</v>
      </c>
      <c r="N588" s="33">
        <f>(_xlfn.XLOOKUP(Pipeline_tbl[[#This Row],[Rate_Code_Generalized]],Lookups!A:A,Lookups!B:B))*Pipeline_tbl[[#This Row],[Pipeline_Amount_USD]]</f>
        <v>96690.23000000001</v>
      </c>
      <c r="O588" t="str">
        <f>_xlfn.XLOOKUP(Pipeline_tbl[[#This Row],[Rep_ID]],Dim_Reps!A:A,Dim_Reps!B:B)</f>
        <v>Milo Castro</v>
      </c>
      <c r="P588" t="str">
        <f>_xlfn.XLOOKUP(Pipeline_tbl[[#This Row],[Rep_ID]],Dim_Reps!A:A,Dim_Reps!C:C)</f>
        <v>SDR / Inside Sales Rep</v>
      </c>
      <c r="Q588" t="str">
        <f>_xlfn.XLOOKUP(Pipeline_tbl[[#This Row],[Rep_ID]],Dim_Reps!A:A,Dim_Reps!D:D)</f>
        <v>Inside Sales</v>
      </c>
      <c r="R588" t="str">
        <f>_xlfn.XLOOKUP(Pipeline_tbl[[#This Row],[Rep_ID]],Dim_Reps!A:A,Dim_Reps!E:E)</f>
        <v>LATAM</v>
      </c>
      <c r="S588" t="str">
        <f>_xlfn.XLOOKUP(Pipeline_tbl[[#This Row],[Created_Date]],Dim_Date!A:A,Dim_Date!H:H)</f>
        <v>Sep 2024</v>
      </c>
      <c r="T588" t="str">
        <f>IF(Pipeline_tbl[[#This Row],[Closed_Date]]=0,"",(_xlfn.XLOOKUP(Pipeline_tbl[[#This Row],[Closed_Date]],Dim_Date!A:A,Dim_Date!H:H)))</f>
        <v>Sep 2024</v>
      </c>
      <c r="U588">
        <f>IF(Pipeline_tbl[[#This Row],[Closed_Date]]=0,"",Pipeline_tbl[[#This Row],[Closed_Date]]-Pipeline_tbl[[#This Row],[Created_Date]])</f>
        <v>21</v>
      </c>
    </row>
    <row r="589" spans="1:21" ht="15" customHeight="1" x14ac:dyDescent="0.2">
      <c r="A589" t="s">
        <v>895</v>
      </c>
      <c r="B589" t="s">
        <v>235</v>
      </c>
      <c r="C589" t="s">
        <v>54</v>
      </c>
      <c r="D589" s="49">
        <v>45540</v>
      </c>
      <c r="E589" s="49">
        <v>45542</v>
      </c>
      <c r="F589" s="49">
        <v>45545</v>
      </c>
      <c r="G589" s="49">
        <v>45550</v>
      </c>
      <c r="H589" s="49">
        <v>45554</v>
      </c>
      <c r="I589" s="49">
        <v>45557</v>
      </c>
      <c r="J589" t="s">
        <v>47</v>
      </c>
      <c r="K589" s="33">
        <v>2100</v>
      </c>
      <c r="M589" t="str">
        <f>_xlfn.XLOOKUP(Pipeline_tbl[[#This Row],[Rep_ID]],Dim_Reps!A:A,Dim_Reps!K:K)</f>
        <v>MXN</v>
      </c>
      <c r="N589" s="33">
        <f>(_xlfn.XLOOKUP(Pipeline_tbl[[#This Row],[Rate_Code_Generalized]],Lookups!A:A,Lookups!B:B))*Pipeline_tbl[[#This Row],[Pipeline_Amount_USD]]</f>
        <v>41438.670000000006</v>
      </c>
      <c r="O589" t="str">
        <f>_xlfn.XLOOKUP(Pipeline_tbl[[#This Row],[Rep_ID]],Dim_Reps!A:A,Dim_Reps!B:B)</f>
        <v>Milo Castro</v>
      </c>
      <c r="P589" t="str">
        <f>_xlfn.XLOOKUP(Pipeline_tbl[[#This Row],[Rep_ID]],Dim_Reps!A:A,Dim_Reps!C:C)</f>
        <v>SDR / Inside Sales Rep</v>
      </c>
      <c r="Q589" t="str">
        <f>_xlfn.XLOOKUP(Pipeline_tbl[[#This Row],[Rep_ID]],Dim_Reps!A:A,Dim_Reps!D:D)</f>
        <v>Inside Sales</v>
      </c>
      <c r="R589" t="str">
        <f>_xlfn.XLOOKUP(Pipeline_tbl[[#This Row],[Rep_ID]],Dim_Reps!A:A,Dim_Reps!E:E)</f>
        <v>LATAM</v>
      </c>
      <c r="S589" t="str">
        <f>_xlfn.XLOOKUP(Pipeline_tbl[[#This Row],[Created_Date]],Dim_Date!A:A,Dim_Date!H:H)</f>
        <v>Sep 2024</v>
      </c>
      <c r="T589" t="str">
        <f>IF(Pipeline_tbl[[#This Row],[Closed_Date]]=0,"",(_xlfn.XLOOKUP(Pipeline_tbl[[#This Row],[Closed_Date]],Dim_Date!A:A,Dim_Date!H:H)))</f>
        <v>Sep 2024</v>
      </c>
      <c r="U589">
        <f>IF(Pipeline_tbl[[#This Row],[Closed_Date]]=0,"",Pipeline_tbl[[#This Row],[Closed_Date]]-Pipeline_tbl[[#This Row],[Created_Date]])</f>
        <v>17</v>
      </c>
    </row>
    <row r="590" spans="1:21" ht="15" customHeight="1" x14ac:dyDescent="0.2">
      <c r="A590" t="s">
        <v>896</v>
      </c>
      <c r="B590" t="s">
        <v>235</v>
      </c>
      <c r="C590" t="s">
        <v>52</v>
      </c>
      <c r="D590" s="49">
        <v>45552</v>
      </c>
      <c r="E590" s="49">
        <v>45553</v>
      </c>
      <c r="F590" s="49">
        <v>45556</v>
      </c>
      <c r="G590" s="49">
        <v>45560</v>
      </c>
      <c r="H590" s="49">
        <v>45563</v>
      </c>
      <c r="I590" s="49">
        <v>45565</v>
      </c>
      <c r="J590" t="s">
        <v>47</v>
      </c>
      <c r="K590" s="33">
        <v>1900</v>
      </c>
      <c r="M590" t="str">
        <f>_xlfn.XLOOKUP(Pipeline_tbl[[#This Row],[Rep_ID]],Dim_Reps!A:A,Dim_Reps!K:K)</f>
        <v>MXN</v>
      </c>
      <c r="N590" s="33">
        <f>(_xlfn.XLOOKUP(Pipeline_tbl[[#This Row],[Rate_Code_Generalized]],Lookups!A:A,Lookups!B:B))*Pipeline_tbl[[#This Row],[Pipeline_Amount_USD]]</f>
        <v>37492.130000000005</v>
      </c>
      <c r="O590" t="str">
        <f>_xlfn.XLOOKUP(Pipeline_tbl[[#This Row],[Rep_ID]],Dim_Reps!A:A,Dim_Reps!B:B)</f>
        <v>Milo Castro</v>
      </c>
      <c r="P590" t="str">
        <f>_xlfn.XLOOKUP(Pipeline_tbl[[#This Row],[Rep_ID]],Dim_Reps!A:A,Dim_Reps!C:C)</f>
        <v>SDR / Inside Sales Rep</v>
      </c>
      <c r="Q590" t="str">
        <f>_xlfn.XLOOKUP(Pipeline_tbl[[#This Row],[Rep_ID]],Dim_Reps!A:A,Dim_Reps!D:D)</f>
        <v>Inside Sales</v>
      </c>
      <c r="R590" t="str">
        <f>_xlfn.XLOOKUP(Pipeline_tbl[[#This Row],[Rep_ID]],Dim_Reps!A:A,Dim_Reps!E:E)</f>
        <v>LATAM</v>
      </c>
      <c r="S590" t="str">
        <f>_xlfn.XLOOKUP(Pipeline_tbl[[#This Row],[Created_Date]],Dim_Date!A:A,Dim_Date!H:H)</f>
        <v>Sep 2024</v>
      </c>
      <c r="T590" t="str">
        <f>IF(Pipeline_tbl[[#This Row],[Closed_Date]]=0,"",(_xlfn.XLOOKUP(Pipeline_tbl[[#This Row],[Closed_Date]],Dim_Date!A:A,Dim_Date!H:H)))</f>
        <v>Sep 2024</v>
      </c>
      <c r="U590">
        <f>IF(Pipeline_tbl[[#This Row],[Closed_Date]]=0,"",Pipeline_tbl[[#This Row],[Closed_Date]]-Pipeline_tbl[[#This Row],[Created_Date]])</f>
        <v>13</v>
      </c>
    </row>
    <row r="591" spans="1:21" ht="15" customHeight="1" x14ac:dyDescent="0.2">
      <c r="A591" t="s">
        <v>897</v>
      </c>
      <c r="B591" t="s">
        <v>235</v>
      </c>
      <c r="C591" t="s">
        <v>55</v>
      </c>
      <c r="D591" s="49">
        <v>45543</v>
      </c>
      <c r="E591" s="49">
        <v>45544</v>
      </c>
      <c r="I591" s="49">
        <v>45557</v>
      </c>
      <c r="J591" t="s">
        <v>49</v>
      </c>
      <c r="K591" s="33">
        <v>2800</v>
      </c>
      <c r="L591" t="s">
        <v>61</v>
      </c>
      <c r="M591" t="str">
        <f>_xlfn.XLOOKUP(Pipeline_tbl[[#This Row],[Rep_ID]],Dim_Reps!A:A,Dim_Reps!K:K)</f>
        <v>MXN</v>
      </c>
      <c r="N591" s="33">
        <f>(_xlfn.XLOOKUP(Pipeline_tbl[[#This Row],[Rate_Code_Generalized]],Lookups!A:A,Lookups!B:B))*Pipeline_tbl[[#This Row],[Pipeline_Amount_USD]]</f>
        <v>55251.560000000005</v>
      </c>
      <c r="O591" t="str">
        <f>_xlfn.XLOOKUP(Pipeline_tbl[[#This Row],[Rep_ID]],Dim_Reps!A:A,Dim_Reps!B:B)</f>
        <v>Milo Castro</v>
      </c>
      <c r="P591" t="str">
        <f>_xlfn.XLOOKUP(Pipeline_tbl[[#This Row],[Rep_ID]],Dim_Reps!A:A,Dim_Reps!C:C)</f>
        <v>SDR / Inside Sales Rep</v>
      </c>
      <c r="Q591" t="str">
        <f>_xlfn.XLOOKUP(Pipeline_tbl[[#This Row],[Rep_ID]],Dim_Reps!A:A,Dim_Reps!D:D)</f>
        <v>Inside Sales</v>
      </c>
      <c r="R591" t="str">
        <f>_xlfn.XLOOKUP(Pipeline_tbl[[#This Row],[Rep_ID]],Dim_Reps!A:A,Dim_Reps!E:E)</f>
        <v>LATAM</v>
      </c>
      <c r="S591" t="str">
        <f>_xlfn.XLOOKUP(Pipeline_tbl[[#This Row],[Created_Date]],Dim_Date!A:A,Dim_Date!H:H)</f>
        <v>Sep 2024</v>
      </c>
      <c r="T591" t="str">
        <f>IF(Pipeline_tbl[[#This Row],[Closed_Date]]=0,"",(_xlfn.XLOOKUP(Pipeline_tbl[[#This Row],[Closed_Date]],Dim_Date!A:A,Dim_Date!H:H)))</f>
        <v>Sep 2024</v>
      </c>
      <c r="U591">
        <f>IF(Pipeline_tbl[[#This Row],[Closed_Date]]=0,"",Pipeline_tbl[[#This Row],[Closed_Date]]-Pipeline_tbl[[#This Row],[Created_Date]])</f>
        <v>14</v>
      </c>
    </row>
    <row r="592" spans="1:21" ht="15" customHeight="1" x14ac:dyDescent="0.2">
      <c r="A592" t="s">
        <v>898</v>
      </c>
      <c r="B592" t="s">
        <v>235</v>
      </c>
      <c r="C592" t="s">
        <v>53</v>
      </c>
      <c r="D592" s="49">
        <v>45537</v>
      </c>
      <c r="E592" s="49">
        <v>45539</v>
      </c>
      <c r="F592" s="49">
        <v>45544</v>
      </c>
      <c r="G592" s="49">
        <v>45550</v>
      </c>
      <c r="H592" s="49">
        <v>45556</v>
      </c>
      <c r="I592" s="49">
        <v>45559</v>
      </c>
      <c r="J592" t="s">
        <v>49</v>
      </c>
      <c r="K592" s="33">
        <v>4900</v>
      </c>
      <c r="L592" t="s">
        <v>61</v>
      </c>
      <c r="M592" t="str">
        <f>_xlfn.XLOOKUP(Pipeline_tbl[[#This Row],[Rep_ID]],Dim_Reps!A:A,Dim_Reps!K:K)</f>
        <v>MXN</v>
      </c>
      <c r="N592" s="33">
        <f>(_xlfn.XLOOKUP(Pipeline_tbl[[#This Row],[Rate_Code_Generalized]],Lookups!A:A,Lookups!B:B))*Pipeline_tbl[[#This Row],[Pipeline_Amount_USD]]</f>
        <v>96690.23000000001</v>
      </c>
      <c r="O592" t="str">
        <f>_xlfn.XLOOKUP(Pipeline_tbl[[#This Row],[Rep_ID]],Dim_Reps!A:A,Dim_Reps!B:B)</f>
        <v>Milo Castro</v>
      </c>
      <c r="P592" t="str">
        <f>_xlfn.XLOOKUP(Pipeline_tbl[[#This Row],[Rep_ID]],Dim_Reps!A:A,Dim_Reps!C:C)</f>
        <v>SDR / Inside Sales Rep</v>
      </c>
      <c r="Q592" t="str">
        <f>_xlfn.XLOOKUP(Pipeline_tbl[[#This Row],[Rep_ID]],Dim_Reps!A:A,Dim_Reps!D:D)</f>
        <v>Inside Sales</v>
      </c>
      <c r="R592" t="str">
        <f>_xlfn.XLOOKUP(Pipeline_tbl[[#This Row],[Rep_ID]],Dim_Reps!A:A,Dim_Reps!E:E)</f>
        <v>LATAM</v>
      </c>
      <c r="S592" t="str">
        <f>_xlfn.XLOOKUP(Pipeline_tbl[[#This Row],[Created_Date]],Dim_Date!A:A,Dim_Date!H:H)</f>
        <v>Sep 2024</v>
      </c>
      <c r="T592" t="str">
        <f>IF(Pipeline_tbl[[#This Row],[Closed_Date]]=0,"",(_xlfn.XLOOKUP(Pipeline_tbl[[#This Row],[Closed_Date]],Dim_Date!A:A,Dim_Date!H:H)))</f>
        <v>Sep 2024</v>
      </c>
      <c r="U592">
        <f>IF(Pipeline_tbl[[#This Row],[Closed_Date]]=0,"",Pipeline_tbl[[#This Row],[Closed_Date]]-Pipeline_tbl[[#This Row],[Created_Date]])</f>
        <v>22</v>
      </c>
    </row>
    <row r="593" spans="1:21" ht="15" customHeight="1" x14ac:dyDescent="0.2">
      <c r="A593" t="s">
        <v>899</v>
      </c>
      <c r="B593" t="s">
        <v>235</v>
      </c>
      <c r="C593" t="s">
        <v>55</v>
      </c>
      <c r="D593" s="49">
        <v>45555</v>
      </c>
      <c r="E593" s="49">
        <v>45556</v>
      </c>
      <c r="F593" s="49">
        <v>45557</v>
      </c>
      <c r="G593" s="49">
        <v>45559</v>
      </c>
      <c r="H593" s="49">
        <v>45561</v>
      </c>
      <c r="I593" s="49">
        <v>45562</v>
      </c>
      <c r="J593" t="s">
        <v>47</v>
      </c>
      <c r="K593" s="33">
        <v>4100</v>
      </c>
      <c r="M593" t="str">
        <f>_xlfn.XLOOKUP(Pipeline_tbl[[#This Row],[Rep_ID]],Dim_Reps!A:A,Dim_Reps!K:K)</f>
        <v>MXN</v>
      </c>
      <c r="N593" s="33">
        <f>(_xlfn.XLOOKUP(Pipeline_tbl[[#This Row],[Rate_Code_Generalized]],Lookups!A:A,Lookups!B:B))*Pipeline_tbl[[#This Row],[Pipeline_Amount_USD]]</f>
        <v>80904.070000000007</v>
      </c>
      <c r="O593" t="str">
        <f>_xlfn.XLOOKUP(Pipeline_tbl[[#This Row],[Rep_ID]],Dim_Reps!A:A,Dim_Reps!B:B)</f>
        <v>Milo Castro</v>
      </c>
      <c r="P593" t="str">
        <f>_xlfn.XLOOKUP(Pipeline_tbl[[#This Row],[Rep_ID]],Dim_Reps!A:A,Dim_Reps!C:C)</f>
        <v>SDR / Inside Sales Rep</v>
      </c>
      <c r="Q593" t="str">
        <f>_xlfn.XLOOKUP(Pipeline_tbl[[#This Row],[Rep_ID]],Dim_Reps!A:A,Dim_Reps!D:D)</f>
        <v>Inside Sales</v>
      </c>
      <c r="R593" t="str">
        <f>_xlfn.XLOOKUP(Pipeline_tbl[[#This Row],[Rep_ID]],Dim_Reps!A:A,Dim_Reps!E:E)</f>
        <v>LATAM</v>
      </c>
      <c r="S593" t="str">
        <f>_xlfn.XLOOKUP(Pipeline_tbl[[#This Row],[Created_Date]],Dim_Date!A:A,Dim_Date!H:H)</f>
        <v>Sep 2024</v>
      </c>
      <c r="T593" t="str">
        <f>IF(Pipeline_tbl[[#This Row],[Closed_Date]]=0,"",(_xlfn.XLOOKUP(Pipeline_tbl[[#This Row],[Closed_Date]],Dim_Date!A:A,Dim_Date!H:H)))</f>
        <v>Sep 2024</v>
      </c>
      <c r="U593">
        <f>IF(Pipeline_tbl[[#This Row],[Closed_Date]]=0,"",Pipeline_tbl[[#This Row],[Closed_Date]]-Pipeline_tbl[[#This Row],[Created_Date]])</f>
        <v>7</v>
      </c>
    </row>
    <row r="594" spans="1:21" ht="15" customHeight="1" x14ac:dyDescent="0.2">
      <c r="A594" t="s">
        <v>900</v>
      </c>
      <c r="B594" t="s">
        <v>237</v>
      </c>
      <c r="C594" t="s">
        <v>54</v>
      </c>
      <c r="D594" s="49">
        <v>45542</v>
      </c>
      <c r="E594" s="49">
        <v>45544</v>
      </c>
      <c r="F594" s="49">
        <v>45547</v>
      </c>
      <c r="G594" s="49">
        <v>45551</v>
      </c>
      <c r="H594" s="49">
        <v>45555</v>
      </c>
      <c r="I594" s="49">
        <v>45557</v>
      </c>
      <c r="J594" t="s">
        <v>47</v>
      </c>
      <c r="K594" s="33">
        <v>2500</v>
      </c>
      <c r="M594" t="str">
        <f>_xlfn.XLOOKUP(Pipeline_tbl[[#This Row],[Rep_ID]],Dim_Reps!A:A,Dim_Reps!K:K)</f>
        <v>EUR</v>
      </c>
      <c r="N594" s="33">
        <f>(_xlfn.XLOOKUP(Pipeline_tbl[[#This Row],[Rate_Code_Generalized]],Lookups!A:A,Lookups!B:B))*Pipeline_tbl[[#This Row],[Pipeline_Amount_USD]]</f>
        <v>2500</v>
      </c>
      <c r="O594" t="str">
        <f>_xlfn.XLOOKUP(Pipeline_tbl[[#This Row],[Rep_ID]],Dim_Reps!A:A,Dim_Reps!B:B)</f>
        <v>Hugo Santos</v>
      </c>
      <c r="P594" t="str">
        <f>_xlfn.XLOOKUP(Pipeline_tbl[[#This Row],[Rep_ID]],Dim_Reps!A:A,Dim_Reps!C:C)</f>
        <v>SDR / Inside Sales Rep</v>
      </c>
      <c r="Q594" t="str">
        <f>_xlfn.XLOOKUP(Pipeline_tbl[[#This Row],[Rep_ID]],Dim_Reps!A:A,Dim_Reps!D:D)</f>
        <v>Inside Sales</v>
      </c>
      <c r="R594" t="str">
        <f>_xlfn.XLOOKUP(Pipeline_tbl[[#This Row],[Rep_ID]],Dim_Reps!A:A,Dim_Reps!E:E)</f>
        <v>EMEA</v>
      </c>
      <c r="S594" t="str">
        <f>_xlfn.XLOOKUP(Pipeline_tbl[[#This Row],[Created_Date]],Dim_Date!A:A,Dim_Date!H:H)</f>
        <v>Sep 2024</v>
      </c>
      <c r="T594" t="str">
        <f>IF(Pipeline_tbl[[#This Row],[Closed_Date]]=0,"",(_xlfn.XLOOKUP(Pipeline_tbl[[#This Row],[Closed_Date]],Dim_Date!A:A,Dim_Date!H:H)))</f>
        <v>Sep 2024</v>
      </c>
      <c r="U594">
        <f>IF(Pipeline_tbl[[#This Row],[Closed_Date]]=0,"",Pipeline_tbl[[#This Row],[Closed_Date]]-Pipeline_tbl[[#This Row],[Created_Date]])</f>
        <v>15</v>
      </c>
    </row>
    <row r="595" spans="1:21" ht="15" customHeight="1" x14ac:dyDescent="0.2">
      <c r="A595" t="s">
        <v>901</v>
      </c>
      <c r="B595" t="s">
        <v>237</v>
      </c>
      <c r="C595" t="s">
        <v>52</v>
      </c>
      <c r="D595" s="49">
        <v>45551</v>
      </c>
      <c r="E595" s="49">
        <v>45552</v>
      </c>
      <c r="F595" s="49">
        <v>45555</v>
      </c>
      <c r="I595" s="49">
        <v>45565</v>
      </c>
      <c r="J595" t="s">
        <v>49</v>
      </c>
      <c r="K595" s="33">
        <v>3800</v>
      </c>
      <c r="L595" t="s">
        <v>63</v>
      </c>
      <c r="M595" t="str">
        <f>_xlfn.XLOOKUP(Pipeline_tbl[[#This Row],[Rep_ID]],Dim_Reps!A:A,Dim_Reps!K:K)</f>
        <v>EUR</v>
      </c>
      <c r="N595" s="33">
        <f>(_xlfn.XLOOKUP(Pipeline_tbl[[#This Row],[Rate_Code_Generalized]],Lookups!A:A,Lookups!B:B))*Pipeline_tbl[[#This Row],[Pipeline_Amount_USD]]</f>
        <v>3800</v>
      </c>
      <c r="O595" t="str">
        <f>_xlfn.XLOOKUP(Pipeline_tbl[[#This Row],[Rep_ID]],Dim_Reps!A:A,Dim_Reps!B:B)</f>
        <v>Hugo Santos</v>
      </c>
      <c r="P595" t="str">
        <f>_xlfn.XLOOKUP(Pipeline_tbl[[#This Row],[Rep_ID]],Dim_Reps!A:A,Dim_Reps!C:C)</f>
        <v>SDR / Inside Sales Rep</v>
      </c>
      <c r="Q595" t="str">
        <f>_xlfn.XLOOKUP(Pipeline_tbl[[#This Row],[Rep_ID]],Dim_Reps!A:A,Dim_Reps!D:D)</f>
        <v>Inside Sales</v>
      </c>
      <c r="R595" t="str">
        <f>_xlfn.XLOOKUP(Pipeline_tbl[[#This Row],[Rep_ID]],Dim_Reps!A:A,Dim_Reps!E:E)</f>
        <v>EMEA</v>
      </c>
      <c r="S595" t="str">
        <f>_xlfn.XLOOKUP(Pipeline_tbl[[#This Row],[Created_Date]],Dim_Date!A:A,Dim_Date!H:H)</f>
        <v>Sep 2024</v>
      </c>
      <c r="T595" t="str">
        <f>IF(Pipeline_tbl[[#This Row],[Closed_Date]]=0,"",(_xlfn.XLOOKUP(Pipeline_tbl[[#This Row],[Closed_Date]],Dim_Date!A:A,Dim_Date!H:H)))</f>
        <v>Sep 2024</v>
      </c>
      <c r="U595">
        <f>IF(Pipeline_tbl[[#This Row],[Closed_Date]]=0,"",Pipeline_tbl[[#This Row],[Closed_Date]]-Pipeline_tbl[[#This Row],[Created_Date]])</f>
        <v>14</v>
      </c>
    </row>
    <row r="596" spans="1:21" ht="15" customHeight="1" x14ac:dyDescent="0.2">
      <c r="A596" t="s">
        <v>902</v>
      </c>
      <c r="B596" t="s">
        <v>237</v>
      </c>
      <c r="C596" t="s">
        <v>52</v>
      </c>
      <c r="D596" s="49">
        <v>45546</v>
      </c>
      <c r="E596" s="49">
        <v>45548</v>
      </c>
      <c r="F596" s="49">
        <v>45551</v>
      </c>
      <c r="G596" s="49">
        <v>45556</v>
      </c>
      <c r="H596" s="49">
        <v>45560</v>
      </c>
      <c r="I596" s="49">
        <v>45563</v>
      </c>
      <c r="J596" t="s">
        <v>49</v>
      </c>
      <c r="K596" s="33">
        <v>4300</v>
      </c>
      <c r="L596" t="s">
        <v>60</v>
      </c>
      <c r="M596" t="str">
        <f>_xlfn.XLOOKUP(Pipeline_tbl[[#This Row],[Rep_ID]],Dim_Reps!A:A,Dim_Reps!K:K)</f>
        <v>EUR</v>
      </c>
      <c r="N596" s="33">
        <f>(_xlfn.XLOOKUP(Pipeline_tbl[[#This Row],[Rate_Code_Generalized]],Lookups!A:A,Lookups!B:B))*Pipeline_tbl[[#This Row],[Pipeline_Amount_USD]]</f>
        <v>4300</v>
      </c>
      <c r="O596" t="str">
        <f>_xlfn.XLOOKUP(Pipeline_tbl[[#This Row],[Rep_ID]],Dim_Reps!A:A,Dim_Reps!B:B)</f>
        <v>Hugo Santos</v>
      </c>
      <c r="P596" t="str">
        <f>_xlfn.XLOOKUP(Pipeline_tbl[[#This Row],[Rep_ID]],Dim_Reps!A:A,Dim_Reps!C:C)</f>
        <v>SDR / Inside Sales Rep</v>
      </c>
      <c r="Q596" t="str">
        <f>_xlfn.XLOOKUP(Pipeline_tbl[[#This Row],[Rep_ID]],Dim_Reps!A:A,Dim_Reps!D:D)</f>
        <v>Inside Sales</v>
      </c>
      <c r="R596" t="str">
        <f>_xlfn.XLOOKUP(Pipeline_tbl[[#This Row],[Rep_ID]],Dim_Reps!A:A,Dim_Reps!E:E)</f>
        <v>EMEA</v>
      </c>
      <c r="S596" t="str">
        <f>_xlfn.XLOOKUP(Pipeline_tbl[[#This Row],[Created_Date]],Dim_Date!A:A,Dim_Date!H:H)</f>
        <v>Sep 2024</v>
      </c>
      <c r="T596" t="str">
        <f>IF(Pipeline_tbl[[#This Row],[Closed_Date]]=0,"",(_xlfn.XLOOKUP(Pipeline_tbl[[#This Row],[Closed_Date]],Dim_Date!A:A,Dim_Date!H:H)))</f>
        <v>Sep 2024</v>
      </c>
      <c r="U596">
        <f>IF(Pipeline_tbl[[#This Row],[Closed_Date]]=0,"",Pipeline_tbl[[#This Row],[Closed_Date]]-Pipeline_tbl[[#This Row],[Created_Date]])</f>
        <v>17</v>
      </c>
    </row>
    <row r="597" spans="1:21" ht="15" customHeight="1" x14ac:dyDescent="0.2">
      <c r="A597" t="s">
        <v>903</v>
      </c>
      <c r="B597" t="s">
        <v>237</v>
      </c>
      <c r="C597" t="s">
        <v>53</v>
      </c>
      <c r="D597" s="49">
        <v>45543</v>
      </c>
      <c r="E597" s="49">
        <v>45544</v>
      </c>
      <c r="F597" s="49">
        <v>45546</v>
      </c>
      <c r="G597" s="49">
        <v>45550</v>
      </c>
      <c r="I597" s="49">
        <v>45554</v>
      </c>
      <c r="J597" t="s">
        <v>49</v>
      </c>
      <c r="K597" s="33">
        <v>1800</v>
      </c>
      <c r="L597" t="s">
        <v>61</v>
      </c>
      <c r="M597" t="str">
        <f>_xlfn.XLOOKUP(Pipeline_tbl[[#This Row],[Rep_ID]],Dim_Reps!A:A,Dim_Reps!K:K)</f>
        <v>EUR</v>
      </c>
      <c r="N597" s="33">
        <f>(_xlfn.XLOOKUP(Pipeline_tbl[[#This Row],[Rate_Code_Generalized]],Lookups!A:A,Lookups!B:B))*Pipeline_tbl[[#This Row],[Pipeline_Amount_USD]]</f>
        <v>1800</v>
      </c>
      <c r="O597" t="str">
        <f>_xlfn.XLOOKUP(Pipeline_tbl[[#This Row],[Rep_ID]],Dim_Reps!A:A,Dim_Reps!B:B)</f>
        <v>Hugo Santos</v>
      </c>
      <c r="P597" t="str">
        <f>_xlfn.XLOOKUP(Pipeline_tbl[[#This Row],[Rep_ID]],Dim_Reps!A:A,Dim_Reps!C:C)</f>
        <v>SDR / Inside Sales Rep</v>
      </c>
      <c r="Q597" t="str">
        <f>_xlfn.XLOOKUP(Pipeline_tbl[[#This Row],[Rep_ID]],Dim_Reps!A:A,Dim_Reps!D:D)</f>
        <v>Inside Sales</v>
      </c>
      <c r="R597" t="str">
        <f>_xlfn.XLOOKUP(Pipeline_tbl[[#This Row],[Rep_ID]],Dim_Reps!A:A,Dim_Reps!E:E)</f>
        <v>EMEA</v>
      </c>
      <c r="S597" t="str">
        <f>_xlfn.XLOOKUP(Pipeline_tbl[[#This Row],[Created_Date]],Dim_Date!A:A,Dim_Date!H:H)</f>
        <v>Sep 2024</v>
      </c>
      <c r="T597" t="str">
        <f>IF(Pipeline_tbl[[#This Row],[Closed_Date]]=0,"",(_xlfn.XLOOKUP(Pipeline_tbl[[#This Row],[Closed_Date]],Dim_Date!A:A,Dim_Date!H:H)))</f>
        <v>Sep 2024</v>
      </c>
      <c r="U597">
        <f>IF(Pipeline_tbl[[#This Row],[Closed_Date]]=0,"",Pipeline_tbl[[#This Row],[Closed_Date]]-Pipeline_tbl[[#This Row],[Created_Date]])</f>
        <v>11</v>
      </c>
    </row>
    <row r="598" spans="1:21" ht="15" customHeight="1" x14ac:dyDescent="0.2">
      <c r="A598" t="s">
        <v>904</v>
      </c>
      <c r="B598" t="s">
        <v>237</v>
      </c>
      <c r="C598" t="s">
        <v>53</v>
      </c>
      <c r="D598" s="49">
        <v>45536</v>
      </c>
      <c r="E598" s="49">
        <v>45537</v>
      </c>
      <c r="F598" s="49">
        <v>45540</v>
      </c>
      <c r="G598" s="49">
        <v>45544</v>
      </c>
      <c r="I598" s="49">
        <v>45550</v>
      </c>
      <c r="J598" t="s">
        <v>49</v>
      </c>
      <c r="K598" s="33">
        <v>2900</v>
      </c>
      <c r="L598" t="s">
        <v>62</v>
      </c>
      <c r="M598" t="str">
        <f>_xlfn.XLOOKUP(Pipeline_tbl[[#This Row],[Rep_ID]],Dim_Reps!A:A,Dim_Reps!K:K)</f>
        <v>EUR</v>
      </c>
      <c r="N598" s="33">
        <f>(_xlfn.XLOOKUP(Pipeline_tbl[[#This Row],[Rate_Code_Generalized]],Lookups!A:A,Lookups!B:B))*Pipeline_tbl[[#This Row],[Pipeline_Amount_USD]]</f>
        <v>2900</v>
      </c>
      <c r="O598" t="str">
        <f>_xlfn.XLOOKUP(Pipeline_tbl[[#This Row],[Rep_ID]],Dim_Reps!A:A,Dim_Reps!B:B)</f>
        <v>Hugo Santos</v>
      </c>
      <c r="P598" t="str">
        <f>_xlfn.XLOOKUP(Pipeline_tbl[[#This Row],[Rep_ID]],Dim_Reps!A:A,Dim_Reps!C:C)</f>
        <v>SDR / Inside Sales Rep</v>
      </c>
      <c r="Q598" t="str">
        <f>_xlfn.XLOOKUP(Pipeline_tbl[[#This Row],[Rep_ID]],Dim_Reps!A:A,Dim_Reps!D:D)</f>
        <v>Inside Sales</v>
      </c>
      <c r="R598" t="str">
        <f>_xlfn.XLOOKUP(Pipeline_tbl[[#This Row],[Rep_ID]],Dim_Reps!A:A,Dim_Reps!E:E)</f>
        <v>EMEA</v>
      </c>
      <c r="S598" t="str">
        <f>_xlfn.XLOOKUP(Pipeline_tbl[[#This Row],[Created_Date]],Dim_Date!A:A,Dim_Date!H:H)</f>
        <v>Sep 2024</v>
      </c>
      <c r="T598" t="str">
        <f>IF(Pipeline_tbl[[#This Row],[Closed_Date]]=0,"",(_xlfn.XLOOKUP(Pipeline_tbl[[#This Row],[Closed_Date]],Dim_Date!A:A,Dim_Date!H:H)))</f>
        <v>Sep 2024</v>
      </c>
      <c r="U598">
        <f>IF(Pipeline_tbl[[#This Row],[Closed_Date]]=0,"",Pipeline_tbl[[#This Row],[Closed_Date]]-Pipeline_tbl[[#This Row],[Created_Date]])</f>
        <v>14</v>
      </c>
    </row>
    <row r="599" spans="1:21" ht="15" customHeight="1" x14ac:dyDescent="0.2">
      <c r="A599" t="s">
        <v>905</v>
      </c>
      <c r="B599" t="s">
        <v>237</v>
      </c>
      <c r="C599" t="s">
        <v>52</v>
      </c>
      <c r="D599" s="49">
        <v>45536</v>
      </c>
      <c r="E599" s="49">
        <v>45537</v>
      </c>
      <c r="F599" s="49">
        <v>45540</v>
      </c>
      <c r="G599" s="49">
        <v>45544</v>
      </c>
      <c r="H599" s="49">
        <v>45548</v>
      </c>
      <c r="I599" s="49">
        <v>45550</v>
      </c>
      <c r="J599" t="s">
        <v>49</v>
      </c>
      <c r="K599" s="33">
        <v>3500</v>
      </c>
      <c r="L599" t="s">
        <v>60</v>
      </c>
      <c r="M599" t="str">
        <f>_xlfn.XLOOKUP(Pipeline_tbl[[#This Row],[Rep_ID]],Dim_Reps!A:A,Dim_Reps!K:K)</f>
        <v>EUR</v>
      </c>
      <c r="N599" s="33">
        <f>(_xlfn.XLOOKUP(Pipeline_tbl[[#This Row],[Rate_Code_Generalized]],Lookups!A:A,Lookups!B:B))*Pipeline_tbl[[#This Row],[Pipeline_Amount_USD]]</f>
        <v>3500</v>
      </c>
      <c r="O599" t="str">
        <f>_xlfn.XLOOKUP(Pipeline_tbl[[#This Row],[Rep_ID]],Dim_Reps!A:A,Dim_Reps!B:B)</f>
        <v>Hugo Santos</v>
      </c>
      <c r="P599" t="str">
        <f>_xlfn.XLOOKUP(Pipeline_tbl[[#This Row],[Rep_ID]],Dim_Reps!A:A,Dim_Reps!C:C)</f>
        <v>SDR / Inside Sales Rep</v>
      </c>
      <c r="Q599" t="str">
        <f>_xlfn.XLOOKUP(Pipeline_tbl[[#This Row],[Rep_ID]],Dim_Reps!A:A,Dim_Reps!D:D)</f>
        <v>Inside Sales</v>
      </c>
      <c r="R599" t="str">
        <f>_xlfn.XLOOKUP(Pipeline_tbl[[#This Row],[Rep_ID]],Dim_Reps!A:A,Dim_Reps!E:E)</f>
        <v>EMEA</v>
      </c>
      <c r="S599" t="str">
        <f>_xlfn.XLOOKUP(Pipeline_tbl[[#This Row],[Created_Date]],Dim_Date!A:A,Dim_Date!H:H)</f>
        <v>Sep 2024</v>
      </c>
      <c r="T599" t="str">
        <f>IF(Pipeline_tbl[[#This Row],[Closed_Date]]=0,"",(_xlfn.XLOOKUP(Pipeline_tbl[[#This Row],[Closed_Date]],Dim_Date!A:A,Dim_Date!H:H)))</f>
        <v>Sep 2024</v>
      </c>
      <c r="U599">
        <f>IF(Pipeline_tbl[[#This Row],[Closed_Date]]=0,"",Pipeline_tbl[[#This Row],[Closed_Date]]-Pipeline_tbl[[#This Row],[Created_Date]])</f>
        <v>14</v>
      </c>
    </row>
    <row r="600" spans="1:21" ht="15" customHeight="1" x14ac:dyDescent="0.2">
      <c r="A600" t="s">
        <v>906</v>
      </c>
      <c r="B600" t="s">
        <v>237</v>
      </c>
      <c r="C600" t="s">
        <v>54</v>
      </c>
      <c r="D600" s="49">
        <v>45538</v>
      </c>
      <c r="E600" s="49">
        <v>45539</v>
      </c>
      <c r="F600" s="49">
        <v>45542</v>
      </c>
      <c r="I600" s="49">
        <v>45550</v>
      </c>
      <c r="J600" t="s">
        <v>49</v>
      </c>
      <c r="K600" s="33">
        <v>3000</v>
      </c>
      <c r="L600" t="s">
        <v>60</v>
      </c>
      <c r="M600" t="str">
        <f>_xlfn.XLOOKUP(Pipeline_tbl[[#This Row],[Rep_ID]],Dim_Reps!A:A,Dim_Reps!K:K)</f>
        <v>EUR</v>
      </c>
      <c r="N600" s="33">
        <f>(_xlfn.XLOOKUP(Pipeline_tbl[[#This Row],[Rate_Code_Generalized]],Lookups!A:A,Lookups!B:B))*Pipeline_tbl[[#This Row],[Pipeline_Amount_USD]]</f>
        <v>3000</v>
      </c>
      <c r="O600" t="str">
        <f>_xlfn.XLOOKUP(Pipeline_tbl[[#This Row],[Rep_ID]],Dim_Reps!A:A,Dim_Reps!B:B)</f>
        <v>Hugo Santos</v>
      </c>
      <c r="P600" t="str">
        <f>_xlfn.XLOOKUP(Pipeline_tbl[[#This Row],[Rep_ID]],Dim_Reps!A:A,Dim_Reps!C:C)</f>
        <v>SDR / Inside Sales Rep</v>
      </c>
      <c r="Q600" t="str">
        <f>_xlfn.XLOOKUP(Pipeline_tbl[[#This Row],[Rep_ID]],Dim_Reps!A:A,Dim_Reps!D:D)</f>
        <v>Inside Sales</v>
      </c>
      <c r="R600" t="str">
        <f>_xlfn.XLOOKUP(Pipeline_tbl[[#This Row],[Rep_ID]],Dim_Reps!A:A,Dim_Reps!E:E)</f>
        <v>EMEA</v>
      </c>
      <c r="S600" t="str">
        <f>_xlfn.XLOOKUP(Pipeline_tbl[[#This Row],[Created_Date]],Dim_Date!A:A,Dim_Date!H:H)</f>
        <v>Sep 2024</v>
      </c>
      <c r="T600" t="str">
        <f>IF(Pipeline_tbl[[#This Row],[Closed_Date]]=0,"",(_xlfn.XLOOKUP(Pipeline_tbl[[#This Row],[Closed_Date]],Dim_Date!A:A,Dim_Date!H:H)))</f>
        <v>Sep 2024</v>
      </c>
      <c r="U600">
        <f>IF(Pipeline_tbl[[#This Row],[Closed_Date]]=0,"",Pipeline_tbl[[#This Row],[Closed_Date]]-Pipeline_tbl[[#This Row],[Created_Date]])</f>
        <v>12</v>
      </c>
    </row>
    <row r="601" spans="1:21" ht="15" customHeight="1" x14ac:dyDescent="0.2">
      <c r="A601" t="s">
        <v>907</v>
      </c>
      <c r="B601" t="s">
        <v>237</v>
      </c>
      <c r="C601" t="s">
        <v>52</v>
      </c>
      <c r="D601" s="49">
        <v>45539</v>
      </c>
      <c r="E601" s="49">
        <v>45541</v>
      </c>
      <c r="F601" s="49">
        <v>45544</v>
      </c>
      <c r="G601" s="49">
        <v>45549</v>
      </c>
      <c r="H601" s="49">
        <v>45553</v>
      </c>
      <c r="I601" s="49">
        <v>45555</v>
      </c>
      <c r="J601" t="s">
        <v>49</v>
      </c>
      <c r="K601" s="33">
        <v>1500</v>
      </c>
      <c r="L601" t="s">
        <v>60</v>
      </c>
      <c r="M601" t="str">
        <f>_xlfn.XLOOKUP(Pipeline_tbl[[#This Row],[Rep_ID]],Dim_Reps!A:A,Dim_Reps!K:K)</f>
        <v>EUR</v>
      </c>
      <c r="N601" s="33">
        <f>(_xlfn.XLOOKUP(Pipeline_tbl[[#This Row],[Rate_Code_Generalized]],Lookups!A:A,Lookups!B:B))*Pipeline_tbl[[#This Row],[Pipeline_Amount_USD]]</f>
        <v>1500</v>
      </c>
      <c r="O601" t="str">
        <f>_xlfn.XLOOKUP(Pipeline_tbl[[#This Row],[Rep_ID]],Dim_Reps!A:A,Dim_Reps!B:B)</f>
        <v>Hugo Santos</v>
      </c>
      <c r="P601" t="str">
        <f>_xlfn.XLOOKUP(Pipeline_tbl[[#This Row],[Rep_ID]],Dim_Reps!A:A,Dim_Reps!C:C)</f>
        <v>SDR / Inside Sales Rep</v>
      </c>
      <c r="Q601" t="str">
        <f>_xlfn.XLOOKUP(Pipeline_tbl[[#This Row],[Rep_ID]],Dim_Reps!A:A,Dim_Reps!D:D)</f>
        <v>Inside Sales</v>
      </c>
      <c r="R601" t="str">
        <f>_xlfn.XLOOKUP(Pipeline_tbl[[#This Row],[Rep_ID]],Dim_Reps!A:A,Dim_Reps!E:E)</f>
        <v>EMEA</v>
      </c>
      <c r="S601" t="str">
        <f>_xlfn.XLOOKUP(Pipeline_tbl[[#This Row],[Created_Date]],Dim_Date!A:A,Dim_Date!H:H)</f>
        <v>Sep 2024</v>
      </c>
      <c r="T601" t="str">
        <f>IF(Pipeline_tbl[[#This Row],[Closed_Date]]=0,"",(_xlfn.XLOOKUP(Pipeline_tbl[[#This Row],[Closed_Date]],Dim_Date!A:A,Dim_Date!H:H)))</f>
        <v>Sep 2024</v>
      </c>
      <c r="U601">
        <f>IF(Pipeline_tbl[[#This Row],[Closed_Date]]=0,"",Pipeline_tbl[[#This Row],[Closed_Date]]-Pipeline_tbl[[#This Row],[Created_Date]])</f>
        <v>16</v>
      </c>
    </row>
    <row r="602" spans="1:21" ht="15" customHeight="1" x14ac:dyDescent="0.2">
      <c r="A602" t="s">
        <v>908</v>
      </c>
      <c r="B602" t="s">
        <v>241</v>
      </c>
      <c r="C602" t="s">
        <v>53</v>
      </c>
      <c r="D602" s="49">
        <v>45543</v>
      </c>
      <c r="E602" s="49">
        <v>45545</v>
      </c>
      <c r="F602" s="49">
        <v>45548</v>
      </c>
      <c r="I602" s="49">
        <v>45560</v>
      </c>
      <c r="J602" t="s">
        <v>49</v>
      </c>
      <c r="K602" s="33">
        <v>5400</v>
      </c>
      <c r="L602" t="s">
        <v>60</v>
      </c>
      <c r="M602" t="str">
        <f>_xlfn.XLOOKUP(Pipeline_tbl[[#This Row],[Rep_ID]],Dim_Reps!A:A,Dim_Reps!K:K)</f>
        <v>EUR</v>
      </c>
      <c r="N602" s="33">
        <f>(_xlfn.XLOOKUP(Pipeline_tbl[[#This Row],[Rate_Code_Generalized]],Lookups!A:A,Lookups!B:B))*Pipeline_tbl[[#This Row],[Pipeline_Amount_USD]]</f>
        <v>5400</v>
      </c>
      <c r="O602" t="str">
        <f>_xlfn.XLOOKUP(Pipeline_tbl[[#This Row],[Rep_ID]],Dim_Reps!A:A,Dim_Reps!B:B)</f>
        <v>Kenji Weber</v>
      </c>
      <c r="P602" t="str">
        <f>_xlfn.XLOOKUP(Pipeline_tbl[[#This Row],[Rep_ID]],Dim_Reps!A:A,Dim_Reps!C:C)</f>
        <v>SDR / Inside Sales Rep</v>
      </c>
      <c r="Q602" t="str">
        <f>_xlfn.XLOOKUP(Pipeline_tbl[[#This Row],[Rep_ID]],Dim_Reps!A:A,Dim_Reps!D:D)</f>
        <v>Inside Sales</v>
      </c>
      <c r="R602" t="str">
        <f>_xlfn.XLOOKUP(Pipeline_tbl[[#This Row],[Rep_ID]],Dim_Reps!A:A,Dim_Reps!E:E)</f>
        <v>APAC</v>
      </c>
      <c r="S602" t="str">
        <f>_xlfn.XLOOKUP(Pipeline_tbl[[#This Row],[Created_Date]],Dim_Date!A:A,Dim_Date!H:H)</f>
        <v>Sep 2024</v>
      </c>
      <c r="T602" t="str">
        <f>IF(Pipeline_tbl[[#This Row],[Closed_Date]]=0,"",(_xlfn.XLOOKUP(Pipeline_tbl[[#This Row],[Closed_Date]],Dim_Date!A:A,Dim_Date!H:H)))</f>
        <v>Sep 2024</v>
      </c>
      <c r="U602">
        <f>IF(Pipeline_tbl[[#This Row],[Closed_Date]]=0,"",Pipeline_tbl[[#This Row],[Closed_Date]]-Pipeline_tbl[[#This Row],[Created_Date]])</f>
        <v>17</v>
      </c>
    </row>
    <row r="603" spans="1:21" ht="15" customHeight="1" x14ac:dyDescent="0.2">
      <c r="A603" t="s">
        <v>909</v>
      </c>
      <c r="B603" t="s">
        <v>241</v>
      </c>
      <c r="C603" t="s">
        <v>52</v>
      </c>
      <c r="D603" s="49">
        <v>45544</v>
      </c>
      <c r="E603" s="49">
        <v>45546</v>
      </c>
      <c r="F603" s="49">
        <v>45549</v>
      </c>
      <c r="G603" s="49">
        <v>45555</v>
      </c>
      <c r="I603" s="49">
        <v>45562</v>
      </c>
      <c r="J603" t="s">
        <v>49</v>
      </c>
      <c r="K603" s="33">
        <v>3600</v>
      </c>
      <c r="L603" t="s">
        <v>60</v>
      </c>
      <c r="M603" t="str">
        <f>_xlfn.XLOOKUP(Pipeline_tbl[[#This Row],[Rep_ID]],Dim_Reps!A:A,Dim_Reps!K:K)</f>
        <v>EUR</v>
      </c>
      <c r="N603" s="33">
        <f>(_xlfn.XLOOKUP(Pipeline_tbl[[#This Row],[Rate_Code_Generalized]],Lookups!A:A,Lookups!B:B))*Pipeline_tbl[[#This Row],[Pipeline_Amount_USD]]</f>
        <v>3600</v>
      </c>
      <c r="O603" t="str">
        <f>_xlfn.XLOOKUP(Pipeline_tbl[[#This Row],[Rep_ID]],Dim_Reps!A:A,Dim_Reps!B:B)</f>
        <v>Kenji Weber</v>
      </c>
      <c r="P603" t="str">
        <f>_xlfn.XLOOKUP(Pipeline_tbl[[#This Row],[Rep_ID]],Dim_Reps!A:A,Dim_Reps!C:C)</f>
        <v>SDR / Inside Sales Rep</v>
      </c>
      <c r="Q603" t="str">
        <f>_xlfn.XLOOKUP(Pipeline_tbl[[#This Row],[Rep_ID]],Dim_Reps!A:A,Dim_Reps!D:D)</f>
        <v>Inside Sales</v>
      </c>
      <c r="R603" t="str">
        <f>_xlfn.XLOOKUP(Pipeline_tbl[[#This Row],[Rep_ID]],Dim_Reps!A:A,Dim_Reps!E:E)</f>
        <v>APAC</v>
      </c>
      <c r="S603" t="str">
        <f>_xlfn.XLOOKUP(Pipeline_tbl[[#This Row],[Created_Date]],Dim_Date!A:A,Dim_Date!H:H)</f>
        <v>Sep 2024</v>
      </c>
      <c r="T603" t="str">
        <f>IF(Pipeline_tbl[[#This Row],[Closed_Date]]=0,"",(_xlfn.XLOOKUP(Pipeline_tbl[[#This Row],[Closed_Date]],Dim_Date!A:A,Dim_Date!H:H)))</f>
        <v>Sep 2024</v>
      </c>
      <c r="U603">
        <f>IF(Pipeline_tbl[[#This Row],[Closed_Date]]=0,"",Pipeline_tbl[[#This Row],[Closed_Date]]-Pipeline_tbl[[#This Row],[Created_Date]])</f>
        <v>18</v>
      </c>
    </row>
    <row r="604" spans="1:21" ht="15" customHeight="1" x14ac:dyDescent="0.2">
      <c r="A604" t="s">
        <v>910</v>
      </c>
      <c r="B604" t="s">
        <v>241</v>
      </c>
      <c r="C604" t="s">
        <v>53</v>
      </c>
      <c r="D604" s="49">
        <v>45549</v>
      </c>
      <c r="E604" s="49">
        <v>45550</v>
      </c>
      <c r="F604" s="49">
        <v>45553</v>
      </c>
      <c r="G604" s="49">
        <v>45556</v>
      </c>
      <c r="I604" s="49">
        <v>45561</v>
      </c>
      <c r="J604" t="s">
        <v>49</v>
      </c>
      <c r="K604" s="33">
        <v>1700</v>
      </c>
      <c r="L604" t="s">
        <v>60</v>
      </c>
      <c r="M604" t="str">
        <f>_xlfn.XLOOKUP(Pipeline_tbl[[#This Row],[Rep_ID]],Dim_Reps!A:A,Dim_Reps!K:K)</f>
        <v>EUR</v>
      </c>
      <c r="N604" s="33">
        <f>(_xlfn.XLOOKUP(Pipeline_tbl[[#This Row],[Rate_Code_Generalized]],Lookups!A:A,Lookups!B:B))*Pipeline_tbl[[#This Row],[Pipeline_Amount_USD]]</f>
        <v>1700</v>
      </c>
      <c r="O604" t="str">
        <f>_xlfn.XLOOKUP(Pipeline_tbl[[#This Row],[Rep_ID]],Dim_Reps!A:A,Dim_Reps!B:B)</f>
        <v>Kenji Weber</v>
      </c>
      <c r="P604" t="str">
        <f>_xlfn.XLOOKUP(Pipeline_tbl[[#This Row],[Rep_ID]],Dim_Reps!A:A,Dim_Reps!C:C)</f>
        <v>SDR / Inside Sales Rep</v>
      </c>
      <c r="Q604" t="str">
        <f>_xlfn.XLOOKUP(Pipeline_tbl[[#This Row],[Rep_ID]],Dim_Reps!A:A,Dim_Reps!D:D)</f>
        <v>Inside Sales</v>
      </c>
      <c r="R604" t="str">
        <f>_xlfn.XLOOKUP(Pipeline_tbl[[#This Row],[Rep_ID]],Dim_Reps!A:A,Dim_Reps!E:E)</f>
        <v>APAC</v>
      </c>
      <c r="S604" t="str">
        <f>_xlfn.XLOOKUP(Pipeline_tbl[[#This Row],[Created_Date]],Dim_Date!A:A,Dim_Date!H:H)</f>
        <v>Sep 2024</v>
      </c>
      <c r="T604" t="str">
        <f>IF(Pipeline_tbl[[#This Row],[Closed_Date]]=0,"",(_xlfn.XLOOKUP(Pipeline_tbl[[#This Row],[Closed_Date]],Dim_Date!A:A,Dim_Date!H:H)))</f>
        <v>Sep 2024</v>
      </c>
      <c r="U604">
        <f>IF(Pipeline_tbl[[#This Row],[Closed_Date]]=0,"",Pipeline_tbl[[#This Row],[Closed_Date]]-Pipeline_tbl[[#This Row],[Created_Date]])</f>
        <v>12</v>
      </c>
    </row>
    <row r="605" spans="1:21" ht="15" customHeight="1" x14ac:dyDescent="0.2">
      <c r="A605" t="s">
        <v>911</v>
      </c>
      <c r="B605" t="s">
        <v>241</v>
      </c>
      <c r="C605" t="s">
        <v>54</v>
      </c>
      <c r="D605" s="49">
        <v>45548</v>
      </c>
      <c r="E605" s="49">
        <v>45550</v>
      </c>
      <c r="F605" s="49">
        <v>45553</v>
      </c>
      <c r="G605" s="49">
        <v>45558</v>
      </c>
      <c r="H605" s="49">
        <v>45562</v>
      </c>
      <c r="I605" s="49">
        <v>45565</v>
      </c>
      <c r="J605" t="s">
        <v>47</v>
      </c>
      <c r="K605" s="33">
        <v>6400</v>
      </c>
      <c r="M605" t="str">
        <f>_xlfn.XLOOKUP(Pipeline_tbl[[#This Row],[Rep_ID]],Dim_Reps!A:A,Dim_Reps!K:K)</f>
        <v>EUR</v>
      </c>
      <c r="N605" s="33">
        <f>(_xlfn.XLOOKUP(Pipeline_tbl[[#This Row],[Rate_Code_Generalized]],Lookups!A:A,Lookups!B:B))*Pipeline_tbl[[#This Row],[Pipeline_Amount_USD]]</f>
        <v>6400</v>
      </c>
      <c r="O605" t="str">
        <f>_xlfn.XLOOKUP(Pipeline_tbl[[#This Row],[Rep_ID]],Dim_Reps!A:A,Dim_Reps!B:B)</f>
        <v>Kenji Weber</v>
      </c>
      <c r="P605" t="str">
        <f>_xlfn.XLOOKUP(Pipeline_tbl[[#This Row],[Rep_ID]],Dim_Reps!A:A,Dim_Reps!C:C)</f>
        <v>SDR / Inside Sales Rep</v>
      </c>
      <c r="Q605" t="str">
        <f>_xlfn.XLOOKUP(Pipeline_tbl[[#This Row],[Rep_ID]],Dim_Reps!A:A,Dim_Reps!D:D)</f>
        <v>Inside Sales</v>
      </c>
      <c r="R605" t="str">
        <f>_xlfn.XLOOKUP(Pipeline_tbl[[#This Row],[Rep_ID]],Dim_Reps!A:A,Dim_Reps!E:E)</f>
        <v>APAC</v>
      </c>
      <c r="S605" t="str">
        <f>_xlfn.XLOOKUP(Pipeline_tbl[[#This Row],[Created_Date]],Dim_Date!A:A,Dim_Date!H:H)</f>
        <v>Sep 2024</v>
      </c>
      <c r="T605" t="str">
        <f>IF(Pipeline_tbl[[#This Row],[Closed_Date]]=0,"",(_xlfn.XLOOKUP(Pipeline_tbl[[#This Row],[Closed_Date]],Dim_Date!A:A,Dim_Date!H:H)))</f>
        <v>Sep 2024</v>
      </c>
      <c r="U605">
        <f>IF(Pipeline_tbl[[#This Row],[Closed_Date]]=0,"",Pipeline_tbl[[#This Row],[Closed_Date]]-Pipeline_tbl[[#This Row],[Created_Date]])</f>
        <v>17</v>
      </c>
    </row>
    <row r="606" spans="1:21" ht="15" customHeight="1" x14ac:dyDescent="0.2">
      <c r="A606" t="s">
        <v>912</v>
      </c>
      <c r="B606" t="s">
        <v>241</v>
      </c>
      <c r="C606" t="s">
        <v>53</v>
      </c>
      <c r="D606" s="49">
        <v>45536</v>
      </c>
      <c r="E606" s="49">
        <v>45538</v>
      </c>
      <c r="I606" s="49">
        <v>45552</v>
      </c>
      <c r="J606" t="s">
        <v>49</v>
      </c>
      <c r="K606" s="33">
        <v>6200</v>
      </c>
      <c r="L606" t="s">
        <v>64</v>
      </c>
      <c r="M606" t="str">
        <f>_xlfn.XLOOKUP(Pipeline_tbl[[#This Row],[Rep_ID]],Dim_Reps!A:A,Dim_Reps!K:K)</f>
        <v>EUR</v>
      </c>
      <c r="N606" s="33">
        <f>(_xlfn.XLOOKUP(Pipeline_tbl[[#This Row],[Rate_Code_Generalized]],Lookups!A:A,Lookups!B:B))*Pipeline_tbl[[#This Row],[Pipeline_Amount_USD]]</f>
        <v>6200</v>
      </c>
      <c r="O606" t="str">
        <f>_xlfn.XLOOKUP(Pipeline_tbl[[#This Row],[Rep_ID]],Dim_Reps!A:A,Dim_Reps!B:B)</f>
        <v>Kenji Weber</v>
      </c>
      <c r="P606" t="str">
        <f>_xlfn.XLOOKUP(Pipeline_tbl[[#This Row],[Rep_ID]],Dim_Reps!A:A,Dim_Reps!C:C)</f>
        <v>SDR / Inside Sales Rep</v>
      </c>
      <c r="Q606" t="str">
        <f>_xlfn.XLOOKUP(Pipeline_tbl[[#This Row],[Rep_ID]],Dim_Reps!A:A,Dim_Reps!D:D)</f>
        <v>Inside Sales</v>
      </c>
      <c r="R606" t="str">
        <f>_xlfn.XLOOKUP(Pipeline_tbl[[#This Row],[Rep_ID]],Dim_Reps!A:A,Dim_Reps!E:E)</f>
        <v>APAC</v>
      </c>
      <c r="S606" t="str">
        <f>_xlfn.XLOOKUP(Pipeline_tbl[[#This Row],[Created_Date]],Dim_Date!A:A,Dim_Date!H:H)</f>
        <v>Sep 2024</v>
      </c>
      <c r="T606" t="str">
        <f>IF(Pipeline_tbl[[#This Row],[Closed_Date]]=0,"",(_xlfn.XLOOKUP(Pipeline_tbl[[#This Row],[Closed_Date]],Dim_Date!A:A,Dim_Date!H:H)))</f>
        <v>Sep 2024</v>
      </c>
      <c r="U606">
        <f>IF(Pipeline_tbl[[#This Row],[Closed_Date]]=0,"",Pipeline_tbl[[#This Row],[Closed_Date]]-Pipeline_tbl[[#This Row],[Created_Date]])</f>
        <v>16</v>
      </c>
    </row>
    <row r="607" spans="1:21" ht="15" customHeight="1" x14ac:dyDescent="0.2">
      <c r="A607" t="s">
        <v>913</v>
      </c>
      <c r="B607" t="s">
        <v>241</v>
      </c>
      <c r="C607" t="s">
        <v>52</v>
      </c>
      <c r="D607" s="49">
        <v>45548</v>
      </c>
      <c r="E607" s="49">
        <v>45549</v>
      </c>
      <c r="F607" s="49">
        <v>45552</v>
      </c>
      <c r="G607" s="49">
        <v>45556</v>
      </c>
      <c r="I607" s="49">
        <v>45561</v>
      </c>
      <c r="J607" t="s">
        <v>49</v>
      </c>
      <c r="K607" s="33">
        <v>2300</v>
      </c>
      <c r="L607" t="s">
        <v>60</v>
      </c>
      <c r="M607" t="str">
        <f>_xlfn.XLOOKUP(Pipeline_tbl[[#This Row],[Rep_ID]],Dim_Reps!A:A,Dim_Reps!K:K)</f>
        <v>EUR</v>
      </c>
      <c r="N607" s="33">
        <f>(_xlfn.XLOOKUP(Pipeline_tbl[[#This Row],[Rate_Code_Generalized]],Lookups!A:A,Lookups!B:B))*Pipeline_tbl[[#This Row],[Pipeline_Amount_USD]]</f>
        <v>2300</v>
      </c>
      <c r="O607" t="str">
        <f>_xlfn.XLOOKUP(Pipeline_tbl[[#This Row],[Rep_ID]],Dim_Reps!A:A,Dim_Reps!B:B)</f>
        <v>Kenji Weber</v>
      </c>
      <c r="P607" t="str">
        <f>_xlfn.XLOOKUP(Pipeline_tbl[[#This Row],[Rep_ID]],Dim_Reps!A:A,Dim_Reps!C:C)</f>
        <v>SDR / Inside Sales Rep</v>
      </c>
      <c r="Q607" t="str">
        <f>_xlfn.XLOOKUP(Pipeline_tbl[[#This Row],[Rep_ID]],Dim_Reps!A:A,Dim_Reps!D:D)</f>
        <v>Inside Sales</v>
      </c>
      <c r="R607" t="str">
        <f>_xlfn.XLOOKUP(Pipeline_tbl[[#This Row],[Rep_ID]],Dim_Reps!A:A,Dim_Reps!E:E)</f>
        <v>APAC</v>
      </c>
      <c r="S607" t="str">
        <f>_xlfn.XLOOKUP(Pipeline_tbl[[#This Row],[Created_Date]],Dim_Date!A:A,Dim_Date!H:H)</f>
        <v>Sep 2024</v>
      </c>
      <c r="T607" t="str">
        <f>IF(Pipeline_tbl[[#This Row],[Closed_Date]]=0,"",(_xlfn.XLOOKUP(Pipeline_tbl[[#This Row],[Closed_Date]],Dim_Date!A:A,Dim_Date!H:H)))</f>
        <v>Sep 2024</v>
      </c>
      <c r="U607">
        <f>IF(Pipeline_tbl[[#This Row],[Closed_Date]]=0,"",Pipeline_tbl[[#This Row],[Closed_Date]]-Pipeline_tbl[[#This Row],[Created_Date]])</f>
        <v>13</v>
      </c>
    </row>
    <row r="608" spans="1:21" ht="15" customHeight="1" x14ac:dyDescent="0.2">
      <c r="A608" t="s">
        <v>914</v>
      </c>
      <c r="B608" t="s">
        <v>275</v>
      </c>
      <c r="C608" t="s">
        <v>54</v>
      </c>
      <c r="D608" s="49">
        <v>45952</v>
      </c>
      <c r="E608" s="49">
        <v>45961</v>
      </c>
      <c r="F608" s="49">
        <v>45979</v>
      </c>
      <c r="G608" s="49">
        <v>46005</v>
      </c>
      <c r="J608" t="s">
        <v>308</v>
      </c>
      <c r="K608" s="33">
        <v>49400</v>
      </c>
      <c r="M608" t="str">
        <f>_xlfn.XLOOKUP(Pipeline_tbl[[#This Row],[Rep_ID]],Dim_Reps!A:A,Dim_Reps!K:K)</f>
        <v>USD</v>
      </c>
      <c r="N608" s="33">
        <f>(_xlfn.XLOOKUP(Pipeline_tbl[[#This Row],[Rate_Code_Generalized]],Lookups!A:A,Lookups!B:B))*Pipeline_tbl[[#This Row],[Pipeline_Amount_USD]]</f>
        <v>57516.419999999991</v>
      </c>
      <c r="O608" t="str">
        <f>_xlfn.XLOOKUP(Pipeline_tbl[[#This Row],[Rep_ID]],Dim_Reps!A:A,Dim_Reps!B:B)</f>
        <v>Sana Rossi</v>
      </c>
      <c r="P608" t="str">
        <f>_xlfn.XLOOKUP(Pipeline_tbl[[#This Row],[Rep_ID]],Dim_Reps!A:A,Dim_Reps!C:C)</f>
        <v>Senior Enterprise AE</v>
      </c>
      <c r="Q608" t="str">
        <f>_xlfn.XLOOKUP(Pipeline_tbl[[#This Row],[Rep_ID]],Dim_Reps!A:A,Dim_Reps!D:D)</f>
        <v>Strategic</v>
      </c>
      <c r="R608" t="str">
        <f>_xlfn.XLOOKUP(Pipeline_tbl[[#This Row],[Rep_ID]],Dim_Reps!A:A,Dim_Reps!E:E)</f>
        <v>NAMER</v>
      </c>
      <c r="S608" t="str">
        <f>_xlfn.XLOOKUP(Pipeline_tbl[[#This Row],[Created_Date]],Dim_Date!A:A,Dim_Date!H:H)</f>
        <v>Oct 2025</v>
      </c>
      <c r="T608" t="str">
        <f>IF(Pipeline_tbl[[#This Row],[Closed_Date]]=0,"",(_xlfn.XLOOKUP(Pipeline_tbl[[#This Row],[Closed_Date]],Dim_Date!A:A,Dim_Date!H:H)))</f>
        <v/>
      </c>
      <c r="U608" t="str">
        <f>IF(Pipeline_tbl[[#This Row],[Closed_Date]]=0,"",Pipeline_tbl[[#This Row],[Closed_Date]]-Pipeline_tbl[[#This Row],[Created_Date]])</f>
        <v/>
      </c>
    </row>
    <row r="609" spans="1:21" ht="15" customHeight="1" x14ac:dyDescent="0.2">
      <c r="A609" t="s">
        <v>915</v>
      </c>
      <c r="B609" t="s">
        <v>275</v>
      </c>
      <c r="C609" t="s">
        <v>52</v>
      </c>
      <c r="D609" s="49">
        <v>45958</v>
      </c>
      <c r="E609" s="49">
        <v>45970</v>
      </c>
      <c r="F609" s="49">
        <v>45995</v>
      </c>
      <c r="J609" t="s">
        <v>308</v>
      </c>
      <c r="K609" s="33">
        <v>57600</v>
      </c>
      <c r="M609" t="str">
        <f>_xlfn.XLOOKUP(Pipeline_tbl[[#This Row],[Rep_ID]],Dim_Reps!A:A,Dim_Reps!K:K)</f>
        <v>USD</v>
      </c>
      <c r="N609" s="33">
        <f>(_xlfn.XLOOKUP(Pipeline_tbl[[#This Row],[Rate_Code_Generalized]],Lookups!A:A,Lookups!B:B))*Pipeline_tbl[[#This Row],[Pipeline_Amount_USD]]</f>
        <v>67063.679999999993</v>
      </c>
      <c r="O609" t="str">
        <f>_xlfn.XLOOKUP(Pipeline_tbl[[#This Row],[Rep_ID]],Dim_Reps!A:A,Dim_Reps!B:B)</f>
        <v>Sana Rossi</v>
      </c>
      <c r="P609" t="str">
        <f>_xlfn.XLOOKUP(Pipeline_tbl[[#This Row],[Rep_ID]],Dim_Reps!A:A,Dim_Reps!C:C)</f>
        <v>Senior Enterprise AE</v>
      </c>
      <c r="Q609" t="str">
        <f>_xlfn.XLOOKUP(Pipeline_tbl[[#This Row],[Rep_ID]],Dim_Reps!A:A,Dim_Reps!D:D)</f>
        <v>Strategic</v>
      </c>
      <c r="R609" t="str">
        <f>_xlfn.XLOOKUP(Pipeline_tbl[[#This Row],[Rep_ID]],Dim_Reps!A:A,Dim_Reps!E:E)</f>
        <v>NAMER</v>
      </c>
      <c r="S609" t="str">
        <f>_xlfn.XLOOKUP(Pipeline_tbl[[#This Row],[Created_Date]],Dim_Date!A:A,Dim_Date!H:H)</f>
        <v>Oct 2025</v>
      </c>
      <c r="T609" t="str">
        <f>IF(Pipeline_tbl[[#This Row],[Closed_Date]]=0,"",(_xlfn.XLOOKUP(Pipeline_tbl[[#This Row],[Closed_Date]],Dim_Date!A:A,Dim_Date!H:H)))</f>
        <v/>
      </c>
      <c r="U609" t="str">
        <f>IF(Pipeline_tbl[[#This Row],[Closed_Date]]=0,"",Pipeline_tbl[[#This Row],[Closed_Date]]-Pipeline_tbl[[#This Row],[Created_Date]])</f>
        <v/>
      </c>
    </row>
    <row r="610" spans="1:21" ht="15" customHeight="1" x14ac:dyDescent="0.2">
      <c r="A610" t="s">
        <v>916</v>
      </c>
      <c r="B610" t="s">
        <v>275</v>
      </c>
      <c r="C610" t="s">
        <v>55</v>
      </c>
      <c r="D610" s="49">
        <v>45954</v>
      </c>
      <c r="E610" s="49">
        <v>45964</v>
      </c>
      <c r="F610" s="49">
        <v>45985</v>
      </c>
      <c r="G610" s="49">
        <v>46015</v>
      </c>
      <c r="J610" t="s">
        <v>308</v>
      </c>
      <c r="K610" s="33">
        <v>74400</v>
      </c>
      <c r="M610" t="str">
        <f>_xlfn.XLOOKUP(Pipeline_tbl[[#This Row],[Rep_ID]],Dim_Reps!A:A,Dim_Reps!K:K)</f>
        <v>USD</v>
      </c>
      <c r="N610" s="33">
        <f>(_xlfn.XLOOKUP(Pipeline_tbl[[#This Row],[Rate_Code_Generalized]],Lookups!A:A,Lookups!B:B))*Pipeline_tbl[[#This Row],[Pipeline_Amount_USD]]</f>
        <v>86623.92</v>
      </c>
      <c r="O610" t="str">
        <f>_xlfn.XLOOKUP(Pipeline_tbl[[#This Row],[Rep_ID]],Dim_Reps!A:A,Dim_Reps!B:B)</f>
        <v>Sana Rossi</v>
      </c>
      <c r="P610" t="str">
        <f>_xlfn.XLOOKUP(Pipeline_tbl[[#This Row],[Rep_ID]],Dim_Reps!A:A,Dim_Reps!C:C)</f>
        <v>Senior Enterprise AE</v>
      </c>
      <c r="Q610" t="str">
        <f>_xlfn.XLOOKUP(Pipeline_tbl[[#This Row],[Rep_ID]],Dim_Reps!A:A,Dim_Reps!D:D)</f>
        <v>Strategic</v>
      </c>
      <c r="R610" t="str">
        <f>_xlfn.XLOOKUP(Pipeline_tbl[[#This Row],[Rep_ID]],Dim_Reps!A:A,Dim_Reps!E:E)</f>
        <v>NAMER</v>
      </c>
      <c r="S610" t="str">
        <f>_xlfn.XLOOKUP(Pipeline_tbl[[#This Row],[Created_Date]],Dim_Date!A:A,Dim_Date!H:H)</f>
        <v>Oct 2025</v>
      </c>
      <c r="T610" t="str">
        <f>IF(Pipeline_tbl[[#This Row],[Closed_Date]]=0,"",(_xlfn.XLOOKUP(Pipeline_tbl[[#This Row],[Closed_Date]],Dim_Date!A:A,Dim_Date!H:H)))</f>
        <v/>
      </c>
      <c r="U610" t="str">
        <f>IF(Pipeline_tbl[[#This Row],[Closed_Date]]=0,"",Pipeline_tbl[[#This Row],[Closed_Date]]-Pipeline_tbl[[#This Row],[Created_Date]])</f>
        <v/>
      </c>
    </row>
    <row r="611" spans="1:21" ht="15" customHeight="1" x14ac:dyDescent="0.2">
      <c r="A611" t="s">
        <v>917</v>
      </c>
      <c r="B611" t="s">
        <v>177</v>
      </c>
      <c r="C611" t="s">
        <v>53</v>
      </c>
      <c r="D611" s="49">
        <v>45959</v>
      </c>
      <c r="E611" s="49">
        <v>45966</v>
      </c>
      <c r="F611" s="49">
        <v>45981</v>
      </c>
      <c r="G611" s="49">
        <v>46003</v>
      </c>
      <c r="H611" s="49">
        <v>46022</v>
      </c>
      <c r="J611" t="s">
        <v>308</v>
      </c>
      <c r="K611" s="33">
        <v>26600</v>
      </c>
      <c r="M611" t="str">
        <f>_xlfn.XLOOKUP(Pipeline_tbl[[#This Row],[Rep_ID]],Dim_Reps!A:A,Dim_Reps!K:K)</f>
        <v>USD</v>
      </c>
      <c r="N611" s="33">
        <f>(_xlfn.XLOOKUP(Pipeline_tbl[[#This Row],[Rate_Code_Generalized]],Lookups!A:A,Lookups!B:B))*Pipeline_tbl[[#This Row],[Pipeline_Amount_USD]]</f>
        <v>30970.379999999997</v>
      </c>
      <c r="O611" t="str">
        <f>_xlfn.XLOOKUP(Pipeline_tbl[[#This Row],[Rep_ID]],Dim_Reps!A:A,Dim_Reps!B:B)</f>
        <v>Lucas Cohen</v>
      </c>
      <c r="P611" t="str">
        <f>_xlfn.XLOOKUP(Pipeline_tbl[[#This Row],[Rep_ID]],Dim_Reps!A:A,Dim_Reps!C:C)</f>
        <v>Enterprise AE</v>
      </c>
      <c r="Q611" t="str">
        <f>_xlfn.XLOOKUP(Pipeline_tbl[[#This Row],[Rep_ID]],Dim_Reps!A:A,Dim_Reps!D:D)</f>
        <v>Enterprise</v>
      </c>
      <c r="R611" t="str">
        <f>_xlfn.XLOOKUP(Pipeline_tbl[[#This Row],[Rep_ID]],Dim_Reps!A:A,Dim_Reps!E:E)</f>
        <v>NAMER</v>
      </c>
      <c r="S611" t="str">
        <f>_xlfn.XLOOKUP(Pipeline_tbl[[#This Row],[Created_Date]],Dim_Date!A:A,Dim_Date!H:H)</f>
        <v>Oct 2025</v>
      </c>
      <c r="T611" t="str">
        <f>IF(Pipeline_tbl[[#This Row],[Closed_Date]]=0,"",(_xlfn.XLOOKUP(Pipeline_tbl[[#This Row],[Closed_Date]],Dim_Date!A:A,Dim_Date!H:H)))</f>
        <v/>
      </c>
      <c r="U611" t="str">
        <f>IF(Pipeline_tbl[[#This Row],[Closed_Date]]=0,"",Pipeline_tbl[[#This Row],[Closed_Date]]-Pipeline_tbl[[#This Row],[Created_Date]])</f>
        <v/>
      </c>
    </row>
    <row r="612" spans="1:21" ht="15" customHeight="1" x14ac:dyDescent="0.2">
      <c r="A612" t="s">
        <v>918</v>
      </c>
      <c r="B612" t="s">
        <v>177</v>
      </c>
      <c r="C612" t="s">
        <v>56</v>
      </c>
      <c r="D612" s="49">
        <v>45936</v>
      </c>
      <c r="E612" s="49">
        <v>45946</v>
      </c>
      <c r="F612" s="49">
        <v>45965</v>
      </c>
      <c r="G612" s="49">
        <v>45995</v>
      </c>
      <c r="H612" s="49">
        <v>46019</v>
      </c>
      <c r="J612" t="s">
        <v>308</v>
      </c>
      <c r="K612" s="33">
        <v>16000</v>
      </c>
      <c r="M612" t="str">
        <f>_xlfn.XLOOKUP(Pipeline_tbl[[#This Row],[Rep_ID]],Dim_Reps!A:A,Dim_Reps!K:K)</f>
        <v>USD</v>
      </c>
      <c r="N612" s="33">
        <f>(_xlfn.XLOOKUP(Pipeline_tbl[[#This Row],[Rate_Code_Generalized]],Lookups!A:A,Lookups!B:B))*Pipeline_tbl[[#This Row],[Pipeline_Amount_USD]]</f>
        <v>18628.8</v>
      </c>
      <c r="O612" t="str">
        <f>_xlfn.XLOOKUP(Pipeline_tbl[[#This Row],[Rep_ID]],Dim_Reps!A:A,Dim_Reps!B:B)</f>
        <v>Lucas Cohen</v>
      </c>
      <c r="P612" t="str">
        <f>_xlfn.XLOOKUP(Pipeline_tbl[[#This Row],[Rep_ID]],Dim_Reps!A:A,Dim_Reps!C:C)</f>
        <v>Enterprise AE</v>
      </c>
      <c r="Q612" t="str">
        <f>_xlfn.XLOOKUP(Pipeline_tbl[[#This Row],[Rep_ID]],Dim_Reps!A:A,Dim_Reps!D:D)</f>
        <v>Enterprise</v>
      </c>
      <c r="R612" t="str">
        <f>_xlfn.XLOOKUP(Pipeline_tbl[[#This Row],[Rep_ID]],Dim_Reps!A:A,Dim_Reps!E:E)</f>
        <v>NAMER</v>
      </c>
      <c r="S612" t="str">
        <f>_xlfn.XLOOKUP(Pipeline_tbl[[#This Row],[Created_Date]],Dim_Date!A:A,Dim_Date!H:H)</f>
        <v>Oct 2025</v>
      </c>
      <c r="T612" t="str">
        <f>IF(Pipeline_tbl[[#This Row],[Closed_Date]]=0,"",(_xlfn.XLOOKUP(Pipeline_tbl[[#This Row],[Closed_Date]],Dim_Date!A:A,Dim_Date!H:H)))</f>
        <v/>
      </c>
      <c r="U612" t="str">
        <f>IF(Pipeline_tbl[[#This Row],[Closed_Date]]=0,"",Pipeline_tbl[[#This Row],[Closed_Date]]-Pipeline_tbl[[#This Row],[Created_Date]])</f>
        <v/>
      </c>
    </row>
    <row r="613" spans="1:21" ht="15" customHeight="1" x14ac:dyDescent="0.2">
      <c r="A613" t="s">
        <v>919</v>
      </c>
      <c r="B613" t="s">
        <v>177</v>
      </c>
      <c r="C613" t="s">
        <v>56</v>
      </c>
      <c r="D613" s="49">
        <v>45949</v>
      </c>
      <c r="E613" s="49">
        <v>45957</v>
      </c>
      <c r="F613" s="49">
        <v>45973</v>
      </c>
      <c r="G613" s="49">
        <v>45996</v>
      </c>
      <c r="H613" s="49">
        <v>46016</v>
      </c>
      <c r="J613" t="s">
        <v>308</v>
      </c>
      <c r="K613" s="33">
        <v>29400</v>
      </c>
      <c r="M613" t="str">
        <f>_xlfn.XLOOKUP(Pipeline_tbl[[#This Row],[Rep_ID]],Dim_Reps!A:A,Dim_Reps!K:K)</f>
        <v>USD</v>
      </c>
      <c r="N613" s="33">
        <f>(_xlfn.XLOOKUP(Pipeline_tbl[[#This Row],[Rate_Code_Generalized]],Lookups!A:A,Lookups!B:B))*Pipeline_tbl[[#This Row],[Pipeline_Amount_USD]]</f>
        <v>34230.42</v>
      </c>
      <c r="O613" t="str">
        <f>_xlfn.XLOOKUP(Pipeline_tbl[[#This Row],[Rep_ID]],Dim_Reps!A:A,Dim_Reps!B:B)</f>
        <v>Lucas Cohen</v>
      </c>
      <c r="P613" t="str">
        <f>_xlfn.XLOOKUP(Pipeline_tbl[[#This Row],[Rep_ID]],Dim_Reps!A:A,Dim_Reps!C:C)</f>
        <v>Enterprise AE</v>
      </c>
      <c r="Q613" t="str">
        <f>_xlfn.XLOOKUP(Pipeline_tbl[[#This Row],[Rep_ID]],Dim_Reps!A:A,Dim_Reps!D:D)</f>
        <v>Enterprise</v>
      </c>
      <c r="R613" t="str">
        <f>_xlfn.XLOOKUP(Pipeline_tbl[[#This Row],[Rep_ID]],Dim_Reps!A:A,Dim_Reps!E:E)</f>
        <v>NAMER</v>
      </c>
      <c r="S613" t="str">
        <f>_xlfn.XLOOKUP(Pipeline_tbl[[#This Row],[Created_Date]],Dim_Date!A:A,Dim_Date!H:H)</f>
        <v>Oct 2025</v>
      </c>
      <c r="T613" t="str">
        <f>IF(Pipeline_tbl[[#This Row],[Closed_Date]]=0,"",(_xlfn.XLOOKUP(Pipeline_tbl[[#This Row],[Closed_Date]],Dim_Date!A:A,Dim_Date!H:H)))</f>
        <v/>
      </c>
      <c r="U613" t="str">
        <f>IF(Pipeline_tbl[[#This Row],[Closed_Date]]=0,"",Pipeline_tbl[[#This Row],[Closed_Date]]-Pipeline_tbl[[#This Row],[Created_Date]])</f>
        <v/>
      </c>
    </row>
    <row r="614" spans="1:21" ht="15" customHeight="1" x14ac:dyDescent="0.2">
      <c r="A614" t="s">
        <v>920</v>
      </c>
      <c r="B614" t="s">
        <v>181</v>
      </c>
      <c r="C614" t="s">
        <v>53</v>
      </c>
      <c r="D614" s="49">
        <v>45960</v>
      </c>
      <c r="E614" s="49">
        <v>45967</v>
      </c>
      <c r="F614" s="49">
        <v>45982</v>
      </c>
      <c r="G614" s="49">
        <v>46004</v>
      </c>
      <c r="H614" s="49">
        <v>46022</v>
      </c>
      <c r="J614" t="s">
        <v>308</v>
      </c>
      <c r="K614" s="33">
        <v>73000</v>
      </c>
      <c r="M614" t="str">
        <f>_xlfn.XLOOKUP(Pipeline_tbl[[#This Row],[Rep_ID]],Dim_Reps!A:A,Dim_Reps!K:K)</f>
        <v>USD</v>
      </c>
      <c r="N614" s="33">
        <f>(_xlfn.XLOOKUP(Pipeline_tbl[[#This Row],[Rate_Code_Generalized]],Lookups!A:A,Lookups!B:B))*Pipeline_tbl[[#This Row],[Pipeline_Amount_USD]]</f>
        <v>84993.9</v>
      </c>
      <c r="O614" t="str">
        <f>_xlfn.XLOOKUP(Pipeline_tbl[[#This Row],[Rep_ID]],Dim_Reps!A:A,Dim_Reps!B:B)</f>
        <v>Milo Weber</v>
      </c>
      <c r="P614" t="str">
        <f>_xlfn.XLOOKUP(Pipeline_tbl[[#This Row],[Rep_ID]],Dim_Reps!A:A,Dim_Reps!C:C)</f>
        <v>Enterprise AE</v>
      </c>
      <c r="Q614" t="str">
        <f>_xlfn.XLOOKUP(Pipeline_tbl[[#This Row],[Rep_ID]],Dim_Reps!A:A,Dim_Reps!D:D)</f>
        <v>Enterprise</v>
      </c>
      <c r="R614" t="str">
        <f>_xlfn.XLOOKUP(Pipeline_tbl[[#This Row],[Rep_ID]],Dim_Reps!A:A,Dim_Reps!E:E)</f>
        <v>NAMER</v>
      </c>
      <c r="S614" t="str">
        <f>_xlfn.XLOOKUP(Pipeline_tbl[[#This Row],[Created_Date]],Dim_Date!A:A,Dim_Date!H:H)</f>
        <v>Oct 2025</v>
      </c>
      <c r="T614" t="str">
        <f>IF(Pipeline_tbl[[#This Row],[Closed_Date]]=0,"",(_xlfn.XLOOKUP(Pipeline_tbl[[#This Row],[Closed_Date]],Dim_Date!A:A,Dim_Date!H:H)))</f>
        <v/>
      </c>
      <c r="U614" t="str">
        <f>IF(Pipeline_tbl[[#This Row],[Closed_Date]]=0,"",Pipeline_tbl[[#This Row],[Closed_Date]]-Pipeline_tbl[[#This Row],[Created_Date]])</f>
        <v/>
      </c>
    </row>
    <row r="615" spans="1:21" ht="15" customHeight="1" x14ac:dyDescent="0.2">
      <c r="A615" t="s">
        <v>921</v>
      </c>
      <c r="B615" t="s">
        <v>181</v>
      </c>
      <c r="C615" t="s">
        <v>55</v>
      </c>
      <c r="D615" s="49">
        <v>45959</v>
      </c>
      <c r="E615" s="49">
        <v>45967</v>
      </c>
      <c r="F615" s="49">
        <v>45982</v>
      </c>
      <c r="G615" s="49">
        <v>46005</v>
      </c>
      <c r="J615" t="s">
        <v>308</v>
      </c>
      <c r="K615" s="33">
        <v>19500</v>
      </c>
      <c r="M615" t="str">
        <f>_xlfn.XLOOKUP(Pipeline_tbl[[#This Row],[Rep_ID]],Dim_Reps!A:A,Dim_Reps!K:K)</f>
        <v>USD</v>
      </c>
      <c r="N615" s="33">
        <f>(_xlfn.XLOOKUP(Pipeline_tbl[[#This Row],[Rate_Code_Generalized]],Lookups!A:A,Lookups!B:B))*Pipeline_tbl[[#This Row],[Pipeline_Amount_USD]]</f>
        <v>22703.85</v>
      </c>
      <c r="O615" t="str">
        <f>_xlfn.XLOOKUP(Pipeline_tbl[[#This Row],[Rep_ID]],Dim_Reps!A:A,Dim_Reps!B:B)</f>
        <v>Milo Weber</v>
      </c>
      <c r="P615" t="str">
        <f>_xlfn.XLOOKUP(Pipeline_tbl[[#This Row],[Rep_ID]],Dim_Reps!A:A,Dim_Reps!C:C)</f>
        <v>Enterprise AE</v>
      </c>
      <c r="Q615" t="str">
        <f>_xlfn.XLOOKUP(Pipeline_tbl[[#This Row],[Rep_ID]],Dim_Reps!A:A,Dim_Reps!D:D)</f>
        <v>Enterprise</v>
      </c>
      <c r="R615" t="str">
        <f>_xlfn.XLOOKUP(Pipeline_tbl[[#This Row],[Rep_ID]],Dim_Reps!A:A,Dim_Reps!E:E)</f>
        <v>NAMER</v>
      </c>
      <c r="S615" t="str">
        <f>_xlfn.XLOOKUP(Pipeline_tbl[[#This Row],[Created_Date]],Dim_Date!A:A,Dim_Date!H:H)</f>
        <v>Oct 2025</v>
      </c>
      <c r="T615" t="str">
        <f>IF(Pipeline_tbl[[#This Row],[Closed_Date]]=0,"",(_xlfn.XLOOKUP(Pipeline_tbl[[#This Row],[Closed_Date]],Dim_Date!A:A,Dim_Date!H:H)))</f>
        <v/>
      </c>
      <c r="U615" t="str">
        <f>IF(Pipeline_tbl[[#This Row],[Closed_Date]]=0,"",Pipeline_tbl[[#This Row],[Closed_Date]]-Pipeline_tbl[[#This Row],[Created_Date]])</f>
        <v/>
      </c>
    </row>
    <row r="616" spans="1:21" ht="15" customHeight="1" x14ac:dyDescent="0.2">
      <c r="A616" t="s">
        <v>922</v>
      </c>
      <c r="B616" t="s">
        <v>181</v>
      </c>
      <c r="C616" t="s">
        <v>52</v>
      </c>
      <c r="D616" s="49">
        <v>45953</v>
      </c>
      <c r="E616" s="49">
        <v>45962</v>
      </c>
      <c r="F616" s="49">
        <v>45981</v>
      </c>
      <c r="G616" s="49">
        <v>46009</v>
      </c>
      <c r="J616" t="s">
        <v>308</v>
      </c>
      <c r="K616" s="33">
        <v>43300</v>
      </c>
      <c r="M616" t="str">
        <f>_xlfn.XLOOKUP(Pipeline_tbl[[#This Row],[Rep_ID]],Dim_Reps!A:A,Dim_Reps!K:K)</f>
        <v>USD</v>
      </c>
      <c r="N616" s="33">
        <f>(_xlfn.XLOOKUP(Pipeline_tbl[[#This Row],[Rate_Code_Generalized]],Lookups!A:A,Lookups!B:B))*Pipeline_tbl[[#This Row],[Pipeline_Amount_USD]]</f>
        <v>50414.189999999995</v>
      </c>
      <c r="O616" t="str">
        <f>_xlfn.XLOOKUP(Pipeline_tbl[[#This Row],[Rep_ID]],Dim_Reps!A:A,Dim_Reps!B:B)</f>
        <v>Milo Weber</v>
      </c>
      <c r="P616" t="str">
        <f>_xlfn.XLOOKUP(Pipeline_tbl[[#This Row],[Rep_ID]],Dim_Reps!A:A,Dim_Reps!C:C)</f>
        <v>Enterprise AE</v>
      </c>
      <c r="Q616" t="str">
        <f>_xlfn.XLOOKUP(Pipeline_tbl[[#This Row],[Rep_ID]],Dim_Reps!A:A,Dim_Reps!D:D)</f>
        <v>Enterprise</v>
      </c>
      <c r="R616" t="str">
        <f>_xlfn.XLOOKUP(Pipeline_tbl[[#This Row],[Rep_ID]],Dim_Reps!A:A,Dim_Reps!E:E)</f>
        <v>NAMER</v>
      </c>
      <c r="S616" t="str">
        <f>_xlfn.XLOOKUP(Pipeline_tbl[[#This Row],[Created_Date]],Dim_Date!A:A,Dim_Date!H:H)</f>
        <v>Oct 2025</v>
      </c>
      <c r="T616" t="str">
        <f>IF(Pipeline_tbl[[#This Row],[Closed_Date]]=0,"",(_xlfn.XLOOKUP(Pipeline_tbl[[#This Row],[Closed_Date]],Dim_Date!A:A,Dim_Date!H:H)))</f>
        <v/>
      </c>
      <c r="U616" t="str">
        <f>IF(Pipeline_tbl[[#This Row],[Closed_Date]]=0,"",Pipeline_tbl[[#This Row],[Closed_Date]]-Pipeline_tbl[[#This Row],[Created_Date]])</f>
        <v/>
      </c>
    </row>
    <row r="617" spans="1:21" ht="15" customHeight="1" x14ac:dyDescent="0.2">
      <c r="A617" t="s">
        <v>923</v>
      </c>
      <c r="B617" t="s">
        <v>183</v>
      </c>
      <c r="C617" t="s">
        <v>54</v>
      </c>
      <c r="D617" s="49">
        <v>45951</v>
      </c>
      <c r="E617" s="49">
        <v>45958</v>
      </c>
      <c r="F617" s="49">
        <v>45973</v>
      </c>
      <c r="G617" s="49">
        <v>45995</v>
      </c>
      <c r="H617" s="49">
        <v>46014</v>
      </c>
      <c r="J617" t="s">
        <v>308</v>
      </c>
      <c r="K617" s="33">
        <v>26200</v>
      </c>
      <c r="M617" t="str">
        <f>_xlfn.XLOOKUP(Pipeline_tbl[[#This Row],[Rep_ID]],Dim_Reps!A:A,Dim_Reps!K:K)</f>
        <v>EUR</v>
      </c>
      <c r="N617" s="33">
        <f>(_xlfn.XLOOKUP(Pipeline_tbl[[#This Row],[Rate_Code_Generalized]],Lookups!A:A,Lookups!B:B))*Pipeline_tbl[[#This Row],[Pipeline_Amount_USD]]</f>
        <v>26200</v>
      </c>
      <c r="O617" t="str">
        <f>_xlfn.XLOOKUP(Pipeline_tbl[[#This Row],[Rep_ID]],Dim_Reps!A:A,Dim_Reps!B:B)</f>
        <v>Sam Schmidt</v>
      </c>
      <c r="P617" t="str">
        <f>_xlfn.XLOOKUP(Pipeline_tbl[[#This Row],[Rep_ID]],Dim_Reps!A:A,Dim_Reps!C:C)</f>
        <v>Enterprise AE</v>
      </c>
      <c r="Q617" t="str">
        <f>_xlfn.XLOOKUP(Pipeline_tbl[[#This Row],[Rep_ID]],Dim_Reps!A:A,Dim_Reps!D:D)</f>
        <v>Enterprise</v>
      </c>
      <c r="R617" t="str">
        <f>_xlfn.XLOOKUP(Pipeline_tbl[[#This Row],[Rep_ID]],Dim_Reps!A:A,Dim_Reps!E:E)</f>
        <v>EMEA</v>
      </c>
      <c r="S617" t="str">
        <f>_xlfn.XLOOKUP(Pipeline_tbl[[#This Row],[Created_Date]],Dim_Date!A:A,Dim_Date!H:H)</f>
        <v>Oct 2025</v>
      </c>
      <c r="T617" t="str">
        <f>IF(Pipeline_tbl[[#This Row],[Closed_Date]]=0,"",(_xlfn.XLOOKUP(Pipeline_tbl[[#This Row],[Closed_Date]],Dim_Date!A:A,Dim_Date!H:H)))</f>
        <v/>
      </c>
      <c r="U617" t="str">
        <f>IF(Pipeline_tbl[[#This Row],[Closed_Date]]=0,"",Pipeline_tbl[[#This Row],[Closed_Date]]-Pipeline_tbl[[#This Row],[Created_Date]])</f>
        <v/>
      </c>
    </row>
    <row r="618" spans="1:21" ht="15" customHeight="1" x14ac:dyDescent="0.2">
      <c r="A618" t="s">
        <v>924</v>
      </c>
      <c r="B618" t="s">
        <v>183</v>
      </c>
      <c r="C618" t="s">
        <v>54</v>
      </c>
      <c r="D618" s="49">
        <v>45958</v>
      </c>
      <c r="E618" s="49">
        <v>45966</v>
      </c>
      <c r="F618" s="49">
        <v>45982</v>
      </c>
      <c r="G618" s="49">
        <v>46005</v>
      </c>
      <c r="J618" t="s">
        <v>308</v>
      </c>
      <c r="K618" s="33">
        <v>43500</v>
      </c>
      <c r="M618" t="str">
        <f>_xlfn.XLOOKUP(Pipeline_tbl[[#This Row],[Rep_ID]],Dim_Reps!A:A,Dim_Reps!K:K)</f>
        <v>EUR</v>
      </c>
      <c r="N618" s="33">
        <f>(_xlfn.XLOOKUP(Pipeline_tbl[[#This Row],[Rate_Code_Generalized]],Lookups!A:A,Lookups!B:B))*Pipeline_tbl[[#This Row],[Pipeline_Amount_USD]]</f>
        <v>43500</v>
      </c>
      <c r="O618" t="str">
        <f>_xlfn.XLOOKUP(Pipeline_tbl[[#This Row],[Rep_ID]],Dim_Reps!A:A,Dim_Reps!B:B)</f>
        <v>Sam Schmidt</v>
      </c>
      <c r="P618" t="str">
        <f>_xlfn.XLOOKUP(Pipeline_tbl[[#This Row],[Rep_ID]],Dim_Reps!A:A,Dim_Reps!C:C)</f>
        <v>Enterprise AE</v>
      </c>
      <c r="Q618" t="str">
        <f>_xlfn.XLOOKUP(Pipeline_tbl[[#This Row],[Rep_ID]],Dim_Reps!A:A,Dim_Reps!D:D)</f>
        <v>Enterprise</v>
      </c>
      <c r="R618" t="str">
        <f>_xlfn.XLOOKUP(Pipeline_tbl[[#This Row],[Rep_ID]],Dim_Reps!A:A,Dim_Reps!E:E)</f>
        <v>EMEA</v>
      </c>
      <c r="S618" t="str">
        <f>_xlfn.XLOOKUP(Pipeline_tbl[[#This Row],[Created_Date]],Dim_Date!A:A,Dim_Date!H:H)</f>
        <v>Oct 2025</v>
      </c>
      <c r="T618" t="str">
        <f>IF(Pipeline_tbl[[#This Row],[Closed_Date]]=0,"",(_xlfn.XLOOKUP(Pipeline_tbl[[#This Row],[Closed_Date]],Dim_Date!A:A,Dim_Date!H:H)))</f>
        <v/>
      </c>
      <c r="U618" t="str">
        <f>IF(Pipeline_tbl[[#This Row],[Closed_Date]]=0,"",Pipeline_tbl[[#This Row],[Closed_Date]]-Pipeline_tbl[[#This Row],[Created_Date]])</f>
        <v/>
      </c>
    </row>
    <row r="619" spans="1:21" ht="15" customHeight="1" x14ac:dyDescent="0.2">
      <c r="A619" t="s">
        <v>925</v>
      </c>
      <c r="B619" t="s">
        <v>278</v>
      </c>
      <c r="C619" t="s">
        <v>52</v>
      </c>
      <c r="D619" s="49">
        <v>45950</v>
      </c>
      <c r="E619" s="49">
        <v>45958</v>
      </c>
      <c r="F619" s="49">
        <v>45973</v>
      </c>
      <c r="G619" s="49">
        <v>45996</v>
      </c>
      <c r="H619" s="49">
        <v>46015</v>
      </c>
      <c r="J619" t="s">
        <v>308</v>
      </c>
      <c r="K619" s="33">
        <v>41000</v>
      </c>
      <c r="M619" t="str">
        <f>_xlfn.XLOOKUP(Pipeline_tbl[[#This Row],[Rep_ID]],Dim_Reps!A:A,Dim_Reps!K:K)</f>
        <v>EUR</v>
      </c>
      <c r="N619" s="33">
        <f>(_xlfn.XLOOKUP(Pipeline_tbl[[#This Row],[Rate_Code_Generalized]],Lookups!A:A,Lookups!B:B))*Pipeline_tbl[[#This Row],[Pipeline_Amount_USD]]</f>
        <v>41000</v>
      </c>
      <c r="O619" t="str">
        <f>_xlfn.XLOOKUP(Pipeline_tbl[[#This Row],[Rep_ID]],Dim_Reps!A:A,Dim_Reps!B:B)</f>
        <v>Sara Andersson</v>
      </c>
      <c r="P619" t="str">
        <f>_xlfn.XLOOKUP(Pipeline_tbl[[#This Row],[Rep_ID]],Dim_Reps!A:A,Dim_Reps!C:C)</f>
        <v>Senior Enterprise AE</v>
      </c>
      <c r="Q619" t="str">
        <f>_xlfn.XLOOKUP(Pipeline_tbl[[#This Row],[Rep_ID]],Dim_Reps!A:A,Dim_Reps!D:D)</f>
        <v>Strategic</v>
      </c>
      <c r="R619" t="str">
        <f>_xlfn.XLOOKUP(Pipeline_tbl[[#This Row],[Rep_ID]],Dim_Reps!A:A,Dim_Reps!E:E)</f>
        <v>APAC</v>
      </c>
      <c r="S619" t="str">
        <f>_xlfn.XLOOKUP(Pipeline_tbl[[#This Row],[Created_Date]],Dim_Date!A:A,Dim_Date!H:H)</f>
        <v>Oct 2025</v>
      </c>
      <c r="T619" t="str">
        <f>IF(Pipeline_tbl[[#This Row],[Closed_Date]]=0,"",(_xlfn.XLOOKUP(Pipeline_tbl[[#This Row],[Closed_Date]],Dim_Date!A:A,Dim_Date!H:H)))</f>
        <v/>
      </c>
      <c r="U619" t="str">
        <f>IF(Pipeline_tbl[[#This Row],[Closed_Date]]=0,"",Pipeline_tbl[[#This Row],[Closed_Date]]-Pipeline_tbl[[#This Row],[Created_Date]])</f>
        <v/>
      </c>
    </row>
    <row r="620" spans="1:21" ht="15" customHeight="1" x14ac:dyDescent="0.2">
      <c r="A620" t="s">
        <v>926</v>
      </c>
      <c r="B620" t="s">
        <v>278</v>
      </c>
      <c r="C620" t="s">
        <v>53</v>
      </c>
      <c r="D620" s="49">
        <v>45959</v>
      </c>
      <c r="E620" s="49">
        <v>45968</v>
      </c>
      <c r="F620" s="49">
        <v>45987</v>
      </c>
      <c r="G620" s="49">
        <v>46015</v>
      </c>
      <c r="J620" t="s">
        <v>308</v>
      </c>
      <c r="K620" s="33">
        <v>78300</v>
      </c>
      <c r="M620" t="str">
        <f>_xlfn.XLOOKUP(Pipeline_tbl[[#This Row],[Rep_ID]],Dim_Reps!A:A,Dim_Reps!K:K)</f>
        <v>EUR</v>
      </c>
      <c r="N620" s="33">
        <f>(_xlfn.XLOOKUP(Pipeline_tbl[[#This Row],[Rate_Code_Generalized]],Lookups!A:A,Lookups!B:B))*Pipeline_tbl[[#This Row],[Pipeline_Amount_USD]]</f>
        <v>78300</v>
      </c>
      <c r="O620" t="str">
        <f>_xlfn.XLOOKUP(Pipeline_tbl[[#This Row],[Rep_ID]],Dim_Reps!A:A,Dim_Reps!B:B)</f>
        <v>Sara Andersson</v>
      </c>
      <c r="P620" t="str">
        <f>_xlfn.XLOOKUP(Pipeline_tbl[[#This Row],[Rep_ID]],Dim_Reps!A:A,Dim_Reps!C:C)</f>
        <v>Senior Enterprise AE</v>
      </c>
      <c r="Q620" t="str">
        <f>_xlfn.XLOOKUP(Pipeline_tbl[[#This Row],[Rep_ID]],Dim_Reps!A:A,Dim_Reps!D:D)</f>
        <v>Strategic</v>
      </c>
      <c r="R620" t="str">
        <f>_xlfn.XLOOKUP(Pipeline_tbl[[#This Row],[Rep_ID]],Dim_Reps!A:A,Dim_Reps!E:E)</f>
        <v>APAC</v>
      </c>
      <c r="S620" t="str">
        <f>_xlfn.XLOOKUP(Pipeline_tbl[[#This Row],[Created_Date]],Dim_Date!A:A,Dim_Date!H:H)</f>
        <v>Oct 2025</v>
      </c>
      <c r="T620" t="str">
        <f>IF(Pipeline_tbl[[#This Row],[Closed_Date]]=0,"",(_xlfn.XLOOKUP(Pipeline_tbl[[#This Row],[Closed_Date]],Dim_Date!A:A,Dim_Date!H:H)))</f>
        <v/>
      </c>
      <c r="U620" t="str">
        <f>IF(Pipeline_tbl[[#This Row],[Closed_Date]]=0,"",Pipeline_tbl[[#This Row],[Closed_Date]]-Pipeline_tbl[[#This Row],[Created_Date]])</f>
        <v/>
      </c>
    </row>
    <row r="621" spans="1:21" ht="15" customHeight="1" x14ac:dyDescent="0.2">
      <c r="A621" t="s">
        <v>927</v>
      </c>
      <c r="B621" t="s">
        <v>278</v>
      </c>
      <c r="C621" t="s">
        <v>54</v>
      </c>
      <c r="D621" s="49">
        <v>45961</v>
      </c>
      <c r="E621" s="49">
        <v>45967</v>
      </c>
      <c r="F621" s="49">
        <v>45980</v>
      </c>
      <c r="G621" s="49">
        <v>45999</v>
      </c>
      <c r="H621" s="49">
        <v>46015</v>
      </c>
      <c r="J621" t="s">
        <v>308</v>
      </c>
      <c r="K621" s="33">
        <v>35100</v>
      </c>
      <c r="M621" t="str">
        <f>_xlfn.XLOOKUP(Pipeline_tbl[[#This Row],[Rep_ID]],Dim_Reps!A:A,Dim_Reps!K:K)</f>
        <v>EUR</v>
      </c>
      <c r="N621" s="33">
        <f>(_xlfn.XLOOKUP(Pipeline_tbl[[#This Row],[Rate_Code_Generalized]],Lookups!A:A,Lookups!B:B))*Pipeline_tbl[[#This Row],[Pipeline_Amount_USD]]</f>
        <v>35100</v>
      </c>
      <c r="O621" t="str">
        <f>_xlfn.XLOOKUP(Pipeline_tbl[[#This Row],[Rep_ID]],Dim_Reps!A:A,Dim_Reps!B:B)</f>
        <v>Sara Andersson</v>
      </c>
      <c r="P621" t="str">
        <f>_xlfn.XLOOKUP(Pipeline_tbl[[#This Row],[Rep_ID]],Dim_Reps!A:A,Dim_Reps!C:C)</f>
        <v>Senior Enterprise AE</v>
      </c>
      <c r="Q621" t="str">
        <f>_xlfn.XLOOKUP(Pipeline_tbl[[#This Row],[Rep_ID]],Dim_Reps!A:A,Dim_Reps!D:D)</f>
        <v>Strategic</v>
      </c>
      <c r="R621" t="str">
        <f>_xlfn.XLOOKUP(Pipeline_tbl[[#This Row],[Rep_ID]],Dim_Reps!A:A,Dim_Reps!E:E)</f>
        <v>APAC</v>
      </c>
      <c r="S621" t="str">
        <f>_xlfn.XLOOKUP(Pipeline_tbl[[#This Row],[Created_Date]],Dim_Date!A:A,Dim_Date!H:H)</f>
        <v>Oct 2025</v>
      </c>
      <c r="T621" t="str">
        <f>IF(Pipeline_tbl[[#This Row],[Closed_Date]]=0,"",(_xlfn.XLOOKUP(Pipeline_tbl[[#This Row],[Closed_Date]],Dim_Date!A:A,Dim_Date!H:H)))</f>
        <v/>
      </c>
      <c r="U621" t="str">
        <f>IF(Pipeline_tbl[[#This Row],[Closed_Date]]=0,"",Pipeline_tbl[[#This Row],[Closed_Date]]-Pipeline_tbl[[#This Row],[Created_Date]])</f>
        <v/>
      </c>
    </row>
    <row r="622" spans="1:21" ht="15" customHeight="1" x14ac:dyDescent="0.2">
      <c r="A622" t="s">
        <v>928</v>
      </c>
      <c r="B622" t="s">
        <v>185</v>
      </c>
      <c r="C622" t="s">
        <v>55</v>
      </c>
      <c r="D622" s="49">
        <v>45959</v>
      </c>
      <c r="E622" s="49">
        <v>45966</v>
      </c>
      <c r="F622" s="49">
        <v>45980</v>
      </c>
      <c r="G622" s="49">
        <v>46002</v>
      </c>
      <c r="H622" s="49">
        <v>46019</v>
      </c>
      <c r="J622" t="s">
        <v>308</v>
      </c>
      <c r="K622" s="33">
        <v>31700</v>
      </c>
      <c r="M622" t="str">
        <f>_xlfn.XLOOKUP(Pipeline_tbl[[#This Row],[Rep_ID]],Dim_Reps!A:A,Dim_Reps!K:K)</f>
        <v>MXN</v>
      </c>
      <c r="N622" s="33">
        <f>(_xlfn.XLOOKUP(Pipeline_tbl[[#This Row],[Rate_Code_Generalized]],Lookups!A:A,Lookups!B:B))*Pipeline_tbl[[#This Row],[Pipeline_Amount_USD]]</f>
        <v>625526.59000000008</v>
      </c>
      <c r="O622" t="str">
        <f>_xlfn.XLOOKUP(Pipeline_tbl[[#This Row],[Rep_ID]],Dim_Reps!A:A,Dim_Reps!B:B)</f>
        <v>Noah Kim</v>
      </c>
      <c r="P622" t="str">
        <f>_xlfn.XLOOKUP(Pipeline_tbl[[#This Row],[Rep_ID]],Dim_Reps!A:A,Dim_Reps!C:C)</f>
        <v>Enterprise AE</v>
      </c>
      <c r="Q622" t="str">
        <f>_xlfn.XLOOKUP(Pipeline_tbl[[#This Row],[Rep_ID]],Dim_Reps!A:A,Dim_Reps!D:D)</f>
        <v>Enterprise</v>
      </c>
      <c r="R622" t="str">
        <f>_xlfn.XLOOKUP(Pipeline_tbl[[#This Row],[Rep_ID]],Dim_Reps!A:A,Dim_Reps!E:E)</f>
        <v>LATAM</v>
      </c>
      <c r="S622" t="str">
        <f>_xlfn.XLOOKUP(Pipeline_tbl[[#This Row],[Created_Date]],Dim_Date!A:A,Dim_Date!H:H)</f>
        <v>Oct 2025</v>
      </c>
      <c r="T622" t="str">
        <f>IF(Pipeline_tbl[[#This Row],[Closed_Date]]=0,"",(_xlfn.XLOOKUP(Pipeline_tbl[[#This Row],[Closed_Date]],Dim_Date!A:A,Dim_Date!H:H)))</f>
        <v/>
      </c>
      <c r="U622" t="str">
        <f>IF(Pipeline_tbl[[#This Row],[Closed_Date]]=0,"",Pipeline_tbl[[#This Row],[Closed_Date]]-Pipeline_tbl[[#This Row],[Created_Date]])</f>
        <v/>
      </c>
    </row>
    <row r="623" spans="1:21" ht="15" customHeight="1" x14ac:dyDescent="0.2">
      <c r="A623" t="s">
        <v>929</v>
      </c>
      <c r="B623" t="s">
        <v>188</v>
      </c>
      <c r="C623" t="s">
        <v>53</v>
      </c>
      <c r="D623" s="49">
        <v>45952</v>
      </c>
      <c r="E623" s="49">
        <v>45960</v>
      </c>
      <c r="F623" s="49">
        <v>45976</v>
      </c>
      <c r="G623" s="49">
        <v>46000</v>
      </c>
      <c r="H623" s="49">
        <v>46020</v>
      </c>
      <c r="J623" t="s">
        <v>308</v>
      </c>
      <c r="K623" s="33">
        <v>58600</v>
      </c>
      <c r="M623" t="str">
        <f>_xlfn.XLOOKUP(Pipeline_tbl[[#This Row],[Rep_ID]],Dim_Reps!A:A,Dim_Reps!K:K)</f>
        <v>EUR</v>
      </c>
      <c r="N623" s="33">
        <f>(_xlfn.XLOOKUP(Pipeline_tbl[[#This Row],[Rate_Code_Generalized]],Lookups!A:A,Lookups!B:B))*Pipeline_tbl[[#This Row],[Pipeline_Amount_USD]]</f>
        <v>58600</v>
      </c>
      <c r="O623" t="str">
        <f>_xlfn.XLOOKUP(Pipeline_tbl[[#This Row],[Rep_ID]],Dim_Reps!A:A,Dim_Reps!B:B)</f>
        <v>Jamie Santos</v>
      </c>
      <c r="P623" t="str">
        <f>_xlfn.XLOOKUP(Pipeline_tbl[[#This Row],[Rep_ID]],Dim_Reps!A:A,Dim_Reps!C:C)</f>
        <v>Enterprise AE</v>
      </c>
      <c r="Q623" t="str">
        <f>_xlfn.XLOOKUP(Pipeline_tbl[[#This Row],[Rep_ID]],Dim_Reps!A:A,Dim_Reps!D:D)</f>
        <v>Enterprise</v>
      </c>
      <c r="R623" t="str">
        <f>_xlfn.XLOOKUP(Pipeline_tbl[[#This Row],[Rep_ID]],Dim_Reps!A:A,Dim_Reps!E:E)</f>
        <v>APAC</v>
      </c>
      <c r="S623" t="str">
        <f>_xlfn.XLOOKUP(Pipeline_tbl[[#This Row],[Created_Date]],Dim_Date!A:A,Dim_Date!H:H)</f>
        <v>Oct 2025</v>
      </c>
      <c r="T623" t="str">
        <f>IF(Pipeline_tbl[[#This Row],[Closed_Date]]=0,"",(_xlfn.XLOOKUP(Pipeline_tbl[[#This Row],[Closed_Date]],Dim_Date!A:A,Dim_Date!H:H)))</f>
        <v/>
      </c>
      <c r="U623" t="str">
        <f>IF(Pipeline_tbl[[#This Row],[Closed_Date]]=0,"",Pipeline_tbl[[#This Row],[Closed_Date]]-Pipeline_tbl[[#This Row],[Created_Date]])</f>
        <v/>
      </c>
    </row>
    <row r="624" spans="1:21" ht="15" customHeight="1" x14ac:dyDescent="0.2">
      <c r="A624" t="s">
        <v>930</v>
      </c>
      <c r="B624" t="s">
        <v>188</v>
      </c>
      <c r="C624" t="s">
        <v>54</v>
      </c>
      <c r="D624" s="49">
        <v>45959</v>
      </c>
      <c r="E624" s="49">
        <v>45965</v>
      </c>
      <c r="F624" s="49">
        <v>45979</v>
      </c>
      <c r="G624" s="49">
        <v>45998</v>
      </c>
      <c r="H624" s="49">
        <v>46014</v>
      </c>
      <c r="J624" t="s">
        <v>308</v>
      </c>
      <c r="K624" s="33">
        <v>38600</v>
      </c>
      <c r="M624" t="str">
        <f>_xlfn.XLOOKUP(Pipeline_tbl[[#This Row],[Rep_ID]],Dim_Reps!A:A,Dim_Reps!K:K)</f>
        <v>EUR</v>
      </c>
      <c r="N624" s="33">
        <f>(_xlfn.XLOOKUP(Pipeline_tbl[[#This Row],[Rate_Code_Generalized]],Lookups!A:A,Lookups!B:B))*Pipeline_tbl[[#This Row],[Pipeline_Amount_USD]]</f>
        <v>38600</v>
      </c>
      <c r="O624" t="str">
        <f>_xlfn.XLOOKUP(Pipeline_tbl[[#This Row],[Rep_ID]],Dim_Reps!A:A,Dim_Reps!B:B)</f>
        <v>Jamie Santos</v>
      </c>
      <c r="P624" t="str">
        <f>_xlfn.XLOOKUP(Pipeline_tbl[[#This Row],[Rep_ID]],Dim_Reps!A:A,Dim_Reps!C:C)</f>
        <v>Enterprise AE</v>
      </c>
      <c r="Q624" t="str">
        <f>_xlfn.XLOOKUP(Pipeline_tbl[[#This Row],[Rep_ID]],Dim_Reps!A:A,Dim_Reps!D:D)</f>
        <v>Enterprise</v>
      </c>
      <c r="R624" t="str">
        <f>_xlfn.XLOOKUP(Pipeline_tbl[[#This Row],[Rep_ID]],Dim_Reps!A:A,Dim_Reps!E:E)</f>
        <v>APAC</v>
      </c>
      <c r="S624" t="str">
        <f>_xlfn.XLOOKUP(Pipeline_tbl[[#This Row],[Created_Date]],Dim_Date!A:A,Dim_Date!H:H)</f>
        <v>Oct 2025</v>
      </c>
      <c r="T624" t="str">
        <f>IF(Pipeline_tbl[[#This Row],[Closed_Date]]=0,"",(_xlfn.XLOOKUP(Pipeline_tbl[[#This Row],[Closed_Date]],Dim_Date!A:A,Dim_Date!H:H)))</f>
        <v/>
      </c>
      <c r="U624" t="str">
        <f>IF(Pipeline_tbl[[#This Row],[Closed_Date]]=0,"",Pipeline_tbl[[#This Row],[Closed_Date]]-Pipeline_tbl[[#This Row],[Created_Date]])</f>
        <v/>
      </c>
    </row>
    <row r="625" spans="1:21" ht="15" customHeight="1" x14ac:dyDescent="0.2">
      <c r="A625" t="s">
        <v>931</v>
      </c>
      <c r="B625" t="s">
        <v>188</v>
      </c>
      <c r="C625" t="s">
        <v>54</v>
      </c>
      <c r="D625" s="49">
        <v>45959</v>
      </c>
      <c r="E625" s="49">
        <v>45967</v>
      </c>
      <c r="F625" s="49">
        <v>45982</v>
      </c>
      <c r="G625" s="49">
        <v>46004</v>
      </c>
      <c r="J625" t="s">
        <v>308</v>
      </c>
      <c r="K625" s="33">
        <v>19700</v>
      </c>
      <c r="M625" t="str">
        <f>_xlfn.XLOOKUP(Pipeline_tbl[[#This Row],[Rep_ID]],Dim_Reps!A:A,Dim_Reps!K:K)</f>
        <v>EUR</v>
      </c>
      <c r="N625" s="33">
        <f>(_xlfn.XLOOKUP(Pipeline_tbl[[#This Row],[Rate_Code_Generalized]],Lookups!A:A,Lookups!B:B))*Pipeline_tbl[[#This Row],[Pipeline_Amount_USD]]</f>
        <v>19700</v>
      </c>
      <c r="O625" t="str">
        <f>_xlfn.XLOOKUP(Pipeline_tbl[[#This Row],[Rep_ID]],Dim_Reps!A:A,Dim_Reps!B:B)</f>
        <v>Jamie Santos</v>
      </c>
      <c r="P625" t="str">
        <f>_xlfn.XLOOKUP(Pipeline_tbl[[#This Row],[Rep_ID]],Dim_Reps!A:A,Dim_Reps!C:C)</f>
        <v>Enterprise AE</v>
      </c>
      <c r="Q625" t="str">
        <f>_xlfn.XLOOKUP(Pipeline_tbl[[#This Row],[Rep_ID]],Dim_Reps!A:A,Dim_Reps!D:D)</f>
        <v>Enterprise</v>
      </c>
      <c r="R625" t="str">
        <f>_xlfn.XLOOKUP(Pipeline_tbl[[#This Row],[Rep_ID]],Dim_Reps!A:A,Dim_Reps!E:E)</f>
        <v>APAC</v>
      </c>
      <c r="S625" t="str">
        <f>_xlfn.XLOOKUP(Pipeline_tbl[[#This Row],[Created_Date]],Dim_Date!A:A,Dim_Date!H:H)</f>
        <v>Oct 2025</v>
      </c>
      <c r="T625" t="str">
        <f>IF(Pipeline_tbl[[#This Row],[Closed_Date]]=0,"",(_xlfn.XLOOKUP(Pipeline_tbl[[#This Row],[Closed_Date]],Dim_Date!A:A,Dim_Date!H:H)))</f>
        <v/>
      </c>
      <c r="U625" t="str">
        <f>IF(Pipeline_tbl[[#This Row],[Closed_Date]]=0,"",Pipeline_tbl[[#This Row],[Closed_Date]]-Pipeline_tbl[[#This Row],[Created_Date]])</f>
        <v/>
      </c>
    </row>
    <row r="626" spans="1:21" ht="15" customHeight="1" x14ac:dyDescent="0.2">
      <c r="A626" t="s">
        <v>932</v>
      </c>
      <c r="B626" t="s">
        <v>188</v>
      </c>
      <c r="C626" t="s">
        <v>53</v>
      </c>
      <c r="D626" s="49">
        <v>45953</v>
      </c>
      <c r="E626" s="49">
        <v>45960</v>
      </c>
      <c r="F626" s="49">
        <v>45975</v>
      </c>
      <c r="G626" s="49">
        <v>45996</v>
      </c>
      <c r="H626" s="49">
        <v>46014</v>
      </c>
      <c r="J626" t="s">
        <v>308</v>
      </c>
      <c r="K626" s="33">
        <v>71300</v>
      </c>
      <c r="M626" t="str">
        <f>_xlfn.XLOOKUP(Pipeline_tbl[[#This Row],[Rep_ID]],Dim_Reps!A:A,Dim_Reps!K:K)</f>
        <v>EUR</v>
      </c>
      <c r="N626" s="33">
        <f>(_xlfn.XLOOKUP(Pipeline_tbl[[#This Row],[Rate_Code_Generalized]],Lookups!A:A,Lookups!B:B))*Pipeline_tbl[[#This Row],[Pipeline_Amount_USD]]</f>
        <v>71300</v>
      </c>
      <c r="O626" t="str">
        <f>_xlfn.XLOOKUP(Pipeline_tbl[[#This Row],[Rep_ID]],Dim_Reps!A:A,Dim_Reps!B:B)</f>
        <v>Jamie Santos</v>
      </c>
      <c r="P626" t="str">
        <f>_xlfn.XLOOKUP(Pipeline_tbl[[#This Row],[Rep_ID]],Dim_Reps!A:A,Dim_Reps!C:C)</f>
        <v>Enterprise AE</v>
      </c>
      <c r="Q626" t="str">
        <f>_xlfn.XLOOKUP(Pipeline_tbl[[#This Row],[Rep_ID]],Dim_Reps!A:A,Dim_Reps!D:D)</f>
        <v>Enterprise</v>
      </c>
      <c r="R626" t="str">
        <f>_xlfn.XLOOKUP(Pipeline_tbl[[#This Row],[Rep_ID]],Dim_Reps!A:A,Dim_Reps!E:E)</f>
        <v>APAC</v>
      </c>
      <c r="S626" t="str">
        <f>_xlfn.XLOOKUP(Pipeline_tbl[[#This Row],[Created_Date]],Dim_Date!A:A,Dim_Date!H:H)</f>
        <v>Oct 2025</v>
      </c>
      <c r="T626" t="str">
        <f>IF(Pipeline_tbl[[#This Row],[Closed_Date]]=0,"",(_xlfn.XLOOKUP(Pipeline_tbl[[#This Row],[Closed_Date]],Dim_Date!A:A,Dim_Date!H:H)))</f>
        <v/>
      </c>
      <c r="U626" t="str">
        <f>IF(Pipeline_tbl[[#This Row],[Closed_Date]]=0,"",Pipeline_tbl[[#This Row],[Closed_Date]]-Pipeline_tbl[[#This Row],[Created_Date]])</f>
        <v/>
      </c>
    </row>
    <row r="627" spans="1:21" ht="15" customHeight="1" x14ac:dyDescent="0.2">
      <c r="A627" t="s">
        <v>933</v>
      </c>
      <c r="B627" t="s">
        <v>280</v>
      </c>
      <c r="C627" t="s">
        <v>53</v>
      </c>
      <c r="D627" s="49">
        <v>45942</v>
      </c>
      <c r="E627" s="49">
        <v>45951</v>
      </c>
      <c r="F627" s="49">
        <v>45969</v>
      </c>
      <c r="G627" s="49">
        <v>45997</v>
      </c>
      <c r="H627" s="49">
        <v>46019</v>
      </c>
      <c r="J627" t="s">
        <v>308</v>
      </c>
      <c r="K627" s="33">
        <v>136700</v>
      </c>
      <c r="M627" t="str">
        <f>_xlfn.XLOOKUP(Pipeline_tbl[[#This Row],[Rep_ID]],Dim_Reps!A:A,Dim_Reps!K:K)</f>
        <v>MXN</v>
      </c>
      <c r="N627" s="33">
        <f>(_xlfn.XLOOKUP(Pipeline_tbl[[#This Row],[Rate_Code_Generalized]],Lookups!A:A,Lookups!B:B))*Pipeline_tbl[[#This Row],[Pipeline_Amount_USD]]</f>
        <v>2697460.0900000003</v>
      </c>
      <c r="O627" t="str">
        <f>_xlfn.XLOOKUP(Pipeline_tbl[[#This Row],[Rep_ID]],Dim_Reps!A:A,Dim_Reps!B:B)</f>
        <v>Cameron Lund</v>
      </c>
      <c r="P627" t="str">
        <f>_xlfn.XLOOKUP(Pipeline_tbl[[#This Row],[Rep_ID]],Dim_Reps!A:A,Dim_Reps!C:C)</f>
        <v>Senior Enterprise AE</v>
      </c>
      <c r="Q627" t="str">
        <f>_xlfn.XLOOKUP(Pipeline_tbl[[#This Row],[Rep_ID]],Dim_Reps!A:A,Dim_Reps!D:D)</f>
        <v>Strategic</v>
      </c>
      <c r="R627" t="str">
        <f>_xlfn.XLOOKUP(Pipeline_tbl[[#This Row],[Rep_ID]],Dim_Reps!A:A,Dim_Reps!E:E)</f>
        <v>LATAM</v>
      </c>
      <c r="S627" t="str">
        <f>_xlfn.XLOOKUP(Pipeline_tbl[[#This Row],[Created_Date]],Dim_Date!A:A,Dim_Date!H:H)</f>
        <v>Oct 2025</v>
      </c>
      <c r="T627" t="str">
        <f>IF(Pipeline_tbl[[#This Row],[Closed_Date]]=0,"",(_xlfn.XLOOKUP(Pipeline_tbl[[#This Row],[Closed_Date]],Dim_Date!A:A,Dim_Date!H:H)))</f>
        <v/>
      </c>
      <c r="U627" t="str">
        <f>IF(Pipeline_tbl[[#This Row],[Closed_Date]]=0,"",Pipeline_tbl[[#This Row],[Closed_Date]]-Pipeline_tbl[[#This Row],[Created_Date]])</f>
        <v/>
      </c>
    </row>
    <row r="628" spans="1:21" ht="15" customHeight="1" x14ac:dyDescent="0.2">
      <c r="A628" t="s">
        <v>934</v>
      </c>
      <c r="B628" t="s">
        <v>280</v>
      </c>
      <c r="C628" t="s">
        <v>52</v>
      </c>
      <c r="D628" s="49">
        <v>45948</v>
      </c>
      <c r="E628" s="49">
        <v>45956</v>
      </c>
      <c r="F628" s="49">
        <v>45974</v>
      </c>
      <c r="G628" s="49">
        <v>45999</v>
      </c>
      <c r="H628" s="49">
        <v>46020</v>
      </c>
      <c r="J628" t="s">
        <v>308</v>
      </c>
      <c r="K628" s="33">
        <v>54400</v>
      </c>
      <c r="M628" t="str">
        <f>_xlfn.XLOOKUP(Pipeline_tbl[[#This Row],[Rep_ID]],Dim_Reps!A:A,Dim_Reps!K:K)</f>
        <v>MXN</v>
      </c>
      <c r="N628" s="33">
        <f>(_xlfn.XLOOKUP(Pipeline_tbl[[#This Row],[Rate_Code_Generalized]],Lookups!A:A,Lookups!B:B))*Pipeline_tbl[[#This Row],[Pipeline_Amount_USD]]</f>
        <v>1073458.8800000001</v>
      </c>
      <c r="O628" t="str">
        <f>_xlfn.XLOOKUP(Pipeline_tbl[[#This Row],[Rep_ID]],Dim_Reps!A:A,Dim_Reps!B:B)</f>
        <v>Cameron Lund</v>
      </c>
      <c r="P628" t="str">
        <f>_xlfn.XLOOKUP(Pipeline_tbl[[#This Row],[Rep_ID]],Dim_Reps!A:A,Dim_Reps!C:C)</f>
        <v>Senior Enterprise AE</v>
      </c>
      <c r="Q628" t="str">
        <f>_xlfn.XLOOKUP(Pipeline_tbl[[#This Row],[Rep_ID]],Dim_Reps!A:A,Dim_Reps!D:D)</f>
        <v>Strategic</v>
      </c>
      <c r="R628" t="str">
        <f>_xlfn.XLOOKUP(Pipeline_tbl[[#This Row],[Rep_ID]],Dim_Reps!A:A,Dim_Reps!E:E)</f>
        <v>LATAM</v>
      </c>
      <c r="S628" t="str">
        <f>_xlfn.XLOOKUP(Pipeline_tbl[[#This Row],[Created_Date]],Dim_Date!A:A,Dim_Date!H:H)</f>
        <v>Oct 2025</v>
      </c>
      <c r="T628" t="str">
        <f>IF(Pipeline_tbl[[#This Row],[Closed_Date]]=0,"",(_xlfn.XLOOKUP(Pipeline_tbl[[#This Row],[Closed_Date]],Dim_Date!A:A,Dim_Date!H:H)))</f>
        <v/>
      </c>
      <c r="U628" t="str">
        <f>IF(Pipeline_tbl[[#This Row],[Closed_Date]]=0,"",Pipeline_tbl[[#This Row],[Closed_Date]]-Pipeline_tbl[[#This Row],[Created_Date]])</f>
        <v/>
      </c>
    </row>
    <row r="629" spans="1:21" ht="15" customHeight="1" x14ac:dyDescent="0.2">
      <c r="A629" t="s">
        <v>935</v>
      </c>
      <c r="B629" t="s">
        <v>280</v>
      </c>
      <c r="C629" t="s">
        <v>54</v>
      </c>
      <c r="D629" s="49">
        <v>45950</v>
      </c>
      <c r="E629" s="49">
        <v>45958</v>
      </c>
      <c r="F629" s="49">
        <v>45975</v>
      </c>
      <c r="G629" s="49">
        <v>45999</v>
      </c>
      <c r="H629" s="49">
        <v>46020</v>
      </c>
      <c r="J629" t="s">
        <v>308</v>
      </c>
      <c r="K629" s="33">
        <v>18300</v>
      </c>
      <c r="M629" t="str">
        <f>_xlfn.XLOOKUP(Pipeline_tbl[[#This Row],[Rep_ID]],Dim_Reps!A:A,Dim_Reps!K:K)</f>
        <v>MXN</v>
      </c>
      <c r="N629" s="33">
        <f>(_xlfn.XLOOKUP(Pipeline_tbl[[#This Row],[Rate_Code_Generalized]],Lookups!A:A,Lookups!B:B))*Pipeline_tbl[[#This Row],[Pipeline_Amount_USD]]</f>
        <v>361108.41000000003</v>
      </c>
      <c r="O629" t="str">
        <f>_xlfn.XLOOKUP(Pipeline_tbl[[#This Row],[Rep_ID]],Dim_Reps!A:A,Dim_Reps!B:B)</f>
        <v>Cameron Lund</v>
      </c>
      <c r="P629" t="str">
        <f>_xlfn.XLOOKUP(Pipeline_tbl[[#This Row],[Rep_ID]],Dim_Reps!A:A,Dim_Reps!C:C)</f>
        <v>Senior Enterprise AE</v>
      </c>
      <c r="Q629" t="str">
        <f>_xlfn.XLOOKUP(Pipeline_tbl[[#This Row],[Rep_ID]],Dim_Reps!A:A,Dim_Reps!D:D)</f>
        <v>Strategic</v>
      </c>
      <c r="R629" t="str">
        <f>_xlfn.XLOOKUP(Pipeline_tbl[[#This Row],[Rep_ID]],Dim_Reps!A:A,Dim_Reps!E:E)</f>
        <v>LATAM</v>
      </c>
      <c r="S629" t="str">
        <f>_xlfn.XLOOKUP(Pipeline_tbl[[#This Row],[Created_Date]],Dim_Date!A:A,Dim_Date!H:H)</f>
        <v>Oct 2025</v>
      </c>
      <c r="T629" t="str">
        <f>IF(Pipeline_tbl[[#This Row],[Closed_Date]]=0,"",(_xlfn.XLOOKUP(Pipeline_tbl[[#This Row],[Closed_Date]],Dim_Date!A:A,Dim_Date!H:H)))</f>
        <v/>
      </c>
      <c r="U629" t="str">
        <f>IF(Pipeline_tbl[[#This Row],[Closed_Date]]=0,"",Pipeline_tbl[[#This Row],[Closed_Date]]-Pipeline_tbl[[#This Row],[Created_Date]])</f>
        <v/>
      </c>
    </row>
    <row r="630" spans="1:21" ht="15" customHeight="1" x14ac:dyDescent="0.2">
      <c r="A630" t="s">
        <v>936</v>
      </c>
      <c r="B630" t="s">
        <v>282</v>
      </c>
      <c r="C630" t="s">
        <v>52</v>
      </c>
      <c r="D630" s="49">
        <v>45938</v>
      </c>
      <c r="E630" s="49">
        <v>45951</v>
      </c>
      <c r="F630" s="49">
        <v>45976</v>
      </c>
      <c r="G630" s="49">
        <v>46014</v>
      </c>
      <c r="J630" t="s">
        <v>308</v>
      </c>
      <c r="K630" s="33">
        <v>30000</v>
      </c>
      <c r="M630" t="str">
        <f>_xlfn.XLOOKUP(Pipeline_tbl[[#This Row],[Rep_ID]],Dim_Reps!A:A,Dim_Reps!K:K)</f>
        <v>USD</v>
      </c>
      <c r="N630" s="33">
        <f>(_xlfn.XLOOKUP(Pipeline_tbl[[#This Row],[Rate_Code_Generalized]],Lookups!A:A,Lookups!B:B))*Pipeline_tbl[[#This Row],[Pipeline_Amount_USD]]</f>
        <v>34929</v>
      </c>
      <c r="O630" t="str">
        <f>_xlfn.XLOOKUP(Pipeline_tbl[[#This Row],[Rep_ID]],Dim_Reps!A:A,Dim_Reps!B:B)</f>
        <v>Fatima Rossi</v>
      </c>
      <c r="P630" t="str">
        <f>_xlfn.XLOOKUP(Pipeline_tbl[[#This Row],[Rep_ID]],Dim_Reps!A:A,Dim_Reps!C:C)</f>
        <v>Senior Enterprise AE</v>
      </c>
      <c r="Q630" t="str">
        <f>_xlfn.XLOOKUP(Pipeline_tbl[[#This Row],[Rep_ID]],Dim_Reps!A:A,Dim_Reps!D:D)</f>
        <v>Strategic</v>
      </c>
      <c r="R630" t="str">
        <f>_xlfn.XLOOKUP(Pipeline_tbl[[#This Row],[Rep_ID]],Dim_Reps!A:A,Dim_Reps!E:E)</f>
        <v>NAMER</v>
      </c>
      <c r="S630" t="str">
        <f>_xlfn.XLOOKUP(Pipeline_tbl[[#This Row],[Created_Date]],Dim_Date!A:A,Dim_Date!H:H)</f>
        <v>Oct 2025</v>
      </c>
      <c r="T630" t="str">
        <f>IF(Pipeline_tbl[[#This Row],[Closed_Date]]=0,"",(_xlfn.XLOOKUP(Pipeline_tbl[[#This Row],[Closed_Date]],Dim_Date!A:A,Dim_Date!H:H)))</f>
        <v/>
      </c>
      <c r="U630" t="str">
        <f>IF(Pipeline_tbl[[#This Row],[Closed_Date]]=0,"",Pipeline_tbl[[#This Row],[Closed_Date]]-Pipeline_tbl[[#This Row],[Created_Date]])</f>
        <v/>
      </c>
    </row>
    <row r="631" spans="1:21" ht="15" customHeight="1" x14ac:dyDescent="0.2">
      <c r="A631" t="s">
        <v>937</v>
      </c>
      <c r="B631" t="s">
        <v>282</v>
      </c>
      <c r="C631" t="s">
        <v>52</v>
      </c>
      <c r="D631" s="49">
        <v>45957</v>
      </c>
      <c r="E631" s="49">
        <v>45967</v>
      </c>
      <c r="F631" s="49">
        <v>45988</v>
      </c>
      <c r="G631" s="49">
        <v>46018</v>
      </c>
      <c r="J631" t="s">
        <v>308</v>
      </c>
      <c r="K631" s="33">
        <v>30200</v>
      </c>
      <c r="M631" t="str">
        <f>_xlfn.XLOOKUP(Pipeline_tbl[[#This Row],[Rep_ID]],Dim_Reps!A:A,Dim_Reps!K:K)</f>
        <v>USD</v>
      </c>
      <c r="N631" s="33">
        <f>(_xlfn.XLOOKUP(Pipeline_tbl[[#This Row],[Rate_Code_Generalized]],Lookups!A:A,Lookups!B:B))*Pipeline_tbl[[#This Row],[Pipeline_Amount_USD]]</f>
        <v>35161.859999999993</v>
      </c>
      <c r="O631" t="str">
        <f>_xlfn.XLOOKUP(Pipeline_tbl[[#This Row],[Rep_ID]],Dim_Reps!A:A,Dim_Reps!B:B)</f>
        <v>Fatima Rossi</v>
      </c>
      <c r="P631" t="str">
        <f>_xlfn.XLOOKUP(Pipeline_tbl[[#This Row],[Rep_ID]],Dim_Reps!A:A,Dim_Reps!C:C)</f>
        <v>Senior Enterprise AE</v>
      </c>
      <c r="Q631" t="str">
        <f>_xlfn.XLOOKUP(Pipeline_tbl[[#This Row],[Rep_ID]],Dim_Reps!A:A,Dim_Reps!D:D)</f>
        <v>Strategic</v>
      </c>
      <c r="R631" t="str">
        <f>_xlfn.XLOOKUP(Pipeline_tbl[[#This Row],[Rep_ID]],Dim_Reps!A:A,Dim_Reps!E:E)</f>
        <v>NAMER</v>
      </c>
      <c r="S631" t="str">
        <f>_xlfn.XLOOKUP(Pipeline_tbl[[#This Row],[Created_Date]],Dim_Date!A:A,Dim_Date!H:H)</f>
        <v>Oct 2025</v>
      </c>
      <c r="T631" t="str">
        <f>IF(Pipeline_tbl[[#This Row],[Closed_Date]]=0,"",(_xlfn.XLOOKUP(Pipeline_tbl[[#This Row],[Closed_Date]],Dim_Date!A:A,Dim_Date!H:H)))</f>
        <v/>
      </c>
      <c r="U631" t="str">
        <f>IF(Pipeline_tbl[[#This Row],[Closed_Date]]=0,"",Pipeline_tbl[[#This Row],[Closed_Date]]-Pipeline_tbl[[#This Row],[Created_Date]])</f>
        <v/>
      </c>
    </row>
    <row r="632" spans="1:21" ht="15" customHeight="1" x14ac:dyDescent="0.2">
      <c r="A632" t="s">
        <v>938</v>
      </c>
      <c r="B632" t="s">
        <v>191</v>
      </c>
      <c r="C632" t="s">
        <v>53</v>
      </c>
      <c r="D632" s="49">
        <v>45943</v>
      </c>
      <c r="E632" s="49">
        <v>45952</v>
      </c>
      <c r="F632" s="49">
        <v>45971</v>
      </c>
      <c r="G632" s="49">
        <v>45999</v>
      </c>
      <c r="H632" s="49">
        <v>46022</v>
      </c>
      <c r="J632" t="s">
        <v>308</v>
      </c>
      <c r="K632" s="33">
        <v>30600</v>
      </c>
      <c r="M632" t="str">
        <f>_xlfn.XLOOKUP(Pipeline_tbl[[#This Row],[Rep_ID]],Dim_Reps!A:A,Dim_Reps!K:K)</f>
        <v>USD</v>
      </c>
      <c r="N632" s="33">
        <f>(_xlfn.XLOOKUP(Pipeline_tbl[[#This Row],[Rate_Code_Generalized]],Lookups!A:A,Lookups!B:B))*Pipeline_tbl[[#This Row],[Pipeline_Amount_USD]]</f>
        <v>35627.579999999994</v>
      </c>
      <c r="O632" t="str">
        <f>_xlfn.XLOOKUP(Pipeline_tbl[[#This Row],[Rep_ID]],Dim_Reps!A:A,Dim_Reps!B:B)</f>
        <v>Zara Duarte</v>
      </c>
      <c r="P632" t="str">
        <f>_xlfn.XLOOKUP(Pipeline_tbl[[#This Row],[Rep_ID]],Dim_Reps!A:A,Dim_Reps!C:C)</f>
        <v>Enterprise AE</v>
      </c>
      <c r="Q632" t="str">
        <f>_xlfn.XLOOKUP(Pipeline_tbl[[#This Row],[Rep_ID]],Dim_Reps!A:A,Dim_Reps!D:D)</f>
        <v>Enterprise</v>
      </c>
      <c r="R632" t="str">
        <f>_xlfn.XLOOKUP(Pipeline_tbl[[#This Row],[Rep_ID]],Dim_Reps!A:A,Dim_Reps!E:E)</f>
        <v>NAMER</v>
      </c>
      <c r="S632" t="str">
        <f>_xlfn.XLOOKUP(Pipeline_tbl[[#This Row],[Created_Date]],Dim_Date!A:A,Dim_Date!H:H)</f>
        <v>Oct 2025</v>
      </c>
      <c r="T632" t="str">
        <f>IF(Pipeline_tbl[[#This Row],[Closed_Date]]=0,"",(_xlfn.XLOOKUP(Pipeline_tbl[[#This Row],[Closed_Date]],Dim_Date!A:A,Dim_Date!H:H)))</f>
        <v/>
      </c>
      <c r="U632" t="str">
        <f>IF(Pipeline_tbl[[#This Row],[Closed_Date]]=0,"",Pipeline_tbl[[#This Row],[Closed_Date]]-Pipeline_tbl[[#This Row],[Created_Date]])</f>
        <v/>
      </c>
    </row>
    <row r="633" spans="1:21" ht="15" customHeight="1" x14ac:dyDescent="0.2">
      <c r="A633" t="s">
        <v>939</v>
      </c>
      <c r="B633" t="s">
        <v>191</v>
      </c>
      <c r="C633" t="s">
        <v>53</v>
      </c>
      <c r="D633" s="49">
        <v>45954</v>
      </c>
      <c r="E633" s="49">
        <v>45962</v>
      </c>
      <c r="F633" s="49">
        <v>45977</v>
      </c>
      <c r="G633" s="49">
        <v>46001</v>
      </c>
      <c r="H633" s="49">
        <v>46020</v>
      </c>
      <c r="J633" t="s">
        <v>308</v>
      </c>
      <c r="K633" s="33">
        <v>72600</v>
      </c>
      <c r="M633" t="str">
        <f>_xlfn.XLOOKUP(Pipeline_tbl[[#This Row],[Rep_ID]],Dim_Reps!A:A,Dim_Reps!K:K)</f>
        <v>USD</v>
      </c>
      <c r="N633" s="33">
        <f>(_xlfn.XLOOKUP(Pipeline_tbl[[#This Row],[Rate_Code_Generalized]],Lookups!A:A,Lookups!B:B))*Pipeline_tbl[[#This Row],[Pipeline_Amount_USD]]</f>
        <v>84528.18</v>
      </c>
      <c r="O633" t="str">
        <f>_xlfn.XLOOKUP(Pipeline_tbl[[#This Row],[Rep_ID]],Dim_Reps!A:A,Dim_Reps!B:B)</f>
        <v>Zara Duarte</v>
      </c>
      <c r="P633" t="str">
        <f>_xlfn.XLOOKUP(Pipeline_tbl[[#This Row],[Rep_ID]],Dim_Reps!A:A,Dim_Reps!C:C)</f>
        <v>Enterprise AE</v>
      </c>
      <c r="Q633" t="str">
        <f>_xlfn.XLOOKUP(Pipeline_tbl[[#This Row],[Rep_ID]],Dim_Reps!A:A,Dim_Reps!D:D)</f>
        <v>Enterprise</v>
      </c>
      <c r="R633" t="str">
        <f>_xlfn.XLOOKUP(Pipeline_tbl[[#This Row],[Rep_ID]],Dim_Reps!A:A,Dim_Reps!E:E)</f>
        <v>NAMER</v>
      </c>
      <c r="S633" t="str">
        <f>_xlfn.XLOOKUP(Pipeline_tbl[[#This Row],[Created_Date]],Dim_Date!A:A,Dim_Date!H:H)</f>
        <v>Oct 2025</v>
      </c>
      <c r="T633" t="str">
        <f>IF(Pipeline_tbl[[#This Row],[Closed_Date]]=0,"",(_xlfn.XLOOKUP(Pipeline_tbl[[#This Row],[Closed_Date]],Dim_Date!A:A,Dim_Date!H:H)))</f>
        <v/>
      </c>
      <c r="U633" t="str">
        <f>IF(Pipeline_tbl[[#This Row],[Closed_Date]]=0,"",Pipeline_tbl[[#This Row],[Closed_Date]]-Pipeline_tbl[[#This Row],[Created_Date]])</f>
        <v/>
      </c>
    </row>
    <row r="634" spans="1:21" ht="15" customHeight="1" x14ac:dyDescent="0.2">
      <c r="A634" t="s">
        <v>940</v>
      </c>
      <c r="B634" t="s">
        <v>284</v>
      </c>
      <c r="C634" t="s">
        <v>55</v>
      </c>
      <c r="D634" s="49">
        <v>45938</v>
      </c>
      <c r="E634" s="49">
        <v>45947</v>
      </c>
      <c r="F634" s="49">
        <v>45966</v>
      </c>
      <c r="G634" s="49">
        <v>45994</v>
      </c>
      <c r="H634" s="49">
        <v>46017</v>
      </c>
      <c r="J634" t="s">
        <v>308</v>
      </c>
      <c r="K634" s="33">
        <v>32600</v>
      </c>
      <c r="M634" t="str">
        <f>_xlfn.XLOOKUP(Pipeline_tbl[[#This Row],[Rep_ID]],Dim_Reps!A:A,Dim_Reps!K:K)</f>
        <v>USD</v>
      </c>
      <c r="N634" s="33">
        <f>(_xlfn.XLOOKUP(Pipeline_tbl[[#This Row],[Rate_Code_Generalized]],Lookups!A:A,Lookups!B:B))*Pipeline_tbl[[#This Row],[Pipeline_Amount_USD]]</f>
        <v>37956.179999999993</v>
      </c>
      <c r="O634" t="str">
        <f>_xlfn.XLOOKUP(Pipeline_tbl[[#This Row],[Rep_ID]],Dim_Reps!A:A,Dim_Reps!B:B)</f>
        <v>Taylor Adler</v>
      </c>
      <c r="P634" t="str">
        <f>_xlfn.XLOOKUP(Pipeline_tbl[[#This Row],[Rep_ID]],Dim_Reps!A:A,Dim_Reps!C:C)</f>
        <v>Senior Enterprise AE</v>
      </c>
      <c r="Q634" t="str">
        <f>_xlfn.XLOOKUP(Pipeline_tbl[[#This Row],[Rep_ID]],Dim_Reps!A:A,Dim_Reps!D:D)</f>
        <v>Strategic</v>
      </c>
      <c r="R634" t="str">
        <f>_xlfn.XLOOKUP(Pipeline_tbl[[#This Row],[Rep_ID]],Dim_Reps!A:A,Dim_Reps!E:E)</f>
        <v>NAMER</v>
      </c>
      <c r="S634" t="str">
        <f>_xlfn.XLOOKUP(Pipeline_tbl[[#This Row],[Created_Date]],Dim_Date!A:A,Dim_Date!H:H)</f>
        <v>Oct 2025</v>
      </c>
      <c r="T634" t="str">
        <f>IF(Pipeline_tbl[[#This Row],[Closed_Date]]=0,"",(_xlfn.XLOOKUP(Pipeline_tbl[[#This Row],[Closed_Date]],Dim_Date!A:A,Dim_Date!H:H)))</f>
        <v/>
      </c>
      <c r="U634" t="str">
        <f>IF(Pipeline_tbl[[#This Row],[Closed_Date]]=0,"",Pipeline_tbl[[#This Row],[Closed_Date]]-Pipeline_tbl[[#This Row],[Created_Date]])</f>
        <v/>
      </c>
    </row>
    <row r="635" spans="1:21" ht="15" customHeight="1" x14ac:dyDescent="0.2">
      <c r="A635" t="s">
        <v>941</v>
      </c>
      <c r="B635" t="s">
        <v>177</v>
      </c>
      <c r="C635" t="s">
        <v>53</v>
      </c>
      <c r="D635" s="49">
        <v>45950</v>
      </c>
      <c r="E635" s="49">
        <v>45956</v>
      </c>
      <c r="F635" s="49">
        <v>45969</v>
      </c>
      <c r="G635" s="49">
        <v>45988</v>
      </c>
      <c r="H635" s="49">
        <v>46004</v>
      </c>
      <c r="I635" s="49">
        <v>46013</v>
      </c>
      <c r="J635" t="s">
        <v>49</v>
      </c>
      <c r="K635" s="33">
        <v>66300</v>
      </c>
      <c r="L635" t="s">
        <v>61</v>
      </c>
      <c r="M635" t="str">
        <f>_xlfn.XLOOKUP(Pipeline_tbl[[#This Row],[Rep_ID]],Dim_Reps!A:A,Dim_Reps!K:K)</f>
        <v>USD</v>
      </c>
      <c r="N635" s="33">
        <f>(_xlfn.XLOOKUP(Pipeline_tbl[[#This Row],[Rate_Code_Generalized]],Lookups!A:A,Lookups!B:B))*Pipeline_tbl[[#This Row],[Pipeline_Amount_USD]]</f>
        <v>77193.09</v>
      </c>
      <c r="O635" t="str">
        <f>_xlfn.XLOOKUP(Pipeline_tbl[[#This Row],[Rep_ID]],Dim_Reps!A:A,Dim_Reps!B:B)</f>
        <v>Lucas Cohen</v>
      </c>
      <c r="P635" t="str">
        <f>_xlfn.XLOOKUP(Pipeline_tbl[[#This Row],[Rep_ID]],Dim_Reps!A:A,Dim_Reps!C:C)</f>
        <v>Enterprise AE</v>
      </c>
      <c r="Q635" t="str">
        <f>_xlfn.XLOOKUP(Pipeline_tbl[[#This Row],[Rep_ID]],Dim_Reps!A:A,Dim_Reps!D:D)</f>
        <v>Enterprise</v>
      </c>
      <c r="R635" t="str">
        <f>_xlfn.XLOOKUP(Pipeline_tbl[[#This Row],[Rep_ID]],Dim_Reps!A:A,Dim_Reps!E:E)</f>
        <v>NAMER</v>
      </c>
      <c r="S635" t="str">
        <f>_xlfn.XLOOKUP(Pipeline_tbl[[#This Row],[Created_Date]],Dim_Date!A:A,Dim_Date!H:H)</f>
        <v>Oct 2025</v>
      </c>
      <c r="T635" t="str">
        <f>IF(Pipeline_tbl[[#This Row],[Closed_Date]]=0,"",(_xlfn.XLOOKUP(Pipeline_tbl[[#This Row],[Closed_Date]],Dim_Date!A:A,Dim_Date!H:H)))</f>
        <v>Dec 2025</v>
      </c>
      <c r="U635">
        <f>IF(Pipeline_tbl[[#This Row],[Closed_Date]]=0,"",Pipeline_tbl[[#This Row],[Closed_Date]]-Pipeline_tbl[[#This Row],[Created_Date]])</f>
        <v>63</v>
      </c>
    </row>
    <row r="636" spans="1:21" ht="15" customHeight="1" x14ac:dyDescent="0.2">
      <c r="A636" t="s">
        <v>942</v>
      </c>
      <c r="B636" t="s">
        <v>243</v>
      </c>
      <c r="C636" t="s">
        <v>55</v>
      </c>
      <c r="D636" s="49">
        <v>45939</v>
      </c>
      <c r="E636" s="49">
        <v>45944</v>
      </c>
      <c r="F636" s="49">
        <v>45955</v>
      </c>
      <c r="G636" s="49">
        <v>45971</v>
      </c>
      <c r="H636" s="49">
        <v>45984</v>
      </c>
      <c r="I636" s="49">
        <v>45992</v>
      </c>
      <c r="J636" t="s">
        <v>49</v>
      </c>
      <c r="K636" s="33">
        <v>7800</v>
      </c>
      <c r="L636" t="s">
        <v>63</v>
      </c>
      <c r="M636" t="str">
        <f>_xlfn.XLOOKUP(Pipeline_tbl[[#This Row],[Rep_ID]],Dim_Reps!A:A,Dim_Reps!K:K)</f>
        <v>MXN</v>
      </c>
      <c r="N636" s="33">
        <f>(_xlfn.XLOOKUP(Pipeline_tbl[[#This Row],[Rate_Code_Generalized]],Lookups!A:A,Lookups!B:B))*Pipeline_tbl[[#This Row],[Pipeline_Amount_USD]]</f>
        <v>153915.06</v>
      </c>
      <c r="O636" t="str">
        <f>_xlfn.XLOOKUP(Pipeline_tbl[[#This Row],[Rep_ID]],Dim_Reps!A:A,Dim_Reps!B:B)</f>
        <v>Jonas Sato</v>
      </c>
      <c r="P636" t="str">
        <f>_xlfn.XLOOKUP(Pipeline_tbl[[#This Row],[Rep_ID]],Dim_Reps!A:A,Dim_Reps!C:C)</f>
        <v>Mid-Market AE</v>
      </c>
      <c r="Q636" t="str">
        <f>_xlfn.XLOOKUP(Pipeline_tbl[[#This Row],[Rep_ID]],Dim_Reps!A:A,Dim_Reps!D:D)</f>
        <v>Mid-Market</v>
      </c>
      <c r="R636" t="str">
        <f>_xlfn.XLOOKUP(Pipeline_tbl[[#This Row],[Rep_ID]],Dim_Reps!A:A,Dim_Reps!E:E)</f>
        <v>LATAM</v>
      </c>
      <c r="S636" t="str">
        <f>_xlfn.XLOOKUP(Pipeline_tbl[[#This Row],[Created_Date]],Dim_Date!A:A,Dim_Date!H:H)</f>
        <v>Oct 2025</v>
      </c>
      <c r="T636" t="str">
        <f>IF(Pipeline_tbl[[#This Row],[Closed_Date]]=0,"",(_xlfn.XLOOKUP(Pipeline_tbl[[#This Row],[Closed_Date]],Dim_Date!A:A,Dim_Date!H:H)))</f>
        <v>Dec 2025</v>
      </c>
      <c r="U636">
        <f>IF(Pipeline_tbl[[#This Row],[Closed_Date]]=0,"",Pipeline_tbl[[#This Row],[Closed_Date]]-Pipeline_tbl[[#This Row],[Created_Date]])</f>
        <v>53</v>
      </c>
    </row>
    <row r="637" spans="1:21" ht="15" customHeight="1" x14ac:dyDescent="0.2">
      <c r="A637" t="s">
        <v>943</v>
      </c>
      <c r="B637" t="s">
        <v>181</v>
      </c>
      <c r="C637" t="s">
        <v>52</v>
      </c>
      <c r="D637" s="49">
        <v>45948</v>
      </c>
      <c r="E637" s="49">
        <v>45955</v>
      </c>
      <c r="F637" s="49">
        <v>45970</v>
      </c>
      <c r="G637" s="49">
        <v>45992</v>
      </c>
      <c r="I637" s="49">
        <v>46022</v>
      </c>
      <c r="J637" t="s">
        <v>49</v>
      </c>
      <c r="K637" s="33">
        <v>36500</v>
      </c>
      <c r="L637" t="s">
        <v>60</v>
      </c>
      <c r="M637" t="str">
        <f>_xlfn.XLOOKUP(Pipeline_tbl[[#This Row],[Rep_ID]],Dim_Reps!A:A,Dim_Reps!K:K)</f>
        <v>USD</v>
      </c>
      <c r="N637" s="33">
        <f>(_xlfn.XLOOKUP(Pipeline_tbl[[#This Row],[Rate_Code_Generalized]],Lookups!A:A,Lookups!B:B))*Pipeline_tbl[[#This Row],[Pipeline_Amount_USD]]</f>
        <v>42496.95</v>
      </c>
      <c r="O637" t="str">
        <f>_xlfn.XLOOKUP(Pipeline_tbl[[#This Row],[Rep_ID]],Dim_Reps!A:A,Dim_Reps!B:B)</f>
        <v>Milo Weber</v>
      </c>
      <c r="P637" t="str">
        <f>_xlfn.XLOOKUP(Pipeline_tbl[[#This Row],[Rep_ID]],Dim_Reps!A:A,Dim_Reps!C:C)</f>
        <v>Enterprise AE</v>
      </c>
      <c r="Q637" t="str">
        <f>_xlfn.XLOOKUP(Pipeline_tbl[[#This Row],[Rep_ID]],Dim_Reps!A:A,Dim_Reps!D:D)</f>
        <v>Enterprise</v>
      </c>
      <c r="R637" t="str">
        <f>_xlfn.XLOOKUP(Pipeline_tbl[[#This Row],[Rep_ID]],Dim_Reps!A:A,Dim_Reps!E:E)</f>
        <v>NAMER</v>
      </c>
      <c r="S637" t="str">
        <f>_xlfn.XLOOKUP(Pipeline_tbl[[#This Row],[Created_Date]],Dim_Date!A:A,Dim_Date!H:H)</f>
        <v>Oct 2025</v>
      </c>
      <c r="T637" t="str">
        <f>IF(Pipeline_tbl[[#This Row],[Closed_Date]]=0,"",(_xlfn.XLOOKUP(Pipeline_tbl[[#This Row],[Closed_Date]],Dim_Date!A:A,Dim_Date!H:H)))</f>
        <v>Dec 2025</v>
      </c>
      <c r="U637">
        <f>IF(Pipeline_tbl[[#This Row],[Closed_Date]]=0,"",Pipeline_tbl[[#This Row],[Closed_Date]]-Pipeline_tbl[[#This Row],[Created_Date]])</f>
        <v>74</v>
      </c>
    </row>
    <row r="638" spans="1:21" ht="15" customHeight="1" x14ac:dyDescent="0.2">
      <c r="A638" t="s">
        <v>944</v>
      </c>
      <c r="B638" t="s">
        <v>181</v>
      </c>
      <c r="C638" t="s">
        <v>53</v>
      </c>
      <c r="D638" s="49">
        <v>45945</v>
      </c>
      <c r="E638" s="49">
        <v>45951</v>
      </c>
      <c r="F638" s="49">
        <v>45963</v>
      </c>
      <c r="G638" s="49">
        <v>45980</v>
      </c>
      <c r="H638" s="49">
        <v>45995</v>
      </c>
      <c r="I638" s="49">
        <v>46004</v>
      </c>
      <c r="J638" t="s">
        <v>47</v>
      </c>
      <c r="K638" s="33">
        <v>28800</v>
      </c>
      <c r="M638" t="str">
        <f>_xlfn.XLOOKUP(Pipeline_tbl[[#This Row],[Rep_ID]],Dim_Reps!A:A,Dim_Reps!K:K)</f>
        <v>USD</v>
      </c>
      <c r="N638" s="33">
        <f>(_xlfn.XLOOKUP(Pipeline_tbl[[#This Row],[Rate_Code_Generalized]],Lookups!A:A,Lookups!B:B))*Pipeline_tbl[[#This Row],[Pipeline_Amount_USD]]</f>
        <v>33531.839999999997</v>
      </c>
      <c r="O638" t="str">
        <f>_xlfn.XLOOKUP(Pipeline_tbl[[#This Row],[Rep_ID]],Dim_Reps!A:A,Dim_Reps!B:B)</f>
        <v>Milo Weber</v>
      </c>
      <c r="P638" t="str">
        <f>_xlfn.XLOOKUP(Pipeline_tbl[[#This Row],[Rep_ID]],Dim_Reps!A:A,Dim_Reps!C:C)</f>
        <v>Enterprise AE</v>
      </c>
      <c r="Q638" t="str">
        <f>_xlfn.XLOOKUP(Pipeline_tbl[[#This Row],[Rep_ID]],Dim_Reps!A:A,Dim_Reps!D:D)</f>
        <v>Enterprise</v>
      </c>
      <c r="R638" t="str">
        <f>_xlfn.XLOOKUP(Pipeline_tbl[[#This Row],[Rep_ID]],Dim_Reps!A:A,Dim_Reps!E:E)</f>
        <v>NAMER</v>
      </c>
      <c r="S638" t="str">
        <f>_xlfn.XLOOKUP(Pipeline_tbl[[#This Row],[Created_Date]],Dim_Date!A:A,Dim_Date!H:H)</f>
        <v>Oct 2025</v>
      </c>
      <c r="T638" t="str">
        <f>IF(Pipeline_tbl[[#This Row],[Closed_Date]]=0,"",(_xlfn.XLOOKUP(Pipeline_tbl[[#This Row],[Closed_Date]],Dim_Date!A:A,Dim_Date!H:H)))</f>
        <v>Dec 2025</v>
      </c>
      <c r="U638">
        <f>IF(Pipeline_tbl[[#This Row],[Closed_Date]]=0,"",Pipeline_tbl[[#This Row],[Closed_Date]]-Pipeline_tbl[[#This Row],[Created_Date]])</f>
        <v>59</v>
      </c>
    </row>
    <row r="639" spans="1:21" ht="15" customHeight="1" x14ac:dyDescent="0.2">
      <c r="A639" t="s">
        <v>945</v>
      </c>
      <c r="B639" t="s">
        <v>181</v>
      </c>
      <c r="C639" t="s">
        <v>53</v>
      </c>
      <c r="D639" s="49">
        <v>45946</v>
      </c>
      <c r="E639" s="49">
        <v>45951</v>
      </c>
      <c r="F639" s="49">
        <v>45961</v>
      </c>
      <c r="I639" s="49">
        <v>45997</v>
      </c>
      <c r="J639" t="s">
        <v>49</v>
      </c>
      <c r="K639" s="33">
        <v>18400</v>
      </c>
      <c r="L639" t="s">
        <v>64</v>
      </c>
      <c r="M639" t="str">
        <f>_xlfn.XLOOKUP(Pipeline_tbl[[#This Row],[Rep_ID]],Dim_Reps!A:A,Dim_Reps!K:K)</f>
        <v>USD</v>
      </c>
      <c r="N639" s="33">
        <f>(_xlfn.XLOOKUP(Pipeline_tbl[[#This Row],[Rate_Code_Generalized]],Lookups!A:A,Lookups!B:B))*Pipeline_tbl[[#This Row],[Pipeline_Amount_USD]]</f>
        <v>21423.119999999999</v>
      </c>
      <c r="O639" t="str">
        <f>_xlfn.XLOOKUP(Pipeline_tbl[[#This Row],[Rep_ID]],Dim_Reps!A:A,Dim_Reps!B:B)</f>
        <v>Milo Weber</v>
      </c>
      <c r="P639" t="str">
        <f>_xlfn.XLOOKUP(Pipeline_tbl[[#This Row],[Rep_ID]],Dim_Reps!A:A,Dim_Reps!C:C)</f>
        <v>Enterprise AE</v>
      </c>
      <c r="Q639" t="str">
        <f>_xlfn.XLOOKUP(Pipeline_tbl[[#This Row],[Rep_ID]],Dim_Reps!A:A,Dim_Reps!D:D)</f>
        <v>Enterprise</v>
      </c>
      <c r="R639" t="str">
        <f>_xlfn.XLOOKUP(Pipeline_tbl[[#This Row],[Rep_ID]],Dim_Reps!A:A,Dim_Reps!E:E)</f>
        <v>NAMER</v>
      </c>
      <c r="S639" t="str">
        <f>_xlfn.XLOOKUP(Pipeline_tbl[[#This Row],[Created_Date]],Dim_Date!A:A,Dim_Date!H:H)</f>
        <v>Oct 2025</v>
      </c>
      <c r="T639" t="str">
        <f>IF(Pipeline_tbl[[#This Row],[Closed_Date]]=0,"",(_xlfn.XLOOKUP(Pipeline_tbl[[#This Row],[Closed_Date]],Dim_Date!A:A,Dim_Date!H:H)))</f>
        <v>Dec 2025</v>
      </c>
      <c r="U639">
        <f>IF(Pipeline_tbl[[#This Row],[Closed_Date]]=0,"",Pipeline_tbl[[#This Row],[Closed_Date]]-Pipeline_tbl[[#This Row],[Created_Date]])</f>
        <v>51</v>
      </c>
    </row>
    <row r="640" spans="1:21" ht="15" customHeight="1" x14ac:dyDescent="0.2">
      <c r="A640" t="s">
        <v>946</v>
      </c>
      <c r="B640" t="s">
        <v>183</v>
      </c>
      <c r="C640" t="s">
        <v>55</v>
      </c>
      <c r="D640" s="49">
        <v>45939</v>
      </c>
      <c r="E640" s="49">
        <v>45946</v>
      </c>
      <c r="F640" s="49">
        <v>45959</v>
      </c>
      <c r="G640" s="49">
        <v>45979</v>
      </c>
      <c r="I640" s="49">
        <v>46005</v>
      </c>
      <c r="J640" t="s">
        <v>49</v>
      </c>
      <c r="K640" s="33">
        <v>17200</v>
      </c>
      <c r="L640" t="s">
        <v>60</v>
      </c>
      <c r="M640" t="str">
        <f>_xlfn.XLOOKUP(Pipeline_tbl[[#This Row],[Rep_ID]],Dim_Reps!A:A,Dim_Reps!K:K)</f>
        <v>EUR</v>
      </c>
      <c r="N640" s="33">
        <f>(_xlfn.XLOOKUP(Pipeline_tbl[[#This Row],[Rate_Code_Generalized]],Lookups!A:A,Lookups!B:B))*Pipeline_tbl[[#This Row],[Pipeline_Amount_USD]]</f>
        <v>17200</v>
      </c>
      <c r="O640" t="str">
        <f>_xlfn.XLOOKUP(Pipeline_tbl[[#This Row],[Rep_ID]],Dim_Reps!A:A,Dim_Reps!B:B)</f>
        <v>Sam Schmidt</v>
      </c>
      <c r="P640" t="str">
        <f>_xlfn.XLOOKUP(Pipeline_tbl[[#This Row],[Rep_ID]],Dim_Reps!A:A,Dim_Reps!C:C)</f>
        <v>Enterprise AE</v>
      </c>
      <c r="Q640" t="str">
        <f>_xlfn.XLOOKUP(Pipeline_tbl[[#This Row],[Rep_ID]],Dim_Reps!A:A,Dim_Reps!D:D)</f>
        <v>Enterprise</v>
      </c>
      <c r="R640" t="str">
        <f>_xlfn.XLOOKUP(Pipeline_tbl[[#This Row],[Rep_ID]],Dim_Reps!A:A,Dim_Reps!E:E)</f>
        <v>EMEA</v>
      </c>
      <c r="S640" t="str">
        <f>_xlfn.XLOOKUP(Pipeline_tbl[[#This Row],[Created_Date]],Dim_Date!A:A,Dim_Date!H:H)</f>
        <v>Oct 2025</v>
      </c>
      <c r="T640" t="str">
        <f>IF(Pipeline_tbl[[#This Row],[Closed_Date]]=0,"",(_xlfn.XLOOKUP(Pipeline_tbl[[#This Row],[Closed_Date]],Dim_Date!A:A,Dim_Date!H:H)))</f>
        <v>Dec 2025</v>
      </c>
      <c r="U640">
        <f>IF(Pipeline_tbl[[#This Row],[Closed_Date]]=0,"",Pipeline_tbl[[#This Row],[Closed_Date]]-Pipeline_tbl[[#This Row],[Created_Date]])</f>
        <v>66</v>
      </c>
    </row>
    <row r="641" spans="1:21" ht="15" customHeight="1" x14ac:dyDescent="0.2">
      <c r="A641" t="s">
        <v>947</v>
      </c>
      <c r="B641" t="s">
        <v>183</v>
      </c>
      <c r="C641" t="s">
        <v>52</v>
      </c>
      <c r="D641" s="49">
        <v>45941</v>
      </c>
      <c r="E641" s="49">
        <v>45946</v>
      </c>
      <c r="F641" s="49">
        <v>45957</v>
      </c>
      <c r="G641" s="49">
        <v>45973</v>
      </c>
      <c r="H641" s="49">
        <v>45987</v>
      </c>
      <c r="I641" s="49">
        <v>45995</v>
      </c>
      <c r="J641" t="s">
        <v>47</v>
      </c>
      <c r="K641" s="33">
        <v>37900</v>
      </c>
      <c r="M641" t="str">
        <f>_xlfn.XLOOKUP(Pipeline_tbl[[#This Row],[Rep_ID]],Dim_Reps!A:A,Dim_Reps!K:K)</f>
        <v>EUR</v>
      </c>
      <c r="N641" s="33">
        <f>(_xlfn.XLOOKUP(Pipeline_tbl[[#This Row],[Rate_Code_Generalized]],Lookups!A:A,Lookups!B:B))*Pipeline_tbl[[#This Row],[Pipeline_Amount_USD]]</f>
        <v>37900</v>
      </c>
      <c r="O641" t="str">
        <f>_xlfn.XLOOKUP(Pipeline_tbl[[#This Row],[Rep_ID]],Dim_Reps!A:A,Dim_Reps!B:B)</f>
        <v>Sam Schmidt</v>
      </c>
      <c r="P641" t="str">
        <f>_xlfn.XLOOKUP(Pipeline_tbl[[#This Row],[Rep_ID]],Dim_Reps!A:A,Dim_Reps!C:C)</f>
        <v>Enterprise AE</v>
      </c>
      <c r="Q641" t="str">
        <f>_xlfn.XLOOKUP(Pipeline_tbl[[#This Row],[Rep_ID]],Dim_Reps!A:A,Dim_Reps!D:D)</f>
        <v>Enterprise</v>
      </c>
      <c r="R641" t="str">
        <f>_xlfn.XLOOKUP(Pipeline_tbl[[#This Row],[Rep_ID]],Dim_Reps!A:A,Dim_Reps!E:E)</f>
        <v>EMEA</v>
      </c>
      <c r="S641" t="str">
        <f>_xlfn.XLOOKUP(Pipeline_tbl[[#This Row],[Created_Date]],Dim_Date!A:A,Dim_Date!H:H)</f>
        <v>Oct 2025</v>
      </c>
      <c r="T641" t="str">
        <f>IF(Pipeline_tbl[[#This Row],[Closed_Date]]=0,"",(_xlfn.XLOOKUP(Pipeline_tbl[[#This Row],[Closed_Date]],Dim_Date!A:A,Dim_Date!H:H)))</f>
        <v>Dec 2025</v>
      </c>
      <c r="U641">
        <f>IF(Pipeline_tbl[[#This Row],[Closed_Date]]=0,"",Pipeline_tbl[[#This Row],[Closed_Date]]-Pipeline_tbl[[#This Row],[Created_Date]])</f>
        <v>54</v>
      </c>
    </row>
    <row r="642" spans="1:21" ht="15" customHeight="1" x14ac:dyDescent="0.2">
      <c r="A642" t="s">
        <v>948</v>
      </c>
      <c r="B642" t="s">
        <v>183</v>
      </c>
      <c r="C642" t="s">
        <v>53</v>
      </c>
      <c r="D642" s="49">
        <v>45933</v>
      </c>
      <c r="E642" s="49">
        <v>45939</v>
      </c>
      <c r="F642" s="49">
        <v>45953</v>
      </c>
      <c r="G642" s="49">
        <v>45972</v>
      </c>
      <c r="H642" s="49">
        <v>45988</v>
      </c>
      <c r="I642" s="49">
        <v>45998</v>
      </c>
      <c r="J642" t="s">
        <v>49</v>
      </c>
      <c r="K642" s="33">
        <v>22200</v>
      </c>
      <c r="L642" t="s">
        <v>60</v>
      </c>
      <c r="M642" t="str">
        <f>_xlfn.XLOOKUP(Pipeline_tbl[[#This Row],[Rep_ID]],Dim_Reps!A:A,Dim_Reps!K:K)</f>
        <v>EUR</v>
      </c>
      <c r="N642" s="33">
        <f>(_xlfn.XLOOKUP(Pipeline_tbl[[#This Row],[Rate_Code_Generalized]],Lookups!A:A,Lookups!B:B))*Pipeline_tbl[[#This Row],[Pipeline_Amount_USD]]</f>
        <v>22200</v>
      </c>
      <c r="O642" t="str">
        <f>_xlfn.XLOOKUP(Pipeline_tbl[[#This Row],[Rep_ID]],Dim_Reps!A:A,Dim_Reps!B:B)</f>
        <v>Sam Schmidt</v>
      </c>
      <c r="P642" t="str">
        <f>_xlfn.XLOOKUP(Pipeline_tbl[[#This Row],[Rep_ID]],Dim_Reps!A:A,Dim_Reps!C:C)</f>
        <v>Enterprise AE</v>
      </c>
      <c r="Q642" t="str">
        <f>_xlfn.XLOOKUP(Pipeline_tbl[[#This Row],[Rep_ID]],Dim_Reps!A:A,Dim_Reps!D:D)</f>
        <v>Enterprise</v>
      </c>
      <c r="R642" t="str">
        <f>_xlfn.XLOOKUP(Pipeline_tbl[[#This Row],[Rep_ID]],Dim_Reps!A:A,Dim_Reps!E:E)</f>
        <v>EMEA</v>
      </c>
      <c r="S642" t="str">
        <f>_xlfn.XLOOKUP(Pipeline_tbl[[#This Row],[Created_Date]],Dim_Date!A:A,Dim_Date!H:H)</f>
        <v>Oct 2025</v>
      </c>
      <c r="T642" t="str">
        <f>IF(Pipeline_tbl[[#This Row],[Closed_Date]]=0,"",(_xlfn.XLOOKUP(Pipeline_tbl[[#This Row],[Closed_Date]],Dim_Date!A:A,Dim_Date!H:H)))</f>
        <v>Dec 2025</v>
      </c>
      <c r="U642">
        <f>IF(Pipeline_tbl[[#This Row],[Closed_Date]]=0,"",Pipeline_tbl[[#This Row],[Closed_Date]]-Pipeline_tbl[[#This Row],[Created_Date]])</f>
        <v>65</v>
      </c>
    </row>
    <row r="643" spans="1:21" ht="15" customHeight="1" x14ac:dyDescent="0.2">
      <c r="A643" t="s">
        <v>949</v>
      </c>
      <c r="B643" t="s">
        <v>278</v>
      </c>
      <c r="C643" t="s">
        <v>52</v>
      </c>
      <c r="D643" s="49">
        <v>45941</v>
      </c>
      <c r="E643" s="49">
        <v>45948</v>
      </c>
      <c r="F643" s="49">
        <v>45962</v>
      </c>
      <c r="G643" s="49">
        <v>45984</v>
      </c>
      <c r="H643" s="49">
        <v>46001</v>
      </c>
      <c r="I643" s="49">
        <v>46012</v>
      </c>
      <c r="J643" t="s">
        <v>49</v>
      </c>
      <c r="K643" s="33">
        <v>40400</v>
      </c>
      <c r="L643" t="s">
        <v>62</v>
      </c>
      <c r="M643" t="str">
        <f>_xlfn.XLOOKUP(Pipeline_tbl[[#This Row],[Rep_ID]],Dim_Reps!A:A,Dim_Reps!K:K)</f>
        <v>EUR</v>
      </c>
      <c r="N643" s="33">
        <f>(_xlfn.XLOOKUP(Pipeline_tbl[[#This Row],[Rate_Code_Generalized]],Lookups!A:A,Lookups!B:B))*Pipeline_tbl[[#This Row],[Pipeline_Amount_USD]]</f>
        <v>40400</v>
      </c>
      <c r="O643" t="str">
        <f>_xlfn.XLOOKUP(Pipeline_tbl[[#This Row],[Rep_ID]],Dim_Reps!A:A,Dim_Reps!B:B)</f>
        <v>Sara Andersson</v>
      </c>
      <c r="P643" t="str">
        <f>_xlfn.XLOOKUP(Pipeline_tbl[[#This Row],[Rep_ID]],Dim_Reps!A:A,Dim_Reps!C:C)</f>
        <v>Senior Enterprise AE</v>
      </c>
      <c r="Q643" t="str">
        <f>_xlfn.XLOOKUP(Pipeline_tbl[[#This Row],[Rep_ID]],Dim_Reps!A:A,Dim_Reps!D:D)</f>
        <v>Strategic</v>
      </c>
      <c r="R643" t="str">
        <f>_xlfn.XLOOKUP(Pipeline_tbl[[#This Row],[Rep_ID]],Dim_Reps!A:A,Dim_Reps!E:E)</f>
        <v>APAC</v>
      </c>
      <c r="S643" t="str">
        <f>_xlfn.XLOOKUP(Pipeline_tbl[[#This Row],[Created_Date]],Dim_Date!A:A,Dim_Date!H:H)</f>
        <v>Oct 2025</v>
      </c>
      <c r="T643" t="str">
        <f>IF(Pipeline_tbl[[#This Row],[Closed_Date]]=0,"",(_xlfn.XLOOKUP(Pipeline_tbl[[#This Row],[Closed_Date]],Dim_Date!A:A,Dim_Date!H:H)))</f>
        <v>Dec 2025</v>
      </c>
      <c r="U643">
        <f>IF(Pipeline_tbl[[#This Row],[Closed_Date]]=0,"",Pipeline_tbl[[#This Row],[Closed_Date]]-Pipeline_tbl[[#This Row],[Created_Date]])</f>
        <v>71</v>
      </c>
    </row>
    <row r="644" spans="1:21" ht="15" customHeight="1" x14ac:dyDescent="0.2">
      <c r="A644" t="s">
        <v>950</v>
      </c>
      <c r="B644" t="s">
        <v>185</v>
      </c>
      <c r="C644" t="s">
        <v>52</v>
      </c>
      <c r="D644" s="49">
        <v>45941</v>
      </c>
      <c r="E644" s="49">
        <v>45949</v>
      </c>
      <c r="F644" s="49">
        <v>45965</v>
      </c>
      <c r="G644" s="49">
        <v>45988</v>
      </c>
      <c r="H644" s="49">
        <v>46008</v>
      </c>
      <c r="I644" s="49">
        <v>46020</v>
      </c>
      <c r="J644" t="s">
        <v>47</v>
      </c>
      <c r="K644" s="33">
        <v>36400</v>
      </c>
      <c r="M644" t="str">
        <f>_xlfn.XLOOKUP(Pipeline_tbl[[#This Row],[Rep_ID]],Dim_Reps!A:A,Dim_Reps!K:K)</f>
        <v>MXN</v>
      </c>
      <c r="N644" s="33">
        <f>(_xlfn.XLOOKUP(Pipeline_tbl[[#This Row],[Rate_Code_Generalized]],Lookups!A:A,Lookups!B:B))*Pipeline_tbl[[#This Row],[Pipeline_Amount_USD]]</f>
        <v>718270.28</v>
      </c>
      <c r="O644" t="str">
        <f>_xlfn.XLOOKUP(Pipeline_tbl[[#This Row],[Rep_ID]],Dim_Reps!A:A,Dim_Reps!B:B)</f>
        <v>Noah Kim</v>
      </c>
      <c r="P644" t="str">
        <f>_xlfn.XLOOKUP(Pipeline_tbl[[#This Row],[Rep_ID]],Dim_Reps!A:A,Dim_Reps!C:C)</f>
        <v>Enterprise AE</v>
      </c>
      <c r="Q644" t="str">
        <f>_xlfn.XLOOKUP(Pipeline_tbl[[#This Row],[Rep_ID]],Dim_Reps!A:A,Dim_Reps!D:D)</f>
        <v>Enterprise</v>
      </c>
      <c r="R644" t="str">
        <f>_xlfn.XLOOKUP(Pipeline_tbl[[#This Row],[Rep_ID]],Dim_Reps!A:A,Dim_Reps!E:E)</f>
        <v>LATAM</v>
      </c>
      <c r="S644" t="str">
        <f>_xlfn.XLOOKUP(Pipeline_tbl[[#This Row],[Created_Date]],Dim_Date!A:A,Dim_Date!H:H)</f>
        <v>Oct 2025</v>
      </c>
      <c r="T644" t="str">
        <f>IF(Pipeline_tbl[[#This Row],[Closed_Date]]=0,"",(_xlfn.XLOOKUP(Pipeline_tbl[[#This Row],[Closed_Date]],Dim_Date!A:A,Dim_Date!H:H)))</f>
        <v>Dec 2025</v>
      </c>
      <c r="U644">
        <f>IF(Pipeline_tbl[[#This Row],[Closed_Date]]=0,"",Pipeline_tbl[[#This Row],[Closed_Date]]-Pipeline_tbl[[#This Row],[Created_Date]])</f>
        <v>79</v>
      </c>
    </row>
    <row r="645" spans="1:21" ht="15" customHeight="1" x14ac:dyDescent="0.2">
      <c r="A645" t="s">
        <v>951</v>
      </c>
      <c r="B645" t="s">
        <v>185</v>
      </c>
      <c r="C645" t="s">
        <v>52</v>
      </c>
      <c r="D645" s="49">
        <v>45955</v>
      </c>
      <c r="E645" s="49">
        <v>45961</v>
      </c>
      <c r="F645" s="49">
        <v>45973</v>
      </c>
      <c r="G645" s="49">
        <v>45992</v>
      </c>
      <c r="H645" s="49">
        <v>46007</v>
      </c>
      <c r="I645" s="49">
        <v>46016</v>
      </c>
      <c r="J645" t="s">
        <v>47</v>
      </c>
      <c r="K645" s="33">
        <v>42200</v>
      </c>
      <c r="M645" t="str">
        <f>_xlfn.XLOOKUP(Pipeline_tbl[[#This Row],[Rep_ID]],Dim_Reps!A:A,Dim_Reps!K:K)</f>
        <v>MXN</v>
      </c>
      <c r="N645" s="33">
        <f>(_xlfn.XLOOKUP(Pipeline_tbl[[#This Row],[Rate_Code_Generalized]],Lookups!A:A,Lookups!B:B))*Pipeline_tbl[[#This Row],[Pipeline_Amount_USD]]</f>
        <v>832719.94000000006</v>
      </c>
      <c r="O645" t="str">
        <f>_xlfn.XLOOKUP(Pipeline_tbl[[#This Row],[Rep_ID]],Dim_Reps!A:A,Dim_Reps!B:B)</f>
        <v>Noah Kim</v>
      </c>
      <c r="P645" t="str">
        <f>_xlfn.XLOOKUP(Pipeline_tbl[[#This Row],[Rep_ID]],Dim_Reps!A:A,Dim_Reps!C:C)</f>
        <v>Enterprise AE</v>
      </c>
      <c r="Q645" t="str">
        <f>_xlfn.XLOOKUP(Pipeline_tbl[[#This Row],[Rep_ID]],Dim_Reps!A:A,Dim_Reps!D:D)</f>
        <v>Enterprise</v>
      </c>
      <c r="R645" t="str">
        <f>_xlfn.XLOOKUP(Pipeline_tbl[[#This Row],[Rep_ID]],Dim_Reps!A:A,Dim_Reps!E:E)</f>
        <v>LATAM</v>
      </c>
      <c r="S645" t="str">
        <f>_xlfn.XLOOKUP(Pipeline_tbl[[#This Row],[Created_Date]],Dim_Date!A:A,Dim_Date!H:H)</f>
        <v>Oct 2025</v>
      </c>
      <c r="T645" t="str">
        <f>IF(Pipeline_tbl[[#This Row],[Closed_Date]]=0,"",(_xlfn.XLOOKUP(Pipeline_tbl[[#This Row],[Closed_Date]],Dim_Date!A:A,Dim_Date!H:H)))</f>
        <v>Dec 2025</v>
      </c>
      <c r="U645">
        <f>IF(Pipeline_tbl[[#This Row],[Closed_Date]]=0,"",Pipeline_tbl[[#This Row],[Closed_Date]]-Pipeline_tbl[[#This Row],[Created_Date]])</f>
        <v>61</v>
      </c>
    </row>
    <row r="646" spans="1:21" ht="15" customHeight="1" x14ac:dyDescent="0.2">
      <c r="A646" t="s">
        <v>952</v>
      </c>
      <c r="B646" t="s">
        <v>185</v>
      </c>
      <c r="C646" t="s">
        <v>52</v>
      </c>
      <c r="D646" s="49">
        <v>45956</v>
      </c>
      <c r="E646" s="49">
        <v>45962</v>
      </c>
      <c r="F646" s="49">
        <v>45975</v>
      </c>
      <c r="G646" s="49">
        <v>45994</v>
      </c>
      <c r="H646" s="49">
        <v>46010</v>
      </c>
      <c r="I646" s="49">
        <v>46020</v>
      </c>
      <c r="J646" t="s">
        <v>49</v>
      </c>
      <c r="K646" s="33">
        <v>28100</v>
      </c>
      <c r="L646" t="s">
        <v>60</v>
      </c>
      <c r="M646" t="str">
        <f>_xlfn.XLOOKUP(Pipeline_tbl[[#This Row],[Rep_ID]],Dim_Reps!A:A,Dim_Reps!K:K)</f>
        <v>MXN</v>
      </c>
      <c r="N646" s="33">
        <f>(_xlfn.XLOOKUP(Pipeline_tbl[[#This Row],[Rate_Code_Generalized]],Lookups!A:A,Lookups!B:B))*Pipeline_tbl[[#This Row],[Pipeline_Amount_USD]]</f>
        <v>554488.87</v>
      </c>
      <c r="O646" t="str">
        <f>_xlfn.XLOOKUP(Pipeline_tbl[[#This Row],[Rep_ID]],Dim_Reps!A:A,Dim_Reps!B:B)</f>
        <v>Noah Kim</v>
      </c>
      <c r="P646" t="str">
        <f>_xlfn.XLOOKUP(Pipeline_tbl[[#This Row],[Rep_ID]],Dim_Reps!A:A,Dim_Reps!C:C)</f>
        <v>Enterprise AE</v>
      </c>
      <c r="Q646" t="str">
        <f>_xlfn.XLOOKUP(Pipeline_tbl[[#This Row],[Rep_ID]],Dim_Reps!A:A,Dim_Reps!D:D)</f>
        <v>Enterprise</v>
      </c>
      <c r="R646" t="str">
        <f>_xlfn.XLOOKUP(Pipeline_tbl[[#This Row],[Rep_ID]],Dim_Reps!A:A,Dim_Reps!E:E)</f>
        <v>LATAM</v>
      </c>
      <c r="S646" t="str">
        <f>_xlfn.XLOOKUP(Pipeline_tbl[[#This Row],[Created_Date]],Dim_Date!A:A,Dim_Date!H:H)</f>
        <v>Oct 2025</v>
      </c>
      <c r="T646" t="str">
        <f>IF(Pipeline_tbl[[#This Row],[Closed_Date]]=0,"",(_xlfn.XLOOKUP(Pipeline_tbl[[#This Row],[Closed_Date]],Dim_Date!A:A,Dim_Date!H:H)))</f>
        <v>Dec 2025</v>
      </c>
      <c r="U646">
        <f>IF(Pipeline_tbl[[#This Row],[Closed_Date]]=0,"",Pipeline_tbl[[#This Row],[Closed_Date]]-Pipeline_tbl[[#This Row],[Created_Date]])</f>
        <v>64</v>
      </c>
    </row>
    <row r="647" spans="1:21" ht="15" customHeight="1" x14ac:dyDescent="0.2">
      <c r="A647" t="s">
        <v>953</v>
      </c>
      <c r="B647" t="s">
        <v>249</v>
      </c>
      <c r="C647" t="s">
        <v>56</v>
      </c>
      <c r="D647" s="49">
        <v>45947</v>
      </c>
      <c r="E647" s="49">
        <v>45952</v>
      </c>
      <c r="F647" s="49">
        <v>45963</v>
      </c>
      <c r="G647" s="49">
        <v>45978</v>
      </c>
      <c r="H647" s="49">
        <v>45991</v>
      </c>
      <c r="I647" s="49">
        <v>45999</v>
      </c>
      <c r="J647" t="s">
        <v>47</v>
      </c>
      <c r="K647" s="33">
        <v>8100</v>
      </c>
      <c r="M647" t="str">
        <f>_xlfn.XLOOKUP(Pipeline_tbl[[#This Row],[Rep_ID]],Dim_Reps!A:A,Dim_Reps!K:K)</f>
        <v>EUR</v>
      </c>
      <c r="N647" s="33">
        <f>(_xlfn.XLOOKUP(Pipeline_tbl[[#This Row],[Rate_Code_Generalized]],Lookups!A:A,Lookups!B:B))*Pipeline_tbl[[#This Row],[Pipeline_Amount_USD]]</f>
        <v>8100</v>
      </c>
      <c r="O647" t="str">
        <f>_xlfn.XLOOKUP(Pipeline_tbl[[#This Row],[Rep_ID]],Dim_Reps!A:A,Dim_Reps!B:B)</f>
        <v>Ana Sato</v>
      </c>
      <c r="P647" t="str">
        <f>_xlfn.XLOOKUP(Pipeline_tbl[[#This Row],[Rep_ID]],Dim_Reps!A:A,Dim_Reps!C:C)</f>
        <v>Mid-Market AE</v>
      </c>
      <c r="Q647" t="str">
        <f>_xlfn.XLOOKUP(Pipeline_tbl[[#This Row],[Rep_ID]],Dim_Reps!A:A,Dim_Reps!D:D)</f>
        <v>Mid-Market</v>
      </c>
      <c r="R647" t="str">
        <f>_xlfn.XLOOKUP(Pipeline_tbl[[#This Row],[Rep_ID]],Dim_Reps!A:A,Dim_Reps!E:E)</f>
        <v>APAC</v>
      </c>
      <c r="S647" t="str">
        <f>_xlfn.XLOOKUP(Pipeline_tbl[[#This Row],[Created_Date]],Dim_Date!A:A,Dim_Date!H:H)</f>
        <v>Oct 2025</v>
      </c>
      <c r="T647" t="str">
        <f>IF(Pipeline_tbl[[#This Row],[Closed_Date]]=0,"",(_xlfn.XLOOKUP(Pipeline_tbl[[#This Row],[Closed_Date]],Dim_Date!A:A,Dim_Date!H:H)))</f>
        <v>Dec 2025</v>
      </c>
      <c r="U647">
        <f>IF(Pipeline_tbl[[#This Row],[Closed_Date]]=0,"",Pipeline_tbl[[#This Row],[Closed_Date]]-Pipeline_tbl[[#This Row],[Created_Date]])</f>
        <v>52</v>
      </c>
    </row>
    <row r="648" spans="1:21" ht="15" customHeight="1" x14ac:dyDescent="0.2">
      <c r="A648" t="s">
        <v>954</v>
      </c>
      <c r="B648" t="s">
        <v>249</v>
      </c>
      <c r="C648" t="s">
        <v>53</v>
      </c>
      <c r="D648" s="49">
        <v>45948</v>
      </c>
      <c r="E648" s="49">
        <v>45953</v>
      </c>
      <c r="F648" s="49">
        <v>45963</v>
      </c>
      <c r="I648" s="49">
        <v>45999</v>
      </c>
      <c r="J648" t="s">
        <v>49</v>
      </c>
      <c r="K648" s="33">
        <v>10700</v>
      </c>
      <c r="L648" t="s">
        <v>63</v>
      </c>
      <c r="M648" t="str">
        <f>_xlfn.XLOOKUP(Pipeline_tbl[[#This Row],[Rep_ID]],Dim_Reps!A:A,Dim_Reps!K:K)</f>
        <v>EUR</v>
      </c>
      <c r="N648" s="33">
        <f>(_xlfn.XLOOKUP(Pipeline_tbl[[#This Row],[Rate_Code_Generalized]],Lookups!A:A,Lookups!B:B))*Pipeline_tbl[[#This Row],[Pipeline_Amount_USD]]</f>
        <v>10700</v>
      </c>
      <c r="O648" t="str">
        <f>_xlfn.XLOOKUP(Pipeline_tbl[[#This Row],[Rep_ID]],Dim_Reps!A:A,Dim_Reps!B:B)</f>
        <v>Ana Sato</v>
      </c>
      <c r="P648" t="str">
        <f>_xlfn.XLOOKUP(Pipeline_tbl[[#This Row],[Rep_ID]],Dim_Reps!A:A,Dim_Reps!C:C)</f>
        <v>Mid-Market AE</v>
      </c>
      <c r="Q648" t="str">
        <f>_xlfn.XLOOKUP(Pipeline_tbl[[#This Row],[Rep_ID]],Dim_Reps!A:A,Dim_Reps!D:D)</f>
        <v>Mid-Market</v>
      </c>
      <c r="R648" t="str">
        <f>_xlfn.XLOOKUP(Pipeline_tbl[[#This Row],[Rep_ID]],Dim_Reps!A:A,Dim_Reps!E:E)</f>
        <v>APAC</v>
      </c>
      <c r="S648" t="str">
        <f>_xlfn.XLOOKUP(Pipeline_tbl[[#This Row],[Created_Date]],Dim_Date!A:A,Dim_Date!H:H)</f>
        <v>Oct 2025</v>
      </c>
      <c r="T648" t="str">
        <f>IF(Pipeline_tbl[[#This Row],[Closed_Date]]=0,"",(_xlfn.XLOOKUP(Pipeline_tbl[[#This Row],[Closed_Date]],Dim_Date!A:A,Dim_Date!H:H)))</f>
        <v>Dec 2025</v>
      </c>
      <c r="U648">
        <f>IF(Pipeline_tbl[[#This Row],[Closed_Date]]=0,"",Pipeline_tbl[[#This Row],[Closed_Date]]-Pipeline_tbl[[#This Row],[Created_Date]])</f>
        <v>51</v>
      </c>
    </row>
    <row r="649" spans="1:21" ht="15" customHeight="1" x14ac:dyDescent="0.2">
      <c r="A649" t="s">
        <v>955</v>
      </c>
      <c r="B649" t="s">
        <v>253</v>
      </c>
      <c r="C649" t="s">
        <v>52</v>
      </c>
      <c r="D649" s="49">
        <v>45958</v>
      </c>
      <c r="E649" s="49">
        <v>45962</v>
      </c>
      <c r="F649" s="49">
        <v>45969</v>
      </c>
      <c r="I649" s="49">
        <v>45993</v>
      </c>
      <c r="J649" t="s">
        <v>49</v>
      </c>
      <c r="K649" s="33">
        <v>13200</v>
      </c>
      <c r="L649" t="s">
        <v>61</v>
      </c>
      <c r="M649" t="str">
        <f>_xlfn.XLOOKUP(Pipeline_tbl[[#This Row],[Rep_ID]],Dim_Reps!A:A,Dim_Reps!K:K)</f>
        <v>EUR</v>
      </c>
      <c r="N649" s="33">
        <f>(_xlfn.XLOOKUP(Pipeline_tbl[[#This Row],[Rate_Code_Generalized]],Lookups!A:A,Lookups!B:B))*Pipeline_tbl[[#This Row],[Pipeline_Amount_USD]]</f>
        <v>13200</v>
      </c>
      <c r="O649" t="str">
        <f>_xlfn.XLOOKUP(Pipeline_tbl[[#This Row],[Rep_ID]],Dim_Reps!A:A,Dim_Reps!B:B)</f>
        <v>Rafael Weber</v>
      </c>
      <c r="P649" t="str">
        <f>_xlfn.XLOOKUP(Pipeline_tbl[[#This Row],[Rep_ID]],Dim_Reps!A:A,Dim_Reps!C:C)</f>
        <v>Mid-Market AE</v>
      </c>
      <c r="Q649" t="str">
        <f>_xlfn.XLOOKUP(Pipeline_tbl[[#This Row],[Rep_ID]],Dim_Reps!A:A,Dim_Reps!D:D)</f>
        <v>Mid-Market</v>
      </c>
      <c r="R649" t="str">
        <f>_xlfn.XLOOKUP(Pipeline_tbl[[#This Row],[Rep_ID]],Dim_Reps!A:A,Dim_Reps!E:E)</f>
        <v>APAC</v>
      </c>
      <c r="S649" t="str">
        <f>_xlfn.XLOOKUP(Pipeline_tbl[[#This Row],[Created_Date]],Dim_Date!A:A,Dim_Date!H:H)</f>
        <v>Oct 2025</v>
      </c>
      <c r="T649" t="str">
        <f>IF(Pipeline_tbl[[#This Row],[Closed_Date]]=0,"",(_xlfn.XLOOKUP(Pipeline_tbl[[#This Row],[Closed_Date]],Dim_Date!A:A,Dim_Date!H:H)))</f>
        <v>Dec 2025</v>
      </c>
      <c r="U649">
        <f>IF(Pipeline_tbl[[#This Row],[Closed_Date]]=0,"",Pipeline_tbl[[#This Row],[Closed_Date]]-Pipeline_tbl[[#This Row],[Created_Date]])</f>
        <v>35</v>
      </c>
    </row>
    <row r="650" spans="1:21" ht="15" customHeight="1" x14ac:dyDescent="0.2">
      <c r="A650" t="s">
        <v>956</v>
      </c>
      <c r="B650" t="s">
        <v>255</v>
      </c>
      <c r="C650" t="s">
        <v>53</v>
      </c>
      <c r="D650" s="49">
        <v>45960</v>
      </c>
      <c r="E650" s="49">
        <v>45964</v>
      </c>
      <c r="F650" s="49">
        <v>45973</v>
      </c>
      <c r="G650" s="49">
        <v>45986</v>
      </c>
      <c r="H650" s="49">
        <v>45997</v>
      </c>
      <c r="I650" s="49">
        <v>46004</v>
      </c>
      <c r="J650" t="s">
        <v>47</v>
      </c>
      <c r="K650" s="33">
        <v>9600</v>
      </c>
      <c r="M650" t="str">
        <f>_xlfn.XLOOKUP(Pipeline_tbl[[#This Row],[Rep_ID]],Dim_Reps!A:A,Dim_Reps!K:K)</f>
        <v>USD</v>
      </c>
      <c r="N650" s="33">
        <f>(_xlfn.XLOOKUP(Pipeline_tbl[[#This Row],[Rate_Code_Generalized]],Lookups!A:A,Lookups!B:B))*Pipeline_tbl[[#This Row],[Pipeline_Amount_USD]]</f>
        <v>11177.279999999999</v>
      </c>
      <c r="O650" t="str">
        <f>_xlfn.XLOOKUP(Pipeline_tbl[[#This Row],[Rep_ID]],Dim_Reps!A:A,Dim_Reps!B:B)</f>
        <v>Erik Kim</v>
      </c>
      <c r="P650" t="str">
        <f>_xlfn.XLOOKUP(Pipeline_tbl[[#This Row],[Rep_ID]],Dim_Reps!A:A,Dim_Reps!C:C)</f>
        <v>Mid-Market AE</v>
      </c>
      <c r="Q650" t="str">
        <f>_xlfn.XLOOKUP(Pipeline_tbl[[#This Row],[Rep_ID]],Dim_Reps!A:A,Dim_Reps!D:D)</f>
        <v>Mid-Market</v>
      </c>
      <c r="R650" t="str">
        <f>_xlfn.XLOOKUP(Pipeline_tbl[[#This Row],[Rep_ID]],Dim_Reps!A:A,Dim_Reps!E:E)</f>
        <v>NAMER</v>
      </c>
      <c r="S650" t="str">
        <f>_xlfn.XLOOKUP(Pipeline_tbl[[#This Row],[Created_Date]],Dim_Date!A:A,Dim_Date!H:H)</f>
        <v>Oct 2025</v>
      </c>
      <c r="T650" t="str">
        <f>IF(Pipeline_tbl[[#This Row],[Closed_Date]]=0,"",(_xlfn.XLOOKUP(Pipeline_tbl[[#This Row],[Closed_Date]],Dim_Date!A:A,Dim_Date!H:H)))</f>
        <v>Dec 2025</v>
      </c>
      <c r="U650">
        <f>IF(Pipeline_tbl[[#This Row],[Closed_Date]]=0,"",Pipeline_tbl[[#This Row],[Closed_Date]]-Pipeline_tbl[[#This Row],[Created_Date]])</f>
        <v>44</v>
      </c>
    </row>
    <row r="651" spans="1:21" ht="15" customHeight="1" x14ac:dyDescent="0.2">
      <c r="A651" t="s">
        <v>957</v>
      </c>
      <c r="B651" t="s">
        <v>255</v>
      </c>
      <c r="C651" t="s">
        <v>52</v>
      </c>
      <c r="D651" s="49">
        <v>45955</v>
      </c>
      <c r="E651" s="49">
        <v>45959</v>
      </c>
      <c r="F651" s="49">
        <v>45967</v>
      </c>
      <c r="G651" s="49">
        <v>45978</v>
      </c>
      <c r="H651" s="49">
        <v>45988</v>
      </c>
      <c r="I651" s="49">
        <v>45994</v>
      </c>
      <c r="J651" t="s">
        <v>47</v>
      </c>
      <c r="K651" s="33">
        <v>11200</v>
      </c>
      <c r="M651" t="str">
        <f>_xlfn.XLOOKUP(Pipeline_tbl[[#This Row],[Rep_ID]],Dim_Reps!A:A,Dim_Reps!K:K)</f>
        <v>USD</v>
      </c>
      <c r="N651" s="33">
        <f>(_xlfn.XLOOKUP(Pipeline_tbl[[#This Row],[Rate_Code_Generalized]],Lookups!A:A,Lookups!B:B))*Pipeline_tbl[[#This Row],[Pipeline_Amount_USD]]</f>
        <v>13040.159999999998</v>
      </c>
      <c r="O651" t="str">
        <f>_xlfn.XLOOKUP(Pipeline_tbl[[#This Row],[Rep_ID]],Dim_Reps!A:A,Dim_Reps!B:B)</f>
        <v>Erik Kim</v>
      </c>
      <c r="P651" t="str">
        <f>_xlfn.XLOOKUP(Pipeline_tbl[[#This Row],[Rep_ID]],Dim_Reps!A:A,Dim_Reps!C:C)</f>
        <v>Mid-Market AE</v>
      </c>
      <c r="Q651" t="str">
        <f>_xlfn.XLOOKUP(Pipeline_tbl[[#This Row],[Rep_ID]],Dim_Reps!A:A,Dim_Reps!D:D)</f>
        <v>Mid-Market</v>
      </c>
      <c r="R651" t="str">
        <f>_xlfn.XLOOKUP(Pipeline_tbl[[#This Row],[Rep_ID]],Dim_Reps!A:A,Dim_Reps!E:E)</f>
        <v>NAMER</v>
      </c>
      <c r="S651" t="str">
        <f>_xlfn.XLOOKUP(Pipeline_tbl[[#This Row],[Created_Date]],Dim_Date!A:A,Dim_Date!H:H)</f>
        <v>Oct 2025</v>
      </c>
      <c r="T651" t="str">
        <f>IF(Pipeline_tbl[[#This Row],[Closed_Date]]=0,"",(_xlfn.XLOOKUP(Pipeline_tbl[[#This Row],[Closed_Date]],Dim_Date!A:A,Dim_Date!H:H)))</f>
        <v>Dec 2025</v>
      </c>
      <c r="U651">
        <f>IF(Pipeline_tbl[[#This Row],[Closed_Date]]=0,"",Pipeline_tbl[[#This Row],[Closed_Date]]-Pipeline_tbl[[#This Row],[Created_Date]])</f>
        <v>39</v>
      </c>
    </row>
    <row r="652" spans="1:21" ht="15" customHeight="1" x14ac:dyDescent="0.2">
      <c r="A652" t="s">
        <v>958</v>
      </c>
      <c r="B652" t="s">
        <v>188</v>
      </c>
      <c r="C652" t="s">
        <v>52</v>
      </c>
      <c r="D652" s="49">
        <v>45947</v>
      </c>
      <c r="E652" s="49">
        <v>45954</v>
      </c>
      <c r="F652" s="49">
        <v>45967</v>
      </c>
      <c r="G652" s="49">
        <v>45988</v>
      </c>
      <c r="H652" s="49">
        <v>46005</v>
      </c>
      <c r="I652" s="49">
        <v>46015</v>
      </c>
      <c r="J652" t="s">
        <v>47</v>
      </c>
      <c r="K652" s="33">
        <v>33200</v>
      </c>
      <c r="M652" t="str">
        <f>_xlfn.XLOOKUP(Pipeline_tbl[[#This Row],[Rep_ID]],Dim_Reps!A:A,Dim_Reps!K:K)</f>
        <v>EUR</v>
      </c>
      <c r="N652" s="33">
        <f>(_xlfn.XLOOKUP(Pipeline_tbl[[#This Row],[Rate_Code_Generalized]],Lookups!A:A,Lookups!B:B))*Pipeline_tbl[[#This Row],[Pipeline_Amount_USD]]</f>
        <v>33200</v>
      </c>
      <c r="O652" t="str">
        <f>_xlfn.XLOOKUP(Pipeline_tbl[[#This Row],[Rep_ID]],Dim_Reps!A:A,Dim_Reps!B:B)</f>
        <v>Jamie Santos</v>
      </c>
      <c r="P652" t="str">
        <f>_xlfn.XLOOKUP(Pipeline_tbl[[#This Row],[Rep_ID]],Dim_Reps!A:A,Dim_Reps!C:C)</f>
        <v>Enterprise AE</v>
      </c>
      <c r="Q652" t="str">
        <f>_xlfn.XLOOKUP(Pipeline_tbl[[#This Row],[Rep_ID]],Dim_Reps!A:A,Dim_Reps!D:D)</f>
        <v>Enterprise</v>
      </c>
      <c r="R652" t="str">
        <f>_xlfn.XLOOKUP(Pipeline_tbl[[#This Row],[Rep_ID]],Dim_Reps!A:A,Dim_Reps!E:E)</f>
        <v>APAC</v>
      </c>
      <c r="S652" t="str">
        <f>_xlfn.XLOOKUP(Pipeline_tbl[[#This Row],[Created_Date]],Dim_Date!A:A,Dim_Date!H:H)</f>
        <v>Oct 2025</v>
      </c>
      <c r="T652" t="str">
        <f>IF(Pipeline_tbl[[#This Row],[Closed_Date]]=0,"",(_xlfn.XLOOKUP(Pipeline_tbl[[#This Row],[Closed_Date]],Dim_Date!A:A,Dim_Date!H:H)))</f>
        <v>Dec 2025</v>
      </c>
      <c r="U652">
        <f>IF(Pipeline_tbl[[#This Row],[Closed_Date]]=0,"",Pipeline_tbl[[#This Row],[Closed_Date]]-Pipeline_tbl[[#This Row],[Created_Date]])</f>
        <v>68</v>
      </c>
    </row>
    <row r="653" spans="1:21" ht="15" customHeight="1" x14ac:dyDescent="0.2">
      <c r="A653" t="s">
        <v>959</v>
      </c>
      <c r="B653" t="s">
        <v>188</v>
      </c>
      <c r="C653" t="s">
        <v>52</v>
      </c>
      <c r="D653" s="49">
        <v>45960</v>
      </c>
      <c r="E653" s="49">
        <v>45964</v>
      </c>
      <c r="F653" s="49">
        <v>45972</v>
      </c>
      <c r="I653" s="49">
        <v>46001</v>
      </c>
      <c r="J653" t="s">
        <v>49</v>
      </c>
      <c r="K653" s="33">
        <v>35400</v>
      </c>
      <c r="L653" t="s">
        <v>62</v>
      </c>
      <c r="M653" t="str">
        <f>_xlfn.XLOOKUP(Pipeline_tbl[[#This Row],[Rep_ID]],Dim_Reps!A:A,Dim_Reps!K:K)</f>
        <v>EUR</v>
      </c>
      <c r="N653" s="33">
        <f>(_xlfn.XLOOKUP(Pipeline_tbl[[#This Row],[Rate_Code_Generalized]],Lookups!A:A,Lookups!B:B))*Pipeline_tbl[[#This Row],[Pipeline_Amount_USD]]</f>
        <v>35400</v>
      </c>
      <c r="O653" t="str">
        <f>_xlfn.XLOOKUP(Pipeline_tbl[[#This Row],[Rep_ID]],Dim_Reps!A:A,Dim_Reps!B:B)</f>
        <v>Jamie Santos</v>
      </c>
      <c r="P653" t="str">
        <f>_xlfn.XLOOKUP(Pipeline_tbl[[#This Row],[Rep_ID]],Dim_Reps!A:A,Dim_Reps!C:C)</f>
        <v>Enterprise AE</v>
      </c>
      <c r="Q653" t="str">
        <f>_xlfn.XLOOKUP(Pipeline_tbl[[#This Row],[Rep_ID]],Dim_Reps!A:A,Dim_Reps!D:D)</f>
        <v>Enterprise</v>
      </c>
      <c r="R653" t="str">
        <f>_xlfn.XLOOKUP(Pipeline_tbl[[#This Row],[Rep_ID]],Dim_Reps!A:A,Dim_Reps!E:E)</f>
        <v>APAC</v>
      </c>
      <c r="S653" t="str">
        <f>_xlfn.XLOOKUP(Pipeline_tbl[[#This Row],[Created_Date]],Dim_Date!A:A,Dim_Date!H:H)</f>
        <v>Oct 2025</v>
      </c>
      <c r="T653" t="str">
        <f>IF(Pipeline_tbl[[#This Row],[Closed_Date]]=0,"",(_xlfn.XLOOKUP(Pipeline_tbl[[#This Row],[Closed_Date]],Dim_Date!A:A,Dim_Date!H:H)))</f>
        <v>Dec 2025</v>
      </c>
      <c r="U653">
        <f>IF(Pipeline_tbl[[#This Row],[Closed_Date]]=0,"",Pipeline_tbl[[#This Row],[Closed_Date]]-Pipeline_tbl[[#This Row],[Created_Date]])</f>
        <v>41</v>
      </c>
    </row>
    <row r="654" spans="1:21" ht="15" customHeight="1" x14ac:dyDescent="0.2">
      <c r="A654" t="s">
        <v>960</v>
      </c>
      <c r="B654" t="s">
        <v>257</v>
      </c>
      <c r="C654" t="s">
        <v>52</v>
      </c>
      <c r="D654" s="49">
        <v>45957</v>
      </c>
      <c r="E654" s="49">
        <v>45961</v>
      </c>
      <c r="F654" s="49">
        <v>45969</v>
      </c>
      <c r="G654" s="49">
        <v>45980</v>
      </c>
      <c r="H654" s="49">
        <v>45990</v>
      </c>
      <c r="I654" s="49">
        <v>45996</v>
      </c>
      <c r="J654" t="s">
        <v>49</v>
      </c>
      <c r="K654" s="33">
        <v>7000</v>
      </c>
      <c r="L654" t="s">
        <v>61</v>
      </c>
      <c r="M654" t="str">
        <f>_xlfn.XLOOKUP(Pipeline_tbl[[#This Row],[Rep_ID]],Dim_Reps!A:A,Dim_Reps!K:K)</f>
        <v>EUR</v>
      </c>
      <c r="N654" s="33">
        <f>(_xlfn.XLOOKUP(Pipeline_tbl[[#This Row],[Rate_Code_Generalized]],Lookups!A:A,Lookups!B:B))*Pipeline_tbl[[#This Row],[Pipeline_Amount_USD]]</f>
        <v>7000</v>
      </c>
      <c r="O654" t="str">
        <f>_xlfn.XLOOKUP(Pipeline_tbl[[#This Row],[Rep_ID]],Dim_Reps!A:A,Dim_Reps!B:B)</f>
        <v>Ana Kim</v>
      </c>
      <c r="P654" t="str">
        <f>_xlfn.XLOOKUP(Pipeline_tbl[[#This Row],[Rep_ID]],Dim_Reps!A:A,Dim_Reps!C:C)</f>
        <v>Mid-Market AE</v>
      </c>
      <c r="Q654" t="str">
        <f>_xlfn.XLOOKUP(Pipeline_tbl[[#This Row],[Rep_ID]],Dim_Reps!A:A,Dim_Reps!D:D)</f>
        <v>Mid-Market</v>
      </c>
      <c r="R654" t="str">
        <f>_xlfn.XLOOKUP(Pipeline_tbl[[#This Row],[Rep_ID]],Dim_Reps!A:A,Dim_Reps!E:E)</f>
        <v>APAC</v>
      </c>
      <c r="S654" t="str">
        <f>_xlfn.XLOOKUP(Pipeline_tbl[[#This Row],[Created_Date]],Dim_Date!A:A,Dim_Date!H:H)</f>
        <v>Oct 2025</v>
      </c>
      <c r="T654" t="str">
        <f>IF(Pipeline_tbl[[#This Row],[Closed_Date]]=0,"",(_xlfn.XLOOKUP(Pipeline_tbl[[#This Row],[Closed_Date]],Dim_Date!A:A,Dim_Date!H:H)))</f>
        <v>Dec 2025</v>
      </c>
      <c r="U654">
        <f>IF(Pipeline_tbl[[#This Row],[Closed_Date]]=0,"",Pipeline_tbl[[#This Row],[Closed_Date]]-Pipeline_tbl[[#This Row],[Created_Date]])</f>
        <v>39</v>
      </c>
    </row>
    <row r="655" spans="1:21" ht="15" customHeight="1" x14ac:dyDescent="0.2">
      <c r="A655" t="s">
        <v>961</v>
      </c>
      <c r="B655" t="s">
        <v>257</v>
      </c>
      <c r="C655" t="s">
        <v>52</v>
      </c>
      <c r="D655" s="49">
        <v>45952</v>
      </c>
      <c r="E655" s="49">
        <v>45956</v>
      </c>
      <c r="F655" s="49">
        <v>45964</v>
      </c>
      <c r="G655" s="49">
        <v>45976</v>
      </c>
      <c r="H655" s="49">
        <v>45986</v>
      </c>
      <c r="I655" s="49">
        <v>45992</v>
      </c>
      <c r="J655" t="s">
        <v>47</v>
      </c>
      <c r="K655" s="33">
        <v>14300</v>
      </c>
      <c r="M655" t="str">
        <f>_xlfn.XLOOKUP(Pipeline_tbl[[#This Row],[Rep_ID]],Dim_Reps!A:A,Dim_Reps!K:K)</f>
        <v>EUR</v>
      </c>
      <c r="N655" s="33">
        <f>(_xlfn.XLOOKUP(Pipeline_tbl[[#This Row],[Rate_Code_Generalized]],Lookups!A:A,Lookups!B:B))*Pipeline_tbl[[#This Row],[Pipeline_Amount_USD]]</f>
        <v>14300</v>
      </c>
      <c r="O655" t="str">
        <f>_xlfn.XLOOKUP(Pipeline_tbl[[#This Row],[Rep_ID]],Dim_Reps!A:A,Dim_Reps!B:B)</f>
        <v>Ana Kim</v>
      </c>
      <c r="P655" t="str">
        <f>_xlfn.XLOOKUP(Pipeline_tbl[[#This Row],[Rep_ID]],Dim_Reps!A:A,Dim_Reps!C:C)</f>
        <v>Mid-Market AE</v>
      </c>
      <c r="Q655" t="str">
        <f>_xlfn.XLOOKUP(Pipeline_tbl[[#This Row],[Rep_ID]],Dim_Reps!A:A,Dim_Reps!D:D)</f>
        <v>Mid-Market</v>
      </c>
      <c r="R655" t="str">
        <f>_xlfn.XLOOKUP(Pipeline_tbl[[#This Row],[Rep_ID]],Dim_Reps!A:A,Dim_Reps!E:E)</f>
        <v>APAC</v>
      </c>
      <c r="S655" t="str">
        <f>_xlfn.XLOOKUP(Pipeline_tbl[[#This Row],[Created_Date]],Dim_Date!A:A,Dim_Date!H:H)</f>
        <v>Oct 2025</v>
      </c>
      <c r="T655" t="str">
        <f>IF(Pipeline_tbl[[#This Row],[Closed_Date]]=0,"",(_xlfn.XLOOKUP(Pipeline_tbl[[#This Row],[Closed_Date]],Dim_Date!A:A,Dim_Date!H:H)))</f>
        <v>Dec 2025</v>
      </c>
      <c r="U655">
        <f>IF(Pipeline_tbl[[#This Row],[Closed_Date]]=0,"",Pipeline_tbl[[#This Row],[Closed_Date]]-Pipeline_tbl[[#This Row],[Created_Date]])</f>
        <v>40</v>
      </c>
    </row>
    <row r="656" spans="1:21" ht="15" customHeight="1" x14ac:dyDescent="0.2">
      <c r="A656" t="s">
        <v>962</v>
      </c>
      <c r="B656" t="s">
        <v>259</v>
      </c>
      <c r="C656" t="s">
        <v>52</v>
      </c>
      <c r="D656" s="49">
        <v>45947</v>
      </c>
      <c r="E656" s="49">
        <v>45952</v>
      </c>
      <c r="F656" s="49">
        <v>45961</v>
      </c>
      <c r="G656" s="49">
        <v>45976</v>
      </c>
      <c r="H656" s="49">
        <v>45988</v>
      </c>
      <c r="I656" s="49">
        <v>45995</v>
      </c>
      <c r="J656" t="s">
        <v>47</v>
      </c>
      <c r="K656" s="33">
        <v>17400</v>
      </c>
      <c r="M656" t="str">
        <f>_xlfn.XLOOKUP(Pipeline_tbl[[#This Row],[Rep_ID]],Dim_Reps!A:A,Dim_Reps!K:K)</f>
        <v>EUR</v>
      </c>
      <c r="N656" s="33">
        <f>(_xlfn.XLOOKUP(Pipeline_tbl[[#This Row],[Rate_Code_Generalized]],Lookups!A:A,Lookups!B:B))*Pipeline_tbl[[#This Row],[Pipeline_Amount_USD]]</f>
        <v>17400</v>
      </c>
      <c r="O656" t="str">
        <f>_xlfn.XLOOKUP(Pipeline_tbl[[#This Row],[Rep_ID]],Dim_Reps!A:A,Dim_Reps!B:B)</f>
        <v>Felix Okafor</v>
      </c>
      <c r="P656" t="str">
        <f>_xlfn.XLOOKUP(Pipeline_tbl[[#This Row],[Rep_ID]],Dim_Reps!A:A,Dim_Reps!C:C)</f>
        <v>Mid-Market AE</v>
      </c>
      <c r="Q656" t="str">
        <f>_xlfn.XLOOKUP(Pipeline_tbl[[#This Row],[Rep_ID]],Dim_Reps!A:A,Dim_Reps!D:D)</f>
        <v>Mid-Market</v>
      </c>
      <c r="R656" t="str">
        <f>_xlfn.XLOOKUP(Pipeline_tbl[[#This Row],[Rep_ID]],Dim_Reps!A:A,Dim_Reps!E:E)</f>
        <v>EMEA</v>
      </c>
      <c r="S656" t="str">
        <f>_xlfn.XLOOKUP(Pipeline_tbl[[#This Row],[Created_Date]],Dim_Date!A:A,Dim_Date!H:H)</f>
        <v>Oct 2025</v>
      </c>
      <c r="T656" t="str">
        <f>IF(Pipeline_tbl[[#This Row],[Closed_Date]]=0,"",(_xlfn.XLOOKUP(Pipeline_tbl[[#This Row],[Closed_Date]],Dim_Date!A:A,Dim_Date!H:H)))</f>
        <v>Dec 2025</v>
      </c>
      <c r="U656">
        <f>IF(Pipeline_tbl[[#This Row],[Closed_Date]]=0,"",Pipeline_tbl[[#This Row],[Closed_Date]]-Pipeline_tbl[[#This Row],[Created_Date]])</f>
        <v>48</v>
      </c>
    </row>
    <row r="657" spans="1:21" ht="15" customHeight="1" x14ac:dyDescent="0.2">
      <c r="A657" t="s">
        <v>963</v>
      </c>
      <c r="B657" t="s">
        <v>261</v>
      </c>
      <c r="C657" t="s">
        <v>52</v>
      </c>
      <c r="D657" s="49">
        <v>45952</v>
      </c>
      <c r="E657" s="49">
        <v>45957</v>
      </c>
      <c r="F657" s="49">
        <v>45967</v>
      </c>
      <c r="G657" s="49">
        <v>45981</v>
      </c>
      <c r="H657" s="49">
        <v>45994</v>
      </c>
      <c r="I657" s="49">
        <v>46001</v>
      </c>
      <c r="J657" t="s">
        <v>49</v>
      </c>
      <c r="K657" s="33">
        <v>20500</v>
      </c>
      <c r="L657" t="s">
        <v>60</v>
      </c>
      <c r="M657" t="str">
        <f>_xlfn.XLOOKUP(Pipeline_tbl[[#This Row],[Rep_ID]],Dim_Reps!A:A,Dim_Reps!K:K)</f>
        <v>USD</v>
      </c>
      <c r="N657" s="33">
        <f>(_xlfn.XLOOKUP(Pipeline_tbl[[#This Row],[Rate_Code_Generalized]],Lookups!A:A,Lookups!B:B))*Pipeline_tbl[[#This Row],[Pipeline_Amount_USD]]</f>
        <v>23868.149999999998</v>
      </c>
      <c r="O657" t="str">
        <f>_xlfn.XLOOKUP(Pipeline_tbl[[#This Row],[Rep_ID]],Dim_Reps!A:A,Dim_Reps!B:B)</f>
        <v>Morgan Larsen</v>
      </c>
      <c r="P657" t="str">
        <f>_xlfn.XLOOKUP(Pipeline_tbl[[#This Row],[Rep_ID]],Dim_Reps!A:A,Dim_Reps!C:C)</f>
        <v>Mid-Market AE</v>
      </c>
      <c r="Q657" t="str">
        <f>_xlfn.XLOOKUP(Pipeline_tbl[[#This Row],[Rep_ID]],Dim_Reps!A:A,Dim_Reps!D:D)</f>
        <v>Mid-Market</v>
      </c>
      <c r="R657" t="str">
        <f>_xlfn.XLOOKUP(Pipeline_tbl[[#This Row],[Rep_ID]],Dim_Reps!A:A,Dim_Reps!E:E)</f>
        <v>NAMER</v>
      </c>
      <c r="S657" t="str">
        <f>_xlfn.XLOOKUP(Pipeline_tbl[[#This Row],[Created_Date]],Dim_Date!A:A,Dim_Date!H:H)</f>
        <v>Oct 2025</v>
      </c>
      <c r="T657" t="str">
        <f>IF(Pipeline_tbl[[#This Row],[Closed_Date]]=0,"",(_xlfn.XLOOKUP(Pipeline_tbl[[#This Row],[Closed_Date]],Dim_Date!A:A,Dim_Date!H:H)))</f>
        <v>Dec 2025</v>
      </c>
      <c r="U657">
        <f>IF(Pipeline_tbl[[#This Row],[Closed_Date]]=0,"",Pipeline_tbl[[#This Row],[Closed_Date]]-Pipeline_tbl[[#This Row],[Created_Date]])</f>
        <v>49</v>
      </c>
    </row>
    <row r="658" spans="1:21" ht="15" customHeight="1" x14ac:dyDescent="0.2">
      <c r="A658" t="s">
        <v>964</v>
      </c>
      <c r="B658" t="s">
        <v>261</v>
      </c>
      <c r="C658" t="s">
        <v>56</v>
      </c>
      <c r="D658" s="49">
        <v>45960</v>
      </c>
      <c r="E658" s="49">
        <v>45964</v>
      </c>
      <c r="F658" s="49">
        <v>45972</v>
      </c>
      <c r="G658" s="49">
        <v>45985</v>
      </c>
      <c r="H658" s="49">
        <v>45995</v>
      </c>
      <c r="I658" s="49">
        <v>46001</v>
      </c>
      <c r="J658" t="s">
        <v>49</v>
      </c>
      <c r="K658" s="33">
        <v>14700</v>
      </c>
      <c r="L658" t="s">
        <v>61</v>
      </c>
      <c r="M658" t="str">
        <f>_xlfn.XLOOKUP(Pipeline_tbl[[#This Row],[Rep_ID]],Dim_Reps!A:A,Dim_Reps!K:K)</f>
        <v>USD</v>
      </c>
      <c r="N658" s="33">
        <f>(_xlfn.XLOOKUP(Pipeline_tbl[[#This Row],[Rate_Code_Generalized]],Lookups!A:A,Lookups!B:B))*Pipeline_tbl[[#This Row],[Pipeline_Amount_USD]]</f>
        <v>17115.21</v>
      </c>
      <c r="O658" t="str">
        <f>_xlfn.XLOOKUP(Pipeline_tbl[[#This Row],[Rep_ID]],Dim_Reps!A:A,Dim_Reps!B:B)</f>
        <v>Morgan Larsen</v>
      </c>
      <c r="P658" t="str">
        <f>_xlfn.XLOOKUP(Pipeline_tbl[[#This Row],[Rep_ID]],Dim_Reps!A:A,Dim_Reps!C:C)</f>
        <v>Mid-Market AE</v>
      </c>
      <c r="Q658" t="str">
        <f>_xlfn.XLOOKUP(Pipeline_tbl[[#This Row],[Rep_ID]],Dim_Reps!A:A,Dim_Reps!D:D)</f>
        <v>Mid-Market</v>
      </c>
      <c r="R658" t="str">
        <f>_xlfn.XLOOKUP(Pipeline_tbl[[#This Row],[Rep_ID]],Dim_Reps!A:A,Dim_Reps!E:E)</f>
        <v>NAMER</v>
      </c>
      <c r="S658" t="str">
        <f>_xlfn.XLOOKUP(Pipeline_tbl[[#This Row],[Created_Date]],Dim_Date!A:A,Dim_Date!H:H)</f>
        <v>Oct 2025</v>
      </c>
      <c r="T658" t="str">
        <f>IF(Pipeline_tbl[[#This Row],[Closed_Date]]=0,"",(_xlfn.XLOOKUP(Pipeline_tbl[[#This Row],[Closed_Date]],Dim_Date!A:A,Dim_Date!H:H)))</f>
        <v>Dec 2025</v>
      </c>
      <c r="U658">
        <f>IF(Pipeline_tbl[[#This Row],[Closed_Date]]=0,"",Pipeline_tbl[[#This Row],[Closed_Date]]-Pipeline_tbl[[#This Row],[Created_Date]])</f>
        <v>41</v>
      </c>
    </row>
    <row r="659" spans="1:21" ht="15" customHeight="1" x14ac:dyDescent="0.2">
      <c r="A659" t="s">
        <v>965</v>
      </c>
      <c r="B659" t="s">
        <v>261</v>
      </c>
      <c r="C659" t="s">
        <v>52</v>
      </c>
      <c r="D659" s="49">
        <v>45959</v>
      </c>
      <c r="E659" s="49">
        <v>45962</v>
      </c>
      <c r="F659" s="49">
        <v>45969</v>
      </c>
      <c r="G659" s="49">
        <v>45979</v>
      </c>
      <c r="I659" s="49">
        <v>45993</v>
      </c>
      <c r="J659" t="s">
        <v>49</v>
      </c>
      <c r="K659" s="33">
        <v>11100</v>
      </c>
      <c r="L659" t="s">
        <v>63</v>
      </c>
      <c r="M659" t="str">
        <f>_xlfn.XLOOKUP(Pipeline_tbl[[#This Row],[Rep_ID]],Dim_Reps!A:A,Dim_Reps!K:K)</f>
        <v>USD</v>
      </c>
      <c r="N659" s="33">
        <f>(_xlfn.XLOOKUP(Pipeline_tbl[[#This Row],[Rate_Code_Generalized]],Lookups!A:A,Lookups!B:B))*Pipeline_tbl[[#This Row],[Pipeline_Amount_USD]]</f>
        <v>12923.73</v>
      </c>
      <c r="O659" t="str">
        <f>_xlfn.XLOOKUP(Pipeline_tbl[[#This Row],[Rep_ID]],Dim_Reps!A:A,Dim_Reps!B:B)</f>
        <v>Morgan Larsen</v>
      </c>
      <c r="P659" t="str">
        <f>_xlfn.XLOOKUP(Pipeline_tbl[[#This Row],[Rep_ID]],Dim_Reps!A:A,Dim_Reps!C:C)</f>
        <v>Mid-Market AE</v>
      </c>
      <c r="Q659" t="str">
        <f>_xlfn.XLOOKUP(Pipeline_tbl[[#This Row],[Rep_ID]],Dim_Reps!A:A,Dim_Reps!D:D)</f>
        <v>Mid-Market</v>
      </c>
      <c r="R659" t="str">
        <f>_xlfn.XLOOKUP(Pipeline_tbl[[#This Row],[Rep_ID]],Dim_Reps!A:A,Dim_Reps!E:E)</f>
        <v>NAMER</v>
      </c>
      <c r="S659" t="str">
        <f>_xlfn.XLOOKUP(Pipeline_tbl[[#This Row],[Created_Date]],Dim_Date!A:A,Dim_Date!H:H)</f>
        <v>Oct 2025</v>
      </c>
      <c r="T659" t="str">
        <f>IF(Pipeline_tbl[[#This Row],[Closed_Date]]=0,"",(_xlfn.XLOOKUP(Pipeline_tbl[[#This Row],[Closed_Date]],Dim_Date!A:A,Dim_Date!H:H)))</f>
        <v>Dec 2025</v>
      </c>
      <c r="U659">
        <f>IF(Pipeline_tbl[[#This Row],[Closed_Date]]=0,"",Pipeline_tbl[[#This Row],[Closed_Date]]-Pipeline_tbl[[#This Row],[Created_Date]])</f>
        <v>34</v>
      </c>
    </row>
    <row r="660" spans="1:21" ht="15" customHeight="1" x14ac:dyDescent="0.2">
      <c r="A660" t="s">
        <v>966</v>
      </c>
      <c r="B660" t="s">
        <v>280</v>
      </c>
      <c r="C660" t="s">
        <v>52</v>
      </c>
      <c r="D660" s="49">
        <v>45949</v>
      </c>
      <c r="E660" s="49">
        <v>45956</v>
      </c>
      <c r="F660" s="49">
        <v>45969</v>
      </c>
      <c r="G660" s="49">
        <v>45990</v>
      </c>
      <c r="H660" s="49">
        <v>46007</v>
      </c>
      <c r="I660" s="49">
        <v>46017</v>
      </c>
      <c r="J660" t="s">
        <v>47</v>
      </c>
      <c r="K660" s="33">
        <v>106100</v>
      </c>
      <c r="M660" t="str">
        <f>_xlfn.XLOOKUP(Pipeline_tbl[[#This Row],[Rep_ID]],Dim_Reps!A:A,Dim_Reps!K:K)</f>
        <v>MXN</v>
      </c>
      <c r="N660" s="33">
        <f>(_xlfn.XLOOKUP(Pipeline_tbl[[#This Row],[Rate_Code_Generalized]],Lookups!A:A,Lookups!B:B))*Pipeline_tbl[[#This Row],[Pipeline_Amount_USD]]</f>
        <v>2093639.4700000002</v>
      </c>
      <c r="O660" t="str">
        <f>_xlfn.XLOOKUP(Pipeline_tbl[[#This Row],[Rep_ID]],Dim_Reps!A:A,Dim_Reps!B:B)</f>
        <v>Cameron Lund</v>
      </c>
      <c r="P660" t="str">
        <f>_xlfn.XLOOKUP(Pipeline_tbl[[#This Row],[Rep_ID]],Dim_Reps!A:A,Dim_Reps!C:C)</f>
        <v>Senior Enterprise AE</v>
      </c>
      <c r="Q660" t="str">
        <f>_xlfn.XLOOKUP(Pipeline_tbl[[#This Row],[Rep_ID]],Dim_Reps!A:A,Dim_Reps!D:D)</f>
        <v>Strategic</v>
      </c>
      <c r="R660" t="str">
        <f>_xlfn.XLOOKUP(Pipeline_tbl[[#This Row],[Rep_ID]],Dim_Reps!A:A,Dim_Reps!E:E)</f>
        <v>LATAM</v>
      </c>
      <c r="S660" t="str">
        <f>_xlfn.XLOOKUP(Pipeline_tbl[[#This Row],[Created_Date]],Dim_Date!A:A,Dim_Date!H:H)</f>
        <v>Oct 2025</v>
      </c>
      <c r="T660" t="str">
        <f>IF(Pipeline_tbl[[#This Row],[Closed_Date]]=0,"",(_xlfn.XLOOKUP(Pipeline_tbl[[#This Row],[Closed_Date]],Dim_Date!A:A,Dim_Date!H:H)))</f>
        <v>Dec 2025</v>
      </c>
      <c r="U660">
        <f>IF(Pipeline_tbl[[#This Row],[Closed_Date]]=0,"",Pipeline_tbl[[#This Row],[Closed_Date]]-Pipeline_tbl[[#This Row],[Created_Date]])</f>
        <v>68</v>
      </c>
    </row>
    <row r="661" spans="1:21" ht="15" customHeight="1" x14ac:dyDescent="0.2">
      <c r="A661" t="s">
        <v>967</v>
      </c>
      <c r="B661" t="s">
        <v>280</v>
      </c>
      <c r="C661" t="s">
        <v>52</v>
      </c>
      <c r="D661" s="49">
        <v>45939</v>
      </c>
      <c r="E661" s="49">
        <v>45946</v>
      </c>
      <c r="F661" s="49">
        <v>45961</v>
      </c>
      <c r="G661" s="49">
        <v>45983</v>
      </c>
      <c r="H661" s="49">
        <v>46001</v>
      </c>
      <c r="I661" s="49">
        <v>46012</v>
      </c>
      <c r="J661" t="s">
        <v>47</v>
      </c>
      <c r="K661" s="33">
        <v>43700</v>
      </c>
      <c r="M661" t="str">
        <f>_xlfn.XLOOKUP(Pipeline_tbl[[#This Row],[Rep_ID]],Dim_Reps!A:A,Dim_Reps!K:K)</f>
        <v>MXN</v>
      </c>
      <c r="N661" s="33">
        <f>(_xlfn.XLOOKUP(Pipeline_tbl[[#This Row],[Rate_Code_Generalized]],Lookups!A:A,Lookups!B:B))*Pipeline_tbl[[#This Row],[Pipeline_Amount_USD]]</f>
        <v>862318.99000000011</v>
      </c>
      <c r="O661" t="str">
        <f>_xlfn.XLOOKUP(Pipeline_tbl[[#This Row],[Rep_ID]],Dim_Reps!A:A,Dim_Reps!B:B)</f>
        <v>Cameron Lund</v>
      </c>
      <c r="P661" t="str">
        <f>_xlfn.XLOOKUP(Pipeline_tbl[[#This Row],[Rep_ID]],Dim_Reps!A:A,Dim_Reps!C:C)</f>
        <v>Senior Enterprise AE</v>
      </c>
      <c r="Q661" t="str">
        <f>_xlfn.XLOOKUP(Pipeline_tbl[[#This Row],[Rep_ID]],Dim_Reps!A:A,Dim_Reps!D:D)</f>
        <v>Strategic</v>
      </c>
      <c r="R661" t="str">
        <f>_xlfn.XLOOKUP(Pipeline_tbl[[#This Row],[Rep_ID]],Dim_Reps!A:A,Dim_Reps!E:E)</f>
        <v>LATAM</v>
      </c>
      <c r="S661" t="str">
        <f>_xlfn.XLOOKUP(Pipeline_tbl[[#This Row],[Created_Date]],Dim_Date!A:A,Dim_Date!H:H)</f>
        <v>Oct 2025</v>
      </c>
      <c r="T661" t="str">
        <f>IF(Pipeline_tbl[[#This Row],[Closed_Date]]=0,"",(_xlfn.XLOOKUP(Pipeline_tbl[[#This Row],[Closed_Date]],Dim_Date!A:A,Dim_Date!H:H)))</f>
        <v>Dec 2025</v>
      </c>
      <c r="U661">
        <f>IF(Pipeline_tbl[[#This Row],[Closed_Date]]=0,"",Pipeline_tbl[[#This Row],[Closed_Date]]-Pipeline_tbl[[#This Row],[Created_Date]])</f>
        <v>73</v>
      </c>
    </row>
    <row r="662" spans="1:21" ht="15" customHeight="1" x14ac:dyDescent="0.2">
      <c r="A662" t="s">
        <v>968</v>
      </c>
      <c r="B662" t="s">
        <v>282</v>
      </c>
      <c r="C662" t="s">
        <v>52</v>
      </c>
      <c r="D662" s="49">
        <v>45955</v>
      </c>
      <c r="E662" s="49">
        <v>45961</v>
      </c>
      <c r="F662" s="49">
        <v>45973</v>
      </c>
      <c r="G662" s="49">
        <v>45990</v>
      </c>
      <c r="I662" s="49">
        <v>46014</v>
      </c>
      <c r="J662" t="s">
        <v>49</v>
      </c>
      <c r="K662" s="33">
        <v>58900</v>
      </c>
      <c r="L662" t="s">
        <v>64</v>
      </c>
      <c r="M662" t="str">
        <f>_xlfn.XLOOKUP(Pipeline_tbl[[#This Row],[Rep_ID]],Dim_Reps!A:A,Dim_Reps!K:K)</f>
        <v>USD</v>
      </c>
      <c r="N662" s="33">
        <f>(_xlfn.XLOOKUP(Pipeline_tbl[[#This Row],[Rate_Code_Generalized]],Lookups!A:A,Lookups!B:B))*Pipeline_tbl[[#This Row],[Pipeline_Amount_USD]]</f>
        <v>68577.26999999999</v>
      </c>
      <c r="O662" t="str">
        <f>_xlfn.XLOOKUP(Pipeline_tbl[[#This Row],[Rep_ID]],Dim_Reps!A:A,Dim_Reps!B:B)</f>
        <v>Fatima Rossi</v>
      </c>
      <c r="P662" t="str">
        <f>_xlfn.XLOOKUP(Pipeline_tbl[[#This Row],[Rep_ID]],Dim_Reps!A:A,Dim_Reps!C:C)</f>
        <v>Senior Enterprise AE</v>
      </c>
      <c r="Q662" t="str">
        <f>_xlfn.XLOOKUP(Pipeline_tbl[[#This Row],[Rep_ID]],Dim_Reps!A:A,Dim_Reps!D:D)</f>
        <v>Strategic</v>
      </c>
      <c r="R662" t="str">
        <f>_xlfn.XLOOKUP(Pipeline_tbl[[#This Row],[Rep_ID]],Dim_Reps!A:A,Dim_Reps!E:E)</f>
        <v>NAMER</v>
      </c>
      <c r="S662" t="str">
        <f>_xlfn.XLOOKUP(Pipeline_tbl[[#This Row],[Created_Date]],Dim_Date!A:A,Dim_Date!H:H)</f>
        <v>Oct 2025</v>
      </c>
      <c r="T662" t="str">
        <f>IF(Pipeline_tbl[[#This Row],[Closed_Date]]=0,"",(_xlfn.XLOOKUP(Pipeline_tbl[[#This Row],[Closed_Date]],Dim_Date!A:A,Dim_Date!H:H)))</f>
        <v>Dec 2025</v>
      </c>
      <c r="U662">
        <f>IF(Pipeline_tbl[[#This Row],[Closed_Date]]=0,"",Pipeline_tbl[[#This Row],[Closed_Date]]-Pipeline_tbl[[#This Row],[Created_Date]])</f>
        <v>59</v>
      </c>
    </row>
    <row r="663" spans="1:21" ht="15" customHeight="1" x14ac:dyDescent="0.2">
      <c r="A663" t="s">
        <v>969</v>
      </c>
      <c r="B663" t="s">
        <v>282</v>
      </c>
      <c r="C663" t="s">
        <v>53</v>
      </c>
      <c r="D663" s="49">
        <v>45952</v>
      </c>
      <c r="E663" s="49">
        <v>45958</v>
      </c>
      <c r="F663" s="49">
        <v>45969</v>
      </c>
      <c r="G663" s="49">
        <v>45986</v>
      </c>
      <c r="H663" s="49">
        <v>46000</v>
      </c>
      <c r="I663" s="49">
        <v>46009</v>
      </c>
      <c r="J663" t="s">
        <v>49</v>
      </c>
      <c r="K663" s="33">
        <v>15300</v>
      </c>
      <c r="L663" t="s">
        <v>60</v>
      </c>
      <c r="M663" t="str">
        <f>_xlfn.XLOOKUP(Pipeline_tbl[[#This Row],[Rep_ID]],Dim_Reps!A:A,Dim_Reps!K:K)</f>
        <v>USD</v>
      </c>
      <c r="N663" s="33">
        <f>(_xlfn.XLOOKUP(Pipeline_tbl[[#This Row],[Rate_Code_Generalized]],Lookups!A:A,Lookups!B:B))*Pipeline_tbl[[#This Row],[Pipeline_Amount_USD]]</f>
        <v>17813.789999999997</v>
      </c>
      <c r="O663" t="str">
        <f>_xlfn.XLOOKUP(Pipeline_tbl[[#This Row],[Rep_ID]],Dim_Reps!A:A,Dim_Reps!B:B)</f>
        <v>Fatima Rossi</v>
      </c>
      <c r="P663" t="str">
        <f>_xlfn.XLOOKUP(Pipeline_tbl[[#This Row],[Rep_ID]],Dim_Reps!A:A,Dim_Reps!C:C)</f>
        <v>Senior Enterprise AE</v>
      </c>
      <c r="Q663" t="str">
        <f>_xlfn.XLOOKUP(Pipeline_tbl[[#This Row],[Rep_ID]],Dim_Reps!A:A,Dim_Reps!D:D)</f>
        <v>Strategic</v>
      </c>
      <c r="R663" t="str">
        <f>_xlfn.XLOOKUP(Pipeline_tbl[[#This Row],[Rep_ID]],Dim_Reps!A:A,Dim_Reps!E:E)</f>
        <v>NAMER</v>
      </c>
      <c r="S663" t="str">
        <f>_xlfn.XLOOKUP(Pipeline_tbl[[#This Row],[Created_Date]],Dim_Date!A:A,Dim_Date!H:H)</f>
        <v>Oct 2025</v>
      </c>
      <c r="T663" t="str">
        <f>IF(Pipeline_tbl[[#This Row],[Closed_Date]]=0,"",(_xlfn.XLOOKUP(Pipeline_tbl[[#This Row],[Closed_Date]],Dim_Date!A:A,Dim_Date!H:H)))</f>
        <v>Dec 2025</v>
      </c>
      <c r="U663">
        <f>IF(Pipeline_tbl[[#This Row],[Closed_Date]]=0,"",Pipeline_tbl[[#This Row],[Closed_Date]]-Pipeline_tbl[[#This Row],[Created_Date]])</f>
        <v>57</v>
      </c>
    </row>
    <row r="664" spans="1:21" ht="15" customHeight="1" x14ac:dyDescent="0.2">
      <c r="A664" t="s">
        <v>970</v>
      </c>
      <c r="B664" t="s">
        <v>282</v>
      </c>
      <c r="C664" t="s">
        <v>54</v>
      </c>
      <c r="D664" s="49">
        <v>45943</v>
      </c>
      <c r="E664" s="49">
        <v>45950</v>
      </c>
      <c r="F664" s="49">
        <v>45964</v>
      </c>
      <c r="G664" s="49">
        <v>45986</v>
      </c>
      <c r="H664" s="49">
        <v>46003</v>
      </c>
      <c r="I664" s="49">
        <v>46014</v>
      </c>
      <c r="J664" t="s">
        <v>47</v>
      </c>
      <c r="K664" s="33">
        <v>34800</v>
      </c>
      <c r="M664" t="str">
        <f>_xlfn.XLOOKUP(Pipeline_tbl[[#This Row],[Rep_ID]],Dim_Reps!A:A,Dim_Reps!K:K)</f>
        <v>USD</v>
      </c>
      <c r="N664" s="33">
        <f>(_xlfn.XLOOKUP(Pipeline_tbl[[#This Row],[Rate_Code_Generalized]],Lookups!A:A,Lookups!B:B))*Pipeline_tbl[[#This Row],[Pipeline_Amount_USD]]</f>
        <v>40517.64</v>
      </c>
      <c r="O664" t="str">
        <f>_xlfn.XLOOKUP(Pipeline_tbl[[#This Row],[Rep_ID]],Dim_Reps!A:A,Dim_Reps!B:B)</f>
        <v>Fatima Rossi</v>
      </c>
      <c r="P664" t="str">
        <f>_xlfn.XLOOKUP(Pipeline_tbl[[#This Row],[Rep_ID]],Dim_Reps!A:A,Dim_Reps!C:C)</f>
        <v>Senior Enterprise AE</v>
      </c>
      <c r="Q664" t="str">
        <f>_xlfn.XLOOKUP(Pipeline_tbl[[#This Row],[Rep_ID]],Dim_Reps!A:A,Dim_Reps!D:D)</f>
        <v>Strategic</v>
      </c>
      <c r="R664" t="str">
        <f>_xlfn.XLOOKUP(Pipeline_tbl[[#This Row],[Rep_ID]],Dim_Reps!A:A,Dim_Reps!E:E)</f>
        <v>NAMER</v>
      </c>
      <c r="S664" t="str">
        <f>_xlfn.XLOOKUP(Pipeline_tbl[[#This Row],[Created_Date]],Dim_Date!A:A,Dim_Date!H:H)</f>
        <v>Oct 2025</v>
      </c>
      <c r="T664" t="str">
        <f>IF(Pipeline_tbl[[#This Row],[Closed_Date]]=0,"",(_xlfn.XLOOKUP(Pipeline_tbl[[#This Row],[Closed_Date]],Dim_Date!A:A,Dim_Date!H:H)))</f>
        <v>Dec 2025</v>
      </c>
      <c r="U664">
        <f>IF(Pipeline_tbl[[#This Row],[Closed_Date]]=0,"",Pipeline_tbl[[#This Row],[Closed_Date]]-Pipeline_tbl[[#This Row],[Created_Date]])</f>
        <v>71</v>
      </c>
    </row>
    <row r="665" spans="1:21" ht="15" customHeight="1" x14ac:dyDescent="0.2">
      <c r="A665" t="s">
        <v>971</v>
      </c>
      <c r="B665" t="s">
        <v>191</v>
      </c>
      <c r="C665" t="s">
        <v>52</v>
      </c>
      <c r="D665" s="49">
        <v>45951</v>
      </c>
      <c r="E665" s="49">
        <v>45957</v>
      </c>
      <c r="F665" s="49">
        <v>45969</v>
      </c>
      <c r="G665" s="49">
        <v>45987</v>
      </c>
      <c r="H665" s="49">
        <v>46002</v>
      </c>
      <c r="I665" s="49">
        <v>46011</v>
      </c>
      <c r="J665" t="s">
        <v>49</v>
      </c>
      <c r="K665" s="33">
        <v>54700</v>
      </c>
      <c r="L665" t="s">
        <v>62</v>
      </c>
      <c r="M665" t="str">
        <f>_xlfn.XLOOKUP(Pipeline_tbl[[#This Row],[Rep_ID]],Dim_Reps!A:A,Dim_Reps!K:K)</f>
        <v>USD</v>
      </c>
      <c r="N665" s="33">
        <f>(_xlfn.XLOOKUP(Pipeline_tbl[[#This Row],[Rate_Code_Generalized]],Lookups!A:A,Lookups!B:B))*Pipeline_tbl[[#This Row],[Pipeline_Amount_USD]]</f>
        <v>63687.209999999992</v>
      </c>
      <c r="O665" t="str">
        <f>_xlfn.XLOOKUP(Pipeline_tbl[[#This Row],[Rep_ID]],Dim_Reps!A:A,Dim_Reps!B:B)</f>
        <v>Zara Duarte</v>
      </c>
      <c r="P665" t="str">
        <f>_xlfn.XLOOKUP(Pipeline_tbl[[#This Row],[Rep_ID]],Dim_Reps!A:A,Dim_Reps!C:C)</f>
        <v>Enterprise AE</v>
      </c>
      <c r="Q665" t="str">
        <f>_xlfn.XLOOKUP(Pipeline_tbl[[#This Row],[Rep_ID]],Dim_Reps!A:A,Dim_Reps!D:D)</f>
        <v>Enterprise</v>
      </c>
      <c r="R665" t="str">
        <f>_xlfn.XLOOKUP(Pipeline_tbl[[#This Row],[Rep_ID]],Dim_Reps!A:A,Dim_Reps!E:E)</f>
        <v>NAMER</v>
      </c>
      <c r="S665" t="str">
        <f>_xlfn.XLOOKUP(Pipeline_tbl[[#This Row],[Created_Date]],Dim_Date!A:A,Dim_Date!H:H)</f>
        <v>Oct 2025</v>
      </c>
      <c r="T665" t="str">
        <f>IF(Pipeline_tbl[[#This Row],[Closed_Date]]=0,"",(_xlfn.XLOOKUP(Pipeline_tbl[[#This Row],[Closed_Date]],Dim_Date!A:A,Dim_Date!H:H)))</f>
        <v>Dec 2025</v>
      </c>
      <c r="U665">
        <f>IF(Pipeline_tbl[[#This Row],[Closed_Date]]=0,"",Pipeline_tbl[[#This Row],[Closed_Date]]-Pipeline_tbl[[#This Row],[Created_Date]])</f>
        <v>60</v>
      </c>
    </row>
    <row r="666" spans="1:21" ht="15" customHeight="1" x14ac:dyDescent="0.2">
      <c r="A666" t="s">
        <v>972</v>
      </c>
      <c r="B666" t="s">
        <v>191</v>
      </c>
      <c r="C666" t="s">
        <v>52</v>
      </c>
      <c r="D666" s="49">
        <v>45940</v>
      </c>
      <c r="E666" s="49">
        <v>45947</v>
      </c>
      <c r="F666" s="49">
        <v>45961</v>
      </c>
      <c r="G666" s="49">
        <v>45982</v>
      </c>
      <c r="H666" s="49">
        <v>46000</v>
      </c>
      <c r="I666" s="49">
        <v>46010</v>
      </c>
      <c r="J666" t="s">
        <v>49</v>
      </c>
      <c r="K666" s="33">
        <v>63700</v>
      </c>
      <c r="L666" t="s">
        <v>60</v>
      </c>
      <c r="M666" t="str">
        <f>_xlfn.XLOOKUP(Pipeline_tbl[[#This Row],[Rep_ID]],Dim_Reps!A:A,Dim_Reps!K:K)</f>
        <v>USD</v>
      </c>
      <c r="N666" s="33">
        <f>(_xlfn.XLOOKUP(Pipeline_tbl[[#This Row],[Rate_Code_Generalized]],Lookups!A:A,Lookups!B:B))*Pipeline_tbl[[#This Row],[Pipeline_Amount_USD]]</f>
        <v>74165.909999999989</v>
      </c>
      <c r="O666" t="str">
        <f>_xlfn.XLOOKUP(Pipeline_tbl[[#This Row],[Rep_ID]],Dim_Reps!A:A,Dim_Reps!B:B)</f>
        <v>Zara Duarte</v>
      </c>
      <c r="P666" t="str">
        <f>_xlfn.XLOOKUP(Pipeline_tbl[[#This Row],[Rep_ID]],Dim_Reps!A:A,Dim_Reps!C:C)</f>
        <v>Enterprise AE</v>
      </c>
      <c r="Q666" t="str">
        <f>_xlfn.XLOOKUP(Pipeline_tbl[[#This Row],[Rep_ID]],Dim_Reps!A:A,Dim_Reps!D:D)</f>
        <v>Enterprise</v>
      </c>
      <c r="R666" t="str">
        <f>_xlfn.XLOOKUP(Pipeline_tbl[[#This Row],[Rep_ID]],Dim_Reps!A:A,Dim_Reps!E:E)</f>
        <v>NAMER</v>
      </c>
      <c r="S666" t="str">
        <f>_xlfn.XLOOKUP(Pipeline_tbl[[#This Row],[Created_Date]],Dim_Date!A:A,Dim_Date!H:H)</f>
        <v>Oct 2025</v>
      </c>
      <c r="T666" t="str">
        <f>IF(Pipeline_tbl[[#This Row],[Closed_Date]]=0,"",(_xlfn.XLOOKUP(Pipeline_tbl[[#This Row],[Closed_Date]],Dim_Date!A:A,Dim_Date!H:H)))</f>
        <v>Dec 2025</v>
      </c>
      <c r="U666">
        <f>IF(Pipeline_tbl[[#This Row],[Closed_Date]]=0,"",Pipeline_tbl[[#This Row],[Closed_Date]]-Pipeline_tbl[[#This Row],[Created_Date]])</f>
        <v>70</v>
      </c>
    </row>
    <row r="667" spans="1:21" ht="15" customHeight="1" x14ac:dyDescent="0.2">
      <c r="A667" t="s">
        <v>973</v>
      </c>
      <c r="B667" t="s">
        <v>265</v>
      </c>
      <c r="C667" t="s">
        <v>54</v>
      </c>
      <c r="D667" s="49">
        <v>45954</v>
      </c>
      <c r="E667" s="49">
        <v>45958</v>
      </c>
      <c r="F667" s="49">
        <v>45966</v>
      </c>
      <c r="I667" s="49">
        <v>45995</v>
      </c>
      <c r="J667" t="s">
        <v>49</v>
      </c>
      <c r="K667" s="33">
        <v>13800</v>
      </c>
      <c r="L667" t="s">
        <v>60</v>
      </c>
      <c r="M667" t="str">
        <f>_xlfn.XLOOKUP(Pipeline_tbl[[#This Row],[Rep_ID]],Dim_Reps!A:A,Dim_Reps!K:K)</f>
        <v>EUR</v>
      </c>
      <c r="N667" s="33">
        <f>(_xlfn.XLOOKUP(Pipeline_tbl[[#This Row],[Rate_Code_Generalized]],Lookups!A:A,Lookups!B:B))*Pipeline_tbl[[#This Row],[Pipeline_Amount_USD]]</f>
        <v>13800</v>
      </c>
      <c r="O667" t="str">
        <f>_xlfn.XLOOKUP(Pipeline_tbl[[#This Row],[Rep_ID]],Dim_Reps!A:A,Dim_Reps!B:B)</f>
        <v>Erik Duarte</v>
      </c>
      <c r="P667" t="str">
        <f>_xlfn.XLOOKUP(Pipeline_tbl[[#This Row],[Rep_ID]],Dim_Reps!A:A,Dim_Reps!C:C)</f>
        <v>Mid-Market AE</v>
      </c>
      <c r="Q667" t="str">
        <f>_xlfn.XLOOKUP(Pipeline_tbl[[#This Row],[Rep_ID]],Dim_Reps!A:A,Dim_Reps!D:D)</f>
        <v>Mid-Market</v>
      </c>
      <c r="R667" t="str">
        <f>_xlfn.XLOOKUP(Pipeline_tbl[[#This Row],[Rep_ID]],Dim_Reps!A:A,Dim_Reps!E:E)</f>
        <v>EMEA</v>
      </c>
      <c r="S667" t="str">
        <f>_xlfn.XLOOKUP(Pipeline_tbl[[#This Row],[Created_Date]],Dim_Date!A:A,Dim_Date!H:H)</f>
        <v>Oct 2025</v>
      </c>
      <c r="T667" t="str">
        <f>IF(Pipeline_tbl[[#This Row],[Closed_Date]]=0,"",(_xlfn.XLOOKUP(Pipeline_tbl[[#This Row],[Closed_Date]],Dim_Date!A:A,Dim_Date!H:H)))</f>
        <v>Dec 2025</v>
      </c>
      <c r="U667">
        <f>IF(Pipeline_tbl[[#This Row],[Closed_Date]]=0,"",Pipeline_tbl[[#This Row],[Closed_Date]]-Pipeline_tbl[[#This Row],[Created_Date]])</f>
        <v>41</v>
      </c>
    </row>
    <row r="668" spans="1:21" ht="15" customHeight="1" x14ac:dyDescent="0.2">
      <c r="A668" t="s">
        <v>974</v>
      </c>
      <c r="B668" t="s">
        <v>265</v>
      </c>
      <c r="C668" t="s">
        <v>54</v>
      </c>
      <c r="D668" s="49">
        <v>45961</v>
      </c>
      <c r="E668" s="49">
        <v>45964</v>
      </c>
      <c r="F668" s="49">
        <v>45971</v>
      </c>
      <c r="I668" s="49">
        <v>45994</v>
      </c>
      <c r="J668" t="s">
        <v>49</v>
      </c>
      <c r="K668" s="33">
        <v>11700</v>
      </c>
      <c r="L668" t="s">
        <v>60</v>
      </c>
      <c r="M668" t="str">
        <f>_xlfn.XLOOKUP(Pipeline_tbl[[#This Row],[Rep_ID]],Dim_Reps!A:A,Dim_Reps!K:K)</f>
        <v>EUR</v>
      </c>
      <c r="N668" s="33">
        <f>(_xlfn.XLOOKUP(Pipeline_tbl[[#This Row],[Rate_Code_Generalized]],Lookups!A:A,Lookups!B:B))*Pipeline_tbl[[#This Row],[Pipeline_Amount_USD]]</f>
        <v>11700</v>
      </c>
      <c r="O668" t="str">
        <f>_xlfn.XLOOKUP(Pipeline_tbl[[#This Row],[Rep_ID]],Dim_Reps!A:A,Dim_Reps!B:B)</f>
        <v>Erik Duarte</v>
      </c>
      <c r="P668" t="str">
        <f>_xlfn.XLOOKUP(Pipeline_tbl[[#This Row],[Rep_ID]],Dim_Reps!A:A,Dim_Reps!C:C)</f>
        <v>Mid-Market AE</v>
      </c>
      <c r="Q668" t="str">
        <f>_xlfn.XLOOKUP(Pipeline_tbl[[#This Row],[Rep_ID]],Dim_Reps!A:A,Dim_Reps!D:D)</f>
        <v>Mid-Market</v>
      </c>
      <c r="R668" t="str">
        <f>_xlfn.XLOOKUP(Pipeline_tbl[[#This Row],[Rep_ID]],Dim_Reps!A:A,Dim_Reps!E:E)</f>
        <v>EMEA</v>
      </c>
      <c r="S668" t="str">
        <f>_xlfn.XLOOKUP(Pipeline_tbl[[#This Row],[Created_Date]],Dim_Date!A:A,Dim_Date!H:H)</f>
        <v>Oct 2025</v>
      </c>
      <c r="T668" t="str">
        <f>IF(Pipeline_tbl[[#This Row],[Closed_Date]]=0,"",(_xlfn.XLOOKUP(Pipeline_tbl[[#This Row],[Closed_Date]],Dim_Date!A:A,Dim_Date!H:H)))</f>
        <v>Dec 2025</v>
      </c>
      <c r="U668">
        <f>IF(Pipeline_tbl[[#This Row],[Closed_Date]]=0,"",Pipeline_tbl[[#This Row],[Closed_Date]]-Pipeline_tbl[[#This Row],[Created_Date]])</f>
        <v>33</v>
      </c>
    </row>
    <row r="669" spans="1:21" ht="15" customHeight="1" x14ac:dyDescent="0.2">
      <c r="A669" t="s">
        <v>975</v>
      </c>
      <c r="B669" t="s">
        <v>265</v>
      </c>
      <c r="C669" t="s">
        <v>55</v>
      </c>
      <c r="D669" s="49">
        <v>45953</v>
      </c>
      <c r="E669" s="49">
        <v>45959</v>
      </c>
      <c r="F669" s="49">
        <v>45970</v>
      </c>
      <c r="G669" s="49">
        <v>45987</v>
      </c>
      <c r="H669" s="49">
        <v>46001</v>
      </c>
      <c r="I669" s="49">
        <v>46009</v>
      </c>
      <c r="J669" t="s">
        <v>47</v>
      </c>
      <c r="K669" s="33">
        <v>11900</v>
      </c>
      <c r="M669" t="str">
        <f>_xlfn.XLOOKUP(Pipeline_tbl[[#This Row],[Rep_ID]],Dim_Reps!A:A,Dim_Reps!K:K)</f>
        <v>EUR</v>
      </c>
      <c r="N669" s="33">
        <f>(_xlfn.XLOOKUP(Pipeline_tbl[[#This Row],[Rate_Code_Generalized]],Lookups!A:A,Lookups!B:B))*Pipeline_tbl[[#This Row],[Pipeline_Amount_USD]]</f>
        <v>11900</v>
      </c>
      <c r="O669" t="str">
        <f>_xlfn.XLOOKUP(Pipeline_tbl[[#This Row],[Rep_ID]],Dim_Reps!A:A,Dim_Reps!B:B)</f>
        <v>Erik Duarte</v>
      </c>
      <c r="P669" t="str">
        <f>_xlfn.XLOOKUP(Pipeline_tbl[[#This Row],[Rep_ID]],Dim_Reps!A:A,Dim_Reps!C:C)</f>
        <v>Mid-Market AE</v>
      </c>
      <c r="Q669" t="str">
        <f>_xlfn.XLOOKUP(Pipeline_tbl[[#This Row],[Rep_ID]],Dim_Reps!A:A,Dim_Reps!D:D)</f>
        <v>Mid-Market</v>
      </c>
      <c r="R669" t="str">
        <f>_xlfn.XLOOKUP(Pipeline_tbl[[#This Row],[Rep_ID]],Dim_Reps!A:A,Dim_Reps!E:E)</f>
        <v>EMEA</v>
      </c>
      <c r="S669" t="str">
        <f>_xlfn.XLOOKUP(Pipeline_tbl[[#This Row],[Created_Date]],Dim_Date!A:A,Dim_Date!H:H)</f>
        <v>Oct 2025</v>
      </c>
      <c r="T669" t="str">
        <f>IF(Pipeline_tbl[[#This Row],[Closed_Date]]=0,"",(_xlfn.XLOOKUP(Pipeline_tbl[[#This Row],[Closed_Date]],Dim_Date!A:A,Dim_Date!H:H)))</f>
        <v>Dec 2025</v>
      </c>
      <c r="U669">
        <f>IF(Pipeline_tbl[[#This Row],[Closed_Date]]=0,"",Pipeline_tbl[[#This Row],[Closed_Date]]-Pipeline_tbl[[#This Row],[Created_Date]])</f>
        <v>56</v>
      </c>
    </row>
    <row r="670" spans="1:21" ht="15" customHeight="1" x14ac:dyDescent="0.2">
      <c r="A670" t="s">
        <v>976</v>
      </c>
      <c r="B670" t="s">
        <v>265</v>
      </c>
      <c r="C670" t="s">
        <v>52</v>
      </c>
      <c r="D670" s="49">
        <v>45961</v>
      </c>
      <c r="E670" s="49">
        <v>45965</v>
      </c>
      <c r="F670" s="49">
        <v>45972</v>
      </c>
      <c r="G670" s="49">
        <v>45983</v>
      </c>
      <c r="I670" s="49">
        <v>45998</v>
      </c>
      <c r="J670" t="s">
        <v>49</v>
      </c>
      <c r="K670" s="33">
        <v>7100</v>
      </c>
      <c r="L670" t="s">
        <v>61</v>
      </c>
      <c r="M670" t="str">
        <f>_xlfn.XLOOKUP(Pipeline_tbl[[#This Row],[Rep_ID]],Dim_Reps!A:A,Dim_Reps!K:K)</f>
        <v>EUR</v>
      </c>
      <c r="N670" s="33">
        <f>(_xlfn.XLOOKUP(Pipeline_tbl[[#This Row],[Rate_Code_Generalized]],Lookups!A:A,Lookups!B:B))*Pipeline_tbl[[#This Row],[Pipeline_Amount_USD]]</f>
        <v>7100</v>
      </c>
      <c r="O670" t="str">
        <f>_xlfn.XLOOKUP(Pipeline_tbl[[#This Row],[Rep_ID]],Dim_Reps!A:A,Dim_Reps!B:B)</f>
        <v>Erik Duarte</v>
      </c>
      <c r="P670" t="str">
        <f>_xlfn.XLOOKUP(Pipeline_tbl[[#This Row],[Rep_ID]],Dim_Reps!A:A,Dim_Reps!C:C)</f>
        <v>Mid-Market AE</v>
      </c>
      <c r="Q670" t="str">
        <f>_xlfn.XLOOKUP(Pipeline_tbl[[#This Row],[Rep_ID]],Dim_Reps!A:A,Dim_Reps!D:D)</f>
        <v>Mid-Market</v>
      </c>
      <c r="R670" t="str">
        <f>_xlfn.XLOOKUP(Pipeline_tbl[[#This Row],[Rep_ID]],Dim_Reps!A:A,Dim_Reps!E:E)</f>
        <v>EMEA</v>
      </c>
      <c r="S670" t="str">
        <f>_xlfn.XLOOKUP(Pipeline_tbl[[#This Row],[Created_Date]],Dim_Date!A:A,Dim_Date!H:H)</f>
        <v>Oct 2025</v>
      </c>
      <c r="T670" t="str">
        <f>IF(Pipeline_tbl[[#This Row],[Closed_Date]]=0,"",(_xlfn.XLOOKUP(Pipeline_tbl[[#This Row],[Closed_Date]],Dim_Date!A:A,Dim_Date!H:H)))</f>
        <v>Dec 2025</v>
      </c>
      <c r="U670">
        <f>IF(Pipeline_tbl[[#This Row],[Closed_Date]]=0,"",Pipeline_tbl[[#This Row],[Closed_Date]]-Pipeline_tbl[[#This Row],[Created_Date]])</f>
        <v>37</v>
      </c>
    </row>
    <row r="671" spans="1:21" ht="15" customHeight="1" x14ac:dyDescent="0.2">
      <c r="A671" t="s">
        <v>977</v>
      </c>
      <c r="B671" t="s">
        <v>265</v>
      </c>
      <c r="C671" t="s">
        <v>55</v>
      </c>
      <c r="D671" s="49">
        <v>45958</v>
      </c>
      <c r="E671" s="49">
        <v>45962</v>
      </c>
      <c r="F671" s="49">
        <v>45969</v>
      </c>
      <c r="G671" s="49">
        <v>45980</v>
      </c>
      <c r="I671" s="49">
        <v>45994</v>
      </c>
      <c r="J671" t="s">
        <v>49</v>
      </c>
      <c r="K671" s="33">
        <v>12800</v>
      </c>
      <c r="L671" t="s">
        <v>60</v>
      </c>
      <c r="M671" t="str">
        <f>_xlfn.XLOOKUP(Pipeline_tbl[[#This Row],[Rep_ID]],Dim_Reps!A:A,Dim_Reps!K:K)</f>
        <v>EUR</v>
      </c>
      <c r="N671" s="33">
        <f>(_xlfn.XLOOKUP(Pipeline_tbl[[#This Row],[Rate_Code_Generalized]],Lookups!A:A,Lookups!B:B))*Pipeline_tbl[[#This Row],[Pipeline_Amount_USD]]</f>
        <v>12800</v>
      </c>
      <c r="O671" t="str">
        <f>_xlfn.XLOOKUP(Pipeline_tbl[[#This Row],[Rep_ID]],Dim_Reps!A:A,Dim_Reps!B:B)</f>
        <v>Erik Duarte</v>
      </c>
      <c r="P671" t="str">
        <f>_xlfn.XLOOKUP(Pipeline_tbl[[#This Row],[Rep_ID]],Dim_Reps!A:A,Dim_Reps!C:C)</f>
        <v>Mid-Market AE</v>
      </c>
      <c r="Q671" t="str">
        <f>_xlfn.XLOOKUP(Pipeline_tbl[[#This Row],[Rep_ID]],Dim_Reps!A:A,Dim_Reps!D:D)</f>
        <v>Mid-Market</v>
      </c>
      <c r="R671" t="str">
        <f>_xlfn.XLOOKUP(Pipeline_tbl[[#This Row],[Rep_ID]],Dim_Reps!A:A,Dim_Reps!E:E)</f>
        <v>EMEA</v>
      </c>
      <c r="S671" t="str">
        <f>_xlfn.XLOOKUP(Pipeline_tbl[[#This Row],[Created_Date]],Dim_Date!A:A,Dim_Date!H:H)</f>
        <v>Oct 2025</v>
      </c>
      <c r="T671" t="str">
        <f>IF(Pipeline_tbl[[#This Row],[Closed_Date]]=0,"",(_xlfn.XLOOKUP(Pipeline_tbl[[#This Row],[Closed_Date]],Dim_Date!A:A,Dim_Date!H:H)))</f>
        <v>Dec 2025</v>
      </c>
      <c r="U671">
        <f>IF(Pipeline_tbl[[#This Row],[Closed_Date]]=0,"",Pipeline_tbl[[#This Row],[Closed_Date]]-Pipeline_tbl[[#This Row],[Created_Date]])</f>
        <v>36</v>
      </c>
    </row>
    <row r="672" spans="1:21" ht="15" customHeight="1" x14ac:dyDescent="0.2">
      <c r="A672" t="s">
        <v>978</v>
      </c>
      <c r="B672" t="s">
        <v>284</v>
      </c>
      <c r="C672" t="s">
        <v>52</v>
      </c>
      <c r="D672" s="49">
        <v>45938</v>
      </c>
      <c r="E672" s="49">
        <v>45946</v>
      </c>
      <c r="F672" s="49">
        <v>45962</v>
      </c>
      <c r="G672" s="49">
        <v>45986</v>
      </c>
      <c r="H672" s="49">
        <v>46006</v>
      </c>
      <c r="I672" s="49">
        <v>46018</v>
      </c>
      <c r="J672" t="s">
        <v>49</v>
      </c>
      <c r="K672" s="33">
        <v>65800</v>
      </c>
      <c r="L672" t="s">
        <v>61</v>
      </c>
      <c r="M672" t="str">
        <f>_xlfn.XLOOKUP(Pipeline_tbl[[#This Row],[Rep_ID]],Dim_Reps!A:A,Dim_Reps!K:K)</f>
        <v>USD</v>
      </c>
      <c r="N672" s="33">
        <f>(_xlfn.XLOOKUP(Pipeline_tbl[[#This Row],[Rate_Code_Generalized]],Lookups!A:A,Lookups!B:B))*Pipeline_tbl[[#This Row],[Pipeline_Amount_USD]]</f>
        <v>76610.939999999988</v>
      </c>
      <c r="O672" t="str">
        <f>_xlfn.XLOOKUP(Pipeline_tbl[[#This Row],[Rep_ID]],Dim_Reps!A:A,Dim_Reps!B:B)</f>
        <v>Taylor Adler</v>
      </c>
      <c r="P672" t="str">
        <f>_xlfn.XLOOKUP(Pipeline_tbl[[#This Row],[Rep_ID]],Dim_Reps!A:A,Dim_Reps!C:C)</f>
        <v>Senior Enterprise AE</v>
      </c>
      <c r="Q672" t="str">
        <f>_xlfn.XLOOKUP(Pipeline_tbl[[#This Row],[Rep_ID]],Dim_Reps!A:A,Dim_Reps!D:D)</f>
        <v>Strategic</v>
      </c>
      <c r="R672" t="str">
        <f>_xlfn.XLOOKUP(Pipeline_tbl[[#This Row],[Rep_ID]],Dim_Reps!A:A,Dim_Reps!E:E)</f>
        <v>NAMER</v>
      </c>
      <c r="S672" t="str">
        <f>_xlfn.XLOOKUP(Pipeline_tbl[[#This Row],[Created_Date]],Dim_Date!A:A,Dim_Date!H:H)</f>
        <v>Oct 2025</v>
      </c>
      <c r="T672" t="str">
        <f>IF(Pipeline_tbl[[#This Row],[Closed_Date]]=0,"",(_xlfn.XLOOKUP(Pipeline_tbl[[#This Row],[Closed_Date]],Dim_Date!A:A,Dim_Date!H:H)))</f>
        <v>Dec 2025</v>
      </c>
      <c r="U672">
        <f>IF(Pipeline_tbl[[#This Row],[Closed_Date]]=0,"",Pipeline_tbl[[#This Row],[Closed_Date]]-Pipeline_tbl[[#This Row],[Created_Date]])</f>
        <v>80</v>
      </c>
    </row>
    <row r="673" spans="1:21" ht="15" customHeight="1" x14ac:dyDescent="0.2">
      <c r="A673" t="s">
        <v>979</v>
      </c>
      <c r="B673" t="s">
        <v>271</v>
      </c>
      <c r="C673" t="s">
        <v>54</v>
      </c>
      <c r="D673" s="49">
        <v>45956</v>
      </c>
      <c r="E673" s="49">
        <v>45961</v>
      </c>
      <c r="F673" s="49">
        <v>45971</v>
      </c>
      <c r="G673" s="49">
        <v>45986</v>
      </c>
      <c r="I673" s="49">
        <v>46006</v>
      </c>
      <c r="J673" t="s">
        <v>49</v>
      </c>
      <c r="K673" s="33">
        <v>9600</v>
      </c>
      <c r="L673" t="s">
        <v>61</v>
      </c>
      <c r="M673" t="str">
        <f>_xlfn.XLOOKUP(Pipeline_tbl[[#This Row],[Rep_ID]],Dim_Reps!A:A,Dim_Reps!K:K)</f>
        <v>EUR</v>
      </c>
      <c r="N673" s="33">
        <f>(_xlfn.XLOOKUP(Pipeline_tbl[[#This Row],[Rate_Code_Generalized]],Lookups!A:A,Lookups!B:B))*Pipeline_tbl[[#This Row],[Pipeline_Amount_USD]]</f>
        <v>9600</v>
      </c>
      <c r="O673" t="str">
        <f>_xlfn.XLOOKUP(Pipeline_tbl[[#This Row],[Rep_ID]],Dim_Reps!A:A,Dim_Reps!B:B)</f>
        <v>Ivy Adler</v>
      </c>
      <c r="P673" t="str">
        <f>_xlfn.XLOOKUP(Pipeline_tbl[[#This Row],[Rep_ID]],Dim_Reps!A:A,Dim_Reps!C:C)</f>
        <v>Mid-Market AE</v>
      </c>
      <c r="Q673" t="str">
        <f>_xlfn.XLOOKUP(Pipeline_tbl[[#This Row],[Rep_ID]],Dim_Reps!A:A,Dim_Reps!D:D)</f>
        <v>Mid-Market</v>
      </c>
      <c r="R673" t="str">
        <f>_xlfn.XLOOKUP(Pipeline_tbl[[#This Row],[Rep_ID]],Dim_Reps!A:A,Dim_Reps!E:E)</f>
        <v>APAC</v>
      </c>
      <c r="S673" t="str">
        <f>_xlfn.XLOOKUP(Pipeline_tbl[[#This Row],[Created_Date]],Dim_Date!A:A,Dim_Date!H:H)</f>
        <v>Oct 2025</v>
      </c>
      <c r="T673" t="str">
        <f>IF(Pipeline_tbl[[#This Row],[Closed_Date]]=0,"",(_xlfn.XLOOKUP(Pipeline_tbl[[#This Row],[Closed_Date]],Dim_Date!A:A,Dim_Date!H:H)))</f>
        <v>Dec 2025</v>
      </c>
      <c r="U673">
        <f>IF(Pipeline_tbl[[#This Row],[Closed_Date]]=0,"",Pipeline_tbl[[#This Row],[Closed_Date]]-Pipeline_tbl[[#This Row],[Created_Date]])</f>
        <v>50</v>
      </c>
    </row>
    <row r="674" spans="1:21" ht="15" customHeight="1" x14ac:dyDescent="0.2">
      <c r="A674" t="s">
        <v>980</v>
      </c>
      <c r="B674" t="s">
        <v>271</v>
      </c>
      <c r="C674" t="s">
        <v>56</v>
      </c>
      <c r="D674" s="49">
        <v>45956</v>
      </c>
      <c r="E674" s="49">
        <v>45961</v>
      </c>
      <c r="F674" s="49">
        <v>45971</v>
      </c>
      <c r="G674" s="49">
        <v>45987</v>
      </c>
      <c r="I674" s="49">
        <v>46007</v>
      </c>
      <c r="J674" t="s">
        <v>49</v>
      </c>
      <c r="K674" s="33">
        <v>11500</v>
      </c>
      <c r="L674" t="s">
        <v>60</v>
      </c>
      <c r="M674" t="str">
        <f>_xlfn.XLOOKUP(Pipeline_tbl[[#This Row],[Rep_ID]],Dim_Reps!A:A,Dim_Reps!K:K)</f>
        <v>EUR</v>
      </c>
      <c r="N674" s="33">
        <f>(_xlfn.XLOOKUP(Pipeline_tbl[[#This Row],[Rate_Code_Generalized]],Lookups!A:A,Lookups!B:B))*Pipeline_tbl[[#This Row],[Pipeline_Amount_USD]]</f>
        <v>11500</v>
      </c>
      <c r="O674" t="str">
        <f>_xlfn.XLOOKUP(Pipeline_tbl[[#This Row],[Rep_ID]],Dim_Reps!A:A,Dim_Reps!B:B)</f>
        <v>Ivy Adler</v>
      </c>
      <c r="P674" t="str">
        <f>_xlfn.XLOOKUP(Pipeline_tbl[[#This Row],[Rep_ID]],Dim_Reps!A:A,Dim_Reps!C:C)</f>
        <v>Mid-Market AE</v>
      </c>
      <c r="Q674" t="str">
        <f>_xlfn.XLOOKUP(Pipeline_tbl[[#This Row],[Rep_ID]],Dim_Reps!A:A,Dim_Reps!D:D)</f>
        <v>Mid-Market</v>
      </c>
      <c r="R674" t="str">
        <f>_xlfn.XLOOKUP(Pipeline_tbl[[#This Row],[Rep_ID]],Dim_Reps!A:A,Dim_Reps!E:E)</f>
        <v>APAC</v>
      </c>
      <c r="S674" t="str">
        <f>_xlfn.XLOOKUP(Pipeline_tbl[[#This Row],[Created_Date]],Dim_Date!A:A,Dim_Date!H:H)</f>
        <v>Oct 2025</v>
      </c>
      <c r="T674" t="str">
        <f>IF(Pipeline_tbl[[#This Row],[Closed_Date]]=0,"",(_xlfn.XLOOKUP(Pipeline_tbl[[#This Row],[Closed_Date]],Dim_Date!A:A,Dim_Date!H:H)))</f>
        <v>Dec 2025</v>
      </c>
      <c r="U674">
        <f>IF(Pipeline_tbl[[#This Row],[Closed_Date]]=0,"",Pipeline_tbl[[#This Row],[Closed_Date]]-Pipeline_tbl[[#This Row],[Created_Date]])</f>
        <v>51</v>
      </c>
    </row>
    <row r="675" spans="1:21" ht="15" customHeight="1" x14ac:dyDescent="0.2">
      <c r="A675" t="s">
        <v>981</v>
      </c>
      <c r="B675" t="s">
        <v>273</v>
      </c>
      <c r="C675" t="s">
        <v>54</v>
      </c>
      <c r="D675" s="49">
        <v>45952</v>
      </c>
      <c r="E675" s="49">
        <v>45957</v>
      </c>
      <c r="F675" s="49">
        <v>45968</v>
      </c>
      <c r="I675" s="49">
        <v>46005</v>
      </c>
      <c r="J675" t="s">
        <v>49</v>
      </c>
      <c r="K675" s="33">
        <v>7900</v>
      </c>
      <c r="L675" t="s">
        <v>60</v>
      </c>
      <c r="M675" t="str">
        <f>_xlfn.XLOOKUP(Pipeline_tbl[[#This Row],[Rep_ID]],Dim_Reps!A:A,Dim_Reps!K:K)</f>
        <v>EUR</v>
      </c>
      <c r="N675" s="33">
        <f>(_xlfn.XLOOKUP(Pipeline_tbl[[#This Row],[Rate_Code_Generalized]],Lookups!A:A,Lookups!B:B))*Pipeline_tbl[[#This Row],[Pipeline_Amount_USD]]</f>
        <v>7900</v>
      </c>
      <c r="O675" t="str">
        <f>_xlfn.XLOOKUP(Pipeline_tbl[[#This Row],[Rep_ID]],Dim_Reps!A:A,Dim_Reps!B:B)</f>
        <v>Olivia Cohen</v>
      </c>
      <c r="P675" t="str">
        <f>_xlfn.XLOOKUP(Pipeline_tbl[[#This Row],[Rep_ID]],Dim_Reps!A:A,Dim_Reps!C:C)</f>
        <v>Mid-Market AE</v>
      </c>
      <c r="Q675" t="str">
        <f>_xlfn.XLOOKUP(Pipeline_tbl[[#This Row],[Rep_ID]],Dim_Reps!A:A,Dim_Reps!D:D)</f>
        <v>Mid-Market</v>
      </c>
      <c r="R675" t="str">
        <f>_xlfn.XLOOKUP(Pipeline_tbl[[#This Row],[Rep_ID]],Dim_Reps!A:A,Dim_Reps!E:E)</f>
        <v>APAC</v>
      </c>
      <c r="S675" t="str">
        <f>_xlfn.XLOOKUP(Pipeline_tbl[[#This Row],[Created_Date]],Dim_Date!A:A,Dim_Date!H:H)</f>
        <v>Oct 2025</v>
      </c>
      <c r="T675" t="str">
        <f>IF(Pipeline_tbl[[#This Row],[Closed_Date]]=0,"",(_xlfn.XLOOKUP(Pipeline_tbl[[#This Row],[Closed_Date]],Dim_Date!A:A,Dim_Date!H:H)))</f>
        <v>Dec 2025</v>
      </c>
      <c r="U675">
        <f>IF(Pipeline_tbl[[#This Row],[Closed_Date]]=0,"",Pipeline_tbl[[#This Row],[Closed_Date]]-Pipeline_tbl[[#This Row],[Created_Date]])</f>
        <v>53</v>
      </c>
    </row>
    <row r="676" spans="1:21" ht="15" customHeight="1" x14ac:dyDescent="0.2">
      <c r="A676" t="s">
        <v>982</v>
      </c>
      <c r="B676" t="s">
        <v>273</v>
      </c>
      <c r="C676" t="s">
        <v>52</v>
      </c>
      <c r="D676" s="49">
        <v>45942</v>
      </c>
      <c r="E676" s="49">
        <v>45947</v>
      </c>
      <c r="F676" s="49">
        <v>45957</v>
      </c>
      <c r="I676" s="49">
        <v>45992</v>
      </c>
      <c r="J676" t="s">
        <v>49</v>
      </c>
      <c r="K676" s="33">
        <v>6000</v>
      </c>
      <c r="L676" t="s">
        <v>63</v>
      </c>
      <c r="M676" t="str">
        <f>_xlfn.XLOOKUP(Pipeline_tbl[[#This Row],[Rep_ID]],Dim_Reps!A:A,Dim_Reps!K:K)</f>
        <v>EUR</v>
      </c>
      <c r="N676" s="33">
        <f>(_xlfn.XLOOKUP(Pipeline_tbl[[#This Row],[Rate_Code_Generalized]],Lookups!A:A,Lookups!B:B))*Pipeline_tbl[[#This Row],[Pipeline_Amount_USD]]</f>
        <v>6000</v>
      </c>
      <c r="O676" t="str">
        <f>_xlfn.XLOOKUP(Pipeline_tbl[[#This Row],[Rep_ID]],Dim_Reps!A:A,Dim_Reps!B:B)</f>
        <v>Olivia Cohen</v>
      </c>
      <c r="P676" t="str">
        <f>_xlfn.XLOOKUP(Pipeline_tbl[[#This Row],[Rep_ID]],Dim_Reps!A:A,Dim_Reps!C:C)</f>
        <v>Mid-Market AE</v>
      </c>
      <c r="Q676" t="str">
        <f>_xlfn.XLOOKUP(Pipeline_tbl[[#This Row],[Rep_ID]],Dim_Reps!A:A,Dim_Reps!D:D)</f>
        <v>Mid-Market</v>
      </c>
      <c r="R676" t="str">
        <f>_xlfn.XLOOKUP(Pipeline_tbl[[#This Row],[Rep_ID]],Dim_Reps!A:A,Dim_Reps!E:E)</f>
        <v>APAC</v>
      </c>
      <c r="S676" t="str">
        <f>_xlfn.XLOOKUP(Pipeline_tbl[[#This Row],[Created_Date]],Dim_Date!A:A,Dim_Date!H:H)</f>
        <v>Oct 2025</v>
      </c>
      <c r="T676" t="str">
        <f>IF(Pipeline_tbl[[#This Row],[Closed_Date]]=0,"",(_xlfn.XLOOKUP(Pipeline_tbl[[#This Row],[Closed_Date]],Dim_Date!A:A,Dim_Date!H:H)))</f>
        <v>Dec 2025</v>
      </c>
      <c r="U676">
        <f>IF(Pipeline_tbl[[#This Row],[Closed_Date]]=0,"",Pipeline_tbl[[#This Row],[Closed_Date]]-Pipeline_tbl[[#This Row],[Created_Date]])</f>
        <v>50</v>
      </c>
    </row>
    <row r="677" spans="1:21" ht="15" customHeight="1" x14ac:dyDescent="0.2">
      <c r="A677" t="s">
        <v>983</v>
      </c>
      <c r="B677" t="s">
        <v>193</v>
      </c>
      <c r="C677" t="s">
        <v>52</v>
      </c>
      <c r="D677" s="49">
        <v>45942</v>
      </c>
      <c r="E677" s="49">
        <v>45944</v>
      </c>
      <c r="F677" s="49">
        <v>45950</v>
      </c>
      <c r="G677" s="49">
        <v>45957</v>
      </c>
      <c r="I677" s="49">
        <v>45967</v>
      </c>
      <c r="J677" t="s">
        <v>49</v>
      </c>
      <c r="K677" s="33">
        <v>2700</v>
      </c>
      <c r="L677" t="s">
        <v>61</v>
      </c>
      <c r="M677" t="str">
        <f>_xlfn.XLOOKUP(Pipeline_tbl[[#This Row],[Rep_ID]],Dim_Reps!A:A,Dim_Reps!K:K)</f>
        <v>USD</v>
      </c>
      <c r="N677" s="33">
        <f>(_xlfn.XLOOKUP(Pipeline_tbl[[#This Row],[Rate_Code_Generalized]],Lookups!A:A,Lookups!B:B))*Pipeline_tbl[[#This Row],[Pipeline_Amount_USD]]</f>
        <v>3143.6099999999997</v>
      </c>
      <c r="O677" t="str">
        <f>_xlfn.XLOOKUP(Pipeline_tbl[[#This Row],[Rep_ID]],Dim_Reps!A:A,Dim_Reps!B:B)</f>
        <v>Karim Rossi</v>
      </c>
      <c r="P677" t="str">
        <f>_xlfn.XLOOKUP(Pipeline_tbl[[#This Row],[Rep_ID]],Dim_Reps!A:A,Dim_Reps!C:C)</f>
        <v>SDR / Inside Sales Rep</v>
      </c>
      <c r="Q677" t="str">
        <f>_xlfn.XLOOKUP(Pipeline_tbl[[#This Row],[Rep_ID]],Dim_Reps!A:A,Dim_Reps!D:D)</f>
        <v>Inside Sales</v>
      </c>
      <c r="R677" t="str">
        <f>_xlfn.XLOOKUP(Pipeline_tbl[[#This Row],[Rep_ID]],Dim_Reps!A:A,Dim_Reps!E:E)</f>
        <v>NAMER</v>
      </c>
      <c r="S677" t="str">
        <f>_xlfn.XLOOKUP(Pipeline_tbl[[#This Row],[Created_Date]],Dim_Date!A:A,Dim_Date!H:H)</f>
        <v>Oct 2025</v>
      </c>
      <c r="T677" t="str">
        <f>IF(Pipeline_tbl[[#This Row],[Closed_Date]]=0,"",(_xlfn.XLOOKUP(Pipeline_tbl[[#This Row],[Closed_Date]],Dim_Date!A:A,Dim_Date!H:H)))</f>
        <v>Nov 2025</v>
      </c>
      <c r="U677">
        <f>IF(Pipeline_tbl[[#This Row],[Closed_Date]]=0,"",Pipeline_tbl[[#This Row],[Closed_Date]]-Pipeline_tbl[[#This Row],[Created_Date]])</f>
        <v>25</v>
      </c>
    </row>
    <row r="678" spans="1:21" ht="15" customHeight="1" x14ac:dyDescent="0.2">
      <c r="A678" t="s">
        <v>984</v>
      </c>
      <c r="B678" t="s">
        <v>193</v>
      </c>
      <c r="C678" t="s">
        <v>55</v>
      </c>
      <c r="D678" s="49">
        <v>45954</v>
      </c>
      <c r="E678" s="49">
        <v>45956</v>
      </c>
      <c r="F678" s="49">
        <v>45960</v>
      </c>
      <c r="G678" s="49">
        <v>45965</v>
      </c>
      <c r="I678" s="49">
        <v>45973</v>
      </c>
      <c r="J678" t="s">
        <v>49</v>
      </c>
      <c r="K678" s="33">
        <v>3400</v>
      </c>
      <c r="L678" t="s">
        <v>62</v>
      </c>
      <c r="M678" t="str">
        <f>_xlfn.XLOOKUP(Pipeline_tbl[[#This Row],[Rep_ID]],Dim_Reps!A:A,Dim_Reps!K:K)</f>
        <v>USD</v>
      </c>
      <c r="N678" s="33">
        <f>(_xlfn.XLOOKUP(Pipeline_tbl[[#This Row],[Rate_Code_Generalized]],Lookups!A:A,Lookups!B:B))*Pipeline_tbl[[#This Row],[Pipeline_Amount_USD]]</f>
        <v>3958.6199999999994</v>
      </c>
      <c r="O678" t="str">
        <f>_xlfn.XLOOKUP(Pipeline_tbl[[#This Row],[Rep_ID]],Dim_Reps!A:A,Dim_Reps!B:B)</f>
        <v>Karim Rossi</v>
      </c>
      <c r="P678" t="str">
        <f>_xlfn.XLOOKUP(Pipeline_tbl[[#This Row],[Rep_ID]],Dim_Reps!A:A,Dim_Reps!C:C)</f>
        <v>SDR / Inside Sales Rep</v>
      </c>
      <c r="Q678" t="str">
        <f>_xlfn.XLOOKUP(Pipeline_tbl[[#This Row],[Rep_ID]],Dim_Reps!A:A,Dim_Reps!D:D)</f>
        <v>Inside Sales</v>
      </c>
      <c r="R678" t="str">
        <f>_xlfn.XLOOKUP(Pipeline_tbl[[#This Row],[Rep_ID]],Dim_Reps!A:A,Dim_Reps!E:E)</f>
        <v>NAMER</v>
      </c>
      <c r="S678" t="str">
        <f>_xlfn.XLOOKUP(Pipeline_tbl[[#This Row],[Created_Date]],Dim_Date!A:A,Dim_Date!H:H)</f>
        <v>Oct 2025</v>
      </c>
      <c r="T678" t="str">
        <f>IF(Pipeline_tbl[[#This Row],[Closed_Date]]=0,"",(_xlfn.XLOOKUP(Pipeline_tbl[[#This Row],[Closed_Date]],Dim_Date!A:A,Dim_Date!H:H)))</f>
        <v>Nov 2025</v>
      </c>
      <c r="U678">
        <f>IF(Pipeline_tbl[[#This Row],[Closed_Date]]=0,"",Pipeline_tbl[[#This Row],[Closed_Date]]-Pipeline_tbl[[#This Row],[Created_Date]])</f>
        <v>19</v>
      </c>
    </row>
    <row r="679" spans="1:21" ht="15" customHeight="1" x14ac:dyDescent="0.2">
      <c r="A679" t="s">
        <v>985</v>
      </c>
      <c r="B679" t="s">
        <v>193</v>
      </c>
      <c r="C679" t="s">
        <v>56</v>
      </c>
      <c r="D679" s="49">
        <v>45956</v>
      </c>
      <c r="E679" s="49">
        <v>45958</v>
      </c>
      <c r="F679" s="49">
        <v>45961</v>
      </c>
      <c r="G679" s="49">
        <v>45966</v>
      </c>
      <c r="H679" s="49">
        <v>45970</v>
      </c>
      <c r="I679" s="49">
        <v>45973</v>
      </c>
      <c r="J679" t="s">
        <v>49</v>
      </c>
      <c r="K679" s="33">
        <v>3200</v>
      </c>
      <c r="L679" t="s">
        <v>61</v>
      </c>
      <c r="M679" t="str">
        <f>_xlfn.XLOOKUP(Pipeline_tbl[[#This Row],[Rep_ID]],Dim_Reps!A:A,Dim_Reps!K:K)</f>
        <v>USD</v>
      </c>
      <c r="N679" s="33">
        <f>(_xlfn.XLOOKUP(Pipeline_tbl[[#This Row],[Rate_Code_Generalized]],Lookups!A:A,Lookups!B:B))*Pipeline_tbl[[#This Row],[Pipeline_Amount_USD]]</f>
        <v>3725.7599999999998</v>
      </c>
      <c r="O679" t="str">
        <f>_xlfn.XLOOKUP(Pipeline_tbl[[#This Row],[Rep_ID]],Dim_Reps!A:A,Dim_Reps!B:B)</f>
        <v>Karim Rossi</v>
      </c>
      <c r="P679" t="str">
        <f>_xlfn.XLOOKUP(Pipeline_tbl[[#This Row],[Rep_ID]],Dim_Reps!A:A,Dim_Reps!C:C)</f>
        <v>SDR / Inside Sales Rep</v>
      </c>
      <c r="Q679" t="str">
        <f>_xlfn.XLOOKUP(Pipeline_tbl[[#This Row],[Rep_ID]],Dim_Reps!A:A,Dim_Reps!D:D)</f>
        <v>Inside Sales</v>
      </c>
      <c r="R679" t="str">
        <f>_xlfn.XLOOKUP(Pipeline_tbl[[#This Row],[Rep_ID]],Dim_Reps!A:A,Dim_Reps!E:E)</f>
        <v>NAMER</v>
      </c>
      <c r="S679" t="str">
        <f>_xlfn.XLOOKUP(Pipeline_tbl[[#This Row],[Created_Date]],Dim_Date!A:A,Dim_Date!H:H)</f>
        <v>Oct 2025</v>
      </c>
      <c r="T679" t="str">
        <f>IF(Pipeline_tbl[[#This Row],[Closed_Date]]=0,"",(_xlfn.XLOOKUP(Pipeline_tbl[[#This Row],[Closed_Date]],Dim_Date!A:A,Dim_Date!H:H)))</f>
        <v>Nov 2025</v>
      </c>
      <c r="U679">
        <f>IF(Pipeline_tbl[[#This Row],[Closed_Date]]=0,"",Pipeline_tbl[[#This Row],[Closed_Date]]-Pipeline_tbl[[#This Row],[Created_Date]])</f>
        <v>17</v>
      </c>
    </row>
    <row r="680" spans="1:21" ht="15" customHeight="1" x14ac:dyDescent="0.2">
      <c r="A680" t="s">
        <v>986</v>
      </c>
      <c r="B680" t="s">
        <v>193</v>
      </c>
      <c r="C680" t="s">
        <v>53</v>
      </c>
      <c r="D680" s="49">
        <v>45944</v>
      </c>
      <c r="E680" s="49">
        <v>45946</v>
      </c>
      <c r="F680" s="49">
        <v>45951</v>
      </c>
      <c r="I680" s="49">
        <v>45967</v>
      </c>
      <c r="J680" t="s">
        <v>49</v>
      </c>
      <c r="K680" s="33">
        <v>5800</v>
      </c>
      <c r="L680" t="s">
        <v>60</v>
      </c>
      <c r="M680" t="str">
        <f>_xlfn.XLOOKUP(Pipeline_tbl[[#This Row],[Rep_ID]],Dim_Reps!A:A,Dim_Reps!K:K)</f>
        <v>USD</v>
      </c>
      <c r="N680" s="33">
        <f>(_xlfn.XLOOKUP(Pipeline_tbl[[#This Row],[Rate_Code_Generalized]],Lookups!A:A,Lookups!B:B))*Pipeline_tbl[[#This Row],[Pipeline_Amount_USD]]</f>
        <v>6752.94</v>
      </c>
      <c r="O680" t="str">
        <f>_xlfn.XLOOKUP(Pipeline_tbl[[#This Row],[Rep_ID]],Dim_Reps!A:A,Dim_Reps!B:B)</f>
        <v>Karim Rossi</v>
      </c>
      <c r="P680" t="str">
        <f>_xlfn.XLOOKUP(Pipeline_tbl[[#This Row],[Rep_ID]],Dim_Reps!A:A,Dim_Reps!C:C)</f>
        <v>SDR / Inside Sales Rep</v>
      </c>
      <c r="Q680" t="str">
        <f>_xlfn.XLOOKUP(Pipeline_tbl[[#This Row],[Rep_ID]],Dim_Reps!A:A,Dim_Reps!D:D)</f>
        <v>Inside Sales</v>
      </c>
      <c r="R680" t="str">
        <f>_xlfn.XLOOKUP(Pipeline_tbl[[#This Row],[Rep_ID]],Dim_Reps!A:A,Dim_Reps!E:E)</f>
        <v>NAMER</v>
      </c>
      <c r="S680" t="str">
        <f>_xlfn.XLOOKUP(Pipeline_tbl[[#This Row],[Created_Date]],Dim_Date!A:A,Dim_Date!H:H)</f>
        <v>Oct 2025</v>
      </c>
      <c r="T680" t="str">
        <f>IF(Pipeline_tbl[[#This Row],[Closed_Date]]=0,"",(_xlfn.XLOOKUP(Pipeline_tbl[[#This Row],[Closed_Date]],Dim_Date!A:A,Dim_Date!H:H)))</f>
        <v>Nov 2025</v>
      </c>
      <c r="U680">
        <f>IF(Pipeline_tbl[[#This Row],[Closed_Date]]=0,"",Pipeline_tbl[[#This Row],[Closed_Date]]-Pipeline_tbl[[#This Row],[Created_Date]])</f>
        <v>23</v>
      </c>
    </row>
    <row r="681" spans="1:21" ht="15" customHeight="1" x14ac:dyDescent="0.2">
      <c r="A681" t="s">
        <v>987</v>
      </c>
      <c r="B681" t="s">
        <v>193</v>
      </c>
      <c r="C681" t="s">
        <v>52</v>
      </c>
      <c r="D681" s="49">
        <v>45950</v>
      </c>
      <c r="E681" s="49">
        <v>45952</v>
      </c>
      <c r="F681" s="49">
        <v>45957</v>
      </c>
      <c r="G681" s="49">
        <v>45963</v>
      </c>
      <c r="H681" s="49">
        <v>45969</v>
      </c>
      <c r="I681" s="49">
        <v>45972</v>
      </c>
      <c r="J681" t="s">
        <v>47</v>
      </c>
      <c r="K681" s="33">
        <v>2600</v>
      </c>
      <c r="M681" t="str">
        <f>_xlfn.XLOOKUP(Pipeline_tbl[[#This Row],[Rep_ID]],Dim_Reps!A:A,Dim_Reps!K:K)</f>
        <v>USD</v>
      </c>
      <c r="N681" s="33">
        <f>(_xlfn.XLOOKUP(Pipeline_tbl[[#This Row],[Rate_Code_Generalized]],Lookups!A:A,Lookups!B:B))*Pipeline_tbl[[#This Row],[Pipeline_Amount_USD]]</f>
        <v>3027.18</v>
      </c>
      <c r="O681" t="str">
        <f>_xlfn.XLOOKUP(Pipeline_tbl[[#This Row],[Rep_ID]],Dim_Reps!A:A,Dim_Reps!B:B)</f>
        <v>Karim Rossi</v>
      </c>
      <c r="P681" t="str">
        <f>_xlfn.XLOOKUP(Pipeline_tbl[[#This Row],[Rep_ID]],Dim_Reps!A:A,Dim_Reps!C:C)</f>
        <v>SDR / Inside Sales Rep</v>
      </c>
      <c r="Q681" t="str">
        <f>_xlfn.XLOOKUP(Pipeline_tbl[[#This Row],[Rep_ID]],Dim_Reps!A:A,Dim_Reps!D:D)</f>
        <v>Inside Sales</v>
      </c>
      <c r="R681" t="str">
        <f>_xlfn.XLOOKUP(Pipeline_tbl[[#This Row],[Rep_ID]],Dim_Reps!A:A,Dim_Reps!E:E)</f>
        <v>NAMER</v>
      </c>
      <c r="S681" t="str">
        <f>_xlfn.XLOOKUP(Pipeline_tbl[[#This Row],[Created_Date]],Dim_Date!A:A,Dim_Date!H:H)</f>
        <v>Oct 2025</v>
      </c>
      <c r="T681" t="str">
        <f>IF(Pipeline_tbl[[#This Row],[Closed_Date]]=0,"",(_xlfn.XLOOKUP(Pipeline_tbl[[#This Row],[Closed_Date]],Dim_Date!A:A,Dim_Date!H:H)))</f>
        <v>Nov 2025</v>
      </c>
      <c r="U681">
        <f>IF(Pipeline_tbl[[#This Row],[Closed_Date]]=0,"",Pipeline_tbl[[#This Row],[Closed_Date]]-Pipeline_tbl[[#This Row],[Created_Date]])</f>
        <v>22</v>
      </c>
    </row>
    <row r="682" spans="1:21" ht="15" customHeight="1" x14ac:dyDescent="0.2">
      <c r="A682" t="s">
        <v>988</v>
      </c>
      <c r="B682" t="s">
        <v>193</v>
      </c>
      <c r="C682" t="s">
        <v>56</v>
      </c>
      <c r="D682" s="49">
        <v>45947</v>
      </c>
      <c r="E682" s="49">
        <v>45949</v>
      </c>
      <c r="F682" s="49">
        <v>45953</v>
      </c>
      <c r="G682" s="49">
        <v>45959</v>
      </c>
      <c r="H682" s="49">
        <v>45964</v>
      </c>
      <c r="I682" s="49">
        <v>45967</v>
      </c>
      <c r="J682" t="s">
        <v>47</v>
      </c>
      <c r="K682" s="33">
        <v>5400</v>
      </c>
      <c r="M682" t="str">
        <f>_xlfn.XLOOKUP(Pipeline_tbl[[#This Row],[Rep_ID]],Dim_Reps!A:A,Dim_Reps!K:K)</f>
        <v>USD</v>
      </c>
      <c r="N682" s="33">
        <f>(_xlfn.XLOOKUP(Pipeline_tbl[[#This Row],[Rate_Code_Generalized]],Lookups!A:A,Lookups!B:B))*Pipeline_tbl[[#This Row],[Pipeline_Amount_USD]]</f>
        <v>6287.2199999999993</v>
      </c>
      <c r="O682" t="str">
        <f>_xlfn.XLOOKUP(Pipeline_tbl[[#This Row],[Rep_ID]],Dim_Reps!A:A,Dim_Reps!B:B)</f>
        <v>Karim Rossi</v>
      </c>
      <c r="P682" t="str">
        <f>_xlfn.XLOOKUP(Pipeline_tbl[[#This Row],[Rep_ID]],Dim_Reps!A:A,Dim_Reps!C:C)</f>
        <v>SDR / Inside Sales Rep</v>
      </c>
      <c r="Q682" t="str">
        <f>_xlfn.XLOOKUP(Pipeline_tbl[[#This Row],[Rep_ID]],Dim_Reps!A:A,Dim_Reps!D:D)</f>
        <v>Inside Sales</v>
      </c>
      <c r="R682" t="str">
        <f>_xlfn.XLOOKUP(Pipeline_tbl[[#This Row],[Rep_ID]],Dim_Reps!A:A,Dim_Reps!E:E)</f>
        <v>NAMER</v>
      </c>
      <c r="S682" t="str">
        <f>_xlfn.XLOOKUP(Pipeline_tbl[[#This Row],[Created_Date]],Dim_Date!A:A,Dim_Date!H:H)</f>
        <v>Oct 2025</v>
      </c>
      <c r="T682" t="str">
        <f>IF(Pipeline_tbl[[#This Row],[Closed_Date]]=0,"",(_xlfn.XLOOKUP(Pipeline_tbl[[#This Row],[Closed_Date]],Dim_Date!A:A,Dim_Date!H:H)))</f>
        <v>Nov 2025</v>
      </c>
      <c r="U682">
        <f>IF(Pipeline_tbl[[#This Row],[Closed_Date]]=0,"",Pipeline_tbl[[#This Row],[Closed_Date]]-Pipeline_tbl[[#This Row],[Created_Date]])</f>
        <v>20</v>
      </c>
    </row>
    <row r="683" spans="1:21" ht="15" customHeight="1" x14ac:dyDescent="0.2">
      <c r="A683" t="s">
        <v>989</v>
      </c>
      <c r="B683" t="s">
        <v>193</v>
      </c>
      <c r="C683" t="s">
        <v>54</v>
      </c>
      <c r="D683" s="49">
        <v>45943</v>
      </c>
      <c r="E683" s="49">
        <v>45945</v>
      </c>
      <c r="I683" s="49">
        <v>45964</v>
      </c>
      <c r="J683" t="s">
        <v>49</v>
      </c>
      <c r="K683" s="33">
        <v>6000</v>
      </c>
      <c r="L683" t="s">
        <v>62</v>
      </c>
      <c r="M683" t="str">
        <f>_xlfn.XLOOKUP(Pipeline_tbl[[#This Row],[Rep_ID]],Dim_Reps!A:A,Dim_Reps!K:K)</f>
        <v>USD</v>
      </c>
      <c r="N683" s="33">
        <f>(_xlfn.XLOOKUP(Pipeline_tbl[[#This Row],[Rate_Code_Generalized]],Lookups!A:A,Lookups!B:B))*Pipeline_tbl[[#This Row],[Pipeline_Amount_USD]]</f>
        <v>6985.7999999999993</v>
      </c>
      <c r="O683" t="str">
        <f>_xlfn.XLOOKUP(Pipeline_tbl[[#This Row],[Rep_ID]],Dim_Reps!A:A,Dim_Reps!B:B)</f>
        <v>Karim Rossi</v>
      </c>
      <c r="P683" t="str">
        <f>_xlfn.XLOOKUP(Pipeline_tbl[[#This Row],[Rep_ID]],Dim_Reps!A:A,Dim_Reps!C:C)</f>
        <v>SDR / Inside Sales Rep</v>
      </c>
      <c r="Q683" t="str">
        <f>_xlfn.XLOOKUP(Pipeline_tbl[[#This Row],[Rep_ID]],Dim_Reps!A:A,Dim_Reps!D:D)</f>
        <v>Inside Sales</v>
      </c>
      <c r="R683" t="str">
        <f>_xlfn.XLOOKUP(Pipeline_tbl[[#This Row],[Rep_ID]],Dim_Reps!A:A,Dim_Reps!E:E)</f>
        <v>NAMER</v>
      </c>
      <c r="S683" t="str">
        <f>_xlfn.XLOOKUP(Pipeline_tbl[[#This Row],[Created_Date]],Dim_Date!A:A,Dim_Date!H:H)</f>
        <v>Oct 2025</v>
      </c>
      <c r="T683" t="str">
        <f>IF(Pipeline_tbl[[#This Row],[Closed_Date]]=0,"",(_xlfn.XLOOKUP(Pipeline_tbl[[#This Row],[Closed_Date]],Dim_Date!A:A,Dim_Date!H:H)))</f>
        <v>Nov 2025</v>
      </c>
      <c r="U683">
        <f>IF(Pipeline_tbl[[#This Row],[Closed_Date]]=0,"",Pipeline_tbl[[#This Row],[Closed_Date]]-Pipeline_tbl[[#This Row],[Created_Date]])</f>
        <v>21</v>
      </c>
    </row>
    <row r="684" spans="1:21" ht="15" customHeight="1" x14ac:dyDescent="0.2">
      <c r="A684" t="s">
        <v>990</v>
      </c>
      <c r="B684" t="s">
        <v>193</v>
      </c>
      <c r="C684" t="s">
        <v>53</v>
      </c>
      <c r="D684" s="49">
        <v>45959</v>
      </c>
      <c r="E684" s="49">
        <v>45960</v>
      </c>
      <c r="F684" s="49">
        <v>45963</v>
      </c>
      <c r="G684" s="49">
        <v>45967</v>
      </c>
      <c r="H684" s="49">
        <v>45970</v>
      </c>
      <c r="I684" s="49">
        <v>45972</v>
      </c>
      <c r="J684" t="s">
        <v>47</v>
      </c>
      <c r="K684" s="33">
        <v>3300</v>
      </c>
      <c r="M684" t="str">
        <f>_xlfn.XLOOKUP(Pipeline_tbl[[#This Row],[Rep_ID]],Dim_Reps!A:A,Dim_Reps!K:K)</f>
        <v>USD</v>
      </c>
      <c r="N684" s="33">
        <f>(_xlfn.XLOOKUP(Pipeline_tbl[[#This Row],[Rate_Code_Generalized]],Lookups!A:A,Lookups!B:B))*Pipeline_tbl[[#This Row],[Pipeline_Amount_USD]]</f>
        <v>3842.1899999999996</v>
      </c>
      <c r="O684" t="str">
        <f>_xlfn.XLOOKUP(Pipeline_tbl[[#This Row],[Rep_ID]],Dim_Reps!A:A,Dim_Reps!B:B)</f>
        <v>Karim Rossi</v>
      </c>
      <c r="P684" t="str">
        <f>_xlfn.XLOOKUP(Pipeline_tbl[[#This Row],[Rep_ID]],Dim_Reps!A:A,Dim_Reps!C:C)</f>
        <v>SDR / Inside Sales Rep</v>
      </c>
      <c r="Q684" t="str">
        <f>_xlfn.XLOOKUP(Pipeline_tbl[[#This Row],[Rep_ID]],Dim_Reps!A:A,Dim_Reps!D:D)</f>
        <v>Inside Sales</v>
      </c>
      <c r="R684" t="str">
        <f>_xlfn.XLOOKUP(Pipeline_tbl[[#This Row],[Rep_ID]],Dim_Reps!A:A,Dim_Reps!E:E)</f>
        <v>NAMER</v>
      </c>
      <c r="S684" t="str">
        <f>_xlfn.XLOOKUP(Pipeline_tbl[[#This Row],[Created_Date]],Dim_Date!A:A,Dim_Date!H:H)</f>
        <v>Oct 2025</v>
      </c>
      <c r="T684" t="str">
        <f>IF(Pipeline_tbl[[#This Row],[Closed_Date]]=0,"",(_xlfn.XLOOKUP(Pipeline_tbl[[#This Row],[Closed_Date]],Dim_Date!A:A,Dim_Date!H:H)))</f>
        <v>Nov 2025</v>
      </c>
      <c r="U684">
        <f>IF(Pipeline_tbl[[#This Row],[Closed_Date]]=0,"",Pipeline_tbl[[#This Row],[Closed_Date]]-Pipeline_tbl[[#This Row],[Created_Date]])</f>
        <v>13</v>
      </c>
    </row>
    <row r="685" spans="1:21" ht="15" customHeight="1" x14ac:dyDescent="0.2">
      <c r="A685" t="s">
        <v>991</v>
      </c>
      <c r="B685" t="s">
        <v>193</v>
      </c>
      <c r="C685" t="s">
        <v>52</v>
      </c>
      <c r="D685" s="49">
        <v>45949</v>
      </c>
      <c r="E685" s="49">
        <v>45951</v>
      </c>
      <c r="I685" s="49">
        <v>45965</v>
      </c>
      <c r="J685" t="s">
        <v>49</v>
      </c>
      <c r="K685" s="33">
        <v>2500</v>
      </c>
      <c r="L685" t="s">
        <v>64</v>
      </c>
      <c r="M685" t="str">
        <f>_xlfn.XLOOKUP(Pipeline_tbl[[#This Row],[Rep_ID]],Dim_Reps!A:A,Dim_Reps!K:K)</f>
        <v>USD</v>
      </c>
      <c r="N685" s="33">
        <f>(_xlfn.XLOOKUP(Pipeline_tbl[[#This Row],[Rate_Code_Generalized]],Lookups!A:A,Lookups!B:B))*Pipeline_tbl[[#This Row],[Pipeline_Amount_USD]]</f>
        <v>2910.7499999999995</v>
      </c>
      <c r="O685" t="str">
        <f>_xlfn.XLOOKUP(Pipeline_tbl[[#This Row],[Rep_ID]],Dim_Reps!A:A,Dim_Reps!B:B)</f>
        <v>Karim Rossi</v>
      </c>
      <c r="P685" t="str">
        <f>_xlfn.XLOOKUP(Pipeline_tbl[[#This Row],[Rep_ID]],Dim_Reps!A:A,Dim_Reps!C:C)</f>
        <v>SDR / Inside Sales Rep</v>
      </c>
      <c r="Q685" t="str">
        <f>_xlfn.XLOOKUP(Pipeline_tbl[[#This Row],[Rep_ID]],Dim_Reps!A:A,Dim_Reps!D:D)</f>
        <v>Inside Sales</v>
      </c>
      <c r="R685" t="str">
        <f>_xlfn.XLOOKUP(Pipeline_tbl[[#This Row],[Rep_ID]],Dim_Reps!A:A,Dim_Reps!E:E)</f>
        <v>NAMER</v>
      </c>
      <c r="S685" t="str">
        <f>_xlfn.XLOOKUP(Pipeline_tbl[[#This Row],[Created_Date]],Dim_Date!A:A,Dim_Date!H:H)</f>
        <v>Oct 2025</v>
      </c>
      <c r="T685" t="str">
        <f>IF(Pipeline_tbl[[#This Row],[Closed_Date]]=0,"",(_xlfn.XLOOKUP(Pipeline_tbl[[#This Row],[Closed_Date]],Dim_Date!A:A,Dim_Date!H:H)))</f>
        <v>Nov 2025</v>
      </c>
      <c r="U685">
        <f>IF(Pipeline_tbl[[#This Row],[Closed_Date]]=0,"",Pipeline_tbl[[#This Row],[Closed_Date]]-Pipeline_tbl[[#This Row],[Created_Date]])</f>
        <v>16</v>
      </c>
    </row>
    <row r="686" spans="1:21" ht="15" customHeight="1" x14ac:dyDescent="0.2">
      <c r="A686" t="s">
        <v>992</v>
      </c>
      <c r="B686" t="s">
        <v>275</v>
      </c>
      <c r="C686" t="s">
        <v>52</v>
      </c>
      <c r="D686" s="49">
        <v>45934</v>
      </c>
      <c r="E686" s="49">
        <v>45939</v>
      </c>
      <c r="I686" s="49">
        <v>45984</v>
      </c>
      <c r="J686" t="s">
        <v>49</v>
      </c>
      <c r="K686" s="33">
        <v>85800</v>
      </c>
      <c r="L686" t="s">
        <v>63</v>
      </c>
      <c r="M686" t="str">
        <f>_xlfn.XLOOKUP(Pipeline_tbl[[#This Row],[Rep_ID]],Dim_Reps!A:A,Dim_Reps!K:K)</f>
        <v>USD</v>
      </c>
      <c r="N686" s="33">
        <f>(_xlfn.XLOOKUP(Pipeline_tbl[[#This Row],[Rate_Code_Generalized]],Lookups!A:A,Lookups!B:B))*Pipeline_tbl[[#This Row],[Pipeline_Amount_USD]]</f>
        <v>99896.939999999988</v>
      </c>
      <c r="O686" t="str">
        <f>_xlfn.XLOOKUP(Pipeline_tbl[[#This Row],[Rep_ID]],Dim_Reps!A:A,Dim_Reps!B:B)</f>
        <v>Sana Rossi</v>
      </c>
      <c r="P686" t="str">
        <f>_xlfn.XLOOKUP(Pipeline_tbl[[#This Row],[Rep_ID]],Dim_Reps!A:A,Dim_Reps!C:C)</f>
        <v>Senior Enterprise AE</v>
      </c>
      <c r="Q686" t="str">
        <f>_xlfn.XLOOKUP(Pipeline_tbl[[#This Row],[Rep_ID]],Dim_Reps!A:A,Dim_Reps!D:D)</f>
        <v>Strategic</v>
      </c>
      <c r="R686" t="str">
        <f>_xlfn.XLOOKUP(Pipeline_tbl[[#This Row],[Rep_ID]],Dim_Reps!A:A,Dim_Reps!E:E)</f>
        <v>NAMER</v>
      </c>
      <c r="S686" t="str">
        <f>_xlfn.XLOOKUP(Pipeline_tbl[[#This Row],[Created_Date]],Dim_Date!A:A,Dim_Date!H:H)</f>
        <v>Oct 2025</v>
      </c>
      <c r="T686" t="str">
        <f>IF(Pipeline_tbl[[#This Row],[Closed_Date]]=0,"",(_xlfn.XLOOKUP(Pipeline_tbl[[#This Row],[Closed_Date]],Dim_Date!A:A,Dim_Date!H:H)))</f>
        <v>Nov 2025</v>
      </c>
      <c r="U686">
        <f>IF(Pipeline_tbl[[#This Row],[Closed_Date]]=0,"",Pipeline_tbl[[#This Row],[Closed_Date]]-Pipeline_tbl[[#This Row],[Created_Date]])</f>
        <v>50</v>
      </c>
    </row>
    <row r="687" spans="1:21" ht="15" customHeight="1" x14ac:dyDescent="0.2">
      <c r="A687" t="s">
        <v>993</v>
      </c>
      <c r="B687" t="s">
        <v>243</v>
      </c>
      <c r="C687" t="s">
        <v>52</v>
      </c>
      <c r="D687" s="49">
        <v>45946</v>
      </c>
      <c r="E687" s="49">
        <v>45948</v>
      </c>
      <c r="F687" s="49">
        <v>45953</v>
      </c>
      <c r="G687" s="49">
        <v>45959</v>
      </c>
      <c r="H687" s="49">
        <v>45965</v>
      </c>
      <c r="I687" s="49">
        <v>45968</v>
      </c>
      <c r="J687" t="s">
        <v>47</v>
      </c>
      <c r="K687" s="33">
        <v>13900</v>
      </c>
      <c r="M687" t="str">
        <f>_xlfn.XLOOKUP(Pipeline_tbl[[#This Row],[Rep_ID]],Dim_Reps!A:A,Dim_Reps!K:K)</f>
        <v>MXN</v>
      </c>
      <c r="N687" s="33">
        <f>(_xlfn.XLOOKUP(Pipeline_tbl[[#This Row],[Rate_Code_Generalized]],Lookups!A:A,Lookups!B:B))*Pipeline_tbl[[#This Row],[Pipeline_Amount_USD]]</f>
        <v>274284.53000000003</v>
      </c>
      <c r="O687" t="str">
        <f>_xlfn.XLOOKUP(Pipeline_tbl[[#This Row],[Rep_ID]],Dim_Reps!A:A,Dim_Reps!B:B)</f>
        <v>Jonas Sato</v>
      </c>
      <c r="P687" t="str">
        <f>_xlfn.XLOOKUP(Pipeline_tbl[[#This Row],[Rep_ID]],Dim_Reps!A:A,Dim_Reps!C:C)</f>
        <v>Mid-Market AE</v>
      </c>
      <c r="Q687" t="str">
        <f>_xlfn.XLOOKUP(Pipeline_tbl[[#This Row],[Rep_ID]],Dim_Reps!A:A,Dim_Reps!D:D)</f>
        <v>Mid-Market</v>
      </c>
      <c r="R687" t="str">
        <f>_xlfn.XLOOKUP(Pipeline_tbl[[#This Row],[Rep_ID]],Dim_Reps!A:A,Dim_Reps!E:E)</f>
        <v>LATAM</v>
      </c>
      <c r="S687" t="str">
        <f>_xlfn.XLOOKUP(Pipeline_tbl[[#This Row],[Created_Date]],Dim_Date!A:A,Dim_Date!H:H)</f>
        <v>Oct 2025</v>
      </c>
      <c r="T687" t="str">
        <f>IF(Pipeline_tbl[[#This Row],[Closed_Date]]=0,"",(_xlfn.XLOOKUP(Pipeline_tbl[[#This Row],[Closed_Date]],Dim_Date!A:A,Dim_Date!H:H)))</f>
        <v>Nov 2025</v>
      </c>
      <c r="U687">
        <f>IF(Pipeline_tbl[[#This Row],[Closed_Date]]=0,"",Pipeline_tbl[[#This Row],[Closed_Date]]-Pipeline_tbl[[#This Row],[Created_Date]])</f>
        <v>22</v>
      </c>
    </row>
    <row r="688" spans="1:21" ht="15" customHeight="1" x14ac:dyDescent="0.2">
      <c r="A688" t="s">
        <v>994</v>
      </c>
      <c r="B688" t="s">
        <v>243</v>
      </c>
      <c r="C688" t="s">
        <v>53</v>
      </c>
      <c r="D688" s="49">
        <v>45938</v>
      </c>
      <c r="E688" s="49">
        <v>45942</v>
      </c>
      <c r="F688" s="49">
        <v>45951</v>
      </c>
      <c r="G688" s="49">
        <v>45964</v>
      </c>
      <c r="H688" s="49">
        <v>45975</v>
      </c>
      <c r="I688" s="49">
        <v>45981</v>
      </c>
      <c r="J688" t="s">
        <v>49</v>
      </c>
      <c r="K688" s="33">
        <v>20600</v>
      </c>
      <c r="L688" t="s">
        <v>61</v>
      </c>
      <c r="M688" t="str">
        <f>_xlfn.XLOOKUP(Pipeline_tbl[[#This Row],[Rep_ID]],Dim_Reps!A:A,Dim_Reps!K:K)</f>
        <v>MXN</v>
      </c>
      <c r="N688" s="33">
        <f>(_xlfn.XLOOKUP(Pipeline_tbl[[#This Row],[Rate_Code_Generalized]],Lookups!A:A,Lookups!B:B))*Pipeline_tbl[[#This Row],[Pipeline_Amount_USD]]</f>
        <v>406493.62000000005</v>
      </c>
      <c r="O688" t="str">
        <f>_xlfn.XLOOKUP(Pipeline_tbl[[#This Row],[Rep_ID]],Dim_Reps!A:A,Dim_Reps!B:B)</f>
        <v>Jonas Sato</v>
      </c>
      <c r="P688" t="str">
        <f>_xlfn.XLOOKUP(Pipeline_tbl[[#This Row],[Rep_ID]],Dim_Reps!A:A,Dim_Reps!C:C)</f>
        <v>Mid-Market AE</v>
      </c>
      <c r="Q688" t="str">
        <f>_xlfn.XLOOKUP(Pipeline_tbl[[#This Row],[Rep_ID]],Dim_Reps!A:A,Dim_Reps!D:D)</f>
        <v>Mid-Market</v>
      </c>
      <c r="R688" t="str">
        <f>_xlfn.XLOOKUP(Pipeline_tbl[[#This Row],[Rep_ID]],Dim_Reps!A:A,Dim_Reps!E:E)</f>
        <v>LATAM</v>
      </c>
      <c r="S688" t="str">
        <f>_xlfn.XLOOKUP(Pipeline_tbl[[#This Row],[Created_Date]],Dim_Date!A:A,Dim_Date!H:H)</f>
        <v>Oct 2025</v>
      </c>
      <c r="T688" t="str">
        <f>IF(Pipeline_tbl[[#This Row],[Closed_Date]]=0,"",(_xlfn.XLOOKUP(Pipeline_tbl[[#This Row],[Closed_Date]],Dim_Date!A:A,Dim_Date!H:H)))</f>
        <v>Nov 2025</v>
      </c>
      <c r="U688">
        <f>IF(Pipeline_tbl[[#This Row],[Closed_Date]]=0,"",Pipeline_tbl[[#This Row],[Closed_Date]]-Pipeline_tbl[[#This Row],[Created_Date]])</f>
        <v>43</v>
      </c>
    </row>
    <row r="689" spans="1:21" ht="15" customHeight="1" x14ac:dyDescent="0.2">
      <c r="A689" t="s">
        <v>995</v>
      </c>
      <c r="B689" t="s">
        <v>243</v>
      </c>
      <c r="C689" t="s">
        <v>55</v>
      </c>
      <c r="D689" s="49">
        <v>45945</v>
      </c>
      <c r="E689" s="49">
        <v>45947</v>
      </c>
      <c r="F689" s="49">
        <v>45952</v>
      </c>
      <c r="G689" s="49">
        <v>45959</v>
      </c>
      <c r="H689" s="49">
        <v>45965</v>
      </c>
      <c r="I689" s="49">
        <v>45968</v>
      </c>
      <c r="J689" t="s">
        <v>47</v>
      </c>
      <c r="K689" s="33">
        <v>20000</v>
      </c>
      <c r="M689" t="str">
        <f>_xlfn.XLOOKUP(Pipeline_tbl[[#This Row],[Rep_ID]],Dim_Reps!A:A,Dim_Reps!K:K)</f>
        <v>MXN</v>
      </c>
      <c r="N689" s="33">
        <f>(_xlfn.XLOOKUP(Pipeline_tbl[[#This Row],[Rate_Code_Generalized]],Lookups!A:A,Lookups!B:B))*Pipeline_tbl[[#This Row],[Pipeline_Amount_USD]]</f>
        <v>394654</v>
      </c>
      <c r="O689" t="str">
        <f>_xlfn.XLOOKUP(Pipeline_tbl[[#This Row],[Rep_ID]],Dim_Reps!A:A,Dim_Reps!B:B)</f>
        <v>Jonas Sato</v>
      </c>
      <c r="P689" t="str">
        <f>_xlfn.XLOOKUP(Pipeline_tbl[[#This Row],[Rep_ID]],Dim_Reps!A:A,Dim_Reps!C:C)</f>
        <v>Mid-Market AE</v>
      </c>
      <c r="Q689" t="str">
        <f>_xlfn.XLOOKUP(Pipeline_tbl[[#This Row],[Rep_ID]],Dim_Reps!A:A,Dim_Reps!D:D)</f>
        <v>Mid-Market</v>
      </c>
      <c r="R689" t="str">
        <f>_xlfn.XLOOKUP(Pipeline_tbl[[#This Row],[Rep_ID]],Dim_Reps!A:A,Dim_Reps!E:E)</f>
        <v>LATAM</v>
      </c>
      <c r="S689" t="str">
        <f>_xlfn.XLOOKUP(Pipeline_tbl[[#This Row],[Created_Date]],Dim_Date!A:A,Dim_Date!H:H)</f>
        <v>Oct 2025</v>
      </c>
      <c r="T689" t="str">
        <f>IF(Pipeline_tbl[[#This Row],[Closed_Date]]=0,"",(_xlfn.XLOOKUP(Pipeline_tbl[[#This Row],[Closed_Date]],Dim_Date!A:A,Dim_Date!H:H)))</f>
        <v>Nov 2025</v>
      </c>
      <c r="U689">
        <f>IF(Pipeline_tbl[[#This Row],[Closed_Date]]=0,"",Pipeline_tbl[[#This Row],[Closed_Date]]-Pipeline_tbl[[#This Row],[Created_Date]])</f>
        <v>23</v>
      </c>
    </row>
    <row r="690" spans="1:21" ht="15" customHeight="1" x14ac:dyDescent="0.2">
      <c r="A690" t="s">
        <v>996</v>
      </c>
      <c r="B690" t="s">
        <v>243</v>
      </c>
      <c r="C690" t="s">
        <v>54</v>
      </c>
      <c r="D690" s="49">
        <v>45953</v>
      </c>
      <c r="E690" s="49">
        <v>45957</v>
      </c>
      <c r="F690" s="49">
        <v>45964</v>
      </c>
      <c r="G690" s="49">
        <v>45975</v>
      </c>
      <c r="I690" s="49">
        <v>45990</v>
      </c>
      <c r="J690" t="s">
        <v>49</v>
      </c>
      <c r="K690" s="33">
        <v>5300</v>
      </c>
      <c r="L690" t="s">
        <v>60</v>
      </c>
      <c r="M690" t="str">
        <f>_xlfn.XLOOKUP(Pipeline_tbl[[#This Row],[Rep_ID]],Dim_Reps!A:A,Dim_Reps!K:K)</f>
        <v>MXN</v>
      </c>
      <c r="N690" s="33">
        <f>(_xlfn.XLOOKUP(Pipeline_tbl[[#This Row],[Rate_Code_Generalized]],Lookups!A:A,Lookups!B:B))*Pipeline_tbl[[#This Row],[Pipeline_Amount_USD]]</f>
        <v>104583.31000000001</v>
      </c>
      <c r="O690" t="str">
        <f>_xlfn.XLOOKUP(Pipeline_tbl[[#This Row],[Rep_ID]],Dim_Reps!A:A,Dim_Reps!B:B)</f>
        <v>Jonas Sato</v>
      </c>
      <c r="P690" t="str">
        <f>_xlfn.XLOOKUP(Pipeline_tbl[[#This Row],[Rep_ID]],Dim_Reps!A:A,Dim_Reps!C:C)</f>
        <v>Mid-Market AE</v>
      </c>
      <c r="Q690" t="str">
        <f>_xlfn.XLOOKUP(Pipeline_tbl[[#This Row],[Rep_ID]],Dim_Reps!A:A,Dim_Reps!D:D)</f>
        <v>Mid-Market</v>
      </c>
      <c r="R690" t="str">
        <f>_xlfn.XLOOKUP(Pipeline_tbl[[#This Row],[Rep_ID]],Dim_Reps!A:A,Dim_Reps!E:E)</f>
        <v>LATAM</v>
      </c>
      <c r="S690" t="str">
        <f>_xlfn.XLOOKUP(Pipeline_tbl[[#This Row],[Created_Date]],Dim_Date!A:A,Dim_Date!H:H)</f>
        <v>Oct 2025</v>
      </c>
      <c r="T690" t="str">
        <f>IF(Pipeline_tbl[[#This Row],[Closed_Date]]=0,"",(_xlfn.XLOOKUP(Pipeline_tbl[[#This Row],[Closed_Date]],Dim_Date!A:A,Dim_Date!H:H)))</f>
        <v>Nov 2025</v>
      </c>
      <c r="U690">
        <f>IF(Pipeline_tbl[[#This Row],[Closed_Date]]=0,"",Pipeline_tbl[[#This Row],[Closed_Date]]-Pipeline_tbl[[#This Row],[Created_Date]])</f>
        <v>37</v>
      </c>
    </row>
    <row r="691" spans="1:21" ht="15" customHeight="1" x14ac:dyDescent="0.2">
      <c r="A691" t="s">
        <v>997</v>
      </c>
      <c r="B691" t="s">
        <v>243</v>
      </c>
      <c r="C691" t="s">
        <v>53</v>
      </c>
      <c r="D691" s="49">
        <v>45940</v>
      </c>
      <c r="E691" s="49">
        <v>45944</v>
      </c>
      <c r="F691" s="49">
        <v>45951</v>
      </c>
      <c r="G691" s="49">
        <v>45962</v>
      </c>
      <c r="I691" s="49">
        <v>45976</v>
      </c>
      <c r="J691" t="s">
        <v>49</v>
      </c>
      <c r="K691" s="33">
        <v>18100</v>
      </c>
      <c r="L691" t="s">
        <v>62</v>
      </c>
      <c r="M691" t="str">
        <f>_xlfn.XLOOKUP(Pipeline_tbl[[#This Row],[Rep_ID]],Dim_Reps!A:A,Dim_Reps!K:K)</f>
        <v>MXN</v>
      </c>
      <c r="N691" s="33">
        <f>(_xlfn.XLOOKUP(Pipeline_tbl[[#This Row],[Rate_Code_Generalized]],Lookups!A:A,Lookups!B:B))*Pipeline_tbl[[#This Row],[Pipeline_Amount_USD]]</f>
        <v>357161.87</v>
      </c>
      <c r="O691" t="str">
        <f>_xlfn.XLOOKUP(Pipeline_tbl[[#This Row],[Rep_ID]],Dim_Reps!A:A,Dim_Reps!B:B)</f>
        <v>Jonas Sato</v>
      </c>
      <c r="P691" t="str">
        <f>_xlfn.XLOOKUP(Pipeline_tbl[[#This Row],[Rep_ID]],Dim_Reps!A:A,Dim_Reps!C:C)</f>
        <v>Mid-Market AE</v>
      </c>
      <c r="Q691" t="str">
        <f>_xlfn.XLOOKUP(Pipeline_tbl[[#This Row],[Rep_ID]],Dim_Reps!A:A,Dim_Reps!D:D)</f>
        <v>Mid-Market</v>
      </c>
      <c r="R691" t="str">
        <f>_xlfn.XLOOKUP(Pipeline_tbl[[#This Row],[Rep_ID]],Dim_Reps!A:A,Dim_Reps!E:E)</f>
        <v>LATAM</v>
      </c>
      <c r="S691" t="str">
        <f>_xlfn.XLOOKUP(Pipeline_tbl[[#This Row],[Created_Date]],Dim_Date!A:A,Dim_Date!H:H)</f>
        <v>Oct 2025</v>
      </c>
      <c r="T691" t="str">
        <f>IF(Pipeline_tbl[[#This Row],[Closed_Date]]=0,"",(_xlfn.XLOOKUP(Pipeline_tbl[[#This Row],[Closed_Date]],Dim_Date!A:A,Dim_Date!H:H)))</f>
        <v>Nov 2025</v>
      </c>
      <c r="U691">
        <f>IF(Pipeline_tbl[[#This Row],[Closed_Date]]=0,"",Pipeline_tbl[[#This Row],[Closed_Date]]-Pipeline_tbl[[#This Row],[Created_Date]])</f>
        <v>36</v>
      </c>
    </row>
    <row r="692" spans="1:21" ht="15" customHeight="1" x14ac:dyDescent="0.2">
      <c r="A692" t="s">
        <v>998</v>
      </c>
      <c r="B692" t="s">
        <v>196</v>
      </c>
      <c r="C692" t="s">
        <v>53</v>
      </c>
      <c r="D692" s="49">
        <v>45955</v>
      </c>
      <c r="E692" s="49">
        <v>45956</v>
      </c>
      <c r="I692" s="49">
        <v>45964</v>
      </c>
      <c r="J692" t="s">
        <v>49</v>
      </c>
      <c r="K692" s="33">
        <v>2000</v>
      </c>
      <c r="L692" t="s">
        <v>62</v>
      </c>
      <c r="M692" t="str">
        <f>_xlfn.XLOOKUP(Pipeline_tbl[[#This Row],[Rep_ID]],Dim_Reps!A:A,Dim_Reps!K:K)</f>
        <v>EUR</v>
      </c>
      <c r="N692" s="33">
        <f>(_xlfn.XLOOKUP(Pipeline_tbl[[#This Row],[Rate_Code_Generalized]],Lookups!A:A,Lookups!B:B))*Pipeline_tbl[[#This Row],[Pipeline_Amount_USD]]</f>
        <v>2000</v>
      </c>
      <c r="O692" t="str">
        <f>_xlfn.XLOOKUP(Pipeline_tbl[[#This Row],[Rep_ID]],Dim_Reps!A:A,Dim_Reps!B:B)</f>
        <v>Alex Okafor</v>
      </c>
      <c r="P692" t="str">
        <f>_xlfn.XLOOKUP(Pipeline_tbl[[#This Row],[Rep_ID]],Dim_Reps!A:A,Dim_Reps!C:C)</f>
        <v>SDR / Inside Sales Rep</v>
      </c>
      <c r="Q692" t="str">
        <f>_xlfn.XLOOKUP(Pipeline_tbl[[#This Row],[Rep_ID]],Dim_Reps!A:A,Dim_Reps!D:D)</f>
        <v>Inside Sales</v>
      </c>
      <c r="R692" t="str">
        <f>_xlfn.XLOOKUP(Pipeline_tbl[[#This Row],[Rep_ID]],Dim_Reps!A:A,Dim_Reps!E:E)</f>
        <v>EMEA</v>
      </c>
      <c r="S692" t="str">
        <f>_xlfn.XLOOKUP(Pipeline_tbl[[#This Row],[Created_Date]],Dim_Date!A:A,Dim_Date!H:H)</f>
        <v>Oct 2025</v>
      </c>
      <c r="T692" t="str">
        <f>IF(Pipeline_tbl[[#This Row],[Closed_Date]]=0,"",(_xlfn.XLOOKUP(Pipeline_tbl[[#This Row],[Closed_Date]],Dim_Date!A:A,Dim_Date!H:H)))</f>
        <v>Nov 2025</v>
      </c>
      <c r="U692">
        <f>IF(Pipeline_tbl[[#This Row],[Closed_Date]]=0,"",Pipeline_tbl[[#This Row],[Closed_Date]]-Pipeline_tbl[[#This Row],[Created_Date]])</f>
        <v>9</v>
      </c>
    </row>
    <row r="693" spans="1:21" ht="15" customHeight="1" x14ac:dyDescent="0.2">
      <c r="A693" t="s">
        <v>999</v>
      </c>
      <c r="B693" t="s">
        <v>196</v>
      </c>
      <c r="C693" t="s">
        <v>52</v>
      </c>
      <c r="D693" s="49">
        <v>45957</v>
      </c>
      <c r="E693" s="49">
        <v>45959</v>
      </c>
      <c r="F693" s="49">
        <v>45962</v>
      </c>
      <c r="G693" s="49">
        <v>45966</v>
      </c>
      <c r="I693" s="49">
        <v>45972</v>
      </c>
      <c r="J693" t="s">
        <v>49</v>
      </c>
      <c r="K693" s="33">
        <v>3300</v>
      </c>
      <c r="L693" t="s">
        <v>61</v>
      </c>
      <c r="M693" t="str">
        <f>_xlfn.XLOOKUP(Pipeline_tbl[[#This Row],[Rep_ID]],Dim_Reps!A:A,Dim_Reps!K:K)</f>
        <v>EUR</v>
      </c>
      <c r="N693" s="33">
        <f>(_xlfn.XLOOKUP(Pipeline_tbl[[#This Row],[Rate_Code_Generalized]],Lookups!A:A,Lookups!B:B))*Pipeline_tbl[[#This Row],[Pipeline_Amount_USD]]</f>
        <v>3300</v>
      </c>
      <c r="O693" t="str">
        <f>_xlfn.XLOOKUP(Pipeline_tbl[[#This Row],[Rep_ID]],Dim_Reps!A:A,Dim_Reps!B:B)</f>
        <v>Alex Okafor</v>
      </c>
      <c r="P693" t="str">
        <f>_xlfn.XLOOKUP(Pipeline_tbl[[#This Row],[Rep_ID]],Dim_Reps!A:A,Dim_Reps!C:C)</f>
        <v>SDR / Inside Sales Rep</v>
      </c>
      <c r="Q693" t="str">
        <f>_xlfn.XLOOKUP(Pipeline_tbl[[#This Row],[Rep_ID]],Dim_Reps!A:A,Dim_Reps!D:D)</f>
        <v>Inside Sales</v>
      </c>
      <c r="R693" t="str">
        <f>_xlfn.XLOOKUP(Pipeline_tbl[[#This Row],[Rep_ID]],Dim_Reps!A:A,Dim_Reps!E:E)</f>
        <v>EMEA</v>
      </c>
      <c r="S693" t="str">
        <f>_xlfn.XLOOKUP(Pipeline_tbl[[#This Row],[Created_Date]],Dim_Date!A:A,Dim_Date!H:H)</f>
        <v>Oct 2025</v>
      </c>
      <c r="T693" t="str">
        <f>IF(Pipeline_tbl[[#This Row],[Closed_Date]]=0,"",(_xlfn.XLOOKUP(Pipeline_tbl[[#This Row],[Closed_Date]],Dim_Date!A:A,Dim_Date!H:H)))</f>
        <v>Nov 2025</v>
      </c>
      <c r="U693">
        <f>IF(Pipeline_tbl[[#This Row],[Closed_Date]]=0,"",Pipeline_tbl[[#This Row],[Closed_Date]]-Pipeline_tbl[[#This Row],[Created_Date]])</f>
        <v>15</v>
      </c>
    </row>
    <row r="694" spans="1:21" ht="15" customHeight="1" x14ac:dyDescent="0.2">
      <c r="A694" t="s">
        <v>1000</v>
      </c>
      <c r="B694" t="s">
        <v>196</v>
      </c>
      <c r="C694" t="s">
        <v>53</v>
      </c>
      <c r="D694" s="49">
        <v>45961</v>
      </c>
      <c r="E694" s="49">
        <v>45963</v>
      </c>
      <c r="F694" s="49">
        <v>45967</v>
      </c>
      <c r="I694" s="49">
        <v>45980</v>
      </c>
      <c r="J694" t="s">
        <v>49</v>
      </c>
      <c r="K694" s="33">
        <v>3500</v>
      </c>
      <c r="L694" t="s">
        <v>62</v>
      </c>
      <c r="M694" t="str">
        <f>_xlfn.XLOOKUP(Pipeline_tbl[[#This Row],[Rep_ID]],Dim_Reps!A:A,Dim_Reps!K:K)</f>
        <v>EUR</v>
      </c>
      <c r="N694" s="33">
        <f>(_xlfn.XLOOKUP(Pipeline_tbl[[#This Row],[Rate_Code_Generalized]],Lookups!A:A,Lookups!B:B))*Pipeline_tbl[[#This Row],[Pipeline_Amount_USD]]</f>
        <v>3500</v>
      </c>
      <c r="O694" t="str">
        <f>_xlfn.XLOOKUP(Pipeline_tbl[[#This Row],[Rep_ID]],Dim_Reps!A:A,Dim_Reps!B:B)</f>
        <v>Alex Okafor</v>
      </c>
      <c r="P694" t="str">
        <f>_xlfn.XLOOKUP(Pipeline_tbl[[#This Row],[Rep_ID]],Dim_Reps!A:A,Dim_Reps!C:C)</f>
        <v>SDR / Inside Sales Rep</v>
      </c>
      <c r="Q694" t="str">
        <f>_xlfn.XLOOKUP(Pipeline_tbl[[#This Row],[Rep_ID]],Dim_Reps!A:A,Dim_Reps!D:D)</f>
        <v>Inside Sales</v>
      </c>
      <c r="R694" t="str">
        <f>_xlfn.XLOOKUP(Pipeline_tbl[[#This Row],[Rep_ID]],Dim_Reps!A:A,Dim_Reps!E:E)</f>
        <v>EMEA</v>
      </c>
      <c r="S694" t="str">
        <f>_xlfn.XLOOKUP(Pipeline_tbl[[#This Row],[Created_Date]],Dim_Date!A:A,Dim_Date!H:H)</f>
        <v>Oct 2025</v>
      </c>
      <c r="T694" t="str">
        <f>IF(Pipeline_tbl[[#This Row],[Closed_Date]]=0,"",(_xlfn.XLOOKUP(Pipeline_tbl[[#This Row],[Closed_Date]],Dim_Date!A:A,Dim_Date!H:H)))</f>
        <v>Nov 2025</v>
      </c>
      <c r="U694">
        <f>IF(Pipeline_tbl[[#This Row],[Closed_Date]]=0,"",Pipeline_tbl[[#This Row],[Closed_Date]]-Pipeline_tbl[[#This Row],[Created_Date]])</f>
        <v>19</v>
      </c>
    </row>
    <row r="695" spans="1:21" ht="15" customHeight="1" x14ac:dyDescent="0.2">
      <c r="A695" t="s">
        <v>1001</v>
      </c>
      <c r="B695" t="s">
        <v>196</v>
      </c>
      <c r="C695" t="s">
        <v>52</v>
      </c>
      <c r="D695" s="49">
        <v>45949</v>
      </c>
      <c r="E695" s="49">
        <v>45950</v>
      </c>
      <c r="F695" s="49">
        <v>45953</v>
      </c>
      <c r="G695" s="49">
        <v>45957</v>
      </c>
      <c r="H695" s="49">
        <v>45960</v>
      </c>
      <c r="I695" s="49">
        <v>45962</v>
      </c>
      <c r="J695" t="s">
        <v>47</v>
      </c>
      <c r="K695" s="33">
        <v>2200</v>
      </c>
      <c r="M695" t="str">
        <f>_xlfn.XLOOKUP(Pipeline_tbl[[#This Row],[Rep_ID]],Dim_Reps!A:A,Dim_Reps!K:K)</f>
        <v>EUR</v>
      </c>
      <c r="N695" s="33">
        <f>(_xlfn.XLOOKUP(Pipeline_tbl[[#This Row],[Rate_Code_Generalized]],Lookups!A:A,Lookups!B:B))*Pipeline_tbl[[#This Row],[Pipeline_Amount_USD]]</f>
        <v>2200</v>
      </c>
      <c r="O695" t="str">
        <f>_xlfn.XLOOKUP(Pipeline_tbl[[#This Row],[Rep_ID]],Dim_Reps!A:A,Dim_Reps!B:B)</f>
        <v>Alex Okafor</v>
      </c>
      <c r="P695" t="str">
        <f>_xlfn.XLOOKUP(Pipeline_tbl[[#This Row],[Rep_ID]],Dim_Reps!A:A,Dim_Reps!C:C)</f>
        <v>SDR / Inside Sales Rep</v>
      </c>
      <c r="Q695" t="str">
        <f>_xlfn.XLOOKUP(Pipeline_tbl[[#This Row],[Rep_ID]],Dim_Reps!A:A,Dim_Reps!D:D)</f>
        <v>Inside Sales</v>
      </c>
      <c r="R695" t="str">
        <f>_xlfn.XLOOKUP(Pipeline_tbl[[#This Row],[Rep_ID]],Dim_Reps!A:A,Dim_Reps!E:E)</f>
        <v>EMEA</v>
      </c>
      <c r="S695" t="str">
        <f>_xlfn.XLOOKUP(Pipeline_tbl[[#This Row],[Created_Date]],Dim_Date!A:A,Dim_Date!H:H)</f>
        <v>Oct 2025</v>
      </c>
      <c r="T695" t="str">
        <f>IF(Pipeline_tbl[[#This Row],[Closed_Date]]=0,"",(_xlfn.XLOOKUP(Pipeline_tbl[[#This Row],[Closed_Date]],Dim_Date!A:A,Dim_Date!H:H)))</f>
        <v>Nov 2025</v>
      </c>
      <c r="U695">
        <f>IF(Pipeline_tbl[[#This Row],[Closed_Date]]=0,"",Pipeline_tbl[[#This Row],[Closed_Date]]-Pipeline_tbl[[#This Row],[Created_Date]])</f>
        <v>13</v>
      </c>
    </row>
    <row r="696" spans="1:21" ht="15" customHeight="1" x14ac:dyDescent="0.2">
      <c r="A696" t="s">
        <v>1002</v>
      </c>
      <c r="B696" t="s">
        <v>199</v>
      </c>
      <c r="C696" t="s">
        <v>53</v>
      </c>
      <c r="D696" s="49">
        <v>45945</v>
      </c>
      <c r="E696" s="49">
        <v>45947</v>
      </c>
      <c r="F696" s="49">
        <v>45952</v>
      </c>
      <c r="G696" s="49">
        <v>45958</v>
      </c>
      <c r="H696" s="49">
        <v>45964</v>
      </c>
      <c r="I696" s="49">
        <v>45967</v>
      </c>
      <c r="J696" t="s">
        <v>49</v>
      </c>
      <c r="K696" s="33">
        <v>5200</v>
      </c>
      <c r="L696" t="s">
        <v>60</v>
      </c>
      <c r="M696" t="str">
        <f>_xlfn.XLOOKUP(Pipeline_tbl[[#This Row],[Rep_ID]],Dim_Reps!A:A,Dim_Reps!K:K)</f>
        <v>EUR</v>
      </c>
      <c r="N696" s="33">
        <f>(_xlfn.XLOOKUP(Pipeline_tbl[[#This Row],[Rate_Code_Generalized]],Lookups!A:A,Lookups!B:B))*Pipeline_tbl[[#This Row],[Pipeline_Amount_USD]]</f>
        <v>5200</v>
      </c>
      <c r="O696" t="str">
        <f>_xlfn.XLOOKUP(Pipeline_tbl[[#This Row],[Rep_ID]],Dim_Reps!A:A,Dim_Reps!B:B)</f>
        <v>Lucas Okafor</v>
      </c>
      <c r="P696" t="str">
        <f>_xlfn.XLOOKUP(Pipeline_tbl[[#This Row],[Rep_ID]],Dim_Reps!A:A,Dim_Reps!C:C)</f>
        <v>SDR / Inside Sales Rep</v>
      </c>
      <c r="Q696" t="str">
        <f>_xlfn.XLOOKUP(Pipeline_tbl[[#This Row],[Rep_ID]],Dim_Reps!A:A,Dim_Reps!D:D)</f>
        <v>Inside Sales</v>
      </c>
      <c r="R696" t="str">
        <f>_xlfn.XLOOKUP(Pipeline_tbl[[#This Row],[Rep_ID]],Dim_Reps!A:A,Dim_Reps!E:E)</f>
        <v>APAC</v>
      </c>
      <c r="S696" t="str">
        <f>_xlfn.XLOOKUP(Pipeline_tbl[[#This Row],[Created_Date]],Dim_Date!A:A,Dim_Date!H:H)</f>
        <v>Oct 2025</v>
      </c>
      <c r="T696" t="str">
        <f>IF(Pipeline_tbl[[#This Row],[Closed_Date]]=0,"",(_xlfn.XLOOKUP(Pipeline_tbl[[#This Row],[Closed_Date]],Dim_Date!A:A,Dim_Date!H:H)))</f>
        <v>Nov 2025</v>
      </c>
      <c r="U696">
        <f>IF(Pipeline_tbl[[#This Row],[Closed_Date]]=0,"",Pipeline_tbl[[#This Row],[Closed_Date]]-Pipeline_tbl[[#This Row],[Created_Date]])</f>
        <v>22</v>
      </c>
    </row>
    <row r="697" spans="1:21" ht="15" customHeight="1" x14ac:dyDescent="0.2">
      <c r="A697" t="s">
        <v>1003</v>
      </c>
      <c r="B697" t="s">
        <v>199</v>
      </c>
      <c r="C697" t="s">
        <v>52</v>
      </c>
      <c r="D697" s="49">
        <v>45958</v>
      </c>
      <c r="E697" s="49">
        <v>45960</v>
      </c>
      <c r="F697" s="49">
        <v>45963</v>
      </c>
      <c r="G697" s="49">
        <v>45968</v>
      </c>
      <c r="I697" s="49">
        <v>45974</v>
      </c>
      <c r="J697" t="s">
        <v>49</v>
      </c>
      <c r="K697" s="33">
        <v>3400</v>
      </c>
      <c r="L697" t="s">
        <v>62</v>
      </c>
      <c r="M697" t="str">
        <f>_xlfn.XLOOKUP(Pipeline_tbl[[#This Row],[Rep_ID]],Dim_Reps!A:A,Dim_Reps!K:K)</f>
        <v>EUR</v>
      </c>
      <c r="N697" s="33">
        <f>(_xlfn.XLOOKUP(Pipeline_tbl[[#This Row],[Rate_Code_Generalized]],Lookups!A:A,Lookups!B:B))*Pipeline_tbl[[#This Row],[Pipeline_Amount_USD]]</f>
        <v>3400</v>
      </c>
      <c r="O697" t="str">
        <f>_xlfn.XLOOKUP(Pipeline_tbl[[#This Row],[Rep_ID]],Dim_Reps!A:A,Dim_Reps!B:B)</f>
        <v>Lucas Okafor</v>
      </c>
      <c r="P697" t="str">
        <f>_xlfn.XLOOKUP(Pipeline_tbl[[#This Row],[Rep_ID]],Dim_Reps!A:A,Dim_Reps!C:C)</f>
        <v>SDR / Inside Sales Rep</v>
      </c>
      <c r="Q697" t="str">
        <f>_xlfn.XLOOKUP(Pipeline_tbl[[#This Row],[Rep_ID]],Dim_Reps!A:A,Dim_Reps!D:D)</f>
        <v>Inside Sales</v>
      </c>
      <c r="R697" t="str">
        <f>_xlfn.XLOOKUP(Pipeline_tbl[[#This Row],[Rep_ID]],Dim_Reps!A:A,Dim_Reps!E:E)</f>
        <v>APAC</v>
      </c>
      <c r="S697" t="str">
        <f>_xlfn.XLOOKUP(Pipeline_tbl[[#This Row],[Created_Date]],Dim_Date!A:A,Dim_Date!H:H)</f>
        <v>Oct 2025</v>
      </c>
      <c r="T697" t="str">
        <f>IF(Pipeline_tbl[[#This Row],[Closed_Date]]=0,"",(_xlfn.XLOOKUP(Pipeline_tbl[[#This Row],[Closed_Date]],Dim_Date!A:A,Dim_Date!H:H)))</f>
        <v>Nov 2025</v>
      </c>
      <c r="U697">
        <f>IF(Pipeline_tbl[[#This Row],[Closed_Date]]=0,"",Pipeline_tbl[[#This Row],[Closed_Date]]-Pipeline_tbl[[#This Row],[Created_Date]])</f>
        <v>16</v>
      </c>
    </row>
    <row r="698" spans="1:21" ht="15" customHeight="1" x14ac:dyDescent="0.2">
      <c r="A698" t="s">
        <v>1004</v>
      </c>
      <c r="B698" t="s">
        <v>199</v>
      </c>
      <c r="C698" t="s">
        <v>55</v>
      </c>
      <c r="D698" s="49">
        <v>45949</v>
      </c>
      <c r="E698" s="49">
        <v>45951</v>
      </c>
      <c r="F698" s="49">
        <v>45954</v>
      </c>
      <c r="G698" s="49">
        <v>45959</v>
      </c>
      <c r="H698" s="49">
        <v>45963</v>
      </c>
      <c r="I698" s="49">
        <v>45965</v>
      </c>
      <c r="J698" t="s">
        <v>49</v>
      </c>
      <c r="K698" s="33">
        <v>3000</v>
      </c>
      <c r="L698" t="s">
        <v>60</v>
      </c>
      <c r="M698" t="str">
        <f>_xlfn.XLOOKUP(Pipeline_tbl[[#This Row],[Rep_ID]],Dim_Reps!A:A,Dim_Reps!K:K)</f>
        <v>EUR</v>
      </c>
      <c r="N698" s="33">
        <f>(_xlfn.XLOOKUP(Pipeline_tbl[[#This Row],[Rate_Code_Generalized]],Lookups!A:A,Lookups!B:B))*Pipeline_tbl[[#This Row],[Pipeline_Amount_USD]]</f>
        <v>3000</v>
      </c>
      <c r="O698" t="str">
        <f>_xlfn.XLOOKUP(Pipeline_tbl[[#This Row],[Rep_ID]],Dim_Reps!A:A,Dim_Reps!B:B)</f>
        <v>Lucas Okafor</v>
      </c>
      <c r="P698" t="str">
        <f>_xlfn.XLOOKUP(Pipeline_tbl[[#This Row],[Rep_ID]],Dim_Reps!A:A,Dim_Reps!C:C)</f>
        <v>SDR / Inside Sales Rep</v>
      </c>
      <c r="Q698" t="str">
        <f>_xlfn.XLOOKUP(Pipeline_tbl[[#This Row],[Rep_ID]],Dim_Reps!A:A,Dim_Reps!D:D)</f>
        <v>Inside Sales</v>
      </c>
      <c r="R698" t="str">
        <f>_xlfn.XLOOKUP(Pipeline_tbl[[#This Row],[Rep_ID]],Dim_Reps!A:A,Dim_Reps!E:E)</f>
        <v>APAC</v>
      </c>
      <c r="S698" t="str">
        <f>_xlfn.XLOOKUP(Pipeline_tbl[[#This Row],[Created_Date]],Dim_Date!A:A,Dim_Date!H:H)</f>
        <v>Oct 2025</v>
      </c>
      <c r="T698" t="str">
        <f>IF(Pipeline_tbl[[#This Row],[Closed_Date]]=0,"",(_xlfn.XLOOKUP(Pipeline_tbl[[#This Row],[Closed_Date]],Dim_Date!A:A,Dim_Date!H:H)))</f>
        <v>Nov 2025</v>
      </c>
      <c r="U698">
        <f>IF(Pipeline_tbl[[#This Row],[Closed_Date]]=0,"",Pipeline_tbl[[#This Row],[Closed_Date]]-Pipeline_tbl[[#This Row],[Created_Date]])</f>
        <v>16</v>
      </c>
    </row>
    <row r="699" spans="1:21" ht="15" customHeight="1" x14ac:dyDescent="0.2">
      <c r="A699" t="s">
        <v>1005</v>
      </c>
      <c r="B699" t="s">
        <v>199</v>
      </c>
      <c r="C699" t="s">
        <v>55</v>
      </c>
      <c r="D699" s="49">
        <v>45944</v>
      </c>
      <c r="E699" s="49">
        <v>45946</v>
      </c>
      <c r="F699" s="49">
        <v>45949</v>
      </c>
      <c r="G699" s="49">
        <v>45955</v>
      </c>
      <c r="H699" s="49">
        <v>45959</v>
      </c>
      <c r="I699" s="49">
        <v>45962</v>
      </c>
      <c r="J699" t="s">
        <v>47</v>
      </c>
      <c r="K699" s="33">
        <v>4200</v>
      </c>
      <c r="M699" t="str">
        <f>_xlfn.XLOOKUP(Pipeline_tbl[[#This Row],[Rep_ID]],Dim_Reps!A:A,Dim_Reps!K:K)</f>
        <v>EUR</v>
      </c>
      <c r="N699" s="33">
        <f>(_xlfn.XLOOKUP(Pipeline_tbl[[#This Row],[Rate_Code_Generalized]],Lookups!A:A,Lookups!B:B))*Pipeline_tbl[[#This Row],[Pipeline_Amount_USD]]</f>
        <v>4200</v>
      </c>
      <c r="O699" t="str">
        <f>_xlfn.XLOOKUP(Pipeline_tbl[[#This Row],[Rep_ID]],Dim_Reps!A:A,Dim_Reps!B:B)</f>
        <v>Lucas Okafor</v>
      </c>
      <c r="P699" t="str">
        <f>_xlfn.XLOOKUP(Pipeline_tbl[[#This Row],[Rep_ID]],Dim_Reps!A:A,Dim_Reps!C:C)</f>
        <v>SDR / Inside Sales Rep</v>
      </c>
      <c r="Q699" t="str">
        <f>_xlfn.XLOOKUP(Pipeline_tbl[[#This Row],[Rep_ID]],Dim_Reps!A:A,Dim_Reps!D:D)</f>
        <v>Inside Sales</v>
      </c>
      <c r="R699" t="str">
        <f>_xlfn.XLOOKUP(Pipeline_tbl[[#This Row],[Rep_ID]],Dim_Reps!A:A,Dim_Reps!E:E)</f>
        <v>APAC</v>
      </c>
      <c r="S699" t="str">
        <f>_xlfn.XLOOKUP(Pipeline_tbl[[#This Row],[Created_Date]],Dim_Date!A:A,Dim_Date!H:H)</f>
        <v>Oct 2025</v>
      </c>
      <c r="T699" t="str">
        <f>IF(Pipeline_tbl[[#This Row],[Closed_Date]]=0,"",(_xlfn.XLOOKUP(Pipeline_tbl[[#This Row],[Closed_Date]],Dim_Date!A:A,Dim_Date!H:H)))</f>
        <v>Nov 2025</v>
      </c>
      <c r="U699">
        <f>IF(Pipeline_tbl[[#This Row],[Closed_Date]]=0,"",Pipeline_tbl[[#This Row],[Closed_Date]]-Pipeline_tbl[[#This Row],[Created_Date]])</f>
        <v>18</v>
      </c>
    </row>
    <row r="700" spans="1:21" ht="15" customHeight="1" x14ac:dyDescent="0.2">
      <c r="A700" t="s">
        <v>1006</v>
      </c>
      <c r="B700" t="s">
        <v>199</v>
      </c>
      <c r="C700" t="s">
        <v>52</v>
      </c>
      <c r="D700" s="49">
        <v>45940</v>
      </c>
      <c r="E700" s="49">
        <v>45942</v>
      </c>
      <c r="F700" s="49">
        <v>45947</v>
      </c>
      <c r="G700" s="49">
        <v>45954</v>
      </c>
      <c r="I700" s="49">
        <v>45964</v>
      </c>
      <c r="J700" t="s">
        <v>49</v>
      </c>
      <c r="K700" s="33">
        <v>1900</v>
      </c>
      <c r="L700" t="s">
        <v>60</v>
      </c>
      <c r="M700" t="str">
        <f>_xlfn.XLOOKUP(Pipeline_tbl[[#This Row],[Rep_ID]],Dim_Reps!A:A,Dim_Reps!K:K)</f>
        <v>EUR</v>
      </c>
      <c r="N700" s="33">
        <f>(_xlfn.XLOOKUP(Pipeline_tbl[[#This Row],[Rate_Code_Generalized]],Lookups!A:A,Lookups!B:B))*Pipeline_tbl[[#This Row],[Pipeline_Amount_USD]]</f>
        <v>1900</v>
      </c>
      <c r="O700" t="str">
        <f>_xlfn.XLOOKUP(Pipeline_tbl[[#This Row],[Rep_ID]],Dim_Reps!A:A,Dim_Reps!B:B)</f>
        <v>Lucas Okafor</v>
      </c>
      <c r="P700" t="str">
        <f>_xlfn.XLOOKUP(Pipeline_tbl[[#This Row],[Rep_ID]],Dim_Reps!A:A,Dim_Reps!C:C)</f>
        <v>SDR / Inside Sales Rep</v>
      </c>
      <c r="Q700" t="str">
        <f>_xlfn.XLOOKUP(Pipeline_tbl[[#This Row],[Rep_ID]],Dim_Reps!A:A,Dim_Reps!D:D)</f>
        <v>Inside Sales</v>
      </c>
      <c r="R700" t="str">
        <f>_xlfn.XLOOKUP(Pipeline_tbl[[#This Row],[Rep_ID]],Dim_Reps!A:A,Dim_Reps!E:E)</f>
        <v>APAC</v>
      </c>
      <c r="S700" t="str">
        <f>_xlfn.XLOOKUP(Pipeline_tbl[[#This Row],[Created_Date]],Dim_Date!A:A,Dim_Date!H:H)</f>
        <v>Oct 2025</v>
      </c>
      <c r="T700" t="str">
        <f>IF(Pipeline_tbl[[#This Row],[Closed_Date]]=0,"",(_xlfn.XLOOKUP(Pipeline_tbl[[#This Row],[Closed_Date]],Dim_Date!A:A,Dim_Date!H:H)))</f>
        <v>Nov 2025</v>
      </c>
      <c r="U700">
        <f>IF(Pipeline_tbl[[#This Row],[Closed_Date]]=0,"",Pipeline_tbl[[#This Row],[Closed_Date]]-Pipeline_tbl[[#This Row],[Created_Date]])</f>
        <v>24</v>
      </c>
    </row>
    <row r="701" spans="1:21" ht="15" customHeight="1" x14ac:dyDescent="0.2">
      <c r="A701" t="s">
        <v>1007</v>
      </c>
      <c r="B701" t="s">
        <v>199</v>
      </c>
      <c r="C701" t="s">
        <v>53</v>
      </c>
      <c r="D701" s="49">
        <v>45949</v>
      </c>
      <c r="E701" s="49">
        <v>45951</v>
      </c>
      <c r="F701" s="49">
        <v>45956</v>
      </c>
      <c r="G701" s="49">
        <v>45962</v>
      </c>
      <c r="H701" s="49">
        <v>45968</v>
      </c>
      <c r="I701" s="49">
        <v>45971</v>
      </c>
      <c r="J701" t="s">
        <v>47</v>
      </c>
      <c r="K701" s="33">
        <v>2000</v>
      </c>
      <c r="M701" t="str">
        <f>_xlfn.XLOOKUP(Pipeline_tbl[[#This Row],[Rep_ID]],Dim_Reps!A:A,Dim_Reps!K:K)</f>
        <v>EUR</v>
      </c>
      <c r="N701" s="33">
        <f>(_xlfn.XLOOKUP(Pipeline_tbl[[#This Row],[Rate_Code_Generalized]],Lookups!A:A,Lookups!B:B))*Pipeline_tbl[[#This Row],[Pipeline_Amount_USD]]</f>
        <v>2000</v>
      </c>
      <c r="O701" t="str">
        <f>_xlfn.XLOOKUP(Pipeline_tbl[[#This Row],[Rep_ID]],Dim_Reps!A:A,Dim_Reps!B:B)</f>
        <v>Lucas Okafor</v>
      </c>
      <c r="P701" t="str">
        <f>_xlfn.XLOOKUP(Pipeline_tbl[[#This Row],[Rep_ID]],Dim_Reps!A:A,Dim_Reps!C:C)</f>
        <v>SDR / Inside Sales Rep</v>
      </c>
      <c r="Q701" t="str">
        <f>_xlfn.XLOOKUP(Pipeline_tbl[[#This Row],[Rep_ID]],Dim_Reps!A:A,Dim_Reps!D:D)</f>
        <v>Inside Sales</v>
      </c>
      <c r="R701" t="str">
        <f>_xlfn.XLOOKUP(Pipeline_tbl[[#This Row],[Rep_ID]],Dim_Reps!A:A,Dim_Reps!E:E)</f>
        <v>APAC</v>
      </c>
      <c r="S701" t="str">
        <f>_xlfn.XLOOKUP(Pipeline_tbl[[#This Row],[Created_Date]],Dim_Date!A:A,Dim_Date!H:H)</f>
        <v>Oct 2025</v>
      </c>
      <c r="T701" t="str">
        <f>IF(Pipeline_tbl[[#This Row],[Closed_Date]]=0,"",(_xlfn.XLOOKUP(Pipeline_tbl[[#This Row],[Closed_Date]],Dim_Date!A:A,Dim_Date!H:H)))</f>
        <v>Nov 2025</v>
      </c>
      <c r="U701">
        <f>IF(Pipeline_tbl[[#This Row],[Closed_Date]]=0,"",Pipeline_tbl[[#This Row],[Closed_Date]]-Pipeline_tbl[[#This Row],[Created_Date]])</f>
        <v>22</v>
      </c>
    </row>
    <row r="702" spans="1:21" ht="15" customHeight="1" x14ac:dyDescent="0.2">
      <c r="A702" t="s">
        <v>1008</v>
      </c>
      <c r="B702" t="s">
        <v>199</v>
      </c>
      <c r="C702" t="s">
        <v>55</v>
      </c>
      <c r="D702" s="49">
        <v>45950</v>
      </c>
      <c r="E702" s="49">
        <v>45952</v>
      </c>
      <c r="F702" s="49">
        <v>45955</v>
      </c>
      <c r="G702" s="49">
        <v>45959</v>
      </c>
      <c r="H702" s="49">
        <v>45963</v>
      </c>
      <c r="I702" s="49">
        <v>45965</v>
      </c>
      <c r="J702" t="s">
        <v>49</v>
      </c>
      <c r="K702" s="33">
        <v>4400</v>
      </c>
      <c r="L702" t="s">
        <v>62</v>
      </c>
      <c r="M702" t="str">
        <f>_xlfn.XLOOKUP(Pipeline_tbl[[#This Row],[Rep_ID]],Dim_Reps!A:A,Dim_Reps!K:K)</f>
        <v>EUR</v>
      </c>
      <c r="N702" s="33">
        <f>(_xlfn.XLOOKUP(Pipeline_tbl[[#This Row],[Rate_Code_Generalized]],Lookups!A:A,Lookups!B:B))*Pipeline_tbl[[#This Row],[Pipeline_Amount_USD]]</f>
        <v>4400</v>
      </c>
      <c r="O702" t="str">
        <f>_xlfn.XLOOKUP(Pipeline_tbl[[#This Row],[Rep_ID]],Dim_Reps!A:A,Dim_Reps!B:B)</f>
        <v>Lucas Okafor</v>
      </c>
      <c r="P702" t="str">
        <f>_xlfn.XLOOKUP(Pipeline_tbl[[#This Row],[Rep_ID]],Dim_Reps!A:A,Dim_Reps!C:C)</f>
        <v>SDR / Inside Sales Rep</v>
      </c>
      <c r="Q702" t="str">
        <f>_xlfn.XLOOKUP(Pipeline_tbl[[#This Row],[Rep_ID]],Dim_Reps!A:A,Dim_Reps!D:D)</f>
        <v>Inside Sales</v>
      </c>
      <c r="R702" t="str">
        <f>_xlfn.XLOOKUP(Pipeline_tbl[[#This Row],[Rep_ID]],Dim_Reps!A:A,Dim_Reps!E:E)</f>
        <v>APAC</v>
      </c>
      <c r="S702" t="str">
        <f>_xlfn.XLOOKUP(Pipeline_tbl[[#This Row],[Created_Date]],Dim_Date!A:A,Dim_Date!H:H)</f>
        <v>Oct 2025</v>
      </c>
      <c r="T702" t="str">
        <f>IF(Pipeline_tbl[[#This Row],[Closed_Date]]=0,"",(_xlfn.XLOOKUP(Pipeline_tbl[[#This Row],[Closed_Date]],Dim_Date!A:A,Dim_Date!H:H)))</f>
        <v>Nov 2025</v>
      </c>
      <c r="U702">
        <f>IF(Pipeline_tbl[[#This Row],[Closed_Date]]=0,"",Pipeline_tbl[[#This Row],[Closed_Date]]-Pipeline_tbl[[#This Row],[Created_Date]])</f>
        <v>15</v>
      </c>
    </row>
    <row r="703" spans="1:21" ht="15" customHeight="1" x14ac:dyDescent="0.2">
      <c r="A703" t="s">
        <v>1009</v>
      </c>
      <c r="B703" t="s">
        <v>199</v>
      </c>
      <c r="C703" t="s">
        <v>52</v>
      </c>
      <c r="D703" s="49">
        <v>45950</v>
      </c>
      <c r="E703" s="49">
        <v>45952</v>
      </c>
      <c r="F703" s="49">
        <v>45955</v>
      </c>
      <c r="G703" s="49">
        <v>45960</v>
      </c>
      <c r="H703" s="49">
        <v>45964</v>
      </c>
      <c r="I703" s="49">
        <v>45967</v>
      </c>
      <c r="J703" t="s">
        <v>47</v>
      </c>
      <c r="K703" s="33">
        <v>4400</v>
      </c>
      <c r="M703" t="str">
        <f>_xlfn.XLOOKUP(Pipeline_tbl[[#This Row],[Rep_ID]],Dim_Reps!A:A,Dim_Reps!K:K)</f>
        <v>EUR</v>
      </c>
      <c r="N703" s="33">
        <f>(_xlfn.XLOOKUP(Pipeline_tbl[[#This Row],[Rate_Code_Generalized]],Lookups!A:A,Lookups!B:B))*Pipeline_tbl[[#This Row],[Pipeline_Amount_USD]]</f>
        <v>4400</v>
      </c>
      <c r="O703" t="str">
        <f>_xlfn.XLOOKUP(Pipeline_tbl[[#This Row],[Rep_ID]],Dim_Reps!A:A,Dim_Reps!B:B)</f>
        <v>Lucas Okafor</v>
      </c>
      <c r="P703" t="str">
        <f>_xlfn.XLOOKUP(Pipeline_tbl[[#This Row],[Rep_ID]],Dim_Reps!A:A,Dim_Reps!C:C)</f>
        <v>SDR / Inside Sales Rep</v>
      </c>
      <c r="Q703" t="str">
        <f>_xlfn.XLOOKUP(Pipeline_tbl[[#This Row],[Rep_ID]],Dim_Reps!A:A,Dim_Reps!D:D)</f>
        <v>Inside Sales</v>
      </c>
      <c r="R703" t="str">
        <f>_xlfn.XLOOKUP(Pipeline_tbl[[#This Row],[Rep_ID]],Dim_Reps!A:A,Dim_Reps!E:E)</f>
        <v>APAC</v>
      </c>
      <c r="S703" t="str">
        <f>_xlfn.XLOOKUP(Pipeline_tbl[[#This Row],[Created_Date]],Dim_Date!A:A,Dim_Date!H:H)</f>
        <v>Oct 2025</v>
      </c>
      <c r="T703" t="str">
        <f>IF(Pipeline_tbl[[#This Row],[Closed_Date]]=0,"",(_xlfn.XLOOKUP(Pipeline_tbl[[#This Row],[Closed_Date]],Dim_Date!A:A,Dim_Date!H:H)))</f>
        <v>Nov 2025</v>
      </c>
      <c r="U703">
        <f>IF(Pipeline_tbl[[#This Row],[Closed_Date]]=0,"",Pipeline_tbl[[#This Row],[Closed_Date]]-Pipeline_tbl[[#This Row],[Created_Date]])</f>
        <v>17</v>
      </c>
    </row>
    <row r="704" spans="1:21" ht="15" customHeight="1" x14ac:dyDescent="0.2">
      <c r="A704" t="s">
        <v>1010</v>
      </c>
      <c r="B704" t="s">
        <v>199</v>
      </c>
      <c r="C704" t="s">
        <v>55</v>
      </c>
      <c r="D704" s="49">
        <v>45961</v>
      </c>
      <c r="E704" s="49">
        <v>45963</v>
      </c>
      <c r="F704" s="49">
        <v>45968</v>
      </c>
      <c r="G704" s="49">
        <v>45974</v>
      </c>
      <c r="H704" s="49">
        <v>45980</v>
      </c>
      <c r="I704" s="49">
        <v>45983</v>
      </c>
      <c r="J704" t="s">
        <v>47</v>
      </c>
      <c r="K704" s="33">
        <v>3000</v>
      </c>
      <c r="M704" t="str">
        <f>_xlfn.XLOOKUP(Pipeline_tbl[[#This Row],[Rep_ID]],Dim_Reps!A:A,Dim_Reps!K:K)</f>
        <v>EUR</v>
      </c>
      <c r="N704" s="33">
        <f>(_xlfn.XLOOKUP(Pipeline_tbl[[#This Row],[Rate_Code_Generalized]],Lookups!A:A,Lookups!B:B))*Pipeline_tbl[[#This Row],[Pipeline_Amount_USD]]</f>
        <v>3000</v>
      </c>
      <c r="O704" t="str">
        <f>_xlfn.XLOOKUP(Pipeline_tbl[[#This Row],[Rep_ID]],Dim_Reps!A:A,Dim_Reps!B:B)</f>
        <v>Lucas Okafor</v>
      </c>
      <c r="P704" t="str">
        <f>_xlfn.XLOOKUP(Pipeline_tbl[[#This Row],[Rep_ID]],Dim_Reps!A:A,Dim_Reps!C:C)</f>
        <v>SDR / Inside Sales Rep</v>
      </c>
      <c r="Q704" t="str">
        <f>_xlfn.XLOOKUP(Pipeline_tbl[[#This Row],[Rep_ID]],Dim_Reps!A:A,Dim_Reps!D:D)</f>
        <v>Inside Sales</v>
      </c>
      <c r="R704" t="str">
        <f>_xlfn.XLOOKUP(Pipeline_tbl[[#This Row],[Rep_ID]],Dim_Reps!A:A,Dim_Reps!E:E)</f>
        <v>APAC</v>
      </c>
      <c r="S704" t="str">
        <f>_xlfn.XLOOKUP(Pipeline_tbl[[#This Row],[Created_Date]],Dim_Date!A:A,Dim_Date!H:H)</f>
        <v>Oct 2025</v>
      </c>
      <c r="T704" t="str">
        <f>IF(Pipeline_tbl[[#This Row],[Closed_Date]]=0,"",(_xlfn.XLOOKUP(Pipeline_tbl[[#This Row],[Closed_Date]],Dim_Date!A:A,Dim_Date!H:H)))</f>
        <v>Nov 2025</v>
      </c>
      <c r="U704">
        <f>IF(Pipeline_tbl[[#This Row],[Closed_Date]]=0,"",Pipeline_tbl[[#This Row],[Closed_Date]]-Pipeline_tbl[[#This Row],[Created_Date]])</f>
        <v>22</v>
      </c>
    </row>
    <row r="705" spans="1:21" ht="15" customHeight="1" x14ac:dyDescent="0.2">
      <c r="A705" t="s">
        <v>1011</v>
      </c>
      <c r="B705" t="s">
        <v>199</v>
      </c>
      <c r="C705" t="s">
        <v>54</v>
      </c>
      <c r="D705" s="49">
        <v>45954</v>
      </c>
      <c r="E705" s="49">
        <v>45955</v>
      </c>
      <c r="F705" s="49">
        <v>45958</v>
      </c>
      <c r="G705" s="49">
        <v>45962</v>
      </c>
      <c r="H705" s="49">
        <v>45966</v>
      </c>
      <c r="I705" s="49">
        <v>45968</v>
      </c>
      <c r="J705" t="s">
        <v>49</v>
      </c>
      <c r="K705" s="33">
        <v>5600</v>
      </c>
      <c r="L705" t="s">
        <v>61</v>
      </c>
      <c r="M705" t="str">
        <f>_xlfn.XLOOKUP(Pipeline_tbl[[#This Row],[Rep_ID]],Dim_Reps!A:A,Dim_Reps!K:K)</f>
        <v>EUR</v>
      </c>
      <c r="N705" s="33">
        <f>(_xlfn.XLOOKUP(Pipeline_tbl[[#This Row],[Rate_Code_Generalized]],Lookups!A:A,Lookups!B:B))*Pipeline_tbl[[#This Row],[Pipeline_Amount_USD]]</f>
        <v>5600</v>
      </c>
      <c r="O705" t="str">
        <f>_xlfn.XLOOKUP(Pipeline_tbl[[#This Row],[Rep_ID]],Dim_Reps!A:A,Dim_Reps!B:B)</f>
        <v>Lucas Okafor</v>
      </c>
      <c r="P705" t="str">
        <f>_xlfn.XLOOKUP(Pipeline_tbl[[#This Row],[Rep_ID]],Dim_Reps!A:A,Dim_Reps!C:C)</f>
        <v>SDR / Inside Sales Rep</v>
      </c>
      <c r="Q705" t="str">
        <f>_xlfn.XLOOKUP(Pipeline_tbl[[#This Row],[Rep_ID]],Dim_Reps!A:A,Dim_Reps!D:D)</f>
        <v>Inside Sales</v>
      </c>
      <c r="R705" t="str">
        <f>_xlfn.XLOOKUP(Pipeline_tbl[[#This Row],[Rep_ID]],Dim_Reps!A:A,Dim_Reps!E:E)</f>
        <v>APAC</v>
      </c>
      <c r="S705" t="str">
        <f>_xlfn.XLOOKUP(Pipeline_tbl[[#This Row],[Created_Date]],Dim_Date!A:A,Dim_Date!H:H)</f>
        <v>Oct 2025</v>
      </c>
      <c r="T705" t="str">
        <f>IF(Pipeline_tbl[[#This Row],[Closed_Date]]=0,"",(_xlfn.XLOOKUP(Pipeline_tbl[[#This Row],[Closed_Date]],Dim_Date!A:A,Dim_Date!H:H)))</f>
        <v>Nov 2025</v>
      </c>
      <c r="U705">
        <f>IF(Pipeline_tbl[[#This Row],[Closed_Date]]=0,"",Pipeline_tbl[[#This Row],[Closed_Date]]-Pipeline_tbl[[#This Row],[Created_Date]])</f>
        <v>14</v>
      </c>
    </row>
    <row r="706" spans="1:21" ht="15" customHeight="1" x14ac:dyDescent="0.2">
      <c r="A706" t="s">
        <v>1012</v>
      </c>
      <c r="B706" t="s">
        <v>199</v>
      </c>
      <c r="C706" t="s">
        <v>53</v>
      </c>
      <c r="D706" s="49">
        <v>45961</v>
      </c>
      <c r="E706" s="49">
        <v>45963</v>
      </c>
      <c r="F706" s="49">
        <v>45968</v>
      </c>
      <c r="I706" s="49">
        <v>45985</v>
      </c>
      <c r="J706" t="s">
        <v>49</v>
      </c>
      <c r="K706" s="33">
        <v>2800</v>
      </c>
      <c r="L706" t="s">
        <v>62</v>
      </c>
      <c r="M706" t="str">
        <f>_xlfn.XLOOKUP(Pipeline_tbl[[#This Row],[Rep_ID]],Dim_Reps!A:A,Dim_Reps!K:K)</f>
        <v>EUR</v>
      </c>
      <c r="N706" s="33">
        <f>(_xlfn.XLOOKUP(Pipeline_tbl[[#This Row],[Rate_Code_Generalized]],Lookups!A:A,Lookups!B:B))*Pipeline_tbl[[#This Row],[Pipeline_Amount_USD]]</f>
        <v>2800</v>
      </c>
      <c r="O706" t="str">
        <f>_xlfn.XLOOKUP(Pipeline_tbl[[#This Row],[Rep_ID]],Dim_Reps!A:A,Dim_Reps!B:B)</f>
        <v>Lucas Okafor</v>
      </c>
      <c r="P706" t="str">
        <f>_xlfn.XLOOKUP(Pipeline_tbl[[#This Row],[Rep_ID]],Dim_Reps!A:A,Dim_Reps!C:C)</f>
        <v>SDR / Inside Sales Rep</v>
      </c>
      <c r="Q706" t="str">
        <f>_xlfn.XLOOKUP(Pipeline_tbl[[#This Row],[Rep_ID]],Dim_Reps!A:A,Dim_Reps!D:D)</f>
        <v>Inside Sales</v>
      </c>
      <c r="R706" t="str">
        <f>_xlfn.XLOOKUP(Pipeline_tbl[[#This Row],[Rep_ID]],Dim_Reps!A:A,Dim_Reps!E:E)</f>
        <v>APAC</v>
      </c>
      <c r="S706" t="str">
        <f>_xlfn.XLOOKUP(Pipeline_tbl[[#This Row],[Created_Date]],Dim_Date!A:A,Dim_Date!H:H)</f>
        <v>Oct 2025</v>
      </c>
      <c r="T706" t="str">
        <f>IF(Pipeline_tbl[[#This Row],[Closed_Date]]=0,"",(_xlfn.XLOOKUP(Pipeline_tbl[[#This Row],[Closed_Date]],Dim_Date!A:A,Dim_Date!H:H)))</f>
        <v>Nov 2025</v>
      </c>
      <c r="U706">
        <f>IF(Pipeline_tbl[[#This Row],[Closed_Date]]=0,"",Pipeline_tbl[[#This Row],[Closed_Date]]-Pipeline_tbl[[#This Row],[Created_Date]])</f>
        <v>24</v>
      </c>
    </row>
    <row r="707" spans="1:21" ht="15" customHeight="1" x14ac:dyDescent="0.2">
      <c r="A707" t="s">
        <v>1013</v>
      </c>
      <c r="B707" t="s">
        <v>199</v>
      </c>
      <c r="C707" t="s">
        <v>52</v>
      </c>
      <c r="D707" s="49">
        <v>45955</v>
      </c>
      <c r="E707" s="49">
        <v>45957</v>
      </c>
      <c r="I707" s="49">
        <v>45974</v>
      </c>
      <c r="J707" t="s">
        <v>49</v>
      </c>
      <c r="K707" s="33">
        <v>3700</v>
      </c>
      <c r="L707" t="s">
        <v>62</v>
      </c>
      <c r="M707" t="str">
        <f>_xlfn.XLOOKUP(Pipeline_tbl[[#This Row],[Rep_ID]],Dim_Reps!A:A,Dim_Reps!K:K)</f>
        <v>EUR</v>
      </c>
      <c r="N707" s="33">
        <f>(_xlfn.XLOOKUP(Pipeline_tbl[[#This Row],[Rate_Code_Generalized]],Lookups!A:A,Lookups!B:B))*Pipeline_tbl[[#This Row],[Pipeline_Amount_USD]]</f>
        <v>3700</v>
      </c>
      <c r="O707" t="str">
        <f>_xlfn.XLOOKUP(Pipeline_tbl[[#This Row],[Rep_ID]],Dim_Reps!A:A,Dim_Reps!B:B)</f>
        <v>Lucas Okafor</v>
      </c>
      <c r="P707" t="str">
        <f>_xlfn.XLOOKUP(Pipeline_tbl[[#This Row],[Rep_ID]],Dim_Reps!A:A,Dim_Reps!C:C)</f>
        <v>SDR / Inside Sales Rep</v>
      </c>
      <c r="Q707" t="str">
        <f>_xlfn.XLOOKUP(Pipeline_tbl[[#This Row],[Rep_ID]],Dim_Reps!A:A,Dim_Reps!D:D)</f>
        <v>Inside Sales</v>
      </c>
      <c r="R707" t="str">
        <f>_xlfn.XLOOKUP(Pipeline_tbl[[#This Row],[Rep_ID]],Dim_Reps!A:A,Dim_Reps!E:E)</f>
        <v>APAC</v>
      </c>
      <c r="S707" t="str">
        <f>_xlfn.XLOOKUP(Pipeline_tbl[[#This Row],[Created_Date]],Dim_Date!A:A,Dim_Date!H:H)</f>
        <v>Oct 2025</v>
      </c>
      <c r="T707" t="str">
        <f>IF(Pipeline_tbl[[#This Row],[Closed_Date]]=0,"",(_xlfn.XLOOKUP(Pipeline_tbl[[#This Row],[Closed_Date]],Dim_Date!A:A,Dim_Date!H:H)))</f>
        <v>Nov 2025</v>
      </c>
      <c r="U707">
        <f>IF(Pipeline_tbl[[#This Row],[Closed_Date]]=0,"",Pipeline_tbl[[#This Row],[Closed_Date]]-Pipeline_tbl[[#This Row],[Created_Date]])</f>
        <v>19</v>
      </c>
    </row>
    <row r="708" spans="1:21" ht="15" customHeight="1" x14ac:dyDescent="0.2">
      <c r="A708" t="s">
        <v>1014</v>
      </c>
      <c r="B708" t="s">
        <v>199</v>
      </c>
      <c r="C708" t="s">
        <v>52</v>
      </c>
      <c r="D708" s="49">
        <v>45937</v>
      </c>
      <c r="E708" s="49">
        <v>45940</v>
      </c>
      <c r="F708" s="49">
        <v>45945</v>
      </c>
      <c r="G708" s="49">
        <v>45953</v>
      </c>
      <c r="H708" s="49">
        <v>45960</v>
      </c>
      <c r="I708" s="49">
        <v>45964</v>
      </c>
      <c r="J708" t="s">
        <v>49</v>
      </c>
      <c r="K708" s="33">
        <v>4000</v>
      </c>
      <c r="L708" t="s">
        <v>60</v>
      </c>
      <c r="M708" t="str">
        <f>_xlfn.XLOOKUP(Pipeline_tbl[[#This Row],[Rep_ID]],Dim_Reps!A:A,Dim_Reps!K:K)</f>
        <v>EUR</v>
      </c>
      <c r="N708" s="33">
        <f>(_xlfn.XLOOKUP(Pipeline_tbl[[#This Row],[Rate_Code_Generalized]],Lookups!A:A,Lookups!B:B))*Pipeline_tbl[[#This Row],[Pipeline_Amount_USD]]</f>
        <v>4000</v>
      </c>
      <c r="O708" t="str">
        <f>_xlfn.XLOOKUP(Pipeline_tbl[[#This Row],[Rep_ID]],Dim_Reps!A:A,Dim_Reps!B:B)</f>
        <v>Lucas Okafor</v>
      </c>
      <c r="P708" t="str">
        <f>_xlfn.XLOOKUP(Pipeline_tbl[[#This Row],[Rep_ID]],Dim_Reps!A:A,Dim_Reps!C:C)</f>
        <v>SDR / Inside Sales Rep</v>
      </c>
      <c r="Q708" t="str">
        <f>_xlfn.XLOOKUP(Pipeline_tbl[[#This Row],[Rep_ID]],Dim_Reps!A:A,Dim_Reps!D:D)</f>
        <v>Inside Sales</v>
      </c>
      <c r="R708" t="str">
        <f>_xlfn.XLOOKUP(Pipeline_tbl[[#This Row],[Rep_ID]],Dim_Reps!A:A,Dim_Reps!E:E)</f>
        <v>APAC</v>
      </c>
      <c r="S708" t="str">
        <f>_xlfn.XLOOKUP(Pipeline_tbl[[#This Row],[Created_Date]],Dim_Date!A:A,Dim_Date!H:H)</f>
        <v>Oct 2025</v>
      </c>
      <c r="T708" t="str">
        <f>IF(Pipeline_tbl[[#This Row],[Closed_Date]]=0,"",(_xlfn.XLOOKUP(Pipeline_tbl[[#This Row],[Closed_Date]],Dim_Date!A:A,Dim_Date!H:H)))</f>
        <v>Nov 2025</v>
      </c>
      <c r="U708">
        <f>IF(Pipeline_tbl[[#This Row],[Closed_Date]]=0,"",Pipeline_tbl[[#This Row],[Closed_Date]]-Pipeline_tbl[[#This Row],[Created_Date]])</f>
        <v>27</v>
      </c>
    </row>
    <row r="709" spans="1:21" ht="15" customHeight="1" x14ac:dyDescent="0.2">
      <c r="A709" t="s">
        <v>1015</v>
      </c>
      <c r="B709" t="s">
        <v>199</v>
      </c>
      <c r="C709" t="s">
        <v>52</v>
      </c>
      <c r="D709" s="49">
        <v>45952</v>
      </c>
      <c r="E709" s="49">
        <v>45954</v>
      </c>
      <c r="I709" s="49">
        <v>45976</v>
      </c>
      <c r="J709" t="s">
        <v>49</v>
      </c>
      <c r="K709" s="33">
        <v>6400</v>
      </c>
      <c r="L709" t="s">
        <v>61</v>
      </c>
      <c r="M709" t="str">
        <f>_xlfn.XLOOKUP(Pipeline_tbl[[#This Row],[Rep_ID]],Dim_Reps!A:A,Dim_Reps!K:K)</f>
        <v>EUR</v>
      </c>
      <c r="N709" s="33">
        <f>(_xlfn.XLOOKUP(Pipeline_tbl[[#This Row],[Rate_Code_Generalized]],Lookups!A:A,Lookups!B:B))*Pipeline_tbl[[#This Row],[Pipeline_Amount_USD]]</f>
        <v>6400</v>
      </c>
      <c r="O709" t="str">
        <f>_xlfn.XLOOKUP(Pipeline_tbl[[#This Row],[Rep_ID]],Dim_Reps!A:A,Dim_Reps!B:B)</f>
        <v>Lucas Okafor</v>
      </c>
      <c r="P709" t="str">
        <f>_xlfn.XLOOKUP(Pipeline_tbl[[#This Row],[Rep_ID]],Dim_Reps!A:A,Dim_Reps!C:C)</f>
        <v>SDR / Inside Sales Rep</v>
      </c>
      <c r="Q709" t="str">
        <f>_xlfn.XLOOKUP(Pipeline_tbl[[#This Row],[Rep_ID]],Dim_Reps!A:A,Dim_Reps!D:D)</f>
        <v>Inside Sales</v>
      </c>
      <c r="R709" t="str">
        <f>_xlfn.XLOOKUP(Pipeline_tbl[[#This Row],[Rep_ID]],Dim_Reps!A:A,Dim_Reps!E:E)</f>
        <v>APAC</v>
      </c>
      <c r="S709" t="str">
        <f>_xlfn.XLOOKUP(Pipeline_tbl[[#This Row],[Created_Date]],Dim_Date!A:A,Dim_Date!H:H)</f>
        <v>Oct 2025</v>
      </c>
      <c r="T709" t="str">
        <f>IF(Pipeline_tbl[[#This Row],[Closed_Date]]=0,"",(_xlfn.XLOOKUP(Pipeline_tbl[[#This Row],[Closed_Date]],Dim_Date!A:A,Dim_Date!H:H)))</f>
        <v>Nov 2025</v>
      </c>
      <c r="U709">
        <f>IF(Pipeline_tbl[[#This Row],[Closed_Date]]=0,"",Pipeline_tbl[[#This Row],[Closed_Date]]-Pipeline_tbl[[#This Row],[Created_Date]])</f>
        <v>24</v>
      </c>
    </row>
    <row r="710" spans="1:21" ht="15" customHeight="1" x14ac:dyDescent="0.2">
      <c r="A710" t="s">
        <v>1016</v>
      </c>
      <c r="B710" t="s">
        <v>201</v>
      </c>
      <c r="C710" t="s">
        <v>55</v>
      </c>
      <c r="D710" s="49">
        <v>45956</v>
      </c>
      <c r="E710" s="49">
        <v>45959</v>
      </c>
      <c r="I710" s="49">
        <v>45983</v>
      </c>
      <c r="J710" t="s">
        <v>49</v>
      </c>
      <c r="K710" s="33">
        <v>4400</v>
      </c>
      <c r="L710" t="s">
        <v>61</v>
      </c>
      <c r="M710" t="str">
        <f>_xlfn.XLOOKUP(Pipeline_tbl[[#This Row],[Rep_ID]],Dim_Reps!A:A,Dim_Reps!K:K)</f>
        <v>EUR</v>
      </c>
      <c r="N710" s="33">
        <f>(_xlfn.XLOOKUP(Pipeline_tbl[[#This Row],[Rate_Code_Generalized]],Lookups!A:A,Lookups!B:B))*Pipeline_tbl[[#This Row],[Pipeline_Amount_USD]]</f>
        <v>4400</v>
      </c>
      <c r="O710" t="str">
        <f>_xlfn.XLOOKUP(Pipeline_tbl[[#This Row],[Rep_ID]],Dim_Reps!A:A,Dim_Reps!B:B)</f>
        <v>Sara Duarte</v>
      </c>
      <c r="P710" t="str">
        <f>_xlfn.XLOOKUP(Pipeline_tbl[[#This Row],[Rep_ID]],Dim_Reps!A:A,Dim_Reps!C:C)</f>
        <v>SDR / Inside Sales Rep</v>
      </c>
      <c r="Q710" t="str">
        <f>_xlfn.XLOOKUP(Pipeline_tbl[[#This Row],[Rep_ID]],Dim_Reps!A:A,Dim_Reps!D:D)</f>
        <v>Inside Sales</v>
      </c>
      <c r="R710" t="str">
        <f>_xlfn.XLOOKUP(Pipeline_tbl[[#This Row],[Rep_ID]],Dim_Reps!A:A,Dim_Reps!E:E)</f>
        <v>APAC</v>
      </c>
      <c r="S710" t="str">
        <f>_xlfn.XLOOKUP(Pipeline_tbl[[#This Row],[Created_Date]],Dim_Date!A:A,Dim_Date!H:H)</f>
        <v>Oct 2025</v>
      </c>
      <c r="T710" t="str">
        <f>IF(Pipeline_tbl[[#This Row],[Closed_Date]]=0,"",(_xlfn.XLOOKUP(Pipeline_tbl[[#This Row],[Closed_Date]],Dim_Date!A:A,Dim_Date!H:H)))</f>
        <v>Nov 2025</v>
      </c>
      <c r="U710">
        <f>IF(Pipeline_tbl[[#This Row],[Closed_Date]]=0,"",Pipeline_tbl[[#This Row],[Closed_Date]]-Pipeline_tbl[[#This Row],[Created_Date]])</f>
        <v>27</v>
      </c>
    </row>
    <row r="711" spans="1:21" ht="15" customHeight="1" x14ac:dyDescent="0.2">
      <c r="A711" t="s">
        <v>1017</v>
      </c>
      <c r="B711" t="s">
        <v>201</v>
      </c>
      <c r="C711" t="s">
        <v>55</v>
      </c>
      <c r="D711" s="49">
        <v>45950</v>
      </c>
      <c r="E711" s="49">
        <v>45952</v>
      </c>
      <c r="F711" s="49">
        <v>45955</v>
      </c>
      <c r="G711" s="49">
        <v>45961</v>
      </c>
      <c r="H711" s="49">
        <v>45965</v>
      </c>
      <c r="I711" s="49">
        <v>45968</v>
      </c>
      <c r="J711" t="s">
        <v>49</v>
      </c>
      <c r="K711" s="33">
        <v>2400</v>
      </c>
      <c r="L711" t="s">
        <v>62</v>
      </c>
      <c r="M711" t="str">
        <f>_xlfn.XLOOKUP(Pipeline_tbl[[#This Row],[Rep_ID]],Dim_Reps!A:A,Dim_Reps!K:K)</f>
        <v>EUR</v>
      </c>
      <c r="N711" s="33">
        <f>(_xlfn.XLOOKUP(Pipeline_tbl[[#This Row],[Rate_Code_Generalized]],Lookups!A:A,Lookups!B:B))*Pipeline_tbl[[#This Row],[Pipeline_Amount_USD]]</f>
        <v>2400</v>
      </c>
      <c r="O711" t="str">
        <f>_xlfn.XLOOKUP(Pipeline_tbl[[#This Row],[Rep_ID]],Dim_Reps!A:A,Dim_Reps!B:B)</f>
        <v>Sara Duarte</v>
      </c>
      <c r="P711" t="str">
        <f>_xlfn.XLOOKUP(Pipeline_tbl[[#This Row],[Rep_ID]],Dim_Reps!A:A,Dim_Reps!C:C)</f>
        <v>SDR / Inside Sales Rep</v>
      </c>
      <c r="Q711" t="str">
        <f>_xlfn.XLOOKUP(Pipeline_tbl[[#This Row],[Rep_ID]],Dim_Reps!A:A,Dim_Reps!D:D)</f>
        <v>Inside Sales</v>
      </c>
      <c r="R711" t="str">
        <f>_xlfn.XLOOKUP(Pipeline_tbl[[#This Row],[Rep_ID]],Dim_Reps!A:A,Dim_Reps!E:E)</f>
        <v>APAC</v>
      </c>
      <c r="S711" t="str">
        <f>_xlfn.XLOOKUP(Pipeline_tbl[[#This Row],[Created_Date]],Dim_Date!A:A,Dim_Date!H:H)</f>
        <v>Oct 2025</v>
      </c>
      <c r="T711" t="str">
        <f>IF(Pipeline_tbl[[#This Row],[Closed_Date]]=0,"",(_xlfn.XLOOKUP(Pipeline_tbl[[#This Row],[Closed_Date]],Dim_Date!A:A,Dim_Date!H:H)))</f>
        <v>Nov 2025</v>
      </c>
      <c r="U711">
        <f>IF(Pipeline_tbl[[#This Row],[Closed_Date]]=0,"",Pipeline_tbl[[#This Row],[Closed_Date]]-Pipeline_tbl[[#This Row],[Created_Date]])</f>
        <v>18</v>
      </c>
    </row>
    <row r="712" spans="1:21" ht="15" customHeight="1" x14ac:dyDescent="0.2">
      <c r="A712" t="s">
        <v>1018</v>
      </c>
      <c r="B712" t="s">
        <v>201</v>
      </c>
      <c r="C712" t="s">
        <v>53</v>
      </c>
      <c r="D712" s="49">
        <v>45954</v>
      </c>
      <c r="E712" s="49">
        <v>45956</v>
      </c>
      <c r="F712" s="49">
        <v>45960</v>
      </c>
      <c r="G712" s="49">
        <v>45966</v>
      </c>
      <c r="H712" s="49">
        <v>45971</v>
      </c>
      <c r="I712" s="49">
        <v>45974</v>
      </c>
      <c r="J712" t="s">
        <v>49</v>
      </c>
      <c r="K712" s="33">
        <v>3100</v>
      </c>
      <c r="L712" t="s">
        <v>63</v>
      </c>
      <c r="M712" t="str">
        <f>_xlfn.XLOOKUP(Pipeline_tbl[[#This Row],[Rep_ID]],Dim_Reps!A:A,Dim_Reps!K:K)</f>
        <v>EUR</v>
      </c>
      <c r="N712" s="33">
        <f>(_xlfn.XLOOKUP(Pipeline_tbl[[#This Row],[Rate_Code_Generalized]],Lookups!A:A,Lookups!B:B))*Pipeline_tbl[[#This Row],[Pipeline_Amount_USD]]</f>
        <v>3100</v>
      </c>
      <c r="O712" t="str">
        <f>_xlfn.XLOOKUP(Pipeline_tbl[[#This Row],[Rep_ID]],Dim_Reps!A:A,Dim_Reps!B:B)</f>
        <v>Sara Duarte</v>
      </c>
      <c r="P712" t="str">
        <f>_xlfn.XLOOKUP(Pipeline_tbl[[#This Row],[Rep_ID]],Dim_Reps!A:A,Dim_Reps!C:C)</f>
        <v>SDR / Inside Sales Rep</v>
      </c>
      <c r="Q712" t="str">
        <f>_xlfn.XLOOKUP(Pipeline_tbl[[#This Row],[Rep_ID]],Dim_Reps!A:A,Dim_Reps!D:D)</f>
        <v>Inside Sales</v>
      </c>
      <c r="R712" t="str">
        <f>_xlfn.XLOOKUP(Pipeline_tbl[[#This Row],[Rep_ID]],Dim_Reps!A:A,Dim_Reps!E:E)</f>
        <v>APAC</v>
      </c>
      <c r="S712" t="str">
        <f>_xlfn.XLOOKUP(Pipeline_tbl[[#This Row],[Created_Date]],Dim_Date!A:A,Dim_Date!H:H)</f>
        <v>Oct 2025</v>
      </c>
      <c r="T712" t="str">
        <f>IF(Pipeline_tbl[[#This Row],[Closed_Date]]=0,"",(_xlfn.XLOOKUP(Pipeline_tbl[[#This Row],[Closed_Date]],Dim_Date!A:A,Dim_Date!H:H)))</f>
        <v>Nov 2025</v>
      </c>
      <c r="U712">
        <f>IF(Pipeline_tbl[[#This Row],[Closed_Date]]=0,"",Pipeline_tbl[[#This Row],[Closed_Date]]-Pipeline_tbl[[#This Row],[Created_Date]])</f>
        <v>20</v>
      </c>
    </row>
    <row r="713" spans="1:21" ht="15" customHeight="1" x14ac:dyDescent="0.2">
      <c r="A713" t="s">
        <v>1019</v>
      </c>
      <c r="B713" t="s">
        <v>201</v>
      </c>
      <c r="C713" t="s">
        <v>54</v>
      </c>
      <c r="D713" s="49">
        <v>45957</v>
      </c>
      <c r="E713" s="49">
        <v>45959</v>
      </c>
      <c r="F713" s="49">
        <v>45964</v>
      </c>
      <c r="G713" s="49">
        <v>45970</v>
      </c>
      <c r="H713" s="49">
        <v>45976</v>
      </c>
      <c r="I713" s="49">
        <v>45979</v>
      </c>
      <c r="J713" t="s">
        <v>47</v>
      </c>
      <c r="K713" s="33">
        <v>2900</v>
      </c>
      <c r="M713" t="str">
        <f>_xlfn.XLOOKUP(Pipeline_tbl[[#This Row],[Rep_ID]],Dim_Reps!A:A,Dim_Reps!K:K)</f>
        <v>EUR</v>
      </c>
      <c r="N713" s="33">
        <f>(_xlfn.XLOOKUP(Pipeline_tbl[[#This Row],[Rate_Code_Generalized]],Lookups!A:A,Lookups!B:B))*Pipeline_tbl[[#This Row],[Pipeline_Amount_USD]]</f>
        <v>2900</v>
      </c>
      <c r="O713" t="str">
        <f>_xlfn.XLOOKUP(Pipeline_tbl[[#This Row],[Rep_ID]],Dim_Reps!A:A,Dim_Reps!B:B)</f>
        <v>Sara Duarte</v>
      </c>
      <c r="P713" t="str">
        <f>_xlfn.XLOOKUP(Pipeline_tbl[[#This Row],[Rep_ID]],Dim_Reps!A:A,Dim_Reps!C:C)</f>
        <v>SDR / Inside Sales Rep</v>
      </c>
      <c r="Q713" t="str">
        <f>_xlfn.XLOOKUP(Pipeline_tbl[[#This Row],[Rep_ID]],Dim_Reps!A:A,Dim_Reps!D:D)</f>
        <v>Inside Sales</v>
      </c>
      <c r="R713" t="str">
        <f>_xlfn.XLOOKUP(Pipeline_tbl[[#This Row],[Rep_ID]],Dim_Reps!A:A,Dim_Reps!E:E)</f>
        <v>APAC</v>
      </c>
      <c r="S713" t="str">
        <f>_xlfn.XLOOKUP(Pipeline_tbl[[#This Row],[Created_Date]],Dim_Date!A:A,Dim_Date!H:H)</f>
        <v>Oct 2025</v>
      </c>
      <c r="T713" t="str">
        <f>IF(Pipeline_tbl[[#This Row],[Closed_Date]]=0,"",(_xlfn.XLOOKUP(Pipeline_tbl[[#This Row],[Closed_Date]],Dim_Date!A:A,Dim_Date!H:H)))</f>
        <v>Nov 2025</v>
      </c>
      <c r="U713">
        <f>IF(Pipeline_tbl[[#This Row],[Closed_Date]]=0,"",Pipeline_tbl[[#This Row],[Closed_Date]]-Pipeline_tbl[[#This Row],[Created_Date]])</f>
        <v>22</v>
      </c>
    </row>
    <row r="714" spans="1:21" ht="15" customHeight="1" x14ac:dyDescent="0.2">
      <c r="A714" t="s">
        <v>1020</v>
      </c>
      <c r="B714" t="s">
        <v>201</v>
      </c>
      <c r="C714" t="s">
        <v>52</v>
      </c>
      <c r="D714" s="49">
        <v>45949</v>
      </c>
      <c r="E714" s="49">
        <v>45951</v>
      </c>
      <c r="F714" s="49">
        <v>45954</v>
      </c>
      <c r="G714" s="49">
        <v>45958</v>
      </c>
      <c r="H714" s="49">
        <v>45962</v>
      </c>
      <c r="I714" s="49">
        <v>45964</v>
      </c>
      <c r="J714" t="s">
        <v>47</v>
      </c>
      <c r="K714" s="33">
        <v>1800</v>
      </c>
      <c r="M714" t="str">
        <f>_xlfn.XLOOKUP(Pipeline_tbl[[#This Row],[Rep_ID]],Dim_Reps!A:A,Dim_Reps!K:K)</f>
        <v>EUR</v>
      </c>
      <c r="N714" s="33">
        <f>(_xlfn.XLOOKUP(Pipeline_tbl[[#This Row],[Rate_Code_Generalized]],Lookups!A:A,Lookups!B:B))*Pipeline_tbl[[#This Row],[Pipeline_Amount_USD]]</f>
        <v>1800</v>
      </c>
      <c r="O714" t="str">
        <f>_xlfn.XLOOKUP(Pipeline_tbl[[#This Row],[Rep_ID]],Dim_Reps!A:A,Dim_Reps!B:B)</f>
        <v>Sara Duarte</v>
      </c>
      <c r="P714" t="str">
        <f>_xlfn.XLOOKUP(Pipeline_tbl[[#This Row],[Rep_ID]],Dim_Reps!A:A,Dim_Reps!C:C)</f>
        <v>SDR / Inside Sales Rep</v>
      </c>
      <c r="Q714" t="str">
        <f>_xlfn.XLOOKUP(Pipeline_tbl[[#This Row],[Rep_ID]],Dim_Reps!A:A,Dim_Reps!D:D)</f>
        <v>Inside Sales</v>
      </c>
      <c r="R714" t="str">
        <f>_xlfn.XLOOKUP(Pipeline_tbl[[#This Row],[Rep_ID]],Dim_Reps!A:A,Dim_Reps!E:E)</f>
        <v>APAC</v>
      </c>
      <c r="S714" t="str">
        <f>_xlfn.XLOOKUP(Pipeline_tbl[[#This Row],[Created_Date]],Dim_Date!A:A,Dim_Date!H:H)</f>
        <v>Oct 2025</v>
      </c>
      <c r="T714" t="str">
        <f>IF(Pipeline_tbl[[#This Row],[Closed_Date]]=0,"",(_xlfn.XLOOKUP(Pipeline_tbl[[#This Row],[Closed_Date]],Dim_Date!A:A,Dim_Date!H:H)))</f>
        <v>Nov 2025</v>
      </c>
      <c r="U714">
        <f>IF(Pipeline_tbl[[#This Row],[Closed_Date]]=0,"",Pipeline_tbl[[#This Row],[Closed_Date]]-Pipeline_tbl[[#This Row],[Created_Date]])</f>
        <v>15</v>
      </c>
    </row>
    <row r="715" spans="1:21" ht="15" customHeight="1" x14ac:dyDescent="0.2">
      <c r="A715" t="s">
        <v>1021</v>
      </c>
      <c r="B715" t="s">
        <v>181</v>
      </c>
      <c r="C715" t="s">
        <v>52</v>
      </c>
      <c r="D715" s="49">
        <v>45935</v>
      </c>
      <c r="E715" s="49">
        <v>45940</v>
      </c>
      <c r="I715" s="49">
        <v>45981</v>
      </c>
      <c r="J715" t="s">
        <v>49</v>
      </c>
      <c r="K715" s="33">
        <v>32800</v>
      </c>
      <c r="L715" t="s">
        <v>62</v>
      </c>
      <c r="M715" t="str">
        <f>_xlfn.XLOOKUP(Pipeline_tbl[[#This Row],[Rep_ID]],Dim_Reps!A:A,Dim_Reps!K:K)</f>
        <v>USD</v>
      </c>
      <c r="N715" s="33">
        <f>(_xlfn.XLOOKUP(Pipeline_tbl[[#This Row],[Rate_Code_Generalized]],Lookups!A:A,Lookups!B:B))*Pipeline_tbl[[#This Row],[Pipeline_Amount_USD]]</f>
        <v>38189.039999999994</v>
      </c>
      <c r="O715" t="str">
        <f>_xlfn.XLOOKUP(Pipeline_tbl[[#This Row],[Rep_ID]],Dim_Reps!A:A,Dim_Reps!B:B)</f>
        <v>Milo Weber</v>
      </c>
      <c r="P715" t="str">
        <f>_xlfn.XLOOKUP(Pipeline_tbl[[#This Row],[Rep_ID]],Dim_Reps!A:A,Dim_Reps!C:C)</f>
        <v>Enterprise AE</v>
      </c>
      <c r="Q715" t="str">
        <f>_xlfn.XLOOKUP(Pipeline_tbl[[#This Row],[Rep_ID]],Dim_Reps!A:A,Dim_Reps!D:D)</f>
        <v>Enterprise</v>
      </c>
      <c r="R715" t="str">
        <f>_xlfn.XLOOKUP(Pipeline_tbl[[#This Row],[Rep_ID]],Dim_Reps!A:A,Dim_Reps!E:E)</f>
        <v>NAMER</v>
      </c>
      <c r="S715" t="str">
        <f>_xlfn.XLOOKUP(Pipeline_tbl[[#This Row],[Created_Date]],Dim_Date!A:A,Dim_Date!H:H)</f>
        <v>Oct 2025</v>
      </c>
      <c r="T715" t="str">
        <f>IF(Pipeline_tbl[[#This Row],[Closed_Date]]=0,"",(_xlfn.XLOOKUP(Pipeline_tbl[[#This Row],[Closed_Date]],Dim_Date!A:A,Dim_Date!H:H)))</f>
        <v>Nov 2025</v>
      </c>
      <c r="U715">
        <f>IF(Pipeline_tbl[[#This Row],[Closed_Date]]=0,"",Pipeline_tbl[[#This Row],[Closed_Date]]-Pipeline_tbl[[#This Row],[Created_Date]])</f>
        <v>46</v>
      </c>
    </row>
    <row r="716" spans="1:21" ht="15" customHeight="1" x14ac:dyDescent="0.2">
      <c r="A716" t="s">
        <v>1022</v>
      </c>
      <c r="B716" t="s">
        <v>181</v>
      </c>
      <c r="C716" t="s">
        <v>52</v>
      </c>
      <c r="D716" s="49">
        <v>45940</v>
      </c>
      <c r="E716" s="49">
        <v>45943</v>
      </c>
      <c r="F716" s="49">
        <v>45949</v>
      </c>
      <c r="G716" s="49">
        <v>45958</v>
      </c>
      <c r="H716" s="49">
        <v>45966</v>
      </c>
      <c r="I716" s="49">
        <v>45970</v>
      </c>
      <c r="J716" t="s">
        <v>49</v>
      </c>
      <c r="K716" s="33">
        <v>24500</v>
      </c>
      <c r="L716" t="s">
        <v>60</v>
      </c>
      <c r="M716" t="str">
        <f>_xlfn.XLOOKUP(Pipeline_tbl[[#This Row],[Rep_ID]],Dim_Reps!A:A,Dim_Reps!K:K)</f>
        <v>USD</v>
      </c>
      <c r="N716" s="33">
        <f>(_xlfn.XLOOKUP(Pipeline_tbl[[#This Row],[Rate_Code_Generalized]],Lookups!A:A,Lookups!B:B))*Pipeline_tbl[[#This Row],[Pipeline_Amount_USD]]</f>
        <v>28525.35</v>
      </c>
      <c r="O716" t="str">
        <f>_xlfn.XLOOKUP(Pipeline_tbl[[#This Row],[Rep_ID]],Dim_Reps!A:A,Dim_Reps!B:B)</f>
        <v>Milo Weber</v>
      </c>
      <c r="P716" t="str">
        <f>_xlfn.XLOOKUP(Pipeline_tbl[[#This Row],[Rep_ID]],Dim_Reps!A:A,Dim_Reps!C:C)</f>
        <v>Enterprise AE</v>
      </c>
      <c r="Q716" t="str">
        <f>_xlfn.XLOOKUP(Pipeline_tbl[[#This Row],[Rep_ID]],Dim_Reps!A:A,Dim_Reps!D:D)</f>
        <v>Enterprise</v>
      </c>
      <c r="R716" t="str">
        <f>_xlfn.XLOOKUP(Pipeline_tbl[[#This Row],[Rep_ID]],Dim_Reps!A:A,Dim_Reps!E:E)</f>
        <v>NAMER</v>
      </c>
      <c r="S716" t="str">
        <f>_xlfn.XLOOKUP(Pipeline_tbl[[#This Row],[Created_Date]],Dim_Date!A:A,Dim_Date!H:H)</f>
        <v>Oct 2025</v>
      </c>
      <c r="T716" t="str">
        <f>IF(Pipeline_tbl[[#This Row],[Closed_Date]]=0,"",(_xlfn.XLOOKUP(Pipeline_tbl[[#This Row],[Closed_Date]],Dim_Date!A:A,Dim_Date!H:H)))</f>
        <v>Nov 2025</v>
      </c>
      <c r="U716">
        <f>IF(Pipeline_tbl[[#This Row],[Closed_Date]]=0,"",Pipeline_tbl[[#This Row],[Closed_Date]]-Pipeline_tbl[[#This Row],[Created_Date]])</f>
        <v>30</v>
      </c>
    </row>
    <row r="717" spans="1:21" ht="15" customHeight="1" x14ac:dyDescent="0.2">
      <c r="A717" t="s">
        <v>1023</v>
      </c>
      <c r="B717" t="s">
        <v>246</v>
      </c>
      <c r="C717" t="s">
        <v>55</v>
      </c>
      <c r="D717" s="49">
        <v>45960</v>
      </c>
      <c r="E717" s="49">
        <v>45963</v>
      </c>
      <c r="F717" s="49">
        <v>45969</v>
      </c>
      <c r="G717" s="49">
        <v>45979</v>
      </c>
      <c r="H717" s="49">
        <v>45986</v>
      </c>
      <c r="I717" s="49">
        <v>45991</v>
      </c>
      <c r="J717" t="s">
        <v>49</v>
      </c>
      <c r="K717" s="33">
        <v>11400</v>
      </c>
      <c r="L717" t="s">
        <v>60</v>
      </c>
      <c r="M717" t="str">
        <f>_xlfn.XLOOKUP(Pipeline_tbl[[#This Row],[Rep_ID]],Dim_Reps!A:A,Dim_Reps!K:K)</f>
        <v>EUR</v>
      </c>
      <c r="N717" s="33">
        <f>(_xlfn.XLOOKUP(Pipeline_tbl[[#This Row],[Rate_Code_Generalized]],Lookups!A:A,Lookups!B:B))*Pipeline_tbl[[#This Row],[Pipeline_Amount_USD]]</f>
        <v>11400</v>
      </c>
      <c r="O717" t="str">
        <f>_xlfn.XLOOKUP(Pipeline_tbl[[#This Row],[Rep_ID]],Dim_Reps!A:A,Dim_Reps!B:B)</f>
        <v>Karim Rivera</v>
      </c>
      <c r="P717" t="str">
        <f>_xlfn.XLOOKUP(Pipeline_tbl[[#This Row],[Rep_ID]],Dim_Reps!A:A,Dim_Reps!C:C)</f>
        <v>Mid-Market AE</v>
      </c>
      <c r="Q717" t="str">
        <f>_xlfn.XLOOKUP(Pipeline_tbl[[#This Row],[Rep_ID]],Dim_Reps!A:A,Dim_Reps!D:D)</f>
        <v>Mid-Market</v>
      </c>
      <c r="R717" t="str">
        <f>_xlfn.XLOOKUP(Pipeline_tbl[[#This Row],[Rep_ID]],Dim_Reps!A:A,Dim_Reps!E:E)</f>
        <v>APAC</v>
      </c>
      <c r="S717" t="str">
        <f>_xlfn.XLOOKUP(Pipeline_tbl[[#This Row],[Created_Date]],Dim_Date!A:A,Dim_Date!H:H)</f>
        <v>Oct 2025</v>
      </c>
      <c r="T717" t="str">
        <f>IF(Pipeline_tbl[[#This Row],[Closed_Date]]=0,"",(_xlfn.XLOOKUP(Pipeline_tbl[[#This Row],[Closed_Date]],Dim_Date!A:A,Dim_Date!H:H)))</f>
        <v>Nov 2025</v>
      </c>
      <c r="U717">
        <f>IF(Pipeline_tbl[[#This Row],[Closed_Date]]=0,"",Pipeline_tbl[[#This Row],[Closed_Date]]-Pipeline_tbl[[#This Row],[Created_Date]])</f>
        <v>31</v>
      </c>
    </row>
    <row r="718" spans="1:21" ht="15" customHeight="1" x14ac:dyDescent="0.2">
      <c r="A718" t="s">
        <v>1024</v>
      </c>
      <c r="B718" t="s">
        <v>246</v>
      </c>
      <c r="C718" t="s">
        <v>52</v>
      </c>
      <c r="D718" s="49">
        <v>45953</v>
      </c>
      <c r="E718" s="49">
        <v>45955</v>
      </c>
      <c r="F718" s="49">
        <v>45960</v>
      </c>
      <c r="G718" s="49">
        <v>45966</v>
      </c>
      <c r="H718" s="49">
        <v>45972</v>
      </c>
      <c r="I718" s="49">
        <v>45975</v>
      </c>
      <c r="J718" t="s">
        <v>49</v>
      </c>
      <c r="K718" s="33">
        <v>13700</v>
      </c>
      <c r="L718" t="s">
        <v>64</v>
      </c>
      <c r="M718" t="str">
        <f>_xlfn.XLOOKUP(Pipeline_tbl[[#This Row],[Rep_ID]],Dim_Reps!A:A,Dim_Reps!K:K)</f>
        <v>EUR</v>
      </c>
      <c r="N718" s="33">
        <f>(_xlfn.XLOOKUP(Pipeline_tbl[[#This Row],[Rate_Code_Generalized]],Lookups!A:A,Lookups!B:B))*Pipeline_tbl[[#This Row],[Pipeline_Amount_USD]]</f>
        <v>13700</v>
      </c>
      <c r="O718" t="str">
        <f>_xlfn.XLOOKUP(Pipeline_tbl[[#This Row],[Rep_ID]],Dim_Reps!A:A,Dim_Reps!B:B)</f>
        <v>Karim Rivera</v>
      </c>
      <c r="P718" t="str">
        <f>_xlfn.XLOOKUP(Pipeline_tbl[[#This Row],[Rep_ID]],Dim_Reps!A:A,Dim_Reps!C:C)</f>
        <v>Mid-Market AE</v>
      </c>
      <c r="Q718" t="str">
        <f>_xlfn.XLOOKUP(Pipeline_tbl[[#This Row],[Rep_ID]],Dim_Reps!A:A,Dim_Reps!D:D)</f>
        <v>Mid-Market</v>
      </c>
      <c r="R718" t="str">
        <f>_xlfn.XLOOKUP(Pipeline_tbl[[#This Row],[Rep_ID]],Dim_Reps!A:A,Dim_Reps!E:E)</f>
        <v>APAC</v>
      </c>
      <c r="S718" t="str">
        <f>_xlfn.XLOOKUP(Pipeline_tbl[[#This Row],[Created_Date]],Dim_Date!A:A,Dim_Date!H:H)</f>
        <v>Oct 2025</v>
      </c>
      <c r="T718" t="str">
        <f>IF(Pipeline_tbl[[#This Row],[Closed_Date]]=0,"",(_xlfn.XLOOKUP(Pipeline_tbl[[#This Row],[Closed_Date]],Dim_Date!A:A,Dim_Date!H:H)))</f>
        <v>Nov 2025</v>
      </c>
      <c r="U718">
        <f>IF(Pipeline_tbl[[#This Row],[Closed_Date]]=0,"",Pipeline_tbl[[#This Row],[Closed_Date]]-Pipeline_tbl[[#This Row],[Created_Date]])</f>
        <v>22</v>
      </c>
    </row>
    <row r="719" spans="1:21" ht="15" customHeight="1" x14ac:dyDescent="0.2">
      <c r="A719" t="s">
        <v>1025</v>
      </c>
      <c r="B719" t="s">
        <v>246</v>
      </c>
      <c r="C719" t="s">
        <v>54</v>
      </c>
      <c r="D719" s="49">
        <v>45940</v>
      </c>
      <c r="E719" s="49">
        <v>45942</v>
      </c>
      <c r="F719" s="49">
        <v>45947</v>
      </c>
      <c r="G719" s="49">
        <v>45954</v>
      </c>
      <c r="H719" s="49">
        <v>45960</v>
      </c>
      <c r="I719" s="49">
        <v>45964</v>
      </c>
      <c r="J719" t="s">
        <v>49</v>
      </c>
      <c r="K719" s="33">
        <v>12500</v>
      </c>
      <c r="L719" t="s">
        <v>61</v>
      </c>
      <c r="M719" t="str">
        <f>_xlfn.XLOOKUP(Pipeline_tbl[[#This Row],[Rep_ID]],Dim_Reps!A:A,Dim_Reps!K:K)</f>
        <v>EUR</v>
      </c>
      <c r="N719" s="33">
        <f>(_xlfn.XLOOKUP(Pipeline_tbl[[#This Row],[Rate_Code_Generalized]],Lookups!A:A,Lookups!B:B))*Pipeline_tbl[[#This Row],[Pipeline_Amount_USD]]</f>
        <v>12500</v>
      </c>
      <c r="O719" t="str">
        <f>_xlfn.XLOOKUP(Pipeline_tbl[[#This Row],[Rep_ID]],Dim_Reps!A:A,Dim_Reps!B:B)</f>
        <v>Karim Rivera</v>
      </c>
      <c r="P719" t="str">
        <f>_xlfn.XLOOKUP(Pipeline_tbl[[#This Row],[Rep_ID]],Dim_Reps!A:A,Dim_Reps!C:C)</f>
        <v>Mid-Market AE</v>
      </c>
      <c r="Q719" t="str">
        <f>_xlfn.XLOOKUP(Pipeline_tbl[[#This Row],[Rep_ID]],Dim_Reps!A:A,Dim_Reps!D:D)</f>
        <v>Mid-Market</v>
      </c>
      <c r="R719" t="str">
        <f>_xlfn.XLOOKUP(Pipeline_tbl[[#This Row],[Rep_ID]],Dim_Reps!A:A,Dim_Reps!E:E)</f>
        <v>APAC</v>
      </c>
      <c r="S719" t="str">
        <f>_xlfn.XLOOKUP(Pipeline_tbl[[#This Row],[Created_Date]],Dim_Date!A:A,Dim_Date!H:H)</f>
        <v>Oct 2025</v>
      </c>
      <c r="T719" t="str">
        <f>IF(Pipeline_tbl[[#This Row],[Closed_Date]]=0,"",(_xlfn.XLOOKUP(Pipeline_tbl[[#This Row],[Closed_Date]],Dim_Date!A:A,Dim_Date!H:H)))</f>
        <v>Nov 2025</v>
      </c>
      <c r="U719">
        <f>IF(Pipeline_tbl[[#This Row],[Closed_Date]]=0,"",Pipeline_tbl[[#This Row],[Closed_Date]]-Pipeline_tbl[[#This Row],[Created_Date]])</f>
        <v>24</v>
      </c>
    </row>
    <row r="720" spans="1:21" ht="15" customHeight="1" x14ac:dyDescent="0.2">
      <c r="A720" t="s">
        <v>1026</v>
      </c>
      <c r="B720" t="s">
        <v>246</v>
      </c>
      <c r="C720" t="s">
        <v>53</v>
      </c>
      <c r="D720" s="49">
        <v>45947</v>
      </c>
      <c r="E720" s="49">
        <v>45951</v>
      </c>
      <c r="F720" s="49">
        <v>45960</v>
      </c>
      <c r="G720" s="49">
        <v>45972</v>
      </c>
      <c r="H720" s="49">
        <v>45983</v>
      </c>
      <c r="I720" s="49">
        <v>45989</v>
      </c>
      <c r="J720" t="s">
        <v>49</v>
      </c>
      <c r="K720" s="33">
        <v>15000</v>
      </c>
      <c r="L720" t="s">
        <v>60</v>
      </c>
      <c r="M720" t="str">
        <f>_xlfn.XLOOKUP(Pipeline_tbl[[#This Row],[Rep_ID]],Dim_Reps!A:A,Dim_Reps!K:K)</f>
        <v>EUR</v>
      </c>
      <c r="N720" s="33">
        <f>(_xlfn.XLOOKUP(Pipeline_tbl[[#This Row],[Rate_Code_Generalized]],Lookups!A:A,Lookups!B:B))*Pipeline_tbl[[#This Row],[Pipeline_Amount_USD]]</f>
        <v>15000</v>
      </c>
      <c r="O720" t="str">
        <f>_xlfn.XLOOKUP(Pipeline_tbl[[#This Row],[Rep_ID]],Dim_Reps!A:A,Dim_Reps!B:B)</f>
        <v>Karim Rivera</v>
      </c>
      <c r="P720" t="str">
        <f>_xlfn.XLOOKUP(Pipeline_tbl[[#This Row],[Rep_ID]],Dim_Reps!A:A,Dim_Reps!C:C)</f>
        <v>Mid-Market AE</v>
      </c>
      <c r="Q720" t="str">
        <f>_xlfn.XLOOKUP(Pipeline_tbl[[#This Row],[Rep_ID]],Dim_Reps!A:A,Dim_Reps!D:D)</f>
        <v>Mid-Market</v>
      </c>
      <c r="R720" t="str">
        <f>_xlfn.XLOOKUP(Pipeline_tbl[[#This Row],[Rep_ID]],Dim_Reps!A:A,Dim_Reps!E:E)</f>
        <v>APAC</v>
      </c>
      <c r="S720" t="str">
        <f>_xlfn.XLOOKUP(Pipeline_tbl[[#This Row],[Created_Date]],Dim_Date!A:A,Dim_Date!H:H)</f>
        <v>Oct 2025</v>
      </c>
      <c r="T720" t="str">
        <f>IF(Pipeline_tbl[[#This Row],[Closed_Date]]=0,"",(_xlfn.XLOOKUP(Pipeline_tbl[[#This Row],[Closed_Date]],Dim_Date!A:A,Dim_Date!H:H)))</f>
        <v>Nov 2025</v>
      </c>
      <c r="U720">
        <f>IF(Pipeline_tbl[[#This Row],[Closed_Date]]=0,"",Pipeline_tbl[[#This Row],[Closed_Date]]-Pipeline_tbl[[#This Row],[Created_Date]])</f>
        <v>42</v>
      </c>
    </row>
    <row r="721" spans="1:21" ht="15" customHeight="1" x14ac:dyDescent="0.2">
      <c r="A721" t="s">
        <v>1027</v>
      </c>
      <c r="B721" t="s">
        <v>246</v>
      </c>
      <c r="C721" t="s">
        <v>52</v>
      </c>
      <c r="D721" s="49">
        <v>45953</v>
      </c>
      <c r="E721" s="49">
        <v>45955</v>
      </c>
      <c r="F721" s="49">
        <v>45960</v>
      </c>
      <c r="G721" s="49">
        <v>45966</v>
      </c>
      <c r="H721" s="49">
        <v>45972</v>
      </c>
      <c r="I721" s="49">
        <v>45975</v>
      </c>
      <c r="J721" t="s">
        <v>47</v>
      </c>
      <c r="K721" s="33">
        <v>18300</v>
      </c>
      <c r="M721" t="str">
        <f>_xlfn.XLOOKUP(Pipeline_tbl[[#This Row],[Rep_ID]],Dim_Reps!A:A,Dim_Reps!K:K)</f>
        <v>EUR</v>
      </c>
      <c r="N721" s="33">
        <f>(_xlfn.XLOOKUP(Pipeline_tbl[[#This Row],[Rate_Code_Generalized]],Lookups!A:A,Lookups!B:B))*Pipeline_tbl[[#This Row],[Pipeline_Amount_USD]]</f>
        <v>18300</v>
      </c>
      <c r="O721" t="str">
        <f>_xlfn.XLOOKUP(Pipeline_tbl[[#This Row],[Rep_ID]],Dim_Reps!A:A,Dim_Reps!B:B)</f>
        <v>Karim Rivera</v>
      </c>
      <c r="P721" t="str">
        <f>_xlfn.XLOOKUP(Pipeline_tbl[[#This Row],[Rep_ID]],Dim_Reps!A:A,Dim_Reps!C:C)</f>
        <v>Mid-Market AE</v>
      </c>
      <c r="Q721" t="str">
        <f>_xlfn.XLOOKUP(Pipeline_tbl[[#This Row],[Rep_ID]],Dim_Reps!A:A,Dim_Reps!D:D)</f>
        <v>Mid-Market</v>
      </c>
      <c r="R721" t="str">
        <f>_xlfn.XLOOKUP(Pipeline_tbl[[#This Row],[Rep_ID]],Dim_Reps!A:A,Dim_Reps!E:E)</f>
        <v>APAC</v>
      </c>
      <c r="S721" t="str">
        <f>_xlfn.XLOOKUP(Pipeline_tbl[[#This Row],[Created_Date]],Dim_Date!A:A,Dim_Date!H:H)</f>
        <v>Oct 2025</v>
      </c>
      <c r="T721" t="str">
        <f>IF(Pipeline_tbl[[#This Row],[Closed_Date]]=0,"",(_xlfn.XLOOKUP(Pipeline_tbl[[#This Row],[Closed_Date]],Dim_Date!A:A,Dim_Date!H:H)))</f>
        <v>Nov 2025</v>
      </c>
      <c r="U721">
        <f>IF(Pipeline_tbl[[#This Row],[Closed_Date]]=0,"",Pipeline_tbl[[#This Row],[Closed_Date]]-Pipeline_tbl[[#This Row],[Created_Date]])</f>
        <v>22</v>
      </c>
    </row>
    <row r="722" spans="1:21" ht="15" customHeight="1" x14ac:dyDescent="0.2">
      <c r="A722" t="s">
        <v>1028</v>
      </c>
      <c r="B722" t="s">
        <v>246</v>
      </c>
      <c r="C722" t="s">
        <v>53</v>
      </c>
      <c r="D722" s="49">
        <v>45939</v>
      </c>
      <c r="E722" s="49">
        <v>45943</v>
      </c>
      <c r="F722" s="49">
        <v>45951</v>
      </c>
      <c r="G722" s="49">
        <v>45964</v>
      </c>
      <c r="I722" s="49">
        <v>45980</v>
      </c>
      <c r="J722" t="s">
        <v>49</v>
      </c>
      <c r="K722" s="33">
        <v>10600</v>
      </c>
      <c r="L722" t="s">
        <v>60</v>
      </c>
      <c r="M722" t="str">
        <f>_xlfn.XLOOKUP(Pipeline_tbl[[#This Row],[Rep_ID]],Dim_Reps!A:A,Dim_Reps!K:K)</f>
        <v>EUR</v>
      </c>
      <c r="N722" s="33">
        <f>(_xlfn.XLOOKUP(Pipeline_tbl[[#This Row],[Rate_Code_Generalized]],Lookups!A:A,Lookups!B:B))*Pipeline_tbl[[#This Row],[Pipeline_Amount_USD]]</f>
        <v>10600</v>
      </c>
      <c r="O722" t="str">
        <f>_xlfn.XLOOKUP(Pipeline_tbl[[#This Row],[Rep_ID]],Dim_Reps!A:A,Dim_Reps!B:B)</f>
        <v>Karim Rivera</v>
      </c>
      <c r="P722" t="str">
        <f>_xlfn.XLOOKUP(Pipeline_tbl[[#This Row],[Rep_ID]],Dim_Reps!A:A,Dim_Reps!C:C)</f>
        <v>Mid-Market AE</v>
      </c>
      <c r="Q722" t="str">
        <f>_xlfn.XLOOKUP(Pipeline_tbl[[#This Row],[Rep_ID]],Dim_Reps!A:A,Dim_Reps!D:D)</f>
        <v>Mid-Market</v>
      </c>
      <c r="R722" t="str">
        <f>_xlfn.XLOOKUP(Pipeline_tbl[[#This Row],[Rep_ID]],Dim_Reps!A:A,Dim_Reps!E:E)</f>
        <v>APAC</v>
      </c>
      <c r="S722" t="str">
        <f>_xlfn.XLOOKUP(Pipeline_tbl[[#This Row],[Created_Date]],Dim_Date!A:A,Dim_Date!H:H)</f>
        <v>Oct 2025</v>
      </c>
      <c r="T722" t="str">
        <f>IF(Pipeline_tbl[[#This Row],[Closed_Date]]=0,"",(_xlfn.XLOOKUP(Pipeline_tbl[[#This Row],[Closed_Date]],Dim_Date!A:A,Dim_Date!H:H)))</f>
        <v>Nov 2025</v>
      </c>
      <c r="U722">
        <f>IF(Pipeline_tbl[[#This Row],[Closed_Date]]=0,"",Pipeline_tbl[[#This Row],[Closed_Date]]-Pipeline_tbl[[#This Row],[Created_Date]])</f>
        <v>41</v>
      </c>
    </row>
    <row r="723" spans="1:21" ht="15" customHeight="1" x14ac:dyDescent="0.2">
      <c r="A723" t="s">
        <v>1029</v>
      </c>
      <c r="B723" t="s">
        <v>246</v>
      </c>
      <c r="C723" t="s">
        <v>52</v>
      </c>
      <c r="D723" s="49">
        <v>45944</v>
      </c>
      <c r="E723" s="49">
        <v>45946</v>
      </c>
      <c r="F723" s="49">
        <v>45951</v>
      </c>
      <c r="G723" s="49">
        <v>45958</v>
      </c>
      <c r="H723" s="49">
        <v>45964</v>
      </c>
      <c r="I723" s="49">
        <v>45968</v>
      </c>
      <c r="J723" t="s">
        <v>47</v>
      </c>
      <c r="K723" s="33">
        <v>8900</v>
      </c>
      <c r="M723" t="str">
        <f>_xlfn.XLOOKUP(Pipeline_tbl[[#This Row],[Rep_ID]],Dim_Reps!A:A,Dim_Reps!K:K)</f>
        <v>EUR</v>
      </c>
      <c r="N723" s="33">
        <f>(_xlfn.XLOOKUP(Pipeline_tbl[[#This Row],[Rate_Code_Generalized]],Lookups!A:A,Lookups!B:B))*Pipeline_tbl[[#This Row],[Pipeline_Amount_USD]]</f>
        <v>8900</v>
      </c>
      <c r="O723" t="str">
        <f>_xlfn.XLOOKUP(Pipeline_tbl[[#This Row],[Rep_ID]],Dim_Reps!A:A,Dim_Reps!B:B)</f>
        <v>Karim Rivera</v>
      </c>
      <c r="P723" t="str">
        <f>_xlfn.XLOOKUP(Pipeline_tbl[[#This Row],[Rep_ID]],Dim_Reps!A:A,Dim_Reps!C:C)</f>
        <v>Mid-Market AE</v>
      </c>
      <c r="Q723" t="str">
        <f>_xlfn.XLOOKUP(Pipeline_tbl[[#This Row],[Rep_ID]],Dim_Reps!A:A,Dim_Reps!D:D)</f>
        <v>Mid-Market</v>
      </c>
      <c r="R723" t="str">
        <f>_xlfn.XLOOKUP(Pipeline_tbl[[#This Row],[Rep_ID]],Dim_Reps!A:A,Dim_Reps!E:E)</f>
        <v>APAC</v>
      </c>
      <c r="S723" t="str">
        <f>_xlfn.XLOOKUP(Pipeline_tbl[[#This Row],[Created_Date]],Dim_Date!A:A,Dim_Date!H:H)</f>
        <v>Oct 2025</v>
      </c>
      <c r="T723" t="str">
        <f>IF(Pipeline_tbl[[#This Row],[Closed_Date]]=0,"",(_xlfn.XLOOKUP(Pipeline_tbl[[#This Row],[Closed_Date]],Dim_Date!A:A,Dim_Date!H:H)))</f>
        <v>Nov 2025</v>
      </c>
      <c r="U723">
        <f>IF(Pipeline_tbl[[#This Row],[Closed_Date]]=0,"",Pipeline_tbl[[#This Row],[Closed_Date]]-Pipeline_tbl[[#This Row],[Created_Date]])</f>
        <v>24</v>
      </c>
    </row>
    <row r="724" spans="1:21" ht="15" customHeight="1" x14ac:dyDescent="0.2">
      <c r="A724" t="s">
        <v>1030</v>
      </c>
      <c r="B724" t="s">
        <v>246</v>
      </c>
      <c r="C724" t="s">
        <v>55</v>
      </c>
      <c r="D724" s="49">
        <v>45957</v>
      </c>
      <c r="E724" s="49">
        <v>45960</v>
      </c>
      <c r="F724" s="49">
        <v>45965</v>
      </c>
      <c r="G724" s="49">
        <v>45974</v>
      </c>
      <c r="H724" s="49">
        <v>45981</v>
      </c>
      <c r="I724" s="49">
        <v>45985</v>
      </c>
      <c r="J724" t="s">
        <v>49</v>
      </c>
      <c r="K724" s="33">
        <v>6300</v>
      </c>
      <c r="L724" t="s">
        <v>61</v>
      </c>
      <c r="M724" t="str">
        <f>_xlfn.XLOOKUP(Pipeline_tbl[[#This Row],[Rep_ID]],Dim_Reps!A:A,Dim_Reps!K:K)</f>
        <v>EUR</v>
      </c>
      <c r="N724" s="33">
        <f>(_xlfn.XLOOKUP(Pipeline_tbl[[#This Row],[Rate_Code_Generalized]],Lookups!A:A,Lookups!B:B))*Pipeline_tbl[[#This Row],[Pipeline_Amount_USD]]</f>
        <v>6300</v>
      </c>
      <c r="O724" t="str">
        <f>_xlfn.XLOOKUP(Pipeline_tbl[[#This Row],[Rep_ID]],Dim_Reps!A:A,Dim_Reps!B:B)</f>
        <v>Karim Rivera</v>
      </c>
      <c r="P724" t="str">
        <f>_xlfn.XLOOKUP(Pipeline_tbl[[#This Row],[Rep_ID]],Dim_Reps!A:A,Dim_Reps!C:C)</f>
        <v>Mid-Market AE</v>
      </c>
      <c r="Q724" t="str">
        <f>_xlfn.XLOOKUP(Pipeline_tbl[[#This Row],[Rep_ID]],Dim_Reps!A:A,Dim_Reps!D:D)</f>
        <v>Mid-Market</v>
      </c>
      <c r="R724" t="str">
        <f>_xlfn.XLOOKUP(Pipeline_tbl[[#This Row],[Rep_ID]],Dim_Reps!A:A,Dim_Reps!E:E)</f>
        <v>APAC</v>
      </c>
      <c r="S724" t="str">
        <f>_xlfn.XLOOKUP(Pipeline_tbl[[#This Row],[Created_Date]],Dim_Date!A:A,Dim_Date!H:H)</f>
        <v>Oct 2025</v>
      </c>
      <c r="T724" t="str">
        <f>IF(Pipeline_tbl[[#This Row],[Closed_Date]]=0,"",(_xlfn.XLOOKUP(Pipeline_tbl[[#This Row],[Closed_Date]],Dim_Date!A:A,Dim_Date!H:H)))</f>
        <v>Nov 2025</v>
      </c>
      <c r="U724">
        <f>IF(Pipeline_tbl[[#This Row],[Closed_Date]]=0,"",Pipeline_tbl[[#This Row],[Closed_Date]]-Pipeline_tbl[[#This Row],[Created_Date]])</f>
        <v>28</v>
      </c>
    </row>
    <row r="725" spans="1:21" ht="15" customHeight="1" x14ac:dyDescent="0.2">
      <c r="A725" t="s">
        <v>1031</v>
      </c>
      <c r="B725" t="s">
        <v>246</v>
      </c>
      <c r="C725" t="s">
        <v>56</v>
      </c>
      <c r="D725" s="49">
        <v>45946</v>
      </c>
      <c r="E725" s="49">
        <v>45949</v>
      </c>
      <c r="F725" s="49">
        <v>45956</v>
      </c>
      <c r="G725" s="49">
        <v>45966</v>
      </c>
      <c r="I725" s="49">
        <v>45979</v>
      </c>
      <c r="J725" t="s">
        <v>49</v>
      </c>
      <c r="K725" s="33">
        <v>19700</v>
      </c>
      <c r="L725" t="s">
        <v>60</v>
      </c>
      <c r="M725" t="str">
        <f>_xlfn.XLOOKUP(Pipeline_tbl[[#This Row],[Rep_ID]],Dim_Reps!A:A,Dim_Reps!K:K)</f>
        <v>EUR</v>
      </c>
      <c r="N725" s="33">
        <f>(_xlfn.XLOOKUP(Pipeline_tbl[[#This Row],[Rate_Code_Generalized]],Lookups!A:A,Lookups!B:B))*Pipeline_tbl[[#This Row],[Pipeline_Amount_USD]]</f>
        <v>19700</v>
      </c>
      <c r="O725" t="str">
        <f>_xlfn.XLOOKUP(Pipeline_tbl[[#This Row],[Rep_ID]],Dim_Reps!A:A,Dim_Reps!B:B)</f>
        <v>Karim Rivera</v>
      </c>
      <c r="P725" t="str">
        <f>_xlfn.XLOOKUP(Pipeline_tbl[[#This Row],[Rep_ID]],Dim_Reps!A:A,Dim_Reps!C:C)</f>
        <v>Mid-Market AE</v>
      </c>
      <c r="Q725" t="str">
        <f>_xlfn.XLOOKUP(Pipeline_tbl[[#This Row],[Rep_ID]],Dim_Reps!A:A,Dim_Reps!D:D)</f>
        <v>Mid-Market</v>
      </c>
      <c r="R725" t="str">
        <f>_xlfn.XLOOKUP(Pipeline_tbl[[#This Row],[Rep_ID]],Dim_Reps!A:A,Dim_Reps!E:E)</f>
        <v>APAC</v>
      </c>
      <c r="S725" t="str">
        <f>_xlfn.XLOOKUP(Pipeline_tbl[[#This Row],[Created_Date]],Dim_Date!A:A,Dim_Date!H:H)</f>
        <v>Oct 2025</v>
      </c>
      <c r="T725" t="str">
        <f>IF(Pipeline_tbl[[#This Row],[Closed_Date]]=0,"",(_xlfn.XLOOKUP(Pipeline_tbl[[#This Row],[Closed_Date]],Dim_Date!A:A,Dim_Date!H:H)))</f>
        <v>Nov 2025</v>
      </c>
      <c r="U725">
        <f>IF(Pipeline_tbl[[#This Row],[Closed_Date]]=0,"",Pipeline_tbl[[#This Row],[Closed_Date]]-Pipeline_tbl[[#This Row],[Created_Date]])</f>
        <v>33</v>
      </c>
    </row>
    <row r="726" spans="1:21" ht="15" customHeight="1" x14ac:dyDescent="0.2">
      <c r="A726" t="s">
        <v>1032</v>
      </c>
      <c r="B726" t="s">
        <v>246</v>
      </c>
      <c r="C726" t="s">
        <v>53</v>
      </c>
      <c r="D726" s="49">
        <v>45946</v>
      </c>
      <c r="E726" s="49">
        <v>45950</v>
      </c>
      <c r="F726" s="49">
        <v>45957</v>
      </c>
      <c r="G726" s="49">
        <v>45969</v>
      </c>
      <c r="H726" s="49">
        <v>45978</v>
      </c>
      <c r="I726" s="49">
        <v>45984</v>
      </c>
      <c r="J726" t="s">
        <v>49</v>
      </c>
      <c r="K726" s="33">
        <v>17100</v>
      </c>
      <c r="L726" t="s">
        <v>64</v>
      </c>
      <c r="M726" t="str">
        <f>_xlfn.XLOOKUP(Pipeline_tbl[[#This Row],[Rep_ID]],Dim_Reps!A:A,Dim_Reps!K:K)</f>
        <v>EUR</v>
      </c>
      <c r="N726" s="33">
        <f>(_xlfn.XLOOKUP(Pipeline_tbl[[#This Row],[Rate_Code_Generalized]],Lookups!A:A,Lookups!B:B))*Pipeline_tbl[[#This Row],[Pipeline_Amount_USD]]</f>
        <v>17100</v>
      </c>
      <c r="O726" t="str">
        <f>_xlfn.XLOOKUP(Pipeline_tbl[[#This Row],[Rep_ID]],Dim_Reps!A:A,Dim_Reps!B:B)</f>
        <v>Karim Rivera</v>
      </c>
      <c r="P726" t="str">
        <f>_xlfn.XLOOKUP(Pipeline_tbl[[#This Row],[Rep_ID]],Dim_Reps!A:A,Dim_Reps!C:C)</f>
        <v>Mid-Market AE</v>
      </c>
      <c r="Q726" t="str">
        <f>_xlfn.XLOOKUP(Pipeline_tbl[[#This Row],[Rep_ID]],Dim_Reps!A:A,Dim_Reps!D:D)</f>
        <v>Mid-Market</v>
      </c>
      <c r="R726" t="str">
        <f>_xlfn.XLOOKUP(Pipeline_tbl[[#This Row],[Rep_ID]],Dim_Reps!A:A,Dim_Reps!E:E)</f>
        <v>APAC</v>
      </c>
      <c r="S726" t="str">
        <f>_xlfn.XLOOKUP(Pipeline_tbl[[#This Row],[Created_Date]],Dim_Date!A:A,Dim_Date!H:H)</f>
        <v>Oct 2025</v>
      </c>
      <c r="T726" t="str">
        <f>IF(Pipeline_tbl[[#This Row],[Closed_Date]]=0,"",(_xlfn.XLOOKUP(Pipeline_tbl[[#This Row],[Closed_Date]],Dim_Date!A:A,Dim_Date!H:H)))</f>
        <v>Nov 2025</v>
      </c>
      <c r="U726">
        <f>IF(Pipeline_tbl[[#This Row],[Closed_Date]]=0,"",Pipeline_tbl[[#This Row],[Closed_Date]]-Pipeline_tbl[[#This Row],[Created_Date]])</f>
        <v>38</v>
      </c>
    </row>
    <row r="727" spans="1:21" ht="15" customHeight="1" x14ac:dyDescent="0.2">
      <c r="A727" t="s">
        <v>1033</v>
      </c>
      <c r="B727" t="s">
        <v>183</v>
      </c>
      <c r="C727" t="s">
        <v>53</v>
      </c>
      <c r="D727" s="49">
        <v>45953</v>
      </c>
      <c r="E727" s="49">
        <v>45957</v>
      </c>
      <c r="F727" s="49">
        <v>45964</v>
      </c>
      <c r="I727" s="49">
        <v>45991</v>
      </c>
      <c r="J727" t="s">
        <v>49</v>
      </c>
      <c r="K727" s="33">
        <v>12800</v>
      </c>
      <c r="L727" t="s">
        <v>62</v>
      </c>
      <c r="M727" t="str">
        <f>_xlfn.XLOOKUP(Pipeline_tbl[[#This Row],[Rep_ID]],Dim_Reps!A:A,Dim_Reps!K:K)</f>
        <v>EUR</v>
      </c>
      <c r="N727" s="33">
        <f>(_xlfn.XLOOKUP(Pipeline_tbl[[#This Row],[Rate_Code_Generalized]],Lookups!A:A,Lookups!B:B))*Pipeline_tbl[[#This Row],[Pipeline_Amount_USD]]</f>
        <v>12800</v>
      </c>
      <c r="O727" t="str">
        <f>_xlfn.XLOOKUP(Pipeline_tbl[[#This Row],[Rep_ID]],Dim_Reps!A:A,Dim_Reps!B:B)</f>
        <v>Sam Schmidt</v>
      </c>
      <c r="P727" t="str">
        <f>_xlfn.XLOOKUP(Pipeline_tbl[[#This Row],[Rep_ID]],Dim_Reps!A:A,Dim_Reps!C:C)</f>
        <v>Enterprise AE</v>
      </c>
      <c r="Q727" t="str">
        <f>_xlfn.XLOOKUP(Pipeline_tbl[[#This Row],[Rep_ID]],Dim_Reps!A:A,Dim_Reps!D:D)</f>
        <v>Enterprise</v>
      </c>
      <c r="R727" t="str">
        <f>_xlfn.XLOOKUP(Pipeline_tbl[[#This Row],[Rep_ID]],Dim_Reps!A:A,Dim_Reps!E:E)</f>
        <v>EMEA</v>
      </c>
      <c r="S727" t="str">
        <f>_xlfn.XLOOKUP(Pipeline_tbl[[#This Row],[Created_Date]],Dim_Date!A:A,Dim_Date!H:H)</f>
        <v>Oct 2025</v>
      </c>
      <c r="T727" t="str">
        <f>IF(Pipeline_tbl[[#This Row],[Closed_Date]]=0,"",(_xlfn.XLOOKUP(Pipeline_tbl[[#This Row],[Closed_Date]],Dim_Date!A:A,Dim_Date!H:H)))</f>
        <v>Nov 2025</v>
      </c>
      <c r="U727">
        <f>IF(Pipeline_tbl[[#This Row],[Closed_Date]]=0,"",Pipeline_tbl[[#This Row],[Closed_Date]]-Pipeline_tbl[[#This Row],[Created_Date]])</f>
        <v>38</v>
      </c>
    </row>
    <row r="728" spans="1:21" ht="15" customHeight="1" x14ac:dyDescent="0.2">
      <c r="A728" t="s">
        <v>1034</v>
      </c>
      <c r="B728" t="s">
        <v>183</v>
      </c>
      <c r="C728" t="s">
        <v>52</v>
      </c>
      <c r="D728" s="49">
        <v>45943</v>
      </c>
      <c r="E728" s="49">
        <v>45946</v>
      </c>
      <c r="F728" s="49">
        <v>45953</v>
      </c>
      <c r="I728" s="49">
        <v>45977</v>
      </c>
      <c r="J728" t="s">
        <v>49</v>
      </c>
      <c r="K728" s="33">
        <v>38300</v>
      </c>
      <c r="L728" t="s">
        <v>61</v>
      </c>
      <c r="M728" t="str">
        <f>_xlfn.XLOOKUP(Pipeline_tbl[[#This Row],[Rep_ID]],Dim_Reps!A:A,Dim_Reps!K:K)</f>
        <v>EUR</v>
      </c>
      <c r="N728" s="33">
        <f>(_xlfn.XLOOKUP(Pipeline_tbl[[#This Row],[Rate_Code_Generalized]],Lookups!A:A,Lookups!B:B))*Pipeline_tbl[[#This Row],[Pipeline_Amount_USD]]</f>
        <v>38300</v>
      </c>
      <c r="O728" t="str">
        <f>_xlfn.XLOOKUP(Pipeline_tbl[[#This Row],[Rep_ID]],Dim_Reps!A:A,Dim_Reps!B:B)</f>
        <v>Sam Schmidt</v>
      </c>
      <c r="P728" t="str">
        <f>_xlfn.XLOOKUP(Pipeline_tbl[[#This Row],[Rep_ID]],Dim_Reps!A:A,Dim_Reps!C:C)</f>
        <v>Enterprise AE</v>
      </c>
      <c r="Q728" t="str">
        <f>_xlfn.XLOOKUP(Pipeline_tbl[[#This Row],[Rep_ID]],Dim_Reps!A:A,Dim_Reps!D:D)</f>
        <v>Enterprise</v>
      </c>
      <c r="R728" t="str">
        <f>_xlfn.XLOOKUP(Pipeline_tbl[[#This Row],[Rep_ID]],Dim_Reps!A:A,Dim_Reps!E:E)</f>
        <v>EMEA</v>
      </c>
      <c r="S728" t="str">
        <f>_xlfn.XLOOKUP(Pipeline_tbl[[#This Row],[Created_Date]],Dim_Date!A:A,Dim_Date!H:H)</f>
        <v>Oct 2025</v>
      </c>
      <c r="T728" t="str">
        <f>IF(Pipeline_tbl[[#This Row],[Closed_Date]]=0,"",(_xlfn.XLOOKUP(Pipeline_tbl[[#This Row],[Closed_Date]],Dim_Date!A:A,Dim_Date!H:H)))</f>
        <v>Nov 2025</v>
      </c>
      <c r="U728">
        <f>IF(Pipeline_tbl[[#This Row],[Closed_Date]]=0,"",Pipeline_tbl[[#This Row],[Closed_Date]]-Pipeline_tbl[[#This Row],[Created_Date]])</f>
        <v>34</v>
      </c>
    </row>
    <row r="729" spans="1:21" ht="15" customHeight="1" x14ac:dyDescent="0.2">
      <c r="A729" t="s">
        <v>1035</v>
      </c>
      <c r="B729" t="s">
        <v>203</v>
      </c>
      <c r="C729" t="s">
        <v>53</v>
      </c>
      <c r="D729" s="49">
        <v>45951</v>
      </c>
      <c r="E729" s="49">
        <v>45953</v>
      </c>
      <c r="F729" s="49">
        <v>45958</v>
      </c>
      <c r="I729" s="49">
        <v>45975</v>
      </c>
      <c r="J729" t="s">
        <v>49</v>
      </c>
      <c r="K729" s="33">
        <v>3500</v>
      </c>
      <c r="L729" t="s">
        <v>60</v>
      </c>
      <c r="M729" t="str">
        <f>_xlfn.XLOOKUP(Pipeline_tbl[[#This Row],[Rep_ID]],Dim_Reps!A:A,Dim_Reps!K:K)</f>
        <v>EUR</v>
      </c>
      <c r="N729" s="33">
        <f>(_xlfn.XLOOKUP(Pipeline_tbl[[#This Row],[Rate_Code_Generalized]],Lookups!A:A,Lookups!B:B))*Pipeline_tbl[[#This Row],[Pipeline_Amount_USD]]</f>
        <v>3500</v>
      </c>
      <c r="O729" t="str">
        <f>_xlfn.XLOOKUP(Pipeline_tbl[[#This Row],[Rep_ID]],Dim_Reps!A:A,Dim_Reps!B:B)</f>
        <v>Riley Haddad</v>
      </c>
      <c r="P729" t="str">
        <f>_xlfn.XLOOKUP(Pipeline_tbl[[#This Row],[Rep_ID]],Dim_Reps!A:A,Dim_Reps!C:C)</f>
        <v>SDR / Inside Sales Rep</v>
      </c>
      <c r="Q729" t="str">
        <f>_xlfn.XLOOKUP(Pipeline_tbl[[#This Row],[Rep_ID]],Dim_Reps!A:A,Dim_Reps!D:D)</f>
        <v>Inside Sales</v>
      </c>
      <c r="R729" t="str">
        <f>_xlfn.XLOOKUP(Pipeline_tbl[[#This Row],[Rep_ID]],Dim_Reps!A:A,Dim_Reps!E:E)</f>
        <v>APAC</v>
      </c>
      <c r="S729" t="str">
        <f>_xlfn.XLOOKUP(Pipeline_tbl[[#This Row],[Created_Date]],Dim_Date!A:A,Dim_Date!H:H)</f>
        <v>Oct 2025</v>
      </c>
      <c r="T729" t="str">
        <f>IF(Pipeline_tbl[[#This Row],[Closed_Date]]=0,"",(_xlfn.XLOOKUP(Pipeline_tbl[[#This Row],[Closed_Date]],Dim_Date!A:A,Dim_Date!H:H)))</f>
        <v>Nov 2025</v>
      </c>
      <c r="U729">
        <f>IF(Pipeline_tbl[[#This Row],[Closed_Date]]=0,"",Pipeline_tbl[[#This Row],[Closed_Date]]-Pipeline_tbl[[#This Row],[Created_Date]])</f>
        <v>24</v>
      </c>
    </row>
    <row r="730" spans="1:21" ht="15" customHeight="1" x14ac:dyDescent="0.2">
      <c r="A730" t="s">
        <v>1036</v>
      </c>
      <c r="B730" t="s">
        <v>203</v>
      </c>
      <c r="C730" t="s">
        <v>52</v>
      </c>
      <c r="D730" s="49">
        <v>45950</v>
      </c>
      <c r="E730" s="49">
        <v>45952</v>
      </c>
      <c r="F730" s="49">
        <v>45958</v>
      </c>
      <c r="G730" s="49">
        <v>45965</v>
      </c>
      <c r="H730" s="49">
        <v>45971</v>
      </c>
      <c r="I730" s="49">
        <v>45975</v>
      </c>
      <c r="J730" t="s">
        <v>49</v>
      </c>
      <c r="K730" s="33">
        <v>2300</v>
      </c>
      <c r="L730" t="s">
        <v>60</v>
      </c>
      <c r="M730" t="str">
        <f>_xlfn.XLOOKUP(Pipeline_tbl[[#This Row],[Rep_ID]],Dim_Reps!A:A,Dim_Reps!K:K)</f>
        <v>EUR</v>
      </c>
      <c r="N730" s="33">
        <f>(_xlfn.XLOOKUP(Pipeline_tbl[[#This Row],[Rate_Code_Generalized]],Lookups!A:A,Lookups!B:B))*Pipeline_tbl[[#This Row],[Pipeline_Amount_USD]]</f>
        <v>2300</v>
      </c>
      <c r="O730" t="str">
        <f>_xlfn.XLOOKUP(Pipeline_tbl[[#This Row],[Rep_ID]],Dim_Reps!A:A,Dim_Reps!B:B)</f>
        <v>Riley Haddad</v>
      </c>
      <c r="P730" t="str">
        <f>_xlfn.XLOOKUP(Pipeline_tbl[[#This Row],[Rep_ID]],Dim_Reps!A:A,Dim_Reps!C:C)</f>
        <v>SDR / Inside Sales Rep</v>
      </c>
      <c r="Q730" t="str">
        <f>_xlfn.XLOOKUP(Pipeline_tbl[[#This Row],[Rep_ID]],Dim_Reps!A:A,Dim_Reps!D:D)</f>
        <v>Inside Sales</v>
      </c>
      <c r="R730" t="str">
        <f>_xlfn.XLOOKUP(Pipeline_tbl[[#This Row],[Rep_ID]],Dim_Reps!A:A,Dim_Reps!E:E)</f>
        <v>APAC</v>
      </c>
      <c r="S730" t="str">
        <f>_xlfn.XLOOKUP(Pipeline_tbl[[#This Row],[Created_Date]],Dim_Date!A:A,Dim_Date!H:H)</f>
        <v>Oct 2025</v>
      </c>
      <c r="T730" t="str">
        <f>IF(Pipeline_tbl[[#This Row],[Closed_Date]]=0,"",(_xlfn.XLOOKUP(Pipeline_tbl[[#This Row],[Closed_Date]],Dim_Date!A:A,Dim_Date!H:H)))</f>
        <v>Nov 2025</v>
      </c>
      <c r="U730">
        <f>IF(Pipeline_tbl[[#This Row],[Closed_Date]]=0,"",Pipeline_tbl[[#This Row],[Closed_Date]]-Pipeline_tbl[[#This Row],[Created_Date]])</f>
        <v>25</v>
      </c>
    </row>
    <row r="731" spans="1:21" ht="15" customHeight="1" x14ac:dyDescent="0.2">
      <c r="A731" t="s">
        <v>1037</v>
      </c>
      <c r="B731" t="s">
        <v>203</v>
      </c>
      <c r="C731" t="s">
        <v>55</v>
      </c>
      <c r="D731" s="49">
        <v>45952</v>
      </c>
      <c r="E731" s="49">
        <v>45955</v>
      </c>
      <c r="F731" s="49">
        <v>45960</v>
      </c>
      <c r="G731" s="49">
        <v>45969</v>
      </c>
      <c r="H731" s="49">
        <v>45976</v>
      </c>
      <c r="I731" s="49">
        <v>45980</v>
      </c>
      <c r="J731" t="s">
        <v>47</v>
      </c>
      <c r="K731" s="33">
        <v>2000</v>
      </c>
      <c r="M731" t="str">
        <f>_xlfn.XLOOKUP(Pipeline_tbl[[#This Row],[Rep_ID]],Dim_Reps!A:A,Dim_Reps!K:K)</f>
        <v>EUR</v>
      </c>
      <c r="N731" s="33">
        <f>(_xlfn.XLOOKUP(Pipeline_tbl[[#This Row],[Rate_Code_Generalized]],Lookups!A:A,Lookups!B:B))*Pipeline_tbl[[#This Row],[Pipeline_Amount_USD]]</f>
        <v>2000</v>
      </c>
      <c r="O731" t="str">
        <f>_xlfn.XLOOKUP(Pipeline_tbl[[#This Row],[Rep_ID]],Dim_Reps!A:A,Dim_Reps!B:B)</f>
        <v>Riley Haddad</v>
      </c>
      <c r="P731" t="str">
        <f>_xlfn.XLOOKUP(Pipeline_tbl[[#This Row],[Rep_ID]],Dim_Reps!A:A,Dim_Reps!C:C)</f>
        <v>SDR / Inside Sales Rep</v>
      </c>
      <c r="Q731" t="str">
        <f>_xlfn.XLOOKUP(Pipeline_tbl[[#This Row],[Rep_ID]],Dim_Reps!A:A,Dim_Reps!D:D)</f>
        <v>Inside Sales</v>
      </c>
      <c r="R731" t="str">
        <f>_xlfn.XLOOKUP(Pipeline_tbl[[#This Row],[Rep_ID]],Dim_Reps!A:A,Dim_Reps!E:E)</f>
        <v>APAC</v>
      </c>
      <c r="S731" t="str">
        <f>_xlfn.XLOOKUP(Pipeline_tbl[[#This Row],[Created_Date]],Dim_Date!A:A,Dim_Date!H:H)</f>
        <v>Oct 2025</v>
      </c>
      <c r="T731" t="str">
        <f>IF(Pipeline_tbl[[#This Row],[Closed_Date]]=0,"",(_xlfn.XLOOKUP(Pipeline_tbl[[#This Row],[Closed_Date]],Dim_Date!A:A,Dim_Date!H:H)))</f>
        <v>Nov 2025</v>
      </c>
      <c r="U731">
        <f>IF(Pipeline_tbl[[#This Row],[Closed_Date]]=0,"",Pipeline_tbl[[#This Row],[Closed_Date]]-Pipeline_tbl[[#This Row],[Created_Date]])</f>
        <v>28</v>
      </c>
    </row>
    <row r="732" spans="1:21" ht="15" customHeight="1" x14ac:dyDescent="0.2">
      <c r="A732" t="s">
        <v>1038</v>
      </c>
      <c r="B732" t="s">
        <v>203</v>
      </c>
      <c r="C732" t="s">
        <v>56</v>
      </c>
      <c r="D732" s="49">
        <v>45955</v>
      </c>
      <c r="E732" s="49">
        <v>45957</v>
      </c>
      <c r="F732" s="49">
        <v>45961</v>
      </c>
      <c r="G732" s="49">
        <v>45968</v>
      </c>
      <c r="H732" s="49">
        <v>45973</v>
      </c>
      <c r="I732" s="49">
        <v>45976</v>
      </c>
      <c r="J732" t="s">
        <v>47</v>
      </c>
      <c r="K732" s="33">
        <v>2500</v>
      </c>
      <c r="M732" t="str">
        <f>_xlfn.XLOOKUP(Pipeline_tbl[[#This Row],[Rep_ID]],Dim_Reps!A:A,Dim_Reps!K:K)</f>
        <v>EUR</v>
      </c>
      <c r="N732" s="33">
        <f>(_xlfn.XLOOKUP(Pipeline_tbl[[#This Row],[Rate_Code_Generalized]],Lookups!A:A,Lookups!B:B))*Pipeline_tbl[[#This Row],[Pipeline_Amount_USD]]</f>
        <v>2500</v>
      </c>
      <c r="O732" t="str">
        <f>_xlfn.XLOOKUP(Pipeline_tbl[[#This Row],[Rep_ID]],Dim_Reps!A:A,Dim_Reps!B:B)</f>
        <v>Riley Haddad</v>
      </c>
      <c r="P732" t="str">
        <f>_xlfn.XLOOKUP(Pipeline_tbl[[#This Row],[Rep_ID]],Dim_Reps!A:A,Dim_Reps!C:C)</f>
        <v>SDR / Inside Sales Rep</v>
      </c>
      <c r="Q732" t="str">
        <f>_xlfn.XLOOKUP(Pipeline_tbl[[#This Row],[Rep_ID]],Dim_Reps!A:A,Dim_Reps!D:D)</f>
        <v>Inside Sales</v>
      </c>
      <c r="R732" t="str">
        <f>_xlfn.XLOOKUP(Pipeline_tbl[[#This Row],[Rep_ID]],Dim_Reps!A:A,Dim_Reps!E:E)</f>
        <v>APAC</v>
      </c>
      <c r="S732" t="str">
        <f>_xlfn.XLOOKUP(Pipeline_tbl[[#This Row],[Created_Date]],Dim_Date!A:A,Dim_Date!H:H)</f>
        <v>Oct 2025</v>
      </c>
      <c r="T732" t="str">
        <f>IF(Pipeline_tbl[[#This Row],[Closed_Date]]=0,"",(_xlfn.XLOOKUP(Pipeline_tbl[[#This Row],[Closed_Date]],Dim_Date!A:A,Dim_Date!H:H)))</f>
        <v>Nov 2025</v>
      </c>
      <c r="U732">
        <f>IF(Pipeline_tbl[[#This Row],[Closed_Date]]=0,"",Pipeline_tbl[[#This Row],[Closed_Date]]-Pipeline_tbl[[#This Row],[Created_Date]])</f>
        <v>21</v>
      </c>
    </row>
    <row r="733" spans="1:21" ht="15" customHeight="1" x14ac:dyDescent="0.2">
      <c r="A733" t="s">
        <v>1039</v>
      </c>
      <c r="B733" t="s">
        <v>203</v>
      </c>
      <c r="C733" t="s">
        <v>55</v>
      </c>
      <c r="D733" s="49">
        <v>45954</v>
      </c>
      <c r="E733" s="49">
        <v>45956</v>
      </c>
      <c r="F733" s="49">
        <v>45961</v>
      </c>
      <c r="I733" s="49">
        <v>45976</v>
      </c>
      <c r="J733" t="s">
        <v>49</v>
      </c>
      <c r="K733" s="33">
        <v>5600</v>
      </c>
      <c r="L733" t="s">
        <v>62</v>
      </c>
      <c r="M733" t="str">
        <f>_xlfn.XLOOKUP(Pipeline_tbl[[#This Row],[Rep_ID]],Dim_Reps!A:A,Dim_Reps!K:K)</f>
        <v>EUR</v>
      </c>
      <c r="N733" s="33">
        <f>(_xlfn.XLOOKUP(Pipeline_tbl[[#This Row],[Rate_Code_Generalized]],Lookups!A:A,Lookups!B:B))*Pipeline_tbl[[#This Row],[Pipeline_Amount_USD]]</f>
        <v>5600</v>
      </c>
      <c r="O733" t="str">
        <f>_xlfn.XLOOKUP(Pipeline_tbl[[#This Row],[Rep_ID]],Dim_Reps!A:A,Dim_Reps!B:B)</f>
        <v>Riley Haddad</v>
      </c>
      <c r="P733" t="str">
        <f>_xlfn.XLOOKUP(Pipeline_tbl[[#This Row],[Rep_ID]],Dim_Reps!A:A,Dim_Reps!C:C)</f>
        <v>SDR / Inside Sales Rep</v>
      </c>
      <c r="Q733" t="str">
        <f>_xlfn.XLOOKUP(Pipeline_tbl[[#This Row],[Rep_ID]],Dim_Reps!A:A,Dim_Reps!D:D)</f>
        <v>Inside Sales</v>
      </c>
      <c r="R733" t="str">
        <f>_xlfn.XLOOKUP(Pipeline_tbl[[#This Row],[Rep_ID]],Dim_Reps!A:A,Dim_Reps!E:E)</f>
        <v>APAC</v>
      </c>
      <c r="S733" t="str">
        <f>_xlfn.XLOOKUP(Pipeline_tbl[[#This Row],[Created_Date]],Dim_Date!A:A,Dim_Date!H:H)</f>
        <v>Oct 2025</v>
      </c>
      <c r="T733" t="str">
        <f>IF(Pipeline_tbl[[#This Row],[Closed_Date]]=0,"",(_xlfn.XLOOKUP(Pipeline_tbl[[#This Row],[Closed_Date]],Dim_Date!A:A,Dim_Date!H:H)))</f>
        <v>Nov 2025</v>
      </c>
      <c r="U733">
        <f>IF(Pipeline_tbl[[#This Row],[Closed_Date]]=0,"",Pipeline_tbl[[#This Row],[Closed_Date]]-Pipeline_tbl[[#This Row],[Created_Date]])</f>
        <v>22</v>
      </c>
    </row>
    <row r="734" spans="1:21" ht="15" customHeight="1" x14ac:dyDescent="0.2">
      <c r="A734" t="s">
        <v>1040</v>
      </c>
      <c r="B734" t="s">
        <v>203</v>
      </c>
      <c r="C734" t="s">
        <v>52</v>
      </c>
      <c r="D734" s="49">
        <v>45955</v>
      </c>
      <c r="E734" s="49">
        <v>45957</v>
      </c>
      <c r="F734" s="49">
        <v>45960</v>
      </c>
      <c r="G734" s="49">
        <v>45966</v>
      </c>
      <c r="H734" s="49">
        <v>45970</v>
      </c>
      <c r="I734" s="49">
        <v>45973</v>
      </c>
      <c r="J734" t="s">
        <v>47</v>
      </c>
      <c r="K734" s="33">
        <v>3800</v>
      </c>
      <c r="M734" t="str">
        <f>_xlfn.XLOOKUP(Pipeline_tbl[[#This Row],[Rep_ID]],Dim_Reps!A:A,Dim_Reps!K:K)</f>
        <v>EUR</v>
      </c>
      <c r="N734" s="33">
        <f>(_xlfn.XLOOKUP(Pipeline_tbl[[#This Row],[Rate_Code_Generalized]],Lookups!A:A,Lookups!B:B))*Pipeline_tbl[[#This Row],[Pipeline_Amount_USD]]</f>
        <v>3800</v>
      </c>
      <c r="O734" t="str">
        <f>_xlfn.XLOOKUP(Pipeline_tbl[[#This Row],[Rep_ID]],Dim_Reps!A:A,Dim_Reps!B:B)</f>
        <v>Riley Haddad</v>
      </c>
      <c r="P734" t="str">
        <f>_xlfn.XLOOKUP(Pipeline_tbl[[#This Row],[Rep_ID]],Dim_Reps!A:A,Dim_Reps!C:C)</f>
        <v>SDR / Inside Sales Rep</v>
      </c>
      <c r="Q734" t="str">
        <f>_xlfn.XLOOKUP(Pipeline_tbl[[#This Row],[Rep_ID]],Dim_Reps!A:A,Dim_Reps!D:D)</f>
        <v>Inside Sales</v>
      </c>
      <c r="R734" t="str">
        <f>_xlfn.XLOOKUP(Pipeline_tbl[[#This Row],[Rep_ID]],Dim_Reps!A:A,Dim_Reps!E:E)</f>
        <v>APAC</v>
      </c>
      <c r="S734" t="str">
        <f>_xlfn.XLOOKUP(Pipeline_tbl[[#This Row],[Created_Date]],Dim_Date!A:A,Dim_Date!H:H)</f>
        <v>Oct 2025</v>
      </c>
      <c r="T734" t="str">
        <f>IF(Pipeline_tbl[[#This Row],[Closed_Date]]=0,"",(_xlfn.XLOOKUP(Pipeline_tbl[[#This Row],[Closed_Date]],Dim_Date!A:A,Dim_Date!H:H)))</f>
        <v>Nov 2025</v>
      </c>
      <c r="U734">
        <f>IF(Pipeline_tbl[[#This Row],[Closed_Date]]=0,"",Pipeline_tbl[[#This Row],[Closed_Date]]-Pipeline_tbl[[#This Row],[Created_Date]])</f>
        <v>18</v>
      </c>
    </row>
    <row r="735" spans="1:21" ht="15" customHeight="1" x14ac:dyDescent="0.2">
      <c r="A735" t="s">
        <v>1041</v>
      </c>
      <c r="B735" t="s">
        <v>203</v>
      </c>
      <c r="C735" t="s">
        <v>53</v>
      </c>
      <c r="D735" s="49">
        <v>45952</v>
      </c>
      <c r="E735" s="49">
        <v>45955</v>
      </c>
      <c r="I735" s="49">
        <v>45980</v>
      </c>
      <c r="J735" t="s">
        <v>49</v>
      </c>
      <c r="K735" s="33">
        <v>4300</v>
      </c>
      <c r="L735" t="s">
        <v>62</v>
      </c>
      <c r="M735" t="str">
        <f>_xlfn.XLOOKUP(Pipeline_tbl[[#This Row],[Rep_ID]],Dim_Reps!A:A,Dim_Reps!K:K)</f>
        <v>EUR</v>
      </c>
      <c r="N735" s="33">
        <f>(_xlfn.XLOOKUP(Pipeline_tbl[[#This Row],[Rate_Code_Generalized]],Lookups!A:A,Lookups!B:B))*Pipeline_tbl[[#This Row],[Pipeline_Amount_USD]]</f>
        <v>4300</v>
      </c>
      <c r="O735" t="str">
        <f>_xlfn.XLOOKUP(Pipeline_tbl[[#This Row],[Rep_ID]],Dim_Reps!A:A,Dim_Reps!B:B)</f>
        <v>Riley Haddad</v>
      </c>
      <c r="P735" t="str">
        <f>_xlfn.XLOOKUP(Pipeline_tbl[[#This Row],[Rep_ID]],Dim_Reps!A:A,Dim_Reps!C:C)</f>
        <v>SDR / Inside Sales Rep</v>
      </c>
      <c r="Q735" t="str">
        <f>_xlfn.XLOOKUP(Pipeline_tbl[[#This Row],[Rep_ID]],Dim_Reps!A:A,Dim_Reps!D:D)</f>
        <v>Inside Sales</v>
      </c>
      <c r="R735" t="str">
        <f>_xlfn.XLOOKUP(Pipeline_tbl[[#This Row],[Rep_ID]],Dim_Reps!A:A,Dim_Reps!E:E)</f>
        <v>APAC</v>
      </c>
      <c r="S735" t="str">
        <f>_xlfn.XLOOKUP(Pipeline_tbl[[#This Row],[Created_Date]],Dim_Date!A:A,Dim_Date!H:H)</f>
        <v>Oct 2025</v>
      </c>
      <c r="T735" t="str">
        <f>IF(Pipeline_tbl[[#This Row],[Closed_Date]]=0,"",(_xlfn.XLOOKUP(Pipeline_tbl[[#This Row],[Closed_Date]],Dim_Date!A:A,Dim_Date!H:H)))</f>
        <v>Nov 2025</v>
      </c>
      <c r="U735">
        <f>IF(Pipeline_tbl[[#This Row],[Closed_Date]]=0,"",Pipeline_tbl[[#This Row],[Closed_Date]]-Pipeline_tbl[[#This Row],[Created_Date]])</f>
        <v>28</v>
      </c>
    </row>
    <row r="736" spans="1:21" ht="15" customHeight="1" x14ac:dyDescent="0.2">
      <c r="A736" t="s">
        <v>1042</v>
      </c>
      <c r="B736" t="s">
        <v>203</v>
      </c>
      <c r="C736" t="s">
        <v>56</v>
      </c>
      <c r="D736" s="49">
        <v>45952</v>
      </c>
      <c r="E736" s="49">
        <v>45954</v>
      </c>
      <c r="I736" s="49">
        <v>45972</v>
      </c>
      <c r="J736" t="s">
        <v>49</v>
      </c>
      <c r="K736" s="33">
        <v>4500</v>
      </c>
      <c r="L736" t="s">
        <v>63</v>
      </c>
      <c r="M736" t="str">
        <f>_xlfn.XLOOKUP(Pipeline_tbl[[#This Row],[Rep_ID]],Dim_Reps!A:A,Dim_Reps!K:K)</f>
        <v>EUR</v>
      </c>
      <c r="N736" s="33">
        <f>(_xlfn.XLOOKUP(Pipeline_tbl[[#This Row],[Rate_Code_Generalized]],Lookups!A:A,Lookups!B:B))*Pipeline_tbl[[#This Row],[Pipeline_Amount_USD]]</f>
        <v>4500</v>
      </c>
      <c r="O736" t="str">
        <f>_xlfn.XLOOKUP(Pipeline_tbl[[#This Row],[Rep_ID]],Dim_Reps!A:A,Dim_Reps!B:B)</f>
        <v>Riley Haddad</v>
      </c>
      <c r="P736" t="str">
        <f>_xlfn.XLOOKUP(Pipeline_tbl[[#This Row],[Rep_ID]],Dim_Reps!A:A,Dim_Reps!C:C)</f>
        <v>SDR / Inside Sales Rep</v>
      </c>
      <c r="Q736" t="str">
        <f>_xlfn.XLOOKUP(Pipeline_tbl[[#This Row],[Rep_ID]],Dim_Reps!A:A,Dim_Reps!D:D)</f>
        <v>Inside Sales</v>
      </c>
      <c r="R736" t="str">
        <f>_xlfn.XLOOKUP(Pipeline_tbl[[#This Row],[Rep_ID]],Dim_Reps!A:A,Dim_Reps!E:E)</f>
        <v>APAC</v>
      </c>
      <c r="S736" t="str">
        <f>_xlfn.XLOOKUP(Pipeline_tbl[[#This Row],[Created_Date]],Dim_Date!A:A,Dim_Date!H:H)</f>
        <v>Oct 2025</v>
      </c>
      <c r="T736" t="str">
        <f>IF(Pipeline_tbl[[#This Row],[Closed_Date]]=0,"",(_xlfn.XLOOKUP(Pipeline_tbl[[#This Row],[Closed_Date]],Dim_Date!A:A,Dim_Date!H:H)))</f>
        <v>Nov 2025</v>
      </c>
      <c r="U736">
        <f>IF(Pipeline_tbl[[#This Row],[Closed_Date]]=0,"",Pipeline_tbl[[#This Row],[Closed_Date]]-Pipeline_tbl[[#This Row],[Created_Date]])</f>
        <v>20</v>
      </c>
    </row>
    <row r="737" spans="1:21" ht="15" customHeight="1" x14ac:dyDescent="0.2">
      <c r="A737" t="s">
        <v>1043</v>
      </c>
      <c r="B737" t="s">
        <v>203</v>
      </c>
      <c r="C737" t="s">
        <v>52</v>
      </c>
      <c r="D737" s="49">
        <v>45957</v>
      </c>
      <c r="E737" s="49">
        <v>45959</v>
      </c>
      <c r="F737" s="49">
        <v>45963</v>
      </c>
      <c r="G737" s="49">
        <v>45968</v>
      </c>
      <c r="H737" s="49">
        <v>45973</v>
      </c>
      <c r="I737" s="49">
        <v>45976</v>
      </c>
      <c r="J737" t="s">
        <v>47</v>
      </c>
      <c r="K737" s="33">
        <v>3100</v>
      </c>
      <c r="M737" t="str">
        <f>_xlfn.XLOOKUP(Pipeline_tbl[[#This Row],[Rep_ID]],Dim_Reps!A:A,Dim_Reps!K:K)</f>
        <v>EUR</v>
      </c>
      <c r="N737" s="33">
        <f>(_xlfn.XLOOKUP(Pipeline_tbl[[#This Row],[Rate_Code_Generalized]],Lookups!A:A,Lookups!B:B))*Pipeline_tbl[[#This Row],[Pipeline_Amount_USD]]</f>
        <v>3100</v>
      </c>
      <c r="O737" t="str">
        <f>_xlfn.XLOOKUP(Pipeline_tbl[[#This Row],[Rep_ID]],Dim_Reps!A:A,Dim_Reps!B:B)</f>
        <v>Riley Haddad</v>
      </c>
      <c r="P737" t="str">
        <f>_xlfn.XLOOKUP(Pipeline_tbl[[#This Row],[Rep_ID]],Dim_Reps!A:A,Dim_Reps!C:C)</f>
        <v>SDR / Inside Sales Rep</v>
      </c>
      <c r="Q737" t="str">
        <f>_xlfn.XLOOKUP(Pipeline_tbl[[#This Row],[Rep_ID]],Dim_Reps!A:A,Dim_Reps!D:D)</f>
        <v>Inside Sales</v>
      </c>
      <c r="R737" t="str">
        <f>_xlfn.XLOOKUP(Pipeline_tbl[[#This Row],[Rep_ID]],Dim_Reps!A:A,Dim_Reps!E:E)</f>
        <v>APAC</v>
      </c>
      <c r="S737" t="str">
        <f>_xlfn.XLOOKUP(Pipeline_tbl[[#This Row],[Created_Date]],Dim_Date!A:A,Dim_Date!H:H)</f>
        <v>Oct 2025</v>
      </c>
      <c r="T737" t="str">
        <f>IF(Pipeline_tbl[[#This Row],[Closed_Date]]=0,"",(_xlfn.XLOOKUP(Pipeline_tbl[[#This Row],[Closed_Date]],Dim_Date!A:A,Dim_Date!H:H)))</f>
        <v>Nov 2025</v>
      </c>
      <c r="U737">
        <f>IF(Pipeline_tbl[[#This Row],[Closed_Date]]=0,"",Pipeline_tbl[[#This Row],[Closed_Date]]-Pipeline_tbl[[#This Row],[Created_Date]])</f>
        <v>19</v>
      </c>
    </row>
    <row r="738" spans="1:21" ht="15" customHeight="1" x14ac:dyDescent="0.2">
      <c r="A738" t="s">
        <v>1044</v>
      </c>
      <c r="B738" t="s">
        <v>203</v>
      </c>
      <c r="C738" t="s">
        <v>55</v>
      </c>
      <c r="D738" s="49">
        <v>45951</v>
      </c>
      <c r="E738" s="49">
        <v>45953</v>
      </c>
      <c r="F738" s="49">
        <v>45956</v>
      </c>
      <c r="G738" s="49">
        <v>45961</v>
      </c>
      <c r="H738" s="49">
        <v>45965</v>
      </c>
      <c r="I738" s="49">
        <v>45967</v>
      </c>
      <c r="J738" t="s">
        <v>47</v>
      </c>
      <c r="K738" s="33">
        <v>1900</v>
      </c>
      <c r="M738" t="str">
        <f>_xlfn.XLOOKUP(Pipeline_tbl[[#This Row],[Rep_ID]],Dim_Reps!A:A,Dim_Reps!K:K)</f>
        <v>EUR</v>
      </c>
      <c r="N738" s="33">
        <f>(_xlfn.XLOOKUP(Pipeline_tbl[[#This Row],[Rate_Code_Generalized]],Lookups!A:A,Lookups!B:B))*Pipeline_tbl[[#This Row],[Pipeline_Amount_USD]]</f>
        <v>1900</v>
      </c>
      <c r="O738" t="str">
        <f>_xlfn.XLOOKUP(Pipeline_tbl[[#This Row],[Rep_ID]],Dim_Reps!A:A,Dim_Reps!B:B)</f>
        <v>Riley Haddad</v>
      </c>
      <c r="P738" t="str">
        <f>_xlfn.XLOOKUP(Pipeline_tbl[[#This Row],[Rep_ID]],Dim_Reps!A:A,Dim_Reps!C:C)</f>
        <v>SDR / Inside Sales Rep</v>
      </c>
      <c r="Q738" t="str">
        <f>_xlfn.XLOOKUP(Pipeline_tbl[[#This Row],[Rep_ID]],Dim_Reps!A:A,Dim_Reps!D:D)</f>
        <v>Inside Sales</v>
      </c>
      <c r="R738" t="str">
        <f>_xlfn.XLOOKUP(Pipeline_tbl[[#This Row],[Rep_ID]],Dim_Reps!A:A,Dim_Reps!E:E)</f>
        <v>APAC</v>
      </c>
      <c r="S738" t="str">
        <f>_xlfn.XLOOKUP(Pipeline_tbl[[#This Row],[Created_Date]],Dim_Date!A:A,Dim_Date!H:H)</f>
        <v>Oct 2025</v>
      </c>
      <c r="T738" t="str">
        <f>IF(Pipeline_tbl[[#This Row],[Closed_Date]]=0,"",(_xlfn.XLOOKUP(Pipeline_tbl[[#This Row],[Closed_Date]],Dim_Date!A:A,Dim_Date!H:H)))</f>
        <v>Nov 2025</v>
      </c>
      <c r="U738">
        <f>IF(Pipeline_tbl[[#This Row],[Closed_Date]]=0,"",Pipeline_tbl[[#This Row],[Closed_Date]]-Pipeline_tbl[[#This Row],[Created_Date]])</f>
        <v>16</v>
      </c>
    </row>
    <row r="739" spans="1:21" ht="15" customHeight="1" x14ac:dyDescent="0.2">
      <c r="A739" t="s">
        <v>1045</v>
      </c>
      <c r="B739" t="s">
        <v>278</v>
      </c>
      <c r="C739" t="s">
        <v>52</v>
      </c>
      <c r="D739" s="49">
        <v>45948</v>
      </c>
      <c r="E739" s="49">
        <v>45952</v>
      </c>
      <c r="F739" s="49">
        <v>45960</v>
      </c>
      <c r="G739" s="49">
        <v>45972</v>
      </c>
      <c r="I739" s="49">
        <v>45988</v>
      </c>
      <c r="J739" t="s">
        <v>49</v>
      </c>
      <c r="K739" s="33">
        <v>57200</v>
      </c>
      <c r="L739" t="s">
        <v>61</v>
      </c>
      <c r="M739" t="str">
        <f>_xlfn.XLOOKUP(Pipeline_tbl[[#This Row],[Rep_ID]],Dim_Reps!A:A,Dim_Reps!K:K)</f>
        <v>EUR</v>
      </c>
      <c r="N739" s="33">
        <f>(_xlfn.XLOOKUP(Pipeline_tbl[[#This Row],[Rate_Code_Generalized]],Lookups!A:A,Lookups!B:B))*Pipeline_tbl[[#This Row],[Pipeline_Amount_USD]]</f>
        <v>57200</v>
      </c>
      <c r="O739" t="str">
        <f>_xlfn.XLOOKUP(Pipeline_tbl[[#This Row],[Rep_ID]],Dim_Reps!A:A,Dim_Reps!B:B)</f>
        <v>Sara Andersson</v>
      </c>
      <c r="P739" t="str">
        <f>_xlfn.XLOOKUP(Pipeline_tbl[[#This Row],[Rep_ID]],Dim_Reps!A:A,Dim_Reps!C:C)</f>
        <v>Senior Enterprise AE</v>
      </c>
      <c r="Q739" t="str">
        <f>_xlfn.XLOOKUP(Pipeline_tbl[[#This Row],[Rep_ID]],Dim_Reps!A:A,Dim_Reps!D:D)</f>
        <v>Strategic</v>
      </c>
      <c r="R739" t="str">
        <f>_xlfn.XLOOKUP(Pipeline_tbl[[#This Row],[Rep_ID]],Dim_Reps!A:A,Dim_Reps!E:E)</f>
        <v>APAC</v>
      </c>
      <c r="S739" t="str">
        <f>_xlfn.XLOOKUP(Pipeline_tbl[[#This Row],[Created_Date]],Dim_Date!A:A,Dim_Date!H:H)</f>
        <v>Oct 2025</v>
      </c>
      <c r="T739" t="str">
        <f>IF(Pipeline_tbl[[#This Row],[Closed_Date]]=0,"",(_xlfn.XLOOKUP(Pipeline_tbl[[#This Row],[Closed_Date]],Dim_Date!A:A,Dim_Date!H:H)))</f>
        <v>Nov 2025</v>
      </c>
      <c r="U739">
        <f>IF(Pipeline_tbl[[#This Row],[Closed_Date]]=0,"",Pipeline_tbl[[#This Row],[Closed_Date]]-Pipeline_tbl[[#This Row],[Created_Date]])</f>
        <v>40</v>
      </c>
    </row>
    <row r="740" spans="1:21" ht="15" customHeight="1" x14ac:dyDescent="0.2">
      <c r="A740" t="s">
        <v>1046</v>
      </c>
      <c r="B740" t="s">
        <v>185</v>
      </c>
      <c r="C740" t="s">
        <v>54</v>
      </c>
      <c r="D740" s="49">
        <v>45935</v>
      </c>
      <c r="E740" s="49">
        <v>45940</v>
      </c>
      <c r="F740" s="49">
        <v>45951</v>
      </c>
      <c r="G740" s="49">
        <v>45966</v>
      </c>
      <c r="H740" s="49">
        <v>45979</v>
      </c>
      <c r="I740" s="49">
        <v>45987</v>
      </c>
      <c r="J740" t="s">
        <v>49</v>
      </c>
      <c r="K740" s="33">
        <v>14400</v>
      </c>
      <c r="L740" t="s">
        <v>60</v>
      </c>
      <c r="M740" t="str">
        <f>_xlfn.XLOOKUP(Pipeline_tbl[[#This Row],[Rep_ID]],Dim_Reps!A:A,Dim_Reps!K:K)</f>
        <v>MXN</v>
      </c>
      <c r="N740" s="33">
        <f>(_xlfn.XLOOKUP(Pipeline_tbl[[#This Row],[Rate_Code_Generalized]],Lookups!A:A,Lookups!B:B))*Pipeline_tbl[[#This Row],[Pipeline_Amount_USD]]</f>
        <v>284150.88</v>
      </c>
      <c r="O740" t="str">
        <f>_xlfn.XLOOKUP(Pipeline_tbl[[#This Row],[Rep_ID]],Dim_Reps!A:A,Dim_Reps!B:B)</f>
        <v>Noah Kim</v>
      </c>
      <c r="P740" t="str">
        <f>_xlfn.XLOOKUP(Pipeline_tbl[[#This Row],[Rep_ID]],Dim_Reps!A:A,Dim_Reps!C:C)</f>
        <v>Enterprise AE</v>
      </c>
      <c r="Q740" t="str">
        <f>_xlfn.XLOOKUP(Pipeline_tbl[[#This Row],[Rep_ID]],Dim_Reps!A:A,Dim_Reps!D:D)</f>
        <v>Enterprise</v>
      </c>
      <c r="R740" t="str">
        <f>_xlfn.XLOOKUP(Pipeline_tbl[[#This Row],[Rep_ID]],Dim_Reps!A:A,Dim_Reps!E:E)</f>
        <v>LATAM</v>
      </c>
      <c r="S740" t="str">
        <f>_xlfn.XLOOKUP(Pipeline_tbl[[#This Row],[Created_Date]],Dim_Date!A:A,Dim_Date!H:H)</f>
        <v>Oct 2025</v>
      </c>
      <c r="T740" t="str">
        <f>IF(Pipeline_tbl[[#This Row],[Closed_Date]]=0,"",(_xlfn.XLOOKUP(Pipeline_tbl[[#This Row],[Closed_Date]],Dim_Date!A:A,Dim_Date!H:H)))</f>
        <v>Nov 2025</v>
      </c>
      <c r="U740">
        <f>IF(Pipeline_tbl[[#This Row],[Closed_Date]]=0,"",Pipeline_tbl[[#This Row],[Closed_Date]]-Pipeline_tbl[[#This Row],[Created_Date]])</f>
        <v>52</v>
      </c>
    </row>
    <row r="741" spans="1:21" ht="15" customHeight="1" x14ac:dyDescent="0.2">
      <c r="A741" t="s">
        <v>1047</v>
      </c>
      <c r="B741" t="s">
        <v>205</v>
      </c>
      <c r="C741" t="s">
        <v>52</v>
      </c>
      <c r="D741" s="49">
        <v>45954</v>
      </c>
      <c r="E741" s="49">
        <v>45956</v>
      </c>
      <c r="F741" s="49">
        <v>45960</v>
      </c>
      <c r="I741" s="49">
        <v>45975</v>
      </c>
      <c r="J741" t="s">
        <v>49</v>
      </c>
      <c r="K741" s="33">
        <v>4100</v>
      </c>
      <c r="L741" t="s">
        <v>61</v>
      </c>
      <c r="M741" t="str">
        <f>_xlfn.XLOOKUP(Pipeline_tbl[[#This Row],[Rep_ID]],Dim_Reps!A:A,Dim_Reps!K:K)</f>
        <v>EUR</v>
      </c>
      <c r="N741" s="33">
        <f>(_xlfn.XLOOKUP(Pipeline_tbl[[#This Row],[Rate_Code_Generalized]],Lookups!A:A,Lookups!B:B))*Pipeline_tbl[[#This Row],[Pipeline_Amount_USD]]</f>
        <v>4100</v>
      </c>
      <c r="O741" t="str">
        <f>_xlfn.XLOOKUP(Pipeline_tbl[[#This Row],[Rep_ID]],Dim_Reps!A:A,Dim_Reps!B:B)</f>
        <v>Karim Alvarez</v>
      </c>
      <c r="P741" t="str">
        <f>_xlfn.XLOOKUP(Pipeline_tbl[[#This Row],[Rep_ID]],Dim_Reps!A:A,Dim_Reps!C:C)</f>
        <v>SDR / Inside Sales Rep</v>
      </c>
      <c r="Q741" t="str">
        <f>_xlfn.XLOOKUP(Pipeline_tbl[[#This Row],[Rep_ID]],Dim_Reps!A:A,Dim_Reps!D:D)</f>
        <v>Inside Sales</v>
      </c>
      <c r="R741" t="str">
        <f>_xlfn.XLOOKUP(Pipeline_tbl[[#This Row],[Rep_ID]],Dim_Reps!A:A,Dim_Reps!E:E)</f>
        <v>EMEA</v>
      </c>
      <c r="S741" t="str">
        <f>_xlfn.XLOOKUP(Pipeline_tbl[[#This Row],[Created_Date]],Dim_Date!A:A,Dim_Date!H:H)</f>
        <v>Oct 2025</v>
      </c>
      <c r="T741" t="str">
        <f>IF(Pipeline_tbl[[#This Row],[Closed_Date]]=0,"",(_xlfn.XLOOKUP(Pipeline_tbl[[#This Row],[Closed_Date]],Dim_Date!A:A,Dim_Date!H:H)))</f>
        <v>Nov 2025</v>
      </c>
      <c r="U741">
        <f>IF(Pipeline_tbl[[#This Row],[Closed_Date]]=0,"",Pipeline_tbl[[#This Row],[Closed_Date]]-Pipeline_tbl[[#This Row],[Created_Date]])</f>
        <v>21</v>
      </c>
    </row>
    <row r="742" spans="1:21" ht="15" customHeight="1" x14ac:dyDescent="0.2">
      <c r="A742" t="s">
        <v>1048</v>
      </c>
      <c r="B742" t="s">
        <v>205</v>
      </c>
      <c r="C742" t="s">
        <v>56</v>
      </c>
      <c r="D742" s="49">
        <v>45951</v>
      </c>
      <c r="E742" s="49">
        <v>45953</v>
      </c>
      <c r="F742" s="49">
        <v>45958</v>
      </c>
      <c r="I742" s="49">
        <v>45974</v>
      </c>
      <c r="J742" t="s">
        <v>49</v>
      </c>
      <c r="K742" s="33">
        <v>2600</v>
      </c>
      <c r="L742" t="s">
        <v>62</v>
      </c>
      <c r="M742" t="str">
        <f>_xlfn.XLOOKUP(Pipeline_tbl[[#This Row],[Rep_ID]],Dim_Reps!A:A,Dim_Reps!K:K)</f>
        <v>EUR</v>
      </c>
      <c r="N742" s="33">
        <f>(_xlfn.XLOOKUP(Pipeline_tbl[[#This Row],[Rate_Code_Generalized]],Lookups!A:A,Lookups!B:B))*Pipeline_tbl[[#This Row],[Pipeline_Amount_USD]]</f>
        <v>2600</v>
      </c>
      <c r="O742" t="str">
        <f>_xlfn.XLOOKUP(Pipeline_tbl[[#This Row],[Rep_ID]],Dim_Reps!A:A,Dim_Reps!B:B)</f>
        <v>Karim Alvarez</v>
      </c>
      <c r="P742" t="str">
        <f>_xlfn.XLOOKUP(Pipeline_tbl[[#This Row],[Rep_ID]],Dim_Reps!A:A,Dim_Reps!C:C)</f>
        <v>SDR / Inside Sales Rep</v>
      </c>
      <c r="Q742" t="str">
        <f>_xlfn.XLOOKUP(Pipeline_tbl[[#This Row],[Rep_ID]],Dim_Reps!A:A,Dim_Reps!D:D)</f>
        <v>Inside Sales</v>
      </c>
      <c r="R742" t="str">
        <f>_xlfn.XLOOKUP(Pipeline_tbl[[#This Row],[Rep_ID]],Dim_Reps!A:A,Dim_Reps!E:E)</f>
        <v>EMEA</v>
      </c>
      <c r="S742" t="str">
        <f>_xlfn.XLOOKUP(Pipeline_tbl[[#This Row],[Created_Date]],Dim_Date!A:A,Dim_Date!H:H)</f>
        <v>Oct 2025</v>
      </c>
      <c r="T742" t="str">
        <f>IF(Pipeline_tbl[[#This Row],[Closed_Date]]=0,"",(_xlfn.XLOOKUP(Pipeline_tbl[[#This Row],[Closed_Date]],Dim_Date!A:A,Dim_Date!H:H)))</f>
        <v>Nov 2025</v>
      </c>
      <c r="U742">
        <f>IF(Pipeline_tbl[[#This Row],[Closed_Date]]=0,"",Pipeline_tbl[[#This Row],[Closed_Date]]-Pipeline_tbl[[#This Row],[Created_Date]])</f>
        <v>23</v>
      </c>
    </row>
    <row r="743" spans="1:21" ht="15" customHeight="1" x14ac:dyDescent="0.2">
      <c r="A743" t="s">
        <v>1049</v>
      </c>
      <c r="B743" t="s">
        <v>209</v>
      </c>
      <c r="C743" t="s">
        <v>52</v>
      </c>
      <c r="D743" s="49">
        <v>45947</v>
      </c>
      <c r="E743" s="49">
        <v>45949</v>
      </c>
      <c r="F743" s="49">
        <v>45954</v>
      </c>
      <c r="G743" s="49">
        <v>45960</v>
      </c>
      <c r="H743" s="49">
        <v>45966</v>
      </c>
      <c r="I743" s="49">
        <v>45969</v>
      </c>
      <c r="J743" t="s">
        <v>47</v>
      </c>
      <c r="K743" s="33">
        <v>5900</v>
      </c>
      <c r="M743" t="str">
        <f>_xlfn.XLOOKUP(Pipeline_tbl[[#This Row],[Rep_ID]],Dim_Reps!A:A,Dim_Reps!K:K)</f>
        <v>EUR</v>
      </c>
      <c r="N743" s="33">
        <f>(_xlfn.XLOOKUP(Pipeline_tbl[[#This Row],[Rate_Code_Generalized]],Lookups!A:A,Lookups!B:B))*Pipeline_tbl[[#This Row],[Pipeline_Amount_USD]]</f>
        <v>5900</v>
      </c>
      <c r="O743" t="str">
        <f>_xlfn.XLOOKUP(Pipeline_tbl[[#This Row],[Rep_ID]],Dim_Reps!A:A,Dim_Reps!B:B)</f>
        <v>Petra Larsen</v>
      </c>
      <c r="P743" t="str">
        <f>_xlfn.XLOOKUP(Pipeline_tbl[[#This Row],[Rep_ID]],Dim_Reps!A:A,Dim_Reps!C:C)</f>
        <v>SDR / Inside Sales Rep</v>
      </c>
      <c r="Q743" t="str">
        <f>_xlfn.XLOOKUP(Pipeline_tbl[[#This Row],[Rep_ID]],Dim_Reps!A:A,Dim_Reps!D:D)</f>
        <v>Inside Sales</v>
      </c>
      <c r="R743" t="str">
        <f>_xlfn.XLOOKUP(Pipeline_tbl[[#This Row],[Rep_ID]],Dim_Reps!A:A,Dim_Reps!E:E)</f>
        <v>EMEA</v>
      </c>
      <c r="S743" t="str">
        <f>_xlfn.XLOOKUP(Pipeline_tbl[[#This Row],[Created_Date]],Dim_Date!A:A,Dim_Date!H:H)</f>
        <v>Oct 2025</v>
      </c>
      <c r="T743" t="str">
        <f>IF(Pipeline_tbl[[#This Row],[Closed_Date]]=0,"",(_xlfn.XLOOKUP(Pipeline_tbl[[#This Row],[Closed_Date]],Dim_Date!A:A,Dim_Date!H:H)))</f>
        <v>Nov 2025</v>
      </c>
      <c r="U743">
        <f>IF(Pipeline_tbl[[#This Row],[Closed_Date]]=0,"",Pipeline_tbl[[#This Row],[Closed_Date]]-Pipeline_tbl[[#This Row],[Created_Date]])</f>
        <v>22</v>
      </c>
    </row>
    <row r="744" spans="1:21" ht="15" customHeight="1" x14ac:dyDescent="0.2">
      <c r="A744" t="s">
        <v>1050</v>
      </c>
      <c r="B744" t="s">
        <v>209</v>
      </c>
      <c r="C744" t="s">
        <v>52</v>
      </c>
      <c r="D744" s="49">
        <v>45951</v>
      </c>
      <c r="E744" s="49">
        <v>45952</v>
      </c>
      <c r="F744" s="49">
        <v>45955</v>
      </c>
      <c r="G744" s="49">
        <v>45959</v>
      </c>
      <c r="H744" s="49">
        <v>45962</v>
      </c>
      <c r="I744" s="49">
        <v>45964</v>
      </c>
      <c r="J744" t="s">
        <v>47</v>
      </c>
      <c r="K744" s="33">
        <v>2300</v>
      </c>
      <c r="M744" t="str">
        <f>_xlfn.XLOOKUP(Pipeline_tbl[[#This Row],[Rep_ID]],Dim_Reps!A:A,Dim_Reps!K:K)</f>
        <v>EUR</v>
      </c>
      <c r="N744" s="33">
        <f>(_xlfn.XLOOKUP(Pipeline_tbl[[#This Row],[Rate_Code_Generalized]],Lookups!A:A,Lookups!B:B))*Pipeline_tbl[[#This Row],[Pipeline_Amount_USD]]</f>
        <v>2300</v>
      </c>
      <c r="O744" t="str">
        <f>_xlfn.XLOOKUP(Pipeline_tbl[[#This Row],[Rep_ID]],Dim_Reps!A:A,Dim_Reps!B:B)</f>
        <v>Petra Larsen</v>
      </c>
      <c r="P744" t="str">
        <f>_xlfn.XLOOKUP(Pipeline_tbl[[#This Row],[Rep_ID]],Dim_Reps!A:A,Dim_Reps!C:C)</f>
        <v>SDR / Inside Sales Rep</v>
      </c>
      <c r="Q744" t="str">
        <f>_xlfn.XLOOKUP(Pipeline_tbl[[#This Row],[Rep_ID]],Dim_Reps!A:A,Dim_Reps!D:D)</f>
        <v>Inside Sales</v>
      </c>
      <c r="R744" t="str">
        <f>_xlfn.XLOOKUP(Pipeline_tbl[[#This Row],[Rep_ID]],Dim_Reps!A:A,Dim_Reps!E:E)</f>
        <v>EMEA</v>
      </c>
      <c r="S744" t="str">
        <f>_xlfn.XLOOKUP(Pipeline_tbl[[#This Row],[Created_Date]],Dim_Date!A:A,Dim_Date!H:H)</f>
        <v>Oct 2025</v>
      </c>
      <c r="T744" t="str">
        <f>IF(Pipeline_tbl[[#This Row],[Closed_Date]]=0,"",(_xlfn.XLOOKUP(Pipeline_tbl[[#This Row],[Closed_Date]],Dim_Date!A:A,Dim_Date!H:H)))</f>
        <v>Nov 2025</v>
      </c>
      <c r="U744">
        <f>IF(Pipeline_tbl[[#This Row],[Closed_Date]]=0,"",Pipeline_tbl[[#This Row],[Closed_Date]]-Pipeline_tbl[[#This Row],[Created_Date]])</f>
        <v>13</v>
      </c>
    </row>
    <row r="745" spans="1:21" ht="15" customHeight="1" x14ac:dyDescent="0.2">
      <c r="A745" t="s">
        <v>1051</v>
      </c>
      <c r="B745" t="s">
        <v>209</v>
      </c>
      <c r="C745" t="s">
        <v>53</v>
      </c>
      <c r="D745" s="49">
        <v>45953</v>
      </c>
      <c r="E745" s="49">
        <v>45955</v>
      </c>
      <c r="F745" s="49">
        <v>45959</v>
      </c>
      <c r="G745" s="49">
        <v>45966</v>
      </c>
      <c r="H745" s="49">
        <v>45971</v>
      </c>
      <c r="I745" s="49">
        <v>45974</v>
      </c>
      <c r="J745" t="s">
        <v>49</v>
      </c>
      <c r="K745" s="33">
        <v>4500</v>
      </c>
      <c r="L745" t="s">
        <v>63</v>
      </c>
      <c r="M745" t="str">
        <f>_xlfn.XLOOKUP(Pipeline_tbl[[#This Row],[Rep_ID]],Dim_Reps!A:A,Dim_Reps!K:K)</f>
        <v>EUR</v>
      </c>
      <c r="N745" s="33">
        <f>(_xlfn.XLOOKUP(Pipeline_tbl[[#This Row],[Rate_Code_Generalized]],Lookups!A:A,Lookups!B:B))*Pipeline_tbl[[#This Row],[Pipeline_Amount_USD]]</f>
        <v>4500</v>
      </c>
      <c r="O745" t="str">
        <f>_xlfn.XLOOKUP(Pipeline_tbl[[#This Row],[Rep_ID]],Dim_Reps!A:A,Dim_Reps!B:B)</f>
        <v>Petra Larsen</v>
      </c>
      <c r="P745" t="str">
        <f>_xlfn.XLOOKUP(Pipeline_tbl[[#This Row],[Rep_ID]],Dim_Reps!A:A,Dim_Reps!C:C)</f>
        <v>SDR / Inside Sales Rep</v>
      </c>
      <c r="Q745" t="str">
        <f>_xlfn.XLOOKUP(Pipeline_tbl[[#This Row],[Rep_ID]],Dim_Reps!A:A,Dim_Reps!D:D)</f>
        <v>Inside Sales</v>
      </c>
      <c r="R745" t="str">
        <f>_xlfn.XLOOKUP(Pipeline_tbl[[#This Row],[Rep_ID]],Dim_Reps!A:A,Dim_Reps!E:E)</f>
        <v>EMEA</v>
      </c>
      <c r="S745" t="str">
        <f>_xlfn.XLOOKUP(Pipeline_tbl[[#This Row],[Created_Date]],Dim_Date!A:A,Dim_Date!H:H)</f>
        <v>Oct 2025</v>
      </c>
      <c r="T745" t="str">
        <f>IF(Pipeline_tbl[[#This Row],[Closed_Date]]=0,"",(_xlfn.XLOOKUP(Pipeline_tbl[[#This Row],[Closed_Date]],Dim_Date!A:A,Dim_Date!H:H)))</f>
        <v>Nov 2025</v>
      </c>
      <c r="U745">
        <f>IF(Pipeline_tbl[[#This Row],[Closed_Date]]=0,"",Pipeline_tbl[[#This Row],[Closed_Date]]-Pipeline_tbl[[#This Row],[Created_Date]])</f>
        <v>21</v>
      </c>
    </row>
    <row r="746" spans="1:21" ht="15" customHeight="1" x14ac:dyDescent="0.2">
      <c r="A746" t="s">
        <v>1052</v>
      </c>
      <c r="B746" t="s">
        <v>209</v>
      </c>
      <c r="C746" t="s">
        <v>53</v>
      </c>
      <c r="D746" s="49">
        <v>45945</v>
      </c>
      <c r="E746" s="49">
        <v>45947</v>
      </c>
      <c r="I746" s="49">
        <v>45964</v>
      </c>
      <c r="J746" t="s">
        <v>49</v>
      </c>
      <c r="K746" s="33">
        <v>6600</v>
      </c>
      <c r="L746" t="s">
        <v>64</v>
      </c>
      <c r="M746" t="str">
        <f>_xlfn.XLOOKUP(Pipeline_tbl[[#This Row],[Rep_ID]],Dim_Reps!A:A,Dim_Reps!K:K)</f>
        <v>EUR</v>
      </c>
      <c r="N746" s="33">
        <f>(_xlfn.XLOOKUP(Pipeline_tbl[[#This Row],[Rate_Code_Generalized]],Lookups!A:A,Lookups!B:B))*Pipeline_tbl[[#This Row],[Pipeline_Amount_USD]]</f>
        <v>6600</v>
      </c>
      <c r="O746" t="str">
        <f>_xlfn.XLOOKUP(Pipeline_tbl[[#This Row],[Rep_ID]],Dim_Reps!A:A,Dim_Reps!B:B)</f>
        <v>Petra Larsen</v>
      </c>
      <c r="P746" t="str">
        <f>_xlfn.XLOOKUP(Pipeline_tbl[[#This Row],[Rep_ID]],Dim_Reps!A:A,Dim_Reps!C:C)</f>
        <v>SDR / Inside Sales Rep</v>
      </c>
      <c r="Q746" t="str">
        <f>_xlfn.XLOOKUP(Pipeline_tbl[[#This Row],[Rep_ID]],Dim_Reps!A:A,Dim_Reps!D:D)</f>
        <v>Inside Sales</v>
      </c>
      <c r="R746" t="str">
        <f>_xlfn.XLOOKUP(Pipeline_tbl[[#This Row],[Rep_ID]],Dim_Reps!A:A,Dim_Reps!E:E)</f>
        <v>EMEA</v>
      </c>
      <c r="S746" t="str">
        <f>_xlfn.XLOOKUP(Pipeline_tbl[[#This Row],[Created_Date]],Dim_Date!A:A,Dim_Date!H:H)</f>
        <v>Oct 2025</v>
      </c>
      <c r="T746" t="str">
        <f>IF(Pipeline_tbl[[#This Row],[Closed_Date]]=0,"",(_xlfn.XLOOKUP(Pipeline_tbl[[#This Row],[Closed_Date]],Dim_Date!A:A,Dim_Date!H:H)))</f>
        <v>Nov 2025</v>
      </c>
      <c r="U746">
        <f>IF(Pipeline_tbl[[#This Row],[Closed_Date]]=0,"",Pipeline_tbl[[#This Row],[Closed_Date]]-Pipeline_tbl[[#This Row],[Created_Date]])</f>
        <v>19</v>
      </c>
    </row>
    <row r="747" spans="1:21" ht="15" customHeight="1" x14ac:dyDescent="0.2">
      <c r="A747" t="s">
        <v>1053</v>
      </c>
      <c r="B747" t="s">
        <v>209</v>
      </c>
      <c r="C747" t="s">
        <v>54</v>
      </c>
      <c r="D747" s="49">
        <v>45947</v>
      </c>
      <c r="E747" s="49">
        <v>45949</v>
      </c>
      <c r="F747" s="49">
        <v>45952</v>
      </c>
      <c r="I747" s="49">
        <v>45963</v>
      </c>
      <c r="J747" t="s">
        <v>49</v>
      </c>
      <c r="K747" s="33">
        <v>3800</v>
      </c>
      <c r="L747" t="s">
        <v>60</v>
      </c>
      <c r="M747" t="str">
        <f>_xlfn.XLOOKUP(Pipeline_tbl[[#This Row],[Rep_ID]],Dim_Reps!A:A,Dim_Reps!K:K)</f>
        <v>EUR</v>
      </c>
      <c r="N747" s="33">
        <f>(_xlfn.XLOOKUP(Pipeline_tbl[[#This Row],[Rate_Code_Generalized]],Lookups!A:A,Lookups!B:B))*Pipeline_tbl[[#This Row],[Pipeline_Amount_USD]]</f>
        <v>3800</v>
      </c>
      <c r="O747" t="str">
        <f>_xlfn.XLOOKUP(Pipeline_tbl[[#This Row],[Rep_ID]],Dim_Reps!A:A,Dim_Reps!B:B)</f>
        <v>Petra Larsen</v>
      </c>
      <c r="P747" t="str">
        <f>_xlfn.XLOOKUP(Pipeline_tbl[[#This Row],[Rep_ID]],Dim_Reps!A:A,Dim_Reps!C:C)</f>
        <v>SDR / Inside Sales Rep</v>
      </c>
      <c r="Q747" t="str">
        <f>_xlfn.XLOOKUP(Pipeline_tbl[[#This Row],[Rep_ID]],Dim_Reps!A:A,Dim_Reps!D:D)</f>
        <v>Inside Sales</v>
      </c>
      <c r="R747" t="str">
        <f>_xlfn.XLOOKUP(Pipeline_tbl[[#This Row],[Rep_ID]],Dim_Reps!A:A,Dim_Reps!E:E)</f>
        <v>EMEA</v>
      </c>
      <c r="S747" t="str">
        <f>_xlfn.XLOOKUP(Pipeline_tbl[[#This Row],[Created_Date]],Dim_Date!A:A,Dim_Date!H:H)</f>
        <v>Oct 2025</v>
      </c>
      <c r="T747" t="str">
        <f>IF(Pipeline_tbl[[#This Row],[Closed_Date]]=0,"",(_xlfn.XLOOKUP(Pipeline_tbl[[#This Row],[Closed_Date]],Dim_Date!A:A,Dim_Date!H:H)))</f>
        <v>Nov 2025</v>
      </c>
      <c r="U747">
        <f>IF(Pipeline_tbl[[#This Row],[Closed_Date]]=0,"",Pipeline_tbl[[#This Row],[Closed_Date]]-Pipeline_tbl[[#This Row],[Created_Date]])</f>
        <v>16</v>
      </c>
    </row>
    <row r="748" spans="1:21" ht="15" customHeight="1" x14ac:dyDescent="0.2">
      <c r="A748" t="s">
        <v>1054</v>
      </c>
      <c r="B748" t="s">
        <v>209</v>
      </c>
      <c r="C748" t="s">
        <v>53</v>
      </c>
      <c r="D748" s="49">
        <v>45947</v>
      </c>
      <c r="E748" s="49">
        <v>45949</v>
      </c>
      <c r="F748" s="49">
        <v>45953</v>
      </c>
      <c r="G748" s="49">
        <v>45958</v>
      </c>
      <c r="I748" s="49">
        <v>45966</v>
      </c>
      <c r="J748" t="s">
        <v>49</v>
      </c>
      <c r="K748" s="33">
        <v>4300</v>
      </c>
      <c r="L748" t="s">
        <v>64</v>
      </c>
      <c r="M748" t="str">
        <f>_xlfn.XLOOKUP(Pipeline_tbl[[#This Row],[Rep_ID]],Dim_Reps!A:A,Dim_Reps!K:K)</f>
        <v>EUR</v>
      </c>
      <c r="N748" s="33">
        <f>(_xlfn.XLOOKUP(Pipeline_tbl[[#This Row],[Rate_Code_Generalized]],Lookups!A:A,Lookups!B:B))*Pipeline_tbl[[#This Row],[Pipeline_Amount_USD]]</f>
        <v>4300</v>
      </c>
      <c r="O748" t="str">
        <f>_xlfn.XLOOKUP(Pipeline_tbl[[#This Row],[Rep_ID]],Dim_Reps!A:A,Dim_Reps!B:B)</f>
        <v>Petra Larsen</v>
      </c>
      <c r="P748" t="str">
        <f>_xlfn.XLOOKUP(Pipeline_tbl[[#This Row],[Rep_ID]],Dim_Reps!A:A,Dim_Reps!C:C)</f>
        <v>SDR / Inside Sales Rep</v>
      </c>
      <c r="Q748" t="str">
        <f>_xlfn.XLOOKUP(Pipeline_tbl[[#This Row],[Rep_ID]],Dim_Reps!A:A,Dim_Reps!D:D)</f>
        <v>Inside Sales</v>
      </c>
      <c r="R748" t="str">
        <f>_xlfn.XLOOKUP(Pipeline_tbl[[#This Row],[Rep_ID]],Dim_Reps!A:A,Dim_Reps!E:E)</f>
        <v>EMEA</v>
      </c>
      <c r="S748" t="str">
        <f>_xlfn.XLOOKUP(Pipeline_tbl[[#This Row],[Created_Date]],Dim_Date!A:A,Dim_Date!H:H)</f>
        <v>Oct 2025</v>
      </c>
      <c r="T748" t="str">
        <f>IF(Pipeline_tbl[[#This Row],[Closed_Date]]=0,"",(_xlfn.XLOOKUP(Pipeline_tbl[[#This Row],[Closed_Date]],Dim_Date!A:A,Dim_Date!H:H)))</f>
        <v>Nov 2025</v>
      </c>
      <c r="U748">
        <f>IF(Pipeline_tbl[[#This Row],[Closed_Date]]=0,"",Pipeline_tbl[[#This Row],[Closed_Date]]-Pipeline_tbl[[#This Row],[Created_Date]])</f>
        <v>19</v>
      </c>
    </row>
    <row r="749" spans="1:21" ht="15" customHeight="1" x14ac:dyDescent="0.2">
      <c r="A749" t="s">
        <v>1055</v>
      </c>
      <c r="B749" t="s">
        <v>209</v>
      </c>
      <c r="C749" t="s">
        <v>55</v>
      </c>
      <c r="D749" s="49">
        <v>45950</v>
      </c>
      <c r="E749" s="49">
        <v>45952</v>
      </c>
      <c r="F749" s="49">
        <v>45955</v>
      </c>
      <c r="G749" s="49">
        <v>45960</v>
      </c>
      <c r="H749" s="49">
        <v>45964</v>
      </c>
      <c r="I749" s="49">
        <v>45967</v>
      </c>
      <c r="J749" t="s">
        <v>47</v>
      </c>
      <c r="K749" s="33">
        <v>6700</v>
      </c>
      <c r="M749" t="str">
        <f>_xlfn.XLOOKUP(Pipeline_tbl[[#This Row],[Rep_ID]],Dim_Reps!A:A,Dim_Reps!K:K)</f>
        <v>EUR</v>
      </c>
      <c r="N749" s="33">
        <f>(_xlfn.XLOOKUP(Pipeline_tbl[[#This Row],[Rate_Code_Generalized]],Lookups!A:A,Lookups!B:B))*Pipeline_tbl[[#This Row],[Pipeline_Amount_USD]]</f>
        <v>6700</v>
      </c>
      <c r="O749" t="str">
        <f>_xlfn.XLOOKUP(Pipeline_tbl[[#This Row],[Rep_ID]],Dim_Reps!A:A,Dim_Reps!B:B)</f>
        <v>Petra Larsen</v>
      </c>
      <c r="P749" t="str">
        <f>_xlfn.XLOOKUP(Pipeline_tbl[[#This Row],[Rep_ID]],Dim_Reps!A:A,Dim_Reps!C:C)</f>
        <v>SDR / Inside Sales Rep</v>
      </c>
      <c r="Q749" t="str">
        <f>_xlfn.XLOOKUP(Pipeline_tbl[[#This Row],[Rep_ID]],Dim_Reps!A:A,Dim_Reps!D:D)</f>
        <v>Inside Sales</v>
      </c>
      <c r="R749" t="str">
        <f>_xlfn.XLOOKUP(Pipeline_tbl[[#This Row],[Rep_ID]],Dim_Reps!A:A,Dim_Reps!E:E)</f>
        <v>EMEA</v>
      </c>
      <c r="S749" t="str">
        <f>_xlfn.XLOOKUP(Pipeline_tbl[[#This Row],[Created_Date]],Dim_Date!A:A,Dim_Date!H:H)</f>
        <v>Oct 2025</v>
      </c>
      <c r="T749" t="str">
        <f>IF(Pipeline_tbl[[#This Row],[Closed_Date]]=0,"",(_xlfn.XLOOKUP(Pipeline_tbl[[#This Row],[Closed_Date]],Dim_Date!A:A,Dim_Date!H:H)))</f>
        <v>Nov 2025</v>
      </c>
      <c r="U749">
        <f>IF(Pipeline_tbl[[#This Row],[Closed_Date]]=0,"",Pipeline_tbl[[#This Row],[Closed_Date]]-Pipeline_tbl[[#This Row],[Created_Date]])</f>
        <v>17</v>
      </c>
    </row>
    <row r="750" spans="1:21" ht="15" customHeight="1" x14ac:dyDescent="0.2">
      <c r="A750" t="s">
        <v>1056</v>
      </c>
      <c r="B750" t="s">
        <v>211</v>
      </c>
      <c r="C750" t="s">
        <v>52</v>
      </c>
      <c r="D750" s="49">
        <v>45940</v>
      </c>
      <c r="E750" s="49">
        <v>45942</v>
      </c>
      <c r="F750" s="49">
        <v>45947</v>
      </c>
      <c r="G750" s="49">
        <v>45954</v>
      </c>
      <c r="I750" s="49">
        <v>45963</v>
      </c>
      <c r="J750" t="s">
        <v>49</v>
      </c>
      <c r="K750" s="33">
        <v>6900</v>
      </c>
      <c r="L750" t="s">
        <v>60</v>
      </c>
      <c r="M750" t="str">
        <f>_xlfn.XLOOKUP(Pipeline_tbl[[#This Row],[Rep_ID]],Dim_Reps!A:A,Dim_Reps!K:K)</f>
        <v>EUR</v>
      </c>
      <c r="N750" s="33">
        <f>(_xlfn.XLOOKUP(Pipeline_tbl[[#This Row],[Rate_Code_Generalized]],Lookups!A:A,Lookups!B:B))*Pipeline_tbl[[#This Row],[Pipeline_Amount_USD]]</f>
        <v>6900</v>
      </c>
      <c r="O750" t="str">
        <f>_xlfn.XLOOKUP(Pipeline_tbl[[#This Row],[Rep_ID]],Dim_Reps!A:A,Dim_Reps!B:B)</f>
        <v>Lea Weber</v>
      </c>
      <c r="P750" t="str">
        <f>_xlfn.XLOOKUP(Pipeline_tbl[[#This Row],[Rep_ID]],Dim_Reps!A:A,Dim_Reps!C:C)</f>
        <v>SDR / Inside Sales Rep</v>
      </c>
      <c r="Q750" t="str">
        <f>_xlfn.XLOOKUP(Pipeline_tbl[[#This Row],[Rep_ID]],Dim_Reps!A:A,Dim_Reps!D:D)</f>
        <v>Inside Sales</v>
      </c>
      <c r="R750" t="str">
        <f>_xlfn.XLOOKUP(Pipeline_tbl[[#This Row],[Rep_ID]],Dim_Reps!A:A,Dim_Reps!E:E)</f>
        <v>EMEA</v>
      </c>
      <c r="S750" t="str">
        <f>_xlfn.XLOOKUP(Pipeline_tbl[[#This Row],[Created_Date]],Dim_Date!A:A,Dim_Date!H:H)</f>
        <v>Oct 2025</v>
      </c>
      <c r="T750" t="str">
        <f>IF(Pipeline_tbl[[#This Row],[Closed_Date]]=0,"",(_xlfn.XLOOKUP(Pipeline_tbl[[#This Row],[Closed_Date]],Dim_Date!A:A,Dim_Date!H:H)))</f>
        <v>Nov 2025</v>
      </c>
      <c r="U750">
        <f>IF(Pipeline_tbl[[#This Row],[Closed_Date]]=0,"",Pipeline_tbl[[#This Row],[Closed_Date]]-Pipeline_tbl[[#This Row],[Created_Date]])</f>
        <v>23</v>
      </c>
    </row>
    <row r="751" spans="1:21" ht="15" customHeight="1" x14ac:dyDescent="0.2">
      <c r="A751" t="s">
        <v>1057</v>
      </c>
      <c r="B751" t="s">
        <v>211</v>
      </c>
      <c r="C751" t="s">
        <v>52</v>
      </c>
      <c r="D751" s="49">
        <v>45944</v>
      </c>
      <c r="E751" s="49">
        <v>45946</v>
      </c>
      <c r="F751" s="49">
        <v>45952</v>
      </c>
      <c r="I751" s="49">
        <v>45969</v>
      </c>
      <c r="J751" t="s">
        <v>49</v>
      </c>
      <c r="K751" s="33">
        <v>3700</v>
      </c>
      <c r="L751" t="s">
        <v>62</v>
      </c>
      <c r="M751" t="str">
        <f>_xlfn.XLOOKUP(Pipeline_tbl[[#This Row],[Rep_ID]],Dim_Reps!A:A,Dim_Reps!K:K)</f>
        <v>EUR</v>
      </c>
      <c r="N751" s="33">
        <f>(_xlfn.XLOOKUP(Pipeline_tbl[[#This Row],[Rate_Code_Generalized]],Lookups!A:A,Lookups!B:B))*Pipeline_tbl[[#This Row],[Pipeline_Amount_USD]]</f>
        <v>3700</v>
      </c>
      <c r="O751" t="str">
        <f>_xlfn.XLOOKUP(Pipeline_tbl[[#This Row],[Rep_ID]],Dim_Reps!A:A,Dim_Reps!B:B)</f>
        <v>Lea Weber</v>
      </c>
      <c r="P751" t="str">
        <f>_xlfn.XLOOKUP(Pipeline_tbl[[#This Row],[Rep_ID]],Dim_Reps!A:A,Dim_Reps!C:C)</f>
        <v>SDR / Inside Sales Rep</v>
      </c>
      <c r="Q751" t="str">
        <f>_xlfn.XLOOKUP(Pipeline_tbl[[#This Row],[Rep_ID]],Dim_Reps!A:A,Dim_Reps!D:D)</f>
        <v>Inside Sales</v>
      </c>
      <c r="R751" t="str">
        <f>_xlfn.XLOOKUP(Pipeline_tbl[[#This Row],[Rep_ID]],Dim_Reps!A:A,Dim_Reps!E:E)</f>
        <v>EMEA</v>
      </c>
      <c r="S751" t="str">
        <f>_xlfn.XLOOKUP(Pipeline_tbl[[#This Row],[Created_Date]],Dim_Date!A:A,Dim_Date!H:H)</f>
        <v>Oct 2025</v>
      </c>
      <c r="T751" t="str">
        <f>IF(Pipeline_tbl[[#This Row],[Closed_Date]]=0,"",(_xlfn.XLOOKUP(Pipeline_tbl[[#This Row],[Closed_Date]],Dim_Date!A:A,Dim_Date!H:H)))</f>
        <v>Nov 2025</v>
      </c>
      <c r="U751">
        <f>IF(Pipeline_tbl[[#This Row],[Closed_Date]]=0,"",Pipeline_tbl[[#This Row],[Closed_Date]]-Pipeline_tbl[[#This Row],[Created_Date]])</f>
        <v>25</v>
      </c>
    </row>
    <row r="752" spans="1:21" ht="15" customHeight="1" x14ac:dyDescent="0.2">
      <c r="A752" t="s">
        <v>1058</v>
      </c>
      <c r="B752" t="s">
        <v>211</v>
      </c>
      <c r="C752" t="s">
        <v>55</v>
      </c>
      <c r="D752" s="49">
        <v>45951</v>
      </c>
      <c r="E752" s="49">
        <v>45952</v>
      </c>
      <c r="F752" s="49">
        <v>45955</v>
      </c>
      <c r="G752" s="49">
        <v>45959</v>
      </c>
      <c r="H752" s="49">
        <v>45962</v>
      </c>
      <c r="I752" s="49">
        <v>45964</v>
      </c>
      <c r="J752" t="s">
        <v>47</v>
      </c>
      <c r="K752" s="33">
        <v>5100</v>
      </c>
      <c r="M752" t="str">
        <f>_xlfn.XLOOKUP(Pipeline_tbl[[#This Row],[Rep_ID]],Dim_Reps!A:A,Dim_Reps!K:K)</f>
        <v>EUR</v>
      </c>
      <c r="N752" s="33">
        <f>(_xlfn.XLOOKUP(Pipeline_tbl[[#This Row],[Rate_Code_Generalized]],Lookups!A:A,Lookups!B:B))*Pipeline_tbl[[#This Row],[Pipeline_Amount_USD]]</f>
        <v>5100</v>
      </c>
      <c r="O752" t="str">
        <f>_xlfn.XLOOKUP(Pipeline_tbl[[#This Row],[Rep_ID]],Dim_Reps!A:A,Dim_Reps!B:B)</f>
        <v>Lea Weber</v>
      </c>
      <c r="P752" t="str">
        <f>_xlfn.XLOOKUP(Pipeline_tbl[[#This Row],[Rep_ID]],Dim_Reps!A:A,Dim_Reps!C:C)</f>
        <v>SDR / Inside Sales Rep</v>
      </c>
      <c r="Q752" t="str">
        <f>_xlfn.XLOOKUP(Pipeline_tbl[[#This Row],[Rep_ID]],Dim_Reps!A:A,Dim_Reps!D:D)</f>
        <v>Inside Sales</v>
      </c>
      <c r="R752" t="str">
        <f>_xlfn.XLOOKUP(Pipeline_tbl[[#This Row],[Rep_ID]],Dim_Reps!A:A,Dim_Reps!E:E)</f>
        <v>EMEA</v>
      </c>
      <c r="S752" t="str">
        <f>_xlfn.XLOOKUP(Pipeline_tbl[[#This Row],[Created_Date]],Dim_Date!A:A,Dim_Date!H:H)</f>
        <v>Oct 2025</v>
      </c>
      <c r="T752" t="str">
        <f>IF(Pipeline_tbl[[#This Row],[Closed_Date]]=0,"",(_xlfn.XLOOKUP(Pipeline_tbl[[#This Row],[Closed_Date]],Dim_Date!A:A,Dim_Date!H:H)))</f>
        <v>Nov 2025</v>
      </c>
      <c r="U752">
        <f>IF(Pipeline_tbl[[#This Row],[Closed_Date]]=0,"",Pipeline_tbl[[#This Row],[Closed_Date]]-Pipeline_tbl[[#This Row],[Created_Date]])</f>
        <v>13</v>
      </c>
    </row>
    <row r="753" spans="1:21" ht="15" customHeight="1" x14ac:dyDescent="0.2">
      <c r="A753" t="s">
        <v>1059</v>
      </c>
      <c r="B753" t="s">
        <v>211</v>
      </c>
      <c r="C753" t="s">
        <v>52</v>
      </c>
      <c r="D753" s="49">
        <v>45956</v>
      </c>
      <c r="E753" s="49">
        <v>45957</v>
      </c>
      <c r="F753" s="49">
        <v>45960</v>
      </c>
      <c r="I753" s="49">
        <v>45969</v>
      </c>
      <c r="J753" t="s">
        <v>49</v>
      </c>
      <c r="K753" s="33">
        <v>5700</v>
      </c>
      <c r="L753" t="s">
        <v>63</v>
      </c>
      <c r="M753" t="str">
        <f>_xlfn.XLOOKUP(Pipeline_tbl[[#This Row],[Rep_ID]],Dim_Reps!A:A,Dim_Reps!K:K)</f>
        <v>EUR</v>
      </c>
      <c r="N753" s="33">
        <f>(_xlfn.XLOOKUP(Pipeline_tbl[[#This Row],[Rate_Code_Generalized]],Lookups!A:A,Lookups!B:B))*Pipeline_tbl[[#This Row],[Pipeline_Amount_USD]]</f>
        <v>5700</v>
      </c>
      <c r="O753" t="str">
        <f>_xlfn.XLOOKUP(Pipeline_tbl[[#This Row],[Rep_ID]],Dim_Reps!A:A,Dim_Reps!B:B)</f>
        <v>Lea Weber</v>
      </c>
      <c r="P753" t="str">
        <f>_xlfn.XLOOKUP(Pipeline_tbl[[#This Row],[Rep_ID]],Dim_Reps!A:A,Dim_Reps!C:C)</f>
        <v>SDR / Inside Sales Rep</v>
      </c>
      <c r="Q753" t="str">
        <f>_xlfn.XLOOKUP(Pipeline_tbl[[#This Row],[Rep_ID]],Dim_Reps!A:A,Dim_Reps!D:D)</f>
        <v>Inside Sales</v>
      </c>
      <c r="R753" t="str">
        <f>_xlfn.XLOOKUP(Pipeline_tbl[[#This Row],[Rep_ID]],Dim_Reps!A:A,Dim_Reps!E:E)</f>
        <v>EMEA</v>
      </c>
      <c r="S753" t="str">
        <f>_xlfn.XLOOKUP(Pipeline_tbl[[#This Row],[Created_Date]],Dim_Date!A:A,Dim_Date!H:H)</f>
        <v>Oct 2025</v>
      </c>
      <c r="T753" t="str">
        <f>IF(Pipeline_tbl[[#This Row],[Closed_Date]]=0,"",(_xlfn.XLOOKUP(Pipeline_tbl[[#This Row],[Closed_Date]],Dim_Date!A:A,Dim_Date!H:H)))</f>
        <v>Nov 2025</v>
      </c>
      <c r="U753">
        <f>IF(Pipeline_tbl[[#This Row],[Closed_Date]]=0,"",Pipeline_tbl[[#This Row],[Closed_Date]]-Pipeline_tbl[[#This Row],[Created_Date]])</f>
        <v>13</v>
      </c>
    </row>
    <row r="754" spans="1:21" ht="15" customHeight="1" x14ac:dyDescent="0.2">
      <c r="A754" t="s">
        <v>1060</v>
      </c>
      <c r="B754" t="s">
        <v>211</v>
      </c>
      <c r="C754" t="s">
        <v>54</v>
      </c>
      <c r="D754" s="49">
        <v>45950</v>
      </c>
      <c r="E754" s="49">
        <v>45952</v>
      </c>
      <c r="F754" s="49">
        <v>45956</v>
      </c>
      <c r="G754" s="49">
        <v>45962</v>
      </c>
      <c r="H754" s="49">
        <v>45967</v>
      </c>
      <c r="I754" s="49">
        <v>45970</v>
      </c>
      <c r="J754" t="s">
        <v>47</v>
      </c>
      <c r="K754" s="33">
        <v>2600</v>
      </c>
      <c r="M754" t="str">
        <f>_xlfn.XLOOKUP(Pipeline_tbl[[#This Row],[Rep_ID]],Dim_Reps!A:A,Dim_Reps!K:K)</f>
        <v>EUR</v>
      </c>
      <c r="N754" s="33">
        <f>(_xlfn.XLOOKUP(Pipeline_tbl[[#This Row],[Rate_Code_Generalized]],Lookups!A:A,Lookups!B:B))*Pipeline_tbl[[#This Row],[Pipeline_Amount_USD]]</f>
        <v>2600</v>
      </c>
      <c r="O754" t="str">
        <f>_xlfn.XLOOKUP(Pipeline_tbl[[#This Row],[Rep_ID]],Dim_Reps!A:A,Dim_Reps!B:B)</f>
        <v>Lea Weber</v>
      </c>
      <c r="P754" t="str">
        <f>_xlfn.XLOOKUP(Pipeline_tbl[[#This Row],[Rep_ID]],Dim_Reps!A:A,Dim_Reps!C:C)</f>
        <v>SDR / Inside Sales Rep</v>
      </c>
      <c r="Q754" t="str">
        <f>_xlfn.XLOOKUP(Pipeline_tbl[[#This Row],[Rep_ID]],Dim_Reps!A:A,Dim_Reps!D:D)</f>
        <v>Inside Sales</v>
      </c>
      <c r="R754" t="str">
        <f>_xlfn.XLOOKUP(Pipeline_tbl[[#This Row],[Rep_ID]],Dim_Reps!A:A,Dim_Reps!E:E)</f>
        <v>EMEA</v>
      </c>
      <c r="S754" t="str">
        <f>_xlfn.XLOOKUP(Pipeline_tbl[[#This Row],[Created_Date]],Dim_Date!A:A,Dim_Date!H:H)</f>
        <v>Oct 2025</v>
      </c>
      <c r="T754" t="str">
        <f>IF(Pipeline_tbl[[#This Row],[Closed_Date]]=0,"",(_xlfn.XLOOKUP(Pipeline_tbl[[#This Row],[Closed_Date]],Dim_Date!A:A,Dim_Date!H:H)))</f>
        <v>Nov 2025</v>
      </c>
      <c r="U754">
        <f>IF(Pipeline_tbl[[#This Row],[Closed_Date]]=0,"",Pipeline_tbl[[#This Row],[Closed_Date]]-Pipeline_tbl[[#This Row],[Created_Date]])</f>
        <v>20</v>
      </c>
    </row>
    <row r="755" spans="1:21" ht="15" customHeight="1" x14ac:dyDescent="0.2">
      <c r="A755" t="s">
        <v>1061</v>
      </c>
      <c r="B755" t="s">
        <v>249</v>
      </c>
      <c r="C755" t="s">
        <v>52</v>
      </c>
      <c r="D755" s="49">
        <v>45931</v>
      </c>
      <c r="E755" s="49">
        <v>45935</v>
      </c>
      <c r="F755" s="49">
        <v>45943</v>
      </c>
      <c r="G755" s="49">
        <v>45955</v>
      </c>
      <c r="H755" s="49">
        <v>45965</v>
      </c>
      <c r="I755" s="49">
        <v>45971</v>
      </c>
      <c r="J755" t="s">
        <v>47</v>
      </c>
      <c r="K755" s="33">
        <v>9700</v>
      </c>
      <c r="M755" t="str">
        <f>_xlfn.XLOOKUP(Pipeline_tbl[[#This Row],[Rep_ID]],Dim_Reps!A:A,Dim_Reps!K:K)</f>
        <v>EUR</v>
      </c>
      <c r="N755" s="33">
        <f>(_xlfn.XLOOKUP(Pipeline_tbl[[#This Row],[Rate_Code_Generalized]],Lookups!A:A,Lookups!B:B))*Pipeline_tbl[[#This Row],[Pipeline_Amount_USD]]</f>
        <v>9700</v>
      </c>
      <c r="O755" t="str">
        <f>_xlfn.XLOOKUP(Pipeline_tbl[[#This Row],[Rep_ID]],Dim_Reps!A:A,Dim_Reps!B:B)</f>
        <v>Ana Sato</v>
      </c>
      <c r="P755" t="str">
        <f>_xlfn.XLOOKUP(Pipeline_tbl[[#This Row],[Rep_ID]],Dim_Reps!A:A,Dim_Reps!C:C)</f>
        <v>Mid-Market AE</v>
      </c>
      <c r="Q755" t="str">
        <f>_xlfn.XLOOKUP(Pipeline_tbl[[#This Row],[Rep_ID]],Dim_Reps!A:A,Dim_Reps!D:D)</f>
        <v>Mid-Market</v>
      </c>
      <c r="R755" t="str">
        <f>_xlfn.XLOOKUP(Pipeline_tbl[[#This Row],[Rep_ID]],Dim_Reps!A:A,Dim_Reps!E:E)</f>
        <v>APAC</v>
      </c>
      <c r="S755" t="str">
        <f>_xlfn.XLOOKUP(Pipeline_tbl[[#This Row],[Created_Date]],Dim_Date!A:A,Dim_Date!H:H)</f>
        <v>Oct 2025</v>
      </c>
      <c r="T755" t="str">
        <f>IF(Pipeline_tbl[[#This Row],[Closed_Date]]=0,"",(_xlfn.XLOOKUP(Pipeline_tbl[[#This Row],[Closed_Date]],Dim_Date!A:A,Dim_Date!H:H)))</f>
        <v>Nov 2025</v>
      </c>
      <c r="U755">
        <f>IF(Pipeline_tbl[[#This Row],[Closed_Date]]=0,"",Pipeline_tbl[[#This Row],[Closed_Date]]-Pipeline_tbl[[#This Row],[Created_Date]])</f>
        <v>40</v>
      </c>
    </row>
    <row r="756" spans="1:21" ht="15" customHeight="1" x14ac:dyDescent="0.2">
      <c r="A756" t="s">
        <v>1062</v>
      </c>
      <c r="B756" t="s">
        <v>249</v>
      </c>
      <c r="C756" t="s">
        <v>52</v>
      </c>
      <c r="D756" s="49">
        <v>45943</v>
      </c>
      <c r="E756" s="49">
        <v>45946</v>
      </c>
      <c r="F756" s="49">
        <v>45951</v>
      </c>
      <c r="G756" s="49">
        <v>45959</v>
      </c>
      <c r="H756" s="49">
        <v>45966</v>
      </c>
      <c r="I756" s="49">
        <v>45970</v>
      </c>
      <c r="J756" t="s">
        <v>47</v>
      </c>
      <c r="K756" s="33">
        <v>16900</v>
      </c>
      <c r="M756" t="str">
        <f>_xlfn.XLOOKUP(Pipeline_tbl[[#This Row],[Rep_ID]],Dim_Reps!A:A,Dim_Reps!K:K)</f>
        <v>EUR</v>
      </c>
      <c r="N756" s="33">
        <f>(_xlfn.XLOOKUP(Pipeline_tbl[[#This Row],[Rate_Code_Generalized]],Lookups!A:A,Lookups!B:B))*Pipeline_tbl[[#This Row],[Pipeline_Amount_USD]]</f>
        <v>16900</v>
      </c>
      <c r="O756" t="str">
        <f>_xlfn.XLOOKUP(Pipeline_tbl[[#This Row],[Rep_ID]],Dim_Reps!A:A,Dim_Reps!B:B)</f>
        <v>Ana Sato</v>
      </c>
      <c r="P756" t="str">
        <f>_xlfn.XLOOKUP(Pipeline_tbl[[#This Row],[Rep_ID]],Dim_Reps!A:A,Dim_Reps!C:C)</f>
        <v>Mid-Market AE</v>
      </c>
      <c r="Q756" t="str">
        <f>_xlfn.XLOOKUP(Pipeline_tbl[[#This Row],[Rep_ID]],Dim_Reps!A:A,Dim_Reps!D:D)</f>
        <v>Mid-Market</v>
      </c>
      <c r="R756" t="str">
        <f>_xlfn.XLOOKUP(Pipeline_tbl[[#This Row],[Rep_ID]],Dim_Reps!A:A,Dim_Reps!E:E)</f>
        <v>APAC</v>
      </c>
      <c r="S756" t="str">
        <f>_xlfn.XLOOKUP(Pipeline_tbl[[#This Row],[Created_Date]],Dim_Date!A:A,Dim_Date!H:H)</f>
        <v>Oct 2025</v>
      </c>
      <c r="T756" t="str">
        <f>IF(Pipeline_tbl[[#This Row],[Closed_Date]]=0,"",(_xlfn.XLOOKUP(Pipeline_tbl[[#This Row],[Closed_Date]],Dim_Date!A:A,Dim_Date!H:H)))</f>
        <v>Nov 2025</v>
      </c>
      <c r="U756">
        <f>IF(Pipeline_tbl[[#This Row],[Closed_Date]]=0,"",Pipeline_tbl[[#This Row],[Closed_Date]]-Pipeline_tbl[[#This Row],[Created_Date]])</f>
        <v>27</v>
      </c>
    </row>
    <row r="757" spans="1:21" ht="15" customHeight="1" x14ac:dyDescent="0.2">
      <c r="A757" t="s">
        <v>1063</v>
      </c>
      <c r="B757" t="s">
        <v>249</v>
      </c>
      <c r="C757" t="s">
        <v>54</v>
      </c>
      <c r="D757" s="49">
        <v>45958</v>
      </c>
      <c r="E757" s="49">
        <v>45960</v>
      </c>
      <c r="F757" s="49">
        <v>45964</v>
      </c>
      <c r="I757" s="49">
        <v>45977</v>
      </c>
      <c r="J757" t="s">
        <v>49</v>
      </c>
      <c r="K757" s="33">
        <v>9100</v>
      </c>
      <c r="L757" t="s">
        <v>60</v>
      </c>
      <c r="M757" t="str">
        <f>_xlfn.XLOOKUP(Pipeline_tbl[[#This Row],[Rep_ID]],Dim_Reps!A:A,Dim_Reps!K:K)</f>
        <v>EUR</v>
      </c>
      <c r="N757" s="33">
        <f>(_xlfn.XLOOKUP(Pipeline_tbl[[#This Row],[Rate_Code_Generalized]],Lookups!A:A,Lookups!B:B))*Pipeline_tbl[[#This Row],[Pipeline_Amount_USD]]</f>
        <v>9100</v>
      </c>
      <c r="O757" t="str">
        <f>_xlfn.XLOOKUP(Pipeline_tbl[[#This Row],[Rep_ID]],Dim_Reps!A:A,Dim_Reps!B:B)</f>
        <v>Ana Sato</v>
      </c>
      <c r="P757" t="str">
        <f>_xlfn.XLOOKUP(Pipeline_tbl[[#This Row],[Rep_ID]],Dim_Reps!A:A,Dim_Reps!C:C)</f>
        <v>Mid-Market AE</v>
      </c>
      <c r="Q757" t="str">
        <f>_xlfn.XLOOKUP(Pipeline_tbl[[#This Row],[Rep_ID]],Dim_Reps!A:A,Dim_Reps!D:D)</f>
        <v>Mid-Market</v>
      </c>
      <c r="R757" t="str">
        <f>_xlfn.XLOOKUP(Pipeline_tbl[[#This Row],[Rep_ID]],Dim_Reps!A:A,Dim_Reps!E:E)</f>
        <v>APAC</v>
      </c>
      <c r="S757" t="str">
        <f>_xlfn.XLOOKUP(Pipeline_tbl[[#This Row],[Created_Date]],Dim_Date!A:A,Dim_Date!H:H)</f>
        <v>Oct 2025</v>
      </c>
      <c r="T757" t="str">
        <f>IF(Pipeline_tbl[[#This Row],[Closed_Date]]=0,"",(_xlfn.XLOOKUP(Pipeline_tbl[[#This Row],[Closed_Date]],Dim_Date!A:A,Dim_Date!H:H)))</f>
        <v>Nov 2025</v>
      </c>
      <c r="U757">
        <f>IF(Pipeline_tbl[[#This Row],[Closed_Date]]=0,"",Pipeline_tbl[[#This Row],[Closed_Date]]-Pipeline_tbl[[#This Row],[Created_Date]])</f>
        <v>19</v>
      </c>
    </row>
    <row r="758" spans="1:21" ht="15" customHeight="1" x14ac:dyDescent="0.2">
      <c r="A758" t="s">
        <v>1064</v>
      </c>
      <c r="B758" t="s">
        <v>249</v>
      </c>
      <c r="C758" t="s">
        <v>52</v>
      </c>
      <c r="D758" s="49">
        <v>45946</v>
      </c>
      <c r="E758" s="49">
        <v>45948</v>
      </c>
      <c r="F758" s="49">
        <v>45953</v>
      </c>
      <c r="G758" s="49">
        <v>45960</v>
      </c>
      <c r="H758" s="49">
        <v>45966</v>
      </c>
      <c r="I758" s="49">
        <v>45970</v>
      </c>
      <c r="J758" t="s">
        <v>49</v>
      </c>
      <c r="K758" s="33">
        <v>11900</v>
      </c>
      <c r="L758" t="s">
        <v>62</v>
      </c>
      <c r="M758" t="str">
        <f>_xlfn.XLOOKUP(Pipeline_tbl[[#This Row],[Rep_ID]],Dim_Reps!A:A,Dim_Reps!K:K)</f>
        <v>EUR</v>
      </c>
      <c r="N758" s="33">
        <f>(_xlfn.XLOOKUP(Pipeline_tbl[[#This Row],[Rate_Code_Generalized]],Lookups!A:A,Lookups!B:B))*Pipeline_tbl[[#This Row],[Pipeline_Amount_USD]]</f>
        <v>11900</v>
      </c>
      <c r="O758" t="str">
        <f>_xlfn.XLOOKUP(Pipeline_tbl[[#This Row],[Rep_ID]],Dim_Reps!A:A,Dim_Reps!B:B)</f>
        <v>Ana Sato</v>
      </c>
      <c r="P758" t="str">
        <f>_xlfn.XLOOKUP(Pipeline_tbl[[#This Row],[Rep_ID]],Dim_Reps!A:A,Dim_Reps!C:C)</f>
        <v>Mid-Market AE</v>
      </c>
      <c r="Q758" t="str">
        <f>_xlfn.XLOOKUP(Pipeline_tbl[[#This Row],[Rep_ID]],Dim_Reps!A:A,Dim_Reps!D:D)</f>
        <v>Mid-Market</v>
      </c>
      <c r="R758" t="str">
        <f>_xlfn.XLOOKUP(Pipeline_tbl[[#This Row],[Rep_ID]],Dim_Reps!A:A,Dim_Reps!E:E)</f>
        <v>APAC</v>
      </c>
      <c r="S758" t="str">
        <f>_xlfn.XLOOKUP(Pipeline_tbl[[#This Row],[Created_Date]],Dim_Date!A:A,Dim_Date!H:H)</f>
        <v>Oct 2025</v>
      </c>
      <c r="T758" t="str">
        <f>IF(Pipeline_tbl[[#This Row],[Closed_Date]]=0,"",(_xlfn.XLOOKUP(Pipeline_tbl[[#This Row],[Closed_Date]],Dim_Date!A:A,Dim_Date!H:H)))</f>
        <v>Nov 2025</v>
      </c>
      <c r="U758">
        <f>IF(Pipeline_tbl[[#This Row],[Closed_Date]]=0,"",Pipeline_tbl[[#This Row],[Closed_Date]]-Pipeline_tbl[[#This Row],[Created_Date]])</f>
        <v>24</v>
      </c>
    </row>
    <row r="759" spans="1:21" ht="15" customHeight="1" x14ac:dyDescent="0.2">
      <c r="A759" t="s">
        <v>1065</v>
      </c>
      <c r="B759" t="s">
        <v>249</v>
      </c>
      <c r="C759" t="s">
        <v>53</v>
      </c>
      <c r="D759" s="49">
        <v>45932</v>
      </c>
      <c r="E759" s="49">
        <v>45935</v>
      </c>
      <c r="F759" s="49">
        <v>45941</v>
      </c>
      <c r="G759" s="49">
        <v>45951</v>
      </c>
      <c r="H759" s="49">
        <v>45958</v>
      </c>
      <c r="I759" s="49">
        <v>45963</v>
      </c>
      <c r="J759" t="s">
        <v>47</v>
      </c>
      <c r="K759" s="33">
        <v>12500</v>
      </c>
      <c r="M759" t="str">
        <f>_xlfn.XLOOKUP(Pipeline_tbl[[#This Row],[Rep_ID]],Dim_Reps!A:A,Dim_Reps!K:K)</f>
        <v>EUR</v>
      </c>
      <c r="N759" s="33">
        <f>(_xlfn.XLOOKUP(Pipeline_tbl[[#This Row],[Rate_Code_Generalized]],Lookups!A:A,Lookups!B:B))*Pipeline_tbl[[#This Row],[Pipeline_Amount_USD]]</f>
        <v>12500</v>
      </c>
      <c r="O759" t="str">
        <f>_xlfn.XLOOKUP(Pipeline_tbl[[#This Row],[Rep_ID]],Dim_Reps!A:A,Dim_Reps!B:B)</f>
        <v>Ana Sato</v>
      </c>
      <c r="P759" t="str">
        <f>_xlfn.XLOOKUP(Pipeline_tbl[[#This Row],[Rep_ID]],Dim_Reps!A:A,Dim_Reps!C:C)</f>
        <v>Mid-Market AE</v>
      </c>
      <c r="Q759" t="str">
        <f>_xlfn.XLOOKUP(Pipeline_tbl[[#This Row],[Rep_ID]],Dim_Reps!A:A,Dim_Reps!D:D)</f>
        <v>Mid-Market</v>
      </c>
      <c r="R759" t="str">
        <f>_xlfn.XLOOKUP(Pipeline_tbl[[#This Row],[Rep_ID]],Dim_Reps!A:A,Dim_Reps!E:E)</f>
        <v>APAC</v>
      </c>
      <c r="S759" t="str">
        <f>_xlfn.XLOOKUP(Pipeline_tbl[[#This Row],[Created_Date]],Dim_Date!A:A,Dim_Date!H:H)</f>
        <v>Oct 2025</v>
      </c>
      <c r="T759" t="str">
        <f>IF(Pipeline_tbl[[#This Row],[Closed_Date]]=0,"",(_xlfn.XLOOKUP(Pipeline_tbl[[#This Row],[Closed_Date]],Dim_Date!A:A,Dim_Date!H:H)))</f>
        <v>Nov 2025</v>
      </c>
      <c r="U759">
        <f>IF(Pipeline_tbl[[#This Row],[Closed_Date]]=0,"",Pipeline_tbl[[#This Row],[Closed_Date]]-Pipeline_tbl[[#This Row],[Created_Date]])</f>
        <v>31</v>
      </c>
    </row>
    <row r="760" spans="1:21" ht="15" customHeight="1" x14ac:dyDescent="0.2">
      <c r="A760" t="s">
        <v>1066</v>
      </c>
      <c r="B760" t="s">
        <v>213</v>
      </c>
      <c r="C760" t="s">
        <v>54</v>
      </c>
      <c r="D760" s="49">
        <v>45952</v>
      </c>
      <c r="E760" s="49">
        <v>45955</v>
      </c>
      <c r="F760" s="49">
        <v>45960</v>
      </c>
      <c r="G760" s="49">
        <v>45968</v>
      </c>
      <c r="I760" s="49">
        <v>45979</v>
      </c>
      <c r="J760" t="s">
        <v>49</v>
      </c>
      <c r="K760" s="33">
        <v>3600</v>
      </c>
      <c r="L760" t="s">
        <v>64</v>
      </c>
      <c r="M760" t="str">
        <f>_xlfn.XLOOKUP(Pipeline_tbl[[#This Row],[Rep_ID]],Dim_Reps!A:A,Dim_Reps!K:K)</f>
        <v>EUR</v>
      </c>
      <c r="N760" s="33">
        <f>(_xlfn.XLOOKUP(Pipeline_tbl[[#This Row],[Rate_Code_Generalized]],Lookups!A:A,Lookups!B:B))*Pipeline_tbl[[#This Row],[Pipeline_Amount_USD]]</f>
        <v>3600</v>
      </c>
      <c r="O760" t="str">
        <f>_xlfn.XLOOKUP(Pipeline_tbl[[#This Row],[Rep_ID]],Dim_Reps!A:A,Dim_Reps!B:B)</f>
        <v>Jamie Silva</v>
      </c>
      <c r="P760" t="str">
        <f>_xlfn.XLOOKUP(Pipeline_tbl[[#This Row],[Rep_ID]],Dim_Reps!A:A,Dim_Reps!C:C)</f>
        <v>SDR / Inside Sales Rep</v>
      </c>
      <c r="Q760" t="str">
        <f>_xlfn.XLOOKUP(Pipeline_tbl[[#This Row],[Rep_ID]],Dim_Reps!A:A,Dim_Reps!D:D)</f>
        <v>Inside Sales</v>
      </c>
      <c r="R760" t="str">
        <f>_xlfn.XLOOKUP(Pipeline_tbl[[#This Row],[Rep_ID]],Dim_Reps!A:A,Dim_Reps!E:E)</f>
        <v>EMEA</v>
      </c>
      <c r="S760" t="str">
        <f>_xlfn.XLOOKUP(Pipeline_tbl[[#This Row],[Created_Date]],Dim_Date!A:A,Dim_Date!H:H)</f>
        <v>Oct 2025</v>
      </c>
      <c r="T760" t="str">
        <f>IF(Pipeline_tbl[[#This Row],[Closed_Date]]=0,"",(_xlfn.XLOOKUP(Pipeline_tbl[[#This Row],[Closed_Date]],Dim_Date!A:A,Dim_Date!H:H)))</f>
        <v>Nov 2025</v>
      </c>
      <c r="U760">
        <f>IF(Pipeline_tbl[[#This Row],[Closed_Date]]=0,"",Pipeline_tbl[[#This Row],[Closed_Date]]-Pipeline_tbl[[#This Row],[Created_Date]])</f>
        <v>27</v>
      </c>
    </row>
    <row r="761" spans="1:21" ht="15" customHeight="1" x14ac:dyDescent="0.2">
      <c r="A761" t="s">
        <v>1067</v>
      </c>
      <c r="B761" t="s">
        <v>213</v>
      </c>
      <c r="C761" t="s">
        <v>56</v>
      </c>
      <c r="D761" s="49">
        <v>45961</v>
      </c>
      <c r="E761" s="49">
        <v>45963</v>
      </c>
      <c r="F761" s="49">
        <v>45967</v>
      </c>
      <c r="G761" s="49">
        <v>45973</v>
      </c>
      <c r="H761" s="49">
        <v>45978</v>
      </c>
      <c r="I761" s="49">
        <v>45981</v>
      </c>
      <c r="J761" t="s">
        <v>47</v>
      </c>
      <c r="K761" s="33">
        <v>4800</v>
      </c>
      <c r="M761" t="str">
        <f>_xlfn.XLOOKUP(Pipeline_tbl[[#This Row],[Rep_ID]],Dim_Reps!A:A,Dim_Reps!K:K)</f>
        <v>EUR</v>
      </c>
      <c r="N761" s="33">
        <f>(_xlfn.XLOOKUP(Pipeline_tbl[[#This Row],[Rate_Code_Generalized]],Lookups!A:A,Lookups!B:B))*Pipeline_tbl[[#This Row],[Pipeline_Amount_USD]]</f>
        <v>4800</v>
      </c>
      <c r="O761" t="str">
        <f>_xlfn.XLOOKUP(Pipeline_tbl[[#This Row],[Rep_ID]],Dim_Reps!A:A,Dim_Reps!B:B)</f>
        <v>Jamie Silva</v>
      </c>
      <c r="P761" t="str">
        <f>_xlfn.XLOOKUP(Pipeline_tbl[[#This Row],[Rep_ID]],Dim_Reps!A:A,Dim_Reps!C:C)</f>
        <v>SDR / Inside Sales Rep</v>
      </c>
      <c r="Q761" t="str">
        <f>_xlfn.XLOOKUP(Pipeline_tbl[[#This Row],[Rep_ID]],Dim_Reps!A:A,Dim_Reps!D:D)</f>
        <v>Inside Sales</v>
      </c>
      <c r="R761" t="str">
        <f>_xlfn.XLOOKUP(Pipeline_tbl[[#This Row],[Rep_ID]],Dim_Reps!A:A,Dim_Reps!E:E)</f>
        <v>EMEA</v>
      </c>
      <c r="S761" t="str">
        <f>_xlfn.XLOOKUP(Pipeline_tbl[[#This Row],[Created_Date]],Dim_Date!A:A,Dim_Date!H:H)</f>
        <v>Oct 2025</v>
      </c>
      <c r="T761" t="str">
        <f>IF(Pipeline_tbl[[#This Row],[Closed_Date]]=0,"",(_xlfn.XLOOKUP(Pipeline_tbl[[#This Row],[Closed_Date]],Dim_Date!A:A,Dim_Date!H:H)))</f>
        <v>Nov 2025</v>
      </c>
      <c r="U761">
        <f>IF(Pipeline_tbl[[#This Row],[Closed_Date]]=0,"",Pipeline_tbl[[#This Row],[Closed_Date]]-Pipeline_tbl[[#This Row],[Created_Date]])</f>
        <v>20</v>
      </c>
    </row>
    <row r="762" spans="1:21" ht="15" customHeight="1" x14ac:dyDescent="0.2">
      <c r="A762" t="s">
        <v>1068</v>
      </c>
      <c r="B762" t="s">
        <v>213</v>
      </c>
      <c r="C762" t="s">
        <v>52</v>
      </c>
      <c r="D762" s="49">
        <v>45958</v>
      </c>
      <c r="E762" s="49">
        <v>45960</v>
      </c>
      <c r="F762" s="49">
        <v>45963</v>
      </c>
      <c r="G762" s="49">
        <v>45967</v>
      </c>
      <c r="I762" s="49">
        <v>45973</v>
      </c>
      <c r="J762" t="s">
        <v>49</v>
      </c>
      <c r="K762" s="33">
        <v>6000</v>
      </c>
      <c r="L762" t="s">
        <v>61</v>
      </c>
      <c r="M762" t="str">
        <f>_xlfn.XLOOKUP(Pipeline_tbl[[#This Row],[Rep_ID]],Dim_Reps!A:A,Dim_Reps!K:K)</f>
        <v>EUR</v>
      </c>
      <c r="N762" s="33">
        <f>(_xlfn.XLOOKUP(Pipeline_tbl[[#This Row],[Rate_Code_Generalized]],Lookups!A:A,Lookups!B:B))*Pipeline_tbl[[#This Row],[Pipeline_Amount_USD]]</f>
        <v>6000</v>
      </c>
      <c r="O762" t="str">
        <f>_xlfn.XLOOKUP(Pipeline_tbl[[#This Row],[Rep_ID]],Dim_Reps!A:A,Dim_Reps!B:B)</f>
        <v>Jamie Silva</v>
      </c>
      <c r="P762" t="str">
        <f>_xlfn.XLOOKUP(Pipeline_tbl[[#This Row],[Rep_ID]],Dim_Reps!A:A,Dim_Reps!C:C)</f>
        <v>SDR / Inside Sales Rep</v>
      </c>
      <c r="Q762" t="str">
        <f>_xlfn.XLOOKUP(Pipeline_tbl[[#This Row],[Rep_ID]],Dim_Reps!A:A,Dim_Reps!D:D)</f>
        <v>Inside Sales</v>
      </c>
      <c r="R762" t="str">
        <f>_xlfn.XLOOKUP(Pipeline_tbl[[#This Row],[Rep_ID]],Dim_Reps!A:A,Dim_Reps!E:E)</f>
        <v>EMEA</v>
      </c>
      <c r="S762" t="str">
        <f>_xlfn.XLOOKUP(Pipeline_tbl[[#This Row],[Created_Date]],Dim_Date!A:A,Dim_Date!H:H)</f>
        <v>Oct 2025</v>
      </c>
      <c r="T762" t="str">
        <f>IF(Pipeline_tbl[[#This Row],[Closed_Date]]=0,"",(_xlfn.XLOOKUP(Pipeline_tbl[[#This Row],[Closed_Date]],Dim_Date!A:A,Dim_Date!H:H)))</f>
        <v>Nov 2025</v>
      </c>
      <c r="U762">
        <f>IF(Pipeline_tbl[[#This Row],[Closed_Date]]=0,"",Pipeline_tbl[[#This Row],[Closed_Date]]-Pipeline_tbl[[#This Row],[Created_Date]])</f>
        <v>15</v>
      </c>
    </row>
    <row r="763" spans="1:21" ht="15" customHeight="1" x14ac:dyDescent="0.2">
      <c r="A763" t="s">
        <v>1069</v>
      </c>
      <c r="B763" t="s">
        <v>213</v>
      </c>
      <c r="C763" t="s">
        <v>54</v>
      </c>
      <c r="D763" s="49">
        <v>45952</v>
      </c>
      <c r="E763" s="49">
        <v>45954</v>
      </c>
      <c r="F763" s="49">
        <v>45957</v>
      </c>
      <c r="G763" s="49">
        <v>45963</v>
      </c>
      <c r="H763" s="49">
        <v>45967</v>
      </c>
      <c r="I763" s="49">
        <v>45970</v>
      </c>
      <c r="J763" t="s">
        <v>47</v>
      </c>
      <c r="K763" s="33">
        <v>3700</v>
      </c>
      <c r="M763" t="str">
        <f>_xlfn.XLOOKUP(Pipeline_tbl[[#This Row],[Rep_ID]],Dim_Reps!A:A,Dim_Reps!K:K)</f>
        <v>EUR</v>
      </c>
      <c r="N763" s="33">
        <f>(_xlfn.XLOOKUP(Pipeline_tbl[[#This Row],[Rate_Code_Generalized]],Lookups!A:A,Lookups!B:B))*Pipeline_tbl[[#This Row],[Pipeline_Amount_USD]]</f>
        <v>3700</v>
      </c>
      <c r="O763" t="str">
        <f>_xlfn.XLOOKUP(Pipeline_tbl[[#This Row],[Rep_ID]],Dim_Reps!A:A,Dim_Reps!B:B)</f>
        <v>Jamie Silva</v>
      </c>
      <c r="P763" t="str">
        <f>_xlfn.XLOOKUP(Pipeline_tbl[[#This Row],[Rep_ID]],Dim_Reps!A:A,Dim_Reps!C:C)</f>
        <v>SDR / Inside Sales Rep</v>
      </c>
      <c r="Q763" t="str">
        <f>_xlfn.XLOOKUP(Pipeline_tbl[[#This Row],[Rep_ID]],Dim_Reps!A:A,Dim_Reps!D:D)</f>
        <v>Inside Sales</v>
      </c>
      <c r="R763" t="str">
        <f>_xlfn.XLOOKUP(Pipeline_tbl[[#This Row],[Rep_ID]],Dim_Reps!A:A,Dim_Reps!E:E)</f>
        <v>EMEA</v>
      </c>
      <c r="S763" t="str">
        <f>_xlfn.XLOOKUP(Pipeline_tbl[[#This Row],[Created_Date]],Dim_Date!A:A,Dim_Date!H:H)</f>
        <v>Oct 2025</v>
      </c>
      <c r="T763" t="str">
        <f>IF(Pipeline_tbl[[#This Row],[Closed_Date]]=0,"",(_xlfn.XLOOKUP(Pipeline_tbl[[#This Row],[Closed_Date]],Dim_Date!A:A,Dim_Date!H:H)))</f>
        <v>Nov 2025</v>
      </c>
      <c r="U763">
        <f>IF(Pipeline_tbl[[#This Row],[Closed_Date]]=0,"",Pipeline_tbl[[#This Row],[Closed_Date]]-Pipeline_tbl[[#This Row],[Created_Date]])</f>
        <v>18</v>
      </c>
    </row>
    <row r="764" spans="1:21" ht="15" customHeight="1" x14ac:dyDescent="0.2">
      <c r="A764" t="s">
        <v>1070</v>
      </c>
      <c r="B764" t="s">
        <v>213</v>
      </c>
      <c r="C764" t="s">
        <v>53</v>
      </c>
      <c r="D764" s="49">
        <v>45956</v>
      </c>
      <c r="E764" s="49">
        <v>45957</v>
      </c>
      <c r="F764" s="49">
        <v>45959</v>
      </c>
      <c r="G764" s="49">
        <v>45962</v>
      </c>
      <c r="H764" s="49">
        <v>45964</v>
      </c>
      <c r="I764" s="49">
        <v>45966</v>
      </c>
      <c r="J764" t="s">
        <v>47</v>
      </c>
      <c r="K764" s="33">
        <v>3700</v>
      </c>
      <c r="M764" t="str">
        <f>_xlfn.XLOOKUP(Pipeline_tbl[[#This Row],[Rep_ID]],Dim_Reps!A:A,Dim_Reps!K:K)</f>
        <v>EUR</v>
      </c>
      <c r="N764" s="33">
        <f>(_xlfn.XLOOKUP(Pipeline_tbl[[#This Row],[Rate_Code_Generalized]],Lookups!A:A,Lookups!B:B))*Pipeline_tbl[[#This Row],[Pipeline_Amount_USD]]</f>
        <v>3700</v>
      </c>
      <c r="O764" t="str">
        <f>_xlfn.XLOOKUP(Pipeline_tbl[[#This Row],[Rep_ID]],Dim_Reps!A:A,Dim_Reps!B:B)</f>
        <v>Jamie Silva</v>
      </c>
      <c r="P764" t="str">
        <f>_xlfn.XLOOKUP(Pipeline_tbl[[#This Row],[Rep_ID]],Dim_Reps!A:A,Dim_Reps!C:C)</f>
        <v>SDR / Inside Sales Rep</v>
      </c>
      <c r="Q764" t="str">
        <f>_xlfn.XLOOKUP(Pipeline_tbl[[#This Row],[Rep_ID]],Dim_Reps!A:A,Dim_Reps!D:D)</f>
        <v>Inside Sales</v>
      </c>
      <c r="R764" t="str">
        <f>_xlfn.XLOOKUP(Pipeline_tbl[[#This Row],[Rep_ID]],Dim_Reps!A:A,Dim_Reps!E:E)</f>
        <v>EMEA</v>
      </c>
      <c r="S764" t="str">
        <f>_xlfn.XLOOKUP(Pipeline_tbl[[#This Row],[Created_Date]],Dim_Date!A:A,Dim_Date!H:H)</f>
        <v>Oct 2025</v>
      </c>
      <c r="T764" t="str">
        <f>IF(Pipeline_tbl[[#This Row],[Closed_Date]]=0,"",(_xlfn.XLOOKUP(Pipeline_tbl[[#This Row],[Closed_Date]],Dim_Date!A:A,Dim_Date!H:H)))</f>
        <v>Nov 2025</v>
      </c>
      <c r="U764">
        <f>IF(Pipeline_tbl[[#This Row],[Closed_Date]]=0,"",Pipeline_tbl[[#This Row],[Closed_Date]]-Pipeline_tbl[[#This Row],[Created_Date]])</f>
        <v>10</v>
      </c>
    </row>
    <row r="765" spans="1:21" ht="15" customHeight="1" x14ac:dyDescent="0.2">
      <c r="A765" t="s">
        <v>1071</v>
      </c>
      <c r="B765" t="s">
        <v>213</v>
      </c>
      <c r="C765" t="s">
        <v>53</v>
      </c>
      <c r="D765" s="49">
        <v>45945</v>
      </c>
      <c r="E765" s="49">
        <v>45947</v>
      </c>
      <c r="F765" s="49">
        <v>45952</v>
      </c>
      <c r="G765" s="49">
        <v>45958</v>
      </c>
      <c r="H765" s="49">
        <v>45964</v>
      </c>
      <c r="I765" s="49">
        <v>45967</v>
      </c>
      <c r="J765" t="s">
        <v>47</v>
      </c>
      <c r="K765" s="33">
        <v>1500</v>
      </c>
      <c r="M765" t="str">
        <f>_xlfn.XLOOKUP(Pipeline_tbl[[#This Row],[Rep_ID]],Dim_Reps!A:A,Dim_Reps!K:K)</f>
        <v>EUR</v>
      </c>
      <c r="N765" s="33">
        <f>(_xlfn.XLOOKUP(Pipeline_tbl[[#This Row],[Rate_Code_Generalized]],Lookups!A:A,Lookups!B:B))*Pipeline_tbl[[#This Row],[Pipeline_Amount_USD]]</f>
        <v>1500</v>
      </c>
      <c r="O765" t="str">
        <f>_xlfn.XLOOKUP(Pipeline_tbl[[#This Row],[Rep_ID]],Dim_Reps!A:A,Dim_Reps!B:B)</f>
        <v>Jamie Silva</v>
      </c>
      <c r="P765" t="str">
        <f>_xlfn.XLOOKUP(Pipeline_tbl[[#This Row],[Rep_ID]],Dim_Reps!A:A,Dim_Reps!C:C)</f>
        <v>SDR / Inside Sales Rep</v>
      </c>
      <c r="Q765" t="str">
        <f>_xlfn.XLOOKUP(Pipeline_tbl[[#This Row],[Rep_ID]],Dim_Reps!A:A,Dim_Reps!D:D)</f>
        <v>Inside Sales</v>
      </c>
      <c r="R765" t="str">
        <f>_xlfn.XLOOKUP(Pipeline_tbl[[#This Row],[Rep_ID]],Dim_Reps!A:A,Dim_Reps!E:E)</f>
        <v>EMEA</v>
      </c>
      <c r="S765" t="str">
        <f>_xlfn.XLOOKUP(Pipeline_tbl[[#This Row],[Created_Date]],Dim_Date!A:A,Dim_Date!H:H)</f>
        <v>Oct 2025</v>
      </c>
      <c r="T765" t="str">
        <f>IF(Pipeline_tbl[[#This Row],[Closed_Date]]=0,"",(_xlfn.XLOOKUP(Pipeline_tbl[[#This Row],[Closed_Date]],Dim_Date!A:A,Dim_Date!H:H)))</f>
        <v>Nov 2025</v>
      </c>
      <c r="U765">
        <f>IF(Pipeline_tbl[[#This Row],[Closed_Date]]=0,"",Pipeline_tbl[[#This Row],[Closed_Date]]-Pipeline_tbl[[#This Row],[Created_Date]])</f>
        <v>22</v>
      </c>
    </row>
    <row r="766" spans="1:21" ht="15" customHeight="1" x14ac:dyDescent="0.2">
      <c r="A766" t="s">
        <v>1072</v>
      </c>
      <c r="B766" t="s">
        <v>253</v>
      </c>
      <c r="C766" t="s">
        <v>52</v>
      </c>
      <c r="D766" s="49">
        <v>45934</v>
      </c>
      <c r="E766" s="49">
        <v>45939</v>
      </c>
      <c r="F766" s="49">
        <v>45948</v>
      </c>
      <c r="I766" s="49">
        <v>45980</v>
      </c>
      <c r="J766" t="s">
        <v>49</v>
      </c>
      <c r="K766" s="33">
        <v>12200</v>
      </c>
      <c r="L766" t="s">
        <v>60</v>
      </c>
      <c r="M766" t="str">
        <f>_xlfn.XLOOKUP(Pipeline_tbl[[#This Row],[Rep_ID]],Dim_Reps!A:A,Dim_Reps!K:K)</f>
        <v>EUR</v>
      </c>
      <c r="N766" s="33">
        <f>(_xlfn.XLOOKUP(Pipeline_tbl[[#This Row],[Rate_Code_Generalized]],Lookups!A:A,Lookups!B:B))*Pipeline_tbl[[#This Row],[Pipeline_Amount_USD]]</f>
        <v>12200</v>
      </c>
      <c r="O766" t="str">
        <f>_xlfn.XLOOKUP(Pipeline_tbl[[#This Row],[Rep_ID]],Dim_Reps!A:A,Dim_Reps!B:B)</f>
        <v>Rafael Weber</v>
      </c>
      <c r="P766" t="str">
        <f>_xlfn.XLOOKUP(Pipeline_tbl[[#This Row],[Rep_ID]],Dim_Reps!A:A,Dim_Reps!C:C)</f>
        <v>Mid-Market AE</v>
      </c>
      <c r="Q766" t="str">
        <f>_xlfn.XLOOKUP(Pipeline_tbl[[#This Row],[Rep_ID]],Dim_Reps!A:A,Dim_Reps!D:D)</f>
        <v>Mid-Market</v>
      </c>
      <c r="R766" t="str">
        <f>_xlfn.XLOOKUP(Pipeline_tbl[[#This Row],[Rep_ID]],Dim_Reps!A:A,Dim_Reps!E:E)</f>
        <v>APAC</v>
      </c>
      <c r="S766" t="str">
        <f>_xlfn.XLOOKUP(Pipeline_tbl[[#This Row],[Created_Date]],Dim_Date!A:A,Dim_Date!H:H)</f>
        <v>Oct 2025</v>
      </c>
      <c r="T766" t="str">
        <f>IF(Pipeline_tbl[[#This Row],[Closed_Date]]=0,"",(_xlfn.XLOOKUP(Pipeline_tbl[[#This Row],[Closed_Date]],Dim_Date!A:A,Dim_Date!H:H)))</f>
        <v>Nov 2025</v>
      </c>
      <c r="U766">
        <f>IF(Pipeline_tbl[[#This Row],[Closed_Date]]=0,"",Pipeline_tbl[[#This Row],[Closed_Date]]-Pipeline_tbl[[#This Row],[Created_Date]])</f>
        <v>46</v>
      </c>
    </row>
    <row r="767" spans="1:21" ht="15" customHeight="1" x14ac:dyDescent="0.2">
      <c r="A767" t="s">
        <v>1073</v>
      </c>
      <c r="B767" t="s">
        <v>253</v>
      </c>
      <c r="C767" t="s">
        <v>53</v>
      </c>
      <c r="D767" s="49">
        <v>45935</v>
      </c>
      <c r="E767" s="49">
        <v>45938</v>
      </c>
      <c r="I767" s="49">
        <v>45968</v>
      </c>
      <c r="J767" t="s">
        <v>49</v>
      </c>
      <c r="K767" s="33">
        <v>11000</v>
      </c>
      <c r="L767" t="s">
        <v>64</v>
      </c>
      <c r="M767" t="str">
        <f>_xlfn.XLOOKUP(Pipeline_tbl[[#This Row],[Rep_ID]],Dim_Reps!A:A,Dim_Reps!K:K)</f>
        <v>EUR</v>
      </c>
      <c r="N767" s="33">
        <f>(_xlfn.XLOOKUP(Pipeline_tbl[[#This Row],[Rate_Code_Generalized]],Lookups!A:A,Lookups!B:B))*Pipeline_tbl[[#This Row],[Pipeline_Amount_USD]]</f>
        <v>11000</v>
      </c>
      <c r="O767" t="str">
        <f>_xlfn.XLOOKUP(Pipeline_tbl[[#This Row],[Rep_ID]],Dim_Reps!A:A,Dim_Reps!B:B)</f>
        <v>Rafael Weber</v>
      </c>
      <c r="P767" t="str">
        <f>_xlfn.XLOOKUP(Pipeline_tbl[[#This Row],[Rep_ID]],Dim_Reps!A:A,Dim_Reps!C:C)</f>
        <v>Mid-Market AE</v>
      </c>
      <c r="Q767" t="str">
        <f>_xlfn.XLOOKUP(Pipeline_tbl[[#This Row],[Rep_ID]],Dim_Reps!A:A,Dim_Reps!D:D)</f>
        <v>Mid-Market</v>
      </c>
      <c r="R767" t="str">
        <f>_xlfn.XLOOKUP(Pipeline_tbl[[#This Row],[Rep_ID]],Dim_Reps!A:A,Dim_Reps!E:E)</f>
        <v>APAC</v>
      </c>
      <c r="S767" t="str">
        <f>_xlfn.XLOOKUP(Pipeline_tbl[[#This Row],[Created_Date]],Dim_Date!A:A,Dim_Date!H:H)</f>
        <v>Oct 2025</v>
      </c>
      <c r="T767" t="str">
        <f>IF(Pipeline_tbl[[#This Row],[Closed_Date]]=0,"",(_xlfn.XLOOKUP(Pipeline_tbl[[#This Row],[Closed_Date]],Dim_Date!A:A,Dim_Date!H:H)))</f>
        <v>Nov 2025</v>
      </c>
      <c r="U767">
        <f>IF(Pipeline_tbl[[#This Row],[Closed_Date]]=0,"",Pipeline_tbl[[#This Row],[Closed_Date]]-Pipeline_tbl[[#This Row],[Created_Date]])</f>
        <v>33</v>
      </c>
    </row>
    <row r="768" spans="1:21" ht="15" customHeight="1" x14ac:dyDescent="0.2">
      <c r="A768" t="s">
        <v>1074</v>
      </c>
      <c r="B768" t="s">
        <v>215</v>
      </c>
      <c r="C768" t="s">
        <v>52</v>
      </c>
      <c r="D768" s="49">
        <v>45934</v>
      </c>
      <c r="E768" s="49">
        <v>45937</v>
      </c>
      <c r="I768" s="49">
        <v>45962</v>
      </c>
      <c r="J768" t="s">
        <v>49</v>
      </c>
      <c r="K768" s="33">
        <v>2900</v>
      </c>
      <c r="L768" t="s">
        <v>60</v>
      </c>
      <c r="M768" t="str">
        <f>_xlfn.XLOOKUP(Pipeline_tbl[[#This Row],[Rep_ID]],Dim_Reps!A:A,Dim_Reps!K:K)</f>
        <v>EUR</v>
      </c>
      <c r="N768" s="33">
        <f>(_xlfn.XLOOKUP(Pipeline_tbl[[#This Row],[Rate_Code_Generalized]],Lookups!A:A,Lookups!B:B))*Pipeline_tbl[[#This Row],[Pipeline_Amount_USD]]</f>
        <v>2900</v>
      </c>
      <c r="O768" t="str">
        <f>_xlfn.XLOOKUP(Pipeline_tbl[[#This Row],[Rep_ID]],Dim_Reps!A:A,Dim_Reps!B:B)</f>
        <v>Jamie Schmidt</v>
      </c>
      <c r="P768" t="str">
        <f>_xlfn.XLOOKUP(Pipeline_tbl[[#This Row],[Rep_ID]],Dim_Reps!A:A,Dim_Reps!C:C)</f>
        <v>SDR / Inside Sales Rep</v>
      </c>
      <c r="Q768" t="str">
        <f>_xlfn.XLOOKUP(Pipeline_tbl[[#This Row],[Rep_ID]],Dim_Reps!A:A,Dim_Reps!D:D)</f>
        <v>Inside Sales</v>
      </c>
      <c r="R768" t="str">
        <f>_xlfn.XLOOKUP(Pipeline_tbl[[#This Row],[Rep_ID]],Dim_Reps!A:A,Dim_Reps!E:E)</f>
        <v>APAC</v>
      </c>
      <c r="S768" t="str">
        <f>_xlfn.XLOOKUP(Pipeline_tbl[[#This Row],[Created_Date]],Dim_Date!A:A,Dim_Date!H:H)</f>
        <v>Oct 2025</v>
      </c>
      <c r="T768" t="str">
        <f>IF(Pipeline_tbl[[#This Row],[Closed_Date]]=0,"",(_xlfn.XLOOKUP(Pipeline_tbl[[#This Row],[Closed_Date]],Dim_Date!A:A,Dim_Date!H:H)))</f>
        <v>Nov 2025</v>
      </c>
      <c r="U768">
        <f>IF(Pipeline_tbl[[#This Row],[Closed_Date]]=0,"",Pipeline_tbl[[#This Row],[Closed_Date]]-Pipeline_tbl[[#This Row],[Created_Date]])</f>
        <v>28</v>
      </c>
    </row>
    <row r="769" spans="1:21" ht="15" customHeight="1" x14ac:dyDescent="0.2">
      <c r="A769" t="s">
        <v>1075</v>
      </c>
      <c r="B769" t="s">
        <v>215</v>
      </c>
      <c r="C769" t="s">
        <v>52</v>
      </c>
      <c r="D769" s="49">
        <v>45939</v>
      </c>
      <c r="E769" s="49">
        <v>45941</v>
      </c>
      <c r="I769" s="49">
        <v>45962</v>
      </c>
      <c r="J769" t="s">
        <v>49</v>
      </c>
      <c r="K769" s="33">
        <v>2500</v>
      </c>
      <c r="L769" t="s">
        <v>61</v>
      </c>
      <c r="M769" t="str">
        <f>_xlfn.XLOOKUP(Pipeline_tbl[[#This Row],[Rep_ID]],Dim_Reps!A:A,Dim_Reps!K:K)</f>
        <v>EUR</v>
      </c>
      <c r="N769" s="33">
        <f>(_xlfn.XLOOKUP(Pipeline_tbl[[#This Row],[Rate_Code_Generalized]],Lookups!A:A,Lookups!B:B))*Pipeline_tbl[[#This Row],[Pipeline_Amount_USD]]</f>
        <v>2500</v>
      </c>
      <c r="O769" t="str">
        <f>_xlfn.XLOOKUP(Pipeline_tbl[[#This Row],[Rep_ID]],Dim_Reps!A:A,Dim_Reps!B:B)</f>
        <v>Jamie Schmidt</v>
      </c>
      <c r="P769" t="str">
        <f>_xlfn.XLOOKUP(Pipeline_tbl[[#This Row],[Rep_ID]],Dim_Reps!A:A,Dim_Reps!C:C)</f>
        <v>SDR / Inside Sales Rep</v>
      </c>
      <c r="Q769" t="str">
        <f>_xlfn.XLOOKUP(Pipeline_tbl[[#This Row],[Rep_ID]],Dim_Reps!A:A,Dim_Reps!D:D)</f>
        <v>Inside Sales</v>
      </c>
      <c r="R769" t="str">
        <f>_xlfn.XLOOKUP(Pipeline_tbl[[#This Row],[Rep_ID]],Dim_Reps!A:A,Dim_Reps!E:E)</f>
        <v>APAC</v>
      </c>
      <c r="S769" t="str">
        <f>_xlfn.XLOOKUP(Pipeline_tbl[[#This Row],[Created_Date]],Dim_Date!A:A,Dim_Date!H:H)</f>
        <v>Oct 2025</v>
      </c>
      <c r="T769" t="str">
        <f>IF(Pipeline_tbl[[#This Row],[Closed_Date]]=0,"",(_xlfn.XLOOKUP(Pipeline_tbl[[#This Row],[Closed_Date]],Dim_Date!A:A,Dim_Date!H:H)))</f>
        <v>Nov 2025</v>
      </c>
      <c r="U769">
        <f>IF(Pipeline_tbl[[#This Row],[Closed_Date]]=0,"",Pipeline_tbl[[#This Row],[Closed_Date]]-Pipeline_tbl[[#This Row],[Created_Date]])</f>
        <v>23</v>
      </c>
    </row>
    <row r="770" spans="1:21" ht="15" customHeight="1" x14ac:dyDescent="0.2">
      <c r="A770" t="s">
        <v>1076</v>
      </c>
      <c r="B770" t="s">
        <v>215</v>
      </c>
      <c r="C770" t="s">
        <v>56</v>
      </c>
      <c r="D770" s="49">
        <v>45945</v>
      </c>
      <c r="E770" s="49">
        <v>45947</v>
      </c>
      <c r="I770" s="49">
        <v>45964</v>
      </c>
      <c r="J770" t="s">
        <v>49</v>
      </c>
      <c r="K770" s="33">
        <v>6700</v>
      </c>
      <c r="L770" t="s">
        <v>61</v>
      </c>
      <c r="M770" t="str">
        <f>_xlfn.XLOOKUP(Pipeline_tbl[[#This Row],[Rep_ID]],Dim_Reps!A:A,Dim_Reps!K:K)</f>
        <v>EUR</v>
      </c>
      <c r="N770" s="33">
        <f>(_xlfn.XLOOKUP(Pipeline_tbl[[#This Row],[Rate_Code_Generalized]],Lookups!A:A,Lookups!B:B))*Pipeline_tbl[[#This Row],[Pipeline_Amount_USD]]</f>
        <v>6700</v>
      </c>
      <c r="O770" t="str">
        <f>_xlfn.XLOOKUP(Pipeline_tbl[[#This Row],[Rep_ID]],Dim_Reps!A:A,Dim_Reps!B:B)</f>
        <v>Jamie Schmidt</v>
      </c>
      <c r="P770" t="str">
        <f>_xlfn.XLOOKUP(Pipeline_tbl[[#This Row],[Rep_ID]],Dim_Reps!A:A,Dim_Reps!C:C)</f>
        <v>SDR / Inside Sales Rep</v>
      </c>
      <c r="Q770" t="str">
        <f>_xlfn.XLOOKUP(Pipeline_tbl[[#This Row],[Rep_ID]],Dim_Reps!A:A,Dim_Reps!D:D)</f>
        <v>Inside Sales</v>
      </c>
      <c r="R770" t="str">
        <f>_xlfn.XLOOKUP(Pipeline_tbl[[#This Row],[Rep_ID]],Dim_Reps!A:A,Dim_Reps!E:E)</f>
        <v>APAC</v>
      </c>
      <c r="S770" t="str">
        <f>_xlfn.XLOOKUP(Pipeline_tbl[[#This Row],[Created_Date]],Dim_Date!A:A,Dim_Date!H:H)</f>
        <v>Oct 2025</v>
      </c>
      <c r="T770" t="str">
        <f>IF(Pipeline_tbl[[#This Row],[Closed_Date]]=0,"",(_xlfn.XLOOKUP(Pipeline_tbl[[#This Row],[Closed_Date]],Dim_Date!A:A,Dim_Date!H:H)))</f>
        <v>Nov 2025</v>
      </c>
      <c r="U770">
        <f>IF(Pipeline_tbl[[#This Row],[Closed_Date]]=0,"",Pipeline_tbl[[#This Row],[Closed_Date]]-Pipeline_tbl[[#This Row],[Created_Date]])</f>
        <v>19</v>
      </c>
    </row>
    <row r="771" spans="1:21" ht="15" customHeight="1" x14ac:dyDescent="0.2">
      <c r="A771" t="s">
        <v>1077</v>
      </c>
      <c r="B771" t="s">
        <v>215</v>
      </c>
      <c r="C771" t="s">
        <v>53</v>
      </c>
      <c r="D771" s="49">
        <v>45940</v>
      </c>
      <c r="E771" s="49">
        <v>45942</v>
      </c>
      <c r="F771" s="49">
        <v>45947</v>
      </c>
      <c r="G771" s="49">
        <v>45954</v>
      </c>
      <c r="H771" s="49">
        <v>45960</v>
      </c>
      <c r="I771" s="49">
        <v>45963</v>
      </c>
      <c r="J771" t="s">
        <v>47</v>
      </c>
      <c r="K771" s="33">
        <v>4300</v>
      </c>
      <c r="M771" t="str">
        <f>_xlfn.XLOOKUP(Pipeline_tbl[[#This Row],[Rep_ID]],Dim_Reps!A:A,Dim_Reps!K:K)</f>
        <v>EUR</v>
      </c>
      <c r="N771" s="33">
        <f>(_xlfn.XLOOKUP(Pipeline_tbl[[#This Row],[Rate_Code_Generalized]],Lookups!A:A,Lookups!B:B))*Pipeline_tbl[[#This Row],[Pipeline_Amount_USD]]</f>
        <v>4300</v>
      </c>
      <c r="O771" t="str">
        <f>_xlfn.XLOOKUP(Pipeline_tbl[[#This Row],[Rep_ID]],Dim_Reps!A:A,Dim_Reps!B:B)</f>
        <v>Jamie Schmidt</v>
      </c>
      <c r="P771" t="str">
        <f>_xlfn.XLOOKUP(Pipeline_tbl[[#This Row],[Rep_ID]],Dim_Reps!A:A,Dim_Reps!C:C)</f>
        <v>SDR / Inside Sales Rep</v>
      </c>
      <c r="Q771" t="str">
        <f>_xlfn.XLOOKUP(Pipeline_tbl[[#This Row],[Rep_ID]],Dim_Reps!A:A,Dim_Reps!D:D)</f>
        <v>Inside Sales</v>
      </c>
      <c r="R771" t="str">
        <f>_xlfn.XLOOKUP(Pipeline_tbl[[#This Row],[Rep_ID]],Dim_Reps!A:A,Dim_Reps!E:E)</f>
        <v>APAC</v>
      </c>
      <c r="S771" t="str">
        <f>_xlfn.XLOOKUP(Pipeline_tbl[[#This Row],[Created_Date]],Dim_Date!A:A,Dim_Date!H:H)</f>
        <v>Oct 2025</v>
      </c>
      <c r="T771" t="str">
        <f>IF(Pipeline_tbl[[#This Row],[Closed_Date]]=0,"",(_xlfn.XLOOKUP(Pipeline_tbl[[#This Row],[Closed_Date]],Dim_Date!A:A,Dim_Date!H:H)))</f>
        <v>Nov 2025</v>
      </c>
      <c r="U771">
        <f>IF(Pipeline_tbl[[#This Row],[Closed_Date]]=0,"",Pipeline_tbl[[#This Row],[Closed_Date]]-Pipeline_tbl[[#This Row],[Created_Date]])</f>
        <v>23</v>
      </c>
    </row>
    <row r="772" spans="1:21" ht="15" customHeight="1" x14ac:dyDescent="0.2">
      <c r="A772" t="s">
        <v>1078</v>
      </c>
      <c r="B772" t="s">
        <v>215</v>
      </c>
      <c r="C772" t="s">
        <v>56</v>
      </c>
      <c r="D772" s="49">
        <v>45961</v>
      </c>
      <c r="E772" s="49">
        <v>45962</v>
      </c>
      <c r="F772" s="49">
        <v>45965</v>
      </c>
      <c r="I772" s="49">
        <v>45975</v>
      </c>
      <c r="J772" t="s">
        <v>49</v>
      </c>
      <c r="K772" s="33">
        <v>4300</v>
      </c>
      <c r="L772" t="s">
        <v>60</v>
      </c>
      <c r="M772" t="str">
        <f>_xlfn.XLOOKUP(Pipeline_tbl[[#This Row],[Rep_ID]],Dim_Reps!A:A,Dim_Reps!K:K)</f>
        <v>EUR</v>
      </c>
      <c r="N772" s="33">
        <f>(_xlfn.XLOOKUP(Pipeline_tbl[[#This Row],[Rate_Code_Generalized]],Lookups!A:A,Lookups!B:B))*Pipeline_tbl[[#This Row],[Pipeline_Amount_USD]]</f>
        <v>4300</v>
      </c>
      <c r="O772" t="str">
        <f>_xlfn.XLOOKUP(Pipeline_tbl[[#This Row],[Rep_ID]],Dim_Reps!A:A,Dim_Reps!B:B)</f>
        <v>Jamie Schmidt</v>
      </c>
      <c r="P772" t="str">
        <f>_xlfn.XLOOKUP(Pipeline_tbl[[#This Row],[Rep_ID]],Dim_Reps!A:A,Dim_Reps!C:C)</f>
        <v>SDR / Inside Sales Rep</v>
      </c>
      <c r="Q772" t="str">
        <f>_xlfn.XLOOKUP(Pipeline_tbl[[#This Row],[Rep_ID]],Dim_Reps!A:A,Dim_Reps!D:D)</f>
        <v>Inside Sales</v>
      </c>
      <c r="R772" t="str">
        <f>_xlfn.XLOOKUP(Pipeline_tbl[[#This Row],[Rep_ID]],Dim_Reps!A:A,Dim_Reps!E:E)</f>
        <v>APAC</v>
      </c>
      <c r="S772" t="str">
        <f>_xlfn.XLOOKUP(Pipeline_tbl[[#This Row],[Created_Date]],Dim_Date!A:A,Dim_Date!H:H)</f>
        <v>Oct 2025</v>
      </c>
      <c r="T772" t="str">
        <f>IF(Pipeline_tbl[[#This Row],[Closed_Date]]=0,"",(_xlfn.XLOOKUP(Pipeline_tbl[[#This Row],[Closed_Date]],Dim_Date!A:A,Dim_Date!H:H)))</f>
        <v>Nov 2025</v>
      </c>
      <c r="U772">
        <f>IF(Pipeline_tbl[[#This Row],[Closed_Date]]=0,"",Pipeline_tbl[[#This Row],[Closed_Date]]-Pipeline_tbl[[#This Row],[Created_Date]])</f>
        <v>14</v>
      </c>
    </row>
    <row r="773" spans="1:21" ht="15" customHeight="1" x14ac:dyDescent="0.2">
      <c r="A773" t="s">
        <v>1079</v>
      </c>
      <c r="B773" t="s">
        <v>215</v>
      </c>
      <c r="C773" t="s">
        <v>52</v>
      </c>
      <c r="D773" s="49">
        <v>45958</v>
      </c>
      <c r="E773" s="49">
        <v>45960</v>
      </c>
      <c r="F773" s="49">
        <v>45963</v>
      </c>
      <c r="G773" s="49">
        <v>45968</v>
      </c>
      <c r="H773" s="49">
        <v>45972</v>
      </c>
      <c r="I773" s="49">
        <v>45974</v>
      </c>
      <c r="J773" t="s">
        <v>49</v>
      </c>
      <c r="K773" s="33">
        <v>5400</v>
      </c>
      <c r="L773" t="s">
        <v>60</v>
      </c>
      <c r="M773" t="str">
        <f>_xlfn.XLOOKUP(Pipeline_tbl[[#This Row],[Rep_ID]],Dim_Reps!A:A,Dim_Reps!K:K)</f>
        <v>EUR</v>
      </c>
      <c r="N773" s="33">
        <f>(_xlfn.XLOOKUP(Pipeline_tbl[[#This Row],[Rate_Code_Generalized]],Lookups!A:A,Lookups!B:B))*Pipeline_tbl[[#This Row],[Pipeline_Amount_USD]]</f>
        <v>5400</v>
      </c>
      <c r="O773" t="str">
        <f>_xlfn.XLOOKUP(Pipeline_tbl[[#This Row],[Rep_ID]],Dim_Reps!A:A,Dim_Reps!B:B)</f>
        <v>Jamie Schmidt</v>
      </c>
      <c r="P773" t="str">
        <f>_xlfn.XLOOKUP(Pipeline_tbl[[#This Row],[Rep_ID]],Dim_Reps!A:A,Dim_Reps!C:C)</f>
        <v>SDR / Inside Sales Rep</v>
      </c>
      <c r="Q773" t="str">
        <f>_xlfn.XLOOKUP(Pipeline_tbl[[#This Row],[Rep_ID]],Dim_Reps!A:A,Dim_Reps!D:D)</f>
        <v>Inside Sales</v>
      </c>
      <c r="R773" t="str">
        <f>_xlfn.XLOOKUP(Pipeline_tbl[[#This Row],[Rep_ID]],Dim_Reps!A:A,Dim_Reps!E:E)</f>
        <v>APAC</v>
      </c>
      <c r="S773" t="str">
        <f>_xlfn.XLOOKUP(Pipeline_tbl[[#This Row],[Created_Date]],Dim_Date!A:A,Dim_Date!H:H)</f>
        <v>Oct 2025</v>
      </c>
      <c r="T773" t="str">
        <f>IF(Pipeline_tbl[[#This Row],[Closed_Date]]=0,"",(_xlfn.XLOOKUP(Pipeline_tbl[[#This Row],[Closed_Date]],Dim_Date!A:A,Dim_Date!H:H)))</f>
        <v>Nov 2025</v>
      </c>
      <c r="U773">
        <f>IF(Pipeline_tbl[[#This Row],[Closed_Date]]=0,"",Pipeline_tbl[[#This Row],[Closed_Date]]-Pipeline_tbl[[#This Row],[Created_Date]])</f>
        <v>16</v>
      </c>
    </row>
    <row r="774" spans="1:21" ht="15" customHeight="1" x14ac:dyDescent="0.2">
      <c r="A774" t="s">
        <v>1080</v>
      </c>
      <c r="B774" t="s">
        <v>215</v>
      </c>
      <c r="C774" t="s">
        <v>54</v>
      </c>
      <c r="D774" s="49">
        <v>45950</v>
      </c>
      <c r="E774" s="49">
        <v>45952</v>
      </c>
      <c r="F774" s="49">
        <v>45956</v>
      </c>
      <c r="G774" s="49">
        <v>45962</v>
      </c>
      <c r="H774" s="49">
        <v>45967</v>
      </c>
      <c r="I774" s="49">
        <v>45970</v>
      </c>
      <c r="J774" t="s">
        <v>47</v>
      </c>
      <c r="K774" s="33">
        <v>2400</v>
      </c>
      <c r="M774" t="str">
        <f>_xlfn.XLOOKUP(Pipeline_tbl[[#This Row],[Rep_ID]],Dim_Reps!A:A,Dim_Reps!K:K)</f>
        <v>EUR</v>
      </c>
      <c r="N774" s="33">
        <f>(_xlfn.XLOOKUP(Pipeline_tbl[[#This Row],[Rate_Code_Generalized]],Lookups!A:A,Lookups!B:B))*Pipeline_tbl[[#This Row],[Pipeline_Amount_USD]]</f>
        <v>2400</v>
      </c>
      <c r="O774" t="str">
        <f>_xlfn.XLOOKUP(Pipeline_tbl[[#This Row],[Rep_ID]],Dim_Reps!A:A,Dim_Reps!B:B)</f>
        <v>Jamie Schmidt</v>
      </c>
      <c r="P774" t="str">
        <f>_xlfn.XLOOKUP(Pipeline_tbl[[#This Row],[Rep_ID]],Dim_Reps!A:A,Dim_Reps!C:C)</f>
        <v>SDR / Inside Sales Rep</v>
      </c>
      <c r="Q774" t="str">
        <f>_xlfn.XLOOKUP(Pipeline_tbl[[#This Row],[Rep_ID]],Dim_Reps!A:A,Dim_Reps!D:D)</f>
        <v>Inside Sales</v>
      </c>
      <c r="R774" t="str">
        <f>_xlfn.XLOOKUP(Pipeline_tbl[[#This Row],[Rep_ID]],Dim_Reps!A:A,Dim_Reps!E:E)</f>
        <v>APAC</v>
      </c>
      <c r="S774" t="str">
        <f>_xlfn.XLOOKUP(Pipeline_tbl[[#This Row],[Created_Date]],Dim_Date!A:A,Dim_Date!H:H)</f>
        <v>Oct 2025</v>
      </c>
      <c r="T774" t="str">
        <f>IF(Pipeline_tbl[[#This Row],[Closed_Date]]=0,"",(_xlfn.XLOOKUP(Pipeline_tbl[[#This Row],[Closed_Date]],Dim_Date!A:A,Dim_Date!H:H)))</f>
        <v>Nov 2025</v>
      </c>
      <c r="U774">
        <f>IF(Pipeline_tbl[[#This Row],[Closed_Date]]=0,"",Pipeline_tbl[[#This Row],[Closed_Date]]-Pipeline_tbl[[#This Row],[Created_Date]])</f>
        <v>20</v>
      </c>
    </row>
    <row r="775" spans="1:21" ht="15" customHeight="1" x14ac:dyDescent="0.2">
      <c r="A775" t="s">
        <v>1081</v>
      </c>
      <c r="B775" t="s">
        <v>215</v>
      </c>
      <c r="C775" t="s">
        <v>54</v>
      </c>
      <c r="D775" s="49">
        <v>45944</v>
      </c>
      <c r="E775" s="49">
        <v>45946</v>
      </c>
      <c r="F775" s="49">
        <v>45951</v>
      </c>
      <c r="G775" s="49">
        <v>45957</v>
      </c>
      <c r="H775" s="49">
        <v>45963</v>
      </c>
      <c r="I775" s="49">
        <v>45966</v>
      </c>
      <c r="J775" t="s">
        <v>47</v>
      </c>
      <c r="K775" s="33">
        <v>2500</v>
      </c>
      <c r="M775" t="str">
        <f>_xlfn.XLOOKUP(Pipeline_tbl[[#This Row],[Rep_ID]],Dim_Reps!A:A,Dim_Reps!K:K)</f>
        <v>EUR</v>
      </c>
      <c r="N775" s="33">
        <f>(_xlfn.XLOOKUP(Pipeline_tbl[[#This Row],[Rate_Code_Generalized]],Lookups!A:A,Lookups!B:B))*Pipeline_tbl[[#This Row],[Pipeline_Amount_USD]]</f>
        <v>2500</v>
      </c>
      <c r="O775" t="str">
        <f>_xlfn.XLOOKUP(Pipeline_tbl[[#This Row],[Rep_ID]],Dim_Reps!A:A,Dim_Reps!B:B)</f>
        <v>Jamie Schmidt</v>
      </c>
      <c r="P775" t="str">
        <f>_xlfn.XLOOKUP(Pipeline_tbl[[#This Row],[Rep_ID]],Dim_Reps!A:A,Dim_Reps!C:C)</f>
        <v>SDR / Inside Sales Rep</v>
      </c>
      <c r="Q775" t="str">
        <f>_xlfn.XLOOKUP(Pipeline_tbl[[#This Row],[Rep_ID]],Dim_Reps!A:A,Dim_Reps!D:D)</f>
        <v>Inside Sales</v>
      </c>
      <c r="R775" t="str">
        <f>_xlfn.XLOOKUP(Pipeline_tbl[[#This Row],[Rep_ID]],Dim_Reps!A:A,Dim_Reps!E:E)</f>
        <v>APAC</v>
      </c>
      <c r="S775" t="str">
        <f>_xlfn.XLOOKUP(Pipeline_tbl[[#This Row],[Created_Date]],Dim_Date!A:A,Dim_Date!H:H)</f>
        <v>Oct 2025</v>
      </c>
      <c r="T775" t="str">
        <f>IF(Pipeline_tbl[[#This Row],[Closed_Date]]=0,"",(_xlfn.XLOOKUP(Pipeline_tbl[[#This Row],[Closed_Date]],Dim_Date!A:A,Dim_Date!H:H)))</f>
        <v>Nov 2025</v>
      </c>
      <c r="U775">
        <f>IF(Pipeline_tbl[[#This Row],[Closed_Date]]=0,"",Pipeline_tbl[[#This Row],[Closed_Date]]-Pipeline_tbl[[#This Row],[Created_Date]])</f>
        <v>22</v>
      </c>
    </row>
    <row r="776" spans="1:21" ht="15" customHeight="1" x14ac:dyDescent="0.2">
      <c r="A776" t="s">
        <v>1082</v>
      </c>
      <c r="B776" t="s">
        <v>217</v>
      </c>
      <c r="C776" t="s">
        <v>53</v>
      </c>
      <c r="D776" s="49">
        <v>45953</v>
      </c>
      <c r="E776" s="49">
        <v>45955</v>
      </c>
      <c r="F776" s="49">
        <v>45958</v>
      </c>
      <c r="G776" s="49">
        <v>45963</v>
      </c>
      <c r="H776" s="49">
        <v>45967</v>
      </c>
      <c r="I776" s="49">
        <v>45970</v>
      </c>
      <c r="J776" t="s">
        <v>49</v>
      </c>
      <c r="K776" s="33">
        <v>2500</v>
      </c>
      <c r="L776" t="s">
        <v>63</v>
      </c>
      <c r="M776" t="str">
        <f>_xlfn.XLOOKUP(Pipeline_tbl[[#This Row],[Rep_ID]],Dim_Reps!A:A,Dim_Reps!K:K)</f>
        <v>USD</v>
      </c>
      <c r="N776" s="33">
        <f>(_xlfn.XLOOKUP(Pipeline_tbl[[#This Row],[Rate_Code_Generalized]],Lookups!A:A,Lookups!B:B))*Pipeline_tbl[[#This Row],[Pipeline_Amount_USD]]</f>
        <v>2910.7499999999995</v>
      </c>
      <c r="O776" t="str">
        <f>_xlfn.XLOOKUP(Pipeline_tbl[[#This Row],[Rep_ID]],Dim_Reps!A:A,Dim_Reps!B:B)</f>
        <v>Priya Weber</v>
      </c>
      <c r="P776" t="str">
        <f>_xlfn.XLOOKUP(Pipeline_tbl[[#This Row],[Rep_ID]],Dim_Reps!A:A,Dim_Reps!C:C)</f>
        <v>SDR / Inside Sales Rep</v>
      </c>
      <c r="Q776" t="str">
        <f>_xlfn.XLOOKUP(Pipeline_tbl[[#This Row],[Rep_ID]],Dim_Reps!A:A,Dim_Reps!D:D)</f>
        <v>Inside Sales</v>
      </c>
      <c r="R776" t="str">
        <f>_xlfn.XLOOKUP(Pipeline_tbl[[#This Row],[Rep_ID]],Dim_Reps!A:A,Dim_Reps!E:E)</f>
        <v>NAMER</v>
      </c>
      <c r="S776" t="str">
        <f>_xlfn.XLOOKUP(Pipeline_tbl[[#This Row],[Created_Date]],Dim_Date!A:A,Dim_Date!H:H)</f>
        <v>Oct 2025</v>
      </c>
      <c r="T776" t="str">
        <f>IF(Pipeline_tbl[[#This Row],[Closed_Date]]=0,"",(_xlfn.XLOOKUP(Pipeline_tbl[[#This Row],[Closed_Date]],Dim_Date!A:A,Dim_Date!H:H)))</f>
        <v>Nov 2025</v>
      </c>
      <c r="U776">
        <f>IF(Pipeline_tbl[[#This Row],[Closed_Date]]=0,"",Pipeline_tbl[[#This Row],[Closed_Date]]-Pipeline_tbl[[#This Row],[Created_Date]])</f>
        <v>17</v>
      </c>
    </row>
    <row r="777" spans="1:21" ht="15" customHeight="1" x14ac:dyDescent="0.2">
      <c r="A777" t="s">
        <v>1083</v>
      </c>
      <c r="B777" t="s">
        <v>217</v>
      </c>
      <c r="C777" t="s">
        <v>52</v>
      </c>
      <c r="D777" s="49">
        <v>45953</v>
      </c>
      <c r="E777" s="49">
        <v>45955</v>
      </c>
      <c r="F777" s="49">
        <v>45960</v>
      </c>
      <c r="G777" s="49">
        <v>45966</v>
      </c>
      <c r="I777" s="49">
        <v>45975</v>
      </c>
      <c r="J777" t="s">
        <v>49</v>
      </c>
      <c r="K777" s="33">
        <v>2900</v>
      </c>
      <c r="L777" t="s">
        <v>60</v>
      </c>
      <c r="M777" t="str">
        <f>_xlfn.XLOOKUP(Pipeline_tbl[[#This Row],[Rep_ID]],Dim_Reps!A:A,Dim_Reps!K:K)</f>
        <v>USD</v>
      </c>
      <c r="N777" s="33">
        <f>(_xlfn.XLOOKUP(Pipeline_tbl[[#This Row],[Rate_Code_Generalized]],Lookups!A:A,Lookups!B:B))*Pipeline_tbl[[#This Row],[Pipeline_Amount_USD]]</f>
        <v>3376.47</v>
      </c>
      <c r="O777" t="str">
        <f>_xlfn.XLOOKUP(Pipeline_tbl[[#This Row],[Rep_ID]],Dim_Reps!A:A,Dim_Reps!B:B)</f>
        <v>Priya Weber</v>
      </c>
      <c r="P777" t="str">
        <f>_xlfn.XLOOKUP(Pipeline_tbl[[#This Row],[Rep_ID]],Dim_Reps!A:A,Dim_Reps!C:C)</f>
        <v>SDR / Inside Sales Rep</v>
      </c>
      <c r="Q777" t="str">
        <f>_xlfn.XLOOKUP(Pipeline_tbl[[#This Row],[Rep_ID]],Dim_Reps!A:A,Dim_Reps!D:D)</f>
        <v>Inside Sales</v>
      </c>
      <c r="R777" t="str">
        <f>_xlfn.XLOOKUP(Pipeline_tbl[[#This Row],[Rep_ID]],Dim_Reps!A:A,Dim_Reps!E:E)</f>
        <v>NAMER</v>
      </c>
      <c r="S777" t="str">
        <f>_xlfn.XLOOKUP(Pipeline_tbl[[#This Row],[Created_Date]],Dim_Date!A:A,Dim_Date!H:H)</f>
        <v>Oct 2025</v>
      </c>
      <c r="T777" t="str">
        <f>IF(Pipeline_tbl[[#This Row],[Closed_Date]]=0,"",(_xlfn.XLOOKUP(Pipeline_tbl[[#This Row],[Closed_Date]],Dim_Date!A:A,Dim_Date!H:H)))</f>
        <v>Nov 2025</v>
      </c>
      <c r="U777">
        <f>IF(Pipeline_tbl[[#This Row],[Closed_Date]]=0,"",Pipeline_tbl[[#This Row],[Closed_Date]]-Pipeline_tbl[[#This Row],[Created_Date]])</f>
        <v>22</v>
      </c>
    </row>
    <row r="778" spans="1:21" ht="15" customHeight="1" x14ac:dyDescent="0.2">
      <c r="A778" t="s">
        <v>1084</v>
      </c>
      <c r="B778" t="s">
        <v>217</v>
      </c>
      <c r="C778" t="s">
        <v>53</v>
      </c>
      <c r="D778" s="49">
        <v>45941</v>
      </c>
      <c r="E778" s="49">
        <v>45943</v>
      </c>
      <c r="F778" s="49">
        <v>45947</v>
      </c>
      <c r="G778" s="49">
        <v>45954</v>
      </c>
      <c r="H778" s="49">
        <v>45959</v>
      </c>
      <c r="I778" s="49">
        <v>45962</v>
      </c>
      <c r="J778" t="s">
        <v>49</v>
      </c>
      <c r="K778" s="33">
        <v>3000</v>
      </c>
      <c r="L778" t="s">
        <v>61</v>
      </c>
      <c r="M778" t="str">
        <f>_xlfn.XLOOKUP(Pipeline_tbl[[#This Row],[Rep_ID]],Dim_Reps!A:A,Dim_Reps!K:K)</f>
        <v>USD</v>
      </c>
      <c r="N778" s="33">
        <f>(_xlfn.XLOOKUP(Pipeline_tbl[[#This Row],[Rate_Code_Generalized]],Lookups!A:A,Lookups!B:B))*Pipeline_tbl[[#This Row],[Pipeline_Amount_USD]]</f>
        <v>3492.8999999999996</v>
      </c>
      <c r="O778" t="str">
        <f>_xlfn.XLOOKUP(Pipeline_tbl[[#This Row],[Rep_ID]],Dim_Reps!A:A,Dim_Reps!B:B)</f>
        <v>Priya Weber</v>
      </c>
      <c r="P778" t="str">
        <f>_xlfn.XLOOKUP(Pipeline_tbl[[#This Row],[Rep_ID]],Dim_Reps!A:A,Dim_Reps!C:C)</f>
        <v>SDR / Inside Sales Rep</v>
      </c>
      <c r="Q778" t="str">
        <f>_xlfn.XLOOKUP(Pipeline_tbl[[#This Row],[Rep_ID]],Dim_Reps!A:A,Dim_Reps!D:D)</f>
        <v>Inside Sales</v>
      </c>
      <c r="R778" t="str">
        <f>_xlfn.XLOOKUP(Pipeline_tbl[[#This Row],[Rep_ID]],Dim_Reps!A:A,Dim_Reps!E:E)</f>
        <v>NAMER</v>
      </c>
      <c r="S778" t="str">
        <f>_xlfn.XLOOKUP(Pipeline_tbl[[#This Row],[Created_Date]],Dim_Date!A:A,Dim_Date!H:H)</f>
        <v>Oct 2025</v>
      </c>
      <c r="T778" t="str">
        <f>IF(Pipeline_tbl[[#This Row],[Closed_Date]]=0,"",(_xlfn.XLOOKUP(Pipeline_tbl[[#This Row],[Closed_Date]],Dim_Date!A:A,Dim_Date!H:H)))</f>
        <v>Nov 2025</v>
      </c>
      <c r="U778">
        <f>IF(Pipeline_tbl[[#This Row],[Closed_Date]]=0,"",Pipeline_tbl[[#This Row],[Closed_Date]]-Pipeline_tbl[[#This Row],[Created_Date]])</f>
        <v>21</v>
      </c>
    </row>
    <row r="779" spans="1:21" ht="15" customHeight="1" x14ac:dyDescent="0.2">
      <c r="A779" t="s">
        <v>1085</v>
      </c>
      <c r="B779" t="s">
        <v>217</v>
      </c>
      <c r="C779" t="s">
        <v>52</v>
      </c>
      <c r="D779" s="49">
        <v>45948</v>
      </c>
      <c r="E779" s="49">
        <v>45950</v>
      </c>
      <c r="F779" s="49">
        <v>45954</v>
      </c>
      <c r="G779" s="49">
        <v>45960</v>
      </c>
      <c r="I779" s="49">
        <v>45968</v>
      </c>
      <c r="J779" t="s">
        <v>49</v>
      </c>
      <c r="K779" s="33">
        <v>3800</v>
      </c>
      <c r="L779" t="s">
        <v>60</v>
      </c>
      <c r="M779" t="str">
        <f>_xlfn.XLOOKUP(Pipeline_tbl[[#This Row],[Rep_ID]],Dim_Reps!A:A,Dim_Reps!K:K)</f>
        <v>USD</v>
      </c>
      <c r="N779" s="33">
        <f>(_xlfn.XLOOKUP(Pipeline_tbl[[#This Row],[Rate_Code_Generalized]],Lookups!A:A,Lookups!B:B))*Pipeline_tbl[[#This Row],[Pipeline_Amount_USD]]</f>
        <v>4424.3399999999992</v>
      </c>
      <c r="O779" t="str">
        <f>_xlfn.XLOOKUP(Pipeline_tbl[[#This Row],[Rep_ID]],Dim_Reps!A:A,Dim_Reps!B:B)</f>
        <v>Priya Weber</v>
      </c>
      <c r="P779" t="str">
        <f>_xlfn.XLOOKUP(Pipeline_tbl[[#This Row],[Rep_ID]],Dim_Reps!A:A,Dim_Reps!C:C)</f>
        <v>SDR / Inside Sales Rep</v>
      </c>
      <c r="Q779" t="str">
        <f>_xlfn.XLOOKUP(Pipeline_tbl[[#This Row],[Rep_ID]],Dim_Reps!A:A,Dim_Reps!D:D)</f>
        <v>Inside Sales</v>
      </c>
      <c r="R779" t="str">
        <f>_xlfn.XLOOKUP(Pipeline_tbl[[#This Row],[Rep_ID]],Dim_Reps!A:A,Dim_Reps!E:E)</f>
        <v>NAMER</v>
      </c>
      <c r="S779" t="str">
        <f>_xlfn.XLOOKUP(Pipeline_tbl[[#This Row],[Created_Date]],Dim_Date!A:A,Dim_Date!H:H)</f>
        <v>Oct 2025</v>
      </c>
      <c r="T779" t="str">
        <f>IF(Pipeline_tbl[[#This Row],[Closed_Date]]=0,"",(_xlfn.XLOOKUP(Pipeline_tbl[[#This Row],[Closed_Date]],Dim_Date!A:A,Dim_Date!H:H)))</f>
        <v>Nov 2025</v>
      </c>
      <c r="U779">
        <f>IF(Pipeline_tbl[[#This Row],[Closed_Date]]=0,"",Pipeline_tbl[[#This Row],[Closed_Date]]-Pipeline_tbl[[#This Row],[Created_Date]])</f>
        <v>20</v>
      </c>
    </row>
    <row r="780" spans="1:21" ht="15" customHeight="1" x14ac:dyDescent="0.2">
      <c r="A780" t="s">
        <v>1086</v>
      </c>
      <c r="B780" t="s">
        <v>217</v>
      </c>
      <c r="C780" t="s">
        <v>56</v>
      </c>
      <c r="D780" s="49">
        <v>45960</v>
      </c>
      <c r="E780" s="49">
        <v>45962</v>
      </c>
      <c r="F780" s="49">
        <v>45965</v>
      </c>
      <c r="I780" s="49">
        <v>45975</v>
      </c>
      <c r="J780" t="s">
        <v>49</v>
      </c>
      <c r="K780" s="33">
        <v>2300</v>
      </c>
      <c r="L780" t="s">
        <v>61</v>
      </c>
      <c r="M780" t="str">
        <f>_xlfn.XLOOKUP(Pipeline_tbl[[#This Row],[Rep_ID]],Dim_Reps!A:A,Dim_Reps!K:K)</f>
        <v>USD</v>
      </c>
      <c r="N780" s="33">
        <f>(_xlfn.XLOOKUP(Pipeline_tbl[[#This Row],[Rate_Code_Generalized]],Lookups!A:A,Lookups!B:B))*Pipeline_tbl[[#This Row],[Pipeline_Amount_USD]]</f>
        <v>2677.89</v>
      </c>
      <c r="O780" t="str">
        <f>_xlfn.XLOOKUP(Pipeline_tbl[[#This Row],[Rep_ID]],Dim_Reps!A:A,Dim_Reps!B:B)</f>
        <v>Priya Weber</v>
      </c>
      <c r="P780" t="str">
        <f>_xlfn.XLOOKUP(Pipeline_tbl[[#This Row],[Rep_ID]],Dim_Reps!A:A,Dim_Reps!C:C)</f>
        <v>SDR / Inside Sales Rep</v>
      </c>
      <c r="Q780" t="str">
        <f>_xlfn.XLOOKUP(Pipeline_tbl[[#This Row],[Rep_ID]],Dim_Reps!A:A,Dim_Reps!D:D)</f>
        <v>Inside Sales</v>
      </c>
      <c r="R780" t="str">
        <f>_xlfn.XLOOKUP(Pipeline_tbl[[#This Row],[Rep_ID]],Dim_Reps!A:A,Dim_Reps!E:E)</f>
        <v>NAMER</v>
      </c>
      <c r="S780" t="str">
        <f>_xlfn.XLOOKUP(Pipeline_tbl[[#This Row],[Created_Date]],Dim_Date!A:A,Dim_Date!H:H)</f>
        <v>Oct 2025</v>
      </c>
      <c r="T780" t="str">
        <f>IF(Pipeline_tbl[[#This Row],[Closed_Date]]=0,"",(_xlfn.XLOOKUP(Pipeline_tbl[[#This Row],[Closed_Date]],Dim_Date!A:A,Dim_Date!H:H)))</f>
        <v>Nov 2025</v>
      </c>
      <c r="U780">
        <f>IF(Pipeline_tbl[[#This Row],[Closed_Date]]=0,"",Pipeline_tbl[[#This Row],[Closed_Date]]-Pipeline_tbl[[#This Row],[Created_Date]])</f>
        <v>15</v>
      </c>
    </row>
    <row r="781" spans="1:21" ht="15" customHeight="1" x14ac:dyDescent="0.2">
      <c r="A781" t="s">
        <v>1087</v>
      </c>
      <c r="B781" t="s">
        <v>217</v>
      </c>
      <c r="C781" t="s">
        <v>55</v>
      </c>
      <c r="D781" s="49">
        <v>45960</v>
      </c>
      <c r="E781" s="49">
        <v>45962</v>
      </c>
      <c r="F781" s="49">
        <v>45966</v>
      </c>
      <c r="G781" s="49">
        <v>45971</v>
      </c>
      <c r="H781" s="49">
        <v>45976</v>
      </c>
      <c r="I781" s="49">
        <v>45979</v>
      </c>
      <c r="J781" t="s">
        <v>49</v>
      </c>
      <c r="K781" s="33">
        <v>3500</v>
      </c>
      <c r="L781" t="s">
        <v>63</v>
      </c>
      <c r="M781" t="str">
        <f>_xlfn.XLOOKUP(Pipeline_tbl[[#This Row],[Rep_ID]],Dim_Reps!A:A,Dim_Reps!K:K)</f>
        <v>USD</v>
      </c>
      <c r="N781" s="33">
        <f>(_xlfn.XLOOKUP(Pipeline_tbl[[#This Row],[Rate_Code_Generalized]],Lookups!A:A,Lookups!B:B))*Pipeline_tbl[[#This Row],[Pipeline_Amount_USD]]</f>
        <v>4075.0499999999997</v>
      </c>
      <c r="O781" t="str">
        <f>_xlfn.XLOOKUP(Pipeline_tbl[[#This Row],[Rep_ID]],Dim_Reps!A:A,Dim_Reps!B:B)</f>
        <v>Priya Weber</v>
      </c>
      <c r="P781" t="str">
        <f>_xlfn.XLOOKUP(Pipeline_tbl[[#This Row],[Rep_ID]],Dim_Reps!A:A,Dim_Reps!C:C)</f>
        <v>SDR / Inside Sales Rep</v>
      </c>
      <c r="Q781" t="str">
        <f>_xlfn.XLOOKUP(Pipeline_tbl[[#This Row],[Rep_ID]],Dim_Reps!A:A,Dim_Reps!D:D)</f>
        <v>Inside Sales</v>
      </c>
      <c r="R781" t="str">
        <f>_xlfn.XLOOKUP(Pipeline_tbl[[#This Row],[Rep_ID]],Dim_Reps!A:A,Dim_Reps!E:E)</f>
        <v>NAMER</v>
      </c>
      <c r="S781" t="str">
        <f>_xlfn.XLOOKUP(Pipeline_tbl[[#This Row],[Created_Date]],Dim_Date!A:A,Dim_Date!H:H)</f>
        <v>Oct 2025</v>
      </c>
      <c r="T781" t="str">
        <f>IF(Pipeline_tbl[[#This Row],[Closed_Date]]=0,"",(_xlfn.XLOOKUP(Pipeline_tbl[[#This Row],[Closed_Date]],Dim_Date!A:A,Dim_Date!H:H)))</f>
        <v>Nov 2025</v>
      </c>
      <c r="U781">
        <f>IF(Pipeline_tbl[[#This Row],[Closed_Date]]=0,"",Pipeline_tbl[[#This Row],[Closed_Date]]-Pipeline_tbl[[#This Row],[Created_Date]])</f>
        <v>19</v>
      </c>
    </row>
    <row r="782" spans="1:21" ht="15" customHeight="1" x14ac:dyDescent="0.2">
      <c r="A782" t="s">
        <v>1088</v>
      </c>
      <c r="B782" t="s">
        <v>217</v>
      </c>
      <c r="C782" t="s">
        <v>52</v>
      </c>
      <c r="D782" s="49">
        <v>45956</v>
      </c>
      <c r="E782" s="49">
        <v>45957</v>
      </c>
      <c r="F782" s="49">
        <v>45960</v>
      </c>
      <c r="G782" s="49">
        <v>45964</v>
      </c>
      <c r="H782" s="49">
        <v>45968</v>
      </c>
      <c r="I782" s="49">
        <v>45970</v>
      </c>
      <c r="J782" t="s">
        <v>47</v>
      </c>
      <c r="K782" s="33">
        <v>1900</v>
      </c>
      <c r="M782" t="str">
        <f>_xlfn.XLOOKUP(Pipeline_tbl[[#This Row],[Rep_ID]],Dim_Reps!A:A,Dim_Reps!K:K)</f>
        <v>USD</v>
      </c>
      <c r="N782" s="33">
        <f>(_xlfn.XLOOKUP(Pipeline_tbl[[#This Row],[Rate_Code_Generalized]],Lookups!A:A,Lookups!B:B))*Pipeline_tbl[[#This Row],[Pipeline_Amount_USD]]</f>
        <v>2212.1699999999996</v>
      </c>
      <c r="O782" t="str">
        <f>_xlfn.XLOOKUP(Pipeline_tbl[[#This Row],[Rep_ID]],Dim_Reps!A:A,Dim_Reps!B:B)</f>
        <v>Priya Weber</v>
      </c>
      <c r="P782" t="str">
        <f>_xlfn.XLOOKUP(Pipeline_tbl[[#This Row],[Rep_ID]],Dim_Reps!A:A,Dim_Reps!C:C)</f>
        <v>SDR / Inside Sales Rep</v>
      </c>
      <c r="Q782" t="str">
        <f>_xlfn.XLOOKUP(Pipeline_tbl[[#This Row],[Rep_ID]],Dim_Reps!A:A,Dim_Reps!D:D)</f>
        <v>Inside Sales</v>
      </c>
      <c r="R782" t="str">
        <f>_xlfn.XLOOKUP(Pipeline_tbl[[#This Row],[Rep_ID]],Dim_Reps!A:A,Dim_Reps!E:E)</f>
        <v>NAMER</v>
      </c>
      <c r="S782" t="str">
        <f>_xlfn.XLOOKUP(Pipeline_tbl[[#This Row],[Created_Date]],Dim_Date!A:A,Dim_Date!H:H)</f>
        <v>Oct 2025</v>
      </c>
      <c r="T782" t="str">
        <f>IF(Pipeline_tbl[[#This Row],[Closed_Date]]=0,"",(_xlfn.XLOOKUP(Pipeline_tbl[[#This Row],[Closed_Date]],Dim_Date!A:A,Dim_Date!H:H)))</f>
        <v>Nov 2025</v>
      </c>
      <c r="U782">
        <f>IF(Pipeline_tbl[[#This Row],[Closed_Date]]=0,"",Pipeline_tbl[[#This Row],[Closed_Date]]-Pipeline_tbl[[#This Row],[Created_Date]])</f>
        <v>14</v>
      </c>
    </row>
    <row r="783" spans="1:21" ht="15" customHeight="1" x14ac:dyDescent="0.2">
      <c r="A783" t="s">
        <v>1089</v>
      </c>
      <c r="B783" t="s">
        <v>217</v>
      </c>
      <c r="C783" t="s">
        <v>53</v>
      </c>
      <c r="D783" s="49">
        <v>45954</v>
      </c>
      <c r="E783" s="49">
        <v>45955</v>
      </c>
      <c r="F783" s="49">
        <v>45958</v>
      </c>
      <c r="G783" s="49">
        <v>45962</v>
      </c>
      <c r="H783" s="49">
        <v>45966</v>
      </c>
      <c r="I783" s="49">
        <v>45968</v>
      </c>
      <c r="J783" t="s">
        <v>47</v>
      </c>
      <c r="K783" s="33">
        <v>5200</v>
      </c>
      <c r="M783" t="str">
        <f>_xlfn.XLOOKUP(Pipeline_tbl[[#This Row],[Rep_ID]],Dim_Reps!A:A,Dim_Reps!K:K)</f>
        <v>USD</v>
      </c>
      <c r="N783" s="33">
        <f>(_xlfn.XLOOKUP(Pipeline_tbl[[#This Row],[Rate_Code_Generalized]],Lookups!A:A,Lookups!B:B))*Pipeline_tbl[[#This Row],[Pipeline_Amount_USD]]</f>
        <v>6054.36</v>
      </c>
      <c r="O783" t="str">
        <f>_xlfn.XLOOKUP(Pipeline_tbl[[#This Row],[Rep_ID]],Dim_Reps!A:A,Dim_Reps!B:B)</f>
        <v>Priya Weber</v>
      </c>
      <c r="P783" t="str">
        <f>_xlfn.XLOOKUP(Pipeline_tbl[[#This Row],[Rep_ID]],Dim_Reps!A:A,Dim_Reps!C:C)</f>
        <v>SDR / Inside Sales Rep</v>
      </c>
      <c r="Q783" t="str">
        <f>_xlfn.XLOOKUP(Pipeline_tbl[[#This Row],[Rep_ID]],Dim_Reps!A:A,Dim_Reps!D:D)</f>
        <v>Inside Sales</v>
      </c>
      <c r="R783" t="str">
        <f>_xlfn.XLOOKUP(Pipeline_tbl[[#This Row],[Rep_ID]],Dim_Reps!A:A,Dim_Reps!E:E)</f>
        <v>NAMER</v>
      </c>
      <c r="S783" t="str">
        <f>_xlfn.XLOOKUP(Pipeline_tbl[[#This Row],[Created_Date]],Dim_Date!A:A,Dim_Date!H:H)</f>
        <v>Oct 2025</v>
      </c>
      <c r="T783" t="str">
        <f>IF(Pipeline_tbl[[#This Row],[Closed_Date]]=0,"",(_xlfn.XLOOKUP(Pipeline_tbl[[#This Row],[Closed_Date]],Dim_Date!A:A,Dim_Date!H:H)))</f>
        <v>Nov 2025</v>
      </c>
      <c r="U783">
        <f>IF(Pipeline_tbl[[#This Row],[Closed_Date]]=0,"",Pipeline_tbl[[#This Row],[Closed_Date]]-Pipeline_tbl[[#This Row],[Created_Date]])</f>
        <v>14</v>
      </c>
    </row>
    <row r="784" spans="1:21" ht="15" customHeight="1" x14ac:dyDescent="0.2">
      <c r="A784" t="s">
        <v>1090</v>
      </c>
      <c r="B784" t="s">
        <v>217</v>
      </c>
      <c r="C784" t="s">
        <v>56</v>
      </c>
      <c r="D784" s="49">
        <v>45940</v>
      </c>
      <c r="E784" s="49">
        <v>45942</v>
      </c>
      <c r="F784" s="49">
        <v>45947</v>
      </c>
      <c r="G784" s="49">
        <v>45953</v>
      </c>
      <c r="H784" s="49">
        <v>45959</v>
      </c>
      <c r="I784" s="49">
        <v>45962</v>
      </c>
      <c r="J784" t="s">
        <v>47</v>
      </c>
      <c r="K784" s="33">
        <v>4900</v>
      </c>
      <c r="M784" t="str">
        <f>_xlfn.XLOOKUP(Pipeline_tbl[[#This Row],[Rep_ID]],Dim_Reps!A:A,Dim_Reps!K:K)</f>
        <v>USD</v>
      </c>
      <c r="N784" s="33">
        <f>(_xlfn.XLOOKUP(Pipeline_tbl[[#This Row],[Rate_Code_Generalized]],Lookups!A:A,Lookups!B:B))*Pipeline_tbl[[#This Row],[Pipeline_Amount_USD]]</f>
        <v>5705.07</v>
      </c>
      <c r="O784" t="str">
        <f>_xlfn.XLOOKUP(Pipeline_tbl[[#This Row],[Rep_ID]],Dim_Reps!A:A,Dim_Reps!B:B)</f>
        <v>Priya Weber</v>
      </c>
      <c r="P784" t="str">
        <f>_xlfn.XLOOKUP(Pipeline_tbl[[#This Row],[Rep_ID]],Dim_Reps!A:A,Dim_Reps!C:C)</f>
        <v>SDR / Inside Sales Rep</v>
      </c>
      <c r="Q784" t="str">
        <f>_xlfn.XLOOKUP(Pipeline_tbl[[#This Row],[Rep_ID]],Dim_Reps!A:A,Dim_Reps!D:D)</f>
        <v>Inside Sales</v>
      </c>
      <c r="R784" t="str">
        <f>_xlfn.XLOOKUP(Pipeline_tbl[[#This Row],[Rep_ID]],Dim_Reps!A:A,Dim_Reps!E:E)</f>
        <v>NAMER</v>
      </c>
      <c r="S784" t="str">
        <f>_xlfn.XLOOKUP(Pipeline_tbl[[#This Row],[Created_Date]],Dim_Date!A:A,Dim_Date!H:H)</f>
        <v>Oct 2025</v>
      </c>
      <c r="T784" t="str">
        <f>IF(Pipeline_tbl[[#This Row],[Closed_Date]]=0,"",(_xlfn.XLOOKUP(Pipeline_tbl[[#This Row],[Closed_Date]],Dim_Date!A:A,Dim_Date!H:H)))</f>
        <v>Nov 2025</v>
      </c>
      <c r="U784">
        <f>IF(Pipeline_tbl[[#This Row],[Closed_Date]]=0,"",Pipeline_tbl[[#This Row],[Closed_Date]]-Pipeline_tbl[[#This Row],[Created_Date]])</f>
        <v>22</v>
      </c>
    </row>
    <row r="785" spans="1:21" ht="15" customHeight="1" x14ac:dyDescent="0.2">
      <c r="A785" t="s">
        <v>1091</v>
      </c>
      <c r="B785" t="s">
        <v>217</v>
      </c>
      <c r="C785" t="s">
        <v>53</v>
      </c>
      <c r="D785" s="49">
        <v>45949</v>
      </c>
      <c r="E785" s="49">
        <v>45951</v>
      </c>
      <c r="F785" s="49">
        <v>45954</v>
      </c>
      <c r="G785" s="49">
        <v>45958</v>
      </c>
      <c r="H785" s="49">
        <v>45962</v>
      </c>
      <c r="I785" s="49">
        <v>45964</v>
      </c>
      <c r="J785" t="s">
        <v>47</v>
      </c>
      <c r="K785" s="33">
        <v>2500</v>
      </c>
      <c r="M785" t="str">
        <f>_xlfn.XLOOKUP(Pipeline_tbl[[#This Row],[Rep_ID]],Dim_Reps!A:A,Dim_Reps!K:K)</f>
        <v>USD</v>
      </c>
      <c r="N785" s="33">
        <f>(_xlfn.XLOOKUP(Pipeline_tbl[[#This Row],[Rate_Code_Generalized]],Lookups!A:A,Lookups!B:B))*Pipeline_tbl[[#This Row],[Pipeline_Amount_USD]]</f>
        <v>2910.7499999999995</v>
      </c>
      <c r="O785" t="str">
        <f>_xlfn.XLOOKUP(Pipeline_tbl[[#This Row],[Rep_ID]],Dim_Reps!A:A,Dim_Reps!B:B)</f>
        <v>Priya Weber</v>
      </c>
      <c r="P785" t="str">
        <f>_xlfn.XLOOKUP(Pipeline_tbl[[#This Row],[Rep_ID]],Dim_Reps!A:A,Dim_Reps!C:C)</f>
        <v>SDR / Inside Sales Rep</v>
      </c>
      <c r="Q785" t="str">
        <f>_xlfn.XLOOKUP(Pipeline_tbl[[#This Row],[Rep_ID]],Dim_Reps!A:A,Dim_Reps!D:D)</f>
        <v>Inside Sales</v>
      </c>
      <c r="R785" t="str">
        <f>_xlfn.XLOOKUP(Pipeline_tbl[[#This Row],[Rep_ID]],Dim_Reps!A:A,Dim_Reps!E:E)</f>
        <v>NAMER</v>
      </c>
      <c r="S785" t="str">
        <f>_xlfn.XLOOKUP(Pipeline_tbl[[#This Row],[Created_Date]],Dim_Date!A:A,Dim_Date!H:H)</f>
        <v>Oct 2025</v>
      </c>
      <c r="T785" t="str">
        <f>IF(Pipeline_tbl[[#This Row],[Closed_Date]]=0,"",(_xlfn.XLOOKUP(Pipeline_tbl[[#This Row],[Closed_Date]],Dim_Date!A:A,Dim_Date!H:H)))</f>
        <v>Nov 2025</v>
      </c>
      <c r="U785">
        <f>IF(Pipeline_tbl[[#This Row],[Closed_Date]]=0,"",Pipeline_tbl[[#This Row],[Closed_Date]]-Pipeline_tbl[[#This Row],[Created_Date]])</f>
        <v>15</v>
      </c>
    </row>
    <row r="786" spans="1:21" ht="15" customHeight="1" x14ac:dyDescent="0.2">
      <c r="A786" t="s">
        <v>1092</v>
      </c>
      <c r="B786" t="s">
        <v>219</v>
      </c>
      <c r="C786" t="s">
        <v>53</v>
      </c>
      <c r="D786" s="49">
        <v>45952</v>
      </c>
      <c r="E786" s="49">
        <v>45955</v>
      </c>
      <c r="F786" s="49">
        <v>45960</v>
      </c>
      <c r="I786" s="49">
        <v>45979</v>
      </c>
      <c r="J786" t="s">
        <v>49</v>
      </c>
      <c r="K786" s="33">
        <v>1600</v>
      </c>
      <c r="L786" t="s">
        <v>64</v>
      </c>
      <c r="M786" t="str">
        <f>_xlfn.XLOOKUP(Pipeline_tbl[[#This Row],[Rep_ID]],Dim_Reps!A:A,Dim_Reps!K:K)</f>
        <v>EUR</v>
      </c>
      <c r="N786" s="33">
        <f>(_xlfn.XLOOKUP(Pipeline_tbl[[#This Row],[Rate_Code_Generalized]],Lookups!A:A,Lookups!B:B))*Pipeline_tbl[[#This Row],[Pipeline_Amount_USD]]</f>
        <v>1600</v>
      </c>
      <c r="O786" t="str">
        <f>_xlfn.XLOOKUP(Pipeline_tbl[[#This Row],[Rep_ID]],Dim_Reps!A:A,Dim_Reps!B:B)</f>
        <v>Riley Duarte</v>
      </c>
      <c r="P786" t="str">
        <f>_xlfn.XLOOKUP(Pipeline_tbl[[#This Row],[Rep_ID]],Dim_Reps!A:A,Dim_Reps!C:C)</f>
        <v>SDR / Inside Sales Rep</v>
      </c>
      <c r="Q786" t="str">
        <f>_xlfn.XLOOKUP(Pipeline_tbl[[#This Row],[Rep_ID]],Dim_Reps!A:A,Dim_Reps!D:D)</f>
        <v>Inside Sales</v>
      </c>
      <c r="R786" t="str">
        <f>_xlfn.XLOOKUP(Pipeline_tbl[[#This Row],[Rep_ID]],Dim_Reps!A:A,Dim_Reps!E:E)</f>
        <v>APAC</v>
      </c>
      <c r="S786" t="str">
        <f>_xlfn.XLOOKUP(Pipeline_tbl[[#This Row],[Created_Date]],Dim_Date!A:A,Dim_Date!H:H)</f>
        <v>Oct 2025</v>
      </c>
      <c r="T786" t="str">
        <f>IF(Pipeline_tbl[[#This Row],[Closed_Date]]=0,"",(_xlfn.XLOOKUP(Pipeline_tbl[[#This Row],[Closed_Date]],Dim_Date!A:A,Dim_Date!H:H)))</f>
        <v>Nov 2025</v>
      </c>
      <c r="U786">
        <f>IF(Pipeline_tbl[[#This Row],[Closed_Date]]=0,"",Pipeline_tbl[[#This Row],[Closed_Date]]-Pipeline_tbl[[#This Row],[Created_Date]])</f>
        <v>27</v>
      </c>
    </row>
    <row r="787" spans="1:21" ht="15" customHeight="1" x14ac:dyDescent="0.2">
      <c r="A787" t="s">
        <v>1093</v>
      </c>
      <c r="B787" t="s">
        <v>219</v>
      </c>
      <c r="C787" t="s">
        <v>55</v>
      </c>
      <c r="D787" s="49">
        <v>45959</v>
      </c>
      <c r="E787" s="49">
        <v>45961</v>
      </c>
      <c r="F787" s="49">
        <v>45964</v>
      </c>
      <c r="G787" s="49">
        <v>45969</v>
      </c>
      <c r="H787" s="49">
        <v>45973</v>
      </c>
      <c r="I787" s="49">
        <v>45975</v>
      </c>
      <c r="J787" t="s">
        <v>47</v>
      </c>
      <c r="K787" s="33">
        <v>3300</v>
      </c>
      <c r="M787" t="str">
        <f>_xlfn.XLOOKUP(Pipeline_tbl[[#This Row],[Rep_ID]],Dim_Reps!A:A,Dim_Reps!K:K)</f>
        <v>EUR</v>
      </c>
      <c r="N787" s="33">
        <f>(_xlfn.XLOOKUP(Pipeline_tbl[[#This Row],[Rate_Code_Generalized]],Lookups!A:A,Lookups!B:B))*Pipeline_tbl[[#This Row],[Pipeline_Amount_USD]]</f>
        <v>3300</v>
      </c>
      <c r="O787" t="str">
        <f>_xlfn.XLOOKUP(Pipeline_tbl[[#This Row],[Rep_ID]],Dim_Reps!A:A,Dim_Reps!B:B)</f>
        <v>Riley Duarte</v>
      </c>
      <c r="P787" t="str">
        <f>_xlfn.XLOOKUP(Pipeline_tbl[[#This Row],[Rep_ID]],Dim_Reps!A:A,Dim_Reps!C:C)</f>
        <v>SDR / Inside Sales Rep</v>
      </c>
      <c r="Q787" t="str">
        <f>_xlfn.XLOOKUP(Pipeline_tbl[[#This Row],[Rep_ID]],Dim_Reps!A:A,Dim_Reps!D:D)</f>
        <v>Inside Sales</v>
      </c>
      <c r="R787" t="str">
        <f>_xlfn.XLOOKUP(Pipeline_tbl[[#This Row],[Rep_ID]],Dim_Reps!A:A,Dim_Reps!E:E)</f>
        <v>APAC</v>
      </c>
      <c r="S787" t="str">
        <f>_xlfn.XLOOKUP(Pipeline_tbl[[#This Row],[Created_Date]],Dim_Date!A:A,Dim_Date!H:H)</f>
        <v>Oct 2025</v>
      </c>
      <c r="T787" t="str">
        <f>IF(Pipeline_tbl[[#This Row],[Closed_Date]]=0,"",(_xlfn.XLOOKUP(Pipeline_tbl[[#This Row],[Closed_Date]],Dim_Date!A:A,Dim_Date!H:H)))</f>
        <v>Nov 2025</v>
      </c>
      <c r="U787">
        <f>IF(Pipeline_tbl[[#This Row],[Closed_Date]]=0,"",Pipeline_tbl[[#This Row],[Closed_Date]]-Pipeline_tbl[[#This Row],[Created_Date]])</f>
        <v>16</v>
      </c>
    </row>
    <row r="788" spans="1:21" ht="15" customHeight="1" x14ac:dyDescent="0.2">
      <c r="A788" t="s">
        <v>1094</v>
      </c>
      <c r="B788" t="s">
        <v>219</v>
      </c>
      <c r="C788" t="s">
        <v>53</v>
      </c>
      <c r="D788" s="49">
        <v>45947</v>
      </c>
      <c r="E788" s="49">
        <v>45949</v>
      </c>
      <c r="F788" s="49">
        <v>45954</v>
      </c>
      <c r="G788" s="49">
        <v>45961</v>
      </c>
      <c r="H788" s="49">
        <v>45967</v>
      </c>
      <c r="I788" s="49">
        <v>45970</v>
      </c>
      <c r="J788" t="s">
        <v>49</v>
      </c>
      <c r="K788" s="33">
        <v>4300</v>
      </c>
      <c r="L788" t="s">
        <v>64</v>
      </c>
      <c r="M788" t="str">
        <f>_xlfn.XLOOKUP(Pipeline_tbl[[#This Row],[Rep_ID]],Dim_Reps!A:A,Dim_Reps!K:K)</f>
        <v>EUR</v>
      </c>
      <c r="N788" s="33">
        <f>(_xlfn.XLOOKUP(Pipeline_tbl[[#This Row],[Rate_Code_Generalized]],Lookups!A:A,Lookups!B:B))*Pipeline_tbl[[#This Row],[Pipeline_Amount_USD]]</f>
        <v>4300</v>
      </c>
      <c r="O788" t="str">
        <f>_xlfn.XLOOKUP(Pipeline_tbl[[#This Row],[Rep_ID]],Dim_Reps!A:A,Dim_Reps!B:B)</f>
        <v>Riley Duarte</v>
      </c>
      <c r="P788" t="str">
        <f>_xlfn.XLOOKUP(Pipeline_tbl[[#This Row],[Rep_ID]],Dim_Reps!A:A,Dim_Reps!C:C)</f>
        <v>SDR / Inside Sales Rep</v>
      </c>
      <c r="Q788" t="str">
        <f>_xlfn.XLOOKUP(Pipeline_tbl[[#This Row],[Rep_ID]],Dim_Reps!A:A,Dim_Reps!D:D)</f>
        <v>Inside Sales</v>
      </c>
      <c r="R788" t="str">
        <f>_xlfn.XLOOKUP(Pipeline_tbl[[#This Row],[Rep_ID]],Dim_Reps!A:A,Dim_Reps!E:E)</f>
        <v>APAC</v>
      </c>
      <c r="S788" t="str">
        <f>_xlfn.XLOOKUP(Pipeline_tbl[[#This Row],[Created_Date]],Dim_Date!A:A,Dim_Date!H:H)</f>
        <v>Oct 2025</v>
      </c>
      <c r="T788" t="str">
        <f>IF(Pipeline_tbl[[#This Row],[Closed_Date]]=0,"",(_xlfn.XLOOKUP(Pipeline_tbl[[#This Row],[Closed_Date]],Dim_Date!A:A,Dim_Date!H:H)))</f>
        <v>Nov 2025</v>
      </c>
      <c r="U788">
        <f>IF(Pipeline_tbl[[#This Row],[Closed_Date]]=0,"",Pipeline_tbl[[#This Row],[Closed_Date]]-Pipeline_tbl[[#This Row],[Created_Date]])</f>
        <v>23</v>
      </c>
    </row>
    <row r="789" spans="1:21" ht="15" customHeight="1" x14ac:dyDescent="0.2">
      <c r="A789" t="s">
        <v>1095</v>
      </c>
      <c r="B789" t="s">
        <v>255</v>
      </c>
      <c r="C789" t="s">
        <v>55</v>
      </c>
      <c r="D789" s="49">
        <v>45951</v>
      </c>
      <c r="E789" s="49">
        <v>45953</v>
      </c>
      <c r="F789" s="49">
        <v>45957</v>
      </c>
      <c r="G789" s="49">
        <v>45964</v>
      </c>
      <c r="H789" s="49">
        <v>45969</v>
      </c>
      <c r="I789" s="49">
        <v>45972</v>
      </c>
      <c r="J789" t="s">
        <v>47</v>
      </c>
      <c r="K789" s="33">
        <v>18600</v>
      </c>
      <c r="M789" t="str">
        <f>_xlfn.XLOOKUP(Pipeline_tbl[[#This Row],[Rep_ID]],Dim_Reps!A:A,Dim_Reps!K:K)</f>
        <v>USD</v>
      </c>
      <c r="N789" s="33">
        <f>(_xlfn.XLOOKUP(Pipeline_tbl[[#This Row],[Rate_Code_Generalized]],Lookups!A:A,Lookups!B:B))*Pipeline_tbl[[#This Row],[Pipeline_Amount_USD]]</f>
        <v>21655.98</v>
      </c>
      <c r="O789" t="str">
        <f>_xlfn.XLOOKUP(Pipeline_tbl[[#This Row],[Rep_ID]],Dim_Reps!A:A,Dim_Reps!B:B)</f>
        <v>Erik Kim</v>
      </c>
      <c r="P789" t="str">
        <f>_xlfn.XLOOKUP(Pipeline_tbl[[#This Row],[Rep_ID]],Dim_Reps!A:A,Dim_Reps!C:C)</f>
        <v>Mid-Market AE</v>
      </c>
      <c r="Q789" t="str">
        <f>_xlfn.XLOOKUP(Pipeline_tbl[[#This Row],[Rep_ID]],Dim_Reps!A:A,Dim_Reps!D:D)</f>
        <v>Mid-Market</v>
      </c>
      <c r="R789" t="str">
        <f>_xlfn.XLOOKUP(Pipeline_tbl[[#This Row],[Rep_ID]],Dim_Reps!A:A,Dim_Reps!E:E)</f>
        <v>NAMER</v>
      </c>
      <c r="S789" t="str">
        <f>_xlfn.XLOOKUP(Pipeline_tbl[[#This Row],[Created_Date]],Dim_Date!A:A,Dim_Date!H:H)</f>
        <v>Oct 2025</v>
      </c>
      <c r="T789" t="str">
        <f>IF(Pipeline_tbl[[#This Row],[Closed_Date]]=0,"",(_xlfn.XLOOKUP(Pipeline_tbl[[#This Row],[Closed_Date]],Dim_Date!A:A,Dim_Date!H:H)))</f>
        <v>Nov 2025</v>
      </c>
      <c r="U789">
        <f>IF(Pipeline_tbl[[#This Row],[Closed_Date]]=0,"",Pipeline_tbl[[#This Row],[Closed_Date]]-Pipeline_tbl[[#This Row],[Created_Date]])</f>
        <v>21</v>
      </c>
    </row>
    <row r="790" spans="1:21" ht="15" customHeight="1" x14ac:dyDescent="0.2">
      <c r="A790" t="s">
        <v>1096</v>
      </c>
      <c r="B790" t="s">
        <v>255</v>
      </c>
      <c r="C790" t="s">
        <v>53</v>
      </c>
      <c r="D790" s="49">
        <v>45932</v>
      </c>
      <c r="E790" s="49">
        <v>45937</v>
      </c>
      <c r="F790" s="49">
        <v>45947</v>
      </c>
      <c r="G790" s="49">
        <v>45961</v>
      </c>
      <c r="H790" s="49">
        <v>45974</v>
      </c>
      <c r="I790" s="49">
        <v>45981</v>
      </c>
      <c r="J790" t="s">
        <v>47</v>
      </c>
      <c r="K790" s="33">
        <v>8200</v>
      </c>
      <c r="M790" t="str">
        <f>_xlfn.XLOOKUP(Pipeline_tbl[[#This Row],[Rep_ID]],Dim_Reps!A:A,Dim_Reps!K:K)</f>
        <v>USD</v>
      </c>
      <c r="N790" s="33">
        <f>(_xlfn.XLOOKUP(Pipeline_tbl[[#This Row],[Rate_Code_Generalized]],Lookups!A:A,Lookups!B:B))*Pipeline_tbl[[#This Row],[Pipeline_Amount_USD]]</f>
        <v>9547.2599999999984</v>
      </c>
      <c r="O790" t="str">
        <f>_xlfn.XLOOKUP(Pipeline_tbl[[#This Row],[Rep_ID]],Dim_Reps!A:A,Dim_Reps!B:B)</f>
        <v>Erik Kim</v>
      </c>
      <c r="P790" t="str">
        <f>_xlfn.XLOOKUP(Pipeline_tbl[[#This Row],[Rep_ID]],Dim_Reps!A:A,Dim_Reps!C:C)</f>
        <v>Mid-Market AE</v>
      </c>
      <c r="Q790" t="str">
        <f>_xlfn.XLOOKUP(Pipeline_tbl[[#This Row],[Rep_ID]],Dim_Reps!A:A,Dim_Reps!D:D)</f>
        <v>Mid-Market</v>
      </c>
      <c r="R790" t="str">
        <f>_xlfn.XLOOKUP(Pipeline_tbl[[#This Row],[Rep_ID]],Dim_Reps!A:A,Dim_Reps!E:E)</f>
        <v>NAMER</v>
      </c>
      <c r="S790" t="str">
        <f>_xlfn.XLOOKUP(Pipeline_tbl[[#This Row],[Created_Date]],Dim_Date!A:A,Dim_Date!H:H)</f>
        <v>Oct 2025</v>
      </c>
      <c r="T790" t="str">
        <f>IF(Pipeline_tbl[[#This Row],[Closed_Date]]=0,"",(_xlfn.XLOOKUP(Pipeline_tbl[[#This Row],[Closed_Date]],Dim_Date!A:A,Dim_Date!H:H)))</f>
        <v>Nov 2025</v>
      </c>
      <c r="U790">
        <f>IF(Pipeline_tbl[[#This Row],[Closed_Date]]=0,"",Pipeline_tbl[[#This Row],[Closed_Date]]-Pipeline_tbl[[#This Row],[Created_Date]])</f>
        <v>49</v>
      </c>
    </row>
    <row r="791" spans="1:21" ht="15" customHeight="1" x14ac:dyDescent="0.2">
      <c r="A791" t="s">
        <v>1097</v>
      </c>
      <c r="B791" t="s">
        <v>255</v>
      </c>
      <c r="C791" t="s">
        <v>54</v>
      </c>
      <c r="D791" s="49">
        <v>45933</v>
      </c>
      <c r="E791" s="49">
        <v>45937</v>
      </c>
      <c r="F791" s="49">
        <v>45945</v>
      </c>
      <c r="G791" s="49">
        <v>45956</v>
      </c>
      <c r="I791" s="49">
        <v>45972</v>
      </c>
      <c r="J791" t="s">
        <v>49</v>
      </c>
      <c r="K791" s="33">
        <v>8600</v>
      </c>
      <c r="L791" t="s">
        <v>62</v>
      </c>
      <c r="M791" t="str">
        <f>_xlfn.XLOOKUP(Pipeline_tbl[[#This Row],[Rep_ID]],Dim_Reps!A:A,Dim_Reps!K:K)</f>
        <v>USD</v>
      </c>
      <c r="N791" s="33">
        <f>(_xlfn.XLOOKUP(Pipeline_tbl[[#This Row],[Rate_Code_Generalized]],Lookups!A:A,Lookups!B:B))*Pipeline_tbl[[#This Row],[Pipeline_Amount_USD]]</f>
        <v>10012.98</v>
      </c>
      <c r="O791" t="str">
        <f>_xlfn.XLOOKUP(Pipeline_tbl[[#This Row],[Rep_ID]],Dim_Reps!A:A,Dim_Reps!B:B)</f>
        <v>Erik Kim</v>
      </c>
      <c r="P791" t="str">
        <f>_xlfn.XLOOKUP(Pipeline_tbl[[#This Row],[Rep_ID]],Dim_Reps!A:A,Dim_Reps!C:C)</f>
        <v>Mid-Market AE</v>
      </c>
      <c r="Q791" t="str">
        <f>_xlfn.XLOOKUP(Pipeline_tbl[[#This Row],[Rep_ID]],Dim_Reps!A:A,Dim_Reps!D:D)</f>
        <v>Mid-Market</v>
      </c>
      <c r="R791" t="str">
        <f>_xlfn.XLOOKUP(Pipeline_tbl[[#This Row],[Rep_ID]],Dim_Reps!A:A,Dim_Reps!E:E)</f>
        <v>NAMER</v>
      </c>
      <c r="S791" t="str">
        <f>_xlfn.XLOOKUP(Pipeline_tbl[[#This Row],[Created_Date]],Dim_Date!A:A,Dim_Date!H:H)</f>
        <v>Oct 2025</v>
      </c>
      <c r="T791" t="str">
        <f>IF(Pipeline_tbl[[#This Row],[Closed_Date]]=0,"",(_xlfn.XLOOKUP(Pipeline_tbl[[#This Row],[Closed_Date]],Dim_Date!A:A,Dim_Date!H:H)))</f>
        <v>Nov 2025</v>
      </c>
      <c r="U791">
        <f>IF(Pipeline_tbl[[#This Row],[Closed_Date]]=0,"",Pipeline_tbl[[#This Row],[Closed_Date]]-Pipeline_tbl[[#This Row],[Created_Date]])</f>
        <v>39</v>
      </c>
    </row>
    <row r="792" spans="1:21" ht="15" customHeight="1" x14ac:dyDescent="0.2">
      <c r="A792" t="s">
        <v>1098</v>
      </c>
      <c r="B792" t="s">
        <v>255</v>
      </c>
      <c r="C792" t="s">
        <v>52</v>
      </c>
      <c r="D792" s="49">
        <v>45951</v>
      </c>
      <c r="E792" s="49">
        <v>45955</v>
      </c>
      <c r="F792" s="49">
        <v>45963</v>
      </c>
      <c r="G792" s="49">
        <v>45974</v>
      </c>
      <c r="H792" s="49">
        <v>45984</v>
      </c>
      <c r="I792" s="49">
        <v>45990</v>
      </c>
      <c r="J792" t="s">
        <v>49</v>
      </c>
      <c r="K792" s="33">
        <v>10700</v>
      </c>
      <c r="L792" t="s">
        <v>60</v>
      </c>
      <c r="M792" t="str">
        <f>_xlfn.XLOOKUP(Pipeline_tbl[[#This Row],[Rep_ID]],Dim_Reps!A:A,Dim_Reps!K:K)</f>
        <v>USD</v>
      </c>
      <c r="N792" s="33">
        <f>(_xlfn.XLOOKUP(Pipeline_tbl[[#This Row],[Rate_Code_Generalized]],Lookups!A:A,Lookups!B:B))*Pipeline_tbl[[#This Row],[Pipeline_Amount_USD]]</f>
        <v>12458.009999999998</v>
      </c>
      <c r="O792" t="str">
        <f>_xlfn.XLOOKUP(Pipeline_tbl[[#This Row],[Rep_ID]],Dim_Reps!A:A,Dim_Reps!B:B)</f>
        <v>Erik Kim</v>
      </c>
      <c r="P792" t="str">
        <f>_xlfn.XLOOKUP(Pipeline_tbl[[#This Row],[Rep_ID]],Dim_Reps!A:A,Dim_Reps!C:C)</f>
        <v>Mid-Market AE</v>
      </c>
      <c r="Q792" t="str">
        <f>_xlfn.XLOOKUP(Pipeline_tbl[[#This Row],[Rep_ID]],Dim_Reps!A:A,Dim_Reps!D:D)</f>
        <v>Mid-Market</v>
      </c>
      <c r="R792" t="str">
        <f>_xlfn.XLOOKUP(Pipeline_tbl[[#This Row],[Rep_ID]],Dim_Reps!A:A,Dim_Reps!E:E)</f>
        <v>NAMER</v>
      </c>
      <c r="S792" t="str">
        <f>_xlfn.XLOOKUP(Pipeline_tbl[[#This Row],[Created_Date]],Dim_Date!A:A,Dim_Date!H:H)</f>
        <v>Oct 2025</v>
      </c>
      <c r="T792" t="str">
        <f>IF(Pipeline_tbl[[#This Row],[Closed_Date]]=0,"",(_xlfn.XLOOKUP(Pipeline_tbl[[#This Row],[Closed_Date]],Dim_Date!A:A,Dim_Date!H:H)))</f>
        <v>Nov 2025</v>
      </c>
      <c r="U792">
        <f>IF(Pipeline_tbl[[#This Row],[Closed_Date]]=0,"",Pipeline_tbl[[#This Row],[Closed_Date]]-Pipeline_tbl[[#This Row],[Created_Date]])</f>
        <v>39</v>
      </c>
    </row>
    <row r="793" spans="1:21" ht="15" customHeight="1" x14ac:dyDescent="0.2">
      <c r="A793" t="s">
        <v>1099</v>
      </c>
      <c r="B793" t="s">
        <v>255</v>
      </c>
      <c r="C793" t="s">
        <v>53</v>
      </c>
      <c r="D793" s="49">
        <v>45949</v>
      </c>
      <c r="E793" s="49">
        <v>45953</v>
      </c>
      <c r="F793" s="49">
        <v>45961</v>
      </c>
      <c r="I793" s="49">
        <v>45989</v>
      </c>
      <c r="J793" t="s">
        <v>49</v>
      </c>
      <c r="K793" s="33">
        <v>6600</v>
      </c>
      <c r="L793" t="s">
        <v>62</v>
      </c>
      <c r="M793" t="str">
        <f>_xlfn.XLOOKUP(Pipeline_tbl[[#This Row],[Rep_ID]],Dim_Reps!A:A,Dim_Reps!K:K)</f>
        <v>USD</v>
      </c>
      <c r="N793" s="33">
        <f>(_xlfn.XLOOKUP(Pipeline_tbl[[#This Row],[Rate_Code_Generalized]],Lookups!A:A,Lookups!B:B))*Pipeline_tbl[[#This Row],[Pipeline_Amount_USD]]</f>
        <v>7684.3799999999992</v>
      </c>
      <c r="O793" t="str">
        <f>_xlfn.XLOOKUP(Pipeline_tbl[[#This Row],[Rep_ID]],Dim_Reps!A:A,Dim_Reps!B:B)</f>
        <v>Erik Kim</v>
      </c>
      <c r="P793" t="str">
        <f>_xlfn.XLOOKUP(Pipeline_tbl[[#This Row],[Rep_ID]],Dim_Reps!A:A,Dim_Reps!C:C)</f>
        <v>Mid-Market AE</v>
      </c>
      <c r="Q793" t="str">
        <f>_xlfn.XLOOKUP(Pipeline_tbl[[#This Row],[Rep_ID]],Dim_Reps!A:A,Dim_Reps!D:D)</f>
        <v>Mid-Market</v>
      </c>
      <c r="R793" t="str">
        <f>_xlfn.XLOOKUP(Pipeline_tbl[[#This Row],[Rep_ID]],Dim_Reps!A:A,Dim_Reps!E:E)</f>
        <v>NAMER</v>
      </c>
      <c r="S793" t="str">
        <f>_xlfn.XLOOKUP(Pipeline_tbl[[#This Row],[Created_Date]],Dim_Date!A:A,Dim_Date!H:H)</f>
        <v>Oct 2025</v>
      </c>
      <c r="T793" t="str">
        <f>IF(Pipeline_tbl[[#This Row],[Closed_Date]]=0,"",(_xlfn.XLOOKUP(Pipeline_tbl[[#This Row],[Closed_Date]],Dim_Date!A:A,Dim_Date!H:H)))</f>
        <v>Nov 2025</v>
      </c>
      <c r="U793">
        <f>IF(Pipeline_tbl[[#This Row],[Closed_Date]]=0,"",Pipeline_tbl[[#This Row],[Closed_Date]]-Pipeline_tbl[[#This Row],[Created_Date]])</f>
        <v>40</v>
      </c>
    </row>
    <row r="794" spans="1:21" ht="15" customHeight="1" x14ac:dyDescent="0.2">
      <c r="A794" t="s">
        <v>1100</v>
      </c>
      <c r="B794" t="s">
        <v>257</v>
      </c>
      <c r="C794" t="s">
        <v>52</v>
      </c>
      <c r="D794" s="49">
        <v>45948</v>
      </c>
      <c r="E794" s="49">
        <v>45951</v>
      </c>
      <c r="F794" s="49">
        <v>45958</v>
      </c>
      <c r="G794" s="49">
        <v>45968</v>
      </c>
      <c r="H794" s="49">
        <v>45976</v>
      </c>
      <c r="I794" s="49">
        <v>45981</v>
      </c>
      <c r="J794" t="s">
        <v>47</v>
      </c>
      <c r="K794" s="33">
        <v>6100</v>
      </c>
      <c r="M794" t="str">
        <f>_xlfn.XLOOKUP(Pipeline_tbl[[#This Row],[Rep_ID]],Dim_Reps!A:A,Dim_Reps!K:K)</f>
        <v>EUR</v>
      </c>
      <c r="N794" s="33">
        <f>(_xlfn.XLOOKUP(Pipeline_tbl[[#This Row],[Rate_Code_Generalized]],Lookups!A:A,Lookups!B:B))*Pipeline_tbl[[#This Row],[Pipeline_Amount_USD]]</f>
        <v>6100</v>
      </c>
      <c r="O794" t="str">
        <f>_xlfn.XLOOKUP(Pipeline_tbl[[#This Row],[Rep_ID]],Dim_Reps!A:A,Dim_Reps!B:B)</f>
        <v>Ana Kim</v>
      </c>
      <c r="P794" t="str">
        <f>_xlfn.XLOOKUP(Pipeline_tbl[[#This Row],[Rep_ID]],Dim_Reps!A:A,Dim_Reps!C:C)</f>
        <v>Mid-Market AE</v>
      </c>
      <c r="Q794" t="str">
        <f>_xlfn.XLOOKUP(Pipeline_tbl[[#This Row],[Rep_ID]],Dim_Reps!A:A,Dim_Reps!D:D)</f>
        <v>Mid-Market</v>
      </c>
      <c r="R794" t="str">
        <f>_xlfn.XLOOKUP(Pipeline_tbl[[#This Row],[Rep_ID]],Dim_Reps!A:A,Dim_Reps!E:E)</f>
        <v>APAC</v>
      </c>
      <c r="S794" t="str">
        <f>_xlfn.XLOOKUP(Pipeline_tbl[[#This Row],[Created_Date]],Dim_Date!A:A,Dim_Date!H:H)</f>
        <v>Oct 2025</v>
      </c>
      <c r="T794" t="str">
        <f>IF(Pipeline_tbl[[#This Row],[Closed_Date]]=0,"",(_xlfn.XLOOKUP(Pipeline_tbl[[#This Row],[Closed_Date]],Dim_Date!A:A,Dim_Date!H:H)))</f>
        <v>Nov 2025</v>
      </c>
      <c r="U794">
        <f>IF(Pipeline_tbl[[#This Row],[Closed_Date]]=0,"",Pipeline_tbl[[#This Row],[Closed_Date]]-Pipeline_tbl[[#This Row],[Created_Date]])</f>
        <v>33</v>
      </c>
    </row>
    <row r="795" spans="1:21" ht="15" customHeight="1" x14ac:dyDescent="0.2">
      <c r="A795" t="s">
        <v>1101</v>
      </c>
      <c r="B795" t="s">
        <v>257</v>
      </c>
      <c r="C795" t="s">
        <v>52</v>
      </c>
      <c r="D795" s="49">
        <v>45954</v>
      </c>
      <c r="E795" s="49">
        <v>45956</v>
      </c>
      <c r="F795" s="49">
        <v>45961</v>
      </c>
      <c r="G795" s="49">
        <v>45967</v>
      </c>
      <c r="H795" s="49">
        <v>45973</v>
      </c>
      <c r="I795" s="49">
        <v>45976</v>
      </c>
      <c r="J795" t="s">
        <v>49</v>
      </c>
      <c r="K795" s="33">
        <v>7400</v>
      </c>
      <c r="L795" t="s">
        <v>62</v>
      </c>
      <c r="M795" t="str">
        <f>_xlfn.XLOOKUP(Pipeline_tbl[[#This Row],[Rep_ID]],Dim_Reps!A:A,Dim_Reps!K:K)</f>
        <v>EUR</v>
      </c>
      <c r="N795" s="33">
        <f>(_xlfn.XLOOKUP(Pipeline_tbl[[#This Row],[Rate_Code_Generalized]],Lookups!A:A,Lookups!B:B))*Pipeline_tbl[[#This Row],[Pipeline_Amount_USD]]</f>
        <v>7400</v>
      </c>
      <c r="O795" t="str">
        <f>_xlfn.XLOOKUP(Pipeline_tbl[[#This Row],[Rep_ID]],Dim_Reps!A:A,Dim_Reps!B:B)</f>
        <v>Ana Kim</v>
      </c>
      <c r="P795" t="str">
        <f>_xlfn.XLOOKUP(Pipeline_tbl[[#This Row],[Rep_ID]],Dim_Reps!A:A,Dim_Reps!C:C)</f>
        <v>Mid-Market AE</v>
      </c>
      <c r="Q795" t="str">
        <f>_xlfn.XLOOKUP(Pipeline_tbl[[#This Row],[Rep_ID]],Dim_Reps!A:A,Dim_Reps!D:D)</f>
        <v>Mid-Market</v>
      </c>
      <c r="R795" t="str">
        <f>_xlfn.XLOOKUP(Pipeline_tbl[[#This Row],[Rep_ID]],Dim_Reps!A:A,Dim_Reps!E:E)</f>
        <v>APAC</v>
      </c>
      <c r="S795" t="str">
        <f>_xlfn.XLOOKUP(Pipeline_tbl[[#This Row],[Created_Date]],Dim_Date!A:A,Dim_Date!H:H)</f>
        <v>Oct 2025</v>
      </c>
      <c r="T795" t="str">
        <f>IF(Pipeline_tbl[[#This Row],[Closed_Date]]=0,"",(_xlfn.XLOOKUP(Pipeline_tbl[[#This Row],[Closed_Date]],Dim_Date!A:A,Dim_Date!H:H)))</f>
        <v>Nov 2025</v>
      </c>
      <c r="U795">
        <f>IF(Pipeline_tbl[[#This Row],[Closed_Date]]=0,"",Pipeline_tbl[[#This Row],[Closed_Date]]-Pipeline_tbl[[#This Row],[Created_Date]])</f>
        <v>22</v>
      </c>
    </row>
    <row r="796" spans="1:21" ht="15" customHeight="1" x14ac:dyDescent="0.2">
      <c r="A796" t="s">
        <v>1102</v>
      </c>
      <c r="B796" t="s">
        <v>257</v>
      </c>
      <c r="C796" t="s">
        <v>52</v>
      </c>
      <c r="D796" s="49">
        <v>45937</v>
      </c>
      <c r="E796" s="49">
        <v>45941</v>
      </c>
      <c r="F796" s="49">
        <v>45950</v>
      </c>
      <c r="I796" s="49">
        <v>45979</v>
      </c>
      <c r="J796" t="s">
        <v>49</v>
      </c>
      <c r="K796" s="33">
        <v>24400</v>
      </c>
      <c r="L796" t="s">
        <v>63</v>
      </c>
      <c r="M796" t="str">
        <f>_xlfn.XLOOKUP(Pipeline_tbl[[#This Row],[Rep_ID]],Dim_Reps!A:A,Dim_Reps!K:K)</f>
        <v>EUR</v>
      </c>
      <c r="N796" s="33">
        <f>(_xlfn.XLOOKUP(Pipeline_tbl[[#This Row],[Rate_Code_Generalized]],Lookups!A:A,Lookups!B:B))*Pipeline_tbl[[#This Row],[Pipeline_Amount_USD]]</f>
        <v>24400</v>
      </c>
      <c r="O796" t="str">
        <f>_xlfn.XLOOKUP(Pipeline_tbl[[#This Row],[Rep_ID]],Dim_Reps!A:A,Dim_Reps!B:B)</f>
        <v>Ana Kim</v>
      </c>
      <c r="P796" t="str">
        <f>_xlfn.XLOOKUP(Pipeline_tbl[[#This Row],[Rep_ID]],Dim_Reps!A:A,Dim_Reps!C:C)</f>
        <v>Mid-Market AE</v>
      </c>
      <c r="Q796" t="str">
        <f>_xlfn.XLOOKUP(Pipeline_tbl[[#This Row],[Rep_ID]],Dim_Reps!A:A,Dim_Reps!D:D)</f>
        <v>Mid-Market</v>
      </c>
      <c r="R796" t="str">
        <f>_xlfn.XLOOKUP(Pipeline_tbl[[#This Row],[Rep_ID]],Dim_Reps!A:A,Dim_Reps!E:E)</f>
        <v>APAC</v>
      </c>
      <c r="S796" t="str">
        <f>_xlfn.XLOOKUP(Pipeline_tbl[[#This Row],[Created_Date]],Dim_Date!A:A,Dim_Date!H:H)</f>
        <v>Oct 2025</v>
      </c>
      <c r="T796" t="str">
        <f>IF(Pipeline_tbl[[#This Row],[Closed_Date]]=0,"",(_xlfn.XLOOKUP(Pipeline_tbl[[#This Row],[Closed_Date]],Dim_Date!A:A,Dim_Date!H:H)))</f>
        <v>Nov 2025</v>
      </c>
      <c r="U796">
        <f>IF(Pipeline_tbl[[#This Row],[Closed_Date]]=0,"",Pipeline_tbl[[#This Row],[Closed_Date]]-Pipeline_tbl[[#This Row],[Created_Date]])</f>
        <v>42</v>
      </c>
    </row>
    <row r="797" spans="1:21" ht="15" customHeight="1" x14ac:dyDescent="0.2">
      <c r="A797" t="s">
        <v>1103</v>
      </c>
      <c r="B797" t="s">
        <v>257</v>
      </c>
      <c r="C797" t="s">
        <v>54</v>
      </c>
      <c r="D797" s="49">
        <v>45932</v>
      </c>
      <c r="E797" s="49">
        <v>45936</v>
      </c>
      <c r="I797" s="49">
        <v>45976</v>
      </c>
      <c r="J797" t="s">
        <v>49</v>
      </c>
      <c r="K797" s="33">
        <v>17100</v>
      </c>
      <c r="L797" t="s">
        <v>64</v>
      </c>
      <c r="M797" t="str">
        <f>_xlfn.XLOOKUP(Pipeline_tbl[[#This Row],[Rep_ID]],Dim_Reps!A:A,Dim_Reps!K:K)</f>
        <v>EUR</v>
      </c>
      <c r="N797" s="33">
        <f>(_xlfn.XLOOKUP(Pipeline_tbl[[#This Row],[Rate_Code_Generalized]],Lookups!A:A,Lookups!B:B))*Pipeline_tbl[[#This Row],[Pipeline_Amount_USD]]</f>
        <v>17100</v>
      </c>
      <c r="O797" t="str">
        <f>_xlfn.XLOOKUP(Pipeline_tbl[[#This Row],[Rep_ID]],Dim_Reps!A:A,Dim_Reps!B:B)</f>
        <v>Ana Kim</v>
      </c>
      <c r="P797" t="str">
        <f>_xlfn.XLOOKUP(Pipeline_tbl[[#This Row],[Rep_ID]],Dim_Reps!A:A,Dim_Reps!C:C)</f>
        <v>Mid-Market AE</v>
      </c>
      <c r="Q797" t="str">
        <f>_xlfn.XLOOKUP(Pipeline_tbl[[#This Row],[Rep_ID]],Dim_Reps!A:A,Dim_Reps!D:D)</f>
        <v>Mid-Market</v>
      </c>
      <c r="R797" t="str">
        <f>_xlfn.XLOOKUP(Pipeline_tbl[[#This Row],[Rep_ID]],Dim_Reps!A:A,Dim_Reps!E:E)</f>
        <v>APAC</v>
      </c>
      <c r="S797" t="str">
        <f>_xlfn.XLOOKUP(Pipeline_tbl[[#This Row],[Created_Date]],Dim_Date!A:A,Dim_Date!H:H)</f>
        <v>Oct 2025</v>
      </c>
      <c r="T797" t="str">
        <f>IF(Pipeline_tbl[[#This Row],[Closed_Date]]=0,"",(_xlfn.XLOOKUP(Pipeline_tbl[[#This Row],[Closed_Date]],Dim_Date!A:A,Dim_Date!H:H)))</f>
        <v>Nov 2025</v>
      </c>
      <c r="U797">
        <f>IF(Pipeline_tbl[[#This Row],[Closed_Date]]=0,"",Pipeline_tbl[[#This Row],[Closed_Date]]-Pipeline_tbl[[#This Row],[Created_Date]])</f>
        <v>44</v>
      </c>
    </row>
    <row r="798" spans="1:21" ht="15" customHeight="1" x14ac:dyDescent="0.2">
      <c r="A798" t="s">
        <v>1104</v>
      </c>
      <c r="B798" t="s">
        <v>257</v>
      </c>
      <c r="C798" t="s">
        <v>52</v>
      </c>
      <c r="D798" s="49">
        <v>45939</v>
      </c>
      <c r="E798" s="49">
        <v>45943</v>
      </c>
      <c r="F798" s="49">
        <v>45952</v>
      </c>
      <c r="G798" s="49">
        <v>45965</v>
      </c>
      <c r="H798" s="49">
        <v>45976</v>
      </c>
      <c r="I798" s="49">
        <v>45982</v>
      </c>
      <c r="J798" t="s">
        <v>47</v>
      </c>
      <c r="K798" s="33">
        <v>9000</v>
      </c>
      <c r="M798" t="str">
        <f>_xlfn.XLOOKUP(Pipeline_tbl[[#This Row],[Rep_ID]],Dim_Reps!A:A,Dim_Reps!K:K)</f>
        <v>EUR</v>
      </c>
      <c r="N798" s="33">
        <f>(_xlfn.XLOOKUP(Pipeline_tbl[[#This Row],[Rate_Code_Generalized]],Lookups!A:A,Lookups!B:B))*Pipeline_tbl[[#This Row],[Pipeline_Amount_USD]]</f>
        <v>9000</v>
      </c>
      <c r="O798" t="str">
        <f>_xlfn.XLOOKUP(Pipeline_tbl[[#This Row],[Rep_ID]],Dim_Reps!A:A,Dim_Reps!B:B)</f>
        <v>Ana Kim</v>
      </c>
      <c r="P798" t="str">
        <f>_xlfn.XLOOKUP(Pipeline_tbl[[#This Row],[Rep_ID]],Dim_Reps!A:A,Dim_Reps!C:C)</f>
        <v>Mid-Market AE</v>
      </c>
      <c r="Q798" t="str">
        <f>_xlfn.XLOOKUP(Pipeline_tbl[[#This Row],[Rep_ID]],Dim_Reps!A:A,Dim_Reps!D:D)</f>
        <v>Mid-Market</v>
      </c>
      <c r="R798" t="str">
        <f>_xlfn.XLOOKUP(Pipeline_tbl[[#This Row],[Rep_ID]],Dim_Reps!A:A,Dim_Reps!E:E)</f>
        <v>APAC</v>
      </c>
      <c r="S798" t="str">
        <f>_xlfn.XLOOKUP(Pipeline_tbl[[#This Row],[Created_Date]],Dim_Date!A:A,Dim_Date!H:H)</f>
        <v>Oct 2025</v>
      </c>
      <c r="T798" t="str">
        <f>IF(Pipeline_tbl[[#This Row],[Closed_Date]]=0,"",(_xlfn.XLOOKUP(Pipeline_tbl[[#This Row],[Closed_Date]],Dim_Date!A:A,Dim_Date!H:H)))</f>
        <v>Nov 2025</v>
      </c>
      <c r="U798">
        <f>IF(Pipeline_tbl[[#This Row],[Closed_Date]]=0,"",Pipeline_tbl[[#This Row],[Closed_Date]]-Pipeline_tbl[[#This Row],[Created_Date]])</f>
        <v>43</v>
      </c>
    </row>
    <row r="799" spans="1:21" ht="15" customHeight="1" x14ac:dyDescent="0.2">
      <c r="A799" t="s">
        <v>1105</v>
      </c>
      <c r="B799" t="s">
        <v>257</v>
      </c>
      <c r="C799" t="s">
        <v>53</v>
      </c>
      <c r="D799" s="49">
        <v>45943</v>
      </c>
      <c r="E799" s="49">
        <v>45947</v>
      </c>
      <c r="I799" s="49">
        <v>45979</v>
      </c>
      <c r="J799" t="s">
        <v>49</v>
      </c>
      <c r="K799" s="33">
        <v>11000</v>
      </c>
      <c r="L799" t="s">
        <v>60</v>
      </c>
      <c r="M799" t="str">
        <f>_xlfn.XLOOKUP(Pipeline_tbl[[#This Row],[Rep_ID]],Dim_Reps!A:A,Dim_Reps!K:K)</f>
        <v>EUR</v>
      </c>
      <c r="N799" s="33">
        <f>(_xlfn.XLOOKUP(Pipeline_tbl[[#This Row],[Rate_Code_Generalized]],Lookups!A:A,Lookups!B:B))*Pipeline_tbl[[#This Row],[Pipeline_Amount_USD]]</f>
        <v>11000</v>
      </c>
      <c r="O799" t="str">
        <f>_xlfn.XLOOKUP(Pipeline_tbl[[#This Row],[Rep_ID]],Dim_Reps!A:A,Dim_Reps!B:B)</f>
        <v>Ana Kim</v>
      </c>
      <c r="P799" t="str">
        <f>_xlfn.XLOOKUP(Pipeline_tbl[[#This Row],[Rep_ID]],Dim_Reps!A:A,Dim_Reps!C:C)</f>
        <v>Mid-Market AE</v>
      </c>
      <c r="Q799" t="str">
        <f>_xlfn.XLOOKUP(Pipeline_tbl[[#This Row],[Rep_ID]],Dim_Reps!A:A,Dim_Reps!D:D)</f>
        <v>Mid-Market</v>
      </c>
      <c r="R799" t="str">
        <f>_xlfn.XLOOKUP(Pipeline_tbl[[#This Row],[Rep_ID]],Dim_Reps!A:A,Dim_Reps!E:E)</f>
        <v>APAC</v>
      </c>
      <c r="S799" t="str">
        <f>_xlfn.XLOOKUP(Pipeline_tbl[[#This Row],[Created_Date]],Dim_Date!A:A,Dim_Date!H:H)</f>
        <v>Oct 2025</v>
      </c>
      <c r="T799" t="str">
        <f>IF(Pipeline_tbl[[#This Row],[Closed_Date]]=0,"",(_xlfn.XLOOKUP(Pipeline_tbl[[#This Row],[Closed_Date]],Dim_Date!A:A,Dim_Date!H:H)))</f>
        <v>Nov 2025</v>
      </c>
      <c r="U799">
        <f>IF(Pipeline_tbl[[#This Row],[Closed_Date]]=0,"",Pipeline_tbl[[#This Row],[Closed_Date]]-Pipeline_tbl[[#This Row],[Created_Date]])</f>
        <v>36</v>
      </c>
    </row>
    <row r="800" spans="1:21" ht="15" customHeight="1" x14ac:dyDescent="0.2">
      <c r="A800" t="s">
        <v>1106</v>
      </c>
      <c r="B800" t="s">
        <v>257</v>
      </c>
      <c r="C800" t="s">
        <v>53</v>
      </c>
      <c r="D800" s="49">
        <v>45950</v>
      </c>
      <c r="E800" s="49">
        <v>45953</v>
      </c>
      <c r="I800" s="49">
        <v>45976</v>
      </c>
      <c r="J800" t="s">
        <v>49</v>
      </c>
      <c r="K800" s="33">
        <v>9200</v>
      </c>
      <c r="L800" t="s">
        <v>62</v>
      </c>
      <c r="M800" t="str">
        <f>_xlfn.XLOOKUP(Pipeline_tbl[[#This Row],[Rep_ID]],Dim_Reps!A:A,Dim_Reps!K:K)</f>
        <v>EUR</v>
      </c>
      <c r="N800" s="33">
        <f>(_xlfn.XLOOKUP(Pipeline_tbl[[#This Row],[Rate_Code_Generalized]],Lookups!A:A,Lookups!B:B))*Pipeline_tbl[[#This Row],[Pipeline_Amount_USD]]</f>
        <v>9200</v>
      </c>
      <c r="O800" t="str">
        <f>_xlfn.XLOOKUP(Pipeline_tbl[[#This Row],[Rep_ID]],Dim_Reps!A:A,Dim_Reps!B:B)</f>
        <v>Ana Kim</v>
      </c>
      <c r="P800" t="str">
        <f>_xlfn.XLOOKUP(Pipeline_tbl[[#This Row],[Rep_ID]],Dim_Reps!A:A,Dim_Reps!C:C)</f>
        <v>Mid-Market AE</v>
      </c>
      <c r="Q800" t="str">
        <f>_xlfn.XLOOKUP(Pipeline_tbl[[#This Row],[Rep_ID]],Dim_Reps!A:A,Dim_Reps!D:D)</f>
        <v>Mid-Market</v>
      </c>
      <c r="R800" t="str">
        <f>_xlfn.XLOOKUP(Pipeline_tbl[[#This Row],[Rep_ID]],Dim_Reps!A:A,Dim_Reps!E:E)</f>
        <v>APAC</v>
      </c>
      <c r="S800" t="str">
        <f>_xlfn.XLOOKUP(Pipeline_tbl[[#This Row],[Created_Date]],Dim_Date!A:A,Dim_Date!H:H)</f>
        <v>Oct 2025</v>
      </c>
      <c r="T800" t="str">
        <f>IF(Pipeline_tbl[[#This Row],[Closed_Date]]=0,"",(_xlfn.XLOOKUP(Pipeline_tbl[[#This Row],[Closed_Date]],Dim_Date!A:A,Dim_Date!H:H)))</f>
        <v>Nov 2025</v>
      </c>
      <c r="U800">
        <f>IF(Pipeline_tbl[[#This Row],[Closed_Date]]=0,"",Pipeline_tbl[[#This Row],[Closed_Date]]-Pipeline_tbl[[#This Row],[Created_Date]])</f>
        <v>26</v>
      </c>
    </row>
    <row r="801" spans="1:21" ht="15" customHeight="1" x14ac:dyDescent="0.2">
      <c r="A801" t="s">
        <v>1107</v>
      </c>
      <c r="B801" t="s">
        <v>259</v>
      </c>
      <c r="C801" t="s">
        <v>52</v>
      </c>
      <c r="D801" s="49">
        <v>45953</v>
      </c>
      <c r="E801" s="49">
        <v>45956</v>
      </c>
      <c r="F801" s="49">
        <v>45962</v>
      </c>
      <c r="I801" s="49">
        <v>45984</v>
      </c>
      <c r="J801" t="s">
        <v>49</v>
      </c>
      <c r="K801" s="33">
        <v>6400</v>
      </c>
      <c r="L801" t="s">
        <v>61</v>
      </c>
      <c r="M801" t="str">
        <f>_xlfn.XLOOKUP(Pipeline_tbl[[#This Row],[Rep_ID]],Dim_Reps!A:A,Dim_Reps!K:K)</f>
        <v>EUR</v>
      </c>
      <c r="N801" s="33">
        <f>(_xlfn.XLOOKUP(Pipeline_tbl[[#This Row],[Rate_Code_Generalized]],Lookups!A:A,Lookups!B:B))*Pipeline_tbl[[#This Row],[Pipeline_Amount_USD]]</f>
        <v>6400</v>
      </c>
      <c r="O801" t="str">
        <f>_xlfn.XLOOKUP(Pipeline_tbl[[#This Row],[Rep_ID]],Dim_Reps!A:A,Dim_Reps!B:B)</f>
        <v>Felix Okafor</v>
      </c>
      <c r="P801" t="str">
        <f>_xlfn.XLOOKUP(Pipeline_tbl[[#This Row],[Rep_ID]],Dim_Reps!A:A,Dim_Reps!C:C)</f>
        <v>Mid-Market AE</v>
      </c>
      <c r="Q801" t="str">
        <f>_xlfn.XLOOKUP(Pipeline_tbl[[#This Row],[Rep_ID]],Dim_Reps!A:A,Dim_Reps!D:D)</f>
        <v>Mid-Market</v>
      </c>
      <c r="R801" t="str">
        <f>_xlfn.XLOOKUP(Pipeline_tbl[[#This Row],[Rep_ID]],Dim_Reps!A:A,Dim_Reps!E:E)</f>
        <v>EMEA</v>
      </c>
      <c r="S801" t="str">
        <f>_xlfn.XLOOKUP(Pipeline_tbl[[#This Row],[Created_Date]],Dim_Date!A:A,Dim_Date!H:H)</f>
        <v>Oct 2025</v>
      </c>
      <c r="T801" t="str">
        <f>IF(Pipeline_tbl[[#This Row],[Closed_Date]]=0,"",(_xlfn.XLOOKUP(Pipeline_tbl[[#This Row],[Closed_Date]],Dim_Date!A:A,Dim_Date!H:H)))</f>
        <v>Nov 2025</v>
      </c>
      <c r="U801">
        <f>IF(Pipeline_tbl[[#This Row],[Closed_Date]]=0,"",Pipeline_tbl[[#This Row],[Closed_Date]]-Pipeline_tbl[[#This Row],[Created_Date]])</f>
        <v>31</v>
      </c>
    </row>
    <row r="802" spans="1:21" ht="15" customHeight="1" x14ac:dyDescent="0.2">
      <c r="A802" t="s">
        <v>1108</v>
      </c>
      <c r="B802" t="s">
        <v>259</v>
      </c>
      <c r="C802" t="s">
        <v>52</v>
      </c>
      <c r="D802" s="49">
        <v>45935</v>
      </c>
      <c r="E802" s="49">
        <v>45939</v>
      </c>
      <c r="F802" s="49">
        <v>45947</v>
      </c>
      <c r="I802" s="49">
        <v>45976</v>
      </c>
      <c r="J802" t="s">
        <v>49</v>
      </c>
      <c r="K802" s="33">
        <v>7400</v>
      </c>
      <c r="L802" t="s">
        <v>61</v>
      </c>
      <c r="M802" t="str">
        <f>_xlfn.XLOOKUP(Pipeline_tbl[[#This Row],[Rep_ID]],Dim_Reps!A:A,Dim_Reps!K:K)</f>
        <v>EUR</v>
      </c>
      <c r="N802" s="33">
        <f>(_xlfn.XLOOKUP(Pipeline_tbl[[#This Row],[Rate_Code_Generalized]],Lookups!A:A,Lookups!B:B))*Pipeline_tbl[[#This Row],[Pipeline_Amount_USD]]</f>
        <v>7400</v>
      </c>
      <c r="O802" t="str">
        <f>_xlfn.XLOOKUP(Pipeline_tbl[[#This Row],[Rep_ID]],Dim_Reps!A:A,Dim_Reps!B:B)</f>
        <v>Felix Okafor</v>
      </c>
      <c r="P802" t="str">
        <f>_xlfn.XLOOKUP(Pipeline_tbl[[#This Row],[Rep_ID]],Dim_Reps!A:A,Dim_Reps!C:C)</f>
        <v>Mid-Market AE</v>
      </c>
      <c r="Q802" t="str">
        <f>_xlfn.XLOOKUP(Pipeline_tbl[[#This Row],[Rep_ID]],Dim_Reps!A:A,Dim_Reps!D:D)</f>
        <v>Mid-Market</v>
      </c>
      <c r="R802" t="str">
        <f>_xlfn.XLOOKUP(Pipeline_tbl[[#This Row],[Rep_ID]],Dim_Reps!A:A,Dim_Reps!E:E)</f>
        <v>EMEA</v>
      </c>
      <c r="S802" t="str">
        <f>_xlfn.XLOOKUP(Pipeline_tbl[[#This Row],[Created_Date]],Dim_Date!A:A,Dim_Date!H:H)</f>
        <v>Oct 2025</v>
      </c>
      <c r="T802" t="str">
        <f>IF(Pipeline_tbl[[#This Row],[Closed_Date]]=0,"",(_xlfn.XLOOKUP(Pipeline_tbl[[#This Row],[Closed_Date]],Dim_Date!A:A,Dim_Date!H:H)))</f>
        <v>Nov 2025</v>
      </c>
      <c r="U802">
        <f>IF(Pipeline_tbl[[#This Row],[Closed_Date]]=0,"",Pipeline_tbl[[#This Row],[Closed_Date]]-Pipeline_tbl[[#This Row],[Created_Date]])</f>
        <v>41</v>
      </c>
    </row>
    <row r="803" spans="1:21" ht="15" customHeight="1" x14ac:dyDescent="0.2">
      <c r="A803" t="s">
        <v>1109</v>
      </c>
      <c r="B803" t="s">
        <v>259</v>
      </c>
      <c r="C803" t="s">
        <v>56</v>
      </c>
      <c r="D803" s="49">
        <v>45937</v>
      </c>
      <c r="E803" s="49">
        <v>45941</v>
      </c>
      <c r="F803" s="49">
        <v>45948</v>
      </c>
      <c r="G803" s="49">
        <v>45960</v>
      </c>
      <c r="H803" s="49">
        <v>45969</v>
      </c>
      <c r="I803" s="49">
        <v>45975</v>
      </c>
      <c r="J803" t="s">
        <v>47</v>
      </c>
      <c r="K803" s="33">
        <v>19600</v>
      </c>
      <c r="M803" t="str">
        <f>_xlfn.XLOOKUP(Pipeline_tbl[[#This Row],[Rep_ID]],Dim_Reps!A:A,Dim_Reps!K:K)</f>
        <v>EUR</v>
      </c>
      <c r="N803" s="33">
        <f>(_xlfn.XLOOKUP(Pipeline_tbl[[#This Row],[Rate_Code_Generalized]],Lookups!A:A,Lookups!B:B))*Pipeline_tbl[[#This Row],[Pipeline_Amount_USD]]</f>
        <v>19600</v>
      </c>
      <c r="O803" t="str">
        <f>_xlfn.XLOOKUP(Pipeline_tbl[[#This Row],[Rep_ID]],Dim_Reps!A:A,Dim_Reps!B:B)</f>
        <v>Felix Okafor</v>
      </c>
      <c r="P803" t="str">
        <f>_xlfn.XLOOKUP(Pipeline_tbl[[#This Row],[Rep_ID]],Dim_Reps!A:A,Dim_Reps!C:C)</f>
        <v>Mid-Market AE</v>
      </c>
      <c r="Q803" t="str">
        <f>_xlfn.XLOOKUP(Pipeline_tbl[[#This Row],[Rep_ID]],Dim_Reps!A:A,Dim_Reps!D:D)</f>
        <v>Mid-Market</v>
      </c>
      <c r="R803" t="str">
        <f>_xlfn.XLOOKUP(Pipeline_tbl[[#This Row],[Rep_ID]],Dim_Reps!A:A,Dim_Reps!E:E)</f>
        <v>EMEA</v>
      </c>
      <c r="S803" t="str">
        <f>_xlfn.XLOOKUP(Pipeline_tbl[[#This Row],[Created_Date]],Dim_Date!A:A,Dim_Date!H:H)</f>
        <v>Oct 2025</v>
      </c>
      <c r="T803" t="str">
        <f>IF(Pipeline_tbl[[#This Row],[Closed_Date]]=0,"",(_xlfn.XLOOKUP(Pipeline_tbl[[#This Row],[Closed_Date]],Dim_Date!A:A,Dim_Date!H:H)))</f>
        <v>Nov 2025</v>
      </c>
      <c r="U803">
        <f>IF(Pipeline_tbl[[#This Row],[Closed_Date]]=0,"",Pipeline_tbl[[#This Row],[Closed_Date]]-Pipeline_tbl[[#This Row],[Created_Date]])</f>
        <v>38</v>
      </c>
    </row>
    <row r="804" spans="1:21" ht="15" customHeight="1" x14ac:dyDescent="0.2">
      <c r="A804" t="s">
        <v>1110</v>
      </c>
      <c r="B804" t="s">
        <v>259</v>
      </c>
      <c r="C804" t="s">
        <v>52</v>
      </c>
      <c r="D804" s="49">
        <v>45945</v>
      </c>
      <c r="E804" s="49">
        <v>45947</v>
      </c>
      <c r="F804" s="49">
        <v>45951</v>
      </c>
      <c r="I804" s="49">
        <v>45964</v>
      </c>
      <c r="J804" t="s">
        <v>49</v>
      </c>
      <c r="K804" s="33">
        <v>16400</v>
      </c>
      <c r="L804" t="s">
        <v>61</v>
      </c>
      <c r="M804" t="str">
        <f>_xlfn.XLOOKUP(Pipeline_tbl[[#This Row],[Rep_ID]],Dim_Reps!A:A,Dim_Reps!K:K)</f>
        <v>EUR</v>
      </c>
      <c r="N804" s="33">
        <f>(_xlfn.XLOOKUP(Pipeline_tbl[[#This Row],[Rate_Code_Generalized]],Lookups!A:A,Lookups!B:B))*Pipeline_tbl[[#This Row],[Pipeline_Amount_USD]]</f>
        <v>16400</v>
      </c>
      <c r="O804" t="str">
        <f>_xlfn.XLOOKUP(Pipeline_tbl[[#This Row],[Rep_ID]],Dim_Reps!A:A,Dim_Reps!B:B)</f>
        <v>Felix Okafor</v>
      </c>
      <c r="P804" t="str">
        <f>_xlfn.XLOOKUP(Pipeline_tbl[[#This Row],[Rep_ID]],Dim_Reps!A:A,Dim_Reps!C:C)</f>
        <v>Mid-Market AE</v>
      </c>
      <c r="Q804" t="str">
        <f>_xlfn.XLOOKUP(Pipeline_tbl[[#This Row],[Rep_ID]],Dim_Reps!A:A,Dim_Reps!D:D)</f>
        <v>Mid-Market</v>
      </c>
      <c r="R804" t="str">
        <f>_xlfn.XLOOKUP(Pipeline_tbl[[#This Row],[Rep_ID]],Dim_Reps!A:A,Dim_Reps!E:E)</f>
        <v>EMEA</v>
      </c>
      <c r="S804" t="str">
        <f>_xlfn.XLOOKUP(Pipeline_tbl[[#This Row],[Created_Date]],Dim_Date!A:A,Dim_Date!H:H)</f>
        <v>Oct 2025</v>
      </c>
      <c r="T804" t="str">
        <f>IF(Pipeline_tbl[[#This Row],[Closed_Date]]=0,"",(_xlfn.XLOOKUP(Pipeline_tbl[[#This Row],[Closed_Date]],Dim_Date!A:A,Dim_Date!H:H)))</f>
        <v>Nov 2025</v>
      </c>
      <c r="U804">
        <f>IF(Pipeline_tbl[[#This Row],[Closed_Date]]=0,"",Pipeline_tbl[[#This Row],[Closed_Date]]-Pipeline_tbl[[#This Row],[Created_Date]])</f>
        <v>19</v>
      </c>
    </row>
    <row r="805" spans="1:21" ht="15" customHeight="1" x14ac:dyDescent="0.2">
      <c r="A805" t="s">
        <v>1111</v>
      </c>
      <c r="B805" t="s">
        <v>259</v>
      </c>
      <c r="C805" t="s">
        <v>53</v>
      </c>
      <c r="D805" s="49">
        <v>45942</v>
      </c>
      <c r="E805" s="49">
        <v>45944</v>
      </c>
      <c r="F805" s="49">
        <v>45949</v>
      </c>
      <c r="G805" s="49">
        <v>45956</v>
      </c>
      <c r="H805" s="49">
        <v>45962</v>
      </c>
      <c r="I805" s="49">
        <v>45965</v>
      </c>
      <c r="J805" t="s">
        <v>47</v>
      </c>
      <c r="K805" s="33">
        <v>5000</v>
      </c>
      <c r="M805" t="str">
        <f>_xlfn.XLOOKUP(Pipeline_tbl[[#This Row],[Rep_ID]],Dim_Reps!A:A,Dim_Reps!K:K)</f>
        <v>EUR</v>
      </c>
      <c r="N805" s="33">
        <f>(_xlfn.XLOOKUP(Pipeline_tbl[[#This Row],[Rate_Code_Generalized]],Lookups!A:A,Lookups!B:B))*Pipeline_tbl[[#This Row],[Pipeline_Amount_USD]]</f>
        <v>5000</v>
      </c>
      <c r="O805" t="str">
        <f>_xlfn.XLOOKUP(Pipeline_tbl[[#This Row],[Rep_ID]],Dim_Reps!A:A,Dim_Reps!B:B)</f>
        <v>Felix Okafor</v>
      </c>
      <c r="P805" t="str">
        <f>_xlfn.XLOOKUP(Pipeline_tbl[[#This Row],[Rep_ID]],Dim_Reps!A:A,Dim_Reps!C:C)</f>
        <v>Mid-Market AE</v>
      </c>
      <c r="Q805" t="str">
        <f>_xlfn.XLOOKUP(Pipeline_tbl[[#This Row],[Rep_ID]],Dim_Reps!A:A,Dim_Reps!D:D)</f>
        <v>Mid-Market</v>
      </c>
      <c r="R805" t="str">
        <f>_xlfn.XLOOKUP(Pipeline_tbl[[#This Row],[Rep_ID]],Dim_Reps!A:A,Dim_Reps!E:E)</f>
        <v>EMEA</v>
      </c>
      <c r="S805" t="str">
        <f>_xlfn.XLOOKUP(Pipeline_tbl[[#This Row],[Created_Date]],Dim_Date!A:A,Dim_Date!H:H)</f>
        <v>Oct 2025</v>
      </c>
      <c r="T805" t="str">
        <f>IF(Pipeline_tbl[[#This Row],[Closed_Date]]=0,"",(_xlfn.XLOOKUP(Pipeline_tbl[[#This Row],[Closed_Date]],Dim_Date!A:A,Dim_Date!H:H)))</f>
        <v>Nov 2025</v>
      </c>
      <c r="U805">
        <f>IF(Pipeline_tbl[[#This Row],[Closed_Date]]=0,"",Pipeline_tbl[[#This Row],[Closed_Date]]-Pipeline_tbl[[#This Row],[Created_Date]])</f>
        <v>23</v>
      </c>
    </row>
    <row r="806" spans="1:21" ht="15" customHeight="1" x14ac:dyDescent="0.2">
      <c r="A806" t="s">
        <v>1112</v>
      </c>
      <c r="B806" t="s">
        <v>259</v>
      </c>
      <c r="C806" t="s">
        <v>53</v>
      </c>
      <c r="D806" s="49">
        <v>45932</v>
      </c>
      <c r="E806" s="49">
        <v>45938</v>
      </c>
      <c r="F806" s="49">
        <v>45949</v>
      </c>
      <c r="G806" s="49">
        <v>45965</v>
      </c>
      <c r="H806" s="49">
        <v>45979</v>
      </c>
      <c r="I806" s="49">
        <v>45987</v>
      </c>
      <c r="J806" t="s">
        <v>47</v>
      </c>
      <c r="K806" s="33">
        <v>10300</v>
      </c>
      <c r="M806" t="str">
        <f>_xlfn.XLOOKUP(Pipeline_tbl[[#This Row],[Rep_ID]],Dim_Reps!A:A,Dim_Reps!K:K)</f>
        <v>EUR</v>
      </c>
      <c r="N806" s="33">
        <f>(_xlfn.XLOOKUP(Pipeline_tbl[[#This Row],[Rate_Code_Generalized]],Lookups!A:A,Lookups!B:B))*Pipeline_tbl[[#This Row],[Pipeline_Amount_USD]]</f>
        <v>10300</v>
      </c>
      <c r="O806" t="str">
        <f>_xlfn.XLOOKUP(Pipeline_tbl[[#This Row],[Rep_ID]],Dim_Reps!A:A,Dim_Reps!B:B)</f>
        <v>Felix Okafor</v>
      </c>
      <c r="P806" t="str">
        <f>_xlfn.XLOOKUP(Pipeline_tbl[[#This Row],[Rep_ID]],Dim_Reps!A:A,Dim_Reps!C:C)</f>
        <v>Mid-Market AE</v>
      </c>
      <c r="Q806" t="str">
        <f>_xlfn.XLOOKUP(Pipeline_tbl[[#This Row],[Rep_ID]],Dim_Reps!A:A,Dim_Reps!D:D)</f>
        <v>Mid-Market</v>
      </c>
      <c r="R806" t="str">
        <f>_xlfn.XLOOKUP(Pipeline_tbl[[#This Row],[Rep_ID]],Dim_Reps!A:A,Dim_Reps!E:E)</f>
        <v>EMEA</v>
      </c>
      <c r="S806" t="str">
        <f>_xlfn.XLOOKUP(Pipeline_tbl[[#This Row],[Created_Date]],Dim_Date!A:A,Dim_Date!H:H)</f>
        <v>Oct 2025</v>
      </c>
      <c r="T806" t="str">
        <f>IF(Pipeline_tbl[[#This Row],[Closed_Date]]=0,"",(_xlfn.XLOOKUP(Pipeline_tbl[[#This Row],[Closed_Date]],Dim_Date!A:A,Dim_Date!H:H)))</f>
        <v>Nov 2025</v>
      </c>
      <c r="U806">
        <f>IF(Pipeline_tbl[[#This Row],[Closed_Date]]=0,"",Pipeline_tbl[[#This Row],[Closed_Date]]-Pipeline_tbl[[#This Row],[Created_Date]])</f>
        <v>55</v>
      </c>
    </row>
    <row r="807" spans="1:21" ht="15" customHeight="1" x14ac:dyDescent="0.2">
      <c r="A807" t="s">
        <v>1113</v>
      </c>
      <c r="B807" t="s">
        <v>259</v>
      </c>
      <c r="C807" t="s">
        <v>55</v>
      </c>
      <c r="D807" s="49">
        <v>45950</v>
      </c>
      <c r="E807" s="49">
        <v>45954</v>
      </c>
      <c r="F807" s="49">
        <v>45961</v>
      </c>
      <c r="I807" s="49">
        <v>45988</v>
      </c>
      <c r="J807" t="s">
        <v>49</v>
      </c>
      <c r="K807" s="33">
        <v>11700</v>
      </c>
      <c r="L807" t="s">
        <v>61</v>
      </c>
      <c r="M807" t="str">
        <f>_xlfn.XLOOKUP(Pipeline_tbl[[#This Row],[Rep_ID]],Dim_Reps!A:A,Dim_Reps!K:K)</f>
        <v>EUR</v>
      </c>
      <c r="N807" s="33">
        <f>(_xlfn.XLOOKUP(Pipeline_tbl[[#This Row],[Rate_Code_Generalized]],Lookups!A:A,Lookups!B:B))*Pipeline_tbl[[#This Row],[Pipeline_Amount_USD]]</f>
        <v>11700</v>
      </c>
      <c r="O807" t="str">
        <f>_xlfn.XLOOKUP(Pipeline_tbl[[#This Row],[Rep_ID]],Dim_Reps!A:A,Dim_Reps!B:B)</f>
        <v>Felix Okafor</v>
      </c>
      <c r="P807" t="str">
        <f>_xlfn.XLOOKUP(Pipeline_tbl[[#This Row],[Rep_ID]],Dim_Reps!A:A,Dim_Reps!C:C)</f>
        <v>Mid-Market AE</v>
      </c>
      <c r="Q807" t="str">
        <f>_xlfn.XLOOKUP(Pipeline_tbl[[#This Row],[Rep_ID]],Dim_Reps!A:A,Dim_Reps!D:D)</f>
        <v>Mid-Market</v>
      </c>
      <c r="R807" t="str">
        <f>_xlfn.XLOOKUP(Pipeline_tbl[[#This Row],[Rep_ID]],Dim_Reps!A:A,Dim_Reps!E:E)</f>
        <v>EMEA</v>
      </c>
      <c r="S807" t="str">
        <f>_xlfn.XLOOKUP(Pipeline_tbl[[#This Row],[Created_Date]],Dim_Date!A:A,Dim_Date!H:H)</f>
        <v>Oct 2025</v>
      </c>
      <c r="T807" t="str">
        <f>IF(Pipeline_tbl[[#This Row],[Closed_Date]]=0,"",(_xlfn.XLOOKUP(Pipeline_tbl[[#This Row],[Closed_Date]],Dim_Date!A:A,Dim_Date!H:H)))</f>
        <v>Nov 2025</v>
      </c>
      <c r="U807">
        <f>IF(Pipeline_tbl[[#This Row],[Closed_Date]]=0,"",Pipeline_tbl[[#This Row],[Closed_Date]]-Pipeline_tbl[[#This Row],[Created_Date]])</f>
        <v>38</v>
      </c>
    </row>
    <row r="808" spans="1:21" ht="15" customHeight="1" x14ac:dyDescent="0.2">
      <c r="A808" t="s">
        <v>1114</v>
      </c>
      <c r="B808" t="s">
        <v>259</v>
      </c>
      <c r="C808" t="s">
        <v>52</v>
      </c>
      <c r="D808" s="49">
        <v>45951</v>
      </c>
      <c r="E808" s="49">
        <v>45954</v>
      </c>
      <c r="F808" s="49">
        <v>45961</v>
      </c>
      <c r="G808" s="49">
        <v>45971</v>
      </c>
      <c r="H808" s="49">
        <v>45979</v>
      </c>
      <c r="I808" s="49">
        <v>45984</v>
      </c>
      <c r="J808" t="s">
        <v>47</v>
      </c>
      <c r="K808" s="33">
        <v>21700</v>
      </c>
      <c r="M808" t="str">
        <f>_xlfn.XLOOKUP(Pipeline_tbl[[#This Row],[Rep_ID]],Dim_Reps!A:A,Dim_Reps!K:K)</f>
        <v>EUR</v>
      </c>
      <c r="N808" s="33">
        <f>(_xlfn.XLOOKUP(Pipeline_tbl[[#This Row],[Rate_Code_Generalized]],Lookups!A:A,Lookups!B:B))*Pipeline_tbl[[#This Row],[Pipeline_Amount_USD]]</f>
        <v>21700</v>
      </c>
      <c r="O808" t="str">
        <f>_xlfn.XLOOKUP(Pipeline_tbl[[#This Row],[Rep_ID]],Dim_Reps!A:A,Dim_Reps!B:B)</f>
        <v>Felix Okafor</v>
      </c>
      <c r="P808" t="str">
        <f>_xlfn.XLOOKUP(Pipeline_tbl[[#This Row],[Rep_ID]],Dim_Reps!A:A,Dim_Reps!C:C)</f>
        <v>Mid-Market AE</v>
      </c>
      <c r="Q808" t="str">
        <f>_xlfn.XLOOKUP(Pipeline_tbl[[#This Row],[Rep_ID]],Dim_Reps!A:A,Dim_Reps!D:D)</f>
        <v>Mid-Market</v>
      </c>
      <c r="R808" t="str">
        <f>_xlfn.XLOOKUP(Pipeline_tbl[[#This Row],[Rep_ID]],Dim_Reps!A:A,Dim_Reps!E:E)</f>
        <v>EMEA</v>
      </c>
      <c r="S808" t="str">
        <f>_xlfn.XLOOKUP(Pipeline_tbl[[#This Row],[Created_Date]],Dim_Date!A:A,Dim_Date!H:H)</f>
        <v>Oct 2025</v>
      </c>
      <c r="T808" t="str">
        <f>IF(Pipeline_tbl[[#This Row],[Closed_Date]]=0,"",(_xlfn.XLOOKUP(Pipeline_tbl[[#This Row],[Closed_Date]],Dim_Date!A:A,Dim_Date!H:H)))</f>
        <v>Nov 2025</v>
      </c>
      <c r="U808">
        <f>IF(Pipeline_tbl[[#This Row],[Closed_Date]]=0,"",Pipeline_tbl[[#This Row],[Closed_Date]]-Pipeline_tbl[[#This Row],[Created_Date]])</f>
        <v>33</v>
      </c>
    </row>
    <row r="809" spans="1:21" ht="15" customHeight="1" x14ac:dyDescent="0.2">
      <c r="A809" t="s">
        <v>1115</v>
      </c>
      <c r="B809" t="s">
        <v>261</v>
      </c>
      <c r="C809" t="s">
        <v>53</v>
      </c>
      <c r="D809" s="49">
        <v>45939</v>
      </c>
      <c r="E809" s="49">
        <v>45943</v>
      </c>
      <c r="F809" s="49">
        <v>45950</v>
      </c>
      <c r="G809" s="49">
        <v>45961</v>
      </c>
      <c r="I809" s="49">
        <v>45976</v>
      </c>
      <c r="J809" t="s">
        <v>49</v>
      </c>
      <c r="K809" s="33">
        <v>36400</v>
      </c>
      <c r="L809" t="s">
        <v>61</v>
      </c>
      <c r="M809" t="str">
        <f>_xlfn.XLOOKUP(Pipeline_tbl[[#This Row],[Rep_ID]],Dim_Reps!A:A,Dim_Reps!K:K)</f>
        <v>USD</v>
      </c>
      <c r="N809" s="33">
        <f>(_xlfn.XLOOKUP(Pipeline_tbl[[#This Row],[Rate_Code_Generalized]],Lookups!A:A,Lookups!B:B))*Pipeline_tbl[[#This Row],[Pipeline_Amount_USD]]</f>
        <v>42380.52</v>
      </c>
      <c r="O809" t="str">
        <f>_xlfn.XLOOKUP(Pipeline_tbl[[#This Row],[Rep_ID]],Dim_Reps!A:A,Dim_Reps!B:B)</f>
        <v>Morgan Larsen</v>
      </c>
      <c r="P809" t="str">
        <f>_xlfn.XLOOKUP(Pipeline_tbl[[#This Row],[Rep_ID]],Dim_Reps!A:A,Dim_Reps!C:C)</f>
        <v>Mid-Market AE</v>
      </c>
      <c r="Q809" t="str">
        <f>_xlfn.XLOOKUP(Pipeline_tbl[[#This Row],[Rep_ID]],Dim_Reps!A:A,Dim_Reps!D:D)</f>
        <v>Mid-Market</v>
      </c>
      <c r="R809" t="str">
        <f>_xlfn.XLOOKUP(Pipeline_tbl[[#This Row],[Rep_ID]],Dim_Reps!A:A,Dim_Reps!E:E)</f>
        <v>NAMER</v>
      </c>
      <c r="S809" t="str">
        <f>_xlfn.XLOOKUP(Pipeline_tbl[[#This Row],[Created_Date]],Dim_Date!A:A,Dim_Date!H:H)</f>
        <v>Oct 2025</v>
      </c>
      <c r="T809" t="str">
        <f>IF(Pipeline_tbl[[#This Row],[Closed_Date]]=0,"",(_xlfn.XLOOKUP(Pipeline_tbl[[#This Row],[Closed_Date]],Dim_Date!A:A,Dim_Date!H:H)))</f>
        <v>Nov 2025</v>
      </c>
      <c r="U809">
        <f>IF(Pipeline_tbl[[#This Row],[Closed_Date]]=0,"",Pipeline_tbl[[#This Row],[Closed_Date]]-Pipeline_tbl[[#This Row],[Created_Date]])</f>
        <v>37</v>
      </c>
    </row>
    <row r="810" spans="1:21" ht="15" customHeight="1" x14ac:dyDescent="0.2">
      <c r="A810" t="s">
        <v>1116</v>
      </c>
      <c r="B810" t="s">
        <v>261</v>
      </c>
      <c r="C810" t="s">
        <v>54</v>
      </c>
      <c r="D810" s="49">
        <v>45932</v>
      </c>
      <c r="E810" s="49">
        <v>45936</v>
      </c>
      <c r="F810" s="49">
        <v>45945</v>
      </c>
      <c r="G810" s="49">
        <v>45958</v>
      </c>
      <c r="H810" s="49">
        <v>45969</v>
      </c>
      <c r="I810" s="49">
        <v>45975</v>
      </c>
      <c r="J810" t="s">
        <v>49</v>
      </c>
      <c r="K810" s="33">
        <v>16800</v>
      </c>
      <c r="L810" t="s">
        <v>64</v>
      </c>
      <c r="M810" t="str">
        <f>_xlfn.XLOOKUP(Pipeline_tbl[[#This Row],[Rep_ID]],Dim_Reps!A:A,Dim_Reps!K:K)</f>
        <v>USD</v>
      </c>
      <c r="N810" s="33">
        <f>(_xlfn.XLOOKUP(Pipeline_tbl[[#This Row],[Rate_Code_Generalized]],Lookups!A:A,Lookups!B:B))*Pipeline_tbl[[#This Row],[Pipeline_Amount_USD]]</f>
        <v>19560.239999999998</v>
      </c>
      <c r="O810" t="str">
        <f>_xlfn.XLOOKUP(Pipeline_tbl[[#This Row],[Rep_ID]],Dim_Reps!A:A,Dim_Reps!B:B)</f>
        <v>Morgan Larsen</v>
      </c>
      <c r="P810" t="str">
        <f>_xlfn.XLOOKUP(Pipeline_tbl[[#This Row],[Rep_ID]],Dim_Reps!A:A,Dim_Reps!C:C)</f>
        <v>Mid-Market AE</v>
      </c>
      <c r="Q810" t="str">
        <f>_xlfn.XLOOKUP(Pipeline_tbl[[#This Row],[Rep_ID]],Dim_Reps!A:A,Dim_Reps!D:D)</f>
        <v>Mid-Market</v>
      </c>
      <c r="R810" t="str">
        <f>_xlfn.XLOOKUP(Pipeline_tbl[[#This Row],[Rep_ID]],Dim_Reps!A:A,Dim_Reps!E:E)</f>
        <v>NAMER</v>
      </c>
      <c r="S810" t="str">
        <f>_xlfn.XLOOKUP(Pipeline_tbl[[#This Row],[Created_Date]],Dim_Date!A:A,Dim_Date!H:H)</f>
        <v>Oct 2025</v>
      </c>
      <c r="T810" t="str">
        <f>IF(Pipeline_tbl[[#This Row],[Closed_Date]]=0,"",(_xlfn.XLOOKUP(Pipeline_tbl[[#This Row],[Closed_Date]],Dim_Date!A:A,Dim_Date!H:H)))</f>
        <v>Nov 2025</v>
      </c>
      <c r="U810">
        <f>IF(Pipeline_tbl[[#This Row],[Closed_Date]]=0,"",Pipeline_tbl[[#This Row],[Closed_Date]]-Pipeline_tbl[[#This Row],[Created_Date]])</f>
        <v>43</v>
      </c>
    </row>
    <row r="811" spans="1:21" ht="15" customHeight="1" x14ac:dyDescent="0.2">
      <c r="A811" t="s">
        <v>1117</v>
      </c>
      <c r="B811" t="s">
        <v>261</v>
      </c>
      <c r="C811" t="s">
        <v>52</v>
      </c>
      <c r="D811" s="49">
        <v>45960</v>
      </c>
      <c r="E811" s="49">
        <v>45962</v>
      </c>
      <c r="F811" s="49">
        <v>45967</v>
      </c>
      <c r="G811" s="49">
        <v>45974</v>
      </c>
      <c r="H811" s="49">
        <v>45980</v>
      </c>
      <c r="I811" s="49">
        <v>45984</v>
      </c>
      <c r="J811" t="s">
        <v>49</v>
      </c>
      <c r="K811" s="33">
        <v>9100</v>
      </c>
      <c r="L811" t="s">
        <v>63</v>
      </c>
      <c r="M811" t="str">
        <f>_xlfn.XLOOKUP(Pipeline_tbl[[#This Row],[Rep_ID]],Dim_Reps!A:A,Dim_Reps!K:K)</f>
        <v>USD</v>
      </c>
      <c r="N811" s="33">
        <f>(_xlfn.XLOOKUP(Pipeline_tbl[[#This Row],[Rate_Code_Generalized]],Lookups!A:A,Lookups!B:B))*Pipeline_tbl[[#This Row],[Pipeline_Amount_USD]]</f>
        <v>10595.13</v>
      </c>
      <c r="O811" t="str">
        <f>_xlfn.XLOOKUP(Pipeline_tbl[[#This Row],[Rep_ID]],Dim_Reps!A:A,Dim_Reps!B:B)</f>
        <v>Morgan Larsen</v>
      </c>
      <c r="P811" t="str">
        <f>_xlfn.XLOOKUP(Pipeline_tbl[[#This Row],[Rep_ID]],Dim_Reps!A:A,Dim_Reps!C:C)</f>
        <v>Mid-Market AE</v>
      </c>
      <c r="Q811" t="str">
        <f>_xlfn.XLOOKUP(Pipeline_tbl[[#This Row],[Rep_ID]],Dim_Reps!A:A,Dim_Reps!D:D)</f>
        <v>Mid-Market</v>
      </c>
      <c r="R811" t="str">
        <f>_xlfn.XLOOKUP(Pipeline_tbl[[#This Row],[Rep_ID]],Dim_Reps!A:A,Dim_Reps!E:E)</f>
        <v>NAMER</v>
      </c>
      <c r="S811" t="str">
        <f>_xlfn.XLOOKUP(Pipeline_tbl[[#This Row],[Created_Date]],Dim_Date!A:A,Dim_Date!H:H)</f>
        <v>Oct 2025</v>
      </c>
      <c r="T811" t="str">
        <f>IF(Pipeline_tbl[[#This Row],[Closed_Date]]=0,"",(_xlfn.XLOOKUP(Pipeline_tbl[[#This Row],[Closed_Date]],Dim_Date!A:A,Dim_Date!H:H)))</f>
        <v>Nov 2025</v>
      </c>
      <c r="U811">
        <f>IF(Pipeline_tbl[[#This Row],[Closed_Date]]=0,"",Pipeline_tbl[[#This Row],[Closed_Date]]-Pipeline_tbl[[#This Row],[Created_Date]])</f>
        <v>24</v>
      </c>
    </row>
    <row r="812" spans="1:21" ht="15" customHeight="1" x14ac:dyDescent="0.2">
      <c r="A812" t="s">
        <v>1118</v>
      </c>
      <c r="B812" t="s">
        <v>261</v>
      </c>
      <c r="C812" t="s">
        <v>54</v>
      </c>
      <c r="D812" s="49">
        <v>45939</v>
      </c>
      <c r="E812" s="49">
        <v>45943</v>
      </c>
      <c r="F812" s="49">
        <v>45951</v>
      </c>
      <c r="G812" s="49">
        <v>45963</v>
      </c>
      <c r="I812" s="49">
        <v>45979</v>
      </c>
      <c r="J812" t="s">
        <v>49</v>
      </c>
      <c r="K812" s="33">
        <v>20600</v>
      </c>
      <c r="L812" t="s">
        <v>60</v>
      </c>
      <c r="M812" t="str">
        <f>_xlfn.XLOOKUP(Pipeline_tbl[[#This Row],[Rep_ID]],Dim_Reps!A:A,Dim_Reps!K:K)</f>
        <v>USD</v>
      </c>
      <c r="N812" s="33">
        <f>(_xlfn.XLOOKUP(Pipeline_tbl[[#This Row],[Rate_Code_Generalized]],Lookups!A:A,Lookups!B:B))*Pipeline_tbl[[#This Row],[Pipeline_Amount_USD]]</f>
        <v>23984.579999999998</v>
      </c>
      <c r="O812" t="str">
        <f>_xlfn.XLOOKUP(Pipeline_tbl[[#This Row],[Rep_ID]],Dim_Reps!A:A,Dim_Reps!B:B)</f>
        <v>Morgan Larsen</v>
      </c>
      <c r="P812" t="str">
        <f>_xlfn.XLOOKUP(Pipeline_tbl[[#This Row],[Rep_ID]],Dim_Reps!A:A,Dim_Reps!C:C)</f>
        <v>Mid-Market AE</v>
      </c>
      <c r="Q812" t="str">
        <f>_xlfn.XLOOKUP(Pipeline_tbl[[#This Row],[Rep_ID]],Dim_Reps!A:A,Dim_Reps!D:D)</f>
        <v>Mid-Market</v>
      </c>
      <c r="R812" t="str">
        <f>_xlfn.XLOOKUP(Pipeline_tbl[[#This Row],[Rep_ID]],Dim_Reps!A:A,Dim_Reps!E:E)</f>
        <v>NAMER</v>
      </c>
      <c r="S812" t="str">
        <f>_xlfn.XLOOKUP(Pipeline_tbl[[#This Row],[Created_Date]],Dim_Date!A:A,Dim_Date!H:H)</f>
        <v>Oct 2025</v>
      </c>
      <c r="T812" t="str">
        <f>IF(Pipeline_tbl[[#This Row],[Closed_Date]]=0,"",(_xlfn.XLOOKUP(Pipeline_tbl[[#This Row],[Closed_Date]],Dim_Date!A:A,Dim_Date!H:H)))</f>
        <v>Nov 2025</v>
      </c>
      <c r="U812">
        <f>IF(Pipeline_tbl[[#This Row],[Closed_Date]]=0,"",Pipeline_tbl[[#This Row],[Closed_Date]]-Pipeline_tbl[[#This Row],[Created_Date]])</f>
        <v>40</v>
      </c>
    </row>
    <row r="813" spans="1:21" ht="15" customHeight="1" x14ac:dyDescent="0.2">
      <c r="A813" t="s">
        <v>1119</v>
      </c>
      <c r="B813" t="s">
        <v>261</v>
      </c>
      <c r="C813" t="s">
        <v>52</v>
      </c>
      <c r="D813" s="49">
        <v>45948</v>
      </c>
      <c r="E813" s="49">
        <v>45951</v>
      </c>
      <c r="F813" s="49">
        <v>45958</v>
      </c>
      <c r="G813" s="49">
        <v>45967</v>
      </c>
      <c r="H813" s="49">
        <v>45975</v>
      </c>
      <c r="I813" s="49">
        <v>45980</v>
      </c>
      <c r="J813" t="s">
        <v>49</v>
      </c>
      <c r="K813" s="33">
        <v>5200</v>
      </c>
      <c r="L813" t="s">
        <v>61</v>
      </c>
      <c r="M813" t="str">
        <f>_xlfn.XLOOKUP(Pipeline_tbl[[#This Row],[Rep_ID]],Dim_Reps!A:A,Dim_Reps!K:K)</f>
        <v>USD</v>
      </c>
      <c r="N813" s="33">
        <f>(_xlfn.XLOOKUP(Pipeline_tbl[[#This Row],[Rate_Code_Generalized]],Lookups!A:A,Lookups!B:B))*Pipeline_tbl[[#This Row],[Pipeline_Amount_USD]]</f>
        <v>6054.36</v>
      </c>
      <c r="O813" t="str">
        <f>_xlfn.XLOOKUP(Pipeline_tbl[[#This Row],[Rep_ID]],Dim_Reps!A:A,Dim_Reps!B:B)</f>
        <v>Morgan Larsen</v>
      </c>
      <c r="P813" t="str">
        <f>_xlfn.XLOOKUP(Pipeline_tbl[[#This Row],[Rep_ID]],Dim_Reps!A:A,Dim_Reps!C:C)</f>
        <v>Mid-Market AE</v>
      </c>
      <c r="Q813" t="str">
        <f>_xlfn.XLOOKUP(Pipeline_tbl[[#This Row],[Rep_ID]],Dim_Reps!A:A,Dim_Reps!D:D)</f>
        <v>Mid-Market</v>
      </c>
      <c r="R813" t="str">
        <f>_xlfn.XLOOKUP(Pipeline_tbl[[#This Row],[Rep_ID]],Dim_Reps!A:A,Dim_Reps!E:E)</f>
        <v>NAMER</v>
      </c>
      <c r="S813" t="str">
        <f>_xlfn.XLOOKUP(Pipeline_tbl[[#This Row],[Created_Date]],Dim_Date!A:A,Dim_Date!H:H)</f>
        <v>Oct 2025</v>
      </c>
      <c r="T813" t="str">
        <f>IF(Pipeline_tbl[[#This Row],[Closed_Date]]=0,"",(_xlfn.XLOOKUP(Pipeline_tbl[[#This Row],[Closed_Date]],Dim_Date!A:A,Dim_Date!H:H)))</f>
        <v>Nov 2025</v>
      </c>
      <c r="U813">
        <f>IF(Pipeline_tbl[[#This Row],[Closed_Date]]=0,"",Pipeline_tbl[[#This Row],[Closed_Date]]-Pipeline_tbl[[#This Row],[Created_Date]])</f>
        <v>32</v>
      </c>
    </row>
    <row r="814" spans="1:21" ht="15" customHeight="1" x14ac:dyDescent="0.2">
      <c r="A814" t="s">
        <v>1120</v>
      </c>
      <c r="B814" t="s">
        <v>261</v>
      </c>
      <c r="C814" t="s">
        <v>52</v>
      </c>
      <c r="D814" s="49">
        <v>45949</v>
      </c>
      <c r="E814" s="49">
        <v>45953</v>
      </c>
      <c r="F814" s="49">
        <v>45961</v>
      </c>
      <c r="G814" s="49">
        <v>45972</v>
      </c>
      <c r="I814" s="49">
        <v>45988</v>
      </c>
      <c r="J814" t="s">
        <v>49</v>
      </c>
      <c r="K814" s="33">
        <v>17600</v>
      </c>
      <c r="L814" t="s">
        <v>60</v>
      </c>
      <c r="M814" t="str">
        <f>_xlfn.XLOOKUP(Pipeline_tbl[[#This Row],[Rep_ID]],Dim_Reps!A:A,Dim_Reps!K:K)</f>
        <v>USD</v>
      </c>
      <c r="N814" s="33">
        <f>(_xlfn.XLOOKUP(Pipeline_tbl[[#This Row],[Rate_Code_Generalized]],Lookups!A:A,Lookups!B:B))*Pipeline_tbl[[#This Row],[Pipeline_Amount_USD]]</f>
        <v>20491.679999999997</v>
      </c>
      <c r="O814" t="str">
        <f>_xlfn.XLOOKUP(Pipeline_tbl[[#This Row],[Rep_ID]],Dim_Reps!A:A,Dim_Reps!B:B)</f>
        <v>Morgan Larsen</v>
      </c>
      <c r="P814" t="str">
        <f>_xlfn.XLOOKUP(Pipeline_tbl[[#This Row],[Rep_ID]],Dim_Reps!A:A,Dim_Reps!C:C)</f>
        <v>Mid-Market AE</v>
      </c>
      <c r="Q814" t="str">
        <f>_xlfn.XLOOKUP(Pipeline_tbl[[#This Row],[Rep_ID]],Dim_Reps!A:A,Dim_Reps!D:D)</f>
        <v>Mid-Market</v>
      </c>
      <c r="R814" t="str">
        <f>_xlfn.XLOOKUP(Pipeline_tbl[[#This Row],[Rep_ID]],Dim_Reps!A:A,Dim_Reps!E:E)</f>
        <v>NAMER</v>
      </c>
      <c r="S814" t="str">
        <f>_xlfn.XLOOKUP(Pipeline_tbl[[#This Row],[Created_Date]],Dim_Date!A:A,Dim_Date!H:H)</f>
        <v>Oct 2025</v>
      </c>
      <c r="T814" t="str">
        <f>IF(Pipeline_tbl[[#This Row],[Closed_Date]]=0,"",(_xlfn.XLOOKUP(Pipeline_tbl[[#This Row],[Closed_Date]],Dim_Date!A:A,Dim_Date!H:H)))</f>
        <v>Nov 2025</v>
      </c>
      <c r="U814">
        <f>IF(Pipeline_tbl[[#This Row],[Closed_Date]]=0,"",Pipeline_tbl[[#This Row],[Closed_Date]]-Pipeline_tbl[[#This Row],[Created_Date]])</f>
        <v>39</v>
      </c>
    </row>
    <row r="815" spans="1:21" ht="15" customHeight="1" x14ac:dyDescent="0.2">
      <c r="A815" t="s">
        <v>1121</v>
      </c>
      <c r="B815" t="s">
        <v>225</v>
      </c>
      <c r="C815" t="s">
        <v>52</v>
      </c>
      <c r="D815" s="49">
        <v>45953</v>
      </c>
      <c r="E815" s="49">
        <v>45955</v>
      </c>
      <c r="F815" s="49">
        <v>45960</v>
      </c>
      <c r="I815" s="49">
        <v>45976</v>
      </c>
      <c r="J815" t="s">
        <v>49</v>
      </c>
      <c r="K815" s="33">
        <v>4100</v>
      </c>
      <c r="L815" t="s">
        <v>64</v>
      </c>
      <c r="M815" t="str">
        <f>_xlfn.XLOOKUP(Pipeline_tbl[[#This Row],[Rep_ID]],Dim_Reps!A:A,Dim_Reps!K:K)</f>
        <v>USD</v>
      </c>
      <c r="N815" s="33">
        <f>(_xlfn.XLOOKUP(Pipeline_tbl[[#This Row],[Rate_Code_Generalized]],Lookups!A:A,Lookups!B:B))*Pipeline_tbl[[#This Row],[Pipeline_Amount_USD]]</f>
        <v>4773.6299999999992</v>
      </c>
      <c r="O815" t="str">
        <f>_xlfn.XLOOKUP(Pipeline_tbl[[#This Row],[Rep_ID]],Dim_Reps!A:A,Dim_Reps!B:B)</f>
        <v>Alex Muller</v>
      </c>
      <c r="P815" t="str">
        <f>_xlfn.XLOOKUP(Pipeline_tbl[[#This Row],[Rep_ID]],Dim_Reps!A:A,Dim_Reps!C:C)</f>
        <v>SDR / Inside Sales Rep</v>
      </c>
      <c r="Q815" t="str">
        <f>_xlfn.XLOOKUP(Pipeline_tbl[[#This Row],[Rep_ID]],Dim_Reps!A:A,Dim_Reps!D:D)</f>
        <v>Inside Sales</v>
      </c>
      <c r="R815" t="str">
        <f>_xlfn.XLOOKUP(Pipeline_tbl[[#This Row],[Rep_ID]],Dim_Reps!A:A,Dim_Reps!E:E)</f>
        <v>NAMER</v>
      </c>
      <c r="S815" t="str">
        <f>_xlfn.XLOOKUP(Pipeline_tbl[[#This Row],[Created_Date]],Dim_Date!A:A,Dim_Date!H:H)</f>
        <v>Oct 2025</v>
      </c>
      <c r="T815" t="str">
        <f>IF(Pipeline_tbl[[#This Row],[Closed_Date]]=0,"",(_xlfn.XLOOKUP(Pipeline_tbl[[#This Row],[Closed_Date]],Dim_Date!A:A,Dim_Date!H:H)))</f>
        <v>Nov 2025</v>
      </c>
      <c r="U815">
        <f>IF(Pipeline_tbl[[#This Row],[Closed_Date]]=0,"",Pipeline_tbl[[#This Row],[Closed_Date]]-Pipeline_tbl[[#This Row],[Created_Date]])</f>
        <v>23</v>
      </c>
    </row>
    <row r="816" spans="1:21" ht="15" customHeight="1" x14ac:dyDescent="0.2">
      <c r="A816" t="s">
        <v>1122</v>
      </c>
      <c r="B816" t="s">
        <v>225</v>
      </c>
      <c r="C816" t="s">
        <v>53</v>
      </c>
      <c r="D816" s="49">
        <v>45957</v>
      </c>
      <c r="E816" s="49">
        <v>45959</v>
      </c>
      <c r="F816" s="49">
        <v>45963</v>
      </c>
      <c r="G816" s="49">
        <v>45969</v>
      </c>
      <c r="I816" s="49">
        <v>45977</v>
      </c>
      <c r="J816" t="s">
        <v>49</v>
      </c>
      <c r="K816" s="33">
        <v>2900</v>
      </c>
      <c r="L816" t="s">
        <v>63</v>
      </c>
      <c r="M816" t="str">
        <f>_xlfn.XLOOKUP(Pipeline_tbl[[#This Row],[Rep_ID]],Dim_Reps!A:A,Dim_Reps!K:K)</f>
        <v>USD</v>
      </c>
      <c r="N816" s="33">
        <f>(_xlfn.XLOOKUP(Pipeline_tbl[[#This Row],[Rate_Code_Generalized]],Lookups!A:A,Lookups!B:B))*Pipeline_tbl[[#This Row],[Pipeline_Amount_USD]]</f>
        <v>3376.47</v>
      </c>
      <c r="O816" t="str">
        <f>_xlfn.XLOOKUP(Pipeline_tbl[[#This Row],[Rep_ID]],Dim_Reps!A:A,Dim_Reps!B:B)</f>
        <v>Alex Muller</v>
      </c>
      <c r="P816" t="str">
        <f>_xlfn.XLOOKUP(Pipeline_tbl[[#This Row],[Rep_ID]],Dim_Reps!A:A,Dim_Reps!C:C)</f>
        <v>SDR / Inside Sales Rep</v>
      </c>
      <c r="Q816" t="str">
        <f>_xlfn.XLOOKUP(Pipeline_tbl[[#This Row],[Rep_ID]],Dim_Reps!A:A,Dim_Reps!D:D)</f>
        <v>Inside Sales</v>
      </c>
      <c r="R816" t="str">
        <f>_xlfn.XLOOKUP(Pipeline_tbl[[#This Row],[Rep_ID]],Dim_Reps!A:A,Dim_Reps!E:E)</f>
        <v>NAMER</v>
      </c>
      <c r="S816" t="str">
        <f>_xlfn.XLOOKUP(Pipeline_tbl[[#This Row],[Created_Date]],Dim_Date!A:A,Dim_Date!H:H)</f>
        <v>Oct 2025</v>
      </c>
      <c r="T816" t="str">
        <f>IF(Pipeline_tbl[[#This Row],[Closed_Date]]=0,"",(_xlfn.XLOOKUP(Pipeline_tbl[[#This Row],[Closed_Date]],Dim_Date!A:A,Dim_Date!H:H)))</f>
        <v>Nov 2025</v>
      </c>
      <c r="U816">
        <f>IF(Pipeline_tbl[[#This Row],[Closed_Date]]=0,"",Pipeline_tbl[[#This Row],[Closed_Date]]-Pipeline_tbl[[#This Row],[Created_Date]])</f>
        <v>20</v>
      </c>
    </row>
    <row r="817" spans="1:21" ht="15" customHeight="1" x14ac:dyDescent="0.2">
      <c r="A817" t="s">
        <v>1123</v>
      </c>
      <c r="B817" t="s">
        <v>225</v>
      </c>
      <c r="C817" t="s">
        <v>52</v>
      </c>
      <c r="D817" s="49">
        <v>45958</v>
      </c>
      <c r="E817" s="49">
        <v>45959</v>
      </c>
      <c r="F817" s="49">
        <v>45961</v>
      </c>
      <c r="G817" s="49">
        <v>45964</v>
      </c>
      <c r="H817" s="49">
        <v>45966</v>
      </c>
      <c r="I817" s="49">
        <v>45968</v>
      </c>
      <c r="J817" t="s">
        <v>47</v>
      </c>
      <c r="K817" s="33">
        <v>2100</v>
      </c>
      <c r="M817" t="str">
        <f>_xlfn.XLOOKUP(Pipeline_tbl[[#This Row],[Rep_ID]],Dim_Reps!A:A,Dim_Reps!K:K)</f>
        <v>USD</v>
      </c>
      <c r="N817" s="33">
        <f>(_xlfn.XLOOKUP(Pipeline_tbl[[#This Row],[Rate_Code_Generalized]],Lookups!A:A,Lookups!B:B))*Pipeline_tbl[[#This Row],[Pipeline_Amount_USD]]</f>
        <v>2445.0299999999997</v>
      </c>
      <c r="O817" t="str">
        <f>_xlfn.XLOOKUP(Pipeline_tbl[[#This Row],[Rep_ID]],Dim_Reps!A:A,Dim_Reps!B:B)</f>
        <v>Alex Muller</v>
      </c>
      <c r="P817" t="str">
        <f>_xlfn.XLOOKUP(Pipeline_tbl[[#This Row],[Rep_ID]],Dim_Reps!A:A,Dim_Reps!C:C)</f>
        <v>SDR / Inside Sales Rep</v>
      </c>
      <c r="Q817" t="str">
        <f>_xlfn.XLOOKUP(Pipeline_tbl[[#This Row],[Rep_ID]],Dim_Reps!A:A,Dim_Reps!D:D)</f>
        <v>Inside Sales</v>
      </c>
      <c r="R817" t="str">
        <f>_xlfn.XLOOKUP(Pipeline_tbl[[#This Row],[Rep_ID]],Dim_Reps!A:A,Dim_Reps!E:E)</f>
        <v>NAMER</v>
      </c>
      <c r="S817" t="str">
        <f>_xlfn.XLOOKUP(Pipeline_tbl[[#This Row],[Created_Date]],Dim_Date!A:A,Dim_Date!H:H)</f>
        <v>Oct 2025</v>
      </c>
      <c r="T817" t="str">
        <f>IF(Pipeline_tbl[[#This Row],[Closed_Date]]=0,"",(_xlfn.XLOOKUP(Pipeline_tbl[[#This Row],[Closed_Date]],Dim_Date!A:A,Dim_Date!H:H)))</f>
        <v>Nov 2025</v>
      </c>
      <c r="U817">
        <f>IF(Pipeline_tbl[[#This Row],[Closed_Date]]=0,"",Pipeline_tbl[[#This Row],[Closed_Date]]-Pipeline_tbl[[#This Row],[Created_Date]])</f>
        <v>10</v>
      </c>
    </row>
    <row r="818" spans="1:21" ht="15" customHeight="1" x14ac:dyDescent="0.2">
      <c r="A818" t="s">
        <v>1124</v>
      </c>
      <c r="B818" t="s">
        <v>225</v>
      </c>
      <c r="C818" t="s">
        <v>53</v>
      </c>
      <c r="D818" s="49">
        <v>45956</v>
      </c>
      <c r="E818" s="49">
        <v>45958</v>
      </c>
      <c r="F818" s="49">
        <v>45963</v>
      </c>
      <c r="G818" s="49">
        <v>45969</v>
      </c>
      <c r="H818" s="49">
        <v>45975</v>
      </c>
      <c r="I818" s="49">
        <v>45978</v>
      </c>
      <c r="J818" t="s">
        <v>47</v>
      </c>
      <c r="K818" s="33">
        <v>5500</v>
      </c>
      <c r="M818" t="str">
        <f>_xlfn.XLOOKUP(Pipeline_tbl[[#This Row],[Rep_ID]],Dim_Reps!A:A,Dim_Reps!K:K)</f>
        <v>USD</v>
      </c>
      <c r="N818" s="33">
        <f>(_xlfn.XLOOKUP(Pipeline_tbl[[#This Row],[Rate_Code_Generalized]],Lookups!A:A,Lookups!B:B))*Pipeline_tbl[[#This Row],[Pipeline_Amount_USD]]</f>
        <v>6403.65</v>
      </c>
      <c r="O818" t="str">
        <f>_xlfn.XLOOKUP(Pipeline_tbl[[#This Row],[Rep_ID]],Dim_Reps!A:A,Dim_Reps!B:B)</f>
        <v>Alex Muller</v>
      </c>
      <c r="P818" t="str">
        <f>_xlfn.XLOOKUP(Pipeline_tbl[[#This Row],[Rep_ID]],Dim_Reps!A:A,Dim_Reps!C:C)</f>
        <v>SDR / Inside Sales Rep</v>
      </c>
      <c r="Q818" t="str">
        <f>_xlfn.XLOOKUP(Pipeline_tbl[[#This Row],[Rep_ID]],Dim_Reps!A:A,Dim_Reps!D:D)</f>
        <v>Inside Sales</v>
      </c>
      <c r="R818" t="str">
        <f>_xlfn.XLOOKUP(Pipeline_tbl[[#This Row],[Rep_ID]],Dim_Reps!A:A,Dim_Reps!E:E)</f>
        <v>NAMER</v>
      </c>
      <c r="S818" t="str">
        <f>_xlfn.XLOOKUP(Pipeline_tbl[[#This Row],[Created_Date]],Dim_Date!A:A,Dim_Date!H:H)</f>
        <v>Oct 2025</v>
      </c>
      <c r="T818" t="str">
        <f>IF(Pipeline_tbl[[#This Row],[Closed_Date]]=0,"",(_xlfn.XLOOKUP(Pipeline_tbl[[#This Row],[Closed_Date]],Dim_Date!A:A,Dim_Date!H:H)))</f>
        <v>Nov 2025</v>
      </c>
      <c r="U818">
        <f>IF(Pipeline_tbl[[#This Row],[Closed_Date]]=0,"",Pipeline_tbl[[#This Row],[Closed_Date]]-Pipeline_tbl[[#This Row],[Created_Date]])</f>
        <v>22</v>
      </c>
    </row>
    <row r="819" spans="1:21" ht="15" customHeight="1" x14ac:dyDescent="0.2">
      <c r="A819" t="s">
        <v>1125</v>
      </c>
      <c r="B819" t="s">
        <v>225</v>
      </c>
      <c r="C819" t="s">
        <v>54</v>
      </c>
      <c r="D819" s="49">
        <v>45956</v>
      </c>
      <c r="E819" s="49">
        <v>45958</v>
      </c>
      <c r="F819" s="49">
        <v>45963</v>
      </c>
      <c r="G819" s="49">
        <v>45970</v>
      </c>
      <c r="H819" s="49">
        <v>45976</v>
      </c>
      <c r="I819" s="49">
        <v>45979</v>
      </c>
      <c r="J819" t="s">
        <v>47</v>
      </c>
      <c r="K819" s="33">
        <v>2300</v>
      </c>
      <c r="M819" t="str">
        <f>_xlfn.XLOOKUP(Pipeline_tbl[[#This Row],[Rep_ID]],Dim_Reps!A:A,Dim_Reps!K:K)</f>
        <v>USD</v>
      </c>
      <c r="N819" s="33">
        <f>(_xlfn.XLOOKUP(Pipeline_tbl[[#This Row],[Rate_Code_Generalized]],Lookups!A:A,Lookups!B:B))*Pipeline_tbl[[#This Row],[Pipeline_Amount_USD]]</f>
        <v>2677.89</v>
      </c>
      <c r="O819" t="str">
        <f>_xlfn.XLOOKUP(Pipeline_tbl[[#This Row],[Rep_ID]],Dim_Reps!A:A,Dim_Reps!B:B)</f>
        <v>Alex Muller</v>
      </c>
      <c r="P819" t="str">
        <f>_xlfn.XLOOKUP(Pipeline_tbl[[#This Row],[Rep_ID]],Dim_Reps!A:A,Dim_Reps!C:C)</f>
        <v>SDR / Inside Sales Rep</v>
      </c>
      <c r="Q819" t="str">
        <f>_xlfn.XLOOKUP(Pipeline_tbl[[#This Row],[Rep_ID]],Dim_Reps!A:A,Dim_Reps!D:D)</f>
        <v>Inside Sales</v>
      </c>
      <c r="R819" t="str">
        <f>_xlfn.XLOOKUP(Pipeline_tbl[[#This Row],[Rep_ID]],Dim_Reps!A:A,Dim_Reps!E:E)</f>
        <v>NAMER</v>
      </c>
      <c r="S819" t="str">
        <f>_xlfn.XLOOKUP(Pipeline_tbl[[#This Row],[Created_Date]],Dim_Date!A:A,Dim_Date!H:H)</f>
        <v>Oct 2025</v>
      </c>
      <c r="T819" t="str">
        <f>IF(Pipeline_tbl[[#This Row],[Closed_Date]]=0,"",(_xlfn.XLOOKUP(Pipeline_tbl[[#This Row],[Closed_Date]],Dim_Date!A:A,Dim_Date!H:H)))</f>
        <v>Nov 2025</v>
      </c>
      <c r="U819">
        <f>IF(Pipeline_tbl[[#This Row],[Closed_Date]]=0,"",Pipeline_tbl[[#This Row],[Closed_Date]]-Pipeline_tbl[[#This Row],[Created_Date]])</f>
        <v>23</v>
      </c>
    </row>
    <row r="820" spans="1:21" ht="15" customHeight="1" x14ac:dyDescent="0.2">
      <c r="A820" t="s">
        <v>1126</v>
      </c>
      <c r="B820" t="s">
        <v>225</v>
      </c>
      <c r="C820" t="s">
        <v>55</v>
      </c>
      <c r="D820" s="49">
        <v>45944</v>
      </c>
      <c r="E820" s="49">
        <v>45946</v>
      </c>
      <c r="F820" s="49">
        <v>45952</v>
      </c>
      <c r="G820" s="49">
        <v>45959</v>
      </c>
      <c r="H820" s="49">
        <v>45965</v>
      </c>
      <c r="I820" s="49">
        <v>45969</v>
      </c>
      <c r="J820" t="s">
        <v>47</v>
      </c>
      <c r="K820" s="33">
        <v>5800</v>
      </c>
      <c r="M820" t="str">
        <f>_xlfn.XLOOKUP(Pipeline_tbl[[#This Row],[Rep_ID]],Dim_Reps!A:A,Dim_Reps!K:K)</f>
        <v>USD</v>
      </c>
      <c r="N820" s="33">
        <f>(_xlfn.XLOOKUP(Pipeline_tbl[[#This Row],[Rate_Code_Generalized]],Lookups!A:A,Lookups!B:B))*Pipeline_tbl[[#This Row],[Pipeline_Amount_USD]]</f>
        <v>6752.94</v>
      </c>
      <c r="O820" t="str">
        <f>_xlfn.XLOOKUP(Pipeline_tbl[[#This Row],[Rep_ID]],Dim_Reps!A:A,Dim_Reps!B:B)</f>
        <v>Alex Muller</v>
      </c>
      <c r="P820" t="str">
        <f>_xlfn.XLOOKUP(Pipeline_tbl[[#This Row],[Rep_ID]],Dim_Reps!A:A,Dim_Reps!C:C)</f>
        <v>SDR / Inside Sales Rep</v>
      </c>
      <c r="Q820" t="str">
        <f>_xlfn.XLOOKUP(Pipeline_tbl[[#This Row],[Rep_ID]],Dim_Reps!A:A,Dim_Reps!D:D)</f>
        <v>Inside Sales</v>
      </c>
      <c r="R820" t="str">
        <f>_xlfn.XLOOKUP(Pipeline_tbl[[#This Row],[Rep_ID]],Dim_Reps!A:A,Dim_Reps!E:E)</f>
        <v>NAMER</v>
      </c>
      <c r="S820" t="str">
        <f>_xlfn.XLOOKUP(Pipeline_tbl[[#This Row],[Created_Date]],Dim_Date!A:A,Dim_Date!H:H)</f>
        <v>Oct 2025</v>
      </c>
      <c r="T820" t="str">
        <f>IF(Pipeline_tbl[[#This Row],[Closed_Date]]=0,"",(_xlfn.XLOOKUP(Pipeline_tbl[[#This Row],[Closed_Date]],Dim_Date!A:A,Dim_Date!H:H)))</f>
        <v>Nov 2025</v>
      </c>
      <c r="U820">
        <f>IF(Pipeline_tbl[[#This Row],[Closed_Date]]=0,"",Pipeline_tbl[[#This Row],[Closed_Date]]-Pipeline_tbl[[#This Row],[Created_Date]])</f>
        <v>25</v>
      </c>
    </row>
    <row r="821" spans="1:21" ht="15" customHeight="1" x14ac:dyDescent="0.2">
      <c r="A821" t="s">
        <v>1127</v>
      </c>
      <c r="B821" t="s">
        <v>225</v>
      </c>
      <c r="C821" t="s">
        <v>55</v>
      </c>
      <c r="D821" s="49">
        <v>45952</v>
      </c>
      <c r="E821" s="49">
        <v>45954</v>
      </c>
      <c r="F821" s="49">
        <v>45958</v>
      </c>
      <c r="G821" s="49">
        <v>45963</v>
      </c>
      <c r="H821" s="49">
        <v>45968</v>
      </c>
      <c r="I821" s="49">
        <v>45971</v>
      </c>
      <c r="J821" t="s">
        <v>49</v>
      </c>
      <c r="K821" s="33">
        <v>5900</v>
      </c>
      <c r="L821" t="s">
        <v>64</v>
      </c>
      <c r="M821" t="str">
        <f>_xlfn.XLOOKUP(Pipeline_tbl[[#This Row],[Rep_ID]],Dim_Reps!A:A,Dim_Reps!K:K)</f>
        <v>USD</v>
      </c>
      <c r="N821" s="33">
        <f>(_xlfn.XLOOKUP(Pipeline_tbl[[#This Row],[Rate_Code_Generalized]],Lookups!A:A,Lookups!B:B))*Pipeline_tbl[[#This Row],[Pipeline_Amount_USD]]</f>
        <v>6869.369999999999</v>
      </c>
      <c r="O821" t="str">
        <f>_xlfn.XLOOKUP(Pipeline_tbl[[#This Row],[Rep_ID]],Dim_Reps!A:A,Dim_Reps!B:B)</f>
        <v>Alex Muller</v>
      </c>
      <c r="P821" t="str">
        <f>_xlfn.XLOOKUP(Pipeline_tbl[[#This Row],[Rep_ID]],Dim_Reps!A:A,Dim_Reps!C:C)</f>
        <v>SDR / Inside Sales Rep</v>
      </c>
      <c r="Q821" t="str">
        <f>_xlfn.XLOOKUP(Pipeline_tbl[[#This Row],[Rep_ID]],Dim_Reps!A:A,Dim_Reps!D:D)</f>
        <v>Inside Sales</v>
      </c>
      <c r="R821" t="str">
        <f>_xlfn.XLOOKUP(Pipeline_tbl[[#This Row],[Rep_ID]],Dim_Reps!A:A,Dim_Reps!E:E)</f>
        <v>NAMER</v>
      </c>
      <c r="S821" t="str">
        <f>_xlfn.XLOOKUP(Pipeline_tbl[[#This Row],[Created_Date]],Dim_Date!A:A,Dim_Date!H:H)</f>
        <v>Oct 2025</v>
      </c>
      <c r="T821" t="str">
        <f>IF(Pipeline_tbl[[#This Row],[Closed_Date]]=0,"",(_xlfn.XLOOKUP(Pipeline_tbl[[#This Row],[Closed_Date]],Dim_Date!A:A,Dim_Date!H:H)))</f>
        <v>Nov 2025</v>
      </c>
      <c r="U821">
        <f>IF(Pipeline_tbl[[#This Row],[Closed_Date]]=0,"",Pipeline_tbl[[#This Row],[Closed_Date]]-Pipeline_tbl[[#This Row],[Created_Date]])</f>
        <v>19</v>
      </c>
    </row>
    <row r="822" spans="1:21" ht="15" customHeight="1" x14ac:dyDescent="0.2">
      <c r="A822" t="s">
        <v>1128</v>
      </c>
      <c r="B822" t="s">
        <v>225</v>
      </c>
      <c r="C822" t="s">
        <v>52</v>
      </c>
      <c r="D822" s="49">
        <v>45946</v>
      </c>
      <c r="E822" s="49">
        <v>45948</v>
      </c>
      <c r="F822" s="49">
        <v>45952</v>
      </c>
      <c r="G822" s="49">
        <v>45959</v>
      </c>
      <c r="H822" s="49">
        <v>45964</v>
      </c>
      <c r="I822" s="49">
        <v>45967</v>
      </c>
      <c r="J822" t="s">
        <v>49</v>
      </c>
      <c r="K822" s="33">
        <v>2800</v>
      </c>
      <c r="L822" t="s">
        <v>60</v>
      </c>
      <c r="M822" t="str">
        <f>_xlfn.XLOOKUP(Pipeline_tbl[[#This Row],[Rep_ID]],Dim_Reps!A:A,Dim_Reps!K:K)</f>
        <v>USD</v>
      </c>
      <c r="N822" s="33">
        <f>(_xlfn.XLOOKUP(Pipeline_tbl[[#This Row],[Rate_Code_Generalized]],Lookups!A:A,Lookups!B:B))*Pipeline_tbl[[#This Row],[Pipeline_Amount_USD]]</f>
        <v>3260.0399999999995</v>
      </c>
      <c r="O822" t="str">
        <f>_xlfn.XLOOKUP(Pipeline_tbl[[#This Row],[Rep_ID]],Dim_Reps!A:A,Dim_Reps!B:B)</f>
        <v>Alex Muller</v>
      </c>
      <c r="P822" t="str">
        <f>_xlfn.XLOOKUP(Pipeline_tbl[[#This Row],[Rep_ID]],Dim_Reps!A:A,Dim_Reps!C:C)</f>
        <v>SDR / Inside Sales Rep</v>
      </c>
      <c r="Q822" t="str">
        <f>_xlfn.XLOOKUP(Pipeline_tbl[[#This Row],[Rep_ID]],Dim_Reps!A:A,Dim_Reps!D:D)</f>
        <v>Inside Sales</v>
      </c>
      <c r="R822" t="str">
        <f>_xlfn.XLOOKUP(Pipeline_tbl[[#This Row],[Rep_ID]],Dim_Reps!A:A,Dim_Reps!E:E)</f>
        <v>NAMER</v>
      </c>
      <c r="S822" t="str">
        <f>_xlfn.XLOOKUP(Pipeline_tbl[[#This Row],[Created_Date]],Dim_Date!A:A,Dim_Date!H:H)</f>
        <v>Oct 2025</v>
      </c>
      <c r="T822" t="str">
        <f>IF(Pipeline_tbl[[#This Row],[Closed_Date]]=0,"",(_xlfn.XLOOKUP(Pipeline_tbl[[#This Row],[Closed_Date]],Dim_Date!A:A,Dim_Date!H:H)))</f>
        <v>Nov 2025</v>
      </c>
      <c r="U822">
        <f>IF(Pipeline_tbl[[#This Row],[Closed_Date]]=0,"",Pipeline_tbl[[#This Row],[Closed_Date]]-Pipeline_tbl[[#This Row],[Created_Date]])</f>
        <v>21</v>
      </c>
    </row>
    <row r="823" spans="1:21" ht="15" customHeight="1" x14ac:dyDescent="0.2">
      <c r="A823" t="s">
        <v>1129</v>
      </c>
      <c r="B823" t="s">
        <v>225</v>
      </c>
      <c r="C823" t="s">
        <v>52</v>
      </c>
      <c r="D823" s="49">
        <v>45951</v>
      </c>
      <c r="E823" s="49">
        <v>45953</v>
      </c>
      <c r="F823" s="49">
        <v>45957</v>
      </c>
      <c r="G823" s="49">
        <v>45964</v>
      </c>
      <c r="H823" s="49">
        <v>45969</v>
      </c>
      <c r="I823" s="49">
        <v>45972</v>
      </c>
      <c r="J823" t="s">
        <v>47</v>
      </c>
      <c r="K823" s="33">
        <v>2100</v>
      </c>
      <c r="M823" t="str">
        <f>_xlfn.XLOOKUP(Pipeline_tbl[[#This Row],[Rep_ID]],Dim_Reps!A:A,Dim_Reps!K:K)</f>
        <v>USD</v>
      </c>
      <c r="N823" s="33">
        <f>(_xlfn.XLOOKUP(Pipeline_tbl[[#This Row],[Rate_Code_Generalized]],Lookups!A:A,Lookups!B:B))*Pipeline_tbl[[#This Row],[Pipeline_Amount_USD]]</f>
        <v>2445.0299999999997</v>
      </c>
      <c r="O823" t="str">
        <f>_xlfn.XLOOKUP(Pipeline_tbl[[#This Row],[Rep_ID]],Dim_Reps!A:A,Dim_Reps!B:B)</f>
        <v>Alex Muller</v>
      </c>
      <c r="P823" t="str">
        <f>_xlfn.XLOOKUP(Pipeline_tbl[[#This Row],[Rep_ID]],Dim_Reps!A:A,Dim_Reps!C:C)</f>
        <v>SDR / Inside Sales Rep</v>
      </c>
      <c r="Q823" t="str">
        <f>_xlfn.XLOOKUP(Pipeline_tbl[[#This Row],[Rep_ID]],Dim_Reps!A:A,Dim_Reps!D:D)</f>
        <v>Inside Sales</v>
      </c>
      <c r="R823" t="str">
        <f>_xlfn.XLOOKUP(Pipeline_tbl[[#This Row],[Rep_ID]],Dim_Reps!A:A,Dim_Reps!E:E)</f>
        <v>NAMER</v>
      </c>
      <c r="S823" t="str">
        <f>_xlfn.XLOOKUP(Pipeline_tbl[[#This Row],[Created_Date]],Dim_Date!A:A,Dim_Date!H:H)</f>
        <v>Oct 2025</v>
      </c>
      <c r="T823" t="str">
        <f>IF(Pipeline_tbl[[#This Row],[Closed_Date]]=0,"",(_xlfn.XLOOKUP(Pipeline_tbl[[#This Row],[Closed_Date]],Dim_Date!A:A,Dim_Date!H:H)))</f>
        <v>Nov 2025</v>
      </c>
      <c r="U823">
        <f>IF(Pipeline_tbl[[#This Row],[Closed_Date]]=0,"",Pipeline_tbl[[#This Row],[Closed_Date]]-Pipeline_tbl[[#This Row],[Created_Date]])</f>
        <v>21</v>
      </c>
    </row>
    <row r="824" spans="1:21" ht="15" customHeight="1" x14ac:dyDescent="0.2">
      <c r="A824" t="s">
        <v>1130</v>
      </c>
      <c r="B824" t="s">
        <v>225</v>
      </c>
      <c r="C824" t="s">
        <v>52</v>
      </c>
      <c r="D824" s="49">
        <v>45952</v>
      </c>
      <c r="E824" s="49">
        <v>45953</v>
      </c>
      <c r="F824" s="49">
        <v>45956</v>
      </c>
      <c r="G824" s="49">
        <v>45959</v>
      </c>
      <c r="H824" s="49">
        <v>45962</v>
      </c>
      <c r="I824" s="49">
        <v>45964</v>
      </c>
      <c r="J824" t="s">
        <v>47</v>
      </c>
      <c r="K824" s="33">
        <v>3400</v>
      </c>
      <c r="M824" t="str">
        <f>_xlfn.XLOOKUP(Pipeline_tbl[[#This Row],[Rep_ID]],Dim_Reps!A:A,Dim_Reps!K:K)</f>
        <v>USD</v>
      </c>
      <c r="N824" s="33">
        <f>(_xlfn.XLOOKUP(Pipeline_tbl[[#This Row],[Rate_Code_Generalized]],Lookups!A:A,Lookups!B:B))*Pipeline_tbl[[#This Row],[Pipeline_Amount_USD]]</f>
        <v>3958.6199999999994</v>
      </c>
      <c r="O824" t="str">
        <f>_xlfn.XLOOKUP(Pipeline_tbl[[#This Row],[Rep_ID]],Dim_Reps!A:A,Dim_Reps!B:B)</f>
        <v>Alex Muller</v>
      </c>
      <c r="P824" t="str">
        <f>_xlfn.XLOOKUP(Pipeline_tbl[[#This Row],[Rep_ID]],Dim_Reps!A:A,Dim_Reps!C:C)</f>
        <v>SDR / Inside Sales Rep</v>
      </c>
      <c r="Q824" t="str">
        <f>_xlfn.XLOOKUP(Pipeline_tbl[[#This Row],[Rep_ID]],Dim_Reps!A:A,Dim_Reps!D:D)</f>
        <v>Inside Sales</v>
      </c>
      <c r="R824" t="str">
        <f>_xlfn.XLOOKUP(Pipeline_tbl[[#This Row],[Rep_ID]],Dim_Reps!A:A,Dim_Reps!E:E)</f>
        <v>NAMER</v>
      </c>
      <c r="S824" t="str">
        <f>_xlfn.XLOOKUP(Pipeline_tbl[[#This Row],[Created_Date]],Dim_Date!A:A,Dim_Date!H:H)</f>
        <v>Oct 2025</v>
      </c>
      <c r="T824" t="str">
        <f>IF(Pipeline_tbl[[#This Row],[Closed_Date]]=0,"",(_xlfn.XLOOKUP(Pipeline_tbl[[#This Row],[Closed_Date]],Dim_Date!A:A,Dim_Date!H:H)))</f>
        <v>Nov 2025</v>
      </c>
      <c r="U824">
        <f>IF(Pipeline_tbl[[#This Row],[Closed_Date]]=0,"",Pipeline_tbl[[#This Row],[Closed_Date]]-Pipeline_tbl[[#This Row],[Created_Date]])</f>
        <v>12</v>
      </c>
    </row>
    <row r="825" spans="1:21" ht="15" customHeight="1" x14ac:dyDescent="0.2">
      <c r="A825" t="s">
        <v>1131</v>
      </c>
      <c r="B825" t="s">
        <v>225</v>
      </c>
      <c r="C825" t="s">
        <v>52</v>
      </c>
      <c r="D825" s="49">
        <v>45953</v>
      </c>
      <c r="E825" s="49">
        <v>45955</v>
      </c>
      <c r="F825" s="49">
        <v>45959</v>
      </c>
      <c r="I825" s="49">
        <v>45973</v>
      </c>
      <c r="J825" t="s">
        <v>49</v>
      </c>
      <c r="K825" s="33">
        <v>1800</v>
      </c>
      <c r="L825" t="s">
        <v>62</v>
      </c>
      <c r="M825" t="str">
        <f>_xlfn.XLOOKUP(Pipeline_tbl[[#This Row],[Rep_ID]],Dim_Reps!A:A,Dim_Reps!K:K)</f>
        <v>USD</v>
      </c>
      <c r="N825" s="33">
        <f>(_xlfn.XLOOKUP(Pipeline_tbl[[#This Row],[Rate_Code_Generalized]],Lookups!A:A,Lookups!B:B))*Pipeline_tbl[[#This Row],[Pipeline_Amount_USD]]</f>
        <v>2095.7399999999998</v>
      </c>
      <c r="O825" t="str">
        <f>_xlfn.XLOOKUP(Pipeline_tbl[[#This Row],[Rep_ID]],Dim_Reps!A:A,Dim_Reps!B:B)</f>
        <v>Alex Muller</v>
      </c>
      <c r="P825" t="str">
        <f>_xlfn.XLOOKUP(Pipeline_tbl[[#This Row],[Rep_ID]],Dim_Reps!A:A,Dim_Reps!C:C)</f>
        <v>SDR / Inside Sales Rep</v>
      </c>
      <c r="Q825" t="str">
        <f>_xlfn.XLOOKUP(Pipeline_tbl[[#This Row],[Rep_ID]],Dim_Reps!A:A,Dim_Reps!D:D)</f>
        <v>Inside Sales</v>
      </c>
      <c r="R825" t="str">
        <f>_xlfn.XLOOKUP(Pipeline_tbl[[#This Row],[Rep_ID]],Dim_Reps!A:A,Dim_Reps!E:E)</f>
        <v>NAMER</v>
      </c>
      <c r="S825" t="str">
        <f>_xlfn.XLOOKUP(Pipeline_tbl[[#This Row],[Created_Date]],Dim_Date!A:A,Dim_Date!H:H)</f>
        <v>Oct 2025</v>
      </c>
      <c r="T825" t="str">
        <f>IF(Pipeline_tbl[[#This Row],[Closed_Date]]=0,"",(_xlfn.XLOOKUP(Pipeline_tbl[[#This Row],[Closed_Date]],Dim_Date!A:A,Dim_Date!H:H)))</f>
        <v>Nov 2025</v>
      </c>
      <c r="U825">
        <f>IF(Pipeline_tbl[[#This Row],[Closed_Date]]=0,"",Pipeline_tbl[[#This Row],[Closed_Date]]-Pipeline_tbl[[#This Row],[Created_Date]])</f>
        <v>20</v>
      </c>
    </row>
    <row r="826" spans="1:21" ht="15" customHeight="1" x14ac:dyDescent="0.2">
      <c r="A826" t="s">
        <v>1132</v>
      </c>
      <c r="B826" t="s">
        <v>225</v>
      </c>
      <c r="C826" t="s">
        <v>54</v>
      </c>
      <c r="D826" s="49">
        <v>45944</v>
      </c>
      <c r="E826" s="49">
        <v>45947</v>
      </c>
      <c r="I826" s="49">
        <v>45971</v>
      </c>
      <c r="J826" t="s">
        <v>49</v>
      </c>
      <c r="K826" s="33">
        <v>4500</v>
      </c>
      <c r="L826" t="s">
        <v>61</v>
      </c>
      <c r="M826" t="str">
        <f>_xlfn.XLOOKUP(Pipeline_tbl[[#This Row],[Rep_ID]],Dim_Reps!A:A,Dim_Reps!K:K)</f>
        <v>USD</v>
      </c>
      <c r="N826" s="33">
        <f>(_xlfn.XLOOKUP(Pipeline_tbl[[#This Row],[Rate_Code_Generalized]],Lookups!A:A,Lookups!B:B))*Pipeline_tbl[[#This Row],[Pipeline_Amount_USD]]</f>
        <v>5239.3499999999995</v>
      </c>
      <c r="O826" t="str">
        <f>_xlfn.XLOOKUP(Pipeline_tbl[[#This Row],[Rep_ID]],Dim_Reps!A:A,Dim_Reps!B:B)</f>
        <v>Alex Muller</v>
      </c>
      <c r="P826" t="str">
        <f>_xlfn.XLOOKUP(Pipeline_tbl[[#This Row],[Rep_ID]],Dim_Reps!A:A,Dim_Reps!C:C)</f>
        <v>SDR / Inside Sales Rep</v>
      </c>
      <c r="Q826" t="str">
        <f>_xlfn.XLOOKUP(Pipeline_tbl[[#This Row],[Rep_ID]],Dim_Reps!A:A,Dim_Reps!D:D)</f>
        <v>Inside Sales</v>
      </c>
      <c r="R826" t="str">
        <f>_xlfn.XLOOKUP(Pipeline_tbl[[#This Row],[Rep_ID]],Dim_Reps!A:A,Dim_Reps!E:E)</f>
        <v>NAMER</v>
      </c>
      <c r="S826" t="str">
        <f>_xlfn.XLOOKUP(Pipeline_tbl[[#This Row],[Created_Date]],Dim_Date!A:A,Dim_Date!H:H)</f>
        <v>Oct 2025</v>
      </c>
      <c r="T826" t="str">
        <f>IF(Pipeline_tbl[[#This Row],[Closed_Date]]=0,"",(_xlfn.XLOOKUP(Pipeline_tbl[[#This Row],[Closed_Date]],Dim_Date!A:A,Dim_Date!H:H)))</f>
        <v>Nov 2025</v>
      </c>
      <c r="U826">
        <f>IF(Pipeline_tbl[[#This Row],[Closed_Date]]=0,"",Pipeline_tbl[[#This Row],[Closed_Date]]-Pipeline_tbl[[#This Row],[Created_Date]])</f>
        <v>27</v>
      </c>
    </row>
    <row r="827" spans="1:21" ht="15" customHeight="1" x14ac:dyDescent="0.2">
      <c r="A827" t="s">
        <v>1133</v>
      </c>
      <c r="B827" t="s">
        <v>225</v>
      </c>
      <c r="C827" t="s">
        <v>54</v>
      </c>
      <c r="D827" s="49">
        <v>45956</v>
      </c>
      <c r="E827" s="49">
        <v>45957</v>
      </c>
      <c r="F827" s="49">
        <v>45959</v>
      </c>
      <c r="I827" s="49">
        <v>45967</v>
      </c>
      <c r="J827" t="s">
        <v>49</v>
      </c>
      <c r="K827" s="33">
        <v>1100</v>
      </c>
      <c r="L827" t="s">
        <v>60</v>
      </c>
      <c r="M827" t="str">
        <f>_xlfn.XLOOKUP(Pipeline_tbl[[#This Row],[Rep_ID]],Dim_Reps!A:A,Dim_Reps!K:K)</f>
        <v>USD</v>
      </c>
      <c r="N827" s="33">
        <f>(_xlfn.XLOOKUP(Pipeline_tbl[[#This Row],[Rate_Code_Generalized]],Lookups!A:A,Lookups!B:B))*Pipeline_tbl[[#This Row],[Pipeline_Amount_USD]]</f>
        <v>1280.7299999999998</v>
      </c>
      <c r="O827" t="str">
        <f>_xlfn.XLOOKUP(Pipeline_tbl[[#This Row],[Rep_ID]],Dim_Reps!A:A,Dim_Reps!B:B)</f>
        <v>Alex Muller</v>
      </c>
      <c r="P827" t="str">
        <f>_xlfn.XLOOKUP(Pipeline_tbl[[#This Row],[Rep_ID]],Dim_Reps!A:A,Dim_Reps!C:C)</f>
        <v>SDR / Inside Sales Rep</v>
      </c>
      <c r="Q827" t="str">
        <f>_xlfn.XLOOKUP(Pipeline_tbl[[#This Row],[Rep_ID]],Dim_Reps!A:A,Dim_Reps!D:D)</f>
        <v>Inside Sales</v>
      </c>
      <c r="R827" t="str">
        <f>_xlfn.XLOOKUP(Pipeline_tbl[[#This Row],[Rep_ID]],Dim_Reps!A:A,Dim_Reps!E:E)</f>
        <v>NAMER</v>
      </c>
      <c r="S827" t="str">
        <f>_xlfn.XLOOKUP(Pipeline_tbl[[#This Row],[Created_Date]],Dim_Date!A:A,Dim_Date!H:H)</f>
        <v>Oct 2025</v>
      </c>
      <c r="T827" t="str">
        <f>IF(Pipeline_tbl[[#This Row],[Closed_Date]]=0,"",(_xlfn.XLOOKUP(Pipeline_tbl[[#This Row],[Closed_Date]],Dim_Date!A:A,Dim_Date!H:H)))</f>
        <v>Nov 2025</v>
      </c>
      <c r="U827">
        <f>IF(Pipeline_tbl[[#This Row],[Closed_Date]]=0,"",Pipeline_tbl[[#This Row],[Closed_Date]]-Pipeline_tbl[[#This Row],[Created_Date]])</f>
        <v>11</v>
      </c>
    </row>
    <row r="828" spans="1:21" ht="15" customHeight="1" x14ac:dyDescent="0.2">
      <c r="A828" t="s">
        <v>1134</v>
      </c>
      <c r="B828" t="s">
        <v>227</v>
      </c>
      <c r="C828" t="s">
        <v>52</v>
      </c>
      <c r="D828" s="49">
        <v>45961</v>
      </c>
      <c r="E828" s="49">
        <v>45962</v>
      </c>
      <c r="I828" s="49">
        <v>45969</v>
      </c>
      <c r="J828" t="s">
        <v>49</v>
      </c>
      <c r="K828" s="33">
        <v>2400</v>
      </c>
      <c r="L828" t="s">
        <v>64</v>
      </c>
      <c r="M828" t="str">
        <f>_xlfn.XLOOKUP(Pipeline_tbl[[#This Row],[Rep_ID]],Dim_Reps!A:A,Dim_Reps!K:K)</f>
        <v>EUR</v>
      </c>
      <c r="N828" s="33">
        <f>(_xlfn.XLOOKUP(Pipeline_tbl[[#This Row],[Rate_Code_Generalized]],Lookups!A:A,Lookups!B:B))*Pipeline_tbl[[#This Row],[Pipeline_Amount_USD]]</f>
        <v>2400</v>
      </c>
      <c r="O828" t="str">
        <f>_xlfn.XLOOKUP(Pipeline_tbl[[#This Row],[Rep_ID]],Dim_Reps!A:A,Dim_Reps!B:B)</f>
        <v>Liam Muller</v>
      </c>
      <c r="P828" t="str">
        <f>_xlfn.XLOOKUP(Pipeline_tbl[[#This Row],[Rep_ID]],Dim_Reps!A:A,Dim_Reps!C:C)</f>
        <v>SDR / Inside Sales Rep</v>
      </c>
      <c r="Q828" t="str">
        <f>_xlfn.XLOOKUP(Pipeline_tbl[[#This Row],[Rep_ID]],Dim_Reps!A:A,Dim_Reps!D:D)</f>
        <v>Inside Sales</v>
      </c>
      <c r="R828" t="str">
        <f>_xlfn.XLOOKUP(Pipeline_tbl[[#This Row],[Rep_ID]],Dim_Reps!A:A,Dim_Reps!E:E)</f>
        <v>EMEA</v>
      </c>
      <c r="S828" t="str">
        <f>_xlfn.XLOOKUP(Pipeline_tbl[[#This Row],[Created_Date]],Dim_Date!A:A,Dim_Date!H:H)</f>
        <v>Oct 2025</v>
      </c>
      <c r="T828" t="str">
        <f>IF(Pipeline_tbl[[#This Row],[Closed_Date]]=0,"",(_xlfn.XLOOKUP(Pipeline_tbl[[#This Row],[Closed_Date]],Dim_Date!A:A,Dim_Date!H:H)))</f>
        <v>Nov 2025</v>
      </c>
      <c r="U828">
        <f>IF(Pipeline_tbl[[#This Row],[Closed_Date]]=0,"",Pipeline_tbl[[#This Row],[Closed_Date]]-Pipeline_tbl[[#This Row],[Created_Date]])</f>
        <v>8</v>
      </c>
    </row>
    <row r="829" spans="1:21" ht="15" customHeight="1" x14ac:dyDescent="0.2">
      <c r="A829" t="s">
        <v>1135</v>
      </c>
      <c r="B829" t="s">
        <v>227</v>
      </c>
      <c r="C829" t="s">
        <v>52</v>
      </c>
      <c r="D829" s="49">
        <v>45957</v>
      </c>
      <c r="E829" s="49">
        <v>45959</v>
      </c>
      <c r="F829" s="49">
        <v>45962</v>
      </c>
      <c r="G829" s="49">
        <v>45967</v>
      </c>
      <c r="H829" s="49">
        <v>45971</v>
      </c>
      <c r="I829" s="49">
        <v>45973</v>
      </c>
      <c r="J829" t="s">
        <v>47</v>
      </c>
      <c r="K829" s="33">
        <v>2700</v>
      </c>
      <c r="M829" t="str">
        <f>_xlfn.XLOOKUP(Pipeline_tbl[[#This Row],[Rep_ID]],Dim_Reps!A:A,Dim_Reps!K:K)</f>
        <v>EUR</v>
      </c>
      <c r="N829" s="33">
        <f>(_xlfn.XLOOKUP(Pipeline_tbl[[#This Row],[Rate_Code_Generalized]],Lookups!A:A,Lookups!B:B))*Pipeline_tbl[[#This Row],[Pipeline_Amount_USD]]</f>
        <v>2700</v>
      </c>
      <c r="O829" t="str">
        <f>_xlfn.XLOOKUP(Pipeline_tbl[[#This Row],[Rep_ID]],Dim_Reps!A:A,Dim_Reps!B:B)</f>
        <v>Liam Muller</v>
      </c>
      <c r="P829" t="str">
        <f>_xlfn.XLOOKUP(Pipeline_tbl[[#This Row],[Rep_ID]],Dim_Reps!A:A,Dim_Reps!C:C)</f>
        <v>SDR / Inside Sales Rep</v>
      </c>
      <c r="Q829" t="str">
        <f>_xlfn.XLOOKUP(Pipeline_tbl[[#This Row],[Rep_ID]],Dim_Reps!A:A,Dim_Reps!D:D)</f>
        <v>Inside Sales</v>
      </c>
      <c r="R829" t="str">
        <f>_xlfn.XLOOKUP(Pipeline_tbl[[#This Row],[Rep_ID]],Dim_Reps!A:A,Dim_Reps!E:E)</f>
        <v>EMEA</v>
      </c>
      <c r="S829" t="str">
        <f>_xlfn.XLOOKUP(Pipeline_tbl[[#This Row],[Created_Date]],Dim_Date!A:A,Dim_Date!H:H)</f>
        <v>Oct 2025</v>
      </c>
      <c r="T829" t="str">
        <f>IF(Pipeline_tbl[[#This Row],[Closed_Date]]=0,"",(_xlfn.XLOOKUP(Pipeline_tbl[[#This Row],[Closed_Date]],Dim_Date!A:A,Dim_Date!H:H)))</f>
        <v>Nov 2025</v>
      </c>
      <c r="U829">
        <f>IF(Pipeline_tbl[[#This Row],[Closed_Date]]=0,"",Pipeline_tbl[[#This Row],[Closed_Date]]-Pipeline_tbl[[#This Row],[Created_Date]])</f>
        <v>16</v>
      </c>
    </row>
    <row r="830" spans="1:21" ht="15" customHeight="1" x14ac:dyDescent="0.2">
      <c r="A830" t="s">
        <v>1136</v>
      </c>
      <c r="B830" t="s">
        <v>227</v>
      </c>
      <c r="C830" t="s">
        <v>52</v>
      </c>
      <c r="D830" s="49">
        <v>45943</v>
      </c>
      <c r="E830" s="49">
        <v>45945</v>
      </c>
      <c r="I830" s="49">
        <v>45962</v>
      </c>
      <c r="J830" t="s">
        <v>49</v>
      </c>
      <c r="K830" s="33">
        <v>5200</v>
      </c>
      <c r="L830" t="s">
        <v>62</v>
      </c>
      <c r="M830" t="str">
        <f>_xlfn.XLOOKUP(Pipeline_tbl[[#This Row],[Rep_ID]],Dim_Reps!A:A,Dim_Reps!K:K)</f>
        <v>EUR</v>
      </c>
      <c r="N830" s="33">
        <f>(_xlfn.XLOOKUP(Pipeline_tbl[[#This Row],[Rate_Code_Generalized]],Lookups!A:A,Lookups!B:B))*Pipeline_tbl[[#This Row],[Pipeline_Amount_USD]]</f>
        <v>5200</v>
      </c>
      <c r="O830" t="str">
        <f>_xlfn.XLOOKUP(Pipeline_tbl[[#This Row],[Rep_ID]],Dim_Reps!A:A,Dim_Reps!B:B)</f>
        <v>Liam Muller</v>
      </c>
      <c r="P830" t="str">
        <f>_xlfn.XLOOKUP(Pipeline_tbl[[#This Row],[Rep_ID]],Dim_Reps!A:A,Dim_Reps!C:C)</f>
        <v>SDR / Inside Sales Rep</v>
      </c>
      <c r="Q830" t="str">
        <f>_xlfn.XLOOKUP(Pipeline_tbl[[#This Row],[Rep_ID]],Dim_Reps!A:A,Dim_Reps!D:D)</f>
        <v>Inside Sales</v>
      </c>
      <c r="R830" t="str">
        <f>_xlfn.XLOOKUP(Pipeline_tbl[[#This Row],[Rep_ID]],Dim_Reps!A:A,Dim_Reps!E:E)</f>
        <v>EMEA</v>
      </c>
      <c r="S830" t="str">
        <f>_xlfn.XLOOKUP(Pipeline_tbl[[#This Row],[Created_Date]],Dim_Date!A:A,Dim_Date!H:H)</f>
        <v>Oct 2025</v>
      </c>
      <c r="T830" t="str">
        <f>IF(Pipeline_tbl[[#This Row],[Closed_Date]]=0,"",(_xlfn.XLOOKUP(Pipeline_tbl[[#This Row],[Closed_Date]],Dim_Date!A:A,Dim_Date!H:H)))</f>
        <v>Nov 2025</v>
      </c>
      <c r="U830">
        <f>IF(Pipeline_tbl[[#This Row],[Closed_Date]]=0,"",Pipeline_tbl[[#This Row],[Closed_Date]]-Pipeline_tbl[[#This Row],[Created_Date]])</f>
        <v>19</v>
      </c>
    </row>
    <row r="831" spans="1:21" ht="15" customHeight="1" x14ac:dyDescent="0.2">
      <c r="A831" t="s">
        <v>1137</v>
      </c>
      <c r="B831" t="s">
        <v>227</v>
      </c>
      <c r="C831" t="s">
        <v>55</v>
      </c>
      <c r="D831" s="49">
        <v>45961</v>
      </c>
      <c r="E831" s="49">
        <v>45963</v>
      </c>
      <c r="F831" s="49">
        <v>45966</v>
      </c>
      <c r="G831" s="49">
        <v>45970</v>
      </c>
      <c r="H831" s="49">
        <v>45974</v>
      </c>
      <c r="I831" s="49">
        <v>45976</v>
      </c>
      <c r="J831" t="s">
        <v>47</v>
      </c>
      <c r="K831" s="33">
        <v>3000</v>
      </c>
      <c r="M831" t="str">
        <f>_xlfn.XLOOKUP(Pipeline_tbl[[#This Row],[Rep_ID]],Dim_Reps!A:A,Dim_Reps!K:K)</f>
        <v>EUR</v>
      </c>
      <c r="N831" s="33">
        <f>(_xlfn.XLOOKUP(Pipeline_tbl[[#This Row],[Rate_Code_Generalized]],Lookups!A:A,Lookups!B:B))*Pipeline_tbl[[#This Row],[Pipeline_Amount_USD]]</f>
        <v>3000</v>
      </c>
      <c r="O831" t="str">
        <f>_xlfn.XLOOKUP(Pipeline_tbl[[#This Row],[Rep_ID]],Dim_Reps!A:A,Dim_Reps!B:B)</f>
        <v>Liam Muller</v>
      </c>
      <c r="P831" t="str">
        <f>_xlfn.XLOOKUP(Pipeline_tbl[[#This Row],[Rep_ID]],Dim_Reps!A:A,Dim_Reps!C:C)</f>
        <v>SDR / Inside Sales Rep</v>
      </c>
      <c r="Q831" t="str">
        <f>_xlfn.XLOOKUP(Pipeline_tbl[[#This Row],[Rep_ID]],Dim_Reps!A:A,Dim_Reps!D:D)</f>
        <v>Inside Sales</v>
      </c>
      <c r="R831" t="str">
        <f>_xlfn.XLOOKUP(Pipeline_tbl[[#This Row],[Rep_ID]],Dim_Reps!A:A,Dim_Reps!E:E)</f>
        <v>EMEA</v>
      </c>
      <c r="S831" t="str">
        <f>_xlfn.XLOOKUP(Pipeline_tbl[[#This Row],[Created_Date]],Dim_Date!A:A,Dim_Date!H:H)</f>
        <v>Oct 2025</v>
      </c>
      <c r="T831" t="str">
        <f>IF(Pipeline_tbl[[#This Row],[Closed_Date]]=0,"",(_xlfn.XLOOKUP(Pipeline_tbl[[#This Row],[Closed_Date]],Dim_Date!A:A,Dim_Date!H:H)))</f>
        <v>Nov 2025</v>
      </c>
      <c r="U831">
        <f>IF(Pipeline_tbl[[#This Row],[Closed_Date]]=0,"",Pipeline_tbl[[#This Row],[Closed_Date]]-Pipeline_tbl[[#This Row],[Created_Date]])</f>
        <v>15</v>
      </c>
    </row>
    <row r="832" spans="1:21" ht="15" customHeight="1" x14ac:dyDescent="0.2">
      <c r="A832" t="s">
        <v>1138</v>
      </c>
      <c r="B832" t="s">
        <v>227</v>
      </c>
      <c r="C832" t="s">
        <v>52</v>
      </c>
      <c r="D832" s="49">
        <v>45948</v>
      </c>
      <c r="E832" s="49">
        <v>45950</v>
      </c>
      <c r="F832" s="49">
        <v>45953</v>
      </c>
      <c r="G832" s="49">
        <v>45959</v>
      </c>
      <c r="I832" s="49">
        <v>45966</v>
      </c>
      <c r="J832" t="s">
        <v>49</v>
      </c>
      <c r="K832" s="33">
        <v>4000</v>
      </c>
      <c r="L832" t="s">
        <v>61</v>
      </c>
      <c r="M832" t="str">
        <f>_xlfn.XLOOKUP(Pipeline_tbl[[#This Row],[Rep_ID]],Dim_Reps!A:A,Dim_Reps!K:K)</f>
        <v>EUR</v>
      </c>
      <c r="N832" s="33">
        <f>(_xlfn.XLOOKUP(Pipeline_tbl[[#This Row],[Rate_Code_Generalized]],Lookups!A:A,Lookups!B:B))*Pipeline_tbl[[#This Row],[Pipeline_Amount_USD]]</f>
        <v>4000</v>
      </c>
      <c r="O832" t="str">
        <f>_xlfn.XLOOKUP(Pipeline_tbl[[#This Row],[Rep_ID]],Dim_Reps!A:A,Dim_Reps!B:B)</f>
        <v>Liam Muller</v>
      </c>
      <c r="P832" t="str">
        <f>_xlfn.XLOOKUP(Pipeline_tbl[[#This Row],[Rep_ID]],Dim_Reps!A:A,Dim_Reps!C:C)</f>
        <v>SDR / Inside Sales Rep</v>
      </c>
      <c r="Q832" t="str">
        <f>_xlfn.XLOOKUP(Pipeline_tbl[[#This Row],[Rep_ID]],Dim_Reps!A:A,Dim_Reps!D:D)</f>
        <v>Inside Sales</v>
      </c>
      <c r="R832" t="str">
        <f>_xlfn.XLOOKUP(Pipeline_tbl[[#This Row],[Rep_ID]],Dim_Reps!A:A,Dim_Reps!E:E)</f>
        <v>EMEA</v>
      </c>
      <c r="S832" t="str">
        <f>_xlfn.XLOOKUP(Pipeline_tbl[[#This Row],[Created_Date]],Dim_Date!A:A,Dim_Date!H:H)</f>
        <v>Oct 2025</v>
      </c>
      <c r="T832" t="str">
        <f>IF(Pipeline_tbl[[#This Row],[Closed_Date]]=0,"",(_xlfn.XLOOKUP(Pipeline_tbl[[#This Row],[Closed_Date]],Dim_Date!A:A,Dim_Date!H:H)))</f>
        <v>Nov 2025</v>
      </c>
      <c r="U832">
        <f>IF(Pipeline_tbl[[#This Row],[Closed_Date]]=0,"",Pipeline_tbl[[#This Row],[Closed_Date]]-Pipeline_tbl[[#This Row],[Created_Date]])</f>
        <v>18</v>
      </c>
    </row>
    <row r="833" spans="1:21" ht="15" customHeight="1" x14ac:dyDescent="0.2">
      <c r="A833" t="s">
        <v>1139</v>
      </c>
      <c r="B833" t="s">
        <v>227</v>
      </c>
      <c r="C833" t="s">
        <v>53</v>
      </c>
      <c r="D833" s="49">
        <v>45947</v>
      </c>
      <c r="E833" s="49">
        <v>45949</v>
      </c>
      <c r="F833" s="49">
        <v>45954</v>
      </c>
      <c r="G833" s="49">
        <v>45960</v>
      </c>
      <c r="H833" s="49">
        <v>45966</v>
      </c>
      <c r="I833" s="49">
        <v>45969</v>
      </c>
      <c r="J833" t="s">
        <v>49</v>
      </c>
      <c r="K833" s="33">
        <v>4500</v>
      </c>
      <c r="L833" t="s">
        <v>62</v>
      </c>
      <c r="M833" t="str">
        <f>_xlfn.XLOOKUP(Pipeline_tbl[[#This Row],[Rep_ID]],Dim_Reps!A:A,Dim_Reps!K:K)</f>
        <v>EUR</v>
      </c>
      <c r="N833" s="33">
        <f>(_xlfn.XLOOKUP(Pipeline_tbl[[#This Row],[Rate_Code_Generalized]],Lookups!A:A,Lookups!B:B))*Pipeline_tbl[[#This Row],[Pipeline_Amount_USD]]</f>
        <v>4500</v>
      </c>
      <c r="O833" t="str">
        <f>_xlfn.XLOOKUP(Pipeline_tbl[[#This Row],[Rep_ID]],Dim_Reps!A:A,Dim_Reps!B:B)</f>
        <v>Liam Muller</v>
      </c>
      <c r="P833" t="str">
        <f>_xlfn.XLOOKUP(Pipeline_tbl[[#This Row],[Rep_ID]],Dim_Reps!A:A,Dim_Reps!C:C)</f>
        <v>SDR / Inside Sales Rep</v>
      </c>
      <c r="Q833" t="str">
        <f>_xlfn.XLOOKUP(Pipeline_tbl[[#This Row],[Rep_ID]],Dim_Reps!A:A,Dim_Reps!D:D)</f>
        <v>Inside Sales</v>
      </c>
      <c r="R833" t="str">
        <f>_xlfn.XLOOKUP(Pipeline_tbl[[#This Row],[Rep_ID]],Dim_Reps!A:A,Dim_Reps!E:E)</f>
        <v>EMEA</v>
      </c>
      <c r="S833" t="str">
        <f>_xlfn.XLOOKUP(Pipeline_tbl[[#This Row],[Created_Date]],Dim_Date!A:A,Dim_Date!H:H)</f>
        <v>Oct 2025</v>
      </c>
      <c r="T833" t="str">
        <f>IF(Pipeline_tbl[[#This Row],[Closed_Date]]=0,"",(_xlfn.XLOOKUP(Pipeline_tbl[[#This Row],[Closed_Date]],Dim_Date!A:A,Dim_Date!H:H)))</f>
        <v>Nov 2025</v>
      </c>
      <c r="U833">
        <f>IF(Pipeline_tbl[[#This Row],[Closed_Date]]=0,"",Pipeline_tbl[[#This Row],[Closed_Date]]-Pipeline_tbl[[#This Row],[Created_Date]])</f>
        <v>22</v>
      </c>
    </row>
    <row r="834" spans="1:21" ht="15" customHeight="1" x14ac:dyDescent="0.2">
      <c r="A834" t="s">
        <v>1140</v>
      </c>
      <c r="B834" t="s">
        <v>227</v>
      </c>
      <c r="C834" t="s">
        <v>52</v>
      </c>
      <c r="D834" s="49">
        <v>45951</v>
      </c>
      <c r="E834" s="49">
        <v>45952</v>
      </c>
      <c r="F834" s="49">
        <v>45955</v>
      </c>
      <c r="G834" s="49">
        <v>45958</v>
      </c>
      <c r="H834" s="49">
        <v>45961</v>
      </c>
      <c r="I834" s="49">
        <v>45963</v>
      </c>
      <c r="J834" t="s">
        <v>49</v>
      </c>
      <c r="K834" s="33">
        <v>4600</v>
      </c>
      <c r="L834" t="s">
        <v>61</v>
      </c>
      <c r="M834" t="str">
        <f>_xlfn.XLOOKUP(Pipeline_tbl[[#This Row],[Rep_ID]],Dim_Reps!A:A,Dim_Reps!K:K)</f>
        <v>EUR</v>
      </c>
      <c r="N834" s="33">
        <f>(_xlfn.XLOOKUP(Pipeline_tbl[[#This Row],[Rate_Code_Generalized]],Lookups!A:A,Lookups!B:B))*Pipeline_tbl[[#This Row],[Pipeline_Amount_USD]]</f>
        <v>4600</v>
      </c>
      <c r="O834" t="str">
        <f>_xlfn.XLOOKUP(Pipeline_tbl[[#This Row],[Rep_ID]],Dim_Reps!A:A,Dim_Reps!B:B)</f>
        <v>Liam Muller</v>
      </c>
      <c r="P834" t="str">
        <f>_xlfn.XLOOKUP(Pipeline_tbl[[#This Row],[Rep_ID]],Dim_Reps!A:A,Dim_Reps!C:C)</f>
        <v>SDR / Inside Sales Rep</v>
      </c>
      <c r="Q834" t="str">
        <f>_xlfn.XLOOKUP(Pipeline_tbl[[#This Row],[Rep_ID]],Dim_Reps!A:A,Dim_Reps!D:D)</f>
        <v>Inside Sales</v>
      </c>
      <c r="R834" t="str">
        <f>_xlfn.XLOOKUP(Pipeline_tbl[[#This Row],[Rep_ID]],Dim_Reps!A:A,Dim_Reps!E:E)</f>
        <v>EMEA</v>
      </c>
      <c r="S834" t="str">
        <f>_xlfn.XLOOKUP(Pipeline_tbl[[#This Row],[Created_Date]],Dim_Date!A:A,Dim_Date!H:H)</f>
        <v>Oct 2025</v>
      </c>
      <c r="T834" t="str">
        <f>IF(Pipeline_tbl[[#This Row],[Closed_Date]]=0,"",(_xlfn.XLOOKUP(Pipeline_tbl[[#This Row],[Closed_Date]],Dim_Date!A:A,Dim_Date!H:H)))</f>
        <v>Nov 2025</v>
      </c>
      <c r="U834">
        <f>IF(Pipeline_tbl[[#This Row],[Closed_Date]]=0,"",Pipeline_tbl[[#This Row],[Closed_Date]]-Pipeline_tbl[[#This Row],[Created_Date]])</f>
        <v>12</v>
      </c>
    </row>
    <row r="835" spans="1:21" ht="15" customHeight="1" x14ac:dyDescent="0.2">
      <c r="A835" t="s">
        <v>1141</v>
      </c>
      <c r="B835" t="s">
        <v>227</v>
      </c>
      <c r="C835" t="s">
        <v>52</v>
      </c>
      <c r="D835" s="49">
        <v>45944</v>
      </c>
      <c r="E835" s="49">
        <v>45946</v>
      </c>
      <c r="F835" s="49">
        <v>45949</v>
      </c>
      <c r="G835" s="49">
        <v>45955</v>
      </c>
      <c r="H835" s="49">
        <v>45959</v>
      </c>
      <c r="I835" s="49">
        <v>45962</v>
      </c>
      <c r="J835" t="s">
        <v>47</v>
      </c>
      <c r="K835" s="33">
        <v>5900</v>
      </c>
      <c r="M835" t="str">
        <f>_xlfn.XLOOKUP(Pipeline_tbl[[#This Row],[Rep_ID]],Dim_Reps!A:A,Dim_Reps!K:K)</f>
        <v>EUR</v>
      </c>
      <c r="N835" s="33">
        <f>(_xlfn.XLOOKUP(Pipeline_tbl[[#This Row],[Rate_Code_Generalized]],Lookups!A:A,Lookups!B:B))*Pipeline_tbl[[#This Row],[Pipeline_Amount_USD]]</f>
        <v>5900</v>
      </c>
      <c r="O835" t="str">
        <f>_xlfn.XLOOKUP(Pipeline_tbl[[#This Row],[Rep_ID]],Dim_Reps!A:A,Dim_Reps!B:B)</f>
        <v>Liam Muller</v>
      </c>
      <c r="P835" t="str">
        <f>_xlfn.XLOOKUP(Pipeline_tbl[[#This Row],[Rep_ID]],Dim_Reps!A:A,Dim_Reps!C:C)</f>
        <v>SDR / Inside Sales Rep</v>
      </c>
      <c r="Q835" t="str">
        <f>_xlfn.XLOOKUP(Pipeline_tbl[[#This Row],[Rep_ID]],Dim_Reps!A:A,Dim_Reps!D:D)</f>
        <v>Inside Sales</v>
      </c>
      <c r="R835" t="str">
        <f>_xlfn.XLOOKUP(Pipeline_tbl[[#This Row],[Rep_ID]],Dim_Reps!A:A,Dim_Reps!E:E)</f>
        <v>EMEA</v>
      </c>
      <c r="S835" t="str">
        <f>_xlfn.XLOOKUP(Pipeline_tbl[[#This Row],[Created_Date]],Dim_Date!A:A,Dim_Date!H:H)</f>
        <v>Oct 2025</v>
      </c>
      <c r="T835" t="str">
        <f>IF(Pipeline_tbl[[#This Row],[Closed_Date]]=0,"",(_xlfn.XLOOKUP(Pipeline_tbl[[#This Row],[Closed_Date]],Dim_Date!A:A,Dim_Date!H:H)))</f>
        <v>Nov 2025</v>
      </c>
      <c r="U835">
        <f>IF(Pipeline_tbl[[#This Row],[Closed_Date]]=0,"",Pipeline_tbl[[#This Row],[Closed_Date]]-Pipeline_tbl[[#This Row],[Created_Date]])</f>
        <v>18</v>
      </c>
    </row>
    <row r="836" spans="1:21" ht="15" customHeight="1" x14ac:dyDescent="0.2">
      <c r="A836" t="s">
        <v>1142</v>
      </c>
      <c r="B836" t="s">
        <v>227</v>
      </c>
      <c r="C836" t="s">
        <v>55</v>
      </c>
      <c r="D836" s="49">
        <v>45952</v>
      </c>
      <c r="E836" s="49">
        <v>45954</v>
      </c>
      <c r="F836" s="49">
        <v>45959</v>
      </c>
      <c r="G836" s="49">
        <v>45965</v>
      </c>
      <c r="H836" s="49">
        <v>45971</v>
      </c>
      <c r="I836" s="49">
        <v>45974</v>
      </c>
      <c r="J836" t="s">
        <v>47</v>
      </c>
      <c r="K836" s="33">
        <v>2400</v>
      </c>
      <c r="M836" t="str">
        <f>_xlfn.XLOOKUP(Pipeline_tbl[[#This Row],[Rep_ID]],Dim_Reps!A:A,Dim_Reps!K:K)</f>
        <v>EUR</v>
      </c>
      <c r="N836" s="33">
        <f>(_xlfn.XLOOKUP(Pipeline_tbl[[#This Row],[Rate_Code_Generalized]],Lookups!A:A,Lookups!B:B))*Pipeline_tbl[[#This Row],[Pipeline_Amount_USD]]</f>
        <v>2400</v>
      </c>
      <c r="O836" t="str">
        <f>_xlfn.XLOOKUP(Pipeline_tbl[[#This Row],[Rep_ID]],Dim_Reps!A:A,Dim_Reps!B:B)</f>
        <v>Liam Muller</v>
      </c>
      <c r="P836" t="str">
        <f>_xlfn.XLOOKUP(Pipeline_tbl[[#This Row],[Rep_ID]],Dim_Reps!A:A,Dim_Reps!C:C)</f>
        <v>SDR / Inside Sales Rep</v>
      </c>
      <c r="Q836" t="str">
        <f>_xlfn.XLOOKUP(Pipeline_tbl[[#This Row],[Rep_ID]],Dim_Reps!A:A,Dim_Reps!D:D)</f>
        <v>Inside Sales</v>
      </c>
      <c r="R836" t="str">
        <f>_xlfn.XLOOKUP(Pipeline_tbl[[#This Row],[Rep_ID]],Dim_Reps!A:A,Dim_Reps!E:E)</f>
        <v>EMEA</v>
      </c>
      <c r="S836" t="str">
        <f>_xlfn.XLOOKUP(Pipeline_tbl[[#This Row],[Created_Date]],Dim_Date!A:A,Dim_Date!H:H)</f>
        <v>Oct 2025</v>
      </c>
      <c r="T836" t="str">
        <f>IF(Pipeline_tbl[[#This Row],[Closed_Date]]=0,"",(_xlfn.XLOOKUP(Pipeline_tbl[[#This Row],[Closed_Date]],Dim_Date!A:A,Dim_Date!H:H)))</f>
        <v>Nov 2025</v>
      </c>
      <c r="U836">
        <f>IF(Pipeline_tbl[[#This Row],[Closed_Date]]=0,"",Pipeline_tbl[[#This Row],[Closed_Date]]-Pipeline_tbl[[#This Row],[Created_Date]])</f>
        <v>22</v>
      </c>
    </row>
    <row r="837" spans="1:21" ht="15" customHeight="1" x14ac:dyDescent="0.2">
      <c r="A837" t="s">
        <v>1143</v>
      </c>
      <c r="B837" t="s">
        <v>227</v>
      </c>
      <c r="C837" t="s">
        <v>53</v>
      </c>
      <c r="D837" s="49">
        <v>45946</v>
      </c>
      <c r="E837" s="49">
        <v>45949</v>
      </c>
      <c r="F837" s="49">
        <v>45954</v>
      </c>
      <c r="G837" s="49">
        <v>45962</v>
      </c>
      <c r="H837" s="49">
        <v>45968</v>
      </c>
      <c r="I837" s="49">
        <v>45972</v>
      </c>
      <c r="J837" t="s">
        <v>47</v>
      </c>
      <c r="K837" s="33">
        <v>2400</v>
      </c>
      <c r="M837" t="str">
        <f>_xlfn.XLOOKUP(Pipeline_tbl[[#This Row],[Rep_ID]],Dim_Reps!A:A,Dim_Reps!K:K)</f>
        <v>EUR</v>
      </c>
      <c r="N837" s="33">
        <f>(_xlfn.XLOOKUP(Pipeline_tbl[[#This Row],[Rate_Code_Generalized]],Lookups!A:A,Lookups!B:B))*Pipeline_tbl[[#This Row],[Pipeline_Amount_USD]]</f>
        <v>2400</v>
      </c>
      <c r="O837" t="str">
        <f>_xlfn.XLOOKUP(Pipeline_tbl[[#This Row],[Rep_ID]],Dim_Reps!A:A,Dim_Reps!B:B)</f>
        <v>Liam Muller</v>
      </c>
      <c r="P837" t="str">
        <f>_xlfn.XLOOKUP(Pipeline_tbl[[#This Row],[Rep_ID]],Dim_Reps!A:A,Dim_Reps!C:C)</f>
        <v>SDR / Inside Sales Rep</v>
      </c>
      <c r="Q837" t="str">
        <f>_xlfn.XLOOKUP(Pipeline_tbl[[#This Row],[Rep_ID]],Dim_Reps!A:A,Dim_Reps!D:D)</f>
        <v>Inside Sales</v>
      </c>
      <c r="R837" t="str">
        <f>_xlfn.XLOOKUP(Pipeline_tbl[[#This Row],[Rep_ID]],Dim_Reps!A:A,Dim_Reps!E:E)</f>
        <v>EMEA</v>
      </c>
      <c r="S837" t="str">
        <f>_xlfn.XLOOKUP(Pipeline_tbl[[#This Row],[Created_Date]],Dim_Date!A:A,Dim_Date!H:H)</f>
        <v>Oct 2025</v>
      </c>
      <c r="T837" t="str">
        <f>IF(Pipeline_tbl[[#This Row],[Closed_Date]]=0,"",(_xlfn.XLOOKUP(Pipeline_tbl[[#This Row],[Closed_Date]],Dim_Date!A:A,Dim_Date!H:H)))</f>
        <v>Nov 2025</v>
      </c>
      <c r="U837">
        <f>IF(Pipeline_tbl[[#This Row],[Closed_Date]]=0,"",Pipeline_tbl[[#This Row],[Closed_Date]]-Pipeline_tbl[[#This Row],[Created_Date]])</f>
        <v>26</v>
      </c>
    </row>
    <row r="838" spans="1:21" ht="15" customHeight="1" x14ac:dyDescent="0.2">
      <c r="A838" t="s">
        <v>1144</v>
      </c>
      <c r="B838" t="s">
        <v>191</v>
      </c>
      <c r="C838" t="s">
        <v>53</v>
      </c>
      <c r="D838" s="49">
        <v>45932</v>
      </c>
      <c r="E838" s="49">
        <v>45937</v>
      </c>
      <c r="F838" s="49">
        <v>45948</v>
      </c>
      <c r="G838" s="49">
        <v>45964</v>
      </c>
      <c r="H838" s="49">
        <v>45977</v>
      </c>
      <c r="I838" s="49">
        <v>45985</v>
      </c>
      <c r="J838" t="s">
        <v>47</v>
      </c>
      <c r="K838" s="33">
        <v>39000</v>
      </c>
      <c r="M838" t="str">
        <f>_xlfn.XLOOKUP(Pipeline_tbl[[#This Row],[Rep_ID]],Dim_Reps!A:A,Dim_Reps!K:K)</f>
        <v>USD</v>
      </c>
      <c r="N838" s="33">
        <f>(_xlfn.XLOOKUP(Pipeline_tbl[[#This Row],[Rate_Code_Generalized]],Lookups!A:A,Lookups!B:B))*Pipeline_tbl[[#This Row],[Pipeline_Amount_USD]]</f>
        <v>45407.7</v>
      </c>
      <c r="O838" t="str">
        <f>_xlfn.XLOOKUP(Pipeline_tbl[[#This Row],[Rep_ID]],Dim_Reps!A:A,Dim_Reps!B:B)</f>
        <v>Zara Duarte</v>
      </c>
      <c r="P838" t="str">
        <f>_xlfn.XLOOKUP(Pipeline_tbl[[#This Row],[Rep_ID]],Dim_Reps!A:A,Dim_Reps!C:C)</f>
        <v>Enterprise AE</v>
      </c>
      <c r="Q838" t="str">
        <f>_xlfn.XLOOKUP(Pipeline_tbl[[#This Row],[Rep_ID]],Dim_Reps!A:A,Dim_Reps!D:D)</f>
        <v>Enterprise</v>
      </c>
      <c r="R838" t="str">
        <f>_xlfn.XLOOKUP(Pipeline_tbl[[#This Row],[Rep_ID]],Dim_Reps!A:A,Dim_Reps!E:E)</f>
        <v>NAMER</v>
      </c>
      <c r="S838" t="str">
        <f>_xlfn.XLOOKUP(Pipeline_tbl[[#This Row],[Created_Date]],Dim_Date!A:A,Dim_Date!H:H)</f>
        <v>Oct 2025</v>
      </c>
      <c r="T838" t="str">
        <f>IF(Pipeline_tbl[[#This Row],[Closed_Date]]=0,"",(_xlfn.XLOOKUP(Pipeline_tbl[[#This Row],[Closed_Date]],Dim_Date!A:A,Dim_Date!H:H)))</f>
        <v>Nov 2025</v>
      </c>
      <c r="U838">
        <f>IF(Pipeline_tbl[[#This Row],[Closed_Date]]=0,"",Pipeline_tbl[[#This Row],[Closed_Date]]-Pipeline_tbl[[#This Row],[Created_Date]])</f>
        <v>53</v>
      </c>
    </row>
    <row r="839" spans="1:21" ht="15" customHeight="1" x14ac:dyDescent="0.2">
      <c r="A839" t="s">
        <v>1145</v>
      </c>
      <c r="B839" t="s">
        <v>229</v>
      </c>
      <c r="C839" t="s">
        <v>53</v>
      </c>
      <c r="D839" s="49">
        <v>45954</v>
      </c>
      <c r="E839" s="49">
        <v>45957</v>
      </c>
      <c r="F839" s="49">
        <v>45962</v>
      </c>
      <c r="I839" s="49">
        <v>45982</v>
      </c>
      <c r="J839" t="s">
        <v>49</v>
      </c>
      <c r="K839" s="33">
        <v>2200</v>
      </c>
      <c r="L839" t="s">
        <v>61</v>
      </c>
      <c r="M839" t="str">
        <f>_xlfn.XLOOKUP(Pipeline_tbl[[#This Row],[Rep_ID]],Dim_Reps!A:A,Dim_Reps!K:K)</f>
        <v>USD</v>
      </c>
      <c r="N839" s="33">
        <f>(_xlfn.XLOOKUP(Pipeline_tbl[[#This Row],[Rate_Code_Generalized]],Lookups!A:A,Lookups!B:B))*Pipeline_tbl[[#This Row],[Pipeline_Amount_USD]]</f>
        <v>2561.4599999999996</v>
      </c>
      <c r="O839" t="str">
        <f>_xlfn.XLOOKUP(Pipeline_tbl[[#This Row],[Rep_ID]],Dim_Reps!A:A,Dim_Reps!B:B)</f>
        <v>Liam Castro</v>
      </c>
      <c r="P839" t="str">
        <f>_xlfn.XLOOKUP(Pipeline_tbl[[#This Row],[Rep_ID]],Dim_Reps!A:A,Dim_Reps!C:C)</f>
        <v>SDR / Inside Sales Rep</v>
      </c>
      <c r="Q839" t="str">
        <f>_xlfn.XLOOKUP(Pipeline_tbl[[#This Row],[Rep_ID]],Dim_Reps!A:A,Dim_Reps!D:D)</f>
        <v>Inside Sales</v>
      </c>
      <c r="R839" t="str">
        <f>_xlfn.XLOOKUP(Pipeline_tbl[[#This Row],[Rep_ID]],Dim_Reps!A:A,Dim_Reps!E:E)</f>
        <v>NAMER</v>
      </c>
      <c r="S839" t="str">
        <f>_xlfn.XLOOKUP(Pipeline_tbl[[#This Row],[Created_Date]],Dim_Date!A:A,Dim_Date!H:H)</f>
        <v>Oct 2025</v>
      </c>
      <c r="T839" t="str">
        <f>IF(Pipeline_tbl[[#This Row],[Closed_Date]]=0,"",(_xlfn.XLOOKUP(Pipeline_tbl[[#This Row],[Closed_Date]],Dim_Date!A:A,Dim_Date!H:H)))</f>
        <v>Nov 2025</v>
      </c>
      <c r="U839">
        <f>IF(Pipeline_tbl[[#This Row],[Closed_Date]]=0,"",Pipeline_tbl[[#This Row],[Closed_Date]]-Pipeline_tbl[[#This Row],[Created_Date]])</f>
        <v>28</v>
      </c>
    </row>
    <row r="840" spans="1:21" ht="15" customHeight="1" x14ac:dyDescent="0.2">
      <c r="A840" t="s">
        <v>1146</v>
      </c>
      <c r="B840" t="s">
        <v>229</v>
      </c>
      <c r="C840" t="s">
        <v>54</v>
      </c>
      <c r="D840" s="49">
        <v>45955</v>
      </c>
      <c r="E840" s="49">
        <v>45957</v>
      </c>
      <c r="F840" s="49">
        <v>45962</v>
      </c>
      <c r="G840" s="49">
        <v>45969</v>
      </c>
      <c r="H840" s="49">
        <v>45975</v>
      </c>
      <c r="I840" s="49">
        <v>45978</v>
      </c>
      <c r="J840" t="s">
        <v>47</v>
      </c>
      <c r="K840" s="33">
        <v>6700</v>
      </c>
      <c r="M840" t="str">
        <f>_xlfn.XLOOKUP(Pipeline_tbl[[#This Row],[Rep_ID]],Dim_Reps!A:A,Dim_Reps!K:K)</f>
        <v>USD</v>
      </c>
      <c r="N840" s="33">
        <f>(_xlfn.XLOOKUP(Pipeline_tbl[[#This Row],[Rate_Code_Generalized]],Lookups!A:A,Lookups!B:B))*Pipeline_tbl[[#This Row],[Pipeline_Amount_USD]]</f>
        <v>7800.8099999999995</v>
      </c>
      <c r="O840" t="str">
        <f>_xlfn.XLOOKUP(Pipeline_tbl[[#This Row],[Rep_ID]],Dim_Reps!A:A,Dim_Reps!B:B)</f>
        <v>Liam Castro</v>
      </c>
      <c r="P840" t="str">
        <f>_xlfn.XLOOKUP(Pipeline_tbl[[#This Row],[Rep_ID]],Dim_Reps!A:A,Dim_Reps!C:C)</f>
        <v>SDR / Inside Sales Rep</v>
      </c>
      <c r="Q840" t="str">
        <f>_xlfn.XLOOKUP(Pipeline_tbl[[#This Row],[Rep_ID]],Dim_Reps!A:A,Dim_Reps!D:D)</f>
        <v>Inside Sales</v>
      </c>
      <c r="R840" t="str">
        <f>_xlfn.XLOOKUP(Pipeline_tbl[[#This Row],[Rep_ID]],Dim_Reps!A:A,Dim_Reps!E:E)</f>
        <v>NAMER</v>
      </c>
      <c r="S840" t="str">
        <f>_xlfn.XLOOKUP(Pipeline_tbl[[#This Row],[Created_Date]],Dim_Date!A:A,Dim_Date!H:H)</f>
        <v>Oct 2025</v>
      </c>
      <c r="T840" t="str">
        <f>IF(Pipeline_tbl[[#This Row],[Closed_Date]]=0,"",(_xlfn.XLOOKUP(Pipeline_tbl[[#This Row],[Closed_Date]],Dim_Date!A:A,Dim_Date!H:H)))</f>
        <v>Nov 2025</v>
      </c>
      <c r="U840">
        <f>IF(Pipeline_tbl[[#This Row],[Closed_Date]]=0,"",Pipeline_tbl[[#This Row],[Closed_Date]]-Pipeline_tbl[[#This Row],[Created_Date]])</f>
        <v>23</v>
      </c>
    </row>
    <row r="841" spans="1:21" ht="15" customHeight="1" x14ac:dyDescent="0.2">
      <c r="A841" t="s">
        <v>1147</v>
      </c>
      <c r="B841" t="s">
        <v>229</v>
      </c>
      <c r="C841" t="s">
        <v>56</v>
      </c>
      <c r="D841" s="49">
        <v>45958</v>
      </c>
      <c r="E841" s="49">
        <v>45960</v>
      </c>
      <c r="I841" s="49">
        <v>45979</v>
      </c>
      <c r="J841" t="s">
        <v>49</v>
      </c>
      <c r="K841" s="33">
        <v>2100</v>
      </c>
      <c r="L841" t="s">
        <v>60</v>
      </c>
      <c r="M841" t="str">
        <f>_xlfn.XLOOKUP(Pipeline_tbl[[#This Row],[Rep_ID]],Dim_Reps!A:A,Dim_Reps!K:K)</f>
        <v>USD</v>
      </c>
      <c r="N841" s="33">
        <f>(_xlfn.XLOOKUP(Pipeline_tbl[[#This Row],[Rate_Code_Generalized]],Lookups!A:A,Lookups!B:B))*Pipeline_tbl[[#This Row],[Pipeline_Amount_USD]]</f>
        <v>2445.0299999999997</v>
      </c>
      <c r="O841" t="str">
        <f>_xlfn.XLOOKUP(Pipeline_tbl[[#This Row],[Rep_ID]],Dim_Reps!A:A,Dim_Reps!B:B)</f>
        <v>Liam Castro</v>
      </c>
      <c r="P841" t="str">
        <f>_xlfn.XLOOKUP(Pipeline_tbl[[#This Row],[Rep_ID]],Dim_Reps!A:A,Dim_Reps!C:C)</f>
        <v>SDR / Inside Sales Rep</v>
      </c>
      <c r="Q841" t="str">
        <f>_xlfn.XLOOKUP(Pipeline_tbl[[#This Row],[Rep_ID]],Dim_Reps!A:A,Dim_Reps!D:D)</f>
        <v>Inside Sales</v>
      </c>
      <c r="R841" t="str">
        <f>_xlfn.XLOOKUP(Pipeline_tbl[[#This Row],[Rep_ID]],Dim_Reps!A:A,Dim_Reps!E:E)</f>
        <v>NAMER</v>
      </c>
      <c r="S841" t="str">
        <f>_xlfn.XLOOKUP(Pipeline_tbl[[#This Row],[Created_Date]],Dim_Date!A:A,Dim_Date!H:H)</f>
        <v>Oct 2025</v>
      </c>
      <c r="T841" t="str">
        <f>IF(Pipeline_tbl[[#This Row],[Closed_Date]]=0,"",(_xlfn.XLOOKUP(Pipeline_tbl[[#This Row],[Closed_Date]],Dim_Date!A:A,Dim_Date!H:H)))</f>
        <v>Nov 2025</v>
      </c>
      <c r="U841">
        <f>IF(Pipeline_tbl[[#This Row],[Closed_Date]]=0,"",Pipeline_tbl[[#This Row],[Closed_Date]]-Pipeline_tbl[[#This Row],[Created_Date]])</f>
        <v>21</v>
      </c>
    </row>
    <row r="842" spans="1:21" ht="15" customHeight="1" x14ac:dyDescent="0.2">
      <c r="A842" t="s">
        <v>1148</v>
      </c>
      <c r="B842" t="s">
        <v>229</v>
      </c>
      <c r="C842" t="s">
        <v>56</v>
      </c>
      <c r="D842" s="49">
        <v>45954</v>
      </c>
      <c r="E842" s="49">
        <v>45956</v>
      </c>
      <c r="F842" s="49">
        <v>45959</v>
      </c>
      <c r="G842" s="49">
        <v>45963</v>
      </c>
      <c r="I842" s="49">
        <v>45969</v>
      </c>
      <c r="J842" t="s">
        <v>49</v>
      </c>
      <c r="K842" s="33">
        <v>2500</v>
      </c>
      <c r="L842" t="s">
        <v>61</v>
      </c>
      <c r="M842" t="str">
        <f>_xlfn.XLOOKUP(Pipeline_tbl[[#This Row],[Rep_ID]],Dim_Reps!A:A,Dim_Reps!K:K)</f>
        <v>USD</v>
      </c>
      <c r="N842" s="33">
        <f>(_xlfn.XLOOKUP(Pipeline_tbl[[#This Row],[Rate_Code_Generalized]],Lookups!A:A,Lookups!B:B))*Pipeline_tbl[[#This Row],[Pipeline_Amount_USD]]</f>
        <v>2910.7499999999995</v>
      </c>
      <c r="O842" t="str">
        <f>_xlfn.XLOOKUP(Pipeline_tbl[[#This Row],[Rep_ID]],Dim_Reps!A:A,Dim_Reps!B:B)</f>
        <v>Liam Castro</v>
      </c>
      <c r="P842" t="str">
        <f>_xlfn.XLOOKUP(Pipeline_tbl[[#This Row],[Rep_ID]],Dim_Reps!A:A,Dim_Reps!C:C)</f>
        <v>SDR / Inside Sales Rep</v>
      </c>
      <c r="Q842" t="str">
        <f>_xlfn.XLOOKUP(Pipeline_tbl[[#This Row],[Rep_ID]],Dim_Reps!A:A,Dim_Reps!D:D)</f>
        <v>Inside Sales</v>
      </c>
      <c r="R842" t="str">
        <f>_xlfn.XLOOKUP(Pipeline_tbl[[#This Row],[Rep_ID]],Dim_Reps!A:A,Dim_Reps!E:E)</f>
        <v>NAMER</v>
      </c>
      <c r="S842" t="str">
        <f>_xlfn.XLOOKUP(Pipeline_tbl[[#This Row],[Created_Date]],Dim_Date!A:A,Dim_Date!H:H)</f>
        <v>Oct 2025</v>
      </c>
      <c r="T842" t="str">
        <f>IF(Pipeline_tbl[[#This Row],[Closed_Date]]=0,"",(_xlfn.XLOOKUP(Pipeline_tbl[[#This Row],[Closed_Date]],Dim_Date!A:A,Dim_Date!H:H)))</f>
        <v>Nov 2025</v>
      </c>
      <c r="U842">
        <f>IF(Pipeline_tbl[[#This Row],[Closed_Date]]=0,"",Pipeline_tbl[[#This Row],[Closed_Date]]-Pipeline_tbl[[#This Row],[Created_Date]])</f>
        <v>15</v>
      </c>
    </row>
    <row r="843" spans="1:21" ht="15" customHeight="1" x14ac:dyDescent="0.2">
      <c r="A843" t="s">
        <v>1149</v>
      </c>
      <c r="B843" t="s">
        <v>229</v>
      </c>
      <c r="C843" t="s">
        <v>52</v>
      </c>
      <c r="D843" s="49">
        <v>45959</v>
      </c>
      <c r="E843" s="49">
        <v>45961</v>
      </c>
      <c r="F843" s="49">
        <v>45966</v>
      </c>
      <c r="G843" s="49">
        <v>45973</v>
      </c>
      <c r="I843" s="49">
        <v>45982</v>
      </c>
      <c r="J843" t="s">
        <v>49</v>
      </c>
      <c r="K843" s="33">
        <v>1300</v>
      </c>
      <c r="L843" t="s">
        <v>61</v>
      </c>
      <c r="M843" t="str">
        <f>_xlfn.XLOOKUP(Pipeline_tbl[[#This Row],[Rep_ID]],Dim_Reps!A:A,Dim_Reps!K:K)</f>
        <v>USD</v>
      </c>
      <c r="N843" s="33">
        <f>(_xlfn.XLOOKUP(Pipeline_tbl[[#This Row],[Rate_Code_Generalized]],Lookups!A:A,Lookups!B:B))*Pipeline_tbl[[#This Row],[Pipeline_Amount_USD]]</f>
        <v>1513.59</v>
      </c>
      <c r="O843" t="str">
        <f>_xlfn.XLOOKUP(Pipeline_tbl[[#This Row],[Rep_ID]],Dim_Reps!A:A,Dim_Reps!B:B)</f>
        <v>Liam Castro</v>
      </c>
      <c r="P843" t="str">
        <f>_xlfn.XLOOKUP(Pipeline_tbl[[#This Row],[Rep_ID]],Dim_Reps!A:A,Dim_Reps!C:C)</f>
        <v>SDR / Inside Sales Rep</v>
      </c>
      <c r="Q843" t="str">
        <f>_xlfn.XLOOKUP(Pipeline_tbl[[#This Row],[Rep_ID]],Dim_Reps!A:A,Dim_Reps!D:D)</f>
        <v>Inside Sales</v>
      </c>
      <c r="R843" t="str">
        <f>_xlfn.XLOOKUP(Pipeline_tbl[[#This Row],[Rep_ID]],Dim_Reps!A:A,Dim_Reps!E:E)</f>
        <v>NAMER</v>
      </c>
      <c r="S843" t="str">
        <f>_xlfn.XLOOKUP(Pipeline_tbl[[#This Row],[Created_Date]],Dim_Date!A:A,Dim_Date!H:H)</f>
        <v>Oct 2025</v>
      </c>
      <c r="T843" t="str">
        <f>IF(Pipeline_tbl[[#This Row],[Closed_Date]]=0,"",(_xlfn.XLOOKUP(Pipeline_tbl[[#This Row],[Closed_Date]],Dim_Date!A:A,Dim_Date!H:H)))</f>
        <v>Nov 2025</v>
      </c>
      <c r="U843">
        <f>IF(Pipeline_tbl[[#This Row],[Closed_Date]]=0,"",Pipeline_tbl[[#This Row],[Closed_Date]]-Pipeline_tbl[[#This Row],[Created_Date]])</f>
        <v>23</v>
      </c>
    </row>
    <row r="844" spans="1:21" ht="15" customHeight="1" x14ac:dyDescent="0.2">
      <c r="A844" t="s">
        <v>1150</v>
      </c>
      <c r="B844" t="s">
        <v>229</v>
      </c>
      <c r="C844" t="s">
        <v>52</v>
      </c>
      <c r="D844" s="49">
        <v>45955</v>
      </c>
      <c r="E844" s="49">
        <v>45958</v>
      </c>
      <c r="F844" s="49">
        <v>45964</v>
      </c>
      <c r="G844" s="49">
        <v>45973</v>
      </c>
      <c r="H844" s="49">
        <v>45981</v>
      </c>
      <c r="I844" s="49">
        <v>45985</v>
      </c>
      <c r="J844" t="s">
        <v>47</v>
      </c>
      <c r="K844" s="33">
        <v>6700</v>
      </c>
      <c r="M844" t="str">
        <f>_xlfn.XLOOKUP(Pipeline_tbl[[#This Row],[Rep_ID]],Dim_Reps!A:A,Dim_Reps!K:K)</f>
        <v>USD</v>
      </c>
      <c r="N844" s="33">
        <f>(_xlfn.XLOOKUP(Pipeline_tbl[[#This Row],[Rate_Code_Generalized]],Lookups!A:A,Lookups!B:B))*Pipeline_tbl[[#This Row],[Pipeline_Amount_USD]]</f>
        <v>7800.8099999999995</v>
      </c>
      <c r="O844" t="str">
        <f>_xlfn.XLOOKUP(Pipeline_tbl[[#This Row],[Rep_ID]],Dim_Reps!A:A,Dim_Reps!B:B)</f>
        <v>Liam Castro</v>
      </c>
      <c r="P844" t="str">
        <f>_xlfn.XLOOKUP(Pipeline_tbl[[#This Row],[Rep_ID]],Dim_Reps!A:A,Dim_Reps!C:C)</f>
        <v>SDR / Inside Sales Rep</v>
      </c>
      <c r="Q844" t="str">
        <f>_xlfn.XLOOKUP(Pipeline_tbl[[#This Row],[Rep_ID]],Dim_Reps!A:A,Dim_Reps!D:D)</f>
        <v>Inside Sales</v>
      </c>
      <c r="R844" t="str">
        <f>_xlfn.XLOOKUP(Pipeline_tbl[[#This Row],[Rep_ID]],Dim_Reps!A:A,Dim_Reps!E:E)</f>
        <v>NAMER</v>
      </c>
      <c r="S844" t="str">
        <f>_xlfn.XLOOKUP(Pipeline_tbl[[#This Row],[Created_Date]],Dim_Date!A:A,Dim_Date!H:H)</f>
        <v>Oct 2025</v>
      </c>
      <c r="T844" t="str">
        <f>IF(Pipeline_tbl[[#This Row],[Closed_Date]]=0,"",(_xlfn.XLOOKUP(Pipeline_tbl[[#This Row],[Closed_Date]],Dim_Date!A:A,Dim_Date!H:H)))</f>
        <v>Nov 2025</v>
      </c>
      <c r="U844">
        <f>IF(Pipeline_tbl[[#This Row],[Closed_Date]]=0,"",Pipeline_tbl[[#This Row],[Closed_Date]]-Pipeline_tbl[[#This Row],[Created_Date]])</f>
        <v>30</v>
      </c>
    </row>
    <row r="845" spans="1:21" ht="15" customHeight="1" x14ac:dyDescent="0.2">
      <c r="A845" t="s">
        <v>1151</v>
      </c>
      <c r="B845" t="s">
        <v>231</v>
      </c>
      <c r="C845" t="s">
        <v>54</v>
      </c>
      <c r="D845" s="49">
        <v>45956</v>
      </c>
      <c r="E845" s="49">
        <v>45958</v>
      </c>
      <c r="F845" s="49">
        <v>45961</v>
      </c>
      <c r="G845" s="49">
        <v>45966</v>
      </c>
      <c r="H845" s="49">
        <v>45970</v>
      </c>
      <c r="I845" s="49">
        <v>45973</v>
      </c>
      <c r="J845" t="s">
        <v>47</v>
      </c>
      <c r="K845" s="33">
        <v>3000</v>
      </c>
      <c r="M845" t="str">
        <f>_xlfn.XLOOKUP(Pipeline_tbl[[#This Row],[Rep_ID]],Dim_Reps!A:A,Dim_Reps!K:K)</f>
        <v>MXN</v>
      </c>
      <c r="N845" s="33">
        <f>(_xlfn.XLOOKUP(Pipeline_tbl[[#This Row],[Rate_Code_Generalized]],Lookups!A:A,Lookups!B:B))*Pipeline_tbl[[#This Row],[Pipeline_Amount_USD]]</f>
        <v>59198.100000000006</v>
      </c>
      <c r="O845" t="str">
        <f>_xlfn.XLOOKUP(Pipeline_tbl[[#This Row],[Rep_ID]],Dim_Reps!A:A,Dim_Reps!B:B)</f>
        <v>Ben Silva</v>
      </c>
      <c r="P845" t="str">
        <f>_xlfn.XLOOKUP(Pipeline_tbl[[#This Row],[Rep_ID]],Dim_Reps!A:A,Dim_Reps!C:C)</f>
        <v>SDR / Inside Sales Rep</v>
      </c>
      <c r="Q845" t="str">
        <f>_xlfn.XLOOKUP(Pipeline_tbl[[#This Row],[Rep_ID]],Dim_Reps!A:A,Dim_Reps!D:D)</f>
        <v>Inside Sales</v>
      </c>
      <c r="R845" t="str">
        <f>_xlfn.XLOOKUP(Pipeline_tbl[[#This Row],[Rep_ID]],Dim_Reps!A:A,Dim_Reps!E:E)</f>
        <v>LATAM</v>
      </c>
      <c r="S845" t="str">
        <f>_xlfn.XLOOKUP(Pipeline_tbl[[#This Row],[Created_Date]],Dim_Date!A:A,Dim_Date!H:H)</f>
        <v>Oct 2025</v>
      </c>
      <c r="T845" t="str">
        <f>IF(Pipeline_tbl[[#This Row],[Closed_Date]]=0,"",(_xlfn.XLOOKUP(Pipeline_tbl[[#This Row],[Closed_Date]],Dim_Date!A:A,Dim_Date!H:H)))</f>
        <v>Nov 2025</v>
      </c>
      <c r="U845">
        <f>IF(Pipeline_tbl[[#This Row],[Closed_Date]]=0,"",Pipeline_tbl[[#This Row],[Closed_Date]]-Pipeline_tbl[[#This Row],[Created_Date]])</f>
        <v>17</v>
      </c>
    </row>
    <row r="846" spans="1:21" ht="15" customHeight="1" x14ac:dyDescent="0.2">
      <c r="A846" t="s">
        <v>1152</v>
      </c>
      <c r="B846" t="s">
        <v>231</v>
      </c>
      <c r="C846" t="s">
        <v>54</v>
      </c>
      <c r="D846" s="49">
        <v>45952</v>
      </c>
      <c r="E846" s="49">
        <v>45954</v>
      </c>
      <c r="F846" s="49">
        <v>45957</v>
      </c>
      <c r="I846" s="49">
        <v>45968</v>
      </c>
      <c r="J846" t="s">
        <v>49</v>
      </c>
      <c r="K846" s="33">
        <v>2700</v>
      </c>
      <c r="L846" t="s">
        <v>61</v>
      </c>
      <c r="M846" t="str">
        <f>_xlfn.XLOOKUP(Pipeline_tbl[[#This Row],[Rep_ID]],Dim_Reps!A:A,Dim_Reps!K:K)</f>
        <v>MXN</v>
      </c>
      <c r="N846" s="33">
        <f>(_xlfn.XLOOKUP(Pipeline_tbl[[#This Row],[Rate_Code_Generalized]],Lookups!A:A,Lookups!B:B))*Pipeline_tbl[[#This Row],[Pipeline_Amount_USD]]</f>
        <v>53278.29</v>
      </c>
      <c r="O846" t="str">
        <f>_xlfn.XLOOKUP(Pipeline_tbl[[#This Row],[Rep_ID]],Dim_Reps!A:A,Dim_Reps!B:B)</f>
        <v>Ben Silva</v>
      </c>
      <c r="P846" t="str">
        <f>_xlfn.XLOOKUP(Pipeline_tbl[[#This Row],[Rep_ID]],Dim_Reps!A:A,Dim_Reps!C:C)</f>
        <v>SDR / Inside Sales Rep</v>
      </c>
      <c r="Q846" t="str">
        <f>_xlfn.XLOOKUP(Pipeline_tbl[[#This Row],[Rep_ID]],Dim_Reps!A:A,Dim_Reps!D:D)</f>
        <v>Inside Sales</v>
      </c>
      <c r="R846" t="str">
        <f>_xlfn.XLOOKUP(Pipeline_tbl[[#This Row],[Rep_ID]],Dim_Reps!A:A,Dim_Reps!E:E)</f>
        <v>LATAM</v>
      </c>
      <c r="S846" t="str">
        <f>_xlfn.XLOOKUP(Pipeline_tbl[[#This Row],[Created_Date]],Dim_Date!A:A,Dim_Date!H:H)</f>
        <v>Oct 2025</v>
      </c>
      <c r="T846" t="str">
        <f>IF(Pipeline_tbl[[#This Row],[Closed_Date]]=0,"",(_xlfn.XLOOKUP(Pipeline_tbl[[#This Row],[Closed_Date]],Dim_Date!A:A,Dim_Date!H:H)))</f>
        <v>Nov 2025</v>
      </c>
      <c r="U846">
        <f>IF(Pipeline_tbl[[#This Row],[Closed_Date]]=0,"",Pipeline_tbl[[#This Row],[Closed_Date]]-Pipeline_tbl[[#This Row],[Created_Date]])</f>
        <v>16</v>
      </c>
    </row>
    <row r="847" spans="1:21" ht="15" customHeight="1" x14ac:dyDescent="0.2">
      <c r="A847" t="s">
        <v>1153</v>
      </c>
      <c r="B847" t="s">
        <v>231</v>
      </c>
      <c r="C847" t="s">
        <v>53</v>
      </c>
      <c r="D847" s="49">
        <v>45957</v>
      </c>
      <c r="E847" s="49">
        <v>45958</v>
      </c>
      <c r="F847" s="49">
        <v>45960</v>
      </c>
      <c r="G847" s="49">
        <v>45963</v>
      </c>
      <c r="H847" s="49">
        <v>45965</v>
      </c>
      <c r="I847" s="49">
        <v>45967</v>
      </c>
      <c r="J847" t="s">
        <v>47</v>
      </c>
      <c r="K847" s="33">
        <v>1500</v>
      </c>
      <c r="M847" t="str">
        <f>_xlfn.XLOOKUP(Pipeline_tbl[[#This Row],[Rep_ID]],Dim_Reps!A:A,Dim_Reps!K:K)</f>
        <v>MXN</v>
      </c>
      <c r="N847" s="33">
        <f>(_xlfn.XLOOKUP(Pipeline_tbl[[#This Row],[Rate_Code_Generalized]],Lookups!A:A,Lookups!B:B))*Pipeline_tbl[[#This Row],[Pipeline_Amount_USD]]</f>
        <v>29599.050000000003</v>
      </c>
      <c r="O847" t="str">
        <f>_xlfn.XLOOKUP(Pipeline_tbl[[#This Row],[Rep_ID]],Dim_Reps!A:A,Dim_Reps!B:B)</f>
        <v>Ben Silva</v>
      </c>
      <c r="P847" t="str">
        <f>_xlfn.XLOOKUP(Pipeline_tbl[[#This Row],[Rep_ID]],Dim_Reps!A:A,Dim_Reps!C:C)</f>
        <v>SDR / Inside Sales Rep</v>
      </c>
      <c r="Q847" t="str">
        <f>_xlfn.XLOOKUP(Pipeline_tbl[[#This Row],[Rep_ID]],Dim_Reps!A:A,Dim_Reps!D:D)</f>
        <v>Inside Sales</v>
      </c>
      <c r="R847" t="str">
        <f>_xlfn.XLOOKUP(Pipeline_tbl[[#This Row],[Rep_ID]],Dim_Reps!A:A,Dim_Reps!E:E)</f>
        <v>LATAM</v>
      </c>
      <c r="S847" t="str">
        <f>_xlfn.XLOOKUP(Pipeline_tbl[[#This Row],[Created_Date]],Dim_Date!A:A,Dim_Date!H:H)</f>
        <v>Oct 2025</v>
      </c>
      <c r="T847" t="str">
        <f>IF(Pipeline_tbl[[#This Row],[Closed_Date]]=0,"",(_xlfn.XLOOKUP(Pipeline_tbl[[#This Row],[Closed_Date]],Dim_Date!A:A,Dim_Date!H:H)))</f>
        <v>Nov 2025</v>
      </c>
      <c r="U847">
        <f>IF(Pipeline_tbl[[#This Row],[Closed_Date]]=0,"",Pipeline_tbl[[#This Row],[Closed_Date]]-Pipeline_tbl[[#This Row],[Created_Date]])</f>
        <v>10</v>
      </c>
    </row>
    <row r="848" spans="1:21" ht="15" customHeight="1" x14ac:dyDescent="0.2">
      <c r="A848" t="s">
        <v>1154</v>
      </c>
      <c r="B848" t="s">
        <v>231</v>
      </c>
      <c r="C848" t="s">
        <v>54</v>
      </c>
      <c r="D848" s="49">
        <v>45953</v>
      </c>
      <c r="E848" s="49">
        <v>45955</v>
      </c>
      <c r="F848" s="49">
        <v>45960</v>
      </c>
      <c r="G848" s="49">
        <v>45966</v>
      </c>
      <c r="I848" s="49">
        <v>45975</v>
      </c>
      <c r="J848" t="s">
        <v>49</v>
      </c>
      <c r="K848" s="33">
        <v>2500</v>
      </c>
      <c r="L848" t="s">
        <v>62</v>
      </c>
      <c r="M848" t="str">
        <f>_xlfn.XLOOKUP(Pipeline_tbl[[#This Row],[Rep_ID]],Dim_Reps!A:A,Dim_Reps!K:K)</f>
        <v>MXN</v>
      </c>
      <c r="N848" s="33">
        <f>(_xlfn.XLOOKUP(Pipeline_tbl[[#This Row],[Rate_Code_Generalized]],Lookups!A:A,Lookups!B:B))*Pipeline_tbl[[#This Row],[Pipeline_Amount_USD]]</f>
        <v>49331.75</v>
      </c>
      <c r="O848" t="str">
        <f>_xlfn.XLOOKUP(Pipeline_tbl[[#This Row],[Rep_ID]],Dim_Reps!A:A,Dim_Reps!B:B)</f>
        <v>Ben Silva</v>
      </c>
      <c r="P848" t="str">
        <f>_xlfn.XLOOKUP(Pipeline_tbl[[#This Row],[Rep_ID]],Dim_Reps!A:A,Dim_Reps!C:C)</f>
        <v>SDR / Inside Sales Rep</v>
      </c>
      <c r="Q848" t="str">
        <f>_xlfn.XLOOKUP(Pipeline_tbl[[#This Row],[Rep_ID]],Dim_Reps!A:A,Dim_Reps!D:D)</f>
        <v>Inside Sales</v>
      </c>
      <c r="R848" t="str">
        <f>_xlfn.XLOOKUP(Pipeline_tbl[[#This Row],[Rep_ID]],Dim_Reps!A:A,Dim_Reps!E:E)</f>
        <v>LATAM</v>
      </c>
      <c r="S848" t="str">
        <f>_xlfn.XLOOKUP(Pipeline_tbl[[#This Row],[Created_Date]],Dim_Date!A:A,Dim_Date!H:H)</f>
        <v>Oct 2025</v>
      </c>
      <c r="T848" t="str">
        <f>IF(Pipeline_tbl[[#This Row],[Closed_Date]]=0,"",(_xlfn.XLOOKUP(Pipeline_tbl[[#This Row],[Closed_Date]],Dim_Date!A:A,Dim_Date!H:H)))</f>
        <v>Nov 2025</v>
      </c>
      <c r="U848">
        <f>IF(Pipeline_tbl[[#This Row],[Closed_Date]]=0,"",Pipeline_tbl[[#This Row],[Closed_Date]]-Pipeline_tbl[[#This Row],[Created_Date]])</f>
        <v>22</v>
      </c>
    </row>
    <row r="849" spans="1:21" ht="15" customHeight="1" x14ac:dyDescent="0.2">
      <c r="A849" t="s">
        <v>1155</v>
      </c>
      <c r="B849" t="s">
        <v>231</v>
      </c>
      <c r="C849" t="s">
        <v>52</v>
      </c>
      <c r="D849" s="49">
        <v>45953</v>
      </c>
      <c r="E849" s="49">
        <v>45954</v>
      </c>
      <c r="F849" s="49">
        <v>45956</v>
      </c>
      <c r="G849" s="49">
        <v>45960</v>
      </c>
      <c r="H849" s="49">
        <v>45962</v>
      </c>
      <c r="I849" s="49">
        <v>45964</v>
      </c>
      <c r="J849" t="s">
        <v>47</v>
      </c>
      <c r="K849" s="33">
        <v>7000</v>
      </c>
      <c r="M849" t="str">
        <f>_xlfn.XLOOKUP(Pipeline_tbl[[#This Row],[Rep_ID]],Dim_Reps!A:A,Dim_Reps!K:K)</f>
        <v>MXN</v>
      </c>
      <c r="N849" s="33">
        <f>(_xlfn.XLOOKUP(Pipeline_tbl[[#This Row],[Rate_Code_Generalized]],Lookups!A:A,Lookups!B:B))*Pipeline_tbl[[#This Row],[Pipeline_Amount_USD]]</f>
        <v>138128.9</v>
      </c>
      <c r="O849" t="str">
        <f>_xlfn.XLOOKUP(Pipeline_tbl[[#This Row],[Rep_ID]],Dim_Reps!A:A,Dim_Reps!B:B)</f>
        <v>Ben Silva</v>
      </c>
      <c r="P849" t="str">
        <f>_xlfn.XLOOKUP(Pipeline_tbl[[#This Row],[Rep_ID]],Dim_Reps!A:A,Dim_Reps!C:C)</f>
        <v>SDR / Inside Sales Rep</v>
      </c>
      <c r="Q849" t="str">
        <f>_xlfn.XLOOKUP(Pipeline_tbl[[#This Row],[Rep_ID]],Dim_Reps!A:A,Dim_Reps!D:D)</f>
        <v>Inside Sales</v>
      </c>
      <c r="R849" t="str">
        <f>_xlfn.XLOOKUP(Pipeline_tbl[[#This Row],[Rep_ID]],Dim_Reps!A:A,Dim_Reps!E:E)</f>
        <v>LATAM</v>
      </c>
      <c r="S849" t="str">
        <f>_xlfn.XLOOKUP(Pipeline_tbl[[#This Row],[Created_Date]],Dim_Date!A:A,Dim_Date!H:H)</f>
        <v>Oct 2025</v>
      </c>
      <c r="T849" t="str">
        <f>IF(Pipeline_tbl[[#This Row],[Closed_Date]]=0,"",(_xlfn.XLOOKUP(Pipeline_tbl[[#This Row],[Closed_Date]],Dim_Date!A:A,Dim_Date!H:H)))</f>
        <v>Nov 2025</v>
      </c>
      <c r="U849">
        <f>IF(Pipeline_tbl[[#This Row],[Closed_Date]]=0,"",Pipeline_tbl[[#This Row],[Closed_Date]]-Pipeline_tbl[[#This Row],[Created_Date]])</f>
        <v>11</v>
      </c>
    </row>
    <row r="850" spans="1:21" ht="15" customHeight="1" x14ac:dyDescent="0.2">
      <c r="A850" t="s">
        <v>1156</v>
      </c>
      <c r="B850" t="s">
        <v>231</v>
      </c>
      <c r="C850" t="s">
        <v>53</v>
      </c>
      <c r="D850" s="49">
        <v>45950</v>
      </c>
      <c r="E850" s="49">
        <v>45953</v>
      </c>
      <c r="F850" s="49">
        <v>45959</v>
      </c>
      <c r="G850" s="49">
        <v>45968</v>
      </c>
      <c r="H850" s="49">
        <v>45976</v>
      </c>
      <c r="I850" s="49">
        <v>45980</v>
      </c>
      <c r="J850" t="s">
        <v>47</v>
      </c>
      <c r="K850" s="33">
        <v>7500</v>
      </c>
      <c r="M850" t="str">
        <f>_xlfn.XLOOKUP(Pipeline_tbl[[#This Row],[Rep_ID]],Dim_Reps!A:A,Dim_Reps!K:K)</f>
        <v>MXN</v>
      </c>
      <c r="N850" s="33">
        <f>(_xlfn.XLOOKUP(Pipeline_tbl[[#This Row],[Rate_Code_Generalized]],Lookups!A:A,Lookups!B:B))*Pipeline_tbl[[#This Row],[Pipeline_Amount_USD]]</f>
        <v>147995.25</v>
      </c>
      <c r="O850" t="str">
        <f>_xlfn.XLOOKUP(Pipeline_tbl[[#This Row],[Rep_ID]],Dim_Reps!A:A,Dim_Reps!B:B)</f>
        <v>Ben Silva</v>
      </c>
      <c r="P850" t="str">
        <f>_xlfn.XLOOKUP(Pipeline_tbl[[#This Row],[Rep_ID]],Dim_Reps!A:A,Dim_Reps!C:C)</f>
        <v>SDR / Inside Sales Rep</v>
      </c>
      <c r="Q850" t="str">
        <f>_xlfn.XLOOKUP(Pipeline_tbl[[#This Row],[Rep_ID]],Dim_Reps!A:A,Dim_Reps!D:D)</f>
        <v>Inside Sales</v>
      </c>
      <c r="R850" t="str">
        <f>_xlfn.XLOOKUP(Pipeline_tbl[[#This Row],[Rep_ID]],Dim_Reps!A:A,Dim_Reps!E:E)</f>
        <v>LATAM</v>
      </c>
      <c r="S850" t="str">
        <f>_xlfn.XLOOKUP(Pipeline_tbl[[#This Row],[Created_Date]],Dim_Date!A:A,Dim_Date!H:H)</f>
        <v>Oct 2025</v>
      </c>
      <c r="T850" t="str">
        <f>IF(Pipeline_tbl[[#This Row],[Closed_Date]]=0,"",(_xlfn.XLOOKUP(Pipeline_tbl[[#This Row],[Closed_Date]],Dim_Date!A:A,Dim_Date!H:H)))</f>
        <v>Nov 2025</v>
      </c>
      <c r="U850">
        <f>IF(Pipeline_tbl[[#This Row],[Closed_Date]]=0,"",Pipeline_tbl[[#This Row],[Closed_Date]]-Pipeline_tbl[[#This Row],[Created_Date]])</f>
        <v>30</v>
      </c>
    </row>
    <row r="851" spans="1:21" ht="15" customHeight="1" x14ac:dyDescent="0.2">
      <c r="A851" t="s">
        <v>1157</v>
      </c>
      <c r="B851" t="s">
        <v>231</v>
      </c>
      <c r="C851" t="s">
        <v>54</v>
      </c>
      <c r="D851" s="49">
        <v>45957</v>
      </c>
      <c r="E851" s="49">
        <v>45959</v>
      </c>
      <c r="F851" s="49">
        <v>45962</v>
      </c>
      <c r="G851" s="49">
        <v>45968</v>
      </c>
      <c r="H851" s="49">
        <v>45972</v>
      </c>
      <c r="I851" s="49">
        <v>45975</v>
      </c>
      <c r="J851" t="s">
        <v>49</v>
      </c>
      <c r="K851" s="33">
        <v>3000</v>
      </c>
      <c r="L851" t="s">
        <v>60</v>
      </c>
      <c r="M851" t="str">
        <f>_xlfn.XLOOKUP(Pipeline_tbl[[#This Row],[Rep_ID]],Dim_Reps!A:A,Dim_Reps!K:K)</f>
        <v>MXN</v>
      </c>
      <c r="N851" s="33">
        <f>(_xlfn.XLOOKUP(Pipeline_tbl[[#This Row],[Rate_Code_Generalized]],Lookups!A:A,Lookups!B:B))*Pipeline_tbl[[#This Row],[Pipeline_Amount_USD]]</f>
        <v>59198.100000000006</v>
      </c>
      <c r="O851" t="str">
        <f>_xlfn.XLOOKUP(Pipeline_tbl[[#This Row],[Rep_ID]],Dim_Reps!A:A,Dim_Reps!B:B)</f>
        <v>Ben Silva</v>
      </c>
      <c r="P851" t="str">
        <f>_xlfn.XLOOKUP(Pipeline_tbl[[#This Row],[Rep_ID]],Dim_Reps!A:A,Dim_Reps!C:C)</f>
        <v>SDR / Inside Sales Rep</v>
      </c>
      <c r="Q851" t="str">
        <f>_xlfn.XLOOKUP(Pipeline_tbl[[#This Row],[Rep_ID]],Dim_Reps!A:A,Dim_Reps!D:D)</f>
        <v>Inside Sales</v>
      </c>
      <c r="R851" t="str">
        <f>_xlfn.XLOOKUP(Pipeline_tbl[[#This Row],[Rep_ID]],Dim_Reps!A:A,Dim_Reps!E:E)</f>
        <v>LATAM</v>
      </c>
      <c r="S851" t="str">
        <f>_xlfn.XLOOKUP(Pipeline_tbl[[#This Row],[Created_Date]],Dim_Date!A:A,Dim_Date!H:H)</f>
        <v>Oct 2025</v>
      </c>
      <c r="T851" t="str">
        <f>IF(Pipeline_tbl[[#This Row],[Closed_Date]]=0,"",(_xlfn.XLOOKUP(Pipeline_tbl[[#This Row],[Closed_Date]],Dim_Date!A:A,Dim_Date!H:H)))</f>
        <v>Nov 2025</v>
      </c>
      <c r="U851">
        <f>IF(Pipeline_tbl[[#This Row],[Closed_Date]]=0,"",Pipeline_tbl[[#This Row],[Closed_Date]]-Pipeline_tbl[[#This Row],[Created_Date]])</f>
        <v>18</v>
      </c>
    </row>
    <row r="852" spans="1:21" ht="15" customHeight="1" x14ac:dyDescent="0.2">
      <c r="A852" t="s">
        <v>1158</v>
      </c>
      <c r="B852" t="s">
        <v>231</v>
      </c>
      <c r="C852" t="s">
        <v>52</v>
      </c>
      <c r="D852" s="49">
        <v>45958</v>
      </c>
      <c r="E852" s="49">
        <v>45960</v>
      </c>
      <c r="F852" s="49">
        <v>45963</v>
      </c>
      <c r="G852" s="49">
        <v>45968</v>
      </c>
      <c r="H852" s="49">
        <v>45972</v>
      </c>
      <c r="I852" s="49">
        <v>45975</v>
      </c>
      <c r="J852" t="s">
        <v>49</v>
      </c>
      <c r="K852" s="33">
        <v>2400</v>
      </c>
      <c r="L852" t="s">
        <v>60</v>
      </c>
      <c r="M852" t="str">
        <f>_xlfn.XLOOKUP(Pipeline_tbl[[#This Row],[Rep_ID]],Dim_Reps!A:A,Dim_Reps!K:K)</f>
        <v>MXN</v>
      </c>
      <c r="N852" s="33">
        <f>(_xlfn.XLOOKUP(Pipeline_tbl[[#This Row],[Rate_Code_Generalized]],Lookups!A:A,Lookups!B:B))*Pipeline_tbl[[#This Row],[Pipeline_Amount_USD]]</f>
        <v>47358.48</v>
      </c>
      <c r="O852" t="str">
        <f>_xlfn.XLOOKUP(Pipeline_tbl[[#This Row],[Rep_ID]],Dim_Reps!A:A,Dim_Reps!B:B)</f>
        <v>Ben Silva</v>
      </c>
      <c r="P852" t="str">
        <f>_xlfn.XLOOKUP(Pipeline_tbl[[#This Row],[Rep_ID]],Dim_Reps!A:A,Dim_Reps!C:C)</f>
        <v>SDR / Inside Sales Rep</v>
      </c>
      <c r="Q852" t="str">
        <f>_xlfn.XLOOKUP(Pipeline_tbl[[#This Row],[Rep_ID]],Dim_Reps!A:A,Dim_Reps!D:D)</f>
        <v>Inside Sales</v>
      </c>
      <c r="R852" t="str">
        <f>_xlfn.XLOOKUP(Pipeline_tbl[[#This Row],[Rep_ID]],Dim_Reps!A:A,Dim_Reps!E:E)</f>
        <v>LATAM</v>
      </c>
      <c r="S852" t="str">
        <f>_xlfn.XLOOKUP(Pipeline_tbl[[#This Row],[Created_Date]],Dim_Date!A:A,Dim_Date!H:H)</f>
        <v>Oct 2025</v>
      </c>
      <c r="T852" t="str">
        <f>IF(Pipeline_tbl[[#This Row],[Closed_Date]]=0,"",(_xlfn.XLOOKUP(Pipeline_tbl[[#This Row],[Closed_Date]],Dim_Date!A:A,Dim_Date!H:H)))</f>
        <v>Nov 2025</v>
      </c>
      <c r="U852">
        <f>IF(Pipeline_tbl[[#This Row],[Closed_Date]]=0,"",Pipeline_tbl[[#This Row],[Closed_Date]]-Pipeline_tbl[[#This Row],[Created_Date]])</f>
        <v>17</v>
      </c>
    </row>
    <row r="853" spans="1:21" ht="15" customHeight="1" x14ac:dyDescent="0.2">
      <c r="A853" t="s">
        <v>1159</v>
      </c>
      <c r="B853" t="s">
        <v>263</v>
      </c>
      <c r="C853" t="s">
        <v>52</v>
      </c>
      <c r="D853" s="49">
        <v>45941</v>
      </c>
      <c r="E853" s="49">
        <v>45944</v>
      </c>
      <c r="F853" s="49">
        <v>45951</v>
      </c>
      <c r="G853" s="49">
        <v>45961</v>
      </c>
      <c r="H853" s="49">
        <v>45970</v>
      </c>
      <c r="I853" s="49">
        <v>45975</v>
      </c>
      <c r="J853" t="s">
        <v>47</v>
      </c>
      <c r="K853" s="33">
        <v>21100</v>
      </c>
      <c r="M853" t="str">
        <f>_xlfn.XLOOKUP(Pipeline_tbl[[#This Row],[Rep_ID]],Dim_Reps!A:A,Dim_Reps!K:K)</f>
        <v>USD</v>
      </c>
      <c r="N853" s="33">
        <f>(_xlfn.XLOOKUP(Pipeline_tbl[[#This Row],[Rate_Code_Generalized]],Lookups!A:A,Lookups!B:B))*Pipeline_tbl[[#This Row],[Pipeline_Amount_USD]]</f>
        <v>24566.729999999996</v>
      </c>
      <c r="O853" t="str">
        <f>_xlfn.XLOOKUP(Pipeline_tbl[[#This Row],[Rep_ID]],Dim_Reps!A:A,Dim_Reps!B:B)</f>
        <v>Morgan Weber</v>
      </c>
      <c r="P853" t="str">
        <f>_xlfn.XLOOKUP(Pipeline_tbl[[#This Row],[Rep_ID]],Dim_Reps!A:A,Dim_Reps!C:C)</f>
        <v>Mid-Market AE</v>
      </c>
      <c r="Q853" t="str">
        <f>_xlfn.XLOOKUP(Pipeline_tbl[[#This Row],[Rep_ID]],Dim_Reps!A:A,Dim_Reps!D:D)</f>
        <v>Mid-Market</v>
      </c>
      <c r="R853" t="str">
        <f>_xlfn.XLOOKUP(Pipeline_tbl[[#This Row],[Rep_ID]],Dim_Reps!A:A,Dim_Reps!E:E)</f>
        <v>NAMER</v>
      </c>
      <c r="S853" t="str">
        <f>_xlfn.XLOOKUP(Pipeline_tbl[[#This Row],[Created_Date]],Dim_Date!A:A,Dim_Date!H:H)</f>
        <v>Oct 2025</v>
      </c>
      <c r="T853" t="str">
        <f>IF(Pipeline_tbl[[#This Row],[Closed_Date]]=0,"",(_xlfn.XLOOKUP(Pipeline_tbl[[#This Row],[Closed_Date]],Dim_Date!A:A,Dim_Date!H:H)))</f>
        <v>Nov 2025</v>
      </c>
      <c r="U853">
        <f>IF(Pipeline_tbl[[#This Row],[Closed_Date]]=0,"",Pipeline_tbl[[#This Row],[Closed_Date]]-Pipeline_tbl[[#This Row],[Created_Date]])</f>
        <v>34</v>
      </c>
    </row>
    <row r="854" spans="1:21" ht="15" customHeight="1" x14ac:dyDescent="0.2">
      <c r="A854" t="s">
        <v>1160</v>
      </c>
      <c r="B854" t="s">
        <v>263</v>
      </c>
      <c r="C854" t="s">
        <v>52</v>
      </c>
      <c r="D854" s="49">
        <v>45950</v>
      </c>
      <c r="E854" s="49">
        <v>45953</v>
      </c>
      <c r="I854" s="49">
        <v>45980</v>
      </c>
      <c r="J854" t="s">
        <v>49</v>
      </c>
      <c r="K854" s="33">
        <v>8800</v>
      </c>
      <c r="L854" t="s">
        <v>64</v>
      </c>
      <c r="M854" t="str">
        <f>_xlfn.XLOOKUP(Pipeline_tbl[[#This Row],[Rep_ID]],Dim_Reps!A:A,Dim_Reps!K:K)</f>
        <v>USD</v>
      </c>
      <c r="N854" s="33">
        <f>(_xlfn.XLOOKUP(Pipeline_tbl[[#This Row],[Rate_Code_Generalized]],Lookups!A:A,Lookups!B:B))*Pipeline_tbl[[#This Row],[Pipeline_Amount_USD]]</f>
        <v>10245.839999999998</v>
      </c>
      <c r="O854" t="str">
        <f>_xlfn.XLOOKUP(Pipeline_tbl[[#This Row],[Rep_ID]],Dim_Reps!A:A,Dim_Reps!B:B)</f>
        <v>Morgan Weber</v>
      </c>
      <c r="P854" t="str">
        <f>_xlfn.XLOOKUP(Pipeline_tbl[[#This Row],[Rep_ID]],Dim_Reps!A:A,Dim_Reps!C:C)</f>
        <v>Mid-Market AE</v>
      </c>
      <c r="Q854" t="str">
        <f>_xlfn.XLOOKUP(Pipeline_tbl[[#This Row],[Rep_ID]],Dim_Reps!A:A,Dim_Reps!D:D)</f>
        <v>Mid-Market</v>
      </c>
      <c r="R854" t="str">
        <f>_xlfn.XLOOKUP(Pipeline_tbl[[#This Row],[Rep_ID]],Dim_Reps!A:A,Dim_Reps!E:E)</f>
        <v>NAMER</v>
      </c>
      <c r="S854" t="str">
        <f>_xlfn.XLOOKUP(Pipeline_tbl[[#This Row],[Created_Date]],Dim_Date!A:A,Dim_Date!H:H)</f>
        <v>Oct 2025</v>
      </c>
      <c r="T854" t="str">
        <f>IF(Pipeline_tbl[[#This Row],[Closed_Date]]=0,"",(_xlfn.XLOOKUP(Pipeline_tbl[[#This Row],[Closed_Date]],Dim_Date!A:A,Dim_Date!H:H)))</f>
        <v>Nov 2025</v>
      </c>
      <c r="U854">
        <f>IF(Pipeline_tbl[[#This Row],[Closed_Date]]=0,"",Pipeline_tbl[[#This Row],[Closed_Date]]-Pipeline_tbl[[#This Row],[Created_Date]])</f>
        <v>30</v>
      </c>
    </row>
    <row r="855" spans="1:21" ht="15" customHeight="1" x14ac:dyDescent="0.2">
      <c r="A855" t="s">
        <v>1161</v>
      </c>
      <c r="B855" t="s">
        <v>265</v>
      </c>
      <c r="C855" t="s">
        <v>53</v>
      </c>
      <c r="D855" s="49">
        <v>45935</v>
      </c>
      <c r="E855" s="49">
        <v>45940</v>
      </c>
      <c r="I855" s="49">
        <v>45982</v>
      </c>
      <c r="J855" t="s">
        <v>49</v>
      </c>
      <c r="K855" s="33">
        <v>20300</v>
      </c>
      <c r="L855" t="s">
        <v>63</v>
      </c>
      <c r="M855" t="str">
        <f>_xlfn.XLOOKUP(Pipeline_tbl[[#This Row],[Rep_ID]],Dim_Reps!A:A,Dim_Reps!K:K)</f>
        <v>EUR</v>
      </c>
      <c r="N855" s="33">
        <f>(_xlfn.XLOOKUP(Pipeline_tbl[[#This Row],[Rate_Code_Generalized]],Lookups!A:A,Lookups!B:B))*Pipeline_tbl[[#This Row],[Pipeline_Amount_USD]]</f>
        <v>20300</v>
      </c>
      <c r="O855" t="str">
        <f>_xlfn.XLOOKUP(Pipeline_tbl[[#This Row],[Rep_ID]],Dim_Reps!A:A,Dim_Reps!B:B)</f>
        <v>Erik Duarte</v>
      </c>
      <c r="P855" t="str">
        <f>_xlfn.XLOOKUP(Pipeline_tbl[[#This Row],[Rep_ID]],Dim_Reps!A:A,Dim_Reps!C:C)</f>
        <v>Mid-Market AE</v>
      </c>
      <c r="Q855" t="str">
        <f>_xlfn.XLOOKUP(Pipeline_tbl[[#This Row],[Rep_ID]],Dim_Reps!A:A,Dim_Reps!D:D)</f>
        <v>Mid-Market</v>
      </c>
      <c r="R855" t="str">
        <f>_xlfn.XLOOKUP(Pipeline_tbl[[#This Row],[Rep_ID]],Dim_Reps!A:A,Dim_Reps!E:E)</f>
        <v>EMEA</v>
      </c>
      <c r="S855" t="str">
        <f>_xlfn.XLOOKUP(Pipeline_tbl[[#This Row],[Created_Date]],Dim_Date!A:A,Dim_Date!H:H)</f>
        <v>Oct 2025</v>
      </c>
      <c r="T855" t="str">
        <f>IF(Pipeline_tbl[[#This Row],[Closed_Date]]=0,"",(_xlfn.XLOOKUP(Pipeline_tbl[[#This Row],[Closed_Date]],Dim_Date!A:A,Dim_Date!H:H)))</f>
        <v>Nov 2025</v>
      </c>
      <c r="U855">
        <f>IF(Pipeline_tbl[[#This Row],[Closed_Date]]=0,"",Pipeline_tbl[[#This Row],[Closed_Date]]-Pipeline_tbl[[#This Row],[Created_Date]])</f>
        <v>47</v>
      </c>
    </row>
    <row r="856" spans="1:21" ht="15" customHeight="1" x14ac:dyDescent="0.2">
      <c r="A856" t="s">
        <v>1162</v>
      </c>
      <c r="B856" t="s">
        <v>265</v>
      </c>
      <c r="C856" t="s">
        <v>52</v>
      </c>
      <c r="D856" s="49">
        <v>45936</v>
      </c>
      <c r="E856" s="49">
        <v>45941</v>
      </c>
      <c r="F856" s="49">
        <v>45950</v>
      </c>
      <c r="G856" s="49">
        <v>45964</v>
      </c>
      <c r="H856" s="49">
        <v>45975</v>
      </c>
      <c r="I856" s="49">
        <v>45982</v>
      </c>
      <c r="J856" t="s">
        <v>47</v>
      </c>
      <c r="K856" s="33">
        <v>12100</v>
      </c>
      <c r="M856" t="str">
        <f>_xlfn.XLOOKUP(Pipeline_tbl[[#This Row],[Rep_ID]],Dim_Reps!A:A,Dim_Reps!K:K)</f>
        <v>EUR</v>
      </c>
      <c r="N856" s="33">
        <f>(_xlfn.XLOOKUP(Pipeline_tbl[[#This Row],[Rate_Code_Generalized]],Lookups!A:A,Lookups!B:B))*Pipeline_tbl[[#This Row],[Pipeline_Amount_USD]]</f>
        <v>12100</v>
      </c>
      <c r="O856" t="str">
        <f>_xlfn.XLOOKUP(Pipeline_tbl[[#This Row],[Rep_ID]],Dim_Reps!A:A,Dim_Reps!B:B)</f>
        <v>Erik Duarte</v>
      </c>
      <c r="P856" t="str">
        <f>_xlfn.XLOOKUP(Pipeline_tbl[[#This Row],[Rep_ID]],Dim_Reps!A:A,Dim_Reps!C:C)</f>
        <v>Mid-Market AE</v>
      </c>
      <c r="Q856" t="str">
        <f>_xlfn.XLOOKUP(Pipeline_tbl[[#This Row],[Rep_ID]],Dim_Reps!A:A,Dim_Reps!D:D)</f>
        <v>Mid-Market</v>
      </c>
      <c r="R856" t="str">
        <f>_xlfn.XLOOKUP(Pipeline_tbl[[#This Row],[Rep_ID]],Dim_Reps!A:A,Dim_Reps!E:E)</f>
        <v>EMEA</v>
      </c>
      <c r="S856" t="str">
        <f>_xlfn.XLOOKUP(Pipeline_tbl[[#This Row],[Created_Date]],Dim_Date!A:A,Dim_Date!H:H)</f>
        <v>Oct 2025</v>
      </c>
      <c r="T856" t="str">
        <f>IF(Pipeline_tbl[[#This Row],[Closed_Date]]=0,"",(_xlfn.XLOOKUP(Pipeline_tbl[[#This Row],[Closed_Date]],Dim_Date!A:A,Dim_Date!H:H)))</f>
        <v>Nov 2025</v>
      </c>
      <c r="U856">
        <f>IF(Pipeline_tbl[[#This Row],[Closed_Date]]=0,"",Pipeline_tbl[[#This Row],[Closed_Date]]-Pipeline_tbl[[#This Row],[Created_Date]])</f>
        <v>46</v>
      </c>
    </row>
    <row r="857" spans="1:21" ht="15" customHeight="1" x14ac:dyDescent="0.2">
      <c r="A857" t="s">
        <v>1163</v>
      </c>
      <c r="B857" t="s">
        <v>265</v>
      </c>
      <c r="C857" t="s">
        <v>55</v>
      </c>
      <c r="D857" s="49">
        <v>45931</v>
      </c>
      <c r="E857" s="49">
        <v>45935</v>
      </c>
      <c r="F857" s="49">
        <v>45943</v>
      </c>
      <c r="I857" s="49">
        <v>45972</v>
      </c>
      <c r="J857" t="s">
        <v>49</v>
      </c>
      <c r="K857" s="33">
        <v>6500</v>
      </c>
      <c r="L857" t="s">
        <v>62</v>
      </c>
      <c r="M857" t="str">
        <f>_xlfn.XLOOKUP(Pipeline_tbl[[#This Row],[Rep_ID]],Dim_Reps!A:A,Dim_Reps!K:K)</f>
        <v>EUR</v>
      </c>
      <c r="N857" s="33">
        <f>(_xlfn.XLOOKUP(Pipeline_tbl[[#This Row],[Rate_Code_Generalized]],Lookups!A:A,Lookups!B:B))*Pipeline_tbl[[#This Row],[Pipeline_Amount_USD]]</f>
        <v>6500</v>
      </c>
      <c r="O857" t="str">
        <f>_xlfn.XLOOKUP(Pipeline_tbl[[#This Row],[Rep_ID]],Dim_Reps!A:A,Dim_Reps!B:B)</f>
        <v>Erik Duarte</v>
      </c>
      <c r="P857" t="str">
        <f>_xlfn.XLOOKUP(Pipeline_tbl[[#This Row],[Rep_ID]],Dim_Reps!A:A,Dim_Reps!C:C)</f>
        <v>Mid-Market AE</v>
      </c>
      <c r="Q857" t="str">
        <f>_xlfn.XLOOKUP(Pipeline_tbl[[#This Row],[Rep_ID]],Dim_Reps!A:A,Dim_Reps!D:D)</f>
        <v>Mid-Market</v>
      </c>
      <c r="R857" t="str">
        <f>_xlfn.XLOOKUP(Pipeline_tbl[[#This Row],[Rep_ID]],Dim_Reps!A:A,Dim_Reps!E:E)</f>
        <v>EMEA</v>
      </c>
      <c r="S857" t="str">
        <f>_xlfn.XLOOKUP(Pipeline_tbl[[#This Row],[Created_Date]],Dim_Date!A:A,Dim_Date!H:H)</f>
        <v>Oct 2025</v>
      </c>
      <c r="T857" t="str">
        <f>IF(Pipeline_tbl[[#This Row],[Closed_Date]]=0,"",(_xlfn.XLOOKUP(Pipeline_tbl[[#This Row],[Closed_Date]],Dim_Date!A:A,Dim_Date!H:H)))</f>
        <v>Nov 2025</v>
      </c>
      <c r="U857">
        <f>IF(Pipeline_tbl[[#This Row],[Closed_Date]]=0,"",Pipeline_tbl[[#This Row],[Closed_Date]]-Pipeline_tbl[[#This Row],[Created_Date]])</f>
        <v>41</v>
      </c>
    </row>
    <row r="858" spans="1:21" ht="15" customHeight="1" x14ac:dyDescent="0.2">
      <c r="A858" t="s">
        <v>1164</v>
      </c>
      <c r="B858" t="s">
        <v>265</v>
      </c>
      <c r="C858" t="s">
        <v>52</v>
      </c>
      <c r="D858" s="49">
        <v>45949</v>
      </c>
      <c r="E858" s="49">
        <v>45953</v>
      </c>
      <c r="I858" s="49">
        <v>45987</v>
      </c>
      <c r="J858" t="s">
        <v>49</v>
      </c>
      <c r="K858" s="33">
        <v>11700</v>
      </c>
      <c r="L858" t="s">
        <v>62</v>
      </c>
      <c r="M858" t="str">
        <f>_xlfn.XLOOKUP(Pipeline_tbl[[#This Row],[Rep_ID]],Dim_Reps!A:A,Dim_Reps!K:K)</f>
        <v>EUR</v>
      </c>
      <c r="N858" s="33">
        <f>(_xlfn.XLOOKUP(Pipeline_tbl[[#This Row],[Rate_Code_Generalized]],Lookups!A:A,Lookups!B:B))*Pipeline_tbl[[#This Row],[Pipeline_Amount_USD]]</f>
        <v>11700</v>
      </c>
      <c r="O858" t="str">
        <f>_xlfn.XLOOKUP(Pipeline_tbl[[#This Row],[Rep_ID]],Dim_Reps!A:A,Dim_Reps!B:B)</f>
        <v>Erik Duarte</v>
      </c>
      <c r="P858" t="str">
        <f>_xlfn.XLOOKUP(Pipeline_tbl[[#This Row],[Rep_ID]],Dim_Reps!A:A,Dim_Reps!C:C)</f>
        <v>Mid-Market AE</v>
      </c>
      <c r="Q858" t="str">
        <f>_xlfn.XLOOKUP(Pipeline_tbl[[#This Row],[Rep_ID]],Dim_Reps!A:A,Dim_Reps!D:D)</f>
        <v>Mid-Market</v>
      </c>
      <c r="R858" t="str">
        <f>_xlfn.XLOOKUP(Pipeline_tbl[[#This Row],[Rep_ID]],Dim_Reps!A:A,Dim_Reps!E:E)</f>
        <v>EMEA</v>
      </c>
      <c r="S858" t="str">
        <f>_xlfn.XLOOKUP(Pipeline_tbl[[#This Row],[Created_Date]],Dim_Date!A:A,Dim_Date!H:H)</f>
        <v>Oct 2025</v>
      </c>
      <c r="T858" t="str">
        <f>IF(Pipeline_tbl[[#This Row],[Closed_Date]]=0,"",(_xlfn.XLOOKUP(Pipeline_tbl[[#This Row],[Closed_Date]],Dim_Date!A:A,Dim_Date!H:H)))</f>
        <v>Nov 2025</v>
      </c>
      <c r="U858">
        <f>IF(Pipeline_tbl[[#This Row],[Closed_Date]]=0,"",Pipeline_tbl[[#This Row],[Closed_Date]]-Pipeline_tbl[[#This Row],[Created_Date]])</f>
        <v>38</v>
      </c>
    </row>
    <row r="859" spans="1:21" ht="15" customHeight="1" x14ac:dyDescent="0.2">
      <c r="A859" t="s">
        <v>1165</v>
      </c>
      <c r="B859" t="s">
        <v>233</v>
      </c>
      <c r="C859" t="s">
        <v>54</v>
      </c>
      <c r="D859" s="49">
        <v>45954</v>
      </c>
      <c r="E859" s="49">
        <v>45957</v>
      </c>
      <c r="F859" s="49">
        <v>45962</v>
      </c>
      <c r="G859" s="49">
        <v>45970</v>
      </c>
      <c r="I859" s="49">
        <v>45980</v>
      </c>
      <c r="J859" t="s">
        <v>49</v>
      </c>
      <c r="K859" s="33">
        <v>2700</v>
      </c>
      <c r="L859" t="s">
        <v>64</v>
      </c>
      <c r="M859" t="str">
        <f>_xlfn.XLOOKUP(Pipeline_tbl[[#This Row],[Rep_ID]],Dim_Reps!A:A,Dim_Reps!K:K)</f>
        <v>MXN</v>
      </c>
      <c r="N859" s="33">
        <f>(_xlfn.XLOOKUP(Pipeline_tbl[[#This Row],[Rate_Code_Generalized]],Lookups!A:A,Lookups!B:B))*Pipeline_tbl[[#This Row],[Pipeline_Amount_USD]]</f>
        <v>53278.29</v>
      </c>
      <c r="O859" t="str">
        <f>_xlfn.XLOOKUP(Pipeline_tbl[[#This Row],[Rep_ID]],Dim_Reps!A:A,Dim_Reps!B:B)</f>
        <v>Lucas Duarte</v>
      </c>
      <c r="P859" t="str">
        <f>_xlfn.XLOOKUP(Pipeline_tbl[[#This Row],[Rep_ID]],Dim_Reps!A:A,Dim_Reps!C:C)</f>
        <v>SDR / Inside Sales Rep</v>
      </c>
      <c r="Q859" t="str">
        <f>_xlfn.XLOOKUP(Pipeline_tbl[[#This Row],[Rep_ID]],Dim_Reps!A:A,Dim_Reps!D:D)</f>
        <v>Inside Sales</v>
      </c>
      <c r="R859" t="str">
        <f>_xlfn.XLOOKUP(Pipeline_tbl[[#This Row],[Rep_ID]],Dim_Reps!A:A,Dim_Reps!E:E)</f>
        <v>LATAM</v>
      </c>
      <c r="S859" t="str">
        <f>_xlfn.XLOOKUP(Pipeline_tbl[[#This Row],[Created_Date]],Dim_Date!A:A,Dim_Date!H:H)</f>
        <v>Oct 2025</v>
      </c>
      <c r="T859" t="str">
        <f>IF(Pipeline_tbl[[#This Row],[Closed_Date]]=0,"",(_xlfn.XLOOKUP(Pipeline_tbl[[#This Row],[Closed_Date]],Dim_Date!A:A,Dim_Date!H:H)))</f>
        <v>Nov 2025</v>
      </c>
      <c r="U859">
        <f>IF(Pipeline_tbl[[#This Row],[Closed_Date]]=0,"",Pipeline_tbl[[#This Row],[Closed_Date]]-Pipeline_tbl[[#This Row],[Created_Date]])</f>
        <v>26</v>
      </c>
    </row>
    <row r="860" spans="1:21" ht="15" customHeight="1" x14ac:dyDescent="0.2">
      <c r="A860" t="s">
        <v>1166</v>
      </c>
      <c r="B860" t="s">
        <v>233</v>
      </c>
      <c r="C860" t="s">
        <v>53</v>
      </c>
      <c r="D860" s="49">
        <v>45960</v>
      </c>
      <c r="E860" s="49">
        <v>45962</v>
      </c>
      <c r="F860" s="49">
        <v>45966</v>
      </c>
      <c r="I860" s="49">
        <v>45979</v>
      </c>
      <c r="J860" t="s">
        <v>49</v>
      </c>
      <c r="K860" s="33">
        <v>3000</v>
      </c>
      <c r="L860" t="s">
        <v>64</v>
      </c>
      <c r="M860" t="str">
        <f>_xlfn.XLOOKUP(Pipeline_tbl[[#This Row],[Rep_ID]],Dim_Reps!A:A,Dim_Reps!K:K)</f>
        <v>MXN</v>
      </c>
      <c r="N860" s="33">
        <f>(_xlfn.XLOOKUP(Pipeline_tbl[[#This Row],[Rate_Code_Generalized]],Lookups!A:A,Lookups!B:B))*Pipeline_tbl[[#This Row],[Pipeline_Amount_USD]]</f>
        <v>59198.100000000006</v>
      </c>
      <c r="O860" t="str">
        <f>_xlfn.XLOOKUP(Pipeline_tbl[[#This Row],[Rep_ID]],Dim_Reps!A:A,Dim_Reps!B:B)</f>
        <v>Lucas Duarte</v>
      </c>
      <c r="P860" t="str">
        <f>_xlfn.XLOOKUP(Pipeline_tbl[[#This Row],[Rep_ID]],Dim_Reps!A:A,Dim_Reps!C:C)</f>
        <v>SDR / Inside Sales Rep</v>
      </c>
      <c r="Q860" t="str">
        <f>_xlfn.XLOOKUP(Pipeline_tbl[[#This Row],[Rep_ID]],Dim_Reps!A:A,Dim_Reps!D:D)</f>
        <v>Inside Sales</v>
      </c>
      <c r="R860" t="str">
        <f>_xlfn.XLOOKUP(Pipeline_tbl[[#This Row],[Rep_ID]],Dim_Reps!A:A,Dim_Reps!E:E)</f>
        <v>LATAM</v>
      </c>
      <c r="S860" t="str">
        <f>_xlfn.XLOOKUP(Pipeline_tbl[[#This Row],[Created_Date]],Dim_Date!A:A,Dim_Date!H:H)</f>
        <v>Oct 2025</v>
      </c>
      <c r="T860" t="str">
        <f>IF(Pipeline_tbl[[#This Row],[Closed_Date]]=0,"",(_xlfn.XLOOKUP(Pipeline_tbl[[#This Row],[Closed_Date]],Dim_Date!A:A,Dim_Date!H:H)))</f>
        <v>Nov 2025</v>
      </c>
      <c r="U860">
        <f>IF(Pipeline_tbl[[#This Row],[Closed_Date]]=0,"",Pipeline_tbl[[#This Row],[Closed_Date]]-Pipeline_tbl[[#This Row],[Created_Date]])</f>
        <v>19</v>
      </c>
    </row>
    <row r="861" spans="1:21" ht="15" customHeight="1" x14ac:dyDescent="0.2">
      <c r="A861" t="s">
        <v>1167</v>
      </c>
      <c r="B861" t="s">
        <v>233</v>
      </c>
      <c r="C861" t="s">
        <v>52</v>
      </c>
      <c r="D861" s="49">
        <v>45956</v>
      </c>
      <c r="E861" s="49">
        <v>45958</v>
      </c>
      <c r="F861" s="49">
        <v>45962</v>
      </c>
      <c r="G861" s="49">
        <v>45968</v>
      </c>
      <c r="I861" s="49">
        <v>45976</v>
      </c>
      <c r="J861" t="s">
        <v>49</v>
      </c>
      <c r="K861" s="33">
        <v>1900</v>
      </c>
      <c r="L861" t="s">
        <v>60</v>
      </c>
      <c r="M861" t="str">
        <f>_xlfn.XLOOKUP(Pipeline_tbl[[#This Row],[Rep_ID]],Dim_Reps!A:A,Dim_Reps!K:K)</f>
        <v>MXN</v>
      </c>
      <c r="N861" s="33">
        <f>(_xlfn.XLOOKUP(Pipeline_tbl[[#This Row],[Rate_Code_Generalized]],Lookups!A:A,Lookups!B:B))*Pipeline_tbl[[#This Row],[Pipeline_Amount_USD]]</f>
        <v>37492.130000000005</v>
      </c>
      <c r="O861" t="str">
        <f>_xlfn.XLOOKUP(Pipeline_tbl[[#This Row],[Rep_ID]],Dim_Reps!A:A,Dim_Reps!B:B)</f>
        <v>Lucas Duarte</v>
      </c>
      <c r="P861" t="str">
        <f>_xlfn.XLOOKUP(Pipeline_tbl[[#This Row],[Rep_ID]],Dim_Reps!A:A,Dim_Reps!C:C)</f>
        <v>SDR / Inside Sales Rep</v>
      </c>
      <c r="Q861" t="str">
        <f>_xlfn.XLOOKUP(Pipeline_tbl[[#This Row],[Rep_ID]],Dim_Reps!A:A,Dim_Reps!D:D)</f>
        <v>Inside Sales</v>
      </c>
      <c r="R861" t="str">
        <f>_xlfn.XLOOKUP(Pipeline_tbl[[#This Row],[Rep_ID]],Dim_Reps!A:A,Dim_Reps!E:E)</f>
        <v>LATAM</v>
      </c>
      <c r="S861" t="str">
        <f>_xlfn.XLOOKUP(Pipeline_tbl[[#This Row],[Created_Date]],Dim_Date!A:A,Dim_Date!H:H)</f>
        <v>Oct 2025</v>
      </c>
      <c r="T861" t="str">
        <f>IF(Pipeline_tbl[[#This Row],[Closed_Date]]=0,"",(_xlfn.XLOOKUP(Pipeline_tbl[[#This Row],[Closed_Date]],Dim_Date!A:A,Dim_Date!H:H)))</f>
        <v>Nov 2025</v>
      </c>
      <c r="U861">
        <f>IF(Pipeline_tbl[[#This Row],[Closed_Date]]=0,"",Pipeline_tbl[[#This Row],[Closed_Date]]-Pipeline_tbl[[#This Row],[Created_Date]])</f>
        <v>20</v>
      </c>
    </row>
    <row r="862" spans="1:21" ht="15" customHeight="1" x14ac:dyDescent="0.2">
      <c r="A862" t="s">
        <v>1168</v>
      </c>
      <c r="B862" t="s">
        <v>233</v>
      </c>
      <c r="C862" t="s">
        <v>53</v>
      </c>
      <c r="D862" s="49">
        <v>45948</v>
      </c>
      <c r="E862" s="49">
        <v>45950</v>
      </c>
      <c r="F862" s="49">
        <v>45955</v>
      </c>
      <c r="G862" s="49">
        <v>45961</v>
      </c>
      <c r="H862" s="49">
        <v>45967</v>
      </c>
      <c r="I862" s="49">
        <v>45970</v>
      </c>
      <c r="J862" t="s">
        <v>47</v>
      </c>
      <c r="K862" s="33">
        <v>2600</v>
      </c>
      <c r="M862" t="str">
        <f>_xlfn.XLOOKUP(Pipeline_tbl[[#This Row],[Rep_ID]],Dim_Reps!A:A,Dim_Reps!K:K)</f>
        <v>MXN</v>
      </c>
      <c r="N862" s="33">
        <f>(_xlfn.XLOOKUP(Pipeline_tbl[[#This Row],[Rate_Code_Generalized]],Lookups!A:A,Lookups!B:B))*Pipeline_tbl[[#This Row],[Pipeline_Amount_USD]]</f>
        <v>51305.020000000004</v>
      </c>
      <c r="O862" t="str">
        <f>_xlfn.XLOOKUP(Pipeline_tbl[[#This Row],[Rep_ID]],Dim_Reps!A:A,Dim_Reps!B:B)</f>
        <v>Lucas Duarte</v>
      </c>
      <c r="P862" t="str">
        <f>_xlfn.XLOOKUP(Pipeline_tbl[[#This Row],[Rep_ID]],Dim_Reps!A:A,Dim_Reps!C:C)</f>
        <v>SDR / Inside Sales Rep</v>
      </c>
      <c r="Q862" t="str">
        <f>_xlfn.XLOOKUP(Pipeline_tbl[[#This Row],[Rep_ID]],Dim_Reps!A:A,Dim_Reps!D:D)</f>
        <v>Inside Sales</v>
      </c>
      <c r="R862" t="str">
        <f>_xlfn.XLOOKUP(Pipeline_tbl[[#This Row],[Rep_ID]],Dim_Reps!A:A,Dim_Reps!E:E)</f>
        <v>LATAM</v>
      </c>
      <c r="S862" t="str">
        <f>_xlfn.XLOOKUP(Pipeline_tbl[[#This Row],[Created_Date]],Dim_Date!A:A,Dim_Date!H:H)</f>
        <v>Oct 2025</v>
      </c>
      <c r="T862" t="str">
        <f>IF(Pipeline_tbl[[#This Row],[Closed_Date]]=0,"",(_xlfn.XLOOKUP(Pipeline_tbl[[#This Row],[Closed_Date]],Dim_Date!A:A,Dim_Date!H:H)))</f>
        <v>Nov 2025</v>
      </c>
      <c r="U862">
        <f>IF(Pipeline_tbl[[#This Row],[Closed_Date]]=0,"",Pipeline_tbl[[#This Row],[Closed_Date]]-Pipeline_tbl[[#This Row],[Created_Date]])</f>
        <v>22</v>
      </c>
    </row>
    <row r="863" spans="1:21" ht="15" customHeight="1" x14ac:dyDescent="0.2">
      <c r="A863" t="s">
        <v>1169</v>
      </c>
      <c r="B863" t="s">
        <v>233</v>
      </c>
      <c r="C863" t="s">
        <v>54</v>
      </c>
      <c r="D863" s="49">
        <v>45958</v>
      </c>
      <c r="E863" s="49">
        <v>45960</v>
      </c>
      <c r="F863" s="49">
        <v>45966</v>
      </c>
      <c r="G863" s="49">
        <v>45973</v>
      </c>
      <c r="H863" s="49">
        <v>45979</v>
      </c>
      <c r="I863" s="49">
        <v>45983</v>
      </c>
      <c r="J863" t="s">
        <v>47</v>
      </c>
      <c r="K863" s="33">
        <v>5600</v>
      </c>
      <c r="M863" t="str">
        <f>_xlfn.XLOOKUP(Pipeline_tbl[[#This Row],[Rep_ID]],Dim_Reps!A:A,Dim_Reps!K:K)</f>
        <v>MXN</v>
      </c>
      <c r="N863" s="33">
        <f>(_xlfn.XLOOKUP(Pipeline_tbl[[#This Row],[Rate_Code_Generalized]],Lookups!A:A,Lookups!B:B))*Pipeline_tbl[[#This Row],[Pipeline_Amount_USD]]</f>
        <v>110503.12000000001</v>
      </c>
      <c r="O863" t="str">
        <f>_xlfn.XLOOKUP(Pipeline_tbl[[#This Row],[Rep_ID]],Dim_Reps!A:A,Dim_Reps!B:B)</f>
        <v>Lucas Duarte</v>
      </c>
      <c r="P863" t="str">
        <f>_xlfn.XLOOKUP(Pipeline_tbl[[#This Row],[Rep_ID]],Dim_Reps!A:A,Dim_Reps!C:C)</f>
        <v>SDR / Inside Sales Rep</v>
      </c>
      <c r="Q863" t="str">
        <f>_xlfn.XLOOKUP(Pipeline_tbl[[#This Row],[Rep_ID]],Dim_Reps!A:A,Dim_Reps!D:D)</f>
        <v>Inside Sales</v>
      </c>
      <c r="R863" t="str">
        <f>_xlfn.XLOOKUP(Pipeline_tbl[[#This Row],[Rep_ID]],Dim_Reps!A:A,Dim_Reps!E:E)</f>
        <v>LATAM</v>
      </c>
      <c r="S863" t="str">
        <f>_xlfn.XLOOKUP(Pipeline_tbl[[#This Row],[Created_Date]],Dim_Date!A:A,Dim_Date!H:H)</f>
        <v>Oct 2025</v>
      </c>
      <c r="T863" t="str">
        <f>IF(Pipeline_tbl[[#This Row],[Closed_Date]]=0,"",(_xlfn.XLOOKUP(Pipeline_tbl[[#This Row],[Closed_Date]],Dim_Date!A:A,Dim_Date!H:H)))</f>
        <v>Nov 2025</v>
      </c>
      <c r="U863">
        <f>IF(Pipeline_tbl[[#This Row],[Closed_Date]]=0,"",Pipeline_tbl[[#This Row],[Closed_Date]]-Pipeline_tbl[[#This Row],[Created_Date]])</f>
        <v>25</v>
      </c>
    </row>
    <row r="864" spans="1:21" ht="15" customHeight="1" x14ac:dyDescent="0.2">
      <c r="A864" t="s">
        <v>1170</v>
      </c>
      <c r="B864" t="s">
        <v>267</v>
      </c>
      <c r="C864" t="s">
        <v>55</v>
      </c>
      <c r="D864" s="49">
        <v>45938</v>
      </c>
      <c r="E864" s="49">
        <v>45941</v>
      </c>
      <c r="F864" s="49">
        <v>45948</v>
      </c>
      <c r="G864" s="49">
        <v>45957</v>
      </c>
      <c r="H864" s="49">
        <v>45965</v>
      </c>
      <c r="I864" s="49">
        <v>45970</v>
      </c>
      <c r="J864" t="s">
        <v>47</v>
      </c>
      <c r="K864" s="33">
        <v>15200</v>
      </c>
      <c r="M864" t="str">
        <f>_xlfn.XLOOKUP(Pipeline_tbl[[#This Row],[Rep_ID]],Dim_Reps!A:A,Dim_Reps!K:K)</f>
        <v>MXN</v>
      </c>
      <c r="N864" s="33">
        <f>(_xlfn.XLOOKUP(Pipeline_tbl[[#This Row],[Rate_Code_Generalized]],Lookups!A:A,Lookups!B:B))*Pipeline_tbl[[#This Row],[Pipeline_Amount_USD]]</f>
        <v>299937.04000000004</v>
      </c>
      <c r="O864" t="str">
        <f>_xlfn.XLOOKUP(Pipeline_tbl[[#This Row],[Rep_ID]],Dim_Reps!A:A,Dim_Reps!B:B)</f>
        <v>Yuki Dubois</v>
      </c>
      <c r="P864" t="str">
        <f>_xlfn.XLOOKUP(Pipeline_tbl[[#This Row],[Rep_ID]],Dim_Reps!A:A,Dim_Reps!C:C)</f>
        <v>Mid-Market AE</v>
      </c>
      <c r="Q864" t="str">
        <f>_xlfn.XLOOKUP(Pipeline_tbl[[#This Row],[Rep_ID]],Dim_Reps!A:A,Dim_Reps!D:D)</f>
        <v>Mid-Market</v>
      </c>
      <c r="R864" t="str">
        <f>_xlfn.XLOOKUP(Pipeline_tbl[[#This Row],[Rep_ID]],Dim_Reps!A:A,Dim_Reps!E:E)</f>
        <v>LATAM</v>
      </c>
      <c r="S864" t="str">
        <f>_xlfn.XLOOKUP(Pipeline_tbl[[#This Row],[Created_Date]],Dim_Date!A:A,Dim_Date!H:H)</f>
        <v>Oct 2025</v>
      </c>
      <c r="T864" t="str">
        <f>IF(Pipeline_tbl[[#This Row],[Closed_Date]]=0,"",(_xlfn.XLOOKUP(Pipeline_tbl[[#This Row],[Closed_Date]],Dim_Date!A:A,Dim_Date!H:H)))</f>
        <v>Nov 2025</v>
      </c>
      <c r="U864">
        <f>IF(Pipeline_tbl[[#This Row],[Closed_Date]]=0,"",Pipeline_tbl[[#This Row],[Closed_Date]]-Pipeline_tbl[[#This Row],[Created_Date]])</f>
        <v>32</v>
      </c>
    </row>
    <row r="865" spans="1:21" ht="15" customHeight="1" x14ac:dyDescent="0.2">
      <c r="A865" t="s">
        <v>1171</v>
      </c>
      <c r="B865" t="s">
        <v>267</v>
      </c>
      <c r="C865" t="s">
        <v>55</v>
      </c>
      <c r="D865" s="49">
        <v>45942</v>
      </c>
      <c r="E865" s="49">
        <v>45945</v>
      </c>
      <c r="I865" s="49">
        <v>45974</v>
      </c>
      <c r="J865" t="s">
        <v>49</v>
      </c>
      <c r="K865" s="33">
        <v>11400</v>
      </c>
      <c r="L865" t="s">
        <v>60</v>
      </c>
      <c r="M865" t="str">
        <f>_xlfn.XLOOKUP(Pipeline_tbl[[#This Row],[Rep_ID]],Dim_Reps!A:A,Dim_Reps!K:K)</f>
        <v>MXN</v>
      </c>
      <c r="N865" s="33">
        <f>(_xlfn.XLOOKUP(Pipeline_tbl[[#This Row],[Rate_Code_Generalized]],Lookups!A:A,Lookups!B:B))*Pipeline_tbl[[#This Row],[Pipeline_Amount_USD]]</f>
        <v>224952.78000000003</v>
      </c>
      <c r="O865" t="str">
        <f>_xlfn.XLOOKUP(Pipeline_tbl[[#This Row],[Rep_ID]],Dim_Reps!A:A,Dim_Reps!B:B)</f>
        <v>Yuki Dubois</v>
      </c>
      <c r="P865" t="str">
        <f>_xlfn.XLOOKUP(Pipeline_tbl[[#This Row],[Rep_ID]],Dim_Reps!A:A,Dim_Reps!C:C)</f>
        <v>Mid-Market AE</v>
      </c>
      <c r="Q865" t="str">
        <f>_xlfn.XLOOKUP(Pipeline_tbl[[#This Row],[Rep_ID]],Dim_Reps!A:A,Dim_Reps!D:D)</f>
        <v>Mid-Market</v>
      </c>
      <c r="R865" t="str">
        <f>_xlfn.XLOOKUP(Pipeline_tbl[[#This Row],[Rep_ID]],Dim_Reps!A:A,Dim_Reps!E:E)</f>
        <v>LATAM</v>
      </c>
      <c r="S865" t="str">
        <f>_xlfn.XLOOKUP(Pipeline_tbl[[#This Row],[Created_Date]],Dim_Date!A:A,Dim_Date!H:H)</f>
        <v>Oct 2025</v>
      </c>
      <c r="T865" t="str">
        <f>IF(Pipeline_tbl[[#This Row],[Closed_Date]]=0,"",(_xlfn.XLOOKUP(Pipeline_tbl[[#This Row],[Closed_Date]],Dim_Date!A:A,Dim_Date!H:H)))</f>
        <v>Nov 2025</v>
      </c>
      <c r="U865">
        <f>IF(Pipeline_tbl[[#This Row],[Closed_Date]]=0,"",Pipeline_tbl[[#This Row],[Closed_Date]]-Pipeline_tbl[[#This Row],[Created_Date]])</f>
        <v>32</v>
      </c>
    </row>
    <row r="866" spans="1:21" ht="15" customHeight="1" x14ac:dyDescent="0.2">
      <c r="A866" t="s">
        <v>1172</v>
      </c>
      <c r="B866" t="s">
        <v>267</v>
      </c>
      <c r="C866" t="s">
        <v>55</v>
      </c>
      <c r="D866" s="49">
        <v>45946</v>
      </c>
      <c r="E866" s="49">
        <v>45948</v>
      </c>
      <c r="F866" s="49">
        <v>45952</v>
      </c>
      <c r="G866" s="49">
        <v>45958</v>
      </c>
      <c r="I866" s="49">
        <v>45966</v>
      </c>
      <c r="J866" t="s">
        <v>49</v>
      </c>
      <c r="K866" s="33">
        <v>19600</v>
      </c>
      <c r="L866" t="s">
        <v>63</v>
      </c>
      <c r="M866" t="str">
        <f>_xlfn.XLOOKUP(Pipeline_tbl[[#This Row],[Rep_ID]],Dim_Reps!A:A,Dim_Reps!K:K)</f>
        <v>MXN</v>
      </c>
      <c r="N866" s="33">
        <f>(_xlfn.XLOOKUP(Pipeline_tbl[[#This Row],[Rate_Code_Generalized]],Lookups!A:A,Lookups!B:B))*Pipeline_tbl[[#This Row],[Pipeline_Amount_USD]]</f>
        <v>386760.92000000004</v>
      </c>
      <c r="O866" t="str">
        <f>_xlfn.XLOOKUP(Pipeline_tbl[[#This Row],[Rep_ID]],Dim_Reps!A:A,Dim_Reps!B:B)</f>
        <v>Yuki Dubois</v>
      </c>
      <c r="P866" t="str">
        <f>_xlfn.XLOOKUP(Pipeline_tbl[[#This Row],[Rep_ID]],Dim_Reps!A:A,Dim_Reps!C:C)</f>
        <v>Mid-Market AE</v>
      </c>
      <c r="Q866" t="str">
        <f>_xlfn.XLOOKUP(Pipeline_tbl[[#This Row],[Rep_ID]],Dim_Reps!A:A,Dim_Reps!D:D)</f>
        <v>Mid-Market</v>
      </c>
      <c r="R866" t="str">
        <f>_xlfn.XLOOKUP(Pipeline_tbl[[#This Row],[Rep_ID]],Dim_Reps!A:A,Dim_Reps!E:E)</f>
        <v>LATAM</v>
      </c>
      <c r="S866" t="str">
        <f>_xlfn.XLOOKUP(Pipeline_tbl[[#This Row],[Created_Date]],Dim_Date!A:A,Dim_Date!H:H)</f>
        <v>Oct 2025</v>
      </c>
      <c r="T866" t="str">
        <f>IF(Pipeline_tbl[[#This Row],[Closed_Date]]=0,"",(_xlfn.XLOOKUP(Pipeline_tbl[[#This Row],[Closed_Date]],Dim_Date!A:A,Dim_Date!H:H)))</f>
        <v>Nov 2025</v>
      </c>
      <c r="U866">
        <f>IF(Pipeline_tbl[[#This Row],[Closed_Date]]=0,"",Pipeline_tbl[[#This Row],[Closed_Date]]-Pipeline_tbl[[#This Row],[Created_Date]])</f>
        <v>20</v>
      </c>
    </row>
    <row r="867" spans="1:21" ht="15" customHeight="1" x14ac:dyDescent="0.2">
      <c r="A867" t="s">
        <v>1173</v>
      </c>
      <c r="B867" t="s">
        <v>267</v>
      </c>
      <c r="C867" t="s">
        <v>52</v>
      </c>
      <c r="D867" s="49">
        <v>45950</v>
      </c>
      <c r="E867" s="49">
        <v>45953</v>
      </c>
      <c r="F867" s="49">
        <v>45959</v>
      </c>
      <c r="G867" s="49">
        <v>45968</v>
      </c>
      <c r="H867" s="49">
        <v>45976</v>
      </c>
      <c r="I867" s="49">
        <v>45980</v>
      </c>
      <c r="J867" t="s">
        <v>49</v>
      </c>
      <c r="K867" s="33">
        <v>18800</v>
      </c>
      <c r="L867" t="s">
        <v>64</v>
      </c>
      <c r="M867" t="str">
        <f>_xlfn.XLOOKUP(Pipeline_tbl[[#This Row],[Rep_ID]],Dim_Reps!A:A,Dim_Reps!K:K)</f>
        <v>MXN</v>
      </c>
      <c r="N867" s="33">
        <f>(_xlfn.XLOOKUP(Pipeline_tbl[[#This Row],[Rate_Code_Generalized]],Lookups!A:A,Lookups!B:B))*Pipeline_tbl[[#This Row],[Pipeline_Amount_USD]]</f>
        <v>370974.76</v>
      </c>
      <c r="O867" t="str">
        <f>_xlfn.XLOOKUP(Pipeline_tbl[[#This Row],[Rep_ID]],Dim_Reps!A:A,Dim_Reps!B:B)</f>
        <v>Yuki Dubois</v>
      </c>
      <c r="P867" t="str">
        <f>_xlfn.XLOOKUP(Pipeline_tbl[[#This Row],[Rep_ID]],Dim_Reps!A:A,Dim_Reps!C:C)</f>
        <v>Mid-Market AE</v>
      </c>
      <c r="Q867" t="str">
        <f>_xlfn.XLOOKUP(Pipeline_tbl[[#This Row],[Rep_ID]],Dim_Reps!A:A,Dim_Reps!D:D)</f>
        <v>Mid-Market</v>
      </c>
      <c r="R867" t="str">
        <f>_xlfn.XLOOKUP(Pipeline_tbl[[#This Row],[Rep_ID]],Dim_Reps!A:A,Dim_Reps!E:E)</f>
        <v>LATAM</v>
      </c>
      <c r="S867" t="str">
        <f>_xlfn.XLOOKUP(Pipeline_tbl[[#This Row],[Created_Date]],Dim_Date!A:A,Dim_Date!H:H)</f>
        <v>Oct 2025</v>
      </c>
      <c r="T867" t="str">
        <f>IF(Pipeline_tbl[[#This Row],[Closed_Date]]=0,"",(_xlfn.XLOOKUP(Pipeline_tbl[[#This Row],[Closed_Date]],Dim_Date!A:A,Dim_Date!H:H)))</f>
        <v>Nov 2025</v>
      </c>
      <c r="U867">
        <f>IF(Pipeline_tbl[[#This Row],[Closed_Date]]=0,"",Pipeline_tbl[[#This Row],[Closed_Date]]-Pipeline_tbl[[#This Row],[Created_Date]])</f>
        <v>30</v>
      </c>
    </row>
    <row r="868" spans="1:21" ht="15" customHeight="1" x14ac:dyDescent="0.2">
      <c r="A868" t="s">
        <v>1174</v>
      </c>
      <c r="B868" t="s">
        <v>267</v>
      </c>
      <c r="C868" t="s">
        <v>52</v>
      </c>
      <c r="D868" s="49">
        <v>45945</v>
      </c>
      <c r="E868" s="49">
        <v>45949</v>
      </c>
      <c r="F868" s="49">
        <v>45957</v>
      </c>
      <c r="G868" s="49">
        <v>45969</v>
      </c>
      <c r="H868" s="49">
        <v>45979</v>
      </c>
      <c r="I868" s="49">
        <v>45985</v>
      </c>
      <c r="J868" t="s">
        <v>47</v>
      </c>
      <c r="K868" s="33">
        <v>32800</v>
      </c>
      <c r="M868" t="str">
        <f>_xlfn.XLOOKUP(Pipeline_tbl[[#This Row],[Rep_ID]],Dim_Reps!A:A,Dim_Reps!K:K)</f>
        <v>MXN</v>
      </c>
      <c r="N868" s="33">
        <f>(_xlfn.XLOOKUP(Pipeline_tbl[[#This Row],[Rate_Code_Generalized]],Lookups!A:A,Lookups!B:B))*Pipeline_tbl[[#This Row],[Pipeline_Amount_USD]]</f>
        <v>647232.56000000006</v>
      </c>
      <c r="O868" t="str">
        <f>_xlfn.XLOOKUP(Pipeline_tbl[[#This Row],[Rep_ID]],Dim_Reps!A:A,Dim_Reps!B:B)</f>
        <v>Yuki Dubois</v>
      </c>
      <c r="P868" t="str">
        <f>_xlfn.XLOOKUP(Pipeline_tbl[[#This Row],[Rep_ID]],Dim_Reps!A:A,Dim_Reps!C:C)</f>
        <v>Mid-Market AE</v>
      </c>
      <c r="Q868" t="str">
        <f>_xlfn.XLOOKUP(Pipeline_tbl[[#This Row],[Rep_ID]],Dim_Reps!A:A,Dim_Reps!D:D)</f>
        <v>Mid-Market</v>
      </c>
      <c r="R868" t="str">
        <f>_xlfn.XLOOKUP(Pipeline_tbl[[#This Row],[Rep_ID]],Dim_Reps!A:A,Dim_Reps!E:E)</f>
        <v>LATAM</v>
      </c>
      <c r="S868" t="str">
        <f>_xlfn.XLOOKUP(Pipeline_tbl[[#This Row],[Created_Date]],Dim_Date!A:A,Dim_Date!H:H)</f>
        <v>Oct 2025</v>
      </c>
      <c r="T868" t="str">
        <f>IF(Pipeline_tbl[[#This Row],[Closed_Date]]=0,"",(_xlfn.XLOOKUP(Pipeline_tbl[[#This Row],[Closed_Date]],Dim_Date!A:A,Dim_Date!H:H)))</f>
        <v>Nov 2025</v>
      </c>
      <c r="U868">
        <f>IF(Pipeline_tbl[[#This Row],[Closed_Date]]=0,"",Pipeline_tbl[[#This Row],[Closed_Date]]-Pipeline_tbl[[#This Row],[Created_Date]])</f>
        <v>40</v>
      </c>
    </row>
    <row r="869" spans="1:21" ht="15" customHeight="1" x14ac:dyDescent="0.2">
      <c r="A869" t="s">
        <v>1175</v>
      </c>
      <c r="B869" t="s">
        <v>267</v>
      </c>
      <c r="C869" t="s">
        <v>52</v>
      </c>
      <c r="D869" s="49">
        <v>45936</v>
      </c>
      <c r="E869" s="49">
        <v>45941</v>
      </c>
      <c r="F869" s="49">
        <v>45950</v>
      </c>
      <c r="G869" s="49">
        <v>45964</v>
      </c>
      <c r="H869" s="49">
        <v>45975</v>
      </c>
      <c r="I869" s="49">
        <v>45982</v>
      </c>
      <c r="J869" t="s">
        <v>49</v>
      </c>
      <c r="K869" s="33">
        <v>12600</v>
      </c>
      <c r="L869" t="s">
        <v>61</v>
      </c>
      <c r="M869" t="str">
        <f>_xlfn.XLOOKUP(Pipeline_tbl[[#This Row],[Rep_ID]],Dim_Reps!A:A,Dim_Reps!K:K)</f>
        <v>MXN</v>
      </c>
      <c r="N869" s="33">
        <f>(_xlfn.XLOOKUP(Pipeline_tbl[[#This Row],[Rate_Code_Generalized]],Lookups!A:A,Lookups!B:B))*Pipeline_tbl[[#This Row],[Pipeline_Amount_USD]]</f>
        <v>248632.02000000002</v>
      </c>
      <c r="O869" t="str">
        <f>_xlfn.XLOOKUP(Pipeline_tbl[[#This Row],[Rep_ID]],Dim_Reps!A:A,Dim_Reps!B:B)</f>
        <v>Yuki Dubois</v>
      </c>
      <c r="P869" t="str">
        <f>_xlfn.XLOOKUP(Pipeline_tbl[[#This Row],[Rep_ID]],Dim_Reps!A:A,Dim_Reps!C:C)</f>
        <v>Mid-Market AE</v>
      </c>
      <c r="Q869" t="str">
        <f>_xlfn.XLOOKUP(Pipeline_tbl[[#This Row],[Rep_ID]],Dim_Reps!A:A,Dim_Reps!D:D)</f>
        <v>Mid-Market</v>
      </c>
      <c r="R869" t="str">
        <f>_xlfn.XLOOKUP(Pipeline_tbl[[#This Row],[Rep_ID]],Dim_Reps!A:A,Dim_Reps!E:E)</f>
        <v>LATAM</v>
      </c>
      <c r="S869" t="str">
        <f>_xlfn.XLOOKUP(Pipeline_tbl[[#This Row],[Created_Date]],Dim_Date!A:A,Dim_Date!H:H)</f>
        <v>Oct 2025</v>
      </c>
      <c r="T869" t="str">
        <f>IF(Pipeline_tbl[[#This Row],[Closed_Date]]=0,"",(_xlfn.XLOOKUP(Pipeline_tbl[[#This Row],[Closed_Date]],Dim_Date!A:A,Dim_Date!H:H)))</f>
        <v>Nov 2025</v>
      </c>
      <c r="U869">
        <f>IF(Pipeline_tbl[[#This Row],[Closed_Date]]=0,"",Pipeline_tbl[[#This Row],[Closed_Date]]-Pipeline_tbl[[#This Row],[Created_Date]])</f>
        <v>46</v>
      </c>
    </row>
    <row r="870" spans="1:21" ht="15" customHeight="1" x14ac:dyDescent="0.2">
      <c r="A870" t="s">
        <v>1176</v>
      </c>
      <c r="B870" t="s">
        <v>235</v>
      </c>
      <c r="C870" t="s">
        <v>53</v>
      </c>
      <c r="D870" s="49">
        <v>45945</v>
      </c>
      <c r="E870" s="49">
        <v>45948</v>
      </c>
      <c r="F870" s="49">
        <v>45953</v>
      </c>
      <c r="G870" s="49">
        <v>45961</v>
      </c>
      <c r="H870" s="49">
        <v>45967</v>
      </c>
      <c r="I870" s="49">
        <v>45971</v>
      </c>
      <c r="J870" t="s">
        <v>47</v>
      </c>
      <c r="K870" s="33">
        <v>3600</v>
      </c>
      <c r="M870" t="str">
        <f>_xlfn.XLOOKUP(Pipeline_tbl[[#This Row],[Rep_ID]],Dim_Reps!A:A,Dim_Reps!K:K)</f>
        <v>MXN</v>
      </c>
      <c r="N870" s="33">
        <f>(_xlfn.XLOOKUP(Pipeline_tbl[[#This Row],[Rate_Code_Generalized]],Lookups!A:A,Lookups!B:B))*Pipeline_tbl[[#This Row],[Pipeline_Amount_USD]]</f>
        <v>71037.72</v>
      </c>
      <c r="O870" t="str">
        <f>_xlfn.XLOOKUP(Pipeline_tbl[[#This Row],[Rep_ID]],Dim_Reps!A:A,Dim_Reps!B:B)</f>
        <v>Milo Castro</v>
      </c>
      <c r="P870" t="str">
        <f>_xlfn.XLOOKUP(Pipeline_tbl[[#This Row],[Rep_ID]],Dim_Reps!A:A,Dim_Reps!C:C)</f>
        <v>SDR / Inside Sales Rep</v>
      </c>
      <c r="Q870" t="str">
        <f>_xlfn.XLOOKUP(Pipeline_tbl[[#This Row],[Rep_ID]],Dim_Reps!A:A,Dim_Reps!D:D)</f>
        <v>Inside Sales</v>
      </c>
      <c r="R870" t="str">
        <f>_xlfn.XLOOKUP(Pipeline_tbl[[#This Row],[Rep_ID]],Dim_Reps!A:A,Dim_Reps!E:E)</f>
        <v>LATAM</v>
      </c>
      <c r="S870" t="str">
        <f>_xlfn.XLOOKUP(Pipeline_tbl[[#This Row],[Created_Date]],Dim_Date!A:A,Dim_Date!H:H)</f>
        <v>Oct 2025</v>
      </c>
      <c r="T870" t="str">
        <f>IF(Pipeline_tbl[[#This Row],[Closed_Date]]=0,"",(_xlfn.XLOOKUP(Pipeline_tbl[[#This Row],[Closed_Date]],Dim_Date!A:A,Dim_Date!H:H)))</f>
        <v>Nov 2025</v>
      </c>
      <c r="U870">
        <f>IF(Pipeline_tbl[[#This Row],[Closed_Date]]=0,"",Pipeline_tbl[[#This Row],[Closed_Date]]-Pipeline_tbl[[#This Row],[Created_Date]])</f>
        <v>26</v>
      </c>
    </row>
    <row r="871" spans="1:21" ht="15" customHeight="1" x14ac:dyDescent="0.2">
      <c r="A871" t="s">
        <v>1177</v>
      </c>
      <c r="B871" t="s">
        <v>235</v>
      </c>
      <c r="C871" t="s">
        <v>52</v>
      </c>
      <c r="D871" s="49">
        <v>45955</v>
      </c>
      <c r="E871" s="49">
        <v>45957</v>
      </c>
      <c r="F871" s="49">
        <v>45962</v>
      </c>
      <c r="G871" s="49">
        <v>45968</v>
      </c>
      <c r="H871" s="49">
        <v>45974</v>
      </c>
      <c r="I871" s="49">
        <v>45977</v>
      </c>
      <c r="J871" t="s">
        <v>47</v>
      </c>
      <c r="K871" s="33">
        <v>2300</v>
      </c>
      <c r="M871" t="str">
        <f>_xlfn.XLOOKUP(Pipeline_tbl[[#This Row],[Rep_ID]],Dim_Reps!A:A,Dim_Reps!K:K)</f>
        <v>MXN</v>
      </c>
      <c r="N871" s="33">
        <f>(_xlfn.XLOOKUP(Pipeline_tbl[[#This Row],[Rate_Code_Generalized]],Lookups!A:A,Lookups!B:B))*Pipeline_tbl[[#This Row],[Pipeline_Amount_USD]]</f>
        <v>45385.210000000006</v>
      </c>
      <c r="O871" t="str">
        <f>_xlfn.XLOOKUP(Pipeline_tbl[[#This Row],[Rep_ID]],Dim_Reps!A:A,Dim_Reps!B:B)</f>
        <v>Milo Castro</v>
      </c>
      <c r="P871" t="str">
        <f>_xlfn.XLOOKUP(Pipeline_tbl[[#This Row],[Rep_ID]],Dim_Reps!A:A,Dim_Reps!C:C)</f>
        <v>SDR / Inside Sales Rep</v>
      </c>
      <c r="Q871" t="str">
        <f>_xlfn.XLOOKUP(Pipeline_tbl[[#This Row],[Rep_ID]],Dim_Reps!A:A,Dim_Reps!D:D)</f>
        <v>Inside Sales</v>
      </c>
      <c r="R871" t="str">
        <f>_xlfn.XLOOKUP(Pipeline_tbl[[#This Row],[Rep_ID]],Dim_Reps!A:A,Dim_Reps!E:E)</f>
        <v>LATAM</v>
      </c>
      <c r="S871" t="str">
        <f>_xlfn.XLOOKUP(Pipeline_tbl[[#This Row],[Created_Date]],Dim_Date!A:A,Dim_Date!H:H)</f>
        <v>Oct 2025</v>
      </c>
      <c r="T871" t="str">
        <f>IF(Pipeline_tbl[[#This Row],[Closed_Date]]=0,"",(_xlfn.XLOOKUP(Pipeline_tbl[[#This Row],[Closed_Date]],Dim_Date!A:A,Dim_Date!H:H)))</f>
        <v>Nov 2025</v>
      </c>
      <c r="U871">
        <f>IF(Pipeline_tbl[[#This Row],[Closed_Date]]=0,"",Pipeline_tbl[[#This Row],[Closed_Date]]-Pipeline_tbl[[#This Row],[Created_Date]])</f>
        <v>22</v>
      </c>
    </row>
    <row r="872" spans="1:21" ht="15" customHeight="1" x14ac:dyDescent="0.2">
      <c r="A872" t="s">
        <v>1178</v>
      </c>
      <c r="B872" t="s">
        <v>235</v>
      </c>
      <c r="C872" t="s">
        <v>53</v>
      </c>
      <c r="D872" s="49">
        <v>45955</v>
      </c>
      <c r="E872" s="49">
        <v>45957</v>
      </c>
      <c r="F872" s="49">
        <v>45961</v>
      </c>
      <c r="G872" s="49">
        <v>45967</v>
      </c>
      <c r="H872" s="49">
        <v>45972</v>
      </c>
      <c r="I872" s="49">
        <v>45975</v>
      </c>
      <c r="J872" t="s">
        <v>49</v>
      </c>
      <c r="K872" s="33">
        <v>8500</v>
      </c>
      <c r="L872" t="s">
        <v>62</v>
      </c>
      <c r="M872" t="str">
        <f>_xlfn.XLOOKUP(Pipeline_tbl[[#This Row],[Rep_ID]],Dim_Reps!A:A,Dim_Reps!K:K)</f>
        <v>MXN</v>
      </c>
      <c r="N872" s="33">
        <f>(_xlfn.XLOOKUP(Pipeline_tbl[[#This Row],[Rate_Code_Generalized]],Lookups!A:A,Lookups!B:B))*Pipeline_tbl[[#This Row],[Pipeline_Amount_USD]]</f>
        <v>167727.95000000001</v>
      </c>
      <c r="O872" t="str">
        <f>_xlfn.XLOOKUP(Pipeline_tbl[[#This Row],[Rep_ID]],Dim_Reps!A:A,Dim_Reps!B:B)</f>
        <v>Milo Castro</v>
      </c>
      <c r="P872" t="str">
        <f>_xlfn.XLOOKUP(Pipeline_tbl[[#This Row],[Rep_ID]],Dim_Reps!A:A,Dim_Reps!C:C)</f>
        <v>SDR / Inside Sales Rep</v>
      </c>
      <c r="Q872" t="str">
        <f>_xlfn.XLOOKUP(Pipeline_tbl[[#This Row],[Rep_ID]],Dim_Reps!A:A,Dim_Reps!D:D)</f>
        <v>Inside Sales</v>
      </c>
      <c r="R872" t="str">
        <f>_xlfn.XLOOKUP(Pipeline_tbl[[#This Row],[Rep_ID]],Dim_Reps!A:A,Dim_Reps!E:E)</f>
        <v>LATAM</v>
      </c>
      <c r="S872" t="str">
        <f>_xlfn.XLOOKUP(Pipeline_tbl[[#This Row],[Created_Date]],Dim_Date!A:A,Dim_Date!H:H)</f>
        <v>Oct 2025</v>
      </c>
      <c r="T872" t="str">
        <f>IF(Pipeline_tbl[[#This Row],[Closed_Date]]=0,"",(_xlfn.XLOOKUP(Pipeline_tbl[[#This Row],[Closed_Date]],Dim_Date!A:A,Dim_Date!H:H)))</f>
        <v>Nov 2025</v>
      </c>
      <c r="U872">
        <f>IF(Pipeline_tbl[[#This Row],[Closed_Date]]=0,"",Pipeline_tbl[[#This Row],[Closed_Date]]-Pipeline_tbl[[#This Row],[Created_Date]])</f>
        <v>20</v>
      </c>
    </row>
    <row r="873" spans="1:21" ht="15" customHeight="1" x14ac:dyDescent="0.2">
      <c r="A873" t="s">
        <v>1179</v>
      </c>
      <c r="B873" t="s">
        <v>235</v>
      </c>
      <c r="C873" t="s">
        <v>54</v>
      </c>
      <c r="D873" s="49">
        <v>45949</v>
      </c>
      <c r="E873" s="49">
        <v>45952</v>
      </c>
      <c r="F873" s="49">
        <v>45957</v>
      </c>
      <c r="I873" s="49">
        <v>45976</v>
      </c>
      <c r="J873" t="s">
        <v>49</v>
      </c>
      <c r="K873" s="33">
        <v>3400</v>
      </c>
      <c r="L873" t="s">
        <v>61</v>
      </c>
      <c r="M873" t="str">
        <f>_xlfn.XLOOKUP(Pipeline_tbl[[#This Row],[Rep_ID]],Dim_Reps!A:A,Dim_Reps!K:K)</f>
        <v>MXN</v>
      </c>
      <c r="N873" s="33">
        <f>(_xlfn.XLOOKUP(Pipeline_tbl[[#This Row],[Rate_Code_Generalized]],Lookups!A:A,Lookups!B:B))*Pipeline_tbl[[#This Row],[Pipeline_Amount_USD]]</f>
        <v>67091.180000000008</v>
      </c>
      <c r="O873" t="str">
        <f>_xlfn.XLOOKUP(Pipeline_tbl[[#This Row],[Rep_ID]],Dim_Reps!A:A,Dim_Reps!B:B)</f>
        <v>Milo Castro</v>
      </c>
      <c r="P873" t="str">
        <f>_xlfn.XLOOKUP(Pipeline_tbl[[#This Row],[Rep_ID]],Dim_Reps!A:A,Dim_Reps!C:C)</f>
        <v>SDR / Inside Sales Rep</v>
      </c>
      <c r="Q873" t="str">
        <f>_xlfn.XLOOKUP(Pipeline_tbl[[#This Row],[Rep_ID]],Dim_Reps!A:A,Dim_Reps!D:D)</f>
        <v>Inside Sales</v>
      </c>
      <c r="R873" t="str">
        <f>_xlfn.XLOOKUP(Pipeline_tbl[[#This Row],[Rep_ID]],Dim_Reps!A:A,Dim_Reps!E:E)</f>
        <v>LATAM</v>
      </c>
      <c r="S873" t="str">
        <f>_xlfn.XLOOKUP(Pipeline_tbl[[#This Row],[Created_Date]],Dim_Date!A:A,Dim_Date!H:H)</f>
        <v>Oct 2025</v>
      </c>
      <c r="T873" t="str">
        <f>IF(Pipeline_tbl[[#This Row],[Closed_Date]]=0,"",(_xlfn.XLOOKUP(Pipeline_tbl[[#This Row],[Closed_Date]],Dim_Date!A:A,Dim_Date!H:H)))</f>
        <v>Nov 2025</v>
      </c>
      <c r="U873">
        <f>IF(Pipeline_tbl[[#This Row],[Closed_Date]]=0,"",Pipeline_tbl[[#This Row],[Closed_Date]]-Pipeline_tbl[[#This Row],[Created_Date]])</f>
        <v>27</v>
      </c>
    </row>
    <row r="874" spans="1:21" ht="15" customHeight="1" x14ac:dyDescent="0.2">
      <c r="A874" t="s">
        <v>1180</v>
      </c>
      <c r="B874" t="s">
        <v>237</v>
      </c>
      <c r="C874" t="s">
        <v>53</v>
      </c>
      <c r="D874" s="49">
        <v>45955</v>
      </c>
      <c r="E874" s="49">
        <v>45956</v>
      </c>
      <c r="F874" s="49">
        <v>45957</v>
      </c>
      <c r="G874" s="49">
        <v>45960</v>
      </c>
      <c r="I874" s="49">
        <v>45963</v>
      </c>
      <c r="J874" t="s">
        <v>49</v>
      </c>
      <c r="K874" s="33">
        <v>7300</v>
      </c>
      <c r="L874" t="s">
        <v>62</v>
      </c>
      <c r="M874" t="str">
        <f>_xlfn.XLOOKUP(Pipeline_tbl[[#This Row],[Rep_ID]],Dim_Reps!A:A,Dim_Reps!K:K)</f>
        <v>EUR</v>
      </c>
      <c r="N874" s="33">
        <f>(_xlfn.XLOOKUP(Pipeline_tbl[[#This Row],[Rate_Code_Generalized]],Lookups!A:A,Lookups!B:B))*Pipeline_tbl[[#This Row],[Pipeline_Amount_USD]]</f>
        <v>7300</v>
      </c>
      <c r="O874" t="str">
        <f>_xlfn.XLOOKUP(Pipeline_tbl[[#This Row],[Rep_ID]],Dim_Reps!A:A,Dim_Reps!B:B)</f>
        <v>Hugo Santos</v>
      </c>
      <c r="P874" t="str">
        <f>_xlfn.XLOOKUP(Pipeline_tbl[[#This Row],[Rep_ID]],Dim_Reps!A:A,Dim_Reps!C:C)</f>
        <v>SDR / Inside Sales Rep</v>
      </c>
      <c r="Q874" t="str">
        <f>_xlfn.XLOOKUP(Pipeline_tbl[[#This Row],[Rep_ID]],Dim_Reps!A:A,Dim_Reps!D:D)</f>
        <v>Inside Sales</v>
      </c>
      <c r="R874" t="str">
        <f>_xlfn.XLOOKUP(Pipeline_tbl[[#This Row],[Rep_ID]],Dim_Reps!A:A,Dim_Reps!E:E)</f>
        <v>EMEA</v>
      </c>
      <c r="S874" t="str">
        <f>_xlfn.XLOOKUP(Pipeline_tbl[[#This Row],[Created_Date]],Dim_Date!A:A,Dim_Date!H:H)</f>
        <v>Oct 2025</v>
      </c>
      <c r="T874" t="str">
        <f>IF(Pipeline_tbl[[#This Row],[Closed_Date]]=0,"",(_xlfn.XLOOKUP(Pipeline_tbl[[#This Row],[Closed_Date]],Dim_Date!A:A,Dim_Date!H:H)))</f>
        <v>Nov 2025</v>
      </c>
      <c r="U874">
        <f>IF(Pipeline_tbl[[#This Row],[Closed_Date]]=0,"",Pipeline_tbl[[#This Row],[Closed_Date]]-Pipeline_tbl[[#This Row],[Created_Date]])</f>
        <v>8</v>
      </c>
    </row>
    <row r="875" spans="1:21" ht="15" customHeight="1" x14ac:dyDescent="0.2">
      <c r="A875" t="s">
        <v>1181</v>
      </c>
      <c r="B875" t="s">
        <v>237</v>
      </c>
      <c r="C875" t="s">
        <v>52</v>
      </c>
      <c r="D875" s="49">
        <v>45954</v>
      </c>
      <c r="E875" s="49">
        <v>45956</v>
      </c>
      <c r="F875" s="49">
        <v>45959</v>
      </c>
      <c r="G875" s="49">
        <v>45964</v>
      </c>
      <c r="H875" s="49">
        <v>45968</v>
      </c>
      <c r="I875" s="49">
        <v>45970</v>
      </c>
      <c r="J875" t="s">
        <v>47</v>
      </c>
      <c r="K875" s="33">
        <v>3900</v>
      </c>
      <c r="M875" t="str">
        <f>_xlfn.XLOOKUP(Pipeline_tbl[[#This Row],[Rep_ID]],Dim_Reps!A:A,Dim_Reps!K:K)</f>
        <v>EUR</v>
      </c>
      <c r="N875" s="33">
        <f>(_xlfn.XLOOKUP(Pipeline_tbl[[#This Row],[Rate_Code_Generalized]],Lookups!A:A,Lookups!B:B))*Pipeline_tbl[[#This Row],[Pipeline_Amount_USD]]</f>
        <v>3900</v>
      </c>
      <c r="O875" t="str">
        <f>_xlfn.XLOOKUP(Pipeline_tbl[[#This Row],[Rep_ID]],Dim_Reps!A:A,Dim_Reps!B:B)</f>
        <v>Hugo Santos</v>
      </c>
      <c r="P875" t="str">
        <f>_xlfn.XLOOKUP(Pipeline_tbl[[#This Row],[Rep_ID]],Dim_Reps!A:A,Dim_Reps!C:C)</f>
        <v>SDR / Inside Sales Rep</v>
      </c>
      <c r="Q875" t="str">
        <f>_xlfn.XLOOKUP(Pipeline_tbl[[#This Row],[Rep_ID]],Dim_Reps!A:A,Dim_Reps!D:D)</f>
        <v>Inside Sales</v>
      </c>
      <c r="R875" t="str">
        <f>_xlfn.XLOOKUP(Pipeline_tbl[[#This Row],[Rep_ID]],Dim_Reps!A:A,Dim_Reps!E:E)</f>
        <v>EMEA</v>
      </c>
      <c r="S875" t="str">
        <f>_xlfn.XLOOKUP(Pipeline_tbl[[#This Row],[Created_Date]],Dim_Date!A:A,Dim_Date!H:H)</f>
        <v>Oct 2025</v>
      </c>
      <c r="T875" t="str">
        <f>IF(Pipeline_tbl[[#This Row],[Closed_Date]]=0,"",(_xlfn.XLOOKUP(Pipeline_tbl[[#This Row],[Closed_Date]],Dim_Date!A:A,Dim_Date!H:H)))</f>
        <v>Nov 2025</v>
      </c>
      <c r="U875">
        <f>IF(Pipeline_tbl[[#This Row],[Closed_Date]]=0,"",Pipeline_tbl[[#This Row],[Closed_Date]]-Pipeline_tbl[[#This Row],[Created_Date]])</f>
        <v>16</v>
      </c>
    </row>
    <row r="876" spans="1:21" ht="15" customHeight="1" x14ac:dyDescent="0.2">
      <c r="A876" t="s">
        <v>1182</v>
      </c>
      <c r="B876" t="s">
        <v>237</v>
      </c>
      <c r="C876" t="s">
        <v>55</v>
      </c>
      <c r="D876" s="49">
        <v>45949</v>
      </c>
      <c r="E876" s="49">
        <v>45950</v>
      </c>
      <c r="I876" s="49">
        <v>45962</v>
      </c>
      <c r="J876" t="s">
        <v>49</v>
      </c>
      <c r="K876" s="33">
        <v>2600</v>
      </c>
      <c r="L876" t="s">
        <v>63</v>
      </c>
      <c r="M876" t="str">
        <f>_xlfn.XLOOKUP(Pipeline_tbl[[#This Row],[Rep_ID]],Dim_Reps!A:A,Dim_Reps!K:K)</f>
        <v>EUR</v>
      </c>
      <c r="N876" s="33">
        <f>(_xlfn.XLOOKUP(Pipeline_tbl[[#This Row],[Rate_Code_Generalized]],Lookups!A:A,Lookups!B:B))*Pipeline_tbl[[#This Row],[Pipeline_Amount_USD]]</f>
        <v>2600</v>
      </c>
      <c r="O876" t="str">
        <f>_xlfn.XLOOKUP(Pipeline_tbl[[#This Row],[Rep_ID]],Dim_Reps!A:A,Dim_Reps!B:B)</f>
        <v>Hugo Santos</v>
      </c>
      <c r="P876" t="str">
        <f>_xlfn.XLOOKUP(Pipeline_tbl[[#This Row],[Rep_ID]],Dim_Reps!A:A,Dim_Reps!C:C)</f>
        <v>SDR / Inside Sales Rep</v>
      </c>
      <c r="Q876" t="str">
        <f>_xlfn.XLOOKUP(Pipeline_tbl[[#This Row],[Rep_ID]],Dim_Reps!A:A,Dim_Reps!D:D)</f>
        <v>Inside Sales</v>
      </c>
      <c r="R876" t="str">
        <f>_xlfn.XLOOKUP(Pipeline_tbl[[#This Row],[Rep_ID]],Dim_Reps!A:A,Dim_Reps!E:E)</f>
        <v>EMEA</v>
      </c>
      <c r="S876" t="str">
        <f>_xlfn.XLOOKUP(Pipeline_tbl[[#This Row],[Created_Date]],Dim_Date!A:A,Dim_Date!H:H)</f>
        <v>Oct 2025</v>
      </c>
      <c r="T876" t="str">
        <f>IF(Pipeline_tbl[[#This Row],[Closed_Date]]=0,"",(_xlfn.XLOOKUP(Pipeline_tbl[[#This Row],[Closed_Date]],Dim_Date!A:A,Dim_Date!H:H)))</f>
        <v>Nov 2025</v>
      </c>
      <c r="U876">
        <f>IF(Pipeline_tbl[[#This Row],[Closed_Date]]=0,"",Pipeline_tbl[[#This Row],[Closed_Date]]-Pipeline_tbl[[#This Row],[Created_Date]])</f>
        <v>13</v>
      </c>
    </row>
    <row r="877" spans="1:21" ht="15" customHeight="1" x14ac:dyDescent="0.2">
      <c r="A877" t="s">
        <v>1183</v>
      </c>
      <c r="B877" t="s">
        <v>237</v>
      </c>
      <c r="C877" t="s">
        <v>52</v>
      </c>
      <c r="D877" s="49">
        <v>45954</v>
      </c>
      <c r="E877" s="49">
        <v>45956</v>
      </c>
      <c r="F877" s="49">
        <v>45959</v>
      </c>
      <c r="I877" s="49">
        <v>45969</v>
      </c>
      <c r="J877" t="s">
        <v>49</v>
      </c>
      <c r="K877" s="33">
        <v>2100</v>
      </c>
      <c r="L877" t="s">
        <v>61</v>
      </c>
      <c r="M877" t="str">
        <f>_xlfn.XLOOKUP(Pipeline_tbl[[#This Row],[Rep_ID]],Dim_Reps!A:A,Dim_Reps!K:K)</f>
        <v>EUR</v>
      </c>
      <c r="N877" s="33">
        <f>(_xlfn.XLOOKUP(Pipeline_tbl[[#This Row],[Rate_Code_Generalized]],Lookups!A:A,Lookups!B:B))*Pipeline_tbl[[#This Row],[Pipeline_Amount_USD]]</f>
        <v>2100</v>
      </c>
      <c r="O877" t="str">
        <f>_xlfn.XLOOKUP(Pipeline_tbl[[#This Row],[Rep_ID]],Dim_Reps!A:A,Dim_Reps!B:B)</f>
        <v>Hugo Santos</v>
      </c>
      <c r="P877" t="str">
        <f>_xlfn.XLOOKUP(Pipeline_tbl[[#This Row],[Rep_ID]],Dim_Reps!A:A,Dim_Reps!C:C)</f>
        <v>SDR / Inside Sales Rep</v>
      </c>
      <c r="Q877" t="str">
        <f>_xlfn.XLOOKUP(Pipeline_tbl[[#This Row],[Rep_ID]],Dim_Reps!A:A,Dim_Reps!D:D)</f>
        <v>Inside Sales</v>
      </c>
      <c r="R877" t="str">
        <f>_xlfn.XLOOKUP(Pipeline_tbl[[#This Row],[Rep_ID]],Dim_Reps!A:A,Dim_Reps!E:E)</f>
        <v>EMEA</v>
      </c>
      <c r="S877" t="str">
        <f>_xlfn.XLOOKUP(Pipeline_tbl[[#This Row],[Created_Date]],Dim_Date!A:A,Dim_Date!H:H)</f>
        <v>Oct 2025</v>
      </c>
      <c r="T877" t="str">
        <f>IF(Pipeline_tbl[[#This Row],[Closed_Date]]=0,"",(_xlfn.XLOOKUP(Pipeline_tbl[[#This Row],[Closed_Date]],Dim_Date!A:A,Dim_Date!H:H)))</f>
        <v>Nov 2025</v>
      </c>
      <c r="U877">
        <f>IF(Pipeline_tbl[[#This Row],[Closed_Date]]=0,"",Pipeline_tbl[[#This Row],[Closed_Date]]-Pipeline_tbl[[#This Row],[Created_Date]])</f>
        <v>15</v>
      </c>
    </row>
    <row r="878" spans="1:21" ht="15" customHeight="1" x14ac:dyDescent="0.2">
      <c r="A878" t="s">
        <v>1184</v>
      </c>
      <c r="B878" t="s">
        <v>237</v>
      </c>
      <c r="C878" t="s">
        <v>52</v>
      </c>
      <c r="D878" s="49">
        <v>45961</v>
      </c>
      <c r="E878" s="49">
        <v>45963</v>
      </c>
      <c r="F878" s="49">
        <v>45966</v>
      </c>
      <c r="G878" s="49">
        <v>45970</v>
      </c>
      <c r="H878" s="49">
        <v>45974</v>
      </c>
      <c r="I878" s="49">
        <v>45976</v>
      </c>
      <c r="J878" t="s">
        <v>47</v>
      </c>
      <c r="K878" s="33">
        <v>3400</v>
      </c>
      <c r="M878" t="str">
        <f>_xlfn.XLOOKUP(Pipeline_tbl[[#This Row],[Rep_ID]],Dim_Reps!A:A,Dim_Reps!K:K)</f>
        <v>EUR</v>
      </c>
      <c r="N878" s="33">
        <f>(_xlfn.XLOOKUP(Pipeline_tbl[[#This Row],[Rate_Code_Generalized]],Lookups!A:A,Lookups!B:B))*Pipeline_tbl[[#This Row],[Pipeline_Amount_USD]]</f>
        <v>3400</v>
      </c>
      <c r="O878" t="str">
        <f>_xlfn.XLOOKUP(Pipeline_tbl[[#This Row],[Rep_ID]],Dim_Reps!A:A,Dim_Reps!B:B)</f>
        <v>Hugo Santos</v>
      </c>
      <c r="P878" t="str">
        <f>_xlfn.XLOOKUP(Pipeline_tbl[[#This Row],[Rep_ID]],Dim_Reps!A:A,Dim_Reps!C:C)</f>
        <v>SDR / Inside Sales Rep</v>
      </c>
      <c r="Q878" t="str">
        <f>_xlfn.XLOOKUP(Pipeline_tbl[[#This Row],[Rep_ID]],Dim_Reps!A:A,Dim_Reps!D:D)</f>
        <v>Inside Sales</v>
      </c>
      <c r="R878" t="str">
        <f>_xlfn.XLOOKUP(Pipeline_tbl[[#This Row],[Rep_ID]],Dim_Reps!A:A,Dim_Reps!E:E)</f>
        <v>EMEA</v>
      </c>
      <c r="S878" t="str">
        <f>_xlfn.XLOOKUP(Pipeline_tbl[[#This Row],[Created_Date]],Dim_Date!A:A,Dim_Date!H:H)</f>
        <v>Oct 2025</v>
      </c>
      <c r="T878" t="str">
        <f>IF(Pipeline_tbl[[#This Row],[Closed_Date]]=0,"",(_xlfn.XLOOKUP(Pipeline_tbl[[#This Row],[Closed_Date]],Dim_Date!A:A,Dim_Date!H:H)))</f>
        <v>Nov 2025</v>
      </c>
      <c r="U878">
        <f>IF(Pipeline_tbl[[#This Row],[Closed_Date]]=0,"",Pipeline_tbl[[#This Row],[Closed_Date]]-Pipeline_tbl[[#This Row],[Created_Date]])</f>
        <v>15</v>
      </c>
    </row>
    <row r="879" spans="1:21" ht="15" customHeight="1" x14ac:dyDescent="0.2">
      <c r="A879" t="s">
        <v>1185</v>
      </c>
      <c r="B879" t="s">
        <v>237</v>
      </c>
      <c r="C879" t="s">
        <v>52</v>
      </c>
      <c r="D879" s="49">
        <v>45958</v>
      </c>
      <c r="E879" s="49">
        <v>45959</v>
      </c>
      <c r="F879" s="49">
        <v>45961</v>
      </c>
      <c r="G879" s="49">
        <v>45964</v>
      </c>
      <c r="H879" s="49">
        <v>45966</v>
      </c>
      <c r="I879" s="49">
        <v>45968</v>
      </c>
      <c r="J879" t="s">
        <v>47</v>
      </c>
      <c r="K879" s="33">
        <v>3000</v>
      </c>
      <c r="M879" t="str">
        <f>_xlfn.XLOOKUP(Pipeline_tbl[[#This Row],[Rep_ID]],Dim_Reps!A:A,Dim_Reps!K:K)</f>
        <v>EUR</v>
      </c>
      <c r="N879" s="33">
        <f>(_xlfn.XLOOKUP(Pipeline_tbl[[#This Row],[Rate_Code_Generalized]],Lookups!A:A,Lookups!B:B))*Pipeline_tbl[[#This Row],[Pipeline_Amount_USD]]</f>
        <v>3000</v>
      </c>
      <c r="O879" t="str">
        <f>_xlfn.XLOOKUP(Pipeline_tbl[[#This Row],[Rep_ID]],Dim_Reps!A:A,Dim_Reps!B:B)</f>
        <v>Hugo Santos</v>
      </c>
      <c r="P879" t="str">
        <f>_xlfn.XLOOKUP(Pipeline_tbl[[#This Row],[Rep_ID]],Dim_Reps!A:A,Dim_Reps!C:C)</f>
        <v>SDR / Inside Sales Rep</v>
      </c>
      <c r="Q879" t="str">
        <f>_xlfn.XLOOKUP(Pipeline_tbl[[#This Row],[Rep_ID]],Dim_Reps!A:A,Dim_Reps!D:D)</f>
        <v>Inside Sales</v>
      </c>
      <c r="R879" t="str">
        <f>_xlfn.XLOOKUP(Pipeline_tbl[[#This Row],[Rep_ID]],Dim_Reps!A:A,Dim_Reps!E:E)</f>
        <v>EMEA</v>
      </c>
      <c r="S879" t="str">
        <f>_xlfn.XLOOKUP(Pipeline_tbl[[#This Row],[Created_Date]],Dim_Date!A:A,Dim_Date!H:H)</f>
        <v>Oct 2025</v>
      </c>
      <c r="T879" t="str">
        <f>IF(Pipeline_tbl[[#This Row],[Closed_Date]]=0,"",(_xlfn.XLOOKUP(Pipeline_tbl[[#This Row],[Closed_Date]],Dim_Date!A:A,Dim_Date!H:H)))</f>
        <v>Nov 2025</v>
      </c>
      <c r="U879">
        <f>IF(Pipeline_tbl[[#This Row],[Closed_Date]]=0,"",Pipeline_tbl[[#This Row],[Closed_Date]]-Pipeline_tbl[[#This Row],[Created_Date]])</f>
        <v>10</v>
      </c>
    </row>
    <row r="880" spans="1:21" ht="15" customHeight="1" x14ac:dyDescent="0.2">
      <c r="A880" t="s">
        <v>1186</v>
      </c>
      <c r="B880" t="s">
        <v>237</v>
      </c>
      <c r="C880" t="s">
        <v>52</v>
      </c>
      <c r="D880" s="49">
        <v>45947</v>
      </c>
      <c r="E880" s="49">
        <v>45949</v>
      </c>
      <c r="F880" s="49">
        <v>45952</v>
      </c>
      <c r="G880" s="49">
        <v>45956</v>
      </c>
      <c r="H880" s="49">
        <v>45960</v>
      </c>
      <c r="I880" s="49">
        <v>45962</v>
      </c>
      <c r="J880" t="s">
        <v>47</v>
      </c>
      <c r="K880" s="33">
        <v>5400</v>
      </c>
      <c r="M880" t="str">
        <f>_xlfn.XLOOKUP(Pipeline_tbl[[#This Row],[Rep_ID]],Dim_Reps!A:A,Dim_Reps!K:K)</f>
        <v>EUR</v>
      </c>
      <c r="N880" s="33">
        <f>(_xlfn.XLOOKUP(Pipeline_tbl[[#This Row],[Rate_Code_Generalized]],Lookups!A:A,Lookups!B:B))*Pipeline_tbl[[#This Row],[Pipeline_Amount_USD]]</f>
        <v>5400</v>
      </c>
      <c r="O880" t="str">
        <f>_xlfn.XLOOKUP(Pipeline_tbl[[#This Row],[Rep_ID]],Dim_Reps!A:A,Dim_Reps!B:B)</f>
        <v>Hugo Santos</v>
      </c>
      <c r="P880" t="str">
        <f>_xlfn.XLOOKUP(Pipeline_tbl[[#This Row],[Rep_ID]],Dim_Reps!A:A,Dim_Reps!C:C)</f>
        <v>SDR / Inside Sales Rep</v>
      </c>
      <c r="Q880" t="str">
        <f>_xlfn.XLOOKUP(Pipeline_tbl[[#This Row],[Rep_ID]],Dim_Reps!A:A,Dim_Reps!D:D)</f>
        <v>Inside Sales</v>
      </c>
      <c r="R880" t="str">
        <f>_xlfn.XLOOKUP(Pipeline_tbl[[#This Row],[Rep_ID]],Dim_Reps!A:A,Dim_Reps!E:E)</f>
        <v>EMEA</v>
      </c>
      <c r="S880" t="str">
        <f>_xlfn.XLOOKUP(Pipeline_tbl[[#This Row],[Created_Date]],Dim_Date!A:A,Dim_Date!H:H)</f>
        <v>Oct 2025</v>
      </c>
      <c r="T880" t="str">
        <f>IF(Pipeline_tbl[[#This Row],[Closed_Date]]=0,"",(_xlfn.XLOOKUP(Pipeline_tbl[[#This Row],[Closed_Date]],Dim_Date!A:A,Dim_Date!H:H)))</f>
        <v>Nov 2025</v>
      </c>
      <c r="U880">
        <f>IF(Pipeline_tbl[[#This Row],[Closed_Date]]=0,"",Pipeline_tbl[[#This Row],[Closed_Date]]-Pipeline_tbl[[#This Row],[Created_Date]])</f>
        <v>15</v>
      </c>
    </row>
    <row r="881" spans="1:21" ht="15" customHeight="1" x14ac:dyDescent="0.2">
      <c r="A881" t="s">
        <v>1187</v>
      </c>
      <c r="B881" t="s">
        <v>237</v>
      </c>
      <c r="C881" t="s">
        <v>52</v>
      </c>
      <c r="D881" s="49">
        <v>45947</v>
      </c>
      <c r="E881" s="49">
        <v>45949</v>
      </c>
      <c r="F881" s="49">
        <v>45953</v>
      </c>
      <c r="G881" s="49">
        <v>45958</v>
      </c>
      <c r="H881" s="49">
        <v>45963</v>
      </c>
      <c r="I881" s="49">
        <v>45966</v>
      </c>
      <c r="J881" t="s">
        <v>47</v>
      </c>
      <c r="K881" s="33">
        <v>2600</v>
      </c>
      <c r="M881" t="str">
        <f>_xlfn.XLOOKUP(Pipeline_tbl[[#This Row],[Rep_ID]],Dim_Reps!A:A,Dim_Reps!K:K)</f>
        <v>EUR</v>
      </c>
      <c r="N881" s="33">
        <f>(_xlfn.XLOOKUP(Pipeline_tbl[[#This Row],[Rate_Code_Generalized]],Lookups!A:A,Lookups!B:B))*Pipeline_tbl[[#This Row],[Pipeline_Amount_USD]]</f>
        <v>2600</v>
      </c>
      <c r="O881" t="str">
        <f>_xlfn.XLOOKUP(Pipeline_tbl[[#This Row],[Rep_ID]],Dim_Reps!A:A,Dim_Reps!B:B)</f>
        <v>Hugo Santos</v>
      </c>
      <c r="P881" t="str">
        <f>_xlfn.XLOOKUP(Pipeline_tbl[[#This Row],[Rep_ID]],Dim_Reps!A:A,Dim_Reps!C:C)</f>
        <v>SDR / Inside Sales Rep</v>
      </c>
      <c r="Q881" t="str">
        <f>_xlfn.XLOOKUP(Pipeline_tbl[[#This Row],[Rep_ID]],Dim_Reps!A:A,Dim_Reps!D:D)</f>
        <v>Inside Sales</v>
      </c>
      <c r="R881" t="str">
        <f>_xlfn.XLOOKUP(Pipeline_tbl[[#This Row],[Rep_ID]],Dim_Reps!A:A,Dim_Reps!E:E)</f>
        <v>EMEA</v>
      </c>
      <c r="S881" t="str">
        <f>_xlfn.XLOOKUP(Pipeline_tbl[[#This Row],[Created_Date]],Dim_Date!A:A,Dim_Date!H:H)</f>
        <v>Oct 2025</v>
      </c>
      <c r="T881" t="str">
        <f>IF(Pipeline_tbl[[#This Row],[Closed_Date]]=0,"",(_xlfn.XLOOKUP(Pipeline_tbl[[#This Row],[Closed_Date]],Dim_Date!A:A,Dim_Date!H:H)))</f>
        <v>Nov 2025</v>
      </c>
      <c r="U881">
        <f>IF(Pipeline_tbl[[#This Row],[Closed_Date]]=0,"",Pipeline_tbl[[#This Row],[Closed_Date]]-Pipeline_tbl[[#This Row],[Created_Date]])</f>
        <v>19</v>
      </c>
    </row>
    <row r="882" spans="1:21" ht="15" customHeight="1" x14ac:dyDescent="0.2">
      <c r="A882" t="s">
        <v>1188</v>
      </c>
      <c r="B882" t="s">
        <v>237</v>
      </c>
      <c r="C882" t="s">
        <v>52</v>
      </c>
      <c r="D882" s="49">
        <v>45953</v>
      </c>
      <c r="E882" s="49">
        <v>45955</v>
      </c>
      <c r="F882" s="49">
        <v>45960</v>
      </c>
      <c r="G882" s="49">
        <v>45967</v>
      </c>
      <c r="H882" s="49">
        <v>45973</v>
      </c>
      <c r="I882" s="49">
        <v>45977</v>
      </c>
      <c r="J882" t="s">
        <v>49</v>
      </c>
      <c r="K882" s="33">
        <v>3600</v>
      </c>
      <c r="L882" t="s">
        <v>60</v>
      </c>
      <c r="M882" t="str">
        <f>_xlfn.XLOOKUP(Pipeline_tbl[[#This Row],[Rep_ID]],Dim_Reps!A:A,Dim_Reps!K:K)</f>
        <v>EUR</v>
      </c>
      <c r="N882" s="33">
        <f>(_xlfn.XLOOKUP(Pipeline_tbl[[#This Row],[Rate_Code_Generalized]],Lookups!A:A,Lookups!B:B))*Pipeline_tbl[[#This Row],[Pipeline_Amount_USD]]</f>
        <v>3600</v>
      </c>
      <c r="O882" t="str">
        <f>_xlfn.XLOOKUP(Pipeline_tbl[[#This Row],[Rep_ID]],Dim_Reps!A:A,Dim_Reps!B:B)</f>
        <v>Hugo Santos</v>
      </c>
      <c r="P882" t="str">
        <f>_xlfn.XLOOKUP(Pipeline_tbl[[#This Row],[Rep_ID]],Dim_Reps!A:A,Dim_Reps!C:C)</f>
        <v>SDR / Inside Sales Rep</v>
      </c>
      <c r="Q882" t="str">
        <f>_xlfn.XLOOKUP(Pipeline_tbl[[#This Row],[Rep_ID]],Dim_Reps!A:A,Dim_Reps!D:D)</f>
        <v>Inside Sales</v>
      </c>
      <c r="R882" t="str">
        <f>_xlfn.XLOOKUP(Pipeline_tbl[[#This Row],[Rep_ID]],Dim_Reps!A:A,Dim_Reps!E:E)</f>
        <v>EMEA</v>
      </c>
      <c r="S882" t="str">
        <f>_xlfn.XLOOKUP(Pipeline_tbl[[#This Row],[Created_Date]],Dim_Date!A:A,Dim_Date!H:H)</f>
        <v>Oct 2025</v>
      </c>
      <c r="T882" t="str">
        <f>IF(Pipeline_tbl[[#This Row],[Closed_Date]]=0,"",(_xlfn.XLOOKUP(Pipeline_tbl[[#This Row],[Closed_Date]],Dim_Date!A:A,Dim_Date!H:H)))</f>
        <v>Nov 2025</v>
      </c>
      <c r="U882">
        <f>IF(Pipeline_tbl[[#This Row],[Closed_Date]]=0,"",Pipeline_tbl[[#This Row],[Closed_Date]]-Pipeline_tbl[[#This Row],[Created_Date]])</f>
        <v>24</v>
      </c>
    </row>
    <row r="883" spans="1:21" ht="15" customHeight="1" x14ac:dyDescent="0.2">
      <c r="A883" t="s">
        <v>1189</v>
      </c>
      <c r="B883" t="s">
        <v>237</v>
      </c>
      <c r="C883" t="s">
        <v>52</v>
      </c>
      <c r="D883" s="49">
        <v>45953</v>
      </c>
      <c r="E883" s="49">
        <v>45955</v>
      </c>
      <c r="I883" s="49">
        <v>45971</v>
      </c>
      <c r="J883" t="s">
        <v>49</v>
      </c>
      <c r="K883" s="33">
        <v>3600</v>
      </c>
      <c r="L883" t="s">
        <v>61</v>
      </c>
      <c r="M883" t="str">
        <f>_xlfn.XLOOKUP(Pipeline_tbl[[#This Row],[Rep_ID]],Dim_Reps!A:A,Dim_Reps!K:K)</f>
        <v>EUR</v>
      </c>
      <c r="N883" s="33">
        <f>(_xlfn.XLOOKUP(Pipeline_tbl[[#This Row],[Rate_Code_Generalized]],Lookups!A:A,Lookups!B:B))*Pipeline_tbl[[#This Row],[Pipeline_Amount_USD]]</f>
        <v>3600</v>
      </c>
      <c r="O883" t="str">
        <f>_xlfn.XLOOKUP(Pipeline_tbl[[#This Row],[Rep_ID]],Dim_Reps!A:A,Dim_Reps!B:B)</f>
        <v>Hugo Santos</v>
      </c>
      <c r="P883" t="str">
        <f>_xlfn.XLOOKUP(Pipeline_tbl[[#This Row],[Rep_ID]],Dim_Reps!A:A,Dim_Reps!C:C)</f>
        <v>SDR / Inside Sales Rep</v>
      </c>
      <c r="Q883" t="str">
        <f>_xlfn.XLOOKUP(Pipeline_tbl[[#This Row],[Rep_ID]],Dim_Reps!A:A,Dim_Reps!D:D)</f>
        <v>Inside Sales</v>
      </c>
      <c r="R883" t="str">
        <f>_xlfn.XLOOKUP(Pipeline_tbl[[#This Row],[Rep_ID]],Dim_Reps!A:A,Dim_Reps!E:E)</f>
        <v>EMEA</v>
      </c>
      <c r="S883" t="str">
        <f>_xlfn.XLOOKUP(Pipeline_tbl[[#This Row],[Created_Date]],Dim_Date!A:A,Dim_Date!H:H)</f>
        <v>Oct 2025</v>
      </c>
      <c r="T883" t="str">
        <f>IF(Pipeline_tbl[[#This Row],[Closed_Date]]=0,"",(_xlfn.XLOOKUP(Pipeline_tbl[[#This Row],[Closed_Date]],Dim_Date!A:A,Dim_Date!H:H)))</f>
        <v>Nov 2025</v>
      </c>
      <c r="U883">
        <f>IF(Pipeline_tbl[[#This Row],[Closed_Date]]=0,"",Pipeline_tbl[[#This Row],[Closed_Date]]-Pipeline_tbl[[#This Row],[Created_Date]])</f>
        <v>18</v>
      </c>
    </row>
    <row r="884" spans="1:21" ht="15" customHeight="1" x14ac:dyDescent="0.2">
      <c r="A884" t="s">
        <v>1190</v>
      </c>
      <c r="B884" t="s">
        <v>237</v>
      </c>
      <c r="C884" t="s">
        <v>52</v>
      </c>
      <c r="D884" s="49">
        <v>45950</v>
      </c>
      <c r="E884" s="49">
        <v>45952</v>
      </c>
      <c r="F884" s="49">
        <v>45956</v>
      </c>
      <c r="I884" s="49">
        <v>45971</v>
      </c>
      <c r="J884" t="s">
        <v>49</v>
      </c>
      <c r="K884" s="33">
        <v>3900</v>
      </c>
      <c r="L884" t="s">
        <v>61</v>
      </c>
      <c r="M884" t="str">
        <f>_xlfn.XLOOKUP(Pipeline_tbl[[#This Row],[Rep_ID]],Dim_Reps!A:A,Dim_Reps!K:K)</f>
        <v>EUR</v>
      </c>
      <c r="N884" s="33">
        <f>(_xlfn.XLOOKUP(Pipeline_tbl[[#This Row],[Rate_Code_Generalized]],Lookups!A:A,Lookups!B:B))*Pipeline_tbl[[#This Row],[Pipeline_Amount_USD]]</f>
        <v>3900</v>
      </c>
      <c r="O884" t="str">
        <f>_xlfn.XLOOKUP(Pipeline_tbl[[#This Row],[Rep_ID]],Dim_Reps!A:A,Dim_Reps!B:B)</f>
        <v>Hugo Santos</v>
      </c>
      <c r="P884" t="str">
        <f>_xlfn.XLOOKUP(Pipeline_tbl[[#This Row],[Rep_ID]],Dim_Reps!A:A,Dim_Reps!C:C)</f>
        <v>SDR / Inside Sales Rep</v>
      </c>
      <c r="Q884" t="str">
        <f>_xlfn.XLOOKUP(Pipeline_tbl[[#This Row],[Rep_ID]],Dim_Reps!A:A,Dim_Reps!D:D)</f>
        <v>Inside Sales</v>
      </c>
      <c r="R884" t="str">
        <f>_xlfn.XLOOKUP(Pipeline_tbl[[#This Row],[Rep_ID]],Dim_Reps!A:A,Dim_Reps!E:E)</f>
        <v>EMEA</v>
      </c>
      <c r="S884" t="str">
        <f>_xlfn.XLOOKUP(Pipeline_tbl[[#This Row],[Created_Date]],Dim_Date!A:A,Dim_Date!H:H)</f>
        <v>Oct 2025</v>
      </c>
      <c r="T884" t="str">
        <f>IF(Pipeline_tbl[[#This Row],[Closed_Date]]=0,"",(_xlfn.XLOOKUP(Pipeline_tbl[[#This Row],[Closed_Date]],Dim_Date!A:A,Dim_Date!H:H)))</f>
        <v>Nov 2025</v>
      </c>
      <c r="U884">
        <f>IF(Pipeline_tbl[[#This Row],[Closed_Date]]=0,"",Pipeline_tbl[[#This Row],[Closed_Date]]-Pipeline_tbl[[#This Row],[Created_Date]])</f>
        <v>21</v>
      </c>
    </row>
    <row r="885" spans="1:21" ht="15" customHeight="1" x14ac:dyDescent="0.2">
      <c r="A885" t="s">
        <v>1191</v>
      </c>
      <c r="B885" t="s">
        <v>237</v>
      </c>
      <c r="C885" t="s">
        <v>52</v>
      </c>
      <c r="D885" s="49">
        <v>45944</v>
      </c>
      <c r="E885" s="49">
        <v>45947</v>
      </c>
      <c r="F885" s="49">
        <v>45952</v>
      </c>
      <c r="G885" s="49">
        <v>45960</v>
      </c>
      <c r="H885" s="49">
        <v>45966</v>
      </c>
      <c r="I885" s="49">
        <v>45970</v>
      </c>
      <c r="J885" t="s">
        <v>49</v>
      </c>
      <c r="K885" s="33">
        <v>4200</v>
      </c>
      <c r="L885" t="s">
        <v>64</v>
      </c>
      <c r="M885" t="str">
        <f>_xlfn.XLOOKUP(Pipeline_tbl[[#This Row],[Rep_ID]],Dim_Reps!A:A,Dim_Reps!K:K)</f>
        <v>EUR</v>
      </c>
      <c r="N885" s="33">
        <f>(_xlfn.XLOOKUP(Pipeline_tbl[[#This Row],[Rate_Code_Generalized]],Lookups!A:A,Lookups!B:B))*Pipeline_tbl[[#This Row],[Pipeline_Amount_USD]]</f>
        <v>4200</v>
      </c>
      <c r="O885" t="str">
        <f>_xlfn.XLOOKUP(Pipeline_tbl[[#This Row],[Rep_ID]],Dim_Reps!A:A,Dim_Reps!B:B)</f>
        <v>Hugo Santos</v>
      </c>
      <c r="P885" t="str">
        <f>_xlfn.XLOOKUP(Pipeline_tbl[[#This Row],[Rep_ID]],Dim_Reps!A:A,Dim_Reps!C:C)</f>
        <v>SDR / Inside Sales Rep</v>
      </c>
      <c r="Q885" t="str">
        <f>_xlfn.XLOOKUP(Pipeline_tbl[[#This Row],[Rep_ID]],Dim_Reps!A:A,Dim_Reps!D:D)</f>
        <v>Inside Sales</v>
      </c>
      <c r="R885" t="str">
        <f>_xlfn.XLOOKUP(Pipeline_tbl[[#This Row],[Rep_ID]],Dim_Reps!A:A,Dim_Reps!E:E)</f>
        <v>EMEA</v>
      </c>
      <c r="S885" t="str">
        <f>_xlfn.XLOOKUP(Pipeline_tbl[[#This Row],[Created_Date]],Dim_Date!A:A,Dim_Date!H:H)</f>
        <v>Oct 2025</v>
      </c>
      <c r="T885" t="str">
        <f>IF(Pipeline_tbl[[#This Row],[Closed_Date]]=0,"",(_xlfn.XLOOKUP(Pipeline_tbl[[#This Row],[Closed_Date]],Dim_Date!A:A,Dim_Date!H:H)))</f>
        <v>Nov 2025</v>
      </c>
      <c r="U885">
        <f>IF(Pipeline_tbl[[#This Row],[Closed_Date]]=0,"",Pipeline_tbl[[#This Row],[Closed_Date]]-Pipeline_tbl[[#This Row],[Created_Date]])</f>
        <v>26</v>
      </c>
    </row>
    <row r="886" spans="1:21" ht="15" customHeight="1" x14ac:dyDescent="0.2">
      <c r="A886" t="s">
        <v>1192</v>
      </c>
      <c r="B886" t="s">
        <v>239</v>
      </c>
      <c r="C886" t="s">
        <v>52</v>
      </c>
      <c r="D886" s="49">
        <v>45952</v>
      </c>
      <c r="E886" s="49">
        <v>45953</v>
      </c>
      <c r="F886" s="49">
        <v>45956</v>
      </c>
      <c r="G886" s="49">
        <v>45960</v>
      </c>
      <c r="H886" s="49">
        <v>45964</v>
      </c>
      <c r="I886" s="49">
        <v>45966</v>
      </c>
      <c r="J886" t="s">
        <v>49</v>
      </c>
      <c r="K886" s="33">
        <v>3000</v>
      </c>
      <c r="L886" t="s">
        <v>60</v>
      </c>
      <c r="M886" t="str">
        <f>_xlfn.XLOOKUP(Pipeline_tbl[[#This Row],[Rep_ID]],Dim_Reps!A:A,Dim_Reps!K:K)</f>
        <v>USD</v>
      </c>
      <c r="N886" s="33">
        <f>(_xlfn.XLOOKUP(Pipeline_tbl[[#This Row],[Rate_Code_Generalized]],Lookups!A:A,Lookups!B:B))*Pipeline_tbl[[#This Row],[Pipeline_Amount_USD]]</f>
        <v>3492.8999999999996</v>
      </c>
      <c r="O886" t="str">
        <f>_xlfn.XLOOKUP(Pipeline_tbl[[#This Row],[Rep_ID]],Dim_Reps!A:A,Dim_Reps!B:B)</f>
        <v>Noah Adler</v>
      </c>
      <c r="P886" t="str">
        <f>_xlfn.XLOOKUP(Pipeline_tbl[[#This Row],[Rep_ID]],Dim_Reps!A:A,Dim_Reps!C:C)</f>
        <v>SDR / Inside Sales Rep</v>
      </c>
      <c r="Q886" t="str">
        <f>_xlfn.XLOOKUP(Pipeline_tbl[[#This Row],[Rep_ID]],Dim_Reps!A:A,Dim_Reps!D:D)</f>
        <v>Inside Sales</v>
      </c>
      <c r="R886" t="str">
        <f>_xlfn.XLOOKUP(Pipeline_tbl[[#This Row],[Rep_ID]],Dim_Reps!A:A,Dim_Reps!E:E)</f>
        <v>NAMER</v>
      </c>
      <c r="S886" t="str">
        <f>_xlfn.XLOOKUP(Pipeline_tbl[[#This Row],[Created_Date]],Dim_Date!A:A,Dim_Date!H:H)</f>
        <v>Oct 2025</v>
      </c>
      <c r="T886" t="str">
        <f>IF(Pipeline_tbl[[#This Row],[Closed_Date]]=0,"",(_xlfn.XLOOKUP(Pipeline_tbl[[#This Row],[Closed_Date]],Dim_Date!A:A,Dim_Date!H:H)))</f>
        <v>Nov 2025</v>
      </c>
      <c r="U886">
        <f>IF(Pipeline_tbl[[#This Row],[Closed_Date]]=0,"",Pipeline_tbl[[#This Row],[Closed_Date]]-Pipeline_tbl[[#This Row],[Created_Date]])</f>
        <v>14</v>
      </c>
    </row>
    <row r="887" spans="1:21" ht="15" customHeight="1" x14ac:dyDescent="0.2">
      <c r="A887" t="s">
        <v>1193</v>
      </c>
      <c r="B887" t="s">
        <v>239</v>
      </c>
      <c r="C887" t="s">
        <v>52</v>
      </c>
      <c r="D887" s="49">
        <v>45949</v>
      </c>
      <c r="E887" s="49">
        <v>45951</v>
      </c>
      <c r="F887" s="49">
        <v>45955</v>
      </c>
      <c r="I887" s="49">
        <v>45970</v>
      </c>
      <c r="J887" t="s">
        <v>49</v>
      </c>
      <c r="K887" s="33">
        <v>3700</v>
      </c>
      <c r="L887" t="s">
        <v>60</v>
      </c>
      <c r="M887" t="str">
        <f>_xlfn.XLOOKUP(Pipeline_tbl[[#This Row],[Rep_ID]],Dim_Reps!A:A,Dim_Reps!K:K)</f>
        <v>USD</v>
      </c>
      <c r="N887" s="33">
        <f>(_xlfn.XLOOKUP(Pipeline_tbl[[#This Row],[Rate_Code_Generalized]],Lookups!A:A,Lookups!B:B))*Pipeline_tbl[[#This Row],[Pipeline_Amount_USD]]</f>
        <v>4307.91</v>
      </c>
      <c r="O887" t="str">
        <f>_xlfn.XLOOKUP(Pipeline_tbl[[#This Row],[Rep_ID]],Dim_Reps!A:A,Dim_Reps!B:B)</f>
        <v>Noah Adler</v>
      </c>
      <c r="P887" t="str">
        <f>_xlfn.XLOOKUP(Pipeline_tbl[[#This Row],[Rep_ID]],Dim_Reps!A:A,Dim_Reps!C:C)</f>
        <v>SDR / Inside Sales Rep</v>
      </c>
      <c r="Q887" t="str">
        <f>_xlfn.XLOOKUP(Pipeline_tbl[[#This Row],[Rep_ID]],Dim_Reps!A:A,Dim_Reps!D:D)</f>
        <v>Inside Sales</v>
      </c>
      <c r="R887" t="str">
        <f>_xlfn.XLOOKUP(Pipeline_tbl[[#This Row],[Rep_ID]],Dim_Reps!A:A,Dim_Reps!E:E)</f>
        <v>NAMER</v>
      </c>
      <c r="S887" t="str">
        <f>_xlfn.XLOOKUP(Pipeline_tbl[[#This Row],[Created_Date]],Dim_Date!A:A,Dim_Date!H:H)</f>
        <v>Oct 2025</v>
      </c>
      <c r="T887" t="str">
        <f>IF(Pipeline_tbl[[#This Row],[Closed_Date]]=0,"",(_xlfn.XLOOKUP(Pipeline_tbl[[#This Row],[Closed_Date]],Dim_Date!A:A,Dim_Date!H:H)))</f>
        <v>Nov 2025</v>
      </c>
      <c r="U887">
        <f>IF(Pipeline_tbl[[#This Row],[Closed_Date]]=0,"",Pipeline_tbl[[#This Row],[Closed_Date]]-Pipeline_tbl[[#This Row],[Created_Date]])</f>
        <v>21</v>
      </c>
    </row>
    <row r="888" spans="1:21" ht="15" customHeight="1" x14ac:dyDescent="0.2">
      <c r="A888" t="s">
        <v>1194</v>
      </c>
      <c r="B888" t="s">
        <v>239</v>
      </c>
      <c r="C888" t="s">
        <v>52</v>
      </c>
      <c r="D888" s="49">
        <v>45961</v>
      </c>
      <c r="E888" s="49">
        <v>45963</v>
      </c>
      <c r="F888" s="49">
        <v>45967</v>
      </c>
      <c r="G888" s="49">
        <v>45974</v>
      </c>
      <c r="H888" s="49">
        <v>45979</v>
      </c>
      <c r="I888" s="49">
        <v>45982</v>
      </c>
      <c r="J888" t="s">
        <v>47</v>
      </c>
      <c r="K888" s="33">
        <v>3500</v>
      </c>
      <c r="M888" t="str">
        <f>_xlfn.XLOOKUP(Pipeline_tbl[[#This Row],[Rep_ID]],Dim_Reps!A:A,Dim_Reps!K:K)</f>
        <v>USD</v>
      </c>
      <c r="N888" s="33">
        <f>(_xlfn.XLOOKUP(Pipeline_tbl[[#This Row],[Rate_Code_Generalized]],Lookups!A:A,Lookups!B:B))*Pipeline_tbl[[#This Row],[Pipeline_Amount_USD]]</f>
        <v>4075.0499999999997</v>
      </c>
      <c r="O888" t="str">
        <f>_xlfn.XLOOKUP(Pipeline_tbl[[#This Row],[Rep_ID]],Dim_Reps!A:A,Dim_Reps!B:B)</f>
        <v>Noah Adler</v>
      </c>
      <c r="P888" t="str">
        <f>_xlfn.XLOOKUP(Pipeline_tbl[[#This Row],[Rep_ID]],Dim_Reps!A:A,Dim_Reps!C:C)</f>
        <v>SDR / Inside Sales Rep</v>
      </c>
      <c r="Q888" t="str">
        <f>_xlfn.XLOOKUP(Pipeline_tbl[[#This Row],[Rep_ID]],Dim_Reps!A:A,Dim_Reps!D:D)</f>
        <v>Inside Sales</v>
      </c>
      <c r="R888" t="str">
        <f>_xlfn.XLOOKUP(Pipeline_tbl[[#This Row],[Rep_ID]],Dim_Reps!A:A,Dim_Reps!E:E)</f>
        <v>NAMER</v>
      </c>
      <c r="S888" t="str">
        <f>_xlfn.XLOOKUP(Pipeline_tbl[[#This Row],[Created_Date]],Dim_Date!A:A,Dim_Date!H:H)</f>
        <v>Oct 2025</v>
      </c>
      <c r="T888" t="str">
        <f>IF(Pipeline_tbl[[#This Row],[Closed_Date]]=0,"",(_xlfn.XLOOKUP(Pipeline_tbl[[#This Row],[Closed_Date]],Dim_Date!A:A,Dim_Date!H:H)))</f>
        <v>Nov 2025</v>
      </c>
      <c r="U888">
        <f>IF(Pipeline_tbl[[#This Row],[Closed_Date]]=0,"",Pipeline_tbl[[#This Row],[Closed_Date]]-Pipeline_tbl[[#This Row],[Created_Date]])</f>
        <v>21</v>
      </c>
    </row>
    <row r="889" spans="1:21" ht="15" customHeight="1" x14ac:dyDescent="0.2">
      <c r="A889" t="s">
        <v>1195</v>
      </c>
      <c r="B889" t="s">
        <v>239</v>
      </c>
      <c r="C889" t="s">
        <v>52</v>
      </c>
      <c r="D889" s="49">
        <v>45947</v>
      </c>
      <c r="E889" s="49">
        <v>45949</v>
      </c>
      <c r="F889" s="49">
        <v>45952</v>
      </c>
      <c r="G889" s="49">
        <v>45956</v>
      </c>
      <c r="H889" s="49">
        <v>45960</v>
      </c>
      <c r="I889" s="49">
        <v>45962</v>
      </c>
      <c r="J889" t="s">
        <v>47</v>
      </c>
      <c r="K889" s="33">
        <v>1500</v>
      </c>
      <c r="M889" t="str">
        <f>_xlfn.XLOOKUP(Pipeline_tbl[[#This Row],[Rep_ID]],Dim_Reps!A:A,Dim_Reps!K:K)</f>
        <v>USD</v>
      </c>
      <c r="N889" s="33">
        <f>(_xlfn.XLOOKUP(Pipeline_tbl[[#This Row],[Rate_Code_Generalized]],Lookups!A:A,Lookups!B:B))*Pipeline_tbl[[#This Row],[Pipeline_Amount_USD]]</f>
        <v>1746.4499999999998</v>
      </c>
      <c r="O889" t="str">
        <f>_xlfn.XLOOKUP(Pipeline_tbl[[#This Row],[Rep_ID]],Dim_Reps!A:A,Dim_Reps!B:B)</f>
        <v>Noah Adler</v>
      </c>
      <c r="P889" t="str">
        <f>_xlfn.XLOOKUP(Pipeline_tbl[[#This Row],[Rep_ID]],Dim_Reps!A:A,Dim_Reps!C:C)</f>
        <v>SDR / Inside Sales Rep</v>
      </c>
      <c r="Q889" t="str">
        <f>_xlfn.XLOOKUP(Pipeline_tbl[[#This Row],[Rep_ID]],Dim_Reps!A:A,Dim_Reps!D:D)</f>
        <v>Inside Sales</v>
      </c>
      <c r="R889" t="str">
        <f>_xlfn.XLOOKUP(Pipeline_tbl[[#This Row],[Rep_ID]],Dim_Reps!A:A,Dim_Reps!E:E)</f>
        <v>NAMER</v>
      </c>
      <c r="S889" t="str">
        <f>_xlfn.XLOOKUP(Pipeline_tbl[[#This Row],[Created_Date]],Dim_Date!A:A,Dim_Date!H:H)</f>
        <v>Oct 2025</v>
      </c>
      <c r="T889" t="str">
        <f>IF(Pipeline_tbl[[#This Row],[Closed_Date]]=0,"",(_xlfn.XLOOKUP(Pipeline_tbl[[#This Row],[Closed_Date]],Dim_Date!A:A,Dim_Date!H:H)))</f>
        <v>Nov 2025</v>
      </c>
      <c r="U889">
        <f>IF(Pipeline_tbl[[#This Row],[Closed_Date]]=0,"",Pipeline_tbl[[#This Row],[Closed_Date]]-Pipeline_tbl[[#This Row],[Created_Date]])</f>
        <v>15</v>
      </c>
    </row>
    <row r="890" spans="1:21" ht="15" customHeight="1" x14ac:dyDescent="0.2">
      <c r="A890" t="s">
        <v>1196</v>
      </c>
      <c r="B890" t="s">
        <v>239</v>
      </c>
      <c r="C890" t="s">
        <v>52</v>
      </c>
      <c r="D890" s="49">
        <v>45961</v>
      </c>
      <c r="E890" s="49">
        <v>45963</v>
      </c>
      <c r="F890" s="49">
        <v>45968</v>
      </c>
      <c r="G890" s="49">
        <v>45975</v>
      </c>
      <c r="I890" s="49">
        <v>45984</v>
      </c>
      <c r="J890" t="s">
        <v>49</v>
      </c>
      <c r="K890" s="33">
        <v>2800</v>
      </c>
      <c r="L890" t="s">
        <v>64</v>
      </c>
      <c r="M890" t="str">
        <f>_xlfn.XLOOKUP(Pipeline_tbl[[#This Row],[Rep_ID]],Dim_Reps!A:A,Dim_Reps!K:K)</f>
        <v>USD</v>
      </c>
      <c r="N890" s="33">
        <f>(_xlfn.XLOOKUP(Pipeline_tbl[[#This Row],[Rate_Code_Generalized]],Lookups!A:A,Lookups!B:B))*Pipeline_tbl[[#This Row],[Pipeline_Amount_USD]]</f>
        <v>3260.0399999999995</v>
      </c>
      <c r="O890" t="str">
        <f>_xlfn.XLOOKUP(Pipeline_tbl[[#This Row],[Rep_ID]],Dim_Reps!A:A,Dim_Reps!B:B)</f>
        <v>Noah Adler</v>
      </c>
      <c r="P890" t="str">
        <f>_xlfn.XLOOKUP(Pipeline_tbl[[#This Row],[Rep_ID]],Dim_Reps!A:A,Dim_Reps!C:C)</f>
        <v>SDR / Inside Sales Rep</v>
      </c>
      <c r="Q890" t="str">
        <f>_xlfn.XLOOKUP(Pipeline_tbl[[#This Row],[Rep_ID]],Dim_Reps!A:A,Dim_Reps!D:D)</f>
        <v>Inside Sales</v>
      </c>
      <c r="R890" t="str">
        <f>_xlfn.XLOOKUP(Pipeline_tbl[[#This Row],[Rep_ID]],Dim_Reps!A:A,Dim_Reps!E:E)</f>
        <v>NAMER</v>
      </c>
      <c r="S890" t="str">
        <f>_xlfn.XLOOKUP(Pipeline_tbl[[#This Row],[Created_Date]],Dim_Date!A:A,Dim_Date!H:H)</f>
        <v>Oct 2025</v>
      </c>
      <c r="T890" t="str">
        <f>IF(Pipeline_tbl[[#This Row],[Closed_Date]]=0,"",(_xlfn.XLOOKUP(Pipeline_tbl[[#This Row],[Closed_Date]],Dim_Date!A:A,Dim_Date!H:H)))</f>
        <v>Nov 2025</v>
      </c>
      <c r="U890">
        <f>IF(Pipeline_tbl[[#This Row],[Closed_Date]]=0,"",Pipeline_tbl[[#This Row],[Closed_Date]]-Pipeline_tbl[[#This Row],[Created_Date]])</f>
        <v>23</v>
      </c>
    </row>
    <row r="891" spans="1:21" ht="15" customHeight="1" x14ac:dyDescent="0.2">
      <c r="A891" t="s">
        <v>1197</v>
      </c>
      <c r="B891" t="s">
        <v>271</v>
      </c>
      <c r="C891" t="s">
        <v>52</v>
      </c>
      <c r="D891" s="49">
        <v>45943</v>
      </c>
      <c r="E891" s="49">
        <v>45947</v>
      </c>
      <c r="F891" s="49">
        <v>45957</v>
      </c>
      <c r="G891" s="49">
        <v>45970</v>
      </c>
      <c r="H891" s="49">
        <v>45981</v>
      </c>
      <c r="I891" s="49">
        <v>45988</v>
      </c>
      <c r="J891" t="s">
        <v>49</v>
      </c>
      <c r="K891" s="33">
        <v>19200</v>
      </c>
      <c r="L891" t="s">
        <v>61</v>
      </c>
      <c r="M891" t="str">
        <f>_xlfn.XLOOKUP(Pipeline_tbl[[#This Row],[Rep_ID]],Dim_Reps!A:A,Dim_Reps!K:K)</f>
        <v>EUR</v>
      </c>
      <c r="N891" s="33">
        <f>(_xlfn.XLOOKUP(Pipeline_tbl[[#This Row],[Rate_Code_Generalized]],Lookups!A:A,Lookups!B:B))*Pipeline_tbl[[#This Row],[Pipeline_Amount_USD]]</f>
        <v>19200</v>
      </c>
      <c r="O891" t="str">
        <f>_xlfn.XLOOKUP(Pipeline_tbl[[#This Row],[Rep_ID]],Dim_Reps!A:A,Dim_Reps!B:B)</f>
        <v>Ivy Adler</v>
      </c>
      <c r="P891" t="str">
        <f>_xlfn.XLOOKUP(Pipeline_tbl[[#This Row],[Rep_ID]],Dim_Reps!A:A,Dim_Reps!C:C)</f>
        <v>Mid-Market AE</v>
      </c>
      <c r="Q891" t="str">
        <f>_xlfn.XLOOKUP(Pipeline_tbl[[#This Row],[Rep_ID]],Dim_Reps!A:A,Dim_Reps!D:D)</f>
        <v>Mid-Market</v>
      </c>
      <c r="R891" t="str">
        <f>_xlfn.XLOOKUP(Pipeline_tbl[[#This Row],[Rep_ID]],Dim_Reps!A:A,Dim_Reps!E:E)</f>
        <v>APAC</v>
      </c>
      <c r="S891" t="str">
        <f>_xlfn.XLOOKUP(Pipeline_tbl[[#This Row],[Created_Date]],Dim_Date!A:A,Dim_Date!H:H)</f>
        <v>Oct 2025</v>
      </c>
      <c r="T891" t="str">
        <f>IF(Pipeline_tbl[[#This Row],[Closed_Date]]=0,"",(_xlfn.XLOOKUP(Pipeline_tbl[[#This Row],[Closed_Date]],Dim_Date!A:A,Dim_Date!H:H)))</f>
        <v>Nov 2025</v>
      </c>
      <c r="U891">
        <f>IF(Pipeline_tbl[[#This Row],[Closed_Date]]=0,"",Pipeline_tbl[[#This Row],[Closed_Date]]-Pipeline_tbl[[#This Row],[Created_Date]])</f>
        <v>45</v>
      </c>
    </row>
    <row r="892" spans="1:21" ht="15" customHeight="1" x14ac:dyDescent="0.2">
      <c r="A892" t="s">
        <v>1198</v>
      </c>
      <c r="B892" t="s">
        <v>271</v>
      </c>
      <c r="C892" t="s">
        <v>53</v>
      </c>
      <c r="D892" s="49">
        <v>45938</v>
      </c>
      <c r="E892" s="49">
        <v>45943</v>
      </c>
      <c r="F892" s="49">
        <v>45954</v>
      </c>
      <c r="G892" s="49">
        <v>45970</v>
      </c>
      <c r="H892" s="49">
        <v>45983</v>
      </c>
      <c r="I892" s="49">
        <v>45991</v>
      </c>
      <c r="J892" t="s">
        <v>47</v>
      </c>
      <c r="K892" s="33">
        <v>6600</v>
      </c>
      <c r="M892" t="str">
        <f>_xlfn.XLOOKUP(Pipeline_tbl[[#This Row],[Rep_ID]],Dim_Reps!A:A,Dim_Reps!K:K)</f>
        <v>EUR</v>
      </c>
      <c r="N892" s="33">
        <f>(_xlfn.XLOOKUP(Pipeline_tbl[[#This Row],[Rate_Code_Generalized]],Lookups!A:A,Lookups!B:B))*Pipeline_tbl[[#This Row],[Pipeline_Amount_USD]]</f>
        <v>6600</v>
      </c>
      <c r="O892" t="str">
        <f>_xlfn.XLOOKUP(Pipeline_tbl[[#This Row],[Rep_ID]],Dim_Reps!A:A,Dim_Reps!B:B)</f>
        <v>Ivy Adler</v>
      </c>
      <c r="P892" t="str">
        <f>_xlfn.XLOOKUP(Pipeline_tbl[[#This Row],[Rep_ID]],Dim_Reps!A:A,Dim_Reps!C:C)</f>
        <v>Mid-Market AE</v>
      </c>
      <c r="Q892" t="str">
        <f>_xlfn.XLOOKUP(Pipeline_tbl[[#This Row],[Rep_ID]],Dim_Reps!A:A,Dim_Reps!D:D)</f>
        <v>Mid-Market</v>
      </c>
      <c r="R892" t="str">
        <f>_xlfn.XLOOKUP(Pipeline_tbl[[#This Row],[Rep_ID]],Dim_Reps!A:A,Dim_Reps!E:E)</f>
        <v>APAC</v>
      </c>
      <c r="S892" t="str">
        <f>_xlfn.XLOOKUP(Pipeline_tbl[[#This Row],[Created_Date]],Dim_Date!A:A,Dim_Date!H:H)</f>
        <v>Oct 2025</v>
      </c>
      <c r="T892" t="str">
        <f>IF(Pipeline_tbl[[#This Row],[Closed_Date]]=0,"",(_xlfn.XLOOKUP(Pipeline_tbl[[#This Row],[Closed_Date]],Dim_Date!A:A,Dim_Date!H:H)))</f>
        <v>Nov 2025</v>
      </c>
      <c r="U892">
        <f>IF(Pipeline_tbl[[#This Row],[Closed_Date]]=0,"",Pipeline_tbl[[#This Row],[Closed_Date]]-Pipeline_tbl[[#This Row],[Created_Date]])</f>
        <v>53</v>
      </c>
    </row>
    <row r="893" spans="1:21" ht="15" customHeight="1" x14ac:dyDescent="0.2">
      <c r="A893" t="s">
        <v>1199</v>
      </c>
      <c r="B893" t="s">
        <v>271</v>
      </c>
      <c r="C893" t="s">
        <v>56</v>
      </c>
      <c r="D893" s="49">
        <v>45947</v>
      </c>
      <c r="E893" s="49">
        <v>45951</v>
      </c>
      <c r="F893" s="49">
        <v>45959</v>
      </c>
      <c r="I893" s="49">
        <v>45986</v>
      </c>
      <c r="J893" t="s">
        <v>49</v>
      </c>
      <c r="K893" s="33">
        <v>4800</v>
      </c>
      <c r="L893" t="s">
        <v>62</v>
      </c>
      <c r="M893" t="str">
        <f>_xlfn.XLOOKUP(Pipeline_tbl[[#This Row],[Rep_ID]],Dim_Reps!A:A,Dim_Reps!K:K)</f>
        <v>EUR</v>
      </c>
      <c r="N893" s="33">
        <f>(_xlfn.XLOOKUP(Pipeline_tbl[[#This Row],[Rate_Code_Generalized]],Lookups!A:A,Lookups!B:B))*Pipeline_tbl[[#This Row],[Pipeline_Amount_USD]]</f>
        <v>4800</v>
      </c>
      <c r="O893" t="str">
        <f>_xlfn.XLOOKUP(Pipeline_tbl[[#This Row],[Rep_ID]],Dim_Reps!A:A,Dim_Reps!B:B)</f>
        <v>Ivy Adler</v>
      </c>
      <c r="P893" t="str">
        <f>_xlfn.XLOOKUP(Pipeline_tbl[[#This Row],[Rep_ID]],Dim_Reps!A:A,Dim_Reps!C:C)</f>
        <v>Mid-Market AE</v>
      </c>
      <c r="Q893" t="str">
        <f>_xlfn.XLOOKUP(Pipeline_tbl[[#This Row],[Rep_ID]],Dim_Reps!A:A,Dim_Reps!D:D)</f>
        <v>Mid-Market</v>
      </c>
      <c r="R893" t="str">
        <f>_xlfn.XLOOKUP(Pipeline_tbl[[#This Row],[Rep_ID]],Dim_Reps!A:A,Dim_Reps!E:E)</f>
        <v>APAC</v>
      </c>
      <c r="S893" t="str">
        <f>_xlfn.XLOOKUP(Pipeline_tbl[[#This Row],[Created_Date]],Dim_Date!A:A,Dim_Date!H:H)</f>
        <v>Oct 2025</v>
      </c>
      <c r="T893" t="str">
        <f>IF(Pipeline_tbl[[#This Row],[Closed_Date]]=0,"",(_xlfn.XLOOKUP(Pipeline_tbl[[#This Row],[Closed_Date]],Dim_Date!A:A,Dim_Date!H:H)))</f>
        <v>Nov 2025</v>
      </c>
      <c r="U893">
        <f>IF(Pipeline_tbl[[#This Row],[Closed_Date]]=0,"",Pipeline_tbl[[#This Row],[Closed_Date]]-Pipeline_tbl[[#This Row],[Created_Date]])</f>
        <v>39</v>
      </c>
    </row>
    <row r="894" spans="1:21" ht="15" customHeight="1" x14ac:dyDescent="0.2">
      <c r="A894" t="s">
        <v>1200</v>
      </c>
      <c r="B894" t="s">
        <v>271</v>
      </c>
      <c r="C894" t="s">
        <v>55</v>
      </c>
      <c r="D894" s="49">
        <v>45956</v>
      </c>
      <c r="E894" s="49">
        <v>45959</v>
      </c>
      <c r="F894" s="49">
        <v>45964</v>
      </c>
      <c r="G894" s="49">
        <v>45972</v>
      </c>
      <c r="H894" s="49">
        <v>45979</v>
      </c>
      <c r="I894" s="49">
        <v>45983</v>
      </c>
      <c r="J894" t="s">
        <v>49</v>
      </c>
      <c r="K894" s="33">
        <v>12900</v>
      </c>
      <c r="L894" t="s">
        <v>61</v>
      </c>
      <c r="M894" t="str">
        <f>_xlfn.XLOOKUP(Pipeline_tbl[[#This Row],[Rep_ID]],Dim_Reps!A:A,Dim_Reps!K:K)</f>
        <v>EUR</v>
      </c>
      <c r="N894" s="33">
        <f>(_xlfn.XLOOKUP(Pipeline_tbl[[#This Row],[Rate_Code_Generalized]],Lookups!A:A,Lookups!B:B))*Pipeline_tbl[[#This Row],[Pipeline_Amount_USD]]</f>
        <v>12900</v>
      </c>
      <c r="O894" t="str">
        <f>_xlfn.XLOOKUP(Pipeline_tbl[[#This Row],[Rep_ID]],Dim_Reps!A:A,Dim_Reps!B:B)</f>
        <v>Ivy Adler</v>
      </c>
      <c r="P894" t="str">
        <f>_xlfn.XLOOKUP(Pipeline_tbl[[#This Row],[Rep_ID]],Dim_Reps!A:A,Dim_Reps!C:C)</f>
        <v>Mid-Market AE</v>
      </c>
      <c r="Q894" t="str">
        <f>_xlfn.XLOOKUP(Pipeline_tbl[[#This Row],[Rep_ID]],Dim_Reps!A:A,Dim_Reps!D:D)</f>
        <v>Mid-Market</v>
      </c>
      <c r="R894" t="str">
        <f>_xlfn.XLOOKUP(Pipeline_tbl[[#This Row],[Rep_ID]],Dim_Reps!A:A,Dim_Reps!E:E)</f>
        <v>APAC</v>
      </c>
      <c r="S894" t="str">
        <f>_xlfn.XLOOKUP(Pipeline_tbl[[#This Row],[Created_Date]],Dim_Date!A:A,Dim_Date!H:H)</f>
        <v>Oct 2025</v>
      </c>
      <c r="T894" t="str">
        <f>IF(Pipeline_tbl[[#This Row],[Closed_Date]]=0,"",(_xlfn.XLOOKUP(Pipeline_tbl[[#This Row],[Closed_Date]],Dim_Date!A:A,Dim_Date!H:H)))</f>
        <v>Nov 2025</v>
      </c>
      <c r="U894">
        <f>IF(Pipeline_tbl[[#This Row],[Closed_Date]]=0,"",Pipeline_tbl[[#This Row],[Closed_Date]]-Pipeline_tbl[[#This Row],[Created_Date]])</f>
        <v>27</v>
      </c>
    </row>
    <row r="895" spans="1:21" ht="15" customHeight="1" x14ac:dyDescent="0.2">
      <c r="A895" t="s">
        <v>1201</v>
      </c>
      <c r="B895" t="s">
        <v>271</v>
      </c>
      <c r="C895" t="s">
        <v>53</v>
      </c>
      <c r="D895" s="49">
        <v>45953</v>
      </c>
      <c r="E895" s="49">
        <v>45956</v>
      </c>
      <c r="F895" s="49">
        <v>45962</v>
      </c>
      <c r="G895" s="49">
        <v>45970</v>
      </c>
      <c r="I895" s="49">
        <v>45982</v>
      </c>
      <c r="J895" t="s">
        <v>49</v>
      </c>
      <c r="K895" s="33">
        <v>11700</v>
      </c>
      <c r="L895" t="s">
        <v>62</v>
      </c>
      <c r="M895" t="str">
        <f>_xlfn.XLOOKUP(Pipeline_tbl[[#This Row],[Rep_ID]],Dim_Reps!A:A,Dim_Reps!K:K)</f>
        <v>EUR</v>
      </c>
      <c r="N895" s="33">
        <f>(_xlfn.XLOOKUP(Pipeline_tbl[[#This Row],[Rate_Code_Generalized]],Lookups!A:A,Lookups!B:B))*Pipeline_tbl[[#This Row],[Pipeline_Amount_USD]]</f>
        <v>11700</v>
      </c>
      <c r="O895" t="str">
        <f>_xlfn.XLOOKUP(Pipeline_tbl[[#This Row],[Rep_ID]],Dim_Reps!A:A,Dim_Reps!B:B)</f>
        <v>Ivy Adler</v>
      </c>
      <c r="P895" t="str">
        <f>_xlfn.XLOOKUP(Pipeline_tbl[[#This Row],[Rep_ID]],Dim_Reps!A:A,Dim_Reps!C:C)</f>
        <v>Mid-Market AE</v>
      </c>
      <c r="Q895" t="str">
        <f>_xlfn.XLOOKUP(Pipeline_tbl[[#This Row],[Rep_ID]],Dim_Reps!A:A,Dim_Reps!D:D)</f>
        <v>Mid-Market</v>
      </c>
      <c r="R895" t="str">
        <f>_xlfn.XLOOKUP(Pipeline_tbl[[#This Row],[Rep_ID]],Dim_Reps!A:A,Dim_Reps!E:E)</f>
        <v>APAC</v>
      </c>
      <c r="S895" t="str">
        <f>_xlfn.XLOOKUP(Pipeline_tbl[[#This Row],[Created_Date]],Dim_Date!A:A,Dim_Date!H:H)</f>
        <v>Oct 2025</v>
      </c>
      <c r="T895" t="str">
        <f>IF(Pipeline_tbl[[#This Row],[Closed_Date]]=0,"",(_xlfn.XLOOKUP(Pipeline_tbl[[#This Row],[Closed_Date]],Dim_Date!A:A,Dim_Date!H:H)))</f>
        <v>Nov 2025</v>
      </c>
      <c r="U895">
        <f>IF(Pipeline_tbl[[#This Row],[Closed_Date]]=0,"",Pipeline_tbl[[#This Row],[Closed_Date]]-Pipeline_tbl[[#This Row],[Created_Date]])</f>
        <v>29</v>
      </c>
    </row>
    <row r="896" spans="1:21" ht="15" customHeight="1" x14ac:dyDescent="0.2">
      <c r="A896" t="s">
        <v>1202</v>
      </c>
      <c r="B896" t="s">
        <v>273</v>
      </c>
      <c r="C896" t="s">
        <v>52</v>
      </c>
      <c r="D896" s="49">
        <v>45959</v>
      </c>
      <c r="E896" s="49">
        <v>45962</v>
      </c>
      <c r="F896" s="49">
        <v>45968</v>
      </c>
      <c r="G896" s="49">
        <v>45976</v>
      </c>
      <c r="H896" s="49">
        <v>45984</v>
      </c>
      <c r="I896" s="49">
        <v>45988</v>
      </c>
      <c r="J896" t="s">
        <v>47</v>
      </c>
      <c r="K896" s="33">
        <v>13700</v>
      </c>
      <c r="M896" t="str">
        <f>_xlfn.XLOOKUP(Pipeline_tbl[[#This Row],[Rep_ID]],Dim_Reps!A:A,Dim_Reps!K:K)</f>
        <v>EUR</v>
      </c>
      <c r="N896" s="33">
        <f>(_xlfn.XLOOKUP(Pipeline_tbl[[#This Row],[Rate_Code_Generalized]],Lookups!A:A,Lookups!B:B))*Pipeline_tbl[[#This Row],[Pipeline_Amount_USD]]</f>
        <v>13700</v>
      </c>
      <c r="O896" t="str">
        <f>_xlfn.XLOOKUP(Pipeline_tbl[[#This Row],[Rep_ID]],Dim_Reps!A:A,Dim_Reps!B:B)</f>
        <v>Olivia Cohen</v>
      </c>
      <c r="P896" t="str">
        <f>_xlfn.XLOOKUP(Pipeline_tbl[[#This Row],[Rep_ID]],Dim_Reps!A:A,Dim_Reps!C:C)</f>
        <v>Mid-Market AE</v>
      </c>
      <c r="Q896" t="str">
        <f>_xlfn.XLOOKUP(Pipeline_tbl[[#This Row],[Rep_ID]],Dim_Reps!A:A,Dim_Reps!D:D)</f>
        <v>Mid-Market</v>
      </c>
      <c r="R896" t="str">
        <f>_xlfn.XLOOKUP(Pipeline_tbl[[#This Row],[Rep_ID]],Dim_Reps!A:A,Dim_Reps!E:E)</f>
        <v>APAC</v>
      </c>
      <c r="S896" t="str">
        <f>_xlfn.XLOOKUP(Pipeline_tbl[[#This Row],[Created_Date]],Dim_Date!A:A,Dim_Date!H:H)</f>
        <v>Oct 2025</v>
      </c>
      <c r="T896" t="str">
        <f>IF(Pipeline_tbl[[#This Row],[Closed_Date]]=0,"",(_xlfn.XLOOKUP(Pipeline_tbl[[#This Row],[Closed_Date]],Dim_Date!A:A,Dim_Date!H:H)))</f>
        <v>Nov 2025</v>
      </c>
      <c r="U896">
        <f>IF(Pipeline_tbl[[#This Row],[Closed_Date]]=0,"",Pipeline_tbl[[#This Row],[Closed_Date]]-Pipeline_tbl[[#This Row],[Created_Date]])</f>
        <v>29</v>
      </c>
    </row>
    <row r="897" spans="1:21" ht="15" customHeight="1" x14ac:dyDescent="0.2">
      <c r="A897" t="s">
        <v>1203</v>
      </c>
      <c r="B897" t="s">
        <v>273</v>
      </c>
      <c r="C897" t="s">
        <v>52</v>
      </c>
      <c r="D897" s="49">
        <v>45941</v>
      </c>
      <c r="E897" s="49">
        <v>45944</v>
      </c>
      <c r="F897" s="49">
        <v>45950</v>
      </c>
      <c r="G897" s="49">
        <v>45960</v>
      </c>
      <c r="H897" s="49">
        <v>45967</v>
      </c>
      <c r="I897" s="49">
        <v>45972</v>
      </c>
      <c r="J897" t="s">
        <v>49</v>
      </c>
      <c r="K897" s="33">
        <v>13900</v>
      </c>
      <c r="L897" t="s">
        <v>60</v>
      </c>
      <c r="M897" t="str">
        <f>_xlfn.XLOOKUP(Pipeline_tbl[[#This Row],[Rep_ID]],Dim_Reps!A:A,Dim_Reps!K:K)</f>
        <v>EUR</v>
      </c>
      <c r="N897" s="33">
        <f>(_xlfn.XLOOKUP(Pipeline_tbl[[#This Row],[Rate_Code_Generalized]],Lookups!A:A,Lookups!B:B))*Pipeline_tbl[[#This Row],[Pipeline_Amount_USD]]</f>
        <v>13900</v>
      </c>
      <c r="O897" t="str">
        <f>_xlfn.XLOOKUP(Pipeline_tbl[[#This Row],[Rep_ID]],Dim_Reps!A:A,Dim_Reps!B:B)</f>
        <v>Olivia Cohen</v>
      </c>
      <c r="P897" t="str">
        <f>_xlfn.XLOOKUP(Pipeline_tbl[[#This Row],[Rep_ID]],Dim_Reps!A:A,Dim_Reps!C:C)</f>
        <v>Mid-Market AE</v>
      </c>
      <c r="Q897" t="str">
        <f>_xlfn.XLOOKUP(Pipeline_tbl[[#This Row],[Rep_ID]],Dim_Reps!A:A,Dim_Reps!D:D)</f>
        <v>Mid-Market</v>
      </c>
      <c r="R897" t="str">
        <f>_xlfn.XLOOKUP(Pipeline_tbl[[#This Row],[Rep_ID]],Dim_Reps!A:A,Dim_Reps!E:E)</f>
        <v>APAC</v>
      </c>
      <c r="S897" t="str">
        <f>_xlfn.XLOOKUP(Pipeline_tbl[[#This Row],[Created_Date]],Dim_Date!A:A,Dim_Date!H:H)</f>
        <v>Oct 2025</v>
      </c>
      <c r="T897" t="str">
        <f>IF(Pipeline_tbl[[#This Row],[Closed_Date]]=0,"",(_xlfn.XLOOKUP(Pipeline_tbl[[#This Row],[Closed_Date]],Dim_Date!A:A,Dim_Date!H:H)))</f>
        <v>Nov 2025</v>
      </c>
      <c r="U897">
        <f>IF(Pipeline_tbl[[#This Row],[Closed_Date]]=0,"",Pipeline_tbl[[#This Row],[Closed_Date]]-Pipeline_tbl[[#This Row],[Created_Date]])</f>
        <v>31</v>
      </c>
    </row>
    <row r="898" spans="1:21" ht="15" customHeight="1" x14ac:dyDescent="0.2">
      <c r="A898" t="s">
        <v>1204</v>
      </c>
      <c r="B898" t="s">
        <v>273</v>
      </c>
      <c r="C898" t="s">
        <v>56</v>
      </c>
      <c r="D898" s="49">
        <v>45941</v>
      </c>
      <c r="E898" s="49">
        <v>45945</v>
      </c>
      <c r="F898" s="49">
        <v>45954</v>
      </c>
      <c r="G898" s="49">
        <v>45967</v>
      </c>
      <c r="H898" s="49">
        <v>45978</v>
      </c>
      <c r="I898" s="49">
        <v>45984</v>
      </c>
      <c r="J898" t="s">
        <v>47</v>
      </c>
      <c r="K898" s="33">
        <v>12000</v>
      </c>
      <c r="M898" t="str">
        <f>_xlfn.XLOOKUP(Pipeline_tbl[[#This Row],[Rep_ID]],Dim_Reps!A:A,Dim_Reps!K:K)</f>
        <v>EUR</v>
      </c>
      <c r="N898" s="33">
        <f>(_xlfn.XLOOKUP(Pipeline_tbl[[#This Row],[Rate_Code_Generalized]],Lookups!A:A,Lookups!B:B))*Pipeline_tbl[[#This Row],[Pipeline_Amount_USD]]</f>
        <v>12000</v>
      </c>
      <c r="O898" t="str">
        <f>_xlfn.XLOOKUP(Pipeline_tbl[[#This Row],[Rep_ID]],Dim_Reps!A:A,Dim_Reps!B:B)</f>
        <v>Olivia Cohen</v>
      </c>
      <c r="P898" t="str">
        <f>_xlfn.XLOOKUP(Pipeline_tbl[[#This Row],[Rep_ID]],Dim_Reps!A:A,Dim_Reps!C:C)</f>
        <v>Mid-Market AE</v>
      </c>
      <c r="Q898" t="str">
        <f>_xlfn.XLOOKUP(Pipeline_tbl[[#This Row],[Rep_ID]],Dim_Reps!A:A,Dim_Reps!D:D)</f>
        <v>Mid-Market</v>
      </c>
      <c r="R898" t="str">
        <f>_xlfn.XLOOKUP(Pipeline_tbl[[#This Row],[Rep_ID]],Dim_Reps!A:A,Dim_Reps!E:E)</f>
        <v>APAC</v>
      </c>
      <c r="S898" t="str">
        <f>_xlfn.XLOOKUP(Pipeline_tbl[[#This Row],[Created_Date]],Dim_Date!A:A,Dim_Date!H:H)</f>
        <v>Oct 2025</v>
      </c>
      <c r="T898" t="str">
        <f>IF(Pipeline_tbl[[#This Row],[Closed_Date]]=0,"",(_xlfn.XLOOKUP(Pipeline_tbl[[#This Row],[Closed_Date]],Dim_Date!A:A,Dim_Date!H:H)))</f>
        <v>Nov 2025</v>
      </c>
      <c r="U898">
        <f>IF(Pipeline_tbl[[#This Row],[Closed_Date]]=0,"",Pipeline_tbl[[#This Row],[Closed_Date]]-Pipeline_tbl[[#This Row],[Created_Date]])</f>
        <v>43</v>
      </c>
    </row>
    <row r="899" spans="1:21" ht="15" customHeight="1" x14ac:dyDescent="0.2">
      <c r="A899" t="s">
        <v>1205</v>
      </c>
      <c r="B899" t="s">
        <v>273</v>
      </c>
      <c r="C899" t="s">
        <v>53</v>
      </c>
      <c r="D899" s="49">
        <v>45940</v>
      </c>
      <c r="E899" s="49">
        <v>45943</v>
      </c>
      <c r="I899" s="49">
        <v>45974</v>
      </c>
      <c r="J899" t="s">
        <v>49</v>
      </c>
      <c r="K899" s="33">
        <v>10600</v>
      </c>
      <c r="L899" t="s">
        <v>61</v>
      </c>
      <c r="M899" t="str">
        <f>_xlfn.XLOOKUP(Pipeline_tbl[[#This Row],[Rep_ID]],Dim_Reps!A:A,Dim_Reps!K:K)</f>
        <v>EUR</v>
      </c>
      <c r="N899" s="33">
        <f>(_xlfn.XLOOKUP(Pipeline_tbl[[#This Row],[Rate_Code_Generalized]],Lookups!A:A,Lookups!B:B))*Pipeline_tbl[[#This Row],[Pipeline_Amount_USD]]</f>
        <v>10600</v>
      </c>
      <c r="O899" t="str">
        <f>_xlfn.XLOOKUP(Pipeline_tbl[[#This Row],[Rep_ID]],Dim_Reps!A:A,Dim_Reps!B:B)</f>
        <v>Olivia Cohen</v>
      </c>
      <c r="P899" t="str">
        <f>_xlfn.XLOOKUP(Pipeline_tbl[[#This Row],[Rep_ID]],Dim_Reps!A:A,Dim_Reps!C:C)</f>
        <v>Mid-Market AE</v>
      </c>
      <c r="Q899" t="str">
        <f>_xlfn.XLOOKUP(Pipeline_tbl[[#This Row],[Rep_ID]],Dim_Reps!A:A,Dim_Reps!D:D)</f>
        <v>Mid-Market</v>
      </c>
      <c r="R899" t="str">
        <f>_xlfn.XLOOKUP(Pipeline_tbl[[#This Row],[Rep_ID]],Dim_Reps!A:A,Dim_Reps!E:E)</f>
        <v>APAC</v>
      </c>
      <c r="S899" t="str">
        <f>_xlfn.XLOOKUP(Pipeline_tbl[[#This Row],[Created_Date]],Dim_Date!A:A,Dim_Date!H:H)</f>
        <v>Oct 2025</v>
      </c>
      <c r="T899" t="str">
        <f>IF(Pipeline_tbl[[#This Row],[Closed_Date]]=0,"",(_xlfn.XLOOKUP(Pipeline_tbl[[#This Row],[Closed_Date]],Dim_Date!A:A,Dim_Date!H:H)))</f>
        <v>Nov 2025</v>
      </c>
      <c r="U899">
        <f>IF(Pipeline_tbl[[#This Row],[Closed_Date]]=0,"",Pipeline_tbl[[#This Row],[Closed_Date]]-Pipeline_tbl[[#This Row],[Created_Date]])</f>
        <v>34</v>
      </c>
    </row>
    <row r="900" spans="1:21" ht="15" customHeight="1" x14ac:dyDescent="0.2">
      <c r="A900" t="s">
        <v>1206</v>
      </c>
      <c r="B900" t="s">
        <v>241</v>
      </c>
      <c r="C900" t="s">
        <v>53</v>
      </c>
      <c r="D900" s="49">
        <v>45961</v>
      </c>
      <c r="E900" s="49">
        <v>45963</v>
      </c>
      <c r="F900" s="49">
        <v>45968</v>
      </c>
      <c r="G900" s="49">
        <v>45974</v>
      </c>
      <c r="H900" s="49">
        <v>45980</v>
      </c>
      <c r="I900" s="49">
        <v>45983</v>
      </c>
      <c r="J900" t="s">
        <v>47</v>
      </c>
      <c r="K900" s="33">
        <v>5400</v>
      </c>
      <c r="M900" t="str">
        <f>_xlfn.XLOOKUP(Pipeline_tbl[[#This Row],[Rep_ID]],Dim_Reps!A:A,Dim_Reps!K:K)</f>
        <v>EUR</v>
      </c>
      <c r="N900" s="33">
        <f>(_xlfn.XLOOKUP(Pipeline_tbl[[#This Row],[Rate_Code_Generalized]],Lookups!A:A,Lookups!B:B))*Pipeline_tbl[[#This Row],[Pipeline_Amount_USD]]</f>
        <v>5400</v>
      </c>
      <c r="O900" t="str">
        <f>_xlfn.XLOOKUP(Pipeline_tbl[[#This Row],[Rep_ID]],Dim_Reps!A:A,Dim_Reps!B:B)</f>
        <v>Kenji Weber</v>
      </c>
      <c r="P900" t="str">
        <f>_xlfn.XLOOKUP(Pipeline_tbl[[#This Row],[Rep_ID]],Dim_Reps!A:A,Dim_Reps!C:C)</f>
        <v>SDR / Inside Sales Rep</v>
      </c>
      <c r="Q900" t="str">
        <f>_xlfn.XLOOKUP(Pipeline_tbl[[#This Row],[Rep_ID]],Dim_Reps!A:A,Dim_Reps!D:D)</f>
        <v>Inside Sales</v>
      </c>
      <c r="R900" t="str">
        <f>_xlfn.XLOOKUP(Pipeline_tbl[[#This Row],[Rep_ID]],Dim_Reps!A:A,Dim_Reps!E:E)</f>
        <v>APAC</v>
      </c>
      <c r="S900" t="str">
        <f>_xlfn.XLOOKUP(Pipeline_tbl[[#This Row],[Created_Date]],Dim_Date!A:A,Dim_Date!H:H)</f>
        <v>Oct 2025</v>
      </c>
      <c r="T900" t="str">
        <f>IF(Pipeline_tbl[[#This Row],[Closed_Date]]=0,"",(_xlfn.XLOOKUP(Pipeline_tbl[[#This Row],[Closed_Date]],Dim_Date!A:A,Dim_Date!H:H)))</f>
        <v>Nov 2025</v>
      </c>
      <c r="U900">
        <f>IF(Pipeline_tbl[[#This Row],[Closed_Date]]=0,"",Pipeline_tbl[[#This Row],[Closed_Date]]-Pipeline_tbl[[#This Row],[Created_Date]])</f>
        <v>22</v>
      </c>
    </row>
    <row r="901" spans="1:21" ht="15" customHeight="1" x14ac:dyDescent="0.2">
      <c r="A901" t="s">
        <v>1207</v>
      </c>
      <c r="B901" t="s">
        <v>241</v>
      </c>
      <c r="C901" t="s">
        <v>55</v>
      </c>
      <c r="D901" s="49">
        <v>45944</v>
      </c>
      <c r="E901" s="49">
        <v>45947</v>
      </c>
      <c r="F901" s="49">
        <v>45952</v>
      </c>
      <c r="G901" s="49">
        <v>45960</v>
      </c>
      <c r="H901" s="49">
        <v>45966</v>
      </c>
      <c r="I901" s="49">
        <v>45970</v>
      </c>
      <c r="J901" t="s">
        <v>49</v>
      </c>
      <c r="K901" s="33">
        <v>1300</v>
      </c>
      <c r="L901" t="s">
        <v>60</v>
      </c>
      <c r="M901" t="str">
        <f>_xlfn.XLOOKUP(Pipeline_tbl[[#This Row],[Rep_ID]],Dim_Reps!A:A,Dim_Reps!K:K)</f>
        <v>EUR</v>
      </c>
      <c r="N901" s="33">
        <f>(_xlfn.XLOOKUP(Pipeline_tbl[[#This Row],[Rate_Code_Generalized]],Lookups!A:A,Lookups!B:B))*Pipeline_tbl[[#This Row],[Pipeline_Amount_USD]]</f>
        <v>1300</v>
      </c>
      <c r="O901" t="str">
        <f>_xlfn.XLOOKUP(Pipeline_tbl[[#This Row],[Rep_ID]],Dim_Reps!A:A,Dim_Reps!B:B)</f>
        <v>Kenji Weber</v>
      </c>
      <c r="P901" t="str">
        <f>_xlfn.XLOOKUP(Pipeline_tbl[[#This Row],[Rep_ID]],Dim_Reps!A:A,Dim_Reps!C:C)</f>
        <v>SDR / Inside Sales Rep</v>
      </c>
      <c r="Q901" t="str">
        <f>_xlfn.XLOOKUP(Pipeline_tbl[[#This Row],[Rep_ID]],Dim_Reps!A:A,Dim_Reps!D:D)</f>
        <v>Inside Sales</v>
      </c>
      <c r="R901" t="str">
        <f>_xlfn.XLOOKUP(Pipeline_tbl[[#This Row],[Rep_ID]],Dim_Reps!A:A,Dim_Reps!E:E)</f>
        <v>APAC</v>
      </c>
      <c r="S901" t="str">
        <f>_xlfn.XLOOKUP(Pipeline_tbl[[#This Row],[Created_Date]],Dim_Date!A:A,Dim_Date!H:H)</f>
        <v>Oct 2025</v>
      </c>
      <c r="T901" t="str">
        <f>IF(Pipeline_tbl[[#This Row],[Closed_Date]]=0,"",(_xlfn.XLOOKUP(Pipeline_tbl[[#This Row],[Closed_Date]],Dim_Date!A:A,Dim_Date!H:H)))</f>
        <v>Nov 2025</v>
      </c>
      <c r="U901">
        <f>IF(Pipeline_tbl[[#This Row],[Closed_Date]]=0,"",Pipeline_tbl[[#This Row],[Closed_Date]]-Pipeline_tbl[[#This Row],[Created_Date]])</f>
        <v>26</v>
      </c>
    </row>
    <row r="902" spans="1:21" ht="15" customHeight="1" x14ac:dyDescent="0.2">
      <c r="A902" t="s">
        <v>1208</v>
      </c>
      <c r="B902" t="s">
        <v>241</v>
      </c>
      <c r="C902" t="s">
        <v>54</v>
      </c>
      <c r="D902" s="49">
        <v>45956</v>
      </c>
      <c r="E902" s="49">
        <v>45958</v>
      </c>
      <c r="I902" s="49">
        <v>45977</v>
      </c>
      <c r="J902" t="s">
        <v>49</v>
      </c>
      <c r="K902" s="33">
        <v>2100</v>
      </c>
      <c r="L902" t="s">
        <v>63</v>
      </c>
      <c r="M902" t="str">
        <f>_xlfn.XLOOKUP(Pipeline_tbl[[#This Row],[Rep_ID]],Dim_Reps!A:A,Dim_Reps!K:K)</f>
        <v>EUR</v>
      </c>
      <c r="N902" s="33">
        <f>(_xlfn.XLOOKUP(Pipeline_tbl[[#This Row],[Rate_Code_Generalized]],Lookups!A:A,Lookups!B:B))*Pipeline_tbl[[#This Row],[Pipeline_Amount_USD]]</f>
        <v>2100</v>
      </c>
      <c r="O902" t="str">
        <f>_xlfn.XLOOKUP(Pipeline_tbl[[#This Row],[Rep_ID]],Dim_Reps!A:A,Dim_Reps!B:B)</f>
        <v>Kenji Weber</v>
      </c>
      <c r="P902" t="str">
        <f>_xlfn.XLOOKUP(Pipeline_tbl[[#This Row],[Rep_ID]],Dim_Reps!A:A,Dim_Reps!C:C)</f>
        <v>SDR / Inside Sales Rep</v>
      </c>
      <c r="Q902" t="str">
        <f>_xlfn.XLOOKUP(Pipeline_tbl[[#This Row],[Rep_ID]],Dim_Reps!A:A,Dim_Reps!D:D)</f>
        <v>Inside Sales</v>
      </c>
      <c r="R902" t="str">
        <f>_xlfn.XLOOKUP(Pipeline_tbl[[#This Row],[Rep_ID]],Dim_Reps!A:A,Dim_Reps!E:E)</f>
        <v>APAC</v>
      </c>
      <c r="S902" t="str">
        <f>_xlfn.XLOOKUP(Pipeline_tbl[[#This Row],[Created_Date]],Dim_Date!A:A,Dim_Date!H:H)</f>
        <v>Oct 2025</v>
      </c>
      <c r="T902" t="str">
        <f>IF(Pipeline_tbl[[#This Row],[Closed_Date]]=0,"",(_xlfn.XLOOKUP(Pipeline_tbl[[#This Row],[Closed_Date]],Dim_Date!A:A,Dim_Date!H:H)))</f>
        <v>Nov 2025</v>
      </c>
      <c r="U902">
        <f>IF(Pipeline_tbl[[#This Row],[Closed_Date]]=0,"",Pipeline_tbl[[#This Row],[Closed_Date]]-Pipeline_tbl[[#This Row],[Created_Date]])</f>
        <v>21</v>
      </c>
    </row>
    <row r="903" spans="1:21" ht="15" customHeight="1" x14ac:dyDescent="0.2">
      <c r="A903" t="s">
        <v>1209</v>
      </c>
      <c r="B903" t="s">
        <v>241</v>
      </c>
      <c r="C903" t="s">
        <v>53</v>
      </c>
      <c r="D903" s="49">
        <v>45953</v>
      </c>
      <c r="E903" s="49">
        <v>45955</v>
      </c>
      <c r="F903" s="49">
        <v>45960</v>
      </c>
      <c r="G903" s="49">
        <v>45967</v>
      </c>
      <c r="I903" s="49">
        <v>45976</v>
      </c>
      <c r="J903" t="s">
        <v>49</v>
      </c>
      <c r="K903" s="33">
        <v>1700</v>
      </c>
      <c r="L903" t="s">
        <v>60</v>
      </c>
      <c r="M903" t="str">
        <f>_xlfn.XLOOKUP(Pipeline_tbl[[#This Row],[Rep_ID]],Dim_Reps!A:A,Dim_Reps!K:K)</f>
        <v>EUR</v>
      </c>
      <c r="N903" s="33">
        <f>(_xlfn.XLOOKUP(Pipeline_tbl[[#This Row],[Rate_Code_Generalized]],Lookups!A:A,Lookups!B:B))*Pipeline_tbl[[#This Row],[Pipeline_Amount_USD]]</f>
        <v>1700</v>
      </c>
      <c r="O903" t="str">
        <f>_xlfn.XLOOKUP(Pipeline_tbl[[#This Row],[Rep_ID]],Dim_Reps!A:A,Dim_Reps!B:B)</f>
        <v>Kenji Weber</v>
      </c>
      <c r="P903" t="str">
        <f>_xlfn.XLOOKUP(Pipeline_tbl[[#This Row],[Rep_ID]],Dim_Reps!A:A,Dim_Reps!C:C)</f>
        <v>SDR / Inside Sales Rep</v>
      </c>
      <c r="Q903" t="str">
        <f>_xlfn.XLOOKUP(Pipeline_tbl[[#This Row],[Rep_ID]],Dim_Reps!A:A,Dim_Reps!D:D)</f>
        <v>Inside Sales</v>
      </c>
      <c r="R903" t="str">
        <f>_xlfn.XLOOKUP(Pipeline_tbl[[#This Row],[Rep_ID]],Dim_Reps!A:A,Dim_Reps!E:E)</f>
        <v>APAC</v>
      </c>
      <c r="S903" t="str">
        <f>_xlfn.XLOOKUP(Pipeline_tbl[[#This Row],[Created_Date]],Dim_Date!A:A,Dim_Date!H:H)</f>
        <v>Oct 2025</v>
      </c>
      <c r="T903" t="str">
        <f>IF(Pipeline_tbl[[#This Row],[Closed_Date]]=0,"",(_xlfn.XLOOKUP(Pipeline_tbl[[#This Row],[Closed_Date]],Dim_Date!A:A,Dim_Date!H:H)))</f>
        <v>Nov 2025</v>
      </c>
      <c r="U903">
        <f>IF(Pipeline_tbl[[#This Row],[Closed_Date]]=0,"",Pipeline_tbl[[#This Row],[Closed_Date]]-Pipeline_tbl[[#This Row],[Created_Date]])</f>
        <v>23</v>
      </c>
    </row>
    <row r="904" spans="1:21" ht="15" customHeight="1" x14ac:dyDescent="0.2">
      <c r="A904" t="s">
        <v>1210</v>
      </c>
      <c r="B904" t="s">
        <v>241</v>
      </c>
      <c r="C904" t="s">
        <v>53</v>
      </c>
      <c r="D904" s="49">
        <v>45954</v>
      </c>
      <c r="E904" s="49">
        <v>45955</v>
      </c>
      <c r="F904" s="49">
        <v>45958</v>
      </c>
      <c r="G904" s="49">
        <v>45962</v>
      </c>
      <c r="I904" s="49">
        <v>45968</v>
      </c>
      <c r="J904" t="s">
        <v>49</v>
      </c>
      <c r="K904" s="33">
        <v>2400</v>
      </c>
      <c r="L904" t="s">
        <v>61</v>
      </c>
      <c r="M904" t="str">
        <f>_xlfn.XLOOKUP(Pipeline_tbl[[#This Row],[Rep_ID]],Dim_Reps!A:A,Dim_Reps!K:K)</f>
        <v>EUR</v>
      </c>
      <c r="N904" s="33">
        <f>(_xlfn.XLOOKUP(Pipeline_tbl[[#This Row],[Rate_Code_Generalized]],Lookups!A:A,Lookups!B:B))*Pipeline_tbl[[#This Row],[Pipeline_Amount_USD]]</f>
        <v>2400</v>
      </c>
      <c r="O904" t="str">
        <f>_xlfn.XLOOKUP(Pipeline_tbl[[#This Row],[Rep_ID]],Dim_Reps!A:A,Dim_Reps!B:B)</f>
        <v>Kenji Weber</v>
      </c>
      <c r="P904" t="str">
        <f>_xlfn.XLOOKUP(Pipeline_tbl[[#This Row],[Rep_ID]],Dim_Reps!A:A,Dim_Reps!C:C)</f>
        <v>SDR / Inside Sales Rep</v>
      </c>
      <c r="Q904" t="str">
        <f>_xlfn.XLOOKUP(Pipeline_tbl[[#This Row],[Rep_ID]],Dim_Reps!A:A,Dim_Reps!D:D)</f>
        <v>Inside Sales</v>
      </c>
      <c r="R904" t="str">
        <f>_xlfn.XLOOKUP(Pipeline_tbl[[#This Row],[Rep_ID]],Dim_Reps!A:A,Dim_Reps!E:E)</f>
        <v>APAC</v>
      </c>
      <c r="S904" t="str">
        <f>_xlfn.XLOOKUP(Pipeline_tbl[[#This Row],[Created_Date]],Dim_Date!A:A,Dim_Date!H:H)</f>
        <v>Oct 2025</v>
      </c>
      <c r="T904" t="str">
        <f>IF(Pipeline_tbl[[#This Row],[Closed_Date]]=0,"",(_xlfn.XLOOKUP(Pipeline_tbl[[#This Row],[Closed_Date]],Dim_Date!A:A,Dim_Date!H:H)))</f>
        <v>Nov 2025</v>
      </c>
      <c r="U904">
        <f>IF(Pipeline_tbl[[#This Row],[Closed_Date]]=0,"",Pipeline_tbl[[#This Row],[Closed_Date]]-Pipeline_tbl[[#This Row],[Created_Date]])</f>
        <v>14</v>
      </c>
    </row>
    <row r="905" spans="1:21" ht="15" customHeight="1" x14ac:dyDescent="0.2">
      <c r="A905" t="s">
        <v>1211</v>
      </c>
      <c r="B905" t="s">
        <v>241</v>
      </c>
      <c r="C905" t="s">
        <v>54</v>
      </c>
      <c r="D905" s="49">
        <v>45951</v>
      </c>
      <c r="E905" s="49">
        <v>45953</v>
      </c>
      <c r="F905" s="49">
        <v>45956</v>
      </c>
      <c r="G905" s="49">
        <v>45960</v>
      </c>
      <c r="H905" s="49">
        <v>45964</v>
      </c>
      <c r="I905" s="49">
        <v>45966</v>
      </c>
      <c r="J905" t="s">
        <v>47</v>
      </c>
      <c r="K905" s="33">
        <v>3900</v>
      </c>
      <c r="M905" t="str">
        <f>_xlfn.XLOOKUP(Pipeline_tbl[[#This Row],[Rep_ID]],Dim_Reps!A:A,Dim_Reps!K:K)</f>
        <v>EUR</v>
      </c>
      <c r="N905" s="33">
        <f>(_xlfn.XLOOKUP(Pipeline_tbl[[#This Row],[Rate_Code_Generalized]],Lookups!A:A,Lookups!B:B))*Pipeline_tbl[[#This Row],[Pipeline_Amount_USD]]</f>
        <v>3900</v>
      </c>
      <c r="O905" t="str">
        <f>_xlfn.XLOOKUP(Pipeline_tbl[[#This Row],[Rep_ID]],Dim_Reps!A:A,Dim_Reps!B:B)</f>
        <v>Kenji Weber</v>
      </c>
      <c r="P905" t="str">
        <f>_xlfn.XLOOKUP(Pipeline_tbl[[#This Row],[Rep_ID]],Dim_Reps!A:A,Dim_Reps!C:C)</f>
        <v>SDR / Inside Sales Rep</v>
      </c>
      <c r="Q905" t="str">
        <f>_xlfn.XLOOKUP(Pipeline_tbl[[#This Row],[Rep_ID]],Dim_Reps!A:A,Dim_Reps!D:D)</f>
        <v>Inside Sales</v>
      </c>
      <c r="R905" t="str">
        <f>_xlfn.XLOOKUP(Pipeline_tbl[[#This Row],[Rep_ID]],Dim_Reps!A:A,Dim_Reps!E:E)</f>
        <v>APAC</v>
      </c>
      <c r="S905" t="str">
        <f>_xlfn.XLOOKUP(Pipeline_tbl[[#This Row],[Created_Date]],Dim_Date!A:A,Dim_Date!H:H)</f>
        <v>Oct 2025</v>
      </c>
      <c r="T905" t="str">
        <f>IF(Pipeline_tbl[[#This Row],[Closed_Date]]=0,"",(_xlfn.XLOOKUP(Pipeline_tbl[[#This Row],[Closed_Date]],Dim_Date!A:A,Dim_Date!H:H)))</f>
        <v>Nov 2025</v>
      </c>
      <c r="U905">
        <f>IF(Pipeline_tbl[[#This Row],[Closed_Date]]=0,"",Pipeline_tbl[[#This Row],[Closed_Date]]-Pipeline_tbl[[#This Row],[Created_Date]])</f>
        <v>15</v>
      </c>
    </row>
    <row r="906" spans="1:21" ht="15" customHeight="1" x14ac:dyDescent="0.2">
      <c r="A906" t="s">
        <v>1212</v>
      </c>
      <c r="B906" t="s">
        <v>241</v>
      </c>
      <c r="C906" t="s">
        <v>54</v>
      </c>
      <c r="D906" s="49">
        <v>45957</v>
      </c>
      <c r="E906" s="49">
        <v>45959</v>
      </c>
      <c r="F906" s="49">
        <v>45962</v>
      </c>
      <c r="G906" s="49">
        <v>45966</v>
      </c>
      <c r="H906" s="49">
        <v>45970</v>
      </c>
      <c r="I906" s="49">
        <v>45972</v>
      </c>
      <c r="J906" t="s">
        <v>47</v>
      </c>
      <c r="K906" s="33">
        <v>1500</v>
      </c>
      <c r="M906" t="str">
        <f>_xlfn.XLOOKUP(Pipeline_tbl[[#This Row],[Rep_ID]],Dim_Reps!A:A,Dim_Reps!K:K)</f>
        <v>EUR</v>
      </c>
      <c r="N906" s="33">
        <f>(_xlfn.XLOOKUP(Pipeline_tbl[[#This Row],[Rate_Code_Generalized]],Lookups!A:A,Lookups!B:B))*Pipeline_tbl[[#This Row],[Pipeline_Amount_USD]]</f>
        <v>1500</v>
      </c>
      <c r="O906" t="str">
        <f>_xlfn.XLOOKUP(Pipeline_tbl[[#This Row],[Rep_ID]],Dim_Reps!A:A,Dim_Reps!B:B)</f>
        <v>Kenji Weber</v>
      </c>
      <c r="P906" t="str">
        <f>_xlfn.XLOOKUP(Pipeline_tbl[[#This Row],[Rep_ID]],Dim_Reps!A:A,Dim_Reps!C:C)</f>
        <v>SDR / Inside Sales Rep</v>
      </c>
      <c r="Q906" t="str">
        <f>_xlfn.XLOOKUP(Pipeline_tbl[[#This Row],[Rep_ID]],Dim_Reps!A:A,Dim_Reps!D:D)</f>
        <v>Inside Sales</v>
      </c>
      <c r="R906" t="str">
        <f>_xlfn.XLOOKUP(Pipeline_tbl[[#This Row],[Rep_ID]],Dim_Reps!A:A,Dim_Reps!E:E)</f>
        <v>APAC</v>
      </c>
      <c r="S906" t="str">
        <f>_xlfn.XLOOKUP(Pipeline_tbl[[#This Row],[Created_Date]],Dim_Date!A:A,Dim_Date!H:H)</f>
        <v>Oct 2025</v>
      </c>
      <c r="T906" t="str">
        <f>IF(Pipeline_tbl[[#This Row],[Closed_Date]]=0,"",(_xlfn.XLOOKUP(Pipeline_tbl[[#This Row],[Closed_Date]],Dim_Date!A:A,Dim_Date!H:H)))</f>
        <v>Nov 2025</v>
      </c>
      <c r="U906">
        <f>IF(Pipeline_tbl[[#This Row],[Closed_Date]]=0,"",Pipeline_tbl[[#This Row],[Closed_Date]]-Pipeline_tbl[[#This Row],[Created_Date]])</f>
        <v>15</v>
      </c>
    </row>
    <row r="907" spans="1:21" ht="15" customHeight="1" x14ac:dyDescent="0.2">
      <c r="A907" t="s">
        <v>1213</v>
      </c>
      <c r="B907" t="s">
        <v>193</v>
      </c>
      <c r="C907" t="s">
        <v>55</v>
      </c>
      <c r="D907" s="49">
        <v>45941</v>
      </c>
      <c r="E907" s="49">
        <v>45941</v>
      </c>
      <c r="I907" s="49">
        <v>45946</v>
      </c>
      <c r="J907" t="s">
        <v>49</v>
      </c>
      <c r="K907" s="33">
        <v>4600</v>
      </c>
      <c r="L907" t="s">
        <v>64</v>
      </c>
      <c r="M907" t="str">
        <f>_xlfn.XLOOKUP(Pipeline_tbl[[#This Row],[Rep_ID]],Dim_Reps!A:A,Dim_Reps!K:K)</f>
        <v>USD</v>
      </c>
      <c r="N907" s="33">
        <f>(_xlfn.XLOOKUP(Pipeline_tbl[[#This Row],[Rate_Code_Generalized]],Lookups!A:A,Lookups!B:B))*Pipeline_tbl[[#This Row],[Pipeline_Amount_USD]]</f>
        <v>5355.78</v>
      </c>
      <c r="O907" t="str">
        <f>_xlfn.XLOOKUP(Pipeline_tbl[[#This Row],[Rep_ID]],Dim_Reps!A:A,Dim_Reps!B:B)</f>
        <v>Karim Rossi</v>
      </c>
      <c r="P907" t="str">
        <f>_xlfn.XLOOKUP(Pipeline_tbl[[#This Row],[Rep_ID]],Dim_Reps!A:A,Dim_Reps!C:C)</f>
        <v>SDR / Inside Sales Rep</v>
      </c>
      <c r="Q907" t="str">
        <f>_xlfn.XLOOKUP(Pipeline_tbl[[#This Row],[Rep_ID]],Dim_Reps!A:A,Dim_Reps!D:D)</f>
        <v>Inside Sales</v>
      </c>
      <c r="R907" t="str">
        <f>_xlfn.XLOOKUP(Pipeline_tbl[[#This Row],[Rep_ID]],Dim_Reps!A:A,Dim_Reps!E:E)</f>
        <v>NAMER</v>
      </c>
      <c r="S907" t="str">
        <f>_xlfn.XLOOKUP(Pipeline_tbl[[#This Row],[Created_Date]],Dim_Date!A:A,Dim_Date!H:H)</f>
        <v>Oct 2025</v>
      </c>
      <c r="T907" t="str">
        <f>IF(Pipeline_tbl[[#This Row],[Closed_Date]]=0,"",(_xlfn.XLOOKUP(Pipeline_tbl[[#This Row],[Closed_Date]],Dim_Date!A:A,Dim_Date!H:H)))</f>
        <v>Oct 2025</v>
      </c>
      <c r="U907">
        <f>IF(Pipeline_tbl[[#This Row],[Closed_Date]]=0,"",Pipeline_tbl[[#This Row],[Closed_Date]]-Pipeline_tbl[[#This Row],[Created_Date]])</f>
        <v>5</v>
      </c>
    </row>
    <row r="908" spans="1:21" ht="15" customHeight="1" x14ac:dyDescent="0.2">
      <c r="A908" t="s">
        <v>1214</v>
      </c>
      <c r="B908" t="s">
        <v>193</v>
      </c>
      <c r="C908" t="s">
        <v>52</v>
      </c>
      <c r="D908" s="49">
        <v>45934</v>
      </c>
      <c r="E908" s="49">
        <v>45936</v>
      </c>
      <c r="F908" s="49">
        <v>45940</v>
      </c>
      <c r="G908" s="49">
        <v>45946</v>
      </c>
      <c r="H908" s="49">
        <v>45951</v>
      </c>
      <c r="I908" s="49">
        <v>45954</v>
      </c>
      <c r="J908" t="s">
        <v>49</v>
      </c>
      <c r="K908" s="33">
        <v>4900</v>
      </c>
      <c r="L908" t="s">
        <v>60</v>
      </c>
      <c r="M908" t="str">
        <f>_xlfn.XLOOKUP(Pipeline_tbl[[#This Row],[Rep_ID]],Dim_Reps!A:A,Dim_Reps!K:K)</f>
        <v>USD</v>
      </c>
      <c r="N908" s="33">
        <f>(_xlfn.XLOOKUP(Pipeline_tbl[[#This Row],[Rate_Code_Generalized]],Lookups!A:A,Lookups!B:B))*Pipeline_tbl[[#This Row],[Pipeline_Amount_USD]]</f>
        <v>5705.07</v>
      </c>
      <c r="O908" t="str">
        <f>_xlfn.XLOOKUP(Pipeline_tbl[[#This Row],[Rep_ID]],Dim_Reps!A:A,Dim_Reps!B:B)</f>
        <v>Karim Rossi</v>
      </c>
      <c r="P908" t="str">
        <f>_xlfn.XLOOKUP(Pipeline_tbl[[#This Row],[Rep_ID]],Dim_Reps!A:A,Dim_Reps!C:C)</f>
        <v>SDR / Inside Sales Rep</v>
      </c>
      <c r="Q908" t="str">
        <f>_xlfn.XLOOKUP(Pipeline_tbl[[#This Row],[Rep_ID]],Dim_Reps!A:A,Dim_Reps!D:D)</f>
        <v>Inside Sales</v>
      </c>
      <c r="R908" t="str">
        <f>_xlfn.XLOOKUP(Pipeline_tbl[[#This Row],[Rep_ID]],Dim_Reps!A:A,Dim_Reps!E:E)</f>
        <v>NAMER</v>
      </c>
      <c r="S908" t="str">
        <f>_xlfn.XLOOKUP(Pipeline_tbl[[#This Row],[Created_Date]],Dim_Date!A:A,Dim_Date!H:H)</f>
        <v>Oct 2025</v>
      </c>
      <c r="T908" t="str">
        <f>IF(Pipeline_tbl[[#This Row],[Closed_Date]]=0,"",(_xlfn.XLOOKUP(Pipeline_tbl[[#This Row],[Closed_Date]],Dim_Date!A:A,Dim_Date!H:H)))</f>
        <v>Oct 2025</v>
      </c>
      <c r="U908">
        <f>IF(Pipeline_tbl[[#This Row],[Closed_Date]]=0,"",Pipeline_tbl[[#This Row],[Closed_Date]]-Pipeline_tbl[[#This Row],[Created_Date]])</f>
        <v>20</v>
      </c>
    </row>
    <row r="909" spans="1:21" ht="15" customHeight="1" x14ac:dyDescent="0.2">
      <c r="A909" t="s">
        <v>1215</v>
      </c>
      <c r="B909" t="s">
        <v>193</v>
      </c>
      <c r="C909" t="s">
        <v>56</v>
      </c>
      <c r="D909" s="49">
        <v>45937</v>
      </c>
      <c r="E909" s="49">
        <v>45939</v>
      </c>
      <c r="F909" s="49">
        <v>45943</v>
      </c>
      <c r="G909" s="49">
        <v>45948</v>
      </c>
      <c r="H909" s="49">
        <v>45953</v>
      </c>
      <c r="I909" s="49">
        <v>45956</v>
      </c>
      <c r="J909" t="s">
        <v>47</v>
      </c>
      <c r="K909" s="33">
        <v>1500</v>
      </c>
      <c r="M909" t="str">
        <f>_xlfn.XLOOKUP(Pipeline_tbl[[#This Row],[Rep_ID]],Dim_Reps!A:A,Dim_Reps!K:K)</f>
        <v>USD</v>
      </c>
      <c r="N909" s="33">
        <f>(_xlfn.XLOOKUP(Pipeline_tbl[[#This Row],[Rate_Code_Generalized]],Lookups!A:A,Lookups!B:B))*Pipeline_tbl[[#This Row],[Pipeline_Amount_USD]]</f>
        <v>1746.4499999999998</v>
      </c>
      <c r="O909" t="str">
        <f>_xlfn.XLOOKUP(Pipeline_tbl[[#This Row],[Rep_ID]],Dim_Reps!A:A,Dim_Reps!B:B)</f>
        <v>Karim Rossi</v>
      </c>
      <c r="P909" t="str">
        <f>_xlfn.XLOOKUP(Pipeline_tbl[[#This Row],[Rep_ID]],Dim_Reps!A:A,Dim_Reps!C:C)</f>
        <v>SDR / Inside Sales Rep</v>
      </c>
      <c r="Q909" t="str">
        <f>_xlfn.XLOOKUP(Pipeline_tbl[[#This Row],[Rep_ID]],Dim_Reps!A:A,Dim_Reps!D:D)</f>
        <v>Inside Sales</v>
      </c>
      <c r="R909" t="str">
        <f>_xlfn.XLOOKUP(Pipeline_tbl[[#This Row],[Rep_ID]],Dim_Reps!A:A,Dim_Reps!E:E)</f>
        <v>NAMER</v>
      </c>
      <c r="S909" t="str">
        <f>_xlfn.XLOOKUP(Pipeline_tbl[[#This Row],[Created_Date]],Dim_Date!A:A,Dim_Date!H:H)</f>
        <v>Oct 2025</v>
      </c>
      <c r="T909" t="str">
        <f>IF(Pipeline_tbl[[#This Row],[Closed_Date]]=0,"",(_xlfn.XLOOKUP(Pipeline_tbl[[#This Row],[Closed_Date]],Dim_Date!A:A,Dim_Date!H:H)))</f>
        <v>Oct 2025</v>
      </c>
      <c r="U909">
        <f>IF(Pipeline_tbl[[#This Row],[Closed_Date]]=0,"",Pipeline_tbl[[#This Row],[Closed_Date]]-Pipeline_tbl[[#This Row],[Created_Date]])</f>
        <v>19</v>
      </c>
    </row>
    <row r="910" spans="1:21" ht="15" customHeight="1" x14ac:dyDescent="0.2">
      <c r="A910" t="s">
        <v>1216</v>
      </c>
      <c r="B910" t="s">
        <v>243</v>
      </c>
      <c r="C910" t="s">
        <v>56</v>
      </c>
      <c r="D910" s="49">
        <v>45951</v>
      </c>
      <c r="E910" s="49">
        <v>45951</v>
      </c>
      <c r="F910" s="49">
        <v>45953</v>
      </c>
      <c r="G910" s="49">
        <v>45954</v>
      </c>
      <c r="H910" s="49">
        <v>45955</v>
      </c>
      <c r="I910" s="49">
        <v>45956</v>
      </c>
      <c r="J910" t="s">
        <v>47</v>
      </c>
      <c r="K910" s="33">
        <v>12500</v>
      </c>
      <c r="M910" t="str">
        <f>_xlfn.XLOOKUP(Pipeline_tbl[[#This Row],[Rep_ID]],Dim_Reps!A:A,Dim_Reps!K:K)</f>
        <v>MXN</v>
      </c>
      <c r="N910" s="33">
        <f>(_xlfn.XLOOKUP(Pipeline_tbl[[#This Row],[Rate_Code_Generalized]],Lookups!A:A,Lookups!B:B))*Pipeline_tbl[[#This Row],[Pipeline_Amount_USD]]</f>
        <v>246658.75000000003</v>
      </c>
      <c r="O910" t="str">
        <f>_xlfn.XLOOKUP(Pipeline_tbl[[#This Row],[Rep_ID]],Dim_Reps!A:A,Dim_Reps!B:B)</f>
        <v>Jonas Sato</v>
      </c>
      <c r="P910" t="str">
        <f>_xlfn.XLOOKUP(Pipeline_tbl[[#This Row],[Rep_ID]],Dim_Reps!A:A,Dim_Reps!C:C)</f>
        <v>Mid-Market AE</v>
      </c>
      <c r="Q910" t="str">
        <f>_xlfn.XLOOKUP(Pipeline_tbl[[#This Row],[Rep_ID]],Dim_Reps!A:A,Dim_Reps!D:D)</f>
        <v>Mid-Market</v>
      </c>
      <c r="R910" t="str">
        <f>_xlfn.XLOOKUP(Pipeline_tbl[[#This Row],[Rep_ID]],Dim_Reps!A:A,Dim_Reps!E:E)</f>
        <v>LATAM</v>
      </c>
      <c r="S910" t="str">
        <f>_xlfn.XLOOKUP(Pipeline_tbl[[#This Row],[Created_Date]],Dim_Date!A:A,Dim_Date!H:H)</f>
        <v>Oct 2025</v>
      </c>
      <c r="T910" t="str">
        <f>IF(Pipeline_tbl[[#This Row],[Closed_Date]]=0,"",(_xlfn.XLOOKUP(Pipeline_tbl[[#This Row],[Closed_Date]],Dim_Date!A:A,Dim_Date!H:H)))</f>
        <v>Oct 2025</v>
      </c>
      <c r="U910">
        <f>IF(Pipeline_tbl[[#This Row],[Closed_Date]]=0,"",Pipeline_tbl[[#This Row],[Closed_Date]]-Pipeline_tbl[[#This Row],[Created_Date]])</f>
        <v>5</v>
      </c>
    </row>
    <row r="911" spans="1:21" ht="15" customHeight="1" x14ac:dyDescent="0.2">
      <c r="A911" t="s">
        <v>1217</v>
      </c>
      <c r="B911" t="s">
        <v>243</v>
      </c>
      <c r="C911" t="s">
        <v>52</v>
      </c>
      <c r="D911" s="49">
        <v>45933</v>
      </c>
      <c r="E911" s="49">
        <v>45935</v>
      </c>
      <c r="I911" s="49">
        <v>45956</v>
      </c>
      <c r="J911" t="s">
        <v>49</v>
      </c>
      <c r="K911" s="33">
        <v>9500</v>
      </c>
      <c r="L911" t="s">
        <v>63</v>
      </c>
      <c r="M911" t="str">
        <f>_xlfn.XLOOKUP(Pipeline_tbl[[#This Row],[Rep_ID]],Dim_Reps!A:A,Dim_Reps!K:K)</f>
        <v>MXN</v>
      </c>
      <c r="N911" s="33">
        <f>(_xlfn.XLOOKUP(Pipeline_tbl[[#This Row],[Rate_Code_Generalized]],Lookups!A:A,Lookups!B:B))*Pipeline_tbl[[#This Row],[Pipeline_Amount_USD]]</f>
        <v>187460.65000000002</v>
      </c>
      <c r="O911" t="str">
        <f>_xlfn.XLOOKUP(Pipeline_tbl[[#This Row],[Rep_ID]],Dim_Reps!A:A,Dim_Reps!B:B)</f>
        <v>Jonas Sato</v>
      </c>
      <c r="P911" t="str">
        <f>_xlfn.XLOOKUP(Pipeline_tbl[[#This Row],[Rep_ID]],Dim_Reps!A:A,Dim_Reps!C:C)</f>
        <v>Mid-Market AE</v>
      </c>
      <c r="Q911" t="str">
        <f>_xlfn.XLOOKUP(Pipeline_tbl[[#This Row],[Rep_ID]],Dim_Reps!A:A,Dim_Reps!D:D)</f>
        <v>Mid-Market</v>
      </c>
      <c r="R911" t="str">
        <f>_xlfn.XLOOKUP(Pipeline_tbl[[#This Row],[Rep_ID]],Dim_Reps!A:A,Dim_Reps!E:E)</f>
        <v>LATAM</v>
      </c>
      <c r="S911" t="str">
        <f>_xlfn.XLOOKUP(Pipeline_tbl[[#This Row],[Created_Date]],Dim_Date!A:A,Dim_Date!H:H)</f>
        <v>Oct 2025</v>
      </c>
      <c r="T911" t="str">
        <f>IF(Pipeline_tbl[[#This Row],[Closed_Date]]=0,"",(_xlfn.XLOOKUP(Pipeline_tbl[[#This Row],[Closed_Date]],Dim_Date!A:A,Dim_Date!H:H)))</f>
        <v>Oct 2025</v>
      </c>
      <c r="U911">
        <f>IF(Pipeline_tbl[[#This Row],[Closed_Date]]=0,"",Pipeline_tbl[[#This Row],[Closed_Date]]-Pipeline_tbl[[#This Row],[Created_Date]])</f>
        <v>23</v>
      </c>
    </row>
    <row r="912" spans="1:21" ht="15" customHeight="1" x14ac:dyDescent="0.2">
      <c r="A912" t="s">
        <v>1218</v>
      </c>
      <c r="B912" t="s">
        <v>196</v>
      </c>
      <c r="C912" t="s">
        <v>54</v>
      </c>
      <c r="D912" s="49">
        <v>45934</v>
      </c>
      <c r="E912" s="49">
        <v>45936</v>
      </c>
      <c r="F912" s="49">
        <v>45940</v>
      </c>
      <c r="G912" s="49">
        <v>45947</v>
      </c>
      <c r="H912" s="49">
        <v>45952</v>
      </c>
      <c r="I912" s="49">
        <v>45955</v>
      </c>
      <c r="J912" t="s">
        <v>47</v>
      </c>
      <c r="K912" s="33">
        <v>3300</v>
      </c>
      <c r="M912" t="str">
        <f>_xlfn.XLOOKUP(Pipeline_tbl[[#This Row],[Rep_ID]],Dim_Reps!A:A,Dim_Reps!K:K)</f>
        <v>EUR</v>
      </c>
      <c r="N912" s="33">
        <f>(_xlfn.XLOOKUP(Pipeline_tbl[[#This Row],[Rate_Code_Generalized]],Lookups!A:A,Lookups!B:B))*Pipeline_tbl[[#This Row],[Pipeline_Amount_USD]]</f>
        <v>3300</v>
      </c>
      <c r="O912" t="str">
        <f>_xlfn.XLOOKUP(Pipeline_tbl[[#This Row],[Rep_ID]],Dim_Reps!A:A,Dim_Reps!B:B)</f>
        <v>Alex Okafor</v>
      </c>
      <c r="P912" t="str">
        <f>_xlfn.XLOOKUP(Pipeline_tbl[[#This Row],[Rep_ID]],Dim_Reps!A:A,Dim_Reps!C:C)</f>
        <v>SDR / Inside Sales Rep</v>
      </c>
      <c r="Q912" t="str">
        <f>_xlfn.XLOOKUP(Pipeline_tbl[[#This Row],[Rep_ID]],Dim_Reps!A:A,Dim_Reps!D:D)</f>
        <v>Inside Sales</v>
      </c>
      <c r="R912" t="str">
        <f>_xlfn.XLOOKUP(Pipeline_tbl[[#This Row],[Rep_ID]],Dim_Reps!A:A,Dim_Reps!E:E)</f>
        <v>EMEA</v>
      </c>
      <c r="S912" t="str">
        <f>_xlfn.XLOOKUP(Pipeline_tbl[[#This Row],[Created_Date]],Dim_Date!A:A,Dim_Date!H:H)</f>
        <v>Oct 2025</v>
      </c>
      <c r="T912" t="str">
        <f>IF(Pipeline_tbl[[#This Row],[Closed_Date]]=0,"",(_xlfn.XLOOKUP(Pipeline_tbl[[#This Row],[Closed_Date]],Dim_Date!A:A,Dim_Date!H:H)))</f>
        <v>Oct 2025</v>
      </c>
      <c r="U912">
        <f>IF(Pipeline_tbl[[#This Row],[Closed_Date]]=0,"",Pipeline_tbl[[#This Row],[Closed_Date]]-Pipeline_tbl[[#This Row],[Created_Date]])</f>
        <v>21</v>
      </c>
    </row>
    <row r="913" spans="1:21" ht="15" customHeight="1" x14ac:dyDescent="0.2">
      <c r="A913" t="s">
        <v>1219</v>
      </c>
      <c r="B913" t="s">
        <v>196</v>
      </c>
      <c r="C913" t="s">
        <v>54</v>
      </c>
      <c r="D913" s="49">
        <v>45936</v>
      </c>
      <c r="E913" s="49">
        <v>45938</v>
      </c>
      <c r="F913" s="49">
        <v>45941</v>
      </c>
      <c r="G913" s="49">
        <v>45947</v>
      </c>
      <c r="H913" s="49">
        <v>45951</v>
      </c>
      <c r="I913" s="49">
        <v>45954</v>
      </c>
      <c r="J913" t="s">
        <v>49</v>
      </c>
      <c r="K913" s="33">
        <v>5800</v>
      </c>
      <c r="L913" t="s">
        <v>60</v>
      </c>
      <c r="M913" t="str">
        <f>_xlfn.XLOOKUP(Pipeline_tbl[[#This Row],[Rep_ID]],Dim_Reps!A:A,Dim_Reps!K:K)</f>
        <v>EUR</v>
      </c>
      <c r="N913" s="33">
        <f>(_xlfn.XLOOKUP(Pipeline_tbl[[#This Row],[Rate_Code_Generalized]],Lookups!A:A,Lookups!B:B))*Pipeline_tbl[[#This Row],[Pipeline_Amount_USD]]</f>
        <v>5800</v>
      </c>
      <c r="O913" t="str">
        <f>_xlfn.XLOOKUP(Pipeline_tbl[[#This Row],[Rep_ID]],Dim_Reps!A:A,Dim_Reps!B:B)</f>
        <v>Alex Okafor</v>
      </c>
      <c r="P913" t="str">
        <f>_xlfn.XLOOKUP(Pipeline_tbl[[#This Row],[Rep_ID]],Dim_Reps!A:A,Dim_Reps!C:C)</f>
        <v>SDR / Inside Sales Rep</v>
      </c>
      <c r="Q913" t="str">
        <f>_xlfn.XLOOKUP(Pipeline_tbl[[#This Row],[Rep_ID]],Dim_Reps!A:A,Dim_Reps!D:D)</f>
        <v>Inside Sales</v>
      </c>
      <c r="R913" t="str">
        <f>_xlfn.XLOOKUP(Pipeline_tbl[[#This Row],[Rep_ID]],Dim_Reps!A:A,Dim_Reps!E:E)</f>
        <v>EMEA</v>
      </c>
      <c r="S913" t="str">
        <f>_xlfn.XLOOKUP(Pipeline_tbl[[#This Row],[Created_Date]],Dim_Date!A:A,Dim_Date!H:H)</f>
        <v>Oct 2025</v>
      </c>
      <c r="T913" t="str">
        <f>IF(Pipeline_tbl[[#This Row],[Closed_Date]]=0,"",(_xlfn.XLOOKUP(Pipeline_tbl[[#This Row],[Closed_Date]],Dim_Date!A:A,Dim_Date!H:H)))</f>
        <v>Oct 2025</v>
      </c>
      <c r="U913">
        <f>IF(Pipeline_tbl[[#This Row],[Closed_Date]]=0,"",Pipeline_tbl[[#This Row],[Closed_Date]]-Pipeline_tbl[[#This Row],[Created_Date]])</f>
        <v>18</v>
      </c>
    </row>
    <row r="914" spans="1:21" ht="15" customHeight="1" x14ac:dyDescent="0.2">
      <c r="A914" t="s">
        <v>1220</v>
      </c>
      <c r="B914" t="s">
        <v>196</v>
      </c>
      <c r="C914" t="s">
        <v>53</v>
      </c>
      <c r="D914" s="49">
        <v>45940</v>
      </c>
      <c r="E914" s="49">
        <v>45941</v>
      </c>
      <c r="F914" s="49">
        <v>45944</v>
      </c>
      <c r="G914" s="49">
        <v>45948</v>
      </c>
      <c r="H914" s="49">
        <v>45952</v>
      </c>
      <c r="I914" s="49">
        <v>45954</v>
      </c>
      <c r="J914" t="s">
        <v>47</v>
      </c>
      <c r="K914" s="33">
        <v>4000</v>
      </c>
      <c r="M914" t="str">
        <f>_xlfn.XLOOKUP(Pipeline_tbl[[#This Row],[Rep_ID]],Dim_Reps!A:A,Dim_Reps!K:K)</f>
        <v>EUR</v>
      </c>
      <c r="N914" s="33">
        <f>(_xlfn.XLOOKUP(Pipeline_tbl[[#This Row],[Rate_Code_Generalized]],Lookups!A:A,Lookups!B:B))*Pipeline_tbl[[#This Row],[Pipeline_Amount_USD]]</f>
        <v>4000</v>
      </c>
      <c r="O914" t="str">
        <f>_xlfn.XLOOKUP(Pipeline_tbl[[#This Row],[Rep_ID]],Dim_Reps!A:A,Dim_Reps!B:B)</f>
        <v>Alex Okafor</v>
      </c>
      <c r="P914" t="str">
        <f>_xlfn.XLOOKUP(Pipeline_tbl[[#This Row],[Rep_ID]],Dim_Reps!A:A,Dim_Reps!C:C)</f>
        <v>SDR / Inside Sales Rep</v>
      </c>
      <c r="Q914" t="str">
        <f>_xlfn.XLOOKUP(Pipeline_tbl[[#This Row],[Rep_ID]],Dim_Reps!A:A,Dim_Reps!D:D)</f>
        <v>Inside Sales</v>
      </c>
      <c r="R914" t="str">
        <f>_xlfn.XLOOKUP(Pipeline_tbl[[#This Row],[Rep_ID]],Dim_Reps!A:A,Dim_Reps!E:E)</f>
        <v>EMEA</v>
      </c>
      <c r="S914" t="str">
        <f>_xlfn.XLOOKUP(Pipeline_tbl[[#This Row],[Created_Date]],Dim_Date!A:A,Dim_Date!H:H)</f>
        <v>Oct 2025</v>
      </c>
      <c r="T914" t="str">
        <f>IF(Pipeline_tbl[[#This Row],[Closed_Date]]=0,"",(_xlfn.XLOOKUP(Pipeline_tbl[[#This Row],[Closed_Date]],Dim_Date!A:A,Dim_Date!H:H)))</f>
        <v>Oct 2025</v>
      </c>
      <c r="U914">
        <f>IF(Pipeline_tbl[[#This Row],[Closed_Date]]=0,"",Pipeline_tbl[[#This Row],[Closed_Date]]-Pipeline_tbl[[#This Row],[Created_Date]])</f>
        <v>14</v>
      </c>
    </row>
    <row r="915" spans="1:21" ht="15" customHeight="1" x14ac:dyDescent="0.2">
      <c r="A915" t="s">
        <v>1221</v>
      </c>
      <c r="B915" t="s">
        <v>196</v>
      </c>
      <c r="C915" t="s">
        <v>52</v>
      </c>
      <c r="D915" s="49">
        <v>45934</v>
      </c>
      <c r="E915" s="49">
        <v>45936</v>
      </c>
      <c r="F915" s="49">
        <v>45939</v>
      </c>
      <c r="G915" s="49">
        <v>45943</v>
      </c>
      <c r="H915" s="49">
        <v>45947</v>
      </c>
      <c r="I915" s="49">
        <v>45949</v>
      </c>
      <c r="J915" t="s">
        <v>49</v>
      </c>
      <c r="K915" s="33">
        <v>1800</v>
      </c>
      <c r="L915" t="s">
        <v>61</v>
      </c>
      <c r="M915" t="str">
        <f>_xlfn.XLOOKUP(Pipeline_tbl[[#This Row],[Rep_ID]],Dim_Reps!A:A,Dim_Reps!K:K)</f>
        <v>EUR</v>
      </c>
      <c r="N915" s="33">
        <f>(_xlfn.XLOOKUP(Pipeline_tbl[[#This Row],[Rate_Code_Generalized]],Lookups!A:A,Lookups!B:B))*Pipeline_tbl[[#This Row],[Pipeline_Amount_USD]]</f>
        <v>1800</v>
      </c>
      <c r="O915" t="str">
        <f>_xlfn.XLOOKUP(Pipeline_tbl[[#This Row],[Rep_ID]],Dim_Reps!A:A,Dim_Reps!B:B)</f>
        <v>Alex Okafor</v>
      </c>
      <c r="P915" t="str">
        <f>_xlfn.XLOOKUP(Pipeline_tbl[[#This Row],[Rep_ID]],Dim_Reps!A:A,Dim_Reps!C:C)</f>
        <v>SDR / Inside Sales Rep</v>
      </c>
      <c r="Q915" t="str">
        <f>_xlfn.XLOOKUP(Pipeline_tbl[[#This Row],[Rep_ID]],Dim_Reps!A:A,Dim_Reps!D:D)</f>
        <v>Inside Sales</v>
      </c>
      <c r="R915" t="str">
        <f>_xlfn.XLOOKUP(Pipeline_tbl[[#This Row],[Rep_ID]],Dim_Reps!A:A,Dim_Reps!E:E)</f>
        <v>EMEA</v>
      </c>
      <c r="S915" t="str">
        <f>_xlfn.XLOOKUP(Pipeline_tbl[[#This Row],[Created_Date]],Dim_Date!A:A,Dim_Date!H:H)</f>
        <v>Oct 2025</v>
      </c>
      <c r="T915" t="str">
        <f>IF(Pipeline_tbl[[#This Row],[Closed_Date]]=0,"",(_xlfn.XLOOKUP(Pipeline_tbl[[#This Row],[Closed_Date]],Dim_Date!A:A,Dim_Date!H:H)))</f>
        <v>Oct 2025</v>
      </c>
      <c r="U915">
        <f>IF(Pipeline_tbl[[#This Row],[Closed_Date]]=0,"",Pipeline_tbl[[#This Row],[Closed_Date]]-Pipeline_tbl[[#This Row],[Created_Date]])</f>
        <v>15</v>
      </c>
    </row>
    <row r="916" spans="1:21" ht="15" customHeight="1" x14ac:dyDescent="0.2">
      <c r="A916" t="s">
        <v>1222</v>
      </c>
      <c r="B916" t="s">
        <v>199</v>
      </c>
      <c r="C916" t="s">
        <v>54</v>
      </c>
      <c r="D916" s="49">
        <v>45940</v>
      </c>
      <c r="E916" s="49">
        <v>45941</v>
      </c>
      <c r="F916" s="49">
        <v>45944</v>
      </c>
      <c r="G916" s="49">
        <v>45948</v>
      </c>
      <c r="H916" s="49">
        <v>45951</v>
      </c>
      <c r="I916" s="49">
        <v>45953</v>
      </c>
      <c r="J916" t="s">
        <v>47</v>
      </c>
      <c r="K916" s="33">
        <v>3400</v>
      </c>
      <c r="M916" t="str">
        <f>_xlfn.XLOOKUP(Pipeline_tbl[[#This Row],[Rep_ID]],Dim_Reps!A:A,Dim_Reps!K:K)</f>
        <v>EUR</v>
      </c>
      <c r="N916" s="33">
        <f>(_xlfn.XLOOKUP(Pipeline_tbl[[#This Row],[Rate_Code_Generalized]],Lookups!A:A,Lookups!B:B))*Pipeline_tbl[[#This Row],[Pipeline_Amount_USD]]</f>
        <v>3400</v>
      </c>
      <c r="O916" t="str">
        <f>_xlfn.XLOOKUP(Pipeline_tbl[[#This Row],[Rep_ID]],Dim_Reps!A:A,Dim_Reps!B:B)</f>
        <v>Lucas Okafor</v>
      </c>
      <c r="P916" t="str">
        <f>_xlfn.XLOOKUP(Pipeline_tbl[[#This Row],[Rep_ID]],Dim_Reps!A:A,Dim_Reps!C:C)</f>
        <v>SDR / Inside Sales Rep</v>
      </c>
      <c r="Q916" t="str">
        <f>_xlfn.XLOOKUP(Pipeline_tbl[[#This Row],[Rep_ID]],Dim_Reps!A:A,Dim_Reps!D:D)</f>
        <v>Inside Sales</v>
      </c>
      <c r="R916" t="str">
        <f>_xlfn.XLOOKUP(Pipeline_tbl[[#This Row],[Rep_ID]],Dim_Reps!A:A,Dim_Reps!E:E)</f>
        <v>APAC</v>
      </c>
      <c r="S916" t="str">
        <f>_xlfn.XLOOKUP(Pipeline_tbl[[#This Row],[Created_Date]],Dim_Date!A:A,Dim_Date!H:H)</f>
        <v>Oct 2025</v>
      </c>
      <c r="T916" t="str">
        <f>IF(Pipeline_tbl[[#This Row],[Closed_Date]]=0,"",(_xlfn.XLOOKUP(Pipeline_tbl[[#This Row],[Closed_Date]],Dim_Date!A:A,Dim_Date!H:H)))</f>
        <v>Oct 2025</v>
      </c>
      <c r="U916">
        <f>IF(Pipeline_tbl[[#This Row],[Closed_Date]]=0,"",Pipeline_tbl[[#This Row],[Closed_Date]]-Pipeline_tbl[[#This Row],[Created_Date]])</f>
        <v>13</v>
      </c>
    </row>
    <row r="917" spans="1:21" ht="15" customHeight="1" x14ac:dyDescent="0.2">
      <c r="A917" t="s">
        <v>1223</v>
      </c>
      <c r="B917" t="s">
        <v>199</v>
      </c>
      <c r="C917" t="s">
        <v>52</v>
      </c>
      <c r="D917" s="49">
        <v>45932</v>
      </c>
      <c r="E917" s="49">
        <v>45934</v>
      </c>
      <c r="F917" s="49">
        <v>45938</v>
      </c>
      <c r="G917" s="49">
        <v>45943</v>
      </c>
      <c r="I917" s="49">
        <v>45951</v>
      </c>
      <c r="J917" t="s">
        <v>49</v>
      </c>
      <c r="K917" s="33">
        <v>5600</v>
      </c>
      <c r="L917" t="s">
        <v>64</v>
      </c>
      <c r="M917" t="str">
        <f>_xlfn.XLOOKUP(Pipeline_tbl[[#This Row],[Rep_ID]],Dim_Reps!A:A,Dim_Reps!K:K)</f>
        <v>EUR</v>
      </c>
      <c r="N917" s="33">
        <f>(_xlfn.XLOOKUP(Pipeline_tbl[[#This Row],[Rate_Code_Generalized]],Lookups!A:A,Lookups!B:B))*Pipeline_tbl[[#This Row],[Pipeline_Amount_USD]]</f>
        <v>5600</v>
      </c>
      <c r="O917" t="str">
        <f>_xlfn.XLOOKUP(Pipeline_tbl[[#This Row],[Rep_ID]],Dim_Reps!A:A,Dim_Reps!B:B)</f>
        <v>Lucas Okafor</v>
      </c>
      <c r="P917" t="str">
        <f>_xlfn.XLOOKUP(Pipeline_tbl[[#This Row],[Rep_ID]],Dim_Reps!A:A,Dim_Reps!C:C)</f>
        <v>SDR / Inside Sales Rep</v>
      </c>
      <c r="Q917" t="str">
        <f>_xlfn.XLOOKUP(Pipeline_tbl[[#This Row],[Rep_ID]],Dim_Reps!A:A,Dim_Reps!D:D)</f>
        <v>Inside Sales</v>
      </c>
      <c r="R917" t="str">
        <f>_xlfn.XLOOKUP(Pipeline_tbl[[#This Row],[Rep_ID]],Dim_Reps!A:A,Dim_Reps!E:E)</f>
        <v>APAC</v>
      </c>
      <c r="S917" t="str">
        <f>_xlfn.XLOOKUP(Pipeline_tbl[[#This Row],[Created_Date]],Dim_Date!A:A,Dim_Date!H:H)</f>
        <v>Oct 2025</v>
      </c>
      <c r="T917" t="str">
        <f>IF(Pipeline_tbl[[#This Row],[Closed_Date]]=0,"",(_xlfn.XLOOKUP(Pipeline_tbl[[#This Row],[Closed_Date]],Dim_Date!A:A,Dim_Date!H:H)))</f>
        <v>Oct 2025</v>
      </c>
      <c r="U917">
        <f>IF(Pipeline_tbl[[#This Row],[Closed_Date]]=0,"",Pipeline_tbl[[#This Row],[Closed_Date]]-Pipeline_tbl[[#This Row],[Created_Date]])</f>
        <v>19</v>
      </c>
    </row>
    <row r="918" spans="1:21" ht="15" customHeight="1" x14ac:dyDescent="0.2">
      <c r="A918" t="s">
        <v>1224</v>
      </c>
      <c r="B918" t="s">
        <v>199</v>
      </c>
      <c r="C918" t="s">
        <v>52</v>
      </c>
      <c r="D918" s="49">
        <v>45934</v>
      </c>
      <c r="E918" s="49">
        <v>45935</v>
      </c>
      <c r="F918" s="49">
        <v>45938</v>
      </c>
      <c r="G918" s="49">
        <v>45941</v>
      </c>
      <c r="H918" s="49">
        <v>45944</v>
      </c>
      <c r="I918" s="49">
        <v>45946</v>
      </c>
      <c r="J918" t="s">
        <v>47</v>
      </c>
      <c r="K918" s="33">
        <v>1400</v>
      </c>
      <c r="M918" t="str">
        <f>_xlfn.XLOOKUP(Pipeline_tbl[[#This Row],[Rep_ID]],Dim_Reps!A:A,Dim_Reps!K:K)</f>
        <v>EUR</v>
      </c>
      <c r="N918" s="33">
        <f>(_xlfn.XLOOKUP(Pipeline_tbl[[#This Row],[Rate_Code_Generalized]],Lookups!A:A,Lookups!B:B))*Pipeline_tbl[[#This Row],[Pipeline_Amount_USD]]</f>
        <v>1400</v>
      </c>
      <c r="O918" t="str">
        <f>_xlfn.XLOOKUP(Pipeline_tbl[[#This Row],[Rep_ID]],Dim_Reps!A:A,Dim_Reps!B:B)</f>
        <v>Lucas Okafor</v>
      </c>
      <c r="P918" t="str">
        <f>_xlfn.XLOOKUP(Pipeline_tbl[[#This Row],[Rep_ID]],Dim_Reps!A:A,Dim_Reps!C:C)</f>
        <v>SDR / Inside Sales Rep</v>
      </c>
      <c r="Q918" t="str">
        <f>_xlfn.XLOOKUP(Pipeline_tbl[[#This Row],[Rep_ID]],Dim_Reps!A:A,Dim_Reps!D:D)</f>
        <v>Inside Sales</v>
      </c>
      <c r="R918" t="str">
        <f>_xlfn.XLOOKUP(Pipeline_tbl[[#This Row],[Rep_ID]],Dim_Reps!A:A,Dim_Reps!E:E)</f>
        <v>APAC</v>
      </c>
      <c r="S918" t="str">
        <f>_xlfn.XLOOKUP(Pipeline_tbl[[#This Row],[Created_Date]],Dim_Date!A:A,Dim_Date!H:H)</f>
        <v>Oct 2025</v>
      </c>
      <c r="T918" t="str">
        <f>IF(Pipeline_tbl[[#This Row],[Closed_Date]]=0,"",(_xlfn.XLOOKUP(Pipeline_tbl[[#This Row],[Closed_Date]],Dim_Date!A:A,Dim_Date!H:H)))</f>
        <v>Oct 2025</v>
      </c>
      <c r="U918">
        <f>IF(Pipeline_tbl[[#This Row],[Closed_Date]]=0,"",Pipeline_tbl[[#This Row],[Closed_Date]]-Pipeline_tbl[[#This Row],[Created_Date]])</f>
        <v>12</v>
      </c>
    </row>
    <row r="919" spans="1:21" ht="15" customHeight="1" x14ac:dyDescent="0.2">
      <c r="A919" t="s">
        <v>1225</v>
      </c>
      <c r="B919" t="s">
        <v>199</v>
      </c>
      <c r="C919" t="s">
        <v>53</v>
      </c>
      <c r="D919" s="49">
        <v>45937</v>
      </c>
      <c r="E919" s="49">
        <v>45939</v>
      </c>
      <c r="F919" s="49">
        <v>45943</v>
      </c>
      <c r="G919" s="49">
        <v>45950</v>
      </c>
      <c r="H919" s="49">
        <v>45955</v>
      </c>
      <c r="I919" s="49">
        <v>45958</v>
      </c>
      <c r="J919" t="s">
        <v>47</v>
      </c>
      <c r="K919" s="33">
        <v>13600</v>
      </c>
      <c r="M919" t="str">
        <f>_xlfn.XLOOKUP(Pipeline_tbl[[#This Row],[Rep_ID]],Dim_Reps!A:A,Dim_Reps!K:K)</f>
        <v>EUR</v>
      </c>
      <c r="N919" s="33">
        <f>(_xlfn.XLOOKUP(Pipeline_tbl[[#This Row],[Rate_Code_Generalized]],Lookups!A:A,Lookups!B:B))*Pipeline_tbl[[#This Row],[Pipeline_Amount_USD]]</f>
        <v>13600</v>
      </c>
      <c r="O919" t="str">
        <f>_xlfn.XLOOKUP(Pipeline_tbl[[#This Row],[Rep_ID]],Dim_Reps!A:A,Dim_Reps!B:B)</f>
        <v>Lucas Okafor</v>
      </c>
      <c r="P919" t="str">
        <f>_xlfn.XLOOKUP(Pipeline_tbl[[#This Row],[Rep_ID]],Dim_Reps!A:A,Dim_Reps!C:C)</f>
        <v>SDR / Inside Sales Rep</v>
      </c>
      <c r="Q919" t="str">
        <f>_xlfn.XLOOKUP(Pipeline_tbl[[#This Row],[Rep_ID]],Dim_Reps!A:A,Dim_Reps!D:D)</f>
        <v>Inside Sales</v>
      </c>
      <c r="R919" t="str">
        <f>_xlfn.XLOOKUP(Pipeline_tbl[[#This Row],[Rep_ID]],Dim_Reps!A:A,Dim_Reps!E:E)</f>
        <v>APAC</v>
      </c>
      <c r="S919" t="str">
        <f>_xlfn.XLOOKUP(Pipeline_tbl[[#This Row],[Created_Date]],Dim_Date!A:A,Dim_Date!H:H)</f>
        <v>Oct 2025</v>
      </c>
      <c r="T919" t="str">
        <f>IF(Pipeline_tbl[[#This Row],[Closed_Date]]=0,"",(_xlfn.XLOOKUP(Pipeline_tbl[[#This Row],[Closed_Date]],Dim_Date!A:A,Dim_Date!H:H)))</f>
        <v>Oct 2025</v>
      </c>
      <c r="U919">
        <f>IF(Pipeline_tbl[[#This Row],[Closed_Date]]=0,"",Pipeline_tbl[[#This Row],[Closed_Date]]-Pipeline_tbl[[#This Row],[Created_Date]])</f>
        <v>21</v>
      </c>
    </row>
    <row r="920" spans="1:21" ht="15" customHeight="1" x14ac:dyDescent="0.2">
      <c r="A920" t="s">
        <v>1226</v>
      </c>
      <c r="B920" t="s">
        <v>199</v>
      </c>
      <c r="C920" t="s">
        <v>52</v>
      </c>
      <c r="D920" s="49">
        <v>45951</v>
      </c>
      <c r="E920" s="49">
        <v>45951</v>
      </c>
      <c r="F920" s="49">
        <v>45953</v>
      </c>
      <c r="G920" s="49">
        <v>45954</v>
      </c>
      <c r="H920" s="49">
        <v>45955</v>
      </c>
      <c r="I920" s="49">
        <v>45956</v>
      </c>
      <c r="J920" t="s">
        <v>47</v>
      </c>
      <c r="K920" s="33">
        <v>2400</v>
      </c>
      <c r="M920" t="str">
        <f>_xlfn.XLOOKUP(Pipeline_tbl[[#This Row],[Rep_ID]],Dim_Reps!A:A,Dim_Reps!K:K)</f>
        <v>EUR</v>
      </c>
      <c r="N920" s="33">
        <f>(_xlfn.XLOOKUP(Pipeline_tbl[[#This Row],[Rate_Code_Generalized]],Lookups!A:A,Lookups!B:B))*Pipeline_tbl[[#This Row],[Pipeline_Amount_USD]]</f>
        <v>2400</v>
      </c>
      <c r="O920" t="str">
        <f>_xlfn.XLOOKUP(Pipeline_tbl[[#This Row],[Rep_ID]],Dim_Reps!A:A,Dim_Reps!B:B)</f>
        <v>Lucas Okafor</v>
      </c>
      <c r="P920" t="str">
        <f>_xlfn.XLOOKUP(Pipeline_tbl[[#This Row],[Rep_ID]],Dim_Reps!A:A,Dim_Reps!C:C)</f>
        <v>SDR / Inside Sales Rep</v>
      </c>
      <c r="Q920" t="str">
        <f>_xlfn.XLOOKUP(Pipeline_tbl[[#This Row],[Rep_ID]],Dim_Reps!A:A,Dim_Reps!D:D)</f>
        <v>Inside Sales</v>
      </c>
      <c r="R920" t="str">
        <f>_xlfn.XLOOKUP(Pipeline_tbl[[#This Row],[Rep_ID]],Dim_Reps!A:A,Dim_Reps!E:E)</f>
        <v>APAC</v>
      </c>
      <c r="S920" t="str">
        <f>_xlfn.XLOOKUP(Pipeline_tbl[[#This Row],[Created_Date]],Dim_Date!A:A,Dim_Date!H:H)</f>
        <v>Oct 2025</v>
      </c>
      <c r="T920" t="str">
        <f>IF(Pipeline_tbl[[#This Row],[Closed_Date]]=0,"",(_xlfn.XLOOKUP(Pipeline_tbl[[#This Row],[Closed_Date]],Dim_Date!A:A,Dim_Date!H:H)))</f>
        <v>Oct 2025</v>
      </c>
      <c r="U920">
        <f>IF(Pipeline_tbl[[#This Row],[Closed_Date]]=0,"",Pipeline_tbl[[#This Row],[Closed_Date]]-Pipeline_tbl[[#This Row],[Created_Date]])</f>
        <v>5</v>
      </c>
    </row>
    <row r="921" spans="1:21" ht="15" customHeight="1" x14ac:dyDescent="0.2">
      <c r="A921" t="s">
        <v>1227</v>
      </c>
      <c r="B921" t="s">
        <v>199</v>
      </c>
      <c r="C921" t="s">
        <v>52</v>
      </c>
      <c r="D921" s="49">
        <v>45939</v>
      </c>
      <c r="E921" s="49">
        <v>45940</v>
      </c>
      <c r="F921" s="49">
        <v>45942</v>
      </c>
      <c r="G921" s="49">
        <v>45945</v>
      </c>
      <c r="H921" s="49">
        <v>45947</v>
      </c>
      <c r="I921" s="49">
        <v>45949</v>
      </c>
      <c r="J921" t="s">
        <v>47</v>
      </c>
      <c r="K921" s="33">
        <v>3200</v>
      </c>
      <c r="M921" t="str">
        <f>_xlfn.XLOOKUP(Pipeline_tbl[[#This Row],[Rep_ID]],Dim_Reps!A:A,Dim_Reps!K:K)</f>
        <v>EUR</v>
      </c>
      <c r="N921" s="33">
        <f>(_xlfn.XLOOKUP(Pipeline_tbl[[#This Row],[Rate_Code_Generalized]],Lookups!A:A,Lookups!B:B))*Pipeline_tbl[[#This Row],[Pipeline_Amount_USD]]</f>
        <v>3200</v>
      </c>
      <c r="O921" t="str">
        <f>_xlfn.XLOOKUP(Pipeline_tbl[[#This Row],[Rep_ID]],Dim_Reps!A:A,Dim_Reps!B:B)</f>
        <v>Lucas Okafor</v>
      </c>
      <c r="P921" t="str">
        <f>_xlfn.XLOOKUP(Pipeline_tbl[[#This Row],[Rep_ID]],Dim_Reps!A:A,Dim_Reps!C:C)</f>
        <v>SDR / Inside Sales Rep</v>
      </c>
      <c r="Q921" t="str">
        <f>_xlfn.XLOOKUP(Pipeline_tbl[[#This Row],[Rep_ID]],Dim_Reps!A:A,Dim_Reps!D:D)</f>
        <v>Inside Sales</v>
      </c>
      <c r="R921" t="str">
        <f>_xlfn.XLOOKUP(Pipeline_tbl[[#This Row],[Rep_ID]],Dim_Reps!A:A,Dim_Reps!E:E)</f>
        <v>APAC</v>
      </c>
      <c r="S921" t="str">
        <f>_xlfn.XLOOKUP(Pipeline_tbl[[#This Row],[Created_Date]],Dim_Date!A:A,Dim_Date!H:H)</f>
        <v>Oct 2025</v>
      </c>
      <c r="T921" t="str">
        <f>IF(Pipeline_tbl[[#This Row],[Closed_Date]]=0,"",(_xlfn.XLOOKUP(Pipeline_tbl[[#This Row],[Closed_Date]],Dim_Date!A:A,Dim_Date!H:H)))</f>
        <v>Oct 2025</v>
      </c>
      <c r="U921">
        <f>IF(Pipeline_tbl[[#This Row],[Closed_Date]]=0,"",Pipeline_tbl[[#This Row],[Closed_Date]]-Pipeline_tbl[[#This Row],[Created_Date]])</f>
        <v>10</v>
      </c>
    </row>
    <row r="922" spans="1:21" ht="15" customHeight="1" x14ac:dyDescent="0.2">
      <c r="A922" t="s">
        <v>1228</v>
      </c>
      <c r="B922" t="s">
        <v>201</v>
      </c>
      <c r="C922" t="s">
        <v>53</v>
      </c>
      <c r="D922" s="49">
        <v>45935</v>
      </c>
      <c r="E922" s="49">
        <v>45937</v>
      </c>
      <c r="F922" s="49">
        <v>45940</v>
      </c>
      <c r="G922" s="49">
        <v>45946</v>
      </c>
      <c r="H922" s="49">
        <v>45950</v>
      </c>
      <c r="I922" s="49">
        <v>45953</v>
      </c>
      <c r="J922" t="s">
        <v>47</v>
      </c>
      <c r="K922" s="33">
        <v>4800</v>
      </c>
      <c r="M922" t="str">
        <f>_xlfn.XLOOKUP(Pipeline_tbl[[#This Row],[Rep_ID]],Dim_Reps!A:A,Dim_Reps!K:K)</f>
        <v>EUR</v>
      </c>
      <c r="N922" s="33">
        <f>(_xlfn.XLOOKUP(Pipeline_tbl[[#This Row],[Rate_Code_Generalized]],Lookups!A:A,Lookups!B:B))*Pipeline_tbl[[#This Row],[Pipeline_Amount_USD]]</f>
        <v>4800</v>
      </c>
      <c r="O922" t="str">
        <f>_xlfn.XLOOKUP(Pipeline_tbl[[#This Row],[Rep_ID]],Dim_Reps!A:A,Dim_Reps!B:B)</f>
        <v>Sara Duarte</v>
      </c>
      <c r="P922" t="str">
        <f>_xlfn.XLOOKUP(Pipeline_tbl[[#This Row],[Rep_ID]],Dim_Reps!A:A,Dim_Reps!C:C)</f>
        <v>SDR / Inside Sales Rep</v>
      </c>
      <c r="Q922" t="str">
        <f>_xlfn.XLOOKUP(Pipeline_tbl[[#This Row],[Rep_ID]],Dim_Reps!A:A,Dim_Reps!D:D)</f>
        <v>Inside Sales</v>
      </c>
      <c r="R922" t="str">
        <f>_xlfn.XLOOKUP(Pipeline_tbl[[#This Row],[Rep_ID]],Dim_Reps!A:A,Dim_Reps!E:E)</f>
        <v>APAC</v>
      </c>
      <c r="S922" t="str">
        <f>_xlfn.XLOOKUP(Pipeline_tbl[[#This Row],[Created_Date]],Dim_Date!A:A,Dim_Date!H:H)</f>
        <v>Oct 2025</v>
      </c>
      <c r="T922" t="str">
        <f>IF(Pipeline_tbl[[#This Row],[Closed_Date]]=0,"",(_xlfn.XLOOKUP(Pipeline_tbl[[#This Row],[Closed_Date]],Dim_Date!A:A,Dim_Date!H:H)))</f>
        <v>Oct 2025</v>
      </c>
      <c r="U922">
        <f>IF(Pipeline_tbl[[#This Row],[Closed_Date]]=0,"",Pipeline_tbl[[#This Row],[Closed_Date]]-Pipeline_tbl[[#This Row],[Created_Date]])</f>
        <v>18</v>
      </c>
    </row>
    <row r="923" spans="1:21" ht="15" customHeight="1" x14ac:dyDescent="0.2">
      <c r="A923" t="s">
        <v>1229</v>
      </c>
      <c r="B923" t="s">
        <v>201</v>
      </c>
      <c r="C923" t="s">
        <v>55</v>
      </c>
      <c r="D923" s="49">
        <v>45933</v>
      </c>
      <c r="E923" s="49">
        <v>45935</v>
      </c>
      <c r="F923" s="49">
        <v>45940</v>
      </c>
      <c r="G923" s="49">
        <v>45946</v>
      </c>
      <c r="H923" s="49">
        <v>45952</v>
      </c>
      <c r="I923" s="49">
        <v>45955</v>
      </c>
      <c r="J923" t="s">
        <v>47</v>
      </c>
      <c r="K923" s="33">
        <v>2500</v>
      </c>
      <c r="M923" t="str">
        <f>_xlfn.XLOOKUP(Pipeline_tbl[[#This Row],[Rep_ID]],Dim_Reps!A:A,Dim_Reps!K:K)</f>
        <v>EUR</v>
      </c>
      <c r="N923" s="33">
        <f>(_xlfn.XLOOKUP(Pipeline_tbl[[#This Row],[Rate_Code_Generalized]],Lookups!A:A,Lookups!B:B))*Pipeline_tbl[[#This Row],[Pipeline_Amount_USD]]</f>
        <v>2500</v>
      </c>
      <c r="O923" t="str">
        <f>_xlfn.XLOOKUP(Pipeline_tbl[[#This Row],[Rep_ID]],Dim_Reps!A:A,Dim_Reps!B:B)</f>
        <v>Sara Duarte</v>
      </c>
      <c r="P923" t="str">
        <f>_xlfn.XLOOKUP(Pipeline_tbl[[#This Row],[Rep_ID]],Dim_Reps!A:A,Dim_Reps!C:C)</f>
        <v>SDR / Inside Sales Rep</v>
      </c>
      <c r="Q923" t="str">
        <f>_xlfn.XLOOKUP(Pipeline_tbl[[#This Row],[Rep_ID]],Dim_Reps!A:A,Dim_Reps!D:D)</f>
        <v>Inside Sales</v>
      </c>
      <c r="R923" t="str">
        <f>_xlfn.XLOOKUP(Pipeline_tbl[[#This Row],[Rep_ID]],Dim_Reps!A:A,Dim_Reps!E:E)</f>
        <v>APAC</v>
      </c>
      <c r="S923" t="str">
        <f>_xlfn.XLOOKUP(Pipeline_tbl[[#This Row],[Created_Date]],Dim_Date!A:A,Dim_Date!H:H)</f>
        <v>Oct 2025</v>
      </c>
      <c r="T923" t="str">
        <f>IF(Pipeline_tbl[[#This Row],[Closed_Date]]=0,"",(_xlfn.XLOOKUP(Pipeline_tbl[[#This Row],[Closed_Date]],Dim_Date!A:A,Dim_Date!H:H)))</f>
        <v>Oct 2025</v>
      </c>
      <c r="U923">
        <f>IF(Pipeline_tbl[[#This Row],[Closed_Date]]=0,"",Pipeline_tbl[[#This Row],[Closed_Date]]-Pipeline_tbl[[#This Row],[Created_Date]])</f>
        <v>22</v>
      </c>
    </row>
    <row r="924" spans="1:21" ht="15" customHeight="1" x14ac:dyDescent="0.2">
      <c r="A924" t="s">
        <v>1230</v>
      </c>
      <c r="B924" t="s">
        <v>201</v>
      </c>
      <c r="C924" t="s">
        <v>52</v>
      </c>
      <c r="D924" s="49">
        <v>45932</v>
      </c>
      <c r="E924" s="49">
        <v>45934</v>
      </c>
      <c r="F924" s="49">
        <v>45938</v>
      </c>
      <c r="G924" s="49">
        <v>45945</v>
      </c>
      <c r="H924" s="49">
        <v>45950</v>
      </c>
      <c r="I924" s="49">
        <v>45953</v>
      </c>
      <c r="J924" t="s">
        <v>49</v>
      </c>
      <c r="K924" s="33">
        <v>2400</v>
      </c>
      <c r="L924" t="s">
        <v>61</v>
      </c>
      <c r="M924" t="str">
        <f>_xlfn.XLOOKUP(Pipeline_tbl[[#This Row],[Rep_ID]],Dim_Reps!A:A,Dim_Reps!K:K)</f>
        <v>EUR</v>
      </c>
      <c r="N924" s="33">
        <f>(_xlfn.XLOOKUP(Pipeline_tbl[[#This Row],[Rate_Code_Generalized]],Lookups!A:A,Lookups!B:B))*Pipeline_tbl[[#This Row],[Pipeline_Amount_USD]]</f>
        <v>2400</v>
      </c>
      <c r="O924" t="str">
        <f>_xlfn.XLOOKUP(Pipeline_tbl[[#This Row],[Rep_ID]],Dim_Reps!A:A,Dim_Reps!B:B)</f>
        <v>Sara Duarte</v>
      </c>
      <c r="P924" t="str">
        <f>_xlfn.XLOOKUP(Pipeline_tbl[[#This Row],[Rep_ID]],Dim_Reps!A:A,Dim_Reps!C:C)</f>
        <v>SDR / Inside Sales Rep</v>
      </c>
      <c r="Q924" t="str">
        <f>_xlfn.XLOOKUP(Pipeline_tbl[[#This Row],[Rep_ID]],Dim_Reps!A:A,Dim_Reps!D:D)</f>
        <v>Inside Sales</v>
      </c>
      <c r="R924" t="str">
        <f>_xlfn.XLOOKUP(Pipeline_tbl[[#This Row],[Rep_ID]],Dim_Reps!A:A,Dim_Reps!E:E)</f>
        <v>APAC</v>
      </c>
      <c r="S924" t="str">
        <f>_xlfn.XLOOKUP(Pipeline_tbl[[#This Row],[Created_Date]],Dim_Date!A:A,Dim_Date!H:H)</f>
        <v>Oct 2025</v>
      </c>
      <c r="T924" t="str">
        <f>IF(Pipeline_tbl[[#This Row],[Closed_Date]]=0,"",(_xlfn.XLOOKUP(Pipeline_tbl[[#This Row],[Closed_Date]],Dim_Date!A:A,Dim_Date!H:H)))</f>
        <v>Oct 2025</v>
      </c>
      <c r="U924">
        <f>IF(Pipeline_tbl[[#This Row],[Closed_Date]]=0,"",Pipeline_tbl[[#This Row],[Closed_Date]]-Pipeline_tbl[[#This Row],[Created_Date]])</f>
        <v>21</v>
      </c>
    </row>
    <row r="925" spans="1:21" ht="15" customHeight="1" x14ac:dyDescent="0.2">
      <c r="A925" t="s">
        <v>1231</v>
      </c>
      <c r="B925" t="s">
        <v>201</v>
      </c>
      <c r="C925" t="s">
        <v>52</v>
      </c>
      <c r="D925" s="49">
        <v>45936</v>
      </c>
      <c r="E925" s="49">
        <v>45936</v>
      </c>
      <c r="F925" s="49">
        <v>45938</v>
      </c>
      <c r="I925" s="49">
        <v>45941</v>
      </c>
      <c r="J925" t="s">
        <v>49</v>
      </c>
      <c r="K925" s="33">
        <v>2900</v>
      </c>
      <c r="L925" t="s">
        <v>63</v>
      </c>
      <c r="M925" t="str">
        <f>_xlfn.XLOOKUP(Pipeline_tbl[[#This Row],[Rep_ID]],Dim_Reps!A:A,Dim_Reps!K:K)</f>
        <v>EUR</v>
      </c>
      <c r="N925" s="33">
        <f>(_xlfn.XLOOKUP(Pipeline_tbl[[#This Row],[Rate_Code_Generalized]],Lookups!A:A,Lookups!B:B))*Pipeline_tbl[[#This Row],[Pipeline_Amount_USD]]</f>
        <v>2900</v>
      </c>
      <c r="O925" t="str">
        <f>_xlfn.XLOOKUP(Pipeline_tbl[[#This Row],[Rep_ID]],Dim_Reps!A:A,Dim_Reps!B:B)</f>
        <v>Sara Duarte</v>
      </c>
      <c r="P925" t="str">
        <f>_xlfn.XLOOKUP(Pipeline_tbl[[#This Row],[Rep_ID]],Dim_Reps!A:A,Dim_Reps!C:C)</f>
        <v>SDR / Inside Sales Rep</v>
      </c>
      <c r="Q925" t="str">
        <f>_xlfn.XLOOKUP(Pipeline_tbl[[#This Row],[Rep_ID]],Dim_Reps!A:A,Dim_Reps!D:D)</f>
        <v>Inside Sales</v>
      </c>
      <c r="R925" t="str">
        <f>_xlfn.XLOOKUP(Pipeline_tbl[[#This Row],[Rep_ID]],Dim_Reps!A:A,Dim_Reps!E:E)</f>
        <v>APAC</v>
      </c>
      <c r="S925" t="str">
        <f>_xlfn.XLOOKUP(Pipeline_tbl[[#This Row],[Created_Date]],Dim_Date!A:A,Dim_Date!H:H)</f>
        <v>Oct 2025</v>
      </c>
      <c r="T925" t="str">
        <f>IF(Pipeline_tbl[[#This Row],[Closed_Date]]=0,"",(_xlfn.XLOOKUP(Pipeline_tbl[[#This Row],[Closed_Date]],Dim_Date!A:A,Dim_Date!H:H)))</f>
        <v>Oct 2025</v>
      </c>
      <c r="U925">
        <f>IF(Pipeline_tbl[[#This Row],[Closed_Date]]=0,"",Pipeline_tbl[[#This Row],[Closed_Date]]-Pipeline_tbl[[#This Row],[Created_Date]])</f>
        <v>5</v>
      </c>
    </row>
    <row r="926" spans="1:21" ht="15" customHeight="1" x14ac:dyDescent="0.2">
      <c r="A926" t="s">
        <v>1232</v>
      </c>
      <c r="B926" t="s">
        <v>201</v>
      </c>
      <c r="C926" t="s">
        <v>54</v>
      </c>
      <c r="D926" s="49">
        <v>45940</v>
      </c>
      <c r="E926" s="49">
        <v>45942</v>
      </c>
      <c r="F926" s="49">
        <v>45946</v>
      </c>
      <c r="G926" s="49">
        <v>45952</v>
      </c>
      <c r="H926" s="49">
        <v>45957</v>
      </c>
      <c r="I926" s="49">
        <v>45960</v>
      </c>
      <c r="J926" t="s">
        <v>47</v>
      </c>
      <c r="K926" s="33">
        <v>9500</v>
      </c>
      <c r="M926" t="str">
        <f>_xlfn.XLOOKUP(Pipeline_tbl[[#This Row],[Rep_ID]],Dim_Reps!A:A,Dim_Reps!K:K)</f>
        <v>EUR</v>
      </c>
      <c r="N926" s="33">
        <f>(_xlfn.XLOOKUP(Pipeline_tbl[[#This Row],[Rate_Code_Generalized]],Lookups!A:A,Lookups!B:B))*Pipeline_tbl[[#This Row],[Pipeline_Amount_USD]]</f>
        <v>9500</v>
      </c>
      <c r="O926" t="str">
        <f>_xlfn.XLOOKUP(Pipeline_tbl[[#This Row],[Rep_ID]],Dim_Reps!A:A,Dim_Reps!B:B)</f>
        <v>Sara Duarte</v>
      </c>
      <c r="P926" t="str">
        <f>_xlfn.XLOOKUP(Pipeline_tbl[[#This Row],[Rep_ID]],Dim_Reps!A:A,Dim_Reps!C:C)</f>
        <v>SDR / Inside Sales Rep</v>
      </c>
      <c r="Q926" t="str">
        <f>_xlfn.XLOOKUP(Pipeline_tbl[[#This Row],[Rep_ID]],Dim_Reps!A:A,Dim_Reps!D:D)</f>
        <v>Inside Sales</v>
      </c>
      <c r="R926" t="str">
        <f>_xlfn.XLOOKUP(Pipeline_tbl[[#This Row],[Rep_ID]],Dim_Reps!A:A,Dim_Reps!E:E)</f>
        <v>APAC</v>
      </c>
      <c r="S926" t="str">
        <f>_xlfn.XLOOKUP(Pipeline_tbl[[#This Row],[Created_Date]],Dim_Date!A:A,Dim_Date!H:H)</f>
        <v>Oct 2025</v>
      </c>
      <c r="T926" t="str">
        <f>IF(Pipeline_tbl[[#This Row],[Closed_Date]]=0,"",(_xlfn.XLOOKUP(Pipeline_tbl[[#This Row],[Closed_Date]],Dim_Date!A:A,Dim_Date!H:H)))</f>
        <v>Oct 2025</v>
      </c>
      <c r="U926">
        <f>IF(Pipeline_tbl[[#This Row],[Closed_Date]]=0,"",Pipeline_tbl[[#This Row],[Closed_Date]]-Pipeline_tbl[[#This Row],[Created_Date]])</f>
        <v>20</v>
      </c>
    </row>
    <row r="927" spans="1:21" ht="15" customHeight="1" x14ac:dyDescent="0.2">
      <c r="A927" t="s">
        <v>1233</v>
      </c>
      <c r="B927" t="s">
        <v>181</v>
      </c>
      <c r="C927" t="s">
        <v>53</v>
      </c>
      <c r="D927" s="49">
        <v>45934</v>
      </c>
      <c r="E927" s="49">
        <v>45936</v>
      </c>
      <c r="F927" s="49">
        <v>45941</v>
      </c>
      <c r="G927" s="49">
        <v>45947</v>
      </c>
      <c r="H927" s="49">
        <v>45953</v>
      </c>
      <c r="I927" s="49">
        <v>45956</v>
      </c>
      <c r="J927" t="s">
        <v>47</v>
      </c>
      <c r="K927" s="33">
        <v>16300</v>
      </c>
      <c r="M927" t="str">
        <f>_xlfn.XLOOKUP(Pipeline_tbl[[#This Row],[Rep_ID]],Dim_Reps!A:A,Dim_Reps!K:K)</f>
        <v>USD</v>
      </c>
      <c r="N927" s="33">
        <f>(_xlfn.XLOOKUP(Pipeline_tbl[[#This Row],[Rate_Code_Generalized]],Lookups!A:A,Lookups!B:B))*Pipeline_tbl[[#This Row],[Pipeline_Amount_USD]]</f>
        <v>18978.089999999997</v>
      </c>
      <c r="O927" t="str">
        <f>_xlfn.XLOOKUP(Pipeline_tbl[[#This Row],[Rep_ID]],Dim_Reps!A:A,Dim_Reps!B:B)</f>
        <v>Milo Weber</v>
      </c>
      <c r="P927" t="str">
        <f>_xlfn.XLOOKUP(Pipeline_tbl[[#This Row],[Rep_ID]],Dim_Reps!A:A,Dim_Reps!C:C)</f>
        <v>Enterprise AE</v>
      </c>
      <c r="Q927" t="str">
        <f>_xlfn.XLOOKUP(Pipeline_tbl[[#This Row],[Rep_ID]],Dim_Reps!A:A,Dim_Reps!D:D)</f>
        <v>Enterprise</v>
      </c>
      <c r="R927" t="str">
        <f>_xlfn.XLOOKUP(Pipeline_tbl[[#This Row],[Rep_ID]],Dim_Reps!A:A,Dim_Reps!E:E)</f>
        <v>NAMER</v>
      </c>
      <c r="S927" t="str">
        <f>_xlfn.XLOOKUP(Pipeline_tbl[[#This Row],[Created_Date]],Dim_Date!A:A,Dim_Date!H:H)</f>
        <v>Oct 2025</v>
      </c>
      <c r="T927" t="str">
        <f>IF(Pipeline_tbl[[#This Row],[Closed_Date]]=0,"",(_xlfn.XLOOKUP(Pipeline_tbl[[#This Row],[Closed_Date]],Dim_Date!A:A,Dim_Date!H:H)))</f>
        <v>Oct 2025</v>
      </c>
      <c r="U927">
        <f>IF(Pipeline_tbl[[#This Row],[Closed_Date]]=0,"",Pipeline_tbl[[#This Row],[Closed_Date]]-Pipeline_tbl[[#This Row],[Created_Date]])</f>
        <v>22</v>
      </c>
    </row>
    <row r="928" spans="1:21" ht="15" customHeight="1" x14ac:dyDescent="0.2">
      <c r="A928" t="s">
        <v>1234</v>
      </c>
      <c r="B928" t="s">
        <v>183</v>
      </c>
      <c r="C928" t="s">
        <v>52</v>
      </c>
      <c r="D928" s="49">
        <v>45950</v>
      </c>
      <c r="E928" s="49">
        <v>45951</v>
      </c>
      <c r="F928" s="49">
        <v>45952</v>
      </c>
      <c r="G928" s="49">
        <v>45955</v>
      </c>
      <c r="H928" s="49">
        <v>45957</v>
      </c>
      <c r="I928" s="49">
        <v>45958</v>
      </c>
      <c r="J928" t="s">
        <v>49</v>
      </c>
      <c r="K928" s="33">
        <v>51300</v>
      </c>
      <c r="L928" t="s">
        <v>61</v>
      </c>
      <c r="M928" t="str">
        <f>_xlfn.XLOOKUP(Pipeline_tbl[[#This Row],[Rep_ID]],Dim_Reps!A:A,Dim_Reps!K:K)</f>
        <v>EUR</v>
      </c>
      <c r="N928" s="33">
        <f>(_xlfn.XLOOKUP(Pipeline_tbl[[#This Row],[Rate_Code_Generalized]],Lookups!A:A,Lookups!B:B))*Pipeline_tbl[[#This Row],[Pipeline_Amount_USD]]</f>
        <v>51300</v>
      </c>
      <c r="O928" t="str">
        <f>_xlfn.XLOOKUP(Pipeline_tbl[[#This Row],[Rep_ID]],Dim_Reps!A:A,Dim_Reps!B:B)</f>
        <v>Sam Schmidt</v>
      </c>
      <c r="P928" t="str">
        <f>_xlfn.XLOOKUP(Pipeline_tbl[[#This Row],[Rep_ID]],Dim_Reps!A:A,Dim_Reps!C:C)</f>
        <v>Enterprise AE</v>
      </c>
      <c r="Q928" t="str">
        <f>_xlfn.XLOOKUP(Pipeline_tbl[[#This Row],[Rep_ID]],Dim_Reps!A:A,Dim_Reps!D:D)</f>
        <v>Enterprise</v>
      </c>
      <c r="R928" t="str">
        <f>_xlfn.XLOOKUP(Pipeline_tbl[[#This Row],[Rep_ID]],Dim_Reps!A:A,Dim_Reps!E:E)</f>
        <v>EMEA</v>
      </c>
      <c r="S928" t="str">
        <f>_xlfn.XLOOKUP(Pipeline_tbl[[#This Row],[Created_Date]],Dim_Date!A:A,Dim_Date!H:H)</f>
        <v>Oct 2025</v>
      </c>
      <c r="T928" t="str">
        <f>IF(Pipeline_tbl[[#This Row],[Closed_Date]]=0,"",(_xlfn.XLOOKUP(Pipeline_tbl[[#This Row],[Closed_Date]],Dim_Date!A:A,Dim_Date!H:H)))</f>
        <v>Oct 2025</v>
      </c>
      <c r="U928">
        <f>IF(Pipeline_tbl[[#This Row],[Closed_Date]]=0,"",Pipeline_tbl[[#This Row],[Closed_Date]]-Pipeline_tbl[[#This Row],[Created_Date]])</f>
        <v>8</v>
      </c>
    </row>
    <row r="929" spans="1:21" ht="15" customHeight="1" x14ac:dyDescent="0.2">
      <c r="A929" t="s">
        <v>1235</v>
      </c>
      <c r="B929" t="s">
        <v>203</v>
      </c>
      <c r="C929" t="s">
        <v>55</v>
      </c>
      <c r="D929" s="49">
        <v>45942</v>
      </c>
      <c r="E929" s="49">
        <v>45944</v>
      </c>
      <c r="F929" s="49">
        <v>45947</v>
      </c>
      <c r="G929" s="49">
        <v>45951</v>
      </c>
      <c r="I929" s="49">
        <v>45957</v>
      </c>
      <c r="J929" t="s">
        <v>49</v>
      </c>
      <c r="K929" s="33">
        <v>1900</v>
      </c>
      <c r="L929" t="s">
        <v>61</v>
      </c>
      <c r="M929" t="str">
        <f>_xlfn.XLOOKUP(Pipeline_tbl[[#This Row],[Rep_ID]],Dim_Reps!A:A,Dim_Reps!K:K)</f>
        <v>EUR</v>
      </c>
      <c r="N929" s="33">
        <f>(_xlfn.XLOOKUP(Pipeline_tbl[[#This Row],[Rate_Code_Generalized]],Lookups!A:A,Lookups!B:B))*Pipeline_tbl[[#This Row],[Pipeline_Amount_USD]]</f>
        <v>1900</v>
      </c>
      <c r="O929" t="str">
        <f>_xlfn.XLOOKUP(Pipeline_tbl[[#This Row],[Rep_ID]],Dim_Reps!A:A,Dim_Reps!B:B)</f>
        <v>Riley Haddad</v>
      </c>
      <c r="P929" t="str">
        <f>_xlfn.XLOOKUP(Pipeline_tbl[[#This Row],[Rep_ID]],Dim_Reps!A:A,Dim_Reps!C:C)</f>
        <v>SDR / Inside Sales Rep</v>
      </c>
      <c r="Q929" t="str">
        <f>_xlfn.XLOOKUP(Pipeline_tbl[[#This Row],[Rep_ID]],Dim_Reps!A:A,Dim_Reps!D:D)</f>
        <v>Inside Sales</v>
      </c>
      <c r="R929" t="str">
        <f>_xlfn.XLOOKUP(Pipeline_tbl[[#This Row],[Rep_ID]],Dim_Reps!A:A,Dim_Reps!E:E)</f>
        <v>APAC</v>
      </c>
      <c r="S929" t="str">
        <f>_xlfn.XLOOKUP(Pipeline_tbl[[#This Row],[Created_Date]],Dim_Date!A:A,Dim_Date!H:H)</f>
        <v>Oct 2025</v>
      </c>
      <c r="T929" t="str">
        <f>IF(Pipeline_tbl[[#This Row],[Closed_Date]]=0,"",(_xlfn.XLOOKUP(Pipeline_tbl[[#This Row],[Closed_Date]],Dim_Date!A:A,Dim_Date!H:H)))</f>
        <v>Oct 2025</v>
      </c>
      <c r="U929">
        <f>IF(Pipeline_tbl[[#This Row],[Closed_Date]]=0,"",Pipeline_tbl[[#This Row],[Closed_Date]]-Pipeline_tbl[[#This Row],[Created_Date]])</f>
        <v>15</v>
      </c>
    </row>
    <row r="930" spans="1:21" ht="15" customHeight="1" x14ac:dyDescent="0.2">
      <c r="A930" t="s">
        <v>1236</v>
      </c>
      <c r="B930" t="s">
        <v>203</v>
      </c>
      <c r="C930" t="s">
        <v>53</v>
      </c>
      <c r="D930" s="49">
        <v>45938</v>
      </c>
      <c r="E930" s="49">
        <v>45940</v>
      </c>
      <c r="F930" s="49">
        <v>45944</v>
      </c>
      <c r="I930" s="49">
        <v>45957</v>
      </c>
      <c r="J930" t="s">
        <v>49</v>
      </c>
      <c r="K930" s="33">
        <v>3900</v>
      </c>
      <c r="L930" t="s">
        <v>60</v>
      </c>
      <c r="M930" t="str">
        <f>_xlfn.XLOOKUP(Pipeline_tbl[[#This Row],[Rep_ID]],Dim_Reps!A:A,Dim_Reps!K:K)</f>
        <v>EUR</v>
      </c>
      <c r="N930" s="33">
        <f>(_xlfn.XLOOKUP(Pipeline_tbl[[#This Row],[Rate_Code_Generalized]],Lookups!A:A,Lookups!B:B))*Pipeline_tbl[[#This Row],[Pipeline_Amount_USD]]</f>
        <v>3900</v>
      </c>
      <c r="O930" t="str">
        <f>_xlfn.XLOOKUP(Pipeline_tbl[[#This Row],[Rep_ID]],Dim_Reps!A:A,Dim_Reps!B:B)</f>
        <v>Riley Haddad</v>
      </c>
      <c r="P930" t="str">
        <f>_xlfn.XLOOKUP(Pipeline_tbl[[#This Row],[Rep_ID]],Dim_Reps!A:A,Dim_Reps!C:C)</f>
        <v>SDR / Inside Sales Rep</v>
      </c>
      <c r="Q930" t="str">
        <f>_xlfn.XLOOKUP(Pipeline_tbl[[#This Row],[Rep_ID]],Dim_Reps!A:A,Dim_Reps!D:D)</f>
        <v>Inside Sales</v>
      </c>
      <c r="R930" t="str">
        <f>_xlfn.XLOOKUP(Pipeline_tbl[[#This Row],[Rep_ID]],Dim_Reps!A:A,Dim_Reps!E:E)</f>
        <v>APAC</v>
      </c>
      <c r="S930" t="str">
        <f>_xlfn.XLOOKUP(Pipeline_tbl[[#This Row],[Created_Date]],Dim_Date!A:A,Dim_Date!H:H)</f>
        <v>Oct 2025</v>
      </c>
      <c r="T930" t="str">
        <f>IF(Pipeline_tbl[[#This Row],[Closed_Date]]=0,"",(_xlfn.XLOOKUP(Pipeline_tbl[[#This Row],[Closed_Date]],Dim_Date!A:A,Dim_Date!H:H)))</f>
        <v>Oct 2025</v>
      </c>
      <c r="U930">
        <f>IF(Pipeline_tbl[[#This Row],[Closed_Date]]=0,"",Pipeline_tbl[[#This Row],[Closed_Date]]-Pipeline_tbl[[#This Row],[Created_Date]])</f>
        <v>19</v>
      </c>
    </row>
    <row r="931" spans="1:21" ht="15" customHeight="1" x14ac:dyDescent="0.2">
      <c r="A931" t="s">
        <v>1237</v>
      </c>
      <c r="B931" t="s">
        <v>203</v>
      </c>
      <c r="C931" t="s">
        <v>54</v>
      </c>
      <c r="D931" s="49">
        <v>45937</v>
      </c>
      <c r="E931" s="49">
        <v>45938</v>
      </c>
      <c r="F931" s="49">
        <v>45941</v>
      </c>
      <c r="G931" s="49">
        <v>45944</v>
      </c>
      <c r="H931" s="49">
        <v>45947</v>
      </c>
      <c r="I931" s="49">
        <v>45949</v>
      </c>
      <c r="J931" t="s">
        <v>47</v>
      </c>
      <c r="K931" s="33">
        <v>2900</v>
      </c>
      <c r="M931" t="str">
        <f>_xlfn.XLOOKUP(Pipeline_tbl[[#This Row],[Rep_ID]],Dim_Reps!A:A,Dim_Reps!K:K)</f>
        <v>EUR</v>
      </c>
      <c r="N931" s="33">
        <f>(_xlfn.XLOOKUP(Pipeline_tbl[[#This Row],[Rate_Code_Generalized]],Lookups!A:A,Lookups!B:B))*Pipeline_tbl[[#This Row],[Pipeline_Amount_USD]]</f>
        <v>2900</v>
      </c>
      <c r="O931" t="str">
        <f>_xlfn.XLOOKUP(Pipeline_tbl[[#This Row],[Rep_ID]],Dim_Reps!A:A,Dim_Reps!B:B)</f>
        <v>Riley Haddad</v>
      </c>
      <c r="P931" t="str">
        <f>_xlfn.XLOOKUP(Pipeline_tbl[[#This Row],[Rep_ID]],Dim_Reps!A:A,Dim_Reps!C:C)</f>
        <v>SDR / Inside Sales Rep</v>
      </c>
      <c r="Q931" t="str">
        <f>_xlfn.XLOOKUP(Pipeline_tbl[[#This Row],[Rep_ID]],Dim_Reps!A:A,Dim_Reps!D:D)</f>
        <v>Inside Sales</v>
      </c>
      <c r="R931" t="str">
        <f>_xlfn.XLOOKUP(Pipeline_tbl[[#This Row],[Rep_ID]],Dim_Reps!A:A,Dim_Reps!E:E)</f>
        <v>APAC</v>
      </c>
      <c r="S931" t="str">
        <f>_xlfn.XLOOKUP(Pipeline_tbl[[#This Row],[Created_Date]],Dim_Date!A:A,Dim_Date!H:H)</f>
        <v>Oct 2025</v>
      </c>
      <c r="T931" t="str">
        <f>IF(Pipeline_tbl[[#This Row],[Closed_Date]]=0,"",(_xlfn.XLOOKUP(Pipeline_tbl[[#This Row],[Closed_Date]],Dim_Date!A:A,Dim_Date!H:H)))</f>
        <v>Oct 2025</v>
      </c>
      <c r="U931">
        <f>IF(Pipeline_tbl[[#This Row],[Closed_Date]]=0,"",Pipeline_tbl[[#This Row],[Closed_Date]]-Pipeline_tbl[[#This Row],[Created_Date]])</f>
        <v>12</v>
      </c>
    </row>
    <row r="932" spans="1:21" ht="15" customHeight="1" x14ac:dyDescent="0.2">
      <c r="A932" t="s">
        <v>1238</v>
      </c>
      <c r="B932" t="s">
        <v>203</v>
      </c>
      <c r="C932" t="s">
        <v>52</v>
      </c>
      <c r="D932" s="49">
        <v>45939</v>
      </c>
      <c r="E932" s="49">
        <v>45941</v>
      </c>
      <c r="F932" s="49">
        <v>45946</v>
      </c>
      <c r="G932" s="49">
        <v>45952</v>
      </c>
      <c r="H932" s="49">
        <v>45958</v>
      </c>
      <c r="I932" s="49">
        <v>45961</v>
      </c>
      <c r="J932" t="s">
        <v>47</v>
      </c>
      <c r="K932" s="33">
        <v>6300</v>
      </c>
      <c r="M932" t="str">
        <f>_xlfn.XLOOKUP(Pipeline_tbl[[#This Row],[Rep_ID]],Dim_Reps!A:A,Dim_Reps!K:K)</f>
        <v>EUR</v>
      </c>
      <c r="N932" s="33">
        <f>(_xlfn.XLOOKUP(Pipeline_tbl[[#This Row],[Rate_Code_Generalized]],Lookups!A:A,Lookups!B:B))*Pipeline_tbl[[#This Row],[Pipeline_Amount_USD]]</f>
        <v>6300</v>
      </c>
      <c r="O932" t="str">
        <f>_xlfn.XLOOKUP(Pipeline_tbl[[#This Row],[Rep_ID]],Dim_Reps!A:A,Dim_Reps!B:B)</f>
        <v>Riley Haddad</v>
      </c>
      <c r="P932" t="str">
        <f>_xlfn.XLOOKUP(Pipeline_tbl[[#This Row],[Rep_ID]],Dim_Reps!A:A,Dim_Reps!C:C)</f>
        <v>SDR / Inside Sales Rep</v>
      </c>
      <c r="Q932" t="str">
        <f>_xlfn.XLOOKUP(Pipeline_tbl[[#This Row],[Rep_ID]],Dim_Reps!A:A,Dim_Reps!D:D)</f>
        <v>Inside Sales</v>
      </c>
      <c r="R932" t="str">
        <f>_xlfn.XLOOKUP(Pipeline_tbl[[#This Row],[Rep_ID]],Dim_Reps!A:A,Dim_Reps!E:E)</f>
        <v>APAC</v>
      </c>
      <c r="S932" t="str">
        <f>_xlfn.XLOOKUP(Pipeline_tbl[[#This Row],[Created_Date]],Dim_Date!A:A,Dim_Date!H:H)</f>
        <v>Oct 2025</v>
      </c>
      <c r="T932" t="str">
        <f>IF(Pipeline_tbl[[#This Row],[Closed_Date]]=0,"",(_xlfn.XLOOKUP(Pipeline_tbl[[#This Row],[Closed_Date]],Dim_Date!A:A,Dim_Date!H:H)))</f>
        <v>Oct 2025</v>
      </c>
      <c r="U932">
        <f>IF(Pipeline_tbl[[#This Row],[Closed_Date]]=0,"",Pipeline_tbl[[#This Row],[Closed_Date]]-Pipeline_tbl[[#This Row],[Created_Date]])</f>
        <v>22</v>
      </c>
    </row>
    <row r="933" spans="1:21" ht="15" customHeight="1" x14ac:dyDescent="0.2">
      <c r="A933" t="s">
        <v>1239</v>
      </c>
      <c r="B933" t="s">
        <v>203</v>
      </c>
      <c r="C933" t="s">
        <v>54</v>
      </c>
      <c r="D933" s="49">
        <v>45935</v>
      </c>
      <c r="E933" s="49">
        <v>45937</v>
      </c>
      <c r="F933" s="49">
        <v>45941</v>
      </c>
      <c r="G933" s="49">
        <v>45946</v>
      </c>
      <c r="I933" s="49">
        <v>45954</v>
      </c>
      <c r="J933" t="s">
        <v>49</v>
      </c>
      <c r="K933" s="33">
        <v>3000</v>
      </c>
      <c r="L933" t="s">
        <v>62</v>
      </c>
      <c r="M933" t="str">
        <f>_xlfn.XLOOKUP(Pipeline_tbl[[#This Row],[Rep_ID]],Dim_Reps!A:A,Dim_Reps!K:K)</f>
        <v>EUR</v>
      </c>
      <c r="N933" s="33">
        <f>(_xlfn.XLOOKUP(Pipeline_tbl[[#This Row],[Rate_Code_Generalized]],Lookups!A:A,Lookups!B:B))*Pipeline_tbl[[#This Row],[Pipeline_Amount_USD]]</f>
        <v>3000</v>
      </c>
      <c r="O933" t="str">
        <f>_xlfn.XLOOKUP(Pipeline_tbl[[#This Row],[Rep_ID]],Dim_Reps!A:A,Dim_Reps!B:B)</f>
        <v>Riley Haddad</v>
      </c>
      <c r="P933" t="str">
        <f>_xlfn.XLOOKUP(Pipeline_tbl[[#This Row],[Rep_ID]],Dim_Reps!A:A,Dim_Reps!C:C)</f>
        <v>SDR / Inside Sales Rep</v>
      </c>
      <c r="Q933" t="str">
        <f>_xlfn.XLOOKUP(Pipeline_tbl[[#This Row],[Rep_ID]],Dim_Reps!A:A,Dim_Reps!D:D)</f>
        <v>Inside Sales</v>
      </c>
      <c r="R933" t="str">
        <f>_xlfn.XLOOKUP(Pipeline_tbl[[#This Row],[Rep_ID]],Dim_Reps!A:A,Dim_Reps!E:E)</f>
        <v>APAC</v>
      </c>
      <c r="S933" t="str">
        <f>_xlfn.XLOOKUP(Pipeline_tbl[[#This Row],[Created_Date]],Dim_Date!A:A,Dim_Date!H:H)</f>
        <v>Oct 2025</v>
      </c>
      <c r="T933" t="str">
        <f>IF(Pipeline_tbl[[#This Row],[Closed_Date]]=0,"",(_xlfn.XLOOKUP(Pipeline_tbl[[#This Row],[Closed_Date]],Dim_Date!A:A,Dim_Date!H:H)))</f>
        <v>Oct 2025</v>
      </c>
      <c r="U933">
        <f>IF(Pipeline_tbl[[#This Row],[Closed_Date]]=0,"",Pipeline_tbl[[#This Row],[Closed_Date]]-Pipeline_tbl[[#This Row],[Created_Date]])</f>
        <v>19</v>
      </c>
    </row>
    <row r="934" spans="1:21" ht="15" customHeight="1" x14ac:dyDescent="0.2">
      <c r="A934" t="s">
        <v>1240</v>
      </c>
      <c r="B934" t="s">
        <v>205</v>
      </c>
      <c r="C934" t="s">
        <v>52</v>
      </c>
      <c r="D934" s="49">
        <v>45933</v>
      </c>
      <c r="E934" s="49">
        <v>45934</v>
      </c>
      <c r="F934" s="49">
        <v>45936</v>
      </c>
      <c r="G934" s="49">
        <v>45939</v>
      </c>
      <c r="I934" s="49">
        <v>45943</v>
      </c>
      <c r="J934" t="s">
        <v>49</v>
      </c>
      <c r="K934" s="33">
        <v>5200</v>
      </c>
      <c r="L934" t="s">
        <v>62</v>
      </c>
      <c r="M934" t="str">
        <f>_xlfn.XLOOKUP(Pipeline_tbl[[#This Row],[Rep_ID]],Dim_Reps!A:A,Dim_Reps!K:K)</f>
        <v>EUR</v>
      </c>
      <c r="N934" s="33">
        <f>(_xlfn.XLOOKUP(Pipeline_tbl[[#This Row],[Rate_Code_Generalized]],Lookups!A:A,Lookups!B:B))*Pipeline_tbl[[#This Row],[Pipeline_Amount_USD]]</f>
        <v>5200</v>
      </c>
      <c r="O934" t="str">
        <f>_xlfn.XLOOKUP(Pipeline_tbl[[#This Row],[Rep_ID]],Dim_Reps!A:A,Dim_Reps!B:B)</f>
        <v>Karim Alvarez</v>
      </c>
      <c r="P934" t="str">
        <f>_xlfn.XLOOKUP(Pipeline_tbl[[#This Row],[Rep_ID]],Dim_Reps!A:A,Dim_Reps!C:C)</f>
        <v>SDR / Inside Sales Rep</v>
      </c>
      <c r="Q934" t="str">
        <f>_xlfn.XLOOKUP(Pipeline_tbl[[#This Row],[Rep_ID]],Dim_Reps!A:A,Dim_Reps!D:D)</f>
        <v>Inside Sales</v>
      </c>
      <c r="R934" t="str">
        <f>_xlfn.XLOOKUP(Pipeline_tbl[[#This Row],[Rep_ID]],Dim_Reps!A:A,Dim_Reps!E:E)</f>
        <v>EMEA</v>
      </c>
      <c r="S934" t="str">
        <f>_xlfn.XLOOKUP(Pipeline_tbl[[#This Row],[Created_Date]],Dim_Date!A:A,Dim_Date!H:H)</f>
        <v>Oct 2025</v>
      </c>
      <c r="T934" t="str">
        <f>IF(Pipeline_tbl[[#This Row],[Closed_Date]]=0,"",(_xlfn.XLOOKUP(Pipeline_tbl[[#This Row],[Closed_Date]],Dim_Date!A:A,Dim_Date!H:H)))</f>
        <v>Oct 2025</v>
      </c>
      <c r="U934">
        <f>IF(Pipeline_tbl[[#This Row],[Closed_Date]]=0,"",Pipeline_tbl[[#This Row],[Closed_Date]]-Pipeline_tbl[[#This Row],[Created_Date]])</f>
        <v>10</v>
      </c>
    </row>
    <row r="935" spans="1:21" ht="15" customHeight="1" x14ac:dyDescent="0.2">
      <c r="A935" t="s">
        <v>1241</v>
      </c>
      <c r="B935" t="s">
        <v>205</v>
      </c>
      <c r="C935" t="s">
        <v>52</v>
      </c>
      <c r="D935" s="49">
        <v>45935</v>
      </c>
      <c r="E935" s="49">
        <v>45937</v>
      </c>
      <c r="F935" s="49">
        <v>45940</v>
      </c>
      <c r="I935" s="49">
        <v>45950</v>
      </c>
      <c r="J935" t="s">
        <v>49</v>
      </c>
      <c r="K935" s="33">
        <v>2700</v>
      </c>
      <c r="L935" t="s">
        <v>62</v>
      </c>
      <c r="M935" t="str">
        <f>_xlfn.XLOOKUP(Pipeline_tbl[[#This Row],[Rep_ID]],Dim_Reps!A:A,Dim_Reps!K:K)</f>
        <v>EUR</v>
      </c>
      <c r="N935" s="33">
        <f>(_xlfn.XLOOKUP(Pipeline_tbl[[#This Row],[Rate_Code_Generalized]],Lookups!A:A,Lookups!B:B))*Pipeline_tbl[[#This Row],[Pipeline_Amount_USD]]</f>
        <v>2700</v>
      </c>
      <c r="O935" t="str">
        <f>_xlfn.XLOOKUP(Pipeline_tbl[[#This Row],[Rep_ID]],Dim_Reps!A:A,Dim_Reps!B:B)</f>
        <v>Karim Alvarez</v>
      </c>
      <c r="P935" t="str">
        <f>_xlfn.XLOOKUP(Pipeline_tbl[[#This Row],[Rep_ID]],Dim_Reps!A:A,Dim_Reps!C:C)</f>
        <v>SDR / Inside Sales Rep</v>
      </c>
      <c r="Q935" t="str">
        <f>_xlfn.XLOOKUP(Pipeline_tbl[[#This Row],[Rep_ID]],Dim_Reps!A:A,Dim_Reps!D:D)</f>
        <v>Inside Sales</v>
      </c>
      <c r="R935" t="str">
        <f>_xlfn.XLOOKUP(Pipeline_tbl[[#This Row],[Rep_ID]],Dim_Reps!A:A,Dim_Reps!E:E)</f>
        <v>EMEA</v>
      </c>
      <c r="S935" t="str">
        <f>_xlfn.XLOOKUP(Pipeline_tbl[[#This Row],[Created_Date]],Dim_Date!A:A,Dim_Date!H:H)</f>
        <v>Oct 2025</v>
      </c>
      <c r="T935" t="str">
        <f>IF(Pipeline_tbl[[#This Row],[Closed_Date]]=0,"",(_xlfn.XLOOKUP(Pipeline_tbl[[#This Row],[Closed_Date]],Dim_Date!A:A,Dim_Date!H:H)))</f>
        <v>Oct 2025</v>
      </c>
      <c r="U935">
        <f>IF(Pipeline_tbl[[#This Row],[Closed_Date]]=0,"",Pipeline_tbl[[#This Row],[Closed_Date]]-Pipeline_tbl[[#This Row],[Created_Date]])</f>
        <v>15</v>
      </c>
    </row>
    <row r="936" spans="1:21" ht="15" customHeight="1" x14ac:dyDescent="0.2">
      <c r="A936" t="s">
        <v>1242</v>
      </c>
      <c r="B936" t="s">
        <v>205</v>
      </c>
      <c r="C936" t="s">
        <v>53</v>
      </c>
      <c r="D936" s="49">
        <v>45931</v>
      </c>
      <c r="E936" s="49">
        <v>45933</v>
      </c>
      <c r="F936" s="49">
        <v>45936</v>
      </c>
      <c r="G936" s="49">
        <v>45941</v>
      </c>
      <c r="H936" s="49">
        <v>45945</v>
      </c>
      <c r="I936" s="49">
        <v>45948</v>
      </c>
      <c r="J936" t="s">
        <v>49</v>
      </c>
      <c r="K936" s="33">
        <v>3500</v>
      </c>
      <c r="L936" t="s">
        <v>60</v>
      </c>
      <c r="M936" t="str">
        <f>_xlfn.XLOOKUP(Pipeline_tbl[[#This Row],[Rep_ID]],Dim_Reps!A:A,Dim_Reps!K:K)</f>
        <v>EUR</v>
      </c>
      <c r="N936" s="33">
        <f>(_xlfn.XLOOKUP(Pipeline_tbl[[#This Row],[Rate_Code_Generalized]],Lookups!A:A,Lookups!B:B))*Pipeline_tbl[[#This Row],[Pipeline_Amount_USD]]</f>
        <v>3500</v>
      </c>
      <c r="O936" t="str">
        <f>_xlfn.XLOOKUP(Pipeline_tbl[[#This Row],[Rep_ID]],Dim_Reps!A:A,Dim_Reps!B:B)</f>
        <v>Karim Alvarez</v>
      </c>
      <c r="P936" t="str">
        <f>_xlfn.XLOOKUP(Pipeline_tbl[[#This Row],[Rep_ID]],Dim_Reps!A:A,Dim_Reps!C:C)</f>
        <v>SDR / Inside Sales Rep</v>
      </c>
      <c r="Q936" t="str">
        <f>_xlfn.XLOOKUP(Pipeline_tbl[[#This Row],[Rep_ID]],Dim_Reps!A:A,Dim_Reps!D:D)</f>
        <v>Inside Sales</v>
      </c>
      <c r="R936" t="str">
        <f>_xlfn.XLOOKUP(Pipeline_tbl[[#This Row],[Rep_ID]],Dim_Reps!A:A,Dim_Reps!E:E)</f>
        <v>EMEA</v>
      </c>
      <c r="S936" t="str">
        <f>_xlfn.XLOOKUP(Pipeline_tbl[[#This Row],[Created_Date]],Dim_Date!A:A,Dim_Date!H:H)</f>
        <v>Oct 2025</v>
      </c>
      <c r="T936" t="str">
        <f>IF(Pipeline_tbl[[#This Row],[Closed_Date]]=0,"",(_xlfn.XLOOKUP(Pipeline_tbl[[#This Row],[Closed_Date]],Dim_Date!A:A,Dim_Date!H:H)))</f>
        <v>Oct 2025</v>
      </c>
      <c r="U936">
        <f>IF(Pipeline_tbl[[#This Row],[Closed_Date]]=0,"",Pipeline_tbl[[#This Row],[Closed_Date]]-Pipeline_tbl[[#This Row],[Created_Date]])</f>
        <v>17</v>
      </c>
    </row>
    <row r="937" spans="1:21" ht="15" customHeight="1" x14ac:dyDescent="0.2">
      <c r="A937" t="s">
        <v>1243</v>
      </c>
      <c r="B937" t="s">
        <v>209</v>
      </c>
      <c r="C937" t="s">
        <v>52</v>
      </c>
      <c r="D937" s="49">
        <v>45936</v>
      </c>
      <c r="E937" s="49">
        <v>45938</v>
      </c>
      <c r="F937" s="49">
        <v>45943</v>
      </c>
      <c r="G937" s="49">
        <v>45949</v>
      </c>
      <c r="I937" s="49">
        <v>45958</v>
      </c>
      <c r="J937" t="s">
        <v>49</v>
      </c>
      <c r="K937" s="33">
        <v>1500</v>
      </c>
      <c r="L937" t="s">
        <v>60</v>
      </c>
      <c r="M937" t="str">
        <f>_xlfn.XLOOKUP(Pipeline_tbl[[#This Row],[Rep_ID]],Dim_Reps!A:A,Dim_Reps!K:K)</f>
        <v>EUR</v>
      </c>
      <c r="N937" s="33">
        <f>(_xlfn.XLOOKUP(Pipeline_tbl[[#This Row],[Rate_Code_Generalized]],Lookups!A:A,Lookups!B:B))*Pipeline_tbl[[#This Row],[Pipeline_Amount_USD]]</f>
        <v>1500</v>
      </c>
      <c r="O937" t="str">
        <f>_xlfn.XLOOKUP(Pipeline_tbl[[#This Row],[Rep_ID]],Dim_Reps!A:A,Dim_Reps!B:B)</f>
        <v>Petra Larsen</v>
      </c>
      <c r="P937" t="str">
        <f>_xlfn.XLOOKUP(Pipeline_tbl[[#This Row],[Rep_ID]],Dim_Reps!A:A,Dim_Reps!C:C)</f>
        <v>SDR / Inside Sales Rep</v>
      </c>
      <c r="Q937" t="str">
        <f>_xlfn.XLOOKUP(Pipeline_tbl[[#This Row],[Rep_ID]],Dim_Reps!A:A,Dim_Reps!D:D)</f>
        <v>Inside Sales</v>
      </c>
      <c r="R937" t="str">
        <f>_xlfn.XLOOKUP(Pipeline_tbl[[#This Row],[Rep_ID]],Dim_Reps!A:A,Dim_Reps!E:E)</f>
        <v>EMEA</v>
      </c>
      <c r="S937" t="str">
        <f>_xlfn.XLOOKUP(Pipeline_tbl[[#This Row],[Created_Date]],Dim_Date!A:A,Dim_Date!H:H)</f>
        <v>Oct 2025</v>
      </c>
      <c r="T937" t="str">
        <f>IF(Pipeline_tbl[[#This Row],[Closed_Date]]=0,"",(_xlfn.XLOOKUP(Pipeline_tbl[[#This Row],[Closed_Date]],Dim_Date!A:A,Dim_Date!H:H)))</f>
        <v>Oct 2025</v>
      </c>
      <c r="U937">
        <f>IF(Pipeline_tbl[[#This Row],[Closed_Date]]=0,"",Pipeline_tbl[[#This Row],[Closed_Date]]-Pipeline_tbl[[#This Row],[Created_Date]])</f>
        <v>22</v>
      </c>
    </row>
    <row r="938" spans="1:21" ht="15" customHeight="1" x14ac:dyDescent="0.2">
      <c r="A938" t="s">
        <v>1244</v>
      </c>
      <c r="B938" t="s">
        <v>209</v>
      </c>
      <c r="C938" t="s">
        <v>52</v>
      </c>
      <c r="D938" s="49">
        <v>45932</v>
      </c>
      <c r="E938" s="49">
        <v>45934</v>
      </c>
      <c r="F938" s="49">
        <v>45937</v>
      </c>
      <c r="G938" s="49">
        <v>45942</v>
      </c>
      <c r="I938" s="49">
        <v>45949</v>
      </c>
      <c r="J938" t="s">
        <v>49</v>
      </c>
      <c r="K938" s="33">
        <v>2600</v>
      </c>
      <c r="L938" t="s">
        <v>63</v>
      </c>
      <c r="M938" t="str">
        <f>_xlfn.XLOOKUP(Pipeline_tbl[[#This Row],[Rep_ID]],Dim_Reps!A:A,Dim_Reps!K:K)</f>
        <v>EUR</v>
      </c>
      <c r="N938" s="33">
        <f>(_xlfn.XLOOKUP(Pipeline_tbl[[#This Row],[Rate_Code_Generalized]],Lookups!A:A,Lookups!B:B))*Pipeline_tbl[[#This Row],[Pipeline_Amount_USD]]</f>
        <v>2600</v>
      </c>
      <c r="O938" t="str">
        <f>_xlfn.XLOOKUP(Pipeline_tbl[[#This Row],[Rep_ID]],Dim_Reps!A:A,Dim_Reps!B:B)</f>
        <v>Petra Larsen</v>
      </c>
      <c r="P938" t="str">
        <f>_xlfn.XLOOKUP(Pipeline_tbl[[#This Row],[Rep_ID]],Dim_Reps!A:A,Dim_Reps!C:C)</f>
        <v>SDR / Inside Sales Rep</v>
      </c>
      <c r="Q938" t="str">
        <f>_xlfn.XLOOKUP(Pipeline_tbl[[#This Row],[Rep_ID]],Dim_Reps!A:A,Dim_Reps!D:D)</f>
        <v>Inside Sales</v>
      </c>
      <c r="R938" t="str">
        <f>_xlfn.XLOOKUP(Pipeline_tbl[[#This Row],[Rep_ID]],Dim_Reps!A:A,Dim_Reps!E:E)</f>
        <v>EMEA</v>
      </c>
      <c r="S938" t="str">
        <f>_xlfn.XLOOKUP(Pipeline_tbl[[#This Row],[Created_Date]],Dim_Date!A:A,Dim_Date!H:H)</f>
        <v>Oct 2025</v>
      </c>
      <c r="T938" t="str">
        <f>IF(Pipeline_tbl[[#This Row],[Closed_Date]]=0,"",(_xlfn.XLOOKUP(Pipeline_tbl[[#This Row],[Closed_Date]],Dim_Date!A:A,Dim_Date!H:H)))</f>
        <v>Oct 2025</v>
      </c>
      <c r="U938">
        <f>IF(Pipeline_tbl[[#This Row],[Closed_Date]]=0,"",Pipeline_tbl[[#This Row],[Closed_Date]]-Pipeline_tbl[[#This Row],[Created_Date]])</f>
        <v>17</v>
      </c>
    </row>
    <row r="939" spans="1:21" ht="15" customHeight="1" x14ac:dyDescent="0.2">
      <c r="A939" t="s">
        <v>1245</v>
      </c>
      <c r="B939" t="s">
        <v>209</v>
      </c>
      <c r="C939" t="s">
        <v>52</v>
      </c>
      <c r="D939" s="49">
        <v>45938</v>
      </c>
      <c r="E939" s="49">
        <v>45940</v>
      </c>
      <c r="F939" s="49">
        <v>45944</v>
      </c>
      <c r="G939" s="49">
        <v>45950</v>
      </c>
      <c r="H939" s="49">
        <v>45955</v>
      </c>
      <c r="I939" s="49">
        <v>45958</v>
      </c>
      <c r="J939" t="s">
        <v>47</v>
      </c>
      <c r="K939" s="33">
        <v>6700</v>
      </c>
      <c r="M939" t="str">
        <f>_xlfn.XLOOKUP(Pipeline_tbl[[#This Row],[Rep_ID]],Dim_Reps!A:A,Dim_Reps!K:K)</f>
        <v>EUR</v>
      </c>
      <c r="N939" s="33">
        <f>(_xlfn.XLOOKUP(Pipeline_tbl[[#This Row],[Rate_Code_Generalized]],Lookups!A:A,Lookups!B:B))*Pipeline_tbl[[#This Row],[Pipeline_Amount_USD]]</f>
        <v>6700</v>
      </c>
      <c r="O939" t="str">
        <f>_xlfn.XLOOKUP(Pipeline_tbl[[#This Row],[Rep_ID]],Dim_Reps!A:A,Dim_Reps!B:B)</f>
        <v>Petra Larsen</v>
      </c>
      <c r="P939" t="str">
        <f>_xlfn.XLOOKUP(Pipeline_tbl[[#This Row],[Rep_ID]],Dim_Reps!A:A,Dim_Reps!C:C)</f>
        <v>SDR / Inside Sales Rep</v>
      </c>
      <c r="Q939" t="str">
        <f>_xlfn.XLOOKUP(Pipeline_tbl[[#This Row],[Rep_ID]],Dim_Reps!A:A,Dim_Reps!D:D)</f>
        <v>Inside Sales</v>
      </c>
      <c r="R939" t="str">
        <f>_xlfn.XLOOKUP(Pipeline_tbl[[#This Row],[Rep_ID]],Dim_Reps!A:A,Dim_Reps!E:E)</f>
        <v>EMEA</v>
      </c>
      <c r="S939" t="str">
        <f>_xlfn.XLOOKUP(Pipeline_tbl[[#This Row],[Created_Date]],Dim_Date!A:A,Dim_Date!H:H)</f>
        <v>Oct 2025</v>
      </c>
      <c r="T939" t="str">
        <f>IF(Pipeline_tbl[[#This Row],[Closed_Date]]=0,"",(_xlfn.XLOOKUP(Pipeline_tbl[[#This Row],[Closed_Date]],Dim_Date!A:A,Dim_Date!H:H)))</f>
        <v>Oct 2025</v>
      </c>
      <c r="U939">
        <f>IF(Pipeline_tbl[[#This Row],[Closed_Date]]=0,"",Pipeline_tbl[[#This Row],[Closed_Date]]-Pipeline_tbl[[#This Row],[Created_Date]])</f>
        <v>20</v>
      </c>
    </row>
    <row r="940" spans="1:21" ht="15" customHeight="1" x14ac:dyDescent="0.2">
      <c r="A940" t="s">
        <v>1246</v>
      </c>
      <c r="B940" t="s">
        <v>209</v>
      </c>
      <c r="C940" t="s">
        <v>52</v>
      </c>
      <c r="D940" s="49">
        <v>45945</v>
      </c>
      <c r="E940" s="49">
        <v>45946</v>
      </c>
      <c r="F940" s="49">
        <v>45949</v>
      </c>
      <c r="G940" s="49">
        <v>45953</v>
      </c>
      <c r="H940" s="49">
        <v>45956</v>
      </c>
      <c r="I940" s="49">
        <v>45958</v>
      </c>
      <c r="J940" t="s">
        <v>47</v>
      </c>
      <c r="K940" s="33">
        <v>2300</v>
      </c>
      <c r="M940" t="str">
        <f>_xlfn.XLOOKUP(Pipeline_tbl[[#This Row],[Rep_ID]],Dim_Reps!A:A,Dim_Reps!K:K)</f>
        <v>EUR</v>
      </c>
      <c r="N940" s="33">
        <f>(_xlfn.XLOOKUP(Pipeline_tbl[[#This Row],[Rate_Code_Generalized]],Lookups!A:A,Lookups!B:B))*Pipeline_tbl[[#This Row],[Pipeline_Amount_USD]]</f>
        <v>2300</v>
      </c>
      <c r="O940" t="str">
        <f>_xlfn.XLOOKUP(Pipeline_tbl[[#This Row],[Rep_ID]],Dim_Reps!A:A,Dim_Reps!B:B)</f>
        <v>Petra Larsen</v>
      </c>
      <c r="P940" t="str">
        <f>_xlfn.XLOOKUP(Pipeline_tbl[[#This Row],[Rep_ID]],Dim_Reps!A:A,Dim_Reps!C:C)</f>
        <v>SDR / Inside Sales Rep</v>
      </c>
      <c r="Q940" t="str">
        <f>_xlfn.XLOOKUP(Pipeline_tbl[[#This Row],[Rep_ID]],Dim_Reps!A:A,Dim_Reps!D:D)</f>
        <v>Inside Sales</v>
      </c>
      <c r="R940" t="str">
        <f>_xlfn.XLOOKUP(Pipeline_tbl[[#This Row],[Rep_ID]],Dim_Reps!A:A,Dim_Reps!E:E)</f>
        <v>EMEA</v>
      </c>
      <c r="S940" t="str">
        <f>_xlfn.XLOOKUP(Pipeline_tbl[[#This Row],[Created_Date]],Dim_Date!A:A,Dim_Date!H:H)</f>
        <v>Oct 2025</v>
      </c>
      <c r="T940" t="str">
        <f>IF(Pipeline_tbl[[#This Row],[Closed_Date]]=0,"",(_xlfn.XLOOKUP(Pipeline_tbl[[#This Row],[Closed_Date]],Dim_Date!A:A,Dim_Date!H:H)))</f>
        <v>Oct 2025</v>
      </c>
      <c r="U940">
        <f>IF(Pipeline_tbl[[#This Row],[Closed_Date]]=0,"",Pipeline_tbl[[#This Row],[Closed_Date]]-Pipeline_tbl[[#This Row],[Created_Date]])</f>
        <v>13</v>
      </c>
    </row>
    <row r="941" spans="1:21" ht="15" customHeight="1" x14ac:dyDescent="0.2">
      <c r="A941" t="s">
        <v>1247</v>
      </c>
      <c r="B941" t="s">
        <v>209</v>
      </c>
      <c r="C941" t="s">
        <v>52</v>
      </c>
      <c r="D941" s="49">
        <v>45936</v>
      </c>
      <c r="E941" s="49">
        <v>45937</v>
      </c>
      <c r="F941" s="49">
        <v>45940</v>
      </c>
      <c r="G941" s="49">
        <v>45943</v>
      </c>
      <c r="H941" s="49">
        <v>45946</v>
      </c>
      <c r="I941" s="49">
        <v>45948</v>
      </c>
      <c r="J941" t="s">
        <v>47</v>
      </c>
      <c r="K941" s="33">
        <v>2300</v>
      </c>
      <c r="M941" t="str">
        <f>_xlfn.XLOOKUP(Pipeline_tbl[[#This Row],[Rep_ID]],Dim_Reps!A:A,Dim_Reps!K:K)</f>
        <v>EUR</v>
      </c>
      <c r="N941" s="33">
        <f>(_xlfn.XLOOKUP(Pipeline_tbl[[#This Row],[Rate_Code_Generalized]],Lookups!A:A,Lookups!B:B))*Pipeline_tbl[[#This Row],[Pipeline_Amount_USD]]</f>
        <v>2300</v>
      </c>
      <c r="O941" t="str">
        <f>_xlfn.XLOOKUP(Pipeline_tbl[[#This Row],[Rep_ID]],Dim_Reps!A:A,Dim_Reps!B:B)</f>
        <v>Petra Larsen</v>
      </c>
      <c r="P941" t="str">
        <f>_xlfn.XLOOKUP(Pipeline_tbl[[#This Row],[Rep_ID]],Dim_Reps!A:A,Dim_Reps!C:C)</f>
        <v>SDR / Inside Sales Rep</v>
      </c>
      <c r="Q941" t="str">
        <f>_xlfn.XLOOKUP(Pipeline_tbl[[#This Row],[Rep_ID]],Dim_Reps!A:A,Dim_Reps!D:D)</f>
        <v>Inside Sales</v>
      </c>
      <c r="R941" t="str">
        <f>_xlfn.XLOOKUP(Pipeline_tbl[[#This Row],[Rep_ID]],Dim_Reps!A:A,Dim_Reps!E:E)</f>
        <v>EMEA</v>
      </c>
      <c r="S941" t="str">
        <f>_xlfn.XLOOKUP(Pipeline_tbl[[#This Row],[Created_Date]],Dim_Date!A:A,Dim_Date!H:H)</f>
        <v>Oct 2025</v>
      </c>
      <c r="T941" t="str">
        <f>IF(Pipeline_tbl[[#This Row],[Closed_Date]]=0,"",(_xlfn.XLOOKUP(Pipeline_tbl[[#This Row],[Closed_Date]],Dim_Date!A:A,Dim_Date!H:H)))</f>
        <v>Oct 2025</v>
      </c>
      <c r="U941">
        <f>IF(Pipeline_tbl[[#This Row],[Closed_Date]]=0,"",Pipeline_tbl[[#This Row],[Closed_Date]]-Pipeline_tbl[[#This Row],[Created_Date]])</f>
        <v>12</v>
      </c>
    </row>
    <row r="942" spans="1:21" ht="15" customHeight="1" x14ac:dyDescent="0.2">
      <c r="A942" t="s">
        <v>1248</v>
      </c>
      <c r="B942" t="s">
        <v>209</v>
      </c>
      <c r="C942" t="s">
        <v>55</v>
      </c>
      <c r="D942" s="49">
        <v>45942</v>
      </c>
      <c r="E942" s="49">
        <v>45943</v>
      </c>
      <c r="F942" s="49">
        <v>45945</v>
      </c>
      <c r="G942" s="49">
        <v>45949</v>
      </c>
      <c r="H942" s="49">
        <v>45951</v>
      </c>
      <c r="I942" s="49">
        <v>45953</v>
      </c>
      <c r="J942" t="s">
        <v>47</v>
      </c>
      <c r="K942" s="33">
        <v>4100</v>
      </c>
      <c r="M942" t="str">
        <f>_xlfn.XLOOKUP(Pipeline_tbl[[#This Row],[Rep_ID]],Dim_Reps!A:A,Dim_Reps!K:K)</f>
        <v>EUR</v>
      </c>
      <c r="N942" s="33">
        <f>(_xlfn.XLOOKUP(Pipeline_tbl[[#This Row],[Rate_Code_Generalized]],Lookups!A:A,Lookups!B:B))*Pipeline_tbl[[#This Row],[Pipeline_Amount_USD]]</f>
        <v>4100</v>
      </c>
      <c r="O942" t="str">
        <f>_xlfn.XLOOKUP(Pipeline_tbl[[#This Row],[Rep_ID]],Dim_Reps!A:A,Dim_Reps!B:B)</f>
        <v>Petra Larsen</v>
      </c>
      <c r="P942" t="str">
        <f>_xlfn.XLOOKUP(Pipeline_tbl[[#This Row],[Rep_ID]],Dim_Reps!A:A,Dim_Reps!C:C)</f>
        <v>SDR / Inside Sales Rep</v>
      </c>
      <c r="Q942" t="str">
        <f>_xlfn.XLOOKUP(Pipeline_tbl[[#This Row],[Rep_ID]],Dim_Reps!A:A,Dim_Reps!D:D)</f>
        <v>Inside Sales</v>
      </c>
      <c r="R942" t="str">
        <f>_xlfn.XLOOKUP(Pipeline_tbl[[#This Row],[Rep_ID]],Dim_Reps!A:A,Dim_Reps!E:E)</f>
        <v>EMEA</v>
      </c>
      <c r="S942" t="str">
        <f>_xlfn.XLOOKUP(Pipeline_tbl[[#This Row],[Created_Date]],Dim_Date!A:A,Dim_Date!H:H)</f>
        <v>Oct 2025</v>
      </c>
      <c r="T942" t="str">
        <f>IF(Pipeline_tbl[[#This Row],[Closed_Date]]=0,"",(_xlfn.XLOOKUP(Pipeline_tbl[[#This Row],[Closed_Date]],Dim_Date!A:A,Dim_Date!H:H)))</f>
        <v>Oct 2025</v>
      </c>
      <c r="U942">
        <f>IF(Pipeline_tbl[[#This Row],[Closed_Date]]=0,"",Pipeline_tbl[[#This Row],[Closed_Date]]-Pipeline_tbl[[#This Row],[Created_Date]])</f>
        <v>11</v>
      </c>
    </row>
    <row r="943" spans="1:21" ht="15" customHeight="1" x14ac:dyDescent="0.2">
      <c r="A943" t="s">
        <v>1249</v>
      </c>
      <c r="B943" t="s">
        <v>209</v>
      </c>
      <c r="C943" t="s">
        <v>52</v>
      </c>
      <c r="D943" s="49">
        <v>45942</v>
      </c>
      <c r="E943" s="49">
        <v>45944</v>
      </c>
      <c r="F943" s="49">
        <v>45947</v>
      </c>
      <c r="G943" s="49">
        <v>45952</v>
      </c>
      <c r="H943" s="49">
        <v>45956</v>
      </c>
      <c r="I943" s="49">
        <v>45959</v>
      </c>
      <c r="J943" t="s">
        <v>47</v>
      </c>
      <c r="K943" s="33">
        <v>9300</v>
      </c>
      <c r="M943" t="str">
        <f>_xlfn.XLOOKUP(Pipeline_tbl[[#This Row],[Rep_ID]],Dim_Reps!A:A,Dim_Reps!K:K)</f>
        <v>EUR</v>
      </c>
      <c r="N943" s="33">
        <f>(_xlfn.XLOOKUP(Pipeline_tbl[[#This Row],[Rate_Code_Generalized]],Lookups!A:A,Lookups!B:B))*Pipeline_tbl[[#This Row],[Pipeline_Amount_USD]]</f>
        <v>9300</v>
      </c>
      <c r="O943" t="str">
        <f>_xlfn.XLOOKUP(Pipeline_tbl[[#This Row],[Rep_ID]],Dim_Reps!A:A,Dim_Reps!B:B)</f>
        <v>Petra Larsen</v>
      </c>
      <c r="P943" t="str">
        <f>_xlfn.XLOOKUP(Pipeline_tbl[[#This Row],[Rep_ID]],Dim_Reps!A:A,Dim_Reps!C:C)</f>
        <v>SDR / Inside Sales Rep</v>
      </c>
      <c r="Q943" t="str">
        <f>_xlfn.XLOOKUP(Pipeline_tbl[[#This Row],[Rep_ID]],Dim_Reps!A:A,Dim_Reps!D:D)</f>
        <v>Inside Sales</v>
      </c>
      <c r="R943" t="str">
        <f>_xlfn.XLOOKUP(Pipeline_tbl[[#This Row],[Rep_ID]],Dim_Reps!A:A,Dim_Reps!E:E)</f>
        <v>EMEA</v>
      </c>
      <c r="S943" t="str">
        <f>_xlfn.XLOOKUP(Pipeline_tbl[[#This Row],[Created_Date]],Dim_Date!A:A,Dim_Date!H:H)</f>
        <v>Oct 2025</v>
      </c>
      <c r="T943" t="str">
        <f>IF(Pipeline_tbl[[#This Row],[Closed_Date]]=0,"",(_xlfn.XLOOKUP(Pipeline_tbl[[#This Row],[Closed_Date]],Dim_Date!A:A,Dim_Date!H:H)))</f>
        <v>Oct 2025</v>
      </c>
      <c r="U943">
        <f>IF(Pipeline_tbl[[#This Row],[Closed_Date]]=0,"",Pipeline_tbl[[#This Row],[Closed_Date]]-Pipeline_tbl[[#This Row],[Created_Date]])</f>
        <v>17</v>
      </c>
    </row>
    <row r="944" spans="1:21" ht="15" customHeight="1" x14ac:dyDescent="0.2">
      <c r="A944" t="s">
        <v>1250</v>
      </c>
      <c r="B944" t="s">
        <v>211</v>
      </c>
      <c r="C944" t="s">
        <v>55</v>
      </c>
      <c r="D944" s="49">
        <v>45938</v>
      </c>
      <c r="E944" s="49">
        <v>45940</v>
      </c>
      <c r="F944" s="49">
        <v>45943</v>
      </c>
      <c r="G944" s="49">
        <v>45948</v>
      </c>
      <c r="H944" s="49">
        <v>45952</v>
      </c>
      <c r="I944" s="49">
        <v>45955</v>
      </c>
      <c r="J944" t="s">
        <v>47</v>
      </c>
      <c r="K944" s="33">
        <v>3300</v>
      </c>
      <c r="M944" t="str">
        <f>_xlfn.XLOOKUP(Pipeline_tbl[[#This Row],[Rep_ID]],Dim_Reps!A:A,Dim_Reps!K:K)</f>
        <v>EUR</v>
      </c>
      <c r="N944" s="33">
        <f>(_xlfn.XLOOKUP(Pipeline_tbl[[#This Row],[Rate_Code_Generalized]],Lookups!A:A,Lookups!B:B))*Pipeline_tbl[[#This Row],[Pipeline_Amount_USD]]</f>
        <v>3300</v>
      </c>
      <c r="O944" t="str">
        <f>_xlfn.XLOOKUP(Pipeline_tbl[[#This Row],[Rep_ID]],Dim_Reps!A:A,Dim_Reps!B:B)</f>
        <v>Lea Weber</v>
      </c>
      <c r="P944" t="str">
        <f>_xlfn.XLOOKUP(Pipeline_tbl[[#This Row],[Rep_ID]],Dim_Reps!A:A,Dim_Reps!C:C)</f>
        <v>SDR / Inside Sales Rep</v>
      </c>
      <c r="Q944" t="str">
        <f>_xlfn.XLOOKUP(Pipeline_tbl[[#This Row],[Rep_ID]],Dim_Reps!A:A,Dim_Reps!D:D)</f>
        <v>Inside Sales</v>
      </c>
      <c r="R944" t="str">
        <f>_xlfn.XLOOKUP(Pipeline_tbl[[#This Row],[Rep_ID]],Dim_Reps!A:A,Dim_Reps!E:E)</f>
        <v>EMEA</v>
      </c>
      <c r="S944" t="str">
        <f>_xlfn.XLOOKUP(Pipeline_tbl[[#This Row],[Created_Date]],Dim_Date!A:A,Dim_Date!H:H)</f>
        <v>Oct 2025</v>
      </c>
      <c r="T944" t="str">
        <f>IF(Pipeline_tbl[[#This Row],[Closed_Date]]=0,"",(_xlfn.XLOOKUP(Pipeline_tbl[[#This Row],[Closed_Date]],Dim_Date!A:A,Dim_Date!H:H)))</f>
        <v>Oct 2025</v>
      </c>
      <c r="U944">
        <f>IF(Pipeline_tbl[[#This Row],[Closed_Date]]=0,"",Pipeline_tbl[[#This Row],[Closed_Date]]-Pipeline_tbl[[#This Row],[Created_Date]])</f>
        <v>17</v>
      </c>
    </row>
    <row r="945" spans="1:21" ht="15" customHeight="1" x14ac:dyDescent="0.2">
      <c r="A945" t="s">
        <v>1251</v>
      </c>
      <c r="B945" t="s">
        <v>211</v>
      </c>
      <c r="C945" t="s">
        <v>55</v>
      </c>
      <c r="D945" s="49">
        <v>45934</v>
      </c>
      <c r="E945" s="49">
        <v>45936</v>
      </c>
      <c r="F945" s="49">
        <v>45940</v>
      </c>
      <c r="G945" s="49">
        <v>45946</v>
      </c>
      <c r="H945" s="49">
        <v>45951</v>
      </c>
      <c r="I945" s="49">
        <v>45954</v>
      </c>
      <c r="J945" t="s">
        <v>47</v>
      </c>
      <c r="K945" s="33">
        <v>5000</v>
      </c>
      <c r="M945" t="str">
        <f>_xlfn.XLOOKUP(Pipeline_tbl[[#This Row],[Rep_ID]],Dim_Reps!A:A,Dim_Reps!K:K)</f>
        <v>EUR</v>
      </c>
      <c r="N945" s="33">
        <f>(_xlfn.XLOOKUP(Pipeline_tbl[[#This Row],[Rate_Code_Generalized]],Lookups!A:A,Lookups!B:B))*Pipeline_tbl[[#This Row],[Pipeline_Amount_USD]]</f>
        <v>5000</v>
      </c>
      <c r="O945" t="str">
        <f>_xlfn.XLOOKUP(Pipeline_tbl[[#This Row],[Rep_ID]],Dim_Reps!A:A,Dim_Reps!B:B)</f>
        <v>Lea Weber</v>
      </c>
      <c r="P945" t="str">
        <f>_xlfn.XLOOKUP(Pipeline_tbl[[#This Row],[Rep_ID]],Dim_Reps!A:A,Dim_Reps!C:C)</f>
        <v>SDR / Inside Sales Rep</v>
      </c>
      <c r="Q945" t="str">
        <f>_xlfn.XLOOKUP(Pipeline_tbl[[#This Row],[Rep_ID]],Dim_Reps!A:A,Dim_Reps!D:D)</f>
        <v>Inside Sales</v>
      </c>
      <c r="R945" t="str">
        <f>_xlfn.XLOOKUP(Pipeline_tbl[[#This Row],[Rep_ID]],Dim_Reps!A:A,Dim_Reps!E:E)</f>
        <v>EMEA</v>
      </c>
      <c r="S945" t="str">
        <f>_xlfn.XLOOKUP(Pipeline_tbl[[#This Row],[Created_Date]],Dim_Date!A:A,Dim_Date!H:H)</f>
        <v>Oct 2025</v>
      </c>
      <c r="T945" t="str">
        <f>IF(Pipeline_tbl[[#This Row],[Closed_Date]]=0,"",(_xlfn.XLOOKUP(Pipeline_tbl[[#This Row],[Closed_Date]],Dim_Date!A:A,Dim_Date!H:H)))</f>
        <v>Oct 2025</v>
      </c>
      <c r="U945">
        <f>IF(Pipeline_tbl[[#This Row],[Closed_Date]]=0,"",Pipeline_tbl[[#This Row],[Closed_Date]]-Pipeline_tbl[[#This Row],[Created_Date]])</f>
        <v>20</v>
      </c>
    </row>
    <row r="946" spans="1:21" ht="15" customHeight="1" x14ac:dyDescent="0.2">
      <c r="A946" t="s">
        <v>1252</v>
      </c>
      <c r="B946" t="s">
        <v>211</v>
      </c>
      <c r="C946" t="s">
        <v>55</v>
      </c>
      <c r="D946" s="49">
        <v>45932</v>
      </c>
      <c r="E946" s="49">
        <v>45934</v>
      </c>
      <c r="F946" s="49">
        <v>45938</v>
      </c>
      <c r="G946" s="49">
        <v>45945</v>
      </c>
      <c r="H946" s="49">
        <v>45950</v>
      </c>
      <c r="I946" s="49">
        <v>45953</v>
      </c>
      <c r="J946" t="s">
        <v>47</v>
      </c>
      <c r="K946" s="33">
        <v>2000</v>
      </c>
      <c r="M946" t="str">
        <f>_xlfn.XLOOKUP(Pipeline_tbl[[#This Row],[Rep_ID]],Dim_Reps!A:A,Dim_Reps!K:K)</f>
        <v>EUR</v>
      </c>
      <c r="N946" s="33">
        <f>(_xlfn.XLOOKUP(Pipeline_tbl[[#This Row],[Rate_Code_Generalized]],Lookups!A:A,Lookups!B:B))*Pipeline_tbl[[#This Row],[Pipeline_Amount_USD]]</f>
        <v>2000</v>
      </c>
      <c r="O946" t="str">
        <f>_xlfn.XLOOKUP(Pipeline_tbl[[#This Row],[Rep_ID]],Dim_Reps!A:A,Dim_Reps!B:B)</f>
        <v>Lea Weber</v>
      </c>
      <c r="P946" t="str">
        <f>_xlfn.XLOOKUP(Pipeline_tbl[[#This Row],[Rep_ID]],Dim_Reps!A:A,Dim_Reps!C:C)</f>
        <v>SDR / Inside Sales Rep</v>
      </c>
      <c r="Q946" t="str">
        <f>_xlfn.XLOOKUP(Pipeline_tbl[[#This Row],[Rep_ID]],Dim_Reps!A:A,Dim_Reps!D:D)</f>
        <v>Inside Sales</v>
      </c>
      <c r="R946" t="str">
        <f>_xlfn.XLOOKUP(Pipeline_tbl[[#This Row],[Rep_ID]],Dim_Reps!A:A,Dim_Reps!E:E)</f>
        <v>EMEA</v>
      </c>
      <c r="S946" t="str">
        <f>_xlfn.XLOOKUP(Pipeline_tbl[[#This Row],[Created_Date]],Dim_Date!A:A,Dim_Date!H:H)</f>
        <v>Oct 2025</v>
      </c>
      <c r="T946" t="str">
        <f>IF(Pipeline_tbl[[#This Row],[Closed_Date]]=0,"",(_xlfn.XLOOKUP(Pipeline_tbl[[#This Row],[Closed_Date]],Dim_Date!A:A,Dim_Date!H:H)))</f>
        <v>Oct 2025</v>
      </c>
      <c r="U946">
        <f>IF(Pipeline_tbl[[#This Row],[Closed_Date]]=0,"",Pipeline_tbl[[#This Row],[Closed_Date]]-Pipeline_tbl[[#This Row],[Created_Date]])</f>
        <v>21</v>
      </c>
    </row>
    <row r="947" spans="1:21" ht="15" customHeight="1" x14ac:dyDescent="0.2">
      <c r="A947" t="s">
        <v>1253</v>
      </c>
      <c r="B947" t="s">
        <v>211</v>
      </c>
      <c r="C947" t="s">
        <v>53</v>
      </c>
      <c r="D947" s="49">
        <v>45938</v>
      </c>
      <c r="E947" s="49">
        <v>45940</v>
      </c>
      <c r="F947" s="49">
        <v>45945</v>
      </c>
      <c r="G947" s="49">
        <v>45951</v>
      </c>
      <c r="I947" s="49">
        <v>45960</v>
      </c>
      <c r="J947" t="s">
        <v>49</v>
      </c>
      <c r="K947" s="33">
        <v>2700</v>
      </c>
      <c r="L947" t="s">
        <v>64</v>
      </c>
      <c r="M947" t="str">
        <f>_xlfn.XLOOKUP(Pipeline_tbl[[#This Row],[Rep_ID]],Dim_Reps!A:A,Dim_Reps!K:K)</f>
        <v>EUR</v>
      </c>
      <c r="N947" s="33">
        <f>(_xlfn.XLOOKUP(Pipeline_tbl[[#This Row],[Rate_Code_Generalized]],Lookups!A:A,Lookups!B:B))*Pipeline_tbl[[#This Row],[Pipeline_Amount_USD]]</f>
        <v>2700</v>
      </c>
      <c r="O947" t="str">
        <f>_xlfn.XLOOKUP(Pipeline_tbl[[#This Row],[Rep_ID]],Dim_Reps!A:A,Dim_Reps!B:B)</f>
        <v>Lea Weber</v>
      </c>
      <c r="P947" t="str">
        <f>_xlfn.XLOOKUP(Pipeline_tbl[[#This Row],[Rep_ID]],Dim_Reps!A:A,Dim_Reps!C:C)</f>
        <v>SDR / Inside Sales Rep</v>
      </c>
      <c r="Q947" t="str">
        <f>_xlfn.XLOOKUP(Pipeline_tbl[[#This Row],[Rep_ID]],Dim_Reps!A:A,Dim_Reps!D:D)</f>
        <v>Inside Sales</v>
      </c>
      <c r="R947" t="str">
        <f>_xlfn.XLOOKUP(Pipeline_tbl[[#This Row],[Rep_ID]],Dim_Reps!A:A,Dim_Reps!E:E)</f>
        <v>EMEA</v>
      </c>
      <c r="S947" t="str">
        <f>_xlfn.XLOOKUP(Pipeline_tbl[[#This Row],[Created_Date]],Dim_Date!A:A,Dim_Date!H:H)</f>
        <v>Oct 2025</v>
      </c>
      <c r="T947" t="str">
        <f>IF(Pipeline_tbl[[#This Row],[Closed_Date]]=0,"",(_xlfn.XLOOKUP(Pipeline_tbl[[#This Row],[Closed_Date]],Dim_Date!A:A,Dim_Date!H:H)))</f>
        <v>Oct 2025</v>
      </c>
      <c r="U947">
        <f>IF(Pipeline_tbl[[#This Row],[Closed_Date]]=0,"",Pipeline_tbl[[#This Row],[Closed_Date]]-Pipeline_tbl[[#This Row],[Created_Date]])</f>
        <v>22</v>
      </c>
    </row>
    <row r="948" spans="1:21" ht="15" customHeight="1" x14ac:dyDescent="0.2">
      <c r="A948" t="s">
        <v>1254</v>
      </c>
      <c r="B948" t="s">
        <v>211</v>
      </c>
      <c r="C948" t="s">
        <v>53</v>
      </c>
      <c r="D948" s="49">
        <v>45945</v>
      </c>
      <c r="E948" s="49">
        <v>45946</v>
      </c>
      <c r="F948" s="49">
        <v>45948</v>
      </c>
      <c r="G948" s="49">
        <v>45952</v>
      </c>
      <c r="H948" s="49">
        <v>45954</v>
      </c>
      <c r="I948" s="49">
        <v>45956</v>
      </c>
      <c r="J948" t="s">
        <v>49</v>
      </c>
      <c r="K948" s="33">
        <v>1900</v>
      </c>
      <c r="L948" t="s">
        <v>60</v>
      </c>
      <c r="M948" t="str">
        <f>_xlfn.XLOOKUP(Pipeline_tbl[[#This Row],[Rep_ID]],Dim_Reps!A:A,Dim_Reps!K:K)</f>
        <v>EUR</v>
      </c>
      <c r="N948" s="33">
        <f>(_xlfn.XLOOKUP(Pipeline_tbl[[#This Row],[Rate_Code_Generalized]],Lookups!A:A,Lookups!B:B))*Pipeline_tbl[[#This Row],[Pipeline_Amount_USD]]</f>
        <v>1900</v>
      </c>
      <c r="O948" t="str">
        <f>_xlfn.XLOOKUP(Pipeline_tbl[[#This Row],[Rep_ID]],Dim_Reps!A:A,Dim_Reps!B:B)</f>
        <v>Lea Weber</v>
      </c>
      <c r="P948" t="str">
        <f>_xlfn.XLOOKUP(Pipeline_tbl[[#This Row],[Rep_ID]],Dim_Reps!A:A,Dim_Reps!C:C)</f>
        <v>SDR / Inside Sales Rep</v>
      </c>
      <c r="Q948" t="str">
        <f>_xlfn.XLOOKUP(Pipeline_tbl[[#This Row],[Rep_ID]],Dim_Reps!A:A,Dim_Reps!D:D)</f>
        <v>Inside Sales</v>
      </c>
      <c r="R948" t="str">
        <f>_xlfn.XLOOKUP(Pipeline_tbl[[#This Row],[Rep_ID]],Dim_Reps!A:A,Dim_Reps!E:E)</f>
        <v>EMEA</v>
      </c>
      <c r="S948" t="str">
        <f>_xlfn.XLOOKUP(Pipeline_tbl[[#This Row],[Created_Date]],Dim_Date!A:A,Dim_Date!H:H)</f>
        <v>Oct 2025</v>
      </c>
      <c r="T948" t="str">
        <f>IF(Pipeline_tbl[[#This Row],[Closed_Date]]=0,"",(_xlfn.XLOOKUP(Pipeline_tbl[[#This Row],[Closed_Date]],Dim_Date!A:A,Dim_Date!H:H)))</f>
        <v>Oct 2025</v>
      </c>
      <c r="U948">
        <f>IF(Pipeline_tbl[[#This Row],[Closed_Date]]=0,"",Pipeline_tbl[[#This Row],[Closed_Date]]-Pipeline_tbl[[#This Row],[Created_Date]])</f>
        <v>11</v>
      </c>
    </row>
    <row r="949" spans="1:21" ht="15" customHeight="1" x14ac:dyDescent="0.2">
      <c r="A949" t="s">
        <v>1255</v>
      </c>
      <c r="B949" t="s">
        <v>211</v>
      </c>
      <c r="C949" t="s">
        <v>56</v>
      </c>
      <c r="D949" s="49">
        <v>45933</v>
      </c>
      <c r="E949" s="49">
        <v>45935</v>
      </c>
      <c r="F949" s="49">
        <v>45940</v>
      </c>
      <c r="G949" s="49">
        <v>45947</v>
      </c>
      <c r="H949" s="49">
        <v>45953</v>
      </c>
      <c r="I949" s="49">
        <v>45957</v>
      </c>
      <c r="J949" t="s">
        <v>47</v>
      </c>
      <c r="K949" s="33">
        <v>8600</v>
      </c>
      <c r="M949" t="str">
        <f>_xlfn.XLOOKUP(Pipeline_tbl[[#This Row],[Rep_ID]],Dim_Reps!A:A,Dim_Reps!K:K)</f>
        <v>EUR</v>
      </c>
      <c r="N949" s="33">
        <f>(_xlfn.XLOOKUP(Pipeline_tbl[[#This Row],[Rate_Code_Generalized]],Lookups!A:A,Lookups!B:B))*Pipeline_tbl[[#This Row],[Pipeline_Amount_USD]]</f>
        <v>8600</v>
      </c>
      <c r="O949" t="str">
        <f>_xlfn.XLOOKUP(Pipeline_tbl[[#This Row],[Rep_ID]],Dim_Reps!A:A,Dim_Reps!B:B)</f>
        <v>Lea Weber</v>
      </c>
      <c r="P949" t="str">
        <f>_xlfn.XLOOKUP(Pipeline_tbl[[#This Row],[Rep_ID]],Dim_Reps!A:A,Dim_Reps!C:C)</f>
        <v>SDR / Inside Sales Rep</v>
      </c>
      <c r="Q949" t="str">
        <f>_xlfn.XLOOKUP(Pipeline_tbl[[#This Row],[Rep_ID]],Dim_Reps!A:A,Dim_Reps!D:D)</f>
        <v>Inside Sales</v>
      </c>
      <c r="R949" t="str">
        <f>_xlfn.XLOOKUP(Pipeline_tbl[[#This Row],[Rep_ID]],Dim_Reps!A:A,Dim_Reps!E:E)</f>
        <v>EMEA</v>
      </c>
      <c r="S949" t="str">
        <f>_xlfn.XLOOKUP(Pipeline_tbl[[#This Row],[Created_Date]],Dim_Date!A:A,Dim_Date!H:H)</f>
        <v>Oct 2025</v>
      </c>
      <c r="T949" t="str">
        <f>IF(Pipeline_tbl[[#This Row],[Closed_Date]]=0,"",(_xlfn.XLOOKUP(Pipeline_tbl[[#This Row],[Closed_Date]],Dim_Date!A:A,Dim_Date!H:H)))</f>
        <v>Oct 2025</v>
      </c>
      <c r="U949">
        <f>IF(Pipeline_tbl[[#This Row],[Closed_Date]]=0,"",Pipeline_tbl[[#This Row],[Closed_Date]]-Pipeline_tbl[[#This Row],[Created_Date]])</f>
        <v>24</v>
      </c>
    </row>
    <row r="950" spans="1:21" ht="15" customHeight="1" x14ac:dyDescent="0.2">
      <c r="A950" t="s">
        <v>1256</v>
      </c>
      <c r="B950" t="s">
        <v>211</v>
      </c>
      <c r="C950" t="s">
        <v>55</v>
      </c>
      <c r="D950" s="49">
        <v>45934</v>
      </c>
      <c r="E950" s="49">
        <v>45935</v>
      </c>
      <c r="F950" s="49">
        <v>45937</v>
      </c>
      <c r="G950" s="49">
        <v>45939</v>
      </c>
      <c r="H950" s="49">
        <v>45942</v>
      </c>
      <c r="I950" s="49">
        <v>45943</v>
      </c>
      <c r="J950" t="s">
        <v>49</v>
      </c>
      <c r="K950" s="33">
        <v>5000</v>
      </c>
      <c r="L950" t="s">
        <v>62</v>
      </c>
      <c r="M950" t="str">
        <f>_xlfn.XLOOKUP(Pipeline_tbl[[#This Row],[Rep_ID]],Dim_Reps!A:A,Dim_Reps!K:K)</f>
        <v>EUR</v>
      </c>
      <c r="N950" s="33">
        <f>(_xlfn.XLOOKUP(Pipeline_tbl[[#This Row],[Rate_Code_Generalized]],Lookups!A:A,Lookups!B:B))*Pipeline_tbl[[#This Row],[Pipeline_Amount_USD]]</f>
        <v>5000</v>
      </c>
      <c r="O950" t="str">
        <f>_xlfn.XLOOKUP(Pipeline_tbl[[#This Row],[Rep_ID]],Dim_Reps!A:A,Dim_Reps!B:B)</f>
        <v>Lea Weber</v>
      </c>
      <c r="P950" t="str">
        <f>_xlfn.XLOOKUP(Pipeline_tbl[[#This Row],[Rep_ID]],Dim_Reps!A:A,Dim_Reps!C:C)</f>
        <v>SDR / Inside Sales Rep</v>
      </c>
      <c r="Q950" t="str">
        <f>_xlfn.XLOOKUP(Pipeline_tbl[[#This Row],[Rep_ID]],Dim_Reps!A:A,Dim_Reps!D:D)</f>
        <v>Inside Sales</v>
      </c>
      <c r="R950" t="str">
        <f>_xlfn.XLOOKUP(Pipeline_tbl[[#This Row],[Rep_ID]],Dim_Reps!A:A,Dim_Reps!E:E)</f>
        <v>EMEA</v>
      </c>
      <c r="S950" t="str">
        <f>_xlfn.XLOOKUP(Pipeline_tbl[[#This Row],[Created_Date]],Dim_Date!A:A,Dim_Date!H:H)</f>
        <v>Oct 2025</v>
      </c>
      <c r="T950" t="str">
        <f>IF(Pipeline_tbl[[#This Row],[Closed_Date]]=0,"",(_xlfn.XLOOKUP(Pipeline_tbl[[#This Row],[Closed_Date]],Dim_Date!A:A,Dim_Date!H:H)))</f>
        <v>Oct 2025</v>
      </c>
      <c r="U950">
        <f>IF(Pipeline_tbl[[#This Row],[Closed_Date]]=0,"",Pipeline_tbl[[#This Row],[Closed_Date]]-Pipeline_tbl[[#This Row],[Created_Date]])</f>
        <v>9</v>
      </c>
    </row>
    <row r="951" spans="1:21" ht="15" customHeight="1" x14ac:dyDescent="0.2">
      <c r="A951" t="s">
        <v>1257</v>
      </c>
      <c r="B951" t="s">
        <v>213</v>
      </c>
      <c r="C951" t="s">
        <v>53</v>
      </c>
      <c r="D951" s="49">
        <v>45936</v>
      </c>
      <c r="E951" s="49">
        <v>45938</v>
      </c>
      <c r="I951" s="49">
        <v>45951</v>
      </c>
      <c r="J951" t="s">
        <v>49</v>
      </c>
      <c r="K951" s="33">
        <v>2200</v>
      </c>
      <c r="L951" t="s">
        <v>62</v>
      </c>
      <c r="M951" t="str">
        <f>_xlfn.XLOOKUP(Pipeline_tbl[[#This Row],[Rep_ID]],Dim_Reps!A:A,Dim_Reps!K:K)</f>
        <v>EUR</v>
      </c>
      <c r="N951" s="33">
        <f>(_xlfn.XLOOKUP(Pipeline_tbl[[#This Row],[Rate_Code_Generalized]],Lookups!A:A,Lookups!B:B))*Pipeline_tbl[[#This Row],[Pipeline_Amount_USD]]</f>
        <v>2200</v>
      </c>
      <c r="O951" t="str">
        <f>_xlfn.XLOOKUP(Pipeline_tbl[[#This Row],[Rep_ID]],Dim_Reps!A:A,Dim_Reps!B:B)</f>
        <v>Jamie Silva</v>
      </c>
      <c r="P951" t="str">
        <f>_xlfn.XLOOKUP(Pipeline_tbl[[#This Row],[Rep_ID]],Dim_Reps!A:A,Dim_Reps!C:C)</f>
        <v>SDR / Inside Sales Rep</v>
      </c>
      <c r="Q951" t="str">
        <f>_xlfn.XLOOKUP(Pipeline_tbl[[#This Row],[Rep_ID]],Dim_Reps!A:A,Dim_Reps!D:D)</f>
        <v>Inside Sales</v>
      </c>
      <c r="R951" t="str">
        <f>_xlfn.XLOOKUP(Pipeline_tbl[[#This Row],[Rep_ID]],Dim_Reps!A:A,Dim_Reps!E:E)</f>
        <v>EMEA</v>
      </c>
      <c r="S951" t="str">
        <f>_xlfn.XLOOKUP(Pipeline_tbl[[#This Row],[Created_Date]],Dim_Date!A:A,Dim_Date!H:H)</f>
        <v>Oct 2025</v>
      </c>
      <c r="T951" t="str">
        <f>IF(Pipeline_tbl[[#This Row],[Closed_Date]]=0,"",(_xlfn.XLOOKUP(Pipeline_tbl[[#This Row],[Closed_Date]],Dim_Date!A:A,Dim_Date!H:H)))</f>
        <v>Oct 2025</v>
      </c>
      <c r="U951">
        <f>IF(Pipeline_tbl[[#This Row],[Closed_Date]]=0,"",Pipeline_tbl[[#This Row],[Closed_Date]]-Pipeline_tbl[[#This Row],[Created_Date]])</f>
        <v>15</v>
      </c>
    </row>
    <row r="952" spans="1:21" ht="15" customHeight="1" x14ac:dyDescent="0.2">
      <c r="A952" t="s">
        <v>1258</v>
      </c>
      <c r="B952" t="s">
        <v>213</v>
      </c>
      <c r="C952" t="s">
        <v>53</v>
      </c>
      <c r="D952" s="49">
        <v>45931</v>
      </c>
      <c r="E952" s="49">
        <v>45934</v>
      </c>
      <c r="F952" s="49">
        <v>45939</v>
      </c>
      <c r="I952" s="49">
        <v>45959</v>
      </c>
      <c r="J952" t="s">
        <v>49</v>
      </c>
      <c r="K952" s="33">
        <v>4200</v>
      </c>
      <c r="L952" t="s">
        <v>63</v>
      </c>
      <c r="M952" t="str">
        <f>_xlfn.XLOOKUP(Pipeline_tbl[[#This Row],[Rep_ID]],Dim_Reps!A:A,Dim_Reps!K:K)</f>
        <v>EUR</v>
      </c>
      <c r="N952" s="33">
        <f>(_xlfn.XLOOKUP(Pipeline_tbl[[#This Row],[Rate_Code_Generalized]],Lookups!A:A,Lookups!B:B))*Pipeline_tbl[[#This Row],[Pipeline_Amount_USD]]</f>
        <v>4200</v>
      </c>
      <c r="O952" t="str">
        <f>_xlfn.XLOOKUP(Pipeline_tbl[[#This Row],[Rep_ID]],Dim_Reps!A:A,Dim_Reps!B:B)</f>
        <v>Jamie Silva</v>
      </c>
      <c r="P952" t="str">
        <f>_xlfn.XLOOKUP(Pipeline_tbl[[#This Row],[Rep_ID]],Dim_Reps!A:A,Dim_Reps!C:C)</f>
        <v>SDR / Inside Sales Rep</v>
      </c>
      <c r="Q952" t="str">
        <f>_xlfn.XLOOKUP(Pipeline_tbl[[#This Row],[Rep_ID]],Dim_Reps!A:A,Dim_Reps!D:D)</f>
        <v>Inside Sales</v>
      </c>
      <c r="R952" t="str">
        <f>_xlfn.XLOOKUP(Pipeline_tbl[[#This Row],[Rep_ID]],Dim_Reps!A:A,Dim_Reps!E:E)</f>
        <v>EMEA</v>
      </c>
      <c r="S952" t="str">
        <f>_xlfn.XLOOKUP(Pipeline_tbl[[#This Row],[Created_Date]],Dim_Date!A:A,Dim_Date!H:H)</f>
        <v>Oct 2025</v>
      </c>
      <c r="T952" t="str">
        <f>IF(Pipeline_tbl[[#This Row],[Closed_Date]]=0,"",(_xlfn.XLOOKUP(Pipeline_tbl[[#This Row],[Closed_Date]],Dim_Date!A:A,Dim_Date!H:H)))</f>
        <v>Oct 2025</v>
      </c>
      <c r="U952">
        <f>IF(Pipeline_tbl[[#This Row],[Closed_Date]]=0,"",Pipeline_tbl[[#This Row],[Closed_Date]]-Pipeline_tbl[[#This Row],[Created_Date]])</f>
        <v>28</v>
      </c>
    </row>
    <row r="953" spans="1:21" ht="15" customHeight="1" x14ac:dyDescent="0.2">
      <c r="A953" t="s">
        <v>1259</v>
      </c>
      <c r="B953" t="s">
        <v>213</v>
      </c>
      <c r="C953" t="s">
        <v>55</v>
      </c>
      <c r="D953" s="49">
        <v>45935</v>
      </c>
      <c r="E953" s="49">
        <v>45936</v>
      </c>
      <c r="F953" s="49">
        <v>45939</v>
      </c>
      <c r="G953" s="49">
        <v>45943</v>
      </c>
      <c r="H953" s="49">
        <v>45946</v>
      </c>
      <c r="I953" s="49">
        <v>45948</v>
      </c>
      <c r="J953" t="s">
        <v>47</v>
      </c>
      <c r="K953" s="33">
        <v>2800</v>
      </c>
      <c r="M953" t="str">
        <f>_xlfn.XLOOKUP(Pipeline_tbl[[#This Row],[Rep_ID]],Dim_Reps!A:A,Dim_Reps!K:K)</f>
        <v>EUR</v>
      </c>
      <c r="N953" s="33">
        <f>(_xlfn.XLOOKUP(Pipeline_tbl[[#This Row],[Rate_Code_Generalized]],Lookups!A:A,Lookups!B:B))*Pipeline_tbl[[#This Row],[Pipeline_Amount_USD]]</f>
        <v>2800</v>
      </c>
      <c r="O953" t="str">
        <f>_xlfn.XLOOKUP(Pipeline_tbl[[#This Row],[Rep_ID]],Dim_Reps!A:A,Dim_Reps!B:B)</f>
        <v>Jamie Silva</v>
      </c>
      <c r="P953" t="str">
        <f>_xlfn.XLOOKUP(Pipeline_tbl[[#This Row],[Rep_ID]],Dim_Reps!A:A,Dim_Reps!C:C)</f>
        <v>SDR / Inside Sales Rep</v>
      </c>
      <c r="Q953" t="str">
        <f>_xlfn.XLOOKUP(Pipeline_tbl[[#This Row],[Rep_ID]],Dim_Reps!A:A,Dim_Reps!D:D)</f>
        <v>Inside Sales</v>
      </c>
      <c r="R953" t="str">
        <f>_xlfn.XLOOKUP(Pipeline_tbl[[#This Row],[Rep_ID]],Dim_Reps!A:A,Dim_Reps!E:E)</f>
        <v>EMEA</v>
      </c>
      <c r="S953" t="str">
        <f>_xlfn.XLOOKUP(Pipeline_tbl[[#This Row],[Created_Date]],Dim_Date!A:A,Dim_Date!H:H)</f>
        <v>Oct 2025</v>
      </c>
      <c r="T953" t="str">
        <f>IF(Pipeline_tbl[[#This Row],[Closed_Date]]=0,"",(_xlfn.XLOOKUP(Pipeline_tbl[[#This Row],[Closed_Date]],Dim_Date!A:A,Dim_Date!H:H)))</f>
        <v>Oct 2025</v>
      </c>
      <c r="U953">
        <f>IF(Pipeline_tbl[[#This Row],[Closed_Date]]=0,"",Pipeline_tbl[[#This Row],[Closed_Date]]-Pipeline_tbl[[#This Row],[Created_Date]])</f>
        <v>13</v>
      </c>
    </row>
    <row r="954" spans="1:21" ht="15" customHeight="1" x14ac:dyDescent="0.2">
      <c r="A954" t="s">
        <v>1260</v>
      </c>
      <c r="B954" t="s">
        <v>213</v>
      </c>
      <c r="C954" t="s">
        <v>52</v>
      </c>
      <c r="D954" s="49">
        <v>45950</v>
      </c>
      <c r="E954" s="49">
        <v>45951</v>
      </c>
      <c r="F954" s="49">
        <v>45953</v>
      </c>
      <c r="G954" s="49">
        <v>45957</v>
      </c>
      <c r="I954" s="49">
        <v>45961</v>
      </c>
      <c r="J954" t="s">
        <v>49</v>
      </c>
      <c r="K954" s="33">
        <v>4300</v>
      </c>
      <c r="L954" t="s">
        <v>62</v>
      </c>
      <c r="M954" t="str">
        <f>_xlfn.XLOOKUP(Pipeline_tbl[[#This Row],[Rep_ID]],Dim_Reps!A:A,Dim_Reps!K:K)</f>
        <v>EUR</v>
      </c>
      <c r="N954" s="33">
        <f>(_xlfn.XLOOKUP(Pipeline_tbl[[#This Row],[Rate_Code_Generalized]],Lookups!A:A,Lookups!B:B))*Pipeline_tbl[[#This Row],[Pipeline_Amount_USD]]</f>
        <v>4300</v>
      </c>
      <c r="O954" t="str">
        <f>_xlfn.XLOOKUP(Pipeline_tbl[[#This Row],[Rep_ID]],Dim_Reps!A:A,Dim_Reps!B:B)</f>
        <v>Jamie Silva</v>
      </c>
      <c r="P954" t="str">
        <f>_xlfn.XLOOKUP(Pipeline_tbl[[#This Row],[Rep_ID]],Dim_Reps!A:A,Dim_Reps!C:C)</f>
        <v>SDR / Inside Sales Rep</v>
      </c>
      <c r="Q954" t="str">
        <f>_xlfn.XLOOKUP(Pipeline_tbl[[#This Row],[Rep_ID]],Dim_Reps!A:A,Dim_Reps!D:D)</f>
        <v>Inside Sales</v>
      </c>
      <c r="R954" t="str">
        <f>_xlfn.XLOOKUP(Pipeline_tbl[[#This Row],[Rep_ID]],Dim_Reps!A:A,Dim_Reps!E:E)</f>
        <v>EMEA</v>
      </c>
      <c r="S954" t="str">
        <f>_xlfn.XLOOKUP(Pipeline_tbl[[#This Row],[Created_Date]],Dim_Date!A:A,Dim_Date!H:H)</f>
        <v>Oct 2025</v>
      </c>
      <c r="T954" t="str">
        <f>IF(Pipeline_tbl[[#This Row],[Closed_Date]]=0,"",(_xlfn.XLOOKUP(Pipeline_tbl[[#This Row],[Closed_Date]],Dim_Date!A:A,Dim_Date!H:H)))</f>
        <v>Oct 2025</v>
      </c>
      <c r="U954">
        <f>IF(Pipeline_tbl[[#This Row],[Closed_Date]]=0,"",Pipeline_tbl[[#This Row],[Closed_Date]]-Pipeline_tbl[[#This Row],[Created_Date]])</f>
        <v>11</v>
      </c>
    </row>
    <row r="955" spans="1:21" ht="15" customHeight="1" x14ac:dyDescent="0.2">
      <c r="A955" t="s">
        <v>1261</v>
      </c>
      <c r="B955" t="s">
        <v>213</v>
      </c>
      <c r="C955" t="s">
        <v>52</v>
      </c>
      <c r="D955" s="49">
        <v>45932</v>
      </c>
      <c r="E955" s="49">
        <v>45934</v>
      </c>
      <c r="F955" s="49">
        <v>45938</v>
      </c>
      <c r="G955" s="49">
        <v>45943</v>
      </c>
      <c r="I955" s="49">
        <v>45951</v>
      </c>
      <c r="J955" t="s">
        <v>49</v>
      </c>
      <c r="K955" s="33">
        <v>6200</v>
      </c>
      <c r="L955" t="s">
        <v>64</v>
      </c>
      <c r="M955" t="str">
        <f>_xlfn.XLOOKUP(Pipeline_tbl[[#This Row],[Rep_ID]],Dim_Reps!A:A,Dim_Reps!K:K)</f>
        <v>EUR</v>
      </c>
      <c r="N955" s="33">
        <f>(_xlfn.XLOOKUP(Pipeline_tbl[[#This Row],[Rate_Code_Generalized]],Lookups!A:A,Lookups!B:B))*Pipeline_tbl[[#This Row],[Pipeline_Amount_USD]]</f>
        <v>6200</v>
      </c>
      <c r="O955" t="str">
        <f>_xlfn.XLOOKUP(Pipeline_tbl[[#This Row],[Rep_ID]],Dim_Reps!A:A,Dim_Reps!B:B)</f>
        <v>Jamie Silva</v>
      </c>
      <c r="P955" t="str">
        <f>_xlfn.XLOOKUP(Pipeline_tbl[[#This Row],[Rep_ID]],Dim_Reps!A:A,Dim_Reps!C:C)</f>
        <v>SDR / Inside Sales Rep</v>
      </c>
      <c r="Q955" t="str">
        <f>_xlfn.XLOOKUP(Pipeline_tbl[[#This Row],[Rep_ID]],Dim_Reps!A:A,Dim_Reps!D:D)</f>
        <v>Inside Sales</v>
      </c>
      <c r="R955" t="str">
        <f>_xlfn.XLOOKUP(Pipeline_tbl[[#This Row],[Rep_ID]],Dim_Reps!A:A,Dim_Reps!E:E)</f>
        <v>EMEA</v>
      </c>
      <c r="S955" t="str">
        <f>_xlfn.XLOOKUP(Pipeline_tbl[[#This Row],[Created_Date]],Dim_Date!A:A,Dim_Date!H:H)</f>
        <v>Oct 2025</v>
      </c>
      <c r="T955" t="str">
        <f>IF(Pipeline_tbl[[#This Row],[Closed_Date]]=0,"",(_xlfn.XLOOKUP(Pipeline_tbl[[#This Row],[Closed_Date]],Dim_Date!A:A,Dim_Date!H:H)))</f>
        <v>Oct 2025</v>
      </c>
      <c r="U955">
        <f>IF(Pipeline_tbl[[#This Row],[Closed_Date]]=0,"",Pipeline_tbl[[#This Row],[Closed_Date]]-Pipeline_tbl[[#This Row],[Created_Date]])</f>
        <v>19</v>
      </c>
    </row>
    <row r="956" spans="1:21" ht="15" customHeight="1" x14ac:dyDescent="0.2">
      <c r="A956" t="s">
        <v>1262</v>
      </c>
      <c r="B956" t="s">
        <v>213</v>
      </c>
      <c r="C956" t="s">
        <v>53</v>
      </c>
      <c r="D956" s="49">
        <v>45935</v>
      </c>
      <c r="E956" s="49">
        <v>45937</v>
      </c>
      <c r="I956" s="49">
        <v>45952</v>
      </c>
      <c r="J956" t="s">
        <v>49</v>
      </c>
      <c r="K956" s="33">
        <v>7700</v>
      </c>
      <c r="L956" t="s">
        <v>60</v>
      </c>
      <c r="M956" t="str">
        <f>_xlfn.XLOOKUP(Pipeline_tbl[[#This Row],[Rep_ID]],Dim_Reps!A:A,Dim_Reps!K:K)</f>
        <v>EUR</v>
      </c>
      <c r="N956" s="33">
        <f>(_xlfn.XLOOKUP(Pipeline_tbl[[#This Row],[Rate_Code_Generalized]],Lookups!A:A,Lookups!B:B))*Pipeline_tbl[[#This Row],[Pipeline_Amount_USD]]</f>
        <v>7700</v>
      </c>
      <c r="O956" t="str">
        <f>_xlfn.XLOOKUP(Pipeline_tbl[[#This Row],[Rep_ID]],Dim_Reps!A:A,Dim_Reps!B:B)</f>
        <v>Jamie Silva</v>
      </c>
      <c r="P956" t="str">
        <f>_xlfn.XLOOKUP(Pipeline_tbl[[#This Row],[Rep_ID]],Dim_Reps!A:A,Dim_Reps!C:C)</f>
        <v>SDR / Inside Sales Rep</v>
      </c>
      <c r="Q956" t="str">
        <f>_xlfn.XLOOKUP(Pipeline_tbl[[#This Row],[Rep_ID]],Dim_Reps!A:A,Dim_Reps!D:D)</f>
        <v>Inside Sales</v>
      </c>
      <c r="R956" t="str">
        <f>_xlfn.XLOOKUP(Pipeline_tbl[[#This Row],[Rep_ID]],Dim_Reps!A:A,Dim_Reps!E:E)</f>
        <v>EMEA</v>
      </c>
      <c r="S956" t="str">
        <f>_xlfn.XLOOKUP(Pipeline_tbl[[#This Row],[Created_Date]],Dim_Date!A:A,Dim_Date!H:H)</f>
        <v>Oct 2025</v>
      </c>
      <c r="T956" t="str">
        <f>IF(Pipeline_tbl[[#This Row],[Closed_Date]]=0,"",(_xlfn.XLOOKUP(Pipeline_tbl[[#This Row],[Closed_Date]],Dim_Date!A:A,Dim_Date!H:H)))</f>
        <v>Oct 2025</v>
      </c>
      <c r="U956">
        <f>IF(Pipeline_tbl[[#This Row],[Closed_Date]]=0,"",Pipeline_tbl[[#This Row],[Closed_Date]]-Pipeline_tbl[[#This Row],[Created_Date]])</f>
        <v>17</v>
      </c>
    </row>
    <row r="957" spans="1:21" ht="15" customHeight="1" x14ac:dyDescent="0.2">
      <c r="A957" t="s">
        <v>1263</v>
      </c>
      <c r="B957" t="s">
        <v>213</v>
      </c>
      <c r="C957" t="s">
        <v>53</v>
      </c>
      <c r="D957" s="49">
        <v>45933</v>
      </c>
      <c r="E957" s="49">
        <v>45935</v>
      </c>
      <c r="F957" s="49">
        <v>45938</v>
      </c>
      <c r="G957" s="49">
        <v>45943</v>
      </c>
      <c r="H957" s="49">
        <v>45947</v>
      </c>
      <c r="I957" s="49">
        <v>45950</v>
      </c>
      <c r="J957" t="s">
        <v>49</v>
      </c>
      <c r="K957" s="33">
        <v>2300</v>
      </c>
      <c r="L957" t="s">
        <v>61</v>
      </c>
      <c r="M957" t="str">
        <f>_xlfn.XLOOKUP(Pipeline_tbl[[#This Row],[Rep_ID]],Dim_Reps!A:A,Dim_Reps!K:K)</f>
        <v>EUR</v>
      </c>
      <c r="N957" s="33">
        <f>(_xlfn.XLOOKUP(Pipeline_tbl[[#This Row],[Rate_Code_Generalized]],Lookups!A:A,Lookups!B:B))*Pipeline_tbl[[#This Row],[Pipeline_Amount_USD]]</f>
        <v>2300</v>
      </c>
      <c r="O957" t="str">
        <f>_xlfn.XLOOKUP(Pipeline_tbl[[#This Row],[Rep_ID]],Dim_Reps!A:A,Dim_Reps!B:B)</f>
        <v>Jamie Silva</v>
      </c>
      <c r="P957" t="str">
        <f>_xlfn.XLOOKUP(Pipeline_tbl[[#This Row],[Rep_ID]],Dim_Reps!A:A,Dim_Reps!C:C)</f>
        <v>SDR / Inside Sales Rep</v>
      </c>
      <c r="Q957" t="str">
        <f>_xlfn.XLOOKUP(Pipeline_tbl[[#This Row],[Rep_ID]],Dim_Reps!A:A,Dim_Reps!D:D)</f>
        <v>Inside Sales</v>
      </c>
      <c r="R957" t="str">
        <f>_xlfn.XLOOKUP(Pipeline_tbl[[#This Row],[Rep_ID]],Dim_Reps!A:A,Dim_Reps!E:E)</f>
        <v>EMEA</v>
      </c>
      <c r="S957" t="str">
        <f>_xlfn.XLOOKUP(Pipeline_tbl[[#This Row],[Created_Date]],Dim_Date!A:A,Dim_Date!H:H)</f>
        <v>Oct 2025</v>
      </c>
      <c r="T957" t="str">
        <f>IF(Pipeline_tbl[[#This Row],[Closed_Date]]=0,"",(_xlfn.XLOOKUP(Pipeline_tbl[[#This Row],[Closed_Date]],Dim_Date!A:A,Dim_Date!H:H)))</f>
        <v>Oct 2025</v>
      </c>
      <c r="U957">
        <f>IF(Pipeline_tbl[[#This Row],[Closed_Date]]=0,"",Pipeline_tbl[[#This Row],[Closed_Date]]-Pipeline_tbl[[#This Row],[Created_Date]])</f>
        <v>17</v>
      </c>
    </row>
    <row r="958" spans="1:21" ht="15" customHeight="1" x14ac:dyDescent="0.2">
      <c r="A958" t="s">
        <v>1264</v>
      </c>
      <c r="B958" t="s">
        <v>213</v>
      </c>
      <c r="C958" t="s">
        <v>52</v>
      </c>
      <c r="D958" s="49">
        <v>45938</v>
      </c>
      <c r="E958" s="49">
        <v>45940</v>
      </c>
      <c r="F958" s="49">
        <v>45943</v>
      </c>
      <c r="G958" s="49">
        <v>45947</v>
      </c>
      <c r="H958" s="49">
        <v>45951</v>
      </c>
      <c r="I958" s="49">
        <v>45953</v>
      </c>
      <c r="J958" t="s">
        <v>49</v>
      </c>
      <c r="K958" s="33">
        <v>5600</v>
      </c>
      <c r="L958" t="s">
        <v>60</v>
      </c>
      <c r="M958" t="str">
        <f>_xlfn.XLOOKUP(Pipeline_tbl[[#This Row],[Rep_ID]],Dim_Reps!A:A,Dim_Reps!K:K)</f>
        <v>EUR</v>
      </c>
      <c r="N958" s="33">
        <f>(_xlfn.XLOOKUP(Pipeline_tbl[[#This Row],[Rate_Code_Generalized]],Lookups!A:A,Lookups!B:B))*Pipeline_tbl[[#This Row],[Pipeline_Amount_USD]]</f>
        <v>5600</v>
      </c>
      <c r="O958" t="str">
        <f>_xlfn.XLOOKUP(Pipeline_tbl[[#This Row],[Rep_ID]],Dim_Reps!A:A,Dim_Reps!B:B)</f>
        <v>Jamie Silva</v>
      </c>
      <c r="P958" t="str">
        <f>_xlfn.XLOOKUP(Pipeline_tbl[[#This Row],[Rep_ID]],Dim_Reps!A:A,Dim_Reps!C:C)</f>
        <v>SDR / Inside Sales Rep</v>
      </c>
      <c r="Q958" t="str">
        <f>_xlfn.XLOOKUP(Pipeline_tbl[[#This Row],[Rep_ID]],Dim_Reps!A:A,Dim_Reps!D:D)</f>
        <v>Inside Sales</v>
      </c>
      <c r="R958" t="str">
        <f>_xlfn.XLOOKUP(Pipeline_tbl[[#This Row],[Rep_ID]],Dim_Reps!A:A,Dim_Reps!E:E)</f>
        <v>EMEA</v>
      </c>
      <c r="S958" t="str">
        <f>_xlfn.XLOOKUP(Pipeline_tbl[[#This Row],[Created_Date]],Dim_Date!A:A,Dim_Date!H:H)</f>
        <v>Oct 2025</v>
      </c>
      <c r="T958" t="str">
        <f>IF(Pipeline_tbl[[#This Row],[Closed_Date]]=0,"",(_xlfn.XLOOKUP(Pipeline_tbl[[#This Row],[Closed_Date]],Dim_Date!A:A,Dim_Date!H:H)))</f>
        <v>Oct 2025</v>
      </c>
      <c r="U958">
        <f>IF(Pipeline_tbl[[#This Row],[Closed_Date]]=0,"",Pipeline_tbl[[#This Row],[Closed_Date]]-Pipeline_tbl[[#This Row],[Created_Date]])</f>
        <v>15</v>
      </c>
    </row>
    <row r="959" spans="1:21" ht="15" customHeight="1" x14ac:dyDescent="0.2">
      <c r="A959" t="s">
        <v>1265</v>
      </c>
      <c r="B959" t="s">
        <v>253</v>
      </c>
      <c r="C959" t="s">
        <v>52</v>
      </c>
      <c r="D959" s="49">
        <v>45937</v>
      </c>
      <c r="E959" s="49">
        <v>45939</v>
      </c>
      <c r="F959" s="49">
        <v>45943</v>
      </c>
      <c r="G959" s="49">
        <v>45950</v>
      </c>
      <c r="H959" s="49">
        <v>45955</v>
      </c>
      <c r="I959" s="49">
        <v>45958</v>
      </c>
      <c r="J959" t="s">
        <v>47</v>
      </c>
      <c r="K959" s="33">
        <v>11100</v>
      </c>
      <c r="M959" t="str">
        <f>_xlfn.XLOOKUP(Pipeline_tbl[[#This Row],[Rep_ID]],Dim_Reps!A:A,Dim_Reps!K:K)</f>
        <v>EUR</v>
      </c>
      <c r="N959" s="33">
        <f>(_xlfn.XLOOKUP(Pipeline_tbl[[#This Row],[Rate_Code_Generalized]],Lookups!A:A,Lookups!B:B))*Pipeline_tbl[[#This Row],[Pipeline_Amount_USD]]</f>
        <v>11100</v>
      </c>
      <c r="O959" t="str">
        <f>_xlfn.XLOOKUP(Pipeline_tbl[[#This Row],[Rep_ID]],Dim_Reps!A:A,Dim_Reps!B:B)</f>
        <v>Rafael Weber</v>
      </c>
      <c r="P959" t="str">
        <f>_xlfn.XLOOKUP(Pipeline_tbl[[#This Row],[Rep_ID]],Dim_Reps!A:A,Dim_Reps!C:C)</f>
        <v>Mid-Market AE</v>
      </c>
      <c r="Q959" t="str">
        <f>_xlfn.XLOOKUP(Pipeline_tbl[[#This Row],[Rep_ID]],Dim_Reps!A:A,Dim_Reps!D:D)</f>
        <v>Mid-Market</v>
      </c>
      <c r="R959" t="str">
        <f>_xlfn.XLOOKUP(Pipeline_tbl[[#This Row],[Rep_ID]],Dim_Reps!A:A,Dim_Reps!E:E)</f>
        <v>APAC</v>
      </c>
      <c r="S959" t="str">
        <f>_xlfn.XLOOKUP(Pipeline_tbl[[#This Row],[Created_Date]],Dim_Date!A:A,Dim_Date!H:H)</f>
        <v>Oct 2025</v>
      </c>
      <c r="T959" t="str">
        <f>IF(Pipeline_tbl[[#This Row],[Closed_Date]]=0,"",(_xlfn.XLOOKUP(Pipeline_tbl[[#This Row],[Closed_Date]],Dim_Date!A:A,Dim_Date!H:H)))</f>
        <v>Oct 2025</v>
      </c>
      <c r="U959">
        <f>IF(Pipeline_tbl[[#This Row],[Closed_Date]]=0,"",Pipeline_tbl[[#This Row],[Closed_Date]]-Pipeline_tbl[[#This Row],[Created_Date]])</f>
        <v>21</v>
      </c>
    </row>
    <row r="960" spans="1:21" ht="15" customHeight="1" x14ac:dyDescent="0.2">
      <c r="A960" t="s">
        <v>1266</v>
      </c>
      <c r="B960" t="s">
        <v>215</v>
      </c>
      <c r="C960" t="s">
        <v>53</v>
      </c>
      <c r="D960" s="49">
        <v>45938</v>
      </c>
      <c r="E960" s="49">
        <v>45939</v>
      </c>
      <c r="F960" s="49">
        <v>45941</v>
      </c>
      <c r="G960" s="49">
        <v>45945</v>
      </c>
      <c r="I960" s="49">
        <v>45949</v>
      </c>
      <c r="J960" t="s">
        <v>49</v>
      </c>
      <c r="K960" s="33">
        <v>3100</v>
      </c>
      <c r="L960" t="s">
        <v>63</v>
      </c>
      <c r="M960" t="str">
        <f>_xlfn.XLOOKUP(Pipeline_tbl[[#This Row],[Rep_ID]],Dim_Reps!A:A,Dim_Reps!K:K)</f>
        <v>EUR</v>
      </c>
      <c r="N960" s="33">
        <f>(_xlfn.XLOOKUP(Pipeline_tbl[[#This Row],[Rate_Code_Generalized]],Lookups!A:A,Lookups!B:B))*Pipeline_tbl[[#This Row],[Pipeline_Amount_USD]]</f>
        <v>3100</v>
      </c>
      <c r="O960" t="str">
        <f>_xlfn.XLOOKUP(Pipeline_tbl[[#This Row],[Rep_ID]],Dim_Reps!A:A,Dim_Reps!B:B)</f>
        <v>Jamie Schmidt</v>
      </c>
      <c r="P960" t="str">
        <f>_xlfn.XLOOKUP(Pipeline_tbl[[#This Row],[Rep_ID]],Dim_Reps!A:A,Dim_Reps!C:C)</f>
        <v>SDR / Inside Sales Rep</v>
      </c>
      <c r="Q960" t="str">
        <f>_xlfn.XLOOKUP(Pipeline_tbl[[#This Row],[Rep_ID]],Dim_Reps!A:A,Dim_Reps!D:D)</f>
        <v>Inside Sales</v>
      </c>
      <c r="R960" t="str">
        <f>_xlfn.XLOOKUP(Pipeline_tbl[[#This Row],[Rep_ID]],Dim_Reps!A:A,Dim_Reps!E:E)</f>
        <v>APAC</v>
      </c>
      <c r="S960" t="str">
        <f>_xlfn.XLOOKUP(Pipeline_tbl[[#This Row],[Created_Date]],Dim_Date!A:A,Dim_Date!H:H)</f>
        <v>Oct 2025</v>
      </c>
      <c r="T960" t="str">
        <f>IF(Pipeline_tbl[[#This Row],[Closed_Date]]=0,"",(_xlfn.XLOOKUP(Pipeline_tbl[[#This Row],[Closed_Date]],Dim_Date!A:A,Dim_Date!H:H)))</f>
        <v>Oct 2025</v>
      </c>
      <c r="U960">
        <f>IF(Pipeline_tbl[[#This Row],[Closed_Date]]=0,"",Pipeline_tbl[[#This Row],[Closed_Date]]-Pipeline_tbl[[#This Row],[Created_Date]])</f>
        <v>11</v>
      </c>
    </row>
    <row r="961" spans="1:21" ht="15" customHeight="1" x14ac:dyDescent="0.2">
      <c r="A961" t="s">
        <v>1267</v>
      </c>
      <c r="B961" t="s">
        <v>215</v>
      </c>
      <c r="C961" t="s">
        <v>54</v>
      </c>
      <c r="D961" s="49">
        <v>45935</v>
      </c>
      <c r="E961" s="49">
        <v>45936</v>
      </c>
      <c r="F961" s="49">
        <v>45939</v>
      </c>
      <c r="G961" s="49">
        <v>45942</v>
      </c>
      <c r="H961" s="49">
        <v>45945</v>
      </c>
      <c r="I961" s="49">
        <v>45947</v>
      </c>
      <c r="J961" t="s">
        <v>47</v>
      </c>
      <c r="K961" s="33">
        <v>2900</v>
      </c>
      <c r="M961" t="str">
        <f>_xlfn.XLOOKUP(Pipeline_tbl[[#This Row],[Rep_ID]],Dim_Reps!A:A,Dim_Reps!K:K)</f>
        <v>EUR</v>
      </c>
      <c r="N961" s="33">
        <f>(_xlfn.XLOOKUP(Pipeline_tbl[[#This Row],[Rate_Code_Generalized]],Lookups!A:A,Lookups!B:B))*Pipeline_tbl[[#This Row],[Pipeline_Amount_USD]]</f>
        <v>2900</v>
      </c>
      <c r="O961" t="str">
        <f>_xlfn.XLOOKUP(Pipeline_tbl[[#This Row],[Rep_ID]],Dim_Reps!A:A,Dim_Reps!B:B)</f>
        <v>Jamie Schmidt</v>
      </c>
      <c r="P961" t="str">
        <f>_xlfn.XLOOKUP(Pipeline_tbl[[#This Row],[Rep_ID]],Dim_Reps!A:A,Dim_Reps!C:C)</f>
        <v>SDR / Inside Sales Rep</v>
      </c>
      <c r="Q961" t="str">
        <f>_xlfn.XLOOKUP(Pipeline_tbl[[#This Row],[Rep_ID]],Dim_Reps!A:A,Dim_Reps!D:D)</f>
        <v>Inside Sales</v>
      </c>
      <c r="R961" t="str">
        <f>_xlfn.XLOOKUP(Pipeline_tbl[[#This Row],[Rep_ID]],Dim_Reps!A:A,Dim_Reps!E:E)</f>
        <v>APAC</v>
      </c>
      <c r="S961" t="str">
        <f>_xlfn.XLOOKUP(Pipeline_tbl[[#This Row],[Created_Date]],Dim_Date!A:A,Dim_Date!H:H)</f>
        <v>Oct 2025</v>
      </c>
      <c r="T961" t="str">
        <f>IF(Pipeline_tbl[[#This Row],[Closed_Date]]=0,"",(_xlfn.XLOOKUP(Pipeline_tbl[[#This Row],[Closed_Date]],Dim_Date!A:A,Dim_Date!H:H)))</f>
        <v>Oct 2025</v>
      </c>
      <c r="U961">
        <f>IF(Pipeline_tbl[[#This Row],[Closed_Date]]=0,"",Pipeline_tbl[[#This Row],[Closed_Date]]-Pipeline_tbl[[#This Row],[Created_Date]])</f>
        <v>12</v>
      </c>
    </row>
    <row r="962" spans="1:21" ht="15" customHeight="1" x14ac:dyDescent="0.2">
      <c r="A962" t="s">
        <v>1268</v>
      </c>
      <c r="B962" t="s">
        <v>215</v>
      </c>
      <c r="C962" t="s">
        <v>54</v>
      </c>
      <c r="D962" s="49">
        <v>45934</v>
      </c>
      <c r="E962" s="49">
        <v>45935</v>
      </c>
      <c r="I962" s="49">
        <v>45947</v>
      </c>
      <c r="J962" t="s">
        <v>49</v>
      </c>
      <c r="K962" s="33">
        <v>3400</v>
      </c>
      <c r="L962" t="s">
        <v>61</v>
      </c>
      <c r="M962" t="str">
        <f>_xlfn.XLOOKUP(Pipeline_tbl[[#This Row],[Rep_ID]],Dim_Reps!A:A,Dim_Reps!K:K)</f>
        <v>EUR</v>
      </c>
      <c r="N962" s="33">
        <f>(_xlfn.XLOOKUP(Pipeline_tbl[[#This Row],[Rate_Code_Generalized]],Lookups!A:A,Lookups!B:B))*Pipeline_tbl[[#This Row],[Pipeline_Amount_USD]]</f>
        <v>3400</v>
      </c>
      <c r="O962" t="str">
        <f>_xlfn.XLOOKUP(Pipeline_tbl[[#This Row],[Rep_ID]],Dim_Reps!A:A,Dim_Reps!B:B)</f>
        <v>Jamie Schmidt</v>
      </c>
      <c r="P962" t="str">
        <f>_xlfn.XLOOKUP(Pipeline_tbl[[#This Row],[Rep_ID]],Dim_Reps!A:A,Dim_Reps!C:C)</f>
        <v>SDR / Inside Sales Rep</v>
      </c>
      <c r="Q962" t="str">
        <f>_xlfn.XLOOKUP(Pipeline_tbl[[#This Row],[Rep_ID]],Dim_Reps!A:A,Dim_Reps!D:D)</f>
        <v>Inside Sales</v>
      </c>
      <c r="R962" t="str">
        <f>_xlfn.XLOOKUP(Pipeline_tbl[[#This Row],[Rep_ID]],Dim_Reps!A:A,Dim_Reps!E:E)</f>
        <v>APAC</v>
      </c>
      <c r="S962" t="str">
        <f>_xlfn.XLOOKUP(Pipeline_tbl[[#This Row],[Created_Date]],Dim_Date!A:A,Dim_Date!H:H)</f>
        <v>Oct 2025</v>
      </c>
      <c r="T962" t="str">
        <f>IF(Pipeline_tbl[[#This Row],[Closed_Date]]=0,"",(_xlfn.XLOOKUP(Pipeline_tbl[[#This Row],[Closed_Date]],Dim_Date!A:A,Dim_Date!H:H)))</f>
        <v>Oct 2025</v>
      </c>
      <c r="U962">
        <f>IF(Pipeline_tbl[[#This Row],[Closed_Date]]=0,"",Pipeline_tbl[[#This Row],[Closed_Date]]-Pipeline_tbl[[#This Row],[Created_Date]])</f>
        <v>13</v>
      </c>
    </row>
    <row r="963" spans="1:21" ht="15" customHeight="1" x14ac:dyDescent="0.2">
      <c r="A963" t="s">
        <v>1269</v>
      </c>
      <c r="B963" t="s">
        <v>215</v>
      </c>
      <c r="C963" t="s">
        <v>56</v>
      </c>
      <c r="D963" s="49">
        <v>45932</v>
      </c>
      <c r="E963" s="49">
        <v>45934</v>
      </c>
      <c r="F963" s="49">
        <v>45937</v>
      </c>
      <c r="I963" s="49">
        <v>45950</v>
      </c>
      <c r="J963" t="s">
        <v>49</v>
      </c>
      <c r="K963" s="33">
        <v>3200</v>
      </c>
      <c r="L963" t="s">
        <v>61</v>
      </c>
      <c r="M963" t="str">
        <f>_xlfn.XLOOKUP(Pipeline_tbl[[#This Row],[Rep_ID]],Dim_Reps!A:A,Dim_Reps!K:K)</f>
        <v>EUR</v>
      </c>
      <c r="N963" s="33">
        <f>(_xlfn.XLOOKUP(Pipeline_tbl[[#This Row],[Rate_Code_Generalized]],Lookups!A:A,Lookups!B:B))*Pipeline_tbl[[#This Row],[Pipeline_Amount_USD]]</f>
        <v>3200</v>
      </c>
      <c r="O963" t="str">
        <f>_xlfn.XLOOKUP(Pipeline_tbl[[#This Row],[Rep_ID]],Dim_Reps!A:A,Dim_Reps!B:B)</f>
        <v>Jamie Schmidt</v>
      </c>
      <c r="P963" t="str">
        <f>_xlfn.XLOOKUP(Pipeline_tbl[[#This Row],[Rep_ID]],Dim_Reps!A:A,Dim_Reps!C:C)</f>
        <v>SDR / Inside Sales Rep</v>
      </c>
      <c r="Q963" t="str">
        <f>_xlfn.XLOOKUP(Pipeline_tbl[[#This Row],[Rep_ID]],Dim_Reps!A:A,Dim_Reps!D:D)</f>
        <v>Inside Sales</v>
      </c>
      <c r="R963" t="str">
        <f>_xlfn.XLOOKUP(Pipeline_tbl[[#This Row],[Rep_ID]],Dim_Reps!A:A,Dim_Reps!E:E)</f>
        <v>APAC</v>
      </c>
      <c r="S963" t="str">
        <f>_xlfn.XLOOKUP(Pipeline_tbl[[#This Row],[Created_Date]],Dim_Date!A:A,Dim_Date!H:H)</f>
        <v>Oct 2025</v>
      </c>
      <c r="T963" t="str">
        <f>IF(Pipeline_tbl[[#This Row],[Closed_Date]]=0,"",(_xlfn.XLOOKUP(Pipeline_tbl[[#This Row],[Closed_Date]],Dim_Date!A:A,Dim_Date!H:H)))</f>
        <v>Oct 2025</v>
      </c>
      <c r="U963">
        <f>IF(Pipeline_tbl[[#This Row],[Closed_Date]]=0,"",Pipeline_tbl[[#This Row],[Closed_Date]]-Pipeline_tbl[[#This Row],[Created_Date]])</f>
        <v>18</v>
      </c>
    </row>
    <row r="964" spans="1:21" ht="15" customHeight="1" x14ac:dyDescent="0.2">
      <c r="A964" t="s">
        <v>1270</v>
      </c>
      <c r="B964" t="s">
        <v>215</v>
      </c>
      <c r="C964" t="s">
        <v>55</v>
      </c>
      <c r="D964" s="49">
        <v>45943</v>
      </c>
      <c r="E964" s="49">
        <v>45944</v>
      </c>
      <c r="F964" s="49">
        <v>45947</v>
      </c>
      <c r="G964" s="49">
        <v>45950</v>
      </c>
      <c r="I964" s="49">
        <v>45955</v>
      </c>
      <c r="J964" t="s">
        <v>49</v>
      </c>
      <c r="K964" s="33">
        <v>7900</v>
      </c>
      <c r="L964" t="s">
        <v>62</v>
      </c>
      <c r="M964" t="str">
        <f>_xlfn.XLOOKUP(Pipeline_tbl[[#This Row],[Rep_ID]],Dim_Reps!A:A,Dim_Reps!K:K)</f>
        <v>EUR</v>
      </c>
      <c r="N964" s="33">
        <f>(_xlfn.XLOOKUP(Pipeline_tbl[[#This Row],[Rate_Code_Generalized]],Lookups!A:A,Lookups!B:B))*Pipeline_tbl[[#This Row],[Pipeline_Amount_USD]]</f>
        <v>7900</v>
      </c>
      <c r="O964" t="str">
        <f>_xlfn.XLOOKUP(Pipeline_tbl[[#This Row],[Rep_ID]],Dim_Reps!A:A,Dim_Reps!B:B)</f>
        <v>Jamie Schmidt</v>
      </c>
      <c r="P964" t="str">
        <f>_xlfn.XLOOKUP(Pipeline_tbl[[#This Row],[Rep_ID]],Dim_Reps!A:A,Dim_Reps!C:C)</f>
        <v>SDR / Inside Sales Rep</v>
      </c>
      <c r="Q964" t="str">
        <f>_xlfn.XLOOKUP(Pipeline_tbl[[#This Row],[Rep_ID]],Dim_Reps!A:A,Dim_Reps!D:D)</f>
        <v>Inside Sales</v>
      </c>
      <c r="R964" t="str">
        <f>_xlfn.XLOOKUP(Pipeline_tbl[[#This Row],[Rep_ID]],Dim_Reps!A:A,Dim_Reps!E:E)</f>
        <v>APAC</v>
      </c>
      <c r="S964" t="str">
        <f>_xlfn.XLOOKUP(Pipeline_tbl[[#This Row],[Created_Date]],Dim_Date!A:A,Dim_Date!H:H)</f>
        <v>Oct 2025</v>
      </c>
      <c r="T964" t="str">
        <f>IF(Pipeline_tbl[[#This Row],[Closed_Date]]=0,"",(_xlfn.XLOOKUP(Pipeline_tbl[[#This Row],[Closed_Date]],Dim_Date!A:A,Dim_Date!H:H)))</f>
        <v>Oct 2025</v>
      </c>
      <c r="U964">
        <f>IF(Pipeline_tbl[[#This Row],[Closed_Date]]=0,"",Pipeline_tbl[[#This Row],[Closed_Date]]-Pipeline_tbl[[#This Row],[Created_Date]])</f>
        <v>12</v>
      </c>
    </row>
    <row r="965" spans="1:21" ht="15" customHeight="1" x14ac:dyDescent="0.2">
      <c r="A965" t="s">
        <v>1271</v>
      </c>
      <c r="B965" t="s">
        <v>215</v>
      </c>
      <c r="C965" t="s">
        <v>52</v>
      </c>
      <c r="D965" s="49">
        <v>45938</v>
      </c>
      <c r="E965" s="49">
        <v>45940</v>
      </c>
      <c r="F965" s="49">
        <v>45944</v>
      </c>
      <c r="G965" s="49">
        <v>45949</v>
      </c>
      <c r="H965" s="49">
        <v>45954</v>
      </c>
      <c r="I965" s="49">
        <v>45957</v>
      </c>
      <c r="J965" t="s">
        <v>47</v>
      </c>
      <c r="K965" s="33">
        <v>2100</v>
      </c>
      <c r="M965" t="str">
        <f>_xlfn.XLOOKUP(Pipeline_tbl[[#This Row],[Rep_ID]],Dim_Reps!A:A,Dim_Reps!K:K)</f>
        <v>EUR</v>
      </c>
      <c r="N965" s="33">
        <f>(_xlfn.XLOOKUP(Pipeline_tbl[[#This Row],[Rate_Code_Generalized]],Lookups!A:A,Lookups!B:B))*Pipeline_tbl[[#This Row],[Pipeline_Amount_USD]]</f>
        <v>2100</v>
      </c>
      <c r="O965" t="str">
        <f>_xlfn.XLOOKUP(Pipeline_tbl[[#This Row],[Rep_ID]],Dim_Reps!A:A,Dim_Reps!B:B)</f>
        <v>Jamie Schmidt</v>
      </c>
      <c r="P965" t="str">
        <f>_xlfn.XLOOKUP(Pipeline_tbl[[#This Row],[Rep_ID]],Dim_Reps!A:A,Dim_Reps!C:C)</f>
        <v>SDR / Inside Sales Rep</v>
      </c>
      <c r="Q965" t="str">
        <f>_xlfn.XLOOKUP(Pipeline_tbl[[#This Row],[Rep_ID]],Dim_Reps!A:A,Dim_Reps!D:D)</f>
        <v>Inside Sales</v>
      </c>
      <c r="R965" t="str">
        <f>_xlfn.XLOOKUP(Pipeline_tbl[[#This Row],[Rep_ID]],Dim_Reps!A:A,Dim_Reps!E:E)</f>
        <v>APAC</v>
      </c>
      <c r="S965" t="str">
        <f>_xlfn.XLOOKUP(Pipeline_tbl[[#This Row],[Created_Date]],Dim_Date!A:A,Dim_Date!H:H)</f>
        <v>Oct 2025</v>
      </c>
      <c r="T965" t="str">
        <f>IF(Pipeline_tbl[[#This Row],[Closed_Date]]=0,"",(_xlfn.XLOOKUP(Pipeline_tbl[[#This Row],[Closed_Date]],Dim_Date!A:A,Dim_Date!H:H)))</f>
        <v>Oct 2025</v>
      </c>
      <c r="U965">
        <f>IF(Pipeline_tbl[[#This Row],[Closed_Date]]=0,"",Pipeline_tbl[[#This Row],[Closed_Date]]-Pipeline_tbl[[#This Row],[Created_Date]])</f>
        <v>19</v>
      </c>
    </row>
    <row r="966" spans="1:21" ht="15" customHeight="1" x14ac:dyDescent="0.2">
      <c r="A966" t="s">
        <v>1272</v>
      </c>
      <c r="B966" t="s">
        <v>217</v>
      </c>
      <c r="C966" t="s">
        <v>53</v>
      </c>
      <c r="D966" s="49">
        <v>45946</v>
      </c>
      <c r="E966" s="49">
        <v>45947</v>
      </c>
      <c r="F966" s="49">
        <v>45950</v>
      </c>
      <c r="G966" s="49">
        <v>45954</v>
      </c>
      <c r="I966" s="49">
        <v>45959</v>
      </c>
      <c r="J966" t="s">
        <v>49</v>
      </c>
      <c r="K966" s="33">
        <v>5000</v>
      </c>
      <c r="L966" t="s">
        <v>60</v>
      </c>
      <c r="M966" t="str">
        <f>_xlfn.XLOOKUP(Pipeline_tbl[[#This Row],[Rep_ID]],Dim_Reps!A:A,Dim_Reps!K:K)</f>
        <v>USD</v>
      </c>
      <c r="N966" s="33">
        <f>(_xlfn.XLOOKUP(Pipeline_tbl[[#This Row],[Rate_Code_Generalized]],Lookups!A:A,Lookups!B:B))*Pipeline_tbl[[#This Row],[Pipeline_Amount_USD]]</f>
        <v>5821.4999999999991</v>
      </c>
      <c r="O966" t="str">
        <f>_xlfn.XLOOKUP(Pipeline_tbl[[#This Row],[Rep_ID]],Dim_Reps!A:A,Dim_Reps!B:B)</f>
        <v>Priya Weber</v>
      </c>
      <c r="P966" t="str">
        <f>_xlfn.XLOOKUP(Pipeline_tbl[[#This Row],[Rep_ID]],Dim_Reps!A:A,Dim_Reps!C:C)</f>
        <v>SDR / Inside Sales Rep</v>
      </c>
      <c r="Q966" t="str">
        <f>_xlfn.XLOOKUP(Pipeline_tbl[[#This Row],[Rep_ID]],Dim_Reps!A:A,Dim_Reps!D:D)</f>
        <v>Inside Sales</v>
      </c>
      <c r="R966" t="str">
        <f>_xlfn.XLOOKUP(Pipeline_tbl[[#This Row],[Rep_ID]],Dim_Reps!A:A,Dim_Reps!E:E)</f>
        <v>NAMER</v>
      </c>
      <c r="S966" t="str">
        <f>_xlfn.XLOOKUP(Pipeline_tbl[[#This Row],[Created_Date]],Dim_Date!A:A,Dim_Date!H:H)</f>
        <v>Oct 2025</v>
      </c>
      <c r="T966" t="str">
        <f>IF(Pipeline_tbl[[#This Row],[Closed_Date]]=0,"",(_xlfn.XLOOKUP(Pipeline_tbl[[#This Row],[Closed_Date]],Dim_Date!A:A,Dim_Date!H:H)))</f>
        <v>Oct 2025</v>
      </c>
      <c r="U966">
        <f>IF(Pipeline_tbl[[#This Row],[Closed_Date]]=0,"",Pipeline_tbl[[#This Row],[Closed_Date]]-Pipeline_tbl[[#This Row],[Created_Date]])</f>
        <v>13</v>
      </c>
    </row>
    <row r="967" spans="1:21" ht="15" customHeight="1" x14ac:dyDescent="0.2">
      <c r="A967" t="s">
        <v>1273</v>
      </c>
      <c r="B967" t="s">
        <v>217</v>
      </c>
      <c r="C967" t="s">
        <v>56</v>
      </c>
      <c r="D967" s="49">
        <v>45946</v>
      </c>
      <c r="E967" s="49">
        <v>45948</v>
      </c>
      <c r="F967" s="49">
        <v>45951</v>
      </c>
      <c r="G967" s="49">
        <v>45955</v>
      </c>
      <c r="H967" s="49">
        <v>45959</v>
      </c>
      <c r="I967" s="49">
        <v>45961</v>
      </c>
      <c r="J967" t="s">
        <v>49</v>
      </c>
      <c r="K967" s="33">
        <v>5900</v>
      </c>
      <c r="L967" t="s">
        <v>61</v>
      </c>
      <c r="M967" t="str">
        <f>_xlfn.XLOOKUP(Pipeline_tbl[[#This Row],[Rep_ID]],Dim_Reps!A:A,Dim_Reps!K:K)</f>
        <v>USD</v>
      </c>
      <c r="N967" s="33">
        <f>(_xlfn.XLOOKUP(Pipeline_tbl[[#This Row],[Rate_Code_Generalized]],Lookups!A:A,Lookups!B:B))*Pipeline_tbl[[#This Row],[Pipeline_Amount_USD]]</f>
        <v>6869.369999999999</v>
      </c>
      <c r="O967" t="str">
        <f>_xlfn.XLOOKUP(Pipeline_tbl[[#This Row],[Rep_ID]],Dim_Reps!A:A,Dim_Reps!B:B)</f>
        <v>Priya Weber</v>
      </c>
      <c r="P967" t="str">
        <f>_xlfn.XLOOKUP(Pipeline_tbl[[#This Row],[Rep_ID]],Dim_Reps!A:A,Dim_Reps!C:C)</f>
        <v>SDR / Inside Sales Rep</v>
      </c>
      <c r="Q967" t="str">
        <f>_xlfn.XLOOKUP(Pipeline_tbl[[#This Row],[Rep_ID]],Dim_Reps!A:A,Dim_Reps!D:D)</f>
        <v>Inside Sales</v>
      </c>
      <c r="R967" t="str">
        <f>_xlfn.XLOOKUP(Pipeline_tbl[[#This Row],[Rep_ID]],Dim_Reps!A:A,Dim_Reps!E:E)</f>
        <v>NAMER</v>
      </c>
      <c r="S967" t="str">
        <f>_xlfn.XLOOKUP(Pipeline_tbl[[#This Row],[Created_Date]],Dim_Date!A:A,Dim_Date!H:H)</f>
        <v>Oct 2025</v>
      </c>
      <c r="T967" t="str">
        <f>IF(Pipeline_tbl[[#This Row],[Closed_Date]]=0,"",(_xlfn.XLOOKUP(Pipeline_tbl[[#This Row],[Closed_Date]],Dim_Date!A:A,Dim_Date!H:H)))</f>
        <v>Oct 2025</v>
      </c>
      <c r="U967">
        <f>IF(Pipeline_tbl[[#This Row],[Closed_Date]]=0,"",Pipeline_tbl[[#This Row],[Closed_Date]]-Pipeline_tbl[[#This Row],[Created_Date]])</f>
        <v>15</v>
      </c>
    </row>
    <row r="968" spans="1:21" ht="15" customHeight="1" x14ac:dyDescent="0.2">
      <c r="A968" t="s">
        <v>1274</v>
      </c>
      <c r="B968" t="s">
        <v>217</v>
      </c>
      <c r="C968" t="s">
        <v>53</v>
      </c>
      <c r="D968" s="49">
        <v>45942</v>
      </c>
      <c r="E968" s="49">
        <v>45944</v>
      </c>
      <c r="F968" s="49">
        <v>45947</v>
      </c>
      <c r="G968" s="49">
        <v>45951</v>
      </c>
      <c r="H968" s="49">
        <v>45955</v>
      </c>
      <c r="I968" s="49">
        <v>45957</v>
      </c>
      <c r="J968" t="s">
        <v>47</v>
      </c>
      <c r="K968" s="33">
        <v>8700</v>
      </c>
      <c r="M968" t="str">
        <f>_xlfn.XLOOKUP(Pipeline_tbl[[#This Row],[Rep_ID]],Dim_Reps!A:A,Dim_Reps!K:K)</f>
        <v>USD</v>
      </c>
      <c r="N968" s="33">
        <f>(_xlfn.XLOOKUP(Pipeline_tbl[[#This Row],[Rate_Code_Generalized]],Lookups!A:A,Lookups!B:B))*Pipeline_tbl[[#This Row],[Pipeline_Amount_USD]]</f>
        <v>10129.41</v>
      </c>
      <c r="O968" t="str">
        <f>_xlfn.XLOOKUP(Pipeline_tbl[[#This Row],[Rep_ID]],Dim_Reps!A:A,Dim_Reps!B:B)</f>
        <v>Priya Weber</v>
      </c>
      <c r="P968" t="str">
        <f>_xlfn.XLOOKUP(Pipeline_tbl[[#This Row],[Rep_ID]],Dim_Reps!A:A,Dim_Reps!C:C)</f>
        <v>SDR / Inside Sales Rep</v>
      </c>
      <c r="Q968" t="str">
        <f>_xlfn.XLOOKUP(Pipeline_tbl[[#This Row],[Rep_ID]],Dim_Reps!A:A,Dim_Reps!D:D)</f>
        <v>Inside Sales</v>
      </c>
      <c r="R968" t="str">
        <f>_xlfn.XLOOKUP(Pipeline_tbl[[#This Row],[Rep_ID]],Dim_Reps!A:A,Dim_Reps!E:E)</f>
        <v>NAMER</v>
      </c>
      <c r="S968" t="str">
        <f>_xlfn.XLOOKUP(Pipeline_tbl[[#This Row],[Created_Date]],Dim_Date!A:A,Dim_Date!H:H)</f>
        <v>Oct 2025</v>
      </c>
      <c r="T968" t="str">
        <f>IF(Pipeline_tbl[[#This Row],[Closed_Date]]=0,"",(_xlfn.XLOOKUP(Pipeline_tbl[[#This Row],[Closed_Date]],Dim_Date!A:A,Dim_Date!H:H)))</f>
        <v>Oct 2025</v>
      </c>
      <c r="U968">
        <f>IF(Pipeline_tbl[[#This Row],[Closed_Date]]=0,"",Pipeline_tbl[[#This Row],[Closed_Date]]-Pipeline_tbl[[#This Row],[Created_Date]])</f>
        <v>15</v>
      </c>
    </row>
    <row r="969" spans="1:21" ht="15" customHeight="1" x14ac:dyDescent="0.2">
      <c r="A969" t="s">
        <v>1275</v>
      </c>
      <c r="B969" t="s">
        <v>217</v>
      </c>
      <c r="C969" t="s">
        <v>55</v>
      </c>
      <c r="D969" s="49">
        <v>45939</v>
      </c>
      <c r="E969" s="49">
        <v>45941</v>
      </c>
      <c r="F969" s="49">
        <v>45944</v>
      </c>
      <c r="G969" s="49">
        <v>45950</v>
      </c>
      <c r="H969" s="49">
        <v>45954</v>
      </c>
      <c r="I969" s="49">
        <v>45957</v>
      </c>
      <c r="J969" t="s">
        <v>47</v>
      </c>
      <c r="K969" s="33">
        <v>3900</v>
      </c>
      <c r="M969" t="str">
        <f>_xlfn.XLOOKUP(Pipeline_tbl[[#This Row],[Rep_ID]],Dim_Reps!A:A,Dim_Reps!K:K)</f>
        <v>USD</v>
      </c>
      <c r="N969" s="33">
        <f>(_xlfn.XLOOKUP(Pipeline_tbl[[#This Row],[Rate_Code_Generalized]],Lookups!A:A,Lookups!B:B))*Pipeline_tbl[[#This Row],[Pipeline_Amount_USD]]</f>
        <v>4540.7699999999995</v>
      </c>
      <c r="O969" t="str">
        <f>_xlfn.XLOOKUP(Pipeline_tbl[[#This Row],[Rep_ID]],Dim_Reps!A:A,Dim_Reps!B:B)</f>
        <v>Priya Weber</v>
      </c>
      <c r="P969" t="str">
        <f>_xlfn.XLOOKUP(Pipeline_tbl[[#This Row],[Rep_ID]],Dim_Reps!A:A,Dim_Reps!C:C)</f>
        <v>SDR / Inside Sales Rep</v>
      </c>
      <c r="Q969" t="str">
        <f>_xlfn.XLOOKUP(Pipeline_tbl[[#This Row],[Rep_ID]],Dim_Reps!A:A,Dim_Reps!D:D)</f>
        <v>Inside Sales</v>
      </c>
      <c r="R969" t="str">
        <f>_xlfn.XLOOKUP(Pipeline_tbl[[#This Row],[Rep_ID]],Dim_Reps!A:A,Dim_Reps!E:E)</f>
        <v>NAMER</v>
      </c>
      <c r="S969" t="str">
        <f>_xlfn.XLOOKUP(Pipeline_tbl[[#This Row],[Created_Date]],Dim_Date!A:A,Dim_Date!H:H)</f>
        <v>Oct 2025</v>
      </c>
      <c r="T969" t="str">
        <f>IF(Pipeline_tbl[[#This Row],[Closed_Date]]=0,"",(_xlfn.XLOOKUP(Pipeline_tbl[[#This Row],[Closed_Date]],Dim_Date!A:A,Dim_Date!H:H)))</f>
        <v>Oct 2025</v>
      </c>
      <c r="U969">
        <f>IF(Pipeline_tbl[[#This Row],[Closed_Date]]=0,"",Pipeline_tbl[[#This Row],[Closed_Date]]-Pipeline_tbl[[#This Row],[Created_Date]])</f>
        <v>18</v>
      </c>
    </row>
    <row r="970" spans="1:21" ht="15" customHeight="1" x14ac:dyDescent="0.2">
      <c r="A970" t="s">
        <v>1276</v>
      </c>
      <c r="B970" t="s">
        <v>217</v>
      </c>
      <c r="C970" t="s">
        <v>53</v>
      </c>
      <c r="D970" s="49">
        <v>45934</v>
      </c>
      <c r="E970" s="49">
        <v>45937</v>
      </c>
      <c r="F970" s="49">
        <v>45942</v>
      </c>
      <c r="I970" s="49">
        <v>45960</v>
      </c>
      <c r="J970" t="s">
        <v>49</v>
      </c>
      <c r="K970" s="33">
        <v>6000</v>
      </c>
      <c r="L970" t="s">
        <v>60</v>
      </c>
      <c r="M970" t="str">
        <f>_xlfn.XLOOKUP(Pipeline_tbl[[#This Row],[Rep_ID]],Dim_Reps!A:A,Dim_Reps!K:K)</f>
        <v>USD</v>
      </c>
      <c r="N970" s="33">
        <f>(_xlfn.XLOOKUP(Pipeline_tbl[[#This Row],[Rate_Code_Generalized]],Lookups!A:A,Lookups!B:B))*Pipeline_tbl[[#This Row],[Pipeline_Amount_USD]]</f>
        <v>6985.7999999999993</v>
      </c>
      <c r="O970" t="str">
        <f>_xlfn.XLOOKUP(Pipeline_tbl[[#This Row],[Rep_ID]],Dim_Reps!A:A,Dim_Reps!B:B)</f>
        <v>Priya Weber</v>
      </c>
      <c r="P970" t="str">
        <f>_xlfn.XLOOKUP(Pipeline_tbl[[#This Row],[Rep_ID]],Dim_Reps!A:A,Dim_Reps!C:C)</f>
        <v>SDR / Inside Sales Rep</v>
      </c>
      <c r="Q970" t="str">
        <f>_xlfn.XLOOKUP(Pipeline_tbl[[#This Row],[Rep_ID]],Dim_Reps!A:A,Dim_Reps!D:D)</f>
        <v>Inside Sales</v>
      </c>
      <c r="R970" t="str">
        <f>_xlfn.XLOOKUP(Pipeline_tbl[[#This Row],[Rep_ID]],Dim_Reps!A:A,Dim_Reps!E:E)</f>
        <v>NAMER</v>
      </c>
      <c r="S970" t="str">
        <f>_xlfn.XLOOKUP(Pipeline_tbl[[#This Row],[Created_Date]],Dim_Date!A:A,Dim_Date!H:H)</f>
        <v>Oct 2025</v>
      </c>
      <c r="T970" t="str">
        <f>IF(Pipeline_tbl[[#This Row],[Closed_Date]]=0,"",(_xlfn.XLOOKUP(Pipeline_tbl[[#This Row],[Closed_Date]],Dim_Date!A:A,Dim_Date!H:H)))</f>
        <v>Oct 2025</v>
      </c>
      <c r="U970">
        <f>IF(Pipeline_tbl[[#This Row],[Closed_Date]]=0,"",Pipeline_tbl[[#This Row],[Closed_Date]]-Pipeline_tbl[[#This Row],[Created_Date]])</f>
        <v>26</v>
      </c>
    </row>
    <row r="971" spans="1:21" ht="15" customHeight="1" x14ac:dyDescent="0.2">
      <c r="A971" t="s">
        <v>1277</v>
      </c>
      <c r="B971" t="s">
        <v>219</v>
      </c>
      <c r="C971" t="s">
        <v>53</v>
      </c>
      <c r="D971" s="49">
        <v>45932</v>
      </c>
      <c r="E971" s="49">
        <v>45934</v>
      </c>
      <c r="F971" s="49">
        <v>45937</v>
      </c>
      <c r="G971" s="49">
        <v>45942</v>
      </c>
      <c r="I971" s="49">
        <v>45949</v>
      </c>
      <c r="J971" t="s">
        <v>49</v>
      </c>
      <c r="K971" s="33">
        <v>8200</v>
      </c>
      <c r="L971" t="s">
        <v>62</v>
      </c>
      <c r="M971" t="str">
        <f>_xlfn.XLOOKUP(Pipeline_tbl[[#This Row],[Rep_ID]],Dim_Reps!A:A,Dim_Reps!K:K)</f>
        <v>EUR</v>
      </c>
      <c r="N971" s="33">
        <f>(_xlfn.XLOOKUP(Pipeline_tbl[[#This Row],[Rate_Code_Generalized]],Lookups!A:A,Lookups!B:B))*Pipeline_tbl[[#This Row],[Pipeline_Amount_USD]]</f>
        <v>8200</v>
      </c>
      <c r="O971" t="str">
        <f>_xlfn.XLOOKUP(Pipeline_tbl[[#This Row],[Rep_ID]],Dim_Reps!A:A,Dim_Reps!B:B)</f>
        <v>Riley Duarte</v>
      </c>
      <c r="P971" t="str">
        <f>_xlfn.XLOOKUP(Pipeline_tbl[[#This Row],[Rep_ID]],Dim_Reps!A:A,Dim_Reps!C:C)</f>
        <v>SDR / Inside Sales Rep</v>
      </c>
      <c r="Q971" t="str">
        <f>_xlfn.XLOOKUP(Pipeline_tbl[[#This Row],[Rep_ID]],Dim_Reps!A:A,Dim_Reps!D:D)</f>
        <v>Inside Sales</v>
      </c>
      <c r="R971" t="str">
        <f>_xlfn.XLOOKUP(Pipeline_tbl[[#This Row],[Rep_ID]],Dim_Reps!A:A,Dim_Reps!E:E)</f>
        <v>APAC</v>
      </c>
      <c r="S971" t="str">
        <f>_xlfn.XLOOKUP(Pipeline_tbl[[#This Row],[Created_Date]],Dim_Date!A:A,Dim_Date!H:H)</f>
        <v>Oct 2025</v>
      </c>
      <c r="T971" t="str">
        <f>IF(Pipeline_tbl[[#This Row],[Closed_Date]]=0,"",(_xlfn.XLOOKUP(Pipeline_tbl[[#This Row],[Closed_Date]],Dim_Date!A:A,Dim_Date!H:H)))</f>
        <v>Oct 2025</v>
      </c>
      <c r="U971">
        <f>IF(Pipeline_tbl[[#This Row],[Closed_Date]]=0,"",Pipeline_tbl[[#This Row],[Closed_Date]]-Pipeline_tbl[[#This Row],[Created_Date]])</f>
        <v>17</v>
      </c>
    </row>
    <row r="972" spans="1:21" ht="15" customHeight="1" x14ac:dyDescent="0.2">
      <c r="A972" t="s">
        <v>1278</v>
      </c>
      <c r="B972" t="s">
        <v>259</v>
      </c>
      <c r="C972" t="s">
        <v>54</v>
      </c>
      <c r="D972" s="49">
        <v>45931</v>
      </c>
      <c r="E972" s="49">
        <v>45934</v>
      </c>
      <c r="F972" s="49">
        <v>45940</v>
      </c>
      <c r="G972" s="49">
        <v>45948</v>
      </c>
      <c r="H972" s="49">
        <v>45956</v>
      </c>
      <c r="I972" s="49">
        <v>45960</v>
      </c>
      <c r="J972" t="s">
        <v>47</v>
      </c>
      <c r="K972" s="33">
        <v>17300</v>
      </c>
      <c r="M972" t="str">
        <f>_xlfn.XLOOKUP(Pipeline_tbl[[#This Row],[Rep_ID]],Dim_Reps!A:A,Dim_Reps!K:K)</f>
        <v>EUR</v>
      </c>
      <c r="N972" s="33">
        <f>(_xlfn.XLOOKUP(Pipeline_tbl[[#This Row],[Rate_Code_Generalized]],Lookups!A:A,Lookups!B:B))*Pipeline_tbl[[#This Row],[Pipeline_Amount_USD]]</f>
        <v>17300</v>
      </c>
      <c r="O972" t="str">
        <f>_xlfn.XLOOKUP(Pipeline_tbl[[#This Row],[Rep_ID]],Dim_Reps!A:A,Dim_Reps!B:B)</f>
        <v>Felix Okafor</v>
      </c>
      <c r="P972" t="str">
        <f>_xlfn.XLOOKUP(Pipeline_tbl[[#This Row],[Rep_ID]],Dim_Reps!A:A,Dim_Reps!C:C)</f>
        <v>Mid-Market AE</v>
      </c>
      <c r="Q972" t="str">
        <f>_xlfn.XLOOKUP(Pipeline_tbl[[#This Row],[Rep_ID]],Dim_Reps!A:A,Dim_Reps!D:D)</f>
        <v>Mid-Market</v>
      </c>
      <c r="R972" t="str">
        <f>_xlfn.XLOOKUP(Pipeline_tbl[[#This Row],[Rep_ID]],Dim_Reps!A:A,Dim_Reps!E:E)</f>
        <v>EMEA</v>
      </c>
      <c r="S972" t="str">
        <f>_xlfn.XLOOKUP(Pipeline_tbl[[#This Row],[Created_Date]],Dim_Date!A:A,Dim_Date!H:H)</f>
        <v>Oct 2025</v>
      </c>
      <c r="T972" t="str">
        <f>IF(Pipeline_tbl[[#This Row],[Closed_Date]]=0,"",(_xlfn.XLOOKUP(Pipeline_tbl[[#This Row],[Closed_Date]],Dim_Date!A:A,Dim_Date!H:H)))</f>
        <v>Oct 2025</v>
      </c>
      <c r="U972">
        <f>IF(Pipeline_tbl[[#This Row],[Closed_Date]]=0,"",Pipeline_tbl[[#This Row],[Closed_Date]]-Pipeline_tbl[[#This Row],[Created_Date]])</f>
        <v>29</v>
      </c>
    </row>
    <row r="973" spans="1:21" ht="15" customHeight="1" x14ac:dyDescent="0.2">
      <c r="A973" t="s">
        <v>1279</v>
      </c>
      <c r="B973" t="s">
        <v>261</v>
      </c>
      <c r="C973" t="s">
        <v>55</v>
      </c>
      <c r="D973" s="49">
        <v>45933</v>
      </c>
      <c r="E973" s="49">
        <v>45935</v>
      </c>
      <c r="F973" s="49">
        <v>45938</v>
      </c>
      <c r="G973" s="49">
        <v>45944</v>
      </c>
      <c r="I973" s="49">
        <v>45951</v>
      </c>
      <c r="J973" t="s">
        <v>49</v>
      </c>
      <c r="K973" s="33">
        <v>16000</v>
      </c>
      <c r="L973" t="s">
        <v>60</v>
      </c>
      <c r="M973" t="str">
        <f>_xlfn.XLOOKUP(Pipeline_tbl[[#This Row],[Rep_ID]],Dim_Reps!A:A,Dim_Reps!K:K)</f>
        <v>USD</v>
      </c>
      <c r="N973" s="33">
        <f>(_xlfn.XLOOKUP(Pipeline_tbl[[#This Row],[Rate_Code_Generalized]],Lookups!A:A,Lookups!B:B))*Pipeline_tbl[[#This Row],[Pipeline_Amount_USD]]</f>
        <v>18628.8</v>
      </c>
      <c r="O973" t="str">
        <f>_xlfn.XLOOKUP(Pipeline_tbl[[#This Row],[Rep_ID]],Dim_Reps!A:A,Dim_Reps!B:B)</f>
        <v>Morgan Larsen</v>
      </c>
      <c r="P973" t="str">
        <f>_xlfn.XLOOKUP(Pipeline_tbl[[#This Row],[Rep_ID]],Dim_Reps!A:A,Dim_Reps!C:C)</f>
        <v>Mid-Market AE</v>
      </c>
      <c r="Q973" t="str">
        <f>_xlfn.XLOOKUP(Pipeline_tbl[[#This Row],[Rep_ID]],Dim_Reps!A:A,Dim_Reps!D:D)</f>
        <v>Mid-Market</v>
      </c>
      <c r="R973" t="str">
        <f>_xlfn.XLOOKUP(Pipeline_tbl[[#This Row],[Rep_ID]],Dim_Reps!A:A,Dim_Reps!E:E)</f>
        <v>NAMER</v>
      </c>
      <c r="S973" t="str">
        <f>_xlfn.XLOOKUP(Pipeline_tbl[[#This Row],[Created_Date]],Dim_Date!A:A,Dim_Date!H:H)</f>
        <v>Oct 2025</v>
      </c>
      <c r="T973" t="str">
        <f>IF(Pipeline_tbl[[#This Row],[Closed_Date]]=0,"",(_xlfn.XLOOKUP(Pipeline_tbl[[#This Row],[Closed_Date]],Dim_Date!A:A,Dim_Date!H:H)))</f>
        <v>Oct 2025</v>
      </c>
      <c r="U973">
        <f>IF(Pipeline_tbl[[#This Row],[Closed_Date]]=0,"",Pipeline_tbl[[#This Row],[Closed_Date]]-Pipeline_tbl[[#This Row],[Created_Date]])</f>
        <v>18</v>
      </c>
    </row>
    <row r="974" spans="1:21" ht="15" customHeight="1" x14ac:dyDescent="0.2">
      <c r="A974" t="s">
        <v>1280</v>
      </c>
      <c r="B974" t="s">
        <v>225</v>
      </c>
      <c r="C974" t="s">
        <v>52</v>
      </c>
      <c r="D974" s="49">
        <v>45933</v>
      </c>
      <c r="E974" s="49">
        <v>45935</v>
      </c>
      <c r="F974" s="49">
        <v>45938</v>
      </c>
      <c r="G974" s="49">
        <v>45944</v>
      </c>
      <c r="I974" s="49">
        <v>45951</v>
      </c>
      <c r="J974" t="s">
        <v>49</v>
      </c>
      <c r="K974" s="33">
        <v>7400</v>
      </c>
      <c r="L974" t="s">
        <v>62</v>
      </c>
      <c r="M974" t="str">
        <f>_xlfn.XLOOKUP(Pipeline_tbl[[#This Row],[Rep_ID]],Dim_Reps!A:A,Dim_Reps!K:K)</f>
        <v>USD</v>
      </c>
      <c r="N974" s="33">
        <f>(_xlfn.XLOOKUP(Pipeline_tbl[[#This Row],[Rate_Code_Generalized]],Lookups!A:A,Lookups!B:B))*Pipeline_tbl[[#This Row],[Pipeline_Amount_USD]]</f>
        <v>8615.82</v>
      </c>
      <c r="O974" t="str">
        <f>_xlfn.XLOOKUP(Pipeline_tbl[[#This Row],[Rep_ID]],Dim_Reps!A:A,Dim_Reps!B:B)</f>
        <v>Alex Muller</v>
      </c>
      <c r="P974" t="str">
        <f>_xlfn.XLOOKUP(Pipeline_tbl[[#This Row],[Rep_ID]],Dim_Reps!A:A,Dim_Reps!C:C)</f>
        <v>SDR / Inside Sales Rep</v>
      </c>
      <c r="Q974" t="str">
        <f>_xlfn.XLOOKUP(Pipeline_tbl[[#This Row],[Rep_ID]],Dim_Reps!A:A,Dim_Reps!D:D)</f>
        <v>Inside Sales</v>
      </c>
      <c r="R974" t="str">
        <f>_xlfn.XLOOKUP(Pipeline_tbl[[#This Row],[Rep_ID]],Dim_Reps!A:A,Dim_Reps!E:E)</f>
        <v>NAMER</v>
      </c>
      <c r="S974" t="str">
        <f>_xlfn.XLOOKUP(Pipeline_tbl[[#This Row],[Created_Date]],Dim_Date!A:A,Dim_Date!H:H)</f>
        <v>Oct 2025</v>
      </c>
      <c r="T974" t="str">
        <f>IF(Pipeline_tbl[[#This Row],[Closed_Date]]=0,"",(_xlfn.XLOOKUP(Pipeline_tbl[[#This Row],[Closed_Date]],Dim_Date!A:A,Dim_Date!H:H)))</f>
        <v>Oct 2025</v>
      </c>
      <c r="U974">
        <f>IF(Pipeline_tbl[[#This Row],[Closed_Date]]=0,"",Pipeline_tbl[[#This Row],[Closed_Date]]-Pipeline_tbl[[#This Row],[Created_Date]])</f>
        <v>18</v>
      </c>
    </row>
    <row r="975" spans="1:21" ht="15" customHeight="1" x14ac:dyDescent="0.2">
      <c r="A975" t="s">
        <v>1281</v>
      </c>
      <c r="B975" t="s">
        <v>225</v>
      </c>
      <c r="C975" t="s">
        <v>52</v>
      </c>
      <c r="D975" s="49">
        <v>45935</v>
      </c>
      <c r="E975" s="49">
        <v>45937</v>
      </c>
      <c r="F975" s="49">
        <v>45940</v>
      </c>
      <c r="G975" s="49">
        <v>45945</v>
      </c>
      <c r="I975" s="49">
        <v>45951</v>
      </c>
      <c r="J975" t="s">
        <v>49</v>
      </c>
      <c r="K975" s="33">
        <v>6100</v>
      </c>
      <c r="L975" t="s">
        <v>60</v>
      </c>
      <c r="M975" t="str">
        <f>_xlfn.XLOOKUP(Pipeline_tbl[[#This Row],[Rep_ID]],Dim_Reps!A:A,Dim_Reps!K:K)</f>
        <v>USD</v>
      </c>
      <c r="N975" s="33">
        <f>(_xlfn.XLOOKUP(Pipeline_tbl[[#This Row],[Rate_Code_Generalized]],Lookups!A:A,Lookups!B:B))*Pipeline_tbl[[#This Row],[Pipeline_Amount_USD]]</f>
        <v>7102.23</v>
      </c>
      <c r="O975" t="str">
        <f>_xlfn.XLOOKUP(Pipeline_tbl[[#This Row],[Rep_ID]],Dim_Reps!A:A,Dim_Reps!B:B)</f>
        <v>Alex Muller</v>
      </c>
      <c r="P975" t="str">
        <f>_xlfn.XLOOKUP(Pipeline_tbl[[#This Row],[Rep_ID]],Dim_Reps!A:A,Dim_Reps!C:C)</f>
        <v>SDR / Inside Sales Rep</v>
      </c>
      <c r="Q975" t="str">
        <f>_xlfn.XLOOKUP(Pipeline_tbl[[#This Row],[Rep_ID]],Dim_Reps!A:A,Dim_Reps!D:D)</f>
        <v>Inside Sales</v>
      </c>
      <c r="R975" t="str">
        <f>_xlfn.XLOOKUP(Pipeline_tbl[[#This Row],[Rep_ID]],Dim_Reps!A:A,Dim_Reps!E:E)</f>
        <v>NAMER</v>
      </c>
      <c r="S975" t="str">
        <f>_xlfn.XLOOKUP(Pipeline_tbl[[#This Row],[Created_Date]],Dim_Date!A:A,Dim_Date!H:H)</f>
        <v>Oct 2025</v>
      </c>
      <c r="T975" t="str">
        <f>IF(Pipeline_tbl[[#This Row],[Closed_Date]]=0,"",(_xlfn.XLOOKUP(Pipeline_tbl[[#This Row],[Closed_Date]],Dim_Date!A:A,Dim_Date!H:H)))</f>
        <v>Oct 2025</v>
      </c>
      <c r="U975">
        <f>IF(Pipeline_tbl[[#This Row],[Closed_Date]]=0,"",Pipeline_tbl[[#This Row],[Closed_Date]]-Pipeline_tbl[[#This Row],[Created_Date]])</f>
        <v>16</v>
      </c>
    </row>
    <row r="976" spans="1:21" ht="15" customHeight="1" x14ac:dyDescent="0.2">
      <c r="A976" t="s">
        <v>1282</v>
      </c>
      <c r="B976" t="s">
        <v>225</v>
      </c>
      <c r="C976" t="s">
        <v>56</v>
      </c>
      <c r="D976" s="49">
        <v>45940</v>
      </c>
      <c r="E976" s="49">
        <v>45941</v>
      </c>
      <c r="F976" s="49">
        <v>45943</v>
      </c>
      <c r="G976" s="49">
        <v>45946</v>
      </c>
      <c r="H976" s="49">
        <v>45948</v>
      </c>
      <c r="I976" s="49">
        <v>45950</v>
      </c>
      <c r="J976" t="s">
        <v>47</v>
      </c>
      <c r="K976" s="33">
        <v>4100</v>
      </c>
      <c r="M976" t="str">
        <f>_xlfn.XLOOKUP(Pipeline_tbl[[#This Row],[Rep_ID]],Dim_Reps!A:A,Dim_Reps!K:K)</f>
        <v>USD</v>
      </c>
      <c r="N976" s="33">
        <f>(_xlfn.XLOOKUP(Pipeline_tbl[[#This Row],[Rate_Code_Generalized]],Lookups!A:A,Lookups!B:B))*Pipeline_tbl[[#This Row],[Pipeline_Amount_USD]]</f>
        <v>4773.6299999999992</v>
      </c>
      <c r="O976" t="str">
        <f>_xlfn.XLOOKUP(Pipeline_tbl[[#This Row],[Rep_ID]],Dim_Reps!A:A,Dim_Reps!B:B)</f>
        <v>Alex Muller</v>
      </c>
      <c r="P976" t="str">
        <f>_xlfn.XLOOKUP(Pipeline_tbl[[#This Row],[Rep_ID]],Dim_Reps!A:A,Dim_Reps!C:C)</f>
        <v>SDR / Inside Sales Rep</v>
      </c>
      <c r="Q976" t="str">
        <f>_xlfn.XLOOKUP(Pipeline_tbl[[#This Row],[Rep_ID]],Dim_Reps!A:A,Dim_Reps!D:D)</f>
        <v>Inside Sales</v>
      </c>
      <c r="R976" t="str">
        <f>_xlfn.XLOOKUP(Pipeline_tbl[[#This Row],[Rep_ID]],Dim_Reps!A:A,Dim_Reps!E:E)</f>
        <v>NAMER</v>
      </c>
      <c r="S976" t="str">
        <f>_xlfn.XLOOKUP(Pipeline_tbl[[#This Row],[Created_Date]],Dim_Date!A:A,Dim_Date!H:H)</f>
        <v>Oct 2025</v>
      </c>
      <c r="T976" t="str">
        <f>IF(Pipeline_tbl[[#This Row],[Closed_Date]]=0,"",(_xlfn.XLOOKUP(Pipeline_tbl[[#This Row],[Closed_Date]],Dim_Date!A:A,Dim_Date!H:H)))</f>
        <v>Oct 2025</v>
      </c>
      <c r="U976">
        <f>IF(Pipeline_tbl[[#This Row],[Closed_Date]]=0,"",Pipeline_tbl[[#This Row],[Closed_Date]]-Pipeline_tbl[[#This Row],[Created_Date]])</f>
        <v>10</v>
      </c>
    </row>
    <row r="977" spans="1:21" ht="15" customHeight="1" x14ac:dyDescent="0.2">
      <c r="A977" t="s">
        <v>1283</v>
      </c>
      <c r="B977" t="s">
        <v>225</v>
      </c>
      <c r="C977" t="s">
        <v>54</v>
      </c>
      <c r="D977" s="49">
        <v>45938</v>
      </c>
      <c r="E977" s="49">
        <v>45940</v>
      </c>
      <c r="F977" s="49">
        <v>45945</v>
      </c>
      <c r="I977" s="49">
        <v>45960</v>
      </c>
      <c r="J977" t="s">
        <v>49</v>
      </c>
      <c r="K977" s="33">
        <v>3000</v>
      </c>
      <c r="L977" t="s">
        <v>61</v>
      </c>
      <c r="M977" t="str">
        <f>_xlfn.XLOOKUP(Pipeline_tbl[[#This Row],[Rep_ID]],Dim_Reps!A:A,Dim_Reps!K:K)</f>
        <v>USD</v>
      </c>
      <c r="N977" s="33">
        <f>(_xlfn.XLOOKUP(Pipeline_tbl[[#This Row],[Rate_Code_Generalized]],Lookups!A:A,Lookups!B:B))*Pipeline_tbl[[#This Row],[Pipeline_Amount_USD]]</f>
        <v>3492.8999999999996</v>
      </c>
      <c r="O977" t="str">
        <f>_xlfn.XLOOKUP(Pipeline_tbl[[#This Row],[Rep_ID]],Dim_Reps!A:A,Dim_Reps!B:B)</f>
        <v>Alex Muller</v>
      </c>
      <c r="P977" t="str">
        <f>_xlfn.XLOOKUP(Pipeline_tbl[[#This Row],[Rep_ID]],Dim_Reps!A:A,Dim_Reps!C:C)</f>
        <v>SDR / Inside Sales Rep</v>
      </c>
      <c r="Q977" t="str">
        <f>_xlfn.XLOOKUP(Pipeline_tbl[[#This Row],[Rep_ID]],Dim_Reps!A:A,Dim_Reps!D:D)</f>
        <v>Inside Sales</v>
      </c>
      <c r="R977" t="str">
        <f>_xlfn.XLOOKUP(Pipeline_tbl[[#This Row],[Rep_ID]],Dim_Reps!A:A,Dim_Reps!E:E)</f>
        <v>NAMER</v>
      </c>
      <c r="S977" t="str">
        <f>_xlfn.XLOOKUP(Pipeline_tbl[[#This Row],[Created_Date]],Dim_Date!A:A,Dim_Date!H:H)</f>
        <v>Oct 2025</v>
      </c>
      <c r="T977" t="str">
        <f>IF(Pipeline_tbl[[#This Row],[Closed_Date]]=0,"",(_xlfn.XLOOKUP(Pipeline_tbl[[#This Row],[Closed_Date]],Dim_Date!A:A,Dim_Date!H:H)))</f>
        <v>Oct 2025</v>
      </c>
      <c r="U977">
        <f>IF(Pipeline_tbl[[#This Row],[Closed_Date]]=0,"",Pipeline_tbl[[#This Row],[Closed_Date]]-Pipeline_tbl[[#This Row],[Created_Date]])</f>
        <v>22</v>
      </c>
    </row>
    <row r="978" spans="1:21" ht="15" customHeight="1" x14ac:dyDescent="0.2">
      <c r="A978" t="s">
        <v>1284</v>
      </c>
      <c r="B978" t="s">
        <v>225</v>
      </c>
      <c r="C978" t="s">
        <v>52</v>
      </c>
      <c r="D978" s="49">
        <v>45939</v>
      </c>
      <c r="E978" s="49">
        <v>45941</v>
      </c>
      <c r="I978" s="49">
        <v>45957</v>
      </c>
      <c r="J978" t="s">
        <v>49</v>
      </c>
      <c r="K978" s="33">
        <v>2000</v>
      </c>
      <c r="L978" t="s">
        <v>60</v>
      </c>
      <c r="M978" t="str">
        <f>_xlfn.XLOOKUP(Pipeline_tbl[[#This Row],[Rep_ID]],Dim_Reps!A:A,Dim_Reps!K:K)</f>
        <v>USD</v>
      </c>
      <c r="N978" s="33">
        <f>(_xlfn.XLOOKUP(Pipeline_tbl[[#This Row],[Rate_Code_Generalized]],Lookups!A:A,Lookups!B:B))*Pipeline_tbl[[#This Row],[Pipeline_Amount_USD]]</f>
        <v>2328.6</v>
      </c>
      <c r="O978" t="str">
        <f>_xlfn.XLOOKUP(Pipeline_tbl[[#This Row],[Rep_ID]],Dim_Reps!A:A,Dim_Reps!B:B)</f>
        <v>Alex Muller</v>
      </c>
      <c r="P978" t="str">
        <f>_xlfn.XLOOKUP(Pipeline_tbl[[#This Row],[Rep_ID]],Dim_Reps!A:A,Dim_Reps!C:C)</f>
        <v>SDR / Inside Sales Rep</v>
      </c>
      <c r="Q978" t="str">
        <f>_xlfn.XLOOKUP(Pipeline_tbl[[#This Row],[Rep_ID]],Dim_Reps!A:A,Dim_Reps!D:D)</f>
        <v>Inside Sales</v>
      </c>
      <c r="R978" t="str">
        <f>_xlfn.XLOOKUP(Pipeline_tbl[[#This Row],[Rep_ID]],Dim_Reps!A:A,Dim_Reps!E:E)</f>
        <v>NAMER</v>
      </c>
      <c r="S978" t="str">
        <f>_xlfn.XLOOKUP(Pipeline_tbl[[#This Row],[Created_Date]],Dim_Date!A:A,Dim_Date!H:H)</f>
        <v>Oct 2025</v>
      </c>
      <c r="T978" t="str">
        <f>IF(Pipeline_tbl[[#This Row],[Closed_Date]]=0,"",(_xlfn.XLOOKUP(Pipeline_tbl[[#This Row],[Closed_Date]],Dim_Date!A:A,Dim_Date!H:H)))</f>
        <v>Oct 2025</v>
      </c>
      <c r="U978">
        <f>IF(Pipeline_tbl[[#This Row],[Closed_Date]]=0,"",Pipeline_tbl[[#This Row],[Closed_Date]]-Pipeline_tbl[[#This Row],[Created_Date]])</f>
        <v>18</v>
      </c>
    </row>
    <row r="979" spans="1:21" ht="15" customHeight="1" x14ac:dyDescent="0.2">
      <c r="A979" t="s">
        <v>1285</v>
      </c>
      <c r="B979" t="s">
        <v>225</v>
      </c>
      <c r="C979" t="s">
        <v>54</v>
      </c>
      <c r="D979" s="49">
        <v>45935</v>
      </c>
      <c r="E979" s="49">
        <v>45935</v>
      </c>
      <c r="F979" s="49">
        <v>45937</v>
      </c>
      <c r="G979" s="49">
        <v>45938</v>
      </c>
      <c r="H979" s="49">
        <v>45939</v>
      </c>
      <c r="I979" s="49">
        <v>45940</v>
      </c>
      <c r="J979" t="s">
        <v>49</v>
      </c>
      <c r="K979" s="33">
        <v>2700</v>
      </c>
      <c r="L979" t="s">
        <v>60</v>
      </c>
      <c r="M979" t="str">
        <f>_xlfn.XLOOKUP(Pipeline_tbl[[#This Row],[Rep_ID]],Dim_Reps!A:A,Dim_Reps!K:K)</f>
        <v>USD</v>
      </c>
      <c r="N979" s="33">
        <f>(_xlfn.XLOOKUP(Pipeline_tbl[[#This Row],[Rate_Code_Generalized]],Lookups!A:A,Lookups!B:B))*Pipeline_tbl[[#This Row],[Pipeline_Amount_USD]]</f>
        <v>3143.6099999999997</v>
      </c>
      <c r="O979" t="str">
        <f>_xlfn.XLOOKUP(Pipeline_tbl[[#This Row],[Rep_ID]],Dim_Reps!A:A,Dim_Reps!B:B)</f>
        <v>Alex Muller</v>
      </c>
      <c r="P979" t="str">
        <f>_xlfn.XLOOKUP(Pipeline_tbl[[#This Row],[Rep_ID]],Dim_Reps!A:A,Dim_Reps!C:C)</f>
        <v>SDR / Inside Sales Rep</v>
      </c>
      <c r="Q979" t="str">
        <f>_xlfn.XLOOKUP(Pipeline_tbl[[#This Row],[Rep_ID]],Dim_Reps!A:A,Dim_Reps!D:D)</f>
        <v>Inside Sales</v>
      </c>
      <c r="R979" t="str">
        <f>_xlfn.XLOOKUP(Pipeline_tbl[[#This Row],[Rep_ID]],Dim_Reps!A:A,Dim_Reps!E:E)</f>
        <v>NAMER</v>
      </c>
      <c r="S979" t="str">
        <f>_xlfn.XLOOKUP(Pipeline_tbl[[#This Row],[Created_Date]],Dim_Date!A:A,Dim_Date!H:H)</f>
        <v>Oct 2025</v>
      </c>
      <c r="T979" t="str">
        <f>IF(Pipeline_tbl[[#This Row],[Closed_Date]]=0,"",(_xlfn.XLOOKUP(Pipeline_tbl[[#This Row],[Closed_Date]],Dim_Date!A:A,Dim_Date!H:H)))</f>
        <v>Oct 2025</v>
      </c>
      <c r="U979">
        <f>IF(Pipeline_tbl[[#This Row],[Closed_Date]]=0,"",Pipeline_tbl[[#This Row],[Closed_Date]]-Pipeline_tbl[[#This Row],[Created_Date]])</f>
        <v>5</v>
      </c>
    </row>
    <row r="980" spans="1:21" ht="15" customHeight="1" x14ac:dyDescent="0.2">
      <c r="A980" t="s">
        <v>1286</v>
      </c>
      <c r="B980" t="s">
        <v>227</v>
      </c>
      <c r="C980" t="s">
        <v>53</v>
      </c>
      <c r="D980" s="49">
        <v>45931</v>
      </c>
      <c r="E980" s="49">
        <v>45933</v>
      </c>
      <c r="F980" s="49">
        <v>45938</v>
      </c>
      <c r="I980" s="49">
        <v>45954</v>
      </c>
      <c r="J980" t="s">
        <v>49</v>
      </c>
      <c r="K980" s="33">
        <v>3200</v>
      </c>
      <c r="L980" t="s">
        <v>61</v>
      </c>
      <c r="M980" t="str">
        <f>_xlfn.XLOOKUP(Pipeline_tbl[[#This Row],[Rep_ID]],Dim_Reps!A:A,Dim_Reps!K:K)</f>
        <v>EUR</v>
      </c>
      <c r="N980" s="33">
        <f>(_xlfn.XLOOKUP(Pipeline_tbl[[#This Row],[Rate_Code_Generalized]],Lookups!A:A,Lookups!B:B))*Pipeline_tbl[[#This Row],[Pipeline_Amount_USD]]</f>
        <v>3200</v>
      </c>
      <c r="O980" t="str">
        <f>_xlfn.XLOOKUP(Pipeline_tbl[[#This Row],[Rep_ID]],Dim_Reps!A:A,Dim_Reps!B:B)</f>
        <v>Liam Muller</v>
      </c>
      <c r="P980" t="str">
        <f>_xlfn.XLOOKUP(Pipeline_tbl[[#This Row],[Rep_ID]],Dim_Reps!A:A,Dim_Reps!C:C)</f>
        <v>SDR / Inside Sales Rep</v>
      </c>
      <c r="Q980" t="str">
        <f>_xlfn.XLOOKUP(Pipeline_tbl[[#This Row],[Rep_ID]],Dim_Reps!A:A,Dim_Reps!D:D)</f>
        <v>Inside Sales</v>
      </c>
      <c r="R980" t="str">
        <f>_xlfn.XLOOKUP(Pipeline_tbl[[#This Row],[Rep_ID]],Dim_Reps!A:A,Dim_Reps!E:E)</f>
        <v>EMEA</v>
      </c>
      <c r="S980" t="str">
        <f>_xlfn.XLOOKUP(Pipeline_tbl[[#This Row],[Created_Date]],Dim_Date!A:A,Dim_Date!H:H)</f>
        <v>Oct 2025</v>
      </c>
      <c r="T980" t="str">
        <f>IF(Pipeline_tbl[[#This Row],[Closed_Date]]=0,"",(_xlfn.XLOOKUP(Pipeline_tbl[[#This Row],[Closed_Date]],Dim_Date!A:A,Dim_Date!H:H)))</f>
        <v>Oct 2025</v>
      </c>
      <c r="U980">
        <f>IF(Pipeline_tbl[[#This Row],[Closed_Date]]=0,"",Pipeline_tbl[[#This Row],[Closed_Date]]-Pipeline_tbl[[#This Row],[Created_Date]])</f>
        <v>23</v>
      </c>
    </row>
    <row r="981" spans="1:21" ht="15" customHeight="1" x14ac:dyDescent="0.2">
      <c r="A981" t="s">
        <v>1287</v>
      </c>
      <c r="B981" t="s">
        <v>227</v>
      </c>
      <c r="C981" t="s">
        <v>53</v>
      </c>
      <c r="D981" s="49">
        <v>45946</v>
      </c>
      <c r="E981" s="49">
        <v>45947</v>
      </c>
      <c r="F981" s="49">
        <v>45949</v>
      </c>
      <c r="I981" s="49">
        <v>45957</v>
      </c>
      <c r="J981" t="s">
        <v>49</v>
      </c>
      <c r="K981" s="33">
        <v>4600</v>
      </c>
      <c r="L981" t="s">
        <v>63</v>
      </c>
      <c r="M981" t="str">
        <f>_xlfn.XLOOKUP(Pipeline_tbl[[#This Row],[Rep_ID]],Dim_Reps!A:A,Dim_Reps!K:K)</f>
        <v>EUR</v>
      </c>
      <c r="N981" s="33">
        <f>(_xlfn.XLOOKUP(Pipeline_tbl[[#This Row],[Rate_Code_Generalized]],Lookups!A:A,Lookups!B:B))*Pipeline_tbl[[#This Row],[Pipeline_Amount_USD]]</f>
        <v>4600</v>
      </c>
      <c r="O981" t="str">
        <f>_xlfn.XLOOKUP(Pipeline_tbl[[#This Row],[Rep_ID]],Dim_Reps!A:A,Dim_Reps!B:B)</f>
        <v>Liam Muller</v>
      </c>
      <c r="P981" t="str">
        <f>_xlfn.XLOOKUP(Pipeline_tbl[[#This Row],[Rep_ID]],Dim_Reps!A:A,Dim_Reps!C:C)</f>
        <v>SDR / Inside Sales Rep</v>
      </c>
      <c r="Q981" t="str">
        <f>_xlfn.XLOOKUP(Pipeline_tbl[[#This Row],[Rep_ID]],Dim_Reps!A:A,Dim_Reps!D:D)</f>
        <v>Inside Sales</v>
      </c>
      <c r="R981" t="str">
        <f>_xlfn.XLOOKUP(Pipeline_tbl[[#This Row],[Rep_ID]],Dim_Reps!A:A,Dim_Reps!E:E)</f>
        <v>EMEA</v>
      </c>
      <c r="S981" t="str">
        <f>_xlfn.XLOOKUP(Pipeline_tbl[[#This Row],[Created_Date]],Dim_Date!A:A,Dim_Date!H:H)</f>
        <v>Oct 2025</v>
      </c>
      <c r="T981" t="str">
        <f>IF(Pipeline_tbl[[#This Row],[Closed_Date]]=0,"",(_xlfn.XLOOKUP(Pipeline_tbl[[#This Row],[Closed_Date]],Dim_Date!A:A,Dim_Date!H:H)))</f>
        <v>Oct 2025</v>
      </c>
      <c r="U981">
        <f>IF(Pipeline_tbl[[#This Row],[Closed_Date]]=0,"",Pipeline_tbl[[#This Row],[Closed_Date]]-Pipeline_tbl[[#This Row],[Created_Date]])</f>
        <v>11</v>
      </c>
    </row>
    <row r="982" spans="1:21" ht="15" customHeight="1" x14ac:dyDescent="0.2">
      <c r="A982" t="s">
        <v>1288</v>
      </c>
      <c r="B982" t="s">
        <v>227</v>
      </c>
      <c r="C982" t="s">
        <v>52</v>
      </c>
      <c r="D982" s="49">
        <v>45935</v>
      </c>
      <c r="E982" s="49">
        <v>45937</v>
      </c>
      <c r="F982" s="49">
        <v>45940</v>
      </c>
      <c r="G982" s="49">
        <v>45945</v>
      </c>
      <c r="H982" s="49">
        <v>45949</v>
      </c>
      <c r="I982" s="49">
        <v>45951</v>
      </c>
      <c r="J982" t="s">
        <v>47</v>
      </c>
      <c r="K982" s="33">
        <v>3200</v>
      </c>
      <c r="M982" t="str">
        <f>_xlfn.XLOOKUP(Pipeline_tbl[[#This Row],[Rep_ID]],Dim_Reps!A:A,Dim_Reps!K:K)</f>
        <v>EUR</v>
      </c>
      <c r="N982" s="33">
        <f>(_xlfn.XLOOKUP(Pipeline_tbl[[#This Row],[Rate_Code_Generalized]],Lookups!A:A,Lookups!B:B))*Pipeline_tbl[[#This Row],[Pipeline_Amount_USD]]</f>
        <v>3200</v>
      </c>
      <c r="O982" t="str">
        <f>_xlfn.XLOOKUP(Pipeline_tbl[[#This Row],[Rep_ID]],Dim_Reps!A:A,Dim_Reps!B:B)</f>
        <v>Liam Muller</v>
      </c>
      <c r="P982" t="str">
        <f>_xlfn.XLOOKUP(Pipeline_tbl[[#This Row],[Rep_ID]],Dim_Reps!A:A,Dim_Reps!C:C)</f>
        <v>SDR / Inside Sales Rep</v>
      </c>
      <c r="Q982" t="str">
        <f>_xlfn.XLOOKUP(Pipeline_tbl[[#This Row],[Rep_ID]],Dim_Reps!A:A,Dim_Reps!D:D)</f>
        <v>Inside Sales</v>
      </c>
      <c r="R982" t="str">
        <f>_xlfn.XLOOKUP(Pipeline_tbl[[#This Row],[Rep_ID]],Dim_Reps!A:A,Dim_Reps!E:E)</f>
        <v>EMEA</v>
      </c>
      <c r="S982" t="str">
        <f>_xlfn.XLOOKUP(Pipeline_tbl[[#This Row],[Created_Date]],Dim_Date!A:A,Dim_Date!H:H)</f>
        <v>Oct 2025</v>
      </c>
      <c r="T982" t="str">
        <f>IF(Pipeline_tbl[[#This Row],[Closed_Date]]=0,"",(_xlfn.XLOOKUP(Pipeline_tbl[[#This Row],[Closed_Date]],Dim_Date!A:A,Dim_Date!H:H)))</f>
        <v>Oct 2025</v>
      </c>
      <c r="U982">
        <f>IF(Pipeline_tbl[[#This Row],[Closed_Date]]=0,"",Pipeline_tbl[[#This Row],[Closed_Date]]-Pipeline_tbl[[#This Row],[Created_Date]])</f>
        <v>16</v>
      </c>
    </row>
    <row r="983" spans="1:21" ht="15" customHeight="1" x14ac:dyDescent="0.2">
      <c r="A983" t="s">
        <v>1289</v>
      </c>
      <c r="B983" t="s">
        <v>227</v>
      </c>
      <c r="C983" t="s">
        <v>53</v>
      </c>
      <c r="D983" s="49">
        <v>45937</v>
      </c>
      <c r="E983" s="49">
        <v>45939</v>
      </c>
      <c r="F983" s="49">
        <v>45944</v>
      </c>
      <c r="G983" s="49">
        <v>45950</v>
      </c>
      <c r="H983" s="49">
        <v>45956</v>
      </c>
      <c r="I983" s="49">
        <v>45959</v>
      </c>
      <c r="J983" t="s">
        <v>47</v>
      </c>
      <c r="K983" s="33">
        <v>5500</v>
      </c>
      <c r="M983" t="str">
        <f>_xlfn.XLOOKUP(Pipeline_tbl[[#This Row],[Rep_ID]],Dim_Reps!A:A,Dim_Reps!K:K)</f>
        <v>EUR</v>
      </c>
      <c r="N983" s="33">
        <f>(_xlfn.XLOOKUP(Pipeline_tbl[[#This Row],[Rate_Code_Generalized]],Lookups!A:A,Lookups!B:B))*Pipeline_tbl[[#This Row],[Pipeline_Amount_USD]]</f>
        <v>5500</v>
      </c>
      <c r="O983" t="str">
        <f>_xlfn.XLOOKUP(Pipeline_tbl[[#This Row],[Rep_ID]],Dim_Reps!A:A,Dim_Reps!B:B)</f>
        <v>Liam Muller</v>
      </c>
      <c r="P983" t="str">
        <f>_xlfn.XLOOKUP(Pipeline_tbl[[#This Row],[Rep_ID]],Dim_Reps!A:A,Dim_Reps!C:C)</f>
        <v>SDR / Inside Sales Rep</v>
      </c>
      <c r="Q983" t="str">
        <f>_xlfn.XLOOKUP(Pipeline_tbl[[#This Row],[Rep_ID]],Dim_Reps!A:A,Dim_Reps!D:D)</f>
        <v>Inside Sales</v>
      </c>
      <c r="R983" t="str">
        <f>_xlfn.XLOOKUP(Pipeline_tbl[[#This Row],[Rep_ID]],Dim_Reps!A:A,Dim_Reps!E:E)</f>
        <v>EMEA</v>
      </c>
      <c r="S983" t="str">
        <f>_xlfn.XLOOKUP(Pipeline_tbl[[#This Row],[Created_Date]],Dim_Date!A:A,Dim_Date!H:H)</f>
        <v>Oct 2025</v>
      </c>
      <c r="T983" t="str">
        <f>IF(Pipeline_tbl[[#This Row],[Closed_Date]]=0,"",(_xlfn.XLOOKUP(Pipeline_tbl[[#This Row],[Closed_Date]],Dim_Date!A:A,Dim_Date!H:H)))</f>
        <v>Oct 2025</v>
      </c>
      <c r="U983">
        <f>IF(Pipeline_tbl[[#This Row],[Closed_Date]]=0,"",Pipeline_tbl[[#This Row],[Closed_Date]]-Pipeline_tbl[[#This Row],[Created_Date]])</f>
        <v>22</v>
      </c>
    </row>
    <row r="984" spans="1:21" ht="15" customHeight="1" x14ac:dyDescent="0.2">
      <c r="A984" t="s">
        <v>1290</v>
      </c>
      <c r="B984" t="s">
        <v>227</v>
      </c>
      <c r="C984" t="s">
        <v>52</v>
      </c>
      <c r="D984" s="49">
        <v>45946</v>
      </c>
      <c r="E984" s="49">
        <v>45947</v>
      </c>
      <c r="F984" s="49">
        <v>45949</v>
      </c>
      <c r="G984" s="49">
        <v>45953</v>
      </c>
      <c r="I984" s="49">
        <v>45957</v>
      </c>
      <c r="J984" t="s">
        <v>49</v>
      </c>
      <c r="K984" s="33">
        <v>1500</v>
      </c>
      <c r="L984" t="s">
        <v>60</v>
      </c>
      <c r="M984" t="str">
        <f>_xlfn.XLOOKUP(Pipeline_tbl[[#This Row],[Rep_ID]],Dim_Reps!A:A,Dim_Reps!K:K)</f>
        <v>EUR</v>
      </c>
      <c r="N984" s="33">
        <f>(_xlfn.XLOOKUP(Pipeline_tbl[[#This Row],[Rate_Code_Generalized]],Lookups!A:A,Lookups!B:B))*Pipeline_tbl[[#This Row],[Pipeline_Amount_USD]]</f>
        <v>1500</v>
      </c>
      <c r="O984" t="str">
        <f>_xlfn.XLOOKUP(Pipeline_tbl[[#This Row],[Rep_ID]],Dim_Reps!A:A,Dim_Reps!B:B)</f>
        <v>Liam Muller</v>
      </c>
      <c r="P984" t="str">
        <f>_xlfn.XLOOKUP(Pipeline_tbl[[#This Row],[Rep_ID]],Dim_Reps!A:A,Dim_Reps!C:C)</f>
        <v>SDR / Inside Sales Rep</v>
      </c>
      <c r="Q984" t="str">
        <f>_xlfn.XLOOKUP(Pipeline_tbl[[#This Row],[Rep_ID]],Dim_Reps!A:A,Dim_Reps!D:D)</f>
        <v>Inside Sales</v>
      </c>
      <c r="R984" t="str">
        <f>_xlfn.XLOOKUP(Pipeline_tbl[[#This Row],[Rep_ID]],Dim_Reps!A:A,Dim_Reps!E:E)</f>
        <v>EMEA</v>
      </c>
      <c r="S984" t="str">
        <f>_xlfn.XLOOKUP(Pipeline_tbl[[#This Row],[Created_Date]],Dim_Date!A:A,Dim_Date!H:H)</f>
        <v>Oct 2025</v>
      </c>
      <c r="T984" t="str">
        <f>IF(Pipeline_tbl[[#This Row],[Closed_Date]]=0,"",(_xlfn.XLOOKUP(Pipeline_tbl[[#This Row],[Closed_Date]],Dim_Date!A:A,Dim_Date!H:H)))</f>
        <v>Oct 2025</v>
      </c>
      <c r="U984">
        <f>IF(Pipeline_tbl[[#This Row],[Closed_Date]]=0,"",Pipeline_tbl[[#This Row],[Closed_Date]]-Pipeline_tbl[[#This Row],[Created_Date]])</f>
        <v>11</v>
      </c>
    </row>
    <row r="985" spans="1:21" ht="15" customHeight="1" x14ac:dyDescent="0.2">
      <c r="A985" t="s">
        <v>1291</v>
      </c>
      <c r="B985" t="s">
        <v>229</v>
      </c>
      <c r="C985" t="s">
        <v>52</v>
      </c>
      <c r="D985" s="49">
        <v>45942</v>
      </c>
      <c r="E985" s="49">
        <v>45943</v>
      </c>
      <c r="F985" s="49">
        <v>45945</v>
      </c>
      <c r="G985" s="49">
        <v>45948</v>
      </c>
      <c r="H985" s="49">
        <v>45950</v>
      </c>
      <c r="I985" s="49">
        <v>45952</v>
      </c>
      <c r="J985" t="s">
        <v>49</v>
      </c>
      <c r="K985" s="33">
        <v>6300</v>
      </c>
      <c r="L985" t="s">
        <v>63</v>
      </c>
      <c r="M985" t="str">
        <f>_xlfn.XLOOKUP(Pipeline_tbl[[#This Row],[Rep_ID]],Dim_Reps!A:A,Dim_Reps!K:K)</f>
        <v>USD</v>
      </c>
      <c r="N985" s="33">
        <f>(_xlfn.XLOOKUP(Pipeline_tbl[[#This Row],[Rate_Code_Generalized]],Lookups!A:A,Lookups!B:B))*Pipeline_tbl[[#This Row],[Pipeline_Amount_USD]]</f>
        <v>7335.0899999999992</v>
      </c>
      <c r="O985" t="str">
        <f>_xlfn.XLOOKUP(Pipeline_tbl[[#This Row],[Rep_ID]],Dim_Reps!A:A,Dim_Reps!B:B)</f>
        <v>Liam Castro</v>
      </c>
      <c r="P985" t="str">
        <f>_xlfn.XLOOKUP(Pipeline_tbl[[#This Row],[Rep_ID]],Dim_Reps!A:A,Dim_Reps!C:C)</f>
        <v>SDR / Inside Sales Rep</v>
      </c>
      <c r="Q985" t="str">
        <f>_xlfn.XLOOKUP(Pipeline_tbl[[#This Row],[Rep_ID]],Dim_Reps!A:A,Dim_Reps!D:D)</f>
        <v>Inside Sales</v>
      </c>
      <c r="R985" t="str">
        <f>_xlfn.XLOOKUP(Pipeline_tbl[[#This Row],[Rep_ID]],Dim_Reps!A:A,Dim_Reps!E:E)</f>
        <v>NAMER</v>
      </c>
      <c r="S985" t="str">
        <f>_xlfn.XLOOKUP(Pipeline_tbl[[#This Row],[Created_Date]],Dim_Date!A:A,Dim_Date!H:H)</f>
        <v>Oct 2025</v>
      </c>
      <c r="T985" t="str">
        <f>IF(Pipeline_tbl[[#This Row],[Closed_Date]]=0,"",(_xlfn.XLOOKUP(Pipeline_tbl[[#This Row],[Closed_Date]],Dim_Date!A:A,Dim_Date!H:H)))</f>
        <v>Oct 2025</v>
      </c>
      <c r="U985">
        <f>IF(Pipeline_tbl[[#This Row],[Closed_Date]]=0,"",Pipeline_tbl[[#This Row],[Closed_Date]]-Pipeline_tbl[[#This Row],[Created_Date]])</f>
        <v>10</v>
      </c>
    </row>
    <row r="986" spans="1:21" ht="15" customHeight="1" x14ac:dyDescent="0.2">
      <c r="A986" t="s">
        <v>1292</v>
      </c>
      <c r="B986" t="s">
        <v>229</v>
      </c>
      <c r="C986" t="s">
        <v>52</v>
      </c>
      <c r="D986" s="49">
        <v>45935</v>
      </c>
      <c r="E986" s="49">
        <v>45937</v>
      </c>
      <c r="F986" s="49">
        <v>45941</v>
      </c>
      <c r="G986" s="49">
        <v>45947</v>
      </c>
      <c r="H986" s="49">
        <v>45952</v>
      </c>
      <c r="I986" s="49">
        <v>45955</v>
      </c>
      <c r="J986" t="s">
        <v>49</v>
      </c>
      <c r="K986" s="33">
        <v>4300</v>
      </c>
      <c r="L986" t="s">
        <v>61</v>
      </c>
      <c r="M986" t="str">
        <f>_xlfn.XLOOKUP(Pipeline_tbl[[#This Row],[Rep_ID]],Dim_Reps!A:A,Dim_Reps!K:K)</f>
        <v>USD</v>
      </c>
      <c r="N986" s="33">
        <f>(_xlfn.XLOOKUP(Pipeline_tbl[[#This Row],[Rate_Code_Generalized]],Lookups!A:A,Lookups!B:B))*Pipeline_tbl[[#This Row],[Pipeline_Amount_USD]]</f>
        <v>5006.49</v>
      </c>
      <c r="O986" t="str">
        <f>_xlfn.XLOOKUP(Pipeline_tbl[[#This Row],[Rep_ID]],Dim_Reps!A:A,Dim_Reps!B:B)</f>
        <v>Liam Castro</v>
      </c>
      <c r="P986" t="str">
        <f>_xlfn.XLOOKUP(Pipeline_tbl[[#This Row],[Rep_ID]],Dim_Reps!A:A,Dim_Reps!C:C)</f>
        <v>SDR / Inside Sales Rep</v>
      </c>
      <c r="Q986" t="str">
        <f>_xlfn.XLOOKUP(Pipeline_tbl[[#This Row],[Rep_ID]],Dim_Reps!A:A,Dim_Reps!D:D)</f>
        <v>Inside Sales</v>
      </c>
      <c r="R986" t="str">
        <f>_xlfn.XLOOKUP(Pipeline_tbl[[#This Row],[Rep_ID]],Dim_Reps!A:A,Dim_Reps!E:E)</f>
        <v>NAMER</v>
      </c>
      <c r="S986" t="str">
        <f>_xlfn.XLOOKUP(Pipeline_tbl[[#This Row],[Created_Date]],Dim_Date!A:A,Dim_Date!H:H)</f>
        <v>Oct 2025</v>
      </c>
      <c r="T986" t="str">
        <f>IF(Pipeline_tbl[[#This Row],[Closed_Date]]=0,"",(_xlfn.XLOOKUP(Pipeline_tbl[[#This Row],[Closed_Date]],Dim_Date!A:A,Dim_Date!H:H)))</f>
        <v>Oct 2025</v>
      </c>
      <c r="U986">
        <f>IF(Pipeline_tbl[[#This Row],[Closed_Date]]=0,"",Pipeline_tbl[[#This Row],[Closed_Date]]-Pipeline_tbl[[#This Row],[Created_Date]])</f>
        <v>20</v>
      </c>
    </row>
    <row r="987" spans="1:21" ht="15" customHeight="1" x14ac:dyDescent="0.2">
      <c r="A987" t="s">
        <v>1293</v>
      </c>
      <c r="B987" t="s">
        <v>229</v>
      </c>
      <c r="C987" t="s">
        <v>53</v>
      </c>
      <c r="D987" s="49">
        <v>45939</v>
      </c>
      <c r="E987" s="49">
        <v>45941</v>
      </c>
      <c r="F987" s="49">
        <v>45945</v>
      </c>
      <c r="G987" s="49">
        <v>45950</v>
      </c>
      <c r="H987" s="49">
        <v>45955</v>
      </c>
      <c r="I987" s="49">
        <v>45958</v>
      </c>
      <c r="J987" t="s">
        <v>47</v>
      </c>
      <c r="K987" s="33">
        <v>1900</v>
      </c>
      <c r="M987" t="str">
        <f>_xlfn.XLOOKUP(Pipeline_tbl[[#This Row],[Rep_ID]],Dim_Reps!A:A,Dim_Reps!K:K)</f>
        <v>USD</v>
      </c>
      <c r="N987" s="33">
        <f>(_xlfn.XLOOKUP(Pipeline_tbl[[#This Row],[Rate_Code_Generalized]],Lookups!A:A,Lookups!B:B))*Pipeline_tbl[[#This Row],[Pipeline_Amount_USD]]</f>
        <v>2212.1699999999996</v>
      </c>
      <c r="O987" t="str">
        <f>_xlfn.XLOOKUP(Pipeline_tbl[[#This Row],[Rep_ID]],Dim_Reps!A:A,Dim_Reps!B:B)</f>
        <v>Liam Castro</v>
      </c>
      <c r="P987" t="str">
        <f>_xlfn.XLOOKUP(Pipeline_tbl[[#This Row],[Rep_ID]],Dim_Reps!A:A,Dim_Reps!C:C)</f>
        <v>SDR / Inside Sales Rep</v>
      </c>
      <c r="Q987" t="str">
        <f>_xlfn.XLOOKUP(Pipeline_tbl[[#This Row],[Rep_ID]],Dim_Reps!A:A,Dim_Reps!D:D)</f>
        <v>Inside Sales</v>
      </c>
      <c r="R987" t="str">
        <f>_xlfn.XLOOKUP(Pipeline_tbl[[#This Row],[Rep_ID]],Dim_Reps!A:A,Dim_Reps!E:E)</f>
        <v>NAMER</v>
      </c>
      <c r="S987" t="str">
        <f>_xlfn.XLOOKUP(Pipeline_tbl[[#This Row],[Created_Date]],Dim_Date!A:A,Dim_Date!H:H)</f>
        <v>Oct 2025</v>
      </c>
      <c r="T987" t="str">
        <f>IF(Pipeline_tbl[[#This Row],[Closed_Date]]=0,"",(_xlfn.XLOOKUP(Pipeline_tbl[[#This Row],[Closed_Date]],Dim_Date!A:A,Dim_Date!H:H)))</f>
        <v>Oct 2025</v>
      </c>
      <c r="U987">
        <f>IF(Pipeline_tbl[[#This Row],[Closed_Date]]=0,"",Pipeline_tbl[[#This Row],[Closed_Date]]-Pipeline_tbl[[#This Row],[Created_Date]])</f>
        <v>19</v>
      </c>
    </row>
    <row r="988" spans="1:21" ht="15" customHeight="1" x14ac:dyDescent="0.2">
      <c r="A988" t="s">
        <v>1294</v>
      </c>
      <c r="B988" t="s">
        <v>229</v>
      </c>
      <c r="C988" t="s">
        <v>56</v>
      </c>
      <c r="D988" s="49">
        <v>45934</v>
      </c>
      <c r="E988" s="49">
        <v>45936</v>
      </c>
      <c r="F988" s="49">
        <v>45941</v>
      </c>
      <c r="G988" s="49">
        <v>45948</v>
      </c>
      <c r="I988" s="49">
        <v>45957</v>
      </c>
      <c r="J988" t="s">
        <v>49</v>
      </c>
      <c r="K988" s="33">
        <v>2900</v>
      </c>
      <c r="L988" t="s">
        <v>61</v>
      </c>
      <c r="M988" t="str">
        <f>_xlfn.XLOOKUP(Pipeline_tbl[[#This Row],[Rep_ID]],Dim_Reps!A:A,Dim_Reps!K:K)</f>
        <v>USD</v>
      </c>
      <c r="N988" s="33">
        <f>(_xlfn.XLOOKUP(Pipeline_tbl[[#This Row],[Rate_Code_Generalized]],Lookups!A:A,Lookups!B:B))*Pipeline_tbl[[#This Row],[Pipeline_Amount_USD]]</f>
        <v>3376.47</v>
      </c>
      <c r="O988" t="str">
        <f>_xlfn.XLOOKUP(Pipeline_tbl[[#This Row],[Rep_ID]],Dim_Reps!A:A,Dim_Reps!B:B)</f>
        <v>Liam Castro</v>
      </c>
      <c r="P988" t="str">
        <f>_xlfn.XLOOKUP(Pipeline_tbl[[#This Row],[Rep_ID]],Dim_Reps!A:A,Dim_Reps!C:C)</f>
        <v>SDR / Inside Sales Rep</v>
      </c>
      <c r="Q988" t="str">
        <f>_xlfn.XLOOKUP(Pipeline_tbl[[#This Row],[Rep_ID]],Dim_Reps!A:A,Dim_Reps!D:D)</f>
        <v>Inside Sales</v>
      </c>
      <c r="R988" t="str">
        <f>_xlfn.XLOOKUP(Pipeline_tbl[[#This Row],[Rep_ID]],Dim_Reps!A:A,Dim_Reps!E:E)</f>
        <v>NAMER</v>
      </c>
      <c r="S988" t="str">
        <f>_xlfn.XLOOKUP(Pipeline_tbl[[#This Row],[Created_Date]],Dim_Date!A:A,Dim_Date!H:H)</f>
        <v>Oct 2025</v>
      </c>
      <c r="T988" t="str">
        <f>IF(Pipeline_tbl[[#This Row],[Closed_Date]]=0,"",(_xlfn.XLOOKUP(Pipeline_tbl[[#This Row],[Closed_Date]],Dim_Date!A:A,Dim_Date!H:H)))</f>
        <v>Oct 2025</v>
      </c>
      <c r="U988">
        <f>IF(Pipeline_tbl[[#This Row],[Closed_Date]]=0,"",Pipeline_tbl[[#This Row],[Closed_Date]]-Pipeline_tbl[[#This Row],[Created_Date]])</f>
        <v>23</v>
      </c>
    </row>
    <row r="989" spans="1:21" ht="15" customHeight="1" x14ac:dyDescent="0.2">
      <c r="A989" t="s">
        <v>1295</v>
      </c>
      <c r="B989" t="s">
        <v>231</v>
      </c>
      <c r="C989" t="s">
        <v>53</v>
      </c>
      <c r="D989" s="49">
        <v>45940</v>
      </c>
      <c r="E989" s="49">
        <v>45941</v>
      </c>
      <c r="F989" s="49">
        <v>45944</v>
      </c>
      <c r="G989" s="49">
        <v>45948</v>
      </c>
      <c r="H989" s="49">
        <v>45951</v>
      </c>
      <c r="I989" s="49">
        <v>45953</v>
      </c>
      <c r="J989" t="s">
        <v>49</v>
      </c>
      <c r="K989" s="33">
        <v>6600</v>
      </c>
      <c r="L989" t="s">
        <v>62</v>
      </c>
      <c r="M989" t="str">
        <f>_xlfn.XLOOKUP(Pipeline_tbl[[#This Row],[Rep_ID]],Dim_Reps!A:A,Dim_Reps!K:K)</f>
        <v>MXN</v>
      </c>
      <c r="N989" s="33">
        <f>(_xlfn.XLOOKUP(Pipeline_tbl[[#This Row],[Rate_Code_Generalized]],Lookups!A:A,Lookups!B:B))*Pipeline_tbl[[#This Row],[Pipeline_Amount_USD]]</f>
        <v>130235.82</v>
      </c>
      <c r="O989" t="str">
        <f>_xlfn.XLOOKUP(Pipeline_tbl[[#This Row],[Rep_ID]],Dim_Reps!A:A,Dim_Reps!B:B)</f>
        <v>Ben Silva</v>
      </c>
      <c r="P989" t="str">
        <f>_xlfn.XLOOKUP(Pipeline_tbl[[#This Row],[Rep_ID]],Dim_Reps!A:A,Dim_Reps!C:C)</f>
        <v>SDR / Inside Sales Rep</v>
      </c>
      <c r="Q989" t="str">
        <f>_xlfn.XLOOKUP(Pipeline_tbl[[#This Row],[Rep_ID]],Dim_Reps!A:A,Dim_Reps!D:D)</f>
        <v>Inside Sales</v>
      </c>
      <c r="R989" t="str">
        <f>_xlfn.XLOOKUP(Pipeline_tbl[[#This Row],[Rep_ID]],Dim_Reps!A:A,Dim_Reps!E:E)</f>
        <v>LATAM</v>
      </c>
      <c r="S989" t="str">
        <f>_xlfn.XLOOKUP(Pipeline_tbl[[#This Row],[Created_Date]],Dim_Date!A:A,Dim_Date!H:H)</f>
        <v>Oct 2025</v>
      </c>
      <c r="T989" t="str">
        <f>IF(Pipeline_tbl[[#This Row],[Closed_Date]]=0,"",(_xlfn.XLOOKUP(Pipeline_tbl[[#This Row],[Closed_Date]],Dim_Date!A:A,Dim_Date!H:H)))</f>
        <v>Oct 2025</v>
      </c>
      <c r="U989">
        <f>IF(Pipeline_tbl[[#This Row],[Closed_Date]]=0,"",Pipeline_tbl[[#This Row],[Closed_Date]]-Pipeline_tbl[[#This Row],[Created_Date]])</f>
        <v>13</v>
      </c>
    </row>
    <row r="990" spans="1:21" ht="15" customHeight="1" x14ac:dyDescent="0.2">
      <c r="A990" t="s">
        <v>1296</v>
      </c>
      <c r="B990" t="s">
        <v>231</v>
      </c>
      <c r="C990" t="s">
        <v>56</v>
      </c>
      <c r="D990" s="49">
        <v>45932</v>
      </c>
      <c r="E990" s="49">
        <v>45934</v>
      </c>
      <c r="F990" s="49">
        <v>45938</v>
      </c>
      <c r="G990" s="49">
        <v>45944</v>
      </c>
      <c r="H990" s="49">
        <v>45949</v>
      </c>
      <c r="I990" s="49">
        <v>45952</v>
      </c>
      <c r="J990" t="s">
        <v>47</v>
      </c>
      <c r="K990" s="33">
        <v>3800</v>
      </c>
      <c r="M990" t="str">
        <f>_xlfn.XLOOKUP(Pipeline_tbl[[#This Row],[Rep_ID]],Dim_Reps!A:A,Dim_Reps!K:K)</f>
        <v>MXN</v>
      </c>
      <c r="N990" s="33">
        <f>(_xlfn.XLOOKUP(Pipeline_tbl[[#This Row],[Rate_Code_Generalized]],Lookups!A:A,Lookups!B:B))*Pipeline_tbl[[#This Row],[Pipeline_Amount_USD]]</f>
        <v>74984.260000000009</v>
      </c>
      <c r="O990" t="str">
        <f>_xlfn.XLOOKUP(Pipeline_tbl[[#This Row],[Rep_ID]],Dim_Reps!A:A,Dim_Reps!B:B)</f>
        <v>Ben Silva</v>
      </c>
      <c r="P990" t="str">
        <f>_xlfn.XLOOKUP(Pipeline_tbl[[#This Row],[Rep_ID]],Dim_Reps!A:A,Dim_Reps!C:C)</f>
        <v>SDR / Inside Sales Rep</v>
      </c>
      <c r="Q990" t="str">
        <f>_xlfn.XLOOKUP(Pipeline_tbl[[#This Row],[Rep_ID]],Dim_Reps!A:A,Dim_Reps!D:D)</f>
        <v>Inside Sales</v>
      </c>
      <c r="R990" t="str">
        <f>_xlfn.XLOOKUP(Pipeline_tbl[[#This Row],[Rep_ID]],Dim_Reps!A:A,Dim_Reps!E:E)</f>
        <v>LATAM</v>
      </c>
      <c r="S990" t="str">
        <f>_xlfn.XLOOKUP(Pipeline_tbl[[#This Row],[Created_Date]],Dim_Date!A:A,Dim_Date!H:H)</f>
        <v>Oct 2025</v>
      </c>
      <c r="T990" t="str">
        <f>IF(Pipeline_tbl[[#This Row],[Closed_Date]]=0,"",(_xlfn.XLOOKUP(Pipeline_tbl[[#This Row],[Closed_Date]],Dim_Date!A:A,Dim_Date!H:H)))</f>
        <v>Oct 2025</v>
      </c>
      <c r="U990">
        <f>IF(Pipeline_tbl[[#This Row],[Closed_Date]]=0,"",Pipeline_tbl[[#This Row],[Closed_Date]]-Pipeline_tbl[[#This Row],[Created_Date]])</f>
        <v>20</v>
      </c>
    </row>
    <row r="991" spans="1:21" ht="15" customHeight="1" x14ac:dyDescent="0.2">
      <c r="A991" t="s">
        <v>1297</v>
      </c>
      <c r="B991" t="s">
        <v>231</v>
      </c>
      <c r="C991" t="s">
        <v>52</v>
      </c>
      <c r="D991" s="49">
        <v>45937</v>
      </c>
      <c r="E991" s="49">
        <v>45938</v>
      </c>
      <c r="F991" s="49">
        <v>45940</v>
      </c>
      <c r="G991" s="49">
        <v>45943</v>
      </c>
      <c r="H991" s="49">
        <v>45945</v>
      </c>
      <c r="I991" s="49">
        <v>45947</v>
      </c>
      <c r="J991" t="s">
        <v>47</v>
      </c>
      <c r="K991" s="33">
        <v>3600</v>
      </c>
      <c r="M991" t="str">
        <f>_xlfn.XLOOKUP(Pipeline_tbl[[#This Row],[Rep_ID]],Dim_Reps!A:A,Dim_Reps!K:K)</f>
        <v>MXN</v>
      </c>
      <c r="N991" s="33">
        <f>(_xlfn.XLOOKUP(Pipeline_tbl[[#This Row],[Rate_Code_Generalized]],Lookups!A:A,Lookups!B:B))*Pipeline_tbl[[#This Row],[Pipeline_Amount_USD]]</f>
        <v>71037.72</v>
      </c>
      <c r="O991" t="str">
        <f>_xlfn.XLOOKUP(Pipeline_tbl[[#This Row],[Rep_ID]],Dim_Reps!A:A,Dim_Reps!B:B)</f>
        <v>Ben Silva</v>
      </c>
      <c r="P991" t="str">
        <f>_xlfn.XLOOKUP(Pipeline_tbl[[#This Row],[Rep_ID]],Dim_Reps!A:A,Dim_Reps!C:C)</f>
        <v>SDR / Inside Sales Rep</v>
      </c>
      <c r="Q991" t="str">
        <f>_xlfn.XLOOKUP(Pipeline_tbl[[#This Row],[Rep_ID]],Dim_Reps!A:A,Dim_Reps!D:D)</f>
        <v>Inside Sales</v>
      </c>
      <c r="R991" t="str">
        <f>_xlfn.XLOOKUP(Pipeline_tbl[[#This Row],[Rep_ID]],Dim_Reps!A:A,Dim_Reps!E:E)</f>
        <v>LATAM</v>
      </c>
      <c r="S991" t="str">
        <f>_xlfn.XLOOKUP(Pipeline_tbl[[#This Row],[Created_Date]],Dim_Date!A:A,Dim_Date!H:H)</f>
        <v>Oct 2025</v>
      </c>
      <c r="T991" t="str">
        <f>IF(Pipeline_tbl[[#This Row],[Closed_Date]]=0,"",(_xlfn.XLOOKUP(Pipeline_tbl[[#This Row],[Closed_Date]],Dim_Date!A:A,Dim_Date!H:H)))</f>
        <v>Oct 2025</v>
      </c>
      <c r="U991">
        <f>IF(Pipeline_tbl[[#This Row],[Closed_Date]]=0,"",Pipeline_tbl[[#This Row],[Closed_Date]]-Pipeline_tbl[[#This Row],[Created_Date]])</f>
        <v>10</v>
      </c>
    </row>
    <row r="992" spans="1:21" ht="15" customHeight="1" x14ac:dyDescent="0.2">
      <c r="A992" t="s">
        <v>1298</v>
      </c>
      <c r="B992" t="s">
        <v>265</v>
      </c>
      <c r="C992" t="s">
        <v>52</v>
      </c>
      <c r="D992" s="49">
        <v>45943</v>
      </c>
      <c r="E992" s="49">
        <v>45945</v>
      </c>
      <c r="F992" s="49">
        <v>45948</v>
      </c>
      <c r="G992" s="49">
        <v>45953</v>
      </c>
      <c r="H992" s="49">
        <v>45957</v>
      </c>
      <c r="I992" s="49">
        <v>45960</v>
      </c>
      <c r="J992" t="s">
        <v>49</v>
      </c>
      <c r="K992" s="33">
        <v>17600</v>
      </c>
      <c r="L992" t="s">
        <v>64</v>
      </c>
      <c r="M992" t="str">
        <f>_xlfn.XLOOKUP(Pipeline_tbl[[#This Row],[Rep_ID]],Dim_Reps!A:A,Dim_Reps!K:K)</f>
        <v>EUR</v>
      </c>
      <c r="N992" s="33">
        <f>(_xlfn.XLOOKUP(Pipeline_tbl[[#This Row],[Rate_Code_Generalized]],Lookups!A:A,Lookups!B:B))*Pipeline_tbl[[#This Row],[Pipeline_Amount_USD]]</f>
        <v>17600</v>
      </c>
      <c r="O992" t="str">
        <f>_xlfn.XLOOKUP(Pipeline_tbl[[#This Row],[Rep_ID]],Dim_Reps!A:A,Dim_Reps!B:B)</f>
        <v>Erik Duarte</v>
      </c>
      <c r="P992" t="str">
        <f>_xlfn.XLOOKUP(Pipeline_tbl[[#This Row],[Rep_ID]],Dim_Reps!A:A,Dim_Reps!C:C)</f>
        <v>Mid-Market AE</v>
      </c>
      <c r="Q992" t="str">
        <f>_xlfn.XLOOKUP(Pipeline_tbl[[#This Row],[Rep_ID]],Dim_Reps!A:A,Dim_Reps!D:D)</f>
        <v>Mid-Market</v>
      </c>
      <c r="R992" t="str">
        <f>_xlfn.XLOOKUP(Pipeline_tbl[[#This Row],[Rep_ID]],Dim_Reps!A:A,Dim_Reps!E:E)</f>
        <v>EMEA</v>
      </c>
      <c r="S992" t="str">
        <f>_xlfn.XLOOKUP(Pipeline_tbl[[#This Row],[Created_Date]],Dim_Date!A:A,Dim_Date!H:H)</f>
        <v>Oct 2025</v>
      </c>
      <c r="T992" t="str">
        <f>IF(Pipeline_tbl[[#This Row],[Closed_Date]]=0,"",(_xlfn.XLOOKUP(Pipeline_tbl[[#This Row],[Closed_Date]],Dim_Date!A:A,Dim_Date!H:H)))</f>
        <v>Oct 2025</v>
      </c>
      <c r="U992">
        <f>IF(Pipeline_tbl[[#This Row],[Closed_Date]]=0,"",Pipeline_tbl[[#This Row],[Closed_Date]]-Pipeline_tbl[[#This Row],[Created_Date]])</f>
        <v>17</v>
      </c>
    </row>
    <row r="993" spans="1:21" ht="15" customHeight="1" x14ac:dyDescent="0.2">
      <c r="A993" t="s">
        <v>1299</v>
      </c>
      <c r="B993" t="s">
        <v>233</v>
      </c>
      <c r="C993" t="s">
        <v>53</v>
      </c>
      <c r="D993" s="49">
        <v>45933</v>
      </c>
      <c r="E993" s="49">
        <v>45934</v>
      </c>
      <c r="F993" s="49">
        <v>45936</v>
      </c>
      <c r="G993" s="49">
        <v>45940</v>
      </c>
      <c r="H993" s="49">
        <v>45942</v>
      </c>
      <c r="I993" s="49">
        <v>45944</v>
      </c>
      <c r="J993" t="s">
        <v>47</v>
      </c>
      <c r="K993" s="33">
        <v>1500</v>
      </c>
      <c r="M993" t="str">
        <f>_xlfn.XLOOKUP(Pipeline_tbl[[#This Row],[Rep_ID]],Dim_Reps!A:A,Dim_Reps!K:K)</f>
        <v>MXN</v>
      </c>
      <c r="N993" s="33">
        <f>(_xlfn.XLOOKUP(Pipeline_tbl[[#This Row],[Rate_Code_Generalized]],Lookups!A:A,Lookups!B:B))*Pipeline_tbl[[#This Row],[Pipeline_Amount_USD]]</f>
        <v>29599.050000000003</v>
      </c>
      <c r="O993" t="str">
        <f>_xlfn.XLOOKUP(Pipeline_tbl[[#This Row],[Rep_ID]],Dim_Reps!A:A,Dim_Reps!B:B)</f>
        <v>Lucas Duarte</v>
      </c>
      <c r="P993" t="str">
        <f>_xlfn.XLOOKUP(Pipeline_tbl[[#This Row],[Rep_ID]],Dim_Reps!A:A,Dim_Reps!C:C)</f>
        <v>SDR / Inside Sales Rep</v>
      </c>
      <c r="Q993" t="str">
        <f>_xlfn.XLOOKUP(Pipeline_tbl[[#This Row],[Rep_ID]],Dim_Reps!A:A,Dim_Reps!D:D)</f>
        <v>Inside Sales</v>
      </c>
      <c r="R993" t="str">
        <f>_xlfn.XLOOKUP(Pipeline_tbl[[#This Row],[Rep_ID]],Dim_Reps!A:A,Dim_Reps!E:E)</f>
        <v>LATAM</v>
      </c>
      <c r="S993" t="str">
        <f>_xlfn.XLOOKUP(Pipeline_tbl[[#This Row],[Created_Date]],Dim_Date!A:A,Dim_Date!H:H)</f>
        <v>Oct 2025</v>
      </c>
      <c r="T993" t="str">
        <f>IF(Pipeline_tbl[[#This Row],[Closed_Date]]=0,"",(_xlfn.XLOOKUP(Pipeline_tbl[[#This Row],[Closed_Date]],Dim_Date!A:A,Dim_Date!H:H)))</f>
        <v>Oct 2025</v>
      </c>
      <c r="U993">
        <f>IF(Pipeline_tbl[[#This Row],[Closed_Date]]=0,"",Pipeline_tbl[[#This Row],[Closed_Date]]-Pipeline_tbl[[#This Row],[Created_Date]])</f>
        <v>11</v>
      </c>
    </row>
    <row r="994" spans="1:21" ht="15" customHeight="1" x14ac:dyDescent="0.2">
      <c r="A994" t="s">
        <v>1300</v>
      </c>
      <c r="B994" t="s">
        <v>233</v>
      </c>
      <c r="C994" t="s">
        <v>52</v>
      </c>
      <c r="D994" s="49">
        <v>45933</v>
      </c>
      <c r="E994" s="49">
        <v>45935</v>
      </c>
      <c r="F994" s="49">
        <v>45938</v>
      </c>
      <c r="I994" s="49">
        <v>45950</v>
      </c>
      <c r="J994" t="s">
        <v>49</v>
      </c>
      <c r="K994" s="33">
        <v>1700</v>
      </c>
      <c r="L994" t="s">
        <v>62</v>
      </c>
      <c r="M994" t="str">
        <f>_xlfn.XLOOKUP(Pipeline_tbl[[#This Row],[Rep_ID]],Dim_Reps!A:A,Dim_Reps!K:K)</f>
        <v>MXN</v>
      </c>
      <c r="N994" s="33">
        <f>(_xlfn.XLOOKUP(Pipeline_tbl[[#This Row],[Rate_Code_Generalized]],Lookups!A:A,Lookups!B:B))*Pipeline_tbl[[#This Row],[Pipeline_Amount_USD]]</f>
        <v>33545.590000000004</v>
      </c>
      <c r="O994" t="str">
        <f>_xlfn.XLOOKUP(Pipeline_tbl[[#This Row],[Rep_ID]],Dim_Reps!A:A,Dim_Reps!B:B)</f>
        <v>Lucas Duarte</v>
      </c>
      <c r="P994" t="str">
        <f>_xlfn.XLOOKUP(Pipeline_tbl[[#This Row],[Rep_ID]],Dim_Reps!A:A,Dim_Reps!C:C)</f>
        <v>SDR / Inside Sales Rep</v>
      </c>
      <c r="Q994" t="str">
        <f>_xlfn.XLOOKUP(Pipeline_tbl[[#This Row],[Rep_ID]],Dim_Reps!A:A,Dim_Reps!D:D)</f>
        <v>Inside Sales</v>
      </c>
      <c r="R994" t="str">
        <f>_xlfn.XLOOKUP(Pipeline_tbl[[#This Row],[Rep_ID]],Dim_Reps!A:A,Dim_Reps!E:E)</f>
        <v>LATAM</v>
      </c>
      <c r="S994" t="str">
        <f>_xlfn.XLOOKUP(Pipeline_tbl[[#This Row],[Created_Date]],Dim_Date!A:A,Dim_Date!H:H)</f>
        <v>Oct 2025</v>
      </c>
      <c r="T994" t="str">
        <f>IF(Pipeline_tbl[[#This Row],[Closed_Date]]=0,"",(_xlfn.XLOOKUP(Pipeline_tbl[[#This Row],[Closed_Date]],Dim_Date!A:A,Dim_Date!H:H)))</f>
        <v>Oct 2025</v>
      </c>
      <c r="U994">
        <f>IF(Pipeline_tbl[[#This Row],[Closed_Date]]=0,"",Pipeline_tbl[[#This Row],[Closed_Date]]-Pipeline_tbl[[#This Row],[Created_Date]])</f>
        <v>17</v>
      </c>
    </row>
    <row r="995" spans="1:21" ht="15" customHeight="1" x14ac:dyDescent="0.2">
      <c r="A995" t="s">
        <v>1301</v>
      </c>
      <c r="B995" t="s">
        <v>233</v>
      </c>
      <c r="C995" t="s">
        <v>52</v>
      </c>
      <c r="D995" s="49">
        <v>45943</v>
      </c>
      <c r="E995" s="49">
        <v>45945</v>
      </c>
      <c r="I995" s="49">
        <v>45960</v>
      </c>
      <c r="J995" t="s">
        <v>49</v>
      </c>
      <c r="K995" s="33">
        <v>4100</v>
      </c>
      <c r="L995" t="s">
        <v>63</v>
      </c>
      <c r="M995" t="str">
        <f>_xlfn.XLOOKUP(Pipeline_tbl[[#This Row],[Rep_ID]],Dim_Reps!A:A,Dim_Reps!K:K)</f>
        <v>MXN</v>
      </c>
      <c r="N995" s="33">
        <f>(_xlfn.XLOOKUP(Pipeline_tbl[[#This Row],[Rate_Code_Generalized]],Lookups!A:A,Lookups!B:B))*Pipeline_tbl[[#This Row],[Pipeline_Amount_USD]]</f>
        <v>80904.070000000007</v>
      </c>
      <c r="O995" t="str">
        <f>_xlfn.XLOOKUP(Pipeline_tbl[[#This Row],[Rep_ID]],Dim_Reps!A:A,Dim_Reps!B:B)</f>
        <v>Lucas Duarte</v>
      </c>
      <c r="P995" t="str">
        <f>_xlfn.XLOOKUP(Pipeline_tbl[[#This Row],[Rep_ID]],Dim_Reps!A:A,Dim_Reps!C:C)</f>
        <v>SDR / Inside Sales Rep</v>
      </c>
      <c r="Q995" t="str">
        <f>_xlfn.XLOOKUP(Pipeline_tbl[[#This Row],[Rep_ID]],Dim_Reps!A:A,Dim_Reps!D:D)</f>
        <v>Inside Sales</v>
      </c>
      <c r="R995" t="str">
        <f>_xlfn.XLOOKUP(Pipeline_tbl[[#This Row],[Rep_ID]],Dim_Reps!A:A,Dim_Reps!E:E)</f>
        <v>LATAM</v>
      </c>
      <c r="S995" t="str">
        <f>_xlfn.XLOOKUP(Pipeline_tbl[[#This Row],[Created_Date]],Dim_Date!A:A,Dim_Date!H:H)</f>
        <v>Oct 2025</v>
      </c>
      <c r="T995" t="str">
        <f>IF(Pipeline_tbl[[#This Row],[Closed_Date]]=0,"",(_xlfn.XLOOKUP(Pipeline_tbl[[#This Row],[Closed_Date]],Dim_Date!A:A,Dim_Date!H:H)))</f>
        <v>Oct 2025</v>
      </c>
      <c r="U995">
        <f>IF(Pipeline_tbl[[#This Row],[Closed_Date]]=0,"",Pipeline_tbl[[#This Row],[Closed_Date]]-Pipeline_tbl[[#This Row],[Created_Date]])</f>
        <v>17</v>
      </c>
    </row>
    <row r="996" spans="1:21" ht="15" customHeight="1" x14ac:dyDescent="0.2">
      <c r="A996" t="s">
        <v>1302</v>
      </c>
      <c r="B996" t="s">
        <v>233</v>
      </c>
      <c r="C996" t="s">
        <v>52</v>
      </c>
      <c r="D996" s="49">
        <v>45948</v>
      </c>
      <c r="E996" s="49">
        <v>45949</v>
      </c>
      <c r="F996" s="49">
        <v>45950</v>
      </c>
      <c r="G996" s="49">
        <v>45952</v>
      </c>
      <c r="H996" s="49">
        <v>45954</v>
      </c>
      <c r="I996" s="49">
        <v>45955</v>
      </c>
      <c r="J996" t="s">
        <v>47</v>
      </c>
      <c r="K996" s="33">
        <v>3000</v>
      </c>
      <c r="M996" t="str">
        <f>_xlfn.XLOOKUP(Pipeline_tbl[[#This Row],[Rep_ID]],Dim_Reps!A:A,Dim_Reps!K:K)</f>
        <v>MXN</v>
      </c>
      <c r="N996" s="33">
        <f>(_xlfn.XLOOKUP(Pipeline_tbl[[#This Row],[Rate_Code_Generalized]],Lookups!A:A,Lookups!B:B))*Pipeline_tbl[[#This Row],[Pipeline_Amount_USD]]</f>
        <v>59198.100000000006</v>
      </c>
      <c r="O996" t="str">
        <f>_xlfn.XLOOKUP(Pipeline_tbl[[#This Row],[Rep_ID]],Dim_Reps!A:A,Dim_Reps!B:B)</f>
        <v>Lucas Duarte</v>
      </c>
      <c r="P996" t="str">
        <f>_xlfn.XLOOKUP(Pipeline_tbl[[#This Row],[Rep_ID]],Dim_Reps!A:A,Dim_Reps!C:C)</f>
        <v>SDR / Inside Sales Rep</v>
      </c>
      <c r="Q996" t="str">
        <f>_xlfn.XLOOKUP(Pipeline_tbl[[#This Row],[Rep_ID]],Dim_Reps!A:A,Dim_Reps!D:D)</f>
        <v>Inside Sales</v>
      </c>
      <c r="R996" t="str">
        <f>_xlfn.XLOOKUP(Pipeline_tbl[[#This Row],[Rep_ID]],Dim_Reps!A:A,Dim_Reps!E:E)</f>
        <v>LATAM</v>
      </c>
      <c r="S996" t="str">
        <f>_xlfn.XLOOKUP(Pipeline_tbl[[#This Row],[Created_Date]],Dim_Date!A:A,Dim_Date!H:H)</f>
        <v>Oct 2025</v>
      </c>
      <c r="T996" t="str">
        <f>IF(Pipeline_tbl[[#This Row],[Closed_Date]]=0,"",(_xlfn.XLOOKUP(Pipeline_tbl[[#This Row],[Closed_Date]],Dim_Date!A:A,Dim_Date!H:H)))</f>
        <v>Oct 2025</v>
      </c>
      <c r="U996">
        <f>IF(Pipeline_tbl[[#This Row],[Closed_Date]]=0,"",Pipeline_tbl[[#This Row],[Closed_Date]]-Pipeline_tbl[[#This Row],[Created_Date]])</f>
        <v>7</v>
      </c>
    </row>
    <row r="997" spans="1:21" ht="15" customHeight="1" x14ac:dyDescent="0.2">
      <c r="A997" t="s">
        <v>1303</v>
      </c>
      <c r="B997" t="s">
        <v>233</v>
      </c>
      <c r="C997" t="s">
        <v>54</v>
      </c>
      <c r="D997" s="49">
        <v>45943</v>
      </c>
      <c r="E997" s="49">
        <v>45944</v>
      </c>
      <c r="F997" s="49">
        <v>45945</v>
      </c>
      <c r="G997" s="49">
        <v>45947</v>
      </c>
      <c r="I997" s="49">
        <v>45950</v>
      </c>
      <c r="J997" t="s">
        <v>49</v>
      </c>
      <c r="K997" s="33">
        <v>4100</v>
      </c>
      <c r="L997" t="s">
        <v>61</v>
      </c>
      <c r="M997" t="str">
        <f>_xlfn.XLOOKUP(Pipeline_tbl[[#This Row],[Rep_ID]],Dim_Reps!A:A,Dim_Reps!K:K)</f>
        <v>MXN</v>
      </c>
      <c r="N997" s="33">
        <f>(_xlfn.XLOOKUP(Pipeline_tbl[[#This Row],[Rate_Code_Generalized]],Lookups!A:A,Lookups!B:B))*Pipeline_tbl[[#This Row],[Pipeline_Amount_USD]]</f>
        <v>80904.070000000007</v>
      </c>
      <c r="O997" t="str">
        <f>_xlfn.XLOOKUP(Pipeline_tbl[[#This Row],[Rep_ID]],Dim_Reps!A:A,Dim_Reps!B:B)</f>
        <v>Lucas Duarte</v>
      </c>
      <c r="P997" t="str">
        <f>_xlfn.XLOOKUP(Pipeline_tbl[[#This Row],[Rep_ID]],Dim_Reps!A:A,Dim_Reps!C:C)</f>
        <v>SDR / Inside Sales Rep</v>
      </c>
      <c r="Q997" t="str">
        <f>_xlfn.XLOOKUP(Pipeline_tbl[[#This Row],[Rep_ID]],Dim_Reps!A:A,Dim_Reps!D:D)</f>
        <v>Inside Sales</v>
      </c>
      <c r="R997" t="str">
        <f>_xlfn.XLOOKUP(Pipeline_tbl[[#This Row],[Rep_ID]],Dim_Reps!A:A,Dim_Reps!E:E)</f>
        <v>LATAM</v>
      </c>
      <c r="S997" t="str">
        <f>_xlfn.XLOOKUP(Pipeline_tbl[[#This Row],[Created_Date]],Dim_Date!A:A,Dim_Date!H:H)</f>
        <v>Oct 2025</v>
      </c>
      <c r="T997" t="str">
        <f>IF(Pipeline_tbl[[#This Row],[Closed_Date]]=0,"",(_xlfn.XLOOKUP(Pipeline_tbl[[#This Row],[Closed_Date]],Dim_Date!A:A,Dim_Date!H:H)))</f>
        <v>Oct 2025</v>
      </c>
      <c r="U997">
        <f>IF(Pipeline_tbl[[#This Row],[Closed_Date]]=0,"",Pipeline_tbl[[#This Row],[Closed_Date]]-Pipeline_tbl[[#This Row],[Created_Date]])</f>
        <v>7</v>
      </c>
    </row>
    <row r="998" spans="1:21" ht="15" customHeight="1" x14ac:dyDescent="0.2">
      <c r="A998" t="s">
        <v>1304</v>
      </c>
      <c r="B998" t="s">
        <v>233</v>
      </c>
      <c r="C998" t="s">
        <v>54</v>
      </c>
      <c r="D998" s="49">
        <v>45941</v>
      </c>
      <c r="E998" s="49">
        <v>45943</v>
      </c>
      <c r="I998" s="49">
        <v>45958</v>
      </c>
      <c r="J998" t="s">
        <v>49</v>
      </c>
      <c r="K998" s="33">
        <v>5000</v>
      </c>
      <c r="L998" t="s">
        <v>61</v>
      </c>
      <c r="M998" t="str">
        <f>_xlfn.XLOOKUP(Pipeline_tbl[[#This Row],[Rep_ID]],Dim_Reps!A:A,Dim_Reps!K:K)</f>
        <v>MXN</v>
      </c>
      <c r="N998" s="33">
        <f>(_xlfn.XLOOKUP(Pipeline_tbl[[#This Row],[Rate_Code_Generalized]],Lookups!A:A,Lookups!B:B))*Pipeline_tbl[[#This Row],[Pipeline_Amount_USD]]</f>
        <v>98663.5</v>
      </c>
      <c r="O998" t="str">
        <f>_xlfn.XLOOKUP(Pipeline_tbl[[#This Row],[Rep_ID]],Dim_Reps!A:A,Dim_Reps!B:B)</f>
        <v>Lucas Duarte</v>
      </c>
      <c r="P998" t="str">
        <f>_xlfn.XLOOKUP(Pipeline_tbl[[#This Row],[Rep_ID]],Dim_Reps!A:A,Dim_Reps!C:C)</f>
        <v>SDR / Inside Sales Rep</v>
      </c>
      <c r="Q998" t="str">
        <f>_xlfn.XLOOKUP(Pipeline_tbl[[#This Row],[Rep_ID]],Dim_Reps!A:A,Dim_Reps!D:D)</f>
        <v>Inside Sales</v>
      </c>
      <c r="R998" t="str">
        <f>_xlfn.XLOOKUP(Pipeline_tbl[[#This Row],[Rep_ID]],Dim_Reps!A:A,Dim_Reps!E:E)</f>
        <v>LATAM</v>
      </c>
      <c r="S998" t="str">
        <f>_xlfn.XLOOKUP(Pipeline_tbl[[#This Row],[Created_Date]],Dim_Date!A:A,Dim_Date!H:H)</f>
        <v>Oct 2025</v>
      </c>
      <c r="T998" t="str">
        <f>IF(Pipeline_tbl[[#This Row],[Closed_Date]]=0,"",(_xlfn.XLOOKUP(Pipeline_tbl[[#This Row],[Closed_Date]],Dim_Date!A:A,Dim_Date!H:H)))</f>
        <v>Oct 2025</v>
      </c>
      <c r="U998">
        <f>IF(Pipeline_tbl[[#This Row],[Closed_Date]]=0,"",Pipeline_tbl[[#This Row],[Closed_Date]]-Pipeline_tbl[[#This Row],[Created_Date]])</f>
        <v>17</v>
      </c>
    </row>
    <row r="999" spans="1:21" ht="15" customHeight="1" x14ac:dyDescent="0.2">
      <c r="A999" t="s">
        <v>1305</v>
      </c>
      <c r="B999" t="s">
        <v>233</v>
      </c>
      <c r="C999" t="s">
        <v>56</v>
      </c>
      <c r="D999" s="49">
        <v>45939</v>
      </c>
      <c r="E999" s="49">
        <v>45941</v>
      </c>
      <c r="F999" s="49">
        <v>45944</v>
      </c>
      <c r="G999" s="49">
        <v>45948</v>
      </c>
      <c r="I999" s="49">
        <v>45954</v>
      </c>
      <c r="J999" t="s">
        <v>49</v>
      </c>
      <c r="K999" s="33">
        <v>2400</v>
      </c>
      <c r="L999" t="s">
        <v>62</v>
      </c>
      <c r="M999" t="str">
        <f>_xlfn.XLOOKUP(Pipeline_tbl[[#This Row],[Rep_ID]],Dim_Reps!A:A,Dim_Reps!K:K)</f>
        <v>MXN</v>
      </c>
      <c r="N999" s="33">
        <f>(_xlfn.XLOOKUP(Pipeline_tbl[[#This Row],[Rate_Code_Generalized]],Lookups!A:A,Lookups!B:B))*Pipeline_tbl[[#This Row],[Pipeline_Amount_USD]]</f>
        <v>47358.48</v>
      </c>
      <c r="O999" t="str">
        <f>_xlfn.XLOOKUP(Pipeline_tbl[[#This Row],[Rep_ID]],Dim_Reps!A:A,Dim_Reps!B:B)</f>
        <v>Lucas Duarte</v>
      </c>
      <c r="P999" t="str">
        <f>_xlfn.XLOOKUP(Pipeline_tbl[[#This Row],[Rep_ID]],Dim_Reps!A:A,Dim_Reps!C:C)</f>
        <v>SDR / Inside Sales Rep</v>
      </c>
      <c r="Q999" t="str">
        <f>_xlfn.XLOOKUP(Pipeline_tbl[[#This Row],[Rep_ID]],Dim_Reps!A:A,Dim_Reps!D:D)</f>
        <v>Inside Sales</v>
      </c>
      <c r="R999" t="str">
        <f>_xlfn.XLOOKUP(Pipeline_tbl[[#This Row],[Rep_ID]],Dim_Reps!A:A,Dim_Reps!E:E)</f>
        <v>LATAM</v>
      </c>
      <c r="S999" t="str">
        <f>_xlfn.XLOOKUP(Pipeline_tbl[[#This Row],[Created_Date]],Dim_Date!A:A,Dim_Date!H:H)</f>
        <v>Oct 2025</v>
      </c>
      <c r="T999" t="str">
        <f>IF(Pipeline_tbl[[#This Row],[Closed_Date]]=0,"",(_xlfn.XLOOKUP(Pipeline_tbl[[#This Row],[Closed_Date]],Dim_Date!A:A,Dim_Date!H:H)))</f>
        <v>Oct 2025</v>
      </c>
      <c r="U999">
        <f>IF(Pipeline_tbl[[#This Row],[Closed_Date]]=0,"",Pipeline_tbl[[#This Row],[Closed_Date]]-Pipeline_tbl[[#This Row],[Created_Date]])</f>
        <v>15</v>
      </c>
    </row>
    <row r="1000" spans="1:21" ht="15" customHeight="1" x14ac:dyDescent="0.2">
      <c r="A1000" t="s">
        <v>1306</v>
      </c>
      <c r="B1000" t="s">
        <v>235</v>
      </c>
      <c r="C1000" t="s">
        <v>54</v>
      </c>
      <c r="D1000" s="49">
        <v>45951</v>
      </c>
      <c r="E1000" s="49">
        <v>45952</v>
      </c>
      <c r="F1000" s="49">
        <v>45953</v>
      </c>
      <c r="G1000" s="49">
        <v>45955</v>
      </c>
      <c r="H1000" s="49">
        <v>45957</v>
      </c>
      <c r="I1000" s="49">
        <v>45958</v>
      </c>
      <c r="J1000" t="s">
        <v>47</v>
      </c>
      <c r="K1000" s="33">
        <v>3100</v>
      </c>
      <c r="M1000" t="str">
        <f>_xlfn.XLOOKUP(Pipeline_tbl[[#This Row],[Rep_ID]],Dim_Reps!A:A,Dim_Reps!K:K)</f>
        <v>MXN</v>
      </c>
      <c r="N1000" s="33">
        <f>(_xlfn.XLOOKUP(Pipeline_tbl[[#This Row],[Rate_Code_Generalized]],Lookups!A:A,Lookups!B:B))*Pipeline_tbl[[#This Row],[Pipeline_Amount_USD]]</f>
        <v>61171.37</v>
      </c>
      <c r="O1000" t="str">
        <f>_xlfn.XLOOKUP(Pipeline_tbl[[#This Row],[Rep_ID]],Dim_Reps!A:A,Dim_Reps!B:B)</f>
        <v>Milo Castro</v>
      </c>
      <c r="P1000" t="str">
        <f>_xlfn.XLOOKUP(Pipeline_tbl[[#This Row],[Rep_ID]],Dim_Reps!A:A,Dim_Reps!C:C)</f>
        <v>SDR / Inside Sales Rep</v>
      </c>
      <c r="Q1000" t="str">
        <f>_xlfn.XLOOKUP(Pipeline_tbl[[#This Row],[Rep_ID]],Dim_Reps!A:A,Dim_Reps!D:D)</f>
        <v>Inside Sales</v>
      </c>
      <c r="R1000" t="str">
        <f>_xlfn.XLOOKUP(Pipeline_tbl[[#This Row],[Rep_ID]],Dim_Reps!A:A,Dim_Reps!E:E)</f>
        <v>LATAM</v>
      </c>
      <c r="S1000" t="str">
        <f>_xlfn.XLOOKUP(Pipeline_tbl[[#This Row],[Created_Date]],Dim_Date!A:A,Dim_Date!H:H)</f>
        <v>Oct 2025</v>
      </c>
      <c r="T1000" t="str">
        <f>IF(Pipeline_tbl[[#This Row],[Closed_Date]]=0,"",(_xlfn.XLOOKUP(Pipeline_tbl[[#This Row],[Closed_Date]],Dim_Date!A:A,Dim_Date!H:H)))</f>
        <v>Oct 2025</v>
      </c>
      <c r="U1000">
        <f>IF(Pipeline_tbl[[#This Row],[Closed_Date]]=0,"",Pipeline_tbl[[#This Row],[Closed_Date]]-Pipeline_tbl[[#This Row],[Created_Date]])</f>
        <v>7</v>
      </c>
    </row>
    <row r="1001" spans="1:21" ht="15" customHeight="1" x14ac:dyDescent="0.2">
      <c r="A1001" t="s">
        <v>1307</v>
      </c>
      <c r="B1001" t="s">
        <v>235</v>
      </c>
      <c r="C1001" t="s">
        <v>52</v>
      </c>
      <c r="D1001" s="49">
        <v>45932</v>
      </c>
      <c r="E1001" s="49">
        <v>45933</v>
      </c>
      <c r="F1001" s="49">
        <v>45936</v>
      </c>
      <c r="G1001" s="49">
        <v>45940</v>
      </c>
      <c r="I1001" s="49">
        <v>45946</v>
      </c>
      <c r="J1001" t="s">
        <v>49</v>
      </c>
      <c r="K1001" s="33">
        <v>3700</v>
      </c>
      <c r="L1001" t="s">
        <v>64</v>
      </c>
      <c r="M1001" t="str">
        <f>_xlfn.XLOOKUP(Pipeline_tbl[[#This Row],[Rep_ID]],Dim_Reps!A:A,Dim_Reps!K:K)</f>
        <v>MXN</v>
      </c>
      <c r="N1001" s="33">
        <f>(_xlfn.XLOOKUP(Pipeline_tbl[[#This Row],[Rate_Code_Generalized]],Lookups!A:A,Lookups!B:B))*Pipeline_tbl[[#This Row],[Pipeline_Amount_USD]]</f>
        <v>73010.990000000005</v>
      </c>
      <c r="O1001" t="str">
        <f>_xlfn.XLOOKUP(Pipeline_tbl[[#This Row],[Rep_ID]],Dim_Reps!A:A,Dim_Reps!B:B)</f>
        <v>Milo Castro</v>
      </c>
      <c r="P1001" t="str">
        <f>_xlfn.XLOOKUP(Pipeline_tbl[[#This Row],[Rep_ID]],Dim_Reps!A:A,Dim_Reps!C:C)</f>
        <v>SDR / Inside Sales Rep</v>
      </c>
      <c r="Q1001" t="str">
        <f>_xlfn.XLOOKUP(Pipeline_tbl[[#This Row],[Rep_ID]],Dim_Reps!A:A,Dim_Reps!D:D)</f>
        <v>Inside Sales</v>
      </c>
      <c r="R1001" t="str">
        <f>_xlfn.XLOOKUP(Pipeline_tbl[[#This Row],[Rep_ID]],Dim_Reps!A:A,Dim_Reps!E:E)</f>
        <v>LATAM</v>
      </c>
      <c r="S1001" t="str">
        <f>_xlfn.XLOOKUP(Pipeline_tbl[[#This Row],[Created_Date]],Dim_Date!A:A,Dim_Date!H:H)</f>
        <v>Oct 2025</v>
      </c>
      <c r="T1001" t="str">
        <f>IF(Pipeline_tbl[[#This Row],[Closed_Date]]=0,"",(_xlfn.XLOOKUP(Pipeline_tbl[[#This Row],[Closed_Date]],Dim_Date!A:A,Dim_Date!H:H)))</f>
        <v>Oct 2025</v>
      </c>
      <c r="U1001">
        <f>IF(Pipeline_tbl[[#This Row],[Closed_Date]]=0,"",Pipeline_tbl[[#This Row],[Closed_Date]]-Pipeline_tbl[[#This Row],[Created_Date]])</f>
        <v>14</v>
      </c>
    </row>
    <row r="1002" spans="1:21" ht="15" customHeight="1" x14ac:dyDescent="0.2">
      <c r="A1002" t="s">
        <v>1308</v>
      </c>
      <c r="B1002" t="s">
        <v>235</v>
      </c>
      <c r="C1002" t="s">
        <v>52</v>
      </c>
      <c r="D1002" s="49">
        <v>45931</v>
      </c>
      <c r="E1002" s="49">
        <v>45933</v>
      </c>
      <c r="F1002" s="49">
        <v>45936</v>
      </c>
      <c r="G1002" s="49">
        <v>45941</v>
      </c>
      <c r="H1002" s="49">
        <v>45945</v>
      </c>
      <c r="I1002" s="49">
        <v>45948</v>
      </c>
      <c r="J1002" t="s">
        <v>47</v>
      </c>
      <c r="K1002" s="33">
        <v>7600</v>
      </c>
      <c r="M1002" t="str">
        <f>_xlfn.XLOOKUP(Pipeline_tbl[[#This Row],[Rep_ID]],Dim_Reps!A:A,Dim_Reps!K:K)</f>
        <v>MXN</v>
      </c>
      <c r="N1002" s="33">
        <f>(_xlfn.XLOOKUP(Pipeline_tbl[[#This Row],[Rate_Code_Generalized]],Lookups!A:A,Lookups!B:B))*Pipeline_tbl[[#This Row],[Pipeline_Amount_USD]]</f>
        <v>149968.52000000002</v>
      </c>
      <c r="O1002" t="str">
        <f>_xlfn.XLOOKUP(Pipeline_tbl[[#This Row],[Rep_ID]],Dim_Reps!A:A,Dim_Reps!B:B)</f>
        <v>Milo Castro</v>
      </c>
      <c r="P1002" t="str">
        <f>_xlfn.XLOOKUP(Pipeline_tbl[[#This Row],[Rep_ID]],Dim_Reps!A:A,Dim_Reps!C:C)</f>
        <v>SDR / Inside Sales Rep</v>
      </c>
      <c r="Q1002" t="str">
        <f>_xlfn.XLOOKUP(Pipeline_tbl[[#This Row],[Rep_ID]],Dim_Reps!A:A,Dim_Reps!D:D)</f>
        <v>Inside Sales</v>
      </c>
      <c r="R1002" t="str">
        <f>_xlfn.XLOOKUP(Pipeline_tbl[[#This Row],[Rep_ID]],Dim_Reps!A:A,Dim_Reps!E:E)</f>
        <v>LATAM</v>
      </c>
      <c r="S1002" t="str">
        <f>_xlfn.XLOOKUP(Pipeline_tbl[[#This Row],[Created_Date]],Dim_Date!A:A,Dim_Date!H:H)</f>
        <v>Oct 2025</v>
      </c>
      <c r="T1002" t="str">
        <f>IF(Pipeline_tbl[[#This Row],[Closed_Date]]=0,"",(_xlfn.XLOOKUP(Pipeline_tbl[[#This Row],[Closed_Date]],Dim_Date!A:A,Dim_Date!H:H)))</f>
        <v>Oct 2025</v>
      </c>
      <c r="U1002">
        <f>IF(Pipeline_tbl[[#This Row],[Closed_Date]]=0,"",Pipeline_tbl[[#This Row],[Closed_Date]]-Pipeline_tbl[[#This Row],[Created_Date]])</f>
        <v>17</v>
      </c>
    </row>
    <row r="1003" spans="1:21" ht="15" customHeight="1" x14ac:dyDescent="0.2">
      <c r="A1003" t="s">
        <v>1309</v>
      </c>
      <c r="B1003" t="s">
        <v>235</v>
      </c>
      <c r="C1003" t="s">
        <v>55</v>
      </c>
      <c r="D1003" s="49">
        <v>45939</v>
      </c>
      <c r="E1003" s="49">
        <v>45941</v>
      </c>
      <c r="F1003" s="49">
        <v>45944</v>
      </c>
      <c r="G1003" s="49">
        <v>45949</v>
      </c>
      <c r="H1003" s="49">
        <v>45953</v>
      </c>
      <c r="I1003" s="49">
        <v>45956</v>
      </c>
      <c r="J1003" t="s">
        <v>49</v>
      </c>
      <c r="K1003" s="33">
        <v>3400</v>
      </c>
      <c r="L1003" t="s">
        <v>60</v>
      </c>
      <c r="M1003" t="str">
        <f>_xlfn.XLOOKUP(Pipeline_tbl[[#This Row],[Rep_ID]],Dim_Reps!A:A,Dim_Reps!K:K)</f>
        <v>MXN</v>
      </c>
      <c r="N1003" s="33">
        <f>(_xlfn.XLOOKUP(Pipeline_tbl[[#This Row],[Rate_Code_Generalized]],Lookups!A:A,Lookups!B:B))*Pipeline_tbl[[#This Row],[Pipeline_Amount_USD]]</f>
        <v>67091.180000000008</v>
      </c>
      <c r="O1003" t="str">
        <f>_xlfn.XLOOKUP(Pipeline_tbl[[#This Row],[Rep_ID]],Dim_Reps!A:A,Dim_Reps!B:B)</f>
        <v>Milo Castro</v>
      </c>
      <c r="P1003" t="str">
        <f>_xlfn.XLOOKUP(Pipeline_tbl[[#This Row],[Rep_ID]],Dim_Reps!A:A,Dim_Reps!C:C)</f>
        <v>SDR / Inside Sales Rep</v>
      </c>
      <c r="Q1003" t="str">
        <f>_xlfn.XLOOKUP(Pipeline_tbl[[#This Row],[Rep_ID]],Dim_Reps!A:A,Dim_Reps!D:D)</f>
        <v>Inside Sales</v>
      </c>
      <c r="R1003" t="str">
        <f>_xlfn.XLOOKUP(Pipeline_tbl[[#This Row],[Rep_ID]],Dim_Reps!A:A,Dim_Reps!E:E)</f>
        <v>LATAM</v>
      </c>
      <c r="S1003" t="str">
        <f>_xlfn.XLOOKUP(Pipeline_tbl[[#This Row],[Created_Date]],Dim_Date!A:A,Dim_Date!H:H)</f>
        <v>Oct 2025</v>
      </c>
      <c r="T1003" t="str">
        <f>IF(Pipeline_tbl[[#This Row],[Closed_Date]]=0,"",(_xlfn.XLOOKUP(Pipeline_tbl[[#This Row],[Closed_Date]],Dim_Date!A:A,Dim_Date!H:H)))</f>
        <v>Oct 2025</v>
      </c>
      <c r="U1003">
        <f>IF(Pipeline_tbl[[#This Row],[Closed_Date]]=0,"",Pipeline_tbl[[#This Row],[Closed_Date]]-Pipeline_tbl[[#This Row],[Created_Date]])</f>
        <v>17</v>
      </c>
    </row>
    <row r="1004" spans="1:21" ht="15" customHeight="1" x14ac:dyDescent="0.2">
      <c r="A1004" t="s">
        <v>1310</v>
      </c>
      <c r="B1004" t="s">
        <v>235</v>
      </c>
      <c r="C1004" t="s">
        <v>55</v>
      </c>
      <c r="D1004" s="49">
        <v>45937</v>
      </c>
      <c r="E1004" s="49">
        <v>45938</v>
      </c>
      <c r="F1004" s="49">
        <v>45940</v>
      </c>
      <c r="G1004" s="49">
        <v>45944</v>
      </c>
      <c r="H1004" s="49">
        <v>45946</v>
      </c>
      <c r="I1004" s="49">
        <v>45948</v>
      </c>
      <c r="J1004" t="s">
        <v>47</v>
      </c>
      <c r="K1004" s="33">
        <v>3400</v>
      </c>
      <c r="M1004" t="str">
        <f>_xlfn.XLOOKUP(Pipeline_tbl[[#This Row],[Rep_ID]],Dim_Reps!A:A,Dim_Reps!K:K)</f>
        <v>MXN</v>
      </c>
      <c r="N1004" s="33">
        <f>(_xlfn.XLOOKUP(Pipeline_tbl[[#This Row],[Rate_Code_Generalized]],Lookups!A:A,Lookups!B:B))*Pipeline_tbl[[#This Row],[Pipeline_Amount_USD]]</f>
        <v>67091.180000000008</v>
      </c>
      <c r="O1004" t="str">
        <f>_xlfn.XLOOKUP(Pipeline_tbl[[#This Row],[Rep_ID]],Dim_Reps!A:A,Dim_Reps!B:B)</f>
        <v>Milo Castro</v>
      </c>
      <c r="P1004" t="str">
        <f>_xlfn.XLOOKUP(Pipeline_tbl[[#This Row],[Rep_ID]],Dim_Reps!A:A,Dim_Reps!C:C)</f>
        <v>SDR / Inside Sales Rep</v>
      </c>
      <c r="Q1004" t="str">
        <f>_xlfn.XLOOKUP(Pipeline_tbl[[#This Row],[Rep_ID]],Dim_Reps!A:A,Dim_Reps!D:D)</f>
        <v>Inside Sales</v>
      </c>
      <c r="R1004" t="str">
        <f>_xlfn.XLOOKUP(Pipeline_tbl[[#This Row],[Rep_ID]],Dim_Reps!A:A,Dim_Reps!E:E)</f>
        <v>LATAM</v>
      </c>
      <c r="S1004" t="str">
        <f>_xlfn.XLOOKUP(Pipeline_tbl[[#This Row],[Created_Date]],Dim_Date!A:A,Dim_Date!H:H)</f>
        <v>Oct 2025</v>
      </c>
      <c r="T1004" t="str">
        <f>IF(Pipeline_tbl[[#This Row],[Closed_Date]]=0,"",(_xlfn.XLOOKUP(Pipeline_tbl[[#This Row],[Closed_Date]],Dim_Date!A:A,Dim_Date!H:H)))</f>
        <v>Oct 2025</v>
      </c>
      <c r="U1004">
        <f>IF(Pipeline_tbl[[#This Row],[Closed_Date]]=0,"",Pipeline_tbl[[#This Row],[Closed_Date]]-Pipeline_tbl[[#This Row],[Created_Date]])</f>
        <v>11</v>
      </c>
    </row>
    <row r="1005" spans="1:21" ht="15" customHeight="1" x14ac:dyDescent="0.2">
      <c r="A1005" t="s">
        <v>1311</v>
      </c>
      <c r="B1005" t="s">
        <v>235</v>
      </c>
      <c r="C1005" t="s">
        <v>52</v>
      </c>
      <c r="D1005" s="49">
        <v>45936</v>
      </c>
      <c r="E1005" s="49">
        <v>45938</v>
      </c>
      <c r="F1005" s="49">
        <v>45943</v>
      </c>
      <c r="G1005" s="49">
        <v>45950</v>
      </c>
      <c r="H1005" s="49">
        <v>45956</v>
      </c>
      <c r="I1005" s="49">
        <v>45959</v>
      </c>
      <c r="J1005" t="s">
        <v>49</v>
      </c>
      <c r="K1005" s="33">
        <v>1500</v>
      </c>
      <c r="L1005" t="s">
        <v>61</v>
      </c>
      <c r="M1005" t="str">
        <f>_xlfn.XLOOKUP(Pipeline_tbl[[#This Row],[Rep_ID]],Dim_Reps!A:A,Dim_Reps!K:K)</f>
        <v>MXN</v>
      </c>
      <c r="N1005" s="33">
        <f>(_xlfn.XLOOKUP(Pipeline_tbl[[#This Row],[Rate_Code_Generalized]],Lookups!A:A,Lookups!B:B))*Pipeline_tbl[[#This Row],[Pipeline_Amount_USD]]</f>
        <v>29599.050000000003</v>
      </c>
      <c r="O1005" t="str">
        <f>_xlfn.XLOOKUP(Pipeline_tbl[[#This Row],[Rep_ID]],Dim_Reps!A:A,Dim_Reps!B:B)</f>
        <v>Milo Castro</v>
      </c>
      <c r="P1005" t="str">
        <f>_xlfn.XLOOKUP(Pipeline_tbl[[#This Row],[Rep_ID]],Dim_Reps!A:A,Dim_Reps!C:C)</f>
        <v>SDR / Inside Sales Rep</v>
      </c>
      <c r="Q1005" t="str">
        <f>_xlfn.XLOOKUP(Pipeline_tbl[[#This Row],[Rep_ID]],Dim_Reps!A:A,Dim_Reps!D:D)</f>
        <v>Inside Sales</v>
      </c>
      <c r="R1005" t="str">
        <f>_xlfn.XLOOKUP(Pipeline_tbl[[#This Row],[Rep_ID]],Dim_Reps!A:A,Dim_Reps!E:E)</f>
        <v>LATAM</v>
      </c>
      <c r="S1005" t="str">
        <f>_xlfn.XLOOKUP(Pipeline_tbl[[#This Row],[Created_Date]],Dim_Date!A:A,Dim_Date!H:H)</f>
        <v>Oct 2025</v>
      </c>
      <c r="T1005" t="str">
        <f>IF(Pipeline_tbl[[#This Row],[Closed_Date]]=0,"",(_xlfn.XLOOKUP(Pipeline_tbl[[#This Row],[Closed_Date]],Dim_Date!A:A,Dim_Date!H:H)))</f>
        <v>Oct 2025</v>
      </c>
      <c r="U1005">
        <f>IF(Pipeline_tbl[[#This Row],[Closed_Date]]=0,"",Pipeline_tbl[[#This Row],[Closed_Date]]-Pipeline_tbl[[#This Row],[Created_Date]])</f>
        <v>23</v>
      </c>
    </row>
    <row r="1006" spans="1:21" ht="15" customHeight="1" x14ac:dyDescent="0.2">
      <c r="A1006" t="s">
        <v>1312</v>
      </c>
      <c r="B1006" t="s">
        <v>237</v>
      </c>
      <c r="C1006" t="s">
        <v>53</v>
      </c>
      <c r="D1006" s="49">
        <v>45949</v>
      </c>
      <c r="E1006" s="49">
        <v>45950</v>
      </c>
      <c r="F1006" s="49">
        <v>45952</v>
      </c>
      <c r="G1006" s="49">
        <v>45956</v>
      </c>
      <c r="H1006" s="49">
        <v>45958</v>
      </c>
      <c r="I1006" s="49">
        <v>45960</v>
      </c>
      <c r="J1006" t="s">
        <v>47</v>
      </c>
      <c r="K1006" s="33">
        <v>1900</v>
      </c>
      <c r="M1006" t="str">
        <f>_xlfn.XLOOKUP(Pipeline_tbl[[#This Row],[Rep_ID]],Dim_Reps!A:A,Dim_Reps!K:K)</f>
        <v>EUR</v>
      </c>
      <c r="N1006" s="33">
        <f>(_xlfn.XLOOKUP(Pipeline_tbl[[#This Row],[Rate_Code_Generalized]],Lookups!A:A,Lookups!B:B))*Pipeline_tbl[[#This Row],[Pipeline_Amount_USD]]</f>
        <v>1900</v>
      </c>
      <c r="O1006" t="str">
        <f>_xlfn.XLOOKUP(Pipeline_tbl[[#This Row],[Rep_ID]],Dim_Reps!A:A,Dim_Reps!B:B)</f>
        <v>Hugo Santos</v>
      </c>
      <c r="P1006" t="str">
        <f>_xlfn.XLOOKUP(Pipeline_tbl[[#This Row],[Rep_ID]],Dim_Reps!A:A,Dim_Reps!C:C)</f>
        <v>SDR / Inside Sales Rep</v>
      </c>
      <c r="Q1006" t="str">
        <f>_xlfn.XLOOKUP(Pipeline_tbl[[#This Row],[Rep_ID]],Dim_Reps!A:A,Dim_Reps!D:D)</f>
        <v>Inside Sales</v>
      </c>
      <c r="R1006" t="str">
        <f>_xlfn.XLOOKUP(Pipeline_tbl[[#This Row],[Rep_ID]],Dim_Reps!A:A,Dim_Reps!E:E)</f>
        <v>EMEA</v>
      </c>
      <c r="S1006" t="str">
        <f>_xlfn.XLOOKUP(Pipeline_tbl[[#This Row],[Created_Date]],Dim_Date!A:A,Dim_Date!H:H)</f>
        <v>Oct 2025</v>
      </c>
      <c r="T1006" t="str">
        <f>IF(Pipeline_tbl[[#This Row],[Closed_Date]]=0,"",(_xlfn.XLOOKUP(Pipeline_tbl[[#This Row],[Closed_Date]],Dim_Date!A:A,Dim_Date!H:H)))</f>
        <v>Oct 2025</v>
      </c>
      <c r="U1006">
        <f>IF(Pipeline_tbl[[#This Row],[Closed_Date]]=0,"",Pipeline_tbl[[#This Row],[Closed_Date]]-Pipeline_tbl[[#This Row],[Created_Date]])</f>
        <v>11</v>
      </c>
    </row>
    <row r="1007" spans="1:21" ht="15" customHeight="1" x14ac:dyDescent="0.2">
      <c r="A1007" t="s">
        <v>1313</v>
      </c>
      <c r="B1007" t="s">
        <v>237</v>
      </c>
      <c r="C1007" t="s">
        <v>53</v>
      </c>
      <c r="D1007" s="49">
        <v>45938</v>
      </c>
      <c r="E1007" s="49">
        <v>45940</v>
      </c>
      <c r="F1007" s="49">
        <v>45943</v>
      </c>
      <c r="G1007" s="49">
        <v>45948</v>
      </c>
      <c r="H1007" s="49">
        <v>45952</v>
      </c>
      <c r="I1007" s="49">
        <v>45954</v>
      </c>
      <c r="J1007" t="s">
        <v>47</v>
      </c>
      <c r="K1007" s="33">
        <v>1900</v>
      </c>
      <c r="M1007" t="str">
        <f>_xlfn.XLOOKUP(Pipeline_tbl[[#This Row],[Rep_ID]],Dim_Reps!A:A,Dim_Reps!K:K)</f>
        <v>EUR</v>
      </c>
      <c r="N1007" s="33">
        <f>(_xlfn.XLOOKUP(Pipeline_tbl[[#This Row],[Rate_Code_Generalized]],Lookups!A:A,Lookups!B:B))*Pipeline_tbl[[#This Row],[Pipeline_Amount_USD]]</f>
        <v>1900</v>
      </c>
      <c r="O1007" t="str">
        <f>_xlfn.XLOOKUP(Pipeline_tbl[[#This Row],[Rep_ID]],Dim_Reps!A:A,Dim_Reps!B:B)</f>
        <v>Hugo Santos</v>
      </c>
      <c r="P1007" t="str">
        <f>_xlfn.XLOOKUP(Pipeline_tbl[[#This Row],[Rep_ID]],Dim_Reps!A:A,Dim_Reps!C:C)</f>
        <v>SDR / Inside Sales Rep</v>
      </c>
      <c r="Q1007" t="str">
        <f>_xlfn.XLOOKUP(Pipeline_tbl[[#This Row],[Rep_ID]],Dim_Reps!A:A,Dim_Reps!D:D)</f>
        <v>Inside Sales</v>
      </c>
      <c r="R1007" t="str">
        <f>_xlfn.XLOOKUP(Pipeline_tbl[[#This Row],[Rep_ID]],Dim_Reps!A:A,Dim_Reps!E:E)</f>
        <v>EMEA</v>
      </c>
      <c r="S1007" t="str">
        <f>_xlfn.XLOOKUP(Pipeline_tbl[[#This Row],[Created_Date]],Dim_Date!A:A,Dim_Date!H:H)</f>
        <v>Oct 2025</v>
      </c>
      <c r="T1007" t="str">
        <f>IF(Pipeline_tbl[[#This Row],[Closed_Date]]=0,"",(_xlfn.XLOOKUP(Pipeline_tbl[[#This Row],[Closed_Date]],Dim_Date!A:A,Dim_Date!H:H)))</f>
        <v>Oct 2025</v>
      </c>
      <c r="U1007">
        <f>IF(Pipeline_tbl[[#This Row],[Closed_Date]]=0,"",Pipeline_tbl[[#This Row],[Closed_Date]]-Pipeline_tbl[[#This Row],[Created_Date]])</f>
        <v>16</v>
      </c>
    </row>
    <row r="1008" spans="1:21" ht="15" customHeight="1" x14ac:dyDescent="0.2">
      <c r="A1008" t="s">
        <v>1314</v>
      </c>
      <c r="B1008" t="s">
        <v>237</v>
      </c>
      <c r="C1008" t="s">
        <v>53</v>
      </c>
      <c r="D1008" s="49">
        <v>45952</v>
      </c>
      <c r="E1008" s="49">
        <v>45953</v>
      </c>
      <c r="I1008" s="49">
        <v>45959</v>
      </c>
      <c r="J1008" t="s">
        <v>49</v>
      </c>
      <c r="K1008" s="33">
        <v>4300</v>
      </c>
      <c r="L1008" t="s">
        <v>61</v>
      </c>
      <c r="M1008" t="str">
        <f>_xlfn.XLOOKUP(Pipeline_tbl[[#This Row],[Rep_ID]],Dim_Reps!A:A,Dim_Reps!K:K)</f>
        <v>EUR</v>
      </c>
      <c r="N1008" s="33">
        <f>(_xlfn.XLOOKUP(Pipeline_tbl[[#This Row],[Rate_Code_Generalized]],Lookups!A:A,Lookups!B:B))*Pipeline_tbl[[#This Row],[Pipeline_Amount_USD]]</f>
        <v>4300</v>
      </c>
      <c r="O1008" t="str">
        <f>_xlfn.XLOOKUP(Pipeline_tbl[[#This Row],[Rep_ID]],Dim_Reps!A:A,Dim_Reps!B:B)</f>
        <v>Hugo Santos</v>
      </c>
      <c r="P1008" t="str">
        <f>_xlfn.XLOOKUP(Pipeline_tbl[[#This Row],[Rep_ID]],Dim_Reps!A:A,Dim_Reps!C:C)</f>
        <v>SDR / Inside Sales Rep</v>
      </c>
      <c r="Q1008" t="str">
        <f>_xlfn.XLOOKUP(Pipeline_tbl[[#This Row],[Rep_ID]],Dim_Reps!A:A,Dim_Reps!D:D)</f>
        <v>Inside Sales</v>
      </c>
      <c r="R1008" t="str">
        <f>_xlfn.XLOOKUP(Pipeline_tbl[[#This Row],[Rep_ID]],Dim_Reps!A:A,Dim_Reps!E:E)</f>
        <v>EMEA</v>
      </c>
      <c r="S1008" t="str">
        <f>_xlfn.XLOOKUP(Pipeline_tbl[[#This Row],[Created_Date]],Dim_Date!A:A,Dim_Date!H:H)</f>
        <v>Oct 2025</v>
      </c>
      <c r="T1008" t="str">
        <f>IF(Pipeline_tbl[[#This Row],[Closed_Date]]=0,"",(_xlfn.XLOOKUP(Pipeline_tbl[[#This Row],[Closed_Date]],Dim_Date!A:A,Dim_Date!H:H)))</f>
        <v>Oct 2025</v>
      </c>
      <c r="U1008">
        <f>IF(Pipeline_tbl[[#This Row],[Closed_Date]]=0,"",Pipeline_tbl[[#This Row],[Closed_Date]]-Pipeline_tbl[[#This Row],[Created_Date]])</f>
        <v>7</v>
      </c>
    </row>
    <row r="1009" spans="1:21" ht="15" customHeight="1" x14ac:dyDescent="0.2">
      <c r="A1009" t="s">
        <v>1315</v>
      </c>
      <c r="B1009" t="s">
        <v>237</v>
      </c>
      <c r="C1009" t="s">
        <v>52</v>
      </c>
      <c r="D1009" s="49">
        <v>45941</v>
      </c>
      <c r="E1009" s="49">
        <v>45943</v>
      </c>
      <c r="F1009" s="49">
        <v>45946</v>
      </c>
      <c r="G1009" s="49">
        <v>45952</v>
      </c>
      <c r="H1009" s="49">
        <v>45956</v>
      </c>
      <c r="I1009" s="49">
        <v>45959</v>
      </c>
      <c r="J1009" t="s">
        <v>47</v>
      </c>
      <c r="K1009" s="33">
        <v>3800</v>
      </c>
      <c r="M1009" t="str">
        <f>_xlfn.XLOOKUP(Pipeline_tbl[[#This Row],[Rep_ID]],Dim_Reps!A:A,Dim_Reps!K:K)</f>
        <v>EUR</v>
      </c>
      <c r="N1009" s="33">
        <f>(_xlfn.XLOOKUP(Pipeline_tbl[[#This Row],[Rate_Code_Generalized]],Lookups!A:A,Lookups!B:B))*Pipeline_tbl[[#This Row],[Pipeline_Amount_USD]]</f>
        <v>3800</v>
      </c>
      <c r="O1009" t="str">
        <f>_xlfn.XLOOKUP(Pipeline_tbl[[#This Row],[Rep_ID]],Dim_Reps!A:A,Dim_Reps!B:B)</f>
        <v>Hugo Santos</v>
      </c>
      <c r="P1009" t="str">
        <f>_xlfn.XLOOKUP(Pipeline_tbl[[#This Row],[Rep_ID]],Dim_Reps!A:A,Dim_Reps!C:C)</f>
        <v>SDR / Inside Sales Rep</v>
      </c>
      <c r="Q1009" t="str">
        <f>_xlfn.XLOOKUP(Pipeline_tbl[[#This Row],[Rep_ID]],Dim_Reps!A:A,Dim_Reps!D:D)</f>
        <v>Inside Sales</v>
      </c>
      <c r="R1009" t="str">
        <f>_xlfn.XLOOKUP(Pipeline_tbl[[#This Row],[Rep_ID]],Dim_Reps!A:A,Dim_Reps!E:E)</f>
        <v>EMEA</v>
      </c>
      <c r="S1009" t="str">
        <f>_xlfn.XLOOKUP(Pipeline_tbl[[#This Row],[Created_Date]],Dim_Date!A:A,Dim_Date!H:H)</f>
        <v>Oct 2025</v>
      </c>
      <c r="T1009" t="str">
        <f>IF(Pipeline_tbl[[#This Row],[Closed_Date]]=0,"",(_xlfn.XLOOKUP(Pipeline_tbl[[#This Row],[Closed_Date]],Dim_Date!A:A,Dim_Date!H:H)))</f>
        <v>Oct 2025</v>
      </c>
      <c r="U1009">
        <f>IF(Pipeline_tbl[[#This Row],[Closed_Date]]=0,"",Pipeline_tbl[[#This Row],[Closed_Date]]-Pipeline_tbl[[#This Row],[Created_Date]])</f>
        <v>18</v>
      </c>
    </row>
    <row r="1010" spans="1:21" ht="15" customHeight="1" x14ac:dyDescent="0.2">
      <c r="A1010" t="s">
        <v>1316</v>
      </c>
      <c r="B1010" t="s">
        <v>237</v>
      </c>
      <c r="C1010" t="s">
        <v>52</v>
      </c>
      <c r="D1010" s="49">
        <v>45934</v>
      </c>
      <c r="E1010" s="49">
        <v>45935</v>
      </c>
      <c r="F1010" s="49">
        <v>45937</v>
      </c>
      <c r="G1010" s="49">
        <v>45939</v>
      </c>
      <c r="I1010" s="49">
        <v>45943</v>
      </c>
      <c r="J1010" t="s">
        <v>49</v>
      </c>
      <c r="K1010" s="33">
        <v>2400</v>
      </c>
      <c r="L1010" t="s">
        <v>61</v>
      </c>
      <c r="M1010" t="str">
        <f>_xlfn.XLOOKUP(Pipeline_tbl[[#This Row],[Rep_ID]],Dim_Reps!A:A,Dim_Reps!K:K)</f>
        <v>EUR</v>
      </c>
      <c r="N1010" s="33">
        <f>(_xlfn.XLOOKUP(Pipeline_tbl[[#This Row],[Rate_Code_Generalized]],Lookups!A:A,Lookups!B:B))*Pipeline_tbl[[#This Row],[Pipeline_Amount_USD]]</f>
        <v>2400</v>
      </c>
      <c r="O1010" t="str">
        <f>_xlfn.XLOOKUP(Pipeline_tbl[[#This Row],[Rep_ID]],Dim_Reps!A:A,Dim_Reps!B:B)</f>
        <v>Hugo Santos</v>
      </c>
      <c r="P1010" t="str">
        <f>_xlfn.XLOOKUP(Pipeline_tbl[[#This Row],[Rep_ID]],Dim_Reps!A:A,Dim_Reps!C:C)</f>
        <v>SDR / Inside Sales Rep</v>
      </c>
      <c r="Q1010" t="str">
        <f>_xlfn.XLOOKUP(Pipeline_tbl[[#This Row],[Rep_ID]],Dim_Reps!A:A,Dim_Reps!D:D)</f>
        <v>Inside Sales</v>
      </c>
      <c r="R1010" t="str">
        <f>_xlfn.XLOOKUP(Pipeline_tbl[[#This Row],[Rep_ID]],Dim_Reps!A:A,Dim_Reps!E:E)</f>
        <v>EMEA</v>
      </c>
      <c r="S1010" t="str">
        <f>_xlfn.XLOOKUP(Pipeline_tbl[[#This Row],[Created_Date]],Dim_Date!A:A,Dim_Date!H:H)</f>
        <v>Oct 2025</v>
      </c>
      <c r="T1010" t="str">
        <f>IF(Pipeline_tbl[[#This Row],[Closed_Date]]=0,"",(_xlfn.XLOOKUP(Pipeline_tbl[[#This Row],[Closed_Date]],Dim_Date!A:A,Dim_Date!H:H)))</f>
        <v>Oct 2025</v>
      </c>
      <c r="U1010">
        <f>IF(Pipeline_tbl[[#This Row],[Closed_Date]]=0,"",Pipeline_tbl[[#This Row],[Closed_Date]]-Pipeline_tbl[[#This Row],[Created_Date]])</f>
        <v>9</v>
      </c>
    </row>
    <row r="1011" spans="1:21" ht="15" customHeight="1" x14ac:dyDescent="0.2">
      <c r="A1011" t="s">
        <v>1317</v>
      </c>
      <c r="B1011" t="s">
        <v>239</v>
      </c>
      <c r="C1011" t="s">
        <v>53</v>
      </c>
      <c r="D1011" s="49">
        <v>45945</v>
      </c>
      <c r="E1011" s="49">
        <v>45947</v>
      </c>
      <c r="I1011" s="49">
        <v>45961</v>
      </c>
      <c r="J1011" t="s">
        <v>49</v>
      </c>
      <c r="K1011" s="33">
        <v>5600</v>
      </c>
      <c r="L1011" t="s">
        <v>60</v>
      </c>
      <c r="M1011" t="str">
        <f>_xlfn.XLOOKUP(Pipeline_tbl[[#This Row],[Rep_ID]],Dim_Reps!A:A,Dim_Reps!K:K)</f>
        <v>USD</v>
      </c>
      <c r="N1011" s="33">
        <f>(_xlfn.XLOOKUP(Pipeline_tbl[[#This Row],[Rate_Code_Generalized]],Lookups!A:A,Lookups!B:B))*Pipeline_tbl[[#This Row],[Pipeline_Amount_USD]]</f>
        <v>6520.079999999999</v>
      </c>
      <c r="O1011" t="str">
        <f>_xlfn.XLOOKUP(Pipeline_tbl[[#This Row],[Rep_ID]],Dim_Reps!A:A,Dim_Reps!B:B)</f>
        <v>Noah Adler</v>
      </c>
      <c r="P1011" t="str">
        <f>_xlfn.XLOOKUP(Pipeline_tbl[[#This Row],[Rep_ID]],Dim_Reps!A:A,Dim_Reps!C:C)</f>
        <v>SDR / Inside Sales Rep</v>
      </c>
      <c r="Q1011" t="str">
        <f>_xlfn.XLOOKUP(Pipeline_tbl[[#This Row],[Rep_ID]],Dim_Reps!A:A,Dim_Reps!D:D)</f>
        <v>Inside Sales</v>
      </c>
      <c r="R1011" t="str">
        <f>_xlfn.XLOOKUP(Pipeline_tbl[[#This Row],[Rep_ID]],Dim_Reps!A:A,Dim_Reps!E:E)</f>
        <v>NAMER</v>
      </c>
      <c r="S1011" t="str">
        <f>_xlfn.XLOOKUP(Pipeline_tbl[[#This Row],[Created_Date]],Dim_Date!A:A,Dim_Date!H:H)</f>
        <v>Oct 2025</v>
      </c>
      <c r="T1011" t="str">
        <f>IF(Pipeline_tbl[[#This Row],[Closed_Date]]=0,"",(_xlfn.XLOOKUP(Pipeline_tbl[[#This Row],[Closed_Date]],Dim_Date!A:A,Dim_Date!H:H)))</f>
        <v>Oct 2025</v>
      </c>
      <c r="U1011">
        <f>IF(Pipeline_tbl[[#This Row],[Closed_Date]]=0,"",Pipeline_tbl[[#This Row],[Closed_Date]]-Pipeline_tbl[[#This Row],[Created_Date]])</f>
        <v>16</v>
      </c>
    </row>
    <row r="1012" spans="1:21" ht="15" customHeight="1" x14ac:dyDescent="0.2">
      <c r="A1012" t="s">
        <v>1318</v>
      </c>
      <c r="B1012" t="s">
        <v>239</v>
      </c>
      <c r="C1012" t="s">
        <v>53</v>
      </c>
      <c r="D1012" s="49">
        <v>45945</v>
      </c>
      <c r="E1012" s="49">
        <v>45947</v>
      </c>
      <c r="F1012" s="49">
        <v>45950</v>
      </c>
      <c r="G1012" s="49">
        <v>45954</v>
      </c>
      <c r="H1012" s="49">
        <v>45958</v>
      </c>
      <c r="I1012" s="49">
        <v>45960</v>
      </c>
      <c r="J1012" t="s">
        <v>49</v>
      </c>
      <c r="K1012" s="33">
        <v>1700</v>
      </c>
      <c r="L1012" t="s">
        <v>60</v>
      </c>
      <c r="M1012" t="str">
        <f>_xlfn.XLOOKUP(Pipeline_tbl[[#This Row],[Rep_ID]],Dim_Reps!A:A,Dim_Reps!K:K)</f>
        <v>USD</v>
      </c>
      <c r="N1012" s="33">
        <f>(_xlfn.XLOOKUP(Pipeline_tbl[[#This Row],[Rate_Code_Generalized]],Lookups!A:A,Lookups!B:B))*Pipeline_tbl[[#This Row],[Pipeline_Amount_USD]]</f>
        <v>1979.3099999999997</v>
      </c>
      <c r="O1012" t="str">
        <f>_xlfn.XLOOKUP(Pipeline_tbl[[#This Row],[Rep_ID]],Dim_Reps!A:A,Dim_Reps!B:B)</f>
        <v>Noah Adler</v>
      </c>
      <c r="P1012" t="str">
        <f>_xlfn.XLOOKUP(Pipeline_tbl[[#This Row],[Rep_ID]],Dim_Reps!A:A,Dim_Reps!C:C)</f>
        <v>SDR / Inside Sales Rep</v>
      </c>
      <c r="Q1012" t="str">
        <f>_xlfn.XLOOKUP(Pipeline_tbl[[#This Row],[Rep_ID]],Dim_Reps!A:A,Dim_Reps!D:D)</f>
        <v>Inside Sales</v>
      </c>
      <c r="R1012" t="str">
        <f>_xlfn.XLOOKUP(Pipeline_tbl[[#This Row],[Rep_ID]],Dim_Reps!A:A,Dim_Reps!E:E)</f>
        <v>NAMER</v>
      </c>
      <c r="S1012" t="str">
        <f>_xlfn.XLOOKUP(Pipeline_tbl[[#This Row],[Created_Date]],Dim_Date!A:A,Dim_Date!H:H)</f>
        <v>Oct 2025</v>
      </c>
      <c r="T1012" t="str">
        <f>IF(Pipeline_tbl[[#This Row],[Closed_Date]]=0,"",(_xlfn.XLOOKUP(Pipeline_tbl[[#This Row],[Closed_Date]],Dim_Date!A:A,Dim_Date!H:H)))</f>
        <v>Oct 2025</v>
      </c>
      <c r="U1012">
        <f>IF(Pipeline_tbl[[#This Row],[Closed_Date]]=0,"",Pipeline_tbl[[#This Row],[Closed_Date]]-Pipeline_tbl[[#This Row],[Created_Date]])</f>
        <v>15</v>
      </c>
    </row>
    <row r="1013" spans="1:21" ht="15" customHeight="1" x14ac:dyDescent="0.2">
      <c r="A1013" t="s">
        <v>1319</v>
      </c>
      <c r="B1013" t="s">
        <v>239</v>
      </c>
      <c r="C1013" t="s">
        <v>52</v>
      </c>
      <c r="D1013" s="49">
        <v>45935</v>
      </c>
      <c r="E1013" s="49">
        <v>45937</v>
      </c>
      <c r="F1013" s="49">
        <v>45941</v>
      </c>
      <c r="I1013" s="49">
        <v>45955</v>
      </c>
      <c r="J1013" t="s">
        <v>49</v>
      </c>
      <c r="K1013" s="33">
        <v>8000</v>
      </c>
      <c r="L1013" t="s">
        <v>62</v>
      </c>
      <c r="M1013" t="str">
        <f>_xlfn.XLOOKUP(Pipeline_tbl[[#This Row],[Rep_ID]],Dim_Reps!A:A,Dim_Reps!K:K)</f>
        <v>USD</v>
      </c>
      <c r="N1013" s="33">
        <f>(_xlfn.XLOOKUP(Pipeline_tbl[[#This Row],[Rate_Code_Generalized]],Lookups!A:A,Lookups!B:B))*Pipeline_tbl[[#This Row],[Pipeline_Amount_USD]]</f>
        <v>9314.4</v>
      </c>
      <c r="O1013" t="str">
        <f>_xlfn.XLOOKUP(Pipeline_tbl[[#This Row],[Rep_ID]],Dim_Reps!A:A,Dim_Reps!B:B)</f>
        <v>Noah Adler</v>
      </c>
      <c r="P1013" t="str">
        <f>_xlfn.XLOOKUP(Pipeline_tbl[[#This Row],[Rep_ID]],Dim_Reps!A:A,Dim_Reps!C:C)</f>
        <v>SDR / Inside Sales Rep</v>
      </c>
      <c r="Q1013" t="str">
        <f>_xlfn.XLOOKUP(Pipeline_tbl[[#This Row],[Rep_ID]],Dim_Reps!A:A,Dim_Reps!D:D)</f>
        <v>Inside Sales</v>
      </c>
      <c r="R1013" t="str">
        <f>_xlfn.XLOOKUP(Pipeline_tbl[[#This Row],[Rep_ID]],Dim_Reps!A:A,Dim_Reps!E:E)</f>
        <v>NAMER</v>
      </c>
      <c r="S1013" t="str">
        <f>_xlfn.XLOOKUP(Pipeline_tbl[[#This Row],[Created_Date]],Dim_Date!A:A,Dim_Date!H:H)</f>
        <v>Oct 2025</v>
      </c>
      <c r="T1013" t="str">
        <f>IF(Pipeline_tbl[[#This Row],[Closed_Date]]=0,"",(_xlfn.XLOOKUP(Pipeline_tbl[[#This Row],[Closed_Date]],Dim_Date!A:A,Dim_Date!H:H)))</f>
        <v>Oct 2025</v>
      </c>
      <c r="U1013">
        <f>IF(Pipeline_tbl[[#This Row],[Closed_Date]]=0,"",Pipeline_tbl[[#This Row],[Closed_Date]]-Pipeline_tbl[[#This Row],[Created_Date]])</f>
        <v>20</v>
      </c>
    </row>
    <row r="1014" spans="1:21" ht="15" customHeight="1" x14ac:dyDescent="0.2">
      <c r="A1014" t="s">
        <v>1320</v>
      </c>
      <c r="B1014" t="s">
        <v>271</v>
      </c>
      <c r="C1014" t="s">
        <v>55</v>
      </c>
      <c r="D1014" s="49">
        <v>45940</v>
      </c>
      <c r="E1014" s="49">
        <v>45942</v>
      </c>
      <c r="F1014" s="49">
        <v>45945</v>
      </c>
      <c r="I1014" s="49">
        <v>45956</v>
      </c>
      <c r="J1014" t="s">
        <v>49</v>
      </c>
      <c r="K1014" s="33">
        <v>7000</v>
      </c>
      <c r="L1014" t="s">
        <v>60</v>
      </c>
      <c r="M1014" t="str">
        <f>_xlfn.XLOOKUP(Pipeline_tbl[[#This Row],[Rep_ID]],Dim_Reps!A:A,Dim_Reps!K:K)</f>
        <v>EUR</v>
      </c>
      <c r="N1014" s="33">
        <f>(_xlfn.XLOOKUP(Pipeline_tbl[[#This Row],[Rate_Code_Generalized]],Lookups!A:A,Lookups!B:B))*Pipeline_tbl[[#This Row],[Pipeline_Amount_USD]]</f>
        <v>7000</v>
      </c>
      <c r="O1014" t="str">
        <f>_xlfn.XLOOKUP(Pipeline_tbl[[#This Row],[Rep_ID]],Dim_Reps!A:A,Dim_Reps!B:B)</f>
        <v>Ivy Adler</v>
      </c>
      <c r="P1014" t="str">
        <f>_xlfn.XLOOKUP(Pipeline_tbl[[#This Row],[Rep_ID]],Dim_Reps!A:A,Dim_Reps!C:C)</f>
        <v>Mid-Market AE</v>
      </c>
      <c r="Q1014" t="str">
        <f>_xlfn.XLOOKUP(Pipeline_tbl[[#This Row],[Rep_ID]],Dim_Reps!A:A,Dim_Reps!D:D)</f>
        <v>Mid-Market</v>
      </c>
      <c r="R1014" t="str">
        <f>_xlfn.XLOOKUP(Pipeline_tbl[[#This Row],[Rep_ID]],Dim_Reps!A:A,Dim_Reps!E:E)</f>
        <v>APAC</v>
      </c>
      <c r="S1014" t="str">
        <f>_xlfn.XLOOKUP(Pipeline_tbl[[#This Row],[Created_Date]],Dim_Date!A:A,Dim_Date!H:H)</f>
        <v>Oct 2025</v>
      </c>
      <c r="T1014" t="str">
        <f>IF(Pipeline_tbl[[#This Row],[Closed_Date]]=0,"",(_xlfn.XLOOKUP(Pipeline_tbl[[#This Row],[Closed_Date]],Dim_Date!A:A,Dim_Date!H:H)))</f>
        <v>Oct 2025</v>
      </c>
      <c r="U1014">
        <f>IF(Pipeline_tbl[[#This Row],[Closed_Date]]=0,"",Pipeline_tbl[[#This Row],[Closed_Date]]-Pipeline_tbl[[#This Row],[Created_Date]])</f>
        <v>16</v>
      </c>
    </row>
    <row r="1015" spans="1:21" ht="15" customHeight="1" x14ac:dyDescent="0.2">
      <c r="A1015" t="s">
        <v>1321</v>
      </c>
      <c r="B1015" t="s">
        <v>273</v>
      </c>
      <c r="C1015" t="s">
        <v>56</v>
      </c>
      <c r="D1015" s="49">
        <v>45938</v>
      </c>
      <c r="E1015" s="49">
        <v>45940</v>
      </c>
      <c r="F1015" s="49">
        <v>45943</v>
      </c>
      <c r="G1015" s="49">
        <v>45949</v>
      </c>
      <c r="I1015" s="49">
        <v>45956</v>
      </c>
      <c r="J1015" t="s">
        <v>49</v>
      </c>
      <c r="K1015" s="33">
        <v>17700</v>
      </c>
      <c r="L1015" t="s">
        <v>60</v>
      </c>
      <c r="M1015" t="str">
        <f>_xlfn.XLOOKUP(Pipeline_tbl[[#This Row],[Rep_ID]],Dim_Reps!A:A,Dim_Reps!K:K)</f>
        <v>EUR</v>
      </c>
      <c r="N1015" s="33">
        <f>(_xlfn.XLOOKUP(Pipeline_tbl[[#This Row],[Rate_Code_Generalized]],Lookups!A:A,Lookups!B:B))*Pipeline_tbl[[#This Row],[Pipeline_Amount_USD]]</f>
        <v>17700</v>
      </c>
      <c r="O1015" t="str">
        <f>_xlfn.XLOOKUP(Pipeline_tbl[[#This Row],[Rep_ID]],Dim_Reps!A:A,Dim_Reps!B:B)</f>
        <v>Olivia Cohen</v>
      </c>
      <c r="P1015" t="str">
        <f>_xlfn.XLOOKUP(Pipeline_tbl[[#This Row],[Rep_ID]],Dim_Reps!A:A,Dim_Reps!C:C)</f>
        <v>Mid-Market AE</v>
      </c>
      <c r="Q1015" t="str">
        <f>_xlfn.XLOOKUP(Pipeline_tbl[[#This Row],[Rep_ID]],Dim_Reps!A:A,Dim_Reps!D:D)</f>
        <v>Mid-Market</v>
      </c>
      <c r="R1015" t="str">
        <f>_xlfn.XLOOKUP(Pipeline_tbl[[#This Row],[Rep_ID]],Dim_Reps!A:A,Dim_Reps!E:E)</f>
        <v>APAC</v>
      </c>
      <c r="S1015" t="str">
        <f>_xlfn.XLOOKUP(Pipeline_tbl[[#This Row],[Created_Date]],Dim_Date!A:A,Dim_Date!H:H)</f>
        <v>Oct 2025</v>
      </c>
      <c r="T1015" t="str">
        <f>IF(Pipeline_tbl[[#This Row],[Closed_Date]]=0,"",(_xlfn.XLOOKUP(Pipeline_tbl[[#This Row],[Closed_Date]],Dim_Date!A:A,Dim_Date!H:H)))</f>
        <v>Oct 2025</v>
      </c>
      <c r="U1015">
        <f>IF(Pipeline_tbl[[#This Row],[Closed_Date]]=0,"",Pipeline_tbl[[#This Row],[Closed_Date]]-Pipeline_tbl[[#This Row],[Created_Date]])</f>
        <v>18</v>
      </c>
    </row>
    <row r="1016" spans="1:21" ht="15" customHeight="1" x14ac:dyDescent="0.2">
      <c r="A1016" t="s">
        <v>1322</v>
      </c>
      <c r="B1016" t="s">
        <v>273</v>
      </c>
      <c r="C1016" t="s">
        <v>53</v>
      </c>
      <c r="D1016" s="49">
        <v>45937</v>
      </c>
      <c r="E1016" s="49">
        <v>45939</v>
      </c>
      <c r="F1016" s="49">
        <v>45942</v>
      </c>
      <c r="G1016" s="49">
        <v>45948</v>
      </c>
      <c r="H1016" s="49">
        <v>45952</v>
      </c>
      <c r="I1016" s="49">
        <v>45955</v>
      </c>
      <c r="J1016" t="s">
        <v>47</v>
      </c>
      <c r="K1016" s="33">
        <v>9700</v>
      </c>
      <c r="M1016" t="str">
        <f>_xlfn.XLOOKUP(Pipeline_tbl[[#This Row],[Rep_ID]],Dim_Reps!A:A,Dim_Reps!K:K)</f>
        <v>EUR</v>
      </c>
      <c r="N1016" s="33">
        <f>(_xlfn.XLOOKUP(Pipeline_tbl[[#This Row],[Rate_Code_Generalized]],Lookups!A:A,Lookups!B:B))*Pipeline_tbl[[#This Row],[Pipeline_Amount_USD]]</f>
        <v>9700</v>
      </c>
      <c r="O1016" t="str">
        <f>_xlfn.XLOOKUP(Pipeline_tbl[[#This Row],[Rep_ID]],Dim_Reps!A:A,Dim_Reps!B:B)</f>
        <v>Olivia Cohen</v>
      </c>
      <c r="P1016" t="str">
        <f>_xlfn.XLOOKUP(Pipeline_tbl[[#This Row],[Rep_ID]],Dim_Reps!A:A,Dim_Reps!C:C)</f>
        <v>Mid-Market AE</v>
      </c>
      <c r="Q1016" t="str">
        <f>_xlfn.XLOOKUP(Pipeline_tbl[[#This Row],[Rep_ID]],Dim_Reps!A:A,Dim_Reps!D:D)</f>
        <v>Mid-Market</v>
      </c>
      <c r="R1016" t="str">
        <f>_xlfn.XLOOKUP(Pipeline_tbl[[#This Row],[Rep_ID]],Dim_Reps!A:A,Dim_Reps!E:E)</f>
        <v>APAC</v>
      </c>
      <c r="S1016" t="str">
        <f>_xlfn.XLOOKUP(Pipeline_tbl[[#This Row],[Created_Date]],Dim_Date!A:A,Dim_Date!H:H)</f>
        <v>Oct 2025</v>
      </c>
      <c r="T1016" t="str">
        <f>IF(Pipeline_tbl[[#This Row],[Closed_Date]]=0,"",(_xlfn.XLOOKUP(Pipeline_tbl[[#This Row],[Closed_Date]],Dim_Date!A:A,Dim_Date!H:H)))</f>
        <v>Oct 2025</v>
      </c>
      <c r="U1016">
        <f>IF(Pipeline_tbl[[#This Row],[Closed_Date]]=0,"",Pipeline_tbl[[#This Row],[Closed_Date]]-Pipeline_tbl[[#This Row],[Created_Date]])</f>
        <v>18</v>
      </c>
    </row>
    <row r="1017" spans="1:21" ht="15" customHeight="1" x14ac:dyDescent="0.2">
      <c r="A1017" t="s">
        <v>1323</v>
      </c>
      <c r="B1017" t="s">
        <v>241</v>
      </c>
      <c r="C1017" t="s">
        <v>52</v>
      </c>
      <c r="D1017" s="49">
        <v>45941</v>
      </c>
      <c r="E1017" s="49">
        <v>45943</v>
      </c>
      <c r="F1017" s="49">
        <v>45946</v>
      </c>
      <c r="I1017" s="49">
        <v>45958</v>
      </c>
      <c r="J1017" t="s">
        <v>49</v>
      </c>
      <c r="K1017" s="33">
        <v>2600</v>
      </c>
      <c r="L1017" t="s">
        <v>60</v>
      </c>
      <c r="M1017" t="str">
        <f>_xlfn.XLOOKUP(Pipeline_tbl[[#This Row],[Rep_ID]],Dim_Reps!A:A,Dim_Reps!K:K)</f>
        <v>EUR</v>
      </c>
      <c r="N1017" s="33">
        <f>(_xlfn.XLOOKUP(Pipeline_tbl[[#This Row],[Rate_Code_Generalized]],Lookups!A:A,Lookups!B:B))*Pipeline_tbl[[#This Row],[Pipeline_Amount_USD]]</f>
        <v>2600</v>
      </c>
      <c r="O1017" t="str">
        <f>_xlfn.XLOOKUP(Pipeline_tbl[[#This Row],[Rep_ID]],Dim_Reps!A:A,Dim_Reps!B:B)</f>
        <v>Kenji Weber</v>
      </c>
      <c r="P1017" t="str">
        <f>_xlfn.XLOOKUP(Pipeline_tbl[[#This Row],[Rep_ID]],Dim_Reps!A:A,Dim_Reps!C:C)</f>
        <v>SDR / Inside Sales Rep</v>
      </c>
      <c r="Q1017" t="str">
        <f>_xlfn.XLOOKUP(Pipeline_tbl[[#This Row],[Rep_ID]],Dim_Reps!A:A,Dim_Reps!D:D)</f>
        <v>Inside Sales</v>
      </c>
      <c r="R1017" t="str">
        <f>_xlfn.XLOOKUP(Pipeline_tbl[[#This Row],[Rep_ID]],Dim_Reps!A:A,Dim_Reps!E:E)</f>
        <v>APAC</v>
      </c>
      <c r="S1017" t="str">
        <f>_xlfn.XLOOKUP(Pipeline_tbl[[#This Row],[Created_Date]],Dim_Date!A:A,Dim_Date!H:H)</f>
        <v>Oct 2025</v>
      </c>
      <c r="T1017" t="str">
        <f>IF(Pipeline_tbl[[#This Row],[Closed_Date]]=0,"",(_xlfn.XLOOKUP(Pipeline_tbl[[#This Row],[Closed_Date]],Dim_Date!A:A,Dim_Date!H:H)))</f>
        <v>Oct 2025</v>
      </c>
      <c r="U1017">
        <f>IF(Pipeline_tbl[[#This Row],[Closed_Date]]=0,"",Pipeline_tbl[[#This Row],[Closed_Date]]-Pipeline_tbl[[#This Row],[Created_Date]])</f>
        <v>17</v>
      </c>
    </row>
    <row r="1018" spans="1:21" ht="15" customHeight="1" x14ac:dyDescent="0.2">
      <c r="A1018" t="s">
        <v>1324</v>
      </c>
      <c r="B1018" t="s">
        <v>241</v>
      </c>
      <c r="C1018" t="s">
        <v>53</v>
      </c>
      <c r="D1018" s="49">
        <v>45936</v>
      </c>
      <c r="E1018" s="49">
        <v>45938</v>
      </c>
      <c r="F1018" s="49">
        <v>45941</v>
      </c>
      <c r="G1018" s="49">
        <v>45947</v>
      </c>
      <c r="I1018" s="49">
        <v>45954</v>
      </c>
      <c r="J1018" t="s">
        <v>49</v>
      </c>
      <c r="K1018" s="33">
        <v>3400</v>
      </c>
      <c r="L1018" t="s">
        <v>62</v>
      </c>
      <c r="M1018" t="str">
        <f>_xlfn.XLOOKUP(Pipeline_tbl[[#This Row],[Rep_ID]],Dim_Reps!A:A,Dim_Reps!K:K)</f>
        <v>EUR</v>
      </c>
      <c r="N1018" s="33">
        <f>(_xlfn.XLOOKUP(Pipeline_tbl[[#This Row],[Rate_Code_Generalized]],Lookups!A:A,Lookups!B:B))*Pipeline_tbl[[#This Row],[Pipeline_Amount_USD]]</f>
        <v>3400</v>
      </c>
      <c r="O1018" t="str">
        <f>_xlfn.XLOOKUP(Pipeline_tbl[[#This Row],[Rep_ID]],Dim_Reps!A:A,Dim_Reps!B:B)</f>
        <v>Kenji Weber</v>
      </c>
      <c r="P1018" t="str">
        <f>_xlfn.XLOOKUP(Pipeline_tbl[[#This Row],[Rep_ID]],Dim_Reps!A:A,Dim_Reps!C:C)</f>
        <v>SDR / Inside Sales Rep</v>
      </c>
      <c r="Q1018" t="str">
        <f>_xlfn.XLOOKUP(Pipeline_tbl[[#This Row],[Rep_ID]],Dim_Reps!A:A,Dim_Reps!D:D)</f>
        <v>Inside Sales</v>
      </c>
      <c r="R1018" t="str">
        <f>_xlfn.XLOOKUP(Pipeline_tbl[[#This Row],[Rep_ID]],Dim_Reps!A:A,Dim_Reps!E:E)</f>
        <v>APAC</v>
      </c>
      <c r="S1018" t="str">
        <f>_xlfn.XLOOKUP(Pipeline_tbl[[#This Row],[Created_Date]],Dim_Date!A:A,Dim_Date!H:H)</f>
        <v>Oct 2025</v>
      </c>
      <c r="T1018" t="str">
        <f>IF(Pipeline_tbl[[#This Row],[Closed_Date]]=0,"",(_xlfn.XLOOKUP(Pipeline_tbl[[#This Row],[Closed_Date]],Dim_Date!A:A,Dim_Date!H:H)))</f>
        <v>Oct 2025</v>
      </c>
      <c r="U1018">
        <f>IF(Pipeline_tbl[[#This Row],[Closed_Date]]=0,"",Pipeline_tbl[[#This Row],[Closed_Date]]-Pipeline_tbl[[#This Row],[Created_Date]])</f>
        <v>18</v>
      </c>
    </row>
    <row r="1019" spans="1:21" ht="15" customHeight="1" x14ac:dyDescent="0.2">
      <c r="A1019" t="s">
        <v>1325</v>
      </c>
      <c r="B1019" t="s">
        <v>241</v>
      </c>
      <c r="C1019" t="s">
        <v>53</v>
      </c>
      <c r="D1019" s="49">
        <v>45931</v>
      </c>
      <c r="E1019" s="49">
        <v>45933</v>
      </c>
      <c r="F1019" s="49">
        <v>45937</v>
      </c>
      <c r="I1019" s="49">
        <v>45952</v>
      </c>
      <c r="J1019" t="s">
        <v>49</v>
      </c>
      <c r="K1019" s="33">
        <v>3400</v>
      </c>
      <c r="L1019" t="s">
        <v>63</v>
      </c>
      <c r="M1019" t="str">
        <f>_xlfn.XLOOKUP(Pipeline_tbl[[#This Row],[Rep_ID]],Dim_Reps!A:A,Dim_Reps!K:K)</f>
        <v>EUR</v>
      </c>
      <c r="N1019" s="33">
        <f>(_xlfn.XLOOKUP(Pipeline_tbl[[#This Row],[Rate_Code_Generalized]],Lookups!A:A,Lookups!B:B))*Pipeline_tbl[[#This Row],[Pipeline_Amount_USD]]</f>
        <v>3400</v>
      </c>
      <c r="O1019" t="str">
        <f>_xlfn.XLOOKUP(Pipeline_tbl[[#This Row],[Rep_ID]],Dim_Reps!A:A,Dim_Reps!B:B)</f>
        <v>Kenji Weber</v>
      </c>
      <c r="P1019" t="str">
        <f>_xlfn.XLOOKUP(Pipeline_tbl[[#This Row],[Rep_ID]],Dim_Reps!A:A,Dim_Reps!C:C)</f>
        <v>SDR / Inside Sales Rep</v>
      </c>
      <c r="Q1019" t="str">
        <f>_xlfn.XLOOKUP(Pipeline_tbl[[#This Row],[Rep_ID]],Dim_Reps!A:A,Dim_Reps!D:D)</f>
        <v>Inside Sales</v>
      </c>
      <c r="R1019" t="str">
        <f>_xlfn.XLOOKUP(Pipeline_tbl[[#This Row],[Rep_ID]],Dim_Reps!A:A,Dim_Reps!E:E)</f>
        <v>APAC</v>
      </c>
      <c r="S1019" t="str">
        <f>_xlfn.XLOOKUP(Pipeline_tbl[[#This Row],[Created_Date]],Dim_Date!A:A,Dim_Date!H:H)</f>
        <v>Oct 2025</v>
      </c>
      <c r="T1019" t="str">
        <f>IF(Pipeline_tbl[[#This Row],[Closed_Date]]=0,"",(_xlfn.XLOOKUP(Pipeline_tbl[[#This Row],[Closed_Date]],Dim_Date!A:A,Dim_Date!H:H)))</f>
        <v>Oct 2025</v>
      </c>
      <c r="U1019">
        <f>IF(Pipeline_tbl[[#This Row],[Closed_Date]]=0,"",Pipeline_tbl[[#This Row],[Closed_Date]]-Pipeline_tbl[[#This Row],[Created_Date]])</f>
        <v>21</v>
      </c>
    </row>
    <row r="1020" spans="1:21" ht="15" customHeight="1" x14ac:dyDescent="0.2">
      <c r="A1020" t="s">
        <v>1326</v>
      </c>
      <c r="B1020" t="s">
        <v>241</v>
      </c>
      <c r="C1020" t="s">
        <v>52</v>
      </c>
      <c r="D1020" s="49">
        <v>45941</v>
      </c>
      <c r="E1020" s="49">
        <v>45943</v>
      </c>
      <c r="F1020" s="49">
        <v>45947</v>
      </c>
      <c r="G1020" s="49">
        <v>45952</v>
      </c>
      <c r="I1020" s="49">
        <v>45960</v>
      </c>
      <c r="J1020" t="s">
        <v>49</v>
      </c>
      <c r="K1020" s="33">
        <v>2900</v>
      </c>
      <c r="L1020" t="s">
        <v>62</v>
      </c>
      <c r="M1020" t="str">
        <f>_xlfn.XLOOKUP(Pipeline_tbl[[#This Row],[Rep_ID]],Dim_Reps!A:A,Dim_Reps!K:K)</f>
        <v>EUR</v>
      </c>
      <c r="N1020" s="33">
        <f>(_xlfn.XLOOKUP(Pipeline_tbl[[#This Row],[Rate_Code_Generalized]],Lookups!A:A,Lookups!B:B))*Pipeline_tbl[[#This Row],[Pipeline_Amount_USD]]</f>
        <v>2900</v>
      </c>
      <c r="O1020" t="str">
        <f>_xlfn.XLOOKUP(Pipeline_tbl[[#This Row],[Rep_ID]],Dim_Reps!A:A,Dim_Reps!B:B)</f>
        <v>Kenji Weber</v>
      </c>
      <c r="P1020" t="str">
        <f>_xlfn.XLOOKUP(Pipeline_tbl[[#This Row],[Rep_ID]],Dim_Reps!A:A,Dim_Reps!C:C)</f>
        <v>SDR / Inside Sales Rep</v>
      </c>
      <c r="Q1020" t="str">
        <f>_xlfn.XLOOKUP(Pipeline_tbl[[#This Row],[Rep_ID]],Dim_Reps!A:A,Dim_Reps!D:D)</f>
        <v>Inside Sales</v>
      </c>
      <c r="R1020" t="str">
        <f>_xlfn.XLOOKUP(Pipeline_tbl[[#This Row],[Rep_ID]],Dim_Reps!A:A,Dim_Reps!E:E)</f>
        <v>APAC</v>
      </c>
      <c r="S1020" t="str">
        <f>_xlfn.XLOOKUP(Pipeline_tbl[[#This Row],[Created_Date]],Dim_Date!A:A,Dim_Date!H:H)</f>
        <v>Oct 2025</v>
      </c>
      <c r="T1020" t="str">
        <f>IF(Pipeline_tbl[[#This Row],[Closed_Date]]=0,"",(_xlfn.XLOOKUP(Pipeline_tbl[[#This Row],[Closed_Date]],Dim_Date!A:A,Dim_Date!H:H)))</f>
        <v>Oct 2025</v>
      </c>
      <c r="U1020">
        <f>IF(Pipeline_tbl[[#This Row],[Closed_Date]]=0,"",Pipeline_tbl[[#This Row],[Closed_Date]]-Pipeline_tbl[[#This Row],[Created_Date]])</f>
        <v>19</v>
      </c>
    </row>
    <row r="1021" spans="1:21" ht="15" customHeight="1" x14ac:dyDescent="0.2">
      <c r="A1021" t="s">
        <v>1327</v>
      </c>
      <c r="B1021" t="s">
        <v>241</v>
      </c>
      <c r="C1021" t="s">
        <v>52</v>
      </c>
      <c r="D1021" s="49">
        <v>45938</v>
      </c>
      <c r="E1021" s="49">
        <v>45940</v>
      </c>
      <c r="F1021" s="49">
        <v>45944</v>
      </c>
      <c r="I1021" s="49">
        <v>45959</v>
      </c>
      <c r="J1021" t="s">
        <v>49</v>
      </c>
      <c r="K1021" s="33">
        <v>4600</v>
      </c>
      <c r="L1021" t="s">
        <v>61</v>
      </c>
      <c r="M1021" t="str">
        <f>_xlfn.XLOOKUP(Pipeline_tbl[[#This Row],[Rep_ID]],Dim_Reps!A:A,Dim_Reps!K:K)</f>
        <v>EUR</v>
      </c>
      <c r="N1021" s="33">
        <f>(_xlfn.XLOOKUP(Pipeline_tbl[[#This Row],[Rate_Code_Generalized]],Lookups!A:A,Lookups!B:B))*Pipeline_tbl[[#This Row],[Pipeline_Amount_USD]]</f>
        <v>4600</v>
      </c>
      <c r="O1021" t="str">
        <f>_xlfn.XLOOKUP(Pipeline_tbl[[#This Row],[Rep_ID]],Dim_Reps!A:A,Dim_Reps!B:B)</f>
        <v>Kenji Weber</v>
      </c>
      <c r="P1021" t="str">
        <f>_xlfn.XLOOKUP(Pipeline_tbl[[#This Row],[Rep_ID]],Dim_Reps!A:A,Dim_Reps!C:C)</f>
        <v>SDR / Inside Sales Rep</v>
      </c>
      <c r="Q1021" t="str">
        <f>_xlfn.XLOOKUP(Pipeline_tbl[[#This Row],[Rep_ID]],Dim_Reps!A:A,Dim_Reps!D:D)</f>
        <v>Inside Sales</v>
      </c>
      <c r="R1021" t="str">
        <f>_xlfn.XLOOKUP(Pipeline_tbl[[#This Row],[Rep_ID]],Dim_Reps!A:A,Dim_Reps!E:E)</f>
        <v>APAC</v>
      </c>
      <c r="S1021" t="str">
        <f>_xlfn.XLOOKUP(Pipeline_tbl[[#This Row],[Created_Date]],Dim_Date!A:A,Dim_Date!H:H)</f>
        <v>Oct 2025</v>
      </c>
      <c r="T1021" t="str">
        <f>IF(Pipeline_tbl[[#This Row],[Closed_Date]]=0,"",(_xlfn.XLOOKUP(Pipeline_tbl[[#This Row],[Closed_Date]],Dim_Date!A:A,Dim_Date!H:H)))</f>
        <v>Oct 2025</v>
      </c>
      <c r="U1021">
        <f>IF(Pipeline_tbl[[#This Row],[Closed_Date]]=0,"",Pipeline_tbl[[#This Row],[Closed_Date]]-Pipeline_tbl[[#This Row],[Created_Date]])</f>
        <v>21</v>
      </c>
    </row>
    <row r="1022" spans="1:21" ht="15" customHeight="1" x14ac:dyDescent="0.2">
      <c r="A1022" t="s">
        <v>1328</v>
      </c>
      <c r="B1022" t="s">
        <v>241</v>
      </c>
      <c r="C1022" t="s">
        <v>54</v>
      </c>
      <c r="D1022" s="49">
        <v>45938</v>
      </c>
      <c r="E1022" s="49">
        <v>45939</v>
      </c>
      <c r="F1022" s="49">
        <v>45941</v>
      </c>
      <c r="G1022" s="49">
        <v>45944</v>
      </c>
      <c r="I1022" s="49">
        <v>45948</v>
      </c>
      <c r="J1022" t="s">
        <v>49</v>
      </c>
      <c r="K1022" s="33">
        <v>2600</v>
      </c>
      <c r="L1022" t="s">
        <v>60</v>
      </c>
      <c r="M1022" t="str">
        <f>_xlfn.XLOOKUP(Pipeline_tbl[[#This Row],[Rep_ID]],Dim_Reps!A:A,Dim_Reps!K:K)</f>
        <v>EUR</v>
      </c>
      <c r="N1022" s="33">
        <f>(_xlfn.XLOOKUP(Pipeline_tbl[[#This Row],[Rate_Code_Generalized]],Lookups!A:A,Lookups!B:B))*Pipeline_tbl[[#This Row],[Pipeline_Amount_USD]]</f>
        <v>2600</v>
      </c>
      <c r="O1022" t="str">
        <f>_xlfn.XLOOKUP(Pipeline_tbl[[#This Row],[Rep_ID]],Dim_Reps!A:A,Dim_Reps!B:B)</f>
        <v>Kenji Weber</v>
      </c>
      <c r="P1022" t="str">
        <f>_xlfn.XLOOKUP(Pipeline_tbl[[#This Row],[Rep_ID]],Dim_Reps!A:A,Dim_Reps!C:C)</f>
        <v>SDR / Inside Sales Rep</v>
      </c>
      <c r="Q1022" t="str">
        <f>_xlfn.XLOOKUP(Pipeline_tbl[[#This Row],[Rep_ID]],Dim_Reps!A:A,Dim_Reps!D:D)</f>
        <v>Inside Sales</v>
      </c>
      <c r="R1022" t="str">
        <f>_xlfn.XLOOKUP(Pipeline_tbl[[#This Row],[Rep_ID]],Dim_Reps!A:A,Dim_Reps!E:E)</f>
        <v>APAC</v>
      </c>
      <c r="S1022" t="str">
        <f>_xlfn.XLOOKUP(Pipeline_tbl[[#This Row],[Created_Date]],Dim_Date!A:A,Dim_Date!H:H)</f>
        <v>Oct 2025</v>
      </c>
      <c r="T1022" t="str">
        <f>IF(Pipeline_tbl[[#This Row],[Closed_Date]]=0,"",(_xlfn.XLOOKUP(Pipeline_tbl[[#This Row],[Closed_Date]],Dim_Date!A:A,Dim_Date!H:H)))</f>
        <v>Oct 2025</v>
      </c>
      <c r="U1022">
        <f>IF(Pipeline_tbl[[#This Row],[Closed_Date]]=0,"",Pipeline_tbl[[#This Row],[Closed_Date]]-Pipeline_tbl[[#This Row],[Created_Date]])</f>
        <v>10</v>
      </c>
    </row>
    <row r="1023" spans="1:21" ht="15" customHeight="1" x14ac:dyDescent="0.2">
      <c r="A1023" t="s">
        <v>1329</v>
      </c>
      <c r="B1023" t="s">
        <v>241</v>
      </c>
      <c r="C1023" t="s">
        <v>54</v>
      </c>
      <c r="D1023" s="49">
        <v>45944</v>
      </c>
      <c r="E1023" s="49">
        <v>45946</v>
      </c>
      <c r="F1023" s="49">
        <v>45949</v>
      </c>
      <c r="I1023" s="49">
        <v>45960</v>
      </c>
      <c r="J1023" t="s">
        <v>49</v>
      </c>
      <c r="K1023" s="33">
        <v>3800</v>
      </c>
      <c r="L1023" t="s">
        <v>61</v>
      </c>
      <c r="M1023" t="str">
        <f>_xlfn.XLOOKUP(Pipeline_tbl[[#This Row],[Rep_ID]],Dim_Reps!A:A,Dim_Reps!K:K)</f>
        <v>EUR</v>
      </c>
      <c r="N1023" s="33">
        <f>(_xlfn.XLOOKUP(Pipeline_tbl[[#This Row],[Rate_Code_Generalized]],Lookups!A:A,Lookups!B:B))*Pipeline_tbl[[#This Row],[Pipeline_Amount_USD]]</f>
        <v>3800</v>
      </c>
      <c r="O1023" t="str">
        <f>_xlfn.XLOOKUP(Pipeline_tbl[[#This Row],[Rep_ID]],Dim_Reps!A:A,Dim_Reps!B:B)</f>
        <v>Kenji Weber</v>
      </c>
      <c r="P1023" t="str">
        <f>_xlfn.XLOOKUP(Pipeline_tbl[[#This Row],[Rep_ID]],Dim_Reps!A:A,Dim_Reps!C:C)</f>
        <v>SDR / Inside Sales Rep</v>
      </c>
      <c r="Q1023" t="str">
        <f>_xlfn.XLOOKUP(Pipeline_tbl[[#This Row],[Rep_ID]],Dim_Reps!A:A,Dim_Reps!D:D)</f>
        <v>Inside Sales</v>
      </c>
      <c r="R1023" t="str">
        <f>_xlfn.XLOOKUP(Pipeline_tbl[[#This Row],[Rep_ID]],Dim_Reps!A:A,Dim_Reps!E:E)</f>
        <v>APAC</v>
      </c>
      <c r="S1023" t="str">
        <f>_xlfn.XLOOKUP(Pipeline_tbl[[#This Row],[Created_Date]],Dim_Date!A:A,Dim_Date!H:H)</f>
        <v>Oct 2025</v>
      </c>
      <c r="T1023" t="str">
        <f>IF(Pipeline_tbl[[#This Row],[Closed_Date]]=0,"",(_xlfn.XLOOKUP(Pipeline_tbl[[#This Row],[Closed_Date]],Dim_Date!A:A,Dim_Date!H:H)))</f>
        <v>Oct 2025</v>
      </c>
      <c r="U1023">
        <f>IF(Pipeline_tbl[[#This Row],[Closed_Date]]=0,"",Pipeline_tbl[[#This Row],[Closed_Date]]-Pipeline_tbl[[#This Row],[Created_Date]])</f>
        <v>16</v>
      </c>
    </row>
    <row r="1024" spans="1:21" ht="15" customHeight="1" x14ac:dyDescent="0.2">
      <c r="A1024" t="s">
        <v>1330</v>
      </c>
      <c r="B1024" t="s">
        <v>241</v>
      </c>
      <c r="C1024" t="s">
        <v>52</v>
      </c>
      <c r="D1024" s="49">
        <v>45939</v>
      </c>
      <c r="E1024" s="49">
        <v>45941</v>
      </c>
      <c r="I1024" s="49">
        <v>45956</v>
      </c>
      <c r="J1024" t="s">
        <v>49</v>
      </c>
      <c r="K1024" s="33">
        <v>1700</v>
      </c>
      <c r="L1024" t="s">
        <v>62</v>
      </c>
      <c r="M1024" t="str">
        <f>_xlfn.XLOOKUP(Pipeline_tbl[[#This Row],[Rep_ID]],Dim_Reps!A:A,Dim_Reps!K:K)</f>
        <v>EUR</v>
      </c>
      <c r="N1024" s="33">
        <f>(_xlfn.XLOOKUP(Pipeline_tbl[[#This Row],[Rate_Code_Generalized]],Lookups!A:A,Lookups!B:B))*Pipeline_tbl[[#This Row],[Pipeline_Amount_USD]]</f>
        <v>1700</v>
      </c>
      <c r="O1024" t="str">
        <f>_xlfn.XLOOKUP(Pipeline_tbl[[#This Row],[Rep_ID]],Dim_Reps!A:A,Dim_Reps!B:B)</f>
        <v>Kenji Weber</v>
      </c>
      <c r="P1024" t="str">
        <f>_xlfn.XLOOKUP(Pipeline_tbl[[#This Row],[Rep_ID]],Dim_Reps!A:A,Dim_Reps!C:C)</f>
        <v>SDR / Inside Sales Rep</v>
      </c>
      <c r="Q1024" t="str">
        <f>_xlfn.XLOOKUP(Pipeline_tbl[[#This Row],[Rep_ID]],Dim_Reps!A:A,Dim_Reps!D:D)</f>
        <v>Inside Sales</v>
      </c>
      <c r="R1024" t="str">
        <f>_xlfn.XLOOKUP(Pipeline_tbl[[#This Row],[Rep_ID]],Dim_Reps!A:A,Dim_Reps!E:E)</f>
        <v>APAC</v>
      </c>
      <c r="S1024" t="str">
        <f>_xlfn.XLOOKUP(Pipeline_tbl[[#This Row],[Created_Date]],Dim_Date!A:A,Dim_Date!H:H)</f>
        <v>Oct 2025</v>
      </c>
      <c r="T1024" t="str">
        <f>IF(Pipeline_tbl[[#This Row],[Closed_Date]]=0,"",(_xlfn.XLOOKUP(Pipeline_tbl[[#This Row],[Closed_Date]],Dim_Date!A:A,Dim_Date!H:H)))</f>
        <v>Oct 2025</v>
      </c>
      <c r="U1024">
        <f>IF(Pipeline_tbl[[#This Row],[Closed_Date]]=0,"",Pipeline_tbl[[#This Row],[Closed_Date]]-Pipeline_tbl[[#This Row],[Created_Date]])</f>
        <v>17</v>
      </c>
    </row>
    <row r="1025" spans="1:21" ht="15" customHeight="1" x14ac:dyDescent="0.2">
      <c r="A1025" t="s">
        <v>1331</v>
      </c>
      <c r="B1025" t="s">
        <v>243</v>
      </c>
      <c r="C1025" t="s">
        <v>55</v>
      </c>
      <c r="D1025" s="49">
        <v>45593</v>
      </c>
      <c r="E1025" s="49">
        <v>45598</v>
      </c>
      <c r="F1025" s="49">
        <v>45608</v>
      </c>
      <c r="G1025" s="49">
        <v>45624</v>
      </c>
      <c r="I1025" s="49">
        <v>45644</v>
      </c>
      <c r="J1025" t="s">
        <v>49</v>
      </c>
      <c r="K1025" s="33">
        <v>10100</v>
      </c>
      <c r="L1025" t="s">
        <v>60</v>
      </c>
      <c r="M1025" t="str">
        <f>_xlfn.XLOOKUP(Pipeline_tbl[[#This Row],[Rep_ID]],Dim_Reps!A:A,Dim_Reps!K:K)</f>
        <v>MXN</v>
      </c>
      <c r="N1025" s="33">
        <f>(_xlfn.XLOOKUP(Pipeline_tbl[[#This Row],[Rate_Code_Generalized]],Lookups!A:A,Lookups!B:B))*Pipeline_tbl[[#This Row],[Pipeline_Amount_USD]]</f>
        <v>199300.27000000002</v>
      </c>
      <c r="O1025" t="str">
        <f>_xlfn.XLOOKUP(Pipeline_tbl[[#This Row],[Rep_ID]],Dim_Reps!A:A,Dim_Reps!B:B)</f>
        <v>Jonas Sato</v>
      </c>
      <c r="P1025" t="str">
        <f>_xlfn.XLOOKUP(Pipeline_tbl[[#This Row],[Rep_ID]],Dim_Reps!A:A,Dim_Reps!C:C)</f>
        <v>Mid-Market AE</v>
      </c>
      <c r="Q1025" t="str">
        <f>_xlfn.XLOOKUP(Pipeline_tbl[[#This Row],[Rep_ID]],Dim_Reps!A:A,Dim_Reps!D:D)</f>
        <v>Mid-Market</v>
      </c>
      <c r="R1025" t="str">
        <f>_xlfn.XLOOKUP(Pipeline_tbl[[#This Row],[Rep_ID]],Dim_Reps!A:A,Dim_Reps!E:E)</f>
        <v>LATAM</v>
      </c>
      <c r="S1025" t="str">
        <f>_xlfn.XLOOKUP(Pipeline_tbl[[#This Row],[Created_Date]],Dim_Date!A:A,Dim_Date!H:H)</f>
        <v>Oct 2024</v>
      </c>
      <c r="T1025" t="str">
        <f>IF(Pipeline_tbl[[#This Row],[Closed_Date]]=0,"",(_xlfn.XLOOKUP(Pipeline_tbl[[#This Row],[Closed_Date]],Dim_Date!A:A,Dim_Date!H:H)))</f>
        <v>Dec 2024</v>
      </c>
      <c r="U1025">
        <f>IF(Pipeline_tbl[[#This Row],[Closed_Date]]=0,"",Pipeline_tbl[[#This Row],[Closed_Date]]-Pipeline_tbl[[#This Row],[Created_Date]])</f>
        <v>51</v>
      </c>
    </row>
    <row r="1026" spans="1:21" ht="15" customHeight="1" x14ac:dyDescent="0.2">
      <c r="A1026" t="s">
        <v>1332</v>
      </c>
      <c r="B1026" t="s">
        <v>243</v>
      </c>
      <c r="C1026" t="s">
        <v>52</v>
      </c>
      <c r="D1026" s="49">
        <v>45590</v>
      </c>
      <c r="E1026" s="49">
        <v>45594</v>
      </c>
      <c r="F1026" s="49">
        <v>45603</v>
      </c>
      <c r="G1026" s="49">
        <v>45615</v>
      </c>
      <c r="H1026" s="49">
        <v>45626</v>
      </c>
      <c r="I1026" s="49">
        <v>45632</v>
      </c>
      <c r="J1026" t="s">
        <v>47</v>
      </c>
      <c r="K1026" s="33">
        <v>7500</v>
      </c>
      <c r="M1026" t="str">
        <f>_xlfn.XLOOKUP(Pipeline_tbl[[#This Row],[Rep_ID]],Dim_Reps!A:A,Dim_Reps!K:K)</f>
        <v>MXN</v>
      </c>
      <c r="N1026" s="33">
        <f>(_xlfn.XLOOKUP(Pipeline_tbl[[#This Row],[Rate_Code_Generalized]],Lookups!A:A,Lookups!B:B))*Pipeline_tbl[[#This Row],[Pipeline_Amount_USD]]</f>
        <v>147995.25</v>
      </c>
      <c r="O1026" t="str">
        <f>_xlfn.XLOOKUP(Pipeline_tbl[[#This Row],[Rep_ID]],Dim_Reps!A:A,Dim_Reps!B:B)</f>
        <v>Jonas Sato</v>
      </c>
      <c r="P1026" t="str">
        <f>_xlfn.XLOOKUP(Pipeline_tbl[[#This Row],[Rep_ID]],Dim_Reps!A:A,Dim_Reps!C:C)</f>
        <v>Mid-Market AE</v>
      </c>
      <c r="Q1026" t="str">
        <f>_xlfn.XLOOKUP(Pipeline_tbl[[#This Row],[Rep_ID]],Dim_Reps!A:A,Dim_Reps!D:D)</f>
        <v>Mid-Market</v>
      </c>
      <c r="R1026" t="str">
        <f>_xlfn.XLOOKUP(Pipeline_tbl[[#This Row],[Rep_ID]],Dim_Reps!A:A,Dim_Reps!E:E)</f>
        <v>LATAM</v>
      </c>
      <c r="S1026" t="str">
        <f>_xlfn.XLOOKUP(Pipeline_tbl[[#This Row],[Created_Date]],Dim_Date!A:A,Dim_Date!H:H)</f>
        <v>Oct 2024</v>
      </c>
      <c r="T1026" t="str">
        <f>IF(Pipeline_tbl[[#This Row],[Closed_Date]]=0,"",(_xlfn.XLOOKUP(Pipeline_tbl[[#This Row],[Closed_Date]],Dim_Date!A:A,Dim_Date!H:H)))</f>
        <v>Dec 2024</v>
      </c>
      <c r="U1026">
        <f>IF(Pipeline_tbl[[#This Row],[Closed_Date]]=0,"",Pipeline_tbl[[#This Row],[Closed_Date]]-Pipeline_tbl[[#This Row],[Created_Date]])</f>
        <v>42</v>
      </c>
    </row>
    <row r="1027" spans="1:21" ht="15" customHeight="1" x14ac:dyDescent="0.2">
      <c r="A1027" t="s">
        <v>1333</v>
      </c>
      <c r="B1027" t="s">
        <v>181</v>
      </c>
      <c r="C1027" t="s">
        <v>52</v>
      </c>
      <c r="D1027" s="49">
        <v>45590</v>
      </c>
      <c r="E1027" s="49">
        <v>45594</v>
      </c>
      <c r="F1027" s="49">
        <v>45602</v>
      </c>
      <c r="G1027" s="49">
        <v>45615</v>
      </c>
      <c r="I1027" s="49">
        <v>45631</v>
      </c>
      <c r="J1027" t="s">
        <v>49</v>
      </c>
      <c r="K1027" s="33">
        <v>26500</v>
      </c>
      <c r="L1027" t="s">
        <v>62</v>
      </c>
      <c r="M1027" t="str">
        <f>_xlfn.XLOOKUP(Pipeline_tbl[[#This Row],[Rep_ID]],Dim_Reps!A:A,Dim_Reps!K:K)</f>
        <v>USD</v>
      </c>
      <c r="N1027" s="33">
        <f>(_xlfn.XLOOKUP(Pipeline_tbl[[#This Row],[Rate_Code_Generalized]],Lookups!A:A,Lookups!B:B))*Pipeline_tbl[[#This Row],[Pipeline_Amount_USD]]</f>
        <v>30853.949999999997</v>
      </c>
      <c r="O1027" t="str">
        <f>_xlfn.XLOOKUP(Pipeline_tbl[[#This Row],[Rep_ID]],Dim_Reps!A:A,Dim_Reps!B:B)</f>
        <v>Milo Weber</v>
      </c>
      <c r="P1027" t="str">
        <f>_xlfn.XLOOKUP(Pipeline_tbl[[#This Row],[Rep_ID]],Dim_Reps!A:A,Dim_Reps!C:C)</f>
        <v>Enterprise AE</v>
      </c>
      <c r="Q1027" t="str">
        <f>_xlfn.XLOOKUP(Pipeline_tbl[[#This Row],[Rep_ID]],Dim_Reps!A:A,Dim_Reps!D:D)</f>
        <v>Enterprise</v>
      </c>
      <c r="R1027" t="str">
        <f>_xlfn.XLOOKUP(Pipeline_tbl[[#This Row],[Rep_ID]],Dim_Reps!A:A,Dim_Reps!E:E)</f>
        <v>NAMER</v>
      </c>
      <c r="S1027" t="str">
        <f>_xlfn.XLOOKUP(Pipeline_tbl[[#This Row],[Created_Date]],Dim_Date!A:A,Dim_Date!H:H)</f>
        <v>Oct 2024</v>
      </c>
      <c r="T1027" t="str">
        <f>IF(Pipeline_tbl[[#This Row],[Closed_Date]]=0,"",(_xlfn.XLOOKUP(Pipeline_tbl[[#This Row],[Closed_Date]],Dim_Date!A:A,Dim_Date!H:H)))</f>
        <v>Dec 2024</v>
      </c>
      <c r="U1027">
        <f>IF(Pipeline_tbl[[#This Row],[Closed_Date]]=0,"",Pipeline_tbl[[#This Row],[Closed_Date]]-Pipeline_tbl[[#This Row],[Created_Date]])</f>
        <v>41</v>
      </c>
    </row>
    <row r="1028" spans="1:21" ht="15" customHeight="1" x14ac:dyDescent="0.2">
      <c r="A1028" t="s">
        <v>1334</v>
      </c>
      <c r="B1028" t="s">
        <v>181</v>
      </c>
      <c r="C1028" t="s">
        <v>56</v>
      </c>
      <c r="D1028" s="49">
        <v>45571</v>
      </c>
      <c r="E1028" s="49">
        <v>45579</v>
      </c>
      <c r="F1028" s="49">
        <v>45596</v>
      </c>
      <c r="G1028" s="49">
        <v>45621</v>
      </c>
      <c r="H1028" s="49">
        <v>45642</v>
      </c>
      <c r="I1028" s="49">
        <v>45654</v>
      </c>
      <c r="J1028" t="s">
        <v>47</v>
      </c>
      <c r="K1028" s="33">
        <v>78700</v>
      </c>
      <c r="M1028" t="str">
        <f>_xlfn.XLOOKUP(Pipeline_tbl[[#This Row],[Rep_ID]],Dim_Reps!A:A,Dim_Reps!K:K)</f>
        <v>USD</v>
      </c>
      <c r="N1028" s="33">
        <f>(_xlfn.XLOOKUP(Pipeline_tbl[[#This Row],[Rate_Code_Generalized]],Lookups!A:A,Lookups!B:B))*Pipeline_tbl[[#This Row],[Pipeline_Amount_USD]]</f>
        <v>91630.409999999989</v>
      </c>
      <c r="O1028" t="str">
        <f>_xlfn.XLOOKUP(Pipeline_tbl[[#This Row],[Rep_ID]],Dim_Reps!A:A,Dim_Reps!B:B)</f>
        <v>Milo Weber</v>
      </c>
      <c r="P1028" t="str">
        <f>_xlfn.XLOOKUP(Pipeline_tbl[[#This Row],[Rep_ID]],Dim_Reps!A:A,Dim_Reps!C:C)</f>
        <v>Enterprise AE</v>
      </c>
      <c r="Q1028" t="str">
        <f>_xlfn.XLOOKUP(Pipeline_tbl[[#This Row],[Rep_ID]],Dim_Reps!A:A,Dim_Reps!D:D)</f>
        <v>Enterprise</v>
      </c>
      <c r="R1028" t="str">
        <f>_xlfn.XLOOKUP(Pipeline_tbl[[#This Row],[Rep_ID]],Dim_Reps!A:A,Dim_Reps!E:E)</f>
        <v>NAMER</v>
      </c>
      <c r="S1028" t="str">
        <f>_xlfn.XLOOKUP(Pipeline_tbl[[#This Row],[Created_Date]],Dim_Date!A:A,Dim_Date!H:H)</f>
        <v>Oct 2024</v>
      </c>
      <c r="T1028" t="str">
        <f>IF(Pipeline_tbl[[#This Row],[Closed_Date]]=0,"",(_xlfn.XLOOKUP(Pipeline_tbl[[#This Row],[Closed_Date]],Dim_Date!A:A,Dim_Date!H:H)))</f>
        <v>Dec 2024</v>
      </c>
      <c r="U1028">
        <f>IF(Pipeline_tbl[[#This Row],[Closed_Date]]=0,"",Pipeline_tbl[[#This Row],[Closed_Date]]-Pipeline_tbl[[#This Row],[Created_Date]])</f>
        <v>83</v>
      </c>
    </row>
    <row r="1029" spans="1:21" ht="15" customHeight="1" x14ac:dyDescent="0.2">
      <c r="A1029" t="s">
        <v>1335</v>
      </c>
      <c r="B1029" t="s">
        <v>181</v>
      </c>
      <c r="C1029" t="s">
        <v>53</v>
      </c>
      <c r="D1029" s="49">
        <v>45582</v>
      </c>
      <c r="E1029" s="49">
        <v>45588</v>
      </c>
      <c r="F1029" s="49">
        <v>45599</v>
      </c>
      <c r="I1029" s="49">
        <v>45638</v>
      </c>
      <c r="J1029" t="s">
        <v>49</v>
      </c>
      <c r="K1029" s="33">
        <v>13100</v>
      </c>
      <c r="L1029" t="s">
        <v>61</v>
      </c>
      <c r="M1029" t="str">
        <f>_xlfn.XLOOKUP(Pipeline_tbl[[#This Row],[Rep_ID]],Dim_Reps!A:A,Dim_Reps!K:K)</f>
        <v>USD</v>
      </c>
      <c r="N1029" s="33">
        <f>(_xlfn.XLOOKUP(Pipeline_tbl[[#This Row],[Rate_Code_Generalized]],Lookups!A:A,Lookups!B:B))*Pipeline_tbl[[#This Row],[Pipeline_Amount_USD]]</f>
        <v>15252.329999999998</v>
      </c>
      <c r="O1029" t="str">
        <f>_xlfn.XLOOKUP(Pipeline_tbl[[#This Row],[Rep_ID]],Dim_Reps!A:A,Dim_Reps!B:B)</f>
        <v>Milo Weber</v>
      </c>
      <c r="P1029" t="str">
        <f>_xlfn.XLOOKUP(Pipeline_tbl[[#This Row],[Rep_ID]],Dim_Reps!A:A,Dim_Reps!C:C)</f>
        <v>Enterprise AE</v>
      </c>
      <c r="Q1029" t="str">
        <f>_xlfn.XLOOKUP(Pipeline_tbl[[#This Row],[Rep_ID]],Dim_Reps!A:A,Dim_Reps!D:D)</f>
        <v>Enterprise</v>
      </c>
      <c r="R1029" t="str">
        <f>_xlfn.XLOOKUP(Pipeline_tbl[[#This Row],[Rep_ID]],Dim_Reps!A:A,Dim_Reps!E:E)</f>
        <v>NAMER</v>
      </c>
      <c r="S1029" t="str">
        <f>_xlfn.XLOOKUP(Pipeline_tbl[[#This Row],[Created_Date]],Dim_Date!A:A,Dim_Date!H:H)</f>
        <v>Oct 2024</v>
      </c>
      <c r="T1029" t="str">
        <f>IF(Pipeline_tbl[[#This Row],[Closed_Date]]=0,"",(_xlfn.XLOOKUP(Pipeline_tbl[[#This Row],[Closed_Date]],Dim_Date!A:A,Dim_Date!H:H)))</f>
        <v>Dec 2024</v>
      </c>
      <c r="U1029">
        <f>IF(Pipeline_tbl[[#This Row],[Closed_Date]]=0,"",Pipeline_tbl[[#This Row],[Closed_Date]]-Pipeline_tbl[[#This Row],[Created_Date]])</f>
        <v>56</v>
      </c>
    </row>
    <row r="1030" spans="1:21" ht="15" customHeight="1" x14ac:dyDescent="0.2">
      <c r="A1030" t="s">
        <v>1336</v>
      </c>
      <c r="B1030" t="s">
        <v>181</v>
      </c>
      <c r="C1030" t="s">
        <v>53</v>
      </c>
      <c r="D1030" s="49">
        <v>45580</v>
      </c>
      <c r="E1030" s="49">
        <v>45587</v>
      </c>
      <c r="F1030" s="49">
        <v>45601</v>
      </c>
      <c r="G1030" s="49">
        <v>45621</v>
      </c>
      <c r="H1030" s="49">
        <v>45639</v>
      </c>
      <c r="I1030" s="49">
        <v>45649</v>
      </c>
      <c r="J1030" t="s">
        <v>47</v>
      </c>
      <c r="K1030" s="33">
        <v>25200</v>
      </c>
      <c r="M1030" t="str">
        <f>_xlfn.XLOOKUP(Pipeline_tbl[[#This Row],[Rep_ID]],Dim_Reps!A:A,Dim_Reps!K:K)</f>
        <v>USD</v>
      </c>
      <c r="N1030" s="33">
        <f>(_xlfn.XLOOKUP(Pipeline_tbl[[#This Row],[Rate_Code_Generalized]],Lookups!A:A,Lookups!B:B))*Pipeline_tbl[[#This Row],[Pipeline_Amount_USD]]</f>
        <v>29340.359999999997</v>
      </c>
      <c r="O1030" t="str">
        <f>_xlfn.XLOOKUP(Pipeline_tbl[[#This Row],[Rep_ID]],Dim_Reps!A:A,Dim_Reps!B:B)</f>
        <v>Milo Weber</v>
      </c>
      <c r="P1030" t="str">
        <f>_xlfn.XLOOKUP(Pipeline_tbl[[#This Row],[Rep_ID]],Dim_Reps!A:A,Dim_Reps!C:C)</f>
        <v>Enterprise AE</v>
      </c>
      <c r="Q1030" t="str">
        <f>_xlfn.XLOOKUP(Pipeline_tbl[[#This Row],[Rep_ID]],Dim_Reps!A:A,Dim_Reps!D:D)</f>
        <v>Enterprise</v>
      </c>
      <c r="R1030" t="str">
        <f>_xlfn.XLOOKUP(Pipeline_tbl[[#This Row],[Rep_ID]],Dim_Reps!A:A,Dim_Reps!E:E)</f>
        <v>NAMER</v>
      </c>
      <c r="S1030" t="str">
        <f>_xlfn.XLOOKUP(Pipeline_tbl[[#This Row],[Created_Date]],Dim_Date!A:A,Dim_Date!H:H)</f>
        <v>Oct 2024</v>
      </c>
      <c r="T1030" t="str">
        <f>IF(Pipeline_tbl[[#This Row],[Closed_Date]]=0,"",(_xlfn.XLOOKUP(Pipeline_tbl[[#This Row],[Closed_Date]],Dim_Date!A:A,Dim_Date!H:H)))</f>
        <v>Dec 2024</v>
      </c>
      <c r="U1030">
        <f>IF(Pipeline_tbl[[#This Row],[Closed_Date]]=0,"",Pipeline_tbl[[#This Row],[Closed_Date]]-Pipeline_tbl[[#This Row],[Created_Date]])</f>
        <v>69</v>
      </c>
    </row>
    <row r="1031" spans="1:21" ht="15" customHeight="1" x14ac:dyDescent="0.2">
      <c r="A1031" t="s">
        <v>1337</v>
      </c>
      <c r="B1031" t="s">
        <v>181</v>
      </c>
      <c r="C1031" t="s">
        <v>55</v>
      </c>
      <c r="D1031" s="49">
        <v>45595</v>
      </c>
      <c r="E1031" s="49">
        <v>45599</v>
      </c>
      <c r="F1031" s="49">
        <v>45606</v>
      </c>
      <c r="G1031" s="49">
        <v>45617</v>
      </c>
      <c r="H1031" s="49">
        <v>45626</v>
      </c>
      <c r="I1031" s="49">
        <v>45632</v>
      </c>
      <c r="J1031" t="s">
        <v>47</v>
      </c>
      <c r="K1031" s="33">
        <v>9800</v>
      </c>
      <c r="M1031" t="str">
        <f>_xlfn.XLOOKUP(Pipeline_tbl[[#This Row],[Rep_ID]],Dim_Reps!A:A,Dim_Reps!K:K)</f>
        <v>USD</v>
      </c>
      <c r="N1031" s="33">
        <f>(_xlfn.XLOOKUP(Pipeline_tbl[[#This Row],[Rate_Code_Generalized]],Lookups!A:A,Lookups!B:B))*Pipeline_tbl[[#This Row],[Pipeline_Amount_USD]]</f>
        <v>11410.14</v>
      </c>
      <c r="O1031" t="str">
        <f>_xlfn.XLOOKUP(Pipeline_tbl[[#This Row],[Rep_ID]],Dim_Reps!A:A,Dim_Reps!B:B)</f>
        <v>Milo Weber</v>
      </c>
      <c r="P1031" t="str">
        <f>_xlfn.XLOOKUP(Pipeline_tbl[[#This Row],[Rep_ID]],Dim_Reps!A:A,Dim_Reps!C:C)</f>
        <v>Enterprise AE</v>
      </c>
      <c r="Q1031" t="str">
        <f>_xlfn.XLOOKUP(Pipeline_tbl[[#This Row],[Rep_ID]],Dim_Reps!A:A,Dim_Reps!D:D)</f>
        <v>Enterprise</v>
      </c>
      <c r="R1031" t="str">
        <f>_xlfn.XLOOKUP(Pipeline_tbl[[#This Row],[Rep_ID]],Dim_Reps!A:A,Dim_Reps!E:E)</f>
        <v>NAMER</v>
      </c>
      <c r="S1031" t="str">
        <f>_xlfn.XLOOKUP(Pipeline_tbl[[#This Row],[Created_Date]],Dim_Date!A:A,Dim_Date!H:H)</f>
        <v>Oct 2024</v>
      </c>
      <c r="T1031" t="str">
        <f>IF(Pipeline_tbl[[#This Row],[Closed_Date]]=0,"",(_xlfn.XLOOKUP(Pipeline_tbl[[#This Row],[Closed_Date]],Dim_Date!A:A,Dim_Date!H:H)))</f>
        <v>Dec 2024</v>
      </c>
      <c r="U1031">
        <f>IF(Pipeline_tbl[[#This Row],[Closed_Date]]=0,"",Pipeline_tbl[[#This Row],[Closed_Date]]-Pipeline_tbl[[#This Row],[Created_Date]])</f>
        <v>37</v>
      </c>
    </row>
    <row r="1032" spans="1:21" ht="15" customHeight="1" x14ac:dyDescent="0.2">
      <c r="A1032" t="s">
        <v>1338</v>
      </c>
      <c r="B1032" t="s">
        <v>183</v>
      </c>
      <c r="C1032" t="s">
        <v>56</v>
      </c>
      <c r="D1032" s="49">
        <v>45576</v>
      </c>
      <c r="E1032" s="49">
        <v>45581</v>
      </c>
      <c r="F1032" s="49">
        <v>45592</v>
      </c>
      <c r="I1032" s="49">
        <v>45629</v>
      </c>
      <c r="J1032" t="s">
        <v>49</v>
      </c>
      <c r="K1032" s="33">
        <v>43000</v>
      </c>
      <c r="L1032" t="s">
        <v>62</v>
      </c>
      <c r="M1032" t="str">
        <f>_xlfn.XLOOKUP(Pipeline_tbl[[#This Row],[Rep_ID]],Dim_Reps!A:A,Dim_Reps!K:K)</f>
        <v>EUR</v>
      </c>
      <c r="N1032" s="33">
        <f>(_xlfn.XLOOKUP(Pipeline_tbl[[#This Row],[Rate_Code_Generalized]],Lookups!A:A,Lookups!B:B))*Pipeline_tbl[[#This Row],[Pipeline_Amount_USD]]</f>
        <v>43000</v>
      </c>
      <c r="O1032" t="str">
        <f>_xlfn.XLOOKUP(Pipeline_tbl[[#This Row],[Rep_ID]],Dim_Reps!A:A,Dim_Reps!B:B)</f>
        <v>Sam Schmidt</v>
      </c>
      <c r="P1032" t="str">
        <f>_xlfn.XLOOKUP(Pipeline_tbl[[#This Row],[Rep_ID]],Dim_Reps!A:A,Dim_Reps!C:C)</f>
        <v>Enterprise AE</v>
      </c>
      <c r="Q1032" t="str">
        <f>_xlfn.XLOOKUP(Pipeline_tbl[[#This Row],[Rep_ID]],Dim_Reps!A:A,Dim_Reps!D:D)</f>
        <v>Enterprise</v>
      </c>
      <c r="R1032" t="str">
        <f>_xlfn.XLOOKUP(Pipeline_tbl[[#This Row],[Rep_ID]],Dim_Reps!A:A,Dim_Reps!E:E)</f>
        <v>EMEA</v>
      </c>
      <c r="S1032" t="str">
        <f>_xlfn.XLOOKUP(Pipeline_tbl[[#This Row],[Created_Date]],Dim_Date!A:A,Dim_Date!H:H)</f>
        <v>Oct 2024</v>
      </c>
      <c r="T1032" t="str">
        <f>IF(Pipeline_tbl[[#This Row],[Closed_Date]]=0,"",(_xlfn.XLOOKUP(Pipeline_tbl[[#This Row],[Closed_Date]],Dim_Date!A:A,Dim_Date!H:H)))</f>
        <v>Dec 2024</v>
      </c>
      <c r="U1032">
        <f>IF(Pipeline_tbl[[#This Row],[Closed_Date]]=0,"",Pipeline_tbl[[#This Row],[Closed_Date]]-Pipeline_tbl[[#This Row],[Created_Date]])</f>
        <v>53</v>
      </c>
    </row>
    <row r="1033" spans="1:21" ht="15" customHeight="1" x14ac:dyDescent="0.2">
      <c r="A1033" t="s">
        <v>1339</v>
      </c>
      <c r="B1033" t="s">
        <v>183</v>
      </c>
      <c r="C1033" t="s">
        <v>53</v>
      </c>
      <c r="D1033" s="49">
        <v>45578</v>
      </c>
      <c r="E1033" s="49">
        <v>45584</v>
      </c>
      <c r="I1033" s="49">
        <v>45642</v>
      </c>
      <c r="J1033" t="s">
        <v>49</v>
      </c>
      <c r="K1033" s="33">
        <v>36100</v>
      </c>
      <c r="L1033" t="s">
        <v>64</v>
      </c>
      <c r="M1033" t="str">
        <f>_xlfn.XLOOKUP(Pipeline_tbl[[#This Row],[Rep_ID]],Dim_Reps!A:A,Dim_Reps!K:K)</f>
        <v>EUR</v>
      </c>
      <c r="N1033" s="33">
        <f>(_xlfn.XLOOKUP(Pipeline_tbl[[#This Row],[Rate_Code_Generalized]],Lookups!A:A,Lookups!B:B))*Pipeline_tbl[[#This Row],[Pipeline_Amount_USD]]</f>
        <v>36100</v>
      </c>
      <c r="O1033" t="str">
        <f>_xlfn.XLOOKUP(Pipeline_tbl[[#This Row],[Rep_ID]],Dim_Reps!A:A,Dim_Reps!B:B)</f>
        <v>Sam Schmidt</v>
      </c>
      <c r="P1033" t="str">
        <f>_xlfn.XLOOKUP(Pipeline_tbl[[#This Row],[Rep_ID]],Dim_Reps!A:A,Dim_Reps!C:C)</f>
        <v>Enterprise AE</v>
      </c>
      <c r="Q1033" t="str">
        <f>_xlfn.XLOOKUP(Pipeline_tbl[[#This Row],[Rep_ID]],Dim_Reps!A:A,Dim_Reps!D:D)</f>
        <v>Enterprise</v>
      </c>
      <c r="R1033" t="str">
        <f>_xlfn.XLOOKUP(Pipeline_tbl[[#This Row],[Rep_ID]],Dim_Reps!A:A,Dim_Reps!E:E)</f>
        <v>EMEA</v>
      </c>
      <c r="S1033" t="str">
        <f>_xlfn.XLOOKUP(Pipeline_tbl[[#This Row],[Created_Date]],Dim_Date!A:A,Dim_Date!H:H)</f>
        <v>Oct 2024</v>
      </c>
      <c r="T1033" t="str">
        <f>IF(Pipeline_tbl[[#This Row],[Closed_Date]]=0,"",(_xlfn.XLOOKUP(Pipeline_tbl[[#This Row],[Closed_Date]],Dim_Date!A:A,Dim_Date!H:H)))</f>
        <v>Dec 2024</v>
      </c>
      <c r="U1033">
        <f>IF(Pipeline_tbl[[#This Row],[Closed_Date]]=0,"",Pipeline_tbl[[#This Row],[Closed_Date]]-Pipeline_tbl[[#This Row],[Created_Date]])</f>
        <v>64</v>
      </c>
    </row>
    <row r="1034" spans="1:21" ht="15" customHeight="1" x14ac:dyDescent="0.2">
      <c r="A1034" t="s">
        <v>1340</v>
      </c>
      <c r="B1034" t="s">
        <v>183</v>
      </c>
      <c r="C1034" t="s">
        <v>53</v>
      </c>
      <c r="D1034" s="49">
        <v>45580</v>
      </c>
      <c r="E1034" s="49">
        <v>45587</v>
      </c>
      <c r="I1034" s="49">
        <v>45648</v>
      </c>
      <c r="J1034" t="s">
        <v>49</v>
      </c>
      <c r="K1034" s="33">
        <v>80000</v>
      </c>
      <c r="L1034" t="s">
        <v>60</v>
      </c>
      <c r="M1034" t="str">
        <f>_xlfn.XLOOKUP(Pipeline_tbl[[#This Row],[Rep_ID]],Dim_Reps!A:A,Dim_Reps!K:K)</f>
        <v>EUR</v>
      </c>
      <c r="N1034" s="33">
        <f>(_xlfn.XLOOKUP(Pipeline_tbl[[#This Row],[Rate_Code_Generalized]],Lookups!A:A,Lookups!B:B))*Pipeline_tbl[[#This Row],[Pipeline_Amount_USD]]</f>
        <v>80000</v>
      </c>
      <c r="O1034" t="str">
        <f>_xlfn.XLOOKUP(Pipeline_tbl[[#This Row],[Rep_ID]],Dim_Reps!A:A,Dim_Reps!B:B)</f>
        <v>Sam Schmidt</v>
      </c>
      <c r="P1034" t="str">
        <f>_xlfn.XLOOKUP(Pipeline_tbl[[#This Row],[Rep_ID]],Dim_Reps!A:A,Dim_Reps!C:C)</f>
        <v>Enterprise AE</v>
      </c>
      <c r="Q1034" t="str">
        <f>_xlfn.XLOOKUP(Pipeline_tbl[[#This Row],[Rep_ID]],Dim_Reps!A:A,Dim_Reps!D:D)</f>
        <v>Enterprise</v>
      </c>
      <c r="R1034" t="str">
        <f>_xlfn.XLOOKUP(Pipeline_tbl[[#This Row],[Rep_ID]],Dim_Reps!A:A,Dim_Reps!E:E)</f>
        <v>EMEA</v>
      </c>
      <c r="S1034" t="str">
        <f>_xlfn.XLOOKUP(Pipeline_tbl[[#This Row],[Created_Date]],Dim_Date!A:A,Dim_Date!H:H)</f>
        <v>Oct 2024</v>
      </c>
      <c r="T1034" t="str">
        <f>IF(Pipeline_tbl[[#This Row],[Closed_Date]]=0,"",(_xlfn.XLOOKUP(Pipeline_tbl[[#This Row],[Closed_Date]],Dim_Date!A:A,Dim_Date!H:H)))</f>
        <v>Dec 2024</v>
      </c>
      <c r="U1034">
        <f>IF(Pipeline_tbl[[#This Row],[Closed_Date]]=0,"",Pipeline_tbl[[#This Row],[Closed_Date]]-Pipeline_tbl[[#This Row],[Created_Date]])</f>
        <v>68</v>
      </c>
    </row>
    <row r="1035" spans="1:21" ht="15" customHeight="1" x14ac:dyDescent="0.2">
      <c r="A1035" t="s">
        <v>1341</v>
      </c>
      <c r="B1035" t="s">
        <v>183</v>
      </c>
      <c r="C1035" t="s">
        <v>55</v>
      </c>
      <c r="D1035" s="49">
        <v>45595</v>
      </c>
      <c r="E1035" s="49">
        <v>45600</v>
      </c>
      <c r="I1035" s="49">
        <v>45649</v>
      </c>
      <c r="J1035" t="s">
        <v>49</v>
      </c>
      <c r="K1035" s="33">
        <v>22600</v>
      </c>
      <c r="L1035" t="s">
        <v>62</v>
      </c>
      <c r="M1035" t="str">
        <f>_xlfn.XLOOKUP(Pipeline_tbl[[#This Row],[Rep_ID]],Dim_Reps!A:A,Dim_Reps!K:K)</f>
        <v>EUR</v>
      </c>
      <c r="N1035" s="33">
        <f>(_xlfn.XLOOKUP(Pipeline_tbl[[#This Row],[Rate_Code_Generalized]],Lookups!A:A,Lookups!B:B))*Pipeline_tbl[[#This Row],[Pipeline_Amount_USD]]</f>
        <v>22600</v>
      </c>
      <c r="O1035" t="str">
        <f>_xlfn.XLOOKUP(Pipeline_tbl[[#This Row],[Rep_ID]],Dim_Reps!A:A,Dim_Reps!B:B)</f>
        <v>Sam Schmidt</v>
      </c>
      <c r="P1035" t="str">
        <f>_xlfn.XLOOKUP(Pipeline_tbl[[#This Row],[Rep_ID]],Dim_Reps!A:A,Dim_Reps!C:C)</f>
        <v>Enterprise AE</v>
      </c>
      <c r="Q1035" t="str">
        <f>_xlfn.XLOOKUP(Pipeline_tbl[[#This Row],[Rep_ID]],Dim_Reps!A:A,Dim_Reps!D:D)</f>
        <v>Enterprise</v>
      </c>
      <c r="R1035" t="str">
        <f>_xlfn.XLOOKUP(Pipeline_tbl[[#This Row],[Rep_ID]],Dim_Reps!A:A,Dim_Reps!E:E)</f>
        <v>EMEA</v>
      </c>
      <c r="S1035" t="str">
        <f>_xlfn.XLOOKUP(Pipeline_tbl[[#This Row],[Created_Date]],Dim_Date!A:A,Dim_Date!H:H)</f>
        <v>Oct 2024</v>
      </c>
      <c r="T1035" t="str">
        <f>IF(Pipeline_tbl[[#This Row],[Closed_Date]]=0,"",(_xlfn.XLOOKUP(Pipeline_tbl[[#This Row],[Closed_Date]],Dim_Date!A:A,Dim_Date!H:H)))</f>
        <v>Dec 2024</v>
      </c>
      <c r="U1035">
        <f>IF(Pipeline_tbl[[#This Row],[Closed_Date]]=0,"",Pipeline_tbl[[#This Row],[Closed_Date]]-Pipeline_tbl[[#This Row],[Created_Date]])</f>
        <v>54</v>
      </c>
    </row>
    <row r="1036" spans="1:21" ht="15" customHeight="1" x14ac:dyDescent="0.2">
      <c r="A1036" t="s">
        <v>1342</v>
      </c>
      <c r="B1036" t="s">
        <v>278</v>
      </c>
      <c r="C1036" t="s">
        <v>52</v>
      </c>
      <c r="D1036" s="49">
        <v>45589</v>
      </c>
      <c r="E1036" s="49">
        <v>45594</v>
      </c>
      <c r="F1036" s="49">
        <v>45605</v>
      </c>
      <c r="G1036" s="49">
        <v>45621</v>
      </c>
      <c r="I1036" s="49">
        <v>45643</v>
      </c>
      <c r="J1036" t="s">
        <v>49</v>
      </c>
      <c r="K1036" s="33">
        <v>21800</v>
      </c>
      <c r="L1036" t="s">
        <v>61</v>
      </c>
      <c r="M1036" t="str">
        <f>_xlfn.XLOOKUP(Pipeline_tbl[[#This Row],[Rep_ID]],Dim_Reps!A:A,Dim_Reps!K:K)</f>
        <v>EUR</v>
      </c>
      <c r="N1036" s="33">
        <f>(_xlfn.XLOOKUP(Pipeline_tbl[[#This Row],[Rate_Code_Generalized]],Lookups!A:A,Lookups!B:B))*Pipeline_tbl[[#This Row],[Pipeline_Amount_USD]]</f>
        <v>21800</v>
      </c>
      <c r="O1036" t="str">
        <f>_xlfn.XLOOKUP(Pipeline_tbl[[#This Row],[Rep_ID]],Dim_Reps!A:A,Dim_Reps!B:B)</f>
        <v>Sara Andersson</v>
      </c>
      <c r="P1036" t="str">
        <f>_xlfn.XLOOKUP(Pipeline_tbl[[#This Row],[Rep_ID]],Dim_Reps!A:A,Dim_Reps!C:C)</f>
        <v>Senior Enterprise AE</v>
      </c>
      <c r="Q1036" t="str">
        <f>_xlfn.XLOOKUP(Pipeline_tbl[[#This Row],[Rep_ID]],Dim_Reps!A:A,Dim_Reps!D:D)</f>
        <v>Strategic</v>
      </c>
      <c r="R1036" t="str">
        <f>_xlfn.XLOOKUP(Pipeline_tbl[[#This Row],[Rep_ID]],Dim_Reps!A:A,Dim_Reps!E:E)</f>
        <v>APAC</v>
      </c>
      <c r="S1036" t="str">
        <f>_xlfn.XLOOKUP(Pipeline_tbl[[#This Row],[Created_Date]],Dim_Date!A:A,Dim_Date!H:H)</f>
        <v>Oct 2024</v>
      </c>
      <c r="T1036" t="str">
        <f>IF(Pipeline_tbl[[#This Row],[Closed_Date]]=0,"",(_xlfn.XLOOKUP(Pipeline_tbl[[#This Row],[Closed_Date]],Dim_Date!A:A,Dim_Date!H:H)))</f>
        <v>Dec 2024</v>
      </c>
      <c r="U1036">
        <f>IF(Pipeline_tbl[[#This Row],[Closed_Date]]=0,"",Pipeline_tbl[[#This Row],[Closed_Date]]-Pipeline_tbl[[#This Row],[Created_Date]])</f>
        <v>54</v>
      </c>
    </row>
    <row r="1037" spans="1:21" ht="15" customHeight="1" x14ac:dyDescent="0.2">
      <c r="A1037" t="s">
        <v>1343</v>
      </c>
      <c r="B1037" t="s">
        <v>185</v>
      </c>
      <c r="C1037" t="s">
        <v>52</v>
      </c>
      <c r="D1037" s="49">
        <v>45588</v>
      </c>
      <c r="E1037" s="49">
        <v>45592</v>
      </c>
      <c r="F1037" s="49">
        <v>45601</v>
      </c>
      <c r="G1037" s="49">
        <v>45614</v>
      </c>
      <c r="I1037" s="49">
        <v>45632</v>
      </c>
      <c r="J1037" t="s">
        <v>49</v>
      </c>
      <c r="K1037" s="33">
        <v>14200</v>
      </c>
      <c r="L1037" t="s">
        <v>61</v>
      </c>
      <c r="M1037" t="str">
        <f>_xlfn.XLOOKUP(Pipeline_tbl[[#This Row],[Rep_ID]],Dim_Reps!A:A,Dim_Reps!K:K)</f>
        <v>MXN</v>
      </c>
      <c r="N1037" s="33">
        <f>(_xlfn.XLOOKUP(Pipeline_tbl[[#This Row],[Rate_Code_Generalized]],Lookups!A:A,Lookups!B:B))*Pipeline_tbl[[#This Row],[Pipeline_Amount_USD]]</f>
        <v>280204.34000000003</v>
      </c>
      <c r="O1037" t="str">
        <f>_xlfn.XLOOKUP(Pipeline_tbl[[#This Row],[Rep_ID]],Dim_Reps!A:A,Dim_Reps!B:B)</f>
        <v>Noah Kim</v>
      </c>
      <c r="P1037" t="str">
        <f>_xlfn.XLOOKUP(Pipeline_tbl[[#This Row],[Rep_ID]],Dim_Reps!A:A,Dim_Reps!C:C)</f>
        <v>Enterprise AE</v>
      </c>
      <c r="Q1037" t="str">
        <f>_xlfn.XLOOKUP(Pipeline_tbl[[#This Row],[Rep_ID]],Dim_Reps!A:A,Dim_Reps!D:D)</f>
        <v>Enterprise</v>
      </c>
      <c r="R1037" t="str">
        <f>_xlfn.XLOOKUP(Pipeline_tbl[[#This Row],[Rep_ID]],Dim_Reps!A:A,Dim_Reps!E:E)</f>
        <v>LATAM</v>
      </c>
      <c r="S1037" t="str">
        <f>_xlfn.XLOOKUP(Pipeline_tbl[[#This Row],[Created_Date]],Dim_Date!A:A,Dim_Date!H:H)</f>
        <v>Oct 2024</v>
      </c>
      <c r="T1037" t="str">
        <f>IF(Pipeline_tbl[[#This Row],[Closed_Date]]=0,"",(_xlfn.XLOOKUP(Pipeline_tbl[[#This Row],[Closed_Date]],Dim_Date!A:A,Dim_Date!H:H)))</f>
        <v>Dec 2024</v>
      </c>
      <c r="U1037">
        <f>IF(Pipeline_tbl[[#This Row],[Closed_Date]]=0,"",Pipeline_tbl[[#This Row],[Closed_Date]]-Pipeline_tbl[[#This Row],[Created_Date]])</f>
        <v>44</v>
      </c>
    </row>
    <row r="1038" spans="1:21" ht="15" customHeight="1" x14ac:dyDescent="0.2">
      <c r="A1038" t="s">
        <v>1344</v>
      </c>
      <c r="B1038" t="s">
        <v>185</v>
      </c>
      <c r="C1038" t="s">
        <v>55</v>
      </c>
      <c r="D1038" s="49">
        <v>45584</v>
      </c>
      <c r="E1038" s="49">
        <v>45590</v>
      </c>
      <c r="I1038" s="49">
        <v>45642</v>
      </c>
      <c r="J1038" t="s">
        <v>49</v>
      </c>
      <c r="K1038" s="33">
        <v>29200</v>
      </c>
      <c r="L1038" t="s">
        <v>61</v>
      </c>
      <c r="M1038" t="str">
        <f>_xlfn.XLOOKUP(Pipeline_tbl[[#This Row],[Rep_ID]],Dim_Reps!A:A,Dim_Reps!K:K)</f>
        <v>MXN</v>
      </c>
      <c r="N1038" s="33">
        <f>(_xlfn.XLOOKUP(Pipeline_tbl[[#This Row],[Rate_Code_Generalized]],Lookups!A:A,Lookups!B:B))*Pipeline_tbl[[#This Row],[Pipeline_Amount_USD]]</f>
        <v>576194.84000000008</v>
      </c>
      <c r="O1038" t="str">
        <f>_xlfn.XLOOKUP(Pipeline_tbl[[#This Row],[Rep_ID]],Dim_Reps!A:A,Dim_Reps!B:B)</f>
        <v>Noah Kim</v>
      </c>
      <c r="P1038" t="str">
        <f>_xlfn.XLOOKUP(Pipeline_tbl[[#This Row],[Rep_ID]],Dim_Reps!A:A,Dim_Reps!C:C)</f>
        <v>Enterprise AE</v>
      </c>
      <c r="Q1038" t="str">
        <f>_xlfn.XLOOKUP(Pipeline_tbl[[#This Row],[Rep_ID]],Dim_Reps!A:A,Dim_Reps!D:D)</f>
        <v>Enterprise</v>
      </c>
      <c r="R1038" t="str">
        <f>_xlfn.XLOOKUP(Pipeline_tbl[[#This Row],[Rep_ID]],Dim_Reps!A:A,Dim_Reps!E:E)</f>
        <v>LATAM</v>
      </c>
      <c r="S1038" t="str">
        <f>_xlfn.XLOOKUP(Pipeline_tbl[[#This Row],[Created_Date]],Dim_Date!A:A,Dim_Date!H:H)</f>
        <v>Oct 2024</v>
      </c>
      <c r="T1038" t="str">
        <f>IF(Pipeline_tbl[[#This Row],[Closed_Date]]=0,"",(_xlfn.XLOOKUP(Pipeline_tbl[[#This Row],[Closed_Date]],Dim_Date!A:A,Dim_Date!H:H)))</f>
        <v>Dec 2024</v>
      </c>
      <c r="U1038">
        <f>IF(Pipeline_tbl[[#This Row],[Closed_Date]]=0,"",Pipeline_tbl[[#This Row],[Closed_Date]]-Pipeline_tbl[[#This Row],[Created_Date]])</f>
        <v>58</v>
      </c>
    </row>
    <row r="1039" spans="1:21" ht="15" customHeight="1" x14ac:dyDescent="0.2">
      <c r="A1039" t="s">
        <v>1345</v>
      </c>
      <c r="B1039" t="s">
        <v>185</v>
      </c>
      <c r="C1039" t="s">
        <v>52</v>
      </c>
      <c r="D1039" s="49">
        <v>45589</v>
      </c>
      <c r="E1039" s="49">
        <v>45595</v>
      </c>
      <c r="F1039" s="49">
        <v>45608</v>
      </c>
      <c r="I1039" s="49">
        <v>45652</v>
      </c>
      <c r="J1039" t="s">
        <v>49</v>
      </c>
      <c r="K1039" s="33">
        <v>17900</v>
      </c>
      <c r="L1039" t="s">
        <v>61</v>
      </c>
      <c r="M1039" t="str">
        <f>_xlfn.XLOOKUP(Pipeline_tbl[[#This Row],[Rep_ID]],Dim_Reps!A:A,Dim_Reps!K:K)</f>
        <v>MXN</v>
      </c>
      <c r="N1039" s="33">
        <f>(_xlfn.XLOOKUP(Pipeline_tbl[[#This Row],[Rate_Code_Generalized]],Lookups!A:A,Lookups!B:B))*Pipeline_tbl[[#This Row],[Pipeline_Amount_USD]]</f>
        <v>353215.33</v>
      </c>
      <c r="O1039" t="str">
        <f>_xlfn.XLOOKUP(Pipeline_tbl[[#This Row],[Rep_ID]],Dim_Reps!A:A,Dim_Reps!B:B)</f>
        <v>Noah Kim</v>
      </c>
      <c r="P1039" t="str">
        <f>_xlfn.XLOOKUP(Pipeline_tbl[[#This Row],[Rep_ID]],Dim_Reps!A:A,Dim_Reps!C:C)</f>
        <v>Enterprise AE</v>
      </c>
      <c r="Q1039" t="str">
        <f>_xlfn.XLOOKUP(Pipeline_tbl[[#This Row],[Rep_ID]],Dim_Reps!A:A,Dim_Reps!D:D)</f>
        <v>Enterprise</v>
      </c>
      <c r="R1039" t="str">
        <f>_xlfn.XLOOKUP(Pipeline_tbl[[#This Row],[Rep_ID]],Dim_Reps!A:A,Dim_Reps!E:E)</f>
        <v>LATAM</v>
      </c>
      <c r="S1039" t="str">
        <f>_xlfn.XLOOKUP(Pipeline_tbl[[#This Row],[Created_Date]],Dim_Date!A:A,Dim_Date!H:H)</f>
        <v>Oct 2024</v>
      </c>
      <c r="T1039" t="str">
        <f>IF(Pipeline_tbl[[#This Row],[Closed_Date]]=0,"",(_xlfn.XLOOKUP(Pipeline_tbl[[#This Row],[Closed_Date]],Dim_Date!A:A,Dim_Date!H:H)))</f>
        <v>Dec 2024</v>
      </c>
      <c r="U1039">
        <f>IF(Pipeline_tbl[[#This Row],[Closed_Date]]=0,"",Pipeline_tbl[[#This Row],[Closed_Date]]-Pipeline_tbl[[#This Row],[Created_Date]])</f>
        <v>63</v>
      </c>
    </row>
    <row r="1040" spans="1:21" ht="15" customHeight="1" x14ac:dyDescent="0.2">
      <c r="A1040" t="s">
        <v>1346</v>
      </c>
      <c r="B1040" t="s">
        <v>185</v>
      </c>
      <c r="C1040" t="s">
        <v>52</v>
      </c>
      <c r="D1040" s="49">
        <v>45570</v>
      </c>
      <c r="E1040" s="49">
        <v>45577</v>
      </c>
      <c r="F1040" s="49">
        <v>45591</v>
      </c>
      <c r="G1040" s="49">
        <v>45612</v>
      </c>
      <c r="H1040" s="49">
        <v>45630</v>
      </c>
      <c r="I1040" s="49">
        <v>45640</v>
      </c>
      <c r="J1040" t="s">
        <v>47</v>
      </c>
      <c r="K1040" s="33">
        <v>25100</v>
      </c>
      <c r="M1040" t="str">
        <f>_xlfn.XLOOKUP(Pipeline_tbl[[#This Row],[Rep_ID]],Dim_Reps!A:A,Dim_Reps!K:K)</f>
        <v>MXN</v>
      </c>
      <c r="N1040" s="33">
        <f>(_xlfn.XLOOKUP(Pipeline_tbl[[#This Row],[Rate_Code_Generalized]],Lookups!A:A,Lookups!B:B))*Pipeline_tbl[[#This Row],[Pipeline_Amount_USD]]</f>
        <v>495290.77</v>
      </c>
      <c r="O1040" t="str">
        <f>_xlfn.XLOOKUP(Pipeline_tbl[[#This Row],[Rep_ID]],Dim_Reps!A:A,Dim_Reps!B:B)</f>
        <v>Noah Kim</v>
      </c>
      <c r="P1040" t="str">
        <f>_xlfn.XLOOKUP(Pipeline_tbl[[#This Row],[Rep_ID]],Dim_Reps!A:A,Dim_Reps!C:C)</f>
        <v>Enterprise AE</v>
      </c>
      <c r="Q1040" t="str">
        <f>_xlfn.XLOOKUP(Pipeline_tbl[[#This Row],[Rep_ID]],Dim_Reps!A:A,Dim_Reps!D:D)</f>
        <v>Enterprise</v>
      </c>
      <c r="R1040" t="str">
        <f>_xlfn.XLOOKUP(Pipeline_tbl[[#This Row],[Rep_ID]],Dim_Reps!A:A,Dim_Reps!E:E)</f>
        <v>LATAM</v>
      </c>
      <c r="S1040" t="str">
        <f>_xlfn.XLOOKUP(Pipeline_tbl[[#This Row],[Created_Date]],Dim_Date!A:A,Dim_Date!H:H)</f>
        <v>Oct 2024</v>
      </c>
      <c r="T1040" t="str">
        <f>IF(Pipeline_tbl[[#This Row],[Closed_Date]]=0,"",(_xlfn.XLOOKUP(Pipeline_tbl[[#This Row],[Closed_Date]],Dim_Date!A:A,Dim_Date!H:H)))</f>
        <v>Dec 2024</v>
      </c>
      <c r="U1040">
        <f>IF(Pipeline_tbl[[#This Row],[Closed_Date]]=0,"",Pipeline_tbl[[#This Row],[Closed_Date]]-Pipeline_tbl[[#This Row],[Created_Date]])</f>
        <v>70</v>
      </c>
    </row>
    <row r="1041" spans="1:21" ht="15" customHeight="1" x14ac:dyDescent="0.2">
      <c r="A1041" t="s">
        <v>1347</v>
      </c>
      <c r="B1041" t="s">
        <v>188</v>
      </c>
      <c r="C1041" t="s">
        <v>52</v>
      </c>
      <c r="D1041" s="49">
        <v>45569</v>
      </c>
      <c r="E1041" s="49">
        <v>45577</v>
      </c>
      <c r="F1041" s="49">
        <v>45595</v>
      </c>
      <c r="G1041" s="49">
        <v>45620</v>
      </c>
      <c r="H1041" s="49">
        <v>45641</v>
      </c>
      <c r="I1041" s="49">
        <v>45654</v>
      </c>
      <c r="J1041" t="s">
        <v>49</v>
      </c>
      <c r="K1041" s="33">
        <v>34600</v>
      </c>
      <c r="L1041" t="s">
        <v>64</v>
      </c>
      <c r="M1041" t="str">
        <f>_xlfn.XLOOKUP(Pipeline_tbl[[#This Row],[Rep_ID]],Dim_Reps!A:A,Dim_Reps!K:K)</f>
        <v>EUR</v>
      </c>
      <c r="N1041" s="33">
        <f>(_xlfn.XLOOKUP(Pipeline_tbl[[#This Row],[Rate_Code_Generalized]],Lookups!A:A,Lookups!B:B))*Pipeline_tbl[[#This Row],[Pipeline_Amount_USD]]</f>
        <v>34600</v>
      </c>
      <c r="O1041" t="str">
        <f>_xlfn.XLOOKUP(Pipeline_tbl[[#This Row],[Rep_ID]],Dim_Reps!A:A,Dim_Reps!B:B)</f>
        <v>Jamie Santos</v>
      </c>
      <c r="P1041" t="str">
        <f>_xlfn.XLOOKUP(Pipeline_tbl[[#This Row],[Rep_ID]],Dim_Reps!A:A,Dim_Reps!C:C)</f>
        <v>Enterprise AE</v>
      </c>
      <c r="Q1041" t="str">
        <f>_xlfn.XLOOKUP(Pipeline_tbl[[#This Row],[Rep_ID]],Dim_Reps!A:A,Dim_Reps!D:D)</f>
        <v>Enterprise</v>
      </c>
      <c r="R1041" t="str">
        <f>_xlfn.XLOOKUP(Pipeline_tbl[[#This Row],[Rep_ID]],Dim_Reps!A:A,Dim_Reps!E:E)</f>
        <v>APAC</v>
      </c>
      <c r="S1041" t="str">
        <f>_xlfn.XLOOKUP(Pipeline_tbl[[#This Row],[Created_Date]],Dim_Date!A:A,Dim_Date!H:H)</f>
        <v>Oct 2024</v>
      </c>
      <c r="T1041" t="str">
        <f>IF(Pipeline_tbl[[#This Row],[Closed_Date]]=0,"",(_xlfn.XLOOKUP(Pipeline_tbl[[#This Row],[Closed_Date]],Dim_Date!A:A,Dim_Date!H:H)))</f>
        <v>Dec 2024</v>
      </c>
      <c r="U1041">
        <f>IF(Pipeline_tbl[[#This Row],[Closed_Date]]=0,"",Pipeline_tbl[[#This Row],[Closed_Date]]-Pipeline_tbl[[#This Row],[Created_Date]])</f>
        <v>85</v>
      </c>
    </row>
    <row r="1042" spans="1:21" ht="15" customHeight="1" x14ac:dyDescent="0.2">
      <c r="A1042" t="s">
        <v>1348</v>
      </c>
      <c r="B1042" t="s">
        <v>188</v>
      </c>
      <c r="C1042" t="s">
        <v>53</v>
      </c>
      <c r="D1042" s="49">
        <v>45571</v>
      </c>
      <c r="E1042" s="49">
        <v>45579</v>
      </c>
      <c r="F1042" s="49">
        <v>45594</v>
      </c>
      <c r="G1042" s="49">
        <v>45617</v>
      </c>
      <c r="H1042" s="49">
        <v>45636</v>
      </c>
      <c r="I1042" s="49">
        <v>45647</v>
      </c>
      <c r="J1042" t="s">
        <v>49</v>
      </c>
      <c r="K1042" s="33">
        <v>27400</v>
      </c>
      <c r="L1042" t="s">
        <v>64</v>
      </c>
      <c r="M1042" t="str">
        <f>_xlfn.XLOOKUP(Pipeline_tbl[[#This Row],[Rep_ID]],Dim_Reps!A:A,Dim_Reps!K:K)</f>
        <v>EUR</v>
      </c>
      <c r="N1042" s="33">
        <f>(_xlfn.XLOOKUP(Pipeline_tbl[[#This Row],[Rate_Code_Generalized]],Lookups!A:A,Lookups!B:B))*Pipeline_tbl[[#This Row],[Pipeline_Amount_USD]]</f>
        <v>27400</v>
      </c>
      <c r="O1042" t="str">
        <f>_xlfn.XLOOKUP(Pipeline_tbl[[#This Row],[Rep_ID]],Dim_Reps!A:A,Dim_Reps!B:B)</f>
        <v>Jamie Santos</v>
      </c>
      <c r="P1042" t="str">
        <f>_xlfn.XLOOKUP(Pipeline_tbl[[#This Row],[Rep_ID]],Dim_Reps!A:A,Dim_Reps!C:C)</f>
        <v>Enterprise AE</v>
      </c>
      <c r="Q1042" t="str">
        <f>_xlfn.XLOOKUP(Pipeline_tbl[[#This Row],[Rep_ID]],Dim_Reps!A:A,Dim_Reps!D:D)</f>
        <v>Enterprise</v>
      </c>
      <c r="R1042" t="str">
        <f>_xlfn.XLOOKUP(Pipeline_tbl[[#This Row],[Rep_ID]],Dim_Reps!A:A,Dim_Reps!E:E)</f>
        <v>APAC</v>
      </c>
      <c r="S1042" t="str">
        <f>_xlfn.XLOOKUP(Pipeline_tbl[[#This Row],[Created_Date]],Dim_Date!A:A,Dim_Date!H:H)</f>
        <v>Oct 2024</v>
      </c>
      <c r="T1042" t="str">
        <f>IF(Pipeline_tbl[[#This Row],[Closed_Date]]=0,"",(_xlfn.XLOOKUP(Pipeline_tbl[[#This Row],[Closed_Date]],Dim_Date!A:A,Dim_Date!H:H)))</f>
        <v>Dec 2024</v>
      </c>
      <c r="U1042">
        <f>IF(Pipeline_tbl[[#This Row],[Closed_Date]]=0,"",Pipeline_tbl[[#This Row],[Closed_Date]]-Pipeline_tbl[[#This Row],[Created_Date]])</f>
        <v>76</v>
      </c>
    </row>
    <row r="1043" spans="1:21" ht="15" customHeight="1" x14ac:dyDescent="0.2">
      <c r="A1043" t="s">
        <v>1349</v>
      </c>
      <c r="B1043" t="s">
        <v>188</v>
      </c>
      <c r="C1043" t="s">
        <v>54</v>
      </c>
      <c r="D1043" s="49">
        <v>45586</v>
      </c>
      <c r="E1043" s="49">
        <v>45590</v>
      </c>
      <c r="F1043" s="49">
        <v>45600</v>
      </c>
      <c r="G1043" s="49">
        <v>45613</v>
      </c>
      <c r="H1043" s="49">
        <v>45624</v>
      </c>
      <c r="I1043" s="49">
        <v>45631</v>
      </c>
      <c r="J1043" t="s">
        <v>49</v>
      </c>
      <c r="K1043" s="33">
        <v>29000</v>
      </c>
      <c r="L1043" t="s">
        <v>61</v>
      </c>
      <c r="M1043" t="str">
        <f>_xlfn.XLOOKUP(Pipeline_tbl[[#This Row],[Rep_ID]],Dim_Reps!A:A,Dim_Reps!K:K)</f>
        <v>EUR</v>
      </c>
      <c r="N1043" s="33">
        <f>(_xlfn.XLOOKUP(Pipeline_tbl[[#This Row],[Rate_Code_Generalized]],Lookups!A:A,Lookups!B:B))*Pipeline_tbl[[#This Row],[Pipeline_Amount_USD]]</f>
        <v>29000</v>
      </c>
      <c r="O1043" t="str">
        <f>_xlfn.XLOOKUP(Pipeline_tbl[[#This Row],[Rep_ID]],Dim_Reps!A:A,Dim_Reps!B:B)</f>
        <v>Jamie Santos</v>
      </c>
      <c r="P1043" t="str">
        <f>_xlfn.XLOOKUP(Pipeline_tbl[[#This Row],[Rep_ID]],Dim_Reps!A:A,Dim_Reps!C:C)</f>
        <v>Enterprise AE</v>
      </c>
      <c r="Q1043" t="str">
        <f>_xlfn.XLOOKUP(Pipeline_tbl[[#This Row],[Rep_ID]],Dim_Reps!A:A,Dim_Reps!D:D)</f>
        <v>Enterprise</v>
      </c>
      <c r="R1043" t="str">
        <f>_xlfn.XLOOKUP(Pipeline_tbl[[#This Row],[Rep_ID]],Dim_Reps!A:A,Dim_Reps!E:E)</f>
        <v>APAC</v>
      </c>
      <c r="S1043" t="str">
        <f>_xlfn.XLOOKUP(Pipeline_tbl[[#This Row],[Created_Date]],Dim_Date!A:A,Dim_Date!H:H)</f>
        <v>Oct 2024</v>
      </c>
      <c r="T1043" t="str">
        <f>IF(Pipeline_tbl[[#This Row],[Closed_Date]]=0,"",(_xlfn.XLOOKUP(Pipeline_tbl[[#This Row],[Closed_Date]],Dim_Date!A:A,Dim_Date!H:H)))</f>
        <v>Dec 2024</v>
      </c>
      <c r="U1043">
        <f>IF(Pipeline_tbl[[#This Row],[Closed_Date]]=0,"",Pipeline_tbl[[#This Row],[Closed_Date]]-Pipeline_tbl[[#This Row],[Created_Date]])</f>
        <v>45</v>
      </c>
    </row>
    <row r="1044" spans="1:21" ht="15" customHeight="1" x14ac:dyDescent="0.2">
      <c r="A1044" t="s">
        <v>1350</v>
      </c>
      <c r="B1044" t="s">
        <v>259</v>
      </c>
      <c r="C1044" t="s">
        <v>53</v>
      </c>
      <c r="D1044" s="49">
        <v>45595</v>
      </c>
      <c r="E1044" s="49">
        <v>45598</v>
      </c>
      <c r="F1044" s="49">
        <v>45605</v>
      </c>
      <c r="G1044" s="49">
        <v>45615</v>
      </c>
      <c r="H1044" s="49">
        <v>45623</v>
      </c>
      <c r="I1044" s="49">
        <v>45628</v>
      </c>
      <c r="J1044" t="s">
        <v>49</v>
      </c>
      <c r="K1044" s="33">
        <v>11300</v>
      </c>
      <c r="L1044" t="s">
        <v>61</v>
      </c>
      <c r="M1044" t="str">
        <f>_xlfn.XLOOKUP(Pipeline_tbl[[#This Row],[Rep_ID]],Dim_Reps!A:A,Dim_Reps!K:K)</f>
        <v>EUR</v>
      </c>
      <c r="N1044" s="33">
        <f>(_xlfn.XLOOKUP(Pipeline_tbl[[#This Row],[Rate_Code_Generalized]],Lookups!A:A,Lookups!B:B))*Pipeline_tbl[[#This Row],[Pipeline_Amount_USD]]</f>
        <v>11300</v>
      </c>
      <c r="O1044" t="str">
        <f>_xlfn.XLOOKUP(Pipeline_tbl[[#This Row],[Rep_ID]],Dim_Reps!A:A,Dim_Reps!B:B)</f>
        <v>Felix Okafor</v>
      </c>
      <c r="P1044" t="str">
        <f>_xlfn.XLOOKUP(Pipeline_tbl[[#This Row],[Rep_ID]],Dim_Reps!A:A,Dim_Reps!C:C)</f>
        <v>Mid-Market AE</v>
      </c>
      <c r="Q1044" t="str">
        <f>_xlfn.XLOOKUP(Pipeline_tbl[[#This Row],[Rep_ID]],Dim_Reps!A:A,Dim_Reps!D:D)</f>
        <v>Mid-Market</v>
      </c>
      <c r="R1044" t="str">
        <f>_xlfn.XLOOKUP(Pipeline_tbl[[#This Row],[Rep_ID]],Dim_Reps!A:A,Dim_Reps!E:E)</f>
        <v>EMEA</v>
      </c>
      <c r="S1044" t="str">
        <f>_xlfn.XLOOKUP(Pipeline_tbl[[#This Row],[Created_Date]],Dim_Date!A:A,Dim_Date!H:H)</f>
        <v>Oct 2024</v>
      </c>
      <c r="T1044" t="str">
        <f>IF(Pipeline_tbl[[#This Row],[Closed_Date]]=0,"",(_xlfn.XLOOKUP(Pipeline_tbl[[#This Row],[Closed_Date]],Dim_Date!A:A,Dim_Date!H:H)))</f>
        <v>Dec 2024</v>
      </c>
      <c r="U1044">
        <f>IF(Pipeline_tbl[[#This Row],[Closed_Date]]=0,"",Pipeline_tbl[[#This Row],[Closed_Date]]-Pipeline_tbl[[#This Row],[Created_Date]])</f>
        <v>33</v>
      </c>
    </row>
    <row r="1045" spans="1:21" ht="15" customHeight="1" x14ac:dyDescent="0.2">
      <c r="A1045" t="s">
        <v>1351</v>
      </c>
      <c r="B1045" t="s">
        <v>259</v>
      </c>
      <c r="C1045" t="s">
        <v>52</v>
      </c>
      <c r="D1045" s="49">
        <v>45584</v>
      </c>
      <c r="E1045" s="49">
        <v>45589</v>
      </c>
      <c r="F1045" s="49">
        <v>45599</v>
      </c>
      <c r="G1045" s="49">
        <v>45614</v>
      </c>
      <c r="I1045" s="49">
        <v>45634</v>
      </c>
      <c r="J1045" t="s">
        <v>49</v>
      </c>
      <c r="K1045" s="33">
        <v>8500</v>
      </c>
      <c r="L1045" t="s">
        <v>60</v>
      </c>
      <c r="M1045" t="str">
        <f>_xlfn.XLOOKUP(Pipeline_tbl[[#This Row],[Rep_ID]],Dim_Reps!A:A,Dim_Reps!K:K)</f>
        <v>EUR</v>
      </c>
      <c r="N1045" s="33">
        <f>(_xlfn.XLOOKUP(Pipeline_tbl[[#This Row],[Rate_Code_Generalized]],Lookups!A:A,Lookups!B:B))*Pipeline_tbl[[#This Row],[Pipeline_Amount_USD]]</f>
        <v>8500</v>
      </c>
      <c r="O1045" t="str">
        <f>_xlfn.XLOOKUP(Pipeline_tbl[[#This Row],[Rep_ID]],Dim_Reps!A:A,Dim_Reps!B:B)</f>
        <v>Felix Okafor</v>
      </c>
      <c r="P1045" t="str">
        <f>_xlfn.XLOOKUP(Pipeline_tbl[[#This Row],[Rep_ID]],Dim_Reps!A:A,Dim_Reps!C:C)</f>
        <v>Mid-Market AE</v>
      </c>
      <c r="Q1045" t="str">
        <f>_xlfn.XLOOKUP(Pipeline_tbl[[#This Row],[Rep_ID]],Dim_Reps!A:A,Dim_Reps!D:D)</f>
        <v>Mid-Market</v>
      </c>
      <c r="R1045" t="str">
        <f>_xlfn.XLOOKUP(Pipeline_tbl[[#This Row],[Rep_ID]],Dim_Reps!A:A,Dim_Reps!E:E)</f>
        <v>EMEA</v>
      </c>
      <c r="S1045" t="str">
        <f>_xlfn.XLOOKUP(Pipeline_tbl[[#This Row],[Created_Date]],Dim_Date!A:A,Dim_Date!H:H)</f>
        <v>Oct 2024</v>
      </c>
      <c r="T1045" t="str">
        <f>IF(Pipeline_tbl[[#This Row],[Closed_Date]]=0,"",(_xlfn.XLOOKUP(Pipeline_tbl[[#This Row],[Closed_Date]],Dim_Date!A:A,Dim_Date!H:H)))</f>
        <v>Dec 2024</v>
      </c>
      <c r="U1045">
        <f>IF(Pipeline_tbl[[#This Row],[Closed_Date]]=0,"",Pipeline_tbl[[#This Row],[Closed_Date]]-Pipeline_tbl[[#This Row],[Created_Date]])</f>
        <v>50</v>
      </c>
    </row>
    <row r="1046" spans="1:21" ht="15" customHeight="1" x14ac:dyDescent="0.2">
      <c r="A1046" t="s">
        <v>1352</v>
      </c>
      <c r="B1046" t="s">
        <v>280</v>
      </c>
      <c r="C1046" t="s">
        <v>52</v>
      </c>
      <c r="D1046" s="49">
        <v>45567</v>
      </c>
      <c r="E1046" s="49">
        <v>45576</v>
      </c>
      <c r="F1046" s="49">
        <v>45593</v>
      </c>
      <c r="I1046" s="49">
        <v>45655</v>
      </c>
      <c r="J1046" t="s">
        <v>49</v>
      </c>
      <c r="K1046" s="33">
        <v>21400</v>
      </c>
      <c r="L1046" t="s">
        <v>60</v>
      </c>
      <c r="M1046" t="str">
        <f>_xlfn.XLOOKUP(Pipeline_tbl[[#This Row],[Rep_ID]],Dim_Reps!A:A,Dim_Reps!K:K)</f>
        <v>MXN</v>
      </c>
      <c r="N1046" s="33">
        <f>(_xlfn.XLOOKUP(Pipeline_tbl[[#This Row],[Rate_Code_Generalized]],Lookups!A:A,Lookups!B:B))*Pipeline_tbl[[#This Row],[Pipeline_Amount_USD]]</f>
        <v>422279.78</v>
      </c>
      <c r="O1046" t="str">
        <f>_xlfn.XLOOKUP(Pipeline_tbl[[#This Row],[Rep_ID]],Dim_Reps!A:A,Dim_Reps!B:B)</f>
        <v>Cameron Lund</v>
      </c>
      <c r="P1046" t="str">
        <f>_xlfn.XLOOKUP(Pipeline_tbl[[#This Row],[Rep_ID]],Dim_Reps!A:A,Dim_Reps!C:C)</f>
        <v>Senior Enterprise AE</v>
      </c>
      <c r="Q1046" t="str">
        <f>_xlfn.XLOOKUP(Pipeline_tbl[[#This Row],[Rep_ID]],Dim_Reps!A:A,Dim_Reps!D:D)</f>
        <v>Strategic</v>
      </c>
      <c r="R1046" t="str">
        <f>_xlfn.XLOOKUP(Pipeline_tbl[[#This Row],[Rep_ID]],Dim_Reps!A:A,Dim_Reps!E:E)</f>
        <v>LATAM</v>
      </c>
      <c r="S1046" t="str">
        <f>_xlfn.XLOOKUP(Pipeline_tbl[[#This Row],[Created_Date]],Dim_Date!A:A,Dim_Date!H:H)</f>
        <v>Oct 2024</v>
      </c>
      <c r="T1046" t="str">
        <f>IF(Pipeline_tbl[[#This Row],[Closed_Date]]=0,"",(_xlfn.XLOOKUP(Pipeline_tbl[[#This Row],[Closed_Date]],Dim_Date!A:A,Dim_Date!H:H)))</f>
        <v>Dec 2024</v>
      </c>
      <c r="U1046">
        <f>IF(Pipeline_tbl[[#This Row],[Closed_Date]]=0,"",Pipeline_tbl[[#This Row],[Closed_Date]]-Pipeline_tbl[[#This Row],[Created_Date]])</f>
        <v>88</v>
      </c>
    </row>
    <row r="1047" spans="1:21" ht="15" customHeight="1" x14ac:dyDescent="0.2">
      <c r="A1047" t="s">
        <v>1353</v>
      </c>
      <c r="B1047" t="s">
        <v>191</v>
      </c>
      <c r="C1047" t="s">
        <v>52</v>
      </c>
      <c r="D1047" s="49">
        <v>45581</v>
      </c>
      <c r="E1047" s="49">
        <v>45588</v>
      </c>
      <c r="F1047" s="49">
        <v>45603</v>
      </c>
      <c r="G1047" s="49">
        <v>45625</v>
      </c>
      <c r="H1047" s="49">
        <v>45644</v>
      </c>
      <c r="I1047" s="49">
        <v>45655</v>
      </c>
      <c r="J1047" t="s">
        <v>47</v>
      </c>
      <c r="K1047" s="33">
        <v>32200</v>
      </c>
      <c r="M1047" t="str">
        <f>_xlfn.XLOOKUP(Pipeline_tbl[[#This Row],[Rep_ID]],Dim_Reps!A:A,Dim_Reps!K:K)</f>
        <v>USD</v>
      </c>
      <c r="N1047" s="33">
        <f>(_xlfn.XLOOKUP(Pipeline_tbl[[#This Row],[Rate_Code_Generalized]],Lookups!A:A,Lookups!B:B))*Pipeline_tbl[[#This Row],[Pipeline_Amount_USD]]</f>
        <v>37490.46</v>
      </c>
      <c r="O1047" t="str">
        <f>_xlfn.XLOOKUP(Pipeline_tbl[[#This Row],[Rep_ID]],Dim_Reps!A:A,Dim_Reps!B:B)</f>
        <v>Zara Duarte</v>
      </c>
      <c r="P1047" t="str">
        <f>_xlfn.XLOOKUP(Pipeline_tbl[[#This Row],[Rep_ID]],Dim_Reps!A:A,Dim_Reps!C:C)</f>
        <v>Enterprise AE</v>
      </c>
      <c r="Q1047" t="str">
        <f>_xlfn.XLOOKUP(Pipeline_tbl[[#This Row],[Rep_ID]],Dim_Reps!A:A,Dim_Reps!D:D)</f>
        <v>Enterprise</v>
      </c>
      <c r="R1047" t="str">
        <f>_xlfn.XLOOKUP(Pipeline_tbl[[#This Row],[Rep_ID]],Dim_Reps!A:A,Dim_Reps!E:E)</f>
        <v>NAMER</v>
      </c>
      <c r="S1047" t="str">
        <f>_xlfn.XLOOKUP(Pipeline_tbl[[#This Row],[Created_Date]],Dim_Date!A:A,Dim_Date!H:H)</f>
        <v>Oct 2024</v>
      </c>
      <c r="T1047" t="str">
        <f>IF(Pipeline_tbl[[#This Row],[Closed_Date]]=0,"",(_xlfn.XLOOKUP(Pipeline_tbl[[#This Row],[Closed_Date]],Dim_Date!A:A,Dim_Date!H:H)))</f>
        <v>Dec 2024</v>
      </c>
      <c r="U1047">
        <f>IF(Pipeline_tbl[[#This Row],[Closed_Date]]=0,"",Pipeline_tbl[[#This Row],[Closed_Date]]-Pipeline_tbl[[#This Row],[Created_Date]])</f>
        <v>74</v>
      </c>
    </row>
    <row r="1048" spans="1:21" ht="15" customHeight="1" x14ac:dyDescent="0.2">
      <c r="A1048" t="s">
        <v>1354</v>
      </c>
      <c r="B1048" t="s">
        <v>191</v>
      </c>
      <c r="C1048" t="s">
        <v>53</v>
      </c>
      <c r="D1048" s="49">
        <v>45574</v>
      </c>
      <c r="E1048" s="49">
        <v>45581</v>
      </c>
      <c r="F1048" s="49">
        <v>45595</v>
      </c>
      <c r="G1048" s="49">
        <v>45617</v>
      </c>
      <c r="H1048" s="49">
        <v>45634</v>
      </c>
      <c r="I1048" s="49">
        <v>45645</v>
      </c>
      <c r="J1048" t="s">
        <v>49</v>
      </c>
      <c r="K1048" s="33">
        <v>41500</v>
      </c>
      <c r="L1048" t="s">
        <v>61</v>
      </c>
      <c r="M1048" t="str">
        <f>_xlfn.XLOOKUP(Pipeline_tbl[[#This Row],[Rep_ID]],Dim_Reps!A:A,Dim_Reps!K:K)</f>
        <v>USD</v>
      </c>
      <c r="N1048" s="33">
        <f>(_xlfn.XLOOKUP(Pipeline_tbl[[#This Row],[Rate_Code_Generalized]],Lookups!A:A,Lookups!B:B))*Pipeline_tbl[[#This Row],[Pipeline_Amount_USD]]</f>
        <v>48318.45</v>
      </c>
      <c r="O1048" t="str">
        <f>_xlfn.XLOOKUP(Pipeline_tbl[[#This Row],[Rep_ID]],Dim_Reps!A:A,Dim_Reps!B:B)</f>
        <v>Zara Duarte</v>
      </c>
      <c r="P1048" t="str">
        <f>_xlfn.XLOOKUP(Pipeline_tbl[[#This Row],[Rep_ID]],Dim_Reps!A:A,Dim_Reps!C:C)</f>
        <v>Enterprise AE</v>
      </c>
      <c r="Q1048" t="str">
        <f>_xlfn.XLOOKUP(Pipeline_tbl[[#This Row],[Rep_ID]],Dim_Reps!A:A,Dim_Reps!D:D)</f>
        <v>Enterprise</v>
      </c>
      <c r="R1048" t="str">
        <f>_xlfn.XLOOKUP(Pipeline_tbl[[#This Row],[Rep_ID]],Dim_Reps!A:A,Dim_Reps!E:E)</f>
        <v>NAMER</v>
      </c>
      <c r="S1048" t="str">
        <f>_xlfn.XLOOKUP(Pipeline_tbl[[#This Row],[Created_Date]],Dim_Date!A:A,Dim_Date!H:H)</f>
        <v>Oct 2024</v>
      </c>
      <c r="T1048" t="str">
        <f>IF(Pipeline_tbl[[#This Row],[Closed_Date]]=0,"",(_xlfn.XLOOKUP(Pipeline_tbl[[#This Row],[Closed_Date]],Dim_Date!A:A,Dim_Date!H:H)))</f>
        <v>Dec 2024</v>
      </c>
      <c r="U1048">
        <f>IF(Pipeline_tbl[[#This Row],[Closed_Date]]=0,"",Pipeline_tbl[[#This Row],[Closed_Date]]-Pipeline_tbl[[#This Row],[Created_Date]])</f>
        <v>71</v>
      </c>
    </row>
    <row r="1049" spans="1:21" ht="15" customHeight="1" x14ac:dyDescent="0.2">
      <c r="A1049" t="s">
        <v>1355</v>
      </c>
      <c r="B1049" t="s">
        <v>191</v>
      </c>
      <c r="C1049" t="s">
        <v>53</v>
      </c>
      <c r="D1049" s="49">
        <v>45576</v>
      </c>
      <c r="E1049" s="49">
        <v>45583</v>
      </c>
      <c r="F1049" s="49">
        <v>45598</v>
      </c>
      <c r="I1049" s="49">
        <v>45648</v>
      </c>
      <c r="J1049" t="s">
        <v>49</v>
      </c>
      <c r="K1049" s="33">
        <v>60300</v>
      </c>
      <c r="L1049" t="s">
        <v>60</v>
      </c>
      <c r="M1049" t="str">
        <f>_xlfn.XLOOKUP(Pipeline_tbl[[#This Row],[Rep_ID]],Dim_Reps!A:A,Dim_Reps!K:K)</f>
        <v>USD</v>
      </c>
      <c r="N1049" s="33">
        <f>(_xlfn.XLOOKUP(Pipeline_tbl[[#This Row],[Rate_Code_Generalized]],Lookups!A:A,Lookups!B:B))*Pipeline_tbl[[#This Row],[Pipeline_Amount_USD]]</f>
        <v>70207.289999999994</v>
      </c>
      <c r="O1049" t="str">
        <f>_xlfn.XLOOKUP(Pipeline_tbl[[#This Row],[Rep_ID]],Dim_Reps!A:A,Dim_Reps!B:B)</f>
        <v>Zara Duarte</v>
      </c>
      <c r="P1049" t="str">
        <f>_xlfn.XLOOKUP(Pipeline_tbl[[#This Row],[Rep_ID]],Dim_Reps!A:A,Dim_Reps!C:C)</f>
        <v>Enterprise AE</v>
      </c>
      <c r="Q1049" t="str">
        <f>_xlfn.XLOOKUP(Pipeline_tbl[[#This Row],[Rep_ID]],Dim_Reps!A:A,Dim_Reps!D:D)</f>
        <v>Enterprise</v>
      </c>
      <c r="R1049" t="str">
        <f>_xlfn.XLOOKUP(Pipeline_tbl[[#This Row],[Rep_ID]],Dim_Reps!A:A,Dim_Reps!E:E)</f>
        <v>NAMER</v>
      </c>
      <c r="S1049" t="str">
        <f>_xlfn.XLOOKUP(Pipeline_tbl[[#This Row],[Created_Date]],Dim_Date!A:A,Dim_Date!H:H)</f>
        <v>Oct 2024</v>
      </c>
      <c r="T1049" t="str">
        <f>IF(Pipeline_tbl[[#This Row],[Closed_Date]]=0,"",(_xlfn.XLOOKUP(Pipeline_tbl[[#This Row],[Closed_Date]],Dim_Date!A:A,Dim_Date!H:H)))</f>
        <v>Dec 2024</v>
      </c>
      <c r="U1049">
        <f>IF(Pipeline_tbl[[#This Row],[Closed_Date]]=0,"",Pipeline_tbl[[#This Row],[Closed_Date]]-Pipeline_tbl[[#This Row],[Created_Date]])</f>
        <v>72</v>
      </c>
    </row>
    <row r="1050" spans="1:21" ht="15" customHeight="1" x14ac:dyDescent="0.2">
      <c r="A1050" t="s">
        <v>1356</v>
      </c>
      <c r="B1050" t="s">
        <v>191</v>
      </c>
      <c r="C1050" t="s">
        <v>53</v>
      </c>
      <c r="D1050" s="49">
        <v>45592</v>
      </c>
      <c r="E1050" s="49">
        <v>45598</v>
      </c>
      <c r="F1050" s="49">
        <v>45609</v>
      </c>
      <c r="G1050" s="49">
        <v>45625</v>
      </c>
      <c r="H1050" s="49">
        <v>45639</v>
      </c>
      <c r="I1050" s="49">
        <v>45647</v>
      </c>
      <c r="J1050" t="s">
        <v>49</v>
      </c>
      <c r="K1050" s="33">
        <v>26800</v>
      </c>
      <c r="L1050" t="s">
        <v>60</v>
      </c>
      <c r="M1050" t="str">
        <f>_xlfn.XLOOKUP(Pipeline_tbl[[#This Row],[Rep_ID]],Dim_Reps!A:A,Dim_Reps!K:K)</f>
        <v>USD</v>
      </c>
      <c r="N1050" s="33">
        <f>(_xlfn.XLOOKUP(Pipeline_tbl[[#This Row],[Rate_Code_Generalized]],Lookups!A:A,Lookups!B:B))*Pipeline_tbl[[#This Row],[Pipeline_Amount_USD]]</f>
        <v>31203.239999999998</v>
      </c>
      <c r="O1050" t="str">
        <f>_xlfn.XLOOKUP(Pipeline_tbl[[#This Row],[Rep_ID]],Dim_Reps!A:A,Dim_Reps!B:B)</f>
        <v>Zara Duarte</v>
      </c>
      <c r="P1050" t="str">
        <f>_xlfn.XLOOKUP(Pipeline_tbl[[#This Row],[Rep_ID]],Dim_Reps!A:A,Dim_Reps!C:C)</f>
        <v>Enterprise AE</v>
      </c>
      <c r="Q1050" t="str">
        <f>_xlfn.XLOOKUP(Pipeline_tbl[[#This Row],[Rep_ID]],Dim_Reps!A:A,Dim_Reps!D:D)</f>
        <v>Enterprise</v>
      </c>
      <c r="R1050" t="str">
        <f>_xlfn.XLOOKUP(Pipeline_tbl[[#This Row],[Rep_ID]],Dim_Reps!A:A,Dim_Reps!E:E)</f>
        <v>NAMER</v>
      </c>
      <c r="S1050" t="str">
        <f>_xlfn.XLOOKUP(Pipeline_tbl[[#This Row],[Created_Date]],Dim_Date!A:A,Dim_Date!H:H)</f>
        <v>Oct 2024</v>
      </c>
      <c r="T1050" t="str">
        <f>IF(Pipeline_tbl[[#This Row],[Closed_Date]]=0,"",(_xlfn.XLOOKUP(Pipeline_tbl[[#This Row],[Closed_Date]],Dim_Date!A:A,Dim_Date!H:H)))</f>
        <v>Dec 2024</v>
      </c>
      <c r="U1050">
        <f>IF(Pipeline_tbl[[#This Row],[Closed_Date]]=0,"",Pipeline_tbl[[#This Row],[Closed_Date]]-Pipeline_tbl[[#This Row],[Created_Date]])</f>
        <v>55</v>
      </c>
    </row>
    <row r="1051" spans="1:21" ht="15" customHeight="1" x14ac:dyDescent="0.2">
      <c r="A1051" t="s">
        <v>1357</v>
      </c>
      <c r="B1051" t="s">
        <v>191</v>
      </c>
      <c r="C1051" t="s">
        <v>56</v>
      </c>
      <c r="D1051" s="49">
        <v>45576</v>
      </c>
      <c r="E1051" s="49">
        <v>45582</v>
      </c>
      <c r="F1051" s="49">
        <v>45594</v>
      </c>
      <c r="G1051" s="49">
        <v>45611</v>
      </c>
      <c r="H1051" s="49">
        <v>45626</v>
      </c>
      <c r="I1051" s="49">
        <v>45635</v>
      </c>
      <c r="J1051" t="s">
        <v>47</v>
      </c>
      <c r="K1051" s="33">
        <v>42000</v>
      </c>
      <c r="M1051" t="str">
        <f>_xlfn.XLOOKUP(Pipeline_tbl[[#This Row],[Rep_ID]],Dim_Reps!A:A,Dim_Reps!K:K)</f>
        <v>USD</v>
      </c>
      <c r="N1051" s="33">
        <f>(_xlfn.XLOOKUP(Pipeline_tbl[[#This Row],[Rate_Code_Generalized]],Lookups!A:A,Lookups!B:B))*Pipeline_tbl[[#This Row],[Pipeline_Amount_USD]]</f>
        <v>48900.6</v>
      </c>
      <c r="O1051" t="str">
        <f>_xlfn.XLOOKUP(Pipeline_tbl[[#This Row],[Rep_ID]],Dim_Reps!A:A,Dim_Reps!B:B)</f>
        <v>Zara Duarte</v>
      </c>
      <c r="P1051" t="str">
        <f>_xlfn.XLOOKUP(Pipeline_tbl[[#This Row],[Rep_ID]],Dim_Reps!A:A,Dim_Reps!C:C)</f>
        <v>Enterprise AE</v>
      </c>
      <c r="Q1051" t="str">
        <f>_xlfn.XLOOKUP(Pipeline_tbl[[#This Row],[Rep_ID]],Dim_Reps!A:A,Dim_Reps!D:D)</f>
        <v>Enterprise</v>
      </c>
      <c r="R1051" t="str">
        <f>_xlfn.XLOOKUP(Pipeline_tbl[[#This Row],[Rep_ID]],Dim_Reps!A:A,Dim_Reps!E:E)</f>
        <v>NAMER</v>
      </c>
      <c r="S1051" t="str">
        <f>_xlfn.XLOOKUP(Pipeline_tbl[[#This Row],[Created_Date]],Dim_Date!A:A,Dim_Date!H:H)</f>
        <v>Oct 2024</v>
      </c>
      <c r="T1051" t="str">
        <f>IF(Pipeline_tbl[[#This Row],[Closed_Date]]=0,"",(_xlfn.XLOOKUP(Pipeline_tbl[[#This Row],[Closed_Date]],Dim_Date!A:A,Dim_Date!H:H)))</f>
        <v>Dec 2024</v>
      </c>
      <c r="U1051">
        <f>IF(Pipeline_tbl[[#This Row],[Closed_Date]]=0,"",Pipeline_tbl[[#This Row],[Closed_Date]]-Pipeline_tbl[[#This Row],[Created_Date]])</f>
        <v>59</v>
      </c>
    </row>
    <row r="1052" spans="1:21" ht="15" customHeight="1" x14ac:dyDescent="0.2">
      <c r="A1052" t="s">
        <v>1358</v>
      </c>
      <c r="B1052" t="s">
        <v>191</v>
      </c>
      <c r="C1052" t="s">
        <v>56</v>
      </c>
      <c r="D1052" s="49">
        <v>45570</v>
      </c>
      <c r="E1052" s="49">
        <v>45577</v>
      </c>
      <c r="F1052" s="49">
        <v>45590</v>
      </c>
      <c r="G1052" s="49">
        <v>45611</v>
      </c>
      <c r="I1052" s="49">
        <v>45638</v>
      </c>
      <c r="J1052" t="s">
        <v>49</v>
      </c>
      <c r="K1052" s="33">
        <v>86100</v>
      </c>
      <c r="L1052" t="s">
        <v>61</v>
      </c>
      <c r="M1052" t="str">
        <f>_xlfn.XLOOKUP(Pipeline_tbl[[#This Row],[Rep_ID]],Dim_Reps!A:A,Dim_Reps!K:K)</f>
        <v>USD</v>
      </c>
      <c r="N1052" s="33">
        <f>(_xlfn.XLOOKUP(Pipeline_tbl[[#This Row],[Rate_Code_Generalized]],Lookups!A:A,Lookups!B:B))*Pipeline_tbl[[#This Row],[Pipeline_Amount_USD]]</f>
        <v>100246.23</v>
      </c>
      <c r="O1052" t="str">
        <f>_xlfn.XLOOKUP(Pipeline_tbl[[#This Row],[Rep_ID]],Dim_Reps!A:A,Dim_Reps!B:B)</f>
        <v>Zara Duarte</v>
      </c>
      <c r="P1052" t="str">
        <f>_xlfn.XLOOKUP(Pipeline_tbl[[#This Row],[Rep_ID]],Dim_Reps!A:A,Dim_Reps!C:C)</f>
        <v>Enterprise AE</v>
      </c>
      <c r="Q1052" t="str">
        <f>_xlfn.XLOOKUP(Pipeline_tbl[[#This Row],[Rep_ID]],Dim_Reps!A:A,Dim_Reps!D:D)</f>
        <v>Enterprise</v>
      </c>
      <c r="R1052" t="str">
        <f>_xlfn.XLOOKUP(Pipeline_tbl[[#This Row],[Rep_ID]],Dim_Reps!A:A,Dim_Reps!E:E)</f>
        <v>NAMER</v>
      </c>
      <c r="S1052" t="str">
        <f>_xlfn.XLOOKUP(Pipeline_tbl[[#This Row],[Created_Date]],Dim_Date!A:A,Dim_Date!H:H)</f>
        <v>Oct 2024</v>
      </c>
      <c r="T1052" t="str">
        <f>IF(Pipeline_tbl[[#This Row],[Closed_Date]]=0,"",(_xlfn.XLOOKUP(Pipeline_tbl[[#This Row],[Closed_Date]],Dim_Date!A:A,Dim_Date!H:H)))</f>
        <v>Dec 2024</v>
      </c>
      <c r="U1052">
        <f>IF(Pipeline_tbl[[#This Row],[Closed_Date]]=0,"",Pipeline_tbl[[#This Row],[Closed_Date]]-Pipeline_tbl[[#This Row],[Created_Date]])</f>
        <v>68</v>
      </c>
    </row>
    <row r="1053" spans="1:21" ht="15" customHeight="1" x14ac:dyDescent="0.2">
      <c r="A1053" t="s">
        <v>1359</v>
      </c>
      <c r="B1053" t="s">
        <v>267</v>
      </c>
      <c r="C1053" t="s">
        <v>56</v>
      </c>
      <c r="D1053" s="49">
        <v>45589</v>
      </c>
      <c r="E1053" s="49">
        <v>45593</v>
      </c>
      <c r="F1053" s="49">
        <v>45602</v>
      </c>
      <c r="G1053" s="49">
        <v>45615</v>
      </c>
      <c r="H1053" s="49">
        <v>45626</v>
      </c>
      <c r="I1053" s="49">
        <v>45633</v>
      </c>
      <c r="J1053" t="s">
        <v>47</v>
      </c>
      <c r="K1053" s="33">
        <v>8300</v>
      </c>
      <c r="M1053" t="str">
        <f>_xlfn.XLOOKUP(Pipeline_tbl[[#This Row],[Rep_ID]],Dim_Reps!A:A,Dim_Reps!K:K)</f>
        <v>MXN</v>
      </c>
      <c r="N1053" s="33">
        <f>(_xlfn.XLOOKUP(Pipeline_tbl[[#This Row],[Rate_Code_Generalized]],Lookups!A:A,Lookups!B:B))*Pipeline_tbl[[#This Row],[Pipeline_Amount_USD]]</f>
        <v>163781.41</v>
      </c>
      <c r="O1053" t="str">
        <f>_xlfn.XLOOKUP(Pipeline_tbl[[#This Row],[Rep_ID]],Dim_Reps!A:A,Dim_Reps!B:B)</f>
        <v>Yuki Dubois</v>
      </c>
      <c r="P1053" t="str">
        <f>_xlfn.XLOOKUP(Pipeline_tbl[[#This Row],[Rep_ID]],Dim_Reps!A:A,Dim_Reps!C:C)</f>
        <v>Mid-Market AE</v>
      </c>
      <c r="Q1053" t="str">
        <f>_xlfn.XLOOKUP(Pipeline_tbl[[#This Row],[Rep_ID]],Dim_Reps!A:A,Dim_Reps!D:D)</f>
        <v>Mid-Market</v>
      </c>
      <c r="R1053" t="str">
        <f>_xlfn.XLOOKUP(Pipeline_tbl[[#This Row],[Rep_ID]],Dim_Reps!A:A,Dim_Reps!E:E)</f>
        <v>LATAM</v>
      </c>
      <c r="S1053" t="str">
        <f>_xlfn.XLOOKUP(Pipeline_tbl[[#This Row],[Created_Date]],Dim_Date!A:A,Dim_Date!H:H)</f>
        <v>Oct 2024</v>
      </c>
      <c r="T1053" t="str">
        <f>IF(Pipeline_tbl[[#This Row],[Closed_Date]]=0,"",(_xlfn.XLOOKUP(Pipeline_tbl[[#This Row],[Closed_Date]],Dim_Date!A:A,Dim_Date!H:H)))</f>
        <v>Dec 2024</v>
      </c>
      <c r="U1053">
        <f>IF(Pipeline_tbl[[#This Row],[Closed_Date]]=0,"",Pipeline_tbl[[#This Row],[Closed_Date]]-Pipeline_tbl[[#This Row],[Created_Date]])</f>
        <v>44</v>
      </c>
    </row>
    <row r="1054" spans="1:21" ht="15" customHeight="1" x14ac:dyDescent="0.2">
      <c r="A1054" t="s">
        <v>1360</v>
      </c>
      <c r="B1054" t="s">
        <v>267</v>
      </c>
      <c r="C1054" t="s">
        <v>52</v>
      </c>
      <c r="D1054" s="49">
        <v>45585</v>
      </c>
      <c r="E1054" s="49">
        <v>45591</v>
      </c>
      <c r="F1054" s="49">
        <v>45602</v>
      </c>
      <c r="G1054" s="49">
        <v>45618</v>
      </c>
      <c r="H1054" s="49">
        <v>45632</v>
      </c>
      <c r="I1054" s="49">
        <v>45640</v>
      </c>
      <c r="J1054" t="s">
        <v>47</v>
      </c>
      <c r="K1054" s="33">
        <v>9400</v>
      </c>
      <c r="M1054" t="str">
        <f>_xlfn.XLOOKUP(Pipeline_tbl[[#This Row],[Rep_ID]],Dim_Reps!A:A,Dim_Reps!K:K)</f>
        <v>MXN</v>
      </c>
      <c r="N1054" s="33">
        <f>(_xlfn.XLOOKUP(Pipeline_tbl[[#This Row],[Rate_Code_Generalized]],Lookups!A:A,Lookups!B:B))*Pipeline_tbl[[#This Row],[Pipeline_Amount_USD]]</f>
        <v>185487.38</v>
      </c>
      <c r="O1054" t="str">
        <f>_xlfn.XLOOKUP(Pipeline_tbl[[#This Row],[Rep_ID]],Dim_Reps!A:A,Dim_Reps!B:B)</f>
        <v>Yuki Dubois</v>
      </c>
      <c r="P1054" t="str">
        <f>_xlfn.XLOOKUP(Pipeline_tbl[[#This Row],[Rep_ID]],Dim_Reps!A:A,Dim_Reps!C:C)</f>
        <v>Mid-Market AE</v>
      </c>
      <c r="Q1054" t="str">
        <f>_xlfn.XLOOKUP(Pipeline_tbl[[#This Row],[Rep_ID]],Dim_Reps!A:A,Dim_Reps!D:D)</f>
        <v>Mid-Market</v>
      </c>
      <c r="R1054" t="str">
        <f>_xlfn.XLOOKUP(Pipeline_tbl[[#This Row],[Rep_ID]],Dim_Reps!A:A,Dim_Reps!E:E)</f>
        <v>LATAM</v>
      </c>
      <c r="S1054" t="str">
        <f>_xlfn.XLOOKUP(Pipeline_tbl[[#This Row],[Created_Date]],Dim_Date!A:A,Dim_Date!H:H)</f>
        <v>Oct 2024</v>
      </c>
      <c r="T1054" t="str">
        <f>IF(Pipeline_tbl[[#This Row],[Closed_Date]]=0,"",(_xlfn.XLOOKUP(Pipeline_tbl[[#This Row],[Closed_Date]],Dim_Date!A:A,Dim_Date!H:H)))</f>
        <v>Dec 2024</v>
      </c>
      <c r="U1054">
        <f>IF(Pipeline_tbl[[#This Row],[Closed_Date]]=0,"",Pipeline_tbl[[#This Row],[Closed_Date]]-Pipeline_tbl[[#This Row],[Created_Date]])</f>
        <v>55</v>
      </c>
    </row>
    <row r="1055" spans="1:21" ht="15" customHeight="1" x14ac:dyDescent="0.2">
      <c r="A1055" t="s">
        <v>1361</v>
      </c>
      <c r="B1055" t="s">
        <v>267</v>
      </c>
      <c r="C1055" t="s">
        <v>52</v>
      </c>
      <c r="D1055" s="49">
        <v>45586</v>
      </c>
      <c r="E1055" s="49">
        <v>45590</v>
      </c>
      <c r="F1055" s="49">
        <v>45598</v>
      </c>
      <c r="G1055" s="49">
        <v>45611</v>
      </c>
      <c r="H1055" s="49">
        <v>45621</v>
      </c>
      <c r="I1055" s="49">
        <v>45627</v>
      </c>
      <c r="J1055" t="s">
        <v>47</v>
      </c>
      <c r="K1055" s="33">
        <v>24800</v>
      </c>
      <c r="M1055" t="str">
        <f>_xlfn.XLOOKUP(Pipeline_tbl[[#This Row],[Rep_ID]],Dim_Reps!A:A,Dim_Reps!K:K)</f>
        <v>MXN</v>
      </c>
      <c r="N1055" s="33">
        <f>(_xlfn.XLOOKUP(Pipeline_tbl[[#This Row],[Rate_Code_Generalized]],Lookups!A:A,Lookups!B:B))*Pipeline_tbl[[#This Row],[Pipeline_Amount_USD]]</f>
        <v>489370.96</v>
      </c>
      <c r="O1055" t="str">
        <f>_xlfn.XLOOKUP(Pipeline_tbl[[#This Row],[Rep_ID]],Dim_Reps!A:A,Dim_Reps!B:B)</f>
        <v>Yuki Dubois</v>
      </c>
      <c r="P1055" t="str">
        <f>_xlfn.XLOOKUP(Pipeline_tbl[[#This Row],[Rep_ID]],Dim_Reps!A:A,Dim_Reps!C:C)</f>
        <v>Mid-Market AE</v>
      </c>
      <c r="Q1055" t="str">
        <f>_xlfn.XLOOKUP(Pipeline_tbl[[#This Row],[Rep_ID]],Dim_Reps!A:A,Dim_Reps!D:D)</f>
        <v>Mid-Market</v>
      </c>
      <c r="R1055" t="str">
        <f>_xlfn.XLOOKUP(Pipeline_tbl[[#This Row],[Rep_ID]],Dim_Reps!A:A,Dim_Reps!E:E)</f>
        <v>LATAM</v>
      </c>
      <c r="S1055" t="str">
        <f>_xlfn.XLOOKUP(Pipeline_tbl[[#This Row],[Created_Date]],Dim_Date!A:A,Dim_Date!H:H)</f>
        <v>Oct 2024</v>
      </c>
      <c r="T1055" t="str">
        <f>IF(Pipeline_tbl[[#This Row],[Closed_Date]]=0,"",(_xlfn.XLOOKUP(Pipeline_tbl[[#This Row],[Closed_Date]],Dim_Date!A:A,Dim_Date!H:H)))</f>
        <v>Dec 2024</v>
      </c>
      <c r="U1055">
        <f>IF(Pipeline_tbl[[#This Row],[Closed_Date]]=0,"",Pipeline_tbl[[#This Row],[Closed_Date]]-Pipeline_tbl[[#This Row],[Created_Date]])</f>
        <v>41</v>
      </c>
    </row>
    <row r="1056" spans="1:21" ht="15" customHeight="1" x14ac:dyDescent="0.2">
      <c r="A1056" t="s">
        <v>1362</v>
      </c>
      <c r="B1056" t="s">
        <v>284</v>
      </c>
      <c r="C1056" t="s">
        <v>53</v>
      </c>
      <c r="D1056" s="49">
        <v>45584</v>
      </c>
      <c r="E1056" s="49">
        <v>45590</v>
      </c>
      <c r="F1056" s="49">
        <v>45602</v>
      </c>
      <c r="G1056" s="49">
        <v>45619</v>
      </c>
      <c r="H1056" s="49">
        <v>45634</v>
      </c>
      <c r="I1056" s="49">
        <v>45643</v>
      </c>
      <c r="J1056" t="s">
        <v>47</v>
      </c>
      <c r="K1056" s="33">
        <v>35200</v>
      </c>
      <c r="M1056" t="str">
        <f>_xlfn.XLOOKUP(Pipeline_tbl[[#This Row],[Rep_ID]],Dim_Reps!A:A,Dim_Reps!K:K)</f>
        <v>USD</v>
      </c>
      <c r="N1056" s="33">
        <f>(_xlfn.XLOOKUP(Pipeline_tbl[[#This Row],[Rate_Code_Generalized]],Lookups!A:A,Lookups!B:B))*Pipeline_tbl[[#This Row],[Pipeline_Amount_USD]]</f>
        <v>40983.359999999993</v>
      </c>
      <c r="O1056" t="str">
        <f>_xlfn.XLOOKUP(Pipeline_tbl[[#This Row],[Rep_ID]],Dim_Reps!A:A,Dim_Reps!B:B)</f>
        <v>Taylor Adler</v>
      </c>
      <c r="P1056" t="str">
        <f>_xlfn.XLOOKUP(Pipeline_tbl[[#This Row],[Rep_ID]],Dim_Reps!A:A,Dim_Reps!C:C)</f>
        <v>Senior Enterprise AE</v>
      </c>
      <c r="Q1056" t="str">
        <f>_xlfn.XLOOKUP(Pipeline_tbl[[#This Row],[Rep_ID]],Dim_Reps!A:A,Dim_Reps!D:D)</f>
        <v>Strategic</v>
      </c>
      <c r="R1056" t="str">
        <f>_xlfn.XLOOKUP(Pipeline_tbl[[#This Row],[Rep_ID]],Dim_Reps!A:A,Dim_Reps!E:E)</f>
        <v>NAMER</v>
      </c>
      <c r="S1056" t="str">
        <f>_xlfn.XLOOKUP(Pipeline_tbl[[#This Row],[Created_Date]],Dim_Date!A:A,Dim_Date!H:H)</f>
        <v>Oct 2024</v>
      </c>
      <c r="T1056" t="str">
        <f>IF(Pipeline_tbl[[#This Row],[Closed_Date]]=0,"",(_xlfn.XLOOKUP(Pipeline_tbl[[#This Row],[Closed_Date]],Dim_Date!A:A,Dim_Date!H:H)))</f>
        <v>Dec 2024</v>
      </c>
      <c r="U1056">
        <f>IF(Pipeline_tbl[[#This Row],[Closed_Date]]=0,"",Pipeline_tbl[[#This Row],[Closed_Date]]-Pipeline_tbl[[#This Row],[Created_Date]])</f>
        <v>59</v>
      </c>
    </row>
    <row r="1057" spans="1:21" ht="15" customHeight="1" x14ac:dyDescent="0.2">
      <c r="A1057" t="s">
        <v>1363</v>
      </c>
      <c r="B1057" t="s">
        <v>269</v>
      </c>
      <c r="C1057" t="s">
        <v>54</v>
      </c>
      <c r="D1057" s="49">
        <v>45594</v>
      </c>
      <c r="E1057" s="49">
        <v>45598</v>
      </c>
      <c r="F1057" s="49">
        <v>45607</v>
      </c>
      <c r="G1057" s="49">
        <v>45620</v>
      </c>
      <c r="I1057" s="49">
        <v>45637</v>
      </c>
      <c r="J1057" t="s">
        <v>49</v>
      </c>
      <c r="K1057" s="33">
        <v>24700</v>
      </c>
      <c r="L1057" t="s">
        <v>64</v>
      </c>
      <c r="M1057" t="str">
        <f>_xlfn.XLOOKUP(Pipeline_tbl[[#This Row],[Rep_ID]],Dim_Reps!A:A,Dim_Reps!K:K)</f>
        <v>USD</v>
      </c>
      <c r="N1057" s="33">
        <f>(_xlfn.XLOOKUP(Pipeline_tbl[[#This Row],[Rate_Code_Generalized]],Lookups!A:A,Lookups!B:B))*Pipeline_tbl[[#This Row],[Pipeline_Amount_USD]]</f>
        <v>28758.209999999995</v>
      </c>
      <c r="O1057" t="str">
        <f>_xlfn.XLOOKUP(Pipeline_tbl[[#This Row],[Rep_ID]],Dim_Reps!A:A,Dim_Reps!B:B)</f>
        <v>Morgan Rivera</v>
      </c>
      <c r="P1057" t="str">
        <f>_xlfn.XLOOKUP(Pipeline_tbl[[#This Row],[Rep_ID]],Dim_Reps!A:A,Dim_Reps!C:C)</f>
        <v>Mid-Market AE</v>
      </c>
      <c r="Q1057" t="str">
        <f>_xlfn.XLOOKUP(Pipeline_tbl[[#This Row],[Rep_ID]],Dim_Reps!A:A,Dim_Reps!D:D)</f>
        <v>Mid-Market</v>
      </c>
      <c r="R1057" t="str">
        <f>_xlfn.XLOOKUP(Pipeline_tbl[[#This Row],[Rep_ID]],Dim_Reps!A:A,Dim_Reps!E:E)</f>
        <v>NAMER</v>
      </c>
      <c r="S1057" t="str">
        <f>_xlfn.XLOOKUP(Pipeline_tbl[[#This Row],[Created_Date]],Dim_Date!A:A,Dim_Date!H:H)</f>
        <v>Oct 2024</v>
      </c>
      <c r="T1057" t="str">
        <f>IF(Pipeline_tbl[[#This Row],[Closed_Date]]=0,"",(_xlfn.XLOOKUP(Pipeline_tbl[[#This Row],[Closed_Date]],Dim_Date!A:A,Dim_Date!H:H)))</f>
        <v>Dec 2024</v>
      </c>
      <c r="U1057">
        <f>IF(Pipeline_tbl[[#This Row],[Closed_Date]]=0,"",Pipeline_tbl[[#This Row],[Closed_Date]]-Pipeline_tbl[[#This Row],[Created_Date]])</f>
        <v>43</v>
      </c>
    </row>
    <row r="1058" spans="1:21" ht="15" customHeight="1" x14ac:dyDescent="0.2">
      <c r="A1058" t="s">
        <v>1364</v>
      </c>
      <c r="B1058" t="s">
        <v>269</v>
      </c>
      <c r="C1058" t="s">
        <v>52</v>
      </c>
      <c r="D1058" s="49">
        <v>45583</v>
      </c>
      <c r="E1058" s="49">
        <v>45587</v>
      </c>
      <c r="F1058" s="49">
        <v>45597</v>
      </c>
      <c r="G1058" s="49">
        <v>45610</v>
      </c>
      <c r="I1058" s="49">
        <v>45628</v>
      </c>
      <c r="J1058" t="s">
        <v>49</v>
      </c>
      <c r="K1058" s="33">
        <v>7700</v>
      </c>
      <c r="L1058" t="s">
        <v>64</v>
      </c>
      <c r="M1058" t="str">
        <f>_xlfn.XLOOKUP(Pipeline_tbl[[#This Row],[Rep_ID]],Dim_Reps!A:A,Dim_Reps!K:K)</f>
        <v>USD</v>
      </c>
      <c r="N1058" s="33">
        <f>(_xlfn.XLOOKUP(Pipeline_tbl[[#This Row],[Rate_Code_Generalized]],Lookups!A:A,Lookups!B:B))*Pipeline_tbl[[#This Row],[Pipeline_Amount_USD]]</f>
        <v>8965.1099999999988</v>
      </c>
      <c r="O1058" t="str">
        <f>_xlfn.XLOOKUP(Pipeline_tbl[[#This Row],[Rep_ID]],Dim_Reps!A:A,Dim_Reps!B:B)</f>
        <v>Morgan Rivera</v>
      </c>
      <c r="P1058" t="str">
        <f>_xlfn.XLOOKUP(Pipeline_tbl[[#This Row],[Rep_ID]],Dim_Reps!A:A,Dim_Reps!C:C)</f>
        <v>Mid-Market AE</v>
      </c>
      <c r="Q1058" t="str">
        <f>_xlfn.XLOOKUP(Pipeline_tbl[[#This Row],[Rep_ID]],Dim_Reps!A:A,Dim_Reps!D:D)</f>
        <v>Mid-Market</v>
      </c>
      <c r="R1058" t="str">
        <f>_xlfn.XLOOKUP(Pipeline_tbl[[#This Row],[Rep_ID]],Dim_Reps!A:A,Dim_Reps!E:E)</f>
        <v>NAMER</v>
      </c>
      <c r="S1058" t="str">
        <f>_xlfn.XLOOKUP(Pipeline_tbl[[#This Row],[Created_Date]],Dim_Date!A:A,Dim_Date!H:H)</f>
        <v>Oct 2024</v>
      </c>
      <c r="T1058" t="str">
        <f>IF(Pipeline_tbl[[#This Row],[Closed_Date]]=0,"",(_xlfn.XLOOKUP(Pipeline_tbl[[#This Row],[Closed_Date]],Dim_Date!A:A,Dim_Date!H:H)))</f>
        <v>Dec 2024</v>
      </c>
      <c r="U1058">
        <f>IF(Pipeline_tbl[[#This Row],[Closed_Date]]=0,"",Pipeline_tbl[[#This Row],[Closed_Date]]-Pipeline_tbl[[#This Row],[Created_Date]])</f>
        <v>45</v>
      </c>
    </row>
    <row r="1059" spans="1:21" ht="15" customHeight="1" x14ac:dyDescent="0.2">
      <c r="A1059" t="s">
        <v>1365</v>
      </c>
      <c r="B1059" t="s">
        <v>271</v>
      </c>
      <c r="C1059" t="s">
        <v>52</v>
      </c>
      <c r="D1059" s="49">
        <v>45575</v>
      </c>
      <c r="E1059" s="49">
        <v>45581</v>
      </c>
      <c r="F1059" s="49">
        <v>45593</v>
      </c>
      <c r="I1059" s="49">
        <v>45635</v>
      </c>
      <c r="J1059" t="s">
        <v>49</v>
      </c>
      <c r="K1059" s="33">
        <v>6800</v>
      </c>
      <c r="L1059" t="s">
        <v>64</v>
      </c>
      <c r="M1059" t="str">
        <f>_xlfn.XLOOKUP(Pipeline_tbl[[#This Row],[Rep_ID]],Dim_Reps!A:A,Dim_Reps!K:K)</f>
        <v>EUR</v>
      </c>
      <c r="N1059" s="33">
        <f>(_xlfn.XLOOKUP(Pipeline_tbl[[#This Row],[Rate_Code_Generalized]],Lookups!A:A,Lookups!B:B))*Pipeline_tbl[[#This Row],[Pipeline_Amount_USD]]</f>
        <v>6800</v>
      </c>
      <c r="O1059" t="str">
        <f>_xlfn.XLOOKUP(Pipeline_tbl[[#This Row],[Rep_ID]],Dim_Reps!A:A,Dim_Reps!B:B)</f>
        <v>Ivy Adler</v>
      </c>
      <c r="P1059" t="str">
        <f>_xlfn.XLOOKUP(Pipeline_tbl[[#This Row],[Rep_ID]],Dim_Reps!A:A,Dim_Reps!C:C)</f>
        <v>Mid-Market AE</v>
      </c>
      <c r="Q1059" t="str">
        <f>_xlfn.XLOOKUP(Pipeline_tbl[[#This Row],[Rep_ID]],Dim_Reps!A:A,Dim_Reps!D:D)</f>
        <v>Mid-Market</v>
      </c>
      <c r="R1059" t="str">
        <f>_xlfn.XLOOKUP(Pipeline_tbl[[#This Row],[Rep_ID]],Dim_Reps!A:A,Dim_Reps!E:E)</f>
        <v>APAC</v>
      </c>
      <c r="S1059" t="str">
        <f>_xlfn.XLOOKUP(Pipeline_tbl[[#This Row],[Created_Date]],Dim_Date!A:A,Dim_Date!H:H)</f>
        <v>Oct 2024</v>
      </c>
      <c r="T1059" t="str">
        <f>IF(Pipeline_tbl[[#This Row],[Closed_Date]]=0,"",(_xlfn.XLOOKUP(Pipeline_tbl[[#This Row],[Closed_Date]],Dim_Date!A:A,Dim_Date!H:H)))</f>
        <v>Dec 2024</v>
      </c>
      <c r="U1059">
        <f>IF(Pipeline_tbl[[#This Row],[Closed_Date]]=0,"",Pipeline_tbl[[#This Row],[Closed_Date]]-Pipeline_tbl[[#This Row],[Created_Date]])</f>
        <v>60</v>
      </c>
    </row>
    <row r="1060" spans="1:21" ht="15" customHeight="1" x14ac:dyDescent="0.2">
      <c r="A1060" t="s">
        <v>1366</v>
      </c>
      <c r="B1060" t="s">
        <v>271</v>
      </c>
      <c r="C1060" t="s">
        <v>55</v>
      </c>
      <c r="D1060" s="49">
        <v>45587</v>
      </c>
      <c r="E1060" s="49">
        <v>45591</v>
      </c>
      <c r="F1060" s="49">
        <v>45599</v>
      </c>
      <c r="G1060" s="49">
        <v>45611</v>
      </c>
      <c r="H1060" s="49">
        <v>45621</v>
      </c>
      <c r="I1060" s="49">
        <v>45627</v>
      </c>
      <c r="J1060" t="s">
        <v>47</v>
      </c>
      <c r="K1060" s="33">
        <v>11300</v>
      </c>
      <c r="M1060" t="str">
        <f>_xlfn.XLOOKUP(Pipeline_tbl[[#This Row],[Rep_ID]],Dim_Reps!A:A,Dim_Reps!K:K)</f>
        <v>EUR</v>
      </c>
      <c r="N1060" s="33">
        <f>(_xlfn.XLOOKUP(Pipeline_tbl[[#This Row],[Rate_Code_Generalized]],Lookups!A:A,Lookups!B:B))*Pipeline_tbl[[#This Row],[Pipeline_Amount_USD]]</f>
        <v>11300</v>
      </c>
      <c r="O1060" t="str">
        <f>_xlfn.XLOOKUP(Pipeline_tbl[[#This Row],[Rep_ID]],Dim_Reps!A:A,Dim_Reps!B:B)</f>
        <v>Ivy Adler</v>
      </c>
      <c r="P1060" t="str">
        <f>_xlfn.XLOOKUP(Pipeline_tbl[[#This Row],[Rep_ID]],Dim_Reps!A:A,Dim_Reps!C:C)</f>
        <v>Mid-Market AE</v>
      </c>
      <c r="Q1060" t="str">
        <f>_xlfn.XLOOKUP(Pipeline_tbl[[#This Row],[Rep_ID]],Dim_Reps!A:A,Dim_Reps!D:D)</f>
        <v>Mid-Market</v>
      </c>
      <c r="R1060" t="str">
        <f>_xlfn.XLOOKUP(Pipeline_tbl[[#This Row],[Rep_ID]],Dim_Reps!A:A,Dim_Reps!E:E)</f>
        <v>APAC</v>
      </c>
      <c r="S1060" t="str">
        <f>_xlfn.XLOOKUP(Pipeline_tbl[[#This Row],[Created_Date]],Dim_Date!A:A,Dim_Date!H:H)</f>
        <v>Oct 2024</v>
      </c>
      <c r="T1060" t="str">
        <f>IF(Pipeline_tbl[[#This Row],[Closed_Date]]=0,"",(_xlfn.XLOOKUP(Pipeline_tbl[[#This Row],[Closed_Date]],Dim_Date!A:A,Dim_Date!H:H)))</f>
        <v>Dec 2024</v>
      </c>
      <c r="U1060">
        <f>IF(Pipeline_tbl[[#This Row],[Closed_Date]]=0,"",Pipeline_tbl[[#This Row],[Closed_Date]]-Pipeline_tbl[[#This Row],[Created_Date]])</f>
        <v>40</v>
      </c>
    </row>
    <row r="1061" spans="1:21" ht="15" customHeight="1" x14ac:dyDescent="0.2">
      <c r="A1061" t="s">
        <v>1367</v>
      </c>
      <c r="B1061" t="s">
        <v>278</v>
      </c>
      <c r="C1061" t="s">
        <v>52</v>
      </c>
      <c r="D1061" s="49">
        <v>45587</v>
      </c>
      <c r="E1061" s="49">
        <v>45599</v>
      </c>
      <c r="F1061" s="49">
        <v>45622</v>
      </c>
      <c r="I1061" s="49">
        <v>45705</v>
      </c>
      <c r="J1061" t="s">
        <v>49</v>
      </c>
      <c r="K1061" s="33">
        <v>60700</v>
      </c>
      <c r="L1061" t="s">
        <v>60</v>
      </c>
      <c r="M1061" t="str">
        <f>_xlfn.XLOOKUP(Pipeline_tbl[[#This Row],[Rep_ID]],Dim_Reps!A:A,Dim_Reps!K:K)</f>
        <v>EUR</v>
      </c>
      <c r="N1061" s="33">
        <f>(_xlfn.XLOOKUP(Pipeline_tbl[[#This Row],[Rate_Code_Generalized]],Lookups!A:A,Lookups!B:B))*Pipeline_tbl[[#This Row],[Pipeline_Amount_USD]]</f>
        <v>60700</v>
      </c>
      <c r="O1061" t="str">
        <f>_xlfn.XLOOKUP(Pipeline_tbl[[#This Row],[Rep_ID]],Dim_Reps!A:A,Dim_Reps!B:B)</f>
        <v>Sara Andersson</v>
      </c>
      <c r="P1061" t="str">
        <f>_xlfn.XLOOKUP(Pipeline_tbl[[#This Row],[Rep_ID]],Dim_Reps!A:A,Dim_Reps!C:C)</f>
        <v>Senior Enterprise AE</v>
      </c>
      <c r="Q1061" t="str">
        <f>_xlfn.XLOOKUP(Pipeline_tbl[[#This Row],[Rep_ID]],Dim_Reps!A:A,Dim_Reps!D:D)</f>
        <v>Strategic</v>
      </c>
      <c r="R1061" t="str">
        <f>_xlfn.XLOOKUP(Pipeline_tbl[[#This Row],[Rep_ID]],Dim_Reps!A:A,Dim_Reps!E:E)</f>
        <v>APAC</v>
      </c>
      <c r="S1061" t="str">
        <f>_xlfn.XLOOKUP(Pipeline_tbl[[#This Row],[Created_Date]],Dim_Date!A:A,Dim_Date!H:H)</f>
        <v>Oct 2024</v>
      </c>
      <c r="T1061" t="str">
        <f>IF(Pipeline_tbl[[#This Row],[Closed_Date]]=0,"",(_xlfn.XLOOKUP(Pipeline_tbl[[#This Row],[Closed_Date]],Dim_Date!A:A,Dim_Date!H:H)))</f>
        <v>Feb 2025</v>
      </c>
      <c r="U1061">
        <f>IF(Pipeline_tbl[[#This Row],[Closed_Date]]=0,"",Pipeline_tbl[[#This Row],[Closed_Date]]-Pipeline_tbl[[#This Row],[Created_Date]])</f>
        <v>118</v>
      </c>
    </row>
    <row r="1062" spans="1:21" ht="15" customHeight="1" x14ac:dyDescent="0.2">
      <c r="A1062" t="s">
        <v>1368</v>
      </c>
      <c r="B1062" t="s">
        <v>282</v>
      </c>
      <c r="C1062" t="s">
        <v>52</v>
      </c>
      <c r="D1062" s="49">
        <v>45596</v>
      </c>
      <c r="E1062" s="49">
        <v>45606</v>
      </c>
      <c r="F1062" s="49">
        <v>45626</v>
      </c>
      <c r="G1062" s="49">
        <v>45656</v>
      </c>
      <c r="H1062" s="49">
        <v>45681</v>
      </c>
      <c r="I1062" s="49">
        <v>45696</v>
      </c>
      <c r="J1062" t="s">
        <v>49</v>
      </c>
      <c r="K1062" s="33">
        <v>37400</v>
      </c>
      <c r="L1062" t="s">
        <v>61</v>
      </c>
      <c r="M1062" t="str">
        <f>_xlfn.XLOOKUP(Pipeline_tbl[[#This Row],[Rep_ID]],Dim_Reps!A:A,Dim_Reps!K:K)</f>
        <v>USD</v>
      </c>
      <c r="N1062" s="33">
        <f>(_xlfn.XLOOKUP(Pipeline_tbl[[#This Row],[Rate_Code_Generalized]],Lookups!A:A,Lookups!B:B))*Pipeline_tbl[[#This Row],[Pipeline_Amount_USD]]</f>
        <v>43544.819999999992</v>
      </c>
      <c r="O1062" t="str">
        <f>_xlfn.XLOOKUP(Pipeline_tbl[[#This Row],[Rep_ID]],Dim_Reps!A:A,Dim_Reps!B:B)</f>
        <v>Fatima Rossi</v>
      </c>
      <c r="P1062" t="str">
        <f>_xlfn.XLOOKUP(Pipeline_tbl[[#This Row],[Rep_ID]],Dim_Reps!A:A,Dim_Reps!C:C)</f>
        <v>Senior Enterprise AE</v>
      </c>
      <c r="Q1062" t="str">
        <f>_xlfn.XLOOKUP(Pipeline_tbl[[#This Row],[Rep_ID]],Dim_Reps!A:A,Dim_Reps!D:D)</f>
        <v>Strategic</v>
      </c>
      <c r="R1062" t="str">
        <f>_xlfn.XLOOKUP(Pipeline_tbl[[#This Row],[Rep_ID]],Dim_Reps!A:A,Dim_Reps!E:E)</f>
        <v>NAMER</v>
      </c>
      <c r="S1062" t="str">
        <f>_xlfn.XLOOKUP(Pipeline_tbl[[#This Row],[Created_Date]],Dim_Date!A:A,Dim_Date!H:H)</f>
        <v>Oct 2024</v>
      </c>
      <c r="T1062" t="str">
        <f>IF(Pipeline_tbl[[#This Row],[Closed_Date]]=0,"",(_xlfn.XLOOKUP(Pipeline_tbl[[#This Row],[Closed_Date]],Dim_Date!A:A,Dim_Date!H:H)))</f>
        <v>Feb 2025</v>
      </c>
      <c r="U1062">
        <f>IF(Pipeline_tbl[[#This Row],[Closed_Date]]=0,"",Pipeline_tbl[[#This Row],[Closed_Date]]-Pipeline_tbl[[#This Row],[Created_Date]])</f>
        <v>100</v>
      </c>
    </row>
    <row r="1063" spans="1:21" ht="15" customHeight="1" x14ac:dyDescent="0.2">
      <c r="A1063" t="s">
        <v>1369</v>
      </c>
      <c r="B1063" t="s">
        <v>181</v>
      </c>
      <c r="C1063" t="s">
        <v>53</v>
      </c>
      <c r="D1063" s="49">
        <v>45581</v>
      </c>
      <c r="E1063" s="49">
        <v>45589</v>
      </c>
      <c r="I1063" s="49">
        <v>45661</v>
      </c>
      <c r="J1063" t="s">
        <v>49</v>
      </c>
      <c r="K1063" s="33">
        <v>58400</v>
      </c>
      <c r="L1063" t="s">
        <v>61</v>
      </c>
      <c r="M1063" t="str">
        <f>_xlfn.XLOOKUP(Pipeline_tbl[[#This Row],[Rep_ID]],Dim_Reps!A:A,Dim_Reps!K:K)</f>
        <v>USD</v>
      </c>
      <c r="N1063" s="33">
        <f>(_xlfn.XLOOKUP(Pipeline_tbl[[#This Row],[Rate_Code_Generalized]],Lookups!A:A,Lookups!B:B))*Pipeline_tbl[[#This Row],[Pipeline_Amount_USD]]</f>
        <v>67995.12</v>
      </c>
      <c r="O1063" t="str">
        <f>_xlfn.XLOOKUP(Pipeline_tbl[[#This Row],[Rep_ID]],Dim_Reps!A:A,Dim_Reps!B:B)</f>
        <v>Milo Weber</v>
      </c>
      <c r="P1063" t="str">
        <f>_xlfn.XLOOKUP(Pipeline_tbl[[#This Row],[Rep_ID]],Dim_Reps!A:A,Dim_Reps!C:C)</f>
        <v>Enterprise AE</v>
      </c>
      <c r="Q1063" t="str">
        <f>_xlfn.XLOOKUP(Pipeline_tbl[[#This Row],[Rep_ID]],Dim_Reps!A:A,Dim_Reps!D:D)</f>
        <v>Enterprise</v>
      </c>
      <c r="R1063" t="str">
        <f>_xlfn.XLOOKUP(Pipeline_tbl[[#This Row],[Rep_ID]],Dim_Reps!A:A,Dim_Reps!E:E)</f>
        <v>NAMER</v>
      </c>
      <c r="S1063" t="str">
        <f>_xlfn.XLOOKUP(Pipeline_tbl[[#This Row],[Created_Date]],Dim_Date!A:A,Dim_Date!H:H)</f>
        <v>Oct 2024</v>
      </c>
      <c r="T1063" t="str">
        <f>IF(Pipeline_tbl[[#This Row],[Closed_Date]]=0,"",(_xlfn.XLOOKUP(Pipeline_tbl[[#This Row],[Closed_Date]],Dim_Date!A:A,Dim_Date!H:H)))</f>
        <v>Jan 2025</v>
      </c>
      <c r="U1063">
        <f>IF(Pipeline_tbl[[#This Row],[Closed_Date]]=0,"",Pipeline_tbl[[#This Row],[Closed_Date]]-Pipeline_tbl[[#This Row],[Created_Date]])</f>
        <v>80</v>
      </c>
    </row>
    <row r="1064" spans="1:21" ht="15" customHeight="1" x14ac:dyDescent="0.2">
      <c r="A1064" t="s">
        <v>1370</v>
      </c>
      <c r="B1064" t="s">
        <v>181</v>
      </c>
      <c r="C1064" t="s">
        <v>55</v>
      </c>
      <c r="D1064" s="49">
        <v>45586</v>
      </c>
      <c r="E1064" s="49">
        <v>45594</v>
      </c>
      <c r="F1064" s="49">
        <v>45609</v>
      </c>
      <c r="G1064" s="49">
        <v>45632</v>
      </c>
      <c r="H1064" s="49">
        <v>45651</v>
      </c>
      <c r="I1064" s="49">
        <v>45663</v>
      </c>
      <c r="J1064" t="s">
        <v>47</v>
      </c>
      <c r="K1064" s="33">
        <v>38100</v>
      </c>
      <c r="M1064" t="str">
        <f>_xlfn.XLOOKUP(Pipeline_tbl[[#This Row],[Rep_ID]],Dim_Reps!A:A,Dim_Reps!K:K)</f>
        <v>USD</v>
      </c>
      <c r="N1064" s="33">
        <f>(_xlfn.XLOOKUP(Pipeline_tbl[[#This Row],[Rate_Code_Generalized]],Lookups!A:A,Lookups!B:B))*Pipeline_tbl[[#This Row],[Pipeline_Amount_USD]]</f>
        <v>44359.829999999994</v>
      </c>
      <c r="O1064" t="str">
        <f>_xlfn.XLOOKUP(Pipeline_tbl[[#This Row],[Rep_ID]],Dim_Reps!A:A,Dim_Reps!B:B)</f>
        <v>Milo Weber</v>
      </c>
      <c r="P1064" t="str">
        <f>_xlfn.XLOOKUP(Pipeline_tbl[[#This Row],[Rep_ID]],Dim_Reps!A:A,Dim_Reps!C:C)</f>
        <v>Enterprise AE</v>
      </c>
      <c r="Q1064" t="str">
        <f>_xlfn.XLOOKUP(Pipeline_tbl[[#This Row],[Rep_ID]],Dim_Reps!A:A,Dim_Reps!D:D)</f>
        <v>Enterprise</v>
      </c>
      <c r="R1064" t="str">
        <f>_xlfn.XLOOKUP(Pipeline_tbl[[#This Row],[Rep_ID]],Dim_Reps!A:A,Dim_Reps!E:E)</f>
        <v>NAMER</v>
      </c>
      <c r="S1064" t="str">
        <f>_xlfn.XLOOKUP(Pipeline_tbl[[#This Row],[Created_Date]],Dim_Date!A:A,Dim_Date!H:H)</f>
        <v>Oct 2024</v>
      </c>
      <c r="T1064" t="str">
        <f>IF(Pipeline_tbl[[#This Row],[Closed_Date]]=0,"",(_xlfn.XLOOKUP(Pipeline_tbl[[#This Row],[Closed_Date]],Dim_Date!A:A,Dim_Date!H:H)))</f>
        <v>Jan 2025</v>
      </c>
      <c r="U1064">
        <f>IF(Pipeline_tbl[[#This Row],[Closed_Date]]=0,"",Pipeline_tbl[[#This Row],[Closed_Date]]-Pipeline_tbl[[#This Row],[Created_Date]])</f>
        <v>77</v>
      </c>
    </row>
    <row r="1065" spans="1:21" ht="15" customHeight="1" x14ac:dyDescent="0.2">
      <c r="A1065" t="s">
        <v>1371</v>
      </c>
      <c r="B1065" t="s">
        <v>183</v>
      </c>
      <c r="C1065" t="s">
        <v>52</v>
      </c>
      <c r="D1065" s="49">
        <v>45583</v>
      </c>
      <c r="E1065" s="49">
        <v>45591</v>
      </c>
      <c r="F1065" s="49">
        <v>45609</v>
      </c>
      <c r="G1065" s="49">
        <v>45634</v>
      </c>
      <c r="I1065" s="49">
        <v>45668</v>
      </c>
      <c r="J1065" t="s">
        <v>49</v>
      </c>
      <c r="K1065" s="33">
        <v>26100</v>
      </c>
      <c r="L1065" t="s">
        <v>63</v>
      </c>
      <c r="M1065" t="str">
        <f>_xlfn.XLOOKUP(Pipeline_tbl[[#This Row],[Rep_ID]],Dim_Reps!A:A,Dim_Reps!K:K)</f>
        <v>EUR</v>
      </c>
      <c r="N1065" s="33">
        <f>(_xlfn.XLOOKUP(Pipeline_tbl[[#This Row],[Rate_Code_Generalized]],Lookups!A:A,Lookups!B:B))*Pipeline_tbl[[#This Row],[Pipeline_Amount_USD]]</f>
        <v>26100</v>
      </c>
      <c r="O1065" t="str">
        <f>_xlfn.XLOOKUP(Pipeline_tbl[[#This Row],[Rep_ID]],Dim_Reps!A:A,Dim_Reps!B:B)</f>
        <v>Sam Schmidt</v>
      </c>
      <c r="P1065" t="str">
        <f>_xlfn.XLOOKUP(Pipeline_tbl[[#This Row],[Rep_ID]],Dim_Reps!A:A,Dim_Reps!C:C)</f>
        <v>Enterprise AE</v>
      </c>
      <c r="Q1065" t="str">
        <f>_xlfn.XLOOKUP(Pipeline_tbl[[#This Row],[Rep_ID]],Dim_Reps!A:A,Dim_Reps!D:D)</f>
        <v>Enterprise</v>
      </c>
      <c r="R1065" t="str">
        <f>_xlfn.XLOOKUP(Pipeline_tbl[[#This Row],[Rep_ID]],Dim_Reps!A:A,Dim_Reps!E:E)</f>
        <v>EMEA</v>
      </c>
      <c r="S1065" t="str">
        <f>_xlfn.XLOOKUP(Pipeline_tbl[[#This Row],[Created_Date]],Dim_Date!A:A,Dim_Date!H:H)</f>
        <v>Oct 2024</v>
      </c>
      <c r="T1065" t="str">
        <f>IF(Pipeline_tbl[[#This Row],[Closed_Date]]=0,"",(_xlfn.XLOOKUP(Pipeline_tbl[[#This Row],[Closed_Date]],Dim_Date!A:A,Dim_Date!H:H)))</f>
        <v>Jan 2025</v>
      </c>
      <c r="U1065">
        <f>IF(Pipeline_tbl[[#This Row],[Closed_Date]]=0,"",Pipeline_tbl[[#This Row],[Closed_Date]]-Pipeline_tbl[[#This Row],[Created_Date]])</f>
        <v>85</v>
      </c>
    </row>
    <row r="1066" spans="1:21" ht="15" customHeight="1" x14ac:dyDescent="0.2">
      <c r="A1066" t="s">
        <v>1372</v>
      </c>
      <c r="B1066" t="s">
        <v>183</v>
      </c>
      <c r="C1066" t="s">
        <v>55</v>
      </c>
      <c r="D1066" s="49">
        <v>45583</v>
      </c>
      <c r="E1066" s="49">
        <v>45592</v>
      </c>
      <c r="I1066" s="49">
        <v>45671</v>
      </c>
      <c r="J1066" t="s">
        <v>49</v>
      </c>
      <c r="K1066" s="33">
        <v>40200</v>
      </c>
      <c r="L1066" t="s">
        <v>60</v>
      </c>
      <c r="M1066" t="str">
        <f>_xlfn.XLOOKUP(Pipeline_tbl[[#This Row],[Rep_ID]],Dim_Reps!A:A,Dim_Reps!K:K)</f>
        <v>EUR</v>
      </c>
      <c r="N1066" s="33">
        <f>(_xlfn.XLOOKUP(Pipeline_tbl[[#This Row],[Rate_Code_Generalized]],Lookups!A:A,Lookups!B:B))*Pipeline_tbl[[#This Row],[Pipeline_Amount_USD]]</f>
        <v>40200</v>
      </c>
      <c r="O1066" t="str">
        <f>_xlfn.XLOOKUP(Pipeline_tbl[[#This Row],[Rep_ID]],Dim_Reps!A:A,Dim_Reps!B:B)</f>
        <v>Sam Schmidt</v>
      </c>
      <c r="P1066" t="str">
        <f>_xlfn.XLOOKUP(Pipeline_tbl[[#This Row],[Rep_ID]],Dim_Reps!A:A,Dim_Reps!C:C)</f>
        <v>Enterprise AE</v>
      </c>
      <c r="Q1066" t="str">
        <f>_xlfn.XLOOKUP(Pipeline_tbl[[#This Row],[Rep_ID]],Dim_Reps!A:A,Dim_Reps!D:D)</f>
        <v>Enterprise</v>
      </c>
      <c r="R1066" t="str">
        <f>_xlfn.XLOOKUP(Pipeline_tbl[[#This Row],[Rep_ID]],Dim_Reps!A:A,Dim_Reps!E:E)</f>
        <v>EMEA</v>
      </c>
      <c r="S1066" t="str">
        <f>_xlfn.XLOOKUP(Pipeline_tbl[[#This Row],[Created_Date]],Dim_Date!A:A,Dim_Date!H:H)</f>
        <v>Oct 2024</v>
      </c>
      <c r="T1066" t="str">
        <f>IF(Pipeline_tbl[[#This Row],[Closed_Date]]=0,"",(_xlfn.XLOOKUP(Pipeline_tbl[[#This Row],[Closed_Date]],Dim_Date!A:A,Dim_Date!H:H)))</f>
        <v>Jan 2025</v>
      </c>
      <c r="U1066">
        <f>IF(Pipeline_tbl[[#This Row],[Closed_Date]]=0,"",Pipeline_tbl[[#This Row],[Closed_Date]]-Pipeline_tbl[[#This Row],[Created_Date]])</f>
        <v>88</v>
      </c>
    </row>
    <row r="1067" spans="1:21" ht="15" customHeight="1" x14ac:dyDescent="0.2">
      <c r="A1067" t="s">
        <v>1373</v>
      </c>
      <c r="B1067" t="s">
        <v>183</v>
      </c>
      <c r="C1067" t="s">
        <v>53</v>
      </c>
      <c r="D1067" s="49">
        <v>45590</v>
      </c>
      <c r="E1067" s="49">
        <v>45598</v>
      </c>
      <c r="F1067" s="49">
        <v>45615</v>
      </c>
      <c r="G1067" s="49">
        <v>45639</v>
      </c>
      <c r="I1067" s="49">
        <v>45672</v>
      </c>
      <c r="J1067" t="s">
        <v>49</v>
      </c>
      <c r="K1067" s="33">
        <v>14200</v>
      </c>
      <c r="L1067" t="s">
        <v>61</v>
      </c>
      <c r="M1067" t="str">
        <f>_xlfn.XLOOKUP(Pipeline_tbl[[#This Row],[Rep_ID]],Dim_Reps!A:A,Dim_Reps!K:K)</f>
        <v>EUR</v>
      </c>
      <c r="N1067" s="33">
        <f>(_xlfn.XLOOKUP(Pipeline_tbl[[#This Row],[Rate_Code_Generalized]],Lookups!A:A,Lookups!B:B))*Pipeline_tbl[[#This Row],[Pipeline_Amount_USD]]</f>
        <v>14200</v>
      </c>
      <c r="O1067" t="str">
        <f>_xlfn.XLOOKUP(Pipeline_tbl[[#This Row],[Rep_ID]],Dim_Reps!A:A,Dim_Reps!B:B)</f>
        <v>Sam Schmidt</v>
      </c>
      <c r="P1067" t="str">
        <f>_xlfn.XLOOKUP(Pipeline_tbl[[#This Row],[Rep_ID]],Dim_Reps!A:A,Dim_Reps!C:C)</f>
        <v>Enterprise AE</v>
      </c>
      <c r="Q1067" t="str">
        <f>_xlfn.XLOOKUP(Pipeline_tbl[[#This Row],[Rep_ID]],Dim_Reps!A:A,Dim_Reps!D:D)</f>
        <v>Enterprise</v>
      </c>
      <c r="R1067" t="str">
        <f>_xlfn.XLOOKUP(Pipeline_tbl[[#This Row],[Rep_ID]],Dim_Reps!A:A,Dim_Reps!E:E)</f>
        <v>EMEA</v>
      </c>
      <c r="S1067" t="str">
        <f>_xlfn.XLOOKUP(Pipeline_tbl[[#This Row],[Created_Date]],Dim_Date!A:A,Dim_Date!H:H)</f>
        <v>Oct 2024</v>
      </c>
      <c r="T1067" t="str">
        <f>IF(Pipeline_tbl[[#This Row],[Closed_Date]]=0,"",(_xlfn.XLOOKUP(Pipeline_tbl[[#This Row],[Closed_Date]],Dim_Date!A:A,Dim_Date!H:H)))</f>
        <v>Jan 2025</v>
      </c>
      <c r="U1067">
        <f>IF(Pipeline_tbl[[#This Row],[Closed_Date]]=0,"",Pipeline_tbl[[#This Row],[Closed_Date]]-Pipeline_tbl[[#This Row],[Created_Date]])</f>
        <v>82</v>
      </c>
    </row>
    <row r="1068" spans="1:21" ht="15" customHeight="1" x14ac:dyDescent="0.2">
      <c r="A1068" t="s">
        <v>1374</v>
      </c>
      <c r="B1068" t="s">
        <v>278</v>
      </c>
      <c r="C1068" t="s">
        <v>56</v>
      </c>
      <c r="D1068" s="49">
        <v>45593</v>
      </c>
      <c r="E1068" s="49">
        <v>45599</v>
      </c>
      <c r="I1068" s="49">
        <v>45658</v>
      </c>
      <c r="J1068" t="s">
        <v>49</v>
      </c>
      <c r="K1068" s="33">
        <v>55300</v>
      </c>
      <c r="L1068" t="s">
        <v>61</v>
      </c>
      <c r="M1068" t="str">
        <f>_xlfn.XLOOKUP(Pipeline_tbl[[#This Row],[Rep_ID]],Dim_Reps!A:A,Dim_Reps!K:K)</f>
        <v>EUR</v>
      </c>
      <c r="N1068" s="33">
        <f>(_xlfn.XLOOKUP(Pipeline_tbl[[#This Row],[Rate_Code_Generalized]],Lookups!A:A,Lookups!B:B))*Pipeline_tbl[[#This Row],[Pipeline_Amount_USD]]</f>
        <v>55300</v>
      </c>
      <c r="O1068" t="str">
        <f>_xlfn.XLOOKUP(Pipeline_tbl[[#This Row],[Rep_ID]],Dim_Reps!A:A,Dim_Reps!B:B)</f>
        <v>Sara Andersson</v>
      </c>
      <c r="P1068" t="str">
        <f>_xlfn.XLOOKUP(Pipeline_tbl[[#This Row],[Rep_ID]],Dim_Reps!A:A,Dim_Reps!C:C)</f>
        <v>Senior Enterprise AE</v>
      </c>
      <c r="Q1068" t="str">
        <f>_xlfn.XLOOKUP(Pipeline_tbl[[#This Row],[Rep_ID]],Dim_Reps!A:A,Dim_Reps!D:D)</f>
        <v>Strategic</v>
      </c>
      <c r="R1068" t="str">
        <f>_xlfn.XLOOKUP(Pipeline_tbl[[#This Row],[Rep_ID]],Dim_Reps!A:A,Dim_Reps!E:E)</f>
        <v>APAC</v>
      </c>
      <c r="S1068" t="str">
        <f>_xlfn.XLOOKUP(Pipeline_tbl[[#This Row],[Created_Date]],Dim_Date!A:A,Dim_Date!H:H)</f>
        <v>Oct 2024</v>
      </c>
      <c r="T1068" t="str">
        <f>IF(Pipeline_tbl[[#This Row],[Closed_Date]]=0,"",(_xlfn.XLOOKUP(Pipeline_tbl[[#This Row],[Closed_Date]],Dim_Date!A:A,Dim_Date!H:H)))</f>
        <v>Jan 2025</v>
      </c>
      <c r="U1068">
        <f>IF(Pipeline_tbl[[#This Row],[Closed_Date]]=0,"",Pipeline_tbl[[#This Row],[Closed_Date]]-Pipeline_tbl[[#This Row],[Created_Date]])</f>
        <v>65</v>
      </c>
    </row>
    <row r="1069" spans="1:21" ht="15" customHeight="1" x14ac:dyDescent="0.2">
      <c r="A1069" t="s">
        <v>1375</v>
      </c>
      <c r="B1069" t="s">
        <v>185</v>
      </c>
      <c r="C1069" t="s">
        <v>52</v>
      </c>
      <c r="D1069" s="49">
        <v>45596</v>
      </c>
      <c r="E1069" s="49">
        <v>45605</v>
      </c>
      <c r="F1069" s="49">
        <v>45622</v>
      </c>
      <c r="G1069" s="49">
        <v>45648</v>
      </c>
      <c r="H1069" s="49">
        <v>45670</v>
      </c>
      <c r="I1069" s="49">
        <v>45683</v>
      </c>
      <c r="J1069" t="s">
        <v>47</v>
      </c>
      <c r="K1069" s="33">
        <v>27000</v>
      </c>
      <c r="M1069" t="str">
        <f>_xlfn.XLOOKUP(Pipeline_tbl[[#This Row],[Rep_ID]],Dim_Reps!A:A,Dim_Reps!K:K)</f>
        <v>MXN</v>
      </c>
      <c r="N1069" s="33">
        <f>(_xlfn.XLOOKUP(Pipeline_tbl[[#This Row],[Rate_Code_Generalized]],Lookups!A:A,Lookups!B:B))*Pipeline_tbl[[#This Row],[Pipeline_Amount_USD]]</f>
        <v>532782.9</v>
      </c>
      <c r="O1069" t="str">
        <f>_xlfn.XLOOKUP(Pipeline_tbl[[#This Row],[Rep_ID]],Dim_Reps!A:A,Dim_Reps!B:B)</f>
        <v>Noah Kim</v>
      </c>
      <c r="P1069" t="str">
        <f>_xlfn.XLOOKUP(Pipeline_tbl[[#This Row],[Rep_ID]],Dim_Reps!A:A,Dim_Reps!C:C)</f>
        <v>Enterprise AE</v>
      </c>
      <c r="Q1069" t="str">
        <f>_xlfn.XLOOKUP(Pipeline_tbl[[#This Row],[Rep_ID]],Dim_Reps!A:A,Dim_Reps!D:D)</f>
        <v>Enterprise</v>
      </c>
      <c r="R1069" t="str">
        <f>_xlfn.XLOOKUP(Pipeline_tbl[[#This Row],[Rep_ID]],Dim_Reps!A:A,Dim_Reps!E:E)</f>
        <v>LATAM</v>
      </c>
      <c r="S1069" t="str">
        <f>_xlfn.XLOOKUP(Pipeline_tbl[[#This Row],[Created_Date]],Dim_Date!A:A,Dim_Date!H:H)</f>
        <v>Oct 2024</v>
      </c>
      <c r="T1069" t="str">
        <f>IF(Pipeline_tbl[[#This Row],[Closed_Date]]=0,"",(_xlfn.XLOOKUP(Pipeline_tbl[[#This Row],[Closed_Date]],Dim_Date!A:A,Dim_Date!H:H)))</f>
        <v>Jan 2025</v>
      </c>
      <c r="U1069">
        <f>IF(Pipeline_tbl[[#This Row],[Closed_Date]]=0,"",Pipeline_tbl[[#This Row],[Closed_Date]]-Pipeline_tbl[[#This Row],[Created_Date]])</f>
        <v>87</v>
      </c>
    </row>
    <row r="1070" spans="1:21" ht="15" customHeight="1" x14ac:dyDescent="0.2">
      <c r="A1070" t="s">
        <v>1376</v>
      </c>
      <c r="B1070" t="s">
        <v>185</v>
      </c>
      <c r="C1070" t="s">
        <v>52</v>
      </c>
      <c r="D1070" s="49">
        <v>45589</v>
      </c>
      <c r="E1070" s="49">
        <v>45597</v>
      </c>
      <c r="F1070" s="49">
        <v>45613</v>
      </c>
      <c r="G1070" s="49">
        <v>45637</v>
      </c>
      <c r="H1070" s="49">
        <v>45657</v>
      </c>
      <c r="I1070" s="49">
        <v>45669</v>
      </c>
      <c r="J1070" t="s">
        <v>49</v>
      </c>
      <c r="K1070" s="33">
        <v>83100</v>
      </c>
      <c r="L1070" t="s">
        <v>61</v>
      </c>
      <c r="M1070" t="str">
        <f>_xlfn.XLOOKUP(Pipeline_tbl[[#This Row],[Rep_ID]],Dim_Reps!A:A,Dim_Reps!K:K)</f>
        <v>MXN</v>
      </c>
      <c r="N1070" s="33">
        <f>(_xlfn.XLOOKUP(Pipeline_tbl[[#This Row],[Rate_Code_Generalized]],Lookups!A:A,Lookups!B:B))*Pipeline_tbl[[#This Row],[Pipeline_Amount_USD]]</f>
        <v>1639787.37</v>
      </c>
      <c r="O1070" t="str">
        <f>_xlfn.XLOOKUP(Pipeline_tbl[[#This Row],[Rep_ID]],Dim_Reps!A:A,Dim_Reps!B:B)</f>
        <v>Noah Kim</v>
      </c>
      <c r="P1070" t="str">
        <f>_xlfn.XLOOKUP(Pipeline_tbl[[#This Row],[Rep_ID]],Dim_Reps!A:A,Dim_Reps!C:C)</f>
        <v>Enterprise AE</v>
      </c>
      <c r="Q1070" t="str">
        <f>_xlfn.XLOOKUP(Pipeline_tbl[[#This Row],[Rep_ID]],Dim_Reps!A:A,Dim_Reps!D:D)</f>
        <v>Enterprise</v>
      </c>
      <c r="R1070" t="str">
        <f>_xlfn.XLOOKUP(Pipeline_tbl[[#This Row],[Rep_ID]],Dim_Reps!A:A,Dim_Reps!E:E)</f>
        <v>LATAM</v>
      </c>
      <c r="S1070" t="str">
        <f>_xlfn.XLOOKUP(Pipeline_tbl[[#This Row],[Created_Date]],Dim_Date!A:A,Dim_Date!H:H)</f>
        <v>Oct 2024</v>
      </c>
      <c r="T1070" t="str">
        <f>IF(Pipeline_tbl[[#This Row],[Closed_Date]]=0,"",(_xlfn.XLOOKUP(Pipeline_tbl[[#This Row],[Closed_Date]],Dim_Date!A:A,Dim_Date!H:H)))</f>
        <v>Jan 2025</v>
      </c>
      <c r="U1070">
        <f>IF(Pipeline_tbl[[#This Row],[Closed_Date]]=0,"",Pipeline_tbl[[#This Row],[Closed_Date]]-Pipeline_tbl[[#This Row],[Created_Date]])</f>
        <v>80</v>
      </c>
    </row>
    <row r="1071" spans="1:21" ht="15" customHeight="1" x14ac:dyDescent="0.2">
      <c r="A1071" t="s">
        <v>1377</v>
      </c>
      <c r="B1071" t="s">
        <v>185</v>
      </c>
      <c r="C1071" t="s">
        <v>52</v>
      </c>
      <c r="D1071" s="49">
        <v>45596</v>
      </c>
      <c r="E1071" s="49">
        <v>45602</v>
      </c>
      <c r="F1071" s="49">
        <v>45615</v>
      </c>
      <c r="G1071" s="49">
        <v>45634</v>
      </c>
      <c r="H1071" s="49">
        <v>45650</v>
      </c>
      <c r="I1071" s="49">
        <v>45659</v>
      </c>
      <c r="J1071" t="s">
        <v>47</v>
      </c>
      <c r="K1071" s="33">
        <v>15400</v>
      </c>
      <c r="M1071" t="str">
        <f>_xlfn.XLOOKUP(Pipeline_tbl[[#This Row],[Rep_ID]],Dim_Reps!A:A,Dim_Reps!K:K)</f>
        <v>MXN</v>
      </c>
      <c r="N1071" s="33">
        <f>(_xlfn.XLOOKUP(Pipeline_tbl[[#This Row],[Rate_Code_Generalized]],Lookups!A:A,Lookups!B:B))*Pipeline_tbl[[#This Row],[Pipeline_Amount_USD]]</f>
        <v>303883.58</v>
      </c>
      <c r="O1071" t="str">
        <f>_xlfn.XLOOKUP(Pipeline_tbl[[#This Row],[Rep_ID]],Dim_Reps!A:A,Dim_Reps!B:B)</f>
        <v>Noah Kim</v>
      </c>
      <c r="P1071" t="str">
        <f>_xlfn.XLOOKUP(Pipeline_tbl[[#This Row],[Rep_ID]],Dim_Reps!A:A,Dim_Reps!C:C)</f>
        <v>Enterprise AE</v>
      </c>
      <c r="Q1071" t="str">
        <f>_xlfn.XLOOKUP(Pipeline_tbl[[#This Row],[Rep_ID]],Dim_Reps!A:A,Dim_Reps!D:D)</f>
        <v>Enterprise</v>
      </c>
      <c r="R1071" t="str">
        <f>_xlfn.XLOOKUP(Pipeline_tbl[[#This Row],[Rep_ID]],Dim_Reps!A:A,Dim_Reps!E:E)</f>
        <v>LATAM</v>
      </c>
      <c r="S1071" t="str">
        <f>_xlfn.XLOOKUP(Pipeline_tbl[[#This Row],[Created_Date]],Dim_Date!A:A,Dim_Date!H:H)</f>
        <v>Oct 2024</v>
      </c>
      <c r="T1071" t="str">
        <f>IF(Pipeline_tbl[[#This Row],[Closed_Date]]=0,"",(_xlfn.XLOOKUP(Pipeline_tbl[[#This Row],[Closed_Date]],Dim_Date!A:A,Dim_Date!H:H)))</f>
        <v>Jan 2025</v>
      </c>
      <c r="U1071">
        <f>IF(Pipeline_tbl[[#This Row],[Closed_Date]]=0,"",Pipeline_tbl[[#This Row],[Closed_Date]]-Pipeline_tbl[[#This Row],[Created_Date]])</f>
        <v>63</v>
      </c>
    </row>
    <row r="1072" spans="1:21" ht="15" customHeight="1" x14ac:dyDescent="0.2">
      <c r="A1072" t="s">
        <v>1378</v>
      </c>
      <c r="B1072" t="s">
        <v>185</v>
      </c>
      <c r="C1072" t="s">
        <v>52</v>
      </c>
      <c r="D1072" s="49">
        <v>45583</v>
      </c>
      <c r="E1072" s="49">
        <v>45592</v>
      </c>
      <c r="F1072" s="49">
        <v>45610</v>
      </c>
      <c r="G1072" s="49">
        <v>45636</v>
      </c>
      <c r="I1072" s="49">
        <v>45672</v>
      </c>
      <c r="J1072" t="s">
        <v>49</v>
      </c>
      <c r="K1072" s="33">
        <v>26500</v>
      </c>
      <c r="L1072" t="s">
        <v>62</v>
      </c>
      <c r="M1072" t="str">
        <f>_xlfn.XLOOKUP(Pipeline_tbl[[#This Row],[Rep_ID]],Dim_Reps!A:A,Dim_Reps!K:K)</f>
        <v>MXN</v>
      </c>
      <c r="N1072" s="33">
        <f>(_xlfn.XLOOKUP(Pipeline_tbl[[#This Row],[Rate_Code_Generalized]],Lookups!A:A,Lookups!B:B))*Pipeline_tbl[[#This Row],[Pipeline_Amount_USD]]</f>
        <v>522916.55000000005</v>
      </c>
      <c r="O1072" t="str">
        <f>_xlfn.XLOOKUP(Pipeline_tbl[[#This Row],[Rep_ID]],Dim_Reps!A:A,Dim_Reps!B:B)</f>
        <v>Noah Kim</v>
      </c>
      <c r="P1072" t="str">
        <f>_xlfn.XLOOKUP(Pipeline_tbl[[#This Row],[Rep_ID]],Dim_Reps!A:A,Dim_Reps!C:C)</f>
        <v>Enterprise AE</v>
      </c>
      <c r="Q1072" t="str">
        <f>_xlfn.XLOOKUP(Pipeline_tbl[[#This Row],[Rep_ID]],Dim_Reps!A:A,Dim_Reps!D:D)</f>
        <v>Enterprise</v>
      </c>
      <c r="R1072" t="str">
        <f>_xlfn.XLOOKUP(Pipeline_tbl[[#This Row],[Rep_ID]],Dim_Reps!A:A,Dim_Reps!E:E)</f>
        <v>LATAM</v>
      </c>
      <c r="S1072" t="str">
        <f>_xlfn.XLOOKUP(Pipeline_tbl[[#This Row],[Created_Date]],Dim_Date!A:A,Dim_Date!H:H)</f>
        <v>Oct 2024</v>
      </c>
      <c r="T1072" t="str">
        <f>IF(Pipeline_tbl[[#This Row],[Closed_Date]]=0,"",(_xlfn.XLOOKUP(Pipeline_tbl[[#This Row],[Closed_Date]],Dim_Date!A:A,Dim_Date!H:H)))</f>
        <v>Jan 2025</v>
      </c>
      <c r="U1072">
        <f>IF(Pipeline_tbl[[#This Row],[Closed_Date]]=0,"",Pipeline_tbl[[#This Row],[Closed_Date]]-Pipeline_tbl[[#This Row],[Created_Date]])</f>
        <v>89</v>
      </c>
    </row>
    <row r="1073" spans="1:21" ht="15" customHeight="1" x14ac:dyDescent="0.2">
      <c r="A1073" t="s">
        <v>1379</v>
      </c>
      <c r="B1073" t="s">
        <v>185</v>
      </c>
      <c r="C1073" t="s">
        <v>55</v>
      </c>
      <c r="D1073" s="49">
        <v>45589</v>
      </c>
      <c r="E1073" s="49">
        <v>45597</v>
      </c>
      <c r="F1073" s="49">
        <v>45612</v>
      </c>
      <c r="G1073" s="49">
        <v>45635</v>
      </c>
      <c r="H1073" s="49">
        <v>45654</v>
      </c>
      <c r="I1073" s="49">
        <v>45665</v>
      </c>
      <c r="J1073" t="s">
        <v>47</v>
      </c>
      <c r="K1073" s="33">
        <v>49100</v>
      </c>
      <c r="M1073" t="str">
        <f>_xlfn.XLOOKUP(Pipeline_tbl[[#This Row],[Rep_ID]],Dim_Reps!A:A,Dim_Reps!K:K)</f>
        <v>MXN</v>
      </c>
      <c r="N1073" s="33">
        <f>(_xlfn.XLOOKUP(Pipeline_tbl[[#This Row],[Rate_Code_Generalized]],Lookups!A:A,Lookups!B:B))*Pipeline_tbl[[#This Row],[Pipeline_Amount_USD]]</f>
        <v>968875.57000000007</v>
      </c>
      <c r="O1073" t="str">
        <f>_xlfn.XLOOKUP(Pipeline_tbl[[#This Row],[Rep_ID]],Dim_Reps!A:A,Dim_Reps!B:B)</f>
        <v>Noah Kim</v>
      </c>
      <c r="P1073" t="str">
        <f>_xlfn.XLOOKUP(Pipeline_tbl[[#This Row],[Rep_ID]],Dim_Reps!A:A,Dim_Reps!C:C)</f>
        <v>Enterprise AE</v>
      </c>
      <c r="Q1073" t="str">
        <f>_xlfn.XLOOKUP(Pipeline_tbl[[#This Row],[Rep_ID]],Dim_Reps!A:A,Dim_Reps!D:D)</f>
        <v>Enterprise</v>
      </c>
      <c r="R1073" t="str">
        <f>_xlfn.XLOOKUP(Pipeline_tbl[[#This Row],[Rep_ID]],Dim_Reps!A:A,Dim_Reps!E:E)</f>
        <v>LATAM</v>
      </c>
      <c r="S1073" t="str">
        <f>_xlfn.XLOOKUP(Pipeline_tbl[[#This Row],[Created_Date]],Dim_Date!A:A,Dim_Date!H:H)</f>
        <v>Oct 2024</v>
      </c>
      <c r="T1073" t="str">
        <f>IF(Pipeline_tbl[[#This Row],[Closed_Date]]=0,"",(_xlfn.XLOOKUP(Pipeline_tbl[[#This Row],[Closed_Date]],Dim_Date!A:A,Dim_Date!H:H)))</f>
        <v>Jan 2025</v>
      </c>
      <c r="U1073">
        <f>IF(Pipeline_tbl[[#This Row],[Closed_Date]]=0,"",Pipeline_tbl[[#This Row],[Closed_Date]]-Pipeline_tbl[[#This Row],[Created_Date]])</f>
        <v>76</v>
      </c>
    </row>
    <row r="1074" spans="1:21" ht="15" customHeight="1" x14ac:dyDescent="0.2">
      <c r="A1074" t="s">
        <v>1380</v>
      </c>
      <c r="B1074" t="s">
        <v>188</v>
      </c>
      <c r="C1074" t="s">
        <v>56</v>
      </c>
      <c r="D1074" s="49">
        <v>45576</v>
      </c>
      <c r="E1074" s="49">
        <v>45585</v>
      </c>
      <c r="F1074" s="49">
        <v>45603</v>
      </c>
      <c r="G1074" s="49">
        <v>45629</v>
      </c>
      <c r="H1074" s="49">
        <v>45652</v>
      </c>
      <c r="I1074" s="49">
        <v>45665</v>
      </c>
      <c r="J1074" t="s">
        <v>49</v>
      </c>
      <c r="K1074" s="33">
        <v>20900</v>
      </c>
      <c r="L1074" t="s">
        <v>62</v>
      </c>
      <c r="M1074" t="str">
        <f>_xlfn.XLOOKUP(Pipeline_tbl[[#This Row],[Rep_ID]],Dim_Reps!A:A,Dim_Reps!K:K)</f>
        <v>EUR</v>
      </c>
      <c r="N1074" s="33">
        <f>(_xlfn.XLOOKUP(Pipeline_tbl[[#This Row],[Rate_Code_Generalized]],Lookups!A:A,Lookups!B:B))*Pipeline_tbl[[#This Row],[Pipeline_Amount_USD]]</f>
        <v>20900</v>
      </c>
      <c r="O1074" t="str">
        <f>_xlfn.XLOOKUP(Pipeline_tbl[[#This Row],[Rep_ID]],Dim_Reps!A:A,Dim_Reps!B:B)</f>
        <v>Jamie Santos</v>
      </c>
      <c r="P1074" t="str">
        <f>_xlfn.XLOOKUP(Pipeline_tbl[[#This Row],[Rep_ID]],Dim_Reps!A:A,Dim_Reps!C:C)</f>
        <v>Enterprise AE</v>
      </c>
      <c r="Q1074" t="str">
        <f>_xlfn.XLOOKUP(Pipeline_tbl[[#This Row],[Rep_ID]],Dim_Reps!A:A,Dim_Reps!D:D)</f>
        <v>Enterprise</v>
      </c>
      <c r="R1074" t="str">
        <f>_xlfn.XLOOKUP(Pipeline_tbl[[#This Row],[Rep_ID]],Dim_Reps!A:A,Dim_Reps!E:E)</f>
        <v>APAC</v>
      </c>
      <c r="S1074" t="str">
        <f>_xlfn.XLOOKUP(Pipeline_tbl[[#This Row],[Created_Date]],Dim_Date!A:A,Dim_Date!H:H)</f>
        <v>Oct 2024</v>
      </c>
      <c r="T1074" t="str">
        <f>IF(Pipeline_tbl[[#This Row],[Closed_Date]]=0,"",(_xlfn.XLOOKUP(Pipeline_tbl[[#This Row],[Closed_Date]],Dim_Date!A:A,Dim_Date!H:H)))</f>
        <v>Jan 2025</v>
      </c>
      <c r="U1074">
        <f>IF(Pipeline_tbl[[#This Row],[Closed_Date]]=0,"",Pipeline_tbl[[#This Row],[Closed_Date]]-Pipeline_tbl[[#This Row],[Created_Date]])</f>
        <v>89</v>
      </c>
    </row>
    <row r="1075" spans="1:21" ht="15" customHeight="1" x14ac:dyDescent="0.2">
      <c r="A1075" t="s">
        <v>1381</v>
      </c>
      <c r="B1075" t="s">
        <v>188</v>
      </c>
      <c r="C1075" t="s">
        <v>56</v>
      </c>
      <c r="D1075" s="49">
        <v>45589</v>
      </c>
      <c r="E1075" s="49">
        <v>45598</v>
      </c>
      <c r="F1075" s="49">
        <v>45616</v>
      </c>
      <c r="G1075" s="49">
        <v>45642</v>
      </c>
      <c r="I1075" s="49">
        <v>45678</v>
      </c>
      <c r="J1075" t="s">
        <v>49</v>
      </c>
      <c r="K1075" s="33">
        <v>28200</v>
      </c>
      <c r="L1075" t="s">
        <v>64</v>
      </c>
      <c r="M1075" t="str">
        <f>_xlfn.XLOOKUP(Pipeline_tbl[[#This Row],[Rep_ID]],Dim_Reps!A:A,Dim_Reps!K:K)</f>
        <v>EUR</v>
      </c>
      <c r="N1075" s="33">
        <f>(_xlfn.XLOOKUP(Pipeline_tbl[[#This Row],[Rate_Code_Generalized]],Lookups!A:A,Lookups!B:B))*Pipeline_tbl[[#This Row],[Pipeline_Amount_USD]]</f>
        <v>28200</v>
      </c>
      <c r="O1075" t="str">
        <f>_xlfn.XLOOKUP(Pipeline_tbl[[#This Row],[Rep_ID]],Dim_Reps!A:A,Dim_Reps!B:B)</f>
        <v>Jamie Santos</v>
      </c>
      <c r="P1075" t="str">
        <f>_xlfn.XLOOKUP(Pipeline_tbl[[#This Row],[Rep_ID]],Dim_Reps!A:A,Dim_Reps!C:C)</f>
        <v>Enterprise AE</v>
      </c>
      <c r="Q1075" t="str">
        <f>_xlfn.XLOOKUP(Pipeline_tbl[[#This Row],[Rep_ID]],Dim_Reps!A:A,Dim_Reps!D:D)</f>
        <v>Enterprise</v>
      </c>
      <c r="R1075" t="str">
        <f>_xlfn.XLOOKUP(Pipeline_tbl[[#This Row],[Rep_ID]],Dim_Reps!A:A,Dim_Reps!E:E)</f>
        <v>APAC</v>
      </c>
      <c r="S1075" t="str">
        <f>_xlfn.XLOOKUP(Pipeline_tbl[[#This Row],[Created_Date]],Dim_Date!A:A,Dim_Date!H:H)</f>
        <v>Oct 2024</v>
      </c>
      <c r="T1075" t="str">
        <f>IF(Pipeline_tbl[[#This Row],[Closed_Date]]=0,"",(_xlfn.XLOOKUP(Pipeline_tbl[[#This Row],[Closed_Date]],Dim_Date!A:A,Dim_Date!H:H)))</f>
        <v>Jan 2025</v>
      </c>
      <c r="U1075">
        <f>IF(Pipeline_tbl[[#This Row],[Closed_Date]]=0,"",Pipeline_tbl[[#This Row],[Closed_Date]]-Pipeline_tbl[[#This Row],[Created_Date]])</f>
        <v>89</v>
      </c>
    </row>
    <row r="1076" spans="1:21" ht="15" customHeight="1" x14ac:dyDescent="0.2">
      <c r="A1076" t="s">
        <v>1382</v>
      </c>
      <c r="B1076" t="s">
        <v>280</v>
      </c>
      <c r="C1076" t="s">
        <v>53</v>
      </c>
      <c r="D1076" s="49">
        <v>45575</v>
      </c>
      <c r="E1076" s="49">
        <v>45584</v>
      </c>
      <c r="F1076" s="49">
        <v>45601</v>
      </c>
      <c r="G1076" s="49">
        <v>45628</v>
      </c>
      <c r="H1076" s="49">
        <v>45650</v>
      </c>
      <c r="I1076" s="49">
        <v>45663</v>
      </c>
      <c r="J1076" t="s">
        <v>47</v>
      </c>
      <c r="K1076" s="33">
        <v>32000</v>
      </c>
      <c r="M1076" t="str">
        <f>_xlfn.XLOOKUP(Pipeline_tbl[[#This Row],[Rep_ID]],Dim_Reps!A:A,Dim_Reps!K:K)</f>
        <v>MXN</v>
      </c>
      <c r="N1076" s="33">
        <f>(_xlfn.XLOOKUP(Pipeline_tbl[[#This Row],[Rate_Code_Generalized]],Lookups!A:A,Lookups!B:B))*Pipeline_tbl[[#This Row],[Pipeline_Amount_USD]]</f>
        <v>631446.4</v>
      </c>
      <c r="O1076" t="str">
        <f>_xlfn.XLOOKUP(Pipeline_tbl[[#This Row],[Rep_ID]],Dim_Reps!A:A,Dim_Reps!B:B)</f>
        <v>Cameron Lund</v>
      </c>
      <c r="P1076" t="str">
        <f>_xlfn.XLOOKUP(Pipeline_tbl[[#This Row],[Rep_ID]],Dim_Reps!A:A,Dim_Reps!C:C)</f>
        <v>Senior Enterprise AE</v>
      </c>
      <c r="Q1076" t="str">
        <f>_xlfn.XLOOKUP(Pipeline_tbl[[#This Row],[Rep_ID]],Dim_Reps!A:A,Dim_Reps!D:D)</f>
        <v>Strategic</v>
      </c>
      <c r="R1076" t="str">
        <f>_xlfn.XLOOKUP(Pipeline_tbl[[#This Row],[Rep_ID]],Dim_Reps!A:A,Dim_Reps!E:E)</f>
        <v>LATAM</v>
      </c>
      <c r="S1076" t="str">
        <f>_xlfn.XLOOKUP(Pipeline_tbl[[#This Row],[Created_Date]],Dim_Date!A:A,Dim_Date!H:H)</f>
        <v>Oct 2024</v>
      </c>
      <c r="T1076" t="str">
        <f>IF(Pipeline_tbl[[#This Row],[Closed_Date]]=0,"",(_xlfn.XLOOKUP(Pipeline_tbl[[#This Row],[Closed_Date]],Dim_Date!A:A,Dim_Date!H:H)))</f>
        <v>Jan 2025</v>
      </c>
      <c r="U1076">
        <f>IF(Pipeline_tbl[[#This Row],[Closed_Date]]=0,"",Pipeline_tbl[[#This Row],[Closed_Date]]-Pipeline_tbl[[#This Row],[Created_Date]])</f>
        <v>88</v>
      </c>
    </row>
    <row r="1077" spans="1:21" ht="15" customHeight="1" x14ac:dyDescent="0.2">
      <c r="A1077" t="s">
        <v>1383</v>
      </c>
      <c r="B1077" t="s">
        <v>280</v>
      </c>
      <c r="C1077" t="s">
        <v>56</v>
      </c>
      <c r="D1077" s="49">
        <v>45593</v>
      </c>
      <c r="E1077" s="49">
        <v>45601</v>
      </c>
      <c r="F1077" s="49">
        <v>45617</v>
      </c>
      <c r="G1077" s="49">
        <v>45642</v>
      </c>
      <c r="H1077" s="49">
        <v>45662</v>
      </c>
      <c r="I1077" s="49">
        <v>45674</v>
      </c>
      <c r="J1077" t="s">
        <v>47</v>
      </c>
      <c r="K1077" s="33">
        <v>34200</v>
      </c>
      <c r="M1077" t="str">
        <f>_xlfn.XLOOKUP(Pipeline_tbl[[#This Row],[Rep_ID]],Dim_Reps!A:A,Dim_Reps!K:K)</f>
        <v>MXN</v>
      </c>
      <c r="N1077" s="33">
        <f>(_xlfn.XLOOKUP(Pipeline_tbl[[#This Row],[Rate_Code_Generalized]],Lookups!A:A,Lookups!B:B))*Pipeline_tbl[[#This Row],[Pipeline_Amount_USD]]</f>
        <v>674858.34000000008</v>
      </c>
      <c r="O1077" t="str">
        <f>_xlfn.XLOOKUP(Pipeline_tbl[[#This Row],[Rep_ID]],Dim_Reps!A:A,Dim_Reps!B:B)</f>
        <v>Cameron Lund</v>
      </c>
      <c r="P1077" t="str">
        <f>_xlfn.XLOOKUP(Pipeline_tbl[[#This Row],[Rep_ID]],Dim_Reps!A:A,Dim_Reps!C:C)</f>
        <v>Senior Enterprise AE</v>
      </c>
      <c r="Q1077" t="str">
        <f>_xlfn.XLOOKUP(Pipeline_tbl[[#This Row],[Rep_ID]],Dim_Reps!A:A,Dim_Reps!D:D)</f>
        <v>Strategic</v>
      </c>
      <c r="R1077" t="str">
        <f>_xlfn.XLOOKUP(Pipeline_tbl[[#This Row],[Rep_ID]],Dim_Reps!A:A,Dim_Reps!E:E)</f>
        <v>LATAM</v>
      </c>
      <c r="S1077" t="str">
        <f>_xlfn.XLOOKUP(Pipeline_tbl[[#This Row],[Created_Date]],Dim_Date!A:A,Dim_Date!H:H)</f>
        <v>Oct 2024</v>
      </c>
      <c r="T1077" t="str">
        <f>IF(Pipeline_tbl[[#This Row],[Closed_Date]]=0,"",(_xlfn.XLOOKUP(Pipeline_tbl[[#This Row],[Closed_Date]],Dim_Date!A:A,Dim_Date!H:H)))</f>
        <v>Jan 2025</v>
      </c>
      <c r="U1077">
        <f>IF(Pipeline_tbl[[#This Row],[Closed_Date]]=0,"",Pipeline_tbl[[#This Row],[Closed_Date]]-Pipeline_tbl[[#This Row],[Created_Date]])</f>
        <v>81</v>
      </c>
    </row>
    <row r="1078" spans="1:21" ht="15" customHeight="1" x14ac:dyDescent="0.2">
      <c r="A1078" t="s">
        <v>1384</v>
      </c>
      <c r="B1078" t="s">
        <v>280</v>
      </c>
      <c r="C1078" t="s">
        <v>52</v>
      </c>
      <c r="D1078" s="49">
        <v>45580</v>
      </c>
      <c r="E1078" s="49">
        <v>45589</v>
      </c>
      <c r="F1078" s="49">
        <v>45607</v>
      </c>
      <c r="G1078" s="49">
        <v>45633</v>
      </c>
      <c r="I1078" s="49">
        <v>45669</v>
      </c>
      <c r="J1078" t="s">
        <v>49</v>
      </c>
      <c r="K1078" s="33">
        <v>51400</v>
      </c>
      <c r="L1078" t="s">
        <v>61</v>
      </c>
      <c r="M1078" t="str">
        <f>_xlfn.XLOOKUP(Pipeline_tbl[[#This Row],[Rep_ID]],Dim_Reps!A:A,Dim_Reps!K:K)</f>
        <v>MXN</v>
      </c>
      <c r="N1078" s="33">
        <f>(_xlfn.XLOOKUP(Pipeline_tbl[[#This Row],[Rate_Code_Generalized]],Lookups!A:A,Lookups!B:B))*Pipeline_tbl[[#This Row],[Pipeline_Amount_USD]]</f>
        <v>1014260.78</v>
      </c>
      <c r="O1078" t="str">
        <f>_xlfn.XLOOKUP(Pipeline_tbl[[#This Row],[Rep_ID]],Dim_Reps!A:A,Dim_Reps!B:B)</f>
        <v>Cameron Lund</v>
      </c>
      <c r="P1078" t="str">
        <f>_xlfn.XLOOKUP(Pipeline_tbl[[#This Row],[Rep_ID]],Dim_Reps!A:A,Dim_Reps!C:C)</f>
        <v>Senior Enterprise AE</v>
      </c>
      <c r="Q1078" t="str">
        <f>_xlfn.XLOOKUP(Pipeline_tbl[[#This Row],[Rep_ID]],Dim_Reps!A:A,Dim_Reps!D:D)</f>
        <v>Strategic</v>
      </c>
      <c r="R1078" t="str">
        <f>_xlfn.XLOOKUP(Pipeline_tbl[[#This Row],[Rep_ID]],Dim_Reps!A:A,Dim_Reps!E:E)</f>
        <v>LATAM</v>
      </c>
      <c r="S1078" t="str">
        <f>_xlfn.XLOOKUP(Pipeline_tbl[[#This Row],[Created_Date]],Dim_Date!A:A,Dim_Date!H:H)</f>
        <v>Oct 2024</v>
      </c>
      <c r="T1078" t="str">
        <f>IF(Pipeline_tbl[[#This Row],[Closed_Date]]=0,"",(_xlfn.XLOOKUP(Pipeline_tbl[[#This Row],[Closed_Date]],Dim_Date!A:A,Dim_Date!H:H)))</f>
        <v>Jan 2025</v>
      </c>
      <c r="U1078">
        <f>IF(Pipeline_tbl[[#This Row],[Closed_Date]]=0,"",Pipeline_tbl[[#This Row],[Closed_Date]]-Pipeline_tbl[[#This Row],[Created_Date]])</f>
        <v>89</v>
      </c>
    </row>
    <row r="1079" spans="1:21" ht="15" customHeight="1" x14ac:dyDescent="0.2">
      <c r="A1079" t="s">
        <v>1385</v>
      </c>
      <c r="B1079" t="s">
        <v>282</v>
      </c>
      <c r="C1079" t="s">
        <v>53</v>
      </c>
      <c r="D1079" s="49">
        <v>45574</v>
      </c>
      <c r="E1079" s="49">
        <v>45582</v>
      </c>
      <c r="F1079" s="49">
        <v>45599</v>
      </c>
      <c r="G1079" s="49">
        <v>45624</v>
      </c>
      <c r="H1079" s="49">
        <v>45645</v>
      </c>
      <c r="I1079" s="49">
        <v>45658</v>
      </c>
      <c r="J1079" t="s">
        <v>47</v>
      </c>
      <c r="K1079" s="33">
        <v>170900</v>
      </c>
      <c r="M1079" t="str">
        <f>_xlfn.XLOOKUP(Pipeline_tbl[[#This Row],[Rep_ID]],Dim_Reps!A:A,Dim_Reps!K:K)</f>
        <v>USD</v>
      </c>
      <c r="N1079" s="33">
        <f>(_xlfn.XLOOKUP(Pipeline_tbl[[#This Row],[Rate_Code_Generalized]],Lookups!A:A,Lookups!B:B))*Pipeline_tbl[[#This Row],[Pipeline_Amount_USD]]</f>
        <v>198978.87</v>
      </c>
      <c r="O1079" t="str">
        <f>_xlfn.XLOOKUP(Pipeline_tbl[[#This Row],[Rep_ID]],Dim_Reps!A:A,Dim_Reps!B:B)</f>
        <v>Fatima Rossi</v>
      </c>
      <c r="P1079" t="str">
        <f>_xlfn.XLOOKUP(Pipeline_tbl[[#This Row],[Rep_ID]],Dim_Reps!A:A,Dim_Reps!C:C)</f>
        <v>Senior Enterprise AE</v>
      </c>
      <c r="Q1079" t="str">
        <f>_xlfn.XLOOKUP(Pipeline_tbl[[#This Row],[Rep_ID]],Dim_Reps!A:A,Dim_Reps!D:D)</f>
        <v>Strategic</v>
      </c>
      <c r="R1079" t="str">
        <f>_xlfn.XLOOKUP(Pipeline_tbl[[#This Row],[Rep_ID]],Dim_Reps!A:A,Dim_Reps!E:E)</f>
        <v>NAMER</v>
      </c>
      <c r="S1079" t="str">
        <f>_xlfn.XLOOKUP(Pipeline_tbl[[#This Row],[Created_Date]],Dim_Date!A:A,Dim_Date!H:H)</f>
        <v>Oct 2024</v>
      </c>
      <c r="T1079" t="str">
        <f>IF(Pipeline_tbl[[#This Row],[Closed_Date]]=0,"",(_xlfn.XLOOKUP(Pipeline_tbl[[#This Row],[Closed_Date]],Dim_Date!A:A,Dim_Date!H:H)))</f>
        <v>Jan 2025</v>
      </c>
      <c r="U1079">
        <f>IF(Pipeline_tbl[[#This Row],[Closed_Date]]=0,"",Pipeline_tbl[[#This Row],[Closed_Date]]-Pipeline_tbl[[#This Row],[Created_Date]])</f>
        <v>84</v>
      </c>
    </row>
    <row r="1080" spans="1:21" ht="15" customHeight="1" x14ac:dyDescent="0.2">
      <c r="A1080" t="s">
        <v>1386</v>
      </c>
      <c r="B1080" t="s">
        <v>191</v>
      </c>
      <c r="C1080" t="s">
        <v>52</v>
      </c>
      <c r="D1080" s="49">
        <v>45583</v>
      </c>
      <c r="E1080" s="49">
        <v>45591</v>
      </c>
      <c r="F1080" s="49">
        <v>45607</v>
      </c>
      <c r="I1080" s="49">
        <v>45662</v>
      </c>
      <c r="J1080" t="s">
        <v>49</v>
      </c>
      <c r="K1080" s="33">
        <v>38900</v>
      </c>
      <c r="L1080" t="s">
        <v>60</v>
      </c>
      <c r="M1080" t="str">
        <f>_xlfn.XLOOKUP(Pipeline_tbl[[#This Row],[Rep_ID]],Dim_Reps!A:A,Dim_Reps!K:K)</f>
        <v>USD</v>
      </c>
      <c r="N1080" s="33">
        <f>(_xlfn.XLOOKUP(Pipeline_tbl[[#This Row],[Rate_Code_Generalized]],Lookups!A:A,Lookups!B:B))*Pipeline_tbl[[#This Row],[Pipeline_Amount_USD]]</f>
        <v>45291.27</v>
      </c>
      <c r="O1080" t="str">
        <f>_xlfn.XLOOKUP(Pipeline_tbl[[#This Row],[Rep_ID]],Dim_Reps!A:A,Dim_Reps!B:B)</f>
        <v>Zara Duarte</v>
      </c>
      <c r="P1080" t="str">
        <f>_xlfn.XLOOKUP(Pipeline_tbl[[#This Row],[Rep_ID]],Dim_Reps!A:A,Dim_Reps!C:C)</f>
        <v>Enterprise AE</v>
      </c>
      <c r="Q1080" t="str">
        <f>_xlfn.XLOOKUP(Pipeline_tbl[[#This Row],[Rep_ID]],Dim_Reps!A:A,Dim_Reps!D:D)</f>
        <v>Enterprise</v>
      </c>
      <c r="R1080" t="str">
        <f>_xlfn.XLOOKUP(Pipeline_tbl[[#This Row],[Rep_ID]],Dim_Reps!A:A,Dim_Reps!E:E)</f>
        <v>NAMER</v>
      </c>
      <c r="S1080" t="str">
        <f>_xlfn.XLOOKUP(Pipeline_tbl[[#This Row],[Created_Date]],Dim_Date!A:A,Dim_Date!H:H)</f>
        <v>Oct 2024</v>
      </c>
      <c r="T1080" t="str">
        <f>IF(Pipeline_tbl[[#This Row],[Closed_Date]]=0,"",(_xlfn.XLOOKUP(Pipeline_tbl[[#This Row],[Closed_Date]],Dim_Date!A:A,Dim_Date!H:H)))</f>
        <v>Jan 2025</v>
      </c>
      <c r="U1080">
        <f>IF(Pipeline_tbl[[#This Row],[Closed_Date]]=0,"",Pipeline_tbl[[#This Row],[Closed_Date]]-Pipeline_tbl[[#This Row],[Created_Date]])</f>
        <v>79</v>
      </c>
    </row>
    <row r="1081" spans="1:21" ht="15" customHeight="1" x14ac:dyDescent="0.2">
      <c r="A1081" t="s">
        <v>1387</v>
      </c>
      <c r="B1081" t="s">
        <v>191</v>
      </c>
      <c r="C1081" t="s">
        <v>53</v>
      </c>
      <c r="D1081" s="49">
        <v>45584</v>
      </c>
      <c r="E1081" s="49">
        <v>45592</v>
      </c>
      <c r="F1081" s="49">
        <v>45607</v>
      </c>
      <c r="G1081" s="49">
        <v>45630</v>
      </c>
      <c r="H1081" s="49">
        <v>45649</v>
      </c>
      <c r="I1081" s="49">
        <v>45661</v>
      </c>
      <c r="J1081" t="s">
        <v>49</v>
      </c>
      <c r="K1081" s="33">
        <v>37600</v>
      </c>
      <c r="L1081" t="s">
        <v>61</v>
      </c>
      <c r="M1081" t="str">
        <f>_xlfn.XLOOKUP(Pipeline_tbl[[#This Row],[Rep_ID]],Dim_Reps!A:A,Dim_Reps!K:K)</f>
        <v>USD</v>
      </c>
      <c r="N1081" s="33">
        <f>(_xlfn.XLOOKUP(Pipeline_tbl[[#This Row],[Rate_Code_Generalized]],Lookups!A:A,Lookups!B:B))*Pipeline_tbl[[#This Row],[Pipeline_Amount_USD]]</f>
        <v>43777.679999999993</v>
      </c>
      <c r="O1081" t="str">
        <f>_xlfn.XLOOKUP(Pipeline_tbl[[#This Row],[Rep_ID]],Dim_Reps!A:A,Dim_Reps!B:B)</f>
        <v>Zara Duarte</v>
      </c>
      <c r="P1081" t="str">
        <f>_xlfn.XLOOKUP(Pipeline_tbl[[#This Row],[Rep_ID]],Dim_Reps!A:A,Dim_Reps!C:C)</f>
        <v>Enterprise AE</v>
      </c>
      <c r="Q1081" t="str">
        <f>_xlfn.XLOOKUP(Pipeline_tbl[[#This Row],[Rep_ID]],Dim_Reps!A:A,Dim_Reps!D:D)</f>
        <v>Enterprise</v>
      </c>
      <c r="R1081" t="str">
        <f>_xlfn.XLOOKUP(Pipeline_tbl[[#This Row],[Rep_ID]],Dim_Reps!A:A,Dim_Reps!E:E)</f>
        <v>NAMER</v>
      </c>
      <c r="S1081" t="str">
        <f>_xlfn.XLOOKUP(Pipeline_tbl[[#This Row],[Created_Date]],Dim_Date!A:A,Dim_Date!H:H)</f>
        <v>Oct 2024</v>
      </c>
      <c r="T1081" t="str">
        <f>IF(Pipeline_tbl[[#This Row],[Closed_Date]]=0,"",(_xlfn.XLOOKUP(Pipeline_tbl[[#This Row],[Closed_Date]],Dim_Date!A:A,Dim_Date!H:H)))</f>
        <v>Jan 2025</v>
      </c>
      <c r="U1081">
        <f>IF(Pipeline_tbl[[#This Row],[Closed_Date]]=0,"",Pipeline_tbl[[#This Row],[Closed_Date]]-Pipeline_tbl[[#This Row],[Created_Date]])</f>
        <v>77</v>
      </c>
    </row>
    <row r="1082" spans="1:21" ht="15" customHeight="1" x14ac:dyDescent="0.2">
      <c r="A1082" t="s">
        <v>1388</v>
      </c>
      <c r="B1082" t="s">
        <v>284</v>
      </c>
      <c r="C1082" t="s">
        <v>56</v>
      </c>
      <c r="D1082" s="49">
        <v>45575</v>
      </c>
      <c r="E1082" s="49">
        <v>45585</v>
      </c>
      <c r="F1082" s="49">
        <v>45606</v>
      </c>
      <c r="G1082" s="49">
        <v>45637</v>
      </c>
      <c r="I1082" s="49">
        <v>45679</v>
      </c>
      <c r="J1082" t="s">
        <v>49</v>
      </c>
      <c r="K1082" s="33">
        <v>64900</v>
      </c>
      <c r="L1082" t="s">
        <v>63</v>
      </c>
      <c r="M1082" t="str">
        <f>_xlfn.XLOOKUP(Pipeline_tbl[[#This Row],[Rep_ID]],Dim_Reps!A:A,Dim_Reps!K:K)</f>
        <v>USD</v>
      </c>
      <c r="N1082" s="33">
        <f>(_xlfn.XLOOKUP(Pipeline_tbl[[#This Row],[Rate_Code_Generalized]],Lookups!A:A,Lookups!B:B))*Pipeline_tbl[[#This Row],[Pipeline_Amount_USD]]</f>
        <v>75563.069999999992</v>
      </c>
      <c r="O1082" t="str">
        <f>_xlfn.XLOOKUP(Pipeline_tbl[[#This Row],[Rep_ID]],Dim_Reps!A:A,Dim_Reps!B:B)</f>
        <v>Taylor Adler</v>
      </c>
      <c r="P1082" t="str">
        <f>_xlfn.XLOOKUP(Pipeline_tbl[[#This Row],[Rep_ID]],Dim_Reps!A:A,Dim_Reps!C:C)</f>
        <v>Senior Enterprise AE</v>
      </c>
      <c r="Q1082" t="str">
        <f>_xlfn.XLOOKUP(Pipeline_tbl[[#This Row],[Rep_ID]],Dim_Reps!A:A,Dim_Reps!D:D)</f>
        <v>Strategic</v>
      </c>
      <c r="R1082" t="str">
        <f>_xlfn.XLOOKUP(Pipeline_tbl[[#This Row],[Rep_ID]],Dim_Reps!A:A,Dim_Reps!E:E)</f>
        <v>NAMER</v>
      </c>
      <c r="S1082" t="str">
        <f>_xlfn.XLOOKUP(Pipeline_tbl[[#This Row],[Created_Date]],Dim_Date!A:A,Dim_Date!H:H)</f>
        <v>Oct 2024</v>
      </c>
      <c r="T1082" t="str">
        <f>IF(Pipeline_tbl[[#This Row],[Closed_Date]]=0,"",(_xlfn.XLOOKUP(Pipeline_tbl[[#This Row],[Closed_Date]],Dim_Date!A:A,Dim_Date!H:H)))</f>
        <v>Jan 2025</v>
      </c>
      <c r="U1082">
        <f>IF(Pipeline_tbl[[#This Row],[Closed_Date]]=0,"",Pipeline_tbl[[#This Row],[Closed_Date]]-Pipeline_tbl[[#This Row],[Created_Date]])</f>
        <v>104</v>
      </c>
    </row>
    <row r="1083" spans="1:21" ht="15" customHeight="1" x14ac:dyDescent="0.2">
      <c r="A1083" t="s">
        <v>1389</v>
      </c>
      <c r="B1083" t="s">
        <v>193</v>
      </c>
      <c r="C1083" t="s">
        <v>54</v>
      </c>
      <c r="D1083" s="49">
        <v>45594</v>
      </c>
      <c r="E1083" s="49">
        <v>45596</v>
      </c>
      <c r="F1083" s="49">
        <v>45601</v>
      </c>
      <c r="G1083" s="49">
        <v>45607</v>
      </c>
      <c r="H1083" s="49">
        <v>45613</v>
      </c>
      <c r="I1083" s="49">
        <v>45616</v>
      </c>
      <c r="J1083" t="s">
        <v>47</v>
      </c>
      <c r="K1083" s="33">
        <v>2500</v>
      </c>
      <c r="M1083" t="str">
        <f>_xlfn.XLOOKUP(Pipeline_tbl[[#This Row],[Rep_ID]],Dim_Reps!A:A,Dim_Reps!K:K)</f>
        <v>USD</v>
      </c>
      <c r="N1083" s="33">
        <f>(_xlfn.XLOOKUP(Pipeline_tbl[[#This Row],[Rate_Code_Generalized]],Lookups!A:A,Lookups!B:B))*Pipeline_tbl[[#This Row],[Pipeline_Amount_USD]]</f>
        <v>2910.7499999999995</v>
      </c>
      <c r="O1083" t="str">
        <f>_xlfn.XLOOKUP(Pipeline_tbl[[#This Row],[Rep_ID]],Dim_Reps!A:A,Dim_Reps!B:B)</f>
        <v>Karim Rossi</v>
      </c>
      <c r="P1083" t="str">
        <f>_xlfn.XLOOKUP(Pipeline_tbl[[#This Row],[Rep_ID]],Dim_Reps!A:A,Dim_Reps!C:C)</f>
        <v>SDR / Inside Sales Rep</v>
      </c>
      <c r="Q1083" t="str">
        <f>_xlfn.XLOOKUP(Pipeline_tbl[[#This Row],[Rep_ID]],Dim_Reps!A:A,Dim_Reps!D:D)</f>
        <v>Inside Sales</v>
      </c>
      <c r="R1083" t="str">
        <f>_xlfn.XLOOKUP(Pipeline_tbl[[#This Row],[Rep_ID]],Dim_Reps!A:A,Dim_Reps!E:E)</f>
        <v>NAMER</v>
      </c>
      <c r="S1083" t="str">
        <f>_xlfn.XLOOKUP(Pipeline_tbl[[#This Row],[Created_Date]],Dim_Date!A:A,Dim_Date!H:H)</f>
        <v>Oct 2024</v>
      </c>
      <c r="T1083" t="str">
        <f>IF(Pipeline_tbl[[#This Row],[Closed_Date]]=0,"",(_xlfn.XLOOKUP(Pipeline_tbl[[#This Row],[Closed_Date]],Dim_Date!A:A,Dim_Date!H:H)))</f>
        <v>Nov 2024</v>
      </c>
      <c r="U1083">
        <f>IF(Pipeline_tbl[[#This Row],[Closed_Date]]=0,"",Pipeline_tbl[[#This Row],[Closed_Date]]-Pipeline_tbl[[#This Row],[Created_Date]])</f>
        <v>22</v>
      </c>
    </row>
    <row r="1084" spans="1:21" ht="15" customHeight="1" x14ac:dyDescent="0.2">
      <c r="A1084" t="s">
        <v>1390</v>
      </c>
      <c r="B1084" t="s">
        <v>193</v>
      </c>
      <c r="C1084" t="s">
        <v>53</v>
      </c>
      <c r="D1084" s="49">
        <v>45583</v>
      </c>
      <c r="E1084" s="49">
        <v>45585</v>
      </c>
      <c r="F1084" s="49">
        <v>45590</v>
      </c>
      <c r="G1084" s="49">
        <v>45597</v>
      </c>
      <c r="H1084" s="49">
        <v>45603</v>
      </c>
      <c r="I1084" s="49">
        <v>45607</v>
      </c>
      <c r="J1084" t="s">
        <v>49</v>
      </c>
      <c r="K1084" s="33">
        <v>4700</v>
      </c>
      <c r="L1084" t="s">
        <v>60</v>
      </c>
      <c r="M1084" t="str">
        <f>_xlfn.XLOOKUP(Pipeline_tbl[[#This Row],[Rep_ID]],Dim_Reps!A:A,Dim_Reps!K:K)</f>
        <v>USD</v>
      </c>
      <c r="N1084" s="33">
        <f>(_xlfn.XLOOKUP(Pipeline_tbl[[#This Row],[Rate_Code_Generalized]],Lookups!A:A,Lookups!B:B))*Pipeline_tbl[[#This Row],[Pipeline_Amount_USD]]</f>
        <v>5472.2099999999991</v>
      </c>
      <c r="O1084" t="str">
        <f>_xlfn.XLOOKUP(Pipeline_tbl[[#This Row],[Rep_ID]],Dim_Reps!A:A,Dim_Reps!B:B)</f>
        <v>Karim Rossi</v>
      </c>
      <c r="P1084" t="str">
        <f>_xlfn.XLOOKUP(Pipeline_tbl[[#This Row],[Rep_ID]],Dim_Reps!A:A,Dim_Reps!C:C)</f>
        <v>SDR / Inside Sales Rep</v>
      </c>
      <c r="Q1084" t="str">
        <f>_xlfn.XLOOKUP(Pipeline_tbl[[#This Row],[Rep_ID]],Dim_Reps!A:A,Dim_Reps!D:D)</f>
        <v>Inside Sales</v>
      </c>
      <c r="R1084" t="str">
        <f>_xlfn.XLOOKUP(Pipeline_tbl[[#This Row],[Rep_ID]],Dim_Reps!A:A,Dim_Reps!E:E)</f>
        <v>NAMER</v>
      </c>
      <c r="S1084" t="str">
        <f>_xlfn.XLOOKUP(Pipeline_tbl[[#This Row],[Created_Date]],Dim_Date!A:A,Dim_Date!H:H)</f>
        <v>Oct 2024</v>
      </c>
      <c r="T1084" t="str">
        <f>IF(Pipeline_tbl[[#This Row],[Closed_Date]]=0,"",(_xlfn.XLOOKUP(Pipeline_tbl[[#This Row],[Closed_Date]],Dim_Date!A:A,Dim_Date!H:H)))</f>
        <v>Nov 2024</v>
      </c>
      <c r="U1084">
        <f>IF(Pipeline_tbl[[#This Row],[Closed_Date]]=0,"",Pipeline_tbl[[#This Row],[Closed_Date]]-Pipeline_tbl[[#This Row],[Created_Date]])</f>
        <v>24</v>
      </c>
    </row>
    <row r="1085" spans="1:21" ht="15" customHeight="1" x14ac:dyDescent="0.2">
      <c r="A1085" t="s">
        <v>1391</v>
      </c>
      <c r="B1085" t="s">
        <v>193</v>
      </c>
      <c r="C1085" t="s">
        <v>52</v>
      </c>
      <c r="D1085" s="49">
        <v>45592</v>
      </c>
      <c r="E1085" s="49">
        <v>45594</v>
      </c>
      <c r="F1085" s="49">
        <v>45597</v>
      </c>
      <c r="G1085" s="49">
        <v>45602</v>
      </c>
      <c r="H1085" s="49">
        <v>45606</v>
      </c>
      <c r="I1085" s="49">
        <v>45608</v>
      </c>
      <c r="J1085" t="s">
        <v>47</v>
      </c>
      <c r="K1085" s="33">
        <v>4500</v>
      </c>
      <c r="M1085" t="str">
        <f>_xlfn.XLOOKUP(Pipeline_tbl[[#This Row],[Rep_ID]],Dim_Reps!A:A,Dim_Reps!K:K)</f>
        <v>USD</v>
      </c>
      <c r="N1085" s="33">
        <f>(_xlfn.XLOOKUP(Pipeline_tbl[[#This Row],[Rate_Code_Generalized]],Lookups!A:A,Lookups!B:B))*Pipeline_tbl[[#This Row],[Pipeline_Amount_USD]]</f>
        <v>5239.3499999999995</v>
      </c>
      <c r="O1085" t="str">
        <f>_xlfn.XLOOKUP(Pipeline_tbl[[#This Row],[Rep_ID]],Dim_Reps!A:A,Dim_Reps!B:B)</f>
        <v>Karim Rossi</v>
      </c>
      <c r="P1085" t="str">
        <f>_xlfn.XLOOKUP(Pipeline_tbl[[#This Row],[Rep_ID]],Dim_Reps!A:A,Dim_Reps!C:C)</f>
        <v>SDR / Inside Sales Rep</v>
      </c>
      <c r="Q1085" t="str">
        <f>_xlfn.XLOOKUP(Pipeline_tbl[[#This Row],[Rep_ID]],Dim_Reps!A:A,Dim_Reps!D:D)</f>
        <v>Inside Sales</v>
      </c>
      <c r="R1085" t="str">
        <f>_xlfn.XLOOKUP(Pipeline_tbl[[#This Row],[Rep_ID]],Dim_Reps!A:A,Dim_Reps!E:E)</f>
        <v>NAMER</v>
      </c>
      <c r="S1085" t="str">
        <f>_xlfn.XLOOKUP(Pipeline_tbl[[#This Row],[Created_Date]],Dim_Date!A:A,Dim_Date!H:H)</f>
        <v>Oct 2024</v>
      </c>
      <c r="T1085" t="str">
        <f>IF(Pipeline_tbl[[#This Row],[Closed_Date]]=0,"",(_xlfn.XLOOKUP(Pipeline_tbl[[#This Row],[Closed_Date]],Dim_Date!A:A,Dim_Date!H:H)))</f>
        <v>Nov 2024</v>
      </c>
      <c r="U1085">
        <f>IF(Pipeline_tbl[[#This Row],[Closed_Date]]=0,"",Pipeline_tbl[[#This Row],[Closed_Date]]-Pipeline_tbl[[#This Row],[Created_Date]])</f>
        <v>16</v>
      </c>
    </row>
    <row r="1086" spans="1:21" ht="15" customHeight="1" x14ac:dyDescent="0.2">
      <c r="A1086" t="s">
        <v>1392</v>
      </c>
      <c r="B1086" t="s">
        <v>193</v>
      </c>
      <c r="C1086" t="s">
        <v>52</v>
      </c>
      <c r="D1086" s="49">
        <v>45584</v>
      </c>
      <c r="E1086" s="49">
        <v>45586</v>
      </c>
      <c r="F1086" s="49">
        <v>45589</v>
      </c>
      <c r="G1086" s="49">
        <v>45594</v>
      </c>
      <c r="H1086" s="49">
        <v>45598</v>
      </c>
      <c r="I1086" s="49">
        <v>45601</v>
      </c>
      <c r="J1086" t="s">
        <v>49</v>
      </c>
      <c r="K1086" s="33">
        <v>3800</v>
      </c>
      <c r="L1086" t="s">
        <v>60</v>
      </c>
      <c r="M1086" t="str">
        <f>_xlfn.XLOOKUP(Pipeline_tbl[[#This Row],[Rep_ID]],Dim_Reps!A:A,Dim_Reps!K:K)</f>
        <v>USD</v>
      </c>
      <c r="N1086" s="33">
        <f>(_xlfn.XLOOKUP(Pipeline_tbl[[#This Row],[Rate_Code_Generalized]],Lookups!A:A,Lookups!B:B))*Pipeline_tbl[[#This Row],[Pipeline_Amount_USD]]</f>
        <v>4424.3399999999992</v>
      </c>
      <c r="O1086" t="str">
        <f>_xlfn.XLOOKUP(Pipeline_tbl[[#This Row],[Rep_ID]],Dim_Reps!A:A,Dim_Reps!B:B)</f>
        <v>Karim Rossi</v>
      </c>
      <c r="P1086" t="str">
        <f>_xlfn.XLOOKUP(Pipeline_tbl[[#This Row],[Rep_ID]],Dim_Reps!A:A,Dim_Reps!C:C)</f>
        <v>SDR / Inside Sales Rep</v>
      </c>
      <c r="Q1086" t="str">
        <f>_xlfn.XLOOKUP(Pipeline_tbl[[#This Row],[Rep_ID]],Dim_Reps!A:A,Dim_Reps!D:D)</f>
        <v>Inside Sales</v>
      </c>
      <c r="R1086" t="str">
        <f>_xlfn.XLOOKUP(Pipeline_tbl[[#This Row],[Rep_ID]],Dim_Reps!A:A,Dim_Reps!E:E)</f>
        <v>NAMER</v>
      </c>
      <c r="S1086" t="str">
        <f>_xlfn.XLOOKUP(Pipeline_tbl[[#This Row],[Created_Date]],Dim_Date!A:A,Dim_Date!H:H)</f>
        <v>Oct 2024</v>
      </c>
      <c r="T1086" t="str">
        <f>IF(Pipeline_tbl[[#This Row],[Closed_Date]]=0,"",(_xlfn.XLOOKUP(Pipeline_tbl[[#This Row],[Closed_Date]],Dim_Date!A:A,Dim_Date!H:H)))</f>
        <v>Nov 2024</v>
      </c>
      <c r="U1086">
        <f>IF(Pipeline_tbl[[#This Row],[Closed_Date]]=0,"",Pipeline_tbl[[#This Row],[Closed_Date]]-Pipeline_tbl[[#This Row],[Created_Date]])</f>
        <v>17</v>
      </c>
    </row>
    <row r="1087" spans="1:21" ht="15" customHeight="1" x14ac:dyDescent="0.2">
      <c r="A1087" t="s">
        <v>1393</v>
      </c>
      <c r="B1087" t="s">
        <v>243</v>
      </c>
      <c r="C1087" t="s">
        <v>53</v>
      </c>
      <c r="D1087" s="49">
        <v>45585</v>
      </c>
      <c r="E1087" s="49">
        <v>45589</v>
      </c>
      <c r="F1087" s="49">
        <v>45596</v>
      </c>
      <c r="G1087" s="49">
        <v>45606</v>
      </c>
      <c r="H1087" s="49">
        <v>45615</v>
      </c>
      <c r="I1087" s="49">
        <v>45620</v>
      </c>
      <c r="J1087" t="s">
        <v>49</v>
      </c>
      <c r="K1087" s="33">
        <v>6400</v>
      </c>
      <c r="L1087" t="s">
        <v>62</v>
      </c>
      <c r="M1087" t="str">
        <f>_xlfn.XLOOKUP(Pipeline_tbl[[#This Row],[Rep_ID]],Dim_Reps!A:A,Dim_Reps!K:K)</f>
        <v>MXN</v>
      </c>
      <c r="N1087" s="33">
        <f>(_xlfn.XLOOKUP(Pipeline_tbl[[#This Row],[Rate_Code_Generalized]],Lookups!A:A,Lookups!B:B))*Pipeline_tbl[[#This Row],[Pipeline_Amount_USD]]</f>
        <v>126289.28000000001</v>
      </c>
      <c r="O1087" t="str">
        <f>_xlfn.XLOOKUP(Pipeline_tbl[[#This Row],[Rep_ID]],Dim_Reps!A:A,Dim_Reps!B:B)</f>
        <v>Jonas Sato</v>
      </c>
      <c r="P1087" t="str">
        <f>_xlfn.XLOOKUP(Pipeline_tbl[[#This Row],[Rep_ID]],Dim_Reps!A:A,Dim_Reps!C:C)</f>
        <v>Mid-Market AE</v>
      </c>
      <c r="Q1087" t="str">
        <f>_xlfn.XLOOKUP(Pipeline_tbl[[#This Row],[Rep_ID]],Dim_Reps!A:A,Dim_Reps!D:D)</f>
        <v>Mid-Market</v>
      </c>
      <c r="R1087" t="str">
        <f>_xlfn.XLOOKUP(Pipeline_tbl[[#This Row],[Rep_ID]],Dim_Reps!A:A,Dim_Reps!E:E)</f>
        <v>LATAM</v>
      </c>
      <c r="S1087" t="str">
        <f>_xlfn.XLOOKUP(Pipeline_tbl[[#This Row],[Created_Date]],Dim_Date!A:A,Dim_Date!H:H)</f>
        <v>Oct 2024</v>
      </c>
      <c r="T1087" t="str">
        <f>IF(Pipeline_tbl[[#This Row],[Closed_Date]]=0,"",(_xlfn.XLOOKUP(Pipeline_tbl[[#This Row],[Closed_Date]],Dim_Date!A:A,Dim_Date!H:H)))</f>
        <v>Nov 2024</v>
      </c>
      <c r="U1087">
        <f>IF(Pipeline_tbl[[#This Row],[Closed_Date]]=0,"",Pipeline_tbl[[#This Row],[Closed_Date]]-Pipeline_tbl[[#This Row],[Created_Date]])</f>
        <v>35</v>
      </c>
    </row>
    <row r="1088" spans="1:21" ht="15" customHeight="1" x14ac:dyDescent="0.2">
      <c r="A1088" t="s">
        <v>1394</v>
      </c>
      <c r="B1088" t="s">
        <v>243</v>
      </c>
      <c r="C1088" t="s">
        <v>52</v>
      </c>
      <c r="D1088" s="49">
        <v>45568</v>
      </c>
      <c r="E1088" s="49">
        <v>45573</v>
      </c>
      <c r="F1088" s="49">
        <v>45584</v>
      </c>
      <c r="G1088" s="49">
        <v>45600</v>
      </c>
      <c r="H1088" s="49">
        <v>45613</v>
      </c>
      <c r="I1088" s="49">
        <v>45621</v>
      </c>
      <c r="J1088" t="s">
        <v>47</v>
      </c>
      <c r="K1088" s="33">
        <v>12600</v>
      </c>
      <c r="M1088" t="str">
        <f>_xlfn.XLOOKUP(Pipeline_tbl[[#This Row],[Rep_ID]],Dim_Reps!A:A,Dim_Reps!K:K)</f>
        <v>MXN</v>
      </c>
      <c r="N1088" s="33">
        <f>(_xlfn.XLOOKUP(Pipeline_tbl[[#This Row],[Rate_Code_Generalized]],Lookups!A:A,Lookups!B:B))*Pipeline_tbl[[#This Row],[Pipeline_Amount_USD]]</f>
        <v>248632.02000000002</v>
      </c>
      <c r="O1088" t="str">
        <f>_xlfn.XLOOKUP(Pipeline_tbl[[#This Row],[Rep_ID]],Dim_Reps!A:A,Dim_Reps!B:B)</f>
        <v>Jonas Sato</v>
      </c>
      <c r="P1088" t="str">
        <f>_xlfn.XLOOKUP(Pipeline_tbl[[#This Row],[Rep_ID]],Dim_Reps!A:A,Dim_Reps!C:C)</f>
        <v>Mid-Market AE</v>
      </c>
      <c r="Q1088" t="str">
        <f>_xlfn.XLOOKUP(Pipeline_tbl[[#This Row],[Rep_ID]],Dim_Reps!A:A,Dim_Reps!D:D)</f>
        <v>Mid-Market</v>
      </c>
      <c r="R1088" t="str">
        <f>_xlfn.XLOOKUP(Pipeline_tbl[[#This Row],[Rep_ID]],Dim_Reps!A:A,Dim_Reps!E:E)</f>
        <v>LATAM</v>
      </c>
      <c r="S1088" t="str">
        <f>_xlfn.XLOOKUP(Pipeline_tbl[[#This Row],[Created_Date]],Dim_Date!A:A,Dim_Date!H:H)</f>
        <v>Oct 2024</v>
      </c>
      <c r="T1088" t="str">
        <f>IF(Pipeline_tbl[[#This Row],[Closed_Date]]=0,"",(_xlfn.XLOOKUP(Pipeline_tbl[[#This Row],[Closed_Date]],Dim_Date!A:A,Dim_Date!H:H)))</f>
        <v>Nov 2024</v>
      </c>
      <c r="U1088">
        <f>IF(Pipeline_tbl[[#This Row],[Closed_Date]]=0,"",Pipeline_tbl[[#This Row],[Closed_Date]]-Pipeline_tbl[[#This Row],[Created_Date]])</f>
        <v>53</v>
      </c>
    </row>
    <row r="1089" spans="1:21" ht="15" customHeight="1" x14ac:dyDescent="0.2">
      <c r="A1089" t="s">
        <v>1395</v>
      </c>
      <c r="B1089" t="s">
        <v>243</v>
      </c>
      <c r="C1089" t="s">
        <v>52</v>
      </c>
      <c r="D1089" s="49">
        <v>45580</v>
      </c>
      <c r="E1089" s="49">
        <v>45584</v>
      </c>
      <c r="F1089" s="49">
        <v>45592</v>
      </c>
      <c r="I1089" s="49">
        <v>45619</v>
      </c>
      <c r="J1089" t="s">
        <v>49</v>
      </c>
      <c r="K1089" s="33">
        <v>10600</v>
      </c>
      <c r="L1089" t="s">
        <v>60</v>
      </c>
      <c r="M1089" t="str">
        <f>_xlfn.XLOOKUP(Pipeline_tbl[[#This Row],[Rep_ID]],Dim_Reps!A:A,Dim_Reps!K:K)</f>
        <v>MXN</v>
      </c>
      <c r="N1089" s="33">
        <f>(_xlfn.XLOOKUP(Pipeline_tbl[[#This Row],[Rate_Code_Generalized]],Lookups!A:A,Lookups!B:B))*Pipeline_tbl[[#This Row],[Pipeline_Amount_USD]]</f>
        <v>209166.62000000002</v>
      </c>
      <c r="O1089" t="str">
        <f>_xlfn.XLOOKUP(Pipeline_tbl[[#This Row],[Rep_ID]],Dim_Reps!A:A,Dim_Reps!B:B)</f>
        <v>Jonas Sato</v>
      </c>
      <c r="P1089" t="str">
        <f>_xlfn.XLOOKUP(Pipeline_tbl[[#This Row],[Rep_ID]],Dim_Reps!A:A,Dim_Reps!C:C)</f>
        <v>Mid-Market AE</v>
      </c>
      <c r="Q1089" t="str">
        <f>_xlfn.XLOOKUP(Pipeline_tbl[[#This Row],[Rep_ID]],Dim_Reps!A:A,Dim_Reps!D:D)</f>
        <v>Mid-Market</v>
      </c>
      <c r="R1089" t="str">
        <f>_xlfn.XLOOKUP(Pipeline_tbl[[#This Row],[Rep_ID]],Dim_Reps!A:A,Dim_Reps!E:E)</f>
        <v>LATAM</v>
      </c>
      <c r="S1089" t="str">
        <f>_xlfn.XLOOKUP(Pipeline_tbl[[#This Row],[Created_Date]],Dim_Date!A:A,Dim_Date!H:H)</f>
        <v>Oct 2024</v>
      </c>
      <c r="T1089" t="str">
        <f>IF(Pipeline_tbl[[#This Row],[Closed_Date]]=0,"",(_xlfn.XLOOKUP(Pipeline_tbl[[#This Row],[Closed_Date]],Dim_Date!A:A,Dim_Date!H:H)))</f>
        <v>Nov 2024</v>
      </c>
      <c r="U1089">
        <f>IF(Pipeline_tbl[[#This Row],[Closed_Date]]=0,"",Pipeline_tbl[[#This Row],[Closed_Date]]-Pipeline_tbl[[#This Row],[Created_Date]])</f>
        <v>39</v>
      </c>
    </row>
    <row r="1090" spans="1:21" ht="15" customHeight="1" x14ac:dyDescent="0.2">
      <c r="A1090" t="s">
        <v>1396</v>
      </c>
      <c r="B1090" t="s">
        <v>243</v>
      </c>
      <c r="C1090" t="s">
        <v>53</v>
      </c>
      <c r="D1090" s="49">
        <v>45579</v>
      </c>
      <c r="E1090" s="49">
        <v>45583</v>
      </c>
      <c r="F1090" s="49">
        <v>45591</v>
      </c>
      <c r="G1090" s="49">
        <v>45604</v>
      </c>
      <c r="H1090" s="49">
        <v>45614</v>
      </c>
      <c r="I1090" s="49">
        <v>45620</v>
      </c>
      <c r="J1090" t="s">
        <v>47</v>
      </c>
      <c r="K1090" s="33">
        <v>6300</v>
      </c>
      <c r="M1090" t="str">
        <f>_xlfn.XLOOKUP(Pipeline_tbl[[#This Row],[Rep_ID]],Dim_Reps!A:A,Dim_Reps!K:K)</f>
        <v>MXN</v>
      </c>
      <c r="N1090" s="33">
        <f>(_xlfn.XLOOKUP(Pipeline_tbl[[#This Row],[Rate_Code_Generalized]],Lookups!A:A,Lookups!B:B))*Pipeline_tbl[[#This Row],[Pipeline_Amount_USD]]</f>
        <v>124316.01000000001</v>
      </c>
      <c r="O1090" t="str">
        <f>_xlfn.XLOOKUP(Pipeline_tbl[[#This Row],[Rep_ID]],Dim_Reps!A:A,Dim_Reps!B:B)</f>
        <v>Jonas Sato</v>
      </c>
      <c r="P1090" t="str">
        <f>_xlfn.XLOOKUP(Pipeline_tbl[[#This Row],[Rep_ID]],Dim_Reps!A:A,Dim_Reps!C:C)</f>
        <v>Mid-Market AE</v>
      </c>
      <c r="Q1090" t="str">
        <f>_xlfn.XLOOKUP(Pipeline_tbl[[#This Row],[Rep_ID]],Dim_Reps!A:A,Dim_Reps!D:D)</f>
        <v>Mid-Market</v>
      </c>
      <c r="R1090" t="str">
        <f>_xlfn.XLOOKUP(Pipeline_tbl[[#This Row],[Rep_ID]],Dim_Reps!A:A,Dim_Reps!E:E)</f>
        <v>LATAM</v>
      </c>
      <c r="S1090" t="str">
        <f>_xlfn.XLOOKUP(Pipeline_tbl[[#This Row],[Created_Date]],Dim_Date!A:A,Dim_Date!H:H)</f>
        <v>Oct 2024</v>
      </c>
      <c r="T1090" t="str">
        <f>IF(Pipeline_tbl[[#This Row],[Closed_Date]]=0,"",(_xlfn.XLOOKUP(Pipeline_tbl[[#This Row],[Closed_Date]],Dim_Date!A:A,Dim_Date!H:H)))</f>
        <v>Nov 2024</v>
      </c>
      <c r="U1090">
        <f>IF(Pipeline_tbl[[#This Row],[Closed_Date]]=0,"",Pipeline_tbl[[#This Row],[Closed_Date]]-Pipeline_tbl[[#This Row],[Created_Date]])</f>
        <v>41</v>
      </c>
    </row>
    <row r="1091" spans="1:21" ht="15" customHeight="1" x14ac:dyDescent="0.2">
      <c r="A1091" t="s">
        <v>1397</v>
      </c>
      <c r="B1091" t="s">
        <v>243</v>
      </c>
      <c r="C1091" t="s">
        <v>52</v>
      </c>
      <c r="D1091" s="49">
        <v>45594</v>
      </c>
      <c r="E1091" s="49">
        <v>45597</v>
      </c>
      <c r="F1091" s="49">
        <v>45602</v>
      </c>
      <c r="G1091" s="49">
        <v>45610</v>
      </c>
      <c r="I1091" s="49">
        <v>45621</v>
      </c>
      <c r="J1091" t="s">
        <v>49</v>
      </c>
      <c r="K1091" s="33">
        <v>8600</v>
      </c>
      <c r="L1091" t="s">
        <v>62</v>
      </c>
      <c r="M1091" t="str">
        <f>_xlfn.XLOOKUP(Pipeline_tbl[[#This Row],[Rep_ID]],Dim_Reps!A:A,Dim_Reps!K:K)</f>
        <v>MXN</v>
      </c>
      <c r="N1091" s="33">
        <f>(_xlfn.XLOOKUP(Pipeline_tbl[[#This Row],[Rate_Code_Generalized]],Lookups!A:A,Lookups!B:B))*Pipeline_tbl[[#This Row],[Pipeline_Amount_USD]]</f>
        <v>169701.22</v>
      </c>
      <c r="O1091" t="str">
        <f>_xlfn.XLOOKUP(Pipeline_tbl[[#This Row],[Rep_ID]],Dim_Reps!A:A,Dim_Reps!B:B)</f>
        <v>Jonas Sato</v>
      </c>
      <c r="P1091" t="str">
        <f>_xlfn.XLOOKUP(Pipeline_tbl[[#This Row],[Rep_ID]],Dim_Reps!A:A,Dim_Reps!C:C)</f>
        <v>Mid-Market AE</v>
      </c>
      <c r="Q1091" t="str">
        <f>_xlfn.XLOOKUP(Pipeline_tbl[[#This Row],[Rep_ID]],Dim_Reps!A:A,Dim_Reps!D:D)</f>
        <v>Mid-Market</v>
      </c>
      <c r="R1091" t="str">
        <f>_xlfn.XLOOKUP(Pipeline_tbl[[#This Row],[Rep_ID]],Dim_Reps!A:A,Dim_Reps!E:E)</f>
        <v>LATAM</v>
      </c>
      <c r="S1091" t="str">
        <f>_xlfn.XLOOKUP(Pipeline_tbl[[#This Row],[Created_Date]],Dim_Date!A:A,Dim_Date!H:H)</f>
        <v>Oct 2024</v>
      </c>
      <c r="T1091" t="str">
        <f>IF(Pipeline_tbl[[#This Row],[Closed_Date]]=0,"",(_xlfn.XLOOKUP(Pipeline_tbl[[#This Row],[Closed_Date]],Dim_Date!A:A,Dim_Date!H:H)))</f>
        <v>Nov 2024</v>
      </c>
      <c r="U1091">
        <f>IF(Pipeline_tbl[[#This Row],[Closed_Date]]=0,"",Pipeline_tbl[[#This Row],[Closed_Date]]-Pipeline_tbl[[#This Row],[Created_Date]])</f>
        <v>27</v>
      </c>
    </row>
    <row r="1092" spans="1:21" ht="15" customHeight="1" x14ac:dyDescent="0.2">
      <c r="A1092" t="s">
        <v>1398</v>
      </c>
      <c r="B1092" t="s">
        <v>243</v>
      </c>
      <c r="C1092" t="s">
        <v>53</v>
      </c>
      <c r="D1092" s="49">
        <v>45584</v>
      </c>
      <c r="E1092" s="49">
        <v>45587</v>
      </c>
      <c r="I1092" s="49">
        <v>45616</v>
      </c>
      <c r="J1092" t="s">
        <v>49</v>
      </c>
      <c r="K1092" s="33">
        <v>18900</v>
      </c>
      <c r="L1092" t="s">
        <v>61</v>
      </c>
      <c r="M1092" t="str">
        <f>_xlfn.XLOOKUP(Pipeline_tbl[[#This Row],[Rep_ID]],Dim_Reps!A:A,Dim_Reps!K:K)</f>
        <v>MXN</v>
      </c>
      <c r="N1092" s="33">
        <f>(_xlfn.XLOOKUP(Pipeline_tbl[[#This Row],[Rate_Code_Generalized]],Lookups!A:A,Lookups!B:B))*Pipeline_tbl[[#This Row],[Pipeline_Amount_USD]]</f>
        <v>372948.03</v>
      </c>
      <c r="O1092" t="str">
        <f>_xlfn.XLOOKUP(Pipeline_tbl[[#This Row],[Rep_ID]],Dim_Reps!A:A,Dim_Reps!B:B)</f>
        <v>Jonas Sato</v>
      </c>
      <c r="P1092" t="str">
        <f>_xlfn.XLOOKUP(Pipeline_tbl[[#This Row],[Rep_ID]],Dim_Reps!A:A,Dim_Reps!C:C)</f>
        <v>Mid-Market AE</v>
      </c>
      <c r="Q1092" t="str">
        <f>_xlfn.XLOOKUP(Pipeline_tbl[[#This Row],[Rep_ID]],Dim_Reps!A:A,Dim_Reps!D:D)</f>
        <v>Mid-Market</v>
      </c>
      <c r="R1092" t="str">
        <f>_xlfn.XLOOKUP(Pipeline_tbl[[#This Row],[Rep_ID]],Dim_Reps!A:A,Dim_Reps!E:E)</f>
        <v>LATAM</v>
      </c>
      <c r="S1092" t="str">
        <f>_xlfn.XLOOKUP(Pipeline_tbl[[#This Row],[Created_Date]],Dim_Date!A:A,Dim_Date!H:H)</f>
        <v>Oct 2024</v>
      </c>
      <c r="T1092" t="str">
        <f>IF(Pipeline_tbl[[#This Row],[Closed_Date]]=0,"",(_xlfn.XLOOKUP(Pipeline_tbl[[#This Row],[Closed_Date]],Dim_Date!A:A,Dim_Date!H:H)))</f>
        <v>Nov 2024</v>
      </c>
      <c r="U1092">
        <f>IF(Pipeline_tbl[[#This Row],[Closed_Date]]=0,"",Pipeline_tbl[[#This Row],[Closed_Date]]-Pipeline_tbl[[#This Row],[Created_Date]])</f>
        <v>32</v>
      </c>
    </row>
    <row r="1093" spans="1:21" ht="15" customHeight="1" x14ac:dyDescent="0.2">
      <c r="A1093" t="s">
        <v>1399</v>
      </c>
      <c r="B1093" t="s">
        <v>243</v>
      </c>
      <c r="C1093" t="s">
        <v>53</v>
      </c>
      <c r="D1093" s="49">
        <v>45572</v>
      </c>
      <c r="E1093" s="49">
        <v>45575</v>
      </c>
      <c r="F1093" s="49">
        <v>45580</v>
      </c>
      <c r="G1093" s="49">
        <v>45588</v>
      </c>
      <c r="H1093" s="49">
        <v>45594</v>
      </c>
      <c r="I1093" s="49">
        <v>45598</v>
      </c>
      <c r="J1093" t="s">
        <v>47</v>
      </c>
      <c r="K1093" s="33">
        <v>10300</v>
      </c>
      <c r="M1093" t="str">
        <f>_xlfn.XLOOKUP(Pipeline_tbl[[#This Row],[Rep_ID]],Dim_Reps!A:A,Dim_Reps!K:K)</f>
        <v>MXN</v>
      </c>
      <c r="N1093" s="33">
        <f>(_xlfn.XLOOKUP(Pipeline_tbl[[#This Row],[Rate_Code_Generalized]],Lookups!A:A,Lookups!B:B))*Pipeline_tbl[[#This Row],[Pipeline_Amount_USD]]</f>
        <v>203246.81000000003</v>
      </c>
      <c r="O1093" t="str">
        <f>_xlfn.XLOOKUP(Pipeline_tbl[[#This Row],[Rep_ID]],Dim_Reps!A:A,Dim_Reps!B:B)</f>
        <v>Jonas Sato</v>
      </c>
      <c r="P1093" t="str">
        <f>_xlfn.XLOOKUP(Pipeline_tbl[[#This Row],[Rep_ID]],Dim_Reps!A:A,Dim_Reps!C:C)</f>
        <v>Mid-Market AE</v>
      </c>
      <c r="Q1093" t="str">
        <f>_xlfn.XLOOKUP(Pipeline_tbl[[#This Row],[Rep_ID]],Dim_Reps!A:A,Dim_Reps!D:D)</f>
        <v>Mid-Market</v>
      </c>
      <c r="R1093" t="str">
        <f>_xlfn.XLOOKUP(Pipeline_tbl[[#This Row],[Rep_ID]],Dim_Reps!A:A,Dim_Reps!E:E)</f>
        <v>LATAM</v>
      </c>
      <c r="S1093" t="str">
        <f>_xlfn.XLOOKUP(Pipeline_tbl[[#This Row],[Created_Date]],Dim_Date!A:A,Dim_Date!H:H)</f>
        <v>Oct 2024</v>
      </c>
      <c r="T1093" t="str">
        <f>IF(Pipeline_tbl[[#This Row],[Closed_Date]]=0,"",(_xlfn.XLOOKUP(Pipeline_tbl[[#This Row],[Closed_Date]],Dim_Date!A:A,Dim_Date!H:H)))</f>
        <v>Nov 2024</v>
      </c>
      <c r="U1093">
        <f>IF(Pipeline_tbl[[#This Row],[Closed_Date]]=0,"",Pipeline_tbl[[#This Row],[Closed_Date]]-Pipeline_tbl[[#This Row],[Created_Date]])</f>
        <v>26</v>
      </c>
    </row>
    <row r="1094" spans="1:21" ht="15" customHeight="1" x14ac:dyDescent="0.2">
      <c r="A1094" t="s">
        <v>1400</v>
      </c>
      <c r="B1094" t="s">
        <v>243</v>
      </c>
      <c r="C1094" t="s">
        <v>54</v>
      </c>
      <c r="D1094" s="49">
        <v>45588</v>
      </c>
      <c r="E1094" s="49">
        <v>45590</v>
      </c>
      <c r="F1094" s="49">
        <v>45594</v>
      </c>
      <c r="G1094" s="49">
        <v>45601</v>
      </c>
      <c r="I1094" s="49">
        <v>45609</v>
      </c>
      <c r="J1094" t="s">
        <v>49</v>
      </c>
      <c r="K1094" s="33">
        <v>9700</v>
      </c>
      <c r="L1094" t="s">
        <v>60</v>
      </c>
      <c r="M1094" t="str">
        <f>_xlfn.XLOOKUP(Pipeline_tbl[[#This Row],[Rep_ID]],Dim_Reps!A:A,Dim_Reps!K:K)</f>
        <v>MXN</v>
      </c>
      <c r="N1094" s="33">
        <f>(_xlfn.XLOOKUP(Pipeline_tbl[[#This Row],[Rate_Code_Generalized]],Lookups!A:A,Lookups!B:B))*Pipeline_tbl[[#This Row],[Pipeline_Amount_USD]]</f>
        <v>191407.19</v>
      </c>
      <c r="O1094" t="str">
        <f>_xlfn.XLOOKUP(Pipeline_tbl[[#This Row],[Rep_ID]],Dim_Reps!A:A,Dim_Reps!B:B)</f>
        <v>Jonas Sato</v>
      </c>
      <c r="P1094" t="str">
        <f>_xlfn.XLOOKUP(Pipeline_tbl[[#This Row],[Rep_ID]],Dim_Reps!A:A,Dim_Reps!C:C)</f>
        <v>Mid-Market AE</v>
      </c>
      <c r="Q1094" t="str">
        <f>_xlfn.XLOOKUP(Pipeline_tbl[[#This Row],[Rep_ID]],Dim_Reps!A:A,Dim_Reps!D:D)</f>
        <v>Mid-Market</v>
      </c>
      <c r="R1094" t="str">
        <f>_xlfn.XLOOKUP(Pipeline_tbl[[#This Row],[Rep_ID]],Dim_Reps!A:A,Dim_Reps!E:E)</f>
        <v>LATAM</v>
      </c>
      <c r="S1094" t="str">
        <f>_xlfn.XLOOKUP(Pipeline_tbl[[#This Row],[Created_Date]],Dim_Date!A:A,Dim_Date!H:H)</f>
        <v>Oct 2024</v>
      </c>
      <c r="T1094" t="str">
        <f>IF(Pipeline_tbl[[#This Row],[Closed_Date]]=0,"",(_xlfn.XLOOKUP(Pipeline_tbl[[#This Row],[Closed_Date]],Dim_Date!A:A,Dim_Date!H:H)))</f>
        <v>Nov 2024</v>
      </c>
      <c r="U1094">
        <f>IF(Pipeline_tbl[[#This Row],[Closed_Date]]=0,"",Pipeline_tbl[[#This Row],[Closed_Date]]-Pipeline_tbl[[#This Row],[Created_Date]])</f>
        <v>21</v>
      </c>
    </row>
    <row r="1095" spans="1:21" ht="15" customHeight="1" x14ac:dyDescent="0.2">
      <c r="A1095" t="s">
        <v>1401</v>
      </c>
      <c r="B1095" t="s">
        <v>196</v>
      </c>
      <c r="C1095" t="s">
        <v>54</v>
      </c>
      <c r="D1095" s="49">
        <v>45596</v>
      </c>
      <c r="E1095" s="49">
        <v>45598</v>
      </c>
      <c r="F1095" s="49">
        <v>45601</v>
      </c>
      <c r="G1095" s="49">
        <v>45606</v>
      </c>
      <c r="H1095" s="49">
        <v>45610</v>
      </c>
      <c r="I1095" s="49">
        <v>45613</v>
      </c>
      <c r="J1095" t="s">
        <v>49</v>
      </c>
      <c r="K1095" s="33">
        <v>3400</v>
      </c>
      <c r="L1095" t="s">
        <v>61</v>
      </c>
      <c r="M1095" t="str">
        <f>_xlfn.XLOOKUP(Pipeline_tbl[[#This Row],[Rep_ID]],Dim_Reps!A:A,Dim_Reps!K:K)</f>
        <v>EUR</v>
      </c>
      <c r="N1095" s="33">
        <f>(_xlfn.XLOOKUP(Pipeline_tbl[[#This Row],[Rate_Code_Generalized]],Lookups!A:A,Lookups!B:B))*Pipeline_tbl[[#This Row],[Pipeline_Amount_USD]]</f>
        <v>3400</v>
      </c>
      <c r="O1095" t="str">
        <f>_xlfn.XLOOKUP(Pipeline_tbl[[#This Row],[Rep_ID]],Dim_Reps!A:A,Dim_Reps!B:B)</f>
        <v>Alex Okafor</v>
      </c>
      <c r="P1095" t="str">
        <f>_xlfn.XLOOKUP(Pipeline_tbl[[#This Row],[Rep_ID]],Dim_Reps!A:A,Dim_Reps!C:C)</f>
        <v>SDR / Inside Sales Rep</v>
      </c>
      <c r="Q1095" t="str">
        <f>_xlfn.XLOOKUP(Pipeline_tbl[[#This Row],[Rep_ID]],Dim_Reps!A:A,Dim_Reps!D:D)</f>
        <v>Inside Sales</v>
      </c>
      <c r="R1095" t="str">
        <f>_xlfn.XLOOKUP(Pipeline_tbl[[#This Row],[Rep_ID]],Dim_Reps!A:A,Dim_Reps!E:E)</f>
        <v>EMEA</v>
      </c>
      <c r="S1095" t="str">
        <f>_xlfn.XLOOKUP(Pipeline_tbl[[#This Row],[Created_Date]],Dim_Date!A:A,Dim_Date!H:H)</f>
        <v>Oct 2024</v>
      </c>
      <c r="T1095" t="str">
        <f>IF(Pipeline_tbl[[#This Row],[Closed_Date]]=0,"",(_xlfn.XLOOKUP(Pipeline_tbl[[#This Row],[Closed_Date]],Dim_Date!A:A,Dim_Date!H:H)))</f>
        <v>Nov 2024</v>
      </c>
      <c r="U1095">
        <f>IF(Pipeline_tbl[[#This Row],[Closed_Date]]=0,"",Pipeline_tbl[[#This Row],[Closed_Date]]-Pipeline_tbl[[#This Row],[Created_Date]])</f>
        <v>17</v>
      </c>
    </row>
    <row r="1096" spans="1:21" ht="15" customHeight="1" x14ac:dyDescent="0.2">
      <c r="A1096" t="s">
        <v>1402</v>
      </c>
      <c r="B1096" t="s">
        <v>196</v>
      </c>
      <c r="C1096" t="s">
        <v>53</v>
      </c>
      <c r="D1096" s="49">
        <v>45588</v>
      </c>
      <c r="E1096" s="49">
        <v>45589</v>
      </c>
      <c r="F1096" s="49">
        <v>45592</v>
      </c>
      <c r="G1096" s="49">
        <v>45595</v>
      </c>
      <c r="H1096" s="49">
        <v>45598</v>
      </c>
      <c r="I1096" s="49">
        <v>45600</v>
      </c>
      <c r="J1096" t="s">
        <v>47</v>
      </c>
      <c r="K1096" s="33">
        <v>5400</v>
      </c>
      <c r="M1096" t="str">
        <f>_xlfn.XLOOKUP(Pipeline_tbl[[#This Row],[Rep_ID]],Dim_Reps!A:A,Dim_Reps!K:K)</f>
        <v>EUR</v>
      </c>
      <c r="N1096" s="33">
        <f>(_xlfn.XLOOKUP(Pipeline_tbl[[#This Row],[Rate_Code_Generalized]],Lookups!A:A,Lookups!B:B))*Pipeline_tbl[[#This Row],[Pipeline_Amount_USD]]</f>
        <v>5400</v>
      </c>
      <c r="O1096" t="str">
        <f>_xlfn.XLOOKUP(Pipeline_tbl[[#This Row],[Rep_ID]],Dim_Reps!A:A,Dim_Reps!B:B)</f>
        <v>Alex Okafor</v>
      </c>
      <c r="P1096" t="str">
        <f>_xlfn.XLOOKUP(Pipeline_tbl[[#This Row],[Rep_ID]],Dim_Reps!A:A,Dim_Reps!C:C)</f>
        <v>SDR / Inside Sales Rep</v>
      </c>
      <c r="Q1096" t="str">
        <f>_xlfn.XLOOKUP(Pipeline_tbl[[#This Row],[Rep_ID]],Dim_Reps!A:A,Dim_Reps!D:D)</f>
        <v>Inside Sales</v>
      </c>
      <c r="R1096" t="str">
        <f>_xlfn.XLOOKUP(Pipeline_tbl[[#This Row],[Rep_ID]],Dim_Reps!A:A,Dim_Reps!E:E)</f>
        <v>EMEA</v>
      </c>
      <c r="S1096" t="str">
        <f>_xlfn.XLOOKUP(Pipeline_tbl[[#This Row],[Created_Date]],Dim_Date!A:A,Dim_Date!H:H)</f>
        <v>Oct 2024</v>
      </c>
      <c r="T1096" t="str">
        <f>IF(Pipeline_tbl[[#This Row],[Closed_Date]]=0,"",(_xlfn.XLOOKUP(Pipeline_tbl[[#This Row],[Closed_Date]],Dim_Date!A:A,Dim_Date!H:H)))</f>
        <v>Nov 2024</v>
      </c>
      <c r="U1096">
        <f>IF(Pipeline_tbl[[#This Row],[Closed_Date]]=0,"",Pipeline_tbl[[#This Row],[Closed_Date]]-Pipeline_tbl[[#This Row],[Created_Date]])</f>
        <v>12</v>
      </c>
    </row>
    <row r="1097" spans="1:21" ht="15" customHeight="1" x14ac:dyDescent="0.2">
      <c r="A1097" t="s">
        <v>1403</v>
      </c>
      <c r="B1097" t="s">
        <v>196</v>
      </c>
      <c r="C1097" t="s">
        <v>53</v>
      </c>
      <c r="D1097" s="49">
        <v>45593</v>
      </c>
      <c r="E1097" s="49">
        <v>45595</v>
      </c>
      <c r="F1097" s="49">
        <v>45599</v>
      </c>
      <c r="G1097" s="49">
        <v>45605</v>
      </c>
      <c r="H1097" s="49">
        <v>45610</v>
      </c>
      <c r="I1097" s="49">
        <v>45613</v>
      </c>
      <c r="J1097" t="s">
        <v>47</v>
      </c>
      <c r="K1097" s="33">
        <v>4300</v>
      </c>
      <c r="M1097" t="str">
        <f>_xlfn.XLOOKUP(Pipeline_tbl[[#This Row],[Rep_ID]],Dim_Reps!A:A,Dim_Reps!K:K)</f>
        <v>EUR</v>
      </c>
      <c r="N1097" s="33">
        <f>(_xlfn.XLOOKUP(Pipeline_tbl[[#This Row],[Rate_Code_Generalized]],Lookups!A:A,Lookups!B:B))*Pipeline_tbl[[#This Row],[Pipeline_Amount_USD]]</f>
        <v>4300</v>
      </c>
      <c r="O1097" t="str">
        <f>_xlfn.XLOOKUP(Pipeline_tbl[[#This Row],[Rep_ID]],Dim_Reps!A:A,Dim_Reps!B:B)</f>
        <v>Alex Okafor</v>
      </c>
      <c r="P1097" t="str">
        <f>_xlfn.XLOOKUP(Pipeline_tbl[[#This Row],[Rep_ID]],Dim_Reps!A:A,Dim_Reps!C:C)</f>
        <v>SDR / Inside Sales Rep</v>
      </c>
      <c r="Q1097" t="str">
        <f>_xlfn.XLOOKUP(Pipeline_tbl[[#This Row],[Rep_ID]],Dim_Reps!A:A,Dim_Reps!D:D)</f>
        <v>Inside Sales</v>
      </c>
      <c r="R1097" t="str">
        <f>_xlfn.XLOOKUP(Pipeline_tbl[[#This Row],[Rep_ID]],Dim_Reps!A:A,Dim_Reps!E:E)</f>
        <v>EMEA</v>
      </c>
      <c r="S1097" t="str">
        <f>_xlfn.XLOOKUP(Pipeline_tbl[[#This Row],[Created_Date]],Dim_Date!A:A,Dim_Date!H:H)</f>
        <v>Oct 2024</v>
      </c>
      <c r="T1097" t="str">
        <f>IF(Pipeline_tbl[[#This Row],[Closed_Date]]=0,"",(_xlfn.XLOOKUP(Pipeline_tbl[[#This Row],[Closed_Date]],Dim_Date!A:A,Dim_Date!H:H)))</f>
        <v>Nov 2024</v>
      </c>
      <c r="U1097">
        <f>IF(Pipeline_tbl[[#This Row],[Closed_Date]]=0,"",Pipeline_tbl[[#This Row],[Closed_Date]]-Pipeline_tbl[[#This Row],[Created_Date]])</f>
        <v>20</v>
      </c>
    </row>
    <row r="1098" spans="1:21" ht="15" customHeight="1" x14ac:dyDescent="0.2">
      <c r="A1098" t="s">
        <v>1404</v>
      </c>
      <c r="B1098" t="s">
        <v>196</v>
      </c>
      <c r="C1098" t="s">
        <v>52</v>
      </c>
      <c r="D1098" s="49">
        <v>45594</v>
      </c>
      <c r="E1098" s="49">
        <v>45595</v>
      </c>
      <c r="F1098" s="49">
        <v>45598</v>
      </c>
      <c r="G1098" s="49">
        <v>45602</v>
      </c>
      <c r="H1098" s="49">
        <v>45605</v>
      </c>
      <c r="I1098" s="49">
        <v>45607</v>
      </c>
      <c r="J1098" t="s">
        <v>47</v>
      </c>
      <c r="K1098" s="33">
        <v>3300</v>
      </c>
      <c r="M1098" t="str">
        <f>_xlfn.XLOOKUP(Pipeline_tbl[[#This Row],[Rep_ID]],Dim_Reps!A:A,Dim_Reps!K:K)</f>
        <v>EUR</v>
      </c>
      <c r="N1098" s="33">
        <f>(_xlfn.XLOOKUP(Pipeline_tbl[[#This Row],[Rate_Code_Generalized]],Lookups!A:A,Lookups!B:B))*Pipeline_tbl[[#This Row],[Pipeline_Amount_USD]]</f>
        <v>3300</v>
      </c>
      <c r="O1098" t="str">
        <f>_xlfn.XLOOKUP(Pipeline_tbl[[#This Row],[Rep_ID]],Dim_Reps!A:A,Dim_Reps!B:B)</f>
        <v>Alex Okafor</v>
      </c>
      <c r="P1098" t="str">
        <f>_xlfn.XLOOKUP(Pipeline_tbl[[#This Row],[Rep_ID]],Dim_Reps!A:A,Dim_Reps!C:C)</f>
        <v>SDR / Inside Sales Rep</v>
      </c>
      <c r="Q1098" t="str">
        <f>_xlfn.XLOOKUP(Pipeline_tbl[[#This Row],[Rep_ID]],Dim_Reps!A:A,Dim_Reps!D:D)</f>
        <v>Inside Sales</v>
      </c>
      <c r="R1098" t="str">
        <f>_xlfn.XLOOKUP(Pipeline_tbl[[#This Row],[Rep_ID]],Dim_Reps!A:A,Dim_Reps!E:E)</f>
        <v>EMEA</v>
      </c>
      <c r="S1098" t="str">
        <f>_xlfn.XLOOKUP(Pipeline_tbl[[#This Row],[Created_Date]],Dim_Date!A:A,Dim_Date!H:H)</f>
        <v>Oct 2024</v>
      </c>
      <c r="T1098" t="str">
        <f>IF(Pipeline_tbl[[#This Row],[Closed_Date]]=0,"",(_xlfn.XLOOKUP(Pipeline_tbl[[#This Row],[Closed_Date]],Dim_Date!A:A,Dim_Date!H:H)))</f>
        <v>Nov 2024</v>
      </c>
      <c r="U1098">
        <f>IF(Pipeline_tbl[[#This Row],[Closed_Date]]=0,"",Pipeline_tbl[[#This Row],[Closed_Date]]-Pipeline_tbl[[#This Row],[Created_Date]])</f>
        <v>13</v>
      </c>
    </row>
    <row r="1099" spans="1:21" ht="15" customHeight="1" x14ac:dyDescent="0.2">
      <c r="A1099" t="s">
        <v>1405</v>
      </c>
      <c r="B1099" t="s">
        <v>196</v>
      </c>
      <c r="C1099" t="s">
        <v>55</v>
      </c>
      <c r="D1099" s="49">
        <v>45590</v>
      </c>
      <c r="E1099" s="49">
        <v>45592</v>
      </c>
      <c r="F1099" s="49">
        <v>45595</v>
      </c>
      <c r="G1099" s="49">
        <v>45599</v>
      </c>
      <c r="H1099" s="49">
        <v>45603</v>
      </c>
      <c r="I1099" s="49">
        <v>45605</v>
      </c>
      <c r="J1099" t="s">
        <v>47</v>
      </c>
      <c r="K1099" s="33">
        <v>900</v>
      </c>
      <c r="M1099" t="str">
        <f>_xlfn.XLOOKUP(Pipeline_tbl[[#This Row],[Rep_ID]],Dim_Reps!A:A,Dim_Reps!K:K)</f>
        <v>EUR</v>
      </c>
      <c r="N1099" s="33">
        <f>(_xlfn.XLOOKUP(Pipeline_tbl[[#This Row],[Rate_Code_Generalized]],Lookups!A:A,Lookups!B:B))*Pipeline_tbl[[#This Row],[Pipeline_Amount_USD]]</f>
        <v>900</v>
      </c>
      <c r="O1099" t="str">
        <f>_xlfn.XLOOKUP(Pipeline_tbl[[#This Row],[Rep_ID]],Dim_Reps!A:A,Dim_Reps!B:B)</f>
        <v>Alex Okafor</v>
      </c>
      <c r="P1099" t="str">
        <f>_xlfn.XLOOKUP(Pipeline_tbl[[#This Row],[Rep_ID]],Dim_Reps!A:A,Dim_Reps!C:C)</f>
        <v>SDR / Inside Sales Rep</v>
      </c>
      <c r="Q1099" t="str">
        <f>_xlfn.XLOOKUP(Pipeline_tbl[[#This Row],[Rep_ID]],Dim_Reps!A:A,Dim_Reps!D:D)</f>
        <v>Inside Sales</v>
      </c>
      <c r="R1099" t="str">
        <f>_xlfn.XLOOKUP(Pipeline_tbl[[#This Row],[Rep_ID]],Dim_Reps!A:A,Dim_Reps!E:E)</f>
        <v>EMEA</v>
      </c>
      <c r="S1099" t="str">
        <f>_xlfn.XLOOKUP(Pipeline_tbl[[#This Row],[Created_Date]],Dim_Date!A:A,Dim_Date!H:H)</f>
        <v>Oct 2024</v>
      </c>
      <c r="T1099" t="str">
        <f>IF(Pipeline_tbl[[#This Row],[Closed_Date]]=0,"",(_xlfn.XLOOKUP(Pipeline_tbl[[#This Row],[Closed_Date]],Dim_Date!A:A,Dim_Date!H:H)))</f>
        <v>Nov 2024</v>
      </c>
      <c r="U1099">
        <f>IF(Pipeline_tbl[[#This Row],[Closed_Date]]=0,"",Pipeline_tbl[[#This Row],[Closed_Date]]-Pipeline_tbl[[#This Row],[Created_Date]])</f>
        <v>15</v>
      </c>
    </row>
    <row r="1100" spans="1:21" ht="15" customHeight="1" x14ac:dyDescent="0.2">
      <c r="A1100" t="s">
        <v>1406</v>
      </c>
      <c r="B1100" t="s">
        <v>196</v>
      </c>
      <c r="C1100" t="s">
        <v>52</v>
      </c>
      <c r="D1100" s="49">
        <v>45584</v>
      </c>
      <c r="E1100" s="49">
        <v>45586</v>
      </c>
      <c r="F1100" s="49">
        <v>45589</v>
      </c>
      <c r="G1100" s="49">
        <v>45595</v>
      </c>
      <c r="H1100" s="49">
        <v>45599</v>
      </c>
      <c r="I1100" s="49">
        <v>45602</v>
      </c>
      <c r="J1100" t="s">
        <v>49</v>
      </c>
      <c r="K1100" s="33">
        <v>2000</v>
      </c>
      <c r="L1100" t="s">
        <v>63</v>
      </c>
      <c r="M1100" t="str">
        <f>_xlfn.XLOOKUP(Pipeline_tbl[[#This Row],[Rep_ID]],Dim_Reps!A:A,Dim_Reps!K:K)</f>
        <v>EUR</v>
      </c>
      <c r="N1100" s="33">
        <f>(_xlfn.XLOOKUP(Pipeline_tbl[[#This Row],[Rate_Code_Generalized]],Lookups!A:A,Lookups!B:B))*Pipeline_tbl[[#This Row],[Pipeline_Amount_USD]]</f>
        <v>2000</v>
      </c>
      <c r="O1100" t="str">
        <f>_xlfn.XLOOKUP(Pipeline_tbl[[#This Row],[Rep_ID]],Dim_Reps!A:A,Dim_Reps!B:B)</f>
        <v>Alex Okafor</v>
      </c>
      <c r="P1100" t="str">
        <f>_xlfn.XLOOKUP(Pipeline_tbl[[#This Row],[Rep_ID]],Dim_Reps!A:A,Dim_Reps!C:C)</f>
        <v>SDR / Inside Sales Rep</v>
      </c>
      <c r="Q1100" t="str">
        <f>_xlfn.XLOOKUP(Pipeline_tbl[[#This Row],[Rep_ID]],Dim_Reps!A:A,Dim_Reps!D:D)</f>
        <v>Inside Sales</v>
      </c>
      <c r="R1100" t="str">
        <f>_xlfn.XLOOKUP(Pipeline_tbl[[#This Row],[Rep_ID]],Dim_Reps!A:A,Dim_Reps!E:E)</f>
        <v>EMEA</v>
      </c>
      <c r="S1100" t="str">
        <f>_xlfn.XLOOKUP(Pipeline_tbl[[#This Row],[Created_Date]],Dim_Date!A:A,Dim_Date!H:H)</f>
        <v>Oct 2024</v>
      </c>
      <c r="T1100" t="str">
        <f>IF(Pipeline_tbl[[#This Row],[Closed_Date]]=0,"",(_xlfn.XLOOKUP(Pipeline_tbl[[#This Row],[Closed_Date]],Dim_Date!A:A,Dim_Date!H:H)))</f>
        <v>Nov 2024</v>
      </c>
      <c r="U1100">
        <f>IF(Pipeline_tbl[[#This Row],[Closed_Date]]=0,"",Pipeline_tbl[[#This Row],[Closed_Date]]-Pipeline_tbl[[#This Row],[Created_Date]])</f>
        <v>18</v>
      </c>
    </row>
    <row r="1101" spans="1:21" ht="15" customHeight="1" x14ac:dyDescent="0.2">
      <c r="A1101" t="s">
        <v>1407</v>
      </c>
      <c r="B1101" t="s">
        <v>196</v>
      </c>
      <c r="C1101" t="s">
        <v>55</v>
      </c>
      <c r="D1101" s="49">
        <v>45596</v>
      </c>
      <c r="E1101" s="49">
        <v>45598</v>
      </c>
      <c r="F1101" s="49">
        <v>45602</v>
      </c>
      <c r="G1101" s="49">
        <v>45608</v>
      </c>
      <c r="H1101" s="49">
        <v>45613</v>
      </c>
      <c r="I1101" s="49">
        <v>45616</v>
      </c>
      <c r="J1101" t="s">
        <v>49</v>
      </c>
      <c r="K1101" s="33">
        <v>5400</v>
      </c>
      <c r="L1101" t="s">
        <v>60</v>
      </c>
      <c r="M1101" t="str">
        <f>_xlfn.XLOOKUP(Pipeline_tbl[[#This Row],[Rep_ID]],Dim_Reps!A:A,Dim_Reps!K:K)</f>
        <v>EUR</v>
      </c>
      <c r="N1101" s="33">
        <f>(_xlfn.XLOOKUP(Pipeline_tbl[[#This Row],[Rate_Code_Generalized]],Lookups!A:A,Lookups!B:B))*Pipeline_tbl[[#This Row],[Pipeline_Amount_USD]]</f>
        <v>5400</v>
      </c>
      <c r="O1101" t="str">
        <f>_xlfn.XLOOKUP(Pipeline_tbl[[#This Row],[Rep_ID]],Dim_Reps!A:A,Dim_Reps!B:B)</f>
        <v>Alex Okafor</v>
      </c>
      <c r="P1101" t="str">
        <f>_xlfn.XLOOKUP(Pipeline_tbl[[#This Row],[Rep_ID]],Dim_Reps!A:A,Dim_Reps!C:C)</f>
        <v>SDR / Inside Sales Rep</v>
      </c>
      <c r="Q1101" t="str">
        <f>_xlfn.XLOOKUP(Pipeline_tbl[[#This Row],[Rep_ID]],Dim_Reps!A:A,Dim_Reps!D:D)</f>
        <v>Inside Sales</v>
      </c>
      <c r="R1101" t="str">
        <f>_xlfn.XLOOKUP(Pipeline_tbl[[#This Row],[Rep_ID]],Dim_Reps!A:A,Dim_Reps!E:E)</f>
        <v>EMEA</v>
      </c>
      <c r="S1101" t="str">
        <f>_xlfn.XLOOKUP(Pipeline_tbl[[#This Row],[Created_Date]],Dim_Date!A:A,Dim_Date!H:H)</f>
        <v>Oct 2024</v>
      </c>
      <c r="T1101" t="str">
        <f>IF(Pipeline_tbl[[#This Row],[Closed_Date]]=0,"",(_xlfn.XLOOKUP(Pipeline_tbl[[#This Row],[Closed_Date]],Dim_Date!A:A,Dim_Date!H:H)))</f>
        <v>Nov 2024</v>
      </c>
      <c r="U1101">
        <f>IF(Pipeline_tbl[[#This Row],[Closed_Date]]=0,"",Pipeline_tbl[[#This Row],[Closed_Date]]-Pipeline_tbl[[#This Row],[Created_Date]])</f>
        <v>20</v>
      </c>
    </row>
    <row r="1102" spans="1:21" ht="15" customHeight="1" x14ac:dyDescent="0.2">
      <c r="A1102" t="s">
        <v>1408</v>
      </c>
      <c r="B1102" t="s">
        <v>196</v>
      </c>
      <c r="C1102" t="s">
        <v>52</v>
      </c>
      <c r="D1102" s="49">
        <v>45577</v>
      </c>
      <c r="E1102" s="49">
        <v>45579</v>
      </c>
      <c r="F1102" s="49">
        <v>45584</v>
      </c>
      <c r="G1102" s="49">
        <v>45590</v>
      </c>
      <c r="H1102" s="49">
        <v>45596</v>
      </c>
      <c r="I1102" s="49">
        <v>45599</v>
      </c>
      <c r="J1102" t="s">
        <v>47</v>
      </c>
      <c r="K1102" s="33">
        <v>2000</v>
      </c>
      <c r="M1102" t="str">
        <f>_xlfn.XLOOKUP(Pipeline_tbl[[#This Row],[Rep_ID]],Dim_Reps!A:A,Dim_Reps!K:K)</f>
        <v>EUR</v>
      </c>
      <c r="N1102" s="33">
        <f>(_xlfn.XLOOKUP(Pipeline_tbl[[#This Row],[Rate_Code_Generalized]],Lookups!A:A,Lookups!B:B))*Pipeline_tbl[[#This Row],[Pipeline_Amount_USD]]</f>
        <v>2000</v>
      </c>
      <c r="O1102" t="str">
        <f>_xlfn.XLOOKUP(Pipeline_tbl[[#This Row],[Rep_ID]],Dim_Reps!A:A,Dim_Reps!B:B)</f>
        <v>Alex Okafor</v>
      </c>
      <c r="P1102" t="str">
        <f>_xlfn.XLOOKUP(Pipeline_tbl[[#This Row],[Rep_ID]],Dim_Reps!A:A,Dim_Reps!C:C)</f>
        <v>SDR / Inside Sales Rep</v>
      </c>
      <c r="Q1102" t="str">
        <f>_xlfn.XLOOKUP(Pipeline_tbl[[#This Row],[Rep_ID]],Dim_Reps!A:A,Dim_Reps!D:D)</f>
        <v>Inside Sales</v>
      </c>
      <c r="R1102" t="str">
        <f>_xlfn.XLOOKUP(Pipeline_tbl[[#This Row],[Rep_ID]],Dim_Reps!A:A,Dim_Reps!E:E)</f>
        <v>EMEA</v>
      </c>
      <c r="S1102" t="str">
        <f>_xlfn.XLOOKUP(Pipeline_tbl[[#This Row],[Created_Date]],Dim_Date!A:A,Dim_Date!H:H)</f>
        <v>Oct 2024</v>
      </c>
      <c r="T1102" t="str">
        <f>IF(Pipeline_tbl[[#This Row],[Closed_Date]]=0,"",(_xlfn.XLOOKUP(Pipeline_tbl[[#This Row],[Closed_Date]],Dim_Date!A:A,Dim_Date!H:H)))</f>
        <v>Nov 2024</v>
      </c>
      <c r="U1102">
        <f>IF(Pipeline_tbl[[#This Row],[Closed_Date]]=0,"",Pipeline_tbl[[#This Row],[Closed_Date]]-Pipeline_tbl[[#This Row],[Created_Date]])</f>
        <v>22</v>
      </c>
    </row>
    <row r="1103" spans="1:21" ht="15" customHeight="1" x14ac:dyDescent="0.2">
      <c r="A1103" t="s">
        <v>1409</v>
      </c>
      <c r="B1103" t="s">
        <v>199</v>
      </c>
      <c r="C1103" t="s">
        <v>53</v>
      </c>
      <c r="D1103" s="49">
        <v>45588</v>
      </c>
      <c r="E1103" s="49">
        <v>45590</v>
      </c>
      <c r="F1103" s="49">
        <v>45593</v>
      </c>
      <c r="G1103" s="49">
        <v>45599</v>
      </c>
      <c r="H1103" s="49">
        <v>45603</v>
      </c>
      <c r="I1103" s="49">
        <v>45606</v>
      </c>
      <c r="J1103" t="s">
        <v>47</v>
      </c>
      <c r="K1103" s="33">
        <v>2600</v>
      </c>
      <c r="M1103" t="str">
        <f>_xlfn.XLOOKUP(Pipeline_tbl[[#This Row],[Rep_ID]],Dim_Reps!A:A,Dim_Reps!K:K)</f>
        <v>EUR</v>
      </c>
      <c r="N1103" s="33">
        <f>(_xlfn.XLOOKUP(Pipeline_tbl[[#This Row],[Rate_Code_Generalized]],Lookups!A:A,Lookups!B:B))*Pipeline_tbl[[#This Row],[Pipeline_Amount_USD]]</f>
        <v>2600</v>
      </c>
      <c r="O1103" t="str">
        <f>_xlfn.XLOOKUP(Pipeline_tbl[[#This Row],[Rep_ID]],Dim_Reps!A:A,Dim_Reps!B:B)</f>
        <v>Lucas Okafor</v>
      </c>
      <c r="P1103" t="str">
        <f>_xlfn.XLOOKUP(Pipeline_tbl[[#This Row],[Rep_ID]],Dim_Reps!A:A,Dim_Reps!C:C)</f>
        <v>SDR / Inside Sales Rep</v>
      </c>
      <c r="Q1103" t="str">
        <f>_xlfn.XLOOKUP(Pipeline_tbl[[#This Row],[Rep_ID]],Dim_Reps!A:A,Dim_Reps!D:D)</f>
        <v>Inside Sales</v>
      </c>
      <c r="R1103" t="str">
        <f>_xlfn.XLOOKUP(Pipeline_tbl[[#This Row],[Rep_ID]],Dim_Reps!A:A,Dim_Reps!E:E)</f>
        <v>APAC</v>
      </c>
      <c r="S1103" t="str">
        <f>_xlfn.XLOOKUP(Pipeline_tbl[[#This Row],[Created_Date]],Dim_Date!A:A,Dim_Date!H:H)</f>
        <v>Oct 2024</v>
      </c>
      <c r="T1103" t="str">
        <f>IF(Pipeline_tbl[[#This Row],[Closed_Date]]=0,"",(_xlfn.XLOOKUP(Pipeline_tbl[[#This Row],[Closed_Date]],Dim_Date!A:A,Dim_Date!H:H)))</f>
        <v>Nov 2024</v>
      </c>
      <c r="U1103">
        <f>IF(Pipeline_tbl[[#This Row],[Closed_Date]]=0,"",Pipeline_tbl[[#This Row],[Closed_Date]]-Pipeline_tbl[[#This Row],[Created_Date]])</f>
        <v>18</v>
      </c>
    </row>
    <row r="1104" spans="1:21" ht="15" customHeight="1" x14ac:dyDescent="0.2">
      <c r="A1104" t="s">
        <v>1410</v>
      </c>
      <c r="B1104" t="s">
        <v>199</v>
      </c>
      <c r="C1104" t="s">
        <v>53</v>
      </c>
      <c r="D1104" s="49">
        <v>45586</v>
      </c>
      <c r="E1104" s="49">
        <v>45588</v>
      </c>
      <c r="F1104" s="49">
        <v>45592</v>
      </c>
      <c r="G1104" s="49">
        <v>45599</v>
      </c>
      <c r="H1104" s="49">
        <v>45604</v>
      </c>
      <c r="I1104" s="49">
        <v>45607</v>
      </c>
      <c r="J1104" t="s">
        <v>47</v>
      </c>
      <c r="K1104" s="33">
        <v>4200</v>
      </c>
      <c r="M1104" t="str">
        <f>_xlfn.XLOOKUP(Pipeline_tbl[[#This Row],[Rep_ID]],Dim_Reps!A:A,Dim_Reps!K:K)</f>
        <v>EUR</v>
      </c>
      <c r="N1104" s="33">
        <f>(_xlfn.XLOOKUP(Pipeline_tbl[[#This Row],[Rate_Code_Generalized]],Lookups!A:A,Lookups!B:B))*Pipeline_tbl[[#This Row],[Pipeline_Amount_USD]]</f>
        <v>4200</v>
      </c>
      <c r="O1104" t="str">
        <f>_xlfn.XLOOKUP(Pipeline_tbl[[#This Row],[Rep_ID]],Dim_Reps!A:A,Dim_Reps!B:B)</f>
        <v>Lucas Okafor</v>
      </c>
      <c r="P1104" t="str">
        <f>_xlfn.XLOOKUP(Pipeline_tbl[[#This Row],[Rep_ID]],Dim_Reps!A:A,Dim_Reps!C:C)</f>
        <v>SDR / Inside Sales Rep</v>
      </c>
      <c r="Q1104" t="str">
        <f>_xlfn.XLOOKUP(Pipeline_tbl[[#This Row],[Rep_ID]],Dim_Reps!A:A,Dim_Reps!D:D)</f>
        <v>Inside Sales</v>
      </c>
      <c r="R1104" t="str">
        <f>_xlfn.XLOOKUP(Pipeline_tbl[[#This Row],[Rep_ID]],Dim_Reps!A:A,Dim_Reps!E:E)</f>
        <v>APAC</v>
      </c>
      <c r="S1104" t="str">
        <f>_xlfn.XLOOKUP(Pipeline_tbl[[#This Row],[Created_Date]],Dim_Date!A:A,Dim_Date!H:H)</f>
        <v>Oct 2024</v>
      </c>
      <c r="T1104" t="str">
        <f>IF(Pipeline_tbl[[#This Row],[Closed_Date]]=0,"",(_xlfn.XLOOKUP(Pipeline_tbl[[#This Row],[Closed_Date]],Dim_Date!A:A,Dim_Date!H:H)))</f>
        <v>Nov 2024</v>
      </c>
      <c r="U1104">
        <f>IF(Pipeline_tbl[[#This Row],[Closed_Date]]=0,"",Pipeline_tbl[[#This Row],[Closed_Date]]-Pipeline_tbl[[#This Row],[Created_Date]])</f>
        <v>21</v>
      </c>
    </row>
    <row r="1105" spans="1:21" ht="15" customHeight="1" x14ac:dyDescent="0.2">
      <c r="A1105" t="s">
        <v>1411</v>
      </c>
      <c r="B1105" t="s">
        <v>199</v>
      </c>
      <c r="C1105" t="s">
        <v>54</v>
      </c>
      <c r="D1105" s="49">
        <v>45588</v>
      </c>
      <c r="E1105" s="49">
        <v>45590</v>
      </c>
      <c r="F1105" s="49">
        <v>45594</v>
      </c>
      <c r="G1105" s="49">
        <v>45601</v>
      </c>
      <c r="H1105" s="49">
        <v>45606</v>
      </c>
      <c r="I1105" s="49">
        <v>45609</v>
      </c>
      <c r="J1105" t="s">
        <v>47</v>
      </c>
      <c r="K1105" s="33">
        <v>4600</v>
      </c>
      <c r="M1105" t="str">
        <f>_xlfn.XLOOKUP(Pipeline_tbl[[#This Row],[Rep_ID]],Dim_Reps!A:A,Dim_Reps!K:K)</f>
        <v>EUR</v>
      </c>
      <c r="N1105" s="33">
        <f>(_xlfn.XLOOKUP(Pipeline_tbl[[#This Row],[Rate_Code_Generalized]],Lookups!A:A,Lookups!B:B))*Pipeline_tbl[[#This Row],[Pipeline_Amount_USD]]</f>
        <v>4600</v>
      </c>
      <c r="O1105" t="str">
        <f>_xlfn.XLOOKUP(Pipeline_tbl[[#This Row],[Rep_ID]],Dim_Reps!A:A,Dim_Reps!B:B)</f>
        <v>Lucas Okafor</v>
      </c>
      <c r="P1105" t="str">
        <f>_xlfn.XLOOKUP(Pipeline_tbl[[#This Row],[Rep_ID]],Dim_Reps!A:A,Dim_Reps!C:C)</f>
        <v>SDR / Inside Sales Rep</v>
      </c>
      <c r="Q1105" t="str">
        <f>_xlfn.XLOOKUP(Pipeline_tbl[[#This Row],[Rep_ID]],Dim_Reps!A:A,Dim_Reps!D:D)</f>
        <v>Inside Sales</v>
      </c>
      <c r="R1105" t="str">
        <f>_xlfn.XLOOKUP(Pipeline_tbl[[#This Row],[Rep_ID]],Dim_Reps!A:A,Dim_Reps!E:E)</f>
        <v>APAC</v>
      </c>
      <c r="S1105" t="str">
        <f>_xlfn.XLOOKUP(Pipeline_tbl[[#This Row],[Created_Date]],Dim_Date!A:A,Dim_Date!H:H)</f>
        <v>Oct 2024</v>
      </c>
      <c r="T1105" t="str">
        <f>IF(Pipeline_tbl[[#This Row],[Closed_Date]]=0,"",(_xlfn.XLOOKUP(Pipeline_tbl[[#This Row],[Closed_Date]],Dim_Date!A:A,Dim_Date!H:H)))</f>
        <v>Nov 2024</v>
      </c>
      <c r="U1105">
        <f>IF(Pipeline_tbl[[#This Row],[Closed_Date]]=0,"",Pipeline_tbl[[#This Row],[Closed_Date]]-Pipeline_tbl[[#This Row],[Created_Date]])</f>
        <v>21</v>
      </c>
    </row>
    <row r="1106" spans="1:21" ht="15" customHeight="1" x14ac:dyDescent="0.2">
      <c r="A1106" t="s">
        <v>1412</v>
      </c>
      <c r="B1106" t="s">
        <v>199</v>
      </c>
      <c r="C1106" t="s">
        <v>53</v>
      </c>
      <c r="D1106" s="49">
        <v>45581</v>
      </c>
      <c r="E1106" s="49">
        <v>45583</v>
      </c>
      <c r="F1106" s="49">
        <v>45588</v>
      </c>
      <c r="G1106" s="49">
        <v>45595</v>
      </c>
      <c r="I1106" s="49">
        <v>45605</v>
      </c>
      <c r="J1106" t="s">
        <v>49</v>
      </c>
      <c r="K1106" s="33">
        <v>4000</v>
      </c>
      <c r="L1106" t="s">
        <v>61</v>
      </c>
      <c r="M1106" t="str">
        <f>_xlfn.XLOOKUP(Pipeline_tbl[[#This Row],[Rep_ID]],Dim_Reps!A:A,Dim_Reps!K:K)</f>
        <v>EUR</v>
      </c>
      <c r="N1106" s="33">
        <f>(_xlfn.XLOOKUP(Pipeline_tbl[[#This Row],[Rate_Code_Generalized]],Lookups!A:A,Lookups!B:B))*Pipeline_tbl[[#This Row],[Pipeline_Amount_USD]]</f>
        <v>4000</v>
      </c>
      <c r="O1106" t="str">
        <f>_xlfn.XLOOKUP(Pipeline_tbl[[#This Row],[Rep_ID]],Dim_Reps!A:A,Dim_Reps!B:B)</f>
        <v>Lucas Okafor</v>
      </c>
      <c r="P1106" t="str">
        <f>_xlfn.XLOOKUP(Pipeline_tbl[[#This Row],[Rep_ID]],Dim_Reps!A:A,Dim_Reps!C:C)</f>
        <v>SDR / Inside Sales Rep</v>
      </c>
      <c r="Q1106" t="str">
        <f>_xlfn.XLOOKUP(Pipeline_tbl[[#This Row],[Rep_ID]],Dim_Reps!A:A,Dim_Reps!D:D)</f>
        <v>Inside Sales</v>
      </c>
      <c r="R1106" t="str">
        <f>_xlfn.XLOOKUP(Pipeline_tbl[[#This Row],[Rep_ID]],Dim_Reps!A:A,Dim_Reps!E:E)</f>
        <v>APAC</v>
      </c>
      <c r="S1106" t="str">
        <f>_xlfn.XLOOKUP(Pipeline_tbl[[#This Row],[Created_Date]],Dim_Date!A:A,Dim_Date!H:H)</f>
        <v>Oct 2024</v>
      </c>
      <c r="T1106" t="str">
        <f>IF(Pipeline_tbl[[#This Row],[Closed_Date]]=0,"",(_xlfn.XLOOKUP(Pipeline_tbl[[#This Row],[Closed_Date]],Dim_Date!A:A,Dim_Date!H:H)))</f>
        <v>Nov 2024</v>
      </c>
      <c r="U1106">
        <f>IF(Pipeline_tbl[[#This Row],[Closed_Date]]=0,"",Pipeline_tbl[[#This Row],[Closed_Date]]-Pipeline_tbl[[#This Row],[Created_Date]])</f>
        <v>24</v>
      </c>
    </row>
    <row r="1107" spans="1:21" ht="15" customHeight="1" x14ac:dyDescent="0.2">
      <c r="A1107" t="s">
        <v>1413</v>
      </c>
      <c r="B1107" t="s">
        <v>199</v>
      </c>
      <c r="C1107" t="s">
        <v>52</v>
      </c>
      <c r="D1107" s="49">
        <v>45580</v>
      </c>
      <c r="E1107" s="49">
        <v>45582</v>
      </c>
      <c r="F1107" s="49">
        <v>45586</v>
      </c>
      <c r="G1107" s="49">
        <v>45591</v>
      </c>
      <c r="I1107" s="49">
        <v>45599</v>
      </c>
      <c r="J1107" t="s">
        <v>49</v>
      </c>
      <c r="K1107" s="33">
        <v>2600</v>
      </c>
      <c r="L1107" t="s">
        <v>60</v>
      </c>
      <c r="M1107" t="str">
        <f>_xlfn.XLOOKUP(Pipeline_tbl[[#This Row],[Rep_ID]],Dim_Reps!A:A,Dim_Reps!K:K)</f>
        <v>EUR</v>
      </c>
      <c r="N1107" s="33">
        <f>(_xlfn.XLOOKUP(Pipeline_tbl[[#This Row],[Rate_Code_Generalized]],Lookups!A:A,Lookups!B:B))*Pipeline_tbl[[#This Row],[Pipeline_Amount_USD]]</f>
        <v>2600</v>
      </c>
      <c r="O1107" t="str">
        <f>_xlfn.XLOOKUP(Pipeline_tbl[[#This Row],[Rep_ID]],Dim_Reps!A:A,Dim_Reps!B:B)</f>
        <v>Lucas Okafor</v>
      </c>
      <c r="P1107" t="str">
        <f>_xlfn.XLOOKUP(Pipeline_tbl[[#This Row],[Rep_ID]],Dim_Reps!A:A,Dim_Reps!C:C)</f>
        <v>SDR / Inside Sales Rep</v>
      </c>
      <c r="Q1107" t="str">
        <f>_xlfn.XLOOKUP(Pipeline_tbl[[#This Row],[Rep_ID]],Dim_Reps!A:A,Dim_Reps!D:D)</f>
        <v>Inside Sales</v>
      </c>
      <c r="R1107" t="str">
        <f>_xlfn.XLOOKUP(Pipeline_tbl[[#This Row],[Rep_ID]],Dim_Reps!A:A,Dim_Reps!E:E)</f>
        <v>APAC</v>
      </c>
      <c r="S1107" t="str">
        <f>_xlfn.XLOOKUP(Pipeline_tbl[[#This Row],[Created_Date]],Dim_Date!A:A,Dim_Date!H:H)</f>
        <v>Oct 2024</v>
      </c>
      <c r="T1107" t="str">
        <f>IF(Pipeline_tbl[[#This Row],[Closed_Date]]=0,"",(_xlfn.XLOOKUP(Pipeline_tbl[[#This Row],[Closed_Date]],Dim_Date!A:A,Dim_Date!H:H)))</f>
        <v>Nov 2024</v>
      </c>
      <c r="U1107">
        <f>IF(Pipeline_tbl[[#This Row],[Closed_Date]]=0,"",Pipeline_tbl[[#This Row],[Closed_Date]]-Pipeline_tbl[[#This Row],[Created_Date]])</f>
        <v>19</v>
      </c>
    </row>
    <row r="1108" spans="1:21" ht="15" customHeight="1" x14ac:dyDescent="0.2">
      <c r="A1108" t="s">
        <v>1414</v>
      </c>
      <c r="B1108" t="s">
        <v>199</v>
      </c>
      <c r="C1108" t="s">
        <v>52</v>
      </c>
      <c r="D1108" s="49">
        <v>45591</v>
      </c>
      <c r="E1108" s="49">
        <v>45593</v>
      </c>
      <c r="F1108" s="49">
        <v>45597</v>
      </c>
      <c r="G1108" s="49">
        <v>45604</v>
      </c>
      <c r="H1108" s="49">
        <v>45609</v>
      </c>
      <c r="I1108" s="49">
        <v>45612</v>
      </c>
      <c r="J1108" t="s">
        <v>47</v>
      </c>
      <c r="K1108" s="33">
        <v>5500</v>
      </c>
      <c r="M1108" t="str">
        <f>_xlfn.XLOOKUP(Pipeline_tbl[[#This Row],[Rep_ID]],Dim_Reps!A:A,Dim_Reps!K:K)</f>
        <v>EUR</v>
      </c>
      <c r="N1108" s="33">
        <f>(_xlfn.XLOOKUP(Pipeline_tbl[[#This Row],[Rate_Code_Generalized]],Lookups!A:A,Lookups!B:B))*Pipeline_tbl[[#This Row],[Pipeline_Amount_USD]]</f>
        <v>5500</v>
      </c>
      <c r="O1108" t="str">
        <f>_xlfn.XLOOKUP(Pipeline_tbl[[#This Row],[Rep_ID]],Dim_Reps!A:A,Dim_Reps!B:B)</f>
        <v>Lucas Okafor</v>
      </c>
      <c r="P1108" t="str">
        <f>_xlfn.XLOOKUP(Pipeline_tbl[[#This Row],[Rep_ID]],Dim_Reps!A:A,Dim_Reps!C:C)</f>
        <v>SDR / Inside Sales Rep</v>
      </c>
      <c r="Q1108" t="str">
        <f>_xlfn.XLOOKUP(Pipeline_tbl[[#This Row],[Rep_ID]],Dim_Reps!A:A,Dim_Reps!D:D)</f>
        <v>Inside Sales</v>
      </c>
      <c r="R1108" t="str">
        <f>_xlfn.XLOOKUP(Pipeline_tbl[[#This Row],[Rep_ID]],Dim_Reps!A:A,Dim_Reps!E:E)</f>
        <v>APAC</v>
      </c>
      <c r="S1108" t="str">
        <f>_xlfn.XLOOKUP(Pipeline_tbl[[#This Row],[Created_Date]],Dim_Date!A:A,Dim_Date!H:H)</f>
        <v>Oct 2024</v>
      </c>
      <c r="T1108" t="str">
        <f>IF(Pipeline_tbl[[#This Row],[Closed_Date]]=0,"",(_xlfn.XLOOKUP(Pipeline_tbl[[#This Row],[Closed_Date]],Dim_Date!A:A,Dim_Date!H:H)))</f>
        <v>Nov 2024</v>
      </c>
      <c r="U1108">
        <f>IF(Pipeline_tbl[[#This Row],[Closed_Date]]=0,"",Pipeline_tbl[[#This Row],[Closed_Date]]-Pipeline_tbl[[#This Row],[Created_Date]])</f>
        <v>21</v>
      </c>
    </row>
    <row r="1109" spans="1:21" ht="15" customHeight="1" x14ac:dyDescent="0.2">
      <c r="A1109" t="s">
        <v>1415</v>
      </c>
      <c r="B1109" t="s">
        <v>199</v>
      </c>
      <c r="C1109" t="s">
        <v>56</v>
      </c>
      <c r="D1109" s="49">
        <v>45588</v>
      </c>
      <c r="E1109" s="49">
        <v>45589</v>
      </c>
      <c r="F1109" s="49">
        <v>45592</v>
      </c>
      <c r="G1109" s="49">
        <v>45595</v>
      </c>
      <c r="I1109" s="49">
        <v>45600</v>
      </c>
      <c r="J1109" t="s">
        <v>49</v>
      </c>
      <c r="K1109" s="33">
        <v>2300</v>
      </c>
      <c r="L1109" t="s">
        <v>60</v>
      </c>
      <c r="M1109" t="str">
        <f>_xlfn.XLOOKUP(Pipeline_tbl[[#This Row],[Rep_ID]],Dim_Reps!A:A,Dim_Reps!K:K)</f>
        <v>EUR</v>
      </c>
      <c r="N1109" s="33">
        <f>(_xlfn.XLOOKUP(Pipeline_tbl[[#This Row],[Rate_Code_Generalized]],Lookups!A:A,Lookups!B:B))*Pipeline_tbl[[#This Row],[Pipeline_Amount_USD]]</f>
        <v>2300</v>
      </c>
      <c r="O1109" t="str">
        <f>_xlfn.XLOOKUP(Pipeline_tbl[[#This Row],[Rep_ID]],Dim_Reps!A:A,Dim_Reps!B:B)</f>
        <v>Lucas Okafor</v>
      </c>
      <c r="P1109" t="str">
        <f>_xlfn.XLOOKUP(Pipeline_tbl[[#This Row],[Rep_ID]],Dim_Reps!A:A,Dim_Reps!C:C)</f>
        <v>SDR / Inside Sales Rep</v>
      </c>
      <c r="Q1109" t="str">
        <f>_xlfn.XLOOKUP(Pipeline_tbl[[#This Row],[Rep_ID]],Dim_Reps!A:A,Dim_Reps!D:D)</f>
        <v>Inside Sales</v>
      </c>
      <c r="R1109" t="str">
        <f>_xlfn.XLOOKUP(Pipeline_tbl[[#This Row],[Rep_ID]],Dim_Reps!A:A,Dim_Reps!E:E)</f>
        <v>APAC</v>
      </c>
      <c r="S1109" t="str">
        <f>_xlfn.XLOOKUP(Pipeline_tbl[[#This Row],[Created_Date]],Dim_Date!A:A,Dim_Date!H:H)</f>
        <v>Oct 2024</v>
      </c>
      <c r="T1109" t="str">
        <f>IF(Pipeline_tbl[[#This Row],[Closed_Date]]=0,"",(_xlfn.XLOOKUP(Pipeline_tbl[[#This Row],[Closed_Date]],Dim_Date!A:A,Dim_Date!H:H)))</f>
        <v>Nov 2024</v>
      </c>
      <c r="U1109">
        <f>IF(Pipeline_tbl[[#This Row],[Closed_Date]]=0,"",Pipeline_tbl[[#This Row],[Closed_Date]]-Pipeline_tbl[[#This Row],[Created_Date]])</f>
        <v>12</v>
      </c>
    </row>
    <row r="1110" spans="1:21" ht="15" customHeight="1" x14ac:dyDescent="0.2">
      <c r="A1110" t="s">
        <v>1416</v>
      </c>
      <c r="B1110" t="s">
        <v>199</v>
      </c>
      <c r="C1110" t="s">
        <v>56</v>
      </c>
      <c r="D1110" s="49">
        <v>45575</v>
      </c>
      <c r="E1110" s="49">
        <v>45577</v>
      </c>
      <c r="F1110" s="49">
        <v>45582</v>
      </c>
      <c r="G1110" s="49">
        <v>45588</v>
      </c>
      <c r="H1110" s="49">
        <v>45594</v>
      </c>
      <c r="I1110" s="49">
        <v>45597</v>
      </c>
      <c r="J1110" t="s">
        <v>47</v>
      </c>
      <c r="K1110" s="33">
        <v>3300</v>
      </c>
      <c r="M1110" t="str">
        <f>_xlfn.XLOOKUP(Pipeline_tbl[[#This Row],[Rep_ID]],Dim_Reps!A:A,Dim_Reps!K:K)</f>
        <v>EUR</v>
      </c>
      <c r="N1110" s="33">
        <f>(_xlfn.XLOOKUP(Pipeline_tbl[[#This Row],[Rate_Code_Generalized]],Lookups!A:A,Lookups!B:B))*Pipeline_tbl[[#This Row],[Pipeline_Amount_USD]]</f>
        <v>3300</v>
      </c>
      <c r="O1110" t="str">
        <f>_xlfn.XLOOKUP(Pipeline_tbl[[#This Row],[Rep_ID]],Dim_Reps!A:A,Dim_Reps!B:B)</f>
        <v>Lucas Okafor</v>
      </c>
      <c r="P1110" t="str">
        <f>_xlfn.XLOOKUP(Pipeline_tbl[[#This Row],[Rep_ID]],Dim_Reps!A:A,Dim_Reps!C:C)</f>
        <v>SDR / Inside Sales Rep</v>
      </c>
      <c r="Q1110" t="str">
        <f>_xlfn.XLOOKUP(Pipeline_tbl[[#This Row],[Rep_ID]],Dim_Reps!A:A,Dim_Reps!D:D)</f>
        <v>Inside Sales</v>
      </c>
      <c r="R1110" t="str">
        <f>_xlfn.XLOOKUP(Pipeline_tbl[[#This Row],[Rep_ID]],Dim_Reps!A:A,Dim_Reps!E:E)</f>
        <v>APAC</v>
      </c>
      <c r="S1110" t="str">
        <f>_xlfn.XLOOKUP(Pipeline_tbl[[#This Row],[Created_Date]],Dim_Date!A:A,Dim_Date!H:H)</f>
        <v>Oct 2024</v>
      </c>
      <c r="T1110" t="str">
        <f>IF(Pipeline_tbl[[#This Row],[Closed_Date]]=0,"",(_xlfn.XLOOKUP(Pipeline_tbl[[#This Row],[Closed_Date]],Dim_Date!A:A,Dim_Date!H:H)))</f>
        <v>Nov 2024</v>
      </c>
      <c r="U1110">
        <f>IF(Pipeline_tbl[[#This Row],[Closed_Date]]=0,"",Pipeline_tbl[[#This Row],[Closed_Date]]-Pipeline_tbl[[#This Row],[Created_Date]])</f>
        <v>22</v>
      </c>
    </row>
    <row r="1111" spans="1:21" ht="15" customHeight="1" x14ac:dyDescent="0.2">
      <c r="A1111" t="s">
        <v>1417</v>
      </c>
      <c r="B1111" t="s">
        <v>199</v>
      </c>
      <c r="C1111" t="s">
        <v>52</v>
      </c>
      <c r="D1111" s="49">
        <v>45587</v>
      </c>
      <c r="E1111" s="49">
        <v>45589</v>
      </c>
      <c r="F1111" s="49">
        <v>45594</v>
      </c>
      <c r="G1111" s="49">
        <v>45600</v>
      </c>
      <c r="I1111" s="49">
        <v>45609</v>
      </c>
      <c r="J1111" t="s">
        <v>49</v>
      </c>
      <c r="K1111" s="33">
        <v>4500</v>
      </c>
      <c r="L1111" t="s">
        <v>60</v>
      </c>
      <c r="M1111" t="str">
        <f>_xlfn.XLOOKUP(Pipeline_tbl[[#This Row],[Rep_ID]],Dim_Reps!A:A,Dim_Reps!K:K)</f>
        <v>EUR</v>
      </c>
      <c r="N1111" s="33">
        <f>(_xlfn.XLOOKUP(Pipeline_tbl[[#This Row],[Rate_Code_Generalized]],Lookups!A:A,Lookups!B:B))*Pipeline_tbl[[#This Row],[Pipeline_Amount_USD]]</f>
        <v>4500</v>
      </c>
      <c r="O1111" t="str">
        <f>_xlfn.XLOOKUP(Pipeline_tbl[[#This Row],[Rep_ID]],Dim_Reps!A:A,Dim_Reps!B:B)</f>
        <v>Lucas Okafor</v>
      </c>
      <c r="P1111" t="str">
        <f>_xlfn.XLOOKUP(Pipeline_tbl[[#This Row],[Rep_ID]],Dim_Reps!A:A,Dim_Reps!C:C)</f>
        <v>SDR / Inside Sales Rep</v>
      </c>
      <c r="Q1111" t="str">
        <f>_xlfn.XLOOKUP(Pipeline_tbl[[#This Row],[Rep_ID]],Dim_Reps!A:A,Dim_Reps!D:D)</f>
        <v>Inside Sales</v>
      </c>
      <c r="R1111" t="str">
        <f>_xlfn.XLOOKUP(Pipeline_tbl[[#This Row],[Rep_ID]],Dim_Reps!A:A,Dim_Reps!E:E)</f>
        <v>APAC</v>
      </c>
      <c r="S1111" t="str">
        <f>_xlfn.XLOOKUP(Pipeline_tbl[[#This Row],[Created_Date]],Dim_Date!A:A,Dim_Date!H:H)</f>
        <v>Oct 2024</v>
      </c>
      <c r="T1111" t="str">
        <f>IF(Pipeline_tbl[[#This Row],[Closed_Date]]=0,"",(_xlfn.XLOOKUP(Pipeline_tbl[[#This Row],[Closed_Date]],Dim_Date!A:A,Dim_Date!H:H)))</f>
        <v>Nov 2024</v>
      </c>
      <c r="U1111">
        <f>IF(Pipeline_tbl[[#This Row],[Closed_Date]]=0,"",Pipeline_tbl[[#This Row],[Closed_Date]]-Pipeline_tbl[[#This Row],[Created_Date]])</f>
        <v>22</v>
      </c>
    </row>
    <row r="1112" spans="1:21" ht="15" customHeight="1" x14ac:dyDescent="0.2">
      <c r="A1112" t="s">
        <v>1418</v>
      </c>
      <c r="B1112" t="s">
        <v>199</v>
      </c>
      <c r="C1112" t="s">
        <v>53</v>
      </c>
      <c r="D1112" s="49">
        <v>45584</v>
      </c>
      <c r="E1112" s="49">
        <v>45586</v>
      </c>
      <c r="F1112" s="49">
        <v>45590</v>
      </c>
      <c r="G1112" s="49">
        <v>45597</v>
      </c>
      <c r="H1112" s="49">
        <v>45602</v>
      </c>
      <c r="I1112" s="49">
        <v>45605</v>
      </c>
      <c r="J1112" t="s">
        <v>47</v>
      </c>
      <c r="K1112" s="33">
        <v>3800</v>
      </c>
      <c r="M1112" t="str">
        <f>_xlfn.XLOOKUP(Pipeline_tbl[[#This Row],[Rep_ID]],Dim_Reps!A:A,Dim_Reps!K:K)</f>
        <v>EUR</v>
      </c>
      <c r="N1112" s="33">
        <f>(_xlfn.XLOOKUP(Pipeline_tbl[[#This Row],[Rate_Code_Generalized]],Lookups!A:A,Lookups!B:B))*Pipeline_tbl[[#This Row],[Pipeline_Amount_USD]]</f>
        <v>3800</v>
      </c>
      <c r="O1112" t="str">
        <f>_xlfn.XLOOKUP(Pipeline_tbl[[#This Row],[Rep_ID]],Dim_Reps!A:A,Dim_Reps!B:B)</f>
        <v>Lucas Okafor</v>
      </c>
      <c r="P1112" t="str">
        <f>_xlfn.XLOOKUP(Pipeline_tbl[[#This Row],[Rep_ID]],Dim_Reps!A:A,Dim_Reps!C:C)</f>
        <v>SDR / Inside Sales Rep</v>
      </c>
      <c r="Q1112" t="str">
        <f>_xlfn.XLOOKUP(Pipeline_tbl[[#This Row],[Rep_ID]],Dim_Reps!A:A,Dim_Reps!D:D)</f>
        <v>Inside Sales</v>
      </c>
      <c r="R1112" t="str">
        <f>_xlfn.XLOOKUP(Pipeline_tbl[[#This Row],[Rep_ID]],Dim_Reps!A:A,Dim_Reps!E:E)</f>
        <v>APAC</v>
      </c>
      <c r="S1112" t="str">
        <f>_xlfn.XLOOKUP(Pipeline_tbl[[#This Row],[Created_Date]],Dim_Date!A:A,Dim_Date!H:H)</f>
        <v>Oct 2024</v>
      </c>
      <c r="T1112" t="str">
        <f>IF(Pipeline_tbl[[#This Row],[Closed_Date]]=0,"",(_xlfn.XLOOKUP(Pipeline_tbl[[#This Row],[Closed_Date]],Dim_Date!A:A,Dim_Date!H:H)))</f>
        <v>Nov 2024</v>
      </c>
      <c r="U1112">
        <f>IF(Pipeline_tbl[[#This Row],[Closed_Date]]=0,"",Pipeline_tbl[[#This Row],[Closed_Date]]-Pipeline_tbl[[#This Row],[Created_Date]])</f>
        <v>21</v>
      </c>
    </row>
    <row r="1113" spans="1:21" ht="15" customHeight="1" x14ac:dyDescent="0.2">
      <c r="A1113" t="s">
        <v>1419</v>
      </c>
      <c r="B1113" t="s">
        <v>199</v>
      </c>
      <c r="C1113" t="s">
        <v>54</v>
      </c>
      <c r="D1113" s="49">
        <v>45581</v>
      </c>
      <c r="E1113" s="49">
        <v>45583</v>
      </c>
      <c r="F1113" s="49">
        <v>45588</v>
      </c>
      <c r="G1113" s="49">
        <v>45595</v>
      </c>
      <c r="H1113" s="49">
        <v>45601</v>
      </c>
      <c r="I1113" s="49">
        <v>45604</v>
      </c>
      <c r="J1113" t="s">
        <v>47</v>
      </c>
      <c r="K1113" s="33">
        <v>6200</v>
      </c>
      <c r="M1113" t="str">
        <f>_xlfn.XLOOKUP(Pipeline_tbl[[#This Row],[Rep_ID]],Dim_Reps!A:A,Dim_Reps!K:K)</f>
        <v>EUR</v>
      </c>
      <c r="N1113" s="33">
        <f>(_xlfn.XLOOKUP(Pipeline_tbl[[#This Row],[Rate_Code_Generalized]],Lookups!A:A,Lookups!B:B))*Pipeline_tbl[[#This Row],[Pipeline_Amount_USD]]</f>
        <v>6200</v>
      </c>
      <c r="O1113" t="str">
        <f>_xlfn.XLOOKUP(Pipeline_tbl[[#This Row],[Rep_ID]],Dim_Reps!A:A,Dim_Reps!B:B)</f>
        <v>Lucas Okafor</v>
      </c>
      <c r="P1113" t="str">
        <f>_xlfn.XLOOKUP(Pipeline_tbl[[#This Row],[Rep_ID]],Dim_Reps!A:A,Dim_Reps!C:C)</f>
        <v>SDR / Inside Sales Rep</v>
      </c>
      <c r="Q1113" t="str">
        <f>_xlfn.XLOOKUP(Pipeline_tbl[[#This Row],[Rep_ID]],Dim_Reps!A:A,Dim_Reps!D:D)</f>
        <v>Inside Sales</v>
      </c>
      <c r="R1113" t="str">
        <f>_xlfn.XLOOKUP(Pipeline_tbl[[#This Row],[Rep_ID]],Dim_Reps!A:A,Dim_Reps!E:E)</f>
        <v>APAC</v>
      </c>
      <c r="S1113" t="str">
        <f>_xlfn.XLOOKUP(Pipeline_tbl[[#This Row],[Created_Date]],Dim_Date!A:A,Dim_Date!H:H)</f>
        <v>Oct 2024</v>
      </c>
      <c r="T1113" t="str">
        <f>IF(Pipeline_tbl[[#This Row],[Closed_Date]]=0,"",(_xlfn.XLOOKUP(Pipeline_tbl[[#This Row],[Closed_Date]],Dim_Date!A:A,Dim_Date!H:H)))</f>
        <v>Nov 2024</v>
      </c>
      <c r="U1113">
        <f>IF(Pipeline_tbl[[#This Row],[Closed_Date]]=0,"",Pipeline_tbl[[#This Row],[Closed_Date]]-Pipeline_tbl[[#This Row],[Created_Date]])</f>
        <v>23</v>
      </c>
    </row>
    <row r="1114" spans="1:21" ht="15" customHeight="1" x14ac:dyDescent="0.2">
      <c r="A1114" t="s">
        <v>1420</v>
      </c>
      <c r="B1114" t="s">
        <v>183</v>
      </c>
      <c r="C1114" t="s">
        <v>53</v>
      </c>
      <c r="D1114" s="49">
        <v>45581</v>
      </c>
      <c r="E1114" s="49">
        <v>45585</v>
      </c>
      <c r="F1114" s="49">
        <v>45593</v>
      </c>
      <c r="G1114" s="49">
        <v>45606</v>
      </c>
      <c r="H1114" s="49">
        <v>45616</v>
      </c>
      <c r="I1114" s="49">
        <v>45622</v>
      </c>
      <c r="J1114" t="s">
        <v>47</v>
      </c>
      <c r="K1114" s="33">
        <v>45700</v>
      </c>
      <c r="M1114" t="str">
        <f>_xlfn.XLOOKUP(Pipeline_tbl[[#This Row],[Rep_ID]],Dim_Reps!A:A,Dim_Reps!K:K)</f>
        <v>EUR</v>
      </c>
      <c r="N1114" s="33">
        <f>(_xlfn.XLOOKUP(Pipeline_tbl[[#This Row],[Rate_Code_Generalized]],Lookups!A:A,Lookups!B:B))*Pipeline_tbl[[#This Row],[Pipeline_Amount_USD]]</f>
        <v>45700</v>
      </c>
      <c r="O1114" t="str">
        <f>_xlfn.XLOOKUP(Pipeline_tbl[[#This Row],[Rep_ID]],Dim_Reps!A:A,Dim_Reps!B:B)</f>
        <v>Sam Schmidt</v>
      </c>
      <c r="P1114" t="str">
        <f>_xlfn.XLOOKUP(Pipeline_tbl[[#This Row],[Rep_ID]],Dim_Reps!A:A,Dim_Reps!C:C)</f>
        <v>Enterprise AE</v>
      </c>
      <c r="Q1114" t="str">
        <f>_xlfn.XLOOKUP(Pipeline_tbl[[#This Row],[Rep_ID]],Dim_Reps!A:A,Dim_Reps!D:D)</f>
        <v>Enterprise</v>
      </c>
      <c r="R1114" t="str">
        <f>_xlfn.XLOOKUP(Pipeline_tbl[[#This Row],[Rep_ID]],Dim_Reps!A:A,Dim_Reps!E:E)</f>
        <v>EMEA</v>
      </c>
      <c r="S1114" t="str">
        <f>_xlfn.XLOOKUP(Pipeline_tbl[[#This Row],[Created_Date]],Dim_Date!A:A,Dim_Date!H:H)</f>
        <v>Oct 2024</v>
      </c>
      <c r="T1114" t="str">
        <f>IF(Pipeline_tbl[[#This Row],[Closed_Date]]=0,"",(_xlfn.XLOOKUP(Pipeline_tbl[[#This Row],[Closed_Date]],Dim_Date!A:A,Dim_Date!H:H)))</f>
        <v>Nov 2024</v>
      </c>
      <c r="U1114">
        <f>IF(Pipeline_tbl[[#This Row],[Closed_Date]]=0,"",Pipeline_tbl[[#This Row],[Closed_Date]]-Pipeline_tbl[[#This Row],[Created_Date]])</f>
        <v>41</v>
      </c>
    </row>
    <row r="1115" spans="1:21" ht="15" customHeight="1" x14ac:dyDescent="0.2">
      <c r="A1115" t="s">
        <v>1421</v>
      </c>
      <c r="B1115" t="s">
        <v>183</v>
      </c>
      <c r="C1115" t="s">
        <v>52</v>
      </c>
      <c r="D1115" s="49">
        <v>45577</v>
      </c>
      <c r="E1115" s="49">
        <v>45581</v>
      </c>
      <c r="I1115" s="49">
        <v>45619</v>
      </c>
      <c r="J1115" t="s">
        <v>49</v>
      </c>
      <c r="K1115" s="33">
        <v>70900</v>
      </c>
      <c r="L1115" t="s">
        <v>60</v>
      </c>
      <c r="M1115" t="str">
        <f>_xlfn.XLOOKUP(Pipeline_tbl[[#This Row],[Rep_ID]],Dim_Reps!A:A,Dim_Reps!K:K)</f>
        <v>EUR</v>
      </c>
      <c r="N1115" s="33">
        <f>(_xlfn.XLOOKUP(Pipeline_tbl[[#This Row],[Rate_Code_Generalized]],Lookups!A:A,Lookups!B:B))*Pipeline_tbl[[#This Row],[Pipeline_Amount_USD]]</f>
        <v>70900</v>
      </c>
      <c r="O1115" t="str">
        <f>_xlfn.XLOOKUP(Pipeline_tbl[[#This Row],[Rep_ID]],Dim_Reps!A:A,Dim_Reps!B:B)</f>
        <v>Sam Schmidt</v>
      </c>
      <c r="P1115" t="str">
        <f>_xlfn.XLOOKUP(Pipeline_tbl[[#This Row],[Rep_ID]],Dim_Reps!A:A,Dim_Reps!C:C)</f>
        <v>Enterprise AE</v>
      </c>
      <c r="Q1115" t="str">
        <f>_xlfn.XLOOKUP(Pipeline_tbl[[#This Row],[Rep_ID]],Dim_Reps!A:A,Dim_Reps!D:D)</f>
        <v>Enterprise</v>
      </c>
      <c r="R1115" t="str">
        <f>_xlfn.XLOOKUP(Pipeline_tbl[[#This Row],[Rep_ID]],Dim_Reps!A:A,Dim_Reps!E:E)</f>
        <v>EMEA</v>
      </c>
      <c r="S1115" t="str">
        <f>_xlfn.XLOOKUP(Pipeline_tbl[[#This Row],[Created_Date]],Dim_Date!A:A,Dim_Date!H:H)</f>
        <v>Oct 2024</v>
      </c>
      <c r="T1115" t="str">
        <f>IF(Pipeline_tbl[[#This Row],[Closed_Date]]=0,"",(_xlfn.XLOOKUP(Pipeline_tbl[[#This Row],[Closed_Date]],Dim_Date!A:A,Dim_Date!H:H)))</f>
        <v>Nov 2024</v>
      </c>
      <c r="U1115">
        <f>IF(Pipeline_tbl[[#This Row],[Closed_Date]]=0,"",Pipeline_tbl[[#This Row],[Closed_Date]]-Pipeline_tbl[[#This Row],[Created_Date]])</f>
        <v>42</v>
      </c>
    </row>
    <row r="1116" spans="1:21" ht="15" customHeight="1" x14ac:dyDescent="0.2">
      <c r="A1116" t="s">
        <v>1422</v>
      </c>
      <c r="B1116" t="s">
        <v>183</v>
      </c>
      <c r="C1116" t="s">
        <v>55</v>
      </c>
      <c r="D1116" s="49">
        <v>45583</v>
      </c>
      <c r="E1116" s="49">
        <v>45587</v>
      </c>
      <c r="F1116" s="49">
        <v>45595</v>
      </c>
      <c r="G1116" s="49">
        <v>45608</v>
      </c>
      <c r="H1116" s="49">
        <v>45618</v>
      </c>
      <c r="I1116" s="49">
        <v>45624</v>
      </c>
      <c r="J1116" t="s">
        <v>47</v>
      </c>
      <c r="K1116" s="33">
        <v>26900</v>
      </c>
      <c r="M1116" t="str">
        <f>_xlfn.XLOOKUP(Pipeline_tbl[[#This Row],[Rep_ID]],Dim_Reps!A:A,Dim_Reps!K:K)</f>
        <v>EUR</v>
      </c>
      <c r="N1116" s="33">
        <f>(_xlfn.XLOOKUP(Pipeline_tbl[[#This Row],[Rate_Code_Generalized]],Lookups!A:A,Lookups!B:B))*Pipeline_tbl[[#This Row],[Pipeline_Amount_USD]]</f>
        <v>26900</v>
      </c>
      <c r="O1116" t="str">
        <f>_xlfn.XLOOKUP(Pipeline_tbl[[#This Row],[Rep_ID]],Dim_Reps!A:A,Dim_Reps!B:B)</f>
        <v>Sam Schmidt</v>
      </c>
      <c r="P1116" t="str">
        <f>_xlfn.XLOOKUP(Pipeline_tbl[[#This Row],[Rep_ID]],Dim_Reps!A:A,Dim_Reps!C:C)</f>
        <v>Enterprise AE</v>
      </c>
      <c r="Q1116" t="str">
        <f>_xlfn.XLOOKUP(Pipeline_tbl[[#This Row],[Rep_ID]],Dim_Reps!A:A,Dim_Reps!D:D)</f>
        <v>Enterprise</v>
      </c>
      <c r="R1116" t="str">
        <f>_xlfn.XLOOKUP(Pipeline_tbl[[#This Row],[Rep_ID]],Dim_Reps!A:A,Dim_Reps!E:E)</f>
        <v>EMEA</v>
      </c>
      <c r="S1116" t="str">
        <f>_xlfn.XLOOKUP(Pipeline_tbl[[#This Row],[Created_Date]],Dim_Date!A:A,Dim_Date!H:H)</f>
        <v>Oct 2024</v>
      </c>
      <c r="T1116" t="str">
        <f>IF(Pipeline_tbl[[#This Row],[Closed_Date]]=0,"",(_xlfn.XLOOKUP(Pipeline_tbl[[#This Row],[Closed_Date]],Dim_Date!A:A,Dim_Date!H:H)))</f>
        <v>Nov 2024</v>
      </c>
      <c r="U1116">
        <f>IF(Pipeline_tbl[[#This Row],[Closed_Date]]=0,"",Pipeline_tbl[[#This Row],[Closed_Date]]-Pipeline_tbl[[#This Row],[Created_Date]])</f>
        <v>41</v>
      </c>
    </row>
    <row r="1117" spans="1:21" ht="15" customHeight="1" x14ac:dyDescent="0.2">
      <c r="A1117" t="s">
        <v>1423</v>
      </c>
      <c r="B1117" t="s">
        <v>203</v>
      </c>
      <c r="C1117" t="s">
        <v>52</v>
      </c>
      <c r="D1117" s="49">
        <v>45587</v>
      </c>
      <c r="E1117" s="49">
        <v>45588</v>
      </c>
      <c r="F1117" s="49">
        <v>45591</v>
      </c>
      <c r="G1117" s="49">
        <v>45595</v>
      </c>
      <c r="H1117" s="49">
        <v>45599</v>
      </c>
      <c r="I1117" s="49">
        <v>45601</v>
      </c>
      <c r="J1117" t="s">
        <v>47</v>
      </c>
      <c r="K1117" s="33">
        <v>4300</v>
      </c>
      <c r="M1117" t="str">
        <f>_xlfn.XLOOKUP(Pipeline_tbl[[#This Row],[Rep_ID]],Dim_Reps!A:A,Dim_Reps!K:K)</f>
        <v>EUR</v>
      </c>
      <c r="N1117" s="33">
        <f>(_xlfn.XLOOKUP(Pipeline_tbl[[#This Row],[Rate_Code_Generalized]],Lookups!A:A,Lookups!B:B))*Pipeline_tbl[[#This Row],[Pipeline_Amount_USD]]</f>
        <v>4300</v>
      </c>
      <c r="O1117" t="str">
        <f>_xlfn.XLOOKUP(Pipeline_tbl[[#This Row],[Rep_ID]],Dim_Reps!A:A,Dim_Reps!B:B)</f>
        <v>Riley Haddad</v>
      </c>
      <c r="P1117" t="str">
        <f>_xlfn.XLOOKUP(Pipeline_tbl[[#This Row],[Rep_ID]],Dim_Reps!A:A,Dim_Reps!C:C)</f>
        <v>SDR / Inside Sales Rep</v>
      </c>
      <c r="Q1117" t="str">
        <f>_xlfn.XLOOKUP(Pipeline_tbl[[#This Row],[Rep_ID]],Dim_Reps!A:A,Dim_Reps!D:D)</f>
        <v>Inside Sales</v>
      </c>
      <c r="R1117" t="str">
        <f>_xlfn.XLOOKUP(Pipeline_tbl[[#This Row],[Rep_ID]],Dim_Reps!A:A,Dim_Reps!E:E)</f>
        <v>APAC</v>
      </c>
      <c r="S1117" t="str">
        <f>_xlfn.XLOOKUP(Pipeline_tbl[[#This Row],[Created_Date]],Dim_Date!A:A,Dim_Date!H:H)</f>
        <v>Oct 2024</v>
      </c>
      <c r="T1117" t="str">
        <f>IF(Pipeline_tbl[[#This Row],[Closed_Date]]=0,"",(_xlfn.XLOOKUP(Pipeline_tbl[[#This Row],[Closed_Date]],Dim_Date!A:A,Dim_Date!H:H)))</f>
        <v>Nov 2024</v>
      </c>
      <c r="U1117">
        <f>IF(Pipeline_tbl[[#This Row],[Closed_Date]]=0,"",Pipeline_tbl[[#This Row],[Closed_Date]]-Pipeline_tbl[[#This Row],[Created_Date]])</f>
        <v>14</v>
      </c>
    </row>
    <row r="1118" spans="1:21" ht="15" customHeight="1" x14ac:dyDescent="0.2">
      <c r="A1118" t="s">
        <v>1424</v>
      </c>
      <c r="B1118" t="s">
        <v>203</v>
      </c>
      <c r="C1118" t="s">
        <v>53</v>
      </c>
      <c r="D1118" s="49">
        <v>45595</v>
      </c>
      <c r="E1118" s="49">
        <v>45597</v>
      </c>
      <c r="F1118" s="49">
        <v>45601</v>
      </c>
      <c r="G1118" s="49">
        <v>45607</v>
      </c>
      <c r="H1118" s="49">
        <v>45612</v>
      </c>
      <c r="I1118" s="49">
        <v>45615</v>
      </c>
      <c r="J1118" t="s">
        <v>47</v>
      </c>
      <c r="K1118" s="33">
        <v>3100</v>
      </c>
      <c r="M1118" t="str">
        <f>_xlfn.XLOOKUP(Pipeline_tbl[[#This Row],[Rep_ID]],Dim_Reps!A:A,Dim_Reps!K:K)</f>
        <v>EUR</v>
      </c>
      <c r="N1118" s="33">
        <f>(_xlfn.XLOOKUP(Pipeline_tbl[[#This Row],[Rate_Code_Generalized]],Lookups!A:A,Lookups!B:B))*Pipeline_tbl[[#This Row],[Pipeline_Amount_USD]]</f>
        <v>3100</v>
      </c>
      <c r="O1118" t="str">
        <f>_xlfn.XLOOKUP(Pipeline_tbl[[#This Row],[Rep_ID]],Dim_Reps!A:A,Dim_Reps!B:B)</f>
        <v>Riley Haddad</v>
      </c>
      <c r="P1118" t="str">
        <f>_xlfn.XLOOKUP(Pipeline_tbl[[#This Row],[Rep_ID]],Dim_Reps!A:A,Dim_Reps!C:C)</f>
        <v>SDR / Inside Sales Rep</v>
      </c>
      <c r="Q1118" t="str">
        <f>_xlfn.XLOOKUP(Pipeline_tbl[[#This Row],[Rep_ID]],Dim_Reps!A:A,Dim_Reps!D:D)</f>
        <v>Inside Sales</v>
      </c>
      <c r="R1118" t="str">
        <f>_xlfn.XLOOKUP(Pipeline_tbl[[#This Row],[Rep_ID]],Dim_Reps!A:A,Dim_Reps!E:E)</f>
        <v>APAC</v>
      </c>
      <c r="S1118" t="str">
        <f>_xlfn.XLOOKUP(Pipeline_tbl[[#This Row],[Created_Date]],Dim_Date!A:A,Dim_Date!H:H)</f>
        <v>Oct 2024</v>
      </c>
      <c r="T1118" t="str">
        <f>IF(Pipeline_tbl[[#This Row],[Closed_Date]]=0,"",(_xlfn.XLOOKUP(Pipeline_tbl[[#This Row],[Closed_Date]],Dim_Date!A:A,Dim_Date!H:H)))</f>
        <v>Nov 2024</v>
      </c>
      <c r="U1118">
        <f>IF(Pipeline_tbl[[#This Row],[Closed_Date]]=0,"",Pipeline_tbl[[#This Row],[Closed_Date]]-Pipeline_tbl[[#This Row],[Created_Date]])</f>
        <v>20</v>
      </c>
    </row>
    <row r="1119" spans="1:21" ht="15" customHeight="1" x14ac:dyDescent="0.2">
      <c r="A1119" t="s">
        <v>1425</v>
      </c>
      <c r="B1119" t="s">
        <v>203</v>
      </c>
      <c r="C1119" t="s">
        <v>54</v>
      </c>
      <c r="D1119" s="49">
        <v>45575</v>
      </c>
      <c r="E1119" s="49">
        <v>45577</v>
      </c>
      <c r="F1119" s="49">
        <v>45582</v>
      </c>
      <c r="G1119" s="49">
        <v>45589</v>
      </c>
      <c r="H1119" s="49">
        <v>45595</v>
      </c>
      <c r="I1119" s="49">
        <v>45599</v>
      </c>
      <c r="J1119" t="s">
        <v>47</v>
      </c>
      <c r="K1119" s="33">
        <v>5500</v>
      </c>
      <c r="M1119" t="str">
        <f>_xlfn.XLOOKUP(Pipeline_tbl[[#This Row],[Rep_ID]],Dim_Reps!A:A,Dim_Reps!K:K)</f>
        <v>EUR</v>
      </c>
      <c r="N1119" s="33">
        <f>(_xlfn.XLOOKUP(Pipeline_tbl[[#This Row],[Rate_Code_Generalized]],Lookups!A:A,Lookups!B:B))*Pipeline_tbl[[#This Row],[Pipeline_Amount_USD]]</f>
        <v>5500</v>
      </c>
      <c r="O1119" t="str">
        <f>_xlfn.XLOOKUP(Pipeline_tbl[[#This Row],[Rep_ID]],Dim_Reps!A:A,Dim_Reps!B:B)</f>
        <v>Riley Haddad</v>
      </c>
      <c r="P1119" t="str">
        <f>_xlfn.XLOOKUP(Pipeline_tbl[[#This Row],[Rep_ID]],Dim_Reps!A:A,Dim_Reps!C:C)</f>
        <v>SDR / Inside Sales Rep</v>
      </c>
      <c r="Q1119" t="str">
        <f>_xlfn.XLOOKUP(Pipeline_tbl[[#This Row],[Rep_ID]],Dim_Reps!A:A,Dim_Reps!D:D)</f>
        <v>Inside Sales</v>
      </c>
      <c r="R1119" t="str">
        <f>_xlfn.XLOOKUP(Pipeline_tbl[[#This Row],[Rep_ID]],Dim_Reps!A:A,Dim_Reps!E:E)</f>
        <v>APAC</v>
      </c>
      <c r="S1119" t="str">
        <f>_xlfn.XLOOKUP(Pipeline_tbl[[#This Row],[Created_Date]],Dim_Date!A:A,Dim_Date!H:H)</f>
        <v>Oct 2024</v>
      </c>
      <c r="T1119" t="str">
        <f>IF(Pipeline_tbl[[#This Row],[Closed_Date]]=0,"",(_xlfn.XLOOKUP(Pipeline_tbl[[#This Row],[Closed_Date]],Dim_Date!A:A,Dim_Date!H:H)))</f>
        <v>Nov 2024</v>
      </c>
      <c r="U1119">
        <f>IF(Pipeline_tbl[[#This Row],[Closed_Date]]=0,"",Pipeline_tbl[[#This Row],[Closed_Date]]-Pipeline_tbl[[#This Row],[Created_Date]])</f>
        <v>24</v>
      </c>
    </row>
    <row r="1120" spans="1:21" ht="15" customHeight="1" x14ac:dyDescent="0.2">
      <c r="A1120" t="s">
        <v>1426</v>
      </c>
      <c r="B1120" t="s">
        <v>203</v>
      </c>
      <c r="C1120" t="s">
        <v>53</v>
      </c>
      <c r="D1120" s="49">
        <v>45589</v>
      </c>
      <c r="E1120" s="49">
        <v>45591</v>
      </c>
      <c r="F1120" s="49">
        <v>45594</v>
      </c>
      <c r="G1120" s="49">
        <v>45600</v>
      </c>
      <c r="I1120" s="49">
        <v>45607</v>
      </c>
      <c r="J1120" t="s">
        <v>49</v>
      </c>
      <c r="K1120" s="33">
        <v>2900</v>
      </c>
      <c r="L1120" t="s">
        <v>63</v>
      </c>
      <c r="M1120" t="str">
        <f>_xlfn.XLOOKUP(Pipeline_tbl[[#This Row],[Rep_ID]],Dim_Reps!A:A,Dim_Reps!K:K)</f>
        <v>EUR</v>
      </c>
      <c r="N1120" s="33">
        <f>(_xlfn.XLOOKUP(Pipeline_tbl[[#This Row],[Rate_Code_Generalized]],Lookups!A:A,Lookups!B:B))*Pipeline_tbl[[#This Row],[Pipeline_Amount_USD]]</f>
        <v>2900</v>
      </c>
      <c r="O1120" t="str">
        <f>_xlfn.XLOOKUP(Pipeline_tbl[[#This Row],[Rep_ID]],Dim_Reps!A:A,Dim_Reps!B:B)</f>
        <v>Riley Haddad</v>
      </c>
      <c r="P1120" t="str">
        <f>_xlfn.XLOOKUP(Pipeline_tbl[[#This Row],[Rep_ID]],Dim_Reps!A:A,Dim_Reps!C:C)</f>
        <v>SDR / Inside Sales Rep</v>
      </c>
      <c r="Q1120" t="str">
        <f>_xlfn.XLOOKUP(Pipeline_tbl[[#This Row],[Rep_ID]],Dim_Reps!A:A,Dim_Reps!D:D)</f>
        <v>Inside Sales</v>
      </c>
      <c r="R1120" t="str">
        <f>_xlfn.XLOOKUP(Pipeline_tbl[[#This Row],[Rep_ID]],Dim_Reps!A:A,Dim_Reps!E:E)</f>
        <v>APAC</v>
      </c>
      <c r="S1120" t="str">
        <f>_xlfn.XLOOKUP(Pipeline_tbl[[#This Row],[Created_Date]],Dim_Date!A:A,Dim_Date!H:H)</f>
        <v>Oct 2024</v>
      </c>
      <c r="T1120" t="str">
        <f>IF(Pipeline_tbl[[#This Row],[Closed_Date]]=0,"",(_xlfn.XLOOKUP(Pipeline_tbl[[#This Row],[Closed_Date]],Dim_Date!A:A,Dim_Date!H:H)))</f>
        <v>Nov 2024</v>
      </c>
      <c r="U1120">
        <f>IF(Pipeline_tbl[[#This Row],[Closed_Date]]=0,"",Pipeline_tbl[[#This Row],[Closed_Date]]-Pipeline_tbl[[#This Row],[Created_Date]])</f>
        <v>18</v>
      </c>
    </row>
    <row r="1121" spans="1:21" ht="15" customHeight="1" x14ac:dyDescent="0.2">
      <c r="A1121" t="s">
        <v>1427</v>
      </c>
      <c r="B1121" t="s">
        <v>185</v>
      </c>
      <c r="C1121" t="s">
        <v>53</v>
      </c>
      <c r="D1121" s="49">
        <v>45579</v>
      </c>
      <c r="E1121" s="49">
        <v>45583</v>
      </c>
      <c r="F1121" s="49">
        <v>45590</v>
      </c>
      <c r="G1121" s="49">
        <v>45600</v>
      </c>
      <c r="H1121" s="49">
        <v>45609</v>
      </c>
      <c r="I1121" s="49">
        <v>45614</v>
      </c>
      <c r="J1121" t="s">
        <v>49</v>
      </c>
      <c r="K1121" s="33">
        <v>15900</v>
      </c>
      <c r="L1121" t="s">
        <v>61</v>
      </c>
      <c r="M1121" t="str">
        <f>_xlfn.XLOOKUP(Pipeline_tbl[[#This Row],[Rep_ID]],Dim_Reps!A:A,Dim_Reps!K:K)</f>
        <v>MXN</v>
      </c>
      <c r="N1121" s="33">
        <f>(_xlfn.XLOOKUP(Pipeline_tbl[[#This Row],[Rate_Code_Generalized]],Lookups!A:A,Lookups!B:B))*Pipeline_tbl[[#This Row],[Pipeline_Amount_USD]]</f>
        <v>313749.93</v>
      </c>
      <c r="O1121" t="str">
        <f>_xlfn.XLOOKUP(Pipeline_tbl[[#This Row],[Rep_ID]],Dim_Reps!A:A,Dim_Reps!B:B)</f>
        <v>Noah Kim</v>
      </c>
      <c r="P1121" t="str">
        <f>_xlfn.XLOOKUP(Pipeline_tbl[[#This Row],[Rep_ID]],Dim_Reps!A:A,Dim_Reps!C:C)</f>
        <v>Enterprise AE</v>
      </c>
      <c r="Q1121" t="str">
        <f>_xlfn.XLOOKUP(Pipeline_tbl[[#This Row],[Rep_ID]],Dim_Reps!A:A,Dim_Reps!D:D)</f>
        <v>Enterprise</v>
      </c>
      <c r="R1121" t="str">
        <f>_xlfn.XLOOKUP(Pipeline_tbl[[#This Row],[Rep_ID]],Dim_Reps!A:A,Dim_Reps!E:E)</f>
        <v>LATAM</v>
      </c>
      <c r="S1121" t="str">
        <f>_xlfn.XLOOKUP(Pipeline_tbl[[#This Row],[Created_Date]],Dim_Date!A:A,Dim_Date!H:H)</f>
        <v>Oct 2024</v>
      </c>
      <c r="T1121" t="str">
        <f>IF(Pipeline_tbl[[#This Row],[Closed_Date]]=0,"",(_xlfn.XLOOKUP(Pipeline_tbl[[#This Row],[Closed_Date]],Dim_Date!A:A,Dim_Date!H:H)))</f>
        <v>Nov 2024</v>
      </c>
      <c r="U1121">
        <f>IF(Pipeline_tbl[[#This Row],[Closed_Date]]=0,"",Pipeline_tbl[[#This Row],[Closed_Date]]-Pipeline_tbl[[#This Row],[Created_Date]])</f>
        <v>35</v>
      </c>
    </row>
    <row r="1122" spans="1:21" ht="15" customHeight="1" x14ac:dyDescent="0.2">
      <c r="A1122" t="s">
        <v>1428</v>
      </c>
      <c r="B1122" t="s">
        <v>205</v>
      </c>
      <c r="C1122" t="s">
        <v>54</v>
      </c>
      <c r="D1122" s="49">
        <v>45585</v>
      </c>
      <c r="E1122" s="49">
        <v>45587</v>
      </c>
      <c r="F1122" s="49">
        <v>45590</v>
      </c>
      <c r="G1122" s="49">
        <v>45594</v>
      </c>
      <c r="H1122" s="49">
        <v>45598</v>
      </c>
      <c r="I1122" s="49">
        <v>45600</v>
      </c>
      <c r="J1122" t="s">
        <v>47</v>
      </c>
      <c r="K1122" s="33">
        <v>2600</v>
      </c>
      <c r="M1122" t="str">
        <f>_xlfn.XLOOKUP(Pipeline_tbl[[#This Row],[Rep_ID]],Dim_Reps!A:A,Dim_Reps!K:K)</f>
        <v>EUR</v>
      </c>
      <c r="N1122" s="33">
        <f>(_xlfn.XLOOKUP(Pipeline_tbl[[#This Row],[Rate_Code_Generalized]],Lookups!A:A,Lookups!B:B))*Pipeline_tbl[[#This Row],[Pipeline_Amount_USD]]</f>
        <v>2600</v>
      </c>
      <c r="O1122" t="str">
        <f>_xlfn.XLOOKUP(Pipeline_tbl[[#This Row],[Rep_ID]],Dim_Reps!A:A,Dim_Reps!B:B)</f>
        <v>Karim Alvarez</v>
      </c>
      <c r="P1122" t="str">
        <f>_xlfn.XLOOKUP(Pipeline_tbl[[#This Row],[Rep_ID]],Dim_Reps!A:A,Dim_Reps!C:C)</f>
        <v>SDR / Inside Sales Rep</v>
      </c>
      <c r="Q1122" t="str">
        <f>_xlfn.XLOOKUP(Pipeline_tbl[[#This Row],[Rep_ID]],Dim_Reps!A:A,Dim_Reps!D:D)</f>
        <v>Inside Sales</v>
      </c>
      <c r="R1122" t="str">
        <f>_xlfn.XLOOKUP(Pipeline_tbl[[#This Row],[Rep_ID]],Dim_Reps!A:A,Dim_Reps!E:E)</f>
        <v>EMEA</v>
      </c>
      <c r="S1122" t="str">
        <f>_xlfn.XLOOKUP(Pipeline_tbl[[#This Row],[Created_Date]],Dim_Date!A:A,Dim_Date!H:H)</f>
        <v>Oct 2024</v>
      </c>
      <c r="T1122" t="str">
        <f>IF(Pipeline_tbl[[#This Row],[Closed_Date]]=0,"",(_xlfn.XLOOKUP(Pipeline_tbl[[#This Row],[Closed_Date]],Dim_Date!A:A,Dim_Date!H:H)))</f>
        <v>Nov 2024</v>
      </c>
      <c r="U1122">
        <f>IF(Pipeline_tbl[[#This Row],[Closed_Date]]=0,"",Pipeline_tbl[[#This Row],[Closed_Date]]-Pipeline_tbl[[#This Row],[Created_Date]])</f>
        <v>15</v>
      </c>
    </row>
    <row r="1123" spans="1:21" ht="15" customHeight="1" x14ac:dyDescent="0.2">
      <c r="A1123" t="s">
        <v>1429</v>
      </c>
      <c r="B1123" t="s">
        <v>205</v>
      </c>
      <c r="C1123" t="s">
        <v>53</v>
      </c>
      <c r="D1123" s="49">
        <v>45585</v>
      </c>
      <c r="E1123" s="49">
        <v>45586</v>
      </c>
      <c r="F1123" s="49">
        <v>45589</v>
      </c>
      <c r="G1123" s="49">
        <v>45593</v>
      </c>
      <c r="H1123" s="49">
        <v>45596</v>
      </c>
      <c r="I1123" s="49">
        <v>45598</v>
      </c>
      <c r="J1123" t="s">
        <v>47</v>
      </c>
      <c r="K1123" s="33">
        <v>4300</v>
      </c>
      <c r="M1123" t="str">
        <f>_xlfn.XLOOKUP(Pipeline_tbl[[#This Row],[Rep_ID]],Dim_Reps!A:A,Dim_Reps!K:K)</f>
        <v>EUR</v>
      </c>
      <c r="N1123" s="33">
        <f>(_xlfn.XLOOKUP(Pipeline_tbl[[#This Row],[Rate_Code_Generalized]],Lookups!A:A,Lookups!B:B))*Pipeline_tbl[[#This Row],[Pipeline_Amount_USD]]</f>
        <v>4300</v>
      </c>
      <c r="O1123" t="str">
        <f>_xlfn.XLOOKUP(Pipeline_tbl[[#This Row],[Rep_ID]],Dim_Reps!A:A,Dim_Reps!B:B)</f>
        <v>Karim Alvarez</v>
      </c>
      <c r="P1123" t="str">
        <f>_xlfn.XLOOKUP(Pipeline_tbl[[#This Row],[Rep_ID]],Dim_Reps!A:A,Dim_Reps!C:C)</f>
        <v>SDR / Inside Sales Rep</v>
      </c>
      <c r="Q1123" t="str">
        <f>_xlfn.XLOOKUP(Pipeline_tbl[[#This Row],[Rep_ID]],Dim_Reps!A:A,Dim_Reps!D:D)</f>
        <v>Inside Sales</v>
      </c>
      <c r="R1123" t="str">
        <f>_xlfn.XLOOKUP(Pipeline_tbl[[#This Row],[Rep_ID]],Dim_Reps!A:A,Dim_Reps!E:E)</f>
        <v>EMEA</v>
      </c>
      <c r="S1123" t="str">
        <f>_xlfn.XLOOKUP(Pipeline_tbl[[#This Row],[Created_Date]],Dim_Date!A:A,Dim_Date!H:H)</f>
        <v>Oct 2024</v>
      </c>
      <c r="T1123" t="str">
        <f>IF(Pipeline_tbl[[#This Row],[Closed_Date]]=0,"",(_xlfn.XLOOKUP(Pipeline_tbl[[#This Row],[Closed_Date]],Dim_Date!A:A,Dim_Date!H:H)))</f>
        <v>Nov 2024</v>
      </c>
      <c r="U1123">
        <f>IF(Pipeline_tbl[[#This Row],[Closed_Date]]=0,"",Pipeline_tbl[[#This Row],[Closed_Date]]-Pipeline_tbl[[#This Row],[Created_Date]])</f>
        <v>13</v>
      </c>
    </row>
    <row r="1124" spans="1:21" ht="15" customHeight="1" x14ac:dyDescent="0.2">
      <c r="A1124" t="s">
        <v>1430</v>
      </c>
      <c r="B1124" t="s">
        <v>205</v>
      </c>
      <c r="C1124" t="s">
        <v>52</v>
      </c>
      <c r="D1124" s="49">
        <v>45579</v>
      </c>
      <c r="E1124" s="49">
        <v>45581</v>
      </c>
      <c r="F1124" s="49">
        <v>45586</v>
      </c>
      <c r="G1124" s="49">
        <v>45592</v>
      </c>
      <c r="H1124" s="49">
        <v>45598</v>
      </c>
      <c r="I1124" s="49">
        <v>45601</v>
      </c>
      <c r="J1124" t="s">
        <v>49</v>
      </c>
      <c r="K1124" s="33">
        <v>900</v>
      </c>
      <c r="L1124" t="s">
        <v>64</v>
      </c>
      <c r="M1124" t="str">
        <f>_xlfn.XLOOKUP(Pipeline_tbl[[#This Row],[Rep_ID]],Dim_Reps!A:A,Dim_Reps!K:K)</f>
        <v>EUR</v>
      </c>
      <c r="N1124" s="33">
        <f>(_xlfn.XLOOKUP(Pipeline_tbl[[#This Row],[Rate_Code_Generalized]],Lookups!A:A,Lookups!B:B))*Pipeline_tbl[[#This Row],[Pipeline_Amount_USD]]</f>
        <v>900</v>
      </c>
      <c r="O1124" t="str">
        <f>_xlfn.XLOOKUP(Pipeline_tbl[[#This Row],[Rep_ID]],Dim_Reps!A:A,Dim_Reps!B:B)</f>
        <v>Karim Alvarez</v>
      </c>
      <c r="P1124" t="str">
        <f>_xlfn.XLOOKUP(Pipeline_tbl[[#This Row],[Rep_ID]],Dim_Reps!A:A,Dim_Reps!C:C)</f>
        <v>SDR / Inside Sales Rep</v>
      </c>
      <c r="Q1124" t="str">
        <f>_xlfn.XLOOKUP(Pipeline_tbl[[#This Row],[Rep_ID]],Dim_Reps!A:A,Dim_Reps!D:D)</f>
        <v>Inside Sales</v>
      </c>
      <c r="R1124" t="str">
        <f>_xlfn.XLOOKUP(Pipeline_tbl[[#This Row],[Rep_ID]],Dim_Reps!A:A,Dim_Reps!E:E)</f>
        <v>EMEA</v>
      </c>
      <c r="S1124" t="str">
        <f>_xlfn.XLOOKUP(Pipeline_tbl[[#This Row],[Created_Date]],Dim_Date!A:A,Dim_Date!H:H)</f>
        <v>Oct 2024</v>
      </c>
      <c r="T1124" t="str">
        <f>IF(Pipeline_tbl[[#This Row],[Closed_Date]]=0,"",(_xlfn.XLOOKUP(Pipeline_tbl[[#This Row],[Closed_Date]],Dim_Date!A:A,Dim_Date!H:H)))</f>
        <v>Nov 2024</v>
      </c>
      <c r="U1124">
        <f>IF(Pipeline_tbl[[#This Row],[Closed_Date]]=0,"",Pipeline_tbl[[#This Row],[Closed_Date]]-Pipeline_tbl[[#This Row],[Created_Date]])</f>
        <v>22</v>
      </c>
    </row>
    <row r="1125" spans="1:21" ht="15" customHeight="1" x14ac:dyDescent="0.2">
      <c r="A1125" t="s">
        <v>1431</v>
      </c>
      <c r="B1125" t="s">
        <v>205</v>
      </c>
      <c r="C1125" t="s">
        <v>52</v>
      </c>
      <c r="D1125" s="49">
        <v>45591</v>
      </c>
      <c r="E1125" s="49">
        <v>45592</v>
      </c>
      <c r="F1125" s="49">
        <v>45593</v>
      </c>
      <c r="G1125" s="49">
        <v>45595</v>
      </c>
      <c r="H1125" s="49">
        <v>45597</v>
      </c>
      <c r="I1125" s="49">
        <v>45598</v>
      </c>
      <c r="J1125" t="s">
        <v>47</v>
      </c>
      <c r="K1125" s="33">
        <v>2700</v>
      </c>
      <c r="M1125" t="str">
        <f>_xlfn.XLOOKUP(Pipeline_tbl[[#This Row],[Rep_ID]],Dim_Reps!A:A,Dim_Reps!K:K)</f>
        <v>EUR</v>
      </c>
      <c r="N1125" s="33">
        <f>(_xlfn.XLOOKUP(Pipeline_tbl[[#This Row],[Rate_Code_Generalized]],Lookups!A:A,Lookups!B:B))*Pipeline_tbl[[#This Row],[Pipeline_Amount_USD]]</f>
        <v>2700</v>
      </c>
      <c r="O1125" t="str">
        <f>_xlfn.XLOOKUP(Pipeline_tbl[[#This Row],[Rep_ID]],Dim_Reps!A:A,Dim_Reps!B:B)</f>
        <v>Karim Alvarez</v>
      </c>
      <c r="P1125" t="str">
        <f>_xlfn.XLOOKUP(Pipeline_tbl[[#This Row],[Rep_ID]],Dim_Reps!A:A,Dim_Reps!C:C)</f>
        <v>SDR / Inside Sales Rep</v>
      </c>
      <c r="Q1125" t="str">
        <f>_xlfn.XLOOKUP(Pipeline_tbl[[#This Row],[Rep_ID]],Dim_Reps!A:A,Dim_Reps!D:D)</f>
        <v>Inside Sales</v>
      </c>
      <c r="R1125" t="str">
        <f>_xlfn.XLOOKUP(Pipeline_tbl[[#This Row],[Rep_ID]],Dim_Reps!A:A,Dim_Reps!E:E)</f>
        <v>EMEA</v>
      </c>
      <c r="S1125" t="str">
        <f>_xlfn.XLOOKUP(Pipeline_tbl[[#This Row],[Created_Date]],Dim_Date!A:A,Dim_Date!H:H)</f>
        <v>Oct 2024</v>
      </c>
      <c r="T1125" t="str">
        <f>IF(Pipeline_tbl[[#This Row],[Closed_Date]]=0,"",(_xlfn.XLOOKUP(Pipeline_tbl[[#This Row],[Closed_Date]],Dim_Date!A:A,Dim_Date!H:H)))</f>
        <v>Nov 2024</v>
      </c>
      <c r="U1125">
        <f>IF(Pipeline_tbl[[#This Row],[Closed_Date]]=0,"",Pipeline_tbl[[#This Row],[Closed_Date]]-Pipeline_tbl[[#This Row],[Created_Date]])</f>
        <v>7</v>
      </c>
    </row>
    <row r="1126" spans="1:21" ht="15" customHeight="1" x14ac:dyDescent="0.2">
      <c r="A1126" t="s">
        <v>1432</v>
      </c>
      <c r="B1126" t="s">
        <v>205</v>
      </c>
      <c r="C1126" t="s">
        <v>55</v>
      </c>
      <c r="D1126" s="49">
        <v>45588</v>
      </c>
      <c r="E1126" s="49">
        <v>45590</v>
      </c>
      <c r="F1126" s="49">
        <v>45594</v>
      </c>
      <c r="I1126" s="49">
        <v>45608</v>
      </c>
      <c r="J1126" t="s">
        <v>49</v>
      </c>
      <c r="K1126" s="33">
        <v>2500</v>
      </c>
      <c r="L1126" t="s">
        <v>61</v>
      </c>
      <c r="M1126" t="str">
        <f>_xlfn.XLOOKUP(Pipeline_tbl[[#This Row],[Rep_ID]],Dim_Reps!A:A,Dim_Reps!K:K)</f>
        <v>EUR</v>
      </c>
      <c r="N1126" s="33">
        <f>(_xlfn.XLOOKUP(Pipeline_tbl[[#This Row],[Rate_Code_Generalized]],Lookups!A:A,Lookups!B:B))*Pipeline_tbl[[#This Row],[Pipeline_Amount_USD]]</f>
        <v>2500</v>
      </c>
      <c r="O1126" t="str">
        <f>_xlfn.XLOOKUP(Pipeline_tbl[[#This Row],[Rep_ID]],Dim_Reps!A:A,Dim_Reps!B:B)</f>
        <v>Karim Alvarez</v>
      </c>
      <c r="P1126" t="str">
        <f>_xlfn.XLOOKUP(Pipeline_tbl[[#This Row],[Rep_ID]],Dim_Reps!A:A,Dim_Reps!C:C)</f>
        <v>SDR / Inside Sales Rep</v>
      </c>
      <c r="Q1126" t="str">
        <f>_xlfn.XLOOKUP(Pipeline_tbl[[#This Row],[Rep_ID]],Dim_Reps!A:A,Dim_Reps!D:D)</f>
        <v>Inside Sales</v>
      </c>
      <c r="R1126" t="str">
        <f>_xlfn.XLOOKUP(Pipeline_tbl[[#This Row],[Rep_ID]],Dim_Reps!A:A,Dim_Reps!E:E)</f>
        <v>EMEA</v>
      </c>
      <c r="S1126" t="str">
        <f>_xlfn.XLOOKUP(Pipeline_tbl[[#This Row],[Created_Date]],Dim_Date!A:A,Dim_Date!H:H)</f>
        <v>Oct 2024</v>
      </c>
      <c r="T1126" t="str">
        <f>IF(Pipeline_tbl[[#This Row],[Closed_Date]]=0,"",(_xlfn.XLOOKUP(Pipeline_tbl[[#This Row],[Closed_Date]],Dim_Date!A:A,Dim_Date!H:H)))</f>
        <v>Nov 2024</v>
      </c>
      <c r="U1126">
        <f>IF(Pipeline_tbl[[#This Row],[Closed_Date]]=0,"",Pipeline_tbl[[#This Row],[Closed_Date]]-Pipeline_tbl[[#This Row],[Created_Date]])</f>
        <v>20</v>
      </c>
    </row>
    <row r="1127" spans="1:21" ht="15" customHeight="1" x14ac:dyDescent="0.2">
      <c r="A1127" t="s">
        <v>1433</v>
      </c>
      <c r="B1127" t="s">
        <v>205</v>
      </c>
      <c r="C1127" t="s">
        <v>52</v>
      </c>
      <c r="D1127" s="49">
        <v>45593</v>
      </c>
      <c r="E1127" s="49">
        <v>45595</v>
      </c>
      <c r="I1127" s="49">
        <v>45615</v>
      </c>
      <c r="J1127" t="s">
        <v>49</v>
      </c>
      <c r="K1127" s="33">
        <v>3000</v>
      </c>
      <c r="L1127" t="s">
        <v>64</v>
      </c>
      <c r="M1127" t="str">
        <f>_xlfn.XLOOKUP(Pipeline_tbl[[#This Row],[Rep_ID]],Dim_Reps!A:A,Dim_Reps!K:K)</f>
        <v>EUR</v>
      </c>
      <c r="N1127" s="33">
        <f>(_xlfn.XLOOKUP(Pipeline_tbl[[#This Row],[Rate_Code_Generalized]],Lookups!A:A,Lookups!B:B))*Pipeline_tbl[[#This Row],[Pipeline_Amount_USD]]</f>
        <v>3000</v>
      </c>
      <c r="O1127" t="str">
        <f>_xlfn.XLOOKUP(Pipeline_tbl[[#This Row],[Rep_ID]],Dim_Reps!A:A,Dim_Reps!B:B)</f>
        <v>Karim Alvarez</v>
      </c>
      <c r="P1127" t="str">
        <f>_xlfn.XLOOKUP(Pipeline_tbl[[#This Row],[Rep_ID]],Dim_Reps!A:A,Dim_Reps!C:C)</f>
        <v>SDR / Inside Sales Rep</v>
      </c>
      <c r="Q1127" t="str">
        <f>_xlfn.XLOOKUP(Pipeline_tbl[[#This Row],[Rep_ID]],Dim_Reps!A:A,Dim_Reps!D:D)</f>
        <v>Inside Sales</v>
      </c>
      <c r="R1127" t="str">
        <f>_xlfn.XLOOKUP(Pipeline_tbl[[#This Row],[Rep_ID]],Dim_Reps!A:A,Dim_Reps!E:E)</f>
        <v>EMEA</v>
      </c>
      <c r="S1127" t="str">
        <f>_xlfn.XLOOKUP(Pipeline_tbl[[#This Row],[Created_Date]],Dim_Date!A:A,Dim_Date!H:H)</f>
        <v>Oct 2024</v>
      </c>
      <c r="T1127" t="str">
        <f>IF(Pipeline_tbl[[#This Row],[Closed_Date]]=0,"",(_xlfn.XLOOKUP(Pipeline_tbl[[#This Row],[Closed_Date]],Dim_Date!A:A,Dim_Date!H:H)))</f>
        <v>Nov 2024</v>
      </c>
      <c r="U1127">
        <f>IF(Pipeline_tbl[[#This Row],[Closed_Date]]=0,"",Pipeline_tbl[[#This Row],[Closed_Date]]-Pipeline_tbl[[#This Row],[Created_Date]])</f>
        <v>22</v>
      </c>
    </row>
    <row r="1128" spans="1:21" ht="15" customHeight="1" x14ac:dyDescent="0.2">
      <c r="A1128" t="s">
        <v>1434</v>
      </c>
      <c r="B1128" t="s">
        <v>205</v>
      </c>
      <c r="C1128" t="s">
        <v>52</v>
      </c>
      <c r="D1128" s="49">
        <v>45586</v>
      </c>
      <c r="E1128" s="49">
        <v>45588</v>
      </c>
      <c r="F1128" s="49">
        <v>45593</v>
      </c>
      <c r="G1128" s="49">
        <v>45600</v>
      </c>
      <c r="H1128" s="49">
        <v>45606</v>
      </c>
      <c r="I1128" s="49">
        <v>45609</v>
      </c>
      <c r="J1128" t="s">
        <v>47</v>
      </c>
      <c r="K1128" s="33">
        <v>3100</v>
      </c>
      <c r="M1128" t="str">
        <f>_xlfn.XLOOKUP(Pipeline_tbl[[#This Row],[Rep_ID]],Dim_Reps!A:A,Dim_Reps!K:K)</f>
        <v>EUR</v>
      </c>
      <c r="N1128" s="33">
        <f>(_xlfn.XLOOKUP(Pipeline_tbl[[#This Row],[Rate_Code_Generalized]],Lookups!A:A,Lookups!B:B))*Pipeline_tbl[[#This Row],[Pipeline_Amount_USD]]</f>
        <v>3100</v>
      </c>
      <c r="O1128" t="str">
        <f>_xlfn.XLOOKUP(Pipeline_tbl[[#This Row],[Rep_ID]],Dim_Reps!A:A,Dim_Reps!B:B)</f>
        <v>Karim Alvarez</v>
      </c>
      <c r="P1128" t="str">
        <f>_xlfn.XLOOKUP(Pipeline_tbl[[#This Row],[Rep_ID]],Dim_Reps!A:A,Dim_Reps!C:C)</f>
        <v>SDR / Inside Sales Rep</v>
      </c>
      <c r="Q1128" t="str">
        <f>_xlfn.XLOOKUP(Pipeline_tbl[[#This Row],[Rep_ID]],Dim_Reps!A:A,Dim_Reps!D:D)</f>
        <v>Inside Sales</v>
      </c>
      <c r="R1128" t="str">
        <f>_xlfn.XLOOKUP(Pipeline_tbl[[#This Row],[Rep_ID]],Dim_Reps!A:A,Dim_Reps!E:E)</f>
        <v>EMEA</v>
      </c>
      <c r="S1128" t="str">
        <f>_xlfn.XLOOKUP(Pipeline_tbl[[#This Row],[Created_Date]],Dim_Date!A:A,Dim_Date!H:H)</f>
        <v>Oct 2024</v>
      </c>
      <c r="T1128" t="str">
        <f>IF(Pipeline_tbl[[#This Row],[Closed_Date]]=0,"",(_xlfn.XLOOKUP(Pipeline_tbl[[#This Row],[Closed_Date]],Dim_Date!A:A,Dim_Date!H:H)))</f>
        <v>Nov 2024</v>
      </c>
      <c r="U1128">
        <f>IF(Pipeline_tbl[[#This Row],[Closed_Date]]=0,"",Pipeline_tbl[[#This Row],[Closed_Date]]-Pipeline_tbl[[#This Row],[Created_Date]])</f>
        <v>23</v>
      </c>
    </row>
    <row r="1129" spans="1:21" ht="15" customHeight="1" x14ac:dyDescent="0.2">
      <c r="A1129" t="s">
        <v>1435</v>
      </c>
      <c r="B1129" t="s">
        <v>205</v>
      </c>
      <c r="C1129" t="s">
        <v>52</v>
      </c>
      <c r="D1129" s="49">
        <v>45586</v>
      </c>
      <c r="E1129" s="49">
        <v>45588</v>
      </c>
      <c r="F1129" s="49">
        <v>45592</v>
      </c>
      <c r="G1129" s="49">
        <v>45598</v>
      </c>
      <c r="H1129" s="49">
        <v>45603</v>
      </c>
      <c r="I1129" s="49">
        <v>45606</v>
      </c>
      <c r="J1129" t="s">
        <v>47</v>
      </c>
      <c r="K1129" s="33">
        <v>6300</v>
      </c>
      <c r="M1129" t="str">
        <f>_xlfn.XLOOKUP(Pipeline_tbl[[#This Row],[Rep_ID]],Dim_Reps!A:A,Dim_Reps!K:K)</f>
        <v>EUR</v>
      </c>
      <c r="N1129" s="33">
        <f>(_xlfn.XLOOKUP(Pipeline_tbl[[#This Row],[Rate_Code_Generalized]],Lookups!A:A,Lookups!B:B))*Pipeline_tbl[[#This Row],[Pipeline_Amount_USD]]</f>
        <v>6300</v>
      </c>
      <c r="O1129" t="str">
        <f>_xlfn.XLOOKUP(Pipeline_tbl[[#This Row],[Rep_ID]],Dim_Reps!A:A,Dim_Reps!B:B)</f>
        <v>Karim Alvarez</v>
      </c>
      <c r="P1129" t="str">
        <f>_xlfn.XLOOKUP(Pipeline_tbl[[#This Row],[Rep_ID]],Dim_Reps!A:A,Dim_Reps!C:C)</f>
        <v>SDR / Inside Sales Rep</v>
      </c>
      <c r="Q1129" t="str">
        <f>_xlfn.XLOOKUP(Pipeline_tbl[[#This Row],[Rep_ID]],Dim_Reps!A:A,Dim_Reps!D:D)</f>
        <v>Inside Sales</v>
      </c>
      <c r="R1129" t="str">
        <f>_xlfn.XLOOKUP(Pipeline_tbl[[#This Row],[Rep_ID]],Dim_Reps!A:A,Dim_Reps!E:E)</f>
        <v>EMEA</v>
      </c>
      <c r="S1129" t="str">
        <f>_xlfn.XLOOKUP(Pipeline_tbl[[#This Row],[Created_Date]],Dim_Date!A:A,Dim_Date!H:H)</f>
        <v>Oct 2024</v>
      </c>
      <c r="T1129" t="str">
        <f>IF(Pipeline_tbl[[#This Row],[Closed_Date]]=0,"",(_xlfn.XLOOKUP(Pipeline_tbl[[#This Row],[Closed_Date]],Dim_Date!A:A,Dim_Date!H:H)))</f>
        <v>Nov 2024</v>
      </c>
      <c r="U1129">
        <f>IF(Pipeline_tbl[[#This Row],[Closed_Date]]=0,"",Pipeline_tbl[[#This Row],[Closed_Date]]-Pipeline_tbl[[#This Row],[Created_Date]])</f>
        <v>20</v>
      </c>
    </row>
    <row r="1130" spans="1:21" ht="15" customHeight="1" x14ac:dyDescent="0.2">
      <c r="A1130" t="s">
        <v>1436</v>
      </c>
      <c r="B1130" t="s">
        <v>205</v>
      </c>
      <c r="C1130" t="s">
        <v>52</v>
      </c>
      <c r="D1130" s="49">
        <v>45594</v>
      </c>
      <c r="E1130" s="49">
        <v>45596</v>
      </c>
      <c r="F1130" s="49">
        <v>45600</v>
      </c>
      <c r="G1130" s="49">
        <v>45605</v>
      </c>
      <c r="I1130" s="49">
        <v>45613</v>
      </c>
      <c r="J1130" t="s">
        <v>49</v>
      </c>
      <c r="K1130" s="33">
        <v>3700</v>
      </c>
      <c r="L1130" t="s">
        <v>62</v>
      </c>
      <c r="M1130" t="str">
        <f>_xlfn.XLOOKUP(Pipeline_tbl[[#This Row],[Rep_ID]],Dim_Reps!A:A,Dim_Reps!K:K)</f>
        <v>EUR</v>
      </c>
      <c r="N1130" s="33">
        <f>(_xlfn.XLOOKUP(Pipeline_tbl[[#This Row],[Rate_Code_Generalized]],Lookups!A:A,Lookups!B:B))*Pipeline_tbl[[#This Row],[Pipeline_Amount_USD]]</f>
        <v>3700</v>
      </c>
      <c r="O1130" t="str">
        <f>_xlfn.XLOOKUP(Pipeline_tbl[[#This Row],[Rep_ID]],Dim_Reps!A:A,Dim_Reps!B:B)</f>
        <v>Karim Alvarez</v>
      </c>
      <c r="P1130" t="str">
        <f>_xlfn.XLOOKUP(Pipeline_tbl[[#This Row],[Rep_ID]],Dim_Reps!A:A,Dim_Reps!C:C)</f>
        <v>SDR / Inside Sales Rep</v>
      </c>
      <c r="Q1130" t="str">
        <f>_xlfn.XLOOKUP(Pipeline_tbl[[#This Row],[Rep_ID]],Dim_Reps!A:A,Dim_Reps!D:D)</f>
        <v>Inside Sales</v>
      </c>
      <c r="R1130" t="str">
        <f>_xlfn.XLOOKUP(Pipeline_tbl[[#This Row],[Rep_ID]],Dim_Reps!A:A,Dim_Reps!E:E)</f>
        <v>EMEA</v>
      </c>
      <c r="S1130" t="str">
        <f>_xlfn.XLOOKUP(Pipeline_tbl[[#This Row],[Created_Date]],Dim_Date!A:A,Dim_Date!H:H)</f>
        <v>Oct 2024</v>
      </c>
      <c r="T1130" t="str">
        <f>IF(Pipeline_tbl[[#This Row],[Closed_Date]]=0,"",(_xlfn.XLOOKUP(Pipeline_tbl[[#This Row],[Closed_Date]],Dim_Date!A:A,Dim_Date!H:H)))</f>
        <v>Nov 2024</v>
      </c>
      <c r="U1130">
        <f>IF(Pipeline_tbl[[#This Row],[Closed_Date]]=0,"",Pipeline_tbl[[#This Row],[Closed_Date]]-Pipeline_tbl[[#This Row],[Created_Date]])</f>
        <v>19</v>
      </c>
    </row>
    <row r="1131" spans="1:21" ht="15" customHeight="1" x14ac:dyDescent="0.2">
      <c r="A1131" t="s">
        <v>1437</v>
      </c>
      <c r="B1131" t="s">
        <v>205</v>
      </c>
      <c r="C1131" t="s">
        <v>54</v>
      </c>
      <c r="D1131" s="49">
        <v>45590</v>
      </c>
      <c r="E1131" s="49">
        <v>45591</v>
      </c>
      <c r="F1131" s="49">
        <v>45594</v>
      </c>
      <c r="G1131" s="49">
        <v>45598</v>
      </c>
      <c r="H1131" s="49">
        <v>45602</v>
      </c>
      <c r="I1131" s="49">
        <v>45604</v>
      </c>
      <c r="J1131" t="s">
        <v>49</v>
      </c>
      <c r="K1131" s="33">
        <v>1900</v>
      </c>
      <c r="L1131" t="s">
        <v>61</v>
      </c>
      <c r="M1131" t="str">
        <f>_xlfn.XLOOKUP(Pipeline_tbl[[#This Row],[Rep_ID]],Dim_Reps!A:A,Dim_Reps!K:K)</f>
        <v>EUR</v>
      </c>
      <c r="N1131" s="33">
        <f>(_xlfn.XLOOKUP(Pipeline_tbl[[#This Row],[Rate_Code_Generalized]],Lookups!A:A,Lookups!B:B))*Pipeline_tbl[[#This Row],[Pipeline_Amount_USD]]</f>
        <v>1900</v>
      </c>
      <c r="O1131" t="str">
        <f>_xlfn.XLOOKUP(Pipeline_tbl[[#This Row],[Rep_ID]],Dim_Reps!A:A,Dim_Reps!B:B)</f>
        <v>Karim Alvarez</v>
      </c>
      <c r="P1131" t="str">
        <f>_xlfn.XLOOKUP(Pipeline_tbl[[#This Row],[Rep_ID]],Dim_Reps!A:A,Dim_Reps!C:C)</f>
        <v>SDR / Inside Sales Rep</v>
      </c>
      <c r="Q1131" t="str">
        <f>_xlfn.XLOOKUP(Pipeline_tbl[[#This Row],[Rep_ID]],Dim_Reps!A:A,Dim_Reps!D:D)</f>
        <v>Inside Sales</v>
      </c>
      <c r="R1131" t="str">
        <f>_xlfn.XLOOKUP(Pipeline_tbl[[#This Row],[Rep_ID]],Dim_Reps!A:A,Dim_Reps!E:E)</f>
        <v>EMEA</v>
      </c>
      <c r="S1131" t="str">
        <f>_xlfn.XLOOKUP(Pipeline_tbl[[#This Row],[Created_Date]],Dim_Date!A:A,Dim_Date!H:H)</f>
        <v>Oct 2024</v>
      </c>
      <c r="T1131" t="str">
        <f>IF(Pipeline_tbl[[#This Row],[Closed_Date]]=0,"",(_xlfn.XLOOKUP(Pipeline_tbl[[#This Row],[Closed_Date]],Dim_Date!A:A,Dim_Date!H:H)))</f>
        <v>Nov 2024</v>
      </c>
      <c r="U1131">
        <f>IF(Pipeline_tbl[[#This Row],[Closed_Date]]=0,"",Pipeline_tbl[[#This Row],[Closed_Date]]-Pipeline_tbl[[#This Row],[Created_Date]])</f>
        <v>14</v>
      </c>
    </row>
    <row r="1132" spans="1:21" ht="15" customHeight="1" x14ac:dyDescent="0.2">
      <c r="A1132" t="s">
        <v>1438</v>
      </c>
      <c r="B1132" t="s">
        <v>207</v>
      </c>
      <c r="C1132" t="s">
        <v>52</v>
      </c>
      <c r="D1132" s="49">
        <v>45590</v>
      </c>
      <c r="E1132" s="49">
        <v>45592</v>
      </c>
      <c r="I1132" s="49">
        <v>45609</v>
      </c>
      <c r="J1132" t="s">
        <v>49</v>
      </c>
      <c r="K1132" s="33">
        <v>7000</v>
      </c>
      <c r="L1132" t="s">
        <v>63</v>
      </c>
      <c r="M1132" t="str">
        <f>_xlfn.XLOOKUP(Pipeline_tbl[[#This Row],[Rep_ID]],Dim_Reps!A:A,Dim_Reps!K:K)</f>
        <v>EUR</v>
      </c>
      <c r="N1132" s="33">
        <f>(_xlfn.XLOOKUP(Pipeline_tbl[[#This Row],[Rate_Code_Generalized]],Lookups!A:A,Lookups!B:B))*Pipeline_tbl[[#This Row],[Pipeline_Amount_USD]]</f>
        <v>7000</v>
      </c>
      <c r="O1132" t="str">
        <f>_xlfn.XLOOKUP(Pipeline_tbl[[#This Row],[Rep_ID]],Dim_Reps!A:A,Dim_Reps!B:B)</f>
        <v>Sam Castro</v>
      </c>
      <c r="P1132" t="str">
        <f>_xlfn.XLOOKUP(Pipeline_tbl[[#This Row],[Rep_ID]],Dim_Reps!A:A,Dim_Reps!C:C)</f>
        <v>SDR / Inside Sales Rep</v>
      </c>
      <c r="Q1132" t="str">
        <f>_xlfn.XLOOKUP(Pipeline_tbl[[#This Row],[Rep_ID]],Dim_Reps!A:A,Dim_Reps!D:D)</f>
        <v>Inside Sales</v>
      </c>
      <c r="R1132" t="str">
        <f>_xlfn.XLOOKUP(Pipeline_tbl[[#This Row],[Rep_ID]],Dim_Reps!A:A,Dim_Reps!E:E)</f>
        <v>APAC</v>
      </c>
      <c r="S1132" t="str">
        <f>_xlfn.XLOOKUP(Pipeline_tbl[[#This Row],[Created_Date]],Dim_Date!A:A,Dim_Date!H:H)</f>
        <v>Oct 2024</v>
      </c>
      <c r="T1132" t="str">
        <f>IF(Pipeline_tbl[[#This Row],[Closed_Date]]=0,"",(_xlfn.XLOOKUP(Pipeline_tbl[[#This Row],[Closed_Date]],Dim_Date!A:A,Dim_Date!H:H)))</f>
        <v>Nov 2024</v>
      </c>
      <c r="U1132">
        <f>IF(Pipeline_tbl[[#This Row],[Closed_Date]]=0,"",Pipeline_tbl[[#This Row],[Closed_Date]]-Pipeline_tbl[[#This Row],[Created_Date]])</f>
        <v>19</v>
      </c>
    </row>
    <row r="1133" spans="1:21" ht="15" customHeight="1" x14ac:dyDescent="0.2">
      <c r="A1133" t="s">
        <v>1439</v>
      </c>
      <c r="B1133" t="s">
        <v>207</v>
      </c>
      <c r="C1133" t="s">
        <v>52</v>
      </c>
      <c r="D1133" s="49">
        <v>45590</v>
      </c>
      <c r="E1133" s="49">
        <v>45592</v>
      </c>
      <c r="F1133" s="49">
        <v>45597</v>
      </c>
      <c r="G1133" s="49">
        <v>45603</v>
      </c>
      <c r="I1133" s="49">
        <v>45612</v>
      </c>
      <c r="J1133" t="s">
        <v>49</v>
      </c>
      <c r="K1133" s="33">
        <v>2900</v>
      </c>
      <c r="L1133" t="s">
        <v>60</v>
      </c>
      <c r="M1133" t="str">
        <f>_xlfn.XLOOKUP(Pipeline_tbl[[#This Row],[Rep_ID]],Dim_Reps!A:A,Dim_Reps!K:K)</f>
        <v>EUR</v>
      </c>
      <c r="N1133" s="33">
        <f>(_xlfn.XLOOKUP(Pipeline_tbl[[#This Row],[Rate_Code_Generalized]],Lookups!A:A,Lookups!B:B))*Pipeline_tbl[[#This Row],[Pipeline_Amount_USD]]</f>
        <v>2900</v>
      </c>
      <c r="O1133" t="str">
        <f>_xlfn.XLOOKUP(Pipeline_tbl[[#This Row],[Rep_ID]],Dim_Reps!A:A,Dim_Reps!B:B)</f>
        <v>Sam Castro</v>
      </c>
      <c r="P1133" t="str">
        <f>_xlfn.XLOOKUP(Pipeline_tbl[[#This Row],[Rep_ID]],Dim_Reps!A:A,Dim_Reps!C:C)</f>
        <v>SDR / Inside Sales Rep</v>
      </c>
      <c r="Q1133" t="str">
        <f>_xlfn.XLOOKUP(Pipeline_tbl[[#This Row],[Rep_ID]],Dim_Reps!A:A,Dim_Reps!D:D)</f>
        <v>Inside Sales</v>
      </c>
      <c r="R1133" t="str">
        <f>_xlfn.XLOOKUP(Pipeline_tbl[[#This Row],[Rep_ID]],Dim_Reps!A:A,Dim_Reps!E:E)</f>
        <v>APAC</v>
      </c>
      <c r="S1133" t="str">
        <f>_xlfn.XLOOKUP(Pipeline_tbl[[#This Row],[Created_Date]],Dim_Date!A:A,Dim_Date!H:H)</f>
        <v>Oct 2024</v>
      </c>
      <c r="T1133" t="str">
        <f>IF(Pipeline_tbl[[#This Row],[Closed_Date]]=0,"",(_xlfn.XLOOKUP(Pipeline_tbl[[#This Row],[Closed_Date]],Dim_Date!A:A,Dim_Date!H:H)))</f>
        <v>Nov 2024</v>
      </c>
      <c r="U1133">
        <f>IF(Pipeline_tbl[[#This Row],[Closed_Date]]=0,"",Pipeline_tbl[[#This Row],[Closed_Date]]-Pipeline_tbl[[#This Row],[Created_Date]])</f>
        <v>22</v>
      </c>
    </row>
    <row r="1134" spans="1:21" ht="15" customHeight="1" x14ac:dyDescent="0.2">
      <c r="A1134" t="s">
        <v>1440</v>
      </c>
      <c r="B1134" t="s">
        <v>207</v>
      </c>
      <c r="C1134" t="s">
        <v>52</v>
      </c>
      <c r="D1134" s="49">
        <v>45575</v>
      </c>
      <c r="E1134" s="49">
        <v>45577</v>
      </c>
      <c r="F1134" s="49">
        <v>45582</v>
      </c>
      <c r="G1134" s="49">
        <v>45589</v>
      </c>
      <c r="I1134" s="49">
        <v>45598</v>
      </c>
      <c r="J1134" t="s">
        <v>49</v>
      </c>
      <c r="K1134" s="33">
        <v>4200</v>
      </c>
      <c r="L1134" t="s">
        <v>60</v>
      </c>
      <c r="M1134" t="str">
        <f>_xlfn.XLOOKUP(Pipeline_tbl[[#This Row],[Rep_ID]],Dim_Reps!A:A,Dim_Reps!K:K)</f>
        <v>EUR</v>
      </c>
      <c r="N1134" s="33">
        <f>(_xlfn.XLOOKUP(Pipeline_tbl[[#This Row],[Rate_Code_Generalized]],Lookups!A:A,Lookups!B:B))*Pipeline_tbl[[#This Row],[Pipeline_Amount_USD]]</f>
        <v>4200</v>
      </c>
      <c r="O1134" t="str">
        <f>_xlfn.XLOOKUP(Pipeline_tbl[[#This Row],[Rep_ID]],Dim_Reps!A:A,Dim_Reps!B:B)</f>
        <v>Sam Castro</v>
      </c>
      <c r="P1134" t="str">
        <f>_xlfn.XLOOKUP(Pipeline_tbl[[#This Row],[Rep_ID]],Dim_Reps!A:A,Dim_Reps!C:C)</f>
        <v>SDR / Inside Sales Rep</v>
      </c>
      <c r="Q1134" t="str">
        <f>_xlfn.XLOOKUP(Pipeline_tbl[[#This Row],[Rep_ID]],Dim_Reps!A:A,Dim_Reps!D:D)</f>
        <v>Inside Sales</v>
      </c>
      <c r="R1134" t="str">
        <f>_xlfn.XLOOKUP(Pipeline_tbl[[#This Row],[Rep_ID]],Dim_Reps!A:A,Dim_Reps!E:E)</f>
        <v>APAC</v>
      </c>
      <c r="S1134" t="str">
        <f>_xlfn.XLOOKUP(Pipeline_tbl[[#This Row],[Created_Date]],Dim_Date!A:A,Dim_Date!H:H)</f>
        <v>Oct 2024</v>
      </c>
      <c r="T1134" t="str">
        <f>IF(Pipeline_tbl[[#This Row],[Closed_Date]]=0,"",(_xlfn.XLOOKUP(Pipeline_tbl[[#This Row],[Closed_Date]],Dim_Date!A:A,Dim_Date!H:H)))</f>
        <v>Nov 2024</v>
      </c>
      <c r="U1134">
        <f>IF(Pipeline_tbl[[#This Row],[Closed_Date]]=0,"",Pipeline_tbl[[#This Row],[Closed_Date]]-Pipeline_tbl[[#This Row],[Created_Date]])</f>
        <v>23</v>
      </c>
    </row>
    <row r="1135" spans="1:21" ht="15" customHeight="1" x14ac:dyDescent="0.2">
      <c r="A1135" t="s">
        <v>1441</v>
      </c>
      <c r="B1135" t="s">
        <v>207</v>
      </c>
      <c r="C1135" t="s">
        <v>53</v>
      </c>
      <c r="D1135" s="49">
        <v>45589</v>
      </c>
      <c r="E1135" s="49">
        <v>45590</v>
      </c>
      <c r="F1135" s="49">
        <v>45593</v>
      </c>
      <c r="G1135" s="49">
        <v>45597</v>
      </c>
      <c r="I1135" s="49">
        <v>45603</v>
      </c>
      <c r="J1135" t="s">
        <v>49</v>
      </c>
      <c r="K1135" s="33">
        <v>2900</v>
      </c>
      <c r="L1135" t="s">
        <v>62</v>
      </c>
      <c r="M1135" t="str">
        <f>_xlfn.XLOOKUP(Pipeline_tbl[[#This Row],[Rep_ID]],Dim_Reps!A:A,Dim_Reps!K:K)</f>
        <v>EUR</v>
      </c>
      <c r="N1135" s="33">
        <f>(_xlfn.XLOOKUP(Pipeline_tbl[[#This Row],[Rate_Code_Generalized]],Lookups!A:A,Lookups!B:B))*Pipeline_tbl[[#This Row],[Pipeline_Amount_USD]]</f>
        <v>2900</v>
      </c>
      <c r="O1135" t="str">
        <f>_xlfn.XLOOKUP(Pipeline_tbl[[#This Row],[Rep_ID]],Dim_Reps!A:A,Dim_Reps!B:B)</f>
        <v>Sam Castro</v>
      </c>
      <c r="P1135" t="str">
        <f>_xlfn.XLOOKUP(Pipeline_tbl[[#This Row],[Rep_ID]],Dim_Reps!A:A,Dim_Reps!C:C)</f>
        <v>SDR / Inside Sales Rep</v>
      </c>
      <c r="Q1135" t="str">
        <f>_xlfn.XLOOKUP(Pipeline_tbl[[#This Row],[Rep_ID]],Dim_Reps!A:A,Dim_Reps!D:D)</f>
        <v>Inside Sales</v>
      </c>
      <c r="R1135" t="str">
        <f>_xlfn.XLOOKUP(Pipeline_tbl[[#This Row],[Rep_ID]],Dim_Reps!A:A,Dim_Reps!E:E)</f>
        <v>APAC</v>
      </c>
      <c r="S1135" t="str">
        <f>_xlfn.XLOOKUP(Pipeline_tbl[[#This Row],[Created_Date]],Dim_Date!A:A,Dim_Date!H:H)</f>
        <v>Oct 2024</v>
      </c>
      <c r="T1135" t="str">
        <f>IF(Pipeline_tbl[[#This Row],[Closed_Date]]=0,"",(_xlfn.XLOOKUP(Pipeline_tbl[[#This Row],[Closed_Date]],Dim_Date!A:A,Dim_Date!H:H)))</f>
        <v>Nov 2024</v>
      </c>
      <c r="U1135">
        <f>IF(Pipeline_tbl[[#This Row],[Closed_Date]]=0,"",Pipeline_tbl[[#This Row],[Closed_Date]]-Pipeline_tbl[[#This Row],[Created_Date]])</f>
        <v>14</v>
      </c>
    </row>
    <row r="1136" spans="1:21" ht="15" customHeight="1" x14ac:dyDescent="0.2">
      <c r="A1136" t="s">
        <v>1442</v>
      </c>
      <c r="B1136" t="s">
        <v>207</v>
      </c>
      <c r="C1136" t="s">
        <v>54</v>
      </c>
      <c r="D1136" s="49">
        <v>45579</v>
      </c>
      <c r="E1136" s="49">
        <v>45581</v>
      </c>
      <c r="F1136" s="49">
        <v>45585</v>
      </c>
      <c r="I1136" s="49">
        <v>45598</v>
      </c>
      <c r="J1136" t="s">
        <v>49</v>
      </c>
      <c r="K1136" s="33">
        <v>5200</v>
      </c>
      <c r="L1136" t="s">
        <v>62</v>
      </c>
      <c r="M1136" t="str">
        <f>_xlfn.XLOOKUP(Pipeline_tbl[[#This Row],[Rep_ID]],Dim_Reps!A:A,Dim_Reps!K:K)</f>
        <v>EUR</v>
      </c>
      <c r="N1136" s="33">
        <f>(_xlfn.XLOOKUP(Pipeline_tbl[[#This Row],[Rate_Code_Generalized]],Lookups!A:A,Lookups!B:B))*Pipeline_tbl[[#This Row],[Pipeline_Amount_USD]]</f>
        <v>5200</v>
      </c>
      <c r="O1136" t="str">
        <f>_xlfn.XLOOKUP(Pipeline_tbl[[#This Row],[Rep_ID]],Dim_Reps!A:A,Dim_Reps!B:B)</f>
        <v>Sam Castro</v>
      </c>
      <c r="P1136" t="str">
        <f>_xlfn.XLOOKUP(Pipeline_tbl[[#This Row],[Rep_ID]],Dim_Reps!A:A,Dim_Reps!C:C)</f>
        <v>SDR / Inside Sales Rep</v>
      </c>
      <c r="Q1136" t="str">
        <f>_xlfn.XLOOKUP(Pipeline_tbl[[#This Row],[Rep_ID]],Dim_Reps!A:A,Dim_Reps!D:D)</f>
        <v>Inside Sales</v>
      </c>
      <c r="R1136" t="str">
        <f>_xlfn.XLOOKUP(Pipeline_tbl[[#This Row],[Rep_ID]],Dim_Reps!A:A,Dim_Reps!E:E)</f>
        <v>APAC</v>
      </c>
      <c r="S1136" t="str">
        <f>_xlfn.XLOOKUP(Pipeline_tbl[[#This Row],[Created_Date]],Dim_Date!A:A,Dim_Date!H:H)</f>
        <v>Oct 2024</v>
      </c>
      <c r="T1136" t="str">
        <f>IF(Pipeline_tbl[[#This Row],[Closed_Date]]=0,"",(_xlfn.XLOOKUP(Pipeline_tbl[[#This Row],[Closed_Date]],Dim_Date!A:A,Dim_Date!H:H)))</f>
        <v>Nov 2024</v>
      </c>
      <c r="U1136">
        <f>IF(Pipeline_tbl[[#This Row],[Closed_Date]]=0,"",Pipeline_tbl[[#This Row],[Closed_Date]]-Pipeline_tbl[[#This Row],[Created_Date]])</f>
        <v>19</v>
      </c>
    </row>
    <row r="1137" spans="1:21" ht="15" customHeight="1" x14ac:dyDescent="0.2">
      <c r="A1137" t="s">
        <v>1443</v>
      </c>
      <c r="B1137" t="s">
        <v>207</v>
      </c>
      <c r="C1137" t="s">
        <v>55</v>
      </c>
      <c r="D1137" s="49">
        <v>45583</v>
      </c>
      <c r="E1137" s="49">
        <v>45585</v>
      </c>
      <c r="F1137" s="49">
        <v>45589</v>
      </c>
      <c r="I1137" s="49">
        <v>45602</v>
      </c>
      <c r="J1137" t="s">
        <v>49</v>
      </c>
      <c r="K1137" s="33">
        <v>3800</v>
      </c>
      <c r="L1137" t="s">
        <v>60</v>
      </c>
      <c r="M1137" t="str">
        <f>_xlfn.XLOOKUP(Pipeline_tbl[[#This Row],[Rep_ID]],Dim_Reps!A:A,Dim_Reps!K:K)</f>
        <v>EUR</v>
      </c>
      <c r="N1137" s="33">
        <f>(_xlfn.XLOOKUP(Pipeline_tbl[[#This Row],[Rate_Code_Generalized]],Lookups!A:A,Lookups!B:B))*Pipeline_tbl[[#This Row],[Pipeline_Amount_USD]]</f>
        <v>3800</v>
      </c>
      <c r="O1137" t="str">
        <f>_xlfn.XLOOKUP(Pipeline_tbl[[#This Row],[Rep_ID]],Dim_Reps!A:A,Dim_Reps!B:B)</f>
        <v>Sam Castro</v>
      </c>
      <c r="P1137" t="str">
        <f>_xlfn.XLOOKUP(Pipeline_tbl[[#This Row],[Rep_ID]],Dim_Reps!A:A,Dim_Reps!C:C)</f>
        <v>SDR / Inside Sales Rep</v>
      </c>
      <c r="Q1137" t="str">
        <f>_xlfn.XLOOKUP(Pipeline_tbl[[#This Row],[Rep_ID]],Dim_Reps!A:A,Dim_Reps!D:D)</f>
        <v>Inside Sales</v>
      </c>
      <c r="R1137" t="str">
        <f>_xlfn.XLOOKUP(Pipeline_tbl[[#This Row],[Rep_ID]],Dim_Reps!A:A,Dim_Reps!E:E)</f>
        <v>APAC</v>
      </c>
      <c r="S1137" t="str">
        <f>_xlfn.XLOOKUP(Pipeline_tbl[[#This Row],[Created_Date]],Dim_Date!A:A,Dim_Date!H:H)</f>
        <v>Oct 2024</v>
      </c>
      <c r="T1137" t="str">
        <f>IF(Pipeline_tbl[[#This Row],[Closed_Date]]=0,"",(_xlfn.XLOOKUP(Pipeline_tbl[[#This Row],[Closed_Date]],Dim_Date!A:A,Dim_Date!H:H)))</f>
        <v>Nov 2024</v>
      </c>
      <c r="U1137">
        <f>IF(Pipeline_tbl[[#This Row],[Closed_Date]]=0,"",Pipeline_tbl[[#This Row],[Closed_Date]]-Pipeline_tbl[[#This Row],[Created_Date]])</f>
        <v>19</v>
      </c>
    </row>
    <row r="1138" spans="1:21" ht="15" customHeight="1" x14ac:dyDescent="0.2">
      <c r="A1138" t="s">
        <v>1444</v>
      </c>
      <c r="B1138" t="s">
        <v>211</v>
      </c>
      <c r="C1138" t="s">
        <v>52</v>
      </c>
      <c r="D1138" s="49">
        <v>45592</v>
      </c>
      <c r="E1138" s="49">
        <v>45593</v>
      </c>
      <c r="F1138" s="49">
        <v>45595</v>
      </c>
      <c r="G1138" s="49">
        <v>45599</v>
      </c>
      <c r="I1138" s="49">
        <v>45603</v>
      </c>
      <c r="J1138" t="s">
        <v>49</v>
      </c>
      <c r="K1138" s="33">
        <v>1600</v>
      </c>
      <c r="L1138" t="s">
        <v>61</v>
      </c>
      <c r="M1138" t="str">
        <f>_xlfn.XLOOKUP(Pipeline_tbl[[#This Row],[Rep_ID]],Dim_Reps!A:A,Dim_Reps!K:K)</f>
        <v>EUR</v>
      </c>
      <c r="N1138" s="33">
        <f>(_xlfn.XLOOKUP(Pipeline_tbl[[#This Row],[Rate_Code_Generalized]],Lookups!A:A,Lookups!B:B))*Pipeline_tbl[[#This Row],[Pipeline_Amount_USD]]</f>
        <v>1600</v>
      </c>
      <c r="O1138" t="str">
        <f>_xlfn.XLOOKUP(Pipeline_tbl[[#This Row],[Rep_ID]],Dim_Reps!A:A,Dim_Reps!B:B)</f>
        <v>Lea Weber</v>
      </c>
      <c r="P1138" t="str">
        <f>_xlfn.XLOOKUP(Pipeline_tbl[[#This Row],[Rep_ID]],Dim_Reps!A:A,Dim_Reps!C:C)</f>
        <v>SDR / Inside Sales Rep</v>
      </c>
      <c r="Q1138" t="str">
        <f>_xlfn.XLOOKUP(Pipeline_tbl[[#This Row],[Rep_ID]],Dim_Reps!A:A,Dim_Reps!D:D)</f>
        <v>Inside Sales</v>
      </c>
      <c r="R1138" t="str">
        <f>_xlfn.XLOOKUP(Pipeline_tbl[[#This Row],[Rep_ID]],Dim_Reps!A:A,Dim_Reps!E:E)</f>
        <v>EMEA</v>
      </c>
      <c r="S1138" t="str">
        <f>_xlfn.XLOOKUP(Pipeline_tbl[[#This Row],[Created_Date]],Dim_Date!A:A,Dim_Date!H:H)</f>
        <v>Oct 2024</v>
      </c>
      <c r="T1138" t="str">
        <f>IF(Pipeline_tbl[[#This Row],[Closed_Date]]=0,"",(_xlfn.XLOOKUP(Pipeline_tbl[[#This Row],[Closed_Date]],Dim_Date!A:A,Dim_Date!H:H)))</f>
        <v>Nov 2024</v>
      </c>
      <c r="U1138">
        <f>IF(Pipeline_tbl[[#This Row],[Closed_Date]]=0,"",Pipeline_tbl[[#This Row],[Closed_Date]]-Pipeline_tbl[[#This Row],[Created_Date]])</f>
        <v>11</v>
      </c>
    </row>
    <row r="1139" spans="1:21" ht="15" customHeight="1" x14ac:dyDescent="0.2">
      <c r="A1139" t="s">
        <v>1445</v>
      </c>
      <c r="B1139" t="s">
        <v>211</v>
      </c>
      <c r="C1139" t="s">
        <v>56</v>
      </c>
      <c r="D1139" s="49">
        <v>45588</v>
      </c>
      <c r="E1139" s="49">
        <v>45589</v>
      </c>
      <c r="F1139" s="49">
        <v>45592</v>
      </c>
      <c r="G1139" s="49">
        <v>45596</v>
      </c>
      <c r="I1139" s="49">
        <v>45602</v>
      </c>
      <c r="J1139" t="s">
        <v>49</v>
      </c>
      <c r="K1139" s="33">
        <v>3500</v>
      </c>
      <c r="L1139" t="s">
        <v>60</v>
      </c>
      <c r="M1139" t="str">
        <f>_xlfn.XLOOKUP(Pipeline_tbl[[#This Row],[Rep_ID]],Dim_Reps!A:A,Dim_Reps!K:K)</f>
        <v>EUR</v>
      </c>
      <c r="N1139" s="33">
        <f>(_xlfn.XLOOKUP(Pipeline_tbl[[#This Row],[Rate_Code_Generalized]],Lookups!A:A,Lookups!B:B))*Pipeline_tbl[[#This Row],[Pipeline_Amount_USD]]</f>
        <v>3500</v>
      </c>
      <c r="O1139" t="str">
        <f>_xlfn.XLOOKUP(Pipeline_tbl[[#This Row],[Rep_ID]],Dim_Reps!A:A,Dim_Reps!B:B)</f>
        <v>Lea Weber</v>
      </c>
      <c r="P1139" t="str">
        <f>_xlfn.XLOOKUP(Pipeline_tbl[[#This Row],[Rep_ID]],Dim_Reps!A:A,Dim_Reps!C:C)</f>
        <v>SDR / Inside Sales Rep</v>
      </c>
      <c r="Q1139" t="str">
        <f>_xlfn.XLOOKUP(Pipeline_tbl[[#This Row],[Rep_ID]],Dim_Reps!A:A,Dim_Reps!D:D)</f>
        <v>Inside Sales</v>
      </c>
      <c r="R1139" t="str">
        <f>_xlfn.XLOOKUP(Pipeline_tbl[[#This Row],[Rep_ID]],Dim_Reps!A:A,Dim_Reps!E:E)</f>
        <v>EMEA</v>
      </c>
      <c r="S1139" t="str">
        <f>_xlfn.XLOOKUP(Pipeline_tbl[[#This Row],[Created_Date]],Dim_Date!A:A,Dim_Date!H:H)</f>
        <v>Oct 2024</v>
      </c>
      <c r="T1139" t="str">
        <f>IF(Pipeline_tbl[[#This Row],[Closed_Date]]=0,"",(_xlfn.XLOOKUP(Pipeline_tbl[[#This Row],[Closed_Date]],Dim_Date!A:A,Dim_Date!H:H)))</f>
        <v>Nov 2024</v>
      </c>
      <c r="U1139">
        <f>IF(Pipeline_tbl[[#This Row],[Closed_Date]]=0,"",Pipeline_tbl[[#This Row],[Closed_Date]]-Pipeline_tbl[[#This Row],[Created_Date]])</f>
        <v>14</v>
      </c>
    </row>
    <row r="1140" spans="1:21" ht="15" customHeight="1" x14ac:dyDescent="0.2">
      <c r="A1140" t="s">
        <v>1446</v>
      </c>
      <c r="B1140" t="s">
        <v>211</v>
      </c>
      <c r="C1140" t="s">
        <v>52</v>
      </c>
      <c r="D1140" s="49">
        <v>45590</v>
      </c>
      <c r="E1140" s="49">
        <v>45592</v>
      </c>
      <c r="F1140" s="49">
        <v>45597</v>
      </c>
      <c r="G1140" s="49">
        <v>45603</v>
      </c>
      <c r="H1140" s="49">
        <v>45609</v>
      </c>
      <c r="I1140" s="49">
        <v>45612</v>
      </c>
      <c r="J1140" t="s">
        <v>47</v>
      </c>
      <c r="K1140" s="33">
        <v>2900</v>
      </c>
      <c r="M1140" t="str">
        <f>_xlfn.XLOOKUP(Pipeline_tbl[[#This Row],[Rep_ID]],Dim_Reps!A:A,Dim_Reps!K:K)</f>
        <v>EUR</v>
      </c>
      <c r="N1140" s="33">
        <f>(_xlfn.XLOOKUP(Pipeline_tbl[[#This Row],[Rate_Code_Generalized]],Lookups!A:A,Lookups!B:B))*Pipeline_tbl[[#This Row],[Pipeline_Amount_USD]]</f>
        <v>2900</v>
      </c>
      <c r="O1140" t="str">
        <f>_xlfn.XLOOKUP(Pipeline_tbl[[#This Row],[Rep_ID]],Dim_Reps!A:A,Dim_Reps!B:B)</f>
        <v>Lea Weber</v>
      </c>
      <c r="P1140" t="str">
        <f>_xlfn.XLOOKUP(Pipeline_tbl[[#This Row],[Rep_ID]],Dim_Reps!A:A,Dim_Reps!C:C)</f>
        <v>SDR / Inside Sales Rep</v>
      </c>
      <c r="Q1140" t="str">
        <f>_xlfn.XLOOKUP(Pipeline_tbl[[#This Row],[Rep_ID]],Dim_Reps!A:A,Dim_Reps!D:D)</f>
        <v>Inside Sales</v>
      </c>
      <c r="R1140" t="str">
        <f>_xlfn.XLOOKUP(Pipeline_tbl[[#This Row],[Rep_ID]],Dim_Reps!A:A,Dim_Reps!E:E)</f>
        <v>EMEA</v>
      </c>
      <c r="S1140" t="str">
        <f>_xlfn.XLOOKUP(Pipeline_tbl[[#This Row],[Created_Date]],Dim_Date!A:A,Dim_Date!H:H)</f>
        <v>Oct 2024</v>
      </c>
      <c r="T1140" t="str">
        <f>IF(Pipeline_tbl[[#This Row],[Closed_Date]]=0,"",(_xlfn.XLOOKUP(Pipeline_tbl[[#This Row],[Closed_Date]],Dim_Date!A:A,Dim_Date!H:H)))</f>
        <v>Nov 2024</v>
      </c>
      <c r="U1140">
        <f>IF(Pipeline_tbl[[#This Row],[Closed_Date]]=0,"",Pipeline_tbl[[#This Row],[Closed_Date]]-Pipeline_tbl[[#This Row],[Created_Date]])</f>
        <v>22</v>
      </c>
    </row>
    <row r="1141" spans="1:21" ht="15" customHeight="1" x14ac:dyDescent="0.2">
      <c r="A1141" t="s">
        <v>1447</v>
      </c>
      <c r="B1141" t="s">
        <v>211</v>
      </c>
      <c r="C1141" t="s">
        <v>53</v>
      </c>
      <c r="D1141" s="49">
        <v>45585</v>
      </c>
      <c r="E1141" s="49">
        <v>45586</v>
      </c>
      <c r="F1141" s="49">
        <v>45589</v>
      </c>
      <c r="G1141" s="49">
        <v>45593</v>
      </c>
      <c r="I1141" s="49">
        <v>45598</v>
      </c>
      <c r="J1141" t="s">
        <v>49</v>
      </c>
      <c r="K1141" s="33">
        <v>2700</v>
      </c>
      <c r="L1141" t="s">
        <v>61</v>
      </c>
      <c r="M1141" t="str">
        <f>_xlfn.XLOOKUP(Pipeline_tbl[[#This Row],[Rep_ID]],Dim_Reps!A:A,Dim_Reps!K:K)</f>
        <v>EUR</v>
      </c>
      <c r="N1141" s="33">
        <f>(_xlfn.XLOOKUP(Pipeline_tbl[[#This Row],[Rate_Code_Generalized]],Lookups!A:A,Lookups!B:B))*Pipeline_tbl[[#This Row],[Pipeline_Amount_USD]]</f>
        <v>2700</v>
      </c>
      <c r="O1141" t="str">
        <f>_xlfn.XLOOKUP(Pipeline_tbl[[#This Row],[Rep_ID]],Dim_Reps!A:A,Dim_Reps!B:B)</f>
        <v>Lea Weber</v>
      </c>
      <c r="P1141" t="str">
        <f>_xlfn.XLOOKUP(Pipeline_tbl[[#This Row],[Rep_ID]],Dim_Reps!A:A,Dim_Reps!C:C)</f>
        <v>SDR / Inside Sales Rep</v>
      </c>
      <c r="Q1141" t="str">
        <f>_xlfn.XLOOKUP(Pipeline_tbl[[#This Row],[Rep_ID]],Dim_Reps!A:A,Dim_Reps!D:D)</f>
        <v>Inside Sales</v>
      </c>
      <c r="R1141" t="str">
        <f>_xlfn.XLOOKUP(Pipeline_tbl[[#This Row],[Rep_ID]],Dim_Reps!A:A,Dim_Reps!E:E)</f>
        <v>EMEA</v>
      </c>
      <c r="S1141" t="str">
        <f>_xlfn.XLOOKUP(Pipeline_tbl[[#This Row],[Created_Date]],Dim_Date!A:A,Dim_Date!H:H)</f>
        <v>Oct 2024</v>
      </c>
      <c r="T1141" t="str">
        <f>IF(Pipeline_tbl[[#This Row],[Closed_Date]]=0,"",(_xlfn.XLOOKUP(Pipeline_tbl[[#This Row],[Closed_Date]],Dim_Date!A:A,Dim_Date!H:H)))</f>
        <v>Nov 2024</v>
      </c>
      <c r="U1141">
        <f>IF(Pipeline_tbl[[#This Row],[Closed_Date]]=0,"",Pipeline_tbl[[#This Row],[Closed_Date]]-Pipeline_tbl[[#This Row],[Created_Date]])</f>
        <v>13</v>
      </c>
    </row>
    <row r="1142" spans="1:21" ht="15" customHeight="1" x14ac:dyDescent="0.2">
      <c r="A1142" t="s">
        <v>1448</v>
      </c>
      <c r="B1142" t="s">
        <v>211</v>
      </c>
      <c r="C1142" t="s">
        <v>53</v>
      </c>
      <c r="D1142" s="49">
        <v>45591</v>
      </c>
      <c r="E1142" s="49">
        <v>45593</v>
      </c>
      <c r="F1142" s="49">
        <v>45598</v>
      </c>
      <c r="G1142" s="49">
        <v>45604</v>
      </c>
      <c r="H1142" s="49">
        <v>45610</v>
      </c>
      <c r="I1142" s="49">
        <v>45613</v>
      </c>
      <c r="J1142" t="s">
        <v>47</v>
      </c>
      <c r="K1142" s="33">
        <v>8300</v>
      </c>
      <c r="M1142" t="str">
        <f>_xlfn.XLOOKUP(Pipeline_tbl[[#This Row],[Rep_ID]],Dim_Reps!A:A,Dim_Reps!K:K)</f>
        <v>EUR</v>
      </c>
      <c r="N1142" s="33">
        <f>(_xlfn.XLOOKUP(Pipeline_tbl[[#This Row],[Rate_Code_Generalized]],Lookups!A:A,Lookups!B:B))*Pipeline_tbl[[#This Row],[Pipeline_Amount_USD]]</f>
        <v>8300</v>
      </c>
      <c r="O1142" t="str">
        <f>_xlfn.XLOOKUP(Pipeline_tbl[[#This Row],[Rep_ID]],Dim_Reps!A:A,Dim_Reps!B:B)</f>
        <v>Lea Weber</v>
      </c>
      <c r="P1142" t="str">
        <f>_xlfn.XLOOKUP(Pipeline_tbl[[#This Row],[Rep_ID]],Dim_Reps!A:A,Dim_Reps!C:C)</f>
        <v>SDR / Inside Sales Rep</v>
      </c>
      <c r="Q1142" t="str">
        <f>_xlfn.XLOOKUP(Pipeline_tbl[[#This Row],[Rep_ID]],Dim_Reps!A:A,Dim_Reps!D:D)</f>
        <v>Inside Sales</v>
      </c>
      <c r="R1142" t="str">
        <f>_xlfn.XLOOKUP(Pipeline_tbl[[#This Row],[Rep_ID]],Dim_Reps!A:A,Dim_Reps!E:E)</f>
        <v>EMEA</v>
      </c>
      <c r="S1142" t="str">
        <f>_xlfn.XLOOKUP(Pipeline_tbl[[#This Row],[Created_Date]],Dim_Date!A:A,Dim_Date!H:H)</f>
        <v>Oct 2024</v>
      </c>
      <c r="T1142" t="str">
        <f>IF(Pipeline_tbl[[#This Row],[Closed_Date]]=0,"",(_xlfn.XLOOKUP(Pipeline_tbl[[#This Row],[Closed_Date]],Dim_Date!A:A,Dim_Date!H:H)))</f>
        <v>Nov 2024</v>
      </c>
      <c r="U1142">
        <f>IF(Pipeline_tbl[[#This Row],[Closed_Date]]=0,"",Pipeline_tbl[[#This Row],[Closed_Date]]-Pipeline_tbl[[#This Row],[Created_Date]])</f>
        <v>22</v>
      </c>
    </row>
    <row r="1143" spans="1:21" ht="15" customHeight="1" x14ac:dyDescent="0.2">
      <c r="A1143" t="s">
        <v>1449</v>
      </c>
      <c r="B1143" t="s">
        <v>211</v>
      </c>
      <c r="C1143" t="s">
        <v>52</v>
      </c>
      <c r="D1143" s="49">
        <v>45594</v>
      </c>
      <c r="E1143" s="49">
        <v>45596</v>
      </c>
      <c r="F1143" s="49">
        <v>45600</v>
      </c>
      <c r="G1143" s="49">
        <v>45606</v>
      </c>
      <c r="H1143" s="49">
        <v>45611</v>
      </c>
      <c r="I1143" s="49">
        <v>45614</v>
      </c>
      <c r="J1143" t="s">
        <v>47</v>
      </c>
      <c r="K1143" s="33">
        <v>4600</v>
      </c>
      <c r="M1143" t="str">
        <f>_xlfn.XLOOKUP(Pipeline_tbl[[#This Row],[Rep_ID]],Dim_Reps!A:A,Dim_Reps!K:K)</f>
        <v>EUR</v>
      </c>
      <c r="N1143" s="33">
        <f>(_xlfn.XLOOKUP(Pipeline_tbl[[#This Row],[Rate_Code_Generalized]],Lookups!A:A,Lookups!B:B))*Pipeline_tbl[[#This Row],[Pipeline_Amount_USD]]</f>
        <v>4600</v>
      </c>
      <c r="O1143" t="str">
        <f>_xlfn.XLOOKUP(Pipeline_tbl[[#This Row],[Rep_ID]],Dim_Reps!A:A,Dim_Reps!B:B)</f>
        <v>Lea Weber</v>
      </c>
      <c r="P1143" t="str">
        <f>_xlfn.XLOOKUP(Pipeline_tbl[[#This Row],[Rep_ID]],Dim_Reps!A:A,Dim_Reps!C:C)</f>
        <v>SDR / Inside Sales Rep</v>
      </c>
      <c r="Q1143" t="str">
        <f>_xlfn.XLOOKUP(Pipeline_tbl[[#This Row],[Rep_ID]],Dim_Reps!A:A,Dim_Reps!D:D)</f>
        <v>Inside Sales</v>
      </c>
      <c r="R1143" t="str">
        <f>_xlfn.XLOOKUP(Pipeline_tbl[[#This Row],[Rep_ID]],Dim_Reps!A:A,Dim_Reps!E:E)</f>
        <v>EMEA</v>
      </c>
      <c r="S1143" t="str">
        <f>_xlfn.XLOOKUP(Pipeline_tbl[[#This Row],[Created_Date]],Dim_Date!A:A,Dim_Date!H:H)</f>
        <v>Oct 2024</v>
      </c>
      <c r="T1143" t="str">
        <f>IF(Pipeline_tbl[[#This Row],[Closed_Date]]=0,"",(_xlfn.XLOOKUP(Pipeline_tbl[[#This Row],[Closed_Date]],Dim_Date!A:A,Dim_Date!H:H)))</f>
        <v>Nov 2024</v>
      </c>
      <c r="U1143">
        <f>IF(Pipeline_tbl[[#This Row],[Closed_Date]]=0,"",Pipeline_tbl[[#This Row],[Closed_Date]]-Pipeline_tbl[[#This Row],[Created_Date]])</f>
        <v>20</v>
      </c>
    </row>
    <row r="1144" spans="1:21" ht="15" customHeight="1" x14ac:dyDescent="0.2">
      <c r="A1144" t="s">
        <v>1450</v>
      </c>
      <c r="B1144" t="s">
        <v>211</v>
      </c>
      <c r="C1144" t="s">
        <v>52</v>
      </c>
      <c r="D1144" s="49">
        <v>45589</v>
      </c>
      <c r="E1144" s="49">
        <v>45591</v>
      </c>
      <c r="F1144" s="49">
        <v>45594</v>
      </c>
      <c r="G1144" s="49">
        <v>45599</v>
      </c>
      <c r="H1144" s="49">
        <v>45603</v>
      </c>
      <c r="I1144" s="49">
        <v>45606</v>
      </c>
      <c r="J1144" t="s">
        <v>49</v>
      </c>
      <c r="K1144" s="33">
        <v>6200</v>
      </c>
      <c r="L1144" t="s">
        <v>60</v>
      </c>
      <c r="M1144" t="str">
        <f>_xlfn.XLOOKUP(Pipeline_tbl[[#This Row],[Rep_ID]],Dim_Reps!A:A,Dim_Reps!K:K)</f>
        <v>EUR</v>
      </c>
      <c r="N1144" s="33">
        <f>(_xlfn.XLOOKUP(Pipeline_tbl[[#This Row],[Rate_Code_Generalized]],Lookups!A:A,Lookups!B:B))*Pipeline_tbl[[#This Row],[Pipeline_Amount_USD]]</f>
        <v>6200</v>
      </c>
      <c r="O1144" t="str">
        <f>_xlfn.XLOOKUP(Pipeline_tbl[[#This Row],[Rep_ID]],Dim_Reps!A:A,Dim_Reps!B:B)</f>
        <v>Lea Weber</v>
      </c>
      <c r="P1144" t="str">
        <f>_xlfn.XLOOKUP(Pipeline_tbl[[#This Row],[Rep_ID]],Dim_Reps!A:A,Dim_Reps!C:C)</f>
        <v>SDR / Inside Sales Rep</v>
      </c>
      <c r="Q1144" t="str">
        <f>_xlfn.XLOOKUP(Pipeline_tbl[[#This Row],[Rep_ID]],Dim_Reps!A:A,Dim_Reps!D:D)</f>
        <v>Inside Sales</v>
      </c>
      <c r="R1144" t="str">
        <f>_xlfn.XLOOKUP(Pipeline_tbl[[#This Row],[Rep_ID]],Dim_Reps!A:A,Dim_Reps!E:E)</f>
        <v>EMEA</v>
      </c>
      <c r="S1144" t="str">
        <f>_xlfn.XLOOKUP(Pipeline_tbl[[#This Row],[Created_Date]],Dim_Date!A:A,Dim_Date!H:H)</f>
        <v>Oct 2024</v>
      </c>
      <c r="T1144" t="str">
        <f>IF(Pipeline_tbl[[#This Row],[Closed_Date]]=0,"",(_xlfn.XLOOKUP(Pipeline_tbl[[#This Row],[Closed_Date]],Dim_Date!A:A,Dim_Date!H:H)))</f>
        <v>Nov 2024</v>
      </c>
      <c r="U1144">
        <f>IF(Pipeline_tbl[[#This Row],[Closed_Date]]=0,"",Pipeline_tbl[[#This Row],[Closed_Date]]-Pipeline_tbl[[#This Row],[Created_Date]])</f>
        <v>17</v>
      </c>
    </row>
    <row r="1145" spans="1:21" ht="15" customHeight="1" x14ac:dyDescent="0.2">
      <c r="A1145" t="s">
        <v>1451</v>
      </c>
      <c r="B1145" t="s">
        <v>211</v>
      </c>
      <c r="C1145" t="s">
        <v>55</v>
      </c>
      <c r="D1145" s="49">
        <v>45580</v>
      </c>
      <c r="E1145" s="49">
        <v>45582</v>
      </c>
      <c r="F1145" s="49">
        <v>45588</v>
      </c>
      <c r="G1145" s="49">
        <v>45595</v>
      </c>
      <c r="H1145" s="49">
        <v>45601</v>
      </c>
      <c r="I1145" s="49">
        <v>45605</v>
      </c>
      <c r="J1145" t="s">
        <v>47</v>
      </c>
      <c r="K1145" s="33">
        <v>2800</v>
      </c>
      <c r="M1145" t="str">
        <f>_xlfn.XLOOKUP(Pipeline_tbl[[#This Row],[Rep_ID]],Dim_Reps!A:A,Dim_Reps!K:K)</f>
        <v>EUR</v>
      </c>
      <c r="N1145" s="33">
        <f>(_xlfn.XLOOKUP(Pipeline_tbl[[#This Row],[Rate_Code_Generalized]],Lookups!A:A,Lookups!B:B))*Pipeline_tbl[[#This Row],[Pipeline_Amount_USD]]</f>
        <v>2800</v>
      </c>
      <c r="O1145" t="str">
        <f>_xlfn.XLOOKUP(Pipeline_tbl[[#This Row],[Rep_ID]],Dim_Reps!A:A,Dim_Reps!B:B)</f>
        <v>Lea Weber</v>
      </c>
      <c r="P1145" t="str">
        <f>_xlfn.XLOOKUP(Pipeline_tbl[[#This Row],[Rep_ID]],Dim_Reps!A:A,Dim_Reps!C:C)</f>
        <v>SDR / Inside Sales Rep</v>
      </c>
      <c r="Q1145" t="str">
        <f>_xlfn.XLOOKUP(Pipeline_tbl[[#This Row],[Rep_ID]],Dim_Reps!A:A,Dim_Reps!D:D)</f>
        <v>Inside Sales</v>
      </c>
      <c r="R1145" t="str">
        <f>_xlfn.XLOOKUP(Pipeline_tbl[[#This Row],[Rep_ID]],Dim_Reps!A:A,Dim_Reps!E:E)</f>
        <v>EMEA</v>
      </c>
      <c r="S1145" t="str">
        <f>_xlfn.XLOOKUP(Pipeline_tbl[[#This Row],[Created_Date]],Dim_Date!A:A,Dim_Date!H:H)</f>
        <v>Oct 2024</v>
      </c>
      <c r="T1145" t="str">
        <f>IF(Pipeline_tbl[[#This Row],[Closed_Date]]=0,"",(_xlfn.XLOOKUP(Pipeline_tbl[[#This Row],[Closed_Date]],Dim_Date!A:A,Dim_Date!H:H)))</f>
        <v>Nov 2024</v>
      </c>
      <c r="U1145">
        <f>IF(Pipeline_tbl[[#This Row],[Closed_Date]]=0,"",Pipeline_tbl[[#This Row],[Closed_Date]]-Pipeline_tbl[[#This Row],[Created_Date]])</f>
        <v>25</v>
      </c>
    </row>
    <row r="1146" spans="1:21" ht="15" customHeight="1" x14ac:dyDescent="0.2">
      <c r="A1146" t="s">
        <v>1452</v>
      </c>
      <c r="B1146" t="s">
        <v>213</v>
      </c>
      <c r="C1146" t="s">
        <v>55</v>
      </c>
      <c r="D1146" s="49">
        <v>45592</v>
      </c>
      <c r="E1146" s="49">
        <v>45594</v>
      </c>
      <c r="F1146" s="49">
        <v>45597</v>
      </c>
      <c r="G1146" s="49">
        <v>45603</v>
      </c>
      <c r="H1146" s="49">
        <v>45607</v>
      </c>
      <c r="I1146" s="49">
        <v>45610</v>
      </c>
      <c r="J1146" t="s">
        <v>47</v>
      </c>
      <c r="K1146" s="33">
        <v>4800</v>
      </c>
      <c r="M1146" t="str">
        <f>_xlfn.XLOOKUP(Pipeline_tbl[[#This Row],[Rep_ID]],Dim_Reps!A:A,Dim_Reps!K:K)</f>
        <v>EUR</v>
      </c>
      <c r="N1146" s="33">
        <f>(_xlfn.XLOOKUP(Pipeline_tbl[[#This Row],[Rate_Code_Generalized]],Lookups!A:A,Lookups!B:B))*Pipeline_tbl[[#This Row],[Pipeline_Amount_USD]]</f>
        <v>4800</v>
      </c>
      <c r="O1146" t="str">
        <f>_xlfn.XLOOKUP(Pipeline_tbl[[#This Row],[Rep_ID]],Dim_Reps!A:A,Dim_Reps!B:B)</f>
        <v>Jamie Silva</v>
      </c>
      <c r="P1146" t="str">
        <f>_xlfn.XLOOKUP(Pipeline_tbl[[#This Row],[Rep_ID]],Dim_Reps!A:A,Dim_Reps!C:C)</f>
        <v>SDR / Inside Sales Rep</v>
      </c>
      <c r="Q1146" t="str">
        <f>_xlfn.XLOOKUP(Pipeline_tbl[[#This Row],[Rep_ID]],Dim_Reps!A:A,Dim_Reps!D:D)</f>
        <v>Inside Sales</v>
      </c>
      <c r="R1146" t="str">
        <f>_xlfn.XLOOKUP(Pipeline_tbl[[#This Row],[Rep_ID]],Dim_Reps!A:A,Dim_Reps!E:E)</f>
        <v>EMEA</v>
      </c>
      <c r="S1146" t="str">
        <f>_xlfn.XLOOKUP(Pipeline_tbl[[#This Row],[Created_Date]],Dim_Date!A:A,Dim_Date!H:H)</f>
        <v>Oct 2024</v>
      </c>
      <c r="T1146" t="str">
        <f>IF(Pipeline_tbl[[#This Row],[Closed_Date]]=0,"",(_xlfn.XLOOKUP(Pipeline_tbl[[#This Row],[Closed_Date]],Dim_Date!A:A,Dim_Date!H:H)))</f>
        <v>Nov 2024</v>
      </c>
      <c r="U1146">
        <f>IF(Pipeline_tbl[[#This Row],[Closed_Date]]=0,"",Pipeline_tbl[[#This Row],[Closed_Date]]-Pipeline_tbl[[#This Row],[Created_Date]])</f>
        <v>18</v>
      </c>
    </row>
    <row r="1147" spans="1:21" ht="15" customHeight="1" x14ac:dyDescent="0.2">
      <c r="A1147" t="s">
        <v>1453</v>
      </c>
      <c r="B1147" t="s">
        <v>213</v>
      </c>
      <c r="C1147" t="s">
        <v>52</v>
      </c>
      <c r="D1147" s="49">
        <v>45590</v>
      </c>
      <c r="E1147" s="49">
        <v>45592</v>
      </c>
      <c r="I1147" s="49">
        <v>45605</v>
      </c>
      <c r="J1147" t="s">
        <v>49</v>
      </c>
      <c r="K1147" s="33">
        <v>3700</v>
      </c>
      <c r="L1147" t="s">
        <v>62</v>
      </c>
      <c r="M1147" t="str">
        <f>_xlfn.XLOOKUP(Pipeline_tbl[[#This Row],[Rep_ID]],Dim_Reps!A:A,Dim_Reps!K:K)</f>
        <v>EUR</v>
      </c>
      <c r="N1147" s="33">
        <f>(_xlfn.XLOOKUP(Pipeline_tbl[[#This Row],[Rate_Code_Generalized]],Lookups!A:A,Lookups!B:B))*Pipeline_tbl[[#This Row],[Pipeline_Amount_USD]]</f>
        <v>3700</v>
      </c>
      <c r="O1147" t="str">
        <f>_xlfn.XLOOKUP(Pipeline_tbl[[#This Row],[Rep_ID]],Dim_Reps!A:A,Dim_Reps!B:B)</f>
        <v>Jamie Silva</v>
      </c>
      <c r="P1147" t="str">
        <f>_xlfn.XLOOKUP(Pipeline_tbl[[#This Row],[Rep_ID]],Dim_Reps!A:A,Dim_Reps!C:C)</f>
        <v>SDR / Inside Sales Rep</v>
      </c>
      <c r="Q1147" t="str">
        <f>_xlfn.XLOOKUP(Pipeline_tbl[[#This Row],[Rep_ID]],Dim_Reps!A:A,Dim_Reps!D:D)</f>
        <v>Inside Sales</v>
      </c>
      <c r="R1147" t="str">
        <f>_xlfn.XLOOKUP(Pipeline_tbl[[#This Row],[Rep_ID]],Dim_Reps!A:A,Dim_Reps!E:E)</f>
        <v>EMEA</v>
      </c>
      <c r="S1147" t="str">
        <f>_xlfn.XLOOKUP(Pipeline_tbl[[#This Row],[Created_Date]],Dim_Date!A:A,Dim_Date!H:H)</f>
        <v>Oct 2024</v>
      </c>
      <c r="T1147" t="str">
        <f>IF(Pipeline_tbl[[#This Row],[Closed_Date]]=0,"",(_xlfn.XLOOKUP(Pipeline_tbl[[#This Row],[Closed_Date]],Dim_Date!A:A,Dim_Date!H:H)))</f>
        <v>Nov 2024</v>
      </c>
      <c r="U1147">
        <f>IF(Pipeline_tbl[[#This Row],[Closed_Date]]=0,"",Pipeline_tbl[[#This Row],[Closed_Date]]-Pipeline_tbl[[#This Row],[Created_Date]])</f>
        <v>15</v>
      </c>
    </row>
    <row r="1148" spans="1:21" ht="15" customHeight="1" x14ac:dyDescent="0.2">
      <c r="A1148" t="s">
        <v>1454</v>
      </c>
      <c r="B1148" t="s">
        <v>213</v>
      </c>
      <c r="C1148" t="s">
        <v>53</v>
      </c>
      <c r="D1148" s="49">
        <v>45587</v>
      </c>
      <c r="E1148" s="49">
        <v>45588</v>
      </c>
      <c r="F1148" s="49">
        <v>45591</v>
      </c>
      <c r="G1148" s="49">
        <v>45594</v>
      </c>
      <c r="H1148" s="49">
        <v>45597</v>
      </c>
      <c r="I1148" s="49">
        <v>45599</v>
      </c>
      <c r="J1148" t="s">
        <v>47</v>
      </c>
      <c r="K1148" s="33">
        <v>4400</v>
      </c>
      <c r="M1148" t="str">
        <f>_xlfn.XLOOKUP(Pipeline_tbl[[#This Row],[Rep_ID]],Dim_Reps!A:A,Dim_Reps!K:K)</f>
        <v>EUR</v>
      </c>
      <c r="N1148" s="33">
        <f>(_xlfn.XLOOKUP(Pipeline_tbl[[#This Row],[Rate_Code_Generalized]],Lookups!A:A,Lookups!B:B))*Pipeline_tbl[[#This Row],[Pipeline_Amount_USD]]</f>
        <v>4400</v>
      </c>
      <c r="O1148" t="str">
        <f>_xlfn.XLOOKUP(Pipeline_tbl[[#This Row],[Rep_ID]],Dim_Reps!A:A,Dim_Reps!B:B)</f>
        <v>Jamie Silva</v>
      </c>
      <c r="P1148" t="str">
        <f>_xlfn.XLOOKUP(Pipeline_tbl[[#This Row],[Rep_ID]],Dim_Reps!A:A,Dim_Reps!C:C)</f>
        <v>SDR / Inside Sales Rep</v>
      </c>
      <c r="Q1148" t="str">
        <f>_xlfn.XLOOKUP(Pipeline_tbl[[#This Row],[Rep_ID]],Dim_Reps!A:A,Dim_Reps!D:D)</f>
        <v>Inside Sales</v>
      </c>
      <c r="R1148" t="str">
        <f>_xlfn.XLOOKUP(Pipeline_tbl[[#This Row],[Rep_ID]],Dim_Reps!A:A,Dim_Reps!E:E)</f>
        <v>EMEA</v>
      </c>
      <c r="S1148" t="str">
        <f>_xlfn.XLOOKUP(Pipeline_tbl[[#This Row],[Created_Date]],Dim_Date!A:A,Dim_Date!H:H)</f>
        <v>Oct 2024</v>
      </c>
      <c r="T1148" t="str">
        <f>IF(Pipeline_tbl[[#This Row],[Closed_Date]]=0,"",(_xlfn.XLOOKUP(Pipeline_tbl[[#This Row],[Closed_Date]],Dim_Date!A:A,Dim_Date!H:H)))</f>
        <v>Nov 2024</v>
      </c>
      <c r="U1148">
        <f>IF(Pipeline_tbl[[#This Row],[Closed_Date]]=0,"",Pipeline_tbl[[#This Row],[Closed_Date]]-Pipeline_tbl[[#This Row],[Created_Date]])</f>
        <v>12</v>
      </c>
    </row>
    <row r="1149" spans="1:21" ht="15" customHeight="1" x14ac:dyDescent="0.2">
      <c r="A1149" t="s">
        <v>1455</v>
      </c>
      <c r="B1149" t="s">
        <v>213</v>
      </c>
      <c r="C1149" t="s">
        <v>53</v>
      </c>
      <c r="D1149" s="49">
        <v>45588</v>
      </c>
      <c r="E1149" s="49">
        <v>45590</v>
      </c>
      <c r="F1149" s="49">
        <v>45594</v>
      </c>
      <c r="G1149" s="49">
        <v>45600</v>
      </c>
      <c r="H1149" s="49">
        <v>45605</v>
      </c>
      <c r="I1149" s="49">
        <v>45608</v>
      </c>
      <c r="J1149" t="s">
        <v>49</v>
      </c>
      <c r="K1149" s="33">
        <v>1800</v>
      </c>
      <c r="L1149" t="s">
        <v>60</v>
      </c>
      <c r="M1149" t="str">
        <f>_xlfn.XLOOKUP(Pipeline_tbl[[#This Row],[Rep_ID]],Dim_Reps!A:A,Dim_Reps!K:K)</f>
        <v>EUR</v>
      </c>
      <c r="N1149" s="33">
        <f>(_xlfn.XLOOKUP(Pipeline_tbl[[#This Row],[Rate_Code_Generalized]],Lookups!A:A,Lookups!B:B))*Pipeline_tbl[[#This Row],[Pipeline_Amount_USD]]</f>
        <v>1800</v>
      </c>
      <c r="O1149" t="str">
        <f>_xlfn.XLOOKUP(Pipeline_tbl[[#This Row],[Rep_ID]],Dim_Reps!A:A,Dim_Reps!B:B)</f>
        <v>Jamie Silva</v>
      </c>
      <c r="P1149" t="str">
        <f>_xlfn.XLOOKUP(Pipeline_tbl[[#This Row],[Rep_ID]],Dim_Reps!A:A,Dim_Reps!C:C)</f>
        <v>SDR / Inside Sales Rep</v>
      </c>
      <c r="Q1149" t="str">
        <f>_xlfn.XLOOKUP(Pipeline_tbl[[#This Row],[Rep_ID]],Dim_Reps!A:A,Dim_Reps!D:D)</f>
        <v>Inside Sales</v>
      </c>
      <c r="R1149" t="str">
        <f>_xlfn.XLOOKUP(Pipeline_tbl[[#This Row],[Rep_ID]],Dim_Reps!A:A,Dim_Reps!E:E)</f>
        <v>EMEA</v>
      </c>
      <c r="S1149" t="str">
        <f>_xlfn.XLOOKUP(Pipeline_tbl[[#This Row],[Created_Date]],Dim_Date!A:A,Dim_Date!H:H)</f>
        <v>Oct 2024</v>
      </c>
      <c r="T1149" t="str">
        <f>IF(Pipeline_tbl[[#This Row],[Closed_Date]]=0,"",(_xlfn.XLOOKUP(Pipeline_tbl[[#This Row],[Closed_Date]],Dim_Date!A:A,Dim_Date!H:H)))</f>
        <v>Nov 2024</v>
      </c>
      <c r="U1149">
        <f>IF(Pipeline_tbl[[#This Row],[Closed_Date]]=0,"",Pipeline_tbl[[#This Row],[Closed_Date]]-Pipeline_tbl[[#This Row],[Created_Date]])</f>
        <v>20</v>
      </c>
    </row>
    <row r="1150" spans="1:21" ht="15" customHeight="1" x14ac:dyDescent="0.2">
      <c r="A1150" t="s">
        <v>1456</v>
      </c>
      <c r="B1150" t="s">
        <v>213</v>
      </c>
      <c r="C1150" t="s">
        <v>56</v>
      </c>
      <c r="D1150" s="49">
        <v>45581</v>
      </c>
      <c r="E1150" s="49">
        <v>45583</v>
      </c>
      <c r="F1150" s="49">
        <v>45588</v>
      </c>
      <c r="G1150" s="49">
        <v>45594</v>
      </c>
      <c r="H1150" s="49">
        <v>45600</v>
      </c>
      <c r="I1150" s="49">
        <v>45603</v>
      </c>
      <c r="J1150" t="s">
        <v>47</v>
      </c>
      <c r="K1150" s="33">
        <v>3000</v>
      </c>
      <c r="M1150" t="str">
        <f>_xlfn.XLOOKUP(Pipeline_tbl[[#This Row],[Rep_ID]],Dim_Reps!A:A,Dim_Reps!K:K)</f>
        <v>EUR</v>
      </c>
      <c r="N1150" s="33">
        <f>(_xlfn.XLOOKUP(Pipeline_tbl[[#This Row],[Rate_Code_Generalized]],Lookups!A:A,Lookups!B:B))*Pipeline_tbl[[#This Row],[Pipeline_Amount_USD]]</f>
        <v>3000</v>
      </c>
      <c r="O1150" t="str">
        <f>_xlfn.XLOOKUP(Pipeline_tbl[[#This Row],[Rep_ID]],Dim_Reps!A:A,Dim_Reps!B:B)</f>
        <v>Jamie Silva</v>
      </c>
      <c r="P1150" t="str">
        <f>_xlfn.XLOOKUP(Pipeline_tbl[[#This Row],[Rep_ID]],Dim_Reps!A:A,Dim_Reps!C:C)</f>
        <v>SDR / Inside Sales Rep</v>
      </c>
      <c r="Q1150" t="str">
        <f>_xlfn.XLOOKUP(Pipeline_tbl[[#This Row],[Rep_ID]],Dim_Reps!A:A,Dim_Reps!D:D)</f>
        <v>Inside Sales</v>
      </c>
      <c r="R1150" t="str">
        <f>_xlfn.XLOOKUP(Pipeline_tbl[[#This Row],[Rep_ID]],Dim_Reps!A:A,Dim_Reps!E:E)</f>
        <v>EMEA</v>
      </c>
      <c r="S1150" t="str">
        <f>_xlfn.XLOOKUP(Pipeline_tbl[[#This Row],[Created_Date]],Dim_Date!A:A,Dim_Date!H:H)</f>
        <v>Oct 2024</v>
      </c>
      <c r="T1150" t="str">
        <f>IF(Pipeline_tbl[[#This Row],[Closed_Date]]=0,"",(_xlfn.XLOOKUP(Pipeline_tbl[[#This Row],[Closed_Date]],Dim_Date!A:A,Dim_Date!H:H)))</f>
        <v>Nov 2024</v>
      </c>
      <c r="U1150">
        <f>IF(Pipeline_tbl[[#This Row],[Closed_Date]]=0,"",Pipeline_tbl[[#This Row],[Closed_Date]]-Pipeline_tbl[[#This Row],[Created_Date]])</f>
        <v>22</v>
      </c>
    </row>
    <row r="1151" spans="1:21" ht="15" customHeight="1" x14ac:dyDescent="0.2">
      <c r="A1151" t="s">
        <v>1457</v>
      </c>
      <c r="B1151" t="s">
        <v>213</v>
      </c>
      <c r="C1151" t="s">
        <v>52</v>
      </c>
      <c r="D1151" s="49">
        <v>45586</v>
      </c>
      <c r="E1151" s="49">
        <v>45589</v>
      </c>
      <c r="F1151" s="49">
        <v>45595</v>
      </c>
      <c r="I1151" s="49">
        <v>45615</v>
      </c>
      <c r="J1151" t="s">
        <v>49</v>
      </c>
      <c r="K1151" s="33">
        <v>4400</v>
      </c>
      <c r="L1151" t="s">
        <v>64</v>
      </c>
      <c r="M1151" t="str">
        <f>_xlfn.XLOOKUP(Pipeline_tbl[[#This Row],[Rep_ID]],Dim_Reps!A:A,Dim_Reps!K:K)</f>
        <v>EUR</v>
      </c>
      <c r="N1151" s="33">
        <f>(_xlfn.XLOOKUP(Pipeline_tbl[[#This Row],[Rate_Code_Generalized]],Lookups!A:A,Lookups!B:B))*Pipeline_tbl[[#This Row],[Pipeline_Amount_USD]]</f>
        <v>4400</v>
      </c>
      <c r="O1151" t="str">
        <f>_xlfn.XLOOKUP(Pipeline_tbl[[#This Row],[Rep_ID]],Dim_Reps!A:A,Dim_Reps!B:B)</f>
        <v>Jamie Silva</v>
      </c>
      <c r="P1151" t="str">
        <f>_xlfn.XLOOKUP(Pipeline_tbl[[#This Row],[Rep_ID]],Dim_Reps!A:A,Dim_Reps!C:C)</f>
        <v>SDR / Inside Sales Rep</v>
      </c>
      <c r="Q1151" t="str">
        <f>_xlfn.XLOOKUP(Pipeline_tbl[[#This Row],[Rep_ID]],Dim_Reps!A:A,Dim_Reps!D:D)</f>
        <v>Inside Sales</v>
      </c>
      <c r="R1151" t="str">
        <f>_xlfn.XLOOKUP(Pipeline_tbl[[#This Row],[Rep_ID]],Dim_Reps!A:A,Dim_Reps!E:E)</f>
        <v>EMEA</v>
      </c>
      <c r="S1151" t="str">
        <f>_xlfn.XLOOKUP(Pipeline_tbl[[#This Row],[Created_Date]],Dim_Date!A:A,Dim_Date!H:H)</f>
        <v>Oct 2024</v>
      </c>
      <c r="T1151" t="str">
        <f>IF(Pipeline_tbl[[#This Row],[Closed_Date]]=0,"",(_xlfn.XLOOKUP(Pipeline_tbl[[#This Row],[Closed_Date]],Dim_Date!A:A,Dim_Date!H:H)))</f>
        <v>Nov 2024</v>
      </c>
      <c r="U1151">
        <f>IF(Pipeline_tbl[[#This Row],[Closed_Date]]=0,"",Pipeline_tbl[[#This Row],[Closed_Date]]-Pipeline_tbl[[#This Row],[Created_Date]])</f>
        <v>29</v>
      </c>
    </row>
    <row r="1152" spans="1:21" ht="15" customHeight="1" x14ac:dyDescent="0.2">
      <c r="A1152" t="s">
        <v>1458</v>
      </c>
      <c r="B1152" t="s">
        <v>215</v>
      </c>
      <c r="C1152" t="s">
        <v>53</v>
      </c>
      <c r="D1152" s="49">
        <v>45595</v>
      </c>
      <c r="E1152" s="49">
        <v>45598</v>
      </c>
      <c r="F1152" s="49">
        <v>45603</v>
      </c>
      <c r="G1152" s="49">
        <v>45612</v>
      </c>
      <c r="H1152" s="49">
        <v>45619</v>
      </c>
      <c r="I1152" s="49">
        <v>45623</v>
      </c>
      <c r="J1152" t="s">
        <v>49</v>
      </c>
      <c r="K1152" s="33">
        <v>5000</v>
      </c>
      <c r="L1152" t="s">
        <v>63</v>
      </c>
      <c r="M1152" t="str">
        <f>_xlfn.XLOOKUP(Pipeline_tbl[[#This Row],[Rep_ID]],Dim_Reps!A:A,Dim_Reps!K:K)</f>
        <v>EUR</v>
      </c>
      <c r="N1152" s="33">
        <f>(_xlfn.XLOOKUP(Pipeline_tbl[[#This Row],[Rate_Code_Generalized]],Lookups!A:A,Lookups!B:B))*Pipeline_tbl[[#This Row],[Pipeline_Amount_USD]]</f>
        <v>5000</v>
      </c>
      <c r="O1152" t="str">
        <f>_xlfn.XLOOKUP(Pipeline_tbl[[#This Row],[Rep_ID]],Dim_Reps!A:A,Dim_Reps!B:B)</f>
        <v>Jamie Schmidt</v>
      </c>
      <c r="P1152" t="str">
        <f>_xlfn.XLOOKUP(Pipeline_tbl[[#This Row],[Rep_ID]],Dim_Reps!A:A,Dim_Reps!C:C)</f>
        <v>SDR / Inside Sales Rep</v>
      </c>
      <c r="Q1152" t="str">
        <f>_xlfn.XLOOKUP(Pipeline_tbl[[#This Row],[Rep_ID]],Dim_Reps!A:A,Dim_Reps!D:D)</f>
        <v>Inside Sales</v>
      </c>
      <c r="R1152" t="str">
        <f>_xlfn.XLOOKUP(Pipeline_tbl[[#This Row],[Rep_ID]],Dim_Reps!A:A,Dim_Reps!E:E)</f>
        <v>APAC</v>
      </c>
      <c r="S1152" t="str">
        <f>_xlfn.XLOOKUP(Pipeline_tbl[[#This Row],[Created_Date]],Dim_Date!A:A,Dim_Date!H:H)</f>
        <v>Oct 2024</v>
      </c>
      <c r="T1152" t="str">
        <f>IF(Pipeline_tbl[[#This Row],[Closed_Date]]=0,"",(_xlfn.XLOOKUP(Pipeline_tbl[[#This Row],[Closed_Date]],Dim_Date!A:A,Dim_Date!H:H)))</f>
        <v>Nov 2024</v>
      </c>
      <c r="U1152">
        <f>IF(Pipeline_tbl[[#This Row],[Closed_Date]]=0,"",Pipeline_tbl[[#This Row],[Closed_Date]]-Pipeline_tbl[[#This Row],[Created_Date]])</f>
        <v>28</v>
      </c>
    </row>
    <row r="1153" spans="1:21" ht="15" customHeight="1" x14ac:dyDescent="0.2">
      <c r="A1153" t="s">
        <v>1459</v>
      </c>
      <c r="B1153" t="s">
        <v>215</v>
      </c>
      <c r="C1153" t="s">
        <v>53</v>
      </c>
      <c r="D1153" s="49">
        <v>45588</v>
      </c>
      <c r="E1153" s="49">
        <v>45589</v>
      </c>
      <c r="I1153" s="49">
        <v>45602</v>
      </c>
      <c r="J1153" t="s">
        <v>49</v>
      </c>
      <c r="K1153" s="33">
        <v>9200</v>
      </c>
      <c r="L1153" t="s">
        <v>61</v>
      </c>
      <c r="M1153" t="str">
        <f>_xlfn.XLOOKUP(Pipeline_tbl[[#This Row],[Rep_ID]],Dim_Reps!A:A,Dim_Reps!K:K)</f>
        <v>EUR</v>
      </c>
      <c r="N1153" s="33">
        <f>(_xlfn.XLOOKUP(Pipeline_tbl[[#This Row],[Rate_Code_Generalized]],Lookups!A:A,Lookups!B:B))*Pipeline_tbl[[#This Row],[Pipeline_Amount_USD]]</f>
        <v>9200</v>
      </c>
      <c r="O1153" t="str">
        <f>_xlfn.XLOOKUP(Pipeline_tbl[[#This Row],[Rep_ID]],Dim_Reps!A:A,Dim_Reps!B:B)</f>
        <v>Jamie Schmidt</v>
      </c>
      <c r="P1153" t="str">
        <f>_xlfn.XLOOKUP(Pipeline_tbl[[#This Row],[Rep_ID]],Dim_Reps!A:A,Dim_Reps!C:C)</f>
        <v>SDR / Inside Sales Rep</v>
      </c>
      <c r="Q1153" t="str">
        <f>_xlfn.XLOOKUP(Pipeline_tbl[[#This Row],[Rep_ID]],Dim_Reps!A:A,Dim_Reps!D:D)</f>
        <v>Inside Sales</v>
      </c>
      <c r="R1153" t="str">
        <f>_xlfn.XLOOKUP(Pipeline_tbl[[#This Row],[Rep_ID]],Dim_Reps!A:A,Dim_Reps!E:E)</f>
        <v>APAC</v>
      </c>
      <c r="S1153" t="str">
        <f>_xlfn.XLOOKUP(Pipeline_tbl[[#This Row],[Created_Date]],Dim_Date!A:A,Dim_Date!H:H)</f>
        <v>Oct 2024</v>
      </c>
      <c r="T1153" t="str">
        <f>IF(Pipeline_tbl[[#This Row],[Closed_Date]]=0,"",(_xlfn.XLOOKUP(Pipeline_tbl[[#This Row],[Closed_Date]],Dim_Date!A:A,Dim_Date!H:H)))</f>
        <v>Nov 2024</v>
      </c>
      <c r="U1153">
        <f>IF(Pipeline_tbl[[#This Row],[Closed_Date]]=0,"",Pipeline_tbl[[#This Row],[Closed_Date]]-Pipeline_tbl[[#This Row],[Created_Date]])</f>
        <v>14</v>
      </c>
    </row>
    <row r="1154" spans="1:21" ht="15" customHeight="1" x14ac:dyDescent="0.2">
      <c r="A1154" t="s">
        <v>1460</v>
      </c>
      <c r="B1154" t="s">
        <v>217</v>
      </c>
      <c r="C1154" t="s">
        <v>53</v>
      </c>
      <c r="D1154" s="49">
        <v>45585</v>
      </c>
      <c r="E1154" s="49">
        <v>45586</v>
      </c>
      <c r="F1154" s="49">
        <v>45589</v>
      </c>
      <c r="G1154" s="49">
        <v>45593</v>
      </c>
      <c r="H1154" s="49">
        <v>45596</v>
      </c>
      <c r="I1154" s="49">
        <v>45598</v>
      </c>
      <c r="J1154" t="s">
        <v>47</v>
      </c>
      <c r="K1154" s="33">
        <v>1600</v>
      </c>
      <c r="M1154" t="str">
        <f>_xlfn.XLOOKUP(Pipeline_tbl[[#This Row],[Rep_ID]],Dim_Reps!A:A,Dim_Reps!K:K)</f>
        <v>USD</v>
      </c>
      <c r="N1154" s="33">
        <f>(_xlfn.XLOOKUP(Pipeline_tbl[[#This Row],[Rate_Code_Generalized]],Lookups!A:A,Lookups!B:B))*Pipeline_tbl[[#This Row],[Pipeline_Amount_USD]]</f>
        <v>1862.8799999999999</v>
      </c>
      <c r="O1154" t="str">
        <f>_xlfn.XLOOKUP(Pipeline_tbl[[#This Row],[Rep_ID]],Dim_Reps!A:A,Dim_Reps!B:B)</f>
        <v>Priya Weber</v>
      </c>
      <c r="P1154" t="str">
        <f>_xlfn.XLOOKUP(Pipeline_tbl[[#This Row],[Rep_ID]],Dim_Reps!A:A,Dim_Reps!C:C)</f>
        <v>SDR / Inside Sales Rep</v>
      </c>
      <c r="Q1154" t="str">
        <f>_xlfn.XLOOKUP(Pipeline_tbl[[#This Row],[Rep_ID]],Dim_Reps!A:A,Dim_Reps!D:D)</f>
        <v>Inside Sales</v>
      </c>
      <c r="R1154" t="str">
        <f>_xlfn.XLOOKUP(Pipeline_tbl[[#This Row],[Rep_ID]],Dim_Reps!A:A,Dim_Reps!E:E)</f>
        <v>NAMER</v>
      </c>
      <c r="S1154" t="str">
        <f>_xlfn.XLOOKUP(Pipeline_tbl[[#This Row],[Created_Date]],Dim_Date!A:A,Dim_Date!H:H)</f>
        <v>Oct 2024</v>
      </c>
      <c r="T1154" t="str">
        <f>IF(Pipeline_tbl[[#This Row],[Closed_Date]]=0,"",(_xlfn.XLOOKUP(Pipeline_tbl[[#This Row],[Closed_Date]],Dim_Date!A:A,Dim_Date!H:H)))</f>
        <v>Nov 2024</v>
      </c>
      <c r="U1154">
        <f>IF(Pipeline_tbl[[#This Row],[Closed_Date]]=0,"",Pipeline_tbl[[#This Row],[Closed_Date]]-Pipeline_tbl[[#This Row],[Created_Date]])</f>
        <v>13</v>
      </c>
    </row>
    <row r="1155" spans="1:21" ht="15" customHeight="1" x14ac:dyDescent="0.2">
      <c r="A1155" t="s">
        <v>1461</v>
      </c>
      <c r="B1155" t="s">
        <v>217</v>
      </c>
      <c r="C1155" t="s">
        <v>52</v>
      </c>
      <c r="D1155" s="49">
        <v>45589</v>
      </c>
      <c r="E1155" s="49">
        <v>45591</v>
      </c>
      <c r="I1155" s="49">
        <v>45606</v>
      </c>
      <c r="J1155" t="s">
        <v>49</v>
      </c>
      <c r="K1155" s="33">
        <v>3800</v>
      </c>
      <c r="L1155" t="s">
        <v>60</v>
      </c>
      <c r="M1155" t="str">
        <f>_xlfn.XLOOKUP(Pipeline_tbl[[#This Row],[Rep_ID]],Dim_Reps!A:A,Dim_Reps!K:K)</f>
        <v>USD</v>
      </c>
      <c r="N1155" s="33">
        <f>(_xlfn.XLOOKUP(Pipeline_tbl[[#This Row],[Rate_Code_Generalized]],Lookups!A:A,Lookups!B:B))*Pipeline_tbl[[#This Row],[Pipeline_Amount_USD]]</f>
        <v>4424.3399999999992</v>
      </c>
      <c r="O1155" t="str">
        <f>_xlfn.XLOOKUP(Pipeline_tbl[[#This Row],[Rep_ID]],Dim_Reps!A:A,Dim_Reps!B:B)</f>
        <v>Priya Weber</v>
      </c>
      <c r="P1155" t="str">
        <f>_xlfn.XLOOKUP(Pipeline_tbl[[#This Row],[Rep_ID]],Dim_Reps!A:A,Dim_Reps!C:C)</f>
        <v>SDR / Inside Sales Rep</v>
      </c>
      <c r="Q1155" t="str">
        <f>_xlfn.XLOOKUP(Pipeline_tbl[[#This Row],[Rep_ID]],Dim_Reps!A:A,Dim_Reps!D:D)</f>
        <v>Inside Sales</v>
      </c>
      <c r="R1155" t="str">
        <f>_xlfn.XLOOKUP(Pipeline_tbl[[#This Row],[Rep_ID]],Dim_Reps!A:A,Dim_Reps!E:E)</f>
        <v>NAMER</v>
      </c>
      <c r="S1155" t="str">
        <f>_xlfn.XLOOKUP(Pipeline_tbl[[#This Row],[Created_Date]],Dim_Date!A:A,Dim_Date!H:H)</f>
        <v>Oct 2024</v>
      </c>
      <c r="T1155" t="str">
        <f>IF(Pipeline_tbl[[#This Row],[Closed_Date]]=0,"",(_xlfn.XLOOKUP(Pipeline_tbl[[#This Row],[Closed_Date]],Dim_Date!A:A,Dim_Date!H:H)))</f>
        <v>Nov 2024</v>
      </c>
      <c r="U1155">
        <f>IF(Pipeline_tbl[[#This Row],[Closed_Date]]=0,"",Pipeline_tbl[[#This Row],[Closed_Date]]-Pipeline_tbl[[#This Row],[Created_Date]])</f>
        <v>17</v>
      </c>
    </row>
    <row r="1156" spans="1:21" ht="15" customHeight="1" x14ac:dyDescent="0.2">
      <c r="A1156" t="s">
        <v>1462</v>
      </c>
      <c r="B1156" t="s">
        <v>217</v>
      </c>
      <c r="C1156" t="s">
        <v>55</v>
      </c>
      <c r="D1156" s="49">
        <v>45592</v>
      </c>
      <c r="E1156" s="49">
        <v>45594</v>
      </c>
      <c r="I1156" s="49">
        <v>45612</v>
      </c>
      <c r="J1156" t="s">
        <v>49</v>
      </c>
      <c r="K1156" s="33">
        <v>5600</v>
      </c>
      <c r="L1156" t="s">
        <v>61</v>
      </c>
      <c r="M1156" t="str">
        <f>_xlfn.XLOOKUP(Pipeline_tbl[[#This Row],[Rep_ID]],Dim_Reps!A:A,Dim_Reps!K:K)</f>
        <v>USD</v>
      </c>
      <c r="N1156" s="33">
        <f>(_xlfn.XLOOKUP(Pipeline_tbl[[#This Row],[Rate_Code_Generalized]],Lookups!A:A,Lookups!B:B))*Pipeline_tbl[[#This Row],[Pipeline_Amount_USD]]</f>
        <v>6520.079999999999</v>
      </c>
      <c r="O1156" t="str">
        <f>_xlfn.XLOOKUP(Pipeline_tbl[[#This Row],[Rep_ID]],Dim_Reps!A:A,Dim_Reps!B:B)</f>
        <v>Priya Weber</v>
      </c>
      <c r="P1156" t="str">
        <f>_xlfn.XLOOKUP(Pipeline_tbl[[#This Row],[Rep_ID]],Dim_Reps!A:A,Dim_Reps!C:C)</f>
        <v>SDR / Inside Sales Rep</v>
      </c>
      <c r="Q1156" t="str">
        <f>_xlfn.XLOOKUP(Pipeline_tbl[[#This Row],[Rep_ID]],Dim_Reps!A:A,Dim_Reps!D:D)</f>
        <v>Inside Sales</v>
      </c>
      <c r="R1156" t="str">
        <f>_xlfn.XLOOKUP(Pipeline_tbl[[#This Row],[Rep_ID]],Dim_Reps!A:A,Dim_Reps!E:E)</f>
        <v>NAMER</v>
      </c>
      <c r="S1156" t="str">
        <f>_xlfn.XLOOKUP(Pipeline_tbl[[#This Row],[Created_Date]],Dim_Date!A:A,Dim_Date!H:H)</f>
        <v>Oct 2024</v>
      </c>
      <c r="T1156" t="str">
        <f>IF(Pipeline_tbl[[#This Row],[Closed_Date]]=0,"",(_xlfn.XLOOKUP(Pipeline_tbl[[#This Row],[Closed_Date]],Dim_Date!A:A,Dim_Date!H:H)))</f>
        <v>Nov 2024</v>
      </c>
      <c r="U1156">
        <f>IF(Pipeline_tbl[[#This Row],[Closed_Date]]=0,"",Pipeline_tbl[[#This Row],[Closed_Date]]-Pipeline_tbl[[#This Row],[Created_Date]])</f>
        <v>20</v>
      </c>
    </row>
    <row r="1157" spans="1:21" ht="15" customHeight="1" x14ac:dyDescent="0.2">
      <c r="A1157" t="s">
        <v>1463</v>
      </c>
      <c r="B1157" t="s">
        <v>217</v>
      </c>
      <c r="C1157" t="s">
        <v>55</v>
      </c>
      <c r="D1157" s="49">
        <v>45582</v>
      </c>
      <c r="E1157" s="49">
        <v>45584</v>
      </c>
      <c r="F1157" s="49">
        <v>45588</v>
      </c>
      <c r="G1157" s="49">
        <v>45595</v>
      </c>
      <c r="H1157" s="49">
        <v>45600</v>
      </c>
      <c r="I1157" s="49">
        <v>45603</v>
      </c>
      <c r="J1157" t="s">
        <v>47</v>
      </c>
      <c r="K1157" s="33">
        <v>3800</v>
      </c>
      <c r="M1157" t="str">
        <f>_xlfn.XLOOKUP(Pipeline_tbl[[#This Row],[Rep_ID]],Dim_Reps!A:A,Dim_Reps!K:K)</f>
        <v>USD</v>
      </c>
      <c r="N1157" s="33">
        <f>(_xlfn.XLOOKUP(Pipeline_tbl[[#This Row],[Rate_Code_Generalized]],Lookups!A:A,Lookups!B:B))*Pipeline_tbl[[#This Row],[Pipeline_Amount_USD]]</f>
        <v>4424.3399999999992</v>
      </c>
      <c r="O1157" t="str">
        <f>_xlfn.XLOOKUP(Pipeline_tbl[[#This Row],[Rep_ID]],Dim_Reps!A:A,Dim_Reps!B:B)</f>
        <v>Priya Weber</v>
      </c>
      <c r="P1157" t="str">
        <f>_xlfn.XLOOKUP(Pipeline_tbl[[#This Row],[Rep_ID]],Dim_Reps!A:A,Dim_Reps!C:C)</f>
        <v>SDR / Inside Sales Rep</v>
      </c>
      <c r="Q1157" t="str">
        <f>_xlfn.XLOOKUP(Pipeline_tbl[[#This Row],[Rep_ID]],Dim_Reps!A:A,Dim_Reps!D:D)</f>
        <v>Inside Sales</v>
      </c>
      <c r="R1157" t="str">
        <f>_xlfn.XLOOKUP(Pipeline_tbl[[#This Row],[Rep_ID]],Dim_Reps!A:A,Dim_Reps!E:E)</f>
        <v>NAMER</v>
      </c>
      <c r="S1157" t="str">
        <f>_xlfn.XLOOKUP(Pipeline_tbl[[#This Row],[Created_Date]],Dim_Date!A:A,Dim_Date!H:H)</f>
        <v>Oct 2024</v>
      </c>
      <c r="T1157" t="str">
        <f>IF(Pipeline_tbl[[#This Row],[Closed_Date]]=0,"",(_xlfn.XLOOKUP(Pipeline_tbl[[#This Row],[Closed_Date]],Dim_Date!A:A,Dim_Date!H:H)))</f>
        <v>Nov 2024</v>
      </c>
      <c r="U1157">
        <f>IF(Pipeline_tbl[[#This Row],[Closed_Date]]=0,"",Pipeline_tbl[[#This Row],[Closed_Date]]-Pipeline_tbl[[#This Row],[Created_Date]])</f>
        <v>21</v>
      </c>
    </row>
    <row r="1158" spans="1:21" ht="15" customHeight="1" x14ac:dyDescent="0.2">
      <c r="A1158" t="s">
        <v>1464</v>
      </c>
      <c r="B1158" t="s">
        <v>217</v>
      </c>
      <c r="C1158" t="s">
        <v>55</v>
      </c>
      <c r="D1158" s="49">
        <v>45592</v>
      </c>
      <c r="E1158" s="49">
        <v>45594</v>
      </c>
      <c r="F1158" s="49">
        <v>45599</v>
      </c>
      <c r="G1158" s="49">
        <v>45605</v>
      </c>
      <c r="H1158" s="49">
        <v>45611</v>
      </c>
      <c r="I1158" s="49">
        <v>45614</v>
      </c>
      <c r="J1158" t="s">
        <v>47</v>
      </c>
      <c r="K1158" s="33">
        <v>4700</v>
      </c>
      <c r="M1158" t="str">
        <f>_xlfn.XLOOKUP(Pipeline_tbl[[#This Row],[Rep_ID]],Dim_Reps!A:A,Dim_Reps!K:K)</f>
        <v>USD</v>
      </c>
      <c r="N1158" s="33">
        <f>(_xlfn.XLOOKUP(Pipeline_tbl[[#This Row],[Rate_Code_Generalized]],Lookups!A:A,Lookups!B:B))*Pipeline_tbl[[#This Row],[Pipeline_Amount_USD]]</f>
        <v>5472.2099999999991</v>
      </c>
      <c r="O1158" t="str">
        <f>_xlfn.XLOOKUP(Pipeline_tbl[[#This Row],[Rep_ID]],Dim_Reps!A:A,Dim_Reps!B:B)</f>
        <v>Priya Weber</v>
      </c>
      <c r="P1158" t="str">
        <f>_xlfn.XLOOKUP(Pipeline_tbl[[#This Row],[Rep_ID]],Dim_Reps!A:A,Dim_Reps!C:C)</f>
        <v>SDR / Inside Sales Rep</v>
      </c>
      <c r="Q1158" t="str">
        <f>_xlfn.XLOOKUP(Pipeline_tbl[[#This Row],[Rep_ID]],Dim_Reps!A:A,Dim_Reps!D:D)</f>
        <v>Inside Sales</v>
      </c>
      <c r="R1158" t="str">
        <f>_xlfn.XLOOKUP(Pipeline_tbl[[#This Row],[Rep_ID]],Dim_Reps!A:A,Dim_Reps!E:E)</f>
        <v>NAMER</v>
      </c>
      <c r="S1158" t="str">
        <f>_xlfn.XLOOKUP(Pipeline_tbl[[#This Row],[Created_Date]],Dim_Date!A:A,Dim_Date!H:H)</f>
        <v>Oct 2024</v>
      </c>
      <c r="T1158" t="str">
        <f>IF(Pipeline_tbl[[#This Row],[Closed_Date]]=0,"",(_xlfn.XLOOKUP(Pipeline_tbl[[#This Row],[Closed_Date]],Dim_Date!A:A,Dim_Date!H:H)))</f>
        <v>Nov 2024</v>
      </c>
      <c r="U1158">
        <f>IF(Pipeline_tbl[[#This Row],[Closed_Date]]=0,"",Pipeline_tbl[[#This Row],[Closed_Date]]-Pipeline_tbl[[#This Row],[Created_Date]])</f>
        <v>22</v>
      </c>
    </row>
    <row r="1159" spans="1:21" ht="15" customHeight="1" x14ac:dyDescent="0.2">
      <c r="A1159" t="s">
        <v>1465</v>
      </c>
      <c r="B1159" t="s">
        <v>217</v>
      </c>
      <c r="C1159" t="s">
        <v>54</v>
      </c>
      <c r="D1159" s="49">
        <v>45582</v>
      </c>
      <c r="E1159" s="49">
        <v>45584</v>
      </c>
      <c r="F1159" s="49">
        <v>45587</v>
      </c>
      <c r="G1159" s="49">
        <v>45591</v>
      </c>
      <c r="I1159" s="49">
        <v>45597</v>
      </c>
      <c r="J1159" t="s">
        <v>49</v>
      </c>
      <c r="K1159" s="33">
        <v>3000</v>
      </c>
      <c r="L1159" t="s">
        <v>60</v>
      </c>
      <c r="M1159" t="str">
        <f>_xlfn.XLOOKUP(Pipeline_tbl[[#This Row],[Rep_ID]],Dim_Reps!A:A,Dim_Reps!K:K)</f>
        <v>USD</v>
      </c>
      <c r="N1159" s="33">
        <f>(_xlfn.XLOOKUP(Pipeline_tbl[[#This Row],[Rate_Code_Generalized]],Lookups!A:A,Lookups!B:B))*Pipeline_tbl[[#This Row],[Pipeline_Amount_USD]]</f>
        <v>3492.8999999999996</v>
      </c>
      <c r="O1159" t="str">
        <f>_xlfn.XLOOKUP(Pipeline_tbl[[#This Row],[Rep_ID]],Dim_Reps!A:A,Dim_Reps!B:B)</f>
        <v>Priya Weber</v>
      </c>
      <c r="P1159" t="str">
        <f>_xlfn.XLOOKUP(Pipeline_tbl[[#This Row],[Rep_ID]],Dim_Reps!A:A,Dim_Reps!C:C)</f>
        <v>SDR / Inside Sales Rep</v>
      </c>
      <c r="Q1159" t="str">
        <f>_xlfn.XLOOKUP(Pipeline_tbl[[#This Row],[Rep_ID]],Dim_Reps!A:A,Dim_Reps!D:D)</f>
        <v>Inside Sales</v>
      </c>
      <c r="R1159" t="str">
        <f>_xlfn.XLOOKUP(Pipeline_tbl[[#This Row],[Rep_ID]],Dim_Reps!A:A,Dim_Reps!E:E)</f>
        <v>NAMER</v>
      </c>
      <c r="S1159" t="str">
        <f>_xlfn.XLOOKUP(Pipeline_tbl[[#This Row],[Created_Date]],Dim_Date!A:A,Dim_Date!H:H)</f>
        <v>Oct 2024</v>
      </c>
      <c r="T1159" t="str">
        <f>IF(Pipeline_tbl[[#This Row],[Closed_Date]]=0,"",(_xlfn.XLOOKUP(Pipeline_tbl[[#This Row],[Closed_Date]],Dim_Date!A:A,Dim_Date!H:H)))</f>
        <v>Nov 2024</v>
      </c>
      <c r="U1159">
        <f>IF(Pipeline_tbl[[#This Row],[Closed_Date]]=0,"",Pipeline_tbl[[#This Row],[Closed_Date]]-Pipeline_tbl[[#This Row],[Created_Date]])</f>
        <v>15</v>
      </c>
    </row>
    <row r="1160" spans="1:21" ht="15" customHeight="1" x14ac:dyDescent="0.2">
      <c r="A1160" t="s">
        <v>1466</v>
      </c>
      <c r="B1160" t="s">
        <v>221</v>
      </c>
      <c r="C1160" t="s">
        <v>53</v>
      </c>
      <c r="D1160" s="49">
        <v>45590</v>
      </c>
      <c r="E1160" s="49">
        <v>45593</v>
      </c>
      <c r="F1160" s="49">
        <v>45598</v>
      </c>
      <c r="I1160" s="49">
        <v>45618</v>
      </c>
      <c r="J1160" t="s">
        <v>49</v>
      </c>
      <c r="K1160" s="33">
        <v>1900</v>
      </c>
      <c r="L1160" t="s">
        <v>63</v>
      </c>
      <c r="M1160" t="str">
        <f>_xlfn.XLOOKUP(Pipeline_tbl[[#This Row],[Rep_ID]],Dim_Reps!A:A,Dim_Reps!K:K)</f>
        <v>MXN</v>
      </c>
      <c r="N1160" s="33">
        <f>(_xlfn.XLOOKUP(Pipeline_tbl[[#This Row],[Rate_Code_Generalized]],Lookups!A:A,Lookups!B:B))*Pipeline_tbl[[#This Row],[Pipeline_Amount_USD]]</f>
        <v>37492.130000000005</v>
      </c>
      <c r="O1160" t="str">
        <f>_xlfn.XLOOKUP(Pipeline_tbl[[#This Row],[Rep_ID]],Dim_Reps!A:A,Dim_Reps!B:B)</f>
        <v>Casey Muller</v>
      </c>
      <c r="P1160" t="str">
        <f>_xlfn.XLOOKUP(Pipeline_tbl[[#This Row],[Rep_ID]],Dim_Reps!A:A,Dim_Reps!C:C)</f>
        <v>SDR / Inside Sales Rep</v>
      </c>
      <c r="Q1160" t="str">
        <f>_xlfn.XLOOKUP(Pipeline_tbl[[#This Row],[Rep_ID]],Dim_Reps!A:A,Dim_Reps!D:D)</f>
        <v>Inside Sales</v>
      </c>
      <c r="R1160" t="str">
        <f>_xlfn.XLOOKUP(Pipeline_tbl[[#This Row],[Rep_ID]],Dim_Reps!A:A,Dim_Reps!E:E)</f>
        <v>LATAM</v>
      </c>
      <c r="S1160" t="str">
        <f>_xlfn.XLOOKUP(Pipeline_tbl[[#This Row],[Created_Date]],Dim_Date!A:A,Dim_Date!H:H)</f>
        <v>Oct 2024</v>
      </c>
      <c r="T1160" t="str">
        <f>IF(Pipeline_tbl[[#This Row],[Closed_Date]]=0,"",(_xlfn.XLOOKUP(Pipeline_tbl[[#This Row],[Closed_Date]],Dim_Date!A:A,Dim_Date!H:H)))</f>
        <v>Nov 2024</v>
      </c>
      <c r="U1160">
        <f>IF(Pipeline_tbl[[#This Row],[Closed_Date]]=0,"",Pipeline_tbl[[#This Row],[Closed_Date]]-Pipeline_tbl[[#This Row],[Created_Date]])</f>
        <v>28</v>
      </c>
    </row>
    <row r="1161" spans="1:21" ht="15" customHeight="1" x14ac:dyDescent="0.2">
      <c r="A1161" t="s">
        <v>1467</v>
      </c>
      <c r="B1161" t="s">
        <v>221</v>
      </c>
      <c r="C1161" t="s">
        <v>52</v>
      </c>
      <c r="D1161" s="49">
        <v>45590</v>
      </c>
      <c r="E1161" s="49">
        <v>45592</v>
      </c>
      <c r="I1161" s="49">
        <v>45607</v>
      </c>
      <c r="J1161" t="s">
        <v>49</v>
      </c>
      <c r="K1161" s="33">
        <v>3300</v>
      </c>
      <c r="L1161" t="s">
        <v>61</v>
      </c>
      <c r="M1161" t="str">
        <f>_xlfn.XLOOKUP(Pipeline_tbl[[#This Row],[Rep_ID]],Dim_Reps!A:A,Dim_Reps!K:K)</f>
        <v>MXN</v>
      </c>
      <c r="N1161" s="33">
        <f>(_xlfn.XLOOKUP(Pipeline_tbl[[#This Row],[Rate_Code_Generalized]],Lookups!A:A,Lookups!B:B))*Pipeline_tbl[[#This Row],[Pipeline_Amount_USD]]</f>
        <v>65117.91</v>
      </c>
      <c r="O1161" t="str">
        <f>_xlfn.XLOOKUP(Pipeline_tbl[[#This Row],[Rep_ID]],Dim_Reps!A:A,Dim_Reps!B:B)</f>
        <v>Casey Muller</v>
      </c>
      <c r="P1161" t="str">
        <f>_xlfn.XLOOKUP(Pipeline_tbl[[#This Row],[Rep_ID]],Dim_Reps!A:A,Dim_Reps!C:C)</f>
        <v>SDR / Inside Sales Rep</v>
      </c>
      <c r="Q1161" t="str">
        <f>_xlfn.XLOOKUP(Pipeline_tbl[[#This Row],[Rep_ID]],Dim_Reps!A:A,Dim_Reps!D:D)</f>
        <v>Inside Sales</v>
      </c>
      <c r="R1161" t="str">
        <f>_xlfn.XLOOKUP(Pipeline_tbl[[#This Row],[Rep_ID]],Dim_Reps!A:A,Dim_Reps!E:E)</f>
        <v>LATAM</v>
      </c>
      <c r="S1161" t="str">
        <f>_xlfn.XLOOKUP(Pipeline_tbl[[#This Row],[Created_Date]],Dim_Date!A:A,Dim_Date!H:H)</f>
        <v>Oct 2024</v>
      </c>
      <c r="T1161" t="str">
        <f>IF(Pipeline_tbl[[#This Row],[Closed_Date]]=0,"",(_xlfn.XLOOKUP(Pipeline_tbl[[#This Row],[Closed_Date]],Dim_Date!A:A,Dim_Date!H:H)))</f>
        <v>Nov 2024</v>
      </c>
      <c r="U1161">
        <f>IF(Pipeline_tbl[[#This Row],[Closed_Date]]=0,"",Pipeline_tbl[[#This Row],[Closed_Date]]-Pipeline_tbl[[#This Row],[Created_Date]])</f>
        <v>17</v>
      </c>
    </row>
    <row r="1162" spans="1:21" ht="15" customHeight="1" x14ac:dyDescent="0.2">
      <c r="A1162" t="s">
        <v>1468</v>
      </c>
      <c r="B1162" t="s">
        <v>221</v>
      </c>
      <c r="C1162" t="s">
        <v>53</v>
      </c>
      <c r="D1162" s="49">
        <v>45586</v>
      </c>
      <c r="E1162" s="49">
        <v>45588</v>
      </c>
      <c r="F1162" s="49">
        <v>45591</v>
      </c>
      <c r="G1162" s="49">
        <v>45596</v>
      </c>
      <c r="H1162" s="49">
        <v>45600</v>
      </c>
      <c r="I1162" s="49">
        <v>45603</v>
      </c>
      <c r="J1162" t="s">
        <v>47</v>
      </c>
      <c r="K1162" s="33">
        <v>2700</v>
      </c>
      <c r="M1162" t="str">
        <f>_xlfn.XLOOKUP(Pipeline_tbl[[#This Row],[Rep_ID]],Dim_Reps!A:A,Dim_Reps!K:K)</f>
        <v>MXN</v>
      </c>
      <c r="N1162" s="33">
        <f>(_xlfn.XLOOKUP(Pipeline_tbl[[#This Row],[Rate_Code_Generalized]],Lookups!A:A,Lookups!B:B))*Pipeline_tbl[[#This Row],[Pipeline_Amount_USD]]</f>
        <v>53278.29</v>
      </c>
      <c r="O1162" t="str">
        <f>_xlfn.XLOOKUP(Pipeline_tbl[[#This Row],[Rep_ID]],Dim_Reps!A:A,Dim_Reps!B:B)</f>
        <v>Casey Muller</v>
      </c>
      <c r="P1162" t="str">
        <f>_xlfn.XLOOKUP(Pipeline_tbl[[#This Row],[Rep_ID]],Dim_Reps!A:A,Dim_Reps!C:C)</f>
        <v>SDR / Inside Sales Rep</v>
      </c>
      <c r="Q1162" t="str">
        <f>_xlfn.XLOOKUP(Pipeline_tbl[[#This Row],[Rep_ID]],Dim_Reps!A:A,Dim_Reps!D:D)</f>
        <v>Inside Sales</v>
      </c>
      <c r="R1162" t="str">
        <f>_xlfn.XLOOKUP(Pipeline_tbl[[#This Row],[Rep_ID]],Dim_Reps!A:A,Dim_Reps!E:E)</f>
        <v>LATAM</v>
      </c>
      <c r="S1162" t="str">
        <f>_xlfn.XLOOKUP(Pipeline_tbl[[#This Row],[Created_Date]],Dim_Date!A:A,Dim_Date!H:H)</f>
        <v>Oct 2024</v>
      </c>
      <c r="T1162" t="str">
        <f>IF(Pipeline_tbl[[#This Row],[Closed_Date]]=0,"",(_xlfn.XLOOKUP(Pipeline_tbl[[#This Row],[Closed_Date]],Dim_Date!A:A,Dim_Date!H:H)))</f>
        <v>Nov 2024</v>
      </c>
      <c r="U1162">
        <f>IF(Pipeline_tbl[[#This Row],[Closed_Date]]=0,"",Pipeline_tbl[[#This Row],[Closed_Date]]-Pipeline_tbl[[#This Row],[Created_Date]])</f>
        <v>17</v>
      </c>
    </row>
    <row r="1163" spans="1:21" ht="15" customHeight="1" x14ac:dyDescent="0.2">
      <c r="A1163" t="s">
        <v>1469</v>
      </c>
      <c r="B1163" t="s">
        <v>221</v>
      </c>
      <c r="C1163" t="s">
        <v>52</v>
      </c>
      <c r="D1163" s="49">
        <v>45589</v>
      </c>
      <c r="E1163" s="49">
        <v>45591</v>
      </c>
      <c r="F1163" s="49">
        <v>45595</v>
      </c>
      <c r="I1163" s="49">
        <v>45608</v>
      </c>
      <c r="J1163" t="s">
        <v>49</v>
      </c>
      <c r="K1163" s="33">
        <v>9000</v>
      </c>
      <c r="L1163" t="s">
        <v>60</v>
      </c>
      <c r="M1163" t="str">
        <f>_xlfn.XLOOKUP(Pipeline_tbl[[#This Row],[Rep_ID]],Dim_Reps!A:A,Dim_Reps!K:K)</f>
        <v>MXN</v>
      </c>
      <c r="N1163" s="33">
        <f>(_xlfn.XLOOKUP(Pipeline_tbl[[#This Row],[Rate_Code_Generalized]],Lookups!A:A,Lookups!B:B))*Pipeline_tbl[[#This Row],[Pipeline_Amount_USD]]</f>
        <v>177594.30000000002</v>
      </c>
      <c r="O1163" t="str">
        <f>_xlfn.XLOOKUP(Pipeline_tbl[[#This Row],[Rep_ID]],Dim_Reps!A:A,Dim_Reps!B:B)</f>
        <v>Casey Muller</v>
      </c>
      <c r="P1163" t="str">
        <f>_xlfn.XLOOKUP(Pipeline_tbl[[#This Row],[Rep_ID]],Dim_Reps!A:A,Dim_Reps!C:C)</f>
        <v>SDR / Inside Sales Rep</v>
      </c>
      <c r="Q1163" t="str">
        <f>_xlfn.XLOOKUP(Pipeline_tbl[[#This Row],[Rep_ID]],Dim_Reps!A:A,Dim_Reps!D:D)</f>
        <v>Inside Sales</v>
      </c>
      <c r="R1163" t="str">
        <f>_xlfn.XLOOKUP(Pipeline_tbl[[#This Row],[Rep_ID]],Dim_Reps!A:A,Dim_Reps!E:E)</f>
        <v>LATAM</v>
      </c>
      <c r="S1163" t="str">
        <f>_xlfn.XLOOKUP(Pipeline_tbl[[#This Row],[Created_Date]],Dim_Date!A:A,Dim_Date!H:H)</f>
        <v>Oct 2024</v>
      </c>
      <c r="T1163" t="str">
        <f>IF(Pipeline_tbl[[#This Row],[Closed_Date]]=0,"",(_xlfn.XLOOKUP(Pipeline_tbl[[#This Row],[Closed_Date]],Dim_Date!A:A,Dim_Date!H:H)))</f>
        <v>Nov 2024</v>
      </c>
      <c r="U1163">
        <f>IF(Pipeline_tbl[[#This Row],[Closed_Date]]=0,"",Pipeline_tbl[[#This Row],[Closed_Date]]-Pipeline_tbl[[#This Row],[Created_Date]])</f>
        <v>19</v>
      </c>
    </row>
    <row r="1164" spans="1:21" ht="15" customHeight="1" x14ac:dyDescent="0.2">
      <c r="A1164" t="s">
        <v>1470</v>
      </c>
      <c r="B1164" t="s">
        <v>221</v>
      </c>
      <c r="C1164" t="s">
        <v>52</v>
      </c>
      <c r="D1164" s="49">
        <v>45586</v>
      </c>
      <c r="E1164" s="49">
        <v>45589</v>
      </c>
      <c r="F1164" s="49">
        <v>45594</v>
      </c>
      <c r="G1164" s="49">
        <v>45602</v>
      </c>
      <c r="H1164" s="49">
        <v>45608</v>
      </c>
      <c r="I1164" s="49">
        <v>45612</v>
      </c>
      <c r="J1164" t="s">
        <v>47</v>
      </c>
      <c r="K1164" s="33">
        <v>2400</v>
      </c>
      <c r="M1164" t="str">
        <f>_xlfn.XLOOKUP(Pipeline_tbl[[#This Row],[Rep_ID]],Dim_Reps!A:A,Dim_Reps!K:K)</f>
        <v>MXN</v>
      </c>
      <c r="N1164" s="33">
        <f>(_xlfn.XLOOKUP(Pipeline_tbl[[#This Row],[Rate_Code_Generalized]],Lookups!A:A,Lookups!B:B))*Pipeline_tbl[[#This Row],[Pipeline_Amount_USD]]</f>
        <v>47358.48</v>
      </c>
      <c r="O1164" t="str">
        <f>_xlfn.XLOOKUP(Pipeline_tbl[[#This Row],[Rep_ID]],Dim_Reps!A:A,Dim_Reps!B:B)</f>
        <v>Casey Muller</v>
      </c>
      <c r="P1164" t="str">
        <f>_xlfn.XLOOKUP(Pipeline_tbl[[#This Row],[Rep_ID]],Dim_Reps!A:A,Dim_Reps!C:C)</f>
        <v>SDR / Inside Sales Rep</v>
      </c>
      <c r="Q1164" t="str">
        <f>_xlfn.XLOOKUP(Pipeline_tbl[[#This Row],[Rep_ID]],Dim_Reps!A:A,Dim_Reps!D:D)</f>
        <v>Inside Sales</v>
      </c>
      <c r="R1164" t="str">
        <f>_xlfn.XLOOKUP(Pipeline_tbl[[#This Row],[Rep_ID]],Dim_Reps!A:A,Dim_Reps!E:E)</f>
        <v>LATAM</v>
      </c>
      <c r="S1164" t="str">
        <f>_xlfn.XLOOKUP(Pipeline_tbl[[#This Row],[Created_Date]],Dim_Date!A:A,Dim_Date!H:H)</f>
        <v>Oct 2024</v>
      </c>
      <c r="T1164" t="str">
        <f>IF(Pipeline_tbl[[#This Row],[Closed_Date]]=0,"",(_xlfn.XLOOKUP(Pipeline_tbl[[#This Row],[Closed_Date]],Dim_Date!A:A,Dim_Date!H:H)))</f>
        <v>Nov 2024</v>
      </c>
      <c r="U1164">
        <f>IF(Pipeline_tbl[[#This Row],[Closed_Date]]=0,"",Pipeline_tbl[[#This Row],[Closed_Date]]-Pipeline_tbl[[#This Row],[Created_Date]])</f>
        <v>26</v>
      </c>
    </row>
    <row r="1165" spans="1:21" ht="15" customHeight="1" x14ac:dyDescent="0.2">
      <c r="A1165" t="s">
        <v>1471</v>
      </c>
      <c r="B1165" t="s">
        <v>221</v>
      </c>
      <c r="C1165" t="s">
        <v>53</v>
      </c>
      <c r="D1165" s="49">
        <v>45596</v>
      </c>
      <c r="E1165" s="49">
        <v>45598</v>
      </c>
      <c r="F1165" s="49">
        <v>45601</v>
      </c>
      <c r="G1165" s="49">
        <v>45606</v>
      </c>
      <c r="H1165" s="49">
        <v>45610</v>
      </c>
      <c r="I1165" s="49">
        <v>45612</v>
      </c>
      <c r="J1165" t="s">
        <v>49</v>
      </c>
      <c r="K1165" s="33">
        <v>6000</v>
      </c>
      <c r="L1165" t="s">
        <v>60</v>
      </c>
      <c r="M1165" t="str">
        <f>_xlfn.XLOOKUP(Pipeline_tbl[[#This Row],[Rep_ID]],Dim_Reps!A:A,Dim_Reps!K:K)</f>
        <v>MXN</v>
      </c>
      <c r="N1165" s="33">
        <f>(_xlfn.XLOOKUP(Pipeline_tbl[[#This Row],[Rate_Code_Generalized]],Lookups!A:A,Lookups!B:B))*Pipeline_tbl[[#This Row],[Pipeline_Amount_USD]]</f>
        <v>118396.20000000001</v>
      </c>
      <c r="O1165" t="str">
        <f>_xlfn.XLOOKUP(Pipeline_tbl[[#This Row],[Rep_ID]],Dim_Reps!A:A,Dim_Reps!B:B)</f>
        <v>Casey Muller</v>
      </c>
      <c r="P1165" t="str">
        <f>_xlfn.XLOOKUP(Pipeline_tbl[[#This Row],[Rep_ID]],Dim_Reps!A:A,Dim_Reps!C:C)</f>
        <v>SDR / Inside Sales Rep</v>
      </c>
      <c r="Q1165" t="str">
        <f>_xlfn.XLOOKUP(Pipeline_tbl[[#This Row],[Rep_ID]],Dim_Reps!A:A,Dim_Reps!D:D)</f>
        <v>Inside Sales</v>
      </c>
      <c r="R1165" t="str">
        <f>_xlfn.XLOOKUP(Pipeline_tbl[[#This Row],[Rep_ID]],Dim_Reps!A:A,Dim_Reps!E:E)</f>
        <v>LATAM</v>
      </c>
      <c r="S1165" t="str">
        <f>_xlfn.XLOOKUP(Pipeline_tbl[[#This Row],[Created_Date]],Dim_Date!A:A,Dim_Date!H:H)</f>
        <v>Oct 2024</v>
      </c>
      <c r="T1165" t="str">
        <f>IF(Pipeline_tbl[[#This Row],[Closed_Date]]=0,"",(_xlfn.XLOOKUP(Pipeline_tbl[[#This Row],[Closed_Date]],Dim_Date!A:A,Dim_Date!H:H)))</f>
        <v>Nov 2024</v>
      </c>
      <c r="U1165">
        <f>IF(Pipeline_tbl[[#This Row],[Closed_Date]]=0,"",Pipeline_tbl[[#This Row],[Closed_Date]]-Pipeline_tbl[[#This Row],[Created_Date]])</f>
        <v>16</v>
      </c>
    </row>
    <row r="1166" spans="1:21" ht="15" customHeight="1" x14ac:dyDescent="0.2">
      <c r="A1166" t="s">
        <v>1472</v>
      </c>
      <c r="B1166" t="s">
        <v>221</v>
      </c>
      <c r="C1166" t="s">
        <v>53</v>
      </c>
      <c r="D1166" s="49">
        <v>45577</v>
      </c>
      <c r="E1166" s="49">
        <v>45579</v>
      </c>
      <c r="I1166" s="49">
        <v>45599</v>
      </c>
      <c r="J1166" t="s">
        <v>49</v>
      </c>
      <c r="K1166" s="33">
        <v>1700</v>
      </c>
      <c r="L1166" t="s">
        <v>63</v>
      </c>
      <c r="M1166" t="str">
        <f>_xlfn.XLOOKUP(Pipeline_tbl[[#This Row],[Rep_ID]],Dim_Reps!A:A,Dim_Reps!K:K)</f>
        <v>MXN</v>
      </c>
      <c r="N1166" s="33">
        <f>(_xlfn.XLOOKUP(Pipeline_tbl[[#This Row],[Rate_Code_Generalized]],Lookups!A:A,Lookups!B:B))*Pipeline_tbl[[#This Row],[Pipeline_Amount_USD]]</f>
        <v>33545.590000000004</v>
      </c>
      <c r="O1166" t="str">
        <f>_xlfn.XLOOKUP(Pipeline_tbl[[#This Row],[Rep_ID]],Dim_Reps!A:A,Dim_Reps!B:B)</f>
        <v>Casey Muller</v>
      </c>
      <c r="P1166" t="str">
        <f>_xlfn.XLOOKUP(Pipeline_tbl[[#This Row],[Rep_ID]],Dim_Reps!A:A,Dim_Reps!C:C)</f>
        <v>SDR / Inside Sales Rep</v>
      </c>
      <c r="Q1166" t="str">
        <f>_xlfn.XLOOKUP(Pipeline_tbl[[#This Row],[Rep_ID]],Dim_Reps!A:A,Dim_Reps!D:D)</f>
        <v>Inside Sales</v>
      </c>
      <c r="R1166" t="str">
        <f>_xlfn.XLOOKUP(Pipeline_tbl[[#This Row],[Rep_ID]],Dim_Reps!A:A,Dim_Reps!E:E)</f>
        <v>LATAM</v>
      </c>
      <c r="S1166" t="str">
        <f>_xlfn.XLOOKUP(Pipeline_tbl[[#This Row],[Created_Date]],Dim_Date!A:A,Dim_Date!H:H)</f>
        <v>Oct 2024</v>
      </c>
      <c r="T1166" t="str">
        <f>IF(Pipeline_tbl[[#This Row],[Closed_Date]]=0,"",(_xlfn.XLOOKUP(Pipeline_tbl[[#This Row],[Closed_Date]],Dim_Date!A:A,Dim_Date!H:H)))</f>
        <v>Nov 2024</v>
      </c>
      <c r="U1166">
        <f>IF(Pipeline_tbl[[#This Row],[Closed_Date]]=0,"",Pipeline_tbl[[#This Row],[Closed_Date]]-Pipeline_tbl[[#This Row],[Created_Date]])</f>
        <v>22</v>
      </c>
    </row>
    <row r="1167" spans="1:21" ht="15" customHeight="1" x14ac:dyDescent="0.2">
      <c r="A1167" t="s">
        <v>1473</v>
      </c>
      <c r="B1167" t="s">
        <v>221</v>
      </c>
      <c r="C1167" t="s">
        <v>54</v>
      </c>
      <c r="D1167" s="49">
        <v>45594</v>
      </c>
      <c r="E1167" s="49">
        <v>45596</v>
      </c>
      <c r="F1167" s="49">
        <v>45599</v>
      </c>
      <c r="G1167" s="49">
        <v>45605</v>
      </c>
      <c r="I1167" s="49">
        <v>45612</v>
      </c>
      <c r="J1167" t="s">
        <v>49</v>
      </c>
      <c r="K1167" s="33">
        <v>2200</v>
      </c>
      <c r="L1167" t="s">
        <v>62</v>
      </c>
      <c r="M1167" t="str">
        <f>_xlfn.XLOOKUP(Pipeline_tbl[[#This Row],[Rep_ID]],Dim_Reps!A:A,Dim_Reps!K:K)</f>
        <v>MXN</v>
      </c>
      <c r="N1167" s="33">
        <f>(_xlfn.XLOOKUP(Pipeline_tbl[[#This Row],[Rate_Code_Generalized]],Lookups!A:A,Lookups!B:B))*Pipeline_tbl[[#This Row],[Pipeline_Amount_USD]]</f>
        <v>43411.94</v>
      </c>
      <c r="O1167" t="str">
        <f>_xlfn.XLOOKUP(Pipeline_tbl[[#This Row],[Rep_ID]],Dim_Reps!A:A,Dim_Reps!B:B)</f>
        <v>Casey Muller</v>
      </c>
      <c r="P1167" t="str">
        <f>_xlfn.XLOOKUP(Pipeline_tbl[[#This Row],[Rep_ID]],Dim_Reps!A:A,Dim_Reps!C:C)</f>
        <v>SDR / Inside Sales Rep</v>
      </c>
      <c r="Q1167" t="str">
        <f>_xlfn.XLOOKUP(Pipeline_tbl[[#This Row],[Rep_ID]],Dim_Reps!A:A,Dim_Reps!D:D)</f>
        <v>Inside Sales</v>
      </c>
      <c r="R1167" t="str">
        <f>_xlfn.XLOOKUP(Pipeline_tbl[[#This Row],[Rep_ID]],Dim_Reps!A:A,Dim_Reps!E:E)</f>
        <v>LATAM</v>
      </c>
      <c r="S1167" t="str">
        <f>_xlfn.XLOOKUP(Pipeline_tbl[[#This Row],[Created_Date]],Dim_Date!A:A,Dim_Date!H:H)</f>
        <v>Oct 2024</v>
      </c>
      <c r="T1167" t="str">
        <f>IF(Pipeline_tbl[[#This Row],[Closed_Date]]=0,"",(_xlfn.XLOOKUP(Pipeline_tbl[[#This Row],[Closed_Date]],Dim_Date!A:A,Dim_Date!H:H)))</f>
        <v>Nov 2024</v>
      </c>
      <c r="U1167">
        <f>IF(Pipeline_tbl[[#This Row],[Closed_Date]]=0,"",Pipeline_tbl[[#This Row],[Closed_Date]]-Pipeline_tbl[[#This Row],[Created_Date]])</f>
        <v>18</v>
      </c>
    </row>
    <row r="1168" spans="1:21" ht="15" customHeight="1" x14ac:dyDescent="0.2">
      <c r="A1168" t="s">
        <v>1474</v>
      </c>
      <c r="B1168" t="s">
        <v>221</v>
      </c>
      <c r="C1168" t="s">
        <v>52</v>
      </c>
      <c r="D1168" s="49">
        <v>45580</v>
      </c>
      <c r="E1168" s="49">
        <v>45582</v>
      </c>
      <c r="F1168" s="49">
        <v>45587</v>
      </c>
      <c r="G1168" s="49">
        <v>45593</v>
      </c>
      <c r="I1168" s="49">
        <v>45602</v>
      </c>
      <c r="J1168" t="s">
        <v>49</v>
      </c>
      <c r="K1168" s="33">
        <v>7300</v>
      </c>
      <c r="L1168" t="s">
        <v>60</v>
      </c>
      <c r="M1168" t="str">
        <f>_xlfn.XLOOKUP(Pipeline_tbl[[#This Row],[Rep_ID]],Dim_Reps!A:A,Dim_Reps!K:K)</f>
        <v>MXN</v>
      </c>
      <c r="N1168" s="33">
        <f>(_xlfn.XLOOKUP(Pipeline_tbl[[#This Row],[Rate_Code_Generalized]],Lookups!A:A,Lookups!B:B))*Pipeline_tbl[[#This Row],[Pipeline_Amount_USD]]</f>
        <v>144048.71000000002</v>
      </c>
      <c r="O1168" t="str">
        <f>_xlfn.XLOOKUP(Pipeline_tbl[[#This Row],[Rep_ID]],Dim_Reps!A:A,Dim_Reps!B:B)</f>
        <v>Casey Muller</v>
      </c>
      <c r="P1168" t="str">
        <f>_xlfn.XLOOKUP(Pipeline_tbl[[#This Row],[Rep_ID]],Dim_Reps!A:A,Dim_Reps!C:C)</f>
        <v>SDR / Inside Sales Rep</v>
      </c>
      <c r="Q1168" t="str">
        <f>_xlfn.XLOOKUP(Pipeline_tbl[[#This Row],[Rep_ID]],Dim_Reps!A:A,Dim_Reps!D:D)</f>
        <v>Inside Sales</v>
      </c>
      <c r="R1168" t="str">
        <f>_xlfn.XLOOKUP(Pipeline_tbl[[#This Row],[Rep_ID]],Dim_Reps!A:A,Dim_Reps!E:E)</f>
        <v>LATAM</v>
      </c>
      <c r="S1168" t="str">
        <f>_xlfn.XLOOKUP(Pipeline_tbl[[#This Row],[Created_Date]],Dim_Date!A:A,Dim_Date!H:H)</f>
        <v>Oct 2024</v>
      </c>
      <c r="T1168" t="str">
        <f>IF(Pipeline_tbl[[#This Row],[Closed_Date]]=0,"",(_xlfn.XLOOKUP(Pipeline_tbl[[#This Row],[Closed_Date]],Dim_Date!A:A,Dim_Date!H:H)))</f>
        <v>Nov 2024</v>
      </c>
      <c r="U1168">
        <f>IF(Pipeline_tbl[[#This Row],[Closed_Date]]=0,"",Pipeline_tbl[[#This Row],[Closed_Date]]-Pipeline_tbl[[#This Row],[Created_Date]])</f>
        <v>22</v>
      </c>
    </row>
    <row r="1169" spans="1:21" ht="15" customHeight="1" x14ac:dyDescent="0.2">
      <c r="A1169" t="s">
        <v>1475</v>
      </c>
      <c r="B1169" t="s">
        <v>221</v>
      </c>
      <c r="C1169" t="s">
        <v>52</v>
      </c>
      <c r="D1169" s="49">
        <v>45593</v>
      </c>
      <c r="E1169" s="49">
        <v>45595</v>
      </c>
      <c r="F1169" s="49">
        <v>45599</v>
      </c>
      <c r="G1169" s="49">
        <v>45606</v>
      </c>
      <c r="I1169" s="49">
        <v>45614</v>
      </c>
      <c r="J1169" t="s">
        <v>49</v>
      </c>
      <c r="K1169" s="33">
        <v>5600</v>
      </c>
      <c r="L1169" t="s">
        <v>60</v>
      </c>
      <c r="M1169" t="str">
        <f>_xlfn.XLOOKUP(Pipeline_tbl[[#This Row],[Rep_ID]],Dim_Reps!A:A,Dim_Reps!K:K)</f>
        <v>MXN</v>
      </c>
      <c r="N1169" s="33">
        <f>(_xlfn.XLOOKUP(Pipeline_tbl[[#This Row],[Rate_Code_Generalized]],Lookups!A:A,Lookups!B:B))*Pipeline_tbl[[#This Row],[Pipeline_Amount_USD]]</f>
        <v>110503.12000000001</v>
      </c>
      <c r="O1169" t="str">
        <f>_xlfn.XLOOKUP(Pipeline_tbl[[#This Row],[Rep_ID]],Dim_Reps!A:A,Dim_Reps!B:B)</f>
        <v>Casey Muller</v>
      </c>
      <c r="P1169" t="str">
        <f>_xlfn.XLOOKUP(Pipeline_tbl[[#This Row],[Rep_ID]],Dim_Reps!A:A,Dim_Reps!C:C)</f>
        <v>SDR / Inside Sales Rep</v>
      </c>
      <c r="Q1169" t="str">
        <f>_xlfn.XLOOKUP(Pipeline_tbl[[#This Row],[Rep_ID]],Dim_Reps!A:A,Dim_Reps!D:D)</f>
        <v>Inside Sales</v>
      </c>
      <c r="R1169" t="str">
        <f>_xlfn.XLOOKUP(Pipeline_tbl[[#This Row],[Rep_ID]],Dim_Reps!A:A,Dim_Reps!E:E)</f>
        <v>LATAM</v>
      </c>
      <c r="S1169" t="str">
        <f>_xlfn.XLOOKUP(Pipeline_tbl[[#This Row],[Created_Date]],Dim_Date!A:A,Dim_Date!H:H)</f>
        <v>Oct 2024</v>
      </c>
      <c r="T1169" t="str">
        <f>IF(Pipeline_tbl[[#This Row],[Closed_Date]]=0,"",(_xlfn.XLOOKUP(Pipeline_tbl[[#This Row],[Closed_Date]],Dim_Date!A:A,Dim_Date!H:H)))</f>
        <v>Nov 2024</v>
      </c>
      <c r="U1169">
        <f>IF(Pipeline_tbl[[#This Row],[Closed_Date]]=0,"",Pipeline_tbl[[#This Row],[Closed_Date]]-Pipeline_tbl[[#This Row],[Created_Date]])</f>
        <v>21</v>
      </c>
    </row>
    <row r="1170" spans="1:21" ht="15" customHeight="1" x14ac:dyDescent="0.2">
      <c r="A1170" t="s">
        <v>1476</v>
      </c>
      <c r="B1170" t="s">
        <v>221</v>
      </c>
      <c r="C1170" t="s">
        <v>53</v>
      </c>
      <c r="D1170" s="49">
        <v>45595</v>
      </c>
      <c r="E1170" s="49">
        <v>45597</v>
      </c>
      <c r="F1170" s="49">
        <v>45601</v>
      </c>
      <c r="G1170" s="49">
        <v>45608</v>
      </c>
      <c r="H1170" s="49">
        <v>45613</v>
      </c>
      <c r="I1170" s="49">
        <v>45616</v>
      </c>
      <c r="J1170" t="s">
        <v>47</v>
      </c>
      <c r="K1170" s="33">
        <v>3800</v>
      </c>
      <c r="M1170" t="str">
        <f>_xlfn.XLOOKUP(Pipeline_tbl[[#This Row],[Rep_ID]],Dim_Reps!A:A,Dim_Reps!K:K)</f>
        <v>MXN</v>
      </c>
      <c r="N1170" s="33">
        <f>(_xlfn.XLOOKUP(Pipeline_tbl[[#This Row],[Rate_Code_Generalized]],Lookups!A:A,Lookups!B:B))*Pipeline_tbl[[#This Row],[Pipeline_Amount_USD]]</f>
        <v>74984.260000000009</v>
      </c>
      <c r="O1170" t="str">
        <f>_xlfn.XLOOKUP(Pipeline_tbl[[#This Row],[Rep_ID]],Dim_Reps!A:A,Dim_Reps!B:B)</f>
        <v>Casey Muller</v>
      </c>
      <c r="P1170" t="str">
        <f>_xlfn.XLOOKUP(Pipeline_tbl[[#This Row],[Rep_ID]],Dim_Reps!A:A,Dim_Reps!C:C)</f>
        <v>SDR / Inside Sales Rep</v>
      </c>
      <c r="Q1170" t="str">
        <f>_xlfn.XLOOKUP(Pipeline_tbl[[#This Row],[Rep_ID]],Dim_Reps!A:A,Dim_Reps!D:D)</f>
        <v>Inside Sales</v>
      </c>
      <c r="R1170" t="str">
        <f>_xlfn.XLOOKUP(Pipeline_tbl[[#This Row],[Rep_ID]],Dim_Reps!A:A,Dim_Reps!E:E)</f>
        <v>LATAM</v>
      </c>
      <c r="S1170" t="str">
        <f>_xlfn.XLOOKUP(Pipeline_tbl[[#This Row],[Created_Date]],Dim_Date!A:A,Dim_Date!H:H)</f>
        <v>Oct 2024</v>
      </c>
      <c r="T1170" t="str">
        <f>IF(Pipeline_tbl[[#This Row],[Closed_Date]]=0,"",(_xlfn.XLOOKUP(Pipeline_tbl[[#This Row],[Closed_Date]],Dim_Date!A:A,Dim_Date!H:H)))</f>
        <v>Nov 2024</v>
      </c>
      <c r="U1170">
        <f>IF(Pipeline_tbl[[#This Row],[Closed_Date]]=0,"",Pipeline_tbl[[#This Row],[Closed_Date]]-Pipeline_tbl[[#This Row],[Created_Date]])</f>
        <v>21</v>
      </c>
    </row>
    <row r="1171" spans="1:21" ht="15" customHeight="1" x14ac:dyDescent="0.2">
      <c r="A1171" t="s">
        <v>1477</v>
      </c>
      <c r="B1171" t="s">
        <v>221</v>
      </c>
      <c r="C1171" t="s">
        <v>53</v>
      </c>
      <c r="D1171" s="49">
        <v>45595</v>
      </c>
      <c r="E1171" s="49">
        <v>45597</v>
      </c>
      <c r="F1171" s="49">
        <v>45602</v>
      </c>
      <c r="G1171" s="49">
        <v>45609</v>
      </c>
      <c r="H1171" s="49">
        <v>45615</v>
      </c>
      <c r="I1171" s="49">
        <v>45618</v>
      </c>
      <c r="J1171" t="s">
        <v>49</v>
      </c>
      <c r="K1171" s="33">
        <v>6300</v>
      </c>
      <c r="L1171" t="s">
        <v>60</v>
      </c>
      <c r="M1171" t="str">
        <f>_xlfn.XLOOKUP(Pipeline_tbl[[#This Row],[Rep_ID]],Dim_Reps!A:A,Dim_Reps!K:K)</f>
        <v>MXN</v>
      </c>
      <c r="N1171" s="33">
        <f>(_xlfn.XLOOKUP(Pipeline_tbl[[#This Row],[Rate_Code_Generalized]],Lookups!A:A,Lookups!B:B))*Pipeline_tbl[[#This Row],[Pipeline_Amount_USD]]</f>
        <v>124316.01000000001</v>
      </c>
      <c r="O1171" t="str">
        <f>_xlfn.XLOOKUP(Pipeline_tbl[[#This Row],[Rep_ID]],Dim_Reps!A:A,Dim_Reps!B:B)</f>
        <v>Casey Muller</v>
      </c>
      <c r="P1171" t="str">
        <f>_xlfn.XLOOKUP(Pipeline_tbl[[#This Row],[Rep_ID]],Dim_Reps!A:A,Dim_Reps!C:C)</f>
        <v>SDR / Inside Sales Rep</v>
      </c>
      <c r="Q1171" t="str">
        <f>_xlfn.XLOOKUP(Pipeline_tbl[[#This Row],[Rep_ID]],Dim_Reps!A:A,Dim_Reps!D:D)</f>
        <v>Inside Sales</v>
      </c>
      <c r="R1171" t="str">
        <f>_xlfn.XLOOKUP(Pipeline_tbl[[#This Row],[Rep_ID]],Dim_Reps!A:A,Dim_Reps!E:E)</f>
        <v>LATAM</v>
      </c>
      <c r="S1171" t="str">
        <f>_xlfn.XLOOKUP(Pipeline_tbl[[#This Row],[Created_Date]],Dim_Date!A:A,Dim_Date!H:H)</f>
        <v>Oct 2024</v>
      </c>
      <c r="T1171" t="str">
        <f>IF(Pipeline_tbl[[#This Row],[Closed_Date]]=0,"",(_xlfn.XLOOKUP(Pipeline_tbl[[#This Row],[Closed_Date]],Dim_Date!A:A,Dim_Date!H:H)))</f>
        <v>Nov 2024</v>
      </c>
      <c r="U1171">
        <f>IF(Pipeline_tbl[[#This Row],[Closed_Date]]=0,"",Pipeline_tbl[[#This Row],[Closed_Date]]-Pipeline_tbl[[#This Row],[Created_Date]])</f>
        <v>23</v>
      </c>
    </row>
    <row r="1172" spans="1:21" ht="15" customHeight="1" x14ac:dyDescent="0.2">
      <c r="A1172" t="s">
        <v>1478</v>
      </c>
      <c r="B1172" t="s">
        <v>221</v>
      </c>
      <c r="C1172" t="s">
        <v>52</v>
      </c>
      <c r="D1172" s="49">
        <v>45578</v>
      </c>
      <c r="E1172" s="49">
        <v>45580</v>
      </c>
      <c r="F1172" s="49">
        <v>45585</v>
      </c>
      <c r="G1172" s="49">
        <v>45591</v>
      </c>
      <c r="H1172" s="49">
        <v>45597</v>
      </c>
      <c r="I1172" s="49">
        <v>45600</v>
      </c>
      <c r="J1172" t="s">
        <v>47</v>
      </c>
      <c r="K1172" s="33">
        <v>6100</v>
      </c>
      <c r="M1172" t="str">
        <f>_xlfn.XLOOKUP(Pipeline_tbl[[#This Row],[Rep_ID]],Dim_Reps!A:A,Dim_Reps!K:K)</f>
        <v>MXN</v>
      </c>
      <c r="N1172" s="33">
        <f>(_xlfn.XLOOKUP(Pipeline_tbl[[#This Row],[Rate_Code_Generalized]],Lookups!A:A,Lookups!B:B))*Pipeline_tbl[[#This Row],[Pipeline_Amount_USD]]</f>
        <v>120369.47</v>
      </c>
      <c r="O1172" t="str">
        <f>_xlfn.XLOOKUP(Pipeline_tbl[[#This Row],[Rep_ID]],Dim_Reps!A:A,Dim_Reps!B:B)</f>
        <v>Casey Muller</v>
      </c>
      <c r="P1172" t="str">
        <f>_xlfn.XLOOKUP(Pipeline_tbl[[#This Row],[Rep_ID]],Dim_Reps!A:A,Dim_Reps!C:C)</f>
        <v>SDR / Inside Sales Rep</v>
      </c>
      <c r="Q1172" t="str">
        <f>_xlfn.XLOOKUP(Pipeline_tbl[[#This Row],[Rep_ID]],Dim_Reps!A:A,Dim_Reps!D:D)</f>
        <v>Inside Sales</v>
      </c>
      <c r="R1172" t="str">
        <f>_xlfn.XLOOKUP(Pipeline_tbl[[#This Row],[Rep_ID]],Dim_Reps!A:A,Dim_Reps!E:E)</f>
        <v>LATAM</v>
      </c>
      <c r="S1172" t="str">
        <f>_xlfn.XLOOKUP(Pipeline_tbl[[#This Row],[Created_Date]],Dim_Date!A:A,Dim_Date!H:H)</f>
        <v>Oct 2024</v>
      </c>
      <c r="T1172" t="str">
        <f>IF(Pipeline_tbl[[#This Row],[Closed_Date]]=0,"",(_xlfn.XLOOKUP(Pipeline_tbl[[#This Row],[Closed_Date]],Dim_Date!A:A,Dim_Date!H:H)))</f>
        <v>Nov 2024</v>
      </c>
      <c r="U1172">
        <f>IF(Pipeline_tbl[[#This Row],[Closed_Date]]=0,"",Pipeline_tbl[[#This Row],[Closed_Date]]-Pipeline_tbl[[#This Row],[Created_Date]])</f>
        <v>22</v>
      </c>
    </row>
    <row r="1173" spans="1:21" ht="15" customHeight="1" x14ac:dyDescent="0.2">
      <c r="A1173" t="s">
        <v>1479</v>
      </c>
      <c r="B1173" t="s">
        <v>221</v>
      </c>
      <c r="C1173" t="s">
        <v>52</v>
      </c>
      <c r="D1173" s="49">
        <v>45578</v>
      </c>
      <c r="E1173" s="49">
        <v>45580</v>
      </c>
      <c r="F1173" s="49">
        <v>45584</v>
      </c>
      <c r="G1173" s="49">
        <v>45589</v>
      </c>
      <c r="I1173" s="49">
        <v>45597</v>
      </c>
      <c r="J1173" t="s">
        <v>49</v>
      </c>
      <c r="K1173" s="33">
        <v>1800</v>
      </c>
      <c r="L1173" t="s">
        <v>61</v>
      </c>
      <c r="M1173" t="str">
        <f>_xlfn.XLOOKUP(Pipeline_tbl[[#This Row],[Rep_ID]],Dim_Reps!A:A,Dim_Reps!K:K)</f>
        <v>MXN</v>
      </c>
      <c r="N1173" s="33">
        <f>(_xlfn.XLOOKUP(Pipeline_tbl[[#This Row],[Rate_Code_Generalized]],Lookups!A:A,Lookups!B:B))*Pipeline_tbl[[#This Row],[Pipeline_Amount_USD]]</f>
        <v>35518.86</v>
      </c>
      <c r="O1173" t="str">
        <f>_xlfn.XLOOKUP(Pipeline_tbl[[#This Row],[Rep_ID]],Dim_Reps!A:A,Dim_Reps!B:B)</f>
        <v>Casey Muller</v>
      </c>
      <c r="P1173" t="str">
        <f>_xlfn.XLOOKUP(Pipeline_tbl[[#This Row],[Rep_ID]],Dim_Reps!A:A,Dim_Reps!C:C)</f>
        <v>SDR / Inside Sales Rep</v>
      </c>
      <c r="Q1173" t="str">
        <f>_xlfn.XLOOKUP(Pipeline_tbl[[#This Row],[Rep_ID]],Dim_Reps!A:A,Dim_Reps!D:D)</f>
        <v>Inside Sales</v>
      </c>
      <c r="R1173" t="str">
        <f>_xlfn.XLOOKUP(Pipeline_tbl[[#This Row],[Rep_ID]],Dim_Reps!A:A,Dim_Reps!E:E)</f>
        <v>LATAM</v>
      </c>
      <c r="S1173" t="str">
        <f>_xlfn.XLOOKUP(Pipeline_tbl[[#This Row],[Created_Date]],Dim_Date!A:A,Dim_Date!H:H)</f>
        <v>Oct 2024</v>
      </c>
      <c r="T1173" t="str">
        <f>IF(Pipeline_tbl[[#This Row],[Closed_Date]]=0,"",(_xlfn.XLOOKUP(Pipeline_tbl[[#This Row],[Closed_Date]],Dim_Date!A:A,Dim_Date!H:H)))</f>
        <v>Nov 2024</v>
      </c>
      <c r="U1173">
        <f>IF(Pipeline_tbl[[#This Row],[Closed_Date]]=0,"",Pipeline_tbl[[#This Row],[Closed_Date]]-Pipeline_tbl[[#This Row],[Created_Date]])</f>
        <v>19</v>
      </c>
    </row>
    <row r="1174" spans="1:21" ht="15" customHeight="1" x14ac:dyDescent="0.2">
      <c r="A1174" t="s">
        <v>1480</v>
      </c>
      <c r="B1174" t="s">
        <v>221</v>
      </c>
      <c r="C1174" t="s">
        <v>54</v>
      </c>
      <c r="D1174" s="49">
        <v>45587</v>
      </c>
      <c r="E1174" s="49">
        <v>45589</v>
      </c>
      <c r="F1174" s="49">
        <v>45593</v>
      </c>
      <c r="G1174" s="49">
        <v>45599</v>
      </c>
      <c r="I1174" s="49">
        <v>45607</v>
      </c>
      <c r="J1174" t="s">
        <v>49</v>
      </c>
      <c r="K1174" s="33">
        <v>1800</v>
      </c>
      <c r="L1174" t="s">
        <v>60</v>
      </c>
      <c r="M1174" t="str">
        <f>_xlfn.XLOOKUP(Pipeline_tbl[[#This Row],[Rep_ID]],Dim_Reps!A:A,Dim_Reps!K:K)</f>
        <v>MXN</v>
      </c>
      <c r="N1174" s="33">
        <f>(_xlfn.XLOOKUP(Pipeline_tbl[[#This Row],[Rate_Code_Generalized]],Lookups!A:A,Lookups!B:B))*Pipeline_tbl[[#This Row],[Pipeline_Amount_USD]]</f>
        <v>35518.86</v>
      </c>
      <c r="O1174" t="str">
        <f>_xlfn.XLOOKUP(Pipeline_tbl[[#This Row],[Rep_ID]],Dim_Reps!A:A,Dim_Reps!B:B)</f>
        <v>Casey Muller</v>
      </c>
      <c r="P1174" t="str">
        <f>_xlfn.XLOOKUP(Pipeline_tbl[[#This Row],[Rep_ID]],Dim_Reps!A:A,Dim_Reps!C:C)</f>
        <v>SDR / Inside Sales Rep</v>
      </c>
      <c r="Q1174" t="str">
        <f>_xlfn.XLOOKUP(Pipeline_tbl[[#This Row],[Rep_ID]],Dim_Reps!A:A,Dim_Reps!D:D)</f>
        <v>Inside Sales</v>
      </c>
      <c r="R1174" t="str">
        <f>_xlfn.XLOOKUP(Pipeline_tbl[[#This Row],[Rep_ID]],Dim_Reps!A:A,Dim_Reps!E:E)</f>
        <v>LATAM</v>
      </c>
      <c r="S1174" t="str">
        <f>_xlfn.XLOOKUP(Pipeline_tbl[[#This Row],[Created_Date]],Dim_Date!A:A,Dim_Date!H:H)</f>
        <v>Oct 2024</v>
      </c>
      <c r="T1174" t="str">
        <f>IF(Pipeline_tbl[[#This Row],[Closed_Date]]=0,"",(_xlfn.XLOOKUP(Pipeline_tbl[[#This Row],[Closed_Date]],Dim_Date!A:A,Dim_Date!H:H)))</f>
        <v>Nov 2024</v>
      </c>
      <c r="U1174">
        <f>IF(Pipeline_tbl[[#This Row],[Closed_Date]]=0,"",Pipeline_tbl[[#This Row],[Closed_Date]]-Pipeline_tbl[[#This Row],[Created_Date]])</f>
        <v>20</v>
      </c>
    </row>
    <row r="1175" spans="1:21" ht="15" customHeight="1" x14ac:dyDescent="0.2">
      <c r="A1175" t="s">
        <v>1481</v>
      </c>
      <c r="B1175" t="s">
        <v>221</v>
      </c>
      <c r="C1175" t="s">
        <v>53</v>
      </c>
      <c r="D1175" s="49">
        <v>45596</v>
      </c>
      <c r="E1175" s="49">
        <v>45598</v>
      </c>
      <c r="F1175" s="49">
        <v>45601</v>
      </c>
      <c r="I1175" s="49">
        <v>45614</v>
      </c>
      <c r="J1175" t="s">
        <v>49</v>
      </c>
      <c r="K1175" s="33">
        <v>4000</v>
      </c>
      <c r="L1175" t="s">
        <v>61</v>
      </c>
      <c r="M1175" t="str">
        <f>_xlfn.XLOOKUP(Pipeline_tbl[[#This Row],[Rep_ID]],Dim_Reps!A:A,Dim_Reps!K:K)</f>
        <v>MXN</v>
      </c>
      <c r="N1175" s="33">
        <f>(_xlfn.XLOOKUP(Pipeline_tbl[[#This Row],[Rate_Code_Generalized]],Lookups!A:A,Lookups!B:B))*Pipeline_tbl[[#This Row],[Pipeline_Amount_USD]]</f>
        <v>78930.8</v>
      </c>
      <c r="O1175" t="str">
        <f>_xlfn.XLOOKUP(Pipeline_tbl[[#This Row],[Rep_ID]],Dim_Reps!A:A,Dim_Reps!B:B)</f>
        <v>Casey Muller</v>
      </c>
      <c r="P1175" t="str">
        <f>_xlfn.XLOOKUP(Pipeline_tbl[[#This Row],[Rep_ID]],Dim_Reps!A:A,Dim_Reps!C:C)</f>
        <v>SDR / Inside Sales Rep</v>
      </c>
      <c r="Q1175" t="str">
        <f>_xlfn.XLOOKUP(Pipeline_tbl[[#This Row],[Rep_ID]],Dim_Reps!A:A,Dim_Reps!D:D)</f>
        <v>Inside Sales</v>
      </c>
      <c r="R1175" t="str">
        <f>_xlfn.XLOOKUP(Pipeline_tbl[[#This Row],[Rep_ID]],Dim_Reps!A:A,Dim_Reps!E:E)</f>
        <v>LATAM</v>
      </c>
      <c r="S1175" t="str">
        <f>_xlfn.XLOOKUP(Pipeline_tbl[[#This Row],[Created_Date]],Dim_Date!A:A,Dim_Date!H:H)</f>
        <v>Oct 2024</v>
      </c>
      <c r="T1175" t="str">
        <f>IF(Pipeline_tbl[[#This Row],[Closed_Date]]=0,"",(_xlfn.XLOOKUP(Pipeline_tbl[[#This Row],[Closed_Date]],Dim_Date!A:A,Dim_Date!H:H)))</f>
        <v>Nov 2024</v>
      </c>
      <c r="U1175">
        <f>IF(Pipeline_tbl[[#This Row],[Closed_Date]]=0,"",Pipeline_tbl[[#This Row],[Closed_Date]]-Pipeline_tbl[[#This Row],[Created_Date]])</f>
        <v>18</v>
      </c>
    </row>
    <row r="1176" spans="1:21" ht="15" customHeight="1" x14ac:dyDescent="0.2">
      <c r="A1176" t="s">
        <v>1482</v>
      </c>
      <c r="B1176" t="s">
        <v>259</v>
      </c>
      <c r="C1176" t="s">
        <v>52</v>
      </c>
      <c r="D1176" s="49">
        <v>45572</v>
      </c>
      <c r="E1176" s="49">
        <v>45575</v>
      </c>
      <c r="F1176" s="49">
        <v>45580</v>
      </c>
      <c r="G1176" s="49">
        <v>45588</v>
      </c>
      <c r="H1176" s="49">
        <v>45594</v>
      </c>
      <c r="I1176" s="49">
        <v>45598</v>
      </c>
      <c r="J1176" t="s">
        <v>47</v>
      </c>
      <c r="K1176" s="33">
        <v>26500</v>
      </c>
      <c r="M1176" t="str">
        <f>_xlfn.XLOOKUP(Pipeline_tbl[[#This Row],[Rep_ID]],Dim_Reps!A:A,Dim_Reps!K:K)</f>
        <v>EUR</v>
      </c>
      <c r="N1176" s="33">
        <f>(_xlfn.XLOOKUP(Pipeline_tbl[[#This Row],[Rate_Code_Generalized]],Lookups!A:A,Lookups!B:B))*Pipeline_tbl[[#This Row],[Pipeline_Amount_USD]]</f>
        <v>26500</v>
      </c>
      <c r="O1176" t="str">
        <f>_xlfn.XLOOKUP(Pipeline_tbl[[#This Row],[Rep_ID]],Dim_Reps!A:A,Dim_Reps!B:B)</f>
        <v>Felix Okafor</v>
      </c>
      <c r="P1176" t="str">
        <f>_xlfn.XLOOKUP(Pipeline_tbl[[#This Row],[Rep_ID]],Dim_Reps!A:A,Dim_Reps!C:C)</f>
        <v>Mid-Market AE</v>
      </c>
      <c r="Q1176" t="str">
        <f>_xlfn.XLOOKUP(Pipeline_tbl[[#This Row],[Rep_ID]],Dim_Reps!A:A,Dim_Reps!D:D)</f>
        <v>Mid-Market</v>
      </c>
      <c r="R1176" t="str">
        <f>_xlfn.XLOOKUP(Pipeline_tbl[[#This Row],[Rep_ID]],Dim_Reps!A:A,Dim_Reps!E:E)</f>
        <v>EMEA</v>
      </c>
      <c r="S1176" t="str">
        <f>_xlfn.XLOOKUP(Pipeline_tbl[[#This Row],[Created_Date]],Dim_Date!A:A,Dim_Date!H:H)</f>
        <v>Oct 2024</v>
      </c>
      <c r="T1176" t="str">
        <f>IF(Pipeline_tbl[[#This Row],[Closed_Date]]=0,"",(_xlfn.XLOOKUP(Pipeline_tbl[[#This Row],[Closed_Date]],Dim_Date!A:A,Dim_Date!H:H)))</f>
        <v>Nov 2024</v>
      </c>
      <c r="U1176">
        <f>IF(Pipeline_tbl[[#This Row],[Closed_Date]]=0,"",Pipeline_tbl[[#This Row],[Closed_Date]]-Pipeline_tbl[[#This Row],[Created_Date]])</f>
        <v>26</v>
      </c>
    </row>
    <row r="1177" spans="1:21" ht="15" customHeight="1" x14ac:dyDescent="0.2">
      <c r="A1177" t="s">
        <v>1483</v>
      </c>
      <c r="B1177" t="s">
        <v>259</v>
      </c>
      <c r="C1177" t="s">
        <v>52</v>
      </c>
      <c r="D1177" s="49">
        <v>45577</v>
      </c>
      <c r="E1177" s="49">
        <v>45580</v>
      </c>
      <c r="F1177" s="49">
        <v>45586</v>
      </c>
      <c r="G1177" s="49">
        <v>45594</v>
      </c>
      <c r="H1177" s="49">
        <v>45602</v>
      </c>
      <c r="I1177" s="49">
        <v>45606</v>
      </c>
      <c r="J1177" t="s">
        <v>49</v>
      </c>
      <c r="K1177" s="33">
        <v>13100</v>
      </c>
      <c r="L1177" t="s">
        <v>63</v>
      </c>
      <c r="M1177" t="str">
        <f>_xlfn.XLOOKUP(Pipeline_tbl[[#This Row],[Rep_ID]],Dim_Reps!A:A,Dim_Reps!K:K)</f>
        <v>EUR</v>
      </c>
      <c r="N1177" s="33">
        <f>(_xlfn.XLOOKUP(Pipeline_tbl[[#This Row],[Rate_Code_Generalized]],Lookups!A:A,Lookups!B:B))*Pipeline_tbl[[#This Row],[Pipeline_Amount_USD]]</f>
        <v>13100</v>
      </c>
      <c r="O1177" t="str">
        <f>_xlfn.XLOOKUP(Pipeline_tbl[[#This Row],[Rep_ID]],Dim_Reps!A:A,Dim_Reps!B:B)</f>
        <v>Felix Okafor</v>
      </c>
      <c r="P1177" t="str">
        <f>_xlfn.XLOOKUP(Pipeline_tbl[[#This Row],[Rep_ID]],Dim_Reps!A:A,Dim_Reps!C:C)</f>
        <v>Mid-Market AE</v>
      </c>
      <c r="Q1177" t="str">
        <f>_xlfn.XLOOKUP(Pipeline_tbl[[#This Row],[Rep_ID]],Dim_Reps!A:A,Dim_Reps!D:D)</f>
        <v>Mid-Market</v>
      </c>
      <c r="R1177" t="str">
        <f>_xlfn.XLOOKUP(Pipeline_tbl[[#This Row],[Rep_ID]],Dim_Reps!A:A,Dim_Reps!E:E)</f>
        <v>EMEA</v>
      </c>
      <c r="S1177" t="str">
        <f>_xlfn.XLOOKUP(Pipeline_tbl[[#This Row],[Created_Date]],Dim_Date!A:A,Dim_Date!H:H)</f>
        <v>Oct 2024</v>
      </c>
      <c r="T1177" t="str">
        <f>IF(Pipeline_tbl[[#This Row],[Closed_Date]]=0,"",(_xlfn.XLOOKUP(Pipeline_tbl[[#This Row],[Closed_Date]],Dim_Date!A:A,Dim_Date!H:H)))</f>
        <v>Nov 2024</v>
      </c>
      <c r="U1177">
        <f>IF(Pipeline_tbl[[#This Row],[Closed_Date]]=0,"",Pipeline_tbl[[#This Row],[Closed_Date]]-Pipeline_tbl[[#This Row],[Created_Date]])</f>
        <v>29</v>
      </c>
    </row>
    <row r="1178" spans="1:21" ht="15" customHeight="1" x14ac:dyDescent="0.2">
      <c r="A1178" t="s">
        <v>1484</v>
      </c>
      <c r="B1178" t="s">
        <v>259</v>
      </c>
      <c r="C1178" t="s">
        <v>55</v>
      </c>
      <c r="D1178" s="49">
        <v>45576</v>
      </c>
      <c r="E1178" s="49">
        <v>45581</v>
      </c>
      <c r="F1178" s="49">
        <v>45590</v>
      </c>
      <c r="G1178" s="49">
        <v>45604</v>
      </c>
      <c r="H1178" s="49">
        <v>45615</v>
      </c>
      <c r="I1178" s="49">
        <v>45622</v>
      </c>
      <c r="J1178" t="s">
        <v>49</v>
      </c>
      <c r="K1178" s="33">
        <v>13400</v>
      </c>
      <c r="L1178" t="s">
        <v>61</v>
      </c>
      <c r="M1178" t="str">
        <f>_xlfn.XLOOKUP(Pipeline_tbl[[#This Row],[Rep_ID]],Dim_Reps!A:A,Dim_Reps!K:K)</f>
        <v>EUR</v>
      </c>
      <c r="N1178" s="33">
        <f>(_xlfn.XLOOKUP(Pipeline_tbl[[#This Row],[Rate_Code_Generalized]],Lookups!A:A,Lookups!B:B))*Pipeline_tbl[[#This Row],[Pipeline_Amount_USD]]</f>
        <v>13400</v>
      </c>
      <c r="O1178" t="str">
        <f>_xlfn.XLOOKUP(Pipeline_tbl[[#This Row],[Rep_ID]],Dim_Reps!A:A,Dim_Reps!B:B)</f>
        <v>Felix Okafor</v>
      </c>
      <c r="P1178" t="str">
        <f>_xlfn.XLOOKUP(Pipeline_tbl[[#This Row],[Rep_ID]],Dim_Reps!A:A,Dim_Reps!C:C)</f>
        <v>Mid-Market AE</v>
      </c>
      <c r="Q1178" t="str">
        <f>_xlfn.XLOOKUP(Pipeline_tbl[[#This Row],[Rep_ID]],Dim_Reps!A:A,Dim_Reps!D:D)</f>
        <v>Mid-Market</v>
      </c>
      <c r="R1178" t="str">
        <f>_xlfn.XLOOKUP(Pipeline_tbl[[#This Row],[Rep_ID]],Dim_Reps!A:A,Dim_Reps!E:E)</f>
        <v>EMEA</v>
      </c>
      <c r="S1178" t="str">
        <f>_xlfn.XLOOKUP(Pipeline_tbl[[#This Row],[Created_Date]],Dim_Date!A:A,Dim_Date!H:H)</f>
        <v>Oct 2024</v>
      </c>
      <c r="T1178" t="str">
        <f>IF(Pipeline_tbl[[#This Row],[Closed_Date]]=0,"",(_xlfn.XLOOKUP(Pipeline_tbl[[#This Row],[Closed_Date]],Dim_Date!A:A,Dim_Date!H:H)))</f>
        <v>Nov 2024</v>
      </c>
      <c r="U1178">
        <f>IF(Pipeline_tbl[[#This Row],[Closed_Date]]=0,"",Pipeline_tbl[[#This Row],[Closed_Date]]-Pipeline_tbl[[#This Row],[Created_Date]])</f>
        <v>46</v>
      </c>
    </row>
    <row r="1179" spans="1:21" ht="15" customHeight="1" x14ac:dyDescent="0.2">
      <c r="A1179" t="s">
        <v>1485</v>
      </c>
      <c r="B1179" t="s">
        <v>259</v>
      </c>
      <c r="C1179" t="s">
        <v>52</v>
      </c>
      <c r="D1179" s="49">
        <v>45579</v>
      </c>
      <c r="E1179" s="49">
        <v>45584</v>
      </c>
      <c r="F1179" s="49">
        <v>45593</v>
      </c>
      <c r="I1179" s="49">
        <v>45626</v>
      </c>
      <c r="J1179" t="s">
        <v>49</v>
      </c>
      <c r="K1179" s="33">
        <v>8000</v>
      </c>
      <c r="L1179" t="s">
        <v>63</v>
      </c>
      <c r="M1179" t="str">
        <f>_xlfn.XLOOKUP(Pipeline_tbl[[#This Row],[Rep_ID]],Dim_Reps!A:A,Dim_Reps!K:K)</f>
        <v>EUR</v>
      </c>
      <c r="N1179" s="33">
        <f>(_xlfn.XLOOKUP(Pipeline_tbl[[#This Row],[Rate_Code_Generalized]],Lookups!A:A,Lookups!B:B))*Pipeline_tbl[[#This Row],[Pipeline_Amount_USD]]</f>
        <v>8000</v>
      </c>
      <c r="O1179" t="str">
        <f>_xlfn.XLOOKUP(Pipeline_tbl[[#This Row],[Rep_ID]],Dim_Reps!A:A,Dim_Reps!B:B)</f>
        <v>Felix Okafor</v>
      </c>
      <c r="P1179" t="str">
        <f>_xlfn.XLOOKUP(Pipeline_tbl[[#This Row],[Rep_ID]],Dim_Reps!A:A,Dim_Reps!C:C)</f>
        <v>Mid-Market AE</v>
      </c>
      <c r="Q1179" t="str">
        <f>_xlfn.XLOOKUP(Pipeline_tbl[[#This Row],[Rep_ID]],Dim_Reps!A:A,Dim_Reps!D:D)</f>
        <v>Mid-Market</v>
      </c>
      <c r="R1179" t="str">
        <f>_xlfn.XLOOKUP(Pipeline_tbl[[#This Row],[Rep_ID]],Dim_Reps!A:A,Dim_Reps!E:E)</f>
        <v>EMEA</v>
      </c>
      <c r="S1179" t="str">
        <f>_xlfn.XLOOKUP(Pipeline_tbl[[#This Row],[Created_Date]],Dim_Date!A:A,Dim_Date!H:H)</f>
        <v>Oct 2024</v>
      </c>
      <c r="T1179" t="str">
        <f>IF(Pipeline_tbl[[#This Row],[Closed_Date]]=0,"",(_xlfn.XLOOKUP(Pipeline_tbl[[#This Row],[Closed_Date]],Dim_Date!A:A,Dim_Date!H:H)))</f>
        <v>Nov 2024</v>
      </c>
      <c r="U1179">
        <f>IF(Pipeline_tbl[[#This Row],[Closed_Date]]=0,"",Pipeline_tbl[[#This Row],[Closed_Date]]-Pipeline_tbl[[#This Row],[Created_Date]])</f>
        <v>47</v>
      </c>
    </row>
    <row r="1180" spans="1:21" ht="15" customHeight="1" x14ac:dyDescent="0.2">
      <c r="A1180" t="s">
        <v>1486</v>
      </c>
      <c r="B1180" t="s">
        <v>259</v>
      </c>
      <c r="C1180" t="s">
        <v>54</v>
      </c>
      <c r="D1180" s="49">
        <v>45567</v>
      </c>
      <c r="E1180" s="49">
        <v>45571</v>
      </c>
      <c r="F1180" s="49">
        <v>45580</v>
      </c>
      <c r="G1180" s="49">
        <v>45592</v>
      </c>
      <c r="H1180" s="49">
        <v>45603</v>
      </c>
      <c r="I1180" s="49">
        <v>45609</v>
      </c>
      <c r="J1180" t="s">
        <v>47</v>
      </c>
      <c r="K1180" s="33">
        <v>9100</v>
      </c>
      <c r="M1180" t="str">
        <f>_xlfn.XLOOKUP(Pipeline_tbl[[#This Row],[Rep_ID]],Dim_Reps!A:A,Dim_Reps!K:K)</f>
        <v>EUR</v>
      </c>
      <c r="N1180" s="33">
        <f>(_xlfn.XLOOKUP(Pipeline_tbl[[#This Row],[Rate_Code_Generalized]],Lookups!A:A,Lookups!B:B))*Pipeline_tbl[[#This Row],[Pipeline_Amount_USD]]</f>
        <v>9100</v>
      </c>
      <c r="O1180" t="str">
        <f>_xlfn.XLOOKUP(Pipeline_tbl[[#This Row],[Rep_ID]],Dim_Reps!A:A,Dim_Reps!B:B)</f>
        <v>Felix Okafor</v>
      </c>
      <c r="P1180" t="str">
        <f>_xlfn.XLOOKUP(Pipeline_tbl[[#This Row],[Rep_ID]],Dim_Reps!A:A,Dim_Reps!C:C)</f>
        <v>Mid-Market AE</v>
      </c>
      <c r="Q1180" t="str">
        <f>_xlfn.XLOOKUP(Pipeline_tbl[[#This Row],[Rep_ID]],Dim_Reps!A:A,Dim_Reps!D:D)</f>
        <v>Mid-Market</v>
      </c>
      <c r="R1180" t="str">
        <f>_xlfn.XLOOKUP(Pipeline_tbl[[#This Row],[Rep_ID]],Dim_Reps!A:A,Dim_Reps!E:E)</f>
        <v>EMEA</v>
      </c>
      <c r="S1180" t="str">
        <f>_xlfn.XLOOKUP(Pipeline_tbl[[#This Row],[Created_Date]],Dim_Date!A:A,Dim_Date!H:H)</f>
        <v>Oct 2024</v>
      </c>
      <c r="T1180" t="str">
        <f>IF(Pipeline_tbl[[#This Row],[Closed_Date]]=0,"",(_xlfn.XLOOKUP(Pipeline_tbl[[#This Row],[Closed_Date]],Dim_Date!A:A,Dim_Date!H:H)))</f>
        <v>Nov 2024</v>
      </c>
      <c r="U1180">
        <f>IF(Pipeline_tbl[[#This Row],[Closed_Date]]=0,"",Pipeline_tbl[[#This Row],[Closed_Date]]-Pipeline_tbl[[#This Row],[Created_Date]])</f>
        <v>42</v>
      </c>
    </row>
    <row r="1181" spans="1:21" ht="15" customHeight="1" x14ac:dyDescent="0.2">
      <c r="A1181" t="s">
        <v>1487</v>
      </c>
      <c r="B1181" t="s">
        <v>225</v>
      </c>
      <c r="C1181" t="s">
        <v>52</v>
      </c>
      <c r="D1181" s="49">
        <v>45577</v>
      </c>
      <c r="E1181" s="49">
        <v>45579</v>
      </c>
      <c r="F1181" s="49">
        <v>45584</v>
      </c>
      <c r="G1181" s="49">
        <v>45591</v>
      </c>
      <c r="H1181" s="49">
        <v>45597</v>
      </c>
      <c r="I1181" s="49">
        <v>45600</v>
      </c>
      <c r="J1181" t="s">
        <v>47</v>
      </c>
      <c r="K1181" s="33">
        <v>3200</v>
      </c>
      <c r="M1181" t="str">
        <f>_xlfn.XLOOKUP(Pipeline_tbl[[#This Row],[Rep_ID]],Dim_Reps!A:A,Dim_Reps!K:K)</f>
        <v>USD</v>
      </c>
      <c r="N1181" s="33">
        <f>(_xlfn.XLOOKUP(Pipeline_tbl[[#This Row],[Rate_Code_Generalized]],Lookups!A:A,Lookups!B:B))*Pipeline_tbl[[#This Row],[Pipeline_Amount_USD]]</f>
        <v>3725.7599999999998</v>
      </c>
      <c r="O1181" t="str">
        <f>_xlfn.XLOOKUP(Pipeline_tbl[[#This Row],[Rep_ID]],Dim_Reps!A:A,Dim_Reps!B:B)</f>
        <v>Alex Muller</v>
      </c>
      <c r="P1181" t="str">
        <f>_xlfn.XLOOKUP(Pipeline_tbl[[#This Row],[Rep_ID]],Dim_Reps!A:A,Dim_Reps!C:C)</f>
        <v>SDR / Inside Sales Rep</v>
      </c>
      <c r="Q1181" t="str">
        <f>_xlfn.XLOOKUP(Pipeline_tbl[[#This Row],[Rep_ID]],Dim_Reps!A:A,Dim_Reps!D:D)</f>
        <v>Inside Sales</v>
      </c>
      <c r="R1181" t="str">
        <f>_xlfn.XLOOKUP(Pipeline_tbl[[#This Row],[Rep_ID]],Dim_Reps!A:A,Dim_Reps!E:E)</f>
        <v>NAMER</v>
      </c>
      <c r="S1181" t="str">
        <f>_xlfn.XLOOKUP(Pipeline_tbl[[#This Row],[Created_Date]],Dim_Date!A:A,Dim_Date!H:H)</f>
        <v>Oct 2024</v>
      </c>
      <c r="T1181" t="str">
        <f>IF(Pipeline_tbl[[#This Row],[Closed_Date]]=0,"",(_xlfn.XLOOKUP(Pipeline_tbl[[#This Row],[Closed_Date]],Dim_Date!A:A,Dim_Date!H:H)))</f>
        <v>Nov 2024</v>
      </c>
      <c r="U1181">
        <f>IF(Pipeline_tbl[[#This Row],[Closed_Date]]=0,"",Pipeline_tbl[[#This Row],[Closed_Date]]-Pipeline_tbl[[#This Row],[Created_Date]])</f>
        <v>23</v>
      </c>
    </row>
    <row r="1182" spans="1:21" ht="15" customHeight="1" x14ac:dyDescent="0.2">
      <c r="A1182" t="s">
        <v>1488</v>
      </c>
      <c r="B1182" t="s">
        <v>225</v>
      </c>
      <c r="C1182" t="s">
        <v>53</v>
      </c>
      <c r="D1182" s="49">
        <v>45583</v>
      </c>
      <c r="E1182" s="49">
        <v>45585</v>
      </c>
      <c r="F1182" s="49">
        <v>45590</v>
      </c>
      <c r="G1182" s="49">
        <v>45596</v>
      </c>
      <c r="I1182" s="49">
        <v>45605</v>
      </c>
      <c r="J1182" t="s">
        <v>49</v>
      </c>
      <c r="K1182" s="33">
        <v>1900</v>
      </c>
      <c r="L1182" t="s">
        <v>62</v>
      </c>
      <c r="M1182" t="str">
        <f>_xlfn.XLOOKUP(Pipeline_tbl[[#This Row],[Rep_ID]],Dim_Reps!A:A,Dim_Reps!K:K)</f>
        <v>USD</v>
      </c>
      <c r="N1182" s="33">
        <f>(_xlfn.XLOOKUP(Pipeline_tbl[[#This Row],[Rate_Code_Generalized]],Lookups!A:A,Lookups!B:B))*Pipeline_tbl[[#This Row],[Pipeline_Amount_USD]]</f>
        <v>2212.1699999999996</v>
      </c>
      <c r="O1182" t="str">
        <f>_xlfn.XLOOKUP(Pipeline_tbl[[#This Row],[Rep_ID]],Dim_Reps!A:A,Dim_Reps!B:B)</f>
        <v>Alex Muller</v>
      </c>
      <c r="P1182" t="str">
        <f>_xlfn.XLOOKUP(Pipeline_tbl[[#This Row],[Rep_ID]],Dim_Reps!A:A,Dim_Reps!C:C)</f>
        <v>SDR / Inside Sales Rep</v>
      </c>
      <c r="Q1182" t="str">
        <f>_xlfn.XLOOKUP(Pipeline_tbl[[#This Row],[Rep_ID]],Dim_Reps!A:A,Dim_Reps!D:D)</f>
        <v>Inside Sales</v>
      </c>
      <c r="R1182" t="str">
        <f>_xlfn.XLOOKUP(Pipeline_tbl[[#This Row],[Rep_ID]],Dim_Reps!A:A,Dim_Reps!E:E)</f>
        <v>NAMER</v>
      </c>
      <c r="S1182" t="str">
        <f>_xlfn.XLOOKUP(Pipeline_tbl[[#This Row],[Created_Date]],Dim_Date!A:A,Dim_Date!H:H)</f>
        <v>Oct 2024</v>
      </c>
      <c r="T1182" t="str">
        <f>IF(Pipeline_tbl[[#This Row],[Closed_Date]]=0,"",(_xlfn.XLOOKUP(Pipeline_tbl[[#This Row],[Closed_Date]],Dim_Date!A:A,Dim_Date!H:H)))</f>
        <v>Nov 2024</v>
      </c>
      <c r="U1182">
        <f>IF(Pipeline_tbl[[#This Row],[Closed_Date]]=0,"",Pipeline_tbl[[#This Row],[Closed_Date]]-Pipeline_tbl[[#This Row],[Created_Date]])</f>
        <v>22</v>
      </c>
    </row>
    <row r="1183" spans="1:21" ht="15" customHeight="1" x14ac:dyDescent="0.2">
      <c r="A1183" t="s">
        <v>1489</v>
      </c>
      <c r="B1183" t="s">
        <v>225</v>
      </c>
      <c r="C1183" t="s">
        <v>55</v>
      </c>
      <c r="D1183" s="49">
        <v>45585</v>
      </c>
      <c r="E1183" s="49">
        <v>45586</v>
      </c>
      <c r="F1183" s="49">
        <v>45589</v>
      </c>
      <c r="I1183" s="49">
        <v>45598</v>
      </c>
      <c r="J1183" t="s">
        <v>49</v>
      </c>
      <c r="K1183" s="33">
        <v>1500</v>
      </c>
      <c r="L1183" t="s">
        <v>62</v>
      </c>
      <c r="M1183" t="str">
        <f>_xlfn.XLOOKUP(Pipeline_tbl[[#This Row],[Rep_ID]],Dim_Reps!A:A,Dim_Reps!K:K)</f>
        <v>USD</v>
      </c>
      <c r="N1183" s="33">
        <f>(_xlfn.XLOOKUP(Pipeline_tbl[[#This Row],[Rate_Code_Generalized]],Lookups!A:A,Lookups!B:B))*Pipeline_tbl[[#This Row],[Pipeline_Amount_USD]]</f>
        <v>1746.4499999999998</v>
      </c>
      <c r="O1183" t="str">
        <f>_xlfn.XLOOKUP(Pipeline_tbl[[#This Row],[Rep_ID]],Dim_Reps!A:A,Dim_Reps!B:B)</f>
        <v>Alex Muller</v>
      </c>
      <c r="P1183" t="str">
        <f>_xlfn.XLOOKUP(Pipeline_tbl[[#This Row],[Rep_ID]],Dim_Reps!A:A,Dim_Reps!C:C)</f>
        <v>SDR / Inside Sales Rep</v>
      </c>
      <c r="Q1183" t="str">
        <f>_xlfn.XLOOKUP(Pipeline_tbl[[#This Row],[Rep_ID]],Dim_Reps!A:A,Dim_Reps!D:D)</f>
        <v>Inside Sales</v>
      </c>
      <c r="R1183" t="str">
        <f>_xlfn.XLOOKUP(Pipeline_tbl[[#This Row],[Rep_ID]],Dim_Reps!A:A,Dim_Reps!E:E)</f>
        <v>NAMER</v>
      </c>
      <c r="S1183" t="str">
        <f>_xlfn.XLOOKUP(Pipeline_tbl[[#This Row],[Created_Date]],Dim_Date!A:A,Dim_Date!H:H)</f>
        <v>Oct 2024</v>
      </c>
      <c r="T1183" t="str">
        <f>IF(Pipeline_tbl[[#This Row],[Closed_Date]]=0,"",(_xlfn.XLOOKUP(Pipeline_tbl[[#This Row],[Closed_Date]],Dim_Date!A:A,Dim_Date!H:H)))</f>
        <v>Nov 2024</v>
      </c>
      <c r="U1183">
        <f>IF(Pipeline_tbl[[#This Row],[Closed_Date]]=0,"",Pipeline_tbl[[#This Row],[Closed_Date]]-Pipeline_tbl[[#This Row],[Created_Date]])</f>
        <v>13</v>
      </c>
    </row>
    <row r="1184" spans="1:21" ht="15" customHeight="1" x14ac:dyDescent="0.2">
      <c r="A1184" t="s">
        <v>1490</v>
      </c>
      <c r="B1184" t="s">
        <v>225</v>
      </c>
      <c r="C1184" t="s">
        <v>52</v>
      </c>
      <c r="D1184" s="49">
        <v>45585</v>
      </c>
      <c r="E1184" s="49">
        <v>45587</v>
      </c>
      <c r="F1184" s="49">
        <v>45591</v>
      </c>
      <c r="G1184" s="49">
        <v>45597</v>
      </c>
      <c r="H1184" s="49">
        <v>45602</v>
      </c>
      <c r="I1184" s="49">
        <v>45605</v>
      </c>
      <c r="J1184" t="s">
        <v>47</v>
      </c>
      <c r="K1184" s="33">
        <v>3700</v>
      </c>
      <c r="M1184" t="str">
        <f>_xlfn.XLOOKUP(Pipeline_tbl[[#This Row],[Rep_ID]],Dim_Reps!A:A,Dim_Reps!K:K)</f>
        <v>USD</v>
      </c>
      <c r="N1184" s="33">
        <f>(_xlfn.XLOOKUP(Pipeline_tbl[[#This Row],[Rate_Code_Generalized]],Lookups!A:A,Lookups!B:B))*Pipeline_tbl[[#This Row],[Pipeline_Amount_USD]]</f>
        <v>4307.91</v>
      </c>
      <c r="O1184" t="str">
        <f>_xlfn.XLOOKUP(Pipeline_tbl[[#This Row],[Rep_ID]],Dim_Reps!A:A,Dim_Reps!B:B)</f>
        <v>Alex Muller</v>
      </c>
      <c r="P1184" t="str">
        <f>_xlfn.XLOOKUP(Pipeline_tbl[[#This Row],[Rep_ID]],Dim_Reps!A:A,Dim_Reps!C:C)</f>
        <v>SDR / Inside Sales Rep</v>
      </c>
      <c r="Q1184" t="str">
        <f>_xlfn.XLOOKUP(Pipeline_tbl[[#This Row],[Rep_ID]],Dim_Reps!A:A,Dim_Reps!D:D)</f>
        <v>Inside Sales</v>
      </c>
      <c r="R1184" t="str">
        <f>_xlfn.XLOOKUP(Pipeline_tbl[[#This Row],[Rep_ID]],Dim_Reps!A:A,Dim_Reps!E:E)</f>
        <v>NAMER</v>
      </c>
      <c r="S1184" t="str">
        <f>_xlfn.XLOOKUP(Pipeline_tbl[[#This Row],[Created_Date]],Dim_Date!A:A,Dim_Date!H:H)</f>
        <v>Oct 2024</v>
      </c>
      <c r="T1184" t="str">
        <f>IF(Pipeline_tbl[[#This Row],[Closed_Date]]=0,"",(_xlfn.XLOOKUP(Pipeline_tbl[[#This Row],[Closed_Date]],Dim_Date!A:A,Dim_Date!H:H)))</f>
        <v>Nov 2024</v>
      </c>
      <c r="U1184">
        <f>IF(Pipeline_tbl[[#This Row],[Closed_Date]]=0,"",Pipeline_tbl[[#This Row],[Closed_Date]]-Pipeline_tbl[[#This Row],[Created_Date]])</f>
        <v>20</v>
      </c>
    </row>
    <row r="1185" spans="1:21" ht="15" customHeight="1" x14ac:dyDescent="0.2">
      <c r="A1185" t="s">
        <v>1491</v>
      </c>
      <c r="B1185" t="s">
        <v>225</v>
      </c>
      <c r="C1185" t="s">
        <v>55</v>
      </c>
      <c r="D1185" s="49">
        <v>45591</v>
      </c>
      <c r="E1185" s="49">
        <v>45593</v>
      </c>
      <c r="F1185" s="49">
        <v>45596</v>
      </c>
      <c r="G1185" s="49">
        <v>45602</v>
      </c>
      <c r="H1185" s="49">
        <v>45606</v>
      </c>
      <c r="I1185" s="49">
        <v>45609</v>
      </c>
      <c r="J1185" t="s">
        <v>47</v>
      </c>
      <c r="K1185" s="33">
        <v>1700</v>
      </c>
      <c r="M1185" t="str">
        <f>_xlfn.XLOOKUP(Pipeline_tbl[[#This Row],[Rep_ID]],Dim_Reps!A:A,Dim_Reps!K:K)</f>
        <v>USD</v>
      </c>
      <c r="N1185" s="33">
        <f>(_xlfn.XLOOKUP(Pipeline_tbl[[#This Row],[Rate_Code_Generalized]],Lookups!A:A,Lookups!B:B))*Pipeline_tbl[[#This Row],[Pipeline_Amount_USD]]</f>
        <v>1979.3099999999997</v>
      </c>
      <c r="O1185" t="str">
        <f>_xlfn.XLOOKUP(Pipeline_tbl[[#This Row],[Rep_ID]],Dim_Reps!A:A,Dim_Reps!B:B)</f>
        <v>Alex Muller</v>
      </c>
      <c r="P1185" t="str">
        <f>_xlfn.XLOOKUP(Pipeline_tbl[[#This Row],[Rep_ID]],Dim_Reps!A:A,Dim_Reps!C:C)</f>
        <v>SDR / Inside Sales Rep</v>
      </c>
      <c r="Q1185" t="str">
        <f>_xlfn.XLOOKUP(Pipeline_tbl[[#This Row],[Rep_ID]],Dim_Reps!A:A,Dim_Reps!D:D)</f>
        <v>Inside Sales</v>
      </c>
      <c r="R1185" t="str">
        <f>_xlfn.XLOOKUP(Pipeline_tbl[[#This Row],[Rep_ID]],Dim_Reps!A:A,Dim_Reps!E:E)</f>
        <v>NAMER</v>
      </c>
      <c r="S1185" t="str">
        <f>_xlfn.XLOOKUP(Pipeline_tbl[[#This Row],[Created_Date]],Dim_Date!A:A,Dim_Date!H:H)</f>
        <v>Oct 2024</v>
      </c>
      <c r="T1185" t="str">
        <f>IF(Pipeline_tbl[[#This Row],[Closed_Date]]=0,"",(_xlfn.XLOOKUP(Pipeline_tbl[[#This Row],[Closed_Date]],Dim_Date!A:A,Dim_Date!H:H)))</f>
        <v>Nov 2024</v>
      </c>
      <c r="U1185">
        <f>IF(Pipeline_tbl[[#This Row],[Closed_Date]]=0,"",Pipeline_tbl[[#This Row],[Closed_Date]]-Pipeline_tbl[[#This Row],[Created_Date]])</f>
        <v>18</v>
      </c>
    </row>
    <row r="1186" spans="1:21" ht="15" customHeight="1" x14ac:dyDescent="0.2">
      <c r="A1186" t="s">
        <v>1492</v>
      </c>
      <c r="B1186" t="s">
        <v>225</v>
      </c>
      <c r="C1186" t="s">
        <v>53</v>
      </c>
      <c r="D1186" s="49">
        <v>45593</v>
      </c>
      <c r="E1186" s="49">
        <v>45594</v>
      </c>
      <c r="F1186" s="49">
        <v>45596</v>
      </c>
      <c r="G1186" s="49">
        <v>45599</v>
      </c>
      <c r="H1186" s="49">
        <v>45601</v>
      </c>
      <c r="I1186" s="49">
        <v>45603</v>
      </c>
      <c r="J1186" t="s">
        <v>47</v>
      </c>
      <c r="K1186" s="33">
        <v>4400</v>
      </c>
      <c r="M1186" t="str">
        <f>_xlfn.XLOOKUP(Pipeline_tbl[[#This Row],[Rep_ID]],Dim_Reps!A:A,Dim_Reps!K:K)</f>
        <v>USD</v>
      </c>
      <c r="N1186" s="33">
        <f>(_xlfn.XLOOKUP(Pipeline_tbl[[#This Row],[Rate_Code_Generalized]],Lookups!A:A,Lookups!B:B))*Pipeline_tbl[[#This Row],[Pipeline_Amount_USD]]</f>
        <v>5122.9199999999992</v>
      </c>
      <c r="O1186" t="str">
        <f>_xlfn.XLOOKUP(Pipeline_tbl[[#This Row],[Rep_ID]],Dim_Reps!A:A,Dim_Reps!B:B)</f>
        <v>Alex Muller</v>
      </c>
      <c r="P1186" t="str">
        <f>_xlfn.XLOOKUP(Pipeline_tbl[[#This Row],[Rep_ID]],Dim_Reps!A:A,Dim_Reps!C:C)</f>
        <v>SDR / Inside Sales Rep</v>
      </c>
      <c r="Q1186" t="str">
        <f>_xlfn.XLOOKUP(Pipeline_tbl[[#This Row],[Rep_ID]],Dim_Reps!A:A,Dim_Reps!D:D)</f>
        <v>Inside Sales</v>
      </c>
      <c r="R1186" t="str">
        <f>_xlfn.XLOOKUP(Pipeline_tbl[[#This Row],[Rep_ID]],Dim_Reps!A:A,Dim_Reps!E:E)</f>
        <v>NAMER</v>
      </c>
      <c r="S1186" t="str">
        <f>_xlfn.XLOOKUP(Pipeline_tbl[[#This Row],[Created_Date]],Dim_Date!A:A,Dim_Date!H:H)</f>
        <v>Oct 2024</v>
      </c>
      <c r="T1186" t="str">
        <f>IF(Pipeline_tbl[[#This Row],[Closed_Date]]=0,"",(_xlfn.XLOOKUP(Pipeline_tbl[[#This Row],[Closed_Date]],Dim_Date!A:A,Dim_Date!H:H)))</f>
        <v>Nov 2024</v>
      </c>
      <c r="U1186">
        <f>IF(Pipeline_tbl[[#This Row],[Closed_Date]]=0,"",Pipeline_tbl[[#This Row],[Closed_Date]]-Pipeline_tbl[[#This Row],[Created_Date]])</f>
        <v>10</v>
      </c>
    </row>
    <row r="1187" spans="1:21" ht="15" customHeight="1" x14ac:dyDescent="0.2">
      <c r="A1187" t="s">
        <v>1493</v>
      </c>
      <c r="B1187" t="s">
        <v>225</v>
      </c>
      <c r="C1187" t="s">
        <v>52</v>
      </c>
      <c r="D1187" s="49">
        <v>45578</v>
      </c>
      <c r="E1187" s="49">
        <v>45580</v>
      </c>
      <c r="F1187" s="49">
        <v>45585</v>
      </c>
      <c r="G1187" s="49">
        <v>45591</v>
      </c>
      <c r="I1187" s="49">
        <v>45600</v>
      </c>
      <c r="J1187" t="s">
        <v>49</v>
      </c>
      <c r="K1187" s="33">
        <v>7700</v>
      </c>
      <c r="L1187" t="s">
        <v>62</v>
      </c>
      <c r="M1187" t="str">
        <f>_xlfn.XLOOKUP(Pipeline_tbl[[#This Row],[Rep_ID]],Dim_Reps!A:A,Dim_Reps!K:K)</f>
        <v>USD</v>
      </c>
      <c r="N1187" s="33">
        <f>(_xlfn.XLOOKUP(Pipeline_tbl[[#This Row],[Rate_Code_Generalized]],Lookups!A:A,Lookups!B:B))*Pipeline_tbl[[#This Row],[Pipeline_Amount_USD]]</f>
        <v>8965.1099999999988</v>
      </c>
      <c r="O1187" t="str">
        <f>_xlfn.XLOOKUP(Pipeline_tbl[[#This Row],[Rep_ID]],Dim_Reps!A:A,Dim_Reps!B:B)</f>
        <v>Alex Muller</v>
      </c>
      <c r="P1187" t="str">
        <f>_xlfn.XLOOKUP(Pipeline_tbl[[#This Row],[Rep_ID]],Dim_Reps!A:A,Dim_Reps!C:C)</f>
        <v>SDR / Inside Sales Rep</v>
      </c>
      <c r="Q1187" t="str">
        <f>_xlfn.XLOOKUP(Pipeline_tbl[[#This Row],[Rep_ID]],Dim_Reps!A:A,Dim_Reps!D:D)</f>
        <v>Inside Sales</v>
      </c>
      <c r="R1187" t="str">
        <f>_xlfn.XLOOKUP(Pipeline_tbl[[#This Row],[Rep_ID]],Dim_Reps!A:A,Dim_Reps!E:E)</f>
        <v>NAMER</v>
      </c>
      <c r="S1187" t="str">
        <f>_xlfn.XLOOKUP(Pipeline_tbl[[#This Row],[Created_Date]],Dim_Date!A:A,Dim_Date!H:H)</f>
        <v>Oct 2024</v>
      </c>
      <c r="T1187" t="str">
        <f>IF(Pipeline_tbl[[#This Row],[Closed_Date]]=0,"",(_xlfn.XLOOKUP(Pipeline_tbl[[#This Row],[Closed_Date]],Dim_Date!A:A,Dim_Date!H:H)))</f>
        <v>Nov 2024</v>
      </c>
      <c r="U1187">
        <f>IF(Pipeline_tbl[[#This Row],[Closed_Date]]=0,"",Pipeline_tbl[[#This Row],[Closed_Date]]-Pipeline_tbl[[#This Row],[Created_Date]])</f>
        <v>22</v>
      </c>
    </row>
    <row r="1188" spans="1:21" ht="15" customHeight="1" x14ac:dyDescent="0.2">
      <c r="A1188" t="s">
        <v>1494</v>
      </c>
      <c r="B1188" t="s">
        <v>227</v>
      </c>
      <c r="C1188" t="s">
        <v>52</v>
      </c>
      <c r="D1188" s="49">
        <v>45569</v>
      </c>
      <c r="E1188" s="49">
        <v>45572</v>
      </c>
      <c r="F1188" s="49">
        <v>45578</v>
      </c>
      <c r="G1188" s="49">
        <v>45588</v>
      </c>
      <c r="H1188" s="49">
        <v>45595</v>
      </c>
      <c r="I1188" s="49">
        <v>45600</v>
      </c>
      <c r="J1188" t="s">
        <v>49</v>
      </c>
      <c r="K1188" s="33">
        <v>3200</v>
      </c>
      <c r="L1188" t="s">
        <v>61</v>
      </c>
      <c r="M1188" t="str">
        <f>_xlfn.XLOOKUP(Pipeline_tbl[[#This Row],[Rep_ID]],Dim_Reps!A:A,Dim_Reps!K:K)</f>
        <v>EUR</v>
      </c>
      <c r="N1188" s="33">
        <f>(_xlfn.XLOOKUP(Pipeline_tbl[[#This Row],[Rate_Code_Generalized]],Lookups!A:A,Lookups!B:B))*Pipeline_tbl[[#This Row],[Pipeline_Amount_USD]]</f>
        <v>3200</v>
      </c>
      <c r="O1188" t="str">
        <f>_xlfn.XLOOKUP(Pipeline_tbl[[#This Row],[Rep_ID]],Dim_Reps!A:A,Dim_Reps!B:B)</f>
        <v>Liam Muller</v>
      </c>
      <c r="P1188" t="str">
        <f>_xlfn.XLOOKUP(Pipeline_tbl[[#This Row],[Rep_ID]],Dim_Reps!A:A,Dim_Reps!C:C)</f>
        <v>SDR / Inside Sales Rep</v>
      </c>
      <c r="Q1188" t="str">
        <f>_xlfn.XLOOKUP(Pipeline_tbl[[#This Row],[Rep_ID]],Dim_Reps!A:A,Dim_Reps!D:D)</f>
        <v>Inside Sales</v>
      </c>
      <c r="R1188" t="str">
        <f>_xlfn.XLOOKUP(Pipeline_tbl[[#This Row],[Rep_ID]],Dim_Reps!A:A,Dim_Reps!E:E)</f>
        <v>EMEA</v>
      </c>
      <c r="S1188" t="str">
        <f>_xlfn.XLOOKUP(Pipeline_tbl[[#This Row],[Created_Date]],Dim_Date!A:A,Dim_Date!H:H)</f>
        <v>Oct 2024</v>
      </c>
      <c r="T1188" t="str">
        <f>IF(Pipeline_tbl[[#This Row],[Closed_Date]]=0,"",(_xlfn.XLOOKUP(Pipeline_tbl[[#This Row],[Closed_Date]],Dim_Date!A:A,Dim_Date!H:H)))</f>
        <v>Nov 2024</v>
      </c>
      <c r="U1188">
        <f>IF(Pipeline_tbl[[#This Row],[Closed_Date]]=0,"",Pipeline_tbl[[#This Row],[Closed_Date]]-Pipeline_tbl[[#This Row],[Created_Date]])</f>
        <v>31</v>
      </c>
    </row>
    <row r="1189" spans="1:21" ht="15" customHeight="1" x14ac:dyDescent="0.2">
      <c r="A1189" t="s">
        <v>1495</v>
      </c>
      <c r="B1189" t="s">
        <v>227</v>
      </c>
      <c r="C1189" t="s">
        <v>53</v>
      </c>
      <c r="D1189" s="49">
        <v>45587</v>
      </c>
      <c r="E1189" s="49">
        <v>45589</v>
      </c>
      <c r="F1189" s="49">
        <v>45592</v>
      </c>
      <c r="G1189" s="49">
        <v>45597</v>
      </c>
      <c r="H1189" s="49">
        <v>45601</v>
      </c>
      <c r="I1189" s="49">
        <v>45604</v>
      </c>
      <c r="J1189" t="s">
        <v>47</v>
      </c>
      <c r="K1189" s="33">
        <v>8900</v>
      </c>
      <c r="M1189" t="str">
        <f>_xlfn.XLOOKUP(Pipeline_tbl[[#This Row],[Rep_ID]],Dim_Reps!A:A,Dim_Reps!K:K)</f>
        <v>EUR</v>
      </c>
      <c r="N1189" s="33">
        <f>(_xlfn.XLOOKUP(Pipeline_tbl[[#This Row],[Rate_Code_Generalized]],Lookups!A:A,Lookups!B:B))*Pipeline_tbl[[#This Row],[Pipeline_Amount_USD]]</f>
        <v>8900</v>
      </c>
      <c r="O1189" t="str">
        <f>_xlfn.XLOOKUP(Pipeline_tbl[[#This Row],[Rep_ID]],Dim_Reps!A:A,Dim_Reps!B:B)</f>
        <v>Liam Muller</v>
      </c>
      <c r="P1189" t="str">
        <f>_xlfn.XLOOKUP(Pipeline_tbl[[#This Row],[Rep_ID]],Dim_Reps!A:A,Dim_Reps!C:C)</f>
        <v>SDR / Inside Sales Rep</v>
      </c>
      <c r="Q1189" t="str">
        <f>_xlfn.XLOOKUP(Pipeline_tbl[[#This Row],[Rep_ID]],Dim_Reps!A:A,Dim_Reps!D:D)</f>
        <v>Inside Sales</v>
      </c>
      <c r="R1189" t="str">
        <f>_xlfn.XLOOKUP(Pipeline_tbl[[#This Row],[Rep_ID]],Dim_Reps!A:A,Dim_Reps!E:E)</f>
        <v>EMEA</v>
      </c>
      <c r="S1189" t="str">
        <f>_xlfn.XLOOKUP(Pipeline_tbl[[#This Row],[Created_Date]],Dim_Date!A:A,Dim_Date!H:H)</f>
        <v>Oct 2024</v>
      </c>
      <c r="T1189" t="str">
        <f>IF(Pipeline_tbl[[#This Row],[Closed_Date]]=0,"",(_xlfn.XLOOKUP(Pipeline_tbl[[#This Row],[Closed_Date]],Dim_Date!A:A,Dim_Date!H:H)))</f>
        <v>Nov 2024</v>
      </c>
      <c r="U1189">
        <f>IF(Pipeline_tbl[[#This Row],[Closed_Date]]=0,"",Pipeline_tbl[[#This Row],[Closed_Date]]-Pipeline_tbl[[#This Row],[Created_Date]])</f>
        <v>17</v>
      </c>
    </row>
    <row r="1190" spans="1:21" ht="15" customHeight="1" x14ac:dyDescent="0.2">
      <c r="A1190" t="s">
        <v>1496</v>
      </c>
      <c r="B1190" t="s">
        <v>227</v>
      </c>
      <c r="C1190" t="s">
        <v>52</v>
      </c>
      <c r="D1190" s="49">
        <v>45591</v>
      </c>
      <c r="E1190" s="49">
        <v>45593</v>
      </c>
      <c r="F1190" s="49">
        <v>45596</v>
      </c>
      <c r="G1190" s="49">
        <v>45602</v>
      </c>
      <c r="H1190" s="49">
        <v>45606</v>
      </c>
      <c r="I1190" s="49">
        <v>45609</v>
      </c>
      <c r="J1190" t="s">
        <v>49</v>
      </c>
      <c r="K1190" s="33">
        <v>3000</v>
      </c>
      <c r="L1190" t="s">
        <v>62</v>
      </c>
      <c r="M1190" t="str">
        <f>_xlfn.XLOOKUP(Pipeline_tbl[[#This Row],[Rep_ID]],Dim_Reps!A:A,Dim_Reps!K:K)</f>
        <v>EUR</v>
      </c>
      <c r="N1190" s="33">
        <f>(_xlfn.XLOOKUP(Pipeline_tbl[[#This Row],[Rate_Code_Generalized]],Lookups!A:A,Lookups!B:B))*Pipeline_tbl[[#This Row],[Pipeline_Amount_USD]]</f>
        <v>3000</v>
      </c>
      <c r="O1190" t="str">
        <f>_xlfn.XLOOKUP(Pipeline_tbl[[#This Row],[Rep_ID]],Dim_Reps!A:A,Dim_Reps!B:B)</f>
        <v>Liam Muller</v>
      </c>
      <c r="P1190" t="str">
        <f>_xlfn.XLOOKUP(Pipeline_tbl[[#This Row],[Rep_ID]],Dim_Reps!A:A,Dim_Reps!C:C)</f>
        <v>SDR / Inside Sales Rep</v>
      </c>
      <c r="Q1190" t="str">
        <f>_xlfn.XLOOKUP(Pipeline_tbl[[#This Row],[Rep_ID]],Dim_Reps!A:A,Dim_Reps!D:D)</f>
        <v>Inside Sales</v>
      </c>
      <c r="R1190" t="str">
        <f>_xlfn.XLOOKUP(Pipeline_tbl[[#This Row],[Rep_ID]],Dim_Reps!A:A,Dim_Reps!E:E)</f>
        <v>EMEA</v>
      </c>
      <c r="S1190" t="str">
        <f>_xlfn.XLOOKUP(Pipeline_tbl[[#This Row],[Created_Date]],Dim_Date!A:A,Dim_Date!H:H)</f>
        <v>Oct 2024</v>
      </c>
      <c r="T1190" t="str">
        <f>IF(Pipeline_tbl[[#This Row],[Closed_Date]]=0,"",(_xlfn.XLOOKUP(Pipeline_tbl[[#This Row],[Closed_Date]],Dim_Date!A:A,Dim_Date!H:H)))</f>
        <v>Nov 2024</v>
      </c>
      <c r="U1190">
        <f>IF(Pipeline_tbl[[#This Row],[Closed_Date]]=0,"",Pipeline_tbl[[#This Row],[Closed_Date]]-Pipeline_tbl[[#This Row],[Created_Date]])</f>
        <v>18</v>
      </c>
    </row>
    <row r="1191" spans="1:21" ht="15" customHeight="1" x14ac:dyDescent="0.2">
      <c r="A1191" t="s">
        <v>1497</v>
      </c>
      <c r="B1191" t="s">
        <v>191</v>
      </c>
      <c r="C1191" t="s">
        <v>52</v>
      </c>
      <c r="D1191" s="49">
        <v>45575</v>
      </c>
      <c r="E1191" s="49">
        <v>45580</v>
      </c>
      <c r="F1191" s="49">
        <v>45589</v>
      </c>
      <c r="I1191" s="49">
        <v>45623</v>
      </c>
      <c r="J1191" t="s">
        <v>49</v>
      </c>
      <c r="K1191" s="33">
        <v>37900</v>
      </c>
      <c r="L1191" t="s">
        <v>60</v>
      </c>
      <c r="M1191" t="str">
        <f>_xlfn.XLOOKUP(Pipeline_tbl[[#This Row],[Rep_ID]],Dim_Reps!A:A,Dim_Reps!K:K)</f>
        <v>USD</v>
      </c>
      <c r="N1191" s="33">
        <f>(_xlfn.XLOOKUP(Pipeline_tbl[[#This Row],[Rate_Code_Generalized]],Lookups!A:A,Lookups!B:B))*Pipeline_tbl[[#This Row],[Pipeline_Amount_USD]]</f>
        <v>44126.969999999994</v>
      </c>
      <c r="O1191" t="str">
        <f>_xlfn.XLOOKUP(Pipeline_tbl[[#This Row],[Rep_ID]],Dim_Reps!A:A,Dim_Reps!B:B)</f>
        <v>Zara Duarte</v>
      </c>
      <c r="P1191" t="str">
        <f>_xlfn.XLOOKUP(Pipeline_tbl[[#This Row],[Rep_ID]],Dim_Reps!A:A,Dim_Reps!C:C)</f>
        <v>Enterprise AE</v>
      </c>
      <c r="Q1191" t="str">
        <f>_xlfn.XLOOKUP(Pipeline_tbl[[#This Row],[Rep_ID]],Dim_Reps!A:A,Dim_Reps!D:D)</f>
        <v>Enterprise</v>
      </c>
      <c r="R1191" t="str">
        <f>_xlfn.XLOOKUP(Pipeline_tbl[[#This Row],[Rep_ID]],Dim_Reps!A:A,Dim_Reps!E:E)</f>
        <v>NAMER</v>
      </c>
      <c r="S1191" t="str">
        <f>_xlfn.XLOOKUP(Pipeline_tbl[[#This Row],[Created_Date]],Dim_Date!A:A,Dim_Date!H:H)</f>
        <v>Oct 2024</v>
      </c>
      <c r="T1191" t="str">
        <f>IF(Pipeline_tbl[[#This Row],[Closed_Date]]=0,"",(_xlfn.XLOOKUP(Pipeline_tbl[[#This Row],[Closed_Date]],Dim_Date!A:A,Dim_Date!H:H)))</f>
        <v>Nov 2024</v>
      </c>
      <c r="U1191">
        <f>IF(Pipeline_tbl[[#This Row],[Closed_Date]]=0,"",Pipeline_tbl[[#This Row],[Closed_Date]]-Pipeline_tbl[[#This Row],[Created_Date]])</f>
        <v>48</v>
      </c>
    </row>
    <row r="1192" spans="1:21" ht="15" customHeight="1" x14ac:dyDescent="0.2">
      <c r="A1192" t="s">
        <v>1498</v>
      </c>
      <c r="B1192" t="s">
        <v>229</v>
      </c>
      <c r="C1192" t="s">
        <v>55</v>
      </c>
      <c r="D1192" s="49">
        <v>45585</v>
      </c>
      <c r="E1192" s="49">
        <v>45587</v>
      </c>
      <c r="F1192" s="49">
        <v>45591</v>
      </c>
      <c r="G1192" s="49">
        <v>45597</v>
      </c>
      <c r="H1192" s="49">
        <v>45602</v>
      </c>
      <c r="I1192" s="49">
        <v>45605</v>
      </c>
      <c r="J1192" t="s">
        <v>47</v>
      </c>
      <c r="K1192" s="33">
        <v>4800</v>
      </c>
      <c r="M1192" t="str">
        <f>_xlfn.XLOOKUP(Pipeline_tbl[[#This Row],[Rep_ID]],Dim_Reps!A:A,Dim_Reps!K:K)</f>
        <v>USD</v>
      </c>
      <c r="N1192" s="33">
        <f>(_xlfn.XLOOKUP(Pipeline_tbl[[#This Row],[Rate_Code_Generalized]],Lookups!A:A,Lookups!B:B))*Pipeline_tbl[[#This Row],[Pipeline_Amount_USD]]</f>
        <v>5588.6399999999994</v>
      </c>
      <c r="O1192" t="str">
        <f>_xlfn.XLOOKUP(Pipeline_tbl[[#This Row],[Rep_ID]],Dim_Reps!A:A,Dim_Reps!B:B)</f>
        <v>Liam Castro</v>
      </c>
      <c r="P1192" t="str">
        <f>_xlfn.XLOOKUP(Pipeline_tbl[[#This Row],[Rep_ID]],Dim_Reps!A:A,Dim_Reps!C:C)</f>
        <v>SDR / Inside Sales Rep</v>
      </c>
      <c r="Q1192" t="str">
        <f>_xlfn.XLOOKUP(Pipeline_tbl[[#This Row],[Rep_ID]],Dim_Reps!A:A,Dim_Reps!D:D)</f>
        <v>Inside Sales</v>
      </c>
      <c r="R1192" t="str">
        <f>_xlfn.XLOOKUP(Pipeline_tbl[[#This Row],[Rep_ID]],Dim_Reps!A:A,Dim_Reps!E:E)</f>
        <v>NAMER</v>
      </c>
      <c r="S1192" t="str">
        <f>_xlfn.XLOOKUP(Pipeline_tbl[[#This Row],[Created_Date]],Dim_Date!A:A,Dim_Date!H:H)</f>
        <v>Oct 2024</v>
      </c>
      <c r="T1192" t="str">
        <f>IF(Pipeline_tbl[[#This Row],[Closed_Date]]=0,"",(_xlfn.XLOOKUP(Pipeline_tbl[[#This Row],[Closed_Date]],Dim_Date!A:A,Dim_Date!H:H)))</f>
        <v>Nov 2024</v>
      </c>
      <c r="U1192">
        <f>IF(Pipeline_tbl[[#This Row],[Closed_Date]]=0,"",Pipeline_tbl[[#This Row],[Closed_Date]]-Pipeline_tbl[[#This Row],[Created_Date]])</f>
        <v>20</v>
      </c>
    </row>
    <row r="1193" spans="1:21" ht="15" customHeight="1" x14ac:dyDescent="0.2">
      <c r="A1193" t="s">
        <v>1499</v>
      </c>
      <c r="B1193" t="s">
        <v>229</v>
      </c>
      <c r="C1193" t="s">
        <v>54</v>
      </c>
      <c r="D1193" s="49">
        <v>45582</v>
      </c>
      <c r="E1193" s="49">
        <v>45584</v>
      </c>
      <c r="I1193" s="49">
        <v>45600</v>
      </c>
      <c r="J1193" t="s">
        <v>49</v>
      </c>
      <c r="K1193" s="33">
        <v>6300</v>
      </c>
      <c r="L1193" t="s">
        <v>61</v>
      </c>
      <c r="M1193" t="str">
        <f>_xlfn.XLOOKUP(Pipeline_tbl[[#This Row],[Rep_ID]],Dim_Reps!A:A,Dim_Reps!K:K)</f>
        <v>USD</v>
      </c>
      <c r="N1193" s="33">
        <f>(_xlfn.XLOOKUP(Pipeline_tbl[[#This Row],[Rate_Code_Generalized]],Lookups!A:A,Lookups!B:B))*Pipeline_tbl[[#This Row],[Pipeline_Amount_USD]]</f>
        <v>7335.0899999999992</v>
      </c>
      <c r="O1193" t="str">
        <f>_xlfn.XLOOKUP(Pipeline_tbl[[#This Row],[Rep_ID]],Dim_Reps!A:A,Dim_Reps!B:B)</f>
        <v>Liam Castro</v>
      </c>
      <c r="P1193" t="str">
        <f>_xlfn.XLOOKUP(Pipeline_tbl[[#This Row],[Rep_ID]],Dim_Reps!A:A,Dim_Reps!C:C)</f>
        <v>SDR / Inside Sales Rep</v>
      </c>
      <c r="Q1193" t="str">
        <f>_xlfn.XLOOKUP(Pipeline_tbl[[#This Row],[Rep_ID]],Dim_Reps!A:A,Dim_Reps!D:D)</f>
        <v>Inside Sales</v>
      </c>
      <c r="R1193" t="str">
        <f>_xlfn.XLOOKUP(Pipeline_tbl[[#This Row],[Rep_ID]],Dim_Reps!A:A,Dim_Reps!E:E)</f>
        <v>NAMER</v>
      </c>
      <c r="S1193" t="str">
        <f>_xlfn.XLOOKUP(Pipeline_tbl[[#This Row],[Created_Date]],Dim_Date!A:A,Dim_Date!H:H)</f>
        <v>Oct 2024</v>
      </c>
      <c r="T1193" t="str">
        <f>IF(Pipeline_tbl[[#This Row],[Closed_Date]]=0,"",(_xlfn.XLOOKUP(Pipeline_tbl[[#This Row],[Closed_Date]],Dim_Date!A:A,Dim_Date!H:H)))</f>
        <v>Nov 2024</v>
      </c>
      <c r="U1193">
        <f>IF(Pipeline_tbl[[#This Row],[Closed_Date]]=0,"",Pipeline_tbl[[#This Row],[Closed_Date]]-Pipeline_tbl[[#This Row],[Created_Date]])</f>
        <v>18</v>
      </c>
    </row>
    <row r="1194" spans="1:21" ht="15" customHeight="1" x14ac:dyDescent="0.2">
      <c r="A1194" t="s">
        <v>1500</v>
      </c>
      <c r="B1194" t="s">
        <v>229</v>
      </c>
      <c r="C1194" t="s">
        <v>55</v>
      </c>
      <c r="D1194" s="49">
        <v>45589</v>
      </c>
      <c r="E1194" s="49">
        <v>45591</v>
      </c>
      <c r="I1194" s="49">
        <v>45604</v>
      </c>
      <c r="J1194" t="s">
        <v>49</v>
      </c>
      <c r="K1194" s="33">
        <v>2500</v>
      </c>
      <c r="L1194" t="s">
        <v>61</v>
      </c>
      <c r="M1194" t="str">
        <f>_xlfn.XLOOKUP(Pipeline_tbl[[#This Row],[Rep_ID]],Dim_Reps!A:A,Dim_Reps!K:K)</f>
        <v>USD</v>
      </c>
      <c r="N1194" s="33">
        <f>(_xlfn.XLOOKUP(Pipeline_tbl[[#This Row],[Rate_Code_Generalized]],Lookups!A:A,Lookups!B:B))*Pipeline_tbl[[#This Row],[Pipeline_Amount_USD]]</f>
        <v>2910.7499999999995</v>
      </c>
      <c r="O1194" t="str">
        <f>_xlfn.XLOOKUP(Pipeline_tbl[[#This Row],[Rep_ID]],Dim_Reps!A:A,Dim_Reps!B:B)</f>
        <v>Liam Castro</v>
      </c>
      <c r="P1194" t="str">
        <f>_xlfn.XLOOKUP(Pipeline_tbl[[#This Row],[Rep_ID]],Dim_Reps!A:A,Dim_Reps!C:C)</f>
        <v>SDR / Inside Sales Rep</v>
      </c>
      <c r="Q1194" t="str">
        <f>_xlfn.XLOOKUP(Pipeline_tbl[[#This Row],[Rep_ID]],Dim_Reps!A:A,Dim_Reps!D:D)</f>
        <v>Inside Sales</v>
      </c>
      <c r="R1194" t="str">
        <f>_xlfn.XLOOKUP(Pipeline_tbl[[#This Row],[Rep_ID]],Dim_Reps!A:A,Dim_Reps!E:E)</f>
        <v>NAMER</v>
      </c>
      <c r="S1194" t="str">
        <f>_xlfn.XLOOKUP(Pipeline_tbl[[#This Row],[Created_Date]],Dim_Date!A:A,Dim_Date!H:H)</f>
        <v>Oct 2024</v>
      </c>
      <c r="T1194" t="str">
        <f>IF(Pipeline_tbl[[#This Row],[Closed_Date]]=0,"",(_xlfn.XLOOKUP(Pipeline_tbl[[#This Row],[Closed_Date]],Dim_Date!A:A,Dim_Date!H:H)))</f>
        <v>Nov 2024</v>
      </c>
      <c r="U1194">
        <f>IF(Pipeline_tbl[[#This Row],[Closed_Date]]=0,"",Pipeline_tbl[[#This Row],[Closed_Date]]-Pipeline_tbl[[#This Row],[Created_Date]])</f>
        <v>15</v>
      </c>
    </row>
    <row r="1195" spans="1:21" ht="15" customHeight="1" x14ac:dyDescent="0.2">
      <c r="A1195" t="s">
        <v>1501</v>
      </c>
      <c r="B1195" t="s">
        <v>229</v>
      </c>
      <c r="C1195" t="s">
        <v>54</v>
      </c>
      <c r="D1195" s="49">
        <v>45578</v>
      </c>
      <c r="E1195" s="49">
        <v>45580</v>
      </c>
      <c r="F1195" s="49">
        <v>45584</v>
      </c>
      <c r="G1195" s="49">
        <v>45589</v>
      </c>
      <c r="I1195" s="49">
        <v>45597</v>
      </c>
      <c r="J1195" t="s">
        <v>49</v>
      </c>
      <c r="K1195" s="33">
        <v>5700</v>
      </c>
      <c r="L1195" t="s">
        <v>61</v>
      </c>
      <c r="M1195" t="str">
        <f>_xlfn.XLOOKUP(Pipeline_tbl[[#This Row],[Rep_ID]],Dim_Reps!A:A,Dim_Reps!K:K)</f>
        <v>USD</v>
      </c>
      <c r="N1195" s="33">
        <f>(_xlfn.XLOOKUP(Pipeline_tbl[[#This Row],[Rate_Code_Generalized]],Lookups!A:A,Lookups!B:B))*Pipeline_tbl[[#This Row],[Pipeline_Amount_USD]]</f>
        <v>6636.5099999999993</v>
      </c>
      <c r="O1195" t="str">
        <f>_xlfn.XLOOKUP(Pipeline_tbl[[#This Row],[Rep_ID]],Dim_Reps!A:A,Dim_Reps!B:B)</f>
        <v>Liam Castro</v>
      </c>
      <c r="P1195" t="str">
        <f>_xlfn.XLOOKUP(Pipeline_tbl[[#This Row],[Rep_ID]],Dim_Reps!A:A,Dim_Reps!C:C)</f>
        <v>SDR / Inside Sales Rep</v>
      </c>
      <c r="Q1195" t="str">
        <f>_xlfn.XLOOKUP(Pipeline_tbl[[#This Row],[Rep_ID]],Dim_Reps!A:A,Dim_Reps!D:D)</f>
        <v>Inside Sales</v>
      </c>
      <c r="R1195" t="str">
        <f>_xlfn.XLOOKUP(Pipeline_tbl[[#This Row],[Rep_ID]],Dim_Reps!A:A,Dim_Reps!E:E)</f>
        <v>NAMER</v>
      </c>
      <c r="S1195" t="str">
        <f>_xlfn.XLOOKUP(Pipeline_tbl[[#This Row],[Created_Date]],Dim_Date!A:A,Dim_Date!H:H)</f>
        <v>Oct 2024</v>
      </c>
      <c r="T1195" t="str">
        <f>IF(Pipeline_tbl[[#This Row],[Closed_Date]]=0,"",(_xlfn.XLOOKUP(Pipeline_tbl[[#This Row],[Closed_Date]],Dim_Date!A:A,Dim_Date!H:H)))</f>
        <v>Nov 2024</v>
      </c>
      <c r="U1195">
        <f>IF(Pipeline_tbl[[#This Row],[Closed_Date]]=0,"",Pipeline_tbl[[#This Row],[Closed_Date]]-Pipeline_tbl[[#This Row],[Created_Date]])</f>
        <v>19</v>
      </c>
    </row>
    <row r="1196" spans="1:21" ht="15" customHeight="1" x14ac:dyDescent="0.2">
      <c r="A1196" t="s">
        <v>1502</v>
      </c>
      <c r="B1196" t="s">
        <v>229</v>
      </c>
      <c r="C1196" t="s">
        <v>52</v>
      </c>
      <c r="D1196" s="49">
        <v>45586</v>
      </c>
      <c r="E1196" s="49">
        <v>45588</v>
      </c>
      <c r="F1196" s="49">
        <v>45591</v>
      </c>
      <c r="I1196" s="49">
        <v>45602</v>
      </c>
      <c r="J1196" t="s">
        <v>49</v>
      </c>
      <c r="K1196" s="33">
        <v>5100</v>
      </c>
      <c r="L1196" t="s">
        <v>60</v>
      </c>
      <c r="M1196" t="str">
        <f>_xlfn.XLOOKUP(Pipeline_tbl[[#This Row],[Rep_ID]],Dim_Reps!A:A,Dim_Reps!K:K)</f>
        <v>USD</v>
      </c>
      <c r="N1196" s="33">
        <f>(_xlfn.XLOOKUP(Pipeline_tbl[[#This Row],[Rate_Code_Generalized]],Lookups!A:A,Lookups!B:B))*Pipeline_tbl[[#This Row],[Pipeline_Amount_USD]]</f>
        <v>5937.9299999999994</v>
      </c>
      <c r="O1196" t="str">
        <f>_xlfn.XLOOKUP(Pipeline_tbl[[#This Row],[Rep_ID]],Dim_Reps!A:A,Dim_Reps!B:B)</f>
        <v>Liam Castro</v>
      </c>
      <c r="P1196" t="str">
        <f>_xlfn.XLOOKUP(Pipeline_tbl[[#This Row],[Rep_ID]],Dim_Reps!A:A,Dim_Reps!C:C)</f>
        <v>SDR / Inside Sales Rep</v>
      </c>
      <c r="Q1196" t="str">
        <f>_xlfn.XLOOKUP(Pipeline_tbl[[#This Row],[Rep_ID]],Dim_Reps!A:A,Dim_Reps!D:D)</f>
        <v>Inside Sales</v>
      </c>
      <c r="R1196" t="str">
        <f>_xlfn.XLOOKUP(Pipeline_tbl[[#This Row],[Rep_ID]],Dim_Reps!A:A,Dim_Reps!E:E)</f>
        <v>NAMER</v>
      </c>
      <c r="S1196" t="str">
        <f>_xlfn.XLOOKUP(Pipeline_tbl[[#This Row],[Created_Date]],Dim_Date!A:A,Dim_Date!H:H)</f>
        <v>Oct 2024</v>
      </c>
      <c r="T1196" t="str">
        <f>IF(Pipeline_tbl[[#This Row],[Closed_Date]]=0,"",(_xlfn.XLOOKUP(Pipeline_tbl[[#This Row],[Closed_Date]],Dim_Date!A:A,Dim_Date!H:H)))</f>
        <v>Nov 2024</v>
      </c>
      <c r="U1196">
        <f>IF(Pipeline_tbl[[#This Row],[Closed_Date]]=0,"",Pipeline_tbl[[#This Row],[Closed_Date]]-Pipeline_tbl[[#This Row],[Created_Date]])</f>
        <v>16</v>
      </c>
    </row>
    <row r="1197" spans="1:21" ht="15" customHeight="1" x14ac:dyDescent="0.2">
      <c r="A1197" t="s">
        <v>1503</v>
      </c>
      <c r="B1197" t="s">
        <v>229</v>
      </c>
      <c r="C1197" t="s">
        <v>52</v>
      </c>
      <c r="D1197" s="49">
        <v>45591</v>
      </c>
      <c r="E1197" s="49">
        <v>45593</v>
      </c>
      <c r="F1197" s="49">
        <v>45598</v>
      </c>
      <c r="I1197" s="49">
        <v>45613</v>
      </c>
      <c r="J1197" t="s">
        <v>49</v>
      </c>
      <c r="K1197" s="33">
        <v>1700</v>
      </c>
      <c r="L1197" t="s">
        <v>63</v>
      </c>
      <c r="M1197" t="str">
        <f>_xlfn.XLOOKUP(Pipeline_tbl[[#This Row],[Rep_ID]],Dim_Reps!A:A,Dim_Reps!K:K)</f>
        <v>USD</v>
      </c>
      <c r="N1197" s="33">
        <f>(_xlfn.XLOOKUP(Pipeline_tbl[[#This Row],[Rate_Code_Generalized]],Lookups!A:A,Lookups!B:B))*Pipeline_tbl[[#This Row],[Pipeline_Amount_USD]]</f>
        <v>1979.3099999999997</v>
      </c>
      <c r="O1197" t="str">
        <f>_xlfn.XLOOKUP(Pipeline_tbl[[#This Row],[Rep_ID]],Dim_Reps!A:A,Dim_Reps!B:B)</f>
        <v>Liam Castro</v>
      </c>
      <c r="P1197" t="str">
        <f>_xlfn.XLOOKUP(Pipeline_tbl[[#This Row],[Rep_ID]],Dim_Reps!A:A,Dim_Reps!C:C)</f>
        <v>SDR / Inside Sales Rep</v>
      </c>
      <c r="Q1197" t="str">
        <f>_xlfn.XLOOKUP(Pipeline_tbl[[#This Row],[Rep_ID]],Dim_Reps!A:A,Dim_Reps!D:D)</f>
        <v>Inside Sales</v>
      </c>
      <c r="R1197" t="str">
        <f>_xlfn.XLOOKUP(Pipeline_tbl[[#This Row],[Rep_ID]],Dim_Reps!A:A,Dim_Reps!E:E)</f>
        <v>NAMER</v>
      </c>
      <c r="S1197" t="str">
        <f>_xlfn.XLOOKUP(Pipeline_tbl[[#This Row],[Created_Date]],Dim_Date!A:A,Dim_Date!H:H)</f>
        <v>Oct 2024</v>
      </c>
      <c r="T1197" t="str">
        <f>IF(Pipeline_tbl[[#This Row],[Closed_Date]]=0,"",(_xlfn.XLOOKUP(Pipeline_tbl[[#This Row],[Closed_Date]],Dim_Date!A:A,Dim_Date!H:H)))</f>
        <v>Nov 2024</v>
      </c>
      <c r="U1197">
        <f>IF(Pipeline_tbl[[#This Row],[Closed_Date]]=0,"",Pipeline_tbl[[#This Row],[Closed_Date]]-Pipeline_tbl[[#This Row],[Created_Date]])</f>
        <v>22</v>
      </c>
    </row>
    <row r="1198" spans="1:21" ht="15" customHeight="1" x14ac:dyDescent="0.2">
      <c r="A1198" t="s">
        <v>1504</v>
      </c>
      <c r="B1198" t="s">
        <v>229</v>
      </c>
      <c r="C1198" t="s">
        <v>52</v>
      </c>
      <c r="D1198" s="49">
        <v>45594</v>
      </c>
      <c r="E1198" s="49">
        <v>45596</v>
      </c>
      <c r="F1198" s="49">
        <v>45601</v>
      </c>
      <c r="I1198" s="49">
        <v>45618</v>
      </c>
      <c r="J1198" t="s">
        <v>49</v>
      </c>
      <c r="K1198" s="33">
        <v>3500</v>
      </c>
      <c r="L1198" t="s">
        <v>61</v>
      </c>
      <c r="M1198" t="str">
        <f>_xlfn.XLOOKUP(Pipeline_tbl[[#This Row],[Rep_ID]],Dim_Reps!A:A,Dim_Reps!K:K)</f>
        <v>USD</v>
      </c>
      <c r="N1198" s="33">
        <f>(_xlfn.XLOOKUP(Pipeline_tbl[[#This Row],[Rate_Code_Generalized]],Lookups!A:A,Lookups!B:B))*Pipeline_tbl[[#This Row],[Pipeline_Amount_USD]]</f>
        <v>4075.0499999999997</v>
      </c>
      <c r="O1198" t="str">
        <f>_xlfn.XLOOKUP(Pipeline_tbl[[#This Row],[Rep_ID]],Dim_Reps!A:A,Dim_Reps!B:B)</f>
        <v>Liam Castro</v>
      </c>
      <c r="P1198" t="str">
        <f>_xlfn.XLOOKUP(Pipeline_tbl[[#This Row],[Rep_ID]],Dim_Reps!A:A,Dim_Reps!C:C)</f>
        <v>SDR / Inside Sales Rep</v>
      </c>
      <c r="Q1198" t="str">
        <f>_xlfn.XLOOKUP(Pipeline_tbl[[#This Row],[Rep_ID]],Dim_Reps!A:A,Dim_Reps!D:D)</f>
        <v>Inside Sales</v>
      </c>
      <c r="R1198" t="str">
        <f>_xlfn.XLOOKUP(Pipeline_tbl[[#This Row],[Rep_ID]],Dim_Reps!A:A,Dim_Reps!E:E)</f>
        <v>NAMER</v>
      </c>
      <c r="S1198" t="str">
        <f>_xlfn.XLOOKUP(Pipeline_tbl[[#This Row],[Created_Date]],Dim_Date!A:A,Dim_Date!H:H)</f>
        <v>Oct 2024</v>
      </c>
      <c r="T1198" t="str">
        <f>IF(Pipeline_tbl[[#This Row],[Closed_Date]]=0,"",(_xlfn.XLOOKUP(Pipeline_tbl[[#This Row],[Closed_Date]],Dim_Date!A:A,Dim_Date!H:H)))</f>
        <v>Nov 2024</v>
      </c>
      <c r="U1198">
        <f>IF(Pipeline_tbl[[#This Row],[Closed_Date]]=0,"",Pipeline_tbl[[#This Row],[Closed_Date]]-Pipeline_tbl[[#This Row],[Created_Date]])</f>
        <v>24</v>
      </c>
    </row>
    <row r="1199" spans="1:21" ht="15" customHeight="1" x14ac:dyDescent="0.2">
      <c r="A1199" t="s">
        <v>1505</v>
      </c>
      <c r="B1199" t="s">
        <v>229</v>
      </c>
      <c r="C1199" t="s">
        <v>52</v>
      </c>
      <c r="D1199" s="49">
        <v>45591</v>
      </c>
      <c r="E1199" s="49">
        <v>45593</v>
      </c>
      <c r="F1199" s="49">
        <v>45597</v>
      </c>
      <c r="G1199" s="49">
        <v>45602</v>
      </c>
      <c r="I1199" s="49">
        <v>45610</v>
      </c>
      <c r="J1199" t="s">
        <v>49</v>
      </c>
      <c r="K1199" s="33">
        <v>3400</v>
      </c>
      <c r="L1199" t="s">
        <v>61</v>
      </c>
      <c r="M1199" t="str">
        <f>_xlfn.XLOOKUP(Pipeline_tbl[[#This Row],[Rep_ID]],Dim_Reps!A:A,Dim_Reps!K:K)</f>
        <v>USD</v>
      </c>
      <c r="N1199" s="33">
        <f>(_xlfn.XLOOKUP(Pipeline_tbl[[#This Row],[Rate_Code_Generalized]],Lookups!A:A,Lookups!B:B))*Pipeline_tbl[[#This Row],[Pipeline_Amount_USD]]</f>
        <v>3958.6199999999994</v>
      </c>
      <c r="O1199" t="str">
        <f>_xlfn.XLOOKUP(Pipeline_tbl[[#This Row],[Rep_ID]],Dim_Reps!A:A,Dim_Reps!B:B)</f>
        <v>Liam Castro</v>
      </c>
      <c r="P1199" t="str">
        <f>_xlfn.XLOOKUP(Pipeline_tbl[[#This Row],[Rep_ID]],Dim_Reps!A:A,Dim_Reps!C:C)</f>
        <v>SDR / Inside Sales Rep</v>
      </c>
      <c r="Q1199" t="str">
        <f>_xlfn.XLOOKUP(Pipeline_tbl[[#This Row],[Rep_ID]],Dim_Reps!A:A,Dim_Reps!D:D)</f>
        <v>Inside Sales</v>
      </c>
      <c r="R1199" t="str">
        <f>_xlfn.XLOOKUP(Pipeline_tbl[[#This Row],[Rep_ID]],Dim_Reps!A:A,Dim_Reps!E:E)</f>
        <v>NAMER</v>
      </c>
      <c r="S1199" t="str">
        <f>_xlfn.XLOOKUP(Pipeline_tbl[[#This Row],[Created_Date]],Dim_Date!A:A,Dim_Date!H:H)</f>
        <v>Oct 2024</v>
      </c>
      <c r="T1199" t="str">
        <f>IF(Pipeline_tbl[[#This Row],[Closed_Date]]=0,"",(_xlfn.XLOOKUP(Pipeline_tbl[[#This Row],[Closed_Date]],Dim_Date!A:A,Dim_Date!H:H)))</f>
        <v>Nov 2024</v>
      </c>
      <c r="U1199">
        <f>IF(Pipeline_tbl[[#This Row],[Closed_Date]]=0,"",Pipeline_tbl[[#This Row],[Closed_Date]]-Pipeline_tbl[[#This Row],[Created_Date]])</f>
        <v>19</v>
      </c>
    </row>
    <row r="1200" spans="1:21" ht="15" customHeight="1" x14ac:dyDescent="0.2">
      <c r="A1200" t="s">
        <v>1506</v>
      </c>
      <c r="B1200" t="s">
        <v>229</v>
      </c>
      <c r="C1200" t="s">
        <v>55</v>
      </c>
      <c r="D1200" s="49">
        <v>45596</v>
      </c>
      <c r="E1200" s="49">
        <v>45597</v>
      </c>
      <c r="F1200" s="49">
        <v>45600</v>
      </c>
      <c r="G1200" s="49">
        <v>45604</v>
      </c>
      <c r="H1200" s="49">
        <v>45608</v>
      </c>
      <c r="I1200" s="49">
        <v>45610</v>
      </c>
      <c r="J1200" t="s">
        <v>47</v>
      </c>
      <c r="K1200" s="33">
        <v>2800</v>
      </c>
      <c r="M1200" t="str">
        <f>_xlfn.XLOOKUP(Pipeline_tbl[[#This Row],[Rep_ID]],Dim_Reps!A:A,Dim_Reps!K:K)</f>
        <v>USD</v>
      </c>
      <c r="N1200" s="33">
        <f>(_xlfn.XLOOKUP(Pipeline_tbl[[#This Row],[Rate_Code_Generalized]],Lookups!A:A,Lookups!B:B))*Pipeline_tbl[[#This Row],[Pipeline_Amount_USD]]</f>
        <v>3260.0399999999995</v>
      </c>
      <c r="O1200" t="str">
        <f>_xlfn.XLOOKUP(Pipeline_tbl[[#This Row],[Rep_ID]],Dim_Reps!A:A,Dim_Reps!B:B)</f>
        <v>Liam Castro</v>
      </c>
      <c r="P1200" t="str">
        <f>_xlfn.XLOOKUP(Pipeline_tbl[[#This Row],[Rep_ID]],Dim_Reps!A:A,Dim_Reps!C:C)</f>
        <v>SDR / Inside Sales Rep</v>
      </c>
      <c r="Q1200" t="str">
        <f>_xlfn.XLOOKUP(Pipeline_tbl[[#This Row],[Rep_ID]],Dim_Reps!A:A,Dim_Reps!D:D)</f>
        <v>Inside Sales</v>
      </c>
      <c r="R1200" t="str">
        <f>_xlfn.XLOOKUP(Pipeline_tbl[[#This Row],[Rep_ID]],Dim_Reps!A:A,Dim_Reps!E:E)</f>
        <v>NAMER</v>
      </c>
      <c r="S1200" t="str">
        <f>_xlfn.XLOOKUP(Pipeline_tbl[[#This Row],[Created_Date]],Dim_Date!A:A,Dim_Date!H:H)</f>
        <v>Oct 2024</v>
      </c>
      <c r="T1200" t="str">
        <f>IF(Pipeline_tbl[[#This Row],[Closed_Date]]=0,"",(_xlfn.XLOOKUP(Pipeline_tbl[[#This Row],[Closed_Date]],Dim_Date!A:A,Dim_Date!H:H)))</f>
        <v>Nov 2024</v>
      </c>
      <c r="U1200">
        <f>IF(Pipeline_tbl[[#This Row],[Closed_Date]]=0,"",Pipeline_tbl[[#This Row],[Closed_Date]]-Pipeline_tbl[[#This Row],[Created_Date]])</f>
        <v>14</v>
      </c>
    </row>
    <row r="1201" spans="1:21" ht="15" customHeight="1" x14ac:dyDescent="0.2">
      <c r="A1201" t="s">
        <v>1507</v>
      </c>
      <c r="B1201" t="s">
        <v>229</v>
      </c>
      <c r="C1201" t="s">
        <v>53</v>
      </c>
      <c r="D1201" s="49">
        <v>45581</v>
      </c>
      <c r="E1201" s="49">
        <v>45583</v>
      </c>
      <c r="F1201" s="49">
        <v>45586</v>
      </c>
      <c r="I1201" s="49">
        <v>45599</v>
      </c>
      <c r="J1201" t="s">
        <v>49</v>
      </c>
      <c r="K1201" s="33">
        <v>2900</v>
      </c>
      <c r="L1201" t="s">
        <v>60</v>
      </c>
      <c r="M1201" t="str">
        <f>_xlfn.XLOOKUP(Pipeline_tbl[[#This Row],[Rep_ID]],Dim_Reps!A:A,Dim_Reps!K:K)</f>
        <v>USD</v>
      </c>
      <c r="N1201" s="33">
        <f>(_xlfn.XLOOKUP(Pipeline_tbl[[#This Row],[Rate_Code_Generalized]],Lookups!A:A,Lookups!B:B))*Pipeline_tbl[[#This Row],[Pipeline_Amount_USD]]</f>
        <v>3376.47</v>
      </c>
      <c r="O1201" t="str">
        <f>_xlfn.XLOOKUP(Pipeline_tbl[[#This Row],[Rep_ID]],Dim_Reps!A:A,Dim_Reps!B:B)</f>
        <v>Liam Castro</v>
      </c>
      <c r="P1201" t="str">
        <f>_xlfn.XLOOKUP(Pipeline_tbl[[#This Row],[Rep_ID]],Dim_Reps!A:A,Dim_Reps!C:C)</f>
        <v>SDR / Inside Sales Rep</v>
      </c>
      <c r="Q1201" t="str">
        <f>_xlfn.XLOOKUP(Pipeline_tbl[[#This Row],[Rep_ID]],Dim_Reps!A:A,Dim_Reps!D:D)</f>
        <v>Inside Sales</v>
      </c>
      <c r="R1201" t="str">
        <f>_xlfn.XLOOKUP(Pipeline_tbl[[#This Row],[Rep_ID]],Dim_Reps!A:A,Dim_Reps!E:E)</f>
        <v>NAMER</v>
      </c>
      <c r="S1201" t="str">
        <f>_xlfn.XLOOKUP(Pipeline_tbl[[#This Row],[Created_Date]],Dim_Date!A:A,Dim_Date!H:H)</f>
        <v>Oct 2024</v>
      </c>
      <c r="T1201" t="str">
        <f>IF(Pipeline_tbl[[#This Row],[Closed_Date]]=0,"",(_xlfn.XLOOKUP(Pipeline_tbl[[#This Row],[Closed_Date]],Dim_Date!A:A,Dim_Date!H:H)))</f>
        <v>Nov 2024</v>
      </c>
      <c r="U1201">
        <f>IF(Pipeline_tbl[[#This Row],[Closed_Date]]=0,"",Pipeline_tbl[[#This Row],[Closed_Date]]-Pipeline_tbl[[#This Row],[Created_Date]])</f>
        <v>18</v>
      </c>
    </row>
    <row r="1202" spans="1:21" ht="15" customHeight="1" x14ac:dyDescent="0.2">
      <c r="A1202" t="s">
        <v>1508</v>
      </c>
      <c r="B1202" t="s">
        <v>229</v>
      </c>
      <c r="C1202" t="s">
        <v>53</v>
      </c>
      <c r="D1202" s="49">
        <v>45578</v>
      </c>
      <c r="E1202" s="49">
        <v>45580</v>
      </c>
      <c r="I1202" s="49">
        <v>45598</v>
      </c>
      <c r="J1202" t="s">
        <v>49</v>
      </c>
      <c r="K1202" s="33">
        <v>3800</v>
      </c>
      <c r="L1202" t="s">
        <v>62</v>
      </c>
      <c r="M1202" t="str">
        <f>_xlfn.XLOOKUP(Pipeline_tbl[[#This Row],[Rep_ID]],Dim_Reps!A:A,Dim_Reps!K:K)</f>
        <v>USD</v>
      </c>
      <c r="N1202" s="33">
        <f>(_xlfn.XLOOKUP(Pipeline_tbl[[#This Row],[Rate_Code_Generalized]],Lookups!A:A,Lookups!B:B))*Pipeline_tbl[[#This Row],[Pipeline_Amount_USD]]</f>
        <v>4424.3399999999992</v>
      </c>
      <c r="O1202" t="str">
        <f>_xlfn.XLOOKUP(Pipeline_tbl[[#This Row],[Rep_ID]],Dim_Reps!A:A,Dim_Reps!B:B)</f>
        <v>Liam Castro</v>
      </c>
      <c r="P1202" t="str">
        <f>_xlfn.XLOOKUP(Pipeline_tbl[[#This Row],[Rep_ID]],Dim_Reps!A:A,Dim_Reps!C:C)</f>
        <v>SDR / Inside Sales Rep</v>
      </c>
      <c r="Q1202" t="str">
        <f>_xlfn.XLOOKUP(Pipeline_tbl[[#This Row],[Rep_ID]],Dim_Reps!A:A,Dim_Reps!D:D)</f>
        <v>Inside Sales</v>
      </c>
      <c r="R1202" t="str">
        <f>_xlfn.XLOOKUP(Pipeline_tbl[[#This Row],[Rep_ID]],Dim_Reps!A:A,Dim_Reps!E:E)</f>
        <v>NAMER</v>
      </c>
      <c r="S1202" t="str">
        <f>_xlfn.XLOOKUP(Pipeline_tbl[[#This Row],[Created_Date]],Dim_Date!A:A,Dim_Date!H:H)</f>
        <v>Oct 2024</v>
      </c>
      <c r="T1202" t="str">
        <f>IF(Pipeline_tbl[[#This Row],[Closed_Date]]=0,"",(_xlfn.XLOOKUP(Pipeline_tbl[[#This Row],[Closed_Date]],Dim_Date!A:A,Dim_Date!H:H)))</f>
        <v>Nov 2024</v>
      </c>
      <c r="U1202">
        <f>IF(Pipeline_tbl[[#This Row],[Closed_Date]]=0,"",Pipeline_tbl[[#This Row],[Closed_Date]]-Pipeline_tbl[[#This Row],[Created_Date]])</f>
        <v>20</v>
      </c>
    </row>
    <row r="1203" spans="1:21" ht="15" customHeight="1" x14ac:dyDescent="0.2">
      <c r="A1203" t="s">
        <v>1509</v>
      </c>
      <c r="B1203" t="s">
        <v>231</v>
      </c>
      <c r="C1203" t="s">
        <v>55</v>
      </c>
      <c r="D1203" s="49">
        <v>45589</v>
      </c>
      <c r="E1203" s="49">
        <v>45590</v>
      </c>
      <c r="F1203" s="49">
        <v>45593</v>
      </c>
      <c r="G1203" s="49">
        <v>45597</v>
      </c>
      <c r="I1203" s="49">
        <v>45603</v>
      </c>
      <c r="J1203" t="s">
        <v>49</v>
      </c>
      <c r="K1203" s="33">
        <v>1000</v>
      </c>
      <c r="L1203" t="s">
        <v>61</v>
      </c>
      <c r="M1203" t="str">
        <f>_xlfn.XLOOKUP(Pipeline_tbl[[#This Row],[Rep_ID]],Dim_Reps!A:A,Dim_Reps!K:K)</f>
        <v>MXN</v>
      </c>
      <c r="N1203" s="33">
        <f>(_xlfn.XLOOKUP(Pipeline_tbl[[#This Row],[Rate_Code_Generalized]],Lookups!A:A,Lookups!B:B))*Pipeline_tbl[[#This Row],[Pipeline_Amount_USD]]</f>
        <v>19732.7</v>
      </c>
      <c r="O1203" t="str">
        <f>_xlfn.XLOOKUP(Pipeline_tbl[[#This Row],[Rep_ID]],Dim_Reps!A:A,Dim_Reps!B:B)</f>
        <v>Ben Silva</v>
      </c>
      <c r="P1203" t="str">
        <f>_xlfn.XLOOKUP(Pipeline_tbl[[#This Row],[Rep_ID]],Dim_Reps!A:A,Dim_Reps!C:C)</f>
        <v>SDR / Inside Sales Rep</v>
      </c>
      <c r="Q1203" t="str">
        <f>_xlfn.XLOOKUP(Pipeline_tbl[[#This Row],[Rep_ID]],Dim_Reps!A:A,Dim_Reps!D:D)</f>
        <v>Inside Sales</v>
      </c>
      <c r="R1203" t="str">
        <f>_xlfn.XLOOKUP(Pipeline_tbl[[#This Row],[Rep_ID]],Dim_Reps!A:A,Dim_Reps!E:E)</f>
        <v>LATAM</v>
      </c>
      <c r="S1203" t="str">
        <f>_xlfn.XLOOKUP(Pipeline_tbl[[#This Row],[Created_Date]],Dim_Date!A:A,Dim_Date!H:H)</f>
        <v>Oct 2024</v>
      </c>
      <c r="T1203" t="str">
        <f>IF(Pipeline_tbl[[#This Row],[Closed_Date]]=0,"",(_xlfn.XLOOKUP(Pipeline_tbl[[#This Row],[Closed_Date]],Dim_Date!A:A,Dim_Date!H:H)))</f>
        <v>Nov 2024</v>
      </c>
      <c r="U1203">
        <f>IF(Pipeline_tbl[[#This Row],[Closed_Date]]=0,"",Pipeline_tbl[[#This Row],[Closed_Date]]-Pipeline_tbl[[#This Row],[Created_Date]])</f>
        <v>14</v>
      </c>
    </row>
    <row r="1204" spans="1:21" ht="15" customHeight="1" x14ac:dyDescent="0.2">
      <c r="A1204" t="s">
        <v>1510</v>
      </c>
      <c r="B1204" t="s">
        <v>231</v>
      </c>
      <c r="C1204" t="s">
        <v>53</v>
      </c>
      <c r="D1204" s="49">
        <v>45594</v>
      </c>
      <c r="E1204" s="49">
        <v>45596</v>
      </c>
      <c r="F1204" s="49">
        <v>45599</v>
      </c>
      <c r="G1204" s="49">
        <v>45604</v>
      </c>
      <c r="H1204" s="49">
        <v>45608</v>
      </c>
      <c r="I1204" s="49">
        <v>45611</v>
      </c>
      <c r="J1204" t="s">
        <v>47</v>
      </c>
      <c r="K1204" s="33">
        <v>5400</v>
      </c>
      <c r="M1204" t="str">
        <f>_xlfn.XLOOKUP(Pipeline_tbl[[#This Row],[Rep_ID]],Dim_Reps!A:A,Dim_Reps!K:K)</f>
        <v>MXN</v>
      </c>
      <c r="N1204" s="33">
        <f>(_xlfn.XLOOKUP(Pipeline_tbl[[#This Row],[Rate_Code_Generalized]],Lookups!A:A,Lookups!B:B))*Pipeline_tbl[[#This Row],[Pipeline_Amount_USD]]</f>
        <v>106556.58</v>
      </c>
      <c r="O1204" t="str">
        <f>_xlfn.XLOOKUP(Pipeline_tbl[[#This Row],[Rep_ID]],Dim_Reps!A:A,Dim_Reps!B:B)</f>
        <v>Ben Silva</v>
      </c>
      <c r="P1204" t="str">
        <f>_xlfn.XLOOKUP(Pipeline_tbl[[#This Row],[Rep_ID]],Dim_Reps!A:A,Dim_Reps!C:C)</f>
        <v>SDR / Inside Sales Rep</v>
      </c>
      <c r="Q1204" t="str">
        <f>_xlfn.XLOOKUP(Pipeline_tbl[[#This Row],[Rep_ID]],Dim_Reps!A:A,Dim_Reps!D:D)</f>
        <v>Inside Sales</v>
      </c>
      <c r="R1204" t="str">
        <f>_xlfn.XLOOKUP(Pipeline_tbl[[#This Row],[Rep_ID]],Dim_Reps!A:A,Dim_Reps!E:E)</f>
        <v>LATAM</v>
      </c>
      <c r="S1204" t="str">
        <f>_xlfn.XLOOKUP(Pipeline_tbl[[#This Row],[Created_Date]],Dim_Date!A:A,Dim_Date!H:H)</f>
        <v>Oct 2024</v>
      </c>
      <c r="T1204" t="str">
        <f>IF(Pipeline_tbl[[#This Row],[Closed_Date]]=0,"",(_xlfn.XLOOKUP(Pipeline_tbl[[#This Row],[Closed_Date]],Dim_Date!A:A,Dim_Date!H:H)))</f>
        <v>Nov 2024</v>
      </c>
      <c r="U1204">
        <f>IF(Pipeline_tbl[[#This Row],[Closed_Date]]=0,"",Pipeline_tbl[[#This Row],[Closed_Date]]-Pipeline_tbl[[#This Row],[Created_Date]])</f>
        <v>17</v>
      </c>
    </row>
    <row r="1205" spans="1:21" ht="15" customHeight="1" x14ac:dyDescent="0.2">
      <c r="A1205" t="s">
        <v>1511</v>
      </c>
      <c r="B1205" t="s">
        <v>231</v>
      </c>
      <c r="C1205" t="s">
        <v>52</v>
      </c>
      <c r="D1205" s="49">
        <v>45590</v>
      </c>
      <c r="E1205" s="49">
        <v>45592</v>
      </c>
      <c r="F1205" s="49">
        <v>45596</v>
      </c>
      <c r="G1205" s="49">
        <v>45602</v>
      </c>
      <c r="I1205" s="49">
        <v>45610</v>
      </c>
      <c r="J1205" t="s">
        <v>49</v>
      </c>
      <c r="K1205" s="33">
        <v>2800</v>
      </c>
      <c r="L1205" t="s">
        <v>64</v>
      </c>
      <c r="M1205" t="str">
        <f>_xlfn.XLOOKUP(Pipeline_tbl[[#This Row],[Rep_ID]],Dim_Reps!A:A,Dim_Reps!K:K)</f>
        <v>MXN</v>
      </c>
      <c r="N1205" s="33">
        <f>(_xlfn.XLOOKUP(Pipeline_tbl[[#This Row],[Rate_Code_Generalized]],Lookups!A:A,Lookups!B:B))*Pipeline_tbl[[#This Row],[Pipeline_Amount_USD]]</f>
        <v>55251.560000000005</v>
      </c>
      <c r="O1205" t="str">
        <f>_xlfn.XLOOKUP(Pipeline_tbl[[#This Row],[Rep_ID]],Dim_Reps!A:A,Dim_Reps!B:B)</f>
        <v>Ben Silva</v>
      </c>
      <c r="P1205" t="str">
        <f>_xlfn.XLOOKUP(Pipeline_tbl[[#This Row],[Rep_ID]],Dim_Reps!A:A,Dim_Reps!C:C)</f>
        <v>SDR / Inside Sales Rep</v>
      </c>
      <c r="Q1205" t="str">
        <f>_xlfn.XLOOKUP(Pipeline_tbl[[#This Row],[Rep_ID]],Dim_Reps!A:A,Dim_Reps!D:D)</f>
        <v>Inside Sales</v>
      </c>
      <c r="R1205" t="str">
        <f>_xlfn.XLOOKUP(Pipeline_tbl[[#This Row],[Rep_ID]],Dim_Reps!A:A,Dim_Reps!E:E)</f>
        <v>LATAM</v>
      </c>
      <c r="S1205" t="str">
        <f>_xlfn.XLOOKUP(Pipeline_tbl[[#This Row],[Created_Date]],Dim_Date!A:A,Dim_Date!H:H)</f>
        <v>Oct 2024</v>
      </c>
      <c r="T1205" t="str">
        <f>IF(Pipeline_tbl[[#This Row],[Closed_Date]]=0,"",(_xlfn.XLOOKUP(Pipeline_tbl[[#This Row],[Closed_Date]],Dim_Date!A:A,Dim_Date!H:H)))</f>
        <v>Nov 2024</v>
      </c>
      <c r="U1205">
        <f>IF(Pipeline_tbl[[#This Row],[Closed_Date]]=0,"",Pipeline_tbl[[#This Row],[Closed_Date]]-Pipeline_tbl[[#This Row],[Created_Date]])</f>
        <v>20</v>
      </c>
    </row>
    <row r="1206" spans="1:21" ht="15" customHeight="1" x14ac:dyDescent="0.2">
      <c r="A1206" t="s">
        <v>1512</v>
      </c>
      <c r="B1206" t="s">
        <v>231</v>
      </c>
      <c r="C1206" t="s">
        <v>52</v>
      </c>
      <c r="D1206" s="49">
        <v>45591</v>
      </c>
      <c r="E1206" s="49">
        <v>45593</v>
      </c>
      <c r="F1206" s="49">
        <v>45596</v>
      </c>
      <c r="G1206" s="49">
        <v>45600</v>
      </c>
      <c r="H1206" s="49">
        <v>45604</v>
      </c>
      <c r="I1206" s="49">
        <v>45606</v>
      </c>
      <c r="J1206" t="s">
        <v>47</v>
      </c>
      <c r="K1206" s="33">
        <v>5400</v>
      </c>
      <c r="M1206" t="str">
        <f>_xlfn.XLOOKUP(Pipeline_tbl[[#This Row],[Rep_ID]],Dim_Reps!A:A,Dim_Reps!K:K)</f>
        <v>MXN</v>
      </c>
      <c r="N1206" s="33">
        <f>(_xlfn.XLOOKUP(Pipeline_tbl[[#This Row],[Rate_Code_Generalized]],Lookups!A:A,Lookups!B:B))*Pipeline_tbl[[#This Row],[Pipeline_Amount_USD]]</f>
        <v>106556.58</v>
      </c>
      <c r="O1206" t="str">
        <f>_xlfn.XLOOKUP(Pipeline_tbl[[#This Row],[Rep_ID]],Dim_Reps!A:A,Dim_Reps!B:B)</f>
        <v>Ben Silva</v>
      </c>
      <c r="P1206" t="str">
        <f>_xlfn.XLOOKUP(Pipeline_tbl[[#This Row],[Rep_ID]],Dim_Reps!A:A,Dim_Reps!C:C)</f>
        <v>SDR / Inside Sales Rep</v>
      </c>
      <c r="Q1206" t="str">
        <f>_xlfn.XLOOKUP(Pipeline_tbl[[#This Row],[Rep_ID]],Dim_Reps!A:A,Dim_Reps!D:D)</f>
        <v>Inside Sales</v>
      </c>
      <c r="R1206" t="str">
        <f>_xlfn.XLOOKUP(Pipeline_tbl[[#This Row],[Rep_ID]],Dim_Reps!A:A,Dim_Reps!E:E)</f>
        <v>LATAM</v>
      </c>
      <c r="S1206" t="str">
        <f>_xlfn.XLOOKUP(Pipeline_tbl[[#This Row],[Created_Date]],Dim_Date!A:A,Dim_Date!H:H)</f>
        <v>Oct 2024</v>
      </c>
      <c r="T1206" t="str">
        <f>IF(Pipeline_tbl[[#This Row],[Closed_Date]]=0,"",(_xlfn.XLOOKUP(Pipeline_tbl[[#This Row],[Closed_Date]],Dim_Date!A:A,Dim_Date!H:H)))</f>
        <v>Nov 2024</v>
      </c>
      <c r="U1206">
        <f>IF(Pipeline_tbl[[#This Row],[Closed_Date]]=0,"",Pipeline_tbl[[#This Row],[Closed_Date]]-Pipeline_tbl[[#This Row],[Created_Date]])</f>
        <v>15</v>
      </c>
    </row>
    <row r="1207" spans="1:21" ht="15" customHeight="1" x14ac:dyDescent="0.2">
      <c r="A1207" t="s">
        <v>1513</v>
      </c>
      <c r="B1207" t="s">
        <v>231</v>
      </c>
      <c r="C1207" t="s">
        <v>54</v>
      </c>
      <c r="D1207" s="49">
        <v>45573</v>
      </c>
      <c r="E1207" s="49">
        <v>45576</v>
      </c>
      <c r="F1207" s="49">
        <v>45581</v>
      </c>
      <c r="G1207" s="49">
        <v>45589</v>
      </c>
      <c r="I1207" s="49">
        <v>45599</v>
      </c>
      <c r="J1207" t="s">
        <v>49</v>
      </c>
      <c r="K1207" s="33">
        <v>3500</v>
      </c>
      <c r="L1207" t="s">
        <v>61</v>
      </c>
      <c r="M1207" t="str">
        <f>_xlfn.XLOOKUP(Pipeline_tbl[[#This Row],[Rep_ID]],Dim_Reps!A:A,Dim_Reps!K:K)</f>
        <v>MXN</v>
      </c>
      <c r="N1207" s="33">
        <f>(_xlfn.XLOOKUP(Pipeline_tbl[[#This Row],[Rate_Code_Generalized]],Lookups!A:A,Lookups!B:B))*Pipeline_tbl[[#This Row],[Pipeline_Amount_USD]]</f>
        <v>69064.45</v>
      </c>
      <c r="O1207" t="str">
        <f>_xlfn.XLOOKUP(Pipeline_tbl[[#This Row],[Rep_ID]],Dim_Reps!A:A,Dim_Reps!B:B)</f>
        <v>Ben Silva</v>
      </c>
      <c r="P1207" t="str">
        <f>_xlfn.XLOOKUP(Pipeline_tbl[[#This Row],[Rep_ID]],Dim_Reps!A:A,Dim_Reps!C:C)</f>
        <v>SDR / Inside Sales Rep</v>
      </c>
      <c r="Q1207" t="str">
        <f>_xlfn.XLOOKUP(Pipeline_tbl[[#This Row],[Rep_ID]],Dim_Reps!A:A,Dim_Reps!D:D)</f>
        <v>Inside Sales</v>
      </c>
      <c r="R1207" t="str">
        <f>_xlfn.XLOOKUP(Pipeline_tbl[[#This Row],[Rep_ID]],Dim_Reps!A:A,Dim_Reps!E:E)</f>
        <v>LATAM</v>
      </c>
      <c r="S1207" t="str">
        <f>_xlfn.XLOOKUP(Pipeline_tbl[[#This Row],[Created_Date]],Dim_Date!A:A,Dim_Date!H:H)</f>
        <v>Oct 2024</v>
      </c>
      <c r="T1207" t="str">
        <f>IF(Pipeline_tbl[[#This Row],[Closed_Date]]=0,"",(_xlfn.XLOOKUP(Pipeline_tbl[[#This Row],[Closed_Date]],Dim_Date!A:A,Dim_Date!H:H)))</f>
        <v>Nov 2024</v>
      </c>
      <c r="U1207">
        <f>IF(Pipeline_tbl[[#This Row],[Closed_Date]]=0,"",Pipeline_tbl[[#This Row],[Closed_Date]]-Pipeline_tbl[[#This Row],[Created_Date]])</f>
        <v>26</v>
      </c>
    </row>
    <row r="1208" spans="1:21" ht="15" customHeight="1" x14ac:dyDescent="0.2">
      <c r="A1208" t="s">
        <v>1514</v>
      </c>
      <c r="B1208" t="s">
        <v>263</v>
      </c>
      <c r="C1208" t="s">
        <v>52</v>
      </c>
      <c r="D1208" s="49">
        <v>45595</v>
      </c>
      <c r="E1208" s="49">
        <v>45597</v>
      </c>
      <c r="F1208" s="49">
        <v>45603</v>
      </c>
      <c r="G1208" s="49">
        <v>45610</v>
      </c>
      <c r="I1208" s="49">
        <v>45620</v>
      </c>
      <c r="J1208" t="s">
        <v>49</v>
      </c>
      <c r="K1208" s="33">
        <v>9800</v>
      </c>
      <c r="L1208" t="s">
        <v>64</v>
      </c>
      <c r="M1208" t="str">
        <f>_xlfn.XLOOKUP(Pipeline_tbl[[#This Row],[Rep_ID]],Dim_Reps!A:A,Dim_Reps!K:K)</f>
        <v>USD</v>
      </c>
      <c r="N1208" s="33">
        <f>(_xlfn.XLOOKUP(Pipeline_tbl[[#This Row],[Rate_Code_Generalized]],Lookups!A:A,Lookups!B:B))*Pipeline_tbl[[#This Row],[Pipeline_Amount_USD]]</f>
        <v>11410.14</v>
      </c>
      <c r="O1208" t="str">
        <f>_xlfn.XLOOKUP(Pipeline_tbl[[#This Row],[Rep_ID]],Dim_Reps!A:A,Dim_Reps!B:B)</f>
        <v>Morgan Weber</v>
      </c>
      <c r="P1208" t="str">
        <f>_xlfn.XLOOKUP(Pipeline_tbl[[#This Row],[Rep_ID]],Dim_Reps!A:A,Dim_Reps!C:C)</f>
        <v>Mid-Market AE</v>
      </c>
      <c r="Q1208" t="str">
        <f>_xlfn.XLOOKUP(Pipeline_tbl[[#This Row],[Rep_ID]],Dim_Reps!A:A,Dim_Reps!D:D)</f>
        <v>Mid-Market</v>
      </c>
      <c r="R1208" t="str">
        <f>_xlfn.XLOOKUP(Pipeline_tbl[[#This Row],[Rep_ID]],Dim_Reps!A:A,Dim_Reps!E:E)</f>
        <v>NAMER</v>
      </c>
      <c r="S1208" t="str">
        <f>_xlfn.XLOOKUP(Pipeline_tbl[[#This Row],[Created_Date]],Dim_Date!A:A,Dim_Date!H:H)</f>
        <v>Oct 2024</v>
      </c>
      <c r="T1208" t="str">
        <f>IF(Pipeline_tbl[[#This Row],[Closed_Date]]=0,"",(_xlfn.XLOOKUP(Pipeline_tbl[[#This Row],[Closed_Date]],Dim_Date!A:A,Dim_Date!H:H)))</f>
        <v>Nov 2024</v>
      </c>
      <c r="U1208">
        <f>IF(Pipeline_tbl[[#This Row],[Closed_Date]]=0,"",Pipeline_tbl[[#This Row],[Closed_Date]]-Pipeline_tbl[[#This Row],[Created_Date]])</f>
        <v>25</v>
      </c>
    </row>
    <row r="1209" spans="1:21" ht="15" customHeight="1" x14ac:dyDescent="0.2">
      <c r="A1209" t="s">
        <v>1515</v>
      </c>
      <c r="B1209" t="s">
        <v>263</v>
      </c>
      <c r="C1209" t="s">
        <v>53</v>
      </c>
      <c r="D1209" s="49">
        <v>45571</v>
      </c>
      <c r="E1209" s="49">
        <v>45575</v>
      </c>
      <c r="F1209" s="49">
        <v>45582</v>
      </c>
      <c r="I1209" s="49">
        <v>45607</v>
      </c>
      <c r="J1209" t="s">
        <v>49</v>
      </c>
      <c r="K1209" s="33">
        <v>6800</v>
      </c>
      <c r="L1209" t="s">
        <v>64</v>
      </c>
      <c r="M1209" t="str">
        <f>_xlfn.XLOOKUP(Pipeline_tbl[[#This Row],[Rep_ID]],Dim_Reps!A:A,Dim_Reps!K:K)</f>
        <v>USD</v>
      </c>
      <c r="N1209" s="33">
        <f>(_xlfn.XLOOKUP(Pipeline_tbl[[#This Row],[Rate_Code_Generalized]],Lookups!A:A,Lookups!B:B))*Pipeline_tbl[[#This Row],[Pipeline_Amount_USD]]</f>
        <v>7917.2399999999989</v>
      </c>
      <c r="O1209" t="str">
        <f>_xlfn.XLOOKUP(Pipeline_tbl[[#This Row],[Rep_ID]],Dim_Reps!A:A,Dim_Reps!B:B)</f>
        <v>Morgan Weber</v>
      </c>
      <c r="P1209" t="str">
        <f>_xlfn.XLOOKUP(Pipeline_tbl[[#This Row],[Rep_ID]],Dim_Reps!A:A,Dim_Reps!C:C)</f>
        <v>Mid-Market AE</v>
      </c>
      <c r="Q1209" t="str">
        <f>_xlfn.XLOOKUP(Pipeline_tbl[[#This Row],[Rep_ID]],Dim_Reps!A:A,Dim_Reps!D:D)</f>
        <v>Mid-Market</v>
      </c>
      <c r="R1209" t="str">
        <f>_xlfn.XLOOKUP(Pipeline_tbl[[#This Row],[Rep_ID]],Dim_Reps!A:A,Dim_Reps!E:E)</f>
        <v>NAMER</v>
      </c>
      <c r="S1209" t="str">
        <f>_xlfn.XLOOKUP(Pipeline_tbl[[#This Row],[Created_Date]],Dim_Date!A:A,Dim_Date!H:H)</f>
        <v>Oct 2024</v>
      </c>
      <c r="T1209" t="str">
        <f>IF(Pipeline_tbl[[#This Row],[Closed_Date]]=0,"",(_xlfn.XLOOKUP(Pipeline_tbl[[#This Row],[Closed_Date]],Dim_Date!A:A,Dim_Date!H:H)))</f>
        <v>Nov 2024</v>
      </c>
      <c r="U1209">
        <f>IF(Pipeline_tbl[[#This Row],[Closed_Date]]=0,"",Pipeline_tbl[[#This Row],[Closed_Date]]-Pipeline_tbl[[#This Row],[Created_Date]])</f>
        <v>36</v>
      </c>
    </row>
    <row r="1210" spans="1:21" ht="15" customHeight="1" x14ac:dyDescent="0.2">
      <c r="A1210" t="s">
        <v>1516</v>
      </c>
      <c r="B1210" t="s">
        <v>263</v>
      </c>
      <c r="C1210" t="s">
        <v>52</v>
      </c>
      <c r="D1210" s="49">
        <v>45574</v>
      </c>
      <c r="E1210" s="49">
        <v>45576</v>
      </c>
      <c r="F1210" s="49">
        <v>45582</v>
      </c>
      <c r="G1210" s="49">
        <v>45589</v>
      </c>
      <c r="H1210" s="49">
        <v>45595</v>
      </c>
      <c r="I1210" s="49">
        <v>45599</v>
      </c>
      <c r="J1210" t="s">
        <v>47</v>
      </c>
      <c r="K1210" s="33">
        <v>13400</v>
      </c>
      <c r="M1210" t="str">
        <f>_xlfn.XLOOKUP(Pipeline_tbl[[#This Row],[Rep_ID]],Dim_Reps!A:A,Dim_Reps!K:K)</f>
        <v>USD</v>
      </c>
      <c r="N1210" s="33">
        <f>(_xlfn.XLOOKUP(Pipeline_tbl[[#This Row],[Rate_Code_Generalized]],Lookups!A:A,Lookups!B:B))*Pipeline_tbl[[#This Row],[Pipeline_Amount_USD]]</f>
        <v>15601.619999999999</v>
      </c>
      <c r="O1210" t="str">
        <f>_xlfn.XLOOKUP(Pipeline_tbl[[#This Row],[Rep_ID]],Dim_Reps!A:A,Dim_Reps!B:B)</f>
        <v>Morgan Weber</v>
      </c>
      <c r="P1210" t="str">
        <f>_xlfn.XLOOKUP(Pipeline_tbl[[#This Row],[Rep_ID]],Dim_Reps!A:A,Dim_Reps!C:C)</f>
        <v>Mid-Market AE</v>
      </c>
      <c r="Q1210" t="str">
        <f>_xlfn.XLOOKUP(Pipeline_tbl[[#This Row],[Rep_ID]],Dim_Reps!A:A,Dim_Reps!D:D)</f>
        <v>Mid-Market</v>
      </c>
      <c r="R1210" t="str">
        <f>_xlfn.XLOOKUP(Pipeline_tbl[[#This Row],[Rep_ID]],Dim_Reps!A:A,Dim_Reps!E:E)</f>
        <v>NAMER</v>
      </c>
      <c r="S1210" t="str">
        <f>_xlfn.XLOOKUP(Pipeline_tbl[[#This Row],[Created_Date]],Dim_Date!A:A,Dim_Date!H:H)</f>
        <v>Oct 2024</v>
      </c>
      <c r="T1210" t="str">
        <f>IF(Pipeline_tbl[[#This Row],[Closed_Date]]=0,"",(_xlfn.XLOOKUP(Pipeline_tbl[[#This Row],[Closed_Date]],Dim_Date!A:A,Dim_Date!H:H)))</f>
        <v>Nov 2024</v>
      </c>
      <c r="U1210">
        <f>IF(Pipeline_tbl[[#This Row],[Closed_Date]]=0,"",Pipeline_tbl[[#This Row],[Closed_Date]]-Pipeline_tbl[[#This Row],[Created_Date]])</f>
        <v>25</v>
      </c>
    </row>
    <row r="1211" spans="1:21" ht="15" customHeight="1" x14ac:dyDescent="0.2">
      <c r="A1211" t="s">
        <v>1517</v>
      </c>
      <c r="B1211" t="s">
        <v>263</v>
      </c>
      <c r="C1211" t="s">
        <v>54</v>
      </c>
      <c r="D1211" s="49">
        <v>45574</v>
      </c>
      <c r="E1211" s="49">
        <v>45576</v>
      </c>
      <c r="F1211" s="49">
        <v>45581</v>
      </c>
      <c r="G1211" s="49">
        <v>45588</v>
      </c>
      <c r="H1211" s="49">
        <v>45594</v>
      </c>
      <c r="I1211" s="49">
        <v>45598</v>
      </c>
      <c r="J1211" t="s">
        <v>47</v>
      </c>
      <c r="K1211" s="33">
        <v>12800</v>
      </c>
      <c r="M1211" t="str">
        <f>_xlfn.XLOOKUP(Pipeline_tbl[[#This Row],[Rep_ID]],Dim_Reps!A:A,Dim_Reps!K:K)</f>
        <v>USD</v>
      </c>
      <c r="N1211" s="33">
        <f>(_xlfn.XLOOKUP(Pipeline_tbl[[#This Row],[Rate_Code_Generalized]],Lookups!A:A,Lookups!B:B))*Pipeline_tbl[[#This Row],[Pipeline_Amount_USD]]</f>
        <v>14903.039999999999</v>
      </c>
      <c r="O1211" t="str">
        <f>_xlfn.XLOOKUP(Pipeline_tbl[[#This Row],[Rep_ID]],Dim_Reps!A:A,Dim_Reps!B:B)</f>
        <v>Morgan Weber</v>
      </c>
      <c r="P1211" t="str">
        <f>_xlfn.XLOOKUP(Pipeline_tbl[[#This Row],[Rep_ID]],Dim_Reps!A:A,Dim_Reps!C:C)</f>
        <v>Mid-Market AE</v>
      </c>
      <c r="Q1211" t="str">
        <f>_xlfn.XLOOKUP(Pipeline_tbl[[#This Row],[Rep_ID]],Dim_Reps!A:A,Dim_Reps!D:D)</f>
        <v>Mid-Market</v>
      </c>
      <c r="R1211" t="str">
        <f>_xlfn.XLOOKUP(Pipeline_tbl[[#This Row],[Rep_ID]],Dim_Reps!A:A,Dim_Reps!E:E)</f>
        <v>NAMER</v>
      </c>
      <c r="S1211" t="str">
        <f>_xlfn.XLOOKUP(Pipeline_tbl[[#This Row],[Created_Date]],Dim_Date!A:A,Dim_Date!H:H)</f>
        <v>Oct 2024</v>
      </c>
      <c r="T1211" t="str">
        <f>IF(Pipeline_tbl[[#This Row],[Closed_Date]]=0,"",(_xlfn.XLOOKUP(Pipeline_tbl[[#This Row],[Closed_Date]],Dim_Date!A:A,Dim_Date!H:H)))</f>
        <v>Nov 2024</v>
      </c>
      <c r="U1211">
        <f>IF(Pipeline_tbl[[#This Row],[Closed_Date]]=0,"",Pipeline_tbl[[#This Row],[Closed_Date]]-Pipeline_tbl[[#This Row],[Created_Date]])</f>
        <v>24</v>
      </c>
    </row>
    <row r="1212" spans="1:21" ht="15" customHeight="1" x14ac:dyDescent="0.2">
      <c r="A1212" t="s">
        <v>1518</v>
      </c>
      <c r="B1212" t="s">
        <v>265</v>
      </c>
      <c r="C1212" t="s">
        <v>52</v>
      </c>
      <c r="D1212" s="49">
        <v>45573</v>
      </c>
      <c r="E1212" s="49">
        <v>45577</v>
      </c>
      <c r="F1212" s="49">
        <v>45586</v>
      </c>
      <c r="G1212" s="49">
        <v>45598</v>
      </c>
      <c r="H1212" s="49">
        <v>45609</v>
      </c>
      <c r="I1212" s="49">
        <v>45615</v>
      </c>
      <c r="J1212" t="s">
        <v>49</v>
      </c>
      <c r="K1212" s="33">
        <v>10900</v>
      </c>
      <c r="L1212" t="s">
        <v>61</v>
      </c>
      <c r="M1212" t="str">
        <f>_xlfn.XLOOKUP(Pipeline_tbl[[#This Row],[Rep_ID]],Dim_Reps!A:A,Dim_Reps!K:K)</f>
        <v>EUR</v>
      </c>
      <c r="N1212" s="33">
        <f>(_xlfn.XLOOKUP(Pipeline_tbl[[#This Row],[Rate_Code_Generalized]],Lookups!A:A,Lookups!B:B))*Pipeline_tbl[[#This Row],[Pipeline_Amount_USD]]</f>
        <v>10900</v>
      </c>
      <c r="O1212" t="str">
        <f>_xlfn.XLOOKUP(Pipeline_tbl[[#This Row],[Rep_ID]],Dim_Reps!A:A,Dim_Reps!B:B)</f>
        <v>Erik Duarte</v>
      </c>
      <c r="P1212" t="str">
        <f>_xlfn.XLOOKUP(Pipeline_tbl[[#This Row],[Rep_ID]],Dim_Reps!A:A,Dim_Reps!C:C)</f>
        <v>Mid-Market AE</v>
      </c>
      <c r="Q1212" t="str">
        <f>_xlfn.XLOOKUP(Pipeline_tbl[[#This Row],[Rep_ID]],Dim_Reps!A:A,Dim_Reps!D:D)</f>
        <v>Mid-Market</v>
      </c>
      <c r="R1212" t="str">
        <f>_xlfn.XLOOKUP(Pipeline_tbl[[#This Row],[Rep_ID]],Dim_Reps!A:A,Dim_Reps!E:E)</f>
        <v>EMEA</v>
      </c>
      <c r="S1212" t="str">
        <f>_xlfn.XLOOKUP(Pipeline_tbl[[#This Row],[Created_Date]],Dim_Date!A:A,Dim_Date!H:H)</f>
        <v>Oct 2024</v>
      </c>
      <c r="T1212" t="str">
        <f>IF(Pipeline_tbl[[#This Row],[Closed_Date]]=0,"",(_xlfn.XLOOKUP(Pipeline_tbl[[#This Row],[Closed_Date]],Dim_Date!A:A,Dim_Date!H:H)))</f>
        <v>Nov 2024</v>
      </c>
      <c r="U1212">
        <f>IF(Pipeline_tbl[[#This Row],[Closed_Date]]=0,"",Pipeline_tbl[[#This Row],[Closed_Date]]-Pipeline_tbl[[#This Row],[Created_Date]])</f>
        <v>42</v>
      </c>
    </row>
    <row r="1213" spans="1:21" ht="15" customHeight="1" x14ac:dyDescent="0.2">
      <c r="A1213" t="s">
        <v>1519</v>
      </c>
      <c r="B1213" t="s">
        <v>265</v>
      </c>
      <c r="C1213" t="s">
        <v>53</v>
      </c>
      <c r="D1213" s="49">
        <v>45585</v>
      </c>
      <c r="E1213" s="49">
        <v>45587</v>
      </c>
      <c r="F1213" s="49">
        <v>45590</v>
      </c>
      <c r="I1213" s="49">
        <v>45600</v>
      </c>
      <c r="J1213" t="s">
        <v>49</v>
      </c>
      <c r="K1213" s="33">
        <v>9600</v>
      </c>
      <c r="L1213" t="s">
        <v>60</v>
      </c>
      <c r="M1213" t="str">
        <f>_xlfn.XLOOKUP(Pipeline_tbl[[#This Row],[Rep_ID]],Dim_Reps!A:A,Dim_Reps!K:K)</f>
        <v>EUR</v>
      </c>
      <c r="N1213" s="33">
        <f>(_xlfn.XLOOKUP(Pipeline_tbl[[#This Row],[Rate_Code_Generalized]],Lookups!A:A,Lookups!B:B))*Pipeline_tbl[[#This Row],[Pipeline_Amount_USD]]</f>
        <v>9600</v>
      </c>
      <c r="O1213" t="str">
        <f>_xlfn.XLOOKUP(Pipeline_tbl[[#This Row],[Rep_ID]],Dim_Reps!A:A,Dim_Reps!B:B)</f>
        <v>Erik Duarte</v>
      </c>
      <c r="P1213" t="str">
        <f>_xlfn.XLOOKUP(Pipeline_tbl[[#This Row],[Rep_ID]],Dim_Reps!A:A,Dim_Reps!C:C)</f>
        <v>Mid-Market AE</v>
      </c>
      <c r="Q1213" t="str">
        <f>_xlfn.XLOOKUP(Pipeline_tbl[[#This Row],[Rep_ID]],Dim_Reps!A:A,Dim_Reps!D:D)</f>
        <v>Mid-Market</v>
      </c>
      <c r="R1213" t="str">
        <f>_xlfn.XLOOKUP(Pipeline_tbl[[#This Row],[Rep_ID]],Dim_Reps!A:A,Dim_Reps!E:E)</f>
        <v>EMEA</v>
      </c>
      <c r="S1213" t="str">
        <f>_xlfn.XLOOKUP(Pipeline_tbl[[#This Row],[Created_Date]],Dim_Date!A:A,Dim_Date!H:H)</f>
        <v>Oct 2024</v>
      </c>
      <c r="T1213" t="str">
        <f>IF(Pipeline_tbl[[#This Row],[Closed_Date]]=0,"",(_xlfn.XLOOKUP(Pipeline_tbl[[#This Row],[Closed_Date]],Dim_Date!A:A,Dim_Date!H:H)))</f>
        <v>Nov 2024</v>
      </c>
      <c r="U1213">
        <f>IF(Pipeline_tbl[[#This Row],[Closed_Date]]=0,"",Pipeline_tbl[[#This Row],[Closed_Date]]-Pipeline_tbl[[#This Row],[Created_Date]])</f>
        <v>15</v>
      </c>
    </row>
    <row r="1214" spans="1:21" ht="15" customHeight="1" x14ac:dyDescent="0.2">
      <c r="A1214" t="s">
        <v>1520</v>
      </c>
      <c r="B1214" t="s">
        <v>265</v>
      </c>
      <c r="C1214" t="s">
        <v>52</v>
      </c>
      <c r="D1214" s="49">
        <v>45566</v>
      </c>
      <c r="E1214" s="49">
        <v>45569</v>
      </c>
      <c r="F1214" s="49">
        <v>45576</v>
      </c>
      <c r="I1214" s="49">
        <v>45599</v>
      </c>
      <c r="J1214" t="s">
        <v>49</v>
      </c>
      <c r="K1214" s="33">
        <v>6900</v>
      </c>
      <c r="L1214" t="s">
        <v>62</v>
      </c>
      <c r="M1214" t="str">
        <f>_xlfn.XLOOKUP(Pipeline_tbl[[#This Row],[Rep_ID]],Dim_Reps!A:A,Dim_Reps!K:K)</f>
        <v>EUR</v>
      </c>
      <c r="N1214" s="33">
        <f>(_xlfn.XLOOKUP(Pipeline_tbl[[#This Row],[Rate_Code_Generalized]],Lookups!A:A,Lookups!B:B))*Pipeline_tbl[[#This Row],[Pipeline_Amount_USD]]</f>
        <v>6900</v>
      </c>
      <c r="O1214" t="str">
        <f>_xlfn.XLOOKUP(Pipeline_tbl[[#This Row],[Rep_ID]],Dim_Reps!A:A,Dim_Reps!B:B)</f>
        <v>Erik Duarte</v>
      </c>
      <c r="P1214" t="str">
        <f>_xlfn.XLOOKUP(Pipeline_tbl[[#This Row],[Rep_ID]],Dim_Reps!A:A,Dim_Reps!C:C)</f>
        <v>Mid-Market AE</v>
      </c>
      <c r="Q1214" t="str">
        <f>_xlfn.XLOOKUP(Pipeline_tbl[[#This Row],[Rep_ID]],Dim_Reps!A:A,Dim_Reps!D:D)</f>
        <v>Mid-Market</v>
      </c>
      <c r="R1214" t="str">
        <f>_xlfn.XLOOKUP(Pipeline_tbl[[#This Row],[Rep_ID]],Dim_Reps!A:A,Dim_Reps!E:E)</f>
        <v>EMEA</v>
      </c>
      <c r="S1214" t="str">
        <f>_xlfn.XLOOKUP(Pipeline_tbl[[#This Row],[Created_Date]],Dim_Date!A:A,Dim_Date!H:H)</f>
        <v>Oct 2024</v>
      </c>
      <c r="T1214" t="str">
        <f>IF(Pipeline_tbl[[#This Row],[Closed_Date]]=0,"",(_xlfn.XLOOKUP(Pipeline_tbl[[#This Row],[Closed_Date]],Dim_Date!A:A,Dim_Date!H:H)))</f>
        <v>Nov 2024</v>
      </c>
      <c r="U1214">
        <f>IF(Pipeline_tbl[[#This Row],[Closed_Date]]=0,"",Pipeline_tbl[[#This Row],[Closed_Date]]-Pipeline_tbl[[#This Row],[Created_Date]])</f>
        <v>33</v>
      </c>
    </row>
    <row r="1215" spans="1:21" ht="15" customHeight="1" x14ac:dyDescent="0.2">
      <c r="A1215" t="s">
        <v>1521</v>
      </c>
      <c r="B1215" t="s">
        <v>233</v>
      </c>
      <c r="C1215" t="s">
        <v>56</v>
      </c>
      <c r="D1215" s="49">
        <v>45574</v>
      </c>
      <c r="E1215" s="49">
        <v>45577</v>
      </c>
      <c r="F1215" s="49">
        <v>45582</v>
      </c>
      <c r="I1215" s="49">
        <v>45600</v>
      </c>
      <c r="J1215" t="s">
        <v>49</v>
      </c>
      <c r="K1215" s="33">
        <v>5500</v>
      </c>
      <c r="L1215" t="s">
        <v>61</v>
      </c>
      <c r="M1215" t="str">
        <f>_xlfn.XLOOKUP(Pipeline_tbl[[#This Row],[Rep_ID]],Dim_Reps!A:A,Dim_Reps!K:K)</f>
        <v>MXN</v>
      </c>
      <c r="N1215" s="33">
        <f>(_xlfn.XLOOKUP(Pipeline_tbl[[#This Row],[Rate_Code_Generalized]],Lookups!A:A,Lookups!B:B))*Pipeline_tbl[[#This Row],[Pipeline_Amount_USD]]</f>
        <v>108529.85</v>
      </c>
      <c r="O1215" t="str">
        <f>_xlfn.XLOOKUP(Pipeline_tbl[[#This Row],[Rep_ID]],Dim_Reps!A:A,Dim_Reps!B:B)</f>
        <v>Lucas Duarte</v>
      </c>
      <c r="P1215" t="str">
        <f>_xlfn.XLOOKUP(Pipeline_tbl[[#This Row],[Rep_ID]],Dim_Reps!A:A,Dim_Reps!C:C)</f>
        <v>SDR / Inside Sales Rep</v>
      </c>
      <c r="Q1215" t="str">
        <f>_xlfn.XLOOKUP(Pipeline_tbl[[#This Row],[Rep_ID]],Dim_Reps!A:A,Dim_Reps!D:D)</f>
        <v>Inside Sales</v>
      </c>
      <c r="R1215" t="str">
        <f>_xlfn.XLOOKUP(Pipeline_tbl[[#This Row],[Rep_ID]],Dim_Reps!A:A,Dim_Reps!E:E)</f>
        <v>LATAM</v>
      </c>
      <c r="S1215" t="str">
        <f>_xlfn.XLOOKUP(Pipeline_tbl[[#This Row],[Created_Date]],Dim_Date!A:A,Dim_Date!H:H)</f>
        <v>Oct 2024</v>
      </c>
      <c r="T1215" t="str">
        <f>IF(Pipeline_tbl[[#This Row],[Closed_Date]]=0,"",(_xlfn.XLOOKUP(Pipeline_tbl[[#This Row],[Closed_Date]],Dim_Date!A:A,Dim_Date!H:H)))</f>
        <v>Nov 2024</v>
      </c>
      <c r="U1215">
        <f>IF(Pipeline_tbl[[#This Row],[Closed_Date]]=0,"",Pipeline_tbl[[#This Row],[Closed_Date]]-Pipeline_tbl[[#This Row],[Created_Date]])</f>
        <v>26</v>
      </c>
    </row>
    <row r="1216" spans="1:21" ht="15" customHeight="1" x14ac:dyDescent="0.2">
      <c r="A1216" t="s">
        <v>1522</v>
      </c>
      <c r="B1216" t="s">
        <v>233</v>
      </c>
      <c r="C1216" t="s">
        <v>52</v>
      </c>
      <c r="D1216" s="49">
        <v>45587</v>
      </c>
      <c r="E1216" s="49">
        <v>45589</v>
      </c>
      <c r="F1216" s="49">
        <v>45592</v>
      </c>
      <c r="I1216" s="49">
        <v>45605</v>
      </c>
      <c r="J1216" t="s">
        <v>49</v>
      </c>
      <c r="K1216" s="33">
        <v>3000</v>
      </c>
      <c r="L1216" t="s">
        <v>62</v>
      </c>
      <c r="M1216" t="str">
        <f>_xlfn.XLOOKUP(Pipeline_tbl[[#This Row],[Rep_ID]],Dim_Reps!A:A,Dim_Reps!K:K)</f>
        <v>MXN</v>
      </c>
      <c r="N1216" s="33">
        <f>(_xlfn.XLOOKUP(Pipeline_tbl[[#This Row],[Rate_Code_Generalized]],Lookups!A:A,Lookups!B:B))*Pipeline_tbl[[#This Row],[Pipeline_Amount_USD]]</f>
        <v>59198.100000000006</v>
      </c>
      <c r="O1216" t="str">
        <f>_xlfn.XLOOKUP(Pipeline_tbl[[#This Row],[Rep_ID]],Dim_Reps!A:A,Dim_Reps!B:B)</f>
        <v>Lucas Duarte</v>
      </c>
      <c r="P1216" t="str">
        <f>_xlfn.XLOOKUP(Pipeline_tbl[[#This Row],[Rep_ID]],Dim_Reps!A:A,Dim_Reps!C:C)</f>
        <v>SDR / Inside Sales Rep</v>
      </c>
      <c r="Q1216" t="str">
        <f>_xlfn.XLOOKUP(Pipeline_tbl[[#This Row],[Rep_ID]],Dim_Reps!A:A,Dim_Reps!D:D)</f>
        <v>Inside Sales</v>
      </c>
      <c r="R1216" t="str">
        <f>_xlfn.XLOOKUP(Pipeline_tbl[[#This Row],[Rep_ID]],Dim_Reps!A:A,Dim_Reps!E:E)</f>
        <v>LATAM</v>
      </c>
      <c r="S1216" t="str">
        <f>_xlfn.XLOOKUP(Pipeline_tbl[[#This Row],[Created_Date]],Dim_Date!A:A,Dim_Date!H:H)</f>
        <v>Oct 2024</v>
      </c>
      <c r="T1216" t="str">
        <f>IF(Pipeline_tbl[[#This Row],[Closed_Date]]=0,"",(_xlfn.XLOOKUP(Pipeline_tbl[[#This Row],[Closed_Date]],Dim_Date!A:A,Dim_Date!H:H)))</f>
        <v>Nov 2024</v>
      </c>
      <c r="U1216">
        <f>IF(Pipeline_tbl[[#This Row],[Closed_Date]]=0,"",Pipeline_tbl[[#This Row],[Closed_Date]]-Pipeline_tbl[[#This Row],[Created_Date]])</f>
        <v>18</v>
      </c>
    </row>
    <row r="1217" spans="1:21" ht="15" customHeight="1" x14ac:dyDescent="0.2">
      <c r="A1217" t="s">
        <v>1523</v>
      </c>
      <c r="B1217" t="s">
        <v>233</v>
      </c>
      <c r="C1217" t="s">
        <v>52</v>
      </c>
      <c r="D1217" s="49">
        <v>45575</v>
      </c>
      <c r="E1217" s="49">
        <v>45577</v>
      </c>
      <c r="F1217" s="49">
        <v>45582</v>
      </c>
      <c r="G1217" s="49">
        <v>45589</v>
      </c>
      <c r="H1217" s="49">
        <v>45595</v>
      </c>
      <c r="I1217" s="49">
        <v>45598</v>
      </c>
      <c r="J1217" t="s">
        <v>47</v>
      </c>
      <c r="K1217" s="33">
        <v>4200</v>
      </c>
      <c r="M1217" t="str">
        <f>_xlfn.XLOOKUP(Pipeline_tbl[[#This Row],[Rep_ID]],Dim_Reps!A:A,Dim_Reps!K:K)</f>
        <v>MXN</v>
      </c>
      <c r="N1217" s="33">
        <f>(_xlfn.XLOOKUP(Pipeline_tbl[[#This Row],[Rate_Code_Generalized]],Lookups!A:A,Lookups!B:B))*Pipeline_tbl[[#This Row],[Pipeline_Amount_USD]]</f>
        <v>82877.340000000011</v>
      </c>
      <c r="O1217" t="str">
        <f>_xlfn.XLOOKUP(Pipeline_tbl[[#This Row],[Rep_ID]],Dim_Reps!A:A,Dim_Reps!B:B)</f>
        <v>Lucas Duarte</v>
      </c>
      <c r="P1217" t="str">
        <f>_xlfn.XLOOKUP(Pipeline_tbl[[#This Row],[Rep_ID]],Dim_Reps!A:A,Dim_Reps!C:C)</f>
        <v>SDR / Inside Sales Rep</v>
      </c>
      <c r="Q1217" t="str">
        <f>_xlfn.XLOOKUP(Pipeline_tbl[[#This Row],[Rep_ID]],Dim_Reps!A:A,Dim_Reps!D:D)</f>
        <v>Inside Sales</v>
      </c>
      <c r="R1217" t="str">
        <f>_xlfn.XLOOKUP(Pipeline_tbl[[#This Row],[Rep_ID]],Dim_Reps!A:A,Dim_Reps!E:E)</f>
        <v>LATAM</v>
      </c>
      <c r="S1217" t="str">
        <f>_xlfn.XLOOKUP(Pipeline_tbl[[#This Row],[Created_Date]],Dim_Date!A:A,Dim_Date!H:H)</f>
        <v>Oct 2024</v>
      </c>
      <c r="T1217" t="str">
        <f>IF(Pipeline_tbl[[#This Row],[Closed_Date]]=0,"",(_xlfn.XLOOKUP(Pipeline_tbl[[#This Row],[Closed_Date]],Dim_Date!A:A,Dim_Date!H:H)))</f>
        <v>Nov 2024</v>
      </c>
      <c r="U1217">
        <f>IF(Pipeline_tbl[[#This Row],[Closed_Date]]=0,"",Pipeline_tbl[[#This Row],[Closed_Date]]-Pipeline_tbl[[#This Row],[Created_Date]])</f>
        <v>23</v>
      </c>
    </row>
    <row r="1218" spans="1:21" ht="15" customHeight="1" x14ac:dyDescent="0.2">
      <c r="A1218" t="s">
        <v>1524</v>
      </c>
      <c r="B1218" t="s">
        <v>233</v>
      </c>
      <c r="C1218" t="s">
        <v>55</v>
      </c>
      <c r="D1218" s="49">
        <v>45575</v>
      </c>
      <c r="E1218" s="49">
        <v>45577</v>
      </c>
      <c r="F1218" s="49">
        <v>45582</v>
      </c>
      <c r="G1218" s="49">
        <v>45589</v>
      </c>
      <c r="H1218" s="49">
        <v>45595</v>
      </c>
      <c r="I1218" s="49">
        <v>45599</v>
      </c>
      <c r="J1218" t="s">
        <v>47</v>
      </c>
      <c r="K1218" s="33">
        <v>2000</v>
      </c>
      <c r="M1218" t="str">
        <f>_xlfn.XLOOKUP(Pipeline_tbl[[#This Row],[Rep_ID]],Dim_Reps!A:A,Dim_Reps!K:K)</f>
        <v>MXN</v>
      </c>
      <c r="N1218" s="33">
        <f>(_xlfn.XLOOKUP(Pipeline_tbl[[#This Row],[Rate_Code_Generalized]],Lookups!A:A,Lookups!B:B))*Pipeline_tbl[[#This Row],[Pipeline_Amount_USD]]</f>
        <v>39465.4</v>
      </c>
      <c r="O1218" t="str">
        <f>_xlfn.XLOOKUP(Pipeline_tbl[[#This Row],[Rep_ID]],Dim_Reps!A:A,Dim_Reps!B:B)</f>
        <v>Lucas Duarte</v>
      </c>
      <c r="P1218" t="str">
        <f>_xlfn.XLOOKUP(Pipeline_tbl[[#This Row],[Rep_ID]],Dim_Reps!A:A,Dim_Reps!C:C)</f>
        <v>SDR / Inside Sales Rep</v>
      </c>
      <c r="Q1218" t="str">
        <f>_xlfn.XLOOKUP(Pipeline_tbl[[#This Row],[Rep_ID]],Dim_Reps!A:A,Dim_Reps!D:D)</f>
        <v>Inside Sales</v>
      </c>
      <c r="R1218" t="str">
        <f>_xlfn.XLOOKUP(Pipeline_tbl[[#This Row],[Rep_ID]],Dim_Reps!A:A,Dim_Reps!E:E)</f>
        <v>LATAM</v>
      </c>
      <c r="S1218" t="str">
        <f>_xlfn.XLOOKUP(Pipeline_tbl[[#This Row],[Created_Date]],Dim_Date!A:A,Dim_Date!H:H)</f>
        <v>Oct 2024</v>
      </c>
      <c r="T1218" t="str">
        <f>IF(Pipeline_tbl[[#This Row],[Closed_Date]]=0,"",(_xlfn.XLOOKUP(Pipeline_tbl[[#This Row],[Closed_Date]],Dim_Date!A:A,Dim_Date!H:H)))</f>
        <v>Nov 2024</v>
      </c>
      <c r="U1218">
        <f>IF(Pipeline_tbl[[#This Row],[Closed_Date]]=0,"",Pipeline_tbl[[#This Row],[Closed_Date]]-Pipeline_tbl[[#This Row],[Created_Date]])</f>
        <v>24</v>
      </c>
    </row>
    <row r="1219" spans="1:21" ht="15" customHeight="1" x14ac:dyDescent="0.2">
      <c r="A1219" t="s">
        <v>1525</v>
      </c>
      <c r="B1219" t="s">
        <v>233</v>
      </c>
      <c r="C1219" t="s">
        <v>52</v>
      </c>
      <c r="D1219" s="49">
        <v>45573</v>
      </c>
      <c r="E1219" s="49">
        <v>45575</v>
      </c>
      <c r="I1219" s="49">
        <v>45597</v>
      </c>
      <c r="J1219" t="s">
        <v>49</v>
      </c>
      <c r="K1219" s="33">
        <v>3600</v>
      </c>
      <c r="L1219" t="s">
        <v>63</v>
      </c>
      <c r="M1219" t="str">
        <f>_xlfn.XLOOKUP(Pipeline_tbl[[#This Row],[Rep_ID]],Dim_Reps!A:A,Dim_Reps!K:K)</f>
        <v>MXN</v>
      </c>
      <c r="N1219" s="33">
        <f>(_xlfn.XLOOKUP(Pipeline_tbl[[#This Row],[Rate_Code_Generalized]],Lookups!A:A,Lookups!B:B))*Pipeline_tbl[[#This Row],[Pipeline_Amount_USD]]</f>
        <v>71037.72</v>
      </c>
      <c r="O1219" t="str">
        <f>_xlfn.XLOOKUP(Pipeline_tbl[[#This Row],[Rep_ID]],Dim_Reps!A:A,Dim_Reps!B:B)</f>
        <v>Lucas Duarte</v>
      </c>
      <c r="P1219" t="str">
        <f>_xlfn.XLOOKUP(Pipeline_tbl[[#This Row],[Rep_ID]],Dim_Reps!A:A,Dim_Reps!C:C)</f>
        <v>SDR / Inside Sales Rep</v>
      </c>
      <c r="Q1219" t="str">
        <f>_xlfn.XLOOKUP(Pipeline_tbl[[#This Row],[Rep_ID]],Dim_Reps!A:A,Dim_Reps!D:D)</f>
        <v>Inside Sales</v>
      </c>
      <c r="R1219" t="str">
        <f>_xlfn.XLOOKUP(Pipeline_tbl[[#This Row],[Rep_ID]],Dim_Reps!A:A,Dim_Reps!E:E)</f>
        <v>LATAM</v>
      </c>
      <c r="S1219" t="str">
        <f>_xlfn.XLOOKUP(Pipeline_tbl[[#This Row],[Created_Date]],Dim_Date!A:A,Dim_Date!H:H)</f>
        <v>Oct 2024</v>
      </c>
      <c r="T1219" t="str">
        <f>IF(Pipeline_tbl[[#This Row],[Closed_Date]]=0,"",(_xlfn.XLOOKUP(Pipeline_tbl[[#This Row],[Closed_Date]],Dim_Date!A:A,Dim_Date!H:H)))</f>
        <v>Nov 2024</v>
      </c>
      <c r="U1219">
        <f>IF(Pipeline_tbl[[#This Row],[Closed_Date]]=0,"",Pipeline_tbl[[#This Row],[Closed_Date]]-Pipeline_tbl[[#This Row],[Created_Date]])</f>
        <v>24</v>
      </c>
    </row>
    <row r="1220" spans="1:21" ht="15" customHeight="1" x14ac:dyDescent="0.2">
      <c r="A1220" t="s">
        <v>1526</v>
      </c>
      <c r="B1220" t="s">
        <v>233</v>
      </c>
      <c r="C1220" t="s">
        <v>53</v>
      </c>
      <c r="D1220" s="49">
        <v>45578</v>
      </c>
      <c r="E1220" s="49">
        <v>45580</v>
      </c>
      <c r="F1220" s="49">
        <v>45586</v>
      </c>
      <c r="I1220" s="49">
        <v>45603</v>
      </c>
      <c r="J1220" t="s">
        <v>49</v>
      </c>
      <c r="K1220" s="33">
        <v>4700</v>
      </c>
      <c r="L1220" t="s">
        <v>61</v>
      </c>
      <c r="M1220" t="str">
        <f>_xlfn.XLOOKUP(Pipeline_tbl[[#This Row],[Rep_ID]],Dim_Reps!A:A,Dim_Reps!K:K)</f>
        <v>MXN</v>
      </c>
      <c r="N1220" s="33">
        <f>(_xlfn.XLOOKUP(Pipeline_tbl[[#This Row],[Rate_Code_Generalized]],Lookups!A:A,Lookups!B:B))*Pipeline_tbl[[#This Row],[Pipeline_Amount_USD]]</f>
        <v>92743.69</v>
      </c>
      <c r="O1220" t="str">
        <f>_xlfn.XLOOKUP(Pipeline_tbl[[#This Row],[Rep_ID]],Dim_Reps!A:A,Dim_Reps!B:B)</f>
        <v>Lucas Duarte</v>
      </c>
      <c r="P1220" t="str">
        <f>_xlfn.XLOOKUP(Pipeline_tbl[[#This Row],[Rep_ID]],Dim_Reps!A:A,Dim_Reps!C:C)</f>
        <v>SDR / Inside Sales Rep</v>
      </c>
      <c r="Q1220" t="str">
        <f>_xlfn.XLOOKUP(Pipeline_tbl[[#This Row],[Rep_ID]],Dim_Reps!A:A,Dim_Reps!D:D)</f>
        <v>Inside Sales</v>
      </c>
      <c r="R1220" t="str">
        <f>_xlfn.XLOOKUP(Pipeline_tbl[[#This Row],[Rep_ID]],Dim_Reps!A:A,Dim_Reps!E:E)</f>
        <v>LATAM</v>
      </c>
      <c r="S1220" t="str">
        <f>_xlfn.XLOOKUP(Pipeline_tbl[[#This Row],[Created_Date]],Dim_Date!A:A,Dim_Date!H:H)</f>
        <v>Oct 2024</v>
      </c>
      <c r="T1220" t="str">
        <f>IF(Pipeline_tbl[[#This Row],[Closed_Date]]=0,"",(_xlfn.XLOOKUP(Pipeline_tbl[[#This Row],[Closed_Date]],Dim_Date!A:A,Dim_Date!H:H)))</f>
        <v>Nov 2024</v>
      </c>
      <c r="U1220">
        <f>IF(Pipeline_tbl[[#This Row],[Closed_Date]]=0,"",Pipeline_tbl[[#This Row],[Closed_Date]]-Pipeline_tbl[[#This Row],[Created_Date]])</f>
        <v>25</v>
      </c>
    </row>
    <row r="1221" spans="1:21" ht="15" customHeight="1" x14ac:dyDescent="0.2">
      <c r="A1221" t="s">
        <v>1527</v>
      </c>
      <c r="B1221" t="s">
        <v>233</v>
      </c>
      <c r="C1221" t="s">
        <v>52</v>
      </c>
      <c r="D1221" s="49">
        <v>45584</v>
      </c>
      <c r="E1221" s="49">
        <v>45586</v>
      </c>
      <c r="F1221" s="49">
        <v>45589</v>
      </c>
      <c r="G1221" s="49">
        <v>45595</v>
      </c>
      <c r="H1221" s="49">
        <v>45599</v>
      </c>
      <c r="I1221" s="49">
        <v>45602</v>
      </c>
      <c r="J1221" t="s">
        <v>47</v>
      </c>
      <c r="K1221" s="33">
        <v>2500</v>
      </c>
      <c r="M1221" t="str">
        <f>_xlfn.XLOOKUP(Pipeline_tbl[[#This Row],[Rep_ID]],Dim_Reps!A:A,Dim_Reps!K:K)</f>
        <v>MXN</v>
      </c>
      <c r="N1221" s="33">
        <f>(_xlfn.XLOOKUP(Pipeline_tbl[[#This Row],[Rate_Code_Generalized]],Lookups!A:A,Lookups!B:B))*Pipeline_tbl[[#This Row],[Pipeline_Amount_USD]]</f>
        <v>49331.75</v>
      </c>
      <c r="O1221" t="str">
        <f>_xlfn.XLOOKUP(Pipeline_tbl[[#This Row],[Rep_ID]],Dim_Reps!A:A,Dim_Reps!B:B)</f>
        <v>Lucas Duarte</v>
      </c>
      <c r="P1221" t="str">
        <f>_xlfn.XLOOKUP(Pipeline_tbl[[#This Row],[Rep_ID]],Dim_Reps!A:A,Dim_Reps!C:C)</f>
        <v>SDR / Inside Sales Rep</v>
      </c>
      <c r="Q1221" t="str">
        <f>_xlfn.XLOOKUP(Pipeline_tbl[[#This Row],[Rep_ID]],Dim_Reps!A:A,Dim_Reps!D:D)</f>
        <v>Inside Sales</v>
      </c>
      <c r="R1221" t="str">
        <f>_xlfn.XLOOKUP(Pipeline_tbl[[#This Row],[Rep_ID]],Dim_Reps!A:A,Dim_Reps!E:E)</f>
        <v>LATAM</v>
      </c>
      <c r="S1221" t="str">
        <f>_xlfn.XLOOKUP(Pipeline_tbl[[#This Row],[Created_Date]],Dim_Date!A:A,Dim_Date!H:H)</f>
        <v>Oct 2024</v>
      </c>
      <c r="T1221" t="str">
        <f>IF(Pipeline_tbl[[#This Row],[Closed_Date]]=0,"",(_xlfn.XLOOKUP(Pipeline_tbl[[#This Row],[Closed_Date]],Dim_Date!A:A,Dim_Date!H:H)))</f>
        <v>Nov 2024</v>
      </c>
      <c r="U1221">
        <f>IF(Pipeline_tbl[[#This Row],[Closed_Date]]=0,"",Pipeline_tbl[[#This Row],[Closed_Date]]-Pipeline_tbl[[#This Row],[Created_Date]])</f>
        <v>18</v>
      </c>
    </row>
    <row r="1222" spans="1:21" ht="15" customHeight="1" x14ac:dyDescent="0.2">
      <c r="A1222" t="s">
        <v>1528</v>
      </c>
      <c r="B1222" t="s">
        <v>233</v>
      </c>
      <c r="C1222" t="s">
        <v>53</v>
      </c>
      <c r="D1222" s="49">
        <v>45583</v>
      </c>
      <c r="E1222" s="49">
        <v>45585</v>
      </c>
      <c r="F1222" s="49">
        <v>45589</v>
      </c>
      <c r="G1222" s="49">
        <v>45594</v>
      </c>
      <c r="I1222" s="49">
        <v>45602</v>
      </c>
      <c r="J1222" t="s">
        <v>49</v>
      </c>
      <c r="K1222" s="33">
        <v>5800</v>
      </c>
      <c r="L1222" t="s">
        <v>63</v>
      </c>
      <c r="M1222" t="str">
        <f>_xlfn.XLOOKUP(Pipeline_tbl[[#This Row],[Rep_ID]],Dim_Reps!A:A,Dim_Reps!K:K)</f>
        <v>MXN</v>
      </c>
      <c r="N1222" s="33">
        <f>(_xlfn.XLOOKUP(Pipeline_tbl[[#This Row],[Rate_Code_Generalized]],Lookups!A:A,Lookups!B:B))*Pipeline_tbl[[#This Row],[Pipeline_Amount_USD]]</f>
        <v>114449.66</v>
      </c>
      <c r="O1222" t="str">
        <f>_xlfn.XLOOKUP(Pipeline_tbl[[#This Row],[Rep_ID]],Dim_Reps!A:A,Dim_Reps!B:B)</f>
        <v>Lucas Duarte</v>
      </c>
      <c r="P1222" t="str">
        <f>_xlfn.XLOOKUP(Pipeline_tbl[[#This Row],[Rep_ID]],Dim_Reps!A:A,Dim_Reps!C:C)</f>
        <v>SDR / Inside Sales Rep</v>
      </c>
      <c r="Q1222" t="str">
        <f>_xlfn.XLOOKUP(Pipeline_tbl[[#This Row],[Rep_ID]],Dim_Reps!A:A,Dim_Reps!D:D)</f>
        <v>Inside Sales</v>
      </c>
      <c r="R1222" t="str">
        <f>_xlfn.XLOOKUP(Pipeline_tbl[[#This Row],[Rep_ID]],Dim_Reps!A:A,Dim_Reps!E:E)</f>
        <v>LATAM</v>
      </c>
      <c r="S1222" t="str">
        <f>_xlfn.XLOOKUP(Pipeline_tbl[[#This Row],[Created_Date]],Dim_Date!A:A,Dim_Date!H:H)</f>
        <v>Oct 2024</v>
      </c>
      <c r="T1222" t="str">
        <f>IF(Pipeline_tbl[[#This Row],[Closed_Date]]=0,"",(_xlfn.XLOOKUP(Pipeline_tbl[[#This Row],[Closed_Date]],Dim_Date!A:A,Dim_Date!H:H)))</f>
        <v>Nov 2024</v>
      </c>
      <c r="U1222">
        <f>IF(Pipeline_tbl[[#This Row],[Closed_Date]]=0,"",Pipeline_tbl[[#This Row],[Closed_Date]]-Pipeline_tbl[[#This Row],[Created_Date]])</f>
        <v>19</v>
      </c>
    </row>
    <row r="1223" spans="1:21" ht="15" customHeight="1" x14ac:dyDescent="0.2">
      <c r="A1223" t="s">
        <v>1529</v>
      </c>
      <c r="B1223" t="s">
        <v>233</v>
      </c>
      <c r="C1223" t="s">
        <v>52</v>
      </c>
      <c r="D1223" s="49">
        <v>45592</v>
      </c>
      <c r="E1223" s="49">
        <v>45594</v>
      </c>
      <c r="I1223" s="49">
        <v>45610</v>
      </c>
      <c r="J1223" t="s">
        <v>49</v>
      </c>
      <c r="K1223" s="33">
        <v>2900</v>
      </c>
      <c r="L1223" t="s">
        <v>62</v>
      </c>
      <c r="M1223" t="str">
        <f>_xlfn.XLOOKUP(Pipeline_tbl[[#This Row],[Rep_ID]],Dim_Reps!A:A,Dim_Reps!K:K)</f>
        <v>MXN</v>
      </c>
      <c r="N1223" s="33">
        <f>(_xlfn.XLOOKUP(Pipeline_tbl[[#This Row],[Rate_Code_Generalized]],Lookups!A:A,Lookups!B:B))*Pipeline_tbl[[#This Row],[Pipeline_Amount_USD]]</f>
        <v>57224.83</v>
      </c>
      <c r="O1223" t="str">
        <f>_xlfn.XLOOKUP(Pipeline_tbl[[#This Row],[Rep_ID]],Dim_Reps!A:A,Dim_Reps!B:B)</f>
        <v>Lucas Duarte</v>
      </c>
      <c r="P1223" t="str">
        <f>_xlfn.XLOOKUP(Pipeline_tbl[[#This Row],[Rep_ID]],Dim_Reps!A:A,Dim_Reps!C:C)</f>
        <v>SDR / Inside Sales Rep</v>
      </c>
      <c r="Q1223" t="str">
        <f>_xlfn.XLOOKUP(Pipeline_tbl[[#This Row],[Rep_ID]],Dim_Reps!A:A,Dim_Reps!D:D)</f>
        <v>Inside Sales</v>
      </c>
      <c r="R1223" t="str">
        <f>_xlfn.XLOOKUP(Pipeline_tbl[[#This Row],[Rep_ID]],Dim_Reps!A:A,Dim_Reps!E:E)</f>
        <v>LATAM</v>
      </c>
      <c r="S1223" t="str">
        <f>_xlfn.XLOOKUP(Pipeline_tbl[[#This Row],[Created_Date]],Dim_Date!A:A,Dim_Date!H:H)</f>
        <v>Oct 2024</v>
      </c>
      <c r="T1223" t="str">
        <f>IF(Pipeline_tbl[[#This Row],[Closed_Date]]=0,"",(_xlfn.XLOOKUP(Pipeline_tbl[[#This Row],[Closed_Date]],Dim_Date!A:A,Dim_Date!H:H)))</f>
        <v>Nov 2024</v>
      </c>
      <c r="U1223">
        <f>IF(Pipeline_tbl[[#This Row],[Closed_Date]]=0,"",Pipeline_tbl[[#This Row],[Closed_Date]]-Pipeline_tbl[[#This Row],[Created_Date]])</f>
        <v>18</v>
      </c>
    </row>
    <row r="1224" spans="1:21" ht="15" customHeight="1" x14ac:dyDescent="0.2">
      <c r="A1224" t="s">
        <v>1530</v>
      </c>
      <c r="B1224" t="s">
        <v>233</v>
      </c>
      <c r="C1224" t="s">
        <v>55</v>
      </c>
      <c r="D1224" s="49">
        <v>45581</v>
      </c>
      <c r="E1224" s="49">
        <v>45583</v>
      </c>
      <c r="F1224" s="49">
        <v>45586</v>
      </c>
      <c r="I1224" s="49">
        <v>45599</v>
      </c>
      <c r="J1224" t="s">
        <v>49</v>
      </c>
      <c r="K1224" s="33">
        <v>5300</v>
      </c>
      <c r="L1224" t="s">
        <v>60</v>
      </c>
      <c r="M1224" t="str">
        <f>_xlfn.XLOOKUP(Pipeline_tbl[[#This Row],[Rep_ID]],Dim_Reps!A:A,Dim_Reps!K:K)</f>
        <v>MXN</v>
      </c>
      <c r="N1224" s="33">
        <f>(_xlfn.XLOOKUP(Pipeline_tbl[[#This Row],[Rate_Code_Generalized]],Lookups!A:A,Lookups!B:B))*Pipeline_tbl[[#This Row],[Pipeline_Amount_USD]]</f>
        <v>104583.31000000001</v>
      </c>
      <c r="O1224" t="str">
        <f>_xlfn.XLOOKUP(Pipeline_tbl[[#This Row],[Rep_ID]],Dim_Reps!A:A,Dim_Reps!B:B)</f>
        <v>Lucas Duarte</v>
      </c>
      <c r="P1224" t="str">
        <f>_xlfn.XLOOKUP(Pipeline_tbl[[#This Row],[Rep_ID]],Dim_Reps!A:A,Dim_Reps!C:C)</f>
        <v>SDR / Inside Sales Rep</v>
      </c>
      <c r="Q1224" t="str">
        <f>_xlfn.XLOOKUP(Pipeline_tbl[[#This Row],[Rep_ID]],Dim_Reps!A:A,Dim_Reps!D:D)</f>
        <v>Inside Sales</v>
      </c>
      <c r="R1224" t="str">
        <f>_xlfn.XLOOKUP(Pipeline_tbl[[#This Row],[Rep_ID]],Dim_Reps!A:A,Dim_Reps!E:E)</f>
        <v>LATAM</v>
      </c>
      <c r="S1224" t="str">
        <f>_xlfn.XLOOKUP(Pipeline_tbl[[#This Row],[Created_Date]],Dim_Date!A:A,Dim_Date!H:H)</f>
        <v>Oct 2024</v>
      </c>
      <c r="T1224" t="str">
        <f>IF(Pipeline_tbl[[#This Row],[Closed_Date]]=0,"",(_xlfn.XLOOKUP(Pipeline_tbl[[#This Row],[Closed_Date]],Dim_Date!A:A,Dim_Date!H:H)))</f>
        <v>Nov 2024</v>
      </c>
      <c r="U1224">
        <f>IF(Pipeline_tbl[[#This Row],[Closed_Date]]=0,"",Pipeline_tbl[[#This Row],[Closed_Date]]-Pipeline_tbl[[#This Row],[Created_Date]])</f>
        <v>18</v>
      </c>
    </row>
    <row r="1225" spans="1:21" ht="15" customHeight="1" x14ac:dyDescent="0.2">
      <c r="A1225" t="s">
        <v>1531</v>
      </c>
      <c r="B1225" t="s">
        <v>267</v>
      </c>
      <c r="C1225" t="s">
        <v>54</v>
      </c>
      <c r="D1225" s="49">
        <v>45579</v>
      </c>
      <c r="E1225" s="49">
        <v>45581</v>
      </c>
      <c r="F1225" s="49">
        <v>45586</v>
      </c>
      <c r="G1225" s="49">
        <v>45593</v>
      </c>
      <c r="H1225" s="49">
        <v>45599</v>
      </c>
      <c r="I1225" s="49">
        <v>45603</v>
      </c>
      <c r="J1225" t="s">
        <v>47</v>
      </c>
      <c r="K1225" s="33">
        <v>27900</v>
      </c>
      <c r="M1225" t="str">
        <f>_xlfn.XLOOKUP(Pipeline_tbl[[#This Row],[Rep_ID]],Dim_Reps!A:A,Dim_Reps!K:K)</f>
        <v>MXN</v>
      </c>
      <c r="N1225" s="33">
        <f>(_xlfn.XLOOKUP(Pipeline_tbl[[#This Row],[Rate_Code_Generalized]],Lookups!A:A,Lookups!B:B))*Pipeline_tbl[[#This Row],[Pipeline_Amount_USD]]</f>
        <v>550542.33000000007</v>
      </c>
      <c r="O1225" t="str">
        <f>_xlfn.XLOOKUP(Pipeline_tbl[[#This Row],[Rep_ID]],Dim_Reps!A:A,Dim_Reps!B:B)</f>
        <v>Yuki Dubois</v>
      </c>
      <c r="P1225" t="str">
        <f>_xlfn.XLOOKUP(Pipeline_tbl[[#This Row],[Rep_ID]],Dim_Reps!A:A,Dim_Reps!C:C)</f>
        <v>Mid-Market AE</v>
      </c>
      <c r="Q1225" t="str">
        <f>_xlfn.XLOOKUP(Pipeline_tbl[[#This Row],[Rep_ID]],Dim_Reps!A:A,Dim_Reps!D:D)</f>
        <v>Mid-Market</v>
      </c>
      <c r="R1225" t="str">
        <f>_xlfn.XLOOKUP(Pipeline_tbl[[#This Row],[Rep_ID]],Dim_Reps!A:A,Dim_Reps!E:E)</f>
        <v>LATAM</v>
      </c>
      <c r="S1225" t="str">
        <f>_xlfn.XLOOKUP(Pipeline_tbl[[#This Row],[Created_Date]],Dim_Date!A:A,Dim_Date!H:H)</f>
        <v>Oct 2024</v>
      </c>
      <c r="T1225" t="str">
        <f>IF(Pipeline_tbl[[#This Row],[Closed_Date]]=0,"",(_xlfn.XLOOKUP(Pipeline_tbl[[#This Row],[Closed_Date]],Dim_Date!A:A,Dim_Date!H:H)))</f>
        <v>Nov 2024</v>
      </c>
      <c r="U1225">
        <f>IF(Pipeline_tbl[[#This Row],[Closed_Date]]=0,"",Pipeline_tbl[[#This Row],[Closed_Date]]-Pipeline_tbl[[#This Row],[Created_Date]])</f>
        <v>24</v>
      </c>
    </row>
    <row r="1226" spans="1:21" ht="15" customHeight="1" x14ac:dyDescent="0.2">
      <c r="A1226" t="s">
        <v>1532</v>
      </c>
      <c r="B1226" t="s">
        <v>235</v>
      </c>
      <c r="C1226" t="s">
        <v>53</v>
      </c>
      <c r="D1226" s="49">
        <v>45570</v>
      </c>
      <c r="E1226" s="49">
        <v>45573</v>
      </c>
      <c r="F1226" s="49">
        <v>45578</v>
      </c>
      <c r="G1226" s="49">
        <v>45587</v>
      </c>
      <c r="I1226" s="49">
        <v>45598</v>
      </c>
      <c r="J1226" t="s">
        <v>49</v>
      </c>
      <c r="K1226" s="33">
        <v>1400</v>
      </c>
      <c r="L1226" t="s">
        <v>61</v>
      </c>
      <c r="M1226" t="str">
        <f>_xlfn.XLOOKUP(Pipeline_tbl[[#This Row],[Rep_ID]],Dim_Reps!A:A,Dim_Reps!K:K)</f>
        <v>MXN</v>
      </c>
      <c r="N1226" s="33">
        <f>(_xlfn.XLOOKUP(Pipeline_tbl[[#This Row],[Rate_Code_Generalized]],Lookups!A:A,Lookups!B:B))*Pipeline_tbl[[#This Row],[Pipeline_Amount_USD]]</f>
        <v>27625.780000000002</v>
      </c>
      <c r="O1226" t="str">
        <f>_xlfn.XLOOKUP(Pipeline_tbl[[#This Row],[Rep_ID]],Dim_Reps!A:A,Dim_Reps!B:B)</f>
        <v>Milo Castro</v>
      </c>
      <c r="P1226" t="str">
        <f>_xlfn.XLOOKUP(Pipeline_tbl[[#This Row],[Rep_ID]],Dim_Reps!A:A,Dim_Reps!C:C)</f>
        <v>SDR / Inside Sales Rep</v>
      </c>
      <c r="Q1226" t="str">
        <f>_xlfn.XLOOKUP(Pipeline_tbl[[#This Row],[Rep_ID]],Dim_Reps!A:A,Dim_Reps!D:D)</f>
        <v>Inside Sales</v>
      </c>
      <c r="R1226" t="str">
        <f>_xlfn.XLOOKUP(Pipeline_tbl[[#This Row],[Rep_ID]],Dim_Reps!A:A,Dim_Reps!E:E)</f>
        <v>LATAM</v>
      </c>
      <c r="S1226" t="str">
        <f>_xlfn.XLOOKUP(Pipeline_tbl[[#This Row],[Created_Date]],Dim_Date!A:A,Dim_Date!H:H)</f>
        <v>Oct 2024</v>
      </c>
      <c r="T1226" t="str">
        <f>IF(Pipeline_tbl[[#This Row],[Closed_Date]]=0,"",(_xlfn.XLOOKUP(Pipeline_tbl[[#This Row],[Closed_Date]],Dim_Date!A:A,Dim_Date!H:H)))</f>
        <v>Nov 2024</v>
      </c>
      <c r="U1226">
        <f>IF(Pipeline_tbl[[#This Row],[Closed_Date]]=0,"",Pipeline_tbl[[#This Row],[Closed_Date]]-Pipeline_tbl[[#This Row],[Created_Date]])</f>
        <v>28</v>
      </c>
    </row>
    <row r="1227" spans="1:21" ht="15" customHeight="1" x14ac:dyDescent="0.2">
      <c r="A1227" t="s">
        <v>1533</v>
      </c>
      <c r="B1227" t="s">
        <v>235</v>
      </c>
      <c r="C1227" t="s">
        <v>53</v>
      </c>
      <c r="D1227" s="49">
        <v>45589</v>
      </c>
      <c r="E1227" s="49">
        <v>45591</v>
      </c>
      <c r="F1227" s="49">
        <v>45594</v>
      </c>
      <c r="G1227" s="49">
        <v>45599</v>
      </c>
      <c r="H1227" s="49">
        <v>45603</v>
      </c>
      <c r="I1227" s="49">
        <v>45605</v>
      </c>
      <c r="J1227" t="s">
        <v>47</v>
      </c>
      <c r="K1227" s="33">
        <v>2500</v>
      </c>
      <c r="M1227" t="str">
        <f>_xlfn.XLOOKUP(Pipeline_tbl[[#This Row],[Rep_ID]],Dim_Reps!A:A,Dim_Reps!K:K)</f>
        <v>MXN</v>
      </c>
      <c r="N1227" s="33">
        <f>(_xlfn.XLOOKUP(Pipeline_tbl[[#This Row],[Rate_Code_Generalized]],Lookups!A:A,Lookups!B:B))*Pipeline_tbl[[#This Row],[Pipeline_Amount_USD]]</f>
        <v>49331.75</v>
      </c>
      <c r="O1227" t="str">
        <f>_xlfn.XLOOKUP(Pipeline_tbl[[#This Row],[Rep_ID]],Dim_Reps!A:A,Dim_Reps!B:B)</f>
        <v>Milo Castro</v>
      </c>
      <c r="P1227" t="str">
        <f>_xlfn.XLOOKUP(Pipeline_tbl[[#This Row],[Rep_ID]],Dim_Reps!A:A,Dim_Reps!C:C)</f>
        <v>SDR / Inside Sales Rep</v>
      </c>
      <c r="Q1227" t="str">
        <f>_xlfn.XLOOKUP(Pipeline_tbl[[#This Row],[Rep_ID]],Dim_Reps!A:A,Dim_Reps!D:D)</f>
        <v>Inside Sales</v>
      </c>
      <c r="R1227" t="str">
        <f>_xlfn.XLOOKUP(Pipeline_tbl[[#This Row],[Rep_ID]],Dim_Reps!A:A,Dim_Reps!E:E)</f>
        <v>LATAM</v>
      </c>
      <c r="S1227" t="str">
        <f>_xlfn.XLOOKUP(Pipeline_tbl[[#This Row],[Created_Date]],Dim_Date!A:A,Dim_Date!H:H)</f>
        <v>Oct 2024</v>
      </c>
      <c r="T1227" t="str">
        <f>IF(Pipeline_tbl[[#This Row],[Closed_Date]]=0,"",(_xlfn.XLOOKUP(Pipeline_tbl[[#This Row],[Closed_Date]],Dim_Date!A:A,Dim_Date!H:H)))</f>
        <v>Nov 2024</v>
      </c>
      <c r="U1227">
        <f>IF(Pipeline_tbl[[#This Row],[Closed_Date]]=0,"",Pipeline_tbl[[#This Row],[Closed_Date]]-Pipeline_tbl[[#This Row],[Created_Date]])</f>
        <v>16</v>
      </c>
    </row>
    <row r="1228" spans="1:21" ht="15" customHeight="1" x14ac:dyDescent="0.2">
      <c r="A1228" t="s">
        <v>1534</v>
      </c>
      <c r="B1228" t="s">
        <v>235</v>
      </c>
      <c r="C1228" t="s">
        <v>52</v>
      </c>
      <c r="D1228" s="49">
        <v>45586</v>
      </c>
      <c r="E1228" s="49">
        <v>45587</v>
      </c>
      <c r="F1228" s="49">
        <v>45590</v>
      </c>
      <c r="G1228" s="49">
        <v>45594</v>
      </c>
      <c r="H1228" s="49">
        <v>45598</v>
      </c>
      <c r="I1228" s="49">
        <v>45600</v>
      </c>
      <c r="J1228" t="s">
        <v>47</v>
      </c>
      <c r="K1228" s="33">
        <v>4700</v>
      </c>
      <c r="M1228" t="str">
        <f>_xlfn.XLOOKUP(Pipeline_tbl[[#This Row],[Rep_ID]],Dim_Reps!A:A,Dim_Reps!K:K)</f>
        <v>MXN</v>
      </c>
      <c r="N1228" s="33">
        <f>(_xlfn.XLOOKUP(Pipeline_tbl[[#This Row],[Rate_Code_Generalized]],Lookups!A:A,Lookups!B:B))*Pipeline_tbl[[#This Row],[Pipeline_Amount_USD]]</f>
        <v>92743.69</v>
      </c>
      <c r="O1228" t="str">
        <f>_xlfn.XLOOKUP(Pipeline_tbl[[#This Row],[Rep_ID]],Dim_Reps!A:A,Dim_Reps!B:B)</f>
        <v>Milo Castro</v>
      </c>
      <c r="P1228" t="str">
        <f>_xlfn.XLOOKUP(Pipeline_tbl[[#This Row],[Rep_ID]],Dim_Reps!A:A,Dim_Reps!C:C)</f>
        <v>SDR / Inside Sales Rep</v>
      </c>
      <c r="Q1228" t="str">
        <f>_xlfn.XLOOKUP(Pipeline_tbl[[#This Row],[Rep_ID]],Dim_Reps!A:A,Dim_Reps!D:D)</f>
        <v>Inside Sales</v>
      </c>
      <c r="R1228" t="str">
        <f>_xlfn.XLOOKUP(Pipeline_tbl[[#This Row],[Rep_ID]],Dim_Reps!A:A,Dim_Reps!E:E)</f>
        <v>LATAM</v>
      </c>
      <c r="S1228" t="str">
        <f>_xlfn.XLOOKUP(Pipeline_tbl[[#This Row],[Created_Date]],Dim_Date!A:A,Dim_Date!H:H)</f>
        <v>Oct 2024</v>
      </c>
      <c r="T1228" t="str">
        <f>IF(Pipeline_tbl[[#This Row],[Closed_Date]]=0,"",(_xlfn.XLOOKUP(Pipeline_tbl[[#This Row],[Closed_Date]],Dim_Date!A:A,Dim_Date!H:H)))</f>
        <v>Nov 2024</v>
      </c>
      <c r="U1228">
        <f>IF(Pipeline_tbl[[#This Row],[Closed_Date]]=0,"",Pipeline_tbl[[#This Row],[Closed_Date]]-Pipeline_tbl[[#This Row],[Created_Date]])</f>
        <v>14</v>
      </c>
    </row>
    <row r="1229" spans="1:21" ht="15" customHeight="1" x14ac:dyDescent="0.2">
      <c r="A1229" t="s">
        <v>1535</v>
      </c>
      <c r="B1229" t="s">
        <v>235</v>
      </c>
      <c r="C1229" t="s">
        <v>52</v>
      </c>
      <c r="D1229" s="49">
        <v>45581</v>
      </c>
      <c r="E1229" s="49">
        <v>45583</v>
      </c>
      <c r="F1229" s="49">
        <v>45587</v>
      </c>
      <c r="G1229" s="49">
        <v>45593</v>
      </c>
      <c r="H1229" s="49">
        <v>45598</v>
      </c>
      <c r="I1229" s="49">
        <v>45601</v>
      </c>
      <c r="J1229" t="s">
        <v>47</v>
      </c>
      <c r="K1229" s="33">
        <v>3700</v>
      </c>
      <c r="M1229" t="str">
        <f>_xlfn.XLOOKUP(Pipeline_tbl[[#This Row],[Rep_ID]],Dim_Reps!A:A,Dim_Reps!K:K)</f>
        <v>MXN</v>
      </c>
      <c r="N1229" s="33">
        <f>(_xlfn.XLOOKUP(Pipeline_tbl[[#This Row],[Rate_Code_Generalized]],Lookups!A:A,Lookups!B:B))*Pipeline_tbl[[#This Row],[Pipeline_Amount_USD]]</f>
        <v>73010.990000000005</v>
      </c>
      <c r="O1229" t="str">
        <f>_xlfn.XLOOKUP(Pipeline_tbl[[#This Row],[Rep_ID]],Dim_Reps!A:A,Dim_Reps!B:B)</f>
        <v>Milo Castro</v>
      </c>
      <c r="P1229" t="str">
        <f>_xlfn.XLOOKUP(Pipeline_tbl[[#This Row],[Rep_ID]],Dim_Reps!A:A,Dim_Reps!C:C)</f>
        <v>SDR / Inside Sales Rep</v>
      </c>
      <c r="Q1229" t="str">
        <f>_xlfn.XLOOKUP(Pipeline_tbl[[#This Row],[Rep_ID]],Dim_Reps!A:A,Dim_Reps!D:D)</f>
        <v>Inside Sales</v>
      </c>
      <c r="R1229" t="str">
        <f>_xlfn.XLOOKUP(Pipeline_tbl[[#This Row],[Rep_ID]],Dim_Reps!A:A,Dim_Reps!E:E)</f>
        <v>LATAM</v>
      </c>
      <c r="S1229" t="str">
        <f>_xlfn.XLOOKUP(Pipeline_tbl[[#This Row],[Created_Date]],Dim_Date!A:A,Dim_Date!H:H)</f>
        <v>Oct 2024</v>
      </c>
      <c r="T1229" t="str">
        <f>IF(Pipeline_tbl[[#This Row],[Closed_Date]]=0,"",(_xlfn.XLOOKUP(Pipeline_tbl[[#This Row],[Closed_Date]],Dim_Date!A:A,Dim_Date!H:H)))</f>
        <v>Nov 2024</v>
      </c>
      <c r="U1229">
        <f>IF(Pipeline_tbl[[#This Row],[Closed_Date]]=0,"",Pipeline_tbl[[#This Row],[Closed_Date]]-Pipeline_tbl[[#This Row],[Created_Date]])</f>
        <v>20</v>
      </c>
    </row>
    <row r="1230" spans="1:21" ht="15" customHeight="1" x14ac:dyDescent="0.2">
      <c r="A1230" t="s">
        <v>1536</v>
      </c>
      <c r="B1230" t="s">
        <v>235</v>
      </c>
      <c r="C1230" t="s">
        <v>52</v>
      </c>
      <c r="D1230" s="49">
        <v>45575</v>
      </c>
      <c r="E1230" s="49">
        <v>45578</v>
      </c>
      <c r="F1230" s="49">
        <v>45584</v>
      </c>
      <c r="G1230" s="49">
        <v>45593</v>
      </c>
      <c r="H1230" s="49">
        <v>45601</v>
      </c>
      <c r="I1230" s="49">
        <v>45605</v>
      </c>
      <c r="J1230" t="s">
        <v>47</v>
      </c>
      <c r="K1230" s="33">
        <v>5000</v>
      </c>
      <c r="M1230" t="str">
        <f>_xlfn.XLOOKUP(Pipeline_tbl[[#This Row],[Rep_ID]],Dim_Reps!A:A,Dim_Reps!K:K)</f>
        <v>MXN</v>
      </c>
      <c r="N1230" s="33">
        <f>(_xlfn.XLOOKUP(Pipeline_tbl[[#This Row],[Rate_Code_Generalized]],Lookups!A:A,Lookups!B:B))*Pipeline_tbl[[#This Row],[Pipeline_Amount_USD]]</f>
        <v>98663.5</v>
      </c>
      <c r="O1230" t="str">
        <f>_xlfn.XLOOKUP(Pipeline_tbl[[#This Row],[Rep_ID]],Dim_Reps!A:A,Dim_Reps!B:B)</f>
        <v>Milo Castro</v>
      </c>
      <c r="P1230" t="str">
        <f>_xlfn.XLOOKUP(Pipeline_tbl[[#This Row],[Rep_ID]],Dim_Reps!A:A,Dim_Reps!C:C)</f>
        <v>SDR / Inside Sales Rep</v>
      </c>
      <c r="Q1230" t="str">
        <f>_xlfn.XLOOKUP(Pipeline_tbl[[#This Row],[Rep_ID]],Dim_Reps!A:A,Dim_Reps!D:D)</f>
        <v>Inside Sales</v>
      </c>
      <c r="R1230" t="str">
        <f>_xlfn.XLOOKUP(Pipeline_tbl[[#This Row],[Rep_ID]],Dim_Reps!A:A,Dim_Reps!E:E)</f>
        <v>LATAM</v>
      </c>
      <c r="S1230" t="str">
        <f>_xlfn.XLOOKUP(Pipeline_tbl[[#This Row],[Created_Date]],Dim_Date!A:A,Dim_Date!H:H)</f>
        <v>Oct 2024</v>
      </c>
      <c r="T1230" t="str">
        <f>IF(Pipeline_tbl[[#This Row],[Closed_Date]]=0,"",(_xlfn.XLOOKUP(Pipeline_tbl[[#This Row],[Closed_Date]],Dim_Date!A:A,Dim_Date!H:H)))</f>
        <v>Nov 2024</v>
      </c>
      <c r="U1230">
        <f>IF(Pipeline_tbl[[#This Row],[Closed_Date]]=0,"",Pipeline_tbl[[#This Row],[Closed_Date]]-Pipeline_tbl[[#This Row],[Created_Date]])</f>
        <v>30</v>
      </c>
    </row>
    <row r="1231" spans="1:21" ht="15" customHeight="1" x14ac:dyDescent="0.2">
      <c r="A1231" t="s">
        <v>1537</v>
      </c>
      <c r="B1231" t="s">
        <v>237</v>
      </c>
      <c r="C1231" t="s">
        <v>53</v>
      </c>
      <c r="D1231" s="49">
        <v>45587</v>
      </c>
      <c r="E1231" s="49">
        <v>45589</v>
      </c>
      <c r="F1231" s="49">
        <v>45592</v>
      </c>
      <c r="I1231" s="49">
        <v>45602</v>
      </c>
      <c r="J1231" t="s">
        <v>49</v>
      </c>
      <c r="K1231" s="33">
        <v>2700</v>
      </c>
      <c r="L1231" t="s">
        <v>60</v>
      </c>
      <c r="M1231" t="str">
        <f>_xlfn.XLOOKUP(Pipeline_tbl[[#This Row],[Rep_ID]],Dim_Reps!A:A,Dim_Reps!K:K)</f>
        <v>EUR</v>
      </c>
      <c r="N1231" s="33">
        <f>(_xlfn.XLOOKUP(Pipeline_tbl[[#This Row],[Rate_Code_Generalized]],Lookups!A:A,Lookups!B:B))*Pipeline_tbl[[#This Row],[Pipeline_Amount_USD]]</f>
        <v>2700</v>
      </c>
      <c r="O1231" t="str">
        <f>_xlfn.XLOOKUP(Pipeline_tbl[[#This Row],[Rep_ID]],Dim_Reps!A:A,Dim_Reps!B:B)</f>
        <v>Hugo Santos</v>
      </c>
      <c r="P1231" t="str">
        <f>_xlfn.XLOOKUP(Pipeline_tbl[[#This Row],[Rep_ID]],Dim_Reps!A:A,Dim_Reps!C:C)</f>
        <v>SDR / Inside Sales Rep</v>
      </c>
      <c r="Q1231" t="str">
        <f>_xlfn.XLOOKUP(Pipeline_tbl[[#This Row],[Rep_ID]],Dim_Reps!A:A,Dim_Reps!D:D)</f>
        <v>Inside Sales</v>
      </c>
      <c r="R1231" t="str">
        <f>_xlfn.XLOOKUP(Pipeline_tbl[[#This Row],[Rep_ID]],Dim_Reps!A:A,Dim_Reps!E:E)</f>
        <v>EMEA</v>
      </c>
      <c r="S1231" t="str">
        <f>_xlfn.XLOOKUP(Pipeline_tbl[[#This Row],[Created_Date]],Dim_Date!A:A,Dim_Date!H:H)</f>
        <v>Oct 2024</v>
      </c>
      <c r="T1231" t="str">
        <f>IF(Pipeline_tbl[[#This Row],[Closed_Date]]=0,"",(_xlfn.XLOOKUP(Pipeline_tbl[[#This Row],[Closed_Date]],Dim_Date!A:A,Dim_Date!H:H)))</f>
        <v>Nov 2024</v>
      </c>
      <c r="U1231">
        <f>IF(Pipeline_tbl[[#This Row],[Closed_Date]]=0,"",Pipeline_tbl[[#This Row],[Closed_Date]]-Pipeline_tbl[[#This Row],[Created_Date]])</f>
        <v>15</v>
      </c>
    </row>
    <row r="1232" spans="1:21" ht="15" customHeight="1" x14ac:dyDescent="0.2">
      <c r="A1232" t="s">
        <v>1538</v>
      </c>
      <c r="B1232" t="s">
        <v>237</v>
      </c>
      <c r="C1232" t="s">
        <v>53</v>
      </c>
      <c r="D1232" s="49">
        <v>45581</v>
      </c>
      <c r="E1232" s="49">
        <v>45583</v>
      </c>
      <c r="F1232" s="49">
        <v>45589</v>
      </c>
      <c r="G1232" s="49">
        <v>45596</v>
      </c>
      <c r="H1232" s="49">
        <v>45602</v>
      </c>
      <c r="I1232" s="49">
        <v>45606</v>
      </c>
      <c r="J1232" t="s">
        <v>49</v>
      </c>
      <c r="K1232" s="33">
        <v>2600</v>
      </c>
      <c r="L1232" t="s">
        <v>63</v>
      </c>
      <c r="M1232" t="str">
        <f>_xlfn.XLOOKUP(Pipeline_tbl[[#This Row],[Rep_ID]],Dim_Reps!A:A,Dim_Reps!K:K)</f>
        <v>EUR</v>
      </c>
      <c r="N1232" s="33">
        <f>(_xlfn.XLOOKUP(Pipeline_tbl[[#This Row],[Rate_Code_Generalized]],Lookups!A:A,Lookups!B:B))*Pipeline_tbl[[#This Row],[Pipeline_Amount_USD]]</f>
        <v>2600</v>
      </c>
      <c r="O1232" t="str">
        <f>_xlfn.XLOOKUP(Pipeline_tbl[[#This Row],[Rep_ID]],Dim_Reps!A:A,Dim_Reps!B:B)</f>
        <v>Hugo Santos</v>
      </c>
      <c r="P1232" t="str">
        <f>_xlfn.XLOOKUP(Pipeline_tbl[[#This Row],[Rep_ID]],Dim_Reps!A:A,Dim_Reps!C:C)</f>
        <v>SDR / Inside Sales Rep</v>
      </c>
      <c r="Q1232" t="str">
        <f>_xlfn.XLOOKUP(Pipeline_tbl[[#This Row],[Rep_ID]],Dim_Reps!A:A,Dim_Reps!D:D)</f>
        <v>Inside Sales</v>
      </c>
      <c r="R1232" t="str">
        <f>_xlfn.XLOOKUP(Pipeline_tbl[[#This Row],[Rep_ID]],Dim_Reps!A:A,Dim_Reps!E:E)</f>
        <v>EMEA</v>
      </c>
      <c r="S1232" t="str">
        <f>_xlfn.XLOOKUP(Pipeline_tbl[[#This Row],[Created_Date]],Dim_Date!A:A,Dim_Date!H:H)</f>
        <v>Oct 2024</v>
      </c>
      <c r="T1232" t="str">
        <f>IF(Pipeline_tbl[[#This Row],[Closed_Date]]=0,"",(_xlfn.XLOOKUP(Pipeline_tbl[[#This Row],[Closed_Date]],Dim_Date!A:A,Dim_Date!H:H)))</f>
        <v>Nov 2024</v>
      </c>
      <c r="U1232">
        <f>IF(Pipeline_tbl[[#This Row],[Closed_Date]]=0,"",Pipeline_tbl[[#This Row],[Closed_Date]]-Pipeline_tbl[[#This Row],[Created_Date]])</f>
        <v>25</v>
      </c>
    </row>
    <row r="1233" spans="1:21" ht="15" customHeight="1" x14ac:dyDescent="0.2">
      <c r="A1233" t="s">
        <v>1539</v>
      </c>
      <c r="B1233" t="s">
        <v>237</v>
      </c>
      <c r="C1233" t="s">
        <v>55</v>
      </c>
      <c r="D1233" s="49">
        <v>45596</v>
      </c>
      <c r="E1233" s="49">
        <v>45598</v>
      </c>
      <c r="F1233" s="49">
        <v>45603</v>
      </c>
      <c r="G1233" s="49">
        <v>45610</v>
      </c>
      <c r="I1233" s="49">
        <v>45619</v>
      </c>
      <c r="J1233" t="s">
        <v>49</v>
      </c>
      <c r="K1233" s="33">
        <v>3300</v>
      </c>
      <c r="L1233" t="s">
        <v>60</v>
      </c>
      <c r="M1233" t="str">
        <f>_xlfn.XLOOKUP(Pipeline_tbl[[#This Row],[Rep_ID]],Dim_Reps!A:A,Dim_Reps!K:K)</f>
        <v>EUR</v>
      </c>
      <c r="N1233" s="33">
        <f>(_xlfn.XLOOKUP(Pipeline_tbl[[#This Row],[Rate_Code_Generalized]],Lookups!A:A,Lookups!B:B))*Pipeline_tbl[[#This Row],[Pipeline_Amount_USD]]</f>
        <v>3300</v>
      </c>
      <c r="O1233" t="str">
        <f>_xlfn.XLOOKUP(Pipeline_tbl[[#This Row],[Rep_ID]],Dim_Reps!A:A,Dim_Reps!B:B)</f>
        <v>Hugo Santos</v>
      </c>
      <c r="P1233" t="str">
        <f>_xlfn.XLOOKUP(Pipeline_tbl[[#This Row],[Rep_ID]],Dim_Reps!A:A,Dim_Reps!C:C)</f>
        <v>SDR / Inside Sales Rep</v>
      </c>
      <c r="Q1233" t="str">
        <f>_xlfn.XLOOKUP(Pipeline_tbl[[#This Row],[Rep_ID]],Dim_Reps!A:A,Dim_Reps!D:D)</f>
        <v>Inside Sales</v>
      </c>
      <c r="R1233" t="str">
        <f>_xlfn.XLOOKUP(Pipeline_tbl[[#This Row],[Rep_ID]],Dim_Reps!A:A,Dim_Reps!E:E)</f>
        <v>EMEA</v>
      </c>
      <c r="S1233" t="str">
        <f>_xlfn.XLOOKUP(Pipeline_tbl[[#This Row],[Created_Date]],Dim_Date!A:A,Dim_Date!H:H)</f>
        <v>Oct 2024</v>
      </c>
      <c r="T1233" t="str">
        <f>IF(Pipeline_tbl[[#This Row],[Closed_Date]]=0,"",(_xlfn.XLOOKUP(Pipeline_tbl[[#This Row],[Closed_Date]],Dim_Date!A:A,Dim_Date!H:H)))</f>
        <v>Nov 2024</v>
      </c>
      <c r="U1233">
        <f>IF(Pipeline_tbl[[#This Row],[Closed_Date]]=0,"",Pipeline_tbl[[#This Row],[Closed_Date]]-Pipeline_tbl[[#This Row],[Created_Date]])</f>
        <v>23</v>
      </c>
    </row>
    <row r="1234" spans="1:21" ht="15" customHeight="1" x14ac:dyDescent="0.2">
      <c r="A1234" t="s">
        <v>1540</v>
      </c>
      <c r="B1234" t="s">
        <v>237</v>
      </c>
      <c r="C1234" t="s">
        <v>52</v>
      </c>
      <c r="D1234" s="49">
        <v>45590</v>
      </c>
      <c r="E1234" s="49">
        <v>45591</v>
      </c>
      <c r="F1234" s="49">
        <v>45593</v>
      </c>
      <c r="G1234" s="49">
        <v>45596</v>
      </c>
      <c r="H1234" s="49">
        <v>45598</v>
      </c>
      <c r="I1234" s="49">
        <v>45600</v>
      </c>
      <c r="J1234" t="s">
        <v>49</v>
      </c>
      <c r="K1234" s="33">
        <v>2500</v>
      </c>
      <c r="L1234" t="s">
        <v>60</v>
      </c>
      <c r="M1234" t="str">
        <f>_xlfn.XLOOKUP(Pipeline_tbl[[#This Row],[Rep_ID]],Dim_Reps!A:A,Dim_Reps!K:K)</f>
        <v>EUR</v>
      </c>
      <c r="N1234" s="33">
        <f>(_xlfn.XLOOKUP(Pipeline_tbl[[#This Row],[Rate_Code_Generalized]],Lookups!A:A,Lookups!B:B))*Pipeline_tbl[[#This Row],[Pipeline_Amount_USD]]</f>
        <v>2500</v>
      </c>
      <c r="O1234" t="str">
        <f>_xlfn.XLOOKUP(Pipeline_tbl[[#This Row],[Rep_ID]],Dim_Reps!A:A,Dim_Reps!B:B)</f>
        <v>Hugo Santos</v>
      </c>
      <c r="P1234" t="str">
        <f>_xlfn.XLOOKUP(Pipeline_tbl[[#This Row],[Rep_ID]],Dim_Reps!A:A,Dim_Reps!C:C)</f>
        <v>SDR / Inside Sales Rep</v>
      </c>
      <c r="Q1234" t="str">
        <f>_xlfn.XLOOKUP(Pipeline_tbl[[#This Row],[Rep_ID]],Dim_Reps!A:A,Dim_Reps!D:D)</f>
        <v>Inside Sales</v>
      </c>
      <c r="R1234" t="str">
        <f>_xlfn.XLOOKUP(Pipeline_tbl[[#This Row],[Rep_ID]],Dim_Reps!A:A,Dim_Reps!E:E)</f>
        <v>EMEA</v>
      </c>
      <c r="S1234" t="str">
        <f>_xlfn.XLOOKUP(Pipeline_tbl[[#This Row],[Created_Date]],Dim_Date!A:A,Dim_Date!H:H)</f>
        <v>Oct 2024</v>
      </c>
      <c r="T1234" t="str">
        <f>IF(Pipeline_tbl[[#This Row],[Closed_Date]]=0,"",(_xlfn.XLOOKUP(Pipeline_tbl[[#This Row],[Closed_Date]],Dim_Date!A:A,Dim_Date!H:H)))</f>
        <v>Nov 2024</v>
      </c>
      <c r="U1234">
        <f>IF(Pipeline_tbl[[#This Row],[Closed_Date]]=0,"",Pipeline_tbl[[#This Row],[Closed_Date]]-Pipeline_tbl[[#This Row],[Created_Date]])</f>
        <v>10</v>
      </c>
    </row>
    <row r="1235" spans="1:21" ht="15" customHeight="1" x14ac:dyDescent="0.2">
      <c r="A1235" t="s">
        <v>1541</v>
      </c>
      <c r="B1235" t="s">
        <v>237</v>
      </c>
      <c r="C1235" t="s">
        <v>53</v>
      </c>
      <c r="D1235" s="49">
        <v>45582</v>
      </c>
      <c r="E1235" s="49">
        <v>45584</v>
      </c>
      <c r="F1235" s="49">
        <v>45588</v>
      </c>
      <c r="G1235" s="49">
        <v>45595</v>
      </c>
      <c r="H1235" s="49">
        <v>45600</v>
      </c>
      <c r="I1235" s="49">
        <v>45603</v>
      </c>
      <c r="J1235" t="s">
        <v>47</v>
      </c>
      <c r="K1235" s="33">
        <v>2900</v>
      </c>
      <c r="M1235" t="str">
        <f>_xlfn.XLOOKUP(Pipeline_tbl[[#This Row],[Rep_ID]],Dim_Reps!A:A,Dim_Reps!K:K)</f>
        <v>EUR</v>
      </c>
      <c r="N1235" s="33">
        <f>(_xlfn.XLOOKUP(Pipeline_tbl[[#This Row],[Rate_Code_Generalized]],Lookups!A:A,Lookups!B:B))*Pipeline_tbl[[#This Row],[Pipeline_Amount_USD]]</f>
        <v>2900</v>
      </c>
      <c r="O1235" t="str">
        <f>_xlfn.XLOOKUP(Pipeline_tbl[[#This Row],[Rep_ID]],Dim_Reps!A:A,Dim_Reps!B:B)</f>
        <v>Hugo Santos</v>
      </c>
      <c r="P1235" t="str">
        <f>_xlfn.XLOOKUP(Pipeline_tbl[[#This Row],[Rep_ID]],Dim_Reps!A:A,Dim_Reps!C:C)</f>
        <v>SDR / Inside Sales Rep</v>
      </c>
      <c r="Q1235" t="str">
        <f>_xlfn.XLOOKUP(Pipeline_tbl[[#This Row],[Rep_ID]],Dim_Reps!A:A,Dim_Reps!D:D)</f>
        <v>Inside Sales</v>
      </c>
      <c r="R1235" t="str">
        <f>_xlfn.XLOOKUP(Pipeline_tbl[[#This Row],[Rep_ID]],Dim_Reps!A:A,Dim_Reps!E:E)</f>
        <v>EMEA</v>
      </c>
      <c r="S1235" t="str">
        <f>_xlfn.XLOOKUP(Pipeline_tbl[[#This Row],[Created_Date]],Dim_Date!A:A,Dim_Date!H:H)</f>
        <v>Oct 2024</v>
      </c>
      <c r="T1235" t="str">
        <f>IF(Pipeline_tbl[[#This Row],[Closed_Date]]=0,"",(_xlfn.XLOOKUP(Pipeline_tbl[[#This Row],[Closed_Date]],Dim_Date!A:A,Dim_Date!H:H)))</f>
        <v>Nov 2024</v>
      </c>
      <c r="U1235">
        <f>IF(Pipeline_tbl[[#This Row],[Closed_Date]]=0,"",Pipeline_tbl[[#This Row],[Closed_Date]]-Pipeline_tbl[[#This Row],[Created_Date]])</f>
        <v>21</v>
      </c>
    </row>
    <row r="1236" spans="1:21" ht="15" customHeight="1" x14ac:dyDescent="0.2">
      <c r="A1236" t="s">
        <v>1542</v>
      </c>
      <c r="B1236" t="s">
        <v>237</v>
      </c>
      <c r="C1236" t="s">
        <v>52</v>
      </c>
      <c r="D1236" s="49">
        <v>45589</v>
      </c>
      <c r="E1236" s="49">
        <v>45591</v>
      </c>
      <c r="F1236" s="49">
        <v>45595</v>
      </c>
      <c r="G1236" s="49">
        <v>45601</v>
      </c>
      <c r="H1236" s="49">
        <v>45606</v>
      </c>
      <c r="I1236" s="49">
        <v>45609</v>
      </c>
      <c r="J1236" t="s">
        <v>49</v>
      </c>
      <c r="K1236" s="33">
        <v>2600</v>
      </c>
      <c r="L1236" t="s">
        <v>60</v>
      </c>
      <c r="M1236" t="str">
        <f>_xlfn.XLOOKUP(Pipeline_tbl[[#This Row],[Rep_ID]],Dim_Reps!A:A,Dim_Reps!K:K)</f>
        <v>EUR</v>
      </c>
      <c r="N1236" s="33">
        <f>(_xlfn.XLOOKUP(Pipeline_tbl[[#This Row],[Rate_Code_Generalized]],Lookups!A:A,Lookups!B:B))*Pipeline_tbl[[#This Row],[Pipeline_Amount_USD]]</f>
        <v>2600</v>
      </c>
      <c r="O1236" t="str">
        <f>_xlfn.XLOOKUP(Pipeline_tbl[[#This Row],[Rep_ID]],Dim_Reps!A:A,Dim_Reps!B:B)</f>
        <v>Hugo Santos</v>
      </c>
      <c r="P1236" t="str">
        <f>_xlfn.XLOOKUP(Pipeline_tbl[[#This Row],[Rep_ID]],Dim_Reps!A:A,Dim_Reps!C:C)</f>
        <v>SDR / Inside Sales Rep</v>
      </c>
      <c r="Q1236" t="str">
        <f>_xlfn.XLOOKUP(Pipeline_tbl[[#This Row],[Rep_ID]],Dim_Reps!A:A,Dim_Reps!D:D)</f>
        <v>Inside Sales</v>
      </c>
      <c r="R1236" t="str">
        <f>_xlfn.XLOOKUP(Pipeline_tbl[[#This Row],[Rep_ID]],Dim_Reps!A:A,Dim_Reps!E:E)</f>
        <v>EMEA</v>
      </c>
      <c r="S1236" t="str">
        <f>_xlfn.XLOOKUP(Pipeline_tbl[[#This Row],[Created_Date]],Dim_Date!A:A,Dim_Date!H:H)</f>
        <v>Oct 2024</v>
      </c>
      <c r="T1236" t="str">
        <f>IF(Pipeline_tbl[[#This Row],[Closed_Date]]=0,"",(_xlfn.XLOOKUP(Pipeline_tbl[[#This Row],[Closed_Date]],Dim_Date!A:A,Dim_Date!H:H)))</f>
        <v>Nov 2024</v>
      </c>
      <c r="U1236">
        <f>IF(Pipeline_tbl[[#This Row],[Closed_Date]]=0,"",Pipeline_tbl[[#This Row],[Closed_Date]]-Pipeline_tbl[[#This Row],[Created_Date]])</f>
        <v>20</v>
      </c>
    </row>
    <row r="1237" spans="1:21" ht="15" customHeight="1" x14ac:dyDescent="0.2">
      <c r="A1237" t="s">
        <v>1543</v>
      </c>
      <c r="B1237" t="s">
        <v>237</v>
      </c>
      <c r="C1237" t="s">
        <v>53</v>
      </c>
      <c r="D1237" s="49">
        <v>45589</v>
      </c>
      <c r="E1237" s="49">
        <v>45590</v>
      </c>
      <c r="F1237" s="49">
        <v>45592</v>
      </c>
      <c r="G1237" s="49">
        <v>45596</v>
      </c>
      <c r="H1237" s="49">
        <v>45598</v>
      </c>
      <c r="I1237" s="49">
        <v>45600</v>
      </c>
      <c r="J1237" t="s">
        <v>47</v>
      </c>
      <c r="K1237" s="33">
        <v>2900</v>
      </c>
      <c r="M1237" t="str">
        <f>_xlfn.XLOOKUP(Pipeline_tbl[[#This Row],[Rep_ID]],Dim_Reps!A:A,Dim_Reps!K:K)</f>
        <v>EUR</v>
      </c>
      <c r="N1237" s="33">
        <f>(_xlfn.XLOOKUP(Pipeline_tbl[[#This Row],[Rate_Code_Generalized]],Lookups!A:A,Lookups!B:B))*Pipeline_tbl[[#This Row],[Pipeline_Amount_USD]]</f>
        <v>2900</v>
      </c>
      <c r="O1237" t="str">
        <f>_xlfn.XLOOKUP(Pipeline_tbl[[#This Row],[Rep_ID]],Dim_Reps!A:A,Dim_Reps!B:B)</f>
        <v>Hugo Santos</v>
      </c>
      <c r="P1237" t="str">
        <f>_xlfn.XLOOKUP(Pipeline_tbl[[#This Row],[Rep_ID]],Dim_Reps!A:A,Dim_Reps!C:C)</f>
        <v>SDR / Inside Sales Rep</v>
      </c>
      <c r="Q1237" t="str">
        <f>_xlfn.XLOOKUP(Pipeline_tbl[[#This Row],[Rep_ID]],Dim_Reps!A:A,Dim_Reps!D:D)</f>
        <v>Inside Sales</v>
      </c>
      <c r="R1237" t="str">
        <f>_xlfn.XLOOKUP(Pipeline_tbl[[#This Row],[Rep_ID]],Dim_Reps!A:A,Dim_Reps!E:E)</f>
        <v>EMEA</v>
      </c>
      <c r="S1237" t="str">
        <f>_xlfn.XLOOKUP(Pipeline_tbl[[#This Row],[Created_Date]],Dim_Date!A:A,Dim_Date!H:H)</f>
        <v>Oct 2024</v>
      </c>
      <c r="T1237" t="str">
        <f>IF(Pipeline_tbl[[#This Row],[Closed_Date]]=0,"",(_xlfn.XLOOKUP(Pipeline_tbl[[#This Row],[Closed_Date]],Dim_Date!A:A,Dim_Date!H:H)))</f>
        <v>Nov 2024</v>
      </c>
      <c r="U1237">
        <f>IF(Pipeline_tbl[[#This Row],[Closed_Date]]=0,"",Pipeline_tbl[[#This Row],[Closed_Date]]-Pipeline_tbl[[#This Row],[Created_Date]])</f>
        <v>11</v>
      </c>
    </row>
    <row r="1238" spans="1:21" ht="15" customHeight="1" x14ac:dyDescent="0.2">
      <c r="A1238" t="s">
        <v>1544</v>
      </c>
      <c r="B1238" t="s">
        <v>237</v>
      </c>
      <c r="C1238" t="s">
        <v>56</v>
      </c>
      <c r="D1238" s="49">
        <v>45594</v>
      </c>
      <c r="E1238" s="49">
        <v>45595</v>
      </c>
      <c r="F1238" s="49">
        <v>45598</v>
      </c>
      <c r="G1238" s="49">
        <v>45602</v>
      </c>
      <c r="H1238" s="49">
        <v>45605</v>
      </c>
      <c r="I1238" s="49">
        <v>45607</v>
      </c>
      <c r="J1238" t="s">
        <v>47</v>
      </c>
      <c r="K1238" s="33">
        <v>4300</v>
      </c>
      <c r="M1238" t="str">
        <f>_xlfn.XLOOKUP(Pipeline_tbl[[#This Row],[Rep_ID]],Dim_Reps!A:A,Dim_Reps!K:K)</f>
        <v>EUR</v>
      </c>
      <c r="N1238" s="33">
        <f>(_xlfn.XLOOKUP(Pipeline_tbl[[#This Row],[Rate_Code_Generalized]],Lookups!A:A,Lookups!B:B))*Pipeline_tbl[[#This Row],[Pipeline_Amount_USD]]</f>
        <v>4300</v>
      </c>
      <c r="O1238" t="str">
        <f>_xlfn.XLOOKUP(Pipeline_tbl[[#This Row],[Rep_ID]],Dim_Reps!A:A,Dim_Reps!B:B)</f>
        <v>Hugo Santos</v>
      </c>
      <c r="P1238" t="str">
        <f>_xlfn.XLOOKUP(Pipeline_tbl[[#This Row],[Rep_ID]],Dim_Reps!A:A,Dim_Reps!C:C)</f>
        <v>SDR / Inside Sales Rep</v>
      </c>
      <c r="Q1238" t="str">
        <f>_xlfn.XLOOKUP(Pipeline_tbl[[#This Row],[Rep_ID]],Dim_Reps!A:A,Dim_Reps!D:D)</f>
        <v>Inside Sales</v>
      </c>
      <c r="R1238" t="str">
        <f>_xlfn.XLOOKUP(Pipeline_tbl[[#This Row],[Rep_ID]],Dim_Reps!A:A,Dim_Reps!E:E)</f>
        <v>EMEA</v>
      </c>
      <c r="S1238" t="str">
        <f>_xlfn.XLOOKUP(Pipeline_tbl[[#This Row],[Created_Date]],Dim_Date!A:A,Dim_Date!H:H)</f>
        <v>Oct 2024</v>
      </c>
      <c r="T1238" t="str">
        <f>IF(Pipeline_tbl[[#This Row],[Closed_Date]]=0,"",(_xlfn.XLOOKUP(Pipeline_tbl[[#This Row],[Closed_Date]],Dim_Date!A:A,Dim_Date!H:H)))</f>
        <v>Nov 2024</v>
      </c>
      <c r="U1238">
        <f>IF(Pipeline_tbl[[#This Row],[Closed_Date]]=0,"",Pipeline_tbl[[#This Row],[Closed_Date]]-Pipeline_tbl[[#This Row],[Created_Date]])</f>
        <v>13</v>
      </c>
    </row>
    <row r="1239" spans="1:21" ht="15" customHeight="1" x14ac:dyDescent="0.2">
      <c r="A1239" t="s">
        <v>1545</v>
      </c>
      <c r="B1239" t="s">
        <v>237</v>
      </c>
      <c r="C1239" t="s">
        <v>52</v>
      </c>
      <c r="D1239" s="49">
        <v>45574</v>
      </c>
      <c r="E1239" s="49">
        <v>45576</v>
      </c>
      <c r="F1239" s="49">
        <v>45581</v>
      </c>
      <c r="G1239" s="49">
        <v>45588</v>
      </c>
      <c r="H1239" s="49">
        <v>45594</v>
      </c>
      <c r="I1239" s="49">
        <v>45598</v>
      </c>
      <c r="J1239" t="s">
        <v>47</v>
      </c>
      <c r="K1239" s="33">
        <v>2400</v>
      </c>
      <c r="M1239" t="str">
        <f>_xlfn.XLOOKUP(Pipeline_tbl[[#This Row],[Rep_ID]],Dim_Reps!A:A,Dim_Reps!K:K)</f>
        <v>EUR</v>
      </c>
      <c r="N1239" s="33">
        <f>(_xlfn.XLOOKUP(Pipeline_tbl[[#This Row],[Rate_Code_Generalized]],Lookups!A:A,Lookups!B:B))*Pipeline_tbl[[#This Row],[Pipeline_Amount_USD]]</f>
        <v>2400</v>
      </c>
      <c r="O1239" t="str">
        <f>_xlfn.XLOOKUP(Pipeline_tbl[[#This Row],[Rep_ID]],Dim_Reps!A:A,Dim_Reps!B:B)</f>
        <v>Hugo Santos</v>
      </c>
      <c r="P1239" t="str">
        <f>_xlfn.XLOOKUP(Pipeline_tbl[[#This Row],[Rep_ID]],Dim_Reps!A:A,Dim_Reps!C:C)</f>
        <v>SDR / Inside Sales Rep</v>
      </c>
      <c r="Q1239" t="str">
        <f>_xlfn.XLOOKUP(Pipeline_tbl[[#This Row],[Rep_ID]],Dim_Reps!A:A,Dim_Reps!D:D)</f>
        <v>Inside Sales</v>
      </c>
      <c r="R1239" t="str">
        <f>_xlfn.XLOOKUP(Pipeline_tbl[[#This Row],[Rep_ID]],Dim_Reps!A:A,Dim_Reps!E:E)</f>
        <v>EMEA</v>
      </c>
      <c r="S1239" t="str">
        <f>_xlfn.XLOOKUP(Pipeline_tbl[[#This Row],[Created_Date]],Dim_Date!A:A,Dim_Date!H:H)</f>
        <v>Oct 2024</v>
      </c>
      <c r="T1239" t="str">
        <f>IF(Pipeline_tbl[[#This Row],[Closed_Date]]=0,"",(_xlfn.XLOOKUP(Pipeline_tbl[[#This Row],[Closed_Date]],Dim_Date!A:A,Dim_Date!H:H)))</f>
        <v>Nov 2024</v>
      </c>
      <c r="U1239">
        <f>IF(Pipeline_tbl[[#This Row],[Closed_Date]]=0,"",Pipeline_tbl[[#This Row],[Closed_Date]]-Pipeline_tbl[[#This Row],[Created_Date]])</f>
        <v>24</v>
      </c>
    </row>
    <row r="1240" spans="1:21" ht="15" customHeight="1" x14ac:dyDescent="0.2">
      <c r="A1240" t="s">
        <v>1546</v>
      </c>
      <c r="B1240" t="s">
        <v>237</v>
      </c>
      <c r="C1240" t="s">
        <v>52</v>
      </c>
      <c r="D1240" s="49">
        <v>45586</v>
      </c>
      <c r="E1240" s="49">
        <v>45588</v>
      </c>
      <c r="F1240" s="49">
        <v>45593</v>
      </c>
      <c r="G1240" s="49">
        <v>45599</v>
      </c>
      <c r="I1240" s="49">
        <v>45608</v>
      </c>
      <c r="J1240" t="s">
        <v>49</v>
      </c>
      <c r="K1240" s="33">
        <v>5600</v>
      </c>
      <c r="L1240" t="s">
        <v>62</v>
      </c>
      <c r="M1240" t="str">
        <f>_xlfn.XLOOKUP(Pipeline_tbl[[#This Row],[Rep_ID]],Dim_Reps!A:A,Dim_Reps!K:K)</f>
        <v>EUR</v>
      </c>
      <c r="N1240" s="33">
        <f>(_xlfn.XLOOKUP(Pipeline_tbl[[#This Row],[Rate_Code_Generalized]],Lookups!A:A,Lookups!B:B))*Pipeline_tbl[[#This Row],[Pipeline_Amount_USD]]</f>
        <v>5600</v>
      </c>
      <c r="O1240" t="str">
        <f>_xlfn.XLOOKUP(Pipeline_tbl[[#This Row],[Rep_ID]],Dim_Reps!A:A,Dim_Reps!B:B)</f>
        <v>Hugo Santos</v>
      </c>
      <c r="P1240" t="str">
        <f>_xlfn.XLOOKUP(Pipeline_tbl[[#This Row],[Rep_ID]],Dim_Reps!A:A,Dim_Reps!C:C)</f>
        <v>SDR / Inside Sales Rep</v>
      </c>
      <c r="Q1240" t="str">
        <f>_xlfn.XLOOKUP(Pipeline_tbl[[#This Row],[Rep_ID]],Dim_Reps!A:A,Dim_Reps!D:D)</f>
        <v>Inside Sales</v>
      </c>
      <c r="R1240" t="str">
        <f>_xlfn.XLOOKUP(Pipeline_tbl[[#This Row],[Rep_ID]],Dim_Reps!A:A,Dim_Reps!E:E)</f>
        <v>EMEA</v>
      </c>
      <c r="S1240" t="str">
        <f>_xlfn.XLOOKUP(Pipeline_tbl[[#This Row],[Created_Date]],Dim_Date!A:A,Dim_Date!H:H)</f>
        <v>Oct 2024</v>
      </c>
      <c r="T1240" t="str">
        <f>IF(Pipeline_tbl[[#This Row],[Closed_Date]]=0,"",(_xlfn.XLOOKUP(Pipeline_tbl[[#This Row],[Closed_Date]],Dim_Date!A:A,Dim_Date!H:H)))</f>
        <v>Nov 2024</v>
      </c>
      <c r="U1240">
        <f>IF(Pipeline_tbl[[#This Row],[Closed_Date]]=0,"",Pipeline_tbl[[#This Row],[Closed_Date]]-Pipeline_tbl[[#This Row],[Created_Date]])</f>
        <v>22</v>
      </c>
    </row>
    <row r="1241" spans="1:21" ht="15" customHeight="1" x14ac:dyDescent="0.2">
      <c r="A1241" t="s">
        <v>1547</v>
      </c>
      <c r="B1241" t="s">
        <v>269</v>
      </c>
      <c r="C1241" t="s">
        <v>53</v>
      </c>
      <c r="D1241" s="49">
        <v>45575</v>
      </c>
      <c r="E1241" s="49">
        <v>45577</v>
      </c>
      <c r="F1241" s="49">
        <v>45583</v>
      </c>
      <c r="G1241" s="49">
        <v>45590</v>
      </c>
      <c r="I1241" s="49">
        <v>45600</v>
      </c>
      <c r="J1241" t="s">
        <v>49</v>
      </c>
      <c r="K1241" s="33">
        <v>7300</v>
      </c>
      <c r="L1241" t="s">
        <v>63</v>
      </c>
      <c r="M1241" t="str">
        <f>_xlfn.XLOOKUP(Pipeline_tbl[[#This Row],[Rep_ID]],Dim_Reps!A:A,Dim_Reps!K:K)</f>
        <v>USD</v>
      </c>
      <c r="N1241" s="33">
        <f>(_xlfn.XLOOKUP(Pipeline_tbl[[#This Row],[Rate_Code_Generalized]],Lookups!A:A,Lookups!B:B))*Pipeline_tbl[[#This Row],[Pipeline_Amount_USD]]</f>
        <v>8499.39</v>
      </c>
      <c r="O1241" t="str">
        <f>_xlfn.XLOOKUP(Pipeline_tbl[[#This Row],[Rep_ID]],Dim_Reps!A:A,Dim_Reps!B:B)</f>
        <v>Morgan Rivera</v>
      </c>
      <c r="P1241" t="str">
        <f>_xlfn.XLOOKUP(Pipeline_tbl[[#This Row],[Rep_ID]],Dim_Reps!A:A,Dim_Reps!C:C)</f>
        <v>Mid-Market AE</v>
      </c>
      <c r="Q1241" t="str">
        <f>_xlfn.XLOOKUP(Pipeline_tbl[[#This Row],[Rep_ID]],Dim_Reps!A:A,Dim_Reps!D:D)</f>
        <v>Mid-Market</v>
      </c>
      <c r="R1241" t="str">
        <f>_xlfn.XLOOKUP(Pipeline_tbl[[#This Row],[Rep_ID]],Dim_Reps!A:A,Dim_Reps!E:E)</f>
        <v>NAMER</v>
      </c>
      <c r="S1241" t="str">
        <f>_xlfn.XLOOKUP(Pipeline_tbl[[#This Row],[Created_Date]],Dim_Date!A:A,Dim_Date!H:H)</f>
        <v>Oct 2024</v>
      </c>
      <c r="T1241" t="str">
        <f>IF(Pipeline_tbl[[#This Row],[Closed_Date]]=0,"",(_xlfn.XLOOKUP(Pipeline_tbl[[#This Row],[Closed_Date]],Dim_Date!A:A,Dim_Date!H:H)))</f>
        <v>Nov 2024</v>
      </c>
      <c r="U1241">
        <f>IF(Pipeline_tbl[[#This Row],[Closed_Date]]=0,"",Pipeline_tbl[[#This Row],[Closed_Date]]-Pipeline_tbl[[#This Row],[Created_Date]])</f>
        <v>25</v>
      </c>
    </row>
    <row r="1242" spans="1:21" ht="15" customHeight="1" x14ac:dyDescent="0.2">
      <c r="A1242" t="s">
        <v>1548</v>
      </c>
      <c r="B1242" t="s">
        <v>269</v>
      </c>
      <c r="C1242" t="s">
        <v>53</v>
      </c>
      <c r="D1242" s="49">
        <v>45582</v>
      </c>
      <c r="E1242" s="49">
        <v>45586</v>
      </c>
      <c r="F1242" s="49">
        <v>45593</v>
      </c>
      <c r="G1242" s="49">
        <v>45604</v>
      </c>
      <c r="H1242" s="49">
        <v>45613</v>
      </c>
      <c r="I1242" s="49">
        <v>45619</v>
      </c>
      <c r="J1242" t="s">
        <v>47</v>
      </c>
      <c r="K1242" s="33">
        <v>4900</v>
      </c>
      <c r="M1242" t="str">
        <f>_xlfn.XLOOKUP(Pipeline_tbl[[#This Row],[Rep_ID]],Dim_Reps!A:A,Dim_Reps!K:K)</f>
        <v>USD</v>
      </c>
      <c r="N1242" s="33">
        <f>(_xlfn.XLOOKUP(Pipeline_tbl[[#This Row],[Rate_Code_Generalized]],Lookups!A:A,Lookups!B:B))*Pipeline_tbl[[#This Row],[Pipeline_Amount_USD]]</f>
        <v>5705.07</v>
      </c>
      <c r="O1242" t="str">
        <f>_xlfn.XLOOKUP(Pipeline_tbl[[#This Row],[Rep_ID]],Dim_Reps!A:A,Dim_Reps!B:B)</f>
        <v>Morgan Rivera</v>
      </c>
      <c r="P1242" t="str">
        <f>_xlfn.XLOOKUP(Pipeline_tbl[[#This Row],[Rep_ID]],Dim_Reps!A:A,Dim_Reps!C:C)</f>
        <v>Mid-Market AE</v>
      </c>
      <c r="Q1242" t="str">
        <f>_xlfn.XLOOKUP(Pipeline_tbl[[#This Row],[Rep_ID]],Dim_Reps!A:A,Dim_Reps!D:D)</f>
        <v>Mid-Market</v>
      </c>
      <c r="R1242" t="str">
        <f>_xlfn.XLOOKUP(Pipeline_tbl[[#This Row],[Rep_ID]],Dim_Reps!A:A,Dim_Reps!E:E)</f>
        <v>NAMER</v>
      </c>
      <c r="S1242" t="str">
        <f>_xlfn.XLOOKUP(Pipeline_tbl[[#This Row],[Created_Date]],Dim_Date!A:A,Dim_Date!H:H)</f>
        <v>Oct 2024</v>
      </c>
      <c r="T1242" t="str">
        <f>IF(Pipeline_tbl[[#This Row],[Closed_Date]]=0,"",(_xlfn.XLOOKUP(Pipeline_tbl[[#This Row],[Closed_Date]],Dim_Date!A:A,Dim_Date!H:H)))</f>
        <v>Nov 2024</v>
      </c>
      <c r="U1242">
        <f>IF(Pipeline_tbl[[#This Row],[Closed_Date]]=0,"",Pipeline_tbl[[#This Row],[Closed_Date]]-Pipeline_tbl[[#This Row],[Created_Date]])</f>
        <v>37</v>
      </c>
    </row>
    <row r="1243" spans="1:21" ht="15" customHeight="1" x14ac:dyDescent="0.2">
      <c r="A1243" t="s">
        <v>1549</v>
      </c>
      <c r="B1243" t="s">
        <v>269</v>
      </c>
      <c r="C1243" t="s">
        <v>52</v>
      </c>
      <c r="D1243" s="49">
        <v>45572</v>
      </c>
      <c r="E1243" s="49">
        <v>45576</v>
      </c>
      <c r="F1243" s="49">
        <v>45585</v>
      </c>
      <c r="I1243" s="49">
        <v>45615</v>
      </c>
      <c r="J1243" t="s">
        <v>49</v>
      </c>
      <c r="K1243" s="33">
        <v>9000</v>
      </c>
      <c r="L1243" t="s">
        <v>61</v>
      </c>
      <c r="M1243" t="str">
        <f>_xlfn.XLOOKUP(Pipeline_tbl[[#This Row],[Rep_ID]],Dim_Reps!A:A,Dim_Reps!K:K)</f>
        <v>USD</v>
      </c>
      <c r="N1243" s="33">
        <f>(_xlfn.XLOOKUP(Pipeline_tbl[[#This Row],[Rate_Code_Generalized]],Lookups!A:A,Lookups!B:B))*Pipeline_tbl[[#This Row],[Pipeline_Amount_USD]]</f>
        <v>10478.699999999999</v>
      </c>
      <c r="O1243" t="str">
        <f>_xlfn.XLOOKUP(Pipeline_tbl[[#This Row],[Rep_ID]],Dim_Reps!A:A,Dim_Reps!B:B)</f>
        <v>Morgan Rivera</v>
      </c>
      <c r="P1243" t="str">
        <f>_xlfn.XLOOKUP(Pipeline_tbl[[#This Row],[Rep_ID]],Dim_Reps!A:A,Dim_Reps!C:C)</f>
        <v>Mid-Market AE</v>
      </c>
      <c r="Q1243" t="str">
        <f>_xlfn.XLOOKUP(Pipeline_tbl[[#This Row],[Rep_ID]],Dim_Reps!A:A,Dim_Reps!D:D)</f>
        <v>Mid-Market</v>
      </c>
      <c r="R1243" t="str">
        <f>_xlfn.XLOOKUP(Pipeline_tbl[[#This Row],[Rep_ID]],Dim_Reps!A:A,Dim_Reps!E:E)</f>
        <v>NAMER</v>
      </c>
      <c r="S1243" t="str">
        <f>_xlfn.XLOOKUP(Pipeline_tbl[[#This Row],[Created_Date]],Dim_Date!A:A,Dim_Date!H:H)</f>
        <v>Oct 2024</v>
      </c>
      <c r="T1243" t="str">
        <f>IF(Pipeline_tbl[[#This Row],[Closed_Date]]=0,"",(_xlfn.XLOOKUP(Pipeline_tbl[[#This Row],[Closed_Date]],Dim_Date!A:A,Dim_Date!H:H)))</f>
        <v>Nov 2024</v>
      </c>
      <c r="U1243">
        <f>IF(Pipeline_tbl[[#This Row],[Closed_Date]]=0,"",Pipeline_tbl[[#This Row],[Closed_Date]]-Pipeline_tbl[[#This Row],[Created_Date]])</f>
        <v>43</v>
      </c>
    </row>
    <row r="1244" spans="1:21" ht="15" customHeight="1" x14ac:dyDescent="0.2">
      <c r="A1244" t="s">
        <v>1550</v>
      </c>
      <c r="B1244" t="s">
        <v>269</v>
      </c>
      <c r="C1244" t="s">
        <v>52</v>
      </c>
      <c r="D1244" s="49">
        <v>45586</v>
      </c>
      <c r="E1244" s="49">
        <v>45589</v>
      </c>
      <c r="F1244" s="49">
        <v>45596</v>
      </c>
      <c r="G1244" s="49">
        <v>45606</v>
      </c>
      <c r="H1244" s="49">
        <v>45614</v>
      </c>
      <c r="I1244" s="49">
        <v>45619</v>
      </c>
      <c r="J1244" t="s">
        <v>47</v>
      </c>
      <c r="K1244" s="33">
        <v>11200</v>
      </c>
      <c r="M1244" t="str">
        <f>_xlfn.XLOOKUP(Pipeline_tbl[[#This Row],[Rep_ID]],Dim_Reps!A:A,Dim_Reps!K:K)</f>
        <v>USD</v>
      </c>
      <c r="N1244" s="33">
        <f>(_xlfn.XLOOKUP(Pipeline_tbl[[#This Row],[Rate_Code_Generalized]],Lookups!A:A,Lookups!B:B))*Pipeline_tbl[[#This Row],[Pipeline_Amount_USD]]</f>
        <v>13040.159999999998</v>
      </c>
      <c r="O1244" t="str">
        <f>_xlfn.XLOOKUP(Pipeline_tbl[[#This Row],[Rep_ID]],Dim_Reps!A:A,Dim_Reps!B:B)</f>
        <v>Morgan Rivera</v>
      </c>
      <c r="P1244" t="str">
        <f>_xlfn.XLOOKUP(Pipeline_tbl[[#This Row],[Rep_ID]],Dim_Reps!A:A,Dim_Reps!C:C)</f>
        <v>Mid-Market AE</v>
      </c>
      <c r="Q1244" t="str">
        <f>_xlfn.XLOOKUP(Pipeline_tbl[[#This Row],[Rep_ID]],Dim_Reps!A:A,Dim_Reps!D:D)</f>
        <v>Mid-Market</v>
      </c>
      <c r="R1244" t="str">
        <f>_xlfn.XLOOKUP(Pipeline_tbl[[#This Row],[Rep_ID]],Dim_Reps!A:A,Dim_Reps!E:E)</f>
        <v>NAMER</v>
      </c>
      <c r="S1244" t="str">
        <f>_xlfn.XLOOKUP(Pipeline_tbl[[#This Row],[Created_Date]],Dim_Date!A:A,Dim_Date!H:H)</f>
        <v>Oct 2024</v>
      </c>
      <c r="T1244" t="str">
        <f>IF(Pipeline_tbl[[#This Row],[Closed_Date]]=0,"",(_xlfn.XLOOKUP(Pipeline_tbl[[#This Row],[Closed_Date]],Dim_Date!A:A,Dim_Date!H:H)))</f>
        <v>Nov 2024</v>
      </c>
      <c r="U1244">
        <f>IF(Pipeline_tbl[[#This Row],[Closed_Date]]=0,"",Pipeline_tbl[[#This Row],[Closed_Date]]-Pipeline_tbl[[#This Row],[Created_Date]])</f>
        <v>33</v>
      </c>
    </row>
    <row r="1245" spans="1:21" ht="15" customHeight="1" x14ac:dyDescent="0.2">
      <c r="A1245" t="s">
        <v>1551</v>
      </c>
      <c r="B1245" t="s">
        <v>271</v>
      </c>
      <c r="C1245" t="s">
        <v>54</v>
      </c>
      <c r="D1245" s="49">
        <v>45572</v>
      </c>
      <c r="E1245" s="49">
        <v>45575</v>
      </c>
      <c r="F1245" s="49">
        <v>45580</v>
      </c>
      <c r="G1245" s="49">
        <v>45588</v>
      </c>
      <c r="H1245" s="49">
        <v>45595</v>
      </c>
      <c r="I1245" s="49">
        <v>45599</v>
      </c>
      <c r="J1245" t="s">
        <v>49</v>
      </c>
      <c r="K1245" s="33">
        <v>11800</v>
      </c>
      <c r="L1245" t="s">
        <v>61</v>
      </c>
      <c r="M1245" t="str">
        <f>_xlfn.XLOOKUP(Pipeline_tbl[[#This Row],[Rep_ID]],Dim_Reps!A:A,Dim_Reps!K:K)</f>
        <v>EUR</v>
      </c>
      <c r="N1245" s="33">
        <f>(_xlfn.XLOOKUP(Pipeline_tbl[[#This Row],[Rate_Code_Generalized]],Lookups!A:A,Lookups!B:B))*Pipeline_tbl[[#This Row],[Pipeline_Amount_USD]]</f>
        <v>11800</v>
      </c>
      <c r="O1245" t="str">
        <f>_xlfn.XLOOKUP(Pipeline_tbl[[#This Row],[Rep_ID]],Dim_Reps!A:A,Dim_Reps!B:B)</f>
        <v>Ivy Adler</v>
      </c>
      <c r="P1245" t="str">
        <f>_xlfn.XLOOKUP(Pipeline_tbl[[#This Row],[Rep_ID]],Dim_Reps!A:A,Dim_Reps!C:C)</f>
        <v>Mid-Market AE</v>
      </c>
      <c r="Q1245" t="str">
        <f>_xlfn.XLOOKUP(Pipeline_tbl[[#This Row],[Rep_ID]],Dim_Reps!A:A,Dim_Reps!D:D)</f>
        <v>Mid-Market</v>
      </c>
      <c r="R1245" t="str">
        <f>_xlfn.XLOOKUP(Pipeline_tbl[[#This Row],[Rep_ID]],Dim_Reps!A:A,Dim_Reps!E:E)</f>
        <v>APAC</v>
      </c>
      <c r="S1245" t="str">
        <f>_xlfn.XLOOKUP(Pipeline_tbl[[#This Row],[Created_Date]],Dim_Date!A:A,Dim_Date!H:H)</f>
        <v>Oct 2024</v>
      </c>
      <c r="T1245" t="str">
        <f>IF(Pipeline_tbl[[#This Row],[Closed_Date]]=0,"",(_xlfn.XLOOKUP(Pipeline_tbl[[#This Row],[Closed_Date]],Dim_Date!A:A,Dim_Date!H:H)))</f>
        <v>Nov 2024</v>
      </c>
      <c r="U1245">
        <f>IF(Pipeline_tbl[[#This Row],[Closed_Date]]=0,"",Pipeline_tbl[[#This Row],[Closed_Date]]-Pipeline_tbl[[#This Row],[Created_Date]])</f>
        <v>27</v>
      </c>
    </row>
    <row r="1246" spans="1:21" ht="15" customHeight="1" x14ac:dyDescent="0.2">
      <c r="A1246" t="s">
        <v>1552</v>
      </c>
      <c r="B1246" t="s">
        <v>271</v>
      </c>
      <c r="C1246" t="s">
        <v>52</v>
      </c>
      <c r="D1246" s="49">
        <v>45585</v>
      </c>
      <c r="E1246" s="49">
        <v>45588</v>
      </c>
      <c r="I1246" s="49">
        <v>45612</v>
      </c>
      <c r="J1246" t="s">
        <v>49</v>
      </c>
      <c r="K1246" s="33">
        <v>7800</v>
      </c>
      <c r="L1246" t="s">
        <v>61</v>
      </c>
      <c r="M1246" t="str">
        <f>_xlfn.XLOOKUP(Pipeline_tbl[[#This Row],[Rep_ID]],Dim_Reps!A:A,Dim_Reps!K:K)</f>
        <v>EUR</v>
      </c>
      <c r="N1246" s="33">
        <f>(_xlfn.XLOOKUP(Pipeline_tbl[[#This Row],[Rate_Code_Generalized]],Lookups!A:A,Lookups!B:B))*Pipeline_tbl[[#This Row],[Pipeline_Amount_USD]]</f>
        <v>7800</v>
      </c>
      <c r="O1246" t="str">
        <f>_xlfn.XLOOKUP(Pipeline_tbl[[#This Row],[Rep_ID]],Dim_Reps!A:A,Dim_Reps!B:B)</f>
        <v>Ivy Adler</v>
      </c>
      <c r="P1246" t="str">
        <f>_xlfn.XLOOKUP(Pipeline_tbl[[#This Row],[Rep_ID]],Dim_Reps!A:A,Dim_Reps!C:C)</f>
        <v>Mid-Market AE</v>
      </c>
      <c r="Q1246" t="str">
        <f>_xlfn.XLOOKUP(Pipeline_tbl[[#This Row],[Rep_ID]],Dim_Reps!A:A,Dim_Reps!D:D)</f>
        <v>Mid-Market</v>
      </c>
      <c r="R1246" t="str">
        <f>_xlfn.XLOOKUP(Pipeline_tbl[[#This Row],[Rep_ID]],Dim_Reps!A:A,Dim_Reps!E:E)</f>
        <v>APAC</v>
      </c>
      <c r="S1246" t="str">
        <f>_xlfn.XLOOKUP(Pipeline_tbl[[#This Row],[Created_Date]],Dim_Date!A:A,Dim_Date!H:H)</f>
        <v>Oct 2024</v>
      </c>
      <c r="T1246" t="str">
        <f>IF(Pipeline_tbl[[#This Row],[Closed_Date]]=0,"",(_xlfn.XLOOKUP(Pipeline_tbl[[#This Row],[Closed_Date]],Dim_Date!A:A,Dim_Date!H:H)))</f>
        <v>Nov 2024</v>
      </c>
      <c r="U1246">
        <f>IF(Pipeline_tbl[[#This Row],[Closed_Date]]=0,"",Pipeline_tbl[[#This Row],[Closed_Date]]-Pipeline_tbl[[#This Row],[Created_Date]])</f>
        <v>27</v>
      </c>
    </row>
    <row r="1247" spans="1:21" ht="15" customHeight="1" x14ac:dyDescent="0.2">
      <c r="A1247" t="s">
        <v>1553</v>
      </c>
      <c r="B1247" t="s">
        <v>271</v>
      </c>
      <c r="C1247" t="s">
        <v>52</v>
      </c>
      <c r="D1247" s="49">
        <v>45588</v>
      </c>
      <c r="E1247" s="49">
        <v>45592</v>
      </c>
      <c r="F1247" s="49">
        <v>45599</v>
      </c>
      <c r="G1247" s="49">
        <v>45609</v>
      </c>
      <c r="I1247" s="49">
        <v>45623</v>
      </c>
      <c r="J1247" t="s">
        <v>49</v>
      </c>
      <c r="K1247" s="33">
        <v>12900</v>
      </c>
      <c r="L1247" t="s">
        <v>60</v>
      </c>
      <c r="M1247" t="str">
        <f>_xlfn.XLOOKUP(Pipeline_tbl[[#This Row],[Rep_ID]],Dim_Reps!A:A,Dim_Reps!K:K)</f>
        <v>EUR</v>
      </c>
      <c r="N1247" s="33">
        <f>(_xlfn.XLOOKUP(Pipeline_tbl[[#This Row],[Rate_Code_Generalized]],Lookups!A:A,Lookups!B:B))*Pipeline_tbl[[#This Row],[Pipeline_Amount_USD]]</f>
        <v>12900</v>
      </c>
      <c r="O1247" t="str">
        <f>_xlfn.XLOOKUP(Pipeline_tbl[[#This Row],[Rep_ID]],Dim_Reps!A:A,Dim_Reps!B:B)</f>
        <v>Ivy Adler</v>
      </c>
      <c r="P1247" t="str">
        <f>_xlfn.XLOOKUP(Pipeline_tbl[[#This Row],[Rep_ID]],Dim_Reps!A:A,Dim_Reps!C:C)</f>
        <v>Mid-Market AE</v>
      </c>
      <c r="Q1247" t="str">
        <f>_xlfn.XLOOKUP(Pipeline_tbl[[#This Row],[Rep_ID]],Dim_Reps!A:A,Dim_Reps!D:D)</f>
        <v>Mid-Market</v>
      </c>
      <c r="R1247" t="str">
        <f>_xlfn.XLOOKUP(Pipeline_tbl[[#This Row],[Rep_ID]],Dim_Reps!A:A,Dim_Reps!E:E)</f>
        <v>APAC</v>
      </c>
      <c r="S1247" t="str">
        <f>_xlfn.XLOOKUP(Pipeline_tbl[[#This Row],[Created_Date]],Dim_Date!A:A,Dim_Date!H:H)</f>
        <v>Oct 2024</v>
      </c>
      <c r="T1247" t="str">
        <f>IF(Pipeline_tbl[[#This Row],[Closed_Date]]=0,"",(_xlfn.XLOOKUP(Pipeline_tbl[[#This Row],[Closed_Date]],Dim_Date!A:A,Dim_Date!H:H)))</f>
        <v>Nov 2024</v>
      </c>
      <c r="U1247">
        <f>IF(Pipeline_tbl[[#This Row],[Closed_Date]]=0,"",Pipeline_tbl[[#This Row],[Closed_Date]]-Pipeline_tbl[[#This Row],[Created_Date]])</f>
        <v>35</v>
      </c>
    </row>
    <row r="1248" spans="1:21" ht="15" customHeight="1" x14ac:dyDescent="0.2">
      <c r="A1248" t="s">
        <v>1554</v>
      </c>
      <c r="B1248" t="s">
        <v>271</v>
      </c>
      <c r="C1248" t="s">
        <v>55</v>
      </c>
      <c r="D1248" s="49">
        <v>45577</v>
      </c>
      <c r="E1248" s="49">
        <v>45581</v>
      </c>
      <c r="F1248" s="49">
        <v>45590</v>
      </c>
      <c r="I1248" s="49">
        <v>45619</v>
      </c>
      <c r="J1248" t="s">
        <v>49</v>
      </c>
      <c r="K1248" s="33">
        <v>7700</v>
      </c>
      <c r="L1248" t="s">
        <v>61</v>
      </c>
      <c r="M1248" t="str">
        <f>_xlfn.XLOOKUP(Pipeline_tbl[[#This Row],[Rep_ID]],Dim_Reps!A:A,Dim_Reps!K:K)</f>
        <v>EUR</v>
      </c>
      <c r="N1248" s="33">
        <f>(_xlfn.XLOOKUP(Pipeline_tbl[[#This Row],[Rate_Code_Generalized]],Lookups!A:A,Lookups!B:B))*Pipeline_tbl[[#This Row],[Pipeline_Amount_USD]]</f>
        <v>7700</v>
      </c>
      <c r="O1248" t="str">
        <f>_xlfn.XLOOKUP(Pipeline_tbl[[#This Row],[Rep_ID]],Dim_Reps!A:A,Dim_Reps!B:B)</f>
        <v>Ivy Adler</v>
      </c>
      <c r="P1248" t="str">
        <f>_xlfn.XLOOKUP(Pipeline_tbl[[#This Row],[Rep_ID]],Dim_Reps!A:A,Dim_Reps!C:C)</f>
        <v>Mid-Market AE</v>
      </c>
      <c r="Q1248" t="str">
        <f>_xlfn.XLOOKUP(Pipeline_tbl[[#This Row],[Rep_ID]],Dim_Reps!A:A,Dim_Reps!D:D)</f>
        <v>Mid-Market</v>
      </c>
      <c r="R1248" t="str">
        <f>_xlfn.XLOOKUP(Pipeline_tbl[[#This Row],[Rep_ID]],Dim_Reps!A:A,Dim_Reps!E:E)</f>
        <v>APAC</v>
      </c>
      <c r="S1248" t="str">
        <f>_xlfn.XLOOKUP(Pipeline_tbl[[#This Row],[Created_Date]],Dim_Date!A:A,Dim_Date!H:H)</f>
        <v>Oct 2024</v>
      </c>
      <c r="T1248" t="str">
        <f>IF(Pipeline_tbl[[#This Row],[Closed_Date]]=0,"",(_xlfn.XLOOKUP(Pipeline_tbl[[#This Row],[Closed_Date]],Dim_Date!A:A,Dim_Date!H:H)))</f>
        <v>Nov 2024</v>
      </c>
      <c r="U1248">
        <f>IF(Pipeline_tbl[[#This Row],[Closed_Date]]=0,"",Pipeline_tbl[[#This Row],[Closed_Date]]-Pipeline_tbl[[#This Row],[Created_Date]])</f>
        <v>42</v>
      </c>
    </row>
    <row r="1249" spans="1:21" ht="15" customHeight="1" x14ac:dyDescent="0.2">
      <c r="A1249" t="s">
        <v>1555</v>
      </c>
      <c r="B1249" t="s">
        <v>273</v>
      </c>
      <c r="C1249" t="s">
        <v>52</v>
      </c>
      <c r="D1249" s="49">
        <v>45583</v>
      </c>
      <c r="E1249" s="49">
        <v>45586</v>
      </c>
      <c r="F1249" s="49">
        <v>45591</v>
      </c>
      <c r="G1249" s="49">
        <v>45600</v>
      </c>
      <c r="H1249" s="49">
        <v>45607</v>
      </c>
      <c r="I1249" s="49">
        <v>45611</v>
      </c>
      <c r="J1249" t="s">
        <v>47</v>
      </c>
      <c r="K1249" s="33">
        <v>11000</v>
      </c>
      <c r="M1249" t="str">
        <f>_xlfn.XLOOKUP(Pipeline_tbl[[#This Row],[Rep_ID]],Dim_Reps!A:A,Dim_Reps!K:K)</f>
        <v>EUR</v>
      </c>
      <c r="N1249" s="33">
        <f>(_xlfn.XLOOKUP(Pipeline_tbl[[#This Row],[Rate_Code_Generalized]],Lookups!A:A,Lookups!B:B))*Pipeline_tbl[[#This Row],[Pipeline_Amount_USD]]</f>
        <v>11000</v>
      </c>
      <c r="O1249" t="str">
        <f>_xlfn.XLOOKUP(Pipeline_tbl[[#This Row],[Rep_ID]],Dim_Reps!A:A,Dim_Reps!B:B)</f>
        <v>Olivia Cohen</v>
      </c>
      <c r="P1249" t="str">
        <f>_xlfn.XLOOKUP(Pipeline_tbl[[#This Row],[Rep_ID]],Dim_Reps!A:A,Dim_Reps!C:C)</f>
        <v>Mid-Market AE</v>
      </c>
      <c r="Q1249" t="str">
        <f>_xlfn.XLOOKUP(Pipeline_tbl[[#This Row],[Rep_ID]],Dim_Reps!A:A,Dim_Reps!D:D)</f>
        <v>Mid-Market</v>
      </c>
      <c r="R1249" t="str">
        <f>_xlfn.XLOOKUP(Pipeline_tbl[[#This Row],[Rep_ID]],Dim_Reps!A:A,Dim_Reps!E:E)</f>
        <v>APAC</v>
      </c>
      <c r="S1249" t="str">
        <f>_xlfn.XLOOKUP(Pipeline_tbl[[#This Row],[Created_Date]],Dim_Date!A:A,Dim_Date!H:H)</f>
        <v>Oct 2024</v>
      </c>
      <c r="T1249" t="str">
        <f>IF(Pipeline_tbl[[#This Row],[Closed_Date]]=0,"",(_xlfn.XLOOKUP(Pipeline_tbl[[#This Row],[Closed_Date]],Dim_Date!A:A,Dim_Date!H:H)))</f>
        <v>Nov 2024</v>
      </c>
      <c r="U1249">
        <f>IF(Pipeline_tbl[[#This Row],[Closed_Date]]=0,"",Pipeline_tbl[[#This Row],[Closed_Date]]-Pipeline_tbl[[#This Row],[Created_Date]])</f>
        <v>28</v>
      </c>
    </row>
    <row r="1250" spans="1:21" ht="15" customHeight="1" x14ac:dyDescent="0.2">
      <c r="A1250" t="s">
        <v>1556</v>
      </c>
      <c r="B1250" t="s">
        <v>241</v>
      </c>
      <c r="C1250" t="s">
        <v>52</v>
      </c>
      <c r="D1250" s="49">
        <v>45583</v>
      </c>
      <c r="E1250" s="49">
        <v>45585</v>
      </c>
      <c r="F1250" s="49">
        <v>45588</v>
      </c>
      <c r="G1250" s="49">
        <v>45592</v>
      </c>
      <c r="H1250" s="49">
        <v>45596</v>
      </c>
      <c r="I1250" s="49">
        <v>45598</v>
      </c>
      <c r="J1250" t="s">
        <v>49</v>
      </c>
      <c r="K1250" s="33">
        <v>1100</v>
      </c>
      <c r="L1250" t="s">
        <v>63</v>
      </c>
      <c r="M1250" t="str">
        <f>_xlfn.XLOOKUP(Pipeline_tbl[[#This Row],[Rep_ID]],Dim_Reps!A:A,Dim_Reps!K:K)</f>
        <v>EUR</v>
      </c>
      <c r="N1250" s="33">
        <f>(_xlfn.XLOOKUP(Pipeline_tbl[[#This Row],[Rate_Code_Generalized]],Lookups!A:A,Lookups!B:B))*Pipeline_tbl[[#This Row],[Pipeline_Amount_USD]]</f>
        <v>1100</v>
      </c>
      <c r="O1250" t="str">
        <f>_xlfn.XLOOKUP(Pipeline_tbl[[#This Row],[Rep_ID]],Dim_Reps!A:A,Dim_Reps!B:B)</f>
        <v>Kenji Weber</v>
      </c>
      <c r="P1250" t="str">
        <f>_xlfn.XLOOKUP(Pipeline_tbl[[#This Row],[Rep_ID]],Dim_Reps!A:A,Dim_Reps!C:C)</f>
        <v>SDR / Inside Sales Rep</v>
      </c>
      <c r="Q1250" t="str">
        <f>_xlfn.XLOOKUP(Pipeline_tbl[[#This Row],[Rep_ID]],Dim_Reps!A:A,Dim_Reps!D:D)</f>
        <v>Inside Sales</v>
      </c>
      <c r="R1250" t="str">
        <f>_xlfn.XLOOKUP(Pipeline_tbl[[#This Row],[Rep_ID]],Dim_Reps!A:A,Dim_Reps!E:E)</f>
        <v>APAC</v>
      </c>
      <c r="S1250" t="str">
        <f>_xlfn.XLOOKUP(Pipeline_tbl[[#This Row],[Created_Date]],Dim_Date!A:A,Dim_Date!H:H)</f>
        <v>Oct 2024</v>
      </c>
      <c r="T1250" t="str">
        <f>IF(Pipeline_tbl[[#This Row],[Closed_Date]]=0,"",(_xlfn.XLOOKUP(Pipeline_tbl[[#This Row],[Closed_Date]],Dim_Date!A:A,Dim_Date!H:H)))</f>
        <v>Nov 2024</v>
      </c>
      <c r="U1250">
        <f>IF(Pipeline_tbl[[#This Row],[Closed_Date]]=0,"",Pipeline_tbl[[#This Row],[Closed_Date]]-Pipeline_tbl[[#This Row],[Created_Date]])</f>
        <v>15</v>
      </c>
    </row>
    <row r="1251" spans="1:21" ht="15" customHeight="1" x14ac:dyDescent="0.2">
      <c r="A1251" t="s">
        <v>1557</v>
      </c>
      <c r="B1251" t="s">
        <v>241</v>
      </c>
      <c r="C1251" t="s">
        <v>52</v>
      </c>
      <c r="D1251" s="49">
        <v>45586</v>
      </c>
      <c r="E1251" s="49">
        <v>45588</v>
      </c>
      <c r="F1251" s="49">
        <v>45591</v>
      </c>
      <c r="G1251" s="49">
        <v>45597</v>
      </c>
      <c r="H1251" s="49">
        <v>45601</v>
      </c>
      <c r="I1251" s="49">
        <v>45604</v>
      </c>
      <c r="J1251" t="s">
        <v>47</v>
      </c>
      <c r="K1251" s="33">
        <v>3200</v>
      </c>
      <c r="M1251" t="str">
        <f>_xlfn.XLOOKUP(Pipeline_tbl[[#This Row],[Rep_ID]],Dim_Reps!A:A,Dim_Reps!K:K)</f>
        <v>EUR</v>
      </c>
      <c r="N1251" s="33">
        <f>(_xlfn.XLOOKUP(Pipeline_tbl[[#This Row],[Rate_Code_Generalized]],Lookups!A:A,Lookups!B:B))*Pipeline_tbl[[#This Row],[Pipeline_Amount_USD]]</f>
        <v>3200</v>
      </c>
      <c r="O1251" t="str">
        <f>_xlfn.XLOOKUP(Pipeline_tbl[[#This Row],[Rep_ID]],Dim_Reps!A:A,Dim_Reps!B:B)</f>
        <v>Kenji Weber</v>
      </c>
      <c r="P1251" t="str">
        <f>_xlfn.XLOOKUP(Pipeline_tbl[[#This Row],[Rep_ID]],Dim_Reps!A:A,Dim_Reps!C:C)</f>
        <v>SDR / Inside Sales Rep</v>
      </c>
      <c r="Q1251" t="str">
        <f>_xlfn.XLOOKUP(Pipeline_tbl[[#This Row],[Rep_ID]],Dim_Reps!A:A,Dim_Reps!D:D)</f>
        <v>Inside Sales</v>
      </c>
      <c r="R1251" t="str">
        <f>_xlfn.XLOOKUP(Pipeline_tbl[[#This Row],[Rep_ID]],Dim_Reps!A:A,Dim_Reps!E:E)</f>
        <v>APAC</v>
      </c>
      <c r="S1251" t="str">
        <f>_xlfn.XLOOKUP(Pipeline_tbl[[#This Row],[Created_Date]],Dim_Date!A:A,Dim_Date!H:H)</f>
        <v>Oct 2024</v>
      </c>
      <c r="T1251" t="str">
        <f>IF(Pipeline_tbl[[#This Row],[Closed_Date]]=0,"",(_xlfn.XLOOKUP(Pipeline_tbl[[#This Row],[Closed_Date]],Dim_Date!A:A,Dim_Date!H:H)))</f>
        <v>Nov 2024</v>
      </c>
      <c r="U1251">
        <f>IF(Pipeline_tbl[[#This Row],[Closed_Date]]=0,"",Pipeline_tbl[[#This Row],[Closed_Date]]-Pipeline_tbl[[#This Row],[Created_Date]])</f>
        <v>18</v>
      </c>
    </row>
    <row r="1252" spans="1:21" ht="15" customHeight="1" x14ac:dyDescent="0.2">
      <c r="A1252" t="s">
        <v>1558</v>
      </c>
      <c r="B1252" t="s">
        <v>241</v>
      </c>
      <c r="C1252" t="s">
        <v>54</v>
      </c>
      <c r="D1252" s="49">
        <v>45589</v>
      </c>
      <c r="E1252" s="49">
        <v>45591</v>
      </c>
      <c r="I1252" s="49">
        <v>45607</v>
      </c>
      <c r="J1252" t="s">
        <v>49</v>
      </c>
      <c r="K1252" s="33">
        <v>6800</v>
      </c>
      <c r="L1252" t="s">
        <v>63</v>
      </c>
      <c r="M1252" t="str">
        <f>_xlfn.XLOOKUP(Pipeline_tbl[[#This Row],[Rep_ID]],Dim_Reps!A:A,Dim_Reps!K:K)</f>
        <v>EUR</v>
      </c>
      <c r="N1252" s="33">
        <f>(_xlfn.XLOOKUP(Pipeline_tbl[[#This Row],[Rate_Code_Generalized]],Lookups!A:A,Lookups!B:B))*Pipeline_tbl[[#This Row],[Pipeline_Amount_USD]]</f>
        <v>6800</v>
      </c>
      <c r="O1252" t="str">
        <f>_xlfn.XLOOKUP(Pipeline_tbl[[#This Row],[Rep_ID]],Dim_Reps!A:A,Dim_Reps!B:B)</f>
        <v>Kenji Weber</v>
      </c>
      <c r="P1252" t="str">
        <f>_xlfn.XLOOKUP(Pipeline_tbl[[#This Row],[Rep_ID]],Dim_Reps!A:A,Dim_Reps!C:C)</f>
        <v>SDR / Inside Sales Rep</v>
      </c>
      <c r="Q1252" t="str">
        <f>_xlfn.XLOOKUP(Pipeline_tbl[[#This Row],[Rep_ID]],Dim_Reps!A:A,Dim_Reps!D:D)</f>
        <v>Inside Sales</v>
      </c>
      <c r="R1252" t="str">
        <f>_xlfn.XLOOKUP(Pipeline_tbl[[#This Row],[Rep_ID]],Dim_Reps!A:A,Dim_Reps!E:E)</f>
        <v>APAC</v>
      </c>
      <c r="S1252" t="str">
        <f>_xlfn.XLOOKUP(Pipeline_tbl[[#This Row],[Created_Date]],Dim_Date!A:A,Dim_Date!H:H)</f>
        <v>Oct 2024</v>
      </c>
      <c r="T1252" t="str">
        <f>IF(Pipeline_tbl[[#This Row],[Closed_Date]]=0,"",(_xlfn.XLOOKUP(Pipeline_tbl[[#This Row],[Closed_Date]],Dim_Date!A:A,Dim_Date!H:H)))</f>
        <v>Nov 2024</v>
      </c>
      <c r="U1252">
        <f>IF(Pipeline_tbl[[#This Row],[Closed_Date]]=0,"",Pipeline_tbl[[#This Row],[Closed_Date]]-Pipeline_tbl[[#This Row],[Created_Date]])</f>
        <v>18</v>
      </c>
    </row>
    <row r="1253" spans="1:21" ht="15" customHeight="1" x14ac:dyDescent="0.2">
      <c r="A1253" t="s">
        <v>1559</v>
      </c>
      <c r="B1253" t="s">
        <v>241</v>
      </c>
      <c r="C1253" t="s">
        <v>52</v>
      </c>
      <c r="D1253" s="49">
        <v>45585</v>
      </c>
      <c r="E1253" s="49">
        <v>45587</v>
      </c>
      <c r="I1253" s="49">
        <v>45603</v>
      </c>
      <c r="J1253" t="s">
        <v>49</v>
      </c>
      <c r="K1253" s="33">
        <v>4800</v>
      </c>
      <c r="L1253" t="s">
        <v>61</v>
      </c>
      <c r="M1253" t="str">
        <f>_xlfn.XLOOKUP(Pipeline_tbl[[#This Row],[Rep_ID]],Dim_Reps!A:A,Dim_Reps!K:K)</f>
        <v>EUR</v>
      </c>
      <c r="N1253" s="33">
        <f>(_xlfn.XLOOKUP(Pipeline_tbl[[#This Row],[Rate_Code_Generalized]],Lookups!A:A,Lookups!B:B))*Pipeline_tbl[[#This Row],[Pipeline_Amount_USD]]</f>
        <v>4800</v>
      </c>
      <c r="O1253" t="str">
        <f>_xlfn.XLOOKUP(Pipeline_tbl[[#This Row],[Rep_ID]],Dim_Reps!A:A,Dim_Reps!B:B)</f>
        <v>Kenji Weber</v>
      </c>
      <c r="P1253" t="str">
        <f>_xlfn.XLOOKUP(Pipeline_tbl[[#This Row],[Rep_ID]],Dim_Reps!A:A,Dim_Reps!C:C)</f>
        <v>SDR / Inside Sales Rep</v>
      </c>
      <c r="Q1253" t="str">
        <f>_xlfn.XLOOKUP(Pipeline_tbl[[#This Row],[Rep_ID]],Dim_Reps!A:A,Dim_Reps!D:D)</f>
        <v>Inside Sales</v>
      </c>
      <c r="R1253" t="str">
        <f>_xlfn.XLOOKUP(Pipeline_tbl[[#This Row],[Rep_ID]],Dim_Reps!A:A,Dim_Reps!E:E)</f>
        <v>APAC</v>
      </c>
      <c r="S1253" t="str">
        <f>_xlfn.XLOOKUP(Pipeline_tbl[[#This Row],[Created_Date]],Dim_Date!A:A,Dim_Date!H:H)</f>
        <v>Oct 2024</v>
      </c>
      <c r="T1253" t="str">
        <f>IF(Pipeline_tbl[[#This Row],[Closed_Date]]=0,"",(_xlfn.XLOOKUP(Pipeline_tbl[[#This Row],[Closed_Date]],Dim_Date!A:A,Dim_Date!H:H)))</f>
        <v>Nov 2024</v>
      </c>
      <c r="U1253">
        <f>IF(Pipeline_tbl[[#This Row],[Closed_Date]]=0,"",Pipeline_tbl[[#This Row],[Closed_Date]]-Pipeline_tbl[[#This Row],[Created_Date]])</f>
        <v>18</v>
      </c>
    </row>
    <row r="1254" spans="1:21" ht="15" customHeight="1" x14ac:dyDescent="0.2">
      <c r="A1254" t="s">
        <v>1560</v>
      </c>
      <c r="B1254" t="s">
        <v>241</v>
      </c>
      <c r="C1254" t="s">
        <v>52</v>
      </c>
      <c r="D1254" s="49">
        <v>45590</v>
      </c>
      <c r="E1254" s="49">
        <v>45591</v>
      </c>
      <c r="I1254" s="49">
        <v>45603</v>
      </c>
      <c r="J1254" t="s">
        <v>49</v>
      </c>
      <c r="K1254" s="33">
        <v>1500</v>
      </c>
      <c r="L1254" t="s">
        <v>62</v>
      </c>
      <c r="M1254" t="str">
        <f>_xlfn.XLOOKUP(Pipeline_tbl[[#This Row],[Rep_ID]],Dim_Reps!A:A,Dim_Reps!K:K)</f>
        <v>EUR</v>
      </c>
      <c r="N1254" s="33">
        <f>(_xlfn.XLOOKUP(Pipeline_tbl[[#This Row],[Rate_Code_Generalized]],Lookups!A:A,Lookups!B:B))*Pipeline_tbl[[#This Row],[Pipeline_Amount_USD]]</f>
        <v>1500</v>
      </c>
      <c r="O1254" t="str">
        <f>_xlfn.XLOOKUP(Pipeline_tbl[[#This Row],[Rep_ID]],Dim_Reps!A:A,Dim_Reps!B:B)</f>
        <v>Kenji Weber</v>
      </c>
      <c r="P1254" t="str">
        <f>_xlfn.XLOOKUP(Pipeline_tbl[[#This Row],[Rep_ID]],Dim_Reps!A:A,Dim_Reps!C:C)</f>
        <v>SDR / Inside Sales Rep</v>
      </c>
      <c r="Q1254" t="str">
        <f>_xlfn.XLOOKUP(Pipeline_tbl[[#This Row],[Rep_ID]],Dim_Reps!A:A,Dim_Reps!D:D)</f>
        <v>Inside Sales</v>
      </c>
      <c r="R1254" t="str">
        <f>_xlfn.XLOOKUP(Pipeline_tbl[[#This Row],[Rep_ID]],Dim_Reps!A:A,Dim_Reps!E:E)</f>
        <v>APAC</v>
      </c>
      <c r="S1254" t="str">
        <f>_xlfn.XLOOKUP(Pipeline_tbl[[#This Row],[Created_Date]],Dim_Date!A:A,Dim_Date!H:H)</f>
        <v>Oct 2024</v>
      </c>
      <c r="T1254" t="str">
        <f>IF(Pipeline_tbl[[#This Row],[Closed_Date]]=0,"",(_xlfn.XLOOKUP(Pipeline_tbl[[#This Row],[Closed_Date]],Dim_Date!A:A,Dim_Date!H:H)))</f>
        <v>Nov 2024</v>
      </c>
      <c r="U1254">
        <f>IF(Pipeline_tbl[[#This Row],[Closed_Date]]=0,"",Pipeline_tbl[[#This Row],[Closed_Date]]-Pipeline_tbl[[#This Row],[Created_Date]])</f>
        <v>13</v>
      </c>
    </row>
    <row r="1255" spans="1:21" ht="15" customHeight="1" x14ac:dyDescent="0.2">
      <c r="A1255" t="s">
        <v>1561</v>
      </c>
      <c r="B1255" t="s">
        <v>241</v>
      </c>
      <c r="C1255" t="s">
        <v>53</v>
      </c>
      <c r="D1255" s="49">
        <v>45589</v>
      </c>
      <c r="E1255" s="49">
        <v>45591</v>
      </c>
      <c r="F1255" s="49">
        <v>45596</v>
      </c>
      <c r="I1255" s="49">
        <v>45613</v>
      </c>
      <c r="J1255" t="s">
        <v>49</v>
      </c>
      <c r="K1255" s="33">
        <v>3300</v>
      </c>
      <c r="L1255" t="s">
        <v>61</v>
      </c>
      <c r="M1255" t="str">
        <f>_xlfn.XLOOKUP(Pipeline_tbl[[#This Row],[Rep_ID]],Dim_Reps!A:A,Dim_Reps!K:K)</f>
        <v>EUR</v>
      </c>
      <c r="N1255" s="33">
        <f>(_xlfn.XLOOKUP(Pipeline_tbl[[#This Row],[Rate_Code_Generalized]],Lookups!A:A,Lookups!B:B))*Pipeline_tbl[[#This Row],[Pipeline_Amount_USD]]</f>
        <v>3300</v>
      </c>
      <c r="O1255" t="str">
        <f>_xlfn.XLOOKUP(Pipeline_tbl[[#This Row],[Rep_ID]],Dim_Reps!A:A,Dim_Reps!B:B)</f>
        <v>Kenji Weber</v>
      </c>
      <c r="P1255" t="str">
        <f>_xlfn.XLOOKUP(Pipeline_tbl[[#This Row],[Rep_ID]],Dim_Reps!A:A,Dim_Reps!C:C)</f>
        <v>SDR / Inside Sales Rep</v>
      </c>
      <c r="Q1255" t="str">
        <f>_xlfn.XLOOKUP(Pipeline_tbl[[#This Row],[Rep_ID]],Dim_Reps!A:A,Dim_Reps!D:D)</f>
        <v>Inside Sales</v>
      </c>
      <c r="R1255" t="str">
        <f>_xlfn.XLOOKUP(Pipeline_tbl[[#This Row],[Rep_ID]],Dim_Reps!A:A,Dim_Reps!E:E)</f>
        <v>APAC</v>
      </c>
      <c r="S1255" t="str">
        <f>_xlfn.XLOOKUP(Pipeline_tbl[[#This Row],[Created_Date]],Dim_Date!A:A,Dim_Date!H:H)</f>
        <v>Oct 2024</v>
      </c>
      <c r="T1255" t="str">
        <f>IF(Pipeline_tbl[[#This Row],[Closed_Date]]=0,"",(_xlfn.XLOOKUP(Pipeline_tbl[[#This Row],[Closed_Date]],Dim_Date!A:A,Dim_Date!H:H)))</f>
        <v>Nov 2024</v>
      </c>
      <c r="U1255">
        <f>IF(Pipeline_tbl[[#This Row],[Closed_Date]]=0,"",Pipeline_tbl[[#This Row],[Closed_Date]]-Pipeline_tbl[[#This Row],[Created_Date]])</f>
        <v>24</v>
      </c>
    </row>
    <row r="1256" spans="1:21" ht="15" customHeight="1" x14ac:dyDescent="0.2">
      <c r="A1256" t="s">
        <v>1562</v>
      </c>
      <c r="B1256" t="s">
        <v>241</v>
      </c>
      <c r="C1256" t="s">
        <v>52</v>
      </c>
      <c r="D1256" s="49">
        <v>45584</v>
      </c>
      <c r="E1256" s="49">
        <v>45586</v>
      </c>
      <c r="F1256" s="49">
        <v>45589</v>
      </c>
      <c r="G1256" s="49">
        <v>45594</v>
      </c>
      <c r="H1256" s="49">
        <v>45598</v>
      </c>
      <c r="I1256" s="49">
        <v>45600</v>
      </c>
      <c r="J1256" t="s">
        <v>49</v>
      </c>
      <c r="K1256" s="33">
        <v>3300</v>
      </c>
      <c r="L1256" t="s">
        <v>60</v>
      </c>
      <c r="M1256" t="str">
        <f>_xlfn.XLOOKUP(Pipeline_tbl[[#This Row],[Rep_ID]],Dim_Reps!A:A,Dim_Reps!K:K)</f>
        <v>EUR</v>
      </c>
      <c r="N1256" s="33">
        <f>(_xlfn.XLOOKUP(Pipeline_tbl[[#This Row],[Rate_Code_Generalized]],Lookups!A:A,Lookups!B:B))*Pipeline_tbl[[#This Row],[Pipeline_Amount_USD]]</f>
        <v>3300</v>
      </c>
      <c r="O1256" t="str">
        <f>_xlfn.XLOOKUP(Pipeline_tbl[[#This Row],[Rep_ID]],Dim_Reps!A:A,Dim_Reps!B:B)</f>
        <v>Kenji Weber</v>
      </c>
      <c r="P1256" t="str">
        <f>_xlfn.XLOOKUP(Pipeline_tbl[[#This Row],[Rep_ID]],Dim_Reps!A:A,Dim_Reps!C:C)</f>
        <v>SDR / Inside Sales Rep</v>
      </c>
      <c r="Q1256" t="str">
        <f>_xlfn.XLOOKUP(Pipeline_tbl[[#This Row],[Rep_ID]],Dim_Reps!A:A,Dim_Reps!D:D)</f>
        <v>Inside Sales</v>
      </c>
      <c r="R1256" t="str">
        <f>_xlfn.XLOOKUP(Pipeline_tbl[[#This Row],[Rep_ID]],Dim_Reps!A:A,Dim_Reps!E:E)</f>
        <v>APAC</v>
      </c>
      <c r="S1256" t="str">
        <f>_xlfn.XLOOKUP(Pipeline_tbl[[#This Row],[Created_Date]],Dim_Date!A:A,Dim_Date!H:H)</f>
        <v>Oct 2024</v>
      </c>
      <c r="T1256" t="str">
        <f>IF(Pipeline_tbl[[#This Row],[Closed_Date]]=0,"",(_xlfn.XLOOKUP(Pipeline_tbl[[#This Row],[Closed_Date]],Dim_Date!A:A,Dim_Date!H:H)))</f>
        <v>Nov 2024</v>
      </c>
      <c r="U1256">
        <f>IF(Pipeline_tbl[[#This Row],[Closed_Date]]=0,"",Pipeline_tbl[[#This Row],[Closed_Date]]-Pipeline_tbl[[#This Row],[Created_Date]])</f>
        <v>16</v>
      </c>
    </row>
    <row r="1257" spans="1:21" ht="15" customHeight="1" x14ac:dyDescent="0.2">
      <c r="A1257" t="s">
        <v>1563</v>
      </c>
      <c r="B1257" t="s">
        <v>241</v>
      </c>
      <c r="C1257" t="s">
        <v>53</v>
      </c>
      <c r="D1257" s="49">
        <v>45588</v>
      </c>
      <c r="E1257" s="49">
        <v>45590</v>
      </c>
      <c r="F1257" s="49">
        <v>45593</v>
      </c>
      <c r="G1257" s="49">
        <v>45598</v>
      </c>
      <c r="I1257" s="49">
        <v>45605</v>
      </c>
      <c r="J1257" t="s">
        <v>49</v>
      </c>
      <c r="K1257" s="33">
        <v>3200</v>
      </c>
      <c r="L1257" t="s">
        <v>60</v>
      </c>
      <c r="M1257" t="str">
        <f>_xlfn.XLOOKUP(Pipeline_tbl[[#This Row],[Rep_ID]],Dim_Reps!A:A,Dim_Reps!K:K)</f>
        <v>EUR</v>
      </c>
      <c r="N1257" s="33">
        <f>(_xlfn.XLOOKUP(Pipeline_tbl[[#This Row],[Rate_Code_Generalized]],Lookups!A:A,Lookups!B:B))*Pipeline_tbl[[#This Row],[Pipeline_Amount_USD]]</f>
        <v>3200</v>
      </c>
      <c r="O1257" t="str">
        <f>_xlfn.XLOOKUP(Pipeline_tbl[[#This Row],[Rep_ID]],Dim_Reps!A:A,Dim_Reps!B:B)</f>
        <v>Kenji Weber</v>
      </c>
      <c r="P1257" t="str">
        <f>_xlfn.XLOOKUP(Pipeline_tbl[[#This Row],[Rep_ID]],Dim_Reps!A:A,Dim_Reps!C:C)</f>
        <v>SDR / Inside Sales Rep</v>
      </c>
      <c r="Q1257" t="str">
        <f>_xlfn.XLOOKUP(Pipeline_tbl[[#This Row],[Rep_ID]],Dim_Reps!A:A,Dim_Reps!D:D)</f>
        <v>Inside Sales</v>
      </c>
      <c r="R1257" t="str">
        <f>_xlfn.XLOOKUP(Pipeline_tbl[[#This Row],[Rep_ID]],Dim_Reps!A:A,Dim_Reps!E:E)</f>
        <v>APAC</v>
      </c>
      <c r="S1257" t="str">
        <f>_xlfn.XLOOKUP(Pipeline_tbl[[#This Row],[Created_Date]],Dim_Date!A:A,Dim_Date!H:H)</f>
        <v>Oct 2024</v>
      </c>
      <c r="T1257" t="str">
        <f>IF(Pipeline_tbl[[#This Row],[Closed_Date]]=0,"",(_xlfn.XLOOKUP(Pipeline_tbl[[#This Row],[Closed_Date]],Dim_Date!A:A,Dim_Date!H:H)))</f>
        <v>Nov 2024</v>
      </c>
      <c r="U1257">
        <f>IF(Pipeline_tbl[[#This Row],[Closed_Date]]=0,"",Pipeline_tbl[[#This Row],[Closed_Date]]-Pipeline_tbl[[#This Row],[Created_Date]])</f>
        <v>17</v>
      </c>
    </row>
    <row r="1258" spans="1:21" ht="15" customHeight="1" x14ac:dyDescent="0.2">
      <c r="A1258" t="s">
        <v>1564</v>
      </c>
      <c r="B1258" t="s">
        <v>241</v>
      </c>
      <c r="C1258" t="s">
        <v>54</v>
      </c>
      <c r="D1258" s="49">
        <v>45593</v>
      </c>
      <c r="E1258" s="49">
        <v>45594</v>
      </c>
      <c r="F1258" s="49">
        <v>45597</v>
      </c>
      <c r="G1258" s="49">
        <v>45601</v>
      </c>
      <c r="H1258" s="49">
        <v>45605</v>
      </c>
      <c r="I1258" s="49">
        <v>45607</v>
      </c>
      <c r="J1258" t="s">
        <v>47</v>
      </c>
      <c r="K1258" s="33">
        <v>4400</v>
      </c>
      <c r="M1258" t="str">
        <f>_xlfn.XLOOKUP(Pipeline_tbl[[#This Row],[Rep_ID]],Dim_Reps!A:A,Dim_Reps!K:K)</f>
        <v>EUR</v>
      </c>
      <c r="N1258" s="33">
        <f>(_xlfn.XLOOKUP(Pipeline_tbl[[#This Row],[Rate_Code_Generalized]],Lookups!A:A,Lookups!B:B))*Pipeline_tbl[[#This Row],[Pipeline_Amount_USD]]</f>
        <v>4400</v>
      </c>
      <c r="O1258" t="str">
        <f>_xlfn.XLOOKUP(Pipeline_tbl[[#This Row],[Rep_ID]],Dim_Reps!A:A,Dim_Reps!B:B)</f>
        <v>Kenji Weber</v>
      </c>
      <c r="P1258" t="str">
        <f>_xlfn.XLOOKUP(Pipeline_tbl[[#This Row],[Rep_ID]],Dim_Reps!A:A,Dim_Reps!C:C)</f>
        <v>SDR / Inside Sales Rep</v>
      </c>
      <c r="Q1258" t="str">
        <f>_xlfn.XLOOKUP(Pipeline_tbl[[#This Row],[Rep_ID]],Dim_Reps!A:A,Dim_Reps!D:D)</f>
        <v>Inside Sales</v>
      </c>
      <c r="R1258" t="str">
        <f>_xlfn.XLOOKUP(Pipeline_tbl[[#This Row],[Rep_ID]],Dim_Reps!A:A,Dim_Reps!E:E)</f>
        <v>APAC</v>
      </c>
      <c r="S1258" t="str">
        <f>_xlfn.XLOOKUP(Pipeline_tbl[[#This Row],[Created_Date]],Dim_Date!A:A,Dim_Date!H:H)</f>
        <v>Oct 2024</v>
      </c>
      <c r="T1258" t="str">
        <f>IF(Pipeline_tbl[[#This Row],[Closed_Date]]=0,"",(_xlfn.XLOOKUP(Pipeline_tbl[[#This Row],[Closed_Date]],Dim_Date!A:A,Dim_Date!H:H)))</f>
        <v>Nov 2024</v>
      </c>
      <c r="U1258">
        <f>IF(Pipeline_tbl[[#This Row],[Closed_Date]]=0,"",Pipeline_tbl[[#This Row],[Closed_Date]]-Pipeline_tbl[[#This Row],[Created_Date]])</f>
        <v>14</v>
      </c>
    </row>
    <row r="1259" spans="1:21" ht="15" customHeight="1" x14ac:dyDescent="0.2">
      <c r="A1259" t="s">
        <v>1565</v>
      </c>
      <c r="B1259" t="s">
        <v>241</v>
      </c>
      <c r="C1259" t="s">
        <v>55</v>
      </c>
      <c r="D1259" s="49">
        <v>45577</v>
      </c>
      <c r="E1259" s="49">
        <v>45579</v>
      </c>
      <c r="I1259" s="49">
        <v>45597</v>
      </c>
      <c r="J1259" t="s">
        <v>49</v>
      </c>
      <c r="K1259" s="33">
        <v>2200</v>
      </c>
      <c r="L1259" t="s">
        <v>63</v>
      </c>
      <c r="M1259" t="str">
        <f>_xlfn.XLOOKUP(Pipeline_tbl[[#This Row],[Rep_ID]],Dim_Reps!A:A,Dim_Reps!K:K)</f>
        <v>EUR</v>
      </c>
      <c r="N1259" s="33">
        <f>(_xlfn.XLOOKUP(Pipeline_tbl[[#This Row],[Rate_Code_Generalized]],Lookups!A:A,Lookups!B:B))*Pipeline_tbl[[#This Row],[Pipeline_Amount_USD]]</f>
        <v>2200</v>
      </c>
      <c r="O1259" t="str">
        <f>_xlfn.XLOOKUP(Pipeline_tbl[[#This Row],[Rep_ID]],Dim_Reps!A:A,Dim_Reps!B:B)</f>
        <v>Kenji Weber</v>
      </c>
      <c r="P1259" t="str">
        <f>_xlfn.XLOOKUP(Pipeline_tbl[[#This Row],[Rep_ID]],Dim_Reps!A:A,Dim_Reps!C:C)</f>
        <v>SDR / Inside Sales Rep</v>
      </c>
      <c r="Q1259" t="str">
        <f>_xlfn.XLOOKUP(Pipeline_tbl[[#This Row],[Rep_ID]],Dim_Reps!A:A,Dim_Reps!D:D)</f>
        <v>Inside Sales</v>
      </c>
      <c r="R1259" t="str">
        <f>_xlfn.XLOOKUP(Pipeline_tbl[[#This Row],[Rep_ID]],Dim_Reps!A:A,Dim_Reps!E:E)</f>
        <v>APAC</v>
      </c>
      <c r="S1259" t="str">
        <f>_xlfn.XLOOKUP(Pipeline_tbl[[#This Row],[Created_Date]],Dim_Date!A:A,Dim_Date!H:H)</f>
        <v>Oct 2024</v>
      </c>
      <c r="T1259" t="str">
        <f>IF(Pipeline_tbl[[#This Row],[Closed_Date]]=0,"",(_xlfn.XLOOKUP(Pipeline_tbl[[#This Row],[Closed_Date]],Dim_Date!A:A,Dim_Date!H:H)))</f>
        <v>Nov 2024</v>
      </c>
      <c r="U1259">
        <f>IF(Pipeline_tbl[[#This Row],[Closed_Date]]=0,"",Pipeline_tbl[[#This Row],[Closed_Date]]-Pipeline_tbl[[#This Row],[Created_Date]])</f>
        <v>20</v>
      </c>
    </row>
    <row r="1260" spans="1:21" ht="15" customHeight="1" x14ac:dyDescent="0.2">
      <c r="A1260" t="s">
        <v>1566</v>
      </c>
      <c r="B1260" t="s">
        <v>241</v>
      </c>
      <c r="C1260" t="s">
        <v>52</v>
      </c>
      <c r="D1260" s="49">
        <v>45595</v>
      </c>
      <c r="E1260" s="49">
        <v>45596</v>
      </c>
      <c r="F1260" s="49">
        <v>45598</v>
      </c>
      <c r="G1260" s="49">
        <v>45602</v>
      </c>
      <c r="H1260" s="49">
        <v>45604</v>
      </c>
      <c r="I1260" s="49">
        <v>45606</v>
      </c>
      <c r="J1260" t="s">
        <v>47</v>
      </c>
      <c r="K1260" s="33">
        <v>5200</v>
      </c>
      <c r="M1260" t="str">
        <f>_xlfn.XLOOKUP(Pipeline_tbl[[#This Row],[Rep_ID]],Dim_Reps!A:A,Dim_Reps!K:K)</f>
        <v>EUR</v>
      </c>
      <c r="N1260" s="33">
        <f>(_xlfn.XLOOKUP(Pipeline_tbl[[#This Row],[Rate_Code_Generalized]],Lookups!A:A,Lookups!B:B))*Pipeline_tbl[[#This Row],[Pipeline_Amount_USD]]</f>
        <v>5200</v>
      </c>
      <c r="O1260" t="str">
        <f>_xlfn.XLOOKUP(Pipeline_tbl[[#This Row],[Rep_ID]],Dim_Reps!A:A,Dim_Reps!B:B)</f>
        <v>Kenji Weber</v>
      </c>
      <c r="P1260" t="str">
        <f>_xlfn.XLOOKUP(Pipeline_tbl[[#This Row],[Rep_ID]],Dim_Reps!A:A,Dim_Reps!C:C)</f>
        <v>SDR / Inside Sales Rep</v>
      </c>
      <c r="Q1260" t="str">
        <f>_xlfn.XLOOKUP(Pipeline_tbl[[#This Row],[Rep_ID]],Dim_Reps!A:A,Dim_Reps!D:D)</f>
        <v>Inside Sales</v>
      </c>
      <c r="R1260" t="str">
        <f>_xlfn.XLOOKUP(Pipeline_tbl[[#This Row],[Rep_ID]],Dim_Reps!A:A,Dim_Reps!E:E)</f>
        <v>APAC</v>
      </c>
      <c r="S1260" t="str">
        <f>_xlfn.XLOOKUP(Pipeline_tbl[[#This Row],[Created_Date]],Dim_Date!A:A,Dim_Date!H:H)</f>
        <v>Oct 2024</v>
      </c>
      <c r="T1260" t="str">
        <f>IF(Pipeline_tbl[[#This Row],[Closed_Date]]=0,"",(_xlfn.XLOOKUP(Pipeline_tbl[[#This Row],[Closed_Date]],Dim_Date!A:A,Dim_Date!H:H)))</f>
        <v>Nov 2024</v>
      </c>
      <c r="U1260">
        <f>IF(Pipeline_tbl[[#This Row],[Closed_Date]]=0,"",Pipeline_tbl[[#This Row],[Closed_Date]]-Pipeline_tbl[[#This Row],[Created_Date]])</f>
        <v>11</v>
      </c>
    </row>
    <row r="1261" spans="1:21" ht="15" customHeight="1" x14ac:dyDescent="0.2">
      <c r="A1261" t="s">
        <v>1567</v>
      </c>
      <c r="B1261" t="s">
        <v>193</v>
      </c>
      <c r="C1261" t="s">
        <v>52</v>
      </c>
      <c r="D1261" s="49">
        <v>45570</v>
      </c>
      <c r="E1261" s="49">
        <v>45572</v>
      </c>
      <c r="I1261" s="49">
        <v>45595</v>
      </c>
      <c r="J1261" t="s">
        <v>49</v>
      </c>
      <c r="K1261" s="33">
        <v>4600</v>
      </c>
      <c r="L1261" t="s">
        <v>60</v>
      </c>
      <c r="M1261" t="str">
        <f>_xlfn.XLOOKUP(Pipeline_tbl[[#This Row],[Rep_ID]],Dim_Reps!A:A,Dim_Reps!K:K)</f>
        <v>USD</v>
      </c>
      <c r="N1261" s="33">
        <f>(_xlfn.XLOOKUP(Pipeline_tbl[[#This Row],[Rate_Code_Generalized]],Lookups!A:A,Lookups!B:B))*Pipeline_tbl[[#This Row],[Pipeline_Amount_USD]]</f>
        <v>5355.78</v>
      </c>
      <c r="O1261" t="str">
        <f>_xlfn.XLOOKUP(Pipeline_tbl[[#This Row],[Rep_ID]],Dim_Reps!A:A,Dim_Reps!B:B)</f>
        <v>Karim Rossi</v>
      </c>
      <c r="P1261" t="str">
        <f>_xlfn.XLOOKUP(Pipeline_tbl[[#This Row],[Rep_ID]],Dim_Reps!A:A,Dim_Reps!C:C)</f>
        <v>SDR / Inside Sales Rep</v>
      </c>
      <c r="Q1261" t="str">
        <f>_xlfn.XLOOKUP(Pipeline_tbl[[#This Row],[Rep_ID]],Dim_Reps!A:A,Dim_Reps!D:D)</f>
        <v>Inside Sales</v>
      </c>
      <c r="R1261" t="str">
        <f>_xlfn.XLOOKUP(Pipeline_tbl[[#This Row],[Rep_ID]],Dim_Reps!A:A,Dim_Reps!E:E)</f>
        <v>NAMER</v>
      </c>
      <c r="S1261" t="str">
        <f>_xlfn.XLOOKUP(Pipeline_tbl[[#This Row],[Created_Date]],Dim_Date!A:A,Dim_Date!H:H)</f>
        <v>Oct 2024</v>
      </c>
      <c r="T1261" t="str">
        <f>IF(Pipeline_tbl[[#This Row],[Closed_Date]]=0,"",(_xlfn.XLOOKUP(Pipeline_tbl[[#This Row],[Closed_Date]],Dim_Date!A:A,Dim_Date!H:H)))</f>
        <v>Oct 2024</v>
      </c>
      <c r="U1261">
        <f>IF(Pipeline_tbl[[#This Row],[Closed_Date]]=0,"",Pipeline_tbl[[#This Row],[Closed_Date]]-Pipeline_tbl[[#This Row],[Created_Date]])</f>
        <v>25</v>
      </c>
    </row>
    <row r="1262" spans="1:21" ht="15" customHeight="1" x14ac:dyDescent="0.2">
      <c r="A1262" t="s">
        <v>1568</v>
      </c>
      <c r="B1262" t="s">
        <v>193</v>
      </c>
      <c r="C1262" t="s">
        <v>54</v>
      </c>
      <c r="D1262" s="49">
        <v>45567</v>
      </c>
      <c r="E1262" s="49">
        <v>45570</v>
      </c>
      <c r="F1262" s="49">
        <v>45575</v>
      </c>
      <c r="G1262" s="49">
        <v>45583</v>
      </c>
      <c r="I1262" s="49">
        <v>45594</v>
      </c>
      <c r="J1262" t="s">
        <v>49</v>
      </c>
      <c r="K1262" s="33">
        <v>6700</v>
      </c>
      <c r="L1262" t="s">
        <v>63</v>
      </c>
      <c r="M1262" t="str">
        <f>_xlfn.XLOOKUP(Pipeline_tbl[[#This Row],[Rep_ID]],Dim_Reps!A:A,Dim_Reps!K:K)</f>
        <v>USD</v>
      </c>
      <c r="N1262" s="33">
        <f>(_xlfn.XLOOKUP(Pipeline_tbl[[#This Row],[Rate_Code_Generalized]],Lookups!A:A,Lookups!B:B))*Pipeline_tbl[[#This Row],[Pipeline_Amount_USD]]</f>
        <v>7800.8099999999995</v>
      </c>
      <c r="O1262" t="str">
        <f>_xlfn.XLOOKUP(Pipeline_tbl[[#This Row],[Rep_ID]],Dim_Reps!A:A,Dim_Reps!B:B)</f>
        <v>Karim Rossi</v>
      </c>
      <c r="P1262" t="str">
        <f>_xlfn.XLOOKUP(Pipeline_tbl[[#This Row],[Rep_ID]],Dim_Reps!A:A,Dim_Reps!C:C)</f>
        <v>SDR / Inside Sales Rep</v>
      </c>
      <c r="Q1262" t="str">
        <f>_xlfn.XLOOKUP(Pipeline_tbl[[#This Row],[Rep_ID]],Dim_Reps!A:A,Dim_Reps!D:D)</f>
        <v>Inside Sales</v>
      </c>
      <c r="R1262" t="str">
        <f>_xlfn.XLOOKUP(Pipeline_tbl[[#This Row],[Rep_ID]],Dim_Reps!A:A,Dim_Reps!E:E)</f>
        <v>NAMER</v>
      </c>
      <c r="S1262" t="str">
        <f>_xlfn.XLOOKUP(Pipeline_tbl[[#This Row],[Created_Date]],Dim_Date!A:A,Dim_Date!H:H)</f>
        <v>Oct 2024</v>
      </c>
      <c r="T1262" t="str">
        <f>IF(Pipeline_tbl[[#This Row],[Closed_Date]]=0,"",(_xlfn.XLOOKUP(Pipeline_tbl[[#This Row],[Closed_Date]],Dim_Date!A:A,Dim_Date!H:H)))</f>
        <v>Oct 2024</v>
      </c>
      <c r="U1262">
        <f>IF(Pipeline_tbl[[#This Row],[Closed_Date]]=0,"",Pipeline_tbl[[#This Row],[Closed_Date]]-Pipeline_tbl[[#This Row],[Created_Date]])</f>
        <v>27</v>
      </c>
    </row>
    <row r="1263" spans="1:21" ht="15" customHeight="1" x14ac:dyDescent="0.2">
      <c r="A1263" t="s">
        <v>1569</v>
      </c>
      <c r="B1263" t="s">
        <v>193</v>
      </c>
      <c r="C1263" t="s">
        <v>52</v>
      </c>
      <c r="D1263" s="49">
        <v>45577</v>
      </c>
      <c r="E1263" s="49">
        <v>45578</v>
      </c>
      <c r="F1263" s="49">
        <v>45579</v>
      </c>
      <c r="I1263" s="49">
        <v>45584</v>
      </c>
      <c r="J1263" t="s">
        <v>49</v>
      </c>
      <c r="K1263" s="33">
        <v>1600</v>
      </c>
      <c r="L1263" t="s">
        <v>64</v>
      </c>
      <c r="M1263" t="str">
        <f>_xlfn.XLOOKUP(Pipeline_tbl[[#This Row],[Rep_ID]],Dim_Reps!A:A,Dim_Reps!K:K)</f>
        <v>USD</v>
      </c>
      <c r="N1263" s="33">
        <f>(_xlfn.XLOOKUP(Pipeline_tbl[[#This Row],[Rate_Code_Generalized]],Lookups!A:A,Lookups!B:B))*Pipeline_tbl[[#This Row],[Pipeline_Amount_USD]]</f>
        <v>1862.8799999999999</v>
      </c>
      <c r="O1263" t="str">
        <f>_xlfn.XLOOKUP(Pipeline_tbl[[#This Row],[Rep_ID]],Dim_Reps!A:A,Dim_Reps!B:B)</f>
        <v>Karim Rossi</v>
      </c>
      <c r="P1263" t="str">
        <f>_xlfn.XLOOKUP(Pipeline_tbl[[#This Row],[Rep_ID]],Dim_Reps!A:A,Dim_Reps!C:C)</f>
        <v>SDR / Inside Sales Rep</v>
      </c>
      <c r="Q1263" t="str">
        <f>_xlfn.XLOOKUP(Pipeline_tbl[[#This Row],[Rep_ID]],Dim_Reps!A:A,Dim_Reps!D:D)</f>
        <v>Inside Sales</v>
      </c>
      <c r="R1263" t="str">
        <f>_xlfn.XLOOKUP(Pipeline_tbl[[#This Row],[Rep_ID]],Dim_Reps!A:A,Dim_Reps!E:E)</f>
        <v>NAMER</v>
      </c>
      <c r="S1263" t="str">
        <f>_xlfn.XLOOKUP(Pipeline_tbl[[#This Row],[Created_Date]],Dim_Date!A:A,Dim_Date!H:H)</f>
        <v>Oct 2024</v>
      </c>
      <c r="T1263" t="str">
        <f>IF(Pipeline_tbl[[#This Row],[Closed_Date]]=0,"",(_xlfn.XLOOKUP(Pipeline_tbl[[#This Row],[Closed_Date]],Dim_Date!A:A,Dim_Date!H:H)))</f>
        <v>Oct 2024</v>
      </c>
      <c r="U1263">
        <f>IF(Pipeline_tbl[[#This Row],[Closed_Date]]=0,"",Pipeline_tbl[[#This Row],[Closed_Date]]-Pipeline_tbl[[#This Row],[Created_Date]])</f>
        <v>7</v>
      </c>
    </row>
    <row r="1264" spans="1:21" ht="15" customHeight="1" x14ac:dyDescent="0.2">
      <c r="A1264" t="s">
        <v>1570</v>
      </c>
      <c r="B1264" t="s">
        <v>193</v>
      </c>
      <c r="C1264" t="s">
        <v>55</v>
      </c>
      <c r="D1264" s="49">
        <v>45583</v>
      </c>
      <c r="E1264" s="49">
        <v>45584</v>
      </c>
      <c r="F1264" s="49">
        <v>45587</v>
      </c>
      <c r="G1264" s="49">
        <v>45591</v>
      </c>
      <c r="H1264" s="49">
        <v>45594</v>
      </c>
      <c r="I1264" s="49">
        <v>45596</v>
      </c>
      <c r="J1264" t="s">
        <v>49</v>
      </c>
      <c r="K1264" s="33">
        <v>5100</v>
      </c>
      <c r="L1264" t="s">
        <v>63</v>
      </c>
      <c r="M1264" t="str">
        <f>_xlfn.XLOOKUP(Pipeline_tbl[[#This Row],[Rep_ID]],Dim_Reps!A:A,Dim_Reps!K:K)</f>
        <v>USD</v>
      </c>
      <c r="N1264" s="33">
        <f>(_xlfn.XLOOKUP(Pipeline_tbl[[#This Row],[Rate_Code_Generalized]],Lookups!A:A,Lookups!B:B))*Pipeline_tbl[[#This Row],[Pipeline_Amount_USD]]</f>
        <v>5937.9299999999994</v>
      </c>
      <c r="O1264" t="str">
        <f>_xlfn.XLOOKUP(Pipeline_tbl[[#This Row],[Rep_ID]],Dim_Reps!A:A,Dim_Reps!B:B)</f>
        <v>Karim Rossi</v>
      </c>
      <c r="P1264" t="str">
        <f>_xlfn.XLOOKUP(Pipeline_tbl[[#This Row],[Rep_ID]],Dim_Reps!A:A,Dim_Reps!C:C)</f>
        <v>SDR / Inside Sales Rep</v>
      </c>
      <c r="Q1264" t="str">
        <f>_xlfn.XLOOKUP(Pipeline_tbl[[#This Row],[Rep_ID]],Dim_Reps!A:A,Dim_Reps!D:D)</f>
        <v>Inside Sales</v>
      </c>
      <c r="R1264" t="str">
        <f>_xlfn.XLOOKUP(Pipeline_tbl[[#This Row],[Rep_ID]],Dim_Reps!A:A,Dim_Reps!E:E)</f>
        <v>NAMER</v>
      </c>
      <c r="S1264" t="str">
        <f>_xlfn.XLOOKUP(Pipeline_tbl[[#This Row],[Created_Date]],Dim_Date!A:A,Dim_Date!H:H)</f>
        <v>Oct 2024</v>
      </c>
      <c r="T1264" t="str">
        <f>IF(Pipeline_tbl[[#This Row],[Closed_Date]]=0,"",(_xlfn.XLOOKUP(Pipeline_tbl[[#This Row],[Closed_Date]],Dim_Date!A:A,Dim_Date!H:H)))</f>
        <v>Oct 2024</v>
      </c>
      <c r="U1264">
        <f>IF(Pipeline_tbl[[#This Row],[Closed_Date]]=0,"",Pipeline_tbl[[#This Row],[Closed_Date]]-Pipeline_tbl[[#This Row],[Created_Date]])</f>
        <v>13</v>
      </c>
    </row>
    <row r="1265" spans="1:21" ht="15" customHeight="1" x14ac:dyDescent="0.2">
      <c r="A1265" t="s">
        <v>1571</v>
      </c>
      <c r="B1265" t="s">
        <v>193</v>
      </c>
      <c r="C1265" t="s">
        <v>54</v>
      </c>
      <c r="D1265" s="49">
        <v>45570</v>
      </c>
      <c r="E1265" s="49">
        <v>45572</v>
      </c>
      <c r="F1265" s="49">
        <v>45576</v>
      </c>
      <c r="G1265" s="49">
        <v>45582</v>
      </c>
      <c r="H1265" s="49">
        <v>45587</v>
      </c>
      <c r="I1265" s="49">
        <v>45590</v>
      </c>
      <c r="J1265" t="s">
        <v>49</v>
      </c>
      <c r="K1265" s="33">
        <v>2200</v>
      </c>
      <c r="L1265" t="s">
        <v>64</v>
      </c>
      <c r="M1265" t="str">
        <f>_xlfn.XLOOKUP(Pipeline_tbl[[#This Row],[Rep_ID]],Dim_Reps!A:A,Dim_Reps!K:K)</f>
        <v>USD</v>
      </c>
      <c r="N1265" s="33">
        <f>(_xlfn.XLOOKUP(Pipeline_tbl[[#This Row],[Rate_Code_Generalized]],Lookups!A:A,Lookups!B:B))*Pipeline_tbl[[#This Row],[Pipeline_Amount_USD]]</f>
        <v>2561.4599999999996</v>
      </c>
      <c r="O1265" t="str">
        <f>_xlfn.XLOOKUP(Pipeline_tbl[[#This Row],[Rep_ID]],Dim_Reps!A:A,Dim_Reps!B:B)</f>
        <v>Karim Rossi</v>
      </c>
      <c r="P1265" t="str">
        <f>_xlfn.XLOOKUP(Pipeline_tbl[[#This Row],[Rep_ID]],Dim_Reps!A:A,Dim_Reps!C:C)</f>
        <v>SDR / Inside Sales Rep</v>
      </c>
      <c r="Q1265" t="str">
        <f>_xlfn.XLOOKUP(Pipeline_tbl[[#This Row],[Rep_ID]],Dim_Reps!A:A,Dim_Reps!D:D)</f>
        <v>Inside Sales</v>
      </c>
      <c r="R1265" t="str">
        <f>_xlfn.XLOOKUP(Pipeline_tbl[[#This Row],[Rep_ID]],Dim_Reps!A:A,Dim_Reps!E:E)</f>
        <v>NAMER</v>
      </c>
      <c r="S1265" t="str">
        <f>_xlfn.XLOOKUP(Pipeline_tbl[[#This Row],[Created_Date]],Dim_Date!A:A,Dim_Date!H:H)</f>
        <v>Oct 2024</v>
      </c>
      <c r="T1265" t="str">
        <f>IF(Pipeline_tbl[[#This Row],[Closed_Date]]=0,"",(_xlfn.XLOOKUP(Pipeline_tbl[[#This Row],[Closed_Date]],Dim_Date!A:A,Dim_Date!H:H)))</f>
        <v>Oct 2024</v>
      </c>
      <c r="U1265">
        <f>IF(Pipeline_tbl[[#This Row],[Closed_Date]]=0,"",Pipeline_tbl[[#This Row],[Closed_Date]]-Pipeline_tbl[[#This Row],[Created_Date]])</f>
        <v>20</v>
      </c>
    </row>
    <row r="1266" spans="1:21" ht="15" customHeight="1" x14ac:dyDescent="0.2">
      <c r="A1266" t="s">
        <v>1572</v>
      </c>
      <c r="B1266" t="s">
        <v>243</v>
      </c>
      <c r="C1266" t="s">
        <v>53</v>
      </c>
      <c r="D1266" s="49">
        <v>45586</v>
      </c>
      <c r="E1266" s="49">
        <v>45587</v>
      </c>
      <c r="F1266" s="49">
        <v>45589</v>
      </c>
      <c r="I1266" s="49">
        <v>45596</v>
      </c>
      <c r="J1266" t="s">
        <v>49</v>
      </c>
      <c r="K1266" s="33">
        <v>21900</v>
      </c>
      <c r="L1266" t="s">
        <v>62</v>
      </c>
      <c r="M1266" t="str">
        <f>_xlfn.XLOOKUP(Pipeline_tbl[[#This Row],[Rep_ID]],Dim_Reps!A:A,Dim_Reps!K:K)</f>
        <v>MXN</v>
      </c>
      <c r="N1266" s="33">
        <f>(_xlfn.XLOOKUP(Pipeline_tbl[[#This Row],[Rate_Code_Generalized]],Lookups!A:A,Lookups!B:B))*Pipeline_tbl[[#This Row],[Pipeline_Amount_USD]]</f>
        <v>432146.13</v>
      </c>
      <c r="O1266" t="str">
        <f>_xlfn.XLOOKUP(Pipeline_tbl[[#This Row],[Rep_ID]],Dim_Reps!A:A,Dim_Reps!B:B)</f>
        <v>Jonas Sato</v>
      </c>
      <c r="P1266" t="str">
        <f>_xlfn.XLOOKUP(Pipeline_tbl[[#This Row],[Rep_ID]],Dim_Reps!A:A,Dim_Reps!C:C)</f>
        <v>Mid-Market AE</v>
      </c>
      <c r="Q1266" t="str">
        <f>_xlfn.XLOOKUP(Pipeline_tbl[[#This Row],[Rep_ID]],Dim_Reps!A:A,Dim_Reps!D:D)</f>
        <v>Mid-Market</v>
      </c>
      <c r="R1266" t="str">
        <f>_xlfn.XLOOKUP(Pipeline_tbl[[#This Row],[Rep_ID]],Dim_Reps!A:A,Dim_Reps!E:E)</f>
        <v>LATAM</v>
      </c>
      <c r="S1266" t="str">
        <f>_xlfn.XLOOKUP(Pipeline_tbl[[#This Row],[Created_Date]],Dim_Date!A:A,Dim_Date!H:H)</f>
        <v>Oct 2024</v>
      </c>
      <c r="T1266" t="str">
        <f>IF(Pipeline_tbl[[#This Row],[Closed_Date]]=0,"",(_xlfn.XLOOKUP(Pipeline_tbl[[#This Row],[Closed_Date]],Dim_Date!A:A,Dim_Date!H:H)))</f>
        <v>Oct 2024</v>
      </c>
      <c r="U1266">
        <f>IF(Pipeline_tbl[[#This Row],[Closed_Date]]=0,"",Pipeline_tbl[[#This Row],[Closed_Date]]-Pipeline_tbl[[#This Row],[Created_Date]])</f>
        <v>10</v>
      </c>
    </row>
    <row r="1267" spans="1:21" ht="15" customHeight="1" x14ac:dyDescent="0.2">
      <c r="A1267" t="s">
        <v>1573</v>
      </c>
      <c r="B1267" t="s">
        <v>196</v>
      </c>
      <c r="C1267" t="s">
        <v>55</v>
      </c>
      <c r="D1267" s="49">
        <v>45566</v>
      </c>
      <c r="E1267" s="49">
        <v>45567</v>
      </c>
      <c r="F1267" s="49">
        <v>45568</v>
      </c>
      <c r="G1267" s="49">
        <v>45570</v>
      </c>
      <c r="H1267" s="49">
        <v>45571</v>
      </c>
      <c r="I1267" s="49">
        <v>45572</v>
      </c>
      <c r="J1267" t="s">
        <v>47</v>
      </c>
      <c r="K1267" s="33">
        <v>5100</v>
      </c>
      <c r="M1267" t="str">
        <f>_xlfn.XLOOKUP(Pipeline_tbl[[#This Row],[Rep_ID]],Dim_Reps!A:A,Dim_Reps!K:K)</f>
        <v>EUR</v>
      </c>
      <c r="N1267" s="33">
        <f>(_xlfn.XLOOKUP(Pipeline_tbl[[#This Row],[Rate_Code_Generalized]],Lookups!A:A,Lookups!B:B))*Pipeline_tbl[[#This Row],[Pipeline_Amount_USD]]</f>
        <v>5100</v>
      </c>
      <c r="O1267" t="str">
        <f>_xlfn.XLOOKUP(Pipeline_tbl[[#This Row],[Rep_ID]],Dim_Reps!A:A,Dim_Reps!B:B)</f>
        <v>Alex Okafor</v>
      </c>
      <c r="P1267" t="str">
        <f>_xlfn.XLOOKUP(Pipeline_tbl[[#This Row],[Rep_ID]],Dim_Reps!A:A,Dim_Reps!C:C)</f>
        <v>SDR / Inside Sales Rep</v>
      </c>
      <c r="Q1267" t="str">
        <f>_xlfn.XLOOKUP(Pipeline_tbl[[#This Row],[Rep_ID]],Dim_Reps!A:A,Dim_Reps!D:D)</f>
        <v>Inside Sales</v>
      </c>
      <c r="R1267" t="str">
        <f>_xlfn.XLOOKUP(Pipeline_tbl[[#This Row],[Rep_ID]],Dim_Reps!A:A,Dim_Reps!E:E)</f>
        <v>EMEA</v>
      </c>
      <c r="S1267" t="str">
        <f>_xlfn.XLOOKUP(Pipeline_tbl[[#This Row],[Created_Date]],Dim_Date!A:A,Dim_Date!H:H)</f>
        <v>Oct 2024</v>
      </c>
      <c r="T1267" t="str">
        <f>IF(Pipeline_tbl[[#This Row],[Closed_Date]]=0,"",(_xlfn.XLOOKUP(Pipeline_tbl[[#This Row],[Closed_Date]],Dim_Date!A:A,Dim_Date!H:H)))</f>
        <v>Oct 2024</v>
      </c>
      <c r="U1267">
        <f>IF(Pipeline_tbl[[#This Row],[Closed_Date]]=0,"",Pipeline_tbl[[#This Row],[Closed_Date]]-Pipeline_tbl[[#This Row],[Created_Date]])</f>
        <v>6</v>
      </c>
    </row>
    <row r="1268" spans="1:21" ht="15" customHeight="1" x14ac:dyDescent="0.2">
      <c r="A1268" t="s">
        <v>1574</v>
      </c>
      <c r="B1268" t="s">
        <v>196</v>
      </c>
      <c r="C1268" t="s">
        <v>52</v>
      </c>
      <c r="D1268" s="49">
        <v>45578</v>
      </c>
      <c r="E1268" s="49">
        <v>45579</v>
      </c>
      <c r="F1268" s="49">
        <v>45582</v>
      </c>
      <c r="G1268" s="49">
        <v>45586</v>
      </c>
      <c r="I1268" s="49">
        <v>45592</v>
      </c>
      <c r="J1268" t="s">
        <v>49</v>
      </c>
      <c r="K1268" s="33">
        <v>2800</v>
      </c>
      <c r="L1268" t="s">
        <v>61</v>
      </c>
      <c r="M1268" t="str">
        <f>_xlfn.XLOOKUP(Pipeline_tbl[[#This Row],[Rep_ID]],Dim_Reps!A:A,Dim_Reps!K:K)</f>
        <v>EUR</v>
      </c>
      <c r="N1268" s="33">
        <f>(_xlfn.XLOOKUP(Pipeline_tbl[[#This Row],[Rate_Code_Generalized]],Lookups!A:A,Lookups!B:B))*Pipeline_tbl[[#This Row],[Pipeline_Amount_USD]]</f>
        <v>2800</v>
      </c>
      <c r="O1268" t="str">
        <f>_xlfn.XLOOKUP(Pipeline_tbl[[#This Row],[Rep_ID]],Dim_Reps!A:A,Dim_Reps!B:B)</f>
        <v>Alex Okafor</v>
      </c>
      <c r="P1268" t="str">
        <f>_xlfn.XLOOKUP(Pipeline_tbl[[#This Row],[Rep_ID]],Dim_Reps!A:A,Dim_Reps!C:C)</f>
        <v>SDR / Inside Sales Rep</v>
      </c>
      <c r="Q1268" t="str">
        <f>_xlfn.XLOOKUP(Pipeline_tbl[[#This Row],[Rep_ID]],Dim_Reps!A:A,Dim_Reps!D:D)</f>
        <v>Inside Sales</v>
      </c>
      <c r="R1268" t="str">
        <f>_xlfn.XLOOKUP(Pipeline_tbl[[#This Row],[Rep_ID]],Dim_Reps!A:A,Dim_Reps!E:E)</f>
        <v>EMEA</v>
      </c>
      <c r="S1268" t="str">
        <f>_xlfn.XLOOKUP(Pipeline_tbl[[#This Row],[Created_Date]],Dim_Date!A:A,Dim_Date!H:H)</f>
        <v>Oct 2024</v>
      </c>
      <c r="T1268" t="str">
        <f>IF(Pipeline_tbl[[#This Row],[Closed_Date]]=0,"",(_xlfn.XLOOKUP(Pipeline_tbl[[#This Row],[Closed_Date]],Dim_Date!A:A,Dim_Date!H:H)))</f>
        <v>Oct 2024</v>
      </c>
      <c r="U1268">
        <f>IF(Pipeline_tbl[[#This Row],[Closed_Date]]=0,"",Pipeline_tbl[[#This Row],[Closed_Date]]-Pipeline_tbl[[#This Row],[Created_Date]])</f>
        <v>14</v>
      </c>
    </row>
    <row r="1269" spans="1:21" ht="15" customHeight="1" x14ac:dyDescent="0.2">
      <c r="A1269" t="s">
        <v>1575</v>
      </c>
      <c r="B1269" t="s">
        <v>196</v>
      </c>
      <c r="C1269" t="s">
        <v>52</v>
      </c>
      <c r="D1269" s="49">
        <v>45581</v>
      </c>
      <c r="E1269" s="49">
        <v>45583</v>
      </c>
      <c r="F1269" s="49">
        <v>45586</v>
      </c>
      <c r="G1269" s="49">
        <v>45590</v>
      </c>
      <c r="I1269" s="49">
        <v>45596</v>
      </c>
      <c r="J1269" t="s">
        <v>49</v>
      </c>
      <c r="K1269" s="33">
        <v>3400</v>
      </c>
      <c r="L1269" t="s">
        <v>60</v>
      </c>
      <c r="M1269" t="str">
        <f>_xlfn.XLOOKUP(Pipeline_tbl[[#This Row],[Rep_ID]],Dim_Reps!A:A,Dim_Reps!K:K)</f>
        <v>EUR</v>
      </c>
      <c r="N1269" s="33">
        <f>(_xlfn.XLOOKUP(Pipeline_tbl[[#This Row],[Rate_Code_Generalized]],Lookups!A:A,Lookups!B:B))*Pipeline_tbl[[#This Row],[Pipeline_Amount_USD]]</f>
        <v>3400</v>
      </c>
      <c r="O1269" t="str">
        <f>_xlfn.XLOOKUP(Pipeline_tbl[[#This Row],[Rep_ID]],Dim_Reps!A:A,Dim_Reps!B:B)</f>
        <v>Alex Okafor</v>
      </c>
      <c r="P1269" t="str">
        <f>_xlfn.XLOOKUP(Pipeline_tbl[[#This Row],[Rep_ID]],Dim_Reps!A:A,Dim_Reps!C:C)</f>
        <v>SDR / Inside Sales Rep</v>
      </c>
      <c r="Q1269" t="str">
        <f>_xlfn.XLOOKUP(Pipeline_tbl[[#This Row],[Rep_ID]],Dim_Reps!A:A,Dim_Reps!D:D)</f>
        <v>Inside Sales</v>
      </c>
      <c r="R1269" t="str">
        <f>_xlfn.XLOOKUP(Pipeline_tbl[[#This Row],[Rep_ID]],Dim_Reps!A:A,Dim_Reps!E:E)</f>
        <v>EMEA</v>
      </c>
      <c r="S1269" t="str">
        <f>_xlfn.XLOOKUP(Pipeline_tbl[[#This Row],[Created_Date]],Dim_Date!A:A,Dim_Date!H:H)</f>
        <v>Oct 2024</v>
      </c>
      <c r="T1269" t="str">
        <f>IF(Pipeline_tbl[[#This Row],[Closed_Date]]=0,"",(_xlfn.XLOOKUP(Pipeline_tbl[[#This Row],[Closed_Date]],Dim_Date!A:A,Dim_Date!H:H)))</f>
        <v>Oct 2024</v>
      </c>
      <c r="U1269">
        <f>IF(Pipeline_tbl[[#This Row],[Closed_Date]]=0,"",Pipeline_tbl[[#This Row],[Closed_Date]]-Pipeline_tbl[[#This Row],[Created_Date]])</f>
        <v>15</v>
      </c>
    </row>
    <row r="1270" spans="1:21" ht="15" customHeight="1" x14ac:dyDescent="0.2">
      <c r="A1270" t="s">
        <v>1576</v>
      </c>
      <c r="B1270" t="s">
        <v>196</v>
      </c>
      <c r="C1270" t="s">
        <v>52</v>
      </c>
      <c r="D1270" s="49">
        <v>45566</v>
      </c>
      <c r="E1270" s="49">
        <v>45567</v>
      </c>
      <c r="F1270" s="49">
        <v>45570</v>
      </c>
      <c r="G1270" s="49">
        <v>45574</v>
      </c>
      <c r="I1270" s="49">
        <v>45579</v>
      </c>
      <c r="J1270" t="s">
        <v>49</v>
      </c>
      <c r="K1270" s="33">
        <v>2200</v>
      </c>
      <c r="L1270" t="s">
        <v>60</v>
      </c>
      <c r="M1270" t="str">
        <f>_xlfn.XLOOKUP(Pipeline_tbl[[#This Row],[Rep_ID]],Dim_Reps!A:A,Dim_Reps!K:K)</f>
        <v>EUR</v>
      </c>
      <c r="N1270" s="33">
        <f>(_xlfn.XLOOKUP(Pipeline_tbl[[#This Row],[Rate_Code_Generalized]],Lookups!A:A,Lookups!B:B))*Pipeline_tbl[[#This Row],[Pipeline_Amount_USD]]</f>
        <v>2200</v>
      </c>
      <c r="O1270" t="str">
        <f>_xlfn.XLOOKUP(Pipeline_tbl[[#This Row],[Rep_ID]],Dim_Reps!A:A,Dim_Reps!B:B)</f>
        <v>Alex Okafor</v>
      </c>
      <c r="P1270" t="str">
        <f>_xlfn.XLOOKUP(Pipeline_tbl[[#This Row],[Rep_ID]],Dim_Reps!A:A,Dim_Reps!C:C)</f>
        <v>SDR / Inside Sales Rep</v>
      </c>
      <c r="Q1270" t="str">
        <f>_xlfn.XLOOKUP(Pipeline_tbl[[#This Row],[Rep_ID]],Dim_Reps!A:A,Dim_Reps!D:D)</f>
        <v>Inside Sales</v>
      </c>
      <c r="R1270" t="str">
        <f>_xlfn.XLOOKUP(Pipeline_tbl[[#This Row],[Rep_ID]],Dim_Reps!A:A,Dim_Reps!E:E)</f>
        <v>EMEA</v>
      </c>
      <c r="S1270" t="str">
        <f>_xlfn.XLOOKUP(Pipeline_tbl[[#This Row],[Created_Date]],Dim_Date!A:A,Dim_Date!H:H)</f>
        <v>Oct 2024</v>
      </c>
      <c r="T1270" t="str">
        <f>IF(Pipeline_tbl[[#This Row],[Closed_Date]]=0,"",(_xlfn.XLOOKUP(Pipeline_tbl[[#This Row],[Closed_Date]],Dim_Date!A:A,Dim_Date!H:H)))</f>
        <v>Oct 2024</v>
      </c>
      <c r="U1270">
        <f>IF(Pipeline_tbl[[#This Row],[Closed_Date]]=0,"",Pipeline_tbl[[#This Row],[Closed_Date]]-Pipeline_tbl[[#This Row],[Created_Date]])</f>
        <v>13</v>
      </c>
    </row>
    <row r="1271" spans="1:21" ht="15" customHeight="1" x14ac:dyDescent="0.2">
      <c r="A1271" t="s">
        <v>1577</v>
      </c>
      <c r="B1271" t="s">
        <v>199</v>
      </c>
      <c r="C1271" t="s">
        <v>53</v>
      </c>
      <c r="D1271" s="49">
        <v>45581</v>
      </c>
      <c r="E1271" s="49">
        <v>45582</v>
      </c>
      <c r="F1271" s="49">
        <v>45585</v>
      </c>
      <c r="I1271" s="49">
        <v>45595</v>
      </c>
      <c r="J1271" t="s">
        <v>49</v>
      </c>
      <c r="K1271" s="33">
        <v>2300</v>
      </c>
      <c r="L1271" t="s">
        <v>61</v>
      </c>
      <c r="M1271" t="str">
        <f>_xlfn.XLOOKUP(Pipeline_tbl[[#This Row],[Rep_ID]],Dim_Reps!A:A,Dim_Reps!K:K)</f>
        <v>EUR</v>
      </c>
      <c r="N1271" s="33">
        <f>(_xlfn.XLOOKUP(Pipeline_tbl[[#This Row],[Rate_Code_Generalized]],Lookups!A:A,Lookups!B:B))*Pipeline_tbl[[#This Row],[Pipeline_Amount_USD]]</f>
        <v>2300</v>
      </c>
      <c r="O1271" t="str">
        <f>_xlfn.XLOOKUP(Pipeline_tbl[[#This Row],[Rep_ID]],Dim_Reps!A:A,Dim_Reps!B:B)</f>
        <v>Lucas Okafor</v>
      </c>
      <c r="P1271" t="str">
        <f>_xlfn.XLOOKUP(Pipeline_tbl[[#This Row],[Rep_ID]],Dim_Reps!A:A,Dim_Reps!C:C)</f>
        <v>SDR / Inside Sales Rep</v>
      </c>
      <c r="Q1271" t="str">
        <f>_xlfn.XLOOKUP(Pipeline_tbl[[#This Row],[Rep_ID]],Dim_Reps!A:A,Dim_Reps!D:D)</f>
        <v>Inside Sales</v>
      </c>
      <c r="R1271" t="str">
        <f>_xlfn.XLOOKUP(Pipeline_tbl[[#This Row],[Rep_ID]],Dim_Reps!A:A,Dim_Reps!E:E)</f>
        <v>APAC</v>
      </c>
      <c r="S1271" t="str">
        <f>_xlfn.XLOOKUP(Pipeline_tbl[[#This Row],[Created_Date]],Dim_Date!A:A,Dim_Date!H:H)</f>
        <v>Oct 2024</v>
      </c>
      <c r="T1271" t="str">
        <f>IF(Pipeline_tbl[[#This Row],[Closed_Date]]=0,"",(_xlfn.XLOOKUP(Pipeline_tbl[[#This Row],[Closed_Date]],Dim_Date!A:A,Dim_Date!H:H)))</f>
        <v>Oct 2024</v>
      </c>
      <c r="U1271">
        <f>IF(Pipeline_tbl[[#This Row],[Closed_Date]]=0,"",Pipeline_tbl[[#This Row],[Closed_Date]]-Pipeline_tbl[[#This Row],[Created_Date]])</f>
        <v>14</v>
      </c>
    </row>
    <row r="1272" spans="1:21" ht="15" customHeight="1" x14ac:dyDescent="0.2">
      <c r="A1272" t="s">
        <v>1578</v>
      </c>
      <c r="B1272" t="s">
        <v>199</v>
      </c>
      <c r="C1272" t="s">
        <v>52</v>
      </c>
      <c r="D1272" s="49">
        <v>45566</v>
      </c>
      <c r="E1272" s="49">
        <v>45569</v>
      </c>
      <c r="F1272" s="49">
        <v>45575</v>
      </c>
      <c r="G1272" s="49">
        <v>45583</v>
      </c>
      <c r="H1272" s="49">
        <v>45591</v>
      </c>
      <c r="I1272" s="49">
        <v>45595</v>
      </c>
      <c r="J1272" t="s">
        <v>47</v>
      </c>
      <c r="K1272" s="33">
        <v>1200</v>
      </c>
      <c r="M1272" t="str">
        <f>_xlfn.XLOOKUP(Pipeline_tbl[[#This Row],[Rep_ID]],Dim_Reps!A:A,Dim_Reps!K:K)</f>
        <v>EUR</v>
      </c>
      <c r="N1272" s="33">
        <f>(_xlfn.XLOOKUP(Pipeline_tbl[[#This Row],[Rate_Code_Generalized]],Lookups!A:A,Lookups!B:B))*Pipeline_tbl[[#This Row],[Pipeline_Amount_USD]]</f>
        <v>1200</v>
      </c>
      <c r="O1272" t="str">
        <f>_xlfn.XLOOKUP(Pipeline_tbl[[#This Row],[Rep_ID]],Dim_Reps!A:A,Dim_Reps!B:B)</f>
        <v>Lucas Okafor</v>
      </c>
      <c r="P1272" t="str">
        <f>_xlfn.XLOOKUP(Pipeline_tbl[[#This Row],[Rep_ID]],Dim_Reps!A:A,Dim_Reps!C:C)</f>
        <v>SDR / Inside Sales Rep</v>
      </c>
      <c r="Q1272" t="str">
        <f>_xlfn.XLOOKUP(Pipeline_tbl[[#This Row],[Rep_ID]],Dim_Reps!A:A,Dim_Reps!D:D)</f>
        <v>Inside Sales</v>
      </c>
      <c r="R1272" t="str">
        <f>_xlfn.XLOOKUP(Pipeline_tbl[[#This Row],[Rep_ID]],Dim_Reps!A:A,Dim_Reps!E:E)</f>
        <v>APAC</v>
      </c>
      <c r="S1272" t="str">
        <f>_xlfn.XLOOKUP(Pipeline_tbl[[#This Row],[Created_Date]],Dim_Date!A:A,Dim_Date!H:H)</f>
        <v>Oct 2024</v>
      </c>
      <c r="T1272" t="str">
        <f>IF(Pipeline_tbl[[#This Row],[Closed_Date]]=0,"",(_xlfn.XLOOKUP(Pipeline_tbl[[#This Row],[Closed_Date]],Dim_Date!A:A,Dim_Date!H:H)))</f>
        <v>Oct 2024</v>
      </c>
      <c r="U1272">
        <f>IF(Pipeline_tbl[[#This Row],[Closed_Date]]=0,"",Pipeline_tbl[[#This Row],[Closed_Date]]-Pipeline_tbl[[#This Row],[Created_Date]])</f>
        <v>29</v>
      </c>
    </row>
    <row r="1273" spans="1:21" ht="15" customHeight="1" x14ac:dyDescent="0.2">
      <c r="A1273" t="s">
        <v>1579</v>
      </c>
      <c r="B1273" t="s">
        <v>199</v>
      </c>
      <c r="C1273" t="s">
        <v>53</v>
      </c>
      <c r="D1273" s="49">
        <v>45568</v>
      </c>
      <c r="E1273" s="49">
        <v>45570</v>
      </c>
      <c r="I1273" s="49">
        <v>45586</v>
      </c>
      <c r="J1273" t="s">
        <v>49</v>
      </c>
      <c r="K1273" s="33">
        <v>3800</v>
      </c>
      <c r="L1273" t="s">
        <v>60</v>
      </c>
      <c r="M1273" t="str">
        <f>_xlfn.XLOOKUP(Pipeline_tbl[[#This Row],[Rep_ID]],Dim_Reps!A:A,Dim_Reps!K:K)</f>
        <v>EUR</v>
      </c>
      <c r="N1273" s="33">
        <f>(_xlfn.XLOOKUP(Pipeline_tbl[[#This Row],[Rate_Code_Generalized]],Lookups!A:A,Lookups!B:B))*Pipeline_tbl[[#This Row],[Pipeline_Amount_USD]]</f>
        <v>3800</v>
      </c>
      <c r="O1273" t="str">
        <f>_xlfn.XLOOKUP(Pipeline_tbl[[#This Row],[Rep_ID]],Dim_Reps!A:A,Dim_Reps!B:B)</f>
        <v>Lucas Okafor</v>
      </c>
      <c r="P1273" t="str">
        <f>_xlfn.XLOOKUP(Pipeline_tbl[[#This Row],[Rep_ID]],Dim_Reps!A:A,Dim_Reps!C:C)</f>
        <v>SDR / Inside Sales Rep</v>
      </c>
      <c r="Q1273" t="str">
        <f>_xlfn.XLOOKUP(Pipeline_tbl[[#This Row],[Rep_ID]],Dim_Reps!A:A,Dim_Reps!D:D)</f>
        <v>Inside Sales</v>
      </c>
      <c r="R1273" t="str">
        <f>_xlfn.XLOOKUP(Pipeline_tbl[[#This Row],[Rep_ID]],Dim_Reps!A:A,Dim_Reps!E:E)</f>
        <v>APAC</v>
      </c>
      <c r="S1273" t="str">
        <f>_xlfn.XLOOKUP(Pipeline_tbl[[#This Row],[Created_Date]],Dim_Date!A:A,Dim_Date!H:H)</f>
        <v>Oct 2024</v>
      </c>
      <c r="T1273" t="str">
        <f>IF(Pipeline_tbl[[#This Row],[Closed_Date]]=0,"",(_xlfn.XLOOKUP(Pipeline_tbl[[#This Row],[Closed_Date]],Dim_Date!A:A,Dim_Date!H:H)))</f>
        <v>Oct 2024</v>
      </c>
      <c r="U1273">
        <f>IF(Pipeline_tbl[[#This Row],[Closed_Date]]=0,"",Pipeline_tbl[[#This Row],[Closed_Date]]-Pipeline_tbl[[#This Row],[Created_Date]])</f>
        <v>18</v>
      </c>
    </row>
    <row r="1274" spans="1:21" ht="15" customHeight="1" x14ac:dyDescent="0.2">
      <c r="A1274" t="s">
        <v>1580</v>
      </c>
      <c r="B1274" t="s">
        <v>199</v>
      </c>
      <c r="C1274" t="s">
        <v>52</v>
      </c>
      <c r="D1274" s="49">
        <v>45575</v>
      </c>
      <c r="E1274" s="49">
        <v>45577</v>
      </c>
      <c r="F1274" s="49">
        <v>45580</v>
      </c>
      <c r="G1274" s="49">
        <v>45584</v>
      </c>
      <c r="H1274" s="49">
        <v>45588</v>
      </c>
      <c r="I1274" s="49">
        <v>45590</v>
      </c>
      <c r="J1274" t="s">
        <v>47</v>
      </c>
      <c r="K1274" s="33">
        <v>2700</v>
      </c>
      <c r="M1274" t="str">
        <f>_xlfn.XLOOKUP(Pipeline_tbl[[#This Row],[Rep_ID]],Dim_Reps!A:A,Dim_Reps!K:K)</f>
        <v>EUR</v>
      </c>
      <c r="N1274" s="33">
        <f>(_xlfn.XLOOKUP(Pipeline_tbl[[#This Row],[Rate_Code_Generalized]],Lookups!A:A,Lookups!B:B))*Pipeline_tbl[[#This Row],[Pipeline_Amount_USD]]</f>
        <v>2700</v>
      </c>
      <c r="O1274" t="str">
        <f>_xlfn.XLOOKUP(Pipeline_tbl[[#This Row],[Rep_ID]],Dim_Reps!A:A,Dim_Reps!B:B)</f>
        <v>Lucas Okafor</v>
      </c>
      <c r="P1274" t="str">
        <f>_xlfn.XLOOKUP(Pipeline_tbl[[#This Row],[Rep_ID]],Dim_Reps!A:A,Dim_Reps!C:C)</f>
        <v>SDR / Inside Sales Rep</v>
      </c>
      <c r="Q1274" t="str">
        <f>_xlfn.XLOOKUP(Pipeline_tbl[[#This Row],[Rep_ID]],Dim_Reps!A:A,Dim_Reps!D:D)</f>
        <v>Inside Sales</v>
      </c>
      <c r="R1274" t="str">
        <f>_xlfn.XLOOKUP(Pipeline_tbl[[#This Row],[Rep_ID]],Dim_Reps!A:A,Dim_Reps!E:E)</f>
        <v>APAC</v>
      </c>
      <c r="S1274" t="str">
        <f>_xlfn.XLOOKUP(Pipeline_tbl[[#This Row],[Created_Date]],Dim_Date!A:A,Dim_Date!H:H)</f>
        <v>Oct 2024</v>
      </c>
      <c r="T1274" t="str">
        <f>IF(Pipeline_tbl[[#This Row],[Closed_Date]]=0,"",(_xlfn.XLOOKUP(Pipeline_tbl[[#This Row],[Closed_Date]],Dim_Date!A:A,Dim_Date!H:H)))</f>
        <v>Oct 2024</v>
      </c>
      <c r="U1274">
        <f>IF(Pipeline_tbl[[#This Row],[Closed_Date]]=0,"",Pipeline_tbl[[#This Row],[Closed_Date]]-Pipeline_tbl[[#This Row],[Created_Date]])</f>
        <v>15</v>
      </c>
    </row>
    <row r="1275" spans="1:21" ht="15" customHeight="1" x14ac:dyDescent="0.2">
      <c r="A1275" t="s">
        <v>1581</v>
      </c>
      <c r="B1275" t="s">
        <v>199</v>
      </c>
      <c r="C1275" t="s">
        <v>52</v>
      </c>
      <c r="D1275" s="49">
        <v>45573</v>
      </c>
      <c r="E1275" s="49">
        <v>45575</v>
      </c>
      <c r="I1275" s="49">
        <v>45594</v>
      </c>
      <c r="J1275" t="s">
        <v>49</v>
      </c>
      <c r="K1275" s="33">
        <v>3700</v>
      </c>
      <c r="L1275" t="s">
        <v>62</v>
      </c>
      <c r="M1275" t="str">
        <f>_xlfn.XLOOKUP(Pipeline_tbl[[#This Row],[Rep_ID]],Dim_Reps!A:A,Dim_Reps!K:K)</f>
        <v>EUR</v>
      </c>
      <c r="N1275" s="33">
        <f>(_xlfn.XLOOKUP(Pipeline_tbl[[#This Row],[Rate_Code_Generalized]],Lookups!A:A,Lookups!B:B))*Pipeline_tbl[[#This Row],[Pipeline_Amount_USD]]</f>
        <v>3700</v>
      </c>
      <c r="O1275" t="str">
        <f>_xlfn.XLOOKUP(Pipeline_tbl[[#This Row],[Rep_ID]],Dim_Reps!A:A,Dim_Reps!B:B)</f>
        <v>Lucas Okafor</v>
      </c>
      <c r="P1275" t="str">
        <f>_xlfn.XLOOKUP(Pipeline_tbl[[#This Row],[Rep_ID]],Dim_Reps!A:A,Dim_Reps!C:C)</f>
        <v>SDR / Inside Sales Rep</v>
      </c>
      <c r="Q1275" t="str">
        <f>_xlfn.XLOOKUP(Pipeline_tbl[[#This Row],[Rep_ID]],Dim_Reps!A:A,Dim_Reps!D:D)</f>
        <v>Inside Sales</v>
      </c>
      <c r="R1275" t="str">
        <f>_xlfn.XLOOKUP(Pipeline_tbl[[#This Row],[Rep_ID]],Dim_Reps!A:A,Dim_Reps!E:E)</f>
        <v>APAC</v>
      </c>
      <c r="S1275" t="str">
        <f>_xlfn.XLOOKUP(Pipeline_tbl[[#This Row],[Created_Date]],Dim_Date!A:A,Dim_Date!H:H)</f>
        <v>Oct 2024</v>
      </c>
      <c r="T1275" t="str">
        <f>IF(Pipeline_tbl[[#This Row],[Closed_Date]]=0,"",(_xlfn.XLOOKUP(Pipeline_tbl[[#This Row],[Closed_Date]],Dim_Date!A:A,Dim_Date!H:H)))</f>
        <v>Oct 2024</v>
      </c>
      <c r="U1275">
        <f>IF(Pipeline_tbl[[#This Row],[Closed_Date]]=0,"",Pipeline_tbl[[#This Row],[Closed_Date]]-Pipeline_tbl[[#This Row],[Created_Date]])</f>
        <v>21</v>
      </c>
    </row>
    <row r="1276" spans="1:21" ht="15" customHeight="1" x14ac:dyDescent="0.2">
      <c r="A1276" t="s">
        <v>1582</v>
      </c>
      <c r="B1276" t="s">
        <v>199</v>
      </c>
      <c r="C1276" t="s">
        <v>54</v>
      </c>
      <c r="D1276" s="49">
        <v>45578</v>
      </c>
      <c r="E1276" s="49">
        <v>45579</v>
      </c>
      <c r="F1276" s="49">
        <v>45581</v>
      </c>
      <c r="G1276" s="49">
        <v>45584</v>
      </c>
      <c r="H1276" s="49">
        <v>45586</v>
      </c>
      <c r="I1276" s="49">
        <v>45588</v>
      </c>
      <c r="J1276" t="s">
        <v>47</v>
      </c>
      <c r="K1276" s="33">
        <v>5100</v>
      </c>
      <c r="M1276" t="str">
        <f>_xlfn.XLOOKUP(Pipeline_tbl[[#This Row],[Rep_ID]],Dim_Reps!A:A,Dim_Reps!K:K)</f>
        <v>EUR</v>
      </c>
      <c r="N1276" s="33">
        <f>(_xlfn.XLOOKUP(Pipeline_tbl[[#This Row],[Rate_Code_Generalized]],Lookups!A:A,Lookups!B:B))*Pipeline_tbl[[#This Row],[Pipeline_Amount_USD]]</f>
        <v>5100</v>
      </c>
      <c r="O1276" t="str">
        <f>_xlfn.XLOOKUP(Pipeline_tbl[[#This Row],[Rep_ID]],Dim_Reps!A:A,Dim_Reps!B:B)</f>
        <v>Lucas Okafor</v>
      </c>
      <c r="P1276" t="str">
        <f>_xlfn.XLOOKUP(Pipeline_tbl[[#This Row],[Rep_ID]],Dim_Reps!A:A,Dim_Reps!C:C)</f>
        <v>SDR / Inside Sales Rep</v>
      </c>
      <c r="Q1276" t="str">
        <f>_xlfn.XLOOKUP(Pipeline_tbl[[#This Row],[Rep_ID]],Dim_Reps!A:A,Dim_Reps!D:D)</f>
        <v>Inside Sales</v>
      </c>
      <c r="R1276" t="str">
        <f>_xlfn.XLOOKUP(Pipeline_tbl[[#This Row],[Rep_ID]],Dim_Reps!A:A,Dim_Reps!E:E)</f>
        <v>APAC</v>
      </c>
      <c r="S1276" t="str">
        <f>_xlfn.XLOOKUP(Pipeline_tbl[[#This Row],[Created_Date]],Dim_Date!A:A,Dim_Date!H:H)</f>
        <v>Oct 2024</v>
      </c>
      <c r="T1276" t="str">
        <f>IF(Pipeline_tbl[[#This Row],[Closed_Date]]=0,"",(_xlfn.XLOOKUP(Pipeline_tbl[[#This Row],[Closed_Date]],Dim_Date!A:A,Dim_Date!H:H)))</f>
        <v>Oct 2024</v>
      </c>
      <c r="U1276">
        <f>IF(Pipeline_tbl[[#This Row],[Closed_Date]]=0,"",Pipeline_tbl[[#This Row],[Closed_Date]]-Pipeline_tbl[[#This Row],[Created_Date]])</f>
        <v>10</v>
      </c>
    </row>
    <row r="1277" spans="1:21" ht="15" customHeight="1" x14ac:dyDescent="0.2">
      <c r="A1277" t="s">
        <v>1583</v>
      </c>
      <c r="B1277" t="s">
        <v>199</v>
      </c>
      <c r="C1277" t="s">
        <v>54</v>
      </c>
      <c r="D1277" s="49">
        <v>45573</v>
      </c>
      <c r="E1277" s="49">
        <v>45575</v>
      </c>
      <c r="F1277" s="49">
        <v>45580</v>
      </c>
      <c r="G1277" s="49">
        <v>45587</v>
      </c>
      <c r="I1277" s="49">
        <v>45596</v>
      </c>
      <c r="J1277" t="s">
        <v>49</v>
      </c>
      <c r="K1277" s="33">
        <v>4400</v>
      </c>
      <c r="L1277" t="s">
        <v>60</v>
      </c>
      <c r="M1277" t="str">
        <f>_xlfn.XLOOKUP(Pipeline_tbl[[#This Row],[Rep_ID]],Dim_Reps!A:A,Dim_Reps!K:K)</f>
        <v>EUR</v>
      </c>
      <c r="N1277" s="33">
        <f>(_xlfn.XLOOKUP(Pipeline_tbl[[#This Row],[Rate_Code_Generalized]],Lookups!A:A,Lookups!B:B))*Pipeline_tbl[[#This Row],[Pipeline_Amount_USD]]</f>
        <v>4400</v>
      </c>
      <c r="O1277" t="str">
        <f>_xlfn.XLOOKUP(Pipeline_tbl[[#This Row],[Rep_ID]],Dim_Reps!A:A,Dim_Reps!B:B)</f>
        <v>Lucas Okafor</v>
      </c>
      <c r="P1277" t="str">
        <f>_xlfn.XLOOKUP(Pipeline_tbl[[#This Row],[Rep_ID]],Dim_Reps!A:A,Dim_Reps!C:C)</f>
        <v>SDR / Inside Sales Rep</v>
      </c>
      <c r="Q1277" t="str">
        <f>_xlfn.XLOOKUP(Pipeline_tbl[[#This Row],[Rep_ID]],Dim_Reps!A:A,Dim_Reps!D:D)</f>
        <v>Inside Sales</v>
      </c>
      <c r="R1277" t="str">
        <f>_xlfn.XLOOKUP(Pipeline_tbl[[#This Row],[Rep_ID]],Dim_Reps!A:A,Dim_Reps!E:E)</f>
        <v>APAC</v>
      </c>
      <c r="S1277" t="str">
        <f>_xlfn.XLOOKUP(Pipeline_tbl[[#This Row],[Created_Date]],Dim_Date!A:A,Dim_Date!H:H)</f>
        <v>Oct 2024</v>
      </c>
      <c r="T1277" t="str">
        <f>IF(Pipeline_tbl[[#This Row],[Closed_Date]]=0,"",(_xlfn.XLOOKUP(Pipeline_tbl[[#This Row],[Closed_Date]],Dim_Date!A:A,Dim_Date!H:H)))</f>
        <v>Oct 2024</v>
      </c>
      <c r="U1277">
        <f>IF(Pipeline_tbl[[#This Row],[Closed_Date]]=0,"",Pipeline_tbl[[#This Row],[Closed_Date]]-Pipeline_tbl[[#This Row],[Created_Date]])</f>
        <v>23</v>
      </c>
    </row>
    <row r="1278" spans="1:21" ht="15" customHeight="1" x14ac:dyDescent="0.2">
      <c r="A1278" t="s">
        <v>1584</v>
      </c>
      <c r="B1278" t="s">
        <v>199</v>
      </c>
      <c r="C1278" t="s">
        <v>53</v>
      </c>
      <c r="D1278" s="49">
        <v>45577</v>
      </c>
      <c r="E1278" s="49">
        <v>45578</v>
      </c>
      <c r="F1278" s="49">
        <v>45579</v>
      </c>
      <c r="G1278" s="49">
        <v>45581</v>
      </c>
      <c r="H1278" s="49">
        <v>45582</v>
      </c>
      <c r="I1278" s="49">
        <v>45583</v>
      </c>
      <c r="J1278" t="s">
        <v>47</v>
      </c>
      <c r="K1278" s="33">
        <v>3000</v>
      </c>
      <c r="M1278" t="str">
        <f>_xlfn.XLOOKUP(Pipeline_tbl[[#This Row],[Rep_ID]],Dim_Reps!A:A,Dim_Reps!K:K)</f>
        <v>EUR</v>
      </c>
      <c r="N1278" s="33">
        <f>(_xlfn.XLOOKUP(Pipeline_tbl[[#This Row],[Rate_Code_Generalized]],Lookups!A:A,Lookups!B:B))*Pipeline_tbl[[#This Row],[Pipeline_Amount_USD]]</f>
        <v>3000</v>
      </c>
      <c r="O1278" t="str">
        <f>_xlfn.XLOOKUP(Pipeline_tbl[[#This Row],[Rep_ID]],Dim_Reps!A:A,Dim_Reps!B:B)</f>
        <v>Lucas Okafor</v>
      </c>
      <c r="P1278" t="str">
        <f>_xlfn.XLOOKUP(Pipeline_tbl[[#This Row],[Rep_ID]],Dim_Reps!A:A,Dim_Reps!C:C)</f>
        <v>SDR / Inside Sales Rep</v>
      </c>
      <c r="Q1278" t="str">
        <f>_xlfn.XLOOKUP(Pipeline_tbl[[#This Row],[Rep_ID]],Dim_Reps!A:A,Dim_Reps!D:D)</f>
        <v>Inside Sales</v>
      </c>
      <c r="R1278" t="str">
        <f>_xlfn.XLOOKUP(Pipeline_tbl[[#This Row],[Rep_ID]],Dim_Reps!A:A,Dim_Reps!E:E)</f>
        <v>APAC</v>
      </c>
      <c r="S1278" t="str">
        <f>_xlfn.XLOOKUP(Pipeline_tbl[[#This Row],[Created_Date]],Dim_Date!A:A,Dim_Date!H:H)</f>
        <v>Oct 2024</v>
      </c>
      <c r="T1278" t="str">
        <f>IF(Pipeline_tbl[[#This Row],[Closed_Date]]=0,"",(_xlfn.XLOOKUP(Pipeline_tbl[[#This Row],[Closed_Date]],Dim_Date!A:A,Dim_Date!H:H)))</f>
        <v>Oct 2024</v>
      </c>
      <c r="U1278">
        <f>IF(Pipeline_tbl[[#This Row],[Closed_Date]]=0,"",Pipeline_tbl[[#This Row],[Closed_Date]]-Pipeline_tbl[[#This Row],[Created_Date]])</f>
        <v>6</v>
      </c>
    </row>
    <row r="1279" spans="1:21" ht="15" customHeight="1" x14ac:dyDescent="0.2">
      <c r="A1279" t="s">
        <v>1585</v>
      </c>
      <c r="B1279" t="s">
        <v>203</v>
      </c>
      <c r="C1279" t="s">
        <v>52</v>
      </c>
      <c r="D1279" s="49">
        <v>45573</v>
      </c>
      <c r="E1279" s="49">
        <v>45575</v>
      </c>
      <c r="F1279" s="49">
        <v>45578</v>
      </c>
      <c r="I1279" s="49">
        <v>45590</v>
      </c>
      <c r="J1279" t="s">
        <v>49</v>
      </c>
      <c r="K1279" s="33">
        <v>6000</v>
      </c>
      <c r="L1279" t="s">
        <v>61</v>
      </c>
      <c r="M1279" t="str">
        <f>_xlfn.XLOOKUP(Pipeline_tbl[[#This Row],[Rep_ID]],Dim_Reps!A:A,Dim_Reps!K:K)</f>
        <v>EUR</v>
      </c>
      <c r="N1279" s="33">
        <f>(_xlfn.XLOOKUP(Pipeline_tbl[[#This Row],[Rate_Code_Generalized]],Lookups!A:A,Lookups!B:B))*Pipeline_tbl[[#This Row],[Pipeline_Amount_USD]]</f>
        <v>6000</v>
      </c>
      <c r="O1279" t="str">
        <f>_xlfn.XLOOKUP(Pipeline_tbl[[#This Row],[Rep_ID]],Dim_Reps!A:A,Dim_Reps!B:B)</f>
        <v>Riley Haddad</v>
      </c>
      <c r="P1279" t="str">
        <f>_xlfn.XLOOKUP(Pipeline_tbl[[#This Row],[Rep_ID]],Dim_Reps!A:A,Dim_Reps!C:C)</f>
        <v>SDR / Inside Sales Rep</v>
      </c>
      <c r="Q1279" t="str">
        <f>_xlfn.XLOOKUP(Pipeline_tbl[[#This Row],[Rep_ID]],Dim_Reps!A:A,Dim_Reps!D:D)</f>
        <v>Inside Sales</v>
      </c>
      <c r="R1279" t="str">
        <f>_xlfn.XLOOKUP(Pipeline_tbl[[#This Row],[Rep_ID]],Dim_Reps!A:A,Dim_Reps!E:E)</f>
        <v>APAC</v>
      </c>
      <c r="S1279" t="str">
        <f>_xlfn.XLOOKUP(Pipeline_tbl[[#This Row],[Created_Date]],Dim_Date!A:A,Dim_Date!H:H)</f>
        <v>Oct 2024</v>
      </c>
      <c r="T1279" t="str">
        <f>IF(Pipeline_tbl[[#This Row],[Closed_Date]]=0,"",(_xlfn.XLOOKUP(Pipeline_tbl[[#This Row],[Closed_Date]],Dim_Date!A:A,Dim_Date!H:H)))</f>
        <v>Oct 2024</v>
      </c>
      <c r="U1279">
        <f>IF(Pipeline_tbl[[#This Row],[Closed_Date]]=0,"",Pipeline_tbl[[#This Row],[Closed_Date]]-Pipeline_tbl[[#This Row],[Created_Date]])</f>
        <v>17</v>
      </c>
    </row>
    <row r="1280" spans="1:21" ht="15" customHeight="1" x14ac:dyDescent="0.2">
      <c r="A1280" t="s">
        <v>1586</v>
      </c>
      <c r="B1280" t="s">
        <v>203</v>
      </c>
      <c r="C1280" t="s">
        <v>53</v>
      </c>
      <c r="D1280" s="49">
        <v>45568</v>
      </c>
      <c r="E1280" s="49">
        <v>45570</v>
      </c>
      <c r="I1280" s="49">
        <v>45587</v>
      </c>
      <c r="J1280" t="s">
        <v>49</v>
      </c>
      <c r="K1280" s="33">
        <v>6700</v>
      </c>
      <c r="L1280" t="s">
        <v>61</v>
      </c>
      <c r="M1280" t="str">
        <f>_xlfn.XLOOKUP(Pipeline_tbl[[#This Row],[Rep_ID]],Dim_Reps!A:A,Dim_Reps!K:K)</f>
        <v>EUR</v>
      </c>
      <c r="N1280" s="33">
        <f>(_xlfn.XLOOKUP(Pipeline_tbl[[#This Row],[Rate_Code_Generalized]],Lookups!A:A,Lookups!B:B))*Pipeline_tbl[[#This Row],[Pipeline_Amount_USD]]</f>
        <v>6700</v>
      </c>
      <c r="O1280" t="str">
        <f>_xlfn.XLOOKUP(Pipeline_tbl[[#This Row],[Rep_ID]],Dim_Reps!A:A,Dim_Reps!B:B)</f>
        <v>Riley Haddad</v>
      </c>
      <c r="P1280" t="str">
        <f>_xlfn.XLOOKUP(Pipeline_tbl[[#This Row],[Rep_ID]],Dim_Reps!A:A,Dim_Reps!C:C)</f>
        <v>SDR / Inside Sales Rep</v>
      </c>
      <c r="Q1280" t="str">
        <f>_xlfn.XLOOKUP(Pipeline_tbl[[#This Row],[Rep_ID]],Dim_Reps!A:A,Dim_Reps!D:D)</f>
        <v>Inside Sales</v>
      </c>
      <c r="R1280" t="str">
        <f>_xlfn.XLOOKUP(Pipeline_tbl[[#This Row],[Rep_ID]],Dim_Reps!A:A,Dim_Reps!E:E)</f>
        <v>APAC</v>
      </c>
      <c r="S1280" t="str">
        <f>_xlfn.XLOOKUP(Pipeline_tbl[[#This Row],[Created_Date]],Dim_Date!A:A,Dim_Date!H:H)</f>
        <v>Oct 2024</v>
      </c>
      <c r="T1280" t="str">
        <f>IF(Pipeline_tbl[[#This Row],[Closed_Date]]=0,"",(_xlfn.XLOOKUP(Pipeline_tbl[[#This Row],[Closed_Date]],Dim_Date!A:A,Dim_Date!H:H)))</f>
        <v>Oct 2024</v>
      </c>
      <c r="U1280">
        <f>IF(Pipeline_tbl[[#This Row],[Closed_Date]]=0,"",Pipeline_tbl[[#This Row],[Closed_Date]]-Pipeline_tbl[[#This Row],[Created_Date]])</f>
        <v>19</v>
      </c>
    </row>
    <row r="1281" spans="1:21" ht="15" customHeight="1" x14ac:dyDescent="0.2">
      <c r="A1281" t="s">
        <v>1587</v>
      </c>
      <c r="B1281" t="s">
        <v>203</v>
      </c>
      <c r="C1281" t="s">
        <v>55</v>
      </c>
      <c r="D1281" s="49">
        <v>45579</v>
      </c>
      <c r="E1281" s="49">
        <v>45581</v>
      </c>
      <c r="F1281" s="49">
        <v>45584</v>
      </c>
      <c r="G1281" s="49">
        <v>45589</v>
      </c>
      <c r="H1281" s="49">
        <v>45593</v>
      </c>
      <c r="I1281" s="49">
        <v>45596</v>
      </c>
      <c r="J1281" t="s">
        <v>49</v>
      </c>
      <c r="K1281" s="33">
        <v>5600</v>
      </c>
      <c r="L1281" t="s">
        <v>62</v>
      </c>
      <c r="M1281" t="str">
        <f>_xlfn.XLOOKUP(Pipeline_tbl[[#This Row],[Rep_ID]],Dim_Reps!A:A,Dim_Reps!K:K)</f>
        <v>EUR</v>
      </c>
      <c r="N1281" s="33">
        <f>(_xlfn.XLOOKUP(Pipeline_tbl[[#This Row],[Rate_Code_Generalized]],Lookups!A:A,Lookups!B:B))*Pipeline_tbl[[#This Row],[Pipeline_Amount_USD]]</f>
        <v>5600</v>
      </c>
      <c r="O1281" t="str">
        <f>_xlfn.XLOOKUP(Pipeline_tbl[[#This Row],[Rep_ID]],Dim_Reps!A:A,Dim_Reps!B:B)</f>
        <v>Riley Haddad</v>
      </c>
      <c r="P1281" t="str">
        <f>_xlfn.XLOOKUP(Pipeline_tbl[[#This Row],[Rep_ID]],Dim_Reps!A:A,Dim_Reps!C:C)</f>
        <v>SDR / Inside Sales Rep</v>
      </c>
      <c r="Q1281" t="str">
        <f>_xlfn.XLOOKUP(Pipeline_tbl[[#This Row],[Rep_ID]],Dim_Reps!A:A,Dim_Reps!D:D)</f>
        <v>Inside Sales</v>
      </c>
      <c r="R1281" t="str">
        <f>_xlfn.XLOOKUP(Pipeline_tbl[[#This Row],[Rep_ID]],Dim_Reps!A:A,Dim_Reps!E:E)</f>
        <v>APAC</v>
      </c>
      <c r="S1281" t="str">
        <f>_xlfn.XLOOKUP(Pipeline_tbl[[#This Row],[Created_Date]],Dim_Date!A:A,Dim_Date!H:H)</f>
        <v>Oct 2024</v>
      </c>
      <c r="T1281" t="str">
        <f>IF(Pipeline_tbl[[#This Row],[Closed_Date]]=0,"",(_xlfn.XLOOKUP(Pipeline_tbl[[#This Row],[Closed_Date]],Dim_Date!A:A,Dim_Date!H:H)))</f>
        <v>Oct 2024</v>
      </c>
      <c r="U1281">
        <f>IF(Pipeline_tbl[[#This Row],[Closed_Date]]=0,"",Pipeline_tbl[[#This Row],[Closed_Date]]-Pipeline_tbl[[#This Row],[Created_Date]])</f>
        <v>17</v>
      </c>
    </row>
    <row r="1282" spans="1:21" ht="15" customHeight="1" x14ac:dyDescent="0.2">
      <c r="A1282" t="s">
        <v>1588</v>
      </c>
      <c r="B1282" t="s">
        <v>205</v>
      </c>
      <c r="C1282" t="s">
        <v>52</v>
      </c>
      <c r="D1282" s="49">
        <v>45578</v>
      </c>
      <c r="E1282" s="49">
        <v>45579</v>
      </c>
      <c r="F1282" s="49">
        <v>45581</v>
      </c>
      <c r="G1282" s="49">
        <v>45583</v>
      </c>
      <c r="H1282" s="49">
        <v>45586</v>
      </c>
      <c r="I1282" s="49">
        <v>45587</v>
      </c>
      <c r="J1282" t="s">
        <v>49</v>
      </c>
      <c r="K1282" s="33">
        <v>5200</v>
      </c>
      <c r="L1282" t="s">
        <v>62</v>
      </c>
      <c r="M1282" t="str">
        <f>_xlfn.XLOOKUP(Pipeline_tbl[[#This Row],[Rep_ID]],Dim_Reps!A:A,Dim_Reps!K:K)</f>
        <v>EUR</v>
      </c>
      <c r="N1282" s="33">
        <f>(_xlfn.XLOOKUP(Pipeline_tbl[[#This Row],[Rate_Code_Generalized]],Lookups!A:A,Lookups!B:B))*Pipeline_tbl[[#This Row],[Pipeline_Amount_USD]]</f>
        <v>5200</v>
      </c>
      <c r="O1282" t="str">
        <f>_xlfn.XLOOKUP(Pipeline_tbl[[#This Row],[Rep_ID]],Dim_Reps!A:A,Dim_Reps!B:B)</f>
        <v>Karim Alvarez</v>
      </c>
      <c r="P1282" t="str">
        <f>_xlfn.XLOOKUP(Pipeline_tbl[[#This Row],[Rep_ID]],Dim_Reps!A:A,Dim_Reps!C:C)</f>
        <v>SDR / Inside Sales Rep</v>
      </c>
      <c r="Q1282" t="str">
        <f>_xlfn.XLOOKUP(Pipeline_tbl[[#This Row],[Rep_ID]],Dim_Reps!A:A,Dim_Reps!D:D)</f>
        <v>Inside Sales</v>
      </c>
      <c r="R1282" t="str">
        <f>_xlfn.XLOOKUP(Pipeline_tbl[[#This Row],[Rep_ID]],Dim_Reps!A:A,Dim_Reps!E:E)</f>
        <v>EMEA</v>
      </c>
      <c r="S1282" t="str">
        <f>_xlfn.XLOOKUP(Pipeline_tbl[[#This Row],[Created_Date]],Dim_Date!A:A,Dim_Date!H:H)</f>
        <v>Oct 2024</v>
      </c>
      <c r="T1282" t="str">
        <f>IF(Pipeline_tbl[[#This Row],[Closed_Date]]=0,"",(_xlfn.XLOOKUP(Pipeline_tbl[[#This Row],[Closed_Date]],Dim_Date!A:A,Dim_Date!H:H)))</f>
        <v>Oct 2024</v>
      </c>
      <c r="U1282">
        <f>IF(Pipeline_tbl[[#This Row],[Closed_Date]]=0,"",Pipeline_tbl[[#This Row],[Closed_Date]]-Pipeline_tbl[[#This Row],[Created_Date]])</f>
        <v>9</v>
      </c>
    </row>
    <row r="1283" spans="1:21" ht="15" customHeight="1" x14ac:dyDescent="0.2">
      <c r="A1283" t="s">
        <v>1589</v>
      </c>
      <c r="B1283" t="s">
        <v>205</v>
      </c>
      <c r="C1283" t="s">
        <v>53</v>
      </c>
      <c r="D1283" s="49">
        <v>45582</v>
      </c>
      <c r="E1283" s="49">
        <v>45583</v>
      </c>
      <c r="F1283" s="49">
        <v>45586</v>
      </c>
      <c r="G1283" s="49">
        <v>45589</v>
      </c>
      <c r="H1283" s="49">
        <v>45592</v>
      </c>
      <c r="I1283" s="49">
        <v>45594</v>
      </c>
      <c r="J1283" t="s">
        <v>49</v>
      </c>
      <c r="K1283" s="33">
        <v>2200</v>
      </c>
      <c r="L1283" t="s">
        <v>63</v>
      </c>
      <c r="M1283" t="str">
        <f>_xlfn.XLOOKUP(Pipeline_tbl[[#This Row],[Rep_ID]],Dim_Reps!A:A,Dim_Reps!K:K)</f>
        <v>EUR</v>
      </c>
      <c r="N1283" s="33">
        <f>(_xlfn.XLOOKUP(Pipeline_tbl[[#This Row],[Rate_Code_Generalized]],Lookups!A:A,Lookups!B:B))*Pipeline_tbl[[#This Row],[Pipeline_Amount_USD]]</f>
        <v>2200</v>
      </c>
      <c r="O1283" t="str">
        <f>_xlfn.XLOOKUP(Pipeline_tbl[[#This Row],[Rep_ID]],Dim_Reps!A:A,Dim_Reps!B:B)</f>
        <v>Karim Alvarez</v>
      </c>
      <c r="P1283" t="str">
        <f>_xlfn.XLOOKUP(Pipeline_tbl[[#This Row],[Rep_ID]],Dim_Reps!A:A,Dim_Reps!C:C)</f>
        <v>SDR / Inside Sales Rep</v>
      </c>
      <c r="Q1283" t="str">
        <f>_xlfn.XLOOKUP(Pipeline_tbl[[#This Row],[Rep_ID]],Dim_Reps!A:A,Dim_Reps!D:D)</f>
        <v>Inside Sales</v>
      </c>
      <c r="R1283" t="str">
        <f>_xlfn.XLOOKUP(Pipeline_tbl[[#This Row],[Rep_ID]],Dim_Reps!A:A,Dim_Reps!E:E)</f>
        <v>EMEA</v>
      </c>
      <c r="S1283" t="str">
        <f>_xlfn.XLOOKUP(Pipeline_tbl[[#This Row],[Created_Date]],Dim_Date!A:A,Dim_Date!H:H)</f>
        <v>Oct 2024</v>
      </c>
      <c r="T1283" t="str">
        <f>IF(Pipeline_tbl[[#This Row],[Closed_Date]]=0,"",(_xlfn.XLOOKUP(Pipeline_tbl[[#This Row],[Closed_Date]],Dim_Date!A:A,Dim_Date!H:H)))</f>
        <v>Oct 2024</v>
      </c>
      <c r="U1283">
        <f>IF(Pipeline_tbl[[#This Row],[Closed_Date]]=0,"",Pipeline_tbl[[#This Row],[Closed_Date]]-Pipeline_tbl[[#This Row],[Created_Date]])</f>
        <v>12</v>
      </c>
    </row>
    <row r="1284" spans="1:21" ht="15" customHeight="1" x14ac:dyDescent="0.2">
      <c r="A1284" t="s">
        <v>1590</v>
      </c>
      <c r="B1284" t="s">
        <v>205</v>
      </c>
      <c r="C1284" t="s">
        <v>52</v>
      </c>
      <c r="D1284" s="49">
        <v>45575</v>
      </c>
      <c r="E1284" s="49">
        <v>45576</v>
      </c>
      <c r="F1284" s="49">
        <v>45577</v>
      </c>
      <c r="I1284" s="49">
        <v>45582</v>
      </c>
      <c r="J1284" t="s">
        <v>49</v>
      </c>
      <c r="K1284" s="33">
        <v>2500</v>
      </c>
      <c r="L1284" t="s">
        <v>62</v>
      </c>
      <c r="M1284" t="str">
        <f>_xlfn.XLOOKUP(Pipeline_tbl[[#This Row],[Rep_ID]],Dim_Reps!A:A,Dim_Reps!K:K)</f>
        <v>EUR</v>
      </c>
      <c r="N1284" s="33">
        <f>(_xlfn.XLOOKUP(Pipeline_tbl[[#This Row],[Rate_Code_Generalized]],Lookups!A:A,Lookups!B:B))*Pipeline_tbl[[#This Row],[Pipeline_Amount_USD]]</f>
        <v>2500</v>
      </c>
      <c r="O1284" t="str">
        <f>_xlfn.XLOOKUP(Pipeline_tbl[[#This Row],[Rep_ID]],Dim_Reps!A:A,Dim_Reps!B:B)</f>
        <v>Karim Alvarez</v>
      </c>
      <c r="P1284" t="str">
        <f>_xlfn.XLOOKUP(Pipeline_tbl[[#This Row],[Rep_ID]],Dim_Reps!A:A,Dim_Reps!C:C)</f>
        <v>SDR / Inside Sales Rep</v>
      </c>
      <c r="Q1284" t="str">
        <f>_xlfn.XLOOKUP(Pipeline_tbl[[#This Row],[Rep_ID]],Dim_Reps!A:A,Dim_Reps!D:D)</f>
        <v>Inside Sales</v>
      </c>
      <c r="R1284" t="str">
        <f>_xlfn.XLOOKUP(Pipeline_tbl[[#This Row],[Rep_ID]],Dim_Reps!A:A,Dim_Reps!E:E)</f>
        <v>EMEA</v>
      </c>
      <c r="S1284" t="str">
        <f>_xlfn.XLOOKUP(Pipeline_tbl[[#This Row],[Created_Date]],Dim_Date!A:A,Dim_Date!H:H)</f>
        <v>Oct 2024</v>
      </c>
      <c r="T1284" t="str">
        <f>IF(Pipeline_tbl[[#This Row],[Closed_Date]]=0,"",(_xlfn.XLOOKUP(Pipeline_tbl[[#This Row],[Closed_Date]],Dim_Date!A:A,Dim_Date!H:H)))</f>
        <v>Oct 2024</v>
      </c>
      <c r="U1284">
        <f>IF(Pipeline_tbl[[#This Row],[Closed_Date]]=0,"",Pipeline_tbl[[#This Row],[Closed_Date]]-Pipeline_tbl[[#This Row],[Created_Date]])</f>
        <v>7</v>
      </c>
    </row>
    <row r="1285" spans="1:21" ht="15" customHeight="1" x14ac:dyDescent="0.2">
      <c r="A1285" t="s">
        <v>1591</v>
      </c>
      <c r="B1285" t="s">
        <v>205</v>
      </c>
      <c r="C1285" t="s">
        <v>53</v>
      </c>
      <c r="D1285" s="49">
        <v>45580</v>
      </c>
      <c r="E1285" s="49">
        <v>45582</v>
      </c>
      <c r="F1285" s="49">
        <v>45585</v>
      </c>
      <c r="G1285" s="49">
        <v>45590</v>
      </c>
      <c r="H1285" s="49">
        <v>45594</v>
      </c>
      <c r="I1285" s="49">
        <v>45596</v>
      </c>
      <c r="J1285" t="s">
        <v>47</v>
      </c>
      <c r="K1285" s="33">
        <v>3500</v>
      </c>
      <c r="M1285" t="str">
        <f>_xlfn.XLOOKUP(Pipeline_tbl[[#This Row],[Rep_ID]],Dim_Reps!A:A,Dim_Reps!K:K)</f>
        <v>EUR</v>
      </c>
      <c r="N1285" s="33">
        <f>(_xlfn.XLOOKUP(Pipeline_tbl[[#This Row],[Rate_Code_Generalized]],Lookups!A:A,Lookups!B:B))*Pipeline_tbl[[#This Row],[Pipeline_Amount_USD]]</f>
        <v>3500</v>
      </c>
      <c r="O1285" t="str">
        <f>_xlfn.XLOOKUP(Pipeline_tbl[[#This Row],[Rep_ID]],Dim_Reps!A:A,Dim_Reps!B:B)</f>
        <v>Karim Alvarez</v>
      </c>
      <c r="P1285" t="str">
        <f>_xlfn.XLOOKUP(Pipeline_tbl[[#This Row],[Rep_ID]],Dim_Reps!A:A,Dim_Reps!C:C)</f>
        <v>SDR / Inside Sales Rep</v>
      </c>
      <c r="Q1285" t="str">
        <f>_xlfn.XLOOKUP(Pipeline_tbl[[#This Row],[Rep_ID]],Dim_Reps!A:A,Dim_Reps!D:D)</f>
        <v>Inside Sales</v>
      </c>
      <c r="R1285" t="str">
        <f>_xlfn.XLOOKUP(Pipeline_tbl[[#This Row],[Rep_ID]],Dim_Reps!A:A,Dim_Reps!E:E)</f>
        <v>EMEA</v>
      </c>
      <c r="S1285" t="str">
        <f>_xlfn.XLOOKUP(Pipeline_tbl[[#This Row],[Created_Date]],Dim_Date!A:A,Dim_Date!H:H)</f>
        <v>Oct 2024</v>
      </c>
      <c r="T1285" t="str">
        <f>IF(Pipeline_tbl[[#This Row],[Closed_Date]]=0,"",(_xlfn.XLOOKUP(Pipeline_tbl[[#This Row],[Closed_Date]],Dim_Date!A:A,Dim_Date!H:H)))</f>
        <v>Oct 2024</v>
      </c>
      <c r="U1285">
        <f>IF(Pipeline_tbl[[#This Row],[Closed_Date]]=0,"",Pipeline_tbl[[#This Row],[Closed_Date]]-Pipeline_tbl[[#This Row],[Created_Date]])</f>
        <v>16</v>
      </c>
    </row>
    <row r="1286" spans="1:21" ht="15" customHeight="1" x14ac:dyDescent="0.2">
      <c r="A1286" t="s">
        <v>1592</v>
      </c>
      <c r="B1286" t="s">
        <v>205</v>
      </c>
      <c r="C1286" t="s">
        <v>54</v>
      </c>
      <c r="D1286" s="49">
        <v>45582</v>
      </c>
      <c r="E1286" s="49">
        <v>45583</v>
      </c>
      <c r="F1286" s="49">
        <v>45585</v>
      </c>
      <c r="G1286" s="49">
        <v>45588</v>
      </c>
      <c r="H1286" s="49">
        <v>45590</v>
      </c>
      <c r="I1286" s="49">
        <v>45592</v>
      </c>
      <c r="J1286" t="s">
        <v>47</v>
      </c>
      <c r="K1286" s="33">
        <v>3000</v>
      </c>
      <c r="M1286" t="str">
        <f>_xlfn.XLOOKUP(Pipeline_tbl[[#This Row],[Rep_ID]],Dim_Reps!A:A,Dim_Reps!K:K)</f>
        <v>EUR</v>
      </c>
      <c r="N1286" s="33">
        <f>(_xlfn.XLOOKUP(Pipeline_tbl[[#This Row],[Rate_Code_Generalized]],Lookups!A:A,Lookups!B:B))*Pipeline_tbl[[#This Row],[Pipeline_Amount_USD]]</f>
        <v>3000</v>
      </c>
      <c r="O1286" t="str">
        <f>_xlfn.XLOOKUP(Pipeline_tbl[[#This Row],[Rep_ID]],Dim_Reps!A:A,Dim_Reps!B:B)</f>
        <v>Karim Alvarez</v>
      </c>
      <c r="P1286" t="str">
        <f>_xlfn.XLOOKUP(Pipeline_tbl[[#This Row],[Rep_ID]],Dim_Reps!A:A,Dim_Reps!C:C)</f>
        <v>SDR / Inside Sales Rep</v>
      </c>
      <c r="Q1286" t="str">
        <f>_xlfn.XLOOKUP(Pipeline_tbl[[#This Row],[Rep_ID]],Dim_Reps!A:A,Dim_Reps!D:D)</f>
        <v>Inside Sales</v>
      </c>
      <c r="R1286" t="str">
        <f>_xlfn.XLOOKUP(Pipeline_tbl[[#This Row],[Rep_ID]],Dim_Reps!A:A,Dim_Reps!E:E)</f>
        <v>EMEA</v>
      </c>
      <c r="S1286" t="str">
        <f>_xlfn.XLOOKUP(Pipeline_tbl[[#This Row],[Created_Date]],Dim_Date!A:A,Dim_Date!H:H)</f>
        <v>Oct 2024</v>
      </c>
      <c r="T1286" t="str">
        <f>IF(Pipeline_tbl[[#This Row],[Closed_Date]]=0,"",(_xlfn.XLOOKUP(Pipeline_tbl[[#This Row],[Closed_Date]],Dim_Date!A:A,Dim_Date!H:H)))</f>
        <v>Oct 2024</v>
      </c>
      <c r="U1286">
        <f>IF(Pipeline_tbl[[#This Row],[Closed_Date]]=0,"",Pipeline_tbl[[#This Row],[Closed_Date]]-Pipeline_tbl[[#This Row],[Created_Date]])</f>
        <v>10</v>
      </c>
    </row>
    <row r="1287" spans="1:21" ht="15" customHeight="1" x14ac:dyDescent="0.2">
      <c r="A1287" t="s">
        <v>1593</v>
      </c>
      <c r="B1287" t="s">
        <v>205</v>
      </c>
      <c r="C1287" t="s">
        <v>53</v>
      </c>
      <c r="D1287" s="49">
        <v>45569</v>
      </c>
      <c r="E1287" s="49">
        <v>45570</v>
      </c>
      <c r="F1287" s="49">
        <v>45573</v>
      </c>
      <c r="G1287" s="49">
        <v>45577</v>
      </c>
      <c r="I1287" s="49">
        <v>45583</v>
      </c>
      <c r="J1287" t="s">
        <v>49</v>
      </c>
      <c r="K1287" s="33">
        <v>1400</v>
      </c>
      <c r="L1287" t="s">
        <v>62</v>
      </c>
      <c r="M1287" t="str">
        <f>_xlfn.XLOOKUP(Pipeline_tbl[[#This Row],[Rep_ID]],Dim_Reps!A:A,Dim_Reps!K:K)</f>
        <v>EUR</v>
      </c>
      <c r="N1287" s="33">
        <f>(_xlfn.XLOOKUP(Pipeline_tbl[[#This Row],[Rate_Code_Generalized]],Lookups!A:A,Lookups!B:B))*Pipeline_tbl[[#This Row],[Pipeline_Amount_USD]]</f>
        <v>1400</v>
      </c>
      <c r="O1287" t="str">
        <f>_xlfn.XLOOKUP(Pipeline_tbl[[#This Row],[Rep_ID]],Dim_Reps!A:A,Dim_Reps!B:B)</f>
        <v>Karim Alvarez</v>
      </c>
      <c r="P1287" t="str">
        <f>_xlfn.XLOOKUP(Pipeline_tbl[[#This Row],[Rep_ID]],Dim_Reps!A:A,Dim_Reps!C:C)</f>
        <v>SDR / Inside Sales Rep</v>
      </c>
      <c r="Q1287" t="str">
        <f>_xlfn.XLOOKUP(Pipeline_tbl[[#This Row],[Rep_ID]],Dim_Reps!A:A,Dim_Reps!D:D)</f>
        <v>Inside Sales</v>
      </c>
      <c r="R1287" t="str">
        <f>_xlfn.XLOOKUP(Pipeline_tbl[[#This Row],[Rep_ID]],Dim_Reps!A:A,Dim_Reps!E:E)</f>
        <v>EMEA</v>
      </c>
      <c r="S1287" t="str">
        <f>_xlfn.XLOOKUP(Pipeline_tbl[[#This Row],[Created_Date]],Dim_Date!A:A,Dim_Date!H:H)</f>
        <v>Oct 2024</v>
      </c>
      <c r="T1287" t="str">
        <f>IF(Pipeline_tbl[[#This Row],[Closed_Date]]=0,"",(_xlfn.XLOOKUP(Pipeline_tbl[[#This Row],[Closed_Date]],Dim_Date!A:A,Dim_Date!H:H)))</f>
        <v>Oct 2024</v>
      </c>
      <c r="U1287">
        <f>IF(Pipeline_tbl[[#This Row],[Closed_Date]]=0,"",Pipeline_tbl[[#This Row],[Closed_Date]]-Pipeline_tbl[[#This Row],[Created_Date]])</f>
        <v>14</v>
      </c>
    </row>
    <row r="1288" spans="1:21" ht="15" customHeight="1" x14ac:dyDescent="0.2">
      <c r="A1288" t="s">
        <v>1594</v>
      </c>
      <c r="B1288" t="s">
        <v>205</v>
      </c>
      <c r="C1288" t="s">
        <v>55</v>
      </c>
      <c r="D1288" s="49">
        <v>45569</v>
      </c>
      <c r="E1288" s="49">
        <v>45570</v>
      </c>
      <c r="F1288" s="49">
        <v>45572</v>
      </c>
      <c r="G1288" s="49">
        <v>45574</v>
      </c>
      <c r="H1288" s="49">
        <v>45577</v>
      </c>
      <c r="I1288" s="49">
        <v>45578</v>
      </c>
      <c r="J1288" t="s">
        <v>47</v>
      </c>
      <c r="K1288" s="33">
        <v>1700</v>
      </c>
      <c r="M1288" t="str">
        <f>_xlfn.XLOOKUP(Pipeline_tbl[[#This Row],[Rep_ID]],Dim_Reps!A:A,Dim_Reps!K:K)</f>
        <v>EUR</v>
      </c>
      <c r="N1288" s="33">
        <f>(_xlfn.XLOOKUP(Pipeline_tbl[[#This Row],[Rate_Code_Generalized]],Lookups!A:A,Lookups!B:B))*Pipeline_tbl[[#This Row],[Pipeline_Amount_USD]]</f>
        <v>1700</v>
      </c>
      <c r="O1288" t="str">
        <f>_xlfn.XLOOKUP(Pipeline_tbl[[#This Row],[Rep_ID]],Dim_Reps!A:A,Dim_Reps!B:B)</f>
        <v>Karim Alvarez</v>
      </c>
      <c r="P1288" t="str">
        <f>_xlfn.XLOOKUP(Pipeline_tbl[[#This Row],[Rep_ID]],Dim_Reps!A:A,Dim_Reps!C:C)</f>
        <v>SDR / Inside Sales Rep</v>
      </c>
      <c r="Q1288" t="str">
        <f>_xlfn.XLOOKUP(Pipeline_tbl[[#This Row],[Rep_ID]],Dim_Reps!A:A,Dim_Reps!D:D)</f>
        <v>Inside Sales</v>
      </c>
      <c r="R1288" t="str">
        <f>_xlfn.XLOOKUP(Pipeline_tbl[[#This Row],[Rep_ID]],Dim_Reps!A:A,Dim_Reps!E:E)</f>
        <v>EMEA</v>
      </c>
      <c r="S1288" t="str">
        <f>_xlfn.XLOOKUP(Pipeline_tbl[[#This Row],[Created_Date]],Dim_Date!A:A,Dim_Date!H:H)</f>
        <v>Oct 2024</v>
      </c>
      <c r="T1288" t="str">
        <f>IF(Pipeline_tbl[[#This Row],[Closed_Date]]=0,"",(_xlfn.XLOOKUP(Pipeline_tbl[[#This Row],[Closed_Date]],Dim_Date!A:A,Dim_Date!H:H)))</f>
        <v>Oct 2024</v>
      </c>
      <c r="U1288">
        <f>IF(Pipeline_tbl[[#This Row],[Closed_Date]]=0,"",Pipeline_tbl[[#This Row],[Closed_Date]]-Pipeline_tbl[[#This Row],[Created_Date]])</f>
        <v>9</v>
      </c>
    </row>
    <row r="1289" spans="1:21" ht="15" customHeight="1" x14ac:dyDescent="0.2">
      <c r="A1289" t="s">
        <v>1595</v>
      </c>
      <c r="B1289" t="s">
        <v>207</v>
      </c>
      <c r="C1289" t="s">
        <v>52</v>
      </c>
      <c r="D1289" s="49">
        <v>45570</v>
      </c>
      <c r="E1289" s="49">
        <v>45573</v>
      </c>
      <c r="F1289" s="49">
        <v>45578</v>
      </c>
      <c r="G1289" s="49">
        <v>45586</v>
      </c>
      <c r="H1289" s="49">
        <v>45592</v>
      </c>
      <c r="I1289" s="49">
        <v>45596</v>
      </c>
      <c r="J1289" t="s">
        <v>49</v>
      </c>
      <c r="K1289" s="33">
        <v>2000</v>
      </c>
      <c r="L1289" t="s">
        <v>62</v>
      </c>
      <c r="M1289" t="str">
        <f>_xlfn.XLOOKUP(Pipeline_tbl[[#This Row],[Rep_ID]],Dim_Reps!A:A,Dim_Reps!K:K)</f>
        <v>EUR</v>
      </c>
      <c r="N1289" s="33">
        <f>(_xlfn.XLOOKUP(Pipeline_tbl[[#This Row],[Rate_Code_Generalized]],Lookups!A:A,Lookups!B:B))*Pipeline_tbl[[#This Row],[Pipeline_Amount_USD]]</f>
        <v>2000</v>
      </c>
      <c r="O1289" t="str">
        <f>_xlfn.XLOOKUP(Pipeline_tbl[[#This Row],[Rep_ID]],Dim_Reps!A:A,Dim_Reps!B:B)</f>
        <v>Sam Castro</v>
      </c>
      <c r="P1289" t="str">
        <f>_xlfn.XLOOKUP(Pipeline_tbl[[#This Row],[Rep_ID]],Dim_Reps!A:A,Dim_Reps!C:C)</f>
        <v>SDR / Inside Sales Rep</v>
      </c>
      <c r="Q1289" t="str">
        <f>_xlfn.XLOOKUP(Pipeline_tbl[[#This Row],[Rep_ID]],Dim_Reps!A:A,Dim_Reps!D:D)</f>
        <v>Inside Sales</v>
      </c>
      <c r="R1289" t="str">
        <f>_xlfn.XLOOKUP(Pipeline_tbl[[#This Row],[Rep_ID]],Dim_Reps!A:A,Dim_Reps!E:E)</f>
        <v>APAC</v>
      </c>
      <c r="S1289" t="str">
        <f>_xlfn.XLOOKUP(Pipeline_tbl[[#This Row],[Created_Date]],Dim_Date!A:A,Dim_Date!H:H)</f>
        <v>Oct 2024</v>
      </c>
      <c r="T1289" t="str">
        <f>IF(Pipeline_tbl[[#This Row],[Closed_Date]]=0,"",(_xlfn.XLOOKUP(Pipeline_tbl[[#This Row],[Closed_Date]],Dim_Date!A:A,Dim_Date!H:H)))</f>
        <v>Oct 2024</v>
      </c>
      <c r="U1289">
        <f>IF(Pipeline_tbl[[#This Row],[Closed_Date]]=0,"",Pipeline_tbl[[#This Row],[Closed_Date]]-Pipeline_tbl[[#This Row],[Created_Date]])</f>
        <v>26</v>
      </c>
    </row>
    <row r="1290" spans="1:21" ht="15" customHeight="1" x14ac:dyDescent="0.2">
      <c r="A1290" t="s">
        <v>1596</v>
      </c>
      <c r="B1290" t="s">
        <v>207</v>
      </c>
      <c r="C1290" t="s">
        <v>54</v>
      </c>
      <c r="D1290" s="49">
        <v>45574</v>
      </c>
      <c r="E1290" s="49">
        <v>45574</v>
      </c>
      <c r="F1290" s="49">
        <v>45576</v>
      </c>
      <c r="G1290" s="49">
        <v>45577</v>
      </c>
      <c r="I1290" s="49">
        <v>45579</v>
      </c>
      <c r="J1290" t="s">
        <v>49</v>
      </c>
      <c r="K1290" s="33">
        <v>2100</v>
      </c>
      <c r="L1290" t="s">
        <v>61</v>
      </c>
      <c r="M1290" t="str">
        <f>_xlfn.XLOOKUP(Pipeline_tbl[[#This Row],[Rep_ID]],Dim_Reps!A:A,Dim_Reps!K:K)</f>
        <v>EUR</v>
      </c>
      <c r="N1290" s="33">
        <f>(_xlfn.XLOOKUP(Pipeline_tbl[[#This Row],[Rate_Code_Generalized]],Lookups!A:A,Lookups!B:B))*Pipeline_tbl[[#This Row],[Pipeline_Amount_USD]]</f>
        <v>2100</v>
      </c>
      <c r="O1290" t="str">
        <f>_xlfn.XLOOKUP(Pipeline_tbl[[#This Row],[Rep_ID]],Dim_Reps!A:A,Dim_Reps!B:B)</f>
        <v>Sam Castro</v>
      </c>
      <c r="P1290" t="str">
        <f>_xlfn.XLOOKUP(Pipeline_tbl[[#This Row],[Rep_ID]],Dim_Reps!A:A,Dim_Reps!C:C)</f>
        <v>SDR / Inside Sales Rep</v>
      </c>
      <c r="Q1290" t="str">
        <f>_xlfn.XLOOKUP(Pipeline_tbl[[#This Row],[Rep_ID]],Dim_Reps!A:A,Dim_Reps!D:D)</f>
        <v>Inside Sales</v>
      </c>
      <c r="R1290" t="str">
        <f>_xlfn.XLOOKUP(Pipeline_tbl[[#This Row],[Rep_ID]],Dim_Reps!A:A,Dim_Reps!E:E)</f>
        <v>APAC</v>
      </c>
      <c r="S1290" t="str">
        <f>_xlfn.XLOOKUP(Pipeline_tbl[[#This Row],[Created_Date]],Dim_Date!A:A,Dim_Date!H:H)</f>
        <v>Oct 2024</v>
      </c>
      <c r="T1290" t="str">
        <f>IF(Pipeline_tbl[[#This Row],[Closed_Date]]=0,"",(_xlfn.XLOOKUP(Pipeline_tbl[[#This Row],[Closed_Date]],Dim_Date!A:A,Dim_Date!H:H)))</f>
        <v>Oct 2024</v>
      </c>
      <c r="U1290">
        <f>IF(Pipeline_tbl[[#This Row],[Closed_Date]]=0,"",Pipeline_tbl[[#This Row],[Closed_Date]]-Pipeline_tbl[[#This Row],[Created_Date]])</f>
        <v>5</v>
      </c>
    </row>
    <row r="1291" spans="1:21" ht="15" customHeight="1" x14ac:dyDescent="0.2">
      <c r="A1291" t="s">
        <v>1597</v>
      </c>
      <c r="B1291" t="s">
        <v>207</v>
      </c>
      <c r="C1291" t="s">
        <v>52</v>
      </c>
      <c r="D1291" s="49">
        <v>45576</v>
      </c>
      <c r="E1291" s="49">
        <v>45578</v>
      </c>
      <c r="F1291" s="49">
        <v>45581</v>
      </c>
      <c r="I1291" s="49">
        <v>45591</v>
      </c>
      <c r="J1291" t="s">
        <v>49</v>
      </c>
      <c r="K1291" s="33">
        <v>2800</v>
      </c>
      <c r="L1291" t="s">
        <v>60</v>
      </c>
      <c r="M1291" t="str">
        <f>_xlfn.XLOOKUP(Pipeline_tbl[[#This Row],[Rep_ID]],Dim_Reps!A:A,Dim_Reps!K:K)</f>
        <v>EUR</v>
      </c>
      <c r="N1291" s="33">
        <f>(_xlfn.XLOOKUP(Pipeline_tbl[[#This Row],[Rate_Code_Generalized]],Lookups!A:A,Lookups!B:B))*Pipeline_tbl[[#This Row],[Pipeline_Amount_USD]]</f>
        <v>2800</v>
      </c>
      <c r="O1291" t="str">
        <f>_xlfn.XLOOKUP(Pipeline_tbl[[#This Row],[Rep_ID]],Dim_Reps!A:A,Dim_Reps!B:B)</f>
        <v>Sam Castro</v>
      </c>
      <c r="P1291" t="str">
        <f>_xlfn.XLOOKUP(Pipeline_tbl[[#This Row],[Rep_ID]],Dim_Reps!A:A,Dim_Reps!C:C)</f>
        <v>SDR / Inside Sales Rep</v>
      </c>
      <c r="Q1291" t="str">
        <f>_xlfn.XLOOKUP(Pipeline_tbl[[#This Row],[Rep_ID]],Dim_Reps!A:A,Dim_Reps!D:D)</f>
        <v>Inside Sales</v>
      </c>
      <c r="R1291" t="str">
        <f>_xlfn.XLOOKUP(Pipeline_tbl[[#This Row],[Rep_ID]],Dim_Reps!A:A,Dim_Reps!E:E)</f>
        <v>APAC</v>
      </c>
      <c r="S1291" t="str">
        <f>_xlfn.XLOOKUP(Pipeline_tbl[[#This Row],[Created_Date]],Dim_Date!A:A,Dim_Date!H:H)</f>
        <v>Oct 2024</v>
      </c>
      <c r="T1291" t="str">
        <f>IF(Pipeline_tbl[[#This Row],[Closed_Date]]=0,"",(_xlfn.XLOOKUP(Pipeline_tbl[[#This Row],[Closed_Date]],Dim_Date!A:A,Dim_Date!H:H)))</f>
        <v>Oct 2024</v>
      </c>
      <c r="U1291">
        <f>IF(Pipeline_tbl[[#This Row],[Closed_Date]]=0,"",Pipeline_tbl[[#This Row],[Closed_Date]]-Pipeline_tbl[[#This Row],[Created_Date]])</f>
        <v>15</v>
      </c>
    </row>
    <row r="1292" spans="1:21" ht="15" customHeight="1" x14ac:dyDescent="0.2">
      <c r="A1292" t="s">
        <v>1598</v>
      </c>
      <c r="B1292" t="s">
        <v>207</v>
      </c>
      <c r="C1292" t="s">
        <v>52</v>
      </c>
      <c r="D1292" s="49">
        <v>45569</v>
      </c>
      <c r="E1292" s="49">
        <v>45571</v>
      </c>
      <c r="I1292" s="49">
        <v>45591</v>
      </c>
      <c r="J1292" t="s">
        <v>49</v>
      </c>
      <c r="K1292" s="33">
        <v>7900</v>
      </c>
      <c r="L1292" t="s">
        <v>60</v>
      </c>
      <c r="M1292" t="str">
        <f>_xlfn.XLOOKUP(Pipeline_tbl[[#This Row],[Rep_ID]],Dim_Reps!A:A,Dim_Reps!K:K)</f>
        <v>EUR</v>
      </c>
      <c r="N1292" s="33">
        <f>(_xlfn.XLOOKUP(Pipeline_tbl[[#This Row],[Rate_Code_Generalized]],Lookups!A:A,Lookups!B:B))*Pipeline_tbl[[#This Row],[Pipeline_Amount_USD]]</f>
        <v>7900</v>
      </c>
      <c r="O1292" t="str">
        <f>_xlfn.XLOOKUP(Pipeline_tbl[[#This Row],[Rep_ID]],Dim_Reps!A:A,Dim_Reps!B:B)</f>
        <v>Sam Castro</v>
      </c>
      <c r="P1292" t="str">
        <f>_xlfn.XLOOKUP(Pipeline_tbl[[#This Row],[Rep_ID]],Dim_Reps!A:A,Dim_Reps!C:C)</f>
        <v>SDR / Inside Sales Rep</v>
      </c>
      <c r="Q1292" t="str">
        <f>_xlfn.XLOOKUP(Pipeline_tbl[[#This Row],[Rep_ID]],Dim_Reps!A:A,Dim_Reps!D:D)</f>
        <v>Inside Sales</v>
      </c>
      <c r="R1292" t="str">
        <f>_xlfn.XLOOKUP(Pipeline_tbl[[#This Row],[Rep_ID]],Dim_Reps!A:A,Dim_Reps!E:E)</f>
        <v>APAC</v>
      </c>
      <c r="S1292" t="str">
        <f>_xlfn.XLOOKUP(Pipeline_tbl[[#This Row],[Created_Date]],Dim_Date!A:A,Dim_Date!H:H)</f>
        <v>Oct 2024</v>
      </c>
      <c r="T1292" t="str">
        <f>IF(Pipeline_tbl[[#This Row],[Closed_Date]]=0,"",(_xlfn.XLOOKUP(Pipeline_tbl[[#This Row],[Closed_Date]],Dim_Date!A:A,Dim_Date!H:H)))</f>
        <v>Oct 2024</v>
      </c>
      <c r="U1292">
        <f>IF(Pipeline_tbl[[#This Row],[Closed_Date]]=0,"",Pipeline_tbl[[#This Row],[Closed_Date]]-Pipeline_tbl[[#This Row],[Created_Date]])</f>
        <v>22</v>
      </c>
    </row>
    <row r="1293" spans="1:21" ht="15" customHeight="1" x14ac:dyDescent="0.2">
      <c r="A1293" t="s">
        <v>1599</v>
      </c>
      <c r="B1293" t="s">
        <v>207</v>
      </c>
      <c r="C1293" t="s">
        <v>52</v>
      </c>
      <c r="D1293" s="49">
        <v>45566</v>
      </c>
      <c r="E1293" s="49">
        <v>45568</v>
      </c>
      <c r="F1293" s="49">
        <v>45571</v>
      </c>
      <c r="G1293" s="49">
        <v>45576</v>
      </c>
      <c r="H1293" s="49">
        <v>45580</v>
      </c>
      <c r="I1293" s="49">
        <v>45583</v>
      </c>
      <c r="J1293" t="s">
        <v>47</v>
      </c>
      <c r="K1293" s="33">
        <v>4600</v>
      </c>
      <c r="M1293" t="str">
        <f>_xlfn.XLOOKUP(Pipeline_tbl[[#This Row],[Rep_ID]],Dim_Reps!A:A,Dim_Reps!K:K)</f>
        <v>EUR</v>
      </c>
      <c r="N1293" s="33">
        <f>(_xlfn.XLOOKUP(Pipeline_tbl[[#This Row],[Rate_Code_Generalized]],Lookups!A:A,Lookups!B:B))*Pipeline_tbl[[#This Row],[Pipeline_Amount_USD]]</f>
        <v>4600</v>
      </c>
      <c r="O1293" t="str">
        <f>_xlfn.XLOOKUP(Pipeline_tbl[[#This Row],[Rep_ID]],Dim_Reps!A:A,Dim_Reps!B:B)</f>
        <v>Sam Castro</v>
      </c>
      <c r="P1293" t="str">
        <f>_xlfn.XLOOKUP(Pipeline_tbl[[#This Row],[Rep_ID]],Dim_Reps!A:A,Dim_Reps!C:C)</f>
        <v>SDR / Inside Sales Rep</v>
      </c>
      <c r="Q1293" t="str">
        <f>_xlfn.XLOOKUP(Pipeline_tbl[[#This Row],[Rep_ID]],Dim_Reps!A:A,Dim_Reps!D:D)</f>
        <v>Inside Sales</v>
      </c>
      <c r="R1293" t="str">
        <f>_xlfn.XLOOKUP(Pipeline_tbl[[#This Row],[Rep_ID]],Dim_Reps!A:A,Dim_Reps!E:E)</f>
        <v>APAC</v>
      </c>
      <c r="S1293" t="str">
        <f>_xlfn.XLOOKUP(Pipeline_tbl[[#This Row],[Created_Date]],Dim_Date!A:A,Dim_Date!H:H)</f>
        <v>Oct 2024</v>
      </c>
      <c r="T1293" t="str">
        <f>IF(Pipeline_tbl[[#This Row],[Closed_Date]]=0,"",(_xlfn.XLOOKUP(Pipeline_tbl[[#This Row],[Closed_Date]],Dim_Date!A:A,Dim_Date!H:H)))</f>
        <v>Oct 2024</v>
      </c>
      <c r="U1293">
        <f>IF(Pipeline_tbl[[#This Row],[Closed_Date]]=0,"",Pipeline_tbl[[#This Row],[Closed_Date]]-Pipeline_tbl[[#This Row],[Created_Date]])</f>
        <v>17</v>
      </c>
    </row>
    <row r="1294" spans="1:21" ht="15" customHeight="1" x14ac:dyDescent="0.2">
      <c r="A1294" t="s">
        <v>1600</v>
      </c>
      <c r="B1294" t="s">
        <v>207</v>
      </c>
      <c r="C1294" t="s">
        <v>52</v>
      </c>
      <c r="D1294" s="49">
        <v>45581</v>
      </c>
      <c r="E1294" s="49">
        <v>45582</v>
      </c>
      <c r="F1294" s="49">
        <v>45585</v>
      </c>
      <c r="G1294" s="49">
        <v>45589</v>
      </c>
      <c r="H1294" s="49">
        <v>45592</v>
      </c>
      <c r="I1294" s="49">
        <v>45594</v>
      </c>
      <c r="J1294" t="s">
        <v>49</v>
      </c>
      <c r="K1294" s="33">
        <v>3900</v>
      </c>
      <c r="L1294" t="s">
        <v>62</v>
      </c>
      <c r="M1294" t="str">
        <f>_xlfn.XLOOKUP(Pipeline_tbl[[#This Row],[Rep_ID]],Dim_Reps!A:A,Dim_Reps!K:K)</f>
        <v>EUR</v>
      </c>
      <c r="N1294" s="33">
        <f>(_xlfn.XLOOKUP(Pipeline_tbl[[#This Row],[Rate_Code_Generalized]],Lookups!A:A,Lookups!B:B))*Pipeline_tbl[[#This Row],[Pipeline_Amount_USD]]</f>
        <v>3900</v>
      </c>
      <c r="O1294" t="str">
        <f>_xlfn.XLOOKUP(Pipeline_tbl[[#This Row],[Rep_ID]],Dim_Reps!A:A,Dim_Reps!B:B)</f>
        <v>Sam Castro</v>
      </c>
      <c r="P1294" t="str">
        <f>_xlfn.XLOOKUP(Pipeline_tbl[[#This Row],[Rep_ID]],Dim_Reps!A:A,Dim_Reps!C:C)</f>
        <v>SDR / Inside Sales Rep</v>
      </c>
      <c r="Q1294" t="str">
        <f>_xlfn.XLOOKUP(Pipeline_tbl[[#This Row],[Rep_ID]],Dim_Reps!A:A,Dim_Reps!D:D)</f>
        <v>Inside Sales</v>
      </c>
      <c r="R1294" t="str">
        <f>_xlfn.XLOOKUP(Pipeline_tbl[[#This Row],[Rep_ID]],Dim_Reps!A:A,Dim_Reps!E:E)</f>
        <v>APAC</v>
      </c>
      <c r="S1294" t="str">
        <f>_xlfn.XLOOKUP(Pipeline_tbl[[#This Row],[Created_Date]],Dim_Date!A:A,Dim_Date!H:H)</f>
        <v>Oct 2024</v>
      </c>
      <c r="T1294" t="str">
        <f>IF(Pipeline_tbl[[#This Row],[Closed_Date]]=0,"",(_xlfn.XLOOKUP(Pipeline_tbl[[#This Row],[Closed_Date]],Dim_Date!A:A,Dim_Date!H:H)))</f>
        <v>Oct 2024</v>
      </c>
      <c r="U1294">
        <f>IF(Pipeline_tbl[[#This Row],[Closed_Date]]=0,"",Pipeline_tbl[[#This Row],[Closed_Date]]-Pipeline_tbl[[#This Row],[Created_Date]])</f>
        <v>13</v>
      </c>
    </row>
    <row r="1295" spans="1:21" ht="15" customHeight="1" x14ac:dyDescent="0.2">
      <c r="A1295" t="s">
        <v>1601</v>
      </c>
      <c r="B1295" t="s">
        <v>207</v>
      </c>
      <c r="C1295" t="s">
        <v>54</v>
      </c>
      <c r="D1295" s="49">
        <v>45571</v>
      </c>
      <c r="E1295" s="49">
        <v>45573</v>
      </c>
      <c r="I1295" s="49">
        <v>45593</v>
      </c>
      <c r="J1295" t="s">
        <v>49</v>
      </c>
      <c r="K1295" s="33">
        <v>3200</v>
      </c>
      <c r="L1295" t="s">
        <v>62</v>
      </c>
      <c r="M1295" t="str">
        <f>_xlfn.XLOOKUP(Pipeline_tbl[[#This Row],[Rep_ID]],Dim_Reps!A:A,Dim_Reps!K:K)</f>
        <v>EUR</v>
      </c>
      <c r="N1295" s="33">
        <f>(_xlfn.XLOOKUP(Pipeline_tbl[[#This Row],[Rate_Code_Generalized]],Lookups!A:A,Lookups!B:B))*Pipeline_tbl[[#This Row],[Pipeline_Amount_USD]]</f>
        <v>3200</v>
      </c>
      <c r="O1295" t="str">
        <f>_xlfn.XLOOKUP(Pipeline_tbl[[#This Row],[Rep_ID]],Dim_Reps!A:A,Dim_Reps!B:B)</f>
        <v>Sam Castro</v>
      </c>
      <c r="P1295" t="str">
        <f>_xlfn.XLOOKUP(Pipeline_tbl[[#This Row],[Rep_ID]],Dim_Reps!A:A,Dim_Reps!C:C)</f>
        <v>SDR / Inside Sales Rep</v>
      </c>
      <c r="Q1295" t="str">
        <f>_xlfn.XLOOKUP(Pipeline_tbl[[#This Row],[Rep_ID]],Dim_Reps!A:A,Dim_Reps!D:D)</f>
        <v>Inside Sales</v>
      </c>
      <c r="R1295" t="str">
        <f>_xlfn.XLOOKUP(Pipeline_tbl[[#This Row],[Rep_ID]],Dim_Reps!A:A,Dim_Reps!E:E)</f>
        <v>APAC</v>
      </c>
      <c r="S1295" t="str">
        <f>_xlfn.XLOOKUP(Pipeline_tbl[[#This Row],[Created_Date]],Dim_Date!A:A,Dim_Date!H:H)</f>
        <v>Oct 2024</v>
      </c>
      <c r="T1295" t="str">
        <f>IF(Pipeline_tbl[[#This Row],[Closed_Date]]=0,"",(_xlfn.XLOOKUP(Pipeline_tbl[[#This Row],[Closed_Date]],Dim_Date!A:A,Dim_Date!H:H)))</f>
        <v>Oct 2024</v>
      </c>
      <c r="U1295">
        <f>IF(Pipeline_tbl[[#This Row],[Closed_Date]]=0,"",Pipeline_tbl[[#This Row],[Closed_Date]]-Pipeline_tbl[[#This Row],[Created_Date]])</f>
        <v>22</v>
      </c>
    </row>
    <row r="1296" spans="1:21" ht="15" customHeight="1" x14ac:dyDescent="0.2">
      <c r="A1296" t="s">
        <v>1602</v>
      </c>
      <c r="B1296" t="s">
        <v>207</v>
      </c>
      <c r="C1296" t="s">
        <v>53</v>
      </c>
      <c r="D1296" s="49">
        <v>45570</v>
      </c>
      <c r="E1296" s="49">
        <v>45572</v>
      </c>
      <c r="F1296" s="49">
        <v>45575</v>
      </c>
      <c r="G1296" s="49">
        <v>45581</v>
      </c>
      <c r="H1296" s="49">
        <v>45585</v>
      </c>
      <c r="I1296" s="49">
        <v>45588</v>
      </c>
      <c r="J1296" t="s">
        <v>47</v>
      </c>
      <c r="K1296" s="33">
        <v>3400</v>
      </c>
      <c r="M1296" t="str">
        <f>_xlfn.XLOOKUP(Pipeline_tbl[[#This Row],[Rep_ID]],Dim_Reps!A:A,Dim_Reps!K:K)</f>
        <v>EUR</v>
      </c>
      <c r="N1296" s="33">
        <f>(_xlfn.XLOOKUP(Pipeline_tbl[[#This Row],[Rate_Code_Generalized]],Lookups!A:A,Lookups!B:B))*Pipeline_tbl[[#This Row],[Pipeline_Amount_USD]]</f>
        <v>3400</v>
      </c>
      <c r="O1296" t="str">
        <f>_xlfn.XLOOKUP(Pipeline_tbl[[#This Row],[Rep_ID]],Dim_Reps!A:A,Dim_Reps!B:B)</f>
        <v>Sam Castro</v>
      </c>
      <c r="P1296" t="str">
        <f>_xlfn.XLOOKUP(Pipeline_tbl[[#This Row],[Rep_ID]],Dim_Reps!A:A,Dim_Reps!C:C)</f>
        <v>SDR / Inside Sales Rep</v>
      </c>
      <c r="Q1296" t="str">
        <f>_xlfn.XLOOKUP(Pipeline_tbl[[#This Row],[Rep_ID]],Dim_Reps!A:A,Dim_Reps!D:D)</f>
        <v>Inside Sales</v>
      </c>
      <c r="R1296" t="str">
        <f>_xlfn.XLOOKUP(Pipeline_tbl[[#This Row],[Rep_ID]],Dim_Reps!A:A,Dim_Reps!E:E)</f>
        <v>APAC</v>
      </c>
      <c r="S1296" t="str">
        <f>_xlfn.XLOOKUP(Pipeline_tbl[[#This Row],[Created_Date]],Dim_Date!A:A,Dim_Date!H:H)</f>
        <v>Oct 2024</v>
      </c>
      <c r="T1296" t="str">
        <f>IF(Pipeline_tbl[[#This Row],[Closed_Date]]=0,"",(_xlfn.XLOOKUP(Pipeline_tbl[[#This Row],[Closed_Date]],Dim_Date!A:A,Dim_Date!H:H)))</f>
        <v>Oct 2024</v>
      </c>
      <c r="U1296">
        <f>IF(Pipeline_tbl[[#This Row],[Closed_Date]]=0,"",Pipeline_tbl[[#This Row],[Closed_Date]]-Pipeline_tbl[[#This Row],[Created_Date]])</f>
        <v>18</v>
      </c>
    </row>
    <row r="1297" spans="1:21" ht="15" customHeight="1" x14ac:dyDescent="0.2">
      <c r="A1297" t="s">
        <v>1603</v>
      </c>
      <c r="B1297" t="s">
        <v>207</v>
      </c>
      <c r="C1297" t="s">
        <v>53</v>
      </c>
      <c r="D1297" s="49">
        <v>45578</v>
      </c>
      <c r="E1297" s="49">
        <v>45580</v>
      </c>
      <c r="I1297" s="49">
        <v>45595</v>
      </c>
      <c r="J1297" t="s">
        <v>49</v>
      </c>
      <c r="K1297" s="33">
        <v>3100</v>
      </c>
      <c r="L1297" t="s">
        <v>61</v>
      </c>
      <c r="M1297" t="str">
        <f>_xlfn.XLOOKUP(Pipeline_tbl[[#This Row],[Rep_ID]],Dim_Reps!A:A,Dim_Reps!K:K)</f>
        <v>EUR</v>
      </c>
      <c r="N1297" s="33">
        <f>(_xlfn.XLOOKUP(Pipeline_tbl[[#This Row],[Rate_Code_Generalized]],Lookups!A:A,Lookups!B:B))*Pipeline_tbl[[#This Row],[Pipeline_Amount_USD]]</f>
        <v>3100</v>
      </c>
      <c r="O1297" t="str">
        <f>_xlfn.XLOOKUP(Pipeline_tbl[[#This Row],[Rep_ID]],Dim_Reps!A:A,Dim_Reps!B:B)</f>
        <v>Sam Castro</v>
      </c>
      <c r="P1297" t="str">
        <f>_xlfn.XLOOKUP(Pipeline_tbl[[#This Row],[Rep_ID]],Dim_Reps!A:A,Dim_Reps!C:C)</f>
        <v>SDR / Inside Sales Rep</v>
      </c>
      <c r="Q1297" t="str">
        <f>_xlfn.XLOOKUP(Pipeline_tbl[[#This Row],[Rep_ID]],Dim_Reps!A:A,Dim_Reps!D:D)</f>
        <v>Inside Sales</v>
      </c>
      <c r="R1297" t="str">
        <f>_xlfn.XLOOKUP(Pipeline_tbl[[#This Row],[Rep_ID]],Dim_Reps!A:A,Dim_Reps!E:E)</f>
        <v>APAC</v>
      </c>
      <c r="S1297" t="str">
        <f>_xlfn.XLOOKUP(Pipeline_tbl[[#This Row],[Created_Date]],Dim_Date!A:A,Dim_Date!H:H)</f>
        <v>Oct 2024</v>
      </c>
      <c r="T1297" t="str">
        <f>IF(Pipeline_tbl[[#This Row],[Closed_Date]]=0,"",(_xlfn.XLOOKUP(Pipeline_tbl[[#This Row],[Closed_Date]],Dim_Date!A:A,Dim_Date!H:H)))</f>
        <v>Oct 2024</v>
      </c>
      <c r="U1297">
        <f>IF(Pipeline_tbl[[#This Row],[Closed_Date]]=0,"",Pipeline_tbl[[#This Row],[Closed_Date]]-Pipeline_tbl[[#This Row],[Created_Date]])</f>
        <v>17</v>
      </c>
    </row>
    <row r="1298" spans="1:21" ht="15" customHeight="1" x14ac:dyDescent="0.2">
      <c r="A1298" t="s">
        <v>1604</v>
      </c>
      <c r="B1298" t="s">
        <v>211</v>
      </c>
      <c r="C1298" t="s">
        <v>53</v>
      </c>
      <c r="D1298" s="49">
        <v>45571</v>
      </c>
      <c r="E1298" s="49">
        <v>45573</v>
      </c>
      <c r="F1298" s="49">
        <v>45576</v>
      </c>
      <c r="G1298" s="49">
        <v>45581</v>
      </c>
      <c r="H1298" s="49">
        <v>45585</v>
      </c>
      <c r="I1298" s="49">
        <v>45588</v>
      </c>
      <c r="J1298" t="s">
        <v>49</v>
      </c>
      <c r="K1298" s="33">
        <v>15400</v>
      </c>
      <c r="L1298" t="s">
        <v>60</v>
      </c>
      <c r="M1298" t="str">
        <f>_xlfn.XLOOKUP(Pipeline_tbl[[#This Row],[Rep_ID]],Dim_Reps!A:A,Dim_Reps!K:K)</f>
        <v>EUR</v>
      </c>
      <c r="N1298" s="33">
        <f>(_xlfn.XLOOKUP(Pipeline_tbl[[#This Row],[Rate_Code_Generalized]],Lookups!A:A,Lookups!B:B))*Pipeline_tbl[[#This Row],[Pipeline_Amount_USD]]</f>
        <v>15400</v>
      </c>
      <c r="O1298" t="str">
        <f>_xlfn.XLOOKUP(Pipeline_tbl[[#This Row],[Rep_ID]],Dim_Reps!A:A,Dim_Reps!B:B)</f>
        <v>Lea Weber</v>
      </c>
      <c r="P1298" t="str">
        <f>_xlfn.XLOOKUP(Pipeline_tbl[[#This Row],[Rep_ID]],Dim_Reps!A:A,Dim_Reps!C:C)</f>
        <v>SDR / Inside Sales Rep</v>
      </c>
      <c r="Q1298" t="str">
        <f>_xlfn.XLOOKUP(Pipeline_tbl[[#This Row],[Rep_ID]],Dim_Reps!A:A,Dim_Reps!D:D)</f>
        <v>Inside Sales</v>
      </c>
      <c r="R1298" t="str">
        <f>_xlfn.XLOOKUP(Pipeline_tbl[[#This Row],[Rep_ID]],Dim_Reps!A:A,Dim_Reps!E:E)</f>
        <v>EMEA</v>
      </c>
      <c r="S1298" t="str">
        <f>_xlfn.XLOOKUP(Pipeline_tbl[[#This Row],[Created_Date]],Dim_Date!A:A,Dim_Date!H:H)</f>
        <v>Oct 2024</v>
      </c>
      <c r="T1298" t="str">
        <f>IF(Pipeline_tbl[[#This Row],[Closed_Date]]=0,"",(_xlfn.XLOOKUP(Pipeline_tbl[[#This Row],[Closed_Date]],Dim_Date!A:A,Dim_Date!H:H)))</f>
        <v>Oct 2024</v>
      </c>
      <c r="U1298">
        <f>IF(Pipeline_tbl[[#This Row],[Closed_Date]]=0,"",Pipeline_tbl[[#This Row],[Closed_Date]]-Pipeline_tbl[[#This Row],[Created_Date]])</f>
        <v>17</v>
      </c>
    </row>
    <row r="1299" spans="1:21" ht="15" customHeight="1" x14ac:dyDescent="0.2">
      <c r="A1299" t="s">
        <v>1605</v>
      </c>
      <c r="B1299" t="s">
        <v>213</v>
      </c>
      <c r="C1299" t="s">
        <v>52</v>
      </c>
      <c r="D1299" s="49">
        <v>45571</v>
      </c>
      <c r="E1299" s="49">
        <v>45573</v>
      </c>
      <c r="F1299" s="49">
        <v>45579</v>
      </c>
      <c r="G1299" s="49">
        <v>45586</v>
      </c>
      <c r="H1299" s="49">
        <v>45592</v>
      </c>
      <c r="I1299" s="49">
        <v>45596</v>
      </c>
      <c r="J1299" t="s">
        <v>49</v>
      </c>
      <c r="K1299" s="33">
        <v>4000</v>
      </c>
      <c r="L1299" t="s">
        <v>61</v>
      </c>
      <c r="M1299" t="str">
        <f>_xlfn.XLOOKUP(Pipeline_tbl[[#This Row],[Rep_ID]],Dim_Reps!A:A,Dim_Reps!K:K)</f>
        <v>EUR</v>
      </c>
      <c r="N1299" s="33">
        <f>(_xlfn.XLOOKUP(Pipeline_tbl[[#This Row],[Rate_Code_Generalized]],Lookups!A:A,Lookups!B:B))*Pipeline_tbl[[#This Row],[Pipeline_Amount_USD]]</f>
        <v>4000</v>
      </c>
      <c r="O1299" t="str">
        <f>_xlfn.XLOOKUP(Pipeline_tbl[[#This Row],[Rep_ID]],Dim_Reps!A:A,Dim_Reps!B:B)</f>
        <v>Jamie Silva</v>
      </c>
      <c r="P1299" t="str">
        <f>_xlfn.XLOOKUP(Pipeline_tbl[[#This Row],[Rep_ID]],Dim_Reps!A:A,Dim_Reps!C:C)</f>
        <v>SDR / Inside Sales Rep</v>
      </c>
      <c r="Q1299" t="str">
        <f>_xlfn.XLOOKUP(Pipeline_tbl[[#This Row],[Rep_ID]],Dim_Reps!A:A,Dim_Reps!D:D)</f>
        <v>Inside Sales</v>
      </c>
      <c r="R1299" t="str">
        <f>_xlfn.XLOOKUP(Pipeline_tbl[[#This Row],[Rep_ID]],Dim_Reps!A:A,Dim_Reps!E:E)</f>
        <v>EMEA</v>
      </c>
      <c r="S1299" t="str">
        <f>_xlfn.XLOOKUP(Pipeline_tbl[[#This Row],[Created_Date]],Dim_Date!A:A,Dim_Date!H:H)</f>
        <v>Oct 2024</v>
      </c>
      <c r="T1299" t="str">
        <f>IF(Pipeline_tbl[[#This Row],[Closed_Date]]=0,"",(_xlfn.XLOOKUP(Pipeline_tbl[[#This Row],[Closed_Date]],Dim_Date!A:A,Dim_Date!H:H)))</f>
        <v>Oct 2024</v>
      </c>
      <c r="U1299">
        <f>IF(Pipeline_tbl[[#This Row],[Closed_Date]]=0,"",Pipeline_tbl[[#This Row],[Closed_Date]]-Pipeline_tbl[[#This Row],[Created_Date]])</f>
        <v>25</v>
      </c>
    </row>
    <row r="1300" spans="1:21" ht="15" customHeight="1" x14ac:dyDescent="0.2">
      <c r="A1300" t="s">
        <v>1606</v>
      </c>
      <c r="B1300" t="s">
        <v>213</v>
      </c>
      <c r="C1300" t="s">
        <v>55</v>
      </c>
      <c r="D1300" s="49">
        <v>45580</v>
      </c>
      <c r="E1300" s="49">
        <v>45581</v>
      </c>
      <c r="I1300" s="49">
        <v>45592</v>
      </c>
      <c r="J1300" t="s">
        <v>49</v>
      </c>
      <c r="K1300" s="33">
        <v>2500</v>
      </c>
      <c r="L1300" t="s">
        <v>61</v>
      </c>
      <c r="M1300" t="str">
        <f>_xlfn.XLOOKUP(Pipeline_tbl[[#This Row],[Rep_ID]],Dim_Reps!A:A,Dim_Reps!K:K)</f>
        <v>EUR</v>
      </c>
      <c r="N1300" s="33">
        <f>(_xlfn.XLOOKUP(Pipeline_tbl[[#This Row],[Rate_Code_Generalized]],Lookups!A:A,Lookups!B:B))*Pipeline_tbl[[#This Row],[Pipeline_Amount_USD]]</f>
        <v>2500</v>
      </c>
      <c r="O1300" t="str">
        <f>_xlfn.XLOOKUP(Pipeline_tbl[[#This Row],[Rep_ID]],Dim_Reps!A:A,Dim_Reps!B:B)</f>
        <v>Jamie Silva</v>
      </c>
      <c r="P1300" t="str">
        <f>_xlfn.XLOOKUP(Pipeline_tbl[[#This Row],[Rep_ID]],Dim_Reps!A:A,Dim_Reps!C:C)</f>
        <v>SDR / Inside Sales Rep</v>
      </c>
      <c r="Q1300" t="str">
        <f>_xlfn.XLOOKUP(Pipeline_tbl[[#This Row],[Rep_ID]],Dim_Reps!A:A,Dim_Reps!D:D)</f>
        <v>Inside Sales</v>
      </c>
      <c r="R1300" t="str">
        <f>_xlfn.XLOOKUP(Pipeline_tbl[[#This Row],[Rep_ID]],Dim_Reps!A:A,Dim_Reps!E:E)</f>
        <v>EMEA</v>
      </c>
      <c r="S1300" t="str">
        <f>_xlfn.XLOOKUP(Pipeline_tbl[[#This Row],[Created_Date]],Dim_Date!A:A,Dim_Date!H:H)</f>
        <v>Oct 2024</v>
      </c>
      <c r="T1300" t="str">
        <f>IF(Pipeline_tbl[[#This Row],[Closed_Date]]=0,"",(_xlfn.XLOOKUP(Pipeline_tbl[[#This Row],[Closed_Date]],Dim_Date!A:A,Dim_Date!H:H)))</f>
        <v>Oct 2024</v>
      </c>
      <c r="U1300">
        <f>IF(Pipeline_tbl[[#This Row],[Closed_Date]]=0,"",Pipeline_tbl[[#This Row],[Closed_Date]]-Pipeline_tbl[[#This Row],[Created_Date]])</f>
        <v>12</v>
      </c>
    </row>
    <row r="1301" spans="1:21" ht="15" customHeight="1" x14ac:dyDescent="0.2">
      <c r="A1301" t="s">
        <v>1607</v>
      </c>
      <c r="B1301" t="s">
        <v>213</v>
      </c>
      <c r="C1301" t="s">
        <v>52</v>
      </c>
      <c r="D1301" s="49">
        <v>45571</v>
      </c>
      <c r="E1301" s="49">
        <v>45573</v>
      </c>
      <c r="F1301" s="49">
        <v>45576</v>
      </c>
      <c r="G1301" s="49">
        <v>45580</v>
      </c>
      <c r="H1301" s="49">
        <v>45584</v>
      </c>
      <c r="I1301" s="49">
        <v>45586</v>
      </c>
      <c r="J1301" t="s">
        <v>47</v>
      </c>
      <c r="K1301" s="33">
        <v>3500</v>
      </c>
      <c r="M1301" t="str">
        <f>_xlfn.XLOOKUP(Pipeline_tbl[[#This Row],[Rep_ID]],Dim_Reps!A:A,Dim_Reps!K:K)</f>
        <v>EUR</v>
      </c>
      <c r="N1301" s="33">
        <f>(_xlfn.XLOOKUP(Pipeline_tbl[[#This Row],[Rate_Code_Generalized]],Lookups!A:A,Lookups!B:B))*Pipeline_tbl[[#This Row],[Pipeline_Amount_USD]]</f>
        <v>3500</v>
      </c>
      <c r="O1301" t="str">
        <f>_xlfn.XLOOKUP(Pipeline_tbl[[#This Row],[Rep_ID]],Dim_Reps!A:A,Dim_Reps!B:B)</f>
        <v>Jamie Silva</v>
      </c>
      <c r="P1301" t="str">
        <f>_xlfn.XLOOKUP(Pipeline_tbl[[#This Row],[Rep_ID]],Dim_Reps!A:A,Dim_Reps!C:C)</f>
        <v>SDR / Inside Sales Rep</v>
      </c>
      <c r="Q1301" t="str">
        <f>_xlfn.XLOOKUP(Pipeline_tbl[[#This Row],[Rep_ID]],Dim_Reps!A:A,Dim_Reps!D:D)</f>
        <v>Inside Sales</v>
      </c>
      <c r="R1301" t="str">
        <f>_xlfn.XLOOKUP(Pipeline_tbl[[#This Row],[Rep_ID]],Dim_Reps!A:A,Dim_Reps!E:E)</f>
        <v>EMEA</v>
      </c>
      <c r="S1301" t="str">
        <f>_xlfn.XLOOKUP(Pipeline_tbl[[#This Row],[Created_Date]],Dim_Date!A:A,Dim_Date!H:H)</f>
        <v>Oct 2024</v>
      </c>
      <c r="T1301" t="str">
        <f>IF(Pipeline_tbl[[#This Row],[Closed_Date]]=0,"",(_xlfn.XLOOKUP(Pipeline_tbl[[#This Row],[Closed_Date]],Dim_Date!A:A,Dim_Date!H:H)))</f>
        <v>Oct 2024</v>
      </c>
      <c r="U1301">
        <f>IF(Pipeline_tbl[[#This Row],[Closed_Date]]=0,"",Pipeline_tbl[[#This Row],[Closed_Date]]-Pipeline_tbl[[#This Row],[Created_Date]])</f>
        <v>15</v>
      </c>
    </row>
    <row r="1302" spans="1:21" ht="15" customHeight="1" x14ac:dyDescent="0.2">
      <c r="A1302" t="s">
        <v>1608</v>
      </c>
      <c r="B1302" t="s">
        <v>215</v>
      </c>
      <c r="C1302" t="s">
        <v>54</v>
      </c>
      <c r="D1302" s="49">
        <v>45570</v>
      </c>
      <c r="E1302" s="49">
        <v>45572</v>
      </c>
      <c r="F1302" s="49">
        <v>45575</v>
      </c>
      <c r="I1302" s="49">
        <v>45587</v>
      </c>
      <c r="J1302" t="s">
        <v>49</v>
      </c>
      <c r="K1302" s="33">
        <v>3300</v>
      </c>
      <c r="L1302" t="s">
        <v>62</v>
      </c>
      <c r="M1302" t="str">
        <f>_xlfn.XLOOKUP(Pipeline_tbl[[#This Row],[Rep_ID]],Dim_Reps!A:A,Dim_Reps!K:K)</f>
        <v>EUR</v>
      </c>
      <c r="N1302" s="33">
        <f>(_xlfn.XLOOKUP(Pipeline_tbl[[#This Row],[Rate_Code_Generalized]],Lookups!A:A,Lookups!B:B))*Pipeline_tbl[[#This Row],[Pipeline_Amount_USD]]</f>
        <v>3300</v>
      </c>
      <c r="O1302" t="str">
        <f>_xlfn.XLOOKUP(Pipeline_tbl[[#This Row],[Rep_ID]],Dim_Reps!A:A,Dim_Reps!B:B)</f>
        <v>Jamie Schmidt</v>
      </c>
      <c r="P1302" t="str">
        <f>_xlfn.XLOOKUP(Pipeline_tbl[[#This Row],[Rep_ID]],Dim_Reps!A:A,Dim_Reps!C:C)</f>
        <v>SDR / Inside Sales Rep</v>
      </c>
      <c r="Q1302" t="str">
        <f>_xlfn.XLOOKUP(Pipeline_tbl[[#This Row],[Rep_ID]],Dim_Reps!A:A,Dim_Reps!D:D)</f>
        <v>Inside Sales</v>
      </c>
      <c r="R1302" t="str">
        <f>_xlfn.XLOOKUP(Pipeline_tbl[[#This Row],[Rep_ID]],Dim_Reps!A:A,Dim_Reps!E:E)</f>
        <v>APAC</v>
      </c>
      <c r="S1302" t="str">
        <f>_xlfn.XLOOKUP(Pipeline_tbl[[#This Row],[Created_Date]],Dim_Date!A:A,Dim_Date!H:H)</f>
        <v>Oct 2024</v>
      </c>
      <c r="T1302" t="str">
        <f>IF(Pipeline_tbl[[#This Row],[Closed_Date]]=0,"",(_xlfn.XLOOKUP(Pipeline_tbl[[#This Row],[Closed_Date]],Dim_Date!A:A,Dim_Date!H:H)))</f>
        <v>Oct 2024</v>
      </c>
      <c r="U1302">
        <f>IF(Pipeline_tbl[[#This Row],[Closed_Date]]=0,"",Pipeline_tbl[[#This Row],[Closed_Date]]-Pipeline_tbl[[#This Row],[Created_Date]])</f>
        <v>17</v>
      </c>
    </row>
    <row r="1303" spans="1:21" ht="15" customHeight="1" x14ac:dyDescent="0.2">
      <c r="A1303" t="s">
        <v>1609</v>
      </c>
      <c r="B1303" t="s">
        <v>215</v>
      </c>
      <c r="C1303" t="s">
        <v>54</v>
      </c>
      <c r="D1303" s="49">
        <v>45575</v>
      </c>
      <c r="E1303" s="49">
        <v>45576</v>
      </c>
      <c r="F1303" s="49">
        <v>45579</v>
      </c>
      <c r="G1303" s="49">
        <v>45582</v>
      </c>
      <c r="H1303" s="49">
        <v>45585</v>
      </c>
      <c r="I1303" s="49">
        <v>45587</v>
      </c>
      <c r="J1303" t="s">
        <v>47</v>
      </c>
      <c r="K1303" s="33">
        <v>3500</v>
      </c>
      <c r="M1303" t="str">
        <f>_xlfn.XLOOKUP(Pipeline_tbl[[#This Row],[Rep_ID]],Dim_Reps!A:A,Dim_Reps!K:K)</f>
        <v>EUR</v>
      </c>
      <c r="N1303" s="33">
        <f>(_xlfn.XLOOKUP(Pipeline_tbl[[#This Row],[Rate_Code_Generalized]],Lookups!A:A,Lookups!B:B))*Pipeline_tbl[[#This Row],[Pipeline_Amount_USD]]</f>
        <v>3500</v>
      </c>
      <c r="O1303" t="str">
        <f>_xlfn.XLOOKUP(Pipeline_tbl[[#This Row],[Rep_ID]],Dim_Reps!A:A,Dim_Reps!B:B)</f>
        <v>Jamie Schmidt</v>
      </c>
      <c r="P1303" t="str">
        <f>_xlfn.XLOOKUP(Pipeline_tbl[[#This Row],[Rep_ID]],Dim_Reps!A:A,Dim_Reps!C:C)</f>
        <v>SDR / Inside Sales Rep</v>
      </c>
      <c r="Q1303" t="str">
        <f>_xlfn.XLOOKUP(Pipeline_tbl[[#This Row],[Rep_ID]],Dim_Reps!A:A,Dim_Reps!D:D)</f>
        <v>Inside Sales</v>
      </c>
      <c r="R1303" t="str">
        <f>_xlfn.XLOOKUP(Pipeline_tbl[[#This Row],[Rep_ID]],Dim_Reps!A:A,Dim_Reps!E:E)</f>
        <v>APAC</v>
      </c>
      <c r="S1303" t="str">
        <f>_xlfn.XLOOKUP(Pipeline_tbl[[#This Row],[Created_Date]],Dim_Date!A:A,Dim_Date!H:H)</f>
        <v>Oct 2024</v>
      </c>
      <c r="T1303" t="str">
        <f>IF(Pipeline_tbl[[#This Row],[Closed_Date]]=0,"",(_xlfn.XLOOKUP(Pipeline_tbl[[#This Row],[Closed_Date]],Dim_Date!A:A,Dim_Date!H:H)))</f>
        <v>Oct 2024</v>
      </c>
      <c r="U1303">
        <f>IF(Pipeline_tbl[[#This Row],[Closed_Date]]=0,"",Pipeline_tbl[[#This Row],[Closed_Date]]-Pipeline_tbl[[#This Row],[Created_Date]])</f>
        <v>12</v>
      </c>
    </row>
    <row r="1304" spans="1:21" ht="15" customHeight="1" x14ac:dyDescent="0.2">
      <c r="A1304" t="s">
        <v>1610</v>
      </c>
      <c r="B1304" t="s">
        <v>215</v>
      </c>
      <c r="C1304" t="s">
        <v>52</v>
      </c>
      <c r="D1304" s="49">
        <v>45571</v>
      </c>
      <c r="E1304" s="49">
        <v>45572</v>
      </c>
      <c r="I1304" s="49">
        <v>45584</v>
      </c>
      <c r="J1304" t="s">
        <v>49</v>
      </c>
      <c r="K1304" s="33">
        <v>3400</v>
      </c>
      <c r="L1304" t="s">
        <v>61</v>
      </c>
      <c r="M1304" t="str">
        <f>_xlfn.XLOOKUP(Pipeline_tbl[[#This Row],[Rep_ID]],Dim_Reps!A:A,Dim_Reps!K:K)</f>
        <v>EUR</v>
      </c>
      <c r="N1304" s="33">
        <f>(_xlfn.XLOOKUP(Pipeline_tbl[[#This Row],[Rate_Code_Generalized]],Lookups!A:A,Lookups!B:B))*Pipeline_tbl[[#This Row],[Pipeline_Amount_USD]]</f>
        <v>3400</v>
      </c>
      <c r="O1304" t="str">
        <f>_xlfn.XLOOKUP(Pipeline_tbl[[#This Row],[Rep_ID]],Dim_Reps!A:A,Dim_Reps!B:B)</f>
        <v>Jamie Schmidt</v>
      </c>
      <c r="P1304" t="str">
        <f>_xlfn.XLOOKUP(Pipeline_tbl[[#This Row],[Rep_ID]],Dim_Reps!A:A,Dim_Reps!C:C)</f>
        <v>SDR / Inside Sales Rep</v>
      </c>
      <c r="Q1304" t="str">
        <f>_xlfn.XLOOKUP(Pipeline_tbl[[#This Row],[Rep_ID]],Dim_Reps!A:A,Dim_Reps!D:D)</f>
        <v>Inside Sales</v>
      </c>
      <c r="R1304" t="str">
        <f>_xlfn.XLOOKUP(Pipeline_tbl[[#This Row],[Rep_ID]],Dim_Reps!A:A,Dim_Reps!E:E)</f>
        <v>APAC</v>
      </c>
      <c r="S1304" t="str">
        <f>_xlfn.XLOOKUP(Pipeline_tbl[[#This Row],[Created_Date]],Dim_Date!A:A,Dim_Date!H:H)</f>
        <v>Oct 2024</v>
      </c>
      <c r="T1304" t="str">
        <f>IF(Pipeline_tbl[[#This Row],[Closed_Date]]=0,"",(_xlfn.XLOOKUP(Pipeline_tbl[[#This Row],[Closed_Date]],Dim_Date!A:A,Dim_Date!H:H)))</f>
        <v>Oct 2024</v>
      </c>
      <c r="U1304">
        <f>IF(Pipeline_tbl[[#This Row],[Closed_Date]]=0,"",Pipeline_tbl[[#This Row],[Closed_Date]]-Pipeline_tbl[[#This Row],[Created_Date]])</f>
        <v>13</v>
      </c>
    </row>
    <row r="1305" spans="1:21" ht="15" customHeight="1" x14ac:dyDescent="0.2">
      <c r="A1305" t="s">
        <v>1611</v>
      </c>
      <c r="B1305" t="s">
        <v>215</v>
      </c>
      <c r="C1305" t="s">
        <v>52</v>
      </c>
      <c r="D1305" s="49">
        <v>45571</v>
      </c>
      <c r="E1305" s="49">
        <v>45573</v>
      </c>
      <c r="F1305" s="49">
        <v>45579</v>
      </c>
      <c r="G1305" s="49">
        <v>45586</v>
      </c>
      <c r="I1305" s="49">
        <v>45596</v>
      </c>
      <c r="J1305" t="s">
        <v>49</v>
      </c>
      <c r="K1305" s="33">
        <v>2600</v>
      </c>
      <c r="L1305" t="s">
        <v>61</v>
      </c>
      <c r="M1305" t="str">
        <f>_xlfn.XLOOKUP(Pipeline_tbl[[#This Row],[Rep_ID]],Dim_Reps!A:A,Dim_Reps!K:K)</f>
        <v>EUR</v>
      </c>
      <c r="N1305" s="33">
        <f>(_xlfn.XLOOKUP(Pipeline_tbl[[#This Row],[Rate_Code_Generalized]],Lookups!A:A,Lookups!B:B))*Pipeline_tbl[[#This Row],[Pipeline_Amount_USD]]</f>
        <v>2600</v>
      </c>
      <c r="O1305" t="str">
        <f>_xlfn.XLOOKUP(Pipeline_tbl[[#This Row],[Rep_ID]],Dim_Reps!A:A,Dim_Reps!B:B)</f>
        <v>Jamie Schmidt</v>
      </c>
      <c r="P1305" t="str">
        <f>_xlfn.XLOOKUP(Pipeline_tbl[[#This Row],[Rep_ID]],Dim_Reps!A:A,Dim_Reps!C:C)</f>
        <v>SDR / Inside Sales Rep</v>
      </c>
      <c r="Q1305" t="str">
        <f>_xlfn.XLOOKUP(Pipeline_tbl[[#This Row],[Rep_ID]],Dim_Reps!A:A,Dim_Reps!D:D)</f>
        <v>Inside Sales</v>
      </c>
      <c r="R1305" t="str">
        <f>_xlfn.XLOOKUP(Pipeline_tbl[[#This Row],[Rep_ID]],Dim_Reps!A:A,Dim_Reps!E:E)</f>
        <v>APAC</v>
      </c>
      <c r="S1305" t="str">
        <f>_xlfn.XLOOKUP(Pipeline_tbl[[#This Row],[Created_Date]],Dim_Date!A:A,Dim_Date!H:H)</f>
        <v>Oct 2024</v>
      </c>
      <c r="T1305" t="str">
        <f>IF(Pipeline_tbl[[#This Row],[Closed_Date]]=0,"",(_xlfn.XLOOKUP(Pipeline_tbl[[#This Row],[Closed_Date]],Dim_Date!A:A,Dim_Date!H:H)))</f>
        <v>Oct 2024</v>
      </c>
      <c r="U1305">
        <f>IF(Pipeline_tbl[[#This Row],[Closed_Date]]=0,"",Pipeline_tbl[[#This Row],[Closed_Date]]-Pipeline_tbl[[#This Row],[Created_Date]])</f>
        <v>25</v>
      </c>
    </row>
    <row r="1306" spans="1:21" ht="15" customHeight="1" x14ac:dyDescent="0.2">
      <c r="A1306" t="s">
        <v>1612</v>
      </c>
      <c r="B1306" t="s">
        <v>215</v>
      </c>
      <c r="C1306" t="s">
        <v>53</v>
      </c>
      <c r="D1306" s="49">
        <v>45576</v>
      </c>
      <c r="E1306" s="49">
        <v>45578</v>
      </c>
      <c r="F1306" s="49">
        <v>45581</v>
      </c>
      <c r="G1306" s="49">
        <v>45585</v>
      </c>
      <c r="I1306" s="49">
        <v>45591</v>
      </c>
      <c r="J1306" t="s">
        <v>49</v>
      </c>
      <c r="K1306" s="33">
        <v>3600</v>
      </c>
      <c r="L1306" t="s">
        <v>64</v>
      </c>
      <c r="M1306" t="str">
        <f>_xlfn.XLOOKUP(Pipeline_tbl[[#This Row],[Rep_ID]],Dim_Reps!A:A,Dim_Reps!K:K)</f>
        <v>EUR</v>
      </c>
      <c r="N1306" s="33">
        <f>(_xlfn.XLOOKUP(Pipeline_tbl[[#This Row],[Rate_Code_Generalized]],Lookups!A:A,Lookups!B:B))*Pipeline_tbl[[#This Row],[Pipeline_Amount_USD]]</f>
        <v>3600</v>
      </c>
      <c r="O1306" t="str">
        <f>_xlfn.XLOOKUP(Pipeline_tbl[[#This Row],[Rep_ID]],Dim_Reps!A:A,Dim_Reps!B:B)</f>
        <v>Jamie Schmidt</v>
      </c>
      <c r="P1306" t="str">
        <f>_xlfn.XLOOKUP(Pipeline_tbl[[#This Row],[Rep_ID]],Dim_Reps!A:A,Dim_Reps!C:C)</f>
        <v>SDR / Inside Sales Rep</v>
      </c>
      <c r="Q1306" t="str">
        <f>_xlfn.XLOOKUP(Pipeline_tbl[[#This Row],[Rep_ID]],Dim_Reps!A:A,Dim_Reps!D:D)</f>
        <v>Inside Sales</v>
      </c>
      <c r="R1306" t="str">
        <f>_xlfn.XLOOKUP(Pipeline_tbl[[#This Row],[Rep_ID]],Dim_Reps!A:A,Dim_Reps!E:E)</f>
        <v>APAC</v>
      </c>
      <c r="S1306" t="str">
        <f>_xlfn.XLOOKUP(Pipeline_tbl[[#This Row],[Created_Date]],Dim_Date!A:A,Dim_Date!H:H)</f>
        <v>Oct 2024</v>
      </c>
      <c r="T1306" t="str">
        <f>IF(Pipeline_tbl[[#This Row],[Closed_Date]]=0,"",(_xlfn.XLOOKUP(Pipeline_tbl[[#This Row],[Closed_Date]],Dim_Date!A:A,Dim_Date!H:H)))</f>
        <v>Oct 2024</v>
      </c>
      <c r="U1306">
        <f>IF(Pipeline_tbl[[#This Row],[Closed_Date]]=0,"",Pipeline_tbl[[#This Row],[Closed_Date]]-Pipeline_tbl[[#This Row],[Created_Date]])</f>
        <v>15</v>
      </c>
    </row>
    <row r="1307" spans="1:21" ht="15" customHeight="1" x14ac:dyDescent="0.2">
      <c r="A1307" t="s">
        <v>1613</v>
      </c>
      <c r="B1307" t="s">
        <v>215</v>
      </c>
      <c r="C1307" t="s">
        <v>52</v>
      </c>
      <c r="D1307" s="49">
        <v>45573</v>
      </c>
      <c r="E1307" s="49">
        <v>45575</v>
      </c>
      <c r="F1307" s="49">
        <v>45578</v>
      </c>
      <c r="G1307" s="49">
        <v>45583</v>
      </c>
      <c r="H1307" s="49">
        <v>45587</v>
      </c>
      <c r="I1307" s="49">
        <v>45590</v>
      </c>
      <c r="J1307" t="s">
        <v>47</v>
      </c>
      <c r="K1307" s="33">
        <v>6300</v>
      </c>
      <c r="M1307" t="str">
        <f>_xlfn.XLOOKUP(Pipeline_tbl[[#This Row],[Rep_ID]],Dim_Reps!A:A,Dim_Reps!K:K)</f>
        <v>EUR</v>
      </c>
      <c r="N1307" s="33">
        <f>(_xlfn.XLOOKUP(Pipeline_tbl[[#This Row],[Rate_Code_Generalized]],Lookups!A:A,Lookups!B:B))*Pipeline_tbl[[#This Row],[Pipeline_Amount_USD]]</f>
        <v>6300</v>
      </c>
      <c r="O1307" t="str">
        <f>_xlfn.XLOOKUP(Pipeline_tbl[[#This Row],[Rep_ID]],Dim_Reps!A:A,Dim_Reps!B:B)</f>
        <v>Jamie Schmidt</v>
      </c>
      <c r="P1307" t="str">
        <f>_xlfn.XLOOKUP(Pipeline_tbl[[#This Row],[Rep_ID]],Dim_Reps!A:A,Dim_Reps!C:C)</f>
        <v>SDR / Inside Sales Rep</v>
      </c>
      <c r="Q1307" t="str">
        <f>_xlfn.XLOOKUP(Pipeline_tbl[[#This Row],[Rep_ID]],Dim_Reps!A:A,Dim_Reps!D:D)</f>
        <v>Inside Sales</v>
      </c>
      <c r="R1307" t="str">
        <f>_xlfn.XLOOKUP(Pipeline_tbl[[#This Row],[Rep_ID]],Dim_Reps!A:A,Dim_Reps!E:E)</f>
        <v>APAC</v>
      </c>
      <c r="S1307" t="str">
        <f>_xlfn.XLOOKUP(Pipeline_tbl[[#This Row],[Created_Date]],Dim_Date!A:A,Dim_Date!H:H)</f>
        <v>Oct 2024</v>
      </c>
      <c r="T1307" t="str">
        <f>IF(Pipeline_tbl[[#This Row],[Closed_Date]]=0,"",(_xlfn.XLOOKUP(Pipeline_tbl[[#This Row],[Closed_Date]],Dim_Date!A:A,Dim_Date!H:H)))</f>
        <v>Oct 2024</v>
      </c>
      <c r="U1307">
        <f>IF(Pipeline_tbl[[#This Row],[Closed_Date]]=0,"",Pipeline_tbl[[#This Row],[Closed_Date]]-Pipeline_tbl[[#This Row],[Created_Date]])</f>
        <v>17</v>
      </c>
    </row>
    <row r="1308" spans="1:21" ht="15" customHeight="1" x14ac:dyDescent="0.2">
      <c r="A1308" t="s">
        <v>1614</v>
      </c>
      <c r="B1308" t="s">
        <v>217</v>
      </c>
      <c r="C1308" t="s">
        <v>53</v>
      </c>
      <c r="D1308" s="49">
        <v>45578</v>
      </c>
      <c r="E1308" s="49">
        <v>45580</v>
      </c>
      <c r="F1308" s="49">
        <v>45583</v>
      </c>
      <c r="G1308" s="49">
        <v>45589</v>
      </c>
      <c r="H1308" s="49">
        <v>45593</v>
      </c>
      <c r="I1308" s="49">
        <v>45596</v>
      </c>
      <c r="J1308" t="s">
        <v>47</v>
      </c>
      <c r="K1308" s="33">
        <v>2100</v>
      </c>
      <c r="M1308" t="str">
        <f>_xlfn.XLOOKUP(Pipeline_tbl[[#This Row],[Rep_ID]],Dim_Reps!A:A,Dim_Reps!K:K)</f>
        <v>USD</v>
      </c>
      <c r="N1308" s="33">
        <f>(_xlfn.XLOOKUP(Pipeline_tbl[[#This Row],[Rate_Code_Generalized]],Lookups!A:A,Lookups!B:B))*Pipeline_tbl[[#This Row],[Pipeline_Amount_USD]]</f>
        <v>2445.0299999999997</v>
      </c>
      <c r="O1308" t="str">
        <f>_xlfn.XLOOKUP(Pipeline_tbl[[#This Row],[Rep_ID]],Dim_Reps!A:A,Dim_Reps!B:B)</f>
        <v>Priya Weber</v>
      </c>
      <c r="P1308" t="str">
        <f>_xlfn.XLOOKUP(Pipeline_tbl[[#This Row],[Rep_ID]],Dim_Reps!A:A,Dim_Reps!C:C)</f>
        <v>SDR / Inside Sales Rep</v>
      </c>
      <c r="Q1308" t="str">
        <f>_xlfn.XLOOKUP(Pipeline_tbl[[#This Row],[Rep_ID]],Dim_Reps!A:A,Dim_Reps!D:D)</f>
        <v>Inside Sales</v>
      </c>
      <c r="R1308" t="str">
        <f>_xlfn.XLOOKUP(Pipeline_tbl[[#This Row],[Rep_ID]],Dim_Reps!A:A,Dim_Reps!E:E)</f>
        <v>NAMER</v>
      </c>
      <c r="S1308" t="str">
        <f>_xlfn.XLOOKUP(Pipeline_tbl[[#This Row],[Created_Date]],Dim_Date!A:A,Dim_Date!H:H)</f>
        <v>Oct 2024</v>
      </c>
      <c r="T1308" t="str">
        <f>IF(Pipeline_tbl[[#This Row],[Closed_Date]]=0,"",(_xlfn.XLOOKUP(Pipeline_tbl[[#This Row],[Closed_Date]],Dim_Date!A:A,Dim_Date!H:H)))</f>
        <v>Oct 2024</v>
      </c>
      <c r="U1308">
        <f>IF(Pipeline_tbl[[#This Row],[Closed_Date]]=0,"",Pipeline_tbl[[#This Row],[Closed_Date]]-Pipeline_tbl[[#This Row],[Created_Date]])</f>
        <v>18</v>
      </c>
    </row>
    <row r="1309" spans="1:21" ht="15" customHeight="1" x14ac:dyDescent="0.2">
      <c r="A1309" t="s">
        <v>1615</v>
      </c>
      <c r="B1309" t="s">
        <v>217</v>
      </c>
      <c r="C1309" t="s">
        <v>52</v>
      </c>
      <c r="D1309" s="49">
        <v>45575</v>
      </c>
      <c r="E1309" s="49">
        <v>45577</v>
      </c>
      <c r="F1309" s="49">
        <v>45580</v>
      </c>
      <c r="G1309" s="49">
        <v>45585</v>
      </c>
      <c r="H1309" s="49">
        <v>45589</v>
      </c>
      <c r="I1309" s="49">
        <v>45591</v>
      </c>
      <c r="J1309" t="s">
        <v>47</v>
      </c>
      <c r="K1309" s="33">
        <v>2300</v>
      </c>
      <c r="M1309" t="str">
        <f>_xlfn.XLOOKUP(Pipeline_tbl[[#This Row],[Rep_ID]],Dim_Reps!A:A,Dim_Reps!K:K)</f>
        <v>USD</v>
      </c>
      <c r="N1309" s="33">
        <f>(_xlfn.XLOOKUP(Pipeline_tbl[[#This Row],[Rate_Code_Generalized]],Lookups!A:A,Lookups!B:B))*Pipeline_tbl[[#This Row],[Pipeline_Amount_USD]]</f>
        <v>2677.89</v>
      </c>
      <c r="O1309" t="str">
        <f>_xlfn.XLOOKUP(Pipeline_tbl[[#This Row],[Rep_ID]],Dim_Reps!A:A,Dim_Reps!B:B)</f>
        <v>Priya Weber</v>
      </c>
      <c r="P1309" t="str">
        <f>_xlfn.XLOOKUP(Pipeline_tbl[[#This Row],[Rep_ID]],Dim_Reps!A:A,Dim_Reps!C:C)</f>
        <v>SDR / Inside Sales Rep</v>
      </c>
      <c r="Q1309" t="str">
        <f>_xlfn.XLOOKUP(Pipeline_tbl[[#This Row],[Rep_ID]],Dim_Reps!A:A,Dim_Reps!D:D)</f>
        <v>Inside Sales</v>
      </c>
      <c r="R1309" t="str">
        <f>_xlfn.XLOOKUP(Pipeline_tbl[[#This Row],[Rep_ID]],Dim_Reps!A:A,Dim_Reps!E:E)</f>
        <v>NAMER</v>
      </c>
      <c r="S1309" t="str">
        <f>_xlfn.XLOOKUP(Pipeline_tbl[[#This Row],[Created_Date]],Dim_Date!A:A,Dim_Date!H:H)</f>
        <v>Oct 2024</v>
      </c>
      <c r="T1309" t="str">
        <f>IF(Pipeline_tbl[[#This Row],[Closed_Date]]=0,"",(_xlfn.XLOOKUP(Pipeline_tbl[[#This Row],[Closed_Date]],Dim_Date!A:A,Dim_Date!H:H)))</f>
        <v>Oct 2024</v>
      </c>
      <c r="U1309">
        <f>IF(Pipeline_tbl[[#This Row],[Closed_Date]]=0,"",Pipeline_tbl[[#This Row],[Closed_Date]]-Pipeline_tbl[[#This Row],[Created_Date]])</f>
        <v>16</v>
      </c>
    </row>
    <row r="1310" spans="1:21" ht="15" customHeight="1" x14ac:dyDescent="0.2">
      <c r="A1310" t="s">
        <v>1616</v>
      </c>
      <c r="B1310" t="s">
        <v>217</v>
      </c>
      <c r="C1310" t="s">
        <v>53</v>
      </c>
      <c r="D1310" s="49">
        <v>45584</v>
      </c>
      <c r="E1310" s="49">
        <v>45585</v>
      </c>
      <c r="F1310" s="49">
        <v>45586</v>
      </c>
      <c r="G1310" s="49">
        <v>45588</v>
      </c>
      <c r="H1310" s="49">
        <v>45589</v>
      </c>
      <c r="I1310" s="49">
        <v>45590</v>
      </c>
      <c r="J1310" t="s">
        <v>49</v>
      </c>
      <c r="K1310" s="33">
        <v>2900</v>
      </c>
      <c r="L1310" t="s">
        <v>62</v>
      </c>
      <c r="M1310" t="str">
        <f>_xlfn.XLOOKUP(Pipeline_tbl[[#This Row],[Rep_ID]],Dim_Reps!A:A,Dim_Reps!K:K)</f>
        <v>USD</v>
      </c>
      <c r="N1310" s="33">
        <f>(_xlfn.XLOOKUP(Pipeline_tbl[[#This Row],[Rate_Code_Generalized]],Lookups!A:A,Lookups!B:B))*Pipeline_tbl[[#This Row],[Pipeline_Amount_USD]]</f>
        <v>3376.47</v>
      </c>
      <c r="O1310" t="str">
        <f>_xlfn.XLOOKUP(Pipeline_tbl[[#This Row],[Rep_ID]],Dim_Reps!A:A,Dim_Reps!B:B)</f>
        <v>Priya Weber</v>
      </c>
      <c r="P1310" t="str">
        <f>_xlfn.XLOOKUP(Pipeline_tbl[[#This Row],[Rep_ID]],Dim_Reps!A:A,Dim_Reps!C:C)</f>
        <v>SDR / Inside Sales Rep</v>
      </c>
      <c r="Q1310" t="str">
        <f>_xlfn.XLOOKUP(Pipeline_tbl[[#This Row],[Rep_ID]],Dim_Reps!A:A,Dim_Reps!D:D)</f>
        <v>Inside Sales</v>
      </c>
      <c r="R1310" t="str">
        <f>_xlfn.XLOOKUP(Pipeline_tbl[[#This Row],[Rep_ID]],Dim_Reps!A:A,Dim_Reps!E:E)</f>
        <v>NAMER</v>
      </c>
      <c r="S1310" t="str">
        <f>_xlfn.XLOOKUP(Pipeline_tbl[[#This Row],[Created_Date]],Dim_Date!A:A,Dim_Date!H:H)</f>
        <v>Oct 2024</v>
      </c>
      <c r="T1310" t="str">
        <f>IF(Pipeline_tbl[[#This Row],[Closed_Date]]=0,"",(_xlfn.XLOOKUP(Pipeline_tbl[[#This Row],[Closed_Date]],Dim_Date!A:A,Dim_Date!H:H)))</f>
        <v>Oct 2024</v>
      </c>
      <c r="U1310">
        <f>IF(Pipeline_tbl[[#This Row],[Closed_Date]]=0,"",Pipeline_tbl[[#This Row],[Closed_Date]]-Pipeline_tbl[[#This Row],[Created_Date]])</f>
        <v>6</v>
      </c>
    </row>
    <row r="1311" spans="1:21" ht="15" customHeight="1" x14ac:dyDescent="0.2">
      <c r="A1311" t="s">
        <v>1617</v>
      </c>
      <c r="B1311" t="s">
        <v>217</v>
      </c>
      <c r="C1311" t="s">
        <v>52</v>
      </c>
      <c r="D1311" s="49">
        <v>45576</v>
      </c>
      <c r="E1311" s="49">
        <v>45578</v>
      </c>
      <c r="F1311" s="49">
        <v>45581</v>
      </c>
      <c r="G1311" s="49">
        <v>45587</v>
      </c>
      <c r="H1311" s="49">
        <v>45591</v>
      </c>
      <c r="I1311" s="49">
        <v>45594</v>
      </c>
      <c r="J1311" t="s">
        <v>47</v>
      </c>
      <c r="K1311" s="33">
        <v>7100</v>
      </c>
      <c r="M1311" t="str">
        <f>_xlfn.XLOOKUP(Pipeline_tbl[[#This Row],[Rep_ID]],Dim_Reps!A:A,Dim_Reps!K:K)</f>
        <v>USD</v>
      </c>
      <c r="N1311" s="33">
        <f>(_xlfn.XLOOKUP(Pipeline_tbl[[#This Row],[Rate_Code_Generalized]],Lookups!A:A,Lookups!B:B))*Pipeline_tbl[[#This Row],[Pipeline_Amount_USD]]</f>
        <v>8266.5299999999988</v>
      </c>
      <c r="O1311" t="str">
        <f>_xlfn.XLOOKUP(Pipeline_tbl[[#This Row],[Rep_ID]],Dim_Reps!A:A,Dim_Reps!B:B)</f>
        <v>Priya Weber</v>
      </c>
      <c r="P1311" t="str">
        <f>_xlfn.XLOOKUP(Pipeline_tbl[[#This Row],[Rep_ID]],Dim_Reps!A:A,Dim_Reps!C:C)</f>
        <v>SDR / Inside Sales Rep</v>
      </c>
      <c r="Q1311" t="str">
        <f>_xlfn.XLOOKUP(Pipeline_tbl[[#This Row],[Rep_ID]],Dim_Reps!A:A,Dim_Reps!D:D)</f>
        <v>Inside Sales</v>
      </c>
      <c r="R1311" t="str">
        <f>_xlfn.XLOOKUP(Pipeline_tbl[[#This Row],[Rep_ID]],Dim_Reps!A:A,Dim_Reps!E:E)</f>
        <v>NAMER</v>
      </c>
      <c r="S1311" t="str">
        <f>_xlfn.XLOOKUP(Pipeline_tbl[[#This Row],[Created_Date]],Dim_Date!A:A,Dim_Date!H:H)</f>
        <v>Oct 2024</v>
      </c>
      <c r="T1311" t="str">
        <f>IF(Pipeline_tbl[[#This Row],[Closed_Date]]=0,"",(_xlfn.XLOOKUP(Pipeline_tbl[[#This Row],[Closed_Date]],Dim_Date!A:A,Dim_Date!H:H)))</f>
        <v>Oct 2024</v>
      </c>
      <c r="U1311">
        <f>IF(Pipeline_tbl[[#This Row],[Closed_Date]]=0,"",Pipeline_tbl[[#This Row],[Closed_Date]]-Pipeline_tbl[[#This Row],[Created_Date]])</f>
        <v>18</v>
      </c>
    </row>
    <row r="1312" spans="1:21" ht="15" customHeight="1" x14ac:dyDescent="0.2">
      <c r="A1312" t="s">
        <v>1618</v>
      </c>
      <c r="B1312" t="s">
        <v>217</v>
      </c>
      <c r="C1312" t="s">
        <v>53</v>
      </c>
      <c r="D1312" s="49">
        <v>45583</v>
      </c>
      <c r="E1312" s="49">
        <v>45584</v>
      </c>
      <c r="F1312" s="49">
        <v>45587</v>
      </c>
      <c r="G1312" s="49">
        <v>45591</v>
      </c>
      <c r="I1312" s="49">
        <v>45596</v>
      </c>
      <c r="J1312" t="s">
        <v>49</v>
      </c>
      <c r="K1312" s="33">
        <v>4000</v>
      </c>
      <c r="L1312" t="s">
        <v>60</v>
      </c>
      <c r="M1312" t="str">
        <f>_xlfn.XLOOKUP(Pipeline_tbl[[#This Row],[Rep_ID]],Dim_Reps!A:A,Dim_Reps!K:K)</f>
        <v>USD</v>
      </c>
      <c r="N1312" s="33">
        <f>(_xlfn.XLOOKUP(Pipeline_tbl[[#This Row],[Rate_Code_Generalized]],Lookups!A:A,Lookups!B:B))*Pipeline_tbl[[#This Row],[Pipeline_Amount_USD]]</f>
        <v>4657.2</v>
      </c>
      <c r="O1312" t="str">
        <f>_xlfn.XLOOKUP(Pipeline_tbl[[#This Row],[Rep_ID]],Dim_Reps!A:A,Dim_Reps!B:B)</f>
        <v>Priya Weber</v>
      </c>
      <c r="P1312" t="str">
        <f>_xlfn.XLOOKUP(Pipeline_tbl[[#This Row],[Rep_ID]],Dim_Reps!A:A,Dim_Reps!C:C)</f>
        <v>SDR / Inside Sales Rep</v>
      </c>
      <c r="Q1312" t="str">
        <f>_xlfn.XLOOKUP(Pipeline_tbl[[#This Row],[Rep_ID]],Dim_Reps!A:A,Dim_Reps!D:D)</f>
        <v>Inside Sales</v>
      </c>
      <c r="R1312" t="str">
        <f>_xlfn.XLOOKUP(Pipeline_tbl[[#This Row],[Rep_ID]],Dim_Reps!A:A,Dim_Reps!E:E)</f>
        <v>NAMER</v>
      </c>
      <c r="S1312" t="str">
        <f>_xlfn.XLOOKUP(Pipeline_tbl[[#This Row],[Created_Date]],Dim_Date!A:A,Dim_Date!H:H)</f>
        <v>Oct 2024</v>
      </c>
      <c r="T1312" t="str">
        <f>IF(Pipeline_tbl[[#This Row],[Closed_Date]]=0,"",(_xlfn.XLOOKUP(Pipeline_tbl[[#This Row],[Closed_Date]],Dim_Date!A:A,Dim_Date!H:H)))</f>
        <v>Oct 2024</v>
      </c>
      <c r="U1312">
        <f>IF(Pipeline_tbl[[#This Row],[Closed_Date]]=0,"",Pipeline_tbl[[#This Row],[Closed_Date]]-Pipeline_tbl[[#This Row],[Created_Date]])</f>
        <v>13</v>
      </c>
    </row>
    <row r="1313" spans="1:21" ht="15" customHeight="1" x14ac:dyDescent="0.2">
      <c r="A1313" t="s">
        <v>1619</v>
      </c>
      <c r="B1313" t="s">
        <v>188</v>
      </c>
      <c r="C1313" t="s">
        <v>52</v>
      </c>
      <c r="D1313" s="49">
        <v>45580</v>
      </c>
      <c r="E1313" s="49">
        <v>45581</v>
      </c>
      <c r="F1313" s="49">
        <v>45583</v>
      </c>
      <c r="G1313" s="49">
        <v>45586</v>
      </c>
      <c r="H1313" s="49">
        <v>45588</v>
      </c>
      <c r="I1313" s="49">
        <v>45590</v>
      </c>
      <c r="J1313" t="s">
        <v>47</v>
      </c>
      <c r="K1313" s="33">
        <v>43800</v>
      </c>
      <c r="M1313" t="str">
        <f>_xlfn.XLOOKUP(Pipeline_tbl[[#This Row],[Rep_ID]],Dim_Reps!A:A,Dim_Reps!K:K)</f>
        <v>EUR</v>
      </c>
      <c r="N1313" s="33">
        <f>(_xlfn.XLOOKUP(Pipeline_tbl[[#This Row],[Rate_Code_Generalized]],Lookups!A:A,Lookups!B:B))*Pipeline_tbl[[#This Row],[Pipeline_Amount_USD]]</f>
        <v>43800</v>
      </c>
      <c r="O1313" t="str">
        <f>_xlfn.XLOOKUP(Pipeline_tbl[[#This Row],[Rep_ID]],Dim_Reps!A:A,Dim_Reps!B:B)</f>
        <v>Jamie Santos</v>
      </c>
      <c r="P1313" t="str">
        <f>_xlfn.XLOOKUP(Pipeline_tbl[[#This Row],[Rep_ID]],Dim_Reps!A:A,Dim_Reps!C:C)</f>
        <v>Enterprise AE</v>
      </c>
      <c r="Q1313" t="str">
        <f>_xlfn.XLOOKUP(Pipeline_tbl[[#This Row],[Rep_ID]],Dim_Reps!A:A,Dim_Reps!D:D)</f>
        <v>Enterprise</v>
      </c>
      <c r="R1313" t="str">
        <f>_xlfn.XLOOKUP(Pipeline_tbl[[#This Row],[Rep_ID]],Dim_Reps!A:A,Dim_Reps!E:E)</f>
        <v>APAC</v>
      </c>
      <c r="S1313" t="str">
        <f>_xlfn.XLOOKUP(Pipeline_tbl[[#This Row],[Created_Date]],Dim_Date!A:A,Dim_Date!H:H)</f>
        <v>Oct 2024</v>
      </c>
      <c r="T1313" t="str">
        <f>IF(Pipeline_tbl[[#This Row],[Closed_Date]]=0,"",(_xlfn.XLOOKUP(Pipeline_tbl[[#This Row],[Closed_Date]],Dim_Date!A:A,Dim_Date!H:H)))</f>
        <v>Oct 2024</v>
      </c>
      <c r="U1313">
        <f>IF(Pipeline_tbl[[#This Row],[Closed_Date]]=0,"",Pipeline_tbl[[#This Row],[Closed_Date]]-Pipeline_tbl[[#This Row],[Created_Date]])</f>
        <v>10</v>
      </c>
    </row>
    <row r="1314" spans="1:21" ht="15" customHeight="1" x14ac:dyDescent="0.2">
      <c r="A1314" t="s">
        <v>1620</v>
      </c>
      <c r="B1314" t="s">
        <v>221</v>
      </c>
      <c r="C1314" t="s">
        <v>52</v>
      </c>
      <c r="D1314" s="49">
        <v>45570</v>
      </c>
      <c r="E1314" s="49">
        <v>45572</v>
      </c>
      <c r="F1314" s="49">
        <v>45575</v>
      </c>
      <c r="G1314" s="49">
        <v>45579</v>
      </c>
      <c r="H1314" s="49">
        <v>45583</v>
      </c>
      <c r="I1314" s="49">
        <v>45585</v>
      </c>
      <c r="J1314" t="s">
        <v>47</v>
      </c>
      <c r="K1314" s="33">
        <v>2900</v>
      </c>
      <c r="M1314" t="str">
        <f>_xlfn.XLOOKUP(Pipeline_tbl[[#This Row],[Rep_ID]],Dim_Reps!A:A,Dim_Reps!K:K)</f>
        <v>MXN</v>
      </c>
      <c r="N1314" s="33">
        <f>(_xlfn.XLOOKUP(Pipeline_tbl[[#This Row],[Rate_Code_Generalized]],Lookups!A:A,Lookups!B:B))*Pipeline_tbl[[#This Row],[Pipeline_Amount_USD]]</f>
        <v>57224.83</v>
      </c>
      <c r="O1314" t="str">
        <f>_xlfn.XLOOKUP(Pipeline_tbl[[#This Row],[Rep_ID]],Dim_Reps!A:A,Dim_Reps!B:B)</f>
        <v>Casey Muller</v>
      </c>
      <c r="P1314" t="str">
        <f>_xlfn.XLOOKUP(Pipeline_tbl[[#This Row],[Rep_ID]],Dim_Reps!A:A,Dim_Reps!C:C)</f>
        <v>SDR / Inside Sales Rep</v>
      </c>
      <c r="Q1314" t="str">
        <f>_xlfn.XLOOKUP(Pipeline_tbl[[#This Row],[Rep_ID]],Dim_Reps!A:A,Dim_Reps!D:D)</f>
        <v>Inside Sales</v>
      </c>
      <c r="R1314" t="str">
        <f>_xlfn.XLOOKUP(Pipeline_tbl[[#This Row],[Rep_ID]],Dim_Reps!A:A,Dim_Reps!E:E)</f>
        <v>LATAM</v>
      </c>
      <c r="S1314" t="str">
        <f>_xlfn.XLOOKUP(Pipeline_tbl[[#This Row],[Created_Date]],Dim_Date!A:A,Dim_Date!H:H)</f>
        <v>Oct 2024</v>
      </c>
      <c r="T1314" t="str">
        <f>IF(Pipeline_tbl[[#This Row],[Closed_Date]]=0,"",(_xlfn.XLOOKUP(Pipeline_tbl[[#This Row],[Closed_Date]],Dim_Date!A:A,Dim_Date!H:H)))</f>
        <v>Oct 2024</v>
      </c>
      <c r="U1314">
        <f>IF(Pipeline_tbl[[#This Row],[Closed_Date]]=0,"",Pipeline_tbl[[#This Row],[Closed_Date]]-Pipeline_tbl[[#This Row],[Created_Date]])</f>
        <v>15</v>
      </c>
    </row>
    <row r="1315" spans="1:21" ht="15" customHeight="1" x14ac:dyDescent="0.2">
      <c r="A1315" t="s">
        <v>1621</v>
      </c>
      <c r="B1315" t="s">
        <v>221</v>
      </c>
      <c r="C1315" t="s">
        <v>55</v>
      </c>
      <c r="D1315" s="49">
        <v>45579</v>
      </c>
      <c r="E1315" s="49">
        <v>45580</v>
      </c>
      <c r="F1315" s="49">
        <v>45583</v>
      </c>
      <c r="G1315" s="49">
        <v>45587</v>
      </c>
      <c r="H1315" s="49">
        <v>45590</v>
      </c>
      <c r="I1315" s="49">
        <v>45592</v>
      </c>
      <c r="J1315" t="s">
        <v>47</v>
      </c>
      <c r="K1315" s="33">
        <v>7900</v>
      </c>
      <c r="M1315" t="str">
        <f>_xlfn.XLOOKUP(Pipeline_tbl[[#This Row],[Rep_ID]],Dim_Reps!A:A,Dim_Reps!K:K)</f>
        <v>MXN</v>
      </c>
      <c r="N1315" s="33">
        <f>(_xlfn.XLOOKUP(Pipeline_tbl[[#This Row],[Rate_Code_Generalized]],Lookups!A:A,Lookups!B:B))*Pipeline_tbl[[#This Row],[Pipeline_Amount_USD]]</f>
        <v>155888.33000000002</v>
      </c>
      <c r="O1315" t="str">
        <f>_xlfn.XLOOKUP(Pipeline_tbl[[#This Row],[Rep_ID]],Dim_Reps!A:A,Dim_Reps!B:B)</f>
        <v>Casey Muller</v>
      </c>
      <c r="P1315" t="str">
        <f>_xlfn.XLOOKUP(Pipeline_tbl[[#This Row],[Rep_ID]],Dim_Reps!A:A,Dim_Reps!C:C)</f>
        <v>SDR / Inside Sales Rep</v>
      </c>
      <c r="Q1315" t="str">
        <f>_xlfn.XLOOKUP(Pipeline_tbl[[#This Row],[Rep_ID]],Dim_Reps!A:A,Dim_Reps!D:D)</f>
        <v>Inside Sales</v>
      </c>
      <c r="R1315" t="str">
        <f>_xlfn.XLOOKUP(Pipeline_tbl[[#This Row],[Rep_ID]],Dim_Reps!A:A,Dim_Reps!E:E)</f>
        <v>LATAM</v>
      </c>
      <c r="S1315" t="str">
        <f>_xlfn.XLOOKUP(Pipeline_tbl[[#This Row],[Created_Date]],Dim_Date!A:A,Dim_Date!H:H)</f>
        <v>Oct 2024</v>
      </c>
      <c r="T1315" t="str">
        <f>IF(Pipeline_tbl[[#This Row],[Closed_Date]]=0,"",(_xlfn.XLOOKUP(Pipeline_tbl[[#This Row],[Closed_Date]],Dim_Date!A:A,Dim_Date!H:H)))</f>
        <v>Oct 2024</v>
      </c>
      <c r="U1315">
        <f>IF(Pipeline_tbl[[#This Row],[Closed_Date]]=0,"",Pipeline_tbl[[#This Row],[Closed_Date]]-Pipeline_tbl[[#This Row],[Created_Date]])</f>
        <v>13</v>
      </c>
    </row>
    <row r="1316" spans="1:21" ht="15" customHeight="1" x14ac:dyDescent="0.2">
      <c r="A1316" t="s">
        <v>1622</v>
      </c>
      <c r="B1316" t="s">
        <v>221</v>
      </c>
      <c r="C1316" t="s">
        <v>56</v>
      </c>
      <c r="D1316" s="49">
        <v>45578</v>
      </c>
      <c r="E1316" s="49">
        <v>45580</v>
      </c>
      <c r="F1316" s="49">
        <v>45583</v>
      </c>
      <c r="G1316" s="49">
        <v>45589</v>
      </c>
      <c r="I1316" s="49">
        <v>45596</v>
      </c>
      <c r="J1316" t="s">
        <v>49</v>
      </c>
      <c r="K1316" s="33">
        <v>4000</v>
      </c>
      <c r="L1316" t="s">
        <v>60</v>
      </c>
      <c r="M1316" t="str">
        <f>_xlfn.XLOOKUP(Pipeline_tbl[[#This Row],[Rep_ID]],Dim_Reps!A:A,Dim_Reps!K:K)</f>
        <v>MXN</v>
      </c>
      <c r="N1316" s="33">
        <f>(_xlfn.XLOOKUP(Pipeline_tbl[[#This Row],[Rate_Code_Generalized]],Lookups!A:A,Lookups!B:B))*Pipeline_tbl[[#This Row],[Pipeline_Amount_USD]]</f>
        <v>78930.8</v>
      </c>
      <c r="O1316" t="str">
        <f>_xlfn.XLOOKUP(Pipeline_tbl[[#This Row],[Rep_ID]],Dim_Reps!A:A,Dim_Reps!B:B)</f>
        <v>Casey Muller</v>
      </c>
      <c r="P1316" t="str">
        <f>_xlfn.XLOOKUP(Pipeline_tbl[[#This Row],[Rep_ID]],Dim_Reps!A:A,Dim_Reps!C:C)</f>
        <v>SDR / Inside Sales Rep</v>
      </c>
      <c r="Q1316" t="str">
        <f>_xlfn.XLOOKUP(Pipeline_tbl[[#This Row],[Rep_ID]],Dim_Reps!A:A,Dim_Reps!D:D)</f>
        <v>Inside Sales</v>
      </c>
      <c r="R1316" t="str">
        <f>_xlfn.XLOOKUP(Pipeline_tbl[[#This Row],[Rep_ID]],Dim_Reps!A:A,Dim_Reps!E:E)</f>
        <v>LATAM</v>
      </c>
      <c r="S1316" t="str">
        <f>_xlfn.XLOOKUP(Pipeline_tbl[[#This Row],[Created_Date]],Dim_Date!A:A,Dim_Date!H:H)</f>
        <v>Oct 2024</v>
      </c>
      <c r="T1316" t="str">
        <f>IF(Pipeline_tbl[[#This Row],[Closed_Date]]=0,"",(_xlfn.XLOOKUP(Pipeline_tbl[[#This Row],[Closed_Date]],Dim_Date!A:A,Dim_Date!H:H)))</f>
        <v>Oct 2024</v>
      </c>
      <c r="U1316">
        <f>IF(Pipeline_tbl[[#This Row],[Closed_Date]]=0,"",Pipeline_tbl[[#This Row],[Closed_Date]]-Pipeline_tbl[[#This Row],[Created_Date]])</f>
        <v>18</v>
      </c>
    </row>
    <row r="1317" spans="1:21" ht="15" customHeight="1" x14ac:dyDescent="0.2">
      <c r="A1317" t="s">
        <v>1623</v>
      </c>
      <c r="B1317" t="s">
        <v>221</v>
      </c>
      <c r="C1317" t="s">
        <v>54</v>
      </c>
      <c r="D1317" s="49">
        <v>45568</v>
      </c>
      <c r="E1317" s="49">
        <v>45569</v>
      </c>
      <c r="F1317" s="49">
        <v>45572</v>
      </c>
      <c r="G1317" s="49">
        <v>45576</v>
      </c>
      <c r="H1317" s="49">
        <v>45579</v>
      </c>
      <c r="I1317" s="49">
        <v>45581</v>
      </c>
      <c r="J1317" t="s">
        <v>47</v>
      </c>
      <c r="K1317" s="33">
        <v>2100</v>
      </c>
      <c r="M1317" t="str">
        <f>_xlfn.XLOOKUP(Pipeline_tbl[[#This Row],[Rep_ID]],Dim_Reps!A:A,Dim_Reps!K:K)</f>
        <v>MXN</v>
      </c>
      <c r="N1317" s="33">
        <f>(_xlfn.XLOOKUP(Pipeline_tbl[[#This Row],[Rate_Code_Generalized]],Lookups!A:A,Lookups!B:B))*Pipeline_tbl[[#This Row],[Pipeline_Amount_USD]]</f>
        <v>41438.670000000006</v>
      </c>
      <c r="O1317" t="str">
        <f>_xlfn.XLOOKUP(Pipeline_tbl[[#This Row],[Rep_ID]],Dim_Reps!A:A,Dim_Reps!B:B)</f>
        <v>Casey Muller</v>
      </c>
      <c r="P1317" t="str">
        <f>_xlfn.XLOOKUP(Pipeline_tbl[[#This Row],[Rep_ID]],Dim_Reps!A:A,Dim_Reps!C:C)</f>
        <v>SDR / Inside Sales Rep</v>
      </c>
      <c r="Q1317" t="str">
        <f>_xlfn.XLOOKUP(Pipeline_tbl[[#This Row],[Rep_ID]],Dim_Reps!A:A,Dim_Reps!D:D)</f>
        <v>Inside Sales</v>
      </c>
      <c r="R1317" t="str">
        <f>_xlfn.XLOOKUP(Pipeline_tbl[[#This Row],[Rep_ID]],Dim_Reps!A:A,Dim_Reps!E:E)</f>
        <v>LATAM</v>
      </c>
      <c r="S1317" t="str">
        <f>_xlfn.XLOOKUP(Pipeline_tbl[[#This Row],[Created_Date]],Dim_Date!A:A,Dim_Date!H:H)</f>
        <v>Oct 2024</v>
      </c>
      <c r="T1317" t="str">
        <f>IF(Pipeline_tbl[[#This Row],[Closed_Date]]=0,"",(_xlfn.XLOOKUP(Pipeline_tbl[[#This Row],[Closed_Date]],Dim_Date!A:A,Dim_Date!H:H)))</f>
        <v>Oct 2024</v>
      </c>
      <c r="U1317">
        <f>IF(Pipeline_tbl[[#This Row],[Closed_Date]]=0,"",Pipeline_tbl[[#This Row],[Closed_Date]]-Pipeline_tbl[[#This Row],[Created_Date]])</f>
        <v>13</v>
      </c>
    </row>
    <row r="1318" spans="1:21" ht="15" customHeight="1" x14ac:dyDescent="0.2">
      <c r="A1318" t="s">
        <v>1624</v>
      </c>
      <c r="B1318" t="s">
        <v>225</v>
      </c>
      <c r="C1318" t="s">
        <v>52</v>
      </c>
      <c r="D1318" s="49">
        <v>45569</v>
      </c>
      <c r="E1318" s="49">
        <v>45571</v>
      </c>
      <c r="F1318" s="49">
        <v>45574</v>
      </c>
      <c r="G1318" s="49">
        <v>45579</v>
      </c>
      <c r="H1318" s="49">
        <v>45583</v>
      </c>
      <c r="I1318" s="49">
        <v>45585</v>
      </c>
      <c r="J1318" t="s">
        <v>47</v>
      </c>
      <c r="K1318" s="33">
        <v>6400</v>
      </c>
      <c r="M1318" t="str">
        <f>_xlfn.XLOOKUP(Pipeline_tbl[[#This Row],[Rep_ID]],Dim_Reps!A:A,Dim_Reps!K:K)</f>
        <v>USD</v>
      </c>
      <c r="N1318" s="33">
        <f>(_xlfn.XLOOKUP(Pipeline_tbl[[#This Row],[Rate_Code_Generalized]],Lookups!A:A,Lookups!B:B))*Pipeline_tbl[[#This Row],[Pipeline_Amount_USD]]</f>
        <v>7451.5199999999995</v>
      </c>
      <c r="O1318" t="str">
        <f>_xlfn.XLOOKUP(Pipeline_tbl[[#This Row],[Rep_ID]],Dim_Reps!A:A,Dim_Reps!B:B)</f>
        <v>Alex Muller</v>
      </c>
      <c r="P1318" t="str">
        <f>_xlfn.XLOOKUP(Pipeline_tbl[[#This Row],[Rep_ID]],Dim_Reps!A:A,Dim_Reps!C:C)</f>
        <v>SDR / Inside Sales Rep</v>
      </c>
      <c r="Q1318" t="str">
        <f>_xlfn.XLOOKUP(Pipeline_tbl[[#This Row],[Rep_ID]],Dim_Reps!A:A,Dim_Reps!D:D)</f>
        <v>Inside Sales</v>
      </c>
      <c r="R1318" t="str">
        <f>_xlfn.XLOOKUP(Pipeline_tbl[[#This Row],[Rep_ID]],Dim_Reps!A:A,Dim_Reps!E:E)</f>
        <v>NAMER</v>
      </c>
      <c r="S1318" t="str">
        <f>_xlfn.XLOOKUP(Pipeline_tbl[[#This Row],[Created_Date]],Dim_Date!A:A,Dim_Date!H:H)</f>
        <v>Oct 2024</v>
      </c>
      <c r="T1318" t="str">
        <f>IF(Pipeline_tbl[[#This Row],[Closed_Date]]=0,"",(_xlfn.XLOOKUP(Pipeline_tbl[[#This Row],[Closed_Date]],Dim_Date!A:A,Dim_Date!H:H)))</f>
        <v>Oct 2024</v>
      </c>
      <c r="U1318">
        <f>IF(Pipeline_tbl[[#This Row],[Closed_Date]]=0,"",Pipeline_tbl[[#This Row],[Closed_Date]]-Pipeline_tbl[[#This Row],[Created_Date]])</f>
        <v>16</v>
      </c>
    </row>
    <row r="1319" spans="1:21" ht="15" customHeight="1" x14ac:dyDescent="0.2">
      <c r="A1319" t="s">
        <v>1625</v>
      </c>
      <c r="B1319" t="s">
        <v>225</v>
      </c>
      <c r="C1319" t="s">
        <v>55</v>
      </c>
      <c r="D1319" s="49">
        <v>45566</v>
      </c>
      <c r="E1319" s="49">
        <v>45568</v>
      </c>
      <c r="F1319" s="49">
        <v>45571</v>
      </c>
      <c r="G1319" s="49">
        <v>45576</v>
      </c>
      <c r="H1319" s="49">
        <v>45580</v>
      </c>
      <c r="I1319" s="49">
        <v>45583</v>
      </c>
      <c r="J1319" t="s">
        <v>47</v>
      </c>
      <c r="K1319" s="33">
        <v>3100</v>
      </c>
      <c r="M1319" t="str">
        <f>_xlfn.XLOOKUP(Pipeline_tbl[[#This Row],[Rep_ID]],Dim_Reps!A:A,Dim_Reps!K:K)</f>
        <v>USD</v>
      </c>
      <c r="N1319" s="33">
        <f>(_xlfn.XLOOKUP(Pipeline_tbl[[#This Row],[Rate_Code_Generalized]],Lookups!A:A,Lookups!B:B))*Pipeline_tbl[[#This Row],[Pipeline_Amount_USD]]</f>
        <v>3609.3299999999995</v>
      </c>
      <c r="O1319" t="str">
        <f>_xlfn.XLOOKUP(Pipeline_tbl[[#This Row],[Rep_ID]],Dim_Reps!A:A,Dim_Reps!B:B)</f>
        <v>Alex Muller</v>
      </c>
      <c r="P1319" t="str">
        <f>_xlfn.XLOOKUP(Pipeline_tbl[[#This Row],[Rep_ID]],Dim_Reps!A:A,Dim_Reps!C:C)</f>
        <v>SDR / Inside Sales Rep</v>
      </c>
      <c r="Q1319" t="str">
        <f>_xlfn.XLOOKUP(Pipeline_tbl[[#This Row],[Rep_ID]],Dim_Reps!A:A,Dim_Reps!D:D)</f>
        <v>Inside Sales</v>
      </c>
      <c r="R1319" t="str">
        <f>_xlfn.XLOOKUP(Pipeline_tbl[[#This Row],[Rep_ID]],Dim_Reps!A:A,Dim_Reps!E:E)</f>
        <v>NAMER</v>
      </c>
      <c r="S1319" t="str">
        <f>_xlfn.XLOOKUP(Pipeline_tbl[[#This Row],[Created_Date]],Dim_Date!A:A,Dim_Date!H:H)</f>
        <v>Oct 2024</v>
      </c>
      <c r="T1319" t="str">
        <f>IF(Pipeline_tbl[[#This Row],[Closed_Date]]=0,"",(_xlfn.XLOOKUP(Pipeline_tbl[[#This Row],[Closed_Date]],Dim_Date!A:A,Dim_Date!H:H)))</f>
        <v>Oct 2024</v>
      </c>
      <c r="U1319">
        <f>IF(Pipeline_tbl[[#This Row],[Closed_Date]]=0,"",Pipeline_tbl[[#This Row],[Closed_Date]]-Pipeline_tbl[[#This Row],[Created_Date]])</f>
        <v>17</v>
      </c>
    </row>
    <row r="1320" spans="1:21" ht="15" customHeight="1" x14ac:dyDescent="0.2">
      <c r="A1320" t="s">
        <v>1626</v>
      </c>
      <c r="B1320" t="s">
        <v>225</v>
      </c>
      <c r="C1320" t="s">
        <v>54</v>
      </c>
      <c r="D1320" s="49">
        <v>45568</v>
      </c>
      <c r="E1320" s="49">
        <v>45570</v>
      </c>
      <c r="F1320" s="49">
        <v>45575</v>
      </c>
      <c r="G1320" s="49">
        <v>45582</v>
      </c>
      <c r="I1320" s="49">
        <v>45592</v>
      </c>
      <c r="J1320" t="s">
        <v>49</v>
      </c>
      <c r="K1320" s="33">
        <v>1000</v>
      </c>
      <c r="L1320" t="s">
        <v>62</v>
      </c>
      <c r="M1320" t="str">
        <f>_xlfn.XLOOKUP(Pipeline_tbl[[#This Row],[Rep_ID]],Dim_Reps!A:A,Dim_Reps!K:K)</f>
        <v>USD</v>
      </c>
      <c r="N1320" s="33">
        <f>(_xlfn.XLOOKUP(Pipeline_tbl[[#This Row],[Rate_Code_Generalized]],Lookups!A:A,Lookups!B:B))*Pipeline_tbl[[#This Row],[Pipeline_Amount_USD]]</f>
        <v>1164.3</v>
      </c>
      <c r="O1320" t="str">
        <f>_xlfn.XLOOKUP(Pipeline_tbl[[#This Row],[Rep_ID]],Dim_Reps!A:A,Dim_Reps!B:B)</f>
        <v>Alex Muller</v>
      </c>
      <c r="P1320" t="str">
        <f>_xlfn.XLOOKUP(Pipeline_tbl[[#This Row],[Rep_ID]],Dim_Reps!A:A,Dim_Reps!C:C)</f>
        <v>SDR / Inside Sales Rep</v>
      </c>
      <c r="Q1320" t="str">
        <f>_xlfn.XLOOKUP(Pipeline_tbl[[#This Row],[Rep_ID]],Dim_Reps!A:A,Dim_Reps!D:D)</f>
        <v>Inside Sales</v>
      </c>
      <c r="R1320" t="str">
        <f>_xlfn.XLOOKUP(Pipeline_tbl[[#This Row],[Rep_ID]],Dim_Reps!A:A,Dim_Reps!E:E)</f>
        <v>NAMER</v>
      </c>
      <c r="S1320" t="str">
        <f>_xlfn.XLOOKUP(Pipeline_tbl[[#This Row],[Created_Date]],Dim_Date!A:A,Dim_Date!H:H)</f>
        <v>Oct 2024</v>
      </c>
      <c r="T1320" t="str">
        <f>IF(Pipeline_tbl[[#This Row],[Closed_Date]]=0,"",(_xlfn.XLOOKUP(Pipeline_tbl[[#This Row],[Closed_Date]],Dim_Date!A:A,Dim_Date!H:H)))</f>
        <v>Oct 2024</v>
      </c>
      <c r="U1320">
        <f>IF(Pipeline_tbl[[#This Row],[Closed_Date]]=0,"",Pipeline_tbl[[#This Row],[Closed_Date]]-Pipeline_tbl[[#This Row],[Created_Date]])</f>
        <v>24</v>
      </c>
    </row>
    <row r="1321" spans="1:21" ht="15" customHeight="1" x14ac:dyDescent="0.2">
      <c r="A1321" t="s">
        <v>1627</v>
      </c>
      <c r="B1321" t="s">
        <v>225</v>
      </c>
      <c r="C1321" t="s">
        <v>53</v>
      </c>
      <c r="D1321" s="49">
        <v>45568</v>
      </c>
      <c r="E1321" s="49">
        <v>45570</v>
      </c>
      <c r="I1321" s="49">
        <v>45589</v>
      </c>
      <c r="J1321" t="s">
        <v>49</v>
      </c>
      <c r="K1321" s="33">
        <v>1600</v>
      </c>
      <c r="L1321" t="s">
        <v>60</v>
      </c>
      <c r="M1321" t="str">
        <f>_xlfn.XLOOKUP(Pipeline_tbl[[#This Row],[Rep_ID]],Dim_Reps!A:A,Dim_Reps!K:K)</f>
        <v>USD</v>
      </c>
      <c r="N1321" s="33">
        <f>(_xlfn.XLOOKUP(Pipeline_tbl[[#This Row],[Rate_Code_Generalized]],Lookups!A:A,Lookups!B:B))*Pipeline_tbl[[#This Row],[Pipeline_Amount_USD]]</f>
        <v>1862.8799999999999</v>
      </c>
      <c r="O1321" t="str">
        <f>_xlfn.XLOOKUP(Pipeline_tbl[[#This Row],[Rep_ID]],Dim_Reps!A:A,Dim_Reps!B:B)</f>
        <v>Alex Muller</v>
      </c>
      <c r="P1321" t="str">
        <f>_xlfn.XLOOKUP(Pipeline_tbl[[#This Row],[Rep_ID]],Dim_Reps!A:A,Dim_Reps!C:C)</f>
        <v>SDR / Inside Sales Rep</v>
      </c>
      <c r="Q1321" t="str">
        <f>_xlfn.XLOOKUP(Pipeline_tbl[[#This Row],[Rep_ID]],Dim_Reps!A:A,Dim_Reps!D:D)</f>
        <v>Inside Sales</v>
      </c>
      <c r="R1321" t="str">
        <f>_xlfn.XLOOKUP(Pipeline_tbl[[#This Row],[Rep_ID]],Dim_Reps!A:A,Dim_Reps!E:E)</f>
        <v>NAMER</v>
      </c>
      <c r="S1321" t="str">
        <f>_xlfn.XLOOKUP(Pipeline_tbl[[#This Row],[Created_Date]],Dim_Date!A:A,Dim_Date!H:H)</f>
        <v>Oct 2024</v>
      </c>
      <c r="T1321" t="str">
        <f>IF(Pipeline_tbl[[#This Row],[Closed_Date]]=0,"",(_xlfn.XLOOKUP(Pipeline_tbl[[#This Row],[Closed_Date]],Dim_Date!A:A,Dim_Date!H:H)))</f>
        <v>Oct 2024</v>
      </c>
      <c r="U1321">
        <f>IF(Pipeline_tbl[[#This Row],[Closed_Date]]=0,"",Pipeline_tbl[[#This Row],[Closed_Date]]-Pipeline_tbl[[#This Row],[Created_Date]])</f>
        <v>21</v>
      </c>
    </row>
    <row r="1322" spans="1:21" ht="15" customHeight="1" x14ac:dyDescent="0.2">
      <c r="A1322" t="s">
        <v>1628</v>
      </c>
      <c r="B1322" t="s">
        <v>225</v>
      </c>
      <c r="C1322" t="s">
        <v>52</v>
      </c>
      <c r="D1322" s="49">
        <v>45576</v>
      </c>
      <c r="E1322" s="49">
        <v>45578</v>
      </c>
      <c r="F1322" s="49">
        <v>45581</v>
      </c>
      <c r="G1322" s="49">
        <v>45586</v>
      </c>
      <c r="H1322" s="49">
        <v>45590</v>
      </c>
      <c r="I1322" s="49">
        <v>45592</v>
      </c>
      <c r="J1322" t="s">
        <v>47</v>
      </c>
      <c r="K1322" s="33">
        <v>4000</v>
      </c>
      <c r="M1322" t="str">
        <f>_xlfn.XLOOKUP(Pipeline_tbl[[#This Row],[Rep_ID]],Dim_Reps!A:A,Dim_Reps!K:K)</f>
        <v>USD</v>
      </c>
      <c r="N1322" s="33">
        <f>(_xlfn.XLOOKUP(Pipeline_tbl[[#This Row],[Rate_Code_Generalized]],Lookups!A:A,Lookups!B:B))*Pipeline_tbl[[#This Row],[Pipeline_Amount_USD]]</f>
        <v>4657.2</v>
      </c>
      <c r="O1322" t="str">
        <f>_xlfn.XLOOKUP(Pipeline_tbl[[#This Row],[Rep_ID]],Dim_Reps!A:A,Dim_Reps!B:B)</f>
        <v>Alex Muller</v>
      </c>
      <c r="P1322" t="str">
        <f>_xlfn.XLOOKUP(Pipeline_tbl[[#This Row],[Rep_ID]],Dim_Reps!A:A,Dim_Reps!C:C)</f>
        <v>SDR / Inside Sales Rep</v>
      </c>
      <c r="Q1322" t="str">
        <f>_xlfn.XLOOKUP(Pipeline_tbl[[#This Row],[Rep_ID]],Dim_Reps!A:A,Dim_Reps!D:D)</f>
        <v>Inside Sales</v>
      </c>
      <c r="R1322" t="str">
        <f>_xlfn.XLOOKUP(Pipeline_tbl[[#This Row],[Rep_ID]],Dim_Reps!A:A,Dim_Reps!E:E)</f>
        <v>NAMER</v>
      </c>
      <c r="S1322" t="str">
        <f>_xlfn.XLOOKUP(Pipeline_tbl[[#This Row],[Created_Date]],Dim_Date!A:A,Dim_Date!H:H)</f>
        <v>Oct 2024</v>
      </c>
      <c r="T1322" t="str">
        <f>IF(Pipeline_tbl[[#This Row],[Closed_Date]]=0,"",(_xlfn.XLOOKUP(Pipeline_tbl[[#This Row],[Closed_Date]],Dim_Date!A:A,Dim_Date!H:H)))</f>
        <v>Oct 2024</v>
      </c>
      <c r="U1322">
        <f>IF(Pipeline_tbl[[#This Row],[Closed_Date]]=0,"",Pipeline_tbl[[#This Row],[Closed_Date]]-Pipeline_tbl[[#This Row],[Created_Date]])</f>
        <v>16</v>
      </c>
    </row>
    <row r="1323" spans="1:21" ht="15" customHeight="1" x14ac:dyDescent="0.2">
      <c r="A1323" t="s">
        <v>1629</v>
      </c>
      <c r="B1323" t="s">
        <v>225</v>
      </c>
      <c r="C1323" t="s">
        <v>53</v>
      </c>
      <c r="D1323" s="49">
        <v>45566</v>
      </c>
      <c r="E1323" s="49">
        <v>45568</v>
      </c>
      <c r="F1323" s="49">
        <v>45573</v>
      </c>
      <c r="I1323" s="49">
        <v>45589</v>
      </c>
      <c r="J1323" t="s">
        <v>49</v>
      </c>
      <c r="K1323" s="33">
        <v>6600</v>
      </c>
      <c r="L1323" t="s">
        <v>62</v>
      </c>
      <c r="M1323" t="str">
        <f>_xlfn.XLOOKUP(Pipeline_tbl[[#This Row],[Rep_ID]],Dim_Reps!A:A,Dim_Reps!K:K)</f>
        <v>USD</v>
      </c>
      <c r="N1323" s="33">
        <f>(_xlfn.XLOOKUP(Pipeline_tbl[[#This Row],[Rate_Code_Generalized]],Lookups!A:A,Lookups!B:B))*Pipeline_tbl[[#This Row],[Pipeline_Amount_USD]]</f>
        <v>7684.3799999999992</v>
      </c>
      <c r="O1323" t="str">
        <f>_xlfn.XLOOKUP(Pipeline_tbl[[#This Row],[Rep_ID]],Dim_Reps!A:A,Dim_Reps!B:B)</f>
        <v>Alex Muller</v>
      </c>
      <c r="P1323" t="str">
        <f>_xlfn.XLOOKUP(Pipeline_tbl[[#This Row],[Rep_ID]],Dim_Reps!A:A,Dim_Reps!C:C)</f>
        <v>SDR / Inside Sales Rep</v>
      </c>
      <c r="Q1323" t="str">
        <f>_xlfn.XLOOKUP(Pipeline_tbl[[#This Row],[Rep_ID]],Dim_Reps!A:A,Dim_Reps!D:D)</f>
        <v>Inside Sales</v>
      </c>
      <c r="R1323" t="str">
        <f>_xlfn.XLOOKUP(Pipeline_tbl[[#This Row],[Rep_ID]],Dim_Reps!A:A,Dim_Reps!E:E)</f>
        <v>NAMER</v>
      </c>
      <c r="S1323" t="str">
        <f>_xlfn.XLOOKUP(Pipeline_tbl[[#This Row],[Created_Date]],Dim_Date!A:A,Dim_Date!H:H)</f>
        <v>Oct 2024</v>
      </c>
      <c r="T1323" t="str">
        <f>IF(Pipeline_tbl[[#This Row],[Closed_Date]]=0,"",(_xlfn.XLOOKUP(Pipeline_tbl[[#This Row],[Closed_Date]],Dim_Date!A:A,Dim_Date!H:H)))</f>
        <v>Oct 2024</v>
      </c>
      <c r="U1323">
        <f>IF(Pipeline_tbl[[#This Row],[Closed_Date]]=0,"",Pipeline_tbl[[#This Row],[Closed_Date]]-Pipeline_tbl[[#This Row],[Created_Date]])</f>
        <v>23</v>
      </c>
    </row>
    <row r="1324" spans="1:21" ht="15" customHeight="1" x14ac:dyDescent="0.2">
      <c r="A1324" t="s">
        <v>1630</v>
      </c>
      <c r="B1324" t="s">
        <v>227</v>
      </c>
      <c r="C1324" t="s">
        <v>52</v>
      </c>
      <c r="D1324" s="49">
        <v>45576</v>
      </c>
      <c r="E1324" s="49">
        <v>45577</v>
      </c>
      <c r="F1324" s="49">
        <v>45579</v>
      </c>
      <c r="G1324" s="49">
        <v>45583</v>
      </c>
      <c r="I1324" s="49">
        <v>45587</v>
      </c>
      <c r="J1324" t="s">
        <v>49</v>
      </c>
      <c r="K1324" s="33">
        <v>3000</v>
      </c>
      <c r="L1324" t="s">
        <v>61</v>
      </c>
      <c r="M1324" t="str">
        <f>_xlfn.XLOOKUP(Pipeline_tbl[[#This Row],[Rep_ID]],Dim_Reps!A:A,Dim_Reps!K:K)</f>
        <v>EUR</v>
      </c>
      <c r="N1324" s="33">
        <f>(_xlfn.XLOOKUP(Pipeline_tbl[[#This Row],[Rate_Code_Generalized]],Lookups!A:A,Lookups!B:B))*Pipeline_tbl[[#This Row],[Pipeline_Amount_USD]]</f>
        <v>3000</v>
      </c>
      <c r="O1324" t="str">
        <f>_xlfn.XLOOKUP(Pipeline_tbl[[#This Row],[Rep_ID]],Dim_Reps!A:A,Dim_Reps!B:B)</f>
        <v>Liam Muller</v>
      </c>
      <c r="P1324" t="str">
        <f>_xlfn.XLOOKUP(Pipeline_tbl[[#This Row],[Rep_ID]],Dim_Reps!A:A,Dim_Reps!C:C)</f>
        <v>SDR / Inside Sales Rep</v>
      </c>
      <c r="Q1324" t="str">
        <f>_xlfn.XLOOKUP(Pipeline_tbl[[#This Row],[Rep_ID]],Dim_Reps!A:A,Dim_Reps!D:D)</f>
        <v>Inside Sales</v>
      </c>
      <c r="R1324" t="str">
        <f>_xlfn.XLOOKUP(Pipeline_tbl[[#This Row],[Rep_ID]],Dim_Reps!A:A,Dim_Reps!E:E)</f>
        <v>EMEA</v>
      </c>
      <c r="S1324" t="str">
        <f>_xlfn.XLOOKUP(Pipeline_tbl[[#This Row],[Created_Date]],Dim_Date!A:A,Dim_Date!H:H)</f>
        <v>Oct 2024</v>
      </c>
      <c r="T1324" t="str">
        <f>IF(Pipeline_tbl[[#This Row],[Closed_Date]]=0,"",(_xlfn.XLOOKUP(Pipeline_tbl[[#This Row],[Closed_Date]],Dim_Date!A:A,Dim_Date!H:H)))</f>
        <v>Oct 2024</v>
      </c>
      <c r="U1324">
        <f>IF(Pipeline_tbl[[#This Row],[Closed_Date]]=0,"",Pipeline_tbl[[#This Row],[Closed_Date]]-Pipeline_tbl[[#This Row],[Created_Date]])</f>
        <v>11</v>
      </c>
    </row>
    <row r="1325" spans="1:21" ht="15" customHeight="1" x14ac:dyDescent="0.2">
      <c r="A1325" t="s">
        <v>1631</v>
      </c>
      <c r="B1325" t="s">
        <v>227</v>
      </c>
      <c r="C1325" t="s">
        <v>54</v>
      </c>
      <c r="D1325" s="49">
        <v>45586</v>
      </c>
      <c r="E1325" s="49">
        <v>45587</v>
      </c>
      <c r="F1325" s="49">
        <v>45588</v>
      </c>
      <c r="G1325" s="49">
        <v>45590</v>
      </c>
      <c r="H1325" s="49">
        <v>45591</v>
      </c>
      <c r="I1325" s="49">
        <v>45592</v>
      </c>
      <c r="J1325" t="s">
        <v>47</v>
      </c>
      <c r="K1325" s="33">
        <v>5000</v>
      </c>
      <c r="M1325" t="str">
        <f>_xlfn.XLOOKUP(Pipeline_tbl[[#This Row],[Rep_ID]],Dim_Reps!A:A,Dim_Reps!K:K)</f>
        <v>EUR</v>
      </c>
      <c r="N1325" s="33">
        <f>(_xlfn.XLOOKUP(Pipeline_tbl[[#This Row],[Rate_Code_Generalized]],Lookups!A:A,Lookups!B:B))*Pipeline_tbl[[#This Row],[Pipeline_Amount_USD]]</f>
        <v>5000</v>
      </c>
      <c r="O1325" t="str">
        <f>_xlfn.XLOOKUP(Pipeline_tbl[[#This Row],[Rep_ID]],Dim_Reps!A:A,Dim_Reps!B:B)</f>
        <v>Liam Muller</v>
      </c>
      <c r="P1325" t="str">
        <f>_xlfn.XLOOKUP(Pipeline_tbl[[#This Row],[Rep_ID]],Dim_Reps!A:A,Dim_Reps!C:C)</f>
        <v>SDR / Inside Sales Rep</v>
      </c>
      <c r="Q1325" t="str">
        <f>_xlfn.XLOOKUP(Pipeline_tbl[[#This Row],[Rep_ID]],Dim_Reps!A:A,Dim_Reps!D:D)</f>
        <v>Inside Sales</v>
      </c>
      <c r="R1325" t="str">
        <f>_xlfn.XLOOKUP(Pipeline_tbl[[#This Row],[Rep_ID]],Dim_Reps!A:A,Dim_Reps!E:E)</f>
        <v>EMEA</v>
      </c>
      <c r="S1325" t="str">
        <f>_xlfn.XLOOKUP(Pipeline_tbl[[#This Row],[Created_Date]],Dim_Date!A:A,Dim_Date!H:H)</f>
        <v>Oct 2024</v>
      </c>
      <c r="T1325" t="str">
        <f>IF(Pipeline_tbl[[#This Row],[Closed_Date]]=0,"",(_xlfn.XLOOKUP(Pipeline_tbl[[#This Row],[Closed_Date]],Dim_Date!A:A,Dim_Date!H:H)))</f>
        <v>Oct 2024</v>
      </c>
      <c r="U1325">
        <f>IF(Pipeline_tbl[[#This Row],[Closed_Date]]=0,"",Pipeline_tbl[[#This Row],[Closed_Date]]-Pipeline_tbl[[#This Row],[Created_Date]])</f>
        <v>6</v>
      </c>
    </row>
    <row r="1326" spans="1:21" ht="15" customHeight="1" x14ac:dyDescent="0.2">
      <c r="A1326" t="s">
        <v>1632</v>
      </c>
      <c r="B1326" t="s">
        <v>229</v>
      </c>
      <c r="C1326" t="s">
        <v>54</v>
      </c>
      <c r="D1326" s="49">
        <v>45582</v>
      </c>
      <c r="E1326" s="49">
        <v>45583</v>
      </c>
      <c r="F1326" s="49">
        <v>45586</v>
      </c>
      <c r="G1326" s="49">
        <v>45590</v>
      </c>
      <c r="H1326" s="49">
        <v>45593</v>
      </c>
      <c r="I1326" s="49">
        <v>45595</v>
      </c>
      <c r="J1326" t="s">
        <v>47</v>
      </c>
      <c r="K1326" s="33">
        <v>3500</v>
      </c>
      <c r="M1326" t="str">
        <f>_xlfn.XLOOKUP(Pipeline_tbl[[#This Row],[Rep_ID]],Dim_Reps!A:A,Dim_Reps!K:K)</f>
        <v>USD</v>
      </c>
      <c r="N1326" s="33">
        <f>(_xlfn.XLOOKUP(Pipeline_tbl[[#This Row],[Rate_Code_Generalized]],Lookups!A:A,Lookups!B:B))*Pipeline_tbl[[#This Row],[Pipeline_Amount_USD]]</f>
        <v>4075.0499999999997</v>
      </c>
      <c r="O1326" t="str">
        <f>_xlfn.XLOOKUP(Pipeline_tbl[[#This Row],[Rep_ID]],Dim_Reps!A:A,Dim_Reps!B:B)</f>
        <v>Liam Castro</v>
      </c>
      <c r="P1326" t="str">
        <f>_xlfn.XLOOKUP(Pipeline_tbl[[#This Row],[Rep_ID]],Dim_Reps!A:A,Dim_Reps!C:C)</f>
        <v>SDR / Inside Sales Rep</v>
      </c>
      <c r="Q1326" t="str">
        <f>_xlfn.XLOOKUP(Pipeline_tbl[[#This Row],[Rep_ID]],Dim_Reps!A:A,Dim_Reps!D:D)</f>
        <v>Inside Sales</v>
      </c>
      <c r="R1326" t="str">
        <f>_xlfn.XLOOKUP(Pipeline_tbl[[#This Row],[Rep_ID]],Dim_Reps!A:A,Dim_Reps!E:E)</f>
        <v>NAMER</v>
      </c>
      <c r="S1326" t="str">
        <f>_xlfn.XLOOKUP(Pipeline_tbl[[#This Row],[Created_Date]],Dim_Date!A:A,Dim_Date!H:H)</f>
        <v>Oct 2024</v>
      </c>
      <c r="T1326" t="str">
        <f>IF(Pipeline_tbl[[#This Row],[Closed_Date]]=0,"",(_xlfn.XLOOKUP(Pipeline_tbl[[#This Row],[Closed_Date]],Dim_Date!A:A,Dim_Date!H:H)))</f>
        <v>Oct 2024</v>
      </c>
      <c r="U1326">
        <f>IF(Pipeline_tbl[[#This Row],[Closed_Date]]=0,"",Pipeline_tbl[[#This Row],[Closed_Date]]-Pipeline_tbl[[#This Row],[Created_Date]])</f>
        <v>13</v>
      </c>
    </row>
    <row r="1327" spans="1:21" ht="15" customHeight="1" x14ac:dyDescent="0.2">
      <c r="A1327" t="s">
        <v>1633</v>
      </c>
      <c r="B1327" t="s">
        <v>229</v>
      </c>
      <c r="C1327" t="s">
        <v>54</v>
      </c>
      <c r="D1327" s="49">
        <v>45572</v>
      </c>
      <c r="E1327" s="49">
        <v>45574</v>
      </c>
      <c r="F1327" s="49">
        <v>45577</v>
      </c>
      <c r="G1327" s="49">
        <v>45582</v>
      </c>
      <c r="H1327" s="49">
        <v>45586</v>
      </c>
      <c r="I1327" s="49">
        <v>45588</v>
      </c>
      <c r="J1327" t="s">
        <v>49</v>
      </c>
      <c r="K1327" s="33">
        <v>5200</v>
      </c>
      <c r="L1327" t="s">
        <v>64</v>
      </c>
      <c r="M1327" t="str">
        <f>_xlfn.XLOOKUP(Pipeline_tbl[[#This Row],[Rep_ID]],Dim_Reps!A:A,Dim_Reps!K:K)</f>
        <v>USD</v>
      </c>
      <c r="N1327" s="33">
        <f>(_xlfn.XLOOKUP(Pipeline_tbl[[#This Row],[Rate_Code_Generalized]],Lookups!A:A,Lookups!B:B))*Pipeline_tbl[[#This Row],[Pipeline_Amount_USD]]</f>
        <v>6054.36</v>
      </c>
      <c r="O1327" t="str">
        <f>_xlfn.XLOOKUP(Pipeline_tbl[[#This Row],[Rep_ID]],Dim_Reps!A:A,Dim_Reps!B:B)</f>
        <v>Liam Castro</v>
      </c>
      <c r="P1327" t="str">
        <f>_xlfn.XLOOKUP(Pipeline_tbl[[#This Row],[Rep_ID]],Dim_Reps!A:A,Dim_Reps!C:C)</f>
        <v>SDR / Inside Sales Rep</v>
      </c>
      <c r="Q1327" t="str">
        <f>_xlfn.XLOOKUP(Pipeline_tbl[[#This Row],[Rep_ID]],Dim_Reps!A:A,Dim_Reps!D:D)</f>
        <v>Inside Sales</v>
      </c>
      <c r="R1327" t="str">
        <f>_xlfn.XLOOKUP(Pipeline_tbl[[#This Row],[Rep_ID]],Dim_Reps!A:A,Dim_Reps!E:E)</f>
        <v>NAMER</v>
      </c>
      <c r="S1327" t="str">
        <f>_xlfn.XLOOKUP(Pipeline_tbl[[#This Row],[Created_Date]],Dim_Date!A:A,Dim_Date!H:H)</f>
        <v>Oct 2024</v>
      </c>
      <c r="T1327" t="str">
        <f>IF(Pipeline_tbl[[#This Row],[Closed_Date]]=0,"",(_xlfn.XLOOKUP(Pipeline_tbl[[#This Row],[Closed_Date]],Dim_Date!A:A,Dim_Date!H:H)))</f>
        <v>Oct 2024</v>
      </c>
      <c r="U1327">
        <f>IF(Pipeline_tbl[[#This Row],[Closed_Date]]=0,"",Pipeline_tbl[[#This Row],[Closed_Date]]-Pipeline_tbl[[#This Row],[Created_Date]])</f>
        <v>16</v>
      </c>
    </row>
    <row r="1328" spans="1:21" ht="15" customHeight="1" x14ac:dyDescent="0.2">
      <c r="A1328" t="s">
        <v>1634</v>
      </c>
      <c r="B1328" t="s">
        <v>229</v>
      </c>
      <c r="C1328" t="s">
        <v>53</v>
      </c>
      <c r="D1328" s="49">
        <v>45575</v>
      </c>
      <c r="E1328" s="49">
        <v>45576</v>
      </c>
      <c r="F1328" s="49">
        <v>45579</v>
      </c>
      <c r="I1328" s="49">
        <v>45589</v>
      </c>
      <c r="J1328" t="s">
        <v>49</v>
      </c>
      <c r="K1328" s="33">
        <v>8600</v>
      </c>
      <c r="L1328" t="s">
        <v>60</v>
      </c>
      <c r="M1328" t="str">
        <f>_xlfn.XLOOKUP(Pipeline_tbl[[#This Row],[Rep_ID]],Dim_Reps!A:A,Dim_Reps!K:K)</f>
        <v>USD</v>
      </c>
      <c r="N1328" s="33">
        <f>(_xlfn.XLOOKUP(Pipeline_tbl[[#This Row],[Rate_Code_Generalized]],Lookups!A:A,Lookups!B:B))*Pipeline_tbl[[#This Row],[Pipeline_Amount_USD]]</f>
        <v>10012.98</v>
      </c>
      <c r="O1328" t="str">
        <f>_xlfn.XLOOKUP(Pipeline_tbl[[#This Row],[Rep_ID]],Dim_Reps!A:A,Dim_Reps!B:B)</f>
        <v>Liam Castro</v>
      </c>
      <c r="P1328" t="str">
        <f>_xlfn.XLOOKUP(Pipeline_tbl[[#This Row],[Rep_ID]],Dim_Reps!A:A,Dim_Reps!C:C)</f>
        <v>SDR / Inside Sales Rep</v>
      </c>
      <c r="Q1328" t="str">
        <f>_xlfn.XLOOKUP(Pipeline_tbl[[#This Row],[Rep_ID]],Dim_Reps!A:A,Dim_Reps!D:D)</f>
        <v>Inside Sales</v>
      </c>
      <c r="R1328" t="str">
        <f>_xlfn.XLOOKUP(Pipeline_tbl[[#This Row],[Rep_ID]],Dim_Reps!A:A,Dim_Reps!E:E)</f>
        <v>NAMER</v>
      </c>
      <c r="S1328" t="str">
        <f>_xlfn.XLOOKUP(Pipeline_tbl[[#This Row],[Created_Date]],Dim_Date!A:A,Dim_Date!H:H)</f>
        <v>Oct 2024</v>
      </c>
      <c r="T1328" t="str">
        <f>IF(Pipeline_tbl[[#This Row],[Closed_Date]]=0,"",(_xlfn.XLOOKUP(Pipeline_tbl[[#This Row],[Closed_Date]],Dim_Date!A:A,Dim_Date!H:H)))</f>
        <v>Oct 2024</v>
      </c>
      <c r="U1328">
        <f>IF(Pipeline_tbl[[#This Row],[Closed_Date]]=0,"",Pipeline_tbl[[#This Row],[Closed_Date]]-Pipeline_tbl[[#This Row],[Created_Date]])</f>
        <v>14</v>
      </c>
    </row>
    <row r="1329" spans="1:21" ht="15" customHeight="1" x14ac:dyDescent="0.2">
      <c r="A1329" t="s">
        <v>1635</v>
      </c>
      <c r="B1329" t="s">
        <v>229</v>
      </c>
      <c r="C1329" t="s">
        <v>52</v>
      </c>
      <c r="D1329" s="49">
        <v>45567</v>
      </c>
      <c r="E1329" s="49">
        <v>45569</v>
      </c>
      <c r="F1329" s="49">
        <v>45574</v>
      </c>
      <c r="G1329" s="49">
        <v>45580</v>
      </c>
      <c r="H1329" s="49">
        <v>45586</v>
      </c>
      <c r="I1329" s="49">
        <v>45589</v>
      </c>
      <c r="J1329" t="s">
        <v>49</v>
      </c>
      <c r="K1329" s="33">
        <v>3200</v>
      </c>
      <c r="L1329" t="s">
        <v>61</v>
      </c>
      <c r="M1329" t="str">
        <f>_xlfn.XLOOKUP(Pipeline_tbl[[#This Row],[Rep_ID]],Dim_Reps!A:A,Dim_Reps!K:K)</f>
        <v>USD</v>
      </c>
      <c r="N1329" s="33">
        <f>(_xlfn.XLOOKUP(Pipeline_tbl[[#This Row],[Rate_Code_Generalized]],Lookups!A:A,Lookups!B:B))*Pipeline_tbl[[#This Row],[Pipeline_Amount_USD]]</f>
        <v>3725.7599999999998</v>
      </c>
      <c r="O1329" t="str">
        <f>_xlfn.XLOOKUP(Pipeline_tbl[[#This Row],[Rep_ID]],Dim_Reps!A:A,Dim_Reps!B:B)</f>
        <v>Liam Castro</v>
      </c>
      <c r="P1329" t="str">
        <f>_xlfn.XLOOKUP(Pipeline_tbl[[#This Row],[Rep_ID]],Dim_Reps!A:A,Dim_Reps!C:C)</f>
        <v>SDR / Inside Sales Rep</v>
      </c>
      <c r="Q1329" t="str">
        <f>_xlfn.XLOOKUP(Pipeline_tbl[[#This Row],[Rep_ID]],Dim_Reps!A:A,Dim_Reps!D:D)</f>
        <v>Inside Sales</v>
      </c>
      <c r="R1329" t="str">
        <f>_xlfn.XLOOKUP(Pipeline_tbl[[#This Row],[Rep_ID]],Dim_Reps!A:A,Dim_Reps!E:E)</f>
        <v>NAMER</v>
      </c>
      <c r="S1329" t="str">
        <f>_xlfn.XLOOKUP(Pipeline_tbl[[#This Row],[Created_Date]],Dim_Date!A:A,Dim_Date!H:H)</f>
        <v>Oct 2024</v>
      </c>
      <c r="T1329" t="str">
        <f>IF(Pipeline_tbl[[#This Row],[Closed_Date]]=0,"",(_xlfn.XLOOKUP(Pipeline_tbl[[#This Row],[Closed_Date]],Dim_Date!A:A,Dim_Date!H:H)))</f>
        <v>Oct 2024</v>
      </c>
      <c r="U1329">
        <f>IF(Pipeline_tbl[[#This Row],[Closed_Date]]=0,"",Pipeline_tbl[[#This Row],[Closed_Date]]-Pipeline_tbl[[#This Row],[Created_Date]])</f>
        <v>22</v>
      </c>
    </row>
    <row r="1330" spans="1:21" ht="15" customHeight="1" x14ac:dyDescent="0.2">
      <c r="A1330" t="s">
        <v>1636</v>
      </c>
      <c r="B1330" t="s">
        <v>229</v>
      </c>
      <c r="C1330" t="s">
        <v>54</v>
      </c>
      <c r="D1330" s="49">
        <v>45573</v>
      </c>
      <c r="E1330" s="49">
        <v>45574</v>
      </c>
      <c r="F1330" s="49">
        <v>45576</v>
      </c>
      <c r="I1330" s="49">
        <v>45583</v>
      </c>
      <c r="J1330" t="s">
        <v>49</v>
      </c>
      <c r="K1330" s="33">
        <v>1800</v>
      </c>
      <c r="L1330" t="s">
        <v>61</v>
      </c>
      <c r="M1330" t="str">
        <f>_xlfn.XLOOKUP(Pipeline_tbl[[#This Row],[Rep_ID]],Dim_Reps!A:A,Dim_Reps!K:K)</f>
        <v>USD</v>
      </c>
      <c r="N1330" s="33">
        <f>(_xlfn.XLOOKUP(Pipeline_tbl[[#This Row],[Rate_Code_Generalized]],Lookups!A:A,Lookups!B:B))*Pipeline_tbl[[#This Row],[Pipeline_Amount_USD]]</f>
        <v>2095.7399999999998</v>
      </c>
      <c r="O1330" t="str">
        <f>_xlfn.XLOOKUP(Pipeline_tbl[[#This Row],[Rep_ID]],Dim_Reps!A:A,Dim_Reps!B:B)</f>
        <v>Liam Castro</v>
      </c>
      <c r="P1330" t="str">
        <f>_xlfn.XLOOKUP(Pipeline_tbl[[#This Row],[Rep_ID]],Dim_Reps!A:A,Dim_Reps!C:C)</f>
        <v>SDR / Inside Sales Rep</v>
      </c>
      <c r="Q1330" t="str">
        <f>_xlfn.XLOOKUP(Pipeline_tbl[[#This Row],[Rep_ID]],Dim_Reps!A:A,Dim_Reps!D:D)</f>
        <v>Inside Sales</v>
      </c>
      <c r="R1330" t="str">
        <f>_xlfn.XLOOKUP(Pipeline_tbl[[#This Row],[Rep_ID]],Dim_Reps!A:A,Dim_Reps!E:E)</f>
        <v>NAMER</v>
      </c>
      <c r="S1330" t="str">
        <f>_xlfn.XLOOKUP(Pipeline_tbl[[#This Row],[Created_Date]],Dim_Date!A:A,Dim_Date!H:H)</f>
        <v>Oct 2024</v>
      </c>
      <c r="T1330" t="str">
        <f>IF(Pipeline_tbl[[#This Row],[Closed_Date]]=0,"",(_xlfn.XLOOKUP(Pipeline_tbl[[#This Row],[Closed_Date]],Dim_Date!A:A,Dim_Date!H:H)))</f>
        <v>Oct 2024</v>
      </c>
      <c r="U1330">
        <f>IF(Pipeline_tbl[[#This Row],[Closed_Date]]=0,"",Pipeline_tbl[[#This Row],[Closed_Date]]-Pipeline_tbl[[#This Row],[Created_Date]])</f>
        <v>10</v>
      </c>
    </row>
    <row r="1331" spans="1:21" ht="15" customHeight="1" x14ac:dyDescent="0.2">
      <c r="A1331" t="s">
        <v>1637</v>
      </c>
      <c r="B1331" t="s">
        <v>231</v>
      </c>
      <c r="C1331" t="s">
        <v>55</v>
      </c>
      <c r="D1331" s="49">
        <v>45572</v>
      </c>
      <c r="E1331" s="49">
        <v>45574</v>
      </c>
      <c r="F1331" s="49">
        <v>45579</v>
      </c>
      <c r="G1331" s="49">
        <v>45586</v>
      </c>
      <c r="H1331" s="49">
        <v>45592</v>
      </c>
      <c r="I1331" s="49">
        <v>45595</v>
      </c>
      <c r="J1331" t="s">
        <v>47</v>
      </c>
      <c r="K1331" s="33">
        <v>3300</v>
      </c>
      <c r="M1331" t="str">
        <f>_xlfn.XLOOKUP(Pipeline_tbl[[#This Row],[Rep_ID]],Dim_Reps!A:A,Dim_Reps!K:K)</f>
        <v>MXN</v>
      </c>
      <c r="N1331" s="33">
        <f>(_xlfn.XLOOKUP(Pipeline_tbl[[#This Row],[Rate_Code_Generalized]],Lookups!A:A,Lookups!B:B))*Pipeline_tbl[[#This Row],[Pipeline_Amount_USD]]</f>
        <v>65117.91</v>
      </c>
      <c r="O1331" t="str">
        <f>_xlfn.XLOOKUP(Pipeline_tbl[[#This Row],[Rep_ID]],Dim_Reps!A:A,Dim_Reps!B:B)</f>
        <v>Ben Silva</v>
      </c>
      <c r="P1331" t="str">
        <f>_xlfn.XLOOKUP(Pipeline_tbl[[#This Row],[Rep_ID]],Dim_Reps!A:A,Dim_Reps!C:C)</f>
        <v>SDR / Inside Sales Rep</v>
      </c>
      <c r="Q1331" t="str">
        <f>_xlfn.XLOOKUP(Pipeline_tbl[[#This Row],[Rep_ID]],Dim_Reps!A:A,Dim_Reps!D:D)</f>
        <v>Inside Sales</v>
      </c>
      <c r="R1331" t="str">
        <f>_xlfn.XLOOKUP(Pipeline_tbl[[#This Row],[Rep_ID]],Dim_Reps!A:A,Dim_Reps!E:E)</f>
        <v>LATAM</v>
      </c>
      <c r="S1331" t="str">
        <f>_xlfn.XLOOKUP(Pipeline_tbl[[#This Row],[Created_Date]],Dim_Date!A:A,Dim_Date!H:H)</f>
        <v>Oct 2024</v>
      </c>
      <c r="T1331" t="str">
        <f>IF(Pipeline_tbl[[#This Row],[Closed_Date]]=0,"",(_xlfn.XLOOKUP(Pipeline_tbl[[#This Row],[Closed_Date]],Dim_Date!A:A,Dim_Date!H:H)))</f>
        <v>Oct 2024</v>
      </c>
      <c r="U1331">
        <f>IF(Pipeline_tbl[[#This Row],[Closed_Date]]=0,"",Pipeline_tbl[[#This Row],[Closed_Date]]-Pipeline_tbl[[#This Row],[Created_Date]])</f>
        <v>23</v>
      </c>
    </row>
    <row r="1332" spans="1:21" ht="15" customHeight="1" x14ac:dyDescent="0.2">
      <c r="A1332" t="s">
        <v>1638</v>
      </c>
      <c r="B1332" t="s">
        <v>231</v>
      </c>
      <c r="C1332" t="s">
        <v>53</v>
      </c>
      <c r="D1332" s="49">
        <v>45583</v>
      </c>
      <c r="E1332" s="49">
        <v>45584</v>
      </c>
      <c r="F1332" s="49">
        <v>45587</v>
      </c>
      <c r="G1332" s="49">
        <v>45591</v>
      </c>
      <c r="H1332" s="49">
        <v>45594</v>
      </c>
      <c r="I1332" s="49">
        <v>45596</v>
      </c>
      <c r="J1332" t="s">
        <v>47</v>
      </c>
      <c r="K1332" s="33">
        <v>5600</v>
      </c>
      <c r="M1332" t="str">
        <f>_xlfn.XLOOKUP(Pipeline_tbl[[#This Row],[Rep_ID]],Dim_Reps!A:A,Dim_Reps!K:K)</f>
        <v>MXN</v>
      </c>
      <c r="N1332" s="33">
        <f>(_xlfn.XLOOKUP(Pipeline_tbl[[#This Row],[Rate_Code_Generalized]],Lookups!A:A,Lookups!B:B))*Pipeline_tbl[[#This Row],[Pipeline_Amount_USD]]</f>
        <v>110503.12000000001</v>
      </c>
      <c r="O1332" t="str">
        <f>_xlfn.XLOOKUP(Pipeline_tbl[[#This Row],[Rep_ID]],Dim_Reps!A:A,Dim_Reps!B:B)</f>
        <v>Ben Silva</v>
      </c>
      <c r="P1332" t="str">
        <f>_xlfn.XLOOKUP(Pipeline_tbl[[#This Row],[Rep_ID]],Dim_Reps!A:A,Dim_Reps!C:C)</f>
        <v>SDR / Inside Sales Rep</v>
      </c>
      <c r="Q1332" t="str">
        <f>_xlfn.XLOOKUP(Pipeline_tbl[[#This Row],[Rep_ID]],Dim_Reps!A:A,Dim_Reps!D:D)</f>
        <v>Inside Sales</v>
      </c>
      <c r="R1332" t="str">
        <f>_xlfn.XLOOKUP(Pipeline_tbl[[#This Row],[Rep_ID]],Dim_Reps!A:A,Dim_Reps!E:E)</f>
        <v>LATAM</v>
      </c>
      <c r="S1332" t="str">
        <f>_xlfn.XLOOKUP(Pipeline_tbl[[#This Row],[Created_Date]],Dim_Date!A:A,Dim_Date!H:H)</f>
        <v>Oct 2024</v>
      </c>
      <c r="T1332" t="str">
        <f>IF(Pipeline_tbl[[#This Row],[Closed_Date]]=0,"",(_xlfn.XLOOKUP(Pipeline_tbl[[#This Row],[Closed_Date]],Dim_Date!A:A,Dim_Date!H:H)))</f>
        <v>Oct 2024</v>
      </c>
      <c r="U1332">
        <f>IF(Pipeline_tbl[[#This Row],[Closed_Date]]=0,"",Pipeline_tbl[[#This Row],[Closed_Date]]-Pipeline_tbl[[#This Row],[Created_Date]])</f>
        <v>13</v>
      </c>
    </row>
    <row r="1333" spans="1:21" ht="15" customHeight="1" x14ac:dyDescent="0.2">
      <c r="A1333" t="s">
        <v>1639</v>
      </c>
      <c r="B1333" t="s">
        <v>231</v>
      </c>
      <c r="C1333" t="s">
        <v>54</v>
      </c>
      <c r="D1333" s="49">
        <v>45570</v>
      </c>
      <c r="E1333" s="49">
        <v>45571</v>
      </c>
      <c r="F1333" s="49">
        <v>45574</v>
      </c>
      <c r="G1333" s="49">
        <v>45578</v>
      </c>
      <c r="I1333" s="49">
        <v>45583</v>
      </c>
      <c r="J1333" t="s">
        <v>49</v>
      </c>
      <c r="K1333" s="33">
        <v>2800</v>
      </c>
      <c r="L1333" t="s">
        <v>62</v>
      </c>
      <c r="M1333" t="str">
        <f>_xlfn.XLOOKUP(Pipeline_tbl[[#This Row],[Rep_ID]],Dim_Reps!A:A,Dim_Reps!K:K)</f>
        <v>MXN</v>
      </c>
      <c r="N1333" s="33">
        <f>(_xlfn.XLOOKUP(Pipeline_tbl[[#This Row],[Rate_Code_Generalized]],Lookups!A:A,Lookups!B:B))*Pipeline_tbl[[#This Row],[Pipeline_Amount_USD]]</f>
        <v>55251.560000000005</v>
      </c>
      <c r="O1333" t="str">
        <f>_xlfn.XLOOKUP(Pipeline_tbl[[#This Row],[Rep_ID]],Dim_Reps!A:A,Dim_Reps!B:B)</f>
        <v>Ben Silva</v>
      </c>
      <c r="P1333" t="str">
        <f>_xlfn.XLOOKUP(Pipeline_tbl[[#This Row],[Rep_ID]],Dim_Reps!A:A,Dim_Reps!C:C)</f>
        <v>SDR / Inside Sales Rep</v>
      </c>
      <c r="Q1333" t="str">
        <f>_xlfn.XLOOKUP(Pipeline_tbl[[#This Row],[Rep_ID]],Dim_Reps!A:A,Dim_Reps!D:D)</f>
        <v>Inside Sales</v>
      </c>
      <c r="R1333" t="str">
        <f>_xlfn.XLOOKUP(Pipeline_tbl[[#This Row],[Rep_ID]],Dim_Reps!A:A,Dim_Reps!E:E)</f>
        <v>LATAM</v>
      </c>
      <c r="S1333" t="str">
        <f>_xlfn.XLOOKUP(Pipeline_tbl[[#This Row],[Created_Date]],Dim_Date!A:A,Dim_Date!H:H)</f>
        <v>Oct 2024</v>
      </c>
      <c r="T1333" t="str">
        <f>IF(Pipeline_tbl[[#This Row],[Closed_Date]]=0,"",(_xlfn.XLOOKUP(Pipeline_tbl[[#This Row],[Closed_Date]],Dim_Date!A:A,Dim_Date!H:H)))</f>
        <v>Oct 2024</v>
      </c>
      <c r="U1333">
        <f>IF(Pipeline_tbl[[#This Row],[Closed_Date]]=0,"",Pipeline_tbl[[#This Row],[Closed_Date]]-Pipeline_tbl[[#This Row],[Created_Date]])</f>
        <v>13</v>
      </c>
    </row>
    <row r="1334" spans="1:21" ht="15" customHeight="1" x14ac:dyDescent="0.2">
      <c r="A1334" t="s">
        <v>1640</v>
      </c>
      <c r="B1334" t="s">
        <v>231</v>
      </c>
      <c r="C1334" t="s">
        <v>54</v>
      </c>
      <c r="D1334" s="49">
        <v>45566</v>
      </c>
      <c r="E1334" s="49">
        <v>45568</v>
      </c>
      <c r="F1334" s="49">
        <v>45571</v>
      </c>
      <c r="I1334" s="49">
        <v>45583</v>
      </c>
      <c r="J1334" t="s">
        <v>49</v>
      </c>
      <c r="K1334" s="33">
        <v>5600</v>
      </c>
      <c r="L1334" t="s">
        <v>61</v>
      </c>
      <c r="M1334" t="str">
        <f>_xlfn.XLOOKUP(Pipeline_tbl[[#This Row],[Rep_ID]],Dim_Reps!A:A,Dim_Reps!K:K)</f>
        <v>MXN</v>
      </c>
      <c r="N1334" s="33">
        <f>(_xlfn.XLOOKUP(Pipeline_tbl[[#This Row],[Rate_Code_Generalized]],Lookups!A:A,Lookups!B:B))*Pipeline_tbl[[#This Row],[Pipeline_Amount_USD]]</f>
        <v>110503.12000000001</v>
      </c>
      <c r="O1334" t="str">
        <f>_xlfn.XLOOKUP(Pipeline_tbl[[#This Row],[Rep_ID]],Dim_Reps!A:A,Dim_Reps!B:B)</f>
        <v>Ben Silva</v>
      </c>
      <c r="P1334" t="str">
        <f>_xlfn.XLOOKUP(Pipeline_tbl[[#This Row],[Rep_ID]],Dim_Reps!A:A,Dim_Reps!C:C)</f>
        <v>SDR / Inside Sales Rep</v>
      </c>
      <c r="Q1334" t="str">
        <f>_xlfn.XLOOKUP(Pipeline_tbl[[#This Row],[Rep_ID]],Dim_Reps!A:A,Dim_Reps!D:D)</f>
        <v>Inside Sales</v>
      </c>
      <c r="R1334" t="str">
        <f>_xlfn.XLOOKUP(Pipeline_tbl[[#This Row],[Rep_ID]],Dim_Reps!A:A,Dim_Reps!E:E)</f>
        <v>LATAM</v>
      </c>
      <c r="S1334" t="str">
        <f>_xlfn.XLOOKUP(Pipeline_tbl[[#This Row],[Created_Date]],Dim_Date!A:A,Dim_Date!H:H)</f>
        <v>Oct 2024</v>
      </c>
      <c r="T1334" t="str">
        <f>IF(Pipeline_tbl[[#This Row],[Closed_Date]]=0,"",(_xlfn.XLOOKUP(Pipeline_tbl[[#This Row],[Closed_Date]],Dim_Date!A:A,Dim_Date!H:H)))</f>
        <v>Oct 2024</v>
      </c>
      <c r="U1334">
        <f>IF(Pipeline_tbl[[#This Row],[Closed_Date]]=0,"",Pipeline_tbl[[#This Row],[Closed_Date]]-Pipeline_tbl[[#This Row],[Created_Date]])</f>
        <v>17</v>
      </c>
    </row>
    <row r="1335" spans="1:21" ht="15" customHeight="1" x14ac:dyDescent="0.2">
      <c r="A1335" t="s">
        <v>1641</v>
      </c>
      <c r="B1335" t="s">
        <v>263</v>
      </c>
      <c r="C1335" t="s">
        <v>56</v>
      </c>
      <c r="D1335" s="49">
        <v>45572</v>
      </c>
      <c r="E1335" s="49">
        <v>45574</v>
      </c>
      <c r="F1335" s="49">
        <v>45577</v>
      </c>
      <c r="G1335" s="49">
        <v>45581</v>
      </c>
      <c r="H1335" s="49">
        <v>45585</v>
      </c>
      <c r="I1335" s="49">
        <v>45587</v>
      </c>
      <c r="J1335" t="s">
        <v>47</v>
      </c>
      <c r="K1335" s="33">
        <v>15000</v>
      </c>
      <c r="M1335" t="str">
        <f>_xlfn.XLOOKUP(Pipeline_tbl[[#This Row],[Rep_ID]],Dim_Reps!A:A,Dim_Reps!K:K)</f>
        <v>USD</v>
      </c>
      <c r="N1335" s="33">
        <f>(_xlfn.XLOOKUP(Pipeline_tbl[[#This Row],[Rate_Code_Generalized]],Lookups!A:A,Lookups!B:B))*Pipeline_tbl[[#This Row],[Pipeline_Amount_USD]]</f>
        <v>17464.5</v>
      </c>
      <c r="O1335" t="str">
        <f>_xlfn.XLOOKUP(Pipeline_tbl[[#This Row],[Rep_ID]],Dim_Reps!A:A,Dim_Reps!B:B)</f>
        <v>Morgan Weber</v>
      </c>
      <c r="P1335" t="str">
        <f>_xlfn.XLOOKUP(Pipeline_tbl[[#This Row],[Rep_ID]],Dim_Reps!A:A,Dim_Reps!C:C)</f>
        <v>Mid-Market AE</v>
      </c>
      <c r="Q1335" t="str">
        <f>_xlfn.XLOOKUP(Pipeline_tbl[[#This Row],[Rep_ID]],Dim_Reps!A:A,Dim_Reps!D:D)</f>
        <v>Mid-Market</v>
      </c>
      <c r="R1335" t="str">
        <f>_xlfn.XLOOKUP(Pipeline_tbl[[#This Row],[Rep_ID]],Dim_Reps!A:A,Dim_Reps!E:E)</f>
        <v>NAMER</v>
      </c>
      <c r="S1335" t="str">
        <f>_xlfn.XLOOKUP(Pipeline_tbl[[#This Row],[Created_Date]],Dim_Date!A:A,Dim_Date!H:H)</f>
        <v>Oct 2024</v>
      </c>
      <c r="T1335" t="str">
        <f>IF(Pipeline_tbl[[#This Row],[Closed_Date]]=0,"",(_xlfn.XLOOKUP(Pipeline_tbl[[#This Row],[Closed_Date]],Dim_Date!A:A,Dim_Date!H:H)))</f>
        <v>Oct 2024</v>
      </c>
      <c r="U1335">
        <f>IF(Pipeline_tbl[[#This Row],[Closed_Date]]=0,"",Pipeline_tbl[[#This Row],[Closed_Date]]-Pipeline_tbl[[#This Row],[Created_Date]])</f>
        <v>15</v>
      </c>
    </row>
    <row r="1336" spans="1:21" ht="15" customHeight="1" x14ac:dyDescent="0.2">
      <c r="A1336" t="s">
        <v>1642</v>
      </c>
      <c r="B1336" t="s">
        <v>265</v>
      </c>
      <c r="C1336" t="s">
        <v>54</v>
      </c>
      <c r="D1336" s="49">
        <v>45567</v>
      </c>
      <c r="E1336" s="49">
        <v>45570</v>
      </c>
      <c r="F1336" s="49">
        <v>45576</v>
      </c>
      <c r="G1336" s="49">
        <v>45584</v>
      </c>
      <c r="I1336" s="49">
        <v>45596</v>
      </c>
      <c r="J1336" t="s">
        <v>49</v>
      </c>
      <c r="K1336" s="33">
        <v>13100</v>
      </c>
      <c r="L1336" t="s">
        <v>61</v>
      </c>
      <c r="M1336" t="str">
        <f>_xlfn.XLOOKUP(Pipeline_tbl[[#This Row],[Rep_ID]],Dim_Reps!A:A,Dim_Reps!K:K)</f>
        <v>EUR</v>
      </c>
      <c r="N1336" s="33">
        <f>(_xlfn.XLOOKUP(Pipeline_tbl[[#This Row],[Rate_Code_Generalized]],Lookups!A:A,Lookups!B:B))*Pipeline_tbl[[#This Row],[Pipeline_Amount_USD]]</f>
        <v>13100</v>
      </c>
      <c r="O1336" t="str">
        <f>_xlfn.XLOOKUP(Pipeline_tbl[[#This Row],[Rep_ID]],Dim_Reps!A:A,Dim_Reps!B:B)</f>
        <v>Erik Duarte</v>
      </c>
      <c r="P1336" t="str">
        <f>_xlfn.XLOOKUP(Pipeline_tbl[[#This Row],[Rep_ID]],Dim_Reps!A:A,Dim_Reps!C:C)</f>
        <v>Mid-Market AE</v>
      </c>
      <c r="Q1336" t="str">
        <f>_xlfn.XLOOKUP(Pipeline_tbl[[#This Row],[Rep_ID]],Dim_Reps!A:A,Dim_Reps!D:D)</f>
        <v>Mid-Market</v>
      </c>
      <c r="R1336" t="str">
        <f>_xlfn.XLOOKUP(Pipeline_tbl[[#This Row],[Rep_ID]],Dim_Reps!A:A,Dim_Reps!E:E)</f>
        <v>EMEA</v>
      </c>
      <c r="S1336" t="str">
        <f>_xlfn.XLOOKUP(Pipeline_tbl[[#This Row],[Created_Date]],Dim_Date!A:A,Dim_Date!H:H)</f>
        <v>Oct 2024</v>
      </c>
      <c r="T1336" t="str">
        <f>IF(Pipeline_tbl[[#This Row],[Closed_Date]]=0,"",(_xlfn.XLOOKUP(Pipeline_tbl[[#This Row],[Closed_Date]],Dim_Date!A:A,Dim_Date!H:H)))</f>
        <v>Oct 2024</v>
      </c>
      <c r="U1336">
        <f>IF(Pipeline_tbl[[#This Row],[Closed_Date]]=0,"",Pipeline_tbl[[#This Row],[Closed_Date]]-Pipeline_tbl[[#This Row],[Created_Date]])</f>
        <v>29</v>
      </c>
    </row>
    <row r="1337" spans="1:21" ht="15" customHeight="1" x14ac:dyDescent="0.2">
      <c r="A1337" t="s">
        <v>1643</v>
      </c>
      <c r="B1337" t="s">
        <v>265</v>
      </c>
      <c r="C1337" t="s">
        <v>56</v>
      </c>
      <c r="D1337" s="49">
        <v>45568</v>
      </c>
      <c r="E1337" s="49">
        <v>45569</v>
      </c>
      <c r="F1337" s="49">
        <v>45570</v>
      </c>
      <c r="G1337" s="49">
        <v>45573</v>
      </c>
      <c r="H1337" s="49">
        <v>45575</v>
      </c>
      <c r="I1337" s="49">
        <v>45576</v>
      </c>
      <c r="J1337" t="s">
        <v>47</v>
      </c>
      <c r="K1337" s="33">
        <v>22700</v>
      </c>
      <c r="M1337" t="str">
        <f>_xlfn.XLOOKUP(Pipeline_tbl[[#This Row],[Rep_ID]],Dim_Reps!A:A,Dim_Reps!K:K)</f>
        <v>EUR</v>
      </c>
      <c r="N1337" s="33">
        <f>(_xlfn.XLOOKUP(Pipeline_tbl[[#This Row],[Rate_Code_Generalized]],Lookups!A:A,Lookups!B:B))*Pipeline_tbl[[#This Row],[Pipeline_Amount_USD]]</f>
        <v>22700</v>
      </c>
      <c r="O1337" t="str">
        <f>_xlfn.XLOOKUP(Pipeline_tbl[[#This Row],[Rep_ID]],Dim_Reps!A:A,Dim_Reps!B:B)</f>
        <v>Erik Duarte</v>
      </c>
      <c r="P1337" t="str">
        <f>_xlfn.XLOOKUP(Pipeline_tbl[[#This Row],[Rep_ID]],Dim_Reps!A:A,Dim_Reps!C:C)</f>
        <v>Mid-Market AE</v>
      </c>
      <c r="Q1337" t="str">
        <f>_xlfn.XLOOKUP(Pipeline_tbl[[#This Row],[Rep_ID]],Dim_Reps!A:A,Dim_Reps!D:D)</f>
        <v>Mid-Market</v>
      </c>
      <c r="R1337" t="str">
        <f>_xlfn.XLOOKUP(Pipeline_tbl[[#This Row],[Rep_ID]],Dim_Reps!A:A,Dim_Reps!E:E)</f>
        <v>EMEA</v>
      </c>
      <c r="S1337" t="str">
        <f>_xlfn.XLOOKUP(Pipeline_tbl[[#This Row],[Created_Date]],Dim_Date!A:A,Dim_Date!H:H)</f>
        <v>Oct 2024</v>
      </c>
      <c r="T1337" t="str">
        <f>IF(Pipeline_tbl[[#This Row],[Closed_Date]]=0,"",(_xlfn.XLOOKUP(Pipeline_tbl[[#This Row],[Closed_Date]],Dim_Date!A:A,Dim_Date!H:H)))</f>
        <v>Oct 2024</v>
      </c>
      <c r="U1337">
        <f>IF(Pipeline_tbl[[#This Row],[Closed_Date]]=0,"",Pipeline_tbl[[#This Row],[Closed_Date]]-Pipeline_tbl[[#This Row],[Created_Date]])</f>
        <v>8</v>
      </c>
    </row>
    <row r="1338" spans="1:21" ht="15" customHeight="1" x14ac:dyDescent="0.2">
      <c r="A1338" t="s">
        <v>1644</v>
      </c>
      <c r="B1338" t="s">
        <v>265</v>
      </c>
      <c r="C1338" t="s">
        <v>56</v>
      </c>
      <c r="D1338" s="49">
        <v>45567</v>
      </c>
      <c r="E1338" s="49">
        <v>45570</v>
      </c>
      <c r="F1338" s="49">
        <v>45576</v>
      </c>
      <c r="G1338" s="49">
        <v>45584</v>
      </c>
      <c r="H1338" s="49">
        <v>45592</v>
      </c>
      <c r="I1338" s="49">
        <v>45596</v>
      </c>
      <c r="J1338" t="s">
        <v>47</v>
      </c>
      <c r="K1338" s="33">
        <v>11200</v>
      </c>
      <c r="M1338" t="str">
        <f>_xlfn.XLOOKUP(Pipeline_tbl[[#This Row],[Rep_ID]],Dim_Reps!A:A,Dim_Reps!K:K)</f>
        <v>EUR</v>
      </c>
      <c r="N1338" s="33">
        <f>(_xlfn.XLOOKUP(Pipeline_tbl[[#This Row],[Rate_Code_Generalized]],Lookups!A:A,Lookups!B:B))*Pipeline_tbl[[#This Row],[Pipeline_Amount_USD]]</f>
        <v>11200</v>
      </c>
      <c r="O1338" t="str">
        <f>_xlfn.XLOOKUP(Pipeline_tbl[[#This Row],[Rep_ID]],Dim_Reps!A:A,Dim_Reps!B:B)</f>
        <v>Erik Duarte</v>
      </c>
      <c r="P1338" t="str">
        <f>_xlfn.XLOOKUP(Pipeline_tbl[[#This Row],[Rep_ID]],Dim_Reps!A:A,Dim_Reps!C:C)</f>
        <v>Mid-Market AE</v>
      </c>
      <c r="Q1338" t="str">
        <f>_xlfn.XLOOKUP(Pipeline_tbl[[#This Row],[Rep_ID]],Dim_Reps!A:A,Dim_Reps!D:D)</f>
        <v>Mid-Market</v>
      </c>
      <c r="R1338" t="str">
        <f>_xlfn.XLOOKUP(Pipeline_tbl[[#This Row],[Rep_ID]],Dim_Reps!A:A,Dim_Reps!E:E)</f>
        <v>EMEA</v>
      </c>
      <c r="S1338" t="str">
        <f>_xlfn.XLOOKUP(Pipeline_tbl[[#This Row],[Created_Date]],Dim_Date!A:A,Dim_Date!H:H)</f>
        <v>Oct 2024</v>
      </c>
      <c r="T1338" t="str">
        <f>IF(Pipeline_tbl[[#This Row],[Closed_Date]]=0,"",(_xlfn.XLOOKUP(Pipeline_tbl[[#This Row],[Closed_Date]],Dim_Date!A:A,Dim_Date!H:H)))</f>
        <v>Oct 2024</v>
      </c>
      <c r="U1338">
        <f>IF(Pipeline_tbl[[#This Row],[Closed_Date]]=0,"",Pipeline_tbl[[#This Row],[Closed_Date]]-Pipeline_tbl[[#This Row],[Created_Date]])</f>
        <v>29</v>
      </c>
    </row>
    <row r="1339" spans="1:21" ht="15" customHeight="1" x14ac:dyDescent="0.2">
      <c r="A1339" t="s">
        <v>1645</v>
      </c>
      <c r="B1339" t="s">
        <v>265</v>
      </c>
      <c r="C1339" t="s">
        <v>52</v>
      </c>
      <c r="D1339" s="49">
        <v>45573</v>
      </c>
      <c r="E1339" s="49">
        <v>45575</v>
      </c>
      <c r="F1339" s="49">
        <v>45579</v>
      </c>
      <c r="G1339" s="49">
        <v>45584</v>
      </c>
      <c r="H1339" s="49">
        <v>45589</v>
      </c>
      <c r="I1339" s="49">
        <v>45592</v>
      </c>
      <c r="J1339" t="s">
        <v>49</v>
      </c>
      <c r="K1339" s="33">
        <v>20000</v>
      </c>
      <c r="L1339" t="s">
        <v>62</v>
      </c>
      <c r="M1339" t="str">
        <f>_xlfn.XLOOKUP(Pipeline_tbl[[#This Row],[Rep_ID]],Dim_Reps!A:A,Dim_Reps!K:K)</f>
        <v>EUR</v>
      </c>
      <c r="N1339" s="33">
        <f>(_xlfn.XLOOKUP(Pipeline_tbl[[#This Row],[Rate_Code_Generalized]],Lookups!A:A,Lookups!B:B))*Pipeline_tbl[[#This Row],[Pipeline_Amount_USD]]</f>
        <v>20000</v>
      </c>
      <c r="O1339" t="str">
        <f>_xlfn.XLOOKUP(Pipeline_tbl[[#This Row],[Rep_ID]],Dim_Reps!A:A,Dim_Reps!B:B)</f>
        <v>Erik Duarte</v>
      </c>
      <c r="P1339" t="str">
        <f>_xlfn.XLOOKUP(Pipeline_tbl[[#This Row],[Rep_ID]],Dim_Reps!A:A,Dim_Reps!C:C)</f>
        <v>Mid-Market AE</v>
      </c>
      <c r="Q1339" t="str">
        <f>_xlfn.XLOOKUP(Pipeline_tbl[[#This Row],[Rep_ID]],Dim_Reps!A:A,Dim_Reps!D:D)</f>
        <v>Mid-Market</v>
      </c>
      <c r="R1339" t="str">
        <f>_xlfn.XLOOKUP(Pipeline_tbl[[#This Row],[Rep_ID]],Dim_Reps!A:A,Dim_Reps!E:E)</f>
        <v>EMEA</v>
      </c>
      <c r="S1339" t="str">
        <f>_xlfn.XLOOKUP(Pipeline_tbl[[#This Row],[Created_Date]],Dim_Date!A:A,Dim_Date!H:H)</f>
        <v>Oct 2024</v>
      </c>
      <c r="T1339" t="str">
        <f>IF(Pipeline_tbl[[#This Row],[Closed_Date]]=0,"",(_xlfn.XLOOKUP(Pipeline_tbl[[#This Row],[Closed_Date]],Dim_Date!A:A,Dim_Date!H:H)))</f>
        <v>Oct 2024</v>
      </c>
      <c r="U1339">
        <f>IF(Pipeline_tbl[[#This Row],[Closed_Date]]=0,"",Pipeline_tbl[[#This Row],[Closed_Date]]-Pipeline_tbl[[#This Row],[Created_Date]])</f>
        <v>19</v>
      </c>
    </row>
    <row r="1340" spans="1:21" ht="15" customHeight="1" x14ac:dyDescent="0.2">
      <c r="A1340" t="s">
        <v>1646</v>
      </c>
      <c r="B1340" t="s">
        <v>233</v>
      </c>
      <c r="C1340" t="s">
        <v>52</v>
      </c>
      <c r="D1340" s="49">
        <v>45569</v>
      </c>
      <c r="E1340" s="49">
        <v>45571</v>
      </c>
      <c r="F1340" s="49">
        <v>45577</v>
      </c>
      <c r="G1340" s="49">
        <v>45584</v>
      </c>
      <c r="H1340" s="49">
        <v>45590</v>
      </c>
      <c r="I1340" s="49">
        <v>45594</v>
      </c>
      <c r="J1340" t="s">
        <v>47</v>
      </c>
      <c r="K1340" s="33">
        <v>6000</v>
      </c>
      <c r="M1340" t="str">
        <f>_xlfn.XLOOKUP(Pipeline_tbl[[#This Row],[Rep_ID]],Dim_Reps!A:A,Dim_Reps!K:K)</f>
        <v>MXN</v>
      </c>
      <c r="N1340" s="33">
        <f>(_xlfn.XLOOKUP(Pipeline_tbl[[#This Row],[Rate_Code_Generalized]],Lookups!A:A,Lookups!B:B))*Pipeline_tbl[[#This Row],[Pipeline_Amount_USD]]</f>
        <v>118396.20000000001</v>
      </c>
      <c r="O1340" t="str">
        <f>_xlfn.XLOOKUP(Pipeline_tbl[[#This Row],[Rep_ID]],Dim_Reps!A:A,Dim_Reps!B:B)</f>
        <v>Lucas Duarte</v>
      </c>
      <c r="P1340" t="str">
        <f>_xlfn.XLOOKUP(Pipeline_tbl[[#This Row],[Rep_ID]],Dim_Reps!A:A,Dim_Reps!C:C)</f>
        <v>SDR / Inside Sales Rep</v>
      </c>
      <c r="Q1340" t="str">
        <f>_xlfn.XLOOKUP(Pipeline_tbl[[#This Row],[Rep_ID]],Dim_Reps!A:A,Dim_Reps!D:D)</f>
        <v>Inside Sales</v>
      </c>
      <c r="R1340" t="str">
        <f>_xlfn.XLOOKUP(Pipeline_tbl[[#This Row],[Rep_ID]],Dim_Reps!A:A,Dim_Reps!E:E)</f>
        <v>LATAM</v>
      </c>
      <c r="S1340" t="str">
        <f>_xlfn.XLOOKUP(Pipeline_tbl[[#This Row],[Created_Date]],Dim_Date!A:A,Dim_Date!H:H)</f>
        <v>Oct 2024</v>
      </c>
      <c r="T1340" t="str">
        <f>IF(Pipeline_tbl[[#This Row],[Closed_Date]]=0,"",(_xlfn.XLOOKUP(Pipeline_tbl[[#This Row],[Closed_Date]],Dim_Date!A:A,Dim_Date!H:H)))</f>
        <v>Oct 2024</v>
      </c>
      <c r="U1340">
        <f>IF(Pipeline_tbl[[#This Row],[Closed_Date]]=0,"",Pipeline_tbl[[#This Row],[Closed_Date]]-Pipeline_tbl[[#This Row],[Created_Date]])</f>
        <v>25</v>
      </c>
    </row>
    <row r="1341" spans="1:21" ht="15" customHeight="1" x14ac:dyDescent="0.2">
      <c r="A1341" t="s">
        <v>1647</v>
      </c>
      <c r="B1341" t="s">
        <v>233</v>
      </c>
      <c r="C1341" t="s">
        <v>52</v>
      </c>
      <c r="D1341" s="49">
        <v>45567</v>
      </c>
      <c r="E1341" s="49">
        <v>45570</v>
      </c>
      <c r="F1341" s="49">
        <v>45575</v>
      </c>
      <c r="G1341" s="49">
        <v>45583</v>
      </c>
      <c r="H1341" s="49">
        <v>45590</v>
      </c>
      <c r="I1341" s="49">
        <v>45594</v>
      </c>
      <c r="J1341" t="s">
        <v>47</v>
      </c>
      <c r="K1341" s="33">
        <v>4900</v>
      </c>
      <c r="M1341" t="str">
        <f>_xlfn.XLOOKUP(Pipeline_tbl[[#This Row],[Rep_ID]],Dim_Reps!A:A,Dim_Reps!K:K)</f>
        <v>MXN</v>
      </c>
      <c r="N1341" s="33">
        <f>(_xlfn.XLOOKUP(Pipeline_tbl[[#This Row],[Rate_Code_Generalized]],Lookups!A:A,Lookups!B:B))*Pipeline_tbl[[#This Row],[Pipeline_Amount_USD]]</f>
        <v>96690.23000000001</v>
      </c>
      <c r="O1341" t="str">
        <f>_xlfn.XLOOKUP(Pipeline_tbl[[#This Row],[Rep_ID]],Dim_Reps!A:A,Dim_Reps!B:B)</f>
        <v>Lucas Duarte</v>
      </c>
      <c r="P1341" t="str">
        <f>_xlfn.XLOOKUP(Pipeline_tbl[[#This Row],[Rep_ID]],Dim_Reps!A:A,Dim_Reps!C:C)</f>
        <v>SDR / Inside Sales Rep</v>
      </c>
      <c r="Q1341" t="str">
        <f>_xlfn.XLOOKUP(Pipeline_tbl[[#This Row],[Rep_ID]],Dim_Reps!A:A,Dim_Reps!D:D)</f>
        <v>Inside Sales</v>
      </c>
      <c r="R1341" t="str">
        <f>_xlfn.XLOOKUP(Pipeline_tbl[[#This Row],[Rep_ID]],Dim_Reps!A:A,Dim_Reps!E:E)</f>
        <v>LATAM</v>
      </c>
      <c r="S1341" t="str">
        <f>_xlfn.XLOOKUP(Pipeline_tbl[[#This Row],[Created_Date]],Dim_Date!A:A,Dim_Date!H:H)</f>
        <v>Oct 2024</v>
      </c>
      <c r="T1341" t="str">
        <f>IF(Pipeline_tbl[[#This Row],[Closed_Date]]=0,"",(_xlfn.XLOOKUP(Pipeline_tbl[[#This Row],[Closed_Date]],Dim_Date!A:A,Dim_Date!H:H)))</f>
        <v>Oct 2024</v>
      </c>
      <c r="U1341">
        <f>IF(Pipeline_tbl[[#This Row],[Closed_Date]]=0,"",Pipeline_tbl[[#This Row],[Closed_Date]]-Pipeline_tbl[[#This Row],[Created_Date]])</f>
        <v>27</v>
      </c>
    </row>
    <row r="1342" spans="1:21" ht="15" customHeight="1" x14ac:dyDescent="0.2">
      <c r="A1342" t="s">
        <v>1648</v>
      </c>
      <c r="B1342" t="s">
        <v>267</v>
      </c>
      <c r="C1342" t="s">
        <v>56</v>
      </c>
      <c r="D1342" s="49">
        <v>45574</v>
      </c>
      <c r="E1342" s="49">
        <v>45576</v>
      </c>
      <c r="F1342" s="49">
        <v>45581</v>
      </c>
      <c r="G1342" s="49">
        <v>45587</v>
      </c>
      <c r="H1342" s="49">
        <v>45593</v>
      </c>
      <c r="I1342" s="49">
        <v>45596</v>
      </c>
      <c r="J1342" t="s">
        <v>47</v>
      </c>
      <c r="K1342" s="33">
        <v>13700</v>
      </c>
      <c r="M1342" t="str">
        <f>_xlfn.XLOOKUP(Pipeline_tbl[[#This Row],[Rep_ID]],Dim_Reps!A:A,Dim_Reps!K:K)</f>
        <v>MXN</v>
      </c>
      <c r="N1342" s="33">
        <f>(_xlfn.XLOOKUP(Pipeline_tbl[[#This Row],[Rate_Code_Generalized]],Lookups!A:A,Lookups!B:B))*Pipeline_tbl[[#This Row],[Pipeline_Amount_USD]]</f>
        <v>270337.99</v>
      </c>
      <c r="O1342" t="str">
        <f>_xlfn.XLOOKUP(Pipeline_tbl[[#This Row],[Rep_ID]],Dim_Reps!A:A,Dim_Reps!B:B)</f>
        <v>Yuki Dubois</v>
      </c>
      <c r="P1342" t="str">
        <f>_xlfn.XLOOKUP(Pipeline_tbl[[#This Row],[Rep_ID]],Dim_Reps!A:A,Dim_Reps!C:C)</f>
        <v>Mid-Market AE</v>
      </c>
      <c r="Q1342" t="str">
        <f>_xlfn.XLOOKUP(Pipeline_tbl[[#This Row],[Rep_ID]],Dim_Reps!A:A,Dim_Reps!D:D)</f>
        <v>Mid-Market</v>
      </c>
      <c r="R1342" t="str">
        <f>_xlfn.XLOOKUP(Pipeline_tbl[[#This Row],[Rep_ID]],Dim_Reps!A:A,Dim_Reps!E:E)</f>
        <v>LATAM</v>
      </c>
      <c r="S1342" t="str">
        <f>_xlfn.XLOOKUP(Pipeline_tbl[[#This Row],[Created_Date]],Dim_Date!A:A,Dim_Date!H:H)</f>
        <v>Oct 2024</v>
      </c>
      <c r="T1342" t="str">
        <f>IF(Pipeline_tbl[[#This Row],[Closed_Date]]=0,"",(_xlfn.XLOOKUP(Pipeline_tbl[[#This Row],[Closed_Date]],Dim_Date!A:A,Dim_Date!H:H)))</f>
        <v>Oct 2024</v>
      </c>
      <c r="U1342">
        <f>IF(Pipeline_tbl[[#This Row],[Closed_Date]]=0,"",Pipeline_tbl[[#This Row],[Closed_Date]]-Pipeline_tbl[[#This Row],[Created_Date]])</f>
        <v>22</v>
      </c>
    </row>
    <row r="1343" spans="1:21" ht="15" customHeight="1" x14ac:dyDescent="0.2">
      <c r="A1343" t="s">
        <v>1649</v>
      </c>
      <c r="B1343" t="s">
        <v>267</v>
      </c>
      <c r="C1343" t="s">
        <v>54</v>
      </c>
      <c r="D1343" s="49">
        <v>45568</v>
      </c>
      <c r="E1343" s="49">
        <v>45570</v>
      </c>
      <c r="F1343" s="49">
        <v>45575</v>
      </c>
      <c r="I1343" s="49">
        <v>45592</v>
      </c>
      <c r="J1343" t="s">
        <v>49</v>
      </c>
      <c r="K1343" s="33">
        <v>9500</v>
      </c>
      <c r="L1343" t="s">
        <v>62</v>
      </c>
      <c r="M1343" t="str">
        <f>_xlfn.XLOOKUP(Pipeline_tbl[[#This Row],[Rep_ID]],Dim_Reps!A:A,Dim_Reps!K:K)</f>
        <v>MXN</v>
      </c>
      <c r="N1343" s="33">
        <f>(_xlfn.XLOOKUP(Pipeline_tbl[[#This Row],[Rate_Code_Generalized]],Lookups!A:A,Lookups!B:B))*Pipeline_tbl[[#This Row],[Pipeline_Amount_USD]]</f>
        <v>187460.65000000002</v>
      </c>
      <c r="O1343" t="str">
        <f>_xlfn.XLOOKUP(Pipeline_tbl[[#This Row],[Rep_ID]],Dim_Reps!A:A,Dim_Reps!B:B)</f>
        <v>Yuki Dubois</v>
      </c>
      <c r="P1343" t="str">
        <f>_xlfn.XLOOKUP(Pipeline_tbl[[#This Row],[Rep_ID]],Dim_Reps!A:A,Dim_Reps!C:C)</f>
        <v>Mid-Market AE</v>
      </c>
      <c r="Q1343" t="str">
        <f>_xlfn.XLOOKUP(Pipeline_tbl[[#This Row],[Rep_ID]],Dim_Reps!A:A,Dim_Reps!D:D)</f>
        <v>Mid-Market</v>
      </c>
      <c r="R1343" t="str">
        <f>_xlfn.XLOOKUP(Pipeline_tbl[[#This Row],[Rep_ID]],Dim_Reps!A:A,Dim_Reps!E:E)</f>
        <v>LATAM</v>
      </c>
      <c r="S1343" t="str">
        <f>_xlfn.XLOOKUP(Pipeline_tbl[[#This Row],[Created_Date]],Dim_Date!A:A,Dim_Date!H:H)</f>
        <v>Oct 2024</v>
      </c>
      <c r="T1343" t="str">
        <f>IF(Pipeline_tbl[[#This Row],[Closed_Date]]=0,"",(_xlfn.XLOOKUP(Pipeline_tbl[[#This Row],[Closed_Date]],Dim_Date!A:A,Dim_Date!H:H)))</f>
        <v>Oct 2024</v>
      </c>
      <c r="U1343">
        <f>IF(Pipeline_tbl[[#This Row],[Closed_Date]]=0,"",Pipeline_tbl[[#This Row],[Closed_Date]]-Pipeline_tbl[[#This Row],[Created_Date]])</f>
        <v>24</v>
      </c>
    </row>
    <row r="1344" spans="1:21" ht="15" customHeight="1" x14ac:dyDescent="0.2">
      <c r="A1344" t="s">
        <v>1650</v>
      </c>
      <c r="B1344" t="s">
        <v>235</v>
      </c>
      <c r="C1344" t="s">
        <v>53</v>
      </c>
      <c r="D1344" s="49">
        <v>45566</v>
      </c>
      <c r="E1344" s="49">
        <v>45568</v>
      </c>
      <c r="F1344" s="49">
        <v>45571</v>
      </c>
      <c r="G1344" s="49">
        <v>45576</v>
      </c>
      <c r="I1344" s="49">
        <v>45583</v>
      </c>
      <c r="J1344" t="s">
        <v>49</v>
      </c>
      <c r="K1344" s="33">
        <v>6300</v>
      </c>
      <c r="L1344" t="s">
        <v>60</v>
      </c>
      <c r="M1344" t="str">
        <f>_xlfn.XLOOKUP(Pipeline_tbl[[#This Row],[Rep_ID]],Dim_Reps!A:A,Dim_Reps!K:K)</f>
        <v>MXN</v>
      </c>
      <c r="N1344" s="33">
        <f>(_xlfn.XLOOKUP(Pipeline_tbl[[#This Row],[Rate_Code_Generalized]],Lookups!A:A,Lookups!B:B))*Pipeline_tbl[[#This Row],[Pipeline_Amount_USD]]</f>
        <v>124316.01000000001</v>
      </c>
      <c r="O1344" t="str">
        <f>_xlfn.XLOOKUP(Pipeline_tbl[[#This Row],[Rep_ID]],Dim_Reps!A:A,Dim_Reps!B:B)</f>
        <v>Milo Castro</v>
      </c>
      <c r="P1344" t="str">
        <f>_xlfn.XLOOKUP(Pipeline_tbl[[#This Row],[Rep_ID]],Dim_Reps!A:A,Dim_Reps!C:C)</f>
        <v>SDR / Inside Sales Rep</v>
      </c>
      <c r="Q1344" t="str">
        <f>_xlfn.XLOOKUP(Pipeline_tbl[[#This Row],[Rep_ID]],Dim_Reps!A:A,Dim_Reps!D:D)</f>
        <v>Inside Sales</v>
      </c>
      <c r="R1344" t="str">
        <f>_xlfn.XLOOKUP(Pipeline_tbl[[#This Row],[Rep_ID]],Dim_Reps!A:A,Dim_Reps!E:E)</f>
        <v>LATAM</v>
      </c>
      <c r="S1344" t="str">
        <f>_xlfn.XLOOKUP(Pipeline_tbl[[#This Row],[Created_Date]],Dim_Date!A:A,Dim_Date!H:H)</f>
        <v>Oct 2024</v>
      </c>
      <c r="T1344" t="str">
        <f>IF(Pipeline_tbl[[#This Row],[Closed_Date]]=0,"",(_xlfn.XLOOKUP(Pipeline_tbl[[#This Row],[Closed_Date]],Dim_Date!A:A,Dim_Date!H:H)))</f>
        <v>Oct 2024</v>
      </c>
      <c r="U1344">
        <f>IF(Pipeline_tbl[[#This Row],[Closed_Date]]=0,"",Pipeline_tbl[[#This Row],[Closed_Date]]-Pipeline_tbl[[#This Row],[Created_Date]])</f>
        <v>17</v>
      </c>
    </row>
    <row r="1345" spans="1:21" ht="15" customHeight="1" x14ac:dyDescent="0.2">
      <c r="A1345" t="s">
        <v>1651</v>
      </c>
      <c r="B1345" t="s">
        <v>235</v>
      </c>
      <c r="C1345" t="s">
        <v>52</v>
      </c>
      <c r="D1345" s="49">
        <v>45574</v>
      </c>
      <c r="E1345" s="49">
        <v>45576</v>
      </c>
      <c r="I1345" s="49">
        <v>45595</v>
      </c>
      <c r="J1345" t="s">
        <v>49</v>
      </c>
      <c r="K1345" s="33">
        <v>3700</v>
      </c>
      <c r="L1345" t="s">
        <v>60</v>
      </c>
      <c r="M1345" t="str">
        <f>_xlfn.XLOOKUP(Pipeline_tbl[[#This Row],[Rep_ID]],Dim_Reps!A:A,Dim_Reps!K:K)</f>
        <v>MXN</v>
      </c>
      <c r="N1345" s="33">
        <f>(_xlfn.XLOOKUP(Pipeline_tbl[[#This Row],[Rate_Code_Generalized]],Lookups!A:A,Lookups!B:B))*Pipeline_tbl[[#This Row],[Pipeline_Amount_USD]]</f>
        <v>73010.990000000005</v>
      </c>
      <c r="O1345" t="str">
        <f>_xlfn.XLOOKUP(Pipeline_tbl[[#This Row],[Rep_ID]],Dim_Reps!A:A,Dim_Reps!B:B)</f>
        <v>Milo Castro</v>
      </c>
      <c r="P1345" t="str">
        <f>_xlfn.XLOOKUP(Pipeline_tbl[[#This Row],[Rep_ID]],Dim_Reps!A:A,Dim_Reps!C:C)</f>
        <v>SDR / Inside Sales Rep</v>
      </c>
      <c r="Q1345" t="str">
        <f>_xlfn.XLOOKUP(Pipeline_tbl[[#This Row],[Rep_ID]],Dim_Reps!A:A,Dim_Reps!D:D)</f>
        <v>Inside Sales</v>
      </c>
      <c r="R1345" t="str">
        <f>_xlfn.XLOOKUP(Pipeline_tbl[[#This Row],[Rep_ID]],Dim_Reps!A:A,Dim_Reps!E:E)</f>
        <v>LATAM</v>
      </c>
      <c r="S1345" t="str">
        <f>_xlfn.XLOOKUP(Pipeline_tbl[[#This Row],[Created_Date]],Dim_Date!A:A,Dim_Date!H:H)</f>
        <v>Oct 2024</v>
      </c>
      <c r="T1345" t="str">
        <f>IF(Pipeline_tbl[[#This Row],[Closed_Date]]=0,"",(_xlfn.XLOOKUP(Pipeline_tbl[[#This Row],[Closed_Date]],Dim_Date!A:A,Dim_Date!H:H)))</f>
        <v>Oct 2024</v>
      </c>
      <c r="U1345">
        <f>IF(Pipeline_tbl[[#This Row],[Closed_Date]]=0,"",Pipeline_tbl[[#This Row],[Closed_Date]]-Pipeline_tbl[[#This Row],[Created_Date]])</f>
        <v>21</v>
      </c>
    </row>
    <row r="1346" spans="1:21" ht="15" customHeight="1" x14ac:dyDescent="0.2">
      <c r="A1346" t="s">
        <v>1652</v>
      </c>
      <c r="B1346" t="s">
        <v>284</v>
      </c>
      <c r="C1346" t="s">
        <v>55</v>
      </c>
      <c r="D1346" s="49">
        <v>45571</v>
      </c>
      <c r="E1346" s="49">
        <v>45571</v>
      </c>
      <c r="F1346" s="49">
        <v>45573</v>
      </c>
      <c r="G1346" s="49">
        <v>45574</v>
      </c>
      <c r="I1346" s="49">
        <v>45576</v>
      </c>
      <c r="J1346" t="s">
        <v>49</v>
      </c>
      <c r="K1346" s="33">
        <v>56800</v>
      </c>
      <c r="L1346" t="s">
        <v>61</v>
      </c>
      <c r="M1346" t="str">
        <f>_xlfn.XLOOKUP(Pipeline_tbl[[#This Row],[Rep_ID]],Dim_Reps!A:A,Dim_Reps!K:K)</f>
        <v>USD</v>
      </c>
      <c r="N1346" s="33">
        <f>(_xlfn.XLOOKUP(Pipeline_tbl[[#This Row],[Rate_Code_Generalized]],Lookups!A:A,Lookups!B:B))*Pipeline_tbl[[#This Row],[Pipeline_Amount_USD]]</f>
        <v>66132.239999999991</v>
      </c>
      <c r="O1346" t="str">
        <f>_xlfn.XLOOKUP(Pipeline_tbl[[#This Row],[Rep_ID]],Dim_Reps!A:A,Dim_Reps!B:B)</f>
        <v>Taylor Adler</v>
      </c>
      <c r="P1346" t="str">
        <f>_xlfn.XLOOKUP(Pipeline_tbl[[#This Row],[Rep_ID]],Dim_Reps!A:A,Dim_Reps!C:C)</f>
        <v>Senior Enterprise AE</v>
      </c>
      <c r="Q1346" t="str">
        <f>_xlfn.XLOOKUP(Pipeline_tbl[[#This Row],[Rep_ID]],Dim_Reps!A:A,Dim_Reps!D:D)</f>
        <v>Strategic</v>
      </c>
      <c r="R1346" t="str">
        <f>_xlfn.XLOOKUP(Pipeline_tbl[[#This Row],[Rep_ID]],Dim_Reps!A:A,Dim_Reps!E:E)</f>
        <v>NAMER</v>
      </c>
      <c r="S1346" t="str">
        <f>_xlfn.XLOOKUP(Pipeline_tbl[[#This Row],[Created_Date]],Dim_Date!A:A,Dim_Date!H:H)</f>
        <v>Oct 2024</v>
      </c>
      <c r="T1346" t="str">
        <f>IF(Pipeline_tbl[[#This Row],[Closed_Date]]=0,"",(_xlfn.XLOOKUP(Pipeline_tbl[[#This Row],[Closed_Date]],Dim_Date!A:A,Dim_Date!H:H)))</f>
        <v>Oct 2024</v>
      </c>
      <c r="U1346">
        <f>IF(Pipeline_tbl[[#This Row],[Closed_Date]]=0,"",Pipeline_tbl[[#This Row],[Closed_Date]]-Pipeline_tbl[[#This Row],[Created_Date]])</f>
        <v>5</v>
      </c>
    </row>
    <row r="1347" spans="1:21" ht="15" customHeight="1" x14ac:dyDescent="0.2">
      <c r="A1347" t="s">
        <v>1653</v>
      </c>
      <c r="B1347" t="s">
        <v>237</v>
      </c>
      <c r="C1347" t="s">
        <v>53</v>
      </c>
      <c r="D1347" s="49">
        <v>45570</v>
      </c>
      <c r="E1347" s="49">
        <v>45571</v>
      </c>
      <c r="F1347" s="49">
        <v>45572</v>
      </c>
      <c r="G1347" s="49">
        <v>45574</v>
      </c>
      <c r="H1347" s="49">
        <v>45576</v>
      </c>
      <c r="I1347" s="49">
        <v>45577</v>
      </c>
      <c r="J1347" t="s">
        <v>47</v>
      </c>
      <c r="K1347" s="33">
        <v>3300</v>
      </c>
      <c r="M1347" t="str">
        <f>_xlfn.XLOOKUP(Pipeline_tbl[[#This Row],[Rep_ID]],Dim_Reps!A:A,Dim_Reps!K:K)</f>
        <v>EUR</v>
      </c>
      <c r="N1347" s="33">
        <f>(_xlfn.XLOOKUP(Pipeline_tbl[[#This Row],[Rate_Code_Generalized]],Lookups!A:A,Lookups!B:B))*Pipeline_tbl[[#This Row],[Pipeline_Amount_USD]]</f>
        <v>3300</v>
      </c>
      <c r="O1347" t="str">
        <f>_xlfn.XLOOKUP(Pipeline_tbl[[#This Row],[Rep_ID]],Dim_Reps!A:A,Dim_Reps!B:B)</f>
        <v>Hugo Santos</v>
      </c>
      <c r="P1347" t="str">
        <f>_xlfn.XLOOKUP(Pipeline_tbl[[#This Row],[Rep_ID]],Dim_Reps!A:A,Dim_Reps!C:C)</f>
        <v>SDR / Inside Sales Rep</v>
      </c>
      <c r="Q1347" t="str">
        <f>_xlfn.XLOOKUP(Pipeline_tbl[[#This Row],[Rep_ID]],Dim_Reps!A:A,Dim_Reps!D:D)</f>
        <v>Inside Sales</v>
      </c>
      <c r="R1347" t="str">
        <f>_xlfn.XLOOKUP(Pipeline_tbl[[#This Row],[Rep_ID]],Dim_Reps!A:A,Dim_Reps!E:E)</f>
        <v>EMEA</v>
      </c>
      <c r="S1347" t="str">
        <f>_xlfn.XLOOKUP(Pipeline_tbl[[#This Row],[Created_Date]],Dim_Date!A:A,Dim_Date!H:H)</f>
        <v>Oct 2024</v>
      </c>
      <c r="T1347" t="str">
        <f>IF(Pipeline_tbl[[#This Row],[Closed_Date]]=0,"",(_xlfn.XLOOKUP(Pipeline_tbl[[#This Row],[Closed_Date]],Dim_Date!A:A,Dim_Date!H:H)))</f>
        <v>Oct 2024</v>
      </c>
      <c r="U1347">
        <f>IF(Pipeline_tbl[[#This Row],[Closed_Date]]=0,"",Pipeline_tbl[[#This Row],[Closed_Date]]-Pipeline_tbl[[#This Row],[Created_Date]])</f>
        <v>7</v>
      </c>
    </row>
    <row r="1348" spans="1:21" ht="15" customHeight="1" x14ac:dyDescent="0.2">
      <c r="A1348" t="s">
        <v>1654</v>
      </c>
      <c r="B1348" t="s">
        <v>237</v>
      </c>
      <c r="C1348" t="s">
        <v>52</v>
      </c>
      <c r="D1348" s="49">
        <v>45568</v>
      </c>
      <c r="E1348" s="49">
        <v>45570</v>
      </c>
      <c r="F1348" s="49">
        <v>45573</v>
      </c>
      <c r="G1348" s="49">
        <v>45578</v>
      </c>
      <c r="I1348" s="49">
        <v>45584</v>
      </c>
      <c r="J1348" t="s">
        <v>49</v>
      </c>
      <c r="K1348" s="33">
        <v>4500</v>
      </c>
      <c r="L1348" t="s">
        <v>62</v>
      </c>
      <c r="M1348" t="str">
        <f>_xlfn.XLOOKUP(Pipeline_tbl[[#This Row],[Rep_ID]],Dim_Reps!A:A,Dim_Reps!K:K)</f>
        <v>EUR</v>
      </c>
      <c r="N1348" s="33">
        <f>(_xlfn.XLOOKUP(Pipeline_tbl[[#This Row],[Rate_Code_Generalized]],Lookups!A:A,Lookups!B:B))*Pipeline_tbl[[#This Row],[Pipeline_Amount_USD]]</f>
        <v>4500</v>
      </c>
      <c r="O1348" t="str">
        <f>_xlfn.XLOOKUP(Pipeline_tbl[[#This Row],[Rep_ID]],Dim_Reps!A:A,Dim_Reps!B:B)</f>
        <v>Hugo Santos</v>
      </c>
      <c r="P1348" t="str">
        <f>_xlfn.XLOOKUP(Pipeline_tbl[[#This Row],[Rep_ID]],Dim_Reps!A:A,Dim_Reps!C:C)</f>
        <v>SDR / Inside Sales Rep</v>
      </c>
      <c r="Q1348" t="str">
        <f>_xlfn.XLOOKUP(Pipeline_tbl[[#This Row],[Rep_ID]],Dim_Reps!A:A,Dim_Reps!D:D)</f>
        <v>Inside Sales</v>
      </c>
      <c r="R1348" t="str">
        <f>_xlfn.XLOOKUP(Pipeline_tbl[[#This Row],[Rep_ID]],Dim_Reps!A:A,Dim_Reps!E:E)</f>
        <v>EMEA</v>
      </c>
      <c r="S1348" t="str">
        <f>_xlfn.XLOOKUP(Pipeline_tbl[[#This Row],[Created_Date]],Dim_Date!A:A,Dim_Date!H:H)</f>
        <v>Oct 2024</v>
      </c>
      <c r="T1348" t="str">
        <f>IF(Pipeline_tbl[[#This Row],[Closed_Date]]=0,"",(_xlfn.XLOOKUP(Pipeline_tbl[[#This Row],[Closed_Date]],Dim_Date!A:A,Dim_Date!H:H)))</f>
        <v>Oct 2024</v>
      </c>
      <c r="U1348">
        <f>IF(Pipeline_tbl[[#This Row],[Closed_Date]]=0,"",Pipeline_tbl[[#This Row],[Closed_Date]]-Pipeline_tbl[[#This Row],[Created_Date]])</f>
        <v>16</v>
      </c>
    </row>
    <row r="1349" spans="1:21" ht="15" customHeight="1" x14ac:dyDescent="0.2">
      <c r="A1349" t="s">
        <v>1655</v>
      </c>
      <c r="B1349" t="s">
        <v>237</v>
      </c>
      <c r="C1349" t="s">
        <v>55</v>
      </c>
      <c r="D1349" s="49">
        <v>45568</v>
      </c>
      <c r="E1349" s="49">
        <v>45569</v>
      </c>
      <c r="F1349" s="49">
        <v>45570</v>
      </c>
      <c r="G1349" s="49">
        <v>45573</v>
      </c>
      <c r="I1349" s="49">
        <v>45576</v>
      </c>
      <c r="J1349" t="s">
        <v>49</v>
      </c>
      <c r="K1349" s="33">
        <v>2400</v>
      </c>
      <c r="L1349" t="s">
        <v>62</v>
      </c>
      <c r="M1349" t="str">
        <f>_xlfn.XLOOKUP(Pipeline_tbl[[#This Row],[Rep_ID]],Dim_Reps!A:A,Dim_Reps!K:K)</f>
        <v>EUR</v>
      </c>
      <c r="N1349" s="33">
        <f>(_xlfn.XLOOKUP(Pipeline_tbl[[#This Row],[Rate_Code_Generalized]],Lookups!A:A,Lookups!B:B))*Pipeline_tbl[[#This Row],[Pipeline_Amount_USD]]</f>
        <v>2400</v>
      </c>
      <c r="O1349" t="str">
        <f>_xlfn.XLOOKUP(Pipeline_tbl[[#This Row],[Rep_ID]],Dim_Reps!A:A,Dim_Reps!B:B)</f>
        <v>Hugo Santos</v>
      </c>
      <c r="P1349" t="str">
        <f>_xlfn.XLOOKUP(Pipeline_tbl[[#This Row],[Rep_ID]],Dim_Reps!A:A,Dim_Reps!C:C)</f>
        <v>SDR / Inside Sales Rep</v>
      </c>
      <c r="Q1349" t="str">
        <f>_xlfn.XLOOKUP(Pipeline_tbl[[#This Row],[Rep_ID]],Dim_Reps!A:A,Dim_Reps!D:D)</f>
        <v>Inside Sales</v>
      </c>
      <c r="R1349" t="str">
        <f>_xlfn.XLOOKUP(Pipeline_tbl[[#This Row],[Rep_ID]],Dim_Reps!A:A,Dim_Reps!E:E)</f>
        <v>EMEA</v>
      </c>
      <c r="S1349" t="str">
        <f>_xlfn.XLOOKUP(Pipeline_tbl[[#This Row],[Created_Date]],Dim_Date!A:A,Dim_Date!H:H)</f>
        <v>Oct 2024</v>
      </c>
      <c r="T1349" t="str">
        <f>IF(Pipeline_tbl[[#This Row],[Closed_Date]]=0,"",(_xlfn.XLOOKUP(Pipeline_tbl[[#This Row],[Closed_Date]],Dim_Date!A:A,Dim_Date!H:H)))</f>
        <v>Oct 2024</v>
      </c>
      <c r="U1349">
        <f>IF(Pipeline_tbl[[#This Row],[Closed_Date]]=0,"",Pipeline_tbl[[#This Row],[Closed_Date]]-Pipeline_tbl[[#This Row],[Created_Date]])</f>
        <v>8</v>
      </c>
    </row>
    <row r="1350" spans="1:21" ht="15" customHeight="1" x14ac:dyDescent="0.2">
      <c r="A1350" t="s">
        <v>1656</v>
      </c>
      <c r="B1350" t="s">
        <v>237</v>
      </c>
      <c r="C1350" t="s">
        <v>52</v>
      </c>
      <c r="D1350" s="49">
        <v>45569</v>
      </c>
      <c r="E1350" s="49">
        <v>45571</v>
      </c>
      <c r="F1350" s="49">
        <v>45574</v>
      </c>
      <c r="G1350" s="49">
        <v>45578</v>
      </c>
      <c r="H1350" s="49">
        <v>45582</v>
      </c>
      <c r="I1350" s="49">
        <v>45584</v>
      </c>
      <c r="J1350" t="s">
        <v>47</v>
      </c>
      <c r="K1350" s="33">
        <v>4400</v>
      </c>
      <c r="M1350" t="str">
        <f>_xlfn.XLOOKUP(Pipeline_tbl[[#This Row],[Rep_ID]],Dim_Reps!A:A,Dim_Reps!K:K)</f>
        <v>EUR</v>
      </c>
      <c r="N1350" s="33">
        <f>(_xlfn.XLOOKUP(Pipeline_tbl[[#This Row],[Rate_Code_Generalized]],Lookups!A:A,Lookups!B:B))*Pipeline_tbl[[#This Row],[Pipeline_Amount_USD]]</f>
        <v>4400</v>
      </c>
      <c r="O1350" t="str">
        <f>_xlfn.XLOOKUP(Pipeline_tbl[[#This Row],[Rep_ID]],Dim_Reps!A:A,Dim_Reps!B:B)</f>
        <v>Hugo Santos</v>
      </c>
      <c r="P1350" t="str">
        <f>_xlfn.XLOOKUP(Pipeline_tbl[[#This Row],[Rep_ID]],Dim_Reps!A:A,Dim_Reps!C:C)</f>
        <v>SDR / Inside Sales Rep</v>
      </c>
      <c r="Q1350" t="str">
        <f>_xlfn.XLOOKUP(Pipeline_tbl[[#This Row],[Rep_ID]],Dim_Reps!A:A,Dim_Reps!D:D)</f>
        <v>Inside Sales</v>
      </c>
      <c r="R1350" t="str">
        <f>_xlfn.XLOOKUP(Pipeline_tbl[[#This Row],[Rep_ID]],Dim_Reps!A:A,Dim_Reps!E:E)</f>
        <v>EMEA</v>
      </c>
      <c r="S1350" t="str">
        <f>_xlfn.XLOOKUP(Pipeline_tbl[[#This Row],[Created_Date]],Dim_Date!A:A,Dim_Date!H:H)</f>
        <v>Oct 2024</v>
      </c>
      <c r="T1350" t="str">
        <f>IF(Pipeline_tbl[[#This Row],[Closed_Date]]=0,"",(_xlfn.XLOOKUP(Pipeline_tbl[[#This Row],[Closed_Date]],Dim_Date!A:A,Dim_Date!H:H)))</f>
        <v>Oct 2024</v>
      </c>
      <c r="U1350">
        <f>IF(Pipeline_tbl[[#This Row],[Closed_Date]]=0,"",Pipeline_tbl[[#This Row],[Closed_Date]]-Pipeline_tbl[[#This Row],[Created_Date]])</f>
        <v>15</v>
      </c>
    </row>
    <row r="1351" spans="1:21" ht="15" customHeight="1" x14ac:dyDescent="0.2">
      <c r="A1351" t="s">
        <v>1657</v>
      </c>
      <c r="B1351" t="s">
        <v>237</v>
      </c>
      <c r="C1351" t="s">
        <v>53</v>
      </c>
      <c r="D1351" s="49">
        <v>45573</v>
      </c>
      <c r="E1351" s="49">
        <v>45575</v>
      </c>
      <c r="F1351" s="49">
        <v>45578</v>
      </c>
      <c r="I1351" s="49">
        <v>45590</v>
      </c>
      <c r="J1351" t="s">
        <v>49</v>
      </c>
      <c r="K1351" s="33">
        <v>4500</v>
      </c>
      <c r="L1351" t="s">
        <v>62</v>
      </c>
      <c r="M1351" t="str">
        <f>_xlfn.XLOOKUP(Pipeline_tbl[[#This Row],[Rep_ID]],Dim_Reps!A:A,Dim_Reps!K:K)</f>
        <v>EUR</v>
      </c>
      <c r="N1351" s="33">
        <f>(_xlfn.XLOOKUP(Pipeline_tbl[[#This Row],[Rate_Code_Generalized]],Lookups!A:A,Lookups!B:B))*Pipeline_tbl[[#This Row],[Pipeline_Amount_USD]]</f>
        <v>4500</v>
      </c>
      <c r="O1351" t="str">
        <f>_xlfn.XLOOKUP(Pipeline_tbl[[#This Row],[Rep_ID]],Dim_Reps!A:A,Dim_Reps!B:B)</f>
        <v>Hugo Santos</v>
      </c>
      <c r="P1351" t="str">
        <f>_xlfn.XLOOKUP(Pipeline_tbl[[#This Row],[Rep_ID]],Dim_Reps!A:A,Dim_Reps!C:C)</f>
        <v>SDR / Inside Sales Rep</v>
      </c>
      <c r="Q1351" t="str">
        <f>_xlfn.XLOOKUP(Pipeline_tbl[[#This Row],[Rep_ID]],Dim_Reps!A:A,Dim_Reps!D:D)</f>
        <v>Inside Sales</v>
      </c>
      <c r="R1351" t="str">
        <f>_xlfn.XLOOKUP(Pipeline_tbl[[#This Row],[Rep_ID]],Dim_Reps!A:A,Dim_Reps!E:E)</f>
        <v>EMEA</v>
      </c>
      <c r="S1351" t="str">
        <f>_xlfn.XLOOKUP(Pipeline_tbl[[#This Row],[Created_Date]],Dim_Date!A:A,Dim_Date!H:H)</f>
        <v>Oct 2024</v>
      </c>
      <c r="T1351" t="str">
        <f>IF(Pipeline_tbl[[#This Row],[Closed_Date]]=0,"",(_xlfn.XLOOKUP(Pipeline_tbl[[#This Row],[Closed_Date]],Dim_Date!A:A,Dim_Date!H:H)))</f>
        <v>Oct 2024</v>
      </c>
      <c r="U1351">
        <f>IF(Pipeline_tbl[[#This Row],[Closed_Date]]=0,"",Pipeline_tbl[[#This Row],[Closed_Date]]-Pipeline_tbl[[#This Row],[Created_Date]])</f>
        <v>17</v>
      </c>
    </row>
    <row r="1352" spans="1:21" ht="15" customHeight="1" x14ac:dyDescent="0.2">
      <c r="A1352" t="s">
        <v>1658</v>
      </c>
      <c r="B1352" t="s">
        <v>241</v>
      </c>
      <c r="C1352" t="s">
        <v>55</v>
      </c>
      <c r="D1352" s="49">
        <v>45569</v>
      </c>
      <c r="E1352" s="49">
        <v>45571</v>
      </c>
      <c r="F1352" s="49">
        <v>45574</v>
      </c>
      <c r="G1352" s="49">
        <v>45579</v>
      </c>
      <c r="I1352" s="49">
        <v>45586</v>
      </c>
      <c r="J1352" t="s">
        <v>49</v>
      </c>
      <c r="K1352" s="33">
        <v>3000</v>
      </c>
      <c r="L1352" t="s">
        <v>62</v>
      </c>
      <c r="M1352" t="str">
        <f>_xlfn.XLOOKUP(Pipeline_tbl[[#This Row],[Rep_ID]],Dim_Reps!A:A,Dim_Reps!K:K)</f>
        <v>EUR</v>
      </c>
      <c r="N1352" s="33">
        <f>(_xlfn.XLOOKUP(Pipeline_tbl[[#This Row],[Rate_Code_Generalized]],Lookups!A:A,Lookups!B:B))*Pipeline_tbl[[#This Row],[Pipeline_Amount_USD]]</f>
        <v>3000</v>
      </c>
      <c r="O1352" t="str">
        <f>_xlfn.XLOOKUP(Pipeline_tbl[[#This Row],[Rep_ID]],Dim_Reps!A:A,Dim_Reps!B:B)</f>
        <v>Kenji Weber</v>
      </c>
      <c r="P1352" t="str">
        <f>_xlfn.XLOOKUP(Pipeline_tbl[[#This Row],[Rep_ID]],Dim_Reps!A:A,Dim_Reps!C:C)</f>
        <v>SDR / Inside Sales Rep</v>
      </c>
      <c r="Q1352" t="str">
        <f>_xlfn.XLOOKUP(Pipeline_tbl[[#This Row],[Rep_ID]],Dim_Reps!A:A,Dim_Reps!D:D)</f>
        <v>Inside Sales</v>
      </c>
      <c r="R1352" t="str">
        <f>_xlfn.XLOOKUP(Pipeline_tbl[[#This Row],[Rep_ID]],Dim_Reps!A:A,Dim_Reps!E:E)</f>
        <v>APAC</v>
      </c>
      <c r="S1352" t="str">
        <f>_xlfn.XLOOKUP(Pipeline_tbl[[#This Row],[Created_Date]],Dim_Date!A:A,Dim_Date!H:H)</f>
        <v>Oct 2024</v>
      </c>
      <c r="T1352" t="str">
        <f>IF(Pipeline_tbl[[#This Row],[Closed_Date]]=0,"",(_xlfn.XLOOKUP(Pipeline_tbl[[#This Row],[Closed_Date]],Dim_Date!A:A,Dim_Date!H:H)))</f>
        <v>Oct 2024</v>
      </c>
      <c r="U1352">
        <f>IF(Pipeline_tbl[[#This Row],[Closed_Date]]=0,"",Pipeline_tbl[[#This Row],[Closed_Date]]-Pipeline_tbl[[#This Row],[Created_Date]])</f>
        <v>17</v>
      </c>
    </row>
    <row r="1353" spans="1:21" ht="15" customHeight="1" x14ac:dyDescent="0.2">
      <c r="A1353" t="s">
        <v>1659</v>
      </c>
      <c r="B1353" t="s">
        <v>241</v>
      </c>
      <c r="C1353" t="s">
        <v>52</v>
      </c>
      <c r="D1353" s="49">
        <v>45566</v>
      </c>
      <c r="E1353" s="49">
        <v>45567</v>
      </c>
      <c r="F1353" s="49">
        <v>45569</v>
      </c>
      <c r="G1353" s="49">
        <v>45571</v>
      </c>
      <c r="I1353" s="49">
        <v>45575</v>
      </c>
      <c r="J1353" t="s">
        <v>49</v>
      </c>
      <c r="K1353" s="33">
        <v>2100</v>
      </c>
      <c r="L1353" t="s">
        <v>60</v>
      </c>
      <c r="M1353" t="str">
        <f>_xlfn.XLOOKUP(Pipeline_tbl[[#This Row],[Rep_ID]],Dim_Reps!A:A,Dim_Reps!K:K)</f>
        <v>EUR</v>
      </c>
      <c r="N1353" s="33">
        <f>(_xlfn.XLOOKUP(Pipeline_tbl[[#This Row],[Rate_Code_Generalized]],Lookups!A:A,Lookups!B:B))*Pipeline_tbl[[#This Row],[Pipeline_Amount_USD]]</f>
        <v>2100</v>
      </c>
      <c r="O1353" t="str">
        <f>_xlfn.XLOOKUP(Pipeline_tbl[[#This Row],[Rep_ID]],Dim_Reps!A:A,Dim_Reps!B:B)</f>
        <v>Kenji Weber</v>
      </c>
      <c r="P1353" t="str">
        <f>_xlfn.XLOOKUP(Pipeline_tbl[[#This Row],[Rep_ID]],Dim_Reps!A:A,Dim_Reps!C:C)</f>
        <v>SDR / Inside Sales Rep</v>
      </c>
      <c r="Q1353" t="str">
        <f>_xlfn.XLOOKUP(Pipeline_tbl[[#This Row],[Rep_ID]],Dim_Reps!A:A,Dim_Reps!D:D)</f>
        <v>Inside Sales</v>
      </c>
      <c r="R1353" t="str">
        <f>_xlfn.XLOOKUP(Pipeline_tbl[[#This Row],[Rep_ID]],Dim_Reps!A:A,Dim_Reps!E:E)</f>
        <v>APAC</v>
      </c>
      <c r="S1353" t="str">
        <f>_xlfn.XLOOKUP(Pipeline_tbl[[#This Row],[Created_Date]],Dim_Date!A:A,Dim_Date!H:H)</f>
        <v>Oct 2024</v>
      </c>
      <c r="T1353" t="str">
        <f>IF(Pipeline_tbl[[#This Row],[Closed_Date]]=0,"",(_xlfn.XLOOKUP(Pipeline_tbl[[#This Row],[Closed_Date]],Dim_Date!A:A,Dim_Date!H:H)))</f>
        <v>Oct 2024</v>
      </c>
      <c r="U1353">
        <f>IF(Pipeline_tbl[[#This Row],[Closed_Date]]=0,"",Pipeline_tbl[[#This Row],[Closed_Date]]-Pipeline_tbl[[#This Row],[Created_Date]])</f>
        <v>9</v>
      </c>
    </row>
    <row r="1354" spans="1:21" ht="15" customHeight="1" x14ac:dyDescent="0.2">
      <c r="A1354" t="s">
        <v>1660</v>
      </c>
      <c r="B1354" t="s">
        <v>241</v>
      </c>
      <c r="C1354" t="s">
        <v>53</v>
      </c>
      <c r="D1354" s="49">
        <v>45568</v>
      </c>
      <c r="E1354" s="49">
        <v>45570</v>
      </c>
      <c r="I1354" s="49">
        <v>45584</v>
      </c>
      <c r="J1354" t="s">
        <v>49</v>
      </c>
      <c r="K1354" s="33">
        <v>6800</v>
      </c>
      <c r="L1354" t="s">
        <v>61</v>
      </c>
      <c r="M1354" t="str">
        <f>_xlfn.XLOOKUP(Pipeline_tbl[[#This Row],[Rep_ID]],Dim_Reps!A:A,Dim_Reps!K:K)</f>
        <v>EUR</v>
      </c>
      <c r="N1354" s="33">
        <f>(_xlfn.XLOOKUP(Pipeline_tbl[[#This Row],[Rate_Code_Generalized]],Lookups!A:A,Lookups!B:B))*Pipeline_tbl[[#This Row],[Pipeline_Amount_USD]]</f>
        <v>6800</v>
      </c>
      <c r="O1354" t="str">
        <f>_xlfn.XLOOKUP(Pipeline_tbl[[#This Row],[Rep_ID]],Dim_Reps!A:A,Dim_Reps!B:B)</f>
        <v>Kenji Weber</v>
      </c>
      <c r="P1354" t="str">
        <f>_xlfn.XLOOKUP(Pipeline_tbl[[#This Row],[Rep_ID]],Dim_Reps!A:A,Dim_Reps!C:C)</f>
        <v>SDR / Inside Sales Rep</v>
      </c>
      <c r="Q1354" t="str">
        <f>_xlfn.XLOOKUP(Pipeline_tbl[[#This Row],[Rep_ID]],Dim_Reps!A:A,Dim_Reps!D:D)</f>
        <v>Inside Sales</v>
      </c>
      <c r="R1354" t="str">
        <f>_xlfn.XLOOKUP(Pipeline_tbl[[#This Row],[Rep_ID]],Dim_Reps!A:A,Dim_Reps!E:E)</f>
        <v>APAC</v>
      </c>
      <c r="S1354" t="str">
        <f>_xlfn.XLOOKUP(Pipeline_tbl[[#This Row],[Created_Date]],Dim_Date!A:A,Dim_Date!H:H)</f>
        <v>Oct 2024</v>
      </c>
      <c r="T1354" t="str">
        <f>IF(Pipeline_tbl[[#This Row],[Closed_Date]]=0,"",(_xlfn.XLOOKUP(Pipeline_tbl[[#This Row],[Closed_Date]],Dim_Date!A:A,Dim_Date!H:H)))</f>
        <v>Oct 2024</v>
      </c>
      <c r="U1354">
        <f>IF(Pipeline_tbl[[#This Row],[Closed_Date]]=0,"",Pipeline_tbl[[#This Row],[Closed_Date]]-Pipeline_tbl[[#This Row],[Created_Date]])</f>
        <v>16</v>
      </c>
    </row>
    <row r="1355" spans="1:21" ht="15" customHeight="1" x14ac:dyDescent="0.2">
      <c r="A1355" t="s">
        <v>1661</v>
      </c>
      <c r="B1355" t="s">
        <v>241</v>
      </c>
      <c r="C1355" t="s">
        <v>55</v>
      </c>
      <c r="D1355" s="49">
        <v>45567</v>
      </c>
      <c r="E1355" s="49">
        <v>45569</v>
      </c>
      <c r="F1355" s="49">
        <v>45574</v>
      </c>
      <c r="G1355" s="49">
        <v>45581</v>
      </c>
      <c r="H1355" s="49">
        <v>45587</v>
      </c>
      <c r="I1355" s="49">
        <v>45590</v>
      </c>
      <c r="J1355" t="s">
        <v>47</v>
      </c>
      <c r="K1355" s="33">
        <v>5800</v>
      </c>
      <c r="M1355" t="str">
        <f>_xlfn.XLOOKUP(Pipeline_tbl[[#This Row],[Rep_ID]],Dim_Reps!A:A,Dim_Reps!K:K)</f>
        <v>EUR</v>
      </c>
      <c r="N1355" s="33">
        <f>(_xlfn.XLOOKUP(Pipeline_tbl[[#This Row],[Rate_Code_Generalized]],Lookups!A:A,Lookups!B:B))*Pipeline_tbl[[#This Row],[Pipeline_Amount_USD]]</f>
        <v>5800</v>
      </c>
      <c r="O1355" t="str">
        <f>_xlfn.XLOOKUP(Pipeline_tbl[[#This Row],[Rep_ID]],Dim_Reps!A:A,Dim_Reps!B:B)</f>
        <v>Kenji Weber</v>
      </c>
      <c r="P1355" t="str">
        <f>_xlfn.XLOOKUP(Pipeline_tbl[[#This Row],[Rep_ID]],Dim_Reps!A:A,Dim_Reps!C:C)</f>
        <v>SDR / Inside Sales Rep</v>
      </c>
      <c r="Q1355" t="str">
        <f>_xlfn.XLOOKUP(Pipeline_tbl[[#This Row],[Rep_ID]],Dim_Reps!A:A,Dim_Reps!D:D)</f>
        <v>Inside Sales</v>
      </c>
      <c r="R1355" t="str">
        <f>_xlfn.XLOOKUP(Pipeline_tbl[[#This Row],[Rep_ID]],Dim_Reps!A:A,Dim_Reps!E:E)</f>
        <v>APAC</v>
      </c>
      <c r="S1355" t="str">
        <f>_xlfn.XLOOKUP(Pipeline_tbl[[#This Row],[Created_Date]],Dim_Date!A:A,Dim_Date!H:H)</f>
        <v>Oct 2024</v>
      </c>
      <c r="T1355" t="str">
        <f>IF(Pipeline_tbl[[#This Row],[Closed_Date]]=0,"",(_xlfn.XLOOKUP(Pipeline_tbl[[#This Row],[Closed_Date]],Dim_Date!A:A,Dim_Date!H:H)))</f>
        <v>Oct 2024</v>
      </c>
      <c r="U1355">
        <f>IF(Pipeline_tbl[[#This Row],[Closed_Date]]=0,"",Pipeline_tbl[[#This Row],[Closed_Date]]-Pipeline_tbl[[#This Row],[Created_Date]])</f>
        <v>23</v>
      </c>
    </row>
    <row r="1356" spans="1:21" ht="15" customHeight="1" x14ac:dyDescent="0.2">
      <c r="A1356" t="s">
        <v>1662</v>
      </c>
      <c r="B1356" t="s">
        <v>241</v>
      </c>
      <c r="C1356" t="s">
        <v>52</v>
      </c>
      <c r="D1356" s="49">
        <v>45568</v>
      </c>
      <c r="E1356" s="49">
        <v>45569</v>
      </c>
      <c r="I1356" s="49">
        <v>45582</v>
      </c>
      <c r="J1356" t="s">
        <v>49</v>
      </c>
      <c r="K1356" s="33">
        <v>5200</v>
      </c>
      <c r="L1356" t="s">
        <v>60</v>
      </c>
      <c r="M1356" t="str">
        <f>_xlfn.XLOOKUP(Pipeline_tbl[[#This Row],[Rep_ID]],Dim_Reps!A:A,Dim_Reps!K:K)</f>
        <v>EUR</v>
      </c>
      <c r="N1356" s="33">
        <f>(_xlfn.XLOOKUP(Pipeline_tbl[[#This Row],[Rate_Code_Generalized]],Lookups!A:A,Lookups!B:B))*Pipeline_tbl[[#This Row],[Pipeline_Amount_USD]]</f>
        <v>5200</v>
      </c>
      <c r="O1356" t="str">
        <f>_xlfn.XLOOKUP(Pipeline_tbl[[#This Row],[Rep_ID]],Dim_Reps!A:A,Dim_Reps!B:B)</f>
        <v>Kenji Weber</v>
      </c>
      <c r="P1356" t="str">
        <f>_xlfn.XLOOKUP(Pipeline_tbl[[#This Row],[Rep_ID]],Dim_Reps!A:A,Dim_Reps!C:C)</f>
        <v>SDR / Inside Sales Rep</v>
      </c>
      <c r="Q1356" t="str">
        <f>_xlfn.XLOOKUP(Pipeline_tbl[[#This Row],[Rep_ID]],Dim_Reps!A:A,Dim_Reps!D:D)</f>
        <v>Inside Sales</v>
      </c>
      <c r="R1356" t="str">
        <f>_xlfn.XLOOKUP(Pipeline_tbl[[#This Row],[Rep_ID]],Dim_Reps!A:A,Dim_Reps!E:E)</f>
        <v>APAC</v>
      </c>
      <c r="S1356" t="str">
        <f>_xlfn.XLOOKUP(Pipeline_tbl[[#This Row],[Created_Date]],Dim_Date!A:A,Dim_Date!H:H)</f>
        <v>Oct 2024</v>
      </c>
      <c r="T1356" t="str">
        <f>IF(Pipeline_tbl[[#This Row],[Closed_Date]]=0,"",(_xlfn.XLOOKUP(Pipeline_tbl[[#This Row],[Closed_Date]],Dim_Date!A:A,Dim_Date!H:H)))</f>
        <v>Oct 2024</v>
      </c>
      <c r="U1356">
        <f>IF(Pipeline_tbl[[#This Row],[Closed_Date]]=0,"",Pipeline_tbl[[#This Row],[Closed_Date]]-Pipeline_tbl[[#This Row],[Created_Date]])</f>
        <v>14</v>
      </c>
    </row>
    <row r="1357" spans="1:21" ht="15" customHeight="1" x14ac:dyDescent="0.2">
      <c r="A1357" t="s">
        <v>1663</v>
      </c>
      <c r="B1357" t="s">
        <v>275</v>
      </c>
      <c r="C1357" t="s">
        <v>52</v>
      </c>
      <c r="D1357" s="49">
        <v>45990</v>
      </c>
      <c r="E1357" s="49">
        <v>45994</v>
      </c>
      <c r="F1357" s="49">
        <v>46003</v>
      </c>
      <c r="G1357" s="49">
        <v>46016</v>
      </c>
      <c r="J1357" t="s">
        <v>308</v>
      </c>
      <c r="K1357" s="33">
        <v>52500</v>
      </c>
      <c r="M1357" t="str">
        <f>_xlfn.XLOOKUP(Pipeline_tbl[[#This Row],[Rep_ID]],Dim_Reps!A:A,Dim_Reps!K:K)</f>
        <v>USD</v>
      </c>
      <c r="N1357" s="33">
        <f>(_xlfn.XLOOKUP(Pipeline_tbl[[#This Row],[Rate_Code_Generalized]],Lookups!A:A,Lookups!B:B))*Pipeline_tbl[[#This Row],[Pipeline_Amount_USD]]</f>
        <v>61125.749999999993</v>
      </c>
      <c r="O1357" t="str">
        <f>_xlfn.XLOOKUP(Pipeline_tbl[[#This Row],[Rep_ID]],Dim_Reps!A:A,Dim_Reps!B:B)</f>
        <v>Sana Rossi</v>
      </c>
      <c r="P1357" t="str">
        <f>_xlfn.XLOOKUP(Pipeline_tbl[[#This Row],[Rep_ID]],Dim_Reps!A:A,Dim_Reps!C:C)</f>
        <v>Senior Enterprise AE</v>
      </c>
      <c r="Q1357" t="str">
        <f>_xlfn.XLOOKUP(Pipeline_tbl[[#This Row],[Rep_ID]],Dim_Reps!A:A,Dim_Reps!D:D)</f>
        <v>Strategic</v>
      </c>
      <c r="R1357" t="str">
        <f>_xlfn.XLOOKUP(Pipeline_tbl[[#This Row],[Rep_ID]],Dim_Reps!A:A,Dim_Reps!E:E)</f>
        <v>NAMER</v>
      </c>
      <c r="S1357" t="str">
        <f>_xlfn.XLOOKUP(Pipeline_tbl[[#This Row],[Created_Date]],Dim_Date!A:A,Dim_Date!H:H)</f>
        <v>Nov 2025</v>
      </c>
      <c r="T1357" t="str">
        <f>IF(Pipeline_tbl[[#This Row],[Closed_Date]]=0,"",(_xlfn.XLOOKUP(Pipeline_tbl[[#This Row],[Closed_Date]],Dim_Date!A:A,Dim_Date!H:H)))</f>
        <v/>
      </c>
      <c r="U1357" t="str">
        <f>IF(Pipeline_tbl[[#This Row],[Closed_Date]]=0,"",Pipeline_tbl[[#This Row],[Closed_Date]]-Pipeline_tbl[[#This Row],[Created_Date]])</f>
        <v/>
      </c>
    </row>
    <row r="1358" spans="1:21" ht="15" customHeight="1" x14ac:dyDescent="0.2">
      <c r="A1358" t="s">
        <v>1664</v>
      </c>
      <c r="B1358" t="s">
        <v>275</v>
      </c>
      <c r="C1358" t="s">
        <v>54</v>
      </c>
      <c r="D1358" s="49">
        <v>45971</v>
      </c>
      <c r="E1358" s="49">
        <v>45979</v>
      </c>
      <c r="F1358" s="49">
        <v>45996</v>
      </c>
      <c r="G1358" s="49">
        <v>46021</v>
      </c>
      <c r="J1358" t="s">
        <v>308</v>
      </c>
      <c r="K1358" s="33">
        <v>40200</v>
      </c>
      <c r="M1358" t="str">
        <f>_xlfn.XLOOKUP(Pipeline_tbl[[#This Row],[Rep_ID]],Dim_Reps!A:A,Dim_Reps!K:K)</f>
        <v>USD</v>
      </c>
      <c r="N1358" s="33">
        <f>(_xlfn.XLOOKUP(Pipeline_tbl[[#This Row],[Rate_Code_Generalized]],Lookups!A:A,Lookups!B:B))*Pipeline_tbl[[#This Row],[Pipeline_Amount_USD]]</f>
        <v>46804.859999999993</v>
      </c>
      <c r="O1358" t="str">
        <f>_xlfn.XLOOKUP(Pipeline_tbl[[#This Row],[Rep_ID]],Dim_Reps!A:A,Dim_Reps!B:B)</f>
        <v>Sana Rossi</v>
      </c>
      <c r="P1358" t="str">
        <f>_xlfn.XLOOKUP(Pipeline_tbl[[#This Row],[Rep_ID]],Dim_Reps!A:A,Dim_Reps!C:C)</f>
        <v>Senior Enterprise AE</v>
      </c>
      <c r="Q1358" t="str">
        <f>_xlfn.XLOOKUP(Pipeline_tbl[[#This Row],[Rep_ID]],Dim_Reps!A:A,Dim_Reps!D:D)</f>
        <v>Strategic</v>
      </c>
      <c r="R1358" t="str">
        <f>_xlfn.XLOOKUP(Pipeline_tbl[[#This Row],[Rep_ID]],Dim_Reps!A:A,Dim_Reps!E:E)</f>
        <v>NAMER</v>
      </c>
      <c r="S1358" t="str">
        <f>_xlfn.XLOOKUP(Pipeline_tbl[[#This Row],[Created_Date]],Dim_Date!A:A,Dim_Date!H:H)</f>
        <v>Nov 2025</v>
      </c>
      <c r="T1358" t="str">
        <f>IF(Pipeline_tbl[[#This Row],[Closed_Date]]=0,"",(_xlfn.XLOOKUP(Pipeline_tbl[[#This Row],[Closed_Date]],Dim_Date!A:A,Dim_Date!H:H)))</f>
        <v/>
      </c>
      <c r="U1358" t="str">
        <f>IF(Pipeline_tbl[[#This Row],[Closed_Date]]=0,"",Pipeline_tbl[[#This Row],[Closed_Date]]-Pipeline_tbl[[#This Row],[Created_Date]])</f>
        <v/>
      </c>
    </row>
    <row r="1359" spans="1:21" ht="15" customHeight="1" x14ac:dyDescent="0.2">
      <c r="A1359" t="s">
        <v>1665</v>
      </c>
      <c r="B1359" t="s">
        <v>275</v>
      </c>
      <c r="C1359" t="s">
        <v>56</v>
      </c>
      <c r="D1359" s="49">
        <v>45978</v>
      </c>
      <c r="E1359" s="49">
        <v>45987</v>
      </c>
      <c r="F1359" s="49">
        <v>46005</v>
      </c>
      <c r="J1359" t="s">
        <v>308</v>
      </c>
      <c r="K1359" s="33">
        <v>55500</v>
      </c>
      <c r="M1359" t="str">
        <f>_xlfn.XLOOKUP(Pipeline_tbl[[#This Row],[Rep_ID]],Dim_Reps!A:A,Dim_Reps!K:K)</f>
        <v>USD</v>
      </c>
      <c r="N1359" s="33">
        <f>(_xlfn.XLOOKUP(Pipeline_tbl[[#This Row],[Rate_Code_Generalized]],Lookups!A:A,Lookups!B:B))*Pipeline_tbl[[#This Row],[Pipeline_Amount_USD]]</f>
        <v>64618.649999999994</v>
      </c>
      <c r="O1359" t="str">
        <f>_xlfn.XLOOKUP(Pipeline_tbl[[#This Row],[Rep_ID]],Dim_Reps!A:A,Dim_Reps!B:B)</f>
        <v>Sana Rossi</v>
      </c>
      <c r="P1359" t="str">
        <f>_xlfn.XLOOKUP(Pipeline_tbl[[#This Row],[Rep_ID]],Dim_Reps!A:A,Dim_Reps!C:C)</f>
        <v>Senior Enterprise AE</v>
      </c>
      <c r="Q1359" t="str">
        <f>_xlfn.XLOOKUP(Pipeline_tbl[[#This Row],[Rep_ID]],Dim_Reps!A:A,Dim_Reps!D:D)</f>
        <v>Strategic</v>
      </c>
      <c r="R1359" t="str">
        <f>_xlfn.XLOOKUP(Pipeline_tbl[[#This Row],[Rep_ID]],Dim_Reps!A:A,Dim_Reps!E:E)</f>
        <v>NAMER</v>
      </c>
      <c r="S1359" t="str">
        <f>_xlfn.XLOOKUP(Pipeline_tbl[[#This Row],[Created_Date]],Dim_Date!A:A,Dim_Date!H:H)</f>
        <v>Nov 2025</v>
      </c>
      <c r="T1359" t="str">
        <f>IF(Pipeline_tbl[[#This Row],[Closed_Date]]=0,"",(_xlfn.XLOOKUP(Pipeline_tbl[[#This Row],[Closed_Date]],Dim_Date!A:A,Dim_Date!H:H)))</f>
        <v/>
      </c>
      <c r="U1359" t="str">
        <f>IF(Pipeline_tbl[[#This Row],[Closed_Date]]=0,"",Pipeline_tbl[[#This Row],[Closed_Date]]-Pipeline_tbl[[#This Row],[Created_Date]])</f>
        <v/>
      </c>
    </row>
    <row r="1360" spans="1:21" ht="15" customHeight="1" x14ac:dyDescent="0.2">
      <c r="A1360" t="s">
        <v>1666</v>
      </c>
      <c r="B1360" t="s">
        <v>177</v>
      </c>
      <c r="C1360" t="s">
        <v>55</v>
      </c>
      <c r="D1360" s="49">
        <v>45971</v>
      </c>
      <c r="E1360" s="49">
        <v>45977</v>
      </c>
      <c r="F1360" s="49">
        <v>45991</v>
      </c>
      <c r="G1360" s="49">
        <v>46010</v>
      </c>
      <c r="J1360" t="s">
        <v>308</v>
      </c>
      <c r="K1360" s="33">
        <v>9900</v>
      </c>
      <c r="M1360" t="str">
        <f>_xlfn.XLOOKUP(Pipeline_tbl[[#This Row],[Rep_ID]],Dim_Reps!A:A,Dim_Reps!K:K)</f>
        <v>USD</v>
      </c>
      <c r="N1360" s="33">
        <f>(_xlfn.XLOOKUP(Pipeline_tbl[[#This Row],[Rate_Code_Generalized]],Lookups!A:A,Lookups!B:B))*Pipeline_tbl[[#This Row],[Pipeline_Amount_USD]]</f>
        <v>11526.57</v>
      </c>
      <c r="O1360" t="str">
        <f>_xlfn.XLOOKUP(Pipeline_tbl[[#This Row],[Rep_ID]],Dim_Reps!A:A,Dim_Reps!B:B)</f>
        <v>Lucas Cohen</v>
      </c>
      <c r="P1360" t="str">
        <f>_xlfn.XLOOKUP(Pipeline_tbl[[#This Row],[Rep_ID]],Dim_Reps!A:A,Dim_Reps!C:C)</f>
        <v>Enterprise AE</v>
      </c>
      <c r="Q1360" t="str">
        <f>_xlfn.XLOOKUP(Pipeline_tbl[[#This Row],[Rep_ID]],Dim_Reps!A:A,Dim_Reps!D:D)</f>
        <v>Enterprise</v>
      </c>
      <c r="R1360" t="str">
        <f>_xlfn.XLOOKUP(Pipeline_tbl[[#This Row],[Rep_ID]],Dim_Reps!A:A,Dim_Reps!E:E)</f>
        <v>NAMER</v>
      </c>
      <c r="S1360" t="str">
        <f>_xlfn.XLOOKUP(Pipeline_tbl[[#This Row],[Created_Date]],Dim_Date!A:A,Dim_Date!H:H)</f>
        <v>Nov 2025</v>
      </c>
      <c r="T1360" t="str">
        <f>IF(Pipeline_tbl[[#This Row],[Closed_Date]]=0,"",(_xlfn.XLOOKUP(Pipeline_tbl[[#This Row],[Closed_Date]],Dim_Date!A:A,Dim_Date!H:H)))</f>
        <v/>
      </c>
      <c r="U1360" t="str">
        <f>IF(Pipeline_tbl[[#This Row],[Closed_Date]]=0,"",Pipeline_tbl[[#This Row],[Closed_Date]]-Pipeline_tbl[[#This Row],[Created_Date]])</f>
        <v/>
      </c>
    </row>
    <row r="1361" spans="1:21" ht="15" customHeight="1" x14ac:dyDescent="0.2">
      <c r="A1361" t="s">
        <v>1667</v>
      </c>
      <c r="B1361" t="s">
        <v>177</v>
      </c>
      <c r="C1361" t="s">
        <v>55</v>
      </c>
      <c r="D1361" s="49">
        <v>45974</v>
      </c>
      <c r="E1361" s="49">
        <v>45982</v>
      </c>
      <c r="F1361" s="49">
        <v>45998</v>
      </c>
      <c r="G1361" s="49">
        <v>46021</v>
      </c>
      <c r="J1361" t="s">
        <v>308</v>
      </c>
      <c r="K1361" s="33">
        <v>25800</v>
      </c>
      <c r="M1361" t="str">
        <f>_xlfn.XLOOKUP(Pipeline_tbl[[#This Row],[Rep_ID]],Dim_Reps!A:A,Dim_Reps!K:K)</f>
        <v>USD</v>
      </c>
      <c r="N1361" s="33">
        <f>(_xlfn.XLOOKUP(Pipeline_tbl[[#This Row],[Rate_Code_Generalized]],Lookups!A:A,Lookups!B:B))*Pipeline_tbl[[#This Row],[Pipeline_Amount_USD]]</f>
        <v>30038.94</v>
      </c>
      <c r="O1361" t="str">
        <f>_xlfn.XLOOKUP(Pipeline_tbl[[#This Row],[Rep_ID]],Dim_Reps!A:A,Dim_Reps!B:B)</f>
        <v>Lucas Cohen</v>
      </c>
      <c r="P1361" t="str">
        <f>_xlfn.XLOOKUP(Pipeline_tbl[[#This Row],[Rep_ID]],Dim_Reps!A:A,Dim_Reps!C:C)</f>
        <v>Enterprise AE</v>
      </c>
      <c r="Q1361" t="str">
        <f>_xlfn.XLOOKUP(Pipeline_tbl[[#This Row],[Rep_ID]],Dim_Reps!A:A,Dim_Reps!D:D)</f>
        <v>Enterprise</v>
      </c>
      <c r="R1361" t="str">
        <f>_xlfn.XLOOKUP(Pipeline_tbl[[#This Row],[Rep_ID]],Dim_Reps!A:A,Dim_Reps!E:E)</f>
        <v>NAMER</v>
      </c>
      <c r="S1361" t="str">
        <f>_xlfn.XLOOKUP(Pipeline_tbl[[#This Row],[Created_Date]],Dim_Date!A:A,Dim_Date!H:H)</f>
        <v>Nov 2025</v>
      </c>
      <c r="T1361" t="str">
        <f>IF(Pipeline_tbl[[#This Row],[Closed_Date]]=0,"",(_xlfn.XLOOKUP(Pipeline_tbl[[#This Row],[Closed_Date]],Dim_Date!A:A,Dim_Date!H:H)))</f>
        <v/>
      </c>
      <c r="U1361" t="str">
        <f>IF(Pipeline_tbl[[#This Row],[Closed_Date]]=0,"",Pipeline_tbl[[#This Row],[Closed_Date]]-Pipeline_tbl[[#This Row],[Created_Date]])</f>
        <v/>
      </c>
    </row>
    <row r="1362" spans="1:21" ht="15" customHeight="1" x14ac:dyDescent="0.2">
      <c r="A1362" t="s">
        <v>1668</v>
      </c>
      <c r="B1362" t="s">
        <v>177</v>
      </c>
      <c r="C1362" t="s">
        <v>54</v>
      </c>
      <c r="D1362" s="49">
        <v>45979</v>
      </c>
      <c r="E1362" s="49">
        <v>45987</v>
      </c>
      <c r="F1362" s="49">
        <v>46004</v>
      </c>
      <c r="J1362" t="s">
        <v>308</v>
      </c>
      <c r="K1362" s="33">
        <v>43500</v>
      </c>
      <c r="M1362" t="str">
        <f>_xlfn.XLOOKUP(Pipeline_tbl[[#This Row],[Rep_ID]],Dim_Reps!A:A,Dim_Reps!K:K)</f>
        <v>USD</v>
      </c>
      <c r="N1362" s="33">
        <f>(_xlfn.XLOOKUP(Pipeline_tbl[[#This Row],[Rate_Code_Generalized]],Lookups!A:A,Lookups!B:B))*Pipeline_tbl[[#This Row],[Pipeline_Amount_USD]]</f>
        <v>50647.049999999996</v>
      </c>
      <c r="O1362" t="str">
        <f>_xlfn.XLOOKUP(Pipeline_tbl[[#This Row],[Rep_ID]],Dim_Reps!A:A,Dim_Reps!B:B)</f>
        <v>Lucas Cohen</v>
      </c>
      <c r="P1362" t="str">
        <f>_xlfn.XLOOKUP(Pipeline_tbl[[#This Row],[Rep_ID]],Dim_Reps!A:A,Dim_Reps!C:C)</f>
        <v>Enterprise AE</v>
      </c>
      <c r="Q1362" t="str">
        <f>_xlfn.XLOOKUP(Pipeline_tbl[[#This Row],[Rep_ID]],Dim_Reps!A:A,Dim_Reps!D:D)</f>
        <v>Enterprise</v>
      </c>
      <c r="R1362" t="str">
        <f>_xlfn.XLOOKUP(Pipeline_tbl[[#This Row],[Rep_ID]],Dim_Reps!A:A,Dim_Reps!E:E)</f>
        <v>NAMER</v>
      </c>
      <c r="S1362" t="str">
        <f>_xlfn.XLOOKUP(Pipeline_tbl[[#This Row],[Created_Date]],Dim_Date!A:A,Dim_Date!H:H)</f>
        <v>Nov 2025</v>
      </c>
      <c r="T1362" t="str">
        <f>IF(Pipeline_tbl[[#This Row],[Closed_Date]]=0,"",(_xlfn.XLOOKUP(Pipeline_tbl[[#This Row],[Closed_Date]],Dim_Date!A:A,Dim_Date!H:H)))</f>
        <v/>
      </c>
      <c r="U1362" t="str">
        <f>IF(Pipeline_tbl[[#This Row],[Closed_Date]]=0,"",Pipeline_tbl[[#This Row],[Closed_Date]]-Pipeline_tbl[[#This Row],[Created_Date]])</f>
        <v/>
      </c>
    </row>
    <row r="1363" spans="1:21" ht="15" customHeight="1" x14ac:dyDescent="0.2">
      <c r="A1363" t="s">
        <v>1669</v>
      </c>
      <c r="B1363" t="s">
        <v>177</v>
      </c>
      <c r="C1363" t="s">
        <v>52</v>
      </c>
      <c r="D1363" s="49">
        <v>45988</v>
      </c>
      <c r="E1363" s="49">
        <v>45996</v>
      </c>
      <c r="F1363" s="49">
        <v>46012</v>
      </c>
      <c r="J1363" t="s">
        <v>308</v>
      </c>
      <c r="K1363" s="33">
        <v>33600</v>
      </c>
      <c r="M1363" t="str">
        <f>_xlfn.XLOOKUP(Pipeline_tbl[[#This Row],[Rep_ID]],Dim_Reps!A:A,Dim_Reps!K:K)</f>
        <v>USD</v>
      </c>
      <c r="N1363" s="33">
        <f>(_xlfn.XLOOKUP(Pipeline_tbl[[#This Row],[Rate_Code_Generalized]],Lookups!A:A,Lookups!B:B))*Pipeline_tbl[[#This Row],[Pipeline_Amount_USD]]</f>
        <v>39120.479999999996</v>
      </c>
      <c r="O1363" t="str">
        <f>_xlfn.XLOOKUP(Pipeline_tbl[[#This Row],[Rep_ID]],Dim_Reps!A:A,Dim_Reps!B:B)</f>
        <v>Lucas Cohen</v>
      </c>
      <c r="P1363" t="str">
        <f>_xlfn.XLOOKUP(Pipeline_tbl[[#This Row],[Rep_ID]],Dim_Reps!A:A,Dim_Reps!C:C)</f>
        <v>Enterprise AE</v>
      </c>
      <c r="Q1363" t="str">
        <f>_xlfn.XLOOKUP(Pipeline_tbl[[#This Row],[Rep_ID]],Dim_Reps!A:A,Dim_Reps!D:D)</f>
        <v>Enterprise</v>
      </c>
      <c r="R1363" t="str">
        <f>_xlfn.XLOOKUP(Pipeline_tbl[[#This Row],[Rep_ID]],Dim_Reps!A:A,Dim_Reps!E:E)</f>
        <v>NAMER</v>
      </c>
      <c r="S1363" t="str">
        <f>_xlfn.XLOOKUP(Pipeline_tbl[[#This Row],[Created_Date]],Dim_Date!A:A,Dim_Date!H:H)</f>
        <v>Nov 2025</v>
      </c>
      <c r="T1363" t="str">
        <f>IF(Pipeline_tbl[[#This Row],[Closed_Date]]=0,"",(_xlfn.XLOOKUP(Pipeline_tbl[[#This Row],[Closed_Date]],Dim_Date!A:A,Dim_Date!H:H)))</f>
        <v/>
      </c>
      <c r="U1363" t="str">
        <f>IF(Pipeline_tbl[[#This Row],[Closed_Date]]=0,"",Pipeline_tbl[[#This Row],[Closed_Date]]-Pipeline_tbl[[#This Row],[Created_Date]])</f>
        <v/>
      </c>
    </row>
    <row r="1364" spans="1:21" ht="15" customHeight="1" x14ac:dyDescent="0.2">
      <c r="A1364" t="s">
        <v>1670</v>
      </c>
      <c r="B1364" t="s">
        <v>177</v>
      </c>
      <c r="C1364" t="s">
        <v>54</v>
      </c>
      <c r="D1364" s="49">
        <v>45971</v>
      </c>
      <c r="E1364" s="49">
        <v>45977</v>
      </c>
      <c r="F1364" s="49">
        <v>45990</v>
      </c>
      <c r="G1364" s="49">
        <v>46008</v>
      </c>
      <c r="J1364" t="s">
        <v>308</v>
      </c>
      <c r="K1364" s="33">
        <v>23600</v>
      </c>
      <c r="M1364" t="str">
        <f>_xlfn.XLOOKUP(Pipeline_tbl[[#This Row],[Rep_ID]],Dim_Reps!A:A,Dim_Reps!K:K)</f>
        <v>USD</v>
      </c>
      <c r="N1364" s="33">
        <f>(_xlfn.XLOOKUP(Pipeline_tbl[[#This Row],[Rate_Code_Generalized]],Lookups!A:A,Lookups!B:B))*Pipeline_tbl[[#This Row],[Pipeline_Amount_USD]]</f>
        <v>27477.479999999996</v>
      </c>
      <c r="O1364" t="str">
        <f>_xlfn.XLOOKUP(Pipeline_tbl[[#This Row],[Rep_ID]],Dim_Reps!A:A,Dim_Reps!B:B)</f>
        <v>Lucas Cohen</v>
      </c>
      <c r="P1364" t="str">
        <f>_xlfn.XLOOKUP(Pipeline_tbl[[#This Row],[Rep_ID]],Dim_Reps!A:A,Dim_Reps!C:C)</f>
        <v>Enterprise AE</v>
      </c>
      <c r="Q1364" t="str">
        <f>_xlfn.XLOOKUP(Pipeline_tbl[[#This Row],[Rep_ID]],Dim_Reps!A:A,Dim_Reps!D:D)</f>
        <v>Enterprise</v>
      </c>
      <c r="R1364" t="str">
        <f>_xlfn.XLOOKUP(Pipeline_tbl[[#This Row],[Rep_ID]],Dim_Reps!A:A,Dim_Reps!E:E)</f>
        <v>NAMER</v>
      </c>
      <c r="S1364" t="str">
        <f>_xlfn.XLOOKUP(Pipeline_tbl[[#This Row],[Created_Date]],Dim_Date!A:A,Dim_Date!H:H)</f>
        <v>Nov 2025</v>
      </c>
      <c r="T1364" t="str">
        <f>IF(Pipeline_tbl[[#This Row],[Closed_Date]]=0,"",(_xlfn.XLOOKUP(Pipeline_tbl[[#This Row],[Closed_Date]],Dim_Date!A:A,Dim_Date!H:H)))</f>
        <v/>
      </c>
      <c r="U1364" t="str">
        <f>IF(Pipeline_tbl[[#This Row],[Closed_Date]]=0,"",Pipeline_tbl[[#This Row],[Closed_Date]]-Pipeline_tbl[[#This Row],[Created_Date]])</f>
        <v/>
      </c>
    </row>
    <row r="1365" spans="1:21" ht="15" customHeight="1" x14ac:dyDescent="0.2">
      <c r="A1365" t="s">
        <v>1671</v>
      </c>
      <c r="B1365" t="s">
        <v>243</v>
      </c>
      <c r="C1365" t="s">
        <v>52</v>
      </c>
      <c r="D1365" s="49">
        <v>45979</v>
      </c>
      <c r="E1365" s="49">
        <v>45984</v>
      </c>
      <c r="F1365" s="49">
        <v>45995</v>
      </c>
      <c r="G1365" s="49">
        <v>46011</v>
      </c>
      <c r="J1365" t="s">
        <v>308</v>
      </c>
      <c r="K1365" s="33">
        <v>10000</v>
      </c>
      <c r="M1365" t="str">
        <f>_xlfn.XLOOKUP(Pipeline_tbl[[#This Row],[Rep_ID]],Dim_Reps!A:A,Dim_Reps!K:K)</f>
        <v>MXN</v>
      </c>
      <c r="N1365" s="33">
        <f>(_xlfn.XLOOKUP(Pipeline_tbl[[#This Row],[Rate_Code_Generalized]],Lookups!A:A,Lookups!B:B))*Pipeline_tbl[[#This Row],[Pipeline_Amount_USD]]</f>
        <v>197327</v>
      </c>
      <c r="O1365" t="str">
        <f>_xlfn.XLOOKUP(Pipeline_tbl[[#This Row],[Rep_ID]],Dim_Reps!A:A,Dim_Reps!B:B)</f>
        <v>Jonas Sato</v>
      </c>
      <c r="P1365" t="str">
        <f>_xlfn.XLOOKUP(Pipeline_tbl[[#This Row],[Rep_ID]],Dim_Reps!A:A,Dim_Reps!C:C)</f>
        <v>Mid-Market AE</v>
      </c>
      <c r="Q1365" t="str">
        <f>_xlfn.XLOOKUP(Pipeline_tbl[[#This Row],[Rep_ID]],Dim_Reps!A:A,Dim_Reps!D:D)</f>
        <v>Mid-Market</v>
      </c>
      <c r="R1365" t="str">
        <f>_xlfn.XLOOKUP(Pipeline_tbl[[#This Row],[Rep_ID]],Dim_Reps!A:A,Dim_Reps!E:E)</f>
        <v>LATAM</v>
      </c>
      <c r="S1365" t="str">
        <f>_xlfn.XLOOKUP(Pipeline_tbl[[#This Row],[Created_Date]],Dim_Date!A:A,Dim_Date!H:H)</f>
        <v>Nov 2025</v>
      </c>
      <c r="T1365" t="str">
        <f>IF(Pipeline_tbl[[#This Row],[Closed_Date]]=0,"",(_xlfn.XLOOKUP(Pipeline_tbl[[#This Row],[Closed_Date]],Dim_Date!A:A,Dim_Date!H:H)))</f>
        <v/>
      </c>
      <c r="U1365" t="str">
        <f>IF(Pipeline_tbl[[#This Row],[Closed_Date]]=0,"",Pipeline_tbl[[#This Row],[Closed_Date]]-Pipeline_tbl[[#This Row],[Created_Date]])</f>
        <v/>
      </c>
    </row>
    <row r="1366" spans="1:21" ht="15" customHeight="1" x14ac:dyDescent="0.2">
      <c r="A1366" t="s">
        <v>1672</v>
      </c>
      <c r="B1366" t="s">
        <v>181</v>
      </c>
      <c r="C1366" t="s">
        <v>52</v>
      </c>
      <c r="D1366" s="49">
        <v>45982</v>
      </c>
      <c r="E1366" s="49">
        <v>45987</v>
      </c>
      <c r="F1366" s="49">
        <v>45997</v>
      </c>
      <c r="G1366" s="49">
        <v>46012</v>
      </c>
      <c r="J1366" t="s">
        <v>308</v>
      </c>
      <c r="K1366" s="33">
        <v>27900</v>
      </c>
      <c r="M1366" t="str">
        <f>_xlfn.XLOOKUP(Pipeline_tbl[[#This Row],[Rep_ID]],Dim_Reps!A:A,Dim_Reps!K:K)</f>
        <v>USD</v>
      </c>
      <c r="N1366" s="33">
        <f>(_xlfn.XLOOKUP(Pipeline_tbl[[#This Row],[Rate_Code_Generalized]],Lookups!A:A,Lookups!B:B))*Pipeline_tbl[[#This Row],[Pipeline_Amount_USD]]</f>
        <v>32483.969999999998</v>
      </c>
      <c r="O1366" t="str">
        <f>_xlfn.XLOOKUP(Pipeline_tbl[[#This Row],[Rep_ID]],Dim_Reps!A:A,Dim_Reps!B:B)</f>
        <v>Milo Weber</v>
      </c>
      <c r="P1366" t="str">
        <f>_xlfn.XLOOKUP(Pipeline_tbl[[#This Row],[Rep_ID]],Dim_Reps!A:A,Dim_Reps!C:C)</f>
        <v>Enterprise AE</v>
      </c>
      <c r="Q1366" t="str">
        <f>_xlfn.XLOOKUP(Pipeline_tbl[[#This Row],[Rep_ID]],Dim_Reps!A:A,Dim_Reps!D:D)</f>
        <v>Enterprise</v>
      </c>
      <c r="R1366" t="str">
        <f>_xlfn.XLOOKUP(Pipeline_tbl[[#This Row],[Rep_ID]],Dim_Reps!A:A,Dim_Reps!E:E)</f>
        <v>NAMER</v>
      </c>
      <c r="S1366" t="str">
        <f>_xlfn.XLOOKUP(Pipeline_tbl[[#This Row],[Created_Date]],Dim_Date!A:A,Dim_Date!H:H)</f>
        <v>Nov 2025</v>
      </c>
      <c r="T1366" t="str">
        <f>IF(Pipeline_tbl[[#This Row],[Closed_Date]]=0,"",(_xlfn.XLOOKUP(Pipeline_tbl[[#This Row],[Closed_Date]],Dim_Date!A:A,Dim_Date!H:H)))</f>
        <v/>
      </c>
      <c r="U1366" t="str">
        <f>IF(Pipeline_tbl[[#This Row],[Closed_Date]]=0,"",Pipeline_tbl[[#This Row],[Closed_Date]]-Pipeline_tbl[[#This Row],[Created_Date]])</f>
        <v/>
      </c>
    </row>
    <row r="1367" spans="1:21" ht="15" customHeight="1" x14ac:dyDescent="0.2">
      <c r="A1367" t="s">
        <v>1673</v>
      </c>
      <c r="B1367" t="s">
        <v>181</v>
      </c>
      <c r="C1367" t="s">
        <v>54</v>
      </c>
      <c r="D1367" s="49">
        <v>45981</v>
      </c>
      <c r="E1367" s="49">
        <v>45989</v>
      </c>
      <c r="F1367" s="49">
        <v>46005</v>
      </c>
      <c r="J1367" t="s">
        <v>308</v>
      </c>
      <c r="K1367" s="33">
        <v>18300</v>
      </c>
      <c r="M1367" t="str">
        <f>_xlfn.XLOOKUP(Pipeline_tbl[[#This Row],[Rep_ID]],Dim_Reps!A:A,Dim_Reps!K:K)</f>
        <v>USD</v>
      </c>
      <c r="N1367" s="33">
        <f>(_xlfn.XLOOKUP(Pipeline_tbl[[#This Row],[Rate_Code_Generalized]],Lookups!A:A,Lookups!B:B))*Pipeline_tbl[[#This Row],[Pipeline_Amount_USD]]</f>
        <v>21306.69</v>
      </c>
      <c r="O1367" t="str">
        <f>_xlfn.XLOOKUP(Pipeline_tbl[[#This Row],[Rep_ID]],Dim_Reps!A:A,Dim_Reps!B:B)</f>
        <v>Milo Weber</v>
      </c>
      <c r="P1367" t="str">
        <f>_xlfn.XLOOKUP(Pipeline_tbl[[#This Row],[Rep_ID]],Dim_Reps!A:A,Dim_Reps!C:C)</f>
        <v>Enterprise AE</v>
      </c>
      <c r="Q1367" t="str">
        <f>_xlfn.XLOOKUP(Pipeline_tbl[[#This Row],[Rep_ID]],Dim_Reps!A:A,Dim_Reps!D:D)</f>
        <v>Enterprise</v>
      </c>
      <c r="R1367" t="str">
        <f>_xlfn.XLOOKUP(Pipeline_tbl[[#This Row],[Rep_ID]],Dim_Reps!A:A,Dim_Reps!E:E)</f>
        <v>NAMER</v>
      </c>
      <c r="S1367" t="str">
        <f>_xlfn.XLOOKUP(Pipeline_tbl[[#This Row],[Created_Date]],Dim_Date!A:A,Dim_Date!H:H)</f>
        <v>Nov 2025</v>
      </c>
      <c r="T1367" t="str">
        <f>IF(Pipeline_tbl[[#This Row],[Closed_Date]]=0,"",(_xlfn.XLOOKUP(Pipeline_tbl[[#This Row],[Closed_Date]],Dim_Date!A:A,Dim_Date!H:H)))</f>
        <v/>
      </c>
      <c r="U1367" t="str">
        <f>IF(Pipeline_tbl[[#This Row],[Closed_Date]]=0,"",Pipeline_tbl[[#This Row],[Closed_Date]]-Pipeline_tbl[[#This Row],[Created_Date]])</f>
        <v/>
      </c>
    </row>
    <row r="1368" spans="1:21" ht="15" customHeight="1" x14ac:dyDescent="0.2">
      <c r="A1368" t="s">
        <v>1674</v>
      </c>
      <c r="B1368" t="s">
        <v>181</v>
      </c>
      <c r="C1368" t="s">
        <v>53</v>
      </c>
      <c r="D1368" s="49">
        <v>45987</v>
      </c>
      <c r="E1368" s="49">
        <v>45992</v>
      </c>
      <c r="F1368" s="49">
        <v>46002</v>
      </c>
      <c r="G1368" s="49">
        <v>46017</v>
      </c>
      <c r="J1368" t="s">
        <v>308</v>
      </c>
      <c r="K1368" s="33">
        <v>24800</v>
      </c>
      <c r="M1368" t="str">
        <f>_xlfn.XLOOKUP(Pipeline_tbl[[#This Row],[Rep_ID]],Dim_Reps!A:A,Dim_Reps!K:K)</f>
        <v>USD</v>
      </c>
      <c r="N1368" s="33">
        <f>(_xlfn.XLOOKUP(Pipeline_tbl[[#This Row],[Rate_Code_Generalized]],Lookups!A:A,Lookups!B:B))*Pipeline_tbl[[#This Row],[Pipeline_Amount_USD]]</f>
        <v>28874.639999999996</v>
      </c>
      <c r="O1368" t="str">
        <f>_xlfn.XLOOKUP(Pipeline_tbl[[#This Row],[Rep_ID]],Dim_Reps!A:A,Dim_Reps!B:B)</f>
        <v>Milo Weber</v>
      </c>
      <c r="P1368" t="str">
        <f>_xlfn.XLOOKUP(Pipeline_tbl[[#This Row],[Rep_ID]],Dim_Reps!A:A,Dim_Reps!C:C)</f>
        <v>Enterprise AE</v>
      </c>
      <c r="Q1368" t="str">
        <f>_xlfn.XLOOKUP(Pipeline_tbl[[#This Row],[Rep_ID]],Dim_Reps!A:A,Dim_Reps!D:D)</f>
        <v>Enterprise</v>
      </c>
      <c r="R1368" t="str">
        <f>_xlfn.XLOOKUP(Pipeline_tbl[[#This Row],[Rep_ID]],Dim_Reps!A:A,Dim_Reps!E:E)</f>
        <v>NAMER</v>
      </c>
      <c r="S1368" t="str">
        <f>_xlfn.XLOOKUP(Pipeline_tbl[[#This Row],[Created_Date]],Dim_Date!A:A,Dim_Date!H:H)</f>
        <v>Nov 2025</v>
      </c>
      <c r="T1368" t="str">
        <f>IF(Pipeline_tbl[[#This Row],[Closed_Date]]=0,"",(_xlfn.XLOOKUP(Pipeline_tbl[[#This Row],[Closed_Date]],Dim_Date!A:A,Dim_Date!H:H)))</f>
        <v/>
      </c>
      <c r="U1368" t="str">
        <f>IF(Pipeline_tbl[[#This Row],[Closed_Date]]=0,"",Pipeline_tbl[[#This Row],[Closed_Date]]-Pipeline_tbl[[#This Row],[Created_Date]])</f>
        <v/>
      </c>
    </row>
    <row r="1369" spans="1:21" ht="15" customHeight="1" x14ac:dyDescent="0.2">
      <c r="A1369" t="s">
        <v>1675</v>
      </c>
      <c r="B1369" t="s">
        <v>181</v>
      </c>
      <c r="C1369" t="s">
        <v>52</v>
      </c>
      <c r="D1369" s="49">
        <v>45969</v>
      </c>
      <c r="E1369" s="49">
        <v>45976</v>
      </c>
      <c r="F1369" s="49">
        <v>45989</v>
      </c>
      <c r="G1369" s="49">
        <v>46009</v>
      </c>
      <c r="J1369" t="s">
        <v>308</v>
      </c>
      <c r="K1369" s="33">
        <v>29800</v>
      </c>
      <c r="M1369" t="str">
        <f>_xlfn.XLOOKUP(Pipeline_tbl[[#This Row],[Rep_ID]],Dim_Reps!A:A,Dim_Reps!K:K)</f>
        <v>USD</v>
      </c>
      <c r="N1369" s="33">
        <f>(_xlfn.XLOOKUP(Pipeline_tbl[[#This Row],[Rate_Code_Generalized]],Lookups!A:A,Lookups!B:B))*Pipeline_tbl[[#This Row],[Pipeline_Amount_USD]]</f>
        <v>34696.14</v>
      </c>
      <c r="O1369" t="str">
        <f>_xlfn.XLOOKUP(Pipeline_tbl[[#This Row],[Rep_ID]],Dim_Reps!A:A,Dim_Reps!B:B)</f>
        <v>Milo Weber</v>
      </c>
      <c r="P1369" t="str">
        <f>_xlfn.XLOOKUP(Pipeline_tbl[[#This Row],[Rep_ID]],Dim_Reps!A:A,Dim_Reps!C:C)</f>
        <v>Enterprise AE</v>
      </c>
      <c r="Q1369" t="str">
        <f>_xlfn.XLOOKUP(Pipeline_tbl[[#This Row],[Rep_ID]],Dim_Reps!A:A,Dim_Reps!D:D)</f>
        <v>Enterprise</v>
      </c>
      <c r="R1369" t="str">
        <f>_xlfn.XLOOKUP(Pipeline_tbl[[#This Row],[Rep_ID]],Dim_Reps!A:A,Dim_Reps!E:E)</f>
        <v>NAMER</v>
      </c>
      <c r="S1369" t="str">
        <f>_xlfn.XLOOKUP(Pipeline_tbl[[#This Row],[Created_Date]],Dim_Date!A:A,Dim_Date!H:H)</f>
        <v>Nov 2025</v>
      </c>
      <c r="T1369" t="str">
        <f>IF(Pipeline_tbl[[#This Row],[Closed_Date]]=0,"",(_xlfn.XLOOKUP(Pipeline_tbl[[#This Row],[Closed_Date]],Dim_Date!A:A,Dim_Date!H:H)))</f>
        <v/>
      </c>
      <c r="U1369" t="str">
        <f>IF(Pipeline_tbl[[#This Row],[Closed_Date]]=0,"",Pipeline_tbl[[#This Row],[Closed_Date]]-Pipeline_tbl[[#This Row],[Created_Date]])</f>
        <v/>
      </c>
    </row>
    <row r="1370" spans="1:21" ht="15" customHeight="1" x14ac:dyDescent="0.2">
      <c r="A1370" t="s">
        <v>1676</v>
      </c>
      <c r="B1370" t="s">
        <v>183</v>
      </c>
      <c r="C1370" t="s">
        <v>52</v>
      </c>
      <c r="D1370" s="49">
        <v>45972</v>
      </c>
      <c r="E1370" s="49">
        <v>45978</v>
      </c>
      <c r="F1370" s="49">
        <v>45992</v>
      </c>
      <c r="G1370" s="49">
        <v>46011</v>
      </c>
      <c r="J1370" t="s">
        <v>308</v>
      </c>
      <c r="K1370" s="33">
        <v>11000</v>
      </c>
      <c r="M1370" t="str">
        <f>_xlfn.XLOOKUP(Pipeline_tbl[[#This Row],[Rep_ID]],Dim_Reps!A:A,Dim_Reps!K:K)</f>
        <v>EUR</v>
      </c>
      <c r="N1370" s="33">
        <f>(_xlfn.XLOOKUP(Pipeline_tbl[[#This Row],[Rate_Code_Generalized]],Lookups!A:A,Lookups!B:B))*Pipeline_tbl[[#This Row],[Pipeline_Amount_USD]]</f>
        <v>11000</v>
      </c>
      <c r="O1370" t="str">
        <f>_xlfn.XLOOKUP(Pipeline_tbl[[#This Row],[Rep_ID]],Dim_Reps!A:A,Dim_Reps!B:B)</f>
        <v>Sam Schmidt</v>
      </c>
      <c r="P1370" t="str">
        <f>_xlfn.XLOOKUP(Pipeline_tbl[[#This Row],[Rep_ID]],Dim_Reps!A:A,Dim_Reps!C:C)</f>
        <v>Enterprise AE</v>
      </c>
      <c r="Q1370" t="str">
        <f>_xlfn.XLOOKUP(Pipeline_tbl[[#This Row],[Rep_ID]],Dim_Reps!A:A,Dim_Reps!D:D)</f>
        <v>Enterprise</v>
      </c>
      <c r="R1370" t="str">
        <f>_xlfn.XLOOKUP(Pipeline_tbl[[#This Row],[Rep_ID]],Dim_Reps!A:A,Dim_Reps!E:E)</f>
        <v>EMEA</v>
      </c>
      <c r="S1370" t="str">
        <f>_xlfn.XLOOKUP(Pipeline_tbl[[#This Row],[Created_Date]],Dim_Date!A:A,Dim_Date!H:H)</f>
        <v>Nov 2025</v>
      </c>
      <c r="T1370" t="str">
        <f>IF(Pipeline_tbl[[#This Row],[Closed_Date]]=0,"",(_xlfn.XLOOKUP(Pipeline_tbl[[#This Row],[Closed_Date]],Dim_Date!A:A,Dim_Date!H:H)))</f>
        <v/>
      </c>
      <c r="U1370" t="str">
        <f>IF(Pipeline_tbl[[#This Row],[Closed_Date]]=0,"",Pipeline_tbl[[#This Row],[Closed_Date]]-Pipeline_tbl[[#This Row],[Created_Date]])</f>
        <v/>
      </c>
    </row>
    <row r="1371" spans="1:21" ht="15" customHeight="1" x14ac:dyDescent="0.2">
      <c r="A1371" t="s">
        <v>1677</v>
      </c>
      <c r="B1371" t="s">
        <v>183</v>
      </c>
      <c r="C1371" t="s">
        <v>53</v>
      </c>
      <c r="D1371" s="49">
        <v>45989</v>
      </c>
      <c r="E1371" s="49">
        <v>45995</v>
      </c>
      <c r="F1371" s="49">
        <v>46007</v>
      </c>
      <c r="J1371" t="s">
        <v>308</v>
      </c>
      <c r="K1371" s="33">
        <v>19600</v>
      </c>
      <c r="M1371" t="str">
        <f>_xlfn.XLOOKUP(Pipeline_tbl[[#This Row],[Rep_ID]],Dim_Reps!A:A,Dim_Reps!K:K)</f>
        <v>EUR</v>
      </c>
      <c r="N1371" s="33">
        <f>(_xlfn.XLOOKUP(Pipeline_tbl[[#This Row],[Rate_Code_Generalized]],Lookups!A:A,Lookups!B:B))*Pipeline_tbl[[#This Row],[Pipeline_Amount_USD]]</f>
        <v>19600</v>
      </c>
      <c r="O1371" t="str">
        <f>_xlfn.XLOOKUP(Pipeline_tbl[[#This Row],[Rep_ID]],Dim_Reps!A:A,Dim_Reps!B:B)</f>
        <v>Sam Schmidt</v>
      </c>
      <c r="P1371" t="str">
        <f>_xlfn.XLOOKUP(Pipeline_tbl[[#This Row],[Rep_ID]],Dim_Reps!A:A,Dim_Reps!C:C)</f>
        <v>Enterprise AE</v>
      </c>
      <c r="Q1371" t="str">
        <f>_xlfn.XLOOKUP(Pipeline_tbl[[#This Row],[Rep_ID]],Dim_Reps!A:A,Dim_Reps!D:D)</f>
        <v>Enterprise</v>
      </c>
      <c r="R1371" t="str">
        <f>_xlfn.XLOOKUP(Pipeline_tbl[[#This Row],[Rep_ID]],Dim_Reps!A:A,Dim_Reps!E:E)</f>
        <v>EMEA</v>
      </c>
      <c r="S1371" t="str">
        <f>_xlfn.XLOOKUP(Pipeline_tbl[[#This Row],[Created_Date]],Dim_Date!A:A,Dim_Date!H:H)</f>
        <v>Nov 2025</v>
      </c>
      <c r="T1371" t="str">
        <f>IF(Pipeline_tbl[[#This Row],[Closed_Date]]=0,"",(_xlfn.XLOOKUP(Pipeline_tbl[[#This Row],[Closed_Date]],Dim_Date!A:A,Dim_Date!H:H)))</f>
        <v/>
      </c>
      <c r="U1371" t="str">
        <f>IF(Pipeline_tbl[[#This Row],[Closed_Date]]=0,"",Pipeline_tbl[[#This Row],[Closed_Date]]-Pipeline_tbl[[#This Row],[Created_Date]])</f>
        <v/>
      </c>
    </row>
    <row r="1372" spans="1:21" ht="15" customHeight="1" x14ac:dyDescent="0.2">
      <c r="A1372" t="s">
        <v>1678</v>
      </c>
      <c r="B1372" t="s">
        <v>183</v>
      </c>
      <c r="C1372" t="s">
        <v>52</v>
      </c>
      <c r="D1372" s="49">
        <v>45983</v>
      </c>
      <c r="E1372" s="49">
        <v>45992</v>
      </c>
      <c r="F1372" s="49">
        <v>46010</v>
      </c>
      <c r="J1372" t="s">
        <v>308</v>
      </c>
      <c r="K1372" s="33">
        <v>37900</v>
      </c>
      <c r="M1372" t="str">
        <f>_xlfn.XLOOKUP(Pipeline_tbl[[#This Row],[Rep_ID]],Dim_Reps!A:A,Dim_Reps!K:K)</f>
        <v>EUR</v>
      </c>
      <c r="N1372" s="33">
        <f>(_xlfn.XLOOKUP(Pipeline_tbl[[#This Row],[Rate_Code_Generalized]],Lookups!A:A,Lookups!B:B))*Pipeline_tbl[[#This Row],[Pipeline_Amount_USD]]</f>
        <v>37900</v>
      </c>
      <c r="O1372" t="str">
        <f>_xlfn.XLOOKUP(Pipeline_tbl[[#This Row],[Rep_ID]],Dim_Reps!A:A,Dim_Reps!B:B)</f>
        <v>Sam Schmidt</v>
      </c>
      <c r="P1372" t="str">
        <f>_xlfn.XLOOKUP(Pipeline_tbl[[#This Row],[Rep_ID]],Dim_Reps!A:A,Dim_Reps!C:C)</f>
        <v>Enterprise AE</v>
      </c>
      <c r="Q1372" t="str">
        <f>_xlfn.XLOOKUP(Pipeline_tbl[[#This Row],[Rep_ID]],Dim_Reps!A:A,Dim_Reps!D:D)</f>
        <v>Enterprise</v>
      </c>
      <c r="R1372" t="str">
        <f>_xlfn.XLOOKUP(Pipeline_tbl[[#This Row],[Rep_ID]],Dim_Reps!A:A,Dim_Reps!E:E)</f>
        <v>EMEA</v>
      </c>
      <c r="S1372" t="str">
        <f>_xlfn.XLOOKUP(Pipeline_tbl[[#This Row],[Created_Date]],Dim_Date!A:A,Dim_Date!H:H)</f>
        <v>Nov 2025</v>
      </c>
      <c r="T1372" t="str">
        <f>IF(Pipeline_tbl[[#This Row],[Closed_Date]]=0,"",(_xlfn.XLOOKUP(Pipeline_tbl[[#This Row],[Closed_Date]],Dim_Date!A:A,Dim_Date!H:H)))</f>
        <v/>
      </c>
      <c r="U1372" t="str">
        <f>IF(Pipeline_tbl[[#This Row],[Closed_Date]]=0,"",Pipeline_tbl[[#This Row],[Closed_Date]]-Pipeline_tbl[[#This Row],[Created_Date]])</f>
        <v/>
      </c>
    </row>
    <row r="1373" spans="1:21" ht="15" customHeight="1" x14ac:dyDescent="0.2">
      <c r="A1373" t="s">
        <v>1679</v>
      </c>
      <c r="B1373" t="s">
        <v>183</v>
      </c>
      <c r="C1373" t="s">
        <v>54</v>
      </c>
      <c r="D1373" s="49">
        <v>45989</v>
      </c>
      <c r="E1373" s="49">
        <v>45993</v>
      </c>
      <c r="F1373" s="49">
        <v>46001</v>
      </c>
      <c r="G1373" s="49">
        <v>46013</v>
      </c>
      <c r="J1373" t="s">
        <v>308</v>
      </c>
      <c r="K1373" s="33">
        <v>35500</v>
      </c>
      <c r="M1373" t="str">
        <f>_xlfn.XLOOKUP(Pipeline_tbl[[#This Row],[Rep_ID]],Dim_Reps!A:A,Dim_Reps!K:K)</f>
        <v>EUR</v>
      </c>
      <c r="N1373" s="33">
        <f>(_xlfn.XLOOKUP(Pipeline_tbl[[#This Row],[Rate_Code_Generalized]],Lookups!A:A,Lookups!B:B))*Pipeline_tbl[[#This Row],[Pipeline_Amount_USD]]</f>
        <v>35500</v>
      </c>
      <c r="O1373" t="str">
        <f>_xlfn.XLOOKUP(Pipeline_tbl[[#This Row],[Rep_ID]],Dim_Reps!A:A,Dim_Reps!B:B)</f>
        <v>Sam Schmidt</v>
      </c>
      <c r="P1373" t="str">
        <f>_xlfn.XLOOKUP(Pipeline_tbl[[#This Row],[Rep_ID]],Dim_Reps!A:A,Dim_Reps!C:C)</f>
        <v>Enterprise AE</v>
      </c>
      <c r="Q1373" t="str">
        <f>_xlfn.XLOOKUP(Pipeline_tbl[[#This Row],[Rep_ID]],Dim_Reps!A:A,Dim_Reps!D:D)</f>
        <v>Enterprise</v>
      </c>
      <c r="R1373" t="str">
        <f>_xlfn.XLOOKUP(Pipeline_tbl[[#This Row],[Rep_ID]],Dim_Reps!A:A,Dim_Reps!E:E)</f>
        <v>EMEA</v>
      </c>
      <c r="S1373" t="str">
        <f>_xlfn.XLOOKUP(Pipeline_tbl[[#This Row],[Created_Date]],Dim_Date!A:A,Dim_Date!H:H)</f>
        <v>Nov 2025</v>
      </c>
      <c r="T1373" t="str">
        <f>IF(Pipeline_tbl[[#This Row],[Closed_Date]]=0,"",(_xlfn.XLOOKUP(Pipeline_tbl[[#This Row],[Closed_Date]],Dim_Date!A:A,Dim_Date!H:H)))</f>
        <v/>
      </c>
      <c r="U1373" t="str">
        <f>IF(Pipeline_tbl[[#This Row],[Closed_Date]]=0,"",Pipeline_tbl[[#This Row],[Closed_Date]]-Pipeline_tbl[[#This Row],[Created_Date]])</f>
        <v/>
      </c>
    </row>
    <row r="1374" spans="1:21" ht="15" customHeight="1" x14ac:dyDescent="0.2">
      <c r="A1374" t="s">
        <v>1680</v>
      </c>
      <c r="B1374" t="s">
        <v>183</v>
      </c>
      <c r="C1374" t="s">
        <v>52</v>
      </c>
      <c r="D1374" s="49">
        <v>45979</v>
      </c>
      <c r="E1374" s="49">
        <v>45984</v>
      </c>
      <c r="F1374" s="49">
        <v>45993</v>
      </c>
      <c r="G1374" s="49">
        <v>46007</v>
      </c>
      <c r="H1374" s="49">
        <v>46019</v>
      </c>
      <c r="J1374" t="s">
        <v>308</v>
      </c>
      <c r="K1374" s="33">
        <v>26800</v>
      </c>
      <c r="M1374" t="str">
        <f>_xlfn.XLOOKUP(Pipeline_tbl[[#This Row],[Rep_ID]],Dim_Reps!A:A,Dim_Reps!K:K)</f>
        <v>EUR</v>
      </c>
      <c r="N1374" s="33">
        <f>(_xlfn.XLOOKUP(Pipeline_tbl[[#This Row],[Rate_Code_Generalized]],Lookups!A:A,Lookups!B:B))*Pipeline_tbl[[#This Row],[Pipeline_Amount_USD]]</f>
        <v>26800</v>
      </c>
      <c r="O1374" t="str">
        <f>_xlfn.XLOOKUP(Pipeline_tbl[[#This Row],[Rep_ID]],Dim_Reps!A:A,Dim_Reps!B:B)</f>
        <v>Sam Schmidt</v>
      </c>
      <c r="P1374" t="str">
        <f>_xlfn.XLOOKUP(Pipeline_tbl[[#This Row],[Rep_ID]],Dim_Reps!A:A,Dim_Reps!C:C)</f>
        <v>Enterprise AE</v>
      </c>
      <c r="Q1374" t="str">
        <f>_xlfn.XLOOKUP(Pipeline_tbl[[#This Row],[Rep_ID]],Dim_Reps!A:A,Dim_Reps!D:D)</f>
        <v>Enterprise</v>
      </c>
      <c r="R1374" t="str">
        <f>_xlfn.XLOOKUP(Pipeline_tbl[[#This Row],[Rep_ID]],Dim_Reps!A:A,Dim_Reps!E:E)</f>
        <v>EMEA</v>
      </c>
      <c r="S1374" t="str">
        <f>_xlfn.XLOOKUP(Pipeline_tbl[[#This Row],[Created_Date]],Dim_Date!A:A,Dim_Date!H:H)</f>
        <v>Nov 2025</v>
      </c>
      <c r="T1374" t="str">
        <f>IF(Pipeline_tbl[[#This Row],[Closed_Date]]=0,"",(_xlfn.XLOOKUP(Pipeline_tbl[[#This Row],[Closed_Date]],Dim_Date!A:A,Dim_Date!H:H)))</f>
        <v/>
      </c>
      <c r="U1374" t="str">
        <f>IF(Pipeline_tbl[[#This Row],[Closed_Date]]=0,"",Pipeline_tbl[[#This Row],[Closed_Date]]-Pipeline_tbl[[#This Row],[Created_Date]])</f>
        <v/>
      </c>
    </row>
    <row r="1375" spans="1:21" ht="15" customHeight="1" x14ac:dyDescent="0.2">
      <c r="A1375" t="s">
        <v>1681</v>
      </c>
      <c r="B1375" t="s">
        <v>183</v>
      </c>
      <c r="C1375" t="s">
        <v>52</v>
      </c>
      <c r="D1375" s="49">
        <v>45974</v>
      </c>
      <c r="E1375" s="49">
        <v>45980</v>
      </c>
      <c r="F1375" s="49">
        <v>45991</v>
      </c>
      <c r="G1375" s="49">
        <v>46007</v>
      </c>
      <c r="H1375" s="49">
        <v>46021</v>
      </c>
      <c r="J1375" t="s">
        <v>308</v>
      </c>
      <c r="K1375" s="33">
        <v>28300</v>
      </c>
      <c r="M1375" t="str">
        <f>_xlfn.XLOOKUP(Pipeline_tbl[[#This Row],[Rep_ID]],Dim_Reps!A:A,Dim_Reps!K:K)</f>
        <v>EUR</v>
      </c>
      <c r="N1375" s="33">
        <f>(_xlfn.XLOOKUP(Pipeline_tbl[[#This Row],[Rate_Code_Generalized]],Lookups!A:A,Lookups!B:B))*Pipeline_tbl[[#This Row],[Pipeline_Amount_USD]]</f>
        <v>28300</v>
      </c>
      <c r="O1375" t="str">
        <f>_xlfn.XLOOKUP(Pipeline_tbl[[#This Row],[Rep_ID]],Dim_Reps!A:A,Dim_Reps!B:B)</f>
        <v>Sam Schmidt</v>
      </c>
      <c r="P1375" t="str">
        <f>_xlfn.XLOOKUP(Pipeline_tbl[[#This Row],[Rep_ID]],Dim_Reps!A:A,Dim_Reps!C:C)</f>
        <v>Enterprise AE</v>
      </c>
      <c r="Q1375" t="str">
        <f>_xlfn.XLOOKUP(Pipeline_tbl[[#This Row],[Rep_ID]],Dim_Reps!A:A,Dim_Reps!D:D)</f>
        <v>Enterprise</v>
      </c>
      <c r="R1375" t="str">
        <f>_xlfn.XLOOKUP(Pipeline_tbl[[#This Row],[Rep_ID]],Dim_Reps!A:A,Dim_Reps!E:E)</f>
        <v>EMEA</v>
      </c>
      <c r="S1375" t="str">
        <f>_xlfn.XLOOKUP(Pipeline_tbl[[#This Row],[Created_Date]],Dim_Date!A:A,Dim_Date!H:H)</f>
        <v>Nov 2025</v>
      </c>
      <c r="T1375" t="str">
        <f>IF(Pipeline_tbl[[#This Row],[Closed_Date]]=0,"",(_xlfn.XLOOKUP(Pipeline_tbl[[#This Row],[Closed_Date]],Dim_Date!A:A,Dim_Date!H:H)))</f>
        <v/>
      </c>
      <c r="U1375" t="str">
        <f>IF(Pipeline_tbl[[#This Row],[Closed_Date]]=0,"",Pipeline_tbl[[#This Row],[Closed_Date]]-Pipeline_tbl[[#This Row],[Created_Date]])</f>
        <v/>
      </c>
    </row>
    <row r="1376" spans="1:21" ht="15" customHeight="1" x14ac:dyDescent="0.2">
      <c r="A1376" t="s">
        <v>1682</v>
      </c>
      <c r="B1376" t="s">
        <v>183</v>
      </c>
      <c r="C1376" t="s">
        <v>53</v>
      </c>
      <c r="D1376" s="49">
        <v>45972</v>
      </c>
      <c r="E1376" s="49">
        <v>45978</v>
      </c>
      <c r="F1376" s="49">
        <v>45990</v>
      </c>
      <c r="G1376" s="49">
        <v>46009</v>
      </c>
      <c r="J1376" t="s">
        <v>308</v>
      </c>
      <c r="K1376" s="33">
        <v>26800</v>
      </c>
      <c r="M1376" t="str">
        <f>_xlfn.XLOOKUP(Pipeline_tbl[[#This Row],[Rep_ID]],Dim_Reps!A:A,Dim_Reps!K:K)</f>
        <v>EUR</v>
      </c>
      <c r="N1376" s="33">
        <f>(_xlfn.XLOOKUP(Pipeline_tbl[[#This Row],[Rate_Code_Generalized]],Lookups!A:A,Lookups!B:B))*Pipeline_tbl[[#This Row],[Pipeline_Amount_USD]]</f>
        <v>26800</v>
      </c>
      <c r="O1376" t="str">
        <f>_xlfn.XLOOKUP(Pipeline_tbl[[#This Row],[Rep_ID]],Dim_Reps!A:A,Dim_Reps!B:B)</f>
        <v>Sam Schmidt</v>
      </c>
      <c r="P1376" t="str">
        <f>_xlfn.XLOOKUP(Pipeline_tbl[[#This Row],[Rep_ID]],Dim_Reps!A:A,Dim_Reps!C:C)</f>
        <v>Enterprise AE</v>
      </c>
      <c r="Q1376" t="str">
        <f>_xlfn.XLOOKUP(Pipeline_tbl[[#This Row],[Rep_ID]],Dim_Reps!A:A,Dim_Reps!D:D)</f>
        <v>Enterprise</v>
      </c>
      <c r="R1376" t="str">
        <f>_xlfn.XLOOKUP(Pipeline_tbl[[#This Row],[Rep_ID]],Dim_Reps!A:A,Dim_Reps!E:E)</f>
        <v>EMEA</v>
      </c>
      <c r="S1376" t="str">
        <f>_xlfn.XLOOKUP(Pipeline_tbl[[#This Row],[Created_Date]],Dim_Date!A:A,Dim_Date!H:H)</f>
        <v>Nov 2025</v>
      </c>
      <c r="T1376" t="str">
        <f>IF(Pipeline_tbl[[#This Row],[Closed_Date]]=0,"",(_xlfn.XLOOKUP(Pipeline_tbl[[#This Row],[Closed_Date]],Dim_Date!A:A,Dim_Date!H:H)))</f>
        <v/>
      </c>
      <c r="U1376" t="str">
        <f>IF(Pipeline_tbl[[#This Row],[Closed_Date]]=0,"",Pipeline_tbl[[#This Row],[Closed_Date]]-Pipeline_tbl[[#This Row],[Created_Date]])</f>
        <v/>
      </c>
    </row>
    <row r="1377" spans="1:21" ht="15" customHeight="1" x14ac:dyDescent="0.2">
      <c r="A1377" t="s">
        <v>1683</v>
      </c>
      <c r="B1377" t="s">
        <v>183</v>
      </c>
      <c r="C1377" t="s">
        <v>53</v>
      </c>
      <c r="D1377" s="49">
        <v>45982</v>
      </c>
      <c r="E1377" s="49">
        <v>45987</v>
      </c>
      <c r="F1377" s="49">
        <v>45997</v>
      </c>
      <c r="G1377" s="49">
        <v>46013</v>
      </c>
      <c r="J1377" t="s">
        <v>308</v>
      </c>
      <c r="K1377" s="33">
        <v>15700</v>
      </c>
      <c r="M1377" t="str">
        <f>_xlfn.XLOOKUP(Pipeline_tbl[[#This Row],[Rep_ID]],Dim_Reps!A:A,Dim_Reps!K:K)</f>
        <v>EUR</v>
      </c>
      <c r="N1377" s="33">
        <f>(_xlfn.XLOOKUP(Pipeline_tbl[[#This Row],[Rate_Code_Generalized]],Lookups!A:A,Lookups!B:B))*Pipeline_tbl[[#This Row],[Pipeline_Amount_USD]]</f>
        <v>15700</v>
      </c>
      <c r="O1377" t="str">
        <f>_xlfn.XLOOKUP(Pipeline_tbl[[#This Row],[Rep_ID]],Dim_Reps!A:A,Dim_Reps!B:B)</f>
        <v>Sam Schmidt</v>
      </c>
      <c r="P1377" t="str">
        <f>_xlfn.XLOOKUP(Pipeline_tbl[[#This Row],[Rep_ID]],Dim_Reps!A:A,Dim_Reps!C:C)</f>
        <v>Enterprise AE</v>
      </c>
      <c r="Q1377" t="str">
        <f>_xlfn.XLOOKUP(Pipeline_tbl[[#This Row],[Rep_ID]],Dim_Reps!A:A,Dim_Reps!D:D)</f>
        <v>Enterprise</v>
      </c>
      <c r="R1377" t="str">
        <f>_xlfn.XLOOKUP(Pipeline_tbl[[#This Row],[Rep_ID]],Dim_Reps!A:A,Dim_Reps!E:E)</f>
        <v>EMEA</v>
      </c>
      <c r="S1377" t="str">
        <f>_xlfn.XLOOKUP(Pipeline_tbl[[#This Row],[Created_Date]],Dim_Date!A:A,Dim_Date!H:H)</f>
        <v>Nov 2025</v>
      </c>
      <c r="T1377" t="str">
        <f>IF(Pipeline_tbl[[#This Row],[Closed_Date]]=0,"",(_xlfn.XLOOKUP(Pipeline_tbl[[#This Row],[Closed_Date]],Dim_Date!A:A,Dim_Date!H:H)))</f>
        <v/>
      </c>
      <c r="U1377" t="str">
        <f>IF(Pipeline_tbl[[#This Row],[Closed_Date]]=0,"",Pipeline_tbl[[#This Row],[Closed_Date]]-Pipeline_tbl[[#This Row],[Created_Date]])</f>
        <v/>
      </c>
    </row>
    <row r="1378" spans="1:21" ht="15" customHeight="1" x14ac:dyDescent="0.2">
      <c r="A1378" t="s">
        <v>1684</v>
      </c>
      <c r="B1378" t="s">
        <v>183</v>
      </c>
      <c r="C1378" t="s">
        <v>52</v>
      </c>
      <c r="D1378" s="49">
        <v>45984</v>
      </c>
      <c r="E1378" s="49">
        <v>45994</v>
      </c>
      <c r="F1378" s="49">
        <v>46013</v>
      </c>
      <c r="J1378" t="s">
        <v>308</v>
      </c>
      <c r="K1378" s="33">
        <v>20600</v>
      </c>
      <c r="M1378" t="str">
        <f>_xlfn.XLOOKUP(Pipeline_tbl[[#This Row],[Rep_ID]],Dim_Reps!A:A,Dim_Reps!K:K)</f>
        <v>EUR</v>
      </c>
      <c r="N1378" s="33">
        <f>(_xlfn.XLOOKUP(Pipeline_tbl[[#This Row],[Rate_Code_Generalized]],Lookups!A:A,Lookups!B:B))*Pipeline_tbl[[#This Row],[Pipeline_Amount_USD]]</f>
        <v>20600</v>
      </c>
      <c r="O1378" t="str">
        <f>_xlfn.XLOOKUP(Pipeline_tbl[[#This Row],[Rep_ID]],Dim_Reps!A:A,Dim_Reps!B:B)</f>
        <v>Sam Schmidt</v>
      </c>
      <c r="P1378" t="str">
        <f>_xlfn.XLOOKUP(Pipeline_tbl[[#This Row],[Rep_ID]],Dim_Reps!A:A,Dim_Reps!C:C)</f>
        <v>Enterprise AE</v>
      </c>
      <c r="Q1378" t="str">
        <f>_xlfn.XLOOKUP(Pipeline_tbl[[#This Row],[Rep_ID]],Dim_Reps!A:A,Dim_Reps!D:D)</f>
        <v>Enterprise</v>
      </c>
      <c r="R1378" t="str">
        <f>_xlfn.XLOOKUP(Pipeline_tbl[[#This Row],[Rep_ID]],Dim_Reps!A:A,Dim_Reps!E:E)</f>
        <v>EMEA</v>
      </c>
      <c r="S1378" t="str">
        <f>_xlfn.XLOOKUP(Pipeline_tbl[[#This Row],[Created_Date]],Dim_Date!A:A,Dim_Date!H:H)</f>
        <v>Nov 2025</v>
      </c>
      <c r="T1378" t="str">
        <f>IF(Pipeline_tbl[[#This Row],[Closed_Date]]=0,"",(_xlfn.XLOOKUP(Pipeline_tbl[[#This Row],[Closed_Date]],Dim_Date!A:A,Dim_Date!H:H)))</f>
        <v/>
      </c>
      <c r="U1378" t="str">
        <f>IF(Pipeline_tbl[[#This Row],[Closed_Date]]=0,"",Pipeline_tbl[[#This Row],[Closed_Date]]-Pipeline_tbl[[#This Row],[Created_Date]])</f>
        <v/>
      </c>
    </row>
    <row r="1379" spans="1:21" ht="15" customHeight="1" x14ac:dyDescent="0.2">
      <c r="A1379" t="s">
        <v>1685</v>
      </c>
      <c r="B1379" t="s">
        <v>183</v>
      </c>
      <c r="C1379" t="s">
        <v>52</v>
      </c>
      <c r="D1379" s="49">
        <v>45990</v>
      </c>
      <c r="E1379" s="49">
        <v>46000</v>
      </c>
      <c r="F1379" s="49">
        <v>46019</v>
      </c>
      <c r="J1379" t="s">
        <v>308</v>
      </c>
      <c r="K1379" s="33">
        <v>42400</v>
      </c>
      <c r="M1379" t="str">
        <f>_xlfn.XLOOKUP(Pipeline_tbl[[#This Row],[Rep_ID]],Dim_Reps!A:A,Dim_Reps!K:K)</f>
        <v>EUR</v>
      </c>
      <c r="N1379" s="33">
        <f>(_xlfn.XLOOKUP(Pipeline_tbl[[#This Row],[Rate_Code_Generalized]],Lookups!A:A,Lookups!B:B))*Pipeline_tbl[[#This Row],[Pipeline_Amount_USD]]</f>
        <v>42400</v>
      </c>
      <c r="O1379" t="str">
        <f>_xlfn.XLOOKUP(Pipeline_tbl[[#This Row],[Rep_ID]],Dim_Reps!A:A,Dim_Reps!B:B)</f>
        <v>Sam Schmidt</v>
      </c>
      <c r="P1379" t="str">
        <f>_xlfn.XLOOKUP(Pipeline_tbl[[#This Row],[Rep_ID]],Dim_Reps!A:A,Dim_Reps!C:C)</f>
        <v>Enterprise AE</v>
      </c>
      <c r="Q1379" t="str">
        <f>_xlfn.XLOOKUP(Pipeline_tbl[[#This Row],[Rep_ID]],Dim_Reps!A:A,Dim_Reps!D:D)</f>
        <v>Enterprise</v>
      </c>
      <c r="R1379" t="str">
        <f>_xlfn.XLOOKUP(Pipeline_tbl[[#This Row],[Rep_ID]],Dim_Reps!A:A,Dim_Reps!E:E)</f>
        <v>EMEA</v>
      </c>
      <c r="S1379" t="str">
        <f>_xlfn.XLOOKUP(Pipeline_tbl[[#This Row],[Created_Date]],Dim_Date!A:A,Dim_Date!H:H)</f>
        <v>Nov 2025</v>
      </c>
      <c r="T1379" t="str">
        <f>IF(Pipeline_tbl[[#This Row],[Closed_Date]]=0,"",(_xlfn.XLOOKUP(Pipeline_tbl[[#This Row],[Closed_Date]],Dim_Date!A:A,Dim_Date!H:H)))</f>
        <v/>
      </c>
      <c r="U1379" t="str">
        <f>IF(Pipeline_tbl[[#This Row],[Closed_Date]]=0,"",Pipeline_tbl[[#This Row],[Closed_Date]]-Pipeline_tbl[[#This Row],[Created_Date]])</f>
        <v/>
      </c>
    </row>
    <row r="1380" spans="1:21" ht="15" customHeight="1" x14ac:dyDescent="0.2">
      <c r="A1380" t="s">
        <v>1686</v>
      </c>
      <c r="B1380" t="s">
        <v>278</v>
      </c>
      <c r="C1380" t="s">
        <v>53</v>
      </c>
      <c r="D1380" s="49">
        <v>45991</v>
      </c>
      <c r="E1380" s="49">
        <v>46001</v>
      </c>
      <c r="F1380" s="49">
        <v>46020</v>
      </c>
      <c r="J1380" t="s">
        <v>308</v>
      </c>
      <c r="K1380" s="33">
        <v>118700</v>
      </c>
      <c r="M1380" t="str">
        <f>_xlfn.XLOOKUP(Pipeline_tbl[[#This Row],[Rep_ID]],Dim_Reps!A:A,Dim_Reps!K:K)</f>
        <v>EUR</v>
      </c>
      <c r="N1380" s="33">
        <f>(_xlfn.XLOOKUP(Pipeline_tbl[[#This Row],[Rate_Code_Generalized]],Lookups!A:A,Lookups!B:B))*Pipeline_tbl[[#This Row],[Pipeline_Amount_USD]]</f>
        <v>118700</v>
      </c>
      <c r="O1380" t="str">
        <f>_xlfn.XLOOKUP(Pipeline_tbl[[#This Row],[Rep_ID]],Dim_Reps!A:A,Dim_Reps!B:B)</f>
        <v>Sara Andersson</v>
      </c>
      <c r="P1380" t="str">
        <f>_xlfn.XLOOKUP(Pipeline_tbl[[#This Row],[Rep_ID]],Dim_Reps!A:A,Dim_Reps!C:C)</f>
        <v>Senior Enterprise AE</v>
      </c>
      <c r="Q1380" t="str">
        <f>_xlfn.XLOOKUP(Pipeline_tbl[[#This Row],[Rep_ID]],Dim_Reps!A:A,Dim_Reps!D:D)</f>
        <v>Strategic</v>
      </c>
      <c r="R1380" t="str">
        <f>_xlfn.XLOOKUP(Pipeline_tbl[[#This Row],[Rep_ID]],Dim_Reps!A:A,Dim_Reps!E:E)</f>
        <v>APAC</v>
      </c>
      <c r="S1380" t="str">
        <f>_xlfn.XLOOKUP(Pipeline_tbl[[#This Row],[Created_Date]],Dim_Date!A:A,Dim_Date!H:H)</f>
        <v>Nov 2025</v>
      </c>
      <c r="T1380" t="str">
        <f>IF(Pipeline_tbl[[#This Row],[Closed_Date]]=0,"",(_xlfn.XLOOKUP(Pipeline_tbl[[#This Row],[Closed_Date]],Dim_Date!A:A,Dim_Date!H:H)))</f>
        <v/>
      </c>
      <c r="U1380" t="str">
        <f>IF(Pipeline_tbl[[#This Row],[Closed_Date]]=0,"",Pipeline_tbl[[#This Row],[Closed_Date]]-Pipeline_tbl[[#This Row],[Created_Date]])</f>
        <v/>
      </c>
    </row>
    <row r="1381" spans="1:21" ht="15" customHeight="1" x14ac:dyDescent="0.2">
      <c r="A1381" t="s">
        <v>1687</v>
      </c>
      <c r="B1381" t="s">
        <v>278</v>
      </c>
      <c r="C1381" t="s">
        <v>52</v>
      </c>
      <c r="D1381" s="49">
        <v>45981</v>
      </c>
      <c r="E1381" s="49">
        <v>45991</v>
      </c>
      <c r="F1381" s="49">
        <v>46010</v>
      </c>
      <c r="J1381" t="s">
        <v>308</v>
      </c>
      <c r="K1381" s="33">
        <v>42300</v>
      </c>
      <c r="M1381" t="str">
        <f>_xlfn.XLOOKUP(Pipeline_tbl[[#This Row],[Rep_ID]],Dim_Reps!A:A,Dim_Reps!K:K)</f>
        <v>EUR</v>
      </c>
      <c r="N1381" s="33">
        <f>(_xlfn.XLOOKUP(Pipeline_tbl[[#This Row],[Rate_Code_Generalized]],Lookups!A:A,Lookups!B:B))*Pipeline_tbl[[#This Row],[Pipeline_Amount_USD]]</f>
        <v>42300</v>
      </c>
      <c r="O1381" t="str">
        <f>_xlfn.XLOOKUP(Pipeline_tbl[[#This Row],[Rep_ID]],Dim_Reps!A:A,Dim_Reps!B:B)</f>
        <v>Sara Andersson</v>
      </c>
      <c r="P1381" t="str">
        <f>_xlfn.XLOOKUP(Pipeline_tbl[[#This Row],[Rep_ID]],Dim_Reps!A:A,Dim_Reps!C:C)</f>
        <v>Senior Enterprise AE</v>
      </c>
      <c r="Q1381" t="str">
        <f>_xlfn.XLOOKUP(Pipeline_tbl[[#This Row],[Rep_ID]],Dim_Reps!A:A,Dim_Reps!D:D)</f>
        <v>Strategic</v>
      </c>
      <c r="R1381" t="str">
        <f>_xlfn.XLOOKUP(Pipeline_tbl[[#This Row],[Rep_ID]],Dim_Reps!A:A,Dim_Reps!E:E)</f>
        <v>APAC</v>
      </c>
      <c r="S1381" t="str">
        <f>_xlfn.XLOOKUP(Pipeline_tbl[[#This Row],[Created_Date]],Dim_Date!A:A,Dim_Date!H:H)</f>
        <v>Nov 2025</v>
      </c>
      <c r="T1381" t="str">
        <f>IF(Pipeline_tbl[[#This Row],[Closed_Date]]=0,"",(_xlfn.XLOOKUP(Pipeline_tbl[[#This Row],[Closed_Date]],Dim_Date!A:A,Dim_Date!H:H)))</f>
        <v/>
      </c>
      <c r="U1381" t="str">
        <f>IF(Pipeline_tbl[[#This Row],[Closed_Date]]=0,"",Pipeline_tbl[[#This Row],[Closed_Date]]-Pipeline_tbl[[#This Row],[Created_Date]])</f>
        <v/>
      </c>
    </row>
    <row r="1382" spans="1:21" ht="15" customHeight="1" x14ac:dyDescent="0.2">
      <c r="A1382" t="s">
        <v>1688</v>
      </c>
      <c r="B1382" t="s">
        <v>278</v>
      </c>
      <c r="C1382" t="s">
        <v>52</v>
      </c>
      <c r="D1382" s="49">
        <v>45969</v>
      </c>
      <c r="E1382" s="49">
        <v>45976</v>
      </c>
      <c r="F1382" s="49">
        <v>45989</v>
      </c>
      <c r="G1382" s="49">
        <v>46009</v>
      </c>
      <c r="J1382" t="s">
        <v>308</v>
      </c>
      <c r="K1382" s="33">
        <v>52800</v>
      </c>
      <c r="M1382" t="str">
        <f>_xlfn.XLOOKUP(Pipeline_tbl[[#This Row],[Rep_ID]],Dim_Reps!A:A,Dim_Reps!K:K)</f>
        <v>EUR</v>
      </c>
      <c r="N1382" s="33">
        <f>(_xlfn.XLOOKUP(Pipeline_tbl[[#This Row],[Rate_Code_Generalized]],Lookups!A:A,Lookups!B:B))*Pipeline_tbl[[#This Row],[Pipeline_Amount_USD]]</f>
        <v>52800</v>
      </c>
      <c r="O1382" t="str">
        <f>_xlfn.XLOOKUP(Pipeline_tbl[[#This Row],[Rep_ID]],Dim_Reps!A:A,Dim_Reps!B:B)</f>
        <v>Sara Andersson</v>
      </c>
      <c r="P1382" t="str">
        <f>_xlfn.XLOOKUP(Pipeline_tbl[[#This Row],[Rep_ID]],Dim_Reps!A:A,Dim_Reps!C:C)</f>
        <v>Senior Enterprise AE</v>
      </c>
      <c r="Q1382" t="str">
        <f>_xlfn.XLOOKUP(Pipeline_tbl[[#This Row],[Rep_ID]],Dim_Reps!A:A,Dim_Reps!D:D)</f>
        <v>Strategic</v>
      </c>
      <c r="R1382" t="str">
        <f>_xlfn.XLOOKUP(Pipeline_tbl[[#This Row],[Rep_ID]],Dim_Reps!A:A,Dim_Reps!E:E)</f>
        <v>APAC</v>
      </c>
      <c r="S1382" t="str">
        <f>_xlfn.XLOOKUP(Pipeline_tbl[[#This Row],[Created_Date]],Dim_Date!A:A,Dim_Date!H:H)</f>
        <v>Nov 2025</v>
      </c>
      <c r="T1382" t="str">
        <f>IF(Pipeline_tbl[[#This Row],[Closed_Date]]=0,"",(_xlfn.XLOOKUP(Pipeline_tbl[[#This Row],[Closed_Date]],Dim_Date!A:A,Dim_Date!H:H)))</f>
        <v/>
      </c>
      <c r="U1382" t="str">
        <f>IF(Pipeline_tbl[[#This Row],[Closed_Date]]=0,"",Pipeline_tbl[[#This Row],[Closed_Date]]-Pipeline_tbl[[#This Row],[Created_Date]])</f>
        <v/>
      </c>
    </row>
    <row r="1383" spans="1:21" ht="15" customHeight="1" x14ac:dyDescent="0.2">
      <c r="A1383" t="s">
        <v>1689</v>
      </c>
      <c r="B1383" t="s">
        <v>278</v>
      </c>
      <c r="C1383" t="s">
        <v>52</v>
      </c>
      <c r="D1383" s="49">
        <v>45982</v>
      </c>
      <c r="E1383" s="49">
        <v>45990</v>
      </c>
      <c r="F1383" s="49">
        <v>46007</v>
      </c>
      <c r="J1383" t="s">
        <v>308</v>
      </c>
      <c r="K1383" s="33">
        <v>98100</v>
      </c>
      <c r="M1383" t="str">
        <f>_xlfn.XLOOKUP(Pipeline_tbl[[#This Row],[Rep_ID]],Dim_Reps!A:A,Dim_Reps!K:K)</f>
        <v>EUR</v>
      </c>
      <c r="N1383" s="33">
        <f>(_xlfn.XLOOKUP(Pipeline_tbl[[#This Row],[Rate_Code_Generalized]],Lookups!A:A,Lookups!B:B))*Pipeline_tbl[[#This Row],[Pipeline_Amount_USD]]</f>
        <v>98100</v>
      </c>
      <c r="O1383" t="str">
        <f>_xlfn.XLOOKUP(Pipeline_tbl[[#This Row],[Rep_ID]],Dim_Reps!A:A,Dim_Reps!B:B)</f>
        <v>Sara Andersson</v>
      </c>
      <c r="P1383" t="str">
        <f>_xlfn.XLOOKUP(Pipeline_tbl[[#This Row],[Rep_ID]],Dim_Reps!A:A,Dim_Reps!C:C)</f>
        <v>Senior Enterprise AE</v>
      </c>
      <c r="Q1383" t="str">
        <f>_xlfn.XLOOKUP(Pipeline_tbl[[#This Row],[Rep_ID]],Dim_Reps!A:A,Dim_Reps!D:D)</f>
        <v>Strategic</v>
      </c>
      <c r="R1383" t="str">
        <f>_xlfn.XLOOKUP(Pipeline_tbl[[#This Row],[Rep_ID]],Dim_Reps!A:A,Dim_Reps!E:E)</f>
        <v>APAC</v>
      </c>
      <c r="S1383" t="str">
        <f>_xlfn.XLOOKUP(Pipeline_tbl[[#This Row],[Created_Date]],Dim_Date!A:A,Dim_Date!H:H)</f>
        <v>Nov 2025</v>
      </c>
      <c r="T1383" t="str">
        <f>IF(Pipeline_tbl[[#This Row],[Closed_Date]]=0,"",(_xlfn.XLOOKUP(Pipeline_tbl[[#This Row],[Closed_Date]],Dim_Date!A:A,Dim_Date!H:H)))</f>
        <v/>
      </c>
      <c r="U1383" t="str">
        <f>IF(Pipeline_tbl[[#This Row],[Closed_Date]]=0,"",Pipeline_tbl[[#This Row],[Closed_Date]]-Pipeline_tbl[[#This Row],[Created_Date]])</f>
        <v/>
      </c>
    </row>
    <row r="1384" spans="1:21" ht="15" customHeight="1" x14ac:dyDescent="0.2">
      <c r="A1384" t="s">
        <v>1690</v>
      </c>
      <c r="B1384" t="s">
        <v>278</v>
      </c>
      <c r="C1384" t="s">
        <v>56</v>
      </c>
      <c r="D1384" s="49">
        <v>45964</v>
      </c>
      <c r="E1384" s="49">
        <v>45976</v>
      </c>
      <c r="F1384" s="49">
        <v>45999</v>
      </c>
      <c r="J1384" t="s">
        <v>308</v>
      </c>
      <c r="K1384" s="33">
        <v>29100</v>
      </c>
      <c r="M1384" t="str">
        <f>_xlfn.XLOOKUP(Pipeline_tbl[[#This Row],[Rep_ID]],Dim_Reps!A:A,Dim_Reps!K:K)</f>
        <v>EUR</v>
      </c>
      <c r="N1384" s="33">
        <f>(_xlfn.XLOOKUP(Pipeline_tbl[[#This Row],[Rate_Code_Generalized]],Lookups!A:A,Lookups!B:B))*Pipeline_tbl[[#This Row],[Pipeline_Amount_USD]]</f>
        <v>29100</v>
      </c>
      <c r="O1384" t="str">
        <f>_xlfn.XLOOKUP(Pipeline_tbl[[#This Row],[Rep_ID]],Dim_Reps!A:A,Dim_Reps!B:B)</f>
        <v>Sara Andersson</v>
      </c>
      <c r="P1384" t="str">
        <f>_xlfn.XLOOKUP(Pipeline_tbl[[#This Row],[Rep_ID]],Dim_Reps!A:A,Dim_Reps!C:C)</f>
        <v>Senior Enterprise AE</v>
      </c>
      <c r="Q1384" t="str">
        <f>_xlfn.XLOOKUP(Pipeline_tbl[[#This Row],[Rep_ID]],Dim_Reps!A:A,Dim_Reps!D:D)</f>
        <v>Strategic</v>
      </c>
      <c r="R1384" t="str">
        <f>_xlfn.XLOOKUP(Pipeline_tbl[[#This Row],[Rep_ID]],Dim_Reps!A:A,Dim_Reps!E:E)</f>
        <v>APAC</v>
      </c>
      <c r="S1384" t="str">
        <f>_xlfn.XLOOKUP(Pipeline_tbl[[#This Row],[Created_Date]],Dim_Date!A:A,Dim_Date!H:H)</f>
        <v>Nov 2025</v>
      </c>
      <c r="T1384" t="str">
        <f>IF(Pipeline_tbl[[#This Row],[Closed_Date]]=0,"",(_xlfn.XLOOKUP(Pipeline_tbl[[#This Row],[Closed_Date]],Dim_Date!A:A,Dim_Date!H:H)))</f>
        <v/>
      </c>
      <c r="U1384" t="str">
        <f>IF(Pipeline_tbl[[#This Row],[Closed_Date]]=0,"",Pipeline_tbl[[#This Row],[Closed_Date]]-Pipeline_tbl[[#This Row],[Created_Date]])</f>
        <v/>
      </c>
    </row>
    <row r="1385" spans="1:21" ht="15" customHeight="1" x14ac:dyDescent="0.2">
      <c r="A1385" t="s">
        <v>1691</v>
      </c>
      <c r="B1385" t="s">
        <v>185</v>
      </c>
      <c r="C1385" t="s">
        <v>53</v>
      </c>
      <c r="D1385" s="49">
        <v>45981</v>
      </c>
      <c r="E1385" s="49">
        <v>45991</v>
      </c>
      <c r="F1385" s="49">
        <v>46012</v>
      </c>
      <c r="J1385" t="s">
        <v>308</v>
      </c>
      <c r="K1385" s="33">
        <v>43200</v>
      </c>
      <c r="M1385" t="str">
        <f>_xlfn.XLOOKUP(Pipeline_tbl[[#This Row],[Rep_ID]],Dim_Reps!A:A,Dim_Reps!K:K)</f>
        <v>MXN</v>
      </c>
      <c r="N1385" s="33">
        <f>(_xlfn.XLOOKUP(Pipeline_tbl[[#This Row],[Rate_Code_Generalized]],Lookups!A:A,Lookups!B:B))*Pipeline_tbl[[#This Row],[Pipeline_Amount_USD]]</f>
        <v>852452.64</v>
      </c>
      <c r="O1385" t="str">
        <f>_xlfn.XLOOKUP(Pipeline_tbl[[#This Row],[Rep_ID]],Dim_Reps!A:A,Dim_Reps!B:B)</f>
        <v>Noah Kim</v>
      </c>
      <c r="P1385" t="str">
        <f>_xlfn.XLOOKUP(Pipeline_tbl[[#This Row],[Rep_ID]],Dim_Reps!A:A,Dim_Reps!C:C)</f>
        <v>Enterprise AE</v>
      </c>
      <c r="Q1385" t="str">
        <f>_xlfn.XLOOKUP(Pipeline_tbl[[#This Row],[Rep_ID]],Dim_Reps!A:A,Dim_Reps!D:D)</f>
        <v>Enterprise</v>
      </c>
      <c r="R1385" t="str">
        <f>_xlfn.XLOOKUP(Pipeline_tbl[[#This Row],[Rep_ID]],Dim_Reps!A:A,Dim_Reps!E:E)</f>
        <v>LATAM</v>
      </c>
      <c r="S1385" t="str">
        <f>_xlfn.XLOOKUP(Pipeline_tbl[[#This Row],[Created_Date]],Dim_Date!A:A,Dim_Date!H:H)</f>
        <v>Nov 2025</v>
      </c>
      <c r="T1385" t="str">
        <f>IF(Pipeline_tbl[[#This Row],[Closed_Date]]=0,"",(_xlfn.XLOOKUP(Pipeline_tbl[[#This Row],[Closed_Date]],Dim_Date!A:A,Dim_Date!H:H)))</f>
        <v/>
      </c>
      <c r="U1385" t="str">
        <f>IF(Pipeline_tbl[[#This Row],[Closed_Date]]=0,"",Pipeline_tbl[[#This Row],[Closed_Date]]-Pipeline_tbl[[#This Row],[Created_Date]])</f>
        <v/>
      </c>
    </row>
    <row r="1386" spans="1:21" ht="15" customHeight="1" x14ac:dyDescent="0.2">
      <c r="A1386" t="s">
        <v>1692</v>
      </c>
      <c r="B1386" t="s">
        <v>185</v>
      </c>
      <c r="C1386" t="s">
        <v>53</v>
      </c>
      <c r="D1386" s="49">
        <v>45989</v>
      </c>
      <c r="E1386" s="49">
        <v>45996</v>
      </c>
      <c r="F1386" s="49">
        <v>46011</v>
      </c>
      <c r="J1386" t="s">
        <v>308</v>
      </c>
      <c r="K1386" s="33">
        <v>37300</v>
      </c>
      <c r="M1386" t="str">
        <f>_xlfn.XLOOKUP(Pipeline_tbl[[#This Row],[Rep_ID]],Dim_Reps!A:A,Dim_Reps!K:K)</f>
        <v>MXN</v>
      </c>
      <c r="N1386" s="33">
        <f>(_xlfn.XLOOKUP(Pipeline_tbl[[#This Row],[Rate_Code_Generalized]],Lookups!A:A,Lookups!B:B))*Pipeline_tbl[[#This Row],[Pipeline_Amount_USD]]</f>
        <v>736029.71000000008</v>
      </c>
      <c r="O1386" t="str">
        <f>_xlfn.XLOOKUP(Pipeline_tbl[[#This Row],[Rep_ID]],Dim_Reps!A:A,Dim_Reps!B:B)</f>
        <v>Noah Kim</v>
      </c>
      <c r="P1386" t="str">
        <f>_xlfn.XLOOKUP(Pipeline_tbl[[#This Row],[Rep_ID]],Dim_Reps!A:A,Dim_Reps!C:C)</f>
        <v>Enterprise AE</v>
      </c>
      <c r="Q1386" t="str">
        <f>_xlfn.XLOOKUP(Pipeline_tbl[[#This Row],[Rep_ID]],Dim_Reps!A:A,Dim_Reps!D:D)</f>
        <v>Enterprise</v>
      </c>
      <c r="R1386" t="str">
        <f>_xlfn.XLOOKUP(Pipeline_tbl[[#This Row],[Rep_ID]],Dim_Reps!A:A,Dim_Reps!E:E)</f>
        <v>LATAM</v>
      </c>
      <c r="S1386" t="str">
        <f>_xlfn.XLOOKUP(Pipeline_tbl[[#This Row],[Created_Date]],Dim_Date!A:A,Dim_Date!H:H)</f>
        <v>Nov 2025</v>
      </c>
      <c r="T1386" t="str">
        <f>IF(Pipeline_tbl[[#This Row],[Closed_Date]]=0,"",(_xlfn.XLOOKUP(Pipeline_tbl[[#This Row],[Closed_Date]],Dim_Date!A:A,Dim_Date!H:H)))</f>
        <v/>
      </c>
      <c r="U1386" t="str">
        <f>IF(Pipeline_tbl[[#This Row],[Closed_Date]]=0,"",Pipeline_tbl[[#This Row],[Closed_Date]]-Pipeline_tbl[[#This Row],[Created_Date]])</f>
        <v/>
      </c>
    </row>
    <row r="1387" spans="1:21" ht="15" customHeight="1" x14ac:dyDescent="0.2">
      <c r="A1387" t="s">
        <v>1693</v>
      </c>
      <c r="B1387" t="s">
        <v>249</v>
      </c>
      <c r="C1387" t="s">
        <v>52</v>
      </c>
      <c r="D1387" s="49">
        <v>45982</v>
      </c>
      <c r="E1387" s="49">
        <v>45986</v>
      </c>
      <c r="F1387" s="49">
        <v>45995</v>
      </c>
      <c r="G1387" s="49">
        <v>46008</v>
      </c>
      <c r="H1387" s="49">
        <v>46019</v>
      </c>
      <c r="J1387" t="s">
        <v>308</v>
      </c>
      <c r="K1387" s="33">
        <v>17100</v>
      </c>
      <c r="M1387" t="str">
        <f>_xlfn.XLOOKUP(Pipeline_tbl[[#This Row],[Rep_ID]],Dim_Reps!A:A,Dim_Reps!K:K)</f>
        <v>EUR</v>
      </c>
      <c r="N1387" s="33">
        <f>(_xlfn.XLOOKUP(Pipeline_tbl[[#This Row],[Rate_Code_Generalized]],Lookups!A:A,Lookups!B:B))*Pipeline_tbl[[#This Row],[Pipeline_Amount_USD]]</f>
        <v>17100</v>
      </c>
      <c r="O1387" t="str">
        <f>_xlfn.XLOOKUP(Pipeline_tbl[[#This Row],[Rep_ID]],Dim_Reps!A:A,Dim_Reps!B:B)</f>
        <v>Ana Sato</v>
      </c>
      <c r="P1387" t="str">
        <f>_xlfn.XLOOKUP(Pipeline_tbl[[#This Row],[Rep_ID]],Dim_Reps!A:A,Dim_Reps!C:C)</f>
        <v>Mid-Market AE</v>
      </c>
      <c r="Q1387" t="str">
        <f>_xlfn.XLOOKUP(Pipeline_tbl[[#This Row],[Rep_ID]],Dim_Reps!A:A,Dim_Reps!D:D)</f>
        <v>Mid-Market</v>
      </c>
      <c r="R1387" t="str">
        <f>_xlfn.XLOOKUP(Pipeline_tbl[[#This Row],[Rep_ID]],Dim_Reps!A:A,Dim_Reps!E:E)</f>
        <v>APAC</v>
      </c>
      <c r="S1387" t="str">
        <f>_xlfn.XLOOKUP(Pipeline_tbl[[#This Row],[Created_Date]],Dim_Date!A:A,Dim_Date!H:H)</f>
        <v>Nov 2025</v>
      </c>
      <c r="T1387" t="str">
        <f>IF(Pipeline_tbl[[#This Row],[Closed_Date]]=0,"",(_xlfn.XLOOKUP(Pipeline_tbl[[#This Row],[Closed_Date]],Dim_Date!A:A,Dim_Date!H:H)))</f>
        <v/>
      </c>
      <c r="U1387" t="str">
        <f>IF(Pipeline_tbl[[#This Row],[Closed_Date]]=0,"",Pipeline_tbl[[#This Row],[Closed_Date]]-Pipeline_tbl[[#This Row],[Created_Date]])</f>
        <v/>
      </c>
    </row>
    <row r="1388" spans="1:21" ht="15" customHeight="1" x14ac:dyDescent="0.2">
      <c r="A1388" t="s">
        <v>1694</v>
      </c>
      <c r="B1388" t="s">
        <v>249</v>
      </c>
      <c r="C1388" t="s">
        <v>54</v>
      </c>
      <c r="D1388" s="49">
        <v>45970</v>
      </c>
      <c r="E1388" s="49">
        <v>45976</v>
      </c>
      <c r="F1388" s="49">
        <v>45988</v>
      </c>
      <c r="G1388" s="49">
        <v>46005</v>
      </c>
      <c r="H1388" s="49">
        <v>46020</v>
      </c>
      <c r="J1388" t="s">
        <v>308</v>
      </c>
      <c r="K1388" s="33">
        <v>11600</v>
      </c>
      <c r="M1388" t="str">
        <f>_xlfn.XLOOKUP(Pipeline_tbl[[#This Row],[Rep_ID]],Dim_Reps!A:A,Dim_Reps!K:K)</f>
        <v>EUR</v>
      </c>
      <c r="N1388" s="33">
        <f>(_xlfn.XLOOKUP(Pipeline_tbl[[#This Row],[Rate_Code_Generalized]],Lookups!A:A,Lookups!B:B))*Pipeline_tbl[[#This Row],[Pipeline_Amount_USD]]</f>
        <v>11600</v>
      </c>
      <c r="O1388" t="str">
        <f>_xlfn.XLOOKUP(Pipeline_tbl[[#This Row],[Rep_ID]],Dim_Reps!A:A,Dim_Reps!B:B)</f>
        <v>Ana Sato</v>
      </c>
      <c r="P1388" t="str">
        <f>_xlfn.XLOOKUP(Pipeline_tbl[[#This Row],[Rep_ID]],Dim_Reps!A:A,Dim_Reps!C:C)</f>
        <v>Mid-Market AE</v>
      </c>
      <c r="Q1388" t="str">
        <f>_xlfn.XLOOKUP(Pipeline_tbl[[#This Row],[Rep_ID]],Dim_Reps!A:A,Dim_Reps!D:D)</f>
        <v>Mid-Market</v>
      </c>
      <c r="R1388" t="str">
        <f>_xlfn.XLOOKUP(Pipeline_tbl[[#This Row],[Rep_ID]],Dim_Reps!A:A,Dim_Reps!E:E)</f>
        <v>APAC</v>
      </c>
      <c r="S1388" t="str">
        <f>_xlfn.XLOOKUP(Pipeline_tbl[[#This Row],[Created_Date]],Dim_Date!A:A,Dim_Date!H:H)</f>
        <v>Nov 2025</v>
      </c>
      <c r="T1388" t="str">
        <f>IF(Pipeline_tbl[[#This Row],[Closed_Date]]=0,"",(_xlfn.XLOOKUP(Pipeline_tbl[[#This Row],[Closed_Date]],Dim_Date!A:A,Dim_Date!H:H)))</f>
        <v/>
      </c>
      <c r="U1388" t="str">
        <f>IF(Pipeline_tbl[[#This Row],[Closed_Date]]=0,"",Pipeline_tbl[[#This Row],[Closed_Date]]-Pipeline_tbl[[#This Row],[Created_Date]])</f>
        <v/>
      </c>
    </row>
    <row r="1389" spans="1:21" ht="15" customHeight="1" x14ac:dyDescent="0.2">
      <c r="A1389" t="s">
        <v>1695</v>
      </c>
      <c r="B1389" t="s">
        <v>249</v>
      </c>
      <c r="C1389" t="s">
        <v>52</v>
      </c>
      <c r="D1389" s="49">
        <v>45987</v>
      </c>
      <c r="E1389" s="49">
        <v>45992</v>
      </c>
      <c r="F1389" s="49">
        <v>46001</v>
      </c>
      <c r="G1389" s="49">
        <v>46016</v>
      </c>
      <c r="J1389" t="s">
        <v>308</v>
      </c>
      <c r="K1389" s="33">
        <v>8800</v>
      </c>
      <c r="M1389" t="str">
        <f>_xlfn.XLOOKUP(Pipeline_tbl[[#This Row],[Rep_ID]],Dim_Reps!A:A,Dim_Reps!K:K)</f>
        <v>EUR</v>
      </c>
      <c r="N1389" s="33">
        <f>(_xlfn.XLOOKUP(Pipeline_tbl[[#This Row],[Rate_Code_Generalized]],Lookups!A:A,Lookups!B:B))*Pipeline_tbl[[#This Row],[Pipeline_Amount_USD]]</f>
        <v>8800</v>
      </c>
      <c r="O1389" t="str">
        <f>_xlfn.XLOOKUP(Pipeline_tbl[[#This Row],[Rep_ID]],Dim_Reps!A:A,Dim_Reps!B:B)</f>
        <v>Ana Sato</v>
      </c>
      <c r="P1389" t="str">
        <f>_xlfn.XLOOKUP(Pipeline_tbl[[#This Row],[Rep_ID]],Dim_Reps!A:A,Dim_Reps!C:C)</f>
        <v>Mid-Market AE</v>
      </c>
      <c r="Q1389" t="str">
        <f>_xlfn.XLOOKUP(Pipeline_tbl[[#This Row],[Rep_ID]],Dim_Reps!A:A,Dim_Reps!D:D)</f>
        <v>Mid-Market</v>
      </c>
      <c r="R1389" t="str">
        <f>_xlfn.XLOOKUP(Pipeline_tbl[[#This Row],[Rep_ID]],Dim_Reps!A:A,Dim_Reps!E:E)</f>
        <v>APAC</v>
      </c>
      <c r="S1389" t="str">
        <f>_xlfn.XLOOKUP(Pipeline_tbl[[#This Row],[Created_Date]],Dim_Date!A:A,Dim_Date!H:H)</f>
        <v>Nov 2025</v>
      </c>
      <c r="T1389" t="str">
        <f>IF(Pipeline_tbl[[#This Row],[Closed_Date]]=0,"",(_xlfn.XLOOKUP(Pipeline_tbl[[#This Row],[Closed_Date]],Dim_Date!A:A,Dim_Date!H:H)))</f>
        <v/>
      </c>
      <c r="U1389" t="str">
        <f>IF(Pipeline_tbl[[#This Row],[Closed_Date]]=0,"",Pipeline_tbl[[#This Row],[Closed_Date]]-Pipeline_tbl[[#This Row],[Created_Date]])</f>
        <v/>
      </c>
    </row>
    <row r="1390" spans="1:21" ht="15" customHeight="1" x14ac:dyDescent="0.2">
      <c r="A1390" t="s">
        <v>1696</v>
      </c>
      <c r="B1390" t="s">
        <v>253</v>
      </c>
      <c r="C1390" t="s">
        <v>52</v>
      </c>
      <c r="D1390" s="49">
        <v>45972</v>
      </c>
      <c r="E1390" s="49">
        <v>45978</v>
      </c>
      <c r="F1390" s="49">
        <v>45991</v>
      </c>
      <c r="G1390" s="49">
        <v>46009</v>
      </c>
      <c r="J1390" t="s">
        <v>308</v>
      </c>
      <c r="K1390" s="33">
        <v>13700</v>
      </c>
      <c r="M1390" t="str">
        <f>_xlfn.XLOOKUP(Pipeline_tbl[[#This Row],[Rep_ID]],Dim_Reps!A:A,Dim_Reps!K:K)</f>
        <v>EUR</v>
      </c>
      <c r="N1390" s="33">
        <f>(_xlfn.XLOOKUP(Pipeline_tbl[[#This Row],[Rate_Code_Generalized]],Lookups!A:A,Lookups!B:B))*Pipeline_tbl[[#This Row],[Pipeline_Amount_USD]]</f>
        <v>13700</v>
      </c>
      <c r="O1390" t="str">
        <f>_xlfn.XLOOKUP(Pipeline_tbl[[#This Row],[Rep_ID]],Dim_Reps!A:A,Dim_Reps!B:B)</f>
        <v>Rafael Weber</v>
      </c>
      <c r="P1390" t="str">
        <f>_xlfn.XLOOKUP(Pipeline_tbl[[#This Row],[Rep_ID]],Dim_Reps!A:A,Dim_Reps!C:C)</f>
        <v>Mid-Market AE</v>
      </c>
      <c r="Q1390" t="str">
        <f>_xlfn.XLOOKUP(Pipeline_tbl[[#This Row],[Rep_ID]],Dim_Reps!A:A,Dim_Reps!D:D)</f>
        <v>Mid-Market</v>
      </c>
      <c r="R1390" t="str">
        <f>_xlfn.XLOOKUP(Pipeline_tbl[[#This Row],[Rep_ID]],Dim_Reps!A:A,Dim_Reps!E:E)</f>
        <v>APAC</v>
      </c>
      <c r="S1390" t="str">
        <f>_xlfn.XLOOKUP(Pipeline_tbl[[#This Row],[Created_Date]],Dim_Date!A:A,Dim_Date!H:H)</f>
        <v>Nov 2025</v>
      </c>
      <c r="T1390" t="str">
        <f>IF(Pipeline_tbl[[#This Row],[Closed_Date]]=0,"",(_xlfn.XLOOKUP(Pipeline_tbl[[#This Row],[Closed_Date]],Dim_Date!A:A,Dim_Date!H:H)))</f>
        <v/>
      </c>
      <c r="U1390" t="str">
        <f>IF(Pipeline_tbl[[#This Row],[Closed_Date]]=0,"",Pipeline_tbl[[#This Row],[Closed_Date]]-Pipeline_tbl[[#This Row],[Created_Date]])</f>
        <v/>
      </c>
    </row>
    <row r="1391" spans="1:21" ht="15" customHeight="1" x14ac:dyDescent="0.2">
      <c r="A1391" t="s">
        <v>1697</v>
      </c>
      <c r="B1391" t="s">
        <v>255</v>
      </c>
      <c r="C1391" t="s">
        <v>56</v>
      </c>
      <c r="D1391" s="49">
        <v>45985</v>
      </c>
      <c r="E1391" s="49">
        <v>45990</v>
      </c>
      <c r="F1391" s="49">
        <v>45999</v>
      </c>
      <c r="G1391" s="49">
        <v>46013</v>
      </c>
      <c r="J1391" t="s">
        <v>308</v>
      </c>
      <c r="K1391" s="33">
        <v>11300</v>
      </c>
      <c r="M1391" t="str">
        <f>_xlfn.XLOOKUP(Pipeline_tbl[[#This Row],[Rep_ID]],Dim_Reps!A:A,Dim_Reps!K:K)</f>
        <v>USD</v>
      </c>
      <c r="N1391" s="33">
        <f>(_xlfn.XLOOKUP(Pipeline_tbl[[#This Row],[Rate_Code_Generalized]],Lookups!A:A,Lookups!B:B))*Pipeline_tbl[[#This Row],[Pipeline_Amount_USD]]</f>
        <v>13156.589999999998</v>
      </c>
      <c r="O1391" t="str">
        <f>_xlfn.XLOOKUP(Pipeline_tbl[[#This Row],[Rep_ID]],Dim_Reps!A:A,Dim_Reps!B:B)</f>
        <v>Erik Kim</v>
      </c>
      <c r="P1391" t="str">
        <f>_xlfn.XLOOKUP(Pipeline_tbl[[#This Row],[Rep_ID]],Dim_Reps!A:A,Dim_Reps!C:C)</f>
        <v>Mid-Market AE</v>
      </c>
      <c r="Q1391" t="str">
        <f>_xlfn.XLOOKUP(Pipeline_tbl[[#This Row],[Rep_ID]],Dim_Reps!A:A,Dim_Reps!D:D)</f>
        <v>Mid-Market</v>
      </c>
      <c r="R1391" t="str">
        <f>_xlfn.XLOOKUP(Pipeline_tbl[[#This Row],[Rep_ID]],Dim_Reps!A:A,Dim_Reps!E:E)</f>
        <v>NAMER</v>
      </c>
      <c r="S1391" t="str">
        <f>_xlfn.XLOOKUP(Pipeline_tbl[[#This Row],[Created_Date]],Dim_Date!A:A,Dim_Date!H:H)</f>
        <v>Nov 2025</v>
      </c>
      <c r="T1391" t="str">
        <f>IF(Pipeline_tbl[[#This Row],[Closed_Date]]=0,"",(_xlfn.XLOOKUP(Pipeline_tbl[[#This Row],[Closed_Date]],Dim_Date!A:A,Dim_Date!H:H)))</f>
        <v/>
      </c>
      <c r="U1391" t="str">
        <f>IF(Pipeline_tbl[[#This Row],[Closed_Date]]=0,"",Pipeline_tbl[[#This Row],[Closed_Date]]-Pipeline_tbl[[#This Row],[Created_Date]])</f>
        <v/>
      </c>
    </row>
    <row r="1392" spans="1:21" ht="15" customHeight="1" x14ac:dyDescent="0.2">
      <c r="A1392" t="s">
        <v>1698</v>
      </c>
      <c r="B1392" t="s">
        <v>188</v>
      </c>
      <c r="C1392" t="s">
        <v>54</v>
      </c>
      <c r="D1392" s="49">
        <v>45986</v>
      </c>
      <c r="E1392" s="49">
        <v>45990</v>
      </c>
      <c r="F1392" s="49">
        <v>45999</v>
      </c>
      <c r="G1392" s="49">
        <v>46012</v>
      </c>
      <c r="J1392" t="s">
        <v>308</v>
      </c>
      <c r="K1392" s="33">
        <v>37100</v>
      </c>
      <c r="M1392" t="str">
        <f>_xlfn.XLOOKUP(Pipeline_tbl[[#This Row],[Rep_ID]],Dim_Reps!A:A,Dim_Reps!K:K)</f>
        <v>EUR</v>
      </c>
      <c r="N1392" s="33">
        <f>(_xlfn.XLOOKUP(Pipeline_tbl[[#This Row],[Rate_Code_Generalized]],Lookups!A:A,Lookups!B:B))*Pipeline_tbl[[#This Row],[Pipeline_Amount_USD]]</f>
        <v>37100</v>
      </c>
      <c r="O1392" t="str">
        <f>_xlfn.XLOOKUP(Pipeline_tbl[[#This Row],[Rep_ID]],Dim_Reps!A:A,Dim_Reps!B:B)</f>
        <v>Jamie Santos</v>
      </c>
      <c r="P1392" t="str">
        <f>_xlfn.XLOOKUP(Pipeline_tbl[[#This Row],[Rep_ID]],Dim_Reps!A:A,Dim_Reps!C:C)</f>
        <v>Enterprise AE</v>
      </c>
      <c r="Q1392" t="str">
        <f>_xlfn.XLOOKUP(Pipeline_tbl[[#This Row],[Rep_ID]],Dim_Reps!A:A,Dim_Reps!D:D)</f>
        <v>Enterprise</v>
      </c>
      <c r="R1392" t="str">
        <f>_xlfn.XLOOKUP(Pipeline_tbl[[#This Row],[Rep_ID]],Dim_Reps!A:A,Dim_Reps!E:E)</f>
        <v>APAC</v>
      </c>
      <c r="S1392" t="str">
        <f>_xlfn.XLOOKUP(Pipeline_tbl[[#This Row],[Created_Date]],Dim_Date!A:A,Dim_Date!H:H)</f>
        <v>Nov 2025</v>
      </c>
      <c r="T1392" t="str">
        <f>IF(Pipeline_tbl[[#This Row],[Closed_Date]]=0,"",(_xlfn.XLOOKUP(Pipeline_tbl[[#This Row],[Closed_Date]],Dim_Date!A:A,Dim_Date!H:H)))</f>
        <v/>
      </c>
      <c r="U1392" t="str">
        <f>IF(Pipeline_tbl[[#This Row],[Closed_Date]]=0,"",Pipeline_tbl[[#This Row],[Closed_Date]]-Pipeline_tbl[[#This Row],[Created_Date]])</f>
        <v/>
      </c>
    </row>
    <row r="1393" spans="1:21" ht="15" customHeight="1" x14ac:dyDescent="0.2">
      <c r="A1393" t="s">
        <v>1699</v>
      </c>
      <c r="B1393" t="s">
        <v>188</v>
      </c>
      <c r="C1393" t="s">
        <v>52</v>
      </c>
      <c r="D1393" s="49">
        <v>45971</v>
      </c>
      <c r="E1393" s="49">
        <v>45977</v>
      </c>
      <c r="F1393" s="49">
        <v>45988</v>
      </c>
      <c r="G1393" s="49">
        <v>46005</v>
      </c>
      <c r="H1393" s="49">
        <v>46019</v>
      </c>
      <c r="J1393" t="s">
        <v>308</v>
      </c>
      <c r="K1393" s="33">
        <v>16500</v>
      </c>
      <c r="M1393" t="str">
        <f>_xlfn.XLOOKUP(Pipeline_tbl[[#This Row],[Rep_ID]],Dim_Reps!A:A,Dim_Reps!K:K)</f>
        <v>EUR</v>
      </c>
      <c r="N1393" s="33">
        <f>(_xlfn.XLOOKUP(Pipeline_tbl[[#This Row],[Rate_Code_Generalized]],Lookups!A:A,Lookups!B:B))*Pipeline_tbl[[#This Row],[Pipeline_Amount_USD]]</f>
        <v>16500</v>
      </c>
      <c r="O1393" t="str">
        <f>_xlfn.XLOOKUP(Pipeline_tbl[[#This Row],[Rep_ID]],Dim_Reps!A:A,Dim_Reps!B:B)</f>
        <v>Jamie Santos</v>
      </c>
      <c r="P1393" t="str">
        <f>_xlfn.XLOOKUP(Pipeline_tbl[[#This Row],[Rep_ID]],Dim_Reps!A:A,Dim_Reps!C:C)</f>
        <v>Enterprise AE</v>
      </c>
      <c r="Q1393" t="str">
        <f>_xlfn.XLOOKUP(Pipeline_tbl[[#This Row],[Rep_ID]],Dim_Reps!A:A,Dim_Reps!D:D)</f>
        <v>Enterprise</v>
      </c>
      <c r="R1393" t="str">
        <f>_xlfn.XLOOKUP(Pipeline_tbl[[#This Row],[Rep_ID]],Dim_Reps!A:A,Dim_Reps!E:E)</f>
        <v>APAC</v>
      </c>
      <c r="S1393" t="str">
        <f>_xlfn.XLOOKUP(Pipeline_tbl[[#This Row],[Created_Date]],Dim_Date!A:A,Dim_Date!H:H)</f>
        <v>Nov 2025</v>
      </c>
      <c r="T1393" t="str">
        <f>IF(Pipeline_tbl[[#This Row],[Closed_Date]]=0,"",(_xlfn.XLOOKUP(Pipeline_tbl[[#This Row],[Closed_Date]],Dim_Date!A:A,Dim_Date!H:H)))</f>
        <v/>
      </c>
      <c r="U1393" t="str">
        <f>IF(Pipeline_tbl[[#This Row],[Closed_Date]]=0,"",Pipeline_tbl[[#This Row],[Closed_Date]]-Pipeline_tbl[[#This Row],[Created_Date]])</f>
        <v/>
      </c>
    </row>
    <row r="1394" spans="1:21" ht="15" customHeight="1" x14ac:dyDescent="0.2">
      <c r="A1394" t="s">
        <v>1700</v>
      </c>
      <c r="B1394" t="s">
        <v>188</v>
      </c>
      <c r="C1394" t="s">
        <v>55</v>
      </c>
      <c r="D1394" s="49">
        <v>45984</v>
      </c>
      <c r="E1394" s="49">
        <v>45990</v>
      </c>
      <c r="F1394" s="49">
        <v>46003</v>
      </c>
      <c r="G1394" s="49">
        <v>46022</v>
      </c>
      <c r="J1394" t="s">
        <v>308</v>
      </c>
      <c r="K1394" s="33">
        <v>42300</v>
      </c>
      <c r="M1394" t="str">
        <f>_xlfn.XLOOKUP(Pipeline_tbl[[#This Row],[Rep_ID]],Dim_Reps!A:A,Dim_Reps!K:K)</f>
        <v>EUR</v>
      </c>
      <c r="N1394" s="33">
        <f>(_xlfn.XLOOKUP(Pipeline_tbl[[#This Row],[Rate_Code_Generalized]],Lookups!A:A,Lookups!B:B))*Pipeline_tbl[[#This Row],[Pipeline_Amount_USD]]</f>
        <v>42300</v>
      </c>
      <c r="O1394" t="str">
        <f>_xlfn.XLOOKUP(Pipeline_tbl[[#This Row],[Rep_ID]],Dim_Reps!A:A,Dim_Reps!B:B)</f>
        <v>Jamie Santos</v>
      </c>
      <c r="P1394" t="str">
        <f>_xlfn.XLOOKUP(Pipeline_tbl[[#This Row],[Rep_ID]],Dim_Reps!A:A,Dim_Reps!C:C)</f>
        <v>Enterprise AE</v>
      </c>
      <c r="Q1394" t="str">
        <f>_xlfn.XLOOKUP(Pipeline_tbl[[#This Row],[Rep_ID]],Dim_Reps!A:A,Dim_Reps!D:D)</f>
        <v>Enterprise</v>
      </c>
      <c r="R1394" t="str">
        <f>_xlfn.XLOOKUP(Pipeline_tbl[[#This Row],[Rep_ID]],Dim_Reps!A:A,Dim_Reps!E:E)</f>
        <v>APAC</v>
      </c>
      <c r="S1394" t="str">
        <f>_xlfn.XLOOKUP(Pipeline_tbl[[#This Row],[Created_Date]],Dim_Date!A:A,Dim_Date!H:H)</f>
        <v>Nov 2025</v>
      </c>
      <c r="T1394" t="str">
        <f>IF(Pipeline_tbl[[#This Row],[Closed_Date]]=0,"",(_xlfn.XLOOKUP(Pipeline_tbl[[#This Row],[Closed_Date]],Dim_Date!A:A,Dim_Date!H:H)))</f>
        <v/>
      </c>
      <c r="U1394" t="str">
        <f>IF(Pipeline_tbl[[#This Row],[Closed_Date]]=0,"",Pipeline_tbl[[#This Row],[Closed_Date]]-Pipeline_tbl[[#This Row],[Created_Date]])</f>
        <v/>
      </c>
    </row>
    <row r="1395" spans="1:21" ht="15" customHeight="1" x14ac:dyDescent="0.2">
      <c r="A1395" t="s">
        <v>1701</v>
      </c>
      <c r="B1395" t="s">
        <v>257</v>
      </c>
      <c r="C1395" t="s">
        <v>53</v>
      </c>
      <c r="D1395" s="49">
        <v>45987</v>
      </c>
      <c r="E1395" s="49">
        <v>45991</v>
      </c>
      <c r="F1395" s="49">
        <v>45998</v>
      </c>
      <c r="G1395" s="49">
        <v>46010</v>
      </c>
      <c r="H1395" s="49">
        <v>46019</v>
      </c>
      <c r="J1395" t="s">
        <v>308</v>
      </c>
      <c r="K1395" s="33">
        <v>3900</v>
      </c>
      <c r="M1395" t="str">
        <f>_xlfn.XLOOKUP(Pipeline_tbl[[#This Row],[Rep_ID]],Dim_Reps!A:A,Dim_Reps!K:K)</f>
        <v>EUR</v>
      </c>
      <c r="N1395" s="33">
        <f>(_xlfn.XLOOKUP(Pipeline_tbl[[#This Row],[Rate_Code_Generalized]],Lookups!A:A,Lookups!B:B))*Pipeline_tbl[[#This Row],[Pipeline_Amount_USD]]</f>
        <v>3900</v>
      </c>
      <c r="O1395" t="str">
        <f>_xlfn.XLOOKUP(Pipeline_tbl[[#This Row],[Rep_ID]],Dim_Reps!A:A,Dim_Reps!B:B)</f>
        <v>Ana Kim</v>
      </c>
      <c r="P1395" t="str">
        <f>_xlfn.XLOOKUP(Pipeline_tbl[[#This Row],[Rep_ID]],Dim_Reps!A:A,Dim_Reps!C:C)</f>
        <v>Mid-Market AE</v>
      </c>
      <c r="Q1395" t="str">
        <f>_xlfn.XLOOKUP(Pipeline_tbl[[#This Row],[Rep_ID]],Dim_Reps!A:A,Dim_Reps!D:D)</f>
        <v>Mid-Market</v>
      </c>
      <c r="R1395" t="str">
        <f>_xlfn.XLOOKUP(Pipeline_tbl[[#This Row],[Rep_ID]],Dim_Reps!A:A,Dim_Reps!E:E)</f>
        <v>APAC</v>
      </c>
      <c r="S1395" t="str">
        <f>_xlfn.XLOOKUP(Pipeline_tbl[[#This Row],[Created_Date]],Dim_Date!A:A,Dim_Date!H:H)</f>
        <v>Nov 2025</v>
      </c>
      <c r="T1395" t="str">
        <f>IF(Pipeline_tbl[[#This Row],[Closed_Date]]=0,"",(_xlfn.XLOOKUP(Pipeline_tbl[[#This Row],[Closed_Date]],Dim_Date!A:A,Dim_Date!H:H)))</f>
        <v/>
      </c>
      <c r="U1395" t="str">
        <f>IF(Pipeline_tbl[[#This Row],[Closed_Date]]=0,"",Pipeline_tbl[[#This Row],[Closed_Date]]-Pipeline_tbl[[#This Row],[Created_Date]])</f>
        <v/>
      </c>
    </row>
    <row r="1396" spans="1:21" ht="15" customHeight="1" x14ac:dyDescent="0.2">
      <c r="A1396" t="s">
        <v>1702</v>
      </c>
      <c r="B1396" t="s">
        <v>257</v>
      </c>
      <c r="C1396" t="s">
        <v>56</v>
      </c>
      <c r="D1396" s="49">
        <v>45986</v>
      </c>
      <c r="E1396" s="49">
        <v>45990</v>
      </c>
      <c r="F1396" s="49">
        <v>45999</v>
      </c>
      <c r="G1396" s="49">
        <v>46012</v>
      </c>
      <c r="J1396" t="s">
        <v>308</v>
      </c>
      <c r="K1396" s="33">
        <v>8200</v>
      </c>
      <c r="M1396" t="str">
        <f>_xlfn.XLOOKUP(Pipeline_tbl[[#This Row],[Rep_ID]],Dim_Reps!A:A,Dim_Reps!K:K)</f>
        <v>EUR</v>
      </c>
      <c r="N1396" s="33">
        <f>(_xlfn.XLOOKUP(Pipeline_tbl[[#This Row],[Rate_Code_Generalized]],Lookups!A:A,Lookups!B:B))*Pipeline_tbl[[#This Row],[Pipeline_Amount_USD]]</f>
        <v>8200</v>
      </c>
      <c r="O1396" t="str">
        <f>_xlfn.XLOOKUP(Pipeline_tbl[[#This Row],[Rep_ID]],Dim_Reps!A:A,Dim_Reps!B:B)</f>
        <v>Ana Kim</v>
      </c>
      <c r="P1396" t="str">
        <f>_xlfn.XLOOKUP(Pipeline_tbl[[#This Row],[Rep_ID]],Dim_Reps!A:A,Dim_Reps!C:C)</f>
        <v>Mid-Market AE</v>
      </c>
      <c r="Q1396" t="str">
        <f>_xlfn.XLOOKUP(Pipeline_tbl[[#This Row],[Rep_ID]],Dim_Reps!A:A,Dim_Reps!D:D)</f>
        <v>Mid-Market</v>
      </c>
      <c r="R1396" t="str">
        <f>_xlfn.XLOOKUP(Pipeline_tbl[[#This Row],[Rep_ID]],Dim_Reps!A:A,Dim_Reps!E:E)</f>
        <v>APAC</v>
      </c>
      <c r="S1396" t="str">
        <f>_xlfn.XLOOKUP(Pipeline_tbl[[#This Row],[Created_Date]],Dim_Date!A:A,Dim_Date!H:H)</f>
        <v>Nov 2025</v>
      </c>
      <c r="T1396" t="str">
        <f>IF(Pipeline_tbl[[#This Row],[Closed_Date]]=0,"",(_xlfn.XLOOKUP(Pipeline_tbl[[#This Row],[Closed_Date]],Dim_Date!A:A,Dim_Date!H:H)))</f>
        <v/>
      </c>
      <c r="U1396" t="str">
        <f>IF(Pipeline_tbl[[#This Row],[Closed_Date]]=0,"",Pipeline_tbl[[#This Row],[Closed_Date]]-Pipeline_tbl[[#This Row],[Created_Date]])</f>
        <v/>
      </c>
    </row>
    <row r="1397" spans="1:21" ht="15" customHeight="1" x14ac:dyDescent="0.2">
      <c r="A1397" t="s">
        <v>1703</v>
      </c>
      <c r="B1397" t="s">
        <v>259</v>
      </c>
      <c r="C1397" t="s">
        <v>52</v>
      </c>
      <c r="D1397" s="49">
        <v>45983</v>
      </c>
      <c r="E1397" s="49">
        <v>45987</v>
      </c>
      <c r="F1397" s="49">
        <v>45996</v>
      </c>
      <c r="G1397" s="49">
        <v>46009</v>
      </c>
      <c r="H1397" s="49">
        <v>46020</v>
      </c>
      <c r="J1397" t="s">
        <v>308</v>
      </c>
      <c r="K1397" s="33">
        <v>13700</v>
      </c>
      <c r="M1397" t="str">
        <f>_xlfn.XLOOKUP(Pipeline_tbl[[#This Row],[Rep_ID]],Dim_Reps!A:A,Dim_Reps!K:K)</f>
        <v>EUR</v>
      </c>
      <c r="N1397" s="33">
        <f>(_xlfn.XLOOKUP(Pipeline_tbl[[#This Row],[Rate_Code_Generalized]],Lookups!A:A,Lookups!B:B))*Pipeline_tbl[[#This Row],[Pipeline_Amount_USD]]</f>
        <v>13700</v>
      </c>
      <c r="O1397" t="str">
        <f>_xlfn.XLOOKUP(Pipeline_tbl[[#This Row],[Rep_ID]],Dim_Reps!A:A,Dim_Reps!B:B)</f>
        <v>Felix Okafor</v>
      </c>
      <c r="P1397" t="str">
        <f>_xlfn.XLOOKUP(Pipeline_tbl[[#This Row],[Rep_ID]],Dim_Reps!A:A,Dim_Reps!C:C)</f>
        <v>Mid-Market AE</v>
      </c>
      <c r="Q1397" t="str">
        <f>_xlfn.XLOOKUP(Pipeline_tbl[[#This Row],[Rep_ID]],Dim_Reps!A:A,Dim_Reps!D:D)</f>
        <v>Mid-Market</v>
      </c>
      <c r="R1397" t="str">
        <f>_xlfn.XLOOKUP(Pipeline_tbl[[#This Row],[Rep_ID]],Dim_Reps!A:A,Dim_Reps!E:E)</f>
        <v>EMEA</v>
      </c>
      <c r="S1397" t="str">
        <f>_xlfn.XLOOKUP(Pipeline_tbl[[#This Row],[Created_Date]],Dim_Date!A:A,Dim_Date!H:H)</f>
        <v>Nov 2025</v>
      </c>
      <c r="T1397" t="str">
        <f>IF(Pipeline_tbl[[#This Row],[Closed_Date]]=0,"",(_xlfn.XLOOKUP(Pipeline_tbl[[#This Row],[Closed_Date]],Dim_Date!A:A,Dim_Date!H:H)))</f>
        <v/>
      </c>
      <c r="U1397" t="str">
        <f>IF(Pipeline_tbl[[#This Row],[Closed_Date]]=0,"",Pipeline_tbl[[#This Row],[Closed_Date]]-Pipeline_tbl[[#This Row],[Created_Date]])</f>
        <v/>
      </c>
    </row>
    <row r="1398" spans="1:21" ht="15" customHeight="1" x14ac:dyDescent="0.2">
      <c r="A1398" t="s">
        <v>1704</v>
      </c>
      <c r="B1398" t="s">
        <v>259</v>
      </c>
      <c r="C1398" t="s">
        <v>53</v>
      </c>
      <c r="D1398" s="49">
        <v>45991</v>
      </c>
      <c r="E1398" s="49">
        <v>45995</v>
      </c>
      <c r="F1398" s="49">
        <v>46002</v>
      </c>
      <c r="G1398" s="49">
        <v>46012</v>
      </c>
      <c r="H1398" s="49">
        <v>46021</v>
      </c>
      <c r="J1398" t="s">
        <v>308</v>
      </c>
      <c r="K1398" s="33">
        <v>15800</v>
      </c>
      <c r="M1398" t="str">
        <f>_xlfn.XLOOKUP(Pipeline_tbl[[#This Row],[Rep_ID]],Dim_Reps!A:A,Dim_Reps!K:K)</f>
        <v>EUR</v>
      </c>
      <c r="N1398" s="33">
        <f>(_xlfn.XLOOKUP(Pipeline_tbl[[#This Row],[Rate_Code_Generalized]],Lookups!A:A,Lookups!B:B))*Pipeline_tbl[[#This Row],[Pipeline_Amount_USD]]</f>
        <v>15800</v>
      </c>
      <c r="O1398" t="str">
        <f>_xlfn.XLOOKUP(Pipeline_tbl[[#This Row],[Rep_ID]],Dim_Reps!A:A,Dim_Reps!B:B)</f>
        <v>Felix Okafor</v>
      </c>
      <c r="P1398" t="str">
        <f>_xlfn.XLOOKUP(Pipeline_tbl[[#This Row],[Rep_ID]],Dim_Reps!A:A,Dim_Reps!C:C)</f>
        <v>Mid-Market AE</v>
      </c>
      <c r="Q1398" t="str">
        <f>_xlfn.XLOOKUP(Pipeline_tbl[[#This Row],[Rep_ID]],Dim_Reps!A:A,Dim_Reps!D:D)</f>
        <v>Mid-Market</v>
      </c>
      <c r="R1398" t="str">
        <f>_xlfn.XLOOKUP(Pipeline_tbl[[#This Row],[Rep_ID]],Dim_Reps!A:A,Dim_Reps!E:E)</f>
        <v>EMEA</v>
      </c>
      <c r="S1398" t="str">
        <f>_xlfn.XLOOKUP(Pipeline_tbl[[#This Row],[Created_Date]],Dim_Date!A:A,Dim_Date!H:H)</f>
        <v>Nov 2025</v>
      </c>
      <c r="T1398" t="str">
        <f>IF(Pipeline_tbl[[#This Row],[Closed_Date]]=0,"",(_xlfn.XLOOKUP(Pipeline_tbl[[#This Row],[Closed_Date]],Dim_Date!A:A,Dim_Date!H:H)))</f>
        <v/>
      </c>
      <c r="U1398" t="str">
        <f>IF(Pipeline_tbl[[#This Row],[Closed_Date]]=0,"",Pipeline_tbl[[#This Row],[Closed_Date]]-Pipeline_tbl[[#This Row],[Created_Date]])</f>
        <v/>
      </c>
    </row>
    <row r="1399" spans="1:21" ht="15" customHeight="1" x14ac:dyDescent="0.2">
      <c r="A1399" t="s">
        <v>1705</v>
      </c>
      <c r="B1399" t="s">
        <v>259</v>
      </c>
      <c r="C1399" t="s">
        <v>54</v>
      </c>
      <c r="D1399" s="49">
        <v>45991</v>
      </c>
      <c r="E1399" s="49">
        <v>45994</v>
      </c>
      <c r="F1399" s="49">
        <v>46001</v>
      </c>
      <c r="G1399" s="49">
        <v>46011</v>
      </c>
      <c r="H1399" s="49">
        <v>46020</v>
      </c>
      <c r="J1399" t="s">
        <v>308</v>
      </c>
      <c r="K1399" s="33">
        <v>15700</v>
      </c>
      <c r="M1399" t="str">
        <f>_xlfn.XLOOKUP(Pipeline_tbl[[#This Row],[Rep_ID]],Dim_Reps!A:A,Dim_Reps!K:K)</f>
        <v>EUR</v>
      </c>
      <c r="N1399" s="33">
        <f>(_xlfn.XLOOKUP(Pipeline_tbl[[#This Row],[Rate_Code_Generalized]],Lookups!A:A,Lookups!B:B))*Pipeline_tbl[[#This Row],[Pipeline_Amount_USD]]</f>
        <v>15700</v>
      </c>
      <c r="O1399" t="str">
        <f>_xlfn.XLOOKUP(Pipeline_tbl[[#This Row],[Rep_ID]],Dim_Reps!A:A,Dim_Reps!B:B)</f>
        <v>Felix Okafor</v>
      </c>
      <c r="P1399" t="str">
        <f>_xlfn.XLOOKUP(Pipeline_tbl[[#This Row],[Rep_ID]],Dim_Reps!A:A,Dim_Reps!C:C)</f>
        <v>Mid-Market AE</v>
      </c>
      <c r="Q1399" t="str">
        <f>_xlfn.XLOOKUP(Pipeline_tbl[[#This Row],[Rep_ID]],Dim_Reps!A:A,Dim_Reps!D:D)</f>
        <v>Mid-Market</v>
      </c>
      <c r="R1399" t="str">
        <f>_xlfn.XLOOKUP(Pipeline_tbl[[#This Row],[Rep_ID]],Dim_Reps!A:A,Dim_Reps!E:E)</f>
        <v>EMEA</v>
      </c>
      <c r="S1399" t="str">
        <f>_xlfn.XLOOKUP(Pipeline_tbl[[#This Row],[Created_Date]],Dim_Date!A:A,Dim_Date!H:H)</f>
        <v>Nov 2025</v>
      </c>
      <c r="T1399" t="str">
        <f>IF(Pipeline_tbl[[#This Row],[Closed_Date]]=0,"",(_xlfn.XLOOKUP(Pipeline_tbl[[#This Row],[Closed_Date]],Dim_Date!A:A,Dim_Date!H:H)))</f>
        <v/>
      </c>
      <c r="U1399" t="str">
        <f>IF(Pipeline_tbl[[#This Row],[Closed_Date]]=0,"",Pipeline_tbl[[#This Row],[Closed_Date]]-Pipeline_tbl[[#This Row],[Created_Date]])</f>
        <v/>
      </c>
    </row>
    <row r="1400" spans="1:21" ht="15" customHeight="1" x14ac:dyDescent="0.2">
      <c r="A1400" t="s">
        <v>1706</v>
      </c>
      <c r="B1400" t="s">
        <v>261</v>
      </c>
      <c r="C1400" t="s">
        <v>54</v>
      </c>
      <c r="D1400" s="49">
        <v>45991</v>
      </c>
      <c r="E1400" s="49">
        <v>45995</v>
      </c>
      <c r="F1400" s="49">
        <v>46003</v>
      </c>
      <c r="G1400" s="49">
        <v>46016</v>
      </c>
      <c r="J1400" t="s">
        <v>308</v>
      </c>
      <c r="K1400" s="33">
        <v>7900</v>
      </c>
      <c r="M1400" t="str">
        <f>_xlfn.XLOOKUP(Pipeline_tbl[[#This Row],[Rep_ID]],Dim_Reps!A:A,Dim_Reps!K:K)</f>
        <v>USD</v>
      </c>
      <c r="N1400" s="33">
        <f>(_xlfn.XLOOKUP(Pipeline_tbl[[#This Row],[Rate_Code_Generalized]],Lookups!A:A,Lookups!B:B))*Pipeline_tbl[[#This Row],[Pipeline_Amount_USD]]</f>
        <v>9197.9699999999993</v>
      </c>
      <c r="O1400" t="str">
        <f>_xlfn.XLOOKUP(Pipeline_tbl[[#This Row],[Rep_ID]],Dim_Reps!A:A,Dim_Reps!B:B)</f>
        <v>Morgan Larsen</v>
      </c>
      <c r="P1400" t="str">
        <f>_xlfn.XLOOKUP(Pipeline_tbl[[#This Row],[Rep_ID]],Dim_Reps!A:A,Dim_Reps!C:C)</f>
        <v>Mid-Market AE</v>
      </c>
      <c r="Q1400" t="str">
        <f>_xlfn.XLOOKUP(Pipeline_tbl[[#This Row],[Rep_ID]],Dim_Reps!A:A,Dim_Reps!D:D)</f>
        <v>Mid-Market</v>
      </c>
      <c r="R1400" t="str">
        <f>_xlfn.XLOOKUP(Pipeline_tbl[[#This Row],[Rep_ID]],Dim_Reps!A:A,Dim_Reps!E:E)</f>
        <v>NAMER</v>
      </c>
      <c r="S1400" t="str">
        <f>_xlfn.XLOOKUP(Pipeline_tbl[[#This Row],[Created_Date]],Dim_Date!A:A,Dim_Date!H:H)</f>
        <v>Nov 2025</v>
      </c>
      <c r="T1400" t="str">
        <f>IF(Pipeline_tbl[[#This Row],[Closed_Date]]=0,"",(_xlfn.XLOOKUP(Pipeline_tbl[[#This Row],[Closed_Date]],Dim_Date!A:A,Dim_Date!H:H)))</f>
        <v/>
      </c>
      <c r="U1400" t="str">
        <f>IF(Pipeline_tbl[[#This Row],[Closed_Date]]=0,"",Pipeline_tbl[[#This Row],[Closed_Date]]-Pipeline_tbl[[#This Row],[Created_Date]])</f>
        <v/>
      </c>
    </row>
    <row r="1401" spans="1:21" ht="15" customHeight="1" x14ac:dyDescent="0.2">
      <c r="A1401" t="s">
        <v>1707</v>
      </c>
      <c r="B1401" t="s">
        <v>280</v>
      </c>
      <c r="C1401" t="s">
        <v>52</v>
      </c>
      <c r="D1401" s="49">
        <v>45979</v>
      </c>
      <c r="E1401" s="49">
        <v>45987</v>
      </c>
      <c r="F1401" s="49">
        <v>46004</v>
      </c>
      <c r="J1401" t="s">
        <v>308</v>
      </c>
      <c r="K1401" s="33">
        <v>23700</v>
      </c>
      <c r="M1401" t="str">
        <f>_xlfn.XLOOKUP(Pipeline_tbl[[#This Row],[Rep_ID]],Dim_Reps!A:A,Dim_Reps!K:K)</f>
        <v>MXN</v>
      </c>
      <c r="N1401" s="33">
        <f>(_xlfn.XLOOKUP(Pipeline_tbl[[#This Row],[Rate_Code_Generalized]],Lookups!A:A,Lookups!B:B))*Pipeline_tbl[[#This Row],[Pipeline_Amount_USD]]</f>
        <v>467664.99000000005</v>
      </c>
      <c r="O1401" t="str">
        <f>_xlfn.XLOOKUP(Pipeline_tbl[[#This Row],[Rep_ID]],Dim_Reps!A:A,Dim_Reps!B:B)</f>
        <v>Cameron Lund</v>
      </c>
      <c r="P1401" t="str">
        <f>_xlfn.XLOOKUP(Pipeline_tbl[[#This Row],[Rep_ID]],Dim_Reps!A:A,Dim_Reps!C:C)</f>
        <v>Senior Enterprise AE</v>
      </c>
      <c r="Q1401" t="str">
        <f>_xlfn.XLOOKUP(Pipeline_tbl[[#This Row],[Rep_ID]],Dim_Reps!A:A,Dim_Reps!D:D)</f>
        <v>Strategic</v>
      </c>
      <c r="R1401" t="str">
        <f>_xlfn.XLOOKUP(Pipeline_tbl[[#This Row],[Rep_ID]],Dim_Reps!A:A,Dim_Reps!E:E)</f>
        <v>LATAM</v>
      </c>
      <c r="S1401" t="str">
        <f>_xlfn.XLOOKUP(Pipeline_tbl[[#This Row],[Created_Date]],Dim_Date!A:A,Dim_Date!H:H)</f>
        <v>Nov 2025</v>
      </c>
      <c r="T1401" t="str">
        <f>IF(Pipeline_tbl[[#This Row],[Closed_Date]]=0,"",(_xlfn.XLOOKUP(Pipeline_tbl[[#This Row],[Closed_Date]],Dim_Date!A:A,Dim_Date!H:H)))</f>
        <v/>
      </c>
      <c r="U1401" t="str">
        <f>IF(Pipeline_tbl[[#This Row],[Closed_Date]]=0,"",Pipeline_tbl[[#This Row],[Closed_Date]]-Pipeline_tbl[[#This Row],[Created_Date]])</f>
        <v/>
      </c>
    </row>
    <row r="1402" spans="1:21" ht="15" customHeight="1" x14ac:dyDescent="0.2">
      <c r="A1402" t="s">
        <v>1708</v>
      </c>
      <c r="B1402" t="s">
        <v>280</v>
      </c>
      <c r="C1402" t="s">
        <v>53</v>
      </c>
      <c r="D1402" s="49">
        <v>45967</v>
      </c>
      <c r="E1402" s="49">
        <v>45977</v>
      </c>
      <c r="F1402" s="49">
        <v>45998</v>
      </c>
      <c r="J1402" t="s">
        <v>308</v>
      </c>
      <c r="K1402" s="33">
        <v>91100</v>
      </c>
      <c r="M1402" t="str">
        <f>_xlfn.XLOOKUP(Pipeline_tbl[[#This Row],[Rep_ID]],Dim_Reps!A:A,Dim_Reps!K:K)</f>
        <v>MXN</v>
      </c>
      <c r="N1402" s="33">
        <f>(_xlfn.XLOOKUP(Pipeline_tbl[[#This Row],[Rate_Code_Generalized]],Lookups!A:A,Lookups!B:B))*Pipeline_tbl[[#This Row],[Pipeline_Amount_USD]]</f>
        <v>1797648.9700000002</v>
      </c>
      <c r="O1402" t="str">
        <f>_xlfn.XLOOKUP(Pipeline_tbl[[#This Row],[Rep_ID]],Dim_Reps!A:A,Dim_Reps!B:B)</f>
        <v>Cameron Lund</v>
      </c>
      <c r="P1402" t="str">
        <f>_xlfn.XLOOKUP(Pipeline_tbl[[#This Row],[Rep_ID]],Dim_Reps!A:A,Dim_Reps!C:C)</f>
        <v>Senior Enterprise AE</v>
      </c>
      <c r="Q1402" t="str">
        <f>_xlfn.XLOOKUP(Pipeline_tbl[[#This Row],[Rep_ID]],Dim_Reps!A:A,Dim_Reps!D:D)</f>
        <v>Strategic</v>
      </c>
      <c r="R1402" t="str">
        <f>_xlfn.XLOOKUP(Pipeline_tbl[[#This Row],[Rep_ID]],Dim_Reps!A:A,Dim_Reps!E:E)</f>
        <v>LATAM</v>
      </c>
      <c r="S1402" t="str">
        <f>_xlfn.XLOOKUP(Pipeline_tbl[[#This Row],[Created_Date]],Dim_Date!A:A,Dim_Date!H:H)</f>
        <v>Nov 2025</v>
      </c>
      <c r="T1402" t="str">
        <f>IF(Pipeline_tbl[[#This Row],[Closed_Date]]=0,"",(_xlfn.XLOOKUP(Pipeline_tbl[[#This Row],[Closed_Date]],Dim_Date!A:A,Dim_Date!H:H)))</f>
        <v/>
      </c>
      <c r="U1402" t="str">
        <f>IF(Pipeline_tbl[[#This Row],[Closed_Date]]=0,"",Pipeline_tbl[[#This Row],[Closed_Date]]-Pipeline_tbl[[#This Row],[Created_Date]])</f>
        <v/>
      </c>
    </row>
    <row r="1403" spans="1:21" ht="15" customHeight="1" x14ac:dyDescent="0.2">
      <c r="A1403" t="s">
        <v>1709</v>
      </c>
      <c r="B1403" t="s">
        <v>280</v>
      </c>
      <c r="C1403" t="s">
        <v>54</v>
      </c>
      <c r="D1403" s="49">
        <v>45972</v>
      </c>
      <c r="E1403" s="49">
        <v>45980</v>
      </c>
      <c r="F1403" s="49">
        <v>45996</v>
      </c>
      <c r="G1403" s="49">
        <v>46019</v>
      </c>
      <c r="J1403" t="s">
        <v>308</v>
      </c>
      <c r="K1403" s="33">
        <v>48300</v>
      </c>
      <c r="M1403" t="str">
        <f>_xlfn.XLOOKUP(Pipeline_tbl[[#This Row],[Rep_ID]],Dim_Reps!A:A,Dim_Reps!K:K)</f>
        <v>MXN</v>
      </c>
      <c r="N1403" s="33">
        <f>(_xlfn.XLOOKUP(Pipeline_tbl[[#This Row],[Rate_Code_Generalized]],Lookups!A:A,Lookups!B:B))*Pipeline_tbl[[#This Row],[Pipeline_Amount_USD]]</f>
        <v>953089.41</v>
      </c>
      <c r="O1403" t="str">
        <f>_xlfn.XLOOKUP(Pipeline_tbl[[#This Row],[Rep_ID]],Dim_Reps!A:A,Dim_Reps!B:B)</f>
        <v>Cameron Lund</v>
      </c>
      <c r="P1403" t="str">
        <f>_xlfn.XLOOKUP(Pipeline_tbl[[#This Row],[Rep_ID]],Dim_Reps!A:A,Dim_Reps!C:C)</f>
        <v>Senior Enterprise AE</v>
      </c>
      <c r="Q1403" t="str">
        <f>_xlfn.XLOOKUP(Pipeline_tbl[[#This Row],[Rep_ID]],Dim_Reps!A:A,Dim_Reps!D:D)</f>
        <v>Strategic</v>
      </c>
      <c r="R1403" t="str">
        <f>_xlfn.XLOOKUP(Pipeline_tbl[[#This Row],[Rep_ID]],Dim_Reps!A:A,Dim_Reps!E:E)</f>
        <v>LATAM</v>
      </c>
      <c r="S1403" t="str">
        <f>_xlfn.XLOOKUP(Pipeline_tbl[[#This Row],[Created_Date]],Dim_Date!A:A,Dim_Date!H:H)</f>
        <v>Nov 2025</v>
      </c>
      <c r="T1403" t="str">
        <f>IF(Pipeline_tbl[[#This Row],[Closed_Date]]=0,"",(_xlfn.XLOOKUP(Pipeline_tbl[[#This Row],[Closed_Date]],Dim_Date!A:A,Dim_Date!H:H)))</f>
        <v/>
      </c>
      <c r="U1403" t="str">
        <f>IF(Pipeline_tbl[[#This Row],[Closed_Date]]=0,"",Pipeline_tbl[[#This Row],[Closed_Date]]-Pipeline_tbl[[#This Row],[Created_Date]])</f>
        <v/>
      </c>
    </row>
    <row r="1404" spans="1:21" ht="15" customHeight="1" x14ac:dyDescent="0.2">
      <c r="A1404" t="s">
        <v>1710</v>
      </c>
      <c r="B1404" t="s">
        <v>282</v>
      </c>
      <c r="C1404" t="s">
        <v>55</v>
      </c>
      <c r="D1404" s="49">
        <v>45977</v>
      </c>
      <c r="E1404" s="49">
        <v>45984</v>
      </c>
      <c r="F1404" s="49">
        <v>45998</v>
      </c>
      <c r="G1404" s="49">
        <v>46020</v>
      </c>
      <c r="J1404" t="s">
        <v>308</v>
      </c>
      <c r="K1404" s="33">
        <v>48400</v>
      </c>
      <c r="M1404" t="str">
        <f>_xlfn.XLOOKUP(Pipeline_tbl[[#This Row],[Rep_ID]],Dim_Reps!A:A,Dim_Reps!K:K)</f>
        <v>USD</v>
      </c>
      <c r="N1404" s="33">
        <f>(_xlfn.XLOOKUP(Pipeline_tbl[[#This Row],[Rate_Code_Generalized]],Lookups!A:A,Lookups!B:B))*Pipeline_tbl[[#This Row],[Pipeline_Amount_USD]]</f>
        <v>56352.119999999995</v>
      </c>
      <c r="O1404" t="str">
        <f>_xlfn.XLOOKUP(Pipeline_tbl[[#This Row],[Rep_ID]],Dim_Reps!A:A,Dim_Reps!B:B)</f>
        <v>Fatima Rossi</v>
      </c>
      <c r="P1404" t="str">
        <f>_xlfn.XLOOKUP(Pipeline_tbl[[#This Row],[Rep_ID]],Dim_Reps!A:A,Dim_Reps!C:C)</f>
        <v>Senior Enterprise AE</v>
      </c>
      <c r="Q1404" t="str">
        <f>_xlfn.XLOOKUP(Pipeline_tbl[[#This Row],[Rep_ID]],Dim_Reps!A:A,Dim_Reps!D:D)</f>
        <v>Strategic</v>
      </c>
      <c r="R1404" t="str">
        <f>_xlfn.XLOOKUP(Pipeline_tbl[[#This Row],[Rep_ID]],Dim_Reps!A:A,Dim_Reps!E:E)</f>
        <v>NAMER</v>
      </c>
      <c r="S1404" t="str">
        <f>_xlfn.XLOOKUP(Pipeline_tbl[[#This Row],[Created_Date]],Dim_Date!A:A,Dim_Date!H:H)</f>
        <v>Nov 2025</v>
      </c>
      <c r="T1404" t="str">
        <f>IF(Pipeline_tbl[[#This Row],[Closed_Date]]=0,"",(_xlfn.XLOOKUP(Pipeline_tbl[[#This Row],[Closed_Date]],Dim_Date!A:A,Dim_Date!H:H)))</f>
        <v/>
      </c>
      <c r="U1404" t="str">
        <f>IF(Pipeline_tbl[[#This Row],[Closed_Date]]=0,"",Pipeline_tbl[[#This Row],[Closed_Date]]-Pipeline_tbl[[#This Row],[Created_Date]])</f>
        <v/>
      </c>
    </row>
    <row r="1405" spans="1:21" ht="15" customHeight="1" x14ac:dyDescent="0.2">
      <c r="A1405" t="s">
        <v>1711</v>
      </c>
      <c r="B1405" t="s">
        <v>282</v>
      </c>
      <c r="C1405" t="s">
        <v>52</v>
      </c>
      <c r="D1405" s="49">
        <v>45966</v>
      </c>
      <c r="E1405" s="49">
        <v>45973</v>
      </c>
      <c r="F1405" s="49">
        <v>45988</v>
      </c>
      <c r="G1405" s="49">
        <v>46009</v>
      </c>
      <c r="J1405" t="s">
        <v>308</v>
      </c>
      <c r="K1405" s="33">
        <v>75200</v>
      </c>
      <c r="M1405" t="str">
        <f>_xlfn.XLOOKUP(Pipeline_tbl[[#This Row],[Rep_ID]],Dim_Reps!A:A,Dim_Reps!K:K)</f>
        <v>USD</v>
      </c>
      <c r="N1405" s="33">
        <f>(_xlfn.XLOOKUP(Pipeline_tbl[[#This Row],[Rate_Code_Generalized]],Lookups!A:A,Lookups!B:B))*Pipeline_tbl[[#This Row],[Pipeline_Amount_USD]]</f>
        <v>87555.359999999986</v>
      </c>
      <c r="O1405" t="str">
        <f>_xlfn.XLOOKUP(Pipeline_tbl[[#This Row],[Rep_ID]],Dim_Reps!A:A,Dim_Reps!B:B)</f>
        <v>Fatima Rossi</v>
      </c>
      <c r="P1405" t="str">
        <f>_xlfn.XLOOKUP(Pipeline_tbl[[#This Row],[Rep_ID]],Dim_Reps!A:A,Dim_Reps!C:C)</f>
        <v>Senior Enterprise AE</v>
      </c>
      <c r="Q1405" t="str">
        <f>_xlfn.XLOOKUP(Pipeline_tbl[[#This Row],[Rep_ID]],Dim_Reps!A:A,Dim_Reps!D:D)</f>
        <v>Strategic</v>
      </c>
      <c r="R1405" t="str">
        <f>_xlfn.XLOOKUP(Pipeline_tbl[[#This Row],[Rep_ID]],Dim_Reps!A:A,Dim_Reps!E:E)</f>
        <v>NAMER</v>
      </c>
      <c r="S1405" t="str">
        <f>_xlfn.XLOOKUP(Pipeline_tbl[[#This Row],[Created_Date]],Dim_Date!A:A,Dim_Date!H:H)</f>
        <v>Nov 2025</v>
      </c>
      <c r="T1405" t="str">
        <f>IF(Pipeline_tbl[[#This Row],[Closed_Date]]=0,"",(_xlfn.XLOOKUP(Pipeline_tbl[[#This Row],[Closed_Date]],Dim_Date!A:A,Dim_Date!H:H)))</f>
        <v/>
      </c>
      <c r="U1405" t="str">
        <f>IF(Pipeline_tbl[[#This Row],[Closed_Date]]=0,"",Pipeline_tbl[[#This Row],[Closed_Date]]-Pipeline_tbl[[#This Row],[Created_Date]])</f>
        <v/>
      </c>
    </row>
    <row r="1406" spans="1:21" ht="15" customHeight="1" x14ac:dyDescent="0.2">
      <c r="A1406" t="s">
        <v>1712</v>
      </c>
      <c r="B1406" t="s">
        <v>191</v>
      </c>
      <c r="C1406" t="s">
        <v>53</v>
      </c>
      <c r="D1406" s="49">
        <v>45984</v>
      </c>
      <c r="E1406" s="49">
        <v>45990</v>
      </c>
      <c r="F1406" s="49">
        <v>46001</v>
      </c>
      <c r="G1406" s="49">
        <v>46018</v>
      </c>
      <c r="J1406" t="s">
        <v>308</v>
      </c>
      <c r="K1406" s="33">
        <v>59200</v>
      </c>
      <c r="M1406" t="str">
        <f>_xlfn.XLOOKUP(Pipeline_tbl[[#This Row],[Rep_ID]],Dim_Reps!A:A,Dim_Reps!K:K)</f>
        <v>USD</v>
      </c>
      <c r="N1406" s="33">
        <f>(_xlfn.XLOOKUP(Pipeline_tbl[[#This Row],[Rate_Code_Generalized]],Lookups!A:A,Lookups!B:B))*Pipeline_tbl[[#This Row],[Pipeline_Amount_USD]]</f>
        <v>68926.559999999998</v>
      </c>
      <c r="O1406" t="str">
        <f>_xlfn.XLOOKUP(Pipeline_tbl[[#This Row],[Rep_ID]],Dim_Reps!A:A,Dim_Reps!B:B)</f>
        <v>Zara Duarte</v>
      </c>
      <c r="P1406" t="str">
        <f>_xlfn.XLOOKUP(Pipeline_tbl[[#This Row],[Rep_ID]],Dim_Reps!A:A,Dim_Reps!C:C)</f>
        <v>Enterprise AE</v>
      </c>
      <c r="Q1406" t="str">
        <f>_xlfn.XLOOKUP(Pipeline_tbl[[#This Row],[Rep_ID]],Dim_Reps!A:A,Dim_Reps!D:D)</f>
        <v>Enterprise</v>
      </c>
      <c r="R1406" t="str">
        <f>_xlfn.XLOOKUP(Pipeline_tbl[[#This Row],[Rep_ID]],Dim_Reps!A:A,Dim_Reps!E:E)</f>
        <v>NAMER</v>
      </c>
      <c r="S1406" t="str">
        <f>_xlfn.XLOOKUP(Pipeline_tbl[[#This Row],[Created_Date]],Dim_Date!A:A,Dim_Date!H:H)</f>
        <v>Nov 2025</v>
      </c>
      <c r="T1406" t="str">
        <f>IF(Pipeline_tbl[[#This Row],[Closed_Date]]=0,"",(_xlfn.XLOOKUP(Pipeline_tbl[[#This Row],[Closed_Date]],Dim_Date!A:A,Dim_Date!H:H)))</f>
        <v/>
      </c>
      <c r="U1406" t="str">
        <f>IF(Pipeline_tbl[[#This Row],[Closed_Date]]=0,"",Pipeline_tbl[[#This Row],[Closed_Date]]-Pipeline_tbl[[#This Row],[Created_Date]])</f>
        <v/>
      </c>
    </row>
    <row r="1407" spans="1:21" ht="15" customHeight="1" x14ac:dyDescent="0.2">
      <c r="A1407" t="s">
        <v>1713</v>
      </c>
      <c r="B1407" t="s">
        <v>191</v>
      </c>
      <c r="C1407" t="s">
        <v>54</v>
      </c>
      <c r="D1407" s="49">
        <v>45986</v>
      </c>
      <c r="E1407" s="49">
        <v>45990</v>
      </c>
      <c r="F1407" s="49">
        <v>45999</v>
      </c>
      <c r="G1407" s="49">
        <v>46011</v>
      </c>
      <c r="H1407" s="49">
        <v>46022</v>
      </c>
      <c r="J1407" t="s">
        <v>308</v>
      </c>
      <c r="K1407" s="33">
        <v>53200</v>
      </c>
      <c r="M1407" t="str">
        <f>_xlfn.XLOOKUP(Pipeline_tbl[[#This Row],[Rep_ID]],Dim_Reps!A:A,Dim_Reps!K:K)</f>
        <v>USD</v>
      </c>
      <c r="N1407" s="33">
        <f>(_xlfn.XLOOKUP(Pipeline_tbl[[#This Row],[Rate_Code_Generalized]],Lookups!A:A,Lookups!B:B))*Pipeline_tbl[[#This Row],[Pipeline_Amount_USD]]</f>
        <v>61940.759999999995</v>
      </c>
      <c r="O1407" t="str">
        <f>_xlfn.XLOOKUP(Pipeline_tbl[[#This Row],[Rep_ID]],Dim_Reps!A:A,Dim_Reps!B:B)</f>
        <v>Zara Duarte</v>
      </c>
      <c r="P1407" t="str">
        <f>_xlfn.XLOOKUP(Pipeline_tbl[[#This Row],[Rep_ID]],Dim_Reps!A:A,Dim_Reps!C:C)</f>
        <v>Enterprise AE</v>
      </c>
      <c r="Q1407" t="str">
        <f>_xlfn.XLOOKUP(Pipeline_tbl[[#This Row],[Rep_ID]],Dim_Reps!A:A,Dim_Reps!D:D)</f>
        <v>Enterprise</v>
      </c>
      <c r="R1407" t="str">
        <f>_xlfn.XLOOKUP(Pipeline_tbl[[#This Row],[Rep_ID]],Dim_Reps!A:A,Dim_Reps!E:E)</f>
        <v>NAMER</v>
      </c>
      <c r="S1407" t="str">
        <f>_xlfn.XLOOKUP(Pipeline_tbl[[#This Row],[Created_Date]],Dim_Date!A:A,Dim_Date!H:H)</f>
        <v>Nov 2025</v>
      </c>
      <c r="T1407" t="str">
        <f>IF(Pipeline_tbl[[#This Row],[Closed_Date]]=0,"",(_xlfn.XLOOKUP(Pipeline_tbl[[#This Row],[Closed_Date]],Dim_Date!A:A,Dim_Date!H:H)))</f>
        <v/>
      </c>
      <c r="U1407" t="str">
        <f>IF(Pipeline_tbl[[#This Row],[Closed_Date]]=0,"",Pipeline_tbl[[#This Row],[Closed_Date]]-Pipeline_tbl[[#This Row],[Created_Date]])</f>
        <v/>
      </c>
    </row>
    <row r="1408" spans="1:21" ht="15" customHeight="1" x14ac:dyDescent="0.2">
      <c r="A1408" t="s">
        <v>1714</v>
      </c>
      <c r="B1408" t="s">
        <v>191</v>
      </c>
      <c r="C1408" t="s">
        <v>52</v>
      </c>
      <c r="D1408" s="49">
        <v>45984</v>
      </c>
      <c r="E1408" s="49">
        <v>45992</v>
      </c>
      <c r="F1408" s="49">
        <v>46007</v>
      </c>
      <c r="J1408" t="s">
        <v>308</v>
      </c>
      <c r="K1408" s="33">
        <v>19000</v>
      </c>
      <c r="M1408" t="str">
        <f>_xlfn.XLOOKUP(Pipeline_tbl[[#This Row],[Rep_ID]],Dim_Reps!A:A,Dim_Reps!K:K)</f>
        <v>USD</v>
      </c>
      <c r="N1408" s="33">
        <f>(_xlfn.XLOOKUP(Pipeline_tbl[[#This Row],[Rate_Code_Generalized]],Lookups!A:A,Lookups!B:B))*Pipeline_tbl[[#This Row],[Pipeline_Amount_USD]]</f>
        <v>22121.699999999997</v>
      </c>
      <c r="O1408" t="str">
        <f>_xlfn.XLOOKUP(Pipeline_tbl[[#This Row],[Rep_ID]],Dim_Reps!A:A,Dim_Reps!B:B)</f>
        <v>Zara Duarte</v>
      </c>
      <c r="P1408" t="str">
        <f>_xlfn.XLOOKUP(Pipeline_tbl[[#This Row],[Rep_ID]],Dim_Reps!A:A,Dim_Reps!C:C)</f>
        <v>Enterprise AE</v>
      </c>
      <c r="Q1408" t="str">
        <f>_xlfn.XLOOKUP(Pipeline_tbl[[#This Row],[Rep_ID]],Dim_Reps!A:A,Dim_Reps!D:D)</f>
        <v>Enterprise</v>
      </c>
      <c r="R1408" t="str">
        <f>_xlfn.XLOOKUP(Pipeline_tbl[[#This Row],[Rep_ID]],Dim_Reps!A:A,Dim_Reps!E:E)</f>
        <v>NAMER</v>
      </c>
      <c r="S1408" t="str">
        <f>_xlfn.XLOOKUP(Pipeline_tbl[[#This Row],[Created_Date]],Dim_Date!A:A,Dim_Date!H:H)</f>
        <v>Nov 2025</v>
      </c>
      <c r="T1408" t="str">
        <f>IF(Pipeline_tbl[[#This Row],[Closed_Date]]=0,"",(_xlfn.XLOOKUP(Pipeline_tbl[[#This Row],[Closed_Date]],Dim_Date!A:A,Dim_Date!H:H)))</f>
        <v/>
      </c>
      <c r="U1408" t="str">
        <f>IF(Pipeline_tbl[[#This Row],[Closed_Date]]=0,"",Pipeline_tbl[[#This Row],[Closed_Date]]-Pipeline_tbl[[#This Row],[Created_Date]])</f>
        <v/>
      </c>
    </row>
    <row r="1409" spans="1:21" ht="15" customHeight="1" x14ac:dyDescent="0.2">
      <c r="A1409" t="s">
        <v>1715</v>
      </c>
      <c r="B1409" t="s">
        <v>191</v>
      </c>
      <c r="C1409" t="s">
        <v>52</v>
      </c>
      <c r="D1409" s="49">
        <v>45962</v>
      </c>
      <c r="E1409" s="49">
        <v>45968</v>
      </c>
      <c r="F1409" s="49">
        <v>45981</v>
      </c>
      <c r="G1409" s="49">
        <v>46000</v>
      </c>
      <c r="H1409" s="49">
        <v>46016</v>
      </c>
      <c r="J1409" t="s">
        <v>308</v>
      </c>
      <c r="K1409" s="33">
        <v>32300</v>
      </c>
      <c r="M1409" t="str">
        <f>_xlfn.XLOOKUP(Pipeline_tbl[[#This Row],[Rep_ID]],Dim_Reps!A:A,Dim_Reps!K:K)</f>
        <v>USD</v>
      </c>
      <c r="N1409" s="33">
        <f>(_xlfn.XLOOKUP(Pipeline_tbl[[#This Row],[Rate_Code_Generalized]],Lookups!A:A,Lookups!B:B))*Pipeline_tbl[[#This Row],[Pipeline_Amount_USD]]</f>
        <v>37606.89</v>
      </c>
      <c r="O1409" t="str">
        <f>_xlfn.XLOOKUP(Pipeline_tbl[[#This Row],[Rep_ID]],Dim_Reps!A:A,Dim_Reps!B:B)</f>
        <v>Zara Duarte</v>
      </c>
      <c r="P1409" t="str">
        <f>_xlfn.XLOOKUP(Pipeline_tbl[[#This Row],[Rep_ID]],Dim_Reps!A:A,Dim_Reps!C:C)</f>
        <v>Enterprise AE</v>
      </c>
      <c r="Q1409" t="str">
        <f>_xlfn.XLOOKUP(Pipeline_tbl[[#This Row],[Rep_ID]],Dim_Reps!A:A,Dim_Reps!D:D)</f>
        <v>Enterprise</v>
      </c>
      <c r="R1409" t="str">
        <f>_xlfn.XLOOKUP(Pipeline_tbl[[#This Row],[Rep_ID]],Dim_Reps!A:A,Dim_Reps!E:E)</f>
        <v>NAMER</v>
      </c>
      <c r="S1409" t="str">
        <f>_xlfn.XLOOKUP(Pipeline_tbl[[#This Row],[Created_Date]],Dim_Date!A:A,Dim_Date!H:H)</f>
        <v>Nov 2025</v>
      </c>
      <c r="T1409" t="str">
        <f>IF(Pipeline_tbl[[#This Row],[Closed_Date]]=0,"",(_xlfn.XLOOKUP(Pipeline_tbl[[#This Row],[Closed_Date]],Dim_Date!A:A,Dim_Date!H:H)))</f>
        <v/>
      </c>
      <c r="U1409" t="str">
        <f>IF(Pipeline_tbl[[#This Row],[Closed_Date]]=0,"",Pipeline_tbl[[#This Row],[Closed_Date]]-Pipeline_tbl[[#This Row],[Created_Date]])</f>
        <v/>
      </c>
    </row>
    <row r="1410" spans="1:21" ht="15" customHeight="1" x14ac:dyDescent="0.2">
      <c r="A1410" t="s">
        <v>1716</v>
      </c>
      <c r="B1410" t="s">
        <v>191</v>
      </c>
      <c r="C1410" t="s">
        <v>53</v>
      </c>
      <c r="D1410" s="49">
        <v>45968</v>
      </c>
      <c r="E1410" s="49">
        <v>45974</v>
      </c>
      <c r="F1410" s="49">
        <v>45985</v>
      </c>
      <c r="G1410" s="49">
        <v>46001</v>
      </c>
      <c r="H1410" s="49">
        <v>46015</v>
      </c>
      <c r="J1410" t="s">
        <v>308</v>
      </c>
      <c r="K1410" s="33">
        <v>81400</v>
      </c>
      <c r="M1410" t="str">
        <f>_xlfn.XLOOKUP(Pipeline_tbl[[#This Row],[Rep_ID]],Dim_Reps!A:A,Dim_Reps!K:K)</f>
        <v>USD</v>
      </c>
      <c r="N1410" s="33">
        <f>(_xlfn.XLOOKUP(Pipeline_tbl[[#This Row],[Rate_Code_Generalized]],Lookups!A:A,Lookups!B:B))*Pipeline_tbl[[#This Row],[Pipeline_Amount_USD]]</f>
        <v>94774.01999999999</v>
      </c>
      <c r="O1410" t="str">
        <f>_xlfn.XLOOKUP(Pipeline_tbl[[#This Row],[Rep_ID]],Dim_Reps!A:A,Dim_Reps!B:B)</f>
        <v>Zara Duarte</v>
      </c>
      <c r="P1410" t="str">
        <f>_xlfn.XLOOKUP(Pipeline_tbl[[#This Row],[Rep_ID]],Dim_Reps!A:A,Dim_Reps!C:C)</f>
        <v>Enterprise AE</v>
      </c>
      <c r="Q1410" t="str">
        <f>_xlfn.XLOOKUP(Pipeline_tbl[[#This Row],[Rep_ID]],Dim_Reps!A:A,Dim_Reps!D:D)</f>
        <v>Enterprise</v>
      </c>
      <c r="R1410" t="str">
        <f>_xlfn.XLOOKUP(Pipeline_tbl[[#This Row],[Rep_ID]],Dim_Reps!A:A,Dim_Reps!E:E)</f>
        <v>NAMER</v>
      </c>
      <c r="S1410" t="str">
        <f>_xlfn.XLOOKUP(Pipeline_tbl[[#This Row],[Created_Date]],Dim_Date!A:A,Dim_Date!H:H)</f>
        <v>Nov 2025</v>
      </c>
      <c r="T1410" t="str">
        <f>IF(Pipeline_tbl[[#This Row],[Closed_Date]]=0,"",(_xlfn.XLOOKUP(Pipeline_tbl[[#This Row],[Closed_Date]],Dim_Date!A:A,Dim_Date!H:H)))</f>
        <v/>
      </c>
      <c r="U1410" t="str">
        <f>IF(Pipeline_tbl[[#This Row],[Closed_Date]]=0,"",Pipeline_tbl[[#This Row],[Closed_Date]]-Pipeline_tbl[[#This Row],[Created_Date]])</f>
        <v/>
      </c>
    </row>
    <row r="1411" spans="1:21" ht="15" customHeight="1" x14ac:dyDescent="0.2">
      <c r="A1411" t="s">
        <v>1717</v>
      </c>
      <c r="B1411" t="s">
        <v>263</v>
      </c>
      <c r="C1411" t="s">
        <v>53</v>
      </c>
      <c r="D1411" s="49">
        <v>45990</v>
      </c>
      <c r="E1411" s="49">
        <v>45994</v>
      </c>
      <c r="F1411" s="49">
        <v>46003</v>
      </c>
      <c r="G1411" s="49">
        <v>46015</v>
      </c>
      <c r="J1411" t="s">
        <v>308</v>
      </c>
      <c r="K1411" s="33">
        <v>10400</v>
      </c>
      <c r="M1411" t="str">
        <f>_xlfn.XLOOKUP(Pipeline_tbl[[#This Row],[Rep_ID]],Dim_Reps!A:A,Dim_Reps!K:K)</f>
        <v>USD</v>
      </c>
      <c r="N1411" s="33">
        <f>(_xlfn.XLOOKUP(Pipeline_tbl[[#This Row],[Rate_Code_Generalized]],Lookups!A:A,Lookups!B:B))*Pipeline_tbl[[#This Row],[Pipeline_Amount_USD]]</f>
        <v>12108.72</v>
      </c>
      <c r="O1411" t="str">
        <f>_xlfn.XLOOKUP(Pipeline_tbl[[#This Row],[Rep_ID]],Dim_Reps!A:A,Dim_Reps!B:B)</f>
        <v>Morgan Weber</v>
      </c>
      <c r="P1411" t="str">
        <f>_xlfn.XLOOKUP(Pipeline_tbl[[#This Row],[Rep_ID]],Dim_Reps!A:A,Dim_Reps!C:C)</f>
        <v>Mid-Market AE</v>
      </c>
      <c r="Q1411" t="str">
        <f>_xlfn.XLOOKUP(Pipeline_tbl[[#This Row],[Rep_ID]],Dim_Reps!A:A,Dim_Reps!D:D)</f>
        <v>Mid-Market</v>
      </c>
      <c r="R1411" t="str">
        <f>_xlfn.XLOOKUP(Pipeline_tbl[[#This Row],[Rep_ID]],Dim_Reps!A:A,Dim_Reps!E:E)</f>
        <v>NAMER</v>
      </c>
      <c r="S1411" t="str">
        <f>_xlfn.XLOOKUP(Pipeline_tbl[[#This Row],[Created_Date]],Dim_Date!A:A,Dim_Date!H:H)</f>
        <v>Nov 2025</v>
      </c>
      <c r="T1411" t="str">
        <f>IF(Pipeline_tbl[[#This Row],[Closed_Date]]=0,"",(_xlfn.XLOOKUP(Pipeline_tbl[[#This Row],[Closed_Date]],Dim_Date!A:A,Dim_Date!H:H)))</f>
        <v/>
      </c>
      <c r="U1411" t="str">
        <f>IF(Pipeline_tbl[[#This Row],[Closed_Date]]=0,"",Pipeline_tbl[[#This Row],[Closed_Date]]-Pipeline_tbl[[#This Row],[Created_Date]])</f>
        <v/>
      </c>
    </row>
    <row r="1412" spans="1:21" ht="15" customHeight="1" x14ac:dyDescent="0.2">
      <c r="A1412" t="s">
        <v>1718</v>
      </c>
      <c r="B1412" t="s">
        <v>263</v>
      </c>
      <c r="C1412" t="s">
        <v>52</v>
      </c>
      <c r="D1412" s="49">
        <v>45987</v>
      </c>
      <c r="E1412" s="49">
        <v>45991</v>
      </c>
      <c r="F1412" s="49">
        <v>45999</v>
      </c>
      <c r="G1412" s="49">
        <v>46012</v>
      </c>
      <c r="H1412" s="49">
        <v>46022</v>
      </c>
      <c r="J1412" t="s">
        <v>308</v>
      </c>
      <c r="K1412" s="33">
        <v>13900</v>
      </c>
      <c r="M1412" t="str">
        <f>_xlfn.XLOOKUP(Pipeline_tbl[[#This Row],[Rep_ID]],Dim_Reps!A:A,Dim_Reps!K:K)</f>
        <v>USD</v>
      </c>
      <c r="N1412" s="33">
        <f>(_xlfn.XLOOKUP(Pipeline_tbl[[#This Row],[Rate_Code_Generalized]],Lookups!A:A,Lookups!B:B))*Pipeline_tbl[[#This Row],[Pipeline_Amount_USD]]</f>
        <v>16183.769999999999</v>
      </c>
      <c r="O1412" t="str">
        <f>_xlfn.XLOOKUP(Pipeline_tbl[[#This Row],[Rep_ID]],Dim_Reps!A:A,Dim_Reps!B:B)</f>
        <v>Morgan Weber</v>
      </c>
      <c r="P1412" t="str">
        <f>_xlfn.XLOOKUP(Pipeline_tbl[[#This Row],[Rep_ID]],Dim_Reps!A:A,Dim_Reps!C:C)</f>
        <v>Mid-Market AE</v>
      </c>
      <c r="Q1412" t="str">
        <f>_xlfn.XLOOKUP(Pipeline_tbl[[#This Row],[Rep_ID]],Dim_Reps!A:A,Dim_Reps!D:D)</f>
        <v>Mid-Market</v>
      </c>
      <c r="R1412" t="str">
        <f>_xlfn.XLOOKUP(Pipeline_tbl[[#This Row],[Rep_ID]],Dim_Reps!A:A,Dim_Reps!E:E)</f>
        <v>NAMER</v>
      </c>
      <c r="S1412" t="str">
        <f>_xlfn.XLOOKUP(Pipeline_tbl[[#This Row],[Created_Date]],Dim_Date!A:A,Dim_Date!H:H)</f>
        <v>Nov 2025</v>
      </c>
      <c r="T1412" t="str">
        <f>IF(Pipeline_tbl[[#This Row],[Closed_Date]]=0,"",(_xlfn.XLOOKUP(Pipeline_tbl[[#This Row],[Closed_Date]],Dim_Date!A:A,Dim_Date!H:H)))</f>
        <v/>
      </c>
      <c r="U1412" t="str">
        <f>IF(Pipeline_tbl[[#This Row],[Closed_Date]]=0,"",Pipeline_tbl[[#This Row],[Closed_Date]]-Pipeline_tbl[[#This Row],[Created_Date]])</f>
        <v/>
      </c>
    </row>
    <row r="1413" spans="1:21" ht="15" customHeight="1" x14ac:dyDescent="0.2">
      <c r="A1413" t="s">
        <v>1719</v>
      </c>
      <c r="B1413" t="s">
        <v>265</v>
      </c>
      <c r="C1413" t="s">
        <v>55</v>
      </c>
      <c r="D1413" s="49">
        <v>45986</v>
      </c>
      <c r="E1413" s="49">
        <v>45991</v>
      </c>
      <c r="F1413" s="49">
        <v>46001</v>
      </c>
      <c r="G1413" s="49">
        <v>46017</v>
      </c>
      <c r="J1413" t="s">
        <v>308</v>
      </c>
      <c r="K1413" s="33">
        <v>9300</v>
      </c>
      <c r="M1413" t="str">
        <f>_xlfn.XLOOKUP(Pipeline_tbl[[#This Row],[Rep_ID]],Dim_Reps!A:A,Dim_Reps!K:K)</f>
        <v>EUR</v>
      </c>
      <c r="N1413" s="33">
        <f>(_xlfn.XLOOKUP(Pipeline_tbl[[#This Row],[Rate_Code_Generalized]],Lookups!A:A,Lookups!B:B))*Pipeline_tbl[[#This Row],[Pipeline_Amount_USD]]</f>
        <v>9300</v>
      </c>
      <c r="O1413" t="str">
        <f>_xlfn.XLOOKUP(Pipeline_tbl[[#This Row],[Rep_ID]],Dim_Reps!A:A,Dim_Reps!B:B)</f>
        <v>Erik Duarte</v>
      </c>
      <c r="P1413" t="str">
        <f>_xlfn.XLOOKUP(Pipeline_tbl[[#This Row],[Rep_ID]],Dim_Reps!A:A,Dim_Reps!C:C)</f>
        <v>Mid-Market AE</v>
      </c>
      <c r="Q1413" t="str">
        <f>_xlfn.XLOOKUP(Pipeline_tbl[[#This Row],[Rep_ID]],Dim_Reps!A:A,Dim_Reps!D:D)</f>
        <v>Mid-Market</v>
      </c>
      <c r="R1413" t="str">
        <f>_xlfn.XLOOKUP(Pipeline_tbl[[#This Row],[Rep_ID]],Dim_Reps!A:A,Dim_Reps!E:E)</f>
        <v>EMEA</v>
      </c>
      <c r="S1413" t="str">
        <f>_xlfn.XLOOKUP(Pipeline_tbl[[#This Row],[Created_Date]],Dim_Date!A:A,Dim_Date!H:H)</f>
        <v>Nov 2025</v>
      </c>
      <c r="T1413" t="str">
        <f>IF(Pipeline_tbl[[#This Row],[Closed_Date]]=0,"",(_xlfn.XLOOKUP(Pipeline_tbl[[#This Row],[Closed_Date]],Dim_Date!A:A,Dim_Date!H:H)))</f>
        <v/>
      </c>
      <c r="U1413" t="str">
        <f>IF(Pipeline_tbl[[#This Row],[Closed_Date]]=0,"",Pipeline_tbl[[#This Row],[Closed_Date]]-Pipeline_tbl[[#This Row],[Created_Date]])</f>
        <v/>
      </c>
    </row>
    <row r="1414" spans="1:21" ht="15" customHeight="1" x14ac:dyDescent="0.2">
      <c r="A1414" t="s">
        <v>1720</v>
      </c>
      <c r="B1414" t="s">
        <v>265</v>
      </c>
      <c r="C1414" t="s">
        <v>54</v>
      </c>
      <c r="D1414" s="49">
        <v>45987</v>
      </c>
      <c r="E1414" s="49">
        <v>45992</v>
      </c>
      <c r="F1414" s="49">
        <v>46003</v>
      </c>
      <c r="G1414" s="49">
        <v>46018</v>
      </c>
      <c r="J1414" t="s">
        <v>308</v>
      </c>
      <c r="K1414" s="33">
        <v>11100</v>
      </c>
      <c r="M1414" t="str">
        <f>_xlfn.XLOOKUP(Pipeline_tbl[[#This Row],[Rep_ID]],Dim_Reps!A:A,Dim_Reps!K:K)</f>
        <v>EUR</v>
      </c>
      <c r="N1414" s="33">
        <f>(_xlfn.XLOOKUP(Pipeline_tbl[[#This Row],[Rate_Code_Generalized]],Lookups!A:A,Lookups!B:B))*Pipeline_tbl[[#This Row],[Pipeline_Amount_USD]]</f>
        <v>11100</v>
      </c>
      <c r="O1414" t="str">
        <f>_xlfn.XLOOKUP(Pipeline_tbl[[#This Row],[Rep_ID]],Dim_Reps!A:A,Dim_Reps!B:B)</f>
        <v>Erik Duarte</v>
      </c>
      <c r="P1414" t="str">
        <f>_xlfn.XLOOKUP(Pipeline_tbl[[#This Row],[Rep_ID]],Dim_Reps!A:A,Dim_Reps!C:C)</f>
        <v>Mid-Market AE</v>
      </c>
      <c r="Q1414" t="str">
        <f>_xlfn.XLOOKUP(Pipeline_tbl[[#This Row],[Rep_ID]],Dim_Reps!A:A,Dim_Reps!D:D)</f>
        <v>Mid-Market</v>
      </c>
      <c r="R1414" t="str">
        <f>_xlfn.XLOOKUP(Pipeline_tbl[[#This Row],[Rep_ID]],Dim_Reps!A:A,Dim_Reps!E:E)</f>
        <v>EMEA</v>
      </c>
      <c r="S1414" t="str">
        <f>_xlfn.XLOOKUP(Pipeline_tbl[[#This Row],[Created_Date]],Dim_Date!A:A,Dim_Date!H:H)</f>
        <v>Nov 2025</v>
      </c>
      <c r="T1414" t="str">
        <f>IF(Pipeline_tbl[[#This Row],[Closed_Date]]=0,"",(_xlfn.XLOOKUP(Pipeline_tbl[[#This Row],[Closed_Date]],Dim_Date!A:A,Dim_Date!H:H)))</f>
        <v/>
      </c>
      <c r="U1414" t="str">
        <f>IF(Pipeline_tbl[[#This Row],[Closed_Date]]=0,"",Pipeline_tbl[[#This Row],[Closed_Date]]-Pipeline_tbl[[#This Row],[Created_Date]])</f>
        <v/>
      </c>
    </row>
    <row r="1415" spans="1:21" ht="15" customHeight="1" x14ac:dyDescent="0.2">
      <c r="A1415" t="s">
        <v>1721</v>
      </c>
      <c r="B1415" t="s">
        <v>267</v>
      </c>
      <c r="C1415" t="s">
        <v>54</v>
      </c>
      <c r="D1415" s="49">
        <v>45989</v>
      </c>
      <c r="E1415" s="49">
        <v>45994</v>
      </c>
      <c r="F1415" s="49">
        <v>46004</v>
      </c>
      <c r="G1415" s="49">
        <v>46019</v>
      </c>
      <c r="J1415" t="s">
        <v>308</v>
      </c>
      <c r="K1415" s="33">
        <v>5300</v>
      </c>
      <c r="M1415" t="str">
        <f>_xlfn.XLOOKUP(Pipeline_tbl[[#This Row],[Rep_ID]],Dim_Reps!A:A,Dim_Reps!K:K)</f>
        <v>MXN</v>
      </c>
      <c r="N1415" s="33">
        <f>(_xlfn.XLOOKUP(Pipeline_tbl[[#This Row],[Rate_Code_Generalized]],Lookups!A:A,Lookups!B:B))*Pipeline_tbl[[#This Row],[Pipeline_Amount_USD]]</f>
        <v>104583.31000000001</v>
      </c>
      <c r="O1415" t="str">
        <f>_xlfn.XLOOKUP(Pipeline_tbl[[#This Row],[Rep_ID]],Dim_Reps!A:A,Dim_Reps!B:B)</f>
        <v>Yuki Dubois</v>
      </c>
      <c r="P1415" t="str">
        <f>_xlfn.XLOOKUP(Pipeline_tbl[[#This Row],[Rep_ID]],Dim_Reps!A:A,Dim_Reps!C:C)</f>
        <v>Mid-Market AE</v>
      </c>
      <c r="Q1415" t="str">
        <f>_xlfn.XLOOKUP(Pipeline_tbl[[#This Row],[Rep_ID]],Dim_Reps!A:A,Dim_Reps!D:D)</f>
        <v>Mid-Market</v>
      </c>
      <c r="R1415" t="str">
        <f>_xlfn.XLOOKUP(Pipeline_tbl[[#This Row],[Rep_ID]],Dim_Reps!A:A,Dim_Reps!E:E)</f>
        <v>LATAM</v>
      </c>
      <c r="S1415" t="str">
        <f>_xlfn.XLOOKUP(Pipeline_tbl[[#This Row],[Created_Date]],Dim_Date!A:A,Dim_Date!H:H)</f>
        <v>Nov 2025</v>
      </c>
      <c r="T1415" t="str">
        <f>IF(Pipeline_tbl[[#This Row],[Closed_Date]]=0,"",(_xlfn.XLOOKUP(Pipeline_tbl[[#This Row],[Closed_Date]],Dim_Date!A:A,Dim_Date!H:H)))</f>
        <v/>
      </c>
      <c r="U1415" t="str">
        <f>IF(Pipeline_tbl[[#This Row],[Closed_Date]]=0,"",Pipeline_tbl[[#This Row],[Closed_Date]]-Pipeline_tbl[[#This Row],[Created_Date]])</f>
        <v/>
      </c>
    </row>
    <row r="1416" spans="1:21" ht="15" customHeight="1" x14ac:dyDescent="0.2">
      <c r="A1416" t="s">
        <v>1722</v>
      </c>
      <c r="B1416" t="s">
        <v>267</v>
      </c>
      <c r="C1416" t="s">
        <v>52</v>
      </c>
      <c r="D1416" s="49">
        <v>45979</v>
      </c>
      <c r="E1416" s="49">
        <v>45984</v>
      </c>
      <c r="F1416" s="49">
        <v>45994</v>
      </c>
      <c r="G1416" s="49">
        <v>46010</v>
      </c>
      <c r="H1416" s="49">
        <v>46022</v>
      </c>
      <c r="J1416" t="s">
        <v>308</v>
      </c>
      <c r="K1416" s="33">
        <v>18300</v>
      </c>
      <c r="M1416" t="str">
        <f>_xlfn.XLOOKUP(Pipeline_tbl[[#This Row],[Rep_ID]],Dim_Reps!A:A,Dim_Reps!K:K)</f>
        <v>MXN</v>
      </c>
      <c r="N1416" s="33">
        <f>(_xlfn.XLOOKUP(Pipeline_tbl[[#This Row],[Rate_Code_Generalized]],Lookups!A:A,Lookups!B:B))*Pipeline_tbl[[#This Row],[Pipeline_Amount_USD]]</f>
        <v>361108.41000000003</v>
      </c>
      <c r="O1416" t="str">
        <f>_xlfn.XLOOKUP(Pipeline_tbl[[#This Row],[Rep_ID]],Dim_Reps!A:A,Dim_Reps!B:B)</f>
        <v>Yuki Dubois</v>
      </c>
      <c r="P1416" t="str">
        <f>_xlfn.XLOOKUP(Pipeline_tbl[[#This Row],[Rep_ID]],Dim_Reps!A:A,Dim_Reps!C:C)</f>
        <v>Mid-Market AE</v>
      </c>
      <c r="Q1416" t="str">
        <f>_xlfn.XLOOKUP(Pipeline_tbl[[#This Row],[Rep_ID]],Dim_Reps!A:A,Dim_Reps!D:D)</f>
        <v>Mid-Market</v>
      </c>
      <c r="R1416" t="str">
        <f>_xlfn.XLOOKUP(Pipeline_tbl[[#This Row],[Rep_ID]],Dim_Reps!A:A,Dim_Reps!E:E)</f>
        <v>LATAM</v>
      </c>
      <c r="S1416" t="str">
        <f>_xlfn.XLOOKUP(Pipeline_tbl[[#This Row],[Created_Date]],Dim_Date!A:A,Dim_Date!H:H)</f>
        <v>Nov 2025</v>
      </c>
      <c r="T1416" t="str">
        <f>IF(Pipeline_tbl[[#This Row],[Closed_Date]]=0,"",(_xlfn.XLOOKUP(Pipeline_tbl[[#This Row],[Closed_Date]],Dim_Date!A:A,Dim_Date!H:H)))</f>
        <v/>
      </c>
      <c r="U1416" t="str">
        <f>IF(Pipeline_tbl[[#This Row],[Closed_Date]]=0,"",Pipeline_tbl[[#This Row],[Closed_Date]]-Pipeline_tbl[[#This Row],[Created_Date]])</f>
        <v/>
      </c>
    </row>
    <row r="1417" spans="1:21" ht="15" customHeight="1" x14ac:dyDescent="0.2">
      <c r="A1417" t="s">
        <v>1723</v>
      </c>
      <c r="B1417" t="s">
        <v>267</v>
      </c>
      <c r="C1417" t="s">
        <v>52</v>
      </c>
      <c r="D1417" s="49">
        <v>45990</v>
      </c>
      <c r="E1417" s="49">
        <v>45995</v>
      </c>
      <c r="F1417" s="49">
        <v>46004</v>
      </c>
      <c r="G1417" s="49">
        <v>46019</v>
      </c>
      <c r="J1417" t="s">
        <v>308</v>
      </c>
      <c r="K1417" s="33">
        <v>10100</v>
      </c>
      <c r="M1417" t="str">
        <f>_xlfn.XLOOKUP(Pipeline_tbl[[#This Row],[Rep_ID]],Dim_Reps!A:A,Dim_Reps!K:K)</f>
        <v>MXN</v>
      </c>
      <c r="N1417" s="33">
        <f>(_xlfn.XLOOKUP(Pipeline_tbl[[#This Row],[Rate_Code_Generalized]],Lookups!A:A,Lookups!B:B))*Pipeline_tbl[[#This Row],[Pipeline_Amount_USD]]</f>
        <v>199300.27000000002</v>
      </c>
      <c r="O1417" t="str">
        <f>_xlfn.XLOOKUP(Pipeline_tbl[[#This Row],[Rep_ID]],Dim_Reps!A:A,Dim_Reps!B:B)</f>
        <v>Yuki Dubois</v>
      </c>
      <c r="P1417" t="str">
        <f>_xlfn.XLOOKUP(Pipeline_tbl[[#This Row],[Rep_ID]],Dim_Reps!A:A,Dim_Reps!C:C)</f>
        <v>Mid-Market AE</v>
      </c>
      <c r="Q1417" t="str">
        <f>_xlfn.XLOOKUP(Pipeline_tbl[[#This Row],[Rep_ID]],Dim_Reps!A:A,Dim_Reps!D:D)</f>
        <v>Mid-Market</v>
      </c>
      <c r="R1417" t="str">
        <f>_xlfn.XLOOKUP(Pipeline_tbl[[#This Row],[Rep_ID]],Dim_Reps!A:A,Dim_Reps!E:E)</f>
        <v>LATAM</v>
      </c>
      <c r="S1417" t="str">
        <f>_xlfn.XLOOKUP(Pipeline_tbl[[#This Row],[Created_Date]],Dim_Date!A:A,Dim_Date!H:H)</f>
        <v>Nov 2025</v>
      </c>
      <c r="T1417" t="str">
        <f>IF(Pipeline_tbl[[#This Row],[Closed_Date]]=0,"",(_xlfn.XLOOKUP(Pipeline_tbl[[#This Row],[Closed_Date]],Dim_Date!A:A,Dim_Date!H:H)))</f>
        <v/>
      </c>
      <c r="U1417" t="str">
        <f>IF(Pipeline_tbl[[#This Row],[Closed_Date]]=0,"",Pipeline_tbl[[#This Row],[Closed_Date]]-Pipeline_tbl[[#This Row],[Created_Date]])</f>
        <v/>
      </c>
    </row>
    <row r="1418" spans="1:21" ht="15" customHeight="1" x14ac:dyDescent="0.2">
      <c r="A1418" t="s">
        <v>1724</v>
      </c>
      <c r="B1418" t="s">
        <v>267</v>
      </c>
      <c r="C1418" t="s">
        <v>54</v>
      </c>
      <c r="D1418" s="49">
        <v>45985</v>
      </c>
      <c r="E1418" s="49">
        <v>45989</v>
      </c>
      <c r="F1418" s="49">
        <v>45996</v>
      </c>
      <c r="G1418" s="49">
        <v>46008</v>
      </c>
      <c r="H1418" s="49">
        <v>46017</v>
      </c>
      <c r="J1418" t="s">
        <v>308</v>
      </c>
      <c r="K1418" s="33">
        <v>8800</v>
      </c>
      <c r="M1418" t="str">
        <f>_xlfn.XLOOKUP(Pipeline_tbl[[#This Row],[Rep_ID]],Dim_Reps!A:A,Dim_Reps!K:K)</f>
        <v>MXN</v>
      </c>
      <c r="N1418" s="33">
        <f>(_xlfn.XLOOKUP(Pipeline_tbl[[#This Row],[Rate_Code_Generalized]],Lookups!A:A,Lookups!B:B))*Pipeline_tbl[[#This Row],[Pipeline_Amount_USD]]</f>
        <v>173647.76</v>
      </c>
      <c r="O1418" t="str">
        <f>_xlfn.XLOOKUP(Pipeline_tbl[[#This Row],[Rep_ID]],Dim_Reps!A:A,Dim_Reps!B:B)</f>
        <v>Yuki Dubois</v>
      </c>
      <c r="P1418" t="str">
        <f>_xlfn.XLOOKUP(Pipeline_tbl[[#This Row],[Rep_ID]],Dim_Reps!A:A,Dim_Reps!C:C)</f>
        <v>Mid-Market AE</v>
      </c>
      <c r="Q1418" t="str">
        <f>_xlfn.XLOOKUP(Pipeline_tbl[[#This Row],[Rep_ID]],Dim_Reps!A:A,Dim_Reps!D:D)</f>
        <v>Mid-Market</v>
      </c>
      <c r="R1418" t="str">
        <f>_xlfn.XLOOKUP(Pipeline_tbl[[#This Row],[Rep_ID]],Dim_Reps!A:A,Dim_Reps!E:E)</f>
        <v>LATAM</v>
      </c>
      <c r="S1418" t="str">
        <f>_xlfn.XLOOKUP(Pipeline_tbl[[#This Row],[Created_Date]],Dim_Date!A:A,Dim_Date!H:H)</f>
        <v>Nov 2025</v>
      </c>
      <c r="T1418" t="str">
        <f>IF(Pipeline_tbl[[#This Row],[Closed_Date]]=0,"",(_xlfn.XLOOKUP(Pipeline_tbl[[#This Row],[Closed_Date]],Dim_Date!A:A,Dim_Date!H:H)))</f>
        <v/>
      </c>
      <c r="U1418" t="str">
        <f>IF(Pipeline_tbl[[#This Row],[Closed_Date]]=0,"",Pipeline_tbl[[#This Row],[Closed_Date]]-Pipeline_tbl[[#This Row],[Created_Date]])</f>
        <v/>
      </c>
    </row>
    <row r="1419" spans="1:21" ht="15" customHeight="1" x14ac:dyDescent="0.2">
      <c r="A1419" t="s">
        <v>1725</v>
      </c>
      <c r="B1419" t="s">
        <v>271</v>
      </c>
      <c r="C1419" t="s">
        <v>52</v>
      </c>
      <c r="D1419" s="49">
        <v>45984</v>
      </c>
      <c r="E1419" s="49">
        <v>45988</v>
      </c>
      <c r="F1419" s="49">
        <v>45997</v>
      </c>
      <c r="G1419" s="49">
        <v>46009</v>
      </c>
      <c r="H1419" s="49">
        <v>46020</v>
      </c>
      <c r="J1419" t="s">
        <v>308</v>
      </c>
      <c r="K1419" s="33">
        <v>6900</v>
      </c>
      <c r="M1419" t="str">
        <f>_xlfn.XLOOKUP(Pipeline_tbl[[#This Row],[Rep_ID]],Dim_Reps!A:A,Dim_Reps!K:K)</f>
        <v>EUR</v>
      </c>
      <c r="N1419" s="33">
        <f>(_xlfn.XLOOKUP(Pipeline_tbl[[#This Row],[Rate_Code_Generalized]],Lookups!A:A,Lookups!B:B))*Pipeline_tbl[[#This Row],[Pipeline_Amount_USD]]</f>
        <v>6900</v>
      </c>
      <c r="O1419" t="str">
        <f>_xlfn.XLOOKUP(Pipeline_tbl[[#This Row],[Rep_ID]],Dim_Reps!A:A,Dim_Reps!B:B)</f>
        <v>Ivy Adler</v>
      </c>
      <c r="P1419" t="str">
        <f>_xlfn.XLOOKUP(Pipeline_tbl[[#This Row],[Rep_ID]],Dim_Reps!A:A,Dim_Reps!C:C)</f>
        <v>Mid-Market AE</v>
      </c>
      <c r="Q1419" t="str">
        <f>_xlfn.XLOOKUP(Pipeline_tbl[[#This Row],[Rep_ID]],Dim_Reps!A:A,Dim_Reps!D:D)</f>
        <v>Mid-Market</v>
      </c>
      <c r="R1419" t="str">
        <f>_xlfn.XLOOKUP(Pipeline_tbl[[#This Row],[Rep_ID]],Dim_Reps!A:A,Dim_Reps!E:E)</f>
        <v>APAC</v>
      </c>
      <c r="S1419" t="str">
        <f>_xlfn.XLOOKUP(Pipeline_tbl[[#This Row],[Created_Date]],Dim_Date!A:A,Dim_Date!H:H)</f>
        <v>Nov 2025</v>
      </c>
      <c r="T1419" t="str">
        <f>IF(Pipeline_tbl[[#This Row],[Closed_Date]]=0,"",(_xlfn.XLOOKUP(Pipeline_tbl[[#This Row],[Closed_Date]],Dim_Date!A:A,Dim_Date!H:H)))</f>
        <v/>
      </c>
      <c r="U1419" t="str">
        <f>IF(Pipeline_tbl[[#This Row],[Closed_Date]]=0,"",Pipeline_tbl[[#This Row],[Closed_Date]]-Pipeline_tbl[[#This Row],[Created_Date]])</f>
        <v/>
      </c>
    </row>
    <row r="1420" spans="1:21" ht="15" customHeight="1" x14ac:dyDescent="0.2">
      <c r="A1420" t="s">
        <v>1726</v>
      </c>
      <c r="B1420" t="s">
        <v>271</v>
      </c>
      <c r="C1420" t="s">
        <v>53</v>
      </c>
      <c r="D1420" s="49">
        <v>45983</v>
      </c>
      <c r="E1420" s="49">
        <v>45988</v>
      </c>
      <c r="F1420" s="49">
        <v>45998</v>
      </c>
      <c r="G1420" s="49">
        <v>46012</v>
      </c>
      <c r="J1420" t="s">
        <v>308</v>
      </c>
      <c r="K1420" s="33">
        <v>14100</v>
      </c>
      <c r="M1420" t="str">
        <f>_xlfn.XLOOKUP(Pipeline_tbl[[#This Row],[Rep_ID]],Dim_Reps!A:A,Dim_Reps!K:K)</f>
        <v>EUR</v>
      </c>
      <c r="N1420" s="33">
        <f>(_xlfn.XLOOKUP(Pipeline_tbl[[#This Row],[Rate_Code_Generalized]],Lookups!A:A,Lookups!B:B))*Pipeline_tbl[[#This Row],[Pipeline_Amount_USD]]</f>
        <v>14100</v>
      </c>
      <c r="O1420" t="str">
        <f>_xlfn.XLOOKUP(Pipeline_tbl[[#This Row],[Rep_ID]],Dim_Reps!A:A,Dim_Reps!B:B)</f>
        <v>Ivy Adler</v>
      </c>
      <c r="P1420" t="str">
        <f>_xlfn.XLOOKUP(Pipeline_tbl[[#This Row],[Rep_ID]],Dim_Reps!A:A,Dim_Reps!C:C)</f>
        <v>Mid-Market AE</v>
      </c>
      <c r="Q1420" t="str">
        <f>_xlfn.XLOOKUP(Pipeline_tbl[[#This Row],[Rep_ID]],Dim_Reps!A:A,Dim_Reps!D:D)</f>
        <v>Mid-Market</v>
      </c>
      <c r="R1420" t="str">
        <f>_xlfn.XLOOKUP(Pipeline_tbl[[#This Row],[Rep_ID]],Dim_Reps!A:A,Dim_Reps!E:E)</f>
        <v>APAC</v>
      </c>
      <c r="S1420" t="str">
        <f>_xlfn.XLOOKUP(Pipeline_tbl[[#This Row],[Created_Date]],Dim_Date!A:A,Dim_Date!H:H)</f>
        <v>Nov 2025</v>
      </c>
      <c r="T1420" t="str">
        <f>IF(Pipeline_tbl[[#This Row],[Closed_Date]]=0,"",(_xlfn.XLOOKUP(Pipeline_tbl[[#This Row],[Closed_Date]],Dim_Date!A:A,Dim_Date!H:H)))</f>
        <v/>
      </c>
      <c r="U1420" t="str">
        <f>IF(Pipeline_tbl[[#This Row],[Closed_Date]]=0,"",Pipeline_tbl[[#This Row],[Closed_Date]]-Pipeline_tbl[[#This Row],[Created_Date]])</f>
        <v/>
      </c>
    </row>
    <row r="1421" spans="1:21" ht="15" customHeight="1" x14ac:dyDescent="0.2">
      <c r="A1421" t="s">
        <v>1727</v>
      </c>
      <c r="B1421" t="s">
        <v>271</v>
      </c>
      <c r="C1421" t="s">
        <v>52</v>
      </c>
      <c r="D1421" s="49">
        <v>45991</v>
      </c>
      <c r="E1421" s="49">
        <v>45996</v>
      </c>
      <c r="F1421" s="49">
        <v>46006</v>
      </c>
      <c r="G1421" s="49">
        <v>46021</v>
      </c>
      <c r="J1421" t="s">
        <v>308</v>
      </c>
      <c r="K1421" s="33">
        <v>12300</v>
      </c>
      <c r="M1421" t="str">
        <f>_xlfn.XLOOKUP(Pipeline_tbl[[#This Row],[Rep_ID]],Dim_Reps!A:A,Dim_Reps!K:K)</f>
        <v>EUR</v>
      </c>
      <c r="N1421" s="33">
        <f>(_xlfn.XLOOKUP(Pipeline_tbl[[#This Row],[Rate_Code_Generalized]],Lookups!A:A,Lookups!B:B))*Pipeline_tbl[[#This Row],[Pipeline_Amount_USD]]</f>
        <v>12300</v>
      </c>
      <c r="O1421" t="str">
        <f>_xlfn.XLOOKUP(Pipeline_tbl[[#This Row],[Rep_ID]],Dim_Reps!A:A,Dim_Reps!B:B)</f>
        <v>Ivy Adler</v>
      </c>
      <c r="P1421" t="str">
        <f>_xlfn.XLOOKUP(Pipeline_tbl[[#This Row],[Rep_ID]],Dim_Reps!A:A,Dim_Reps!C:C)</f>
        <v>Mid-Market AE</v>
      </c>
      <c r="Q1421" t="str">
        <f>_xlfn.XLOOKUP(Pipeline_tbl[[#This Row],[Rep_ID]],Dim_Reps!A:A,Dim_Reps!D:D)</f>
        <v>Mid-Market</v>
      </c>
      <c r="R1421" t="str">
        <f>_xlfn.XLOOKUP(Pipeline_tbl[[#This Row],[Rep_ID]],Dim_Reps!A:A,Dim_Reps!E:E)</f>
        <v>APAC</v>
      </c>
      <c r="S1421" t="str">
        <f>_xlfn.XLOOKUP(Pipeline_tbl[[#This Row],[Created_Date]],Dim_Date!A:A,Dim_Date!H:H)</f>
        <v>Nov 2025</v>
      </c>
      <c r="T1421" t="str">
        <f>IF(Pipeline_tbl[[#This Row],[Closed_Date]]=0,"",(_xlfn.XLOOKUP(Pipeline_tbl[[#This Row],[Closed_Date]],Dim_Date!A:A,Dim_Date!H:H)))</f>
        <v/>
      </c>
      <c r="U1421" t="str">
        <f>IF(Pipeline_tbl[[#This Row],[Closed_Date]]=0,"",Pipeline_tbl[[#This Row],[Closed_Date]]-Pipeline_tbl[[#This Row],[Created_Date]])</f>
        <v/>
      </c>
    </row>
    <row r="1422" spans="1:21" ht="15" customHeight="1" x14ac:dyDescent="0.2">
      <c r="A1422" t="s">
        <v>1728</v>
      </c>
      <c r="B1422" t="s">
        <v>271</v>
      </c>
      <c r="C1422" t="s">
        <v>54</v>
      </c>
      <c r="D1422" s="49">
        <v>45983</v>
      </c>
      <c r="E1422" s="49">
        <v>45987</v>
      </c>
      <c r="F1422" s="49">
        <v>45996</v>
      </c>
      <c r="G1422" s="49">
        <v>46008</v>
      </c>
      <c r="H1422" s="49">
        <v>46019</v>
      </c>
      <c r="J1422" t="s">
        <v>308</v>
      </c>
      <c r="K1422" s="33">
        <v>22200</v>
      </c>
      <c r="M1422" t="str">
        <f>_xlfn.XLOOKUP(Pipeline_tbl[[#This Row],[Rep_ID]],Dim_Reps!A:A,Dim_Reps!K:K)</f>
        <v>EUR</v>
      </c>
      <c r="N1422" s="33">
        <f>(_xlfn.XLOOKUP(Pipeline_tbl[[#This Row],[Rate_Code_Generalized]],Lookups!A:A,Lookups!B:B))*Pipeline_tbl[[#This Row],[Pipeline_Amount_USD]]</f>
        <v>22200</v>
      </c>
      <c r="O1422" t="str">
        <f>_xlfn.XLOOKUP(Pipeline_tbl[[#This Row],[Rep_ID]],Dim_Reps!A:A,Dim_Reps!B:B)</f>
        <v>Ivy Adler</v>
      </c>
      <c r="P1422" t="str">
        <f>_xlfn.XLOOKUP(Pipeline_tbl[[#This Row],[Rep_ID]],Dim_Reps!A:A,Dim_Reps!C:C)</f>
        <v>Mid-Market AE</v>
      </c>
      <c r="Q1422" t="str">
        <f>_xlfn.XLOOKUP(Pipeline_tbl[[#This Row],[Rep_ID]],Dim_Reps!A:A,Dim_Reps!D:D)</f>
        <v>Mid-Market</v>
      </c>
      <c r="R1422" t="str">
        <f>_xlfn.XLOOKUP(Pipeline_tbl[[#This Row],[Rep_ID]],Dim_Reps!A:A,Dim_Reps!E:E)</f>
        <v>APAC</v>
      </c>
      <c r="S1422" t="str">
        <f>_xlfn.XLOOKUP(Pipeline_tbl[[#This Row],[Created_Date]],Dim_Date!A:A,Dim_Date!H:H)</f>
        <v>Nov 2025</v>
      </c>
      <c r="T1422" t="str">
        <f>IF(Pipeline_tbl[[#This Row],[Closed_Date]]=0,"",(_xlfn.XLOOKUP(Pipeline_tbl[[#This Row],[Closed_Date]],Dim_Date!A:A,Dim_Date!H:H)))</f>
        <v/>
      </c>
      <c r="U1422" t="str">
        <f>IF(Pipeline_tbl[[#This Row],[Closed_Date]]=0,"",Pipeline_tbl[[#This Row],[Closed_Date]]-Pipeline_tbl[[#This Row],[Created_Date]])</f>
        <v/>
      </c>
    </row>
    <row r="1423" spans="1:21" ht="15" customHeight="1" x14ac:dyDescent="0.2">
      <c r="A1423" t="s">
        <v>1729</v>
      </c>
      <c r="B1423" t="s">
        <v>193</v>
      </c>
      <c r="C1423" t="s">
        <v>53</v>
      </c>
      <c r="D1423" s="49">
        <v>45984</v>
      </c>
      <c r="E1423" s="49">
        <v>45985</v>
      </c>
      <c r="F1423" s="49">
        <v>45987</v>
      </c>
      <c r="I1423" s="49">
        <v>45995</v>
      </c>
      <c r="J1423" t="s">
        <v>49</v>
      </c>
      <c r="K1423" s="33">
        <v>4700</v>
      </c>
      <c r="L1423" t="s">
        <v>62</v>
      </c>
      <c r="M1423" t="str">
        <f>_xlfn.XLOOKUP(Pipeline_tbl[[#This Row],[Rep_ID]],Dim_Reps!A:A,Dim_Reps!K:K)</f>
        <v>USD</v>
      </c>
      <c r="N1423" s="33">
        <f>(_xlfn.XLOOKUP(Pipeline_tbl[[#This Row],[Rate_Code_Generalized]],Lookups!A:A,Lookups!B:B))*Pipeline_tbl[[#This Row],[Pipeline_Amount_USD]]</f>
        <v>5472.2099999999991</v>
      </c>
      <c r="O1423" t="str">
        <f>_xlfn.XLOOKUP(Pipeline_tbl[[#This Row],[Rep_ID]],Dim_Reps!A:A,Dim_Reps!B:B)</f>
        <v>Karim Rossi</v>
      </c>
      <c r="P1423" t="str">
        <f>_xlfn.XLOOKUP(Pipeline_tbl[[#This Row],[Rep_ID]],Dim_Reps!A:A,Dim_Reps!C:C)</f>
        <v>SDR / Inside Sales Rep</v>
      </c>
      <c r="Q1423" t="str">
        <f>_xlfn.XLOOKUP(Pipeline_tbl[[#This Row],[Rep_ID]],Dim_Reps!A:A,Dim_Reps!D:D)</f>
        <v>Inside Sales</v>
      </c>
      <c r="R1423" t="str">
        <f>_xlfn.XLOOKUP(Pipeline_tbl[[#This Row],[Rep_ID]],Dim_Reps!A:A,Dim_Reps!E:E)</f>
        <v>NAMER</v>
      </c>
      <c r="S1423" t="str">
        <f>_xlfn.XLOOKUP(Pipeline_tbl[[#This Row],[Created_Date]],Dim_Date!A:A,Dim_Date!H:H)</f>
        <v>Nov 2025</v>
      </c>
      <c r="T1423" t="str">
        <f>IF(Pipeline_tbl[[#This Row],[Closed_Date]]=0,"",(_xlfn.XLOOKUP(Pipeline_tbl[[#This Row],[Closed_Date]],Dim_Date!A:A,Dim_Date!H:H)))</f>
        <v>Dec 2025</v>
      </c>
      <c r="U1423">
        <f>IF(Pipeline_tbl[[#This Row],[Closed_Date]]=0,"",Pipeline_tbl[[#This Row],[Closed_Date]]-Pipeline_tbl[[#This Row],[Created_Date]])</f>
        <v>11</v>
      </c>
    </row>
    <row r="1424" spans="1:21" ht="15" customHeight="1" x14ac:dyDescent="0.2">
      <c r="A1424" t="s">
        <v>1730</v>
      </c>
      <c r="B1424" t="s">
        <v>193</v>
      </c>
      <c r="C1424" t="s">
        <v>53</v>
      </c>
      <c r="D1424" s="49">
        <v>45975</v>
      </c>
      <c r="E1424" s="49">
        <v>45977</v>
      </c>
      <c r="I1424" s="49">
        <v>45993</v>
      </c>
      <c r="J1424" t="s">
        <v>49</v>
      </c>
      <c r="K1424" s="33">
        <v>900</v>
      </c>
      <c r="L1424" t="s">
        <v>62</v>
      </c>
      <c r="M1424" t="str">
        <f>_xlfn.XLOOKUP(Pipeline_tbl[[#This Row],[Rep_ID]],Dim_Reps!A:A,Dim_Reps!K:K)</f>
        <v>USD</v>
      </c>
      <c r="N1424" s="33">
        <f>(_xlfn.XLOOKUP(Pipeline_tbl[[#This Row],[Rate_Code_Generalized]],Lookups!A:A,Lookups!B:B))*Pipeline_tbl[[#This Row],[Pipeline_Amount_USD]]</f>
        <v>1047.8699999999999</v>
      </c>
      <c r="O1424" t="str">
        <f>_xlfn.XLOOKUP(Pipeline_tbl[[#This Row],[Rep_ID]],Dim_Reps!A:A,Dim_Reps!B:B)</f>
        <v>Karim Rossi</v>
      </c>
      <c r="P1424" t="str">
        <f>_xlfn.XLOOKUP(Pipeline_tbl[[#This Row],[Rep_ID]],Dim_Reps!A:A,Dim_Reps!C:C)</f>
        <v>SDR / Inside Sales Rep</v>
      </c>
      <c r="Q1424" t="str">
        <f>_xlfn.XLOOKUP(Pipeline_tbl[[#This Row],[Rep_ID]],Dim_Reps!A:A,Dim_Reps!D:D)</f>
        <v>Inside Sales</v>
      </c>
      <c r="R1424" t="str">
        <f>_xlfn.XLOOKUP(Pipeline_tbl[[#This Row],[Rep_ID]],Dim_Reps!A:A,Dim_Reps!E:E)</f>
        <v>NAMER</v>
      </c>
      <c r="S1424" t="str">
        <f>_xlfn.XLOOKUP(Pipeline_tbl[[#This Row],[Created_Date]],Dim_Date!A:A,Dim_Date!H:H)</f>
        <v>Nov 2025</v>
      </c>
      <c r="T1424" t="str">
        <f>IF(Pipeline_tbl[[#This Row],[Closed_Date]]=0,"",(_xlfn.XLOOKUP(Pipeline_tbl[[#This Row],[Closed_Date]],Dim_Date!A:A,Dim_Date!H:H)))</f>
        <v>Dec 2025</v>
      </c>
      <c r="U1424">
        <f>IF(Pipeline_tbl[[#This Row],[Closed_Date]]=0,"",Pipeline_tbl[[#This Row],[Closed_Date]]-Pipeline_tbl[[#This Row],[Created_Date]])</f>
        <v>18</v>
      </c>
    </row>
    <row r="1425" spans="1:21" ht="15" customHeight="1" x14ac:dyDescent="0.2">
      <c r="A1425" t="s">
        <v>1731</v>
      </c>
      <c r="B1425" t="s">
        <v>193</v>
      </c>
      <c r="C1425" t="s">
        <v>53</v>
      </c>
      <c r="D1425" s="49">
        <v>45978</v>
      </c>
      <c r="E1425" s="49">
        <v>45980</v>
      </c>
      <c r="F1425" s="49">
        <v>45983</v>
      </c>
      <c r="G1425" s="49">
        <v>45987</v>
      </c>
      <c r="H1425" s="49">
        <v>45991</v>
      </c>
      <c r="I1425" s="49">
        <v>45993</v>
      </c>
      <c r="J1425" t="s">
        <v>47</v>
      </c>
      <c r="K1425" s="33">
        <v>4200</v>
      </c>
      <c r="M1425" t="str">
        <f>_xlfn.XLOOKUP(Pipeline_tbl[[#This Row],[Rep_ID]],Dim_Reps!A:A,Dim_Reps!K:K)</f>
        <v>USD</v>
      </c>
      <c r="N1425" s="33">
        <f>(_xlfn.XLOOKUP(Pipeline_tbl[[#This Row],[Rate_Code_Generalized]],Lookups!A:A,Lookups!B:B))*Pipeline_tbl[[#This Row],[Pipeline_Amount_USD]]</f>
        <v>4890.0599999999995</v>
      </c>
      <c r="O1425" t="str">
        <f>_xlfn.XLOOKUP(Pipeline_tbl[[#This Row],[Rep_ID]],Dim_Reps!A:A,Dim_Reps!B:B)</f>
        <v>Karim Rossi</v>
      </c>
      <c r="P1425" t="str">
        <f>_xlfn.XLOOKUP(Pipeline_tbl[[#This Row],[Rep_ID]],Dim_Reps!A:A,Dim_Reps!C:C)</f>
        <v>SDR / Inside Sales Rep</v>
      </c>
      <c r="Q1425" t="str">
        <f>_xlfn.XLOOKUP(Pipeline_tbl[[#This Row],[Rep_ID]],Dim_Reps!A:A,Dim_Reps!D:D)</f>
        <v>Inside Sales</v>
      </c>
      <c r="R1425" t="str">
        <f>_xlfn.XLOOKUP(Pipeline_tbl[[#This Row],[Rep_ID]],Dim_Reps!A:A,Dim_Reps!E:E)</f>
        <v>NAMER</v>
      </c>
      <c r="S1425" t="str">
        <f>_xlfn.XLOOKUP(Pipeline_tbl[[#This Row],[Created_Date]],Dim_Date!A:A,Dim_Date!H:H)</f>
        <v>Nov 2025</v>
      </c>
      <c r="T1425" t="str">
        <f>IF(Pipeline_tbl[[#This Row],[Closed_Date]]=0,"",(_xlfn.XLOOKUP(Pipeline_tbl[[#This Row],[Closed_Date]],Dim_Date!A:A,Dim_Date!H:H)))</f>
        <v>Dec 2025</v>
      </c>
      <c r="U1425">
        <f>IF(Pipeline_tbl[[#This Row],[Closed_Date]]=0,"",Pipeline_tbl[[#This Row],[Closed_Date]]-Pipeline_tbl[[#This Row],[Created_Date]])</f>
        <v>15</v>
      </c>
    </row>
    <row r="1426" spans="1:21" ht="15" customHeight="1" x14ac:dyDescent="0.2">
      <c r="A1426" t="s">
        <v>1732</v>
      </c>
      <c r="B1426" t="s">
        <v>193</v>
      </c>
      <c r="C1426" t="s">
        <v>53</v>
      </c>
      <c r="D1426" s="49">
        <v>45991</v>
      </c>
      <c r="E1426" s="49">
        <v>45993</v>
      </c>
      <c r="F1426" s="49">
        <v>45996</v>
      </c>
      <c r="G1426" s="49">
        <v>46000</v>
      </c>
      <c r="H1426" s="49">
        <v>46004</v>
      </c>
      <c r="I1426" s="49">
        <v>46006</v>
      </c>
      <c r="J1426" t="s">
        <v>49</v>
      </c>
      <c r="K1426" s="33">
        <v>2600</v>
      </c>
      <c r="L1426" t="s">
        <v>60</v>
      </c>
      <c r="M1426" t="str">
        <f>_xlfn.XLOOKUP(Pipeline_tbl[[#This Row],[Rep_ID]],Dim_Reps!A:A,Dim_Reps!K:K)</f>
        <v>USD</v>
      </c>
      <c r="N1426" s="33">
        <f>(_xlfn.XLOOKUP(Pipeline_tbl[[#This Row],[Rate_Code_Generalized]],Lookups!A:A,Lookups!B:B))*Pipeline_tbl[[#This Row],[Pipeline_Amount_USD]]</f>
        <v>3027.18</v>
      </c>
      <c r="O1426" t="str">
        <f>_xlfn.XLOOKUP(Pipeline_tbl[[#This Row],[Rep_ID]],Dim_Reps!A:A,Dim_Reps!B:B)</f>
        <v>Karim Rossi</v>
      </c>
      <c r="P1426" t="str">
        <f>_xlfn.XLOOKUP(Pipeline_tbl[[#This Row],[Rep_ID]],Dim_Reps!A:A,Dim_Reps!C:C)</f>
        <v>SDR / Inside Sales Rep</v>
      </c>
      <c r="Q1426" t="str">
        <f>_xlfn.XLOOKUP(Pipeline_tbl[[#This Row],[Rep_ID]],Dim_Reps!A:A,Dim_Reps!D:D)</f>
        <v>Inside Sales</v>
      </c>
      <c r="R1426" t="str">
        <f>_xlfn.XLOOKUP(Pipeline_tbl[[#This Row],[Rep_ID]],Dim_Reps!A:A,Dim_Reps!E:E)</f>
        <v>NAMER</v>
      </c>
      <c r="S1426" t="str">
        <f>_xlfn.XLOOKUP(Pipeline_tbl[[#This Row],[Created_Date]],Dim_Date!A:A,Dim_Date!H:H)</f>
        <v>Nov 2025</v>
      </c>
      <c r="T1426" t="str">
        <f>IF(Pipeline_tbl[[#This Row],[Closed_Date]]=0,"",(_xlfn.XLOOKUP(Pipeline_tbl[[#This Row],[Closed_Date]],Dim_Date!A:A,Dim_Date!H:H)))</f>
        <v>Dec 2025</v>
      </c>
      <c r="U1426">
        <f>IF(Pipeline_tbl[[#This Row],[Closed_Date]]=0,"",Pipeline_tbl[[#This Row],[Closed_Date]]-Pipeline_tbl[[#This Row],[Created_Date]])</f>
        <v>15</v>
      </c>
    </row>
    <row r="1427" spans="1:21" ht="15" customHeight="1" x14ac:dyDescent="0.2">
      <c r="A1427" t="s">
        <v>1733</v>
      </c>
      <c r="B1427" t="s">
        <v>193</v>
      </c>
      <c r="C1427" t="s">
        <v>52</v>
      </c>
      <c r="D1427" s="49">
        <v>45987</v>
      </c>
      <c r="E1427" s="49">
        <v>45989</v>
      </c>
      <c r="F1427" s="49">
        <v>45992</v>
      </c>
      <c r="G1427" s="49">
        <v>45997</v>
      </c>
      <c r="H1427" s="49">
        <v>46001</v>
      </c>
      <c r="I1427" s="49">
        <v>46004</v>
      </c>
      <c r="J1427" t="s">
        <v>47</v>
      </c>
      <c r="K1427" s="33">
        <v>3500</v>
      </c>
      <c r="M1427" t="str">
        <f>_xlfn.XLOOKUP(Pipeline_tbl[[#This Row],[Rep_ID]],Dim_Reps!A:A,Dim_Reps!K:K)</f>
        <v>USD</v>
      </c>
      <c r="N1427" s="33">
        <f>(_xlfn.XLOOKUP(Pipeline_tbl[[#This Row],[Rate_Code_Generalized]],Lookups!A:A,Lookups!B:B))*Pipeline_tbl[[#This Row],[Pipeline_Amount_USD]]</f>
        <v>4075.0499999999997</v>
      </c>
      <c r="O1427" t="str">
        <f>_xlfn.XLOOKUP(Pipeline_tbl[[#This Row],[Rep_ID]],Dim_Reps!A:A,Dim_Reps!B:B)</f>
        <v>Karim Rossi</v>
      </c>
      <c r="P1427" t="str">
        <f>_xlfn.XLOOKUP(Pipeline_tbl[[#This Row],[Rep_ID]],Dim_Reps!A:A,Dim_Reps!C:C)</f>
        <v>SDR / Inside Sales Rep</v>
      </c>
      <c r="Q1427" t="str">
        <f>_xlfn.XLOOKUP(Pipeline_tbl[[#This Row],[Rep_ID]],Dim_Reps!A:A,Dim_Reps!D:D)</f>
        <v>Inside Sales</v>
      </c>
      <c r="R1427" t="str">
        <f>_xlfn.XLOOKUP(Pipeline_tbl[[#This Row],[Rep_ID]],Dim_Reps!A:A,Dim_Reps!E:E)</f>
        <v>NAMER</v>
      </c>
      <c r="S1427" t="str">
        <f>_xlfn.XLOOKUP(Pipeline_tbl[[#This Row],[Created_Date]],Dim_Date!A:A,Dim_Date!H:H)</f>
        <v>Nov 2025</v>
      </c>
      <c r="T1427" t="str">
        <f>IF(Pipeline_tbl[[#This Row],[Closed_Date]]=0,"",(_xlfn.XLOOKUP(Pipeline_tbl[[#This Row],[Closed_Date]],Dim_Date!A:A,Dim_Date!H:H)))</f>
        <v>Dec 2025</v>
      </c>
      <c r="U1427">
        <f>IF(Pipeline_tbl[[#This Row],[Closed_Date]]=0,"",Pipeline_tbl[[#This Row],[Closed_Date]]-Pipeline_tbl[[#This Row],[Created_Date]])</f>
        <v>17</v>
      </c>
    </row>
    <row r="1428" spans="1:21" ht="15" customHeight="1" x14ac:dyDescent="0.2">
      <c r="A1428" t="s">
        <v>1734</v>
      </c>
      <c r="B1428" t="s">
        <v>193</v>
      </c>
      <c r="C1428" t="s">
        <v>52</v>
      </c>
      <c r="D1428" s="49">
        <v>45979</v>
      </c>
      <c r="E1428" s="49">
        <v>45981</v>
      </c>
      <c r="F1428" s="49">
        <v>45984</v>
      </c>
      <c r="I1428" s="49">
        <v>45997</v>
      </c>
      <c r="J1428" t="s">
        <v>49</v>
      </c>
      <c r="K1428" s="33">
        <v>3000</v>
      </c>
      <c r="L1428" t="s">
        <v>60</v>
      </c>
      <c r="M1428" t="str">
        <f>_xlfn.XLOOKUP(Pipeline_tbl[[#This Row],[Rep_ID]],Dim_Reps!A:A,Dim_Reps!K:K)</f>
        <v>USD</v>
      </c>
      <c r="N1428" s="33">
        <f>(_xlfn.XLOOKUP(Pipeline_tbl[[#This Row],[Rate_Code_Generalized]],Lookups!A:A,Lookups!B:B))*Pipeline_tbl[[#This Row],[Pipeline_Amount_USD]]</f>
        <v>3492.8999999999996</v>
      </c>
      <c r="O1428" t="str">
        <f>_xlfn.XLOOKUP(Pipeline_tbl[[#This Row],[Rep_ID]],Dim_Reps!A:A,Dim_Reps!B:B)</f>
        <v>Karim Rossi</v>
      </c>
      <c r="P1428" t="str">
        <f>_xlfn.XLOOKUP(Pipeline_tbl[[#This Row],[Rep_ID]],Dim_Reps!A:A,Dim_Reps!C:C)</f>
        <v>SDR / Inside Sales Rep</v>
      </c>
      <c r="Q1428" t="str">
        <f>_xlfn.XLOOKUP(Pipeline_tbl[[#This Row],[Rep_ID]],Dim_Reps!A:A,Dim_Reps!D:D)</f>
        <v>Inside Sales</v>
      </c>
      <c r="R1428" t="str">
        <f>_xlfn.XLOOKUP(Pipeline_tbl[[#This Row],[Rep_ID]],Dim_Reps!A:A,Dim_Reps!E:E)</f>
        <v>NAMER</v>
      </c>
      <c r="S1428" t="str">
        <f>_xlfn.XLOOKUP(Pipeline_tbl[[#This Row],[Created_Date]],Dim_Date!A:A,Dim_Date!H:H)</f>
        <v>Nov 2025</v>
      </c>
      <c r="T1428" t="str">
        <f>IF(Pipeline_tbl[[#This Row],[Closed_Date]]=0,"",(_xlfn.XLOOKUP(Pipeline_tbl[[#This Row],[Closed_Date]],Dim_Date!A:A,Dim_Date!H:H)))</f>
        <v>Dec 2025</v>
      </c>
      <c r="U1428">
        <f>IF(Pipeline_tbl[[#This Row],[Closed_Date]]=0,"",Pipeline_tbl[[#This Row],[Closed_Date]]-Pipeline_tbl[[#This Row],[Created_Date]])</f>
        <v>18</v>
      </c>
    </row>
    <row r="1429" spans="1:21" ht="15" customHeight="1" x14ac:dyDescent="0.2">
      <c r="A1429" t="s">
        <v>1735</v>
      </c>
      <c r="B1429" t="s">
        <v>193</v>
      </c>
      <c r="C1429" t="s">
        <v>54</v>
      </c>
      <c r="D1429" s="49">
        <v>45983</v>
      </c>
      <c r="E1429" s="49">
        <v>45985</v>
      </c>
      <c r="F1429" s="49">
        <v>45988</v>
      </c>
      <c r="G1429" s="49">
        <v>45993</v>
      </c>
      <c r="H1429" s="49">
        <v>45997</v>
      </c>
      <c r="I1429" s="49">
        <v>45999</v>
      </c>
      <c r="J1429" t="s">
        <v>47</v>
      </c>
      <c r="K1429" s="33">
        <v>2600</v>
      </c>
      <c r="M1429" t="str">
        <f>_xlfn.XLOOKUP(Pipeline_tbl[[#This Row],[Rep_ID]],Dim_Reps!A:A,Dim_Reps!K:K)</f>
        <v>USD</v>
      </c>
      <c r="N1429" s="33">
        <f>(_xlfn.XLOOKUP(Pipeline_tbl[[#This Row],[Rate_Code_Generalized]],Lookups!A:A,Lookups!B:B))*Pipeline_tbl[[#This Row],[Pipeline_Amount_USD]]</f>
        <v>3027.18</v>
      </c>
      <c r="O1429" t="str">
        <f>_xlfn.XLOOKUP(Pipeline_tbl[[#This Row],[Rep_ID]],Dim_Reps!A:A,Dim_Reps!B:B)</f>
        <v>Karim Rossi</v>
      </c>
      <c r="P1429" t="str">
        <f>_xlfn.XLOOKUP(Pipeline_tbl[[#This Row],[Rep_ID]],Dim_Reps!A:A,Dim_Reps!C:C)</f>
        <v>SDR / Inside Sales Rep</v>
      </c>
      <c r="Q1429" t="str">
        <f>_xlfn.XLOOKUP(Pipeline_tbl[[#This Row],[Rep_ID]],Dim_Reps!A:A,Dim_Reps!D:D)</f>
        <v>Inside Sales</v>
      </c>
      <c r="R1429" t="str">
        <f>_xlfn.XLOOKUP(Pipeline_tbl[[#This Row],[Rep_ID]],Dim_Reps!A:A,Dim_Reps!E:E)</f>
        <v>NAMER</v>
      </c>
      <c r="S1429" t="str">
        <f>_xlfn.XLOOKUP(Pipeline_tbl[[#This Row],[Created_Date]],Dim_Date!A:A,Dim_Date!H:H)</f>
        <v>Nov 2025</v>
      </c>
      <c r="T1429" t="str">
        <f>IF(Pipeline_tbl[[#This Row],[Closed_Date]]=0,"",(_xlfn.XLOOKUP(Pipeline_tbl[[#This Row],[Closed_Date]],Dim_Date!A:A,Dim_Date!H:H)))</f>
        <v>Dec 2025</v>
      </c>
      <c r="U1429">
        <f>IF(Pipeline_tbl[[#This Row],[Closed_Date]]=0,"",Pipeline_tbl[[#This Row],[Closed_Date]]-Pipeline_tbl[[#This Row],[Created_Date]])</f>
        <v>16</v>
      </c>
    </row>
    <row r="1430" spans="1:21" ht="15" customHeight="1" x14ac:dyDescent="0.2">
      <c r="A1430" t="s">
        <v>1736</v>
      </c>
      <c r="B1430" t="s">
        <v>193</v>
      </c>
      <c r="C1430" t="s">
        <v>52</v>
      </c>
      <c r="D1430" s="49">
        <v>45985</v>
      </c>
      <c r="E1430" s="49">
        <v>45987</v>
      </c>
      <c r="F1430" s="49">
        <v>45992</v>
      </c>
      <c r="G1430" s="49">
        <v>45998</v>
      </c>
      <c r="I1430" s="49">
        <v>46007</v>
      </c>
      <c r="J1430" t="s">
        <v>49</v>
      </c>
      <c r="K1430" s="33">
        <v>2800</v>
      </c>
      <c r="L1430" t="s">
        <v>63</v>
      </c>
      <c r="M1430" t="str">
        <f>_xlfn.XLOOKUP(Pipeline_tbl[[#This Row],[Rep_ID]],Dim_Reps!A:A,Dim_Reps!K:K)</f>
        <v>USD</v>
      </c>
      <c r="N1430" s="33">
        <f>(_xlfn.XLOOKUP(Pipeline_tbl[[#This Row],[Rate_Code_Generalized]],Lookups!A:A,Lookups!B:B))*Pipeline_tbl[[#This Row],[Pipeline_Amount_USD]]</f>
        <v>3260.0399999999995</v>
      </c>
      <c r="O1430" t="str">
        <f>_xlfn.XLOOKUP(Pipeline_tbl[[#This Row],[Rep_ID]],Dim_Reps!A:A,Dim_Reps!B:B)</f>
        <v>Karim Rossi</v>
      </c>
      <c r="P1430" t="str">
        <f>_xlfn.XLOOKUP(Pipeline_tbl[[#This Row],[Rep_ID]],Dim_Reps!A:A,Dim_Reps!C:C)</f>
        <v>SDR / Inside Sales Rep</v>
      </c>
      <c r="Q1430" t="str">
        <f>_xlfn.XLOOKUP(Pipeline_tbl[[#This Row],[Rep_ID]],Dim_Reps!A:A,Dim_Reps!D:D)</f>
        <v>Inside Sales</v>
      </c>
      <c r="R1430" t="str">
        <f>_xlfn.XLOOKUP(Pipeline_tbl[[#This Row],[Rep_ID]],Dim_Reps!A:A,Dim_Reps!E:E)</f>
        <v>NAMER</v>
      </c>
      <c r="S1430" t="str">
        <f>_xlfn.XLOOKUP(Pipeline_tbl[[#This Row],[Created_Date]],Dim_Date!A:A,Dim_Date!H:H)</f>
        <v>Nov 2025</v>
      </c>
      <c r="T1430" t="str">
        <f>IF(Pipeline_tbl[[#This Row],[Closed_Date]]=0,"",(_xlfn.XLOOKUP(Pipeline_tbl[[#This Row],[Closed_Date]],Dim_Date!A:A,Dim_Date!H:H)))</f>
        <v>Dec 2025</v>
      </c>
      <c r="U1430">
        <f>IF(Pipeline_tbl[[#This Row],[Closed_Date]]=0,"",Pipeline_tbl[[#This Row],[Closed_Date]]-Pipeline_tbl[[#This Row],[Created_Date]])</f>
        <v>22</v>
      </c>
    </row>
    <row r="1431" spans="1:21" ht="15" customHeight="1" x14ac:dyDescent="0.2">
      <c r="A1431" t="s">
        <v>1737</v>
      </c>
      <c r="B1431" t="s">
        <v>193</v>
      </c>
      <c r="C1431" t="s">
        <v>55</v>
      </c>
      <c r="D1431" s="49">
        <v>45985</v>
      </c>
      <c r="E1431" s="49">
        <v>45987</v>
      </c>
      <c r="F1431" s="49">
        <v>45990</v>
      </c>
      <c r="G1431" s="49">
        <v>45995</v>
      </c>
      <c r="H1431" s="49">
        <v>45999</v>
      </c>
      <c r="I1431" s="49">
        <v>46002</v>
      </c>
      <c r="J1431" t="s">
        <v>47</v>
      </c>
      <c r="K1431" s="33">
        <v>4200</v>
      </c>
      <c r="M1431" t="str">
        <f>_xlfn.XLOOKUP(Pipeline_tbl[[#This Row],[Rep_ID]],Dim_Reps!A:A,Dim_Reps!K:K)</f>
        <v>USD</v>
      </c>
      <c r="N1431" s="33">
        <f>(_xlfn.XLOOKUP(Pipeline_tbl[[#This Row],[Rate_Code_Generalized]],Lookups!A:A,Lookups!B:B))*Pipeline_tbl[[#This Row],[Pipeline_Amount_USD]]</f>
        <v>4890.0599999999995</v>
      </c>
      <c r="O1431" t="str">
        <f>_xlfn.XLOOKUP(Pipeline_tbl[[#This Row],[Rep_ID]],Dim_Reps!A:A,Dim_Reps!B:B)</f>
        <v>Karim Rossi</v>
      </c>
      <c r="P1431" t="str">
        <f>_xlfn.XLOOKUP(Pipeline_tbl[[#This Row],[Rep_ID]],Dim_Reps!A:A,Dim_Reps!C:C)</f>
        <v>SDR / Inside Sales Rep</v>
      </c>
      <c r="Q1431" t="str">
        <f>_xlfn.XLOOKUP(Pipeline_tbl[[#This Row],[Rep_ID]],Dim_Reps!A:A,Dim_Reps!D:D)</f>
        <v>Inside Sales</v>
      </c>
      <c r="R1431" t="str">
        <f>_xlfn.XLOOKUP(Pipeline_tbl[[#This Row],[Rep_ID]],Dim_Reps!A:A,Dim_Reps!E:E)</f>
        <v>NAMER</v>
      </c>
      <c r="S1431" t="str">
        <f>_xlfn.XLOOKUP(Pipeline_tbl[[#This Row],[Created_Date]],Dim_Date!A:A,Dim_Date!H:H)</f>
        <v>Nov 2025</v>
      </c>
      <c r="T1431" t="str">
        <f>IF(Pipeline_tbl[[#This Row],[Closed_Date]]=0,"",(_xlfn.XLOOKUP(Pipeline_tbl[[#This Row],[Closed_Date]],Dim_Date!A:A,Dim_Date!H:H)))</f>
        <v>Dec 2025</v>
      </c>
      <c r="U1431">
        <f>IF(Pipeline_tbl[[#This Row],[Closed_Date]]=0,"",Pipeline_tbl[[#This Row],[Closed_Date]]-Pipeline_tbl[[#This Row],[Created_Date]])</f>
        <v>17</v>
      </c>
    </row>
    <row r="1432" spans="1:21" ht="15" customHeight="1" x14ac:dyDescent="0.2">
      <c r="A1432" t="s">
        <v>1738</v>
      </c>
      <c r="B1432" t="s">
        <v>193</v>
      </c>
      <c r="C1432" t="s">
        <v>54</v>
      </c>
      <c r="D1432" s="49">
        <v>45985</v>
      </c>
      <c r="E1432" s="49">
        <v>45987</v>
      </c>
      <c r="I1432" s="49">
        <v>46002</v>
      </c>
      <c r="J1432" t="s">
        <v>49</v>
      </c>
      <c r="K1432" s="33">
        <v>1200</v>
      </c>
      <c r="L1432" t="s">
        <v>62</v>
      </c>
      <c r="M1432" t="str">
        <f>_xlfn.XLOOKUP(Pipeline_tbl[[#This Row],[Rep_ID]],Dim_Reps!A:A,Dim_Reps!K:K)</f>
        <v>USD</v>
      </c>
      <c r="N1432" s="33">
        <f>(_xlfn.XLOOKUP(Pipeline_tbl[[#This Row],[Rate_Code_Generalized]],Lookups!A:A,Lookups!B:B))*Pipeline_tbl[[#This Row],[Pipeline_Amount_USD]]</f>
        <v>1397.1599999999999</v>
      </c>
      <c r="O1432" t="str">
        <f>_xlfn.XLOOKUP(Pipeline_tbl[[#This Row],[Rep_ID]],Dim_Reps!A:A,Dim_Reps!B:B)</f>
        <v>Karim Rossi</v>
      </c>
      <c r="P1432" t="str">
        <f>_xlfn.XLOOKUP(Pipeline_tbl[[#This Row],[Rep_ID]],Dim_Reps!A:A,Dim_Reps!C:C)</f>
        <v>SDR / Inside Sales Rep</v>
      </c>
      <c r="Q1432" t="str">
        <f>_xlfn.XLOOKUP(Pipeline_tbl[[#This Row],[Rep_ID]],Dim_Reps!A:A,Dim_Reps!D:D)</f>
        <v>Inside Sales</v>
      </c>
      <c r="R1432" t="str">
        <f>_xlfn.XLOOKUP(Pipeline_tbl[[#This Row],[Rep_ID]],Dim_Reps!A:A,Dim_Reps!E:E)</f>
        <v>NAMER</v>
      </c>
      <c r="S1432" t="str">
        <f>_xlfn.XLOOKUP(Pipeline_tbl[[#This Row],[Created_Date]],Dim_Date!A:A,Dim_Date!H:H)</f>
        <v>Nov 2025</v>
      </c>
      <c r="T1432" t="str">
        <f>IF(Pipeline_tbl[[#This Row],[Closed_Date]]=0,"",(_xlfn.XLOOKUP(Pipeline_tbl[[#This Row],[Closed_Date]],Dim_Date!A:A,Dim_Date!H:H)))</f>
        <v>Dec 2025</v>
      </c>
      <c r="U1432">
        <f>IF(Pipeline_tbl[[#This Row],[Closed_Date]]=0,"",Pipeline_tbl[[#This Row],[Closed_Date]]-Pipeline_tbl[[#This Row],[Created_Date]])</f>
        <v>17</v>
      </c>
    </row>
    <row r="1433" spans="1:21" ht="15" customHeight="1" x14ac:dyDescent="0.2">
      <c r="A1433" t="s">
        <v>1739</v>
      </c>
      <c r="B1433" t="s">
        <v>177</v>
      </c>
      <c r="C1433" t="s">
        <v>52</v>
      </c>
      <c r="D1433" s="49">
        <v>45962</v>
      </c>
      <c r="E1433" s="49">
        <v>45968</v>
      </c>
      <c r="F1433" s="49">
        <v>45980</v>
      </c>
      <c r="G1433" s="49">
        <v>45998</v>
      </c>
      <c r="H1433" s="49">
        <v>46013</v>
      </c>
      <c r="I1433" s="49">
        <v>46022</v>
      </c>
      <c r="J1433" t="s">
        <v>47</v>
      </c>
      <c r="K1433" s="33">
        <v>25500</v>
      </c>
      <c r="M1433" t="str">
        <f>_xlfn.XLOOKUP(Pipeline_tbl[[#This Row],[Rep_ID]],Dim_Reps!A:A,Dim_Reps!K:K)</f>
        <v>USD</v>
      </c>
      <c r="N1433" s="33">
        <f>(_xlfn.XLOOKUP(Pipeline_tbl[[#This Row],[Rate_Code_Generalized]],Lookups!A:A,Lookups!B:B))*Pipeline_tbl[[#This Row],[Pipeline_Amount_USD]]</f>
        <v>29689.649999999998</v>
      </c>
      <c r="O1433" t="str">
        <f>_xlfn.XLOOKUP(Pipeline_tbl[[#This Row],[Rep_ID]],Dim_Reps!A:A,Dim_Reps!B:B)</f>
        <v>Lucas Cohen</v>
      </c>
      <c r="P1433" t="str">
        <f>_xlfn.XLOOKUP(Pipeline_tbl[[#This Row],[Rep_ID]],Dim_Reps!A:A,Dim_Reps!C:C)</f>
        <v>Enterprise AE</v>
      </c>
      <c r="Q1433" t="str">
        <f>_xlfn.XLOOKUP(Pipeline_tbl[[#This Row],[Rep_ID]],Dim_Reps!A:A,Dim_Reps!D:D)</f>
        <v>Enterprise</v>
      </c>
      <c r="R1433" t="str">
        <f>_xlfn.XLOOKUP(Pipeline_tbl[[#This Row],[Rep_ID]],Dim_Reps!A:A,Dim_Reps!E:E)</f>
        <v>NAMER</v>
      </c>
      <c r="S1433" t="str">
        <f>_xlfn.XLOOKUP(Pipeline_tbl[[#This Row],[Created_Date]],Dim_Date!A:A,Dim_Date!H:H)</f>
        <v>Nov 2025</v>
      </c>
      <c r="T1433" t="str">
        <f>IF(Pipeline_tbl[[#This Row],[Closed_Date]]=0,"",(_xlfn.XLOOKUP(Pipeline_tbl[[#This Row],[Closed_Date]],Dim_Date!A:A,Dim_Date!H:H)))</f>
        <v>Dec 2025</v>
      </c>
      <c r="U1433">
        <f>IF(Pipeline_tbl[[#This Row],[Closed_Date]]=0,"",Pipeline_tbl[[#This Row],[Closed_Date]]-Pipeline_tbl[[#This Row],[Created_Date]])</f>
        <v>60</v>
      </c>
    </row>
    <row r="1434" spans="1:21" ht="15" customHeight="1" x14ac:dyDescent="0.2">
      <c r="A1434" t="s">
        <v>1740</v>
      </c>
      <c r="B1434" t="s">
        <v>243</v>
      </c>
      <c r="C1434" t="s">
        <v>55</v>
      </c>
      <c r="D1434" s="49">
        <v>45969</v>
      </c>
      <c r="E1434" s="49">
        <v>45973</v>
      </c>
      <c r="I1434" s="49">
        <v>46004</v>
      </c>
      <c r="J1434" t="s">
        <v>49</v>
      </c>
      <c r="K1434" s="33">
        <v>11400</v>
      </c>
      <c r="L1434" t="s">
        <v>61</v>
      </c>
      <c r="M1434" t="str">
        <f>_xlfn.XLOOKUP(Pipeline_tbl[[#This Row],[Rep_ID]],Dim_Reps!A:A,Dim_Reps!K:K)</f>
        <v>MXN</v>
      </c>
      <c r="N1434" s="33">
        <f>(_xlfn.XLOOKUP(Pipeline_tbl[[#This Row],[Rate_Code_Generalized]],Lookups!A:A,Lookups!B:B))*Pipeline_tbl[[#This Row],[Pipeline_Amount_USD]]</f>
        <v>224952.78000000003</v>
      </c>
      <c r="O1434" t="str">
        <f>_xlfn.XLOOKUP(Pipeline_tbl[[#This Row],[Rep_ID]],Dim_Reps!A:A,Dim_Reps!B:B)</f>
        <v>Jonas Sato</v>
      </c>
      <c r="P1434" t="str">
        <f>_xlfn.XLOOKUP(Pipeline_tbl[[#This Row],[Rep_ID]],Dim_Reps!A:A,Dim_Reps!C:C)</f>
        <v>Mid-Market AE</v>
      </c>
      <c r="Q1434" t="str">
        <f>_xlfn.XLOOKUP(Pipeline_tbl[[#This Row],[Rep_ID]],Dim_Reps!A:A,Dim_Reps!D:D)</f>
        <v>Mid-Market</v>
      </c>
      <c r="R1434" t="str">
        <f>_xlfn.XLOOKUP(Pipeline_tbl[[#This Row],[Rep_ID]],Dim_Reps!A:A,Dim_Reps!E:E)</f>
        <v>LATAM</v>
      </c>
      <c r="S1434" t="str">
        <f>_xlfn.XLOOKUP(Pipeline_tbl[[#This Row],[Created_Date]],Dim_Date!A:A,Dim_Date!H:H)</f>
        <v>Nov 2025</v>
      </c>
      <c r="T1434" t="str">
        <f>IF(Pipeline_tbl[[#This Row],[Closed_Date]]=0,"",(_xlfn.XLOOKUP(Pipeline_tbl[[#This Row],[Closed_Date]],Dim_Date!A:A,Dim_Date!H:H)))</f>
        <v>Dec 2025</v>
      </c>
      <c r="U1434">
        <f>IF(Pipeline_tbl[[#This Row],[Closed_Date]]=0,"",Pipeline_tbl[[#This Row],[Closed_Date]]-Pipeline_tbl[[#This Row],[Created_Date]])</f>
        <v>35</v>
      </c>
    </row>
    <row r="1435" spans="1:21" ht="15" customHeight="1" x14ac:dyDescent="0.2">
      <c r="A1435" t="s">
        <v>1741</v>
      </c>
      <c r="B1435" t="s">
        <v>243</v>
      </c>
      <c r="C1435" t="s">
        <v>56</v>
      </c>
      <c r="D1435" s="49">
        <v>45970</v>
      </c>
      <c r="E1435" s="49">
        <v>45974</v>
      </c>
      <c r="F1435" s="49">
        <v>45982</v>
      </c>
      <c r="G1435" s="49">
        <v>45995</v>
      </c>
      <c r="H1435" s="49">
        <v>46005</v>
      </c>
      <c r="I1435" s="49">
        <v>46011</v>
      </c>
      <c r="J1435" t="s">
        <v>47</v>
      </c>
      <c r="K1435" s="33">
        <v>23700</v>
      </c>
      <c r="M1435" t="str">
        <f>_xlfn.XLOOKUP(Pipeline_tbl[[#This Row],[Rep_ID]],Dim_Reps!A:A,Dim_Reps!K:K)</f>
        <v>MXN</v>
      </c>
      <c r="N1435" s="33">
        <f>(_xlfn.XLOOKUP(Pipeline_tbl[[#This Row],[Rate_Code_Generalized]],Lookups!A:A,Lookups!B:B))*Pipeline_tbl[[#This Row],[Pipeline_Amount_USD]]</f>
        <v>467664.99000000005</v>
      </c>
      <c r="O1435" t="str">
        <f>_xlfn.XLOOKUP(Pipeline_tbl[[#This Row],[Rep_ID]],Dim_Reps!A:A,Dim_Reps!B:B)</f>
        <v>Jonas Sato</v>
      </c>
      <c r="P1435" t="str">
        <f>_xlfn.XLOOKUP(Pipeline_tbl[[#This Row],[Rep_ID]],Dim_Reps!A:A,Dim_Reps!C:C)</f>
        <v>Mid-Market AE</v>
      </c>
      <c r="Q1435" t="str">
        <f>_xlfn.XLOOKUP(Pipeline_tbl[[#This Row],[Rep_ID]],Dim_Reps!A:A,Dim_Reps!D:D)</f>
        <v>Mid-Market</v>
      </c>
      <c r="R1435" t="str">
        <f>_xlfn.XLOOKUP(Pipeline_tbl[[#This Row],[Rep_ID]],Dim_Reps!A:A,Dim_Reps!E:E)</f>
        <v>LATAM</v>
      </c>
      <c r="S1435" t="str">
        <f>_xlfn.XLOOKUP(Pipeline_tbl[[#This Row],[Created_Date]],Dim_Date!A:A,Dim_Date!H:H)</f>
        <v>Nov 2025</v>
      </c>
      <c r="T1435" t="str">
        <f>IF(Pipeline_tbl[[#This Row],[Closed_Date]]=0,"",(_xlfn.XLOOKUP(Pipeline_tbl[[#This Row],[Closed_Date]],Dim_Date!A:A,Dim_Date!H:H)))</f>
        <v>Dec 2025</v>
      </c>
      <c r="U1435">
        <f>IF(Pipeline_tbl[[#This Row],[Closed_Date]]=0,"",Pipeline_tbl[[#This Row],[Closed_Date]]-Pipeline_tbl[[#This Row],[Created_Date]])</f>
        <v>41</v>
      </c>
    </row>
    <row r="1436" spans="1:21" ht="15" customHeight="1" x14ac:dyDescent="0.2">
      <c r="A1436" t="s">
        <v>1742</v>
      </c>
      <c r="B1436" t="s">
        <v>243</v>
      </c>
      <c r="C1436" t="s">
        <v>54</v>
      </c>
      <c r="D1436" s="49">
        <v>45972</v>
      </c>
      <c r="E1436" s="49">
        <v>45976</v>
      </c>
      <c r="F1436" s="49">
        <v>45983</v>
      </c>
      <c r="G1436" s="49">
        <v>45993</v>
      </c>
      <c r="H1436" s="49">
        <v>46002</v>
      </c>
      <c r="I1436" s="49">
        <v>46007</v>
      </c>
      <c r="J1436" t="s">
        <v>47</v>
      </c>
      <c r="K1436" s="33">
        <v>7800</v>
      </c>
      <c r="M1436" t="str">
        <f>_xlfn.XLOOKUP(Pipeline_tbl[[#This Row],[Rep_ID]],Dim_Reps!A:A,Dim_Reps!K:K)</f>
        <v>MXN</v>
      </c>
      <c r="N1436" s="33">
        <f>(_xlfn.XLOOKUP(Pipeline_tbl[[#This Row],[Rate_Code_Generalized]],Lookups!A:A,Lookups!B:B))*Pipeline_tbl[[#This Row],[Pipeline_Amount_USD]]</f>
        <v>153915.06</v>
      </c>
      <c r="O1436" t="str">
        <f>_xlfn.XLOOKUP(Pipeline_tbl[[#This Row],[Rep_ID]],Dim_Reps!A:A,Dim_Reps!B:B)</f>
        <v>Jonas Sato</v>
      </c>
      <c r="P1436" t="str">
        <f>_xlfn.XLOOKUP(Pipeline_tbl[[#This Row],[Rep_ID]],Dim_Reps!A:A,Dim_Reps!C:C)</f>
        <v>Mid-Market AE</v>
      </c>
      <c r="Q1436" t="str">
        <f>_xlfn.XLOOKUP(Pipeline_tbl[[#This Row],[Rep_ID]],Dim_Reps!A:A,Dim_Reps!D:D)</f>
        <v>Mid-Market</v>
      </c>
      <c r="R1436" t="str">
        <f>_xlfn.XLOOKUP(Pipeline_tbl[[#This Row],[Rep_ID]],Dim_Reps!A:A,Dim_Reps!E:E)</f>
        <v>LATAM</v>
      </c>
      <c r="S1436" t="str">
        <f>_xlfn.XLOOKUP(Pipeline_tbl[[#This Row],[Created_Date]],Dim_Date!A:A,Dim_Date!H:H)</f>
        <v>Nov 2025</v>
      </c>
      <c r="T1436" t="str">
        <f>IF(Pipeline_tbl[[#This Row],[Closed_Date]]=0,"",(_xlfn.XLOOKUP(Pipeline_tbl[[#This Row],[Closed_Date]],Dim_Date!A:A,Dim_Date!H:H)))</f>
        <v>Dec 2025</v>
      </c>
      <c r="U1436">
        <f>IF(Pipeline_tbl[[#This Row],[Closed_Date]]=0,"",Pipeline_tbl[[#This Row],[Closed_Date]]-Pipeline_tbl[[#This Row],[Created_Date]])</f>
        <v>35</v>
      </c>
    </row>
    <row r="1437" spans="1:21" ht="15" customHeight="1" x14ac:dyDescent="0.2">
      <c r="A1437" t="s">
        <v>1743</v>
      </c>
      <c r="B1437" t="s">
        <v>243</v>
      </c>
      <c r="C1437" t="s">
        <v>53</v>
      </c>
      <c r="D1437" s="49">
        <v>45972</v>
      </c>
      <c r="E1437" s="49">
        <v>45975</v>
      </c>
      <c r="F1437" s="49">
        <v>45982</v>
      </c>
      <c r="I1437" s="49">
        <v>46005</v>
      </c>
      <c r="J1437" t="s">
        <v>49</v>
      </c>
      <c r="K1437" s="33">
        <v>13900</v>
      </c>
      <c r="L1437" t="s">
        <v>64</v>
      </c>
      <c r="M1437" t="str">
        <f>_xlfn.XLOOKUP(Pipeline_tbl[[#This Row],[Rep_ID]],Dim_Reps!A:A,Dim_Reps!K:K)</f>
        <v>MXN</v>
      </c>
      <c r="N1437" s="33">
        <f>(_xlfn.XLOOKUP(Pipeline_tbl[[#This Row],[Rate_Code_Generalized]],Lookups!A:A,Lookups!B:B))*Pipeline_tbl[[#This Row],[Pipeline_Amount_USD]]</f>
        <v>274284.53000000003</v>
      </c>
      <c r="O1437" t="str">
        <f>_xlfn.XLOOKUP(Pipeline_tbl[[#This Row],[Rep_ID]],Dim_Reps!A:A,Dim_Reps!B:B)</f>
        <v>Jonas Sato</v>
      </c>
      <c r="P1437" t="str">
        <f>_xlfn.XLOOKUP(Pipeline_tbl[[#This Row],[Rep_ID]],Dim_Reps!A:A,Dim_Reps!C:C)</f>
        <v>Mid-Market AE</v>
      </c>
      <c r="Q1437" t="str">
        <f>_xlfn.XLOOKUP(Pipeline_tbl[[#This Row],[Rep_ID]],Dim_Reps!A:A,Dim_Reps!D:D)</f>
        <v>Mid-Market</v>
      </c>
      <c r="R1437" t="str">
        <f>_xlfn.XLOOKUP(Pipeline_tbl[[#This Row],[Rep_ID]],Dim_Reps!A:A,Dim_Reps!E:E)</f>
        <v>LATAM</v>
      </c>
      <c r="S1437" t="str">
        <f>_xlfn.XLOOKUP(Pipeline_tbl[[#This Row],[Created_Date]],Dim_Date!A:A,Dim_Date!H:H)</f>
        <v>Nov 2025</v>
      </c>
      <c r="T1437" t="str">
        <f>IF(Pipeline_tbl[[#This Row],[Closed_Date]]=0,"",(_xlfn.XLOOKUP(Pipeline_tbl[[#This Row],[Closed_Date]],Dim_Date!A:A,Dim_Date!H:H)))</f>
        <v>Dec 2025</v>
      </c>
      <c r="U1437">
        <f>IF(Pipeline_tbl[[#This Row],[Closed_Date]]=0,"",Pipeline_tbl[[#This Row],[Closed_Date]]-Pipeline_tbl[[#This Row],[Created_Date]])</f>
        <v>33</v>
      </c>
    </row>
    <row r="1438" spans="1:21" ht="15" customHeight="1" x14ac:dyDescent="0.2">
      <c r="A1438" t="s">
        <v>1744</v>
      </c>
      <c r="B1438" t="s">
        <v>243</v>
      </c>
      <c r="C1438" t="s">
        <v>56</v>
      </c>
      <c r="D1438" s="49">
        <v>45990</v>
      </c>
      <c r="E1438" s="49">
        <v>45992</v>
      </c>
      <c r="F1438" s="49">
        <v>45998</v>
      </c>
      <c r="G1438" s="49">
        <v>46005</v>
      </c>
      <c r="H1438" s="49">
        <v>46011</v>
      </c>
      <c r="I1438" s="49">
        <v>46015</v>
      </c>
      <c r="J1438" t="s">
        <v>47</v>
      </c>
      <c r="K1438" s="33">
        <v>5100</v>
      </c>
      <c r="M1438" t="str">
        <f>_xlfn.XLOOKUP(Pipeline_tbl[[#This Row],[Rep_ID]],Dim_Reps!A:A,Dim_Reps!K:K)</f>
        <v>MXN</v>
      </c>
      <c r="N1438" s="33">
        <f>(_xlfn.XLOOKUP(Pipeline_tbl[[#This Row],[Rate_Code_Generalized]],Lookups!A:A,Lookups!B:B))*Pipeline_tbl[[#This Row],[Pipeline_Amount_USD]]</f>
        <v>100636.77</v>
      </c>
      <c r="O1438" t="str">
        <f>_xlfn.XLOOKUP(Pipeline_tbl[[#This Row],[Rep_ID]],Dim_Reps!A:A,Dim_Reps!B:B)</f>
        <v>Jonas Sato</v>
      </c>
      <c r="P1438" t="str">
        <f>_xlfn.XLOOKUP(Pipeline_tbl[[#This Row],[Rep_ID]],Dim_Reps!A:A,Dim_Reps!C:C)</f>
        <v>Mid-Market AE</v>
      </c>
      <c r="Q1438" t="str">
        <f>_xlfn.XLOOKUP(Pipeline_tbl[[#This Row],[Rep_ID]],Dim_Reps!A:A,Dim_Reps!D:D)</f>
        <v>Mid-Market</v>
      </c>
      <c r="R1438" t="str">
        <f>_xlfn.XLOOKUP(Pipeline_tbl[[#This Row],[Rep_ID]],Dim_Reps!A:A,Dim_Reps!E:E)</f>
        <v>LATAM</v>
      </c>
      <c r="S1438" t="str">
        <f>_xlfn.XLOOKUP(Pipeline_tbl[[#This Row],[Created_Date]],Dim_Date!A:A,Dim_Date!H:H)</f>
        <v>Nov 2025</v>
      </c>
      <c r="T1438" t="str">
        <f>IF(Pipeline_tbl[[#This Row],[Closed_Date]]=0,"",(_xlfn.XLOOKUP(Pipeline_tbl[[#This Row],[Closed_Date]],Dim_Date!A:A,Dim_Date!H:H)))</f>
        <v>Dec 2025</v>
      </c>
      <c r="U1438">
        <f>IF(Pipeline_tbl[[#This Row],[Closed_Date]]=0,"",Pipeline_tbl[[#This Row],[Closed_Date]]-Pipeline_tbl[[#This Row],[Created_Date]])</f>
        <v>25</v>
      </c>
    </row>
    <row r="1439" spans="1:21" ht="15" customHeight="1" x14ac:dyDescent="0.2">
      <c r="A1439" t="s">
        <v>1745</v>
      </c>
      <c r="B1439" t="s">
        <v>243</v>
      </c>
      <c r="C1439" t="s">
        <v>52</v>
      </c>
      <c r="D1439" s="49">
        <v>45964</v>
      </c>
      <c r="E1439" s="49">
        <v>45968</v>
      </c>
      <c r="F1439" s="49">
        <v>45976</v>
      </c>
      <c r="G1439" s="49">
        <v>45989</v>
      </c>
      <c r="H1439" s="49">
        <v>45999</v>
      </c>
      <c r="I1439" s="49">
        <v>46005</v>
      </c>
      <c r="J1439" t="s">
        <v>49</v>
      </c>
      <c r="K1439" s="33">
        <v>6300</v>
      </c>
      <c r="L1439" t="s">
        <v>61</v>
      </c>
      <c r="M1439" t="str">
        <f>_xlfn.XLOOKUP(Pipeline_tbl[[#This Row],[Rep_ID]],Dim_Reps!A:A,Dim_Reps!K:K)</f>
        <v>MXN</v>
      </c>
      <c r="N1439" s="33">
        <f>(_xlfn.XLOOKUP(Pipeline_tbl[[#This Row],[Rate_Code_Generalized]],Lookups!A:A,Lookups!B:B))*Pipeline_tbl[[#This Row],[Pipeline_Amount_USD]]</f>
        <v>124316.01000000001</v>
      </c>
      <c r="O1439" t="str">
        <f>_xlfn.XLOOKUP(Pipeline_tbl[[#This Row],[Rep_ID]],Dim_Reps!A:A,Dim_Reps!B:B)</f>
        <v>Jonas Sato</v>
      </c>
      <c r="P1439" t="str">
        <f>_xlfn.XLOOKUP(Pipeline_tbl[[#This Row],[Rep_ID]],Dim_Reps!A:A,Dim_Reps!C:C)</f>
        <v>Mid-Market AE</v>
      </c>
      <c r="Q1439" t="str">
        <f>_xlfn.XLOOKUP(Pipeline_tbl[[#This Row],[Rep_ID]],Dim_Reps!A:A,Dim_Reps!D:D)</f>
        <v>Mid-Market</v>
      </c>
      <c r="R1439" t="str">
        <f>_xlfn.XLOOKUP(Pipeline_tbl[[#This Row],[Rep_ID]],Dim_Reps!A:A,Dim_Reps!E:E)</f>
        <v>LATAM</v>
      </c>
      <c r="S1439" t="str">
        <f>_xlfn.XLOOKUP(Pipeline_tbl[[#This Row],[Created_Date]],Dim_Date!A:A,Dim_Date!H:H)</f>
        <v>Nov 2025</v>
      </c>
      <c r="T1439" t="str">
        <f>IF(Pipeline_tbl[[#This Row],[Closed_Date]]=0,"",(_xlfn.XLOOKUP(Pipeline_tbl[[#This Row],[Closed_Date]],Dim_Date!A:A,Dim_Date!H:H)))</f>
        <v>Dec 2025</v>
      </c>
      <c r="U1439">
        <f>IF(Pipeline_tbl[[#This Row],[Closed_Date]]=0,"",Pipeline_tbl[[#This Row],[Closed_Date]]-Pipeline_tbl[[#This Row],[Created_Date]])</f>
        <v>41</v>
      </c>
    </row>
    <row r="1440" spans="1:21" ht="15" customHeight="1" x14ac:dyDescent="0.2">
      <c r="A1440" t="s">
        <v>1746</v>
      </c>
      <c r="B1440" t="s">
        <v>196</v>
      </c>
      <c r="C1440" t="s">
        <v>55</v>
      </c>
      <c r="D1440" s="49">
        <v>45991</v>
      </c>
      <c r="E1440" s="49">
        <v>45993</v>
      </c>
      <c r="F1440" s="49">
        <v>45998</v>
      </c>
      <c r="G1440" s="49">
        <v>46004</v>
      </c>
      <c r="H1440" s="49">
        <v>46010</v>
      </c>
      <c r="I1440" s="49">
        <v>46013</v>
      </c>
      <c r="J1440" t="s">
        <v>47</v>
      </c>
      <c r="K1440" s="33">
        <v>3500</v>
      </c>
      <c r="M1440" t="str">
        <f>_xlfn.XLOOKUP(Pipeline_tbl[[#This Row],[Rep_ID]],Dim_Reps!A:A,Dim_Reps!K:K)</f>
        <v>EUR</v>
      </c>
      <c r="N1440" s="33">
        <f>(_xlfn.XLOOKUP(Pipeline_tbl[[#This Row],[Rate_Code_Generalized]],Lookups!A:A,Lookups!B:B))*Pipeline_tbl[[#This Row],[Pipeline_Amount_USD]]</f>
        <v>3500</v>
      </c>
      <c r="O1440" t="str">
        <f>_xlfn.XLOOKUP(Pipeline_tbl[[#This Row],[Rep_ID]],Dim_Reps!A:A,Dim_Reps!B:B)</f>
        <v>Alex Okafor</v>
      </c>
      <c r="P1440" t="str">
        <f>_xlfn.XLOOKUP(Pipeline_tbl[[#This Row],[Rep_ID]],Dim_Reps!A:A,Dim_Reps!C:C)</f>
        <v>SDR / Inside Sales Rep</v>
      </c>
      <c r="Q1440" t="str">
        <f>_xlfn.XLOOKUP(Pipeline_tbl[[#This Row],[Rep_ID]],Dim_Reps!A:A,Dim_Reps!D:D)</f>
        <v>Inside Sales</v>
      </c>
      <c r="R1440" t="str">
        <f>_xlfn.XLOOKUP(Pipeline_tbl[[#This Row],[Rep_ID]],Dim_Reps!A:A,Dim_Reps!E:E)</f>
        <v>EMEA</v>
      </c>
      <c r="S1440" t="str">
        <f>_xlfn.XLOOKUP(Pipeline_tbl[[#This Row],[Created_Date]],Dim_Date!A:A,Dim_Date!H:H)</f>
        <v>Nov 2025</v>
      </c>
      <c r="T1440" t="str">
        <f>IF(Pipeline_tbl[[#This Row],[Closed_Date]]=0,"",(_xlfn.XLOOKUP(Pipeline_tbl[[#This Row],[Closed_Date]],Dim_Date!A:A,Dim_Date!H:H)))</f>
        <v>Dec 2025</v>
      </c>
      <c r="U1440">
        <f>IF(Pipeline_tbl[[#This Row],[Closed_Date]]=0,"",Pipeline_tbl[[#This Row],[Closed_Date]]-Pipeline_tbl[[#This Row],[Created_Date]])</f>
        <v>22</v>
      </c>
    </row>
    <row r="1441" spans="1:21" ht="15" customHeight="1" x14ac:dyDescent="0.2">
      <c r="A1441" t="s">
        <v>1747</v>
      </c>
      <c r="B1441" t="s">
        <v>196</v>
      </c>
      <c r="C1441" t="s">
        <v>52</v>
      </c>
      <c r="D1441" s="49">
        <v>45980</v>
      </c>
      <c r="E1441" s="49">
        <v>45982</v>
      </c>
      <c r="I1441" s="49">
        <v>45999</v>
      </c>
      <c r="J1441" t="s">
        <v>49</v>
      </c>
      <c r="K1441" s="33">
        <v>2900</v>
      </c>
      <c r="L1441" t="s">
        <v>60</v>
      </c>
      <c r="M1441" t="str">
        <f>_xlfn.XLOOKUP(Pipeline_tbl[[#This Row],[Rep_ID]],Dim_Reps!A:A,Dim_Reps!K:K)</f>
        <v>EUR</v>
      </c>
      <c r="N1441" s="33">
        <f>(_xlfn.XLOOKUP(Pipeline_tbl[[#This Row],[Rate_Code_Generalized]],Lookups!A:A,Lookups!B:B))*Pipeline_tbl[[#This Row],[Pipeline_Amount_USD]]</f>
        <v>2900</v>
      </c>
      <c r="O1441" t="str">
        <f>_xlfn.XLOOKUP(Pipeline_tbl[[#This Row],[Rep_ID]],Dim_Reps!A:A,Dim_Reps!B:B)</f>
        <v>Alex Okafor</v>
      </c>
      <c r="P1441" t="str">
        <f>_xlfn.XLOOKUP(Pipeline_tbl[[#This Row],[Rep_ID]],Dim_Reps!A:A,Dim_Reps!C:C)</f>
        <v>SDR / Inside Sales Rep</v>
      </c>
      <c r="Q1441" t="str">
        <f>_xlfn.XLOOKUP(Pipeline_tbl[[#This Row],[Rep_ID]],Dim_Reps!A:A,Dim_Reps!D:D)</f>
        <v>Inside Sales</v>
      </c>
      <c r="R1441" t="str">
        <f>_xlfn.XLOOKUP(Pipeline_tbl[[#This Row],[Rep_ID]],Dim_Reps!A:A,Dim_Reps!E:E)</f>
        <v>EMEA</v>
      </c>
      <c r="S1441" t="str">
        <f>_xlfn.XLOOKUP(Pipeline_tbl[[#This Row],[Created_Date]],Dim_Date!A:A,Dim_Date!H:H)</f>
        <v>Nov 2025</v>
      </c>
      <c r="T1441" t="str">
        <f>IF(Pipeline_tbl[[#This Row],[Closed_Date]]=0,"",(_xlfn.XLOOKUP(Pipeline_tbl[[#This Row],[Closed_Date]],Dim_Date!A:A,Dim_Date!H:H)))</f>
        <v>Dec 2025</v>
      </c>
      <c r="U1441">
        <f>IF(Pipeline_tbl[[#This Row],[Closed_Date]]=0,"",Pipeline_tbl[[#This Row],[Closed_Date]]-Pipeline_tbl[[#This Row],[Created_Date]])</f>
        <v>19</v>
      </c>
    </row>
    <row r="1442" spans="1:21" ht="15" customHeight="1" x14ac:dyDescent="0.2">
      <c r="A1442" t="s">
        <v>1748</v>
      </c>
      <c r="B1442" t="s">
        <v>196</v>
      </c>
      <c r="C1442" t="s">
        <v>55</v>
      </c>
      <c r="D1442" s="49">
        <v>45983</v>
      </c>
      <c r="E1442" s="49">
        <v>45985</v>
      </c>
      <c r="F1442" s="49">
        <v>45988</v>
      </c>
      <c r="G1442" s="49">
        <v>45992</v>
      </c>
      <c r="H1442" s="49">
        <v>45996</v>
      </c>
      <c r="I1442" s="49">
        <v>45998</v>
      </c>
      <c r="J1442" t="s">
        <v>49</v>
      </c>
      <c r="K1442" s="33">
        <v>4400</v>
      </c>
      <c r="L1442" t="s">
        <v>60</v>
      </c>
      <c r="M1442" t="str">
        <f>_xlfn.XLOOKUP(Pipeline_tbl[[#This Row],[Rep_ID]],Dim_Reps!A:A,Dim_Reps!K:K)</f>
        <v>EUR</v>
      </c>
      <c r="N1442" s="33">
        <f>(_xlfn.XLOOKUP(Pipeline_tbl[[#This Row],[Rate_Code_Generalized]],Lookups!A:A,Lookups!B:B))*Pipeline_tbl[[#This Row],[Pipeline_Amount_USD]]</f>
        <v>4400</v>
      </c>
      <c r="O1442" t="str">
        <f>_xlfn.XLOOKUP(Pipeline_tbl[[#This Row],[Rep_ID]],Dim_Reps!A:A,Dim_Reps!B:B)</f>
        <v>Alex Okafor</v>
      </c>
      <c r="P1442" t="str">
        <f>_xlfn.XLOOKUP(Pipeline_tbl[[#This Row],[Rep_ID]],Dim_Reps!A:A,Dim_Reps!C:C)</f>
        <v>SDR / Inside Sales Rep</v>
      </c>
      <c r="Q1442" t="str">
        <f>_xlfn.XLOOKUP(Pipeline_tbl[[#This Row],[Rep_ID]],Dim_Reps!A:A,Dim_Reps!D:D)</f>
        <v>Inside Sales</v>
      </c>
      <c r="R1442" t="str">
        <f>_xlfn.XLOOKUP(Pipeline_tbl[[#This Row],[Rep_ID]],Dim_Reps!A:A,Dim_Reps!E:E)</f>
        <v>EMEA</v>
      </c>
      <c r="S1442" t="str">
        <f>_xlfn.XLOOKUP(Pipeline_tbl[[#This Row],[Created_Date]],Dim_Date!A:A,Dim_Date!H:H)</f>
        <v>Nov 2025</v>
      </c>
      <c r="T1442" t="str">
        <f>IF(Pipeline_tbl[[#This Row],[Closed_Date]]=0,"",(_xlfn.XLOOKUP(Pipeline_tbl[[#This Row],[Closed_Date]],Dim_Date!A:A,Dim_Date!H:H)))</f>
        <v>Dec 2025</v>
      </c>
      <c r="U1442">
        <f>IF(Pipeline_tbl[[#This Row],[Closed_Date]]=0,"",Pipeline_tbl[[#This Row],[Closed_Date]]-Pipeline_tbl[[#This Row],[Created_Date]])</f>
        <v>15</v>
      </c>
    </row>
    <row r="1443" spans="1:21" ht="15" customHeight="1" x14ac:dyDescent="0.2">
      <c r="A1443" t="s">
        <v>1749</v>
      </c>
      <c r="B1443" t="s">
        <v>196</v>
      </c>
      <c r="C1443" t="s">
        <v>52</v>
      </c>
      <c r="D1443" s="49">
        <v>45991</v>
      </c>
      <c r="E1443" s="49">
        <v>45993</v>
      </c>
      <c r="F1443" s="49">
        <v>45997</v>
      </c>
      <c r="G1443" s="49">
        <v>46002</v>
      </c>
      <c r="I1443" s="49">
        <v>46010</v>
      </c>
      <c r="J1443" t="s">
        <v>49</v>
      </c>
      <c r="K1443" s="33">
        <v>3200</v>
      </c>
      <c r="L1443" t="s">
        <v>60</v>
      </c>
      <c r="M1443" t="str">
        <f>_xlfn.XLOOKUP(Pipeline_tbl[[#This Row],[Rep_ID]],Dim_Reps!A:A,Dim_Reps!K:K)</f>
        <v>EUR</v>
      </c>
      <c r="N1443" s="33">
        <f>(_xlfn.XLOOKUP(Pipeline_tbl[[#This Row],[Rate_Code_Generalized]],Lookups!A:A,Lookups!B:B))*Pipeline_tbl[[#This Row],[Pipeline_Amount_USD]]</f>
        <v>3200</v>
      </c>
      <c r="O1443" t="str">
        <f>_xlfn.XLOOKUP(Pipeline_tbl[[#This Row],[Rep_ID]],Dim_Reps!A:A,Dim_Reps!B:B)</f>
        <v>Alex Okafor</v>
      </c>
      <c r="P1443" t="str">
        <f>_xlfn.XLOOKUP(Pipeline_tbl[[#This Row],[Rep_ID]],Dim_Reps!A:A,Dim_Reps!C:C)</f>
        <v>SDR / Inside Sales Rep</v>
      </c>
      <c r="Q1443" t="str">
        <f>_xlfn.XLOOKUP(Pipeline_tbl[[#This Row],[Rep_ID]],Dim_Reps!A:A,Dim_Reps!D:D)</f>
        <v>Inside Sales</v>
      </c>
      <c r="R1443" t="str">
        <f>_xlfn.XLOOKUP(Pipeline_tbl[[#This Row],[Rep_ID]],Dim_Reps!A:A,Dim_Reps!E:E)</f>
        <v>EMEA</v>
      </c>
      <c r="S1443" t="str">
        <f>_xlfn.XLOOKUP(Pipeline_tbl[[#This Row],[Created_Date]],Dim_Date!A:A,Dim_Date!H:H)</f>
        <v>Nov 2025</v>
      </c>
      <c r="T1443" t="str">
        <f>IF(Pipeline_tbl[[#This Row],[Closed_Date]]=0,"",(_xlfn.XLOOKUP(Pipeline_tbl[[#This Row],[Closed_Date]],Dim_Date!A:A,Dim_Date!H:H)))</f>
        <v>Dec 2025</v>
      </c>
      <c r="U1443">
        <f>IF(Pipeline_tbl[[#This Row],[Closed_Date]]=0,"",Pipeline_tbl[[#This Row],[Closed_Date]]-Pipeline_tbl[[#This Row],[Created_Date]])</f>
        <v>19</v>
      </c>
    </row>
    <row r="1444" spans="1:21" ht="15" customHeight="1" x14ac:dyDescent="0.2">
      <c r="A1444" t="s">
        <v>1750</v>
      </c>
      <c r="B1444" t="s">
        <v>199</v>
      </c>
      <c r="C1444" t="s">
        <v>56</v>
      </c>
      <c r="D1444" s="49">
        <v>45979</v>
      </c>
      <c r="E1444" s="49">
        <v>45981</v>
      </c>
      <c r="F1444" s="49">
        <v>45986</v>
      </c>
      <c r="I1444" s="49">
        <v>46001</v>
      </c>
      <c r="J1444" t="s">
        <v>49</v>
      </c>
      <c r="K1444" s="33">
        <v>3900</v>
      </c>
      <c r="L1444" t="s">
        <v>60</v>
      </c>
      <c r="M1444" t="str">
        <f>_xlfn.XLOOKUP(Pipeline_tbl[[#This Row],[Rep_ID]],Dim_Reps!A:A,Dim_Reps!K:K)</f>
        <v>EUR</v>
      </c>
      <c r="N1444" s="33">
        <f>(_xlfn.XLOOKUP(Pipeline_tbl[[#This Row],[Rate_Code_Generalized]],Lookups!A:A,Lookups!B:B))*Pipeline_tbl[[#This Row],[Pipeline_Amount_USD]]</f>
        <v>3900</v>
      </c>
      <c r="O1444" t="str">
        <f>_xlfn.XLOOKUP(Pipeline_tbl[[#This Row],[Rep_ID]],Dim_Reps!A:A,Dim_Reps!B:B)</f>
        <v>Lucas Okafor</v>
      </c>
      <c r="P1444" t="str">
        <f>_xlfn.XLOOKUP(Pipeline_tbl[[#This Row],[Rep_ID]],Dim_Reps!A:A,Dim_Reps!C:C)</f>
        <v>SDR / Inside Sales Rep</v>
      </c>
      <c r="Q1444" t="str">
        <f>_xlfn.XLOOKUP(Pipeline_tbl[[#This Row],[Rep_ID]],Dim_Reps!A:A,Dim_Reps!D:D)</f>
        <v>Inside Sales</v>
      </c>
      <c r="R1444" t="str">
        <f>_xlfn.XLOOKUP(Pipeline_tbl[[#This Row],[Rep_ID]],Dim_Reps!A:A,Dim_Reps!E:E)</f>
        <v>APAC</v>
      </c>
      <c r="S1444" t="str">
        <f>_xlfn.XLOOKUP(Pipeline_tbl[[#This Row],[Created_Date]],Dim_Date!A:A,Dim_Date!H:H)</f>
        <v>Nov 2025</v>
      </c>
      <c r="T1444" t="str">
        <f>IF(Pipeline_tbl[[#This Row],[Closed_Date]]=0,"",(_xlfn.XLOOKUP(Pipeline_tbl[[#This Row],[Closed_Date]],Dim_Date!A:A,Dim_Date!H:H)))</f>
        <v>Dec 2025</v>
      </c>
      <c r="U1444">
        <f>IF(Pipeline_tbl[[#This Row],[Closed_Date]]=0,"",Pipeline_tbl[[#This Row],[Closed_Date]]-Pipeline_tbl[[#This Row],[Created_Date]])</f>
        <v>22</v>
      </c>
    </row>
    <row r="1445" spans="1:21" ht="15" customHeight="1" x14ac:dyDescent="0.2">
      <c r="A1445" t="s">
        <v>1751</v>
      </c>
      <c r="B1445" t="s">
        <v>199</v>
      </c>
      <c r="C1445" t="s">
        <v>53</v>
      </c>
      <c r="D1445" s="49">
        <v>45964</v>
      </c>
      <c r="E1445" s="49">
        <v>45967</v>
      </c>
      <c r="F1445" s="49">
        <v>45973</v>
      </c>
      <c r="G1445" s="49">
        <v>45981</v>
      </c>
      <c r="I1445" s="49">
        <v>45993</v>
      </c>
      <c r="J1445" t="s">
        <v>49</v>
      </c>
      <c r="K1445" s="33">
        <v>5300</v>
      </c>
      <c r="L1445" t="s">
        <v>60</v>
      </c>
      <c r="M1445" t="str">
        <f>_xlfn.XLOOKUP(Pipeline_tbl[[#This Row],[Rep_ID]],Dim_Reps!A:A,Dim_Reps!K:K)</f>
        <v>EUR</v>
      </c>
      <c r="N1445" s="33">
        <f>(_xlfn.XLOOKUP(Pipeline_tbl[[#This Row],[Rate_Code_Generalized]],Lookups!A:A,Lookups!B:B))*Pipeline_tbl[[#This Row],[Pipeline_Amount_USD]]</f>
        <v>5300</v>
      </c>
      <c r="O1445" t="str">
        <f>_xlfn.XLOOKUP(Pipeline_tbl[[#This Row],[Rep_ID]],Dim_Reps!A:A,Dim_Reps!B:B)</f>
        <v>Lucas Okafor</v>
      </c>
      <c r="P1445" t="str">
        <f>_xlfn.XLOOKUP(Pipeline_tbl[[#This Row],[Rep_ID]],Dim_Reps!A:A,Dim_Reps!C:C)</f>
        <v>SDR / Inside Sales Rep</v>
      </c>
      <c r="Q1445" t="str">
        <f>_xlfn.XLOOKUP(Pipeline_tbl[[#This Row],[Rep_ID]],Dim_Reps!A:A,Dim_Reps!D:D)</f>
        <v>Inside Sales</v>
      </c>
      <c r="R1445" t="str">
        <f>_xlfn.XLOOKUP(Pipeline_tbl[[#This Row],[Rep_ID]],Dim_Reps!A:A,Dim_Reps!E:E)</f>
        <v>APAC</v>
      </c>
      <c r="S1445" t="str">
        <f>_xlfn.XLOOKUP(Pipeline_tbl[[#This Row],[Created_Date]],Dim_Date!A:A,Dim_Date!H:H)</f>
        <v>Nov 2025</v>
      </c>
      <c r="T1445" t="str">
        <f>IF(Pipeline_tbl[[#This Row],[Closed_Date]]=0,"",(_xlfn.XLOOKUP(Pipeline_tbl[[#This Row],[Closed_Date]],Dim_Date!A:A,Dim_Date!H:H)))</f>
        <v>Dec 2025</v>
      </c>
      <c r="U1445">
        <f>IF(Pipeline_tbl[[#This Row],[Closed_Date]]=0,"",Pipeline_tbl[[#This Row],[Closed_Date]]-Pipeline_tbl[[#This Row],[Created_Date]])</f>
        <v>29</v>
      </c>
    </row>
    <row r="1446" spans="1:21" ht="15" customHeight="1" x14ac:dyDescent="0.2">
      <c r="A1446" t="s">
        <v>1752</v>
      </c>
      <c r="B1446" t="s">
        <v>199</v>
      </c>
      <c r="C1446" t="s">
        <v>52</v>
      </c>
      <c r="D1446" s="49">
        <v>45975</v>
      </c>
      <c r="E1446" s="49">
        <v>45977</v>
      </c>
      <c r="F1446" s="49">
        <v>45981</v>
      </c>
      <c r="G1446" s="49">
        <v>45988</v>
      </c>
      <c r="H1446" s="49">
        <v>45993</v>
      </c>
      <c r="I1446" s="49">
        <v>45996</v>
      </c>
      <c r="J1446" t="s">
        <v>47</v>
      </c>
      <c r="K1446" s="33">
        <v>3000</v>
      </c>
      <c r="M1446" t="str">
        <f>_xlfn.XLOOKUP(Pipeline_tbl[[#This Row],[Rep_ID]],Dim_Reps!A:A,Dim_Reps!K:K)</f>
        <v>EUR</v>
      </c>
      <c r="N1446" s="33">
        <f>(_xlfn.XLOOKUP(Pipeline_tbl[[#This Row],[Rate_Code_Generalized]],Lookups!A:A,Lookups!B:B))*Pipeline_tbl[[#This Row],[Pipeline_Amount_USD]]</f>
        <v>3000</v>
      </c>
      <c r="O1446" t="str">
        <f>_xlfn.XLOOKUP(Pipeline_tbl[[#This Row],[Rep_ID]],Dim_Reps!A:A,Dim_Reps!B:B)</f>
        <v>Lucas Okafor</v>
      </c>
      <c r="P1446" t="str">
        <f>_xlfn.XLOOKUP(Pipeline_tbl[[#This Row],[Rep_ID]],Dim_Reps!A:A,Dim_Reps!C:C)</f>
        <v>SDR / Inside Sales Rep</v>
      </c>
      <c r="Q1446" t="str">
        <f>_xlfn.XLOOKUP(Pipeline_tbl[[#This Row],[Rep_ID]],Dim_Reps!A:A,Dim_Reps!D:D)</f>
        <v>Inside Sales</v>
      </c>
      <c r="R1446" t="str">
        <f>_xlfn.XLOOKUP(Pipeline_tbl[[#This Row],[Rep_ID]],Dim_Reps!A:A,Dim_Reps!E:E)</f>
        <v>APAC</v>
      </c>
      <c r="S1446" t="str">
        <f>_xlfn.XLOOKUP(Pipeline_tbl[[#This Row],[Created_Date]],Dim_Date!A:A,Dim_Date!H:H)</f>
        <v>Nov 2025</v>
      </c>
      <c r="T1446" t="str">
        <f>IF(Pipeline_tbl[[#This Row],[Closed_Date]]=0,"",(_xlfn.XLOOKUP(Pipeline_tbl[[#This Row],[Closed_Date]],Dim_Date!A:A,Dim_Date!H:H)))</f>
        <v>Dec 2025</v>
      </c>
      <c r="U1446">
        <f>IF(Pipeline_tbl[[#This Row],[Closed_Date]]=0,"",Pipeline_tbl[[#This Row],[Closed_Date]]-Pipeline_tbl[[#This Row],[Created_Date]])</f>
        <v>21</v>
      </c>
    </row>
    <row r="1447" spans="1:21" ht="15" customHeight="1" x14ac:dyDescent="0.2">
      <c r="A1447" t="s">
        <v>1753</v>
      </c>
      <c r="B1447" t="s">
        <v>199</v>
      </c>
      <c r="C1447" t="s">
        <v>52</v>
      </c>
      <c r="D1447" s="49">
        <v>45984</v>
      </c>
      <c r="E1447" s="49">
        <v>45985</v>
      </c>
      <c r="F1447" s="49">
        <v>45987</v>
      </c>
      <c r="G1447" s="49">
        <v>45991</v>
      </c>
      <c r="I1447" s="49">
        <v>45995</v>
      </c>
      <c r="J1447" t="s">
        <v>49</v>
      </c>
      <c r="K1447" s="33">
        <v>1500</v>
      </c>
      <c r="L1447" t="s">
        <v>62</v>
      </c>
      <c r="M1447" t="str">
        <f>_xlfn.XLOOKUP(Pipeline_tbl[[#This Row],[Rep_ID]],Dim_Reps!A:A,Dim_Reps!K:K)</f>
        <v>EUR</v>
      </c>
      <c r="N1447" s="33">
        <f>(_xlfn.XLOOKUP(Pipeline_tbl[[#This Row],[Rate_Code_Generalized]],Lookups!A:A,Lookups!B:B))*Pipeline_tbl[[#This Row],[Pipeline_Amount_USD]]</f>
        <v>1500</v>
      </c>
      <c r="O1447" t="str">
        <f>_xlfn.XLOOKUP(Pipeline_tbl[[#This Row],[Rep_ID]],Dim_Reps!A:A,Dim_Reps!B:B)</f>
        <v>Lucas Okafor</v>
      </c>
      <c r="P1447" t="str">
        <f>_xlfn.XLOOKUP(Pipeline_tbl[[#This Row],[Rep_ID]],Dim_Reps!A:A,Dim_Reps!C:C)</f>
        <v>SDR / Inside Sales Rep</v>
      </c>
      <c r="Q1447" t="str">
        <f>_xlfn.XLOOKUP(Pipeline_tbl[[#This Row],[Rep_ID]],Dim_Reps!A:A,Dim_Reps!D:D)</f>
        <v>Inside Sales</v>
      </c>
      <c r="R1447" t="str">
        <f>_xlfn.XLOOKUP(Pipeline_tbl[[#This Row],[Rep_ID]],Dim_Reps!A:A,Dim_Reps!E:E)</f>
        <v>APAC</v>
      </c>
      <c r="S1447" t="str">
        <f>_xlfn.XLOOKUP(Pipeline_tbl[[#This Row],[Created_Date]],Dim_Date!A:A,Dim_Date!H:H)</f>
        <v>Nov 2025</v>
      </c>
      <c r="T1447" t="str">
        <f>IF(Pipeline_tbl[[#This Row],[Closed_Date]]=0,"",(_xlfn.XLOOKUP(Pipeline_tbl[[#This Row],[Closed_Date]],Dim_Date!A:A,Dim_Date!H:H)))</f>
        <v>Dec 2025</v>
      </c>
      <c r="U1447">
        <f>IF(Pipeline_tbl[[#This Row],[Closed_Date]]=0,"",Pipeline_tbl[[#This Row],[Closed_Date]]-Pipeline_tbl[[#This Row],[Created_Date]])</f>
        <v>11</v>
      </c>
    </row>
    <row r="1448" spans="1:21" ht="15" customHeight="1" x14ac:dyDescent="0.2">
      <c r="A1448" t="s">
        <v>1754</v>
      </c>
      <c r="B1448" t="s">
        <v>199</v>
      </c>
      <c r="C1448" t="s">
        <v>56</v>
      </c>
      <c r="D1448" s="49">
        <v>45981</v>
      </c>
      <c r="E1448" s="49">
        <v>45983</v>
      </c>
      <c r="F1448" s="49">
        <v>45986</v>
      </c>
      <c r="G1448" s="49">
        <v>45991</v>
      </c>
      <c r="H1448" s="49">
        <v>45995</v>
      </c>
      <c r="I1448" s="49">
        <v>45998</v>
      </c>
      <c r="J1448" t="s">
        <v>47</v>
      </c>
      <c r="K1448" s="33">
        <v>2600</v>
      </c>
      <c r="M1448" t="str">
        <f>_xlfn.XLOOKUP(Pipeline_tbl[[#This Row],[Rep_ID]],Dim_Reps!A:A,Dim_Reps!K:K)</f>
        <v>EUR</v>
      </c>
      <c r="N1448" s="33">
        <f>(_xlfn.XLOOKUP(Pipeline_tbl[[#This Row],[Rate_Code_Generalized]],Lookups!A:A,Lookups!B:B))*Pipeline_tbl[[#This Row],[Pipeline_Amount_USD]]</f>
        <v>2600</v>
      </c>
      <c r="O1448" t="str">
        <f>_xlfn.XLOOKUP(Pipeline_tbl[[#This Row],[Rep_ID]],Dim_Reps!A:A,Dim_Reps!B:B)</f>
        <v>Lucas Okafor</v>
      </c>
      <c r="P1448" t="str">
        <f>_xlfn.XLOOKUP(Pipeline_tbl[[#This Row],[Rep_ID]],Dim_Reps!A:A,Dim_Reps!C:C)</f>
        <v>SDR / Inside Sales Rep</v>
      </c>
      <c r="Q1448" t="str">
        <f>_xlfn.XLOOKUP(Pipeline_tbl[[#This Row],[Rep_ID]],Dim_Reps!A:A,Dim_Reps!D:D)</f>
        <v>Inside Sales</v>
      </c>
      <c r="R1448" t="str">
        <f>_xlfn.XLOOKUP(Pipeline_tbl[[#This Row],[Rep_ID]],Dim_Reps!A:A,Dim_Reps!E:E)</f>
        <v>APAC</v>
      </c>
      <c r="S1448" t="str">
        <f>_xlfn.XLOOKUP(Pipeline_tbl[[#This Row],[Created_Date]],Dim_Date!A:A,Dim_Date!H:H)</f>
        <v>Nov 2025</v>
      </c>
      <c r="T1448" t="str">
        <f>IF(Pipeline_tbl[[#This Row],[Closed_Date]]=0,"",(_xlfn.XLOOKUP(Pipeline_tbl[[#This Row],[Closed_Date]],Dim_Date!A:A,Dim_Date!H:H)))</f>
        <v>Dec 2025</v>
      </c>
      <c r="U1448">
        <f>IF(Pipeline_tbl[[#This Row],[Closed_Date]]=0,"",Pipeline_tbl[[#This Row],[Closed_Date]]-Pipeline_tbl[[#This Row],[Created_Date]])</f>
        <v>17</v>
      </c>
    </row>
    <row r="1449" spans="1:21" ht="15" customHeight="1" x14ac:dyDescent="0.2">
      <c r="A1449" t="s">
        <v>1755</v>
      </c>
      <c r="B1449" t="s">
        <v>199</v>
      </c>
      <c r="C1449" t="s">
        <v>53</v>
      </c>
      <c r="D1449" s="49">
        <v>45977</v>
      </c>
      <c r="E1449" s="49">
        <v>45979</v>
      </c>
      <c r="F1449" s="49">
        <v>45984</v>
      </c>
      <c r="G1449" s="49">
        <v>45990</v>
      </c>
      <c r="H1449" s="49">
        <v>45996</v>
      </c>
      <c r="I1449" s="49">
        <v>45999</v>
      </c>
      <c r="J1449" t="s">
        <v>49</v>
      </c>
      <c r="K1449" s="33">
        <v>2500</v>
      </c>
      <c r="L1449" t="s">
        <v>62</v>
      </c>
      <c r="M1449" t="str">
        <f>_xlfn.XLOOKUP(Pipeline_tbl[[#This Row],[Rep_ID]],Dim_Reps!A:A,Dim_Reps!K:K)</f>
        <v>EUR</v>
      </c>
      <c r="N1449" s="33">
        <f>(_xlfn.XLOOKUP(Pipeline_tbl[[#This Row],[Rate_Code_Generalized]],Lookups!A:A,Lookups!B:B))*Pipeline_tbl[[#This Row],[Pipeline_Amount_USD]]</f>
        <v>2500</v>
      </c>
      <c r="O1449" t="str">
        <f>_xlfn.XLOOKUP(Pipeline_tbl[[#This Row],[Rep_ID]],Dim_Reps!A:A,Dim_Reps!B:B)</f>
        <v>Lucas Okafor</v>
      </c>
      <c r="P1449" t="str">
        <f>_xlfn.XLOOKUP(Pipeline_tbl[[#This Row],[Rep_ID]],Dim_Reps!A:A,Dim_Reps!C:C)</f>
        <v>SDR / Inside Sales Rep</v>
      </c>
      <c r="Q1449" t="str">
        <f>_xlfn.XLOOKUP(Pipeline_tbl[[#This Row],[Rep_ID]],Dim_Reps!A:A,Dim_Reps!D:D)</f>
        <v>Inside Sales</v>
      </c>
      <c r="R1449" t="str">
        <f>_xlfn.XLOOKUP(Pipeline_tbl[[#This Row],[Rep_ID]],Dim_Reps!A:A,Dim_Reps!E:E)</f>
        <v>APAC</v>
      </c>
      <c r="S1449" t="str">
        <f>_xlfn.XLOOKUP(Pipeline_tbl[[#This Row],[Created_Date]],Dim_Date!A:A,Dim_Date!H:H)</f>
        <v>Nov 2025</v>
      </c>
      <c r="T1449" t="str">
        <f>IF(Pipeline_tbl[[#This Row],[Closed_Date]]=0,"",(_xlfn.XLOOKUP(Pipeline_tbl[[#This Row],[Closed_Date]],Dim_Date!A:A,Dim_Date!H:H)))</f>
        <v>Dec 2025</v>
      </c>
      <c r="U1449">
        <f>IF(Pipeline_tbl[[#This Row],[Closed_Date]]=0,"",Pipeline_tbl[[#This Row],[Closed_Date]]-Pipeline_tbl[[#This Row],[Created_Date]])</f>
        <v>22</v>
      </c>
    </row>
    <row r="1450" spans="1:21" ht="15" customHeight="1" x14ac:dyDescent="0.2">
      <c r="A1450" t="s">
        <v>1756</v>
      </c>
      <c r="B1450" t="s">
        <v>201</v>
      </c>
      <c r="C1450" t="s">
        <v>53</v>
      </c>
      <c r="D1450" s="49">
        <v>45991</v>
      </c>
      <c r="E1450" s="49">
        <v>45992</v>
      </c>
      <c r="F1450" s="49">
        <v>45995</v>
      </c>
      <c r="G1450" s="49">
        <v>45999</v>
      </c>
      <c r="H1450" s="49">
        <v>46002</v>
      </c>
      <c r="I1450" s="49">
        <v>46004</v>
      </c>
      <c r="J1450" t="s">
        <v>49</v>
      </c>
      <c r="K1450" s="33">
        <v>1400</v>
      </c>
      <c r="L1450" t="s">
        <v>63</v>
      </c>
      <c r="M1450" t="str">
        <f>_xlfn.XLOOKUP(Pipeline_tbl[[#This Row],[Rep_ID]],Dim_Reps!A:A,Dim_Reps!K:K)</f>
        <v>EUR</v>
      </c>
      <c r="N1450" s="33">
        <f>(_xlfn.XLOOKUP(Pipeline_tbl[[#This Row],[Rate_Code_Generalized]],Lookups!A:A,Lookups!B:B))*Pipeline_tbl[[#This Row],[Pipeline_Amount_USD]]</f>
        <v>1400</v>
      </c>
      <c r="O1450" t="str">
        <f>_xlfn.XLOOKUP(Pipeline_tbl[[#This Row],[Rep_ID]],Dim_Reps!A:A,Dim_Reps!B:B)</f>
        <v>Sara Duarte</v>
      </c>
      <c r="P1450" t="str">
        <f>_xlfn.XLOOKUP(Pipeline_tbl[[#This Row],[Rep_ID]],Dim_Reps!A:A,Dim_Reps!C:C)</f>
        <v>SDR / Inside Sales Rep</v>
      </c>
      <c r="Q1450" t="str">
        <f>_xlfn.XLOOKUP(Pipeline_tbl[[#This Row],[Rep_ID]],Dim_Reps!A:A,Dim_Reps!D:D)</f>
        <v>Inside Sales</v>
      </c>
      <c r="R1450" t="str">
        <f>_xlfn.XLOOKUP(Pipeline_tbl[[#This Row],[Rep_ID]],Dim_Reps!A:A,Dim_Reps!E:E)</f>
        <v>APAC</v>
      </c>
      <c r="S1450" t="str">
        <f>_xlfn.XLOOKUP(Pipeline_tbl[[#This Row],[Created_Date]],Dim_Date!A:A,Dim_Date!H:H)</f>
        <v>Nov 2025</v>
      </c>
      <c r="T1450" t="str">
        <f>IF(Pipeline_tbl[[#This Row],[Closed_Date]]=0,"",(_xlfn.XLOOKUP(Pipeline_tbl[[#This Row],[Closed_Date]],Dim_Date!A:A,Dim_Date!H:H)))</f>
        <v>Dec 2025</v>
      </c>
      <c r="U1450">
        <f>IF(Pipeline_tbl[[#This Row],[Closed_Date]]=0,"",Pipeline_tbl[[#This Row],[Closed_Date]]-Pipeline_tbl[[#This Row],[Created_Date]])</f>
        <v>13</v>
      </c>
    </row>
    <row r="1451" spans="1:21" ht="15" customHeight="1" x14ac:dyDescent="0.2">
      <c r="A1451" t="s">
        <v>1757</v>
      </c>
      <c r="B1451" t="s">
        <v>201</v>
      </c>
      <c r="C1451" t="s">
        <v>52</v>
      </c>
      <c r="D1451" s="49">
        <v>45976</v>
      </c>
      <c r="E1451" s="49">
        <v>45978</v>
      </c>
      <c r="F1451" s="49">
        <v>45982</v>
      </c>
      <c r="G1451" s="49">
        <v>45989</v>
      </c>
      <c r="H1451" s="49">
        <v>45994</v>
      </c>
      <c r="I1451" s="49">
        <v>45997</v>
      </c>
      <c r="J1451" t="s">
        <v>47</v>
      </c>
      <c r="K1451" s="33">
        <v>2700</v>
      </c>
      <c r="M1451" t="str">
        <f>_xlfn.XLOOKUP(Pipeline_tbl[[#This Row],[Rep_ID]],Dim_Reps!A:A,Dim_Reps!K:K)</f>
        <v>EUR</v>
      </c>
      <c r="N1451" s="33">
        <f>(_xlfn.XLOOKUP(Pipeline_tbl[[#This Row],[Rate_Code_Generalized]],Lookups!A:A,Lookups!B:B))*Pipeline_tbl[[#This Row],[Pipeline_Amount_USD]]</f>
        <v>2700</v>
      </c>
      <c r="O1451" t="str">
        <f>_xlfn.XLOOKUP(Pipeline_tbl[[#This Row],[Rep_ID]],Dim_Reps!A:A,Dim_Reps!B:B)</f>
        <v>Sara Duarte</v>
      </c>
      <c r="P1451" t="str">
        <f>_xlfn.XLOOKUP(Pipeline_tbl[[#This Row],[Rep_ID]],Dim_Reps!A:A,Dim_Reps!C:C)</f>
        <v>SDR / Inside Sales Rep</v>
      </c>
      <c r="Q1451" t="str">
        <f>_xlfn.XLOOKUP(Pipeline_tbl[[#This Row],[Rep_ID]],Dim_Reps!A:A,Dim_Reps!D:D)</f>
        <v>Inside Sales</v>
      </c>
      <c r="R1451" t="str">
        <f>_xlfn.XLOOKUP(Pipeline_tbl[[#This Row],[Rep_ID]],Dim_Reps!A:A,Dim_Reps!E:E)</f>
        <v>APAC</v>
      </c>
      <c r="S1451" t="str">
        <f>_xlfn.XLOOKUP(Pipeline_tbl[[#This Row],[Created_Date]],Dim_Date!A:A,Dim_Date!H:H)</f>
        <v>Nov 2025</v>
      </c>
      <c r="T1451" t="str">
        <f>IF(Pipeline_tbl[[#This Row],[Closed_Date]]=0,"",(_xlfn.XLOOKUP(Pipeline_tbl[[#This Row],[Closed_Date]],Dim_Date!A:A,Dim_Date!H:H)))</f>
        <v>Dec 2025</v>
      </c>
      <c r="U1451">
        <f>IF(Pipeline_tbl[[#This Row],[Closed_Date]]=0,"",Pipeline_tbl[[#This Row],[Closed_Date]]-Pipeline_tbl[[#This Row],[Created_Date]])</f>
        <v>21</v>
      </c>
    </row>
    <row r="1452" spans="1:21" ht="15" customHeight="1" x14ac:dyDescent="0.2">
      <c r="A1452" t="s">
        <v>1758</v>
      </c>
      <c r="B1452" t="s">
        <v>201</v>
      </c>
      <c r="C1452" t="s">
        <v>53</v>
      </c>
      <c r="D1452" s="49">
        <v>45976</v>
      </c>
      <c r="E1452" s="49">
        <v>45978</v>
      </c>
      <c r="F1452" s="49">
        <v>45982</v>
      </c>
      <c r="G1452" s="49">
        <v>45988</v>
      </c>
      <c r="H1452" s="49">
        <v>45993</v>
      </c>
      <c r="I1452" s="49">
        <v>45996</v>
      </c>
      <c r="J1452" t="s">
        <v>47</v>
      </c>
      <c r="K1452" s="33">
        <v>9100</v>
      </c>
      <c r="M1452" t="str">
        <f>_xlfn.XLOOKUP(Pipeline_tbl[[#This Row],[Rep_ID]],Dim_Reps!A:A,Dim_Reps!K:K)</f>
        <v>EUR</v>
      </c>
      <c r="N1452" s="33">
        <f>(_xlfn.XLOOKUP(Pipeline_tbl[[#This Row],[Rate_Code_Generalized]],Lookups!A:A,Lookups!B:B))*Pipeline_tbl[[#This Row],[Pipeline_Amount_USD]]</f>
        <v>9100</v>
      </c>
      <c r="O1452" t="str">
        <f>_xlfn.XLOOKUP(Pipeline_tbl[[#This Row],[Rep_ID]],Dim_Reps!A:A,Dim_Reps!B:B)</f>
        <v>Sara Duarte</v>
      </c>
      <c r="P1452" t="str">
        <f>_xlfn.XLOOKUP(Pipeline_tbl[[#This Row],[Rep_ID]],Dim_Reps!A:A,Dim_Reps!C:C)</f>
        <v>SDR / Inside Sales Rep</v>
      </c>
      <c r="Q1452" t="str">
        <f>_xlfn.XLOOKUP(Pipeline_tbl[[#This Row],[Rep_ID]],Dim_Reps!A:A,Dim_Reps!D:D)</f>
        <v>Inside Sales</v>
      </c>
      <c r="R1452" t="str">
        <f>_xlfn.XLOOKUP(Pipeline_tbl[[#This Row],[Rep_ID]],Dim_Reps!A:A,Dim_Reps!E:E)</f>
        <v>APAC</v>
      </c>
      <c r="S1452" t="str">
        <f>_xlfn.XLOOKUP(Pipeline_tbl[[#This Row],[Created_Date]],Dim_Date!A:A,Dim_Date!H:H)</f>
        <v>Nov 2025</v>
      </c>
      <c r="T1452" t="str">
        <f>IF(Pipeline_tbl[[#This Row],[Closed_Date]]=0,"",(_xlfn.XLOOKUP(Pipeline_tbl[[#This Row],[Closed_Date]],Dim_Date!A:A,Dim_Date!H:H)))</f>
        <v>Dec 2025</v>
      </c>
      <c r="U1452">
        <f>IF(Pipeline_tbl[[#This Row],[Closed_Date]]=0,"",Pipeline_tbl[[#This Row],[Closed_Date]]-Pipeline_tbl[[#This Row],[Created_Date]])</f>
        <v>20</v>
      </c>
    </row>
    <row r="1453" spans="1:21" ht="15" customHeight="1" x14ac:dyDescent="0.2">
      <c r="A1453" t="s">
        <v>1759</v>
      </c>
      <c r="B1453" t="s">
        <v>201</v>
      </c>
      <c r="C1453" t="s">
        <v>55</v>
      </c>
      <c r="D1453" s="49">
        <v>45984</v>
      </c>
      <c r="E1453" s="49">
        <v>45985</v>
      </c>
      <c r="F1453" s="49">
        <v>45988</v>
      </c>
      <c r="G1453" s="49">
        <v>45991</v>
      </c>
      <c r="H1453" s="49">
        <v>45994</v>
      </c>
      <c r="I1453" s="49">
        <v>45996</v>
      </c>
      <c r="J1453" t="s">
        <v>47</v>
      </c>
      <c r="K1453" s="33">
        <v>5800</v>
      </c>
      <c r="M1453" t="str">
        <f>_xlfn.XLOOKUP(Pipeline_tbl[[#This Row],[Rep_ID]],Dim_Reps!A:A,Dim_Reps!K:K)</f>
        <v>EUR</v>
      </c>
      <c r="N1453" s="33">
        <f>(_xlfn.XLOOKUP(Pipeline_tbl[[#This Row],[Rate_Code_Generalized]],Lookups!A:A,Lookups!B:B))*Pipeline_tbl[[#This Row],[Pipeline_Amount_USD]]</f>
        <v>5800</v>
      </c>
      <c r="O1453" t="str">
        <f>_xlfn.XLOOKUP(Pipeline_tbl[[#This Row],[Rep_ID]],Dim_Reps!A:A,Dim_Reps!B:B)</f>
        <v>Sara Duarte</v>
      </c>
      <c r="P1453" t="str">
        <f>_xlfn.XLOOKUP(Pipeline_tbl[[#This Row],[Rep_ID]],Dim_Reps!A:A,Dim_Reps!C:C)</f>
        <v>SDR / Inside Sales Rep</v>
      </c>
      <c r="Q1453" t="str">
        <f>_xlfn.XLOOKUP(Pipeline_tbl[[#This Row],[Rep_ID]],Dim_Reps!A:A,Dim_Reps!D:D)</f>
        <v>Inside Sales</v>
      </c>
      <c r="R1453" t="str">
        <f>_xlfn.XLOOKUP(Pipeline_tbl[[#This Row],[Rep_ID]],Dim_Reps!A:A,Dim_Reps!E:E)</f>
        <v>APAC</v>
      </c>
      <c r="S1453" t="str">
        <f>_xlfn.XLOOKUP(Pipeline_tbl[[#This Row],[Created_Date]],Dim_Date!A:A,Dim_Date!H:H)</f>
        <v>Nov 2025</v>
      </c>
      <c r="T1453" t="str">
        <f>IF(Pipeline_tbl[[#This Row],[Closed_Date]]=0,"",(_xlfn.XLOOKUP(Pipeline_tbl[[#This Row],[Closed_Date]],Dim_Date!A:A,Dim_Date!H:H)))</f>
        <v>Dec 2025</v>
      </c>
      <c r="U1453">
        <f>IF(Pipeline_tbl[[#This Row],[Closed_Date]]=0,"",Pipeline_tbl[[#This Row],[Closed_Date]]-Pipeline_tbl[[#This Row],[Created_Date]])</f>
        <v>12</v>
      </c>
    </row>
    <row r="1454" spans="1:21" ht="15" customHeight="1" x14ac:dyDescent="0.2">
      <c r="A1454" t="s">
        <v>1760</v>
      </c>
      <c r="B1454" t="s">
        <v>181</v>
      </c>
      <c r="C1454" t="s">
        <v>54</v>
      </c>
      <c r="D1454" s="49">
        <v>45962</v>
      </c>
      <c r="E1454" s="49">
        <v>45966</v>
      </c>
      <c r="F1454" s="49">
        <v>45975</v>
      </c>
      <c r="G1454" s="49">
        <v>45988</v>
      </c>
      <c r="I1454" s="49">
        <v>46005</v>
      </c>
      <c r="J1454" t="s">
        <v>49</v>
      </c>
      <c r="K1454" s="33">
        <v>42200</v>
      </c>
      <c r="L1454" t="s">
        <v>61</v>
      </c>
      <c r="M1454" t="str">
        <f>_xlfn.XLOOKUP(Pipeline_tbl[[#This Row],[Rep_ID]],Dim_Reps!A:A,Dim_Reps!K:K)</f>
        <v>USD</v>
      </c>
      <c r="N1454" s="33">
        <f>(_xlfn.XLOOKUP(Pipeline_tbl[[#This Row],[Rate_Code_Generalized]],Lookups!A:A,Lookups!B:B))*Pipeline_tbl[[#This Row],[Pipeline_Amount_USD]]</f>
        <v>49133.459999999992</v>
      </c>
      <c r="O1454" t="str">
        <f>_xlfn.XLOOKUP(Pipeline_tbl[[#This Row],[Rep_ID]],Dim_Reps!A:A,Dim_Reps!B:B)</f>
        <v>Milo Weber</v>
      </c>
      <c r="P1454" t="str">
        <f>_xlfn.XLOOKUP(Pipeline_tbl[[#This Row],[Rep_ID]],Dim_Reps!A:A,Dim_Reps!C:C)</f>
        <v>Enterprise AE</v>
      </c>
      <c r="Q1454" t="str">
        <f>_xlfn.XLOOKUP(Pipeline_tbl[[#This Row],[Rep_ID]],Dim_Reps!A:A,Dim_Reps!D:D)</f>
        <v>Enterprise</v>
      </c>
      <c r="R1454" t="str">
        <f>_xlfn.XLOOKUP(Pipeline_tbl[[#This Row],[Rep_ID]],Dim_Reps!A:A,Dim_Reps!E:E)</f>
        <v>NAMER</v>
      </c>
      <c r="S1454" t="str">
        <f>_xlfn.XLOOKUP(Pipeline_tbl[[#This Row],[Created_Date]],Dim_Date!A:A,Dim_Date!H:H)</f>
        <v>Nov 2025</v>
      </c>
      <c r="T1454" t="str">
        <f>IF(Pipeline_tbl[[#This Row],[Closed_Date]]=0,"",(_xlfn.XLOOKUP(Pipeline_tbl[[#This Row],[Closed_Date]],Dim_Date!A:A,Dim_Date!H:H)))</f>
        <v>Dec 2025</v>
      </c>
      <c r="U1454">
        <f>IF(Pipeline_tbl[[#This Row],[Closed_Date]]=0,"",Pipeline_tbl[[#This Row],[Closed_Date]]-Pipeline_tbl[[#This Row],[Created_Date]])</f>
        <v>43</v>
      </c>
    </row>
    <row r="1455" spans="1:21" ht="15" customHeight="1" x14ac:dyDescent="0.2">
      <c r="A1455" t="s">
        <v>1761</v>
      </c>
      <c r="B1455" t="s">
        <v>246</v>
      </c>
      <c r="C1455" t="s">
        <v>53</v>
      </c>
      <c r="D1455" s="49">
        <v>45969</v>
      </c>
      <c r="E1455" s="49">
        <v>45972</v>
      </c>
      <c r="F1455" s="49">
        <v>45977</v>
      </c>
      <c r="I1455" s="49">
        <v>45997</v>
      </c>
      <c r="J1455" t="s">
        <v>49</v>
      </c>
      <c r="K1455" s="33">
        <v>5000</v>
      </c>
      <c r="L1455" t="s">
        <v>60</v>
      </c>
      <c r="M1455" t="str">
        <f>_xlfn.XLOOKUP(Pipeline_tbl[[#This Row],[Rep_ID]],Dim_Reps!A:A,Dim_Reps!K:K)</f>
        <v>EUR</v>
      </c>
      <c r="N1455" s="33">
        <f>(_xlfn.XLOOKUP(Pipeline_tbl[[#This Row],[Rate_Code_Generalized]],Lookups!A:A,Lookups!B:B))*Pipeline_tbl[[#This Row],[Pipeline_Amount_USD]]</f>
        <v>5000</v>
      </c>
      <c r="O1455" t="str">
        <f>_xlfn.XLOOKUP(Pipeline_tbl[[#This Row],[Rep_ID]],Dim_Reps!A:A,Dim_Reps!B:B)</f>
        <v>Karim Rivera</v>
      </c>
      <c r="P1455" t="str">
        <f>_xlfn.XLOOKUP(Pipeline_tbl[[#This Row],[Rep_ID]],Dim_Reps!A:A,Dim_Reps!C:C)</f>
        <v>Mid-Market AE</v>
      </c>
      <c r="Q1455" t="str">
        <f>_xlfn.XLOOKUP(Pipeline_tbl[[#This Row],[Rep_ID]],Dim_Reps!A:A,Dim_Reps!D:D)</f>
        <v>Mid-Market</v>
      </c>
      <c r="R1455" t="str">
        <f>_xlfn.XLOOKUP(Pipeline_tbl[[#This Row],[Rep_ID]],Dim_Reps!A:A,Dim_Reps!E:E)</f>
        <v>APAC</v>
      </c>
      <c r="S1455" t="str">
        <f>_xlfn.XLOOKUP(Pipeline_tbl[[#This Row],[Created_Date]],Dim_Date!A:A,Dim_Date!H:H)</f>
        <v>Nov 2025</v>
      </c>
      <c r="T1455" t="str">
        <f>IF(Pipeline_tbl[[#This Row],[Closed_Date]]=0,"",(_xlfn.XLOOKUP(Pipeline_tbl[[#This Row],[Closed_Date]],Dim_Date!A:A,Dim_Date!H:H)))</f>
        <v>Dec 2025</v>
      </c>
      <c r="U1455">
        <f>IF(Pipeline_tbl[[#This Row],[Closed_Date]]=0,"",Pipeline_tbl[[#This Row],[Closed_Date]]-Pipeline_tbl[[#This Row],[Created_Date]])</f>
        <v>28</v>
      </c>
    </row>
    <row r="1456" spans="1:21" ht="15" customHeight="1" x14ac:dyDescent="0.2">
      <c r="A1456" t="s">
        <v>1762</v>
      </c>
      <c r="B1456" t="s">
        <v>246</v>
      </c>
      <c r="C1456" t="s">
        <v>54</v>
      </c>
      <c r="D1456" s="49">
        <v>45976</v>
      </c>
      <c r="E1456" s="49">
        <v>45980</v>
      </c>
      <c r="I1456" s="49">
        <v>46011</v>
      </c>
      <c r="J1456" t="s">
        <v>49</v>
      </c>
      <c r="K1456" s="33">
        <v>6300</v>
      </c>
      <c r="L1456" t="s">
        <v>62</v>
      </c>
      <c r="M1456" t="str">
        <f>_xlfn.XLOOKUP(Pipeline_tbl[[#This Row],[Rep_ID]],Dim_Reps!A:A,Dim_Reps!K:K)</f>
        <v>EUR</v>
      </c>
      <c r="N1456" s="33">
        <f>(_xlfn.XLOOKUP(Pipeline_tbl[[#This Row],[Rate_Code_Generalized]],Lookups!A:A,Lookups!B:B))*Pipeline_tbl[[#This Row],[Pipeline_Amount_USD]]</f>
        <v>6300</v>
      </c>
      <c r="O1456" t="str">
        <f>_xlfn.XLOOKUP(Pipeline_tbl[[#This Row],[Rep_ID]],Dim_Reps!A:A,Dim_Reps!B:B)</f>
        <v>Karim Rivera</v>
      </c>
      <c r="P1456" t="str">
        <f>_xlfn.XLOOKUP(Pipeline_tbl[[#This Row],[Rep_ID]],Dim_Reps!A:A,Dim_Reps!C:C)</f>
        <v>Mid-Market AE</v>
      </c>
      <c r="Q1456" t="str">
        <f>_xlfn.XLOOKUP(Pipeline_tbl[[#This Row],[Rep_ID]],Dim_Reps!A:A,Dim_Reps!D:D)</f>
        <v>Mid-Market</v>
      </c>
      <c r="R1456" t="str">
        <f>_xlfn.XLOOKUP(Pipeline_tbl[[#This Row],[Rep_ID]],Dim_Reps!A:A,Dim_Reps!E:E)</f>
        <v>APAC</v>
      </c>
      <c r="S1456" t="str">
        <f>_xlfn.XLOOKUP(Pipeline_tbl[[#This Row],[Created_Date]],Dim_Date!A:A,Dim_Date!H:H)</f>
        <v>Nov 2025</v>
      </c>
      <c r="T1456" t="str">
        <f>IF(Pipeline_tbl[[#This Row],[Closed_Date]]=0,"",(_xlfn.XLOOKUP(Pipeline_tbl[[#This Row],[Closed_Date]],Dim_Date!A:A,Dim_Date!H:H)))</f>
        <v>Dec 2025</v>
      </c>
      <c r="U1456">
        <f>IF(Pipeline_tbl[[#This Row],[Closed_Date]]=0,"",Pipeline_tbl[[#This Row],[Closed_Date]]-Pipeline_tbl[[#This Row],[Created_Date]])</f>
        <v>35</v>
      </c>
    </row>
    <row r="1457" spans="1:21" ht="15" customHeight="1" x14ac:dyDescent="0.2">
      <c r="A1457" t="s">
        <v>1763</v>
      </c>
      <c r="B1457" t="s">
        <v>246</v>
      </c>
      <c r="C1457" t="s">
        <v>52</v>
      </c>
      <c r="D1457" s="49">
        <v>45979</v>
      </c>
      <c r="E1457" s="49">
        <v>45983</v>
      </c>
      <c r="F1457" s="49">
        <v>45992</v>
      </c>
      <c r="G1457" s="49">
        <v>46005</v>
      </c>
      <c r="I1457" s="49">
        <v>46022</v>
      </c>
      <c r="J1457" t="s">
        <v>49</v>
      </c>
      <c r="K1457" s="33">
        <v>17400</v>
      </c>
      <c r="L1457" t="s">
        <v>62</v>
      </c>
      <c r="M1457" t="str">
        <f>_xlfn.XLOOKUP(Pipeline_tbl[[#This Row],[Rep_ID]],Dim_Reps!A:A,Dim_Reps!K:K)</f>
        <v>EUR</v>
      </c>
      <c r="N1457" s="33">
        <f>(_xlfn.XLOOKUP(Pipeline_tbl[[#This Row],[Rate_Code_Generalized]],Lookups!A:A,Lookups!B:B))*Pipeline_tbl[[#This Row],[Pipeline_Amount_USD]]</f>
        <v>17400</v>
      </c>
      <c r="O1457" t="str">
        <f>_xlfn.XLOOKUP(Pipeline_tbl[[#This Row],[Rep_ID]],Dim_Reps!A:A,Dim_Reps!B:B)</f>
        <v>Karim Rivera</v>
      </c>
      <c r="P1457" t="str">
        <f>_xlfn.XLOOKUP(Pipeline_tbl[[#This Row],[Rep_ID]],Dim_Reps!A:A,Dim_Reps!C:C)</f>
        <v>Mid-Market AE</v>
      </c>
      <c r="Q1457" t="str">
        <f>_xlfn.XLOOKUP(Pipeline_tbl[[#This Row],[Rep_ID]],Dim_Reps!A:A,Dim_Reps!D:D)</f>
        <v>Mid-Market</v>
      </c>
      <c r="R1457" t="str">
        <f>_xlfn.XLOOKUP(Pipeline_tbl[[#This Row],[Rep_ID]],Dim_Reps!A:A,Dim_Reps!E:E)</f>
        <v>APAC</v>
      </c>
      <c r="S1457" t="str">
        <f>_xlfn.XLOOKUP(Pipeline_tbl[[#This Row],[Created_Date]],Dim_Date!A:A,Dim_Date!H:H)</f>
        <v>Nov 2025</v>
      </c>
      <c r="T1457" t="str">
        <f>IF(Pipeline_tbl[[#This Row],[Closed_Date]]=0,"",(_xlfn.XLOOKUP(Pipeline_tbl[[#This Row],[Closed_Date]],Dim_Date!A:A,Dim_Date!H:H)))</f>
        <v>Dec 2025</v>
      </c>
      <c r="U1457">
        <f>IF(Pipeline_tbl[[#This Row],[Closed_Date]]=0,"",Pipeline_tbl[[#This Row],[Closed_Date]]-Pipeline_tbl[[#This Row],[Created_Date]])</f>
        <v>43</v>
      </c>
    </row>
    <row r="1458" spans="1:21" ht="15" customHeight="1" x14ac:dyDescent="0.2">
      <c r="A1458" t="s">
        <v>1764</v>
      </c>
      <c r="B1458" t="s">
        <v>246</v>
      </c>
      <c r="C1458" t="s">
        <v>53</v>
      </c>
      <c r="D1458" s="49">
        <v>45966</v>
      </c>
      <c r="E1458" s="49">
        <v>45969</v>
      </c>
      <c r="F1458" s="49">
        <v>45975</v>
      </c>
      <c r="I1458" s="49">
        <v>45996</v>
      </c>
      <c r="J1458" t="s">
        <v>49</v>
      </c>
      <c r="K1458" s="33">
        <v>12600</v>
      </c>
      <c r="L1458" t="s">
        <v>61</v>
      </c>
      <c r="M1458" t="str">
        <f>_xlfn.XLOOKUP(Pipeline_tbl[[#This Row],[Rep_ID]],Dim_Reps!A:A,Dim_Reps!K:K)</f>
        <v>EUR</v>
      </c>
      <c r="N1458" s="33">
        <f>(_xlfn.XLOOKUP(Pipeline_tbl[[#This Row],[Rate_Code_Generalized]],Lookups!A:A,Lookups!B:B))*Pipeline_tbl[[#This Row],[Pipeline_Amount_USD]]</f>
        <v>12600</v>
      </c>
      <c r="O1458" t="str">
        <f>_xlfn.XLOOKUP(Pipeline_tbl[[#This Row],[Rep_ID]],Dim_Reps!A:A,Dim_Reps!B:B)</f>
        <v>Karim Rivera</v>
      </c>
      <c r="P1458" t="str">
        <f>_xlfn.XLOOKUP(Pipeline_tbl[[#This Row],[Rep_ID]],Dim_Reps!A:A,Dim_Reps!C:C)</f>
        <v>Mid-Market AE</v>
      </c>
      <c r="Q1458" t="str">
        <f>_xlfn.XLOOKUP(Pipeline_tbl[[#This Row],[Rep_ID]],Dim_Reps!A:A,Dim_Reps!D:D)</f>
        <v>Mid-Market</v>
      </c>
      <c r="R1458" t="str">
        <f>_xlfn.XLOOKUP(Pipeline_tbl[[#This Row],[Rep_ID]],Dim_Reps!A:A,Dim_Reps!E:E)</f>
        <v>APAC</v>
      </c>
      <c r="S1458" t="str">
        <f>_xlfn.XLOOKUP(Pipeline_tbl[[#This Row],[Created_Date]],Dim_Date!A:A,Dim_Date!H:H)</f>
        <v>Nov 2025</v>
      </c>
      <c r="T1458" t="str">
        <f>IF(Pipeline_tbl[[#This Row],[Closed_Date]]=0,"",(_xlfn.XLOOKUP(Pipeline_tbl[[#This Row],[Closed_Date]],Dim_Date!A:A,Dim_Date!H:H)))</f>
        <v>Dec 2025</v>
      </c>
      <c r="U1458">
        <f>IF(Pipeline_tbl[[#This Row],[Closed_Date]]=0,"",Pipeline_tbl[[#This Row],[Closed_Date]]-Pipeline_tbl[[#This Row],[Created_Date]])</f>
        <v>30</v>
      </c>
    </row>
    <row r="1459" spans="1:21" ht="15" customHeight="1" x14ac:dyDescent="0.2">
      <c r="A1459" t="s">
        <v>1765</v>
      </c>
      <c r="B1459" t="s">
        <v>246</v>
      </c>
      <c r="C1459" t="s">
        <v>52</v>
      </c>
      <c r="D1459" s="49">
        <v>45974</v>
      </c>
      <c r="E1459" s="49">
        <v>45978</v>
      </c>
      <c r="F1459" s="49">
        <v>45988</v>
      </c>
      <c r="G1459" s="49">
        <v>46001</v>
      </c>
      <c r="H1459" s="49">
        <v>46012</v>
      </c>
      <c r="I1459" s="49">
        <v>46019</v>
      </c>
      <c r="J1459" t="s">
        <v>49</v>
      </c>
      <c r="K1459" s="33">
        <v>22300</v>
      </c>
      <c r="L1459" t="s">
        <v>61</v>
      </c>
      <c r="M1459" t="str">
        <f>_xlfn.XLOOKUP(Pipeline_tbl[[#This Row],[Rep_ID]],Dim_Reps!A:A,Dim_Reps!K:K)</f>
        <v>EUR</v>
      </c>
      <c r="N1459" s="33">
        <f>(_xlfn.XLOOKUP(Pipeline_tbl[[#This Row],[Rate_Code_Generalized]],Lookups!A:A,Lookups!B:B))*Pipeline_tbl[[#This Row],[Pipeline_Amount_USD]]</f>
        <v>22300</v>
      </c>
      <c r="O1459" t="str">
        <f>_xlfn.XLOOKUP(Pipeline_tbl[[#This Row],[Rep_ID]],Dim_Reps!A:A,Dim_Reps!B:B)</f>
        <v>Karim Rivera</v>
      </c>
      <c r="P1459" t="str">
        <f>_xlfn.XLOOKUP(Pipeline_tbl[[#This Row],[Rep_ID]],Dim_Reps!A:A,Dim_Reps!C:C)</f>
        <v>Mid-Market AE</v>
      </c>
      <c r="Q1459" t="str">
        <f>_xlfn.XLOOKUP(Pipeline_tbl[[#This Row],[Rep_ID]],Dim_Reps!A:A,Dim_Reps!D:D)</f>
        <v>Mid-Market</v>
      </c>
      <c r="R1459" t="str">
        <f>_xlfn.XLOOKUP(Pipeline_tbl[[#This Row],[Rep_ID]],Dim_Reps!A:A,Dim_Reps!E:E)</f>
        <v>APAC</v>
      </c>
      <c r="S1459" t="str">
        <f>_xlfn.XLOOKUP(Pipeline_tbl[[#This Row],[Created_Date]],Dim_Date!A:A,Dim_Date!H:H)</f>
        <v>Nov 2025</v>
      </c>
      <c r="T1459" t="str">
        <f>IF(Pipeline_tbl[[#This Row],[Closed_Date]]=0,"",(_xlfn.XLOOKUP(Pipeline_tbl[[#This Row],[Closed_Date]],Dim_Date!A:A,Dim_Date!H:H)))</f>
        <v>Dec 2025</v>
      </c>
      <c r="U1459">
        <f>IF(Pipeline_tbl[[#This Row],[Closed_Date]]=0,"",Pipeline_tbl[[#This Row],[Closed_Date]]-Pipeline_tbl[[#This Row],[Created_Date]])</f>
        <v>45</v>
      </c>
    </row>
    <row r="1460" spans="1:21" ht="15" customHeight="1" x14ac:dyDescent="0.2">
      <c r="A1460" t="s">
        <v>1766</v>
      </c>
      <c r="B1460" t="s">
        <v>246</v>
      </c>
      <c r="C1460" t="s">
        <v>53</v>
      </c>
      <c r="D1460" s="49">
        <v>45968</v>
      </c>
      <c r="E1460" s="49">
        <v>45972</v>
      </c>
      <c r="F1460" s="49">
        <v>45982</v>
      </c>
      <c r="G1460" s="49">
        <v>45995</v>
      </c>
      <c r="H1460" s="49">
        <v>46006</v>
      </c>
      <c r="I1460" s="49">
        <v>46013</v>
      </c>
      <c r="J1460" t="s">
        <v>49</v>
      </c>
      <c r="K1460" s="33">
        <v>12400</v>
      </c>
      <c r="L1460" t="s">
        <v>61</v>
      </c>
      <c r="M1460" t="str">
        <f>_xlfn.XLOOKUP(Pipeline_tbl[[#This Row],[Rep_ID]],Dim_Reps!A:A,Dim_Reps!K:K)</f>
        <v>EUR</v>
      </c>
      <c r="N1460" s="33">
        <f>(_xlfn.XLOOKUP(Pipeline_tbl[[#This Row],[Rate_Code_Generalized]],Lookups!A:A,Lookups!B:B))*Pipeline_tbl[[#This Row],[Pipeline_Amount_USD]]</f>
        <v>12400</v>
      </c>
      <c r="O1460" t="str">
        <f>_xlfn.XLOOKUP(Pipeline_tbl[[#This Row],[Rep_ID]],Dim_Reps!A:A,Dim_Reps!B:B)</f>
        <v>Karim Rivera</v>
      </c>
      <c r="P1460" t="str">
        <f>_xlfn.XLOOKUP(Pipeline_tbl[[#This Row],[Rep_ID]],Dim_Reps!A:A,Dim_Reps!C:C)</f>
        <v>Mid-Market AE</v>
      </c>
      <c r="Q1460" t="str">
        <f>_xlfn.XLOOKUP(Pipeline_tbl[[#This Row],[Rep_ID]],Dim_Reps!A:A,Dim_Reps!D:D)</f>
        <v>Mid-Market</v>
      </c>
      <c r="R1460" t="str">
        <f>_xlfn.XLOOKUP(Pipeline_tbl[[#This Row],[Rep_ID]],Dim_Reps!A:A,Dim_Reps!E:E)</f>
        <v>APAC</v>
      </c>
      <c r="S1460" t="str">
        <f>_xlfn.XLOOKUP(Pipeline_tbl[[#This Row],[Created_Date]],Dim_Date!A:A,Dim_Date!H:H)</f>
        <v>Nov 2025</v>
      </c>
      <c r="T1460" t="str">
        <f>IF(Pipeline_tbl[[#This Row],[Closed_Date]]=0,"",(_xlfn.XLOOKUP(Pipeline_tbl[[#This Row],[Closed_Date]],Dim_Date!A:A,Dim_Date!H:H)))</f>
        <v>Dec 2025</v>
      </c>
      <c r="U1460">
        <f>IF(Pipeline_tbl[[#This Row],[Closed_Date]]=0,"",Pipeline_tbl[[#This Row],[Closed_Date]]-Pipeline_tbl[[#This Row],[Created_Date]])</f>
        <v>45</v>
      </c>
    </row>
    <row r="1461" spans="1:21" ht="15" customHeight="1" x14ac:dyDescent="0.2">
      <c r="A1461" t="s">
        <v>1767</v>
      </c>
      <c r="B1461" t="s">
        <v>203</v>
      </c>
      <c r="C1461" t="s">
        <v>55</v>
      </c>
      <c r="D1461" s="49">
        <v>45990</v>
      </c>
      <c r="E1461" s="49">
        <v>45992</v>
      </c>
      <c r="F1461" s="49">
        <v>45995</v>
      </c>
      <c r="G1461" s="49">
        <v>46000</v>
      </c>
      <c r="H1461" s="49">
        <v>46004</v>
      </c>
      <c r="I1461" s="49">
        <v>46007</v>
      </c>
      <c r="J1461" t="s">
        <v>49</v>
      </c>
      <c r="K1461" s="33">
        <v>3300</v>
      </c>
      <c r="L1461" t="s">
        <v>61</v>
      </c>
      <c r="M1461" t="str">
        <f>_xlfn.XLOOKUP(Pipeline_tbl[[#This Row],[Rep_ID]],Dim_Reps!A:A,Dim_Reps!K:K)</f>
        <v>EUR</v>
      </c>
      <c r="N1461" s="33">
        <f>(_xlfn.XLOOKUP(Pipeline_tbl[[#This Row],[Rate_Code_Generalized]],Lookups!A:A,Lookups!B:B))*Pipeline_tbl[[#This Row],[Pipeline_Amount_USD]]</f>
        <v>3300</v>
      </c>
      <c r="O1461" t="str">
        <f>_xlfn.XLOOKUP(Pipeline_tbl[[#This Row],[Rep_ID]],Dim_Reps!A:A,Dim_Reps!B:B)</f>
        <v>Riley Haddad</v>
      </c>
      <c r="P1461" t="str">
        <f>_xlfn.XLOOKUP(Pipeline_tbl[[#This Row],[Rep_ID]],Dim_Reps!A:A,Dim_Reps!C:C)</f>
        <v>SDR / Inside Sales Rep</v>
      </c>
      <c r="Q1461" t="str">
        <f>_xlfn.XLOOKUP(Pipeline_tbl[[#This Row],[Rep_ID]],Dim_Reps!A:A,Dim_Reps!D:D)</f>
        <v>Inside Sales</v>
      </c>
      <c r="R1461" t="str">
        <f>_xlfn.XLOOKUP(Pipeline_tbl[[#This Row],[Rep_ID]],Dim_Reps!A:A,Dim_Reps!E:E)</f>
        <v>APAC</v>
      </c>
      <c r="S1461" t="str">
        <f>_xlfn.XLOOKUP(Pipeline_tbl[[#This Row],[Created_Date]],Dim_Date!A:A,Dim_Date!H:H)</f>
        <v>Nov 2025</v>
      </c>
      <c r="T1461" t="str">
        <f>IF(Pipeline_tbl[[#This Row],[Closed_Date]]=0,"",(_xlfn.XLOOKUP(Pipeline_tbl[[#This Row],[Closed_Date]],Dim_Date!A:A,Dim_Date!H:H)))</f>
        <v>Dec 2025</v>
      </c>
      <c r="U1461">
        <f>IF(Pipeline_tbl[[#This Row],[Closed_Date]]=0,"",Pipeline_tbl[[#This Row],[Closed_Date]]-Pipeline_tbl[[#This Row],[Created_Date]])</f>
        <v>17</v>
      </c>
    </row>
    <row r="1462" spans="1:21" ht="15" customHeight="1" x14ac:dyDescent="0.2">
      <c r="A1462" t="s">
        <v>1768</v>
      </c>
      <c r="B1462" t="s">
        <v>203</v>
      </c>
      <c r="C1462" t="s">
        <v>52</v>
      </c>
      <c r="D1462" s="49">
        <v>45982</v>
      </c>
      <c r="E1462" s="49">
        <v>45984</v>
      </c>
      <c r="F1462" s="49">
        <v>45989</v>
      </c>
      <c r="G1462" s="49">
        <v>45996</v>
      </c>
      <c r="H1462" s="49">
        <v>46002</v>
      </c>
      <c r="I1462" s="49">
        <v>46006</v>
      </c>
      <c r="J1462" t="s">
        <v>49</v>
      </c>
      <c r="K1462" s="33">
        <v>1500</v>
      </c>
      <c r="L1462" t="s">
        <v>63</v>
      </c>
      <c r="M1462" t="str">
        <f>_xlfn.XLOOKUP(Pipeline_tbl[[#This Row],[Rep_ID]],Dim_Reps!A:A,Dim_Reps!K:K)</f>
        <v>EUR</v>
      </c>
      <c r="N1462" s="33">
        <f>(_xlfn.XLOOKUP(Pipeline_tbl[[#This Row],[Rate_Code_Generalized]],Lookups!A:A,Lookups!B:B))*Pipeline_tbl[[#This Row],[Pipeline_Amount_USD]]</f>
        <v>1500</v>
      </c>
      <c r="O1462" t="str">
        <f>_xlfn.XLOOKUP(Pipeline_tbl[[#This Row],[Rep_ID]],Dim_Reps!A:A,Dim_Reps!B:B)</f>
        <v>Riley Haddad</v>
      </c>
      <c r="P1462" t="str">
        <f>_xlfn.XLOOKUP(Pipeline_tbl[[#This Row],[Rep_ID]],Dim_Reps!A:A,Dim_Reps!C:C)</f>
        <v>SDR / Inside Sales Rep</v>
      </c>
      <c r="Q1462" t="str">
        <f>_xlfn.XLOOKUP(Pipeline_tbl[[#This Row],[Rep_ID]],Dim_Reps!A:A,Dim_Reps!D:D)</f>
        <v>Inside Sales</v>
      </c>
      <c r="R1462" t="str">
        <f>_xlfn.XLOOKUP(Pipeline_tbl[[#This Row],[Rep_ID]],Dim_Reps!A:A,Dim_Reps!E:E)</f>
        <v>APAC</v>
      </c>
      <c r="S1462" t="str">
        <f>_xlfn.XLOOKUP(Pipeline_tbl[[#This Row],[Created_Date]],Dim_Date!A:A,Dim_Date!H:H)</f>
        <v>Nov 2025</v>
      </c>
      <c r="T1462" t="str">
        <f>IF(Pipeline_tbl[[#This Row],[Closed_Date]]=0,"",(_xlfn.XLOOKUP(Pipeline_tbl[[#This Row],[Closed_Date]],Dim_Date!A:A,Dim_Date!H:H)))</f>
        <v>Dec 2025</v>
      </c>
      <c r="U1462">
        <f>IF(Pipeline_tbl[[#This Row],[Closed_Date]]=0,"",Pipeline_tbl[[#This Row],[Closed_Date]]-Pipeline_tbl[[#This Row],[Created_Date]])</f>
        <v>24</v>
      </c>
    </row>
    <row r="1463" spans="1:21" ht="15" customHeight="1" x14ac:dyDescent="0.2">
      <c r="A1463" t="s">
        <v>1769</v>
      </c>
      <c r="B1463" t="s">
        <v>203</v>
      </c>
      <c r="C1463" t="s">
        <v>53</v>
      </c>
      <c r="D1463" s="49">
        <v>45987</v>
      </c>
      <c r="E1463" s="49">
        <v>45988</v>
      </c>
      <c r="F1463" s="49">
        <v>45990</v>
      </c>
      <c r="G1463" s="49">
        <v>45992</v>
      </c>
      <c r="H1463" s="49">
        <v>45995</v>
      </c>
      <c r="I1463" s="49">
        <v>45996</v>
      </c>
      <c r="J1463" t="s">
        <v>47</v>
      </c>
      <c r="K1463" s="33">
        <v>3800</v>
      </c>
      <c r="M1463" t="str">
        <f>_xlfn.XLOOKUP(Pipeline_tbl[[#This Row],[Rep_ID]],Dim_Reps!A:A,Dim_Reps!K:K)</f>
        <v>EUR</v>
      </c>
      <c r="N1463" s="33">
        <f>(_xlfn.XLOOKUP(Pipeline_tbl[[#This Row],[Rate_Code_Generalized]],Lookups!A:A,Lookups!B:B))*Pipeline_tbl[[#This Row],[Pipeline_Amount_USD]]</f>
        <v>3800</v>
      </c>
      <c r="O1463" t="str">
        <f>_xlfn.XLOOKUP(Pipeline_tbl[[#This Row],[Rep_ID]],Dim_Reps!A:A,Dim_Reps!B:B)</f>
        <v>Riley Haddad</v>
      </c>
      <c r="P1463" t="str">
        <f>_xlfn.XLOOKUP(Pipeline_tbl[[#This Row],[Rep_ID]],Dim_Reps!A:A,Dim_Reps!C:C)</f>
        <v>SDR / Inside Sales Rep</v>
      </c>
      <c r="Q1463" t="str">
        <f>_xlfn.XLOOKUP(Pipeline_tbl[[#This Row],[Rep_ID]],Dim_Reps!A:A,Dim_Reps!D:D)</f>
        <v>Inside Sales</v>
      </c>
      <c r="R1463" t="str">
        <f>_xlfn.XLOOKUP(Pipeline_tbl[[#This Row],[Rep_ID]],Dim_Reps!A:A,Dim_Reps!E:E)</f>
        <v>APAC</v>
      </c>
      <c r="S1463" t="str">
        <f>_xlfn.XLOOKUP(Pipeline_tbl[[#This Row],[Created_Date]],Dim_Date!A:A,Dim_Date!H:H)</f>
        <v>Nov 2025</v>
      </c>
      <c r="T1463" t="str">
        <f>IF(Pipeline_tbl[[#This Row],[Closed_Date]]=0,"",(_xlfn.XLOOKUP(Pipeline_tbl[[#This Row],[Closed_Date]],Dim_Date!A:A,Dim_Date!H:H)))</f>
        <v>Dec 2025</v>
      </c>
      <c r="U1463">
        <f>IF(Pipeline_tbl[[#This Row],[Closed_Date]]=0,"",Pipeline_tbl[[#This Row],[Closed_Date]]-Pipeline_tbl[[#This Row],[Created_Date]])</f>
        <v>9</v>
      </c>
    </row>
    <row r="1464" spans="1:21" ht="15" customHeight="1" x14ac:dyDescent="0.2">
      <c r="A1464" t="s">
        <v>1770</v>
      </c>
      <c r="B1464" t="s">
        <v>203</v>
      </c>
      <c r="C1464" t="s">
        <v>53</v>
      </c>
      <c r="D1464" s="49">
        <v>45980</v>
      </c>
      <c r="E1464" s="49">
        <v>45983</v>
      </c>
      <c r="F1464" s="49">
        <v>45988</v>
      </c>
      <c r="I1464" s="49">
        <v>46006</v>
      </c>
      <c r="J1464" t="s">
        <v>49</v>
      </c>
      <c r="K1464" s="33">
        <v>1600</v>
      </c>
      <c r="L1464" t="s">
        <v>62</v>
      </c>
      <c r="M1464" t="str">
        <f>_xlfn.XLOOKUP(Pipeline_tbl[[#This Row],[Rep_ID]],Dim_Reps!A:A,Dim_Reps!K:K)</f>
        <v>EUR</v>
      </c>
      <c r="N1464" s="33">
        <f>(_xlfn.XLOOKUP(Pipeline_tbl[[#This Row],[Rate_Code_Generalized]],Lookups!A:A,Lookups!B:B))*Pipeline_tbl[[#This Row],[Pipeline_Amount_USD]]</f>
        <v>1600</v>
      </c>
      <c r="O1464" t="str">
        <f>_xlfn.XLOOKUP(Pipeline_tbl[[#This Row],[Rep_ID]],Dim_Reps!A:A,Dim_Reps!B:B)</f>
        <v>Riley Haddad</v>
      </c>
      <c r="P1464" t="str">
        <f>_xlfn.XLOOKUP(Pipeline_tbl[[#This Row],[Rep_ID]],Dim_Reps!A:A,Dim_Reps!C:C)</f>
        <v>SDR / Inside Sales Rep</v>
      </c>
      <c r="Q1464" t="str">
        <f>_xlfn.XLOOKUP(Pipeline_tbl[[#This Row],[Rep_ID]],Dim_Reps!A:A,Dim_Reps!D:D)</f>
        <v>Inside Sales</v>
      </c>
      <c r="R1464" t="str">
        <f>_xlfn.XLOOKUP(Pipeline_tbl[[#This Row],[Rep_ID]],Dim_Reps!A:A,Dim_Reps!E:E)</f>
        <v>APAC</v>
      </c>
      <c r="S1464" t="str">
        <f>_xlfn.XLOOKUP(Pipeline_tbl[[#This Row],[Created_Date]],Dim_Date!A:A,Dim_Date!H:H)</f>
        <v>Nov 2025</v>
      </c>
      <c r="T1464" t="str">
        <f>IF(Pipeline_tbl[[#This Row],[Closed_Date]]=0,"",(_xlfn.XLOOKUP(Pipeline_tbl[[#This Row],[Closed_Date]],Dim_Date!A:A,Dim_Date!H:H)))</f>
        <v>Dec 2025</v>
      </c>
      <c r="U1464">
        <f>IF(Pipeline_tbl[[#This Row],[Closed_Date]]=0,"",Pipeline_tbl[[#This Row],[Closed_Date]]-Pipeline_tbl[[#This Row],[Created_Date]])</f>
        <v>26</v>
      </c>
    </row>
    <row r="1465" spans="1:21" ht="15" customHeight="1" x14ac:dyDescent="0.2">
      <c r="A1465" t="s">
        <v>1771</v>
      </c>
      <c r="B1465" t="s">
        <v>203</v>
      </c>
      <c r="C1465" t="s">
        <v>52</v>
      </c>
      <c r="D1465" s="49">
        <v>45985</v>
      </c>
      <c r="E1465" s="49">
        <v>45986</v>
      </c>
      <c r="I1465" s="49">
        <v>45997</v>
      </c>
      <c r="J1465" t="s">
        <v>49</v>
      </c>
      <c r="K1465" s="33">
        <v>2200</v>
      </c>
      <c r="L1465" t="s">
        <v>60</v>
      </c>
      <c r="M1465" t="str">
        <f>_xlfn.XLOOKUP(Pipeline_tbl[[#This Row],[Rep_ID]],Dim_Reps!A:A,Dim_Reps!K:K)</f>
        <v>EUR</v>
      </c>
      <c r="N1465" s="33">
        <f>(_xlfn.XLOOKUP(Pipeline_tbl[[#This Row],[Rate_Code_Generalized]],Lookups!A:A,Lookups!B:B))*Pipeline_tbl[[#This Row],[Pipeline_Amount_USD]]</f>
        <v>2200</v>
      </c>
      <c r="O1465" t="str">
        <f>_xlfn.XLOOKUP(Pipeline_tbl[[#This Row],[Rep_ID]],Dim_Reps!A:A,Dim_Reps!B:B)</f>
        <v>Riley Haddad</v>
      </c>
      <c r="P1465" t="str">
        <f>_xlfn.XLOOKUP(Pipeline_tbl[[#This Row],[Rep_ID]],Dim_Reps!A:A,Dim_Reps!C:C)</f>
        <v>SDR / Inside Sales Rep</v>
      </c>
      <c r="Q1465" t="str">
        <f>_xlfn.XLOOKUP(Pipeline_tbl[[#This Row],[Rep_ID]],Dim_Reps!A:A,Dim_Reps!D:D)</f>
        <v>Inside Sales</v>
      </c>
      <c r="R1465" t="str">
        <f>_xlfn.XLOOKUP(Pipeline_tbl[[#This Row],[Rep_ID]],Dim_Reps!A:A,Dim_Reps!E:E)</f>
        <v>APAC</v>
      </c>
      <c r="S1465" t="str">
        <f>_xlfn.XLOOKUP(Pipeline_tbl[[#This Row],[Created_Date]],Dim_Date!A:A,Dim_Date!H:H)</f>
        <v>Nov 2025</v>
      </c>
      <c r="T1465" t="str">
        <f>IF(Pipeline_tbl[[#This Row],[Closed_Date]]=0,"",(_xlfn.XLOOKUP(Pipeline_tbl[[#This Row],[Closed_Date]],Dim_Date!A:A,Dim_Date!H:H)))</f>
        <v>Dec 2025</v>
      </c>
      <c r="U1465">
        <f>IF(Pipeline_tbl[[#This Row],[Closed_Date]]=0,"",Pipeline_tbl[[#This Row],[Closed_Date]]-Pipeline_tbl[[#This Row],[Created_Date]])</f>
        <v>12</v>
      </c>
    </row>
    <row r="1466" spans="1:21" ht="15" customHeight="1" x14ac:dyDescent="0.2">
      <c r="A1466" t="s">
        <v>1772</v>
      </c>
      <c r="B1466" t="s">
        <v>185</v>
      </c>
      <c r="C1466" t="s">
        <v>54</v>
      </c>
      <c r="D1466" s="49">
        <v>45962</v>
      </c>
      <c r="E1466" s="49">
        <v>45966</v>
      </c>
      <c r="F1466" s="49">
        <v>45975</v>
      </c>
      <c r="G1466" s="49">
        <v>45988</v>
      </c>
      <c r="H1466" s="49">
        <v>45999</v>
      </c>
      <c r="I1466" s="49">
        <v>46005</v>
      </c>
      <c r="J1466" t="s">
        <v>49</v>
      </c>
      <c r="K1466" s="33">
        <v>34100</v>
      </c>
      <c r="L1466" t="s">
        <v>64</v>
      </c>
      <c r="M1466" t="str">
        <f>_xlfn.XLOOKUP(Pipeline_tbl[[#This Row],[Rep_ID]],Dim_Reps!A:A,Dim_Reps!K:K)</f>
        <v>MXN</v>
      </c>
      <c r="N1466" s="33">
        <f>(_xlfn.XLOOKUP(Pipeline_tbl[[#This Row],[Rate_Code_Generalized]],Lookups!A:A,Lookups!B:B))*Pipeline_tbl[[#This Row],[Pipeline_Amount_USD]]</f>
        <v>672885.07000000007</v>
      </c>
      <c r="O1466" t="str">
        <f>_xlfn.XLOOKUP(Pipeline_tbl[[#This Row],[Rep_ID]],Dim_Reps!A:A,Dim_Reps!B:B)</f>
        <v>Noah Kim</v>
      </c>
      <c r="P1466" t="str">
        <f>_xlfn.XLOOKUP(Pipeline_tbl[[#This Row],[Rep_ID]],Dim_Reps!A:A,Dim_Reps!C:C)</f>
        <v>Enterprise AE</v>
      </c>
      <c r="Q1466" t="str">
        <f>_xlfn.XLOOKUP(Pipeline_tbl[[#This Row],[Rep_ID]],Dim_Reps!A:A,Dim_Reps!D:D)</f>
        <v>Enterprise</v>
      </c>
      <c r="R1466" t="str">
        <f>_xlfn.XLOOKUP(Pipeline_tbl[[#This Row],[Rep_ID]],Dim_Reps!A:A,Dim_Reps!E:E)</f>
        <v>LATAM</v>
      </c>
      <c r="S1466" t="str">
        <f>_xlfn.XLOOKUP(Pipeline_tbl[[#This Row],[Created_Date]],Dim_Date!A:A,Dim_Date!H:H)</f>
        <v>Nov 2025</v>
      </c>
      <c r="T1466" t="str">
        <f>IF(Pipeline_tbl[[#This Row],[Closed_Date]]=0,"",(_xlfn.XLOOKUP(Pipeline_tbl[[#This Row],[Closed_Date]],Dim_Date!A:A,Dim_Date!H:H)))</f>
        <v>Dec 2025</v>
      </c>
      <c r="U1466">
        <f>IF(Pipeline_tbl[[#This Row],[Closed_Date]]=0,"",Pipeline_tbl[[#This Row],[Closed_Date]]-Pipeline_tbl[[#This Row],[Created_Date]])</f>
        <v>43</v>
      </c>
    </row>
    <row r="1467" spans="1:21" ht="15" customHeight="1" x14ac:dyDescent="0.2">
      <c r="A1467" t="s">
        <v>1773</v>
      </c>
      <c r="B1467" t="s">
        <v>185</v>
      </c>
      <c r="C1467" t="s">
        <v>56</v>
      </c>
      <c r="D1467" s="49">
        <v>45970</v>
      </c>
      <c r="E1467" s="49">
        <v>45974</v>
      </c>
      <c r="F1467" s="49">
        <v>45982</v>
      </c>
      <c r="G1467" s="49">
        <v>45995</v>
      </c>
      <c r="H1467" s="49">
        <v>46005</v>
      </c>
      <c r="I1467" s="49">
        <v>46011</v>
      </c>
      <c r="J1467" t="s">
        <v>47</v>
      </c>
      <c r="K1467" s="33">
        <v>45400</v>
      </c>
      <c r="M1467" t="str">
        <f>_xlfn.XLOOKUP(Pipeline_tbl[[#This Row],[Rep_ID]],Dim_Reps!A:A,Dim_Reps!K:K)</f>
        <v>MXN</v>
      </c>
      <c r="N1467" s="33">
        <f>(_xlfn.XLOOKUP(Pipeline_tbl[[#This Row],[Rate_Code_Generalized]],Lookups!A:A,Lookups!B:B))*Pipeline_tbl[[#This Row],[Pipeline_Amount_USD]]</f>
        <v>895864.58000000007</v>
      </c>
      <c r="O1467" t="str">
        <f>_xlfn.XLOOKUP(Pipeline_tbl[[#This Row],[Rep_ID]],Dim_Reps!A:A,Dim_Reps!B:B)</f>
        <v>Noah Kim</v>
      </c>
      <c r="P1467" t="str">
        <f>_xlfn.XLOOKUP(Pipeline_tbl[[#This Row],[Rep_ID]],Dim_Reps!A:A,Dim_Reps!C:C)</f>
        <v>Enterprise AE</v>
      </c>
      <c r="Q1467" t="str">
        <f>_xlfn.XLOOKUP(Pipeline_tbl[[#This Row],[Rep_ID]],Dim_Reps!A:A,Dim_Reps!D:D)</f>
        <v>Enterprise</v>
      </c>
      <c r="R1467" t="str">
        <f>_xlfn.XLOOKUP(Pipeline_tbl[[#This Row],[Rep_ID]],Dim_Reps!A:A,Dim_Reps!E:E)</f>
        <v>LATAM</v>
      </c>
      <c r="S1467" t="str">
        <f>_xlfn.XLOOKUP(Pipeline_tbl[[#This Row],[Created_Date]],Dim_Date!A:A,Dim_Date!H:H)</f>
        <v>Nov 2025</v>
      </c>
      <c r="T1467" t="str">
        <f>IF(Pipeline_tbl[[#This Row],[Closed_Date]]=0,"",(_xlfn.XLOOKUP(Pipeline_tbl[[#This Row],[Closed_Date]],Dim_Date!A:A,Dim_Date!H:H)))</f>
        <v>Dec 2025</v>
      </c>
      <c r="U1467">
        <f>IF(Pipeline_tbl[[#This Row],[Closed_Date]]=0,"",Pipeline_tbl[[#This Row],[Closed_Date]]-Pipeline_tbl[[#This Row],[Created_Date]])</f>
        <v>41</v>
      </c>
    </row>
    <row r="1468" spans="1:21" ht="15" customHeight="1" x14ac:dyDescent="0.2">
      <c r="A1468" t="s">
        <v>1774</v>
      </c>
      <c r="B1468" t="s">
        <v>185</v>
      </c>
      <c r="C1468" t="s">
        <v>53</v>
      </c>
      <c r="D1468" s="49">
        <v>45966</v>
      </c>
      <c r="E1468" s="49">
        <v>45971</v>
      </c>
      <c r="F1468" s="49">
        <v>45982</v>
      </c>
      <c r="I1468" s="49">
        <v>46020</v>
      </c>
      <c r="J1468" t="s">
        <v>49</v>
      </c>
      <c r="K1468" s="33">
        <v>49900</v>
      </c>
      <c r="L1468" t="s">
        <v>62</v>
      </c>
      <c r="M1468" t="str">
        <f>_xlfn.XLOOKUP(Pipeline_tbl[[#This Row],[Rep_ID]],Dim_Reps!A:A,Dim_Reps!K:K)</f>
        <v>MXN</v>
      </c>
      <c r="N1468" s="33">
        <f>(_xlfn.XLOOKUP(Pipeline_tbl[[#This Row],[Rate_Code_Generalized]],Lookups!A:A,Lookups!B:B))*Pipeline_tbl[[#This Row],[Pipeline_Amount_USD]]</f>
        <v>984661.7300000001</v>
      </c>
      <c r="O1468" t="str">
        <f>_xlfn.XLOOKUP(Pipeline_tbl[[#This Row],[Rep_ID]],Dim_Reps!A:A,Dim_Reps!B:B)</f>
        <v>Noah Kim</v>
      </c>
      <c r="P1468" t="str">
        <f>_xlfn.XLOOKUP(Pipeline_tbl[[#This Row],[Rep_ID]],Dim_Reps!A:A,Dim_Reps!C:C)</f>
        <v>Enterprise AE</v>
      </c>
      <c r="Q1468" t="str">
        <f>_xlfn.XLOOKUP(Pipeline_tbl[[#This Row],[Rep_ID]],Dim_Reps!A:A,Dim_Reps!D:D)</f>
        <v>Enterprise</v>
      </c>
      <c r="R1468" t="str">
        <f>_xlfn.XLOOKUP(Pipeline_tbl[[#This Row],[Rep_ID]],Dim_Reps!A:A,Dim_Reps!E:E)</f>
        <v>LATAM</v>
      </c>
      <c r="S1468" t="str">
        <f>_xlfn.XLOOKUP(Pipeline_tbl[[#This Row],[Created_Date]],Dim_Date!A:A,Dim_Date!H:H)</f>
        <v>Nov 2025</v>
      </c>
      <c r="T1468" t="str">
        <f>IF(Pipeline_tbl[[#This Row],[Closed_Date]]=0,"",(_xlfn.XLOOKUP(Pipeline_tbl[[#This Row],[Closed_Date]],Dim_Date!A:A,Dim_Date!H:H)))</f>
        <v>Dec 2025</v>
      </c>
      <c r="U1468">
        <f>IF(Pipeline_tbl[[#This Row],[Closed_Date]]=0,"",Pipeline_tbl[[#This Row],[Closed_Date]]-Pipeline_tbl[[#This Row],[Created_Date]])</f>
        <v>54</v>
      </c>
    </row>
    <row r="1469" spans="1:21" ht="15" customHeight="1" x14ac:dyDescent="0.2">
      <c r="A1469" t="s">
        <v>1775</v>
      </c>
      <c r="B1469" t="s">
        <v>205</v>
      </c>
      <c r="C1469" t="s">
        <v>52</v>
      </c>
      <c r="D1469" s="49">
        <v>45985</v>
      </c>
      <c r="E1469" s="49">
        <v>45987</v>
      </c>
      <c r="F1469" s="49">
        <v>45991</v>
      </c>
      <c r="G1469" s="49">
        <v>45996</v>
      </c>
      <c r="I1469" s="49">
        <v>46004</v>
      </c>
      <c r="J1469" t="s">
        <v>49</v>
      </c>
      <c r="K1469" s="33">
        <v>3200</v>
      </c>
      <c r="L1469" t="s">
        <v>62</v>
      </c>
      <c r="M1469" t="str">
        <f>_xlfn.XLOOKUP(Pipeline_tbl[[#This Row],[Rep_ID]],Dim_Reps!A:A,Dim_Reps!K:K)</f>
        <v>EUR</v>
      </c>
      <c r="N1469" s="33">
        <f>(_xlfn.XLOOKUP(Pipeline_tbl[[#This Row],[Rate_Code_Generalized]],Lookups!A:A,Lookups!B:B))*Pipeline_tbl[[#This Row],[Pipeline_Amount_USD]]</f>
        <v>3200</v>
      </c>
      <c r="O1469" t="str">
        <f>_xlfn.XLOOKUP(Pipeline_tbl[[#This Row],[Rep_ID]],Dim_Reps!A:A,Dim_Reps!B:B)</f>
        <v>Karim Alvarez</v>
      </c>
      <c r="P1469" t="str">
        <f>_xlfn.XLOOKUP(Pipeline_tbl[[#This Row],[Rep_ID]],Dim_Reps!A:A,Dim_Reps!C:C)</f>
        <v>SDR / Inside Sales Rep</v>
      </c>
      <c r="Q1469" t="str">
        <f>_xlfn.XLOOKUP(Pipeline_tbl[[#This Row],[Rep_ID]],Dim_Reps!A:A,Dim_Reps!D:D)</f>
        <v>Inside Sales</v>
      </c>
      <c r="R1469" t="str">
        <f>_xlfn.XLOOKUP(Pipeline_tbl[[#This Row],[Rep_ID]],Dim_Reps!A:A,Dim_Reps!E:E)</f>
        <v>EMEA</v>
      </c>
      <c r="S1469" t="str">
        <f>_xlfn.XLOOKUP(Pipeline_tbl[[#This Row],[Created_Date]],Dim_Date!A:A,Dim_Date!H:H)</f>
        <v>Nov 2025</v>
      </c>
      <c r="T1469" t="str">
        <f>IF(Pipeline_tbl[[#This Row],[Closed_Date]]=0,"",(_xlfn.XLOOKUP(Pipeline_tbl[[#This Row],[Closed_Date]],Dim_Date!A:A,Dim_Date!H:H)))</f>
        <v>Dec 2025</v>
      </c>
      <c r="U1469">
        <f>IF(Pipeline_tbl[[#This Row],[Closed_Date]]=0,"",Pipeline_tbl[[#This Row],[Closed_Date]]-Pipeline_tbl[[#This Row],[Created_Date]])</f>
        <v>19</v>
      </c>
    </row>
    <row r="1470" spans="1:21" ht="15" customHeight="1" x14ac:dyDescent="0.2">
      <c r="A1470" t="s">
        <v>1776</v>
      </c>
      <c r="B1470" t="s">
        <v>205</v>
      </c>
      <c r="C1470" t="s">
        <v>53</v>
      </c>
      <c r="D1470" s="49">
        <v>45974</v>
      </c>
      <c r="E1470" s="49">
        <v>45976</v>
      </c>
      <c r="F1470" s="49">
        <v>45980</v>
      </c>
      <c r="G1470" s="49">
        <v>45985</v>
      </c>
      <c r="H1470" s="49">
        <v>45990</v>
      </c>
      <c r="I1470" s="49">
        <v>45993</v>
      </c>
      <c r="J1470" t="s">
        <v>47</v>
      </c>
      <c r="K1470" s="33">
        <v>3600</v>
      </c>
      <c r="M1470" t="str">
        <f>_xlfn.XLOOKUP(Pipeline_tbl[[#This Row],[Rep_ID]],Dim_Reps!A:A,Dim_Reps!K:K)</f>
        <v>EUR</v>
      </c>
      <c r="N1470" s="33">
        <f>(_xlfn.XLOOKUP(Pipeline_tbl[[#This Row],[Rate_Code_Generalized]],Lookups!A:A,Lookups!B:B))*Pipeline_tbl[[#This Row],[Pipeline_Amount_USD]]</f>
        <v>3600</v>
      </c>
      <c r="O1470" t="str">
        <f>_xlfn.XLOOKUP(Pipeline_tbl[[#This Row],[Rep_ID]],Dim_Reps!A:A,Dim_Reps!B:B)</f>
        <v>Karim Alvarez</v>
      </c>
      <c r="P1470" t="str">
        <f>_xlfn.XLOOKUP(Pipeline_tbl[[#This Row],[Rep_ID]],Dim_Reps!A:A,Dim_Reps!C:C)</f>
        <v>SDR / Inside Sales Rep</v>
      </c>
      <c r="Q1470" t="str">
        <f>_xlfn.XLOOKUP(Pipeline_tbl[[#This Row],[Rep_ID]],Dim_Reps!A:A,Dim_Reps!D:D)</f>
        <v>Inside Sales</v>
      </c>
      <c r="R1470" t="str">
        <f>_xlfn.XLOOKUP(Pipeline_tbl[[#This Row],[Rep_ID]],Dim_Reps!A:A,Dim_Reps!E:E)</f>
        <v>EMEA</v>
      </c>
      <c r="S1470" t="str">
        <f>_xlfn.XLOOKUP(Pipeline_tbl[[#This Row],[Created_Date]],Dim_Date!A:A,Dim_Date!H:H)</f>
        <v>Nov 2025</v>
      </c>
      <c r="T1470" t="str">
        <f>IF(Pipeline_tbl[[#This Row],[Closed_Date]]=0,"",(_xlfn.XLOOKUP(Pipeline_tbl[[#This Row],[Closed_Date]],Dim_Date!A:A,Dim_Date!H:H)))</f>
        <v>Dec 2025</v>
      </c>
      <c r="U1470">
        <f>IF(Pipeline_tbl[[#This Row],[Closed_Date]]=0,"",Pipeline_tbl[[#This Row],[Closed_Date]]-Pipeline_tbl[[#This Row],[Created_Date]])</f>
        <v>19</v>
      </c>
    </row>
    <row r="1471" spans="1:21" ht="15" customHeight="1" x14ac:dyDescent="0.2">
      <c r="A1471" t="s">
        <v>1777</v>
      </c>
      <c r="B1471" t="s">
        <v>205</v>
      </c>
      <c r="C1471" t="s">
        <v>53</v>
      </c>
      <c r="D1471" s="49">
        <v>45975</v>
      </c>
      <c r="E1471" s="49">
        <v>45977</v>
      </c>
      <c r="F1471" s="49">
        <v>45980</v>
      </c>
      <c r="G1471" s="49">
        <v>45986</v>
      </c>
      <c r="H1471" s="49">
        <v>45990</v>
      </c>
      <c r="I1471" s="49">
        <v>45993</v>
      </c>
      <c r="J1471" t="s">
        <v>47</v>
      </c>
      <c r="K1471" s="33">
        <v>3200</v>
      </c>
      <c r="M1471" t="str">
        <f>_xlfn.XLOOKUP(Pipeline_tbl[[#This Row],[Rep_ID]],Dim_Reps!A:A,Dim_Reps!K:K)</f>
        <v>EUR</v>
      </c>
      <c r="N1471" s="33">
        <f>(_xlfn.XLOOKUP(Pipeline_tbl[[#This Row],[Rate_Code_Generalized]],Lookups!A:A,Lookups!B:B))*Pipeline_tbl[[#This Row],[Pipeline_Amount_USD]]</f>
        <v>3200</v>
      </c>
      <c r="O1471" t="str">
        <f>_xlfn.XLOOKUP(Pipeline_tbl[[#This Row],[Rep_ID]],Dim_Reps!A:A,Dim_Reps!B:B)</f>
        <v>Karim Alvarez</v>
      </c>
      <c r="P1471" t="str">
        <f>_xlfn.XLOOKUP(Pipeline_tbl[[#This Row],[Rep_ID]],Dim_Reps!A:A,Dim_Reps!C:C)</f>
        <v>SDR / Inside Sales Rep</v>
      </c>
      <c r="Q1471" t="str">
        <f>_xlfn.XLOOKUP(Pipeline_tbl[[#This Row],[Rep_ID]],Dim_Reps!A:A,Dim_Reps!D:D)</f>
        <v>Inside Sales</v>
      </c>
      <c r="R1471" t="str">
        <f>_xlfn.XLOOKUP(Pipeline_tbl[[#This Row],[Rep_ID]],Dim_Reps!A:A,Dim_Reps!E:E)</f>
        <v>EMEA</v>
      </c>
      <c r="S1471" t="str">
        <f>_xlfn.XLOOKUP(Pipeline_tbl[[#This Row],[Created_Date]],Dim_Date!A:A,Dim_Date!H:H)</f>
        <v>Nov 2025</v>
      </c>
      <c r="T1471" t="str">
        <f>IF(Pipeline_tbl[[#This Row],[Closed_Date]]=0,"",(_xlfn.XLOOKUP(Pipeline_tbl[[#This Row],[Closed_Date]],Dim_Date!A:A,Dim_Date!H:H)))</f>
        <v>Dec 2025</v>
      </c>
      <c r="U1471">
        <f>IF(Pipeline_tbl[[#This Row],[Closed_Date]]=0,"",Pipeline_tbl[[#This Row],[Closed_Date]]-Pipeline_tbl[[#This Row],[Created_Date]])</f>
        <v>18</v>
      </c>
    </row>
    <row r="1472" spans="1:21" ht="15" customHeight="1" x14ac:dyDescent="0.2">
      <c r="A1472" t="s">
        <v>1778</v>
      </c>
      <c r="B1472" t="s">
        <v>205</v>
      </c>
      <c r="C1472" t="s">
        <v>52</v>
      </c>
      <c r="D1472" s="49">
        <v>45967</v>
      </c>
      <c r="E1472" s="49">
        <v>45970</v>
      </c>
      <c r="F1472" s="49">
        <v>45976</v>
      </c>
      <c r="G1472" s="49">
        <v>45984</v>
      </c>
      <c r="H1472" s="49">
        <v>45992</v>
      </c>
      <c r="I1472" s="49">
        <v>45996</v>
      </c>
      <c r="J1472" t="s">
        <v>47</v>
      </c>
      <c r="K1472" s="33">
        <v>5000</v>
      </c>
      <c r="M1472" t="str">
        <f>_xlfn.XLOOKUP(Pipeline_tbl[[#This Row],[Rep_ID]],Dim_Reps!A:A,Dim_Reps!K:K)</f>
        <v>EUR</v>
      </c>
      <c r="N1472" s="33">
        <f>(_xlfn.XLOOKUP(Pipeline_tbl[[#This Row],[Rate_Code_Generalized]],Lookups!A:A,Lookups!B:B))*Pipeline_tbl[[#This Row],[Pipeline_Amount_USD]]</f>
        <v>5000</v>
      </c>
      <c r="O1472" t="str">
        <f>_xlfn.XLOOKUP(Pipeline_tbl[[#This Row],[Rep_ID]],Dim_Reps!A:A,Dim_Reps!B:B)</f>
        <v>Karim Alvarez</v>
      </c>
      <c r="P1472" t="str">
        <f>_xlfn.XLOOKUP(Pipeline_tbl[[#This Row],[Rep_ID]],Dim_Reps!A:A,Dim_Reps!C:C)</f>
        <v>SDR / Inside Sales Rep</v>
      </c>
      <c r="Q1472" t="str">
        <f>_xlfn.XLOOKUP(Pipeline_tbl[[#This Row],[Rep_ID]],Dim_Reps!A:A,Dim_Reps!D:D)</f>
        <v>Inside Sales</v>
      </c>
      <c r="R1472" t="str">
        <f>_xlfn.XLOOKUP(Pipeline_tbl[[#This Row],[Rep_ID]],Dim_Reps!A:A,Dim_Reps!E:E)</f>
        <v>EMEA</v>
      </c>
      <c r="S1472" t="str">
        <f>_xlfn.XLOOKUP(Pipeline_tbl[[#This Row],[Created_Date]],Dim_Date!A:A,Dim_Date!H:H)</f>
        <v>Nov 2025</v>
      </c>
      <c r="T1472" t="str">
        <f>IF(Pipeline_tbl[[#This Row],[Closed_Date]]=0,"",(_xlfn.XLOOKUP(Pipeline_tbl[[#This Row],[Closed_Date]],Dim_Date!A:A,Dim_Date!H:H)))</f>
        <v>Dec 2025</v>
      </c>
      <c r="U1472">
        <f>IF(Pipeline_tbl[[#This Row],[Closed_Date]]=0,"",Pipeline_tbl[[#This Row],[Closed_Date]]-Pipeline_tbl[[#This Row],[Created_Date]])</f>
        <v>29</v>
      </c>
    </row>
    <row r="1473" spans="1:21" ht="15" customHeight="1" x14ac:dyDescent="0.2">
      <c r="A1473" t="s">
        <v>1779</v>
      </c>
      <c r="B1473" t="s">
        <v>205</v>
      </c>
      <c r="C1473" t="s">
        <v>52</v>
      </c>
      <c r="D1473" s="49">
        <v>45973</v>
      </c>
      <c r="E1473" s="49">
        <v>45975</v>
      </c>
      <c r="F1473" s="49">
        <v>45979</v>
      </c>
      <c r="I1473" s="49">
        <v>45992</v>
      </c>
      <c r="J1473" t="s">
        <v>49</v>
      </c>
      <c r="K1473" s="33">
        <v>5500</v>
      </c>
      <c r="L1473" t="s">
        <v>61</v>
      </c>
      <c r="M1473" t="str">
        <f>_xlfn.XLOOKUP(Pipeline_tbl[[#This Row],[Rep_ID]],Dim_Reps!A:A,Dim_Reps!K:K)</f>
        <v>EUR</v>
      </c>
      <c r="N1473" s="33">
        <f>(_xlfn.XLOOKUP(Pipeline_tbl[[#This Row],[Rate_Code_Generalized]],Lookups!A:A,Lookups!B:B))*Pipeline_tbl[[#This Row],[Pipeline_Amount_USD]]</f>
        <v>5500</v>
      </c>
      <c r="O1473" t="str">
        <f>_xlfn.XLOOKUP(Pipeline_tbl[[#This Row],[Rep_ID]],Dim_Reps!A:A,Dim_Reps!B:B)</f>
        <v>Karim Alvarez</v>
      </c>
      <c r="P1473" t="str">
        <f>_xlfn.XLOOKUP(Pipeline_tbl[[#This Row],[Rep_ID]],Dim_Reps!A:A,Dim_Reps!C:C)</f>
        <v>SDR / Inside Sales Rep</v>
      </c>
      <c r="Q1473" t="str">
        <f>_xlfn.XLOOKUP(Pipeline_tbl[[#This Row],[Rep_ID]],Dim_Reps!A:A,Dim_Reps!D:D)</f>
        <v>Inside Sales</v>
      </c>
      <c r="R1473" t="str">
        <f>_xlfn.XLOOKUP(Pipeline_tbl[[#This Row],[Rep_ID]],Dim_Reps!A:A,Dim_Reps!E:E)</f>
        <v>EMEA</v>
      </c>
      <c r="S1473" t="str">
        <f>_xlfn.XLOOKUP(Pipeline_tbl[[#This Row],[Created_Date]],Dim_Date!A:A,Dim_Date!H:H)</f>
        <v>Nov 2025</v>
      </c>
      <c r="T1473" t="str">
        <f>IF(Pipeline_tbl[[#This Row],[Closed_Date]]=0,"",(_xlfn.XLOOKUP(Pipeline_tbl[[#This Row],[Closed_Date]],Dim_Date!A:A,Dim_Date!H:H)))</f>
        <v>Dec 2025</v>
      </c>
      <c r="U1473">
        <f>IF(Pipeline_tbl[[#This Row],[Closed_Date]]=0,"",Pipeline_tbl[[#This Row],[Closed_Date]]-Pipeline_tbl[[#This Row],[Created_Date]])</f>
        <v>19</v>
      </c>
    </row>
    <row r="1474" spans="1:21" ht="15" customHeight="1" x14ac:dyDescent="0.2">
      <c r="A1474" t="s">
        <v>1780</v>
      </c>
      <c r="B1474" t="s">
        <v>205</v>
      </c>
      <c r="C1474" t="s">
        <v>52</v>
      </c>
      <c r="D1474" s="49">
        <v>45985</v>
      </c>
      <c r="E1474" s="49">
        <v>45987</v>
      </c>
      <c r="F1474" s="49">
        <v>45992</v>
      </c>
      <c r="G1474" s="49">
        <v>45999</v>
      </c>
      <c r="H1474" s="49">
        <v>46005</v>
      </c>
      <c r="I1474" s="49">
        <v>46008</v>
      </c>
      <c r="J1474" t="s">
        <v>49</v>
      </c>
      <c r="K1474" s="33">
        <v>3700</v>
      </c>
      <c r="L1474" t="s">
        <v>60</v>
      </c>
      <c r="M1474" t="str">
        <f>_xlfn.XLOOKUP(Pipeline_tbl[[#This Row],[Rep_ID]],Dim_Reps!A:A,Dim_Reps!K:K)</f>
        <v>EUR</v>
      </c>
      <c r="N1474" s="33">
        <f>(_xlfn.XLOOKUP(Pipeline_tbl[[#This Row],[Rate_Code_Generalized]],Lookups!A:A,Lookups!B:B))*Pipeline_tbl[[#This Row],[Pipeline_Amount_USD]]</f>
        <v>3700</v>
      </c>
      <c r="O1474" t="str">
        <f>_xlfn.XLOOKUP(Pipeline_tbl[[#This Row],[Rep_ID]],Dim_Reps!A:A,Dim_Reps!B:B)</f>
        <v>Karim Alvarez</v>
      </c>
      <c r="P1474" t="str">
        <f>_xlfn.XLOOKUP(Pipeline_tbl[[#This Row],[Rep_ID]],Dim_Reps!A:A,Dim_Reps!C:C)</f>
        <v>SDR / Inside Sales Rep</v>
      </c>
      <c r="Q1474" t="str">
        <f>_xlfn.XLOOKUP(Pipeline_tbl[[#This Row],[Rep_ID]],Dim_Reps!A:A,Dim_Reps!D:D)</f>
        <v>Inside Sales</v>
      </c>
      <c r="R1474" t="str">
        <f>_xlfn.XLOOKUP(Pipeline_tbl[[#This Row],[Rep_ID]],Dim_Reps!A:A,Dim_Reps!E:E)</f>
        <v>EMEA</v>
      </c>
      <c r="S1474" t="str">
        <f>_xlfn.XLOOKUP(Pipeline_tbl[[#This Row],[Created_Date]],Dim_Date!A:A,Dim_Date!H:H)</f>
        <v>Nov 2025</v>
      </c>
      <c r="T1474" t="str">
        <f>IF(Pipeline_tbl[[#This Row],[Closed_Date]]=0,"",(_xlfn.XLOOKUP(Pipeline_tbl[[#This Row],[Closed_Date]],Dim_Date!A:A,Dim_Date!H:H)))</f>
        <v>Dec 2025</v>
      </c>
      <c r="U1474">
        <f>IF(Pipeline_tbl[[#This Row],[Closed_Date]]=0,"",Pipeline_tbl[[#This Row],[Closed_Date]]-Pipeline_tbl[[#This Row],[Created_Date]])</f>
        <v>23</v>
      </c>
    </row>
    <row r="1475" spans="1:21" ht="15" customHeight="1" x14ac:dyDescent="0.2">
      <c r="A1475" t="s">
        <v>1781</v>
      </c>
      <c r="B1475" t="s">
        <v>205</v>
      </c>
      <c r="C1475" t="s">
        <v>54</v>
      </c>
      <c r="D1475" s="49">
        <v>45972</v>
      </c>
      <c r="E1475" s="49">
        <v>45975</v>
      </c>
      <c r="F1475" s="49">
        <v>45981</v>
      </c>
      <c r="I1475" s="49">
        <v>46003</v>
      </c>
      <c r="J1475" t="s">
        <v>49</v>
      </c>
      <c r="K1475" s="33">
        <v>3900</v>
      </c>
      <c r="L1475" t="s">
        <v>62</v>
      </c>
      <c r="M1475" t="str">
        <f>_xlfn.XLOOKUP(Pipeline_tbl[[#This Row],[Rep_ID]],Dim_Reps!A:A,Dim_Reps!K:K)</f>
        <v>EUR</v>
      </c>
      <c r="N1475" s="33">
        <f>(_xlfn.XLOOKUP(Pipeline_tbl[[#This Row],[Rate_Code_Generalized]],Lookups!A:A,Lookups!B:B))*Pipeline_tbl[[#This Row],[Pipeline_Amount_USD]]</f>
        <v>3900</v>
      </c>
      <c r="O1475" t="str">
        <f>_xlfn.XLOOKUP(Pipeline_tbl[[#This Row],[Rep_ID]],Dim_Reps!A:A,Dim_Reps!B:B)</f>
        <v>Karim Alvarez</v>
      </c>
      <c r="P1475" t="str">
        <f>_xlfn.XLOOKUP(Pipeline_tbl[[#This Row],[Rep_ID]],Dim_Reps!A:A,Dim_Reps!C:C)</f>
        <v>SDR / Inside Sales Rep</v>
      </c>
      <c r="Q1475" t="str">
        <f>_xlfn.XLOOKUP(Pipeline_tbl[[#This Row],[Rep_ID]],Dim_Reps!A:A,Dim_Reps!D:D)</f>
        <v>Inside Sales</v>
      </c>
      <c r="R1475" t="str">
        <f>_xlfn.XLOOKUP(Pipeline_tbl[[#This Row],[Rep_ID]],Dim_Reps!A:A,Dim_Reps!E:E)</f>
        <v>EMEA</v>
      </c>
      <c r="S1475" t="str">
        <f>_xlfn.XLOOKUP(Pipeline_tbl[[#This Row],[Created_Date]],Dim_Date!A:A,Dim_Date!H:H)</f>
        <v>Nov 2025</v>
      </c>
      <c r="T1475" t="str">
        <f>IF(Pipeline_tbl[[#This Row],[Closed_Date]]=0,"",(_xlfn.XLOOKUP(Pipeline_tbl[[#This Row],[Closed_Date]],Dim_Date!A:A,Dim_Date!H:H)))</f>
        <v>Dec 2025</v>
      </c>
      <c r="U1475">
        <f>IF(Pipeline_tbl[[#This Row],[Closed_Date]]=0,"",Pipeline_tbl[[#This Row],[Closed_Date]]-Pipeline_tbl[[#This Row],[Created_Date]])</f>
        <v>31</v>
      </c>
    </row>
    <row r="1476" spans="1:21" ht="15" customHeight="1" x14ac:dyDescent="0.2">
      <c r="A1476" t="s">
        <v>1782</v>
      </c>
      <c r="B1476" t="s">
        <v>209</v>
      </c>
      <c r="C1476" t="s">
        <v>56</v>
      </c>
      <c r="D1476" s="49">
        <v>45991</v>
      </c>
      <c r="E1476" s="49">
        <v>45992</v>
      </c>
      <c r="F1476" s="49">
        <v>45994</v>
      </c>
      <c r="G1476" s="49">
        <v>45996</v>
      </c>
      <c r="H1476" s="49">
        <v>45999</v>
      </c>
      <c r="I1476" s="49">
        <v>46000</v>
      </c>
      <c r="J1476" t="s">
        <v>47</v>
      </c>
      <c r="K1476" s="33">
        <v>7000</v>
      </c>
      <c r="M1476" t="str">
        <f>_xlfn.XLOOKUP(Pipeline_tbl[[#This Row],[Rep_ID]],Dim_Reps!A:A,Dim_Reps!K:K)</f>
        <v>EUR</v>
      </c>
      <c r="N1476" s="33">
        <f>(_xlfn.XLOOKUP(Pipeline_tbl[[#This Row],[Rate_Code_Generalized]],Lookups!A:A,Lookups!B:B))*Pipeline_tbl[[#This Row],[Pipeline_Amount_USD]]</f>
        <v>7000</v>
      </c>
      <c r="O1476" t="str">
        <f>_xlfn.XLOOKUP(Pipeline_tbl[[#This Row],[Rep_ID]],Dim_Reps!A:A,Dim_Reps!B:B)</f>
        <v>Petra Larsen</v>
      </c>
      <c r="P1476" t="str">
        <f>_xlfn.XLOOKUP(Pipeline_tbl[[#This Row],[Rep_ID]],Dim_Reps!A:A,Dim_Reps!C:C)</f>
        <v>SDR / Inside Sales Rep</v>
      </c>
      <c r="Q1476" t="str">
        <f>_xlfn.XLOOKUP(Pipeline_tbl[[#This Row],[Rep_ID]],Dim_Reps!A:A,Dim_Reps!D:D)</f>
        <v>Inside Sales</v>
      </c>
      <c r="R1476" t="str">
        <f>_xlfn.XLOOKUP(Pipeline_tbl[[#This Row],[Rep_ID]],Dim_Reps!A:A,Dim_Reps!E:E)</f>
        <v>EMEA</v>
      </c>
      <c r="S1476" t="str">
        <f>_xlfn.XLOOKUP(Pipeline_tbl[[#This Row],[Created_Date]],Dim_Date!A:A,Dim_Date!H:H)</f>
        <v>Nov 2025</v>
      </c>
      <c r="T1476" t="str">
        <f>IF(Pipeline_tbl[[#This Row],[Closed_Date]]=0,"",(_xlfn.XLOOKUP(Pipeline_tbl[[#This Row],[Closed_Date]],Dim_Date!A:A,Dim_Date!H:H)))</f>
        <v>Dec 2025</v>
      </c>
      <c r="U1476">
        <f>IF(Pipeline_tbl[[#This Row],[Closed_Date]]=0,"",Pipeline_tbl[[#This Row],[Closed_Date]]-Pipeline_tbl[[#This Row],[Created_Date]])</f>
        <v>9</v>
      </c>
    </row>
    <row r="1477" spans="1:21" ht="15" customHeight="1" x14ac:dyDescent="0.2">
      <c r="A1477" t="s">
        <v>1783</v>
      </c>
      <c r="B1477" t="s">
        <v>209</v>
      </c>
      <c r="C1477" t="s">
        <v>54</v>
      </c>
      <c r="D1477" s="49">
        <v>45974</v>
      </c>
      <c r="E1477" s="49">
        <v>45976</v>
      </c>
      <c r="F1477" s="49">
        <v>45979</v>
      </c>
      <c r="G1477" s="49">
        <v>45985</v>
      </c>
      <c r="H1477" s="49">
        <v>45989</v>
      </c>
      <c r="I1477" s="49">
        <v>45992</v>
      </c>
      <c r="J1477" t="s">
        <v>49</v>
      </c>
      <c r="K1477" s="33">
        <v>4200</v>
      </c>
      <c r="L1477" t="s">
        <v>61</v>
      </c>
      <c r="M1477" t="str">
        <f>_xlfn.XLOOKUP(Pipeline_tbl[[#This Row],[Rep_ID]],Dim_Reps!A:A,Dim_Reps!K:K)</f>
        <v>EUR</v>
      </c>
      <c r="N1477" s="33">
        <f>(_xlfn.XLOOKUP(Pipeline_tbl[[#This Row],[Rate_Code_Generalized]],Lookups!A:A,Lookups!B:B))*Pipeline_tbl[[#This Row],[Pipeline_Amount_USD]]</f>
        <v>4200</v>
      </c>
      <c r="O1477" t="str">
        <f>_xlfn.XLOOKUP(Pipeline_tbl[[#This Row],[Rep_ID]],Dim_Reps!A:A,Dim_Reps!B:B)</f>
        <v>Petra Larsen</v>
      </c>
      <c r="P1477" t="str">
        <f>_xlfn.XLOOKUP(Pipeline_tbl[[#This Row],[Rep_ID]],Dim_Reps!A:A,Dim_Reps!C:C)</f>
        <v>SDR / Inside Sales Rep</v>
      </c>
      <c r="Q1477" t="str">
        <f>_xlfn.XLOOKUP(Pipeline_tbl[[#This Row],[Rep_ID]],Dim_Reps!A:A,Dim_Reps!D:D)</f>
        <v>Inside Sales</v>
      </c>
      <c r="R1477" t="str">
        <f>_xlfn.XLOOKUP(Pipeline_tbl[[#This Row],[Rep_ID]],Dim_Reps!A:A,Dim_Reps!E:E)</f>
        <v>EMEA</v>
      </c>
      <c r="S1477" t="str">
        <f>_xlfn.XLOOKUP(Pipeline_tbl[[#This Row],[Created_Date]],Dim_Date!A:A,Dim_Date!H:H)</f>
        <v>Nov 2025</v>
      </c>
      <c r="T1477" t="str">
        <f>IF(Pipeline_tbl[[#This Row],[Closed_Date]]=0,"",(_xlfn.XLOOKUP(Pipeline_tbl[[#This Row],[Closed_Date]],Dim_Date!A:A,Dim_Date!H:H)))</f>
        <v>Dec 2025</v>
      </c>
      <c r="U1477">
        <f>IF(Pipeline_tbl[[#This Row],[Closed_Date]]=0,"",Pipeline_tbl[[#This Row],[Closed_Date]]-Pipeline_tbl[[#This Row],[Created_Date]])</f>
        <v>18</v>
      </c>
    </row>
    <row r="1478" spans="1:21" ht="15" customHeight="1" x14ac:dyDescent="0.2">
      <c r="A1478" t="s">
        <v>1784</v>
      </c>
      <c r="B1478" t="s">
        <v>209</v>
      </c>
      <c r="C1478" t="s">
        <v>52</v>
      </c>
      <c r="D1478" s="49">
        <v>45975</v>
      </c>
      <c r="E1478" s="49">
        <v>45977</v>
      </c>
      <c r="F1478" s="49">
        <v>45980</v>
      </c>
      <c r="G1478" s="49">
        <v>45986</v>
      </c>
      <c r="H1478" s="49">
        <v>45990</v>
      </c>
      <c r="I1478" s="49">
        <v>45993</v>
      </c>
      <c r="J1478" t="s">
        <v>47</v>
      </c>
      <c r="K1478" s="33">
        <v>1600</v>
      </c>
      <c r="M1478" t="str">
        <f>_xlfn.XLOOKUP(Pipeline_tbl[[#This Row],[Rep_ID]],Dim_Reps!A:A,Dim_Reps!K:K)</f>
        <v>EUR</v>
      </c>
      <c r="N1478" s="33">
        <f>(_xlfn.XLOOKUP(Pipeline_tbl[[#This Row],[Rate_Code_Generalized]],Lookups!A:A,Lookups!B:B))*Pipeline_tbl[[#This Row],[Pipeline_Amount_USD]]</f>
        <v>1600</v>
      </c>
      <c r="O1478" t="str">
        <f>_xlfn.XLOOKUP(Pipeline_tbl[[#This Row],[Rep_ID]],Dim_Reps!A:A,Dim_Reps!B:B)</f>
        <v>Petra Larsen</v>
      </c>
      <c r="P1478" t="str">
        <f>_xlfn.XLOOKUP(Pipeline_tbl[[#This Row],[Rep_ID]],Dim_Reps!A:A,Dim_Reps!C:C)</f>
        <v>SDR / Inside Sales Rep</v>
      </c>
      <c r="Q1478" t="str">
        <f>_xlfn.XLOOKUP(Pipeline_tbl[[#This Row],[Rep_ID]],Dim_Reps!A:A,Dim_Reps!D:D)</f>
        <v>Inside Sales</v>
      </c>
      <c r="R1478" t="str">
        <f>_xlfn.XLOOKUP(Pipeline_tbl[[#This Row],[Rep_ID]],Dim_Reps!A:A,Dim_Reps!E:E)</f>
        <v>EMEA</v>
      </c>
      <c r="S1478" t="str">
        <f>_xlfn.XLOOKUP(Pipeline_tbl[[#This Row],[Created_Date]],Dim_Date!A:A,Dim_Date!H:H)</f>
        <v>Nov 2025</v>
      </c>
      <c r="T1478" t="str">
        <f>IF(Pipeline_tbl[[#This Row],[Closed_Date]]=0,"",(_xlfn.XLOOKUP(Pipeline_tbl[[#This Row],[Closed_Date]],Dim_Date!A:A,Dim_Date!H:H)))</f>
        <v>Dec 2025</v>
      </c>
      <c r="U1478">
        <f>IF(Pipeline_tbl[[#This Row],[Closed_Date]]=0,"",Pipeline_tbl[[#This Row],[Closed_Date]]-Pipeline_tbl[[#This Row],[Created_Date]])</f>
        <v>18</v>
      </c>
    </row>
    <row r="1479" spans="1:21" ht="15" customHeight="1" x14ac:dyDescent="0.2">
      <c r="A1479" t="s">
        <v>1785</v>
      </c>
      <c r="B1479" t="s">
        <v>209</v>
      </c>
      <c r="C1479" t="s">
        <v>53</v>
      </c>
      <c r="D1479" s="49">
        <v>45986</v>
      </c>
      <c r="E1479" s="49">
        <v>45987</v>
      </c>
      <c r="I1479" s="49">
        <v>46000</v>
      </c>
      <c r="J1479" t="s">
        <v>49</v>
      </c>
      <c r="K1479" s="33">
        <v>4200</v>
      </c>
      <c r="L1479" t="s">
        <v>61</v>
      </c>
      <c r="M1479" t="str">
        <f>_xlfn.XLOOKUP(Pipeline_tbl[[#This Row],[Rep_ID]],Dim_Reps!A:A,Dim_Reps!K:K)</f>
        <v>EUR</v>
      </c>
      <c r="N1479" s="33">
        <f>(_xlfn.XLOOKUP(Pipeline_tbl[[#This Row],[Rate_Code_Generalized]],Lookups!A:A,Lookups!B:B))*Pipeline_tbl[[#This Row],[Pipeline_Amount_USD]]</f>
        <v>4200</v>
      </c>
      <c r="O1479" t="str">
        <f>_xlfn.XLOOKUP(Pipeline_tbl[[#This Row],[Rep_ID]],Dim_Reps!A:A,Dim_Reps!B:B)</f>
        <v>Petra Larsen</v>
      </c>
      <c r="P1479" t="str">
        <f>_xlfn.XLOOKUP(Pipeline_tbl[[#This Row],[Rep_ID]],Dim_Reps!A:A,Dim_Reps!C:C)</f>
        <v>SDR / Inside Sales Rep</v>
      </c>
      <c r="Q1479" t="str">
        <f>_xlfn.XLOOKUP(Pipeline_tbl[[#This Row],[Rep_ID]],Dim_Reps!A:A,Dim_Reps!D:D)</f>
        <v>Inside Sales</v>
      </c>
      <c r="R1479" t="str">
        <f>_xlfn.XLOOKUP(Pipeline_tbl[[#This Row],[Rep_ID]],Dim_Reps!A:A,Dim_Reps!E:E)</f>
        <v>EMEA</v>
      </c>
      <c r="S1479" t="str">
        <f>_xlfn.XLOOKUP(Pipeline_tbl[[#This Row],[Created_Date]],Dim_Date!A:A,Dim_Date!H:H)</f>
        <v>Nov 2025</v>
      </c>
      <c r="T1479" t="str">
        <f>IF(Pipeline_tbl[[#This Row],[Closed_Date]]=0,"",(_xlfn.XLOOKUP(Pipeline_tbl[[#This Row],[Closed_Date]],Dim_Date!A:A,Dim_Date!H:H)))</f>
        <v>Dec 2025</v>
      </c>
      <c r="U1479">
        <f>IF(Pipeline_tbl[[#This Row],[Closed_Date]]=0,"",Pipeline_tbl[[#This Row],[Closed_Date]]-Pipeline_tbl[[#This Row],[Created_Date]])</f>
        <v>14</v>
      </c>
    </row>
    <row r="1480" spans="1:21" ht="15" customHeight="1" x14ac:dyDescent="0.2">
      <c r="A1480" t="s">
        <v>1786</v>
      </c>
      <c r="B1480" t="s">
        <v>209</v>
      </c>
      <c r="C1480" t="s">
        <v>52</v>
      </c>
      <c r="D1480" s="49">
        <v>45983</v>
      </c>
      <c r="E1480" s="49">
        <v>45985</v>
      </c>
      <c r="F1480" s="49">
        <v>45990</v>
      </c>
      <c r="I1480" s="49">
        <v>46006</v>
      </c>
      <c r="J1480" t="s">
        <v>49</v>
      </c>
      <c r="K1480" s="33">
        <v>3600</v>
      </c>
      <c r="L1480" t="s">
        <v>61</v>
      </c>
      <c r="M1480" t="str">
        <f>_xlfn.XLOOKUP(Pipeline_tbl[[#This Row],[Rep_ID]],Dim_Reps!A:A,Dim_Reps!K:K)</f>
        <v>EUR</v>
      </c>
      <c r="N1480" s="33">
        <f>(_xlfn.XLOOKUP(Pipeline_tbl[[#This Row],[Rate_Code_Generalized]],Lookups!A:A,Lookups!B:B))*Pipeline_tbl[[#This Row],[Pipeline_Amount_USD]]</f>
        <v>3600</v>
      </c>
      <c r="O1480" t="str">
        <f>_xlfn.XLOOKUP(Pipeline_tbl[[#This Row],[Rep_ID]],Dim_Reps!A:A,Dim_Reps!B:B)</f>
        <v>Petra Larsen</v>
      </c>
      <c r="P1480" t="str">
        <f>_xlfn.XLOOKUP(Pipeline_tbl[[#This Row],[Rep_ID]],Dim_Reps!A:A,Dim_Reps!C:C)</f>
        <v>SDR / Inside Sales Rep</v>
      </c>
      <c r="Q1480" t="str">
        <f>_xlfn.XLOOKUP(Pipeline_tbl[[#This Row],[Rep_ID]],Dim_Reps!A:A,Dim_Reps!D:D)</f>
        <v>Inside Sales</v>
      </c>
      <c r="R1480" t="str">
        <f>_xlfn.XLOOKUP(Pipeline_tbl[[#This Row],[Rep_ID]],Dim_Reps!A:A,Dim_Reps!E:E)</f>
        <v>EMEA</v>
      </c>
      <c r="S1480" t="str">
        <f>_xlfn.XLOOKUP(Pipeline_tbl[[#This Row],[Created_Date]],Dim_Date!A:A,Dim_Date!H:H)</f>
        <v>Nov 2025</v>
      </c>
      <c r="T1480" t="str">
        <f>IF(Pipeline_tbl[[#This Row],[Closed_Date]]=0,"",(_xlfn.XLOOKUP(Pipeline_tbl[[#This Row],[Closed_Date]],Dim_Date!A:A,Dim_Date!H:H)))</f>
        <v>Dec 2025</v>
      </c>
      <c r="U1480">
        <f>IF(Pipeline_tbl[[#This Row],[Closed_Date]]=0,"",Pipeline_tbl[[#This Row],[Closed_Date]]-Pipeline_tbl[[#This Row],[Created_Date]])</f>
        <v>23</v>
      </c>
    </row>
    <row r="1481" spans="1:21" ht="15" customHeight="1" x14ac:dyDescent="0.2">
      <c r="A1481" t="s">
        <v>1787</v>
      </c>
      <c r="B1481" t="s">
        <v>209</v>
      </c>
      <c r="C1481" t="s">
        <v>52</v>
      </c>
      <c r="D1481" s="49">
        <v>45981</v>
      </c>
      <c r="E1481" s="49">
        <v>45983</v>
      </c>
      <c r="F1481" s="49">
        <v>45987</v>
      </c>
      <c r="I1481" s="49">
        <v>46002</v>
      </c>
      <c r="J1481" t="s">
        <v>49</v>
      </c>
      <c r="K1481" s="33">
        <v>4100</v>
      </c>
      <c r="L1481" t="s">
        <v>63</v>
      </c>
      <c r="M1481" t="str">
        <f>_xlfn.XLOOKUP(Pipeline_tbl[[#This Row],[Rep_ID]],Dim_Reps!A:A,Dim_Reps!K:K)</f>
        <v>EUR</v>
      </c>
      <c r="N1481" s="33">
        <f>(_xlfn.XLOOKUP(Pipeline_tbl[[#This Row],[Rate_Code_Generalized]],Lookups!A:A,Lookups!B:B))*Pipeline_tbl[[#This Row],[Pipeline_Amount_USD]]</f>
        <v>4100</v>
      </c>
      <c r="O1481" t="str">
        <f>_xlfn.XLOOKUP(Pipeline_tbl[[#This Row],[Rep_ID]],Dim_Reps!A:A,Dim_Reps!B:B)</f>
        <v>Petra Larsen</v>
      </c>
      <c r="P1481" t="str">
        <f>_xlfn.XLOOKUP(Pipeline_tbl[[#This Row],[Rep_ID]],Dim_Reps!A:A,Dim_Reps!C:C)</f>
        <v>SDR / Inside Sales Rep</v>
      </c>
      <c r="Q1481" t="str">
        <f>_xlfn.XLOOKUP(Pipeline_tbl[[#This Row],[Rep_ID]],Dim_Reps!A:A,Dim_Reps!D:D)</f>
        <v>Inside Sales</v>
      </c>
      <c r="R1481" t="str">
        <f>_xlfn.XLOOKUP(Pipeline_tbl[[#This Row],[Rep_ID]],Dim_Reps!A:A,Dim_Reps!E:E)</f>
        <v>EMEA</v>
      </c>
      <c r="S1481" t="str">
        <f>_xlfn.XLOOKUP(Pipeline_tbl[[#This Row],[Created_Date]],Dim_Date!A:A,Dim_Date!H:H)</f>
        <v>Nov 2025</v>
      </c>
      <c r="T1481" t="str">
        <f>IF(Pipeline_tbl[[#This Row],[Closed_Date]]=0,"",(_xlfn.XLOOKUP(Pipeline_tbl[[#This Row],[Closed_Date]],Dim_Date!A:A,Dim_Date!H:H)))</f>
        <v>Dec 2025</v>
      </c>
      <c r="U1481">
        <f>IF(Pipeline_tbl[[#This Row],[Closed_Date]]=0,"",Pipeline_tbl[[#This Row],[Closed_Date]]-Pipeline_tbl[[#This Row],[Created_Date]])</f>
        <v>21</v>
      </c>
    </row>
    <row r="1482" spans="1:21" ht="15" customHeight="1" x14ac:dyDescent="0.2">
      <c r="A1482" t="s">
        <v>1788</v>
      </c>
      <c r="B1482" t="s">
        <v>211</v>
      </c>
      <c r="C1482" t="s">
        <v>54</v>
      </c>
      <c r="D1482" s="49">
        <v>45988</v>
      </c>
      <c r="E1482" s="49">
        <v>45989</v>
      </c>
      <c r="F1482" s="49">
        <v>45991</v>
      </c>
      <c r="I1482" s="49">
        <v>45999</v>
      </c>
      <c r="J1482" t="s">
        <v>49</v>
      </c>
      <c r="K1482" s="33">
        <v>3600</v>
      </c>
      <c r="L1482" t="s">
        <v>61</v>
      </c>
      <c r="M1482" t="str">
        <f>_xlfn.XLOOKUP(Pipeline_tbl[[#This Row],[Rep_ID]],Dim_Reps!A:A,Dim_Reps!K:K)</f>
        <v>EUR</v>
      </c>
      <c r="N1482" s="33">
        <f>(_xlfn.XLOOKUP(Pipeline_tbl[[#This Row],[Rate_Code_Generalized]],Lookups!A:A,Lookups!B:B))*Pipeline_tbl[[#This Row],[Pipeline_Amount_USD]]</f>
        <v>3600</v>
      </c>
      <c r="O1482" t="str">
        <f>_xlfn.XLOOKUP(Pipeline_tbl[[#This Row],[Rep_ID]],Dim_Reps!A:A,Dim_Reps!B:B)</f>
        <v>Lea Weber</v>
      </c>
      <c r="P1482" t="str">
        <f>_xlfn.XLOOKUP(Pipeline_tbl[[#This Row],[Rep_ID]],Dim_Reps!A:A,Dim_Reps!C:C)</f>
        <v>SDR / Inside Sales Rep</v>
      </c>
      <c r="Q1482" t="str">
        <f>_xlfn.XLOOKUP(Pipeline_tbl[[#This Row],[Rep_ID]],Dim_Reps!A:A,Dim_Reps!D:D)</f>
        <v>Inside Sales</v>
      </c>
      <c r="R1482" t="str">
        <f>_xlfn.XLOOKUP(Pipeline_tbl[[#This Row],[Rep_ID]],Dim_Reps!A:A,Dim_Reps!E:E)</f>
        <v>EMEA</v>
      </c>
      <c r="S1482" t="str">
        <f>_xlfn.XLOOKUP(Pipeline_tbl[[#This Row],[Created_Date]],Dim_Date!A:A,Dim_Date!H:H)</f>
        <v>Nov 2025</v>
      </c>
      <c r="T1482" t="str">
        <f>IF(Pipeline_tbl[[#This Row],[Closed_Date]]=0,"",(_xlfn.XLOOKUP(Pipeline_tbl[[#This Row],[Closed_Date]],Dim_Date!A:A,Dim_Date!H:H)))</f>
        <v>Dec 2025</v>
      </c>
      <c r="U1482">
        <f>IF(Pipeline_tbl[[#This Row],[Closed_Date]]=0,"",Pipeline_tbl[[#This Row],[Closed_Date]]-Pipeline_tbl[[#This Row],[Created_Date]])</f>
        <v>11</v>
      </c>
    </row>
    <row r="1483" spans="1:21" ht="15" customHeight="1" x14ac:dyDescent="0.2">
      <c r="A1483" t="s">
        <v>1789</v>
      </c>
      <c r="B1483" t="s">
        <v>211</v>
      </c>
      <c r="C1483" t="s">
        <v>53</v>
      </c>
      <c r="D1483" s="49">
        <v>45990</v>
      </c>
      <c r="E1483" s="49">
        <v>45991</v>
      </c>
      <c r="F1483" s="49">
        <v>45992</v>
      </c>
      <c r="G1483" s="49">
        <v>45995</v>
      </c>
      <c r="H1483" s="49">
        <v>45997</v>
      </c>
      <c r="I1483" s="49">
        <v>45998</v>
      </c>
      <c r="J1483" t="s">
        <v>47</v>
      </c>
      <c r="K1483" s="33">
        <v>2700</v>
      </c>
      <c r="M1483" t="str">
        <f>_xlfn.XLOOKUP(Pipeline_tbl[[#This Row],[Rep_ID]],Dim_Reps!A:A,Dim_Reps!K:K)</f>
        <v>EUR</v>
      </c>
      <c r="N1483" s="33">
        <f>(_xlfn.XLOOKUP(Pipeline_tbl[[#This Row],[Rate_Code_Generalized]],Lookups!A:A,Lookups!B:B))*Pipeline_tbl[[#This Row],[Pipeline_Amount_USD]]</f>
        <v>2700</v>
      </c>
      <c r="O1483" t="str">
        <f>_xlfn.XLOOKUP(Pipeline_tbl[[#This Row],[Rep_ID]],Dim_Reps!A:A,Dim_Reps!B:B)</f>
        <v>Lea Weber</v>
      </c>
      <c r="P1483" t="str">
        <f>_xlfn.XLOOKUP(Pipeline_tbl[[#This Row],[Rep_ID]],Dim_Reps!A:A,Dim_Reps!C:C)</f>
        <v>SDR / Inside Sales Rep</v>
      </c>
      <c r="Q1483" t="str">
        <f>_xlfn.XLOOKUP(Pipeline_tbl[[#This Row],[Rep_ID]],Dim_Reps!A:A,Dim_Reps!D:D)</f>
        <v>Inside Sales</v>
      </c>
      <c r="R1483" t="str">
        <f>_xlfn.XLOOKUP(Pipeline_tbl[[#This Row],[Rep_ID]],Dim_Reps!A:A,Dim_Reps!E:E)</f>
        <v>EMEA</v>
      </c>
      <c r="S1483" t="str">
        <f>_xlfn.XLOOKUP(Pipeline_tbl[[#This Row],[Created_Date]],Dim_Date!A:A,Dim_Date!H:H)</f>
        <v>Nov 2025</v>
      </c>
      <c r="T1483" t="str">
        <f>IF(Pipeline_tbl[[#This Row],[Closed_Date]]=0,"",(_xlfn.XLOOKUP(Pipeline_tbl[[#This Row],[Closed_Date]],Dim_Date!A:A,Dim_Date!H:H)))</f>
        <v>Dec 2025</v>
      </c>
      <c r="U1483">
        <f>IF(Pipeline_tbl[[#This Row],[Closed_Date]]=0,"",Pipeline_tbl[[#This Row],[Closed_Date]]-Pipeline_tbl[[#This Row],[Created_Date]])</f>
        <v>8</v>
      </c>
    </row>
    <row r="1484" spans="1:21" ht="15" customHeight="1" x14ac:dyDescent="0.2">
      <c r="A1484" t="s">
        <v>1790</v>
      </c>
      <c r="B1484" t="s">
        <v>211</v>
      </c>
      <c r="C1484" t="s">
        <v>53</v>
      </c>
      <c r="D1484" s="49">
        <v>45977</v>
      </c>
      <c r="E1484" s="49">
        <v>45979</v>
      </c>
      <c r="I1484" s="49">
        <v>45995</v>
      </c>
      <c r="J1484" t="s">
        <v>49</v>
      </c>
      <c r="K1484" s="33">
        <v>1900</v>
      </c>
      <c r="L1484" t="s">
        <v>63</v>
      </c>
      <c r="M1484" t="str">
        <f>_xlfn.XLOOKUP(Pipeline_tbl[[#This Row],[Rep_ID]],Dim_Reps!A:A,Dim_Reps!K:K)</f>
        <v>EUR</v>
      </c>
      <c r="N1484" s="33">
        <f>(_xlfn.XLOOKUP(Pipeline_tbl[[#This Row],[Rate_Code_Generalized]],Lookups!A:A,Lookups!B:B))*Pipeline_tbl[[#This Row],[Pipeline_Amount_USD]]</f>
        <v>1900</v>
      </c>
      <c r="O1484" t="str">
        <f>_xlfn.XLOOKUP(Pipeline_tbl[[#This Row],[Rep_ID]],Dim_Reps!A:A,Dim_Reps!B:B)</f>
        <v>Lea Weber</v>
      </c>
      <c r="P1484" t="str">
        <f>_xlfn.XLOOKUP(Pipeline_tbl[[#This Row],[Rep_ID]],Dim_Reps!A:A,Dim_Reps!C:C)</f>
        <v>SDR / Inside Sales Rep</v>
      </c>
      <c r="Q1484" t="str">
        <f>_xlfn.XLOOKUP(Pipeline_tbl[[#This Row],[Rep_ID]],Dim_Reps!A:A,Dim_Reps!D:D)</f>
        <v>Inside Sales</v>
      </c>
      <c r="R1484" t="str">
        <f>_xlfn.XLOOKUP(Pipeline_tbl[[#This Row],[Rep_ID]],Dim_Reps!A:A,Dim_Reps!E:E)</f>
        <v>EMEA</v>
      </c>
      <c r="S1484" t="str">
        <f>_xlfn.XLOOKUP(Pipeline_tbl[[#This Row],[Created_Date]],Dim_Date!A:A,Dim_Date!H:H)</f>
        <v>Nov 2025</v>
      </c>
      <c r="T1484" t="str">
        <f>IF(Pipeline_tbl[[#This Row],[Closed_Date]]=0,"",(_xlfn.XLOOKUP(Pipeline_tbl[[#This Row],[Closed_Date]],Dim_Date!A:A,Dim_Date!H:H)))</f>
        <v>Dec 2025</v>
      </c>
      <c r="U1484">
        <f>IF(Pipeline_tbl[[#This Row],[Closed_Date]]=0,"",Pipeline_tbl[[#This Row],[Closed_Date]]-Pipeline_tbl[[#This Row],[Created_Date]])</f>
        <v>18</v>
      </c>
    </row>
    <row r="1485" spans="1:21" ht="15" customHeight="1" x14ac:dyDescent="0.2">
      <c r="A1485" t="s">
        <v>1791</v>
      </c>
      <c r="B1485" t="s">
        <v>211</v>
      </c>
      <c r="C1485" t="s">
        <v>54</v>
      </c>
      <c r="D1485" s="49">
        <v>45981</v>
      </c>
      <c r="E1485" s="49">
        <v>45983</v>
      </c>
      <c r="F1485" s="49">
        <v>45986</v>
      </c>
      <c r="I1485" s="49">
        <v>45999</v>
      </c>
      <c r="J1485" t="s">
        <v>49</v>
      </c>
      <c r="K1485" s="33">
        <v>2000</v>
      </c>
      <c r="L1485" t="s">
        <v>61</v>
      </c>
      <c r="M1485" t="str">
        <f>_xlfn.XLOOKUP(Pipeline_tbl[[#This Row],[Rep_ID]],Dim_Reps!A:A,Dim_Reps!K:K)</f>
        <v>EUR</v>
      </c>
      <c r="N1485" s="33">
        <f>(_xlfn.XLOOKUP(Pipeline_tbl[[#This Row],[Rate_Code_Generalized]],Lookups!A:A,Lookups!B:B))*Pipeline_tbl[[#This Row],[Pipeline_Amount_USD]]</f>
        <v>2000</v>
      </c>
      <c r="O1485" t="str">
        <f>_xlfn.XLOOKUP(Pipeline_tbl[[#This Row],[Rep_ID]],Dim_Reps!A:A,Dim_Reps!B:B)</f>
        <v>Lea Weber</v>
      </c>
      <c r="P1485" t="str">
        <f>_xlfn.XLOOKUP(Pipeline_tbl[[#This Row],[Rep_ID]],Dim_Reps!A:A,Dim_Reps!C:C)</f>
        <v>SDR / Inside Sales Rep</v>
      </c>
      <c r="Q1485" t="str">
        <f>_xlfn.XLOOKUP(Pipeline_tbl[[#This Row],[Rep_ID]],Dim_Reps!A:A,Dim_Reps!D:D)</f>
        <v>Inside Sales</v>
      </c>
      <c r="R1485" t="str">
        <f>_xlfn.XLOOKUP(Pipeline_tbl[[#This Row],[Rep_ID]],Dim_Reps!A:A,Dim_Reps!E:E)</f>
        <v>EMEA</v>
      </c>
      <c r="S1485" t="str">
        <f>_xlfn.XLOOKUP(Pipeline_tbl[[#This Row],[Created_Date]],Dim_Date!A:A,Dim_Date!H:H)</f>
        <v>Nov 2025</v>
      </c>
      <c r="T1485" t="str">
        <f>IF(Pipeline_tbl[[#This Row],[Closed_Date]]=0,"",(_xlfn.XLOOKUP(Pipeline_tbl[[#This Row],[Closed_Date]],Dim_Date!A:A,Dim_Date!H:H)))</f>
        <v>Dec 2025</v>
      </c>
      <c r="U1485">
        <f>IF(Pipeline_tbl[[#This Row],[Closed_Date]]=0,"",Pipeline_tbl[[#This Row],[Closed_Date]]-Pipeline_tbl[[#This Row],[Created_Date]])</f>
        <v>18</v>
      </c>
    </row>
    <row r="1486" spans="1:21" ht="15" customHeight="1" x14ac:dyDescent="0.2">
      <c r="A1486" t="s">
        <v>1792</v>
      </c>
      <c r="B1486" t="s">
        <v>211</v>
      </c>
      <c r="C1486" t="s">
        <v>55</v>
      </c>
      <c r="D1486" s="49">
        <v>45979</v>
      </c>
      <c r="E1486" s="49">
        <v>45981</v>
      </c>
      <c r="F1486" s="49">
        <v>45985</v>
      </c>
      <c r="G1486" s="49">
        <v>45990</v>
      </c>
      <c r="H1486" s="49">
        <v>45995</v>
      </c>
      <c r="I1486" s="49">
        <v>45998</v>
      </c>
      <c r="J1486" t="s">
        <v>49</v>
      </c>
      <c r="K1486" s="33">
        <v>5000</v>
      </c>
      <c r="L1486" t="s">
        <v>62</v>
      </c>
      <c r="M1486" t="str">
        <f>_xlfn.XLOOKUP(Pipeline_tbl[[#This Row],[Rep_ID]],Dim_Reps!A:A,Dim_Reps!K:K)</f>
        <v>EUR</v>
      </c>
      <c r="N1486" s="33">
        <f>(_xlfn.XLOOKUP(Pipeline_tbl[[#This Row],[Rate_Code_Generalized]],Lookups!A:A,Lookups!B:B))*Pipeline_tbl[[#This Row],[Pipeline_Amount_USD]]</f>
        <v>5000</v>
      </c>
      <c r="O1486" t="str">
        <f>_xlfn.XLOOKUP(Pipeline_tbl[[#This Row],[Rep_ID]],Dim_Reps!A:A,Dim_Reps!B:B)</f>
        <v>Lea Weber</v>
      </c>
      <c r="P1486" t="str">
        <f>_xlfn.XLOOKUP(Pipeline_tbl[[#This Row],[Rep_ID]],Dim_Reps!A:A,Dim_Reps!C:C)</f>
        <v>SDR / Inside Sales Rep</v>
      </c>
      <c r="Q1486" t="str">
        <f>_xlfn.XLOOKUP(Pipeline_tbl[[#This Row],[Rep_ID]],Dim_Reps!A:A,Dim_Reps!D:D)</f>
        <v>Inside Sales</v>
      </c>
      <c r="R1486" t="str">
        <f>_xlfn.XLOOKUP(Pipeline_tbl[[#This Row],[Rep_ID]],Dim_Reps!A:A,Dim_Reps!E:E)</f>
        <v>EMEA</v>
      </c>
      <c r="S1486" t="str">
        <f>_xlfn.XLOOKUP(Pipeline_tbl[[#This Row],[Created_Date]],Dim_Date!A:A,Dim_Date!H:H)</f>
        <v>Nov 2025</v>
      </c>
      <c r="T1486" t="str">
        <f>IF(Pipeline_tbl[[#This Row],[Closed_Date]]=0,"",(_xlfn.XLOOKUP(Pipeline_tbl[[#This Row],[Closed_Date]],Dim_Date!A:A,Dim_Date!H:H)))</f>
        <v>Dec 2025</v>
      </c>
      <c r="U1486">
        <f>IF(Pipeline_tbl[[#This Row],[Closed_Date]]=0,"",Pipeline_tbl[[#This Row],[Closed_Date]]-Pipeline_tbl[[#This Row],[Created_Date]])</f>
        <v>19</v>
      </c>
    </row>
    <row r="1487" spans="1:21" ht="15" customHeight="1" x14ac:dyDescent="0.2">
      <c r="A1487" t="s">
        <v>1793</v>
      </c>
      <c r="B1487" t="s">
        <v>211</v>
      </c>
      <c r="C1487" t="s">
        <v>53</v>
      </c>
      <c r="D1487" s="49">
        <v>45982</v>
      </c>
      <c r="E1487" s="49">
        <v>45984</v>
      </c>
      <c r="F1487" s="49">
        <v>45987</v>
      </c>
      <c r="I1487" s="49">
        <v>45998</v>
      </c>
      <c r="J1487" t="s">
        <v>49</v>
      </c>
      <c r="K1487" s="33">
        <v>3800</v>
      </c>
      <c r="L1487" t="s">
        <v>64</v>
      </c>
      <c r="M1487" t="str">
        <f>_xlfn.XLOOKUP(Pipeline_tbl[[#This Row],[Rep_ID]],Dim_Reps!A:A,Dim_Reps!K:K)</f>
        <v>EUR</v>
      </c>
      <c r="N1487" s="33">
        <f>(_xlfn.XLOOKUP(Pipeline_tbl[[#This Row],[Rate_Code_Generalized]],Lookups!A:A,Lookups!B:B))*Pipeline_tbl[[#This Row],[Pipeline_Amount_USD]]</f>
        <v>3800</v>
      </c>
      <c r="O1487" t="str">
        <f>_xlfn.XLOOKUP(Pipeline_tbl[[#This Row],[Rep_ID]],Dim_Reps!A:A,Dim_Reps!B:B)</f>
        <v>Lea Weber</v>
      </c>
      <c r="P1487" t="str">
        <f>_xlfn.XLOOKUP(Pipeline_tbl[[#This Row],[Rep_ID]],Dim_Reps!A:A,Dim_Reps!C:C)</f>
        <v>SDR / Inside Sales Rep</v>
      </c>
      <c r="Q1487" t="str">
        <f>_xlfn.XLOOKUP(Pipeline_tbl[[#This Row],[Rep_ID]],Dim_Reps!A:A,Dim_Reps!D:D)</f>
        <v>Inside Sales</v>
      </c>
      <c r="R1487" t="str">
        <f>_xlfn.XLOOKUP(Pipeline_tbl[[#This Row],[Rep_ID]],Dim_Reps!A:A,Dim_Reps!E:E)</f>
        <v>EMEA</v>
      </c>
      <c r="S1487" t="str">
        <f>_xlfn.XLOOKUP(Pipeline_tbl[[#This Row],[Created_Date]],Dim_Date!A:A,Dim_Date!H:H)</f>
        <v>Nov 2025</v>
      </c>
      <c r="T1487" t="str">
        <f>IF(Pipeline_tbl[[#This Row],[Closed_Date]]=0,"",(_xlfn.XLOOKUP(Pipeline_tbl[[#This Row],[Closed_Date]],Dim_Date!A:A,Dim_Date!H:H)))</f>
        <v>Dec 2025</v>
      </c>
      <c r="U1487">
        <f>IF(Pipeline_tbl[[#This Row],[Closed_Date]]=0,"",Pipeline_tbl[[#This Row],[Closed_Date]]-Pipeline_tbl[[#This Row],[Created_Date]])</f>
        <v>16</v>
      </c>
    </row>
    <row r="1488" spans="1:21" ht="15" customHeight="1" x14ac:dyDescent="0.2">
      <c r="A1488" t="s">
        <v>1794</v>
      </c>
      <c r="B1488" t="s">
        <v>211</v>
      </c>
      <c r="C1488" t="s">
        <v>55</v>
      </c>
      <c r="D1488" s="49">
        <v>45980</v>
      </c>
      <c r="E1488" s="49">
        <v>45981</v>
      </c>
      <c r="F1488" s="49">
        <v>45984</v>
      </c>
      <c r="I1488" s="49">
        <v>45994</v>
      </c>
      <c r="J1488" t="s">
        <v>49</v>
      </c>
      <c r="K1488" s="33">
        <v>3200</v>
      </c>
      <c r="L1488" t="s">
        <v>61</v>
      </c>
      <c r="M1488" t="str">
        <f>_xlfn.XLOOKUP(Pipeline_tbl[[#This Row],[Rep_ID]],Dim_Reps!A:A,Dim_Reps!K:K)</f>
        <v>EUR</v>
      </c>
      <c r="N1488" s="33">
        <f>(_xlfn.XLOOKUP(Pipeline_tbl[[#This Row],[Rate_Code_Generalized]],Lookups!A:A,Lookups!B:B))*Pipeline_tbl[[#This Row],[Pipeline_Amount_USD]]</f>
        <v>3200</v>
      </c>
      <c r="O1488" t="str">
        <f>_xlfn.XLOOKUP(Pipeline_tbl[[#This Row],[Rep_ID]],Dim_Reps!A:A,Dim_Reps!B:B)</f>
        <v>Lea Weber</v>
      </c>
      <c r="P1488" t="str">
        <f>_xlfn.XLOOKUP(Pipeline_tbl[[#This Row],[Rep_ID]],Dim_Reps!A:A,Dim_Reps!C:C)</f>
        <v>SDR / Inside Sales Rep</v>
      </c>
      <c r="Q1488" t="str">
        <f>_xlfn.XLOOKUP(Pipeline_tbl[[#This Row],[Rep_ID]],Dim_Reps!A:A,Dim_Reps!D:D)</f>
        <v>Inside Sales</v>
      </c>
      <c r="R1488" t="str">
        <f>_xlfn.XLOOKUP(Pipeline_tbl[[#This Row],[Rep_ID]],Dim_Reps!A:A,Dim_Reps!E:E)</f>
        <v>EMEA</v>
      </c>
      <c r="S1488" t="str">
        <f>_xlfn.XLOOKUP(Pipeline_tbl[[#This Row],[Created_Date]],Dim_Date!A:A,Dim_Date!H:H)</f>
        <v>Nov 2025</v>
      </c>
      <c r="T1488" t="str">
        <f>IF(Pipeline_tbl[[#This Row],[Closed_Date]]=0,"",(_xlfn.XLOOKUP(Pipeline_tbl[[#This Row],[Closed_Date]],Dim_Date!A:A,Dim_Date!H:H)))</f>
        <v>Dec 2025</v>
      </c>
      <c r="U1488">
        <f>IF(Pipeline_tbl[[#This Row],[Closed_Date]]=0,"",Pipeline_tbl[[#This Row],[Closed_Date]]-Pipeline_tbl[[#This Row],[Created_Date]])</f>
        <v>14</v>
      </c>
    </row>
    <row r="1489" spans="1:21" ht="15" customHeight="1" x14ac:dyDescent="0.2">
      <c r="A1489" t="s">
        <v>1795</v>
      </c>
      <c r="B1489" t="s">
        <v>211</v>
      </c>
      <c r="C1489" t="s">
        <v>52</v>
      </c>
      <c r="D1489" s="49">
        <v>45984</v>
      </c>
      <c r="E1489" s="49">
        <v>45986</v>
      </c>
      <c r="F1489" s="49">
        <v>45992</v>
      </c>
      <c r="G1489" s="49">
        <v>45999</v>
      </c>
      <c r="H1489" s="49">
        <v>46005</v>
      </c>
      <c r="I1489" s="49">
        <v>46009</v>
      </c>
      <c r="J1489" t="s">
        <v>49</v>
      </c>
      <c r="K1489" s="33">
        <v>2200</v>
      </c>
      <c r="L1489" t="s">
        <v>62</v>
      </c>
      <c r="M1489" t="str">
        <f>_xlfn.XLOOKUP(Pipeline_tbl[[#This Row],[Rep_ID]],Dim_Reps!A:A,Dim_Reps!K:K)</f>
        <v>EUR</v>
      </c>
      <c r="N1489" s="33">
        <f>(_xlfn.XLOOKUP(Pipeline_tbl[[#This Row],[Rate_Code_Generalized]],Lookups!A:A,Lookups!B:B))*Pipeline_tbl[[#This Row],[Pipeline_Amount_USD]]</f>
        <v>2200</v>
      </c>
      <c r="O1489" t="str">
        <f>_xlfn.XLOOKUP(Pipeline_tbl[[#This Row],[Rep_ID]],Dim_Reps!A:A,Dim_Reps!B:B)</f>
        <v>Lea Weber</v>
      </c>
      <c r="P1489" t="str">
        <f>_xlfn.XLOOKUP(Pipeline_tbl[[#This Row],[Rep_ID]],Dim_Reps!A:A,Dim_Reps!C:C)</f>
        <v>SDR / Inside Sales Rep</v>
      </c>
      <c r="Q1489" t="str">
        <f>_xlfn.XLOOKUP(Pipeline_tbl[[#This Row],[Rep_ID]],Dim_Reps!A:A,Dim_Reps!D:D)</f>
        <v>Inside Sales</v>
      </c>
      <c r="R1489" t="str">
        <f>_xlfn.XLOOKUP(Pipeline_tbl[[#This Row],[Rep_ID]],Dim_Reps!A:A,Dim_Reps!E:E)</f>
        <v>EMEA</v>
      </c>
      <c r="S1489" t="str">
        <f>_xlfn.XLOOKUP(Pipeline_tbl[[#This Row],[Created_Date]],Dim_Date!A:A,Dim_Date!H:H)</f>
        <v>Nov 2025</v>
      </c>
      <c r="T1489" t="str">
        <f>IF(Pipeline_tbl[[#This Row],[Closed_Date]]=0,"",(_xlfn.XLOOKUP(Pipeline_tbl[[#This Row],[Closed_Date]],Dim_Date!A:A,Dim_Date!H:H)))</f>
        <v>Dec 2025</v>
      </c>
      <c r="U1489">
        <f>IF(Pipeline_tbl[[#This Row],[Closed_Date]]=0,"",Pipeline_tbl[[#This Row],[Closed_Date]]-Pipeline_tbl[[#This Row],[Created_Date]])</f>
        <v>25</v>
      </c>
    </row>
    <row r="1490" spans="1:21" ht="15" customHeight="1" x14ac:dyDescent="0.2">
      <c r="A1490" t="s">
        <v>1796</v>
      </c>
      <c r="B1490" t="s">
        <v>249</v>
      </c>
      <c r="C1490" t="s">
        <v>54</v>
      </c>
      <c r="D1490" s="49">
        <v>45974</v>
      </c>
      <c r="E1490" s="49">
        <v>45977</v>
      </c>
      <c r="F1490" s="49">
        <v>45984</v>
      </c>
      <c r="G1490" s="49">
        <v>45993</v>
      </c>
      <c r="H1490" s="49">
        <v>46001</v>
      </c>
      <c r="I1490" s="49">
        <v>46006</v>
      </c>
      <c r="J1490" t="s">
        <v>47</v>
      </c>
      <c r="K1490" s="33">
        <v>13700</v>
      </c>
      <c r="M1490" t="str">
        <f>_xlfn.XLOOKUP(Pipeline_tbl[[#This Row],[Rep_ID]],Dim_Reps!A:A,Dim_Reps!K:K)</f>
        <v>EUR</v>
      </c>
      <c r="N1490" s="33">
        <f>(_xlfn.XLOOKUP(Pipeline_tbl[[#This Row],[Rate_Code_Generalized]],Lookups!A:A,Lookups!B:B))*Pipeline_tbl[[#This Row],[Pipeline_Amount_USD]]</f>
        <v>13700</v>
      </c>
      <c r="O1490" t="str">
        <f>_xlfn.XLOOKUP(Pipeline_tbl[[#This Row],[Rep_ID]],Dim_Reps!A:A,Dim_Reps!B:B)</f>
        <v>Ana Sato</v>
      </c>
      <c r="P1490" t="str">
        <f>_xlfn.XLOOKUP(Pipeline_tbl[[#This Row],[Rep_ID]],Dim_Reps!A:A,Dim_Reps!C:C)</f>
        <v>Mid-Market AE</v>
      </c>
      <c r="Q1490" t="str">
        <f>_xlfn.XLOOKUP(Pipeline_tbl[[#This Row],[Rep_ID]],Dim_Reps!A:A,Dim_Reps!D:D)</f>
        <v>Mid-Market</v>
      </c>
      <c r="R1490" t="str">
        <f>_xlfn.XLOOKUP(Pipeline_tbl[[#This Row],[Rep_ID]],Dim_Reps!A:A,Dim_Reps!E:E)</f>
        <v>APAC</v>
      </c>
      <c r="S1490" t="str">
        <f>_xlfn.XLOOKUP(Pipeline_tbl[[#This Row],[Created_Date]],Dim_Date!A:A,Dim_Date!H:H)</f>
        <v>Nov 2025</v>
      </c>
      <c r="T1490" t="str">
        <f>IF(Pipeline_tbl[[#This Row],[Closed_Date]]=0,"",(_xlfn.XLOOKUP(Pipeline_tbl[[#This Row],[Closed_Date]],Dim_Date!A:A,Dim_Date!H:H)))</f>
        <v>Dec 2025</v>
      </c>
      <c r="U1490">
        <f>IF(Pipeline_tbl[[#This Row],[Closed_Date]]=0,"",Pipeline_tbl[[#This Row],[Closed_Date]]-Pipeline_tbl[[#This Row],[Created_Date]])</f>
        <v>32</v>
      </c>
    </row>
    <row r="1491" spans="1:21" ht="15" customHeight="1" x14ac:dyDescent="0.2">
      <c r="A1491" t="s">
        <v>1797</v>
      </c>
      <c r="B1491" t="s">
        <v>249</v>
      </c>
      <c r="C1491" t="s">
        <v>54</v>
      </c>
      <c r="D1491" s="49">
        <v>45973</v>
      </c>
      <c r="E1491" s="49">
        <v>45977</v>
      </c>
      <c r="F1491" s="49">
        <v>45984</v>
      </c>
      <c r="G1491" s="49">
        <v>45994</v>
      </c>
      <c r="H1491" s="49">
        <v>46003</v>
      </c>
      <c r="I1491" s="49">
        <v>46008</v>
      </c>
      <c r="J1491" t="s">
        <v>49</v>
      </c>
      <c r="K1491" s="33">
        <v>8200</v>
      </c>
      <c r="L1491" t="s">
        <v>61</v>
      </c>
      <c r="M1491" t="str">
        <f>_xlfn.XLOOKUP(Pipeline_tbl[[#This Row],[Rep_ID]],Dim_Reps!A:A,Dim_Reps!K:K)</f>
        <v>EUR</v>
      </c>
      <c r="N1491" s="33">
        <f>(_xlfn.XLOOKUP(Pipeline_tbl[[#This Row],[Rate_Code_Generalized]],Lookups!A:A,Lookups!B:B))*Pipeline_tbl[[#This Row],[Pipeline_Amount_USD]]</f>
        <v>8200</v>
      </c>
      <c r="O1491" t="str">
        <f>_xlfn.XLOOKUP(Pipeline_tbl[[#This Row],[Rep_ID]],Dim_Reps!A:A,Dim_Reps!B:B)</f>
        <v>Ana Sato</v>
      </c>
      <c r="P1491" t="str">
        <f>_xlfn.XLOOKUP(Pipeline_tbl[[#This Row],[Rep_ID]],Dim_Reps!A:A,Dim_Reps!C:C)</f>
        <v>Mid-Market AE</v>
      </c>
      <c r="Q1491" t="str">
        <f>_xlfn.XLOOKUP(Pipeline_tbl[[#This Row],[Rep_ID]],Dim_Reps!A:A,Dim_Reps!D:D)</f>
        <v>Mid-Market</v>
      </c>
      <c r="R1491" t="str">
        <f>_xlfn.XLOOKUP(Pipeline_tbl[[#This Row],[Rep_ID]],Dim_Reps!A:A,Dim_Reps!E:E)</f>
        <v>APAC</v>
      </c>
      <c r="S1491" t="str">
        <f>_xlfn.XLOOKUP(Pipeline_tbl[[#This Row],[Created_Date]],Dim_Date!A:A,Dim_Date!H:H)</f>
        <v>Nov 2025</v>
      </c>
      <c r="T1491" t="str">
        <f>IF(Pipeline_tbl[[#This Row],[Closed_Date]]=0,"",(_xlfn.XLOOKUP(Pipeline_tbl[[#This Row],[Closed_Date]],Dim_Date!A:A,Dim_Date!H:H)))</f>
        <v>Dec 2025</v>
      </c>
      <c r="U1491">
        <f>IF(Pipeline_tbl[[#This Row],[Closed_Date]]=0,"",Pipeline_tbl[[#This Row],[Closed_Date]]-Pipeline_tbl[[#This Row],[Created_Date]])</f>
        <v>35</v>
      </c>
    </row>
    <row r="1492" spans="1:21" ht="15" customHeight="1" x14ac:dyDescent="0.2">
      <c r="A1492" t="s">
        <v>1798</v>
      </c>
      <c r="B1492" t="s">
        <v>249</v>
      </c>
      <c r="C1492" t="s">
        <v>52</v>
      </c>
      <c r="D1492" s="49">
        <v>45985</v>
      </c>
      <c r="E1492" s="49">
        <v>45987</v>
      </c>
      <c r="F1492" s="49">
        <v>45992</v>
      </c>
      <c r="G1492" s="49">
        <v>45999</v>
      </c>
      <c r="H1492" s="49">
        <v>46005</v>
      </c>
      <c r="I1492" s="49">
        <v>46009</v>
      </c>
      <c r="J1492" t="s">
        <v>47</v>
      </c>
      <c r="K1492" s="33">
        <v>10800</v>
      </c>
      <c r="M1492" t="str">
        <f>_xlfn.XLOOKUP(Pipeline_tbl[[#This Row],[Rep_ID]],Dim_Reps!A:A,Dim_Reps!K:K)</f>
        <v>EUR</v>
      </c>
      <c r="N1492" s="33">
        <f>(_xlfn.XLOOKUP(Pipeline_tbl[[#This Row],[Rate_Code_Generalized]],Lookups!A:A,Lookups!B:B))*Pipeline_tbl[[#This Row],[Pipeline_Amount_USD]]</f>
        <v>10800</v>
      </c>
      <c r="O1492" t="str">
        <f>_xlfn.XLOOKUP(Pipeline_tbl[[#This Row],[Rep_ID]],Dim_Reps!A:A,Dim_Reps!B:B)</f>
        <v>Ana Sato</v>
      </c>
      <c r="P1492" t="str">
        <f>_xlfn.XLOOKUP(Pipeline_tbl[[#This Row],[Rep_ID]],Dim_Reps!A:A,Dim_Reps!C:C)</f>
        <v>Mid-Market AE</v>
      </c>
      <c r="Q1492" t="str">
        <f>_xlfn.XLOOKUP(Pipeline_tbl[[#This Row],[Rep_ID]],Dim_Reps!A:A,Dim_Reps!D:D)</f>
        <v>Mid-Market</v>
      </c>
      <c r="R1492" t="str">
        <f>_xlfn.XLOOKUP(Pipeline_tbl[[#This Row],[Rep_ID]],Dim_Reps!A:A,Dim_Reps!E:E)</f>
        <v>APAC</v>
      </c>
      <c r="S1492" t="str">
        <f>_xlfn.XLOOKUP(Pipeline_tbl[[#This Row],[Created_Date]],Dim_Date!A:A,Dim_Date!H:H)</f>
        <v>Nov 2025</v>
      </c>
      <c r="T1492" t="str">
        <f>IF(Pipeline_tbl[[#This Row],[Closed_Date]]=0,"",(_xlfn.XLOOKUP(Pipeline_tbl[[#This Row],[Closed_Date]],Dim_Date!A:A,Dim_Date!H:H)))</f>
        <v>Dec 2025</v>
      </c>
      <c r="U1492">
        <f>IF(Pipeline_tbl[[#This Row],[Closed_Date]]=0,"",Pipeline_tbl[[#This Row],[Closed_Date]]-Pipeline_tbl[[#This Row],[Created_Date]])</f>
        <v>24</v>
      </c>
    </row>
    <row r="1493" spans="1:21" ht="15" customHeight="1" x14ac:dyDescent="0.2">
      <c r="A1493" t="s">
        <v>1799</v>
      </c>
      <c r="B1493" t="s">
        <v>249</v>
      </c>
      <c r="C1493" t="s">
        <v>53</v>
      </c>
      <c r="D1493" s="49">
        <v>45973</v>
      </c>
      <c r="E1493" s="49">
        <v>45977</v>
      </c>
      <c r="F1493" s="49">
        <v>45984</v>
      </c>
      <c r="G1493" s="49">
        <v>45994</v>
      </c>
      <c r="H1493" s="49">
        <v>46003</v>
      </c>
      <c r="I1493" s="49">
        <v>46008</v>
      </c>
      <c r="J1493" t="s">
        <v>49</v>
      </c>
      <c r="K1493" s="33">
        <v>8400</v>
      </c>
      <c r="L1493" t="s">
        <v>60</v>
      </c>
      <c r="M1493" t="str">
        <f>_xlfn.XLOOKUP(Pipeline_tbl[[#This Row],[Rep_ID]],Dim_Reps!A:A,Dim_Reps!K:K)</f>
        <v>EUR</v>
      </c>
      <c r="N1493" s="33">
        <f>(_xlfn.XLOOKUP(Pipeline_tbl[[#This Row],[Rate_Code_Generalized]],Lookups!A:A,Lookups!B:B))*Pipeline_tbl[[#This Row],[Pipeline_Amount_USD]]</f>
        <v>8400</v>
      </c>
      <c r="O1493" t="str">
        <f>_xlfn.XLOOKUP(Pipeline_tbl[[#This Row],[Rep_ID]],Dim_Reps!A:A,Dim_Reps!B:B)</f>
        <v>Ana Sato</v>
      </c>
      <c r="P1493" t="str">
        <f>_xlfn.XLOOKUP(Pipeline_tbl[[#This Row],[Rep_ID]],Dim_Reps!A:A,Dim_Reps!C:C)</f>
        <v>Mid-Market AE</v>
      </c>
      <c r="Q1493" t="str">
        <f>_xlfn.XLOOKUP(Pipeline_tbl[[#This Row],[Rep_ID]],Dim_Reps!A:A,Dim_Reps!D:D)</f>
        <v>Mid-Market</v>
      </c>
      <c r="R1493" t="str">
        <f>_xlfn.XLOOKUP(Pipeline_tbl[[#This Row],[Rep_ID]],Dim_Reps!A:A,Dim_Reps!E:E)</f>
        <v>APAC</v>
      </c>
      <c r="S1493" t="str">
        <f>_xlfn.XLOOKUP(Pipeline_tbl[[#This Row],[Created_Date]],Dim_Date!A:A,Dim_Date!H:H)</f>
        <v>Nov 2025</v>
      </c>
      <c r="T1493" t="str">
        <f>IF(Pipeline_tbl[[#This Row],[Closed_Date]]=0,"",(_xlfn.XLOOKUP(Pipeline_tbl[[#This Row],[Closed_Date]],Dim_Date!A:A,Dim_Date!H:H)))</f>
        <v>Dec 2025</v>
      </c>
      <c r="U1493">
        <f>IF(Pipeline_tbl[[#This Row],[Closed_Date]]=0,"",Pipeline_tbl[[#This Row],[Closed_Date]]-Pipeline_tbl[[#This Row],[Created_Date]])</f>
        <v>35</v>
      </c>
    </row>
    <row r="1494" spans="1:21" ht="15" customHeight="1" x14ac:dyDescent="0.2">
      <c r="A1494" t="s">
        <v>1800</v>
      </c>
      <c r="B1494" t="s">
        <v>249</v>
      </c>
      <c r="C1494" t="s">
        <v>54</v>
      </c>
      <c r="D1494" s="49">
        <v>45964</v>
      </c>
      <c r="E1494" s="49">
        <v>45967</v>
      </c>
      <c r="F1494" s="49">
        <v>45974</v>
      </c>
      <c r="G1494" s="49">
        <v>45984</v>
      </c>
      <c r="H1494" s="49">
        <v>45992</v>
      </c>
      <c r="I1494" s="49">
        <v>45997</v>
      </c>
      <c r="J1494" t="s">
        <v>49</v>
      </c>
      <c r="K1494" s="33">
        <v>8800</v>
      </c>
      <c r="L1494" t="s">
        <v>60</v>
      </c>
      <c r="M1494" t="str">
        <f>_xlfn.XLOOKUP(Pipeline_tbl[[#This Row],[Rep_ID]],Dim_Reps!A:A,Dim_Reps!K:K)</f>
        <v>EUR</v>
      </c>
      <c r="N1494" s="33">
        <f>(_xlfn.XLOOKUP(Pipeline_tbl[[#This Row],[Rate_Code_Generalized]],Lookups!A:A,Lookups!B:B))*Pipeline_tbl[[#This Row],[Pipeline_Amount_USD]]</f>
        <v>8800</v>
      </c>
      <c r="O1494" t="str">
        <f>_xlfn.XLOOKUP(Pipeline_tbl[[#This Row],[Rep_ID]],Dim_Reps!A:A,Dim_Reps!B:B)</f>
        <v>Ana Sato</v>
      </c>
      <c r="P1494" t="str">
        <f>_xlfn.XLOOKUP(Pipeline_tbl[[#This Row],[Rep_ID]],Dim_Reps!A:A,Dim_Reps!C:C)</f>
        <v>Mid-Market AE</v>
      </c>
      <c r="Q1494" t="str">
        <f>_xlfn.XLOOKUP(Pipeline_tbl[[#This Row],[Rep_ID]],Dim_Reps!A:A,Dim_Reps!D:D)</f>
        <v>Mid-Market</v>
      </c>
      <c r="R1494" t="str">
        <f>_xlfn.XLOOKUP(Pipeline_tbl[[#This Row],[Rep_ID]],Dim_Reps!A:A,Dim_Reps!E:E)</f>
        <v>APAC</v>
      </c>
      <c r="S1494" t="str">
        <f>_xlfn.XLOOKUP(Pipeline_tbl[[#This Row],[Created_Date]],Dim_Date!A:A,Dim_Date!H:H)</f>
        <v>Nov 2025</v>
      </c>
      <c r="T1494" t="str">
        <f>IF(Pipeline_tbl[[#This Row],[Closed_Date]]=0,"",(_xlfn.XLOOKUP(Pipeline_tbl[[#This Row],[Closed_Date]],Dim_Date!A:A,Dim_Date!H:H)))</f>
        <v>Dec 2025</v>
      </c>
      <c r="U1494">
        <f>IF(Pipeline_tbl[[#This Row],[Closed_Date]]=0,"",Pipeline_tbl[[#This Row],[Closed_Date]]-Pipeline_tbl[[#This Row],[Created_Date]])</f>
        <v>33</v>
      </c>
    </row>
    <row r="1495" spans="1:21" ht="15" customHeight="1" x14ac:dyDescent="0.2">
      <c r="A1495" t="s">
        <v>1801</v>
      </c>
      <c r="B1495" t="s">
        <v>249</v>
      </c>
      <c r="C1495" t="s">
        <v>52</v>
      </c>
      <c r="D1495" s="49">
        <v>45973</v>
      </c>
      <c r="E1495" s="49">
        <v>45976</v>
      </c>
      <c r="F1495" s="49">
        <v>45983</v>
      </c>
      <c r="G1495" s="49">
        <v>45993</v>
      </c>
      <c r="H1495" s="49">
        <v>46001</v>
      </c>
      <c r="I1495" s="49">
        <v>46006</v>
      </c>
      <c r="J1495" t="s">
        <v>49</v>
      </c>
      <c r="K1495" s="33">
        <v>26800</v>
      </c>
      <c r="L1495" t="s">
        <v>60</v>
      </c>
      <c r="M1495" t="str">
        <f>_xlfn.XLOOKUP(Pipeline_tbl[[#This Row],[Rep_ID]],Dim_Reps!A:A,Dim_Reps!K:K)</f>
        <v>EUR</v>
      </c>
      <c r="N1495" s="33">
        <f>(_xlfn.XLOOKUP(Pipeline_tbl[[#This Row],[Rate_Code_Generalized]],Lookups!A:A,Lookups!B:B))*Pipeline_tbl[[#This Row],[Pipeline_Amount_USD]]</f>
        <v>26800</v>
      </c>
      <c r="O1495" t="str">
        <f>_xlfn.XLOOKUP(Pipeline_tbl[[#This Row],[Rep_ID]],Dim_Reps!A:A,Dim_Reps!B:B)</f>
        <v>Ana Sato</v>
      </c>
      <c r="P1495" t="str">
        <f>_xlfn.XLOOKUP(Pipeline_tbl[[#This Row],[Rep_ID]],Dim_Reps!A:A,Dim_Reps!C:C)</f>
        <v>Mid-Market AE</v>
      </c>
      <c r="Q1495" t="str">
        <f>_xlfn.XLOOKUP(Pipeline_tbl[[#This Row],[Rep_ID]],Dim_Reps!A:A,Dim_Reps!D:D)</f>
        <v>Mid-Market</v>
      </c>
      <c r="R1495" t="str">
        <f>_xlfn.XLOOKUP(Pipeline_tbl[[#This Row],[Rep_ID]],Dim_Reps!A:A,Dim_Reps!E:E)</f>
        <v>APAC</v>
      </c>
      <c r="S1495" t="str">
        <f>_xlfn.XLOOKUP(Pipeline_tbl[[#This Row],[Created_Date]],Dim_Date!A:A,Dim_Date!H:H)</f>
        <v>Nov 2025</v>
      </c>
      <c r="T1495" t="str">
        <f>IF(Pipeline_tbl[[#This Row],[Closed_Date]]=0,"",(_xlfn.XLOOKUP(Pipeline_tbl[[#This Row],[Closed_Date]],Dim_Date!A:A,Dim_Date!H:H)))</f>
        <v>Dec 2025</v>
      </c>
      <c r="U1495">
        <f>IF(Pipeline_tbl[[#This Row],[Closed_Date]]=0,"",Pipeline_tbl[[#This Row],[Closed_Date]]-Pipeline_tbl[[#This Row],[Created_Date]])</f>
        <v>33</v>
      </c>
    </row>
    <row r="1496" spans="1:21" ht="15" customHeight="1" x14ac:dyDescent="0.2">
      <c r="A1496" t="s">
        <v>1802</v>
      </c>
      <c r="B1496" t="s">
        <v>249</v>
      </c>
      <c r="C1496" t="s">
        <v>54</v>
      </c>
      <c r="D1496" s="49">
        <v>45969</v>
      </c>
      <c r="E1496" s="49">
        <v>45973</v>
      </c>
      <c r="F1496" s="49">
        <v>45982</v>
      </c>
      <c r="I1496" s="49">
        <v>46011</v>
      </c>
      <c r="J1496" t="s">
        <v>49</v>
      </c>
      <c r="K1496" s="33">
        <v>11000</v>
      </c>
      <c r="L1496" t="s">
        <v>61</v>
      </c>
      <c r="M1496" t="str">
        <f>_xlfn.XLOOKUP(Pipeline_tbl[[#This Row],[Rep_ID]],Dim_Reps!A:A,Dim_Reps!K:K)</f>
        <v>EUR</v>
      </c>
      <c r="N1496" s="33">
        <f>(_xlfn.XLOOKUP(Pipeline_tbl[[#This Row],[Rate_Code_Generalized]],Lookups!A:A,Lookups!B:B))*Pipeline_tbl[[#This Row],[Pipeline_Amount_USD]]</f>
        <v>11000</v>
      </c>
      <c r="O1496" t="str">
        <f>_xlfn.XLOOKUP(Pipeline_tbl[[#This Row],[Rep_ID]],Dim_Reps!A:A,Dim_Reps!B:B)</f>
        <v>Ana Sato</v>
      </c>
      <c r="P1496" t="str">
        <f>_xlfn.XLOOKUP(Pipeline_tbl[[#This Row],[Rep_ID]],Dim_Reps!A:A,Dim_Reps!C:C)</f>
        <v>Mid-Market AE</v>
      </c>
      <c r="Q1496" t="str">
        <f>_xlfn.XLOOKUP(Pipeline_tbl[[#This Row],[Rep_ID]],Dim_Reps!A:A,Dim_Reps!D:D)</f>
        <v>Mid-Market</v>
      </c>
      <c r="R1496" t="str">
        <f>_xlfn.XLOOKUP(Pipeline_tbl[[#This Row],[Rep_ID]],Dim_Reps!A:A,Dim_Reps!E:E)</f>
        <v>APAC</v>
      </c>
      <c r="S1496" t="str">
        <f>_xlfn.XLOOKUP(Pipeline_tbl[[#This Row],[Created_Date]],Dim_Date!A:A,Dim_Date!H:H)</f>
        <v>Nov 2025</v>
      </c>
      <c r="T1496" t="str">
        <f>IF(Pipeline_tbl[[#This Row],[Closed_Date]]=0,"",(_xlfn.XLOOKUP(Pipeline_tbl[[#This Row],[Closed_Date]],Dim_Date!A:A,Dim_Date!H:H)))</f>
        <v>Dec 2025</v>
      </c>
      <c r="U1496">
        <f>IF(Pipeline_tbl[[#This Row],[Closed_Date]]=0,"",Pipeline_tbl[[#This Row],[Closed_Date]]-Pipeline_tbl[[#This Row],[Created_Date]])</f>
        <v>42</v>
      </c>
    </row>
    <row r="1497" spans="1:21" ht="15" customHeight="1" x14ac:dyDescent="0.2">
      <c r="A1497" t="s">
        <v>1803</v>
      </c>
      <c r="B1497" t="s">
        <v>213</v>
      </c>
      <c r="C1497" t="s">
        <v>56</v>
      </c>
      <c r="D1497" s="49">
        <v>45986</v>
      </c>
      <c r="E1497" s="49">
        <v>45988</v>
      </c>
      <c r="F1497" s="49">
        <v>45992</v>
      </c>
      <c r="G1497" s="49">
        <v>45998</v>
      </c>
      <c r="H1497" s="49">
        <v>46003</v>
      </c>
      <c r="I1497" s="49">
        <v>46006</v>
      </c>
      <c r="J1497" t="s">
        <v>47</v>
      </c>
      <c r="K1497" s="33">
        <v>3300</v>
      </c>
      <c r="M1497" t="str">
        <f>_xlfn.XLOOKUP(Pipeline_tbl[[#This Row],[Rep_ID]],Dim_Reps!A:A,Dim_Reps!K:K)</f>
        <v>EUR</v>
      </c>
      <c r="N1497" s="33">
        <f>(_xlfn.XLOOKUP(Pipeline_tbl[[#This Row],[Rate_Code_Generalized]],Lookups!A:A,Lookups!B:B))*Pipeline_tbl[[#This Row],[Pipeline_Amount_USD]]</f>
        <v>3300</v>
      </c>
      <c r="O1497" t="str">
        <f>_xlfn.XLOOKUP(Pipeline_tbl[[#This Row],[Rep_ID]],Dim_Reps!A:A,Dim_Reps!B:B)</f>
        <v>Jamie Silva</v>
      </c>
      <c r="P1497" t="str">
        <f>_xlfn.XLOOKUP(Pipeline_tbl[[#This Row],[Rep_ID]],Dim_Reps!A:A,Dim_Reps!C:C)</f>
        <v>SDR / Inside Sales Rep</v>
      </c>
      <c r="Q1497" t="str">
        <f>_xlfn.XLOOKUP(Pipeline_tbl[[#This Row],[Rep_ID]],Dim_Reps!A:A,Dim_Reps!D:D)</f>
        <v>Inside Sales</v>
      </c>
      <c r="R1497" t="str">
        <f>_xlfn.XLOOKUP(Pipeline_tbl[[#This Row],[Rep_ID]],Dim_Reps!A:A,Dim_Reps!E:E)</f>
        <v>EMEA</v>
      </c>
      <c r="S1497" t="str">
        <f>_xlfn.XLOOKUP(Pipeline_tbl[[#This Row],[Created_Date]],Dim_Date!A:A,Dim_Date!H:H)</f>
        <v>Nov 2025</v>
      </c>
      <c r="T1497" t="str">
        <f>IF(Pipeline_tbl[[#This Row],[Closed_Date]]=0,"",(_xlfn.XLOOKUP(Pipeline_tbl[[#This Row],[Closed_Date]],Dim_Date!A:A,Dim_Date!H:H)))</f>
        <v>Dec 2025</v>
      </c>
      <c r="U1497">
        <f>IF(Pipeline_tbl[[#This Row],[Closed_Date]]=0,"",Pipeline_tbl[[#This Row],[Closed_Date]]-Pipeline_tbl[[#This Row],[Created_Date]])</f>
        <v>20</v>
      </c>
    </row>
    <row r="1498" spans="1:21" ht="15" customHeight="1" x14ac:dyDescent="0.2">
      <c r="A1498" t="s">
        <v>1804</v>
      </c>
      <c r="B1498" t="s">
        <v>213</v>
      </c>
      <c r="C1498" t="s">
        <v>52</v>
      </c>
      <c r="D1498" s="49">
        <v>45982</v>
      </c>
      <c r="E1498" s="49">
        <v>45984</v>
      </c>
      <c r="F1498" s="49">
        <v>45987</v>
      </c>
      <c r="G1498" s="49">
        <v>45992</v>
      </c>
      <c r="I1498" s="49">
        <v>45999</v>
      </c>
      <c r="J1498" t="s">
        <v>49</v>
      </c>
      <c r="K1498" s="33">
        <v>4600</v>
      </c>
      <c r="L1498" t="s">
        <v>61</v>
      </c>
      <c r="M1498" t="str">
        <f>_xlfn.XLOOKUP(Pipeline_tbl[[#This Row],[Rep_ID]],Dim_Reps!A:A,Dim_Reps!K:K)</f>
        <v>EUR</v>
      </c>
      <c r="N1498" s="33">
        <f>(_xlfn.XLOOKUP(Pipeline_tbl[[#This Row],[Rate_Code_Generalized]],Lookups!A:A,Lookups!B:B))*Pipeline_tbl[[#This Row],[Pipeline_Amount_USD]]</f>
        <v>4600</v>
      </c>
      <c r="O1498" t="str">
        <f>_xlfn.XLOOKUP(Pipeline_tbl[[#This Row],[Rep_ID]],Dim_Reps!A:A,Dim_Reps!B:B)</f>
        <v>Jamie Silva</v>
      </c>
      <c r="P1498" t="str">
        <f>_xlfn.XLOOKUP(Pipeline_tbl[[#This Row],[Rep_ID]],Dim_Reps!A:A,Dim_Reps!C:C)</f>
        <v>SDR / Inside Sales Rep</v>
      </c>
      <c r="Q1498" t="str">
        <f>_xlfn.XLOOKUP(Pipeline_tbl[[#This Row],[Rep_ID]],Dim_Reps!A:A,Dim_Reps!D:D)</f>
        <v>Inside Sales</v>
      </c>
      <c r="R1498" t="str">
        <f>_xlfn.XLOOKUP(Pipeline_tbl[[#This Row],[Rep_ID]],Dim_Reps!A:A,Dim_Reps!E:E)</f>
        <v>EMEA</v>
      </c>
      <c r="S1498" t="str">
        <f>_xlfn.XLOOKUP(Pipeline_tbl[[#This Row],[Created_Date]],Dim_Date!A:A,Dim_Date!H:H)</f>
        <v>Nov 2025</v>
      </c>
      <c r="T1498" t="str">
        <f>IF(Pipeline_tbl[[#This Row],[Closed_Date]]=0,"",(_xlfn.XLOOKUP(Pipeline_tbl[[#This Row],[Closed_Date]],Dim_Date!A:A,Dim_Date!H:H)))</f>
        <v>Dec 2025</v>
      </c>
      <c r="U1498">
        <f>IF(Pipeline_tbl[[#This Row],[Closed_Date]]=0,"",Pipeline_tbl[[#This Row],[Closed_Date]]-Pipeline_tbl[[#This Row],[Created_Date]])</f>
        <v>17</v>
      </c>
    </row>
    <row r="1499" spans="1:21" ht="15" customHeight="1" x14ac:dyDescent="0.2">
      <c r="A1499" t="s">
        <v>1805</v>
      </c>
      <c r="B1499" t="s">
        <v>213</v>
      </c>
      <c r="C1499" t="s">
        <v>52</v>
      </c>
      <c r="D1499" s="49">
        <v>45973</v>
      </c>
      <c r="E1499" s="49">
        <v>45975</v>
      </c>
      <c r="F1499" s="49">
        <v>45979</v>
      </c>
      <c r="I1499" s="49">
        <v>45993</v>
      </c>
      <c r="J1499" t="s">
        <v>49</v>
      </c>
      <c r="K1499" s="33">
        <v>2700</v>
      </c>
      <c r="L1499" t="s">
        <v>62</v>
      </c>
      <c r="M1499" t="str">
        <f>_xlfn.XLOOKUP(Pipeline_tbl[[#This Row],[Rep_ID]],Dim_Reps!A:A,Dim_Reps!K:K)</f>
        <v>EUR</v>
      </c>
      <c r="N1499" s="33">
        <f>(_xlfn.XLOOKUP(Pipeline_tbl[[#This Row],[Rate_Code_Generalized]],Lookups!A:A,Lookups!B:B))*Pipeline_tbl[[#This Row],[Pipeline_Amount_USD]]</f>
        <v>2700</v>
      </c>
      <c r="O1499" t="str">
        <f>_xlfn.XLOOKUP(Pipeline_tbl[[#This Row],[Rep_ID]],Dim_Reps!A:A,Dim_Reps!B:B)</f>
        <v>Jamie Silva</v>
      </c>
      <c r="P1499" t="str">
        <f>_xlfn.XLOOKUP(Pipeline_tbl[[#This Row],[Rep_ID]],Dim_Reps!A:A,Dim_Reps!C:C)</f>
        <v>SDR / Inside Sales Rep</v>
      </c>
      <c r="Q1499" t="str">
        <f>_xlfn.XLOOKUP(Pipeline_tbl[[#This Row],[Rep_ID]],Dim_Reps!A:A,Dim_Reps!D:D)</f>
        <v>Inside Sales</v>
      </c>
      <c r="R1499" t="str">
        <f>_xlfn.XLOOKUP(Pipeline_tbl[[#This Row],[Rep_ID]],Dim_Reps!A:A,Dim_Reps!E:E)</f>
        <v>EMEA</v>
      </c>
      <c r="S1499" t="str">
        <f>_xlfn.XLOOKUP(Pipeline_tbl[[#This Row],[Created_Date]],Dim_Date!A:A,Dim_Date!H:H)</f>
        <v>Nov 2025</v>
      </c>
      <c r="T1499" t="str">
        <f>IF(Pipeline_tbl[[#This Row],[Closed_Date]]=0,"",(_xlfn.XLOOKUP(Pipeline_tbl[[#This Row],[Closed_Date]],Dim_Date!A:A,Dim_Date!H:H)))</f>
        <v>Dec 2025</v>
      </c>
      <c r="U1499">
        <f>IF(Pipeline_tbl[[#This Row],[Closed_Date]]=0,"",Pipeline_tbl[[#This Row],[Closed_Date]]-Pipeline_tbl[[#This Row],[Created_Date]])</f>
        <v>20</v>
      </c>
    </row>
    <row r="1500" spans="1:21" ht="15" customHeight="1" x14ac:dyDescent="0.2">
      <c r="A1500" t="s">
        <v>1806</v>
      </c>
      <c r="B1500" t="s">
        <v>213</v>
      </c>
      <c r="C1500" t="s">
        <v>52</v>
      </c>
      <c r="D1500" s="49">
        <v>45973</v>
      </c>
      <c r="E1500" s="49">
        <v>45975</v>
      </c>
      <c r="F1500" s="49">
        <v>45979</v>
      </c>
      <c r="G1500" s="49">
        <v>45984</v>
      </c>
      <c r="I1500" s="49">
        <v>45992</v>
      </c>
      <c r="J1500" t="s">
        <v>49</v>
      </c>
      <c r="K1500" s="33">
        <v>5000</v>
      </c>
      <c r="L1500" t="s">
        <v>61</v>
      </c>
      <c r="M1500" t="str">
        <f>_xlfn.XLOOKUP(Pipeline_tbl[[#This Row],[Rep_ID]],Dim_Reps!A:A,Dim_Reps!K:K)</f>
        <v>EUR</v>
      </c>
      <c r="N1500" s="33">
        <f>(_xlfn.XLOOKUP(Pipeline_tbl[[#This Row],[Rate_Code_Generalized]],Lookups!A:A,Lookups!B:B))*Pipeline_tbl[[#This Row],[Pipeline_Amount_USD]]</f>
        <v>5000</v>
      </c>
      <c r="O1500" t="str">
        <f>_xlfn.XLOOKUP(Pipeline_tbl[[#This Row],[Rep_ID]],Dim_Reps!A:A,Dim_Reps!B:B)</f>
        <v>Jamie Silva</v>
      </c>
      <c r="P1500" t="str">
        <f>_xlfn.XLOOKUP(Pipeline_tbl[[#This Row],[Rep_ID]],Dim_Reps!A:A,Dim_Reps!C:C)</f>
        <v>SDR / Inside Sales Rep</v>
      </c>
      <c r="Q1500" t="str">
        <f>_xlfn.XLOOKUP(Pipeline_tbl[[#This Row],[Rep_ID]],Dim_Reps!A:A,Dim_Reps!D:D)</f>
        <v>Inside Sales</v>
      </c>
      <c r="R1500" t="str">
        <f>_xlfn.XLOOKUP(Pipeline_tbl[[#This Row],[Rep_ID]],Dim_Reps!A:A,Dim_Reps!E:E)</f>
        <v>EMEA</v>
      </c>
      <c r="S1500" t="str">
        <f>_xlfn.XLOOKUP(Pipeline_tbl[[#This Row],[Created_Date]],Dim_Date!A:A,Dim_Date!H:H)</f>
        <v>Nov 2025</v>
      </c>
      <c r="T1500" t="str">
        <f>IF(Pipeline_tbl[[#This Row],[Closed_Date]]=0,"",(_xlfn.XLOOKUP(Pipeline_tbl[[#This Row],[Closed_Date]],Dim_Date!A:A,Dim_Date!H:H)))</f>
        <v>Dec 2025</v>
      </c>
      <c r="U1500">
        <f>IF(Pipeline_tbl[[#This Row],[Closed_Date]]=0,"",Pipeline_tbl[[#This Row],[Closed_Date]]-Pipeline_tbl[[#This Row],[Created_Date]])</f>
        <v>19</v>
      </c>
    </row>
    <row r="1501" spans="1:21" ht="15" customHeight="1" x14ac:dyDescent="0.2">
      <c r="A1501" t="s">
        <v>1807</v>
      </c>
      <c r="B1501" t="s">
        <v>213</v>
      </c>
      <c r="C1501" t="s">
        <v>52</v>
      </c>
      <c r="D1501" s="49">
        <v>45974</v>
      </c>
      <c r="E1501" s="49">
        <v>45977</v>
      </c>
      <c r="I1501" s="49">
        <v>46002</v>
      </c>
      <c r="J1501" t="s">
        <v>49</v>
      </c>
      <c r="K1501" s="33">
        <v>2000</v>
      </c>
      <c r="L1501" t="s">
        <v>61</v>
      </c>
      <c r="M1501" t="str">
        <f>_xlfn.XLOOKUP(Pipeline_tbl[[#This Row],[Rep_ID]],Dim_Reps!A:A,Dim_Reps!K:K)</f>
        <v>EUR</v>
      </c>
      <c r="N1501" s="33">
        <f>(_xlfn.XLOOKUP(Pipeline_tbl[[#This Row],[Rate_Code_Generalized]],Lookups!A:A,Lookups!B:B))*Pipeline_tbl[[#This Row],[Pipeline_Amount_USD]]</f>
        <v>2000</v>
      </c>
      <c r="O1501" t="str">
        <f>_xlfn.XLOOKUP(Pipeline_tbl[[#This Row],[Rep_ID]],Dim_Reps!A:A,Dim_Reps!B:B)</f>
        <v>Jamie Silva</v>
      </c>
      <c r="P1501" t="str">
        <f>_xlfn.XLOOKUP(Pipeline_tbl[[#This Row],[Rep_ID]],Dim_Reps!A:A,Dim_Reps!C:C)</f>
        <v>SDR / Inside Sales Rep</v>
      </c>
      <c r="Q1501" t="str">
        <f>_xlfn.XLOOKUP(Pipeline_tbl[[#This Row],[Rep_ID]],Dim_Reps!A:A,Dim_Reps!D:D)</f>
        <v>Inside Sales</v>
      </c>
      <c r="R1501" t="str">
        <f>_xlfn.XLOOKUP(Pipeline_tbl[[#This Row],[Rep_ID]],Dim_Reps!A:A,Dim_Reps!E:E)</f>
        <v>EMEA</v>
      </c>
      <c r="S1501" t="str">
        <f>_xlfn.XLOOKUP(Pipeline_tbl[[#This Row],[Created_Date]],Dim_Date!A:A,Dim_Date!H:H)</f>
        <v>Nov 2025</v>
      </c>
      <c r="T1501" t="str">
        <f>IF(Pipeline_tbl[[#This Row],[Closed_Date]]=0,"",(_xlfn.XLOOKUP(Pipeline_tbl[[#This Row],[Closed_Date]],Dim_Date!A:A,Dim_Date!H:H)))</f>
        <v>Dec 2025</v>
      </c>
      <c r="U1501">
        <f>IF(Pipeline_tbl[[#This Row],[Closed_Date]]=0,"",Pipeline_tbl[[#This Row],[Closed_Date]]-Pipeline_tbl[[#This Row],[Created_Date]])</f>
        <v>28</v>
      </c>
    </row>
    <row r="1502" spans="1:21" ht="15" customHeight="1" x14ac:dyDescent="0.2">
      <c r="A1502" t="s">
        <v>1808</v>
      </c>
      <c r="B1502" t="s">
        <v>213</v>
      </c>
      <c r="C1502" t="s">
        <v>52</v>
      </c>
      <c r="D1502" s="49">
        <v>45980</v>
      </c>
      <c r="E1502" s="49">
        <v>45982</v>
      </c>
      <c r="F1502" s="49">
        <v>45986</v>
      </c>
      <c r="G1502" s="49">
        <v>45993</v>
      </c>
      <c r="H1502" s="49">
        <v>45998</v>
      </c>
      <c r="I1502" s="49">
        <v>46001</v>
      </c>
      <c r="J1502" t="s">
        <v>47</v>
      </c>
      <c r="K1502" s="33">
        <v>3800</v>
      </c>
      <c r="M1502" t="str">
        <f>_xlfn.XLOOKUP(Pipeline_tbl[[#This Row],[Rep_ID]],Dim_Reps!A:A,Dim_Reps!K:K)</f>
        <v>EUR</v>
      </c>
      <c r="N1502" s="33">
        <f>(_xlfn.XLOOKUP(Pipeline_tbl[[#This Row],[Rate_Code_Generalized]],Lookups!A:A,Lookups!B:B))*Pipeline_tbl[[#This Row],[Pipeline_Amount_USD]]</f>
        <v>3800</v>
      </c>
      <c r="O1502" t="str">
        <f>_xlfn.XLOOKUP(Pipeline_tbl[[#This Row],[Rep_ID]],Dim_Reps!A:A,Dim_Reps!B:B)</f>
        <v>Jamie Silva</v>
      </c>
      <c r="P1502" t="str">
        <f>_xlfn.XLOOKUP(Pipeline_tbl[[#This Row],[Rep_ID]],Dim_Reps!A:A,Dim_Reps!C:C)</f>
        <v>SDR / Inside Sales Rep</v>
      </c>
      <c r="Q1502" t="str">
        <f>_xlfn.XLOOKUP(Pipeline_tbl[[#This Row],[Rep_ID]],Dim_Reps!A:A,Dim_Reps!D:D)</f>
        <v>Inside Sales</v>
      </c>
      <c r="R1502" t="str">
        <f>_xlfn.XLOOKUP(Pipeline_tbl[[#This Row],[Rep_ID]],Dim_Reps!A:A,Dim_Reps!E:E)</f>
        <v>EMEA</v>
      </c>
      <c r="S1502" t="str">
        <f>_xlfn.XLOOKUP(Pipeline_tbl[[#This Row],[Created_Date]],Dim_Date!A:A,Dim_Date!H:H)</f>
        <v>Nov 2025</v>
      </c>
      <c r="T1502" t="str">
        <f>IF(Pipeline_tbl[[#This Row],[Closed_Date]]=0,"",(_xlfn.XLOOKUP(Pipeline_tbl[[#This Row],[Closed_Date]],Dim_Date!A:A,Dim_Date!H:H)))</f>
        <v>Dec 2025</v>
      </c>
      <c r="U1502">
        <f>IF(Pipeline_tbl[[#This Row],[Closed_Date]]=0,"",Pipeline_tbl[[#This Row],[Closed_Date]]-Pipeline_tbl[[#This Row],[Created_Date]])</f>
        <v>21</v>
      </c>
    </row>
    <row r="1503" spans="1:21" ht="15" customHeight="1" x14ac:dyDescent="0.2">
      <c r="A1503" t="s">
        <v>1809</v>
      </c>
      <c r="B1503" t="s">
        <v>213</v>
      </c>
      <c r="C1503" t="s">
        <v>53</v>
      </c>
      <c r="D1503" s="49">
        <v>45981</v>
      </c>
      <c r="E1503" s="49">
        <v>45984</v>
      </c>
      <c r="F1503" s="49">
        <v>45991</v>
      </c>
      <c r="G1503" s="49">
        <v>46001</v>
      </c>
      <c r="H1503" s="49">
        <v>46010</v>
      </c>
      <c r="I1503" s="49">
        <v>46015</v>
      </c>
      <c r="J1503" t="s">
        <v>49</v>
      </c>
      <c r="K1503" s="33">
        <v>2700</v>
      </c>
      <c r="L1503" t="s">
        <v>61</v>
      </c>
      <c r="M1503" t="str">
        <f>_xlfn.XLOOKUP(Pipeline_tbl[[#This Row],[Rep_ID]],Dim_Reps!A:A,Dim_Reps!K:K)</f>
        <v>EUR</v>
      </c>
      <c r="N1503" s="33">
        <f>(_xlfn.XLOOKUP(Pipeline_tbl[[#This Row],[Rate_Code_Generalized]],Lookups!A:A,Lookups!B:B))*Pipeline_tbl[[#This Row],[Pipeline_Amount_USD]]</f>
        <v>2700</v>
      </c>
      <c r="O1503" t="str">
        <f>_xlfn.XLOOKUP(Pipeline_tbl[[#This Row],[Rep_ID]],Dim_Reps!A:A,Dim_Reps!B:B)</f>
        <v>Jamie Silva</v>
      </c>
      <c r="P1503" t="str">
        <f>_xlfn.XLOOKUP(Pipeline_tbl[[#This Row],[Rep_ID]],Dim_Reps!A:A,Dim_Reps!C:C)</f>
        <v>SDR / Inside Sales Rep</v>
      </c>
      <c r="Q1503" t="str">
        <f>_xlfn.XLOOKUP(Pipeline_tbl[[#This Row],[Rep_ID]],Dim_Reps!A:A,Dim_Reps!D:D)</f>
        <v>Inside Sales</v>
      </c>
      <c r="R1503" t="str">
        <f>_xlfn.XLOOKUP(Pipeline_tbl[[#This Row],[Rep_ID]],Dim_Reps!A:A,Dim_Reps!E:E)</f>
        <v>EMEA</v>
      </c>
      <c r="S1503" t="str">
        <f>_xlfn.XLOOKUP(Pipeline_tbl[[#This Row],[Created_Date]],Dim_Date!A:A,Dim_Date!H:H)</f>
        <v>Nov 2025</v>
      </c>
      <c r="T1503" t="str">
        <f>IF(Pipeline_tbl[[#This Row],[Closed_Date]]=0,"",(_xlfn.XLOOKUP(Pipeline_tbl[[#This Row],[Closed_Date]],Dim_Date!A:A,Dim_Date!H:H)))</f>
        <v>Dec 2025</v>
      </c>
      <c r="U1503">
        <f>IF(Pipeline_tbl[[#This Row],[Closed_Date]]=0,"",Pipeline_tbl[[#This Row],[Closed_Date]]-Pipeline_tbl[[#This Row],[Created_Date]])</f>
        <v>34</v>
      </c>
    </row>
    <row r="1504" spans="1:21" ht="15" customHeight="1" x14ac:dyDescent="0.2">
      <c r="A1504" t="s">
        <v>1810</v>
      </c>
      <c r="B1504" t="s">
        <v>213</v>
      </c>
      <c r="C1504" t="s">
        <v>52</v>
      </c>
      <c r="D1504" s="49">
        <v>45983</v>
      </c>
      <c r="E1504" s="49">
        <v>45984</v>
      </c>
      <c r="F1504" s="49">
        <v>45986</v>
      </c>
      <c r="G1504" s="49">
        <v>45990</v>
      </c>
      <c r="H1504" s="49">
        <v>45992</v>
      </c>
      <c r="I1504" s="49">
        <v>45994</v>
      </c>
      <c r="J1504" t="s">
        <v>49</v>
      </c>
      <c r="K1504" s="33">
        <v>3900</v>
      </c>
      <c r="L1504" t="s">
        <v>60</v>
      </c>
      <c r="M1504" t="str">
        <f>_xlfn.XLOOKUP(Pipeline_tbl[[#This Row],[Rep_ID]],Dim_Reps!A:A,Dim_Reps!K:K)</f>
        <v>EUR</v>
      </c>
      <c r="N1504" s="33">
        <f>(_xlfn.XLOOKUP(Pipeline_tbl[[#This Row],[Rate_Code_Generalized]],Lookups!A:A,Lookups!B:B))*Pipeline_tbl[[#This Row],[Pipeline_Amount_USD]]</f>
        <v>3900</v>
      </c>
      <c r="O1504" t="str">
        <f>_xlfn.XLOOKUP(Pipeline_tbl[[#This Row],[Rep_ID]],Dim_Reps!A:A,Dim_Reps!B:B)</f>
        <v>Jamie Silva</v>
      </c>
      <c r="P1504" t="str">
        <f>_xlfn.XLOOKUP(Pipeline_tbl[[#This Row],[Rep_ID]],Dim_Reps!A:A,Dim_Reps!C:C)</f>
        <v>SDR / Inside Sales Rep</v>
      </c>
      <c r="Q1504" t="str">
        <f>_xlfn.XLOOKUP(Pipeline_tbl[[#This Row],[Rep_ID]],Dim_Reps!A:A,Dim_Reps!D:D)</f>
        <v>Inside Sales</v>
      </c>
      <c r="R1504" t="str">
        <f>_xlfn.XLOOKUP(Pipeline_tbl[[#This Row],[Rep_ID]],Dim_Reps!A:A,Dim_Reps!E:E)</f>
        <v>EMEA</v>
      </c>
      <c r="S1504" t="str">
        <f>_xlfn.XLOOKUP(Pipeline_tbl[[#This Row],[Created_Date]],Dim_Date!A:A,Dim_Date!H:H)</f>
        <v>Nov 2025</v>
      </c>
      <c r="T1504" t="str">
        <f>IF(Pipeline_tbl[[#This Row],[Closed_Date]]=0,"",(_xlfn.XLOOKUP(Pipeline_tbl[[#This Row],[Closed_Date]],Dim_Date!A:A,Dim_Date!H:H)))</f>
        <v>Dec 2025</v>
      </c>
      <c r="U1504">
        <f>IF(Pipeline_tbl[[#This Row],[Closed_Date]]=0,"",Pipeline_tbl[[#This Row],[Closed_Date]]-Pipeline_tbl[[#This Row],[Created_Date]])</f>
        <v>11</v>
      </c>
    </row>
    <row r="1505" spans="1:21" ht="15" customHeight="1" x14ac:dyDescent="0.2">
      <c r="A1505" t="s">
        <v>1811</v>
      </c>
      <c r="B1505" t="s">
        <v>213</v>
      </c>
      <c r="C1505" t="s">
        <v>56</v>
      </c>
      <c r="D1505" s="49">
        <v>45976</v>
      </c>
      <c r="E1505" s="49">
        <v>45979</v>
      </c>
      <c r="F1505" s="49">
        <v>45985</v>
      </c>
      <c r="G1505" s="49">
        <v>45995</v>
      </c>
      <c r="I1505" s="49">
        <v>46007</v>
      </c>
      <c r="J1505" t="s">
        <v>49</v>
      </c>
      <c r="K1505" s="33">
        <v>2900</v>
      </c>
      <c r="L1505" t="s">
        <v>61</v>
      </c>
      <c r="M1505" t="str">
        <f>_xlfn.XLOOKUP(Pipeline_tbl[[#This Row],[Rep_ID]],Dim_Reps!A:A,Dim_Reps!K:K)</f>
        <v>EUR</v>
      </c>
      <c r="N1505" s="33">
        <f>(_xlfn.XLOOKUP(Pipeline_tbl[[#This Row],[Rate_Code_Generalized]],Lookups!A:A,Lookups!B:B))*Pipeline_tbl[[#This Row],[Pipeline_Amount_USD]]</f>
        <v>2900</v>
      </c>
      <c r="O1505" t="str">
        <f>_xlfn.XLOOKUP(Pipeline_tbl[[#This Row],[Rep_ID]],Dim_Reps!A:A,Dim_Reps!B:B)</f>
        <v>Jamie Silva</v>
      </c>
      <c r="P1505" t="str">
        <f>_xlfn.XLOOKUP(Pipeline_tbl[[#This Row],[Rep_ID]],Dim_Reps!A:A,Dim_Reps!C:C)</f>
        <v>SDR / Inside Sales Rep</v>
      </c>
      <c r="Q1505" t="str">
        <f>_xlfn.XLOOKUP(Pipeline_tbl[[#This Row],[Rep_ID]],Dim_Reps!A:A,Dim_Reps!D:D)</f>
        <v>Inside Sales</v>
      </c>
      <c r="R1505" t="str">
        <f>_xlfn.XLOOKUP(Pipeline_tbl[[#This Row],[Rep_ID]],Dim_Reps!A:A,Dim_Reps!E:E)</f>
        <v>EMEA</v>
      </c>
      <c r="S1505" t="str">
        <f>_xlfn.XLOOKUP(Pipeline_tbl[[#This Row],[Created_Date]],Dim_Date!A:A,Dim_Date!H:H)</f>
        <v>Nov 2025</v>
      </c>
      <c r="T1505" t="str">
        <f>IF(Pipeline_tbl[[#This Row],[Closed_Date]]=0,"",(_xlfn.XLOOKUP(Pipeline_tbl[[#This Row],[Closed_Date]],Dim_Date!A:A,Dim_Date!H:H)))</f>
        <v>Dec 2025</v>
      </c>
      <c r="U1505">
        <f>IF(Pipeline_tbl[[#This Row],[Closed_Date]]=0,"",Pipeline_tbl[[#This Row],[Closed_Date]]-Pipeline_tbl[[#This Row],[Created_Date]])</f>
        <v>31</v>
      </c>
    </row>
    <row r="1506" spans="1:21" ht="15" customHeight="1" x14ac:dyDescent="0.2">
      <c r="A1506" t="s">
        <v>1812</v>
      </c>
      <c r="B1506" t="s">
        <v>253</v>
      </c>
      <c r="C1506" t="s">
        <v>52</v>
      </c>
      <c r="D1506" s="49">
        <v>45964</v>
      </c>
      <c r="E1506" s="49">
        <v>45968</v>
      </c>
      <c r="F1506" s="49">
        <v>45978</v>
      </c>
      <c r="G1506" s="49">
        <v>45991</v>
      </c>
      <c r="I1506" s="49">
        <v>46009</v>
      </c>
      <c r="J1506" t="s">
        <v>49</v>
      </c>
      <c r="K1506" s="33">
        <v>15900</v>
      </c>
      <c r="L1506" t="s">
        <v>60</v>
      </c>
      <c r="M1506" t="str">
        <f>_xlfn.XLOOKUP(Pipeline_tbl[[#This Row],[Rep_ID]],Dim_Reps!A:A,Dim_Reps!K:K)</f>
        <v>EUR</v>
      </c>
      <c r="N1506" s="33">
        <f>(_xlfn.XLOOKUP(Pipeline_tbl[[#This Row],[Rate_Code_Generalized]],Lookups!A:A,Lookups!B:B))*Pipeline_tbl[[#This Row],[Pipeline_Amount_USD]]</f>
        <v>15900</v>
      </c>
      <c r="O1506" t="str">
        <f>_xlfn.XLOOKUP(Pipeline_tbl[[#This Row],[Rep_ID]],Dim_Reps!A:A,Dim_Reps!B:B)</f>
        <v>Rafael Weber</v>
      </c>
      <c r="P1506" t="str">
        <f>_xlfn.XLOOKUP(Pipeline_tbl[[#This Row],[Rep_ID]],Dim_Reps!A:A,Dim_Reps!C:C)</f>
        <v>Mid-Market AE</v>
      </c>
      <c r="Q1506" t="str">
        <f>_xlfn.XLOOKUP(Pipeline_tbl[[#This Row],[Rep_ID]],Dim_Reps!A:A,Dim_Reps!D:D)</f>
        <v>Mid-Market</v>
      </c>
      <c r="R1506" t="str">
        <f>_xlfn.XLOOKUP(Pipeline_tbl[[#This Row],[Rep_ID]],Dim_Reps!A:A,Dim_Reps!E:E)</f>
        <v>APAC</v>
      </c>
      <c r="S1506" t="str">
        <f>_xlfn.XLOOKUP(Pipeline_tbl[[#This Row],[Created_Date]],Dim_Date!A:A,Dim_Date!H:H)</f>
        <v>Nov 2025</v>
      </c>
      <c r="T1506" t="str">
        <f>IF(Pipeline_tbl[[#This Row],[Closed_Date]]=0,"",(_xlfn.XLOOKUP(Pipeline_tbl[[#This Row],[Closed_Date]],Dim_Date!A:A,Dim_Date!H:H)))</f>
        <v>Dec 2025</v>
      </c>
      <c r="U1506">
        <f>IF(Pipeline_tbl[[#This Row],[Closed_Date]]=0,"",Pipeline_tbl[[#This Row],[Closed_Date]]-Pipeline_tbl[[#This Row],[Created_Date]])</f>
        <v>45</v>
      </c>
    </row>
    <row r="1507" spans="1:21" ht="15" customHeight="1" x14ac:dyDescent="0.2">
      <c r="A1507" t="s">
        <v>1813</v>
      </c>
      <c r="B1507" t="s">
        <v>253</v>
      </c>
      <c r="C1507" t="s">
        <v>52</v>
      </c>
      <c r="D1507" s="49">
        <v>45976</v>
      </c>
      <c r="E1507" s="49">
        <v>45980</v>
      </c>
      <c r="F1507" s="49">
        <v>45988</v>
      </c>
      <c r="G1507" s="49">
        <v>46001</v>
      </c>
      <c r="H1507" s="49">
        <v>46011</v>
      </c>
      <c r="I1507" s="49">
        <v>46017</v>
      </c>
      <c r="J1507" t="s">
        <v>49</v>
      </c>
      <c r="K1507" s="33">
        <v>20000</v>
      </c>
      <c r="L1507" t="s">
        <v>64</v>
      </c>
      <c r="M1507" t="str">
        <f>_xlfn.XLOOKUP(Pipeline_tbl[[#This Row],[Rep_ID]],Dim_Reps!A:A,Dim_Reps!K:K)</f>
        <v>EUR</v>
      </c>
      <c r="N1507" s="33">
        <f>(_xlfn.XLOOKUP(Pipeline_tbl[[#This Row],[Rate_Code_Generalized]],Lookups!A:A,Lookups!B:B))*Pipeline_tbl[[#This Row],[Pipeline_Amount_USD]]</f>
        <v>20000</v>
      </c>
      <c r="O1507" t="str">
        <f>_xlfn.XLOOKUP(Pipeline_tbl[[#This Row],[Rep_ID]],Dim_Reps!A:A,Dim_Reps!B:B)</f>
        <v>Rafael Weber</v>
      </c>
      <c r="P1507" t="str">
        <f>_xlfn.XLOOKUP(Pipeline_tbl[[#This Row],[Rep_ID]],Dim_Reps!A:A,Dim_Reps!C:C)</f>
        <v>Mid-Market AE</v>
      </c>
      <c r="Q1507" t="str">
        <f>_xlfn.XLOOKUP(Pipeline_tbl[[#This Row],[Rep_ID]],Dim_Reps!A:A,Dim_Reps!D:D)</f>
        <v>Mid-Market</v>
      </c>
      <c r="R1507" t="str">
        <f>_xlfn.XLOOKUP(Pipeline_tbl[[#This Row],[Rep_ID]],Dim_Reps!A:A,Dim_Reps!E:E)</f>
        <v>APAC</v>
      </c>
      <c r="S1507" t="str">
        <f>_xlfn.XLOOKUP(Pipeline_tbl[[#This Row],[Created_Date]],Dim_Date!A:A,Dim_Date!H:H)</f>
        <v>Nov 2025</v>
      </c>
      <c r="T1507" t="str">
        <f>IF(Pipeline_tbl[[#This Row],[Closed_Date]]=0,"",(_xlfn.XLOOKUP(Pipeline_tbl[[#This Row],[Closed_Date]],Dim_Date!A:A,Dim_Date!H:H)))</f>
        <v>Dec 2025</v>
      </c>
      <c r="U1507">
        <f>IF(Pipeline_tbl[[#This Row],[Closed_Date]]=0,"",Pipeline_tbl[[#This Row],[Closed_Date]]-Pipeline_tbl[[#This Row],[Created_Date]])</f>
        <v>41</v>
      </c>
    </row>
    <row r="1508" spans="1:21" ht="15" customHeight="1" x14ac:dyDescent="0.2">
      <c r="A1508" t="s">
        <v>1814</v>
      </c>
      <c r="B1508" t="s">
        <v>253</v>
      </c>
      <c r="C1508" t="s">
        <v>52</v>
      </c>
      <c r="D1508" s="49">
        <v>45967</v>
      </c>
      <c r="E1508" s="49">
        <v>45970</v>
      </c>
      <c r="F1508" s="49">
        <v>45976</v>
      </c>
      <c r="G1508" s="49">
        <v>45986</v>
      </c>
      <c r="I1508" s="49">
        <v>45998</v>
      </c>
      <c r="J1508" t="s">
        <v>49</v>
      </c>
      <c r="K1508" s="33">
        <v>15600</v>
      </c>
      <c r="L1508" t="s">
        <v>60</v>
      </c>
      <c r="M1508" t="str">
        <f>_xlfn.XLOOKUP(Pipeline_tbl[[#This Row],[Rep_ID]],Dim_Reps!A:A,Dim_Reps!K:K)</f>
        <v>EUR</v>
      </c>
      <c r="N1508" s="33">
        <f>(_xlfn.XLOOKUP(Pipeline_tbl[[#This Row],[Rate_Code_Generalized]],Lookups!A:A,Lookups!B:B))*Pipeline_tbl[[#This Row],[Pipeline_Amount_USD]]</f>
        <v>15600</v>
      </c>
      <c r="O1508" t="str">
        <f>_xlfn.XLOOKUP(Pipeline_tbl[[#This Row],[Rep_ID]],Dim_Reps!A:A,Dim_Reps!B:B)</f>
        <v>Rafael Weber</v>
      </c>
      <c r="P1508" t="str">
        <f>_xlfn.XLOOKUP(Pipeline_tbl[[#This Row],[Rep_ID]],Dim_Reps!A:A,Dim_Reps!C:C)</f>
        <v>Mid-Market AE</v>
      </c>
      <c r="Q1508" t="str">
        <f>_xlfn.XLOOKUP(Pipeline_tbl[[#This Row],[Rep_ID]],Dim_Reps!A:A,Dim_Reps!D:D)</f>
        <v>Mid-Market</v>
      </c>
      <c r="R1508" t="str">
        <f>_xlfn.XLOOKUP(Pipeline_tbl[[#This Row],[Rep_ID]],Dim_Reps!A:A,Dim_Reps!E:E)</f>
        <v>APAC</v>
      </c>
      <c r="S1508" t="str">
        <f>_xlfn.XLOOKUP(Pipeline_tbl[[#This Row],[Created_Date]],Dim_Date!A:A,Dim_Date!H:H)</f>
        <v>Nov 2025</v>
      </c>
      <c r="T1508" t="str">
        <f>IF(Pipeline_tbl[[#This Row],[Closed_Date]]=0,"",(_xlfn.XLOOKUP(Pipeline_tbl[[#This Row],[Closed_Date]],Dim_Date!A:A,Dim_Date!H:H)))</f>
        <v>Dec 2025</v>
      </c>
      <c r="U1508">
        <f>IF(Pipeline_tbl[[#This Row],[Closed_Date]]=0,"",Pipeline_tbl[[#This Row],[Closed_Date]]-Pipeline_tbl[[#This Row],[Created_Date]])</f>
        <v>31</v>
      </c>
    </row>
    <row r="1509" spans="1:21" ht="15" customHeight="1" x14ac:dyDescent="0.2">
      <c r="A1509" t="s">
        <v>1815</v>
      </c>
      <c r="B1509" t="s">
        <v>253</v>
      </c>
      <c r="C1509" t="s">
        <v>53</v>
      </c>
      <c r="D1509" s="49">
        <v>45990</v>
      </c>
      <c r="E1509" s="49">
        <v>45993</v>
      </c>
      <c r="F1509" s="49">
        <v>45998</v>
      </c>
      <c r="G1509" s="49">
        <v>46006</v>
      </c>
      <c r="I1509" s="49">
        <v>46016</v>
      </c>
      <c r="J1509" t="s">
        <v>49</v>
      </c>
      <c r="K1509" s="33">
        <v>10800</v>
      </c>
      <c r="L1509" t="s">
        <v>61</v>
      </c>
      <c r="M1509" t="str">
        <f>_xlfn.XLOOKUP(Pipeline_tbl[[#This Row],[Rep_ID]],Dim_Reps!A:A,Dim_Reps!K:K)</f>
        <v>EUR</v>
      </c>
      <c r="N1509" s="33">
        <f>(_xlfn.XLOOKUP(Pipeline_tbl[[#This Row],[Rate_Code_Generalized]],Lookups!A:A,Lookups!B:B))*Pipeline_tbl[[#This Row],[Pipeline_Amount_USD]]</f>
        <v>10800</v>
      </c>
      <c r="O1509" t="str">
        <f>_xlfn.XLOOKUP(Pipeline_tbl[[#This Row],[Rep_ID]],Dim_Reps!A:A,Dim_Reps!B:B)</f>
        <v>Rafael Weber</v>
      </c>
      <c r="P1509" t="str">
        <f>_xlfn.XLOOKUP(Pipeline_tbl[[#This Row],[Rep_ID]],Dim_Reps!A:A,Dim_Reps!C:C)</f>
        <v>Mid-Market AE</v>
      </c>
      <c r="Q1509" t="str">
        <f>_xlfn.XLOOKUP(Pipeline_tbl[[#This Row],[Rep_ID]],Dim_Reps!A:A,Dim_Reps!D:D)</f>
        <v>Mid-Market</v>
      </c>
      <c r="R1509" t="str">
        <f>_xlfn.XLOOKUP(Pipeline_tbl[[#This Row],[Rep_ID]],Dim_Reps!A:A,Dim_Reps!E:E)</f>
        <v>APAC</v>
      </c>
      <c r="S1509" t="str">
        <f>_xlfn.XLOOKUP(Pipeline_tbl[[#This Row],[Created_Date]],Dim_Date!A:A,Dim_Date!H:H)</f>
        <v>Nov 2025</v>
      </c>
      <c r="T1509" t="str">
        <f>IF(Pipeline_tbl[[#This Row],[Closed_Date]]=0,"",(_xlfn.XLOOKUP(Pipeline_tbl[[#This Row],[Closed_Date]],Dim_Date!A:A,Dim_Date!H:H)))</f>
        <v>Dec 2025</v>
      </c>
      <c r="U1509">
        <f>IF(Pipeline_tbl[[#This Row],[Closed_Date]]=0,"",Pipeline_tbl[[#This Row],[Closed_Date]]-Pipeline_tbl[[#This Row],[Created_Date]])</f>
        <v>26</v>
      </c>
    </row>
    <row r="1510" spans="1:21" ht="15" customHeight="1" x14ac:dyDescent="0.2">
      <c r="A1510" t="s">
        <v>1816</v>
      </c>
      <c r="B1510" t="s">
        <v>253</v>
      </c>
      <c r="C1510" t="s">
        <v>54</v>
      </c>
      <c r="D1510" s="49">
        <v>45984</v>
      </c>
      <c r="E1510" s="49">
        <v>45987</v>
      </c>
      <c r="F1510" s="49">
        <v>45993</v>
      </c>
      <c r="G1510" s="49">
        <v>46003</v>
      </c>
      <c r="I1510" s="49">
        <v>46015</v>
      </c>
      <c r="J1510" t="s">
        <v>49</v>
      </c>
      <c r="K1510" s="33">
        <v>13500</v>
      </c>
      <c r="L1510" t="s">
        <v>63</v>
      </c>
      <c r="M1510" t="str">
        <f>_xlfn.XLOOKUP(Pipeline_tbl[[#This Row],[Rep_ID]],Dim_Reps!A:A,Dim_Reps!K:K)</f>
        <v>EUR</v>
      </c>
      <c r="N1510" s="33">
        <f>(_xlfn.XLOOKUP(Pipeline_tbl[[#This Row],[Rate_Code_Generalized]],Lookups!A:A,Lookups!B:B))*Pipeline_tbl[[#This Row],[Pipeline_Amount_USD]]</f>
        <v>13500</v>
      </c>
      <c r="O1510" t="str">
        <f>_xlfn.XLOOKUP(Pipeline_tbl[[#This Row],[Rep_ID]],Dim_Reps!A:A,Dim_Reps!B:B)</f>
        <v>Rafael Weber</v>
      </c>
      <c r="P1510" t="str">
        <f>_xlfn.XLOOKUP(Pipeline_tbl[[#This Row],[Rep_ID]],Dim_Reps!A:A,Dim_Reps!C:C)</f>
        <v>Mid-Market AE</v>
      </c>
      <c r="Q1510" t="str">
        <f>_xlfn.XLOOKUP(Pipeline_tbl[[#This Row],[Rep_ID]],Dim_Reps!A:A,Dim_Reps!D:D)</f>
        <v>Mid-Market</v>
      </c>
      <c r="R1510" t="str">
        <f>_xlfn.XLOOKUP(Pipeline_tbl[[#This Row],[Rep_ID]],Dim_Reps!A:A,Dim_Reps!E:E)</f>
        <v>APAC</v>
      </c>
      <c r="S1510" t="str">
        <f>_xlfn.XLOOKUP(Pipeline_tbl[[#This Row],[Created_Date]],Dim_Date!A:A,Dim_Date!H:H)</f>
        <v>Nov 2025</v>
      </c>
      <c r="T1510" t="str">
        <f>IF(Pipeline_tbl[[#This Row],[Closed_Date]]=0,"",(_xlfn.XLOOKUP(Pipeline_tbl[[#This Row],[Closed_Date]],Dim_Date!A:A,Dim_Date!H:H)))</f>
        <v>Dec 2025</v>
      </c>
      <c r="U1510">
        <f>IF(Pipeline_tbl[[#This Row],[Closed_Date]]=0,"",Pipeline_tbl[[#This Row],[Closed_Date]]-Pipeline_tbl[[#This Row],[Created_Date]])</f>
        <v>31</v>
      </c>
    </row>
    <row r="1511" spans="1:21" ht="15" customHeight="1" x14ac:dyDescent="0.2">
      <c r="A1511" t="s">
        <v>1817</v>
      </c>
      <c r="B1511" t="s">
        <v>253</v>
      </c>
      <c r="C1511" t="s">
        <v>55</v>
      </c>
      <c r="D1511" s="49">
        <v>45976</v>
      </c>
      <c r="E1511" s="49">
        <v>45981</v>
      </c>
      <c r="F1511" s="49">
        <v>45990</v>
      </c>
      <c r="G1511" s="49">
        <v>46004</v>
      </c>
      <c r="H1511" s="49">
        <v>46015</v>
      </c>
      <c r="I1511" s="49">
        <v>46022</v>
      </c>
      <c r="J1511" t="s">
        <v>49</v>
      </c>
      <c r="K1511" s="33">
        <v>11100</v>
      </c>
      <c r="L1511" t="s">
        <v>64</v>
      </c>
      <c r="M1511" t="str">
        <f>_xlfn.XLOOKUP(Pipeline_tbl[[#This Row],[Rep_ID]],Dim_Reps!A:A,Dim_Reps!K:K)</f>
        <v>EUR</v>
      </c>
      <c r="N1511" s="33">
        <f>(_xlfn.XLOOKUP(Pipeline_tbl[[#This Row],[Rate_Code_Generalized]],Lookups!A:A,Lookups!B:B))*Pipeline_tbl[[#This Row],[Pipeline_Amount_USD]]</f>
        <v>11100</v>
      </c>
      <c r="O1511" t="str">
        <f>_xlfn.XLOOKUP(Pipeline_tbl[[#This Row],[Rep_ID]],Dim_Reps!A:A,Dim_Reps!B:B)</f>
        <v>Rafael Weber</v>
      </c>
      <c r="P1511" t="str">
        <f>_xlfn.XLOOKUP(Pipeline_tbl[[#This Row],[Rep_ID]],Dim_Reps!A:A,Dim_Reps!C:C)</f>
        <v>Mid-Market AE</v>
      </c>
      <c r="Q1511" t="str">
        <f>_xlfn.XLOOKUP(Pipeline_tbl[[#This Row],[Rep_ID]],Dim_Reps!A:A,Dim_Reps!D:D)</f>
        <v>Mid-Market</v>
      </c>
      <c r="R1511" t="str">
        <f>_xlfn.XLOOKUP(Pipeline_tbl[[#This Row],[Rep_ID]],Dim_Reps!A:A,Dim_Reps!E:E)</f>
        <v>APAC</v>
      </c>
      <c r="S1511" t="str">
        <f>_xlfn.XLOOKUP(Pipeline_tbl[[#This Row],[Created_Date]],Dim_Date!A:A,Dim_Date!H:H)</f>
        <v>Nov 2025</v>
      </c>
      <c r="T1511" t="str">
        <f>IF(Pipeline_tbl[[#This Row],[Closed_Date]]=0,"",(_xlfn.XLOOKUP(Pipeline_tbl[[#This Row],[Closed_Date]],Dim_Date!A:A,Dim_Date!H:H)))</f>
        <v>Dec 2025</v>
      </c>
      <c r="U1511">
        <f>IF(Pipeline_tbl[[#This Row],[Closed_Date]]=0,"",Pipeline_tbl[[#This Row],[Closed_Date]]-Pipeline_tbl[[#This Row],[Created_Date]])</f>
        <v>46</v>
      </c>
    </row>
    <row r="1512" spans="1:21" ht="15" customHeight="1" x14ac:dyDescent="0.2">
      <c r="A1512" t="s">
        <v>1818</v>
      </c>
      <c r="B1512" t="s">
        <v>253</v>
      </c>
      <c r="C1512" t="s">
        <v>56</v>
      </c>
      <c r="D1512" s="49">
        <v>45964</v>
      </c>
      <c r="E1512" s="49">
        <v>45969</v>
      </c>
      <c r="F1512" s="49">
        <v>45978</v>
      </c>
      <c r="G1512" s="49">
        <v>45993</v>
      </c>
      <c r="H1512" s="49">
        <v>46005</v>
      </c>
      <c r="I1512" s="49">
        <v>46012</v>
      </c>
      <c r="J1512" t="s">
        <v>47</v>
      </c>
      <c r="K1512" s="33">
        <v>14800</v>
      </c>
      <c r="M1512" t="str">
        <f>_xlfn.XLOOKUP(Pipeline_tbl[[#This Row],[Rep_ID]],Dim_Reps!A:A,Dim_Reps!K:K)</f>
        <v>EUR</v>
      </c>
      <c r="N1512" s="33">
        <f>(_xlfn.XLOOKUP(Pipeline_tbl[[#This Row],[Rate_Code_Generalized]],Lookups!A:A,Lookups!B:B))*Pipeline_tbl[[#This Row],[Pipeline_Amount_USD]]</f>
        <v>14800</v>
      </c>
      <c r="O1512" t="str">
        <f>_xlfn.XLOOKUP(Pipeline_tbl[[#This Row],[Rep_ID]],Dim_Reps!A:A,Dim_Reps!B:B)</f>
        <v>Rafael Weber</v>
      </c>
      <c r="P1512" t="str">
        <f>_xlfn.XLOOKUP(Pipeline_tbl[[#This Row],[Rep_ID]],Dim_Reps!A:A,Dim_Reps!C:C)</f>
        <v>Mid-Market AE</v>
      </c>
      <c r="Q1512" t="str">
        <f>_xlfn.XLOOKUP(Pipeline_tbl[[#This Row],[Rep_ID]],Dim_Reps!A:A,Dim_Reps!D:D)</f>
        <v>Mid-Market</v>
      </c>
      <c r="R1512" t="str">
        <f>_xlfn.XLOOKUP(Pipeline_tbl[[#This Row],[Rep_ID]],Dim_Reps!A:A,Dim_Reps!E:E)</f>
        <v>APAC</v>
      </c>
      <c r="S1512" t="str">
        <f>_xlfn.XLOOKUP(Pipeline_tbl[[#This Row],[Created_Date]],Dim_Date!A:A,Dim_Date!H:H)</f>
        <v>Nov 2025</v>
      </c>
      <c r="T1512" t="str">
        <f>IF(Pipeline_tbl[[#This Row],[Closed_Date]]=0,"",(_xlfn.XLOOKUP(Pipeline_tbl[[#This Row],[Closed_Date]],Dim_Date!A:A,Dim_Date!H:H)))</f>
        <v>Dec 2025</v>
      </c>
      <c r="U1512">
        <f>IF(Pipeline_tbl[[#This Row],[Closed_Date]]=0,"",Pipeline_tbl[[#This Row],[Closed_Date]]-Pipeline_tbl[[#This Row],[Created_Date]])</f>
        <v>48</v>
      </c>
    </row>
    <row r="1513" spans="1:21" ht="15" customHeight="1" x14ac:dyDescent="0.2">
      <c r="A1513" t="s">
        <v>1819</v>
      </c>
      <c r="B1513" t="s">
        <v>253</v>
      </c>
      <c r="C1513" t="s">
        <v>52</v>
      </c>
      <c r="D1513" s="49">
        <v>45987</v>
      </c>
      <c r="E1513" s="49">
        <v>45990</v>
      </c>
      <c r="F1513" s="49">
        <v>45996</v>
      </c>
      <c r="I1513" s="49">
        <v>46016</v>
      </c>
      <c r="J1513" t="s">
        <v>49</v>
      </c>
      <c r="K1513" s="33">
        <v>13600</v>
      </c>
      <c r="L1513" t="s">
        <v>60</v>
      </c>
      <c r="M1513" t="str">
        <f>_xlfn.XLOOKUP(Pipeline_tbl[[#This Row],[Rep_ID]],Dim_Reps!A:A,Dim_Reps!K:K)</f>
        <v>EUR</v>
      </c>
      <c r="N1513" s="33">
        <f>(_xlfn.XLOOKUP(Pipeline_tbl[[#This Row],[Rate_Code_Generalized]],Lookups!A:A,Lookups!B:B))*Pipeline_tbl[[#This Row],[Pipeline_Amount_USD]]</f>
        <v>13600</v>
      </c>
      <c r="O1513" t="str">
        <f>_xlfn.XLOOKUP(Pipeline_tbl[[#This Row],[Rep_ID]],Dim_Reps!A:A,Dim_Reps!B:B)</f>
        <v>Rafael Weber</v>
      </c>
      <c r="P1513" t="str">
        <f>_xlfn.XLOOKUP(Pipeline_tbl[[#This Row],[Rep_ID]],Dim_Reps!A:A,Dim_Reps!C:C)</f>
        <v>Mid-Market AE</v>
      </c>
      <c r="Q1513" t="str">
        <f>_xlfn.XLOOKUP(Pipeline_tbl[[#This Row],[Rep_ID]],Dim_Reps!A:A,Dim_Reps!D:D)</f>
        <v>Mid-Market</v>
      </c>
      <c r="R1513" t="str">
        <f>_xlfn.XLOOKUP(Pipeline_tbl[[#This Row],[Rep_ID]],Dim_Reps!A:A,Dim_Reps!E:E)</f>
        <v>APAC</v>
      </c>
      <c r="S1513" t="str">
        <f>_xlfn.XLOOKUP(Pipeline_tbl[[#This Row],[Created_Date]],Dim_Date!A:A,Dim_Date!H:H)</f>
        <v>Nov 2025</v>
      </c>
      <c r="T1513" t="str">
        <f>IF(Pipeline_tbl[[#This Row],[Closed_Date]]=0,"",(_xlfn.XLOOKUP(Pipeline_tbl[[#This Row],[Closed_Date]],Dim_Date!A:A,Dim_Date!H:H)))</f>
        <v>Dec 2025</v>
      </c>
      <c r="U1513">
        <f>IF(Pipeline_tbl[[#This Row],[Closed_Date]]=0,"",Pipeline_tbl[[#This Row],[Closed_Date]]-Pipeline_tbl[[#This Row],[Created_Date]])</f>
        <v>29</v>
      </c>
    </row>
    <row r="1514" spans="1:21" ht="15" customHeight="1" x14ac:dyDescent="0.2">
      <c r="A1514" t="s">
        <v>1820</v>
      </c>
      <c r="B1514" t="s">
        <v>253</v>
      </c>
      <c r="C1514" t="s">
        <v>53</v>
      </c>
      <c r="D1514" s="49">
        <v>45983</v>
      </c>
      <c r="E1514" s="49">
        <v>45986</v>
      </c>
      <c r="F1514" s="49">
        <v>45992</v>
      </c>
      <c r="I1514" s="49">
        <v>46013</v>
      </c>
      <c r="J1514" t="s">
        <v>49</v>
      </c>
      <c r="K1514" s="33">
        <v>17600</v>
      </c>
      <c r="L1514" t="s">
        <v>62</v>
      </c>
      <c r="M1514" t="str">
        <f>_xlfn.XLOOKUP(Pipeline_tbl[[#This Row],[Rep_ID]],Dim_Reps!A:A,Dim_Reps!K:K)</f>
        <v>EUR</v>
      </c>
      <c r="N1514" s="33">
        <f>(_xlfn.XLOOKUP(Pipeline_tbl[[#This Row],[Rate_Code_Generalized]],Lookups!A:A,Lookups!B:B))*Pipeline_tbl[[#This Row],[Pipeline_Amount_USD]]</f>
        <v>17600</v>
      </c>
      <c r="O1514" t="str">
        <f>_xlfn.XLOOKUP(Pipeline_tbl[[#This Row],[Rep_ID]],Dim_Reps!A:A,Dim_Reps!B:B)</f>
        <v>Rafael Weber</v>
      </c>
      <c r="P1514" t="str">
        <f>_xlfn.XLOOKUP(Pipeline_tbl[[#This Row],[Rep_ID]],Dim_Reps!A:A,Dim_Reps!C:C)</f>
        <v>Mid-Market AE</v>
      </c>
      <c r="Q1514" t="str">
        <f>_xlfn.XLOOKUP(Pipeline_tbl[[#This Row],[Rep_ID]],Dim_Reps!A:A,Dim_Reps!D:D)</f>
        <v>Mid-Market</v>
      </c>
      <c r="R1514" t="str">
        <f>_xlfn.XLOOKUP(Pipeline_tbl[[#This Row],[Rep_ID]],Dim_Reps!A:A,Dim_Reps!E:E)</f>
        <v>APAC</v>
      </c>
      <c r="S1514" t="str">
        <f>_xlfn.XLOOKUP(Pipeline_tbl[[#This Row],[Created_Date]],Dim_Date!A:A,Dim_Date!H:H)</f>
        <v>Nov 2025</v>
      </c>
      <c r="T1514" t="str">
        <f>IF(Pipeline_tbl[[#This Row],[Closed_Date]]=0,"",(_xlfn.XLOOKUP(Pipeline_tbl[[#This Row],[Closed_Date]],Dim_Date!A:A,Dim_Date!H:H)))</f>
        <v>Dec 2025</v>
      </c>
      <c r="U1514">
        <f>IF(Pipeline_tbl[[#This Row],[Closed_Date]]=0,"",Pipeline_tbl[[#This Row],[Closed_Date]]-Pipeline_tbl[[#This Row],[Created_Date]])</f>
        <v>30</v>
      </c>
    </row>
    <row r="1515" spans="1:21" ht="15" customHeight="1" x14ac:dyDescent="0.2">
      <c r="A1515" t="s">
        <v>1821</v>
      </c>
      <c r="B1515" t="s">
        <v>253</v>
      </c>
      <c r="C1515" t="s">
        <v>53</v>
      </c>
      <c r="D1515" s="49">
        <v>45989</v>
      </c>
      <c r="E1515" s="49">
        <v>45992</v>
      </c>
      <c r="F1515" s="49">
        <v>45997</v>
      </c>
      <c r="G1515" s="49">
        <v>46005</v>
      </c>
      <c r="H1515" s="49">
        <v>46012</v>
      </c>
      <c r="I1515" s="49">
        <v>46016</v>
      </c>
      <c r="J1515" t="s">
        <v>49</v>
      </c>
      <c r="K1515" s="33">
        <v>5000</v>
      </c>
      <c r="L1515" t="s">
        <v>61</v>
      </c>
      <c r="M1515" t="str">
        <f>_xlfn.XLOOKUP(Pipeline_tbl[[#This Row],[Rep_ID]],Dim_Reps!A:A,Dim_Reps!K:K)</f>
        <v>EUR</v>
      </c>
      <c r="N1515" s="33">
        <f>(_xlfn.XLOOKUP(Pipeline_tbl[[#This Row],[Rate_Code_Generalized]],Lookups!A:A,Lookups!B:B))*Pipeline_tbl[[#This Row],[Pipeline_Amount_USD]]</f>
        <v>5000</v>
      </c>
      <c r="O1515" t="str">
        <f>_xlfn.XLOOKUP(Pipeline_tbl[[#This Row],[Rep_ID]],Dim_Reps!A:A,Dim_Reps!B:B)</f>
        <v>Rafael Weber</v>
      </c>
      <c r="P1515" t="str">
        <f>_xlfn.XLOOKUP(Pipeline_tbl[[#This Row],[Rep_ID]],Dim_Reps!A:A,Dim_Reps!C:C)</f>
        <v>Mid-Market AE</v>
      </c>
      <c r="Q1515" t="str">
        <f>_xlfn.XLOOKUP(Pipeline_tbl[[#This Row],[Rep_ID]],Dim_Reps!A:A,Dim_Reps!D:D)</f>
        <v>Mid-Market</v>
      </c>
      <c r="R1515" t="str">
        <f>_xlfn.XLOOKUP(Pipeline_tbl[[#This Row],[Rep_ID]],Dim_Reps!A:A,Dim_Reps!E:E)</f>
        <v>APAC</v>
      </c>
      <c r="S1515" t="str">
        <f>_xlfn.XLOOKUP(Pipeline_tbl[[#This Row],[Created_Date]],Dim_Date!A:A,Dim_Date!H:H)</f>
        <v>Nov 2025</v>
      </c>
      <c r="T1515" t="str">
        <f>IF(Pipeline_tbl[[#This Row],[Closed_Date]]=0,"",(_xlfn.XLOOKUP(Pipeline_tbl[[#This Row],[Closed_Date]],Dim_Date!A:A,Dim_Date!H:H)))</f>
        <v>Dec 2025</v>
      </c>
      <c r="U1515">
        <f>IF(Pipeline_tbl[[#This Row],[Closed_Date]]=0,"",Pipeline_tbl[[#This Row],[Closed_Date]]-Pipeline_tbl[[#This Row],[Created_Date]])</f>
        <v>27</v>
      </c>
    </row>
    <row r="1516" spans="1:21" ht="15" customHeight="1" x14ac:dyDescent="0.2">
      <c r="A1516" t="s">
        <v>1822</v>
      </c>
      <c r="B1516" t="s">
        <v>253</v>
      </c>
      <c r="C1516" t="s">
        <v>53</v>
      </c>
      <c r="D1516" s="49">
        <v>45983</v>
      </c>
      <c r="E1516" s="49">
        <v>45985</v>
      </c>
      <c r="F1516" s="49">
        <v>45991</v>
      </c>
      <c r="G1516" s="49">
        <v>45998</v>
      </c>
      <c r="H1516" s="49">
        <v>46004</v>
      </c>
      <c r="I1516" s="49">
        <v>46008</v>
      </c>
      <c r="J1516" t="s">
        <v>47</v>
      </c>
      <c r="K1516" s="33">
        <v>16500</v>
      </c>
      <c r="M1516" t="str">
        <f>_xlfn.XLOOKUP(Pipeline_tbl[[#This Row],[Rep_ID]],Dim_Reps!A:A,Dim_Reps!K:K)</f>
        <v>EUR</v>
      </c>
      <c r="N1516" s="33">
        <f>(_xlfn.XLOOKUP(Pipeline_tbl[[#This Row],[Rate_Code_Generalized]],Lookups!A:A,Lookups!B:B))*Pipeline_tbl[[#This Row],[Pipeline_Amount_USD]]</f>
        <v>16500</v>
      </c>
      <c r="O1516" t="str">
        <f>_xlfn.XLOOKUP(Pipeline_tbl[[#This Row],[Rep_ID]],Dim_Reps!A:A,Dim_Reps!B:B)</f>
        <v>Rafael Weber</v>
      </c>
      <c r="P1516" t="str">
        <f>_xlfn.XLOOKUP(Pipeline_tbl[[#This Row],[Rep_ID]],Dim_Reps!A:A,Dim_Reps!C:C)</f>
        <v>Mid-Market AE</v>
      </c>
      <c r="Q1516" t="str">
        <f>_xlfn.XLOOKUP(Pipeline_tbl[[#This Row],[Rep_ID]],Dim_Reps!A:A,Dim_Reps!D:D)</f>
        <v>Mid-Market</v>
      </c>
      <c r="R1516" t="str">
        <f>_xlfn.XLOOKUP(Pipeline_tbl[[#This Row],[Rep_ID]],Dim_Reps!A:A,Dim_Reps!E:E)</f>
        <v>APAC</v>
      </c>
      <c r="S1516" t="str">
        <f>_xlfn.XLOOKUP(Pipeline_tbl[[#This Row],[Created_Date]],Dim_Date!A:A,Dim_Date!H:H)</f>
        <v>Nov 2025</v>
      </c>
      <c r="T1516" t="str">
        <f>IF(Pipeline_tbl[[#This Row],[Closed_Date]]=0,"",(_xlfn.XLOOKUP(Pipeline_tbl[[#This Row],[Closed_Date]],Dim_Date!A:A,Dim_Date!H:H)))</f>
        <v>Dec 2025</v>
      </c>
      <c r="U1516">
        <f>IF(Pipeline_tbl[[#This Row],[Closed_Date]]=0,"",Pipeline_tbl[[#This Row],[Closed_Date]]-Pipeline_tbl[[#This Row],[Created_Date]])</f>
        <v>25</v>
      </c>
    </row>
    <row r="1517" spans="1:21" ht="15" customHeight="1" x14ac:dyDescent="0.2">
      <c r="A1517" t="s">
        <v>1823</v>
      </c>
      <c r="B1517" t="s">
        <v>215</v>
      </c>
      <c r="C1517" t="s">
        <v>53</v>
      </c>
      <c r="D1517" s="49">
        <v>45989</v>
      </c>
      <c r="E1517" s="49">
        <v>45990</v>
      </c>
      <c r="F1517" s="49">
        <v>45991</v>
      </c>
      <c r="G1517" s="49">
        <v>45993</v>
      </c>
      <c r="H1517" s="49">
        <v>45995</v>
      </c>
      <c r="I1517" s="49">
        <v>45996</v>
      </c>
      <c r="J1517" t="s">
        <v>47</v>
      </c>
      <c r="K1517" s="33">
        <v>2300</v>
      </c>
      <c r="M1517" t="str">
        <f>_xlfn.XLOOKUP(Pipeline_tbl[[#This Row],[Rep_ID]],Dim_Reps!A:A,Dim_Reps!K:K)</f>
        <v>EUR</v>
      </c>
      <c r="N1517" s="33">
        <f>(_xlfn.XLOOKUP(Pipeline_tbl[[#This Row],[Rate_Code_Generalized]],Lookups!A:A,Lookups!B:B))*Pipeline_tbl[[#This Row],[Pipeline_Amount_USD]]</f>
        <v>2300</v>
      </c>
      <c r="O1517" t="str">
        <f>_xlfn.XLOOKUP(Pipeline_tbl[[#This Row],[Rep_ID]],Dim_Reps!A:A,Dim_Reps!B:B)</f>
        <v>Jamie Schmidt</v>
      </c>
      <c r="P1517" t="str">
        <f>_xlfn.XLOOKUP(Pipeline_tbl[[#This Row],[Rep_ID]],Dim_Reps!A:A,Dim_Reps!C:C)</f>
        <v>SDR / Inside Sales Rep</v>
      </c>
      <c r="Q1517" t="str">
        <f>_xlfn.XLOOKUP(Pipeline_tbl[[#This Row],[Rep_ID]],Dim_Reps!A:A,Dim_Reps!D:D)</f>
        <v>Inside Sales</v>
      </c>
      <c r="R1517" t="str">
        <f>_xlfn.XLOOKUP(Pipeline_tbl[[#This Row],[Rep_ID]],Dim_Reps!A:A,Dim_Reps!E:E)</f>
        <v>APAC</v>
      </c>
      <c r="S1517" t="str">
        <f>_xlfn.XLOOKUP(Pipeline_tbl[[#This Row],[Created_Date]],Dim_Date!A:A,Dim_Date!H:H)</f>
        <v>Nov 2025</v>
      </c>
      <c r="T1517" t="str">
        <f>IF(Pipeline_tbl[[#This Row],[Closed_Date]]=0,"",(_xlfn.XLOOKUP(Pipeline_tbl[[#This Row],[Closed_Date]],Dim_Date!A:A,Dim_Date!H:H)))</f>
        <v>Dec 2025</v>
      </c>
      <c r="U1517">
        <f>IF(Pipeline_tbl[[#This Row],[Closed_Date]]=0,"",Pipeline_tbl[[#This Row],[Closed_Date]]-Pipeline_tbl[[#This Row],[Created_Date]])</f>
        <v>7</v>
      </c>
    </row>
    <row r="1518" spans="1:21" ht="15" customHeight="1" x14ac:dyDescent="0.2">
      <c r="A1518" t="s">
        <v>1824</v>
      </c>
      <c r="B1518" t="s">
        <v>215</v>
      </c>
      <c r="C1518" t="s">
        <v>56</v>
      </c>
      <c r="D1518" s="49">
        <v>45990</v>
      </c>
      <c r="E1518" s="49">
        <v>45992</v>
      </c>
      <c r="F1518" s="49">
        <v>45996</v>
      </c>
      <c r="G1518" s="49">
        <v>46003</v>
      </c>
      <c r="H1518" s="49">
        <v>46008</v>
      </c>
      <c r="I1518" s="49">
        <v>46011</v>
      </c>
      <c r="J1518" t="s">
        <v>47</v>
      </c>
      <c r="K1518" s="33">
        <v>2500</v>
      </c>
      <c r="M1518" t="str">
        <f>_xlfn.XLOOKUP(Pipeline_tbl[[#This Row],[Rep_ID]],Dim_Reps!A:A,Dim_Reps!K:K)</f>
        <v>EUR</v>
      </c>
      <c r="N1518" s="33">
        <f>(_xlfn.XLOOKUP(Pipeline_tbl[[#This Row],[Rate_Code_Generalized]],Lookups!A:A,Lookups!B:B))*Pipeline_tbl[[#This Row],[Pipeline_Amount_USD]]</f>
        <v>2500</v>
      </c>
      <c r="O1518" t="str">
        <f>_xlfn.XLOOKUP(Pipeline_tbl[[#This Row],[Rep_ID]],Dim_Reps!A:A,Dim_Reps!B:B)</f>
        <v>Jamie Schmidt</v>
      </c>
      <c r="P1518" t="str">
        <f>_xlfn.XLOOKUP(Pipeline_tbl[[#This Row],[Rep_ID]],Dim_Reps!A:A,Dim_Reps!C:C)</f>
        <v>SDR / Inside Sales Rep</v>
      </c>
      <c r="Q1518" t="str">
        <f>_xlfn.XLOOKUP(Pipeline_tbl[[#This Row],[Rep_ID]],Dim_Reps!A:A,Dim_Reps!D:D)</f>
        <v>Inside Sales</v>
      </c>
      <c r="R1518" t="str">
        <f>_xlfn.XLOOKUP(Pipeline_tbl[[#This Row],[Rep_ID]],Dim_Reps!A:A,Dim_Reps!E:E)</f>
        <v>APAC</v>
      </c>
      <c r="S1518" t="str">
        <f>_xlfn.XLOOKUP(Pipeline_tbl[[#This Row],[Created_Date]],Dim_Date!A:A,Dim_Date!H:H)</f>
        <v>Nov 2025</v>
      </c>
      <c r="T1518" t="str">
        <f>IF(Pipeline_tbl[[#This Row],[Closed_Date]]=0,"",(_xlfn.XLOOKUP(Pipeline_tbl[[#This Row],[Closed_Date]],Dim_Date!A:A,Dim_Date!H:H)))</f>
        <v>Dec 2025</v>
      </c>
      <c r="U1518">
        <f>IF(Pipeline_tbl[[#This Row],[Closed_Date]]=0,"",Pipeline_tbl[[#This Row],[Closed_Date]]-Pipeline_tbl[[#This Row],[Created_Date]])</f>
        <v>21</v>
      </c>
    </row>
    <row r="1519" spans="1:21" ht="15" customHeight="1" x14ac:dyDescent="0.2">
      <c r="A1519" t="s">
        <v>1825</v>
      </c>
      <c r="B1519" t="s">
        <v>215</v>
      </c>
      <c r="C1519" t="s">
        <v>53</v>
      </c>
      <c r="D1519" s="49">
        <v>45967</v>
      </c>
      <c r="E1519" s="49">
        <v>45970</v>
      </c>
      <c r="F1519" s="49">
        <v>45976</v>
      </c>
      <c r="G1519" s="49">
        <v>45985</v>
      </c>
      <c r="I1519" s="49">
        <v>45997</v>
      </c>
      <c r="J1519" t="s">
        <v>49</v>
      </c>
      <c r="K1519" s="33">
        <v>2600</v>
      </c>
      <c r="L1519" t="s">
        <v>62</v>
      </c>
      <c r="M1519" t="str">
        <f>_xlfn.XLOOKUP(Pipeline_tbl[[#This Row],[Rep_ID]],Dim_Reps!A:A,Dim_Reps!K:K)</f>
        <v>EUR</v>
      </c>
      <c r="N1519" s="33">
        <f>(_xlfn.XLOOKUP(Pipeline_tbl[[#This Row],[Rate_Code_Generalized]],Lookups!A:A,Lookups!B:B))*Pipeline_tbl[[#This Row],[Pipeline_Amount_USD]]</f>
        <v>2600</v>
      </c>
      <c r="O1519" t="str">
        <f>_xlfn.XLOOKUP(Pipeline_tbl[[#This Row],[Rep_ID]],Dim_Reps!A:A,Dim_Reps!B:B)</f>
        <v>Jamie Schmidt</v>
      </c>
      <c r="P1519" t="str">
        <f>_xlfn.XLOOKUP(Pipeline_tbl[[#This Row],[Rep_ID]],Dim_Reps!A:A,Dim_Reps!C:C)</f>
        <v>SDR / Inside Sales Rep</v>
      </c>
      <c r="Q1519" t="str">
        <f>_xlfn.XLOOKUP(Pipeline_tbl[[#This Row],[Rep_ID]],Dim_Reps!A:A,Dim_Reps!D:D)</f>
        <v>Inside Sales</v>
      </c>
      <c r="R1519" t="str">
        <f>_xlfn.XLOOKUP(Pipeline_tbl[[#This Row],[Rep_ID]],Dim_Reps!A:A,Dim_Reps!E:E)</f>
        <v>APAC</v>
      </c>
      <c r="S1519" t="str">
        <f>_xlfn.XLOOKUP(Pipeline_tbl[[#This Row],[Created_Date]],Dim_Date!A:A,Dim_Date!H:H)</f>
        <v>Nov 2025</v>
      </c>
      <c r="T1519" t="str">
        <f>IF(Pipeline_tbl[[#This Row],[Closed_Date]]=0,"",(_xlfn.XLOOKUP(Pipeline_tbl[[#This Row],[Closed_Date]],Dim_Date!A:A,Dim_Date!H:H)))</f>
        <v>Dec 2025</v>
      </c>
      <c r="U1519">
        <f>IF(Pipeline_tbl[[#This Row],[Closed_Date]]=0,"",Pipeline_tbl[[#This Row],[Closed_Date]]-Pipeline_tbl[[#This Row],[Created_Date]])</f>
        <v>30</v>
      </c>
    </row>
    <row r="1520" spans="1:21" ht="15" customHeight="1" x14ac:dyDescent="0.2">
      <c r="A1520" t="s">
        <v>1826</v>
      </c>
      <c r="B1520" t="s">
        <v>215</v>
      </c>
      <c r="C1520" t="s">
        <v>55</v>
      </c>
      <c r="D1520" s="49">
        <v>45988</v>
      </c>
      <c r="E1520" s="49">
        <v>45990</v>
      </c>
      <c r="F1520" s="49">
        <v>45994</v>
      </c>
      <c r="I1520" s="49">
        <v>46009</v>
      </c>
      <c r="J1520" t="s">
        <v>49</v>
      </c>
      <c r="K1520" s="33">
        <v>5000</v>
      </c>
      <c r="L1520" t="s">
        <v>60</v>
      </c>
      <c r="M1520" t="str">
        <f>_xlfn.XLOOKUP(Pipeline_tbl[[#This Row],[Rep_ID]],Dim_Reps!A:A,Dim_Reps!K:K)</f>
        <v>EUR</v>
      </c>
      <c r="N1520" s="33">
        <f>(_xlfn.XLOOKUP(Pipeline_tbl[[#This Row],[Rate_Code_Generalized]],Lookups!A:A,Lookups!B:B))*Pipeline_tbl[[#This Row],[Pipeline_Amount_USD]]</f>
        <v>5000</v>
      </c>
      <c r="O1520" t="str">
        <f>_xlfn.XLOOKUP(Pipeline_tbl[[#This Row],[Rep_ID]],Dim_Reps!A:A,Dim_Reps!B:B)</f>
        <v>Jamie Schmidt</v>
      </c>
      <c r="P1520" t="str">
        <f>_xlfn.XLOOKUP(Pipeline_tbl[[#This Row],[Rep_ID]],Dim_Reps!A:A,Dim_Reps!C:C)</f>
        <v>SDR / Inside Sales Rep</v>
      </c>
      <c r="Q1520" t="str">
        <f>_xlfn.XLOOKUP(Pipeline_tbl[[#This Row],[Rep_ID]],Dim_Reps!A:A,Dim_Reps!D:D)</f>
        <v>Inside Sales</v>
      </c>
      <c r="R1520" t="str">
        <f>_xlfn.XLOOKUP(Pipeline_tbl[[#This Row],[Rep_ID]],Dim_Reps!A:A,Dim_Reps!E:E)</f>
        <v>APAC</v>
      </c>
      <c r="S1520" t="str">
        <f>_xlfn.XLOOKUP(Pipeline_tbl[[#This Row],[Created_Date]],Dim_Date!A:A,Dim_Date!H:H)</f>
        <v>Nov 2025</v>
      </c>
      <c r="T1520" t="str">
        <f>IF(Pipeline_tbl[[#This Row],[Closed_Date]]=0,"",(_xlfn.XLOOKUP(Pipeline_tbl[[#This Row],[Closed_Date]],Dim_Date!A:A,Dim_Date!H:H)))</f>
        <v>Dec 2025</v>
      </c>
      <c r="U1520">
        <f>IF(Pipeline_tbl[[#This Row],[Closed_Date]]=0,"",Pipeline_tbl[[#This Row],[Closed_Date]]-Pipeline_tbl[[#This Row],[Created_Date]])</f>
        <v>21</v>
      </c>
    </row>
    <row r="1521" spans="1:21" ht="15" customHeight="1" x14ac:dyDescent="0.2">
      <c r="A1521" t="s">
        <v>1827</v>
      </c>
      <c r="B1521" t="s">
        <v>215</v>
      </c>
      <c r="C1521" t="s">
        <v>53</v>
      </c>
      <c r="D1521" s="49">
        <v>45991</v>
      </c>
      <c r="E1521" s="49">
        <v>45993</v>
      </c>
      <c r="F1521" s="49">
        <v>45996</v>
      </c>
      <c r="G1521" s="49">
        <v>46001</v>
      </c>
      <c r="H1521" s="49">
        <v>46005</v>
      </c>
      <c r="I1521" s="49">
        <v>46007</v>
      </c>
      <c r="J1521" t="s">
        <v>47</v>
      </c>
      <c r="K1521" s="33">
        <v>2500</v>
      </c>
      <c r="M1521" t="str">
        <f>_xlfn.XLOOKUP(Pipeline_tbl[[#This Row],[Rep_ID]],Dim_Reps!A:A,Dim_Reps!K:K)</f>
        <v>EUR</v>
      </c>
      <c r="N1521" s="33">
        <f>(_xlfn.XLOOKUP(Pipeline_tbl[[#This Row],[Rate_Code_Generalized]],Lookups!A:A,Lookups!B:B))*Pipeline_tbl[[#This Row],[Pipeline_Amount_USD]]</f>
        <v>2500</v>
      </c>
      <c r="O1521" t="str">
        <f>_xlfn.XLOOKUP(Pipeline_tbl[[#This Row],[Rep_ID]],Dim_Reps!A:A,Dim_Reps!B:B)</f>
        <v>Jamie Schmidt</v>
      </c>
      <c r="P1521" t="str">
        <f>_xlfn.XLOOKUP(Pipeline_tbl[[#This Row],[Rep_ID]],Dim_Reps!A:A,Dim_Reps!C:C)</f>
        <v>SDR / Inside Sales Rep</v>
      </c>
      <c r="Q1521" t="str">
        <f>_xlfn.XLOOKUP(Pipeline_tbl[[#This Row],[Rep_ID]],Dim_Reps!A:A,Dim_Reps!D:D)</f>
        <v>Inside Sales</v>
      </c>
      <c r="R1521" t="str">
        <f>_xlfn.XLOOKUP(Pipeline_tbl[[#This Row],[Rep_ID]],Dim_Reps!A:A,Dim_Reps!E:E)</f>
        <v>APAC</v>
      </c>
      <c r="S1521" t="str">
        <f>_xlfn.XLOOKUP(Pipeline_tbl[[#This Row],[Created_Date]],Dim_Date!A:A,Dim_Date!H:H)</f>
        <v>Nov 2025</v>
      </c>
      <c r="T1521" t="str">
        <f>IF(Pipeline_tbl[[#This Row],[Closed_Date]]=0,"",(_xlfn.XLOOKUP(Pipeline_tbl[[#This Row],[Closed_Date]],Dim_Date!A:A,Dim_Date!H:H)))</f>
        <v>Dec 2025</v>
      </c>
      <c r="U1521">
        <f>IF(Pipeline_tbl[[#This Row],[Closed_Date]]=0,"",Pipeline_tbl[[#This Row],[Closed_Date]]-Pipeline_tbl[[#This Row],[Created_Date]])</f>
        <v>16</v>
      </c>
    </row>
    <row r="1522" spans="1:21" ht="15" customHeight="1" x14ac:dyDescent="0.2">
      <c r="A1522" t="s">
        <v>1828</v>
      </c>
      <c r="B1522" t="s">
        <v>215</v>
      </c>
      <c r="C1522" t="s">
        <v>52</v>
      </c>
      <c r="D1522" s="49">
        <v>45980</v>
      </c>
      <c r="E1522" s="49">
        <v>45982</v>
      </c>
      <c r="F1522" s="49">
        <v>45986</v>
      </c>
      <c r="G1522" s="49">
        <v>45992</v>
      </c>
      <c r="H1522" s="49">
        <v>45997</v>
      </c>
      <c r="I1522" s="49">
        <v>46000</v>
      </c>
      <c r="J1522" t="s">
        <v>47</v>
      </c>
      <c r="K1522" s="33">
        <v>3300</v>
      </c>
      <c r="M1522" t="str">
        <f>_xlfn.XLOOKUP(Pipeline_tbl[[#This Row],[Rep_ID]],Dim_Reps!A:A,Dim_Reps!K:K)</f>
        <v>EUR</v>
      </c>
      <c r="N1522" s="33">
        <f>(_xlfn.XLOOKUP(Pipeline_tbl[[#This Row],[Rate_Code_Generalized]],Lookups!A:A,Lookups!B:B))*Pipeline_tbl[[#This Row],[Pipeline_Amount_USD]]</f>
        <v>3300</v>
      </c>
      <c r="O1522" t="str">
        <f>_xlfn.XLOOKUP(Pipeline_tbl[[#This Row],[Rep_ID]],Dim_Reps!A:A,Dim_Reps!B:B)</f>
        <v>Jamie Schmidt</v>
      </c>
      <c r="P1522" t="str">
        <f>_xlfn.XLOOKUP(Pipeline_tbl[[#This Row],[Rep_ID]],Dim_Reps!A:A,Dim_Reps!C:C)</f>
        <v>SDR / Inside Sales Rep</v>
      </c>
      <c r="Q1522" t="str">
        <f>_xlfn.XLOOKUP(Pipeline_tbl[[#This Row],[Rep_ID]],Dim_Reps!A:A,Dim_Reps!D:D)</f>
        <v>Inside Sales</v>
      </c>
      <c r="R1522" t="str">
        <f>_xlfn.XLOOKUP(Pipeline_tbl[[#This Row],[Rep_ID]],Dim_Reps!A:A,Dim_Reps!E:E)</f>
        <v>APAC</v>
      </c>
      <c r="S1522" t="str">
        <f>_xlfn.XLOOKUP(Pipeline_tbl[[#This Row],[Created_Date]],Dim_Date!A:A,Dim_Date!H:H)</f>
        <v>Nov 2025</v>
      </c>
      <c r="T1522" t="str">
        <f>IF(Pipeline_tbl[[#This Row],[Closed_Date]]=0,"",(_xlfn.XLOOKUP(Pipeline_tbl[[#This Row],[Closed_Date]],Dim_Date!A:A,Dim_Date!H:H)))</f>
        <v>Dec 2025</v>
      </c>
      <c r="U1522">
        <f>IF(Pipeline_tbl[[#This Row],[Closed_Date]]=0,"",Pipeline_tbl[[#This Row],[Closed_Date]]-Pipeline_tbl[[#This Row],[Created_Date]])</f>
        <v>20</v>
      </c>
    </row>
    <row r="1523" spans="1:21" ht="15" customHeight="1" x14ac:dyDescent="0.2">
      <c r="A1523" t="s">
        <v>1829</v>
      </c>
      <c r="B1523" t="s">
        <v>215</v>
      </c>
      <c r="C1523" t="s">
        <v>55</v>
      </c>
      <c r="D1523" s="49">
        <v>45985</v>
      </c>
      <c r="E1523" s="49">
        <v>45987</v>
      </c>
      <c r="F1523" s="49">
        <v>45992</v>
      </c>
      <c r="I1523" s="49">
        <v>46008</v>
      </c>
      <c r="J1523" t="s">
        <v>49</v>
      </c>
      <c r="K1523" s="33">
        <v>6400</v>
      </c>
      <c r="L1523" t="s">
        <v>64</v>
      </c>
      <c r="M1523" t="str">
        <f>_xlfn.XLOOKUP(Pipeline_tbl[[#This Row],[Rep_ID]],Dim_Reps!A:A,Dim_Reps!K:K)</f>
        <v>EUR</v>
      </c>
      <c r="N1523" s="33">
        <f>(_xlfn.XLOOKUP(Pipeline_tbl[[#This Row],[Rate_Code_Generalized]],Lookups!A:A,Lookups!B:B))*Pipeline_tbl[[#This Row],[Pipeline_Amount_USD]]</f>
        <v>6400</v>
      </c>
      <c r="O1523" t="str">
        <f>_xlfn.XLOOKUP(Pipeline_tbl[[#This Row],[Rep_ID]],Dim_Reps!A:A,Dim_Reps!B:B)</f>
        <v>Jamie Schmidt</v>
      </c>
      <c r="P1523" t="str">
        <f>_xlfn.XLOOKUP(Pipeline_tbl[[#This Row],[Rep_ID]],Dim_Reps!A:A,Dim_Reps!C:C)</f>
        <v>SDR / Inside Sales Rep</v>
      </c>
      <c r="Q1523" t="str">
        <f>_xlfn.XLOOKUP(Pipeline_tbl[[#This Row],[Rep_ID]],Dim_Reps!A:A,Dim_Reps!D:D)</f>
        <v>Inside Sales</v>
      </c>
      <c r="R1523" t="str">
        <f>_xlfn.XLOOKUP(Pipeline_tbl[[#This Row],[Rep_ID]],Dim_Reps!A:A,Dim_Reps!E:E)</f>
        <v>APAC</v>
      </c>
      <c r="S1523" t="str">
        <f>_xlfn.XLOOKUP(Pipeline_tbl[[#This Row],[Created_Date]],Dim_Date!A:A,Dim_Date!H:H)</f>
        <v>Nov 2025</v>
      </c>
      <c r="T1523" t="str">
        <f>IF(Pipeline_tbl[[#This Row],[Closed_Date]]=0,"",(_xlfn.XLOOKUP(Pipeline_tbl[[#This Row],[Closed_Date]],Dim_Date!A:A,Dim_Date!H:H)))</f>
        <v>Dec 2025</v>
      </c>
      <c r="U1523">
        <f>IF(Pipeline_tbl[[#This Row],[Closed_Date]]=0,"",Pipeline_tbl[[#This Row],[Closed_Date]]-Pipeline_tbl[[#This Row],[Created_Date]])</f>
        <v>23</v>
      </c>
    </row>
    <row r="1524" spans="1:21" ht="15" customHeight="1" x14ac:dyDescent="0.2">
      <c r="A1524" t="s">
        <v>1830</v>
      </c>
      <c r="B1524" t="s">
        <v>215</v>
      </c>
      <c r="C1524" t="s">
        <v>56</v>
      </c>
      <c r="D1524" s="49">
        <v>45972</v>
      </c>
      <c r="E1524" s="49">
        <v>45974</v>
      </c>
      <c r="I1524" s="49">
        <v>45996</v>
      </c>
      <c r="J1524" t="s">
        <v>49</v>
      </c>
      <c r="K1524" s="33">
        <v>4000</v>
      </c>
      <c r="L1524" t="s">
        <v>62</v>
      </c>
      <c r="M1524" t="str">
        <f>_xlfn.XLOOKUP(Pipeline_tbl[[#This Row],[Rep_ID]],Dim_Reps!A:A,Dim_Reps!K:K)</f>
        <v>EUR</v>
      </c>
      <c r="N1524" s="33">
        <f>(_xlfn.XLOOKUP(Pipeline_tbl[[#This Row],[Rate_Code_Generalized]],Lookups!A:A,Lookups!B:B))*Pipeline_tbl[[#This Row],[Pipeline_Amount_USD]]</f>
        <v>4000</v>
      </c>
      <c r="O1524" t="str">
        <f>_xlfn.XLOOKUP(Pipeline_tbl[[#This Row],[Rep_ID]],Dim_Reps!A:A,Dim_Reps!B:B)</f>
        <v>Jamie Schmidt</v>
      </c>
      <c r="P1524" t="str">
        <f>_xlfn.XLOOKUP(Pipeline_tbl[[#This Row],[Rep_ID]],Dim_Reps!A:A,Dim_Reps!C:C)</f>
        <v>SDR / Inside Sales Rep</v>
      </c>
      <c r="Q1524" t="str">
        <f>_xlfn.XLOOKUP(Pipeline_tbl[[#This Row],[Rep_ID]],Dim_Reps!A:A,Dim_Reps!D:D)</f>
        <v>Inside Sales</v>
      </c>
      <c r="R1524" t="str">
        <f>_xlfn.XLOOKUP(Pipeline_tbl[[#This Row],[Rep_ID]],Dim_Reps!A:A,Dim_Reps!E:E)</f>
        <v>APAC</v>
      </c>
      <c r="S1524" t="str">
        <f>_xlfn.XLOOKUP(Pipeline_tbl[[#This Row],[Created_Date]],Dim_Date!A:A,Dim_Date!H:H)</f>
        <v>Nov 2025</v>
      </c>
      <c r="T1524" t="str">
        <f>IF(Pipeline_tbl[[#This Row],[Closed_Date]]=0,"",(_xlfn.XLOOKUP(Pipeline_tbl[[#This Row],[Closed_Date]],Dim_Date!A:A,Dim_Date!H:H)))</f>
        <v>Dec 2025</v>
      </c>
      <c r="U1524">
        <f>IF(Pipeline_tbl[[#This Row],[Closed_Date]]=0,"",Pipeline_tbl[[#This Row],[Closed_Date]]-Pipeline_tbl[[#This Row],[Created_Date]])</f>
        <v>24</v>
      </c>
    </row>
    <row r="1525" spans="1:21" ht="15" customHeight="1" x14ac:dyDescent="0.2">
      <c r="A1525" t="s">
        <v>1831</v>
      </c>
      <c r="B1525" t="s">
        <v>215</v>
      </c>
      <c r="C1525" t="s">
        <v>54</v>
      </c>
      <c r="D1525" s="49">
        <v>45986</v>
      </c>
      <c r="E1525" s="49">
        <v>45988</v>
      </c>
      <c r="F1525" s="49">
        <v>45991</v>
      </c>
      <c r="I1525" s="49">
        <v>46004</v>
      </c>
      <c r="J1525" t="s">
        <v>49</v>
      </c>
      <c r="K1525" s="33">
        <v>3000</v>
      </c>
      <c r="L1525" t="s">
        <v>62</v>
      </c>
      <c r="M1525" t="str">
        <f>_xlfn.XLOOKUP(Pipeline_tbl[[#This Row],[Rep_ID]],Dim_Reps!A:A,Dim_Reps!K:K)</f>
        <v>EUR</v>
      </c>
      <c r="N1525" s="33">
        <f>(_xlfn.XLOOKUP(Pipeline_tbl[[#This Row],[Rate_Code_Generalized]],Lookups!A:A,Lookups!B:B))*Pipeline_tbl[[#This Row],[Pipeline_Amount_USD]]</f>
        <v>3000</v>
      </c>
      <c r="O1525" t="str">
        <f>_xlfn.XLOOKUP(Pipeline_tbl[[#This Row],[Rep_ID]],Dim_Reps!A:A,Dim_Reps!B:B)</f>
        <v>Jamie Schmidt</v>
      </c>
      <c r="P1525" t="str">
        <f>_xlfn.XLOOKUP(Pipeline_tbl[[#This Row],[Rep_ID]],Dim_Reps!A:A,Dim_Reps!C:C)</f>
        <v>SDR / Inside Sales Rep</v>
      </c>
      <c r="Q1525" t="str">
        <f>_xlfn.XLOOKUP(Pipeline_tbl[[#This Row],[Rep_ID]],Dim_Reps!A:A,Dim_Reps!D:D)</f>
        <v>Inside Sales</v>
      </c>
      <c r="R1525" t="str">
        <f>_xlfn.XLOOKUP(Pipeline_tbl[[#This Row],[Rep_ID]],Dim_Reps!A:A,Dim_Reps!E:E)</f>
        <v>APAC</v>
      </c>
      <c r="S1525" t="str">
        <f>_xlfn.XLOOKUP(Pipeline_tbl[[#This Row],[Created_Date]],Dim_Date!A:A,Dim_Date!H:H)</f>
        <v>Nov 2025</v>
      </c>
      <c r="T1525" t="str">
        <f>IF(Pipeline_tbl[[#This Row],[Closed_Date]]=0,"",(_xlfn.XLOOKUP(Pipeline_tbl[[#This Row],[Closed_Date]],Dim_Date!A:A,Dim_Date!H:H)))</f>
        <v>Dec 2025</v>
      </c>
      <c r="U1525">
        <f>IF(Pipeline_tbl[[#This Row],[Closed_Date]]=0,"",Pipeline_tbl[[#This Row],[Closed_Date]]-Pipeline_tbl[[#This Row],[Created_Date]])</f>
        <v>18</v>
      </c>
    </row>
    <row r="1526" spans="1:21" ht="15" customHeight="1" x14ac:dyDescent="0.2">
      <c r="A1526" t="s">
        <v>1832</v>
      </c>
      <c r="B1526" t="s">
        <v>215</v>
      </c>
      <c r="C1526" t="s">
        <v>53</v>
      </c>
      <c r="D1526" s="49">
        <v>45978</v>
      </c>
      <c r="E1526" s="49">
        <v>45980</v>
      </c>
      <c r="F1526" s="49">
        <v>45984</v>
      </c>
      <c r="G1526" s="49">
        <v>45989</v>
      </c>
      <c r="H1526" s="49">
        <v>45994</v>
      </c>
      <c r="I1526" s="49">
        <v>45997</v>
      </c>
      <c r="J1526" t="s">
        <v>47</v>
      </c>
      <c r="K1526" s="33">
        <v>3600</v>
      </c>
      <c r="M1526" t="str">
        <f>_xlfn.XLOOKUP(Pipeline_tbl[[#This Row],[Rep_ID]],Dim_Reps!A:A,Dim_Reps!K:K)</f>
        <v>EUR</v>
      </c>
      <c r="N1526" s="33">
        <f>(_xlfn.XLOOKUP(Pipeline_tbl[[#This Row],[Rate_Code_Generalized]],Lookups!A:A,Lookups!B:B))*Pipeline_tbl[[#This Row],[Pipeline_Amount_USD]]</f>
        <v>3600</v>
      </c>
      <c r="O1526" t="str">
        <f>_xlfn.XLOOKUP(Pipeline_tbl[[#This Row],[Rep_ID]],Dim_Reps!A:A,Dim_Reps!B:B)</f>
        <v>Jamie Schmidt</v>
      </c>
      <c r="P1526" t="str">
        <f>_xlfn.XLOOKUP(Pipeline_tbl[[#This Row],[Rep_ID]],Dim_Reps!A:A,Dim_Reps!C:C)</f>
        <v>SDR / Inside Sales Rep</v>
      </c>
      <c r="Q1526" t="str">
        <f>_xlfn.XLOOKUP(Pipeline_tbl[[#This Row],[Rep_ID]],Dim_Reps!A:A,Dim_Reps!D:D)</f>
        <v>Inside Sales</v>
      </c>
      <c r="R1526" t="str">
        <f>_xlfn.XLOOKUP(Pipeline_tbl[[#This Row],[Rep_ID]],Dim_Reps!A:A,Dim_Reps!E:E)</f>
        <v>APAC</v>
      </c>
      <c r="S1526" t="str">
        <f>_xlfn.XLOOKUP(Pipeline_tbl[[#This Row],[Created_Date]],Dim_Date!A:A,Dim_Date!H:H)</f>
        <v>Nov 2025</v>
      </c>
      <c r="T1526" t="str">
        <f>IF(Pipeline_tbl[[#This Row],[Closed_Date]]=0,"",(_xlfn.XLOOKUP(Pipeline_tbl[[#This Row],[Closed_Date]],Dim_Date!A:A,Dim_Date!H:H)))</f>
        <v>Dec 2025</v>
      </c>
      <c r="U1526">
        <f>IF(Pipeline_tbl[[#This Row],[Closed_Date]]=0,"",Pipeline_tbl[[#This Row],[Closed_Date]]-Pipeline_tbl[[#This Row],[Created_Date]])</f>
        <v>19</v>
      </c>
    </row>
    <row r="1527" spans="1:21" ht="15" customHeight="1" x14ac:dyDescent="0.2">
      <c r="A1527" t="s">
        <v>1833</v>
      </c>
      <c r="B1527" t="s">
        <v>217</v>
      </c>
      <c r="C1527" t="s">
        <v>52</v>
      </c>
      <c r="D1527" s="49">
        <v>45983</v>
      </c>
      <c r="E1527" s="49">
        <v>45985</v>
      </c>
      <c r="F1527" s="49">
        <v>45989</v>
      </c>
      <c r="G1527" s="49">
        <v>45995</v>
      </c>
      <c r="H1527" s="49">
        <v>46000</v>
      </c>
      <c r="I1527" s="49">
        <v>46003</v>
      </c>
      <c r="J1527" t="s">
        <v>49</v>
      </c>
      <c r="K1527" s="33">
        <v>2500</v>
      </c>
      <c r="L1527" t="s">
        <v>61</v>
      </c>
      <c r="M1527" t="str">
        <f>_xlfn.XLOOKUP(Pipeline_tbl[[#This Row],[Rep_ID]],Dim_Reps!A:A,Dim_Reps!K:K)</f>
        <v>USD</v>
      </c>
      <c r="N1527" s="33">
        <f>(_xlfn.XLOOKUP(Pipeline_tbl[[#This Row],[Rate_Code_Generalized]],Lookups!A:A,Lookups!B:B))*Pipeline_tbl[[#This Row],[Pipeline_Amount_USD]]</f>
        <v>2910.7499999999995</v>
      </c>
      <c r="O1527" t="str">
        <f>_xlfn.XLOOKUP(Pipeline_tbl[[#This Row],[Rep_ID]],Dim_Reps!A:A,Dim_Reps!B:B)</f>
        <v>Priya Weber</v>
      </c>
      <c r="P1527" t="str">
        <f>_xlfn.XLOOKUP(Pipeline_tbl[[#This Row],[Rep_ID]],Dim_Reps!A:A,Dim_Reps!C:C)</f>
        <v>SDR / Inside Sales Rep</v>
      </c>
      <c r="Q1527" t="str">
        <f>_xlfn.XLOOKUP(Pipeline_tbl[[#This Row],[Rep_ID]],Dim_Reps!A:A,Dim_Reps!D:D)</f>
        <v>Inside Sales</v>
      </c>
      <c r="R1527" t="str">
        <f>_xlfn.XLOOKUP(Pipeline_tbl[[#This Row],[Rep_ID]],Dim_Reps!A:A,Dim_Reps!E:E)</f>
        <v>NAMER</v>
      </c>
      <c r="S1527" t="str">
        <f>_xlfn.XLOOKUP(Pipeline_tbl[[#This Row],[Created_Date]],Dim_Date!A:A,Dim_Date!H:H)</f>
        <v>Nov 2025</v>
      </c>
      <c r="T1527" t="str">
        <f>IF(Pipeline_tbl[[#This Row],[Closed_Date]]=0,"",(_xlfn.XLOOKUP(Pipeline_tbl[[#This Row],[Closed_Date]],Dim_Date!A:A,Dim_Date!H:H)))</f>
        <v>Dec 2025</v>
      </c>
      <c r="U1527">
        <f>IF(Pipeline_tbl[[#This Row],[Closed_Date]]=0,"",Pipeline_tbl[[#This Row],[Closed_Date]]-Pipeline_tbl[[#This Row],[Created_Date]])</f>
        <v>20</v>
      </c>
    </row>
    <row r="1528" spans="1:21" ht="15" customHeight="1" x14ac:dyDescent="0.2">
      <c r="A1528" t="s">
        <v>1834</v>
      </c>
      <c r="B1528" t="s">
        <v>217</v>
      </c>
      <c r="C1528" t="s">
        <v>54</v>
      </c>
      <c r="D1528" s="49">
        <v>45979</v>
      </c>
      <c r="E1528" s="49">
        <v>45981</v>
      </c>
      <c r="F1528" s="49">
        <v>45985</v>
      </c>
      <c r="G1528" s="49">
        <v>45990</v>
      </c>
      <c r="H1528" s="49">
        <v>45995</v>
      </c>
      <c r="I1528" s="49">
        <v>45998</v>
      </c>
      <c r="J1528" t="s">
        <v>47</v>
      </c>
      <c r="K1528" s="33">
        <v>5800</v>
      </c>
      <c r="M1528" t="str">
        <f>_xlfn.XLOOKUP(Pipeline_tbl[[#This Row],[Rep_ID]],Dim_Reps!A:A,Dim_Reps!K:K)</f>
        <v>USD</v>
      </c>
      <c r="N1528" s="33">
        <f>(_xlfn.XLOOKUP(Pipeline_tbl[[#This Row],[Rate_Code_Generalized]],Lookups!A:A,Lookups!B:B))*Pipeline_tbl[[#This Row],[Pipeline_Amount_USD]]</f>
        <v>6752.94</v>
      </c>
      <c r="O1528" t="str">
        <f>_xlfn.XLOOKUP(Pipeline_tbl[[#This Row],[Rep_ID]],Dim_Reps!A:A,Dim_Reps!B:B)</f>
        <v>Priya Weber</v>
      </c>
      <c r="P1528" t="str">
        <f>_xlfn.XLOOKUP(Pipeline_tbl[[#This Row],[Rep_ID]],Dim_Reps!A:A,Dim_Reps!C:C)</f>
        <v>SDR / Inside Sales Rep</v>
      </c>
      <c r="Q1528" t="str">
        <f>_xlfn.XLOOKUP(Pipeline_tbl[[#This Row],[Rep_ID]],Dim_Reps!A:A,Dim_Reps!D:D)</f>
        <v>Inside Sales</v>
      </c>
      <c r="R1528" t="str">
        <f>_xlfn.XLOOKUP(Pipeline_tbl[[#This Row],[Rep_ID]],Dim_Reps!A:A,Dim_Reps!E:E)</f>
        <v>NAMER</v>
      </c>
      <c r="S1528" t="str">
        <f>_xlfn.XLOOKUP(Pipeline_tbl[[#This Row],[Created_Date]],Dim_Date!A:A,Dim_Date!H:H)</f>
        <v>Nov 2025</v>
      </c>
      <c r="T1528" t="str">
        <f>IF(Pipeline_tbl[[#This Row],[Closed_Date]]=0,"",(_xlfn.XLOOKUP(Pipeline_tbl[[#This Row],[Closed_Date]],Dim_Date!A:A,Dim_Date!H:H)))</f>
        <v>Dec 2025</v>
      </c>
      <c r="U1528">
        <f>IF(Pipeline_tbl[[#This Row],[Closed_Date]]=0,"",Pipeline_tbl[[#This Row],[Closed_Date]]-Pipeline_tbl[[#This Row],[Created_Date]])</f>
        <v>19</v>
      </c>
    </row>
    <row r="1529" spans="1:21" ht="15" customHeight="1" x14ac:dyDescent="0.2">
      <c r="A1529" t="s">
        <v>1835</v>
      </c>
      <c r="B1529" t="s">
        <v>217</v>
      </c>
      <c r="C1529" t="s">
        <v>52</v>
      </c>
      <c r="D1529" s="49">
        <v>45974</v>
      </c>
      <c r="E1529" s="49">
        <v>45976</v>
      </c>
      <c r="F1529" s="49">
        <v>45980</v>
      </c>
      <c r="G1529" s="49">
        <v>45985</v>
      </c>
      <c r="H1529" s="49">
        <v>45990</v>
      </c>
      <c r="I1529" s="49">
        <v>45993</v>
      </c>
      <c r="J1529" t="s">
        <v>47</v>
      </c>
      <c r="K1529" s="33">
        <v>2600</v>
      </c>
      <c r="M1529" t="str">
        <f>_xlfn.XLOOKUP(Pipeline_tbl[[#This Row],[Rep_ID]],Dim_Reps!A:A,Dim_Reps!K:K)</f>
        <v>USD</v>
      </c>
      <c r="N1529" s="33">
        <f>(_xlfn.XLOOKUP(Pipeline_tbl[[#This Row],[Rate_Code_Generalized]],Lookups!A:A,Lookups!B:B))*Pipeline_tbl[[#This Row],[Pipeline_Amount_USD]]</f>
        <v>3027.18</v>
      </c>
      <c r="O1529" t="str">
        <f>_xlfn.XLOOKUP(Pipeline_tbl[[#This Row],[Rep_ID]],Dim_Reps!A:A,Dim_Reps!B:B)</f>
        <v>Priya Weber</v>
      </c>
      <c r="P1529" t="str">
        <f>_xlfn.XLOOKUP(Pipeline_tbl[[#This Row],[Rep_ID]],Dim_Reps!A:A,Dim_Reps!C:C)</f>
        <v>SDR / Inside Sales Rep</v>
      </c>
      <c r="Q1529" t="str">
        <f>_xlfn.XLOOKUP(Pipeline_tbl[[#This Row],[Rep_ID]],Dim_Reps!A:A,Dim_Reps!D:D)</f>
        <v>Inside Sales</v>
      </c>
      <c r="R1529" t="str">
        <f>_xlfn.XLOOKUP(Pipeline_tbl[[#This Row],[Rep_ID]],Dim_Reps!A:A,Dim_Reps!E:E)</f>
        <v>NAMER</v>
      </c>
      <c r="S1529" t="str">
        <f>_xlfn.XLOOKUP(Pipeline_tbl[[#This Row],[Created_Date]],Dim_Date!A:A,Dim_Date!H:H)</f>
        <v>Nov 2025</v>
      </c>
      <c r="T1529" t="str">
        <f>IF(Pipeline_tbl[[#This Row],[Closed_Date]]=0,"",(_xlfn.XLOOKUP(Pipeline_tbl[[#This Row],[Closed_Date]],Dim_Date!A:A,Dim_Date!H:H)))</f>
        <v>Dec 2025</v>
      </c>
      <c r="U1529">
        <f>IF(Pipeline_tbl[[#This Row],[Closed_Date]]=0,"",Pipeline_tbl[[#This Row],[Closed_Date]]-Pipeline_tbl[[#This Row],[Created_Date]])</f>
        <v>19</v>
      </c>
    </row>
    <row r="1530" spans="1:21" ht="15" customHeight="1" x14ac:dyDescent="0.2">
      <c r="A1530" t="s">
        <v>1836</v>
      </c>
      <c r="B1530" t="s">
        <v>217</v>
      </c>
      <c r="C1530" t="s">
        <v>54</v>
      </c>
      <c r="D1530" s="49">
        <v>45990</v>
      </c>
      <c r="E1530" s="49">
        <v>45991</v>
      </c>
      <c r="F1530" s="49">
        <v>45993</v>
      </c>
      <c r="I1530" s="49">
        <v>46000</v>
      </c>
      <c r="J1530" t="s">
        <v>49</v>
      </c>
      <c r="K1530" s="33">
        <v>5000</v>
      </c>
      <c r="L1530" t="s">
        <v>61</v>
      </c>
      <c r="M1530" t="str">
        <f>_xlfn.XLOOKUP(Pipeline_tbl[[#This Row],[Rep_ID]],Dim_Reps!A:A,Dim_Reps!K:K)</f>
        <v>USD</v>
      </c>
      <c r="N1530" s="33">
        <f>(_xlfn.XLOOKUP(Pipeline_tbl[[#This Row],[Rate_Code_Generalized]],Lookups!A:A,Lookups!B:B))*Pipeline_tbl[[#This Row],[Pipeline_Amount_USD]]</f>
        <v>5821.4999999999991</v>
      </c>
      <c r="O1530" t="str">
        <f>_xlfn.XLOOKUP(Pipeline_tbl[[#This Row],[Rep_ID]],Dim_Reps!A:A,Dim_Reps!B:B)</f>
        <v>Priya Weber</v>
      </c>
      <c r="P1530" t="str">
        <f>_xlfn.XLOOKUP(Pipeline_tbl[[#This Row],[Rep_ID]],Dim_Reps!A:A,Dim_Reps!C:C)</f>
        <v>SDR / Inside Sales Rep</v>
      </c>
      <c r="Q1530" t="str">
        <f>_xlfn.XLOOKUP(Pipeline_tbl[[#This Row],[Rep_ID]],Dim_Reps!A:A,Dim_Reps!D:D)</f>
        <v>Inside Sales</v>
      </c>
      <c r="R1530" t="str">
        <f>_xlfn.XLOOKUP(Pipeline_tbl[[#This Row],[Rep_ID]],Dim_Reps!A:A,Dim_Reps!E:E)</f>
        <v>NAMER</v>
      </c>
      <c r="S1530" t="str">
        <f>_xlfn.XLOOKUP(Pipeline_tbl[[#This Row],[Created_Date]],Dim_Date!A:A,Dim_Date!H:H)</f>
        <v>Nov 2025</v>
      </c>
      <c r="T1530" t="str">
        <f>IF(Pipeline_tbl[[#This Row],[Closed_Date]]=0,"",(_xlfn.XLOOKUP(Pipeline_tbl[[#This Row],[Closed_Date]],Dim_Date!A:A,Dim_Date!H:H)))</f>
        <v>Dec 2025</v>
      </c>
      <c r="U1530">
        <f>IF(Pipeline_tbl[[#This Row],[Closed_Date]]=0,"",Pipeline_tbl[[#This Row],[Closed_Date]]-Pipeline_tbl[[#This Row],[Created_Date]])</f>
        <v>10</v>
      </c>
    </row>
    <row r="1531" spans="1:21" ht="15" customHeight="1" x14ac:dyDescent="0.2">
      <c r="A1531" t="s">
        <v>1837</v>
      </c>
      <c r="B1531" t="s">
        <v>217</v>
      </c>
      <c r="C1531" t="s">
        <v>54</v>
      </c>
      <c r="D1531" s="49">
        <v>45988</v>
      </c>
      <c r="E1531" s="49">
        <v>45990</v>
      </c>
      <c r="F1531" s="49">
        <v>45994</v>
      </c>
      <c r="G1531" s="49">
        <v>46000</v>
      </c>
      <c r="H1531" s="49">
        <v>46005</v>
      </c>
      <c r="I1531" s="49">
        <v>46008</v>
      </c>
      <c r="J1531" t="s">
        <v>49</v>
      </c>
      <c r="K1531" s="33">
        <v>4000</v>
      </c>
      <c r="L1531" t="s">
        <v>60</v>
      </c>
      <c r="M1531" t="str">
        <f>_xlfn.XLOOKUP(Pipeline_tbl[[#This Row],[Rep_ID]],Dim_Reps!A:A,Dim_Reps!K:K)</f>
        <v>USD</v>
      </c>
      <c r="N1531" s="33">
        <f>(_xlfn.XLOOKUP(Pipeline_tbl[[#This Row],[Rate_Code_Generalized]],Lookups!A:A,Lookups!B:B))*Pipeline_tbl[[#This Row],[Pipeline_Amount_USD]]</f>
        <v>4657.2</v>
      </c>
      <c r="O1531" t="str">
        <f>_xlfn.XLOOKUP(Pipeline_tbl[[#This Row],[Rep_ID]],Dim_Reps!A:A,Dim_Reps!B:B)</f>
        <v>Priya Weber</v>
      </c>
      <c r="P1531" t="str">
        <f>_xlfn.XLOOKUP(Pipeline_tbl[[#This Row],[Rep_ID]],Dim_Reps!A:A,Dim_Reps!C:C)</f>
        <v>SDR / Inside Sales Rep</v>
      </c>
      <c r="Q1531" t="str">
        <f>_xlfn.XLOOKUP(Pipeline_tbl[[#This Row],[Rep_ID]],Dim_Reps!A:A,Dim_Reps!D:D)</f>
        <v>Inside Sales</v>
      </c>
      <c r="R1531" t="str">
        <f>_xlfn.XLOOKUP(Pipeline_tbl[[#This Row],[Rep_ID]],Dim_Reps!A:A,Dim_Reps!E:E)</f>
        <v>NAMER</v>
      </c>
      <c r="S1531" t="str">
        <f>_xlfn.XLOOKUP(Pipeline_tbl[[#This Row],[Created_Date]],Dim_Date!A:A,Dim_Date!H:H)</f>
        <v>Nov 2025</v>
      </c>
      <c r="T1531" t="str">
        <f>IF(Pipeline_tbl[[#This Row],[Closed_Date]]=0,"",(_xlfn.XLOOKUP(Pipeline_tbl[[#This Row],[Closed_Date]],Dim_Date!A:A,Dim_Date!H:H)))</f>
        <v>Dec 2025</v>
      </c>
      <c r="U1531">
        <f>IF(Pipeline_tbl[[#This Row],[Closed_Date]]=0,"",Pipeline_tbl[[#This Row],[Closed_Date]]-Pipeline_tbl[[#This Row],[Created_Date]])</f>
        <v>20</v>
      </c>
    </row>
    <row r="1532" spans="1:21" ht="15" customHeight="1" x14ac:dyDescent="0.2">
      <c r="A1532" t="s">
        <v>1838</v>
      </c>
      <c r="B1532" t="s">
        <v>217</v>
      </c>
      <c r="C1532" t="s">
        <v>52</v>
      </c>
      <c r="D1532" s="49">
        <v>45986</v>
      </c>
      <c r="E1532" s="49">
        <v>45988</v>
      </c>
      <c r="F1532" s="49">
        <v>45992</v>
      </c>
      <c r="G1532" s="49">
        <v>45998</v>
      </c>
      <c r="H1532" s="49">
        <v>46003</v>
      </c>
      <c r="I1532" s="49">
        <v>46006</v>
      </c>
      <c r="J1532" t="s">
        <v>47</v>
      </c>
      <c r="K1532" s="33">
        <v>7200</v>
      </c>
      <c r="M1532" t="str">
        <f>_xlfn.XLOOKUP(Pipeline_tbl[[#This Row],[Rep_ID]],Dim_Reps!A:A,Dim_Reps!K:K)</f>
        <v>USD</v>
      </c>
      <c r="N1532" s="33">
        <f>(_xlfn.XLOOKUP(Pipeline_tbl[[#This Row],[Rate_Code_Generalized]],Lookups!A:A,Lookups!B:B))*Pipeline_tbl[[#This Row],[Pipeline_Amount_USD]]</f>
        <v>8382.9599999999991</v>
      </c>
      <c r="O1532" t="str">
        <f>_xlfn.XLOOKUP(Pipeline_tbl[[#This Row],[Rep_ID]],Dim_Reps!A:A,Dim_Reps!B:B)</f>
        <v>Priya Weber</v>
      </c>
      <c r="P1532" t="str">
        <f>_xlfn.XLOOKUP(Pipeline_tbl[[#This Row],[Rep_ID]],Dim_Reps!A:A,Dim_Reps!C:C)</f>
        <v>SDR / Inside Sales Rep</v>
      </c>
      <c r="Q1532" t="str">
        <f>_xlfn.XLOOKUP(Pipeline_tbl[[#This Row],[Rep_ID]],Dim_Reps!A:A,Dim_Reps!D:D)</f>
        <v>Inside Sales</v>
      </c>
      <c r="R1532" t="str">
        <f>_xlfn.XLOOKUP(Pipeline_tbl[[#This Row],[Rep_ID]],Dim_Reps!A:A,Dim_Reps!E:E)</f>
        <v>NAMER</v>
      </c>
      <c r="S1532" t="str">
        <f>_xlfn.XLOOKUP(Pipeline_tbl[[#This Row],[Created_Date]],Dim_Date!A:A,Dim_Date!H:H)</f>
        <v>Nov 2025</v>
      </c>
      <c r="T1532" t="str">
        <f>IF(Pipeline_tbl[[#This Row],[Closed_Date]]=0,"",(_xlfn.XLOOKUP(Pipeline_tbl[[#This Row],[Closed_Date]],Dim_Date!A:A,Dim_Date!H:H)))</f>
        <v>Dec 2025</v>
      </c>
      <c r="U1532">
        <f>IF(Pipeline_tbl[[#This Row],[Closed_Date]]=0,"",Pipeline_tbl[[#This Row],[Closed_Date]]-Pipeline_tbl[[#This Row],[Created_Date]])</f>
        <v>20</v>
      </c>
    </row>
    <row r="1533" spans="1:21" ht="15" customHeight="1" x14ac:dyDescent="0.2">
      <c r="A1533" t="s">
        <v>1839</v>
      </c>
      <c r="B1533" t="s">
        <v>217</v>
      </c>
      <c r="C1533" t="s">
        <v>53</v>
      </c>
      <c r="D1533" s="49">
        <v>45987</v>
      </c>
      <c r="E1533" s="49">
        <v>45988</v>
      </c>
      <c r="F1533" s="49">
        <v>45991</v>
      </c>
      <c r="G1533" s="49">
        <v>45995</v>
      </c>
      <c r="H1533" s="49">
        <v>45998</v>
      </c>
      <c r="I1533" s="49">
        <v>46000</v>
      </c>
      <c r="J1533" t="s">
        <v>47</v>
      </c>
      <c r="K1533" s="33">
        <v>5300</v>
      </c>
      <c r="M1533" t="str">
        <f>_xlfn.XLOOKUP(Pipeline_tbl[[#This Row],[Rep_ID]],Dim_Reps!A:A,Dim_Reps!K:K)</f>
        <v>USD</v>
      </c>
      <c r="N1533" s="33">
        <f>(_xlfn.XLOOKUP(Pipeline_tbl[[#This Row],[Rate_Code_Generalized]],Lookups!A:A,Lookups!B:B))*Pipeline_tbl[[#This Row],[Pipeline_Amount_USD]]</f>
        <v>6170.7899999999991</v>
      </c>
      <c r="O1533" t="str">
        <f>_xlfn.XLOOKUP(Pipeline_tbl[[#This Row],[Rep_ID]],Dim_Reps!A:A,Dim_Reps!B:B)</f>
        <v>Priya Weber</v>
      </c>
      <c r="P1533" t="str">
        <f>_xlfn.XLOOKUP(Pipeline_tbl[[#This Row],[Rep_ID]],Dim_Reps!A:A,Dim_Reps!C:C)</f>
        <v>SDR / Inside Sales Rep</v>
      </c>
      <c r="Q1533" t="str">
        <f>_xlfn.XLOOKUP(Pipeline_tbl[[#This Row],[Rep_ID]],Dim_Reps!A:A,Dim_Reps!D:D)</f>
        <v>Inside Sales</v>
      </c>
      <c r="R1533" t="str">
        <f>_xlfn.XLOOKUP(Pipeline_tbl[[#This Row],[Rep_ID]],Dim_Reps!A:A,Dim_Reps!E:E)</f>
        <v>NAMER</v>
      </c>
      <c r="S1533" t="str">
        <f>_xlfn.XLOOKUP(Pipeline_tbl[[#This Row],[Created_Date]],Dim_Date!A:A,Dim_Date!H:H)</f>
        <v>Nov 2025</v>
      </c>
      <c r="T1533" t="str">
        <f>IF(Pipeline_tbl[[#This Row],[Closed_Date]]=0,"",(_xlfn.XLOOKUP(Pipeline_tbl[[#This Row],[Closed_Date]],Dim_Date!A:A,Dim_Date!H:H)))</f>
        <v>Dec 2025</v>
      </c>
      <c r="U1533">
        <f>IF(Pipeline_tbl[[#This Row],[Closed_Date]]=0,"",Pipeline_tbl[[#This Row],[Closed_Date]]-Pipeline_tbl[[#This Row],[Created_Date]])</f>
        <v>13</v>
      </c>
    </row>
    <row r="1534" spans="1:21" ht="15" customHeight="1" x14ac:dyDescent="0.2">
      <c r="A1534" t="s">
        <v>1840</v>
      </c>
      <c r="B1534" t="s">
        <v>219</v>
      </c>
      <c r="C1534" t="s">
        <v>52</v>
      </c>
      <c r="D1534" s="49">
        <v>45982</v>
      </c>
      <c r="E1534" s="49">
        <v>45984</v>
      </c>
      <c r="F1534" s="49">
        <v>45989</v>
      </c>
      <c r="G1534" s="49">
        <v>45996</v>
      </c>
      <c r="H1534" s="49">
        <v>46002</v>
      </c>
      <c r="I1534" s="49">
        <v>46005</v>
      </c>
      <c r="J1534" t="s">
        <v>47</v>
      </c>
      <c r="K1534" s="33">
        <v>2000</v>
      </c>
      <c r="M1534" t="str">
        <f>_xlfn.XLOOKUP(Pipeline_tbl[[#This Row],[Rep_ID]],Dim_Reps!A:A,Dim_Reps!K:K)</f>
        <v>EUR</v>
      </c>
      <c r="N1534" s="33">
        <f>(_xlfn.XLOOKUP(Pipeline_tbl[[#This Row],[Rate_Code_Generalized]],Lookups!A:A,Lookups!B:B))*Pipeline_tbl[[#This Row],[Pipeline_Amount_USD]]</f>
        <v>2000</v>
      </c>
      <c r="O1534" t="str">
        <f>_xlfn.XLOOKUP(Pipeline_tbl[[#This Row],[Rep_ID]],Dim_Reps!A:A,Dim_Reps!B:B)</f>
        <v>Riley Duarte</v>
      </c>
      <c r="P1534" t="str">
        <f>_xlfn.XLOOKUP(Pipeline_tbl[[#This Row],[Rep_ID]],Dim_Reps!A:A,Dim_Reps!C:C)</f>
        <v>SDR / Inside Sales Rep</v>
      </c>
      <c r="Q1534" t="str">
        <f>_xlfn.XLOOKUP(Pipeline_tbl[[#This Row],[Rep_ID]],Dim_Reps!A:A,Dim_Reps!D:D)</f>
        <v>Inside Sales</v>
      </c>
      <c r="R1534" t="str">
        <f>_xlfn.XLOOKUP(Pipeline_tbl[[#This Row],[Rep_ID]],Dim_Reps!A:A,Dim_Reps!E:E)</f>
        <v>APAC</v>
      </c>
      <c r="S1534" t="str">
        <f>_xlfn.XLOOKUP(Pipeline_tbl[[#This Row],[Created_Date]],Dim_Date!A:A,Dim_Date!H:H)</f>
        <v>Nov 2025</v>
      </c>
      <c r="T1534" t="str">
        <f>IF(Pipeline_tbl[[#This Row],[Closed_Date]]=0,"",(_xlfn.XLOOKUP(Pipeline_tbl[[#This Row],[Closed_Date]],Dim_Date!A:A,Dim_Date!H:H)))</f>
        <v>Dec 2025</v>
      </c>
      <c r="U1534">
        <f>IF(Pipeline_tbl[[#This Row],[Closed_Date]]=0,"",Pipeline_tbl[[#This Row],[Closed_Date]]-Pipeline_tbl[[#This Row],[Created_Date]])</f>
        <v>23</v>
      </c>
    </row>
    <row r="1535" spans="1:21" ht="15" customHeight="1" x14ac:dyDescent="0.2">
      <c r="A1535" t="s">
        <v>1841</v>
      </c>
      <c r="B1535" t="s">
        <v>219</v>
      </c>
      <c r="C1535" t="s">
        <v>52</v>
      </c>
      <c r="D1535" s="49">
        <v>45972</v>
      </c>
      <c r="E1535" s="49">
        <v>45974</v>
      </c>
      <c r="F1535" s="49">
        <v>45979</v>
      </c>
      <c r="G1535" s="49">
        <v>45985</v>
      </c>
      <c r="H1535" s="49">
        <v>45991</v>
      </c>
      <c r="I1535" s="49">
        <v>45994</v>
      </c>
      <c r="J1535" t="s">
        <v>47</v>
      </c>
      <c r="K1535" s="33">
        <v>1900</v>
      </c>
      <c r="M1535" t="str">
        <f>_xlfn.XLOOKUP(Pipeline_tbl[[#This Row],[Rep_ID]],Dim_Reps!A:A,Dim_Reps!K:K)</f>
        <v>EUR</v>
      </c>
      <c r="N1535" s="33">
        <f>(_xlfn.XLOOKUP(Pipeline_tbl[[#This Row],[Rate_Code_Generalized]],Lookups!A:A,Lookups!B:B))*Pipeline_tbl[[#This Row],[Pipeline_Amount_USD]]</f>
        <v>1900</v>
      </c>
      <c r="O1535" t="str">
        <f>_xlfn.XLOOKUP(Pipeline_tbl[[#This Row],[Rep_ID]],Dim_Reps!A:A,Dim_Reps!B:B)</f>
        <v>Riley Duarte</v>
      </c>
      <c r="P1535" t="str">
        <f>_xlfn.XLOOKUP(Pipeline_tbl[[#This Row],[Rep_ID]],Dim_Reps!A:A,Dim_Reps!C:C)</f>
        <v>SDR / Inside Sales Rep</v>
      </c>
      <c r="Q1535" t="str">
        <f>_xlfn.XLOOKUP(Pipeline_tbl[[#This Row],[Rep_ID]],Dim_Reps!A:A,Dim_Reps!D:D)</f>
        <v>Inside Sales</v>
      </c>
      <c r="R1535" t="str">
        <f>_xlfn.XLOOKUP(Pipeline_tbl[[#This Row],[Rep_ID]],Dim_Reps!A:A,Dim_Reps!E:E)</f>
        <v>APAC</v>
      </c>
      <c r="S1535" t="str">
        <f>_xlfn.XLOOKUP(Pipeline_tbl[[#This Row],[Created_Date]],Dim_Date!A:A,Dim_Date!H:H)</f>
        <v>Nov 2025</v>
      </c>
      <c r="T1535" t="str">
        <f>IF(Pipeline_tbl[[#This Row],[Closed_Date]]=0,"",(_xlfn.XLOOKUP(Pipeline_tbl[[#This Row],[Closed_Date]],Dim_Date!A:A,Dim_Date!H:H)))</f>
        <v>Dec 2025</v>
      </c>
      <c r="U1535">
        <f>IF(Pipeline_tbl[[#This Row],[Closed_Date]]=0,"",Pipeline_tbl[[#This Row],[Closed_Date]]-Pipeline_tbl[[#This Row],[Created_Date]])</f>
        <v>22</v>
      </c>
    </row>
    <row r="1536" spans="1:21" ht="15" customHeight="1" x14ac:dyDescent="0.2">
      <c r="A1536" t="s">
        <v>1842</v>
      </c>
      <c r="B1536" t="s">
        <v>219</v>
      </c>
      <c r="C1536" t="s">
        <v>53</v>
      </c>
      <c r="D1536" s="49">
        <v>45984</v>
      </c>
      <c r="E1536" s="49">
        <v>45986</v>
      </c>
      <c r="F1536" s="49">
        <v>45990</v>
      </c>
      <c r="G1536" s="49">
        <v>45997</v>
      </c>
      <c r="H1536" s="49">
        <v>46002</v>
      </c>
      <c r="I1536" s="49">
        <v>46005</v>
      </c>
      <c r="J1536" t="s">
        <v>47</v>
      </c>
      <c r="K1536" s="33">
        <v>1900</v>
      </c>
      <c r="M1536" t="str">
        <f>_xlfn.XLOOKUP(Pipeline_tbl[[#This Row],[Rep_ID]],Dim_Reps!A:A,Dim_Reps!K:K)</f>
        <v>EUR</v>
      </c>
      <c r="N1536" s="33">
        <f>(_xlfn.XLOOKUP(Pipeline_tbl[[#This Row],[Rate_Code_Generalized]],Lookups!A:A,Lookups!B:B))*Pipeline_tbl[[#This Row],[Pipeline_Amount_USD]]</f>
        <v>1900</v>
      </c>
      <c r="O1536" t="str">
        <f>_xlfn.XLOOKUP(Pipeline_tbl[[#This Row],[Rep_ID]],Dim_Reps!A:A,Dim_Reps!B:B)</f>
        <v>Riley Duarte</v>
      </c>
      <c r="P1536" t="str">
        <f>_xlfn.XLOOKUP(Pipeline_tbl[[#This Row],[Rep_ID]],Dim_Reps!A:A,Dim_Reps!C:C)</f>
        <v>SDR / Inside Sales Rep</v>
      </c>
      <c r="Q1536" t="str">
        <f>_xlfn.XLOOKUP(Pipeline_tbl[[#This Row],[Rep_ID]],Dim_Reps!A:A,Dim_Reps!D:D)</f>
        <v>Inside Sales</v>
      </c>
      <c r="R1536" t="str">
        <f>_xlfn.XLOOKUP(Pipeline_tbl[[#This Row],[Rep_ID]],Dim_Reps!A:A,Dim_Reps!E:E)</f>
        <v>APAC</v>
      </c>
      <c r="S1536" t="str">
        <f>_xlfn.XLOOKUP(Pipeline_tbl[[#This Row],[Created_Date]],Dim_Date!A:A,Dim_Date!H:H)</f>
        <v>Nov 2025</v>
      </c>
      <c r="T1536" t="str">
        <f>IF(Pipeline_tbl[[#This Row],[Closed_Date]]=0,"",(_xlfn.XLOOKUP(Pipeline_tbl[[#This Row],[Closed_Date]],Dim_Date!A:A,Dim_Date!H:H)))</f>
        <v>Dec 2025</v>
      </c>
      <c r="U1536">
        <f>IF(Pipeline_tbl[[#This Row],[Closed_Date]]=0,"",Pipeline_tbl[[#This Row],[Closed_Date]]-Pipeline_tbl[[#This Row],[Created_Date]])</f>
        <v>21</v>
      </c>
    </row>
    <row r="1537" spans="1:21" ht="15" customHeight="1" x14ac:dyDescent="0.2">
      <c r="A1537" t="s">
        <v>1843</v>
      </c>
      <c r="B1537" t="s">
        <v>219</v>
      </c>
      <c r="C1537" t="s">
        <v>53</v>
      </c>
      <c r="D1537" s="49">
        <v>45977</v>
      </c>
      <c r="E1537" s="49">
        <v>45979</v>
      </c>
      <c r="F1537" s="49">
        <v>45983</v>
      </c>
      <c r="I1537" s="49">
        <v>45997</v>
      </c>
      <c r="J1537" t="s">
        <v>49</v>
      </c>
      <c r="K1537" s="33">
        <v>3700</v>
      </c>
      <c r="L1537" t="s">
        <v>61</v>
      </c>
      <c r="M1537" t="str">
        <f>_xlfn.XLOOKUP(Pipeline_tbl[[#This Row],[Rep_ID]],Dim_Reps!A:A,Dim_Reps!K:K)</f>
        <v>EUR</v>
      </c>
      <c r="N1537" s="33">
        <f>(_xlfn.XLOOKUP(Pipeline_tbl[[#This Row],[Rate_Code_Generalized]],Lookups!A:A,Lookups!B:B))*Pipeline_tbl[[#This Row],[Pipeline_Amount_USD]]</f>
        <v>3700</v>
      </c>
      <c r="O1537" t="str">
        <f>_xlfn.XLOOKUP(Pipeline_tbl[[#This Row],[Rep_ID]],Dim_Reps!A:A,Dim_Reps!B:B)</f>
        <v>Riley Duarte</v>
      </c>
      <c r="P1537" t="str">
        <f>_xlfn.XLOOKUP(Pipeline_tbl[[#This Row],[Rep_ID]],Dim_Reps!A:A,Dim_Reps!C:C)</f>
        <v>SDR / Inside Sales Rep</v>
      </c>
      <c r="Q1537" t="str">
        <f>_xlfn.XLOOKUP(Pipeline_tbl[[#This Row],[Rep_ID]],Dim_Reps!A:A,Dim_Reps!D:D)</f>
        <v>Inside Sales</v>
      </c>
      <c r="R1537" t="str">
        <f>_xlfn.XLOOKUP(Pipeline_tbl[[#This Row],[Rep_ID]],Dim_Reps!A:A,Dim_Reps!E:E)</f>
        <v>APAC</v>
      </c>
      <c r="S1537" t="str">
        <f>_xlfn.XLOOKUP(Pipeline_tbl[[#This Row],[Created_Date]],Dim_Date!A:A,Dim_Date!H:H)</f>
        <v>Nov 2025</v>
      </c>
      <c r="T1537" t="str">
        <f>IF(Pipeline_tbl[[#This Row],[Closed_Date]]=0,"",(_xlfn.XLOOKUP(Pipeline_tbl[[#This Row],[Closed_Date]],Dim_Date!A:A,Dim_Date!H:H)))</f>
        <v>Dec 2025</v>
      </c>
      <c r="U1537">
        <f>IF(Pipeline_tbl[[#This Row],[Closed_Date]]=0,"",Pipeline_tbl[[#This Row],[Closed_Date]]-Pipeline_tbl[[#This Row],[Created_Date]])</f>
        <v>20</v>
      </c>
    </row>
    <row r="1538" spans="1:21" ht="15" customHeight="1" x14ac:dyDescent="0.2">
      <c r="A1538" t="s">
        <v>1844</v>
      </c>
      <c r="B1538" t="s">
        <v>219</v>
      </c>
      <c r="C1538" t="s">
        <v>52</v>
      </c>
      <c r="D1538" s="49">
        <v>45983</v>
      </c>
      <c r="E1538" s="49">
        <v>45984</v>
      </c>
      <c r="F1538" s="49">
        <v>45987</v>
      </c>
      <c r="G1538" s="49">
        <v>45990</v>
      </c>
      <c r="H1538" s="49">
        <v>45993</v>
      </c>
      <c r="I1538" s="49">
        <v>45995</v>
      </c>
      <c r="J1538" t="s">
        <v>47</v>
      </c>
      <c r="K1538" s="33">
        <v>3000</v>
      </c>
      <c r="M1538" t="str">
        <f>_xlfn.XLOOKUP(Pipeline_tbl[[#This Row],[Rep_ID]],Dim_Reps!A:A,Dim_Reps!K:K)</f>
        <v>EUR</v>
      </c>
      <c r="N1538" s="33">
        <f>(_xlfn.XLOOKUP(Pipeline_tbl[[#This Row],[Rate_Code_Generalized]],Lookups!A:A,Lookups!B:B))*Pipeline_tbl[[#This Row],[Pipeline_Amount_USD]]</f>
        <v>3000</v>
      </c>
      <c r="O1538" t="str">
        <f>_xlfn.XLOOKUP(Pipeline_tbl[[#This Row],[Rep_ID]],Dim_Reps!A:A,Dim_Reps!B:B)</f>
        <v>Riley Duarte</v>
      </c>
      <c r="P1538" t="str">
        <f>_xlfn.XLOOKUP(Pipeline_tbl[[#This Row],[Rep_ID]],Dim_Reps!A:A,Dim_Reps!C:C)</f>
        <v>SDR / Inside Sales Rep</v>
      </c>
      <c r="Q1538" t="str">
        <f>_xlfn.XLOOKUP(Pipeline_tbl[[#This Row],[Rep_ID]],Dim_Reps!A:A,Dim_Reps!D:D)</f>
        <v>Inside Sales</v>
      </c>
      <c r="R1538" t="str">
        <f>_xlfn.XLOOKUP(Pipeline_tbl[[#This Row],[Rep_ID]],Dim_Reps!A:A,Dim_Reps!E:E)</f>
        <v>APAC</v>
      </c>
      <c r="S1538" t="str">
        <f>_xlfn.XLOOKUP(Pipeline_tbl[[#This Row],[Created_Date]],Dim_Date!A:A,Dim_Date!H:H)</f>
        <v>Nov 2025</v>
      </c>
      <c r="T1538" t="str">
        <f>IF(Pipeline_tbl[[#This Row],[Closed_Date]]=0,"",(_xlfn.XLOOKUP(Pipeline_tbl[[#This Row],[Closed_Date]],Dim_Date!A:A,Dim_Date!H:H)))</f>
        <v>Dec 2025</v>
      </c>
      <c r="U1538">
        <f>IF(Pipeline_tbl[[#This Row],[Closed_Date]]=0,"",Pipeline_tbl[[#This Row],[Closed_Date]]-Pipeline_tbl[[#This Row],[Created_Date]])</f>
        <v>12</v>
      </c>
    </row>
    <row r="1539" spans="1:21" ht="15" customHeight="1" x14ac:dyDescent="0.2">
      <c r="A1539" t="s">
        <v>1845</v>
      </c>
      <c r="B1539" t="s">
        <v>255</v>
      </c>
      <c r="C1539" t="s">
        <v>53</v>
      </c>
      <c r="D1539" s="49">
        <v>45969</v>
      </c>
      <c r="E1539" s="49">
        <v>45974</v>
      </c>
      <c r="F1539" s="49">
        <v>45983</v>
      </c>
      <c r="G1539" s="49">
        <v>45997</v>
      </c>
      <c r="H1539" s="49">
        <v>46009</v>
      </c>
      <c r="I1539" s="49">
        <v>46016</v>
      </c>
      <c r="J1539" t="s">
        <v>47</v>
      </c>
      <c r="K1539" s="33">
        <v>4900</v>
      </c>
      <c r="M1539" t="str">
        <f>_xlfn.XLOOKUP(Pipeline_tbl[[#This Row],[Rep_ID]],Dim_Reps!A:A,Dim_Reps!K:K)</f>
        <v>USD</v>
      </c>
      <c r="N1539" s="33">
        <f>(_xlfn.XLOOKUP(Pipeline_tbl[[#This Row],[Rate_Code_Generalized]],Lookups!A:A,Lookups!B:B))*Pipeline_tbl[[#This Row],[Pipeline_Amount_USD]]</f>
        <v>5705.07</v>
      </c>
      <c r="O1539" t="str">
        <f>_xlfn.XLOOKUP(Pipeline_tbl[[#This Row],[Rep_ID]],Dim_Reps!A:A,Dim_Reps!B:B)</f>
        <v>Erik Kim</v>
      </c>
      <c r="P1539" t="str">
        <f>_xlfn.XLOOKUP(Pipeline_tbl[[#This Row],[Rep_ID]],Dim_Reps!A:A,Dim_Reps!C:C)</f>
        <v>Mid-Market AE</v>
      </c>
      <c r="Q1539" t="str">
        <f>_xlfn.XLOOKUP(Pipeline_tbl[[#This Row],[Rep_ID]],Dim_Reps!A:A,Dim_Reps!D:D)</f>
        <v>Mid-Market</v>
      </c>
      <c r="R1539" t="str">
        <f>_xlfn.XLOOKUP(Pipeline_tbl[[#This Row],[Rep_ID]],Dim_Reps!A:A,Dim_Reps!E:E)</f>
        <v>NAMER</v>
      </c>
      <c r="S1539" t="str">
        <f>_xlfn.XLOOKUP(Pipeline_tbl[[#This Row],[Created_Date]],Dim_Date!A:A,Dim_Date!H:H)</f>
        <v>Nov 2025</v>
      </c>
      <c r="T1539" t="str">
        <f>IF(Pipeline_tbl[[#This Row],[Closed_Date]]=0,"",(_xlfn.XLOOKUP(Pipeline_tbl[[#This Row],[Closed_Date]],Dim_Date!A:A,Dim_Date!H:H)))</f>
        <v>Dec 2025</v>
      </c>
      <c r="U1539">
        <f>IF(Pipeline_tbl[[#This Row],[Closed_Date]]=0,"",Pipeline_tbl[[#This Row],[Closed_Date]]-Pipeline_tbl[[#This Row],[Created_Date]])</f>
        <v>47</v>
      </c>
    </row>
    <row r="1540" spans="1:21" ht="15" customHeight="1" x14ac:dyDescent="0.2">
      <c r="A1540" t="s">
        <v>1846</v>
      </c>
      <c r="B1540" t="s">
        <v>255</v>
      </c>
      <c r="C1540" t="s">
        <v>56</v>
      </c>
      <c r="D1540" s="49">
        <v>45979</v>
      </c>
      <c r="E1540" s="49">
        <v>45983</v>
      </c>
      <c r="F1540" s="49">
        <v>45990</v>
      </c>
      <c r="G1540" s="49">
        <v>46001</v>
      </c>
      <c r="I1540" s="49">
        <v>46016</v>
      </c>
      <c r="J1540" t="s">
        <v>49</v>
      </c>
      <c r="K1540" s="33">
        <v>5300</v>
      </c>
      <c r="L1540" t="s">
        <v>60</v>
      </c>
      <c r="M1540" t="str">
        <f>_xlfn.XLOOKUP(Pipeline_tbl[[#This Row],[Rep_ID]],Dim_Reps!A:A,Dim_Reps!K:K)</f>
        <v>USD</v>
      </c>
      <c r="N1540" s="33">
        <f>(_xlfn.XLOOKUP(Pipeline_tbl[[#This Row],[Rate_Code_Generalized]],Lookups!A:A,Lookups!B:B))*Pipeline_tbl[[#This Row],[Pipeline_Amount_USD]]</f>
        <v>6170.7899999999991</v>
      </c>
      <c r="O1540" t="str">
        <f>_xlfn.XLOOKUP(Pipeline_tbl[[#This Row],[Rep_ID]],Dim_Reps!A:A,Dim_Reps!B:B)</f>
        <v>Erik Kim</v>
      </c>
      <c r="P1540" t="str">
        <f>_xlfn.XLOOKUP(Pipeline_tbl[[#This Row],[Rep_ID]],Dim_Reps!A:A,Dim_Reps!C:C)</f>
        <v>Mid-Market AE</v>
      </c>
      <c r="Q1540" t="str">
        <f>_xlfn.XLOOKUP(Pipeline_tbl[[#This Row],[Rep_ID]],Dim_Reps!A:A,Dim_Reps!D:D)</f>
        <v>Mid-Market</v>
      </c>
      <c r="R1540" t="str">
        <f>_xlfn.XLOOKUP(Pipeline_tbl[[#This Row],[Rep_ID]],Dim_Reps!A:A,Dim_Reps!E:E)</f>
        <v>NAMER</v>
      </c>
      <c r="S1540" t="str">
        <f>_xlfn.XLOOKUP(Pipeline_tbl[[#This Row],[Created_Date]],Dim_Date!A:A,Dim_Date!H:H)</f>
        <v>Nov 2025</v>
      </c>
      <c r="T1540" t="str">
        <f>IF(Pipeline_tbl[[#This Row],[Closed_Date]]=0,"",(_xlfn.XLOOKUP(Pipeline_tbl[[#This Row],[Closed_Date]],Dim_Date!A:A,Dim_Date!H:H)))</f>
        <v>Dec 2025</v>
      </c>
      <c r="U1540">
        <f>IF(Pipeline_tbl[[#This Row],[Closed_Date]]=0,"",Pipeline_tbl[[#This Row],[Closed_Date]]-Pipeline_tbl[[#This Row],[Created_Date]])</f>
        <v>37</v>
      </c>
    </row>
    <row r="1541" spans="1:21" ht="15" customHeight="1" x14ac:dyDescent="0.2">
      <c r="A1541" t="s">
        <v>1847</v>
      </c>
      <c r="B1541" t="s">
        <v>255</v>
      </c>
      <c r="C1541" t="s">
        <v>55</v>
      </c>
      <c r="D1541" s="49">
        <v>45985</v>
      </c>
      <c r="E1541" s="49">
        <v>45988</v>
      </c>
      <c r="F1541" s="49">
        <v>45994</v>
      </c>
      <c r="I1541" s="49">
        <v>46014</v>
      </c>
      <c r="J1541" t="s">
        <v>49</v>
      </c>
      <c r="K1541" s="33">
        <v>6000</v>
      </c>
      <c r="L1541" t="s">
        <v>61</v>
      </c>
      <c r="M1541" t="str">
        <f>_xlfn.XLOOKUP(Pipeline_tbl[[#This Row],[Rep_ID]],Dim_Reps!A:A,Dim_Reps!K:K)</f>
        <v>USD</v>
      </c>
      <c r="N1541" s="33">
        <f>(_xlfn.XLOOKUP(Pipeline_tbl[[#This Row],[Rate_Code_Generalized]],Lookups!A:A,Lookups!B:B))*Pipeline_tbl[[#This Row],[Pipeline_Amount_USD]]</f>
        <v>6985.7999999999993</v>
      </c>
      <c r="O1541" t="str">
        <f>_xlfn.XLOOKUP(Pipeline_tbl[[#This Row],[Rep_ID]],Dim_Reps!A:A,Dim_Reps!B:B)</f>
        <v>Erik Kim</v>
      </c>
      <c r="P1541" t="str">
        <f>_xlfn.XLOOKUP(Pipeline_tbl[[#This Row],[Rep_ID]],Dim_Reps!A:A,Dim_Reps!C:C)</f>
        <v>Mid-Market AE</v>
      </c>
      <c r="Q1541" t="str">
        <f>_xlfn.XLOOKUP(Pipeline_tbl[[#This Row],[Rep_ID]],Dim_Reps!A:A,Dim_Reps!D:D)</f>
        <v>Mid-Market</v>
      </c>
      <c r="R1541" t="str">
        <f>_xlfn.XLOOKUP(Pipeline_tbl[[#This Row],[Rep_ID]],Dim_Reps!A:A,Dim_Reps!E:E)</f>
        <v>NAMER</v>
      </c>
      <c r="S1541" t="str">
        <f>_xlfn.XLOOKUP(Pipeline_tbl[[#This Row],[Created_Date]],Dim_Date!A:A,Dim_Date!H:H)</f>
        <v>Nov 2025</v>
      </c>
      <c r="T1541" t="str">
        <f>IF(Pipeline_tbl[[#This Row],[Closed_Date]]=0,"",(_xlfn.XLOOKUP(Pipeline_tbl[[#This Row],[Closed_Date]],Dim_Date!A:A,Dim_Date!H:H)))</f>
        <v>Dec 2025</v>
      </c>
      <c r="U1541">
        <f>IF(Pipeline_tbl[[#This Row],[Closed_Date]]=0,"",Pipeline_tbl[[#This Row],[Closed_Date]]-Pipeline_tbl[[#This Row],[Created_Date]])</f>
        <v>29</v>
      </c>
    </row>
    <row r="1542" spans="1:21" ht="15" customHeight="1" x14ac:dyDescent="0.2">
      <c r="A1542" t="s">
        <v>1848</v>
      </c>
      <c r="B1542" t="s">
        <v>255</v>
      </c>
      <c r="C1542" t="s">
        <v>56</v>
      </c>
      <c r="D1542" s="49">
        <v>45989</v>
      </c>
      <c r="E1542" s="49">
        <v>45992</v>
      </c>
      <c r="I1542" s="49">
        <v>46018</v>
      </c>
      <c r="J1542" t="s">
        <v>49</v>
      </c>
      <c r="K1542" s="33">
        <v>14200</v>
      </c>
      <c r="L1542" t="s">
        <v>61</v>
      </c>
      <c r="M1542" t="str">
        <f>_xlfn.XLOOKUP(Pipeline_tbl[[#This Row],[Rep_ID]],Dim_Reps!A:A,Dim_Reps!K:K)</f>
        <v>USD</v>
      </c>
      <c r="N1542" s="33">
        <f>(_xlfn.XLOOKUP(Pipeline_tbl[[#This Row],[Rate_Code_Generalized]],Lookups!A:A,Lookups!B:B))*Pipeline_tbl[[#This Row],[Pipeline_Amount_USD]]</f>
        <v>16533.059999999998</v>
      </c>
      <c r="O1542" t="str">
        <f>_xlfn.XLOOKUP(Pipeline_tbl[[#This Row],[Rep_ID]],Dim_Reps!A:A,Dim_Reps!B:B)</f>
        <v>Erik Kim</v>
      </c>
      <c r="P1542" t="str">
        <f>_xlfn.XLOOKUP(Pipeline_tbl[[#This Row],[Rep_ID]],Dim_Reps!A:A,Dim_Reps!C:C)</f>
        <v>Mid-Market AE</v>
      </c>
      <c r="Q1542" t="str">
        <f>_xlfn.XLOOKUP(Pipeline_tbl[[#This Row],[Rep_ID]],Dim_Reps!A:A,Dim_Reps!D:D)</f>
        <v>Mid-Market</v>
      </c>
      <c r="R1542" t="str">
        <f>_xlfn.XLOOKUP(Pipeline_tbl[[#This Row],[Rep_ID]],Dim_Reps!A:A,Dim_Reps!E:E)</f>
        <v>NAMER</v>
      </c>
      <c r="S1542" t="str">
        <f>_xlfn.XLOOKUP(Pipeline_tbl[[#This Row],[Created_Date]],Dim_Date!A:A,Dim_Date!H:H)</f>
        <v>Nov 2025</v>
      </c>
      <c r="T1542" t="str">
        <f>IF(Pipeline_tbl[[#This Row],[Closed_Date]]=0,"",(_xlfn.XLOOKUP(Pipeline_tbl[[#This Row],[Closed_Date]],Dim_Date!A:A,Dim_Date!H:H)))</f>
        <v>Dec 2025</v>
      </c>
      <c r="U1542">
        <f>IF(Pipeline_tbl[[#This Row],[Closed_Date]]=0,"",Pipeline_tbl[[#This Row],[Closed_Date]]-Pipeline_tbl[[#This Row],[Created_Date]])</f>
        <v>29</v>
      </c>
    </row>
    <row r="1543" spans="1:21" ht="15" customHeight="1" x14ac:dyDescent="0.2">
      <c r="A1543" t="s">
        <v>1849</v>
      </c>
      <c r="B1543" t="s">
        <v>255</v>
      </c>
      <c r="C1543" t="s">
        <v>52</v>
      </c>
      <c r="D1543" s="49">
        <v>45991</v>
      </c>
      <c r="E1543" s="49">
        <v>45993</v>
      </c>
      <c r="F1543" s="49">
        <v>45999</v>
      </c>
      <c r="G1543" s="49">
        <v>46006</v>
      </c>
      <c r="I1543" s="49">
        <v>46016</v>
      </c>
      <c r="J1543" t="s">
        <v>49</v>
      </c>
      <c r="K1543" s="33">
        <v>11000</v>
      </c>
      <c r="L1543" t="s">
        <v>61</v>
      </c>
      <c r="M1543" t="str">
        <f>_xlfn.XLOOKUP(Pipeline_tbl[[#This Row],[Rep_ID]],Dim_Reps!A:A,Dim_Reps!K:K)</f>
        <v>USD</v>
      </c>
      <c r="N1543" s="33">
        <f>(_xlfn.XLOOKUP(Pipeline_tbl[[#This Row],[Rate_Code_Generalized]],Lookups!A:A,Lookups!B:B))*Pipeline_tbl[[#This Row],[Pipeline_Amount_USD]]</f>
        <v>12807.3</v>
      </c>
      <c r="O1543" t="str">
        <f>_xlfn.XLOOKUP(Pipeline_tbl[[#This Row],[Rep_ID]],Dim_Reps!A:A,Dim_Reps!B:B)</f>
        <v>Erik Kim</v>
      </c>
      <c r="P1543" t="str">
        <f>_xlfn.XLOOKUP(Pipeline_tbl[[#This Row],[Rep_ID]],Dim_Reps!A:A,Dim_Reps!C:C)</f>
        <v>Mid-Market AE</v>
      </c>
      <c r="Q1543" t="str">
        <f>_xlfn.XLOOKUP(Pipeline_tbl[[#This Row],[Rep_ID]],Dim_Reps!A:A,Dim_Reps!D:D)</f>
        <v>Mid-Market</v>
      </c>
      <c r="R1543" t="str">
        <f>_xlfn.XLOOKUP(Pipeline_tbl[[#This Row],[Rep_ID]],Dim_Reps!A:A,Dim_Reps!E:E)</f>
        <v>NAMER</v>
      </c>
      <c r="S1543" t="str">
        <f>_xlfn.XLOOKUP(Pipeline_tbl[[#This Row],[Created_Date]],Dim_Date!A:A,Dim_Date!H:H)</f>
        <v>Nov 2025</v>
      </c>
      <c r="T1543" t="str">
        <f>IF(Pipeline_tbl[[#This Row],[Closed_Date]]=0,"",(_xlfn.XLOOKUP(Pipeline_tbl[[#This Row],[Closed_Date]],Dim_Date!A:A,Dim_Date!H:H)))</f>
        <v>Dec 2025</v>
      </c>
      <c r="U1543">
        <f>IF(Pipeline_tbl[[#This Row],[Closed_Date]]=0,"",Pipeline_tbl[[#This Row],[Closed_Date]]-Pipeline_tbl[[#This Row],[Created_Date]])</f>
        <v>25</v>
      </c>
    </row>
    <row r="1544" spans="1:21" ht="15" customHeight="1" x14ac:dyDescent="0.2">
      <c r="A1544" t="s">
        <v>1850</v>
      </c>
      <c r="B1544" t="s">
        <v>255</v>
      </c>
      <c r="C1544" t="s">
        <v>53</v>
      </c>
      <c r="D1544" s="49">
        <v>45963</v>
      </c>
      <c r="E1544" s="49">
        <v>45967</v>
      </c>
      <c r="F1544" s="49">
        <v>45974</v>
      </c>
      <c r="G1544" s="49">
        <v>45985</v>
      </c>
      <c r="I1544" s="49">
        <v>46000</v>
      </c>
      <c r="J1544" t="s">
        <v>49</v>
      </c>
      <c r="K1544" s="33">
        <v>19600</v>
      </c>
      <c r="L1544" t="s">
        <v>63</v>
      </c>
      <c r="M1544" t="str">
        <f>_xlfn.XLOOKUP(Pipeline_tbl[[#This Row],[Rep_ID]],Dim_Reps!A:A,Dim_Reps!K:K)</f>
        <v>USD</v>
      </c>
      <c r="N1544" s="33">
        <f>(_xlfn.XLOOKUP(Pipeline_tbl[[#This Row],[Rate_Code_Generalized]],Lookups!A:A,Lookups!B:B))*Pipeline_tbl[[#This Row],[Pipeline_Amount_USD]]</f>
        <v>22820.28</v>
      </c>
      <c r="O1544" t="str">
        <f>_xlfn.XLOOKUP(Pipeline_tbl[[#This Row],[Rep_ID]],Dim_Reps!A:A,Dim_Reps!B:B)</f>
        <v>Erik Kim</v>
      </c>
      <c r="P1544" t="str">
        <f>_xlfn.XLOOKUP(Pipeline_tbl[[#This Row],[Rep_ID]],Dim_Reps!A:A,Dim_Reps!C:C)</f>
        <v>Mid-Market AE</v>
      </c>
      <c r="Q1544" t="str">
        <f>_xlfn.XLOOKUP(Pipeline_tbl[[#This Row],[Rep_ID]],Dim_Reps!A:A,Dim_Reps!D:D)</f>
        <v>Mid-Market</v>
      </c>
      <c r="R1544" t="str">
        <f>_xlfn.XLOOKUP(Pipeline_tbl[[#This Row],[Rep_ID]],Dim_Reps!A:A,Dim_Reps!E:E)</f>
        <v>NAMER</v>
      </c>
      <c r="S1544" t="str">
        <f>_xlfn.XLOOKUP(Pipeline_tbl[[#This Row],[Created_Date]],Dim_Date!A:A,Dim_Date!H:H)</f>
        <v>Nov 2025</v>
      </c>
      <c r="T1544" t="str">
        <f>IF(Pipeline_tbl[[#This Row],[Closed_Date]]=0,"",(_xlfn.XLOOKUP(Pipeline_tbl[[#This Row],[Closed_Date]],Dim_Date!A:A,Dim_Date!H:H)))</f>
        <v>Dec 2025</v>
      </c>
      <c r="U1544">
        <f>IF(Pipeline_tbl[[#This Row],[Closed_Date]]=0,"",Pipeline_tbl[[#This Row],[Closed_Date]]-Pipeline_tbl[[#This Row],[Created_Date]])</f>
        <v>37</v>
      </c>
    </row>
    <row r="1545" spans="1:21" ht="15" customHeight="1" x14ac:dyDescent="0.2">
      <c r="A1545" t="s">
        <v>1851</v>
      </c>
      <c r="B1545" t="s">
        <v>257</v>
      </c>
      <c r="C1545" t="s">
        <v>54</v>
      </c>
      <c r="D1545" s="49">
        <v>45981</v>
      </c>
      <c r="E1545" s="49">
        <v>45984</v>
      </c>
      <c r="I1545" s="49">
        <v>46012</v>
      </c>
      <c r="J1545" t="s">
        <v>49</v>
      </c>
      <c r="K1545" s="33">
        <v>6500</v>
      </c>
      <c r="L1545" t="s">
        <v>62</v>
      </c>
      <c r="M1545" t="str">
        <f>_xlfn.XLOOKUP(Pipeline_tbl[[#This Row],[Rep_ID]],Dim_Reps!A:A,Dim_Reps!K:K)</f>
        <v>EUR</v>
      </c>
      <c r="N1545" s="33">
        <f>(_xlfn.XLOOKUP(Pipeline_tbl[[#This Row],[Rate_Code_Generalized]],Lookups!A:A,Lookups!B:B))*Pipeline_tbl[[#This Row],[Pipeline_Amount_USD]]</f>
        <v>6500</v>
      </c>
      <c r="O1545" t="str">
        <f>_xlfn.XLOOKUP(Pipeline_tbl[[#This Row],[Rep_ID]],Dim_Reps!A:A,Dim_Reps!B:B)</f>
        <v>Ana Kim</v>
      </c>
      <c r="P1545" t="str">
        <f>_xlfn.XLOOKUP(Pipeline_tbl[[#This Row],[Rep_ID]],Dim_Reps!A:A,Dim_Reps!C:C)</f>
        <v>Mid-Market AE</v>
      </c>
      <c r="Q1545" t="str">
        <f>_xlfn.XLOOKUP(Pipeline_tbl[[#This Row],[Rep_ID]],Dim_Reps!A:A,Dim_Reps!D:D)</f>
        <v>Mid-Market</v>
      </c>
      <c r="R1545" t="str">
        <f>_xlfn.XLOOKUP(Pipeline_tbl[[#This Row],[Rep_ID]],Dim_Reps!A:A,Dim_Reps!E:E)</f>
        <v>APAC</v>
      </c>
      <c r="S1545" t="str">
        <f>_xlfn.XLOOKUP(Pipeline_tbl[[#This Row],[Created_Date]],Dim_Date!A:A,Dim_Date!H:H)</f>
        <v>Nov 2025</v>
      </c>
      <c r="T1545" t="str">
        <f>IF(Pipeline_tbl[[#This Row],[Closed_Date]]=0,"",(_xlfn.XLOOKUP(Pipeline_tbl[[#This Row],[Closed_Date]],Dim_Date!A:A,Dim_Date!H:H)))</f>
        <v>Dec 2025</v>
      </c>
      <c r="U1545">
        <f>IF(Pipeline_tbl[[#This Row],[Closed_Date]]=0,"",Pipeline_tbl[[#This Row],[Closed_Date]]-Pipeline_tbl[[#This Row],[Created_Date]])</f>
        <v>31</v>
      </c>
    </row>
    <row r="1546" spans="1:21" ht="15" customHeight="1" x14ac:dyDescent="0.2">
      <c r="A1546" t="s">
        <v>1852</v>
      </c>
      <c r="B1546" t="s">
        <v>257</v>
      </c>
      <c r="C1546" t="s">
        <v>52</v>
      </c>
      <c r="D1546" s="49">
        <v>45989</v>
      </c>
      <c r="E1546" s="49">
        <v>45992</v>
      </c>
      <c r="F1546" s="49">
        <v>45998</v>
      </c>
      <c r="G1546" s="49">
        <v>46006</v>
      </c>
      <c r="H1546" s="49">
        <v>46014</v>
      </c>
      <c r="I1546" s="49">
        <v>46018</v>
      </c>
      <c r="J1546" t="s">
        <v>47</v>
      </c>
      <c r="K1546" s="33">
        <v>10100</v>
      </c>
      <c r="M1546" t="str">
        <f>_xlfn.XLOOKUP(Pipeline_tbl[[#This Row],[Rep_ID]],Dim_Reps!A:A,Dim_Reps!K:K)</f>
        <v>EUR</v>
      </c>
      <c r="N1546" s="33">
        <f>(_xlfn.XLOOKUP(Pipeline_tbl[[#This Row],[Rate_Code_Generalized]],Lookups!A:A,Lookups!B:B))*Pipeline_tbl[[#This Row],[Pipeline_Amount_USD]]</f>
        <v>10100</v>
      </c>
      <c r="O1546" t="str">
        <f>_xlfn.XLOOKUP(Pipeline_tbl[[#This Row],[Rep_ID]],Dim_Reps!A:A,Dim_Reps!B:B)</f>
        <v>Ana Kim</v>
      </c>
      <c r="P1546" t="str">
        <f>_xlfn.XLOOKUP(Pipeline_tbl[[#This Row],[Rep_ID]],Dim_Reps!A:A,Dim_Reps!C:C)</f>
        <v>Mid-Market AE</v>
      </c>
      <c r="Q1546" t="str">
        <f>_xlfn.XLOOKUP(Pipeline_tbl[[#This Row],[Rep_ID]],Dim_Reps!A:A,Dim_Reps!D:D)</f>
        <v>Mid-Market</v>
      </c>
      <c r="R1546" t="str">
        <f>_xlfn.XLOOKUP(Pipeline_tbl[[#This Row],[Rep_ID]],Dim_Reps!A:A,Dim_Reps!E:E)</f>
        <v>APAC</v>
      </c>
      <c r="S1546" t="str">
        <f>_xlfn.XLOOKUP(Pipeline_tbl[[#This Row],[Created_Date]],Dim_Date!A:A,Dim_Date!H:H)</f>
        <v>Nov 2025</v>
      </c>
      <c r="T1546" t="str">
        <f>IF(Pipeline_tbl[[#This Row],[Closed_Date]]=0,"",(_xlfn.XLOOKUP(Pipeline_tbl[[#This Row],[Closed_Date]],Dim_Date!A:A,Dim_Date!H:H)))</f>
        <v>Dec 2025</v>
      </c>
      <c r="U1546">
        <f>IF(Pipeline_tbl[[#This Row],[Closed_Date]]=0,"",Pipeline_tbl[[#This Row],[Closed_Date]]-Pipeline_tbl[[#This Row],[Created_Date]])</f>
        <v>29</v>
      </c>
    </row>
    <row r="1547" spans="1:21" ht="15" customHeight="1" x14ac:dyDescent="0.2">
      <c r="A1547" t="s">
        <v>1853</v>
      </c>
      <c r="B1547" t="s">
        <v>257</v>
      </c>
      <c r="C1547" t="s">
        <v>52</v>
      </c>
      <c r="D1547" s="49">
        <v>45964</v>
      </c>
      <c r="E1547" s="49">
        <v>45967</v>
      </c>
      <c r="F1547" s="49">
        <v>45974</v>
      </c>
      <c r="G1547" s="49">
        <v>45984</v>
      </c>
      <c r="I1547" s="49">
        <v>45997</v>
      </c>
      <c r="J1547" t="s">
        <v>49</v>
      </c>
      <c r="K1547" s="33">
        <v>8600</v>
      </c>
      <c r="L1547" t="s">
        <v>63</v>
      </c>
      <c r="M1547" t="str">
        <f>_xlfn.XLOOKUP(Pipeline_tbl[[#This Row],[Rep_ID]],Dim_Reps!A:A,Dim_Reps!K:K)</f>
        <v>EUR</v>
      </c>
      <c r="N1547" s="33">
        <f>(_xlfn.XLOOKUP(Pipeline_tbl[[#This Row],[Rate_Code_Generalized]],Lookups!A:A,Lookups!B:B))*Pipeline_tbl[[#This Row],[Pipeline_Amount_USD]]</f>
        <v>8600</v>
      </c>
      <c r="O1547" t="str">
        <f>_xlfn.XLOOKUP(Pipeline_tbl[[#This Row],[Rep_ID]],Dim_Reps!A:A,Dim_Reps!B:B)</f>
        <v>Ana Kim</v>
      </c>
      <c r="P1547" t="str">
        <f>_xlfn.XLOOKUP(Pipeline_tbl[[#This Row],[Rep_ID]],Dim_Reps!A:A,Dim_Reps!C:C)</f>
        <v>Mid-Market AE</v>
      </c>
      <c r="Q1547" t="str">
        <f>_xlfn.XLOOKUP(Pipeline_tbl[[#This Row],[Rep_ID]],Dim_Reps!A:A,Dim_Reps!D:D)</f>
        <v>Mid-Market</v>
      </c>
      <c r="R1547" t="str">
        <f>_xlfn.XLOOKUP(Pipeline_tbl[[#This Row],[Rep_ID]],Dim_Reps!A:A,Dim_Reps!E:E)</f>
        <v>APAC</v>
      </c>
      <c r="S1547" t="str">
        <f>_xlfn.XLOOKUP(Pipeline_tbl[[#This Row],[Created_Date]],Dim_Date!A:A,Dim_Date!H:H)</f>
        <v>Nov 2025</v>
      </c>
      <c r="T1547" t="str">
        <f>IF(Pipeline_tbl[[#This Row],[Closed_Date]]=0,"",(_xlfn.XLOOKUP(Pipeline_tbl[[#This Row],[Closed_Date]],Dim_Date!A:A,Dim_Date!H:H)))</f>
        <v>Dec 2025</v>
      </c>
      <c r="U1547">
        <f>IF(Pipeline_tbl[[#This Row],[Closed_Date]]=0,"",Pipeline_tbl[[#This Row],[Closed_Date]]-Pipeline_tbl[[#This Row],[Created_Date]])</f>
        <v>33</v>
      </c>
    </row>
    <row r="1548" spans="1:21" ht="15" customHeight="1" x14ac:dyDescent="0.2">
      <c r="A1548" t="s">
        <v>1854</v>
      </c>
      <c r="B1548" t="s">
        <v>257</v>
      </c>
      <c r="C1548" t="s">
        <v>52</v>
      </c>
      <c r="D1548" s="49">
        <v>45968</v>
      </c>
      <c r="E1548" s="49">
        <v>45970</v>
      </c>
      <c r="F1548" s="49">
        <v>45976</v>
      </c>
      <c r="I1548" s="49">
        <v>45993</v>
      </c>
      <c r="J1548" t="s">
        <v>49</v>
      </c>
      <c r="K1548" s="33">
        <v>16000</v>
      </c>
      <c r="L1548" t="s">
        <v>61</v>
      </c>
      <c r="M1548" t="str">
        <f>_xlfn.XLOOKUP(Pipeline_tbl[[#This Row],[Rep_ID]],Dim_Reps!A:A,Dim_Reps!K:K)</f>
        <v>EUR</v>
      </c>
      <c r="N1548" s="33">
        <f>(_xlfn.XLOOKUP(Pipeline_tbl[[#This Row],[Rate_Code_Generalized]],Lookups!A:A,Lookups!B:B))*Pipeline_tbl[[#This Row],[Pipeline_Amount_USD]]</f>
        <v>16000</v>
      </c>
      <c r="O1548" t="str">
        <f>_xlfn.XLOOKUP(Pipeline_tbl[[#This Row],[Rep_ID]],Dim_Reps!A:A,Dim_Reps!B:B)</f>
        <v>Ana Kim</v>
      </c>
      <c r="P1548" t="str">
        <f>_xlfn.XLOOKUP(Pipeline_tbl[[#This Row],[Rep_ID]],Dim_Reps!A:A,Dim_Reps!C:C)</f>
        <v>Mid-Market AE</v>
      </c>
      <c r="Q1548" t="str">
        <f>_xlfn.XLOOKUP(Pipeline_tbl[[#This Row],[Rep_ID]],Dim_Reps!A:A,Dim_Reps!D:D)</f>
        <v>Mid-Market</v>
      </c>
      <c r="R1548" t="str">
        <f>_xlfn.XLOOKUP(Pipeline_tbl[[#This Row],[Rep_ID]],Dim_Reps!A:A,Dim_Reps!E:E)</f>
        <v>APAC</v>
      </c>
      <c r="S1548" t="str">
        <f>_xlfn.XLOOKUP(Pipeline_tbl[[#This Row],[Created_Date]],Dim_Date!A:A,Dim_Date!H:H)</f>
        <v>Nov 2025</v>
      </c>
      <c r="T1548" t="str">
        <f>IF(Pipeline_tbl[[#This Row],[Closed_Date]]=0,"",(_xlfn.XLOOKUP(Pipeline_tbl[[#This Row],[Closed_Date]],Dim_Date!A:A,Dim_Date!H:H)))</f>
        <v>Dec 2025</v>
      </c>
      <c r="U1548">
        <f>IF(Pipeline_tbl[[#This Row],[Closed_Date]]=0,"",Pipeline_tbl[[#This Row],[Closed_Date]]-Pipeline_tbl[[#This Row],[Created_Date]])</f>
        <v>25</v>
      </c>
    </row>
    <row r="1549" spans="1:21" ht="15" customHeight="1" x14ac:dyDescent="0.2">
      <c r="A1549" t="s">
        <v>1855</v>
      </c>
      <c r="B1549" t="s">
        <v>257</v>
      </c>
      <c r="C1549" t="s">
        <v>53</v>
      </c>
      <c r="D1549" s="49">
        <v>45980</v>
      </c>
      <c r="E1549" s="49">
        <v>45984</v>
      </c>
      <c r="F1549" s="49">
        <v>45992</v>
      </c>
      <c r="G1549" s="49">
        <v>46003</v>
      </c>
      <c r="I1549" s="49">
        <v>46019</v>
      </c>
      <c r="J1549" t="s">
        <v>49</v>
      </c>
      <c r="K1549" s="33">
        <v>8300</v>
      </c>
      <c r="L1549" t="s">
        <v>64</v>
      </c>
      <c r="M1549" t="str">
        <f>_xlfn.XLOOKUP(Pipeline_tbl[[#This Row],[Rep_ID]],Dim_Reps!A:A,Dim_Reps!K:K)</f>
        <v>EUR</v>
      </c>
      <c r="N1549" s="33">
        <f>(_xlfn.XLOOKUP(Pipeline_tbl[[#This Row],[Rate_Code_Generalized]],Lookups!A:A,Lookups!B:B))*Pipeline_tbl[[#This Row],[Pipeline_Amount_USD]]</f>
        <v>8300</v>
      </c>
      <c r="O1549" t="str">
        <f>_xlfn.XLOOKUP(Pipeline_tbl[[#This Row],[Rep_ID]],Dim_Reps!A:A,Dim_Reps!B:B)</f>
        <v>Ana Kim</v>
      </c>
      <c r="P1549" t="str">
        <f>_xlfn.XLOOKUP(Pipeline_tbl[[#This Row],[Rep_ID]],Dim_Reps!A:A,Dim_Reps!C:C)</f>
        <v>Mid-Market AE</v>
      </c>
      <c r="Q1549" t="str">
        <f>_xlfn.XLOOKUP(Pipeline_tbl[[#This Row],[Rep_ID]],Dim_Reps!A:A,Dim_Reps!D:D)</f>
        <v>Mid-Market</v>
      </c>
      <c r="R1549" t="str">
        <f>_xlfn.XLOOKUP(Pipeline_tbl[[#This Row],[Rep_ID]],Dim_Reps!A:A,Dim_Reps!E:E)</f>
        <v>APAC</v>
      </c>
      <c r="S1549" t="str">
        <f>_xlfn.XLOOKUP(Pipeline_tbl[[#This Row],[Created_Date]],Dim_Date!A:A,Dim_Date!H:H)</f>
        <v>Nov 2025</v>
      </c>
      <c r="T1549" t="str">
        <f>IF(Pipeline_tbl[[#This Row],[Closed_Date]]=0,"",(_xlfn.XLOOKUP(Pipeline_tbl[[#This Row],[Closed_Date]],Dim_Date!A:A,Dim_Date!H:H)))</f>
        <v>Dec 2025</v>
      </c>
      <c r="U1549">
        <f>IF(Pipeline_tbl[[#This Row],[Closed_Date]]=0,"",Pipeline_tbl[[#This Row],[Closed_Date]]-Pipeline_tbl[[#This Row],[Created_Date]])</f>
        <v>39</v>
      </c>
    </row>
    <row r="1550" spans="1:21" ht="15" customHeight="1" x14ac:dyDescent="0.2">
      <c r="A1550" t="s">
        <v>1856</v>
      </c>
      <c r="B1550" t="s">
        <v>257</v>
      </c>
      <c r="C1550" t="s">
        <v>52</v>
      </c>
      <c r="D1550" s="49">
        <v>45985</v>
      </c>
      <c r="E1550" s="49">
        <v>45987</v>
      </c>
      <c r="F1550" s="49">
        <v>45992</v>
      </c>
      <c r="G1550" s="49">
        <v>45999</v>
      </c>
      <c r="I1550" s="49">
        <v>46008</v>
      </c>
      <c r="J1550" t="s">
        <v>49</v>
      </c>
      <c r="K1550" s="33">
        <v>12300</v>
      </c>
      <c r="L1550" t="s">
        <v>61</v>
      </c>
      <c r="M1550" t="str">
        <f>_xlfn.XLOOKUP(Pipeline_tbl[[#This Row],[Rep_ID]],Dim_Reps!A:A,Dim_Reps!K:K)</f>
        <v>EUR</v>
      </c>
      <c r="N1550" s="33">
        <f>(_xlfn.XLOOKUP(Pipeline_tbl[[#This Row],[Rate_Code_Generalized]],Lookups!A:A,Lookups!B:B))*Pipeline_tbl[[#This Row],[Pipeline_Amount_USD]]</f>
        <v>12300</v>
      </c>
      <c r="O1550" t="str">
        <f>_xlfn.XLOOKUP(Pipeline_tbl[[#This Row],[Rep_ID]],Dim_Reps!A:A,Dim_Reps!B:B)</f>
        <v>Ana Kim</v>
      </c>
      <c r="P1550" t="str">
        <f>_xlfn.XLOOKUP(Pipeline_tbl[[#This Row],[Rep_ID]],Dim_Reps!A:A,Dim_Reps!C:C)</f>
        <v>Mid-Market AE</v>
      </c>
      <c r="Q1550" t="str">
        <f>_xlfn.XLOOKUP(Pipeline_tbl[[#This Row],[Rep_ID]],Dim_Reps!A:A,Dim_Reps!D:D)</f>
        <v>Mid-Market</v>
      </c>
      <c r="R1550" t="str">
        <f>_xlfn.XLOOKUP(Pipeline_tbl[[#This Row],[Rep_ID]],Dim_Reps!A:A,Dim_Reps!E:E)</f>
        <v>APAC</v>
      </c>
      <c r="S1550" t="str">
        <f>_xlfn.XLOOKUP(Pipeline_tbl[[#This Row],[Created_Date]],Dim_Date!A:A,Dim_Date!H:H)</f>
        <v>Nov 2025</v>
      </c>
      <c r="T1550" t="str">
        <f>IF(Pipeline_tbl[[#This Row],[Closed_Date]]=0,"",(_xlfn.XLOOKUP(Pipeline_tbl[[#This Row],[Closed_Date]],Dim_Date!A:A,Dim_Date!H:H)))</f>
        <v>Dec 2025</v>
      </c>
      <c r="U1550">
        <f>IF(Pipeline_tbl[[#This Row],[Closed_Date]]=0,"",Pipeline_tbl[[#This Row],[Closed_Date]]-Pipeline_tbl[[#This Row],[Created_Date]])</f>
        <v>23</v>
      </c>
    </row>
    <row r="1551" spans="1:21" ht="15" customHeight="1" x14ac:dyDescent="0.2">
      <c r="A1551" t="s">
        <v>1857</v>
      </c>
      <c r="B1551" t="s">
        <v>259</v>
      </c>
      <c r="C1551" t="s">
        <v>52</v>
      </c>
      <c r="D1551" s="49">
        <v>45981</v>
      </c>
      <c r="E1551" s="49">
        <v>45983</v>
      </c>
      <c r="F1551" s="49">
        <v>45988</v>
      </c>
      <c r="G1551" s="49">
        <v>45995</v>
      </c>
      <c r="H1551" s="49">
        <v>46001</v>
      </c>
      <c r="I1551" s="49">
        <v>46004</v>
      </c>
      <c r="J1551" t="s">
        <v>47</v>
      </c>
      <c r="K1551" s="33">
        <v>10700</v>
      </c>
      <c r="M1551" t="str">
        <f>_xlfn.XLOOKUP(Pipeline_tbl[[#This Row],[Rep_ID]],Dim_Reps!A:A,Dim_Reps!K:K)</f>
        <v>EUR</v>
      </c>
      <c r="N1551" s="33">
        <f>(_xlfn.XLOOKUP(Pipeline_tbl[[#This Row],[Rate_Code_Generalized]],Lookups!A:A,Lookups!B:B))*Pipeline_tbl[[#This Row],[Pipeline_Amount_USD]]</f>
        <v>10700</v>
      </c>
      <c r="O1551" t="str">
        <f>_xlfn.XLOOKUP(Pipeline_tbl[[#This Row],[Rep_ID]],Dim_Reps!A:A,Dim_Reps!B:B)</f>
        <v>Felix Okafor</v>
      </c>
      <c r="P1551" t="str">
        <f>_xlfn.XLOOKUP(Pipeline_tbl[[#This Row],[Rep_ID]],Dim_Reps!A:A,Dim_Reps!C:C)</f>
        <v>Mid-Market AE</v>
      </c>
      <c r="Q1551" t="str">
        <f>_xlfn.XLOOKUP(Pipeline_tbl[[#This Row],[Rep_ID]],Dim_Reps!A:A,Dim_Reps!D:D)</f>
        <v>Mid-Market</v>
      </c>
      <c r="R1551" t="str">
        <f>_xlfn.XLOOKUP(Pipeline_tbl[[#This Row],[Rep_ID]],Dim_Reps!A:A,Dim_Reps!E:E)</f>
        <v>EMEA</v>
      </c>
      <c r="S1551" t="str">
        <f>_xlfn.XLOOKUP(Pipeline_tbl[[#This Row],[Created_Date]],Dim_Date!A:A,Dim_Date!H:H)</f>
        <v>Nov 2025</v>
      </c>
      <c r="T1551" t="str">
        <f>IF(Pipeline_tbl[[#This Row],[Closed_Date]]=0,"",(_xlfn.XLOOKUP(Pipeline_tbl[[#This Row],[Closed_Date]],Dim_Date!A:A,Dim_Date!H:H)))</f>
        <v>Dec 2025</v>
      </c>
      <c r="U1551">
        <f>IF(Pipeline_tbl[[#This Row],[Closed_Date]]=0,"",Pipeline_tbl[[#This Row],[Closed_Date]]-Pipeline_tbl[[#This Row],[Created_Date]])</f>
        <v>23</v>
      </c>
    </row>
    <row r="1552" spans="1:21" ht="15" customHeight="1" x14ac:dyDescent="0.2">
      <c r="A1552" t="s">
        <v>1858</v>
      </c>
      <c r="B1552" t="s">
        <v>259</v>
      </c>
      <c r="C1552" t="s">
        <v>53</v>
      </c>
      <c r="D1552" s="49">
        <v>45977</v>
      </c>
      <c r="E1552" s="49">
        <v>45981</v>
      </c>
      <c r="F1552" s="49">
        <v>45989</v>
      </c>
      <c r="G1552" s="49">
        <v>46002</v>
      </c>
      <c r="I1552" s="49">
        <v>46018</v>
      </c>
      <c r="J1552" t="s">
        <v>49</v>
      </c>
      <c r="K1552" s="33">
        <v>4300</v>
      </c>
      <c r="L1552" t="s">
        <v>60</v>
      </c>
      <c r="M1552" t="str">
        <f>_xlfn.XLOOKUP(Pipeline_tbl[[#This Row],[Rep_ID]],Dim_Reps!A:A,Dim_Reps!K:K)</f>
        <v>EUR</v>
      </c>
      <c r="N1552" s="33">
        <f>(_xlfn.XLOOKUP(Pipeline_tbl[[#This Row],[Rate_Code_Generalized]],Lookups!A:A,Lookups!B:B))*Pipeline_tbl[[#This Row],[Pipeline_Amount_USD]]</f>
        <v>4300</v>
      </c>
      <c r="O1552" t="str">
        <f>_xlfn.XLOOKUP(Pipeline_tbl[[#This Row],[Rep_ID]],Dim_Reps!A:A,Dim_Reps!B:B)</f>
        <v>Felix Okafor</v>
      </c>
      <c r="P1552" t="str">
        <f>_xlfn.XLOOKUP(Pipeline_tbl[[#This Row],[Rep_ID]],Dim_Reps!A:A,Dim_Reps!C:C)</f>
        <v>Mid-Market AE</v>
      </c>
      <c r="Q1552" t="str">
        <f>_xlfn.XLOOKUP(Pipeline_tbl[[#This Row],[Rep_ID]],Dim_Reps!A:A,Dim_Reps!D:D)</f>
        <v>Mid-Market</v>
      </c>
      <c r="R1552" t="str">
        <f>_xlfn.XLOOKUP(Pipeline_tbl[[#This Row],[Rep_ID]],Dim_Reps!A:A,Dim_Reps!E:E)</f>
        <v>EMEA</v>
      </c>
      <c r="S1552" t="str">
        <f>_xlfn.XLOOKUP(Pipeline_tbl[[#This Row],[Created_Date]],Dim_Date!A:A,Dim_Date!H:H)</f>
        <v>Nov 2025</v>
      </c>
      <c r="T1552" t="str">
        <f>IF(Pipeline_tbl[[#This Row],[Closed_Date]]=0,"",(_xlfn.XLOOKUP(Pipeline_tbl[[#This Row],[Closed_Date]],Dim_Date!A:A,Dim_Date!H:H)))</f>
        <v>Dec 2025</v>
      </c>
      <c r="U1552">
        <f>IF(Pipeline_tbl[[#This Row],[Closed_Date]]=0,"",Pipeline_tbl[[#This Row],[Closed_Date]]-Pipeline_tbl[[#This Row],[Created_Date]])</f>
        <v>41</v>
      </c>
    </row>
    <row r="1553" spans="1:21" ht="15" customHeight="1" x14ac:dyDescent="0.2">
      <c r="A1553" t="s">
        <v>1859</v>
      </c>
      <c r="B1553" t="s">
        <v>259</v>
      </c>
      <c r="C1553" t="s">
        <v>53</v>
      </c>
      <c r="D1553" s="49">
        <v>45983</v>
      </c>
      <c r="E1553" s="49">
        <v>45986</v>
      </c>
      <c r="F1553" s="49">
        <v>45992</v>
      </c>
      <c r="G1553" s="49">
        <v>46000</v>
      </c>
      <c r="H1553" s="49">
        <v>46008</v>
      </c>
      <c r="I1553" s="49">
        <v>46012</v>
      </c>
      <c r="J1553" t="s">
        <v>47</v>
      </c>
      <c r="K1553" s="33">
        <v>8600</v>
      </c>
      <c r="M1553" t="str">
        <f>_xlfn.XLOOKUP(Pipeline_tbl[[#This Row],[Rep_ID]],Dim_Reps!A:A,Dim_Reps!K:K)</f>
        <v>EUR</v>
      </c>
      <c r="N1553" s="33">
        <f>(_xlfn.XLOOKUP(Pipeline_tbl[[#This Row],[Rate_Code_Generalized]],Lookups!A:A,Lookups!B:B))*Pipeline_tbl[[#This Row],[Pipeline_Amount_USD]]</f>
        <v>8600</v>
      </c>
      <c r="O1553" t="str">
        <f>_xlfn.XLOOKUP(Pipeline_tbl[[#This Row],[Rep_ID]],Dim_Reps!A:A,Dim_Reps!B:B)</f>
        <v>Felix Okafor</v>
      </c>
      <c r="P1553" t="str">
        <f>_xlfn.XLOOKUP(Pipeline_tbl[[#This Row],[Rep_ID]],Dim_Reps!A:A,Dim_Reps!C:C)</f>
        <v>Mid-Market AE</v>
      </c>
      <c r="Q1553" t="str">
        <f>_xlfn.XLOOKUP(Pipeline_tbl[[#This Row],[Rep_ID]],Dim_Reps!A:A,Dim_Reps!D:D)</f>
        <v>Mid-Market</v>
      </c>
      <c r="R1553" t="str">
        <f>_xlfn.XLOOKUP(Pipeline_tbl[[#This Row],[Rep_ID]],Dim_Reps!A:A,Dim_Reps!E:E)</f>
        <v>EMEA</v>
      </c>
      <c r="S1553" t="str">
        <f>_xlfn.XLOOKUP(Pipeline_tbl[[#This Row],[Created_Date]],Dim_Date!A:A,Dim_Date!H:H)</f>
        <v>Nov 2025</v>
      </c>
      <c r="T1553" t="str">
        <f>IF(Pipeline_tbl[[#This Row],[Closed_Date]]=0,"",(_xlfn.XLOOKUP(Pipeline_tbl[[#This Row],[Closed_Date]],Dim_Date!A:A,Dim_Date!H:H)))</f>
        <v>Dec 2025</v>
      </c>
      <c r="U1553">
        <f>IF(Pipeline_tbl[[#This Row],[Closed_Date]]=0,"",Pipeline_tbl[[#This Row],[Closed_Date]]-Pipeline_tbl[[#This Row],[Created_Date]])</f>
        <v>29</v>
      </c>
    </row>
    <row r="1554" spans="1:21" ht="15" customHeight="1" x14ac:dyDescent="0.2">
      <c r="A1554" t="s">
        <v>1860</v>
      </c>
      <c r="B1554" t="s">
        <v>259</v>
      </c>
      <c r="C1554" t="s">
        <v>53</v>
      </c>
      <c r="D1554" s="49">
        <v>45977</v>
      </c>
      <c r="E1554" s="49">
        <v>45981</v>
      </c>
      <c r="F1554" s="49">
        <v>45989</v>
      </c>
      <c r="G1554" s="49">
        <v>46002</v>
      </c>
      <c r="H1554" s="49">
        <v>46012</v>
      </c>
      <c r="I1554" s="49">
        <v>46018</v>
      </c>
      <c r="J1554" t="s">
        <v>47</v>
      </c>
      <c r="K1554" s="33">
        <v>12300</v>
      </c>
      <c r="M1554" t="str">
        <f>_xlfn.XLOOKUP(Pipeline_tbl[[#This Row],[Rep_ID]],Dim_Reps!A:A,Dim_Reps!K:K)</f>
        <v>EUR</v>
      </c>
      <c r="N1554" s="33">
        <f>(_xlfn.XLOOKUP(Pipeline_tbl[[#This Row],[Rate_Code_Generalized]],Lookups!A:A,Lookups!B:B))*Pipeline_tbl[[#This Row],[Pipeline_Amount_USD]]</f>
        <v>12300</v>
      </c>
      <c r="O1554" t="str">
        <f>_xlfn.XLOOKUP(Pipeline_tbl[[#This Row],[Rep_ID]],Dim_Reps!A:A,Dim_Reps!B:B)</f>
        <v>Felix Okafor</v>
      </c>
      <c r="P1554" t="str">
        <f>_xlfn.XLOOKUP(Pipeline_tbl[[#This Row],[Rep_ID]],Dim_Reps!A:A,Dim_Reps!C:C)</f>
        <v>Mid-Market AE</v>
      </c>
      <c r="Q1554" t="str">
        <f>_xlfn.XLOOKUP(Pipeline_tbl[[#This Row],[Rep_ID]],Dim_Reps!A:A,Dim_Reps!D:D)</f>
        <v>Mid-Market</v>
      </c>
      <c r="R1554" t="str">
        <f>_xlfn.XLOOKUP(Pipeline_tbl[[#This Row],[Rep_ID]],Dim_Reps!A:A,Dim_Reps!E:E)</f>
        <v>EMEA</v>
      </c>
      <c r="S1554" t="str">
        <f>_xlfn.XLOOKUP(Pipeline_tbl[[#This Row],[Created_Date]],Dim_Date!A:A,Dim_Date!H:H)</f>
        <v>Nov 2025</v>
      </c>
      <c r="T1554" t="str">
        <f>IF(Pipeline_tbl[[#This Row],[Closed_Date]]=0,"",(_xlfn.XLOOKUP(Pipeline_tbl[[#This Row],[Closed_Date]],Dim_Date!A:A,Dim_Date!H:H)))</f>
        <v>Dec 2025</v>
      </c>
      <c r="U1554">
        <f>IF(Pipeline_tbl[[#This Row],[Closed_Date]]=0,"",Pipeline_tbl[[#This Row],[Closed_Date]]-Pipeline_tbl[[#This Row],[Created_Date]])</f>
        <v>41</v>
      </c>
    </row>
    <row r="1555" spans="1:21" ht="15" customHeight="1" x14ac:dyDescent="0.2">
      <c r="A1555" t="s">
        <v>1861</v>
      </c>
      <c r="B1555" t="s">
        <v>261</v>
      </c>
      <c r="C1555" t="s">
        <v>53</v>
      </c>
      <c r="D1555" s="49">
        <v>45983</v>
      </c>
      <c r="E1555" s="49">
        <v>45987</v>
      </c>
      <c r="F1555" s="49">
        <v>45994</v>
      </c>
      <c r="I1555" s="49">
        <v>46018</v>
      </c>
      <c r="J1555" t="s">
        <v>49</v>
      </c>
      <c r="K1555" s="33">
        <v>14900</v>
      </c>
      <c r="L1555" t="s">
        <v>60</v>
      </c>
      <c r="M1555" t="str">
        <f>_xlfn.XLOOKUP(Pipeline_tbl[[#This Row],[Rep_ID]],Dim_Reps!A:A,Dim_Reps!K:K)</f>
        <v>USD</v>
      </c>
      <c r="N1555" s="33">
        <f>(_xlfn.XLOOKUP(Pipeline_tbl[[#This Row],[Rate_Code_Generalized]],Lookups!A:A,Lookups!B:B))*Pipeline_tbl[[#This Row],[Pipeline_Amount_USD]]</f>
        <v>17348.07</v>
      </c>
      <c r="O1555" t="str">
        <f>_xlfn.XLOOKUP(Pipeline_tbl[[#This Row],[Rep_ID]],Dim_Reps!A:A,Dim_Reps!B:B)</f>
        <v>Morgan Larsen</v>
      </c>
      <c r="P1555" t="str">
        <f>_xlfn.XLOOKUP(Pipeline_tbl[[#This Row],[Rep_ID]],Dim_Reps!A:A,Dim_Reps!C:C)</f>
        <v>Mid-Market AE</v>
      </c>
      <c r="Q1555" t="str">
        <f>_xlfn.XLOOKUP(Pipeline_tbl[[#This Row],[Rep_ID]],Dim_Reps!A:A,Dim_Reps!D:D)</f>
        <v>Mid-Market</v>
      </c>
      <c r="R1555" t="str">
        <f>_xlfn.XLOOKUP(Pipeline_tbl[[#This Row],[Rep_ID]],Dim_Reps!A:A,Dim_Reps!E:E)</f>
        <v>NAMER</v>
      </c>
      <c r="S1555" t="str">
        <f>_xlfn.XLOOKUP(Pipeline_tbl[[#This Row],[Created_Date]],Dim_Date!A:A,Dim_Date!H:H)</f>
        <v>Nov 2025</v>
      </c>
      <c r="T1555" t="str">
        <f>IF(Pipeline_tbl[[#This Row],[Closed_Date]]=0,"",(_xlfn.XLOOKUP(Pipeline_tbl[[#This Row],[Closed_Date]],Dim_Date!A:A,Dim_Date!H:H)))</f>
        <v>Dec 2025</v>
      </c>
      <c r="U1555">
        <f>IF(Pipeline_tbl[[#This Row],[Closed_Date]]=0,"",Pipeline_tbl[[#This Row],[Closed_Date]]-Pipeline_tbl[[#This Row],[Created_Date]])</f>
        <v>35</v>
      </c>
    </row>
    <row r="1556" spans="1:21" ht="15" customHeight="1" x14ac:dyDescent="0.2">
      <c r="A1556" t="s">
        <v>1862</v>
      </c>
      <c r="B1556" t="s">
        <v>261</v>
      </c>
      <c r="C1556" t="s">
        <v>52</v>
      </c>
      <c r="D1556" s="49">
        <v>45963</v>
      </c>
      <c r="E1556" s="49">
        <v>45968</v>
      </c>
      <c r="F1556" s="49">
        <v>45977</v>
      </c>
      <c r="G1556" s="49">
        <v>45991</v>
      </c>
      <c r="H1556" s="49">
        <v>46002</v>
      </c>
      <c r="I1556" s="49">
        <v>46009</v>
      </c>
      <c r="J1556" t="s">
        <v>49</v>
      </c>
      <c r="K1556" s="33">
        <v>17200</v>
      </c>
      <c r="L1556" t="s">
        <v>60</v>
      </c>
      <c r="M1556" t="str">
        <f>_xlfn.XLOOKUP(Pipeline_tbl[[#This Row],[Rep_ID]],Dim_Reps!A:A,Dim_Reps!K:K)</f>
        <v>USD</v>
      </c>
      <c r="N1556" s="33">
        <f>(_xlfn.XLOOKUP(Pipeline_tbl[[#This Row],[Rate_Code_Generalized]],Lookups!A:A,Lookups!B:B))*Pipeline_tbl[[#This Row],[Pipeline_Amount_USD]]</f>
        <v>20025.96</v>
      </c>
      <c r="O1556" t="str">
        <f>_xlfn.XLOOKUP(Pipeline_tbl[[#This Row],[Rep_ID]],Dim_Reps!A:A,Dim_Reps!B:B)</f>
        <v>Morgan Larsen</v>
      </c>
      <c r="P1556" t="str">
        <f>_xlfn.XLOOKUP(Pipeline_tbl[[#This Row],[Rep_ID]],Dim_Reps!A:A,Dim_Reps!C:C)</f>
        <v>Mid-Market AE</v>
      </c>
      <c r="Q1556" t="str">
        <f>_xlfn.XLOOKUP(Pipeline_tbl[[#This Row],[Rep_ID]],Dim_Reps!A:A,Dim_Reps!D:D)</f>
        <v>Mid-Market</v>
      </c>
      <c r="R1556" t="str">
        <f>_xlfn.XLOOKUP(Pipeline_tbl[[#This Row],[Rep_ID]],Dim_Reps!A:A,Dim_Reps!E:E)</f>
        <v>NAMER</v>
      </c>
      <c r="S1556" t="str">
        <f>_xlfn.XLOOKUP(Pipeline_tbl[[#This Row],[Created_Date]],Dim_Date!A:A,Dim_Date!H:H)</f>
        <v>Nov 2025</v>
      </c>
      <c r="T1556" t="str">
        <f>IF(Pipeline_tbl[[#This Row],[Closed_Date]]=0,"",(_xlfn.XLOOKUP(Pipeline_tbl[[#This Row],[Closed_Date]],Dim_Date!A:A,Dim_Date!H:H)))</f>
        <v>Dec 2025</v>
      </c>
      <c r="U1556">
        <f>IF(Pipeline_tbl[[#This Row],[Closed_Date]]=0,"",Pipeline_tbl[[#This Row],[Closed_Date]]-Pipeline_tbl[[#This Row],[Created_Date]])</f>
        <v>46</v>
      </c>
    </row>
    <row r="1557" spans="1:21" ht="15" customHeight="1" x14ac:dyDescent="0.2">
      <c r="A1557" t="s">
        <v>1863</v>
      </c>
      <c r="B1557" t="s">
        <v>261</v>
      </c>
      <c r="C1557" t="s">
        <v>53</v>
      </c>
      <c r="D1557" s="49">
        <v>45967</v>
      </c>
      <c r="E1557" s="49">
        <v>45971</v>
      </c>
      <c r="F1557" s="49">
        <v>45979</v>
      </c>
      <c r="I1557" s="49">
        <v>46006</v>
      </c>
      <c r="J1557" t="s">
        <v>49</v>
      </c>
      <c r="K1557" s="33">
        <v>12500</v>
      </c>
      <c r="L1557" t="s">
        <v>61</v>
      </c>
      <c r="M1557" t="str">
        <f>_xlfn.XLOOKUP(Pipeline_tbl[[#This Row],[Rep_ID]],Dim_Reps!A:A,Dim_Reps!K:K)</f>
        <v>USD</v>
      </c>
      <c r="N1557" s="33">
        <f>(_xlfn.XLOOKUP(Pipeline_tbl[[#This Row],[Rate_Code_Generalized]],Lookups!A:A,Lookups!B:B))*Pipeline_tbl[[#This Row],[Pipeline_Amount_USD]]</f>
        <v>14553.749999999998</v>
      </c>
      <c r="O1557" t="str">
        <f>_xlfn.XLOOKUP(Pipeline_tbl[[#This Row],[Rep_ID]],Dim_Reps!A:A,Dim_Reps!B:B)</f>
        <v>Morgan Larsen</v>
      </c>
      <c r="P1557" t="str">
        <f>_xlfn.XLOOKUP(Pipeline_tbl[[#This Row],[Rep_ID]],Dim_Reps!A:A,Dim_Reps!C:C)</f>
        <v>Mid-Market AE</v>
      </c>
      <c r="Q1557" t="str">
        <f>_xlfn.XLOOKUP(Pipeline_tbl[[#This Row],[Rep_ID]],Dim_Reps!A:A,Dim_Reps!D:D)</f>
        <v>Mid-Market</v>
      </c>
      <c r="R1557" t="str">
        <f>_xlfn.XLOOKUP(Pipeline_tbl[[#This Row],[Rep_ID]],Dim_Reps!A:A,Dim_Reps!E:E)</f>
        <v>NAMER</v>
      </c>
      <c r="S1557" t="str">
        <f>_xlfn.XLOOKUP(Pipeline_tbl[[#This Row],[Created_Date]],Dim_Date!A:A,Dim_Date!H:H)</f>
        <v>Nov 2025</v>
      </c>
      <c r="T1557" t="str">
        <f>IF(Pipeline_tbl[[#This Row],[Closed_Date]]=0,"",(_xlfn.XLOOKUP(Pipeline_tbl[[#This Row],[Closed_Date]],Dim_Date!A:A,Dim_Date!H:H)))</f>
        <v>Dec 2025</v>
      </c>
      <c r="U1557">
        <f>IF(Pipeline_tbl[[#This Row],[Closed_Date]]=0,"",Pipeline_tbl[[#This Row],[Closed_Date]]-Pipeline_tbl[[#This Row],[Created_Date]])</f>
        <v>39</v>
      </c>
    </row>
    <row r="1558" spans="1:21" ht="15" customHeight="1" x14ac:dyDescent="0.2">
      <c r="A1558" t="s">
        <v>1864</v>
      </c>
      <c r="B1558" t="s">
        <v>225</v>
      </c>
      <c r="C1558" t="s">
        <v>52</v>
      </c>
      <c r="D1558" s="49">
        <v>45974</v>
      </c>
      <c r="E1558" s="49">
        <v>45976</v>
      </c>
      <c r="F1558" s="49">
        <v>45980</v>
      </c>
      <c r="I1558" s="49">
        <v>45993</v>
      </c>
      <c r="J1558" t="s">
        <v>49</v>
      </c>
      <c r="K1558" s="33">
        <v>2500</v>
      </c>
      <c r="L1558" t="s">
        <v>64</v>
      </c>
      <c r="M1558" t="str">
        <f>_xlfn.XLOOKUP(Pipeline_tbl[[#This Row],[Rep_ID]],Dim_Reps!A:A,Dim_Reps!K:K)</f>
        <v>USD</v>
      </c>
      <c r="N1558" s="33">
        <f>(_xlfn.XLOOKUP(Pipeline_tbl[[#This Row],[Rate_Code_Generalized]],Lookups!A:A,Lookups!B:B))*Pipeline_tbl[[#This Row],[Pipeline_Amount_USD]]</f>
        <v>2910.7499999999995</v>
      </c>
      <c r="O1558" t="str">
        <f>_xlfn.XLOOKUP(Pipeline_tbl[[#This Row],[Rep_ID]],Dim_Reps!A:A,Dim_Reps!B:B)</f>
        <v>Alex Muller</v>
      </c>
      <c r="P1558" t="str">
        <f>_xlfn.XLOOKUP(Pipeline_tbl[[#This Row],[Rep_ID]],Dim_Reps!A:A,Dim_Reps!C:C)</f>
        <v>SDR / Inside Sales Rep</v>
      </c>
      <c r="Q1558" t="str">
        <f>_xlfn.XLOOKUP(Pipeline_tbl[[#This Row],[Rep_ID]],Dim_Reps!A:A,Dim_Reps!D:D)</f>
        <v>Inside Sales</v>
      </c>
      <c r="R1558" t="str">
        <f>_xlfn.XLOOKUP(Pipeline_tbl[[#This Row],[Rep_ID]],Dim_Reps!A:A,Dim_Reps!E:E)</f>
        <v>NAMER</v>
      </c>
      <c r="S1558" t="str">
        <f>_xlfn.XLOOKUP(Pipeline_tbl[[#This Row],[Created_Date]],Dim_Date!A:A,Dim_Date!H:H)</f>
        <v>Nov 2025</v>
      </c>
      <c r="T1558" t="str">
        <f>IF(Pipeline_tbl[[#This Row],[Closed_Date]]=0,"",(_xlfn.XLOOKUP(Pipeline_tbl[[#This Row],[Closed_Date]],Dim_Date!A:A,Dim_Date!H:H)))</f>
        <v>Dec 2025</v>
      </c>
      <c r="U1558">
        <f>IF(Pipeline_tbl[[#This Row],[Closed_Date]]=0,"",Pipeline_tbl[[#This Row],[Closed_Date]]-Pipeline_tbl[[#This Row],[Created_Date]])</f>
        <v>19</v>
      </c>
    </row>
    <row r="1559" spans="1:21" ht="15" customHeight="1" x14ac:dyDescent="0.2">
      <c r="A1559" t="s">
        <v>1865</v>
      </c>
      <c r="B1559" t="s">
        <v>225</v>
      </c>
      <c r="C1559" t="s">
        <v>53</v>
      </c>
      <c r="D1559" s="49">
        <v>45977</v>
      </c>
      <c r="E1559" s="49">
        <v>45979</v>
      </c>
      <c r="F1559" s="49">
        <v>45983</v>
      </c>
      <c r="G1559" s="49">
        <v>45988</v>
      </c>
      <c r="H1559" s="49">
        <v>45993</v>
      </c>
      <c r="I1559" s="49">
        <v>45996</v>
      </c>
      <c r="J1559" t="s">
        <v>47</v>
      </c>
      <c r="K1559" s="33">
        <v>4100</v>
      </c>
      <c r="M1559" t="str">
        <f>_xlfn.XLOOKUP(Pipeline_tbl[[#This Row],[Rep_ID]],Dim_Reps!A:A,Dim_Reps!K:K)</f>
        <v>USD</v>
      </c>
      <c r="N1559" s="33">
        <f>(_xlfn.XLOOKUP(Pipeline_tbl[[#This Row],[Rate_Code_Generalized]],Lookups!A:A,Lookups!B:B))*Pipeline_tbl[[#This Row],[Pipeline_Amount_USD]]</f>
        <v>4773.6299999999992</v>
      </c>
      <c r="O1559" t="str">
        <f>_xlfn.XLOOKUP(Pipeline_tbl[[#This Row],[Rep_ID]],Dim_Reps!A:A,Dim_Reps!B:B)</f>
        <v>Alex Muller</v>
      </c>
      <c r="P1559" t="str">
        <f>_xlfn.XLOOKUP(Pipeline_tbl[[#This Row],[Rep_ID]],Dim_Reps!A:A,Dim_Reps!C:C)</f>
        <v>SDR / Inside Sales Rep</v>
      </c>
      <c r="Q1559" t="str">
        <f>_xlfn.XLOOKUP(Pipeline_tbl[[#This Row],[Rep_ID]],Dim_Reps!A:A,Dim_Reps!D:D)</f>
        <v>Inside Sales</v>
      </c>
      <c r="R1559" t="str">
        <f>_xlfn.XLOOKUP(Pipeline_tbl[[#This Row],[Rep_ID]],Dim_Reps!A:A,Dim_Reps!E:E)</f>
        <v>NAMER</v>
      </c>
      <c r="S1559" t="str">
        <f>_xlfn.XLOOKUP(Pipeline_tbl[[#This Row],[Created_Date]],Dim_Date!A:A,Dim_Date!H:H)</f>
        <v>Nov 2025</v>
      </c>
      <c r="T1559" t="str">
        <f>IF(Pipeline_tbl[[#This Row],[Closed_Date]]=0,"",(_xlfn.XLOOKUP(Pipeline_tbl[[#This Row],[Closed_Date]],Dim_Date!A:A,Dim_Date!H:H)))</f>
        <v>Dec 2025</v>
      </c>
      <c r="U1559">
        <f>IF(Pipeline_tbl[[#This Row],[Closed_Date]]=0,"",Pipeline_tbl[[#This Row],[Closed_Date]]-Pipeline_tbl[[#This Row],[Created_Date]])</f>
        <v>19</v>
      </c>
    </row>
    <row r="1560" spans="1:21" ht="15" customHeight="1" x14ac:dyDescent="0.2">
      <c r="A1560" t="s">
        <v>1866</v>
      </c>
      <c r="B1560" t="s">
        <v>225</v>
      </c>
      <c r="C1560" t="s">
        <v>53</v>
      </c>
      <c r="D1560" s="49">
        <v>45980</v>
      </c>
      <c r="E1560" s="49">
        <v>45982</v>
      </c>
      <c r="F1560" s="49">
        <v>45987</v>
      </c>
      <c r="I1560" s="49">
        <v>46003</v>
      </c>
      <c r="J1560" t="s">
        <v>49</v>
      </c>
      <c r="K1560" s="33">
        <v>3100</v>
      </c>
      <c r="L1560" t="s">
        <v>64</v>
      </c>
      <c r="M1560" t="str">
        <f>_xlfn.XLOOKUP(Pipeline_tbl[[#This Row],[Rep_ID]],Dim_Reps!A:A,Dim_Reps!K:K)</f>
        <v>USD</v>
      </c>
      <c r="N1560" s="33">
        <f>(_xlfn.XLOOKUP(Pipeline_tbl[[#This Row],[Rate_Code_Generalized]],Lookups!A:A,Lookups!B:B))*Pipeline_tbl[[#This Row],[Pipeline_Amount_USD]]</f>
        <v>3609.3299999999995</v>
      </c>
      <c r="O1560" t="str">
        <f>_xlfn.XLOOKUP(Pipeline_tbl[[#This Row],[Rep_ID]],Dim_Reps!A:A,Dim_Reps!B:B)</f>
        <v>Alex Muller</v>
      </c>
      <c r="P1560" t="str">
        <f>_xlfn.XLOOKUP(Pipeline_tbl[[#This Row],[Rep_ID]],Dim_Reps!A:A,Dim_Reps!C:C)</f>
        <v>SDR / Inside Sales Rep</v>
      </c>
      <c r="Q1560" t="str">
        <f>_xlfn.XLOOKUP(Pipeline_tbl[[#This Row],[Rep_ID]],Dim_Reps!A:A,Dim_Reps!D:D)</f>
        <v>Inside Sales</v>
      </c>
      <c r="R1560" t="str">
        <f>_xlfn.XLOOKUP(Pipeline_tbl[[#This Row],[Rep_ID]],Dim_Reps!A:A,Dim_Reps!E:E)</f>
        <v>NAMER</v>
      </c>
      <c r="S1560" t="str">
        <f>_xlfn.XLOOKUP(Pipeline_tbl[[#This Row],[Created_Date]],Dim_Date!A:A,Dim_Date!H:H)</f>
        <v>Nov 2025</v>
      </c>
      <c r="T1560" t="str">
        <f>IF(Pipeline_tbl[[#This Row],[Closed_Date]]=0,"",(_xlfn.XLOOKUP(Pipeline_tbl[[#This Row],[Closed_Date]],Dim_Date!A:A,Dim_Date!H:H)))</f>
        <v>Dec 2025</v>
      </c>
      <c r="U1560">
        <f>IF(Pipeline_tbl[[#This Row],[Closed_Date]]=0,"",Pipeline_tbl[[#This Row],[Closed_Date]]-Pipeline_tbl[[#This Row],[Created_Date]])</f>
        <v>23</v>
      </c>
    </row>
    <row r="1561" spans="1:21" ht="15" customHeight="1" x14ac:dyDescent="0.2">
      <c r="A1561" t="s">
        <v>1867</v>
      </c>
      <c r="B1561" t="s">
        <v>225</v>
      </c>
      <c r="C1561" t="s">
        <v>53</v>
      </c>
      <c r="D1561" s="49">
        <v>45979</v>
      </c>
      <c r="E1561" s="49">
        <v>45981</v>
      </c>
      <c r="F1561" s="49">
        <v>45986</v>
      </c>
      <c r="I1561" s="49">
        <v>46003</v>
      </c>
      <c r="J1561" t="s">
        <v>49</v>
      </c>
      <c r="K1561" s="33">
        <v>1400</v>
      </c>
      <c r="L1561" t="s">
        <v>64</v>
      </c>
      <c r="M1561" t="str">
        <f>_xlfn.XLOOKUP(Pipeline_tbl[[#This Row],[Rep_ID]],Dim_Reps!A:A,Dim_Reps!K:K)</f>
        <v>USD</v>
      </c>
      <c r="N1561" s="33">
        <f>(_xlfn.XLOOKUP(Pipeline_tbl[[#This Row],[Rate_Code_Generalized]],Lookups!A:A,Lookups!B:B))*Pipeline_tbl[[#This Row],[Pipeline_Amount_USD]]</f>
        <v>1630.0199999999998</v>
      </c>
      <c r="O1561" t="str">
        <f>_xlfn.XLOOKUP(Pipeline_tbl[[#This Row],[Rep_ID]],Dim_Reps!A:A,Dim_Reps!B:B)</f>
        <v>Alex Muller</v>
      </c>
      <c r="P1561" t="str">
        <f>_xlfn.XLOOKUP(Pipeline_tbl[[#This Row],[Rep_ID]],Dim_Reps!A:A,Dim_Reps!C:C)</f>
        <v>SDR / Inside Sales Rep</v>
      </c>
      <c r="Q1561" t="str">
        <f>_xlfn.XLOOKUP(Pipeline_tbl[[#This Row],[Rep_ID]],Dim_Reps!A:A,Dim_Reps!D:D)</f>
        <v>Inside Sales</v>
      </c>
      <c r="R1561" t="str">
        <f>_xlfn.XLOOKUP(Pipeline_tbl[[#This Row],[Rep_ID]],Dim_Reps!A:A,Dim_Reps!E:E)</f>
        <v>NAMER</v>
      </c>
      <c r="S1561" t="str">
        <f>_xlfn.XLOOKUP(Pipeline_tbl[[#This Row],[Created_Date]],Dim_Date!A:A,Dim_Date!H:H)</f>
        <v>Nov 2025</v>
      </c>
      <c r="T1561" t="str">
        <f>IF(Pipeline_tbl[[#This Row],[Closed_Date]]=0,"",(_xlfn.XLOOKUP(Pipeline_tbl[[#This Row],[Closed_Date]],Dim_Date!A:A,Dim_Date!H:H)))</f>
        <v>Dec 2025</v>
      </c>
      <c r="U1561">
        <f>IF(Pipeline_tbl[[#This Row],[Closed_Date]]=0,"",Pipeline_tbl[[#This Row],[Closed_Date]]-Pipeline_tbl[[#This Row],[Created_Date]])</f>
        <v>24</v>
      </c>
    </row>
    <row r="1562" spans="1:21" ht="15" customHeight="1" x14ac:dyDescent="0.2">
      <c r="A1562" t="s">
        <v>1868</v>
      </c>
      <c r="B1562" t="s">
        <v>227</v>
      </c>
      <c r="C1562" t="s">
        <v>52</v>
      </c>
      <c r="D1562" s="49">
        <v>45975</v>
      </c>
      <c r="E1562" s="49">
        <v>45977</v>
      </c>
      <c r="F1562" s="49">
        <v>45980</v>
      </c>
      <c r="G1562" s="49">
        <v>45985</v>
      </c>
      <c r="H1562" s="49">
        <v>45989</v>
      </c>
      <c r="I1562" s="49">
        <v>45992</v>
      </c>
      <c r="J1562" t="s">
        <v>47</v>
      </c>
      <c r="K1562" s="33">
        <v>2800</v>
      </c>
      <c r="M1562" t="str">
        <f>_xlfn.XLOOKUP(Pipeline_tbl[[#This Row],[Rep_ID]],Dim_Reps!A:A,Dim_Reps!K:K)</f>
        <v>EUR</v>
      </c>
      <c r="N1562" s="33">
        <f>(_xlfn.XLOOKUP(Pipeline_tbl[[#This Row],[Rate_Code_Generalized]],Lookups!A:A,Lookups!B:B))*Pipeline_tbl[[#This Row],[Pipeline_Amount_USD]]</f>
        <v>2800</v>
      </c>
      <c r="O1562" t="str">
        <f>_xlfn.XLOOKUP(Pipeline_tbl[[#This Row],[Rep_ID]],Dim_Reps!A:A,Dim_Reps!B:B)</f>
        <v>Liam Muller</v>
      </c>
      <c r="P1562" t="str">
        <f>_xlfn.XLOOKUP(Pipeline_tbl[[#This Row],[Rep_ID]],Dim_Reps!A:A,Dim_Reps!C:C)</f>
        <v>SDR / Inside Sales Rep</v>
      </c>
      <c r="Q1562" t="str">
        <f>_xlfn.XLOOKUP(Pipeline_tbl[[#This Row],[Rep_ID]],Dim_Reps!A:A,Dim_Reps!D:D)</f>
        <v>Inside Sales</v>
      </c>
      <c r="R1562" t="str">
        <f>_xlfn.XLOOKUP(Pipeline_tbl[[#This Row],[Rep_ID]],Dim_Reps!A:A,Dim_Reps!E:E)</f>
        <v>EMEA</v>
      </c>
      <c r="S1562" t="str">
        <f>_xlfn.XLOOKUP(Pipeline_tbl[[#This Row],[Created_Date]],Dim_Date!A:A,Dim_Date!H:H)</f>
        <v>Nov 2025</v>
      </c>
      <c r="T1562" t="str">
        <f>IF(Pipeline_tbl[[#This Row],[Closed_Date]]=0,"",(_xlfn.XLOOKUP(Pipeline_tbl[[#This Row],[Closed_Date]],Dim_Date!A:A,Dim_Date!H:H)))</f>
        <v>Dec 2025</v>
      </c>
      <c r="U1562">
        <f>IF(Pipeline_tbl[[#This Row],[Closed_Date]]=0,"",Pipeline_tbl[[#This Row],[Closed_Date]]-Pipeline_tbl[[#This Row],[Created_Date]])</f>
        <v>17</v>
      </c>
    </row>
    <row r="1563" spans="1:21" ht="15" customHeight="1" x14ac:dyDescent="0.2">
      <c r="A1563" t="s">
        <v>1869</v>
      </c>
      <c r="B1563" t="s">
        <v>227</v>
      </c>
      <c r="C1563" t="s">
        <v>53</v>
      </c>
      <c r="D1563" s="49">
        <v>45984</v>
      </c>
      <c r="E1563" s="49">
        <v>45986</v>
      </c>
      <c r="F1563" s="49">
        <v>45989</v>
      </c>
      <c r="G1563" s="49">
        <v>45995</v>
      </c>
      <c r="I1563" s="49">
        <v>46002</v>
      </c>
      <c r="J1563" t="s">
        <v>49</v>
      </c>
      <c r="K1563" s="33">
        <v>1800</v>
      </c>
      <c r="L1563" t="s">
        <v>60</v>
      </c>
      <c r="M1563" t="str">
        <f>_xlfn.XLOOKUP(Pipeline_tbl[[#This Row],[Rep_ID]],Dim_Reps!A:A,Dim_Reps!K:K)</f>
        <v>EUR</v>
      </c>
      <c r="N1563" s="33">
        <f>(_xlfn.XLOOKUP(Pipeline_tbl[[#This Row],[Rate_Code_Generalized]],Lookups!A:A,Lookups!B:B))*Pipeline_tbl[[#This Row],[Pipeline_Amount_USD]]</f>
        <v>1800</v>
      </c>
      <c r="O1563" t="str">
        <f>_xlfn.XLOOKUP(Pipeline_tbl[[#This Row],[Rep_ID]],Dim_Reps!A:A,Dim_Reps!B:B)</f>
        <v>Liam Muller</v>
      </c>
      <c r="P1563" t="str">
        <f>_xlfn.XLOOKUP(Pipeline_tbl[[#This Row],[Rep_ID]],Dim_Reps!A:A,Dim_Reps!C:C)</f>
        <v>SDR / Inside Sales Rep</v>
      </c>
      <c r="Q1563" t="str">
        <f>_xlfn.XLOOKUP(Pipeline_tbl[[#This Row],[Rep_ID]],Dim_Reps!A:A,Dim_Reps!D:D)</f>
        <v>Inside Sales</v>
      </c>
      <c r="R1563" t="str">
        <f>_xlfn.XLOOKUP(Pipeline_tbl[[#This Row],[Rep_ID]],Dim_Reps!A:A,Dim_Reps!E:E)</f>
        <v>EMEA</v>
      </c>
      <c r="S1563" t="str">
        <f>_xlfn.XLOOKUP(Pipeline_tbl[[#This Row],[Created_Date]],Dim_Date!A:A,Dim_Date!H:H)</f>
        <v>Nov 2025</v>
      </c>
      <c r="T1563" t="str">
        <f>IF(Pipeline_tbl[[#This Row],[Closed_Date]]=0,"",(_xlfn.XLOOKUP(Pipeline_tbl[[#This Row],[Closed_Date]],Dim_Date!A:A,Dim_Date!H:H)))</f>
        <v>Dec 2025</v>
      </c>
      <c r="U1563">
        <f>IF(Pipeline_tbl[[#This Row],[Closed_Date]]=0,"",Pipeline_tbl[[#This Row],[Closed_Date]]-Pipeline_tbl[[#This Row],[Created_Date]])</f>
        <v>18</v>
      </c>
    </row>
    <row r="1564" spans="1:21" ht="15" customHeight="1" x14ac:dyDescent="0.2">
      <c r="A1564" t="s">
        <v>1870</v>
      </c>
      <c r="B1564" t="s">
        <v>227</v>
      </c>
      <c r="C1564" t="s">
        <v>52</v>
      </c>
      <c r="D1564" s="49">
        <v>45988</v>
      </c>
      <c r="E1564" s="49">
        <v>45990</v>
      </c>
      <c r="I1564" s="49">
        <v>46004</v>
      </c>
      <c r="J1564" t="s">
        <v>49</v>
      </c>
      <c r="K1564" s="33">
        <v>1900</v>
      </c>
      <c r="L1564" t="s">
        <v>61</v>
      </c>
      <c r="M1564" t="str">
        <f>_xlfn.XLOOKUP(Pipeline_tbl[[#This Row],[Rep_ID]],Dim_Reps!A:A,Dim_Reps!K:K)</f>
        <v>EUR</v>
      </c>
      <c r="N1564" s="33">
        <f>(_xlfn.XLOOKUP(Pipeline_tbl[[#This Row],[Rate_Code_Generalized]],Lookups!A:A,Lookups!B:B))*Pipeline_tbl[[#This Row],[Pipeline_Amount_USD]]</f>
        <v>1900</v>
      </c>
      <c r="O1564" t="str">
        <f>_xlfn.XLOOKUP(Pipeline_tbl[[#This Row],[Rep_ID]],Dim_Reps!A:A,Dim_Reps!B:B)</f>
        <v>Liam Muller</v>
      </c>
      <c r="P1564" t="str">
        <f>_xlfn.XLOOKUP(Pipeline_tbl[[#This Row],[Rep_ID]],Dim_Reps!A:A,Dim_Reps!C:C)</f>
        <v>SDR / Inside Sales Rep</v>
      </c>
      <c r="Q1564" t="str">
        <f>_xlfn.XLOOKUP(Pipeline_tbl[[#This Row],[Rep_ID]],Dim_Reps!A:A,Dim_Reps!D:D)</f>
        <v>Inside Sales</v>
      </c>
      <c r="R1564" t="str">
        <f>_xlfn.XLOOKUP(Pipeline_tbl[[#This Row],[Rep_ID]],Dim_Reps!A:A,Dim_Reps!E:E)</f>
        <v>EMEA</v>
      </c>
      <c r="S1564" t="str">
        <f>_xlfn.XLOOKUP(Pipeline_tbl[[#This Row],[Created_Date]],Dim_Date!A:A,Dim_Date!H:H)</f>
        <v>Nov 2025</v>
      </c>
      <c r="T1564" t="str">
        <f>IF(Pipeline_tbl[[#This Row],[Closed_Date]]=0,"",(_xlfn.XLOOKUP(Pipeline_tbl[[#This Row],[Closed_Date]],Dim_Date!A:A,Dim_Date!H:H)))</f>
        <v>Dec 2025</v>
      </c>
      <c r="U1564">
        <f>IF(Pipeline_tbl[[#This Row],[Closed_Date]]=0,"",Pipeline_tbl[[#This Row],[Closed_Date]]-Pipeline_tbl[[#This Row],[Created_Date]])</f>
        <v>16</v>
      </c>
    </row>
    <row r="1565" spans="1:21" ht="15" customHeight="1" x14ac:dyDescent="0.2">
      <c r="A1565" t="s">
        <v>1871</v>
      </c>
      <c r="B1565" t="s">
        <v>227</v>
      </c>
      <c r="C1565" t="s">
        <v>52</v>
      </c>
      <c r="D1565" s="49">
        <v>45976</v>
      </c>
      <c r="E1565" s="49">
        <v>45978</v>
      </c>
      <c r="F1565" s="49">
        <v>45981</v>
      </c>
      <c r="G1565" s="49">
        <v>45986</v>
      </c>
      <c r="I1565" s="49">
        <v>45993</v>
      </c>
      <c r="J1565" t="s">
        <v>49</v>
      </c>
      <c r="K1565" s="33">
        <v>1900</v>
      </c>
      <c r="L1565" t="s">
        <v>61</v>
      </c>
      <c r="M1565" t="str">
        <f>_xlfn.XLOOKUP(Pipeline_tbl[[#This Row],[Rep_ID]],Dim_Reps!A:A,Dim_Reps!K:K)</f>
        <v>EUR</v>
      </c>
      <c r="N1565" s="33">
        <f>(_xlfn.XLOOKUP(Pipeline_tbl[[#This Row],[Rate_Code_Generalized]],Lookups!A:A,Lookups!B:B))*Pipeline_tbl[[#This Row],[Pipeline_Amount_USD]]</f>
        <v>1900</v>
      </c>
      <c r="O1565" t="str">
        <f>_xlfn.XLOOKUP(Pipeline_tbl[[#This Row],[Rep_ID]],Dim_Reps!A:A,Dim_Reps!B:B)</f>
        <v>Liam Muller</v>
      </c>
      <c r="P1565" t="str">
        <f>_xlfn.XLOOKUP(Pipeline_tbl[[#This Row],[Rep_ID]],Dim_Reps!A:A,Dim_Reps!C:C)</f>
        <v>SDR / Inside Sales Rep</v>
      </c>
      <c r="Q1565" t="str">
        <f>_xlfn.XLOOKUP(Pipeline_tbl[[#This Row],[Rep_ID]],Dim_Reps!A:A,Dim_Reps!D:D)</f>
        <v>Inside Sales</v>
      </c>
      <c r="R1565" t="str">
        <f>_xlfn.XLOOKUP(Pipeline_tbl[[#This Row],[Rep_ID]],Dim_Reps!A:A,Dim_Reps!E:E)</f>
        <v>EMEA</v>
      </c>
      <c r="S1565" t="str">
        <f>_xlfn.XLOOKUP(Pipeline_tbl[[#This Row],[Created_Date]],Dim_Date!A:A,Dim_Date!H:H)</f>
        <v>Nov 2025</v>
      </c>
      <c r="T1565" t="str">
        <f>IF(Pipeline_tbl[[#This Row],[Closed_Date]]=0,"",(_xlfn.XLOOKUP(Pipeline_tbl[[#This Row],[Closed_Date]],Dim_Date!A:A,Dim_Date!H:H)))</f>
        <v>Dec 2025</v>
      </c>
      <c r="U1565">
        <f>IF(Pipeline_tbl[[#This Row],[Closed_Date]]=0,"",Pipeline_tbl[[#This Row],[Closed_Date]]-Pipeline_tbl[[#This Row],[Created_Date]])</f>
        <v>17</v>
      </c>
    </row>
    <row r="1566" spans="1:21" ht="15" customHeight="1" x14ac:dyDescent="0.2">
      <c r="A1566" t="s">
        <v>1872</v>
      </c>
      <c r="B1566" t="s">
        <v>227</v>
      </c>
      <c r="C1566" t="s">
        <v>56</v>
      </c>
      <c r="D1566" s="49">
        <v>45977</v>
      </c>
      <c r="E1566" s="49">
        <v>45979</v>
      </c>
      <c r="F1566" s="49">
        <v>45982</v>
      </c>
      <c r="I1566" s="49">
        <v>45995</v>
      </c>
      <c r="J1566" t="s">
        <v>49</v>
      </c>
      <c r="K1566" s="33">
        <v>6800</v>
      </c>
      <c r="L1566" t="s">
        <v>64</v>
      </c>
      <c r="M1566" t="str">
        <f>_xlfn.XLOOKUP(Pipeline_tbl[[#This Row],[Rep_ID]],Dim_Reps!A:A,Dim_Reps!K:K)</f>
        <v>EUR</v>
      </c>
      <c r="N1566" s="33">
        <f>(_xlfn.XLOOKUP(Pipeline_tbl[[#This Row],[Rate_Code_Generalized]],Lookups!A:A,Lookups!B:B))*Pipeline_tbl[[#This Row],[Pipeline_Amount_USD]]</f>
        <v>6800</v>
      </c>
      <c r="O1566" t="str">
        <f>_xlfn.XLOOKUP(Pipeline_tbl[[#This Row],[Rep_ID]],Dim_Reps!A:A,Dim_Reps!B:B)</f>
        <v>Liam Muller</v>
      </c>
      <c r="P1566" t="str">
        <f>_xlfn.XLOOKUP(Pipeline_tbl[[#This Row],[Rep_ID]],Dim_Reps!A:A,Dim_Reps!C:C)</f>
        <v>SDR / Inside Sales Rep</v>
      </c>
      <c r="Q1566" t="str">
        <f>_xlfn.XLOOKUP(Pipeline_tbl[[#This Row],[Rep_ID]],Dim_Reps!A:A,Dim_Reps!D:D)</f>
        <v>Inside Sales</v>
      </c>
      <c r="R1566" t="str">
        <f>_xlfn.XLOOKUP(Pipeline_tbl[[#This Row],[Rep_ID]],Dim_Reps!A:A,Dim_Reps!E:E)</f>
        <v>EMEA</v>
      </c>
      <c r="S1566" t="str">
        <f>_xlfn.XLOOKUP(Pipeline_tbl[[#This Row],[Created_Date]],Dim_Date!A:A,Dim_Date!H:H)</f>
        <v>Nov 2025</v>
      </c>
      <c r="T1566" t="str">
        <f>IF(Pipeline_tbl[[#This Row],[Closed_Date]]=0,"",(_xlfn.XLOOKUP(Pipeline_tbl[[#This Row],[Closed_Date]],Dim_Date!A:A,Dim_Date!H:H)))</f>
        <v>Dec 2025</v>
      </c>
      <c r="U1566">
        <f>IF(Pipeline_tbl[[#This Row],[Closed_Date]]=0,"",Pipeline_tbl[[#This Row],[Closed_Date]]-Pipeline_tbl[[#This Row],[Created_Date]])</f>
        <v>18</v>
      </c>
    </row>
    <row r="1567" spans="1:21" ht="15" customHeight="1" x14ac:dyDescent="0.2">
      <c r="A1567" t="s">
        <v>1873</v>
      </c>
      <c r="B1567" t="s">
        <v>227</v>
      </c>
      <c r="C1567" t="s">
        <v>53</v>
      </c>
      <c r="D1567" s="49">
        <v>45980</v>
      </c>
      <c r="E1567" s="49">
        <v>45982</v>
      </c>
      <c r="F1567" s="49">
        <v>45986</v>
      </c>
      <c r="I1567" s="49">
        <v>45999</v>
      </c>
      <c r="J1567" t="s">
        <v>49</v>
      </c>
      <c r="K1567" s="33">
        <v>6100</v>
      </c>
      <c r="L1567" t="s">
        <v>63</v>
      </c>
      <c r="M1567" t="str">
        <f>_xlfn.XLOOKUP(Pipeline_tbl[[#This Row],[Rep_ID]],Dim_Reps!A:A,Dim_Reps!K:K)</f>
        <v>EUR</v>
      </c>
      <c r="N1567" s="33">
        <f>(_xlfn.XLOOKUP(Pipeline_tbl[[#This Row],[Rate_Code_Generalized]],Lookups!A:A,Lookups!B:B))*Pipeline_tbl[[#This Row],[Pipeline_Amount_USD]]</f>
        <v>6100</v>
      </c>
      <c r="O1567" t="str">
        <f>_xlfn.XLOOKUP(Pipeline_tbl[[#This Row],[Rep_ID]],Dim_Reps!A:A,Dim_Reps!B:B)</f>
        <v>Liam Muller</v>
      </c>
      <c r="P1567" t="str">
        <f>_xlfn.XLOOKUP(Pipeline_tbl[[#This Row],[Rep_ID]],Dim_Reps!A:A,Dim_Reps!C:C)</f>
        <v>SDR / Inside Sales Rep</v>
      </c>
      <c r="Q1567" t="str">
        <f>_xlfn.XLOOKUP(Pipeline_tbl[[#This Row],[Rep_ID]],Dim_Reps!A:A,Dim_Reps!D:D)</f>
        <v>Inside Sales</v>
      </c>
      <c r="R1567" t="str">
        <f>_xlfn.XLOOKUP(Pipeline_tbl[[#This Row],[Rep_ID]],Dim_Reps!A:A,Dim_Reps!E:E)</f>
        <v>EMEA</v>
      </c>
      <c r="S1567" t="str">
        <f>_xlfn.XLOOKUP(Pipeline_tbl[[#This Row],[Created_Date]],Dim_Date!A:A,Dim_Date!H:H)</f>
        <v>Nov 2025</v>
      </c>
      <c r="T1567" t="str">
        <f>IF(Pipeline_tbl[[#This Row],[Closed_Date]]=0,"",(_xlfn.XLOOKUP(Pipeline_tbl[[#This Row],[Closed_Date]],Dim_Date!A:A,Dim_Date!H:H)))</f>
        <v>Dec 2025</v>
      </c>
      <c r="U1567">
        <f>IF(Pipeline_tbl[[#This Row],[Closed_Date]]=0,"",Pipeline_tbl[[#This Row],[Closed_Date]]-Pipeline_tbl[[#This Row],[Created_Date]])</f>
        <v>19</v>
      </c>
    </row>
    <row r="1568" spans="1:21" ht="15" customHeight="1" x14ac:dyDescent="0.2">
      <c r="A1568" t="s">
        <v>1874</v>
      </c>
      <c r="B1568" t="s">
        <v>227</v>
      </c>
      <c r="C1568" t="s">
        <v>52</v>
      </c>
      <c r="D1568" s="49">
        <v>45987</v>
      </c>
      <c r="E1568" s="49">
        <v>45989</v>
      </c>
      <c r="F1568" s="49">
        <v>45994</v>
      </c>
      <c r="I1568" s="49">
        <v>46009</v>
      </c>
      <c r="J1568" t="s">
        <v>49</v>
      </c>
      <c r="K1568" s="33">
        <v>2400</v>
      </c>
      <c r="L1568" t="s">
        <v>62</v>
      </c>
      <c r="M1568" t="str">
        <f>_xlfn.XLOOKUP(Pipeline_tbl[[#This Row],[Rep_ID]],Dim_Reps!A:A,Dim_Reps!K:K)</f>
        <v>EUR</v>
      </c>
      <c r="N1568" s="33">
        <f>(_xlfn.XLOOKUP(Pipeline_tbl[[#This Row],[Rate_Code_Generalized]],Lookups!A:A,Lookups!B:B))*Pipeline_tbl[[#This Row],[Pipeline_Amount_USD]]</f>
        <v>2400</v>
      </c>
      <c r="O1568" t="str">
        <f>_xlfn.XLOOKUP(Pipeline_tbl[[#This Row],[Rep_ID]],Dim_Reps!A:A,Dim_Reps!B:B)</f>
        <v>Liam Muller</v>
      </c>
      <c r="P1568" t="str">
        <f>_xlfn.XLOOKUP(Pipeline_tbl[[#This Row],[Rep_ID]],Dim_Reps!A:A,Dim_Reps!C:C)</f>
        <v>SDR / Inside Sales Rep</v>
      </c>
      <c r="Q1568" t="str">
        <f>_xlfn.XLOOKUP(Pipeline_tbl[[#This Row],[Rep_ID]],Dim_Reps!A:A,Dim_Reps!D:D)</f>
        <v>Inside Sales</v>
      </c>
      <c r="R1568" t="str">
        <f>_xlfn.XLOOKUP(Pipeline_tbl[[#This Row],[Rep_ID]],Dim_Reps!A:A,Dim_Reps!E:E)</f>
        <v>EMEA</v>
      </c>
      <c r="S1568" t="str">
        <f>_xlfn.XLOOKUP(Pipeline_tbl[[#This Row],[Created_Date]],Dim_Date!A:A,Dim_Date!H:H)</f>
        <v>Nov 2025</v>
      </c>
      <c r="T1568" t="str">
        <f>IF(Pipeline_tbl[[#This Row],[Closed_Date]]=0,"",(_xlfn.XLOOKUP(Pipeline_tbl[[#This Row],[Closed_Date]],Dim_Date!A:A,Dim_Date!H:H)))</f>
        <v>Dec 2025</v>
      </c>
      <c r="U1568">
        <f>IF(Pipeline_tbl[[#This Row],[Closed_Date]]=0,"",Pipeline_tbl[[#This Row],[Closed_Date]]-Pipeline_tbl[[#This Row],[Created_Date]])</f>
        <v>22</v>
      </c>
    </row>
    <row r="1569" spans="1:21" ht="15" customHeight="1" x14ac:dyDescent="0.2">
      <c r="A1569" t="s">
        <v>1875</v>
      </c>
      <c r="B1569" t="s">
        <v>227</v>
      </c>
      <c r="C1569" t="s">
        <v>53</v>
      </c>
      <c r="D1569" s="49">
        <v>45986</v>
      </c>
      <c r="E1569" s="49">
        <v>45988</v>
      </c>
      <c r="F1569" s="49">
        <v>45991</v>
      </c>
      <c r="G1569" s="49">
        <v>45996</v>
      </c>
      <c r="H1569" s="49">
        <v>46000</v>
      </c>
      <c r="I1569" s="49">
        <v>46003</v>
      </c>
      <c r="J1569" t="s">
        <v>47</v>
      </c>
      <c r="K1569" s="33">
        <v>4500</v>
      </c>
      <c r="M1569" t="str">
        <f>_xlfn.XLOOKUP(Pipeline_tbl[[#This Row],[Rep_ID]],Dim_Reps!A:A,Dim_Reps!K:K)</f>
        <v>EUR</v>
      </c>
      <c r="N1569" s="33">
        <f>(_xlfn.XLOOKUP(Pipeline_tbl[[#This Row],[Rate_Code_Generalized]],Lookups!A:A,Lookups!B:B))*Pipeline_tbl[[#This Row],[Pipeline_Amount_USD]]</f>
        <v>4500</v>
      </c>
      <c r="O1569" t="str">
        <f>_xlfn.XLOOKUP(Pipeline_tbl[[#This Row],[Rep_ID]],Dim_Reps!A:A,Dim_Reps!B:B)</f>
        <v>Liam Muller</v>
      </c>
      <c r="P1569" t="str">
        <f>_xlfn.XLOOKUP(Pipeline_tbl[[#This Row],[Rep_ID]],Dim_Reps!A:A,Dim_Reps!C:C)</f>
        <v>SDR / Inside Sales Rep</v>
      </c>
      <c r="Q1569" t="str">
        <f>_xlfn.XLOOKUP(Pipeline_tbl[[#This Row],[Rep_ID]],Dim_Reps!A:A,Dim_Reps!D:D)</f>
        <v>Inside Sales</v>
      </c>
      <c r="R1569" t="str">
        <f>_xlfn.XLOOKUP(Pipeline_tbl[[#This Row],[Rep_ID]],Dim_Reps!A:A,Dim_Reps!E:E)</f>
        <v>EMEA</v>
      </c>
      <c r="S1569" t="str">
        <f>_xlfn.XLOOKUP(Pipeline_tbl[[#This Row],[Created_Date]],Dim_Date!A:A,Dim_Date!H:H)</f>
        <v>Nov 2025</v>
      </c>
      <c r="T1569" t="str">
        <f>IF(Pipeline_tbl[[#This Row],[Closed_Date]]=0,"",(_xlfn.XLOOKUP(Pipeline_tbl[[#This Row],[Closed_Date]],Dim_Date!A:A,Dim_Date!H:H)))</f>
        <v>Dec 2025</v>
      </c>
      <c r="U1569">
        <f>IF(Pipeline_tbl[[#This Row],[Closed_Date]]=0,"",Pipeline_tbl[[#This Row],[Closed_Date]]-Pipeline_tbl[[#This Row],[Created_Date]])</f>
        <v>17</v>
      </c>
    </row>
    <row r="1570" spans="1:21" ht="15" customHeight="1" x14ac:dyDescent="0.2">
      <c r="A1570" t="s">
        <v>1876</v>
      </c>
      <c r="B1570" t="s">
        <v>227</v>
      </c>
      <c r="C1570" t="s">
        <v>52</v>
      </c>
      <c r="D1570" s="49">
        <v>45969</v>
      </c>
      <c r="E1570" s="49">
        <v>45972</v>
      </c>
      <c r="F1570" s="49">
        <v>45977</v>
      </c>
      <c r="G1570" s="49">
        <v>45985</v>
      </c>
      <c r="I1570" s="49">
        <v>45995</v>
      </c>
      <c r="J1570" t="s">
        <v>49</v>
      </c>
      <c r="K1570" s="33">
        <v>2400</v>
      </c>
      <c r="L1570" t="s">
        <v>62</v>
      </c>
      <c r="M1570" t="str">
        <f>_xlfn.XLOOKUP(Pipeline_tbl[[#This Row],[Rep_ID]],Dim_Reps!A:A,Dim_Reps!K:K)</f>
        <v>EUR</v>
      </c>
      <c r="N1570" s="33">
        <f>(_xlfn.XLOOKUP(Pipeline_tbl[[#This Row],[Rate_Code_Generalized]],Lookups!A:A,Lookups!B:B))*Pipeline_tbl[[#This Row],[Pipeline_Amount_USD]]</f>
        <v>2400</v>
      </c>
      <c r="O1570" t="str">
        <f>_xlfn.XLOOKUP(Pipeline_tbl[[#This Row],[Rep_ID]],Dim_Reps!A:A,Dim_Reps!B:B)</f>
        <v>Liam Muller</v>
      </c>
      <c r="P1570" t="str">
        <f>_xlfn.XLOOKUP(Pipeline_tbl[[#This Row],[Rep_ID]],Dim_Reps!A:A,Dim_Reps!C:C)</f>
        <v>SDR / Inside Sales Rep</v>
      </c>
      <c r="Q1570" t="str">
        <f>_xlfn.XLOOKUP(Pipeline_tbl[[#This Row],[Rep_ID]],Dim_Reps!A:A,Dim_Reps!D:D)</f>
        <v>Inside Sales</v>
      </c>
      <c r="R1570" t="str">
        <f>_xlfn.XLOOKUP(Pipeline_tbl[[#This Row],[Rep_ID]],Dim_Reps!A:A,Dim_Reps!E:E)</f>
        <v>EMEA</v>
      </c>
      <c r="S1570" t="str">
        <f>_xlfn.XLOOKUP(Pipeline_tbl[[#This Row],[Created_Date]],Dim_Date!A:A,Dim_Date!H:H)</f>
        <v>Nov 2025</v>
      </c>
      <c r="T1570" t="str">
        <f>IF(Pipeline_tbl[[#This Row],[Closed_Date]]=0,"",(_xlfn.XLOOKUP(Pipeline_tbl[[#This Row],[Closed_Date]],Dim_Date!A:A,Dim_Date!H:H)))</f>
        <v>Dec 2025</v>
      </c>
      <c r="U1570">
        <f>IF(Pipeline_tbl[[#This Row],[Closed_Date]]=0,"",Pipeline_tbl[[#This Row],[Closed_Date]]-Pipeline_tbl[[#This Row],[Created_Date]])</f>
        <v>26</v>
      </c>
    </row>
    <row r="1571" spans="1:21" ht="15" customHeight="1" x14ac:dyDescent="0.2">
      <c r="A1571" t="s">
        <v>1877</v>
      </c>
      <c r="B1571" t="s">
        <v>227</v>
      </c>
      <c r="C1571" t="s">
        <v>56</v>
      </c>
      <c r="D1571" s="49">
        <v>45979</v>
      </c>
      <c r="E1571" s="49">
        <v>45980</v>
      </c>
      <c r="F1571" s="49">
        <v>45983</v>
      </c>
      <c r="I1571" s="49">
        <v>45993</v>
      </c>
      <c r="J1571" t="s">
        <v>49</v>
      </c>
      <c r="K1571" s="33">
        <v>7200</v>
      </c>
      <c r="L1571" t="s">
        <v>60</v>
      </c>
      <c r="M1571" t="str">
        <f>_xlfn.XLOOKUP(Pipeline_tbl[[#This Row],[Rep_ID]],Dim_Reps!A:A,Dim_Reps!K:K)</f>
        <v>EUR</v>
      </c>
      <c r="N1571" s="33">
        <f>(_xlfn.XLOOKUP(Pipeline_tbl[[#This Row],[Rate_Code_Generalized]],Lookups!A:A,Lookups!B:B))*Pipeline_tbl[[#This Row],[Pipeline_Amount_USD]]</f>
        <v>7200</v>
      </c>
      <c r="O1571" t="str">
        <f>_xlfn.XLOOKUP(Pipeline_tbl[[#This Row],[Rep_ID]],Dim_Reps!A:A,Dim_Reps!B:B)</f>
        <v>Liam Muller</v>
      </c>
      <c r="P1571" t="str">
        <f>_xlfn.XLOOKUP(Pipeline_tbl[[#This Row],[Rep_ID]],Dim_Reps!A:A,Dim_Reps!C:C)</f>
        <v>SDR / Inside Sales Rep</v>
      </c>
      <c r="Q1571" t="str">
        <f>_xlfn.XLOOKUP(Pipeline_tbl[[#This Row],[Rep_ID]],Dim_Reps!A:A,Dim_Reps!D:D)</f>
        <v>Inside Sales</v>
      </c>
      <c r="R1571" t="str">
        <f>_xlfn.XLOOKUP(Pipeline_tbl[[#This Row],[Rep_ID]],Dim_Reps!A:A,Dim_Reps!E:E)</f>
        <v>EMEA</v>
      </c>
      <c r="S1571" t="str">
        <f>_xlfn.XLOOKUP(Pipeline_tbl[[#This Row],[Created_Date]],Dim_Date!A:A,Dim_Date!H:H)</f>
        <v>Nov 2025</v>
      </c>
      <c r="T1571" t="str">
        <f>IF(Pipeline_tbl[[#This Row],[Closed_Date]]=0,"",(_xlfn.XLOOKUP(Pipeline_tbl[[#This Row],[Closed_Date]],Dim_Date!A:A,Dim_Date!H:H)))</f>
        <v>Dec 2025</v>
      </c>
      <c r="U1571">
        <f>IF(Pipeline_tbl[[#This Row],[Closed_Date]]=0,"",Pipeline_tbl[[#This Row],[Closed_Date]]-Pipeline_tbl[[#This Row],[Created_Date]])</f>
        <v>14</v>
      </c>
    </row>
    <row r="1572" spans="1:21" ht="15" customHeight="1" x14ac:dyDescent="0.2">
      <c r="A1572" t="s">
        <v>1878</v>
      </c>
      <c r="B1572" t="s">
        <v>191</v>
      </c>
      <c r="C1572" t="s">
        <v>53</v>
      </c>
      <c r="D1572" s="49">
        <v>45969</v>
      </c>
      <c r="E1572" s="49">
        <v>45972</v>
      </c>
      <c r="F1572" s="49">
        <v>45978</v>
      </c>
      <c r="I1572" s="49">
        <v>45998</v>
      </c>
      <c r="J1572" t="s">
        <v>49</v>
      </c>
      <c r="K1572" s="33">
        <v>21800</v>
      </c>
      <c r="L1572" t="s">
        <v>61</v>
      </c>
      <c r="M1572" t="str">
        <f>_xlfn.XLOOKUP(Pipeline_tbl[[#This Row],[Rep_ID]],Dim_Reps!A:A,Dim_Reps!K:K)</f>
        <v>USD</v>
      </c>
      <c r="N1572" s="33">
        <f>(_xlfn.XLOOKUP(Pipeline_tbl[[#This Row],[Rate_Code_Generalized]],Lookups!A:A,Lookups!B:B))*Pipeline_tbl[[#This Row],[Pipeline_Amount_USD]]</f>
        <v>25381.739999999998</v>
      </c>
      <c r="O1572" t="str">
        <f>_xlfn.XLOOKUP(Pipeline_tbl[[#This Row],[Rep_ID]],Dim_Reps!A:A,Dim_Reps!B:B)</f>
        <v>Zara Duarte</v>
      </c>
      <c r="P1572" t="str">
        <f>_xlfn.XLOOKUP(Pipeline_tbl[[#This Row],[Rep_ID]],Dim_Reps!A:A,Dim_Reps!C:C)</f>
        <v>Enterprise AE</v>
      </c>
      <c r="Q1572" t="str">
        <f>_xlfn.XLOOKUP(Pipeline_tbl[[#This Row],[Rep_ID]],Dim_Reps!A:A,Dim_Reps!D:D)</f>
        <v>Enterprise</v>
      </c>
      <c r="R1572" t="str">
        <f>_xlfn.XLOOKUP(Pipeline_tbl[[#This Row],[Rep_ID]],Dim_Reps!A:A,Dim_Reps!E:E)</f>
        <v>NAMER</v>
      </c>
      <c r="S1572" t="str">
        <f>_xlfn.XLOOKUP(Pipeline_tbl[[#This Row],[Created_Date]],Dim_Date!A:A,Dim_Date!H:H)</f>
        <v>Nov 2025</v>
      </c>
      <c r="T1572" t="str">
        <f>IF(Pipeline_tbl[[#This Row],[Closed_Date]]=0,"",(_xlfn.XLOOKUP(Pipeline_tbl[[#This Row],[Closed_Date]],Dim_Date!A:A,Dim_Date!H:H)))</f>
        <v>Dec 2025</v>
      </c>
      <c r="U1572">
        <f>IF(Pipeline_tbl[[#This Row],[Closed_Date]]=0,"",Pipeline_tbl[[#This Row],[Closed_Date]]-Pipeline_tbl[[#This Row],[Created_Date]])</f>
        <v>29</v>
      </c>
    </row>
    <row r="1573" spans="1:21" ht="15" customHeight="1" x14ac:dyDescent="0.2">
      <c r="A1573" t="s">
        <v>1879</v>
      </c>
      <c r="B1573" t="s">
        <v>191</v>
      </c>
      <c r="C1573" t="s">
        <v>52</v>
      </c>
      <c r="D1573" s="49">
        <v>45975</v>
      </c>
      <c r="E1573" s="49">
        <v>45978</v>
      </c>
      <c r="F1573" s="49">
        <v>45985</v>
      </c>
      <c r="G1573" s="49">
        <v>45995</v>
      </c>
      <c r="H1573" s="49">
        <v>46004</v>
      </c>
      <c r="I1573" s="49">
        <v>46009</v>
      </c>
      <c r="J1573" t="s">
        <v>47</v>
      </c>
      <c r="K1573" s="33">
        <v>35500</v>
      </c>
      <c r="M1573" t="str">
        <f>_xlfn.XLOOKUP(Pipeline_tbl[[#This Row],[Rep_ID]],Dim_Reps!A:A,Dim_Reps!K:K)</f>
        <v>USD</v>
      </c>
      <c r="N1573" s="33">
        <f>(_xlfn.XLOOKUP(Pipeline_tbl[[#This Row],[Rate_Code_Generalized]],Lookups!A:A,Lookups!B:B))*Pipeline_tbl[[#This Row],[Pipeline_Amount_USD]]</f>
        <v>41332.649999999994</v>
      </c>
      <c r="O1573" t="str">
        <f>_xlfn.XLOOKUP(Pipeline_tbl[[#This Row],[Rep_ID]],Dim_Reps!A:A,Dim_Reps!B:B)</f>
        <v>Zara Duarte</v>
      </c>
      <c r="P1573" t="str">
        <f>_xlfn.XLOOKUP(Pipeline_tbl[[#This Row],[Rep_ID]],Dim_Reps!A:A,Dim_Reps!C:C)</f>
        <v>Enterprise AE</v>
      </c>
      <c r="Q1573" t="str">
        <f>_xlfn.XLOOKUP(Pipeline_tbl[[#This Row],[Rep_ID]],Dim_Reps!A:A,Dim_Reps!D:D)</f>
        <v>Enterprise</v>
      </c>
      <c r="R1573" t="str">
        <f>_xlfn.XLOOKUP(Pipeline_tbl[[#This Row],[Rep_ID]],Dim_Reps!A:A,Dim_Reps!E:E)</f>
        <v>NAMER</v>
      </c>
      <c r="S1573" t="str">
        <f>_xlfn.XLOOKUP(Pipeline_tbl[[#This Row],[Created_Date]],Dim_Date!A:A,Dim_Date!H:H)</f>
        <v>Nov 2025</v>
      </c>
      <c r="T1573" t="str">
        <f>IF(Pipeline_tbl[[#This Row],[Closed_Date]]=0,"",(_xlfn.XLOOKUP(Pipeline_tbl[[#This Row],[Closed_Date]],Dim_Date!A:A,Dim_Date!H:H)))</f>
        <v>Dec 2025</v>
      </c>
      <c r="U1573">
        <f>IF(Pipeline_tbl[[#This Row],[Closed_Date]]=0,"",Pipeline_tbl[[#This Row],[Closed_Date]]-Pipeline_tbl[[#This Row],[Created_Date]])</f>
        <v>34</v>
      </c>
    </row>
    <row r="1574" spans="1:21" ht="15" customHeight="1" x14ac:dyDescent="0.2">
      <c r="A1574" t="s">
        <v>1880</v>
      </c>
      <c r="B1574" t="s">
        <v>191</v>
      </c>
      <c r="C1574" t="s">
        <v>55</v>
      </c>
      <c r="D1574" s="49">
        <v>45982</v>
      </c>
      <c r="E1574" s="49">
        <v>45986</v>
      </c>
      <c r="F1574" s="49">
        <v>45993</v>
      </c>
      <c r="G1574" s="49">
        <v>46004</v>
      </c>
      <c r="H1574" s="49">
        <v>46013</v>
      </c>
      <c r="I1574" s="49">
        <v>46018</v>
      </c>
      <c r="J1574" t="s">
        <v>47</v>
      </c>
      <c r="K1574" s="33">
        <v>40000</v>
      </c>
      <c r="M1574" t="str">
        <f>_xlfn.XLOOKUP(Pipeline_tbl[[#This Row],[Rep_ID]],Dim_Reps!A:A,Dim_Reps!K:K)</f>
        <v>USD</v>
      </c>
      <c r="N1574" s="33">
        <f>(_xlfn.XLOOKUP(Pipeline_tbl[[#This Row],[Rate_Code_Generalized]],Lookups!A:A,Lookups!B:B))*Pipeline_tbl[[#This Row],[Pipeline_Amount_USD]]</f>
        <v>46571.999999999993</v>
      </c>
      <c r="O1574" t="str">
        <f>_xlfn.XLOOKUP(Pipeline_tbl[[#This Row],[Rep_ID]],Dim_Reps!A:A,Dim_Reps!B:B)</f>
        <v>Zara Duarte</v>
      </c>
      <c r="P1574" t="str">
        <f>_xlfn.XLOOKUP(Pipeline_tbl[[#This Row],[Rep_ID]],Dim_Reps!A:A,Dim_Reps!C:C)</f>
        <v>Enterprise AE</v>
      </c>
      <c r="Q1574" t="str">
        <f>_xlfn.XLOOKUP(Pipeline_tbl[[#This Row],[Rep_ID]],Dim_Reps!A:A,Dim_Reps!D:D)</f>
        <v>Enterprise</v>
      </c>
      <c r="R1574" t="str">
        <f>_xlfn.XLOOKUP(Pipeline_tbl[[#This Row],[Rep_ID]],Dim_Reps!A:A,Dim_Reps!E:E)</f>
        <v>NAMER</v>
      </c>
      <c r="S1574" t="str">
        <f>_xlfn.XLOOKUP(Pipeline_tbl[[#This Row],[Created_Date]],Dim_Date!A:A,Dim_Date!H:H)</f>
        <v>Nov 2025</v>
      </c>
      <c r="T1574" t="str">
        <f>IF(Pipeline_tbl[[#This Row],[Closed_Date]]=0,"",(_xlfn.XLOOKUP(Pipeline_tbl[[#This Row],[Closed_Date]],Dim_Date!A:A,Dim_Date!H:H)))</f>
        <v>Dec 2025</v>
      </c>
      <c r="U1574">
        <f>IF(Pipeline_tbl[[#This Row],[Closed_Date]]=0,"",Pipeline_tbl[[#This Row],[Closed_Date]]-Pipeline_tbl[[#This Row],[Created_Date]])</f>
        <v>36</v>
      </c>
    </row>
    <row r="1575" spans="1:21" ht="15" customHeight="1" x14ac:dyDescent="0.2">
      <c r="A1575" t="s">
        <v>1881</v>
      </c>
      <c r="B1575" t="s">
        <v>191</v>
      </c>
      <c r="C1575" t="s">
        <v>56</v>
      </c>
      <c r="D1575" s="49">
        <v>45964</v>
      </c>
      <c r="E1575" s="49">
        <v>45970</v>
      </c>
      <c r="F1575" s="49">
        <v>45981</v>
      </c>
      <c r="G1575" s="49">
        <v>45999</v>
      </c>
      <c r="H1575" s="49">
        <v>46013</v>
      </c>
      <c r="I1575" s="49">
        <v>46022</v>
      </c>
      <c r="J1575" t="s">
        <v>49</v>
      </c>
      <c r="K1575" s="33">
        <v>57400</v>
      </c>
      <c r="L1575" t="s">
        <v>62</v>
      </c>
      <c r="M1575" t="str">
        <f>_xlfn.XLOOKUP(Pipeline_tbl[[#This Row],[Rep_ID]],Dim_Reps!A:A,Dim_Reps!K:K)</f>
        <v>USD</v>
      </c>
      <c r="N1575" s="33">
        <f>(_xlfn.XLOOKUP(Pipeline_tbl[[#This Row],[Rate_Code_Generalized]],Lookups!A:A,Lookups!B:B))*Pipeline_tbl[[#This Row],[Pipeline_Amount_USD]]</f>
        <v>66830.819999999992</v>
      </c>
      <c r="O1575" t="str">
        <f>_xlfn.XLOOKUP(Pipeline_tbl[[#This Row],[Rep_ID]],Dim_Reps!A:A,Dim_Reps!B:B)</f>
        <v>Zara Duarte</v>
      </c>
      <c r="P1575" t="str">
        <f>_xlfn.XLOOKUP(Pipeline_tbl[[#This Row],[Rep_ID]],Dim_Reps!A:A,Dim_Reps!C:C)</f>
        <v>Enterprise AE</v>
      </c>
      <c r="Q1575" t="str">
        <f>_xlfn.XLOOKUP(Pipeline_tbl[[#This Row],[Rep_ID]],Dim_Reps!A:A,Dim_Reps!D:D)</f>
        <v>Enterprise</v>
      </c>
      <c r="R1575" t="str">
        <f>_xlfn.XLOOKUP(Pipeline_tbl[[#This Row],[Rep_ID]],Dim_Reps!A:A,Dim_Reps!E:E)</f>
        <v>NAMER</v>
      </c>
      <c r="S1575" t="str">
        <f>_xlfn.XLOOKUP(Pipeline_tbl[[#This Row],[Created_Date]],Dim_Date!A:A,Dim_Date!H:H)</f>
        <v>Nov 2025</v>
      </c>
      <c r="T1575" t="str">
        <f>IF(Pipeline_tbl[[#This Row],[Closed_Date]]=0,"",(_xlfn.XLOOKUP(Pipeline_tbl[[#This Row],[Closed_Date]],Dim_Date!A:A,Dim_Date!H:H)))</f>
        <v>Dec 2025</v>
      </c>
      <c r="U1575">
        <f>IF(Pipeline_tbl[[#This Row],[Closed_Date]]=0,"",Pipeline_tbl[[#This Row],[Closed_Date]]-Pipeline_tbl[[#This Row],[Created_Date]])</f>
        <v>58</v>
      </c>
    </row>
    <row r="1576" spans="1:21" ht="15" customHeight="1" x14ac:dyDescent="0.2">
      <c r="A1576" t="s">
        <v>1882</v>
      </c>
      <c r="B1576" t="s">
        <v>191</v>
      </c>
      <c r="C1576" t="s">
        <v>54</v>
      </c>
      <c r="D1576" s="49">
        <v>45965</v>
      </c>
      <c r="E1576" s="49">
        <v>45969</v>
      </c>
      <c r="I1576" s="49">
        <v>46010</v>
      </c>
      <c r="J1576" t="s">
        <v>49</v>
      </c>
      <c r="K1576" s="33">
        <v>28100</v>
      </c>
      <c r="L1576" t="s">
        <v>60</v>
      </c>
      <c r="M1576" t="str">
        <f>_xlfn.XLOOKUP(Pipeline_tbl[[#This Row],[Rep_ID]],Dim_Reps!A:A,Dim_Reps!K:K)</f>
        <v>USD</v>
      </c>
      <c r="N1576" s="33">
        <f>(_xlfn.XLOOKUP(Pipeline_tbl[[#This Row],[Rate_Code_Generalized]],Lookups!A:A,Lookups!B:B))*Pipeline_tbl[[#This Row],[Pipeline_Amount_USD]]</f>
        <v>32716.829999999998</v>
      </c>
      <c r="O1576" t="str">
        <f>_xlfn.XLOOKUP(Pipeline_tbl[[#This Row],[Rep_ID]],Dim_Reps!A:A,Dim_Reps!B:B)</f>
        <v>Zara Duarte</v>
      </c>
      <c r="P1576" t="str">
        <f>_xlfn.XLOOKUP(Pipeline_tbl[[#This Row],[Rep_ID]],Dim_Reps!A:A,Dim_Reps!C:C)</f>
        <v>Enterprise AE</v>
      </c>
      <c r="Q1576" t="str">
        <f>_xlfn.XLOOKUP(Pipeline_tbl[[#This Row],[Rep_ID]],Dim_Reps!A:A,Dim_Reps!D:D)</f>
        <v>Enterprise</v>
      </c>
      <c r="R1576" t="str">
        <f>_xlfn.XLOOKUP(Pipeline_tbl[[#This Row],[Rep_ID]],Dim_Reps!A:A,Dim_Reps!E:E)</f>
        <v>NAMER</v>
      </c>
      <c r="S1576" t="str">
        <f>_xlfn.XLOOKUP(Pipeline_tbl[[#This Row],[Created_Date]],Dim_Date!A:A,Dim_Date!H:H)</f>
        <v>Nov 2025</v>
      </c>
      <c r="T1576" t="str">
        <f>IF(Pipeline_tbl[[#This Row],[Closed_Date]]=0,"",(_xlfn.XLOOKUP(Pipeline_tbl[[#This Row],[Closed_Date]],Dim_Date!A:A,Dim_Date!H:H)))</f>
        <v>Dec 2025</v>
      </c>
      <c r="U1576">
        <f>IF(Pipeline_tbl[[#This Row],[Closed_Date]]=0,"",Pipeline_tbl[[#This Row],[Closed_Date]]-Pipeline_tbl[[#This Row],[Created_Date]])</f>
        <v>45</v>
      </c>
    </row>
    <row r="1577" spans="1:21" ht="15" customHeight="1" x14ac:dyDescent="0.2">
      <c r="A1577" t="s">
        <v>1883</v>
      </c>
      <c r="B1577" t="s">
        <v>229</v>
      </c>
      <c r="C1577" t="s">
        <v>55</v>
      </c>
      <c r="D1577" s="49">
        <v>45990</v>
      </c>
      <c r="E1577" s="49">
        <v>45992</v>
      </c>
      <c r="F1577" s="49">
        <v>45996</v>
      </c>
      <c r="G1577" s="49">
        <v>46001</v>
      </c>
      <c r="H1577" s="49">
        <v>46006</v>
      </c>
      <c r="I1577" s="49">
        <v>46009</v>
      </c>
      <c r="J1577" t="s">
        <v>49</v>
      </c>
      <c r="K1577" s="33">
        <v>2200</v>
      </c>
      <c r="L1577" t="s">
        <v>60</v>
      </c>
      <c r="M1577" t="str">
        <f>_xlfn.XLOOKUP(Pipeline_tbl[[#This Row],[Rep_ID]],Dim_Reps!A:A,Dim_Reps!K:K)</f>
        <v>USD</v>
      </c>
      <c r="N1577" s="33">
        <f>(_xlfn.XLOOKUP(Pipeline_tbl[[#This Row],[Rate_Code_Generalized]],Lookups!A:A,Lookups!B:B))*Pipeline_tbl[[#This Row],[Pipeline_Amount_USD]]</f>
        <v>2561.4599999999996</v>
      </c>
      <c r="O1577" t="str">
        <f>_xlfn.XLOOKUP(Pipeline_tbl[[#This Row],[Rep_ID]],Dim_Reps!A:A,Dim_Reps!B:B)</f>
        <v>Liam Castro</v>
      </c>
      <c r="P1577" t="str">
        <f>_xlfn.XLOOKUP(Pipeline_tbl[[#This Row],[Rep_ID]],Dim_Reps!A:A,Dim_Reps!C:C)</f>
        <v>SDR / Inside Sales Rep</v>
      </c>
      <c r="Q1577" t="str">
        <f>_xlfn.XLOOKUP(Pipeline_tbl[[#This Row],[Rep_ID]],Dim_Reps!A:A,Dim_Reps!D:D)</f>
        <v>Inside Sales</v>
      </c>
      <c r="R1577" t="str">
        <f>_xlfn.XLOOKUP(Pipeline_tbl[[#This Row],[Rep_ID]],Dim_Reps!A:A,Dim_Reps!E:E)</f>
        <v>NAMER</v>
      </c>
      <c r="S1577" t="str">
        <f>_xlfn.XLOOKUP(Pipeline_tbl[[#This Row],[Created_Date]],Dim_Date!A:A,Dim_Date!H:H)</f>
        <v>Nov 2025</v>
      </c>
      <c r="T1577" t="str">
        <f>IF(Pipeline_tbl[[#This Row],[Closed_Date]]=0,"",(_xlfn.XLOOKUP(Pipeline_tbl[[#This Row],[Closed_Date]],Dim_Date!A:A,Dim_Date!H:H)))</f>
        <v>Dec 2025</v>
      </c>
      <c r="U1577">
        <f>IF(Pipeline_tbl[[#This Row],[Closed_Date]]=0,"",Pipeline_tbl[[#This Row],[Closed_Date]]-Pipeline_tbl[[#This Row],[Created_Date]])</f>
        <v>19</v>
      </c>
    </row>
    <row r="1578" spans="1:21" ht="15" customHeight="1" x14ac:dyDescent="0.2">
      <c r="A1578" t="s">
        <v>1884</v>
      </c>
      <c r="B1578" t="s">
        <v>229</v>
      </c>
      <c r="C1578" t="s">
        <v>52</v>
      </c>
      <c r="D1578" s="49">
        <v>45987</v>
      </c>
      <c r="E1578" s="49">
        <v>45989</v>
      </c>
      <c r="F1578" s="49">
        <v>45995</v>
      </c>
      <c r="G1578" s="49">
        <v>46002</v>
      </c>
      <c r="H1578" s="49">
        <v>46008</v>
      </c>
      <c r="I1578" s="49">
        <v>46012</v>
      </c>
      <c r="J1578" t="s">
        <v>49</v>
      </c>
      <c r="K1578" s="33">
        <v>3300</v>
      </c>
      <c r="L1578" t="s">
        <v>61</v>
      </c>
      <c r="M1578" t="str">
        <f>_xlfn.XLOOKUP(Pipeline_tbl[[#This Row],[Rep_ID]],Dim_Reps!A:A,Dim_Reps!K:K)</f>
        <v>USD</v>
      </c>
      <c r="N1578" s="33">
        <f>(_xlfn.XLOOKUP(Pipeline_tbl[[#This Row],[Rate_Code_Generalized]],Lookups!A:A,Lookups!B:B))*Pipeline_tbl[[#This Row],[Pipeline_Amount_USD]]</f>
        <v>3842.1899999999996</v>
      </c>
      <c r="O1578" t="str">
        <f>_xlfn.XLOOKUP(Pipeline_tbl[[#This Row],[Rep_ID]],Dim_Reps!A:A,Dim_Reps!B:B)</f>
        <v>Liam Castro</v>
      </c>
      <c r="P1578" t="str">
        <f>_xlfn.XLOOKUP(Pipeline_tbl[[#This Row],[Rep_ID]],Dim_Reps!A:A,Dim_Reps!C:C)</f>
        <v>SDR / Inside Sales Rep</v>
      </c>
      <c r="Q1578" t="str">
        <f>_xlfn.XLOOKUP(Pipeline_tbl[[#This Row],[Rep_ID]],Dim_Reps!A:A,Dim_Reps!D:D)</f>
        <v>Inside Sales</v>
      </c>
      <c r="R1578" t="str">
        <f>_xlfn.XLOOKUP(Pipeline_tbl[[#This Row],[Rep_ID]],Dim_Reps!A:A,Dim_Reps!E:E)</f>
        <v>NAMER</v>
      </c>
      <c r="S1578" t="str">
        <f>_xlfn.XLOOKUP(Pipeline_tbl[[#This Row],[Created_Date]],Dim_Date!A:A,Dim_Date!H:H)</f>
        <v>Nov 2025</v>
      </c>
      <c r="T1578" t="str">
        <f>IF(Pipeline_tbl[[#This Row],[Closed_Date]]=0,"",(_xlfn.XLOOKUP(Pipeline_tbl[[#This Row],[Closed_Date]],Dim_Date!A:A,Dim_Date!H:H)))</f>
        <v>Dec 2025</v>
      </c>
      <c r="U1578">
        <f>IF(Pipeline_tbl[[#This Row],[Closed_Date]]=0,"",Pipeline_tbl[[#This Row],[Closed_Date]]-Pipeline_tbl[[#This Row],[Created_Date]])</f>
        <v>25</v>
      </c>
    </row>
    <row r="1579" spans="1:21" ht="15" customHeight="1" x14ac:dyDescent="0.2">
      <c r="A1579" t="s">
        <v>1885</v>
      </c>
      <c r="B1579" t="s">
        <v>229</v>
      </c>
      <c r="C1579" t="s">
        <v>54</v>
      </c>
      <c r="D1579" s="49">
        <v>45970</v>
      </c>
      <c r="E1579" s="49">
        <v>45972</v>
      </c>
      <c r="F1579" s="49">
        <v>45978</v>
      </c>
      <c r="G1579" s="49">
        <v>45985</v>
      </c>
      <c r="I1579" s="49">
        <v>45995</v>
      </c>
      <c r="J1579" t="s">
        <v>49</v>
      </c>
      <c r="K1579" s="33">
        <v>2800</v>
      </c>
      <c r="L1579" t="s">
        <v>61</v>
      </c>
      <c r="M1579" t="str">
        <f>_xlfn.XLOOKUP(Pipeline_tbl[[#This Row],[Rep_ID]],Dim_Reps!A:A,Dim_Reps!K:K)</f>
        <v>USD</v>
      </c>
      <c r="N1579" s="33">
        <f>(_xlfn.XLOOKUP(Pipeline_tbl[[#This Row],[Rate_Code_Generalized]],Lookups!A:A,Lookups!B:B))*Pipeline_tbl[[#This Row],[Pipeline_Amount_USD]]</f>
        <v>3260.0399999999995</v>
      </c>
      <c r="O1579" t="str">
        <f>_xlfn.XLOOKUP(Pipeline_tbl[[#This Row],[Rep_ID]],Dim_Reps!A:A,Dim_Reps!B:B)</f>
        <v>Liam Castro</v>
      </c>
      <c r="P1579" t="str">
        <f>_xlfn.XLOOKUP(Pipeline_tbl[[#This Row],[Rep_ID]],Dim_Reps!A:A,Dim_Reps!C:C)</f>
        <v>SDR / Inside Sales Rep</v>
      </c>
      <c r="Q1579" t="str">
        <f>_xlfn.XLOOKUP(Pipeline_tbl[[#This Row],[Rep_ID]],Dim_Reps!A:A,Dim_Reps!D:D)</f>
        <v>Inside Sales</v>
      </c>
      <c r="R1579" t="str">
        <f>_xlfn.XLOOKUP(Pipeline_tbl[[#This Row],[Rep_ID]],Dim_Reps!A:A,Dim_Reps!E:E)</f>
        <v>NAMER</v>
      </c>
      <c r="S1579" t="str">
        <f>_xlfn.XLOOKUP(Pipeline_tbl[[#This Row],[Created_Date]],Dim_Date!A:A,Dim_Date!H:H)</f>
        <v>Nov 2025</v>
      </c>
      <c r="T1579" t="str">
        <f>IF(Pipeline_tbl[[#This Row],[Closed_Date]]=0,"",(_xlfn.XLOOKUP(Pipeline_tbl[[#This Row],[Closed_Date]],Dim_Date!A:A,Dim_Date!H:H)))</f>
        <v>Dec 2025</v>
      </c>
      <c r="U1579">
        <f>IF(Pipeline_tbl[[#This Row],[Closed_Date]]=0,"",Pipeline_tbl[[#This Row],[Closed_Date]]-Pipeline_tbl[[#This Row],[Created_Date]])</f>
        <v>25</v>
      </c>
    </row>
    <row r="1580" spans="1:21" ht="15" customHeight="1" x14ac:dyDescent="0.2">
      <c r="A1580" t="s">
        <v>1886</v>
      </c>
      <c r="B1580" t="s">
        <v>229</v>
      </c>
      <c r="C1580" t="s">
        <v>52</v>
      </c>
      <c r="D1580" s="49">
        <v>45984</v>
      </c>
      <c r="E1580" s="49">
        <v>45986</v>
      </c>
      <c r="F1580" s="49">
        <v>45990</v>
      </c>
      <c r="G1580" s="49">
        <v>45995</v>
      </c>
      <c r="H1580" s="49">
        <v>46000</v>
      </c>
      <c r="I1580" s="49">
        <v>46003</v>
      </c>
      <c r="J1580" t="s">
        <v>47</v>
      </c>
      <c r="K1580" s="33">
        <v>5200</v>
      </c>
      <c r="M1580" t="str">
        <f>_xlfn.XLOOKUP(Pipeline_tbl[[#This Row],[Rep_ID]],Dim_Reps!A:A,Dim_Reps!K:K)</f>
        <v>USD</v>
      </c>
      <c r="N1580" s="33">
        <f>(_xlfn.XLOOKUP(Pipeline_tbl[[#This Row],[Rate_Code_Generalized]],Lookups!A:A,Lookups!B:B))*Pipeline_tbl[[#This Row],[Pipeline_Amount_USD]]</f>
        <v>6054.36</v>
      </c>
      <c r="O1580" t="str">
        <f>_xlfn.XLOOKUP(Pipeline_tbl[[#This Row],[Rep_ID]],Dim_Reps!A:A,Dim_Reps!B:B)</f>
        <v>Liam Castro</v>
      </c>
      <c r="P1580" t="str">
        <f>_xlfn.XLOOKUP(Pipeline_tbl[[#This Row],[Rep_ID]],Dim_Reps!A:A,Dim_Reps!C:C)</f>
        <v>SDR / Inside Sales Rep</v>
      </c>
      <c r="Q1580" t="str">
        <f>_xlfn.XLOOKUP(Pipeline_tbl[[#This Row],[Rep_ID]],Dim_Reps!A:A,Dim_Reps!D:D)</f>
        <v>Inside Sales</v>
      </c>
      <c r="R1580" t="str">
        <f>_xlfn.XLOOKUP(Pipeline_tbl[[#This Row],[Rep_ID]],Dim_Reps!A:A,Dim_Reps!E:E)</f>
        <v>NAMER</v>
      </c>
      <c r="S1580" t="str">
        <f>_xlfn.XLOOKUP(Pipeline_tbl[[#This Row],[Created_Date]],Dim_Date!A:A,Dim_Date!H:H)</f>
        <v>Nov 2025</v>
      </c>
      <c r="T1580" t="str">
        <f>IF(Pipeline_tbl[[#This Row],[Closed_Date]]=0,"",(_xlfn.XLOOKUP(Pipeline_tbl[[#This Row],[Closed_Date]],Dim_Date!A:A,Dim_Date!H:H)))</f>
        <v>Dec 2025</v>
      </c>
      <c r="U1580">
        <f>IF(Pipeline_tbl[[#This Row],[Closed_Date]]=0,"",Pipeline_tbl[[#This Row],[Closed_Date]]-Pipeline_tbl[[#This Row],[Created_Date]])</f>
        <v>19</v>
      </c>
    </row>
    <row r="1581" spans="1:21" ht="15" customHeight="1" x14ac:dyDescent="0.2">
      <c r="A1581" t="s">
        <v>1887</v>
      </c>
      <c r="B1581" t="s">
        <v>229</v>
      </c>
      <c r="C1581" t="s">
        <v>54</v>
      </c>
      <c r="D1581" s="49">
        <v>45980</v>
      </c>
      <c r="E1581" s="49">
        <v>45981</v>
      </c>
      <c r="F1581" s="49">
        <v>45984</v>
      </c>
      <c r="G1581" s="49">
        <v>45988</v>
      </c>
      <c r="H1581" s="49">
        <v>45991</v>
      </c>
      <c r="I1581" s="49">
        <v>45993</v>
      </c>
      <c r="J1581" t="s">
        <v>47</v>
      </c>
      <c r="K1581" s="33">
        <v>4000</v>
      </c>
      <c r="M1581" t="str">
        <f>_xlfn.XLOOKUP(Pipeline_tbl[[#This Row],[Rep_ID]],Dim_Reps!A:A,Dim_Reps!K:K)</f>
        <v>USD</v>
      </c>
      <c r="N1581" s="33">
        <f>(_xlfn.XLOOKUP(Pipeline_tbl[[#This Row],[Rate_Code_Generalized]],Lookups!A:A,Lookups!B:B))*Pipeline_tbl[[#This Row],[Pipeline_Amount_USD]]</f>
        <v>4657.2</v>
      </c>
      <c r="O1581" t="str">
        <f>_xlfn.XLOOKUP(Pipeline_tbl[[#This Row],[Rep_ID]],Dim_Reps!A:A,Dim_Reps!B:B)</f>
        <v>Liam Castro</v>
      </c>
      <c r="P1581" t="str">
        <f>_xlfn.XLOOKUP(Pipeline_tbl[[#This Row],[Rep_ID]],Dim_Reps!A:A,Dim_Reps!C:C)</f>
        <v>SDR / Inside Sales Rep</v>
      </c>
      <c r="Q1581" t="str">
        <f>_xlfn.XLOOKUP(Pipeline_tbl[[#This Row],[Rep_ID]],Dim_Reps!A:A,Dim_Reps!D:D)</f>
        <v>Inside Sales</v>
      </c>
      <c r="R1581" t="str">
        <f>_xlfn.XLOOKUP(Pipeline_tbl[[#This Row],[Rep_ID]],Dim_Reps!A:A,Dim_Reps!E:E)</f>
        <v>NAMER</v>
      </c>
      <c r="S1581" t="str">
        <f>_xlfn.XLOOKUP(Pipeline_tbl[[#This Row],[Created_Date]],Dim_Date!A:A,Dim_Date!H:H)</f>
        <v>Nov 2025</v>
      </c>
      <c r="T1581" t="str">
        <f>IF(Pipeline_tbl[[#This Row],[Closed_Date]]=0,"",(_xlfn.XLOOKUP(Pipeline_tbl[[#This Row],[Closed_Date]],Dim_Date!A:A,Dim_Date!H:H)))</f>
        <v>Dec 2025</v>
      </c>
      <c r="U1581">
        <f>IF(Pipeline_tbl[[#This Row],[Closed_Date]]=0,"",Pipeline_tbl[[#This Row],[Closed_Date]]-Pipeline_tbl[[#This Row],[Created_Date]])</f>
        <v>13</v>
      </c>
    </row>
    <row r="1582" spans="1:21" ht="15" customHeight="1" x14ac:dyDescent="0.2">
      <c r="A1582" t="s">
        <v>1888</v>
      </c>
      <c r="B1582" t="s">
        <v>229</v>
      </c>
      <c r="C1582" t="s">
        <v>55</v>
      </c>
      <c r="D1582" s="49">
        <v>45977</v>
      </c>
      <c r="E1582" s="49">
        <v>45979</v>
      </c>
      <c r="F1582" s="49">
        <v>45982</v>
      </c>
      <c r="I1582" s="49">
        <v>45992</v>
      </c>
      <c r="J1582" t="s">
        <v>49</v>
      </c>
      <c r="K1582" s="33">
        <v>5000</v>
      </c>
      <c r="L1582" t="s">
        <v>60</v>
      </c>
      <c r="M1582" t="str">
        <f>_xlfn.XLOOKUP(Pipeline_tbl[[#This Row],[Rep_ID]],Dim_Reps!A:A,Dim_Reps!K:K)</f>
        <v>USD</v>
      </c>
      <c r="N1582" s="33">
        <f>(_xlfn.XLOOKUP(Pipeline_tbl[[#This Row],[Rate_Code_Generalized]],Lookups!A:A,Lookups!B:B))*Pipeline_tbl[[#This Row],[Pipeline_Amount_USD]]</f>
        <v>5821.4999999999991</v>
      </c>
      <c r="O1582" t="str">
        <f>_xlfn.XLOOKUP(Pipeline_tbl[[#This Row],[Rep_ID]],Dim_Reps!A:A,Dim_Reps!B:B)</f>
        <v>Liam Castro</v>
      </c>
      <c r="P1582" t="str">
        <f>_xlfn.XLOOKUP(Pipeline_tbl[[#This Row],[Rep_ID]],Dim_Reps!A:A,Dim_Reps!C:C)</f>
        <v>SDR / Inside Sales Rep</v>
      </c>
      <c r="Q1582" t="str">
        <f>_xlfn.XLOOKUP(Pipeline_tbl[[#This Row],[Rep_ID]],Dim_Reps!A:A,Dim_Reps!D:D)</f>
        <v>Inside Sales</v>
      </c>
      <c r="R1582" t="str">
        <f>_xlfn.XLOOKUP(Pipeline_tbl[[#This Row],[Rep_ID]],Dim_Reps!A:A,Dim_Reps!E:E)</f>
        <v>NAMER</v>
      </c>
      <c r="S1582" t="str">
        <f>_xlfn.XLOOKUP(Pipeline_tbl[[#This Row],[Created_Date]],Dim_Date!A:A,Dim_Date!H:H)</f>
        <v>Nov 2025</v>
      </c>
      <c r="T1582" t="str">
        <f>IF(Pipeline_tbl[[#This Row],[Closed_Date]]=0,"",(_xlfn.XLOOKUP(Pipeline_tbl[[#This Row],[Closed_Date]],Dim_Date!A:A,Dim_Date!H:H)))</f>
        <v>Dec 2025</v>
      </c>
      <c r="U1582">
        <f>IF(Pipeline_tbl[[#This Row],[Closed_Date]]=0,"",Pipeline_tbl[[#This Row],[Closed_Date]]-Pipeline_tbl[[#This Row],[Created_Date]])</f>
        <v>15</v>
      </c>
    </row>
    <row r="1583" spans="1:21" ht="15" customHeight="1" x14ac:dyDescent="0.2">
      <c r="A1583" t="s">
        <v>1889</v>
      </c>
      <c r="B1583" t="s">
        <v>229</v>
      </c>
      <c r="C1583" t="s">
        <v>53</v>
      </c>
      <c r="D1583" s="49">
        <v>45976</v>
      </c>
      <c r="E1583" s="49">
        <v>45978</v>
      </c>
      <c r="F1583" s="49">
        <v>45983</v>
      </c>
      <c r="I1583" s="49">
        <v>45999</v>
      </c>
      <c r="J1583" t="s">
        <v>49</v>
      </c>
      <c r="K1583" s="33">
        <v>2300</v>
      </c>
      <c r="L1583" t="s">
        <v>62</v>
      </c>
      <c r="M1583" t="str">
        <f>_xlfn.XLOOKUP(Pipeline_tbl[[#This Row],[Rep_ID]],Dim_Reps!A:A,Dim_Reps!K:K)</f>
        <v>USD</v>
      </c>
      <c r="N1583" s="33">
        <f>(_xlfn.XLOOKUP(Pipeline_tbl[[#This Row],[Rate_Code_Generalized]],Lookups!A:A,Lookups!B:B))*Pipeline_tbl[[#This Row],[Pipeline_Amount_USD]]</f>
        <v>2677.89</v>
      </c>
      <c r="O1583" t="str">
        <f>_xlfn.XLOOKUP(Pipeline_tbl[[#This Row],[Rep_ID]],Dim_Reps!A:A,Dim_Reps!B:B)</f>
        <v>Liam Castro</v>
      </c>
      <c r="P1583" t="str">
        <f>_xlfn.XLOOKUP(Pipeline_tbl[[#This Row],[Rep_ID]],Dim_Reps!A:A,Dim_Reps!C:C)</f>
        <v>SDR / Inside Sales Rep</v>
      </c>
      <c r="Q1583" t="str">
        <f>_xlfn.XLOOKUP(Pipeline_tbl[[#This Row],[Rep_ID]],Dim_Reps!A:A,Dim_Reps!D:D)</f>
        <v>Inside Sales</v>
      </c>
      <c r="R1583" t="str">
        <f>_xlfn.XLOOKUP(Pipeline_tbl[[#This Row],[Rep_ID]],Dim_Reps!A:A,Dim_Reps!E:E)</f>
        <v>NAMER</v>
      </c>
      <c r="S1583" t="str">
        <f>_xlfn.XLOOKUP(Pipeline_tbl[[#This Row],[Created_Date]],Dim_Date!A:A,Dim_Date!H:H)</f>
        <v>Nov 2025</v>
      </c>
      <c r="T1583" t="str">
        <f>IF(Pipeline_tbl[[#This Row],[Closed_Date]]=0,"",(_xlfn.XLOOKUP(Pipeline_tbl[[#This Row],[Closed_Date]],Dim_Date!A:A,Dim_Date!H:H)))</f>
        <v>Dec 2025</v>
      </c>
      <c r="U1583">
        <f>IF(Pipeline_tbl[[#This Row],[Closed_Date]]=0,"",Pipeline_tbl[[#This Row],[Closed_Date]]-Pipeline_tbl[[#This Row],[Created_Date]])</f>
        <v>23</v>
      </c>
    </row>
    <row r="1584" spans="1:21" ht="15" customHeight="1" x14ac:dyDescent="0.2">
      <c r="A1584" t="s">
        <v>1890</v>
      </c>
      <c r="B1584" t="s">
        <v>231</v>
      </c>
      <c r="C1584" t="s">
        <v>52</v>
      </c>
      <c r="D1584" s="49">
        <v>45984</v>
      </c>
      <c r="E1584" s="49">
        <v>45986</v>
      </c>
      <c r="F1584" s="49">
        <v>45991</v>
      </c>
      <c r="G1584" s="49">
        <v>45998</v>
      </c>
      <c r="H1584" s="49">
        <v>46004</v>
      </c>
      <c r="I1584" s="49">
        <v>46007</v>
      </c>
      <c r="J1584" t="s">
        <v>47</v>
      </c>
      <c r="K1584" s="33">
        <v>2700</v>
      </c>
      <c r="M1584" t="str">
        <f>_xlfn.XLOOKUP(Pipeline_tbl[[#This Row],[Rep_ID]],Dim_Reps!A:A,Dim_Reps!K:K)</f>
        <v>MXN</v>
      </c>
      <c r="N1584" s="33">
        <f>(_xlfn.XLOOKUP(Pipeline_tbl[[#This Row],[Rate_Code_Generalized]],Lookups!A:A,Lookups!B:B))*Pipeline_tbl[[#This Row],[Pipeline_Amount_USD]]</f>
        <v>53278.29</v>
      </c>
      <c r="O1584" t="str">
        <f>_xlfn.XLOOKUP(Pipeline_tbl[[#This Row],[Rep_ID]],Dim_Reps!A:A,Dim_Reps!B:B)</f>
        <v>Ben Silva</v>
      </c>
      <c r="P1584" t="str">
        <f>_xlfn.XLOOKUP(Pipeline_tbl[[#This Row],[Rep_ID]],Dim_Reps!A:A,Dim_Reps!C:C)</f>
        <v>SDR / Inside Sales Rep</v>
      </c>
      <c r="Q1584" t="str">
        <f>_xlfn.XLOOKUP(Pipeline_tbl[[#This Row],[Rep_ID]],Dim_Reps!A:A,Dim_Reps!D:D)</f>
        <v>Inside Sales</v>
      </c>
      <c r="R1584" t="str">
        <f>_xlfn.XLOOKUP(Pipeline_tbl[[#This Row],[Rep_ID]],Dim_Reps!A:A,Dim_Reps!E:E)</f>
        <v>LATAM</v>
      </c>
      <c r="S1584" t="str">
        <f>_xlfn.XLOOKUP(Pipeline_tbl[[#This Row],[Created_Date]],Dim_Date!A:A,Dim_Date!H:H)</f>
        <v>Nov 2025</v>
      </c>
      <c r="T1584" t="str">
        <f>IF(Pipeline_tbl[[#This Row],[Closed_Date]]=0,"",(_xlfn.XLOOKUP(Pipeline_tbl[[#This Row],[Closed_Date]],Dim_Date!A:A,Dim_Date!H:H)))</f>
        <v>Dec 2025</v>
      </c>
      <c r="U1584">
        <f>IF(Pipeline_tbl[[#This Row],[Closed_Date]]=0,"",Pipeline_tbl[[#This Row],[Closed_Date]]-Pipeline_tbl[[#This Row],[Created_Date]])</f>
        <v>23</v>
      </c>
    </row>
    <row r="1585" spans="1:21" ht="15" customHeight="1" x14ac:dyDescent="0.2">
      <c r="A1585" t="s">
        <v>1891</v>
      </c>
      <c r="B1585" t="s">
        <v>231</v>
      </c>
      <c r="C1585" t="s">
        <v>55</v>
      </c>
      <c r="D1585" s="49">
        <v>45978</v>
      </c>
      <c r="E1585" s="49">
        <v>45980</v>
      </c>
      <c r="F1585" s="49">
        <v>45984</v>
      </c>
      <c r="G1585" s="49">
        <v>45989</v>
      </c>
      <c r="H1585" s="49">
        <v>45994</v>
      </c>
      <c r="I1585" s="49">
        <v>45997</v>
      </c>
      <c r="J1585" t="s">
        <v>47</v>
      </c>
      <c r="K1585" s="33">
        <v>8100</v>
      </c>
      <c r="M1585" t="str">
        <f>_xlfn.XLOOKUP(Pipeline_tbl[[#This Row],[Rep_ID]],Dim_Reps!A:A,Dim_Reps!K:K)</f>
        <v>MXN</v>
      </c>
      <c r="N1585" s="33">
        <f>(_xlfn.XLOOKUP(Pipeline_tbl[[#This Row],[Rate_Code_Generalized]],Lookups!A:A,Lookups!B:B))*Pipeline_tbl[[#This Row],[Pipeline_Amount_USD]]</f>
        <v>159834.87000000002</v>
      </c>
      <c r="O1585" t="str">
        <f>_xlfn.XLOOKUP(Pipeline_tbl[[#This Row],[Rep_ID]],Dim_Reps!A:A,Dim_Reps!B:B)</f>
        <v>Ben Silva</v>
      </c>
      <c r="P1585" t="str">
        <f>_xlfn.XLOOKUP(Pipeline_tbl[[#This Row],[Rep_ID]],Dim_Reps!A:A,Dim_Reps!C:C)</f>
        <v>SDR / Inside Sales Rep</v>
      </c>
      <c r="Q1585" t="str">
        <f>_xlfn.XLOOKUP(Pipeline_tbl[[#This Row],[Rep_ID]],Dim_Reps!A:A,Dim_Reps!D:D)</f>
        <v>Inside Sales</v>
      </c>
      <c r="R1585" t="str">
        <f>_xlfn.XLOOKUP(Pipeline_tbl[[#This Row],[Rep_ID]],Dim_Reps!A:A,Dim_Reps!E:E)</f>
        <v>LATAM</v>
      </c>
      <c r="S1585" t="str">
        <f>_xlfn.XLOOKUP(Pipeline_tbl[[#This Row],[Created_Date]],Dim_Date!A:A,Dim_Date!H:H)</f>
        <v>Nov 2025</v>
      </c>
      <c r="T1585" t="str">
        <f>IF(Pipeline_tbl[[#This Row],[Closed_Date]]=0,"",(_xlfn.XLOOKUP(Pipeline_tbl[[#This Row],[Closed_Date]],Dim_Date!A:A,Dim_Date!H:H)))</f>
        <v>Dec 2025</v>
      </c>
      <c r="U1585">
        <f>IF(Pipeline_tbl[[#This Row],[Closed_Date]]=0,"",Pipeline_tbl[[#This Row],[Closed_Date]]-Pipeline_tbl[[#This Row],[Created_Date]])</f>
        <v>19</v>
      </c>
    </row>
    <row r="1586" spans="1:21" ht="15" customHeight="1" x14ac:dyDescent="0.2">
      <c r="A1586" t="s">
        <v>1892</v>
      </c>
      <c r="B1586" t="s">
        <v>231</v>
      </c>
      <c r="C1586" t="s">
        <v>54</v>
      </c>
      <c r="D1586" s="49">
        <v>45983</v>
      </c>
      <c r="E1586" s="49">
        <v>45985</v>
      </c>
      <c r="F1586" s="49">
        <v>45990</v>
      </c>
      <c r="G1586" s="49">
        <v>45997</v>
      </c>
      <c r="H1586" s="49">
        <v>46003</v>
      </c>
      <c r="I1586" s="49">
        <v>46006</v>
      </c>
      <c r="J1586" t="s">
        <v>47</v>
      </c>
      <c r="K1586" s="33">
        <v>4300</v>
      </c>
      <c r="M1586" t="str">
        <f>_xlfn.XLOOKUP(Pipeline_tbl[[#This Row],[Rep_ID]],Dim_Reps!A:A,Dim_Reps!K:K)</f>
        <v>MXN</v>
      </c>
      <c r="N1586" s="33">
        <f>(_xlfn.XLOOKUP(Pipeline_tbl[[#This Row],[Rate_Code_Generalized]],Lookups!A:A,Lookups!B:B))*Pipeline_tbl[[#This Row],[Pipeline_Amount_USD]]</f>
        <v>84850.61</v>
      </c>
      <c r="O1586" t="str">
        <f>_xlfn.XLOOKUP(Pipeline_tbl[[#This Row],[Rep_ID]],Dim_Reps!A:A,Dim_Reps!B:B)</f>
        <v>Ben Silva</v>
      </c>
      <c r="P1586" t="str">
        <f>_xlfn.XLOOKUP(Pipeline_tbl[[#This Row],[Rep_ID]],Dim_Reps!A:A,Dim_Reps!C:C)</f>
        <v>SDR / Inside Sales Rep</v>
      </c>
      <c r="Q1586" t="str">
        <f>_xlfn.XLOOKUP(Pipeline_tbl[[#This Row],[Rep_ID]],Dim_Reps!A:A,Dim_Reps!D:D)</f>
        <v>Inside Sales</v>
      </c>
      <c r="R1586" t="str">
        <f>_xlfn.XLOOKUP(Pipeline_tbl[[#This Row],[Rep_ID]],Dim_Reps!A:A,Dim_Reps!E:E)</f>
        <v>LATAM</v>
      </c>
      <c r="S1586" t="str">
        <f>_xlfn.XLOOKUP(Pipeline_tbl[[#This Row],[Created_Date]],Dim_Date!A:A,Dim_Date!H:H)</f>
        <v>Nov 2025</v>
      </c>
      <c r="T1586" t="str">
        <f>IF(Pipeline_tbl[[#This Row],[Closed_Date]]=0,"",(_xlfn.XLOOKUP(Pipeline_tbl[[#This Row],[Closed_Date]],Dim_Date!A:A,Dim_Date!H:H)))</f>
        <v>Dec 2025</v>
      </c>
      <c r="U1586">
        <f>IF(Pipeline_tbl[[#This Row],[Closed_Date]]=0,"",Pipeline_tbl[[#This Row],[Closed_Date]]-Pipeline_tbl[[#This Row],[Created_Date]])</f>
        <v>23</v>
      </c>
    </row>
    <row r="1587" spans="1:21" ht="15" customHeight="1" x14ac:dyDescent="0.2">
      <c r="A1587" t="s">
        <v>1893</v>
      </c>
      <c r="B1587" t="s">
        <v>231</v>
      </c>
      <c r="C1587" t="s">
        <v>53</v>
      </c>
      <c r="D1587" s="49">
        <v>45988</v>
      </c>
      <c r="E1587" s="49">
        <v>45991</v>
      </c>
      <c r="F1587" s="49">
        <v>45998</v>
      </c>
      <c r="G1587" s="49">
        <v>46007</v>
      </c>
      <c r="H1587" s="49">
        <v>46015</v>
      </c>
      <c r="I1587" s="49">
        <v>46020</v>
      </c>
      <c r="J1587" t="s">
        <v>49</v>
      </c>
      <c r="K1587" s="33">
        <v>4700</v>
      </c>
      <c r="L1587" t="s">
        <v>62</v>
      </c>
      <c r="M1587" t="str">
        <f>_xlfn.XLOOKUP(Pipeline_tbl[[#This Row],[Rep_ID]],Dim_Reps!A:A,Dim_Reps!K:K)</f>
        <v>MXN</v>
      </c>
      <c r="N1587" s="33">
        <f>(_xlfn.XLOOKUP(Pipeline_tbl[[#This Row],[Rate_Code_Generalized]],Lookups!A:A,Lookups!B:B))*Pipeline_tbl[[#This Row],[Pipeline_Amount_USD]]</f>
        <v>92743.69</v>
      </c>
      <c r="O1587" t="str">
        <f>_xlfn.XLOOKUP(Pipeline_tbl[[#This Row],[Rep_ID]],Dim_Reps!A:A,Dim_Reps!B:B)</f>
        <v>Ben Silva</v>
      </c>
      <c r="P1587" t="str">
        <f>_xlfn.XLOOKUP(Pipeline_tbl[[#This Row],[Rep_ID]],Dim_Reps!A:A,Dim_Reps!C:C)</f>
        <v>SDR / Inside Sales Rep</v>
      </c>
      <c r="Q1587" t="str">
        <f>_xlfn.XLOOKUP(Pipeline_tbl[[#This Row],[Rep_ID]],Dim_Reps!A:A,Dim_Reps!D:D)</f>
        <v>Inside Sales</v>
      </c>
      <c r="R1587" t="str">
        <f>_xlfn.XLOOKUP(Pipeline_tbl[[#This Row],[Rep_ID]],Dim_Reps!A:A,Dim_Reps!E:E)</f>
        <v>LATAM</v>
      </c>
      <c r="S1587" t="str">
        <f>_xlfn.XLOOKUP(Pipeline_tbl[[#This Row],[Created_Date]],Dim_Date!A:A,Dim_Date!H:H)</f>
        <v>Nov 2025</v>
      </c>
      <c r="T1587" t="str">
        <f>IF(Pipeline_tbl[[#This Row],[Closed_Date]]=0,"",(_xlfn.XLOOKUP(Pipeline_tbl[[#This Row],[Closed_Date]],Dim_Date!A:A,Dim_Date!H:H)))</f>
        <v>Dec 2025</v>
      </c>
      <c r="U1587">
        <f>IF(Pipeline_tbl[[#This Row],[Closed_Date]]=0,"",Pipeline_tbl[[#This Row],[Closed_Date]]-Pipeline_tbl[[#This Row],[Created_Date]])</f>
        <v>32</v>
      </c>
    </row>
    <row r="1588" spans="1:21" ht="15" customHeight="1" x14ac:dyDescent="0.2">
      <c r="A1588" t="s">
        <v>1894</v>
      </c>
      <c r="B1588" t="s">
        <v>231</v>
      </c>
      <c r="C1588" t="s">
        <v>53</v>
      </c>
      <c r="D1588" s="49">
        <v>45967</v>
      </c>
      <c r="E1588" s="49">
        <v>45970</v>
      </c>
      <c r="I1588" s="49">
        <v>45995</v>
      </c>
      <c r="J1588" t="s">
        <v>49</v>
      </c>
      <c r="K1588" s="33">
        <v>3900</v>
      </c>
      <c r="L1588" t="s">
        <v>61</v>
      </c>
      <c r="M1588" t="str">
        <f>_xlfn.XLOOKUP(Pipeline_tbl[[#This Row],[Rep_ID]],Dim_Reps!A:A,Dim_Reps!K:K)</f>
        <v>MXN</v>
      </c>
      <c r="N1588" s="33">
        <f>(_xlfn.XLOOKUP(Pipeline_tbl[[#This Row],[Rate_Code_Generalized]],Lookups!A:A,Lookups!B:B))*Pipeline_tbl[[#This Row],[Pipeline_Amount_USD]]</f>
        <v>76957.53</v>
      </c>
      <c r="O1588" t="str">
        <f>_xlfn.XLOOKUP(Pipeline_tbl[[#This Row],[Rep_ID]],Dim_Reps!A:A,Dim_Reps!B:B)</f>
        <v>Ben Silva</v>
      </c>
      <c r="P1588" t="str">
        <f>_xlfn.XLOOKUP(Pipeline_tbl[[#This Row],[Rep_ID]],Dim_Reps!A:A,Dim_Reps!C:C)</f>
        <v>SDR / Inside Sales Rep</v>
      </c>
      <c r="Q1588" t="str">
        <f>_xlfn.XLOOKUP(Pipeline_tbl[[#This Row],[Rep_ID]],Dim_Reps!A:A,Dim_Reps!D:D)</f>
        <v>Inside Sales</v>
      </c>
      <c r="R1588" t="str">
        <f>_xlfn.XLOOKUP(Pipeline_tbl[[#This Row],[Rep_ID]],Dim_Reps!A:A,Dim_Reps!E:E)</f>
        <v>LATAM</v>
      </c>
      <c r="S1588" t="str">
        <f>_xlfn.XLOOKUP(Pipeline_tbl[[#This Row],[Created_Date]],Dim_Date!A:A,Dim_Date!H:H)</f>
        <v>Nov 2025</v>
      </c>
      <c r="T1588" t="str">
        <f>IF(Pipeline_tbl[[#This Row],[Closed_Date]]=0,"",(_xlfn.XLOOKUP(Pipeline_tbl[[#This Row],[Closed_Date]],Dim_Date!A:A,Dim_Date!H:H)))</f>
        <v>Dec 2025</v>
      </c>
      <c r="U1588">
        <f>IF(Pipeline_tbl[[#This Row],[Closed_Date]]=0,"",Pipeline_tbl[[#This Row],[Closed_Date]]-Pipeline_tbl[[#This Row],[Created_Date]])</f>
        <v>28</v>
      </c>
    </row>
    <row r="1589" spans="1:21" ht="15" customHeight="1" x14ac:dyDescent="0.2">
      <c r="A1589" t="s">
        <v>1895</v>
      </c>
      <c r="B1589" t="s">
        <v>231</v>
      </c>
      <c r="C1589" t="s">
        <v>54</v>
      </c>
      <c r="D1589" s="49">
        <v>45989</v>
      </c>
      <c r="E1589" s="49">
        <v>45990</v>
      </c>
      <c r="F1589" s="49">
        <v>45993</v>
      </c>
      <c r="G1589" s="49">
        <v>45997</v>
      </c>
      <c r="H1589" s="49">
        <v>46001</v>
      </c>
      <c r="I1589" s="49">
        <v>46003</v>
      </c>
      <c r="J1589" t="s">
        <v>47</v>
      </c>
      <c r="K1589" s="33">
        <v>2200</v>
      </c>
      <c r="M1589" t="str">
        <f>_xlfn.XLOOKUP(Pipeline_tbl[[#This Row],[Rep_ID]],Dim_Reps!A:A,Dim_Reps!K:K)</f>
        <v>MXN</v>
      </c>
      <c r="N1589" s="33">
        <f>(_xlfn.XLOOKUP(Pipeline_tbl[[#This Row],[Rate_Code_Generalized]],Lookups!A:A,Lookups!B:B))*Pipeline_tbl[[#This Row],[Pipeline_Amount_USD]]</f>
        <v>43411.94</v>
      </c>
      <c r="O1589" t="str">
        <f>_xlfn.XLOOKUP(Pipeline_tbl[[#This Row],[Rep_ID]],Dim_Reps!A:A,Dim_Reps!B:B)</f>
        <v>Ben Silva</v>
      </c>
      <c r="P1589" t="str">
        <f>_xlfn.XLOOKUP(Pipeline_tbl[[#This Row],[Rep_ID]],Dim_Reps!A:A,Dim_Reps!C:C)</f>
        <v>SDR / Inside Sales Rep</v>
      </c>
      <c r="Q1589" t="str">
        <f>_xlfn.XLOOKUP(Pipeline_tbl[[#This Row],[Rep_ID]],Dim_Reps!A:A,Dim_Reps!D:D)</f>
        <v>Inside Sales</v>
      </c>
      <c r="R1589" t="str">
        <f>_xlfn.XLOOKUP(Pipeline_tbl[[#This Row],[Rep_ID]],Dim_Reps!A:A,Dim_Reps!E:E)</f>
        <v>LATAM</v>
      </c>
      <c r="S1589" t="str">
        <f>_xlfn.XLOOKUP(Pipeline_tbl[[#This Row],[Created_Date]],Dim_Date!A:A,Dim_Date!H:H)</f>
        <v>Nov 2025</v>
      </c>
      <c r="T1589" t="str">
        <f>IF(Pipeline_tbl[[#This Row],[Closed_Date]]=0,"",(_xlfn.XLOOKUP(Pipeline_tbl[[#This Row],[Closed_Date]],Dim_Date!A:A,Dim_Date!H:H)))</f>
        <v>Dec 2025</v>
      </c>
      <c r="U1589">
        <f>IF(Pipeline_tbl[[#This Row],[Closed_Date]]=0,"",Pipeline_tbl[[#This Row],[Closed_Date]]-Pipeline_tbl[[#This Row],[Created_Date]])</f>
        <v>14</v>
      </c>
    </row>
    <row r="1590" spans="1:21" ht="15" customHeight="1" x14ac:dyDescent="0.2">
      <c r="A1590" t="s">
        <v>1896</v>
      </c>
      <c r="B1590" t="s">
        <v>231</v>
      </c>
      <c r="C1590" t="s">
        <v>53</v>
      </c>
      <c r="D1590" s="49">
        <v>45976</v>
      </c>
      <c r="E1590" s="49">
        <v>45978</v>
      </c>
      <c r="F1590" s="49">
        <v>45984</v>
      </c>
      <c r="G1590" s="49">
        <v>45991</v>
      </c>
      <c r="I1590" s="49">
        <v>46001</v>
      </c>
      <c r="J1590" t="s">
        <v>49</v>
      </c>
      <c r="K1590" s="33">
        <v>5900</v>
      </c>
      <c r="L1590" t="s">
        <v>60</v>
      </c>
      <c r="M1590" t="str">
        <f>_xlfn.XLOOKUP(Pipeline_tbl[[#This Row],[Rep_ID]],Dim_Reps!A:A,Dim_Reps!K:K)</f>
        <v>MXN</v>
      </c>
      <c r="N1590" s="33">
        <f>(_xlfn.XLOOKUP(Pipeline_tbl[[#This Row],[Rate_Code_Generalized]],Lookups!A:A,Lookups!B:B))*Pipeline_tbl[[#This Row],[Pipeline_Amount_USD]]</f>
        <v>116422.93000000001</v>
      </c>
      <c r="O1590" t="str">
        <f>_xlfn.XLOOKUP(Pipeline_tbl[[#This Row],[Rep_ID]],Dim_Reps!A:A,Dim_Reps!B:B)</f>
        <v>Ben Silva</v>
      </c>
      <c r="P1590" t="str">
        <f>_xlfn.XLOOKUP(Pipeline_tbl[[#This Row],[Rep_ID]],Dim_Reps!A:A,Dim_Reps!C:C)</f>
        <v>SDR / Inside Sales Rep</v>
      </c>
      <c r="Q1590" t="str">
        <f>_xlfn.XLOOKUP(Pipeline_tbl[[#This Row],[Rep_ID]],Dim_Reps!A:A,Dim_Reps!D:D)</f>
        <v>Inside Sales</v>
      </c>
      <c r="R1590" t="str">
        <f>_xlfn.XLOOKUP(Pipeline_tbl[[#This Row],[Rep_ID]],Dim_Reps!A:A,Dim_Reps!E:E)</f>
        <v>LATAM</v>
      </c>
      <c r="S1590" t="str">
        <f>_xlfn.XLOOKUP(Pipeline_tbl[[#This Row],[Created_Date]],Dim_Date!A:A,Dim_Date!H:H)</f>
        <v>Nov 2025</v>
      </c>
      <c r="T1590" t="str">
        <f>IF(Pipeline_tbl[[#This Row],[Closed_Date]]=0,"",(_xlfn.XLOOKUP(Pipeline_tbl[[#This Row],[Closed_Date]],Dim_Date!A:A,Dim_Date!H:H)))</f>
        <v>Dec 2025</v>
      </c>
      <c r="U1590">
        <f>IF(Pipeline_tbl[[#This Row],[Closed_Date]]=0,"",Pipeline_tbl[[#This Row],[Closed_Date]]-Pipeline_tbl[[#This Row],[Created_Date]])</f>
        <v>25</v>
      </c>
    </row>
    <row r="1591" spans="1:21" ht="15" customHeight="1" x14ac:dyDescent="0.2">
      <c r="A1591" t="s">
        <v>1897</v>
      </c>
      <c r="B1591" t="s">
        <v>231</v>
      </c>
      <c r="C1591" t="s">
        <v>52</v>
      </c>
      <c r="D1591" s="49">
        <v>45979</v>
      </c>
      <c r="E1591" s="49">
        <v>45981</v>
      </c>
      <c r="F1591" s="49">
        <v>45986</v>
      </c>
      <c r="G1591" s="49">
        <v>45993</v>
      </c>
      <c r="H1591" s="49">
        <v>45999</v>
      </c>
      <c r="I1591" s="49">
        <v>46003</v>
      </c>
      <c r="J1591" t="s">
        <v>47</v>
      </c>
      <c r="K1591" s="33">
        <v>9500</v>
      </c>
      <c r="M1591" t="str">
        <f>_xlfn.XLOOKUP(Pipeline_tbl[[#This Row],[Rep_ID]],Dim_Reps!A:A,Dim_Reps!K:K)</f>
        <v>MXN</v>
      </c>
      <c r="N1591" s="33">
        <f>(_xlfn.XLOOKUP(Pipeline_tbl[[#This Row],[Rate_Code_Generalized]],Lookups!A:A,Lookups!B:B))*Pipeline_tbl[[#This Row],[Pipeline_Amount_USD]]</f>
        <v>187460.65000000002</v>
      </c>
      <c r="O1591" t="str">
        <f>_xlfn.XLOOKUP(Pipeline_tbl[[#This Row],[Rep_ID]],Dim_Reps!A:A,Dim_Reps!B:B)</f>
        <v>Ben Silva</v>
      </c>
      <c r="P1591" t="str">
        <f>_xlfn.XLOOKUP(Pipeline_tbl[[#This Row],[Rep_ID]],Dim_Reps!A:A,Dim_Reps!C:C)</f>
        <v>SDR / Inside Sales Rep</v>
      </c>
      <c r="Q1591" t="str">
        <f>_xlfn.XLOOKUP(Pipeline_tbl[[#This Row],[Rep_ID]],Dim_Reps!A:A,Dim_Reps!D:D)</f>
        <v>Inside Sales</v>
      </c>
      <c r="R1591" t="str">
        <f>_xlfn.XLOOKUP(Pipeline_tbl[[#This Row],[Rep_ID]],Dim_Reps!A:A,Dim_Reps!E:E)</f>
        <v>LATAM</v>
      </c>
      <c r="S1591" t="str">
        <f>_xlfn.XLOOKUP(Pipeline_tbl[[#This Row],[Created_Date]],Dim_Date!A:A,Dim_Date!H:H)</f>
        <v>Nov 2025</v>
      </c>
      <c r="T1591" t="str">
        <f>IF(Pipeline_tbl[[#This Row],[Closed_Date]]=0,"",(_xlfn.XLOOKUP(Pipeline_tbl[[#This Row],[Closed_Date]],Dim_Date!A:A,Dim_Date!H:H)))</f>
        <v>Dec 2025</v>
      </c>
      <c r="U1591">
        <f>IF(Pipeline_tbl[[#This Row],[Closed_Date]]=0,"",Pipeline_tbl[[#This Row],[Closed_Date]]-Pipeline_tbl[[#This Row],[Created_Date]])</f>
        <v>24</v>
      </c>
    </row>
    <row r="1592" spans="1:21" ht="15" customHeight="1" x14ac:dyDescent="0.2">
      <c r="A1592" t="s">
        <v>1898</v>
      </c>
      <c r="B1592" t="s">
        <v>231</v>
      </c>
      <c r="C1592" t="s">
        <v>52</v>
      </c>
      <c r="D1592" s="49">
        <v>45985</v>
      </c>
      <c r="E1592" s="49">
        <v>45987</v>
      </c>
      <c r="F1592" s="49">
        <v>45991</v>
      </c>
      <c r="G1592" s="49">
        <v>45996</v>
      </c>
      <c r="I1592" s="49">
        <v>46004</v>
      </c>
      <c r="J1592" t="s">
        <v>49</v>
      </c>
      <c r="K1592" s="33">
        <v>3100</v>
      </c>
      <c r="L1592" t="s">
        <v>64</v>
      </c>
      <c r="M1592" t="str">
        <f>_xlfn.XLOOKUP(Pipeline_tbl[[#This Row],[Rep_ID]],Dim_Reps!A:A,Dim_Reps!K:K)</f>
        <v>MXN</v>
      </c>
      <c r="N1592" s="33">
        <f>(_xlfn.XLOOKUP(Pipeline_tbl[[#This Row],[Rate_Code_Generalized]],Lookups!A:A,Lookups!B:B))*Pipeline_tbl[[#This Row],[Pipeline_Amount_USD]]</f>
        <v>61171.37</v>
      </c>
      <c r="O1592" t="str">
        <f>_xlfn.XLOOKUP(Pipeline_tbl[[#This Row],[Rep_ID]],Dim_Reps!A:A,Dim_Reps!B:B)</f>
        <v>Ben Silva</v>
      </c>
      <c r="P1592" t="str">
        <f>_xlfn.XLOOKUP(Pipeline_tbl[[#This Row],[Rep_ID]],Dim_Reps!A:A,Dim_Reps!C:C)</f>
        <v>SDR / Inside Sales Rep</v>
      </c>
      <c r="Q1592" t="str">
        <f>_xlfn.XLOOKUP(Pipeline_tbl[[#This Row],[Rep_ID]],Dim_Reps!A:A,Dim_Reps!D:D)</f>
        <v>Inside Sales</v>
      </c>
      <c r="R1592" t="str">
        <f>_xlfn.XLOOKUP(Pipeline_tbl[[#This Row],[Rep_ID]],Dim_Reps!A:A,Dim_Reps!E:E)</f>
        <v>LATAM</v>
      </c>
      <c r="S1592" t="str">
        <f>_xlfn.XLOOKUP(Pipeline_tbl[[#This Row],[Created_Date]],Dim_Date!A:A,Dim_Date!H:H)</f>
        <v>Nov 2025</v>
      </c>
      <c r="T1592" t="str">
        <f>IF(Pipeline_tbl[[#This Row],[Closed_Date]]=0,"",(_xlfn.XLOOKUP(Pipeline_tbl[[#This Row],[Closed_Date]],Dim_Date!A:A,Dim_Date!H:H)))</f>
        <v>Dec 2025</v>
      </c>
      <c r="U1592">
        <f>IF(Pipeline_tbl[[#This Row],[Closed_Date]]=0,"",Pipeline_tbl[[#This Row],[Closed_Date]]-Pipeline_tbl[[#This Row],[Created_Date]])</f>
        <v>19</v>
      </c>
    </row>
    <row r="1593" spans="1:21" ht="15" customHeight="1" x14ac:dyDescent="0.2">
      <c r="A1593" t="s">
        <v>1899</v>
      </c>
      <c r="B1593" t="s">
        <v>231</v>
      </c>
      <c r="C1593" t="s">
        <v>54</v>
      </c>
      <c r="D1593" s="49">
        <v>45979</v>
      </c>
      <c r="E1593" s="49">
        <v>45981</v>
      </c>
      <c r="F1593" s="49">
        <v>45985</v>
      </c>
      <c r="G1593" s="49">
        <v>45991</v>
      </c>
      <c r="H1593" s="49">
        <v>45996</v>
      </c>
      <c r="I1593" s="49">
        <v>45999</v>
      </c>
      <c r="J1593" t="s">
        <v>47</v>
      </c>
      <c r="K1593" s="33">
        <v>2800</v>
      </c>
      <c r="M1593" t="str">
        <f>_xlfn.XLOOKUP(Pipeline_tbl[[#This Row],[Rep_ID]],Dim_Reps!A:A,Dim_Reps!K:K)</f>
        <v>MXN</v>
      </c>
      <c r="N1593" s="33">
        <f>(_xlfn.XLOOKUP(Pipeline_tbl[[#This Row],[Rate_Code_Generalized]],Lookups!A:A,Lookups!B:B))*Pipeline_tbl[[#This Row],[Pipeline_Amount_USD]]</f>
        <v>55251.560000000005</v>
      </c>
      <c r="O1593" t="str">
        <f>_xlfn.XLOOKUP(Pipeline_tbl[[#This Row],[Rep_ID]],Dim_Reps!A:A,Dim_Reps!B:B)</f>
        <v>Ben Silva</v>
      </c>
      <c r="P1593" t="str">
        <f>_xlfn.XLOOKUP(Pipeline_tbl[[#This Row],[Rep_ID]],Dim_Reps!A:A,Dim_Reps!C:C)</f>
        <v>SDR / Inside Sales Rep</v>
      </c>
      <c r="Q1593" t="str">
        <f>_xlfn.XLOOKUP(Pipeline_tbl[[#This Row],[Rep_ID]],Dim_Reps!A:A,Dim_Reps!D:D)</f>
        <v>Inside Sales</v>
      </c>
      <c r="R1593" t="str">
        <f>_xlfn.XLOOKUP(Pipeline_tbl[[#This Row],[Rep_ID]],Dim_Reps!A:A,Dim_Reps!E:E)</f>
        <v>LATAM</v>
      </c>
      <c r="S1593" t="str">
        <f>_xlfn.XLOOKUP(Pipeline_tbl[[#This Row],[Created_Date]],Dim_Date!A:A,Dim_Date!H:H)</f>
        <v>Nov 2025</v>
      </c>
      <c r="T1593" t="str">
        <f>IF(Pipeline_tbl[[#This Row],[Closed_Date]]=0,"",(_xlfn.XLOOKUP(Pipeline_tbl[[#This Row],[Closed_Date]],Dim_Date!A:A,Dim_Date!H:H)))</f>
        <v>Dec 2025</v>
      </c>
      <c r="U1593">
        <f>IF(Pipeline_tbl[[#This Row],[Closed_Date]]=0,"",Pipeline_tbl[[#This Row],[Closed_Date]]-Pipeline_tbl[[#This Row],[Created_Date]])</f>
        <v>20</v>
      </c>
    </row>
    <row r="1594" spans="1:21" ht="15" customHeight="1" x14ac:dyDescent="0.2">
      <c r="A1594" t="s">
        <v>1900</v>
      </c>
      <c r="B1594" t="s">
        <v>231</v>
      </c>
      <c r="C1594" t="s">
        <v>52</v>
      </c>
      <c r="D1594" s="49">
        <v>45976</v>
      </c>
      <c r="E1594" s="49">
        <v>45978</v>
      </c>
      <c r="F1594" s="49">
        <v>45983</v>
      </c>
      <c r="G1594" s="49">
        <v>45990</v>
      </c>
      <c r="H1594" s="49">
        <v>45996</v>
      </c>
      <c r="I1594" s="49">
        <v>45999</v>
      </c>
      <c r="J1594" t="s">
        <v>47</v>
      </c>
      <c r="K1594" s="33">
        <v>1500</v>
      </c>
      <c r="M1594" t="str">
        <f>_xlfn.XLOOKUP(Pipeline_tbl[[#This Row],[Rep_ID]],Dim_Reps!A:A,Dim_Reps!K:K)</f>
        <v>MXN</v>
      </c>
      <c r="N1594" s="33">
        <f>(_xlfn.XLOOKUP(Pipeline_tbl[[#This Row],[Rate_Code_Generalized]],Lookups!A:A,Lookups!B:B))*Pipeline_tbl[[#This Row],[Pipeline_Amount_USD]]</f>
        <v>29599.050000000003</v>
      </c>
      <c r="O1594" t="str">
        <f>_xlfn.XLOOKUP(Pipeline_tbl[[#This Row],[Rep_ID]],Dim_Reps!A:A,Dim_Reps!B:B)</f>
        <v>Ben Silva</v>
      </c>
      <c r="P1594" t="str">
        <f>_xlfn.XLOOKUP(Pipeline_tbl[[#This Row],[Rep_ID]],Dim_Reps!A:A,Dim_Reps!C:C)</f>
        <v>SDR / Inside Sales Rep</v>
      </c>
      <c r="Q1594" t="str">
        <f>_xlfn.XLOOKUP(Pipeline_tbl[[#This Row],[Rep_ID]],Dim_Reps!A:A,Dim_Reps!D:D)</f>
        <v>Inside Sales</v>
      </c>
      <c r="R1594" t="str">
        <f>_xlfn.XLOOKUP(Pipeline_tbl[[#This Row],[Rep_ID]],Dim_Reps!A:A,Dim_Reps!E:E)</f>
        <v>LATAM</v>
      </c>
      <c r="S1594" t="str">
        <f>_xlfn.XLOOKUP(Pipeline_tbl[[#This Row],[Created_Date]],Dim_Date!A:A,Dim_Date!H:H)</f>
        <v>Nov 2025</v>
      </c>
      <c r="T1594" t="str">
        <f>IF(Pipeline_tbl[[#This Row],[Closed_Date]]=0,"",(_xlfn.XLOOKUP(Pipeline_tbl[[#This Row],[Closed_Date]],Dim_Date!A:A,Dim_Date!H:H)))</f>
        <v>Dec 2025</v>
      </c>
      <c r="U1594">
        <f>IF(Pipeline_tbl[[#This Row],[Closed_Date]]=0,"",Pipeline_tbl[[#This Row],[Closed_Date]]-Pipeline_tbl[[#This Row],[Created_Date]])</f>
        <v>23</v>
      </c>
    </row>
    <row r="1595" spans="1:21" ht="15" customHeight="1" x14ac:dyDescent="0.2">
      <c r="A1595" t="s">
        <v>1901</v>
      </c>
      <c r="B1595" t="s">
        <v>263</v>
      </c>
      <c r="C1595" t="s">
        <v>54</v>
      </c>
      <c r="D1595" s="49">
        <v>45969</v>
      </c>
      <c r="E1595" s="49">
        <v>45973</v>
      </c>
      <c r="F1595" s="49">
        <v>45980</v>
      </c>
      <c r="G1595" s="49">
        <v>45990</v>
      </c>
      <c r="H1595" s="49">
        <v>45999</v>
      </c>
      <c r="I1595" s="49">
        <v>46004</v>
      </c>
      <c r="J1595" t="s">
        <v>47</v>
      </c>
      <c r="K1595" s="33">
        <v>6500</v>
      </c>
      <c r="M1595" t="str">
        <f>_xlfn.XLOOKUP(Pipeline_tbl[[#This Row],[Rep_ID]],Dim_Reps!A:A,Dim_Reps!K:K)</f>
        <v>USD</v>
      </c>
      <c r="N1595" s="33">
        <f>(_xlfn.XLOOKUP(Pipeline_tbl[[#This Row],[Rate_Code_Generalized]],Lookups!A:A,Lookups!B:B))*Pipeline_tbl[[#This Row],[Pipeline_Amount_USD]]</f>
        <v>7567.9499999999989</v>
      </c>
      <c r="O1595" t="str">
        <f>_xlfn.XLOOKUP(Pipeline_tbl[[#This Row],[Rep_ID]],Dim_Reps!A:A,Dim_Reps!B:B)</f>
        <v>Morgan Weber</v>
      </c>
      <c r="P1595" t="str">
        <f>_xlfn.XLOOKUP(Pipeline_tbl[[#This Row],[Rep_ID]],Dim_Reps!A:A,Dim_Reps!C:C)</f>
        <v>Mid-Market AE</v>
      </c>
      <c r="Q1595" t="str">
        <f>_xlfn.XLOOKUP(Pipeline_tbl[[#This Row],[Rep_ID]],Dim_Reps!A:A,Dim_Reps!D:D)</f>
        <v>Mid-Market</v>
      </c>
      <c r="R1595" t="str">
        <f>_xlfn.XLOOKUP(Pipeline_tbl[[#This Row],[Rep_ID]],Dim_Reps!A:A,Dim_Reps!E:E)</f>
        <v>NAMER</v>
      </c>
      <c r="S1595" t="str">
        <f>_xlfn.XLOOKUP(Pipeline_tbl[[#This Row],[Created_Date]],Dim_Date!A:A,Dim_Date!H:H)</f>
        <v>Nov 2025</v>
      </c>
      <c r="T1595" t="str">
        <f>IF(Pipeline_tbl[[#This Row],[Closed_Date]]=0,"",(_xlfn.XLOOKUP(Pipeline_tbl[[#This Row],[Closed_Date]],Dim_Date!A:A,Dim_Date!H:H)))</f>
        <v>Dec 2025</v>
      </c>
      <c r="U1595">
        <f>IF(Pipeline_tbl[[#This Row],[Closed_Date]]=0,"",Pipeline_tbl[[#This Row],[Closed_Date]]-Pipeline_tbl[[#This Row],[Created_Date]])</f>
        <v>35</v>
      </c>
    </row>
    <row r="1596" spans="1:21" ht="15" customHeight="1" x14ac:dyDescent="0.2">
      <c r="A1596" t="s">
        <v>1902</v>
      </c>
      <c r="B1596" t="s">
        <v>263</v>
      </c>
      <c r="C1596" t="s">
        <v>52</v>
      </c>
      <c r="D1596" s="49">
        <v>45986</v>
      </c>
      <c r="E1596" s="49">
        <v>45988</v>
      </c>
      <c r="F1596" s="49">
        <v>45994</v>
      </c>
      <c r="G1596" s="49">
        <v>46001</v>
      </c>
      <c r="I1596" s="49">
        <v>46011</v>
      </c>
      <c r="J1596" t="s">
        <v>49</v>
      </c>
      <c r="K1596" s="33">
        <v>25900</v>
      </c>
      <c r="L1596" t="s">
        <v>62</v>
      </c>
      <c r="M1596" t="str">
        <f>_xlfn.XLOOKUP(Pipeline_tbl[[#This Row],[Rep_ID]],Dim_Reps!A:A,Dim_Reps!K:K)</f>
        <v>USD</v>
      </c>
      <c r="N1596" s="33">
        <f>(_xlfn.XLOOKUP(Pipeline_tbl[[#This Row],[Rate_Code_Generalized]],Lookups!A:A,Lookups!B:B))*Pipeline_tbl[[#This Row],[Pipeline_Amount_USD]]</f>
        <v>30155.37</v>
      </c>
      <c r="O1596" t="str">
        <f>_xlfn.XLOOKUP(Pipeline_tbl[[#This Row],[Rep_ID]],Dim_Reps!A:A,Dim_Reps!B:B)</f>
        <v>Morgan Weber</v>
      </c>
      <c r="P1596" t="str">
        <f>_xlfn.XLOOKUP(Pipeline_tbl[[#This Row],[Rep_ID]],Dim_Reps!A:A,Dim_Reps!C:C)</f>
        <v>Mid-Market AE</v>
      </c>
      <c r="Q1596" t="str">
        <f>_xlfn.XLOOKUP(Pipeline_tbl[[#This Row],[Rep_ID]],Dim_Reps!A:A,Dim_Reps!D:D)</f>
        <v>Mid-Market</v>
      </c>
      <c r="R1596" t="str">
        <f>_xlfn.XLOOKUP(Pipeline_tbl[[#This Row],[Rep_ID]],Dim_Reps!A:A,Dim_Reps!E:E)</f>
        <v>NAMER</v>
      </c>
      <c r="S1596" t="str">
        <f>_xlfn.XLOOKUP(Pipeline_tbl[[#This Row],[Created_Date]],Dim_Date!A:A,Dim_Date!H:H)</f>
        <v>Nov 2025</v>
      </c>
      <c r="T1596" t="str">
        <f>IF(Pipeline_tbl[[#This Row],[Closed_Date]]=0,"",(_xlfn.XLOOKUP(Pipeline_tbl[[#This Row],[Closed_Date]],Dim_Date!A:A,Dim_Date!H:H)))</f>
        <v>Dec 2025</v>
      </c>
      <c r="U1596">
        <f>IF(Pipeline_tbl[[#This Row],[Closed_Date]]=0,"",Pipeline_tbl[[#This Row],[Closed_Date]]-Pipeline_tbl[[#This Row],[Created_Date]])</f>
        <v>25</v>
      </c>
    </row>
    <row r="1597" spans="1:21" ht="15" customHeight="1" x14ac:dyDescent="0.2">
      <c r="A1597" t="s">
        <v>1903</v>
      </c>
      <c r="B1597" t="s">
        <v>263</v>
      </c>
      <c r="C1597" t="s">
        <v>54</v>
      </c>
      <c r="D1597" s="49">
        <v>45970</v>
      </c>
      <c r="E1597" s="49">
        <v>45972</v>
      </c>
      <c r="F1597" s="49">
        <v>45977</v>
      </c>
      <c r="G1597" s="49">
        <v>45984</v>
      </c>
      <c r="H1597" s="49">
        <v>45990</v>
      </c>
      <c r="I1597" s="49">
        <v>45994</v>
      </c>
      <c r="J1597" t="s">
        <v>49</v>
      </c>
      <c r="K1597" s="33">
        <v>20300</v>
      </c>
      <c r="L1597" t="s">
        <v>61</v>
      </c>
      <c r="M1597" t="str">
        <f>_xlfn.XLOOKUP(Pipeline_tbl[[#This Row],[Rep_ID]],Dim_Reps!A:A,Dim_Reps!K:K)</f>
        <v>USD</v>
      </c>
      <c r="N1597" s="33">
        <f>(_xlfn.XLOOKUP(Pipeline_tbl[[#This Row],[Rate_Code_Generalized]],Lookups!A:A,Lookups!B:B))*Pipeline_tbl[[#This Row],[Pipeline_Amount_USD]]</f>
        <v>23635.289999999997</v>
      </c>
      <c r="O1597" t="str">
        <f>_xlfn.XLOOKUP(Pipeline_tbl[[#This Row],[Rep_ID]],Dim_Reps!A:A,Dim_Reps!B:B)</f>
        <v>Morgan Weber</v>
      </c>
      <c r="P1597" t="str">
        <f>_xlfn.XLOOKUP(Pipeline_tbl[[#This Row],[Rep_ID]],Dim_Reps!A:A,Dim_Reps!C:C)</f>
        <v>Mid-Market AE</v>
      </c>
      <c r="Q1597" t="str">
        <f>_xlfn.XLOOKUP(Pipeline_tbl[[#This Row],[Rep_ID]],Dim_Reps!A:A,Dim_Reps!D:D)</f>
        <v>Mid-Market</v>
      </c>
      <c r="R1597" t="str">
        <f>_xlfn.XLOOKUP(Pipeline_tbl[[#This Row],[Rep_ID]],Dim_Reps!A:A,Dim_Reps!E:E)</f>
        <v>NAMER</v>
      </c>
      <c r="S1597" t="str">
        <f>_xlfn.XLOOKUP(Pipeline_tbl[[#This Row],[Created_Date]],Dim_Date!A:A,Dim_Date!H:H)</f>
        <v>Nov 2025</v>
      </c>
      <c r="T1597" t="str">
        <f>IF(Pipeline_tbl[[#This Row],[Closed_Date]]=0,"",(_xlfn.XLOOKUP(Pipeline_tbl[[#This Row],[Closed_Date]],Dim_Date!A:A,Dim_Date!H:H)))</f>
        <v>Dec 2025</v>
      </c>
      <c r="U1597">
        <f>IF(Pipeline_tbl[[#This Row],[Closed_Date]]=0,"",Pipeline_tbl[[#This Row],[Closed_Date]]-Pipeline_tbl[[#This Row],[Created_Date]])</f>
        <v>24</v>
      </c>
    </row>
    <row r="1598" spans="1:21" ht="15" customHeight="1" x14ac:dyDescent="0.2">
      <c r="A1598" t="s">
        <v>1904</v>
      </c>
      <c r="B1598" t="s">
        <v>263</v>
      </c>
      <c r="C1598" t="s">
        <v>52</v>
      </c>
      <c r="D1598" s="49">
        <v>45963</v>
      </c>
      <c r="E1598" s="49">
        <v>45966</v>
      </c>
      <c r="F1598" s="49">
        <v>45973</v>
      </c>
      <c r="G1598" s="49">
        <v>45983</v>
      </c>
      <c r="H1598" s="49">
        <v>45991</v>
      </c>
      <c r="I1598" s="49">
        <v>45996</v>
      </c>
      <c r="J1598" t="s">
        <v>47</v>
      </c>
      <c r="K1598" s="33">
        <v>13700</v>
      </c>
      <c r="M1598" t="str">
        <f>_xlfn.XLOOKUP(Pipeline_tbl[[#This Row],[Rep_ID]],Dim_Reps!A:A,Dim_Reps!K:K)</f>
        <v>USD</v>
      </c>
      <c r="N1598" s="33">
        <f>(_xlfn.XLOOKUP(Pipeline_tbl[[#This Row],[Rate_Code_Generalized]],Lookups!A:A,Lookups!B:B))*Pipeline_tbl[[#This Row],[Pipeline_Amount_USD]]</f>
        <v>15950.909999999998</v>
      </c>
      <c r="O1598" t="str">
        <f>_xlfn.XLOOKUP(Pipeline_tbl[[#This Row],[Rep_ID]],Dim_Reps!A:A,Dim_Reps!B:B)</f>
        <v>Morgan Weber</v>
      </c>
      <c r="P1598" t="str">
        <f>_xlfn.XLOOKUP(Pipeline_tbl[[#This Row],[Rep_ID]],Dim_Reps!A:A,Dim_Reps!C:C)</f>
        <v>Mid-Market AE</v>
      </c>
      <c r="Q1598" t="str">
        <f>_xlfn.XLOOKUP(Pipeline_tbl[[#This Row],[Rep_ID]],Dim_Reps!A:A,Dim_Reps!D:D)</f>
        <v>Mid-Market</v>
      </c>
      <c r="R1598" t="str">
        <f>_xlfn.XLOOKUP(Pipeline_tbl[[#This Row],[Rep_ID]],Dim_Reps!A:A,Dim_Reps!E:E)</f>
        <v>NAMER</v>
      </c>
      <c r="S1598" t="str">
        <f>_xlfn.XLOOKUP(Pipeline_tbl[[#This Row],[Created_Date]],Dim_Date!A:A,Dim_Date!H:H)</f>
        <v>Nov 2025</v>
      </c>
      <c r="T1598" t="str">
        <f>IF(Pipeline_tbl[[#This Row],[Closed_Date]]=0,"",(_xlfn.XLOOKUP(Pipeline_tbl[[#This Row],[Closed_Date]],Dim_Date!A:A,Dim_Date!H:H)))</f>
        <v>Dec 2025</v>
      </c>
      <c r="U1598">
        <f>IF(Pipeline_tbl[[#This Row],[Closed_Date]]=0,"",Pipeline_tbl[[#This Row],[Closed_Date]]-Pipeline_tbl[[#This Row],[Created_Date]])</f>
        <v>33</v>
      </c>
    </row>
    <row r="1599" spans="1:21" ht="15" customHeight="1" x14ac:dyDescent="0.2">
      <c r="A1599" t="s">
        <v>1905</v>
      </c>
      <c r="B1599" t="s">
        <v>263</v>
      </c>
      <c r="C1599" t="s">
        <v>52</v>
      </c>
      <c r="D1599" s="49">
        <v>45987</v>
      </c>
      <c r="E1599" s="49">
        <v>45990</v>
      </c>
      <c r="I1599" s="49">
        <v>46017</v>
      </c>
      <c r="J1599" t="s">
        <v>49</v>
      </c>
      <c r="K1599" s="33">
        <v>3900</v>
      </c>
      <c r="L1599" t="s">
        <v>60</v>
      </c>
      <c r="M1599" t="str">
        <f>_xlfn.XLOOKUP(Pipeline_tbl[[#This Row],[Rep_ID]],Dim_Reps!A:A,Dim_Reps!K:K)</f>
        <v>USD</v>
      </c>
      <c r="N1599" s="33">
        <f>(_xlfn.XLOOKUP(Pipeline_tbl[[#This Row],[Rate_Code_Generalized]],Lookups!A:A,Lookups!B:B))*Pipeline_tbl[[#This Row],[Pipeline_Amount_USD]]</f>
        <v>4540.7699999999995</v>
      </c>
      <c r="O1599" t="str">
        <f>_xlfn.XLOOKUP(Pipeline_tbl[[#This Row],[Rep_ID]],Dim_Reps!A:A,Dim_Reps!B:B)</f>
        <v>Morgan Weber</v>
      </c>
      <c r="P1599" t="str">
        <f>_xlfn.XLOOKUP(Pipeline_tbl[[#This Row],[Rep_ID]],Dim_Reps!A:A,Dim_Reps!C:C)</f>
        <v>Mid-Market AE</v>
      </c>
      <c r="Q1599" t="str">
        <f>_xlfn.XLOOKUP(Pipeline_tbl[[#This Row],[Rep_ID]],Dim_Reps!A:A,Dim_Reps!D:D)</f>
        <v>Mid-Market</v>
      </c>
      <c r="R1599" t="str">
        <f>_xlfn.XLOOKUP(Pipeline_tbl[[#This Row],[Rep_ID]],Dim_Reps!A:A,Dim_Reps!E:E)</f>
        <v>NAMER</v>
      </c>
      <c r="S1599" t="str">
        <f>_xlfn.XLOOKUP(Pipeline_tbl[[#This Row],[Created_Date]],Dim_Date!A:A,Dim_Date!H:H)</f>
        <v>Nov 2025</v>
      </c>
      <c r="T1599" t="str">
        <f>IF(Pipeline_tbl[[#This Row],[Closed_Date]]=0,"",(_xlfn.XLOOKUP(Pipeline_tbl[[#This Row],[Closed_Date]],Dim_Date!A:A,Dim_Date!H:H)))</f>
        <v>Dec 2025</v>
      </c>
      <c r="U1599">
        <f>IF(Pipeline_tbl[[#This Row],[Closed_Date]]=0,"",Pipeline_tbl[[#This Row],[Closed_Date]]-Pipeline_tbl[[#This Row],[Created_Date]])</f>
        <v>30</v>
      </c>
    </row>
    <row r="1600" spans="1:21" ht="15" customHeight="1" x14ac:dyDescent="0.2">
      <c r="A1600" t="s">
        <v>1906</v>
      </c>
      <c r="B1600" t="s">
        <v>265</v>
      </c>
      <c r="C1600" t="s">
        <v>55</v>
      </c>
      <c r="D1600" s="49">
        <v>45980</v>
      </c>
      <c r="E1600" s="49">
        <v>45982</v>
      </c>
      <c r="F1600" s="49">
        <v>45986</v>
      </c>
      <c r="I1600" s="49">
        <v>46000</v>
      </c>
      <c r="J1600" t="s">
        <v>49</v>
      </c>
      <c r="K1600" s="33">
        <v>21400</v>
      </c>
      <c r="L1600" t="s">
        <v>60</v>
      </c>
      <c r="M1600" t="str">
        <f>_xlfn.XLOOKUP(Pipeline_tbl[[#This Row],[Rep_ID]],Dim_Reps!A:A,Dim_Reps!K:K)</f>
        <v>EUR</v>
      </c>
      <c r="N1600" s="33">
        <f>(_xlfn.XLOOKUP(Pipeline_tbl[[#This Row],[Rate_Code_Generalized]],Lookups!A:A,Lookups!B:B))*Pipeline_tbl[[#This Row],[Pipeline_Amount_USD]]</f>
        <v>21400</v>
      </c>
      <c r="O1600" t="str">
        <f>_xlfn.XLOOKUP(Pipeline_tbl[[#This Row],[Rep_ID]],Dim_Reps!A:A,Dim_Reps!B:B)</f>
        <v>Erik Duarte</v>
      </c>
      <c r="P1600" t="str">
        <f>_xlfn.XLOOKUP(Pipeline_tbl[[#This Row],[Rep_ID]],Dim_Reps!A:A,Dim_Reps!C:C)</f>
        <v>Mid-Market AE</v>
      </c>
      <c r="Q1600" t="str">
        <f>_xlfn.XLOOKUP(Pipeline_tbl[[#This Row],[Rep_ID]],Dim_Reps!A:A,Dim_Reps!D:D)</f>
        <v>Mid-Market</v>
      </c>
      <c r="R1600" t="str">
        <f>_xlfn.XLOOKUP(Pipeline_tbl[[#This Row],[Rep_ID]],Dim_Reps!A:A,Dim_Reps!E:E)</f>
        <v>EMEA</v>
      </c>
      <c r="S1600" t="str">
        <f>_xlfn.XLOOKUP(Pipeline_tbl[[#This Row],[Created_Date]],Dim_Date!A:A,Dim_Date!H:H)</f>
        <v>Nov 2025</v>
      </c>
      <c r="T1600" t="str">
        <f>IF(Pipeline_tbl[[#This Row],[Closed_Date]]=0,"",(_xlfn.XLOOKUP(Pipeline_tbl[[#This Row],[Closed_Date]],Dim_Date!A:A,Dim_Date!H:H)))</f>
        <v>Dec 2025</v>
      </c>
      <c r="U1600">
        <f>IF(Pipeline_tbl[[#This Row],[Closed_Date]]=0,"",Pipeline_tbl[[#This Row],[Closed_Date]]-Pipeline_tbl[[#This Row],[Created_Date]])</f>
        <v>20</v>
      </c>
    </row>
    <row r="1601" spans="1:21" ht="15" customHeight="1" x14ac:dyDescent="0.2">
      <c r="A1601" t="s">
        <v>1907</v>
      </c>
      <c r="B1601" t="s">
        <v>265</v>
      </c>
      <c r="C1601" t="s">
        <v>55</v>
      </c>
      <c r="D1601" s="49">
        <v>45963</v>
      </c>
      <c r="E1601" s="49">
        <v>45966</v>
      </c>
      <c r="F1601" s="49">
        <v>45972</v>
      </c>
      <c r="G1601" s="49">
        <v>45981</v>
      </c>
      <c r="H1601" s="49">
        <v>45989</v>
      </c>
      <c r="I1601" s="49">
        <v>45993</v>
      </c>
      <c r="J1601" t="s">
        <v>49</v>
      </c>
      <c r="K1601" s="33">
        <v>9800</v>
      </c>
      <c r="L1601" t="s">
        <v>60</v>
      </c>
      <c r="M1601" t="str">
        <f>_xlfn.XLOOKUP(Pipeline_tbl[[#This Row],[Rep_ID]],Dim_Reps!A:A,Dim_Reps!K:K)</f>
        <v>EUR</v>
      </c>
      <c r="N1601" s="33">
        <f>(_xlfn.XLOOKUP(Pipeline_tbl[[#This Row],[Rate_Code_Generalized]],Lookups!A:A,Lookups!B:B))*Pipeline_tbl[[#This Row],[Pipeline_Amount_USD]]</f>
        <v>9800</v>
      </c>
      <c r="O1601" t="str">
        <f>_xlfn.XLOOKUP(Pipeline_tbl[[#This Row],[Rep_ID]],Dim_Reps!A:A,Dim_Reps!B:B)</f>
        <v>Erik Duarte</v>
      </c>
      <c r="P1601" t="str">
        <f>_xlfn.XLOOKUP(Pipeline_tbl[[#This Row],[Rep_ID]],Dim_Reps!A:A,Dim_Reps!C:C)</f>
        <v>Mid-Market AE</v>
      </c>
      <c r="Q1601" t="str">
        <f>_xlfn.XLOOKUP(Pipeline_tbl[[#This Row],[Rep_ID]],Dim_Reps!A:A,Dim_Reps!D:D)</f>
        <v>Mid-Market</v>
      </c>
      <c r="R1601" t="str">
        <f>_xlfn.XLOOKUP(Pipeline_tbl[[#This Row],[Rep_ID]],Dim_Reps!A:A,Dim_Reps!E:E)</f>
        <v>EMEA</v>
      </c>
      <c r="S1601" t="str">
        <f>_xlfn.XLOOKUP(Pipeline_tbl[[#This Row],[Created_Date]],Dim_Date!A:A,Dim_Date!H:H)</f>
        <v>Nov 2025</v>
      </c>
      <c r="T1601" t="str">
        <f>IF(Pipeline_tbl[[#This Row],[Closed_Date]]=0,"",(_xlfn.XLOOKUP(Pipeline_tbl[[#This Row],[Closed_Date]],Dim_Date!A:A,Dim_Date!H:H)))</f>
        <v>Dec 2025</v>
      </c>
      <c r="U1601">
        <f>IF(Pipeline_tbl[[#This Row],[Closed_Date]]=0,"",Pipeline_tbl[[#This Row],[Closed_Date]]-Pipeline_tbl[[#This Row],[Created_Date]])</f>
        <v>30</v>
      </c>
    </row>
    <row r="1602" spans="1:21" ht="15" customHeight="1" x14ac:dyDescent="0.2">
      <c r="A1602" t="s">
        <v>1908</v>
      </c>
      <c r="B1602" t="s">
        <v>265</v>
      </c>
      <c r="C1602" t="s">
        <v>52</v>
      </c>
      <c r="D1602" s="49">
        <v>45967</v>
      </c>
      <c r="E1602" s="49">
        <v>45972</v>
      </c>
      <c r="F1602" s="49">
        <v>45981</v>
      </c>
      <c r="I1602" s="49">
        <v>46013</v>
      </c>
      <c r="J1602" t="s">
        <v>49</v>
      </c>
      <c r="K1602" s="33">
        <v>6000</v>
      </c>
      <c r="L1602" t="s">
        <v>62</v>
      </c>
      <c r="M1602" t="str">
        <f>_xlfn.XLOOKUP(Pipeline_tbl[[#This Row],[Rep_ID]],Dim_Reps!A:A,Dim_Reps!K:K)</f>
        <v>EUR</v>
      </c>
      <c r="N1602" s="33">
        <f>(_xlfn.XLOOKUP(Pipeline_tbl[[#This Row],[Rate_Code_Generalized]],Lookups!A:A,Lookups!B:B))*Pipeline_tbl[[#This Row],[Pipeline_Amount_USD]]</f>
        <v>6000</v>
      </c>
      <c r="O1602" t="str">
        <f>_xlfn.XLOOKUP(Pipeline_tbl[[#This Row],[Rep_ID]],Dim_Reps!A:A,Dim_Reps!B:B)</f>
        <v>Erik Duarte</v>
      </c>
      <c r="P1602" t="str">
        <f>_xlfn.XLOOKUP(Pipeline_tbl[[#This Row],[Rep_ID]],Dim_Reps!A:A,Dim_Reps!C:C)</f>
        <v>Mid-Market AE</v>
      </c>
      <c r="Q1602" t="str">
        <f>_xlfn.XLOOKUP(Pipeline_tbl[[#This Row],[Rep_ID]],Dim_Reps!A:A,Dim_Reps!D:D)</f>
        <v>Mid-Market</v>
      </c>
      <c r="R1602" t="str">
        <f>_xlfn.XLOOKUP(Pipeline_tbl[[#This Row],[Rep_ID]],Dim_Reps!A:A,Dim_Reps!E:E)</f>
        <v>EMEA</v>
      </c>
      <c r="S1602" t="str">
        <f>_xlfn.XLOOKUP(Pipeline_tbl[[#This Row],[Created_Date]],Dim_Date!A:A,Dim_Date!H:H)</f>
        <v>Nov 2025</v>
      </c>
      <c r="T1602" t="str">
        <f>IF(Pipeline_tbl[[#This Row],[Closed_Date]]=0,"",(_xlfn.XLOOKUP(Pipeline_tbl[[#This Row],[Closed_Date]],Dim_Date!A:A,Dim_Date!H:H)))</f>
        <v>Dec 2025</v>
      </c>
      <c r="U1602">
        <f>IF(Pipeline_tbl[[#This Row],[Closed_Date]]=0,"",Pipeline_tbl[[#This Row],[Closed_Date]]-Pipeline_tbl[[#This Row],[Created_Date]])</f>
        <v>46</v>
      </c>
    </row>
    <row r="1603" spans="1:21" ht="15" customHeight="1" x14ac:dyDescent="0.2">
      <c r="A1603" t="s">
        <v>1909</v>
      </c>
      <c r="B1603" t="s">
        <v>265</v>
      </c>
      <c r="C1603" t="s">
        <v>56</v>
      </c>
      <c r="D1603" s="49">
        <v>45981</v>
      </c>
      <c r="E1603" s="49">
        <v>45984</v>
      </c>
      <c r="F1603" s="49">
        <v>45989</v>
      </c>
      <c r="G1603" s="49">
        <v>45997</v>
      </c>
      <c r="H1603" s="49">
        <v>46004</v>
      </c>
      <c r="I1603" s="49">
        <v>46008</v>
      </c>
      <c r="J1603" t="s">
        <v>49</v>
      </c>
      <c r="K1603" s="33">
        <v>12700</v>
      </c>
      <c r="L1603" t="s">
        <v>62</v>
      </c>
      <c r="M1603" t="str">
        <f>_xlfn.XLOOKUP(Pipeline_tbl[[#This Row],[Rep_ID]],Dim_Reps!A:A,Dim_Reps!K:K)</f>
        <v>EUR</v>
      </c>
      <c r="N1603" s="33">
        <f>(_xlfn.XLOOKUP(Pipeline_tbl[[#This Row],[Rate_Code_Generalized]],Lookups!A:A,Lookups!B:B))*Pipeline_tbl[[#This Row],[Pipeline_Amount_USD]]</f>
        <v>12700</v>
      </c>
      <c r="O1603" t="str">
        <f>_xlfn.XLOOKUP(Pipeline_tbl[[#This Row],[Rep_ID]],Dim_Reps!A:A,Dim_Reps!B:B)</f>
        <v>Erik Duarte</v>
      </c>
      <c r="P1603" t="str">
        <f>_xlfn.XLOOKUP(Pipeline_tbl[[#This Row],[Rep_ID]],Dim_Reps!A:A,Dim_Reps!C:C)</f>
        <v>Mid-Market AE</v>
      </c>
      <c r="Q1603" t="str">
        <f>_xlfn.XLOOKUP(Pipeline_tbl[[#This Row],[Rep_ID]],Dim_Reps!A:A,Dim_Reps!D:D)</f>
        <v>Mid-Market</v>
      </c>
      <c r="R1603" t="str">
        <f>_xlfn.XLOOKUP(Pipeline_tbl[[#This Row],[Rep_ID]],Dim_Reps!A:A,Dim_Reps!E:E)</f>
        <v>EMEA</v>
      </c>
      <c r="S1603" t="str">
        <f>_xlfn.XLOOKUP(Pipeline_tbl[[#This Row],[Created_Date]],Dim_Date!A:A,Dim_Date!H:H)</f>
        <v>Nov 2025</v>
      </c>
      <c r="T1603" t="str">
        <f>IF(Pipeline_tbl[[#This Row],[Closed_Date]]=0,"",(_xlfn.XLOOKUP(Pipeline_tbl[[#This Row],[Closed_Date]],Dim_Date!A:A,Dim_Date!H:H)))</f>
        <v>Dec 2025</v>
      </c>
      <c r="U1603">
        <f>IF(Pipeline_tbl[[#This Row],[Closed_Date]]=0,"",Pipeline_tbl[[#This Row],[Closed_Date]]-Pipeline_tbl[[#This Row],[Created_Date]])</f>
        <v>27</v>
      </c>
    </row>
    <row r="1604" spans="1:21" ht="15" customHeight="1" x14ac:dyDescent="0.2">
      <c r="A1604" t="s">
        <v>1910</v>
      </c>
      <c r="B1604" t="s">
        <v>265</v>
      </c>
      <c r="C1604" t="s">
        <v>52</v>
      </c>
      <c r="D1604" s="49">
        <v>45972</v>
      </c>
      <c r="E1604" s="49">
        <v>45974</v>
      </c>
      <c r="F1604" s="49">
        <v>45979</v>
      </c>
      <c r="G1604" s="49">
        <v>45986</v>
      </c>
      <c r="H1604" s="49">
        <v>45992</v>
      </c>
      <c r="I1604" s="49">
        <v>45996</v>
      </c>
      <c r="J1604" t="s">
        <v>47</v>
      </c>
      <c r="K1604" s="33">
        <v>6900</v>
      </c>
      <c r="M1604" t="str">
        <f>_xlfn.XLOOKUP(Pipeline_tbl[[#This Row],[Rep_ID]],Dim_Reps!A:A,Dim_Reps!K:K)</f>
        <v>EUR</v>
      </c>
      <c r="N1604" s="33">
        <f>(_xlfn.XLOOKUP(Pipeline_tbl[[#This Row],[Rate_Code_Generalized]],Lookups!A:A,Lookups!B:B))*Pipeline_tbl[[#This Row],[Pipeline_Amount_USD]]</f>
        <v>6900</v>
      </c>
      <c r="O1604" t="str">
        <f>_xlfn.XLOOKUP(Pipeline_tbl[[#This Row],[Rep_ID]],Dim_Reps!A:A,Dim_Reps!B:B)</f>
        <v>Erik Duarte</v>
      </c>
      <c r="P1604" t="str">
        <f>_xlfn.XLOOKUP(Pipeline_tbl[[#This Row],[Rep_ID]],Dim_Reps!A:A,Dim_Reps!C:C)</f>
        <v>Mid-Market AE</v>
      </c>
      <c r="Q1604" t="str">
        <f>_xlfn.XLOOKUP(Pipeline_tbl[[#This Row],[Rep_ID]],Dim_Reps!A:A,Dim_Reps!D:D)</f>
        <v>Mid-Market</v>
      </c>
      <c r="R1604" t="str">
        <f>_xlfn.XLOOKUP(Pipeline_tbl[[#This Row],[Rep_ID]],Dim_Reps!A:A,Dim_Reps!E:E)</f>
        <v>EMEA</v>
      </c>
      <c r="S1604" t="str">
        <f>_xlfn.XLOOKUP(Pipeline_tbl[[#This Row],[Created_Date]],Dim_Date!A:A,Dim_Date!H:H)</f>
        <v>Nov 2025</v>
      </c>
      <c r="T1604" t="str">
        <f>IF(Pipeline_tbl[[#This Row],[Closed_Date]]=0,"",(_xlfn.XLOOKUP(Pipeline_tbl[[#This Row],[Closed_Date]],Dim_Date!A:A,Dim_Date!H:H)))</f>
        <v>Dec 2025</v>
      </c>
      <c r="U1604">
        <f>IF(Pipeline_tbl[[#This Row],[Closed_Date]]=0,"",Pipeline_tbl[[#This Row],[Closed_Date]]-Pipeline_tbl[[#This Row],[Created_Date]])</f>
        <v>24</v>
      </c>
    </row>
    <row r="1605" spans="1:21" ht="15" customHeight="1" x14ac:dyDescent="0.2">
      <c r="A1605" t="s">
        <v>1911</v>
      </c>
      <c r="B1605" t="s">
        <v>265</v>
      </c>
      <c r="C1605" t="s">
        <v>52</v>
      </c>
      <c r="D1605" s="49">
        <v>45991</v>
      </c>
      <c r="E1605" s="49">
        <v>45994</v>
      </c>
      <c r="F1605" s="49">
        <v>45999</v>
      </c>
      <c r="G1605" s="49">
        <v>46007</v>
      </c>
      <c r="I1605" s="49">
        <v>46018</v>
      </c>
      <c r="J1605" t="s">
        <v>49</v>
      </c>
      <c r="K1605" s="33">
        <v>22000</v>
      </c>
      <c r="L1605" t="s">
        <v>62</v>
      </c>
      <c r="M1605" t="str">
        <f>_xlfn.XLOOKUP(Pipeline_tbl[[#This Row],[Rep_ID]],Dim_Reps!A:A,Dim_Reps!K:K)</f>
        <v>EUR</v>
      </c>
      <c r="N1605" s="33">
        <f>(_xlfn.XLOOKUP(Pipeline_tbl[[#This Row],[Rate_Code_Generalized]],Lookups!A:A,Lookups!B:B))*Pipeline_tbl[[#This Row],[Pipeline_Amount_USD]]</f>
        <v>22000</v>
      </c>
      <c r="O1605" t="str">
        <f>_xlfn.XLOOKUP(Pipeline_tbl[[#This Row],[Rep_ID]],Dim_Reps!A:A,Dim_Reps!B:B)</f>
        <v>Erik Duarte</v>
      </c>
      <c r="P1605" t="str">
        <f>_xlfn.XLOOKUP(Pipeline_tbl[[#This Row],[Rep_ID]],Dim_Reps!A:A,Dim_Reps!C:C)</f>
        <v>Mid-Market AE</v>
      </c>
      <c r="Q1605" t="str">
        <f>_xlfn.XLOOKUP(Pipeline_tbl[[#This Row],[Rep_ID]],Dim_Reps!A:A,Dim_Reps!D:D)</f>
        <v>Mid-Market</v>
      </c>
      <c r="R1605" t="str">
        <f>_xlfn.XLOOKUP(Pipeline_tbl[[#This Row],[Rep_ID]],Dim_Reps!A:A,Dim_Reps!E:E)</f>
        <v>EMEA</v>
      </c>
      <c r="S1605" t="str">
        <f>_xlfn.XLOOKUP(Pipeline_tbl[[#This Row],[Created_Date]],Dim_Date!A:A,Dim_Date!H:H)</f>
        <v>Nov 2025</v>
      </c>
      <c r="T1605" t="str">
        <f>IF(Pipeline_tbl[[#This Row],[Closed_Date]]=0,"",(_xlfn.XLOOKUP(Pipeline_tbl[[#This Row],[Closed_Date]],Dim_Date!A:A,Dim_Date!H:H)))</f>
        <v>Dec 2025</v>
      </c>
      <c r="U1605">
        <f>IF(Pipeline_tbl[[#This Row],[Closed_Date]]=0,"",Pipeline_tbl[[#This Row],[Closed_Date]]-Pipeline_tbl[[#This Row],[Created_Date]])</f>
        <v>27</v>
      </c>
    </row>
    <row r="1606" spans="1:21" ht="15" customHeight="1" x14ac:dyDescent="0.2">
      <c r="A1606" t="s">
        <v>1912</v>
      </c>
      <c r="B1606" t="s">
        <v>233</v>
      </c>
      <c r="C1606" t="s">
        <v>52</v>
      </c>
      <c r="D1606" s="49">
        <v>45978</v>
      </c>
      <c r="E1606" s="49">
        <v>45980</v>
      </c>
      <c r="F1606" s="49">
        <v>45984</v>
      </c>
      <c r="I1606" s="49">
        <v>45998</v>
      </c>
      <c r="J1606" t="s">
        <v>49</v>
      </c>
      <c r="K1606" s="33">
        <v>2300</v>
      </c>
      <c r="L1606" t="s">
        <v>63</v>
      </c>
      <c r="M1606" t="str">
        <f>_xlfn.XLOOKUP(Pipeline_tbl[[#This Row],[Rep_ID]],Dim_Reps!A:A,Dim_Reps!K:K)</f>
        <v>MXN</v>
      </c>
      <c r="N1606" s="33">
        <f>(_xlfn.XLOOKUP(Pipeline_tbl[[#This Row],[Rate_Code_Generalized]],Lookups!A:A,Lookups!B:B))*Pipeline_tbl[[#This Row],[Pipeline_Amount_USD]]</f>
        <v>45385.210000000006</v>
      </c>
      <c r="O1606" t="str">
        <f>_xlfn.XLOOKUP(Pipeline_tbl[[#This Row],[Rep_ID]],Dim_Reps!A:A,Dim_Reps!B:B)</f>
        <v>Lucas Duarte</v>
      </c>
      <c r="P1606" t="str">
        <f>_xlfn.XLOOKUP(Pipeline_tbl[[#This Row],[Rep_ID]],Dim_Reps!A:A,Dim_Reps!C:C)</f>
        <v>SDR / Inside Sales Rep</v>
      </c>
      <c r="Q1606" t="str">
        <f>_xlfn.XLOOKUP(Pipeline_tbl[[#This Row],[Rep_ID]],Dim_Reps!A:A,Dim_Reps!D:D)</f>
        <v>Inside Sales</v>
      </c>
      <c r="R1606" t="str">
        <f>_xlfn.XLOOKUP(Pipeline_tbl[[#This Row],[Rep_ID]],Dim_Reps!A:A,Dim_Reps!E:E)</f>
        <v>LATAM</v>
      </c>
      <c r="S1606" t="str">
        <f>_xlfn.XLOOKUP(Pipeline_tbl[[#This Row],[Created_Date]],Dim_Date!A:A,Dim_Date!H:H)</f>
        <v>Nov 2025</v>
      </c>
      <c r="T1606" t="str">
        <f>IF(Pipeline_tbl[[#This Row],[Closed_Date]]=0,"",(_xlfn.XLOOKUP(Pipeline_tbl[[#This Row],[Closed_Date]],Dim_Date!A:A,Dim_Date!H:H)))</f>
        <v>Dec 2025</v>
      </c>
      <c r="U1606">
        <f>IF(Pipeline_tbl[[#This Row],[Closed_Date]]=0,"",Pipeline_tbl[[#This Row],[Closed_Date]]-Pipeline_tbl[[#This Row],[Created_Date]])</f>
        <v>20</v>
      </c>
    </row>
    <row r="1607" spans="1:21" ht="15" customHeight="1" x14ac:dyDescent="0.2">
      <c r="A1607" t="s">
        <v>1913</v>
      </c>
      <c r="B1607" t="s">
        <v>233</v>
      </c>
      <c r="C1607" t="s">
        <v>52</v>
      </c>
      <c r="D1607" s="49">
        <v>45991</v>
      </c>
      <c r="E1607" s="49">
        <v>45992</v>
      </c>
      <c r="F1607" s="49">
        <v>45994</v>
      </c>
      <c r="G1607" s="49">
        <v>45997</v>
      </c>
      <c r="I1607" s="49">
        <v>46001</v>
      </c>
      <c r="J1607" t="s">
        <v>49</v>
      </c>
      <c r="K1607" s="33">
        <v>3600</v>
      </c>
      <c r="L1607" t="s">
        <v>60</v>
      </c>
      <c r="M1607" t="str">
        <f>_xlfn.XLOOKUP(Pipeline_tbl[[#This Row],[Rep_ID]],Dim_Reps!A:A,Dim_Reps!K:K)</f>
        <v>MXN</v>
      </c>
      <c r="N1607" s="33">
        <f>(_xlfn.XLOOKUP(Pipeline_tbl[[#This Row],[Rate_Code_Generalized]],Lookups!A:A,Lookups!B:B))*Pipeline_tbl[[#This Row],[Pipeline_Amount_USD]]</f>
        <v>71037.72</v>
      </c>
      <c r="O1607" t="str">
        <f>_xlfn.XLOOKUP(Pipeline_tbl[[#This Row],[Rep_ID]],Dim_Reps!A:A,Dim_Reps!B:B)</f>
        <v>Lucas Duarte</v>
      </c>
      <c r="P1607" t="str">
        <f>_xlfn.XLOOKUP(Pipeline_tbl[[#This Row],[Rep_ID]],Dim_Reps!A:A,Dim_Reps!C:C)</f>
        <v>SDR / Inside Sales Rep</v>
      </c>
      <c r="Q1607" t="str">
        <f>_xlfn.XLOOKUP(Pipeline_tbl[[#This Row],[Rep_ID]],Dim_Reps!A:A,Dim_Reps!D:D)</f>
        <v>Inside Sales</v>
      </c>
      <c r="R1607" t="str">
        <f>_xlfn.XLOOKUP(Pipeline_tbl[[#This Row],[Rep_ID]],Dim_Reps!A:A,Dim_Reps!E:E)</f>
        <v>LATAM</v>
      </c>
      <c r="S1607" t="str">
        <f>_xlfn.XLOOKUP(Pipeline_tbl[[#This Row],[Created_Date]],Dim_Date!A:A,Dim_Date!H:H)</f>
        <v>Nov 2025</v>
      </c>
      <c r="T1607" t="str">
        <f>IF(Pipeline_tbl[[#This Row],[Closed_Date]]=0,"",(_xlfn.XLOOKUP(Pipeline_tbl[[#This Row],[Closed_Date]],Dim_Date!A:A,Dim_Date!H:H)))</f>
        <v>Dec 2025</v>
      </c>
      <c r="U1607">
        <f>IF(Pipeline_tbl[[#This Row],[Closed_Date]]=0,"",Pipeline_tbl[[#This Row],[Closed_Date]]-Pipeline_tbl[[#This Row],[Created_Date]])</f>
        <v>10</v>
      </c>
    </row>
    <row r="1608" spans="1:21" ht="15" customHeight="1" x14ac:dyDescent="0.2">
      <c r="A1608" t="s">
        <v>1914</v>
      </c>
      <c r="B1608" t="s">
        <v>233</v>
      </c>
      <c r="C1608" t="s">
        <v>55</v>
      </c>
      <c r="D1608" s="49">
        <v>45989</v>
      </c>
      <c r="E1608" s="49">
        <v>45991</v>
      </c>
      <c r="F1608" s="49">
        <v>45994</v>
      </c>
      <c r="G1608" s="49">
        <v>45999</v>
      </c>
      <c r="H1608" s="49">
        <v>46003</v>
      </c>
      <c r="I1608" s="49">
        <v>46005</v>
      </c>
      <c r="J1608" t="s">
        <v>49</v>
      </c>
      <c r="K1608" s="33">
        <v>2000</v>
      </c>
      <c r="L1608" t="s">
        <v>60</v>
      </c>
      <c r="M1608" t="str">
        <f>_xlfn.XLOOKUP(Pipeline_tbl[[#This Row],[Rep_ID]],Dim_Reps!A:A,Dim_Reps!K:K)</f>
        <v>MXN</v>
      </c>
      <c r="N1608" s="33">
        <f>(_xlfn.XLOOKUP(Pipeline_tbl[[#This Row],[Rate_Code_Generalized]],Lookups!A:A,Lookups!B:B))*Pipeline_tbl[[#This Row],[Pipeline_Amount_USD]]</f>
        <v>39465.4</v>
      </c>
      <c r="O1608" t="str">
        <f>_xlfn.XLOOKUP(Pipeline_tbl[[#This Row],[Rep_ID]],Dim_Reps!A:A,Dim_Reps!B:B)</f>
        <v>Lucas Duarte</v>
      </c>
      <c r="P1608" t="str">
        <f>_xlfn.XLOOKUP(Pipeline_tbl[[#This Row],[Rep_ID]],Dim_Reps!A:A,Dim_Reps!C:C)</f>
        <v>SDR / Inside Sales Rep</v>
      </c>
      <c r="Q1608" t="str">
        <f>_xlfn.XLOOKUP(Pipeline_tbl[[#This Row],[Rep_ID]],Dim_Reps!A:A,Dim_Reps!D:D)</f>
        <v>Inside Sales</v>
      </c>
      <c r="R1608" t="str">
        <f>_xlfn.XLOOKUP(Pipeline_tbl[[#This Row],[Rep_ID]],Dim_Reps!A:A,Dim_Reps!E:E)</f>
        <v>LATAM</v>
      </c>
      <c r="S1608" t="str">
        <f>_xlfn.XLOOKUP(Pipeline_tbl[[#This Row],[Created_Date]],Dim_Date!A:A,Dim_Date!H:H)</f>
        <v>Nov 2025</v>
      </c>
      <c r="T1608" t="str">
        <f>IF(Pipeline_tbl[[#This Row],[Closed_Date]]=0,"",(_xlfn.XLOOKUP(Pipeline_tbl[[#This Row],[Closed_Date]],Dim_Date!A:A,Dim_Date!H:H)))</f>
        <v>Dec 2025</v>
      </c>
      <c r="U1608">
        <f>IF(Pipeline_tbl[[#This Row],[Closed_Date]]=0,"",Pipeline_tbl[[#This Row],[Closed_Date]]-Pipeline_tbl[[#This Row],[Created_Date]])</f>
        <v>16</v>
      </c>
    </row>
    <row r="1609" spans="1:21" ht="15" customHeight="1" x14ac:dyDescent="0.2">
      <c r="A1609" t="s">
        <v>1915</v>
      </c>
      <c r="B1609" t="s">
        <v>233</v>
      </c>
      <c r="C1609" t="s">
        <v>53</v>
      </c>
      <c r="D1609" s="49">
        <v>45987</v>
      </c>
      <c r="E1609" s="49">
        <v>45989</v>
      </c>
      <c r="F1609" s="49">
        <v>45992</v>
      </c>
      <c r="G1609" s="49">
        <v>45997</v>
      </c>
      <c r="H1609" s="49">
        <v>46001</v>
      </c>
      <c r="I1609" s="49">
        <v>46004</v>
      </c>
      <c r="J1609" t="s">
        <v>49</v>
      </c>
      <c r="K1609" s="33">
        <v>1800</v>
      </c>
      <c r="L1609" t="s">
        <v>63</v>
      </c>
      <c r="M1609" t="str">
        <f>_xlfn.XLOOKUP(Pipeline_tbl[[#This Row],[Rep_ID]],Dim_Reps!A:A,Dim_Reps!K:K)</f>
        <v>MXN</v>
      </c>
      <c r="N1609" s="33">
        <f>(_xlfn.XLOOKUP(Pipeline_tbl[[#This Row],[Rate_Code_Generalized]],Lookups!A:A,Lookups!B:B))*Pipeline_tbl[[#This Row],[Pipeline_Amount_USD]]</f>
        <v>35518.86</v>
      </c>
      <c r="O1609" t="str">
        <f>_xlfn.XLOOKUP(Pipeline_tbl[[#This Row],[Rep_ID]],Dim_Reps!A:A,Dim_Reps!B:B)</f>
        <v>Lucas Duarte</v>
      </c>
      <c r="P1609" t="str">
        <f>_xlfn.XLOOKUP(Pipeline_tbl[[#This Row],[Rep_ID]],Dim_Reps!A:A,Dim_Reps!C:C)</f>
        <v>SDR / Inside Sales Rep</v>
      </c>
      <c r="Q1609" t="str">
        <f>_xlfn.XLOOKUP(Pipeline_tbl[[#This Row],[Rep_ID]],Dim_Reps!A:A,Dim_Reps!D:D)</f>
        <v>Inside Sales</v>
      </c>
      <c r="R1609" t="str">
        <f>_xlfn.XLOOKUP(Pipeline_tbl[[#This Row],[Rep_ID]],Dim_Reps!A:A,Dim_Reps!E:E)</f>
        <v>LATAM</v>
      </c>
      <c r="S1609" t="str">
        <f>_xlfn.XLOOKUP(Pipeline_tbl[[#This Row],[Created_Date]],Dim_Date!A:A,Dim_Date!H:H)</f>
        <v>Nov 2025</v>
      </c>
      <c r="T1609" t="str">
        <f>IF(Pipeline_tbl[[#This Row],[Closed_Date]]=0,"",(_xlfn.XLOOKUP(Pipeline_tbl[[#This Row],[Closed_Date]],Dim_Date!A:A,Dim_Date!H:H)))</f>
        <v>Dec 2025</v>
      </c>
      <c r="U1609">
        <f>IF(Pipeline_tbl[[#This Row],[Closed_Date]]=0,"",Pipeline_tbl[[#This Row],[Closed_Date]]-Pipeline_tbl[[#This Row],[Created_Date]])</f>
        <v>17</v>
      </c>
    </row>
    <row r="1610" spans="1:21" ht="15" customHeight="1" x14ac:dyDescent="0.2">
      <c r="A1610" t="s">
        <v>1916</v>
      </c>
      <c r="B1610" t="s">
        <v>233</v>
      </c>
      <c r="C1610" t="s">
        <v>54</v>
      </c>
      <c r="D1610" s="49">
        <v>45984</v>
      </c>
      <c r="E1610" s="49">
        <v>45985</v>
      </c>
      <c r="F1610" s="49">
        <v>45987</v>
      </c>
      <c r="G1610" s="49">
        <v>45991</v>
      </c>
      <c r="I1610" s="49">
        <v>45995</v>
      </c>
      <c r="J1610" t="s">
        <v>49</v>
      </c>
      <c r="K1610" s="33">
        <v>3900</v>
      </c>
      <c r="L1610" t="s">
        <v>60</v>
      </c>
      <c r="M1610" t="str">
        <f>_xlfn.XLOOKUP(Pipeline_tbl[[#This Row],[Rep_ID]],Dim_Reps!A:A,Dim_Reps!K:K)</f>
        <v>MXN</v>
      </c>
      <c r="N1610" s="33">
        <f>(_xlfn.XLOOKUP(Pipeline_tbl[[#This Row],[Rate_Code_Generalized]],Lookups!A:A,Lookups!B:B))*Pipeline_tbl[[#This Row],[Pipeline_Amount_USD]]</f>
        <v>76957.53</v>
      </c>
      <c r="O1610" t="str">
        <f>_xlfn.XLOOKUP(Pipeline_tbl[[#This Row],[Rep_ID]],Dim_Reps!A:A,Dim_Reps!B:B)</f>
        <v>Lucas Duarte</v>
      </c>
      <c r="P1610" t="str">
        <f>_xlfn.XLOOKUP(Pipeline_tbl[[#This Row],[Rep_ID]],Dim_Reps!A:A,Dim_Reps!C:C)</f>
        <v>SDR / Inside Sales Rep</v>
      </c>
      <c r="Q1610" t="str">
        <f>_xlfn.XLOOKUP(Pipeline_tbl[[#This Row],[Rep_ID]],Dim_Reps!A:A,Dim_Reps!D:D)</f>
        <v>Inside Sales</v>
      </c>
      <c r="R1610" t="str">
        <f>_xlfn.XLOOKUP(Pipeline_tbl[[#This Row],[Rep_ID]],Dim_Reps!A:A,Dim_Reps!E:E)</f>
        <v>LATAM</v>
      </c>
      <c r="S1610" t="str">
        <f>_xlfn.XLOOKUP(Pipeline_tbl[[#This Row],[Created_Date]],Dim_Date!A:A,Dim_Date!H:H)</f>
        <v>Nov 2025</v>
      </c>
      <c r="T1610" t="str">
        <f>IF(Pipeline_tbl[[#This Row],[Closed_Date]]=0,"",(_xlfn.XLOOKUP(Pipeline_tbl[[#This Row],[Closed_Date]],Dim_Date!A:A,Dim_Date!H:H)))</f>
        <v>Dec 2025</v>
      </c>
      <c r="U1610">
        <f>IF(Pipeline_tbl[[#This Row],[Closed_Date]]=0,"",Pipeline_tbl[[#This Row],[Closed_Date]]-Pipeline_tbl[[#This Row],[Created_Date]])</f>
        <v>11</v>
      </c>
    </row>
    <row r="1611" spans="1:21" ht="15" customHeight="1" x14ac:dyDescent="0.2">
      <c r="A1611" t="s">
        <v>1917</v>
      </c>
      <c r="B1611" t="s">
        <v>233</v>
      </c>
      <c r="C1611" t="s">
        <v>52</v>
      </c>
      <c r="D1611" s="49">
        <v>45981</v>
      </c>
      <c r="E1611" s="49">
        <v>45982</v>
      </c>
      <c r="F1611" s="49">
        <v>45984</v>
      </c>
      <c r="I1611" s="49">
        <v>45992</v>
      </c>
      <c r="J1611" t="s">
        <v>49</v>
      </c>
      <c r="K1611" s="33">
        <v>2800</v>
      </c>
      <c r="L1611" t="s">
        <v>62</v>
      </c>
      <c r="M1611" t="str">
        <f>_xlfn.XLOOKUP(Pipeline_tbl[[#This Row],[Rep_ID]],Dim_Reps!A:A,Dim_Reps!K:K)</f>
        <v>MXN</v>
      </c>
      <c r="N1611" s="33">
        <f>(_xlfn.XLOOKUP(Pipeline_tbl[[#This Row],[Rate_Code_Generalized]],Lookups!A:A,Lookups!B:B))*Pipeline_tbl[[#This Row],[Pipeline_Amount_USD]]</f>
        <v>55251.560000000005</v>
      </c>
      <c r="O1611" t="str">
        <f>_xlfn.XLOOKUP(Pipeline_tbl[[#This Row],[Rep_ID]],Dim_Reps!A:A,Dim_Reps!B:B)</f>
        <v>Lucas Duarte</v>
      </c>
      <c r="P1611" t="str">
        <f>_xlfn.XLOOKUP(Pipeline_tbl[[#This Row],[Rep_ID]],Dim_Reps!A:A,Dim_Reps!C:C)</f>
        <v>SDR / Inside Sales Rep</v>
      </c>
      <c r="Q1611" t="str">
        <f>_xlfn.XLOOKUP(Pipeline_tbl[[#This Row],[Rep_ID]],Dim_Reps!A:A,Dim_Reps!D:D)</f>
        <v>Inside Sales</v>
      </c>
      <c r="R1611" t="str">
        <f>_xlfn.XLOOKUP(Pipeline_tbl[[#This Row],[Rep_ID]],Dim_Reps!A:A,Dim_Reps!E:E)</f>
        <v>LATAM</v>
      </c>
      <c r="S1611" t="str">
        <f>_xlfn.XLOOKUP(Pipeline_tbl[[#This Row],[Created_Date]],Dim_Date!A:A,Dim_Date!H:H)</f>
        <v>Nov 2025</v>
      </c>
      <c r="T1611" t="str">
        <f>IF(Pipeline_tbl[[#This Row],[Closed_Date]]=0,"",(_xlfn.XLOOKUP(Pipeline_tbl[[#This Row],[Closed_Date]],Dim_Date!A:A,Dim_Date!H:H)))</f>
        <v>Dec 2025</v>
      </c>
      <c r="U1611">
        <f>IF(Pipeline_tbl[[#This Row],[Closed_Date]]=0,"",Pipeline_tbl[[#This Row],[Closed_Date]]-Pipeline_tbl[[#This Row],[Created_Date]])</f>
        <v>11</v>
      </c>
    </row>
    <row r="1612" spans="1:21" ht="15" customHeight="1" x14ac:dyDescent="0.2">
      <c r="A1612" t="s">
        <v>1918</v>
      </c>
      <c r="B1612" t="s">
        <v>233</v>
      </c>
      <c r="C1612" t="s">
        <v>53</v>
      </c>
      <c r="D1612" s="49">
        <v>45978</v>
      </c>
      <c r="E1612" s="49">
        <v>45980</v>
      </c>
      <c r="F1612" s="49">
        <v>45984</v>
      </c>
      <c r="G1612" s="49">
        <v>45989</v>
      </c>
      <c r="H1612" s="49">
        <v>45994</v>
      </c>
      <c r="I1612" s="49">
        <v>45997</v>
      </c>
      <c r="J1612" t="s">
        <v>49</v>
      </c>
      <c r="K1612" s="33">
        <v>8300</v>
      </c>
      <c r="L1612" t="s">
        <v>62</v>
      </c>
      <c r="M1612" t="str">
        <f>_xlfn.XLOOKUP(Pipeline_tbl[[#This Row],[Rep_ID]],Dim_Reps!A:A,Dim_Reps!K:K)</f>
        <v>MXN</v>
      </c>
      <c r="N1612" s="33">
        <f>(_xlfn.XLOOKUP(Pipeline_tbl[[#This Row],[Rate_Code_Generalized]],Lookups!A:A,Lookups!B:B))*Pipeline_tbl[[#This Row],[Pipeline_Amount_USD]]</f>
        <v>163781.41</v>
      </c>
      <c r="O1612" t="str">
        <f>_xlfn.XLOOKUP(Pipeline_tbl[[#This Row],[Rep_ID]],Dim_Reps!A:A,Dim_Reps!B:B)</f>
        <v>Lucas Duarte</v>
      </c>
      <c r="P1612" t="str">
        <f>_xlfn.XLOOKUP(Pipeline_tbl[[#This Row],[Rep_ID]],Dim_Reps!A:A,Dim_Reps!C:C)</f>
        <v>SDR / Inside Sales Rep</v>
      </c>
      <c r="Q1612" t="str">
        <f>_xlfn.XLOOKUP(Pipeline_tbl[[#This Row],[Rep_ID]],Dim_Reps!A:A,Dim_Reps!D:D)</f>
        <v>Inside Sales</v>
      </c>
      <c r="R1612" t="str">
        <f>_xlfn.XLOOKUP(Pipeline_tbl[[#This Row],[Rep_ID]],Dim_Reps!A:A,Dim_Reps!E:E)</f>
        <v>LATAM</v>
      </c>
      <c r="S1612" t="str">
        <f>_xlfn.XLOOKUP(Pipeline_tbl[[#This Row],[Created_Date]],Dim_Date!A:A,Dim_Date!H:H)</f>
        <v>Nov 2025</v>
      </c>
      <c r="T1612" t="str">
        <f>IF(Pipeline_tbl[[#This Row],[Closed_Date]]=0,"",(_xlfn.XLOOKUP(Pipeline_tbl[[#This Row],[Closed_Date]],Dim_Date!A:A,Dim_Date!H:H)))</f>
        <v>Dec 2025</v>
      </c>
      <c r="U1612">
        <f>IF(Pipeline_tbl[[#This Row],[Closed_Date]]=0,"",Pipeline_tbl[[#This Row],[Closed_Date]]-Pipeline_tbl[[#This Row],[Created_Date]])</f>
        <v>19</v>
      </c>
    </row>
    <row r="1613" spans="1:21" ht="15" customHeight="1" x14ac:dyDescent="0.2">
      <c r="A1613" t="s">
        <v>1919</v>
      </c>
      <c r="B1613" t="s">
        <v>233</v>
      </c>
      <c r="C1613" t="s">
        <v>55</v>
      </c>
      <c r="D1613" s="49">
        <v>45987</v>
      </c>
      <c r="E1613" s="49">
        <v>45989</v>
      </c>
      <c r="F1613" s="49">
        <v>45993</v>
      </c>
      <c r="G1613" s="49">
        <v>45999</v>
      </c>
      <c r="H1613" s="49">
        <v>46004</v>
      </c>
      <c r="I1613" s="49">
        <v>46007</v>
      </c>
      <c r="J1613" t="s">
        <v>47</v>
      </c>
      <c r="K1613" s="33">
        <v>4500</v>
      </c>
      <c r="M1613" t="str">
        <f>_xlfn.XLOOKUP(Pipeline_tbl[[#This Row],[Rep_ID]],Dim_Reps!A:A,Dim_Reps!K:K)</f>
        <v>MXN</v>
      </c>
      <c r="N1613" s="33">
        <f>(_xlfn.XLOOKUP(Pipeline_tbl[[#This Row],[Rate_Code_Generalized]],Lookups!A:A,Lookups!B:B))*Pipeline_tbl[[#This Row],[Pipeline_Amount_USD]]</f>
        <v>88797.150000000009</v>
      </c>
      <c r="O1613" t="str">
        <f>_xlfn.XLOOKUP(Pipeline_tbl[[#This Row],[Rep_ID]],Dim_Reps!A:A,Dim_Reps!B:B)</f>
        <v>Lucas Duarte</v>
      </c>
      <c r="P1613" t="str">
        <f>_xlfn.XLOOKUP(Pipeline_tbl[[#This Row],[Rep_ID]],Dim_Reps!A:A,Dim_Reps!C:C)</f>
        <v>SDR / Inside Sales Rep</v>
      </c>
      <c r="Q1613" t="str">
        <f>_xlfn.XLOOKUP(Pipeline_tbl[[#This Row],[Rep_ID]],Dim_Reps!A:A,Dim_Reps!D:D)</f>
        <v>Inside Sales</v>
      </c>
      <c r="R1613" t="str">
        <f>_xlfn.XLOOKUP(Pipeline_tbl[[#This Row],[Rep_ID]],Dim_Reps!A:A,Dim_Reps!E:E)</f>
        <v>LATAM</v>
      </c>
      <c r="S1613" t="str">
        <f>_xlfn.XLOOKUP(Pipeline_tbl[[#This Row],[Created_Date]],Dim_Date!A:A,Dim_Date!H:H)</f>
        <v>Nov 2025</v>
      </c>
      <c r="T1613" t="str">
        <f>IF(Pipeline_tbl[[#This Row],[Closed_Date]]=0,"",(_xlfn.XLOOKUP(Pipeline_tbl[[#This Row],[Closed_Date]],Dim_Date!A:A,Dim_Date!H:H)))</f>
        <v>Dec 2025</v>
      </c>
      <c r="U1613">
        <f>IF(Pipeline_tbl[[#This Row],[Closed_Date]]=0,"",Pipeline_tbl[[#This Row],[Closed_Date]]-Pipeline_tbl[[#This Row],[Created_Date]])</f>
        <v>20</v>
      </c>
    </row>
    <row r="1614" spans="1:21" ht="15" customHeight="1" x14ac:dyDescent="0.2">
      <c r="A1614" t="s">
        <v>1920</v>
      </c>
      <c r="B1614" t="s">
        <v>233</v>
      </c>
      <c r="C1614" t="s">
        <v>53</v>
      </c>
      <c r="D1614" s="49">
        <v>45975</v>
      </c>
      <c r="E1614" s="49">
        <v>45978</v>
      </c>
      <c r="F1614" s="49">
        <v>45984</v>
      </c>
      <c r="I1614" s="49">
        <v>46005</v>
      </c>
      <c r="J1614" t="s">
        <v>49</v>
      </c>
      <c r="K1614" s="33">
        <v>1900</v>
      </c>
      <c r="L1614" t="s">
        <v>60</v>
      </c>
      <c r="M1614" t="str">
        <f>_xlfn.XLOOKUP(Pipeline_tbl[[#This Row],[Rep_ID]],Dim_Reps!A:A,Dim_Reps!K:K)</f>
        <v>MXN</v>
      </c>
      <c r="N1614" s="33">
        <f>(_xlfn.XLOOKUP(Pipeline_tbl[[#This Row],[Rate_Code_Generalized]],Lookups!A:A,Lookups!B:B))*Pipeline_tbl[[#This Row],[Pipeline_Amount_USD]]</f>
        <v>37492.130000000005</v>
      </c>
      <c r="O1614" t="str">
        <f>_xlfn.XLOOKUP(Pipeline_tbl[[#This Row],[Rep_ID]],Dim_Reps!A:A,Dim_Reps!B:B)</f>
        <v>Lucas Duarte</v>
      </c>
      <c r="P1614" t="str">
        <f>_xlfn.XLOOKUP(Pipeline_tbl[[#This Row],[Rep_ID]],Dim_Reps!A:A,Dim_Reps!C:C)</f>
        <v>SDR / Inside Sales Rep</v>
      </c>
      <c r="Q1614" t="str">
        <f>_xlfn.XLOOKUP(Pipeline_tbl[[#This Row],[Rep_ID]],Dim_Reps!A:A,Dim_Reps!D:D)</f>
        <v>Inside Sales</v>
      </c>
      <c r="R1614" t="str">
        <f>_xlfn.XLOOKUP(Pipeline_tbl[[#This Row],[Rep_ID]],Dim_Reps!A:A,Dim_Reps!E:E)</f>
        <v>LATAM</v>
      </c>
      <c r="S1614" t="str">
        <f>_xlfn.XLOOKUP(Pipeline_tbl[[#This Row],[Created_Date]],Dim_Date!A:A,Dim_Date!H:H)</f>
        <v>Nov 2025</v>
      </c>
      <c r="T1614" t="str">
        <f>IF(Pipeline_tbl[[#This Row],[Closed_Date]]=0,"",(_xlfn.XLOOKUP(Pipeline_tbl[[#This Row],[Closed_Date]],Dim_Date!A:A,Dim_Date!H:H)))</f>
        <v>Dec 2025</v>
      </c>
      <c r="U1614">
        <f>IF(Pipeline_tbl[[#This Row],[Closed_Date]]=0,"",Pipeline_tbl[[#This Row],[Closed_Date]]-Pipeline_tbl[[#This Row],[Created_Date]])</f>
        <v>30</v>
      </c>
    </row>
    <row r="1615" spans="1:21" ht="15" customHeight="1" x14ac:dyDescent="0.2">
      <c r="A1615" t="s">
        <v>1921</v>
      </c>
      <c r="B1615" t="s">
        <v>233</v>
      </c>
      <c r="C1615" t="s">
        <v>52</v>
      </c>
      <c r="D1615" s="49">
        <v>45980</v>
      </c>
      <c r="E1615" s="49">
        <v>45982</v>
      </c>
      <c r="F1615" s="49">
        <v>45985</v>
      </c>
      <c r="G1615" s="49">
        <v>45990</v>
      </c>
      <c r="I1615" s="49">
        <v>45997</v>
      </c>
      <c r="J1615" t="s">
        <v>49</v>
      </c>
      <c r="K1615" s="33">
        <v>5500</v>
      </c>
      <c r="L1615" t="s">
        <v>63</v>
      </c>
      <c r="M1615" t="str">
        <f>_xlfn.XLOOKUP(Pipeline_tbl[[#This Row],[Rep_ID]],Dim_Reps!A:A,Dim_Reps!K:K)</f>
        <v>MXN</v>
      </c>
      <c r="N1615" s="33">
        <f>(_xlfn.XLOOKUP(Pipeline_tbl[[#This Row],[Rate_Code_Generalized]],Lookups!A:A,Lookups!B:B))*Pipeline_tbl[[#This Row],[Pipeline_Amount_USD]]</f>
        <v>108529.85</v>
      </c>
      <c r="O1615" t="str">
        <f>_xlfn.XLOOKUP(Pipeline_tbl[[#This Row],[Rep_ID]],Dim_Reps!A:A,Dim_Reps!B:B)</f>
        <v>Lucas Duarte</v>
      </c>
      <c r="P1615" t="str">
        <f>_xlfn.XLOOKUP(Pipeline_tbl[[#This Row],[Rep_ID]],Dim_Reps!A:A,Dim_Reps!C:C)</f>
        <v>SDR / Inside Sales Rep</v>
      </c>
      <c r="Q1615" t="str">
        <f>_xlfn.XLOOKUP(Pipeline_tbl[[#This Row],[Rep_ID]],Dim_Reps!A:A,Dim_Reps!D:D)</f>
        <v>Inside Sales</v>
      </c>
      <c r="R1615" t="str">
        <f>_xlfn.XLOOKUP(Pipeline_tbl[[#This Row],[Rep_ID]],Dim_Reps!A:A,Dim_Reps!E:E)</f>
        <v>LATAM</v>
      </c>
      <c r="S1615" t="str">
        <f>_xlfn.XLOOKUP(Pipeline_tbl[[#This Row],[Created_Date]],Dim_Date!A:A,Dim_Date!H:H)</f>
        <v>Nov 2025</v>
      </c>
      <c r="T1615" t="str">
        <f>IF(Pipeline_tbl[[#This Row],[Closed_Date]]=0,"",(_xlfn.XLOOKUP(Pipeline_tbl[[#This Row],[Closed_Date]],Dim_Date!A:A,Dim_Date!H:H)))</f>
        <v>Dec 2025</v>
      </c>
      <c r="U1615">
        <f>IF(Pipeline_tbl[[#This Row],[Closed_Date]]=0,"",Pipeline_tbl[[#This Row],[Closed_Date]]-Pipeline_tbl[[#This Row],[Created_Date]])</f>
        <v>17</v>
      </c>
    </row>
    <row r="1616" spans="1:21" ht="15" customHeight="1" x14ac:dyDescent="0.2">
      <c r="A1616" t="s">
        <v>1922</v>
      </c>
      <c r="B1616" t="s">
        <v>233</v>
      </c>
      <c r="C1616" t="s">
        <v>52</v>
      </c>
      <c r="D1616" s="49">
        <v>45980</v>
      </c>
      <c r="E1616" s="49">
        <v>45982</v>
      </c>
      <c r="F1616" s="49">
        <v>45986</v>
      </c>
      <c r="G1616" s="49">
        <v>45991</v>
      </c>
      <c r="H1616" s="49">
        <v>45996</v>
      </c>
      <c r="I1616" s="49">
        <v>45999</v>
      </c>
      <c r="J1616" t="s">
        <v>47</v>
      </c>
      <c r="K1616" s="33">
        <v>7200</v>
      </c>
      <c r="M1616" t="str">
        <f>_xlfn.XLOOKUP(Pipeline_tbl[[#This Row],[Rep_ID]],Dim_Reps!A:A,Dim_Reps!K:K)</f>
        <v>MXN</v>
      </c>
      <c r="N1616" s="33">
        <f>(_xlfn.XLOOKUP(Pipeline_tbl[[#This Row],[Rate_Code_Generalized]],Lookups!A:A,Lookups!B:B))*Pipeline_tbl[[#This Row],[Pipeline_Amount_USD]]</f>
        <v>142075.44</v>
      </c>
      <c r="O1616" t="str">
        <f>_xlfn.XLOOKUP(Pipeline_tbl[[#This Row],[Rep_ID]],Dim_Reps!A:A,Dim_Reps!B:B)</f>
        <v>Lucas Duarte</v>
      </c>
      <c r="P1616" t="str">
        <f>_xlfn.XLOOKUP(Pipeline_tbl[[#This Row],[Rep_ID]],Dim_Reps!A:A,Dim_Reps!C:C)</f>
        <v>SDR / Inside Sales Rep</v>
      </c>
      <c r="Q1616" t="str">
        <f>_xlfn.XLOOKUP(Pipeline_tbl[[#This Row],[Rep_ID]],Dim_Reps!A:A,Dim_Reps!D:D)</f>
        <v>Inside Sales</v>
      </c>
      <c r="R1616" t="str">
        <f>_xlfn.XLOOKUP(Pipeline_tbl[[#This Row],[Rep_ID]],Dim_Reps!A:A,Dim_Reps!E:E)</f>
        <v>LATAM</v>
      </c>
      <c r="S1616" t="str">
        <f>_xlfn.XLOOKUP(Pipeline_tbl[[#This Row],[Created_Date]],Dim_Date!A:A,Dim_Date!H:H)</f>
        <v>Nov 2025</v>
      </c>
      <c r="T1616" t="str">
        <f>IF(Pipeline_tbl[[#This Row],[Closed_Date]]=0,"",(_xlfn.XLOOKUP(Pipeline_tbl[[#This Row],[Closed_Date]],Dim_Date!A:A,Dim_Date!H:H)))</f>
        <v>Dec 2025</v>
      </c>
      <c r="U1616">
        <f>IF(Pipeline_tbl[[#This Row],[Closed_Date]]=0,"",Pipeline_tbl[[#This Row],[Closed_Date]]-Pipeline_tbl[[#This Row],[Created_Date]])</f>
        <v>19</v>
      </c>
    </row>
    <row r="1617" spans="1:21" ht="15" customHeight="1" x14ac:dyDescent="0.2">
      <c r="A1617" t="s">
        <v>1923</v>
      </c>
      <c r="B1617" t="s">
        <v>233</v>
      </c>
      <c r="C1617" t="s">
        <v>52</v>
      </c>
      <c r="D1617" s="49">
        <v>45980</v>
      </c>
      <c r="E1617" s="49">
        <v>45982</v>
      </c>
      <c r="F1617" s="49">
        <v>45985</v>
      </c>
      <c r="G1617" s="49">
        <v>45991</v>
      </c>
      <c r="H1617" s="49">
        <v>45995</v>
      </c>
      <c r="I1617" s="49">
        <v>45998</v>
      </c>
      <c r="J1617" t="s">
        <v>47</v>
      </c>
      <c r="K1617" s="33">
        <v>1400</v>
      </c>
      <c r="M1617" t="str">
        <f>_xlfn.XLOOKUP(Pipeline_tbl[[#This Row],[Rep_ID]],Dim_Reps!A:A,Dim_Reps!K:K)</f>
        <v>MXN</v>
      </c>
      <c r="N1617" s="33">
        <f>(_xlfn.XLOOKUP(Pipeline_tbl[[#This Row],[Rate_Code_Generalized]],Lookups!A:A,Lookups!B:B))*Pipeline_tbl[[#This Row],[Pipeline_Amount_USD]]</f>
        <v>27625.780000000002</v>
      </c>
      <c r="O1617" t="str">
        <f>_xlfn.XLOOKUP(Pipeline_tbl[[#This Row],[Rep_ID]],Dim_Reps!A:A,Dim_Reps!B:B)</f>
        <v>Lucas Duarte</v>
      </c>
      <c r="P1617" t="str">
        <f>_xlfn.XLOOKUP(Pipeline_tbl[[#This Row],[Rep_ID]],Dim_Reps!A:A,Dim_Reps!C:C)</f>
        <v>SDR / Inside Sales Rep</v>
      </c>
      <c r="Q1617" t="str">
        <f>_xlfn.XLOOKUP(Pipeline_tbl[[#This Row],[Rep_ID]],Dim_Reps!A:A,Dim_Reps!D:D)</f>
        <v>Inside Sales</v>
      </c>
      <c r="R1617" t="str">
        <f>_xlfn.XLOOKUP(Pipeline_tbl[[#This Row],[Rep_ID]],Dim_Reps!A:A,Dim_Reps!E:E)</f>
        <v>LATAM</v>
      </c>
      <c r="S1617" t="str">
        <f>_xlfn.XLOOKUP(Pipeline_tbl[[#This Row],[Created_Date]],Dim_Date!A:A,Dim_Date!H:H)</f>
        <v>Nov 2025</v>
      </c>
      <c r="T1617" t="str">
        <f>IF(Pipeline_tbl[[#This Row],[Closed_Date]]=0,"",(_xlfn.XLOOKUP(Pipeline_tbl[[#This Row],[Closed_Date]],Dim_Date!A:A,Dim_Date!H:H)))</f>
        <v>Dec 2025</v>
      </c>
      <c r="U1617">
        <f>IF(Pipeline_tbl[[#This Row],[Closed_Date]]=0,"",Pipeline_tbl[[#This Row],[Closed_Date]]-Pipeline_tbl[[#This Row],[Created_Date]])</f>
        <v>18</v>
      </c>
    </row>
    <row r="1618" spans="1:21" ht="15" customHeight="1" x14ac:dyDescent="0.2">
      <c r="A1618" t="s">
        <v>1924</v>
      </c>
      <c r="B1618" t="s">
        <v>233</v>
      </c>
      <c r="C1618" t="s">
        <v>53</v>
      </c>
      <c r="D1618" s="49">
        <v>45986</v>
      </c>
      <c r="E1618" s="49">
        <v>45988</v>
      </c>
      <c r="F1618" s="49">
        <v>45993</v>
      </c>
      <c r="G1618" s="49">
        <v>46000</v>
      </c>
      <c r="I1618" s="49">
        <v>46009</v>
      </c>
      <c r="J1618" t="s">
        <v>49</v>
      </c>
      <c r="K1618" s="33">
        <v>3700</v>
      </c>
      <c r="L1618" t="s">
        <v>62</v>
      </c>
      <c r="M1618" t="str">
        <f>_xlfn.XLOOKUP(Pipeline_tbl[[#This Row],[Rep_ID]],Dim_Reps!A:A,Dim_Reps!K:K)</f>
        <v>MXN</v>
      </c>
      <c r="N1618" s="33">
        <f>(_xlfn.XLOOKUP(Pipeline_tbl[[#This Row],[Rate_Code_Generalized]],Lookups!A:A,Lookups!B:B))*Pipeline_tbl[[#This Row],[Pipeline_Amount_USD]]</f>
        <v>73010.990000000005</v>
      </c>
      <c r="O1618" t="str">
        <f>_xlfn.XLOOKUP(Pipeline_tbl[[#This Row],[Rep_ID]],Dim_Reps!A:A,Dim_Reps!B:B)</f>
        <v>Lucas Duarte</v>
      </c>
      <c r="P1618" t="str">
        <f>_xlfn.XLOOKUP(Pipeline_tbl[[#This Row],[Rep_ID]],Dim_Reps!A:A,Dim_Reps!C:C)</f>
        <v>SDR / Inside Sales Rep</v>
      </c>
      <c r="Q1618" t="str">
        <f>_xlfn.XLOOKUP(Pipeline_tbl[[#This Row],[Rep_ID]],Dim_Reps!A:A,Dim_Reps!D:D)</f>
        <v>Inside Sales</v>
      </c>
      <c r="R1618" t="str">
        <f>_xlfn.XLOOKUP(Pipeline_tbl[[#This Row],[Rep_ID]],Dim_Reps!A:A,Dim_Reps!E:E)</f>
        <v>LATAM</v>
      </c>
      <c r="S1618" t="str">
        <f>_xlfn.XLOOKUP(Pipeline_tbl[[#This Row],[Created_Date]],Dim_Date!A:A,Dim_Date!H:H)</f>
        <v>Nov 2025</v>
      </c>
      <c r="T1618" t="str">
        <f>IF(Pipeline_tbl[[#This Row],[Closed_Date]]=0,"",(_xlfn.XLOOKUP(Pipeline_tbl[[#This Row],[Closed_Date]],Dim_Date!A:A,Dim_Date!H:H)))</f>
        <v>Dec 2025</v>
      </c>
      <c r="U1618">
        <f>IF(Pipeline_tbl[[#This Row],[Closed_Date]]=0,"",Pipeline_tbl[[#This Row],[Closed_Date]]-Pipeline_tbl[[#This Row],[Created_Date]])</f>
        <v>23</v>
      </c>
    </row>
    <row r="1619" spans="1:21" ht="15" customHeight="1" x14ac:dyDescent="0.2">
      <c r="A1619" t="s">
        <v>1925</v>
      </c>
      <c r="B1619" t="s">
        <v>267</v>
      </c>
      <c r="C1619" t="s">
        <v>53</v>
      </c>
      <c r="D1619" s="49">
        <v>45977</v>
      </c>
      <c r="E1619" s="49">
        <v>45979</v>
      </c>
      <c r="I1619" s="49">
        <v>45996</v>
      </c>
      <c r="J1619" t="s">
        <v>49</v>
      </c>
      <c r="K1619" s="33">
        <v>10000</v>
      </c>
      <c r="L1619" t="s">
        <v>61</v>
      </c>
      <c r="M1619" t="str">
        <f>_xlfn.XLOOKUP(Pipeline_tbl[[#This Row],[Rep_ID]],Dim_Reps!A:A,Dim_Reps!K:K)</f>
        <v>MXN</v>
      </c>
      <c r="N1619" s="33">
        <f>(_xlfn.XLOOKUP(Pipeline_tbl[[#This Row],[Rate_Code_Generalized]],Lookups!A:A,Lookups!B:B))*Pipeline_tbl[[#This Row],[Pipeline_Amount_USD]]</f>
        <v>197327</v>
      </c>
      <c r="O1619" t="str">
        <f>_xlfn.XLOOKUP(Pipeline_tbl[[#This Row],[Rep_ID]],Dim_Reps!A:A,Dim_Reps!B:B)</f>
        <v>Yuki Dubois</v>
      </c>
      <c r="P1619" t="str">
        <f>_xlfn.XLOOKUP(Pipeline_tbl[[#This Row],[Rep_ID]],Dim_Reps!A:A,Dim_Reps!C:C)</f>
        <v>Mid-Market AE</v>
      </c>
      <c r="Q1619" t="str">
        <f>_xlfn.XLOOKUP(Pipeline_tbl[[#This Row],[Rep_ID]],Dim_Reps!A:A,Dim_Reps!D:D)</f>
        <v>Mid-Market</v>
      </c>
      <c r="R1619" t="str">
        <f>_xlfn.XLOOKUP(Pipeline_tbl[[#This Row],[Rep_ID]],Dim_Reps!A:A,Dim_Reps!E:E)</f>
        <v>LATAM</v>
      </c>
      <c r="S1619" t="str">
        <f>_xlfn.XLOOKUP(Pipeline_tbl[[#This Row],[Created_Date]],Dim_Date!A:A,Dim_Date!H:H)</f>
        <v>Nov 2025</v>
      </c>
      <c r="T1619" t="str">
        <f>IF(Pipeline_tbl[[#This Row],[Closed_Date]]=0,"",(_xlfn.XLOOKUP(Pipeline_tbl[[#This Row],[Closed_Date]],Dim_Date!A:A,Dim_Date!H:H)))</f>
        <v>Dec 2025</v>
      </c>
      <c r="U1619">
        <f>IF(Pipeline_tbl[[#This Row],[Closed_Date]]=0,"",Pipeline_tbl[[#This Row],[Closed_Date]]-Pipeline_tbl[[#This Row],[Created_Date]])</f>
        <v>19</v>
      </c>
    </row>
    <row r="1620" spans="1:21" ht="15" customHeight="1" x14ac:dyDescent="0.2">
      <c r="A1620" t="s">
        <v>1926</v>
      </c>
      <c r="B1620" t="s">
        <v>267</v>
      </c>
      <c r="C1620" t="s">
        <v>53</v>
      </c>
      <c r="D1620" s="49">
        <v>45980</v>
      </c>
      <c r="E1620" s="49">
        <v>45983</v>
      </c>
      <c r="F1620" s="49">
        <v>45988</v>
      </c>
      <c r="G1620" s="49">
        <v>45996</v>
      </c>
      <c r="H1620" s="49">
        <v>46002</v>
      </c>
      <c r="I1620" s="49">
        <v>46006</v>
      </c>
      <c r="J1620" t="s">
        <v>49</v>
      </c>
      <c r="K1620" s="33">
        <v>15300</v>
      </c>
      <c r="L1620" t="s">
        <v>62</v>
      </c>
      <c r="M1620" t="str">
        <f>_xlfn.XLOOKUP(Pipeline_tbl[[#This Row],[Rep_ID]],Dim_Reps!A:A,Dim_Reps!K:K)</f>
        <v>MXN</v>
      </c>
      <c r="N1620" s="33">
        <f>(_xlfn.XLOOKUP(Pipeline_tbl[[#This Row],[Rate_Code_Generalized]],Lookups!A:A,Lookups!B:B))*Pipeline_tbl[[#This Row],[Pipeline_Amount_USD]]</f>
        <v>301910.31</v>
      </c>
      <c r="O1620" t="str">
        <f>_xlfn.XLOOKUP(Pipeline_tbl[[#This Row],[Rep_ID]],Dim_Reps!A:A,Dim_Reps!B:B)</f>
        <v>Yuki Dubois</v>
      </c>
      <c r="P1620" t="str">
        <f>_xlfn.XLOOKUP(Pipeline_tbl[[#This Row],[Rep_ID]],Dim_Reps!A:A,Dim_Reps!C:C)</f>
        <v>Mid-Market AE</v>
      </c>
      <c r="Q1620" t="str">
        <f>_xlfn.XLOOKUP(Pipeline_tbl[[#This Row],[Rep_ID]],Dim_Reps!A:A,Dim_Reps!D:D)</f>
        <v>Mid-Market</v>
      </c>
      <c r="R1620" t="str">
        <f>_xlfn.XLOOKUP(Pipeline_tbl[[#This Row],[Rep_ID]],Dim_Reps!A:A,Dim_Reps!E:E)</f>
        <v>LATAM</v>
      </c>
      <c r="S1620" t="str">
        <f>_xlfn.XLOOKUP(Pipeline_tbl[[#This Row],[Created_Date]],Dim_Date!A:A,Dim_Date!H:H)</f>
        <v>Nov 2025</v>
      </c>
      <c r="T1620" t="str">
        <f>IF(Pipeline_tbl[[#This Row],[Closed_Date]]=0,"",(_xlfn.XLOOKUP(Pipeline_tbl[[#This Row],[Closed_Date]],Dim_Date!A:A,Dim_Date!H:H)))</f>
        <v>Dec 2025</v>
      </c>
      <c r="U1620">
        <f>IF(Pipeline_tbl[[#This Row],[Closed_Date]]=0,"",Pipeline_tbl[[#This Row],[Closed_Date]]-Pipeline_tbl[[#This Row],[Created_Date]])</f>
        <v>26</v>
      </c>
    </row>
    <row r="1621" spans="1:21" ht="15" customHeight="1" x14ac:dyDescent="0.2">
      <c r="A1621" t="s">
        <v>1927</v>
      </c>
      <c r="B1621" t="s">
        <v>267</v>
      </c>
      <c r="C1621" t="s">
        <v>55</v>
      </c>
      <c r="D1621" s="49">
        <v>45973</v>
      </c>
      <c r="E1621" s="49">
        <v>45976</v>
      </c>
      <c r="I1621" s="49">
        <v>46006</v>
      </c>
      <c r="J1621" t="s">
        <v>49</v>
      </c>
      <c r="K1621" s="33">
        <v>9100</v>
      </c>
      <c r="L1621" t="s">
        <v>64</v>
      </c>
      <c r="M1621" t="str">
        <f>_xlfn.XLOOKUP(Pipeline_tbl[[#This Row],[Rep_ID]],Dim_Reps!A:A,Dim_Reps!K:K)</f>
        <v>MXN</v>
      </c>
      <c r="N1621" s="33">
        <f>(_xlfn.XLOOKUP(Pipeline_tbl[[#This Row],[Rate_Code_Generalized]],Lookups!A:A,Lookups!B:B))*Pipeline_tbl[[#This Row],[Pipeline_Amount_USD]]</f>
        <v>179567.57</v>
      </c>
      <c r="O1621" t="str">
        <f>_xlfn.XLOOKUP(Pipeline_tbl[[#This Row],[Rep_ID]],Dim_Reps!A:A,Dim_Reps!B:B)</f>
        <v>Yuki Dubois</v>
      </c>
      <c r="P1621" t="str">
        <f>_xlfn.XLOOKUP(Pipeline_tbl[[#This Row],[Rep_ID]],Dim_Reps!A:A,Dim_Reps!C:C)</f>
        <v>Mid-Market AE</v>
      </c>
      <c r="Q1621" t="str">
        <f>_xlfn.XLOOKUP(Pipeline_tbl[[#This Row],[Rep_ID]],Dim_Reps!A:A,Dim_Reps!D:D)</f>
        <v>Mid-Market</v>
      </c>
      <c r="R1621" t="str">
        <f>_xlfn.XLOOKUP(Pipeline_tbl[[#This Row],[Rep_ID]],Dim_Reps!A:A,Dim_Reps!E:E)</f>
        <v>LATAM</v>
      </c>
      <c r="S1621" t="str">
        <f>_xlfn.XLOOKUP(Pipeline_tbl[[#This Row],[Created_Date]],Dim_Date!A:A,Dim_Date!H:H)</f>
        <v>Nov 2025</v>
      </c>
      <c r="T1621" t="str">
        <f>IF(Pipeline_tbl[[#This Row],[Closed_Date]]=0,"",(_xlfn.XLOOKUP(Pipeline_tbl[[#This Row],[Closed_Date]],Dim_Date!A:A,Dim_Date!H:H)))</f>
        <v>Dec 2025</v>
      </c>
      <c r="U1621">
        <f>IF(Pipeline_tbl[[#This Row],[Closed_Date]]=0,"",Pipeline_tbl[[#This Row],[Closed_Date]]-Pipeline_tbl[[#This Row],[Created_Date]])</f>
        <v>33</v>
      </c>
    </row>
    <row r="1622" spans="1:21" ht="15" customHeight="1" x14ac:dyDescent="0.2">
      <c r="A1622" t="s">
        <v>1928</v>
      </c>
      <c r="B1622" t="s">
        <v>267</v>
      </c>
      <c r="C1622" t="s">
        <v>52</v>
      </c>
      <c r="D1622" s="49">
        <v>45973</v>
      </c>
      <c r="E1622" s="49">
        <v>45976</v>
      </c>
      <c r="F1622" s="49">
        <v>45981</v>
      </c>
      <c r="G1622" s="49">
        <v>45989</v>
      </c>
      <c r="H1622" s="49">
        <v>45996</v>
      </c>
      <c r="I1622" s="49">
        <v>46000</v>
      </c>
      <c r="J1622" t="s">
        <v>47</v>
      </c>
      <c r="K1622" s="33">
        <v>19600</v>
      </c>
      <c r="M1622" t="str">
        <f>_xlfn.XLOOKUP(Pipeline_tbl[[#This Row],[Rep_ID]],Dim_Reps!A:A,Dim_Reps!K:K)</f>
        <v>MXN</v>
      </c>
      <c r="N1622" s="33">
        <f>(_xlfn.XLOOKUP(Pipeline_tbl[[#This Row],[Rate_Code_Generalized]],Lookups!A:A,Lookups!B:B))*Pipeline_tbl[[#This Row],[Pipeline_Amount_USD]]</f>
        <v>386760.92000000004</v>
      </c>
      <c r="O1622" t="str">
        <f>_xlfn.XLOOKUP(Pipeline_tbl[[#This Row],[Rep_ID]],Dim_Reps!A:A,Dim_Reps!B:B)</f>
        <v>Yuki Dubois</v>
      </c>
      <c r="P1622" t="str">
        <f>_xlfn.XLOOKUP(Pipeline_tbl[[#This Row],[Rep_ID]],Dim_Reps!A:A,Dim_Reps!C:C)</f>
        <v>Mid-Market AE</v>
      </c>
      <c r="Q1622" t="str">
        <f>_xlfn.XLOOKUP(Pipeline_tbl[[#This Row],[Rep_ID]],Dim_Reps!A:A,Dim_Reps!D:D)</f>
        <v>Mid-Market</v>
      </c>
      <c r="R1622" t="str">
        <f>_xlfn.XLOOKUP(Pipeline_tbl[[#This Row],[Rep_ID]],Dim_Reps!A:A,Dim_Reps!E:E)</f>
        <v>LATAM</v>
      </c>
      <c r="S1622" t="str">
        <f>_xlfn.XLOOKUP(Pipeline_tbl[[#This Row],[Created_Date]],Dim_Date!A:A,Dim_Date!H:H)</f>
        <v>Nov 2025</v>
      </c>
      <c r="T1622" t="str">
        <f>IF(Pipeline_tbl[[#This Row],[Closed_Date]]=0,"",(_xlfn.XLOOKUP(Pipeline_tbl[[#This Row],[Closed_Date]],Dim_Date!A:A,Dim_Date!H:H)))</f>
        <v>Dec 2025</v>
      </c>
      <c r="U1622">
        <f>IF(Pipeline_tbl[[#This Row],[Closed_Date]]=0,"",Pipeline_tbl[[#This Row],[Closed_Date]]-Pipeline_tbl[[#This Row],[Created_Date]])</f>
        <v>27</v>
      </c>
    </row>
    <row r="1623" spans="1:21" ht="15" customHeight="1" x14ac:dyDescent="0.2">
      <c r="A1623" t="s">
        <v>1929</v>
      </c>
      <c r="B1623" t="s">
        <v>267</v>
      </c>
      <c r="C1623" t="s">
        <v>52</v>
      </c>
      <c r="D1623" s="49">
        <v>45967</v>
      </c>
      <c r="E1623" s="49">
        <v>45971</v>
      </c>
      <c r="F1623" s="49">
        <v>45978</v>
      </c>
      <c r="G1623" s="49">
        <v>45989</v>
      </c>
      <c r="H1623" s="49">
        <v>45998</v>
      </c>
      <c r="I1623" s="49">
        <v>46003</v>
      </c>
      <c r="J1623" t="s">
        <v>47</v>
      </c>
      <c r="K1623" s="33">
        <v>10000</v>
      </c>
      <c r="M1623" t="str">
        <f>_xlfn.XLOOKUP(Pipeline_tbl[[#This Row],[Rep_ID]],Dim_Reps!A:A,Dim_Reps!K:K)</f>
        <v>MXN</v>
      </c>
      <c r="N1623" s="33">
        <f>(_xlfn.XLOOKUP(Pipeline_tbl[[#This Row],[Rate_Code_Generalized]],Lookups!A:A,Lookups!B:B))*Pipeline_tbl[[#This Row],[Pipeline_Amount_USD]]</f>
        <v>197327</v>
      </c>
      <c r="O1623" t="str">
        <f>_xlfn.XLOOKUP(Pipeline_tbl[[#This Row],[Rep_ID]],Dim_Reps!A:A,Dim_Reps!B:B)</f>
        <v>Yuki Dubois</v>
      </c>
      <c r="P1623" t="str">
        <f>_xlfn.XLOOKUP(Pipeline_tbl[[#This Row],[Rep_ID]],Dim_Reps!A:A,Dim_Reps!C:C)</f>
        <v>Mid-Market AE</v>
      </c>
      <c r="Q1623" t="str">
        <f>_xlfn.XLOOKUP(Pipeline_tbl[[#This Row],[Rep_ID]],Dim_Reps!A:A,Dim_Reps!D:D)</f>
        <v>Mid-Market</v>
      </c>
      <c r="R1623" t="str">
        <f>_xlfn.XLOOKUP(Pipeline_tbl[[#This Row],[Rep_ID]],Dim_Reps!A:A,Dim_Reps!E:E)</f>
        <v>LATAM</v>
      </c>
      <c r="S1623" t="str">
        <f>_xlfn.XLOOKUP(Pipeline_tbl[[#This Row],[Created_Date]],Dim_Date!A:A,Dim_Date!H:H)</f>
        <v>Nov 2025</v>
      </c>
      <c r="T1623" t="str">
        <f>IF(Pipeline_tbl[[#This Row],[Closed_Date]]=0,"",(_xlfn.XLOOKUP(Pipeline_tbl[[#This Row],[Closed_Date]],Dim_Date!A:A,Dim_Date!H:H)))</f>
        <v>Dec 2025</v>
      </c>
      <c r="U1623">
        <f>IF(Pipeline_tbl[[#This Row],[Closed_Date]]=0,"",Pipeline_tbl[[#This Row],[Closed_Date]]-Pipeline_tbl[[#This Row],[Created_Date]])</f>
        <v>36</v>
      </c>
    </row>
    <row r="1624" spans="1:21" ht="15" customHeight="1" x14ac:dyDescent="0.2">
      <c r="A1624" t="s">
        <v>1930</v>
      </c>
      <c r="B1624" t="s">
        <v>267</v>
      </c>
      <c r="C1624" t="s">
        <v>53</v>
      </c>
      <c r="D1624" s="49">
        <v>45988</v>
      </c>
      <c r="E1624" s="49">
        <v>45990</v>
      </c>
      <c r="F1624" s="49">
        <v>45994</v>
      </c>
      <c r="G1624" s="49">
        <v>46001</v>
      </c>
      <c r="H1624" s="49">
        <v>46006</v>
      </c>
      <c r="I1624" s="49">
        <v>46009</v>
      </c>
      <c r="J1624" t="s">
        <v>47</v>
      </c>
      <c r="K1624" s="33">
        <v>6500</v>
      </c>
      <c r="M1624" t="str">
        <f>_xlfn.XLOOKUP(Pipeline_tbl[[#This Row],[Rep_ID]],Dim_Reps!A:A,Dim_Reps!K:K)</f>
        <v>MXN</v>
      </c>
      <c r="N1624" s="33">
        <f>(_xlfn.XLOOKUP(Pipeline_tbl[[#This Row],[Rate_Code_Generalized]],Lookups!A:A,Lookups!B:B))*Pipeline_tbl[[#This Row],[Pipeline_Amount_USD]]</f>
        <v>128262.55</v>
      </c>
      <c r="O1624" t="str">
        <f>_xlfn.XLOOKUP(Pipeline_tbl[[#This Row],[Rep_ID]],Dim_Reps!A:A,Dim_Reps!B:B)</f>
        <v>Yuki Dubois</v>
      </c>
      <c r="P1624" t="str">
        <f>_xlfn.XLOOKUP(Pipeline_tbl[[#This Row],[Rep_ID]],Dim_Reps!A:A,Dim_Reps!C:C)</f>
        <v>Mid-Market AE</v>
      </c>
      <c r="Q1624" t="str">
        <f>_xlfn.XLOOKUP(Pipeline_tbl[[#This Row],[Rep_ID]],Dim_Reps!A:A,Dim_Reps!D:D)</f>
        <v>Mid-Market</v>
      </c>
      <c r="R1624" t="str">
        <f>_xlfn.XLOOKUP(Pipeline_tbl[[#This Row],[Rep_ID]],Dim_Reps!A:A,Dim_Reps!E:E)</f>
        <v>LATAM</v>
      </c>
      <c r="S1624" t="str">
        <f>_xlfn.XLOOKUP(Pipeline_tbl[[#This Row],[Created_Date]],Dim_Date!A:A,Dim_Date!H:H)</f>
        <v>Nov 2025</v>
      </c>
      <c r="T1624" t="str">
        <f>IF(Pipeline_tbl[[#This Row],[Closed_Date]]=0,"",(_xlfn.XLOOKUP(Pipeline_tbl[[#This Row],[Closed_Date]],Dim_Date!A:A,Dim_Date!H:H)))</f>
        <v>Dec 2025</v>
      </c>
      <c r="U1624">
        <f>IF(Pipeline_tbl[[#This Row],[Closed_Date]]=0,"",Pipeline_tbl[[#This Row],[Closed_Date]]-Pipeline_tbl[[#This Row],[Created_Date]])</f>
        <v>21</v>
      </c>
    </row>
    <row r="1625" spans="1:21" ht="15" customHeight="1" x14ac:dyDescent="0.2">
      <c r="A1625" t="s">
        <v>1931</v>
      </c>
      <c r="B1625" t="s">
        <v>267</v>
      </c>
      <c r="C1625" t="s">
        <v>53</v>
      </c>
      <c r="D1625" s="49">
        <v>45970</v>
      </c>
      <c r="E1625" s="49">
        <v>45974</v>
      </c>
      <c r="F1625" s="49">
        <v>45983</v>
      </c>
      <c r="G1625" s="49">
        <v>45996</v>
      </c>
      <c r="H1625" s="49">
        <v>46007</v>
      </c>
      <c r="I1625" s="49">
        <v>46013</v>
      </c>
      <c r="J1625" t="s">
        <v>49</v>
      </c>
      <c r="K1625" s="33">
        <v>10300</v>
      </c>
      <c r="L1625" t="s">
        <v>63</v>
      </c>
      <c r="M1625" t="str">
        <f>_xlfn.XLOOKUP(Pipeline_tbl[[#This Row],[Rep_ID]],Dim_Reps!A:A,Dim_Reps!K:K)</f>
        <v>MXN</v>
      </c>
      <c r="N1625" s="33">
        <f>(_xlfn.XLOOKUP(Pipeline_tbl[[#This Row],[Rate_Code_Generalized]],Lookups!A:A,Lookups!B:B))*Pipeline_tbl[[#This Row],[Pipeline_Amount_USD]]</f>
        <v>203246.81000000003</v>
      </c>
      <c r="O1625" t="str">
        <f>_xlfn.XLOOKUP(Pipeline_tbl[[#This Row],[Rep_ID]],Dim_Reps!A:A,Dim_Reps!B:B)</f>
        <v>Yuki Dubois</v>
      </c>
      <c r="P1625" t="str">
        <f>_xlfn.XLOOKUP(Pipeline_tbl[[#This Row],[Rep_ID]],Dim_Reps!A:A,Dim_Reps!C:C)</f>
        <v>Mid-Market AE</v>
      </c>
      <c r="Q1625" t="str">
        <f>_xlfn.XLOOKUP(Pipeline_tbl[[#This Row],[Rep_ID]],Dim_Reps!A:A,Dim_Reps!D:D)</f>
        <v>Mid-Market</v>
      </c>
      <c r="R1625" t="str">
        <f>_xlfn.XLOOKUP(Pipeline_tbl[[#This Row],[Rep_ID]],Dim_Reps!A:A,Dim_Reps!E:E)</f>
        <v>LATAM</v>
      </c>
      <c r="S1625" t="str">
        <f>_xlfn.XLOOKUP(Pipeline_tbl[[#This Row],[Created_Date]],Dim_Date!A:A,Dim_Date!H:H)</f>
        <v>Nov 2025</v>
      </c>
      <c r="T1625" t="str">
        <f>IF(Pipeline_tbl[[#This Row],[Closed_Date]]=0,"",(_xlfn.XLOOKUP(Pipeline_tbl[[#This Row],[Closed_Date]],Dim_Date!A:A,Dim_Date!H:H)))</f>
        <v>Dec 2025</v>
      </c>
      <c r="U1625">
        <f>IF(Pipeline_tbl[[#This Row],[Closed_Date]]=0,"",Pipeline_tbl[[#This Row],[Closed_Date]]-Pipeline_tbl[[#This Row],[Created_Date]])</f>
        <v>43</v>
      </c>
    </row>
    <row r="1626" spans="1:21" ht="15" customHeight="1" x14ac:dyDescent="0.2">
      <c r="A1626" t="s">
        <v>1932</v>
      </c>
      <c r="B1626" t="s">
        <v>235</v>
      </c>
      <c r="C1626" t="s">
        <v>55</v>
      </c>
      <c r="D1626" s="49">
        <v>45986</v>
      </c>
      <c r="E1626" s="49">
        <v>45988</v>
      </c>
      <c r="F1626" s="49">
        <v>45991</v>
      </c>
      <c r="G1626" s="49">
        <v>45996</v>
      </c>
      <c r="H1626" s="49">
        <v>46000</v>
      </c>
      <c r="I1626" s="49">
        <v>46003</v>
      </c>
      <c r="J1626" t="s">
        <v>49</v>
      </c>
      <c r="K1626" s="33">
        <v>2500</v>
      </c>
      <c r="L1626" t="s">
        <v>61</v>
      </c>
      <c r="M1626" t="str">
        <f>_xlfn.XLOOKUP(Pipeline_tbl[[#This Row],[Rep_ID]],Dim_Reps!A:A,Dim_Reps!K:K)</f>
        <v>MXN</v>
      </c>
      <c r="N1626" s="33">
        <f>(_xlfn.XLOOKUP(Pipeline_tbl[[#This Row],[Rate_Code_Generalized]],Lookups!A:A,Lookups!B:B))*Pipeline_tbl[[#This Row],[Pipeline_Amount_USD]]</f>
        <v>49331.75</v>
      </c>
      <c r="O1626" t="str">
        <f>_xlfn.XLOOKUP(Pipeline_tbl[[#This Row],[Rep_ID]],Dim_Reps!A:A,Dim_Reps!B:B)</f>
        <v>Milo Castro</v>
      </c>
      <c r="P1626" t="str">
        <f>_xlfn.XLOOKUP(Pipeline_tbl[[#This Row],[Rep_ID]],Dim_Reps!A:A,Dim_Reps!C:C)</f>
        <v>SDR / Inside Sales Rep</v>
      </c>
      <c r="Q1626" t="str">
        <f>_xlfn.XLOOKUP(Pipeline_tbl[[#This Row],[Rep_ID]],Dim_Reps!A:A,Dim_Reps!D:D)</f>
        <v>Inside Sales</v>
      </c>
      <c r="R1626" t="str">
        <f>_xlfn.XLOOKUP(Pipeline_tbl[[#This Row],[Rep_ID]],Dim_Reps!A:A,Dim_Reps!E:E)</f>
        <v>LATAM</v>
      </c>
      <c r="S1626" t="str">
        <f>_xlfn.XLOOKUP(Pipeline_tbl[[#This Row],[Created_Date]],Dim_Date!A:A,Dim_Date!H:H)</f>
        <v>Nov 2025</v>
      </c>
      <c r="T1626" t="str">
        <f>IF(Pipeline_tbl[[#This Row],[Closed_Date]]=0,"",(_xlfn.XLOOKUP(Pipeline_tbl[[#This Row],[Closed_Date]],Dim_Date!A:A,Dim_Date!H:H)))</f>
        <v>Dec 2025</v>
      </c>
      <c r="U1626">
        <f>IF(Pipeline_tbl[[#This Row],[Closed_Date]]=0,"",Pipeline_tbl[[#This Row],[Closed_Date]]-Pipeline_tbl[[#This Row],[Created_Date]])</f>
        <v>17</v>
      </c>
    </row>
    <row r="1627" spans="1:21" ht="15" customHeight="1" x14ac:dyDescent="0.2">
      <c r="A1627" t="s">
        <v>1933</v>
      </c>
      <c r="B1627" t="s">
        <v>235</v>
      </c>
      <c r="C1627" t="s">
        <v>54</v>
      </c>
      <c r="D1627" s="49">
        <v>45987</v>
      </c>
      <c r="E1627" s="49">
        <v>45989</v>
      </c>
      <c r="F1627" s="49">
        <v>45992</v>
      </c>
      <c r="G1627" s="49">
        <v>45998</v>
      </c>
      <c r="I1627" s="49">
        <v>46005</v>
      </c>
      <c r="J1627" t="s">
        <v>49</v>
      </c>
      <c r="K1627" s="33">
        <v>4900</v>
      </c>
      <c r="L1627" t="s">
        <v>62</v>
      </c>
      <c r="M1627" t="str">
        <f>_xlfn.XLOOKUP(Pipeline_tbl[[#This Row],[Rep_ID]],Dim_Reps!A:A,Dim_Reps!K:K)</f>
        <v>MXN</v>
      </c>
      <c r="N1627" s="33">
        <f>(_xlfn.XLOOKUP(Pipeline_tbl[[#This Row],[Rate_Code_Generalized]],Lookups!A:A,Lookups!B:B))*Pipeline_tbl[[#This Row],[Pipeline_Amount_USD]]</f>
        <v>96690.23000000001</v>
      </c>
      <c r="O1627" t="str">
        <f>_xlfn.XLOOKUP(Pipeline_tbl[[#This Row],[Rep_ID]],Dim_Reps!A:A,Dim_Reps!B:B)</f>
        <v>Milo Castro</v>
      </c>
      <c r="P1627" t="str">
        <f>_xlfn.XLOOKUP(Pipeline_tbl[[#This Row],[Rep_ID]],Dim_Reps!A:A,Dim_Reps!C:C)</f>
        <v>SDR / Inside Sales Rep</v>
      </c>
      <c r="Q1627" t="str">
        <f>_xlfn.XLOOKUP(Pipeline_tbl[[#This Row],[Rep_ID]],Dim_Reps!A:A,Dim_Reps!D:D)</f>
        <v>Inside Sales</v>
      </c>
      <c r="R1627" t="str">
        <f>_xlfn.XLOOKUP(Pipeline_tbl[[#This Row],[Rep_ID]],Dim_Reps!A:A,Dim_Reps!E:E)</f>
        <v>LATAM</v>
      </c>
      <c r="S1627" t="str">
        <f>_xlfn.XLOOKUP(Pipeline_tbl[[#This Row],[Created_Date]],Dim_Date!A:A,Dim_Date!H:H)</f>
        <v>Nov 2025</v>
      </c>
      <c r="T1627" t="str">
        <f>IF(Pipeline_tbl[[#This Row],[Closed_Date]]=0,"",(_xlfn.XLOOKUP(Pipeline_tbl[[#This Row],[Closed_Date]],Dim_Date!A:A,Dim_Date!H:H)))</f>
        <v>Dec 2025</v>
      </c>
      <c r="U1627">
        <f>IF(Pipeline_tbl[[#This Row],[Closed_Date]]=0,"",Pipeline_tbl[[#This Row],[Closed_Date]]-Pipeline_tbl[[#This Row],[Created_Date]])</f>
        <v>18</v>
      </c>
    </row>
    <row r="1628" spans="1:21" ht="15" customHeight="1" x14ac:dyDescent="0.2">
      <c r="A1628" t="s">
        <v>1934</v>
      </c>
      <c r="B1628" t="s">
        <v>235</v>
      </c>
      <c r="C1628" t="s">
        <v>53</v>
      </c>
      <c r="D1628" s="49">
        <v>45986</v>
      </c>
      <c r="E1628" s="49">
        <v>45988</v>
      </c>
      <c r="F1628" s="49">
        <v>45991</v>
      </c>
      <c r="I1628" s="49">
        <v>46003</v>
      </c>
      <c r="J1628" t="s">
        <v>49</v>
      </c>
      <c r="K1628" s="33">
        <v>3300</v>
      </c>
      <c r="L1628" t="s">
        <v>63</v>
      </c>
      <c r="M1628" t="str">
        <f>_xlfn.XLOOKUP(Pipeline_tbl[[#This Row],[Rep_ID]],Dim_Reps!A:A,Dim_Reps!K:K)</f>
        <v>MXN</v>
      </c>
      <c r="N1628" s="33">
        <f>(_xlfn.XLOOKUP(Pipeline_tbl[[#This Row],[Rate_Code_Generalized]],Lookups!A:A,Lookups!B:B))*Pipeline_tbl[[#This Row],[Pipeline_Amount_USD]]</f>
        <v>65117.91</v>
      </c>
      <c r="O1628" t="str">
        <f>_xlfn.XLOOKUP(Pipeline_tbl[[#This Row],[Rep_ID]],Dim_Reps!A:A,Dim_Reps!B:B)</f>
        <v>Milo Castro</v>
      </c>
      <c r="P1628" t="str">
        <f>_xlfn.XLOOKUP(Pipeline_tbl[[#This Row],[Rep_ID]],Dim_Reps!A:A,Dim_Reps!C:C)</f>
        <v>SDR / Inside Sales Rep</v>
      </c>
      <c r="Q1628" t="str">
        <f>_xlfn.XLOOKUP(Pipeline_tbl[[#This Row],[Rep_ID]],Dim_Reps!A:A,Dim_Reps!D:D)</f>
        <v>Inside Sales</v>
      </c>
      <c r="R1628" t="str">
        <f>_xlfn.XLOOKUP(Pipeline_tbl[[#This Row],[Rep_ID]],Dim_Reps!A:A,Dim_Reps!E:E)</f>
        <v>LATAM</v>
      </c>
      <c r="S1628" t="str">
        <f>_xlfn.XLOOKUP(Pipeline_tbl[[#This Row],[Created_Date]],Dim_Date!A:A,Dim_Date!H:H)</f>
        <v>Nov 2025</v>
      </c>
      <c r="T1628" t="str">
        <f>IF(Pipeline_tbl[[#This Row],[Closed_Date]]=0,"",(_xlfn.XLOOKUP(Pipeline_tbl[[#This Row],[Closed_Date]],Dim_Date!A:A,Dim_Date!H:H)))</f>
        <v>Dec 2025</v>
      </c>
      <c r="U1628">
        <f>IF(Pipeline_tbl[[#This Row],[Closed_Date]]=0,"",Pipeline_tbl[[#This Row],[Closed_Date]]-Pipeline_tbl[[#This Row],[Created_Date]])</f>
        <v>17</v>
      </c>
    </row>
    <row r="1629" spans="1:21" ht="15" customHeight="1" x14ac:dyDescent="0.2">
      <c r="A1629" t="s">
        <v>1935</v>
      </c>
      <c r="B1629" t="s">
        <v>235</v>
      </c>
      <c r="C1629" t="s">
        <v>53</v>
      </c>
      <c r="D1629" s="49">
        <v>45986</v>
      </c>
      <c r="E1629" s="49">
        <v>45988</v>
      </c>
      <c r="F1629" s="49">
        <v>45991</v>
      </c>
      <c r="G1629" s="49">
        <v>45997</v>
      </c>
      <c r="H1629" s="49">
        <v>46001</v>
      </c>
      <c r="I1629" s="49">
        <v>46004</v>
      </c>
      <c r="J1629" t="s">
        <v>47</v>
      </c>
      <c r="K1629" s="33">
        <v>5200</v>
      </c>
      <c r="M1629" t="str">
        <f>_xlfn.XLOOKUP(Pipeline_tbl[[#This Row],[Rep_ID]],Dim_Reps!A:A,Dim_Reps!K:K)</f>
        <v>MXN</v>
      </c>
      <c r="N1629" s="33">
        <f>(_xlfn.XLOOKUP(Pipeline_tbl[[#This Row],[Rate_Code_Generalized]],Lookups!A:A,Lookups!B:B))*Pipeline_tbl[[#This Row],[Pipeline_Amount_USD]]</f>
        <v>102610.04000000001</v>
      </c>
      <c r="O1629" t="str">
        <f>_xlfn.XLOOKUP(Pipeline_tbl[[#This Row],[Rep_ID]],Dim_Reps!A:A,Dim_Reps!B:B)</f>
        <v>Milo Castro</v>
      </c>
      <c r="P1629" t="str">
        <f>_xlfn.XLOOKUP(Pipeline_tbl[[#This Row],[Rep_ID]],Dim_Reps!A:A,Dim_Reps!C:C)</f>
        <v>SDR / Inside Sales Rep</v>
      </c>
      <c r="Q1629" t="str">
        <f>_xlfn.XLOOKUP(Pipeline_tbl[[#This Row],[Rep_ID]],Dim_Reps!A:A,Dim_Reps!D:D)</f>
        <v>Inside Sales</v>
      </c>
      <c r="R1629" t="str">
        <f>_xlfn.XLOOKUP(Pipeline_tbl[[#This Row],[Rep_ID]],Dim_Reps!A:A,Dim_Reps!E:E)</f>
        <v>LATAM</v>
      </c>
      <c r="S1629" t="str">
        <f>_xlfn.XLOOKUP(Pipeline_tbl[[#This Row],[Created_Date]],Dim_Date!A:A,Dim_Date!H:H)</f>
        <v>Nov 2025</v>
      </c>
      <c r="T1629" t="str">
        <f>IF(Pipeline_tbl[[#This Row],[Closed_Date]]=0,"",(_xlfn.XLOOKUP(Pipeline_tbl[[#This Row],[Closed_Date]],Dim_Date!A:A,Dim_Date!H:H)))</f>
        <v>Dec 2025</v>
      </c>
      <c r="U1629">
        <f>IF(Pipeline_tbl[[#This Row],[Closed_Date]]=0,"",Pipeline_tbl[[#This Row],[Closed_Date]]-Pipeline_tbl[[#This Row],[Created_Date]])</f>
        <v>18</v>
      </c>
    </row>
    <row r="1630" spans="1:21" ht="15" customHeight="1" x14ac:dyDescent="0.2">
      <c r="A1630" t="s">
        <v>1936</v>
      </c>
      <c r="B1630" t="s">
        <v>235</v>
      </c>
      <c r="C1630" t="s">
        <v>53</v>
      </c>
      <c r="D1630" s="49">
        <v>45982</v>
      </c>
      <c r="E1630" s="49">
        <v>45984</v>
      </c>
      <c r="F1630" s="49">
        <v>45989</v>
      </c>
      <c r="I1630" s="49">
        <v>46004</v>
      </c>
      <c r="J1630" t="s">
        <v>49</v>
      </c>
      <c r="K1630" s="33">
        <v>6600</v>
      </c>
      <c r="L1630" t="s">
        <v>60</v>
      </c>
      <c r="M1630" t="str">
        <f>_xlfn.XLOOKUP(Pipeline_tbl[[#This Row],[Rep_ID]],Dim_Reps!A:A,Dim_Reps!K:K)</f>
        <v>MXN</v>
      </c>
      <c r="N1630" s="33">
        <f>(_xlfn.XLOOKUP(Pipeline_tbl[[#This Row],[Rate_Code_Generalized]],Lookups!A:A,Lookups!B:B))*Pipeline_tbl[[#This Row],[Pipeline_Amount_USD]]</f>
        <v>130235.82</v>
      </c>
      <c r="O1630" t="str">
        <f>_xlfn.XLOOKUP(Pipeline_tbl[[#This Row],[Rep_ID]],Dim_Reps!A:A,Dim_Reps!B:B)</f>
        <v>Milo Castro</v>
      </c>
      <c r="P1630" t="str">
        <f>_xlfn.XLOOKUP(Pipeline_tbl[[#This Row],[Rep_ID]],Dim_Reps!A:A,Dim_Reps!C:C)</f>
        <v>SDR / Inside Sales Rep</v>
      </c>
      <c r="Q1630" t="str">
        <f>_xlfn.XLOOKUP(Pipeline_tbl[[#This Row],[Rep_ID]],Dim_Reps!A:A,Dim_Reps!D:D)</f>
        <v>Inside Sales</v>
      </c>
      <c r="R1630" t="str">
        <f>_xlfn.XLOOKUP(Pipeline_tbl[[#This Row],[Rep_ID]],Dim_Reps!A:A,Dim_Reps!E:E)</f>
        <v>LATAM</v>
      </c>
      <c r="S1630" t="str">
        <f>_xlfn.XLOOKUP(Pipeline_tbl[[#This Row],[Created_Date]],Dim_Date!A:A,Dim_Date!H:H)</f>
        <v>Nov 2025</v>
      </c>
      <c r="T1630" t="str">
        <f>IF(Pipeline_tbl[[#This Row],[Closed_Date]]=0,"",(_xlfn.XLOOKUP(Pipeline_tbl[[#This Row],[Closed_Date]],Dim_Date!A:A,Dim_Date!H:H)))</f>
        <v>Dec 2025</v>
      </c>
      <c r="U1630">
        <f>IF(Pipeline_tbl[[#This Row],[Closed_Date]]=0,"",Pipeline_tbl[[#This Row],[Closed_Date]]-Pipeline_tbl[[#This Row],[Created_Date]])</f>
        <v>22</v>
      </c>
    </row>
    <row r="1631" spans="1:21" ht="15" customHeight="1" x14ac:dyDescent="0.2">
      <c r="A1631" t="s">
        <v>1937</v>
      </c>
      <c r="B1631" t="s">
        <v>235</v>
      </c>
      <c r="C1631" t="s">
        <v>56</v>
      </c>
      <c r="D1631" s="49">
        <v>45974</v>
      </c>
      <c r="E1631" s="49">
        <v>45977</v>
      </c>
      <c r="F1631" s="49">
        <v>45983</v>
      </c>
      <c r="G1631" s="49">
        <v>45991</v>
      </c>
      <c r="I1631" s="49">
        <v>46003</v>
      </c>
      <c r="J1631" t="s">
        <v>49</v>
      </c>
      <c r="K1631" s="33">
        <v>2400</v>
      </c>
      <c r="L1631" t="s">
        <v>60</v>
      </c>
      <c r="M1631" t="str">
        <f>_xlfn.XLOOKUP(Pipeline_tbl[[#This Row],[Rep_ID]],Dim_Reps!A:A,Dim_Reps!K:K)</f>
        <v>MXN</v>
      </c>
      <c r="N1631" s="33">
        <f>(_xlfn.XLOOKUP(Pipeline_tbl[[#This Row],[Rate_Code_Generalized]],Lookups!A:A,Lookups!B:B))*Pipeline_tbl[[#This Row],[Pipeline_Amount_USD]]</f>
        <v>47358.48</v>
      </c>
      <c r="O1631" t="str">
        <f>_xlfn.XLOOKUP(Pipeline_tbl[[#This Row],[Rep_ID]],Dim_Reps!A:A,Dim_Reps!B:B)</f>
        <v>Milo Castro</v>
      </c>
      <c r="P1631" t="str">
        <f>_xlfn.XLOOKUP(Pipeline_tbl[[#This Row],[Rep_ID]],Dim_Reps!A:A,Dim_Reps!C:C)</f>
        <v>SDR / Inside Sales Rep</v>
      </c>
      <c r="Q1631" t="str">
        <f>_xlfn.XLOOKUP(Pipeline_tbl[[#This Row],[Rep_ID]],Dim_Reps!A:A,Dim_Reps!D:D)</f>
        <v>Inside Sales</v>
      </c>
      <c r="R1631" t="str">
        <f>_xlfn.XLOOKUP(Pipeline_tbl[[#This Row],[Rep_ID]],Dim_Reps!A:A,Dim_Reps!E:E)</f>
        <v>LATAM</v>
      </c>
      <c r="S1631" t="str">
        <f>_xlfn.XLOOKUP(Pipeline_tbl[[#This Row],[Created_Date]],Dim_Date!A:A,Dim_Date!H:H)</f>
        <v>Nov 2025</v>
      </c>
      <c r="T1631" t="str">
        <f>IF(Pipeline_tbl[[#This Row],[Closed_Date]]=0,"",(_xlfn.XLOOKUP(Pipeline_tbl[[#This Row],[Closed_Date]],Dim_Date!A:A,Dim_Date!H:H)))</f>
        <v>Dec 2025</v>
      </c>
      <c r="U1631">
        <f>IF(Pipeline_tbl[[#This Row],[Closed_Date]]=0,"",Pipeline_tbl[[#This Row],[Closed_Date]]-Pipeline_tbl[[#This Row],[Created_Date]])</f>
        <v>29</v>
      </c>
    </row>
    <row r="1632" spans="1:21" ht="15" customHeight="1" x14ac:dyDescent="0.2">
      <c r="A1632" t="s">
        <v>1938</v>
      </c>
      <c r="B1632" t="s">
        <v>235</v>
      </c>
      <c r="C1632" t="s">
        <v>53</v>
      </c>
      <c r="D1632" s="49">
        <v>45975</v>
      </c>
      <c r="E1632" s="49">
        <v>45977</v>
      </c>
      <c r="F1632" s="49">
        <v>45980</v>
      </c>
      <c r="G1632" s="49">
        <v>45986</v>
      </c>
      <c r="H1632" s="49">
        <v>45990</v>
      </c>
      <c r="I1632" s="49">
        <v>45993</v>
      </c>
      <c r="J1632" t="s">
        <v>47</v>
      </c>
      <c r="K1632" s="33">
        <v>5100</v>
      </c>
      <c r="M1632" t="str">
        <f>_xlfn.XLOOKUP(Pipeline_tbl[[#This Row],[Rep_ID]],Dim_Reps!A:A,Dim_Reps!K:K)</f>
        <v>MXN</v>
      </c>
      <c r="N1632" s="33">
        <f>(_xlfn.XLOOKUP(Pipeline_tbl[[#This Row],[Rate_Code_Generalized]],Lookups!A:A,Lookups!B:B))*Pipeline_tbl[[#This Row],[Pipeline_Amount_USD]]</f>
        <v>100636.77</v>
      </c>
      <c r="O1632" t="str">
        <f>_xlfn.XLOOKUP(Pipeline_tbl[[#This Row],[Rep_ID]],Dim_Reps!A:A,Dim_Reps!B:B)</f>
        <v>Milo Castro</v>
      </c>
      <c r="P1632" t="str">
        <f>_xlfn.XLOOKUP(Pipeline_tbl[[#This Row],[Rep_ID]],Dim_Reps!A:A,Dim_Reps!C:C)</f>
        <v>SDR / Inside Sales Rep</v>
      </c>
      <c r="Q1632" t="str">
        <f>_xlfn.XLOOKUP(Pipeline_tbl[[#This Row],[Rep_ID]],Dim_Reps!A:A,Dim_Reps!D:D)</f>
        <v>Inside Sales</v>
      </c>
      <c r="R1632" t="str">
        <f>_xlfn.XLOOKUP(Pipeline_tbl[[#This Row],[Rep_ID]],Dim_Reps!A:A,Dim_Reps!E:E)</f>
        <v>LATAM</v>
      </c>
      <c r="S1632" t="str">
        <f>_xlfn.XLOOKUP(Pipeline_tbl[[#This Row],[Created_Date]],Dim_Date!A:A,Dim_Date!H:H)</f>
        <v>Nov 2025</v>
      </c>
      <c r="T1632" t="str">
        <f>IF(Pipeline_tbl[[#This Row],[Closed_Date]]=0,"",(_xlfn.XLOOKUP(Pipeline_tbl[[#This Row],[Closed_Date]],Dim_Date!A:A,Dim_Date!H:H)))</f>
        <v>Dec 2025</v>
      </c>
      <c r="U1632">
        <f>IF(Pipeline_tbl[[#This Row],[Closed_Date]]=0,"",Pipeline_tbl[[#This Row],[Closed_Date]]-Pipeline_tbl[[#This Row],[Created_Date]])</f>
        <v>18</v>
      </c>
    </row>
    <row r="1633" spans="1:21" ht="15" customHeight="1" x14ac:dyDescent="0.2">
      <c r="A1633" t="s">
        <v>1939</v>
      </c>
      <c r="B1633" t="s">
        <v>235</v>
      </c>
      <c r="C1633" t="s">
        <v>54</v>
      </c>
      <c r="D1633" s="49">
        <v>45979</v>
      </c>
      <c r="E1633" s="49">
        <v>45981</v>
      </c>
      <c r="F1633" s="49">
        <v>45984</v>
      </c>
      <c r="G1633" s="49">
        <v>45990</v>
      </c>
      <c r="H1633" s="49">
        <v>45994</v>
      </c>
      <c r="I1633" s="49">
        <v>45997</v>
      </c>
      <c r="J1633" t="s">
        <v>47</v>
      </c>
      <c r="K1633" s="33">
        <v>8100</v>
      </c>
      <c r="M1633" t="str">
        <f>_xlfn.XLOOKUP(Pipeline_tbl[[#This Row],[Rep_ID]],Dim_Reps!A:A,Dim_Reps!K:K)</f>
        <v>MXN</v>
      </c>
      <c r="N1633" s="33">
        <f>(_xlfn.XLOOKUP(Pipeline_tbl[[#This Row],[Rate_Code_Generalized]],Lookups!A:A,Lookups!B:B))*Pipeline_tbl[[#This Row],[Pipeline_Amount_USD]]</f>
        <v>159834.87000000002</v>
      </c>
      <c r="O1633" t="str">
        <f>_xlfn.XLOOKUP(Pipeline_tbl[[#This Row],[Rep_ID]],Dim_Reps!A:A,Dim_Reps!B:B)</f>
        <v>Milo Castro</v>
      </c>
      <c r="P1633" t="str">
        <f>_xlfn.XLOOKUP(Pipeline_tbl[[#This Row],[Rep_ID]],Dim_Reps!A:A,Dim_Reps!C:C)</f>
        <v>SDR / Inside Sales Rep</v>
      </c>
      <c r="Q1633" t="str">
        <f>_xlfn.XLOOKUP(Pipeline_tbl[[#This Row],[Rep_ID]],Dim_Reps!A:A,Dim_Reps!D:D)</f>
        <v>Inside Sales</v>
      </c>
      <c r="R1633" t="str">
        <f>_xlfn.XLOOKUP(Pipeline_tbl[[#This Row],[Rep_ID]],Dim_Reps!A:A,Dim_Reps!E:E)</f>
        <v>LATAM</v>
      </c>
      <c r="S1633" t="str">
        <f>_xlfn.XLOOKUP(Pipeline_tbl[[#This Row],[Created_Date]],Dim_Date!A:A,Dim_Date!H:H)</f>
        <v>Nov 2025</v>
      </c>
      <c r="T1633" t="str">
        <f>IF(Pipeline_tbl[[#This Row],[Closed_Date]]=0,"",(_xlfn.XLOOKUP(Pipeline_tbl[[#This Row],[Closed_Date]],Dim_Date!A:A,Dim_Date!H:H)))</f>
        <v>Dec 2025</v>
      </c>
      <c r="U1633">
        <f>IF(Pipeline_tbl[[#This Row],[Closed_Date]]=0,"",Pipeline_tbl[[#This Row],[Closed_Date]]-Pipeline_tbl[[#This Row],[Created_Date]])</f>
        <v>18</v>
      </c>
    </row>
    <row r="1634" spans="1:21" ht="15" customHeight="1" x14ac:dyDescent="0.2">
      <c r="A1634" t="s">
        <v>1940</v>
      </c>
      <c r="B1634" t="s">
        <v>237</v>
      </c>
      <c r="C1634" t="s">
        <v>53</v>
      </c>
      <c r="D1634" s="49">
        <v>45983</v>
      </c>
      <c r="E1634" s="49">
        <v>45984</v>
      </c>
      <c r="F1634" s="49">
        <v>45987</v>
      </c>
      <c r="G1634" s="49">
        <v>45991</v>
      </c>
      <c r="H1634" s="49">
        <v>45995</v>
      </c>
      <c r="I1634" s="49">
        <v>45997</v>
      </c>
      <c r="J1634" t="s">
        <v>47</v>
      </c>
      <c r="K1634" s="33">
        <v>2800</v>
      </c>
      <c r="M1634" t="str">
        <f>_xlfn.XLOOKUP(Pipeline_tbl[[#This Row],[Rep_ID]],Dim_Reps!A:A,Dim_Reps!K:K)</f>
        <v>EUR</v>
      </c>
      <c r="N1634" s="33">
        <f>(_xlfn.XLOOKUP(Pipeline_tbl[[#This Row],[Rate_Code_Generalized]],Lookups!A:A,Lookups!B:B))*Pipeline_tbl[[#This Row],[Pipeline_Amount_USD]]</f>
        <v>2800</v>
      </c>
      <c r="O1634" t="str">
        <f>_xlfn.XLOOKUP(Pipeline_tbl[[#This Row],[Rep_ID]],Dim_Reps!A:A,Dim_Reps!B:B)</f>
        <v>Hugo Santos</v>
      </c>
      <c r="P1634" t="str">
        <f>_xlfn.XLOOKUP(Pipeline_tbl[[#This Row],[Rep_ID]],Dim_Reps!A:A,Dim_Reps!C:C)</f>
        <v>SDR / Inside Sales Rep</v>
      </c>
      <c r="Q1634" t="str">
        <f>_xlfn.XLOOKUP(Pipeline_tbl[[#This Row],[Rep_ID]],Dim_Reps!A:A,Dim_Reps!D:D)</f>
        <v>Inside Sales</v>
      </c>
      <c r="R1634" t="str">
        <f>_xlfn.XLOOKUP(Pipeline_tbl[[#This Row],[Rep_ID]],Dim_Reps!A:A,Dim_Reps!E:E)</f>
        <v>EMEA</v>
      </c>
      <c r="S1634" t="str">
        <f>_xlfn.XLOOKUP(Pipeline_tbl[[#This Row],[Created_Date]],Dim_Date!A:A,Dim_Date!H:H)</f>
        <v>Nov 2025</v>
      </c>
      <c r="T1634" t="str">
        <f>IF(Pipeline_tbl[[#This Row],[Closed_Date]]=0,"",(_xlfn.XLOOKUP(Pipeline_tbl[[#This Row],[Closed_Date]],Dim_Date!A:A,Dim_Date!H:H)))</f>
        <v>Dec 2025</v>
      </c>
      <c r="U1634">
        <f>IF(Pipeline_tbl[[#This Row],[Closed_Date]]=0,"",Pipeline_tbl[[#This Row],[Closed_Date]]-Pipeline_tbl[[#This Row],[Created_Date]])</f>
        <v>14</v>
      </c>
    </row>
    <row r="1635" spans="1:21" ht="15" customHeight="1" x14ac:dyDescent="0.2">
      <c r="A1635" t="s">
        <v>1941</v>
      </c>
      <c r="B1635" t="s">
        <v>237</v>
      </c>
      <c r="C1635" t="s">
        <v>52</v>
      </c>
      <c r="D1635" s="49">
        <v>45985</v>
      </c>
      <c r="E1635" s="49">
        <v>45986</v>
      </c>
      <c r="F1635" s="49">
        <v>45988</v>
      </c>
      <c r="G1635" s="49">
        <v>45990</v>
      </c>
      <c r="H1635" s="49">
        <v>45993</v>
      </c>
      <c r="I1635" s="49">
        <v>45994</v>
      </c>
      <c r="J1635" t="s">
        <v>49</v>
      </c>
      <c r="K1635" s="33">
        <v>4900</v>
      </c>
      <c r="L1635" t="s">
        <v>60</v>
      </c>
      <c r="M1635" t="str">
        <f>_xlfn.XLOOKUP(Pipeline_tbl[[#This Row],[Rep_ID]],Dim_Reps!A:A,Dim_Reps!K:K)</f>
        <v>EUR</v>
      </c>
      <c r="N1635" s="33">
        <f>(_xlfn.XLOOKUP(Pipeline_tbl[[#This Row],[Rate_Code_Generalized]],Lookups!A:A,Lookups!B:B))*Pipeline_tbl[[#This Row],[Pipeline_Amount_USD]]</f>
        <v>4900</v>
      </c>
      <c r="O1635" t="str">
        <f>_xlfn.XLOOKUP(Pipeline_tbl[[#This Row],[Rep_ID]],Dim_Reps!A:A,Dim_Reps!B:B)</f>
        <v>Hugo Santos</v>
      </c>
      <c r="P1635" t="str">
        <f>_xlfn.XLOOKUP(Pipeline_tbl[[#This Row],[Rep_ID]],Dim_Reps!A:A,Dim_Reps!C:C)</f>
        <v>SDR / Inside Sales Rep</v>
      </c>
      <c r="Q1635" t="str">
        <f>_xlfn.XLOOKUP(Pipeline_tbl[[#This Row],[Rep_ID]],Dim_Reps!A:A,Dim_Reps!D:D)</f>
        <v>Inside Sales</v>
      </c>
      <c r="R1635" t="str">
        <f>_xlfn.XLOOKUP(Pipeline_tbl[[#This Row],[Rep_ID]],Dim_Reps!A:A,Dim_Reps!E:E)</f>
        <v>EMEA</v>
      </c>
      <c r="S1635" t="str">
        <f>_xlfn.XLOOKUP(Pipeline_tbl[[#This Row],[Created_Date]],Dim_Date!A:A,Dim_Date!H:H)</f>
        <v>Nov 2025</v>
      </c>
      <c r="T1635" t="str">
        <f>IF(Pipeline_tbl[[#This Row],[Closed_Date]]=0,"",(_xlfn.XLOOKUP(Pipeline_tbl[[#This Row],[Closed_Date]],Dim_Date!A:A,Dim_Date!H:H)))</f>
        <v>Dec 2025</v>
      </c>
      <c r="U1635">
        <f>IF(Pipeline_tbl[[#This Row],[Closed_Date]]=0,"",Pipeline_tbl[[#This Row],[Closed_Date]]-Pipeline_tbl[[#This Row],[Created_Date]])</f>
        <v>9</v>
      </c>
    </row>
    <row r="1636" spans="1:21" ht="15" customHeight="1" x14ac:dyDescent="0.2">
      <c r="A1636" t="s">
        <v>1942</v>
      </c>
      <c r="B1636" t="s">
        <v>237</v>
      </c>
      <c r="C1636" t="s">
        <v>52</v>
      </c>
      <c r="D1636" s="49">
        <v>45977</v>
      </c>
      <c r="E1636" s="49">
        <v>45979</v>
      </c>
      <c r="F1636" s="49">
        <v>45983</v>
      </c>
      <c r="G1636" s="49">
        <v>45989</v>
      </c>
      <c r="I1636" s="49">
        <v>45997</v>
      </c>
      <c r="J1636" t="s">
        <v>49</v>
      </c>
      <c r="K1636" s="33">
        <v>3100</v>
      </c>
      <c r="L1636" t="s">
        <v>63</v>
      </c>
      <c r="M1636" t="str">
        <f>_xlfn.XLOOKUP(Pipeline_tbl[[#This Row],[Rep_ID]],Dim_Reps!A:A,Dim_Reps!K:K)</f>
        <v>EUR</v>
      </c>
      <c r="N1636" s="33">
        <f>(_xlfn.XLOOKUP(Pipeline_tbl[[#This Row],[Rate_Code_Generalized]],Lookups!A:A,Lookups!B:B))*Pipeline_tbl[[#This Row],[Pipeline_Amount_USD]]</f>
        <v>3100</v>
      </c>
      <c r="O1636" t="str">
        <f>_xlfn.XLOOKUP(Pipeline_tbl[[#This Row],[Rep_ID]],Dim_Reps!A:A,Dim_Reps!B:B)</f>
        <v>Hugo Santos</v>
      </c>
      <c r="P1636" t="str">
        <f>_xlfn.XLOOKUP(Pipeline_tbl[[#This Row],[Rep_ID]],Dim_Reps!A:A,Dim_Reps!C:C)</f>
        <v>SDR / Inside Sales Rep</v>
      </c>
      <c r="Q1636" t="str">
        <f>_xlfn.XLOOKUP(Pipeline_tbl[[#This Row],[Rep_ID]],Dim_Reps!A:A,Dim_Reps!D:D)</f>
        <v>Inside Sales</v>
      </c>
      <c r="R1636" t="str">
        <f>_xlfn.XLOOKUP(Pipeline_tbl[[#This Row],[Rep_ID]],Dim_Reps!A:A,Dim_Reps!E:E)</f>
        <v>EMEA</v>
      </c>
      <c r="S1636" t="str">
        <f>_xlfn.XLOOKUP(Pipeline_tbl[[#This Row],[Created_Date]],Dim_Date!A:A,Dim_Date!H:H)</f>
        <v>Nov 2025</v>
      </c>
      <c r="T1636" t="str">
        <f>IF(Pipeline_tbl[[#This Row],[Closed_Date]]=0,"",(_xlfn.XLOOKUP(Pipeline_tbl[[#This Row],[Closed_Date]],Dim_Date!A:A,Dim_Date!H:H)))</f>
        <v>Dec 2025</v>
      </c>
      <c r="U1636">
        <f>IF(Pipeline_tbl[[#This Row],[Closed_Date]]=0,"",Pipeline_tbl[[#This Row],[Closed_Date]]-Pipeline_tbl[[#This Row],[Created_Date]])</f>
        <v>20</v>
      </c>
    </row>
    <row r="1637" spans="1:21" ht="15" customHeight="1" x14ac:dyDescent="0.2">
      <c r="A1637" t="s">
        <v>1943</v>
      </c>
      <c r="B1637" t="s">
        <v>237</v>
      </c>
      <c r="C1637" t="s">
        <v>56</v>
      </c>
      <c r="D1637" s="49">
        <v>45973</v>
      </c>
      <c r="E1637" s="49">
        <v>45975</v>
      </c>
      <c r="F1637" s="49">
        <v>45980</v>
      </c>
      <c r="G1637" s="49">
        <v>45986</v>
      </c>
      <c r="H1637" s="49">
        <v>45992</v>
      </c>
      <c r="I1637" s="49">
        <v>45995</v>
      </c>
      <c r="J1637" t="s">
        <v>49</v>
      </c>
      <c r="K1637" s="33">
        <v>3400</v>
      </c>
      <c r="L1637" t="s">
        <v>60</v>
      </c>
      <c r="M1637" t="str">
        <f>_xlfn.XLOOKUP(Pipeline_tbl[[#This Row],[Rep_ID]],Dim_Reps!A:A,Dim_Reps!K:K)</f>
        <v>EUR</v>
      </c>
      <c r="N1637" s="33">
        <f>(_xlfn.XLOOKUP(Pipeline_tbl[[#This Row],[Rate_Code_Generalized]],Lookups!A:A,Lookups!B:B))*Pipeline_tbl[[#This Row],[Pipeline_Amount_USD]]</f>
        <v>3400</v>
      </c>
      <c r="O1637" t="str">
        <f>_xlfn.XLOOKUP(Pipeline_tbl[[#This Row],[Rep_ID]],Dim_Reps!A:A,Dim_Reps!B:B)</f>
        <v>Hugo Santos</v>
      </c>
      <c r="P1637" t="str">
        <f>_xlfn.XLOOKUP(Pipeline_tbl[[#This Row],[Rep_ID]],Dim_Reps!A:A,Dim_Reps!C:C)</f>
        <v>SDR / Inside Sales Rep</v>
      </c>
      <c r="Q1637" t="str">
        <f>_xlfn.XLOOKUP(Pipeline_tbl[[#This Row],[Rep_ID]],Dim_Reps!A:A,Dim_Reps!D:D)</f>
        <v>Inside Sales</v>
      </c>
      <c r="R1637" t="str">
        <f>_xlfn.XLOOKUP(Pipeline_tbl[[#This Row],[Rep_ID]],Dim_Reps!A:A,Dim_Reps!E:E)</f>
        <v>EMEA</v>
      </c>
      <c r="S1637" t="str">
        <f>_xlfn.XLOOKUP(Pipeline_tbl[[#This Row],[Created_Date]],Dim_Date!A:A,Dim_Date!H:H)</f>
        <v>Nov 2025</v>
      </c>
      <c r="T1637" t="str">
        <f>IF(Pipeline_tbl[[#This Row],[Closed_Date]]=0,"",(_xlfn.XLOOKUP(Pipeline_tbl[[#This Row],[Closed_Date]],Dim_Date!A:A,Dim_Date!H:H)))</f>
        <v>Dec 2025</v>
      </c>
      <c r="U1637">
        <f>IF(Pipeline_tbl[[#This Row],[Closed_Date]]=0,"",Pipeline_tbl[[#This Row],[Closed_Date]]-Pipeline_tbl[[#This Row],[Created_Date]])</f>
        <v>22</v>
      </c>
    </row>
    <row r="1638" spans="1:21" ht="15" customHeight="1" x14ac:dyDescent="0.2">
      <c r="A1638" t="s">
        <v>1944</v>
      </c>
      <c r="B1638" t="s">
        <v>237</v>
      </c>
      <c r="C1638" t="s">
        <v>52</v>
      </c>
      <c r="D1638" s="49">
        <v>45983</v>
      </c>
      <c r="E1638" s="49">
        <v>45985</v>
      </c>
      <c r="F1638" s="49">
        <v>45990</v>
      </c>
      <c r="G1638" s="49">
        <v>45997</v>
      </c>
      <c r="H1638" s="49">
        <v>46003</v>
      </c>
      <c r="I1638" s="49">
        <v>46006</v>
      </c>
      <c r="J1638" t="s">
        <v>47</v>
      </c>
      <c r="K1638" s="33">
        <v>2600</v>
      </c>
      <c r="M1638" t="str">
        <f>_xlfn.XLOOKUP(Pipeline_tbl[[#This Row],[Rep_ID]],Dim_Reps!A:A,Dim_Reps!K:K)</f>
        <v>EUR</v>
      </c>
      <c r="N1638" s="33">
        <f>(_xlfn.XLOOKUP(Pipeline_tbl[[#This Row],[Rate_Code_Generalized]],Lookups!A:A,Lookups!B:B))*Pipeline_tbl[[#This Row],[Pipeline_Amount_USD]]</f>
        <v>2600</v>
      </c>
      <c r="O1638" t="str">
        <f>_xlfn.XLOOKUP(Pipeline_tbl[[#This Row],[Rep_ID]],Dim_Reps!A:A,Dim_Reps!B:B)</f>
        <v>Hugo Santos</v>
      </c>
      <c r="P1638" t="str">
        <f>_xlfn.XLOOKUP(Pipeline_tbl[[#This Row],[Rep_ID]],Dim_Reps!A:A,Dim_Reps!C:C)</f>
        <v>SDR / Inside Sales Rep</v>
      </c>
      <c r="Q1638" t="str">
        <f>_xlfn.XLOOKUP(Pipeline_tbl[[#This Row],[Rep_ID]],Dim_Reps!A:A,Dim_Reps!D:D)</f>
        <v>Inside Sales</v>
      </c>
      <c r="R1638" t="str">
        <f>_xlfn.XLOOKUP(Pipeline_tbl[[#This Row],[Rep_ID]],Dim_Reps!A:A,Dim_Reps!E:E)</f>
        <v>EMEA</v>
      </c>
      <c r="S1638" t="str">
        <f>_xlfn.XLOOKUP(Pipeline_tbl[[#This Row],[Created_Date]],Dim_Date!A:A,Dim_Date!H:H)</f>
        <v>Nov 2025</v>
      </c>
      <c r="T1638" t="str">
        <f>IF(Pipeline_tbl[[#This Row],[Closed_Date]]=0,"",(_xlfn.XLOOKUP(Pipeline_tbl[[#This Row],[Closed_Date]],Dim_Date!A:A,Dim_Date!H:H)))</f>
        <v>Dec 2025</v>
      </c>
      <c r="U1638">
        <f>IF(Pipeline_tbl[[#This Row],[Closed_Date]]=0,"",Pipeline_tbl[[#This Row],[Closed_Date]]-Pipeline_tbl[[#This Row],[Created_Date]])</f>
        <v>23</v>
      </c>
    </row>
    <row r="1639" spans="1:21" ht="15" customHeight="1" x14ac:dyDescent="0.2">
      <c r="A1639" t="s">
        <v>1945</v>
      </c>
      <c r="B1639" t="s">
        <v>237</v>
      </c>
      <c r="C1639" t="s">
        <v>52</v>
      </c>
      <c r="D1639" s="49">
        <v>45983</v>
      </c>
      <c r="E1639" s="49">
        <v>45985</v>
      </c>
      <c r="F1639" s="49">
        <v>45989</v>
      </c>
      <c r="G1639" s="49">
        <v>45994</v>
      </c>
      <c r="H1639" s="49">
        <v>45999</v>
      </c>
      <c r="I1639" s="49">
        <v>46002</v>
      </c>
      <c r="J1639" t="s">
        <v>47</v>
      </c>
      <c r="K1639" s="33">
        <v>1700</v>
      </c>
      <c r="M1639" t="str">
        <f>_xlfn.XLOOKUP(Pipeline_tbl[[#This Row],[Rep_ID]],Dim_Reps!A:A,Dim_Reps!K:K)</f>
        <v>EUR</v>
      </c>
      <c r="N1639" s="33">
        <f>(_xlfn.XLOOKUP(Pipeline_tbl[[#This Row],[Rate_Code_Generalized]],Lookups!A:A,Lookups!B:B))*Pipeline_tbl[[#This Row],[Pipeline_Amount_USD]]</f>
        <v>1700</v>
      </c>
      <c r="O1639" t="str">
        <f>_xlfn.XLOOKUP(Pipeline_tbl[[#This Row],[Rep_ID]],Dim_Reps!A:A,Dim_Reps!B:B)</f>
        <v>Hugo Santos</v>
      </c>
      <c r="P1639" t="str">
        <f>_xlfn.XLOOKUP(Pipeline_tbl[[#This Row],[Rep_ID]],Dim_Reps!A:A,Dim_Reps!C:C)</f>
        <v>SDR / Inside Sales Rep</v>
      </c>
      <c r="Q1639" t="str">
        <f>_xlfn.XLOOKUP(Pipeline_tbl[[#This Row],[Rep_ID]],Dim_Reps!A:A,Dim_Reps!D:D)</f>
        <v>Inside Sales</v>
      </c>
      <c r="R1639" t="str">
        <f>_xlfn.XLOOKUP(Pipeline_tbl[[#This Row],[Rep_ID]],Dim_Reps!A:A,Dim_Reps!E:E)</f>
        <v>EMEA</v>
      </c>
      <c r="S1639" t="str">
        <f>_xlfn.XLOOKUP(Pipeline_tbl[[#This Row],[Created_Date]],Dim_Date!A:A,Dim_Date!H:H)</f>
        <v>Nov 2025</v>
      </c>
      <c r="T1639" t="str">
        <f>IF(Pipeline_tbl[[#This Row],[Closed_Date]]=0,"",(_xlfn.XLOOKUP(Pipeline_tbl[[#This Row],[Closed_Date]],Dim_Date!A:A,Dim_Date!H:H)))</f>
        <v>Dec 2025</v>
      </c>
      <c r="U1639">
        <f>IF(Pipeline_tbl[[#This Row],[Closed_Date]]=0,"",Pipeline_tbl[[#This Row],[Closed_Date]]-Pipeline_tbl[[#This Row],[Created_Date]])</f>
        <v>19</v>
      </c>
    </row>
    <row r="1640" spans="1:21" ht="15" customHeight="1" x14ac:dyDescent="0.2">
      <c r="A1640" t="s">
        <v>1946</v>
      </c>
      <c r="B1640" t="s">
        <v>237</v>
      </c>
      <c r="C1640" t="s">
        <v>52</v>
      </c>
      <c r="D1640" s="49">
        <v>45974</v>
      </c>
      <c r="E1640" s="49">
        <v>45976</v>
      </c>
      <c r="I1640" s="49">
        <v>45992</v>
      </c>
      <c r="J1640" t="s">
        <v>49</v>
      </c>
      <c r="K1640" s="33">
        <v>6800</v>
      </c>
      <c r="L1640" t="s">
        <v>64</v>
      </c>
      <c r="M1640" t="str">
        <f>_xlfn.XLOOKUP(Pipeline_tbl[[#This Row],[Rep_ID]],Dim_Reps!A:A,Dim_Reps!K:K)</f>
        <v>EUR</v>
      </c>
      <c r="N1640" s="33">
        <f>(_xlfn.XLOOKUP(Pipeline_tbl[[#This Row],[Rate_Code_Generalized]],Lookups!A:A,Lookups!B:B))*Pipeline_tbl[[#This Row],[Pipeline_Amount_USD]]</f>
        <v>6800</v>
      </c>
      <c r="O1640" t="str">
        <f>_xlfn.XLOOKUP(Pipeline_tbl[[#This Row],[Rep_ID]],Dim_Reps!A:A,Dim_Reps!B:B)</f>
        <v>Hugo Santos</v>
      </c>
      <c r="P1640" t="str">
        <f>_xlfn.XLOOKUP(Pipeline_tbl[[#This Row],[Rep_ID]],Dim_Reps!A:A,Dim_Reps!C:C)</f>
        <v>SDR / Inside Sales Rep</v>
      </c>
      <c r="Q1640" t="str">
        <f>_xlfn.XLOOKUP(Pipeline_tbl[[#This Row],[Rep_ID]],Dim_Reps!A:A,Dim_Reps!D:D)</f>
        <v>Inside Sales</v>
      </c>
      <c r="R1640" t="str">
        <f>_xlfn.XLOOKUP(Pipeline_tbl[[#This Row],[Rep_ID]],Dim_Reps!A:A,Dim_Reps!E:E)</f>
        <v>EMEA</v>
      </c>
      <c r="S1640" t="str">
        <f>_xlfn.XLOOKUP(Pipeline_tbl[[#This Row],[Created_Date]],Dim_Date!A:A,Dim_Date!H:H)</f>
        <v>Nov 2025</v>
      </c>
      <c r="T1640" t="str">
        <f>IF(Pipeline_tbl[[#This Row],[Closed_Date]]=0,"",(_xlfn.XLOOKUP(Pipeline_tbl[[#This Row],[Closed_Date]],Dim_Date!A:A,Dim_Date!H:H)))</f>
        <v>Dec 2025</v>
      </c>
      <c r="U1640">
        <f>IF(Pipeline_tbl[[#This Row],[Closed_Date]]=0,"",Pipeline_tbl[[#This Row],[Closed_Date]]-Pipeline_tbl[[#This Row],[Created_Date]])</f>
        <v>18</v>
      </c>
    </row>
    <row r="1641" spans="1:21" ht="15" customHeight="1" x14ac:dyDescent="0.2">
      <c r="A1641" t="s">
        <v>1947</v>
      </c>
      <c r="B1641" t="s">
        <v>237</v>
      </c>
      <c r="C1641" t="s">
        <v>53</v>
      </c>
      <c r="D1641" s="49">
        <v>45988</v>
      </c>
      <c r="E1641" s="49">
        <v>45990</v>
      </c>
      <c r="F1641" s="49">
        <v>45993</v>
      </c>
      <c r="I1641" s="49">
        <v>46003</v>
      </c>
      <c r="J1641" t="s">
        <v>49</v>
      </c>
      <c r="K1641" s="33">
        <v>3700</v>
      </c>
      <c r="L1641" t="s">
        <v>61</v>
      </c>
      <c r="M1641" t="str">
        <f>_xlfn.XLOOKUP(Pipeline_tbl[[#This Row],[Rep_ID]],Dim_Reps!A:A,Dim_Reps!K:K)</f>
        <v>EUR</v>
      </c>
      <c r="N1641" s="33">
        <f>(_xlfn.XLOOKUP(Pipeline_tbl[[#This Row],[Rate_Code_Generalized]],Lookups!A:A,Lookups!B:B))*Pipeline_tbl[[#This Row],[Pipeline_Amount_USD]]</f>
        <v>3700</v>
      </c>
      <c r="O1641" t="str">
        <f>_xlfn.XLOOKUP(Pipeline_tbl[[#This Row],[Rep_ID]],Dim_Reps!A:A,Dim_Reps!B:B)</f>
        <v>Hugo Santos</v>
      </c>
      <c r="P1641" t="str">
        <f>_xlfn.XLOOKUP(Pipeline_tbl[[#This Row],[Rep_ID]],Dim_Reps!A:A,Dim_Reps!C:C)</f>
        <v>SDR / Inside Sales Rep</v>
      </c>
      <c r="Q1641" t="str">
        <f>_xlfn.XLOOKUP(Pipeline_tbl[[#This Row],[Rep_ID]],Dim_Reps!A:A,Dim_Reps!D:D)</f>
        <v>Inside Sales</v>
      </c>
      <c r="R1641" t="str">
        <f>_xlfn.XLOOKUP(Pipeline_tbl[[#This Row],[Rep_ID]],Dim_Reps!A:A,Dim_Reps!E:E)</f>
        <v>EMEA</v>
      </c>
      <c r="S1641" t="str">
        <f>_xlfn.XLOOKUP(Pipeline_tbl[[#This Row],[Created_Date]],Dim_Date!A:A,Dim_Date!H:H)</f>
        <v>Nov 2025</v>
      </c>
      <c r="T1641" t="str">
        <f>IF(Pipeline_tbl[[#This Row],[Closed_Date]]=0,"",(_xlfn.XLOOKUP(Pipeline_tbl[[#This Row],[Closed_Date]],Dim_Date!A:A,Dim_Date!H:H)))</f>
        <v>Dec 2025</v>
      </c>
      <c r="U1641">
        <f>IF(Pipeline_tbl[[#This Row],[Closed_Date]]=0,"",Pipeline_tbl[[#This Row],[Closed_Date]]-Pipeline_tbl[[#This Row],[Created_Date]])</f>
        <v>15</v>
      </c>
    </row>
    <row r="1642" spans="1:21" ht="15" customHeight="1" x14ac:dyDescent="0.2">
      <c r="A1642" t="s">
        <v>1948</v>
      </c>
      <c r="B1642" t="s">
        <v>237</v>
      </c>
      <c r="C1642" t="s">
        <v>52</v>
      </c>
      <c r="D1642" s="49">
        <v>45988</v>
      </c>
      <c r="E1642" s="49">
        <v>45989</v>
      </c>
      <c r="F1642" s="49">
        <v>45992</v>
      </c>
      <c r="I1642" s="49">
        <v>46000</v>
      </c>
      <c r="J1642" t="s">
        <v>49</v>
      </c>
      <c r="K1642" s="33">
        <v>2300</v>
      </c>
      <c r="L1642" t="s">
        <v>64</v>
      </c>
      <c r="M1642" t="str">
        <f>_xlfn.XLOOKUP(Pipeline_tbl[[#This Row],[Rep_ID]],Dim_Reps!A:A,Dim_Reps!K:K)</f>
        <v>EUR</v>
      </c>
      <c r="N1642" s="33">
        <f>(_xlfn.XLOOKUP(Pipeline_tbl[[#This Row],[Rate_Code_Generalized]],Lookups!A:A,Lookups!B:B))*Pipeline_tbl[[#This Row],[Pipeline_Amount_USD]]</f>
        <v>2300</v>
      </c>
      <c r="O1642" t="str">
        <f>_xlfn.XLOOKUP(Pipeline_tbl[[#This Row],[Rep_ID]],Dim_Reps!A:A,Dim_Reps!B:B)</f>
        <v>Hugo Santos</v>
      </c>
      <c r="P1642" t="str">
        <f>_xlfn.XLOOKUP(Pipeline_tbl[[#This Row],[Rep_ID]],Dim_Reps!A:A,Dim_Reps!C:C)</f>
        <v>SDR / Inside Sales Rep</v>
      </c>
      <c r="Q1642" t="str">
        <f>_xlfn.XLOOKUP(Pipeline_tbl[[#This Row],[Rep_ID]],Dim_Reps!A:A,Dim_Reps!D:D)</f>
        <v>Inside Sales</v>
      </c>
      <c r="R1642" t="str">
        <f>_xlfn.XLOOKUP(Pipeline_tbl[[#This Row],[Rep_ID]],Dim_Reps!A:A,Dim_Reps!E:E)</f>
        <v>EMEA</v>
      </c>
      <c r="S1642" t="str">
        <f>_xlfn.XLOOKUP(Pipeline_tbl[[#This Row],[Created_Date]],Dim_Date!A:A,Dim_Date!H:H)</f>
        <v>Nov 2025</v>
      </c>
      <c r="T1642" t="str">
        <f>IF(Pipeline_tbl[[#This Row],[Closed_Date]]=0,"",(_xlfn.XLOOKUP(Pipeline_tbl[[#This Row],[Closed_Date]],Dim_Date!A:A,Dim_Date!H:H)))</f>
        <v>Dec 2025</v>
      </c>
      <c r="U1642">
        <f>IF(Pipeline_tbl[[#This Row],[Closed_Date]]=0,"",Pipeline_tbl[[#This Row],[Closed_Date]]-Pipeline_tbl[[#This Row],[Created_Date]])</f>
        <v>12</v>
      </c>
    </row>
    <row r="1643" spans="1:21" ht="15" customHeight="1" x14ac:dyDescent="0.2">
      <c r="A1643" t="s">
        <v>1949</v>
      </c>
      <c r="B1643" t="s">
        <v>237</v>
      </c>
      <c r="C1643" t="s">
        <v>52</v>
      </c>
      <c r="D1643" s="49">
        <v>45979</v>
      </c>
      <c r="E1643" s="49">
        <v>45981</v>
      </c>
      <c r="F1643" s="49">
        <v>45984</v>
      </c>
      <c r="I1643" s="49">
        <v>45996</v>
      </c>
      <c r="J1643" t="s">
        <v>49</v>
      </c>
      <c r="K1643" s="33">
        <v>2100</v>
      </c>
      <c r="L1643" t="s">
        <v>61</v>
      </c>
      <c r="M1643" t="str">
        <f>_xlfn.XLOOKUP(Pipeline_tbl[[#This Row],[Rep_ID]],Dim_Reps!A:A,Dim_Reps!K:K)</f>
        <v>EUR</v>
      </c>
      <c r="N1643" s="33">
        <f>(_xlfn.XLOOKUP(Pipeline_tbl[[#This Row],[Rate_Code_Generalized]],Lookups!A:A,Lookups!B:B))*Pipeline_tbl[[#This Row],[Pipeline_Amount_USD]]</f>
        <v>2100</v>
      </c>
      <c r="O1643" t="str">
        <f>_xlfn.XLOOKUP(Pipeline_tbl[[#This Row],[Rep_ID]],Dim_Reps!A:A,Dim_Reps!B:B)</f>
        <v>Hugo Santos</v>
      </c>
      <c r="P1643" t="str">
        <f>_xlfn.XLOOKUP(Pipeline_tbl[[#This Row],[Rep_ID]],Dim_Reps!A:A,Dim_Reps!C:C)</f>
        <v>SDR / Inside Sales Rep</v>
      </c>
      <c r="Q1643" t="str">
        <f>_xlfn.XLOOKUP(Pipeline_tbl[[#This Row],[Rep_ID]],Dim_Reps!A:A,Dim_Reps!D:D)</f>
        <v>Inside Sales</v>
      </c>
      <c r="R1643" t="str">
        <f>_xlfn.XLOOKUP(Pipeline_tbl[[#This Row],[Rep_ID]],Dim_Reps!A:A,Dim_Reps!E:E)</f>
        <v>EMEA</v>
      </c>
      <c r="S1643" t="str">
        <f>_xlfn.XLOOKUP(Pipeline_tbl[[#This Row],[Created_Date]],Dim_Date!A:A,Dim_Date!H:H)</f>
        <v>Nov 2025</v>
      </c>
      <c r="T1643" t="str">
        <f>IF(Pipeline_tbl[[#This Row],[Closed_Date]]=0,"",(_xlfn.XLOOKUP(Pipeline_tbl[[#This Row],[Closed_Date]],Dim_Date!A:A,Dim_Date!H:H)))</f>
        <v>Dec 2025</v>
      </c>
      <c r="U1643">
        <f>IF(Pipeline_tbl[[#This Row],[Closed_Date]]=0,"",Pipeline_tbl[[#This Row],[Closed_Date]]-Pipeline_tbl[[#This Row],[Created_Date]])</f>
        <v>17</v>
      </c>
    </row>
    <row r="1644" spans="1:21" ht="15" customHeight="1" x14ac:dyDescent="0.2">
      <c r="A1644" t="s">
        <v>1950</v>
      </c>
      <c r="B1644" t="s">
        <v>237</v>
      </c>
      <c r="C1644" t="s">
        <v>55</v>
      </c>
      <c r="D1644" s="49">
        <v>45990</v>
      </c>
      <c r="E1644" s="49">
        <v>45992</v>
      </c>
      <c r="F1644" s="49">
        <v>45995</v>
      </c>
      <c r="G1644" s="49">
        <v>46000</v>
      </c>
      <c r="H1644" s="49">
        <v>46004</v>
      </c>
      <c r="I1644" s="49">
        <v>46006</v>
      </c>
      <c r="J1644" t="s">
        <v>49</v>
      </c>
      <c r="K1644" s="33">
        <v>4100</v>
      </c>
      <c r="L1644" t="s">
        <v>62</v>
      </c>
      <c r="M1644" t="str">
        <f>_xlfn.XLOOKUP(Pipeline_tbl[[#This Row],[Rep_ID]],Dim_Reps!A:A,Dim_Reps!K:K)</f>
        <v>EUR</v>
      </c>
      <c r="N1644" s="33">
        <f>(_xlfn.XLOOKUP(Pipeline_tbl[[#This Row],[Rate_Code_Generalized]],Lookups!A:A,Lookups!B:B))*Pipeline_tbl[[#This Row],[Pipeline_Amount_USD]]</f>
        <v>4100</v>
      </c>
      <c r="O1644" t="str">
        <f>_xlfn.XLOOKUP(Pipeline_tbl[[#This Row],[Rep_ID]],Dim_Reps!A:A,Dim_Reps!B:B)</f>
        <v>Hugo Santos</v>
      </c>
      <c r="P1644" t="str">
        <f>_xlfn.XLOOKUP(Pipeline_tbl[[#This Row],[Rep_ID]],Dim_Reps!A:A,Dim_Reps!C:C)</f>
        <v>SDR / Inside Sales Rep</v>
      </c>
      <c r="Q1644" t="str">
        <f>_xlfn.XLOOKUP(Pipeline_tbl[[#This Row],[Rep_ID]],Dim_Reps!A:A,Dim_Reps!D:D)</f>
        <v>Inside Sales</v>
      </c>
      <c r="R1644" t="str">
        <f>_xlfn.XLOOKUP(Pipeline_tbl[[#This Row],[Rep_ID]],Dim_Reps!A:A,Dim_Reps!E:E)</f>
        <v>EMEA</v>
      </c>
      <c r="S1644" t="str">
        <f>_xlfn.XLOOKUP(Pipeline_tbl[[#This Row],[Created_Date]],Dim_Date!A:A,Dim_Date!H:H)</f>
        <v>Nov 2025</v>
      </c>
      <c r="T1644" t="str">
        <f>IF(Pipeline_tbl[[#This Row],[Closed_Date]]=0,"",(_xlfn.XLOOKUP(Pipeline_tbl[[#This Row],[Closed_Date]],Dim_Date!A:A,Dim_Date!H:H)))</f>
        <v>Dec 2025</v>
      </c>
      <c r="U1644">
        <f>IF(Pipeline_tbl[[#This Row],[Closed_Date]]=0,"",Pipeline_tbl[[#This Row],[Closed_Date]]-Pipeline_tbl[[#This Row],[Created_Date]])</f>
        <v>16</v>
      </c>
    </row>
    <row r="1645" spans="1:21" ht="15" customHeight="1" x14ac:dyDescent="0.2">
      <c r="A1645" t="s">
        <v>1951</v>
      </c>
      <c r="B1645" t="s">
        <v>239</v>
      </c>
      <c r="C1645" t="s">
        <v>53</v>
      </c>
      <c r="D1645" s="49">
        <v>45977</v>
      </c>
      <c r="E1645" s="49">
        <v>45979</v>
      </c>
      <c r="F1645" s="49">
        <v>45982</v>
      </c>
      <c r="G1645" s="49">
        <v>45986</v>
      </c>
      <c r="H1645" s="49">
        <v>45990</v>
      </c>
      <c r="I1645" s="49">
        <v>45992</v>
      </c>
      <c r="J1645" t="s">
        <v>49</v>
      </c>
      <c r="K1645" s="33">
        <v>6600</v>
      </c>
      <c r="L1645" t="s">
        <v>60</v>
      </c>
      <c r="M1645" t="str">
        <f>_xlfn.XLOOKUP(Pipeline_tbl[[#This Row],[Rep_ID]],Dim_Reps!A:A,Dim_Reps!K:K)</f>
        <v>USD</v>
      </c>
      <c r="N1645" s="33">
        <f>(_xlfn.XLOOKUP(Pipeline_tbl[[#This Row],[Rate_Code_Generalized]],Lookups!A:A,Lookups!B:B))*Pipeline_tbl[[#This Row],[Pipeline_Amount_USD]]</f>
        <v>7684.3799999999992</v>
      </c>
      <c r="O1645" t="str">
        <f>_xlfn.XLOOKUP(Pipeline_tbl[[#This Row],[Rep_ID]],Dim_Reps!A:A,Dim_Reps!B:B)</f>
        <v>Noah Adler</v>
      </c>
      <c r="P1645" t="str">
        <f>_xlfn.XLOOKUP(Pipeline_tbl[[#This Row],[Rep_ID]],Dim_Reps!A:A,Dim_Reps!C:C)</f>
        <v>SDR / Inside Sales Rep</v>
      </c>
      <c r="Q1645" t="str">
        <f>_xlfn.XLOOKUP(Pipeline_tbl[[#This Row],[Rep_ID]],Dim_Reps!A:A,Dim_Reps!D:D)</f>
        <v>Inside Sales</v>
      </c>
      <c r="R1645" t="str">
        <f>_xlfn.XLOOKUP(Pipeline_tbl[[#This Row],[Rep_ID]],Dim_Reps!A:A,Dim_Reps!E:E)</f>
        <v>NAMER</v>
      </c>
      <c r="S1645" t="str">
        <f>_xlfn.XLOOKUP(Pipeline_tbl[[#This Row],[Created_Date]],Dim_Date!A:A,Dim_Date!H:H)</f>
        <v>Nov 2025</v>
      </c>
      <c r="T1645" t="str">
        <f>IF(Pipeline_tbl[[#This Row],[Closed_Date]]=0,"",(_xlfn.XLOOKUP(Pipeline_tbl[[#This Row],[Closed_Date]],Dim_Date!A:A,Dim_Date!H:H)))</f>
        <v>Dec 2025</v>
      </c>
      <c r="U1645">
        <f>IF(Pipeline_tbl[[#This Row],[Closed_Date]]=0,"",Pipeline_tbl[[#This Row],[Closed_Date]]-Pipeline_tbl[[#This Row],[Created_Date]])</f>
        <v>15</v>
      </c>
    </row>
    <row r="1646" spans="1:21" ht="15" customHeight="1" x14ac:dyDescent="0.2">
      <c r="A1646" t="s">
        <v>1952</v>
      </c>
      <c r="B1646" t="s">
        <v>239</v>
      </c>
      <c r="C1646" t="s">
        <v>53</v>
      </c>
      <c r="D1646" s="49">
        <v>45978</v>
      </c>
      <c r="E1646" s="49">
        <v>45980</v>
      </c>
      <c r="F1646" s="49">
        <v>45983</v>
      </c>
      <c r="G1646" s="49">
        <v>45988</v>
      </c>
      <c r="H1646" s="49">
        <v>45992</v>
      </c>
      <c r="I1646" s="49">
        <v>45995</v>
      </c>
      <c r="J1646" t="s">
        <v>47</v>
      </c>
      <c r="K1646" s="33">
        <v>3200</v>
      </c>
      <c r="M1646" t="str">
        <f>_xlfn.XLOOKUP(Pipeline_tbl[[#This Row],[Rep_ID]],Dim_Reps!A:A,Dim_Reps!K:K)</f>
        <v>USD</v>
      </c>
      <c r="N1646" s="33">
        <f>(_xlfn.XLOOKUP(Pipeline_tbl[[#This Row],[Rate_Code_Generalized]],Lookups!A:A,Lookups!B:B))*Pipeline_tbl[[#This Row],[Pipeline_Amount_USD]]</f>
        <v>3725.7599999999998</v>
      </c>
      <c r="O1646" t="str">
        <f>_xlfn.XLOOKUP(Pipeline_tbl[[#This Row],[Rep_ID]],Dim_Reps!A:A,Dim_Reps!B:B)</f>
        <v>Noah Adler</v>
      </c>
      <c r="P1646" t="str">
        <f>_xlfn.XLOOKUP(Pipeline_tbl[[#This Row],[Rep_ID]],Dim_Reps!A:A,Dim_Reps!C:C)</f>
        <v>SDR / Inside Sales Rep</v>
      </c>
      <c r="Q1646" t="str">
        <f>_xlfn.XLOOKUP(Pipeline_tbl[[#This Row],[Rep_ID]],Dim_Reps!A:A,Dim_Reps!D:D)</f>
        <v>Inside Sales</v>
      </c>
      <c r="R1646" t="str">
        <f>_xlfn.XLOOKUP(Pipeline_tbl[[#This Row],[Rep_ID]],Dim_Reps!A:A,Dim_Reps!E:E)</f>
        <v>NAMER</v>
      </c>
      <c r="S1646" t="str">
        <f>_xlfn.XLOOKUP(Pipeline_tbl[[#This Row],[Created_Date]],Dim_Date!A:A,Dim_Date!H:H)</f>
        <v>Nov 2025</v>
      </c>
      <c r="T1646" t="str">
        <f>IF(Pipeline_tbl[[#This Row],[Closed_Date]]=0,"",(_xlfn.XLOOKUP(Pipeline_tbl[[#This Row],[Closed_Date]],Dim_Date!A:A,Dim_Date!H:H)))</f>
        <v>Dec 2025</v>
      </c>
      <c r="U1646">
        <f>IF(Pipeline_tbl[[#This Row],[Closed_Date]]=0,"",Pipeline_tbl[[#This Row],[Closed_Date]]-Pipeline_tbl[[#This Row],[Created_Date]])</f>
        <v>17</v>
      </c>
    </row>
    <row r="1647" spans="1:21" ht="15" customHeight="1" x14ac:dyDescent="0.2">
      <c r="A1647" t="s">
        <v>1953</v>
      </c>
      <c r="B1647" t="s">
        <v>239</v>
      </c>
      <c r="C1647" t="s">
        <v>56</v>
      </c>
      <c r="D1647" s="49">
        <v>45985</v>
      </c>
      <c r="E1647" s="49">
        <v>45987</v>
      </c>
      <c r="F1647" s="49">
        <v>45991</v>
      </c>
      <c r="G1647" s="49">
        <v>45997</v>
      </c>
      <c r="H1647" s="49">
        <v>46002</v>
      </c>
      <c r="I1647" s="49">
        <v>46005</v>
      </c>
      <c r="J1647" t="s">
        <v>47</v>
      </c>
      <c r="K1647" s="33">
        <v>5500</v>
      </c>
      <c r="M1647" t="str">
        <f>_xlfn.XLOOKUP(Pipeline_tbl[[#This Row],[Rep_ID]],Dim_Reps!A:A,Dim_Reps!K:K)</f>
        <v>USD</v>
      </c>
      <c r="N1647" s="33">
        <f>(_xlfn.XLOOKUP(Pipeline_tbl[[#This Row],[Rate_Code_Generalized]],Lookups!A:A,Lookups!B:B))*Pipeline_tbl[[#This Row],[Pipeline_Amount_USD]]</f>
        <v>6403.65</v>
      </c>
      <c r="O1647" t="str">
        <f>_xlfn.XLOOKUP(Pipeline_tbl[[#This Row],[Rep_ID]],Dim_Reps!A:A,Dim_Reps!B:B)</f>
        <v>Noah Adler</v>
      </c>
      <c r="P1647" t="str">
        <f>_xlfn.XLOOKUP(Pipeline_tbl[[#This Row],[Rep_ID]],Dim_Reps!A:A,Dim_Reps!C:C)</f>
        <v>SDR / Inside Sales Rep</v>
      </c>
      <c r="Q1647" t="str">
        <f>_xlfn.XLOOKUP(Pipeline_tbl[[#This Row],[Rep_ID]],Dim_Reps!A:A,Dim_Reps!D:D)</f>
        <v>Inside Sales</v>
      </c>
      <c r="R1647" t="str">
        <f>_xlfn.XLOOKUP(Pipeline_tbl[[#This Row],[Rep_ID]],Dim_Reps!A:A,Dim_Reps!E:E)</f>
        <v>NAMER</v>
      </c>
      <c r="S1647" t="str">
        <f>_xlfn.XLOOKUP(Pipeline_tbl[[#This Row],[Created_Date]],Dim_Date!A:A,Dim_Date!H:H)</f>
        <v>Nov 2025</v>
      </c>
      <c r="T1647" t="str">
        <f>IF(Pipeline_tbl[[#This Row],[Closed_Date]]=0,"",(_xlfn.XLOOKUP(Pipeline_tbl[[#This Row],[Closed_Date]],Dim_Date!A:A,Dim_Date!H:H)))</f>
        <v>Dec 2025</v>
      </c>
      <c r="U1647">
        <f>IF(Pipeline_tbl[[#This Row],[Closed_Date]]=0,"",Pipeline_tbl[[#This Row],[Closed_Date]]-Pipeline_tbl[[#This Row],[Created_Date]])</f>
        <v>20</v>
      </c>
    </row>
    <row r="1648" spans="1:21" ht="15" customHeight="1" x14ac:dyDescent="0.2">
      <c r="A1648" t="s">
        <v>1954</v>
      </c>
      <c r="B1648" t="s">
        <v>239</v>
      </c>
      <c r="C1648" t="s">
        <v>53</v>
      </c>
      <c r="D1648" s="49">
        <v>45979</v>
      </c>
      <c r="E1648" s="49">
        <v>45981</v>
      </c>
      <c r="F1648" s="49">
        <v>45986</v>
      </c>
      <c r="G1648" s="49">
        <v>45992</v>
      </c>
      <c r="H1648" s="49">
        <v>45998</v>
      </c>
      <c r="I1648" s="49">
        <v>46001</v>
      </c>
      <c r="J1648" t="s">
        <v>49</v>
      </c>
      <c r="K1648" s="33">
        <v>3000</v>
      </c>
      <c r="L1648" t="s">
        <v>61</v>
      </c>
      <c r="M1648" t="str">
        <f>_xlfn.XLOOKUP(Pipeline_tbl[[#This Row],[Rep_ID]],Dim_Reps!A:A,Dim_Reps!K:K)</f>
        <v>USD</v>
      </c>
      <c r="N1648" s="33">
        <f>(_xlfn.XLOOKUP(Pipeline_tbl[[#This Row],[Rate_Code_Generalized]],Lookups!A:A,Lookups!B:B))*Pipeline_tbl[[#This Row],[Pipeline_Amount_USD]]</f>
        <v>3492.8999999999996</v>
      </c>
      <c r="O1648" t="str">
        <f>_xlfn.XLOOKUP(Pipeline_tbl[[#This Row],[Rep_ID]],Dim_Reps!A:A,Dim_Reps!B:B)</f>
        <v>Noah Adler</v>
      </c>
      <c r="P1648" t="str">
        <f>_xlfn.XLOOKUP(Pipeline_tbl[[#This Row],[Rep_ID]],Dim_Reps!A:A,Dim_Reps!C:C)</f>
        <v>SDR / Inside Sales Rep</v>
      </c>
      <c r="Q1648" t="str">
        <f>_xlfn.XLOOKUP(Pipeline_tbl[[#This Row],[Rep_ID]],Dim_Reps!A:A,Dim_Reps!D:D)</f>
        <v>Inside Sales</v>
      </c>
      <c r="R1648" t="str">
        <f>_xlfn.XLOOKUP(Pipeline_tbl[[#This Row],[Rep_ID]],Dim_Reps!A:A,Dim_Reps!E:E)</f>
        <v>NAMER</v>
      </c>
      <c r="S1648" t="str">
        <f>_xlfn.XLOOKUP(Pipeline_tbl[[#This Row],[Created_Date]],Dim_Date!A:A,Dim_Date!H:H)</f>
        <v>Nov 2025</v>
      </c>
      <c r="T1648" t="str">
        <f>IF(Pipeline_tbl[[#This Row],[Closed_Date]]=0,"",(_xlfn.XLOOKUP(Pipeline_tbl[[#This Row],[Closed_Date]],Dim_Date!A:A,Dim_Date!H:H)))</f>
        <v>Dec 2025</v>
      </c>
      <c r="U1648">
        <f>IF(Pipeline_tbl[[#This Row],[Closed_Date]]=0,"",Pipeline_tbl[[#This Row],[Closed_Date]]-Pipeline_tbl[[#This Row],[Created_Date]])</f>
        <v>22</v>
      </c>
    </row>
    <row r="1649" spans="1:21" ht="15" customHeight="1" x14ac:dyDescent="0.2">
      <c r="A1649" t="s">
        <v>1955</v>
      </c>
      <c r="B1649" t="s">
        <v>239</v>
      </c>
      <c r="C1649" t="s">
        <v>53</v>
      </c>
      <c r="D1649" s="49">
        <v>45991</v>
      </c>
      <c r="E1649" s="49">
        <v>45992</v>
      </c>
      <c r="F1649" s="49">
        <v>45993</v>
      </c>
      <c r="G1649" s="49">
        <v>45996</v>
      </c>
      <c r="H1649" s="49">
        <v>45998</v>
      </c>
      <c r="I1649" s="49">
        <v>45999</v>
      </c>
      <c r="J1649" t="s">
        <v>47</v>
      </c>
      <c r="K1649" s="33">
        <v>2300</v>
      </c>
      <c r="M1649" t="str">
        <f>_xlfn.XLOOKUP(Pipeline_tbl[[#This Row],[Rep_ID]],Dim_Reps!A:A,Dim_Reps!K:K)</f>
        <v>USD</v>
      </c>
      <c r="N1649" s="33">
        <f>(_xlfn.XLOOKUP(Pipeline_tbl[[#This Row],[Rate_Code_Generalized]],Lookups!A:A,Lookups!B:B))*Pipeline_tbl[[#This Row],[Pipeline_Amount_USD]]</f>
        <v>2677.89</v>
      </c>
      <c r="O1649" t="str">
        <f>_xlfn.XLOOKUP(Pipeline_tbl[[#This Row],[Rep_ID]],Dim_Reps!A:A,Dim_Reps!B:B)</f>
        <v>Noah Adler</v>
      </c>
      <c r="P1649" t="str">
        <f>_xlfn.XLOOKUP(Pipeline_tbl[[#This Row],[Rep_ID]],Dim_Reps!A:A,Dim_Reps!C:C)</f>
        <v>SDR / Inside Sales Rep</v>
      </c>
      <c r="Q1649" t="str">
        <f>_xlfn.XLOOKUP(Pipeline_tbl[[#This Row],[Rep_ID]],Dim_Reps!A:A,Dim_Reps!D:D)</f>
        <v>Inside Sales</v>
      </c>
      <c r="R1649" t="str">
        <f>_xlfn.XLOOKUP(Pipeline_tbl[[#This Row],[Rep_ID]],Dim_Reps!A:A,Dim_Reps!E:E)</f>
        <v>NAMER</v>
      </c>
      <c r="S1649" t="str">
        <f>_xlfn.XLOOKUP(Pipeline_tbl[[#This Row],[Created_Date]],Dim_Date!A:A,Dim_Date!H:H)</f>
        <v>Nov 2025</v>
      </c>
      <c r="T1649" t="str">
        <f>IF(Pipeline_tbl[[#This Row],[Closed_Date]]=0,"",(_xlfn.XLOOKUP(Pipeline_tbl[[#This Row],[Closed_Date]],Dim_Date!A:A,Dim_Date!H:H)))</f>
        <v>Dec 2025</v>
      </c>
      <c r="U1649">
        <f>IF(Pipeline_tbl[[#This Row],[Closed_Date]]=0,"",Pipeline_tbl[[#This Row],[Closed_Date]]-Pipeline_tbl[[#This Row],[Created_Date]])</f>
        <v>8</v>
      </c>
    </row>
    <row r="1650" spans="1:21" ht="15" customHeight="1" x14ac:dyDescent="0.2">
      <c r="A1650" t="s">
        <v>1956</v>
      </c>
      <c r="B1650" t="s">
        <v>239</v>
      </c>
      <c r="C1650" t="s">
        <v>55</v>
      </c>
      <c r="D1650" s="49">
        <v>45975</v>
      </c>
      <c r="E1650" s="49">
        <v>45977</v>
      </c>
      <c r="F1650" s="49">
        <v>45981</v>
      </c>
      <c r="G1650" s="49">
        <v>45988</v>
      </c>
      <c r="H1650" s="49">
        <v>45993</v>
      </c>
      <c r="I1650" s="49">
        <v>45996</v>
      </c>
      <c r="J1650" t="s">
        <v>47</v>
      </c>
      <c r="K1650" s="33">
        <v>3500</v>
      </c>
      <c r="M1650" t="str">
        <f>_xlfn.XLOOKUP(Pipeline_tbl[[#This Row],[Rep_ID]],Dim_Reps!A:A,Dim_Reps!K:K)</f>
        <v>USD</v>
      </c>
      <c r="N1650" s="33">
        <f>(_xlfn.XLOOKUP(Pipeline_tbl[[#This Row],[Rate_Code_Generalized]],Lookups!A:A,Lookups!B:B))*Pipeline_tbl[[#This Row],[Pipeline_Amount_USD]]</f>
        <v>4075.0499999999997</v>
      </c>
      <c r="O1650" t="str">
        <f>_xlfn.XLOOKUP(Pipeline_tbl[[#This Row],[Rep_ID]],Dim_Reps!A:A,Dim_Reps!B:B)</f>
        <v>Noah Adler</v>
      </c>
      <c r="P1650" t="str">
        <f>_xlfn.XLOOKUP(Pipeline_tbl[[#This Row],[Rep_ID]],Dim_Reps!A:A,Dim_Reps!C:C)</f>
        <v>SDR / Inside Sales Rep</v>
      </c>
      <c r="Q1650" t="str">
        <f>_xlfn.XLOOKUP(Pipeline_tbl[[#This Row],[Rep_ID]],Dim_Reps!A:A,Dim_Reps!D:D)</f>
        <v>Inside Sales</v>
      </c>
      <c r="R1650" t="str">
        <f>_xlfn.XLOOKUP(Pipeline_tbl[[#This Row],[Rep_ID]],Dim_Reps!A:A,Dim_Reps!E:E)</f>
        <v>NAMER</v>
      </c>
      <c r="S1650" t="str">
        <f>_xlfn.XLOOKUP(Pipeline_tbl[[#This Row],[Created_Date]],Dim_Date!A:A,Dim_Date!H:H)</f>
        <v>Nov 2025</v>
      </c>
      <c r="T1650" t="str">
        <f>IF(Pipeline_tbl[[#This Row],[Closed_Date]]=0,"",(_xlfn.XLOOKUP(Pipeline_tbl[[#This Row],[Closed_Date]],Dim_Date!A:A,Dim_Date!H:H)))</f>
        <v>Dec 2025</v>
      </c>
      <c r="U1650">
        <f>IF(Pipeline_tbl[[#This Row],[Closed_Date]]=0,"",Pipeline_tbl[[#This Row],[Closed_Date]]-Pipeline_tbl[[#This Row],[Created_Date]])</f>
        <v>21</v>
      </c>
    </row>
    <row r="1651" spans="1:21" ht="15" customHeight="1" x14ac:dyDescent="0.2">
      <c r="A1651" t="s">
        <v>1957</v>
      </c>
      <c r="B1651" t="s">
        <v>239</v>
      </c>
      <c r="C1651" t="s">
        <v>54</v>
      </c>
      <c r="D1651" s="49">
        <v>45988</v>
      </c>
      <c r="E1651" s="49">
        <v>45990</v>
      </c>
      <c r="F1651" s="49">
        <v>45993</v>
      </c>
      <c r="G1651" s="49">
        <v>45998</v>
      </c>
      <c r="H1651" s="49">
        <v>46002</v>
      </c>
      <c r="I1651" s="49">
        <v>46004</v>
      </c>
      <c r="J1651" t="s">
        <v>47</v>
      </c>
      <c r="K1651" s="33">
        <v>1700</v>
      </c>
      <c r="M1651" t="str">
        <f>_xlfn.XLOOKUP(Pipeline_tbl[[#This Row],[Rep_ID]],Dim_Reps!A:A,Dim_Reps!K:K)</f>
        <v>USD</v>
      </c>
      <c r="N1651" s="33">
        <f>(_xlfn.XLOOKUP(Pipeline_tbl[[#This Row],[Rate_Code_Generalized]],Lookups!A:A,Lookups!B:B))*Pipeline_tbl[[#This Row],[Pipeline_Amount_USD]]</f>
        <v>1979.3099999999997</v>
      </c>
      <c r="O1651" t="str">
        <f>_xlfn.XLOOKUP(Pipeline_tbl[[#This Row],[Rep_ID]],Dim_Reps!A:A,Dim_Reps!B:B)</f>
        <v>Noah Adler</v>
      </c>
      <c r="P1651" t="str">
        <f>_xlfn.XLOOKUP(Pipeline_tbl[[#This Row],[Rep_ID]],Dim_Reps!A:A,Dim_Reps!C:C)</f>
        <v>SDR / Inside Sales Rep</v>
      </c>
      <c r="Q1651" t="str">
        <f>_xlfn.XLOOKUP(Pipeline_tbl[[#This Row],[Rep_ID]],Dim_Reps!A:A,Dim_Reps!D:D)</f>
        <v>Inside Sales</v>
      </c>
      <c r="R1651" t="str">
        <f>_xlfn.XLOOKUP(Pipeline_tbl[[#This Row],[Rep_ID]],Dim_Reps!A:A,Dim_Reps!E:E)</f>
        <v>NAMER</v>
      </c>
      <c r="S1651" t="str">
        <f>_xlfn.XLOOKUP(Pipeline_tbl[[#This Row],[Created_Date]],Dim_Date!A:A,Dim_Date!H:H)</f>
        <v>Nov 2025</v>
      </c>
      <c r="T1651" t="str">
        <f>IF(Pipeline_tbl[[#This Row],[Closed_Date]]=0,"",(_xlfn.XLOOKUP(Pipeline_tbl[[#This Row],[Closed_Date]],Dim_Date!A:A,Dim_Date!H:H)))</f>
        <v>Dec 2025</v>
      </c>
      <c r="U1651">
        <f>IF(Pipeline_tbl[[#This Row],[Closed_Date]]=0,"",Pipeline_tbl[[#This Row],[Closed_Date]]-Pipeline_tbl[[#This Row],[Created_Date]])</f>
        <v>16</v>
      </c>
    </row>
    <row r="1652" spans="1:21" ht="15" customHeight="1" x14ac:dyDescent="0.2">
      <c r="A1652" t="s">
        <v>1958</v>
      </c>
      <c r="B1652" t="s">
        <v>271</v>
      </c>
      <c r="C1652" t="s">
        <v>53</v>
      </c>
      <c r="D1652" s="49">
        <v>45963</v>
      </c>
      <c r="E1652" s="49">
        <v>45967</v>
      </c>
      <c r="F1652" s="49">
        <v>45975</v>
      </c>
      <c r="G1652" s="49">
        <v>45986</v>
      </c>
      <c r="I1652" s="49">
        <v>46002</v>
      </c>
      <c r="J1652" t="s">
        <v>49</v>
      </c>
      <c r="K1652" s="33">
        <v>7800</v>
      </c>
      <c r="L1652" t="s">
        <v>62</v>
      </c>
      <c r="M1652" t="str">
        <f>_xlfn.XLOOKUP(Pipeline_tbl[[#This Row],[Rep_ID]],Dim_Reps!A:A,Dim_Reps!K:K)</f>
        <v>EUR</v>
      </c>
      <c r="N1652" s="33">
        <f>(_xlfn.XLOOKUP(Pipeline_tbl[[#This Row],[Rate_Code_Generalized]],Lookups!A:A,Lookups!B:B))*Pipeline_tbl[[#This Row],[Pipeline_Amount_USD]]</f>
        <v>7800</v>
      </c>
      <c r="O1652" t="str">
        <f>_xlfn.XLOOKUP(Pipeline_tbl[[#This Row],[Rep_ID]],Dim_Reps!A:A,Dim_Reps!B:B)</f>
        <v>Ivy Adler</v>
      </c>
      <c r="P1652" t="str">
        <f>_xlfn.XLOOKUP(Pipeline_tbl[[#This Row],[Rep_ID]],Dim_Reps!A:A,Dim_Reps!C:C)</f>
        <v>Mid-Market AE</v>
      </c>
      <c r="Q1652" t="str">
        <f>_xlfn.XLOOKUP(Pipeline_tbl[[#This Row],[Rep_ID]],Dim_Reps!A:A,Dim_Reps!D:D)</f>
        <v>Mid-Market</v>
      </c>
      <c r="R1652" t="str">
        <f>_xlfn.XLOOKUP(Pipeline_tbl[[#This Row],[Rep_ID]],Dim_Reps!A:A,Dim_Reps!E:E)</f>
        <v>APAC</v>
      </c>
      <c r="S1652" t="str">
        <f>_xlfn.XLOOKUP(Pipeline_tbl[[#This Row],[Created_Date]],Dim_Date!A:A,Dim_Date!H:H)</f>
        <v>Nov 2025</v>
      </c>
      <c r="T1652" t="str">
        <f>IF(Pipeline_tbl[[#This Row],[Closed_Date]]=0,"",(_xlfn.XLOOKUP(Pipeline_tbl[[#This Row],[Closed_Date]],Dim_Date!A:A,Dim_Date!H:H)))</f>
        <v>Dec 2025</v>
      </c>
      <c r="U1652">
        <f>IF(Pipeline_tbl[[#This Row],[Closed_Date]]=0,"",Pipeline_tbl[[#This Row],[Closed_Date]]-Pipeline_tbl[[#This Row],[Created_Date]])</f>
        <v>39</v>
      </c>
    </row>
    <row r="1653" spans="1:21" ht="15" customHeight="1" x14ac:dyDescent="0.2">
      <c r="A1653" t="s">
        <v>1959</v>
      </c>
      <c r="B1653" t="s">
        <v>271</v>
      </c>
      <c r="C1653" t="s">
        <v>52</v>
      </c>
      <c r="D1653" s="49">
        <v>45974</v>
      </c>
      <c r="E1653" s="49">
        <v>45978</v>
      </c>
      <c r="F1653" s="49">
        <v>45985</v>
      </c>
      <c r="G1653" s="49">
        <v>45996</v>
      </c>
      <c r="H1653" s="49">
        <v>46005</v>
      </c>
      <c r="I1653" s="49">
        <v>46010</v>
      </c>
      <c r="J1653" t="s">
        <v>49</v>
      </c>
      <c r="K1653" s="33">
        <v>12500</v>
      </c>
      <c r="L1653" t="s">
        <v>61</v>
      </c>
      <c r="M1653" t="str">
        <f>_xlfn.XLOOKUP(Pipeline_tbl[[#This Row],[Rep_ID]],Dim_Reps!A:A,Dim_Reps!K:K)</f>
        <v>EUR</v>
      </c>
      <c r="N1653" s="33">
        <f>(_xlfn.XLOOKUP(Pipeline_tbl[[#This Row],[Rate_Code_Generalized]],Lookups!A:A,Lookups!B:B))*Pipeline_tbl[[#This Row],[Pipeline_Amount_USD]]</f>
        <v>12500</v>
      </c>
      <c r="O1653" t="str">
        <f>_xlfn.XLOOKUP(Pipeline_tbl[[#This Row],[Rep_ID]],Dim_Reps!A:A,Dim_Reps!B:B)</f>
        <v>Ivy Adler</v>
      </c>
      <c r="P1653" t="str">
        <f>_xlfn.XLOOKUP(Pipeline_tbl[[#This Row],[Rep_ID]],Dim_Reps!A:A,Dim_Reps!C:C)</f>
        <v>Mid-Market AE</v>
      </c>
      <c r="Q1653" t="str">
        <f>_xlfn.XLOOKUP(Pipeline_tbl[[#This Row],[Rep_ID]],Dim_Reps!A:A,Dim_Reps!D:D)</f>
        <v>Mid-Market</v>
      </c>
      <c r="R1653" t="str">
        <f>_xlfn.XLOOKUP(Pipeline_tbl[[#This Row],[Rep_ID]],Dim_Reps!A:A,Dim_Reps!E:E)</f>
        <v>APAC</v>
      </c>
      <c r="S1653" t="str">
        <f>_xlfn.XLOOKUP(Pipeline_tbl[[#This Row],[Created_Date]],Dim_Date!A:A,Dim_Date!H:H)</f>
        <v>Nov 2025</v>
      </c>
      <c r="T1653" t="str">
        <f>IF(Pipeline_tbl[[#This Row],[Closed_Date]]=0,"",(_xlfn.XLOOKUP(Pipeline_tbl[[#This Row],[Closed_Date]],Dim_Date!A:A,Dim_Date!H:H)))</f>
        <v>Dec 2025</v>
      </c>
      <c r="U1653">
        <f>IF(Pipeline_tbl[[#This Row],[Closed_Date]]=0,"",Pipeline_tbl[[#This Row],[Closed_Date]]-Pipeline_tbl[[#This Row],[Created_Date]])</f>
        <v>36</v>
      </c>
    </row>
    <row r="1654" spans="1:21" ht="15" customHeight="1" x14ac:dyDescent="0.2">
      <c r="A1654" t="s">
        <v>1960</v>
      </c>
      <c r="B1654" t="s">
        <v>271</v>
      </c>
      <c r="C1654" t="s">
        <v>54</v>
      </c>
      <c r="D1654" s="49">
        <v>45974</v>
      </c>
      <c r="E1654" s="49">
        <v>45978</v>
      </c>
      <c r="F1654" s="49">
        <v>45986</v>
      </c>
      <c r="G1654" s="49">
        <v>45998</v>
      </c>
      <c r="H1654" s="49">
        <v>46008</v>
      </c>
      <c r="I1654" s="49">
        <v>46014</v>
      </c>
      <c r="J1654" t="s">
        <v>47</v>
      </c>
      <c r="K1654" s="33">
        <v>30800</v>
      </c>
      <c r="M1654" t="str">
        <f>_xlfn.XLOOKUP(Pipeline_tbl[[#This Row],[Rep_ID]],Dim_Reps!A:A,Dim_Reps!K:K)</f>
        <v>EUR</v>
      </c>
      <c r="N1654" s="33">
        <f>(_xlfn.XLOOKUP(Pipeline_tbl[[#This Row],[Rate_Code_Generalized]],Lookups!A:A,Lookups!B:B))*Pipeline_tbl[[#This Row],[Pipeline_Amount_USD]]</f>
        <v>30800</v>
      </c>
      <c r="O1654" t="str">
        <f>_xlfn.XLOOKUP(Pipeline_tbl[[#This Row],[Rep_ID]],Dim_Reps!A:A,Dim_Reps!B:B)</f>
        <v>Ivy Adler</v>
      </c>
      <c r="P1654" t="str">
        <f>_xlfn.XLOOKUP(Pipeline_tbl[[#This Row],[Rep_ID]],Dim_Reps!A:A,Dim_Reps!C:C)</f>
        <v>Mid-Market AE</v>
      </c>
      <c r="Q1654" t="str">
        <f>_xlfn.XLOOKUP(Pipeline_tbl[[#This Row],[Rep_ID]],Dim_Reps!A:A,Dim_Reps!D:D)</f>
        <v>Mid-Market</v>
      </c>
      <c r="R1654" t="str">
        <f>_xlfn.XLOOKUP(Pipeline_tbl[[#This Row],[Rep_ID]],Dim_Reps!A:A,Dim_Reps!E:E)</f>
        <v>APAC</v>
      </c>
      <c r="S1654" t="str">
        <f>_xlfn.XLOOKUP(Pipeline_tbl[[#This Row],[Created_Date]],Dim_Date!A:A,Dim_Date!H:H)</f>
        <v>Nov 2025</v>
      </c>
      <c r="T1654" t="str">
        <f>IF(Pipeline_tbl[[#This Row],[Closed_Date]]=0,"",(_xlfn.XLOOKUP(Pipeline_tbl[[#This Row],[Closed_Date]],Dim_Date!A:A,Dim_Date!H:H)))</f>
        <v>Dec 2025</v>
      </c>
      <c r="U1654">
        <f>IF(Pipeline_tbl[[#This Row],[Closed_Date]]=0,"",Pipeline_tbl[[#This Row],[Closed_Date]]-Pipeline_tbl[[#This Row],[Created_Date]])</f>
        <v>40</v>
      </c>
    </row>
    <row r="1655" spans="1:21" ht="15" customHeight="1" x14ac:dyDescent="0.2">
      <c r="A1655" t="s">
        <v>1961</v>
      </c>
      <c r="B1655" t="s">
        <v>271</v>
      </c>
      <c r="C1655" t="s">
        <v>52</v>
      </c>
      <c r="D1655" s="49">
        <v>45975</v>
      </c>
      <c r="E1655" s="49">
        <v>45977</v>
      </c>
      <c r="F1655" s="49">
        <v>45982</v>
      </c>
      <c r="G1655" s="49">
        <v>45989</v>
      </c>
      <c r="H1655" s="49">
        <v>45995</v>
      </c>
      <c r="I1655" s="49">
        <v>45999</v>
      </c>
      <c r="J1655" t="s">
        <v>49</v>
      </c>
      <c r="K1655" s="33">
        <v>7900</v>
      </c>
      <c r="L1655" t="s">
        <v>60</v>
      </c>
      <c r="M1655" t="str">
        <f>_xlfn.XLOOKUP(Pipeline_tbl[[#This Row],[Rep_ID]],Dim_Reps!A:A,Dim_Reps!K:K)</f>
        <v>EUR</v>
      </c>
      <c r="N1655" s="33">
        <f>(_xlfn.XLOOKUP(Pipeline_tbl[[#This Row],[Rate_Code_Generalized]],Lookups!A:A,Lookups!B:B))*Pipeline_tbl[[#This Row],[Pipeline_Amount_USD]]</f>
        <v>7900</v>
      </c>
      <c r="O1655" t="str">
        <f>_xlfn.XLOOKUP(Pipeline_tbl[[#This Row],[Rep_ID]],Dim_Reps!A:A,Dim_Reps!B:B)</f>
        <v>Ivy Adler</v>
      </c>
      <c r="P1655" t="str">
        <f>_xlfn.XLOOKUP(Pipeline_tbl[[#This Row],[Rep_ID]],Dim_Reps!A:A,Dim_Reps!C:C)</f>
        <v>Mid-Market AE</v>
      </c>
      <c r="Q1655" t="str">
        <f>_xlfn.XLOOKUP(Pipeline_tbl[[#This Row],[Rep_ID]],Dim_Reps!A:A,Dim_Reps!D:D)</f>
        <v>Mid-Market</v>
      </c>
      <c r="R1655" t="str">
        <f>_xlfn.XLOOKUP(Pipeline_tbl[[#This Row],[Rep_ID]],Dim_Reps!A:A,Dim_Reps!E:E)</f>
        <v>APAC</v>
      </c>
      <c r="S1655" t="str">
        <f>_xlfn.XLOOKUP(Pipeline_tbl[[#This Row],[Created_Date]],Dim_Date!A:A,Dim_Date!H:H)</f>
        <v>Nov 2025</v>
      </c>
      <c r="T1655" t="str">
        <f>IF(Pipeline_tbl[[#This Row],[Closed_Date]]=0,"",(_xlfn.XLOOKUP(Pipeline_tbl[[#This Row],[Closed_Date]],Dim_Date!A:A,Dim_Date!H:H)))</f>
        <v>Dec 2025</v>
      </c>
      <c r="U1655">
        <f>IF(Pipeline_tbl[[#This Row],[Closed_Date]]=0,"",Pipeline_tbl[[#This Row],[Closed_Date]]-Pipeline_tbl[[#This Row],[Created_Date]])</f>
        <v>24</v>
      </c>
    </row>
    <row r="1656" spans="1:21" ht="15" customHeight="1" x14ac:dyDescent="0.2">
      <c r="A1656" t="s">
        <v>1962</v>
      </c>
      <c r="B1656" t="s">
        <v>271</v>
      </c>
      <c r="C1656" t="s">
        <v>53</v>
      </c>
      <c r="D1656" s="49">
        <v>45987</v>
      </c>
      <c r="E1656" s="49">
        <v>45989</v>
      </c>
      <c r="F1656" s="49">
        <v>45995</v>
      </c>
      <c r="G1656" s="49">
        <v>46002</v>
      </c>
      <c r="I1656" s="49">
        <v>46012</v>
      </c>
      <c r="J1656" t="s">
        <v>49</v>
      </c>
      <c r="K1656" s="33">
        <v>6000</v>
      </c>
      <c r="L1656" t="s">
        <v>61</v>
      </c>
      <c r="M1656" t="str">
        <f>_xlfn.XLOOKUP(Pipeline_tbl[[#This Row],[Rep_ID]],Dim_Reps!A:A,Dim_Reps!K:K)</f>
        <v>EUR</v>
      </c>
      <c r="N1656" s="33">
        <f>(_xlfn.XLOOKUP(Pipeline_tbl[[#This Row],[Rate_Code_Generalized]],Lookups!A:A,Lookups!B:B))*Pipeline_tbl[[#This Row],[Pipeline_Amount_USD]]</f>
        <v>6000</v>
      </c>
      <c r="O1656" t="str">
        <f>_xlfn.XLOOKUP(Pipeline_tbl[[#This Row],[Rep_ID]],Dim_Reps!A:A,Dim_Reps!B:B)</f>
        <v>Ivy Adler</v>
      </c>
      <c r="P1656" t="str">
        <f>_xlfn.XLOOKUP(Pipeline_tbl[[#This Row],[Rep_ID]],Dim_Reps!A:A,Dim_Reps!C:C)</f>
        <v>Mid-Market AE</v>
      </c>
      <c r="Q1656" t="str">
        <f>_xlfn.XLOOKUP(Pipeline_tbl[[#This Row],[Rep_ID]],Dim_Reps!A:A,Dim_Reps!D:D)</f>
        <v>Mid-Market</v>
      </c>
      <c r="R1656" t="str">
        <f>_xlfn.XLOOKUP(Pipeline_tbl[[#This Row],[Rep_ID]],Dim_Reps!A:A,Dim_Reps!E:E)</f>
        <v>APAC</v>
      </c>
      <c r="S1656" t="str">
        <f>_xlfn.XLOOKUP(Pipeline_tbl[[#This Row],[Created_Date]],Dim_Date!A:A,Dim_Date!H:H)</f>
        <v>Nov 2025</v>
      </c>
      <c r="T1656" t="str">
        <f>IF(Pipeline_tbl[[#This Row],[Closed_Date]]=0,"",(_xlfn.XLOOKUP(Pipeline_tbl[[#This Row],[Closed_Date]],Dim_Date!A:A,Dim_Date!H:H)))</f>
        <v>Dec 2025</v>
      </c>
      <c r="U1656">
        <f>IF(Pipeline_tbl[[#This Row],[Closed_Date]]=0,"",Pipeline_tbl[[#This Row],[Closed_Date]]-Pipeline_tbl[[#This Row],[Created_Date]])</f>
        <v>25</v>
      </c>
    </row>
    <row r="1657" spans="1:21" ht="15" customHeight="1" x14ac:dyDescent="0.2">
      <c r="A1657" t="s">
        <v>1963</v>
      </c>
      <c r="B1657" t="s">
        <v>271</v>
      </c>
      <c r="C1657" t="s">
        <v>54</v>
      </c>
      <c r="D1657" s="49">
        <v>45972</v>
      </c>
      <c r="E1657" s="49">
        <v>45976</v>
      </c>
      <c r="F1657" s="49">
        <v>45984</v>
      </c>
      <c r="G1657" s="49">
        <v>45996</v>
      </c>
      <c r="H1657" s="49">
        <v>46006</v>
      </c>
      <c r="I1657" s="49">
        <v>46012</v>
      </c>
      <c r="J1657" t="s">
        <v>49</v>
      </c>
      <c r="K1657" s="33">
        <v>9500</v>
      </c>
      <c r="L1657" t="s">
        <v>61</v>
      </c>
      <c r="M1657" t="str">
        <f>_xlfn.XLOOKUP(Pipeline_tbl[[#This Row],[Rep_ID]],Dim_Reps!A:A,Dim_Reps!K:K)</f>
        <v>EUR</v>
      </c>
      <c r="N1657" s="33">
        <f>(_xlfn.XLOOKUP(Pipeline_tbl[[#This Row],[Rate_Code_Generalized]],Lookups!A:A,Lookups!B:B))*Pipeline_tbl[[#This Row],[Pipeline_Amount_USD]]</f>
        <v>9500</v>
      </c>
      <c r="O1657" t="str">
        <f>_xlfn.XLOOKUP(Pipeline_tbl[[#This Row],[Rep_ID]],Dim_Reps!A:A,Dim_Reps!B:B)</f>
        <v>Ivy Adler</v>
      </c>
      <c r="P1657" t="str">
        <f>_xlfn.XLOOKUP(Pipeline_tbl[[#This Row],[Rep_ID]],Dim_Reps!A:A,Dim_Reps!C:C)</f>
        <v>Mid-Market AE</v>
      </c>
      <c r="Q1657" t="str">
        <f>_xlfn.XLOOKUP(Pipeline_tbl[[#This Row],[Rep_ID]],Dim_Reps!A:A,Dim_Reps!D:D)</f>
        <v>Mid-Market</v>
      </c>
      <c r="R1657" t="str">
        <f>_xlfn.XLOOKUP(Pipeline_tbl[[#This Row],[Rep_ID]],Dim_Reps!A:A,Dim_Reps!E:E)</f>
        <v>APAC</v>
      </c>
      <c r="S1657" t="str">
        <f>_xlfn.XLOOKUP(Pipeline_tbl[[#This Row],[Created_Date]],Dim_Date!A:A,Dim_Date!H:H)</f>
        <v>Nov 2025</v>
      </c>
      <c r="T1657" t="str">
        <f>IF(Pipeline_tbl[[#This Row],[Closed_Date]]=0,"",(_xlfn.XLOOKUP(Pipeline_tbl[[#This Row],[Closed_Date]],Dim_Date!A:A,Dim_Date!H:H)))</f>
        <v>Dec 2025</v>
      </c>
      <c r="U1657">
        <f>IF(Pipeline_tbl[[#This Row],[Closed_Date]]=0,"",Pipeline_tbl[[#This Row],[Closed_Date]]-Pipeline_tbl[[#This Row],[Created_Date]])</f>
        <v>40</v>
      </c>
    </row>
    <row r="1658" spans="1:21" ht="15" customHeight="1" x14ac:dyDescent="0.2">
      <c r="A1658" t="s">
        <v>1964</v>
      </c>
      <c r="B1658" t="s">
        <v>273</v>
      </c>
      <c r="C1658" t="s">
        <v>52</v>
      </c>
      <c r="D1658" s="49">
        <v>45968</v>
      </c>
      <c r="E1658" s="49">
        <v>45973</v>
      </c>
      <c r="F1658" s="49">
        <v>45982</v>
      </c>
      <c r="G1658" s="49">
        <v>45996</v>
      </c>
      <c r="H1658" s="49">
        <v>46007</v>
      </c>
      <c r="I1658" s="49">
        <v>46014</v>
      </c>
      <c r="J1658" t="s">
        <v>47</v>
      </c>
      <c r="K1658" s="33">
        <v>13400</v>
      </c>
      <c r="M1658" t="str">
        <f>_xlfn.XLOOKUP(Pipeline_tbl[[#This Row],[Rep_ID]],Dim_Reps!A:A,Dim_Reps!K:K)</f>
        <v>EUR</v>
      </c>
      <c r="N1658" s="33">
        <f>(_xlfn.XLOOKUP(Pipeline_tbl[[#This Row],[Rate_Code_Generalized]],Lookups!A:A,Lookups!B:B))*Pipeline_tbl[[#This Row],[Pipeline_Amount_USD]]</f>
        <v>13400</v>
      </c>
      <c r="O1658" t="str">
        <f>_xlfn.XLOOKUP(Pipeline_tbl[[#This Row],[Rep_ID]],Dim_Reps!A:A,Dim_Reps!B:B)</f>
        <v>Olivia Cohen</v>
      </c>
      <c r="P1658" t="str">
        <f>_xlfn.XLOOKUP(Pipeline_tbl[[#This Row],[Rep_ID]],Dim_Reps!A:A,Dim_Reps!C:C)</f>
        <v>Mid-Market AE</v>
      </c>
      <c r="Q1658" t="str">
        <f>_xlfn.XLOOKUP(Pipeline_tbl[[#This Row],[Rep_ID]],Dim_Reps!A:A,Dim_Reps!D:D)</f>
        <v>Mid-Market</v>
      </c>
      <c r="R1658" t="str">
        <f>_xlfn.XLOOKUP(Pipeline_tbl[[#This Row],[Rep_ID]],Dim_Reps!A:A,Dim_Reps!E:E)</f>
        <v>APAC</v>
      </c>
      <c r="S1658" t="str">
        <f>_xlfn.XLOOKUP(Pipeline_tbl[[#This Row],[Created_Date]],Dim_Date!A:A,Dim_Date!H:H)</f>
        <v>Nov 2025</v>
      </c>
      <c r="T1658" t="str">
        <f>IF(Pipeline_tbl[[#This Row],[Closed_Date]]=0,"",(_xlfn.XLOOKUP(Pipeline_tbl[[#This Row],[Closed_Date]],Dim_Date!A:A,Dim_Date!H:H)))</f>
        <v>Dec 2025</v>
      </c>
      <c r="U1658">
        <f>IF(Pipeline_tbl[[#This Row],[Closed_Date]]=0,"",Pipeline_tbl[[#This Row],[Closed_Date]]-Pipeline_tbl[[#This Row],[Created_Date]])</f>
        <v>46</v>
      </c>
    </row>
    <row r="1659" spans="1:21" ht="15" customHeight="1" x14ac:dyDescent="0.2">
      <c r="A1659" t="s">
        <v>1965</v>
      </c>
      <c r="B1659" t="s">
        <v>273</v>
      </c>
      <c r="C1659" t="s">
        <v>55</v>
      </c>
      <c r="D1659" s="49">
        <v>45986</v>
      </c>
      <c r="E1659" s="49">
        <v>45989</v>
      </c>
      <c r="F1659" s="49">
        <v>45994</v>
      </c>
      <c r="G1659" s="49">
        <v>46002</v>
      </c>
      <c r="H1659" s="49">
        <v>46009</v>
      </c>
      <c r="I1659" s="49">
        <v>46013</v>
      </c>
      <c r="J1659" t="s">
        <v>49</v>
      </c>
      <c r="K1659" s="33">
        <v>8300</v>
      </c>
      <c r="L1659" t="s">
        <v>60</v>
      </c>
      <c r="M1659" t="str">
        <f>_xlfn.XLOOKUP(Pipeline_tbl[[#This Row],[Rep_ID]],Dim_Reps!A:A,Dim_Reps!K:K)</f>
        <v>EUR</v>
      </c>
      <c r="N1659" s="33">
        <f>(_xlfn.XLOOKUP(Pipeline_tbl[[#This Row],[Rate_Code_Generalized]],Lookups!A:A,Lookups!B:B))*Pipeline_tbl[[#This Row],[Pipeline_Amount_USD]]</f>
        <v>8300</v>
      </c>
      <c r="O1659" t="str">
        <f>_xlfn.XLOOKUP(Pipeline_tbl[[#This Row],[Rep_ID]],Dim_Reps!A:A,Dim_Reps!B:B)</f>
        <v>Olivia Cohen</v>
      </c>
      <c r="P1659" t="str">
        <f>_xlfn.XLOOKUP(Pipeline_tbl[[#This Row],[Rep_ID]],Dim_Reps!A:A,Dim_Reps!C:C)</f>
        <v>Mid-Market AE</v>
      </c>
      <c r="Q1659" t="str">
        <f>_xlfn.XLOOKUP(Pipeline_tbl[[#This Row],[Rep_ID]],Dim_Reps!A:A,Dim_Reps!D:D)</f>
        <v>Mid-Market</v>
      </c>
      <c r="R1659" t="str">
        <f>_xlfn.XLOOKUP(Pipeline_tbl[[#This Row],[Rep_ID]],Dim_Reps!A:A,Dim_Reps!E:E)</f>
        <v>APAC</v>
      </c>
      <c r="S1659" t="str">
        <f>_xlfn.XLOOKUP(Pipeline_tbl[[#This Row],[Created_Date]],Dim_Date!A:A,Dim_Date!H:H)</f>
        <v>Nov 2025</v>
      </c>
      <c r="T1659" t="str">
        <f>IF(Pipeline_tbl[[#This Row],[Closed_Date]]=0,"",(_xlfn.XLOOKUP(Pipeline_tbl[[#This Row],[Closed_Date]],Dim_Date!A:A,Dim_Date!H:H)))</f>
        <v>Dec 2025</v>
      </c>
      <c r="U1659">
        <f>IF(Pipeline_tbl[[#This Row],[Closed_Date]]=0,"",Pipeline_tbl[[#This Row],[Closed_Date]]-Pipeline_tbl[[#This Row],[Created_Date]])</f>
        <v>27</v>
      </c>
    </row>
    <row r="1660" spans="1:21" ht="15" customHeight="1" x14ac:dyDescent="0.2">
      <c r="A1660" t="s">
        <v>1966</v>
      </c>
      <c r="B1660" t="s">
        <v>241</v>
      </c>
      <c r="C1660" t="s">
        <v>54</v>
      </c>
      <c r="D1660" s="49">
        <v>45973</v>
      </c>
      <c r="E1660" s="49">
        <v>45975</v>
      </c>
      <c r="F1660" s="49">
        <v>45979</v>
      </c>
      <c r="G1660" s="49">
        <v>45984</v>
      </c>
      <c r="H1660" s="49">
        <v>45989</v>
      </c>
      <c r="I1660" s="49">
        <v>45992</v>
      </c>
      <c r="J1660" t="s">
        <v>47</v>
      </c>
      <c r="K1660" s="33">
        <v>3900</v>
      </c>
      <c r="M1660" t="str">
        <f>_xlfn.XLOOKUP(Pipeline_tbl[[#This Row],[Rep_ID]],Dim_Reps!A:A,Dim_Reps!K:K)</f>
        <v>EUR</v>
      </c>
      <c r="N1660" s="33">
        <f>(_xlfn.XLOOKUP(Pipeline_tbl[[#This Row],[Rate_Code_Generalized]],Lookups!A:A,Lookups!B:B))*Pipeline_tbl[[#This Row],[Pipeline_Amount_USD]]</f>
        <v>3900</v>
      </c>
      <c r="O1660" t="str">
        <f>_xlfn.XLOOKUP(Pipeline_tbl[[#This Row],[Rep_ID]],Dim_Reps!A:A,Dim_Reps!B:B)</f>
        <v>Kenji Weber</v>
      </c>
      <c r="P1660" t="str">
        <f>_xlfn.XLOOKUP(Pipeline_tbl[[#This Row],[Rep_ID]],Dim_Reps!A:A,Dim_Reps!C:C)</f>
        <v>SDR / Inside Sales Rep</v>
      </c>
      <c r="Q1660" t="str">
        <f>_xlfn.XLOOKUP(Pipeline_tbl[[#This Row],[Rep_ID]],Dim_Reps!A:A,Dim_Reps!D:D)</f>
        <v>Inside Sales</v>
      </c>
      <c r="R1660" t="str">
        <f>_xlfn.XLOOKUP(Pipeline_tbl[[#This Row],[Rep_ID]],Dim_Reps!A:A,Dim_Reps!E:E)</f>
        <v>APAC</v>
      </c>
      <c r="S1660" t="str">
        <f>_xlfn.XLOOKUP(Pipeline_tbl[[#This Row],[Created_Date]],Dim_Date!A:A,Dim_Date!H:H)</f>
        <v>Nov 2025</v>
      </c>
      <c r="T1660" t="str">
        <f>IF(Pipeline_tbl[[#This Row],[Closed_Date]]=0,"",(_xlfn.XLOOKUP(Pipeline_tbl[[#This Row],[Closed_Date]],Dim_Date!A:A,Dim_Date!H:H)))</f>
        <v>Dec 2025</v>
      </c>
      <c r="U1660">
        <f>IF(Pipeline_tbl[[#This Row],[Closed_Date]]=0,"",Pipeline_tbl[[#This Row],[Closed_Date]]-Pipeline_tbl[[#This Row],[Created_Date]])</f>
        <v>19</v>
      </c>
    </row>
    <row r="1661" spans="1:21" ht="15" customHeight="1" x14ac:dyDescent="0.2">
      <c r="A1661" t="s">
        <v>1967</v>
      </c>
      <c r="B1661" t="s">
        <v>241</v>
      </c>
      <c r="C1661" t="s">
        <v>54</v>
      </c>
      <c r="D1661" s="49">
        <v>45966</v>
      </c>
      <c r="E1661" s="49">
        <v>45969</v>
      </c>
      <c r="I1661" s="49">
        <v>45997</v>
      </c>
      <c r="J1661" t="s">
        <v>49</v>
      </c>
      <c r="K1661" s="33">
        <v>2300</v>
      </c>
      <c r="L1661" t="s">
        <v>60</v>
      </c>
      <c r="M1661" t="str">
        <f>_xlfn.XLOOKUP(Pipeline_tbl[[#This Row],[Rep_ID]],Dim_Reps!A:A,Dim_Reps!K:K)</f>
        <v>EUR</v>
      </c>
      <c r="N1661" s="33">
        <f>(_xlfn.XLOOKUP(Pipeline_tbl[[#This Row],[Rate_Code_Generalized]],Lookups!A:A,Lookups!B:B))*Pipeline_tbl[[#This Row],[Pipeline_Amount_USD]]</f>
        <v>2300</v>
      </c>
      <c r="O1661" t="str">
        <f>_xlfn.XLOOKUP(Pipeline_tbl[[#This Row],[Rep_ID]],Dim_Reps!A:A,Dim_Reps!B:B)</f>
        <v>Kenji Weber</v>
      </c>
      <c r="P1661" t="str">
        <f>_xlfn.XLOOKUP(Pipeline_tbl[[#This Row],[Rep_ID]],Dim_Reps!A:A,Dim_Reps!C:C)</f>
        <v>SDR / Inside Sales Rep</v>
      </c>
      <c r="Q1661" t="str">
        <f>_xlfn.XLOOKUP(Pipeline_tbl[[#This Row],[Rep_ID]],Dim_Reps!A:A,Dim_Reps!D:D)</f>
        <v>Inside Sales</v>
      </c>
      <c r="R1661" t="str">
        <f>_xlfn.XLOOKUP(Pipeline_tbl[[#This Row],[Rep_ID]],Dim_Reps!A:A,Dim_Reps!E:E)</f>
        <v>APAC</v>
      </c>
      <c r="S1661" t="str">
        <f>_xlfn.XLOOKUP(Pipeline_tbl[[#This Row],[Created_Date]],Dim_Date!A:A,Dim_Date!H:H)</f>
        <v>Nov 2025</v>
      </c>
      <c r="T1661" t="str">
        <f>IF(Pipeline_tbl[[#This Row],[Closed_Date]]=0,"",(_xlfn.XLOOKUP(Pipeline_tbl[[#This Row],[Closed_Date]],Dim_Date!A:A,Dim_Date!H:H)))</f>
        <v>Dec 2025</v>
      </c>
      <c r="U1661">
        <f>IF(Pipeline_tbl[[#This Row],[Closed_Date]]=0,"",Pipeline_tbl[[#This Row],[Closed_Date]]-Pipeline_tbl[[#This Row],[Created_Date]])</f>
        <v>31</v>
      </c>
    </row>
    <row r="1662" spans="1:21" ht="15" customHeight="1" x14ac:dyDescent="0.2">
      <c r="A1662" t="s">
        <v>1968</v>
      </c>
      <c r="B1662" t="s">
        <v>241</v>
      </c>
      <c r="C1662" t="s">
        <v>53</v>
      </c>
      <c r="D1662" s="49">
        <v>45983</v>
      </c>
      <c r="E1662" s="49">
        <v>45984</v>
      </c>
      <c r="F1662" s="49">
        <v>45986</v>
      </c>
      <c r="G1662" s="49">
        <v>45990</v>
      </c>
      <c r="H1662" s="49">
        <v>45992</v>
      </c>
      <c r="I1662" s="49">
        <v>45994</v>
      </c>
      <c r="J1662" t="s">
        <v>47</v>
      </c>
      <c r="K1662" s="33">
        <v>3800</v>
      </c>
      <c r="M1662" t="str">
        <f>_xlfn.XLOOKUP(Pipeline_tbl[[#This Row],[Rep_ID]],Dim_Reps!A:A,Dim_Reps!K:K)</f>
        <v>EUR</v>
      </c>
      <c r="N1662" s="33">
        <f>(_xlfn.XLOOKUP(Pipeline_tbl[[#This Row],[Rate_Code_Generalized]],Lookups!A:A,Lookups!B:B))*Pipeline_tbl[[#This Row],[Pipeline_Amount_USD]]</f>
        <v>3800</v>
      </c>
      <c r="O1662" t="str">
        <f>_xlfn.XLOOKUP(Pipeline_tbl[[#This Row],[Rep_ID]],Dim_Reps!A:A,Dim_Reps!B:B)</f>
        <v>Kenji Weber</v>
      </c>
      <c r="P1662" t="str">
        <f>_xlfn.XLOOKUP(Pipeline_tbl[[#This Row],[Rep_ID]],Dim_Reps!A:A,Dim_Reps!C:C)</f>
        <v>SDR / Inside Sales Rep</v>
      </c>
      <c r="Q1662" t="str">
        <f>_xlfn.XLOOKUP(Pipeline_tbl[[#This Row],[Rep_ID]],Dim_Reps!A:A,Dim_Reps!D:D)</f>
        <v>Inside Sales</v>
      </c>
      <c r="R1662" t="str">
        <f>_xlfn.XLOOKUP(Pipeline_tbl[[#This Row],[Rep_ID]],Dim_Reps!A:A,Dim_Reps!E:E)</f>
        <v>APAC</v>
      </c>
      <c r="S1662" t="str">
        <f>_xlfn.XLOOKUP(Pipeline_tbl[[#This Row],[Created_Date]],Dim_Date!A:A,Dim_Date!H:H)</f>
        <v>Nov 2025</v>
      </c>
      <c r="T1662" t="str">
        <f>IF(Pipeline_tbl[[#This Row],[Closed_Date]]=0,"",(_xlfn.XLOOKUP(Pipeline_tbl[[#This Row],[Closed_Date]],Dim_Date!A:A,Dim_Date!H:H)))</f>
        <v>Dec 2025</v>
      </c>
      <c r="U1662">
        <f>IF(Pipeline_tbl[[#This Row],[Closed_Date]]=0,"",Pipeline_tbl[[#This Row],[Closed_Date]]-Pipeline_tbl[[#This Row],[Created_Date]])</f>
        <v>11</v>
      </c>
    </row>
    <row r="1663" spans="1:21" ht="15" customHeight="1" x14ac:dyDescent="0.2">
      <c r="A1663" t="s">
        <v>1969</v>
      </c>
      <c r="B1663" t="s">
        <v>241</v>
      </c>
      <c r="C1663" t="s">
        <v>55</v>
      </c>
      <c r="D1663" s="49">
        <v>45985</v>
      </c>
      <c r="E1663" s="49">
        <v>45987</v>
      </c>
      <c r="F1663" s="49">
        <v>45991</v>
      </c>
      <c r="G1663" s="49">
        <v>45997</v>
      </c>
      <c r="H1663" s="49">
        <v>46002</v>
      </c>
      <c r="I1663" s="49">
        <v>46005</v>
      </c>
      <c r="J1663" t="s">
        <v>47</v>
      </c>
      <c r="K1663" s="33">
        <v>5800</v>
      </c>
      <c r="M1663" t="str">
        <f>_xlfn.XLOOKUP(Pipeline_tbl[[#This Row],[Rep_ID]],Dim_Reps!A:A,Dim_Reps!K:K)</f>
        <v>EUR</v>
      </c>
      <c r="N1663" s="33">
        <f>(_xlfn.XLOOKUP(Pipeline_tbl[[#This Row],[Rate_Code_Generalized]],Lookups!A:A,Lookups!B:B))*Pipeline_tbl[[#This Row],[Pipeline_Amount_USD]]</f>
        <v>5800</v>
      </c>
      <c r="O1663" t="str">
        <f>_xlfn.XLOOKUP(Pipeline_tbl[[#This Row],[Rep_ID]],Dim_Reps!A:A,Dim_Reps!B:B)</f>
        <v>Kenji Weber</v>
      </c>
      <c r="P1663" t="str">
        <f>_xlfn.XLOOKUP(Pipeline_tbl[[#This Row],[Rep_ID]],Dim_Reps!A:A,Dim_Reps!C:C)</f>
        <v>SDR / Inside Sales Rep</v>
      </c>
      <c r="Q1663" t="str">
        <f>_xlfn.XLOOKUP(Pipeline_tbl[[#This Row],[Rep_ID]],Dim_Reps!A:A,Dim_Reps!D:D)</f>
        <v>Inside Sales</v>
      </c>
      <c r="R1663" t="str">
        <f>_xlfn.XLOOKUP(Pipeline_tbl[[#This Row],[Rep_ID]],Dim_Reps!A:A,Dim_Reps!E:E)</f>
        <v>APAC</v>
      </c>
      <c r="S1663" t="str">
        <f>_xlfn.XLOOKUP(Pipeline_tbl[[#This Row],[Created_Date]],Dim_Date!A:A,Dim_Date!H:H)</f>
        <v>Nov 2025</v>
      </c>
      <c r="T1663" t="str">
        <f>IF(Pipeline_tbl[[#This Row],[Closed_Date]]=0,"",(_xlfn.XLOOKUP(Pipeline_tbl[[#This Row],[Closed_Date]],Dim_Date!A:A,Dim_Date!H:H)))</f>
        <v>Dec 2025</v>
      </c>
      <c r="U1663">
        <f>IF(Pipeline_tbl[[#This Row],[Closed_Date]]=0,"",Pipeline_tbl[[#This Row],[Closed_Date]]-Pipeline_tbl[[#This Row],[Created_Date]])</f>
        <v>20</v>
      </c>
    </row>
    <row r="1664" spans="1:21" ht="15" customHeight="1" x14ac:dyDescent="0.2">
      <c r="A1664" t="s">
        <v>1970</v>
      </c>
      <c r="B1664" t="s">
        <v>241</v>
      </c>
      <c r="C1664" t="s">
        <v>54</v>
      </c>
      <c r="D1664" s="49">
        <v>45972</v>
      </c>
      <c r="E1664" s="49">
        <v>45974</v>
      </c>
      <c r="F1664" s="49">
        <v>45979</v>
      </c>
      <c r="G1664" s="49">
        <v>45985</v>
      </c>
      <c r="H1664" s="49">
        <v>45991</v>
      </c>
      <c r="I1664" s="49">
        <v>45994</v>
      </c>
      <c r="J1664" t="s">
        <v>47</v>
      </c>
      <c r="K1664" s="33">
        <v>3600</v>
      </c>
      <c r="M1664" t="str">
        <f>_xlfn.XLOOKUP(Pipeline_tbl[[#This Row],[Rep_ID]],Dim_Reps!A:A,Dim_Reps!K:K)</f>
        <v>EUR</v>
      </c>
      <c r="N1664" s="33">
        <f>(_xlfn.XLOOKUP(Pipeline_tbl[[#This Row],[Rate_Code_Generalized]],Lookups!A:A,Lookups!B:B))*Pipeline_tbl[[#This Row],[Pipeline_Amount_USD]]</f>
        <v>3600</v>
      </c>
      <c r="O1664" t="str">
        <f>_xlfn.XLOOKUP(Pipeline_tbl[[#This Row],[Rep_ID]],Dim_Reps!A:A,Dim_Reps!B:B)</f>
        <v>Kenji Weber</v>
      </c>
      <c r="P1664" t="str">
        <f>_xlfn.XLOOKUP(Pipeline_tbl[[#This Row],[Rep_ID]],Dim_Reps!A:A,Dim_Reps!C:C)</f>
        <v>SDR / Inside Sales Rep</v>
      </c>
      <c r="Q1664" t="str">
        <f>_xlfn.XLOOKUP(Pipeline_tbl[[#This Row],[Rep_ID]],Dim_Reps!A:A,Dim_Reps!D:D)</f>
        <v>Inside Sales</v>
      </c>
      <c r="R1664" t="str">
        <f>_xlfn.XLOOKUP(Pipeline_tbl[[#This Row],[Rep_ID]],Dim_Reps!A:A,Dim_Reps!E:E)</f>
        <v>APAC</v>
      </c>
      <c r="S1664" t="str">
        <f>_xlfn.XLOOKUP(Pipeline_tbl[[#This Row],[Created_Date]],Dim_Date!A:A,Dim_Date!H:H)</f>
        <v>Nov 2025</v>
      </c>
      <c r="T1664" t="str">
        <f>IF(Pipeline_tbl[[#This Row],[Closed_Date]]=0,"",(_xlfn.XLOOKUP(Pipeline_tbl[[#This Row],[Closed_Date]],Dim_Date!A:A,Dim_Date!H:H)))</f>
        <v>Dec 2025</v>
      </c>
      <c r="U1664">
        <f>IF(Pipeline_tbl[[#This Row],[Closed_Date]]=0,"",Pipeline_tbl[[#This Row],[Closed_Date]]-Pipeline_tbl[[#This Row],[Created_Date]])</f>
        <v>22</v>
      </c>
    </row>
    <row r="1665" spans="1:21" ht="15" customHeight="1" x14ac:dyDescent="0.2">
      <c r="A1665" t="s">
        <v>1971</v>
      </c>
      <c r="B1665" t="s">
        <v>241</v>
      </c>
      <c r="C1665" t="s">
        <v>53</v>
      </c>
      <c r="D1665" s="49">
        <v>45990</v>
      </c>
      <c r="E1665" s="49">
        <v>45992</v>
      </c>
      <c r="F1665" s="49">
        <v>45997</v>
      </c>
      <c r="G1665" s="49">
        <v>46003</v>
      </c>
      <c r="H1665" s="49">
        <v>46009</v>
      </c>
      <c r="I1665" s="49">
        <v>46012</v>
      </c>
      <c r="J1665" t="s">
        <v>49</v>
      </c>
      <c r="K1665" s="33">
        <v>5500</v>
      </c>
      <c r="L1665" t="s">
        <v>60</v>
      </c>
      <c r="M1665" t="str">
        <f>_xlfn.XLOOKUP(Pipeline_tbl[[#This Row],[Rep_ID]],Dim_Reps!A:A,Dim_Reps!K:K)</f>
        <v>EUR</v>
      </c>
      <c r="N1665" s="33">
        <f>(_xlfn.XLOOKUP(Pipeline_tbl[[#This Row],[Rate_Code_Generalized]],Lookups!A:A,Lookups!B:B))*Pipeline_tbl[[#This Row],[Pipeline_Amount_USD]]</f>
        <v>5500</v>
      </c>
      <c r="O1665" t="str">
        <f>_xlfn.XLOOKUP(Pipeline_tbl[[#This Row],[Rep_ID]],Dim_Reps!A:A,Dim_Reps!B:B)</f>
        <v>Kenji Weber</v>
      </c>
      <c r="P1665" t="str">
        <f>_xlfn.XLOOKUP(Pipeline_tbl[[#This Row],[Rep_ID]],Dim_Reps!A:A,Dim_Reps!C:C)</f>
        <v>SDR / Inside Sales Rep</v>
      </c>
      <c r="Q1665" t="str">
        <f>_xlfn.XLOOKUP(Pipeline_tbl[[#This Row],[Rep_ID]],Dim_Reps!A:A,Dim_Reps!D:D)</f>
        <v>Inside Sales</v>
      </c>
      <c r="R1665" t="str">
        <f>_xlfn.XLOOKUP(Pipeline_tbl[[#This Row],[Rep_ID]],Dim_Reps!A:A,Dim_Reps!E:E)</f>
        <v>APAC</v>
      </c>
      <c r="S1665" t="str">
        <f>_xlfn.XLOOKUP(Pipeline_tbl[[#This Row],[Created_Date]],Dim_Date!A:A,Dim_Date!H:H)</f>
        <v>Nov 2025</v>
      </c>
      <c r="T1665" t="str">
        <f>IF(Pipeline_tbl[[#This Row],[Closed_Date]]=0,"",(_xlfn.XLOOKUP(Pipeline_tbl[[#This Row],[Closed_Date]],Dim_Date!A:A,Dim_Date!H:H)))</f>
        <v>Dec 2025</v>
      </c>
      <c r="U1665">
        <f>IF(Pipeline_tbl[[#This Row],[Closed_Date]]=0,"",Pipeline_tbl[[#This Row],[Closed_Date]]-Pipeline_tbl[[#This Row],[Created_Date]])</f>
        <v>22</v>
      </c>
    </row>
    <row r="1666" spans="1:21" ht="15" customHeight="1" x14ac:dyDescent="0.2">
      <c r="A1666" t="s">
        <v>1972</v>
      </c>
      <c r="B1666" t="s">
        <v>241</v>
      </c>
      <c r="C1666" t="s">
        <v>52</v>
      </c>
      <c r="D1666" s="49">
        <v>45976</v>
      </c>
      <c r="E1666" s="49">
        <v>45978</v>
      </c>
      <c r="F1666" s="49">
        <v>45983</v>
      </c>
      <c r="G1666" s="49">
        <v>45990</v>
      </c>
      <c r="H1666" s="49">
        <v>45996</v>
      </c>
      <c r="I1666" s="49">
        <v>45999</v>
      </c>
      <c r="J1666" t="s">
        <v>47</v>
      </c>
      <c r="K1666" s="33">
        <v>3300</v>
      </c>
      <c r="M1666" t="str">
        <f>_xlfn.XLOOKUP(Pipeline_tbl[[#This Row],[Rep_ID]],Dim_Reps!A:A,Dim_Reps!K:K)</f>
        <v>EUR</v>
      </c>
      <c r="N1666" s="33">
        <f>(_xlfn.XLOOKUP(Pipeline_tbl[[#This Row],[Rate_Code_Generalized]],Lookups!A:A,Lookups!B:B))*Pipeline_tbl[[#This Row],[Pipeline_Amount_USD]]</f>
        <v>3300</v>
      </c>
      <c r="O1666" t="str">
        <f>_xlfn.XLOOKUP(Pipeline_tbl[[#This Row],[Rep_ID]],Dim_Reps!A:A,Dim_Reps!B:B)</f>
        <v>Kenji Weber</v>
      </c>
      <c r="P1666" t="str">
        <f>_xlfn.XLOOKUP(Pipeline_tbl[[#This Row],[Rep_ID]],Dim_Reps!A:A,Dim_Reps!C:C)</f>
        <v>SDR / Inside Sales Rep</v>
      </c>
      <c r="Q1666" t="str">
        <f>_xlfn.XLOOKUP(Pipeline_tbl[[#This Row],[Rep_ID]],Dim_Reps!A:A,Dim_Reps!D:D)</f>
        <v>Inside Sales</v>
      </c>
      <c r="R1666" t="str">
        <f>_xlfn.XLOOKUP(Pipeline_tbl[[#This Row],[Rep_ID]],Dim_Reps!A:A,Dim_Reps!E:E)</f>
        <v>APAC</v>
      </c>
      <c r="S1666" t="str">
        <f>_xlfn.XLOOKUP(Pipeline_tbl[[#This Row],[Created_Date]],Dim_Date!A:A,Dim_Date!H:H)</f>
        <v>Nov 2025</v>
      </c>
      <c r="T1666" t="str">
        <f>IF(Pipeline_tbl[[#This Row],[Closed_Date]]=0,"",(_xlfn.XLOOKUP(Pipeline_tbl[[#This Row],[Closed_Date]],Dim_Date!A:A,Dim_Date!H:H)))</f>
        <v>Dec 2025</v>
      </c>
      <c r="U1666">
        <f>IF(Pipeline_tbl[[#This Row],[Closed_Date]]=0,"",Pipeline_tbl[[#This Row],[Closed_Date]]-Pipeline_tbl[[#This Row],[Created_Date]])</f>
        <v>23</v>
      </c>
    </row>
    <row r="1667" spans="1:21" ht="15" customHeight="1" x14ac:dyDescent="0.2">
      <c r="A1667" t="s">
        <v>1973</v>
      </c>
      <c r="B1667" t="s">
        <v>241</v>
      </c>
      <c r="C1667" t="s">
        <v>52</v>
      </c>
      <c r="D1667" s="49">
        <v>45976</v>
      </c>
      <c r="E1667" s="49">
        <v>45978</v>
      </c>
      <c r="F1667" s="49">
        <v>45982</v>
      </c>
      <c r="I1667" s="49">
        <v>45997</v>
      </c>
      <c r="J1667" t="s">
        <v>49</v>
      </c>
      <c r="K1667" s="33">
        <v>3100</v>
      </c>
      <c r="L1667" t="s">
        <v>62</v>
      </c>
      <c r="M1667" t="str">
        <f>_xlfn.XLOOKUP(Pipeline_tbl[[#This Row],[Rep_ID]],Dim_Reps!A:A,Dim_Reps!K:K)</f>
        <v>EUR</v>
      </c>
      <c r="N1667" s="33">
        <f>(_xlfn.XLOOKUP(Pipeline_tbl[[#This Row],[Rate_Code_Generalized]],Lookups!A:A,Lookups!B:B))*Pipeline_tbl[[#This Row],[Pipeline_Amount_USD]]</f>
        <v>3100</v>
      </c>
      <c r="O1667" t="str">
        <f>_xlfn.XLOOKUP(Pipeline_tbl[[#This Row],[Rep_ID]],Dim_Reps!A:A,Dim_Reps!B:B)</f>
        <v>Kenji Weber</v>
      </c>
      <c r="P1667" t="str">
        <f>_xlfn.XLOOKUP(Pipeline_tbl[[#This Row],[Rep_ID]],Dim_Reps!A:A,Dim_Reps!C:C)</f>
        <v>SDR / Inside Sales Rep</v>
      </c>
      <c r="Q1667" t="str">
        <f>_xlfn.XLOOKUP(Pipeline_tbl[[#This Row],[Rep_ID]],Dim_Reps!A:A,Dim_Reps!D:D)</f>
        <v>Inside Sales</v>
      </c>
      <c r="R1667" t="str">
        <f>_xlfn.XLOOKUP(Pipeline_tbl[[#This Row],[Rep_ID]],Dim_Reps!A:A,Dim_Reps!E:E)</f>
        <v>APAC</v>
      </c>
      <c r="S1667" t="str">
        <f>_xlfn.XLOOKUP(Pipeline_tbl[[#This Row],[Created_Date]],Dim_Date!A:A,Dim_Date!H:H)</f>
        <v>Nov 2025</v>
      </c>
      <c r="T1667" t="str">
        <f>IF(Pipeline_tbl[[#This Row],[Closed_Date]]=0,"",(_xlfn.XLOOKUP(Pipeline_tbl[[#This Row],[Closed_Date]],Dim_Date!A:A,Dim_Date!H:H)))</f>
        <v>Dec 2025</v>
      </c>
      <c r="U1667">
        <f>IF(Pipeline_tbl[[#This Row],[Closed_Date]]=0,"",Pipeline_tbl[[#This Row],[Closed_Date]]-Pipeline_tbl[[#This Row],[Created_Date]])</f>
        <v>21</v>
      </c>
    </row>
    <row r="1668" spans="1:21" ht="15" customHeight="1" x14ac:dyDescent="0.2">
      <c r="A1668" t="s">
        <v>1974</v>
      </c>
      <c r="B1668" t="s">
        <v>193</v>
      </c>
      <c r="C1668" t="s">
        <v>54</v>
      </c>
      <c r="D1668" s="49">
        <v>45970</v>
      </c>
      <c r="E1668" s="49">
        <v>45971</v>
      </c>
      <c r="F1668" s="49">
        <v>45974</v>
      </c>
      <c r="G1668" s="49">
        <v>45978</v>
      </c>
      <c r="H1668" s="49">
        <v>45981</v>
      </c>
      <c r="I1668" s="49">
        <v>45983</v>
      </c>
      <c r="J1668" t="s">
        <v>47</v>
      </c>
      <c r="K1668" s="33">
        <v>1700</v>
      </c>
      <c r="M1668" t="str">
        <f>_xlfn.XLOOKUP(Pipeline_tbl[[#This Row],[Rep_ID]],Dim_Reps!A:A,Dim_Reps!K:K)</f>
        <v>USD</v>
      </c>
      <c r="N1668" s="33">
        <f>(_xlfn.XLOOKUP(Pipeline_tbl[[#This Row],[Rate_Code_Generalized]],Lookups!A:A,Lookups!B:B))*Pipeline_tbl[[#This Row],[Pipeline_Amount_USD]]</f>
        <v>1979.3099999999997</v>
      </c>
      <c r="O1668" t="str">
        <f>_xlfn.XLOOKUP(Pipeline_tbl[[#This Row],[Rep_ID]],Dim_Reps!A:A,Dim_Reps!B:B)</f>
        <v>Karim Rossi</v>
      </c>
      <c r="P1668" t="str">
        <f>_xlfn.XLOOKUP(Pipeline_tbl[[#This Row],[Rep_ID]],Dim_Reps!A:A,Dim_Reps!C:C)</f>
        <v>SDR / Inside Sales Rep</v>
      </c>
      <c r="Q1668" t="str">
        <f>_xlfn.XLOOKUP(Pipeline_tbl[[#This Row],[Rep_ID]],Dim_Reps!A:A,Dim_Reps!D:D)</f>
        <v>Inside Sales</v>
      </c>
      <c r="R1668" t="str">
        <f>_xlfn.XLOOKUP(Pipeline_tbl[[#This Row],[Rep_ID]],Dim_Reps!A:A,Dim_Reps!E:E)</f>
        <v>NAMER</v>
      </c>
      <c r="S1668" t="str">
        <f>_xlfn.XLOOKUP(Pipeline_tbl[[#This Row],[Created_Date]],Dim_Date!A:A,Dim_Date!H:H)</f>
        <v>Nov 2025</v>
      </c>
      <c r="T1668" t="str">
        <f>IF(Pipeline_tbl[[#This Row],[Closed_Date]]=0,"",(_xlfn.XLOOKUP(Pipeline_tbl[[#This Row],[Closed_Date]],Dim_Date!A:A,Dim_Date!H:H)))</f>
        <v>Nov 2025</v>
      </c>
      <c r="U1668">
        <f>IF(Pipeline_tbl[[#This Row],[Closed_Date]]=0,"",Pipeline_tbl[[#This Row],[Closed_Date]]-Pipeline_tbl[[#This Row],[Created_Date]])</f>
        <v>13</v>
      </c>
    </row>
    <row r="1669" spans="1:21" ht="15" customHeight="1" x14ac:dyDescent="0.2">
      <c r="A1669" t="s">
        <v>1975</v>
      </c>
      <c r="B1669" t="s">
        <v>193</v>
      </c>
      <c r="C1669" t="s">
        <v>52</v>
      </c>
      <c r="D1669" s="49">
        <v>45963</v>
      </c>
      <c r="E1669" s="49">
        <v>45965</v>
      </c>
      <c r="F1669" s="49">
        <v>45968</v>
      </c>
      <c r="G1669" s="49">
        <v>45973</v>
      </c>
      <c r="H1669" s="49">
        <v>45977</v>
      </c>
      <c r="I1669" s="49">
        <v>45979</v>
      </c>
      <c r="J1669" t="s">
        <v>47</v>
      </c>
      <c r="K1669" s="33">
        <v>5100</v>
      </c>
      <c r="M1669" t="str">
        <f>_xlfn.XLOOKUP(Pipeline_tbl[[#This Row],[Rep_ID]],Dim_Reps!A:A,Dim_Reps!K:K)</f>
        <v>USD</v>
      </c>
      <c r="N1669" s="33">
        <f>(_xlfn.XLOOKUP(Pipeline_tbl[[#This Row],[Rate_Code_Generalized]],Lookups!A:A,Lookups!B:B))*Pipeline_tbl[[#This Row],[Pipeline_Amount_USD]]</f>
        <v>5937.9299999999994</v>
      </c>
      <c r="O1669" t="str">
        <f>_xlfn.XLOOKUP(Pipeline_tbl[[#This Row],[Rep_ID]],Dim_Reps!A:A,Dim_Reps!B:B)</f>
        <v>Karim Rossi</v>
      </c>
      <c r="P1669" t="str">
        <f>_xlfn.XLOOKUP(Pipeline_tbl[[#This Row],[Rep_ID]],Dim_Reps!A:A,Dim_Reps!C:C)</f>
        <v>SDR / Inside Sales Rep</v>
      </c>
      <c r="Q1669" t="str">
        <f>_xlfn.XLOOKUP(Pipeline_tbl[[#This Row],[Rep_ID]],Dim_Reps!A:A,Dim_Reps!D:D)</f>
        <v>Inside Sales</v>
      </c>
      <c r="R1669" t="str">
        <f>_xlfn.XLOOKUP(Pipeline_tbl[[#This Row],[Rep_ID]],Dim_Reps!A:A,Dim_Reps!E:E)</f>
        <v>NAMER</v>
      </c>
      <c r="S1669" t="str">
        <f>_xlfn.XLOOKUP(Pipeline_tbl[[#This Row],[Created_Date]],Dim_Date!A:A,Dim_Date!H:H)</f>
        <v>Nov 2025</v>
      </c>
      <c r="T1669" t="str">
        <f>IF(Pipeline_tbl[[#This Row],[Closed_Date]]=0,"",(_xlfn.XLOOKUP(Pipeline_tbl[[#This Row],[Closed_Date]],Dim_Date!A:A,Dim_Date!H:H)))</f>
        <v>Nov 2025</v>
      </c>
      <c r="U1669">
        <f>IF(Pipeline_tbl[[#This Row],[Closed_Date]]=0,"",Pipeline_tbl[[#This Row],[Closed_Date]]-Pipeline_tbl[[#This Row],[Created_Date]])</f>
        <v>16</v>
      </c>
    </row>
    <row r="1670" spans="1:21" ht="15" customHeight="1" x14ac:dyDescent="0.2">
      <c r="A1670" t="s">
        <v>1976</v>
      </c>
      <c r="B1670" t="s">
        <v>193</v>
      </c>
      <c r="C1670" t="s">
        <v>54</v>
      </c>
      <c r="D1670" s="49">
        <v>45962</v>
      </c>
      <c r="E1670" s="49">
        <v>45963</v>
      </c>
      <c r="F1670" s="49">
        <v>45966</v>
      </c>
      <c r="G1670" s="49">
        <v>45969</v>
      </c>
      <c r="I1670" s="49">
        <v>45974</v>
      </c>
      <c r="J1670" t="s">
        <v>49</v>
      </c>
      <c r="K1670" s="33">
        <v>5000</v>
      </c>
      <c r="L1670" t="s">
        <v>63</v>
      </c>
      <c r="M1670" t="str">
        <f>_xlfn.XLOOKUP(Pipeline_tbl[[#This Row],[Rep_ID]],Dim_Reps!A:A,Dim_Reps!K:K)</f>
        <v>USD</v>
      </c>
      <c r="N1670" s="33">
        <f>(_xlfn.XLOOKUP(Pipeline_tbl[[#This Row],[Rate_Code_Generalized]],Lookups!A:A,Lookups!B:B))*Pipeline_tbl[[#This Row],[Pipeline_Amount_USD]]</f>
        <v>5821.4999999999991</v>
      </c>
      <c r="O1670" t="str">
        <f>_xlfn.XLOOKUP(Pipeline_tbl[[#This Row],[Rep_ID]],Dim_Reps!A:A,Dim_Reps!B:B)</f>
        <v>Karim Rossi</v>
      </c>
      <c r="P1670" t="str">
        <f>_xlfn.XLOOKUP(Pipeline_tbl[[#This Row],[Rep_ID]],Dim_Reps!A:A,Dim_Reps!C:C)</f>
        <v>SDR / Inside Sales Rep</v>
      </c>
      <c r="Q1670" t="str">
        <f>_xlfn.XLOOKUP(Pipeline_tbl[[#This Row],[Rep_ID]],Dim_Reps!A:A,Dim_Reps!D:D)</f>
        <v>Inside Sales</v>
      </c>
      <c r="R1670" t="str">
        <f>_xlfn.XLOOKUP(Pipeline_tbl[[#This Row],[Rep_ID]],Dim_Reps!A:A,Dim_Reps!E:E)</f>
        <v>NAMER</v>
      </c>
      <c r="S1670" t="str">
        <f>_xlfn.XLOOKUP(Pipeline_tbl[[#This Row],[Created_Date]],Dim_Date!A:A,Dim_Date!H:H)</f>
        <v>Nov 2025</v>
      </c>
      <c r="T1670" t="str">
        <f>IF(Pipeline_tbl[[#This Row],[Closed_Date]]=0,"",(_xlfn.XLOOKUP(Pipeline_tbl[[#This Row],[Closed_Date]],Dim_Date!A:A,Dim_Date!H:H)))</f>
        <v>Nov 2025</v>
      </c>
      <c r="U1670">
        <f>IF(Pipeline_tbl[[#This Row],[Closed_Date]]=0,"",Pipeline_tbl[[#This Row],[Closed_Date]]-Pipeline_tbl[[#This Row],[Created_Date]])</f>
        <v>12</v>
      </c>
    </row>
    <row r="1671" spans="1:21" ht="15" customHeight="1" x14ac:dyDescent="0.2">
      <c r="A1671" t="s">
        <v>1977</v>
      </c>
      <c r="B1671" t="s">
        <v>196</v>
      </c>
      <c r="C1671" t="s">
        <v>53</v>
      </c>
      <c r="D1671" s="49">
        <v>45962</v>
      </c>
      <c r="E1671" s="49">
        <v>45963</v>
      </c>
      <c r="F1671" s="49">
        <v>45965</v>
      </c>
      <c r="G1671" s="49">
        <v>45967</v>
      </c>
      <c r="H1671" s="49">
        <v>45970</v>
      </c>
      <c r="I1671" s="49">
        <v>45971</v>
      </c>
      <c r="J1671" t="s">
        <v>47</v>
      </c>
      <c r="K1671" s="33">
        <v>2600</v>
      </c>
      <c r="M1671" t="str">
        <f>_xlfn.XLOOKUP(Pipeline_tbl[[#This Row],[Rep_ID]],Dim_Reps!A:A,Dim_Reps!K:K)</f>
        <v>EUR</v>
      </c>
      <c r="N1671" s="33">
        <f>(_xlfn.XLOOKUP(Pipeline_tbl[[#This Row],[Rate_Code_Generalized]],Lookups!A:A,Lookups!B:B))*Pipeline_tbl[[#This Row],[Pipeline_Amount_USD]]</f>
        <v>2600</v>
      </c>
      <c r="O1671" t="str">
        <f>_xlfn.XLOOKUP(Pipeline_tbl[[#This Row],[Rep_ID]],Dim_Reps!A:A,Dim_Reps!B:B)</f>
        <v>Alex Okafor</v>
      </c>
      <c r="P1671" t="str">
        <f>_xlfn.XLOOKUP(Pipeline_tbl[[#This Row],[Rep_ID]],Dim_Reps!A:A,Dim_Reps!C:C)</f>
        <v>SDR / Inside Sales Rep</v>
      </c>
      <c r="Q1671" t="str">
        <f>_xlfn.XLOOKUP(Pipeline_tbl[[#This Row],[Rep_ID]],Dim_Reps!A:A,Dim_Reps!D:D)</f>
        <v>Inside Sales</v>
      </c>
      <c r="R1671" t="str">
        <f>_xlfn.XLOOKUP(Pipeline_tbl[[#This Row],[Rep_ID]],Dim_Reps!A:A,Dim_Reps!E:E)</f>
        <v>EMEA</v>
      </c>
      <c r="S1671" t="str">
        <f>_xlfn.XLOOKUP(Pipeline_tbl[[#This Row],[Created_Date]],Dim_Date!A:A,Dim_Date!H:H)</f>
        <v>Nov 2025</v>
      </c>
      <c r="T1671" t="str">
        <f>IF(Pipeline_tbl[[#This Row],[Closed_Date]]=0,"",(_xlfn.XLOOKUP(Pipeline_tbl[[#This Row],[Closed_Date]],Dim_Date!A:A,Dim_Date!H:H)))</f>
        <v>Nov 2025</v>
      </c>
      <c r="U1671">
        <f>IF(Pipeline_tbl[[#This Row],[Closed_Date]]=0,"",Pipeline_tbl[[#This Row],[Closed_Date]]-Pipeline_tbl[[#This Row],[Created_Date]])</f>
        <v>9</v>
      </c>
    </row>
    <row r="1672" spans="1:21" ht="15" customHeight="1" x14ac:dyDescent="0.2">
      <c r="A1672" t="s">
        <v>1978</v>
      </c>
      <c r="B1672" t="s">
        <v>196</v>
      </c>
      <c r="C1672" t="s">
        <v>52</v>
      </c>
      <c r="D1672" s="49">
        <v>45971</v>
      </c>
      <c r="E1672" s="49">
        <v>45972</v>
      </c>
      <c r="F1672" s="49">
        <v>45975</v>
      </c>
      <c r="G1672" s="49">
        <v>45978</v>
      </c>
      <c r="H1672" s="49">
        <v>45981</v>
      </c>
      <c r="I1672" s="49">
        <v>45983</v>
      </c>
      <c r="J1672" t="s">
        <v>47</v>
      </c>
      <c r="K1672" s="33">
        <v>2200</v>
      </c>
      <c r="M1672" t="str">
        <f>_xlfn.XLOOKUP(Pipeline_tbl[[#This Row],[Rep_ID]],Dim_Reps!A:A,Dim_Reps!K:K)</f>
        <v>EUR</v>
      </c>
      <c r="N1672" s="33">
        <f>(_xlfn.XLOOKUP(Pipeline_tbl[[#This Row],[Rate_Code_Generalized]],Lookups!A:A,Lookups!B:B))*Pipeline_tbl[[#This Row],[Pipeline_Amount_USD]]</f>
        <v>2200</v>
      </c>
      <c r="O1672" t="str">
        <f>_xlfn.XLOOKUP(Pipeline_tbl[[#This Row],[Rep_ID]],Dim_Reps!A:A,Dim_Reps!B:B)</f>
        <v>Alex Okafor</v>
      </c>
      <c r="P1672" t="str">
        <f>_xlfn.XLOOKUP(Pipeline_tbl[[#This Row],[Rep_ID]],Dim_Reps!A:A,Dim_Reps!C:C)</f>
        <v>SDR / Inside Sales Rep</v>
      </c>
      <c r="Q1672" t="str">
        <f>_xlfn.XLOOKUP(Pipeline_tbl[[#This Row],[Rep_ID]],Dim_Reps!A:A,Dim_Reps!D:D)</f>
        <v>Inside Sales</v>
      </c>
      <c r="R1672" t="str">
        <f>_xlfn.XLOOKUP(Pipeline_tbl[[#This Row],[Rep_ID]],Dim_Reps!A:A,Dim_Reps!E:E)</f>
        <v>EMEA</v>
      </c>
      <c r="S1672" t="str">
        <f>_xlfn.XLOOKUP(Pipeline_tbl[[#This Row],[Created_Date]],Dim_Date!A:A,Dim_Date!H:H)</f>
        <v>Nov 2025</v>
      </c>
      <c r="T1672" t="str">
        <f>IF(Pipeline_tbl[[#This Row],[Closed_Date]]=0,"",(_xlfn.XLOOKUP(Pipeline_tbl[[#This Row],[Closed_Date]],Dim_Date!A:A,Dim_Date!H:H)))</f>
        <v>Nov 2025</v>
      </c>
      <c r="U1672">
        <f>IF(Pipeline_tbl[[#This Row],[Closed_Date]]=0,"",Pipeline_tbl[[#This Row],[Closed_Date]]-Pipeline_tbl[[#This Row],[Created_Date]])</f>
        <v>12</v>
      </c>
    </row>
    <row r="1673" spans="1:21" ht="15" customHeight="1" x14ac:dyDescent="0.2">
      <c r="A1673" t="s">
        <v>1979</v>
      </c>
      <c r="B1673" t="s">
        <v>199</v>
      </c>
      <c r="C1673" t="s">
        <v>52</v>
      </c>
      <c r="D1673" s="49">
        <v>45964</v>
      </c>
      <c r="E1673" s="49">
        <v>45966</v>
      </c>
      <c r="F1673" s="49">
        <v>45969</v>
      </c>
      <c r="G1673" s="49">
        <v>45975</v>
      </c>
      <c r="H1673" s="49">
        <v>45979</v>
      </c>
      <c r="I1673" s="49">
        <v>45982</v>
      </c>
      <c r="J1673" t="s">
        <v>49</v>
      </c>
      <c r="K1673" s="33">
        <v>2700</v>
      </c>
      <c r="L1673" t="s">
        <v>64</v>
      </c>
      <c r="M1673" t="str">
        <f>_xlfn.XLOOKUP(Pipeline_tbl[[#This Row],[Rep_ID]],Dim_Reps!A:A,Dim_Reps!K:K)</f>
        <v>EUR</v>
      </c>
      <c r="N1673" s="33">
        <f>(_xlfn.XLOOKUP(Pipeline_tbl[[#This Row],[Rate_Code_Generalized]],Lookups!A:A,Lookups!B:B))*Pipeline_tbl[[#This Row],[Pipeline_Amount_USD]]</f>
        <v>2700</v>
      </c>
      <c r="O1673" t="str">
        <f>_xlfn.XLOOKUP(Pipeline_tbl[[#This Row],[Rep_ID]],Dim_Reps!A:A,Dim_Reps!B:B)</f>
        <v>Lucas Okafor</v>
      </c>
      <c r="P1673" t="str">
        <f>_xlfn.XLOOKUP(Pipeline_tbl[[#This Row],[Rep_ID]],Dim_Reps!A:A,Dim_Reps!C:C)</f>
        <v>SDR / Inside Sales Rep</v>
      </c>
      <c r="Q1673" t="str">
        <f>_xlfn.XLOOKUP(Pipeline_tbl[[#This Row],[Rep_ID]],Dim_Reps!A:A,Dim_Reps!D:D)</f>
        <v>Inside Sales</v>
      </c>
      <c r="R1673" t="str">
        <f>_xlfn.XLOOKUP(Pipeline_tbl[[#This Row],[Rep_ID]],Dim_Reps!A:A,Dim_Reps!E:E)</f>
        <v>APAC</v>
      </c>
      <c r="S1673" t="str">
        <f>_xlfn.XLOOKUP(Pipeline_tbl[[#This Row],[Created_Date]],Dim_Date!A:A,Dim_Date!H:H)</f>
        <v>Nov 2025</v>
      </c>
      <c r="T1673" t="str">
        <f>IF(Pipeline_tbl[[#This Row],[Closed_Date]]=0,"",(_xlfn.XLOOKUP(Pipeline_tbl[[#This Row],[Closed_Date]],Dim_Date!A:A,Dim_Date!H:H)))</f>
        <v>Nov 2025</v>
      </c>
      <c r="U1673">
        <f>IF(Pipeline_tbl[[#This Row],[Closed_Date]]=0,"",Pipeline_tbl[[#This Row],[Closed_Date]]-Pipeline_tbl[[#This Row],[Created_Date]])</f>
        <v>18</v>
      </c>
    </row>
    <row r="1674" spans="1:21" ht="15" customHeight="1" x14ac:dyDescent="0.2">
      <c r="A1674" t="s">
        <v>1980</v>
      </c>
      <c r="B1674" t="s">
        <v>199</v>
      </c>
      <c r="C1674" t="s">
        <v>53</v>
      </c>
      <c r="D1674" s="49">
        <v>45967</v>
      </c>
      <c r="E1674" s="49">
        <v>45969</v>
      </c>
      <c r="F1674" s="49">
        <v>45972</v>
      </c>
      <c r="G1674" s="49">
        <v>45977</v>
      </c>
      <c r="I1674" s="49">
        <v>45984</v>
      </c>
      <c r="J1674" t="s">
        <v>49</v>
      </c>
      <c r="K1674" s="33">
        <v>4700</v>
      </c>
      <c r="L1674" t="s">
        <v>60</v>
      </c>
      <c r="M1674" t="str">
        <f>_xlfn.XLOOKUP(Pipeline_tbl[[#This Row],[Rep_ID]],Dim_Reps!A:A,Dim_Reps!K:K)</f>
        <v>EUR</v>
      </c>
      <c r="N1674" s="33">
        <f>(_xlfn.XLOOKUP(Pipeline_tbl[[#This Row],[Rate_Code_Generalized]],Lookups!A:A,Lookups!B:B))*Pipeline_tbl[[#This Row],[Pipeline_Amount_USD]]</f>
        <v>4700</v>
      </c>
      <c r="O1674" t="str">
        <f>_xlfn.XLOOKUP(Pipeline_tbl[[#This Row],[Rep_ID]],Dim_Reps!A:A,Dim_Reps!B:B)</f>
        <v>Lucas Okafor</v>
      </c>
      <c r="P1674" t="str">
        <f>_xlfn.XLOOKUP(Pipeline_tbl[[#This Row],[Rep_ID]],Dim_Reps!A:A,Dim_Reps!C:C)</f>
        <v>SDR / Inside Sales Rep</v>
      </c>
      <c r="Q1674" t="str">
        <f>_xlfn.XLOOKUP(Pipeline_tbl[[#This Row],[Rep_ID]],Dim_Reps!A:A,Dim_Reps!D:D)</f>
        <v>Inside Sales</v>
      </c>
      <c r="R1674" t="str">
        <f>_xlfn.XLOOKUP(Pipeline_tbl[[#This Row],[Rep_ID]],Dim_Reps!A:A,Dim_Reps!E:E)</f>
        <v>APAC</v>
      </c>
      <c r="S1674" t="str">
        <f>_xlfn.XLOOKUP(Pipeline_tbl[[#This Row],[Created_Date]],Dim_Date!A:A,Dim_Date!H:H)</f>
        <v>Nov 2025</v>
      </c>
      <c r="T1674" t="str">
        <f>IF(Pipeline_tbl[[#This Row],[Closed_Date]]=0,"",(_xlfn.XLOOKUP(Pipeline_tbl[[#This Row],[Closed_Date]],Dim_Date!A:A,Dim_Date!H:H)))</f>
        <v>Nov 2025</v>
      </c>
      <c r="U1674">
        <f>IF(Pipeline_tbl[[#This Row],[Closed_Date]]=0,"",Pipeline_tbl[[#This Row],[Closed_Date]]-Pipeline_tbl[[#This Row],[Created_Date]])</f>
        <v>17</v>
      </c>
    </row>
    <row r="1675" spans="1:21" ht="15" customHeight="1" x14ac:dyDescent="0.2">
      <c r="A1675" t="s">
        <v>1981</v>
      </c>
      <c r="B1675" t="s">
        <v>199</v>
      </c>
      <c r="C1675" t="s">
        <v>52</v>
      </c>
      <c r="D1675" s="49">
        <v>45969</v>
      </c>
      <c r="E1675" s="49">
        <v>45970</v>
      </c>
      <c r="F1675" s="49">
        <v>45971</v>
      </c>
      <c r="I1675" s="49">
        <v>45977</v>
      </c>
      <c r="J1675" t="s">
        <v>49</v>
      </c>
      <c r="K1675" s="33">
        <v>1200</v>
      </c>
      <c r="L1675" t="s">
        <v>61</v>
      </c>
      <c r="M1675" t="str">
        <f>_xlfn.XLOOKUP(Pipeline_tbl[[#This Row],[Rep_ID]],Dim_Reps!A:A,Dim_Reps!K:K)</f>
        <v>EUR</v>
      </c>
      <c r="N1675" s="33">
        <f>(_xlfn.XLOOKUP(Pipeline_tbl[[#This Row],[Rate_Code_Generalized]],Lookups!A:A,Lookups!B:B))*Pipeline_tbl[[#This Row],[Pipeline_Amount_USD]]</f>
        <v>1200</v>
      </c>
      <c r="O1675" t="str">
        <f>_xlfn.XLOOKUP(Pipeline_tbl[[#This Row],[Rep_ID]],Dim_Reps!A:A,Dim_Reps!B:B)</f>
        <v>Lucas Okafor</v>
      </c>
      <c r="P1675" t="str">
        <f>_xlfn.XLOOKUP(Pipeline_tbl[[#This Row],[Rep_ID]],Dim_Reps!A:A,Dim_Reps!C:C)</f>
        <v>SDR / Inside Sales Rep</v>
      </c>
      <c r="Q1675" t="str">
        <f>_xlfn.XLOOKUP(Pipeline_tbl[[#This Row],[Rep_ID]],Dim_Reps!A:A,Dim_Reps!D:D)</f>
        <v>Inside Sales</v>
      </c>
      <c r="R1675" t="str">
        <f>_xlfn.XLOOKUP(Pipeline_tbl[[#This Row],[Rep_ID]],Dim_Reps!A:A,Dim_Reps!E:E)</f>
        <v>APAC</v>
      </c>
      <c r="S1675" t="str">
        <f>_xlfn.XLOOKUP(Pipeline_tbl[[#This Row],[Created_Date]],Dim_Date!A:A,Dim_Date!H:H)</f>
        <v>Nov 2025</v>
      </c>
      <c r="T1675" t="str">
        <f>IF(Pipeline_tbl[[#This Row],[Closed_Date]]=0,"",(_xlfn.XLOOKUP(Pipeline_tbl[[#This Row],[Closed_Date]],Dim_Date!A:A,Dim_Date!H:H)))</f>
        <v>Nov 2025</v>
      </c>
      <c r="U1675">
        <f>IF(Pipeline_tbl[[#This Row],[Closed_Date]]=0,"",Pipeline_tbl[[#This Row],[Closed_Date]]-Pipeline_tbl[[#This Row],[Created_Date]])</f>
        <v>8</v>
      </c>
    </row>
    <row r="1676" spans="1:21" ht="15" customHeight="1" x14ac:dyDescent="0.2">
      <c r="A1676" t="s">
        <v>1982</v>
      </c>
      <c r="B1676" t="s">
        <v>199</v>
      </c>
      <c r="C1676" t="s">
        <v>53</v>
      </c>
      <c r="D1676" s="49">
        <v>45967</v>
      </c>
      <c r="E1676" s="49">
        <v>45969</v>
      </c>
      <c r="F1676" s="49">
        <v>45974</v>
      </c>
      <c r="G1676" s="49">
        <v>45981</v>
      </c>
      <c r="H1676" s="49">
        <v>45987</v>
      </c>
      <c r="I1676" s="49">
        <v>45990</v>
      </c>
      <c r="J1676" t="s">
        <v>47</v>
      </c>
      <c r="K1676" s="33">
        <v>4400</v>
      </c>
      <c r="M1676" t="str">
        <f>_xlfn.XLOOKUP(Pipeline_tbl[[#This Row],[Rep_ID]],Dim_Reps!A:A,Dim_Reps!K:K)</f>
        <v>EUR</v>
      </c>
      <c r="N1676" s="33">
        <f>(_xlfn.XLOOKUP(Pipeline_tbl[[#This Row],[Rate_Code_Generalized]],Lookups!A:A,Lookups!B:B))*Pipeline_tbl[[#This Row],[Pipeline_Amount_USD]]</f>
        <v>4400</v>
      </c>
      <c r="O1676" t="str">
        <f>_xlfn.XLOOKUP(Pipeline_tbl[[#This Row],[Rep_ID]],Dim_Reps!A:A,Dim_Reps!B:B)</f>
        <v>Lucas Okafor</v>
      </c>
      <c r="P1676" t="str">
        <f>_xlfn.XLOOKUP(Pipeline_tbl[[#This Row],[Rep_ID]],Dim_Reps!A:A,Dim_Reps!C:C)</f>
        <v>SDR / Inside Sales Rep</v>
      </c>
      <c r="Q1676" t="str">
        <f>_xlfn.XLOOKUP(Pipeline_tbl[[#This Row],[Rep_ID]],Dim_Reps!A:A,Dim_Reps!D:D)</f>
        <v>Inside Sales</v>
      </c>
      <c r="R1676" t="str">
        <f>_xlfn.XLOOKUP(Pipeline_tbl[[#This Row],[Rep_ID]],Dim_Reps!A:A,Dim_Reps!E:E)</f>
        <v>APAC</v>
      </c>
      <c r="S1676" t="str">
        <f>_xlfn.XLOOKUP(Pipeline_tbl[[#This Row],[Created_Date]],Dim_Date!A:A,Dim_Date!H:H)</f>
        <v>Nov 2025</v>
      </c>
      <c r="T1676" t="str">
        <f>IF(Pipeline_tbl[[#This Row],[Closed_Date]]=0,"",(_xlfn.XLOOKUP(Pipeline_tbl[[#This Row],[Closed_Date]],Dim_Date!A:A,Dim_Date!H:H)))</f>
        <v>Nov 2025</v>
      </c>
      <c r="U1676">
        <f>IF(Pipeline_tbl[[#This Row],[Closed_Date]]=0,"",Pipeline_tbl[[#This Row],[Closed_Date]]-Pipeline_tbl[[#This Row],[Created_Date]])</f>
        <v>23</v>
      </c>
    </row>
    <row r="1677" spans="1:21" ht="15" customHeight="1" x14ac:dyDescent="0.2">
      <c r="A1677" t="s">
        <v>1983</v>
      </c>
      <c r="B1677" t="s">
        <v>199</v>
      </c>
      <c r="C1677" t="s">
        <v>52</v>
      </c>
      <c r="D1677" s="49">
        <v>45967</v>
      </c>
      <c r="E1677" s="49">
        <v>45969</v>
      </c>
      <c r="F1677" s="49">
        <v>45972</v>
      </c>
      <c r="I1677" s="49">
        <v>45982</v>
      </c>
      <c r="J1677" t="s">
        <v>49</v>
      </c>
      <c r="K1677" s="33">
        <v>6900</v>
      </c>
      <c r="L1677" t="s">
        <v>64</v>
      </c>
      <c r="M1677" t="str">
        <f>_xlfn.XLOOKUP(Pipeline_tbl[[#This Row],[Rep_ID]],Dim_Reps!A:A,Dim_Reps!K:K)</f>
        <v>EUR</v>
      </c>
      <c r="N1677" s="33">
        <f>(_xlfn.XLOOKUP(Pipeline_tbl[[#This Row],[Rate_Code_Generalized]],Lookups!A:A,Lookups!B:B))*Pipeline_tbl[[#This Row],[Pipeline_Amount_USD]]</f>
        <v>6900</v>
      </c>
      <c r="O1677" t="str">
        <f>_xlfn.XLOOKUP(Pipeline_tbl[[#This Row],[Rep_ID]],Dim_Reps!A:A,Dim_Reps!B:B)</f>
        <v>Lucas Okafor</v>
      </c>
      <c r="P1677" t="str">
        <f>_xlfn.XLOOKUP(Pipeline_tbl[[#This Row],[Rep_ID]],Dim_Reps!A:A,Dim_Reps!C:C)</f>
        <v>SDR / Inside Sales Rep</v>
      </c>
      <c r="Q1677" t="str">
        <f>_xlfn.XLOOKUP(Pipeline_tbl[[#This Row],[Rep_ID]],Dim_Reps!A:A,Dim_Reps!D:D)</f>
        <v>Inside Sales</v>
      </c>
      <c r="R1677" t="str">
        <f>_xlfn.XLOOKUP(Pipeline_tbl[[#This Row],[Rep_ID]],Dim_Reps!A:A,Dim_Reps!E:E)</f>
        <v>APAC</v>
      </c>
      <c r="S1677" t="str">
        <f>_xlfn.XLOOKUP(Pipeline_tbl[[#This Row],[Created_Date]],Dim_Date!A:A,Dim_Date!H:H)</f>
        <v>Nov 2025</v>
      </c>
      <c r="T1677" t="str">
        <f>IF(Pipeline_tbl[[#This Row],[Closed_Date]]=0,"",(_xlfn.XLOOKUP(Pipeline_tbl[[#This Row],[Closed_Date]],Dim_Date!A:A,Dim_Date!H:H)))</f>
        <v>Nov 2025</v>
      </c>
      <c r="U1677">
        <f>IF(Pipeline_tbl[[#This Row],[Closed_Date]]=0,"",Pipeline_tbl[[#This Row],[Closed_Date]]-Pipeline_tbl[[#This Row],[Created_Date]])</f>
        <v>15</v>
      </c>
    </row>
    <row r="1678" spans="1:21" ht="15" customHeight="1" x14ac:dyDescent="0.2">
      <c r="A1678" t="s">
        <v>1984</v>
      </c>
      <c r="B1678" t="s">
        <v>199</v>
      </c>
      <c r="C1678" t="s">
        <v>53</v>
      </c>
      <c r="D1678" s="49">
        <v>45962</v>
      </c>
      <c r="E1678" s="49">
        <v>45963</v>
      </c>
      <c r="F1678" s="49">
        <v>45964</v>
      </c>
      <c r="G1678" s="49">
        <v>45966</v>
      </c>
      <c r="H1678" s="49">
        <v>45968</v>
      </c>
      <c r="I1678" s="49">
        <v>45969</v>
      </c>
      <c r="J1678" t="s">
        <v>49</v>
      </c>
      <c r="K1678" s="33">
        <v>2600</v>
      </c>
      <c r="L1678" t="s">
        <v>62</v>
      </c>
      <c r="M1678" t="str">
        <f>_xlfn.XLOOKUP(Pipeline_tbl[[#This Row],[Rep_ID]],Dim_Reps!A:A,Dim_Reps!K:K)</f>
        <v>EUR</v>
      </c>
      <c r="N1678" s="33">
        <f>(_xlfn.XLOOKUP(Pipeline_tbl[[#This Row],[Rate_Code_Generalized]],Lookups!A:A,Lookups!B:B))*Pipeline_tbl[[#This Row],[Pipeline_Amount_USD]]</f>
        <v>2600</v>
      </c>
      <c r="O1678" t="str">
        <f>_xlfn.XLOOKUP(Pipeline_tbl[[#This Row],[Rep_ID]],Dim_Reps!A:A,Dim_Reps!B:B)</f>
        <v>Lucas Okafor</v>
      </c>
      <c r="P1678" t="str">
        <f>_xlfn.XLOOKUP(Pipeline_tbl[[#This Row],[Rep_ID]],Dim_Reps!A:A,Dim_Reps!C:C)</f>
        <v>SDR / Inside Sales Rep</v>
      </c>
      <c r="Q1678" t="str">
        <f>_xlfn.XLOOKUP(Pipeline_tbl[[#This Row],[Rep_ID]],Dim_Reps!A:A,Dim_Reps!D:D)</f>
        <v>Inside Sales</v>
      </c>
      <c r="R1678" t="str">
        <f>_xlfn.XLOOKUP(Pipeline_tbl[[#This Row],[Rep_ID]],Dim_Reps!A:A,Dim_Reps!E:E)</f>
        <v>APAC</v>
      </c>
      <c r="S1678" t="str">
        <f>_xlfn.XLOOKUP(Pipeline_tbl[[#This Row],[Created_Date]],Dim_Date!A:A,Dim_Date!H:H)</f>
        <v>Nov 2025</v>
      </c>
      <c r="T1678" t="str">
        <f>IF(Pipeline_tbl[[#This Row],[Closed_Date]]=0,"",(_xlfn.XLOOKUP(Pipeline_tbl[[#This Row],[Closed_Date]],Dim_Date!A:A,Dim_Date!H:H)))</f>
        <v>Nov 2025</v>
      </c>
      <c r="U1678">
        <f>IF(Pipeline_tbl[[#This Row],[Closed_Date]]=0,"",Pipeline_tbl[[#This Row],[Closed_Date]]-Pipeline_tbl[[#This Row],[Created_Date]])</f>
        <v>7</v>
      </c>
    </row>
    <row r="1679" spans="1:21" ht="15" customHeight="1" x14ac:dyDescent="0.2">
      <c r="A1679" t="s">
        <v>1985</v>
      </c>
      <c r="B1679" t="s">
        <v>199</v>
      </c>
      <c r="C1679" t="s">
        <v>53</v>
      </c>
      <c r="D1679" s="49">
        <v>45976</v>
      </c>
      <c r="E1679" s="49">
        <v>45978</v>
      </c>
      <c r="F1679" s="49">
        <v>45981</v>
      </c>
      <c r="G1679" s="49">
        <v>45985</v>
      </c>
      <c r="H1679" s="49">
        <v>45989</v>
      </c>
      <c r="I1679" s="49">
        <v>45991</v>
      </c>
      <c r="J1679" t="s">
        <v>47</v>
      </c>
      <c r="K1679" s="33">
        <v>5300</v>
      </c>
      <c r="M1679" t="str">
        <f>_xlfn.XLOOKUP(Pipeline_tbl[[#This Row],[Rep_ID]],Dim_Reps!A:A,Dim_Reps!K:K)</f>
        <v>EUR</v>
      </c>
      <c r="N1679" s="33">
        <f>(_xlfn.XLOOKUP(Pipeline_tbl[[#This Row],[Rate_Code_Generalized]],Lookups!A:A,Lookups!B:B))*Pipeline_tbl[[#This Row],[Pipeline_Amount_USD]]</f>
        <v>5300</v>
      </c>
      <c r="O1679" t="str">
        <f>_xlfn.XLOOKUP(Pipeline_tbl[[#This Row],[Rep_ID]],Dim_Reps!A:A,Dim_Reps!B:B)</f>
        <v>Lucas Okafor</v>
      </c>
      <c r="P1679" t="str">
        <f>_xlfn.XLOOKUP(Pipeline_tbl[[#This Row],[Rep_ID]],Dim_Reps!A:A,Dim_Reps!C:C)</f>
        <v>SDR / Inside Sales Rep</v>
      </c>
      <c r="Q1679" t="str">
        <f>_xlfn.XLOOKUP(Pipeline_tbl[[#This Row],[Rep_ID]],Dim_Reps!A:A,Dim_Reps!D:D)</f>
        <v>Inside Sales</v>
      </c>
      <c r="R1679" t="str">
        <f>_xlfn.XLOOKUP(Pipeline_tbl[[#This Row],[Rep_ID]],Dim_Reps!A:A,Dim_Reps!E:E)</f>
        <v>APAC</v>
      </c>
      <c r="S1679" t="str">
        <f>_xlfn.XLOOKUP(Pipeline_tbl[[#This Row],[Created_Date]],Dim_Date!A:A,Dim_Date!H:H)</f>
        <v>Nov 2025</v>
      </c>
      <c r="T1679" t="str">
        <f>IF(Pipeline_tbl[[#This Row],[Closed_Date]]=0,"",(_xlfn.XLOOKUP(Pipeline_tbl[[#This Row],[Closed_Date]],Dim_Date!A:A,Dim_Date!H:H)))</f>
        <v>Nov 2025</v>
      </c>
      <c r="U1679">
        <f>IF(Pipeline_tbl[[#This Row],[Closed_Date]]=0,"",Pipeline_tbl[[#This Row],[Closed_Date]]-Pipeline_tbl[[#This Row],[Created_Date]])</f>
        <v>15</v>
      </c>
    </row>
    <row r="1680" spans="1:21" ht="15" customHeight="1" x14ac:dyDescent="0.2">
      <c r="A1680" t="s">
        <v>1986</v>
      </c>
      <c r="B1680" t="s">
        <v>199</v>
      </c>
      <c r="C1680" t="s">
        <v>55</v>
      </c>
      <c r="D1680" s="49">
        <v>45971</v>
      </c>
      <c r="E1680" s="49">
        <v>45973</v>
      </c>
      <c r="I1680" s="49">
        <v>45989</v>
      </c>
      <c r="J1680" t="s">
        <v>49</v>
      </c>
      <c r="K1680" s="33">
        <v>7000</v>
      </c>
      <c r="L1680" t="s">
        <v>61</v>
      </c>
      <c r="M1680" t="str">
        <f>_xlfn.XLOOKUP(Pipeline_tbl[[#This Row],[Rep_ID]],Dim_Reps!A:A,Dim_Reps!K:K)</f>
        <v>EUR</v>
      </c>
      <c r="N1680" s="33">
        <f>(_xlfn.XLOOKUP(Pipeline_tbl[[#This Row],[Rate_Code_Generalized]],Lookups!A:A,Lookups!B:B))*Pipeline_tbl[[#This Row],[Pipeline_Amount_USD]]</f>
        <v>7000</v>
      </c>
      <c r="O1680" t="str">
        <f>_xlfn.XLOOKUP(Pipeline_tbl[[#This Row],[Rep_ID]],Dim_Reps!A:A,Dim_Reps!B:B)</f>
        <v>Lucas Okafor</v>
      </c>
      <c r="P1680" t="str">
        <f>_xlfn.XLOOKUP(Pipeline_tbl[[#This Row],[Rep_ID]],Dim_Reps!A:A,Dim_Reps!C:C)</f>
        <v>SDR / Inside Sales Rep</v>
      </c>
      <c r="Q1680" t="str">
        <f>_xlfn.XLOOKUP(Pipeline_tbl[[#This Row],[Rep_ID]],Dim_Reps!A:A,Dim_Reps!D:D)</f>
        <v>Inside Sales</v>
      </c>
      <c r="R1680" t="str">
        <f>_xlfn.XLOOKUP(Pipeline_tbl[[#This Row],[Rep_ID]],Dim_Reps!A:A,Dim_Reps!E:E)</f>
        <v>APAC</v>
      </c>
      <c r="S1680" t="str">
        <f>_xlfn.XLOOKUP(Pipeline_tbl[[#This Row],[Created_Date]],Dim_Date!A:A,Dim_Date!H:H)</f>
        <v>Nov 2025</v>
      </c>
      <c r="T1680" t="str">
        <f>IF(Pipeline_tbl[[#This Row],[Closed_Date]]=0,"",(_xlfn.XLOOKUP(Pipeline_tbl[[#This Row],[Closed_Date]],Dim_Date!A:A,Dim_Date!H:H)))</f>
        <v>Nov 2025</v>
      </c>
      <c r="U1680">
        <f>IF(Pipeline_tbl[[#This Row],[Closed_Date]]=0,"",Pipeline_tbl[[#This Row],[Closed_Date]]-Pipeline_tbl[[#This Row],[Created_Date]])</f>
        <v>18</v>
      </c>
    </row>
    <row r="1681" spans="1:21" ht="15" customHeight="1" x14ac:dyDescent="0.2">
      <c r="A1681" t="s">
        <v>1987</v>
      </c>
      <c r="B1681" t="s">
        <v>199</v>
      </c>
      <c r="C1681" t="s">
        <v>52</v>
      </c>
      <c r="D1681" s="49">
        <v>45963</v>
      </c>
      <c r="E1681" s="49">
        <v>45965</v>
      </c>
      <c r="F1681" s="49">
        <v>45969</v>
      </c>
      <c r="G1681" s="49">
        <v>45974</v>
      </c>
      <c r="H1681" s="49">
        <v>45979</v>
      </c>
      <c r="I1681" s="49">
        <v>45982</v>
      </c>
      <c r="J1681" t="s">
        <v>47</v>
      </c>
      <c r="K1681" s="33">
        <v>1600</v>
      </c>
      <c r="M1681" t="str">
        <f>_xlfn.XLOOKUP(Pipeline_tbl[[#This Row],[Rep_ID]],Dim_Reps!A:A,Dim_Reps!K:K)</f>
        <v>EUR</v>
      </c>
      <c r="N1681" s="33">
        <f>(_xlfn.XLOOKUP(Pipeline_tbl[[#This Row],[Rate_Code_Generalized]],Lookups!A:A,Lookups!B:B))*Pipeline_tbl[[#This Row],[Pipeline_Amount_USD]]</f>
        <v>1600</v>
      </c>
      <c r="O1681" t="str">
        <f>_xlfn.XLOOKUP(Pipeline_tbl[[#This Row],[Rep_ID]],Dim_Reps!A:A,Dim_Reps!B:B)</f>
        <v>Lucas Okafor</v>
      </c>
      <c r="P1681" t="str">
        <f>_xlfn.XLOOKUP(Pipeline_tbl[[#This Row],[Rep_ID]],Dim_Reps!A:A,Dim_Reps!C:C)</f>
        <v>SDR / Inside Sales Rep</v>
      </c>
      <c r="Q1681" t="str">
        <f>_xlfn.XLOOKUP(Pipeline_tbl[[#This Row],[Rep_ID]],Dim_Reps!A:A,Dim_Reps!D:D)</f>
        <v>Inside Sales</v>
      </c>
      <c r="R1681" t="str">
        <f>_xlfn.XLOOKUP(Pipeline_tbl[[#This Row],[Rep_ID]],Dim_Reps!A:A,Dim_Reps!E:E)</f>
        <v>APAC</v>
      </c>
      <c r="S1681" t="str">
        <f>_xlfn.XLOOKUP(Pipeline_tbl[[#This Row],[Created_Date]],Dim_Date!A:A,Dim_Date!H:H)</f>
        <v>Nov 2025</v>
      </c>
      <c r="T1681" t="str">
        <f>IF(Pipeline_tbl[[#This Row],[Closed_Date]]=0,"",(_xlfn.XLOOKUP(Pipeline_tbl[[#This Row],[Closed_Date]],Dim_Date!A:A,Dim_Date!H:H)))</f>
        <v>Nov 2025</v>
      </c>
      <c r="U1681">
        <f>IF(Pipeline_tbl[[#This Row],[Closed_Date]]=0,"",Pipeline_tbl[[#This Row],[Closed_Date]]-Pipeline_tbl[[#This Row],[Created_Date]])</f>
        <v>19</v>
      </c>
    </row>
    <row r="1682" spans="1:21" ht="15" customHeight="1" x14ac:dyDescent="0.2">
      <c r="A1682" t="s">
        <v>1988</v>
      </c>
      <c r="B1682" t="s">
        <v>201</v>
      </c>
      <c r="C1682" t="s">
        <v>52</v>
      </c>
      <c r="D1682" s="49">
        <v>45971</v>
      </c>
      <c r="E1682" s="49">
        <v>45973</v>
      </c>
      <c r="F1682" s="49">
        <v>45977</v>
      </c>
      <c r="G1682" s="49">
        <v>45983</v>
      </c>
      <c r="H1682" s="49">
        <v>45988</v>
      </c>
      <c r="I1682" s="49">
        <v>45991</v>
      </c>
      <c r="J1682" t="s">
        <v>47</v>
      </c>
      <c r="K1682" s="33">
        <v>2600</v>
      </c>
      <c r="M1682" t="str">
        <f>_xlfn.XLOOKUP(Pipeline_tbl[[#This Row],[Rep_ID]],Dim_Reps!A:A,Dim_Reps!K:K)</f>
        <v>EUR</v>
      </c>
      <c r="N1682" s="33">
        <f>(_xlfn.XLOOKUP(Pipeline_tbl[[#This Row],[Rate_Code_Generalized]],Lookups!A:A,Lookups!B:B))*Pipeline_tbl[[#This Row],[Pipeline_Amount_USD]]</f>
        <v>2600</v>
      </c>
      <c r="O1682" t="str">
        <f>_xlfn.XLOOKUP(Pipeline_tbl[[#This Row],[Rep_ID]],Dim_Reps!A:A,Dim_Reps!B:B)</f>
        <v>Sara Duarte</v>
      </c>
      <c r="P1682" t="str">
        <f>_xlfn.XLOOKUP(Pipeline_tbl[[#This Row],[Rep_ID]],Dim_Reps!A:A,Dim_Reps!C:C)</f>
        <v>SDR / Inside Sales Rep</v>
      </c>
      <c r="Q1682" t="str">
        <f>_xlfn.XLOOKUP(Pipeline_tbl[[#This Row],[Rep_ID]],Dim_Reps!A:A,Dim_Reps!D:D)</f>
        <v>Inside Sales</v>
      </c>
      <c r="R1682" t="str">
        <f>_xlfn.XLOOKUP(Pipeline_tbl[[#This Row],[Rep_ID]],Dim_Reps!A:A,Dim_Reps!E:E)</f>
        <v>APAC</v>
      </c>
      <c r="S1682" t="str">
        <f>_xlfn.XLOOKUP(Pipeline_tbl[[#This Row],[Created_Date]],Dim_Date!A:A,Dim_Date!H:H)</f>
        <v>Nov 2025</v>
      </c>
      <c r="T1682" t="str">
        <f>IF(Pipeline_tbl[[#This Row],[Closed_Date]]=0,"",(_xlfn.XLOOKUP(Pipeline_tbl[[#This Row],[Closed_Date]],Dim_Date!A:A,Dim_Date!H:H)))</f>
        <v>Nov 2025</v>
      </c>
      <c r="U1682">
        <f>IF(Pipeline_tbl[[#This Row],[Closed_Date]]=0,"",Pipeline_tbl[[#This Row],[Closed_Date]]-Pipeline_tbl[[#This Row],[Created_Date]])</f>
        <v>20</v>
      </c>
    </row>
    <row r="1683" spans="1:21" ht="15" customHeight="1" x14ac:dyDescent="0.2">
      <c r="A1683" t="s">
        <v>1989</v>
      </c>
      <c r="B1683" t="s">
        <v>201</v>
      </c>
      <c r="C1683" t="s">
        <v>52</v>
      </c>
      <c r="D1683" s="49">
        <v>45965</v>
      </c>
      <c r="E1683" s="49">
        <v>45967</v>
      </c>
      <c r="F1683" s="49">
        <v>45972</v>
      </c>
      <c r="G1683" s="49">
        <v>45979</v>
      </c>
      <c r="H1683" s="49">
        <v>45985</v>
      </c>
      <c r="I1683" s="49">
        <v>45988</v>
      </c>
      <c r="J1683" t="s">
        <v>47</v>
      </c>
      <c r="K1683" s="33">
        <v>4100</v>
      </c>
      <c r="M1683" t="str">
        <f>_xlfn.XLOOKUP(Pipeline_tbl[[#This Row],[Rep_ID]],Dim_Reps!A:A,Dim_Reps!K:K)</f>
        <v>EUR</v>
      </c>
      <c r="N1683" s="33">
        <f>(_xlfn.XLOOKUP(Pipeline_tbl[[#This Row],[Rate_Code_Generalized]],Lookups!A:A,Lookups!B:B))*Pipeline_tbl[[#This Row],[Pipeline_Amount_USD]]</f>
        <v>4100</v>
      </c>
      <c r="O1683" t="str">
        <f>_xlfn.XLOOKUP(Pipeline_tbl[[#This Row],[Rep_ID]],Dim_Reps!A:A,Dim_Reps!B:B)</f>
        <v>Sara Duarte</v>
      </c>
      <c r="P1683" t="str">
        <f>_xlfn.XLOOKUP(Pipeline_tbl[[#This Row],[Rep_ID]],Dim_Reps!A:A,Dim_Reps!C:C)</f>
        <v>SDR / Inside Sales Rep</v>
      </c>
      <c r="Q1683" t="str">
        <f>_xlfn.XLOOKUP(Pipeline_tbl[[#This Row],[Rep_ID]],Dim_Reps!A:A,Dim_Reps!D:D)</f>
        <v>Inside Sales</v>
      </c>
      <c r="R1683" t="str">
        <f>_xlfn.XLOOKUP(Pipeline_tbl[[#This Row],[Rep_ID]],Dim_Reps!A:A,Dim_Reps!E:E)</f>
        <v>APAC</v>
      </c>
      <c r="S1683" t="str">
        <f>_xlfn.XLOOKUP(Pipeline_tbl[[#This Row],[Created_Date]],Dim_Date!A:A,Dim_Date!H:H)</f>
        <v>Nov 2025</v>
      </c>
      <c r="T1683" t="str">
        <f>IF(Pipeline_tbl[[#This Row],[Closed_Date]]=0,"",(_xlfn.XLOOKUP(Pipeline_tbl[[#This Row],[Closed_Date]],Dim_Date!A:A,Dim_Date!H:H)))</f>
        <v>Nov 2025</v>
      </c>
      <c r="U1683">
        <f>IF(Pipeline_tbl[[#This Row],[Closed_Date]]=0,"",Pipeline_tbl[[#This Row],[Closed_Date]]-Pipeline_tbl[[#This Row],[Created_Date]])</f>
        <v>23</v>
      </c>
    </row>
    <row r="1684" spans="1:21" ht="15" customHeight="1" x14ac:dyDescent="0.2">
      <c r="A1684" t="s">
        <v>1990</v>
      </c>
      <c r="B1684" t="s">
        <v>201</v>
      </c>
      <c r="C1684" t="s">
        <v>52</v>
      </c>
      <c r="D1684" s="49">
        <v>45971</v>
      </c>
      <c r="E1684" s="49">
        <v>45972</v>
      </c>
      <c r="F1684" s="49">
        <v>45973</v>
      </c>
      <c r="G1684" s="49">
        <v>45975</v>
      </c>
      <c r="H1684" s="49">
        <v>45976</v>
      </c>
      <c r="I1684" s="49">
        <v>45977</v>
      </c>
      <c r="J1684" t="s">
        <v>47</v>
      </c>
      <c r="K1684" s="33">
        <v>4600</v>
      </c>
      <c r="M1684" t="str">
        <f>_xlfn.XLOOKUP(Pipeline_tbl[[#This Row],[Rep_ID]],Dim_Reps!A:A,Dim_Reps!K:K)</f>
        <v>EUR</v>
      </c>
      <c r="N1684" s="33">
        <f>(_xlfn.XLOOKUP(Pipeline_tbl[[#This Row],[Rate_Code_Generalized]],Lookups!A:A,Lookups!B:B))*Pipeline_tbl[[#This Row],[Pipeline_Amount_USD]]</f>
        <v>4600</v>
      </c>
      <c r="O1684" t="str">
        <f>_xlfn.XLOOKUP(Pipeline_tbl[[#This Row],[Rep_ID]],Dim_Reps!A:A,Dim_Reps!B:B)</f>
        <v>Sara Duarte</v>
      </c>
      <c r="P1684" t="str">
        <f>_xlfn.XLOOKUP(Pipeline_tbl[[#This Row],[Rep_ID]],Dim_Reps!A:A,Dim_Reps!C:C)</f>
        <v>SDR / Inside Sales Rep</v>
      </c>
      <c r="Q1684" t="str">
        <f>_xlfn.XLOOKUP(Pipeline_tbl[[#This Row],[Rep_ID]],Dim_Reps!A:A,Dim_Reps!D:D)</f>
        <v>Inside Sales</v>
      </c>
      <c r="R1684" t="str">
        <f>_xlfn.XLOOKUP(Pipeline_tbl[[#This Row],[Rep_ID]],Dim_Reps!A:A,Dim_Reps!E:E)</f>
        <v>APAC</v>
      </c>
      <c r="S1684" t="str">
        <f>_xlfn.XLOOKUP(Pipeline_tbl[[#This Row],[Created_Date]],Dim_Date!A:A,Dim_Date!H:H)</f>
        <v>Nov 2025</v>
      </c>
      <c r="T1684" t="str">
        <f>IF(Pipeline_tbl[[#This Row],[Closed_Date]]=0,"",(_xlfn.XLOOKUP(Pipeline_tbl[[#This Row],[Closed_Date]],Dim_Date!A:A,Dim_Date!H:H)))</f>
        <v>Nov 2025</v>
      </c>
      <c r="U1684">
        <f>IF(Pipeline_tbl[[#This Row],[Closed_Date]]=0,"",Pipeline_tbl[[#This Row],[Closed_Date]]-Pipeline_tbl[[#This Row],[Created_Date]])</f>
        <v>6</v>
      </c>
    </row>
    <row r="1685" spans="1:21" ht="15" customHeight="1" x14ac:dyDescent="0.2">
      <c r="A1685" t="s">
        <v>1991</v>
      </c>
      <c r="B1685" t="s">
        <v>203</v>
      </c>
      <c r="C1685" t="s">
        <v>55</v>
      </c>
      <c r="D1685" s="49">
        <v>45965</v>
      </c>
      <c r="E1685" s="49">
        <v>45967</v>
      </c>
      <c r="I1685" s="49">
        <v>45990</v>
      </c>
      <c r="J1685" t="s">
        <v>49</v>
      </c>
      <c r="K1685" s="33">
        <v>4200</v>
      </c>
      <c r="L1685" t="s">
        <v>60</v>
      </c>
      <c r="M1685" t="str">
        <f>_xlfn.XLOOKUP(Pipeline_tbl[[#This Row],[Rep_ID]],Dim_Reps!A:A,Dim_Reps!K:K)</f>
        <v>EUR</v>
      </c>
      <c r="N1685" s="33">
        <f>(_xlfn.XLOOKUP(Pipeline_tbl[[#This Row],[Rate_Code_Generalized]],Lookups!A:A,Lookups!B:B))*Pipeline_tbl[[#This Row],[Pipeline_Amount_USD]]</f>
        <v>4200</v>
      </c>
      <c r="O1685" t="str">
        <f>_xlfn.XLOOKUP(Pipeline_tbl[[#This Row],[Rep_ID]],Dim_Reps!A:A,Dim_Reps!B:B)</f>
        <v>Riley Haddad</v>
      </c>
      <c r="P1685" t="str">
        <f>_xlfn.XLOOKUP(Pipeline_tbl[[#This Row],[Rep_ID]],Dim_Reps!A:A,Dim_Reps!C:C)</f>
        <v>SDR / Inside Sales Rep</v>
      </c>
      <c r="Q1685" t="str">
        <f>_xlfn.XLOOKUP(Pipeline_tbl[[#This Row],[Rep_ID]],Dim_Reps!A:A,Dim_Reps!D:D)</f>
        <v>Inside Sales</v>
      </c>
      <c r="R1685" t="str">
        <f>_xlfn.XLOOKUP(Pipeline_tbl[[#This Row],[Rep_ID]],Dim_Reps!A:A,Dim_Reps!E:E)</f>
        <v>APAC</v>
      </c>
      <c r="S1685" t="str">
        <f>_xlfn.XLOOKUP(Pipeline_tbl[[#This Row],[Created_Date]],Dim_Date!A:A,Dim_Date!H:H)</f>
        <v>Nov 2025</v>
      </c>
      <c r="T1685" t="str">
        <f>IF(Pipeline_tbl[[#This Row],[Closed_Date]]=0,"",(_xlfn.XLOOKUP(Pipeline_tbl[[#This Row],[Closed_Date]],Dim_Date!A:A,Dim_Date!H:H)))</f>
        <v>Nov 2025</v>
      </c>
      <c r="U1685">
        <f>IF(Pipeline_tbl[[#This Row],[Closed_Date]]=0,"",Pipeline_tbl[[#This Row],[Closed_Date]]-Pipeline_tbl[[#This Row],[Created_Date]])</f>
        <v>25</v>
      </c>
    </row>
    <row r="1686" spans="1:21" ht="15" customHeight="1" x14ac:dyDescent="0.2">
      <c r="A1686" t="s">
        <v>1992</v>
      </c>
      <c r="B1686" t="s">
        <v>203</v>
      </c>
      <c r="C1686" t="s">
        <v>52</v>
      </c>
      <c r="D1686" s="49">
        <v>45982</v>
      </c>
      <c r="E1686" s="49">
        <v>45983</v>
      </c>
      <c r="F1686" s="49">
        <v>45984</v>
      </c>
      <c r="I1686" s="49">
        <v>45990</v>
      </c>
      <c r="J1686" t="s">
        <v>49</v>
      </c>
      <c r="K1686" s="33">
        <v>9800</v>
      </c>
      <c r="L1686" t="s">
        <v>64</v>
      </c>
      <c r="M1686" t="str">
        <f>_xlfn.XLOOKUP(Pipeline_tbl[[#This Row],[Rep_ID]],Dim_Reps!A:A,Dim_Reps!K:K)</f>
        <v>EUR</v>
      </c>
      <c r="N1686" s="33">
        <f>(_xlfn.XLOOKUP(Pipeline_tbl[[#This Row],[Rate_Code_Generalized]],Lookups!A:A,Lookups!B:B))*Pipeline_tbl[[#This Row],[Pipeline_Amount_USD]]</f>
        <v>9800</v>
      </c>
      <c r="O1686" t="str">
        <f>_xlfn.XLOOKUP(Pipeline_tbl[[#This Row],[Rep_ID]],Dim_Reps!A:A,Dim_Reps!B:B)</f>
        <v>Riley Haddad</v>
      </c>
      <c r="P1686" t="str">
        <f>_xlfn.XLOOKUP(Pipeline_tbl[[#This Row],[Rep_ID]],Dim_Reps!A:A,Dim_Reps!C:C)</f>
        <v>SDR / Inside Sales Rep</v>
      </c>
      <c r="Q1686" t="str">
        <f>_xlfn.XLOOKUP(Pipeline_tbl[[#This Row],[Rep_ID]],Dim_Reps!A:A,Dim_Reps!D:D)</f>
        <v>Inside Sales</v>
      </c>
      <c r="R1686" t="str">
        <f>_xlfn.XLOOKUP(Pipeline_tbl[[#This Row],[Rep_ID]],Dim_Reps!A:A,Dim_Reps!E:E)</f>
        <v>APAC</v>
      </c>
      <c r="S1686" t="str">
        <f>_xlfn.XLOOKUP(Pipeline_tbl[[#This Row],[Created_Date]],Dim_Date!A:A,Dim_Date!H:H)</f>
        <v>Nov 2025</v>
      </c>
      <c r="T1686" t="str">
        <f>IF(Pipeline_tbl[[#This Row],[Closed_Date]]=0,"",(_xlfn.XLOOKUP(Pipeline_tbl[[#This Row],[Closed_Date]],Dim_Date!A:A,Dim_Date!H:H)))</f>
        <v>Nov 2025</v>
      </c>
      <c r="U1686">
        <f>IF(Pipeline_tbl[[#This Row],[Closed_Date]]=0,"",Pipeline_tbl[[#This Row],[Closed_Date]]-Pipeline_tbl[[#This Row],[Created_Date]])</f>
        <v>8</v>
      </c>
    </row>
    <row r="1687" spans="1:21" ht="15" customHeight="1" x14ac:dyDescent="0.2">
      <c r="A1687" t="s">
        <v>1993</v>
      </c>
      <c r="B1687" t="s">
        <v>203</v>
      </c>
      <c r="C1687" t="s">
        <v>54</v>
      </c>
      <c r="D1687" s="49">
        <v>45963</v>
      </c>
      <c r="E1687" s="49">
        <v>45965</v>
      </c>
      <c r="F1687" s="49">
        <v>45968</v>
      </c>
      <c r="G1687" s="49">
        <v>45973</v>
      </c>
      <c r="I1687" s="49">
        <v>45979</v>
      </c>
      <c r="J1687" t="s">
        <v>49</v>
      </c>
      <c r="K1687" s="33">
        <v>3500</v>
      </c>
      <c r="L1687" t="s">
        <v>60</v>
      </c>
      <c r="M1687" t="str">
        <f>_xlfn.XLOOKUP(Pipeline_tbl[[#This Row],[Rep_ID]],Dim_Reps!A:A,Dim_Reps!K:K)</f>
        <v>EUR</v>
      </c>
      <c r="N1687" s="33">
        <f>(_xlfn.XLOOKUP(Pipeline_tbl[[#This Row],[Rate_Code_Generalized]],Lookups!A:A,Lookups!B:B))*Pipeline_tbl[[#This Row],[Pipeline_Amount_USD]]</f>
        <v>3500</v>
      </c>
      <c r="O1687" t="str">
        <f>_xlfn.XLOOKUP(Pipeline_tbl[[#This Row],[Rep_ID]],Dim_Reps!A:A,Dim_Reps!B:B)</f>
        <v>Riley Haddad</v>
      </c>
      <c r="P1687" t="str">
        <f>_xlfn.XLOOKUP(Pipeline_tbl[[#This Row],[Rep_ID]],Dim_Reps!A:A,Dim_Reps!C:C)</f>
        <v>SDR / Inside Sales Rep</v>
      </c>
      <c r="Q1687" t="str">
        <f>_xlfn.XLOOKUP(Pipeline_tbl[[#This Row],[Rep_ID]],Dim_Reps!A:A,Dim_Reps!D:D)</f>
        <v>Inside Sales</v>
      </c>
      <c r="R1687" t="str">
        <f>_xlfn.XLOOKUP(Pipeline_tbl[[#This Row],[Rep_ID]],Dim_Reps!A:A,Dim_Reps!E:E)</f>
        <v>APAC</v>
      </c>
      <c r="S1687" t="str">
        <f>_xlfn.XLOOKUP(Pipeline_tbl[[#This Row],[Created_Date]],Dim_Date!A:A,Dim_Date!H:H)</f>
        <v>Nov 2025</v>
      </c>
      <c r="T1687" t="str">
        <f>IF(Pipeline_tbl[[#This Row],[Closed_Date]]=0,"",(_xlfn.XLOOKUP(Pipeline_tbl[[#This Row],[Closed_Date]],Dim_Date!A:A,Dim_Date!H:H)))</f>
        <v>Nov 2025</v>
      </c>
      <c r="U1687">
        <f>IF(Pipeline_tbl[[#This Row],[Closed_Date]]=0,"",Pipeline_tbl[[#This Row],[Closed_Date]]-Pipeline_tbl[[#This Row],[Created_Date]])</f>
        <v>16</v>
      </c>
    </row>
    <row r="1688" spans="1:21" ht="15" customHeight="1" x14ac:dyDescent="0.2">
      <c r="A1688" t="s">
        <v>1994</v>
      </c>
      <c r="B1688" t="s">
        <v>203</v>
      </c>
      <c r="C1688" t="s">
        <v>52</v>
      </c>
      <c r="D1688" s="49">
        <v>45971</v>
      </c>
      <c r="E1688" s="49">
        <v>45973</v>
      </c>
      <c r="F1688" s="49">
        <v>45977</v>
      </c>
      <c r="G1688" s="49">
        <v>45983</v>
      </c>
      <c r="H1688" s="49">
        <v>45988</v>
      </c>
      <c r="I1688" s="49">
        <v>45991</v>
      </c>
      <c r="J1688" t="s">
        <v>47</v>
      </c>
      <c r="K1688" s="33">
        <v>1600</v>
      </c>
      <c r="M1688" t="str">
        <f>_xlfn.XLOOKUP(Pipeline_tbl[[#This Row],[Rep_ID]],Dim_Reps!A:A,Dim_Reps!K:K)</f>
        <v>EUR</v>
      </c>
      <c r="N1688" s="33">
        <f>(_xlfn.XLOOKUP(Pipeline_tbl[[#This Row],[Rate_Code_Generalized]],Lookups!A:A,Lookups!B:B))*Pipeline_tbl[[#This Row],[Pipeline_Amount_USD]]</f>
        <v>1600</v>
      </c>
      <c r="O1688" t="str">
        <f>_xlfn.XLOOKUP(Pipeline_tbl[[#This Row],[Rep_ID]],Dim_Reps!A:A,Dim_Reps!B:B)</f>
        <v>Riley Haddad</v>
      </c>
      <c r="P1688" t="str">
        <f>_xlfn.XLOOKUP(Pipeline_tbl[[#This Row],[Rep_ID]],Dim_Reps!A:A,Dim_Reps!C:C)</f>
        <v>SDR / Inside Sales Rep</v>
      </c>
      <c r="Q1688" t="str">
        <f>_xlfn.XLOOKUP(Pipeline_tbl[[#This Row],[Rep_ID]],Dim_Reps!A:A,Dim_Reps!D:D)</f>
        <v>Inside Sales</v>
      </c>
      <c r="R1688" t="str">
        <f>_xlfn.XLOOKUP(Pipeline_tbl[[#This Row],[Rep_ID]],Dim_Reps!A:A,Dim_Reps!E:E)</f>
        <v>APAC</v>
      </c>
      <c r="S1688" t="str">
        <f>_xlfn.XLOOKUP(Pipeline_tbl[[#This Row],[Created_Date]],Dim_Date!A:A,Dim_Date!H:H)</f>
        <v>Nov 2025</v>
      </c>
      <c r="T1688" t="str">
        <f>IF(Pipeline_tbl[[#This Row],[Closed_Date]]=0,"",(_xlfn.XLOOKUP(Pipeline_tbl[[#This Row],[Closed_Date]],Dim_Date!A:A,Dim_Date!H:H)))</f>
        <v>Nov 2025</v>
      </c>
      <c r="U1688">
        <f>IF(Pipeline_tbl[[#This Row],[Closed_Date]]=0,"",Pipeline_tbl[[#This Row],[Closed_Date]]-Pipeline_tbl[[#This Row],[Created_Date]])</f>
        <v>20</v>
      </c>
    </row>
    <row r="1689" spans="1:21" ht="15" customHeight="1" x14ac:dyDescent="0.2">
      <c r="A1689" t="s">
        <v>1995</v>
      </c>
      <c r="B1689" t="s">
        <v>203</v>
      </c>
      <c r="C1689" t="s">
        <v>53</v>
      </c>
      <c r="D1689" s="49">
        <v>45976</v>
      </c>
      <c r="E1689" s="49">
        <v>45977</v>
      </c>
      <c r="F1689" s="49">
        <v>45980</v>
      </c>
      <c r="G1689" s="49">
        <v>45984</v>
      </c>
      <c r="I1689" s="49">
        <v>45989</v>
      </c>
      <c r="J1689" t="s">
        <v>49</v>
      </c>
      <c r="K1689" s="33">
        <v>4300</v>
      </c>
      <c r="L1689" t="s">
        <v>60</v>
      </c>
      <c r="M1689" t="str">
        <f>_xlfn.XLOOKUP(Pipeline_tbl[[#This Row],[Rep_ID]],Dim_Reps!A:A,Dim_Reps!K:K)</f>
        <v>EUR</v>
      </c>
      <c r="N1689" s="33">
        <f>(_xlfn.XLOOKUP(Pipeline_tbl[[#This Row],[Rate_Code_Generalized]],Lookups!A:A,Lookups!B:B))*Pipeline_tbl[[#This Row],[Pipeline_Amount_USD]]</f>
        <v>4300</v>
      </c>
      <c r="O1689" t="str">
        <f>_xlfn.XLOOKUP(Pipeline_tbl[[#This Row],[Rep_ID]],Dim_Reps!A:A,Dim_Reps!B:B)</f>
        <v>Riley Haddad</v>
      </c>
      <c r="P1689" t="str">
        <f>_xlfn.XLOOKUP(Pipeline_tbl[[#This Row],[Rep_ID]],Dim_Reps!A:A,Dim_Reps!C:C)</f>
        <v>SDR / Inside Sales Rep</v>
      </c>
      <c r="Q1689" t="str">
        <f>_xlfn.XLOOKUP(Pipeline_tbl[[#This Row],[Rep_ID]],Dim_Reps!A:A,Dim_Reps!D:D)</f>
        <v>Inside Sales</v>
      </c>
      <c r="R1689" t="str">
        <f>_xlfn.XLOOKUP(Pipeline_tbl[[#This Row],[Rep_ID]],Dim_Reps!A:A,Dim_Reps!E:E)</f>
        <v>APAC</v>
      </c>
      <c r="S1689" t="str">
        <f>_xlfn.XLOOKUP(Pipeline_tbl[[#This Row],[Created_Date]],Dim_Date!A:A,Dim_Date!H:H)</f>
        <v>Nov 2025</v>
      </c>
      <c r="T1689" t="str">
        <f>IF(Pipeline_tbl[[#This Row],[Closed_Date]]=0,"",(_xlfn.XLOOKUP(Pipeline_tbl[[#This Row],[Closed_Date]],Dim_Date!A:A,Dim_Date!H:H)))</f>
        <v>Nov 2025</v>
      </c>
      <c r="U1689">
        <f>IF(Pipeline_tbl[[#This Row],[Closed_Date]]=0,"",Pipeline_tbl[[#This Row],[Closed_Date]]-Pipeline_tbl[[#This Row],[Created_Date]])</f>
        <v>13</v>
      </c>
    </row>
    <row r="1690" spans="1:21" ht="15" customHeight="1" x14ac:dyDescent="0.2">
      <c r="A1690" t="s">
        <v>1996</v>
      </c>
      <c r="B1690" t="s">
        <v>203</v>
      </c>
      <c r="C1690" t="s">
        <v>52</v>
      </c>
      <c r="D1690" s="49">
        <v>45963</v>
      </c>
      <c r="E1690" s="49">
        <v>45965</v>
      </c>
      <c r="F1690" s="49">
        <v>45969</v>
      </c>
      <c r="G1690" s="49">
        <v>45976</v>
      </c>
      <c r="H1690" s="49">
        <v>45981</v>
      </c>
      <c r="I1690" s="49">
        <v>45984</v>
      </c>
      <c r="J1690" t="s">
        <v>49</v>
      </c>
      <c r="K1690" s="33">
        <v>1800</v>
      </c>
      <c r="L1690" t="s">
        <v>61</v>
      </c>
      <c r="M1690" t="str">
        <f>_xlfn.XLOOKUP(Pipeline_tbl[[#This Row],[Rep_ID]],Dim_Reps!A:A,Dim_Reps!K:K)</f>
        <v>EUR</v>
      </c>
      <c r="N1690" s="33">
        <f>(_xlfn.XLOOKUP(Pipeline_tbl[[#This Row],[Rate_Code_Generalized]],Lookups!A:A,Lookups!B:B))*Pipeline_tbl[[#This Row],[Pipeline_Amount_USD]]</f>
        <v>1800</v>
      </c>
      <c r="O1690" t="str">
        <f>_xlfn.XLOOKUP(Pipeline_tbl[[#This Row],[Rep_ID]],Dim_Reps!A:A,Dim_Reps!B:B)</f>
        <v>Riley Haddad</v>
      </c>
      <c r="P1690" t="str">
        <f>_xlfn.XLOOKUP(Pipeline_tbl[[#This Row],[Rep_ID]],Dim_Reps!A:A,Dim_Reps!C:C)</f>
        <v>SDR / Inside Sales Rep</v>
      </c>
      <c r="Q1690" t="str">
        <f>_xlfn.XLOOKUP(Pipeline_tbl[[#This Row],[Rep_ID]],Dim_Reps!A:A,Dim_Reps!D:D)</f>
        <v>Inside Sales</v>
      </c>
      <c r="R1690" t="str">
        <f>_xlfn.XLOOKUP(Pipeline_tbl[[#This Row],[Rep_ID]],Dim_Reps!A:A,Dim_Reps!E:E)</f>
        <v>APAC</v>
      </c>
      <c r="S1690" t="str">
        <f>_xlfn.XLOOKUP(Pipeline_tbl[[#This Row],[Created_Date]],Dim_Date!A:A,Dim_Date!H:H)</f>
        <v>Nov 2025</v>
      </c>
      <c r="T1690" t="str">
        <f>IF(Pipeline_tbl[[#This Row],[Closed_Date]]=0,"",(_xlfn.XLOOKUP(Pipeline_tbl[[#This Row],[Closed_Date]],Dim_Date!A:A,Dim_Date!H:H)))</f>
        <v>Nov 2025</v>
      </c>
      <c r="U1690">
        <f>IF(Pipeline_tbl[[#This Row],[Closed_Date]]=0,"",Pipeline_tbl[[#This Row],[Closed_Date]]-Pipeline_tbl[[#This Row],[Created_Date]])</f>
        <v>21</v>
      </c>
    </row>
    <row r="1691" spans="1:21" ht="15" customHeight="1" x14ac:dyDescent="0.2">
      <c r="A1691" t="s">
        <v>1997</v>
      </c>
      <c r="B1691" t="s">
        <v>203</v>
      </c>
      <c r="C1691" t="s">
        <v>55</v>
      </c>
      <c r="D1691" s="49">
        <v>45973</v>
      </c>
      <c r="E1691" s="49">
        <v>45975</v>
      </c>
      <c r="F1691" s="49">
        <v>45978</v>
      </c>
      <c r="G1691" s="49">
        <v>45983</v>
      </c>
      <c r="H1691" s="49">
        <v>45987</v>
      </c>
      <c r="I1691" s="49">
        <v>45989</v>
      </c>
      <c r="J1691" t="s">
        <v>49</v>
      </c>
      <c r="K1691" s="33">
        <v>6100</v>
      </c>
      <c r="L1691" t="s">
        <v>60</v>
      </c>
      <c r="M1691" t="str">
        <f>_xlfn.XLOOKUP(Pipeline_tbl[[#This Row],[Rep_ID]],Dim_Reps!A:A,Dim_Reps!K:K)</f>
        <v>EUR</v>
      </c>
      <c r="N1691" s="33">
        <f>(_xlfn.XLOOKUP(Pipeline_tbl[[#This Row],[Rate_Code_Generalized]],Lookups!A:A,Lookups!B:B))*Pipeline_tbl[[#This Row],[Pipeline_Amount_USD]]</f>
        <v>6100</v>
      </c>
      <c r="O1691" t="str">
        <f>_xlfn.XLOOKUP(Pipeline_tbl[[#This Row],[Rep_ID]],Dim_Reps!A:A,Dim_Reps!B:B)</f>
        <v>Riley Haddad</v>
      </c>
      <c r="P1691" t="str">
        <f>_xlfn.XLOOKUP(Pipeline_tbl[[#This Row],[Rep_ID]],Dim_Reps!A:A,Dim_Reps!C:C)</f>
        <v>SDR / Inside Sales Rep</v>
      </c>
      <c r="Q1691" t="str">
        <f>_xlfn.XLOOKUP(Pipeline_tbl[[#This Row],[Rep_ID]],Dim_Reps!A:A,Dim_Reps!D:D)</f>
        <v>Inside Sales</v>
      </c>
      <c r="R1691" t="str">
        <f>_xlfn.XLOOKUP(Pipeline_tbl[[#This Row],[Rep_ID]],Dim_Reps!A:A,Dim_Reps!E:E)</f>
        <v>APAC</v>
      </c>
      <c r="S1691" t="str">
        <f>_xlfn.XLOOKUP(Pipeline_tbl[[#This Row],[Created_Date]],Dim_Date!A:A,Dim_Date!H:H)</f>
        <v>Nov 2025</v>
      </c>
      <c r="T1691" t="str">
        <f>IF(Pipeline_tbl[[#This Row],[Closed_Date]]=0,"",(_xlfn.XLOOKUP(Pipeline_tbl[[#This Row],[Closed_Date]],Dim_Date!A:A,Dim_Date!H:H)))</f>
        <v>Nov 2025</v>
      </c>
      <c r="U1691">
        <f>IF(Pipeline_tbl[[#This Row],[Closed_Date]]=0,"",Pipeline_tbl[[#This Row],[Closed_Date]]-Pipeline_tbl[[#This Row],[Created_Date]])</f>
        <v>16</v>
      </c>
    </row>
    <row r="1692" spans="1:21" ht="15" customHeight="1" x14ac:dyDescent="0.2">
      <c r="A1692" t="s">
        <v>1998</v>
      </c>
      <c r="B1692" t="s">
        <v>203</v>
      </c>
      <c r="C1692" t="s">
        <v>54</v>
      </c>
      <c r="D1692" s="49">
        <v>45966</v>
      </c>
      <c r="E1692" s="49">
        <v>45967</v>
      </c>
      <c r="F1692" s="49">
        <v>45969</v>
      </c>
      <c r="G1692" s="49">
        <v>45972</v>
      </c>
      <c r="H1692" s="49">
        <v>45974</v>
      </c>
      <c r="I1692" s="49">
        <v>45976</v>
      </c>
      <c r="J1692" t="s">
        <v>49</v>
      </c>
      <c r="K1692" s="33">
        <v>2700</v>
      </c>
      <c r="L1692" t="s">
        <v>60</v>
      </c>
      <c r="M1692" t="str">
        <f>_xlfn.XLOOKUP(Pipeline_tbl[[#This Row],[Rep_ID]],Dim_Reps!A:A,Dim_Reps!K:K)</f>
        <v>EUR</v>
      </c>
      <c r="N1692" s="33">
        <f>(_xlfn.XLOOKUP(Pipeline_tbl[[#This Row],[Rate_Code_Generalized]],Lookups!A:A,Lookups!B:B))*Pipeline_tbl[[#This Row],[Pipeline_Amount_USD]]</f>
        <v>2700</v>
      </c>
      <c r="O1692" t="str">
        <f>_xlfn.XLOOKUP(Pipeline_tbl[[#This Row],[Rep_ID]],Dim_Reps!A:A,Dim_Reps!B:B)</f>
        <v>Riley Haddad</v>
      </c>
      <c r="P1692" t="str">
        <f>_xlfn.XLOOKUP(Pipeline_tbl[[#This Row],[Rep_ID]],Dim_Reps!A:A,Dim_Reps!C:C)</f>
        <v>SDR / Inside Sales Rep</v>
      </c>
      <c r="Q1692" t="str">
        <f>_xlfn.XLOOKUP(Pipeline_tbl[[#This Row],[Rep_ID]],Dim_Reps!A:A,Dim_Reps!D:D)</f>
        <v>Inside Sales</v>
      </c>
      <c r="R1692" t="str">
        <f>_xlfn.XLOOKUP(Pipeline_tbl[[#This Row],[Rep_ID]],Dim_Reps!A:A,Dim_Reps!E:E)</f>
        <v>APAC</v>
      </c>
      <c r="S1692" t="str">
        <f>_xlfn.XLOOKUP(Pipeline_tbl[[#This Row],[Created_Date]],Dim_Date!A:A,Dim_Date!H:H)</f>
        <v>Nov 2025</v>
      </c>
      <c r="T1692" t="str">
        <f>IF(Pipeline_tbl[[#This Row],[Closed_Date]]=0,"",(_xlfn.XLOOKUP(Pipeline_tbl[[#This Row],[Closed_Date]],Dim_Date!A:A,Dim_Date!H:H)))</f>
        <v>Nov 2025</v>
      </c>
      <c r="U1692">
        <f>IF(Pipeline_tbl[[#This Row],[Closed_Date]]=0,"",Pipeline_tbl[[#This Row],[Closed_Date]]-Pipeline_tbl[[#This Row],[Created_Date]])</f>
        <v>10</v>
      </c>
    </row>
    <row r="1693" spans="1:21" ht="15" customHeight="1" x14ac:dyDescent="0.2">
      <c r="A1693" t="s">
        <v>1999</v>
      </c>
      <c r="B1693" t="s">
        <v>185</v>
      </c>
      <c r="C1693" t="s">
        <v>52</v>
      </c>
      <c r="D1693" s="49">
        <v>45966</v>
      </c>
      <c r="E1693" s="49">
        <v>45968</v>
      </c>
      <c r="F1693" s="49">
        <v>45972</v>
      </c>
      <c r="G1693" s="49">
        <v>45979</v>
      </c>
      <c r="H1693" s="49">
        <v>45984</v>
      </c>
      <c r="I1693" s="49">
        <v>45987</v>
      </c>
      <c r="J1693" t="s">
        <v>47</v>
      </c>
      <c r="K1693" s="33">
        <v>22800</v>
      </c>
      <c r="M1693" t="str">
        <f>_xlfn.XLOOKUP(Pipeline_tbl[[#This Row],[Rep_ID]],Dim_Reps!A:A,Dim_Reps!K:K)</f>
        <v>MXN</v>
      </c>
      <c r="N1693" s="33">
        <f>(_xlfn.XLOOKUP(Pipeline_tbl[[#This Row],[Rate_Code_Generalized]],Lookups!A:A,Lookups!B:B))*Pipeline_tbl[[#This Row],[Pipeline_Amount_USD]]</f>
        <v>449905.56000000006</v>
      </c>
      <c r="O1693" t="str">
        <f>_xlfn.XLOOKUP(Pipeline_tbl[[#This Row],[Rep_ID]],Dim_Reps!A:A,Dim_Reps!B:B)</f>
        <v>Noah Kim</v>
      </c>
      <c r="P1693" t="str">
        <f>_xlfn.XLOOKUP(Pipeline_tbl[[#This Row],[Rep_ID]],Dim_Reps!A:A,Dim_Reps!C:C)</f>
        <v>Enterprise AE</v>
      </c>
      <c r="Q1693" t="str">
        <f>_xlfn.XLOOKUP(Pipeline_tbl[[#This Row],[Rep_ID]],Dim_Reps!A:A,Dim_Reps!D:D)</f>
        <v>Enterprise</v>
      </c>
      <c r="R1693" t="str">
        <f>_xlfn.XLOOKUP(Pipeline_tbl[[#This Row],[Rep_ID]],Dim_Reps!A:A,Dim_Reps!E:E)</f>
        <v>LATAM</v>
      </c>
      <c r="S1693" t="str">
        <f>_xlfn.XLOOKUP(Pipeline_tbl[[#This Row],[Created_Date]],Dim_Date!A:A,Dim_Date!H:H)</f>
        <v>Nov 2025</v>
      </c>
      <c r="T1693" t="str">
        <f>IF(Pipeline_tbl[[#This Row],[Closed_Date]]=0,"",(_xlfn.XLOOKUP(Pipeline_tbl[[#This Row],[Closed_Date]],Dim_Date!A:A,Dim_Date!H:H)))</f>
        <v>Nov 2025</v>
      </c>
      <c r="U1693">
        <f>IF(Pipeline_tbl[[#This Row],[Closed_Date]]=0,"",Pipeline_tbl[[#This Row],[Closed_Date]]-Pipeline_tbl[[#This Row],[Created_Date]])</f>
        <v>21</v>
      </c>
    </row>
    <row r="1694" spans="1:21" ht="15" customHeight="1" x14ac:dyDescent="0.2">
      <c r="A1694" t="s">
        <v>2000</v>
      </c>
      <c r="B1694" t="s">
        <v>205</v>
      </c>
      <c r="C1694" t="s">
        <v>54</v>
      </c>
      <c r="D1694" s="49">
        <v>45964</v>
      </c>
      <c r="E1694" s="49">
        <v>45966</v>
      </c>
      <c r="F1694" s="49">
        <v>45971</v>
      </c>
      <c r="G1694" s="49">
        <v>45978</v>
      </c>
      <c r="H1694" s="49">
        <v>45984</v>
      </c>
      <c r="I1694" s="49">
        <v>45988</v>
      </c>
      <c r="J1694" t="s">
        <v>49</v>
      </c>
      <c r="K1694" s="33">
        <v>2500</v>
      </c>
      <c r="L1694" t="s">
        <v>62</v>
      </c>
      <c r="M1694" t="str">
        <f>_xlfn.XLOOKUP(Pipeline_tbl[[#This Row],[Rep_ID]],Dim_Reps!A:A,Dim_Reps!K:K)</f>
        <v>EUR</v>
      </c>
      <c r="N1694" s="33">
        <f>(_xlfn.XLOOKUP(Pipeline_tbl[[#This Row],[Rate_Code_Generalized]],Lookups!A:A,Lookups!B:B))*Pipeline_tbl[[#This Row],[Pipeline_Amount_USD]]</f>
        <v>2500</v>
      </c>
      <c r="O1694" t="str">
        <f>_xlfn.XLOOKUP(Pipeline_tbl[[#This Row],[Rep_ID]],Dim_Reps!A:A,Dim_Reps!B:B)</f>
        <v>Karim Alvarez</v>
      </c>
      <c r="P1694" t="str">
        <f>_xlfn.XLOOKUP(Pipeline_tbl[[#This Row],[Rep_ID]],Dim_Reps!A:A,Dim_Reps!C:C)</f>
        <v>SDR / Inside Sales Rep</v>
      </c>
      <c r="Q1694" t="str">
        <f>_xlfn.XLOOKUP(Pipeline_tbl[[#This Row],[Rep_ID]],Dim_Reps!A:A,Dim_Reps!D:D)</f>
        <v>Inside Sales</v>
      </c>
      <c r="R1694" t="str">
        <f>_xlfn.XLOOKUP(Pipeline_tbl[[#This Row],[Rep_ID]],Dim_Reps!A:A,Dim_Reps!E:E)</f>
        <v>EMEA</v>
      </c>
      <c r="S1694" t="str">
        <f>_xlfn.XLOOKUP(Pipeline_tbl[[#This Row],[Created_Date]],Dim_Date!A:A,Dim_Date!H:H)</f>
        <v>Nov 2025</v>
      </c>
      <c r="T1694" t="str">
        <f>IF(Pipeline_tbl[[#This Row],[Closed_Date]]=0,"",(_xlfn.XLOOKUP(Pipeline_tbl[[#This Row],[Closed_Date]],Dim_Date!A:A,Dim_Date!H:H)))</f>
        <v>Nov 2025</v>
      </c>
      <c r="U1694">
        <f>IF(Pipeline_tbl[[#This Row],[Closed_Date]]=0,"",Pipeline_tbl[[#This Row],[Closed_Date]]-Pipeline_tbl[[#This Row],[Created_Date]])</f>
        <v>24</v>
      </c>
    </row>
    <row r="1695" spans="1:21" ht="15" customHeight="1" x14ac:dyDescent="0.2">
      <c r="A1695" t="s">
        <v>2001</v>
      </c>
      <c r="B1695" t="s">
        <v>205</v>
      </c>
      <c r="C1695" t="s">
        <v>53</v>
      </c>
      <c r="D1695" s="49">
        <v>45978</v>
      </c>
      <c r="E1695" s="49">
        <v>45979</v>
      </c>
      <c r="F1695" s="49">
        <v>45982</v>
      </c>
      <c r="G1695" s="49">
        <v>45985</v>
      </c>
      <c r="H1695" s="49">
        <v>45988</v>
      </c>
      <c r="I1695" s="49">
        <v>45990</v>
      </c>
      <c r="J1695" t="s">
        <v>47</v>
      </c>
      <c r="K1695" s="33">
        <v>2300</v>
      </c>
      <c r="M1695" t="str">
        <f>_xlfn.XLOOKUP(Pipeline_tbl[[#This Row],[Rep_ID]],Dim_Reps!A:A,Dim_Reps!K:K)</f>
        <v>EUR</v>
      </c>
      <c r="N1695" s="33">
        <f>(_xlfn.XLOOKUP(Pipeline_tbl[[#This Row],[Rate_Code_Generalized]],Lookups!A:A,Lookups!B:B))*Pipeline_tbl[[#This Row],[Pipeline_Amount_USD]]</f>
        <v>2300</v>
      </c>
      <c r="O1695" t="str">
        <f>_xlfn.XLOOKUP(Pipeline_tbl[[#This Row],[Rep_ID]],Dim_Reps!A:A,Dim_Reps!B:B)</f>
        <v>Karim Alvarez</v>
      </c>
      <c r="P1695" t="str">
        <f>_xlfn.XLOOKUP(Pipeline_tbl[[#This Row],[Rep_ID]],Dim_Reps!A:A,Dim_Reps!C:C)</f>
        <v>SDR / Inside Sales Rep</v>
      </c>
      <c r="Q1695" t="str">
        <f>_xlfn.XLOOKUP(Pipeline_tbl[[#This Row],[Rep_ID]],Dim_Reps!A:A,Dim_Reps!D:D)</f>
        <v>Inside Sales</v>
      </c>
      <c r="R1695" t="str">
        <f>_xlfn.XLOOKUP(Pipeline_tbl[[#This Row],[Rep_ID]],Dim_Reps!A:A,Dim_Reps!E:E)</f>
        <v>EMEA</v>
      </c>
      <c r="S1695" t="str">
        <f>_xlfn.XLOOKUP(Pipeline_tbl[[#This Row],[Created_Date]],Dim_Date!A:A,Dim_Date!H:H)</f>
        <v>Nov 2025</v>
      </c>
      <c r="T1695" t="str">
        <f>IF(Pipeline_tbl[[#This Row],[Closed_Date]]=0,"",(_xlfn.XLOOKUP(Pipeline_tbl[[#This Row],[Closed_Date]],Dim_Date!A:A,Dim_Date!H:H)))</f>
        <v>Nov 2025</v>
      </c>
      <c r="U1695">
        <f>IF(Pipeline_tbl[[#This Row],[Closed_Date]]=0,"",Pipeline_tbl[[#This Row],[Closed_Date]]-Pipeline_tbl[[#This Row],[Created_Date]])</f>
        <v>12</v>
      </c>
    </row>
    <row r="1696" spans="1:21" ht="15" customHeight="1" x14ac:dyDescent="0.2">
      <c r="A1696" t="s">
        <v>2002</v>
      </c>
      <c r="B1696" t="s">
        <v>205</v>
      </c>
      <c r="C1696" t="s">
        <v>52</v>
      </c>
      <c r="D1696" s="49">
        <v>45968</v>
      </c>
      <c r="E1696" s="49">
        <v>45969</v>
      </c>
      <c r="F1696" s="49">
        <v>45972</v>
      </c>
      <c r="G1696" s="49">
        <v>45976</v>
      </c>
      <c r="H1696" s="49">
        <v>45980</v>
      </c>
      <c r="I1696" s="49">
        <v>45982</v>
      </c>
      <c r="J1696" t="s">
        <v>49</v>
      </c>
      <c r="K1696" s="33">
        <v>6100</v>
      </c>
      <c r="L1696" t="s">
        <v>60</v>
      </c>
      <c r="M1696" t="str">
        <f>_xlfn.XLOOKUP(Pipeline_tbl[[#This Row],[Rep_ID]],Dim_Reps!A:A,Dim_Reps!K:K)</f>
        <v>EUR</v>
      </c>
      <c r="N1696" s="33">
        <f>(_xlfn.XLOOKUP(Pipeline_tbl[[#This Row],[Rate_Code_Generalized]],Lookups!A:A,Lookups!B:B))*Pipeline_tbl[[#This Row],[Pipeline_Amount_USD]]</f>
        <v>6100</v>
      </c>
      <c r="O1696" t="str">
        <f>_xlfn.XLOOKUP(Pipeline_tbl[[#This Row],[Rep_ID]],Dim_Reps!A:A,Dim_Reps!B:B)</f>
        <v>Karim Alvarez</v>
      </c>
      <c r="P1696" t="str">
        <f>_xlfn.XLOOKUP(Pipeline_tbl[[#This Row],[Rep_ID]],Dim_Reps!A:A,Dim_Reps!C:C)</f>
        <v>SDR / Inside Sales Rep</v>
      </c>
      <c r="Q1696" t="str">
        <f>_xlfn.XLOOKUP(Pipeline_tbl[[#This Row],[Rep_ID]],Dim_Reps!A:A,Dim_Reps!D:D)</f>
        <v>Inside Sales</v>
      </c>
      <c r="R1696" t="str">
        <f>_xlfn.XLOOKUP(Pipeline_tbl[[#This Row],[Rep_ID]],Dim_Reps!A:A,Dim_Reps!E:E)</f>
        <v>EMEA</v>
      </c>
      <c r="S1696" t="str">
        <f>_xlfn.XLOOKUP(Pipeline_tbl[[#This Row],[Created_Date]],Dim_Date!A:A,Dim_Date!H:H)</f>
        <v>Nov 2025</v>
      </c>
      <c r="T1696" t="str">
        <f>IF(Pipeline_tbl[[#This Row],[Closed_Date]]=0,"",(_xlfn.XLOOKUP(Pipeline_tbl[[#This Row],[Closed_Date]],Dim_Date!A:A,Dim_Date!H:H)))</f>
        <v>Nov 2025</v>
      </c>
      <c r="U1696">
        <f>IF(Pipeline_tbl[[#This Row],[Closed_Date]]=0,"",Pipeline_tbl[[#This Row],[Closed_Date]]-Pipeline_tbl[[#This Row],[Created_Date]])</f>
        <v>14</v>
      </c>
    </row>
    <row r="1697" spans="1:21" ht="15" customHeight="1" x14ac:dyDescent="0.2">
      <c r="A1697" t="s">
        <v>2003</v>
      </c>
      <c r="B1697" t="s">
        <v>205</v>
      </c>
      <c r="C1697" t="s">
        <v>52</v>
      </c>
      <c r="D1697" s="49">
        <v>45976</v>
      </c>
      <c r="E1697" s="49">
        <v>45977</v>
      </c>
      <c r="F1697" s="49">
        <v>45979</v>
      </c>
      <c r="G1697" s="49">
        <v>45981</v>
      </c>
      <c r="I1697" s="49">
        <v>45985</v>
      </c>
      <c r="J1697" t="s">
        <v>49</v>
      </c>
      <c r="K1697" s="33">
        <v>2900</v>
      </c>
      <c r="L1697" t="s">
        <v>60</v>
      </c>
      <c r="M1697" t="str">
        <f>_xlfn.XLOOKUP(Pipeline_tbl[[#This Row],[Rep_ID]],Dim_Reps!A:A,Dim_Reps!K:K)</f>
        <v>EUR</v>
      </c>
      <c r="N1697" s="33">
        <f>(_xlfn.XLOOKUP(Pipeline_tbl[[#This Row],[Rate_Code_Generalized]],Lookups!A:A,Lookups!B:B))*Pipeline_tbl[[#This Row],[Pipeline_Amount_USD]]</f>
        <v>2900</v>
      </c>
      <c r="O1697" t="str">
        <f>_xlfn.XLOOKUP(Pipeline_tbl[[#This Row],[Rep_ID]],Dim_Reps!A:A,Dim_Reps!B:B)</f>
        <v>Karim Alvarez</v>
      </c>
      <c r="P1697" t="str">
        <f>_xlfn.XLOOKUP(Pipeline_tbl[[#This Row],[Rep_ID]],Dim_Reps!A:A,Dim_Reps!C:C)</f>
        <v>SDR / Inside Sales Rep</v>
      </c>
      <c r="Q1697" t="str">
        <f>_xlfn.XLOOKUP(Pipeline_tbl[[#This Row],[Rep_ID]],Dim_Reps!A:A,Dim_Reps!D:D)</f>
        <v>Inside Sales</v>
      </c>
      <c r="R1697" t="str">
        <f>_xlfn.XLOOKUP(Pipeline_tbl[[#This Row],[Rep_ID]],Dim_Reps!A:A,Dim_Reps!E:E)</f>
        <v>EMEA</v>
      </c>
      <c r="S1697" t="str">
        <f>_xlfn.XLOOKUP(Pipeline_tbl[[#This Row],[Created_Date]],Dim_Date!A:A,Dim_Date!H:H)</f>
        <v>Nov 2025</v>
      </c>
      <c r="T1697" t="str">
        <f>IF(Pipeline_tbl[[#This Row],[Closed_Date]]=0,"",(_xlfn.XLOOKUP(Pipeline_tbl[[#This Row],[Closed_Date]],Dim_Date!A:A,Dim_Date!H:H)))</f>
        <v>Nov 2025</v>
      </c>
      <c r="U1697">
        <f>IF(Pipeline_tbl[[#This Row],[Closed_Date]]=0,"",Pipeline_tbl[[#This Row],[Closed_Date]]-Pipeline_tbl[[#This Row],[Created_Date]])</f>
        <v>9</v>
      </c>
    </row>
    <row r="1698" spans="1:21" ht="15" customHeight="1" x14ac:dyDescent="0.2">
      <c r="A1698" t="s">
        <v>2004</v>
      </c>
      <c r="B1698" t="s">
        <v>205</v>
      </c>
      <c r="C1698" t="s">
        <v>53</v>
      </c>
      <c r="D1698" s="49">
        <v>45972</v>
      </c>
      <c r="E1698" s="49">
        <v>45973</v>
      </c>
      <c r="F1698" s="49">
        <v>45976</v>
      </c>
      <c r="G1698" s="49">
        <v>45980</v>
      </c>
      <c r="H1698" s="49">
        <v>45984</v>
      </c>
      <c r="I1698" s="49">
        <v>45986</v>
      </c>
      <c r="J1698" t="s">
        <v>47</v>
      </c>
      <c r="K1698" s="33">
        <v>3200</v>
      </c>
      <c r="M1698" t="str">
        <f>_xlfn.XLOOKUP(Pipeline_tbl[[#This Row],[Rep_ID]],Dim_Reps!A:A,Dim_Reps!K:K)</f>
        <v>EUR</v>
      </c>
      <c r="N1698" s="33">
        <f>(_xlfn.XLOOKUP(Pipeline_tbl[[#This Row],[Rate_Code_Generalized]],Lookups!A:A,Lookups!B:B))*Pipeline_tbl[[#This Row],[Pipeline_Amount_USD]]</f>
        <v>3200</v>
      </c>
      <c r="O1698" t="str">
        <f>_xlfn.XLOOKUP(Pipeline_tbl[[#This Row],[Rep_ID]],Dim_Reps!A:A,Dim_Reps!B:B)</f>
        <v>Karim Alvarez</v>
      </c>
      <c r="P1698" t="str">
        <f>_xlfn.XLOOKUP(Pipeline_tbl[[#This Row],[Rep_ID]],Dim_Reps!A:A,Dim_Reps!C:C)</f>
        <v>SDR / Inside Sales Rep</v>
      </c>
      <c r="Q1698" t="str">
        <f>_xlfn.XLOOKUP(Pipeline_tbl[[#This Row],[Rep_ID]],Dim_Reps!A:A,Dim_Reps!D:D)</f>
        <v>Inside Sales</v>
      </c>
      <c r="R1698" t="str">
        <f>_xlfn.XLOOKUP(Pipeline_tbl[[#This Row],[Rep_ID]],Dim_Reps!A:A,Dim_Reps!E:E)</f>
        <v>EMEA</v>
      </c>
      <c r="S1698" t="str">
        <f>_xlfn.XLOOKUP(Pipeline_tbl[[#This Row],[Created_Date]],Dim_Date!A:A,Dim_Date!H:H)</f>
        <v>Nov 2025</v>
      </c>
      <c r="T1698" t="str">
        <f>IF(Pipeline_tbl[[#This Row],[Closed_Date]]=0,"",(_xlfn.XLOOKUP(Pipeline_tbl[[#This Row],[Closed_Date]],Dim_Date!A:A,Dim_Date!H:H)))</f>
        <v>Nov 2025</v>
      </c>
      <c r="U1698">
        <f>IF(Pipeline_tbl[[#This Row],[Closed_Date]]=0,"",Pipeline_tbl[[#This Row],[Closed_Date]]-Pipeline_tbl[[#This Row],[Created_Date]])</f>
        <v>14</v>
      </c>
    </row>
    <row r="1699" spans="1:21" ht="15" customHeight="1" x14ac:dyDescent="0.2">
      <c r="A1699" t="s">
        <v>2005</v>
      </c>
      <c r="B1699" t="s">
        <v>205</v>
      </c>
      <c r="C1699" t="s">
        <v>52</v>
      </c>
      <c r="D1699" s="49">
        <v>45971</v>
      </c>
      <c r="E1699" s="49">
        <v>45973</v>
      </c>
      <c r="I1699" s="49">
        <v>45989</v>
      </c>
      <c r="J1699" t="s">
        <v>49</v>
      </c>
      <c r="K1699" s="33">
        <v>3300</v>
      </c>
      <c r="L1699" t="s">
        <v>61</v>
      </c>
      <c r="M1699" t="str">
        <f>_xlfn.XLOOKUP(Pipeline_tbl[[#This Row],[Rep_ID]],Dim_Reps!A:A,Dim_Reps!K:K)</f>
        <v>EUR</v>
      </c>
      <c r="N1699" s="33">
        <f>(_xlfn.XLOOKUP(Pipeline_tbl[[#This Row],[Rate_Code_Generalized]],Lookups!A:A,Lookups!B:B))*Pipeline_tbl[[#This Row],[Pipeline_Amount_USD]]</f>
        <v>3300</v>
      </c>
      <c r="O1699" t="str">
        <f>_xlfn.XLOOKUP(Pipeline_tbl[[#This Row],[Rep_ID]],Dim_Reps!A:A,Dim_Reps!B:B)</f>
        <v>Karim Alvarez</v>
      </c>
      <c r="P1699" t="str">
        <f>_xlfn.XLOOKUP(Pipeline_tbl[[#This Row],[Rep_ID]],Dim_Reps!A:A,Dim_Reps!C:C)</f>
        <v>SDR / Inside Sales Rep</v>
      </c>
      <c r="Q1699" t="str">
        <f>_xlfn.XLOOKUP(Pipeline_tbl[[#This Row],[Rep_ID]],Dim_Reps!A:A,Dim_Reps!D:D)</f>
        <v>Inside Sales</v>
      </c>
      <c r="R1699" t="str">
        <f>_xlfn.XLOOKUP(Pipeline_tbl[[#This Row],[Rep_ID]],Dim_Reps!A:A,Dim_Reps!E:E)</f>
        <v>EMEA</v>
      </c>
      <c r="S1699" t="str">
        <f>_xlfn.XLOOKUP(Pipeline_tbl[[#This Row],[Created_Date]],Dim_Date!A:A,Dim_Date!H:H)</f>
        <v>Nov 2025</v>
      </c>
      <c r="T1699" t="str">
        <f>IF(Pipeline_tbl[[#This Row],[Closed_Date]]=0,"",(_xlfn.XLOOKUP(Pipeline_tbl[[#This Row],[Closed_Date]],Dim_Date!A:A,Dim_Date!H:H)))</f>
        <v>Nov 2025</v>
      </c>
      <c r="U1699">
        <f>IF(Pipeline_tbl[[#This Row],[Closed_Date]]=0,"",Pipeline_tbl[[#This Row],[Closed_Date]]-Pipeline_tbl[[#This Row],[Created_Date]])</f>
        <v>18</v>
      </c>
    </row>
    <row r="1700" spans="1:21" ht="15" customHeight="1" x14ac:dyDescent="0.2">
      <c r="A1700" t="s">
        <v>2006</v>
      </c>
      <c r="B1700" t="s">
        <v>209</v>
      </c>
      <c r="C1700" t="s">
        <v>53</v>
      </c>
      <c r="D1700" s="49">
        <v>45971</v>
      </c>
      <c r="E1700" s="49">
        <v>45972</v>
      </c>
      <c r="F1700" s="49">
        <v>45975</v>
      </c>
      <c r="G1700" s="49">
        <v>45979</v>
      </c>
      <c r="H1700" s="49">
        <v>45983</v>
      </c>
      <c r="I1700" s="49">
        <v>45985</v>
      </c>
      <c r="J1700" t="s">
        <v>47</v>
      </c>
      <c r="K1700" s="33">
        <v>1200</v>
      </c>
      <c r="M1700" t="str">
        <f>_xlfn.XLOOKUP(Pipeline_tbl[[#This Row],[Rep_ID]],Dim_Reps!A:A,Dim_Reps!K:K)</f>
        <v>EUR</v>
      </c>
      <c r="N1700" s="33">
        <f>(_xlfn.XLOOKUP(Pipeline_tbl[[#This Row],[Rate_Code_Generalized]],Lookups!A:A,Lookups!B:B))*Pipeline_tbl[[#This Row],[Pipeline_Amount_USD]]</f>
        <v>1200</v>
      </c>
      <c r="O1700" t="str">
        <f>_xlfn.XLOOKUP(Pipeline_tbl[[#This Row],[Rep_ID]],Dim_Reps!A:A,Dim_Reps!B:B)</f>
        <v>Petra Larsen</v>
      </c>
      <c r="P1700" t="str">
        <f>_xlfn.XLOOKUP(Pipeline_tbl[[#This Row],[Rep_ID]],Dim_Reps!A:A,Dim_Reps!C:C)</f>
        <v>SDR / Inside Sales Rep</v>
      </c>
      <c r="Q1700" t="str">
        <f>_xlfn.XLOOKUP(Pipeline_tbl[[#This Row],[Rep_ID]],Dim_Reps!A:A,Dim_Reps!D:D)</f>
        <v>Inside Sales</v>
      </c>
      <c r="R1700" t="str">
        <f>_xlfn.XLOOKUP(Pipeline_tbl[[#This Row],[Rep_ID]],Dim_Reps!A:A,Dim_Reps!E:E)</f>
        <v>EMEA</v>
      </c>
      <c r="S1700" t="str">
        <f>_xlfn.XLOOKUP(Pipeline_tbl[[#This Row],[Created_Date]],Dim_Date!A:A,Dim_Date!H:H)</f>
        <v>Nov 2025</v>
      </c>
      <c r="T1700" t="str">
        <f>IF(Pipeline_tbl[[#This Row],[Closed_Date]]=0,"",(_xlfn.XLOOKUP(Pipeline_tbl[[#This Row],[Closed_Date]],Dim_Date!A:A,Dim_Date!H:H)))</f>
        <v>Nov 2025</v>
      </c>
      <c r="U1700">
        <f>IF(Pipeline_tbl[[#This Row],[Closed_Date]]=0,"",Pipeline_tbl[[#This Row],[Closed_Date]]-Pipeline_tbl[[#This Row],[Created_Date]])</f>
        <v>14</v>
      </c>
    </row>
    <row r="1701" spans="1:21" ht="15" customHeight="1" x14ac:dyDescent="0.2">
      <c r="A1701" t="s">
        <v>2007</v>
      </c>
      <c r="B1701" t="s">
        <v>209</v>
      </c>
      <c r="C1701" t="s">
        <v>52</v>
      </c>
      <c r="D1701" s="49">
        <v>45972</v>
      </c>
      <c r="E1701" s="49">
        <v>45974</v>
      </c>
      <c r="F1701" s="49">
        <v>45977</v>
      </c>
      <c r="G1701" s="49">
        <v>45983</v>
      </c>
      <c r="H1701" s="49">
        <v>45987</v>
      </c>
      <c r="I1701" s="49">
        <v>45990</v>
      </c>
      <c r="J1701" t="s">
        <v>47</v>
      </c>
      <c r="K1701" s="33">
        <v>3900</v>
      </c>
      <c r="M1701" t="str">
        <f>_xlfn.XLOOKUP(Pipeline_tbl[[#This Row],[Rep_ID]],Dim_Reps!A:A,Dim_Reps!K:K)</f>
        <v>EUR</v>
      </c>
      <c r="N1701" s="33">
        <f>(_xlfn.XLOOKUP(Pipeline_tbl[[#This Row],[Rate_Code_Generalized]],Lookups!A:A,Lookups!B:B))*Pipeline_tbl[[#This Row],[Pipeline_Amount_USD]]</f>
        <v>3900</v>
      </c>
      <c r="O1701" t="str">
        <f>_xlfn.XLOOKUP(Pipeline_tbl[[#This Row],[Rep_ID]],Dim_Reps!A:A,Dim_Reps!B:B)</f>
        <v>Petra Larsen</v>
      </c>
      <c r="P1701" t="str">
        <f>_xlfn.XLOOKUP(Pipeline_tbl[[#This Row],[Rep_ID]],Dim_Reps!A:A,Dim_Reps!C:C)</f>
        <v>SDR / Inside Sales Rep</v>
      </c>
      <c r="Q1701" t="str">
        <f>_xlfn.XLOOKUP(Pipeline_tbl[[#This Row],[Rep_ID]],Dim_Reps!A:A,Dim_Reps!D:D)</f>
        <v>Inside Sales</v>
      </c>
      <c r="R1701" t="str">
        <f>_xlfn.XLOOKUP(Pipeline_tbl[[#This Row],[Rep_ID]],Dim_Reps!A:A,Dim_Reps!E:E)</f>
        <v>EMEA</v>
      </c>
      <c r="S1701" t="str">
        <f>_xlfn.XLOOKUP(Pipeline_tbl[[#This Row],[Created_Date]],Dim_Date!A:A,Dim_Date!H:H)</f>
        <v>Nov 2025</v>
      </c>
      <c r="T1701" t="str">
        <f>IF(Pipeline_tbl[[#This Row],[Closed_Date]]=0,"",(_xlfn.XLOOKUP(Pipeline_tbl[[#This Row],[Closed_Date]],Dim_Date!A:A,Dim_Date!H:H)))</f>
        <v>Nov 2025</v>
      </c>
      <c r="U1701">
        <f>IF(Pipeline_tbl[[#This Row],[Closed_Date]]=0,"",Pipeline_tbl[[#This Row],[Closed_Date]]-Pipeline_tbl[[#This Row],[Created_Date]])</f>
        <v>18</v>
      </c>
    </row>
    <row r="1702" spans="1:21" ht="15" customHeight="1" x14ac:dyDescent="0.2">
      <c r="A1702" t="s">
        <v>2008</v>
      </c>
      <c r="B1702" t="s">
        <v>211</v>
      </c>
      <c r="C1702" t="s">
        <v>52</v>
      </c>
      <c r="D1702" s="49">
        <v>45962</v>
      </c>
      <c r="E1702" s="49">
        <v>45964</v>
      </c>
      <c r="F1702" s="49">
        <v>45970</v>
      </c>
      <c r="G1702" s="49">
        <v>45977</v>
      </c>
      <c r="H1702" s="49">
        <v>45983</v>
      </c>
      <c r="I1702" s="49">
        <v>45987</v>
      </c>
      <c r="J1702" t="s">
        <v>47</v>
      </c>
      <c r="K1702" s="33">
        <v>4500</v>
      </c>
      <c r="M1702" t="str">
        <f>_xlfn.XLOOKUP(Pipeline_tbl[[#This Row],[Rep_ID]],Dim_Reps!A:A,Dim_Reps!K:K)</f>
        <v>EUR</v>
      </c>
      <c r="N1702" s="33">
        <f>(_xlfn.XLOOKUP(Pipeline_tbl[[#This Row],[Rate_Code_Generalized]],Lookups!A:A,Lookups!B:B))*Pipeline_tbl[[#This Row],[Pipeline_Amount_USD]]</f>
        <v>4500</v>
      </c>
      <c r="O1702" t="str">
        <f>_xlfn.XLOOKUP(Pipeline_tbl[[#This Row],[Rep_ID]],Dim_Reps!A:A,Dim_Reps!B:B)</f>
        <v>Lea Weber</v>
      </c>
      <c r="P1702" t="str">
        <f>_xlfn.XLOOKUP(Pipeline_tbl[[#This Row],[Rep_ID]],Dim_Reps!A:A,Dim_Reps!C:C)</f>
        <v>SDR / Inside Sales Rep</v>
      </c>
      <c r="Q1702" t="str">
        <f>_xlfn.XLOOKUP(Pipeline_tbl[[#This Row],[Rep_ID]],Dim_Reps!A:A,Dim_Reps!D:D)</f>
        <v>Inside Sales</v>
      </c>
      <c r="R1702" t="str">
        <f>_xlfn.XLOOKUP(Pipeline_tbl[[#This Row],[Rep_ID]],Dim_Reps!A:A,Dim_Reps!E:E)</f>
        <v>EMEA</v>
      </c>
      <c r="S1702" t="str">
        <f>_xlfn.XLOOKUP(Pipeline_tbl[[#This Row],[Created_Date]],Dim_Date!A:A,Dim_Date!H:H)</f>
        <v>Nov 2025</v>
      </c>
      <c r="T1702" t="str">
        <f>IF(Pipeline_tbl[[#This Row],[Closed_Date]]=0,"",(_xlfn.XLOOKUP(Pipeline_tbl[[#This Row],[Closed_Date]],Dim_Date!A:A,Dim_Date!H:H)))</f>
        <v>Nov 2025</v>
      </c>
      <c r="U1702">
        <f>IF(Pipeline_tbl[[#This Row],[Closed_Date]]=0,"",Pipeline_tbl[[#This Row],[Closed_Date]]-Pipeline_tbl[[#This Row],[Created_Date]])</f>
        <v>25</v>
      </c>
    </row>
    <row r="1703" spans="1:21" ht="15" customHeight="1" x14ac:dyDescent="0.2">
      <c r="A1703" t="s">
        <v>2009</v>
      </c>
      <c r="B1703" t="s">
        <v>211</v>
      </c>
      <c r="C1703" t="s">
        <v>53</v>
      </c>
      <c r="D1703" s="49">
        <v>45978</v>
      </c>
      <c r="E1703" s="49">
        <v>45979</v>
      </c>
      <c r="F1703" s="49">
        <v>45981</v>
      </c>
      <c r="G1703" s="49">
        <v>45985</v>
      </c>
      <c r="H1703" s="49">
        <v>45987</v>
      </c>
      <c r="I1703" s="49">
        <v>45989</v>
      </c>
      <c r="J1703" t="s">
        <v>49</v>
      </c>
      <c r="K1703" s="33">
        <v>4400</v>
      </c>
      <c r="L1703" t="s">
        <v>62</v>
      </c>
      <c r="M1703" t="str">
        <f>_xlfn.XLOOKUP(Pipeline_tbl[[#This Row],[Rep_ID]],Dim_Reps!A:A,Dim_Reps!K:K)</f>
        <v>EUR</v>
      </c>
      <c r="N1703" s="33">
        <f>(_xlfn.XLOOKUP(Pipeline_tbl[[#This Row],[Rate_Code_Generalized]],Lookups!A:A,Lookups!B:B))*Pipeline_tbl[[#This Row],[Pipeline_Amount_USD]]</f>
        <v>4400</v>
      </c>
      <c r="O1703" t="str">
        <f>_xlfn.XLOOKUP(Pipeline_tbl[[#This Row],[Rep_ID]],Dim_Reps!A:A,Dim_Reps!B:B)</f>
        <v>Lea Weber</v>
      </c>
      <c r="P1703" t="str">
        <f>_xlfn.XLOOKUP(Pipeline_tbl[[#This Row],[Rep_ID]],Dim_Reps!A:A,Dim_Reps!C:C)</f>
        <v>SDR / Inside Sales Rep</v>
      </c>
      <c r="Q1703" t="str">
        <f>_xlfn.XLOOKUP(Pipeline_tbl[[#This Row],[Rep_ID]],Dim_Reps!A:A,Dim_Reps!D:D)</f>
        <v>Inside Sales</v>
      </c>
      <c r="R1703" t="str">
        <f>_xlfn.XLOOKUP(Pipeline_tbl[[#This Row],[Rep_ID]],Dim_Reps!A:A,Dim_Reps!E:E)</f>
        <v>EMEA</v>
      </c>
      <c r="S1703" t="str">
        <f>_xlfn.XLOOKUP(Pipeline_tbl[[#This Row],[Created_Date]],Dim_Date!A:A,Dim_Date!H:H)</f>
        <v>Nov 2025</v>
      </c>
      <c r="T1703" t="str">
        <f>IF(Pipeline_tbl[[#This Row],[Closed_Date]]=0,"",(_xlfn.XLOOKUP(Pipeline_tbl[[#This Row],[Closed_Date]],Dim_Date!A:A,Dim_Date!H:H)))</f>
        <v>Nov 2025</v>
      </c>
      <c r="U1703">
        <f>IF(Pipeline_tbl[[#This Row],[Closed_Date]]=0,"",Pipeline_tbl[[#This Row],[Closed_Date]]-Pipeline_tbl[[#This Row],[Created_Date]])</f>
        <v>11</v>
      </c>
    </row>
    <row r="1704" spans="1:21" ht="15" customHeight="1" x14ac:dyDescent="0.2">
      <c r="A1704" t="s">
        <v>2010</v>
      </c>
      <c r="B1704" t="s">
        <v>211</v>
      </c>
      <c r="C1704" t="s">
        <v>53</v>
      </c>
      <c r="D1704" s="49">
        <v>45969</v>
      </c>
      <c r="E1704" s="49">
        <v>45970</v>
      </c>
      <c r="I1704" s="49">
        <v>45979</v>
      </c>
      <c r="J1704" t="s">
        <v>49</v>
      </c>
      <c r="K1704" s="33">
        <v>1600</v>
      </c>
      <c r="L1704" t="s">
        <v>61</v>
      </c>
      <c r="M1704" t="str">
        <f>_xlfn.XLOOKUP(Pipeline_tbl[[#This Row],[Rep_ID]],Dim_Reps!A:A,Dim_Reps!K:K)</f>
        <v>EUR</v>
      </c>
      <c r="N1704" s="33">
        <f>(_xlfn.XLOOKUP(Pipeline_tbl[[#This Row],[Rate_Code_Generalized]],Lookups!A:A,Lookups!B:B))*Pipeline_tbl[[#This Row],[Pipeline_Amount_USD]]</f>
        <v>1600</v>
      </c>
      <c r="O1704" t="str">
        <f>_xlfn.XLOOKUP(Pipeline_tbl[[#This Row],[Rep_ID]],Dim_Reps!A:A,Dim_Reps!B:B)</f>
        <v>Lea Weber</v>
      </c>
      <c r="P1704" t="str">
        <f>_xlfn.XLOOKUP(Pipeline_tbl[[#This Row],[Rep_ID]],Dim_Reps!A:A,Dim_Reps!C:C)</f>
        <v>SDR / Inside Sales Rep</v>
      </c>
      <c r="Q1704" t="str">
        <f>_xlfn.XLOOKUP(Pipeline_tbl[[#This Row],[Rep_ID]],Dim_Reps!A:A,Dim_Reps!D:D)</f>
        <v>Inside Sales</v>
      </c>
      <c r="R1704" t="str">
        <f>_xlfn.XLOOKUP(Pipeline_tbl[[#This Row],[Rep_ID]],Dim_Reps!A:A,Dim_Reps!E:E)</f>
        <v>EMEA</v>
      </c>
      <c r="S1704" t="str">
        <f>_xlfn.XLOOKUP(Pipeline_tbl[[#This Row],[Created_Date]],Dim_Date!A:A,Dim_Date!H:H)</f>
        <v>Nov 2025</v>
      </c>
      <c r="T1704" t="str">
        <f>IF(Pipeline_tbl[[#This Row],[Closed_Date]]=0,"",(_xlfn.XLOOKUP(Pipeline_tbl[[#This Row],[Closed_Date]],Dim_Date!A:A,Dim_Date!H:H)))</f>
        <v>Nov 2025</v>
      </c>
      <c r="U1704">
        <f>IF(Pipeline_tbl[[#This Row],[Closed_Date]]=0,"",Pipeline_tbl[[#This Row],[Closed_Date]]-Pipeline_tbl[[#This Row],[Created_Date]])</f>
        <v>10</v>
      </c>
    </row>
    <row r="1705" spans="1:21" ht="15" customHeight="1" x14ac:dyDescent="0.2">
      <c r="A1705" t="s">
        <v>2011</v>
      </c>
      <c r="B1705" t="s">
        <v>211</v>
      </c>
      <c r="C1705" t="s">
        <v>54</v>
      </c>
      <c r="D1705" s="49">
        <v>45966</v>
      </c>
      <c r="E1705" s="49">
        <v>45966</v>
      </c>
      <c r="F1705" s="49">
        <v>45968</v>
      </c>
      <c r="G1705" s="49">
        <v>45969</v>
      </c>
      <c r="H1705" s="49">
        <v>45970</v>
      </c>
      <c r="I1705" s="49">
        <v>45971</v>
      </c>
      <c r="J1705" t="s">
        <v>47</v>
      </c>
      <c r="K1705" s="33">
        <v>2900</v>
      </c>
      <c r="M1705" t="str">
        <f>_xlfn.XLOOKUP(Pipeline_tbl[[#This Row],[Rep_ID]],Dim_Reps!A:A,Dim_Reps!K:K)</f>
        <v>EUR</v>
      </c>
      <c r="N1705" s="33">
        <f>(_xlfn.XLOOKUP(Pipeline_tbl[[#This Row],[Rate_Code_Generalized]],Lookups!A:A,Lookups!B:B))*Pipeline_tbl[[#This Row],[Pipeline_Amount_USD]]</f>
        <v>2900</v>
      </c>
      <c r="O1705" t="str">
        <f>_xlfn.XLOOKUP(Pipeline_tbl[[#This Row],[Rep_ID]],Dim_Reps!A:A,Dim_Reps!B:B)</f>
        <v>Lea Weber</v>
      </c>
      <c r="P1705" t="str">
        <f>_xlfn.XLOOKUP(Pipeline_tbl[[#This Row],[Rep_ID]],Dim_Reps!A:A,Dim_Reps!C:C)</f>
        <v>SDR / Inside Sales Rep</v>
      </c>
      <c r="Q1705" t="str">
        <f>_xlfn.XLOOKUP(Pipeline_tbl[[#This Row],[Rep_ID]],Dim_Reps!A:A,Dim_Reps!D:D)</f>
        <v>Inside Sales</v>
      </c>
      <c r="R1705" t="str">
        <f>_xlfn.XLOOKUP(Pipeline_tbl[[#This Row],[Rep_ID]],Dim_Reps!A:A,Dim_Reps!E:E)</f>
        <v>EMEA</v>
      </c>
      <c r="S1705" t="str">
        <f>_xlfn.XLOOKUP(Pipeline_tbl[[#This Row],[Created_Date]],Dim_Date!A:A,Dim_Date!H:H)</f>
        <v>Nov 2025</v>
      </c>
      <c r="T1705" t="str">
        <f>IF(Pipeline_tbl[[#This Row],[Closed_Date]]=0,"",(_xlfn.XLOOKUP(Pipeline_tbl[[#This Row],[Closed_Date]],Dim_Date!A:A,Dim_Date!H:H)))</f>
        <v>Nov 2025</v>
      </c>
      <c r="U1705">
        <f>IF(Pipeline_tbl[[#This Row],[Closed_Date]]=0,"",Pipeline_tbl[[#This Row],[Closed_Date]]-Pipeline_tbl[[#This Row],[Created_Date]])</f>
        <v>5</v>
      </c>
    </row>
    <row r="1706" spans="1:21" ht="15" customHeight="1" x14ac:dyDescent="0.2">
      <c r="A1706" t="s">
        <v>2012</v>
      </c>
      <c r="B1706" t="s">
        <v>211</v>
      </c>
      <c r="C1706" t="s">
        <v>52</v>
      </c>
      <c r="D1706" s="49">
        <v>45971</v>
      </c>
      <c r="E1706" s="49">
        <v>45973</v>
      </c>
      <c r="I1706" s="49">
        <v>45990</v>
      </c>
      <c r="J1706" t="s">
        <v>49</v>
      </c>
      <c r="K1706" s="33">
        <v>4000</v>
      </c>
      <c r="L1706" t="s">
        <v>61</v>
      </c>
      <c r="M1706" t="str">
        <f>_xlfn.XLOOKUP(Pipeline_tbl[[#This Row],[Rep_ID]],Dim_Reps!A:A,Dim_Reps!K:K)</f>
        <v>EUR</v>
      </c>
      <c r="N1706" s="33">
        <f>(_xlfn.XLOOKUP(Pipeline_tbl[[#This Row],[Rate_Code_Generalized]],Lookups!A:A,Lookups!B:B))*Pipeline_tbl[[#This Row],[Pipeline_Amount_USD]]</f>
        <v>4000</v>
      </c>
      <c r="O1706" t="str">
        <f>_xlfn.XLOOKUP(Pipeline_tbl[[#This Row],[Rep_ID]],Dim_Reps!A:A,Dim_Reps!B:B)</f>
        <v>Lea Weber</v>
      </c>
      <c r="P1706" t="str">
        <f>_xlfn.XLOOKUP(Pipeline_tbl[[#This Row],[Rep_ID]],Dim_Reps!A:A,Dim_Reps!C:C)</f>
        <v>SDR / Inside Sales Rep</v>
      </c>
      <c r="Q1706" t="str">
        <f>_xlfn.XLOOKUP(Pipeline_tbl[[#This Row],[Rep_ID]],Dim_Reps!A:A,Dim_Reps!D:D)</f>
        <v>Inside Sales</v>
      </c>
      <c r="R1706" t="str">
        <f>_xlfn.XLOOKUP(Pipeline_tbl[[#This Row],[Rep_ID]],Dim_Reps!A:A,Dim_Reps!E:E)</f>
        <v>EMEA</v>
      </c>
      <c r="S1706" t="str">
        <f>_xlfn.XLOOKUP(Pipeline_tbl[[#This Row],[Created_Date]],Dim_Date!A:A,Dim_Date!H:H)</f>
        <v>Nov 2025</v>
      </c>
      <c r="T1706" t="str">
        <f>IF(Pipeline_tbl[[#This Row],[Closed_Date]]=0,"",(_xlfn.XLOOKUP(Pipeline_tbl[[#This Row],[Closed_Date]],Dim_Date!A:A,Dim_Date!H:H)))</f>
        <v>Nov 2025</v>
      </c>
      <c r="U1706">
        <f>IF(Pipeline_tbl[[#This Row],[Closed_Date]]=0,"",Pipeline_tbl[[#This Row],[Closed_Date]]-Pipeline_tbl[[#This Row],[Created_Date]])</f>
        <v>19</v>
      </c>
    </row>
    <row r="1707" spans="1:21" ht="15" customHeight="1" x14ac:dyDescent="0.2">
      <c r="A1707" t="s">
        <v>2013</v>
      </c>
      <c r="B1707" t="s">
        <v>249</v>
      </c>
      <c r="C1707" t="s">
        <v>52</v>
      </c>
      <c r="D1707" s="49">
        <v>45962</v>
      </c>
      <c r="E1707" s="49">
        <v>45964</v>
      </c>
      <c r="F1707" s="49">
        <v>45967</v>
      </c>
      <c r="G1707" s="49">
        <v>45973</v>
      </c>
      <c r="H1707" s="49">
        <v>45977</v>
      </c>
      <c r="I1707" s="49">
        <v>45980</v>
      </c>
      <c r="J1707" t="s">
        <v>47</v>
      </c>
      <c r="K1707" s="33">
        <v>5100</v>
      </c>
      <c r="M1707" t="str">
        <f>_xlfn.XLOOKUP(Pipeline_tbl[[#This Row],[Rep_ID]],Dim_Reps!A:A,Dim_Reps!K:K)</f>
        <v>EUR</v>
      </c>
      <c r="N1707" s="33">
        <f>(_xlfn.XLOOKUP(Pipeline_tbl[[#This Row],[Rate_Code_Generalized]],Lookups!A:A,Lookups!B:B))*Pipeline_tbl[[#This Row],[Pipeline_Amount_USD]]</f>
        <v>5100</v>
      </c>
      <c r="O1707" t="str">
        <f>_xlfn.XLOOKUP(Pipeline_tbl[[#This Row],[Rep_ID]],Dim_Reps!A:A,Dim_Reps!B:B)</f>
        <v>Ana Sato</v>
      </c>
      <c r="P1707" t="str">
        <f>_xlfn.XLOOKUP(Pipeline_tbl[[#This Row],[Rep_ID]],Dim_Reps!A:A,Dim_Reps!C:C)</f>
        <v>Mid-Market AE</v>
      </c>
      <c r="Q1707" t="str">
        <f>_xlfn.XLOOKUP(Pipeline_tbl[[#This Row],[Rep_ID]],Dim_Reps!A:A,Dim_Reps!D:D)</f>
        <v>Mid-Market</v>
      </c>
      <c r="R1707" t="str">
        <f>_xlfn.XLOOKUP(Pipeline_tbl[[#This Row],[Rep_ID]],Dim_Reps!A:A,Dim_Reps!E:E)</f>
        <v>APAC</v>
      </c>
      <c r="S1707" t="str">
        <f>_xlfn.XLOOKUP(Pipeline_tbl[[#This Row],[Created_Date]],Dim_Date!A:A,Dim_Date!H:H)</f>
        <v>Nov 2025</v>
      </c>
      <c r="T1707" t="str">
        <f>IF(Pipeline_tbl[[#This Row],[Closed_Date]]=0,"",(_xlfn.XLOOKUP(Pipeline_tbl[[#This Row],[Closed_Date]],Dim_Date!A:A,Dim_Date!H:H)))</f>
        <v>Nov 2025</v>
      </c>
      <c r="U1707">
        <f>IF(Pipeline_tbl[[#This Row],[Closed_Date]]=0,"",Pipeline_tbl[[#This Row],[Closed_Date]]-Pipeline_tbl[[#This Row],[Created_Date]])</f>
        <v>18</v>
      </c>
    </row>
    <row r="1708" spans="1:21" ht="15" customHeight="1" x14ac:dyDescent="0.2">
      <c r="A1708" t="s">
        <v>2014</v>
      </c>
      <c r="B1708" t="s">
        <v>213</v>
      </c>
      <c r="C1708" t="s">
        <v>55</v>
      </c>
      <c r="D1708" s="49">
        <v>45963</v>
      </c>
      <c r="E1708" s="49">
        <v>45964</v>
      </c>
      <c r="F1708" s="49">
        <v>45967</v>
      </c>
      <c r="G1708" s="49">
        <v>45971</v>
      </c>
      <c r="H1708" s="49">
        <v>45974</v>
      </c>
      <c r="I1708" s="49">
        <v>45976</v>
      </c>
      <c r="J1708" t="s">
        <v>47</v>
      </c>
      <c r="K1708" s="33">
        <v>2300</v>
      </c>
      <c r="M1708" t="str">
        <f>_xlfn.XLOOKUP(Pipeline_tbl[[#This Row],[Rep_ID]],Dim_Reps!A:A,Dim_Reps!K:K)</f>
        <v>EUR</v>
      </c>
      <c r="N1708" s="33">
        <f>(_xlfn.XLOOKUP(Pipeline_tbl[[#This Row],[Rate_Code_Generalized]],Lookups!A:A,Lookups!B:B))*Pipeline_tbl[[#This Row],[Pipeline_Amount_USD]]</f>
        <v>2300</v>
      </c>
      <c r="O1708" t="str">
        <f>_xlfn.XLOOKUP(Pipeline_tbl[[#This Row],[Rep_ID]],Dim_Reps!A:A,Dim_Reps!B:B)</f>
        <v>Jamie Silva</v>
      </c>
      <c r="P1708" t="str">
        <f>_xlfn.XLOOKUP(Pipeline_tbl[[#This Row],[Rep_ID]],Dim_Reps!A:A,Dim_Reps!C:C)</f>
        <v>SDR / Inside Sales Rep</v>
      </c>
      <c r="Q1708" t="str">
        <f>_xlfn.XLOOKUP(Pipeline_tbl[[#This Row],[Rep_ID]],Dim_Reps!A:A,Dim_Reps!D:D)</f>
        <v>Inside Sales</v>
      </c>
      <c r="R1708" t="str">
        <f>_xlfn.XLOOKUP(Pipeline_tbl[[#This Row],[Rep_ID]],Dim_Reps!A:A,Dim_Reps!E:E)</f>
        <v>EMEA</v>
      </c>
      <c r="S1708" t="str">
        <f>_xlfn.XLOOKUP(Pipeline_tbl[[#This Row],[Created_Date]],Dim_Date!A:A,Dim_Date!H:H)</f>
        <v>Nov 2025</v>
      </c>
      <c r="T1708" t="str">
        <f>IF(Pipeline_tbl[[#This Row],[Closed_Date]]=0,"",(_xlfn.XLOOKUP(Pipeline_tbl[[#This Row],[Closed_Date]],Dim_Date!A:A,Dim_Date!H:H)))</f>
        <v>Nov 2025</v>
      </c>
      <c r="U1708">
        <f>IF(Pipeline_tbl[[#This Row],[Closed_Date]]=0,"",Pipeline_tbl[[#This Row],[Closed_Date]]-Pipeline_tbl[[#This Row],[Created_Date]])</f>
        <v>13</v>
      </c>
    </row>
    <row r="1709" spans="1:21" ht="15" customHeight="1" x14ac:dyDescent="0.2">
      <c r="A1709" t="s">
        <v>2015</v>
      </c>
      <c r="B1709" t="s">
        <v>213</v>
      </c>
      <c r="C1709" t="s">
        <v>52</v>
      </c>
      <c r="D1709" s="49">
        <v>45966</v>
      </c>
      <c r="E1709" s="49">
        <v>45968</v>
      </c>
      <c r="F1709" s="49">
        <v>45973</v>
      </c>
      <c r="G1709" s="49">
        <v>45980</v>
      </c>
      <c r="I1709" s="49">
        <v>45990</v>
      </c>
      <c r="J1709" t="s">
        <v>49</v>
      </c>
      <c r="K1709" s="33">
        <v>4700</v>
      </c>
      <c r="L1709" t="s">
        <v>61</v>
      </c>
      <c r="M1709" t="str">
        <f>_xlfn.XLOOKUP(Pipeline_tbl[[#This Row],[Rep_ID]],Dim_Reps!A:A,Dim_Reps!K:K)</f>
        <v>EUR</v>
      </c>
      <c r="N1709" s="33">
        <f>(_xlfn.XLOOKUP(Pipeline_tbl[[#This Row],[Rate_Code_Generalized]],Lookups!A:A,Lookups!B:B))*Pipeline_tbl[[#This Row],[Pipeline_Amount_USD]]</f>
        <v>4700</v>
      </c>
      <c r="O1709" t="str">
        <f>_xlfn.XLOOKUP(Pipeline_tbl[[#This Row],[Rep_ID]],Dim_Reps!A:A,Dim_Reps!B:B)</f>
        <v>Jamie Silva</v>
      </c>
      <c r="P1709" t="str">
        <f>_xlfn.XLOOKUP(Pipeline_tbl[[#This Row],[Rep_ID]],Dim_Reps!A:A,Dim_Reps!C:C)</f>
        <v>SDR / Inside Sales Rep</v>
      </c>
      <c r="Q1709" t="str">
        <f>_xlfn.XLOOKUP(Pipeline_tbl[[#This Row],[Rep_ID]],Dim_Reps!A:A,Dim_Reps!D:D)</f>
        <v>Inside Sales</v>
      </c>
      <c r="R1709" t="str">
        <f>_xlfn.XLOOKUP(Pipeline_tbl[[#This Row],[Rep_ID]],Dim_Reps!A:A,Dim_Reps!E:E)</f>
        <v>EMEA</v>
      </c>
      <c r="S1709" t="str">
        <f>_xlfn.XLOOKUP(Pipeline_tbl[[#This Row],[Created_Date]],Dim_Date!A:A,Dim_Date!H:H)</f>
        <v>Nov 2025</v>
      </c>
      <c r="T1709" t="str">
        <f>IF(Pipeline_tbl[[#This Row],[Closed_Date]]=0,"",(_xlfn.XLOOKUP(Pipeline_tbl[[#This Row],[Closed_Date]],Dim_Date!A:A,Dim_Date!H:H)))</f>
        <v>Nov 2025</v>
      </c>
      <c r="U1709">
        <f>IF(Pipeline_tbl[[#This Row],[Closed_Date]]=0,"",Pipeline_tbl[[#This Row],[Closed_Date]]-Pipeline_tbl[[#This Row],[Created_Date]])</f>
        <v>24</v>
      </c>
    </row>
    <row r="1710" spans="1:21" ht="15" customHeight="1" x14ac:dyDescent="0.2">
      <c r="A1710" t="s">
        <v>2016</v>
      </c>
      <c r="B1710" t="s">
        <v>213</v>
      </c>
      <c r="C1710" t="s">
        <v>55</v>
      </c>
      <c r="D1710" s="49">
        <v>45973</v>
      </c>
      <c r="E1710" s="49">
        <v>45974</v>
      </c>
      <c r="F1710" s="49">
        <v>45977</v>
      </c>
      <c r="G1710" s="49">
        <v>45981</v>
      </c>
      <c r="H1710" s="49">
        <v>45984</v>
      </c>
      <c r="I1710" s="49">
        <v>45986</v>
      </c>
      <c r="J1710" t="s">
        <v>47</v>
      </c>
      <c r="K1710" s="33">
        <v>2400</v>
      </c>
      <c r="M1710" t="str">
        <f>_xlfn.XLOOKUP(Pipeline_tbl[[#This Row],[Rep_ID]],Dim_Reps!A:A,Dim_Reps!K:K)</f>
        <v>EUR</v>
      </c>
      <c r="N1710" s="33">
        <f>(_xlfn.XLOOKUP(Pipeline_tbl[[#This Row],[Rate_Code_Generalized]],Lookups!A:A,Lookups!B:B))*Pipeline_tbl[[#This Row],[Pipeline_Amount_USD]]</f>
        <v>2400</v>
      </c>
      <c r="O1710" t="str">
        <f>_xlfn.XLOOKUP(Pipeline_tbl[[#This Row],[Rep_ID]],Dim_Reps!A:A,Dim_Reps!B:B)</f>
        <v>Jamie Silva</v>
      </c>
      <c r="P1710" t="str">
        <f>_xlfn.XLOOKUP(Pipeline_tbl[[#This Row],[Rep_ID]],Dim_Reps!A:A,Dim_Reps!C:C)</f>
        <v>SDR / Inside Sales Rep</v>
      </c>
      <c r="Q1710" t="str">
        <f>_xlfn.XLOOKUP(Pipeline_tbl[[#This Row],[Rep_ID]],Dim_Reps!A:A,Dim_Reps!D:D)</f>
        <v>Inside Sales</v>
      </c>
      <c r="R1710" t="str">
        <f>_xlfn.XLOOKUP(Pipeline_tbl[[#This Row],[Rep_ID]],Dim_Reps!A:A,Dim_Reps!E:E)</f>
        <v>EMEA</v>
      </c>
      <c r="S1710" t="str">
        <f>_xlfn.XLOOKUP(Pipeline_tbl[[#This Row],[Created_Date]],Dim_Date!A:A,Dim_Date!H:H)</f>
        <v>Nov 2025</v>
      </c>
      <c r="T1710" t="str">
        <f>IF(Pipeline_tbl[[#This Row],[Closed_Date]]=0,"",(_xlfn.XLOOKUP(Pipeline_tbl[[#This Row],[Closed_Date]],Dim_Date!A:A,Dim_Date!H:H)))</f>
        <v>Nov 2025</v>
      </c>
      <c r="U1710">
        <f>IF(Pipeline_tbl[[#This Row],[Closed_Date]]=0,"",Pipeline_tbl[[#This Row],[Closed_Date]]-Pipeline_tbl[[#This Row],[Created_Date]])</f>
        <v>13</v>
      </c>
    </row>
    <row r="1711" spans="1:21" ht="15" customHeight="1" x14ac:dyDescent="0.2">
      <c r="A1711" t="s">
        <v>2017</v>
      </c>
      <c r="B1711" t="s">
        <v>213</v>
      </c>
      <c r="C1711" t="s">
        <v>53</v>
      </c>
      <c r="D1711" s="49">
        <v>45973</v>
      </c>
      <c r="E1711" s="49">
        <v>45974</v>
      </c>
      <c r="F1711" s="49">
        <v>45976</v>
      </c>
      <c r="G1711" s="49">
        <v>45978</v>
      </c>
      <c r="H1711" s="49">
        <v>45981</v>
      </c>
      <c r="I1711" s="49">
        <v>45982</v>
      </c>
      <c r="J1711" t="s">
        <v>49</v>
      </c>
      <c r="K1711" s="33">
        <v>2200</v>
      </c>
      <c r="L1711" t="s">
        <v>62</v>
      </c>
      <c r="M1711" t="str">
        <f>_xlfn.XLOOKUP(Pipeline_tbl[[#This Row],[Rep_ID]],Dim_Reps!A:A,Dim_Reps!K:K)</f>
        <v>EUR</v>
      </c>
      <c r="N1711" s="33">
        <f>(_xlfn.XLOOKUP(Pipeline_tbl[[#This Row],[Rate_Code_Generalized]],Lookups!A:A,Lookups!B:B))*Pipeline_tbl[[#This Row],[Pipeline_Amount_USD]]</f>
        <v>2200</v>
      </c>
      <c r="O1711" t="str">
        <f>_xlfn.XLOOKUP(Pipeline_tbl[[#This Row],[Rep_ID]],Dim_Reps!A:A,Dim_Reps!B:B)</f>
        <v>Jamie Silva</v>
      </c>
      <c r="P1711" t="str">
        <f>_xlfn.XLOOKUP(Pipeline_tbl[[#This Row],[Rep_ID]],Dim_Reps!A:A,Dim_Reps!C:C)</f>
        <v>SDR / Inside Sales Rep</v>
      </c>
      <c r="Q1711" t="str">
        <f>_xlfn.XLOOKUP(Pipeline_tbl[[#This Row],[Rep_ID]],Dim_Reps!A:A,Dim_Reps!D:D)</f>
        <v>Inside Sales</v>
      </c>
      <c r="R1711" t="str">
        <f>_xlfn.XLOOKUP(Pipeline_tbl[[#This Row],[Rep_ID]],Dim_Reps!A:A,Dim_Reps!E:E)</f>
        <v>EMEA</v>
      </c>
      <c r="S1711" t="str">
        <f>_xlfn.XLOOKUP(Pipeline_tbl[[#This Row],[Created_Date]],Dim_Date!A:A,Dim_Date!H:H)</f>
        <v>Nov 2025</v>
      </c>
      <c r="T1711" t="str">
        <f>IF(Pipeline_tbl[[#This Row],[Closed_Date]]=0,"",(_xlfn.XLOOKUP(Pipeline_tbl[[#This Row],[Closed_Date]],Dim_Date!A:A,Dim_Date!H:H)))</f>
        <v>Nov 2025</v>
      </c>
      <c r="U1711">
        <f>IF(Pipeline_tbl[[#This Row],[Closed_Date]]=0,"",Pipeline_tbl[[#This Row],[Closed_Date]]-Pipeline_tbl[[#This Row],[Created_Date]])</f>
        <v>9</v>
      </c>
    </row>
    <row r="1712" spans="1:21" ht="15" customHeight="1" x14ac:dyDescent="0.2">
      <c r="A1712" t="s">
        <v>2018</v>
      </c>
      <c r="B1712" t="s">
        <v>215</v>
      </c>
      <c r="C1712" t="s">
        <v>55</v>
      </c>
      <c r="D1712" s="49">
        <v>45972</v>
      </c>
      <c r="E1712" s="49">
        <v>45973</v>
      </c>
      <c r="F1712" s="49">
        <v>45976</v>
      </c>
      <c r="G1712" s="49">
        <v>45980</v>
      </c>
      <c r="H1712" s="49">
        <v>45984</v>
      </c>
      <c r="I1712" s="49">
        <v>45986</v>
      </c>
      <c r="J1712" t="s">
        <v>47</v>
      </c>
      <c r="K1712" s="33">
        <v>3800</v>
      </c>
      <c r="M1712" t="str">
        <f>_xlfn.XLOOKUP(Pipeline_tbl[[#This Row],[Rep_ID]],Dim_Reps!A:A,Dim_Reps!K:K)</f>
        <v>EUR</v>
      </c>
      <c r="N1712" s="33">
        <f>(_xlfn.XLOOKUP(Pipeline_tbl[[#This Row],[Rate_Code_Generalized]],Lookups!A:A,Lookups!B:B))*Pipeline_tbl[[#This Row],[Pipeline_Amount_USD]]</f>
        <v>3800</v>
      </c>
      <c r="O1712" t="str">
        <f>_xlfn.XLOOKUP(Pipeline_tbl[[#This Row],[Rep_ID]],Dim_Reps!A:A,Dim_Reps!B:B)</f>
        <v>Jamie Schmidt</v>
      </c>
      <c r="P1712" t="str">
        <f>_xlfn.XLOOKUP(Pipeline_tbl[[#This Row],[Rep_ID]],Dim_Reps!A:A,Dim_Reps!C:C)</f>
        <v>SDR / Inside Sales Rep</v>
      </c>
      <c r="Q1712" t="str">
        <f>_xlfn.XLOOKUP(Pipeline_tbl[[#This Row],[Rep_ID]],Dim_Reps!A:A,Dim_Reps!D:D)</f>
        <v>Inside Sales</v>
      </c>
      <c r="R1712" t="str">
        <f>_xlfn.XLOOKUP(Pipeline_tbl[[#This Row],[Rep_ID]],Dim_Reps!A:A,Dim_Reps!E:E)</f>
        <v>APAC</v>
      </c>
      <c r="S1712" t="str">
        <f>_xlfn.XLOOKUP(Pipeline_tbl[[#This Row],[Created_Date]],Dim_Date!A:A,Dim_Date!H:H)</f>
        <v>Nov 2025</v>
      </c>
      <c r="T1712" t="str">
        <f>IF(Pipeline_tbl[[#This Row],[Closed_Date]]=0,"",(_xlfn.XLOOKUP(Pipeline_tbl[[#This Row],[Closed_Date]],Dim_Date!A:A,Dim_Date!H:H)))</f>
        <v>Nov 2025</v>
      </c>
      <c r="U1712">
        <f>IF(Pipeline_tbl[[#This Row],[Closed_Date]]=0,"",Pipeline_tbl[[#This Row],[Closed_Date]]-Pipeline_tbl[[#This Row],[Created_Date]])</f>
        <v>14</v>
      </c>
    </row>
    <row r="1713" spans="1:21" ht="15" customHeight="1" x14ac:dyDescent="0.2">
      <c r="A1713" t="s">
        <v>2019</v>
      </c>
      <c r="B1713" t="s">
        <v>215</v>
      </c>
      <c r="C1713" t="s">
        <v>52</v>
      </c>
      <c r="D1713" s="49">
        <v>45968</v>
      </c>
      <c r="E1713" s="49">
        <v>45970</v>
      </c>
      <c r="F1713" s="49">
        <v>45974</v>
      </c>
      <c r="G1713" s="49">
        <v>45980</v>
      </c>
      <c r="H1713" s="49">
        <v>45985</v>
      </c>
      <c r="I1713" s="49">
        <v>45988</v>
      </c>
      <c r="J1713" t="s">
        <v>47</v>
      </c>
      <c r="K1713" s="33">
        <v>3600</v>
      </c>
      <c r="M1713" t="str">
        <f>_xlfn.XLOOKUP(Pipeline_tbl[[#This Row],[Rep_ID]],Dim_Reps!A:A,Dim_Reps!K:K)</f>
        <v>EUR</v>
      </c>
      <c r="N1713" s="33">
        <f>(_xlfn.XLOOKUP(Pipeline_tbl[[#This Row],[Rate_Code_Generalized]],Lookups!A:A,Lookups!B:B))*Pipeline_tbl[[#This Row],[Pipeline_Amount_USD]]</f>
        <v>3600</v>
      </c>
      <c r="O1713" t="str">
        <f>_xlfn.XLOOKUP(Pipeline_tbl[[#This Row],[Rep_ID]],Dim_Reps!A:A,Dim_Reps!B:B)</f>
        <v>Jamie Schmidt</v>
      </c>
      <c r="P1713" t="str">
        <f>_xlfn.XLOOKUP(Pipeline_tbl[[#This Row],[Rep_ID]],Dim_Reps!A:A,Dim_Reps!C:C)</f>
        <v>SDR / Inside Sales Rep</v>
      </c>
      <c r="Q1713" t="str">
        <f>_xlfn.XLOOKUP(Pipeline_tbl[[#This Row],[Rep_ID]],Dim_Reps!A:A,Dim_Reps!D:D)</f>
        <v>Inside Sales</v>
      </c>
      <c r="R1713" t="str">
        <f>_xlfn.XLOOKUP(Pipeline_tbl[[#This Row],[Rep_ID]],Dim_Reps!A:A,Dim_Reps!E:E)</f>
        <v>APAC</v>
      </c>
      <c r="S1713" t="str">
        <f>_xlfn.XLOOKUP(Pipeline_tbl[[#This Row],[Created_Date]],Dim_Date!A:A,Dim_Date!H:H)</f>
        <v>Nov 2025</v>
      </c>
      <c r="T1713" t="str">
        <f>IF(Pipeline_tbl[[#This Row],[Closed_Date]]=0,"",(_xlfn.XLOOKUP(Pipeline_tbl[[#This Row],[Closed_Date]],Dim_Date!A:A,Dim_Date!H:H)))</f>
        <v>Nov 2025</v>
      </c>
      <c r="U1713">
        <f>IF(Pipeline_tbl[[#This Row],[Closed_Date]]=0,"",Pipeline_tbl[[#This Row],[Closed_Date]]-Pipeline_tbl[[#This Row],[Created_Date]])</f>
        <v>20</v>
      </c>
    </row>
    <row r="1714" spans="1:21" ht="15" customHeight="1" x14ac:dyDescent="0.2">
      <c r="A1714" t="s">
        <v>2020</v>
      </c>
      <c r="B1714" t="s">
        <v>215</v>
      </c>
      <c r="C1714" t="s">
        <v>56</v>
      </c>
      <c r="D1714" s="49">
        <v>45967</v>
      </c>
      <c r="E1714" s="49">
        <v>45968</v>
      </c>
      <c r="F1714" s="49">
        <v>45970</v>
      </c>
      <c r="G1714" s="49">
        <v>45972</v>
      </c>
      <c r="H1714" s="49">
        <v>45975</v>
      </c>
      <c r="I1714" s="49">
        <v>45976</v>
      </c>
      <c r="J1714" t="s">
        <v>47</v>
      </c>
      <c r="K1714" s="33">
        <v>3200</v>
      </c>
      <c r="M1714" t="str">
        <f>_xlfn.XLOOKUP(Pipeline_tbl[[#This Row],[Rep_ID]],Dim_Reps!A:A,Dim_Reps!K:K)</f>
        <v>EUR</v>
      </c>
      <c r="N1714" s="33">
        <f>(_xlfn.XLOOKUP(Pipeline_tbl[[#This Row],[Rate_Code_Generalized]],Lookups!A:A,Lookups!B:B))*Pipeline_tbl[[#This Row],[Pipeline_Amount_USD]]</f>
        <v>3200</v>
      </c>
      <c r="O1714" t="str">
        <f>_xlfn.XLOOKUP(Pipeline_tbl[[#This Row],[Rep_ID]],Dim_Reps!A:A,Dim_Reps!B:B)</f>
        <v>Jamie Schmidt</v>
      </c>
      <c r="P1714" t="str">
        <f>_xlfn.XLOOKUP(Pipeline_tbl[[#This Row],[Rep_ID]],Dim_Reps!A:A,Dim_Reps!C:C)</f>
        <v>SDR / Inside Sales Rep</v>
      </c>
      <c r="Q1714" t="str">
        <f>_xlfn.XLOOKUP(Pipeline_tbl[[#This Row],[Rep_ID]],Dim_Reps!A:A,Dim_Reps!D:D)</f>
        <v>Inside Sales</v>
      </c>
      <c r="R1714" t="str">
        <f>_xlfn.XLOOKUP(Pipeline_tbl[[#This Row],[Rep_ID]],Dim_Reps!A:A,Dim_Reps!E:E)</f>
        <v>APAC</v>
      </c>
      <c r="S1714" t="str">
        <f>_xlfn.XLOOKUP(Pipeline_tbl[[#This Row],[Created_Date]],Dim_Date!A:A,Dim_Date!H:H)</f>
        <v>Nov 2025</v>
      </c>
      <c r="T1714" t="str">
        <f>IF(Pipeline_tbl[[#This Row],[Closed_Date]]=0,"",(_xlfn.XLOOKUP(Pipeline_tbl[[#This Row],[Closed_Date]],Dim_Date!A:A,Dim_Date!H:H)))</f>
        <v>Nov 2025</v>
      </c>
      <c r="U1714">
        <f>IF(Pipeline_tbl[[#This Row],[Closed_Date]]=0,"",Pipeline_tbl[[#This Row],[Closed_Date]]-Pipeline_tbl[[#This Row],[Created_Date]])</f>
        <v>9</v>
      </c>
    </row>
    <row r="1715" spans="1:21" ht="15" customHeight="1" x14ac:dyDescent="0.2">
      <c r="A1715" t="s">
        <v>2021</v>
      </c>
      <c r="B1715" t="s">
        <v>215</v>
      </c>
      <c r="C1715" t="s">
        <v>53</v>
      </c>
      <c r="D1715" s="49">
        <v>45977</v>
      </c>
      <c r="E1715" s="49">
        <v>45978</v>
      </c>
      <c r="F1715" s="49">
        <v>45980</v>
      </c>
      <c r="G1715" s="49">
        <v>45984</v>
      </c>
      <c r="H1715" s="49">
        <v>45986</v>
      </c>
      <c r="I1715" s="49">
        <v>45988</v>
      </c>
      <c r="J1715" t="s">
        <v>49</v>
      </c>
      <c r="K1715" s="33">
        <v>1800</v>
      </c>
      <c r="L1715" t="s">
        <v>60</v>
      </c>
      <c r="M1715" t="str">
        <f>_xlfn.XLOOKUP(Pipeline_tbl[[#This Row],[Rep_ID]],Dim_Reps!A:A,Dim_Reps!K:K)</f>
        <v>EUR</v>
      </c>
      <c r="N1715" s="33">
        <f>(_xlfn.XLOOKUP(Pipeline_tbl[[#This Row],[Rate_Code_Generalized]],Lookups!A:A,Lookups!B:B))*Pipeline_tbl[[#This Row],[Pipeline_Amount_USD]]</f>
        <v>1800</v>
      </c>
      <c r="O1715" t="str">
        <f>_xlfn.XLOOKUP(Pipeline_tbl[[#This Row],[Rep_ID]],Dim_Reps!A:A,Dim_Reps!B:B)</f>
        <v>Jamie Schmidt</v>
      </c>
      <c r="P1715" t="str">
        <f>_xlfn.XLOOKUP(Pipeline_tbl[[#This Row],[Rep_ID]],Dim_Reps!A:A,Dim_Reps!C:C)</f>
        <v>SDR / Inside Sales Rep</v>
      </c>
      <c r="Q1715" t="str">
        <f>_xlfn.XLOOKUP(Pipeline_tbl[[#This Row],[Rep_ID]],Dim_Reps!A:A,Dim_Reps!D:D)</f>
        <v>Inside Sales</v>
      </c>
      <c r="R1715" t="str">
        <f>_xlfn.XLOOKUP(Pipeline_tbl[[#This Row],[Rep_ID]],Dim_Reps!A:A,Dim_Reps!E:E)</f>
        <v>APAC</v>
      </c>
      <c r="S1715" t="str">
        <f>_xlfn.XLOOKUP(Pipeline_tbl[[#This Row],[Created_Date]],Dim_Date!A:A,Dim_Date!H:H)</f>
        <v>Nov 2025</v>
      </c>
      <c r="T1715" t="str">
        <f>IF(Pipeline_tbl[[#This Row],[Closed_Date]]=0,"",(_xlfn.XLOOKUP(Pipeline_tbl[[#This Row],[Closed_Date]],Dim_Date!A:A,Dim_Date!H:H)))</f>
        <v>Nov 2025</v>
      </c>
      <c r="U1715">
        <f>IF(Pipeline_tbl[[#This Row],[Closed_Date]]=0,"",Pipeline_tbl[[#This Row],[Closed_Date]]-Pipeline_tbl[[#This Row],[Created_Date]])</f>
        <v>11</v>
      </c>
    </row>
    <row r="1716" spans="1:21" ht="15" customHeight="1" x14ac:dyDescent="0.2">
      <c r="A1716" t="s">
        <v>2022</v>
      </c>
      <c r="B1716" t="s">
        <v>215</v>
      </c>
      <c r="C1716" t="s">
        <v>52</v>
      </c>
      <c r="D1716" s="49">
        <v>45976</v>
      </c>
      <c r="E1716" s="49">
        <v>45977</v>
      </c>
      <c r="F1716" s="49">
        <v>45979</v>
      </c>
      <c r="G1716" s="49">
        <v>45981</v>
      </c>
      <c r="H1716" s="49">
        <v>45984</v>
      </c>
      <c r="I1716" s="49">
        <v>45985</v>
      </c>
      <c r="J1716" t="s">
        <v>49</v>
      </c>
      <c r="K1716" s="33">
        <v>6000</v>
      </c>
      <c r="L1716" t="s">
        <v>64</v>
      </c>
      <c r="M1716" t="str">
        <f>_xlfn.XLOOKUP(Pipeline_tbl[[#This Row],[Rep_ID]],Dim_Reps!A:A,Dim_Reps!K:K)</f>
        <v>EUR</v>
      </c>
      <c r="N1716" s="33">
        <f>(_xlfn.XLOOKUP(Pipeline_tbl[[#This Row],[Rate_Code_Generalized]],Lookups!A:A,Lookups!B:B))*Pipeline_tbl[[#This Row],[Pipeline_Amount_USD]]</f>
        <v>6000</v>
      </c>
      <c r="O1716" t="str">
        <f>_xlfn.XLOOKUP(Pipeline_tbl[[#This Row],[Rep_ID]],Dim_Reps!A:A,Dim_Reps!B:B)</f>
        <v>Jamie Schmidt</v>
      </c>
      <c r="P1716" t="str">
        <f>_xlfn.XLOOKUP(Pipeline_tbl[[#This Row],[Rep_ID]],Dim_Reps!A:A,Dim_Reps!C:C)</f>
        <v>SDR / Inside Sales Rep</v>
      </c>
      <c r="Q1716" t="str">
        <f>_xlfn.XLOOKUP(Pipeline_tbl[[#This Row],[Rep_ID]],Dim_Reps!A:A,Dim_Reps!D:D)</f>
        <v>Inside Sales</v>
      </c>
      <c r="R1716" t="str">
        <f>_xlfn.XLOOKUP(Pipeline_tbl[[#This Row],[Rep_ID]],Dim_Reps!A:A,Dim_Reps!E:E)</f>
        <v>APAC</v>
      </c>
      <c r="S1716" t="str">
        <f>_xlfn.XLOOKUP(Pipeline_tbl[[#This Row],[Created_Date]],Dim_Date!A:A,Dim_Date!H:H)</f>
        <v>Nov 2025</v>
      </c>
      <c r="T1716" t="str">
        <f>IF(Pipeline_tbl[[#This Row],[Closed_Date]]=0,"",(_xlfn.XLOOKUP(Pipeline_tbl[[#This Row],[Closed_Date]],Dim_Date!A:A,Dim_Date!H:H)))</f>
        <v>Nov 2025</v>
      </c>
      <c r="U1716">
        <f>IF(Pipeline_tbl[[#This Row],[Closed_Date]]=0,"",Pipeline_tbl[[#This Row],[Closed_Date]]-Pipeline_tbl[[#This Row],[Created_Date]])</f>
        <v>9</v>
      </c>
    </row>
    <row r="1717" spans="1:21" ht="15" customHeight="1" x14ac:dyDescent="0.2">
      <c r="A1717" t="s">
        <v>2023</v>
      </c>
      <c r="B1717" t="s">
        <v>217</v>
      </c>
      <c r="C1717" t="s">
        <v>52</v>
      </c>
      <c r="D1717" s="49">
        <v>45974</v>
      </c>
      <c r="E1717" s="49">
        <v>45975</v>
      </c>
      <c r="F1717" s="49">
        <v>45978</v>
      </c>
      <c r="G1717" s="49">
        <v>45982</v>
      </c>
      <c r="H1717" s="49">
        <v>45985</v>
      </c>
      <c r="I1717" s="49">
        <v>45987</v>
      </c>
      <c r="J1717" t="s">
        <v>47</v>
      </c>
      <c r="K1717" s="33">
        <v>3300</v>
      </c>
      <c r="M1717" t="str">
        <f>_xlfn.XLOOKUP(Pipeline_tbl[[#This Row],[Rep_ID]],Dim_Reps!A:A,Dim_Reps!K:K)</f>
        <v>USD</v>
      </c>
      <c r="N1717" s="33">
        <f>(_xlfn.XLOOKUP(Pipeline_tbl[[#This Row],[Rate_Code_Generalized]],Lookups!A:A,Lookups!B:B))*Pipeline_tbl[[#This Row],[Pipeline_Amount_USD]]</f>
        <v>3842.1899999999996</v>
      </c>
      <c r="O1717" t="str">
        <f>_xlfn.XLOOKUP(Pipeline_tbl[[#This Row],[Rep_ID]],Dim_Reps!A:A,Dim_Reps!B:B)</f>
        <v>Priya Weber</v>
      </c>
      <c r="P1717" t="str">
        <f>_xlfn.XLOOKUP(Pipeline_tbl[[#This Row],[Rep_ID]],Dim_Reps!A:A,Dim_Reps!C:C)</f>
        <v>SDR / Inside Sales Rep</v>
      </c>
      <c r="Q1717" t="str">
        <f>_xlfn.XLOOKUP(Pipeline_tbl[[#This Row],[Rep_ID]],Dim_Reps!A:A,Dim_Reps!D:D)</f>
        <v>Inside Sales</v>
      </c>
      <c r="R1717" t="str">
        <f>_xlfn.XLOOKUP(Pipeline_tbl[[#This Row],[Rep_ID]],Dim_Reps!A:A,Dim_Reps!E:E)</f>
        <v>NAMER</v>
      </c>
      <c r="S1717" t="str">
        <f>_xlfn.XLOOKUP(Pipeline_tbl[[#This Row],[Created_Date]],Dim_Date!A:A,Dim_Date!H:H)</f>
        <v>Nov 2025</v>
      </c>
      <c r="T1717" t="str">
        <f>IF(Pipeline_tbl[[#This Row],[Closed_Date]]=0,"",(_xlfn.XLOOKUP(Pipeline_tbl[[#This Row],[Closed_Date]],Dim_Date!A:A,Dim_Date!H:H)))</f>
        <v>Nov 2025</v>
      </c>
      <c r="U1717">
        <f>IF(Pipeline_tbl[[#This Row],[Closed_Date]]=0,"",Pipeline_tbl[[#This Row],[Closed_Date]]-Pipeline_tbl[[#This Row],[Created_Date]])</f>
        <v>13</v>
      </c>
    </row>
    <row r="1718" spans="1:21" ht="15" customHeight="1" x14ac:dyDescent="0.2">
      <c r="A1718" t="s">
        <v>2024</v>
      </c>
      <c r="B1718" t="s">
        <v>217</v>
      </c>
      <c r="C1718" t="s">
        <v>52</v>
      </c>
      <c r="D1718" s="49">
        <v>45973</v>
      </c>
      <c r="E1718" s="49">
        <v>45974</v>
      </c>
      <c r="F1718" s="49">
        <v>45977</v>
      </c>
      <c r="I1718" s="49">
        <v>45987</v>
      </c>
      <c r="J1718" t="s">
        <v>49</v>
      </c>
      <c r="K1718" s="33">
        <v>2100</v>
      </c>
      <c r="L1718" t="s">
        <v>64</v>
      </c>
      <c r="M1718" t="str">
        <f>_xlfn.XLOOKUP(Pipeline_tbl[[#This Row],[Rep_ID]],Dim_Reps!A:A,Dim_Reps!K:K)</f>
        <v>USD</v>
      </c>
      <c r="N1718" s="33">
        <f>(_xlfn.XLOOKUP(Pipeline_tbl[[#This Row],[Rate_Code_Generalized]],Lookups!A:A,Lookups!B:B))*Pipeline_tbl[[#This Row],[Pipeline_Amount_USD]]</f>
        <v>2445.0299999999997</v>
      </c>
      <c r="O1718" t="str">
        <f>_xlfn.XLOOKUP(Pipeline_tbl[[#This Row],[Rep_ID]],Dim_Reps!A:A,Dim_Reps!B:B)</f>
        <v>Priya Weber</v>
      </c>
      <c r="P1718" t="str">
        <f>_xlfn.XLOOKUP(Pipeline_tbl[[#This Row],[Rep_ID]],Dim_Reps!A:A,Dim_Reps!C:C)</f>
        <v>SDR / Inside Sales Rep</v>
      </c>
      <c r="Q1718" t="str">
        <f>_xlfn.XLOOKUP(Pipeline_tbl[[#This Row],[Rep_ID]],Dim_Reps!A:A,Dim_Reps!D:D)</f>
        <v>Inside Sales</v>
      </c>
      <c r="R1718" t="str">
        <f>_xlfn.XLOOKUP(Pipeline_tbl[[#This Row],[Rep_ID]],Dim_Reps!A:A,Dim_Reps!E:E)</f>
        <v>NAMER</v>
      </c>
      <c r="S1718" t="str">
        <f>_xlfn.XLOOKUP(Pipeline_tbl[[#This Row],[Created_Date]],Dim_Date!A:A,Dim_Date!H:H)</f>
        <v>Nov 2025</v>
      </c>
      <c r="T1718" t="str">
        <f>IF(Pipeline_tbl[[#This Row],[Closed_Date]]=0,"",(_xlfn.XLOOKUP(Pipeline_tbl[[#This Row],[Closed_Date]],Dim_Date!A:A,Dim_Date!H:H)))</f>
        <v>Nov 2025</v>
      </c>
      <c r="U1718">
        <f>IF(Pipeline_tbl[[#This Row],[Closed_Date]]=0,"",Pipeline_tbl[[#This Row],[Closed_Date]]-Pipeline_tbl[[#This Row],[Created_Date]])</f>
        <v>14</v>
      </c>
    </row>
    <row r="1719" spans="1:21" ht="15" customHeight="1" x14ac:dyDescent="0.2">
      <c r="A1719" t="s">
        <v>2025</v>
      </c>
      <c r="B1719" t="s">
        <v>217</v>
      </c>
      <c r="C1719" t="s">
        <v>54</v>
      </c>
      <c r="D1719" s="49">
        <v>45966</v>
      </c>
      <c r="E1719" s="49">
        <v>45968</v>
      </c>
      <c r="F1719" s="49">
        <v>45973</v>
      </c>
      <c r="I1719" s="49">
        <v>45988</v>
      </c>
      <c r="J1719" t="s">
        <v>49</v>
      </c>
      <c r="K1719" s="33">
        <v>2600</v>
      </c>
      <c r="L1719" t="s">
        <v>63</v>
      </c>
      <c r="M1719" t="str">
        <f>_xlfn.XLOOKUP(Pipeline_tbl[[#This Row],[Rep_ID]],Dim_Reps!A:A,Dim_Reps!K:K)</f>
        <v>USD</v>
      </c>
      <c r="N1719" s="33">
        <f>(_xlfn.XLOOKUP(Pipeline_tbl[[#This Row],[Rate_Code_Generalized]],Lookups!A:A,Lookups!B:B))*Pipeline_tbl[[#This Row],[Pipeline_Amount_USD]]</f>
        <v>3027.18</v>
      </c>
      <c r="O1719" t="str">
        <f>_xlfn.XLOOKUP(Pipeline_tbl[[#This Row],[Rep_ID]],Dim_Reps!A:A,Dim_Reps!B:B)</f>
        <v>Priya Weber</v>
      </c>
      <c r="P1719" t="str">
        <f>_xlfn.XLOOKUP(Pipeline_tbl[[#This Row],[Rep_ID]],Dim_Reps!A:A,Dim_Reps!C:C)</f>
        <v>SDR / Inside Sales Rep</v>
      </c>
      <c r="Q1719" t="str">
        <f>_xlfn.XLOOKUP(Pipeline_tbl[[#This Row],[Rep_ID]],Dim_Reps!A:A,Dim_Reps!D:D)</f>
        <v>Inside Sales</v>
      </c>
      <c r="R1719" t="str">
        <f>_xlfn.XLOOKUP(Pipeline_tbl[[#This Row],[Rep_ID]],Dim_Reps!A:A,Dim_Reps!E:E)</f>
        <v>NAMER</v>
      </c>
      <c r="S1719" t="str">
        <f>_xlfn.XLOOKUP(Pipeline_tbl[[#This Row],[Created_Date]],Dim_Date!A:A,Dim_Date!H:H)</f>
        <v>Nov 2025</v>
      </c>
      <c r="T1719" t="str">
        <f>IF(Pipeline_tbl[[#This Row],[Closed_Date]]=0,"",(_xlfn.XLOOKUP(Pipeline_tbl[[#This Row],[Closed_Date]],Dim_Date!A:A,Dim_Date!H:H)))</f>
        <v>Nov 2025</v>
      </c>
      <c r="U1719">
        <f>IF(Pipeline_tbl[[#This Row],[Closed_Date]]=0,"",Pipeline_tbl[[#This Row],[Closed_Date]]-Pipeline_tbl[[#This Row],[Created_Date]])</f>
        <v>22</v>
      </c>
    </row>
    <row r="1720" spans="1:21" ht="15" customHeight="1" x14ac:dyDescent="0.2">
      <c r="A1720" t="s">
        <v>2026</v>
      </c>
      <c r="B1720" t="s">
        <v>217</v>
      </c>
      <c r="C1720" t="s">
        <v>52</v>
      </c>
      <c r="D1720" s="49">
        <v>45971</v>
      </c>
      <c r="E1720" s="49">
        <v>45972</v>
      </c>
      <c r="F1720" s="49">
        <v>45975</v>
      </c>
      <c r="G1720" s="49">
        <v>45979</v>
      </c>
      <c r="I1720" s="49">
        <v>45984</v>
      </c>
      <c r="J1720" t="s">
        <v>49</v>
      </c>
      <c r="K1720" s="33">
        <v>3800</v>
      </c>
      <c r="L1720" t="s">
        <v>63</v>
      </c>
      <c r="M1720" t="str">
        <f>_xlfn.XLOOKUP(Pipeline_tbl[[#This Row],[Rep_ID]],Dim_Reps!A:A,Dim_Reps!K:K)</f>
        <v>USD</v>
      </c>
      <c r="N1720" s="33">
        <f>(_xlfn.XLOOKUP(Pipeline_tbl[[#This Row],[Rate_Code_Generalized]],Lookups!A:A,Lookups!B:B))*Pipeline_tbl[[#This Row],[Pipeline_Amount_USD]]</f>
        <v>4424.3399999999992</v>
      </c>
      <c r="O1720" t="str">
        <f>_xlfn.XLOOKUP(Pipeline_tbl[[#This Row],[Rep_ID]],Dim_Reps!A:A,Dim_Reps!B:B)</f>
        <v>Priya Weber</v>
      </c>
      <c r="P1720" t="str">
        <f>_xlfn.XLOOKUP(Pipeline_tbl[[#This Row],[Rep_ID]],Dim_Reps!A:A,Dim_Reps!C:C)</f>
        <v>SDR / Inside Sales Rep</v>
      </c>
      <c r="Q1720" t="str">
        <f>_xlfn.XLOOKUP(Pipeline_tbl[[#This Row],[Rep_ID]],Dim_Reps!A:A,Dim_Reps!D:D)</f>
        <v>Inside Sales</v>
      </c>
      <c r="R1720" t="str">
        <f>_xlfn.XLOOKUP(Pipeline_tbl[[#This Row],[Rep_ID]],Dim_Reps!A:A,Dim_Reps!E:E)</f>
        <v>NAMER</v>
      </c>
      <c r="S1720" t="str">
        <f>_xlfn.XLOOKUP(Pipeline_tbl[[#This Row],[Created_Date]],Dim_Date!A:A,Dim_Date!H:H)</f>
        <v>Nov 2025</v>
      </c>
      <c r="T1720" t="str">
        <f>IF(Pipeline_tbl[[#This Row],[Closed_Date]]=0,"",(_xlfn.XLOOKUP(Pipeline_tbl[[#This Row],[Closed_Date]],Dim_Date!A:A,Dim_Date!H:H)))</f>
        <v>Nov 2025</v>
      </c>
      <c r="U1720">
        <f>IF(Pipeline_tbl[[#This Row],[Closed_Date]]=0,"",Pipeline_tbl[[#This Row],[Closed_Date]]-Pipeline_tbl[[#This Row],[Created_Date]])</f>
        <v>13</v>
      </c>
    </row>
    <row r="1721" spans="1:21" ht="15" customHeight="1" x14ac:dyDescent="0.2">
      <c r="A1721" t="s">
        <v>2027</v>
      </c>
      <c r="B1721" t="s">
        <v>217</v>
      </c>
      <c r="C1721" t="s">
        <v>53</v>
      </c>
      <c r="D1721" s="49">
        <v>45963</v>
      </c>
      <c r="E1721" s="49">
        <v>45965</v>
      </c>
      <c r="F1721" s="49">
        <v>45968</v>
      </c>
      <c r="G1721" s="49">
        <v>45972</v>
      </c>
      <c r="I1721" s="49">
        <v>45978</v>
      </c>
      <c r="J1721" t="s">
        <v>49</v>
      </c>
      <c r="K1721" s="33">
        <v>2500</v>
      </c>
      <c r="L1721" t="s">
        <v>61</v>
      </c>
      <c r="M1721" t="str">
        <f>_xlfn.XLOOKUP(Pipeline_tbl[[#This Row],[Rep_ID]],Dim_Reps!A:A,Dim_Reps!K:K)</f>
        <v>USD</v>
      </c>
      <c r="N1721" s="33">
        <f>(_xlfn.XLOOKUP(Pipeline_tbl[[#This Row],[Rate_Code_Generalized]],Lookups!A:A,Lookups!B:B))*Pipeline_tbl[[#This Row],[Pipeline_Amount_USD]]</f>
        <v>2910.7499999999995</v>
      </c>
      <c r="O1721" t="str">
        <f>_xlfn.XLOOKUP(Pipeline_tbl[[#This Row],[Rep_ID]],Dim_Reps!A:A,Dim_Reps!B:B)</f>
        <v>Priya Weber</v>
      </c>
      <c r="P1721" t="str">
        <f>_xlfn.XLOOKUP(Pipeline_tbl[[#This Row],[Rep_ID]],Dim_Reps!A:A,Dim_Reps!C:C)</f>
        <v>SDR / Inside Sales Rep</v>
      </c>
      <c r="Q1721" t="str">
        <f>_xlfn.XLOOKUP(Pipeline_tbl[[#This Row],[Rep_ID]],Dim_Reps!A:A,Dim_Reps!D:D)</f>
        <v>Inside Sales</v>
      </c>
      <c r="R1721" t="str">
        <f>_xlfn.XLOOKUP(Pipeline_tbl[[#This Row],[Rep_ID]],Dim_Reps!A:A,Dim_Reps!E:E)</f>
        <v>NAMER</v>
      </c>
      <c r="S1721" t="str">
        <f>_xlfn.XLOOKUP(Pipeline_tbl[[#This Row],[Created_Date]],Dim_Date!A:A,Dim_Date!H:H)</f>
        <v>Nov 2025</v>
      </c>
      <c r="T1721" t="str">
        <f>IF(Pipeline_tbl[[#This Row],[Closed_Date]]=0,"",(_xlfn.XLOOKUP(Pipeline_tbl[[#This Row],[Closed_Date]],Dim_Date!A:A,Dim_Date!H:H)))</f>
        <v>Nov 2025</v>
      </c>
      <c r="U1721">
        <f>IF(Pipeline_tbl[[#This Row],[Closed_Date]]=0,"",Pipeline_tbl[[#This Row],[Closed_Date]]-Pipeline_tbl[[#This Row],[Created_Date]])</f>
        <v>15</v>
      </c>
    </row>
    <row r="1722" spans="1:21" ht="15" customHeight="1" x14ac:dyDescent="0.2">
      <c r="A1722" t="s">
        <v>2028</v>
      </c>
      <c r="B1722" t="s">
        <v>219</v>
      </c>
      <c r="C1722" t="s">
        <v>53</v>
      </c>
      <c r="D1722" s="49">
        <v>45969</v>
      </c>
      <c r="E1722" s="49">
        <v>45970</v>
      </c>
      <c r="F1722" s="49">
        <v>45973</v>
      </c>
      <c r="G1722" s="49">
        <v>45976</v>
      </c>
      <c r="H1722" s="49">
        <v>45979</v>
      </c>
      <c r="I1722" s="49">
        <v>45981</v>
      </c>
      <c r="J1722" t="s">
        <v>47</v>
      </c>
      <c r="K1722" s="33">
        <v>4500</v>
      </c>
      <c r="M1722" t="str">
        <f>_xlfn.XLOOKUP(Pipeline_tbl[[#This Row],[Rep_ID]],Dim_Reps!A:A,Dim_Reps!K:K)</f>
        <v>EUR</v>
      </c>
      <c r="N1722" s="33">
        <f>(_xlfn.XLOOKUP(Pipeline_tbl[[#This Row],[Rate_Code_Generalized]],Lookups!A:A,Lookups!B:B))*Pipeline_tbl[[#This Row],[Pipeline_Amount_USD]]</f>
        <v>4500</v>
      </c>
      <c r="O1722" t="str">
        <f>_xlfn.XLOOKUP(Pipeline_tbl[[#This Row],[Rep_ID]],Dim_Reps!A:A,Dim_Reps!B:B)</f>
        <v>Riley Duarte</v>
      </c>
      <c r="P1722" t="str">
        <f>_xlfn.XLOOKUP(Pipeline_tbl[[#This Row],[Rep_ID]],Dim_Reps!A:A,Dim_Reps!C:C)</f>
        <v>SDR / Inside Sales Rep</v>
      </c>
      <c r="Q1722" t="str">
        <f>_xlfn.XLOOKUP(Pipeline_tbl[[#This Row],[Rep_ID]],Dim_Reps!A:A,Dim_Reps!D:D)</f>
        <v>Inside Sales</v>
      </c>
      <c r="R1722" t="str">
        <f>_xlfn.XLOOKUP(Pipeline_tbl[[#This Row],[Rep_ID]],Dim_Reps!A:A,Dim_Reps!E:E)</f>
        <v>APAC</v>
      </c>
      <c r="S1722" t="str">
        <f>_xlfn.XLOOKUP(Pipeline_tbl[[#This Row],[Created_Date]],Dim_Date!A:A,Dim_Date!H:H)</f>
        <v>Nov 2025</v>
      </c>
      <c r="T1722" t="str">
        <f>IF(Pipeline_tbl[[#This Row],[Closed_Date]]=0,"",(_xlfn.XLOOKUP(Pipeline_tbl[[#This Row],[Closed_Date]],Dim_Date!A:A,Dim_Date!H:H)))</f>
        <v>Nov 2025</v>
      </c>
      <c r="U1722">
        <f>IF(Pipeline_tbl[[#This Row],[Closed_Date]]=0,"",Pipeline_tbl[[#This Row],[Closed_Date]]-Pipeline_tbl[[#This Row],[Created_Date]])</f>
        <v>12</v>
      </c>
    </row>
    <row r="1723" spans="1:21" ht="15" customHeight="1" x14ac:dyDescent="0.2">
      <c r="A1723" t="s">
        <v>2029</v>
      </c>
      <c r="B1723" t="s">
        <v>219</v>
      </c>
      <c r="C1723" t="s">
        <v>55</v>
      </c>
      <c r="D1723" s="49">
        <v>45969</v>
      </c>
      <c r="E1723" s="49">
        <v>45971</v>
      </c>
      <c r="F1723" s="49">
        <v>45974</v>
      </c>
      <c r="G1723" s="49">
        <v>45979</v>
      </c>
      <c r="H1723" s="49">
        <v>45983</v>
      </c>
      <c r="I1723" s="49">
        <v>45986</v>
      </c>
      <c r="J1723" t="s">
        <v>47</v>
      </c>
      <c r="K1723" s="33">
        <v>2900</v>
      </c>
      <c r="M1723" t="str">
        <f>_xlfn.XLOOKUP(Pipeline_tbl[[#This Row],[Rep_ID]],Dim_Reps!A:A,Dim_Reps!K:K)</f>
        <v>EUR</v>
      </c>
      <c r="N1723" s="33">
        <f>(_xlfn.XLOOKUP(Pipeline_tbl[[#This Row],[Rate_Code_Generalized]],Lookups!A:A,Lookups!B:B))*Pipeline_tbl[[#This Row],[Pipeline_Amount_USD]]</f>
        <v>2900</v>
      </c>
      <c r="O1723" t="str">
        <f>_xlfn.XLOOKUP(Pipeline_tbl[[#This Row],[Rep_ID]],Dim_Reps!A:A,Dim_Reps!B:B)</f>
        <v>Riley Duarte</v>
      </c>
      <c r="P1723" t="str">
        <f>_xlfn.XLOOKUP(Pipeline_tbl[[#This Row],[Rep_ID]],Dim_Reps!A:A,Dim_Reps!C:C)</f>
        <v>SDR / Inside Sales Rep</v>
      </c>
      <c r="Q1723" t="str">
        <f>_xlfn.XLOOKUP(Pipeline_tbl[[#This Row],[Rep_ID]],Dim_Reps!A:A,Dim_Reps!D:D)</f>
        <v>Inside Sales</v>
      </c>
      <c r="R1723" t="str">
        <f>_xlfn.XLOOKUP(Pipeline_tbl[[#This Row],[Rep_ID]],Dim_Reps!A:A,Dim_Reps!E:E)</f>
        <v>APAC</v>
      </c>
      <c r="S1723" t="str">
        <f>_xlfn.XLOOKUP(Pipeline_tbl[[#This Row],[Created_Date]],Dim_Date!A:A,Dim_Date!H:H)</f>
        <v>Nov 2025</v>
      </c>
      <c r="T1723" t="str">
        <f>IF(Pipeline_tbl[[#This Row],[Closed_Date]]=0,"",(_xlfn.XLOOKUP(Pipeline_tbl[[#This Row],[Closed_Date]],Dim_Date!A:A,Dim_Date!H:H)))</f>
        <v>Nov 2025</v>
      </c>
      <c r="U1723">
        <f>IF(Pipeline_tbl[[#This Row],[Closed_Date]]=0,"",Pipeline_tbl[[#This Row],[Closed_Date]]-Pipeline_tbl[[#This Row],[Created_Date]])</f>
        <v>17</v>
      </c>
    </row>
    <row r="1724" spans="1:21" ht="15" customHeight="1" x14ac:dyDescent="0.2">
      <c r="A1724" t="s">
        <v>2030</v>
      </c>
      <c r="B1724" t="s">
        <v>219</v>
      </c>
      <c r="C1724" t="s">
        <v>52</v>
      </c>
      <c r="D1724" s="49">
        <v>45963</v>
      </c>
      <c r="E1724" s="49">
        <v>45964</v>
      </c>
      <c r="F1724" s="49">
        <v>45967</v>
      </c>
      <c r="G1724" s="49">
        <v>45971</v>
      </c>
      <c r="H1724" s="49">
        <v>45975</v>
      </c>
      <c r="I1724" s="49">
        <v>45977</v>
      </c>
      <c r="J1724" t="s">
        <v>47</v>
      </c>
      <c r="K1724" s="33">
        <v>4400</v>
      </c>
      <c r="M1724" t="str">
        <f>_xlfn.XLOOKUP(Pipeline_tbl[[#This Row],[Rep_ID]],Dim_Reps!A:A,Dim_Reps!K:K)</f>
        <v>EUR</v>
      </c>
      <c r="N1724" s="33">
        <f>(_xlfn.XLOOKUP(Pipeline_tbl[[#This Row],[Rate_Code_Generalized]],Lookups!A:A,Lookups!B:B))*Pipeline_tbl[[#This Row],[Pipeline_Amount_USD]]</f>
        <v>4400</v>
      </c>
      <c r="O1724" t="str">
        <f>_xlfn.XLOOKUP(Pipeline_tbl[[#This Row],[Rep_ID]],Dim_Reps!A:A,Dim_Reps!B:B)</f>
        <v>Riley Duarte</v>
      </c>
      <c r="P1724" t="str">
        <f>_xlfn.XLOOKUP(Pipeline_tbl[[#This Row],[Rep_ID]],Dim_Reps!A:A,Dim_Reps!C:C)</f>
        <v>SDR / Inside Sales Rep</v>
      </c>
      <c r="Q1724" t="str">
        <f>_xlfn.XLOOKUP(Pipeline_tbl[[#This Row],[Rep_ID]],Dim_Reps!A:A,Dim_Reps!D:D)</f>
        <v>Inside Sales</v>
      </c>
      <c r="R1724" t="str">
        <f>_xlfn.XLOOKUP(Pipeline_tbl[[#This Row],[Rep_ID]],Dim_Reps!A:A,Dim_Reps!E:E)</f>
        <v>APAC</v>
      </c>
      <c r="S1724" t="str">
        <f>_xlfn.XLOOKUP(Pipeline_tbl[[#This Row],[Created_Date]],Dim_Date!A:A,Dim_Date!H:H)</f>
        <v>Nov 2025</v>
      </c>
      <c r="T1724" t="str">
        <f>IF(Pipeline_tbl[[#This Row],[Closed_Date]]=0,"",(_xlfn.XLOOKUP(Pipeline_tbl[[#This Row],[Closed_Date]],Dim_Date!A:A,Dim_Date!H:H)))</f>
        <v>Nov 2025</v>
      </c>
      <c r="U1724">
        <f>IF(Pipeline_tbl[[#This Row],[Closed_Date]]=0,"",Pipeline_tbl[[#This Row],[Closed_Date]]-Pipeline_tbl[[#This Row],[Created_Date]])</f>
        <v>14</v>
      </c>
    </row>
    <row r="1725" spans="1:21" ht="15" customHeight="1" x14ac:dyDescent="0.2">
      <c r="A1725" t="s">
        <v>2031</v>
      </c>
      <c r="B1725" t="s">
        <v>219</v>
      </c>
      <c r="C1725" t="s">
        <v>55</v>
      </c>
      <c r="D1725" s="49">
        <v>45965</v>
      </c>
      <c r="E1725" s="49">
        <v>45966</v>
      </c>
      <c r="F1725" s="49">
        <v>45968</v>
      </c>
      <c r="G1725" s="49">
        <v>45971</v>
      </c>
      <c r="I1725" s="49">
        <v>45975</v>
      </c>
      <c r="J1725" t="s">
        <v>49</v>
      </c>
      <c r="K1725" s="33">
        <v>3500</v>
      </c>
      <c r="L1725" t="s">
        <v>62</v>
      </c>
      <c r="M1725" t="str">
        <f>_xlfn.XLOOKUP(Pipeline_tbl[[#This Row],[Rep_ID]],Dim_Reps!A:A,Dim_Reps!K:K)</f>
        <v>EUR</v>
      </c>
      <c r="N1725" s="33">
        <f>(_xlfn.XLOOKUP(Pipeline_tbl[[#This Row],[Rate_Code_Generalized]],Lookups!A:A,Lookups!B:B))*Pipeline_tbl[[#This Row],[Pipeline_Amount_USD]]</f>
        <v>3500</v>
      </c>
      <c r="O1725" t="str">
        <f>_xlfn.XLOOKUP(Pipeline_tbl[[#This Row],[Rep_ID]],Dim_Reps!A:A,Dim_Reps!B:B)</f>
        <v>Riley Duarte</v>
      </c>
      <c r="P1725" t="str">
        <f>_xlfn.XLOOKUP(Pipeline_tbl[[#This Row],[Rep_ID]],Dim_Reps!A:A,Dim_Reps!C:C)</f>
        <v>SDR / Inside Sales Rep</v>
      </c>
      <c r="Q1725" t="str">
        <f>_xlfn.XLOOKUP(Pipeline_tbl[[#This Row],[Rep_ID]],Dim_Reps!A:A,Dim_Reps!D:D)</f>
        <v>Inside Sales</v>
      </c>
      <c r="R1725" t="str">
        <f>_xlfn.XLOOKUP(Pipeline_tbl[[#This Row],[Rep_ID]],Dim_Reps!A:A,Dim_Reps!E:E)</f>
        <v>APAC</v>
      </c>
      <c r="S1725" t="str">
        <f>_xlfn.XLOOKUP(Pipeline_tbl[[#This Row],[Created_Date]],Dim_Date!A:A,Dim_Date!H:H)</f>
        <v>Nov 2025</v>
      </c>
      <c r="T1725" t="str">
        <f>IF(Pipeline_tbl[[#This Row],[Closed_Date]]=0,"",(_xlfn.XLOOKUP(Pipeline_tbl[[#This Row],[Closed_Date]],Dim_Date!A:A,Dim_Date!H:H)))</f>
        <v>Nov 2025</v>
      </c>
      <c r="U1725">
        <f>IF(Pipeline_tbl[[#This Row],[Closed_Date]]=0,"",Pipeline_tbl[[#This Row],[Closed_Date]]-Pipeline_tbl[[#This Row],[Created_Date]])</f>
        <v>10</v>
      </c>
    </row>
    <row r="1726" spans="1:21" ht="15" customHeight="1" x14ac:dyDescent="0.2">
      <c r="A1726" t="s">
        <v>2032</v>
      </c>
      <c r="B1726" t="s">
        <v>219</v>
      </c>
      <c r="C1726" t="s">
        <v>56</v>
      </c>
      <c r="D1726" s="49">
        <v>45975</v>
      </c>
      <c r="E1726" s="49">
        <v>45976</v>
      </c>
      <c r="I1726" s="49">
        <v>45984</v>
      </c>
      <c r="J1726" t="s">
        <v>49</v>
      </c>
      <c r="K1726" s="33">
        <v>3400</v>
      </c>
      <c r="L1726" t="s">
        <v>60</v>
      </c>
      <c r="M1726" t="str">
        <f>_xlfn.XLOOKUP(Pipeline_tbl[[#This Row],[Rep_ID]],Dim_Reps!A:A,Dim_Reps!K:K)</f>
        <v>EUR</v>
      </c>
      <c r="N1726" s="33">
        <f>(_xlfn.XLOOKUP(Pipeline_tbl[[#This Row],[Rate_Code_Generalized]],Lookups!A:A,Lookups!B:B))*Pipeline_tbl[[#This Row],[Pipeline_Amount_USD]]</f>
        <v>3400</v>
      </c>
      <c r="O1726" t="str">
        <f>_xlfn.XLOOKUP(Pipeline_tbl[[#This Row],[Rep_ID]],Dim_Reps!A:A,Dim_Reps!B:B)</f>
        <v>Riley Duarte</v>
      </c>
      <c r="P1726" t="str">
        <f>_xlfn.XLOOKUP(Pipeline_tbl[[#This Row],[Rep_ID]],Dim_Reps!A:A,Dim_Reps!C:C)</f>
        <v>SDR / Inside Sales Rep</v>
      </c>
      <c r="Q1726" t="str">
        <f>_xlfn.XLOOKUP(Pipeline_tbl[[#This Row],[Rep_ID]],Dim_Reps!A:A,Dim_Reps!D:D)</f>
        <v>Inside Sales</v>
      </c>
      <c r="R1726" t="str">
        <f>_xlfn.XLOOKUP(Pipeline_tbl[[#This Row],[Rep_ID]],Dim_Reps!A:A,Dim_Reps!E:E)</f>
        <v>APAC</v>
      </c>
      <c r="S1726" t="str">
        <f>_xlfn.XLOOKUP(Pipeline_tbl[[#This Row],[Created_Date]],Dim_Date!A:A,Dim_Date!H:H)</f>
        <v>Nov 2025</v>
      </c>
      <c r="T1726" t="str">
        <f>IF(Pipeline_tbl[[#This Row],[Closed_Date]]=0,"",(_xlfn.XLOOKUP(Pipeline_tbl[[#This Row],[Closed_Date]],Dim_Date!A:A,Dim_Date!H:H)))</f>
        <v>Nov 2025</v>
      </c>
      <c r="U1726">
        <f>IF(Pipeline_tbl[[#This Row],[Closed_Date]]=0,"",Pipeline_tbl[[#This Row],[Closed_Date]]-Pipeline_tbl[[#This Row],[Created_Date]])</f>
        <v>9</v>
      </c>
    </row>
    <row r="1727" spans="1:21" ht="15" customHeight="1" x14ac:dyDescent="0.2">
      <c r="A1727" t="s">
        <v>2033</v>
      </c>
      <c r="B1727" t="s">
        <v>219</v>
      </c>
      <c r="C1727" t="s">
        <v>53</v>
      </c>
      <c r="D1727" s="49">
        <v>45965</v>
      </c>
      <c r="E1727" s="49">
        <v>45967</v>
      </c>
      <c r="I1727" s="49">
        <v>45990</v>
      </c>
      <c r="J1727" t="s">
        <v>49</v>
      </c>
      <c r="K1727" s="33">
        <v>3200</v>
      </c>
      <c r="L1727" t="s">
        <v>64</v>
      </c>
      <c r="M1727" t="str">
        <f>_xlfn.XLOOKUP(Pipeline_tbl[[#This Row],[Rep_ID]],Dim_Reps!A:A,Dim_Reps!K:K)</f>
        <v>EUR</v>
      </c>
      <c r="N1727" s="33">
        <f>(_xlfn.XLOOKUP(Pipeline_tbl[[#This Row],[Rate_Code_Generalized]],Lookups!A:A,Lookups!B:B))*Pipeline_tbl[[#This Row],[Pipeline_Amount_USD]]</f>
        <v>3200</v>
      </c>
      <c r="O1727" t="str">
        <f>_xlfn.XLOOKUP(Pipeline_tbl[[#This Row],[Rep_ID]],Dim_Reps!A:A,Dim_Reps!B:B)</f>
        <v>Riley Duarte</v>
      </c>
      <c r="P1727" t="str">
        <f>_xlfn.XLOOKUP(Pipeline_tbl[[#This Row],[Rep_ID]],Dim_Reps!A:A,Dim_Reps!C:C)</f>
        <v>SDR / Inside Sales Rep</v>
      </c>
      <c r="Q1727" t="str">
        <f>_xlfn.XLOOKUP(Pipeline_tbl[[#This Row],[Rep_ID]],Dim_Reps!A:A,Dim_Reps!D:D)</f>
        <v>Inside Sales</v>
      </c>
      <c r="R1727" t="str">
        <f>_xlfn.XLOOKUP(Pipeline_tbl[[#This Row],[Rep_ID]],Dim_Reps!A:A,Dim_Reps!E:E)</f>
        <v>APAC</v>
      </c>
      <c r="S1727" t="str">
        <f>_xlfn.XLOOKUP(Pipeline_tbl[[#This Row],[Created_Date]],Dim_Date!A:A,Dim_Date!H:H)</f>
        <v>Nov 2025</v>
      </c>
      <c r="T1727" t="str">
        <f>IF(Pipeline_tbl[[#This Row],[Closed_Date]]=0,"",(_xlfn.XLOOKUP(Pipeline_tbl[[#This Row],[Closed_Date]],Dim_Date!A:A,Dim_Date!H:H)))</f>
        <v>Nov 2025</v>
      </c>
      <c r="U1727">
        <f>IF(Pipeline_tbl[[#This Row],[Closed_Date]]=0,"",Pipeline_tbl[[#This Row],[Closed_Date]]-Pipeline_tbl[[#This Row],[Created_Date]])</f>
        <v>25</v>
      </c>
    </row>
    <row r="1728" spans="1:21" ht="15" customHeight="1" x14ac:dyDescent="0.2">
      <c r="A1728" t="s">
        <v>2034</v>
      </c>
      <c r="B1728" t="s">
        <v>257</v>
      </c>
      <c r="C1728" t="s">
        <v>52</v>
      </c>
      <c r="D1728" s="49">
        <v>45963</v>
      </c>
      <c r="E1728" s="49">
        <v>45965</v>
      </c>
      <c r="F1728" s="49">
        <v>45969</v>
      </c>
      <c r="G1728" s="49">
        <v>45976</v>
      </c>
      <c r="I1728" s="49">
        <v>45984</v>
      </c>
      <c r="J1728" t="s">
        <v>49</v>
      </c>
      <c r="K1728" s="33">
        <v>9300</v>
      </c>
      <c r="L1728" t="s">
        <v>62</v>
      </c>
      <c r="M1728" t="str">
        <f>_xlfn.XLOOKUP(Pipeline_tbl[[#This Row],[Rep_ID]],Dim_Reps!A:A,Dim_Reps!K:K)</f>
        <v>EUR</v>
      </c>
      <c r="N1728" s="33">
        <f>(_xlfn.XLOOKUP(Pipeline_tbl[[#This Row],[Rate_Code_Generalized]],Lookups!A:A,Lookups!B:B))*Pipeline_tbl[[#This Row],[Pipeline_Amount_USD]]</f>
        <v>9300</v>
      </c>
      <c r="O1728" t="str">
        <f>_xlfn.XLOOKUP(Pipeline_tbl[[#This Row],[Rep_ID]],Dim_Reps!A:A,Dim_Reps!B:B)</f>
        <v>Ana Kim</v>
      </c>
      <c r="P1728" t="str">
        <f>_xlfn.XLOOKUP(Pipeline_tbl[[#This Row],[Rep_ID]],Dim_Reps!A:A,Dim_Reps!C:C)</f>
        <v>Mid-Market AE</v>
      </c>
      <c r="Q1728" t="str">
        <f>_xlfn.XLOOKUP(Pipeline_tbl[[#This Row],[Rep_ID]],Dim_Reps!A:A,Dim_Reps!D:D)</f>
        <v>Mid-Market</v>
      </c>
      <c r="R1728" t="str">
        <f>_xlfn.XLOOKUP(Pipeline_tbl[[#This Row],[Rep_ID]],Dim_Reps!A:A,Dim_Reps!E:E)</f>
        <v>APAC</v>
      </c>
      <c r="S1728" t="str">
        <f>_xlfn.XLOOKUP(Pipeline_tbl[[#This Row],[Created_Date]],Dim_Date!A:A,Dim_Date!H:H)</f>
        <v>Nov 2025</v>
      </c>
      <c r="T1728" t="str">
        <f>IF(Pipeline_tbl[[#This Row],[Closed_Date]]=0,"",(_xlfn.XLOOKUP(Pipeline_tbl[[#This Row],[Closed_Date]],Dim_Date!A:A,Dim_Date!H:H)))</f>
        <v>Nov 2025</v>
      </c>
      <c r="U1728">
        <f>IF(Pipeline_tbl[[#This Row],[Closed_Date]]=0,"",Pipeline_tbl[[#This Row],[Closed_Date]]-Pipeline_tbl[[#This Row],[Created_Date]])</f>
        <v>21</v>
      </c>
    </row>
    <row r="1729" spans="1:21" ht="15" customHeight="1" x14ac:dyDescent="0.2">
      <c r="A1729" t="s">
        <v>2035</v>
      </c>
      <c r="B1729" t="s">
        <v>225</v>
      </c>
      <c r="C1729" t="s">
        <v>55</v>
      </c>
      <c r="D1729" s="49">
        <v>45964</v>
      </c>
      <c r="E1729" s="49">
        <v>45965</v>
      </c>
      <c r="F1729" s="49">
        <v>45967</v>
      </c>
      <c r="G1729" s="49">
        <v>45971</v>
      </c>
      <c r="I1729" s="49">
        <v>45975</v>
      </c>
      <c r="J1729" t="s">
        <v>49</v>
      </c>
      <c r="K1729" s="33">
        <v>5700</v>
      </c>
      <c r="L1729" t="s">
        <v>60</v>
      </c>
      <c r="M1729" t="str">
        <f>_xlfn.XLOOKUP(Pipeline_tbl[[#This Row],[Rep_ID]],Dim_Reps!A:A,Dim_Reps!K:K)</f>
        <v>USD</v>
      </c>
      <c r="N1729" s="33">
        <f>(_xlfn.XLOOKUP(Pipeline_tbl[[#This Row],[Rate_Code_Generalized]],Lookups!A:A,Lookups!B:B))*Pipeline_tbl[[#This Row],[Pipeline_Amount_USD]]</f>
        <v>6636.5099999999993</v>
      </c>
      <c r="O1729" t="str">
        <f>_xlfn.XLOOKUP(Pipeline_tbl[[#This Row],[Rep_ID]],Dim_Reps!A:A,Dim_Reps!B:B)</f>
        <v>Alex Muller</v>
      </c>
      <c r="P1729" t="str">
        <f>_xlfn.XLOOKUP(Pipeline_tbl[[#This Row],[Rep_ID]],Dim_Reps!A:A,Dim_Reps!C:C)</f>
        <v>SDR / Inside Sales Rep</v>
      </c>
      <c r="Q1729" t="str">
        <f>_xlfn.XLOOKUP(Pipeline_tbl[[#This Row],[Rep_ID]],Dim_Reps!A:A,Dim_Reps!D:D)</f>
        <v>Inside Sales</v>
      </c>
      <c r="R1729" t="str">
        <f>_xlfn.XLOOKUP(Pipeline_tbl[[#This Row],[Rep_ID]],Dim_Reps!A:A,Dim_Reps!E:E)</f>
        <v>NAMER</v>
      </c>
      <c r="S1729" t="str">
        <f>_xlfn.XLOOKUP(Pipeline_tbl[[#This Row],[Created_Date]],Dim_Date!A:A,Dim_Date!H:H)</f>
        <v>Nov 2025</v>
      </c>
      <c r="T1729" t="str">
        <f>IF(Pipeline_tbl[[#This Row],[Closed_Date]]=0,"",(_xlfn.XLOOKUP(Pipeline_tbl[[#This Row],[Closed_Date]],Dim_Date!A:A,Dim_Date!H:H)))</f>
        <v>Nov 2025</v>
      </c>
      <c r="U1729">
        <f>IF(Pipeline_tbl[[#This Row],[Closed_Date]]=0,"",Pipeline_tbl[[#This Row],[Closed_Date]]-Pipeline_tbl[[#This Row],[Created_Date]])</f>
        <v>11</v>
      </c>
    </row>
    <row r="1730" spans="1:21" ht="15" customHeight="1" x14ac:dyDescent="0.2">
      <c r="A1730" t="s">
        <v>2036</v>
      </c>
      <c r="B1730" t="s">
        <v>225</v>
      </c>
      <c r="C1730" t="s">
        <v>52</v>
      </c>
      <c r="D1730" s="49">
        <v>45976</v>
      </c>
      <c r="E1730" s="49">
        <v>45978</v>
      </c>
      <c r="F1730" s="49">
        <v>45981</v>
      </c>
      <c r="G1730" s="49">
        <v>45985</v>
      </c>
      <c r="I1730" s="49">
        <v>45991</v>
      </c>
      <c r="J1730" t="s">
        <v>49</v>
      </c>
      <c r="K1730" s="33">
        <v>4800</v>
      </c>
      <c r="L1730" t="s">
        <v>61</v>
      </c>
      <c r="M1730" t="str">
        <f>_xlfn.XLOOKUP(Pipeline_tbl[[#This Row],[Rep_ID]],Dim_Reps!A:A,Dim_Reps!K:K)</f>
        <v>USD</v>
      </c>
      <c r="N1730" s="33">
        <f>(_xlfn.XLOOKUP(Pipeline_tbl[[#This Row],[Rate_Code_Generalized]],Lookups!A:A,Lookups!B:B))*Pipeline_tbl[[#This Row],[Pipeline_Amount_USD]]</f>
        <v>5588.6399999999994</v>
      </c>
      <c r="O1730" t="str">
        <f>_xlfn.XLOOKUP(Pipeline_tbl[[#This Row],[Rep_ID]],Dim_Reps!A:A,Dim_Reps!B:B)</f>
        <v>Alex Muller</v>
      </c>
      <c r="P1730" t="str">
        <f>_xlfn.XLOOKUP(Pipeline_tbl[[#This Row],[Rep_ID]],Dim_Reps!A:A,Dim_Reps!C:C)</f>
        <v>SDR / Inside Sales Rep</v>
      </c>
      <c r="Q1730" t="str">
        <f>_xlfn.XLOOKUP(Pipeline_tbl[[#This Row],[Rep_ID]],Dim_Reps!A:A,Dim_Reps!D:D)</f>
        <v>Inside Sales</v>
      </c>
      <c r="R1730" t="str">
        <f>_xlfn.XLOOKUP(Pipeline_tbl[[#This Row],[Rep_ID]],Dim_Reps!A:A,Dim_Reps!E:E)</f>
        <v>NAMER</v>
      </c>
      <c r="S1730" t="str">
        <f>_xlfn.XLOOKUP(Pipeline_tbl[[#This Row],[Created_Date]],Dim_Date!A:A,Dim_Date!H:H)</f>
        <v>Nov 2025</v>
      </c>
      <c r="T1730" t="str">
        <f>IF(Pipeline_tbl[[#This Row],[Closed_Date]]=0,"",(_xlfn.XLOOKUP(Pipeline_tbl[[#This Row],[Closed_Date]],Dim_Date!A:A,Dim_Date!H:H)))</f>
        <v>Nov 2025</v>
      </c>
      <c r="U1730">
        <f>IF(Pipeline_tbl[[#This Row],[Closed_Date]]=0,"",Pipeline_tbl[[#This Row],[Closed_Date]]-Pipeline_tbl[[#This Row],[Created_Date]])</f>
        <v>15</v>
      </c>
    </row>
    <row r="1731" spans="1:21" ht="15" customHeight="1" x14ac:dyDescent="0.2">
      <c r="A1731" t="s">
        <v>2037</v>
      </c>
      <c r="B1731" t="s">
        <v>225</v>
      </c>
      <c r="C1731" t="s">
        <v>52</v>
      </c>
      <c r="D1731" s="49">
        <v>45981</v>
      </c>
      <c r="E1731" s="49">
        <v>45982</v>
      </c>
      <c r="I1731" s="49">
        <v>45990</v>
      </c>
      <c r="J1731" t="s">
        <v>49</v>
      </c>
      <c r="K1731" s="33">
        <v>3700</v>
      </c>
      <c r="L1731" t="s">
        <v>60</v>
      </c>
      <c r="M1731" t="str">
        <f>_xlfn.XLOOKUP(Pipeline_tbl[[#This Row],[Rep_ID]],Dim_Reps!A:A,Dim_Reps!K:K)</f>
        <v>USD</v>
      </c>
      <c r="N1731" s="33">
        <f>(_xlfn.XLOOKUP(Pipeline_tbl[[#This Row],[Rate_Code_Generalized]],Lookups!A:A,Lookups!B:B))*Pipeline_tbl[[#This Row],[Pipeline_Amount_USD]]</f>
        <v>4307.91</v>
      </c>
      <c r="O1731" t="str">
        <f>_xlfn.XLOOKUP(Pipeline_tbl[[#This Row],[Rep_ID]],Dim_Reps!A:A,Dim_Reps!B:B)</f>
        <v>Alex Muller</v>
      </c>
      <c r="P1731" t="str">
        <f>_xlfn.XLOOKUP(Pipeline_tbl[[#This Row],[Rep_ID]],Dim_Reps!A:A,Dim_Reps!C:C)</f>
        <v>SDR / Inside Sales Rep</v>
      </c>
      <c r="Q1731" t="str">
        <f>_xlfn.XLOOKUP(Pipeline_tbl[[#This Row],[Rep_ID]],Dim_Reps!A:A,Dim_Reps!D:D)</f>
        <v>Inside Sales</v>
      </c>
      <c r="R1731" t="str">
        <f>_xlfn.XLOOKUP(Pipeline_tbl[[#This Row],[Rep_ID]],Dim_Reps!A:A,Dim_Reps!E:E)</f>
        <v>NAMER</v>
      </c>
      <c r="S1731" t="str">
        <f>_xlfn.XLOOKUP(Pipeline_tbl[[#This Row],[Created_Date]],Dim_Date!A:A,Dim_Date!H:H)</f>
        <v>Nov 2025</v>
      </c>
      <c r="T1731" t="str">
        <f>IF(Pipeline_tbl[[#This Row],[Closed_Date]]=0,"",(_xlfn.XLOOKUP(Pipeline_tbl[[#This Row],[Closed_Date]],Dim_Date!A:A,Dim_Date!H:H)))</f>
        <v>Nov 2025</v>
      </c>
      <c r="U1731">
        <f>IF(Pipeline_tbl[[#This Row],[Closed_Date]]=0,"",Pipeline_tbl[[#This Row],[Closed_Date]]-Pipeline_tbl[[#This Row],[Created_Date]])</f>
        <v>9</v>
      </c>
    </row>
    <row r="1732" spans="1:21" ht="15" customHeight="1" x14ac:dyDescent="0.2">
      <c r="A1732" t="s">
        <v>2038</v>
      </c>
      <c r="B1732" t="s">
        <v>225</v>
      </c>
      <c r="C1732" t="s">
        <v>52</v>
      </c>
      <c r="D1732" s="49">
        <v>45974</v>
      </c>
      <c r="E1732" s="49">
        <v>45976</v>
      </c>
      <c r="I1732" s="49">
        <v>45989</v>
      </c>
      <c r="J1732" t="s">
        <v>49</v>
      </c>
      <c r="K1732" s="33">
        <v>2800</v>
      </c>
      <c r="L1732" t="s">
        <v>64</v>
      </c>
      <c r="M1732" t="str">
        <f>_xlfn.XLOOKUP(Pipeline_tbl[[#This Row],[Rep_ID]],Dim_Reps!A:A,Dim_Reps!K:K)</f>
        <v>USD</v>
      </c>
      <c r="N1732" s="33">
        <f>(_xlfn.XLOOKUP(Pipeline_tbl[[#This Row],[Rate_Code_Generalized]],Lookups!A:A,Lookups!B:B))*Pipeline_tbl[[#This Row],[Pipeline_Amount_USD]]</f>
        <v>3260.0399999999995</v>
      </c>
      <c r="O1732" t="str">
        <f>_xlfn.XLOOKUP(Pipeline_tbl[[#This Row],[Rep_ID]],Dim_Reps!A:A,Dim_Reps!B:B)</f>
        <v>Alex Muller</v>
      </c>
      <c r="P1732" t="str">
        <f>_xlfn.XLOOKUP(Pipeline_tbl[[#This Row],[Rep_ID]],Dim_Reps!A:A,Dim_Reps!C:C)</f>
        <v>SDR / Inside Sales Rep</v>
      </c>
      <c r="Q1732" t="str">
        <f>_xlfn.XLOOKUP(Pipeline_tbl[[#This Row],[Rep_ID]],Dim_Reps!A:A,Dim_Reps!D:D)</f>
        <v>Inside Sales</v>
      </c>
      <c r="R1732" t="str">
        <f>_xlfn.XLOOKUP(Pipeline_tbl[[#This Row],[Rep_ID]],Dim_Reps!A:A,Dim_Reps!E:E)</f>
        <v>NAMER</v>
      </c>
      <c r="S1732" t="str">
        <f>_xlfn.XLOOKUP(Pipeline_tbl[[#This Row],[Created_Date]],Dim_Date!A:A,Dim_Date!H:H)</f>
        <v>Nov 2025</v>
      </c>
      <c r="T1732" t="str">
        <f>IF(Pipeline_tbl[[#This Row],[Closed_Date]]=0,"",(_xlfn.XLOOKUP(Pipeline_tbl[[#This Row],[Closed_Date]],Dim_Date!A:A,Dim_Date!H:H)))</f>
        <v>Nov 2025</v>
      </c>
      <c r="U1732">
        <f>IF(Pipeline_tbl[[#This Row],[Closed_Date]]=0,"",Pipeline_tbl[[#This Row],[Closed_Date]]-Pipeline_tbl[[#This Row],[Created_Date]])</f>
        <v>15</v>
      </c>
    </row>
    <row r="1733" spans="1:21" ht="15" customHeight="1" x14ac:dyDescent="0.2">
      <c r="A1733" t="s">
        <v>2039</v>
      </c>
      <c r="B1733" t="s">
        <v>227</v>
      </c>
      <c r="C1733" t="s">
        <v>55</v>
      </c>
      <c r="D1733" s="49">
        <v>45967</v>
      </c>
      <c r="E1733" s="49">
        <v>45969</v>
      </c>
      <c r="F1733" s="49">
        <v>45974</v>
      </c>
      <c r="G1733" s="49">
        <v>45980</v>
      </c>
      <c r="H1733" s="49">
        <v>45986</v>
      </c>
      <c r="I1733" s="49">
        <v>45989</v>
      </c>
      <c r="J1733" t="s">
        <v>47</v>
      </c>
      <c r="K1733" s="33">
        <v>3200</v>
      </c>
      <c r="M1733" t="str">
        <f>_xlfn.XLOOKUP(Pipeline_tbl[[#This Row],[Rep_ID]],Dim_Reps!A:A,Dim_Reps!K:K)</f>
        <v>EUR</v>
      </c>
      <c r="N1733" s="33">
        <f>(_xlfn.XLOOKUP(Pipeline_tbl[[#This Row],[Rate_Code_Generalized]],Lookups!A:A,Lookups!B:B))*Pipeline_tbl[[#This Row],[Pipeline_Amount_USD]]</f>
        <v>3200</v>
      </c>
      <c r="O1733" t="str">
        <f>_xlfn.XLOOKUP(Pipeline_tbl[[#This Row],[Rep_ID]],Dim_Reps!A:A,Dim_Reps!B:B)</f>
        <v>Liam Muller</v>
      </c>
      <c r="P1733" t="str">
        <f>_xlfn.XLOOKUP(Pipeline_tbl[[#This Row],[Rep_ID]],Dim_Reps!A:A,Dim_Reps!C:C)</f>
        <v>SDR / Inside Sales Rep</v>
      </c>
      <c r="Q1733" t="str">
        <f>_xlfn.XLOOKUP(Pipeline_tbl[[#This Row],[Rep_ID]],Dim_Reps!A:A,Dim_Reps!D:D)</f>
        <v>Inside Sales</v>
      </c>
      <c r="R1733" t="str">
        <f>_xlfn.XLOOKUP(Pipeline_tbl[[#This Row],[Rep_ID]],Dim_Reps!A:A,Dim_Reps!E:E)</f>
        <v>EMEA</v>
      </c>
      <c r="S1733" t="str">
        <f>_xlfn.XLOOKUP(Pipeline_tbl[[#This Row],[Created_Date]],Dim_Date!A:A,Dim_Date!H:H)</f>
        <v>Nov 2025</v>
      </c>
      <c r="T1733" t="str">
        <f>IF(Pipeline_tbl[[#This Row],[Closed_Date]]=0,"",(_xlfn.XLOOKUP(Pipeline_tbl[[#This Row],[Closed_Date]],Dim_Date!A:A,Dim_Date!H:H)))</f>
        <v>Nov 2025</v>
      </c>
      <c r="U1733">
        <f>IF(Pipeline_tbl[[#This Row],[Closed_Date]]=0,"",Pipeline_tbl[[#This Row],[Closed_Date]]-Pipeline_tbl[[#This Row],[Created_Date]])</f>
        <v>22</v>
      </c>
    </row>
    <row r="1734" spans="1:21" ht="15" customHeight="1" x14ac:dyDescent="0.2">
      <c r="A1734" t="s">
        <v>2040</v>
      </c>
      <c r="B1734" t="s">
        <v>227</v>
      </c>
      <c r="C1734" t="s">
        <v>56</v>
      </c>
      <c r="D1734" s="49">
        <v>45964</v>
      </c>
      <c r="E1734" s="49">
        <v>45967</v>
      </c>
      <c r="F1734" s="49">
        <v>45972</v>
      </c>
      <c r="I1734" s="49">
        <v>45990</v>
      </c>
      <c r="J1734" t="s">
        <v>49</v>
      </c>
      <c r="K1734" s="33">
        <v>1900</v>
      </c>
      <c r="L1734" t="s">
        <v>61</v>
      </c>
      <c r="M1734" t="str">
        <f>_xlfn.XLOOKUP(Pipeline_tbl[[#This Row],[Rep_ID]],Dim_Reps!A:A,Dim_Reps!K:K)</f>
        <v>EUR</v>
      </c>
      <c r="N1734" s="33">
        <f>(_xlfn.XLOOKUP(Pipeline_tbl[[#This Row],[Rate_Code_Generalized]],Lookups!A:A,Lookups!B:B))*Pipeline_tbl[[#This Row],[Pipeline_Amount_USD]]</f>
        <v>1900</v>
      </c>
      <c r="O1734" t="str">
        <f>_xlfn.XLOOKUP(Pipeline_tbl[[#This Row],[Rep_ID]],Dim_Reps!A:A,Dim_Reps!B:B)</f>
        <v>Liam Muller</v>
      </c>
      <c r="P1734" t="str">
        <f>_xlfn.XLOOKUP(Pipeline_tbl[[#This Row],[Rep_ID]],Dim_Reps!A:A,Dim_Reps!C:C)</f>
        <v>SDR / Inside Sales Rep</v>
      </c>
      <c r="Q1734" t="str">
        <f>_xlfn.XLOOKUP(Pipeline_tbl[[#This Row],[Rep_ID]],Dim_Reps!A:A,Dim_Reps!D:D)</f>
        <v>Inside Sales</v>
      </c>
      <c r="R1734" t="str">
        <f>_xlfn.XLOOKUP(Pipeline_tbl[[#This Row],[Rep_ID]],Dim_Reps!A:A,Dim_Reps!E:E)</f>
        <v>EMEA</v>
      </c>
      <c r="S1734" t="str">
        <f>_xlfn.XLOOKUP(Pipeline_tbl[[#This Row],[Created_Date]],Dim_Date!A:A,Dim_Date!H:H)</f>
        <v>Nov 2025</v>
      </c>
      <c r="T1734" t="str">
        <f>IF(Pipeline_tbl[[#This Row],[Closed_Date]]=0,"",(_xlfn.XLOOKUP(Pipeline_tbl[[#This Row],[Closed_Date]],Dim_Date!A:A,Dim_Date!H:H)))</f>
        <v>Nov 2025</v>
      </c>
      <c r="U1734">
        <f>IF(Pipeline_tbl[[#This Row],[Closed_Date]]=0,"",Pipeline_tbl[[#This Row],[Closed_Date]]-Pipeline_tbl[[#This Row],[Created_Date]])</f>
        <v>26</v>
      </c>
    </row>
    <row r="1735" spans="1:21" ht="15" customHeight="1" x14ac:dyDescent="0.2">
      <c r="A1735" t="s">
        <v>2041</v>
      </c>
      <c r="B1735" t="s">
        <v>227</v>
      </c>
      <c r="C1735" t="s">
        <v>53</v>
      </c>
      <c r="D1735" s="49">
        <v>45962</v>
      </c>
      <c r="E1735" s="49">
        <v>45963</v>
      </c>
      <c r="F1735" s="49">
        <v>45965</v>
      </c>
      <c r="G1735" s="49">
        <v>45969</v>
      </c>
      <c r="H1735" s="49">
        <v>45971</v>
      </c>
      <c r="I1735" s="49">
        <v>45973</v>
      </c>
      <c r="J1735" t="s">
        <v>49</v>
      </c>
      <c r="K1735" s="33">
        <v>2800</v>
      </c>
      <c r="L1735" t="s">
        <v>60</v>
      </c>
      <c r="M1735" t="str">
        <f>_xlfn.XLOOKUP(Pipeline_tbl[[#This Row],[Rep_ID]],Dim_Reps!A:A,Dim_Reps!K:K)</f>
        <v>EUR</v>
      </c>
      <c r="N1735" s="33">
        <f>(_xlfn.XLOOKUP(Pipeline_tbl[[#This Row],[Rate_Code_Generalized]],Lookups!A:A,Lookups!B:B))*Pipeline_tbl[[#This Row],[Pipeline_Amount_USD]]</f>
        <v>2800</v>
      </c>
      <c r="O1735" t="str">
        <f>_xlfn.XLOOKUP(Pipeline_tbl[[#This Row],[Rep_ID]],Dim_Reps!A:A,Dim_Reps!B:B)</f>
        <v>Liam Muller</v>
      </c>
      <c r="P1735" t="str">
        <f>_xlfn.XLOOKUP(Pipeline_tbl[[#This Row],[Rep_ID]],Dim_Reps!A:A,Dim_Reps!C:C)</f>
        <v>SDR / Inside Sales Rep</v>
      </c>
      <c r="Q1735" t="str">
        <f>_xlfn.XLOOKUP(Pipeline_tbl[[#This Row],[Rep_ID]],Dim_Reps!A:A,Dim_Reps!D:D)</f>
        <v>Inside Sales</v>
      </c>
      <c r="R1735" t="str">
        <f>_xlfn.XLOOKUP(Pipeline_tbl[[#This Row],[Rep_ID]],Dim_Reps!A:A,Dim_Reps!E:E)</f>
        <v>EMEA</v>
      </c>
      <c r="S1735" t="str">
        <f>_xlfn.XLOOKUP(Pipeline_tbl[[#This Row],[Created_Date]],Dim_Date!A:A,Dim_Date!H:H)</f>
        <v>Nov 2025</v>
      </c>
      <c r="T1735" t="str">
        <f>IF(Pipeline_tbl[[#This Row],[Closed_Date]]=0,"",(_xlfn.XLOOKUP(Pipeline_tbl[[#This Row],[Closed_Date]],Dim_Date!A:A,Dim_Date!H:H)))</f>
        <v>Nov 2025</v>
      </c>
      <c r="U1735">
        <f>IF(Pipeline_tbl[[#This Row],[Closed_Date]]=0,"",Pipeline_tbl[[#This Row],[Closed_Date]]-Pipeline_tbl[[#This Row],[Created_Date]])</f>
        <v>11</v>
      </c>
    </row>
    <row r="1736" spans="1:21" ht="15" customHeight="1" x14ac:dyDescent="0.2">
      <c r="A1736" t="s">
        <v>2042</v>
      </c>
      <c r="B1736" t="s">
        <v>227</v>
      </c>
      <c r="C1736" t="s">
        <v>52</v>
      </c>
      <c r="D1736" s="49">
        <v>45969</v>
      </c>
      <c r="E1736" s="49">
        <v>45970</v>
      </c>
      <c r="F1736" s="49">
        <v>45972</v>
      </c>
      <c r="G1736" s="49">
        <v>45976</v>
      </c>
      <c r="H1736" s="49">
        <v>45978</v>
      </c>
      <c r="I1736" s="49">
        <v>45980</v>
      </c>
      <c r="J1736" t="s">
        <v>49</v>
      </c>
      <c r="K1736" s="33">
        <v>6700</v>
      </c>
      <c r="L1736" t="s">
        <v>64</v>
      </c>
      <c r="M1736" t="str">
        <f>_xlfn.XLOOKUP(Pipeline_tbl[[#This Row],[Rep_ID]],Dim_Reps!A:A,Dim_Reps!K:K)</f>
        <v>EUR</v>
      </c>
      <c r="N1736" s="33">
        <f>(_xlfn.XLOOKUP(Pipeline_tbl[[#This Row],[Rate_Code_Generalized]],Lookups!A:A,Lookups!B:B))*Pipeline_tbl[[#This Row],[Pipeline_Amount_USD]]</f>
        <v>6700</v>
      </c>
      <c r="O1736" t="str">
        <f>_xlfn.XLOOKUP(Pipeline_tbl[[#This Row],[Rep_ID]],Dim_Reps!A:A,Dim_Reps!B:B)</f>
        <v>Liam Muller</v>
      </c>
      <c r="P1736" t="str">
        <f>_xlfn.XLOOKUP(Pipeline_tbl[[#This Row],[Rep_ID]],Dim_Reps!A:A,Dim_Reps!C:C)</f>
        <v>SDR / Inside Sales Rep</v>
      </c>
      <c r="Q1736" t="str">
        <f>_xlfn.XLOOKUP(Pipeline_tbl[[#This Row],[Rep_ID]],Dim_Reps!A:A,Dim_Reps!D:D)</f>
        <v>Inside Sales</v>
      </c>
      <c r="R1736" t="str">
        <f>_xlfn.XLOOKUP(Pipeline_tbl[[#This Row],[Rep_ID]],Dim_Reps!A:A,Dim_Reps!E:E)</f>
        <v>EMEA</v>
      </c>
      <c r="S1736" t="str">
        <f>_xlfn.XLOOKUP(Pipeline_tbl[[#This Row],[Created_Date]],Dim_Date!A:A,Dim_Date!H:H)</f>
        <v>Nov 2025</v>
      </c>
      <c r="T1736" t="str">
        <f>IF(Pipeline_tbl[[#This Row],[Closed_Date]]=0,"",(_xlfn.XLOOKUP(Pipeline_tbl[[#This Row],[Closed_Date]],Dim_Date!A:A,Dim_Date!H:H)))</f>
        <v>Nov 2025</v>
      </c>
      <c r="U1736">
        <f>IF(Pipeline_tbl[[#This Row],[Closed_Date]]=0,"",Pipeline_tbl[[#This Row],[Closed_Date]]-Pipeline_tbl[[#This Row],[Created_Date]])</f>
        <v>11</v>
      </c>
    </row>
    <row r="1737" spans="1:21" ht="15" customHeight="1" x14ac:dyDescent="0.2">
      <c r="A1737" t="s">
        <v>2043</v>
      </c>
      <c r="B1737" t="s">
        <v>227</v>
      </c>
      <c r="C1737" t="s">
        <v>52</v>
      </c>
      <c r="D1737" s="49">
        <v>45971</v>
      </c>
      <c r="E1737" s="49">
        <v>45973</v>
      </c>
      <c r="F1737" s="49">
        <v>45976</v>
      </c>
      <c r="G1737" s="49">
        <v>45981</v>
      </c>
      <c r="I1737" s="49">
        <v>45987</v>
      </c>
      <c r="J1737" t="s">
        <v>49</v>
      </c>
      <c r="K1737" s="33">
        <v>7300</v>
      </c>
      <c r="L1737" t="s">
        <v>61</v>
      </c>
      <c r="M1737" t="str">
        <f>_xlfn.XLOOKUP(Pipeline_tbl[[#This Row],[Rep_ID]],Dim_Reps!A:A,Dim_Reps!K:K)</f>
        <v>EUR</v>
      </c>
      <c r="N1737" s="33">
        <f>(_xlfn.XLOOKUP(Pipeline_tbl[[#This Row],[Rate_Code_Generalized]],Lookups!A:A,Lookups!B:B))*Pipeline_tbl[[#This Row],[Pipeline_Amount_USD]]</f>
        <v>7300</v>
      </c>
      <c r="O1737" t="str">
        <f>_xlfn.XLOOKUP(Pipeline_tbl[[#This Row],[Rep_ID]],Dim_Reps!A:A,Dim_Reps!B:B)</f>
        <v>Liam Muller</v>
      </c>
      <c r="P1737" t="str">
        <f>_xlfn.XLOOKUP(Pipeline_tbl[[#This Row],[Rep_ID]],Dim_Reps!A:A,Dim_Reps!C:C)</f>
        <v>SDR / Inside Sales Rep</v>
      </c>
      <c r="Q1737" t="str">
        <f>_xlfn.XLOOKUP(Pipeline_tbl[[#This Row],[Rep_ID]],Dim_Reps!A:A,Dim_Reps!D:D)</f>
        <v>Inside Sales</v>
      </c>
      <c r="R1737" t="str">
        <f>_xlfn.XLOOKUP(Pipeline_tbl[[#This Row],[Rep_ID]],Dim_Reps!A:A,Dim_Reps!E:E)</f>
        <v>EMEA</v>
      </c>
      <c r="S1737" t="str">
        <f>_xlfn.XLOOKUP(Pipeline_tbl[[#This Row],[Created_Date]],Dim_Date!A:A,Dim_Date!H:H)</f>
        <v>Nov 2025</v>
      </c>
      <c r="T1737" t="str">
        <f>IF(Pipeline_tbl[[#This Row],[Closed_Date]]=0,"",(_xlfn.XLOOKUP(Pipeline_tbl[[#This Row],[Closed_Date]],Dim_Date!A:A,Dim_Date!H:H)))</f>
        <v>Nov 2025</v>
      </c>
      <c r="U1737">
        <f>IF(Pipeline_tbl[[#This Row],[Closed_Date]]=0,"",Pipeline_tbl[[#This Row],[Closed_Date]]-Pipeline_tbl[[#This Row],[Created_Date]])</f>
        <v>16</v>
      </c>
    </row>
    <row r="1738" spans="1:21" ht="15" customHeight="1" x14ac:dyDescent="0.2">
      <c r="A1738" t="s">
        <v>2044</v>
      </c>
      <c r="B1738" t="s">
        <v>227</v>
      </c>
      <c r="C1738" t="s">
        <v>55</v>
      </c>
      <c r="D1738" s="49">
        <v>45963</v>
      </c>
      <c r="E1738" s="49">
        <v>45964</v>
      </c>
      <c r="F1738" s="49">
        <v>45965</v>
      </c>
      <c r="I1738" s="49">
        <v>45969</v>
      </c>
      <c r="J1738" t="s">
        <v>49</v>
      </c>
      <c r="K1738" s="33">
        <v>3100</v>
      </c>
      <c r="L1738" t="s">
        <v>63</v>
      </c>
      <c r="M1738" t="str">
        <f>_xlfn.XLOOKUP(Pipeline_tbl[[#This Row],[Rep_ID]],Dim_Reps!A:A,Dim_Reps!K:K)</f>
        <v>EUR</v>
      </c>
      <c r="N1738" s="33">
        <f>(_xlfn.XLOOKUP(Pipeline_tbl[[#This Row],[Rate_Code_Generalized]],Lookups!A:A,Lookups!B:B))*Pipeline_tbl[[#This Row],[Pipeline_Amount_USD]]</f>
        <v>3100</v>
      </c>
      <c r="O1738" t="str">
        <f>_xlfn.XLOOKUP(Pipeline_tbl[[#This Row],[Rep_ID]],Dim_Reps!A:A,Dim_Reps!B:B)</f>
        <v>Liam Muller</v>
      </c>
      <c r="P1738" t="str">
        <f>_xlfn.XLOOKUP(Pipeline_tbl[[#This Row],[Rep_ID]],Dim_Reps!A:A,Dim_Reps!C:C)</f>
        <v>SDR / Inside Sales Rep</v>
      </c>
      <c r="Q1738" t="str">
        <f>_xlfn.XLOOKUP(Pipeline_tbl[[#This Row],[Rep_ID]],Dim_Reps!A:A,Dim_Reps!D:D)</f>
        <v>Inside Sales</v>
      </c>
      <c r="R1738" t="str">
        <f>_xlfn.XLOOKUP(Pipeline_tbl[[#This Row],[Rep_ID]],Dim_Reps!A:A,Dim_Reps!E:E)</f>
        <v>EMEA</v>
      </c>
      <c r="S1738" t="str">
        <f>_xlfn.XLOOKUP(Pipeline_tbl[[#This Row],[Created_Date]],Dim_Date!A:A,Dim_Date!H:H)</f>
        <v>Nov 2025</v>
      </c>
      <c r="T1738" t="str">
        <f>IF(Pipeline_tbl[[#This Row],[Closed_Date]]=0,"",(_xlfn.XLOOKUP(Pipeline_tbl[[#This Row],[Closed_Date]],Dim_Date!A:A,Dim_Date!H:H)))</f>
        <v>Nov 2025</v>
      </c>
      <c r="U1738">
        <f>IF(Pipeline_tbl[[#This Row],[Closed_Date]]=0,"",Pipeline_tbl[[#This Row],[Closed_Date]]-Pipeline_tbl[[#This Row],[Created_Date]])</f>
        <v>6</v>
      </c>
    </row>
    <row r="1739" spans="1:21" ht="15" customHeight="1" x14ac:dyDescent="0.2">
      <c r="A1739" t="s">
        <v>2045</v>
      </c>
      <c r="B1739" t="s">
        <v>227</v>
      </c>
      <c r="C1739" t="s">
        <v>52</v>
      </c>
      <c r="D1739" s="49">
        <v>45970</v>
      </c>
      <c r="E1739" s="49">
        <v>45972</v>
      </c>
      <c r="F1739" s="49">
        <v>45975</v>
      </c>
      <c r="G1739" s="49">
        <v>45980</v>
      </c>
      <c r="I1739" s="49">
        <v>45986</v>
      </c>
      <c r="J1739" t="s">
        <v>49</v>
      </c>
      <c r="K1739" s="33">
        <v>4800</v>
      </c>
      <c r="L1739" t="s">
        <v>62</v>
      </c>
      <c r="M1739" t="str">
        <f>_xlfn.XLOOKUP(Pipeline_tbl[[#This Row],[Rep_ID]],Dim_Reps!A:A,Dim_Reps!K:K)</f>
        <v>EUR</v>
      </c>
      <c r="N1739" s="33">
        <f>(_xlfn.XLOOKUP(Pipeline_tbl[[#This Row],[Rate_Code_Generalized]],Lookups!A:A,Lookups!B:B))*Pipeline_tbl[[#This Row],[Pipeline_Amount_USD]]</f>
        <v>4800</v>
      </c>
      <c r="O1739" t="str">
        <f>_xlfn.XLOOKUP(Pipeline_tbl[[#This Row],[Rep_ID]],Dim_Reps!A:A,Dim_Reps!B:B)</f>
        <v>Liam Muller</v>
      </c>
      <c r="P1739" t="str">
        <f>_xlfn.XLOOKUP(Pipeline_tbl[[#This Row],[Rep_ID]],Dim_Reps!A:A,Dim_Reps!C:C)</f>
        <v>SDR / Inside Sales Rep</v>
      </c>
      <c r="Q1739" t="str">
        <f>_xlfn.XLOOKUP(Pipeline_tbl[[#This Row],[Rep_ID]],Dim_Reps!A:A,Dim_Reps!D:D)</f>
        <v>Inside Sales</v>
      </c>
      <c r="R1739" t="str">
        <f>_xlfn.XLOOKUP(Pipeline_tbl[[#This Row],[Rep_ID]],Dim_Reps!A:A,Dim_Reps!E:E)</f>
        <v>EMEA</v>
      </c>
      <c r="S1739" t="str">
        <f>_xlfn.XLOOKUP(Pipeline_tbl[[#This Row],[Created_Date]],Dim_Date!A:A,Dim_Date!H:H)</f>
        <v>Nov 2025</v>
      </c>
      <c r="T1739" t="str">
        <f>IF(Pipeline_tbl[[#This Row],[Closed_Date]]=0,"",(_xlfn.XLOOKUP(Pipeline_tbl[[#This Row],[Closed_Date]],Dim_Date!A:A,Dim_Date!H:H)))</f>
        <v>Nov 2025</v>
      </c>
      <c r="U1739">
        <f>IF(Pipeline_tbl[[#This Row],[Closed_Date]]=0,"",Pipeline_tbl[[#This Row],[Closed_Date]]-Pipeline_tbl[[#This Row],[Created_Date]])</f>
        <v>16</v>
      </c>
    </row>
    <row r="1740" spans="1:21" ht="15" customHeight="1" x14ac:dyDescent="0.2">
      <c r="A1740" t="s">
        <v>2046</v>
      </c>
      <c r="B1740" t="s">
        <v>227</v>
      </c>
      <c r="C1740" t="s">
        <v>52</v>
      </c>
      <c r="D1740" s="49">
        <v>45971</v>
      </c>
      <c r="E1740" s="49">
        <v>45972</v>
      </c>
      <c r="F1740" s="49">
        <v>45975</v>
      </c>
      <c r="G1740" s="49">
        <v>45979</v>
      </c>
      <c r="H1740" s="49">
        <v>45982</v>
      </c>
      <c r="I1740" s="49">
        <v>45984</v>
      </c>
      <c r="J1740" t="s">
        <v>47</v>
      </c>
      <c r="K1740" s="33">
        <v>4400</v>
      </c>
      <c r="M1740" t="str">
        <f>_xlfn.XLOOKUP(Pipeline_tbl[[#This Row],[Rep_ID]],Dim_Reps!A:A,Dim_Reps!K:K)</f>
        <v>EUR</v>
      </c>
      <c r="N1740" s="33">
        <f>(_xlfn.XLOOKUP(Pipeline_tbl[[#This Row],[Rate_Code_Generalized]],Lookups!A:A,Lookups!B:B))*Pipeline_tbl[[#This Row],[Pipeline_Amount_USD]]</f>
        <v>4400</v>
      </c>
      <c r="O1740" t="str">
        <f>_xlfn.XLOOKUP(Pipeline_tbl[[#This Row],[Rep_ID]],Dim_Reps!A:A,Dim_Reps!B:B)</f>
        <v>Liam Muller</v>
      </c>
      <c r="P1740" t="str">
        <f>_xlfn.XLOOKUP(Pipeline_tbl[[#This Row],[Rep_ID]],Dim_Reps!A:A,Dim_Reps!C:C)</f>
        <v>SDR / Inside Sales Rep</v>
      </c>
      <c r="Q1740" t="str">
        <f>_xlfn.XLOOKUP(Pipeline_tbl[[#This Row],[Rep_ID]],Dim_Reps!A:A,Dim_Reps!D:D)</f>
        <v>Inside Sales</v>
      </c>
      <c r="R1740" t="str">
        <f>_xlfn.XLOOKUP(Pipeline_tbl[[#This Row],[Rep_ID]],Dim_Reps!A:A,Dim_Reps!E:E)</f>
        <v>EMEA</v>
      </c>
      <c r="S1740" t="str">
        <f>_xlfn.XLOOKUP(Pipeline_tbl[[#This Row],[Created_Date]],Dim_Date!A:A,Dim_Date!H:H)</f>
        <v>Nov 2025</v>
      </c>
      <c r="T1740" t="str">
        <f>IF(Pipeline_tbl[[#This Row],[Closed_Date]]=0,"",(_xlfn.XLOOKUP(Pipeline_tbl[[#This Row],[Closed_Date]],Dim_Date!A:A,Dim_Date!H:H)))</f>
        <v>Nov 2025</v>
      </c>
      <c r="U1740">
        <f>IF(Pipeline_tbl[[#This Row],[Closed_Date]]=0,"",Pipeline_tbl[[#This Row],[Closed_Date]]-Pipeline_tbl[[#This Row],[Created_Date]])</f>
        <v>13</v>
      </c>
    </row>
    <row r="1741" spans="1:21" ht="15" customHeight="1" x14ac:dyDescent="0.2">
      <c r="A1741" t="s">
        <v>2047</v>
      </c>
      <c r="B1741" t="s">
        <v>227</v>
      </c>
      <c r="C1741" t="s">
        <v>53</v>
      </c>
      <c r="D1741" s="49">
        <v>45967</v>
      </c>
      <c r="E1741" s="49">
        <v>45968</v>
      </c>
      <c r="F1741" s="49">
        <v>45970</v>
      </c>
      <c r="G1741" s="49">
        <v>45972</v>
      </c>
      <c r="I1741" s="49">
        <v>45976</v>
      </c>
      <c r="J1741" t="s">
        <v>49</v>
      </c>
      <c r="K1741" s="33">
        <v>4300</v>
      </c>
      <c r="L1741" t="s">
        <v>61</v>
      </c>
      <c r="M1741" t="str">
        <f>_xlfn.XLOOKUP(Pipeline_tbl[[#This Row],[Rep_ID]],Dim_Reps!A:A,Dim_Reps!K:K)</f>
        <v>EUR</v>
      </c>
      <c r="N1741" s="33">
        <f>(_xlfn.XLOOKUP(Pipeline_tbl[[#This Row],[Rate_Code_Generalized]],Lookups!A:A,Lookups!B:B))*Pipeline_tbl[[#This Row],[Pipeline_Amount_USD]]</f>
        <v>4300</v>
      </c>
      <c r="O1741" t="str">
        <f>_xlfn.XLOOKUP(Pipeline_tbl[[#This Row],[Rep_ID]],Dim_Reps!A:A,Dim_Reps!B:B)</f>
        <v>Liam Muller</v>
      </c>
      <c r="P1741" t="str">
        <f>_xlfn.XLOOKUP(Pipeline_tbl[[#This Row],[Rep_ID]],Dim_Reps!A:A,Dim_Reps!C:C)</f>
        <v>SDR / Inside Sales Rep</v>
      </c>
      <c r="Q1741" t="str">
        <f>_xlfn.XLOOKUP(Pipeline_tbl[[#This Row],[Rep_ID]],Dim_Reps!A:A,Dim_Reps!D:D)</f>
        <v>Inside Sales</v>
      </c>
      <c r="R1741" t="str">
        <f>_xlfn.XLOOKUP(Pipeline_tbl[[#This Row],[Rep_ID]],Dim_Reps!A:A,Dim_Reps!E:E)</f>
        <v>EMEA</v>
      </c>
      <c r="S1741" t="str">
        <f>_xlfn.XLOOKUP(Pipeline_tbl[[#This Row],[Created_Date]],Dim_Date!A:A,Dim_Date!H:H)</f>
        <v>Nov 2025</v>
      </c>
      <c r="T1741" t="str">
        <f>IF(Pipeline_tbl[[#This Row],[Closed_Date]]=0,"",(_xlfn.XLOOKUP(Pipeline_tbl[[#This Row],[Closed_Date]],Dim_Date!A:A,Dim_Date!H:H)))</f>
        <v>Nov 2025</v>
      </c>
      <c r="U1741">
        <f>IF(Pipeline_tbl[[#This Row],[Closed_Date]]=0,"",Pipeline_tbl[[#This Row],[Closed_Date]]-Pipeline_tbl[[#This Row],[Created_Date]])</f>
        <v>9</v>
      </c>
    </row>
    <row r="1742" spans="1:21" ht="15" customHeight="1" x14ac:dyDescent="0.2">
      <c r="A1742" t="s">
        <v>2048</v>
      </c>
      <c r="B1742" t="s">
        <v>229</v>
      </c>
      <c r="C1742" t="s">
        <v>56</v>
      </c>
      <c r="D1742" s="49">
        <v>45962</v>
      </c>
      <c r="E1742" s="49">
        <v>45963</v>
      </c>
      <c r="F1742" s="49">
        <v>45964</v>
      </c>
      <c r="G1742" s="49">
        <v>45966</v>
      </c>
      <c r="H1742" s="49">
        <v>45968</v>
      </c>
      <c r="I1742" s="49">
        <v>45969</v>
      </c>
      <c r="J1742" t="s">
        <v>49</v>
      </c>
      <c r="K1742" s="33">
        <v>2300</v>
      </c>
      <c r="L1742" t="s">
        <v>60</v>
      </c>
      <c r="M1742" t="str">
        <f>_xlfn.XLOOKUP(Pipeline_tbl[[#This Row],[Rep_ID]],Dim_Reps!A:A,Dim_Reps!K:K)</f>
        <v>USD</v>
      </c>
      <c r="N1742" s="33">
        <f>(_xlfn.XLOOKUP(Pipeline_tbl[[#This Row],[Rate_Code_Generalized]],Lookups!A:A,Lookups!B:B))*Pipeline_tbl[[#This Row],[Pipeline_Amount_USD]]</f>
        <v>2677.89</v>
      </c>
      <c r="O1742" t="str">
        <f>_xlfn.XLOOKUP(Pipeline_tbl[[#This Row],[Rep_ID]],Dim_Reps!A:A,Dim_Reps!B:B)</f>
        <v>Liam Castro</v>
      </c>
      <c r="P1742" t="str">
        <f>_xlfn.XLOOKUP(Pipeline_tbl[[#This Row],[Rep_ID]],Dim_Reps!A:A,Dim_Reps!C:C)</f>
        <v>SDR / Inside Sales Rep</v>
      </c>
      <c r="Q1742" t="str">
        <f>_xlfn.XLOOKUP(Pipeline_tbl[[#This Row],[Rep_ID]],Dim_Reps!A:A,Dim_Reps!D:D)</f>
        <v>Inside Sales</v>
      </c>
      <c r="R1742" t="str">
        <f>_xlfn.XLOOKUP(Pipeline_tbl[[#This Row],[Rep_ID]],Dim_Reps!A:A,Dim_Reps!E:E)</f>
        <v>NAMER</v>
      </c>
      <c r="S1742" t="str">
        <f>_xlfn.XLOOKUP(Pipeline_tbl[[#This Row],[Created_Date]],Dim_Date!A:A,Dim_Date!H:H)</f>
        <v>Nov 2025</v>
      </c>
      <c r="T1742" t="str">
        <f>IF(Pipeline_tbl[[#This Row],[Closed_Date]]=0,"",(_xlfn.XLOOKUP(Pipeline_tbl[[#This Row],[Closed_Date]],Dim_Date!A:A,Dim_Date!H:H)))</f>
        <v>Nov 2025</v>
      </c>
      <c r="U1742">
        <f>IF(Pipeline_tbl[[#This Row],[Closed_Date]]=0,"",Pipeline_tbl[[#This Row],[Closed_Date]]-Pipeline_tbl[[#This Row],[Created_Date]])</f>
        <v>7</v>
      </c>
    </row>
    <row r="1743" spans="1:21" ht="15" customHeight="1" x14ac:dyDescent="0.2">
      <c r="A1743" t="s">
        <v>2049</v>
      </c>
      <c r="B1743" t="s">
        <v>229</v>
      </c>
      <c r="C1743" t="s">
        <v>53</v>
      </c>
      <c r="D1743" s="49">
        <v>45972</v>
      </c>
      <c r="E1743" s="49">
        <v>45973</v>
      </c>
      <c r="F1743" s="49">
        <v>45975</v>
      </c>
      <c r="G1743" s="49">
        <v>45977</v>
      </c>
      <c r="H1743" s="49">
        <v>45980</v>
      </c>
      <c r="I1743" s="49">
        <v>45981</v>
      </c>
      <c r="J1743" t="s">
        <v>47</v>
      </c>
      <c r="K1743" s="33">
        <v>6700</v>
      </c>
      <c r="M1743" t="str">
        <f>_xlfn.XLOOKUP(Pipeline_tbl[[#This Row],[Rep_ID]],Dim_Reps!A:A,Dim_Reps!K:K)</f>
        <v>USD</v>
      </c>
      <c r="N1743" s="33">
        <f>(_xlfn.XLOOKUP(Pipeline_tbl[[#This Row],[Rate_Code_Generalized]],Lookups!A:A,Lookups!B:B))*Pipeline_tbl[[#This Row],[Pipeline_Amount_USD]]</f>
        <v>7800.8099999999995</v>
      </c>
      <c r="O1743" t="str">
        <f>_xlfn.XLOOKUP(Pipeline_tbl[[#This Row],[Rep_ID]],Dim_Reps!A:A,Dim_Reps!B:B)</f>
        <v>Liam Castro</v>
      </c>
      <c r="P1743" t="str">
        <f>_xlfn.XLOOKUP(Pipeline_tbl[[#This Row],[Rep_ID]],Dim_Reps!A:A,Dim_Reps!C:C)</f>
        <v>SDR / Inside Sales Rep</v>
      </c>
      <c r="Q1743" t="str">
        <f>_xlfn.XLOOKUP(Pipeline_tbl[[#This Row],[Rep_ID]],Dim_Reps!A:A,Dim_Reps!D:D)</f>
        <v>Inside Sales</v>
      </c>
      <c r="R1743" t="str">
        <f>_xlfn.XLOOKUP(Pipeline_tbl[[#This Row],[Rep_ID]],Dim_Reps!A:A,Dim_Reps!E:E)</f>
        <v>NAMER</v>
      </c>
      <c r="S1743" t="str">
        <f>_xlfn.XLOOKUP(Pipeline_tbl[[#This Row],[Created_Date]],Dim_Date!A:A,Dim_Date!H:H)</f>
        <v>Nov 2025</v>
      </c>
      <c r="T1743" t="str">
        <f>IF(Pipeline_tbl[[#This Row],[Closed_Date]]=0,"",(_xlfn.XLOOKUP(Pipeline_tbl[[#This Row],[Closed_Date]],Dim_Date!A:A,Dim_Date!H:H)))</f>
        <v>Nov 2025</v>
      </c>
      <c r="U1743">
        <f>IF(Pipeline_tbl[[#This Row],[Closed_Date]]=0,"",Pipeline_tbl[[#This Row],[Closed_Date]]-Pipeline_tbl[[#This Row],[Created_Date]])</f>
        <v>9</v>
      </c>
    </row>
    <row r="1744" spans="1:21" ht="15" customHeight="1" x14ac:dyDescent="0.2">
      <c r="A1744" t="s">
        <v>2050</v>
      </c>
      <c r="B1744" t="s">
        <v>229</v>
      </c>
      <c r="C1744" t="s">
        <v>56</v>
      </c>
      <c r="D1744" s="49">
        <v>45975</v>
      </c>
      <c r="E1744" s="49">
        <v>45976</v>
      </c>
      <c r="F1744" s="49">
        <v>45978</v>
      </c>
      <c r="G1744" s="49">
        <v>45980</v>
      </c>
      <c r="H1744" s="49">
        <v>45983</v>
      </c>
      <c r="I1744" s="49">
        <v>45984</v>
      </c>
      <c r="J1744" t="s">
        <v>49</v>
      </c>
      <c r="K1744" s="33">
        <v>9500</v>
      </c>
      <c r="L1744" t="s">
        <v>60</v>
      </c>
      <c r="M1744" t="str">
        <f>_xlfn.XLOOKUP(Pipeline_tbl[[#This Row],[Rep_ID]],Dim_Reps!A:A,Dim_Reps!K:K)</f>
        <v>USD</v>
      </c>
      <c r="N1744" s="33">
        <f>(_xlfn.XLOOKUP(Pipeline_tbl[[#This Row],[Rate_Code_Generalized]],Lookups!A:A,Lookups!B:B))*Pipeline_tbl[[#This Row],[Pipeline_Amount_USD]]</f>
        <v>11060.849999999999</v>
      </c>
      <c r="O1744" t="str">
        <f>_xlfn.XLOOKUP(Pipeline_tbl[[#This Row],[Rep_ID]],Dim_Reps!A:A,Dim_Reps!B:B)</f>
        <v>Liam Castro</v>
      </c>
      <c r="P1744" t="str">
        <f>_xlfn.XLOOKUP(Pipeline_tbl[[#This Row],[Rep_ID]],Dim_Reps!A:A,Dim_Reps!C:C)</f>
        <v>SDR / Inside Sales Rep</v>
      </c>
      <c r="Q1744" t="str">
        <f>_xlfn.XLOOKUP(Pipeline_tbl[[#This Row],[Rep_ID]],Dim_Reps!A:A,Dim_Reps!D:D)</f>
        <v>Inside Sales</v>
      </c>
      <c r="R1744" t="str">
        <f>_xlfn.XLOOKUP(Pipeline_tbl[[#This Row],[Rep_ID]],Dim_Reps!A:A,Dim_Reps!E:E)</f>
        <v>NAMER</v>
      </c>
      <c r="S1744" t="str">
        <f>_xlfn.XLOOKUP(Pipeline_tbl[[#This Row],[Created_Date]],Dim_Date!A:A,Dim_Date!H:H)</f>
        <v>Nov 2025</v>
      </c>
      <c r="T1744" t="str">
        <f>IF(Pipeline_tbl[[#This Row],[Closed_Date]]=0,"",(_xlfn.XLOOKUP(Pipeline_tbl[[#This Row],[Closed_Date]],Dim_Date!A:A,Dim_Date!H:H)))</f>
        <v>Nov 2025</v>
      </c>
      <c r="U1744">
        <f>IF(Pipeline_tbl[[#This Row],[Closed_Date]]=0,"",Pipeline_tbl[[#This Row],[Closed_Date]]-Pipeline_tbl[[#This Row],[Created_Date]])</f>
        <v>9</v>
      </c>
    </row>
    <row r="1745" spans="1:21" ht="15" customHeight="1" x14ac:dyDescent="0.2">
      <c r="A1745" t="s">
        <v>2051</v>
      </c>
      <c r="B1745" t="s">
        <v>229</v>
      </c>
      <c r="C1745" t="s">
        <v>53</v>
      </c>
      <c r="D1745" s="49">
        <v>45970</v>
      </c>
      <c r="E1745" s="49">
        <v>45972</v>
      </c>
      <c r="F1745" s="49">
        <v>45976</v>
      </c>
      <c r="G1745" s="49">
        <v>45981</v>
      </c>
      <c r="H1745" s="49">
        <v>45986</v>
      </c>
      <c r="I1745" s="49">
        <v>45989</v>
      </c>
      <c r="J1745" t="s">
        <v>49</v>
      </c>
      <c r="K1745" s="33">
        <v>2900</v>
      </c>
      <c r="L1745" t="s">
        <v>61</v>
      </c>
      <c r="M1745" t="str">
        <f>_xlfn.XLOOKUP(Pipeline_tbl[[#This Row],[Rep_ID]],Dim_Reps!A:A,Dim_Reps!K:K)</f>
        <v>USD</v>
      </c>
      <c r="N1745" s="33">
        <f>(_xlfn.XLOOKUP(Pipeline_tbl[[#This Row],[Rate_Code_Generalized]],Lookups!A:A,Lookups!B:B))*Pipeline_tbl[[#This Row],[Pipeline_Amount_USD]]</f>
        <v>3376.47</v>
      </c>
      <c r="O1745" t="str">
        <f>_xlfn.XLOOKUP(Pipeline_tbl[[#This Row],[Rep_ID]],Dim_Reps!A:A,Dim_Reps!B:B)</f>
        <v>Liam Castro</v>
      </c>
      <c r="P1745" t="str">
        <f>_xlfn.XLOOKUP(Pipeline_tbl[[#This Row],[Rep_ID]],Dim_Reps!A:A,Dim_Reps!C:C)</f>
        <v>SDR / Inside Sales Rep</v>
      </c>
      <c r="Q1745" t="str">
        <f>_xlfn.XLOOKUP(Pipeline_tbl[[#This Row],[Rep_ID]],Dim_Reps!A:A,Dim_Reps!D:D)</f>
        <v>Inside Sales</v>
      </c>
      <c r="R1745" t="str">
        <f>_xlfn.XLOOKUP(Pipeline_tbl[[#This Row],[Rep_ID]],Dim_Reps!A:A,Dim_Reps!E:E)</f>
        <v>NAMER</v>
      </c>
      <c r="S1745" t="str">
        <f>_xlfn.XLOOKUP(Pipeline_tbl[[#This Row],[Created_Date]],Dim_Date!A:A,Dim_Date!H:H)</f>
        <v>Nov 2025</v>
      </c>
      <c r="T1745" t="str">
        <f>IF(Pipeline_tbl[[#This Row],[Closed_Date]]=0,"",(_xlfn.XLOOKUP(Pipeline_tbl[[#This Row],[Closed_Date]],Dim_Date!A:A,Dim_Date!H:H)))</f>
        <v>Nov 2025</v>
      </c>
      <c r="U1745">
        <f>IF(Pipeline_tbl[[#This Row],[Closed_Date]]=0,"",Pipeline_tbl[[#This Row],[Closed_Date]]-Pipeline_tbl[[#This Row],[Created_Date]])</f>
        <v>19</v>
      </c>
    </row>
    <row r="1746" spans="1:21" ht="15" customHeight="1" x14ac:dyDescent="0.2">
      <c r="A1746" t="s">
        <v>2052</v>
      </c>
      <c r="B1746" t="s">
        <v>229</v>
      </c>
      <c r="C1746" t="s">
        <v>53</v>
      </c>
      <c r="D1746" s="49">
        <v>45978</v>
      </c>
      <c r="E1746" s="49">
        <v>45979</v>
      </c>
      <c r="I1746" s="49">
        <v>45989</v>
      </c>
      <c r="J1746" t="s">
        <v>49</v>
      </c>
      <c r="K1746" s="33">
        <v>6600</v>
      </c>
      <c r="L1746" t="s">
        <v>62</v>
      </c>
      <c r="M1746" t="str">
        <f>_xlfn.XLOOKUP(Pipeline_tbl[[#This Row],[Rep_ID]],Dim_Reps!A:A,Dim_Reps!K:K)</f>
        <v>USD</v>
      </c>
      <c r="N1746" s="33">
        <f>(_xlfn.XLOOKUP(Pipeline_tbl[[#This Row],[Rate_Code_Generalized]],Lookups!A:A,Lookups!B:B))*Pipeline_tbl[[#This Row],[Pipeline_Amount_USD]]</f>
        <v>7684.3799999999992</v>
      </c>
      <c r="O1746" t="str">
        <f>_xlfn.XLOOKUP(Pipeline_tbl[[#This Row],[Rep_ID]],Dim_Reps!A:A,Dim_Reps!B:B)</f>
        <v>Liam Castro</v>
      </c>
      <c r="P1746" t="str">
        <f>_xlfn.XLOOKUP(Pipeline_tbl[[#This Row],[Rep_ID]],Dim_Reps!A:A,Dim_Reps!C:C)</f>
        <v>SDR / Inside Sales Rep</v>
      </c>
      <c r="Q1746" t="str">
        <f>_xlfn.XLOOKUP(Pipeline_tbl[[#This Row],[Rep_ID]],Dim_Reps!A:A,Dim_Reps!D:D)</f>
        <v>Inside Sales</v>
      </c>
      <c r="R1746" t="str">
        <f>_xlfn.XLOOKUP(Pipeline_tbl[[#This Row],[Rep_ID]],Dim_Reps!A:A,Dim_Reps!E:E)</f>
        <v>NAMER</v>
      </c>
      <c r="S1746" t="str">
        <f>_xlfn.XLOOKUP(Pipeline_tbl[[#This Row],[Created_Date]],Dim_Date!A:A,Dim_Date!H:H)</f>
        <v>Nov 2025</v>
      </c>
      <c r="T1746" t="str">
        <f>IF(Pipeline_tbl[[#This Row],[Closed_Date]]=0,"",(_xlfn.XLOOKUP(Pipeline_tbl[[#This Row],[Closed_Date]],Dim_Date!A:A,Dim_Date!H:H)))</f>
        <v>Nov 2025</v>
      </c>
      <c r="U1746">
        <f>IF(Pipeline_tbl[[#This Row],[Closed_Date]]=0,"",Pipeline_tbl[[#This Row],[Closed_Date]]-Pipeline_tbl[[#This Row],[Created_Date]])</f>
        <v>11</v>
      </c>
    </row>
    <row r="1747" spans="1:21" ht="15" customHeight="1" x14ac:dyDescent="0.2">
      <c r="A1747" t="s">
        <v>2053</v>
      </c>
      <c r="B1747" t="s">
        <v>229</v>
      </c>
      <c r="C1747" t="s">
        <v>52</v>
      </c>
      <c r="D1747" s="49">
        <v>45964</v>
      </c>
      <c r="E1747" s="49">
        <v>45966</v>
      </c>
      <c r="F1747" s="49">
        <v>45971</v>
      </c>
      <c r="G1747" s="49">
        <v>45977</v>
      </c>
      <c r="H1747" s="49">
        <v>45983</v>
      </c>
      <c r="I1747" s="49">
        <v>45986</v>
      </c>
      <c r="J1747" t="s">
        <v>49</v>
      </c>
      <c r="K1747" s="33">
        <v>3300</v>
      </c>
      <c r="L1747" t="s">
        <v>60</v>
      </c>
      <c r="M1747" t="str">
        <f>_xlfn.XLOOKUP(Pipeline_tbl[[#This Row],[Rep_ID]],Dim_Reps!A:A,Dim_Reps!K:K)</f>
        <v>USD</v>
      </c>
      <c r="N1747" s="33">
        <f>(_xlfn.XLOOKUP(Pipeline_tbl[[#This Row],[Rate_Code_Generalized]],Lookups!A:A,Lookups!B:B))*Pipeline_tbl[[#This Row],[Pipeline_Amount_USD]]</f>
        <v>3842.1899999999996</v>
      </c>
      <c r="O1747" t="str">
        <f>_xlfn.XLOOKUP(Pipeline_tbl[[#This Row],[Rep_ID]],Dim_Reps!A:A,Dim_Reps!B:B)</f>
        <v>Liam Castro</v>
      </c>
      <c r="P1747" t="str">
        <f>_xlfn.XLOOKUP(Pipeline_tbl[[#This Row],[Rep_ID]],Dim_Reps!A:A,Dim_Reps!C:C)</f>
        <v>SDR / Inside Sales Rep</v>
      </c>
      <c r="Q1747" t="str">
        <f>_xlfn.XLOOKUP(Pipeline_tbl[[#This Row],[Rep_ID]],Dim_Reps!A:A,Dim_Reps!D:D)</f>
        <v>Inside Sales</v>
      </c>
      <c r="R1747" t="str">
        <f>_xlfn.XLOOKUP(Pipeline_tbl[[#This Row],[Rep_ID]],Dim_Reps!A:A,Dim_Reps!E:E)</f>
        <v>NAMER</v>
      </c>
      <c r="S1747" t="str">
        <f>_xlfn.XLOOKUP(Pipeline_tbl[[#This Row],[Created_Date]],Dim_Date!A:A,Dim_Date!H:H)</f>
        <v>Nov 2025</v>
      </c>
      <c r="T1747" t="str">
        <f>IF(Pipeline_tbl[[#This Row],[Closed_Date]]=0,"",(_xlfn.XLOOKUP(Pipeline_tbl[[#This Row],[Closed_Date]],Dim_Date!A:A,Dim_Date!H:H)))</f>
        <v>Nov 2025</v>
      </c>
      <c r="U1747">
        <f>IF(Pipeline_tbl[[#This Row],[Closed_Date]]=0,"",Pipeline_tbl[[#This Row],[Closed_Date]]-Pipeline_tbl[[#This Row],[Created_Date]])</f>
        <v>22</v>
      </c>
    </row>
    <row r="1748" spans="1:21" ht="15" customHeight="1" x14ac:dyDescent="0.2">
      <c r="A1748" t="s">
        <v>2054</v>
      </c>
      <c r="B1748" t="s">
        <v>229</v>
      </c>
      <c r="C1748" t="s">
        <v>53</v>
      </c>
      <c r="D1748" s="49">
        <v>45982</v>
      </c>
      <c r="E1748" s="49">
        <v>45983</v>
      </c>
      <c r="F1748" s="49">
        <v>45984</v>
      </c>
      <c r="G1748" s="49">
        <v>45987</v>
      </c>
      <c r="H1748" s="49">
        <v>45989</v>
      </c>
      <c r="I1748" s="49">
        <v>45990</v>
      </c>
      <c r="J1748" t="s">
        <v>47</v>
      </c>
      <c r="K1748" s="33">
        <v>3200</v>
      </c>
      <c r="M1748" t="str">
        <f>_xlfn.XLOOKUP(Pipeline_tbl[[#This Row],[Rep_ID]],Dim_Reps!A:A,Dim_Reps!K:K)</f>
        <v>USD</v>
      </c>
      <c r="N1748" s="33">
        <f>(_xlfn.XLOOKUP(Pipeline_tbl[[#This Row],[Rate_Code_Generalized]],Lookups!A:A,Lookups!B:B))*Pipeline_tbl[[#This Row],[Pipeline_Amount_USD]]</f>
        <v>3725.7599999999998</v>
      </c>
      <c r="O1748" t="str">
        <f>_xlfn.XLOOKUP(Pipeline_tbl[[#This Row],[Rep_ID]],Dim_Reps!A:A,Dim_Reps!B:B)</f>
        <v>Liam Castro</v>
      </c>
      <c r="P1748" t="str">
        <f>_xlfn.XLOOKUP(Pipeline_tbl[[#This Row],[Rep_ID]],Dim_Reps!A:A,Dim_Reps!C:C)</f>
        <v>SDR / Inside Sales Rep</v>
      </c>
      <c r="Q1748" t="str">
        <f>_xlfn.XLOOKUP(Pipeline_tbl[[#This Row],[Rep_ID]],Dim_Reps!A:A,Dim_Reps!D:D)</f>
        <v>Inside Sales</v>
      </c>
      <c r="R1748" t="str">
        <f>_xlfn.XLOOKUP(Pipeline_tbl[[#This Row],[Rep_ID]],Dim_Reps!A:A,Dim_Reps!E:E)</f>
        <v>NAMER</v>
      </c>
      <c r="S1748" t="str">
        <f>_xlfn.XLOOKUP(Pipeline_tbl[[#This Row],[Created_Date]],Dim_Date!A:A,Dim_Date!H:H)</f>
        <v>Nov 2025</v>
      </c>
      <c r="T1748" t="str">
        <f>IF(Pipeline_tbl[[#This Row],[Closed_Date]]=0,"",(_xlfn.XLOOKUP(Pipeline_tbl[[#This Row],[Closed_Date]],Dim_Date!A:A,Dim_Date!H:H)))</f>
        <v>Nov 2025</v>
      </c>
      <c r="U1748">
        <f>IF(Pipeline_tbl[[#This Row],[Closed_Date]]=0,"",Pipeline_tbl[[#This Row],[Closed_Date]]-Pipeline_tbl[[#This Row],[Created_Date]])</f>
        <v>8</v>
      </c>
    </row>
    <row r="1749" spans="1:21" ht="15" customHeight="1" x14ac:dyDescent="0.2">
      <c r="A1749" t="s">
        <v>2055</v>
      </c>
      <c r="B1749" t="s">
        <v>229</v>
      </c>
      <c r="C1749" t="s">
        <v>52</v>
      </c>
      <c r="D1749" s="49">
        <v>45964</v>
      </c>
      <c r="E1749" s="49">
        <v>45966</v>
      </c>
      <c r="F1749" s="49">
        <v>45969</v>
      </c>
      <c r="G1749" s="49">
        <v>45974</v>
      </c>
      <c r="I1749" s="49">
        <v>45981</v>
      </c>
      <c r="J1749" t="s">
        <v>49</v>
      </c>
      <c r="K1749" s="33">
        <v>3500</v>
      </c>
      <c r="L1749" t="s">
        <v>60</v>
      </c>
      <c r="M1749" t="str">
        <f>_xlfn.XLOOKUP(Pipeline_tbl[[#This Row],[Rep_ID]],Dim_Reps!A:A,Dim_Reps!K:K)</f>
        <v>USD</v>
      </c>
      <c r="N1749" s="33">
        <f>(_xlfn.XLOOKUP(Pipeline_tbl[[#This Row],[Rate_Code_Generalized]],Lookups!A:A,Lookups!B:B))*Pipeline_tbl[[#This Row],[Pipeline_Amount_USD]]</f>
        <v>4075.0499999999997</v>
      </c>
      <c r="O1749" t="str">
        <f>_xlfn.XLOOKUP(Pipeline_tbl[[#This Row],[Rep_ID]],Dim_Reps!A:A,Dim_Reps!B:B)</f>
        <v>Liam Castro</v>
      </c>
      <c r="P1749" t="str">
        <f>_xlfn.XLOOKUP(Pipeline_tbl[[#This Row],[Rep_ID]],Dim_Reps!A:A,Dim_Reps!C:C)</f>
        <v>SDR / Inside Sales Rep</v>
      </c>
      <c r="Q1749" t="str">
        <f>_xlfn.XLOOKUP(Pipeline_tbl[[#This Row],[Rep_ID]],Dim_Reps!A:A,Dim_Reps!D:D)</f>
        <v>Inside Sales</v>
      </c>
      <c r="R1749" t="str">
        <f>_xlfn.XLOOKUP(Pipeline_tbl[[#This Row],[Rep_ID]],Dim_Reps!A:A,Dim_Reps!E:E)</f>
        <v>NAMER</v>
      </c>
      <c r="S1749" t="str">
        <f>_xlfn.XLOOKUP(Pipeline_tbl[[#This Row],[Created_Date]],Dim_Date!A:A,Dim_Date!H:H)</f>
        <v>Nov 2025</v>
      </c>
      <c r="T1749" t="str">
        <f>IF(Pipeline_tbl[[#This Row],[Closed_Date]]=0,"",(_xlfn.XLOOKUP(Pipeline_tbl[[#This Row],[Closed_Date]],Dim_Date!A:A,Dim_Date!H:H)))</f>
        <v>Nov 2025</v>
      </c>
      <c r="U1749">
        <f>IF(Pipeline_tbl[[#This Row],[Closed_Date]]=0,"",Pipeline_tbl[[#This Row],[Closed_Date]]-Pipeline_tbl[[#This Row],[Created_Date]])</f>
        <v>17</v>
      </c>
    </row>
    <row r="1750" spans="1:21" ht="15" customHeight="1" x14ac:dyDescent="0.2">
      <c r="A1750" t="s">
        <v>2056</v>
      </c>
      <c r="B1750" t="s">
        <v>229</v>
      </c>
      <c r="C1750" t="s">
        <v>52</v>
      </c>
      <c r="D1750" s="49">
        <v>45978</v>
      </c>
      <c r="E1750" s="49">
        <v>45979</v>
      </c>
      <c r="F1750" s="49">
        <v>45981</v>
      </c>
      <c r="G1750" s="49">
        <v>45984</v>
      </c>
      <c r="H1750" s="49">
        <v>45986</v>
      </c>
      <c r="I1750" s="49">
        <v>45988</v>
      </c>
      <c r="J1750" t="s">
        <v>49</v>
      </c>
      <c r="K1750" s="33">
        <v>3400</v>
      </c>
      <c r="L1750" t="s">
        <v>62</v>
      </c>
      <c r="M1750" t="str">
        <f>_xlfn.XLOOKUP(Pipeline_tbl[[#This Row],[Rep_ID]],Dim_Reps!A:A,Dim_Reps!K:K)</f>
        <v>USD</v>
      </c>
      <c r="N1750" s="33">
        <f>(_xlfn.XLOOKUP(Pipeline_tbl[[#This Row],[Rate_Code_Generalized]],Lookups!A:A,Lookups!B:B))*Pipeline_tbl[[#This Row],[Pipeline_Amount_USD]]</f>
        <v>3958.6199999999994</v>
      </c>
      <c r="O1750" t="str">
        <f>_xlfn.XLOOKUP(Pipeline_tbl[[#This Row],[Rep_ID]],Dim_Reps!A:A,Dim_Reps!B:B)</f>
        <v>Liam Castro</v>
      </c>
      <c r="P1750" t="str">
        <f>_xlfn.XLOOKUP(Pipeline_tbl[[#This Row],[Rep_ID]],Dim_Reps!A:A,Dim_Reps!C:C)</f>
        <v>SDR / Inside Sales Rep</v>
      </c>
      <c r="Q1750" t="str">
        <f>_xlfn.XLOOKUP(Pipeline_tbl[[#This Row],[Rep_ID]],Dim_Reps!A:A,Dim_Reps!D:D)</f>
        <v>Inside Sales</v>
      </c>
      <c r="R1750" t="str">
        <f>_xlfn.XLOOKUP(Pipeline_tbl[[#This Row],[Rep_ID]],Dim_Reps!A:A,Dim_Reps!E:E)</f>
        <v>NAMER</v>
      </c>
      <c r="S1750" t="str">
        <f>_xlfn.XLOOKUP(Pipeline_tbl[[#This Row],[Created_Date]],Dim_Date!A:A,Dim_Date!H:H)</f>
        <v>Nov 2025</v>
      </c>
      <c r="T1750" t="str">
        <f>IF(Pipeline_tbl[[#This Row],[Closed_Date]]=0,"",(_xlfn.XLOOKUP(Pipeline_tbl[[#This Row],[Closed_Date]],Dim_Date!A:A,Dim_Date!H:H)))</f>
        <v>Nov 2025</v>
      </c>
      <c r="U1750">
        <f>IF(Pipeline_tbl[[#This Row],[Closed_Date]]=0,"",Pipeline_tbl[[#This Row],[Closed_Date]]-Pipeline_tbl[[#This Row],[Created_Date]])</f>
        <v>10</v>
      </c>
    </row>
    <row r="1751" spans="1:21" ht="15" customHeight="1" x14ac:dyDescent="0.2">
      <c r="A1751" t="s">
        <v>2057</v>
      </c>
      <c r="B1751" t="s">
        <v>231</v>
      </c>
      <c r="C1751" t="s">
        <v>52</v>
      </c>
      <c r="D1751" s="49">
        <v>45972</v>
      </c>
      <c r="E1751" s="49">
        <v>45974</v>
      </c>
      <c r="F1751" s="49">
        <v>45977</v>
      </c>
      <c r="G1751" s="49">
        <v>45982</v>
      </c>
      <c r="H1751" s="49">
        <v>45986</v>
      </c>
      <c r="I1751" s="49">
        <v>45989</v>
      </c>
      <c r="J1751" t="s">
        <v>49</v>
      </c>
      <c r="K1751" s="33">
        <v>3200</v>
      </c>
      <c r="L1751" t="s">
        <v>60</v>
      </c>
      <c r="M1751" t="str">
        <f>_xlfn.XLOOKUP(Pipeline_tbl[[#This Row],[Rep_ID]],Dim_Reps!A:A,Dim_Reps!K:K)</f>
        <v>MXN</v>
      </c>
      <c r="N1751" s="33">
        <f>(_xlfn.XLOOKUP(Pipeline_tbl[[#This Row],[Rate_Code_Generalized]],Lookups!A:A,Lookups!B:B))*Pipeline_tbl[[#This Row],[Pipeline_Amount_USD]]</f>
        <v>63144.640000000007</v>
      </c>
      <c r="O1751" t="str">
        <f>_xlfn.XLOOKUP(Pipeline_tbl[[#This Row],[Rep_ID]],Dim_Reps!A:A,Dim_Reps!B:B)</f>
        <v>Ben Silva</v>
      </c>
      <c r="P1751" t="str">
        <f>_xlfn.XLOOKUP(Pipeline_tbl[[#This Row],[Rep_ID]],Dim_Reps!A:A,Dim_Reps!C:C)</f>
        <v>SDR / Inside Sales Rep</v>
      </c>
      <c r="Q1751" t="str">
        <f>_xlfn.XLOOKUP(Pipeline_tbl[[#This Row],[Rep_ID]],Dim_Reps!A:A,Dim_Reps!D:D)</f>
        <v>Inside Sales</v>
      </c>
      <c r="R1751" t="str">
        <f>_xlfn.XLOOKUP(Pipeline_tbl[[#This Row],[Rep_ID]],Dim_Reps!A:A,Dim_Reps!E:E)</f>
        <v>LATAM</v>
      </c>
      <c r="S1751" t="str">
        <f>_xlfn.XLOOKUP(Pipeline_tbl[[#This Row],[Created_Date]],Dim_Date!A:A,Dim_Date!H:H)</f>
        <v>Nov 2025</v>
      </c>
      <c r="T1751" t="str">
        <f>IF(Pipeline_tbl[[#This Row],[Closed_Date]]=0,"",(_xlfn.XLOOKUP(Pipeline_tbl[[#This Row],[Closed_Date]],Dim_Date!A:A,Dim_Date!H:H)))</f>
        <v>Nov 2025</v>
      </c>
      <c r="U1751">
        <f>IF(Pipeline_tbl[[#This Row],[Closed_Date]]=0,"",Pipeline_tbl[[#This Row],[Closed_Date]]-Pipeline_tbl[[#This Row],[Created_Date]])</f>
        <v>17</v>
      </c>
    </row>
    <row r="1752" spans="1:21" ht="15" customHeight="1" x14ac:dyDescent="0.2">
      <c r="A1752" t="s">
        <v>2058</v>
      </c>
      <c r="B1752" t="s">
        <v>231</v>
      </c>
      <c r="C1752" t="s">
        <v>54</v>
      </c>
      <c r="D1752" s="49">
        <v>45966</v>
      </c>
      <c r="E1752" s="49">
        <v>45968</v>
      </c>
      <c r="F1752" s="49">
        <v>45971</v>
      </c>
      <c r="G1752" s="49">
        <v>45976</v>
      </c>
      <c r="H1752" s="49">
        <v>45980</v>
      </c>
      <c r="I1752" s="49">
        <v>45983</v>
      </c>
      <c r="J1752" t="s">
        <v>47</v>
      </c>
      <c r="K1752" s="33">
        <v>3300</v>
      </c>
      <c r="M1752" t="str">
        <f>_xlfn.XLOOKUP(Pipeline_tbl[[#This Row],[Rep_ID]],Dim_Reps!A:A,Dim_Reps!K:K)</f>
        <v>MXN</v>
      </c>
      <c r="N1752" s="33">
        <f>(_xlfn.XLOOKUP(Pipeline_tbl[[#This Row],[Rate_Code_Generalized]],Lookups!A:A,Lookups!B:B))*Pipeline_tbl[[#This Row],[Pipeline_Amount_USD]]</f>
        <v>65117.91</v>
      </c>
      <c r="O1752" t="str">
        <f>_xlfn.XLOOKUP(Pipeline_tbl[[#This Row],[Rep_ID]],Dim_Reps!A:A,Dim_Reps!B:B)</f>
        <v>Ben Silva</v>
      </c>
      <c r="P1752" t="str">
        <f>_xlfn.XLOOKUP(Pipeline_tbl[[#This Row],[Rep_ID]],Dim_Reps!A:A,Dim_Reps!C:C)</f>
        <v>SDR / Inside Sales Rep</v>
      </c>
      <c r="Q1752" t="str">
        <f>_xlfn.XLOOKUP(Pipeline_tbl[[#This Row],[Rep_ID]],Dim_Reps!A:A,Dim_Reps!D:D)</f>
        <v>Inside Sales</v>
      </c>
      <c r="R1752" t="str">
        <f>_xlfn.XLOOKUP(Pipeline_tbl[[#This Row],[Rep_ID]],Dim_Reps!A:A,Dim_Reps!E:E)</f>
        <v>LATAM</v>
      </c>
      <c r="S1752" t="str">
        <f>_xlfn.XLOOKUP(Pipeline_tbl[[#This Row],[Created_Date]],Dim_Date!A:A,Dim_Date!H:H)</f>
        <v>Nov 2025</v>
      </c>
      <c r="T1752" t="str">
        <f>IF(Pipeline_tbl[[#This Row],[Closed_Date]]=0,"",(_xlfn.XLOOKUP(Pipeline_tbl[[#This Row],[Closed_Date]],Dim_Date!A:A,Dim_Date!H:H)))</f>
        <v>Nov 2025</v>
      </c>
      <c r="U1752">
        <f>IF(Pipeline_tbl[[#This Row],[Closed_Date]]=0,"",Pipeline_tbl[[#This Row],[Closed_Date]]-Pipeline_tbl[[#This Row],[Created_Date]])</f>
        <v>17</v>
      </c>
    </row>
    <row r="1753" spans="1:21" ht="15" customHeight="1" x14ac:dyDescent="0.2">
      <c r="A1753" t="s">
        <v>2059</v>
      </c>
      <c r="B1753" t="s">
        <v>231</v>
      </c>
      <c r="C1753" t="s">
        <v>52</v>
      </c>
      <c r="D1753" s="49">
        <v>45964</v>
      </c>
      <c r="E1753" s="49">
        <v>45966</v>
      </c>
      <c r="F1753" s="49">
        <v>45969</v>
      </c>
      <c r="I1753" s="49">
        <v>45979</v>
      </c>
      <c r="J1753" t="s">
        <v>49</v>
      </c>
      <c r="K1753" s="33">
        <v>900</v>
      </c>
      <c r="L1753" t="s">
        <v>62</v>
      </c>
      <c r="M1753" t="str">
        <f>_xlfn.XLOOKUP(Pipeline_tbl[[#This Row],[Rep_ID]],Dim_Reps!A:A,Dim_Reps!K:K)</f>
        <v>MXN</v>
      </c>
      <c r="N1753" s="33">
        <f>(_xlfn.XLOOKUP(Pipeline_tbl[[#This Row],[Rate_Code_Generalized]],Lookups!A:A,Lookups!B:B))*Pipeline_tbl[[#This Row],[Pipeline_Amount_USD]]</f>
        <v>17759.43</v>
      </c>
      <c r="O1753" t="str">
        <f>_xlfn.XLOOKUP(Pipeline_tbl[[#This Row],[Rep_ID]],Dim_Reps!A:A,Dim_Reps!B:B)</f>
        <v>Ben Silva</v>
      </c>
      <c r="P1753" t="str">
        <f>_xlfn.XLOOKUP(Pipeline_tbl[[#This Row],[Rep_ID]],Dim_Reps!A:A,Dim_Reps!C:C)</f>
        <v>SDR / Inside Sales Rep</v>
      </c>
      <c r="Q1753" t="str">
        <f>_xlfn.XLOOKUP(Pipeline_tbl[[#This Row],[Rep_ID]],Dim_Reps!A:A,Dim_Reps!D:D)</f>
        <v>Inside Sales</v>
      </c>
      <c r="R1753" t="str">
        <f>_xlfn.XLOOKUP(Pipeline_tbl[[#This Row],[Rep_ID]],Dim_Reps!A:A,Dim_Reps!E:E)</f>
        <v>LATAM</v>
      </c>
      <c r="S1753" t="str">
        <f>_xlfn.XLOOKUP(Pipeline_tbl[[#This Row],[Created_Date]],Dim_Date!A:A,Dim_Date!H:H)</f>
        <v>Nov 2025</v>
      </c>
      <c r="T1753" t="str">
        <f>IF(Pipeline_tbl[[#This Row],[Closed_Date]]=0,"",(_xlfn.XLOOKUP(Pipeline_tbl[[#This Row],[Closed_Date]],Dim_Date!A:A,Dim_Date!H:H)))</f>
        <v>Nov 2025</v>
      </c>
      <c r="U1753">
        <f>IF(Pipeline_tbl[[#This Row],[Closed_Date]]=0,"",Pipeline_tbl[[#This Row],[Closed_Date]]-Pipeline_tbl[[#This Row],[Created_Date]])</f>
        <v>15</v>
      </c>
    </row>
    <row r="1754" spans="1:21" ht="15" customHeight="1" x14ac:dyDescent="0.2">
      <c r="A1754" t="s">
        <v>2060</v>
      </c>
      <c r="B1754" t="s">
        <v>231</v>
      </c>
      <c r="C1754" t="s">
        <v>54</v>
      </c>
      <c r="D1754" s="49">
        <v>45969</v>
      </c>
      <c r="E1754" s="49">
        <v>45970</v>
      </c>
      <c r="F1754" s="49">
        <v>45972</v>
      </c>
      <c r="G1754" s="49">
        <v>45976</v>
      </c>
      <c r="H1754" s="49">
        <v>45978</v>
      </c>
      <c r="I1754" s="49">
        <v>45980</v>
      </c>
      <c r="J1754" t="s">
        <v>47</v>
      </c>
      <c r="K1754" s="33">
        <v>3500</v>
      </c>
      <c r="M1754" t="str">
        <f>_xlfn.XLOOKUP(Pipeline_tbl[[#This Row],[Rep_ID]],Dim_Reps!A:A,Dim_Reps!K:K)</f>
        <v>MXN</v>
      </c>
      <c r="N1754" s="33">
        <f>(_xlfn.XLOOKUP(Pipeline_tbl[[#This Row],[Rate_Code_Generalized]],Lookups!A:A,Lookups!B:B))*Pipeline_tbl[[#This Row],[Pipeline_Amount_USD]]</f>
        <v>69064.45</v>
      </c>
      <c r="O1754" t="str">
        <f>_xlfn.XLOOKUP(Pipeline_tbl[[#This Row],[Rep_ID]],Dim_Reps!A:A,Dim_Reps!B:B)</f>
        <v>Ben Silva</v>
      </c>
      <c r="P1754" t="str">
        <f>_xlfn.XLOOKUP(Pipeline_tbl[[#This Row],[Rep_ID]],Dim_Reps!A:A,Dim_Reps!C:C)</f>
        <v>SDR / Inside Sales Rep</v>
      </c>
      <c r="Q1754" t="str">
        <f>_xlfn.XLOOKUP(Pipeline_tbl[[#This Row],[Rep_ID]],Dim_Reps!A:A,Dim_Reps!D:D)</f>
        <v>Inside Sales</v>
      </c>
      <c r="R1754" t="str">
        <f>_xlfn.XLOOKUP(Pipeline_tbl[[#This Row],[Rep_ID]],Dim_Reps!A:A,Dim_Reps!E:E)</f>
        <v>LATAM</v>
      </c>
      <c r="S1754" t="str">
        <f>_xlfn.XLOOKUP(Pipeline_tbl[[#This Row],[Created_Date]],Dim_Date!A:A,Dim_Date!H:H)</f>
        <v>Nov 2025</v>
      </c>
      <c r="T1754" t="str">
        <f>IF(Pipeline_tbl[[#This Row],[Closed_Date]]=0,"",(_xlfn.XLOOKUP(Pipeline_tbl[[#This Row],[Closed_Date]],Dim_Date!A:A,Dim_Date!H:H)))</f>
        <v>Nov 2025</v>
      </c>
      <c r="U1754">
        <f>IF(Pipeline_tbl[[#This Row],[Closed_Date]]=0,"",Pipeline_tbl[[#This Row],[Closed_Date]]-Pipeline_tbl[[#This Row],[Created_Date]])</f>
        <v>11</v>
      </c>
    </row>
    <row r="1755" spans="1:21" ht="15" customHeight="1" x14ac:dyDescent="0.2">
      <c r="A1755" t="s">
        <v>2061</v>
      </c>
      <c r="B1755" t="s">
        <v>231</v>
      </c>
      <c r="C1755" t="s">
        <v>56</v>
      </c>
      <c r="D1755" s="49">
        <v>45973</v>
      </c>
      <c r="E1755" s="49">
        <v>45974</v>
      </c>
      <c r="F1755" s="49">
        <v>45977</v>
      </c>
      <c r="G1755" s="49">
        <v>45981</v>
      </c>
      <c r="I1755" s="49">
        <v>45987</v>
      </c>
      <c r="J1755" t="s">
        <v>49</v>
      </c>
      <c r="K1755" s="33">
        <v>2600</v>
      </c>
      <c r="L1755" t="s">
        <v>64</v>
      </c>
      <c r="M1755" t="str">
        <f>_xlfn.XLOOKUP(Pipeline_tbl[[#This Row],[Rep_ID]],Dim_Reps!A:A,Dim_Reps!K:K)</f>
        <v>MXN</v>
      </c>
      <c r="N1755" s="33">
        <f>(_xlfn.XLOOKUP(Pipeline_tbl[[#This Row],[Rate_Code_Generalized]],Lookups!A:A,Lookups!B:B))*Pipeline_tbl[[#This Row],[Pipeline_Amount_USD]]</f>
        <v>51305.020000000004</v>
      </c>
      <c r="O1755" t="str">
        <f>_xlfn.XLOOKUP(Pipeline_tbl[[#This Row],[Rep_ID]],Dim_Reps!A:A,Dim_Reps!B:B)</f>
        <v>Ben Silva</v>
      </c>
      <c r="P1755" t="str">
        <f>_xlfn.XLOOKUP(Pipeline_tbl[[#This Row],[Rep_ID]],Dim_Reps!A:A,Dim_Reps!C:C)</f>
        <v>SDR / Inside Sales Rep</v>
      </c>
      <c r="Q1755" t="str">
        <f>_xlfn.XLOOKUP(Pipeline_tbl[[#This Row],[Rep_ID]],Dim_Reps!A:A,Dim_Reps!D:D)</f>
        <v>Inside Sales</v>
      </c>
      <c r="R1755" t="str">
        <f>_xlfn.XLOOKUP(Pipeline_tbl[[#This Row],[Rep_ID]],Dim_Reps!A:A,Dim_Reps!E:E)</f>
        <v>LATAM</v>
      </c>
      <c r="S1755" t="str">
        <f>_xlfn.XLOOKUP(Pipeline_tbl[[#This Row],[Created_Date]],Dim_Date!A:A,Dim_Date!H:H)</f>
        <v>Nov 2025</v>
      </c>
      <c r="T1755" t="str">
        <f>IF(Pipeline_tbl[[#This Row],[Closed_Date]]=0,"",(_xlfn.XLOOKUP(Pipeline_tbl[[#This Row],[Closed_Date]],Dim_Date!A:A,Dim_Date!H:H)))</f>
        <v>Nov 2025</v>
      </c>
      <c r="U1755">
        <f>IF(Pipeline_tbl[[#This Row],[Closed_Date]]=0,"",Pipeline_tbl[[#This Row],[Closed_Date]]-Pipeline_tbl[[#This Row],[Created_Date]])</f>
        <v>14</v>
      </c>
    </row>
    <row r="1756" spans="1:21" ht="15" customHeight="1" x14ac:dyDescent="0.2">
      <c r="A1756" t="s">
        <v>2062</v>
      </c>
      <c r="B1756" t="s">
        <v>231</v>
      </c>
      <c r="C1756" t="s">
        <v>52</v>
      </c>
      <c r="D1756" s="49">
        <v>45974</v>
      </c>
      <c r="E1756" s="49">
        <v>45976</v>
      </c>
      <c r="F1756" s="49">
        <v>45979</v>
      </c>
      <c r="I1756" s="49">
        <v>45991</v>
      </c>
      <c r="J1756" t="s">
        <v>49</v>
      </c>
      <c r="K1756" s="33">
        <v>6400</v>
      </c>
      <c r="L1756" t="s">
        <v>60</v>
      </c>
      <c r="M1756" t="str">
        <f>_xlfn.XLOOKUP(Pipeline_tbl[[#This Row],[Rep_ID]],Dim_Reps!A:A,Dim_Reps!K:K)</f>
        <v>MXN</v>
      </c>
      <c r="N1756" s="33">
        <f>(_xlfn.XLOOKUP(Pipeline_tbl[[#This Row],[Rate_Code_Generalized]],Lookups!A:A,Lookups!B:B))*Pipeline_tbl[[#This Row],[Pipeline_Amount_USD]]</f>
        <v>126289.28000000001</v>
      </c>
      <c r="O1756" t="str">
        <f>_xlfn.XLOOKUP(Pipeline_tbl[[#This Row],[Rep_ID]],Dim_Reps!A:A,Dim_Reps!B:B)</f>
        <v>Ben Silva</v>
      </c>
      <c r="P1756" t="str">
        <f>_xlfn.XLOOKUP(Pipeline_tbl[[#This Row],[Rep_ID]],Dim_Reps!A:A,Dim_Reps!C:C)</f>
        <v>SDR / Inside Sales Rep</v>
      </c>
      <c r="Q1756" t="str">
        <f>_xlfn.XLOOKUP(Pipeline_tbl[[#This Row],[Rep_ID]],Dim_Reps!A:A,Dim_Reps!D:D)</f>
        <v>Inside Sales</v>
      </c>
      <c r="R1756" t="str">
        <f>_xlfn.XLOOKUP(Pipeline_tbl[[#This Row],[Rep_ID]],Dim_Reps!A:A,Dim_Reps!E:E)</f>
        <v>LATAM</v>
      </c>
      <c r="S1756" t="str">
        <f>_xlfn.XLOOKUP(Pipeline_tbl[[#This Row],[Created_Date]],Dim_Date!A:A,Dim_Date!H:H)</f>
        <v>Nov 2025</v>
      </c>
      <c r="T1756" t="str">
        <f>IF(Pipeline_tbl[[#This Row],[Closed_Date]]=0,"",(_xlfn.XLOOKUP(Pipeline_tbl[[#This Row],[Closed_Date]],Dim_Date!A:A,Dim_Date!H:H)))</f>
        <v>Nov 2025</v>
      </c>
      <c r="U1756">
        <f>IF(Pipeline_tbl[[#This Row],[Closed_Date]]=0,"",Pipeline_tbl[[#This Row],[Closed_Date]]-Pipeline_tbl[[#This Row],[Created_Date]])</f>
        <v>17</v>
      </c>
    </row>
    <row r="1757" spans="1:21" ht="15" customHeight="1" x14ac:dyDescent="0.2">
      <c r="A1757" t="s">
        <v>2063</v>
      </c>
      <c r="B1757" t="s">
        <v>231</v>
      </c>
      <c r="C1757" t="s">
        <v>53</v>
      </c>
      <c r="D1757" s="49">
        <v>45963</v>
      </c>
      <c r="E1757" s="49">
        <v>45965</v>
      </c>
      <c r="F1757" s="49">
        <v>45969</v>
      </c>
      <c r="G1757" s="49">
        <v>45975</v>
      </c>
      <c r="H1757" s="49">
        <v>45980</v>
      </c>
      <c r="I1757" s="49">
        <v>45983</v>
      </c>
      <c r="J1757" t="s">
        <v>47</v>
      </c>
      <c r="K1757" s="33">
        <v>2300</v>
      </c>
      <c r="M1757" t="str">
        <f>_xlfn.XLOOKUP(Pipeline_tbl[[#This Row],[Rep_ID]],Dim_Reps!A:A,Dim_Reps!K:K)</f>
        <v>MXN</v>
      </c>
      <c r="N1757" s="33">
        <f>(_xlfn.XLOOKUP(Pipeline_tbl[[#This Row],[Rate_Code_Generalized]],Lookups!A:A,Lookups!B:B))*Pipeline_tbl[[#This Row],[Pipeline_Amount_USD]]</f>
        <v>45385.210000000006</v>
      </c>
      <c r="O1757" t="str">
        <f>_xlfn.XLOOKUP(Pipeline_tbl[[#This Row],[Rep_ID]],Dim_Reps!A:A,Dim_Reps!B:B)</f>
        <v>Ben Silva</v>
      </c>
      <c r="P1757" t="str">
        <f>_xlfn.XLOOKUP(Pipeline_tbl[[#This Row],[Rep_ID]],Dim_Reps!A:A,Dim_Reps!C:C)</f>
        <v>SDR / Inside Sales Rep</v>
      </c>
      <c r="Q1757" t="str">
        <f>_xlfn.XLOOKUP(Pipeline_tbl[[#This Row],[Rep_ID]],Dim_Reps!A:A,Dim_Reps!D:D)</f>
        <v>Inside Sales</v>
      </c>
      <c r="R1757" t="str">
        <f>_xlfn.XLOOKUP(Pipeline_tbl[[#This Row],[Rep_ID]],Dim_Reps!A:A,Dim_Reps!E:E)</f>
        <v>LATAM</v>
      </c>
      <c r="S1757" t="str">
        <f>_xlfn.XLOOKUP(Pipeline_tbl[[#This Row],[Created_Date]],Dim_Date!A:A,Dim_Date!H:H)</f>
        <v>Nov 2025</v>
      </c>
      <c r="T1757" t="str">
        <f>IF(Pipeline_tbl[[#This Row],[Closed_Date]]=0,"",(_xlfn.XLOOKUP(Pipeline_tbl[[#This Row],[Closed_Date]],Dim_Date!A:A,Dim_Date!H:H)))</f>
        <v>Nov 2025</v>
      </c>
      <c r="U1757">
        <f>IF(Pipeline_tbl[[#This Row],[Closed_Date]]=0,"",Pipeline_tbl[[#This Row],[Closed_Date]]-Pipeline_tbl[[#This Row],[Created_Date]])</f>
        <v>20</v>
      </c>
    </row>
    <row r="1758" spans="1:21" ht="15" customHeight="1" x14ac:dyDescent="0.2">
      <c r="A1758" t="s">
        <v>2064</v>
      </c>
      <c r="B1758" t="s">
        <v>231</v>
      </c>
      <c r="C1758" t="s">
        <v>52</v>
      </c>
      <c r="D1758" s="49">
        <v>45971</v>
      </c>
      <c r="E1758" s="49">
        <v>45973</v>
      </c>
      <c r="F1758" s="49">
        <v>45977</v>
      </c>
      <c r="G1758" s="49">
        <v>45983</v>
      </c>
      <c r="H1758" s="49">
        <v>45988</v>
      </c>
      <c r="I1758" s="49">
        <v>45991</v>
      </c>
      <c r="J1758" t="s">
        <v>49</v>
      </c>
      <c r="K1758" s="33">
        <v>3100</v>
      </c>
      <c r="L1758" t="s">
        <v>60</v>
      </c>
      <c r="M1758" t="str">
        <f>_xlfn.XLOOKUP(Pipeline_tbl[[#This Row],[Rep_ID]],Dim_Reps!A:A,Dim_Reps!K:K)</f>
        <v>MXN</v>
      </c>
      <c r="N1758" s="33">
        <f>(_xlfn.XLOOKUP(Pipeline_tbl[[#This Row],[Rate_Code_Generalized]],Lookups!A:A,Lookups!B:B))*Pipeline_tbl[[#This Row],[Pipeline_Amount_USD]]</f>
        <v>61171.37</v>
      </c>
      <c r="O1758" t="str">
        <f>_xlfn.XLOOKUP(Pipeline_tbl[[#This Row],[Rep_ID]],Dim_Reps!A:A,Dim_Reps!B:B)</f>
        <v>Ben Silva</v>
      </c>
      <c r="P1758" t="str">
        <f>_xlfn.XLOOKUP(Pipeline_tbl[[#This Row],[Rep_ID]],Dim_Reps!A:A,Dim_Reps!C:C)</f>
        <v>SDR / Inside Sales Rep</v>
      </c>
      <c r="Q1758" t="str">
        <f>_xlfn.XLOOKUP(Pipeline_tbl[[#This Row],[Rep_ID]],Dim_Reps!A:A,Dim_Reps!D:D)</f>
        <v>Inside Sales</v>
      </c>
      <c r="R1758" t="str">
        <f>_xlfn.XLOOKUP(Pipeline_tbl[[#This Row],[Rep_ID]],Dim_Reps!A:A,Dim_Reps!E:E)</f>
        <v>LATAM</v>
      </c>
      <c r="S1758" t="str">
        <f>_xlfn.XLOOKUP(Pipeline_tbl[[#This Row],[Created_Date]],Dim_Date!A:A,Dim_Date!H:H)</f>
        <v>Nov 2025</v>
      </c>
      <c r="T1758" t="str">
        <f>IF(Pipeline_tbl[[#This Row],[Closed_Date]]=0,"",(_xlfn.XLOOKUP(Pipeline_tbl[[#This Row],[Closed_Date]],Dim_Date!A:A,Dim_Date!H:H)))</f>
        <v>Nov 2025</v>
      </c>
      <c r="U1758">
        <f>IF(Pipeline_tbl[[#This Row],[Closed_Date]]=0,"",Pipeline_tbl[[#This Row],[Closed_Date]]-Pipeline_tbl[[#This Row],[Created_Date]])</f>
        <v>20</v>
      </c>
    </row>
    <row r="1759" spans="1:21" ht="15" customHeight="1" x14ac:dyDescent="0.2">
      <c r="A1759" t="s">
        <v>2065</v>
      </c>
      <c r="B1759" t="s">
        <v>231</v>
      </c>
      <c r="C1759" t="s">
        <v>55</v>
      </c>
      <c r="D1759" s="49">
        <v>45970</v>
      </c>
      <c r="E1759" s="49">
        <v>45971</v>
      </c>
      <c r="F1759" s="49">
        <v>45974</v>
      </c>
      <c r="I1759" s="49">
        <v>45984</v>
      </c>
      <c r="J1759" t="s">
        <v>49</v>
      </c>
      <c r="K1759" s="33">
        <v>2800</v>
      </c>
      <c r="L1759" t="s">
        <v>61</v>
      </c>
      <c r="M1759" t="str">
        <f>_xlfn.XLOOKUP(Pipeline_tbl[[#This Row],[Rep_ID]],Dim_Reps!A:A,Dim_Reps!K:K)</f>
        <v>MXN</v>
      </c>
      <c r="N1759" s="33">
        <f>(_xlfn.XLOOKUP(Pipeline_tbl[[#This Row],[Rate_Code_Generalized]],Lookups!A:A,Lookups!B:B))*Pipeline_tbl[[#This Row],[Pipeline_Amount_USD]]</f>
        <v>55251.560000000005</v>
      </c>
      <c r="O1759" t="str">
        <f>_xlfn.XLOOKUP(Pipeline_tbl[[#This Row],[Rep_ID]],Dim_Reps!A:A,Dim_Reps!B:B)</f>
        <v>Ben Silva</v>
      </c>
      <c r="P1759" t="str">
        <f>_xlfn.XLOOKUP(Pipeline_tbl[[#This Row],[Rep_ID]],Dim_Reps!A:A,Dim_Reps!C:C)</f>
        <v>SDR / Inside Sales Rep</v>
      </c>
      <c r="Q1759" t="str">
        <f>_xlfn.XLOOKUP(Pipeline_tbl[[#This Row],[Rep_ID]],Dim_Reps!A:A,Dim_Reps!D:D)</f>
        <v>Inside Sales</v>
      </c>
      <c r="R1759" t="str">
        <f>_xlfn.XLOOKUP(Pipeline_tbl[[#This Row],[Rep_ID]],Dim_Reps!A:A,Dim_Reps!E:E)</f>
        <v>LATAM</v>
      </c>
      <c r="S1759" t="str">
        <f>_xlfn.XLOOKUP(Pipeline_tbl[[#This Row],[Created_Date]],Dim_Date!A:A,Dim_Date!H:H)</f>
        <v>Nov 2025</v>
      </c>
      <c r="T1759" t="str">
        <f>IF(Pipeline_tbl[[#This Row],[Closed_Date]]=0,"",(_xlfn.XLOOKUP(Pipeline_tbl[[#This Row],[Closed_Date]],Dim_Date!A:A,Dim_Date!H:H)))</f>
        <v>Nov 2025</v>
      </c>
      <c r="U1759">
        <f>IF(Pipeline_tbl[[#This Row],[Closed_Date]]=0,"",Pipeline_tbl[[#This Row],[Closed_Date]]-Pipeline_tbl[[#This Row],[Created_Date]])</f>
        <v>14</v>
      </c>
    </row>
    <row r="1760" spans="1:21" ht="15" customHeight="1" x14ac:dyDescent="0.2">
      <c r="A1760" t="s">
        <v>2066</v>
      </c>
      <c r="B1760" t="s">
        <v>231</v>
      </c>
      <c r="C1760" t="s">
        <v>54</v>
      </c>
      <c r="D1760" s="49">
        <v>45962</v>
      </c>
      <c r="E1760" s="49">
        <v>45963</v>
      </c>
      <c r="F1760" s="49">
        <v>45965</v>
      </c>
      <c r="G1760" s="49">
        <v>45967</v>
      </c>
      <c r="I1760" s="49">
        <v>45971</v>
      </c>
      <c r="J1760" t="s">
        <v>49</v>
      </c>
      <c r="K1760" s="33">
        <v>3100</v>
      </c>
      <c r="L1760" t="s">
        <v>61</v>
      </c>
      <c r="M1760" t="str">
        <f>_xlfn.XLOOKUP(Pipeline_tbl[[#This Row],[Rep_ID]],Dim_Reps!A:A,Dim_Reps!K:K)</f>
        <v>MXN</v>
      </c>
      <c r="N1760" s="33">
        <f>(_xlfn.XLOOKUP(Pipeline_tbl[[#This Row],[Rate_Code_Generalized]],Lookups!A:A,Lookups!B:B))*Pipeline_tbl[[#This Row],[Pipeline_Amount_USD]]</f>
        <v>61171.37</v>
      </c>
      <c r="O1760" t="str">
        <f>_xlfn.XLOOKUP(Pipeline_tbl[[#This Row],[Rep_ID]],Dim_Reps!A:A,Dim_Reps!B:B)</f>
        <v>Ben Silva</v>
      </c>
      <c r="P1760" t="str">
        <f>_xlfn.XLOOKUP(Pipeline_tbl[[#This Row],[Rep_ID]],Dim_Reps!A:A,Dim_Reps!C:C)</f>
        <v>SDR / Inside Sales Rep</v>
      </c>
      <c r="Q1760" t="str">
        <f>_xlfn.XLOOKUP(Pipeline_tbl[[#This Row],[Rep_ID]],Dim_Reps!A:A,Dim_Reps!D:D)</f>
        <v>Inside Sales</v>
      </c>
      <c r="R1760" t="str">
        <f>_xlfn.XLOOKUP(Pipeline_tbl[[#This Row],[Rep_ID]],Dim_Reps!A:A,Dim_Reps!E:E)</f>
        <v>LATAM</v>
      </c>
      <c r="S1760" t="str">
        <f>_xlfn.XLOOKUP(Pipeline_tbl[[#This Row],[Created_Date]],Dim_Date!A:A,Dim_Date!H:H)</f>
        <v>Nov 2025</v>
      </c>
      <c r="T1760" t="str">
        <f>IF(Pipeline_tbl[[#This Row],[Closed_Date]]=0,"",(_xlfn.XLOOKUP(Pipeline_tbl[[#This Row],[Closed_Date]],Dim_Date!A:A,Dim_Date!H:H)))</f>
        <v>Nov 2025</v>
      </c>
      <c r="U1760">
        <f>IF(Pipeline_tbl[[#This Row],[Closed_Date]]=0,"",Pipeline_tbl[[#This Row],[Closed_Date]]-Pipeline_tbl[[#This Row],[Created_Date]])</f>
        <v>9</v>
      </c>
    </row>
    <row r="1761" spans="1:21" ht="15" customHeight="1" x14ac:dyDescent="0.2">
      <c r="A1761" t="s">
        <v>2067</v>
      </c>
      <c r="B1761" t="s">
        <v>231</v>
      </c>
      <c r="C1761" t="s">
        <v>52</v>
      </c>
      <c r="D1761" s="49">
        <v>45974</v>
      </c>
      <c r="E1761" s="49">
        <v>45976</v>
      </c>
      <c r="F1761" s="49">
        <v>45979</v>
      </c>
      <c r="G1761" s="49">
        <v>45984</v>
      </c>
      <c r="H1761" s="49">
        <v>45988</v>
      </c>
      <c r="I1761" s="49">
        <v>45990</v>
      </c>
      <c r="J1761" t="s">
        <v>47</v>
      </c>
      <c r="K1761" s="33">
        <v>1900</v>
      </c>
      <c r="M1761" t="str">
        <f>_xlfn.XLOOKUP(Pipeline_tbl[[#This Row],[Rep_ID]],Dim_Reps!A:A,Dim_Reps!K:K)</f>
        <v>MXN</v>
      </c>
      <c r="N1761" s="33">
        <f>(_xlfn.XLOOKUP(Pipeline_tbl[[#This Row],[Rate_Code_Generalized]],Lookups!A:A,Lookups!B:B))*Pipeline_tbl[[#This Row],[Pipeline_Amount_USD]]</f>
        <v>37492.130000000005</v>
      </c>
      <c r="O1761" t="str">
        <f>_xlfn.XLOOKUP(Pipeline_tbl[[#This Row],[Rep_ID]],Dim_Reps!A:A,Dim_Reps!B:B)</f>
        <v>Ben Silva</v>
      </c>
      <c r="P1761" t="str">
        <f>_xlfn.XLOOKUP(Pipeline_tbl[[#This Row],[Rep_ID]],Dim_Reps!A:A,Dim_Reps!C:C)</f>
        <v>SDR / Inside Sales Rep</v>
      </c>
      <c r="Q1761" t="str">
        <f>_xlfn.XLOOKUP(Pipeline_tbl[[#This Row],[Rep_ID]],Dim_Reps!A:A,Dim_Reps!D:D)</f>
        <v>Inside Sales</v>
      </c>
      <c r="R1761" t="str">
        <f>_xlfn.XLOOKUP(Pipeline_tbl[[#This Row],[Rep_ID]],Dim_Reps!A:A,Dim_Reps!E:E)</f>
        <v>LATAM</v>
      </c>
      <c r="S1761" t="str">
        <f>_xlfn.XLOOKUP(Pipeline_tbl[[#This Row],[Created_Date]],Dim_Date!A:A,Dim_Date!H:H)</f>
        <v>Nov 2025</v>
      </c>
      <c r="T1761" t="str">
        <f>IF(Pipeline_tbl[[#This Row],[Closed_Date]]=0,"",(_xlfn.XLOOKUP(Pipeline_tbl[[#This Row],[Closed_Date]],Dim_Date!A:A,Dim_Date!H:H)))</f>
        <v>Nov 2025</v>
      </c>
      <c r="U1761">
        <f>IF(Pipeline_tbl[[#This Row],[Closed_Date]]=0,"",Pipeline_tbl[[#This Row],[Closed_Date]]-Pipeline_tbl[[#This Row],[Created_Date]])</f>
        <v>16</v>
      </c>
    </row>
    <row r="1762" spans="1:21" ht="15" customHeight="1" x14ac:dyDescent="0.2">
      <c r="A1762" t="s">
        <v>2068</v>
      </c>
      <c r="B1762" t="s">
        <v>231</v>
      </c>
      <c r="C1762" t="s">
        <v>54</v>
      </c>
      <c r="D1762" s="49">
        <v>45969</v>
      </c>
      <c r="E1762" s="49">
        <v>45970</v>
      </c>
      <c r="F1762" s="49">
        <v>45972</v>
      </c>
      <c r="G1762" s="49">
        <v>45974</v>
      </c>
      <c r="H1762" s="49">
        <v>45977</v>
      </c>
      <c r="I1762" s="49">
        <v>45978</v>
      </c>
      <c r="J1762" t="s">
        <v>49</v>
      </c>
      <c r="K1762" s="33">
        <v>2300</v>
      </c>
      <c r="L1762" t="s">
        <v>61</v>
      </c>
      <c r="M1762" t="str">
        <f>_xlfn.XLOOKUP(Pipeline_tbl[[#This Row],[Rep_ID]],Dim_Reps!A:A,Dim_Reps!K:K)</f>
        <v>MXN</v>
      </c>
      <c r="N1762" s="33">
        <f>(_xlfn.XLOOKUP(Pipeline_tbl[[#This Row],[Rate_Code_Generalized]],Lookups!A:A,Lookups!B:B))*Pipeline_tbl[[#This Row],[Pipeline_Amount_USD]]</f>
        <v>45385.210000000006</v>
      </c>
      <c r="O1762" t="str">
        <f>_xlfn.XLOOKUP(Pipeline_tbl[[#This Row],[Rep_ID]],Dim_Reps!A:A,Dim_Reps!B:B)</f>
        <v>Ben Silva</v>
      </c>
      <c r="P1762" t="str">
        <f>_xlfn.XLOOKUP(Pipeline_tbl[[#This Row],[Rep_ID]],Dim_Reps!A:A,Dim_Reps!C:C)</f>
        <v>SDR / Inside Sales Rep</v>
      </c>
      <c r="Q1762" t="str">
        <f>_xlfn.XLOOKUP(Pipeline_tbl[[#This Row],[Rep_ID]],Dim_Reps!A:A,Dim_Reps!D:D)</f>
        <v>Inside Sales</v>
      </c>
      <c r="R1762" t="str">
        <f>_xlfn.XLOOKUP(Pipeline_tbl[[#This Row],[Rep_ID]],Dim_Reps!A:A,Dim_Reps!E:E)</f>
        <v>LATAM</v>
      </c>
      <c r="S1762" t="str">
        <f>_xlfn.XLOOKUP(Pipeline_tbl[[#This Row],[Created_Date]],Dim_Date!A:A,Dim_Date!H:H)</f>
        <v>Nov 2025</v>
      </c>
      <c r="T1762" t="str">
        <f>IF(Pipeline_tbl[[#This Row],[Closed_Date]]=0,"",(_xlfn.XLOOKUP(Pipeline_tbl[[#This Row],[Closed_Date]],Dim_Date!A:A,Dim_Date!H:H)))</f>
        <v>Nov 2025</v>
      </c>
      <c r="U1762">
        <f>IF(Pipeline_tbl[[#This Row],[Closed_Date]]=0,"",Pipeline_tbl[[#This Row],[Closed_Date]]-Pipeline_tbl[[#This Row],[Created_Date]])</f>
        <v>9</v>
      </c>
    </row>
    <row r="1763" spans="1:21" ht="15" customHeight="1" x14ac:dyDescent="0.2">
      <c r="A1763" t="s">
        <v>2069</v>
      </c>
      <c r="B1763" t="s">
        <v>231</v>
      </c>
      <c r="C1763" t="s">
        <v>56</v>
      </c>
      <c r="D1763" s="49">
        <v>45965</v>
      </c>
      <c r="E1763" s="49">
        <v>45967</v>
      </c>
      <c r="F1763" s="49">
        <v>45972</v>
      </c>
      <c r="G1763" s="49">
        <v>45979</v>
      </c>
      <c r="H1763" s="49">
        <v>45985</v>
      </c>
      <c r="I1763" s="49">
        <v>45989</v>
      </c>
      <c r="J1763" t="s">
        <v>47</v>
      </c>
      <c r="K1763" s="33">
        <v>4700</v>
      </c>
      <c r="M1763" t="str">
        <f>_xlfn.XLOOKUP(Pipeline_tbl[[#This Row],[Rep_ID]],Dim_Reps!A:A,Dim_Reps!K:K)</f>
        <v>MXN</v>
      </c>
      <c r="N1763" s="33">
        <f>(_xlfn.XLOOKUP(Pipeline_tbl[[#This Row],[Rate_Code_Generalized]],Lookups!A:A,Lookups!B:B))*Pipeline_tbl[[#This Row],[Pipeline_Amount_USD]]</f>
        <v>92743.69</v>
      </c>
      <c r="O1763" t="str">
        <f>_xlfn.XLOOKUP(Pipeline_tbl[[#This Row],[Rep_ID]],Dim_Reps!A:A,Dim_Reps!B:B)</f>
        <v>Ben Silva</v>
      </c>
      <c r="P1763" t="str">
        <f>_xlfn.XLOOKUP(Pipeline_tbl[[#This Row],[Rep_ID]],Dim_Reps!A:A,Dim_Reps!C:C)</f>
        <v>SDR / Inside Sales Rep</v>
      </c>
      <c r="Q1763" t="str">
        <f>_xlfn.XLOOKUP(Pipeline_tbl[[#This Row],[Rep_ID]],Dim_Reps!A:A,Dim_Reps!D:D)</f>
        <v>Inside Sales</v>
      </c>
      <c r="R1763" t="str">
        <f>_xlfn.XLOOKUP(Pipeline_tbl[[#This Row],[Rep_ID]],Dim_Reps!A:A,Dim_Reps!E:E)</f>
        <v>LATAM</v>
      </c>
      <c r="S1763" t="str">
        <f>_xlfn.XLOOKUP(Pipeline_tbl[[#This Row],[Created_Date]],Dim_Date!A:A,Dim_Date!H:H)</f>
        <v>Nov 2025</v>
      </c>
      <c r="T1763" t="str">
        <f>IF(Pipeline_tbl[[#This Row],[Closed_Date]]=0,"",(_xlfn.XLOOKUP(Pipeline_tbl[[#This Row],[Closed_Date]],Dim_Date!A:A,Dim_Date!H:H)))</f>
        <v>Nov 2025</v>
      </c>
      <c r="U1763">
        <f>IF(Pipeline_tbl[[#This Row],[Closed_Date]]=0,"",Pipeline_tbl[[#This Row],[Closed_Date]]-Pipeline_tbl[[#This Row],[Created_Date]])</f>
        <v>24</v>
      </c>
    </row>
    <row r="1764" spans="1:21" ht="15" customHeight="1" x14ac:dyDescent="0.2">
      <c r="A1764" t="s">
        <v>2070</v>
      </c>
      <c r="B1764" t="s">
        <v>231</v>
      </c>
      <c r="C1764" t="s">
        <v>54</v>
      </c>
      <c r="D1764" s="49">
        <v>45965</v>
      </c>
      <c r="E1764" s="49">
        <v>45967</v>
      </c>
      <c r="F1764" s="49">
        <v>45970</v>
      </c>
      <c r="G1764" s="49">
        <v>45975</v>
      </c>
      <c r="H1764" s="49">
        <v>45979</v>
      </c>
      <c r="I1764" s="49">
        <v>45981</v>
      </c>
      <c r="J1764" t="s">
        <v>47</v>
      </c>
      <c r="K1764" s="33">
        <v>7300</v>
      </c>
      <c r="M1764" t="str">
        <f>_xlfn.XLOOKUP(Pipeline_tbl[[#This Row],[Rep_ID]],Dim_Reps!A:A,Dim_Reps!K:K)</f>
        <v>MXN</v>
      </c>
      <c r="N1764" s="33">
        <f>(_xlfn.XLOOKUP(Pipeline_tbl[[#This Row],[Rate_Code_Generalized]],Lookups!A:A,Lookups!B:B))*Pipeline_tbl[[#This Row],[Pipeline_Amount_USD]]</f>
        <v>144048.71000000002</v>
      </c>
      <c r="O1764" t="str">
        <f>_xlfn.XLOOKUP(Pipeline_tbl[[#This Row],[Rep_ID]],Dim_Reps!A:A,Dim_Reps!B:B)</f>
        <v>Ben Silva</v>
      </c>
      <c r="P1764" t="str">
        <f>_xlfn.XLOOKUP(Pipeline_tbl[[#This Row],[Rep_ID]],Dim_Reps!A:A,Dim_Reps!C:C)</f>
        <v>SDR / Inside Sales Rep</v>
      </c>
      <c r="Q1764" t="str">
        <f>_xlfn.XLOOKUP(Pipeline_tbl[[#This Row],[Rep_ID]],Dim_Reps!A:A,Dim_Reps!D:D)</f>
        <v>Inside Sales</v>
      </c>
      <c r="R1764" t="str">
        <f>_xlfn.XLOOKUP(Pipeline_tbl[[#This Row],[Rep_ID]],Dim_Reps!A:A,Dim_Reps!E:E)</f>
        <v>LATAM</v>
      </c>
      <c r="S1764" t="str">
        <f>_xlfn.XLOOKUP(Pipeline_tbl[[#This Row],[Created_Date]],Dim_Date!A:A,Dim_Date!H:H)</f>
        <v>Nov 2025</v>
      </c>
      <c r="T1764" t="str">
        <f>IF(Pipeline_tbl[[#This Row],[Closed_Date]]=0,"",(_xlfn.XLOOKUP(Pipeline_tbl[[#This Row],[Closed_Date]],Dim_Date!A:A,Dim_Date!H:H)))</f>
        <v>Nov 2025</v>
      </c>
      <c r="U1764">
        <f>IF(Pipeline_tbl[[#This Row],[Closed_Date]]=0,"",Pipeline_tbl[[#This Row],[Closed_Date]]-Pipeline_tbl[[#This Row],[Created_Date]])</f>
        <v>16</v>
      </c>
    </row>
    <row r="1765" spans="1:21" ht="15" customHeight="1" x14ac:dyDescent="0.2">
      <c r="A1765" t="s">
        <v>2071</v>
      </c>
      <c r="B1765" t="s">
        <v>263</v>
      </c>
      <c r="C1765" t="s">
        <v>52</v>
      </c>
      <c r="D1765" s="49">
        <v>45962</v>
      </c>
      <c r="E1765" s="49">
        <v>45964</v>
      </c>
      <c r="F1765" s="49">
        <v>45969</v>
      </c>
      <c r="G1765" s="49">
        <v>45975</v>
      </c>
      <c r="H1765" s="49">
        <v>45981</v>
      </c>
      <c r="I1765" s="49">
        <v>45984</v>
      </c>
      <c r="J1765" t="s">
        <v>47</v>
      </c>
      <c r="K1765" s="33">
        <v>29300</v>
      </c>
      <c r="M1765" t="str">
        <f>_xlfn.XLOOKUP(Pipeline_tbl[[#This Row],[Rep_ID]],Dim_Reps!A:A,Dim_Reps!K:K)</f>
        <v>USD</v>
      </c>
      <c r="N1765" s="33">
        <f>(_xlfn.XLOOKUP(Pipeline_tbl[[#This Row],[Rate_Code_Generalized]],Lookups!A:A,Lookups!B:B))*Pipeline_tbl[[#This Row],[Pipeline_Amount_USD]]</f>
        <v>34113.99</v>
      </c>
      <c r="O1765" t="str">
        <f>_xlfn.XLOOKUP(Pipeline_tbl[[#This Row],[Rep_ID]],Dim_Reps!A:A,Dim_Reps!B:B)</f>
        <v>Morgan Weber</v>
      </c>
      <c r="P1765" t="str">
        <f>_xlfn.XLOOKUP(Pipeline_tbl[[#This Row],[Rep_ID]],Dim_Reps!A:A,Dim_Reps!C:C)</f>
        <v>Mid-Market AE</v>
      </c>
      <c r="Q1765" t="str">
        <f>_xlfn.XLOOKUP(Pipeline_tbl[[#This Row],[Rep_ID]],Dim_Reps!A:A,Dim_Reps!D:D)</f>
        <v>Mid-Market</v>
      </c>
      <c r="R1765" t="str">
        <f>_xlfn.XLOOKUP(Pipeline_tbl[[#This Row],[Rep_ID]],Dim_Reps!A:A,Dim_Reps!E:E)</f>
        <v>NAMER</v>
      </c>
      <c r="S1765" t="str">
        <f>_xlfn.XLOOKUP(Pipeline_tbl[[#This Row],[Created_Date]],Dim_Date!A:A,Dim_Date!H:H)</f>
        <v>Nov 2025</v>
      </c>
      <c r="T1765" t="str">
        <f>IF(Pipeline_tbl[[#This Row],[Closed_Date]]=0,"",(_xlfn.XLOOKUP(Pipeline_tbl[[#This Row],[Closed_Date]],Dim_Date!A:A,Dim_Date!H:H)))</f>
        <v>Nov 2025</v>
      </c>
      <c r="U1765">
        <f>IF(Pipeline_tbl[[#This Row],[Closed_Date]]=0,"",Pipeline_tbl[[#This Row],[Closed_Date]]-Pipeline_tbl[[#This Row],[Created_Date]])</f>
        <v>22</v>
      </c>
    </row>
    <row r="1766" spans="1:21" ht="15" customHeight="1" x14ac:dyDescent="0.2">
      <c r="A1766" t="s">
        <v>2072</v>
      </c>
      <c r="B1766" t="s">
        <v>233</v>
      </c>
      <c r="C1766" t="s">
        <v>55</v>
      </c>
      <c r="D1766" s="49">
        <v>45976</v>
      </c>
      <c r="E1766" s="49">
        <v>45977</v>
      </c>
      <c r="F1766" s="49">
        <v>45980</v>
      </c>
      <c r="I1766" s="49">
        <v>45990</v>
      </c>
      <c r="J1766" t="s">
        <v>49</v>
      </c>
      <c r="K1766" s="33">
        <v>3600</v>
      </c>
      <c r="L1766" t="s">
        <v>63</v>
      </c>
      <c r="M1766" t="str">
        <f>_xlfn.XLOOKUP(Pipeline_tbl[[#This Row],[Rep_ID]],Dim_Reps!A:A,Dim_Reps!K:K)</f>
        <v>MXN</v>
      </c>
      <c r="N1766" s="33">
        <f>(_xlfn.XLOOKUP(Pipeline_tbl[[#This Row],[Rate_Code_Generalized]],Lookups!A:A,Lookups!B:B))*Pipeline_tbl[[#This Row],[Pipeline_Amount_USD]]</f>
        <v>71037.72</v>
      </c>
      <c r="O1766" t="str">
        <f>_xlfn.XLOOKUP(Pipeline_tbl[[#This Row],[Rep_ID]],Dim_Reps!A:A,Dim_Reps!B:B)</f>
        <v>Lucas Duarte</v>
      </c>
      <c r="P1766" t="str">
        <f>_xlfn.XLOOKUP(Pipeline_tbl[[#This Row],[Rep_ID]],Dim_Reps!A:A,Dim_Reps!C:C)</f>
        <v>SDR / Inside Sales Rep</v>
      </c>
      <c r="Q1766" t="str">
        <f>_xlfn.XLOOKUP(Pipeline_tbl[[#This Row],[Rep_ID]],Dim_Reps!A:A,Dim_Reps!D:D)</f>
        <v>Inside Sales</v>
      </c>
      <c r="R1766" t="str">
        <f>_xlfn.XLOOKUP(Pipeline_tbl[[#This Row],[Rep_ID]],Dim_Reps!A:A,Dim_Reps!E:E)</f>
        <v>LATAM</v>
      </c>
      <c r="S1766" t="str">
        <f>_xlfn.XLOOKUP(Pipeline_tbl[[#This Row],[Created_Date]],Dim_Date!A:A,Dim_Date!H:H)</f>
        <v>Nov 2025</v>
      </c>
      <c r="T1766" t="str">
        <f>IF(Pipeline_tbl[[#This Row],[Closed_Date]]=0,"",(_xlfn.XLOOKUP(Pipeline_tbl[[#This Row],[Closed_Date]],Dim_Date!A:A,Dim_Date!H:H)))</f>
        <v>Nov 2025</v>
      </c>
      <c r="U1766">
        <f>IF(Pipeline_tbl[[#This Row],[Closed_Date]]=0,"",Pipeline_tbl[[#This Row],[Closed_Date]]-Pipeline_tbl[[#This Row],[Created_Date]])</f>
        <v>14</v>
      </c>
    </row>
    <row r="1767" spans="1:21" ht="15" customHeight="1" x14ac:dyDescent="0.2">
      <c r="A1767" t="s">
        <v>2073</v>
      </c>
      <c r="B1767" t="s">
        <v>233</v>
      </c>
      <c r="C1767" t="s">
        <v>52</v>
      </c>
      <c r="D1767" s="49">
        <v>45962</v>
      </c>
      <c r="E1767" s="49">
        <v>45962</v>
      </c>
      <c r="F1767" s="49">
        <v>45964</v>
      </c>
      <c r="I1767" s="49">
        <v>45967</v>
      </c>
      <c r="J1767" t="s">
        <v>49</v>
      </c>
      <c r="K1767" s="33">
        <v>3000</v>
      </c>
      <c r="L1767" t="s">
        <v>61</v>
      </c>
      <c r="M1767" t="str">
        <f>_xlfn.XLOOKUP(Pipeline_tbl[[#This Row],[Rep_ID]],Dim_Reps!A:A,Dim_Reps!K:K)</f>
        <v>MXN</v>
      </c>
      <c r="N1767" s="33">
        <f>(_xlfn.XLOOKUP(Pipeline_tbl[[#This Row],[Rate_Code_Generalized]],Lookups!A:A,Lookups!B:B))*Pipeline_tbl[[#This Row],[Pipeline_Amount_USD]]</f>
        <v>59198.100000000006</v>
      </c>
      <c r="O1767" t="str">
        <f>_xlfn.XLOOKUP(Pipeline_tbl[[#This Row],[Rep_ID]],Dim_Reps!A:A,Dim_Reps!B:B)</f>
        <v>Lucas Duarte</v>
      </c>
      <c r="P1767" t="str">
        <f>_xlfn.XLOOKUP(Pipeline_tbl[[#This Row],[Rep_ID]],Dim_Reps!A:A,Dim_Reps!C:C)</f>
        <v>SDR / Inside Sales Rep</v>
      </c>
      <c r="Q1767" t="str">
        <f>_xlfn.XLOOKUP(Pipeline_tbl[[#This Row],[Rep_ID]],Dim_Reps!A:A,Dim_Reps!D:D)</f>
        <v>Inside Sales</v>
      </c>
      <c r="R1767" t="str">
        <f>_xlfn.XLOOKUP(Pipeline_tbl[[#This Row],[Rep_ID]],Dim_Reps!A:A,Dim_Reps!E:E)</f>
        <v>LATAM</v>
      </c>
      <c r="S1767" t="str">
        <f>_xlfn.XLOOKUP(Pipeline_tbl[[#This Row],[Created_Date]],Dim_Date!A:A,Dim_Date!H:H)</f>
        <v>Nov 2025</v>
      </c>
      <c r="T1767" t="str">
        <f>IF(Pipeline_tbl[[#This Row],[Closed_Date]]=0,"",(_xlfn.XLOOKUP(Pipeline_tbl[[#This Row],[Closed_Date]],Dim_Date!A:A,Dim_Date!H:H)))</f>
        <v>Nov 2025</v>
      </c>
      <c r="U1767">
        <f>IF(Pipeline_tbl[[#This Row],[Closed_Date]]=0,"",Pipeline_tbl[[#This Row],[Closed_Date]]-Pipeline_tbl[[#This Row],[Created_Date]])</f>
        <v>5</v>
      </c>
    </row>
    <row r="1768" spans="1:21" ht="15" customHeight="1" x14ac:dyDescent="0.2">
      <c r="A1768" t="s">
        <v>2074</v>
      </c>
      <c r="B1768" t="s">
        <v>233</v>
      </c>
      <c r="C1768" t="s">
        <v>53</v>
      </c>
      <c r="D1768" s="49">
        <v>45980</v>
      </c>
      <c r="E1768" s="49">
        <v>45981</v>
      </c>
      <c r="F1768" s="49">
        <v>45983</v>
      </c>
      <c r="G1768" s="49">
        <v>45986</v>
      </c>
      <c r="H1768" s="49">
        <v>45988</v>
      </c>
      <c r="I1768" s="49">
        <v>45990</v>
      </c>
      <c r="J1768" t="s">
        <v>49</v>
      </c>
      <c r="K1768" s="33">
        <v>4600</v>
      </c>
      <c r="L1768" t="s">
        <v>61</v>
      </c>
      <c r="M1768" t="str">
        <f>_xlfn.XLOOKUP(Pipeline_tbl[[#This Row],[Rep_ID]],Dim_Reps!A:A,Dim_Reps!K:K)</f>
        <v>MXN</v>
      </c>
      <c r="N1768" s="33">
        <f>(_xlfn.XLOOKUP(Pipeline_tbl[[#This Row],[Rate_Code_Generalized]],Lookups!A:A,Lookups!B:B))*Pipeline_tbl[[#This Row],[Pipeline_Amount_USD]]</f>
        <v>90770.420000000013</v>
      </c>
      <c r="O1768" t="str">
        <f>_xlfn.XLOOKUP(Pipeline_tbl[[#This Row],[Rep_ID]],Dim_Reps!A:A,Dim_Reps!B:B)</f>
        <v>Lucas Duarte</v>
      </c>
      <c r="P1768" t="str">
        <f>_xlfn.XLOOKUP(Pipeline_tbl[[#This Row],[Rep_ID]],Dim_Reps!A:A,Dim_Reps!C:C)</f>
        <v>SDR / Inside Sales Rep</v>
      </c>
      <c r="Q1768" t="str">
        <f>_xlfn.XLOOKUP(Pipeline_tbl[[#This Row],[Rep_ID]],Dim_Reps!A:A,Dim_Reps!D:D)</f>
        <v>Inside Sales</v>
      </c>
      <c r="R1768" t="str">
        <f>_xlfn.XLOOKUP(Pipeline_tbl[[#This Row],[Rep_ID]],Dim_Reps!A:A,Dim_Reps!E:E)</f>
        <v>LATAM</v>
      </c>
      <c r="S1768" t="str">
        <f>_xlfn.XLOOKUP(Pipeline_tbl[[#This Row],[Created_Date]],Dim_Date!A:A,Dim_Date!H:H)</f>
        <v>Nov 2025</v>
      </c>
      <c r="T1768" t="str">
        <f>IF(Pipeline_tbl[[#This Row],[Closed_Date]]=0,"",(_xlfn.XLOOKUP(Pipeline_tbl[[#This Row],[Closed_Date]],Dim_Date!A:A,Dim_Date!H:H)))</f>
        <v>Nov 2025</v>
      </c>
      <c r="U1768">
        <f>IF(Pipeline_tbl[[#This Row],[Closed_Date]]=0,"",Pipeline_tbl[[#This Row],[Closed_Date]]-Pipeline_tbl[[#This Row],[Created_Date]])</f>
        <v>10</v>
      </c>
    </row>
    <row r="1769" spans="1:21" ht="15" customHeight="1" x14ac:dyDescent="0.2">
      <c r="A1769" t="s">
        <v>2075</v>
      </c>
      <c r="B1769" t="s">
        <v>233</v>
      </c>
      <c r="C1769" t="s">
        <v>55</v>
      </c>
      <c r="D1769" s="49">
        <v>45965</v>
      </c>
      <c r="E1769" s="49">
        <v>45966</v>
      </c>
      <c r="F1769" s="49">
        <v>45969</v>
      </c>
      <c r="I1769" s="49">
        <v>45978</v>
      </c>
      <c r="J1769" t="s">
        <v>49</v>
      </c>
      <c r="K1769" s="33">
        <v>6200</v>
      </c>
      <c r="L1769" t="s">
        <v>64</v>
      </c>
      <c r="M1769" t="str">
        <f>_xlfn.XLOOKUP(Pipeline_tbl[[#This Row],[Rep_ID]],Dim_Reps!A:A,Dim_Reps!K:K)</f>
        <v>MXN</v>
      </c>
      <c r="N1769" s="33">
        <f>(_xlfn.XLOOKUP(Pipeline_tbl[[#This Row],[Rate_Code_Generalized]],Lookups!A:A,Lookups!B:B))*Pipeline_tbl[[#This Row],[Pipeline_Amount_USD]]</f>
        <v>122342.74</v>
      </c>
      <c r="O1769" t="str">
        <f>_xlfn.XLOOKUP(Pipeline_tbl[[#This Row],[Rep_ID]],Dim_Reps!A:A,Dim_Reps!B:B)</f>
        <v>Lucas Duarte</v>
      </c>
      <c r="P1769" t="str">
        <f>_xlfn.XLOOKUP(Pipeline_tbl[[#This Row],[Rep_ID]],Dim_Reps!A:A,Dim_Reps!C:C)</f>
        <v>SDR / Inside Sales Rep</v>
      </c>
      <c r="Q1769" t="str">
        <f>_xlfn.XLOOKUP(Pipeline_tbl[[#This Row],[Rep_ID]],Dim_Reps!A:A,Dim_Reps!D:D)</f>
        <v>Inside Sales</v>
      </c>
      <c r="R1769" t="str">
        <f>_xlfn.XLOOKUP(Pipeline_tbl[[#This Row],[Rep_ID]],Dim_Reps!A:A,Dim_Reps!E:E)</f>
        <v>LATAM</v>
      </c>
      <c r="S1769" t="str">
        <f>_xlfn.XLOOKUP(Pipeline_tbl[[#This Row],[Created_Date]],Dim_Date!A:A,Dim_Date!H:H)</f>
        <v>Nov 2025</v>
      </c>
      <c r="T1769" t="str">
        <f>IF(Pipeline_tbl[[#This Row],[Closed_Date]]=0,"",(_xlfn.XLOOKUP(Pipeline_tbl[[#This Row],[Closed_Date]],Dim_Date!A:A,Dim_Date!H:H)))</f>
        <v>Nov 2025</v>
      </c>
      <c r="U1769">
        <f>IF(Pipeline_tbl[[#This Row],[Closed_Date]]=0,"",Pipeline_tbl[[#This Row],[Closed_Date]]-Pipeline_tbl[[#This Row],[Created_Date]])</f>
        <v>13</v>
      </c>
    </row>
    <row r="1770" spans="1:21" ht="15" customHeight="1" x14ac:dyDescent="0.2">
      <c r="A1770" t="s">
        <v>2076</v>
      </c>
      <c r="B1770" t="s">
        <v>233</v>
      </c>
      <c r="C1770" t="s">
        <v>55</v>
      </c>
      <c r="D1770" s="49">
        <v>45975</v>
      </c>
      <c r="E1770" s="49">
        <v>45976</v>
      </c>
      <c r="F1770" s="49">
        <v>45979</v>
      </c>
      <c r="I1770" s="49">
        <v>45988</v>
      </c>
      <c r="J1770" t="s">
        <v>49</v>
      </c>
      <c r="K1770" s="33">
        <v>2300</v>
      </c>
      <c r="L1770" t="s">
        <v>60</v>
      </c>
      <c r="M1770" t="str">
        <f>_xlfn.XLOOKUP(Pipeline_tbl[[#This Row],[Rep_ID]],Dim_Reps!A:A,Dim_Reps!K:K)</f>
        <v>MXN</v>
      </c>
      <c r="N1770" s="33">
        <f>(_xlfn.XLOOKUP(Pipeline_tbl[[#This Row],[Rate_Code_Generalized]],Lookups!A:A,Lookups!B:B))*Pipeline_tbl[[#This Row],[Pipeline_Amount_USD]]</f>
        <v>45385.210000000006</v>
      </c>
      <c r="O1770" t="str">
        <f>_xlfn.XLOOKUP(Pipeline_tbl[[#This Row],[Rep_ID]],Dim_Reps!A:A,Dim_Reps!B:B)</f>
        <v>Lucas Duarte</v>
      </c>
      <c r="P1770" t="str">
        <f>_xlfn.XLOOKUP(Pipeline_tbl[[#This Row],[Rep_ID]],Dim_Reps!A:A,Dim_Reps!C:C)</f>
        <v>SDR / Inside Sales Rep</v>
      </c>
      <c r="Q1770" t="str">
        <f>_xlfn.XLOOKUP(Pipeline_tbl[[#This Row],[Rep_ID]],Dim_Reps!A:A,Dim_Reps!D:D)</f>
        <v>Inside Sales</v>
      </c>
      <c r="R1770" t="str">
        <f>_xlfn.XLOOKUP(Pipeline_tbl[[#This Row],[Rep_ID]],Dim_Reps!A:A,Dim_Reps!E:E)</f>
        <v>LATAM</v>
      </c>
      <c r="S1770" t="str">
        <f>_xlfn.XLOOKUP(Pipeline_tbl[[#This Row],[Created_Date]],Dim_Date!A:A,Dim_Date!H:H)</f>
        <v>Nov 2025</v>
      </c>
      <c r="T1770" t="str">
        <f>IF(Pipeline_tbl[[#This Row],[Closed_Date]]=0,"",(_xlfn.XLOOKUP(Pipeline_tbl[[#This Row],[Closed_Date]],Dim_Date!A:A,Dim_Date!H:H)))</f>
        <v>Nov 2025</v>
      </c>
      <c r="U1770">
        <f>IF(Pipeline_tbl[[#This Row],[Closed_Date]]=0,"",Pipeline_tbl[[#This Row],[Closed_Date]]-Pipeline_tbl[[#This Row],[Created_Date]])</f>
        <v>13</v>
      </c>
    </row>
    <row r="1771" spans="1:21" ht="15" customHeight="1" x14ac:dyDescent="0.2">
      <c r="A1771" t="s">
        <v>2077</v>
      </c>
      <c r="B1771" t="s">
        <v>233</v>
      </c>
      <c r="C1771" t="s">
        <v>52</v>
      </c>
      <c r="D1771" s="49">
        <v>45966</v>
      </c>
      <c r="E1771" s="49">
        <v>45968</v>
      </c>
      <c r="F1771" s="49">
        <v>45971</v>
      </c>
      <c r="G1771" s="49">
        <v>45976</v>
      </c>
      <c r="H1771" s="49">
        <v>45980</v>
      </c>
      <c r="I1771" s="49">
        <v>45983</v>
      </c>
      <c r="J1771" t="s">
        <v>47</v>
      </c>
      <c r="K1771" s="33">
        <v>3700</v>
      </c>
      <c r="M1771" t="str">
        <f>_xlfn.XLOOKUP(Pipeline_tbl[[#This Row],[Rep_ID]],Dim_Reps!A:A,Dim_Reps!K:K)</f>
        <v>MXN</v>
      </c>
      <c r="N1771" s="33">
        <f>(_xlfn.XLOOKUP(Pipeline_tbl[[#This Row],[Rate_Code_Generalized]],Lookups!A:A,Lookups!B:B))*Pipeline_tbl[[#This Row],[Pipeline_Amount_USD]]</f>
        <v>73010.990000000005</v>
      </c>
      <c r="O1771" t="str">
        <f>_xlfn.XLOOKUP(Pipeline_tbl[[#This Row],[Rep_ID]],Dim_Reps!A:A,Dim_Reps!B:B)</f>
        <v>Lucas Duarte</v>
      </c>
      <c r="P1771" t="str">
        <f>_xlfn.XLOOKUP(Pipeline_tbl[[#This Row],[Rep_ID]],Dim_Reps!A:A,Dim_Reps!C:C)</f>
        <v>SDR / Inside Sales Rep</v>
      </c>
      <c r="Q1771" t="str">
        <f>_xlfn.XLOOKUP(Pipeline_tbl[[#This Row],[Rep_ID]],Dim_Reps!A:A,Dim_Reps!D:D)</f>
        <v>Inside Sales</v>
      </c>
      <c r="R1771" t="str">
        <f>_xlfn.XLOOKUP(Pipeline_tbl[[#This Row],[Rep_ID]],Dim_Reps!A:A,Dim_Reps!E:E)</f>
        <v>LATAM</v>
      </c>
      <c r="S1771" t="str">
        <f>_xlfn.XLOOKUP(Pipeline_tbl[[#This Row],[Created_Date]],Dim_Date!A:A,Dim_Date!H:H)</f>
        <v>Nov 2025</v>
      </c>
      <c r="T1771" t="str">
        <f>IF(Pipeline_tbl[[#This Row],[Closed_Date]]=0,"",(_xlfn.XLOOKUP(Pipeline_tbl[[#This Row],[Closed_Date]],Dim_Date!A:A,Dim_Date!H:H)))</f>
        <v>Nov 2025</v>
      </c>
      <c r="U1771">
        <f>IF(Pipeline_tbl[[#This Row],[Closed_Date]]=0,"",Pipeline_tbl[[#This Row],[Closed_Date]]-Pipeline_tbl[[#This Row],[Created_Date]])</f>
        <v>17</v>
      </c>
    </row>
    <row r="1772" spans="1:21" ht="15" customHeight="1" x14ac:dyDescent="0.2">
      <c r="A1772" t="s">
        <v>2078</v>
      </c>
      <c r="B1772" t="s">
        <v>233</v>
      </c>
      <c r="C1772" t="s">
        <v>56</v>
      </c>
      <c r="D1772" s="49">
        <v>45966</v>
      </c>
      <c r="E1772" s="49">
        <v>45968</v>
      </c>
      <c r="F1772" s="49">
        <v>45971</v>
      </c>
      <c r="G1772" s="49">
        <v>45977</v>
      </c>
      <c r="I1772" s="49">
        <v>45984</v>
      </c>
      <c r="J1772" t="s">
        <v>49</v>
      </c>
      <c r="K1772" s="33">
        <v>10900</v>
      </c>
      <c r="L1772" t="s">
        <v>63</v>
      </c>
      <c r="M1772" t="str">
        <f>_xlfn.XLOOKUP(Pipeline_tbl[[#This Row],[Rep_ID]],Dim_Reps!A:A,Dim_Reps!K:K)</f>
        <v>MXN</v>
      </c>
      <c r="N1772" s="33">
        <f>(_xlfn.XLOOKUP(Pipeline_tbl[[#This Row],[Rate_Code_Generalized]],Lookups!A:A,Lookups!B:B))*Pipeline_tbl[[#This Row],[Pipeline_Amount_USD]]</f>
        <v>215086.43000000002</v>
      </c>
      <c r="O1772" t="str">
        <f>_xlfn.XLOOKUP(Pipeline_tbl[[#This Row],[Rep_ID]],Dim_Reps!A:A,Dim_Reps!B:B)</f>
        <v>Lucas Duarte</v>
      </c>
      <c r="P1772" t="str">
        <f>_xlfn.XLOOKUP(Pipeline_tbl[[#This Row],[Rep_ID]],Dim_Reps!A:A,Dim_Reps!C:C)</f>
        <v>SDR / Inside Sales Rep</v>
      </c>
      <c r="Q1772" t="str">
        <f>_xlfn.XLOOKUP(Pipeline_tbl[[#This Row],[Rep_ID]],Dim_Reps!A:A,Dim_Reps!D:D)</f>
        <v>Inside Sales</v>
      </c>
      <c r="R1772" t="str">
        <f>_xlfn.XLOOKUP(Pipeline_tbl[[#This Row],[Rep_ID]],Dim_Reps!A:A,Dim_Reps!E:E)</f>
        <v>LATAM</v>
      </c>
      <c r="S1772" t="str">
        <f>_xlfn.XLOOKUP(Pipeline_tbl[[#This Row],[Created_Date]],Dim_Date!A:A,Dim_Date!H:H)</f>
        <v>Nov 2025</v>
      </c>
      <c r="T1772" t="str">
        <f>IF(Pipeline_tbl[[#This Row],[Closed_Date]]=0,"",(_xlfn.XLOOKUP(Pipeline_tbl[[#This Row],[Closed_Date]],Dim_Date!A:A,Dim_Date!H:H)))</f>
        <v>Nov 2025</v>
      </c>
      <c r="U1772">
        <f>IF(Pipeline_tbl[[#This Row],[Closed_Date]]=0,"",Pipeline_tbl[[#This Row],[Closed_Date]]-Pipeline_tbl[[#This Row],[Created_Date]])</f>
        <v>18</v>
      </c>
    </row>
    <row r="1773" spans="1:21" ht="15" customHeight="1" x14ac:dyDescent="0.2">
      <c r="A1773" t="s">
        <v>2079</v>
      </c>
      <c r="B1773" t="s">
        <v>233</v>
      </c>
      <c r="C1773" t="s">
        <v>52</v>
      </c>
      <c r="D1773" s="49">
        <v>45965</v>
      </c>
      <c r="E1773" s="49">
        <v>45966</v>
      </c>
      <c r="F1773" s="49">
        <v>45969</v>
      </c>
      <c r="G1773" s="49">
        <v>45972</v>
      </c>
      <c r="I1773" s="49">
        <v>45977</v>
      </c>
      <c r="J1773" t="s">
        <v>49</v>
      </c>
      <c r="K1773" s="33">
        <v>1800</v>
      </c>
      <c r="L1773" t="s">
        <v>63</v>
      </c>
      <c r="M1773" t="str">
        <f>_xlfn.XLOOKUP(Pipeline_tbl[[#This Row],[Rep_ID]],Dim_Reps!A:A,Dim_Reps!K:K)</f>
        <v>MXN</v>
      </c>
      <c r="N1773" s="33">
        <f>(_xlfn.XLOOKUP(Pipeline_tbl[[#This Row],[Rate_Code_Generalized]],Lookups!A:A,Lookups!B:B))*Pipeline_tbl[[#This Row],[Pipeline_Amount_USD]]</f>
        <v>35518.86</v>
      </c>
      <c r="O1773" t="str">
        <f>_xlfn.XLOOKUP(Pipeline_tbl[[#This Row],[Rep_ID]],Dim_Reps!A:A,Dim_Reps!B:B)</f>
        <v>Lucas Duarte</v>
      </c>
      <c r="P1773" t="str">
        <f>_xlfn.XLOOKUP(Pipeline_tbl[[#This Row],[Rep_ID]],Dim_Reps!A:A,Dim_Reps!C:C)</f>
        <v>SDR / Inside Sales Rep</v>
      </c>
      <c r="Q1773" t="str">
        <f>_xlfn.XLOOKUP(Pipeline_tbl[[#This Row],[Rep_ID]],Dim_Reps!A:A,Dim_Reps!D:D)</f>
        <v>Inside Sales</v>
      </c>
      <c r="R1773" t="str">
        <f>_xlfn.XLOOKUP(Pipeline_tbl[[#This Row],[Rep_ID]],Dim_Reps!A:A,Dim_Reps!E:E)</f>
        <v>LATAM</v>
      </c>
      <c r="S1773" t="str">
        <f>_xlfn.XLOOKUP(Pipeline_tbl[[#This Row],[Created_Date]],Dim_Date!A:A,Dim_Date!H:H)</f>
        <v>Nov 2025</v>
      </c>
      <c r="T1773" t="str">
        <f>IF(Pipeline_tbl[[#This Row],[Closed_Date]]=0,"",(_xlfn.XLOOKUP(Pipeline_tbl[[#This Row],[Closed_Date]],Dim_Date!A:A,Dim_Date!H:H)))</f>
        <v>Nov 2025</v>
      </c>
      <c r="U1773">
        <f>IF(Pipeline_tbl[[#This Row],[Closed_Date]]=0,"",Pipeline_tbl[[#This Row],[Closed_Date]]-Pipeline_tbl[[#This Row],[Created_Date]])</f>
        <v>12</v>
      </c>
    </row>
    <row r="1774" spans="1:21" ht="15" customHeight="1" x14ac:dyDescent="0.2">
      <c r="A1774" t="s">
        <v>2080</v>
      </c>
      <c r="B1774" t="s">
        <v>235</v>
      </c>
      <c r="C1774" t="s">
        <v>54</v>
      </c>
      <c r="D1774" s="49">
        <v>45967</v>
      </c>
      <c r="E1774" s="49">
        <v>45968</v>
      </c>
      <c r="F1774" s="49">
        <v>45971</v>
      </c>
      <c r="G1774" s="49">
        <v>45974</v>
      </c>
      <c r="I1774" s="49">
        <v>45979</v>
      </c>
      <c r="J1774" t="s">
        <v>49</v>
      </c>
      <c r="K1774" s="33">
        <v>4000</v>
      </c>
      <c r="L1774" t="s">
        <v>61</v>
      </c>
      <c r="M1774" t="str">
        <f>_xlfn.XLOOKUP(Pipeline_tbl[[#This Row],[Rep_ID]],Dim_Reps!A:A,Dim_Reps!K:K)</f>
        <v>MXN</v>
      </c>
      <c r="N1774" s="33">
        <f>(_xlfn.XLOOKUP(Pipeline_tbl[[#This Row],[Rate_Code_Generalized]],Lookups!A:A,Lookups!B:B))*Pipeline_tbl[[#This Row],[Pipeline_Amount_USD]]</f>
        <v>78930.8</v>
      </c>
      <c r="O1774" t="str">
        <f>_xlfn.XLOOKUP(Pipeline_tbl[[#This Row],[Rep_ID]],Dim_Reps!A:A,Dim_Reps!B:B)</f>
        <v>Milo Castro</v>
      </c>
      <c r="P1774" t="str">
        <f>_xlfn.XLOOKUP(Pipeline_tbl[[#This Row],[Rep_ID]],Dim_Reps!A:A,Dim_Reps!C:C)</f>
        <v>SDR / Inside Sales Rep</v>
      </c>
      <c r="Q1774" t="str">
        <f>_xlfn.XLOOKUP(Pipeline_tbl[[#This Row],[Rep_ID]],Dim_Reps!A:A,Dim_Reps!D:D)</f>
        <v>Inside Sales</v>
      </c>
      <c r="R1774" t="str">
        <f>_xlfn.XLOOKUP(Pipeline_tbl[[#This Row],[Rep_ID]],Dim_Reps!A:A,Dim_Reps!E:E)</f>
        <v>LATAM</v>
      </c>
      <c r="S1774" t="str">
        <f>_xlfn.XLOOKUP(Pipeline_tbl[[#This Row],[Created_Date]],Dim_Date!A:A,Dim_Date!H:H)</f>
        <v>Nov 2025</v>
      </c>
      <c r="T1774" t="str">
        <f>IF(Pipeline_tbl[[#This Row],[Closed_Date]]=0,"",(_xlfn.XLOOKUP(Pipeline_tbl[[#This Row],[Closed_Date]],Dim_Date!A:A,Dim_Date!H:H)))</f>
        <v>Nov 2025</v>
      </c>
      <c r="U1774">
        <f>IF(Pipeline_tbl[[#This Row],[Closed_Date]]=0,"",Pipeline_tbl[[#This Row],[Closed_Date]]-Pipeline_tbl[[#This Row],[Created_Date]])</f>
        <v>12</v>
      </c>
    </row>
    <row r="1775" spans="1:21" ht="15" customHeight="1" x14ac:dyDescent="0.2">
      <c r="A1775" t="s">
        <v>2081</v>
      </c>
      <c r="B1775" t="s">
        <v>235</v>
      </c>
      <c r="C1775" t="s">
        <v>52</v>
      </c>
      <c r="D1775" s="49">
        <v>45977</v>
      </c>
      <c r="E1775" s="49">
        <v>45978</v>
      </c>
      <c r="F1775" s="49">
        <v>45981</v>
      </c>
      <c r="G1775" s="49">
        <v>45985</v>
      </c>
      <c r="H1775" s="49">
        <v>45988</v>
      </c>
      <c r="I1775" s="49">
        <v>45990</v>
      </c>
      <c r="J1775" t="s">
        <v>47</v>
      </c>
      <c r="K1775" s="33">
        <v>4900</v>
      </c>
      <c r="M1775" t="str">
        <f>_xlfn.XLOOKUP(Pipeline_tbl[[#This Row],[Rep_ID]],Dim_Reps!A:A,Dim_Reps!K:K)</f>
        <v>MXN</v>
      </c>
      <c r="N1775" s="33">
        <f>(_xlfn.XLOOKUP(Pipeline_tbl[[#This Row],[Rate_Code_Generalized]],Lookups!A:A,Lookups!B:B))*Pipeline_tbl[[#This Row],[Pipeline_Amount_USD]]</f>
        <v>96690.23000000001</v>
      </c>
      <c r="O1775" t="str">
        <f>_xlfn.XLOOKUP(Pipeline_tbl[[#This Row],[Rep_ID]],Dim_Reps!A:A,Dim_Reps!B:B)</f>
        <v>Milo Castro</v>
      </c>
      <c r="P1775" t="str">
        <f>_xlfn.XLOOKUP(Pipeline_tbl[[#This Row],[Rep_ID]],Dim_Reps!A:A,Dim_Reps!C:C)</f>
        <v>SDR / Inside Sales Rep</v>
      </c>
      <c r="Q1775" t="str">
        <f>_xlfn.XLOOKUP(Pipeline_tbl[[#This Row],[Rep_ID]],Dim_Reps!A:A,Dim_Reps!D:D)</f>
        <v>Inside Sales</v>
      </c>
      <c r="R1775" t="str">
        <f>_xlfn.XLOOKUP(Pipeline_tbl[[#This Row],[Rep_ID]],Dim_Reps!A:A,Dim_Reps!E:E)</f>
        <v>LATAM</v>
      </c>
      <c r="S1775" t="str">
        <f>_xlfn.XLOOKUP(Pipeline_tbl[[#This Row],[Created_Date]],Dim_Date!A:A,Dim_Date!H:H)</f>
        <v>Nov 2025</v>
      </c>
      <c r="T1775" t="str">
        <f>IF(Pipeline_tbl[[#This Row],[Closed_Date]]=0,"",(_xlfn.XLOOKUP(Pipeline_tbl[[#This Row],[Closed_Date]],Dim_Date!A:A,Dim_Date!H:H)))</f>
        <v>Nov 2025</v>
      </c>
      <c r="U1775">
        <f>IF(Pipeline_tbl[[#This Row],[Closed_Date]]=0,"",Pipeline_tbl[[#This Row],[Closed_Date]]-Pipeline_tbl[[#This Row],[Created_Date]])</f>
        <v>13</v>
      </c>
    </row>
    <row r="1776" spans="1:21" ht="15" customHeight="1" x14ac:dyDescent="0.2">
      <c r="A1776" t="s">
        <v>2082</v>
      </c>
      <c r="B1776" t="s">
        <v>235</v>
      </c>
      <c r="C1776" t="s">
        <v>52</v>
      </c>
      <c r="D1776" s="49">
        <v>45964</v>
      </c>
      <c r="E1776" s="49">
        <v>45966</v>
      </c>
      <c r="F1776" s="49">
        <v>45972</v>
      </c>
      <c r="G1776" s="49">
        <v>45979</v>
      </c>
      <c r="H1776" s="49">
        <v>45985</v>
      </c>
      <c r="I1776" s="49">
        <v>45989</v>
      </c>
      <c r="J1776" t="s">
        <v>47</v>
      </c>
      <c r="K1776" s="33">
        <v>6100</v>
      </c>
      <c r="M1776" t="str">
        <f>_xlfn.XLOOKUP(Pipeline_tbl[[#This Row],[Rep_ID]],Dim_Reps!A:A,Dim_Reps!K:K)</f>
        <v>MXN</v>
      </c>
      <c r="N1776" s="33">
        <f>(_xlfn.XLOOKUP(Pipeline_tbl[[#This Row],[Rate_Code_Generalized]],Lookups!A:A,Lookups!B:B))*Pipeline_tbl[[#This Row],[Pipeline_Amount_USD]]</f>
        <v>120369.47</v>
      </c>
      <c r="O1776" t="str">
        <f>_xlfn.XLOOKUP(Pipeline_tbl[[#This Row],[Rep_ID]],Dim_Reps!A:A,Dim_Reps!B:B)</f>
        <v>Milo Castro</v>
      </c>
      <c r="P1776" t="str">
        <f>_xlfn.XLOOKUP(Pipeline_tbl[[#This Row],[Rep_ID]],Dim_Reps!A:A,Dim_Reps!C:C)</f>
        <v>SDR / Inside Sales Rep</v>
      </c>
      <c r="Q1776" t="str">
        <f>_xlfn.XLOOKUP(Pipeline_tbl[[#This Row],[Rep_ID]],Dim_Reps!A:A,Dim_Reps!D:D)</f>
        <v>Inside Sales</v>
      </c>
      <c r="R1776" t="str">
        <f>_xlfn.XLOOKUP(Pipeline_tbl[[#This Row],[Rep_ID]],Dim_Reps!A:A,Dim_Reps!E:E)</f>
        <v>LATAM</v>
      </c>
      <c r="S1776" t="str">
        <f>_xlfn.XLOOKUP(Pipeline_tbl[[#This Row],[Created_Date]],Dim_Date!A:A,Dim_Date!H:H)</f>
        <v>Nov 2025</v>
      </c>
      <c r="T1776" t="str">
        <f>IF(Pipeline_tbl[[#This Row],[Closed_Date]]=0,"",(_xlfn.XLOOKUP(Pipeline_tbl[[#This Row],[Closed_Date]],Dim_Date!A:A,Dim_Date!H:H)))</f>
        <v>Nov 2025</v>
      </c>
      <c r="U1776">
        <f>IF(Pipeline_tbl[[#This Row],[Closed_Date]]=0,"",Pipeline_tbl[[#This Row],[Closed_Date]]-Pipeline_tbl[[#This Row],[Created_Date]])</f>
        <v>25</v>
      </c>
    </row>
    <row r="1777" spans="1:21" ht="15" customHeight="1" x14ac:dyDescent="0.2">
      <c r="A1777" t="s">
        <v>2083</v>
      </c>
      <c r="B1777" t="s">
        <v>235</v>
      </c>
      <c r="C1777" t="s">
        <v>53</v>
      </c>
      <c r="D1777" s="49">
        <v>45966</v>
      </c>
      <c r="E1777" s="49">
        <v>45968</v>
      </c>
      <c r="F1777" s="49">
        <v>45972</v>
      </c>
      <c r="G1777" s="49">
        <v>45977</v>
      </c>
      <c r="H1777" s="49">
        <v>45982</v>
      </c>
      <c r="I1777" s="49">
        <v>45985</v>
      </c>
      <c r="J1777" t="s">
        <v>47</v>
      </c>
      <c r="K1777" s="33">
        <v>3200</v>
      </c>
      <c r="M1777" t="str">
        <f>_xlfn.XLOOKUP(Pipeline_tbl[[#This Row],[Rep_ID]],Dim_Reps!A:A,Dim_Reps!K:K)</f>
        <v>MXN</v>
      </c>
      <c r="N1777" s="33">
        <f>(_xlfn.XLOOKUP(Pipeline_tbl[[#This Row],[Rate_Code_Generalized]],Lookups!A:A,Lookups!B:B))*Pipeline_tbl[[#This Row],[Pipeline_Amount_USD]]</f>
        <v>63144.640000000007</v>
      </c>
      <c r="O1777" t="str">
        <f>_xlfn.XLOOKUP(Pipeline_tbl[[#This Row],[Rep_ID]],Dim_Reps!A:A,Dim_Reps!B:B)</f>
        <v>Milo Castro</v>
      </c>
      <c r="P1777" t="str">
        <f>_xlfn.XLOOKUP(Pipeline_tbl[[#This Row],[Rep_ID]],Dim_Reps!A:A,Dim_Reps!C:C)</f>
        <v>SDR / Inside Sales Rep</v>
      </c>
      <c r="Q1777" t="str">
        <f>_xlfn.XLOOKUP(Pipeline_tbl[[#This Row],[Rep_ID]],Dim_Reps!A:A,Dim_Reps!D:D)</f>
        <v>Inside Sales</v>
      </c>
      <c r="R1777" t="str">
        <f>_xlfn.XLOOKUP(Pipeline_tbl[[#This Row],[Rep_ID]],Dim_Reps!A:A,Dim_Reps!E:E)</f>
        <v>LATAM</v>
      </c>
      <c r="S1777" t="str">
        <f>_xlfn.XLOOKUP(Pipeline_tbl[[#This Row],[Created_Date]],Dim_Date!A:A,Dim_Date!H:H)</f>
        <v>Nov 2025</v>
      </c>
      <c r="T1777" t="str">
        <f>IF(Pipeline_tbl[[#This Row],[Closed_Date]]=0,"",(_xlfn.XLOOKUP(Pipeline_tbl[[#This Row],[Closed_Date]],Dim_Date!A:A,Dim_Date!H:H)))</f>
        <v>Nov 2025</v>
      </c>
      <c r="U1777">
        <f>IF(Pipeline_tbl[[#This Row],[Closed_Date]]=0,"",Pipeline_tbl[[#This Row],[Closed_Date]]-Pipeline_tbl[[#This Row],[Created_Date]])</f>
        <v>19</v>
      </c>
    </row>
    <row r="1778" spans="1:21" ht="15" customHeight="1" x14ac:dyDescent="0.2">
      <c r="A1778" t="s">
        <v>2084</v>
      </c>
      <c r="B1778" t="s">
        <v>235</v>
      </c>
      <c r="C1778" t="s">
        <v>53</v>
      </c>
      <c r="D1778" s="49">
        <v>45981</v>
      </c>
      <c r="E1778" s="49">
        <v>45982</v>
      </c>
      <c r="F1778" s="49">
        <v>45983</v>
      </c>
      <c r="I1778" s="49">
        <v>45988</v>
      </c>
      <c r="J1778" t="s">
        <v>49</v>
      </c>
      <c r="K1778" s="33">
        <v>7000</v>
      </c>
      <c r="L1778" t="s">
        <v>64</v>
      </c>
      <c r="M1778" t="str">
        <f>_xlfn.XLOOKUP(Pipeline_tbl[[#This Row],[Rep_ID]],Dim_Reps!A:A,Dim_Reps!K:K)</f>
        <v>MXN</v>
      </c>
      <c r="N1778" s="33">
        <f>(_xlfn.XLOOKUP(Pipeline_tbl[[#This Row],[Rate_Code_Generalized]],Lookups!A:A,Lookups!B:B))*Pipeline_tbl[[#This Row],[Pipeline_Amount_USD]]</f>
        <v>138128.9</v>
      </c>
      <c r="O1778" t="str">
        <f>_xlfn.XLOOKUP(Pipeline_tbl[[#This Row],[Rep_ID]],Dim_Reps!A:A,Dim_Reps!B:B)</f>
        <v>Milo Castro</v>
      </c>
      <c r="P1778" t="str">
        <f>_xlfn.XLOOKUP(Pipeline_tbl[[#This Row],[Rep_ID]],Dim_Reps!A:A,Dim_Reps!C:C)</f>
        <v>SDR / Inside Sales Rep</v>
      </c>
      <c r="Q1778" t="str">
        <f>_xlfn.XLOOKUP(Pipeline_tbl[[#This Row],[Rep_ID]],Dim_Reps!A:A,Dim_Reps!D:D)</f>
        <v>Inside Sales</v>
      </c>
      <c r="R1778" t="str">
        <f>_xlfn.XLOOKUP(Pipeline_tbl[[#This Row],[Rep_ID]],Dim_Reps!A:A,Dim_Reps!E:E)</f>
        <v>LATAM</v>
      </c>
      <c r="S1778" t="str">
        <f>_xlfn.XLOOKUP(Pipeline_tbl[[#This Row],[Created_Date]],Dim_Date!A:A,Dim_Date!H:H)</f>
        <v>Nov 2025</v>
      </c>
      <c r="T1778" t="str">
        <f>IF(Pipeline_tbl[[#This Row],[Closed_Date]]=0,"",(_xlfn.XLOOKUP(Pipeline_tbl[[#This Row],[Closed_Date]],Dim_Date!A:A,Dim_Date!H:H)))</f>
        <v>Nov 2025</v>
      </c>
      <c r="U1778">
        <f>IF(Pipeline_tbl[[#This Row],[Closed_Date]]=0,"",Pipeline_tbl[[#This Row],[Closed_Date]]-Pipeline_tbl[[#This Row],[Created_Date]])</f>
        <v>7</v>
      </c>
    </row>
    <row r="1779" spans="1:21" ht="15" customHeight="1" x14ac:dyDescent="0.2">
      <c r="A1779" t="s">
        <v>2085</v>
      </c>
      <c r="B1779" t="s">
        <v>235</v>
      </c>
      <c r="C1779" t="s">
        <v>52</v>
      </c>
      <c r="D1779" s="49">
        <v>45975</v>
      </c>
      <c r="E1779" s="49">
        <v>45976</v>
      </c>
      <c r="I1779" s="49">
        <v>45981</v>
      </c>
      <c r="J1779" t="s">
        <v>49</v>
      </c>
      <c r="K1779" s="33">
        <v>2200</v>
      </c>
      <c r="L1779" t="s">
        <v>61</v>
      </c>
      <c r="M1779" t="str">
        <f>_xlfn.XLOOKUP(Pipeline_tbl[[#This Row],[Rep_ID]],Dim_Reps!A:A,Dim_Reps!K:K)</f>
        <v>MXN</v>
      </c>
      <c r="N1779" s="33">
        <f>(_xlfn.XLOOKUP(Pipeline_tbl[[#This Row],[Rate_Code_Generalized]],Lookups!A:A,Lookups!B:B))*Pipeline_tbl[[#This Row],[Pipeline_Amount_USD]]</f>
        <v>43411.94</v>
      </c>
      <c r="O1779" t="str">
        <f>_xlfn.XLOOKUP(Pipeline_tbl[[#This Row],[Rep_ID]],Dim_Reps!A:A,Dim_Reps!B:B)</f>
        <v>Milo Castro</v>
      </c>
      <c r="P1779" t="str">
        <f>_xlfn.XLOOKUP(Pipeline_tbl[[#This Row],[Rep_ID]],Dim_Reps!A:A,Dim_Reps!C:C)</f>
        <v>SDR / Inside Sales Rep</v>
      </c>
      <c r="Q1779" t="str">
        <f>_xlfn.XLOOKUP(Pipeline_tbl[[#This Row],[Rep_ID]],Dim_Reps!A:A,Dim_Reps!D:D)</f>
        <v>Inside Sales</v>
      </c>
      <c r="R1779" t="str">
        <f>_xlfn.XLOOKUP(Pipeline_tbl[[#This Row],[Rep_ID]],Dim_Reps!A:A,Dim_Reps!E:E)</f>
        <v>LATAM</v>
      </c>
      <c r="S1779" t="str">
        <f>_xlfn.XLOOKUP(Pipeline_tbl[[#This Row],[Created_Date]],Dim_Date!A:A,Dim_Date!H:H)</f>
        <v>Nov 2025</v>
      </c>
      <c r="T1779" t="str">
        <f>IF(Pipeline_tbl[[#This Row],[Closed_Date]]=0,"",(_xlfn.XLOOKUP(Pipeline_tbl[[#This Row],[Closed_Date]],Dim_Date!A:A,Dim_Date!H:H)))</f>
        <v>Nov 2025</v>
      </c>
      <c r="U1779">
        <f>IF(Pipeline_tbl[[#This Row],[Closed_Date]]=0,"",Pipeline_tbl[[#This Row],[Closed_Date]]-Pipeline_tbl[[#This Row],[Created_Date]])</f>
        <v>6</v>
      </c>
    </row>
    <row r="1780" spans="1:21" ht="15" customHeight="1" x14ac:dyDescent="0.2">
      <c r="A1780" t="s">
        <v>2086</v>
      </c>
      <c r="B1780" t="s">
        <v>235</v>
      </c>
      <c r="C1780" t="s">
        <v>54</v>
      </c>
      <c r="D1780" s="49">
        <v>45975</v>
      </c>
      <c r="E1780" s="49">
        <v>45977</v>
      </c>
      <c r="F1780" s="49">
        <v>45980</v>
      </c>
      <c r="G1780" s="49">
        <v>45984</v>
      </c>
      <c r="I1780" s="49">
        <v>45990</v>
      </c>
      <c r="J1780" t="s">
        <v>49</v>
      </c>
      <c r="K1780" s="33">
        <v>3700</v>
      </c>
      <c r="L1780" t="s">
        <v>60</v>
      </c>
      <c r="M1780" t="str">
        <f>_xlfn.XLOOKUP(Pipeline_tbl[[#This Row],[Rep_ID]],Dim_Reps!A:A,Dim_Reps!K:K)</f>
        <v>MXN</v>
      </c>
      <c r="N1780" s="33">
        <f>(_xlfn.XLOOKUP(Pipeline_tbl[[#This Row],[Rate_Code_Generalized]],Lookups!A:A,Lookups!B:B))*Pipeline_tbl[[#This Row],[Pipeline_Amount_USD]]</f>
        <v>73010.990000000005</v>
      </c>
      <c r="O1780" t="str">
        <f>_xlfn.XLOOKUP(Pipeline_tbl[[#This Row],[Rep_ID]],Dim_Reps!A:A,Dim_Reps!B:B)</f>
        <v>Milo Castro</v>
      </c>
      <c r="P1780" t="str">
        <f>_xlfn.XLOOKUP(Pipeline_tbl[[#This Row],[Rep_ID]],Dim_Reps!A:A,Dim_Reps!C:C)</f>
        <v>SDR / Inside Sales Rep</v>
      </c>
      <c r="Q1780" t="str">
        <f>_xlfn.XLOOKUP(Pipeline_tbl[[#This Row],[Rep_ID]],Dim_Reps!A:A,Dim_Reps!D:D)</f>
        <v>Inside Sales</v>
      </c>
      <c r="R1780" t="str">
        <f>_xlfn.XLOOKUP(Pipeline_tbl[[#This Row],[Rep_ID]],Dim_Reps!A:A,Dim_Reps!E:E)</f>
        <v>LATAM</v>
      </c>
      <c r="S1780" t="str">
        <f>_xlfn.XLOOKUP(Pipeline_tbl[[#This Row],[Created_Date]],Dim_Date!A:A,Dim_Date!H:H)</f>
        <v>Nov 2025</v>
      </c>
      <c r="T1780" t="str">
        <f>IF(Pipeline_tbl[[#This Row],[Closed_Date]]=0,"",(_xlfn.XLOOKUP(Pipeline_tbl[[#This Row],[Closed_Date]],Dim_Date!A:A,Dim_Date!H:H)))</f>
        <v>Nov 2025</v>
      </c>
      <c r="U1780">
        <f>IF(Pipeline_tbl[[#This Row],[Closed_Date]]=0,"",Pipeline_tbl[[#This Row],[Closed_Date]]-Pipeline_tbl[[#This Row],[Created_Date]])</f>
        <v>15</v>
      </c>
    </row>
    <row r="1781" spans="1:21" ht="15" customHeight="1" x14ac:dyDescent="0.2">
      <c r="A1781" t="s">
        <v>2087</v>
      </c>
      <c r="B1781" t="s">
        <v>235</v>
      </c>
      <c r="C1781" t="s">
        <v>52</v>
      </c>
      <c r="D1781" s="49">
        <v>45977</v>
      </c>
      <c r="E1781" s="49">
        <v>45977</v>
      </c>
      <c r="F1781" s="49">
        <v>45979</v>
      </c>
      <c r="G1781" s="49">
        <v>45980</v>
      </c>
      <c r="I1781" s="49">
        <v>45982</v>
      </c>
      <c r="J1781" t="s">
        <v>49</v>
      </c>
      <c r="K1781" s="33">
        <v>4500</v>
      </c>
      <c r="L1781" t="s">
        <v>61</v>
      </c>
      <c r="M1781" t="str">
        <f>_xlfn.XLOOKUP(Pipeline_tbl[[#This Row],[Rep_ID]],Dim_Reps!A:A,Dim_Reps!K:K)</f>
        <v>MXN</v>
      </c>
      <c r="N1781" s="33">
        <f>(_xlfn.XLOOKUP(Pipeline_tbl[[#This Row],[Rate_Code_Generalized]],Lookups!A:A,Lookups!B:B))*Pipeline_tbl[[#This Row],[Pipeline_Amount_USD]]</f>
        <v>88797.150000000009</v>
      </c>
      <c r="O1781" t="str">
        <f>_xlfn.XLOOKUP(Pipeline_tbl[[#This Row],[Rep_ID]],Dim_Reps!A:A,Dim_Reps!B:B)</f>
        <v>Milo Castro</v>
      </c>
      <c r="P1781" t="str">
        <f>_xlfn.XLOOKUP(Pipeline_tbl[[#This Row],[Rep_ID]],Dim_Reps!A:A,Dim_Reps!C:C)</f>
        <v>SDR / Inside Sales Rep</v>
      </c>
      <c r="Q1781" t="str">
        <f>_xlfn.XLOOKUP(Pipeline_tbl[[#This Row],[Rep_ID]],Dim_Reps!A:A,Dim_Reps!D:D)</f>
        <v>Inside Sales</v>
      </c>
      <c r="R1781" t="str">
        <f>_xlfn.XLOOKUP(Pipeline_tbl[[#This Row],[Rep_ID]],Dim_Reps!A:A,Dim_Reps!E:E)</f>
        <v>LATAM</v>
      </c>
      <c r="S1781" t="str">
        <f>_xlfn.XLOOKUP(Pipeline_tbl[[#This Row],[Created_Date]],Dim_Date!A:A,Dim_Date!H:H)</f>
        <v>Nov 2025</v>
      </c>
      <c r="T1781" t="str">
        <f>IF(Pipeline_tbl[[#This Row],[Closed_Date]]=0,"",(_xlfn.XLOOKUP(Pipeline_tbl[[#This Row],[Closed_Date]],Dim_Date!A:A,Dim_Date!H:H)))</f>
        <v>Nov 2025</v>
      </c>
      <c r="U1781">
        <f>IF(Pipeline_tbl[[#This Row],[Closed_Date]]=0,"",Pipeline_tbl[[#This Row],[Closed_Date]]-Pipeline_tbl[[#This Row],[Created_Date]])</f>
        <v>5</v>
      </c>
    </row>
    <row r="1782" spans="1:21" ht="15" customHeight="1" x14ac:dyDescent="0.2">
      <c r="A1782" t="s">
        <v>2088</v>
      </c>
      <c r="B1782" t="s">
        <v>235</v>
      </c>
      <c r="C1782" t="s">
        <v>53</v>
      </c>
      <c r="D1782" s="49">
        <v>45974</v>
      </c>
      <c r="E1782" s="49">
        <v>45976</v>
      </c>
      <c r="F1782" s="49">
        <v>45979</v>
      </c>
      <c r="G1782" s="49">
        <v>45983</v>
      </c>
      <c r="I1782" s="49">
        <v>45989</v>
      </c>
      <c r="J1782" t="s">
        <v>49</v>
      </c>
      <c r="K1782" s="33">
        <v>4300</v>
      </c>
      <c r="L1782" t="s">
        <v>62</v>
      </c>
      <c r="M1782" t="str">
        <f>_xlfn.XLOOKUP(Pipeline_tbl[[#This Row],[Rep_ID]],Dim_Reps!A:A,Dim_Reps!K:K)</f>
        <v>MXN</v>
      </c>
      <c r="N1782" s="33">
        <f>(_xlfn.XLOOKUP(Pipeline_tbl[[#This Row],[Rate_Code_Generalized]],Lookups!A:A,Lookups!B:B))*Pipeline_tbl[[#This Row],[Pipeline_Amount_USD]]</f>
        <v>84850.61</v>
      </c>
      <c r="O1782" t="str">
        <f>_xlfn.XLOOKUP(Pipeline_tbl[[#This Row],[Rep_ID]],Dim_Reps!A:A,Dim_Reps!B:B)</f>
        <v>Milo Castro</v>
      </c>
      <c r="P1782" t="str">
        <f>_xlfn.XLOOKUP(Pipeline_tbl[[#This Row],[Rep_ID]],Dim_Reps!A:A,Dim_Reps!C:C)</f>
        <v>SDR / Inside Sales Rep</v>
      </c>
      <c r="Q1782" t="str">
        <f>_xlfn.XLOOKUP(Pipeline_tbl[[#This Row],[Rep_ID]],Dim_Reps!A:A,Dim_Reps!D:D)</f>
        <v>Inside Sales</v>
      </c>
      <c r="R1782" t="str">
        <f>_xlfn.XLOOKUP(Pipeline_tbl[[#This Row],[Rep_ID]],Dim_Reps!A:A,Dim_Reps!E:E)</f>
        <v>LATAM</v>
      </c>
      <c r="S1782" t="str">
        <f>_xlfn.XLOOKUP(Pipeline_tbl[[#This Row],[Created_Date]],Dim_Date!A:A,Dim_Date!H:H)</f>
        <v>Nov 2025</v>
      </c>
      <c r="T1782" t="str">
        <f>IF(Pipeline_tbl[[#This Row],[Closed_Date]]=0,"",(_xlfn.XLOOKUP(Pipeline_tbl[[#This Row],[Closed_Date]],Dim_Date!A:A,Dim_Date!H:H)))</f>
        <v>Nov 2025</v>
      </c>
      <c r="U1782">
        <f>IF(Pipeline_tbl[[#This Row],[Closed_Date]]=0,"",Pipeline_tbl[[#This Row],[Closed_Date]]-Pipeline_tbl[[#This Row],[Created_Date]])</f>
        <v>15</v>
      </c>
    </row>
    <row r="1783" spans="1:21" ht="15" customHeight="1" x14ac:dyDescent="0.2">
      <c r="A1783" t="s">
        <v>2089</v>
      </c>
      <c r="B1783" t="s">
        <v>235</v>
      </c>
      <c r="C1783" t="s">
        <v>53</v>
      </c>
      <c r="D1783" s="49">
        <v>45962</v>
      </c>
      <c r="E1783" s="49">
        <v>45964</v>
      </c>
      <c r="F1783" s="49">
        <v>45969</v>
      </c>
      <c r="G1783" s="49">
        <v>45975</v>
      </c>
      <c r="H1783" s="49">
        <v>45981</v>
      </c>
      <c r="I1783" s="49">
        <v>45984</v>
      </c>
      <c r="J1783" t="s">
        <v>47</v>
      </c>
      <c r="K1783" s="33">
        <v>6300</v>
      </c>
      <c r="M1783" t="str">
        <f>_xlfn.XLOOKUP(Pipeline_tbl[[#This Row],[Rep_ID]],Dim_Reps!A:A,Dim_Reps!K:K)</f>
        <v>MXN</v>
      </c>
      <c r="N1783" s="33">
        <f>(_xlfn.XLOOKUP(Pipeline_tbl[[#This Row],[Rate_Code_Generalized]],Lookups!A:A,Lookups!B:B))*Pipeline_tbl[[#This Row],[Pipeline_Amount_USD]]</f>
        <v>124316.01000000001</v>
      </c>
      <c r="O1783" t="str">
        <f>_xlfn.XLOOKUP(Pipeline_tbl[[#This Row],[Rep_ID]],Dim_Reps!A:A,Dim_Reps!B:B)</f>
        <v>Milo Castro</v>
      </c>
      <c r="P1783" t="str">
        <f>_xlfn.XLOOKUP(Pipeline_tbl[[#This Row],[Rep_ID]],Dim_Reps!A:A,Dim_Reps!C:C)</f>
        <v>SDR / Inside Sales Rep</v>
      </c>
      <c r="Q1783" t="str">
        <f>_xlfn.XLOOKUP(Pipeline_tbl[[#This Row],[Rep_ID]],Dim_Reps!A:A,Dim_Reps!D:D)</f>
        <v>Inside Sales</v>
      </c>
      <c r="R1783" t="str">
        <f>_xlfn.XLOOKUP(Pipeline_tbl[[#This Row],[Rep_ID]],Dim_Reps!A:A,Dim_Reps!E:E)</f>
        <v>LATAM</v>
      </c>
      <c r="S1783" t="str">
        <f>_xlfn.XLOOKUP(Pipeline_tbl[[#This Row],[Created_Date]],Dim_Date!A:A,Dim_Date!H:H)</f>
        <v>Nov 2025</v>
      </c>
      <c r="T1783" t="str">
        <f>IF(Pipeline_tbl[[#This Row],[Closed_Date]]=0,"",(_xlfn.XLOOKUP(Pipeline_tbl[[#This Row],[Closed_Date]],Dim_Date!A:A,Dim_Date!H:H)))</f>
        <v>Nov 2025</v>
      </c>
      <c r="U1783">
        <f>IF(Pipeline_tbl[[#This Row],[Closed_Date]]=0,"",Pipeline_tbl[[#This Row],[Closed_Date]]-Pipeline_tbl[[#This Row],[Created_Date]])</f>
        <v>22</v>
      </c>
    </row>
    <row r="1784" spans="1:21" ht="15" customHeight="1" x14ac:dyDescent="0.2">
      <c r="A1784" t="s">
        <v>2090</v>
      </c>
      <c r="B1784" t="s">
        <v>235</v>
      </c>
      <c r="C1784" t="s">
        <v>52</v>
      </c>
      <c r="D1784" s="49">
        <v>45963</v>
      </c>
      <c r="E1784" s="49">
        <v>45965</v>
      </c>
      <c r="F1784" s="49">
        <v>45968</v>
      </c>
      <c r="G1784" s="49">
        <v>45972</v>
      </c>
      <c r="H1784" s="49">
        <v>45976</v>
      </c>
      <c r="I1784" s="49">
        <v>45978</v>
      </c>
      <c r="J1784" t="s">
        <v>49</v>
      </c>
      <c r="K1784" s="33">
        <v>4300</v>
      </c>
      <c r="L1784" t="s">
        <v>61</v>
      </c>
      <c r="M1784" t="str">
        <f>_xlfn.XLOOKUP(Pipeline_tbl[[#This Row],[Rep_ID]],Dim_Reps!A:A,Dim_Reps!K:K)</f>
        <v>MXN</v>
      </c>
      <c r="N1784" s="33">
        <f>(_xlfn.XLOOKUP(Pipeline_tbl[[#This Row],[Rate_Code_Generalized]],Lookups!A:A,Lookups!B:B))*Pipeline_tbl[[#This Row],[Pipeline_Amount_USD]]</f>
        <v>84850.61</v>
      </c>
      <c r="O1784" t="str">
        <f>_xlfn.XLOOKUP(Pipeline_tbl[[#This Row],[Rep_ID]],Dim_Reps!A:A,Dim_Reps!B:B)</f>
        <v>Milo Castro</v>
      </c>
      <c r="P1784" t="str">
        <f>_xlfn.XLOOKUP(Pipeline_tbl[[#This Row],[Rep_ID]],Dim_Reps!A:A,Dim_Reps!C:C)</f>
        <v>SDR / Inside Sales Rep</v>
      </c>
      <c r="Q1784" t="str">
        <f>_xlfn.XLOOKUP(Pipeline_tbl[[#This Row],[Rep_ID]],Dim_Reps!A:A,Dim_Reps!D:D)</f>
        <v>Inside Sales</v>
      </c>
      <c r="R1784" t="str">
        <f>_xlfn.XLOOKUP(Pipeline_tbl[[#This Row],[Rep_ID]],Dim_Reps!A:A,Dim_Reps!E:E)</f>
        <v>LATAM</v>
      </c>
      <c r="S1784" t="str">
        <f>_xlfn.XLOOKUP(Pipeline_tbl[[#This Row],[Created_Date]],Dim_Date!A:A,Dim_Date!H:H)</f>
        <v>Nov 2025</v>
      </c>
      <c r="T1784" t="str">
        <f>IF(Pipeline_tbl[[#This Row],[Closed_Date]]=0,"",(_xlfn.XLOOKUP(Pipeline_tbl[[#This Row],[Closed_Date]],Dim_Date!A:A,Dim_Date!H:H)))</f>
        <v>Nov 2025</v>
      </c>
      <c r="U1784">
        <f>IF(Pipeline_tbl[[#This Row],[Closed_Date]]=0,"",Pipeline_tbl[[#This Row],[Closed_Date]]-Pipeline_tbl[[#This Row],[Created_Date]])</f>
        <v>15</v>
      </c>
    </row>
    <row r="1785" spans="1:21" ht="15" customHeight="1" x14ac:dyDescent="0.2">
      <c r="A1785" t="s">
        <v>2091</v>
      </c>
      <c r="B1785" t="s">
        <v>237</v>
      </c>
      <c r="C1785" t="s">
        <v>52</v>
      </c>
      <c r="D1785" s="49">
        <v>45969</v>
      </c>
      <c r="E1785" s="49">
        <v>45971</v>
      </c>
      <c r="F1785" s="49">
        <v>45974</v>
      </c>
      <c r="I1785" s="49">
        <v>45986</v>
      </c>
      <c r="J1785" t="s">
        <v>49</v>
      </c>
      <c r="K1785" s="33">
        <v>3500</v>
      </c>
      <c r="L1785" t="s">
        <v>60</v>
      </c>
      <c r="M1785" t="str">
        <f>_xlfn.XLOOKUP(Pipeline_tbl[[#This Row],[Rep_ID]],Dim_Reps!A:A,Dim_Reps!K:K)</f>
        <v>EUR</v>
      </c>
      <c r="N1785" s="33">
        <f>(_xlfn.XLOOKUP(Pipeline_tbl[[#This Row],[Rate_Code_Generalized]],Lookups!A:A,Lookups!B:B))*Pipeline_tbl[[#This Row],[Pipeline_Amount_USD]]</f>
        <v>3500</v>
      </c>
      <c r="O1785" t="str">
        <f>_xlfn.XLOOKUP(Pipeline_tbl[[#This Row],[Rep_ID]],Dim_Reps!A:A,Dim_Reps!B:B)</f>
        <v>Hugo Santos</v>
      </c>
      <c r="P1785" t="str">
        <f>_xlfn.XLOOKUP(Pipeline_tbl[[#This Row],[Rep_ID]],Dim_Reps!A:A,Dim_Reps!C:C)</f>
        <v>SDR / Inside Sales Rep</v>
      </c>
      <c r="Q1785" t="str">
        <f>_xlfn.XLOOKUP(Pipeline_tbl[[#This Row],[Rep_ID]],Dim_Reps!A:A,Dim_Reps!D:D)</f>
        <v>Inside Sales</v>
      </c>
      <c r="R1785" t="str">
        <f>_xlfn.XLOOKUP(Pipeline_tbl[[#This Row],[Rep_ID]],Dim_Reps!A:A,Dim_Reps!E:E)</f>
        <v>EMEA</v>
      </c>
      <c r="S1785" t="str">
        <f>_xlfn.XLOOKUP(Pipeline_tbl[[#This Row],[Created_Date]],Dim_Date!A:A,Dim_Date!H:H)</f>
        <v>Nov 2025</v>
      </c>
      <c r="T1785" t="str">
        <f>IF(Pipeline_tbl[[#This Row],[Closed_Date]]=0,"",(_xlfn.XLOOKUP(Pipeline_tbl[[#This Row],[Closed_Date]],Dim_Date!A:A,Dim_Date!H:H)))</f>
        <v>Nov 2025</v>
      </c>
      <c r="U1785">
        <f>IF(Pipeline_tbl[[#This Row],[Closed_Date]]=0,"",Pipeline_tbl[[#This Row],[Closed_Date]]-Pipeline_tbl[[#This Row],[Created_Date]])</f>
        <v>17</v>
      </c>
    </row>
    <row r="1786" spans="1:21" ht="15" customHeight="1" x14ac:dyDescent="0.2">
      <c r="A1786" t="s">
        <v>2092</v>
      </c>
      <c r="B1786" t="s">
        <v>237</v>
      </c>
      <c r="C1786" t="s">
        <v>52</v>
      </c>
      <c r="D1786" s="49">
        <v>45982</v>
      </c>
      <c r="E1786" s="49">
        <v>45983</v>
      </c>
      <c r="F1786" s="49">
        <v>45984</v>
      </c>
      <c r="G1786" s="49">
        <v>45987</v>
      </c>
      <c r="H1786" s="49">
        <v>45989</v>
      </c>
      <c r="I1786" s="49">
        <v>45990</v>
      </c>
      <c r="J1786" t="s">
        <v>47</v>
      </c>
      <c r="K1786" s="33">
        <v>3500</v>
      </c>
      <c r="M1786" t="str">
        <f>_xlfn.XLOOKUP(Pipeline_tbl[[#This Row],[Rep_ID]],Dim_Reps!A:A,Dim_Reps!K:K)</f>
        <v>EUR</v>
      </c>
      <c r="N1786" s="33">
        <f>(_xlfn.XLOOKUP(Pipeline_tbl[[#This Row],[Rate_Code_Generalized]],Lookups!A:A,Lookups!B:B))*Pipeline_tbl[[#This Row],[Pipeline_Amount_USD]]</f>
        <v>3500</v>
      </c>
      <c r="O1786" t="str">
        <f>_xlfn.XLOOKUP(Pipeline_tbl[[#This Row],[Rep_ID]],Dim_Reps!A:A,Dim_Reps!B:B)</f>
        <v>Hugo Santos</v>
      </c>
      <c r="P1786" t="str">
        <f>_xlfn.XLOOKUP(Pipeline_tbl[[#This Row],[Rep_ID]],Dim_Reps!A:A,Dim_Reps!C:C)</f>
        <v>SDR / Inside Sales Rep</v>
      </c>
      <c r="Q1786" t="str">
        <f>_xlfn.XLOOKUP(Pipeline_tbl[[#This Row],[Rep_ID]],Dim_Reps!A:A,Dim_Reps!D:D)</f>
        <v>Inside Sales</v>
      </c>
      <c r="R1786" t="str">
        <f>_xlfn.XLOOKUP(Pipeline_tbl[[#This Row],[Rep_ID]],Dim_Reps!A:A,Dim_Reps!E:E)</f>
        <v>EMEA</v>
      </c>
      <c r="S1786" t="str">
        <f>_xlfn.XLOOKUP(Pipeline_tbl[[#This Row],[Created_Date]],Dim_Date!A:A,Dim_Date!H:H)</f>
        <v>Nov 2025</v>
      </c>
      <c r="T1786" t="str">
        <f>IF(Pipeline_tbl[[#This Row],[Closed_Date]]=0,"",(_xlfn.XLOOKUP(Pipeline_tbl[[#This Row],[Closed_Date]],Dim_Date!A:A,Dim_Date!H:H)))</f>
        <v>Nov 2025</v>
      </c>
      <c r="U1786">
        <f>IF(Pipeline_tbl[[#This Row],[Closed_Date]]=0,"",Pipeline_tbl[[#This Row],[Closed_Date]]-Pipeline_tbl[[#This Row],[Created_Date]])</f>
        <v>8</v>
      </c>
    </row>
    <row r="1787" spans="1:21" ht="15" customHeight="1" x14ac:dyDescent="0.2">
      <c r="A1787" t="s">
        <v>2093</v>
      </c>
      <c r="B1787" t="s">
        <v>237</v>
      </c>
      <c r="C1787" t="s">
        <v>55</v>
      </c>
      <c r="D1787" s="49">
        <v>45966</v>
      </c>
      <c r="E1787" s="49">
        <v>45968</v>
      </c>
      <c r="F1787" s="49">
        <v>45973</v>
      </c>
      <c r="I1787" s="49">
        <v>45988</v>
      </c>
      <c r="J1787" t="s">
        <v>49</v>
      </c>
      <c r="K1787" s="33">
        <v>16200</v>
      </c>
      <c r="L1787" t="s">
        <v>61</v>
      </c>
      <c r="M1787" t="str">
        <f>_xlfn.XLOOKUP(Pipeline_tbl[[#This Row],[Rep_ID]],Dim_Reps!A:A,Dim_Reps!K:K)</f>
        <v>EUR</v>
      </c>
      <c r="N1787" s="33">
        <f>(_xlfn.XLOOKUP(Pipeline_tbl[[#This Row],[Rate_Code_Generalized]],Lookups!A:A,Lookups!B:B))*Pipeline_tbl[[#This Row],[Pipeline_Amount_USD]]</f>
        <v>16200</v>
      </c>
      <c r="O1787" t="str">
        <f>_xlfn.XLOOKUP(Pipeline_tbl[[#This Row],[Rep_ID]],Dim_Reps!A:A,Dim_Reps!B:B)</f>
        <v>Hugo Santos</v>
      </c>
      <c r="P1787" t="str">
        <f>_xlfn.XLOOKUP(Pipeline_tbl[[#This Row],[Rep_ID]],Dim_Reps!A:A,Dim_Reps!C:C)</f>
        <v>SDR / Inside Sales Rep</v>
      </c>
      <c r="Q1787" t="str">
        <f>_xlfn.XLOOKUP(Pipeline_tbl[[#This Row],[Rep_ID]],Dim_Reps!A:A,Dim_Reps!D:D)</f>
        <v>Inside Sales</v>
      </c>
      <c r="R1787" t="str">
        <f>_xlfn.XLOOKUP(Pipeline_tbl[[#This Row],[Rep_ID]],Dim_Reps!A:A,Dim_Reps!E:E)</f>
        <v>EMEA</v>
      </c>
      <c r="S1787" t="str">
        <f>_xlfn.XLOOKUP(Pipeline_tbl[[#This Row],[Created_Date]],Dim_Date!A:A,Dim_Date!H:H)</f>
        <v>Nov 2025</v>
      </c>
      <c r="T1787" t="str">
        <f>IF(Pipeline_tbl[[#This Row],[Closed_Date]]=0,"",(_xlfn.XLOOKUP(Pipeline_tbl[[#This Row],[Closed_Date]],Dim_Date!A:A,Dim_Date!H:H)))</f>
        <v>Nov 2025</v>
      </c>
      <c r="U1787">
        <f>IF(Pipeline_tbl[[#This Row],[Closed_Date]]=0,"",Pipeline_tbl[[#This Row],[Closed_Date]]-Pipeline_tbl[[#This Row],[Created_Date]])</f>
        <v>22</v>
      </c>
    </row>
    <row r="1788" spans="1:21" ht="15" customHeight="1" x14ac:dyDescent="0.2">
      <c r="A1788" t="s">
        <v>2094</v>
      </c>
      <c r="B1788" t="s">
        <v>239</v>
      </c>
      <c r="C1788" t="s">
        <v>52</v>
      </c>
      <c r="D1788" s="49">
        <v>45962</v>
      </c>
      <c r="E1788" s="49">
        <v>45964</v>
      </c>
      <c r="F1788" s="49">
        <v>45967</v>
      </c>
      <c r="G1788" s="49">
        <v>45972</v>
      </c>
      <c r="I1788" s="49">
        <v>45979</v>
      </c>
      <c r="J1788" t="s">
        <v>49</v>
      </c>
      <c r="K1788" s="33">
        <v>2000</v>
      </c>
      <c r="L1788" t="s">
        <v>60</v>
      </c>
      <c r="M1788" t="str">
        <f>_xlfn.XLOOKUP(Pipeline_tbl[[#This Row],[Rep_ID]],Dim_Reps!A:A,Dim_Reps!K:K)</f>
        <v>USD</v>
      </c>
      <c r="N1788" s="33">
        <f>(_xlfn.XLOOKUP(Pipeline_tbl[[#This Row],[Rate_Code_Generalized]],Lookups!A:A,Lookups!B:B))*Pipeline_tbl[[#This Row],[Pipeline_Amount_USD]]</f>
        <v>2328.6</v>
      </c>
      <c r="O1788" t="str">
        <f>_xlfn.XLOOKUP(Pipeline_tbl[[#This Row],[Rep_ID]],Dim_Reps!A:A,Dim_Reps!B:B)</f>
        <v>Noah Adler</v>
      </c>
      <c r="P1788" t="str">
        <f>_xlfn.XLOOKUP(Pipeline_tbl[[#This Row],[Rep_ID]],Dim_Reps!A:A,Dim_Reps!C:C)</f>
        <v>SDR / Inside Sales Rep</v>
      </c>
      <c r="Q1788" t="str">
        <f>_xlfn.XLOOKUP(Pipeline_tbl[[#This Row],[Rep_ID]],Dim_Reps!A:A,Dim_Reps!D:D)</f>
        <v>Inside Sales</v>
      </c>
      <c r="R1788" t="str">
        <f>_xlfn.XLOOKUP(Pipeline_tbl[[#This Row],[Rep_ID]],Dim_Reps!A:A,Dim_Reps!E:E)</f>
        <v>NAMER</v>
      </c>
      <c r="S1788" t="str">
        <f>_xlfn.XLOOKUP(Pipeline_tbl[[#This Row],[Created_Date]],Dim_Date!A:A,Dim_Date!H:H)</f>
        <v>Nov 2025</v>
      </c>
      <c r="T1788" t="str">
        <f>IF(Pipeline_tbl[[#This Row],[Closed_Date]]=0,"",(_xlfn.XLOOKUP(Pipeline_tbl[[#This Row],[Closed_Date]],Dim_Date!A:A,Dim_Date!H:H)))</f>
        <v>Nov 2025</v>
      </c>
      <c r="U1788">
        <f>IF(Pipeline_tbl[[#This Row],[Closed_Date]]=0,"",Pipeline_tbl[[#This Row],[Closed_Date]]-Pipeline_tbl[[#This Row],[Created_Date]])</f>
        <v>17</v>
      </c>
    </row>
    <row r="1789" spans="1:21" ht="15" customHeight="1" x14ac:dyDescent="0.2">
      <c r="A1789" t="s">
        <v>2095</v>
      </c>
      <c r="B1789" t="s">
        <v>239</v>
      </c>
      <c r="C1789" t="s">
        <v>52</v>
      </c>
      <c r="D1789" s="49">
        <v>45963</v>
      </c>
      <c r="E1789" s="49">
        <v>45965</v>
      </c>
      <c r="F1789" s="49">
        <v>45968</v>
      </c>
      <c r="I1789" s="49">
        <v>45978</v>
      </c>
      <c r="J1789" t="s">
        <v>49</v>
      </c>
      <c r="K1789" s="33">
        <v>5300</v>
      </c>
      <c r="L1789" t="s">
        <v>61</v>
      </c>
      <c r="M1789" t="str">
        <f>_xlfn.XLOOKUP(Pipeline_tbl[[#This Row],[Rep_ID]],Dim_Reps!A:A,Dim_Reps!K:K)</f>
        <v>USD</v>
      </c>
      <c r="N1789" s="33">
        <f>(_xlfn.XLOOKUP(Pipeline_tbl[[#This Row],[Rate_Code_Generalized]],Lookups!A:A,Lookups!B:B))*Pipeline_tbl[[#This Row],[Pipeline_Amount_USD]]</f>
        <v>6170.7899999999991</v>
      </c>
      <c r="O1789" t="str">
        <f>_xlfn.XLOOKUP(Pipeline_tbl[[#This Row],[Rep_ID]],Dim_Reps!A:A,Dim_Reps!B:B)</f>
        <v>Noah Adler</v>
      </c>
      <c r="P1789" t="str">
        <f>_xlfn.XLOOKUP(Pipeline_tbl[[#This Row],[Rep_ID]],Dim_Reps!A:A,Dim_Reps!C:C)</f>
        <v>SDR / Inside Sales Rep</v>
      </c>
      <c r="Q1789" t="str">
        <f>_xlfn.XLOOKUP(Pipeline_tbl[[#This Row],[Rep_ID]],Dim_Reps!A:A,Dim_Reps!D:D)</f>
        <v>Inside Sales</v>
      </c>
      <c r="R1789" t="str">
        <f>_xlfn.XLOOKUP(Pipeline_tbl[[#This Row],[Rep_ID]],Dim_Reps!A:A,Dim_Reps!E:E)</f>
        <v>NAMER</v>
      </c>
      <c r="S1789" t="str">
        <f>_xlfn.XLOOKUP(Pipeline_tbl[[#This Row],[Created_Date]],Dim_Date!A:A,Dim_Date!H:H)</f>
        <v>Nov 2025</v>
      </c>
      <c r="T1789" t="str">
        <f>IF(Pipeline_tbl[[#This Row],[Closed_Date]]=0,"",(_xlfn.XLOOKUP(Pipeline_tbl[[#This Row],[Closed_Date]],Dim_Date!A:A,Dim_Date!H:H)))</f>
        <v>Nov 2025</v>
      </c>
      <c r="U1789">
        <f>IF(Pipeline_tbl[[#This Row],[Closed_Date]]=0,"",Pipeline_tbl[[#This Row],[Closed_Date]]-Pipeline_tbl[[#This Row],[Created_Date]])</f>
        <v>15</v>
      </c>
    </row>
    <row r="1790" spans="1:21" ht="15" customHeight="1" x14ac:dyDescent="0.2">
      <c r="A1790" t="s">
        <v>2096</v>
      </c>
      <c r="B1790" t="s">
        <v>241</v>
      </c>
      <c r="C1790" t="s">
        <v>54</v>
      </c>
      <c r="D1790" s="49">
        <v>45977</v>
      </c>
      <c r="E1790" s="49">
        <v>45978</v>
      </c>
      <c r="F1790" s="49">
        <v>45981</v>
      </c>
      <c r="G1790" s="49">
        <v>45985</v>
      </c>
      <c r="H1790" s="49">
        <v>45989</v>
      </c>
      <c r="I1790" s="49">
        <v>45991</v>
      </c>
      <c r="J1790" t="s">
        <v>47</v>
      </c>
      <c r="K1790" s="33">
        <v>5100</v>
      </c>
      <c r="M1790" t="str">
        <f>_xlfn.XLOOKUP(Pipeline_tbl[[#This Row],[Rep_ID]],Dim_Reps!A:A,Dim_Reps!K:K)</f>
        <v>EUR</v>
      </c>
      <c r="N1790" s="33">
        <f>(_xlfn.XLOOKUP(Pipeline_tbl[[#This Row],[Rate_Code_Generalized]],Lookups!A:A,Lookups!B:B))*Pipeline_tbl[[#This Row],[Pipeline_Amount_USD]]</f>
        <v>5100</v>
      </c>
      <c r="O1790" t="str">
        <f>_xlfn.XLOOKUP(Pipeline_tbl[[#This Row],[Rep_ID]],Dim_Reps!A:A,Dim_Reps!B:B)</f>
        <v>Kenji Weber</v>
      </c>
      <c r="P1790" t="str">
        <f>_xlfn.XLOOKUP(Pipeline_tbl[[#This Row],[Rep_ID]],Dim_Reps!A:A,Dim_Reps!C:C)</f>
        <v>SDR / Inside Sales Rep</v>
      </c>
      <c r="Q1790" t="str">
        <f>_xlfn.XLOOKUP(Pipeline_tbl[[#This Row],[Rep_ID]],Dim_Reps!A:A,Dim_Reps!D:D)</f>
        <v>Inside Sales</v>
      </c>
      <c r="R1790" t="str">
        <f>_xlfn.XLOOKUP(Pipeline_tbl[[#This Row],[Rep_ID]],Dim_Reps!A:A,Dim_Reps!E:E)</f>
        <v>APAC</v>
      </c>
      <c r="S1790" t="str">
        <f>_xlfn.XLOOKUP(Pipeline_tbl[[#This Row],[Created_Date]],Dim_Date!A:A,Dim_Date!H:H)</f>
        <v>Nov 2025</v>
      </c>
      <c r="T1790" t="str">
        <f>IF(Pipeline_tbl[[#This Row],[Closed_Date]]=0,"",(_xlfn.XLOOKUP(Pipeline_tbl[[#This Row],[Closed_Date]],Dim_Date!A:A,Dim_Date!H:H)))</f>
        <v>Nov 2025</v>
      </c>
      <c r="U1790">
        <f>IF(Pipeline_tbl[[#This Row],[Closed_Date]]=0,"",Pipeline_tbl[[#This Row],[Closed_Date]]-Pipeline_tbl[[#This Row],[Created_Date]])</f>
        <v>14</v>
      </c>
    </row>
    <row r="1791" spans="1:21" ht="15" customHeight="1" x14ac:dyDescent="0.2">
      <c r="A1791" t="s">
        <v>2097</v>
      </c>
      <c r="B1791" t="s">
        <v>241</v>
      </c>
      <c r="C1791" t="s">
        <v>52</v>
      </c>
      <c r="D1791" s="49">
        <v>45973</v>
      </c>
      <c r="E1791" s="49">
        <v>45974</v>
      </c>
      <c r="I1791" s="49">
        <v>45984</v>
      </c>
      <c r="J1791" t="s">
        <v>49</v>
      </c>
      <c r="K1791" s="33">
        <v>6500</v>
      </c>
      <c r="L1791" t="s">
        <v>61</v>
      </c>
      <c r="M1791" t="str">
        <f>_xlfn.XLOOKUP(Pipeline_tbl[[#This Row],[Rep_ID]],Dim_Reps!A:A,Dim_Reps!K:K)</f>
        <v>EUR</v>
      </c>
      <c r="N1791" s="33">
        <f>(_xlfn.XLOOKUP(Pipeline_tbl[[#This Row],[Rate_Code_Generalized]],Lookups!A:A,Lookups!B:B))*Pipeline_tbl[[#This Row],[Pipeline_Amount_USD]]</f>
        <v>6500</v>
      </c>
      <c r="O1791" t="str">
        <f>_xlfn.XLOOKUP(Pipeline_tbl[[#This Row],[Rep_ID]],Dim_Reps!A:A,Dim_Reps!B:B)</f>
        <v>Kenji Weber</v>
      </c>
      <c r="P1791" t="str">
        <f>_xlfn.XLOOKUP(Pipeline_tbl[[#This Row],[Rep_ID]],Dim_Reps!A:A,Dim_Reps!C:C)</f>
        <v>SDR / Inside Sales Rep</v>
      </c>
      <c r="Q1791" t="str">
        <f>_xlfn.XLOOKUP(Pipeline_tbl[[#This Row],[Rep_ID]],Dim_Reps!A:A,Dim_Reps!D:D)</f>
        <v>Inside Sales</v>
      </c>
      <c r="R1791" t="str">
        <f>_xlfn.XLOOKUP(Pipeline_tbl[[#This Row],[Rep_ID]],Dim_Reps!A:A,Dim_Reps!E:E)</f>
        <v>APAC</v>
      </c>
      <c r="S1791" t="str">
        <f>_xlfn.XLOOKUP(Pipeline_tbl[[#This Row],[Created_Date]],Dim_Date!A:A,Dim_Date!H:H)</f>
        <v>Nov 2025</v>
      </c>
      <c r="T1791" t="str">
        <f>IF(Pipeline_tbl[[#This Row],[Closed_Date]]=0,"",(_xlfn.XLOOKUP(Pipeline_tbl[[#This Row],[Closed_Date]],Dim_Date!A:A,Dim_Date!H:H)))</f>
        <v>Nov 2025</v>
      </c>
      <c r="U1791">
        <f>IF(Pipeline_tbl[[#This Row],[Closed_Date]]=0,"",Pipeline_tbl[[#This Row],[Closed_Date]]-Pipeline_tbl[[#This Row],[Created_Date]])</f>
        <v>11</v>
      </c>
    </row>
    <row r="1792" spans="1:21" ht="15" customHeight="1" x14ac:dyDescent="0.2">
      <c r="A1792" t="s">
        <v>2098</v>
      </c>
      <c r="B1792" t="s">
        <v>193</v>
      </c>
      <c r="C1792" t="s">
        <v>52</v>
      </c>
      <c r="D1792" s="49">
        <v>45610</v>
      </c>
      <c r="E1792" s="49">
        <v>45612</v>
      </c>
      <c r="F1792" s="49">
        <v>45616</v>
      </c>
      <c r="G1792" s="49">
        <v>45623</v>
      </c>
      <c r="H1792" s="49">
        <v>45628</v>
      </c>
      <c r="I1792" s="49">
        <v>45631</v>
      </c>
      <c r="J1792" t="s">
        <v>47</v>
      </c>
      <c r="K1792" s="33">
        <v>5000</v>
      </c>
      <c r="M1792" t="str">
        <f>_xlfn.XLOOKUP(Pipeline_tbl[[#This Row],[Rep_ID]],Dim_Reps!A:A,Dim_Reps!K:K)</f>
        <v>USD</v>
      </c>
      <c r="N1792" s="33">
        <f>(_xlfn.XLOOKUP(Pipeline_tbl[[#This Row],[Rate_Code_Generalized]],Lookups!A:A,Lookups!B:B))*Pipeline_tbl[[#This Row],[Pipeline_Amount_USD]]</f>
        <v>5821.4999999999991</v>
      </c>
      <c r="O1792" t="str">
        <f>_xlfn.XLOOKUP(Pipeline_tbl[[#This Row],[Rep_ID]],Dim_Reps!A:A,Dim_Reps!B:B)</f>
        <v>Karim Rossi</v>
      </c>
      <c r="P1792" t="str">
        <f>_xlfn.XLOOKUP(Pipeline_tbl[[#This Row],[Rep_ID]],Dim_Reps!A:A,Dim_Reps!C:C)</f>
        <v>SDR / Inside Sales Rep</v>
      </c>
      <c r="Q1792" t="str">
        <f>_xlfn.XLOOKUP(Pipeline_tbl[[#This Row],[Rep_ID]],Dim_Reps!A:A,Dim_Reps!D:D)</f>
        <v>Inside Sales</v>
      </c>
      <c r="R1792" t="str">
        <f>_xlfn.XLOOKUP(Pipeline_tbl[[#This Row],[Rep_ID]],Dim_Reps!A:A,Dim_Reps!E:E)</f>
        <v>NAMER</v>
      </c>
      <c r="S1792" t="str">
        <f>_xlfn.XLOOKUP(Pipeline_tbl[[#This Row],[Created_Date]],Dim_Date!A:A,Dim_Date!H:H)</f>
        <v>Nov 2024</v>
      </c>
      <c r="T1792" t="str">
        <f>IF(Pipeline_tbl[[#This Row],[Closed_Date]]=0,"",(_xlfn.XLOOKUP(Pipeline_tbl[[#This Row],[Closed_Date]],Dim_Date!A:A,Dim_Date!H:H)))</f>
        <v>Dec 2024</v>
      </c>
      <c r="U1792">
        <f>IF(Pipeline_tbl[[#This Row],[Closed_Date]]=0,"",Pipeline_tbl[[#This Row],[Closed_Date]]-Pipeline_tbl[[#This Row],[Created_Date]])</f>
        <v>21</v>
      </c>
    </row>
    <row r="1793" spans="1:21" ht="15" customHeight="1" x14ac:dyDescent="0.2">
      <c r="A1793" t="s">
        <v>2099</v>
      </c>
      <c r="B1793" t="s">
        <v>243</v>
      </c>
      <c r="C1793" t="s">
        <v>54</v>
      </c>
      <c r="D1793" s="49">
        <v>45609</v>
      </c>
      <c r="E1793" s="49">
        <v>45613</v>
      </c>
      <c r="F1793" s="49">
        <v>45620</v>
      </c>
      <c r="G1793" s="49">
        <v>45631</v>
      </c>
      <c r="I1793" s="49">
        <v>45645</v>
      </c>
      <c r="J1793" t="s">
        <v>49</v>
      </c>
      <c r="K1793" s="33">
        <v>21000</v>
      </c>
      <c r="L1793" t="s">
        <v>63</v>
      </c>
      <c r="M1793" t="str">
        <f>_xlfn.XLOOKUP(Pipeline_tbl[[#This Row],[Rep_ID]],Dim_Reps!A:A,Dim_Reps!K:K)</f>
        <v>MXN</v>
      </c>
      <c r="N1793" s="33">
        <f>(_xlfn.XLOOKUP(Pipeline_tbl[[#This Row],[Rate_Code_Generalized]],Lookups!A:A,Lookups!B:B))*Pipeline_tbl[[#This Row],[Pipeline_Amount_USD]]</f>
        <v>414386.7</v>
      </c>
      <c r="O1793" t="str">
        <f>_xlfn.XLOOKUP(Pipeline_tbl[[#This Row],[Rep_ID]],Dim_Reps!A:A,Dim_Reps!B:B)</f>
        <v>Jonas Sato</v>
      </c>
      <c r="P1793" t="str">
        <f>_xlfn.XLOOKUP(Pipeline_tbl[[#This Row],[Rep_ID]],Dim_Reps!A:A,Dim_Reps!C:C)</f>
        <v>Mid-Market AE</v>
      </c>
      <c r="Q1793" t="str">
        <f>_xlfn.XLOOKUP(Pipeline_tbl[[#This Row],[Rep_ID]],Dim_Reps!A:A,Dim_Reps!D:D)</f>
        <v>Mid-Market</v>
      </c>
      <c r="R1793" t="str">
        <f>_xlfn.XLOOKUP(Pipeline_tbl[[#This Row],[Rep_ID]],Dim_Reps!A:A,Dim_Reps!E:E)</f>
        <v>LATAM</v>
      </c>
      <c r="S1793" t="str">
        <f>_xlfn.XLOOKUP(Pipeline_tbl[[#This Row],[Created_Date]],Dim_Date!A:A,Dim_Date!H:H)</f>
        <v>Nov 2024</v>
      </c>
      <c r="T1793" t="str">
        <f>IF(Pipeline_tbl[[#This Row],[Closed_Date]]=0,"",(_xlfn.XLOOKUP(Pipeline_tbl[[#This Row],[Closed_Date]],Dim_Date!A:A,Dim_Date!H:H)))</f>
        <v>Dec 2024</v>
      </c>
      <c r="U1793">
        <f>IF(Pipeline_tbl[[#This Row],[Closed_Date]]=0,"",Pipeline_tbl[[#This Row],[Closed_Date]]-Pipeline_tbl[[#This Row],[Created_Date]])</f>
        <v>36</v>
      </c>
    </row>
    <row r="1794" spans="1:21" ht="15" customHeight="1" x14ac:dyDescent="0.2">
      <c r="A1794" t="s">
        <v>2100</v>
      </c>
      <c r="B1794" t="s">
        <v>196</v>
      </c>
      <c r="C1794" t="s">
        <v>53</v>
      </c>
      <c r="D1794" s="49">
        <v>45621</v>
      </c>
      <c r="E1794" s="49">
        <v>45623</v>
      </c>
      <c r="F1794" s="49">
        <v>45627</v>
      </c>
      <c r="G1794" s="49">
        <v>45633</v>
      </c>
      <c r="H1794" s="49">
        <v>45638</v>
      </c>
      <c r="I1794" s="49">
        <v>45641</v>
      </c>
      <c r="J1794" t="s">
        <v>49</v>
      </c>
      <c r="K1794" s="33">
        <v>3000</v>
      </c>
      <c r="L1794" t="s">
        <v>62</v>
      </c>
      <c r="M1794" t="str">
        <f>_xlfn.XLOOKUP(Pipeline_tbl[[#This Row],[Rep_ID]],Dim_Reps!A:A,Dim_Reps!K:K)</f>
        <v>EUR</v>
      </c>
      <c r="N1794" s="33">
        <f>(_xlfn.XLOOKUP(Pipeline_tbl[[#This Row],[Rate_Code_Generalized]],Lookups!A:A,Lookups!B:B))*Pipeline_tbl[[#This Row],[Pipeline_Amount_USD]]</f>
        <v>3000</v>
      </c>
      <c r="O1794" t="str">
        <f>_xlfn.XLOOKUP(Pipeline_tbl[[#This Row],[Rep_ID]],Dim_Reps!A:A,Dim_Reps!B:B)</f>
        <v>Alex Okafor</v>
      </c>
      <c r="P1794" t="str">
        <f>_xlfn.XLOOKUP(Pipeline_tbl[[#This Row],[Rep_ID]],Dim_Reps!A:A,Dim_Reps!C:C)</f>
        <v>SDR / Inside Sales Rep</v>
      </c>
      <c r="Q1794" t="str">
        <f>_xlfn.XLOOKUP(Pipeline_tbl[[#This Row],[Rep_ID]],Dim_Reps!A:A,Dim_Reps!D:D)</f>
        <v>Inside Sales</v>
      </c>
      <c r="R1794" t="str">
        <f>_xlfn.XLOOKUP(Pipeline_tbl[[#This Row],[Rep_ID]],Dim_Reps!A:A,Dim_Reps!E:E)</f>
        <v>EMEA</v>
      </c>
      <c r="S1794" t="str">
        <f>_xlfn.XLOOKUP(Pipeline_tbl[[#This Row],[Created_Date]],Dim_Date!A:A,Dim_Date!H:H)</f>
        <v>Nov 2024</v>
      </c>
      <c r="T1794" t="str">
        <f>IF(Pipeline_tbl[[#This Row],[Closed_Date]]=0,"",(_xlfn.XLOOKUP(Pipeline_tbl[[#This Row],[Closed_Date]],Dim_Date!A:A,Dim_Date!H:H)))</f>
        <v>Dec 2024</v>
      </c>
      <c r="U1794">
        <f>IF(Pipeline_tbl[[#This Row],[Closed_Date]]=0,"",Pipeline_tbl[[#This Row],[Closed_Date]]-Pipeline_tbl[[#This Row],[Created_Date]])</f>
        <v>20</v>
      </c>
    </row>
    <row r="1795" spans="1:21" ht="15" customHeight="1" x14ac:dyDescent="0.2">
      <c r="A1795" t="s">
        <v>2101</v>
      </c>
      <c r="B1795" t="s">
        <v>196</v>
      </c>
      <c r="C1795" t="s">
        <v>52</v>
      </c>
      <c r="D1795" s="49">
        <v>45624</v>
      </c>
      <c r="E1795" s="49">
        <v>45626</v>
      </c>
      <c r="F1795" s="49">
        <v>45630</v>
      </c>
      <c r="G1795" s="49">
        <v>45636</v>
      </c>
      <c r="H1795" s="49">
        <v>45641</v>
      </c>
      <c r="I1795" s="49">
        <v>45644</v>
      </c>
      <c r="J1795" t="s">
        <v>47</v>
      </c>
      <c r="K1795" s="33">
        <v>5200</v>
      </c>
      <c r="M1795" t="str">
        <f>_xlfn.XLOOKUP(Pipeline_tbl[[#This Row],[Rep_ID]],Dim_Reps!A:A,Dim_Reps!K:K)</f>
        <v>EUR</v>
      </c>
      <c r="N1795" s="33">
        <f>(_xlfn.XLOOKUP(Pipeline_tbl[[#This Row],[Rate_Code_Generalized]],Lookups!A:A,Lookups!B:B))*Pipeline_tbl[[#This Row],[Pipeline_Amount_USD]]</f>
        <v>5200</v>
      </c>
      <c r="O1795" t="str">
        <f>_xlfn.XLOOKUP(Pipeline_tbl[[#This Row],[Rep_ID]],Dim_Reps!A:A,Dim_Reps!B:B)</f>
        <v>Alex Okafor</v>
      </c>
      <c r="P1795" t="str">
        <f>_xlfn.XLOOKUP(Pipeline_tbl[[#This Row],[Rep_ID]],Dim_Reps!A:A,Dim_Reps!C:C)</f>
        <v>SDR / Inside Sales Rep</v>
      </c>
      <c r="Q1795" t="str">
        <f>_xlfn.XLOOKUP(Pipeline_tbl[[#This Row],[Rep_ID]],Dim_Reps!A:A,Dim_Reps!D:D)</f>
        <v>Inside Sales</v>
      </c>
      <c r="R1795" t="str">
        <f>_xlfn.XLOOKUP(Pipeline_tbl[[#This Row],[Rep_ID]],Dim_Reps!A:A,Dim_Reps!E:E)</f>
        <v>EMEA</v>
      </c>
      <c r="S1795" t="str">
        <f>_xlfn.XLOOKUP(Pipeline_tbl[[#This Row],[Created_Date]],Dim_Date!A:A,Dim_Date!H:H)</f>
        <v>Nov 2024</v>
      </c>
      <c r="T1795" t="str">
        <f>IF(Pipeline_tbl[[#This Row],[Closed_Date]]=0,"",(_xlfn.XLOOKUP(Pipeline_tbl[[#This Row],[Closed_Date]],Dim_Date!A:A,Dim_Date!H:H)))</f>
        <v>Dec 2024</v>
      </c>
      <c r="U1795">
        <f>IF(Pipeline_tbl[[#This Row],[Closed_Date]]=0,"",Pipeline_tbl[[#This Row],[Closed_Date]]-Pipeline_tbl[[#This Row],[Created_Date]])</f>
        <v>20</v>
      </c>
    </row>
    <row r="1796" spans="1:21" ht="15" customHeight="1" x14ac:dyDescent="0.2">
      <c r="A1796" t="s">
        <v>2102</v>
      </c>
      <c r="B1796" t="s">
        <v>196</v>
      </c>
      <c r="C1796" t="s">
        <v>54</v>
      </c>
      <c r="D1796" s="49">
        <v>45625</v>
      </c>
      <c r="E1796" s="49">
        <v>45628</v>
      </c>
      <c r="F1796" s="49">
        <v>45633</v>
      </c>
      <c r="G1796" s="49">
        <v>45641</v>
      </c>
      <c r="I1796" s="49">
        <v>45651</v>
      </c>
      <c r="J1796" t="s">
        <v>49</v>
      </c>
      <c r="K1796" s="33">
        <v>7400</v>
      </c>
      <c r="L1796" t="s">
        <v>61</v>
      </c>
      <c r="M1796" t="str">
        <f>_xlfn.XLOOKUP(Pipeline_tbl[[#This Row],[Rep_ID]],Dim_Reps!A:A,Dim_Reps!K:K)</f>
        <v>EUR</v>
      </c>
      <c r="N1796" s="33">
        <f>(_xlfn.XLOOKUP(Pipeline_tbl[[#This Row],[Rate_Code_Generalized]],Lookups!A:A,Lookups!B:B))*Pipeline_tbl[[#This Row],[Pipeline_Amount_USD]]</f>
        <v>7400</v>
      </c>
      <c r="O1796" t="str">
        <f>_xlfn.XLOOKUP(Pipeline_tbl[[#This Row],[Rep_ID]],Dim_Reps!A:A,Dim_Reps!B:B)</f>
        <v>Alex Okafor</v>
      </c>
      <c r="P1796" t="str">
        <f>_xlfn.XLOOKUP(Pipeline_tbl[[#This Row],[Rep_ID]],Dim_Reps!A:A,Dim_Reps!C:C)</f>
        <v>SDR / Inside Sales Rep</v>
      </c>
      <c r="Q1796" t="str">
        <f>_xlfn.XLOOKUP(Pipeline_tbl[[#This Row],[Rep_ID]],Dim_Reps!A:A,Dim_Reps!D:D)</f>
        <v>Inside Sales</v>
      </c>
      <c r="R1796" t="str">
        <f>_xlfn.XLOOKUP(Pipeline_tbl[[#This Row],[Rep_ID]],Dim_Reps!A:A,Dim_Reps!E:E)</f>
        <v>EMEA</v>
      </c>
      <c r="S1796" t="str">
        <f>_xlfn.XLOOKUP(Pipeline_tbl[[#This Row],[Created_Date]],Dim_Date!A:A,Dim_Date!H:H)</f>
        <v>Nov 2024</v>
      </c>
      <c r="T1796" t="str">
        <f>IF(Pipeline_tbl[[#This Row],[Closed_Date]]=0,"",(_xlfn.XLOOKUP(Pipeline_tbl[[#This Row],[Closed_Date]],Dim_Date!A:A,Dim_Date!H:H)))</f>
        <v>Dec 2024</v>
      </c>
      <c r="U1796">
        <f>IF(Pipeline_tbl[[#This Row],[Closed_Date]]=0,"",Pipeline_tbl[[#This Row],[Closed_Date]]-Pipeline_tbl[[#This Row],[Created_Date]])</f>
        <v>26</v>
      </c>
    </row>
    <row r="1797" spans="1:21" ht="15" customHeight="1" x14ac:dyDescent="0.2">
      <c r="A1797" t="s">
        <v>2103</v>
      </c>
      <c r="B1797" t="s">
        <v>196</v>
      </c>
      <c r="C1797" t="s">
        <v>52</v>
      </c>
      <c r="D1797" s="49">
        <v>45623</v>
      </c>
      <c r="E1797" s="49">
        <v>45625</v>
      </c>
      <c r="F1797" s="49">
        <v>45629</v>
      </c>
      <c r="G1797" s="49">
        <v>45636</v>
      </c>
      <c r="I1797" s="49">
        <v>45644</v>
      </c>
      <c r="J1797" t="s">
        <v>49</v>
      </c>
      <c r="K1797" s="33">
        <v>2500</v>
      </c>
      <c r="L1797" t="s">
        <v>60</v>
      </c>
      <c r="M1797" t="str">
        <f>_xlfn.XLOOKUP(Pipeline_tbl[[#This Row],[Rep_ID]],Dim_Reps!A:A,Dim_Reps!K:K)</f>
        <v>EUR</v>
      </c>
      <c r="N1797" s="33">
        <f>(_xlfn.XLOOKUP(Pipeline_tbl[[#This Row],[Rate_Code_Generalized]],Lookups!A:A,Lookups!B:B))*Pipeline_tbl[[#This Row],[Pipeline_Amount_USD]]</f>
        <v>2500</v>
      </c>
      <c r="O1797" t="str">
        <f>_xlfn.XLOOKUP(Pipeline_tbl[[#This Row],[Rep_ID]],Dim_Reps!A:A,Dim_Reps!B:B)</f>
        <v>Alex Okafor</v>
      </c>
      <c r="P1797" t="str">
        <f>_xlfn.XLOOKUP(Pipeline_tbl[[#This Row],[Rep_ID]],Dim_Reps!A:A,Dim_Reps!C:C)</f>
        <v>SDR / Inside Sales Rep</v>
      </c>
      <c r="Q1797" t="str">
        <f>_xlfn.XLOOKUP(Pipeline_tbl[[#This Row],[Rep_ID]],Dim_Reps!A:A,Dim_Reps!D:D)</f>
        <v>Inside Sales</v>
      </c>
      <c r="R1797" t="str">
        <f>_xlfn.XLOOKUP(Pipeline_tbl[[#This Row],[Rep_ID]],Dim_Reps!A:A,Dim_Reps!E:E)</f>
        <v>EMEA</v>
      </c>
      <c r="S1797" t="str">
        <f>_xlfn.XLOOKUP(Pipeline_tbl[[#This Row],[Created_Date]],Dim_Date!A:A,Dim_Date!H:H)</f>
        <v>Nov 2024</v>
      </c>
      <c r="T1797" t="str">
        <f>IF(Pipeline_tbl[[#This Row],[Closed_Date]]=0,"",(_xlfn.XLOOKUP(Pipeline_tbl[[#This Row],[Closed_Date]],Dim_Date!A:A,Dim_Date!H:H)))</f>
        <v>Dec 2024</v>
      </c>
      <c r="U1797">
        <f>IF(Pipeline_tbl[[#This Row],[Closed_Date]]=0,"",Pipeline_tbl[[#This Row],[Closed_Date]]-Pipeline_tbl[[#This Row],[Created_Date]])</f>
        <v>21</v>
      </c>
    </row>
    <row r="1798" spans="1:21" ht="15" customHeight="1" x14ac:dyDescent="0.2">
      <c r="A1798" t="s">
        <v>2104</v>
      </c>
      <c r="B1798" t="s">
        <v>196</v>
      </c>
      <c r="C1798" t="s">
        <v>52</v>
      </c>
      <c r="D1798" s="49">
        <v>45614</v>
      </c>
      <c r="E1798" s="49">
        <v>45616</v>
      </c>
      <c r="F1798" s="49">
        <v>45619</v>
      </c>
      <c r="G1798" s="49">
        <v>45624</v>
      </c>
      <c r="H1798" s="49">
        <v>45628</v>
      </c>
      <c r="I1798" s="49">
        <v>45631</v>
      </c>
      <c r="J1798" t="s">
        <v>47</v>
      </c>
      <c r="K1798" s="33">
        <v>5000</v>
      </c>
      <c r="M1798" t="str">
        <f>_xlfn.XLOOKUP(Pipeline_tbl[[#This Row],[Rep_ID]],Dim_Reps!A:A,Dim_Reps!K:K)</f>
        <v>EUR</v>
      </c>
      <c r="N1798" s="33">
        <f>(_xlfn.XLOOKUP(Pipeline_tbl[[#This Row],[Rate_Code_Generalized]],Lookups!A:A,Lookups!B:B))*Pipeline_tbl[[#This Row],[Pipeline_Amount_USD]]</f>
        <v>5000</v>
      </c>
      <c r="O1798" t="str">
        <f>_xlfn.XLOOKUP(Pipeline_tbl[[#This Row],[Rep_ID]],Dim_Reps!A:A,Dim_Reps!B:B)</f>
        <v>Alex Okafor</v>
      </c>
      <c r="P1798" t="str">
        <f>_xlfn.XLOOKUP(Pipeline_tbl[[#This Row],[Rep_ID]],Dim_Reps!A:A,Dim_Reps!C:C)</f>
        <v>SDR / Inside Sales Rep</v>
      </c>
      <c r="Q1798" t="str">
        <f>_xlfn.XLOOKUP(Pipeline_tbl[[#This Row],[Rep_ID]],Dim_Reps!A:A,Dim_Reps!D:D)</f>
        <v>Inside Sales</v>
      </c>
      <c r="R1798" t="str">
        <f>_xlfn.XLOOKUP(Pipeline_tbl[[#This Row],[Rep_ID]],Dim_Reps!A:A,Dim_Reps!E:E)</f>
        <v>EMEA</v>
      </c>
      <c r="S1798" t="str">
        <f>_xlfn.XLOOKUP(Pipeline_tbl[[#This Row],[Created_Date]],Dim_Date!A:A,Dim_Date!H:H)</f>
        <v>Nov 2024</v>
      </c>
      <c r="T1798" t="str">
        <f>IF(Pipeline_tbl[[#This Row],[Closed_Date]]=0,"",(_xlfn.XLOOKUP(Pipeline_tbl[[#This Row],[Closed_Date]],Dim_Date!A:A,Dim_Date!H:H)))</f>
        <v>Dec 2024</v>
      </c>
      <c r="U1798">
        <f>IF(Pipeline_tbl[[#This Row],[Closed_Date]]=0,"",Pipeline_tbl[[#This Row],[Closed_Date]]-Pipeline_tbl[[#This Row],[Created_Date]])</f>
        <v>17</v>
      </c>
    </row>
    <row r="1799" spans="1:21" ht="15" customHeight="1" x14ac:dyDescent="0.2">
      <c r="A1799" t="s">
        <v>2105</v>
      </c>
      <c r="B1799" t="s">
        <v>196</v>
      </c>
      <c r="C1799" t="s">
        <v>53</v>
      </c>
      <c r="D1799" s="49">
        <v>45620</v>
      </c>
      <c r="E1799" s="49">
        <v>45623</v>
      </c>
      <c r="F1799" s="49">
        <v>45628</v>
      </c>
      <c r="I1799" s="49">
        <v>45648</v>
      </c>
      <c r="J1799" t="s">
        <v>49</v>
      </c>
      <c r="K1799" s="33">
        <v>2200</v>
      </c>
      <c r="L1799" t="s">
        <v>60</v>
      </c>
      <c r="M1799" t="str">
        <f>_xlfn.XLOOKUP(Pipeline_tbl[[#This Row],[Rep_ID]],Dim_Reps!A:A,Dim_Reps!K:K)</f>
        <v>EUR</v>
      </c>
      <c r="N1799" s="33">
        <f>(_xlfn.XLOOKUP(Pipeline_tbl[[#This Row],[Rate_Code_Generalized]],Lookups!A:A,Lookups!B:B))*Pipeline_tbl[[#This Row],[Pipeline_Amount_USD]]</f>
        <v>2200</v>
      </c>
      <c r="O1799" t="str">
        <f>_xlfn.XLOOKUP(Pipeline_tbl[[#This Row],[Rep_ID]],Dim_Reps!A:A,Dim_Reps!B:B)</f>
        <v>Alex Okafor</v>
      </c>
      <c r="P1799" t="str">
        <f>_xlfn.XLOOKUP(Pipeline_tbl[[#This Row],[Rep_ID]],Dim_Reps!A:A,Dim_Reps!C:C)</f>
        <v>SDR / Inside Sales Rep</v>
      </c>
      <c r="Q1799" t="str">
        <f>_xlfn.XLOOKUP(Pipeline_tbl[[#This Row],[Rep_ID]],Dim_Reps!A:A,Dim_Reps!D:D)</f>
        <v>Inside Sales</v>
      </c>
      <c r="R1799" t="str">
        <f>_xlfn.XLOOKUP(Pipeline_tbl[[#This Row],[Rep_ID]],Dim_Reps!A:A,Dim_Reps!E:E)</f>
        <v>EMEA</v>
      </c>
      <c r="S1799" t="str">
        <f>_xlfn.XLOOKUP(Pipeline_tbl[[#This Row],[Created_Date]],Dim_Date!A:A,Dim_Date!H:H)</f>
        <v>Nov 2024</v>
      </c>
      <c r="T1799" t="str">
        <f>IF(Pipeline_tbl[[#This Row],[Closed_Date]]=0,"",(_xlfn.XLOOKUP(Pipeline_tbl[[#This Row],[Closed_Date]],Dim_Date!A:A,Dim_Date!H:H)))</f>
        <v>Dec 2024</v>
      </c>
      <c r="U1799">
        <f>IF(Pipeline_tbl[[#This Row],[Closed_Date]]=0,"",Pipeline_tbl[[#This Row],[Closed_Date]]-Pipeline_tbl[[#This Row],[Created_Date]])</f>
        <v>28</v>
      </c>
    </row>
    <row r="1800" spans="1:21" ht="15" customHeight="1" x14ac:dyDescent="0.2">
      <c r="A1800" t="s">
        <v>2106</v>
      </c>
      <c r="B1800" t="s">
        <v>196</v>
      </c>
      <c r="C1800" t="s">
        <v>54</v>
      </c>
      <c r="D1800" s="49">
        <v>45620</v>
      </c>
      <c r="E1800" s="49">
        <v>45622</v>
      </c>
      <c r="I1800" s="49">
        <v>45643</v>
      </c>
      <c r="J1800" t="s">
        <v>49</v>
      </c>
      <c r="K1800" s="33">
        <v>3800</v>
      </c>
      <c r="L1800" t="s">
        <v>61</v>
      </c>
      <c r="M1800" t="str">
        <f>_xlfn.XLOOKUP(Pipeline_tbl[[#This Row],[Rep_ID]],Dim_Reps!A:A,Dim_Reps!K:K)</f>
        <v>EUR</v>
      </c>
      <c r="N1800" s="33">
        <f>(_xlfn.XLOOKUP(Pipeline_tbl[[#This Row],[Rate_Code_Generalized]],Lookups!A:A,Lookups!B:B))*Pipeline_tbl[[#This Row],[Pipeline_Amount_USD]]</f>
        <v>3800</v>
      </c>
      <c r="O1800" t="str">
        <f>_xlfn.XLOOKUP(Pipeline_tbl[[#This Row],[Rep_ID]],Dim_Reps!A:A,Dim_Reps!B:B)</f>
        <v>Alex Okafor</v>
      </c>
      <c r="P1800" t="str">
        <f>_xlfn.XLOOKUP(Pipeline_tbl[[#This Row],[Rep_ID]],Dim_Reps!A:A,Dim_Reps!C:C)</f>
        <v>SDR / Inside Sales Rep</v>
      </c>
      <c r="Q1800" t="str">
        <f>_xlfn.XLOOKUP(Pipeline_tbl[[#This Row],[Rep_ID]],Dim_Reps!A:A,Dim_Reps!D:D)</f>
        <v>Inside Sales</v>
      </c>
      <c r="R1800" t="str">
        <f>_xlfn.XLOOKUP(Pipeline_tbl[[#This Row],[Rep_ID]],Dim_Reps!A:A,Dim_Reps!E:E)</f>
        <v>EMEA</v>
      </c>
      <c r="S1800" t="str">
        <f>_xlfn.XLOOKUP(Pipeline_tbl[[#This Row],[Created_Date]],Dim_Date!A:A,Dim_Date!H:H)</f>
        <v>Nov 2024</v>
      </c>
      <c r="T1800" t="str">
        <f>IF(Pipeline_tbl[[#This Row],[Closed_Date]]=0,"",(_xlfn.XLOOKUP(Pipeline_tbl[[#This Row],[Closed_Date]],Dim_Date!A:A,Dim_Date!H:H)))</f>
        <v>Dec 2024</v>
      </c>
      <c r="U1800">
        <f>IF(Pipeline_tbl[[#This Row],[Closed_Date]]=0,"",Pipeline_tbl[[#This Row],[Closed_Date]]-Pipeline_tbl[[#This Row],[Created_Date]])</f>
        <v>23</v>
      </c>
    </row>
    <row r="1801" spans="1:21" ht="15" customHeight="1" x14ac:dyDescent="0.2">
      <c r="A1801" t="s">
        <v>2107</v>
      </c>
      <c r="B1801" t="s">
        <v>196</v>
      </c>
      <c r="C1801" t="s">
        <v>52</v>
      </c>
      <c r="D1801" s="49">
        <v>45614</v>
      </c>
      <c r="E1801" s="49">
        <v>45616</v>
      </c>
      <c r="I1801" s="49">
        <v>45637</v>
      </c>
      <c r="J1801" t="s">
        <v>49</v>
      </c>
      <c r="K1801" s="33">
        <v>1700</v>
      </c>
      <c r="L1801" t="s">
        <v>61</v>
      </c>
      <c r="M1801" t="str">
        <f>_xlfn.XLOOKUP(Pipeline_tbl[[#This Row],[Rep_ID]],Dim_Reps!A:A,Dim_Reps!K:K)</f>
        <v>EUR</v>
      </c>
      <c r="N1801" s="33">
        <f>(_xlfn.XLOOKUP(Pipeline_tbl[[#This Row],[Rate_Code_Generalized]],Lookups!A:A,Lookups!B:B))*Pipeline_tbl[[#This Row],[Pipeline_Amount_USD]]</f>
        <v>1700</v>
      </c>
      <c r="O1801" t="str">
        <f>_xlfn.XLOOKUP(Pipeline_tbl[[#This Row],[Rep_ID]],Dim_Reps!A:A,Dim_Reps!B:B)</f>
        <v>Alex Okafor</v>
      </c>
      <c r="P1801" t="str">
        <f>_xlfn.XLOOKUP(Pipeline_tbl[[#This Row],[Rep_ID]],Dim_Reps!A:A,Dim_Reps!C:C)</f>
        <v>SDR / Inside Sales Rep</v>
      </c>
      <c r="Q1801" t="str">
        <f>_xlfn.XLOOKUP(Pipeline_tbl[[#This Row],[Rep_ID]],Dim_Reps!A:A,Dim_Reps!D:D)</f>
        <v>Inside Sales</v>
      </c>
      <c r="R1801" t="str">
        <f>_xlfn.XLOOKUP(Pipeline_tbl[[#This Row],[Rep_ID]],Dim_Reps!A:A,Dim_Reps!E:E)</f>
        <v>EMEA</v>
      </c>
      <c r="S1801" t="str">
        <f>_xlfn.XLOOKUP(Pipeline_tbl[[#This Row],[Created_Date]],Dim_Date!A:A,Dim_Date!H:H)</f>
        <v>Nov 2024</v>
      </c>
      <c r="T1801" t="str">
        <f>IF(Pipeline_tbl[[#This Row],[Closed_Date]]=0,"",(_xlfn.XLOOKUP(Pipeline_tbl[[#This Row],[Closed_Date]],Dim_Date!A:A,Dim_Date!H:H)))</f>
        <v>Dec 2024</v>
      </c>
      <c r="U1801">
        <f>IF(Pipeline_tbl[[#This Row],[Closed_Date]]=0,"",Pipeline_tbl[[#This Row],[Closed_Date]]-Pipeline_tbl[[#This Row],[Created_Date]])</f>
        <v>23</v>
      </c>
    </row>
    <row r="1802" spans="1:21" ht="15" customHeight="1" x14ac:dyDescent="0.2">
      <c r="A1802" t="s">
        <v>2108</v>
      </c>
      <c r="B1802" t="s">
        <v>196</v>
      </c>
      <c r="C1802" t="s">
        <v>54</v>
      </c>
      <c r="D1802" s="49">
        <v>45622</v>
      </c>
      <c r="E1802" s="49">
        <v>45623</v>
      </c>
      <c r="F1802" s="49">
        <v>45624</v>
      </c>
      <c r="G1802" s="49">
        <v>45626</v>
      </c>
      <c r="H1802" s="49">
        <v>45628</v>
      </c>
      <c r="I1802" s="49">
        <v>45629</v>
      </c>
      <c r="J1802" t="s">
        <v>49</v>
      </c>
      <c r="K1802" s="33">
        <v>3900</v>
      </c>
      <c r="L1802" t="s">
        <v>64</v>
      </c>
      <c r="M1802" t="str">
        <f>_xlfn.XLOOKUP(Pipeline_tbl[[#This Row],[Rep_ID]],Dim_Reps!A:A,Dim_Reps!K:K)</f>
        <v>EUR</v>
      </c>
      <c r="N1802" s="33">
        <f>(_xlfn.XLOOKUP(Pipeline_tbl[[#This Row],[Rate_Code_Generalized]],Lookups!A:A,Lookups!B:B))*Pipeline_tbl[[#This Row],[Pipeline_Amount_USD]]</f>
        <v>3900</v>
      </c>
      <c r="O1802" t="str">
        <f>_xlfn.XLOOKUP(Pipeline_tbl[[#This Row],[Rep_ID]],Dim_Reps!A:A,Dim_Reps!B:B)</f>
        <v>Alex Okafor</v>
      </c>
      <c r="P1802" t="str">
        <f>_xlfn.XLOOKUP(Pipeline_tbl[[#This Row],[Rep_ID]],Dim_Reps!A:A,Dim_Reps!C:C)</f>
        <v>SDR / Inside Sales Rep</v>
      </c>
      <c r="Q1802" t="str">
        <f>_xlfn.XLOOKUP(Pipeline_tbl[[#This Row],[Rep_ID]],Dim_Reps!A:A,Dim_Reps!D:D)</f>
        <v>Inside Sales</v>
      </c>
      <c r="R1802" t="str">
        <f>_xlfn.XLOOKUP(Pipeline_tbl[[#This Row],[Rep_ID]],Dim_Reps!A:A,Dim_Reps!E:E)</f>
        <v>EMEA</v>
      </c>
      <c r="S1802" t="str">
        <f>_xlfn.XLOOKUP(Pipeline_tbl[[#This Row],[Created_Date]],Dim_Date!A:A,Dim_Date!H:H)</f>
        <v>Nov 2024</v>
      </c>
      <c r="T1802" t="str">
        <f>IF(Pipeline_tbl[[#This Row],[Closed_Date]]=0,"",(_xlfn.XLOOKUP(Pipeline_tbl[[#This Row],[Closed_Date]],Dim_Date!A:A,Dim_Date!H:H)))</f>
        <v>Dec 2024</v>
      </c>
      <c r="U1802">
        <f>IF(Pipeline_tbl[[#This Row],[Closed_Date]]=0,"",Pipeline_tbl[[#This Row],[Closed_Date]]-Pipeline_tbl[[#This Row],[Created_Date]])</f>
        <v>7</v>
      </c>
    </row>
    <row r="1803" spans="1:21" ht="15" customHeight="1" x14ac:dyDescent="0.2">
      <c r="A1803" t="s">
        <v>2109</v>
      </c>
      <c r="B1803" t="s">
        <v>199</v>
      </c>
      <c r="C1803" t="s">
        <v>54</v>
      </c>
      <c r="D1803" s="49">
        <v>45614</v>
      </c>
      <c r="E1803" s="49">
        <v>45616</v>
      </c>
      <c r="F1803" s="49">
        <v>45619</v>
      </c>
      <c r="G1803" s="49">
        <v>45623</v>
      </c>
      <c r="I1803" s="49">
        <v>45629</v>
      </c>
      <c r="J1803" t="s">
        <v>49</v>
      </c>
      <c r="K1803" s="33">
        <v>3700</v>
      </c>
      <c r="L1803" t="s">
        <v>63</v>
      </c>
      <c r="M1803" t="str">
        <f>_xlfn.XLOOKUP(Pipeline_tbl[[#This Row],[Rep_ID]],Dim_Reps!A:A,Dim_Reps!K:K)</f>
        <v>EUR</v>
      </c>
      <c r="N1803" s="33">
        <f>(_xlfn.XLOOKUP(Pipeline_tbl[[#This Row],[Rate_Code_Generalized]],Lookups!A:A,Lookups!B:B))*Pipeline_tbl[[#This Row],[Pipeline_Amount_USD]]</f>
        <v>3700</v>
      </c>
      <c r="O1803" t="str">
        <f>_xlfn.XLOOKUP(Pipeline_tbl[[#This Row],[Rep_ID]],Dim_Reps!A:A,Dim_Reps!B:B)</f>
        <v>Lucas Okafor</v>
      </c>
      <c r="P1803" t="str">
        <f>_xlfn.XLOOKUP(Pipeline_tbl[[#This Row],[Rep_ID]],Dim_Reps!A:A,Dim_Reps!C:C)</f>
        <v>SDR / Inside Sales Rep</v>
      </c>
      <c r="Q1803" t="str">
        <f>_xlfn.XLOOKUP(Pipeline_tbl[[#This Row],[Rep_ID]],Dim_Reps!A:A,Dim_Reps!D:D)</f>
        <v>Inside Sales</v>
      </c>
      <c r="R1803" t="str">
        <f>_xlfn.XLOOKUP(Pipeline_tbl[[#This Row],[Rep_ID]],Dim_Reps!A:A,Dim_Reps!E:E)</f>
        <v>APAC</v>
      </c>
      <c r="S1803" t="str">
        <f>_xlfn.XLOOKUP(Pipeline_tbl[[#This Row],[Created_Date]],Dim_Date!A:A,Dim_Date!H:H)</f>
        <v>Nov 2024</v>
      </c>
      <c r="T1803" t="str">
        <f>IF(Pipeline_tbl[[#This Row],[Closed_Date]]=0,"",(_xlfn.XLOOKUP(Pipeline_tbl[[#This Row],[Closed_Date]],Dim_Date!A:A,Dim_Date!H:H)))</f>
        <v>Dec 2024</v>
      </c>
      <c r="U1803">
        <f>IF(Pipeline_tbl[[#This Row],[Closed_Date]]=0,"",Pipeline_tbl[[#This Row],[Closed_Date]]-Pipeline_tbl[[#This Row],[Created_Date]])</f>
        <v>15</v>
      </c>
    </row>
    <row r="1804" spans="1:21" ht="15" customHeight="1" x14ac:dyDescent="0.2">
      <c r="A1804" t="s">
        <v>2110</v>
      </c>
      <c r="B1804" t="s">
        <v>199</v>
      </c>
      <c r="C1804" t="s">
        <v>53</v>
      </c>
      <c r="D1804" s="49">
        <v>45613</v>
      </c>
      <c r="E1804" s="49">
        <v>45614</v>
      </c>
      <c r="F1804" s="49">
        <v>45617</v>
      </c>
      <c r="G1804" s="49">
        <v>45621</v>
      </c>
      <c r="I1804" s="49">
        <v>45627</v>
      </c>
      <c r="J1804" t="s">
        <v>49</v>
      </c>
      <c r="K1804" s="33">
        <v>3900</v>
      </c>
      <c r="L1804" t="s">
        <v>60</v>
      </c>
      <c r="M1804" t="str">
        <f>_xlfn.XLOOKUP(Pipeline_tbl[[#This Row],[Rep_ID]],Dim_Reps!A:A,Dim_Reps!K:K)</f>
        <v>EUR</v>
      </c>
      <c r="N1804" s="33">
        <f>(_xlfn.XLOOKUP(Pipeline_tbl[[#This Row],[Rate_Code_Generalized]],Lookups!A:A,Lookups!B:B))*Pipeline_tbl[[#This Row],[Pipeline_Amount_USD]]</f>
        <v>3900</v>
      </c>
      <c r="O1804" t="str">
        <f>_xlfn.XLOOKUP(Pipeline_tbl[[#This Row],[Rep_ID]],Dim_Reps!A:A,Dim_Reps!B:B)</f>
        <v>Lucas Okafor</v>
      </c>
      <c r="P1804" t="str">
        <f>_xlfn.XLOOKUP(Pipeline_tbl[[#This Row],[Rep_ID]],Dim_Reps!A:A,Dim_Reps!C:C)</f>
        <v>SDR / Inside Sales Rep</v>
      </c>
      <c r="Q1804" t="str">
        <f>_xlfn.XLOOKUP(Pipeline_tbl[[#This Row],[Rep_ID]],Dim_Reps!A:A,Dim_Reps!D:D)</f>
        <v>Inside Sales</v>
      </c>
      <c r="R1804" t="str">
        <f>_xlfn.XLOOKUP(Pipeline_tbl[[#This Row],[Rep_ID]],Dim_Reps!A:A,Dim_Reps!E:E)</f>
        <v>APAC</v>
      </c>
      <c r="S1804" t="str">
        <f>_xlfn.XLOOKUP(Pipeline_tbl[[#This Row],[Created_Date]],Dim_Date!A:A,Dim_Date!H:H)</f>
        <v>Nov 2024</v>
      </c>
      <c r="T1804" t="str">
        <f>IF(Pipeline_tbl[[#This Row],[Closed_Date]]=0,"",(_xlfn.XLOOKUP(Pipeline_tbl[[#This Row],[Closed_Date]],Dim_Date!A:A,Dim_Date!H:H)))</f>
        <v>Dec 2024</v>
      </c>
      <c r="U1804">
        <f>IF(Pipeline_tbl[[#This Row],[Closed_Date]]=0,"",Pipeline_tbl[[#This Row],[Closed_Date]]-Pipeline_tbl[[#This Row],[Created_Date]])</f>
        <v>14</v>
      </c>
    </row>
    <row r="1805" spans="1:21" ht="15" customHeight="1" x14ac:dyDescent="0.2">
      <c r="A1805" t="s">
        <v>2111</v>
      </c>
      <c r="B1805" t="s">
        <v>199</v>
      </c>
      <c r="C1805" t="s">
        <v>55</v>
      </c>
      <c r="D1805" s="49">
        <v>45608</v>
      </c>
      <c r="E1805" s="49">
        <v>45610</v>
      </c>
      <c r="I1805" s="49">
        <v>45628</v>
      </c>
      <c r="J1805" t="s">
        <v>49</v>
      </c>
      <c r="K1805" s="33">
        <v>3000</v>
      </c>
      <c r="L1805" t="s">
        <v>60</v>
      </c>
      <c r="M1805" t="str">
        <f>_xlfn.XLOOKUP(Pipeline_tbl[[#This Row],[Rep_ID]],Dim_Reps!A:A,Dim_Reps!K:K)</f>
        <v>EUR</v>
      </c>
      <c r="N1805" s="33">
        <f>(_xlfn.XLOOKUP(Pipeline_tbl[[#This Row],[Rate_Code_Generalized]],Lookups!A:A,Lookups!B:B))*Pipeline_tbl[[#This Row],[Pipeline_Amount_USD]]</f>
        <v>3000</v>
      </c>
      <c r="O1805" t="str">
        <f>_xlfn.XLOOKUP(Pipeline_tbl[[#This Row],[Rep_ID]],Dim_Reps!A:A,Dim_Reps!B:B)</f>
        <v>Lucas Okafor</v>
      </c>
      <c r="P1805" t="str">
        <f>_xlfn.XLOOKUP(Pipeline_tbl[[#This Row],[Rep_ID]],Dim_Reps!A:A,Dim_Reps!C:C)</f>
        <v>SDR / Inside Sales Rep</v>
      </c>
      <c r="Q1805" t="str">
        <f>_xlfn.XLOOKUP(Pipeline_tbl[[#This Row],[Rep_ID]],Dim_Reps!A:A,Dim_Reps!D:D)</f>
        <v>Inside Sales</v>
      </c>
      <c r="R1805" t="str">
        <f>_xlfn.XLOOKUP(Pipeline_tbl[[#This Row],[Rep_ID]],Dim_Reps!A:A,Dim_Reps!E:E)</f>
        <v>APAC</v>
      </c>
      <c r="S1805" t="str">
        <f>_xlfn.XLOOKUP(Pipeline_tbl[[#This Row],[Created_Date]],Dim_Date!A:A,Dim_Date!H:H)</f>
        <v>Nov 2024</v>
      </c>
      <c r="T1805" t="str">
        <f>IF(Pipeline_tbl[[#This Row],[Closed_Date]]=0,"",(_xlfn.XLOOKUP(Pipeline_tbl[[#This Row],[Closed_Date]],Dim_Date!A:A,Dim_Date!H:H)))</f>
        <v>Dec 2024</v>
      </c>
      <c r="U1805">
        <f>IF(Pipeline_tbl[[#This Row],[Closed_Date]]=0,"",Pipeline_tbl[[#This Row],[Closed_Date]]-Pipeline_tbl[[#This Row],[Created_Date]])</f>
        <v>20</v>
      </c>
    </row>
    <row r="1806" spans="1:21" ht="15" customHeight="1" x14ac:dyDescent="0.2">
      <c r="A1806" t="s">
        <v>2112</v>
      </c>
      <c r="B1806" t="s">
        <v>199</v>
      </c>
      <c r="C1806" t="s">
        <v>55</v>
      </c>
      <c r="D1806" s="49">
        <v>45610</v>
      </c>
      <c r="E1806" s="49">
        <v>45612</v>
      </c>
      <c r="F1806" s="49">
        <v>45616</v>
      </c>
      <c r="G1806" s="49">
        <v>45623</v>
      </c>
      <c r="H1806" s="49">
        <v>45628</v>
      </c>
      <c r="I1806" s="49">
        <v>45631</v>
      </c>
      <c r="J1806" t="s">
        <v>47</v>
      </c>
      <c r="K1806" s="33">
        <v>4500</v>
      </c>
      <c r="M1806" t="str">
        <f>_xlfn.XLOOKUP(Pipeline_tbl[[#This Row],[Rep_ID]],Dim_Reps!A:A,Dim_Reps!K:K)</f>
        <v>EUR</v>
      </c>
      <c r="N1806" s="33">
        <f>(_xlfn.XLOOKUP(Pipeline_tbl[[#This Row],[Rate_Code_Generalized]],Lookups!A:A,Lookups!B:B))*Pipeline_tbl[[#This Row],[Pipeline_Amount_USD]]</f>
        <v>4500</v>
      </c>
      <c r="O1806" t="str">
        <f>_xlfn.XLOOKUP(Pipeline_tbl[[#This Row],[Rep_ID]],Dim_Reps!A:A,Dim_Reps!B:B)</f>
        <v>Lucas Okafor</v>
      </c>
      <c r="P1806" t="str">
        <f>_xlfn.XLOOKUP(Pipeline_tbl[[#This Row],[Rep_ID]],Dim_Reps!A:A,Dim_Reps!C:C)</f>
        <v>SDR / Inside Sales Rep</v>
      </c>
      <c r="Q1806" t="str">
        <f>_xlfn.XLOOKUP(Pipeline_tbl[[#This Row],[Rep_ID]],Dim_Reps!A:A,Dim_Reps!D:D)</f>
        <v>Inside Sales</v>
      </c>
      <c r="R1806" t="str">
        <f>_xlfn.XLOOKUP(Pipeline_tbl[[#This Row],[Rep_ID]],Dim_Reps!A:A,Dim_Reps!E:E)</f>
        <v>APAC</v>
      </c>
      <c r="S1806" t="str">
        <f>_xlfn.XLOOKUP(Pipeline_tbl[[#This Row],[Created_Date]],Dim_Date!A:A,Dim_Date!H:H)</f>
        <v>Nov 2024</v>
      </c>
      <c r="T1806" t="str">
        <f>IF(Pipeline_tbl[[#This Row],[Closed_Date]]=0,"",(_xlfn.XLOOKUP(Pipeline_tbl[[#This Row],[Closed_Date]],Dim_Date!A:A,Dim_Date!H:H)))</f>
        <v>Dec 2024</v>
      </c>
      <c r="U1806">
        <f>IF(Pipeline_tbl[[#This Row],[Closed_Date]]=0,"",Pipeline_tbl[[#This Row],[Closed_Date]]-Pipeline_tbl[[#This Row],[Created_Date]])</f>
        <v>21</v>
      </c>
    </row>
    <row r="1807" spans="1:21" ht="15" customHeight="1" x14ac:dyDescent="0.2">
      <c r="A1807" t="s">
        <v>2113</v>
      </c>
      <c r="B1807" t="s">
        <v>199</v>
      </c>
      <c r="C1807" t="s">
        <v>55</v>
      </c>
      <c r="D1807" s="49">
        <v>45620</v>
      </c>
      <c r="E1807" s="49">
        <v>45621</v>
      </c>
      <c r="F1807" s="49">
        <v>45624</v>
      </c>
      <c r="G1807" s="49">
        <v>45628</v>
      </c>
      <c r="H1807" s="49">
        <v>45631</v>
      </c>
      <c r="I1807" s="49">
        <v>45633</v>
      </c>
      <c r="J1807" t="s">
        <v>49</v>
      </c>
      <c r="K1807" s="33">
        <v>1500</v>
      </c>
      <c r="L1807" t="s">
        <v>60</v>
      </c>
      <c r="M1807" t="str">
        <f>_xlfn.XLOOKUP(Pipeline_tbl[[#This Row],[Rep_ID]],Dim_Reps!A:A,Dim_Reps!K:K)</f>
        <v>EUR</v>
      </c>
      <c r="N1807" s="33">
        <f>(_xlfn.XLOOKUP(Pipeline_tbl[[#This Row],[Rate_Code_Generalized]],Lookups!A:A,Lookups!B:B))*Pipeline_tbl[[#This Row],[Pipeline_Amount_USD]]</f>
        <v>1500</v>
      </c>
      <c r="O1807" t="str">
        <f>_xlfn.XLOOKUP(Pipeline_tbl[[#This Row],[Rep_ID]],Dim_Reps!A:A,Dim_Reps!B:B)</f>
        <v>Lucas Okafor</v>
      </c>
      <c r="P1807" t="str">
        <f>_xlfn.XLOOKUP(Pipeline_tbl[[#This Row],[Rep_ID]],Dim_Reps!A:A,Dim_Reps!C:C)</f>
        <v>SDR / Inside Sales Rep</v>
      </c>
      <c r="Q1807" t="str">
        <f>_xlfn.XLOOKUP(Pipeline_tbl[[#This Row],[Rep_ID]],Dim_Reps!A:A,Dim_Reps!D:D)</f>
        <v>Inside Sales</v>
      </c>
      <c r="R1807" t="str">
        <f>_xlfn.XLOOKUP(Pipeline_tbl[[#This Row],[Rep_ID]],Dim_Reps!A:A,Dim_Reps!E:E)</f>
        <v>APAC</v>
      </c>
      <c r="S1807" t="str">
        <f>_xlfn.XLOOKUP(Pipeline_tbl[[#This Row],[Created_Date]],Dim_Date!A:A,Dim_Date!H:H)</f>
        <v>Nov 2024</v>
      </c>
      <c r="T1807" t="str">
        <f>IF(Pipeline_tbl[[#This Row],[Closed_Date]]=0,"",(_xlfn.XLOOKUP(Pipeline_tbl[[#This Row],[Closed_Date]],Dim_Date!A:A,Dim_Date!H:H)))</f>
        <v>Dec 2024</v>
      </c>
      <c r="U1807">
        <f>IF(Pipeline_tbl[[#This Row],[Closed_Date]]=0,"",Pipeline_tbl[[#This Row],[Closed_Date]]-Pipeline_tbl[[#This Row],[Created_Date]])</f>
        <v>13</v>
      </c>
    </row>
    <row r="1808" spans="1:21" ht="15" customHeight="1" x14ac:dyDescent="0.2">
      <c r="A1808" t="s">
        <v>2114</v>
      </c>
      <c r="B1808" t="s">
        <v>199</v>
      </c>
      <c r="C1808" t="s">
        <v>53</v>
      </c>
      <c r="D1808" s="49">
        <v>45614</v>
      </c>
      <c r="E1808" s="49">
        <v>45616</v>
      </c>
      <c r="F1808" s="49">
        <v>45619</v>
      </c>
      <c r="G1808" s="49">
        <v>45623</v>
      </c>
      <c r="H1808" s="49">
        <v>45627</v>
      </c>
      <c r="I1808" s="49">
        <v>45629</v>
      </c>
      <c r="J1808" t="s">
        <v>47</v>
      </c>
      <c r="K1808" s="33">
        <v>2800</v>
      </c>
      <c r="M1808" t="str">
        <f>_xlfn.XLOOKUP(Pipeline_tbl[[#This Row],[Rep_ID]],Dim_Reps!A:A,Dim_Reps!K:K)</f>
        <v>EUR</v>
      </c>
      <c r="N1808" s="33">
        <f>(_xlfn.XLOOKUP(Pipeline_tbl[[#This Row],[Rate_Code_Generalized]],Lookups!A:A,Lookups!B:B))*Pipeline_tbl[[#This Row],[Pipeline_Amount_USD]]</f>
        <v>2800</v>
      </c>
      <c r="O1808" t="str">
        <f>_xlfn.XLOOKUP(Pipeline_tbl[[#This Row],[Rep_ID]],Dim_Reps!A:A,Dim_Reps!B:B)</f>
        <v>Lucas Okafor</v>
      </c>
      <c r="P1808" t="str">
        <f>_xlfn.XLOOKUP(Pipeline_tbl[[#This Row],[Rep_ID]],Dim_Reps!A:A,Dim_Reps!C:C)</f>
        <v>SDR / Inside Sales Rep</v>
      </c>
      <c r="Q1808" t="str">
        <f>_xlfn.XLOOKUP(Pipeline_tbl[[#This Row],[Rep_ID]],Dim_Reps!A:A,Dim_Reps!D:D)</f>
        <v>Inside Sales</v>
      </c>
      <c r="R1808" t="str">
        <f>_xlfn.XLOOKUP(Pipeline_tbl[[#This Row],[Rep_ID]],Dim_Reps!A:A,Dim_Reps!E:E)</f>
        <v>APAC</v>
      </c>
      <c r="S1808" t="str">
        <f>_xlfn.XLOOKUP(Pipeline_tbl[[#This Row],[Created_Date]],Dim_Date!A:A,Dim_Date!H:H)</f>
        <v>Nov 2024</v>
      </c>
      <c r="T1808" t="str">
        <f>IF(Pipeline_tbl[[#This Row],[Closed_Date]]=0,"",(_xlfn.XLOOKUP(Pipeline_tbl[[#This Row],[Closed_Date]],Dim_Date!A:A,Dim_Date!H:H)))</f>
        <v>Dec 2024</v>
      </c>
      <c r="U1808">
        <f>IF(Pipeline_tbl[[#This Row],[Closed_Date]]=0,"",Pipeline_tbl[[#This Row],[Closed_Date]]-Pipeline_tbl[[#This Row],[Created_Date]])</f>
        <v>15</v>
      </c>
    </row>
    <row r="1809" spans="1:21" ht="15" customHeight="1" x14ac:dyDescent="0.2">
      <c r="A1809" t="s">
        <v>2115</v>
      </c>
      <c r="B1809" t="s">
        <v>199</v>
      </c>
      <c r="C1809" t="s">
        <v>52</v>
      </c>
      <c r="D1809" s="49">
        <v>45608</v>
      </c>
      <c r="E1809" s="49">
        <v>45610</v>
      </c>
      <c r="F1809" s="49">
        <v>45614</v>
      </c>
      <c r="G1809" s="49">
        <v>45619</v>
      </c>
      <c r="H1809" s="49">
        <v>45624</v>
      </c>
      <c r="I1809" s="49">
        <v>45627</v>
      </c>
      <c r="J1809" t="s">
        <v>47</v>
      </c>
      <c r="K1809" s="33">
        <v>6200</v>
      </c>
      <c r="M1809" t="str">
        <f>_xlfn.XLOOKUP(Pipeline_tbl[[#This Row],[Rep_ID]],Dim_Reps!A:A,Dim_Reps!K:K)</f>
        <v>EUR</v>
      </c>
      <c r="N1809" s="33">
        <f>(_xlfn.XLOOKUP(Pipeline_tbl[[#This Row],[Rate_Code_Generalized]],Lookups!A:A,Lookups!B:B))*Pipeline_tbl[[#This Row],[Pipeline_Amount_USD]]</f>
        <v>6200</v>
      </c>
      <c r="O1809" t="str">
        <f>_xlfn.XLOOKUP(Pipeline_tbl[[#This Row],[Rep_ID]],Dim_Reps!A:A,Dim_Reps!B:B)</f>
        <v>Lucas Okafor</v>
      </c>
      <c r="P1809" t="str">
        <f>_xlfn.XLOOKUP(Pipeline_tbl[[#This Row],[Rep_ID]],Dim_Reps!A:A,Dim_Reps!C:C)</f>
        <v>SDR / Inside Sales Rep</v>
      </c>
      <c r="Q1809" t="str">
        <f>_xlfn.XLOOKUP(Pipeline_tbl[[#This Row],[Rep_ID]],Dim_Reps!A:A,Dim_Reps!D:D)</f>
        <v>Inside Sales</v>
      </c>
      <c r="R1809" t="str">
        <f>_xlfn.XLOOKUP(Pipeline_tbl[[#This Row],[Rep_ID]],Dim_Reps!A:A,Dim_Reps!E:E)</f>
        <v>APAC</v>
      </c>
      <c r="S1809" t="str">
        <f>_xlfn.XLOOKUP(Pipeline_tbl[[#This Row],[Created_Date]],Dim_Date!A:A,Dim_Date!H:H)</f>
        <v>Nov 2024</v>
      </c>
      <c r="T1809" t="str">
        <f>IF(Pipeline_tbl[[#This Row],[Closed_Date]]=0,"",(_xlfn.XLOOKUP(Pipeline_tbl[[#This Row],[Closed_Date]],Dim_Date!A:A,Dim_Date!H:H)))</f>
        <v>Dec 2024</v>
      </c>
      <c r="U1809">
        <f>IF(Pipeline_tbl[[#This Row],[Closed_Date]]=0,"",Pipeline_tbl[[#This Row],[Closed_Date]]-Pipeline_tbl[[#This Row],[Created_Date]])</f>
        <v>19</v>
      </c>
    </row>
    <row r="1810" spans="1:21" ht="15" customHeight="1" x14ac:dyDescent="0.2">
      <c r="A1810" t="s">
        <v>2116</v>
      </c>
      <c r="B1810" t="s">
        <v>199</v>
      </c>
      <c r="C1810" t="s">
        <v>52</v>
      </c>
      <c r="D1810" s="49">
        <v>45619</v>
      </c>
      <c r="E1810" s="49">
        <v>45621</v>
      </c>
      <c r="F1810" s="49">
        <v>45625</v>
      </c>
      <c r="G1810" s="49">
        <v>45632</v>
      </c>
      <c r="H1810" s="49">
        <v>45637</v>
      </c>
      <c r="I1810" s="49">
        <v>45640</v>
      </c>
      <c r="J1810" t="s">
        <v>47</v>
      </c>
      <c r="K1810" s="33">
        <v>1700</v>
      </c>
      <c r="M1810" t="str">
        <f>_xlfn.XLOOKUP(Pipeline_tbl[[#This Row],[Rep_ID]],Dim_Reps!A:A,Dim_Reps!K:K)</f>
        <v>EUR</v>
      </c>
      <c r="N1810" s="33">
        <f>(_xlfn.XLOOKUP(Pipeline_tbl[[#This Row],[Rate_Code_Generalized]],Lookups!A:A,Lookups!B:B))*Pipeline_tbl[[#This Row],[Pipeline_Amount_USD]]</f>
        <v>1700</v>
      </c>
      <c r="O1810" t="str">
        <f>_xlfn.XLOOKUP(Pipeline_tbl[[#This Row],[Rep_ID]],Dim_Reps!A:A,Dim_Reps!B:B)</f>
        <v>Lucas Okafor</v>
      </c>
      <c r="P1810" t="str">
        <f>_xlfn.XLOOKUP(Pipeline_tbl[[#This Row],[Rep_ID]],Dim_Reps!A:A,Dim_Reps!C:C)</f>
        <v>SDR / Inside Sales Rep</v>
      </c>
      <c r="Q1810" t="str">
        <f>_xlfn.XLOOKUP(Pipeline_tbl[[#This Row],[Rep_ID]],Dim_Reps!A:A,Dim_Reps!D:D)</f>
        <v>Inside Sales</v>
      </c>
      <c r="R1810" t="str">
        <f>_xlfn.XLOOKUP(Pipeline_tbl[[#This Row],[Rep_ID]],Dim_Reps!A:A,Dim_Reps!E:E)</f>
        <v>APAC</v>
      </c>
      <c r="S1810" t="str">
        <f>_xlfn.XLOOKUP(Pipeline_tbl[[#This Row],[Created_Date]],Dim_Date!A:A,Dim_Date!H:H)</f>
        <v>Nov 2024</v>
      </c>
      <c r="T1810" t="str">
        <f>IF(Pipeline_tbl[[#This Row],[Closed_Date]]=0,"",(_xlfn.XLOOKUP(Pipeline_tbl[[#This Row],[Closed_Date]],Dim_Date!A:A,Dim_Date!H:H)))</f>
        <v>Dec 2024</v>
      </c>
      <c r="U1810">
        <f>IF(Pipeline_tbl[[#This Row],[Closed_Date]]=0,"",Pipeline_tbl[[#This Row],[Closed_Date]]-Pipeline_tbl[[#This Row],[Created_Date]])</f>
        <v>21</v>
      </c>
    </row>
    <row r="1811" spans="1:21" ht="15" customHeight="1" x14ac:dyDescent="0.2">
      <c r="A1811" t="s">
        <v>2117</v>
      </c>
      <c r="B1811" t="s">
        <v>199</v>
      </c>
      <c r="C1811" t="s">
        <v>54</v>
      </c>
      <c r="D1811" s="49">
        <v>45611</v>
      </c>
      <c r="E1811" s="49">
        <v>45614</v>
      </c>
      <c r="F1811" s="49">
        <v>45619</v>
      </c>
      <c r="I1811" s="49">
        <v>45638</v>
      </c>
      <c r="J1811" t="s">
        <v>49</v>
      </c>
      <c r="K1811" s="33">
        <v>6000</v>
      </c>
      <c r="L1811" t="s">
        <v>62</v>
      </c>
      <c r="M1811" t="str">
        <f>_xlfn.XLOOKUP(Pipeline_tbl[[#This Row],[Rep_ID]],Dim_Reps!A:A,Dim_Reps!K:K)</f>
        <v>EUR</v>
      </c>
      <c r="N1811" s="33">
        <f>(_xlfn.XLOOKUP(Pipeline_tbl[[#This Row],[Rate_Code_Generalized]],Lookups!A:A,Lookups!B:B))*Pipeline_tbl[[#This Row],[Pipeline_Amount_USD]]</f>
        <v>6000</v>
      </c>
      <c r="O1811" t="str">
        <f>_xlfn.XLOOKUP(Pipeline_tbl[[#This Row],[Rep_ID]],Dim_Reps!A:A,Dim_Reps!B:B)</f>
        <v>Lucas Okafor</v>
      </c>
      <c r="P1811" t="str">
        <f>_xlfn.XLOOKUP(Pipeline_tbl[[#This Row],[Rep_ID]],Dim_Reps!A:A,Dim_Reps!C:C)</f>
        <v>SDR / Inside Sales Rep</v>
      </c>
      <c r="Q1811" t="str">
        <f>_xlfn.XLOOKUP(Pipeline_tbl[[#This Row],[Rep_ID]],Dim_Reps!A:A,Dim_Reps!D:D)</f>
        <v>Inside Sales</v>
      </c>
      <c r="R1811" t="str">
        <f>_xlfn.XLOOKUP(Pipeline_tbl[[#This Row],[Rep_ID]],Dim_Reps!A:A,Dim_Reps!E:E)</f>
        <v>APAC</v>
      </c>
      <c r="S1811" t="str">
        <f>_xlfn.XLOOKUP(Pipeline_tbl[[#This Row],[Created_Date]],Dim_Date!A:A,Dim_Date!H:H)</f>
        <v>Nov 2024</v>
      </c>
      <c r="T1811" t="str">
        <f>IF(Pipeline_tbl[[#This Row],[Closed_Date]]=0,"",(_xlfn.XLOOKUP(Pipeline_tbl[[#This Row],[Closed_Date]],Dim_Date!A:A,Dim_Date!H:H)))</f>
        <v>Dec 2024</v>
      </c>
      <c r="U1811">
        <f>IF(Pipeline_tbl[[#This Row],[Closed_Date]]=0,"",Pipeline_tbl[[#This Row],[Closed_Date]]-Pipeline_tbl[[#This Row],[Created_Date]])</f>
        <v>27</v>
      </c>
    </row>
    <row r="1812" spans="1:21" ht="15" customHeight="1" x14ac:dyDescent="0.2">
      <c r="A1812" t="s">
        <v>2118</v>
      </c>
      <c r="B1812" t="s">
        <v>181</v>
      </c>
      <c r="C1812" t="s">
        <v>53</v>
      </c>
      <c r="D1812" s="49">
        <v>45602</v>
      </c>
      <c r="E1812" s="49">
        <v>45607</v>
      </c>
      <c r="F1812" s="49">
        <v>45617</v>
      </c>
      <c r="G1812" s="49">
        <v>45631</v>
      </c>
      <c r="H1812" s="49">
        <v>45644</v>
      </c>
      <c r="I1812" s="49">
        <v>45651</v>
      </c>
      <c r="J1812" t="s">
        <v>49</v>
      </c>
      <c r="K1812" s="33">
        <v>30200</v>
      </c>
      <c r="L1812" t="s">
        <v>61</v>
      </c>
      <c r="M1812" t="str">
        <f>_xlfn.XLOOKUP(Pipeline_tbl[[#This Row],[Rep_ID]],Dim_Reps!A:A,Dim_Reps!K:K)</f>
        <v>USD</v>
      </c>
      <c r="N1812" s="33">
        <f>(_xlfn.XLOOKUP(Pipeline_tbl[[#This Row],[Rate_Code_Generalized]],Lookups!A:A,Lookups!B:B))*Pipeline_tbl[[#This Row],[Pipeline_Amount_USD]]</f>
        <v>35161.859999999993</v>
      </c>
      <c r="O1812" t="str">
        <f>_xlfn.XLOOKUP(Pipeline_tbl[[#This Row],[Rep_ID]],Dim_Reps!A:A,Dim_Reps!B:B)</f>
        <v>Milo Weber</v>
      </c>
      <c r="P1812" t="str">
        <f>_xlfn.XLOOKUP(Pipeline_tbl[[#This Row],[Rep_ID]],Dim_Reps!A:A,Dim_Reps!C:C)</f>
        <v>Enterprise AE</v>
      </c>
      <c r="Q1812" t="str">
        <f>_xlfn.XLOOKUP(Pipeline_tbl[[#This Row],[Rep_ID]],Dim_Reps!A:A,Dim_Reps!D:D)</f>
        <v>Enterprise</v>
      </c>
      <c r="R1812" t="str">
        <f>_xlfn.XLOOKUP(Pipeline_tbl[[#This Row],[Rep_ID]],Dim_Reps!A:A,Dim_Reps!E:E)</f>
        <v>NAMER</v>
      </c>
      <c r="S1812" t="str">
        <f>_xlfn.XLOOKUP(Pipeline_tbl[[#This Row],[Created_Date]],Dim_Date!A:A,Dim_Date!H:H)</f>
        <v>Nov 2024</v>
      </c>
      <c r="T1812" t="str">
        <f>IF(Pipeline_tbl[[#This Row],[Closed_Date]]=0,"",(_xlfn.XLOOKUP(Pipeline_tbl[[#This Row],[Closed_Date]],Dim_Date!A:A,Dim_Date!H:H)))</f>
        <v>Dec 2024</v>
      </c>
      <c r="U1812">
        <f>IF(Pipeline_tbl[[#This Row],[Closed_Date]]=0,"",Pipeline_tbl[[#This Row],[Closed_Date]]-Pipeline_tbl[[#This Row],[Created_Date]])</f>
        <v>49</v>
      </c>
    </row>
    <row r="1813" spans="1:21" ht="15" customHeight="1" x14ac:dyDescent="0.2">
      <c r="A1813" t="s">
        <v>2119</v>
      </c>
      <c r="B1813" t="s">
        <v>181</v>
      </c>
      <c r="C1813" t="s">
        <v>55</v>
      </c>
      <c r="D1813" s="49">
        <v>45615</v>
      </c>
      <c r="E1813" s="49">
        <v>45619</v>
      </c>
      <c r="F1813" s="49">
        <v>45626</v>
      </c>
      <c r="G1813" s="49">
        <v>45637</v>
      </c>
      <c r="H1813" s="49">
        <v>45646</v>
      </c>
      <c r="I1813" s="49">
        <v>45651</v>
      </c>
      <c r="J1813" t="s">
        <v>49</v>
      </c>
      <c r="K1813" s="33">
        <v>34500</v>
      </c>
      <c r="L1813" t="s">
        <v>63</v>
      </c>
      <c r="M1813" t="str">
        <f>_xlfn.XLOOKUP(Pipeline_tbl[[#This Row],[Rep_ID]],Dim_Reps!A:A,Dim_Reps!K:K)</f>
        <v>USD</v>
      </c>
      <c r="N1813" s="33">
        <f>(_xlfn.XLOOKUP(Pipeline_tbl[[#This Row],[Rate_Code_Generalized]],Lookups!A:A,Lookups!B:B))*Pipeline_tbl[[#This Row],[Pipeline_Amount_USD]]</f>
        <v>40168.35</v>
      </c>
      <c r="O1813" t="str">
        <f>_xlfn.XLOOKUP(Pipeline_tbl[[#This Row],[Rep_ID]],Dim_Reps!A:A,Dim_Reps!B:B)</f>
        <v>Milo Weber</v>
      </c>
      <c r="P1813" t="str">
        <f>_xlfn.XLOOKUP(Pipeline_tbl[[#This Row],[Rep_ID]],Dim_Reps!A:A,Dim_Reps!C:C)</f>
        <v>Enterprise AE</v>
      </c>
      <c r="Q1813" t="str">
        <f>_xlfn.XLOOKUP(Pipeline_tbl[[#This Row],[Rep_ID]],Dim_Reps!A:A,Dim_Reps!D:D)</f>
        <v>Enterprise</v>
      </c>
      <c r="R1813" t="str">
        <f>_xlfn.XLOOKUP(Pipeline_tbl[[#This Row],[Rep_ID]],Dim_Reps!A:A,Dim_Reps!E:E)</f>
        <v>NAMER</v>
      </c>
      <c r="S1813" t="str">
        <f>_xlfn.XLOOKUP(Pipeline_tbl[[#This Row],[Created_Date]],Dim_Date!A:A,Dim_Date!H:H)</f>
        <v>Nov 2024</v>
      </c>
      <c r="T1813" t="str">
        <f>IF(Pipeline_tbl[[#This Row],[Closed_Date]]=0,"",(_xlfn.XLOOKUP(Pipeline_tbl[[#This Row],[Closed_Date]],Dim_Date!A:A,Dim_Date!H:H)))</f>
        <v>Dec 2024</v>
      </c>
      <c r="U1813">
        <f>IF(Pipeline_tbl[[#This Row],[Closed_Date]]=0,"",Pipeline_tbl[[#This Row],[Closed_Date]]-Pipeline_tbl[[#This Row],[Created_Date]])</f>
        <v>36</v>
      </c>
    </row>
    <row r="1814" spans="1:21" ht="15" customHeight="1" x14ac:dyDescent="0.2">
      <c r="A1814" t="s">
        <v>2120</v>
      </c>
      <c r="B1814" t="s">
        <v>181</v>
      </c>
      <c r="C1814" t="s">
        <v>55</v>
      </c>
      <c r="D1814" s="49">
        <v>45623</v>
      </c>
      <c r="E1814" s="49">
        <v>45626</v>
      </c>
      <c r="F1814" s="49">
        <v>45633</v>
      </c>
      <c r="G1814" s="49">
        <v>45643</v>
      </c>
      <c r="H1814" s="49">
        <v>45651</v>
      </c>
      <c r="I1814" s="49">
        <v>45656</v>
      </c>
      <c r="J1814" t="s">
        <v>47</v>
      </c>
      <c r="K1814" s="33">
        <v>54800</v>
      </c>
      <c r="M1814" t="str">
        <f>_xlfn.XLOOKUP(Pipeline_tbl[[#This Row],[Rep_ID]],Dim_Reps!A:A,Dim_Reps!K:K)</f>
        <v>USD</v>
      </c>
      <c r="N1814" s="33">
        <f>(_xlfn.XLOOKUP(Pipeline_tbl[[#This Row],[Rate_Code_Generalized]],Lookups!A:A,Lookups!B:B))*Pipeline_tbl[[#This Row],[Pipeline_Amount_USD]]</f>
        <v>63803.639999999992</v>
      </c>
      <c r="O1814" t="str">
        <f>_xlfn.XLOOKUP(Pipeline_tbl[[#This Row],[Rep_ID]],Dim_Reps!A:A,Dim_Reps!B:B)</f>
        <v>Milo Weber</v>
      </c>
      <c r="P1814" t="str">
        <f>_xlfn.XLOOKUP(Pipeline_tbl[[#This Row],[Rep_ID]],Dim_Reps!A:A,Dim_Reps!C:C)</f>
        <v>Enterprise AE</v>
      </c>
      <c r="Q1814" t="str">
        <f>_xlfn.XLOOKUP(Pipeline_tbl[[#This Row],[Rep_ID]],Dim_Reps!A:A,Dim_Reps!D:D)</f>
        <v>Enterprise</v>
      </c>
      <c r="R1814" t="str">
        <f>_xlfn.XLOOKUP(Pipeline_tbl[[#This Row],[Rep_ID]],Dim_Reps!A:A,Dim_Reps!E:E)</f>
        <v>NAMER</v>
      </c>
      <c r="S1814" t="str">
        <f>_xlfn.XLOOKUP(Pipeline_tbl[[#This Row],[Created_Date]],Dim_Date!A:A,Dim_Date!H:H)</f>
        <v>Nov 2024</v>
      </c>
      <c r="T1814" t="str">
        <f>IF(Pipeline_tbl[[#This Row],[Closed_Date]]=0,"",(_xlfn.XLOOKUP(Pipeline_tbl[[#This Row],[Closed_Date]],Dim_Date!A:A,Dim_Date!H:H)))</f>
        <v>Dec 2024</v>
      </c>
      <c r="U1814">
        <f>IF(Pipeline_tbl[[#This Row],[Closed_Date]]=0,"",Pipeline_tbl[[#This Row],[Closed_Date]]-Pipeline_tbl[[#This Row],[Created_Date]])</f>
        <v>33</v>
      </c>
    </row>
    <row r="1815" spans="1:21" ht="15" customHeight="1" x14ac:dyDescent="0.2">
      <c r="A1815" t="s">
        <v>2121</v>
      </c>
      <c r="B1815" t="s">
        <v>181</v>
      </c>
      <c r="C1815" t="s">
        <v>52</v>
      </c>
      <c r="D1815" s="49">
        <v>45599</v>
      </c>
      <c r="E1815" s="49">
        <v>45604</v>
      </c>
      <c r="F1815" s="49">
        <v>45614</v>
      </c>
      <c r="G1815" s="49">
        <v>45628</v>
      </c>
      <c r="H1815" s="49">
        <v>45641</v>
      </c>
      <c r="I1815" s="49">
        <v>45648</v>
      </c>
      <c r="J1815" t="s">
        <v>47</v>
      </c>
      <c r="K1815" s="33">
        <v>22900</v>
      </c>
      <c r="M1815" t="str">
        <f>_xlfn.XLOOKUP(Pipeline_tbl[[#This Row],[Rep_ID]],Dim_Reps!A:A,Dim_Reps!K:K)</f>
        <v>USD</v>
      </c>
      <c r="N1815" s="33">
        <f>(_xlfn.XLOOKUP(Pipeline_tbl[[#This Row],[Rate_Code_Generalized]],Lookups!A:A,Lookups!B:B))*Pipeline_tbl[[#This Row],[Pipeline_Amount_USD]]</f>
        <v>26662.469999999998</v>
      </c>
      <c r="O1815" t="str">
        <f>_xlfn.XLOOKUP(Pipeline_tbl[[#This Row],[Rep_ID]],Dim_Reps!A:A,Dim_Reps!B:B)</f>
        <v>Milo Weber</v>
      </c>
      <c r="P1815" t="str">
        <f>_xlfn.XLOOKUP(Pipeline_tbl[[#This Row],[Rep_ID]],Dim_Reps!A:A,Dim_Reps!C:C)</f>
        <v>Enterprise AE</v>
      </c>
      <c r="Q1815" t="str">
        <f>_xlfn.XLOOKUP(Pipeline_tbl[[#This Row],[Rep_ID]],Dim_Reps!A:A,Dim_Reps!D:D)</f>
        <v>Enterprise</v>
      </c>
      <c r="R1815" t="str">
        <f>_xlfn.XLOOKUP(Pipeline_tbl[[#This Row],[Rep_ID]],Dim_Reps!A:A,Dim_Reps!E:E)</f>
        <v>NAMER</v>
      </c>
      <c r="S1815" t="str">
        <f>_xlfn.XLOOKUP(Pipeline_tbl[[#This Row],[Created_Date]],Dim_Date!A:A,Dim_Date!H:H)</f>
        <v>Nov 2024</v>
      </c>
      <c r="T1815" t="str">
        <f>IF(Pipeline_tbl[[#This Row],[Closed_Date]]=0,"",(_xlfn.XLOOKUP(Pipeline_tbl[[#This Row],[Closed_Date]],Dim_Date!A:A,Dim_Date!H:H)))</f>
        <v>Dec 2024</v>
      </c>
      <c r="U1815">
        <f>IF(Pipeline_tbl[[#This Row],[Closed_Date]]=0,"",Pipeline_tbl[[#This Row],[Closed_Date]]-Pipeline_tbl[[#This Row],[Created_Date]])</f>
        <v>49</v>
      </c>
    </row>
    <row r="1816" spans="1:21" ht="15" customHeight="1" x14ac:dyDescent="0.2">
      <c r="A1816" t="s">
        <v>2122</v>
      </c>
      <c r="B1816" t="s">
        <v>181</v>
      </c>
      <c r="C1816" t="s">
        <v>52</v>
      </c>
      <c r="D1816" s="49">
        <v>45608</v>
      </c>
      <c r="E1816" s="49">
        <v>45613</v>
      </c>
      <c r="F1816" s="49">
        <v>45622</v>
      </c>
      <c r="G1816" s="49">
        <v>45637</v>
      </c>
      <c r="H1816" s="49">
        <v>45649</v>
      </c>
      <c r="I1816" s="49">
        <v>45656</v>
      </c>
      <c r="J1816" t="s">
        <v>49</v>
      </c>
      <c r="K1816" s="33">
        <v>57200</v>
      </c>
      <c r="L1816" t="s">
        <v>63</v>
      </c>
      <c r="M1816" t="str">
        <f>_xlfn.XLOOKUP(Pipeline_tbl[[#This Row],[Rep_ID]],Dim_Reps!A:A,Dim_Reps!K:K)</f>
        <v>USD</v>
      </c>
      <c r="N1816" s="33">
        <f>(_xlfn.XLOOKUP(Pipeline_tbl[[#This Row],[Rate_Code_Generalized]],Lookups!A:A,Lookups!B:B))*Pipeline_tbl[[#This Row],[Pipeline_Amount_USD]]</f>
        <v>66597.959999999992</v>
      </c>
      <c r="O1816" t="str">
        <f>_xlfn.XLOOKUP(Pipeline_tbl[[#This Row],[Rep_ID]],Dim_Reps!A:A,Dim_Reps!B:B)</f>
        <v>Milo Weber</v>
      </c>
      <c r="P1816" t="str">
        <f>_xlfn.XLOOKUP(Pipeline_tbl[[#This Row],[Rep_ID]],Dim_Reps!A:A,Dim_Reps!C:C)</f>
        <v>Enterprise AE</v>
      </c>
      <c r="Q1816" t="str">
        <f>_xlfn.XLOOKUP(Pipeline_tbl[[#This Row],[Rep_ID]],Dim_Reps!A:A,Dim_Reps!D:D)</f>
        <v>Enterprise</v>
      </c>
      <c r="R1816" t="str">
        <f>_xlfn.XLOOKUP(Pipeline_tbl[[#This Row],[Rep_ID]],Dim_Reps!A:A,Dim_Reps!E:E)</f>
        <v>NAMER</v>
      </c>
      <c r="S1816" t="str">
        <f>_xlfn.XLOOKUP(Pipeline_tbl[[#This Row],[Created_Date]],Dim_Date!A:A,Dim_Date!H:H)</f>
        <v>Nov 2024</v>
      </c>
      <c r="T1816" t="str">
        <f>IF(Pipeline_tbl[[#This Row],[Closed_Date]]=0,"",(_xlfn.XLOOKUP(Pipeline_tbl[[#This Row],[Closed_Date]],Dim_Date!A:A,Dim_Date!H:H)))</f>
        <v>Dec 2024</v>
      </c>
      <c r="U1816">
        <f>IF(Pipeline_tbl[[#This Row],[Closed_Date]]=0,"",Pipeline_tbl[[#This Row],[Closed_Date]]-Pipeline_tbl[[#This Row],[Created_Date]])</f>
        <v>48</v>
      </c>
    </row>
    <row r="1817" spans="1:21" ht="15" customHeight="1" x14ac:dyDescent="0.2">
      <c r="A1817" t="s">
        <v>2123</v>
      </c>
      <c r="B1817" t="s">
        <v>183</v>
      </c>
      <c r="C1817" t="s">
        <v>54</v>
      </c>
      <c r="D1817" s="49">
        <v>45603</v>
      </c>
      <c r="E1817" s="49">
        <v>45606</v>
      </c>
      <c r="F1817" s="49">
        <v>45613</v>
      </c>
      <c r="G1817" s="49">
        <v>45623</v>
      </c>
      <c r="I1817" s="49">
        <v>45637</v>
      </c>
      <c r="J1817" t="s">
        <v>49</v>
      </c>
      <c r="K1817" s="33">
        <v>27700</v>
      </c>
      <c r="L1817" t="s">
        <v>63</v>
      </c>
      <c r="M1817" t="str">
        <f>_xlfn.XLOOKUP(Pipeline_tbl[[#This Row],[Rep_ID]],Dim_Reps!A:A,Dim_Reps!K:K)</f>
        <v>EUR</v>
      </c>
      <c r="N1817" s="33">
        <f>(_xlfn.XLOOKUP(Pipeline_tbl[[#This Row],[Rate_Code_Generalized]],Lookups!A:A,Lookups!B:B))*Pipeline_tbl[[#This Row],[Pipeline_Amount_USD]]</f>
        <v>27700</v>
      </c>
      <c r="O1817" t="str">
        <f>_xlfn.XLOOKUP(Pipeline_tbl[[#This Row],[Rep_ID]],Dim_Reps!A:A,Dim_Reps!B:B)</f>
        <v>Sam Schmidt</v>
      </c>
      <c r="P1817" t="str">
        <f>_xlfn.XLOOKUP(Pipeline_tbl[[#This Row],[Rep_ID]],Dim_Reps!A:A,Dim_Reps!C:C)</f>
        <v>Enterprise AE</v>
      </c>
      <c r="Q1817" t="str">
        <f>_xlfn.XLOOKUP(Pipeline_tbl[[#This Row],[Rep_ID]],Dim_Reps!A:A,Dim_Reps!D:D)</f>
        <v>Enterprise</v>
      </c>
      <c r="R1817" t="str">
        <f>_xlfn.XLOOKUP(Pipeline_tbl[[#This Row],[Rep_ID]],Dim_Reps!A:A,Dim_Reps!E:E)</f>
        <v>EMEA</v>
      </c>
      <c r="S1817" t="str">
        <f>_xlfn.XLOOKUP(Pipeline_tbl[[#This Row],[Created_Date]],Dim_Date!A:A,Dim_Date!H:H)</f>
        <v>Nov 2024</v>
      </c>
      <c r="T1817" t="str">
        <f>IF(Pipeline_tbl[[#This Row],[Closed_Date]]=0,"",(_xlfn.XLOOKUP(Pipeline_tbl[[#This Row],[Closed_Date]],Dim_Date!A:A,Dim_Date!H:H)))</f>
        <v>Dec 2024</v>
      </c>
      <c r="U1817">
        <f>IF(Pipeline_tbl[[#This Row],[Closed_Date]]=0,"",Pipeline_tbl[[#This Row],[Closed_Date]]-Pipeline_tbl[[#This Row],[Created_Date]])</f>
        <v>34</v>
      </c>
    </row>
    <row r="1818" spans="1:21" ht="15" customHeight="1" x14ac:dyDescent="0.2">
      <c r="A1818" t="s">
        <v>2124</v>
      </c>
      <c r="B1818" t="s">
        <v>203</v>
      </c>
      <c r="C1818" t="s">
        <v>54</v>
      </c>
      <c r="D1818" s="49">
        <v>45621</v>
      </c>
      <c r="E1818" s="49">
        <v>45623</v>
      </c>
      <c r="F1818" s="49">
        <v>45627</v>
      </c>
      <c r="G1818" s="49">
        <v>45633</v>
      </c>
      <c r="H1818" s="49">
        <v>45638</v>
      </c>
      <c r="I1818" s="49">
        <v>45641</v>
      </c>
      <c r="J1818" t="s">
        <v>49</v>
      </c>
      <c r="K1818" s="33">
        <v>2900</v>
      </c>
      <c r="L1818" t="s">
        <v>62</v>
      </c>
      <c r="M1818" t="str">
        <f>_xlfn.XLOOKUP(Pipeline_tbl[[#This Row],[Rep_ID]],Dim_Reps!A:A,Dim_Reps!K:K)</f>
        <v>EUR</v>
      </c>
      <c r="N1818" s="33">
        <f>(_xlfn.XLOOKUP(Pipeline_tbl[[#This Row],[Rate_Code_Generalized]],Lookups!A:A,Lookups!B:B))*Pipeline_tbl[[#This Row],[Pipeline_Amount_USD]]</f>
        <v>2900</v>
      </c>
      <c r="O1818" t="str">
        <f>_xlfn.XLOOKUP(Pipeline_tbl[[#This Row],[Rep_ID]],Dim_Reps!A:A,Dim_Reps!B:B)</f>
        <v>Riley Haddad</v>
      </c>
      <c r="P1818" t="str">
        <f>_xlfn.XLOOKUP(Pipeline_tbl[[#This Row],[Rep_ID]],Dim_Reps!A:A,Dim_Reps!C:C)</f>
        <v>SDR / Inside Sales Rep</v>
      </c>
      <c r="Q1818" t="str">
        <f>_xlfn.XLOOKUP(Pipeline_tbl[[#This Row],[Rep_ID]],Dim_Reps!A:A,Dim_Reps!D:D)</f>
        <v>Inside Sales</v>
      </c>
      <c r="R1818" t="str">
        <f>_xlfn.XLOOKUP(Pipeline_tbl[[#This Row],[Rep_ID]],Dim_Reps!A:A,Dim_Reps!E:E)</f>
        <v>APAC</v>
      </c>
      <c r="S1818" t="str">
        <f>_xlfn.XLOOKUP(Pipeline_tbl[[#This Row],[Created_Date]],Dim_Date!A:A,Dim_Date!H:H)</f>
        <v>Nov 2024</v>
      </c>
      <c r="T1818" t="str">
        <f>IF(Pipeline_tbl[[#This Row],[Closed_Date]]=0,"",(_xlfn.XLOOKUP(Pipeline_tbl[[#This Row],[Closed_Date]],Dim_Date!A:A,Dim_Date!H:H)))</f>
        <v>Dec 2024</v>
      </c>
      <c r="U1818">
        <f>IF(Pipeline_tbl[[#This Row],[Closed_Date]]=0,"",Pipeline_tbl[[#This Row],[Closed_Date]]-Pipeline_tbl[[#This Row],[Created_Date]])</f>
        <v>20</v>
      </c>
    </row>
    <row r="1819" spans="1:21" ht="15" customHeight="1" x14ac:dyDescent="0.2">
      <c r="A1819" t="s">
        <v>2125</v>
      </c>
      <c r="B1819" t="s">
        <v>203</v>
      </c>
      <c r="C1819" t="s">
        <v>53</v>
      </c>
      <c r="D1819" s="49">
        <v>45617</v>
      </c>
      <c r="E1819" s="49">
        <v>45619</v>
      </c>
      <c r="F1819" s="49">
        <v>45622</v>
      </c>
      <c r="I1819" s="49">
        <v>45635</v>
      </c>
      <c r="J1819" t="s">
        <v>49</v>
      </c>
      <c r="K1819" s="33">
        <v>5100</v>
      </c>
      <c r="L1819" t="s">
        <v>61</v>
      </c>
      <c r="M1819" t="str">
        <f>_xlfn.XLOOKUP(Pipeline_tbl[[#This Row],[Rep_ID]],Dim_Reps!A:A,Dim_Reps!K:K)</f>
        <v>EUR</v>
      </c>
      <c r="N1819" s="33">
        <f>(_xlfn.XLOOKUP(Pipeline_tbl[[#This Row],[Rate_Code_Generalized]],Lookups!A:A,Lookups!B:B))*Pipeline_tbl[[#This Row],[Pipeline_Amount_USD]]</f>
        <v>5100</v>
      </c>
      <c r="O1819" t="str">
        <f>_xlfn.XLOOKUP(Pipeline_tbl[[#This Row],[Rep_ID]],Dim_Reps!A:A,Dim_Reps!B:B)</f>
        <v>Riley Haddad</v>
      </c>
      <c r="P1819" t="str">
        <f>_xlfn.XLOOKUP(Pipeline_tbl[[#This Row],[Rep_ID]],Dim_Reps!A:A,Dim_Reps!C:C)</f>
        <v>SDR / Inside Sales Rep</v>
      </c>
      <c r="Q1819" t="str">
        <f>_xlfn.XLOOKUP(Pipeline_tbl[[#This Row],[Rep_ID]],Dim_Reps!A:A,Dim_Reps!D:D)</f>
        <v>Inside Sales</v>
      </c>
      <c r="R1819" t="str">
        <f>_xlfn.XLOOKUP(Pipeline_tbl[[#This Row],[Rep_ID]],Dim_Reps!A:A,Dim_Reps!E:E)</f>
        <v>APAC</v>
      </c>
      <c r="S1819" t="str">
        <f>_xlfn.XLOOKUP(Pipeline_tbl[[#This Row],[Created_Date]],Dim_Date!A:A,Dim_Date!H:H)</f>
        <v>Nov 2024</v>
      </c>
      <c r="T1819" t="str">
        <f>IF(Pipeline_tbl[[#This Row],[Closed_Date]]=0,"",(_xlfn.XLOOKUP(Pipeline_tbl[[#This Row],[Closed_Date]],Dim_Date!A:A,Dim_Date!H:H)))</f>
        <v>Dec 2024</v>
      </c>
      <c r="U1819">
        <f>IF(Pipeline_tbl[[#This Row],[Closed_Date]]=0,"",Pipeline_tbl[[#This Row],[Closed_Date]]-Pipeline_tbl[[#This Row],[Created_Date]])</f>
        <v>18</v>
      </c>
    </row>
    <row r="1820" spans="1:21" ht="15" customHeight="1" x14ac:dyDescent="0.2">
      <c r="A1820" t="s">
        <v>2126</v>
      </c>
      <c r="B1820" t="s">
        <v>203</v>
      </c>
      <c r="C1820" t="s">
        <v>52</v>
      </c>
      <c r="D1820" s="49">
        <v>45619</v>
      </c>
      <c r="E1820" s="49">
        <v>45620</v>
      </c>
      <c r="F1820" s="49">
        <v>45623</v>
      </c>
      <c r="G1820" s="49">
        <v>45627</v>
      </c>
      <c r="H1820" s="49">
        <v>45630</v>
      </c>
      <c r="I1820" s="49">
        <v>45632</v>
      </c>
      <c r="J1820" t="s">
        <v>47</v>
      </c>
      <c r="K1820" s="33">
        <v>1800</v>
      </c>
      <c r="M1820" t="str">
        <f>_xlfn.XLOOKUP(Pipeline_tbl[[#This Row],[Rep_ID]],Dim_Reps!A:A,Dim_Reps!K:K)</f>
        <v>EUR</v>
      </c>
      <c r="N1820" s="33">
        <f>(_xlfn.XLOOKUP(Pipeline_tbl[[#This Row],[Rate_Code_Generalized]],Lookups!A:A,Lookups!B:B))*Pipeline_tbl[[#This Row],[Pipeline_Amount_USD]]</f>
        <v>1800</v>
      </c>
      <c r="O1820" t="str">
        <f>_xlfn.XLOOKUP(Pipeline_tbl[[#This Row],[Rep_ID]],Dim_Reps!A:A,Dim_Reps!B:B)</f>
        <v>Riley Haddad</v>
      </c>
      <c r="P1820" t="str">
        <f>_xlfn.XLOOKUP(Pipeline_tbl[[#This Row],[Rep_ID]],Dim_Reps!A:A,Dim_Reps!C:C)</f>
        <v>SDR / Inside Sales Rep</v>
      </c>
      <c r="Q1820" t="str">
        <f>_xlfn.XLOOKUP(Pipeline_tbl[[#This Row],[Rep_ID]],Dim_Reps!A:A,Dim_Reps!D:D)</f>
        <v>Inside Sales</v>
      </c>
      <c r="R1820" t="str">
        <f>_xlfn.XLOOKUP(Pipeline_tbl[[#This Row],[Rep_ID]],Dim_Reps!A:A,Dim_Reps!E:E)</f>
        <v>APAC</v>
      </c>
      <c r="S1820" t="str">
        <f>_xlfn.XLOOKUP(Pipeline_tbl[[#This Row],[Created_Date]],Dim_Date!A:A,Dim_Date!H:H)</f>
        <v>Nov 2024</v>
      </c>
      <c r="T1820" t="str">
        <f>IF(Pipeline_tbl[[#This Row],[Closed_Date]]=0,"",(_xlfn.XLOOKUP(Pipeline_tbl[[#This Row],[Closed_Date]],Dim_Date!A:A,Dim_Date!H:H)))</f>
        <v>Dec 2024</v>
      </c>
      <c r="U1820">
        <f>IF(Pipeline_tbl[[#This Row],[Closed_Date]]=0,"",Pipeline_tbl[[#This Row],[Closed_Date]]-Pipeline_tbl[[#This Row],[Created_Date]])</f>
        <v>13</v>
      </c>
    </row>
    <row r="1821" spans="1:21" ht="15" customHeight="1" x14ac:dyDescent="0.2">
      <c r="A1821" t="s">
        <v>2127</v>
      </c>
      <c r="B1821" t="s">
        <v>203</v>
      </c>
      <c r="C1821" t="s">
        <v>55</v>
      </c>
      <c r="D1821" s="49">
        <v>45624</v>
      </c>
      <c r="E1821" s="49">
        <v>45626</v>
      </c>
      <c r="F1821" s="49">
        <v>45629</v>
      </c>
      <c r="G1821" s="49">
        <v>45633</v>
      </c>
      <c r="H1821" s="49">
        <v>45637</v>
      </c>
      <c r="I1821" s="49">
        <v>45639</v>
      </c>
      <c r="J1821" t="s">
        <v>47</v>
      </c>
      <c r="K1821" s="33">
        <v>3800</v>
      </c>
      <c r="M1821" t="str">
        <f>_xlfn.XLOOKUP(Pipeline_tbl[[#This Row],[Rep_ID]],Dim_Reps!A:A,Dim_Reps!K:K)</f>
        <v>EUR</v>
      </c>
      <c r="N1821" s="33">
        <f>(_xlfn.XLOOKUP(Pipeline_tbl[[#This Row],[Rate_Code_Generalized]],Lookups!A:A,Lookups!B:B))*Pipeline_tbl[[#This Row],[Pipeline_Amount_USD]]</f>
        <v>3800</v>
      </c>
      <c r="O1821" t="str">
        <f>_xlfn.XLOOKUP(Pipeline_tbl[[#This Row],[Rep_ID]],Dim_Reps!A:A,Dim_Reps!B:B)</f>
        <v>Riley Haddad</v>
      </c>
      <c r="P1821" t="str">
        <f>_xlfn.XLOOKUP(Pipeline_tbl[[#This Row],[Rep_ID]],Dim_Reps!A:A,Dim_Reps!C:C)</f>
        <v>SDR / Inside Sales Rep</v>
      </c>
      <c r="Q1821" t="str">
        <f>_xlfn.XLOOKUP(Pipeline_tbl[[#This Row],[Rep_ID]],Dim_Reps!A:A,Dim_Reps!D:D)</f>
        <v>Inside Sales</v>
      </c>
      <c r="R1821" t="str">
        <f>_xlfn.XLOOKUP(Pipeline_tbl[[#This Row],[Rep_ID]],Dim_Reps!A:A,Dim_Reps!E:E)</f>
        <v>APAC</v>
      </c>
      <c r="S1821" t="str">
        <f>_xlfn.XLOOKUP(Pipeline_tbl[[#This Row],[Created_Date]],Dim_Date!A:A,Dim_Date!H:H)</f>
        <v>Nov 2024</v>
      </c>
      <c r="T1821" t="str">
        <f>IF(Pipeline_tbl[[#This Row],[Closed_Date]]=0,"",(_xlfn.XLOOKUP(Pipeline_tbl[[#This Row],[Closed_Date]],Dim_Date!A:A,Dim_Date!H:H)))</f>
        <v>Dec 2024</v>
      </c>
      <c r="U1821">
        <f>IF(Pipeline_tbl[[#This Row],[Closed_Date]]=0,"",Pipeline_tbl[[#This Row],[Closed_Date]]-Pipeline_tbl[[#This Row],[Created_Date]])</f>
        <v>15</v>
      </c>
    </row>
    <row r="1822" spans="1:21" ht="15" customHeight="1" x14ac:dyDescent="0.2">
      <c r="A1822" t="s">
        <v>2128</v>
      </c>
      <c r="B1822" t="s">
        <v>203</v>
      </c>
      <c r="C1822" t="s">
        <v>53</v>
      </c>
      <c r="D1822" s="49">
        <v>45611</v>
      </c>
      <c r="E1822" s="49">
        <v>45613</v>
      </c>
      <c r="F1822" s="49">
        <v>45616</v>
      </c>
      <c r="G1822" s="49">
        <v>45621</v>
      </c>
      <c r="I1822" s="49">
        <v>45628</v>
      </c>
      <c r="J1822" t="s">
        <v>49</v>
      </c>
      <c r="K1822" s="33">
        <v>5700</v>
      </c>
      <c r="L1822" t="s">
        <v>61</v>
      </c>
      <c r="M1822" t="str">
        <f>_xlfn.XLOOKUP(Pipeline_tbl[[#This Row],[Rep_ID]],Dim_Reps!A:A,Dim_Reps!K:K)</f>
        <v>EUR</v>
      </c>
      <c r="N1822" s="33">
        <f>(_xlfn.XLOOKUP(Pipeline_tbl[[#This Row],[Rate_Code_Generalized]],Lookups!A:A,Lookups!B:B))*Pipeline_tbl[[#This Row],[Pipeline_Amount_USD]]</f>
        <v>5700</v>
      </c>
      <c r="O1822" t="str">
        <f>_xlfn.XLOOKUP(Pipeline_tbl[[#This Row],[Rep_ID]],Dim_Reps!A:A,Dim_Reps!B:B)</f>
        <v>Riley Haddad</v>
      </c>
      <c r="P1822" t="str">
        <f>_xlfn.XLOOKUP(Pipeline_tbl[[#This Row],[Rep_ID]],Dim_Reps!A:A,Dim_Reps!C:C)</f>
        <v>SDR / Inside Sales Rep</v>
      </c>
      <c r="Q1822" t="str">
        <f>_xlfn.XLOOKUP(Pipeline_tbl[[#This Row],[Rep_ID]],Dim_Reps!A:A,Dim_Reps!D:D)</f>
        <v>Inside Sales</v>
      </c>
      <c r="R1822" t="str">
        <f>_xlfn.XLOOKUP(Pipeline_tbl[[#This Row],[Rep_ID]],Dim_Reps!A:A,Dim_Reps!E:E)</f>
        <v>APAC</v>
      </c>
      <c r="S1822" t="str">
        <f>_xlfn.XLOOKUP(Pipeline_tbl[[#This Row],[Created_Date]],Dim_Date!A:A,Dim_Date!H:H)</f>
        <v>Nov 2024</v>
      </c>
      <c r="T1822" t="str">
        <f>IF(Pipeline_tbl[[#This Row],[Closed_Date]]=0,"",(_xlfn.XLOOKUP(Pipeline_tbl[[#This Row],[Closed_Date]],Dim_Date!A:A,Dim_Date!H:H)))</f>
        <v>Dec 2024</v>
      </c>
      <c r="U1822">
        <f>IF(Pipeline_tbl[[#This Row],[Closed_Date]]=0,"",Pipeline_tbl[[#This Row],[Closed_Date]]-Pipeline_tbl[[#This Row],[Created_Date]])</f>
        <v>17</v>
      </c>
    </row>
    <row r="1823" spans="1:21" ht="15" customHeight="1" x14ac:dyDescent="0.2">
      <c r="A1823" t="s">
        <v>2129</v>
      </c>
      <c r="B1823" t="s">
        <v>185</v>
      </c>
      <c r="C1823" t="s">
        <v>54</v>
      </c>
      <c r="D1823" s="49">
        <v>45600</v>
      </c>
      <c r="E1823" s="49">
        <v>45605</v>
      </c>
      <c r="F1823" s="49">
        <v>45616</v>
      </c>
      <c r="I1823" s="49">
        <v>45652</v>
      </c>
      <c r="J1823" t="s">
        <v>49</v>
      </c>
      <c r="K1823" s="33">
        <v>49600</v>
      </c>
      <c r="L1823" t="s">
        <v>61</v>
      </c>
      <c r="M1823" t="str">
        <f>_xlfn.XLOOKUP(Pipeline_tbl[[#This Row],[Rep_ID]],Dim_Reps!A:A,Dim_Reps!K:K)</f>
        <v>MXN</v>
      </c>
      <c r="N1823" s="33">
        <f>(_xlfn.XLOOKUP(Pipeline_tbl[[#This Row],[Rate_Code_Generalized]],Lookups!A:A,Lookups!B:B))*Pipeline_tbl[[#This Row],[Pipeline_Amount_USD]]</f>
        <v>978741.92</v>
      </c>
      <c r="O1823" t="str">
        <f>_xlfn.XLOOKUP(Pipeline_tbl[[#This Row],[Rep_ID]],Dim_Reps!A:A,Dim_Reps!B:B)</f>
        <v>Noah Kim</v>
      </c>
      <c r="P1823" t="str">
        <f>_xlfn.XLOOKUP(Pipeline_tbl[[#This Row],[Rep_ID]],Dim_Reps!A:A,Dim_Reps!C:C)</f>
        <v>Enterprise AE</v>
      </c>
      <c r="Q1823" t="str">
        <f>_xlfn.XLOOKUP(Pipeline_tbl[[#This Row],[Rep_ID]],Dim_Reps!A:A,Dim_Reps!D:D)</f>
        <v>Enterprise</v>
      </c>
      <c r="R1823" t="str">
        <f>_xlfn.XLOOKUP(Pipeline_tbl[[#This Row],[Rep_ID]],Dim_Reps!A:A,Dim_Reps!E:E)</f>
        <v>LATAM</v>
      </c>
      <c r="S1823" t="str">
        <f>_xlfn.XLOOKUP(Pipeline_tbl[[#This Row],[Created_Date]],Dim_Date!A:A,Dim_Date!H:H)</f>
        <v>Nov 2024</v>
      </c>
      <c r="T1823" t="str">
        <f>IF(Pipeline_tbl[[#This Row],[Closed_Date]]=0,"",(_xlfn.XLOOKUP(Pipeline_tbl[[#This Row],[Closed_Date]],Dim_Date!A:A,Dim_Date!H:H)))</f>
        <v>Dec 2024</v>
      </c>
      <c r="U1823">
        <f>IF(Pipeline_tbl[[#This Row],[Closed_Date]]=0,"",Pipeline_tbl[[#This Row],[Closed_Date]]-Pipeline_tbl[[#This Row],[Created_Date]])</f>
        <v>52</v>
      </c>
    </row>
    <row r="1824" spans="1:21" ht="15" customHeight="1" x14ac:dyDescent="0.2">
      <c r="A1824" t="s">
        <v>2130</v>
      </c>
      <c r="B1824" t="s">
        <v>205</v>
      </c>
      <c r="C1824" t="s">
        <v>56</v>
      </c>
      <c r="D1824" s="49">
        <v>45614</v>
      </c>
      <c r="E1824" s="49">
        <v>45615</v>
      </c>
      <c r="F1824" s="49">
        <v>45618</v>
      </c>
      <c r="G1824" s="49">
        <v>45622</v>
      </c>
      <c r="I1824" s="49">
        <v>45628</v>
      </c>
      <c r="J1824" t="s">
        <v>49</v>
      </c>
      <c r="K1824" s="33">
        <v>4900</v>
      </c>
      <c r="L1824" t="s">
        <v>64</v>
      </c>
      <c r="M1824" t="str">
        <f>_xlfn.XLOOKUP(Pipeline_tbl[[#This Row],[Rep_ID]],Dim_Reps!A:A,Dim_Reps!K:K)</f>
        <v>EUR</v>
      </c>
      <c r="N1824" s="33">
        <f>(_xlfn.XLOOKUP(Pipeline_tbl[[#This Row],[Rate_Code_Generalized]],Lookups!A:A,Lookups!B:B))*Pipeline_tbl[[#This Row],[Pipeline_Amount_USD]]</f>
        <v>4900</v>
      </c>
      <c r="O1824" t="str">
        <f>_xlfn.XLOOKUP(Pipeline_tbl[[#This Row],[Rep_ID]],Dim_Reps!A:A,Dim_Reps!B:B)</f>
        <v>Karim Alvarez</v>
      </c>
      <c r="P1824" t="str">
        <f>_xlfn.XLOOKUP(Pipeline_tbl[[#This Row],[Rep_ID]],Dim_Reps!A:A,Dim_Reps!C:C)</f>
        <v>SDR / Inside Sales Rep</v>
      </c>
      <c r="Q1824" t="str">
        <f>_xlfn.XLOOKUP(Pipeline_tbl[[#This Row],[Rep_ID]],Dim_Reps!A:A,Dim_Reps!D:D)</f>
        <v>Inside Sales</v>
      </c>
      <c r="R1824" t="str">
        <f>_xlfn.XLOOKUP(Pipeline_tbl[[#This Row],[Rep_ID]],Dim_Reps!A:A,Dim_Reps!E:E)</f>
        <v>EMEA</v>
      </c>
      <c r="S1824" t="str">
        <f>_xlfn.XLOOKUP(Pipeline_tbl[[#This Row],[Created_Date]],Dim_Date!A:A,Dim_Date!H:H)</f>
        <v>Nov 2024</v>
      </c>
      <c r="T1824" t="str">
        <f>IF(Pipeline_tbl[[#This Row],[Closed_Date]]=0,"",(_xlfn.XLOOKUP(Pipeline_tbl[[#This Row],[Closed_Date]],Dim_Date!A:A,Dim_Date!H:H)))</f>
        <v>Dec 2024</v>
      </c>
      <c r="U1824">
        <f>IF(Pipeline_tbl[[#This Row],[Closed_Date]]=0,"",Pipeline_tbl[[#This Row],[Closed_Date]]-Pipeline_tbl[[#This Row],[Created_Date]])</f>
        <v>14</v>
      </c>
    </row>
    <row r="1825" spans="1:21" ht="15" customHeight="1" x14ac:dyDescent="0.2">
      <c r="A1825" t="s">
        <v>2131</v>
      </c>
      <c r="B1825" t="s">
        <v>205</v>
      </c>
      <c r="C1825" t="s">
        <v>54</v>
      </c>
      <c r="D1825" s="49">
        <v>45620</v>
      </c>
      <c r="E1825" s="49">
        <v>45622</v>
      </c>
      <c r="F1825" s="49">
        <v>45625</v>
      </c>
      <c r="G1825" s="49">
        <v>45630</v>
      </c>
      <c r="H1825" s="49">
        <v>45634</v>
      </c>
      <c r="I1825" s="49">
        <v>45636</v>
      </c>
      <c r="J1825" t="s">
        <v>47</v>
      </c>
      <c r="K1825" s="33">
        <v>1800</v>
      </c>
      <c r="M1825" t="str">
        <f>_xlfn.XLOOKUP(Pipeline_tbl[[#This Row],[Rep_ID]],Dim_Reps!A:A,Dim_Reps!K:K)</f>
        <v>EUR</v>
      </c>
      <c r="N1825" s="33">
        <f>(_xlfn.XLOOKUP(Pipeline_tbl[[#This Row],[Rate_Code_Generalized]],Lookups!A:A,Lookups!B:B))*Pipeline_tbl[[#This Row],[Pipeline_Amount_USD]]</f>
        <v>1800</v>
      </c>
      <c r="O1825" t="str">
        <f>_xlfn.XLOOKUP(Pipeline_tbl[[#This Row],[Rep_ID]],Dim_Reps!A:A,Dim_Reps!B:B)</f>
        <v>Karim Alvarez</v>
      </c>
      <c r="P1825" t="str">
        <f>_xlfn.XLOOKUP(Pipeline_tbl[[#This Row],[Rep_ID]],Dim_Reps!A:A,Dim_Reps!C:C)</f>
        <v>SDR / Inside Sales Rep</v>
      </c>
      <c r="Q1825" t="str">
        <f>_xlfn.XLOOKUP(Pipeline_tbl[[#This Row],[Rep_ID]],Dim_Reps!A:A,Dim_Reps!D:D)</f>
        <v>Inside Sales</v>
      </c>
      <c r="R1825" t="str">
        <f>_xlfn.XLOOKUP(Pipeline_tbl[[#This Row],[Rep_ID]],Dim_Reps!A:A,Dim_Reps!E:E)</f>
        <v>EMEA</v>
      </c>
      <c r="S1825" t="str">
        <f>_xlfn.XLOOKUP(Pipeline_tbl[[#This Row],[Created_Date]],Dim_Date!A:A,Dim_Date!H:H)</f>
        <v>Nov 2024</v>
      </c>
      <c r="T1825" t="str">
        <f>IF(Pipeline_tbl[[#This Row],[Closed_Date]]=0,"",(_xlfn.XLOOKUP(Pipeline_tbl[[#This Row],[Closed_Date]],Dim_Date!A:A,Dim_Date!H:H)))</f>
        <v>Dec 2024</v>
      </c>
      <c r="U1825">
        <f>IF(Pipeline_tbl[[#This Row],[Closed_Date]]=0,"",Pipeline_tbl[[#This Row],[Closed_Date]]-Pipeline_tbl[[#This Row],[Created_Date]])</f>
        <v>16</v>
      </c>
    </row>
    <row r="1826" spans="1:21" ht="15" customHeight="1" x14ac:dyDescent="0.2">
      <c r="A1826" t="s">
        <v>2132</v>
      </c>
      <c r="B1826" t="s">
        <v>205</v>
      </c>
      <c r="C1826" t="s">
        <v>53</v>
      </c>
      <c r="D1826" s="49">
        <v>45624</v>
      </c>
      <c r="E1826" s="49">
        <v>45626</v>
      </c>
      <c r="F1826" s="49">
        <v>45632</v>
      </c>
      <c r="G1826" s="49">
        <v>45639</v>
      </c>
      <c r="I1826" s="49">
        <v>45649</v>
      </c>
      <c r="J1826" t="s">
        <v>49</v>
      </c>
      <c r="K1826" s="33">
        <v>4600</v>
      </c>
      <c r="L1826" t="s">
        <v>60</v>
      </c>
      <c r="M1826" t="str">
        <f>_xlfn.XLOOKUP(Pipeline_tbl[[#This Row],[Rep_ID]],Dim_Reps!A:A,Dim_Reps!K:K)</f>
        <v>EUR</v>
      </c>
      <c r="N1826" s="33">
        <f>(_xlfn.XLOOKUP(Pipeline_tbl[[#This Row],[Rate_Code_Generalized]],Lookups!A:A,Lookups!B:B))*Pipeline_tbl[[#This Row],[Pipeline_Amount_USD]]</f>
        <v>4600</v>
      </c>
      <c r="O1826" t="str">
        <f>_xlfn.XLOOKUP(Pipeline_tbl[[#This Row],[Rep_ID]],Dim_Reps!A:A,Dim_Reps!B:B)</f>
        <v>Karim Alvarez</v>
      </c>
      <c r="P1826" t="str">
        <f>_xlfn.XLOOKUP(Pipeline_tbl[[#This Row],[Rep_ID]],Dim_Reps!A:A,Dim_Reps!C:C)</f>
        <v>SDR / Inside Sales Rep</v>
      </c>
      <c r="Q1826" t="str">
        <f>_xlfn.XLOOKUP(Pipeline_tbl[[#This Row],[Rep_ID]],Dim_Reps!A:A,Dim_Reps!D:D)</f>
        <v>Inside Sales</v>
      </c>
      <c r="R1826" t="str">
        <f>_xlfn.XLOOKUP(Pipeline_tbl[[#This Row],[Rep_ID]],Dim_Reps!A:A,Dim_Reps!E:E)</f>
        <v>EMEA</v>
      </c>
      <c r="S1826" t="str">
        <f>_xlfn.XLOOKUP(Pipeline_tbl[[#This Row],[Created_Date]],Dim_Date!A:A,Dim_Date!H:H)</f>
        <v>Nov 2024</v>
      </c>
      <c r="T1826" t="str">
        <f>IF(Pipeline_tbl[[#This Row],[Closed_Date]]=0,"",(_xlfn.XLOOKUP(Pipeline_tbl[[#This Row],[Closed_Date]],Dim_Date!A:A,Dim_Date!H:H)))</f>
        <v>Dec 2024</v>
      </c>
      <c r="U1826">
        <f>IF(Pipeline_tbl[[#This Row],[Closed_Date]]=0,"",Pipeline_tbl[[#This Row],[Closed_Date]]-Pipeline_tbl[[#This Row],[Created_Date]])</f>
        <v>25</v>
      </c>
    </row>
    <row r="1827" spans="1:21" ht="15" customHeight="1" x14ac:dyDescent="0.2">
      <c r="A1827" t="s">
        <v>2133</v>
      </c>
      <c r="B1827" t="s">
        <v>205</v>
      </c>
      <c r="C1827" t="s">
        <v>54</v>
      </c>
      <c r="D1827" s="49">
        <v>45610</v>
      </c>
      <c r="E1827" s="49">
        <v>45612</v>
      </c>
      <c r="F1827" s="49">
        <v>45616</v>
      </c>
      <c r="G1827" s="49">
        <v>45622</v>
      </c>
      <c r="H1827" s="49">
        <v>45627</v>
      </c>
      <c r="I1827" s="49">
        <v>45630</v>
      </c>
      <c r="J1827" t="s">
        <v>47</v>
      </c>
      <c r="K1827" s="33">
        <v>6300</v>
      </c>
      <c r="M1827" t="str">
        <f>_xlfn.XLOOKUP(Pipeline_tbl[[#This Row],[Rep_ID]],Dim_Reps!A:A,Dim_Reps!K:K)</f>
        <v>EUR</v>
      </c>
      <c r="N1827" s="33">
        <f>(_xlfn.XLOOKUP(Pipeline_tbl[[#This Row],[Rate_Code_Generalized]],Lookups!A:A,Lookups!B:B))*Pipeline_tbl[[#This Row],[Pipeline_Amount_USD]]</f>
        <v>6300</v>
      </c>
      <c r="O1827" t="str">
        <f>_xlfn.XLOOKUP(Pipeline_tbl[[#This Row],[Rep_ID]],Dim_Reps!A:A,Dim_Reps!B:B)</f>
        <v>Karim Alvarez</v>
      </c>
      <c r="P1827" t="str">
        <f>_xlfn.XLOOKUP(Pipeline_tbl[[#This Row],[Rep_ID]],Dim_Reps!A:A,Dim_Reps!C:C)</f>
        <v>SDR / Inside Sales Rep</v>
      </c>
      <c r="Q1827" t="str">
        <f>_xlfn.XLOOKUP(Pipeline_tbl[[#This Row],[Rep_ID]],Dim_Reps!A:A,Dim_Reps!D:D)</f>
        <v>Inside Sales</v>
      </c>
      <c r="R1827" t="str">
        <f>_xlfn.XLOOKUP(Pipeline_tbl[[#This Row],[Rep_ID]],Dim_Reps!A:A,Dim_Reps!E:E)</f>
        <v>EMEA</v>
      </c>
      <c r="S1827" t="str">
        <f>_xlfn.XLOOKUP(Pipeline_tbl[[#This Row],[Created_Date]],Dim_Date!A:A,Dim_Date!H:H)</f>
        <v>Nov 2024</v>
      </c>
      <c r="T1827" t="str">
        <f>IF(Pipeline_tbl[[#This Row],[Closed_Date]]=0,"",(_xlfn.XLOOKUP(Pipeline_tbl[[#This Row],[Closed_Date]],Dim_Date!A:A,Dim_Date!H:H)))</f>
        <v>Dec 2024</v>
      </c>
      <c r="U1827">
        <f>IF(Pipeline_tbl[[#This Row],[Closed_Date]]=0,"",Pipeline_tbl[[#This Row],[Closed_Date]]-Pipeline_tbl[[#This Row],[Created_Date]])</f>
        <v>20</v>
      </c>
    </row>
    <row r="1828" spans="1:21" ht="15" customHeight="1" x14ac:dyDescent="0.2">
      <c r="A1828" t="s">
        <v>2134</v>
      </c>
      <c r="B1828" t="s">
        <v>205</v>
      </c>
      <c r="C1828" t="s">
        <v>54</v>
      </c>
      <c r="D1828" s="49">
        <v>45611</v>
      </c>
      <c r="E1828" s="49">
        <v>45613</v>
      </c>
      <c r="F1828" s="49">
        <v>45618</v>
      </c>
      <c r="G1828" s="49">
        <v>45625</v>
      </c>
      <c r="I1828" s="49">
        <v>45635</v>
      </c>
      <c r="J1828" t="s">
        <v>49</v>
      </c>
      <c r="K1828" s="33">
        <v>2100</v>
      </c>
      <c r="L1828" t="s">
        <v>60</v>
      </c>
      <c r="M1828" t="str">
        <f>_xlfn.XLOOKUP(Pipeline_tbl[[#This Row],[Rep_ID]],Dim_Reps!A:A,Dim_Reps!K:K)</f>
        <v>EUR</v>
      </c>
      <c r="N1828" s="33">
        <f>(_xlfn.XLOOKUP(Pipeline_tbl[[#This Row],[Rate_Code_Generalized]],Lookups!A:A,Lookups!B:B))*Pipeline_tbl[[#This Row],[Pipeline_Amount_USD]]</f>
        <v>2100</v>
      </c>
      <c r="O1828" t="str">
        <f>_xlfn.XLOOKUP(Pipeline_tbl[[#This Row],[Rep_ID]],Dim_Reps!A:A,Dim_Reps!B:B)</f>
        <v>Karim Alvarez</v>
      </c>
      <c r="P1828" t="str">
        <f>_xlfn.XLOOKUP(Pipeline_tbl[[#This Row],[Rep_ID]],Dim_Reps!A:A,Dim_Reps!C:C)</f>
        <v>SDR / Inside Sales Rep</v>
      </c>
      <c r="Q1828" t="str">
        <f>_xlfn.XLOOKUP(Pipeline_tbl[[#This Row],[Rep_ID]],Dim_Reps!A:A,Dim_Reps!D:D)</f>
        <v>Inside Sales</v>
      </c>
      <c r="R1828" t="str">
        <f>_xlfn.XLOOKUP(Pipeline_tbl[[#This Row],[Rep_ID]],Dim_Reps!A:A,Dim_Reps!E:E)</f>
        <v>EMEA</v>
      </c>
      <c r="S1828" t="str">
        <f>_xlfn.XLOOKUP(Pipeline_tbl[[#This Row],[Created_Date]],Dim_Date!A:A,Dim_Date!H:H)</f>
        <v>Nov 2024</v>
      </c>
      <c r="T1828" t="str">
        <f>IF(Pipeline_tbl[[#This Row],[Closed_Date]]=0,"",(_xlfn.XLOOKUP(Pipeline_tbl[[#This Row],[Closed_Date]],Dim_Date!A:A,Dim_Date!H:H)))</f>
        <v>Dec 2024</v>
      </c>
      <c r="U1828">
        <f>IF(Pipeline_tbl[[#This Row],[Closed_Date]]=0,"",Pipeline_tbl[[#This Row],[Closed_Date]]-Pipeline_tbl[[#This Row],[Created_Date]])</f>
        <v>24</v>
      </c>
    </row>
    <row r="1829" spans="1:21" ht="15" customHeight="1" x14ac:dyDescent="0.2">
      <c r="A1829" t="s">
        <v>2135</v>
      </c>
      <c r="B1829" t="s">
        <v>205</v>
      </c>
      <c r="C1829" t="s">
        <v>55</v>
      </c>
      <c r="D1829" s="49">
        <v>45625</v>
      </c>
      <c r="E1829" s="49">
        <v>45627</v>
      </c>
      <c r="F1829" s="49">
        <v>45630</v>
      </c>
      <c r="G1829" s="49">
        <v>45635</v>
      </c>
      <c r="I1829" s="49">
        <v>45641</v>
      </c>
      <c r="J1829" t="s">
        <v>49</v>
      </c>
      <c r="K1829" s="33">
        <v>5900</v>
      </c>
      <c r="L1829" t="s">
        <v>60</v>
      </c>
      <c r="M1829" t="str">
        <f>_xlfn.XLOOKUP(Pipeline_tbl[[#This Row],[Rep_ID]],Dim_Reps!A:A,Dim_Reps!K:K)</f>
        <v>EUR</v>
      </c>
      <c r="N1829" s="33">
        <f>(_xlfn.XLOOKUP(Pipeline_tbl[[#This Row],[Rate_Code_Generalized]],Lookups!A:A,Lookups!B:B))*Pipeline_tbl[[#This Row],[Pipeline_Amount_USD]]</f>
        <v>5900</v>
      </c>
      <c r="O1829" t="str">
        <f>_xlfn.XLOOKUP(Pipeline_tbl[[#This Row],[Rep_ID]],Dim_Reps!A:A,Dim_Reps!B:B)</f>
        <v>Karim Alvarez</v>
      </c>
      <c r="P1829" t="str">
        <f>_xlfn.XLOOKUP(Pipeline_tbl[[#This Row],[Rep_ID]],Dim_Reps!A:A,Dim_Reps!C:C)</f>
        <v>SDR / Inside Sales Rep</v>
      </c>
      <c r="Q1829" t="str">
        <f>_xlfn.XLOOKUP(Pipeline_tbl[[#This Row],[Rep_ID]],Dim_Reps!A:A,Dim_Reps!D:D)</f>
        <v>Inside Sales</v>
      </c>
      <c r="R1829" t="str">
        <f>_xlfn.XLOOKUP(Pipeline_tbl[[#This Row],[Rep_ID]],Dim_Reps!A:A,Dim_Reps!E:E)</f>
        <v>EMEA</v>
      </c>
      <c r="S1829" t="str">
        <f>_xlfn.XLOOKUP(Pipeline_tbl[[#This Row],[Created_Date]],Dim_Date!A:A,Dim_Date!H:H)</f>
        <v>Nov 2024</v>
      </c>
      <c r="T1829" t="str">
        <f>IF(Pipeline_tbl[[#This Row],[Closed_Date]]=0,"",(_xlfn.XLOOKUP(Pipeline_tbl[[#This Row],[Closed_Date]],Dim_Date!A:A,Dim_Date!H:H)))</f>
        <v>Dec 2024</v>
      </c>
      <c r="U1829">
        <f>IF(Pipeline_tbl[[#This Row],[Closed_Date]]=0,"",Pipeline_tbl[[#This Row],[Closed_Date]]-Pipeline_tbl[[#This Row],[Created_Date]])</f>
        <v>16</v>
      </c>
    </row>
    <row r="1830" spans="1:21" ht="15" customHeight="1" x14ac:dyDescent="0.2">
      <c r="A1830" t="s">
        <v>2136</v>
      </c>
      <c r="B1830" t="s">
        <v>205</v>
      </c>
      <c r="C1830" t="s">
        <v>52</v>
      </c>
      <c r="D1830" s="49">
        <v>45623</v>
      </c>
      <c r="E1830" s="49">
        <v>45625</v>
      </c>
      <c r="F1830" s="49">
        <v>45628</v>
      </c>
      <c r="G1830" s="49">
        <v>45633</v>
      </c>
      <c r="I1830" s="49">
        <v>45640</v>
      </c>
      <c r="J1830" t="s">
        <v>49</v>
      </c>
      <c r="K1830" s="33">
        <v>1900</v>
      </c>
      <c r="L1830" t="s">
        <v>64</v>
      </c>
      <c r="M1830" t="str">
        <f>_xlfn.XLOOKUP(Pipeline_tbl[[#This Row],[Rep_ID]],Dim_Reps!A:A,Dim_Reps!K:K)</f>
        <v>EUR</v>
      </c>
      <c r="N1830" s="33">
        <f>(_xlfn.XLOOKUP(Pipeline_tbl[[#This Row],[Rate_Code_Generalized]],Lookups!A:A,Lookups!B:B))*Pipeline_tbl[[#This Row],[Pipeline_Amount_USD]]</f>
        <v>1900</v>
      </c>
      <c r="O1830" t="str">
        <f>_xlfn.XLOOKUP(Pipeline_tbl[[#This Row],[Rep_ID]],Dim_Reps!A:A,Dim_Reps!B:B)</f>
        <v>Karim Alvarez</v>
      </c>
      <c r="P1830" t="str">
        <f>_xlfn.XLOOKUP(Pipeline_tbl[[#This Row],[Rep_ID]],Dim_Reps!A:A,Dim_Reps!C:C)</f>
        <v>SDR / Inside Sales Rep</v>
      </c>
      <c r="Q1830" t="str">
        <f>_xlfn.XLOOKUP(Pipeline_tbl[[#This Row],[Rep_ID]],Dim_Reps!A:A,Dim_Reps!D:D)</f>
        <v>Inside Sales</v>
      </c>
      <c r="R1830" t="str">
        <f>_xlfn.XLOOKUP(Pipeline_tbl[[#This Row],[Rep_ID]],Dim_Reps!A:A,Dim_Reps!E:E)</f>
        <v>EMEA</v>
      </c>
      <c r="S1830" t="str">
        <f>_xlfn.XLOOKUP(Pipeline_tbl[[#This Row],[Created_Date]],Dim_Date!A:A,Dim_Date!H:H)</f>
        <v>Nov 2024</v>
      </c>
      <c r="T1830" t="str">
        <f>IF(Pipeline_tbl[[#This Row],[Closed_Date]]=0,"",(_xlfn.XLOOKUP(Pipeline_tbl[[#This Row],[Closed_Date]],Dim_Date!A:A,Dim_Date!H:H)))</f>
        <v>Dec 2024</v>
      </c>
      <c r="U1830">
        <f>IF(Pipeline_tbl[[#This Row],[Closed_Date]]=0,"",Pipeline_tbl[[#This Row],[Closed_Date]]-Pipeline_tbl[[#This Row],[Created_Date]])</f>
        <v>17</v>
      </c>
    </row>
    <row r="1831" spans="1:21" ht="15" customHeight="1" x14ac:dyDescent="0.2">
      <c r="A1831" t="s">
        <v>2137</v>
      </c>
      <c r="B1831" t="s">
        <v>207</v>
      </c>
      <c r="C1831" t="s">
        <v>56</v>
      </c>
      <c r="D1831" s="49">
        <v>45619</v>
      </c>
      <c r="E1831" s="49">
        <v>45621</v>
      </c>
      <c r="F1831" s="49">
        <v>45625</v>
      </c>
      <c r="G1831" s="49">
        <v>45630</v>
      </c>
      <c r="I1831" s="49">
        <v>45638</v>
      </c>
      <c r="J1831" t="s">
        <v>49</v>
      </c>
      <c r="K1831" s="33">
        <v>4600</v>
      </c>
      <c r="L1831" t="s">
        <v>61</v>
      </c>
      <c r="M1831" t="str">
        <f>_xlfn.XLOOKUP(Pipeline_tbl[[#This Row],[Rep_ID]],Dim_Reps!A:A,Dim_Reps!K:K)</f>
        <v>EUR</v>
      </c>
      <c r="N1831" s="33">
        <f>(_xlfn.XLOOKUP(Pipeline_tbl[[#This Row],[Rate_Code_Generalized]],Lookups!A:A,Lookups!B:B))*Pipeline_tbl[[#This Row],[Pipeline_Amount_USD]]</f>
        <v>4600</v>
      </c>
      <c r="O1831" t="str">
        <f>_xlfn.XLOOKUP(Pipeline_tbl[[#This Row],[Rep_ID]],Dim_Reps!A:A,Dim_Reps!B:B)</f>
        <v>Sam Castro</v>
      </c>
      <c r="P1831" t="str">
        <f>_xlfn.XLOOKUP(Pipeline_tbl[[#This Row],[Rep_ID]],Dim_Reps!A:A,Dim_Reps!C:C)</f>
        <v>SDR / Inside Sales Rep</v>
      </c>
      <c r="Q1831" t="str">
        <f>_xlfn.XLOOKUP(Pipeline_tbl[[#This Row],[Rep_ID]],Dim_Reps!A:A,Dim_Reps!D:D)</f>
        <v>Inside Sales</v>
      </c>
      <c r="R1831" t="str">
        <f>_xlfn.XLOOKUP(Pipeline_tbl[[#This Row],[Rep_ID]],Dim_Reps!A:A,Dim_Reps!E:E)</f>
        <v>APAC</v>
      </c>
      <c r="S1831" t="str">
        <f>_xlfn.XLOOKUP(Pipeline_tbl[[#This Row],[Created_Date]],Dim_Date!A:A,Dim_Date!H:H)</f>
        <v>Nov 2024</v>
      </c>
      <c r="T1831" t="str">
        <f>IF(Pipeline_tbl[[#This Row],[Closed_Date]]=0,"",(_xlfn.XLOOKUP(Pipeline_tbl[[#This Row],[Closed_Date]],Dim_Date!A:A,Dim_Date!H:H)))</f>
        <v>Dec 2024</v>
      </c>
      <c r="U1831">
        <f>IF(Pipeline_tbl[[#This Row],[Closed_Date]]=0,"",Pipeline_tbl[[#This Row],[Closed_Date]]-Pipeline_tbl[[#This Row],[Created_Date]])</f>
        <v>19</v>
      </c>
    </row>
    <row r="1832" spans="1:21" ht="15" customHeight="1" x14ac:dyDescent="0.2">
      <c r="A1832" t="s">
        <v>2138</v>
      </c>
      <c r="B1832" t="s">
        <v>207</v>
      </c>
      <c r="C1832" t="s">
        <v>53</v>
      </c>
      <c r="D1832" s="49">
        <v>45613</v>
      </c>
      <c r="E1832" s="49">
        <v>45615</v>
      </c>
      <c r="F1832" s="49">
        <v>45618</v>
      </c>
      <c r="G1832" s="49">
        <v>45622</v>
      </c>
      <c r="H1832" s="49">
        <v>45626</v>
      </c>
      <c r="I1832" s="49">
        <v>45628</v>
      </c>
      <c r="J1832" t="s">
        <v>49</v>
      </c>
      <c r="K1832" s="33">
        <v>5900</v>
      </c>
      <c r="L1832" t="s">
        <v>62</v>
      </c>
      <c r="M1832" t="str">
        <f>_xlfn.XLOOKUP(Pipeline_tbl[[#This Row],[Rep_ID]],Dim_Reps!A:A,Dim_Reps!K:K)</f>
        <v>EUR</v>
      </c>
      <c r="N1832" s="33">
        <f>(_xlfn.XLOOKUP(Pipeline_tbl[[#This Row],[Rate_Code_Generalized]],Lookups!A:A,Lookups!B:B))*Pipeline_tbl[[#This Row],[Pipeline_Amount_USD]]</f>
        <v>5900</v>
      </c>
      <c r="O1832" t="str">
        <f>_xlfn.XLOOKUP(Pipeline_tbl[[#This Row],[Rep_ID]],Dim_Reps!A:A,Dim_Reps!B:B)</f>
        <v>Sam Castro</v>
      </c>
      <c r="P1832" t="str">
        <f>_xlfn.XLOOKUP(Pipeline_tbl[[#This Row],[Rep_ID]],Dim_Reps!A:A,Dim_Reps!C:C)</f>
        <v>SDR / Inside Sales Rep</v>
      </c>
      <c r="Q1832" t="str">
        <f>_xlfn.XLOOKUP(Pipeline_tbl[[#This Row],[Rep_ID]],Dim_Reps!A:A,Dim_Reps!D:D)</f>
        <v>Inside Sales</v>
      </c>
      <c r="R1832" t="str">
        <f>_xlfn.XLOOKUP(Pipeline_tbl[[#This Row],[Rep_ID]],Dim_Reps!A:A,Dim_Reps!E:E)</f>
        <v>APAC</v>
      </c>
      <c r="S1832" t="str">
        <f>_xlfn.XLOOKUP(Pipeline_tbl[[#This Row],[Created_Date]],Dim_Date!A:A,Dim_Date!H:H)</f>
        <v>Nov 2024</v>
      </c>
      <c r="T1832" t="str">
        <f>IF(Pipeline_tbl[[#This Row],[Closed_Date]]=0,"",(_xlfn.XLOOKUP(Pipeline_tbl[[#This Row],[Closed_Date]],Dim_Date!A:A,Dim_Date!H:H)))</f>
        <v>Dec 2024</v>
      </c>
      <c r="U1832">
        <f>IF(Pipeline_tbl[[#This Row],[Closed_Date]]=0,"",Pipeline_tbl[[#This Row],[Closed_Date]]-Pipeline_tbl[[#This Row],[Created_Date]])</f>
        <v>15</v>
      </c>
    </row>
    <row r="1833" spans="1:21" ht="15" customHeight="1" x14ac:dyDescent="0.2">
      <c r="A1833" t="s">
        <v>2139</v>
      </c>
      <c r="B1833" t="s">
        <v>207</v>
      </c>
      <c r="C1833" t="s">
        <v>55</v>
      </c>
      <c r="D1833" s="49">
        <v>45614</v>
      </c>
      <c r="E1833" s="49">
        <v>45616</v>
      </c>
      <c r="F1833" s="49">
        <v>45620</v>
      </c>
      <c r="G1833" s="49">
        <v>45626</v>
      </c>
      <c r="H1833" s="49">
        <v>45631</v>
      </c>
      <c r="I1833" s="49">
        <v>45634</v>
      </c>
      <c r="J1833" t="s">
        <v>47</v>
      </c>
      <c r="K1833" s="33">
        <v>3000</v>
      </c>
      <c r="M1833" t="str">
        <f>_xlfn.XLOOKUP(Pipeline_tbl[[#This Row],[Rep_ID]],Dim_Reps!A:A,Dim_Reps!K:K)</f>
        <v>EUR</v>
      </c>
      <c r="N1833" s="33">
        <f>(_xlfn.XLOOKUP(Pipeline_tbl[[#This Row],[Rate_Code_Generalized]],Lookups!A:A,Lookups!B:B))*Pipeline_tbl[[#This Row],[Pipeline_Amount_USD]]</f>
        <v>3000</v>
      </c>
      <c r="O1833" t="str">
        <f>_xlfn.XLOOKUP(Pipeline_tbl[[#This Row],[Rep_ID]],Dim_Reps!A:A,Dim_Reps!B:B)</f>
        <v>Sam Castro</v>
      </c>
      <c r="P1833" t="str">
        <f>_xlfn.XLOOKUP(Pipeline_tbl[[#This Row],[Rep_ID]],Dim_Reps!A:A,Dim_Reps!C:C)</f>
        <v>SDR / Inside Sales Rep</v>
      </c>
      <c r="Q1833" t="str">
        <f>_xlfn.XLOOKUP(Pipeline_tbl[[#This Row],[Rep_ID]],Dim_Reps!A:A,Dim_Reps!D:D)</f>
        <v>Inside Sales</v>
      </c>
      <c r="R1833" t="str">
        <f>_xlfn.XLOOKUP(Pipeline_tbl[[#This Row],[Rep_ID]],Dim_Reps!A:A,Dim_Reps!E:E)</f>
        <v>APAC</v>
      </c>
      <c r="S1833" t="str">
        <f>_xlfn.XLOOKUP(Pipeline_tbl[[#This Row],[Created_Date]],Dim_Date!A:A,Dim_Date!H:H)</f>
        <v>Nov 2024</v>
      </c>
      <c r="T1833" t="str">
        <f>IF(Pipeline_tbl[[#This Row],[Closed_Date]]=0,"",(_xlfn.XLOOKUP(Pipeline_tbl[[#This Row],[Closed_Date]],Dim_Date!A:A,Dim_Date!H:H)))</f>
        <v>Dec 2024</v>
      </c>
      <c r="U1833">
        <f>IF(Pipeline_tbl[[#This Row],[Closed_Date]]=0,"",Pipeline_tbl[[#This Row],[Closed_Date]]-Pipeline_tbl[[#This Row],[Created_Date]])</f>
        <v>20</v>
      </c>
    </row>
    <row r="1834" spans="1:21" ht="15" customHeight="1" x14ac:dyDescent="0.2">
      <c r="A1834" t="s">
        <v>2140</v>
      </c>
      <c r="B1834" t="s">
        <v>207</v>
      </c>
      <c r="C1834" t="s">
        <v>52</v>
      </c>
      <c r="D1834" s="49">
        <v>45623</v>
      </c>
      <c r="E1834" s="49">
        <v>45625</v>
      </c>
      <c r="I1834" s="49">
        <v>45639</v>
      </c>
      <c r="J1834" t="s">
        <v>49</v>
      </c>
      <c r="K1834" s="33">
        <v>4300</v>
      </c>
      <c r="L1834" t="s">
        <v>60</v>
      </c>
      <c r="M1834" t="str">
        <f>_xlfn.XLOOKUP(Pipeline_tbl[[#This Row],[Rep_ID]],Dim_Reps!A:A,Dim_Reps!K:K)</f>
        <v>EUR</v>
      </c>
      <c r="N1834" s="33">
        <f>(_xlfn.XLOOKUP(Pipeline_tbl[[#This Row],[Rate_Code_Generalized]],Lookups!A:A,Lookups!B:B))*Pipeline_tbl[[#This Row],[Pipeline_Amount_USD]]</f>
        <v>4300</v>
      </c>
      <c r="O1834" t="str">
        <f>_xlfn.XLOOKUP(Pipeline_tbl[[#This Row],[Rep_ID]],Dim_Reps!A:A,Dim_Reps!B:B)</f>
        <v>Sam Castro</v>
      </c>
      <c r="P1834" t="str">
        <f>_xlfn.XLOOKUP(Pipeline_tbl[[#This Row],[Rep_ID]],Dim_Reps!A:A,Dim_Reps!C:C)</f>
        <v>SDR / Inside Sales Rep</v>
      </c>
      <c r="Q1834" t="str">
        <f>_xlfn.XLOOKUP(Pipeline_tbl[[#This Row],[Rep_ID]],Dim_Reps!A:A,Dim_Reps!D:D)</f>
        <v>Inside Sales</v>
      </c>
      <c r="R1834" t="str">
        <f>_xlfn.XLOOKUP(Pipeline_tbl[[#This Row],[Rep_ID]],Dim_Reps!A:A,Dim_Reps!E:E)</f>
        <v>APAC</v>
      </c>
      <c r="S1834" t="str">
        <f>_xlfn.XLOOKUP(Pipeline_tbl[[#This Row],[Created_Date]],Dim_Date!A:A,Dim_Date!H:H)</f>
        <v>Nov 2024</v>
      </c>
      <c r="T1834" t="str">
        <f>IF(Pipeline_tbl[[#This Row],[Closed_Date]]=0,"",(_xlfn.XLOOKUP(Pipeline_tbl[[#This Row],[Closed_Date]],Dim_Date!A:A,Dim_Date!H:H)))</f>
        <v>Dec 2024</v>
      </c>
      <c r="U1834">
        <f>IF(Pipeline_tbl[[#This Row],[Closed_Date]]=0,"",Pipeline_tbl[[#This Row],[Closed_Date]]-Pipeline_tbl[[#This Row],[Created_Date]])</f>
        <v>16</v>
      </c>
    </row>
    <row r="1835" spans="1:21" ht="15" customHeight="1" x14ac:dyDescent="0.2">
      <c r="A1835" t="s">
        <v>2141</v>
      </c>
      <c r="B1835" t="s">
        <v>207</v>
      </c>
      <c r="C1835" t="s">
        <v>52</v>
      </c>
      <c r="D1835" s="49">
        <v>45618</v>
      </c>
      <c r="E1835" s="49">
        <v>45620</v>
      </c>
      <c r="F1835" s="49">
        <v>45625</v>
      </c>
      <c r="I1835" s="49">
        <v>45640</v>
      </c>
      <c r="J1835" t="s">
        <v>49</v>
      </c>
      <c r="K1835" s="33">
        <v>6500</v>
      </c>
      <c r="L1835" t="s">
        <v>64</v>
      </c>
      <c r="M1835" t="str">
        <f>_xlfn.XLOOKUP(Pipeline_tbl[[#This Row],[Rep_ID]],Dim_Reps!A:A,Dim_Reps!K:K)</f>
        <v>EUR</v>
      </c>
      <c r="N1835" s="33">
        <f>(_xlfn.XLOOKUP(Pipeline_tbl[[#This Row],[Rate_Code_Generalized]],Lookups!A:A,Lookups!B:B))*Pipeline_tbl[[#This Row],[Pipeline_Amount_USD]]</f>
        <v>6500</v>
      </c>
      <c r="O1835" t="str">
        <f>_xlfn.XLOOKUP(Pipeline_tbl[[#This Row],[Rep_ID]],Dim_Reps!A:A,Dim_Reps!B:B)</f>
        <v>Sam Castro</v>
      </c>
      <c r="P1835" t="str">
        <f>_xlfn.XLOOKUP(Pipeline_tbl[[#This Row],[Rep_ID]],Dim_Reps!A:A,Dim_Reps!C:C)</f>
        <v>SDR / Inside Sales Rep</v>
      </c>
      <c r="Q1835" t="str">
        <f>_xlfn.XLOOKUP(Pipeline_tbl[[#This Row],[Rep_ID]],Dim_Reps!A:A,Dim_Reps!D:D)</f>
        <v>Inside Sales</v>
      </c>
      <c r="R1835" t="str">
        <f>_xlfn.XLOOKUP(Pipeline_tbl[[#This Row],[Rep_ID]],Dim_Reps!A:A,Dim_Reps!E:E)</f>
        <v>APAC</v>
      </c>
      <c r="S1835" t="str">
        <f>_xlfn.XLOOKUP(Pipeline_tbl[[#This Row],[Created_Date]],Dim_Date!A:A,Dim_Date!H:H)</f>
        <v>Nov 2024</v>
      </c>
      <c r="T1835" t="str">
        <f>IF(Pipeline_tbl[[#This Row],[Closed_Date]]=0,"",(_xlfn.XLOOKUP(Pipeline_tbl[[#This Row],[Closed_Date]],Dim_Date!A:A,Dim_Date!H:H)))</f>
        <v>Dec 2024</v>
      </c>
      <c r="U1835">
        <f>IF(Pipeline_tbl[[#This Row],[Closed_Date]]=0,"",Pipeline_tbl[[#This Row],[Closed_Date]]-Pipeline_tbl[[#This Row],[Created_Date]])</f>
        <v>22</v>
      </c>
    </row>
    <row r="1836" spans="1:21" ht="15" customHeight="1" x14ac:dyDescent="0.2">
      <c r="A1836" t="s">
        <v>2142</v>
      </c>
      <c r="B1836" t="s">
        <v>207</v>
      </c>
      <c r="C1836" t="s">
        <v>52</v>
      </c>
      <c r="D1836" s="49">
        <v>45622</v>
      </c>
      <c r="E1836" s="49">
        <v>45623</v>
      </c>
      <c r="F1836" s="49">
        <v>45625</v>
      </c>
      <c r="G1836" s="49">
        <v>45629</v>
      </c>
      <c r="H1836" s="49">
        <v>45631</v>
      </c>
      <c r="I1836" s="49">
        <v>45633</v>
      </c>
      <c r="J1836" t="s">
        <v>49</v>
      </c>
      <c r="K1836" s="33">
        <v>2600</v>
      </c>
      <c r="L1836" t="s">
        <v>61</v>
      </c>
      <c r="M1836" t="str">
        <f>_xlfn.XLOOKUP(Pipeline_tbl[[#This Row],[Rep_ID]],Dim_Reps!A:A,Dim_Reps!K:K)</f>
        <v>EUR</v>
      </c>
      <c r="N1836" s="33">
        <f>(_xlfn.XLOOKUP(Pipeline_tbl[[#This Row],[Rate_Code_Generalized]],Lookups!A:A,Lookups!B:B))*Pipeline_tbl[[#This Row],[Pipeline_Amount_USD]]</f>
        <v>2600</v>
      </c>
      <c r="O1836" t="str">
        <f>_xlfn.XLOOKUP(Pipeline_tbl[[#This Row],[Rep_ID]],Dim_Reps!A:A,Dim_Reps!B:B)</f>
        <v>Sam Castro</v>
      </c>
      <c r="P1836" t="str">
        <f>_xlfn.XLOOKUP(Pipeline_tbl[[#This Row],[Rep_ID]],Dim_Reps!A:A,Dim_Reps!C:C)</f>
        <v>SDR / Inside Sales Rep</v>
      </c>
      <c r="Q1836" t="str">
        <f>_xlfn.XLOOKUP(Pipeline_tbl[[#This Row],[Rep_ID]],Dim_Reps!A:A,Dim_Reps!D:D)</f>
        <v>Inside Sales</v>
      </c>
      <c r="R1836" t="str">
        <f>_xlfn.XLOOKUP(Pipeline_tbl[[#This Row],[Rep_ID]],Dim_Reps!A:A,Dim_Reps!E:E)</f>
        <v>APAC</v>
      </c>
      <c r="S1836" t="str">
        <f>_xlfn.XLOOKUP(Pipeline_tbl[[#This Row],[Created_Date]],Dim_Date!A:A,Dim_Date!H:H)</f>
        <v>Nov 2024</v>
      </c>
      <c r="T1836" t="str">
        <f>IF(Pipeline_tbl[[#This Row],[Closed_Date]]=0,"",(_xlfn.XLOOKUP(Pipeline_tbl[[#This Row],[Closed_Date]],Dim_Date!A:A,Dim_Date!H:H)))</f>
        <v>Dec 2024</v>
      </c>
      <c r="U1836">
        <f>IF(Pipeline_tbl[[#This Row],[Closed_Date]]=0,"",Pipeline_tbl[[#This Row],[Closed_Date]]-Pipeline_tbl[[#This Row],[Created_Date]])</f>
        <v>11</v>
      </c>
    </row>
    <row r="1837" spans="1:21" ht="15" customHeight="1" x14ac:dyDescent="0.2">
      <c r="A1837" t="s">
        <v>2143</v>
      </c>
      <c r="B1837" t="s">
        <v>207</v>
      </c>
      <c r="C1837" t="s">
        <v>53</v>
      </c>
      <c r="D1837" s="49">
        <v>45608</v>
      </c>
      <c r="E1837" s="49">
        <v>45610</v>
      </c>
      <c r="F1837" s="49">
        <v>45614</v>
      </c>
      <c r="G1837" s="49">
        <v>45619</v>
      </c>
      <c r="H1837" s="49">
        <v>45624</v>
      </c>
      <c r="I1837" s="49">
        <v>45627</v>
      </c>
      <c r="J1837" t="s">
        <v>47</v>
      </c>
      <c r="K1837" s="33">
        <v>7800</v>
      </c>
      <c r="M1837" t="str">
        <f>_xlfn.XLOOKUP(Pipeline_tbl[[#This Row],[Rep_ID]],Dim_Reps!A:A,Dim_Reps!K:K)</f>
        <v>EUR</v>
      </c>
      <c r="N1837" s="33">
        <f>(_xlfn.XLOOKUP(Pipeline_tbl[[#This Row],[Rate_Code_Generalized]],Lookups!A:A,Lookups!B:B))*Pipeline_tbl[[#This Row],[Pipeline_Amount_USD]]</f>
        <v>7800</v>
      </c>
      <c r="O1837" t="str">
        <f>_xlfn.XLOOKUP(Pipeline_tbl[[#This Row],[Rep_ID]],Dim_Reps!A:A,Dim_Reps!B:B)</f>
        <v>Sam Castro</v>
      </c>
      <c r="P1837" t="str">
        <f>_xlfn.XLOOKUP(Pipeline_tbl[[#This Row],[Rep_ID]],Dim_Reps!A:A,Dim_Reps!C:C)</f>
        <v>SDR / Inside Sales Rep</v>
      </c>
      <c r="Q1837" t="str">
        <f>_xlfn.XLOOKUP(Pipeline_tbl[[#This Row],[Rep_ID]],Dim_Reps!A:A,Dim_Reps!D:D)</f>
        <v>Inside Sales</v>
      </c>
      <c r="R1837" t="str">
        <f>_xlfn.XLOOKUP(Pipeline_tbl[[#This Row],[Rep_ID]],Dim_Reps!A:A,Dim_Reps!E:E)</f>
        <v>APAC</v>
      </c>
      <c r="S1837" t="str">
        <f>_xlfn.XLOOKUP(Pipeline_tbl[[#This Row],[Created_Date]],Dim_Date!A:A,Dim_Date!H:H)</f>
        <v>Nov 2024</v>
      </c>
      <c r="T1837" t="str">
        <f>IF(Pipeline_tbl[[#This Row],[Closed_Date]]=0,"",(_xlfn.XLOOKUP(Pipeline_tbl[[#This Row],[Closed_Date]],Dim_Date!A:A,Dim_Date!H:H)))</f>
        <v>Dec 2024</v>
      </c>
      <c r="U1837">
        <f>IF(Pipeline_tbl[[#This Row],[Closed_Date]]=0,"",Pipeline_tbl[[#This Row],[Closed_Date]]-Pipeline_tbl[[#This Row],[Created_Date]])</f>
        <v>19</v>
      </c>
    </row>
    <row r="1838" spans="1:21" ht="15" customHeight="1" x14ac:dyDescent="0.2">
      <c r="A1838" t="s">
        <v>2144</v>
      </c>
      <c r="B1838" t="s">
        <v>211</v>
      </c>
      <c r="C1838" t="s">
        <v>52</v>
      </c>
      <c r="D1838" s="49">
        <v>45610</v>
      </c>
      <c r="E1838" s="49">
        <v>45612</v>
      </c>
      <c r="F1838" s="49">
        <v>45615</v>
      </c>
      <c r="G1838" s="49">
        <v>45620</v>
      </c>
      <c r="H1838" s="49">
        <v>45624</v>
      </c>
      <c r="I1838" s="49">
        <v>45627</v>
      </c>
      <c r="J1838" t="s">
        <v>49</v>
      </c>
      <c r="K1838" s="33">
        <v>2700</v>
      </c>
      <c r="L1838" t="s">
        <v>61</v>
      </c>
      <c r="M1838" t="str">
        <f>_xlfn.XLOOKUP(Pipeline_tbl[[#This Row],[Rep_ID]],Dim_Reps!A:A,Dim_Reps!K:K)</f>
        <v>EUR</v>
      </c>
      <c r="N1838" s="33">
        <f>(_xlfn.XLOOKUP(Pipeline_tbl[[#This Row],[Rate_Code_Generalized]],Lookups!A:A,Lookups!B:B))*Pipeline_tbl[[#This Row],[Pipeline_Amount_USD]]</f>
        <v>2700</v>
      </c>
      <c r="O1838" t="str">
        <f>_xlfn.XLOOKUP(Pipeline_tbl[[#This Row],[Rep_ID]],Dim_Reps!A:A,Dim_Reps!B:B)</f>
        <v>Lea Weber</v>
      </c>
      <c r="P1838" t="str">
        <f>_xlfn.XLOOKUP(Pipeline_tbl[[#This Row],[Rep_ID]],Dim_Reps!A:A,Dim_Reps!C:C)</f>
        <v>SDR / Inside Sales Rep</v>
      </c>
      <c r="Q1838" t="str">
        <f>_xlfn.XLOOKUP(Pipeline_tbl[[#This Row],[Rep_ID]],Dim_Reps!A:A,Dim_Reps!D:D)</f>
        <v>Inside Sales</v>
      </c>
      <c r="R1838" t="str">
        <f>_xlfn.XLOOKUP(Pipeline_tbl[[#This Row],[Rep_ID]],Dim_Reps!A:A,Dim_Reps!E:E)</f>
        <v>EMEA</v>
      </c>
      <c r="S1838" t="str">
        <f>_xlfn.XLOOKUP(Pipeline_tbl[[#This Row],[Created_Date]],Dim_Date!A:A,Dim_Date!H:H)</f>
        <v>Nov 2024</v>
      </c>
      <c r="T1838" t="str">
        <f>IF(Pipeline_tbl[[#This Row],[Closed_Date]]=0,"",(_xlfn.XLOOKUP(Pipeline_tbl[[#This Row],[Closed_Date]],Dim_Date!A:A,Dim_Date!H:H)))</f>
        <v>Dec 2024</v>
      </c>
      <c r="U1838">
        <f>IF(Pipeline_tbl[[#This Row],[Closed_Date]]=0,"",Pipeline_tbl[[#This Row],[Closed_Date]]-Pipeline_tbl[[#This Row],[Created_Date]])</f>
        <v>17</v>
      </c>
    </row>
    <row r="1839" spans="1:21" ht="15" customHeight="1" x14ac:dyDescent="0.2">
      <c r="A1839" t="s">
        <v>2145</v>
      </c>
      <c r="B1839" t="s">
        <v>211</v>
      </c>
      <c r="C1839" t="s">
        <v>53</v>
      </c>
      <c r="D1839" s="49">
        <v>45618</v>
      </c>
      <c r="E1839" s="49">
        <v>45620</v>
      </c>
      <c r="F1839" s="49">
        <v>45623</v>
      </c>
      <c r="I1839" s="49">
        <v>45635</v>
      </c>
      <c r="J1839" t="s">
        <v>49</v>
      </c>
      <c r="K1839" s="33">
        <v>6200</v>
      </c>
      <c r="L1839" t="s">
        <v>64</v>
      </c>
      <c r="M1839" t="str">
        <f>_xlfn.XLOOKUP(Pipeline_tbl[[#This Row],[Rep_ID]],Dim_Reps!A:A,Dim_Reps!K:K)</f>
        <v>EUR</v>
      </c>
      <c r="N1839" s="33">
        <f>(_xlfn.XLOOKUP(Pipeline_tbl[[#This Row],[Rate_Code_Generalized]],Lookups!A:A,Lookups!B:B))*Pipeline_tbl[[#This Row],[Pipeline_Amount_USD]]</f>
        <v>6200</v>
      </c>
      <c r="O1839" t="str">
        <f>_xlfn.XLOOKUP(Pipeline_tbl[[#This Row],[Rep_ID]],Dim_Reps!A:A,Dim_Reps!B:B)</f>
        <v>Lea Weber</v>
      </c>
      <c r="P1839" t="str">
        <f>_xlfn.XLOOKUP(Pipeline_tbl[[#This Row],[Rep_ID]],Dim_Reps!A:A,Dim_Reps!C:C)</f>
        <v>SDR / Inside Sales Rep</v>
      </c>
      <c r="Q1839" t="str">
        <f>_xlfn.XLOOKUP(Pipeline_tbl[[#This Row],[Rep_ID]],Dim_Reps!A:A,Dim_Reps!D:D)</f>
        <v>Inside Sales</v>
      </c>
      <c r="R1839" t="str">
        <f>_xlfn.XLOOKUP(Pipeline_tbl[[#This Row],[Rep_ID]],Dim_Reps!A:A,Dim_Reps!E:E)</f>
        <v>EMEA</v>
      </c>
      <c r="S1839" t="str">
        <f>_xlfn.XLOOKUP(Pipeline_tbl[[#This Row],[Created_Date]],Dim_Date!A:A,Dim_Date!H:H)</f>
        <v>Nov 2024</v>
      </c>
      <c r="T1839" t="str">
        <f>IF(Pipeline_tbl[[#This Row],[Closed_Date]]=0,"",(_xlfn.XLOOKUP(Pipeline_tbl[[#This Row],[Closed_Date]],Dim_Date!A:A,Dim_Date!H:H)))</f>
        <v>Dec 2024</v>
      </c>
      <c r="U1839">
        <f>IF(Pipeline_tbl[[#This Row],[Closed_Date]]=0,"",Pipeline_tbl[[#This Row],[Closed_Date]]-Pipeline_tbl[[#This Row],[Created_Date]])</f>
        <v>17</v>
      </c>
    </row>
    <row r="1840" spans="1:21" ht="15" customHeight="1" x14ac:dyDescent="0.2">
      <c r="A1840" t="s">
        <v>2146</v>
      </c>
      <c r="B1840" t="s">
        <v>211</v>
      </c>
      <c r="C1840" t="s">
        <v>56</v>
      </c>
      <c r="D1840" s="49">
        <v>45620</v>
      </c>
      <c r="E1840" s="49">
        <v>45621</v>
      </c>
      <c r="F1840" s="49">
        <v>45624</v>
      </c>
      <c r="G1840" s="49">
        <v>45628</v>
      </c>
      <c r="H1840" s="49">
        <v>45632</v>
      </c>
      <c r="I1840" s="49">
        <v>45634</v>
      </c>
      <c r="J1840" t="s">
        <v>47</v>
      </c>
      <c r="K1840" s="33">
        <v>2800</v>
      </c>
      <c r="M1840" t="str">
        <f>_xlfn.XLOOKUP(Pipeline_tbl[[#This Row],[Rep_ID]],Dim_Reps!A:A,Dim_Reps!K:K)</f>
        <v>EUR</v>
      </c>
      <c r="N1840" s="33">
        <f>(_xlfn.XLOOKUP(Pipeline_tbl[[#This Row],[Rate_Code_Generalized]],Lookups!A:A,Lookups!B:B))*Pipeline_tbl[[#This Row],[Pipeline_Amount_USD]]</f>
        <v>2800</v>
      </c>
      <c r="O1840" t="str">
        <f>_xlfn.XLOOKUP(Pipeline_tbl[[#This Row],[Rep_ID]],Dim_Reps!A:A,Dim_Reps!B:B)</f>
        <v>Lea Weber</v>
      </c>
      <c r="P1840" t="str">
        <f>_xlfn.XLOOKUP(Pipeline_tbl[[#This Row],[Rep_ID]],Dim_Reps!A:A,Dim_Reps!C:C)</f>
        <v>SDR / Inside Sales Rep</v>
      </c>
      <c r="Q1840" t="str">
        <f>_xlfn.XLOOKUP(Pipeline_tbl[[#This Row],[Rep_ID]],Dim_Reps!A:A,Dim_Reps!D:D)</f>
        <v>Inside Sales</v>
      </c>
      <c r="R1840" t="str">
        <f>_xlfn.XLOOKUP(Pipeline_tbl[[#This Row],[Rep_ID]],Dim_Reps!A:A,Dim_Reps!E:E)</f>
        <v>EMEA</v>
      </c>
      <c r="S1840" t="str">
        <f>_xlfn.XLOOKUP(Pipeline_tbl[[#This Row],[Created_Date]],Dim_Date!A:A,Dim_Date!H:H)</f>
        <v>Nov 2024</v>
      </c>
      <c r="T1840" t="str">
        <f>IF(Pipeline_tbl[[#This Row],[Closed_Date]]=0,"",(_xlfn.XLOOKUP(Pipeline_tbl[[#This Row],[Closed_Date]],Dim_Date!A:A,Dim_Date!H:H)))</f>
        <v>Dec 2024</v>
      </c>
      <c r="U1840">
        <f>IF(Pipeline_tbl[[#This Row],[Closed_Date]]=0,"",Pipeline_tbl[[#This Row],[Closed_Date]]-Pipeline_tbl[[#This Row],[Created_Date]])</f>
        <v>14</v>
      </c>
    </row>
    <row r="1841" spans="1:21" ht="15" customHeight="1" x14ac:dyDescent="0.2">
      <c r="A1841" t="s">
        <v>2147</v>
      </c>
      <c r="B1841" t="s">
        <v>211</v>
      </c>
      <c r="C1841" t="s">
        <v>54</v>
      </c>
      <c r="D1841" s="49">
        <v>45611</v>
      </c>
      <c r="E1841" s="49">
        <v>45613</v>
      </c>
      <c r="F1841" s="49">
        <v>45616</v>
      </c>
      <c r="G1841" s="49">
        <v>45621</v>
      </c>
      <c r="I1841" s="49">
        <v>45627</v>
      </c>
      <c r="J1841" t="s">
        <v>49</v>
      </c>
      <c r="K1841" s="33">
        <v>5700</v>
      </c>
      <c r="L1841" t="s">
        <v>62</v>
      </c>
      <c r="M1841" t="str">
        <f>_xlfn.XLOOKUP(Pipeline_tbl[[#This Row],[Rep_ID]],Dim_Reps!A:A,Dim_Reps!K:K)</f>
        <v>EUR</v>
      </c>
      <c r="N1841" s="33">
        <f>(_xlfn.XLOOKUP(Pipeline_tbl[[#This Row],[Rate_Code_Generalized]],Lookups!A:A,Lookups!B:B))*Pipeline_tbl[[#This Row],[Pipeline_Amount_USD]]</f>
        <v>5700</v>
      </c>
      <c r="O1841" t="str">
        <f>_xlfn.XLOOKUP(Pipeline_tbl[[#This Row],[Rep_ID]],Dim_Reps!A:A,Dim_Reps!B:B)</f>
        <v>Lea Weber</v>
      </c>
      <c r="P1841" t="str">
        <f>_xlfn.XLOOKUP(Pipeline_tbl[[#This Row],[Rep_ID]],Dim_Reps!A:A,Dim_Reps!C:C)</f>
        <v>SDR / Inside Sales Rep</v>
      </c>
      <c r="Q1841" t="str">
        <f>_xlfn.XLOOKUP(Pipeline_tbl[[#This Row],[Rep_ID]],Dim_Reps!A:A,Dim_Reps!D:D)</f>
        <v>Inside Sales</v>
      </c>
      <c r="R1841" t="str">
        <f>_xlfn.XLOOKUP(Pipeline_tbl[[#This Row],[Rep_ID]],Dim_Reps!A:A,Dim_Reps!E:E)</f>
        <v>EMEA</v>
      </c>
      <c r="S1841" t="str">
        <f>_xlfn.XLOOKUP(Pipeline_tbl[[#This Row],[Created_Date]],Dim_Date!A:A,Dim_Date!H:H)</f>
        <v>Nov 2024</v>
      </c>
      <c r="T1841" t="str">
        <f>IF(Pipeline_tbl[[#This Row],[Closed_Date]]=0,"",(_xlfn.XLOOKUP(Pipeline_tbl[[#This Row],[Closed_Date]],Dim_Date!A:A,Dim_Date!H:H)))</f>
        <v>Dec 2024</v>
      </c>
      <c r="U1841">
        <f>IF(Pipeline_tbl[[#This Row],[Closed_Date]]=0,"",Pipeline_tbl[[#This Row],[Closed_Date]]-Pipeline_tbl[[#This Row],[Created_Date]])</f>
        <v>16</v>
      </c>
    </row>
    <row r="1842" spans="1:21" ht="15" customHeight="1" x14ac:dyDescent="0.2">
      <c r="A1842" t="s">
        <v>2148</v>
      </c>
      <c r="B1842" t="s">
        <v>211</v>
      </c>
      <c r="C1842" t="s">
        <v>52</v>
      </c>
      <c r="D1842" s="49">
        <v>45621</v>
      </c>
      <c r="E1842" s="49">
        <v>45623</v>
      </c>
      <c r="F1842" s="49">
        <v>45627</v>
      </c>
      <c r="I1842" s="49">
        <v>45640</v>
      </c>
      <c r="J1842" t="s">
        <v>49</v>
      </c>
      <c r="K1842" s="33">
        <v>2400</v>
      </c>
      <c r="L1842" t="s">
        <v>62</v>
      </c>
      <c r="M1842" t="str">
        <f>_xlfn.XLOOKUP(Pipeline_tbl[[#This Row],[Rep_ID]],Dim_Reps!A:A,Dim_Reps!K:K)</f>
        <v>EUR</v>
      </c>
      <c r="N1842" s="33">
        <f>(_xlfn.XLOOKUP(Pipeline_tbl[[#This Row],[Rate_Code_Generalized]],Lookups!A:A,Lookups!B:B))*Pipeline_tbl[[#This Row],[Pipeline_Amount_USD]]</f>
        <v>2400</v>
      </c>
      <c r="O1842" t="str">
        <f>_xlfn.XLOOKUP(Pipeline_tbl[[#This Row],[Rep_ID]],Dim_Reps!A:A,Dim_Reps!B:B)</f>
        <v>Lea Weber</v>
      </c>
      <c r="P1842" t="str">
        <f>_xlfn.XLOOKUP(Pipeline_tbl[[#This Row],[Rep_ID]],Dim_Reps!A:A,Dim_Reps!C:C)</f>
        <v>SDR / Inside Sales Rep</v>
      </c>
      <c r="Q1842" t="str">
        <f>_xlfn.XLOOKUP(Pipeline_tbl[[#This Row],[Rep_ID]],Dim_Reps!A:A,Dim_Reps!D:D)</f>
        <v>Inside Sales</v>
      </c>
      <c r="R1842" t="str">
        <f>_xlfn.XLOOKUP(Pipeline_tbl[[#This Row],[Rep_ID]],Dim_Reps!A:A,Dim_Reps!E:E)</f>
        <v>EMEA</v>
      </c>
      <c r="S1842" t="str">
        <f>_xlfn.XLOOKUP(Pipeline_tbl[[#This Row],[Created_Date]],Dim_Date!A:A,Dim_Date!H:H)</f>
        <v>Nov 2024</v>
      </c>
      <c r="T1842" t="str">
        <f>IF(Pipeline_tbl[[#This Row],[Closed_Date]]=0,"",(_xlfn.XLOOKUP(Pipeline_tbl[[#This Row],[Closed_Date]],Dim_Date!A:A,Dim_Date!H:H)))</f>
        <v>Dec 2024</v>
      </c>
      <c r="U1842">
        <f>IF(Pipeline_tbl[[#This Row],[Closed_Date]]=0,"",Pipeline_tbl[[#This Row],[Closed_Date]]-Pipeline_tbl[[#This Row],[Created_Date]])</f>
        <v>19</v>
      </c>
    </row>
    <row r="1843" spans="1:21" ht="15" customHeight="1" x14ac:dyDescent="0.2">
      <c r="A1843" t="s">
        <v>2149</v>
      </c>
      <c r="B1843" t="s">
        <v>211</v>
      </c>
      <c r="C1843" t="s">
        <v>54</v>
      </c>
      <c r="D1843" s="49">
        <v>45620</v>
      </c>
      <c r="E1843" s="49">
        <v>45622</v>
      </c>
      <c r="F1843" s="49">
        <v>45626</v>
      </c>
      <c r="G1843" s="49">
        <v>45632</v>
      </c>
      <c r="H1843" s="49">
        <v>45637</v>
      </c>
      <c r="I1843" s="49">
        <v>45640</v>
      </c>
      <c r="J1843" t="s">
        <v>47</v>
      </c>
      <c r="K1843" s="33">
        <v>2000</v>
      </c>
      <c r="M1843" t="str">
        <f>_xlfn.XLOOKUP(Pipeline_tbl[[#This Row],[Rep_ID]],Dim_Reps!A:A,Dim_Reps!K:K)</f>
        <v>EUR</v>
      </c>
      <c r="N1843" s="33">
        <f>(_xlfn.XLOOKUP(Pipeline_tbl[[#This Row],[Rate_Code_Generalized]],Lookups!A:A,Lookups!B:B))*Pipeline_tbl[[#This Row],[Pipeline_Amount_USD]]</f>
        <v>2000</v>
      </c>
      <c r="O1843" t="str">
        <f>_xlfn.XLOOKUP(Pipeline_tbl[[#This Row],[Rep_ID]],Dim_Reps!A:A,Dim_Reps!B:B)</f>
        <v>Lea Weber</v>
      </c>
      <c r="P1843" t="str">
        <f>_xlfn.XLOOKUP(Pipeline_tbl[[#This Row],[Rep_ID]],Dim_Reps!A:A,Dim_Reps!C:C)</f>
        <v>SDR / Inside Sales Rep</v>
      </c>
      <c r="Q1843" t="str">
        <f>_xlfn.XLOOKUP(Pipeline_tbl[[#This Row],[Rep_ID]],Dim_Reps!A:A,Dim_Reps!D:D)</f>
        <v>Inside Sales</v>
      </c>
      <c r="R1843" t="str">
        <f>_xlfn.XLOOKUP(Pipeline_tbl[[#This Row],[Rep_ID]],Dim_Reps!A:A,Dim_Reps!E:E)</f>
        <v>EMEA</v>
      </c>
      <c r="S1843" t="str">
        <f>_xlfn.XLOOKUP(Pipeline_tbl[[#This Row],[Created_Date]],Dim_Date!A:A,Dim_Date!H:H)</f>
        <v>Nov 2024</v>
      </c>
      <c r="T1843" t="str">
        <f>IF(Pipeline_tbl[[#This Row],[Closed_Date]]=0,"",(_xlfn.XLOOKUP(Pipeline_tbl[[#This Row],[Closed_Date]],Dim_Date!A:A,Dim_Date!H:H)))</f>
        <v>Dec 2024</v>
      </c>
      <c r="U1843">
        <f>IF(Pipeline_tbl[[#This Row],[Closed_Date]]=0,"",Pipeline_tbl[[#This Row],[Closed_Date]]-Pipeline_tbl[[#This Row],[Created_Date]])</f>
        <v>20</v>
      </c>
    </row>
    <row r="1844" spans="1:21" ht="15" customHeight="1" x14ac:dyDescent="0.2">
      <c r="A1844" t="s">
        <v>2150</v>
      </c>
      <c r="B1844" t="s">
        <v>211</v>
      </c>
      <c r="C1844" t="s">
        <v>53</v>
      </c>
      <c r="D1844" s="49">
        <v>45622</v>
      </c>
      <c r="E1844" s="49">
        <v>45624</v>
      </c>
      <c r="F1844" s="49">
        <v>45630</v>
      </c>
      <c r="G1844" s="49">
        <v>45637</v>
      </c>
      <c r="H1844" s="49">
        <v>45643</v>
      </c>
      <c r="I1844" s="49">
        <v>45647</v>
      </c>
      <c r="J1844" t="s">
        <v>49</v>
      </c>
      <c r="K1844" s="33">
        <v>5400</v>
      </c>
      <c r="L1844" t="s">
        <v>62</v>
      </c>
      <c r="M1844" t="str">
        <f>_xlfn.XLOOKUP(Pipeline_tbl[[#This Row],[Rep_ID]],Dim_Reps!A:A,Dim_Reps!K:K)</f>
        <v>EUR</v>
      </c>
      <c r="N1844" s="33">
        <f>(_xlfn.XLOOKUP(Pipeline_tbl[[#This Row],[Rate_Code_Generalized]],Lookups!A:A,Lookups!B:B))*Pipeline_tbl[[#This Row],[Pipeline_Amount_USD]]</f>
        <v>5400</v>
      </c>
      <c r="O1844" t="str">
        <f>_xlfn.XLOOKUP(Pipeline_tbl[[#This Row],[Rep_ID]],Dim_Reps!A:A,Dim_Reps!B:B)</f>
        <v>Lea Weber</v>
      </c>
      <c r="P1844" t="str">
        <f>_xlfn.XLOOKUP(Pipeline_tbl[[#This Row],[Rep_ID]],Dim_Reps!A:A,Dim_Reps!C:C)</f>
        <v>SDR / Inside Sales Rep</v>
      </c>
      <c r="Q1844" t="str">
        <f>_xlfn.XLOOKUP(Pipeline_tbl[[#This Row],[Rep_ID]],Dim_Reps!A:A,Dim_Reps!D:D)</f>
        <v>Inside Sales</v>
      </c>
      <c r="R1844" t="str">
        <f>_xlfn.XLOOKUP(Pipeline_tbl[[#This Row],[Rep_ID]],Dim_Reps!A:A,Dim_Reps!E:E)</f>
        <v>EMEA</v>
      </c>
      <c r="S1844" t="str">
        <f>_xlfn.XLOOKUP(Pipeline_tbl[[#This Row],[Created_Date]],Dim_Date!A:A,Dim_Date!H:H)</f>
        <v>Nov 2024</v>
      </c>
      <c r="T1844" t="str">
        <f>IF(Pipeline_tbl[[#This Row],[Closed_Date]]=0,"",(_xlfn.XLOOKUP(Pipeline_tbl[[#This Row],[Closed_Date]],Dim_Date!A:A,Dim_Date!H:H)))</f>
        <v>Dec 2024</v>
      </c>
      <c r="U1844">
        <f>IF(Pipeline_tbl[[#This Row],[Closed_Date]]=0,"",Pipeline_tbl[[#This Row],[Closed_Date]]-Pipeline_tbl[[#This Row],[Created_Date]])</f>
        <v>25</v>
      </c>
    </row>
    <row r="1845" spans="1:21" ht="15" customHeight="1" x14ac:dyDescent="0.2">
      <c r="A1845" t="s">
        <v>2151</v>
      </c>
      <c r="B1845" t="s">
        <v>211</v>
      </c>
      <c r="C1845" t="s">
        <v>53</v>
      </c>
      <c r="D1845" s="49">
        <v>45611</v>
      </c>
      <c r="E1845" s="49">
        <v>45613</v>
      </c>
      <c r="F1845" s="49">
        <v>45618</v>
      </c>
      <c r="G1845" s="49">
        <v>45625</v>
      </c>
      <c r="H1845" s="49">
        <v>45631</v>
      </c>
      <c r="I1845" s="49">
        <v>45634</v>
      </c>
      <c r="J1845" t="s">
        <v>49</v>
      </c>
      <c r="K1845" s="33">
        <v>2600</v>
      </c>
      <c r="L1845" t="s">
        <v>62</v>
      </c>
      <c r="M1845" t="str">
        <f>_xlfn.XLOOKUP(Pipeline_tbl[[#This Row],[Rep_ID]],Dim_Reps!A:A,Dim_Reps!K:K)</f>
        <v>EUR</v>
      </c>
      <c r="N1845" s="33">
        <f>(_xlfn.XLOOKUP(Pipeline_tbl[[#This Row],[Rate_Code_Generalized]],Lookups!A:A,Lookups!B:B))*Pipeline_tbl[[#This Row],[Pipeline_Amount_USD]]</f>
        <v>2600</v>
      </c>
      <c r="O1845" t="str">
        <f>_xlfn.XLOOKUP(Pipeline_tbl[[#This Row],[Rep_ID]],Dim_Reps!A:A,Dim_Reps!B:B)</f>
        <v>Lea Weber</v>
      </c>
      <c r="P1845" t="str">
        <f>_xlfn.XLOOKUP(Pipeline_tbl[[#This Row],[Rep_ID]],Dim_Reps!A:A,Dim_Reps!C:C)</f>
        <v>SDR / Inside Sales Rep</v>
      </c>
      <c r="Q1845" t="str">
        <f>_xlfn.XLOOKUP(Pipeline_tbl[[#This Row],[Rep_ID]],Dim_Reps!A:A,Dim_Reps!D:D)</f>
        <v>Inside Sales</v>
      </c>
      <c r="R1845" t="str">
        <f>_xlfn.XLOOKUP(Pipeline_tbl[[#This Row],[Rep_ID]],Dim_Reps!A:A,Dim_Reps!E:E)</f>
        <v>EMEA</v>
      </c>
      <c r="S1845" t="str">
        <f>_xlfn.XLOOKUP(Pipeline_tbl[[#This Row],[Created_Date]],Dim_Date!A:A,Dim_Date!H:H)</f>
        <v>Nov 2024</v>
      </c>
      <c r="T1845" t="str">
        <f>IF(Pipeline_tbl[[#This Row],[Closed_Date]]=0,"",(_xlfn.XLOOKUP(Pipeline_tbl[[#This Row],[Closed_Date]],Dim_Date!A:A,Dim_Date!H:H)))</f>
        <v>Dec 2024</v>
      </c>
      <c r="U1845">
        <f>IF(Pipeline_tbl[[#This Row],[Closed_Date]]=0,"",Pipeline_tbl[[#This Row],[Closed_Date]]-Pipeline_tbl[[#This Row],[Created_Date]])</f>
        <v>23</v>
      </c>
    </row>
    <row r="1846" spans="1:21" ht="15" customHeight="1" x14ac:dyDescent="0.2">
      <c r="A1846" t="s">
        <v>2152</v>
      </c>
      <c r="B1846" t="s">
        <v>211</v>
      </c>
      <c r="C1846" t="s">
        <v>54</v>
      </c>
      <c r="D1846" s="49">
        <v>45614</v>
      </c>
      <c r="E1846" s="49">
        <v>45616</v>
      </c>
      <c r="F1846" s="49">
        <v>45619</v>
      </c>
      <c r="I1846" s="49">
        <v>45631</v>
      </c>
      <c r="J1846" t="s">
        <v>49</v>
      </c>
      <c r="K1846" s="33">
        <v>6200</v>
      </c>
      <c r="L1846" t="s">
        <v>62</v>
      </c>
      <c r="M1846" t="str">
        <f>_xlfn.XLOOKUP(Pipeline_tbl[[#This Row],[Rep_ID]],Dim_Reps!A:A,Dim_Reps!K:K)</f>
        <v>EUR</v>
      </c>
      <c r="N1846" s="33">
        <f>(_xlfn.XLOOKUP(Pipeline_tbl[[#This Row],[Rate_Code_Generalized]],Lookups!A:A,Lookups!B:B))*Pipeline_tbl[[#This Row],[Pipeline_Amount_USD]]</f>
        <v>6200</v>
      </c>
      <c r="O1846" t="str">
        <f>_xlfn.XLOOKUP(Pipeline_tbl[[#This Row],[Rep_ID]],Dim_Reps!A:A,Dim_Reps!B:B)</f>
        <v>Lea Weber</v>
      </c>
      <c r="P1846" t="str">
        <f>_xlfn.XLOOKUP(Pipeline_tbl[[#This Row],[Rep_ID]],Dim_Reps!A:A,Dim_Reps!C:C)</f>
        <v>SDR / Inside Sales Rep</v>
      </c>
      <c r="Q1846" t="str">
        <f>_xlfn.XLOOKUP(Pipeline_tbl[[#This Row],[Rep_ID]],Dim_Reps!A:A,Dim_Reps!D:D)</f>
        <v>Inside Sales</v>
      </c>
      <c r="R1846" t="str">
        <f>_xlfn.XLOOKUP(Pipeline_tbl[[#This Row],[Rep_ID]],Dim_Reps!A:A,Dim_Reps!E:E)</f>
        <v>EMEA</v>
      </c>
      <c r="S1846" t="str">
        <f>_xlfn.XLOOKUP(Pipeline_tbl[[#This Row],[Created_Date]],Dim_Date!A:A,Dim_Date!H:H)</f>
        <v>Nov 2024</v>
      </c>
      <c r="T1846" t="str">
        <f>IF(Pipeline_tbl[[#This Row],[Closed_Date]]=0,"",(_xlfn.XLOOKUP(Pipeline_tbl[[#This Row],[Closed_Date]],Dim_Date!A:A,Dim_Date!H:H)))</f>
        <v>Dec 2024</v>
      </c>
      <c r="U1846">
        <f>IF(Pipeline_tbl[[#This Row],[Closed_Date]]=0,"",Pipeline_tbl[[#This Row],[Closed_Date]]-Pipeline_tbl[[#This Row],[Created_Date]])</f>
        <v>17</v>
      </c>
    </row>
    <row r="1847" spans="1:21" ht="15" customHeight="1" x14ac:dyDescent="0.2">
      <c r="A1847" t="s">
        <v>2153</v>
      </c>
      <c r="B1847" t="s">
        <v>211</v>
      </c>
      <c r="C1847" t="s">
        <v>53</v>
      </c>
      <c r="D1847" s="49">
        <v>45622</v>
      </c>
      <c r="E1847" s="49">
        <v>45625</v>
      </c>
      <c r="I1847" s="49">
        <v>45648</v>
      </c>
      <c r="J1847" t="s">
        <v>49</v>
      </c>
      <c r="K1847" s="33">
        <v>2100</v>
      </c>
      <c r="L1847" t="s">
        <v>63</v>
      </c>
      <c r="M1847" t="str">
        <f>_xlfn.XLOOKUP(Pipeline_tbl[[#This Row],[Rep_ID]],Dim_Reps!A:A,Dim_Reps!K:K)</f>
        <v>EUR</v>
      </c>
      <c r="N1847" s="33">
        <f>(_xlfn.XLOOKUP(Pipeline_tbl[[#This Row],[Rate_Code_Generalized]],Lookups!A:A,Lookups!B:B))*Pipeline_tbl[[#This Row],[Pipeline_Amount_USD]]</f>
        <v>2100</v>
      </c>
      <c r="O1847" t="str">
        <f>_xlfn.XLOOKUP(Pipeline_tbl[[#This Row],[Rep_ID]],Dim_Reps!A:A,Dim_Reps!B:B)</f>
        <v>Lea Weber</v>
      </c>
      <c r="P1847" t="str">
        <f>_xlfn.XLOOKUP(Pipeline_tbl[[#This Row],[Rep_ID]],Dim_Reps!A:A,Dim_Reps!C:C)</f>
        <v>SDR / Inside Sales Rep</v>
      </c>
      <c r="Q1847" t="str">
        <f>_xlfn.XLOOKUP(Pipeline_tbl[[#This Row],[Rep_ID]],Dim_Reps!A:A,Dim_Reps!D:D)</f>
        <v>Inside Sales</v>
      </c>
      <c r="R1847" t="str">
        <f>_xlfn.XLOOKUP(Pipeline_tbl[[#This Row],[Rep_ID]],Dim_Reps!A:A,Dim_Reps!E:E)</f>
        <v>EMEA</v>
      </c>
      <c r="S1847" t="str">
        <f>_xlfn.XLOOKUP(Pipeline_tbl[[#This Row],[Created_Date]],Dim_Date!A:A,Dim_Date!H:H)</f>
        <v>Nov 2024</v>
      </c>
      <c r="T1847" t="str">
        <f>IF(Pipeline_tbl[[#This Row],[Closed_Date]]=0,"",(_xlfn.XLOOKUP(Pipeline_tbl[[#This Row],[Closed_Date]],Dim_Date!A:A,Dim_Date!H:H)))</f>
        <v>Dec 2024</v>
      </c>
      <c r="U1847">
        <f>IF(Pipeline_tbl[[#This Row],[Closed_Date]]=0,"",Pipeline_tbl[[#This Row],[Closed_Date]]-Pipeline_tbl[[#This Row],[Created_Date]])</f>
        <v>26</v>
      </c>
    </row>
    <row r="1848" spans="1:21" ht="15" customHeight="1" x14ac:dyDescent="0.2">
      <c r="A1848" t="s">
        <v>2154</v>
      </c>
      <c r="B1848" t="s">
        <v>211</v>
      </c>
      <c r="C1848" t="s">
        <v>54</v>
      </c>
      <c r="D1848" s="49">
        <v>45622</v>
      </c>
      <c r="E1848" s="49">
        <v>45623</v>
      </c>
      <c r="F1848" s="49">
        <v>45626</v>
      </c>
      <c r="G1848" s="49">
        <v>45630</v>
      </c>
      <c r="I1848" s="49">
        <v>45636</v>
      </c>
      <c r="J1848" t="s">
        <v>49</v>
      </c>
      <c r="K1848" s="33">
        <v>4500</v>
      </c>
      <c r="L1848" t="s">
        <v>63</v>
      </c>
      <c r="M1848" t="str">
        <f>_xlfn.XLOOKUP(Pipeline_tbl[[#This Row],[Rep_ID]],Dim_Reps!A:A,Dim_Reps!K:K)</f>
        <v>EUR</v>
      </c>
      <c r="N1848" s="33">
        <f>(_xlfn.XLOOKUP(Pipeline_tbl[[#This Row],[Rate_Code_Generalized]],Lookups!A:A,Lookups!B:B))*Pipeline_tbl[[#This Row],[Pipeline_Amount_USD]]</f>
        <v>4500</v>
      </c>
      <c r="O1848" t="str">
        <f>_xlfn.XLOOKUP(Pipeline_tbl[[#This Row],[Rep_ID]],Dim_Reps!A:A,Dim_Reps!B:B)</f>
        <v>Lea Weber</v>
      </c>
      <c r="P1848" t="str">
        <f>_xlfn.XLOOKUP(Pipeline_tbl[[#This Row],[Rep_ID]],Dim_Reps!A:A,Dim_Reps!C:C)</f>
        <v>SDR / Inside Sales Rep</v>
      </c>
      <c r="Q1848" t="str">
        <f>_xlfn.XLOOKUP(Pipeline_tbl[[#This Row],[Rep_ID]],Dim_Reps!A:A,Dim_Reps!D:D)</f>
        <v>Inside Sales</v>
      </c>
      <c r="R1848" t="str">
        <f>_xlfn.XLOOKUP(Pipeline_tbl[[#This Row],[Rep_ID]],Dim_Reps!A:A,Dim_Reps!E:E)</f>
        <v>EMEA</v>
      </c>
      <c r="S1848" t="str">
        <f>_xlfn.XLOOKUP(Pipeline_tbl[[#This Row],[Created_Date]],Dim_Date!A:A,Dim_Date!H:H)</f>
        <v>Nov 2024</v>
      </c>
      <c r="T1848" t="str">
        <f>IF(Pipeline_tbl[[#This Row],[Closed_Date]]=0,"",(_xlfn.XLOOKUP(Pipeline_tbl[[#This Row],[Closed_Date]],Dim_Date!A:A,Dim_Date!H:H)))</f>
        <v>Dec 2024</v>
      </c>
      <c r="U1848">
        <f>IF(Pipeline_tbl[[#This Row],[Closed_Date]]=0,"",Pipeline_tbl[[#This Row],[Closed_Date]]-Pipeline_tbl[[#This Row],[Created_Date]])</f>
        <v>14</v>
      </c>
    </row>
    <row r="1849" spans="1:21" ht="15" customHeight="1" x14ac:dyDescent="0.2">
      <c r="A1849" t="s">
        <v>2155</v>
      </c>
      <c r="B1849" t="s">
        <v>211</v>
      </c>
      <c r="C1849" t="s">
        <v>52</v>
      </c>
      <c r="D1849" s="49">
        <v>45612</v>
      </c>
      <c r="E1849" s="49">
        <v>45614</v>
      </c>
      <c r="F1849" s="49">
        <v>45618</v>
      </c>
      <c r="I1849" s="49">
        <v>45631</v>
      </c>
      <c r="J1849" t="s">
        <v>49</v>
      </c>
      <c r="K1849" s="33">
        <v>2700</v>
      </c>
      <c r="L1849" t="s">
        <v>60</v>
      </c>
      <c r="M1849" t="str">
        <f>_xlfn.XLOOKUP(Pipeline_tbl[[#This Row],[Rep_ID]],Dim_Reps!A:A,Dim_Reps!K:K)</f>
        <v>EUR</v>
      </c>
      <c r="N1849" s="33">
        <f>(_xlfn.XLOOKUP(Pipeline_tbl[[#This Row],[Rate_Code_Generalized]],Lookups!A:A,Lookups!B:B))*Pipeline_tbl[[#This Row],[Pipeline_Amount_USD]]</f>
        <v>2700</v>
      </c>
      <c r="O1849" t="str">
        <f>_xlfn.XLOOKUP(Pipeline_tbl[[#This Row],[Rep_ID]],Dim_Reps!A:A,Dim_Reps!B:B)</f>
        <v>Lea Weber</v>
      </c>
      <c r="P1849" t="str">
        <f>_xlfn.XLOOKUP(Pipeline_tbl[[#This Row],[Rep_ID]],Dim_Reps!A:A,Dim_Reps!C:C)</f>
        <v>SDR / Inside Sales Rep</v>
      </c>
      <c r="Q1849" t="str">
        <f>_xlfn.XLOOKUP(Pipeline_tbl[[#This Row],[Rep_ID]],Dim_Reps!A:A,Dim_Reps!D:D)</f>
        <v>Inside Sales</v>
      </c>
      <c r="R1849" t="str">
        <f>_xlfn.XLOOKUP(Pipeline_tbl[[#This Row],[Rep_ID]],Dim_Reps!A:A,Dim_Reps!E:E)</f>
        <v>EMEA</v>
      </c>
      <c r="S1849" t="str">
        <f>_xlfn.XLOOKUP(Pipeline_tbl[[#This Row],[Created_Date]],Dim_Date!A:A,Dim_Date!H:H)</f>
        <v>Nov 2024</v>
      </c>
      <c r="T1849" t="str">
        <f>IF(Pipeline_tbl[[#This Row],[Closed_Date]]=0,"",(_xlfn.XLOOKUP(Pipeline_tbl[[#This Row],[Closed_Date]],Dim_Date!A:A,Dim_Date!H:H)))</f>
        <v>Dec 2024</v>
      </c>
      <c r="U1849">
        <f>IF(Pipeline_tbl[[#This Row],[Closed_Date]]=0,"",Pipeline_tbl[[#This Row],[Closed_Date]]-Pipeline_tbl[[#This Row],[Created_Date]])</f>
        <v>19</v>
      </c>
    </row>
    <row r="1850" spans="1:21" ht="15" customHeight="1" x14ac:dyDescent="0.2">
      <c r="A1850" t="s">
        <v>2156</v>
      </c>
      <c r="B1850" t="s">
        <v>213</v>
      </c>
      <c r="C1850" t="s">
        <v>52</v>
      </c>
      <c r="D1850" s="49">
        <v>45622</v>
      </c>
      <c r="E1850" s="49">
        <v>45624</v>
      </c>
      <c r="I1850" s="49">
        <v>45647</v>
      </c>
      <c r="J1850" t="s">
        <v>49</v>
      </c>
      <c r="K1850" s="33">
        <v>2200</v>
      </c>
      <c r="L1850" t="s">
        <v>64</v>
      </c>
      <c r="M1850" t="str">
        <f>_xlfn.XLOOKUP(Pipeline_tbl[[#This Row],[Rep_ID]],Dim_Reps!A:A,Dim_Reps!K:K)</f>
        <v>EUR</v>
      </c>
      <c r="N1850" s="33">
        <f>(_xlfn.XLOOKUP(Pipeline_tbl[[#This Row],[Rate_Code_Generalized]],Lookups!A:A,Lookups!B:B))*Pipeline_tbl[[#This Row],[Pipeline_Amount_USD]]</f>
        <v>2200</v>
      </c>
      <c r="O1850" t="str">
        <f>_xlfn.XLOOKUP(Pipeline_tbl[[#This Row],[Rep_ID]],Dim_Reps!A:A,Dim_Reps!B:B)</f>
        <v>Jamie Silva</v>
      </c>
      <c r="P1850" t="str">
        <f>_xlfn.XLOOKUP(Pipeline_tbl[[#This Row],[Rep_ID]],Dim_Reps!A:A,Dim_Reps!C:C)</f>
        <v>SDR / Inside Sales Rep</v>
      </c>
      <c r="Q1850" t="str">
        <f>_xlfn.XLOOKUP(Pipeline_tbl[[#This Row],[Rep_ID]],Dim_Reps!A:A,Dim_Reps!D:D)</f>
        <v>Inside Sales</v>
      </c>
      <c r="R1850" t="str">
        <f>_xlfn.XLOOKUP(Pipeline_tbl[[#This Row],[Rep_ID]],Dim_Reps!A:A,Dim_Reps!E:E)</f>
        <v>EMEA</v>
      </c>
      <c r="S1850" t="str">
        <f>_xlfn.XLOOKUP(Pipeline_tbl[[#This Row],[Created_Date]],Dim_Date!A:A,Dim_Date!H:H)</f>
        <v>Nov 2024</v>
      </c>
      <c r="T1850" t="str">
        <f>IF(Pipeline_tbl[[#This Row],[Closed_Date]]=0,"",(_xlfn.XLOOKUP(Pipeline_tbl[[#This Row],[Closed_Date]],Dim_Date!A:A,Dim_Date!H:H)))</f>
        <v>Dec 2024</v>
      </c>
      <c r="U1850">
        <f>IF(Pipeline_tbl[[#This Row],[Closed_Date]]=0,"",Pipeline_tbl[[#This Row],[Closed_Date]]-Pipeline_tbl[[#This Row],[Created_Date]])</f>
        <v>25</v>
      </c>
    </row>
    <row r="1851" spans="1:21" ht="15" customHeight="1" x14ac:dyDescent="0.2">
      <c r="A1851" t="s">
        <v>2157</v>
      </c>
      <c r="B1851" t="s">
        <v>213</v>
      </c>
      <c r="C1851" t="s">
        <v>52</v>
      </c>
      <c r="D1851" s="49">
        <v>45619</v>
      </c>
      <c r="E1851" s="49">
        <v>45620</v>
      </c>
      <c r="F1851" s="49">
        <v>45623</v>
      </c>
      <c r="G1851" s="49">
        <v>45627</v>
      </c>
      <c r="H1851" s="49">
        <v>45631</v>
      </c>
      <c r="I1851" s="49">
        <v>45633</v>
      </c>
      <c r="J1851" t="s">
        <v>47</v>
      </c>
      <c r="K1851" s="33">
        <v>2100</v>
      </c>
      <c r="M1851" t="str">
        <f>_xlfn.XLOOKUP(Pipeline_tbl[[#This Row],[Rep_ID]],Dim_Reps!A:A,Dim_Reps!K:K)</f>
        <v>EUR</v>
      </c>
      <c r="N1851" s="33">
        <f>(_xlfn.XLOOKUP(Pipeline_tbl[[#This Row],[Rate_Code_Generalized]],Lookups!A:A,Lookups!B:B))*Pipeline_tbl[[#This Row],[Pipeline_Amount_USD]]</f>
        <v>2100</v>
      </c>
      <c r="O1851" t="str">
        <f>_xlfn.XLOOKUP(Pipeline_tbl[[#This Row],[Rep_ID]],Dim_Reps!A:A,Dim_Reps!B:B)</f>
        <v>Jamie Silva</v>
      </c>
      <c r="P1851" t="str">
        <f>_xlfn.XLOOKUP(Pipeline_tbl[[#This Row],[Rep_ID]],Dim_Reps!A:A,Dim_Reps!C:C)</f>
        <v>SDR / Inside Sales Rep</v>
      </c>
      <c r="Q1851" t="str">
        <f>_xlfn.XLOOKUP(Pipeline_tbl[[#This Row],[Rep_ID]],Dim_Reps!A:A,Dim_Reps!D:D)</f>
        <v>Inside Sales</v>
      </c>
      <c r="R1851" t="str">
        <f>_xlfn.XLOOKUP(Pipeline_tbl[[#This Row],[Rep_ID]],Dim_Reps!A:A,Dim_Reps!E:E)</f>
        <v>EMEA</v>
      </c>
      <c r="S1851" t="str">
        <f>_xlfn.XLOOKUP(Pipeline_tbl[[#This Row],[Created_Date]],Dim_Date!A:A,Dim_Date!H:H)</f>
        <v>Nov 2024</v>
      </c>
      <c r="T1851" t="str">
        <f>IF(Pipeline_tbl[[#This Row],[Closed_Date]]=0,"",(_xlfn.XLOOKUP(Pipeline_tbl[[#This Row],[Closed_Date]],Dim_Date!A:A,Dim_Date!H:H)))</f>
        <v>Dec 2024</v>
      </c>
      <c r="U1851">
        <f>IF(Pipeline_tbl[[#This Row],[Closed_Date]]=0,"",Pipeline_tbl[[#This Row],[Closed_Date]]-Pipeline_tbl[[#This Row],[Created_Date]])</f>
        <v>14</v>
      </c>
    </row>
    <row r="1852" spans="1:21" ht="15" customHeight="1" x14ac:dyDescent="0.2">
      <c r="A1852" t="s">
        <v>2158</v>
      </c>
      <c r="B1852" t="s">
        <v>213</v>
      </c>
      <c r="C1852" t="s">
        <v>52</v>
      </c>
      <c r="D1852" s="49">
        <v>45621</v>
      </c>
      <c r="E1852" s="49">
        <v>45623</v>
      </c>
      <c r="F1852" s="49">
        <v>45626</v>
      </c>
      <c r="I1852" s="49">
        <v>45637</v>
      </c>
      <c r="J1852" t="s">
        <v>49</v>
      </c>
      <c r="K1852" s="33">
        <v>3000</v>
      </c>
      <c r="L1852" t="s">
        <v>60</v>
      </c>
      <c r="M1852" t="str">
        <f>_xlfn.XLOOKUP(Pipeline_tbl[[#This Row],[Rep_ID]],Dim_Reps!A:A,Dim_Reps!K:K)</f>
        <v>EUR</v>
      </c>
      <c r="N1852" s="33">
        <f>(_xlfn.XLOOKUP(Pipeline_tbl[[#This Row],[Rate_Code_Generalized]],Lookups!A:A,Lookups!B:B))*Pipeline_tbl[[#This Row],[Pipeline_Amount_USD]]</f>
        <v>3000</v>
      </c>
      <c r="O1852" t="str">
        <f>_xlfn.XLOOKUP(Pipeline_tbl[[#This Row],[Rep_ID]],Dim_Reps!A:A,Dim_Reps!B:B)</f>
        <v>Jamie Silva</v>
      </c>
      <c r="P1852" t="str">
        <f>_xlfn.XLOOKUP(Pipeline_tbl[[#This Row],[Rep_ID]],Dim_Reps!A:A,Dim_Reps!C:C)</f>
        <v>SDR / Inside Sales Rep</v>
      </c>
      <c r="Q1852" t="str">
        <f>_xlfn.XLOOKUP(Pipeline_tbl[[#This Row],[Rep_ID]],Dim_Reps!A:A,Dim_Reps!D:D)</f>
        <v>Inside Sales</v>
      </c>
      <c r="R1852" t="str">
        <f>_xlfn.XLOOKUP(Pipeline_tbl[[#This Row],[Rep_ID]],Dim_Reps!A:A,Dim_Reps!E:E)</f>
        <v>EMEA</v>
      </c>
      <c r="S1852" t="str">
        <f>_xlfn.XLOOKUP(Pipeline_tbl[[#This Row],[Created_Date]],Dim_Date!A:A,Dim_Date!H:H)</f>
        <v>Nov 2024</v>
      </c>
      <c r="T1852" t="str">
        <f>IF(Pipeline_tbl[[#This Row],[Closed_Date]]=0,"",(_xlfn.XLOOKUP(Pipeline_tbl[[#This Row],[Closed_Date]],Dim_Date!A:A,Dim_Date!H:H)))</f>
        <v>Dec 2024</v>
      </c>
      <c r="U1852">
        <f>IF(Pipeline_tbl[[#This Row],[Closed_Date]]=0,"",Pipeline_tbl[[#This Row],[Closed_Date]]-Pipeline_tbl[[#This Row],[Created_Date]])</f>
        <v>16</v>
      </c>
    </row>
    <row r="1853" spans="1:21" ht="15" customHeight="1" x14ac:dyDescent="0.2">
      <c r="A1853" t="s">
        <v>2159</v>
      </c>
      <c r="B1853" t="s">
        <v>213</v>
      </c>
      <c r="C1853" t="s">
        <v>52</v>
      </c>
      <c r="D1853" s="49">
        <v>45611</v>
      </c>
      <c r="E1853" s="49">
        <v>45613</v>
      </c>
      <c r="F1853" s="49">
        <v>45616</v>
      </c>
      <c r="I1853" s="49">
        <v>45629</v>
      </c>
      <c r="J1853" t="s">
        <v>49</v>
      </c>
      <c r="K1853" s="33">
        <v>3200</v>
      </c>
      <c r="L1853" t="s">
        <v>61</v>
      </c>
      <c r="M1853" t="str">
        <f>_xlfn.XLOOKUP(Pipeline_tbl[[#This Row],[Rep_ID]],Dim_Reps!A:A,Dim_Reps!K:K)</f>
        <v>EUR</v>
      </c>
      <c r="N1853" s="33">
        <f>(_xlfn.XLOOKUP(Pipeline_tbl[[#This Row],[Rate_Code_Generalized]],Lookups!A:A,Lookups!B:B))*Pipeline_tbl[[#This Row],[Pipeline_Amount_USD]]</f>
        <v>3200</v>
      </c>
      <c r="O1853" t="str">
        <f>_xlfn.XLOOKUP(Pipeline_tbl[[#This Row],[Rep_ID]],Dim_Reps!A:A,Dim_Reps!B:B)</f>
        <v>Jamie Silva</v>
      </c>
      <c r="P1853" t="str">
        <f>_xlfn.XLOOKUP(Pipeline_tbl[[#This Row],[Rep_ID]],Dim_Reps!A:A,Dim_Reps!C:C)</f>
        <v>SDR / Inside Sales Rep</v>
      </c>
      <c r="Q1853" t="str">
        <f>_xlfn.XLOOKUP(Pipeline_tbl[[#This Row],[Rep_ID]],Dim_Reps!A:A,Dim_Reps!D:D)</f>
        <v>Inside Sales</v>
      </c>
      <c r="R1853" t="str">
        <f>_xlfn.XLOOKUP(Pipeline_tbl[[#This Row],[Rep_ID]],Dim_Reps!A:A,Dim_Reps!E:E)</f>
        <v>EMEA</v>
      </c>
      <c r="S1853" t="str">
        <f>_xlfn.XLOOKUP(Pipeline_tbl[[#This Row],[Created_Date]],Dim_Date!A:A,Dim_Date!H:H)</f>
        <v>Nov 2024</v>
      </c>
      <c r="T1853" t="str">
        <f>IF(Pipeline_tbl[[#This Row],[Closed_Date]]=0,"",(_xlfn.XLOOKUP(Pipeline_tbl[[#This Row],[Closed_Date]],Dim_Date!A:A,Dim_Date!H:H)))</f>
        <v>Dec 2024</v>
      </c>
      <c r="U1853">
        <f>IF(Pipeline_tbl[[#This Row],[Closed_Date]]=0,"",Pipeline_tbl[[#This Row],[Closed_Date]]-Pipeline_tbl[[#This Row],[Created_Date]])</f>
        <v>18</v>
      </c>
    </row>
    <row r="1854" spans="1:21" ht="15" customHeight="1" x14ac:dyDescent="0.2">
      <c r="A1854" t="s">
        <v>2160</v>
      </c>
      <c r="B1854" t="s">
        <v>215</v>
      </c>
      <c r="C1854" t="s">
        <v>54</v>
      </c>
      <c r="D1854" s="49">
        <v>45625</v>
      </c>
      <c r="E1854" s="49">
        <v>45627</v>
      </c>
      <c r="F1854" s="49">
        <v>45630</v>
      </c>
      <c r="G1854" s="49">
        <v>45634</v>
      </c>
      <c r="I1854" s="49">
        <v>45640</v>
      </c>
      <c r="J1854" t="s">
        <v>49</v>
      </c>
      <c r="K1854" s="33">
        <v>900</v>
      </c>
      <c r="L1854" t="s">
        <v>64</v>
      </c>
      <c r="M1854" t="str">
        <f>_xlfn.XLOOKUP(Pipeline_tbl[[#This Row],[Rep_ID]],Dim_Reps!A:A,Dim_Reps!K:K)</f>
        <v>EUR</v>
      </c>
      <c r="N1854" s="33">
        <f>(_xlfn.XLOOKUP(Pipeline_tbl[[#This Row],[Rate_Code_Generalized]],Lookups!A:A,Lookups!B:B))*Pipeline_tbl[[#This Row],[Pipeline_Amount_USD]]</f>
        <v>900</v>
      </c>
      <c r="O1854" t="str">
        <f>_xlfn.XLOOKUP(Pipeline_tbl[[#This Row],[Rep_ID]],Dim_Reps!A:A,Dim_Reps!B:B)</f>
        <v>Jamie Schmidt</v>
      </c>
      <c r="P1854" t="str">
        <f>_xlfn.XLOOKUP(Pipeline_tbl[[#This Row],[Rep_ID]],Dim_Reps!A:A,Dim_Reps!C:C)</f>
        <v>SDR / Inside Sales Rep</v>
      </c>
      <c r="Q1854" t="str">
        <f>_xlfn.XLOOKUP(Pipeline_tbl[[#This Row],[Rep_ID]],Dim_Reps!A:A,Dim_Reps!D:D)</f>
        <v>Inside Sales</v>
      </c>
      <c r="R1854" t="str">
        <f>_xlfn.XLOOKUP(Pipeline_tbl[[#This Row],[Rep_ID]],Dim_Reps!A:A,Dim_Reps!E:E)</f>
        <v>APAC</v>
      </c>
      <c r="S1854" t="str">
        <f>_xlfn.XLOOKUP(Pipeline_tbl[[#This Row],[Created_Date]],Dim_Date!A:A,Dim_Date!H:H)</f>
        <v>Nov 2024</v>
      </c>
      <c r="T1854" t="str">
        <f>IF(Pipeline_tbl[[#This Row],[Closed_Date]]=0,"",(_xlfn.XLOOKUP(Pipeline_tbl[[#This Row],[Closed_Date]],Dim_Date!A:A,Dim_Date!H:H)))</f>
        <v>Dec 2024</v>
      </c>
      <c r="U1854">
        <f>IF(Pipeline_tbl[[#This Row],[Closed_Date]]=0,"",Pipeline_tbl[[#This Row],[Closed_Date]]-Pipeline_tbl[[#This Row],[Created_Date]])</f>
        <v>15</v>
      </c>
    </row>
    <row r="1855" spans="1:21" ht="15" customHeight="1" x14ac:dyDescent="0.2">
      <c r="A1855" t="s">
        <v>2161</v>
      </c>
      <c r="B1855" t="s">
        <v>215</v>
      </c>
      <c r="C1855" t="s">
        <v>52</v>
      </c>
      <c r="D1855" s="49">
        <v>45606</v>
      </c>
      <c r="E1855" s="49">
        <v>45608</v>
      </c>
      <c r="I1855" s="49">
        <v>45627</v>
      </c>
      <c r="J1855" t="s">
        <v>49</v>
      </c>
      <c r="K1855" s="33">
        <v>15400</v>
      </c>
      <c r="L1855" t="s">
        <v>61</v>
      </c>
      <c r="M1855" t="str">
        <f>_xlfn.XLOOKUP(Pipeline_tbl[[#This Row],[Rep_ID]],Dim_Reps!A:A,Dim_Reps!K:K)</f>
        <v>EUR</v>
      </c>
      <c r="N1855" s="33">
        <f>(_xlfn.XLOOKUP(Pipeline_tbl[[#This Row],[Rate_Code_Generalized]],Lookups!A:A,Lookups!B:B))*Pipeline_tbl[[#This Row],[Pipeline_Amount_USD]]</f>
        <v>15400</v>
      </c>
      <c r="O1855" t="str">
        <f>_xlfn.XLOOKUP(Pipeline_tbl[[#This Row],[Rep_ID]],Dim_Reps!A:A,Dim_Reps!B:B)</f>
        <v>Jamie Schmidt</v>
      </c>
      <c r="P1855" t="str">
        <f>_xlfn.XLOOKUP(Pipeline_tbl[[#This Row],[Rep_ID]],Dim_Reps!A:A,Dim_Reps!C:C)</f>
        <v>SDR / Inside Sales Rep</v>
      </c>
      <c r="Q1855" t="str">
        <f>_xlfn.XLOOKUP(Pipeline_tbl[[#This Row],[Rep_ID]],Dim_Reps!A:A,Dim_Reps!D:D)</f>
        <v>Inside Sales</v>
      </c>
      <c r="R1855" t="str">
        <f>_xlfn.XLOOKUP(Pipeline_tbl[[#This Row],[Rep_ID]],Dim_Reps!A:A,Dim_Reps!E:E)</f>
        <v>APAC</v>
      </c>
      <c r="S1855" t="str">
        <f>_xlfn.XLOOKUP(Pipeline_tbl[[#This Row],[Created_Date]],Dim_Date!A:A,Dim_Date!H:H)</f>
        <v>Nov 2024</v>
      </c>
      <c r="T1855" t="str">
        <f>IF(Pipeline_tbl[[#This Row],[Closed_Date]]=0,"",(_xlfn.XLOOKUP(Pipeline_tbl[[#This Row],[Closed_Date]],Dim_Date!A:A,Dim_Date!H:H)))</f>
        <v>Dec 2024</v>
      </c>
      <c r="U1855">
        <f>IF(Pipeline_tbl[[#This Row],[Closed_Date]]=0,"",Pipeline_tbl[[#This Row],[Closed_Date]]-Pipeline_tbl[[#This Row],[Created_Date]])</f>
        <v>21</v>
      </c>
    </row>
    <row r="1856" spans="1:21" ht="15" customHeight="1" x14ac:dyDescent="0.2">
      <c r="A1856" t="s">
        <v>2162</v>
      </c>
      <c r="B1856" t="s">
        <v>215</v>
      </c>
      <c r="C1856" t="s">
        <v>54</v>
      </c>
      <c r="D1856" s="49">
        <v>45624</v>
      </c>
      <c r="E1856" s="49">
        <v>45626</v>
      </c>
      <c r="F1856" s="49">
        <v>45630</v>
      </c>
      <c r="G1856" s="49">
        <v>45635</v>
      </c>
      <c r="I1856" s="49">
        <v>45643</v>
      </c>
      <c r="J1856" t="s">
        <v>49</v>
      </c>
      <c r="K1856" s="33">
        <v>2600</v>
      </c>
      <c r="L1856" t="s">
        <v>61</v>
      </c>
      <c r="M1856" t="str">
        <f>_xlfn.XLOOKUP(Pipeline_tbl[[#This Row],[Rep_ID]],Dim_Reps!A:A,Dim_Reps!K:K)</f>
        <v>EUR</v>
      </c>
      <c r="N1856" s="33">
        <f>(_xlfn.XLOOKUP(Pipeline_tbl[[#This Row],[Rate_Code_Generalized]],Lookups!A:A,Lookups!B:B))*Pipeline_tbl[[#This Row],[Pipeline_Amount_USD]]</f>
        <v>2600</v>
      </c>
      <c r="O1856" t="str">
        <f>_xlfn.XLOOKUP(Pipeline_tbl[[#This Row],[Rep_ID]],Dim_Reps!A:A,Dim_Reps!B:B)</f>
        <v>Jamie Schmidt</v>
      </c>
      <c r="P1856" t="str">
        <f>_xlfn.XLOOKUP(Pipeline_tbl[[#This Row],[Rep_ID]],Dim_Reps!A:A,Dim_Reps!C:C)</f>
        <v>SDR / Inside Sales Rep</v>
      </c>
      <c r="Q1856" t="str">
        <f>_xlfn.XLOOKUP(Pipeline_tbl[[#This Row],[Rep_ID]],Dim_Reps!A:A,Dim_Reps!D:D)</f>
        <v>Inside Sales</v>
      </c>
      <c r="R1856" t="str">
        <f>_xlfn.XLOOKUP(Pipeline_tbl[[#This Row],[Rep_ID]],Dim_Reps!A:A,Dim_Reps!E:E)</f>
        <v>APAC</v>
      </c>
      <c r="S1856" t="str">
        <f>_xlfn.XLOOKUP(Pipeline_tbl[[#This Row],[Created_Date]],Dim_Date!A:A,Dim_Date!H:H)</f>
        <v>Nov 2024</v>
      </c>
      <c r="T1856" t="str">
        <f>IF(Pipeline_tbl[[#This Row],[Closed_Date]]=0,"",(_xlfn.XLOOKUP(Pipeline_tbl[[#This Row],[Closed_Date]],Dim_Date!A:A,Dim_Date!H:H)))</f>
        <v>Dec 2024</v>
      </c>
      <c r="U1856">
        <f>IF(Pipeline_tbl[[#This Row],[Closed_Date]]=0,"",Pipeline_tbl[[#This Row],[Closed_Date]]-Pipeline_tbl[[#This Row],[Created_Date]])</f>
        <v>19</v>
      </c>
    </row>
    <row r="1857" spans="1:21" ht="15" customHeight="1" x14ac:dyDescent="0.2">
      <c r="A1857" t="s">
        <v>2163</v>
      </c>
      <c r="B1857" t="s">
        <v>215</v>
      </c>
      <c r="C1857" t="s">
        <v>52</v>
      </c>
      <c r="D1857" s="49">
        <v>45617</v>
      </c>
      <c r="E1857" s="49">
        <v>45619</v>
      </c>
      <c r="F1857" s="49">
        <v>45623</v>
      </c>
      <c r="G1857" s="49">
        <v>45630</v>
      </c>
      <c r="H1857" s="49">
        <v>45635</v>
      </c>
      <c r="I1857" s="49">
        <v>45638</v>
      </c>
      <c r="J1857" t="s">
        <v>47</v>
      </c>
      <c r="K1857" s="33">
        <v>3100</v>
      </c>
      <c r="M1857" t="str">
        <f>_xlfn.XLOOKUP(Pipeline_tbl[[#This Row],[Rep_ID]],Dim_Reps!A:A,Dim_Reps!K:K)</f>
        <v>EUR</v>
      </c>
      <c r="N1857" s="33">
        <f>(_xlfn.XLOOKUP(Pipeline_tbl[[#This Row],[Rate_Code_Generalized]],Lookups!A:A,Lookups!B:B))*Pipeline_tbl[[#This Row],[Pipeline_Amount_USD]]</f>
        <v>3100</v>
      </c>
      <c r="O1857" t="str">
        <f>_xlfn.XLOOKUP(Pipeline_tbl[[#This Row],[Rep_ID]],Dim_Reps!A:A,Dim_Reps!B:B)</f>
        <v>Jamie Schmidt</v>
      </c>
      <c r="P1857" t="str">
        <f>_xlfn.XLOOKUP(Pipeline_tbl[[#This Row],[Rep_ID]],Dim_Reps!A:A,Dim_Reps!C:C)</f>
        <v>SDR / Inside Sales Rep</v>
      </c>
      <c r="Q1857" t="str">
        <f>_xlfn.XLOOKUP(Pipeline_tbl[[#This Row],[Rep_ID]],Dim_Reps!A:A,Dim_Reps!D:D)</f>
        <v>Inside Sales</v>
      </c>
      <c r="R1857" t="str">
        <f>_xlfn.XLOOKUP(Pipeline_tbl[[#This Row],[Rep_ID]],Dim_Reps!A:A,Dim_Reps!E:E)</f>
        <v>APAC</v>
      </c>
      <c r="S1857" t="str">
        <f>_xlfn.XLOOKUP(Pipeline_tbl[[#This Row],[Created_Date]],Dim_Date!A:A,Dim_Date!H:H)</f>
        <v>Nov 2024</v>
      </c>
      <c r="T1857" t="str">
        <f>IF(Pipeline_tbl[[#This Row],[Closed_Date]]=0,"",(_xlfn.XLOOKUP(Pipeline_tbl[[#This Row],[Closed_Date]],Dim_Date!A:A,Dim_Date!H:H)))</f>
        <v>Dec 2024</v>
      </c>
      <c r="U1857">
        <f>IF(Pipeline_tbl[[#This Row],[Closed_Date]]=0,"",Pipeline_tbl[[#This Row],[Closed_Date]]-Pipeline_tbl[[#This Row],[Created_Date]])</f>
        <v>21</v>
      </c>
    </row>
    <row r="1858" spans="1:21" ht="15" customHeight="1" x14ac:dyDescent="0.2">
      <c r="A1858" t="s">
        <v>2164</v>
      </c>
      <c r="B1858" t="s">
        <v>215</v>
      </c>
      <c r="C1858" t="s">
        <v>53</v>
      </c>
      <c r="D1858" s="49">
        <v>45614</v>
      </c>
      <c r="E1858" s="49">
        <v>45616</v>
      </c>
      <c r="F1858" s="49">
        <v>45619</v>
      </c>
      <c r="G1858" s="49">
        <v>45624</v>
      </c>
      <c r="H1858" s="49">
        <v>45628</v>
      </c>
      <c r="I1858" s="49">
        <v>45630</v>
      </c>
      <c r="J1858" t="s">
        <v>49</v>
      </c>
      <c r="K1858" s="33">
        <v>3900</v>
      </c>
      <c r="L1858" t="s">
        <v>63</v>
      </c>
      <c r="M1858" t="str">
        <f>_xlfn.XLOOKUP(Pipeline_tbl[[#This Row],[Rep_ID]],Dim_Reps!A:A,Dim_Reps!K:K)</f>
        <v>EUR</v>
      </c>
      <c r="N1858" s="33">
        <f>(_xlfn.XLOOKUP(Pipeline_tbl[[#This Row],[Rate_Code_Generalized]],Lookups!A:A,Lookups!B:B))*Pipeline_tbl[[#This Row],[Pipeline_Amount_USD]]</f>
        <v>3900</v>
      </c>
      <c r="O1858" t="str">
        <f>_xlfn.XLOOKUP(Pipeline_tbl[[#This Row],[Rep_ID]],Dim_Reps!A:A,Dim_Reps!B:B)</f>
        <v>Jamie Schmidt</v>
      </c>
      <c r="P1858" t="str">
        <f>_xlfn.XLOOKUP(Pipeline_tbl[[#This Row],[Rep_ID]],Dim_Reps!A:A,Dim_Reps!C:C)</f>
        <v>SDR / Inside Sales Rep</v>
      </c>
      <c r="Q1858" t="str">
        <f>_xlfn.XLOOKUP(Pipeline_tbl[[#This Row],[Rep_ID]],Dim_Reps!A:A,Dim_Reps!D:D)</f>
        <v>Inside Sales</v>
      </c>
      <c r="R1858" t="str">
        <f>_xlfn.XLOOKUP(Pipeline_tbl[[#This Row],[Rep_ID]],Dim_Reps!A:A,Dim_Reps!E:E)</f>
        <v>APAC</v>
      </c>
      <c r="S1858" t="str">
        <f>_xlfn.XLOOKUP(Pipeline_tbl[[#This Row],[Created_Date]],Dim_Date!A:A,Dim_Date!H:H)</f>
        <v>Nov 2024</v>
      </c>
      <c r="T1858" t="str">
        <f>IF(Pipeline_tbl[[#This Row],[Closed_Date]]=0,"",(_xlfn.XLOOKUP(Pipeline_tbl[[#This Row],[Closed_Date]],Dim_Date!A:A,Dim_Date!H:H)))</f>
        <v>Dec 2024</v>
      </c>
      <c r="U1858">
        <f>IF(Pipeline_tbl[[#This Row],[Closed_Date]]=0,"",Pipeline_tbl[[#This Row],[Closed_Date]]-Pipeline_tbl[[#This Row],[Created_Date]])</f>
        <v>16</v>
      </c>
    </row>
    <row r="1859" spans="1:21" ht="15" customHeight="1" x14ac:dyDescent="0.2">
      <c r="A1859" t="s">
        <v>2165</v>
      </c>
      <c r="B1859" t="s">
        <v>217</v>
      </c>
      <c r="C1859" t="s">
        <v>52</v>
      </c>
      <c r="D1859" s="49">
        <v>45612</v>
      </c>
      <c r="E1859" s="49">
        <v>45614</v>
      </c>
      <c r="F1859" s="49">
        <v>45617</v>
      </c>
      <c r="G1859" s="49">
        <v>45622</v>
      </c>
      <c r="I1859" s="49">
        <v>45629</v>
      </c>
      <c r="J1859" t="s">
        <v>49</v>
      </c>
      <c r="K1859" s="33">
        <v>3200</v>
      </c>
      <c r="L1859" t="s">
        <v>62</v>
      </c>
      <c r="M1859" t="str">
        <f>_xlfn.XLOOKUP(Pipeline_tbl[[#This Row],[Rep_ID]],Dim_Reps!A:A,Dim_Reps!K:K)</f>
        <v>USD</v>
      </c>
      <c r="N1859" s="33">
        <f>(_xlfn.XLOOKUP(Pipeline_tbl[[#This Row],[Rate_Code_Generalized]],Lookups!A:A,Lookups!B:B))*Pipeline_tbl[[#This Row],[Pipeline_Amount_USD]]</f>
        <v>3725.7599999999998</v>
      </c>
      <c r="O1859" t="str">
        <f>_xlfn.XLOOKUP(Pipeline_tbl[[#This Row],[Rep_ID]],Dim_Reps!A:A,Dim_Reps!B:B)</f>
        <v>Priya Weber</v>
      </c>
      <c r="P1859" t="str">
        <f>_xlfn.XLOOKUP(Pipeline_tbl[[#This Row],[Rep_ID]],Dim_Reps!A:A,Dim_Reps!C:C)</f>
        <v>SDR / Inside Sales Rep</v>
      </c>
      <c r="Q1859" t="str">
        <f>_xlfn.XLOOKUP(Pipeline_tbl[[#This Row],[Rep_ID]],Dim_Reps!A:A,Dim_Reps!D:D)</f>
        <v>Inside Sales</v>
      </c>
      <c r="R1859" t="str">
        <f>_xlfn.XLOOKUP(Pipeline_tbl[[#This Row],[Rep_ID]],Dim_Reps!A:A,Dim_Reps!E:E)</f>
        <v>NAMER</v>
      </c>
      <c r="S1859" t="str">
        <f>_xlfn.XLOOKUP(Pipeline_tbl[[#This Row],[Created_Date]],Dim_Date!A:A,Dim_Date!H:H)</f>
        <v>Nov 2024</v>
      </c>
      <c r="T1859" t="str">
        <f>IF(Pipeline_tbl[[#This Row],[Closed_Date]]=0,"",(_xlfn.XLOOKUP(Pipeline_tbl[[#This Row],[Closed_Date]],Dim_Date!A:A,Dim_Date!H:H)))</f>
        <v>Dec 2024</v>
      </c>
      <c r="U1859">
        <f>IF(Pipeline_tbl[[#This Row],[Closed_Date]]=0,"",Pipeline_tbl[[#This Row],[Closed_Date]]-Pipeline_tbl[[#This Row],[Created_Date]])</f>
        <v>17</v>
      </c>
    </row>
    <row r="1860" spans="1:21" ht="15" customHeight="1" x14ac:dyDescent="0.2">
      <c r="A1860" t="s">
        <v>2166</v>
      </c>
      <c r="B1860" t="s">
        <v>217</v>
      </c>
      <c r="C1860" t="s">
        <v>52</v>
      </c>
      <c r="D1860" s="49">
        <v>45619</v>
      </c>
      <c r="E1860" s="49">
        <v>45621</v>
      </c>
      <c r="F1860" s="49">
        <v>45625</v>
      </c>
      <c r="G1860" s="49">
        <v>45632</v>
      </c>
      <c r="H1860" s="49">
        <v>45637</v>
      </c>
      <c r="I1860" s="49">
        <v>45640</v>
      </c>
      <c r="J1860" t="s">
        <v>47</v>
      </c>
      <c r="K1860" s="33">
        <v>1300</v>
      </c>
      <c r="M1860" t="str">
        <f>_xlfn.XLOOKUP(Pipeline_tbl[[#This Row],[Rep_ID]],Dim_Reps!A:A,Dim_Reps!K:K)</f>
        <v>USD</v>
      </c>
      <c r="N1860" s="33">
        <f>(_xlfn.XLOOKUP(Pipeline_tbl[[#This Row],[Rate_Code_Generalized]],Lookups!A:A,Lookups!B:B))*Pipeline_tbl[[#This Row],[Pipeline_Amount_USD]]</f>
        <v>1513.59</v>
      </c>
      <c r="O1860" t="str">
        <f>_xlfn.XLOOKUP(Pipeline_tbl[[#This Row],[Rep_ID]],Dim_Reps!A:A,Dim_Reps!B:B)</f>
        <v>Priya Weber</v>
      </c>
      <c r="P1860" t="str">
        <f>_xlfn.XLOOKUP(Pipeline_tbl[[#This Row],[Rep_ID]],Dim_Reps!A:A,Dim_Reps!C:C)</f>
        <v>SDR / Inside Sales Rep</v>
      </c>
      <c r="Q1860" t="str">
        <f>_xlfn.XLOOKUP(Pipeline_tbl[[#This Row],[Rep_ID]],Dim_Reps!A:A,Dim_Reps!D:D)</f>
        <v>Inside Sales</v>
      </c>
      <c r="R1860" t="str">
        <f>_xlfn.XLOOKUP(Pipeline_tbl[[#This Row],[Rep_ID]],Dim_Reps!A:A,Dim_Reps!E:E)</f>
        <v>NAMER</v>
      </c>
      <c r="S1860" t="str">
        <f>_xlfn.XLOOKUP(Pipeline_tbl[[#This Row],[Created_Date]],Dim_Date!A:A,Dim_Date!H:H)</f>
        <v>Nov 2024</v>
      </c>
      <c r="T1860" t="str">
        <f>IF(Pipeline_tbl[[#This Row],[Closed_Date]]=0,"",(_xlfn.XLOOKUP(Pipeline_tbl[[#This Row],[Closed_Date]],Dim_Date!A:A,Dim_Date!H:H)))</f>
        <v>Dec 2024</v>
      </c>
      <c r="U1860">
        <f>IF(Pipeline_tbl[[#This Row],[Closed_Date]]=0,"",Pipeline_tbl[[#This Row],[Closed_Date]]-Pipeline_tbl[[#This Row],[Created_Date]])</f>
        <v>21</v>
      </c>
    </row>
    <row r="1861" spans="1:21" ht="15" customHeight="1" x14ac:dyDescent="0.2">
      <c r="A1861" t="s">
        <v>2167</v>
      </c>
      <c r="B1861" t="s">
        <v>217</v>
      </c>
      <c r="C1861" t="s">
        <v>53</v>
      </c>
      <c r="D1861" s="49">
        <v>45615</v>
      </c>
      <c r="E1861" s="49">
        <v>45616</v>
      </c>
      <c r="F1861" s="49">
        <v>45619</v>
      </c>
      <c r="I1861" s="49">
        <v>45629</v>
      </c>
      <c r="J1861" t="s">
        <v>49</v>
      </c>
      <c r="K1861" s="33">
        <v>2400</v>
      </c>
      <c r="L1861" t="s">
        <v>63</v>
      </c>
      <c r="M1861" t="str">
        <f>_xlfn.XLOOKUP(Pipeline_tbl[[#This Row],[Rep_ID]],Dim_Reps!A:A,Dim_Reps!K:K)</f>
        <v>USD</v>
      </c>
      <c r="N1861" s="33">
        <f>(_xlfn.XLOOKUP(Pipeline_tbl[[#This Row],[Rate_Code_Generalized]],Lookups!A:A,Lookups!B:B))*Pipeline_tbl[[#This Row],[Pipeline_Amount_USD]]</f>
        <v>2794.3199999999997</v>
      </c>
      <c r="O1861" t="str">
        <f>_xlfn.XLOOKUP(Pipeline_tbl[[#This Row],[Rep_ID]],Dim_Reps!A:A,Dim_Reps!B:B)</f>
        <v>Priya Weber</v>
      </c>
      <c r="P1861" t="str">
        <f>_xlfn.XLOOKUP(Pipeline_tbl[[#This Row],[Rep_ID]],Dim_Reps!A:A,Dim_Reps!C:C)</f>
        <v>SDR / Inside Sales Rep</v>
      </c>
      <c r="Q1861" t="str">
        <f>_xlfn.XLOOKUP(Pipeline_tbl[[#This Row],[Rep_ID]],Dim_Reps!A:A,Dim_Reps!D:D)</f>
        <v>Inside Sales</v>
      </c>
      <c r="R1861" t="str">
        <f>_xlfn.XLOOKUP(Pipeline_tbl[[#This Row],[Rep_ID]],Dim_Reps!A:A,Dim_Reps!E:E)</f>
        <v>NAMER</v>
      </c>
      <c r="S1861" t="str">
        <f>_xlfn.XLOOKUP(Pipeline_tbl[[#This Row],[Created_Date]],Dim_Date!A:A,Dim_Date!H:H)</f>
        <v>Nov 2024</v>
      </c>
      <c r="T1861" t="str">
        <f>IF(Pipeline_tbl[[#This Row],[Closed_Date]]=0,"",(_xlfn.XLOOKUP(Pipeline_tbl[[#This Row],[Closed_Date]],Dim_Date!A:A,Dim_Date!H:H)))</f>
        <v>Dec 2024</v>
      </c>
      <c r="U1861">
        <f>IF(Pipeline_tbl[[#This Row],[Closed_Date]]=0,"",Pipeline_tbl[[#This Row],[Closed_Date]]-Pipeline_tbl[[#This Row],[Created_Date]])</f>
        <v>14</v>
      </c>
    </row>
    <row r="1862" spans="1:21" ht="15" customHeight="1" x14ac:dyDescent="0.2">
      <c r="A1862" t="s">
        <v>2168</v>
      </c>
      <c r="B1862" t="s">
        <v>217</v>
      </c>
      <c r="C1862" t="s">
        <v>52</v>
      </c>
      <c r="D1862" s="49">
        <v>45606</v>
      </c>
      <c r="E1862" s="49">
        <v>45608</v>
      </c>
      <c r="F1862" s="49">
        <v>45613</v>
      </c>
      <c r="G1862" s="49">
        <v>45620</v>
      </c>
      <c r="H1862" s="49">
        <v>45626</v>
      </c>
      <c r="I1862" s="49">
        <v>45630</v>
      </c>
      <c r="J1862" t="s">
        <v>49</v>
      </c>
      <c r="K1862" s="33">
        <v>4100</v>
      </c>
      <c r="L1862" t="s">
        <v>61</v>
      </c>
      <c r="M1862" t="str">
        <f>_xlfn.XLOOKUP(Pipeline_tbl[[#This Row],[Rep_ID]],Dim_Reps!A:A,Dim_Reps!K:K)</f>
        <v>USD</v>
      </c>
      <c r="N1862" s="33">
        <f>(_xlfn.XLOOKUP(Pipeline_tbl[[#This Row],[Rate_Code_Generalized]],Lookups!A:A,Lookups!B:B))*Pipeline_tbl[[#This Row],[Pipeline_Amount_USD]]</f>
        <v>4773.6299999999992</v>
      </c>
      <c r="O1862" t="str">
        <f>_xlfn.XLOOKUP(Pipeline_tbl[[#This Row],[Rep_ID]],Dim_Reps!A:A,Dim_Reps!B:B)</f>
        <v>Priya Weber</v>
      </c>
      <c r="P1862" t="str">
        <f>_xlfn.XLOOKUP(Pipeline_tbl[[#This Row],[Rep_ID]],Dim_Reps!A:A,Dim_Reps!C:C)</f>
        <v>SDR / Inside Sales Rep</v>
      </c>
      <c r="Q1862" t="str">
        <f>_xlfn.XLOOKUP(Pipeline_tbl[[#This Row],[Rep_ID]],Dim_Reps!A:A,Dim_Reps!D:D)</f>
        <v>Inside Sales</v>
      </c>
      <c r="R1862" t="str">
        <f>_xlfn.XLOOKUP(Pipeline_tbl[[#This Row],[Rep_ID]],Dim_Reps!A:A,Dim_Reps!E:E)</f>
        <v>NAMER</v>
      </c>
      <c r="S1862" t="str">
        <f>_xlfn.XLOOKUP(Pipeline_tbl[[#This Row],[Created_Date]],Dim_Date!A:A,Dim_Date!H:H)</f>
        <v>Nov 2024</v>
      </c>
      <c r="T1862" t="str">
        <f>IF(Pipeline_tbl[[#This Row],[Closed_Date]]=0,"",(_xlfn.XLOOKUP(Pipeline_tbl[[#This Row],[Closed_Date]],Dim_Date!A:A,Dim_Date!H:H)))</f>
        <v>Dec 2024</v>
      </c>
      <c r="U1862">
        <f>IF(Pipeline_tbl[[#This Row],[Closed_Date]]=0,"",Pipeline_tbl[[#This Row],[Closed_Date]]-Pipeline_tbl[[#This Row],[Created_Date]])</f>
        <v>24</v>
      </c>
    </row>
    <row r="1863" spans="1:21" ht="15" customHeight="1" x14ac:dyDescent="0.2">
      <c r="A1863" t="s">
        <v>2169</v>
      </c>
      <c r="B1863" t="s">
        <v>217</v>
      </c>
      <c r="C1863" t="s">
        <v>53</v>
      </c>
      <c r="D1863" s="49">
        <v>45623</v>
      </c>
      <c r="E1863" s="49">
        <v>45624</v>
      </c>
      <c r="F1863" s="49">
        <v>45626</v>
      </c>
      <c r="G1863" s="49">
        <v>45628</v>
      </c>
      <c r="H1863" s="49">
        <v>45631</v>
      </c>
      <c r="I1863" s="49">
        <v>45632</v>
      </c>
      <c r="J1863" t="s">
        <v>47</v>
      </c>
      <c r="K1863" s="33">
        <v>5300</v>
      </c>
      <c r="M1863" t="str">
        <f>_xlfn.XLOOKUP(Pipeline_tbl[[#This Row],[Rep_ID]],Dim_Reps!A:A,Dim_Reps!K:K)</f>
        <v>USD</v>
      </c>
      <c r="N1863" s="33">
        <f>(_xlfn.XLOOKUP(Pipeline_tbl[[#This Row],[Rate_Code_Generalized]],Lookups!A:A,Lookups!B:B))*Pipeline_tbl[[#This Row],[Pipeline_Amount_USD]]</f>
        <v>6170.7899999999991</v>
      </c>
      <c r="O1863" t="str">
        <f>_xlfn.XLOOKUP(Pipeline_tbl[[#This Row],[Rep_ID]],Dim_Reps!A:A,Dim_Reps!B:B)</f>
        <v>Priya Weber</v>
      </c>
      <c r="P1863" t="str">
        <f>_xlfn.XLOOKUP(Pipeline_tbl[[#This Row],[Rep_ID]],Dim_Reps!A:A,Dim_Reps!C:C)</f>
        <v>SDR / Inside Sales Rep</v>
      </c>
      <c r="Q1863" t="str">
        <f>_xlfn.XLOOKUP(Pipeline_tbl[[#This Row],[Rep_ID]],Dim_Reps!A:A,Dim_Reps!D:D)</f>
        <v>Inside Sales</v>
      </c>
      <c r="R1863" t="str">
        <f>_xlfn.XLOOKUP(Pipeline_tbl[[#This Row],[Rep_ID]],Dim_Reps!A:A,Dim_Reps!E:E)</f>
        <v>NAMER</v>
      </c>
      <c r="S1863" t="str">
        <f>_xlfn.XLOOKUP(Pipeline_tbl[[#This Row],[Created_Date]],Dim_Date!A:A,Dim_Date!H:H)</f>
        <v>Nov 2024</v>
      </c>
      <c r="T1863" t="str">
        <f>IF(Pipeline_tbl[[#This Row],[Closed_Date]]=0,"",(_xlfn.XLOOKUP(Pipeline_tbl[[#This Row],[Closed_Date]],Dim_Date!A:A,Dim_Date!H:H)))</f>
        <v>Dec 2024</v>
      </c>
      <c r="U1863">
        <f>IF(Pipeline_tbl[[#This Row],[Closed_Date]]=0,"",Pipeline_tbl[[#This Row],[Closed_Date]]-Pipeline_tbl[[#This Row],[Created_Date]])</f>
        <v>9</v>
      </c>
    </row>
    <row r="1864" spans="1:21" ht="15" customHeight="1" x14ac:dyDescent="0.2">
      <c r="A1864" t="s">
        <v>2170</v>
      </c>
      <c r="B1864" t="s">
        <v>217</v>
      </c>
      <c r="C1864" t="s">
        <v>52</v>
      </c>
      <c r="D1864" s="49">
        <v>45618</v>
      </c>
      <c r="E1864" s="49">
        <v>45619</v>
      </c>
      <c r="F1864" s="49">
        <v>45622</v>
      </c>
      <c r="G1864" s="49">
        <v>45626</v>
      </c>
      <c r="H1864" s="49">
        <v>45630</v>
      </c>
      <c r="I1864" s="49">
        <v>45632</v>
      </c>
      <c r="J1864" t="s">
        <v>47</v>
      </c>
      <c r="K1864" s="33">
        <v>2300</v>
      </c>
      <c r="M1864" t="str">
        <f>_xlfn.XLOOKUP(Pipeline_tbl[[#This Row],[Rep_ID]],Dim_Reps!A:A,Dim_Reps!K:K)</f>
        <v>USD</v>
      </c>
      <c r="N1864" s="33">
        <f>(_xlfn.XLOOKUP(Pipeline_tbl[[#This Row],[Rate_Code_Generalized]],Lookups!A:A,Lookups!B:B))*Pipeline_tbl[[#This Row],[Pipeline_Amount_USD]]</f>
        <v>2677.89</v>
      </c>
      <c r="O1864" t="str">
        <f>_xlfn.XLOOKUP(Pipeline_tbl[[#This Row],[Rep_ID]],Dim_Reps!A:A,Dim_Reps!B:B)</f>
        <v>Priya Weber</v>
      </c>
      <c r="P1864" t="str">
        <f>_xlfn.XLOOKUP(Pipeline_tbl[[#This Row],[Rep_ID]],Dim_Reps!A:A,Dim_Reps!C:C)</f>
        <v>SDR / Inside Sales Rep</v>
      </c>
      <c r="Q1864" t="str">
        <f>_xlfn.XLOOKUP(Pipeline_tbl[[#This Row],[Rep_ID]],Dim_Reps!A:A,Dim_Reps!D:D)</f>
        <v>Inside Sales</v>
      </c>
      <c r="R1864" t="str">
        <f>_xlfn.XLOOKUP(Pipeline_tbl[[#This Row],[Rep_ID]],Dim_Reps!A:A,Dim_Reps!E:E)</f>
        <v>NAMER</v>
      </c>
      <c r="S1864" t="str">
        <f>_xlfn.XLOOKUP(Pipeline_tbl[[#This Row],[Created_Date]],Dim_Date!A:A,Dim_Date!H:H)</f>
        <v>Nov 2024</v>
      </c>
      <c r="T1864" t="str">
        <f>IF(Pipeline_tbl[[#This Row],[Closed_Date]]=0,"",(_xlfn.XLOOKUP(Pipeline_tbl[[#This Row],[Closed_Date]],Dim_Date!A:A,Dim_Date!H:H)))</f>
        <v>Dec 2024</v>
      </c>
      <c r="U1864">
        <f>IF(Pipeline_tbl[[#This Row],[Closed_Date]]=0,"",Pipeline_tbl[[#This Row],[Closed_Date]]-Pipeline_tbl[[#This Row],[Created_Date]])</f>
        <v>14</v>
      </c>
    </row>
    <row r="1865" spans="1:21" ht="15" customHeight="1" x14ac:dyDescent="0.2">
      <c r="A1865" t="s">
        <v>2171</v>
      </c>
      <c r="B1865" t="s">
        <v>217</v>
      </c>
      <c r="C1865" t="s">
        <v>52</v>
      </c>
      <c r="D1865" s="49">
        <v>45600</v>
      </c>
      <c r="E1865" s="49">
        <v>45603</v>
      </c>
      <c r="F1865" s="49">
        <v>45609</v>
      </c>
      <c r="G1865" s="49">
        <v>45617</v>
      </c>
      <c r="H1865" s="49">
        <v>45625</v>
      </c>
      <c r="I1865" s="49">
        <v>45629</v>
      </c>
      <c r="J1865" t="s">
        <v>49</v>
      </c>
      <c r="K1865" s="33">
        <v>2600</v>
      </c>
      <c r="L1865" t="s">
        <v>60</v>
      </c>
      <c r="M1865" t="str">
        <f>_xlfn.XLOOKUP(Pipeline_tbl[[#This Row],[Rep_ID]],Dim_Reps!A:A,Dim_Reps!K:K)</f>
        <v>USD</v>
      </c>
      <c r="N1865" s="33">
        <f>(_xlfn.XLOOKUP(Pipeline_tbl[[#This Row],[Rate_Code_Generalized]],Lookups!A:A,Lookups!B:B))*Pipeline_tbl[[#This Row],[Pipeline_Amount_USD]]</f>
        <v>3027.18</v>
      </c>
      <c r="O1865" t="str">
        <f>_xlfn.XLOOKUP(Pipeline_tbl[[#This Row],[Rep_ID]],Dim_Reps!A:A,Dim_Reps!B:B)</f>
        <v>Priya Weber</v>
      </c>
      <c r="P1865" t="str">
        <f>_xlfn.XLOOKUP(Pipeline_tbl[[#This Row],[Rep_ID]],Dim_Reps!A:A,Dim_Reps!C:C)</f>
        <v>SDR / Inside Sales Rep</v>
      </c>
      <c r="Q1865" t="str">
        <f>_xlfn.XLOOKUP(Pipeline_tbl[[#This Row],[Rep_ID]],Dim_Reps!A:A,Dim_Reps!D:D)</f>
        <v>Inside Sales</v>
      </c>
      <c r="R1865" t="str">
        <f>_xlfn.XLOOKUP(Pipeline_tbl[[#This Row],[Rep_ID]],Dim_Reps!A:A,Dim_Reps!E:E)</f>
        <v>NAMER</v>
      </c>
      <c r="S1865" t="str">
        <f>_xlfn.XLOOKUP(Pipeline_tbl[[#This Row],[Created_Date]],Dim_Date!A:A,Dim_Date!H:H)</f>
        <v>Nov 2024</v>
      </c>
      <c r="T1865" t="str">
        <f>IF(Pipeline_tbl[[#This Row],[Closed_Date]]=0,"",(_xlfn.XLOOKUP(Pipeline_tbl[[#This Row],[Closed_Date]],Dim_Date!A:A,Dim_Date!H:H)))</f>
        <v>Dec 2024</v>
      </c>
      <c r="U1865">
        <f>IF(Pipeline_tbl[[#This Row],[Closed_Date]]=0,"",Pipeline_tbl[[#This Row],[Closed_Date]]-Pipeline_tbl[[#This Row],[Created_Date]])</f>
        <v>29</v>
      </c>
    </row>
    <row r="1866" spans="1:21" ht="15" customHeight="1" x14ac:dyDescent="0.2">
      <c r="A1866" t="s">
        <v>2172</v>
      </c>
      <c r="B1866" t="s">
        <v>188</v>
      </c>
      <c r="C1866" t="s">
        <v>53</v>
      </c>
      <c r="D1866" s="49">
        <v>45619</v>
      </c>
      <c r="E1866" s="49">
        <v>45623</v>
      </c>
      <c r="F1866" s="49">
        <v>45630</v>
      </c>
      <c r="G1866" s="49">
        <v>45640</v>
      </c>
      <c r="I1866" s="49">
        <v>45654</v>
      </c>
      <c r="J1866" t="s">
        <v>49</v>
      </c>
      <c r="K1866" s="33">
        <v>10100</v>
      </c>
      <c r="L1866" t="s">
        <v>61</v>
      </c>
      <c r="M1866" t="str">
        <f>_xlfn.XLOOKUP(Pipeline_tbl[[#This Row],[Rep_ID]],Dim_Reps!A:A,Dim_Reps!K:K)</f>
        <v>EUR</v>
      </c>
      <c r="N1866" s="33">
        <f>(_xlfn.XLOOKUP(Pipeline_tbl[[#This Row],[Rate_Code_Generalized]],Lookups!A:A,Lookups!B:B))*Pipeline_tbl[[#This Row],[Pipeline_Amount_USD]]</f>
        <v>10100</v>
      </c>
      <c r="O1866" t="str">
        <f>_xlfn.XLOOKUP(Pipeline_tbl[[#This Row],[Rep_ID]],Dim_Reps!A:A,Dim_Reps!B:B)</f>
        <v>Jamie Santos</v>
      </c>
      <c r="P1866" t="str">
        <f>_xlfn.XLOOKUP(Pipeline_tbl[[#This Row],[Rep_ID]],Dim_Reps!A:A,Dim_Reps!C:C)</f>
        <v>Enterprise AE</v>
      </c>
      <c r="Q1866" t="str">
        <f>_xlfn.XLOOKUP(Pipeline_tbl[[#This Row],[Rep_ID]],Dim_Reps!A:A,Dim_Reps!D:D)</f>
        <v>Enterprise</v>
      </c>
      <c r="R1866" t="str">
        <f>_xlfn.XLOOKUP(Pipeline_tbl[[#This Row],[Rep_ID]],Dim_Reps!A:A,Dim_Reps!E:E)</f>
        <v>APAC</v>
      </c>
      <c r="S1866" t="str">
        <f>_xlfn.XLOOKUP(Pipeline_tbl[[#This Row],[Created_Date]],Dim_Date!A:A,Dim_Date!H:H)</f>
        <v>Nov 2024</v>
      </c>
      <c r="T1866" t="str">
        <f>IF(Pipeline_tbl[[#This Row],[Closed_Date]]=0,"",(_xlfn.XLOOKUP(Pipeline_tbl[[#This Row],[Closed_Date]],Dim_Date!A:A,Dim_Date!H:H)))</f>
        <v>Dec 2024</v>
      </c>
      <c r="U1866">
        <f>IF(Pipeline_tbl[[#This Row],[Closed_Date]]=0,"",Pipeline_tbl[[#This Row],[Closed_Date]]-Pipeline_tbl[[#This Row],[Created_Date]])</f>
        <v>35</v>
      </c>
    </row>
    <row r="1867" spans="1:21" ht="15" customHeight="1" x14ac:dyDescent="0.2">
      <c r="A1867" t="s">
        <v>2173</v>
      </c>
      <c r="B1867" t="s">
        <v>188</v>
      </c>
      <c r="C1867" t="s">
        <v>52</v>
      </c>
      <c r="D1867" s="49">
        <v>45602</v>
      </c>
      <c r="E1867" s="49">
        <v>45607</v>
      </c>
      <c r="F1867" s="49">
        <v>45617</v>
      </c>
      <c r="G1867" s="49">
        <v>45631</v>
      </c>
      <c r="H1867" s="49">
        <v>45644</v>
      </c>
      <c r="I1867" s="49">
        <v>45651</v>
      </c>
      <c r="J1867" t="s">
        <v>49</v>
      </c>
      <c r="K1867" s="33">
        <v>22000</v>
      </c>
      <c r="L1867" t="s">
        <v>62</v>
      </c>
      <c r="M1867" t="str">
        <f>_xlfn.XLOOKUP(Pipeline_tbl[[#This Row],[Rep_ID]],Dim_Reps!A:A,Dim_Reps!K:K)</f>
        <v>EUR</v>
      </c>
      <c r="N1867" s="33">
        <f>(_xlfn.XLOOKUP(Pipeline_tbl[[#This Row],[Rate_Code_Generalized]],Lookups!A:A,Lookups!B:B))*Pipeline_tbl[[#This Row],[Pipeline_Amount_USD]]</f>
        <v>22000</v>
      </c>
      <c r="O1867" t="str">
        <f>_xlfn.XLOOKUP(Pipeline_tbl[[#This Row],[Rep_ID]],Dim_Reps!A:A,Dim_Reps!B:B)</f>
        <v>Jamie Santos</v>
      </c>
      <c r="P1867" t="str">
        <f>_xlfn.XLOOKUP(Pipeline_tbl[[#This Row],[Rep_ID]],Dim_Reps!A:A,Dim_Reps!C:C)</f>
        <v>Enterprise AE</v>
      </c>
      <c r="Q1867" t="str">
        <f>_xlfn.XLOOKUP(Pipeline_tbl[[#This Row],[Rep_ID]],Dim_Reps!A:A,Dim_Reps!D:D)</f>
        <v>Enterprise</v>
      </c>
      <c r="R1867" t="str">
        <f>_xlfn.XLOOKUP(Pipeline_tbl[[#This Row],[Rep_ID]],Dim_Reps!A:A,Dim_Reps!E:E)</f>
        <v>APAC</v>
      </c>
      <c r="S1867" t="str">
        <f>_xlfn.XLOOKUP(Pipeline_tbl[[#This Row],[Created_Date]],Dim_Date!A:A,Dim_Date!H:H)</f>
        <v>Nov 2024</v>
      </c>
      <c r="T1867" t="str">
        <f>IF(Pipeline_tbl[[#This Row],[Closed_Date]]=0,"",(_xlfn.XLOOKUP(Pipeline_tbl[[#This Row],[Closed_Date]],Dim_Date!A:A,Dim_Date!H:H)))</f>
        <v>Dec 2024</v>
      </c>
      <c r="U1867">
        <f>IF(Pipeline_tbl[[#This Row],[Closed_Date]]=0,"",Pipeline_tbl[[#This Row],[Closed_Date]]-Pipeline_tbl[[#This Row],[Created_Date]])</f>
        <v>49</v>
      </c>
    </row>
    <row r="1868" spans="1:21" ht="15" customHeight="1" x14ac:dyDescent="0.2">
      <c r="A1868" t="s">
        <v>2174</v>
      </c>
      <c r="B1868" t="s">
        <v>221</v>
      </c>
      <c r="C1868" t="s">
        <v>52</v>
      </c>
      <c r="D1868" s="49">
        <v>45618</v>
      </c>
      <c r="E1868" s="49">
        <v>45620</v>
      </c>
      <c r="F1868" s="49">
        <v>45625</v>
      </c>
      <c r="G1868" s="49">
        <v>45632</v>
      </c>
      <c r="H1868" s="49">
        <v>45638</v>
      </c>
      <c r="I1868" s="49">
        <v>45641</v>
      </c>
      <c r="J1868" t="s">
        <v>47</v>
      </c>
      <c r="K1868" s="33">
        <v>2300</v>
      </c>
      <c r="M1868" t="str">
        <f>_xlfn.XLOOKUP(Pipeline_tbl[[#This Row],[Rep_ID]],Dim_Reps!A:A,Dim_Reps!K:K)</f>
        <v>MXN</v>
      </c>
      <c r="N1868" s="33">
        <f>(_xlfn.XLOOKUP(Pipeline_tbl[[#This Row],[Rate_Code_Generalized]],Lookups!A:A,Lookups!B:B))*Pipeline_tbl[[#This Row],[Pipeline_Amount_USD]]</f>
        <v>45385.210000000006</v>
      </c>
      <c r="O1868" t="str">
        <f>_xlfn.XLOOKUP(Pipeline_tbl[[#This Row],[Rep_ID]],Dim_Reps!A:A,Dim_Reps!B:B)</f>
        <v>Casey Muller</v>
      </c>
      <c r="P1868" t="str">
        <f>_xlfn.XLOOKUP(Pipeline_tbl[[#This Row],[Rep_ID]],Dim_Reps!A:A,Dim_Reps!C:C)</f>
        <v>SDR / Inside Sales Rep</v>
      </c>
      <c r="Q1868" t="str">
        <f>_xlfn.XLOOKUP(Pipeline_tbl[[#This Row],[Rep_ID]],Dim_Reps!A:A,Dim_Reps!D:D)</f>
        <v>Inside Sales</v>
      </c>
      <c r="R1868" t="str">
        <f>_xlfn.XLOOKUP(Pipeline_tbl[[#This Row],[Rep_ID]],Dim_Reps!A:A,Dim_Reps!E:E)</f>
        <v>LATAM</v>
      </c>
      <c r="S1868" t="str">
        <f>_xlfn.XLOOKUP(Pipeline_tbl[[#This Row],[Created_Date]],Dim_Date!A:A,Dim_Date!H:H)</f>
        <v>Nov 2024</v>
      </c>
      <c r="T1868" t="str">
        <f>IF(Pipeline_tbl[[#This Row],[Closed_Date]]=0,"",(_xlfn.XLOOKUP(Pipeline_tbl[[#This Row],[Closed_Date]],Dim_Date!A:A,Dim_Date!H:H)))</f>
        <v>Dec 2024</v>
      </c>
      <c r="U1868">
        <f>IF(Pipeline_tbl[[#This Row],[Closed_Date]]=0,"",Pipeline_tbl[[#This Row],[Closed_Date]]-Pipeline_tbl[[#This Row],[Created_Date]])</f>
        <v>23</v>
      </c>
    </row>
    <row r="1869" spans="1:21" ht="15" customHeight="1" x14ac:dyDescent="0.2">
      <c r="A1869" t="s">
        <v>2175</v>
      </c>
      <c r="B1869" t="s">
        <v>221</v>
      </c>
      <c r="C1869" t="s">
        <v>55</v>
      </c>
      <c r="D1869" s="49">
        <v>45624</v>
      </c>
      <c r="E1869" s="49">
        <v>45626</v>
      </c>
      <c r="I1869" s="49">
        <v>45641</v>
      </c>
      <c r="J1869" t="s">
        <v>49</v>
      </c>
      <c r="K1869" s="33">
        <v>1600</v>
      </c>
      <c r="L1869" t="s">
        <v>63</v>
      </c>
      <c r="M1869" t="str">
        <f>_xlfn.XLOOKUP(Pipeline_tbl[[#This Row],[Rep_ID]],Dim_Reps!A:A,Dim_Reps!K:K)</f>
        <v>MXN</v>
      </c>
      <c r="N1869" s="33">
        <f>(_xlfn.XLOOKUP(Pipeline_tbl[[#This Row],[Rate_Code_Generalized]],Lookups!A:A,Lookups!B:B))*Pipeline_tbl[[#This Row],[Pipeline_Amount_USD]]</f>
        <v>31572.320000000003</v>
      </c>
      <c r="O1869" t="str">
        <f>_xlfn.XLOOKUP(Pipeline_tbl[[#This Row],[Rep_ID]],Dim_Reps!A:A,Dim_Reps!B:B)</f>
        <v>Casey Muller</v>
      </c>
      <c r="P1869" t="str">
        <f>_xlfn.XLOOKUP(Pipeline_tbl[[#This Row],[Rep_ID]],Dim_Reps!A:A,Dim_Reps!C:C)</f>
        <v>SDR / Inside Sales Rep</v>
      </c>
      <c r="Q1869" t="str">
        <f>_xlfn.XLOOKUP(Pipeline_tbl[[#This Row],[Rep_ID]],Dim_Reps!A:A,Dim_Reps!D:D)</f>
        <v>Inside Sales</v>
      </c>
      <c r="R1869" t="str">
        <f>_xlfn.XLOOKUP(Pipeline_tbl[[#This Row],[Rep_ID]],Dim_Reps!A:A,Dim_Reps!E:E)</f>
        <v>LATAM</v>
      </c>
      <c r="S1869" t="str">
        <f>_xlfn.XLOOKUP(Pipeline_tbl[[#This Row],[Created_Date]],Dim_Date!A:A,Dim_Date!H:H)</f>
        <v>Nov 2024</v>
      </c>
      <c r="T1869" t="str">
        <f>IF(Pipeline_tbl[[#This Row],[Closed_Date]]=0,"",(_xlfn.XLOOKUP(Pipeline_tbl[[#This Row],[Closed_Date]],Dim_Date!A:A,Dim_Date!H:H)))</f>
        <v>Dec 2024</v>
      </c>
      <c r="U1869">
        <f>IF(Pipeline_tbl[[#This Row],[Closed_Date]]=0,"",Pipeline_tbl[[#This Row],[Closed_Date]]-Pipeline_tbl[[#This Row],[Created_Date]])</f>
        <v>17</v>
      </c>
    </row>
    <row r="1870" spans="1:21" ht="15" customHeight="1" x14ac:dyDescent="0.2">
      <c r="A1870" t="s">
        <v>2176</v>
      </c>
      <c r="B1870" t="s">
        <v>221</v>
      </c>
      <c r="C1870" t="s">
        <v>54</v>
      </c>
      <c r="D1870" s="49">
        <v>45614</v>
      </c>
      <c r="E1870" s="49">
        <v>45616</v>
      </c>
      <c r="F1870" s="49">
        <v>45620</v>
      </c>
      <c r="G1870" s="49">
        <v>45627</v>
      </c>
      <c r="H1870" s="49">
        <v>45632</v>
      </c>
      <c r="I1870" s="49">
        <v>45635</v>
      </c>
      <c r="J1870" t="s">
        <v>49</v>
      </c>
      <c r="K1870" s="33">
        <v>2500</v>
      </c>
      <c r="L1870" t="s">
        <v>60</v>
      </c>
      <c r="M1870" t="str">
        <f>_xlfn.XLOOKUP(Pipeline_tbl[[#This Row],[Rep_ID]],Dim_Reps!A:A,Dim_Reps!K:K)</f>
        <v>MXN</v>
      </c>
      <c r="N1870" s="33">
        <f>(_xlfn.XLOOKUP(Pipeline_tbl[[#This Row],[Rate_Code_Generalized]],Lookups!A:A,Lookups!B:B))*Pipeline_tbl[[#This Row],[Pipeline_Amount_USD]]</f>
        <v>49331.75</v>
      </c>
      <c r="O1870" t="str">
        <f>_xlfn.XLOOKUP(Pipeline_tbl[[#This Row],[Rep_ID]],Dim_Reps!A:A,Dim_Reps!B:B)</f>
        <v>Casey Muller</v>
      </c>
      <c r="P1870" t="str">
        <f>_xlfn.XLOOKUP(Pipeline_tbl[[#This Row],[Rep_ID]],Dim_Reps!A:A,Dim_Reps!C:C)</f>
        <v>SDR / Inside Sales Rep</v>
      </c>
      <c r="Q1870" t="str">
        <f>_xlfn.XLOOKUP(Pipeline_tbl[[#This Row],[Rep_ID]],Dim_Reps!A:A,Dim_Reps!D:D)</f>
        <v>Inside Sales</v>
      </c>
      <c r="R1870" t="str">
        <f>_xlfn.XLOOKUP(Pipeline_tbl[[#This Row],[Rep_ID]],Dim_Reps!A:A,Dim_Reps!E:E)</f>
        <v>LATAM</v>
      </c>
      <c r="S1870" t="str">
        <f>_xlfn.XLOOKUP(Pipeline_tbl[[#This Row],[Created_Date]],Dim_Date!A:A,Dim_Date!H:H)</f>
        <v>Nov 2024</v>
      </c>
      <c r="T1870" t="str">
        <f>IF(Pipeline_tbl[[#This Row],[Closed_Date]]=0,"",(_xlfn.XLOOKUP(Pipeline_tbl[[#This Row],[Closed_Date]],Dim_Date!A:A,Dim_Date!H:H)))</f>
        <v>Dec 2024</v>
      </c>
      <c r="U1870">
        <f>IF(Pipeline_tbl[[#This Row],[Closed_Date]]=0,"",Pipeline_tbl[[#This Row],[Closed_Date]]-Pipeline_tbl[[#This Row],[Created_Date]])</f>
        <v>21</v>
      </c>
    </row>
    <row r="1871" spans="1:21" ht="15" customHeight="1" x14ac:dyDescent="0.2">
      <c r="A1871" t="s">
        <v>2177</v>
      </c>
      <c r="B1871" t="s">
        <v>221</v>
      </c>
      <c r="C1871" t="s">
        <v>53</v>
      </c>
      <c r="D1871" s="49">
        <v>45617</v>
      </c>
      <c r="E1871" s="49">
        <v>45619</v>
      </c>
      <c r="F1871" s="49">
        <v>45624</v>
      </c>
      <c r="G1871" s="49">
        <v>45631</v>
      </c>
      <c r="I1871" s="49">
        <v>45641</v>
      </c>
      <c r="J1871" t="s">
        <v>49</v>
      </c>
      <c r="K1871" s="33">
        <v>7000</v>
      </c>
      <c r="L1871" t="s">
        <v>63</v>
      </c>
      <c r="M1871" t="str">
        <f>_xlfn.XLOOKUP(Pipeline_tbl[[#This Row],[Rep_ID]],Dim_Reps!A:A,Dim_Reps!K:K)</f>
        <v>MXN</v>
      </c>
      <c r="N1871" s="33">
        <f>(_xlfn.XLOOKUP(Pipeline_tbl[[#This Row],[Rate_Code_Generalized]],Lookups!A:A,Lookups!B:B))*Pipeline_tbl[[#This Row],[Pipeline_Amount_USD]]</f>
        <v>138128.9</v>
      </c>
      <c r="O1871" t="str">
        <f>_xlfn.XLOOKUP(Pipeline_tbl[[#This Row],[Rep_ID]],Dim_Reps!A:A,Dim_Reps!B:B)</f>
        <v>Casey Muller</v>
      </c>
      <c r="P1871" t="str">
        <f>_xlfn.XLOOKUP(Pipeline_tbl[[#This Row],[Rep_ID]],Dim_Reps!A:A,Dim_Reps!C:C)</f>
        <v>SDR / Inside Sales Rep</v>
      </c>
      <c r="Q1871" t="str">
        <f>_xlfn.XLOOKUP(Pipeline_tbl[[#This Row],[Rep_ID]],Dim_Reps!A:A,Dim_Reps!D:D)</f>
        <v>Inside Sales</v>
      </c>
      <c r="R1871" t="str">
        <f>_xlfn.XLOOKUP(Pipeline_tbl[[#This Row],[Rep_ID]],Dim_Reps!A:A,Dim_Reps!E:E)</f>
        <v>LATAM</v>
      </c>
      <c r="S1871" t="str">
        <f>_xlfn.XLOOKUP(Pipeline_tbl[[#This Row],[Created_Date]],Dim_Date!A:A,Dim_Date!H:H)</f>
        <v>Nov 2024</v>
      </c>
      <c r="T1871" t="str">
        <f>IF(Pipeline_tbl[[#This Row],[Closed_Date]]=0,"",(_xlfn.XLOOKUP(Pipeline_tbl[[#This Row],[Closed_Date]],Dim_Date!A:A,Dim_Date!H:H)))</f>
        <v>Dec 2024</v>
      </c>
      <c r="U1871">
        <f>IF(Pipeline_tbl[[#This Row],[Closed_Date]]=0,"",Pipeline_tbl[[#This Row],[Closed_Date]]-Pipeline_tbl[[#This Row],[Created_Date]])</f>
        <v>24</v>
      </c>
    </row>
    <row r="1872" spans="1:21" ht="15" customHeight="1" x14ac:dyDescent="0.2">
      <c r="A1872" t="s">
        <v>2178</v>
      </c>
      <c r="B1872" t="s">
        <v>221</v>
      </c>
      <c r="C1872" t="s">
        <v>55</v>
      </c>
      <c r="D1872" s="49">
        <v>45624</v>
      </c>
      <c r="E1872" s="49">
        <v>45626</v>
      </c>
      <c r="F1872" s="49">
        <v>45630</v>
      </c>
      <c r="G1872" s="49">
        <v>45635</v>
      </c>
      <c r="I1872" s="49">
        <v>45643</v>
      </c>
      <c r="J1872" t="s">
        <v>49</v>
      </c>
      <c r="K1872" s="33">
        <v>2000</v>
      </c>
      <c r="L1872" t="s">
        <v>62</v>
      </c>
      <c r="M1872" t="str">
        <f>_xlfn.XLOOKUP(Pipeline_tbl[[#This Row],[Rep_ID]],Dim_Reps!A:A,Dim_Reps!K:K)</f>
        <v>MXN</v>
      </c>
      <c r="N1872" s="33">
        <f>(_xlfn.XLOOKUP(Pipeline_tbl[[#This Row],[Rate_Code_Generalized]],Lookups!A:A,Lookups!B:B))*Pipeline_tbl[[#This Row],[Pipeline_Amount_USD]]</f>
        <v>39465.4</v>
      </c>
      <c r="O1872" t="str">
        <f>_xlfn.XLOOKUP(Pipeline_tbl[[#This Row],[Rep_ID]],Dim_Reps!A:A,Dim_Reps!B:B)</f>
        <v>Casey Muller</v>
      </c>
      <c r="P1872" t="str">
        <f>_xlfn.XLOOKUP(Pipeline_tbl[[#This Row],[Rep_ID]],Dim_Reps!A:A,Dim_Reps!C:C)</f>
        <v>SDR / Inside Sales Rep</v>
      </c>
      <c r="Q1872" t="str">
        <f>_xlfn.XLOOKUP(Pipeline_tbl[[#This Row],[Rep_ID]],Dim_Reps!A:A,Dim_Reps!D:D)</f>
        <v>Inside Sales</v>
      </c>
      <c r="R1872" t="str">
        <f>_xlfn.XLOOKUP(Pipeline_tbl[[#This Row],[Rep_ID]],Dim_Reps!A:A,Dim_Reps!E:E)</f>
        <v>LATAM</v>
      </c>
      <c r="S1872" t="str">
        <f>_xlfn.XLOOKUP(Pipeline_tbl[[#This Row],[Created_Date]],Dim_Date!A:A,Dim_Date!H:H)</f>
        <v>Nov 2024</v>
      </c>
      <c r="T1872" t="str">
        <f>IF(Pipeline_tbl[[#This Row],[Closed_Date]]=0,"",(_xlfn.XLOOKUP(Pipeline_tbl[[#This Row],[Closed_Date]],Dim_Date!A:A,Dim_Date!H:H)))</f>
        <v>Dec 2024</v>
      </c>
      <c r="U1872">
        <f>IF(Pipeline_tbl[[#This Row],[Closed_Date]]=0,"",Pipeline_tbl[[#This Row],[Closed_Date]]-Pipeline_tbl[[#This Row],[Created_Date]])</f>
        <v>19</v>
      </c>
    </row>
    <row r="1873" spans="1:21" ht="15" customHeight="1" x14ac:dyDescent="0.2">
      <c r="A1873" t="s">
        <v>2179</v>
      </c>
      <c r="B1873" t="s">
        <v>221</v>
      </c>
      <c r="C1873" t="s">
        <v>56</v>
      </c>
      <c r="D1873" s="49">
        <v>45609</v>
      </c>
      <c r="E1873" s="49">
        <v>45611</v>
      </c>
      <c r="F1873" s="49">
        <v>45616</v>
      </c>
      <c r="G1873" s="49">
        <v>45622</v>
      </c>
      <c r="I1873" s="49">
        <v>45631</v>
      </c>
      <c r="J1873" t="s">
        <v>49</v>
      </c>
      <c r="K1873" s="33">
        <v>3200</v>
      </c>
      <c r="L1873" t="s">
        <v>62</v>
      </c>
      <c r="M1873" t="str">
        <f>_xlfn.XLOOKUP(Pipeline_tbl[[#This Row],[Rep_ID]],Dim_Reps!A:A,Dim_Reps!K:K)</f>
        <v>MXN</v>
      </c>
      <c r="N1873" s="33">
        <f>(_xlfn.XLOOKUP(Pipeline_tbl[[#This Row],[Rate_Code_Generalized]],Lookups!A:A,Lookups!B:B))*Pipeline_tbl[[#This Row],[Pipeline_Amount_USD]]</f>
        <v>63144.640000000007</v>
      </c>
      <c r="O1873" t="str">
        <f>_xlfn.XLOOKUP(Pipeline_tbl[[#This Row],[Rep_ID]],Dim_Reps!A:A,Dim_Reps!B:B)</f>
        <v>Casey Muller</v>
      </c>
      <c r="P1873" t="str">
        <f>_xlfn.XLOOKUP(Pipeline_tbl[[#This Row],[Rep_ID]],Dim_Reps!A:A,Dim_Reps!C:C)</f>
        <v>SDR / Inside Sales Rep</v>
      </c>
      <c r="Q1873" t="str">
        <f>_xlfn.XLOOKUP(Pipeline_tbl[[#This Row],[Rep_ID]],Dim_Reps!A:A,Dim_Reps!D:D)</f>
        <v>Inside Sales</v>
      </c>
      <c r="R1873" t="str">
        <f>_xlfn.XLOOKUP(Pipeline_tbl[[#This Row],[Rep_ID]],Dim_Reps!A:A,Dim_Reps!E:E)</f>
        <v>LATAM</v>
      </c>
      <c r="S1873" t="str">
        <f>_xlfn.XLOOKUP(Pipeline_tbl[[#This Row],[Created_Date]],Dim_Date!A:A,Dim_Date!H:H)</f>
        <v>Nov 2024</v>
      </c>
      <c r="T1873" t="str">
        <f>IF(Pipeline_tbl[[#This Row],[Closed_Date]]=0,"",(_xlfn.XLOOKUP(Pipeline_tbl[[#This Row],[Closed_Date]],Dim_Date!A:A,Dim_Date!H:H)))</f>
        <v>Dec 2024</v>
      </c>
      <c r="U1873">
        <f>IF(Pipeline_tbl[[#This Row],[Closed_Date]]=0,"",Pipeline_tbl[[#This Row],[Closed_Date]]-Pipeline_tbl[[#This Row],[Created_Date]])</f>
        <v>22</v>
      </c>
    </row>
    <row r="1874" spans="1:21" ht="15" customHeight="1" x14ac:dyDescent="0.2">
      <c r="A1874" t="s">
        <v>2180</v>
      </c>
      <c r="B1874" t="s">
        <v>221</v>
      </c>
      <c r="C1874" t="s">
        <v>52</v>
      </c>
      <c r="D1874" s="49">
        <v>45620</v>
      </c>
      <c r="E1874" s="49">
        <v>45622</v>
      </c>
      <c r="F1874" s="49">
        <v>45625</v>
      </c>
      <c r="G1874" s="49">
        <v>45630</v>
      </c>
      <c r="I1874" s="49">
        <v>45637</v>
      </c>
      <c r="J1874" t="s">
        <v>49</v>
      </c>
      <c r="K1874" s="33">
        <v>6700</v>
      </c>
      <c r="L1874" t="s">
        <v>61</v>
      </c>
      <c r="M1874" t="str">
        <f>_xlfn.XLOOKUP(Pipeline_tbl[[#This Row],[Rep_ID]],Dim_Reps!A:A,Dim_Reps!K:K)</f>
        <v>MXN</v>
      </c>
      <c r="N1874" s="33">
        <f>(_xlfn.XLOOKUP(Pipeline_tbl[[#This Row],[Rate_Code_Generalized]],Lookups!A:A,Lookups!B:B))*Pipeline_tbl[[#This Row],[Pipeline_Amount_USD]]</f>
        <v>132209.09</v>
      </c>
      <c r="O1874" t="str">
        <f>_xlfn.XLOOKUP(Pipeline_tbl[[#This Row],[Rep_ID]],Dim_Reps!A:A,Dim_Reps!B:B)</f>
        <v>Casey Muller</v>
      </c>
      <c r="P1874" t="str">
        <f>_xlfn.XLOOKUP(Pipeline_tbl[[#This Row],[Rep_ID]],Dim_Reps!A:A,Dim_Reps!C:C)</f>
        <v>SDR / Inside Sales Rep</v>
      </c>
      <c r="Q1874" t="str">
        <f>_xlfn.XLOOKUP(Pipeline_tbl[[#This Row],[Rep_ID]],Dim_Reps!A:A,Dim_Reps!D:D)</f>
        <v>Inside Sales</v>
      </c>
      <c r="R1874" t="str">
        <f>_xlfn.XLOOKUP(Pipeline_tbl[[#This Row],[Rep_ID]],Dim_Reps!A:A,Dim_Reps!E:E)</f>
        <v>LATAM</v>
      </c>
      <c r="S1874" t="str">
        <f>_xlfn.XLOOKUP(Pipeline_tbl[[#This Row],[Created_Date]],Dim_Date!A:A,Dim_Date!H:H)</f>
        <v>Nov 2024</v>
      </c>
      <c r="T1874" t="str">
        <f>IF(Pipeline_tbl[[#This Row],[Closed_Date]]=0,"",(_xlfn.XLOOKUP(Pipeline_tbl[[#This Row],[Closed_Date]],Dim_Date!A:A,Dim_Date!H:H)))</f>
        <v>Dec 2024</v>
      </c>
      <c r="U1874">
        <f>IF(Pipeline_tbl[[#This Row],[Closed_Date]]=0,"",Pipeline_tbl[[#This Row],[Closed_Date]]-Pipeline_tbl[[#This Row],[Created_Date]])</f>
        <v>17</v>
      </c>
    </row>
    <row r="1875" spans="1:21" ht="15" customHeight="1" x14ac:dyDescent="0.2">
      <c r="A1875" t="s">
        <v>2181</v>
      </c>
      <c r="B1875" t="s">
        <v>221</v>
      </c>
      <c r="C1875" t="s">
        <v>52</v>
      </c>
      <c r="D1875" s="49">
        <v>45623</v>
      </c>
      <c r="E1875" s="49">
        <v>45624</v>
      </c>
      <c r="F1875" s="49">
        <v>45625</v>
      </c>
      <c r="G1875" s="49">
        <v>45627</v>
      </c>
      <c r="H1875" s="49">
        <v>45629</v>
      </c>
      <c r="I1875" s="49">
        <v>45630</v>
      </c>
      <c r="J1875" t="s">
        <v>49</v>
      </c>
      <c r="K1875" s="33">
        <v>5600</v>
      </c>
      <c r="L1875" t="s">
        <v>61</v>
      </c>
      <c r="M1875" t="str">
        <f>_xlfn.XLOOKUP(Pipeline_tbl[[#This Row],[Rep_ID]],Dim_Reps!A:A,Dim_Reps!K:K)</f>
        <v>MXN</v>
      </c>
      <c r="N1875" s="33">
        <f>(_xlfn.XLOOKUP(Pipeline_tbl[[#This Row],[Rate_Code_Generalized]],Lookups!A:A,Lookups!B:B))*Pipeline_tbl[[#This Row],[Pipeline_Amount_USD]]</f>
        <v>110503.12000000001</v>
      </c>
      <c r="O1875" t="str">
        <f>_xlfn.XLOOKUP(Pipeline_tbl[[#This Row],[Rep_ID]],Dim_Reps!A:A,Dim_Reps!B:B)</f>
        <v>Casey Muller</v>
      </c>
      <c r="P1875" t="str">
        <f>_xlfn.XLOOKUP(Pipeline_tbl[[#This Row],[Rep_ID]],Dim_Reps!A:A,Dim_Reps!C:C)</f>
        <v>SDR / Inside Sales Rep</v>
      </c>
      <c r="Q1875" t="str">
        <f>_xlfn.XLOOKUP(Pipeline_tbl[[#This Row],[Rep_ID]],Dim_Reps!A:A,Dim_Reps!D:D)</f>
        <v>Inside Sales</v>
      </c>
      <c r="R1875" t="str">
        <f>_xlfn.XLOOKUP(Pipeline_tbl[[#This Row],[Rep_ID]],Dim_Reps!A:A,Dim_Reps!E:E)</f>
        <v>LATAM</v>
      </c>
      <c r="S1875" t="str">
        <f>_xlfn.XLOOKUP(Pipeline_tbl[[#This Row],[Created_Date]],Dim_Date!A:A,Dim_Date!H:H)</f>
        <v>Nov 2024</v>
      </c>
      <c r="T1875" t="str">
        <f>IF(Pipeline_tbl[[#This Row],[Closed_Date]]=0,"",(_xlfn.XLOOKUP(Pipeline_tbl[[#This Row],[Closed_Date]],Dim_Date!A:A,Dim_Date!H:H)))</f>
        <v>Dec 2024</v>
      </c>
      <c r="U1875">
        <f>IF(Pipeline_tbl[[#This Row],[Closed_Date]]=0,"",Pipeline_tbl[[#This Row],[Closed_Date]]-Pipeline_tbl[[#This Row],[Created_Date]])</f>
        <v>7</v>
      </c>
    </row>
    <row r="1876" spans="1:21" ht="15" customHeight="1" x14ac:dyDescent="0.2">
      <c r="A1876" t="s">
        <v>2182</v>
      </c>
      <c r="B1876" t="s">
        <v>259</v>
      </c>
      <c r="C1876" t="s">
        <v>53</v>
      </c>
      <c r="D1876" s="49">
        <v>45604</v>
      </c>
      <c r="E1876" s="49">
        <v>45607</v>
      </c>
      <c r="F1876" s="49">
        <v>45612</v>
      </c>
      <c r="G1876" s="49">
        <v>45620</v>
      </c>
      <c r="H1876" s="49">
        <v>45626</v>
      </c>
      <c r="I1876" s="49">
        <v>45630</v>
      </c>
      <c r="J1876" t="s">
        <v>49</v>
      </c>
      <c r="K1876" s="33">
        <v>21700</v>
      </c>
      <c r="L1876" t="s">
        <v>62</v>
      </c>
      <c r="M1876" t="str">
        <f>_xlfn.XLOOKUP(Pipeline_tbl[[#This Row],[Rep_ID]],Dim_Reps!A:A,Dim_Reps!K:K)</f>
        <v>EUR</v>
      </c>
      <c r="N1876" s="33">
        <f>(_xlfn.XLOOKUP(Pipeline_tbl[[#This Row],[Rate_Code_Generalized]],Lookups!A:A,Lookups!B:B))*Pipeline_tbl[[#This Row],[Pipeline_Amount_USD]]</f>
        <v>21700</v>
      </c>
      <c r="O1876" t="str">
        <f>_xlfn.XLOOKUP(Pipeline_tbl[[#This Row],[Rep_ID]],Dim_Reps!A:A,Dim_Reps!B:B)</f>
        <v>Felix Okafor</v>
      </c>
      <c r="P1876" t="str">
        <f>_xlfn.XLOOKUP(Pipeline_tbl[[#This Row],[Rep_ID]],Dim_Reps!A:A,Dim_Reps!C:C)</f>
        <v>Mid-Market AE</v>
      </c>
      <c r="Q1876" t="str">
        <f>_xlfn.XLOOKUP(Pipeline_tbl[[#This Row],[Rep_ID]],Dim_Reps!A:A,Dim_Reps!D:D)</f>
        <v>Mid-Market</v>
      </c>
      <c r="R1876" t="str">
        <f>_xlfn.XLOOKUP(Pipeline_tbl[[#This Row],[Rep_ID]],Dim_Reps!A:A,Dim_Reps!E:E)</f>
        <v>EMEA</v>
      </c>
      <c r="S1876" t="str">
        <f>_xlfn.XLOOKUP(Pipeline_tbl[[#This Row],[Created_Date]],Dim_Date!A:A,Dim_Date!H:H)</f>
        <v>Nov 2024</v>
      </c>
      <c r="T1876" t="str">
        <f>IF(Pipeline_tbl[[#This Row],[Closed_Date]]=0,"",(_xlfn.XLOOKUP(Pipeline_tbl[[#This Row],[Closed_Date]],Dim_Date!A:A,Dim_Date!H:H)))</f>
        <v>Dec 2024</v>
      </c>
      <c r="U1876">
        <f>IF(Pipeline_tbl[[#This Row],[Closed_Date]]=0,"",Pipeline_tbl[[#This Row],[Closed_Date]]-Pipeline_tbl[[#This Row],[Created_Date]])</f>
        <v>26</v>
      </c>
    </row>
    <row r="1877" spans="1:21" ht="15" customHeight="1" x14ac:dyDescent="0.2">
      <c r="A1877" t="s">
        <v>2183</v>
      </c>
      <c r="B1877" t="s">
        <v>259</v>
      </c>
      <c r="C1877" t="s">
        <v>56</v>
      </c>
      <c r="D1877" s="49">
        <v>45620</v>
      </c>
      <c r="E1877" s="49">
        <v>45623</v>
      </c>
      <c r="F1877" s="49">
        <v>45630</v>
      </c>
      <c r="G1877" s="49">
        <v>45640</v>
      </c>
      <c r="H1877" s="49">
        <v>45649</v>
      </c>
      <c r="I1877" s="49">
        <v>45654</v>
      </c>
      <c r="J1877" t="s">
        <v>47</v>
      </c>
      <c r="K1877" s="33">
        <v>13700</v>
      </c>
      <c r="M1877" t="str">
        <f>_xlfn.XLOOKUP(Pipeline_tbl[[#This Row],[Rep_ID]],Dim_Reps!A:A,Dim_Reps!K:K)</f>
        <v>EUR</v>
      </c>
      <c r="N1877" s="33">
        <f>(_xlfn.XLOOKUP(Pipeline_tbl[[#This Row],[Rate_Code_Generalized]],Lookups!A:A,Lookups!B:B))*Pipeline_tbl[[#This Row],[Pipeline_Amount_USD]]</f>
        <v>13700</v>
      </c>
      <c r="O1877" t="str">
        <f>_xlfn.XLOOKUP(Pipeline_tbl[[#This Row],[Rep_ID]],Dim_Reps!A:A,Dim_Reps!B:B)</f>
        <v>Felix Okafor</v>
      </c>
      <c r="P1877" t="str">
        <f>_xlfn.XLOOKUP(Pipeline_tbl[[#This Row],[Rep_ID]],Dim_Reps!A:A,Dim_Reps!C:C)</f>
        <v>Mid-Market AE</v>
      </c>
      <c r="Q1877" t="str">
        <f>_xlfn.XLOOKUP(Pipeline_tbl[[#This Row],[Rep_ID]],Dim_Reps!A:A,Dim_Reps!D:D)</f>
        <v>Mid-Market</v>
      </c>
      <c r="R1877" t="str">
        <f>_xlfn.XLOOKUP(Pipeline_tbl[[#This Row],[Rep_ID]],Dim_Reps!A:A,Dim_Reps!E:E)</f>
        <v>EMEA</v>
      </c>
      <c r="S1877" t="str">
        <f>_xlfn.XLOOKUP(Pipeline_tbl[[#This Row],[Created_Date]],Dim_Date!A:A,Dim_Date!H:H)</f>
        <v>Nov 2024</v>
      </c>
      <c r="T1877" t="str">
        <f>IF(Pipeline_tbl[[#This Row],[Closed_Date]]=0,"",(_xlfn.XLOOKUP(Pipeline_tbl[[#This Row],[Closed_Date]],Dim_Date!A:A,Dim_Date!H:H)))</f>
        <v>Dec 2024</v>
      </c>
      <c r="U1877">
        <f>IF(Pipeline_tbl[[#This Row],[Closed_Date]]=0,"",Pipeline_tbl[[#This Row],[Closed_Date]]-Pipeline_tbl[[#This Row],[Created_Date]])</f>
        <v>34</v>
      </c>
    </row>
    <row r="1878" spans="1:21" ht="15" customHeight="1" x14ac:dyDescent="0.2">
      <c r="A1878" t="s">
        <v>2184</v>
      </c>
      <c r="B1878" t="s">
        <v>259</v>
      </c>
      <c r="C1878" t="s">
        <v>54</v>
      </c>
      <c r="D1878" s="49">
        <v>45601</v>
      </c>
      <c r="E1878" s="49">
        <v>45605</v>
      </c>
      <c r="F1878" s="49">
        <v>45612</v>
      </c>
      <c r="G1878" s="49">
        <v>45623</v>
      </c>
      <c r="H1878" s="49">
        <v>45632</v>
      </c>
      <c r="I1878" s="49">
        <v>45637</v>
      </c>
      <c r="J1878" t="s">
        <v>49</v>
      </c>
      <c r="K1878" s="33">
        <v>21900</v>
      </c>
      <c r="L1878" t="s">
        <v>63</v>
      </c>
      <c r="M1878" t="str">
        <f>_xlfn.XLOOKUP(Pipeline_tbl[[#This Row],[Rep_ID]],Dim_Reps!A:A,Dim_Reps!K:K)</f>
        <v>EUR</v>
      </c>
      <c r="N1878" s="33">
        <f>(_xlfn.XLOOKUP(Pipeline_tbl[[#This Row],[Rate_Code_Generalized]],Lookups!A:A,Lookups!B:B))*Pipeline_tbl[[#This Row],[Pipeline_Amount_USD]]</f>
        <v>21900</v>
      </c>
      <c r="O1878" t="str">
        <f>_xlfn.XLOOKUP(Pipeline_tbl[[#This Row],[Rep_ID]],Dim_Reps!A:A,Dim_Reps!B:B)</f>
        <v>Felix Okafor</v>
      </c>
      <c r="P1878" t="str">
        <f>_xlfn.XLOOKUP(Pipeline_tbl[[#This Row],[Rep_ID]],Dim_Reps!A:A,Dim_Reps!C:C)</f>
        <v>Mid-Market AE</v>
      </c>
      <c r="Q1878" t="str">
        <f>_xlfn.XLOOKUP(Pipeline_tbl[[#This Row],[Rep_ID]],Dim_Reps!A:A,Dim_Reps!D:D)</f>
        <v>Mid-Market</v>
      </c>
      <c r="R1878" t="str">
        <f>_xlfn.XLOOKUP(Pipeline_tbl[[#This Row],[Rep_ID]],Dim_Reps!A:A,Dim_Reps!E:E)</f>
        <v>EMEA</v>
      </c>
      <c r="S1878" t="str">
        <f>_xlfn.XLOOKUP(Pipeline_tbl[[#This Row],[Created_Date]],Dim_Date!A:A,Dim_Date!H:H)</f>
        <v>Nov 2024</v>
      </c>
      <c r="T1878" t="str">
        <f>IF(Pipeline_tbl[[#This Row],[Closed_Date]]=0,"",(_xlfn.XLOOKUP(Pipeline_tbl[[#This Row],[Closed_Date]],Dim_Date!A:A,Dim_Date!H:H)))</f>
        <v>Dec 2024</v>
      </c>
      <c r="U1878">
        <f>IF(Pipeline_tbl[[#This Row],[Closed_Date]]=0,"",Pipeline_tbl[[#This Row],[Closed_Date]]-Pipeline_tbl[[#This Row],[Created_Date]])</f>
        <v>36</v>
      </c>
    </row>
    <row r="1879" spans="1:21" ht="15" customHeight="1" x14ac:dyDescent="0.2">
      <c r="A1879" t="s">
        <v>2185</v>
      </c>
      <c r="B1879" t="s">
        <v>259</v>
      </c>
      <c r="C1879" t="s">
        <v>54</v>
      </c>
      <c r="D1879" s="49">
        <v>45597</v>
      </c>
      <c r="E1879" s="49">
        <v>45602</v>
      </c>
      <c r="F1879" s="49">
        <v>45613</v>
      </c>
      <c r="I1879" s="49">
        <v>45651</v>
      </c>
      <c r="J1879" t="s">
        <v>49</v>
      </c>
      <c r="K1879" s="33">
        <v>15600</v>
      </c>
      <c r="L1879" t="s">
        <v>60</v>
      </c>
      <c r="M1879" t="str">
        <f>_xlfn.XLOOKUP(Pipeline_tbl[[#This Row],[Rep_ID]],Dim_Reps!A:A,Dim_Reps!K:K)</f>
        <v>EUR</v>
      </c>
      <c r="N1879" s="33">
        <f>(_xlfn.XLOOKUP(Pipeline_tbl[[#This Row],[Rate_Code_Generalized]],Lookups!A:A,Lookups!B:B))*Pipeline_tbl[[#This Row],[Pipeline_Amount_USD]]</f>
        <v>15600</v>
      </c>
      <c r="O1879" t="str">
        <f>_xlfn.XLOOKUP(Pipeline_tbl[[#This Row],[Rep_ID]],Dim_Reps!A:A,Dim_Reps!B:B)</f>
        <v>Felix Okafor</v>
      </c>
      <c r="P1879" t="str">
        <f>_xlfn.XLOOKUP(Pipeline_tbl[[#This Row],[Rep_ID]],Dim_Reps!A:A,Dim_Reps!C:C)</f>
        <v>Mid-Market AE</v>
      </c>
      <c r="Q1879" t="str">
        <f>_xlfn.XLOOKUP(Pipeline_tbl[[#This Row],[Rep_ID]],Dim_Reps!A:A,Dim_Reps!D:D)</f>
        <v>Mid-Market</v>
      </c>
      <c r="R1879" t="str">
        <f>_xlfn.XLOOKUP(Pipeline_tbl[[#This Row],[Rep_ID]],Dim_Reps!A:A,Dim_Reps!E:E)</f>
        <v>EMEA</v>
      </c>
      <c r="S1879" t="str">
        <f>_xlfn.XLOOKUP(Pipeline_tbl[[#This Row],[Created_Date]],Dim_Date!A:A,Dim_Date!H:H)</f>
        <v>Nov 2024</v>
      </c>
      <c r="T1879" t="str">
        <f>IF(Pipeline_tbl[[#This Row],[Closed_Date]]=0,"",(_xlfn.XLOOKUP(Pipeline_tbl[[#This Row],[Closed_Date]],Dim_Date!A:A,Dim_Date!H:H)))</f>
        <v>Dec 2024</v>
      </c>
      <c r="U1879">
        <f>IF(Pipeline_tbl[[#This Row],[Closed_Date]]=0,"",Pipeline_tbl[[#This Row],[Closed_Date]]-Pipeline_tbl[[#This Row],[Created_Date]])</f>
        <v>54</v>
      </c>
    </row>
    <row r="1880" spans="1:21" ht="15" customHeight="1" x14ac:dyDescent="0.2">
      <c r="A1880" t="s">
        <v>2186</v>
      </c>
      <c r="B1880" t="s">
        <v>259</v>
      </c>
      <c r="C1880" t="s">
        <v>53</v>
      </c>
      <c r="D1880" s="49">
        <v>45605</v>
      </c>
      <c r="E1880" s="49">
        <v>45608</v>
      </c>
      <c r="F1880" s="49">
        <v>45614</v>
      </c>
      <c r="I1880" s="49">
        <v>45634</v>
      </c>
      <c r="J1880" t="s">
        <v>49</v>
      </c>
      <c r="K1880" s="33">
        <v>9300</v>
      </c>
      <c r="L1880" t="s">
        <v>62</v>
      </c>
      <c r="M1880" t="str">
        <f>_xlfn.XLOOKUP(Pipeline_tbl[[#This Row],[Rep_ID]],Dim_Reps!A:A,Dim_Reps!K:K)</f>
        <v>EUR</v>
      </c>
      <c r="N1880" s="33">
        <f>(_xlfn.XLOOKUP(Pipeline_tbl[[#This Row],[Rate_Code_Generalized]],Lookups!A:A,Lookups!B:B))*Pipeline_tbl[[#This Row],[Pipeline_Amount_USD]]</f>
        <v>9300</v>
      </c>
      <c r="O1880" t="str">
        <f>_xlfn.XLOOKUP(Pipeline_tbl[[#This Row],[Rep_ID]],Dim_Reps!A:A,Dim_Reps!B:B)</f>
        <v>Felix Okafor</v>
      </c>
      <c r="P1880" t="str">
        <f>_xlfn.XLOOKUP(Pipeline_tbl[[#This Row],[Rep_ID]],Dim_Reps!A:A,Dim_Reps!C:C)</f>
        <v>Mid-Market AE</v>
      </c>
      <c r="Q1880" t="str">
        <f>_xlfn.XLOOKUP(Pipeline_tbl[[#This Row],[Rep_ID]],Dim_Reps!A:A,Dim_Reps!D:D)</f>
        <v>Mid-Market</v>
      </c>
      <c r="R1880" t="str">
        <f>_xlfn.XLOOKUP(Pipeline_tbl[[#This Row],[Rep_ID]],Dim_Reps!A:A,Dim_Reps!E:E)</f>
        <v>EMEA</v>
      </c>
      <c r="S1880" t="str">
        <f>_xlfn.XLOOKUP(Pipeline_tbl[[#This Row],[Created_Date]],Dim_Date!A:A,Dim_Date!H:H)</f>
        <v>Nov 2024</v>
      </c>
      <c r="T1880" t="str">
        <f>IF(Pipeline_tbl[[#This Row],[Closed_Date]]=0,"",(_xlfn.XLOOKUP(Pipeline_tbl[[#This Row],[Closed_Date]],Dim_Date!A:A,Dim_Date!H:H)))</f>
        <v>Dec 2024</v>
      </c>
      <c r="U1880">
        <f>IF(Pipeline_tbl[[#This Row],[Closed_Date]]=0,"",Pipeline_tbl[[#This Row],[Closed_Date]]-Pipeline_tbl[[#This Row],[Created_Date]])</f>
        <v>29</v>
      </c>
    </row>
    <row r="1881" spans="1:21" ht="15" customHeight="1" x14ac:dyDescent="0.2">
      <c r="A1881" t="s">
        <v>2187</v>
      </c>
      <c r="B1881" t="s">
        <v>259</v>
      </c>
      <c r="C1881" t="s">
        <v>52</v>
      </c>
      <c r="D1881" s="49">
        <v>45626</v>
      </c>
      <c r="E1881" s="49">
        <v>45629</v>
      </c>
      <c r="F1881" s="49">
        <v>45634</v>
      </c>
      <c r="G1881" s="49">
        <v>45642</v>
      </c>
      <c r="I1881" s="49">
        <v>45653</v>
      </c>
      <c r="J1881" t="s">
        <v>49</v>
      </c>
      <c r="K1881" s="33">
        <v>37200</v>
      </c>
      <c r="L1881" t="s">
        <v>61</v>
      </c>
      <c r="M1881" t="str">
        <f>_xlfn.XLOOKUP(Pipeline_tbl[[#This Row],[Rep_ID]],Dim_Reps!A:A,Dim_Reps!K:K)</f>
        <v>EUR</v>
      </c>
      <c r="N1881" s="33">
        <f>(_xlfn.XLOOKUP(Pipeline_tbl[[#This Row],[Rate_Code_Generalized]],Lookups!A:A,Lookups!B:B))*Pipeline_tbl[[#This Row],[Pipeline_Amount_USD]]</f>
        <v>37200</v>
      </c>
      <c r="O1881" t="str">
        <f>_xlfn.XLOOKUP(Pipeline_tbl[[#This Row],[Rep_ID]],Dim_Reps!A:A,Dim_Reps!B:B)</f>
        <v>Felix Okafor</v>
      </c>
      <c r="P1881" t="str">
        <f>_xlfn.XLOOKUP(Pipeline_tbl[[#This Row],[Rep_ID]],Dim_Reps!A:A,Dim_Reps!C:C)</f>
        <v>Mid-Market AE</v>
      </c>
      <c r="Q1881" t="str">
        <f>_xlfn.XLOOKUP(Pipeline_tbl[[#This Row],[Rep_ID]],Dim_Reps!A:A,Dim_Reps!D:D)</f>
        <v>Mid-Market</v>
      </c>
      <c r="R1881" t="str">
        <f>_xlfn.XLOOKUP(Pipeline_tbl[[#This Row],[Rep_ID]],Dim_Reps!A:A,Dim_Reps!E:E)</f>
        <v>EMEA</v>
      </c>
      <c r="S1881" t="str">
        <f>_xlfn.XLOOKUP(Pipeline_tbl[[#This Row],[Created_Date]],Dim_Date!A:A,Dim_Date!H:H)</f>
        <v>Nov 2024</v>
      </c>
      <c r="T1881" t="str">
        <f>IF(Pipeline_tbl[[#This Row],[Closed_Date]]=0,"",(_xlfn.XLOOKUP(Pipeline_tbl[[#This Row],[Closed_Date]],Dim_Date!A:A,Dim_Date!H:H)))</f>
        <v>Dec 2024</v>
      </c>
      <c r="U1881">
        <f>IF(Pipeline_tbl[[#This Row],[Closed_Date]]=0,"",Pipeline_tbl[[#This Row],[Closed_Date]]-Pipeline_tbl[[#This Row],[Created_Date]])</f>
        <v>27</v>
      </c>
    </row>
    <row r="1882" spans="1:21" ht="15" customHeight="1" x14ac:dyDescent="0.2">
      <c r="A1882" t="s">
        <v>2188</v>
      </c>
      <c r="B1882" t="s">
        <v>225</v>
      </c>
      <c r="C1882" t="s">
        <v>55</v>
      </c>
      <c r="D1882" s="49">
        <v>45606</v>
      </c>
      <c r="E1882" s="49">
        <v>45609</v>
      </c>
      <c r="F1882" s="49">
        <v>45614</v>
      </c>
      <c r="G1882" s="49">
        <v>45622</v>
      </c>
      <c r="H1882" s="49">
        <v>45628</v>
      </c>
      <c r="I1882" s="49">
        <v>45632</v>
      </c>
      <c r="J1882" t="s">
        <v>47</v>
      </c>
      <c r="K1882" s="33">
        <v>4000</v>
      </c>
      <c r="M1882" t="str">
        <f>_xlfn.XLOOKUP(Pipeline_tbl[[#This Row],[Rep_ID]],Dim_Reps!A:A,Dim_Reps!K:K)</f>
        <v>USD</v>
      </c>
      <c r="N1882" s="33">
        <f>(_xlfn.XLOOKUP(Pipeline_tbl[[#This Row],[Rate_Code_Generalized]],Lookups!A:A,Lookups!B:B))*Pipeline_tbl[[#This Row],[Pipeline_Amount_USD]]</f>
        <v>4657.2</v>
      </c>
      <c r="O1882" t="str">
        <f>_xlfn.XLOOKUP(Pipeline_tbl[[#This Row],[Rep_ID]],Dim_Reps!A:A,Dim_Reps!B:B)</f>
        <v>Alex Muller</v>
      </c>
      <c r="P1882" t="str">
        <f>_xlfn.XLOOKUP(Pipeline_tbl[[#This Row],[Rep_ID]],Dim_Reps!A:A,Dim_Reps!C:C)</f>
        <v>SDR / Inside Sales Rep</v>
      </c>
      <c r="Q1882" t="str">
        <f>_xlfn.XLOOKUP(Pipeline_tbl[[#This Row],[Rep_ID]],Dim_Reps!A:A,Dim_Reps!D:D)</f>
        <v>Inside Sales</v>
      </c>
      <c r="R1882" t="str">
        <f>_xlfn.XLOOKUP(Pipeline_tbl[[#This Row],[Rep_ID]],Dim_Reps!A:A,Dim_Reps!E:E)</f>
        <v>NAMER</v>
      </c>
      <c r="S1882" t="str">
        <f>_xlfn.XLOOKUP(Pipeline_tbl[[#This Row],[Created_Date]],Dim_Date!A:A,Dim_Date!H:H)</f>
        <v>Nov 2024</v>
      </c>
      <c r="T1882" t="str">
        <f>IF(Pipeline_tbl[[#This Row],[Closed_Date]]=0,"",(_xlfn.XLOOKUP(Pipeline_tbl[[#This Row],[Closed_Date]],Dim_Date!A:A,Dim_Date!H:H)))</f>
        <v>Dec 2024</v>
      </c>
      <c r="U1882">
        <f>IF(Pipeline_tbl[[#This Row],[Closed_Date]]=0,"",Pipeline_tbl[[#This Row],[Closed_Date]]-Pipeline_tbl[[#This Row],[Created_Date]])</f>
        <v>26</v>
      </c>
    </row>
    <row r="1883" spans="1:21" ht="15" customHeight="1" x14ac:dyDescent="0.2">
      <c r="A1883" t="s">
        <v>2189</v>
      </c>
      <c r="B1883" t="s">
        <v>225</v>
      </c>
      <c r="C1883" t="s">
        <v>53</v>
      </c>
      <c r="D1883" s="49">
        <v>45621</v>
      </c>
      <c r="E1883" s="49">
        <v>45622</v>
      </c>
      <c r="F1883" s="49">
        <v>45623</v>
      </c>
      <c r="G1883" s="49">
        <v>45626</v>
      </c>
      <c r="H1883" s="49">
        <v>45628</v>
      </c>
      <c r="I1883" s="49">
        <v>45629</v>
      </c>
      <c r="J1883" t="s">
        <v>47</v>
      </c>
      <c r="K1883" s="33">
        <v>2900</v>
      </c>
      <c r="M1883" t="str">
        <f>_xlfn.XLOOKUP(Pipeline_tbl[[#This Row],[Rep_ID]],Dim_Reps!A:A,Dim_Reps!K:K)</f>
        <v>USD</v>
      </c>
      <c r="N1883" s="33">
        <f>(_xlfn.XLOOKUP(Pipeline_tbl[[#This Row],[Rate_Code_Generalized]],Lookups!A:A,Lookups!B:B))*Pipeline_tbl[[#This Row],[Pipeline_Amount_USD]]</f>
        <v>3376.47</v>
      </c>
      <c r="O1883" t="str">
        <f>_xlfn.XLOOKUP(Pipeline_tbl[[#This Row],[Rep_ID]],Dim_Reps!A:A,Dim_Reps!B:B)</f>
        <v>Alex Muller</v>
      </c>
      <c r="P1883" t="str">
        <f>_xlfn.XLOOKUP(Pipeline_tbl[[#This Row],[Rep_ID]],Dim_Reps!A:A,Dim_Reps!C:C)</f>
        <v>SDR / Inside Sales Rep</v>
      </c>
      <c r="Q1883" t="str">
        <f>_xlfn.XLOOKUP(Pipeline_tbl[[#This Row],[Rep_ID]],Dim_Reps!A:A,Dim_Reps!D:D)</f>
        <v>Inside Sales</v>
      </c>
      <c r="R1883" t="str">
        <f>_xlfn.XLOOKUP(Pipeline_tbl[[#This Row],[Rep_ID]],Dim_Reps!A:A,Dim_Reps!E:E)</f>
        <v>NAMER</v>
      </c>
      <c r="S1883" t="str">
        <f>_xlfn.XLOOKUP(Pipeline_tbl[[#This Row],[Created_Date]],Dim_Date!A:A,Dim_Date!H:H)</f>
        <v>Nov 2024</v>
      </c>
      <c r="T1883" t="str">
        <f>IF(Pipeline_tbl[[#This Row],[Closed_Date]]=0,"",(_xlfn.XLOOKUP(Pipeline_tbl[[#This Row],[Closed_Date]],Dim_Date!A:A,Dim_Date!H:H)))</f>
        <v>Dec 2024</v>
      </c>
      <c r="U1883">
        <f>IF(Pipeline_tbl[[#This Row],[Closed_Date]]=0,"",Pipeline_tbl[[#This Row],[Closed_Date]]-Pipeline_tbl[[#This Row],[Created_Date]])</f>
        <v>8</v>
      </c>
    </row>
    <row r="1884" spans="1:21" ht="15" customHeight="1" x14ac:dyDescent="0.2">
      <c r="A1884" t="s">
        <v>2190</v>
      </c>
      <c r="B1884" t="s">
        <v>225</v>
      </c>
      <c r="C1884" t="s">
        <v>52</v>
      </c>
      <c r="D1884" s="49">
        <v>45620</v>
      </c>
      <c r="E1884" s="49">
        <v>45622</v>
      </c>
      <c r="I1884" s="49">
        <v>45637</v>
      </c>
      <c r="J1884" t="s">
        <v>49</v>
      </c>
      <c r="K1884" s="33">
        <v>3200</v>
      </c>
      <c r="L1884" t="s">
        <v>64</v>
      </c>
      <c r="M1884" t="str">
        <f>_xlfn.XLOOKUP(Pipeline_tbl[[#This Row],[Rep_ID]],Dim_Reps!A:A,Dim_Reps!K:K)</f>
        <v>USD</v>
      </c>
      <c r="N1884" s="33">
        <f>(_xlfn.XLOOKUP(Pipeline_tbl[[#This Row],[Rate_Code_Generalized]],Lookups!A:A,Lookups!B:B))*Pipeline_tbl[[#This Row],[Pipeline_Amount_USD]]</f>
        <v>3725.7599999999998</v>
      </c>
      <c r="O1884" t="str">
        <f>_xlfn.XLOOKUP(Pipeline_tbl[[#This Row],[Rep_ID]],Dim_Reps!A:A,Dim_Reps!B:B)</f>
        <v>Alex Muller</v>
      </c>
      <c r="P1884" t="str">
        <f>_xlfn.XLOOKUP(Pipeline_tbl[[#This Row],[Rep_ID]],Dim_Reps!A:A,Dim_Reps!C:C)</f>
        <v>SDR / Inside Sales Rep</v>
      </c>
      <c r="Q1884" t="str">
        <f>_xlfn.XLOOKUP(Pipeline_tbl[[#This Row],[Rep_ID]],Dim_Reps!A:A,Dim_Reps!D:D)</f>
        <v>Inside Sales</v>
      </c>
      <c r="R1884" t="str">
        <f>_xlfn.XLOOKUP(Pipeline_tbl[[#This Row],[Rep_ID]],Dim_Reps!A:A,Dim_Reps!E:E)</f>
        <v>NAMER</v>
      </c>
      <c r="S1884" t="str">
        <f>_xlfn.XLOOKUP(Pipeline_tbl[[#This Row],[Created_Date]],Dim_Date!A:A,Dim_Date!H:H)</f>
        <v>Nov 2024</v>
      </c>
      <c r="T1884" t="str">
        <f>IF(Pipeline_tbl[[#This Row],[Closed_Date]]=0,"",(_xlfn.XLOOKUP(Pipeline_tbl[[#This Row],[Closed_Date]],Dim_Date!A:A,Dim_Date!H:H)))</f>
        <v>Dec 2024</v>
      </c>
      <c r="U1884">
        <f>IF(Pipeline_tbl[[#This Row],[Closed_Date]]=0,"",Pipeline_tbl[[#This Row],[Closed_Date]]-Pipeline_tbl[[#This Row],[Created_Date]])</f>
        <v>17</v>
      </c>
    </row>
    <row r="1885" spans="1:21" ht="15" customHeight="1" x14ac:dyDescent="0.2">
      <c r="A1885" t="s">
        <v>2191</v>
      </c>
      <c r="B1885" t="s">
        <v>225</v>
      </c>
      <c r="C1885" t="s">
        <v>55</v>
      </c>
      <c r="D1885" s="49">
        <v>45625</v>
      </c>
      <c r="E1885" s="49">
        <v>45626</v>
      </c>
      <c r="I1885" s="49">
        <v>45638</v>
      </c>
      <c r="J1885" t="s">
        <v>49</v>
      </c>
      <c r="K1885" s="33">
        <v>4100</v>
      </c>
      <c r="L1885" t="s">
        <v>64</v>
      </c>
      <c r="M1885" t="str">
        <f>_xlfn.XLOOKUP(Pipeline_tbl[[#This Row],[Rep_ID]],Dim_Reps!A:A,Dim_Reps!K:K)</f>
        <v>USD</v>
      </c>
      <c r="N1885" s="33">
        <f>(_xlfn.XLOOKUP(Pipeline_tbl[[#This Row],[Rate_Code_Generalized]],Lookups!A:A,Lookups!B:B))*Pipeline_tbl[[#This Row],[Pipeline_Amount_USD]]</f>
        <v>4773.6299999999992</v>
      </c>
      <c r="O1885" t="str">
        <f>_xlfn.XLOOKUP(Pipeline_tbl[[#This Row],[Rep_ID]],Dim_Reps!A:A,Dim_Reps!B:B)</f>
        <v>Alex Muller</v>
      </c>
      <c r="P1885" t="str">
        <f>_xlfn.XLOOKUP(Pipeline_tbl[[#This Row],[Rep_ID]],Dim_Reps!A:A,Dim_Reps!C:C)</f>
        <v>SDR / Inside Sales Rep</v>
      </c>
      <c r="Q1885" t="str">
        <f>_xlfn.XLOOKUP(Pipeline_tbl[[#This Row],[Rep_ID]],Dim_Reps!A:A,Dim_Reps!D:D)</f>
        <v>Inside Sales</v>
      </c>
      <c r="R1885" t="str">
        <f>_xlfn.XLOOKUP(Pipeline_tbl[[#This Row],[Rep_ID]],Dim_Reps!A:A,Dim_Reps!E:E)</f>
        <v>NAMER</v>
      </c>
      <c r="S1885" t="str">
        <f>_xlfn.XLOOKUP(Pipeline_tbl[[#This Row],[Created_Date]],Dim_Date!A:A,Dim_Date!H:H)</f>
        <v>Nov 2024</v>
      </c>
      <c r="T1885" t="str">
        <f>IF(Pipeline_tbl[[#This Row],[Closed_Date]]=0,"",(_xlfn.XLOOKUP(Pipeline_tbl[[#This Row],[Closed_Date]],Dim_Date!A:A,Dim_Date!H:H)))</f>
        <v>Dec 2024</v>
      </c>
      <c r="U1885">
        <f>IF(Pipeline_tbl[[#This Row],[Closed_Date]]=0,"",Pipeline_tbl[[#This Row],[Closed_Date]]-Pipeline_tbl[[#This Row],[Created_Date]])</f>
        <v>13</v>
      </c>
    </row>
    <row r="1886" spans="1:21" ht="15" customHeight="1" x14ac:dyDescent="0.2">
      <c r="A1886" t="s">
        <v>2192</v>
      </c>
      <c r="B1886" t="s">
        <v>225</v>
      </c>
      <c r="C1886" t="s">
        <v>52</v>
      </c>
      <c r="D1886" s="49">
        <v>45614</v>
      </c>
      <c r="E1886" s="49">
        <v>45615</v>
      </c>
      <c r="F1886" s="49">
        <v>45618</v>
      </c>
      <c r="G1886" s="49">
        <v>45622</v>
      </c>
      <c r="H1886" s="49">
        <v>45625</v>
      </c>
      <c r="I1886" s="49">
        <v>45627</v>
      </c>
      <c r="J1886" t="s">
        <v>49</v>
      </c>
      <c r="K1886" s="33">
        <v>3200</v>
      </c>
      <c r="L1886" t="s">
        <v>63</v>
      </c>
      <c r="M1886" t="str">
        <f>_xlfn.XLOOKUP(Pipeline_tbl[[#This Row],[Rep_ID]],Dim_Reps!A:A,Dim_Reps!K:K)</f>
        <v>USD</v>
      </c>
      <c r="N1886" s="33">
        <f>(_xlfn.XLOOKUP(Pipeline_tbl[[#This Row],[Rate_Code_Generalized]],Lookups!A:A,Lookups!B:B))*Pipeline_tbl[[#This Row],[Pipeline_Amount_USD]]</f>
        <v>3725.7599999999998</v>
      </c>
      <c r="O1886" t="str">
        <f>_xlfn.XLOOKUP(Pipeline_tbl[[#This Row],[Rep_ID]],Dim_Reps!A:A,Dim_Reps!B:B)</f>
        <v>Alex Muller</v>
      </c>
      <c r="P1886" t="str">
        <f>_xlfn.XLOOKUP(Pipeline_tbl[[#This Row],[Rep_ID]],Dim_Reps!A:A,Dim_Reps!C:C)</f>
        <v>SDR / Inside Sales Rep</v>
      </c>
      <c r="Q1886" t="str">
        <f>_xlfn.XLOOKUP(Pipeline_tbl[[#This Row],[Rep_ID]],Dim_Reps!A:A,Dim_Reps!D:D)</f>
        <v>Inside Sales</v>
      </c>
      <c r="R1886" t="str">
        <f>_xlfn.XLOOKUP(Pipeline_tbl[[#This Row],[Rep_ID]],Dim_Reps!A:A,Dim_Reps!E:E)</f>
        <v>NAMER</v>
      </c>
      <c r="S1886" t="str">
        <f>_xlfn.XLOOKUP(Pipeline_tbl[[#This Row],[Created_Date]],Dim_Date!A:A,Dim_Date!H:H)</f>
        <v>Nov 2024</v>
      </c>
      <c r="T1886" t="str">
        <f>IF(Pipeline_tbl[[#This Row],[Closed_Date]]=0,"",(_xlfn.XLOOKUP(Pipeline_tbl[[#This Row],[Closed_Date]],Dim_Date!A:A,Dim_Date!H:H)))</f>
        <v>Dec 2024</v>
      </c>
      <c r="U1886">
        <f>IF(Pipeline_tbl[[#This Row],[Closed_Date]]=0,"",Pipeline_tbl[[#This Row],[Closed_Date]]-Pipeline_tbl[[#This Row],[Created_Date]])</f>
        <v>13</v>
      </c>
    </row>
    <row r="1887" spans="1:21" ht="15" customHeight="1" x14ac:dyDescent="0.2">
      <c r="A1887" t="s">
        <v>2193</v>
      </c>
      <c r="B1887" t="s">
        <v>225</v>
      </c>
      <c r="C1887" t="s">
        <v>53</v>
      </c>
      <c r="D1887" s="49">
        <v>45625</v>
      </c>
      <c r="E1887" s="49">
        <v>45627</v>
      </c>
      <c r="F1887" s="49">
        <v>45632</v>
      </c>
      <c r="G1887" s="49">
        <v>45639</v>
      </c>
      <c r="H1887" s="49">
        <v>45645</v>
      </c>
      <c r="I1887" s="49">
        <v>45648</v>
      </c>
      <c r="J1887" t="s">
        <v>47</v>
      </c>
      <c r="K1887" s="33">
        <v>3300</v>
      </c>
      <c r="M1887" t="str">
        <f>_xlfn.XLOOKUP(Pipeline_tbl[[#This Row],[Rep_ID]],Dim_Reps!A:A,Dim_Reps!K:K)</f>
        <v>USD</v>
      </c>
      <c r="N1887" s="33">
        <f>(_xlfn.XLOOKUP(Pipeline_tbl[[#This Row],[Rate_Code_Generalized]],Lookups!A:A,Lookups!B:B))*Pipeline_tbl[[#This Row],[Pipeline_Amount_USD]]</f>
        <v>3842.1899999999996</v>
      </c>
      <c r="O1887" t="str">
        <f>_xlfn.XLOOKUP(Pipeline_tbl[[#This Row],[Rep_ID]],Dim_Reps!A:A,Dim_Reps!B:B)</f>
        <v>Alex Muller</v>
      </c>
      <c r="P1887" t="str">
        <f>_xlfn.XLOOKUP(Pipeline_tbl[[#This Row],[Rep_ID]],Dim_Reps!A:A,Dim_Reps!C:C)</f>
        <v>SDR / Inside Sales Rep</v>
      </c>
      <c r="Q1887" t="str">
        <f>_xlfn.XLOOKUP(Pipeline_tbl[[#This Row],[Rep_ID]],Dim_Reps!A:A,Dim_Reps!D:D)</f>
        <v>Inside Sales</v>
      </c>
      <c r="R1887" t="str">
        <f>_xlfn.XLOOKUP(Pipeline_tbl[[#This Row],[Rep_ID]],Dim_Reps!A:A,Dim_Reps!E:E)</f>
        <v>NAMER</v>
      </c>
      <c r="S1887" t="str">
        <f>_xlfn.XLOOKUP(Pipeline_tbl[[#This Row],[Created_Date]],Dim_Date!A:A,Dim_Date!H:H)</f>
        <v>Nov 2024</v>
      </c>
      <c r="T1887" t="str">
        <f>IF(Pipeline_tbl[[#This Row],[Closed_Date]]=0,"",(_xlfn.XLOOKUP(Pipeline_tbl[[#This Row],[Closed_Date]],Dim_Date!A:A,Dim_Date!H:H)))</f>
        <v>Dec 2024</v>
      </c>
      <c r="U1887">
        <f>IF(Pipeline_tbl[[#This Row],[Closed_Date]]=0,"",Pipeline_tbl[[#This Row],[Closed_Date]]-Pipeline_tbl[[#This Row],[Created_Date]])</f>
        <v>23</v>
      </c>
    </row>
    <row r="1888" spans="1:21" ht="15" customHeight="1" x14ac:dyDescent="0.2">
      <c r="A1888" t="s">
        <v>2194</v>
      </c>
      <c r="B1888" t="s">
        <v>227</v>
      </c>
      <c r="C1888" t="s">
        <v>56</v>
      </c>
      <c r="D1888" s="49">
        <v>45626</v>
      </c>
      <c r="E1888" s="49">
        <v>45628</v>
      </c>
      <c r="I1888" s="49">
        <v>45647</v>
      </c>
      <c r="J1888" t="s">
        <v>49</v>
      </c>
      <c r="K1888" s="33">
        <v>4400</v>
      </c>
      <c r="L1888" t="s">
        <v>62</v>
      </c>
      <c r="M1888" t="str">
        <f>_xlfn.XLOOKUP(Pipeline_tbl[[#This Row],[Rep_ID]],Dim_Reps!A:A,Dim_Reps!K:K)</f>
        <v>EUR</v>
      </c>
      <c r="N1888" s="33">
        <f>(_xlfn.XLOOKUP(Pipeline_tbl[[#This Row],[Rate_Code_Generalized]],Lookups!A:A,Lookups!B:B))*Pipeline_tbl[[#This Row],[Pipeline_Amount_USD]]</f>
        <v>4400</v>
      </c>
      <c r="O1888" t="str">
        <f>_xlfn.XLOOKUP(Pipeline_tbl[[#This Row],[Rep_ID]],Dim_Reps!A:A,Dim_Reps!B:B)</f>
        <v>Liam Muller</v>
      </c>
      <c r="P1888" t="str">
        <f>_xlfn.XLOOKUP(Pipeline_tbl[[#This Row],[Rep_ID]],Dim_Reps!A:A,Dim_Reps!C:C)</f>
        <v>SDR / Inside Sales Rep</v>
      </c>
      <c r="Q1888" t="str">
        <f>_xlfn.XLOOKUP(Pipeline_tbl[[#This Row],[Rep_ID]],Dim_Reps!A:A,Dim_Reps!D:D)</f>
        <v>Inside Sales</v>
      </c>
      <c r="R1888" t="str">
        <f>_xlfn.XLOOKUP(Pipeline_tbl[[#This Row],[Rep_ID]],Dim_Reps!A:A,Dim_Reps!E:E)</f>
        <v>EMEA</v>
      </c>
      <c r="S1888" t="str">
        <f>_xlfn.XLOOKUP(Pipeline_tbl[[#This Row],[Created_Date]],Dim_Date!A:A,Dim_Date!H:H)</f>
        <v>Nov 2024</v>
      </c>
      <c r="T1888" t="str">
        <f>IF(Pipeline_tbl[[#This Row],[Closed_Date]]=0,"",(_xlfn.XLOOKUP(Pipeline_tbl[[#This Row],[Closed_Date]],Dim_Date!A:A,Dim_Date!H:H)))</f>
        <v>Dec 2024</v>
      </c>
      <c r="U1888">
        <f>IF(Pipeline_tbl[[#This Row],[Closed_Date]]=0,"",Pipeline_tbl[[#This Row],[Closed_Date]]-Pipeline_tbl[[#This Row],[Created_Date]])</f>
        <v>21</v>
      </c>
    </row>
    <row r="1889" spans="1:21" ht="15" customHeight="1" x14ac:dyDescent="0.2">
      <c r="A1889" t="s">
        <v>2195</v>
      </c>
      <c r="B1889" t="s">
        <v>227</v>
      </c>
      <c r="C1889" t="s">
        <v>53</v>
      </c>
      <c r="D1889" s="49">
        <v>45620</v>
      </c>
      <c r="E1889" s="49">
        <v>45622</v>
      </c>
      <c r="I1889" s="49">
        <v>45635</v>
      </c>
      <c r="J1889" t="s">
        <v>49</v>
      </c>
      <c r="K1889" s="33">
        <v>1500</v>
      </c>
      <c r="L1889" t="s">
        <v>61</v>
      </c>
      <c r="M1889" t="str">
        <f>_xlfn.XLOOKUP(Pipeline_tbl[[#This Row],[Rep_ID]],Dim_Reps!A:A,Dim_Reps!K:K)</f>
        <v>EUR</v>
      </c>
      <c r="N1889" s="33">
        <f>(_xlfn.XLOOKUP(Pipeline_tbl[[#This Row],[Rate_Code_Generalized]],Lookups!A:A,Lookups!B:B))*Pipeline_tbl[[#This Row],[Pipeline_Amount_USD]]</f>
        <v>1500</v>
      </c>
      <c r="O1889" t="str">
        <f>_xlfn.XLOOKUP(Pipeline_tbl[[#This Row],[Rep_ID]],Dim_Reps!A:A,Dim_Reps!B:B)</f>
        <v>Liam Muller</v>
      </c>
      <c r="P1889" t="str">
        <f>_xlfn.XLOOKUP(Pipeline_tbl[[#This Row],[Rep_ID]],Dim_Reps!A:A,Dim_Reps!C:C)</f>
        <v>SDR / Inside Sales Rep</v>
      </c>
      <c r="Q1889" t="str">
        <f>_xlfn.XLOOKUP(Pipeline_tbl[[#This Row],[Rep_ID]],Dim_Reps!A:A,Dim_Reps!D:D)</f>
        <v>Inside Sales</v>
      </c>
      <c r="R1889" t="str">
        <f>_xlfn.XLOOKUP(Pipeline_tbl[[#This Row],[Rep_ID]],Dim_Reps!A:A,Dim_Reps!E:E)</f>
        <v>EMEA</v>
      </c>
      <c r="S1889" t="str">
        <f>_xlfn.XLOOKUP(Pipeline_tbl[[#This Row],[Created_Date]],Dim_Date!A:A,Dim_Date!H:H)</f>
        <v>Nov 2024</v>
      </c>
      <c r="T1889" t="str">
        <f>IF(Pipeline_tbl[[#This Row],[Closed_Date]]=0,"",(_xlfn.XLOOKUP(Pipeline_tbl[[#This Row],[Closed_Date]],Dim_Date!A:A,Dim_Date!H:H)))</f>
        <v>Dec 2024</v>
      </c>
      <c r="U1889">
        <f>IF(Pipeline_tbl[[#This Row],[Closed_Date]]=0,"",Pipeline_tbl[[#This Row],[Closed_Date]]-Pipeline_tbl[[#This Row],[Created_Date]])</f>
        <v>15</v>
      </c>
    </row>
    <row r="1890" spans="1:21" ht="15" customHeight="1" x14ac:dyDescent="0.2">
      <c r="A1890" t="s">
        <v>2196</v>
      </c>
      <c r="B1890" t="s">
        <v>227</v>
      </c>
      <c r="C1890" t="s">
        <v>54</v>
      </c>
      <c r="D1890" s="49">
        <v>45613</v>
      </c>
      <c r="E1890" s="49">
        <v>45616</v>
      </c>
      <c r="F1890" s="49">
        <v>45621</v>
      </c>
      <c r="G1890" s="49">
        <v>45629</v>
      </c>
      <c r="H1890" s="49">
        <v>45635</v>
      </c>
      <c r="I1890" s="49">
        <v>45639</v>
      </c>
      <c r="J1890" t="s">
        <v>49</v>
      </c>
      <c r="K1890" s="33">
        <v>4100</v>
      </c>
      <c r="L1890" t="s">
        <v>64</v>
      </c>
      <c r="M1890" t="str">
        <f>_xlfn.XLOOKUP(Pipeline_tbl[[#This Row],[Rep_ID]],Dim_Reps!A:A,Dim_Reps!K:K)</f>
        <v>EUR</v>
      </c>
      <c r="N1890" s="33">
        <f>(_xlfn.XLOOKUP(Pipeline_tbl[[#This Row],[Rate_Code_Generalized]],Lookups!A:A,Lookups!B:B))*Pipeline_tbl[[#This Row],[Pipeline_Amount_USD]]</f>
        <v>4100</v>
      </c>
      <c r="O1890" t="str">
        <f>_xlfn.XLOOKUP(Pipeline_tbl[[#This Row],[Rep_ID]],Dim_Reps!A:A,Dim_Reps!B:B)</f>
        <v>Liam Muller</v>
      </c>
      <c r="P1890" t="str">
        <f>_xlfn.XLOOKUP(Pipeline_tbl[[#This Row],[Rep_ID]],Dim_Reps!A:A,Dim_Reps!C:C)</f>
        <v>SDR / Inside Sales Rep</v>
      </c>
      <c r="Q1890" t="str">
        <f>_xlfn.XLOOKUP(Pipeline_tbl[[#This Row],[Rep_ID]],Dim_Reps!A:A,Dim_Reps!D:D)</f>
        <v>Inside Sales</v>
      </c>
      <c r="R1890" t="str">
        <f>_xlfn.XLOOKUP(Pipeline_tbl[[#This Row],[Rep_ID]],Dim_Reps!A:A,Dim_Reps!E:E)</f>
        <v>EMEA</v>
      </c>
      <c r="S1890" t="str">
        <f>_xlfn.XLOOKUP(Pipeline_tbl[[#This Row],[Created_Date]],Dim_Date!A:A,Dim_Date!H:H)</f>
        <v>Nov 2024</v>
      </c>
      <c r="T1890" t="str">
        <f>IF(Pipeline_tbl[[#This Row],[Closed_Date]]=0,"",(_xlfn.XLOOKUP(Pipeline_tbl[[#This Row],[Closed_Date]],Dim_Date!A:A,Dim_Date!H:H)))</f>
        <v>Dec 2024</v>
      </c>
      <c r="U1890">
        <f>IF(Pipeline_tbl[[#This Row],[Closed_Date]]=0,"",Pipeline_tbl[[#This Row],[Closed_Date]]-Pipeline_tbl[[#This Row],[Created_Date]])</f>
        <v>26</v>
      </c>
    </row>
    <row r="1891" spans="1:21" ht="15" customHeight="1" x14ac:dyDescent="0.2">
      <c r="A1891" t="s">
        <v>2197</v>
      </c>
      <c r="B1891" t="s">
        <v>227</v>
      </c>
      <c r="C1891" t="s">
        <v>55</v>
      </c>
      <c r="D1891" s="49">
        <v>45614</v>
      </c>
      <c r="E1891" s="49">
        <v>45616</v>
      </c>
      <c r="F1891" s="49">
        <v>45619</v>
      </c>
      <c r="G1891" s="49">
        <v>45624</v>
      </c>
      <c r="H1891" s="49">
        <v>45628</v>
      </c>
      <c r="I1891" s="49">
        <v>45630</v>
      </c>
      <c r="J1891" t="s">
        <v>47</v>
      </c>
      <c r="K1891" s="33">
        <v>2100</v>
      </c>
      <c r="M1891" t="str">
        <f>_xlfn.XLOOKUP(Pipeline_tbl[[#This Row],[Rep_ID]],Dim_Reps!A:A,Dim_Reps!K:K)</f>
        <v>EUR</v>
      </c>
      <c r="N1891" s="33">
        <f>(_xlfn.XLOOKUP(Pipeline_tbl[[#This Row],[Rate_Code_Generalized]],Lookups!A:A,Lookups!B:B))*Pipeline_tbl[[#This Row],[Pipeline_Amount_USD]]</f>
        <v>2100</v>
      </c>
      <c r="O1891" t="str">
        <f>_xlfn.XLOOKUP(Pipeline_tbl[[#This Row],[Rep_ID]],Dim_Reps!A:A,Dim_Reps!B:B)</f>
        <v>Liam Muller</v>
      </c>
      <c r="P1891" t="str">
        <f>_xlfn.XLOOKUP(Pipeline_tbl[[#This Row],[Rep_ID]],Dim_Reps!A:A,Dim_Reps!C:C)</f>
        <v>SDR / Inside Sales Rep</v>
      </c>
      <c r="Q1891" t="str">
        <f>_xlfn.XLOOKUP(Pipeline_tbl[[#This Row],[Rep_ID]],Dim_Reps!A:A,Dim_Reps!D:D)</f>
        <v>Inside Sales</v>
      </c>
      <c r="R1891" t="str">
        <f>_xlfn.XLOOKUP(Pipeline_tbl[[#This Row],[Rep_ID]],Dim_Reps!A:A,Dim_Reps!E:E)</f>
        <v>EMEA</v>
      </c>
      <c r="S1891" t="str">
        <f>_xlfn.XLOOKUP(Pipeline_tbl[[#This Row],[Created_Date]],Dim_Date!A:A,Dim_Date!H:H)</f>
        <v>Nov 2024</v>
      </c>
      <c r="T1891" t="str">
        <f>IF(Pipeline_tbl[[#This Row],[Closed_Date]]=0,"",(_xlfn.XLOOKUP(Pipeline_tbl[[#This Row],[Closed_Date]],Dim_Date!A:A,Dim_Date!H:H)))</f>
        <v>Dec 2024</v>
      </c>
      <c r="U1891">
        <f>IF(Pipeline_tbl[[#This Row],[Closed_Date]]=0,"",Pipeline_tbl[[#This Row],[Closed_Date]]-Pipeline_tbl[[#This Row],[Created_Date]])</f>
        <v>16</v>
      </c>
    </row>
    <row r="1892" spans="1:21" ht="15" customHeight="1" x14ac:dyDescent="0.2">
      <c r="A1892" t="s">
        <v>2198</v>
      </c>
      <c r="B1892" t="s">
        <v>227</v>
      </c>
      <c r="C1892" t="s">
        <v>54</v>
      </c>
      <c r="D1892" s="49">
        <v>45607</v>
      </c>
      <c r="E1892" s="49">
        <v>45609</v>
      </c>
      <c r="F1892" s="49">
        <v>45615</v>
      </c>
      <c r="I1892" s="49">
        <v>45632</v>
      </c>
      <c r="J1892" t="s">
        <v>49</v>
      </c>
      <c r="K1892" s="33">
        <v>4200</v>
      </c>
      <c r="L1892" t="s">
        <v>60</v>
      </c>
      <c r="M1892" t="str">
        <f>_xlfn.XLOOKUP(Pipeline_tbl[[#This Row],[Rep_ID]],Dim_Reps!A:A,Dim_Reps!K:K)</f>
        <v>EUR</v>
      </c>
      <c r="N1892" s="33">
        <f>(_xlfn.XLOOKUP(Pipeline_tbl[[#This Row],[Rate_Code_Generalized]],Lookups!A:A,Lookups!B:B))*Pipeline_tbl[[#This Row],[Pipeline_Amount_USD]]</f>
        <v>4200</v>
      </c>
      <c r="O1892" t="str">
        <f>_xlfn.XLOOKUP(Pipeline_tbl[[#This Row],[Rep_ID]],Dim_Reps!A:A,Dim_Reps!B:B)</f>
        <v>Liam Muller</v>
      </c>
      <c r="P1892" t="str">
        <f>_xlfn.XLOOKUP(Pipeline_tbl[[#This Row],[Rep_ID]],Dim_Reps!A:A,Dim_Reps!C:C)</f>
        <v>SDR / Inside Sales Rep</v>
      </c>
      <c r="Q1892" t="str">
        <f>_xlfn.XLOOKUP(Pipeline_tbl[[#This Row],[Rep_ID]],Dim_Reps!A:A,Dim_Reps!D:D)</f>
        <v>Inside Sales</v>
      </c>
      <c r="R1892" t="str">
        <f>_xlfn.XLOOKUP(Pipeline_tbl[[#This Row],[Rep_ID]],Dim_Reps!A:A,Dim_Reps!E:E)</f>
        <v>EMEA</v>
      </c>
      <c r="S1892" t="str">
        <f>_xlfn.XLOOKUP(Pipeline_tbl[[#This Row],[Created_Date]],Dim_Date!A:A,Dim_Date!H:H)</f>
        <v>Nov 2024</v>
      </c>
      <c r="T1892" t="str">
        <f>IF(Pipeline_tbl[[#This Row],[Closed_Date]]=0,"",(_xlfn.XLOOKUP(Pipeline_tbl[[#This Row],[Closed_Date]],Dim_Date!A:A,Dim_Date!H:H)))</f>
        <v>Dec 2024</v>
      </c>
      <c r="U1892">
        <f>IF(Pipeline_tbl[[#This Row],[Closed_Date]]=0,"",Pipeline_tbl[[#This Row],[Closed_Date]]-Pipeline_tbl[[#This Row],[Created_Date]])</f>
        <v>25</v>
      </c>
    </row>
    <row r="1893" spans="1:21" ht="15" customHeight="1" x14ac:dyDescent="0.2">
      <c r="A1893" t="s">
        <v>2199</v>
      </c>
      <c r="B1893" t="s">
        <v>227</v>
      </c>
      <c r="C1893" t="s">
        <v>56</v>
      </c>
      <c r="D1893" s="49">
        <v>45614</v>
      </c>
      <c r="E1893" s="49">
        <v>45616</v>
      </c>
      <c r="F1893" s="49">
        <v>45621</v>
      </c>
      <c r="G1893" s="49">
        <v>45628</v>
      </c>
      <c r="I1893" s="49">
        <v>45638</v>
      </c>
      <c r="J1893" t="s">
        <v>49</v>
      </c>
      <c r="K1893" s="33">
        <v>5700</v>
      </c>
      <c r="L1893" t="s">
        <v>61</v>
      </c>
      <c r="M1893" t="str">
        <f>_xlfn.XLOOKUP(Pipeline_tbl[[#This Row],[Rep_ID]],Dim_Reps!A:A,Dim_Reps!K:K)</f>
        <v>EUR</v>
      </c>
      <c r="N1893" s="33">
        <f>(_xlfn.XLOOKUP(Pipeline_tbl[[#This Row],[Rate_Code_Generalized]],Lookups!A:A,Lookups!B:B))*Pipeline_tbl[[#This Row],[Pipeline_Amount_USD]]</f>
        <v>5700</v>
      </c>
      <c r="O1893" t="str">
        <f>_xlfn.XLOOKUP(Pipeline_tbl[[#This Row],[Rep_ID]],Dim_Reps!A:A,Dim_Reps!B:B)</f>
        <v>Liam Muller</v>
      </c>
      <c r="P1893" t="str">
        <f>_xlfn.XLOOKUP(Pipeline_tbl[[#This Row],[Rep_ID]],Dim_Reps!A:A,Dim_Reps!C:C)</f>
        <v>SDR / Inside Sales Rep</v>
      </c>
      <c r="Q1893" t="str">
        <f>_xlfn.XLOOKUP(Pipeline_tbl[[#This Row],[Rep_ID]],Dim_Reps!A:A,Dim_Reps!D:D)</f>
        <v>Inside Sales</v>
      </c>
      <c r="R1893" t="str">
        <f>_xlfn.XLOOKUP(Pipeline_tbl[[#This Row],[Rep_ID]],Dim_Reps!A:A,Dim_Reps!E:E)</f>
        <v>EMEA</v>
      </c>
      <c r="S1893" t="str">
        <f>_xlfn.XLOOKUP(Pipeline_tbl[[#This Row],[Created_Date]],Dim_Date!A:A,Dim_Date!H:H)</f>
        <v>Nov 2024</v>
      </c>
      <c r="T1893" t="str">
        <f>IF(Pipeline_tbl[[#This Row],[Closed_Date]]=0,"",(_xlfn.XLOOKUP(Pipeline_tbl[[#This Row],[Closed_Date]],Dim_Date!A:A,Dim_Date!H:H)))</f>
        <v>Dec 2024</v>
      </c>
      <c r="U1893">
        <f>IF(Pipeline_tbl[[#This Row],[Closed_Date]]=0,"",Pipeline_tbl[[#This Row],[Closed_Date]]-Pipeline_tbl[[#This Row],[Created_Date]])</f>
        <v>24</v>
      </c>
    </row>
    <row r="1894" spans="1:21" ht="15" customHeight="1" x14ac:dyDescent="0.2">
      <c r="A1894" t="s">
        <v>2200</v>
      </c>
      <c r="B1894" t="s">
        <v>227</v>
      </c>
      <c r="C1894" t="s">
        <v>54</v>
      </c>
      <c r="D1894" s="49">
        <v>45611</v>
      </c>
      <c r="E1894" s="49">
        <v>45613</v>
      </c>
      <c r="I1894" s="49">
        <v>45634</v>
      </c>
      <c r="J1894" t="s">
        <v>49</v>
      </c>
      <c r="K1894" s="33">
        <v>3700</v>
      </c>
      <c r="L1894" t="s">
        <v>60</v>
      </c>
      <c r="M1894" t="str">
        <f>_xlfn.XLOOKUP(Pipeline_tbl[[#This Row],[Rep_ID]],Dim_Reps!A:A,Dim_Reps!K:K)</f>
        <v>EUR</v>
      </c>
      <c r="N1894" s="33">
        <f>(_xlfn.XLOOKUP(Pipeline_tbl[[#This Row],[Rate_Code_Generalized]],Lookups!A:A,Lookups!B:B))*Pipeline_tbl[[#This Row],[Pipeline_Amount_USD]]</f>
        <v>3700</v>
      </c>
      <c r="O1894" t="str">
        <f>_xlfn.XLOOKUP(Pipeline_tbl[[#This Row],[Rep_ID]],Dim_Reps!A:A,Dim_Reps!B:B)</f>
        <v>Liam Muller</v>
      </c>
      <c r="P1894" t="str">
        <f>_xlfn.XLOOKUP(Pipeline_tbl[[#This Row],[Rep_ID]],Dim_Reps!A:A,Dim_Reps!C:C)</f>
        <v>SDR / Inside Sales Rep</v>
      </c>
      <c r="Q1894" t="str">
        <f>_xlfn.XLOOKUP(Pipeline_tbl[[#This Row],[Rep_ID]],Dim_Reps!A:A,Dim_Reps!D:D)</f>
        <v>Inside Sales</v>
      </c>
      <c r="R1894" t="str">
        <f>_xlfn.XLOOKUP(Pipeline_tbl[[#This Row],[Rep_ID]],Dim_Reps!A:A,Dim_Reps!E:E)</f>
        <v>EMEA</v>
      </c>
      <c r="S1894" t="str">
        <f>_xlfn.XLOOKUP(Pipeline_tbl[[#This Row],[Created_Date]],Dim_Date!A:A,Dim_Date!H:H)</f>
        <v>Nov 2024</v>
      </c>
      <c r="T1894" t="str">
        <f>IF(Pipeline_tbl[[#This Row],[Closed_Date]]=0,"",(_xlfn.XLOOKUP(Pipeline_tbl[[#This Row],[Closed_Date]],Dim_Date!A:A,Dim_Date!H:H)))</f>
        <v>Dec 2024</v>
      </c>
      <c r="U1894">
        <f>IF(Pipeline_tbl[[#This Row],[Closed_Date]]=0,"",Pipeline_tbl[[#This Row],[Closed_Date]]-Pipeline_tbl[[#This Row],[Created_Date]])</f>
        <v>23</v>
      </c>
    </row>
    <row r="1895" spans="1:21" ht="15" customHeight="1" x14ac:dyDescent="0.2">
      <c r="A1895" t="s">
        <v>2201</v>
      </c>
      <c r="B1895" t="s">
        <v>227</v>
      </c>
      <c r="C1895" t="s">
        <v>52</v>
      </c>
      <c r="D1895" s="49">
        <v>45622</v>
      </c>
      <c r="E1895" s="49">
        <v>45623</v>
      </c>
      <c r="F1895" s="49">
        <v>45626</v>
      </c>
      <c r="G1895" s="49">
        <v>45629</v>
      </c>
      <c r="H1895" s="49">
        <v>45632</v>
      </c>
      <c r="I1895" s="49">
        <v>45634</v>
      </c>
      <c r="J1895" t="s">
        <v>47</v>
      </c>
      <c r="K1895" s="33">
        <v>7300</v>
      </c>
      <c r="M1895" t="str">
        <f>_xlfn.XLOOKUP(Pipeline_tbl[[#This Row],[Rep_ID]],Dim_Reps!A:A,Dim_Reps!K:K)</f>
        <v>EUR</v>
      </c>
      <c r="N1895" s="33">
        <f>(_xlfn.XLOOKUP(Pipeline_tbl[[#This Row],[Rate_Code_Generalized]],Lookups!A:A,Lookups!B:B))*Pipeline_tbl[[#This Row],[Pipeline_Amount_USD]]</f>
        <v>7300</v>
      </c>
      <c r="O1895" t="str">
        <f>_xlfn.XLOOKUP(Pipeline_tbl[[#This Row],[Rep_ID]],Dim_Reps!A:A,Dim_Reps!B:B)</f>
        <v>Liam Muller</v>
      </c>
      <c r="P1895" t="str">
        <f>_xlfn.XLOOKUP(Pipeline_tbl[[#This Row],[Rep_ID]],Dim_Reps!A:A,Dim_Reps!C:C)</f>
        <v>SDR / Inside Sales Rep</v>
      </c>
      <c r="Q1895" t="str">
        <f>_xlfn.XLOOKUP(Pipeline_tbl[[#This Row],[Rep_ID]],Dim_Reps!A:A,Dim_Reps!D:D)</f>
        <v>Inside Sales</v>
      </c>
      <c r="R1895" t="str">
        <f>_xlfn.XLOOKUP(Pipeline_tbl[[#This Row],[Rep_ID]],Dim_Reps!A:A,Dim_Reps!E:E)</f>
        <v>EMEA</v>
      </c>
      <c r="S1895" t="str">
        <f>_xlfn.XLOOKUP(Pipeline_tbl[[#This Row],[Created_Date]],Dim_Date!A:A,Dim_Date!H:H)</f>
        <v>Nov 2024</v>
      </c>
      <c r="T1895" t="str">
        <f>IF(Pipeline_tbl[[#This Row],[Closed_Date]]=0,"",(_xlfn.XLOOKUP(Pipeline_tbl[[#This Row],[Closed_Date]],Dim_Date!A:A,Dim_Date!H:H)))</f>
        <v>Dec 2024</v>
      </c>
      <c r="U1895">
        <f>IF(Pipeline_tbl[[#This Row],[Closed_Date]]=0,"",Pipeline_tbl[[#This Row],[Closed_Date]]-Pipeline_tbl[[#This Row],[Created_Date]])</f>
        <v>12</v>
      </c>
    </row>
    <row r="1896" spans="1:21" ht="15" customHeight="1" x14ac:dyDescent="0.2">
      <c r="A1896" t="s">
        <v>2202</v>
      </c>
      <c r="B1896" t="s">
        <v>227</v>
      </c>
      <c r="C1896" t="s">
        <v>52</v>
      </c>
      <c r="D1896" s="49">
        <v>45609</v>
      </c>
      <c r="E1896" s="49">
        <v>45612</v>
      </c>
      <c r="F1896" s="49">
        <v>45617</v>
      </c>
      <c r="G1896" s="49">
        <v>45625</v>
      </c>
      <c r="I1896" s="49">
        <v>45635</v>
      </c>
      <c r="J1896" t="s">
        <v>49</v>
      </c>
      <c r="K1896" s="33">
        <v>3700</v>
      </c>
      <c r="L1896" t="s">
        <v>61</v>
      </c>
      <c r="M1896" t="str">
        <f>_xlfn.XLOOKUP(Pipeline_tbl[[#This Row],[Rep_ID]],Dim_Reps!A:A,Dim_Reps!K:K)</f>
        <v>EUR</v>
      </c>
      <c r="N1896" s="33">
        <f>(_xlfn.XLOOKUP(Pipeline_tbl[[#This Row],[Rate_Code_Generalized]],Lookups!A:A,Lookups!B:B))*Pipeline_tbl[[#This Row],[Pipeline_Amount_USD]]</f>
        <v>3700</v>
      </c>
      <c r="O1896" t="str">
        <f>_xlfn.XLOOKUP(Pipeline_tbl[[#This Row],[Rep_ID]],Dim_Reps!A:A,Dim_Reps!B:B)</f>
        <v>Liam Muller</v>
      </c>
      <c r="P1896" t="str">
        <f>_xlfn.XLOOKUP(Pipeline_tbl[[#This Row],[Rep_ID]],Dim_Reps!A:A,Dim_Reps!C:C)</f>
        <v>SDR / Inside Sales Rep</v>
      </c>
      <c r="Q1896" t="str">
        <f>_xlfn.XLOOKUP(Pipeline_tbl[[#This Row],[Rep_ID]],Dim_Reps!A:A,Dim_Reps!D:D)</f>
        <v>Inside Sales</v>
      </c>
      <c r="R1896" t="str">
        <f>_xlfn.XLOOKUP(Pipeline_tbl[[#This Row],[Rep_ID]],Dim_Reps!A:A,Dim_Reps!E:E)</f>
        <v>EMEA</v>
      </c>
      <c r="S1896" t="str">
        <f>_xlfn.XLOOKUP(Pipeline_tbl[[#This Row],[Created_Date]],Dim_Date!A:A,Dim_Date!H:H)</f>
        <v>Nov 2024</v>
      </c>
      <c r="T1896" t="str">
        <f>IF(Pipeline_tbl[[#This Row],[Closed_Date]]=0,"",(_xlfn.XLOOKUP(Pipeline_tbl[[#This Row],[Closed_Date]],Dim_Date!A:A,Dim_Date!H:H)))</f>
        <v>Dec 2024</v>
      </c>
      <c r="U1896">
        <f>IF(Pipeline_tbl[[#This Row],[Closed_Date]]=0,"",Pipeline_tbl[[#This Row],[Closed_Date]]-Pipeline_tbl[[#This Row],[Created_Date]])</f>
        <v>26</v>
      </c>
    </row>
    <row r="1897" spans="1:21" ht="15" customHeight="1" x14ac:dyDescent="0.2">
      <c r="A1897" t="s">
        <v>2203</v>
      </c>
      <c r="B1897" t="s">
        <v>227</v>
      </c>
      <c r="C1897" t="s">
        <v>53</v>
      </c>
      <c r="D1897" s="49">
        <v>45617</v>
      </c>
      <c r="E1897" s="49">
        <v>45619</v>
      </c>
      <c r="I1897" s="49">
        <v>45641</v>
      </c>
      <c r="J1897" t="s">
        <v>49</v>
      </c>
      <c r="K1897" s="33">
        <v>5000</v>
      </c>
      <c r="L1897" t="s">
        <v>60</v>
      </c>
      <c r="M1897" t="str">
        <f>_xlfn.XLOOKUP(Pipeline_tbl[[#This Row],[Rep_ID]],Dim_Reps!A:A,Dim_Reps!K:K)</f>
        <v>EUR</v>
      </c>
      <c r="N1897" s="33">
        <f>(_xlfn.XLOOKUP(Pipeline_tbl[[#This Row],[Rate_Code_Generalized]],Lookups!A:A,Lookups!B:B))*Pipeline_tbl[[#This Row],[Pipeline_Amount_USD]]</f>
        <v>5000</v>
      </c>
      <c r="O1897" t="str">
        <f>_xlfn.XLOOKUP(Pipeline_tbl[[#This Row],[Rep_ID]],Dim_Reps!A:A,Dim_Reps!B:B)</f>
        <v>Liam Muller</v>
      </c>
      <c r="P1897" t="str">
        <f>_xlfn.XLOOKUP(Pipeline_tbl[[#This Row],[Rep_ID]],Dim_Reps!A:A,Dim_Reps!C:C)</f>
        <v>SDR / Inside Sales Rep</v>
      </c>
      <c r="Q1897" t="str">
        <f>_xlfn.XLOOKUP(Pipeline_tbl[[#This Row],[Rep_ID]],Dim_Reps!A:A,Dim_Reps!D:D)</f>
        <v>Inside Sales</v>
      </c>
      <c r="R1897" t="str">
        <f>_xlfn.XLOOKUP(Pipeline_tbl[[#This Row],[Rep_ID]],Dim_Reps!A:A,Dim_Reps!E:E)</f>
        <v>EMEA</v>
      </c>
      <c r="S1897" t="str">
        <f>_xlfn.XLOOKUP(Pipeline_tbl[[#This Row],[Created_Date]],Dim_Date!A:A,Dim_Date!H:H)</f>
        <v>Nov 2024</v>
      </c>
      <c r="T1897" t="str">
        <f>IF(Pipeline_tbl[[#This Row],[Closed_Date]]=0,"",(_xlfn.XLOOKUP(Pipeline_tbl[[#This Row],[Closed_Date]],Dim_Date!A:A,Dim_Date!H:H)))</f>
        <v>Dec 2024</v>
      </c>
      <c r="U1897">
        <f>IF(Pipeline_tbl[[#This Row],[Closed_Date]]=0,"",Pipeline_tbl[[#This Row],[Closed_Date]]-Pipeline_tbl[[#This Row],[Created_Date]])</f>
        <v>24</v>
      </c>
    </row>
    <row r="1898" spans="1:21" ht="15" customHeight="1" x14ac:dyDescent="0.2">
      <c r="A1898" t="s">
        <v>2204</v>
      </c>
      <c r="B1898" t="s">
        <v>191</v>
      </c>
      <c r="C1898" t="s">
        <v>54</v>
      </c>
      <c r="D1898" s="49">
        <v>45612</v>
      </c>
      <c r="E1898" s="49">
        <v>45616</v>
      </c>
      <c r="F1898" s="49">
        <v>45624</v>
      </c>
      <c r="G1898" s="49">
        <v>45635</v>
      </c>
      <c r="I1898" s="49">
        <v>45651</v>
      </c>
      <c r="J1898" t="s">
        <v>49</v>
      </c>
      <c r="K1898" s="33">
        <v>54200</v>
      </c>
      <c r="L1898" t="s">
        <v>61</v>
      </c>
      <c r="M1898" t="str">
        <f>_xlfn.XLOOKUP(Pipeline_tbl[[#This Row],[Rep_ID]],Dim_Reps!A:A,Dim_Reps!K:K)</f>
        <v>USD</v>
      </c>
      <c r="N1898" s="33">
        <f>(_xlfn.XLOOKUP(Pipeline_tbl[[#This Row],[Rate_Code_Generalized]],Lookups!A:A,Lookups!B:B))*Pipeline_tbl[[#This Row],[Pipeline_Amount_USD]]</f>
        <v>63105.06</v>
      </c>
      <c r="O1898" t="str">
        <f>_xlfn.XLOOKUP(Pipeline_tbl[[#This Row],[Rep_ID]],Dim_Reps!A:A,Dim_Reps!B:B)</f>
        <v>Zara Duarte</v>
      </c>
      <c r="P1898" t="str">
        <f>_xlfn.XLOOKUP(Pipeline_tbl[[#This Row],[Rep_ID]],Dim_Reps!A:A,Dim_Reps!C:C)</f>
        <v>Enterprise AE</v>
      </c>
      <c r="Q1898" t="str">
        <f>_xlfn.XLOOKUP(Pipeline_tbl[[#This Row],[Rep_ID]],Dim_Reps!A:A,Dim_Reps!D:D)</f>
        <v>Enterprise</v>
      </c>
      <c r="R1898" t="str">
        <f>_xlfn.XLOOKUP(Pipeline_tbl[[#This Row],[Rep_ID]],Dim_Reps!A:A,Dim_Reps!E:E)</f>
        <v>NAMER</v>
      </c>
      <c r="S1898" t="str">
        <f>_xlfn.XLOOKUP(Pipeline_tbl[[#This Row],[Created_Date]],Dim_Date!A:A,Dim_Date!H:H)</f>
        <v>Nov 2024</v>
      </c>
      <c r="T1898" t="str">
        <f>IF(Pipeline_tbl[[#This Row],[Closed_Date]]=0,"",(_xlfn.XLOOKUP(Pipeline_tbl[[#This Row],[Closed_Date]],Dim_Date!A:A,Dim_Date!H:H)))</f>
        <v>Dec 2024</v>
      </c>
      <c r="U1898">
        <f>IF(Pipeline_tbl[[#This Row],[Closed_Date]]=0,"",Pipeline_tbl[[#This Row],[Closed_Date]]-Pipeline_tbl[[#This Row],[Created_Date]])</f>
        <v>39</v>
      </c>
    </row>
    <row r="1899" spans="1:21" ht="15" customHeight="1" x14ac:dyDescent="0.2">
      <c r="A1899" t="s">
        <v>2205</v>
      </c>
      <c r="B1899" t="s">
        <v>229</v>
      </c>
      <c r="C1899" t="s">
        <v>52</v>
      </c>
      <c r="D1899" s="49">
        <v>45604</v>
      </c>
      <c r="E1899" s="49">
        <v>45607</v>
      </c>
      <c r="F1899" s="49">
        <v>45612</v>
      </c>
      <c r="G1899" s="49">
        <v>45620</v>
      </c>
      <c r="H1899" s="49">
        <v>45627</v>
      </c>
      <c r="I1899" s="49">
        <v>45631</v>
      </c>
      <c r="J1899" t="s">
        <v>49</v>
      </c>
      <c r="K1899" s="33">
        <v>3000</v>
      </c>
      <c r="L1899" t="s">
        <v>61</v>
      </c>
      <c r="M1899" t="str">
        <f>_xlfn.XLOOKUP(Pipeline_tbl[[#This Row],[Rep_ID]],Dim_Reps!A:A,Dim_Reps!K:K)</f>
        <v>USD</v>
      </c>
      <c r="N1899" s="33">
        <f>(_xlfn.XLOOKUP(Pipeline_tbl[[#This Row],[Rate_Code_Generalized]],Lookups!A:A,Lookups!B:B))*Pipeline_tbl[[#This Row],[Pipeline_Amount_USD]]</f>
        <v>3492.8999999999996</v>
      </c>
      <c r="O1899" t="str">
        <f>_xlfn.XLOOKUP(Pipeline_tbl[[#This Row],[Rep_ID]],Dim_Reps!A:A,Dim_Reps!B:B)</f>
        <v>Liam Castro</v>
      </c>
      <c r="P1899" t="str">
        <f>_xlfn.XLOOKUP(Pipeline_tbl[[#This Row],[Rep_ID]],Dim_Reps!A:A,Dim_Reps!C:C)</f>
        <v>SDR / Inside Sales Rep</v>
      </c>
      <c r="Q1899" t="str">
        <f>_xlfn.XLOOKUP(Pipeline_tbl[[#This Row],[Rep_ID]],Dim_Reps!A:A,Dim_Reps!D:D)</f>
        <v>Inside Sales</v>
      </c>
      <c r="R1899" t="str">
        <f>_xlfn.XLOOKUP(Pipeline_tbl[[#This Row],[Rep_ID]],Dim_Reps!A:A,Dim_Reps!E:E)</f>
        <v>NAMER</v>
      </c>
      <c r="S1899" t="str">
        <f>_xlfn.XLOOKUP(Pipeline_tbl[[#This Row],[Created_Date]],Dim_Date!A:A,Dim_Date!H:H)</f>
        <v>Nov 2024</v>
      </c>
      <c r="T1899" t="str">
        <f>IF(Pipeline_tbl[[#This Row],[Closed_Date]]=0,"",(_xlfn.XLOOKUP(Pipeline_tbl[[#This Row],[Closed_Date]],Dim_Date!A:A,Dim_Date!H:H)))</f>
        <v>Dec 2024</v>
      </c>
      <c r="U1899">
        <f>IF(Pipeline_tbl[[#This Row],[Closed_Date]]=0,"",Pipeline_tbl[[#This Row],[Closed_Date]]-Pipeline_tbl[[#This Row],[Created_Date]])</f>
        <v>27</v>
      </c>
    </row>
    <row r="1900" spans="1:21" ht="15" customHeight="1" x14ac:dyDescent="0.2">
      <c r="A1900" t="s">
        <v>2206</v>
      </c>
      <c r="B1900" t="s">
        <v>229</v>
      </c>
      <c r="C1900" t="s">
        <v>53</v>
      </c>
      <c r="D1900" s="49">
        <v>45612</v>
      </c>
      <c r="E1900" s="49">
        <v>45614</v>
      </c>
      <c r="F1900" s="49">
        <v>45619</v>
      </c>
      <c r="G1900" s="49">
        <v>45625</v>
      </c>
      <c r="H1900" s="49">
        <v>45631</v>
      </c>
      <c r="I1900" s="49">
        <v>45634</v>
      </c>
      <c r="J1900" t="s">
        <v>47</v>
      </c>
      <c r="K1900" s="33">
        <v>3500</v>
      </c>
      <c r="M1900" t="str">
        <f>_xlfn.XLOOKUP(Pipeline_tbl[[#This Row],[Rep_ID]],Dim_Reps!A:A,Dim_Reps!K:K)</f>
        <v>USD</v>
      </c>
      <c r="N1900" s="33">
        <f>(_xlfn.XLOOKUP(Pipeline_tbl[[#This Row],[Rate_Code_Generalized]],Lookups!A:A,Lookups!B:B))*Pipeline_tbl[[#This Row],[Pipeline_Amount_USD]]</f>
        <v>4075.0499999999997</v>
      </c>
      <c r="O1900" t="str">
        <f>_xlfn.XLOOKUP(Pipeline_tbl[[#This Row],[Rep_ID]],Dim_Reps!A:A,Dim_Reps!B:B)</f>
        <v>Liam Castro</v>
      </c>
      <c r="P1900" t="str">
        <f>_xlfn.XLOOKUP(Pipeline_tbl[[#This Row],[Rep_ID]],Dim_Reps!A:A,Dim_Reps!C:C)</f>
        <v>SDR / Inside Sales Rep</v>
      </c>
      <c r="Q1900" t="str">
        <f>_xlfn.XLOOKUP(Pipeline_tbl[[#This Row],[Rep_ID]],Dim_Reps!A:A,Dim_Reps!D:D)</f>
        <v>Inside Sales</v>
      </c>
      <c r="R1900" t="str">
        <f>_xlfn.XLOOKUP(Pipeline_tbl[[#This Row],[Rep_ID]],Dim_Reps!A:A,Dim_Reps!E:E)</f>
        <v>NAMER</v>
      </c>
      <c r="S1900" t="str">
        <f>_xlfn.XLOOKUP(Pipeline_tbl[[#This Row],[Created_Date]],Dim_Date!A:A,Dim_Date!H:H)</f>
        <v>Nov 2024</v>
      </c>
      <c r="T1900" t="str">
        <f>IF(Pipeline_tbl[[#This Row],[Closed_Date]]=0,"",(_xlfn.XLOOKUP(Pipeline_tbl[[#This Row],[Closed_Date]],Dim_Date!A:A,Dim_Date!H:H)))</f>
        <v>Dec 2024</v>
      </c>
      <c r="U1900">
        <f>IF(Pipeline_tbl[[#This Row],[Closed_Date]]=0,"",Pipeline_tbl[[#This Row],[Closed_Date]]-Pipeline_tbl[[#This Row],[Created_Date]])</f>
        <v>22</v>
      </c>
    </row>
    <row r="1901" spans="1:21" ht="15" customHeight="1" x14ac:dyDescent="0.2">
      <c r="A1901" t="s">
        <v>2207</v>
      </c>
      <c r="B1901" t="s">
        <v>229</v>
      </c>
      <c r="C1901" t="s">
        <v>52</v>
      </c>
      <c r="D1901" s="49">
        <v>45617</v>
      </c>
      <c r="E1901" s="49">
        <v>45620</v>
      </c>
      <c r="F1901" s="49">
        <v>45625</v>
      </c>
      <c r="G1901" s="49">
        <v>45634</v>
      </c>
      <c r="I1901" s="49">
        <v>45645</v>
      </c>
      <c r="J1901" t="s">
        <v>49</v>
      </c>
      <c r="K1901" s="33">
        <v>11200</v>
      </c>
      <c r="L1901" t="s">
        <v>60</v>
      </c>
      <c r="M1901" t="str">
        <f>_xlfn.XLOOKUP(Pipeline_tbl[[#This Row],[Rep_ID]],Dim_Reps!A:A,Dim_Reps!K:K)</f>
        <v>USD</v>
      </c>
      <c r="N1901" s="33">
        <f>(_xlfn.XLOOKUP(Pipeline_tbl[[#This Row],[Rate_Code_Generalized]],Lookups!A:A,Lookups!B:B))*Pipeline_tbl[[#This Row],[Pipeline_Amount_USD]]</f>
        <v>13040.159999999998</v>
      </c>
      <c r="O1901" t="str">
        <f>_xlfn.XLOOKUP(Pipeline_tbl[[#This Row],[Rep_ID]],Dim_Reps!A:A,Dim_Reps!B:B)</f>
        <v>Liam Castro</v>
      </c>
      <c r="P1901" t="str">
        <f>_xlfn.XLOOKUP(Pipeline_tbl[[#This Row],[Rep_ID]],Dim_Reps!A:A,Dim_Reps!C:C)</f>
        <v>SDR / Inside Sales Rep</v>
      </c>
      <c r="Q1901" t="str">
        <f>_xlfn.XLOOKUP(Pipeline_tbl[[#This Row],[Rep_ID]],Dim_Reps!A:A,Dim_Reps!D:D)</f>
        <v>Inside Sales</v>
      </c>
      <c r="R1901" t="str">
        <f>_xlfn.XLOOKUP(Pipeline_tbl[[#This Row],[Rep_ID]],Dim_Reps!A:A,Dim_Reps!E:E)</f>
        <v>NAMER</v>
      </c>
      <c r="S1901" t="str">
        <f>_xlfn.XLOOKUP(Pipeline_tbl[[#This Row],[Created_Date]],Dim_Date!A:A,Dim_Date!H:H)</f>
        <v>Nov 2024</v>
      </c>
      <c r="T1901" t="str">
        <f>IF(Pipeline_tbl[[#This Row],[Closed_Date]]=0,"",(_xlfn.XLOOKUP(Pipeline_tbl[[#This Row],[Closed_Date]],Dim_Date!A:A,Dim_Date!H:H)))</f>
        <v>Dec 2024</v>
      </c>
      <c r="U1901">
        <f>IF(Pipeline_tbl[[#This Row],[Closed_Date]]=0,"",Pipeline_tbl[[#This Row],[Closed_Date]]-Pipeline_tbl[[#This Row],[Created_Date]])</f>
        <v>28</v>
      </c>
    </row>
    <row r="1902" spans="1:21" ht="15" customHeight="1" x14ac:dyDescent="0.2">
      <c r="A1902" t="s">
        <v>2208</v>
      </c>
      <c r="B1902" t="s">
        <v>229</v>
      </c>
      <c r="C1902" t="s">
        <v>54</v>
      </c>
      <c r="D1902" s="49">
        <v>45616</v>
      </c>
      <c r="E1902" s="49">
        <v>45619</v>
      </c>
      <c r="I1902" s="49">
        <v>45644</v>
      </c>
      <c r="J1902" t="s">
        <v>49</v>
      </c>
      <c r="K1902" s="33">
        <v>3200</v>
      </c>
      <c r="L1902" t="s">
        <v>61</v>
      </c>
      <c r="M1902" t="str">
        <f>_xlfn.XLOOKUP(Pipeline_tbl[[#This Row],[Rep_ID]],Dim_Reps!A:A,Dim_Reps!K:K)</f>
        <v>USD</v>
      </c>
      <c r="N1902" s="33">
        <f>(_xlfn.XLOOKUP(Pipeline_tbl[[#This Row],[Rate_Code_Generalized]],Lookups!A:A,Lookups!B:B))*Pipeline_tbl[[#This Row],[Pipeline_Amount_USD]]</f>
        <v>3725.7599999999998</v>
      </c>
      <c r="O1902" t="str">
        <f>_xlfn.XLOOKUP(Pipeline_tbl[[#This Row],[Rep_ID]],Dim_Reps!A:A,Dim_Reps!B:B)</f>
        <v>Liam Castro</v>
      </c>
      <c r="P1902" t="str">
        <f>_xlfn.XLOOKUP(Pipeline_tbl[[#This Row],[Rep_ID]],Dim_Reps!A:A,Dim_Reps!C:C)</f>
        <v>SDR / Inside Sales Rep</v>
      </c>
      <c r="Q1902" t="str">
        <f>_xlfn.XLOOKUP(Pipeline_tbl[[#This Row],[Rep_ID]],Dim_Reps!A:A,Dim_Reps!D:D)</f>
        <v>Inside Sales</v>
      </c>
      <c r="R1902" t="str">
        <f>_xlfn.XLOOKUP(Pipeline_tbl[[#This Row],[Rep_ID]],Dim_Reps!A:A,Dim_Reps!E:E)</f>
        <v>NAMER</v>
      </c>
      <c r="S1902" t="str">
        <f>_xlfn.XLOOKUP(Pipeline_tbl[[#This Row],[Created_Date]],Dim_Date!A:A,Dim_Date!H:H)</f>
        <v>Nov 2024</v>
      </c>
      <c r="T1902" t="str">
        <f>IF(Pipeline_tbl[[#This Row],[Closed_Date]]=0,"",(_xlfn.XLOOKUP(Pipeline_tbl[[#This Row],[Closed_Date]],Dim_Date!A:A,Dim_Date!H:H)))</f>
        <v>Dec 2024</v>
      </c>
      <c r="U1902">
        <f>IF(Pipeline_tbl[[#This Row],[Closed_Date]]=0,"",Pipeline_tbl[[#This Row],[Closed_Date]]-Pipeline_tbl[[#This Row],[Created_Date]])</f>
        <v>28</v>
      </c>
    </row>
    <row r="1903" spans="1:21" ht="15" customHeight="1" x14ac:dyDescent="0.2">
      <c r="A1903" t="s">
        <v>2209</v>
      </c>
      <c r="B1903" t="s">
        <v>229</v>
      </c>
      <c r="C1903" t="s">
        <v>52</v>
      </c>
      <c r="D1903" s="49">
        <v>45625</v>
      </c>
      <c r="E1903" s="49">
        <v>45627</v>
      </c>
      <c r="F1903" s="49">
        <v>45631</v>
      </c>
      <c r="G1903" s="49">
        <v>45638</v>
      </c>
      <c r="I1903" s="49">
        <v>45646</v>
      </c>
      <c r="J1903" t="s">
        <v>49</v>
      </c>
      <c r="K1903" s="33">
        <v>4900</v>
      </c>
      <c r="L1903" t="s">
        <v>63</v>
      </c>
      <c r="M1903" t="str">
        <f>_xlfn.XLOOKUP(Pipeline_tbl[[#This Row],[Rep_ID]],Dim_Reps!A:A,Dim_Reps!K:K)</f>
        <v>USD</v>
      </c>
      <c r="N1903" s="33">
        <f>(_xlfn.XLOOKUP(Pipeline_tbl[[#This Row],[Rate_Code_Generalized]],Lookups!A:A,Lookups!B:B))*Pipeline_tbl[[#This Row],[Pipeline_Amount_USD]]</f>
        <v>5705.07</v>
      </c>
      <c r="O1903" t="str">
        <f>_xlfn.XLOOKUP(Pipeline_tbl[[#This Row],[Rep_ID]],Dim_Reps!A:A,Dim_Reps!B:B)</f>
        <v>Liam Castro</v>
      </c>
      <c r="P1903" t="str">
        <f>_xlfn.XLOOKUP(Pipeline_tbl[[#This Row],[Rep_ID]],Dim_Reps!A:A,Dim_Reps!C:C)</f>
        <v>SDR / Inside Sales Rep</v>
      </c>
      <c r="Q1903" t="str">
        <f>_xlfn.XLOOKUP(Pipeline_tbl[[#This Row],[Rep_ID]],Dim_Reps!A:A,Dim_Reps!D:D)</f>
        <v>Inside Sales</v>
      </c>
      <c r="R1903" t="str">
        <f>_xlfn.XLOOKUP(Pipeline_tbl[[#This Row],[Rep_ID]],Dim_Reps!A:A,Dim_Reps!E:E)</f>
        <v>NAMER</v>
      </c>
      <c r="S1903" t="str">
        <f>_xlfn.XLOOKUP(Pipeline_tbl[[#This Row],[Created_Date]],Dim_Date!A:A,Dim_Date!H:H)</f>
        <v>Nov 2024</v>
      </c>
      <c r="T1903" t="str">
        <f>IF(Pipeline_tbl[[#This Row],[Closed_Date]]=0,"",(_xlfn.XLOOKUP(Pipeline_tbl[[#This Row],[Closed_Date]],Dim_Date!A:A,Dim_Date!H:H)))</f>
        <v>Dec 2024</v>
      </c>
      <c r="U1903">
        <f>IF(Pipeline_tbl[[#This Row],[Closed_Date]]=0,"",Pipeline_tbl[[#This Row],[Closed_Date]]-Pipeline_tbl[[#This Row],[Created_Date]])</f>
        <v>21</v>
      </c>
    </row>
    <row r="1904" spans="1:21" ht="15" customHeight="1" x14ac:dyDescent="0.2">
      <c r="A1904" t="s">
        <v>2210</v>
      </c>
      <c r="B1904" t="s">
        <v>231</v>
      </c>
      <c r="C1904" t="s">
        <v>52</v>
      </c>
      <c r="D1904" s="49">
        <v>45626</v>
      </c>
      <c r="E1904" s="49">
        <v>45627</v>
      </c>
      <c r="F1904" s="49">
        <v>45629</v>
      </c>
      <c r="G1904" s="49">
        <v>45633</v>
      </c>
      <c r="H1904" s="49">
        <v>45635</v>
      </c>
      <c r="I1904" s="49">
        <v>45637</v>
      </c>
      <c r="J1904" t="s">
        <v>47</v>
      </c>
      <c r="K1904" s="33">
        <v>5400</v>
      </c>
      <c r="M1904" t="str">
        <f>_xlfn.XLOOKUP(Pipeline_tbl[[#This Row],[Rep_ID]],Dim_Reps!A:A,Dim_Reps!K:K)</f>
        <v>MXN</v>
      </c>
      <c r="N1904" s="33">
        <f>(_xlfn.XLOOKUP(Pipeline_tbl[[#This Row],[Rate_Code_Generalized]],Lookups!A:A,Lookups!B:B))*Pipeline_tbl[[#This Row],[Pipeline_Amount_USD]]</f>
        <v>106556.58</v>
      </c>
      <c r="O1904" t="str">
        <f>_xlfn.XLOOKUP(Pipeline_tbl[[#This Row],[Rep_ID]],Dim_Reps!A:A,Dim_Reps!B:B)</f>
        <v>Ben Silva</v>
      </c>
      <c r="P1904" t="str">
        <f>_xlfn.XLOOKUP(Pipeline_tbl[[#This Row],[Rep_ID]],Dim_Reps!A:A,Dim_Reps!C:C)</f>
        <v>SDR / Inside Sales Rep</v>
      </c>
      <c r="Q1904" t="str">
        <f>_xlfn.XLOOKUP(Pipeline_tbl[[#This Row],[Rep_ID]],Dim_Reps!A:A,Dim_Reps!D:D)</f>
        <v>Inside Sales</v>
      </c>
      <c r="R1904" t="str">
        <f>_xlfn.XLOOKUP(Pipeline_tbl[[#This Row],[Rep_ID]],Dim_Reps!A:A,Dim_Reps!E:E)</f>
        <v>LATAM</v>
      </c>
      <c r="S1904" t="str">
        <f>_xlfn.XLOOKUP(Pipeline_tbl[[#This Row],[Created_Date]],Dim_Date!A:A,Dim_Date!H:H)</f>
        <v>Nov 2024</v>
      </c>
      <c r="T1904" t="str">
        <f>IF(Pipeline_tbl[[#This Row],[Closed_Date]]=0,"",(_xlfn.XLOOKUP(Pipeline_tbl[[#This Row],[Closed_Date]],Dim_Date!A:A,Dim_Date!H:H)))</f>
        <v>Dec 2024</v>
      </c>
      <c r="U1904">
        <f>IF(Pipeline_tbl[[#This Row],[Closed_Date]]=0,"",Pipeline_tbl[[#This Row],[Closed_Date]]-Pipeline_tbl[[#This Row],[Created_Date]])</f>
        <v>11</v>
      </c>
    </row>
    <row r="1905" spans="1:21" ht="15" customHeight="1" x14ac:dyDescent="0.2">
      <c r="A1905" t="s">
        <v>2211</v>
      </c>
      <c r="B1905" t="s">
        <v>231</v>
      </c>
      <c r="C1905" t="s">
        <v>55</v>
      </c>
      <c r="D1905" s="49">
        <v>45614</v>
      </c>
      <c r="E1905" s="49">
        <v>45616</v>
      </c>
      <c r="I1905" s="49">
        <v>45631</v>
      </c>
      <c r="J1905" t="s">
        <v>49</v>
      </c>
      <c r="K1905" s="33">
        <v>6400</v>
      </c>
      <c r="L1905" t="s">
        <v>61</v>
      </c>
      <c r="M1905" t="str">
        <f>_xlfn.XLOOKUP(Pipeline_tbl[[#This Row],[Rep_ID]],Dim_Reps!A:A,Dim_Reps!K:K)</f>
        <v>MXN</v>
      </c>
      <c r="N1905" s="33">
        <f>(_xlfn.XLOOKUP(Pipeline_tbl[[#This Row],[Rate_Code_Generalized]],Lookups!A:A,Lookups!B:B))*Pipeline_tbl[[#This Row],[Pipeline_Amount_USD]]</f>
        <v>126289.28000000001</v>
      </c>
      <c r="O1905" t="str">
        <f>_xlfn.XLOOKUP(Pipeline_tbl[[#This Row],[Rep_ID]],Dim_Reps!A:A,Dim_Reps!B:B)</f>
        <v>Ben Silva</v>
      </c>
      <c r="P1905" t="str">
        <f>_xlfn.XLOOKUP(Pipeline_tbl[[#This Row],[Rep_ID]],Dim_Reps!A:A,Dim_Reps!C:C)</f>
        <v>SDR / Inside Sales Rep</v>
      </c>
      <c r="Q1905" t="str">
        <f>_xlfn.XLOOKUP(Pipeline_tbl[[#This Row],[Rep_ID]],Dim_Reps!A:A,Dim_Reps!D:D)</f>
        <v>Inside Sales</v>
      </c>
      <c r="R1905" t="str">
        <f>_xlfn.XLOOKUP(Pipeline_tbl[[#This Row],[Rep_ID]],Dim_Reps!A:A,Dim_Reps!E:E)</f>
        <v>LATAM</v>
      </c>
      <c r="S1905" t="str">
        <f>_xlfn.XLOOKUP(Pipeline_tbl[[#This Row],[Created_Date]],Dim_Date!A:A,Dim_Date!H:H)</f>
        <v>Nov 2024</v>
      </c>
      <c r="T1905" t="str">
        <f>IF(Pipeline_tbl[[#This Row],[Closed_Date]]=0,"",(_xlfn.XLOOKUP(Pipeline_tbl[[#This Row],[Closed_Date]],Dim_Date!A:A,Dim_Date!H:H)))</f>
        <v>Dec 2024</v>
      </c>
      <c r="U1905">
        <f>IF(Pipeline_tbl[[#This Row],[Closed_Date]]=0,"",Pipeline_tbl[[#This Row],[Closed_Date]]-Pipeline_tbl[[#This Row],[Created_Date]])</f>
        <v>17</v>
      </c>
    </row>
    <row r="1906" spans="1:21" ht="15" customHeight="1" x14ac:dyDescent="0.2">
      <c r="A1906" t="s">
        <v>2212</v>
      </c>
      <c r="B1906" t="s">
        <v>231</v>
      </c>
      <c r="C1906" t="s">
        <v>55</v>
      </c>
      <c r="D1906" s="49">
        <v>45608</v>
      </c>
      <c r="E1906" s="49">
        <v>45610</v>
      </c>
      <c r="I1906" s="49">
        <v>45627</v>
      </c>
      <c r="J1906" t="s">
        <v>49</v>
      </c>
      <c r="K1906" s="33">
        <v>2900</v>
      </c>
      <c r="L1906" t="s">
        <v>60</v>
      </c>
      <c r="M1906" t="str">
        <f>_xlfn.XLOOKUP(Pipeline_tbl[[#This Row],[Rep_ID]],Dim_Reps!A:A,Dim_Reps!K:K)</f>
        <v>MXN</v>
      </c>
      <c r="N1906" s="33">
        <f>(_xlfn.XLOOKUP(Pipeline_tbl[[#This Row],[Rate_Code_Generalized]],Lookups!A:A,Lookups!B:B))*Pipeline_tbl[[#This Row],[Pipeline_Amount_USD]]</f>
        <v>57224.83</v>
      </c>
      <c r="O1906" t="str">
        <f>_xlfn.XLOOKUP(Pipeline_tbl[[#This Row],[Rep_ID]],Dim_Reps!A:A,Dim_Reps!B:B)</f>
        <v>Ben Silva</v>
      </c>
      <c r="P1906" t="str">
        <f>_xlfn.XLOOKUP(Pipeline_tbl[[#This Row],[Rep_ID]],Dim_Reps!A:A,Dim_Reps!C:C)</f>
        <v>SDR / Inside Sales Rep</v>
      </c>
      <c r="Q1906" t="str">
        <f>_xlfn.XLOOKUP(Pipeline_tbl[[#This Row],[Rep_ID]],Dim_Reps!A:A,Dim_Reps!D:D)</f>
        <v>Inside Sales</v>
      </c>
      <c r="R1906" t="str">
        <f>_xlfn.XLOOKUP(Pipeline_tbl[[#This Row],[Rep_ID]],Dim_Reps!A:A,Dim_Reps!E:E)</f>
        <v>LATAM</v>
      </c>
      <c r="S1906" t="str">
        <f>_xlfn.XLOOKUP(Pipeline_tbl[[#This Row],[Created_Date]],Dim_Date!A:A,Dim_Date!H:H)</f>
        <v>Nov 2024</v>
      </c>
      <c r="T1906" t="str">
        <f>IF(Pipeline_tbl[[#This Row],[Closed_Date]]=0,"",(_xlfn.XLOOKUP(Pipeline_tbl[[#This Row],[Closed_Date]],Dim_Date!A:A,Dim_Date!H:H)))</f>
        <v>Dec 2024</v>
      </c>
      <c r="U1906">
        <f>IF(Pipeline_tbl[[#This Row],[Closed_Date]]=0,"",Pipeline_tbl[[#This Row],[Closed_Date]]-Pipeline_tbl[[#This Row],[Created_Date]])</f>
        <v>19</v>
      </c>
    </row>
    <row r="1907" spans="1:21" ht="15" customHeight="1" x14ac:dyDescent="0.2">
      <c r="A1907" t="s">
        <v>2213</v>
      </c>
      <c r="B1907" t="s">
        <v>231</v>
      </c>
      <c r="C1907" t="s">
        <v>53</v>
      </c>
      <c r="D1907" s="49">
        <v>45617</v>
      </c>
      <c r="E1907" s="49">
        <v>45619</v>
      </c>
      <c r="F1907" s="49">
        <v>45624</v>
      </c>
      <c r="G1907" s="49">
        <v>45630</v>
      </c>
      <c r="H1907" s="49">
        <v>45636</v>
      </c>
      <c r="I1907" s="49">
        <v>45639</v>
      </c>
      <c r="J1907" t="s">
        <v>47</v>
      </c>
      <c r="K1907" s="33">
        <v>4000</v>
      </c>
      <c r="M1907" t="str">
        <f>_xlfn.XLOOKUP(Pipeline_tbl[[#This Row],[Rep_ID]],Dim_Reps!A:A,Dim_Reps!K:K)</f>
        <v>MXN</v>
      </c>
      <c r="N1907" s="33">
        <f>(_xlfn.XLOOKUP(Pipeline_tbl[[#This Row],[Rate_Code_Generalized]],Lookups!A:A,Lookups!B:B))*Pipeline_tbl[[#This Row],[Pipeline_Amount_USD]]</f>
        <v>78930.8</v>
      </c>
      <c r="O1907" t="str">
        <f>_xlfn.XLOOKUP(Pipeline_tbl[[#This Row],[Rep_ID]],Dim_Reps!A:A,Dim_Reps!B:B)</f>
        <v>Ben Silva</v>
      </c>
      <c r="P1907" t="str">
        <f>_xlfn.XLOOKUP(Pipeline_tbl[[#This Row],[Rep_ID]],Dim_Reps!A:A,Dim_Reps!C:C)</f>
        <v>SDR / Inside Sales Rep</v>
      </c>
      <c r="Q1907" t="str">
        <f>_xlfn.XLOOKUP(Pipeline_tbl[[#This Row],[Rep_ID]],Dim_Reps!A:A,Dim_Reps!D:D)</f>
        <v>Inside Sales</v>
      </c>
      <c r="R1907" t="str">
        <f>_xlfn.XLOOKUP(Pipeline_tbl[[#This Row],[Rep_ID]],Dim_Reps!A:A,Dim_Reps!E:E)</f>
        <v>LATAM</v>
      </c>
      <c r="S1907" t="str">
        <f>_xlfn.XLOOKUP(Pipeline_tbl[[#This Row],[Created_Date]],Dim_Date!A:A,Dim_Date!H:H)</f>
        <v>Nov 2024</v>
      </c>
      <c r="T1907" t="str">
        <f>IF(Pipeline_tbl[[#This Row],[Closed_Date]]=0,"",(_xlfn.XLOOKUP(Pipeline_tbl[[#This Row],[Closed_Date]],Dim_Date!A:A,Dim_Date!H:H)))</f>
        <v>Dec 2024</v>
      </c>
      <c r="U1907">
        <f>IF(Pipeline_tbl[[#This Row],[Closed_Date]]=0,"",Pipeline_tbl[[#This Row],[Closed_Date]]-Pipeline_tbl[[#This Row],[Created_Date]])</f>
        <v>22</v>
      </c>
    </row>
    <row r="1908" spans="1:21" ht="15" customHeight="1" x14ac:dyDescent="0.2">
      <c r="A1908" t="s">
        <v>2214</v>
      </c>
      <c r="B1908" t="s">
        <v>231</v>
      </c>
      <c r="C1908" t="s">
        <v>52</v>
      </c>
      <c r="D1908" s="49">
        <v>45623</v>
      </c>
      <c r="E1908" s="49">
        <v>45623</v>
      </c>
      <c r="F1908" s="49">
        <v>45625</v>
      </c>
      <c r="G1908" s="49">
        <v>45626</v>
      </c>
      <c r="H1908" s="49">
        <v>45627</v>
      </c>
      <c r="I1908" s="49">
        <v>45628</v>
      </c>
      <c r="J1908" t="s">
        <v>47</v>
      </c>
      <c r="K1908" s="33">
        <v>3000</v>
      </c>
      <c r="M1908" t="str">
        <f>_xlfn.XLOOKUP(Pipeline_tbl[[#This Row],[Rep_ID]],Dim_Reps!A:A,Dim_Reps!K:K)</f>
        <v>MXN</v>
      </c>
      <c r="N1908" s="33">
        <f>(_xlfn.XLOOKUP(Pipeline_tbl[[#This Row],[Rate_Code_Generalized]],Lookups!A:A,Lookups!B:B))*Pipeline_tbl[[#This Row],[Pipeline_Amount_USD]]</f>
        <v>59198.100000000006</v>
      </c>
      <c r="O1908" t="str">
        <f>_xlfn.XLOOKUP(Pipeline_tbl[[#This Row],[Rep_ID]],Dim_Reps!A:A,Dim_Reps!B:B)</f>
        <v>Ben Silva</v>
      </c>
      <c r="P1908" t="str">
        <f>_xlfn.XLOOKUP(Pipeline_tbl[[#This Row],[Rep_ID]],Dim_Reps!A:A,Dim_Reps!C:C)</f>
        <v>SDR / Inside Sales Rep</v>
      </c>
      <c r="Q1908" t="str">
        <f>_xlfn.XLOOKUP(Pipeline_tbl[[#This Row],[Rep_ID]],Dim_Reps!A:A,Dim_Reps!D:D)</f>
        <v>Inside Sales</v>
      </c>
      <c r="R1908" t="str">
        <f>_xlfn.XLOOKUP(Pipeline_tbl[[#This Row],[Rep_ID]],Dim_Reps!A:A,Dim_Reps!E:E)</f>
        <v>LATAM</v>
      </c>
      <c r="S1908" t="str">
        <f>_xlfn.XLOOKUP(Pipeline_tbl[[#This Row],[Created_Date]],Dim_Date!A:A,Dim_Date!H:H)</f>
        <v>Nov 2024</v>
      </c>
      <c r="T1908" t="str">
        <f>IF(Pipeline_tbl[[#This Row],[Closed_Date]]=0,"",(_xlfn.XLOOKUP(Pipeline_tbl[[#This Row],[Closed_Date]],Dim_Date!A:A,Dim_Date!H:H)))</f>
        <v>Dec 2024</v>
      </c>
      <c r="U1908">
        <f>IF(Pipeline_tbl[[#This Row],[Closed_Date]]=0,"",Pipeline_tbl[[#This Row],[Closed_Date]]-Pipeline_tbl[[#This Row],[Created_Date]])</f>
        <v>5</v>
      </c>
    </row>
    <row r="1909" spans="1:21" ht="15" customHeight="1" x14ac:dyDescent="0.2">
      <c r="A1909" t="s">
        <v>2215</v>
      </c>
      <c r="B1909" t="s">
        <v>231</v>
      </c>
      <c r="C1909" t="s">
        <v>53</v>
      </c>
      <c r="D1909" s="49">
        <v>45619</v>
      </c>
      <c r="E1909" s="49">
        <v>45621</v>
      </c>
      <c r="F1909" s="49">
        <v>45624</v>
      </c>
      <c r="G1909" s="49">
        <v>45629</v>
      </c>
      <c r="I1909" s="49">
        <v>45636</v>
      </c>
      <c r="J1909" t="s">
        <v>49</v>
      </c>
      <c r="K1909" s="33">
        <v>4600</v>
      </c>
      <c r="L1909" t="s">
        <v>61</v>
      </c>
      <c r="M1909" t="str">
        <f>_xlfn.XLOOKUP(Pipeline_tbl[[#This Row],[Rep_ID]],Dim_Reps!A:A,Dim_Reps!K:K)</f>
        <v>MXN</v>
      </c>
      <c r="N1909" s="33">
        <f>(_xlfn.XLOOKUP(Pipeline_tbl[[#This Row],[Rate_Code_Generalized]],Lookups!A:A,Lookups!B:B))*Pipeline_tbl[[#This Row],[Pipeline_Amount_USD]]</f>
        <v>90770.420000000013</v>
      </c>
      <c r="O1909" t="str">
        <f>_xlfn.XLOOKUP(Pipeline_tbl[[#This Row],[Rep_ID]],Dim_Reps!A:A,Dim_Reps!B:B)</f>
        <v>Ben Silva</v>
      </c>
      <c r="P1909" t="str">
        <f>_xlfn.XLOOKUP(Pipeline_tbl[[#This Row],[Rep_ID]],Dim_Reps!A:A,Dim_Reps!C:C)</f>
        <v>SDR / Inside Sales Rep</v>
      </c>
      <c r="Q1909" t="str">
        <f>_xlfn.XLOOKUP(Pipeline_tbl[[#This Row],[Rep_ID]],Dim_Reps!A:A,Dim_Reps!D:D)</f>
        <v>Inside Sales</v>
      </c>
      <c r="R1909" t="str">
        <f>_xlfn.XLOOKUP(Pipeline_tbl[[#This Row],[Rep_ID]],Dim_Reps!A:A,Dim_Reps!E:E)</f>
        <v>LATAM</v>
      </c>
      <c r="S1909" t="str">
        <f>_xlfn.XLOOKUP(Pipeline_tbl[[#This Row],[Created_Date]],Dim_Date!A:A,Dim_Date!H:H)</f>
        <v>Nov 2024</v>
      </c>
      <c r="T1909" t="str">
        <f>IF(Pipeline_tbl[[#This Row],[Closed_Date]]=0,"",(_xlfn.XLOOKUP(Pipeline_tbl[[#This Row],[Closed_Date]],Dim_Date!A:A,Dim_Date!H:H)))</f>
        <v>Dec 2024</v>
      </c>
      <c r="U1909">
        <f>IF(Pipeline_tbl[[#This Row],[Closed_Date]]=0,"",Pipeline_tbl[[#This Row],[Closed_Date]]-Pipeline_tbl[[#This Row],[Created_Date]])</f>
        <v>17</v>
      </c>
    </row>
    <row r="1910" spans="1:21" ht="15" customHeight="1" x14ac:dyDescent="0.2">
      <c r="A1910" t="s">
        <v>2216</v>
      </c>
      <c r="B1910" t="s">
        <v>263</v>
      </c>
      <c r="C1910" t="s">
        <v>52</v>
      </c>
      <c r="D1910" s="49">
        <v>45611</v>
      </c>
      <c r="E1910" s="49">
        <v>45613</v>
      </c>
      <c r="F1910" s="49">
        <v>45618</v>
      </c>
      <c r="G1910" s="49">
        <v>45625</v>
      </c>
      <c r="H1910" s="49">
        <v>45631</v>
      </c>
      <c r="I1910" s="49">
        <v>45634</v>
      </c>
      <c r="J1910" t="s">
        <v>49</v>
      </c>
      <c r="K1910" s="33">
        <v>26000</v>
      </c>
      <c r="L1910" t="s">
        <v>62</v>
      </c>
      <c r="M1910" t="str">
        <f>_xlfn.XLOOKUP(Pipeline_tbl[[#This Row],[Rep_ID]],Dim_Reps!A:A,Dim_Reps!K:K)</f>
        <v>USD</v>
      </c>
      <c r="N1910" s="33">
        <f>(_xlfn.XLOOKUP(Pipeline_tbl[[#This Row],[Rate_Code_Generalized]],Lookups!A:A,Lookups!B:B))*Pipeline_tbl[[#This Row],[Pipeline_Amount_USD]]</f>
        <v>30271.799999999996</v>
      </c>
      <c r="O1910" t="str">
        <f>_xlfn.XLOOKUP(Pipeline_tbl[[#This Row],[Rep_ID]],Dim_Reps!A:A,Dim_Reps!B:B)</f>
        <v>Morgan Weber</v>
      </c>
      <c r="P1910" t="str">
        <f>_xlfn.XLOOKUP(Pipeline_tbl[[#This Row],[Rep_ID]],Dim_Reps!A:A,Dim_Reps!C:C)</f>
        <v>Mid-Market AE</v>
      </c>
      <c r="Q1910" t="str">
        <f>_xlfn.XLOOKUP(Pipeline_tbl[[#This Row],[Rep_ID]],Dim_Reps!A:A,Dim_Reps!D:D)</f>
        <v>Mid-Market</v>
      </c>
      <c r="R1910" t="str">
        <f>_xlfn.XLOOKUP(Pipeline_tbl[[#This Row],[Rep_ID]],Dim_Reps!A:A,Dim_Reps!E:E)</f>
        <v>NAMER</v>
      </c>
      <c r="S1910" t="str">
        <f>_xlfn.XLOOKUP(Pipeline_tbl[[#This Row],[Created_Date]],Dim_Date!A:A,Dim_Date!H:H)</f>
        <v>Nov 2024</v>
      </c>
      <c r="T1910" t="str">
        <f>IF(Pipeline_tbl[[#This Row],[Closed_Date]]=0,"",(_xlfn.XLOOKUP(Pipeline_tbl[[#This Row],[Closed_Date]],Dim_Date!A:A,Dim_Date!H:H)))</f>
        <v>Dec 2024</v>
      </c>
      <c r="U1910">
        <f>IF(Pipeline_tbl[[#This Row],[Closed_Date]]=0,"",Pipeline_tbl[[#This Row],[Closed_Date]]-Pipeline_tbl[[#This Row],[Created_Date]])</f>
        <v>23</v>
      </c>
    </row>
    <row r="1911" spans="1:21" ht="15" customHeight="1" x14ac:dyDescent="0.2">
      <c r="A1911" t="s">
        <v>2217</v>
      </c>
      <c r="B1911" t="s">
        <v>263</v>
      </c>
      <c r="C1911" t="s">
        <v>53</v>
      </c>
      <c r="D1911" s="49">
        <v>45616</v>
      </c>
      <c r="E1911" s="49">
        <v>45619</v>
      </c>
      <c r="F1911" s="49">
        <v>45626</v>
      </c>
      <c r="G1911" s="49">
        <v>45635</v>
      </c>
      <c r="I1911" s="49">
        <v>45648</v>
      </c>
      <c r="J1911" t="s">
        <v>49</v>
      </c>
      <c r="K1911" s="33">
        <v>16500</v>
      </c>
      <c r="L1911" t="s">
        <v>61</v>
      </c>
      <c r="M1911" t="str">
        <f>_xlfn.XLOOKUP(Pipeline_tbl[[#This Row],[Rep_ID]],Dim_Reps!A:A,Dim_Reps!K:K)</f>
        <v>USD</v>
      </c>
      <c r="N1911" s="33">
        <f>(_xlfn.XLOOKUP(Pipeline_tbl[[#This Row],[Rate_Code_Generalized]],Lookups!A:A,Lookups!B:B))*Pipeline_tbl[[#This Row],[Pipeline_Amount_USD]]</f>
        <v>19210.949999999997</v>
      </c>
      <c r="O1911" t="str">
        <f>_xlfn.XLOOKUP(Pipeline_tbl[[#This Row],[Rep_ID]],Dim_Reps!A:A,Dim_Reps!B:B)</f>
        <v>Morgan Weber</v>
      </c>
      <c r="P1911" t="str">
        <f>_xlfn.XLOOKUP(Pipeline_tbl[[#This Row],[Rep_ID]],Dim_Reps!A:A,Dim_Reps!C:C)</f>
        <v>Mid-Market AE</v>
      </c>
      <c r="Q1911" t="str">
        <f>_xlfn.XLOOKUP(Pipeline_tbl[[#This Row],[Rep_ID]],Dim_Reps!A:A,Dim_Reps!D:D)</f>
        <v>Mid-Market</v>
      </c>
      <c r="R1911" t="str">
        <f>_xlfn.XLOOKUP(Pipeline_tbl[[#This Row],[Rep_ID]],Dim_Reps!A:A,Dim_Reps!E:E)</f>
        <v>NAMER</v>
      </c>
      <c r="S1911" t="str">
        <f>_xlfn.XLOOKUP(Pipeline_tbl[[#This Row],[Created_Date]],Dim_Date!A:A,Dim_Date!H:H)</f>
        <v>Nov 2024</v>
      </c>
      <c r="T1911" t="str">
        <f>IF(Pipeline_tbl[[#This Row],[Closed_Date]]=0,"",(_xlfn.XLOOKUP(Pipeline_tbl[[#This Row],[Closed_Date]],Dim_Date!A:A,Dim_Date!H:H)))</f>
        <v>Dec 2024</v>
      </c>
      <c r="U1911">
        <f>IF(Pipeline_tbl[[#This Row],[Closed_Date]]=0,"",Pipeline_tbl[[#This Row],[Closed_Date]]-Pipeline_tbl[[#This Row],[Created_Date]])</f>
        <v>32</v>
      </c>
    </row>
    <row r="1912" spans="1:21" ht="15" customHeight="1" x14ac:dyDescent="0.2">
      <c r="A1912" t="s">
        <v>2218</v>
      </c>
      <c r="B1912" t="s">
        <v>263</v>
      </c>
      <c r="C1912" t="s">
        <v>54</v>
      </c>
      <c r="D1912" s="49">
        <v>45616</v>
      </c>
      <c r="E1912" s="49">
        <v>45620</v>
      </c>
      <c r="F1912" s="49">
        <v>45627</v>
      </c>
      <c r="G1912" s="49">
        <v>45639</v>
      </c>
      <c r="H1912" s="49">
        <v>45648</v>
      </c>
      <c r="I1912" s="49">
        <v>45654</v>
      </c>
      <c r="J1912" t="s">
        <v>47</v>
      </c>
      <c r="K1912" s="33">
        <v>6000</v>
      </c>
      <c r="M1912" t="str">
        <f>_xlfn.XLOOKUP(Pipeline_tbl[[#This Row],[Rep_ID]],Dim_Reps!A:A,Dim_Reps!K:K)</f>
        <v>USD</v>
      </c>
      <c r="N1912" s="33">
        <f>(_xlfn.XLOOKUP(Pipeline_tbl[[#This Row],[Rate_Code_Generalized]],Lookups!A:A,Lookups!B:B))*Pipeline_tbl[[#This Row],[Pipeline_Amount_USD]]</f>
        <v>6985.7999999999993</v>
      </c>
      <c r="O1912" t="str">
        <f>_xlfn.XLOOKUP(Pipeline_tbl[[#This Row],[Rep_ID]],Dim_Reps!A:A,Dim_Reps!B:B)</f>
        <v>Morgan Weber</v>
      </c>
      <c r="P1912" t="str">
        <f>_xlfn.XLOOKUP(Pipeline_tbl[[#This Row],[Rep_ID]],Dim_Reps!A:A,Dim_Reps!C:C)</f>
        <v>Mid-Market AE</v>
      </c>
      <c r="Q1912" t="str">
        <f>_xlfn.XLOOKUP(Pipeline_tbl[[#This Row],[Rep_ID]],Dim_Reps!A:A,Dim_Reps!D:D)</f>
        <v>Mid-Market</v>
      </c>
      <c r="R1912" t="str">
        <f>_xlfn.XLOOKUP(Pipeline_tbl[[#This Row],[Rep_ID]],Dim_Reps!A:A,Dim_Reps!E:E)</f>
        <v>NAMER</v>
      </c>
      <c r="S1912" t="str">
        <f>_xlfn.XLOOKUP(Pipeline_tbl[[#This Row],[Created_Date]],Dim_Date!A:A,Dim_Date!H:H)</f>
        <v>Nov 2024</v>
      </c>
      <c r="T1912" t="str">
        <f>IF(Pipeline_tbl[[#This Row],[Closed_Date]]=0,"",(_xlfn.XLOOKUP(Pipeline_tbl[[#This Row],[Closed_Date]],Dim_Date!A:A,Dim_Date!H:H)))</f>
        <v>Dec 2024</v>
      </c>
      <c r="U1912">
        <f>IF(Pipeline_tbl[[#This Row],[Closed_Date]]=0,"",Pipeline_tbl[[#This Row],[Closed_Date]]-Pipeline_tbl[[#This Row],[Created_Date]])</f>
        <v>38</v>
      </c>
    </row>
    <row r="1913" spans="1:21" ht="15" customHeight="1" x14ac:dyDescent="0.2">
      <c r="A1913" t="s">
        <v>2219</v>
      </c>
      <c r="B1913" t="s">
        <v>265</v>
      </c>
      <c r="C1913" t="s">
        <v>52</v>
      </c>
      <c r="D1913" s="49">
        <v>45612</v>
      </c>
      <c r="E1913" s="49">
        <v>45614</v>
      </c>
      <c r="F1913" s="49">
        <v>45619</v>
      </c>
      <c r="G1913" s="49">
        <v>45626</v>
      </c>
      <c r="I1913" s="49">
        <v>45635</v>
      </c>
      <c r="J1913" t="s">
        <v>49</v>
      </c>
      <c r="K1913" s="33">
        <v>8100</v>
      </c>
      <c r="L1913" t="s">
        <v>61</v>
      </c>
      <c r="M1913" t="str">
        <f>_xlfn.XLOOKUP(Pipeline_tbl[[#This Row],[Rep_ID]],Dim_Reps!A:A,Dim_Reps!K:K)</f>
        <v>EUR</v>
      </c>
      <c r="N1913" s="33">
        <f>(_xlfn.XLOOKUP(Pipeline_tbl[[#This Row],[Rate_Code_Generalized]],Lookups!A:A,Lookups!B:B))*Pipeline_tbl[[#This Row],[Pipeline_Amount_USD]]</f>
        <v>8100</v>
      </c>
      <c r="O1913" t="str">
        <f>_xlfn.XLOOKUP(Pipeline_tbl[[#This Row],[Rep_ID]],Dim_Reps!A:A,Dim_Reps!B:B)</f>
        <v>Erik Duarte</v>
      </c>
      <c r="P1913" t="str">
        <f>_xlfn.XLOOKUP(Pipeline_tbl[[#This Row],[Rep_ID]],Dim_Reps!A:A,Dim_Reps!C:C)</f>
        <v>Mid-Market AE</v>
      </c>
      <c r="Q1913" t="str">
        <f>_xlfn.XLOOKUP(Pipeline_tbl[[#This Row],[Rep_ID]],Dim_Reps!A:A,Dim_Reps!D:D)</f>
        <v>Mid-Market</v>
      </c>
      <c r="R1913" t="str">
        <f>_xlfn.XLOOKUP(Pipeline_tbl[[#This Row],[Rep_ID]],Dim_Reps!A:A,Dim_Reps!E:E)</f>
        <v>EMEA</v>
      </c>
      <c r="S1913" t="str">
        <f>_xlfn.XLOOKUP(Pipeline_tbl[[#This Row],[Created_Date]],Dim_Date!A:A,Dim_Date!H:H)</f>
        <v>Nov 2024</v>
      </c>
      <c r="T1913" t="str">
        <f>IF(Pipeline_tbl[[#This Row],[Closed_Date]]=0,"",(_xlfn.XLOOKUP(Pipeline_tbl[[#This Row],[Closed_Date]],Dim_Date!A:A,Dim_Date!H:H)))</f>
        <v>Dec 2024</v>
      </c>
      <c r="U1913">
        <f>IF(Pipeline_tbl[[#This Row],[Closed_Date]]=0,"",Pipeline_tbl[[#This Row],[Closed_Date]]-Pipeline_tbl[[#This Row],[Created_Date]])</f>
        <v>23</v>
      </c>
    </row>
    <row r="1914" spans="1:21" ht="15" customHeight="1" x14ac:dyDescent="0.2">
      <c r="A1914" t="s">
        <v>2220</v>
      </c>
      <c r="B1914" t="s">
        <v>265</v>
      </c>
      <c r="C1914" t="s">
        <v>53</v>
      </c>
      <c r="D1914" s="49">
        <v>45597</v>
      </c>
      <c r="E1914" s="49">
        <v>45602</v>
      </c>
      <c r="F1914" s="49">
        <v>45611</v>
      </c>
      <c r="G1914" s="49">
        <v>45625</v>
      </c>
      <c r="H1914" s="49">
        <v>45636</v>
      </c>
      <c r="I1914" s="49">
        <v>45643</v>
      </c>
      <c r="J1914" t="s">
        <v>49</v>
      </c>
      <c r="K1914" s="33">
        <v>9200</v>
      </c>
      <c r="L1914" t="s">
        <v>62</v>
      </c>
      <c r="M1914" t="str">
        <f>_xlfn.XLOOKUP(Pipeline_tbl[[#This Row],[Rep_ID]],Dim_Reps!A:A,Dim_Reps!K:K)</f>
        <v>EUR</v>
      </c>
      <c r="N1914" s="33">
        <f>(_xlfn.XLOOKUP(Pipeline_tbl[[#This Row],[Rate_Code_Generalized]],Lookups!A:A,Lookups!B:B))*Pipeline_tbl[[#This Row],[Pipeline_Amount_USD]]</f>
        <v>9200</v>
      </c>
      <c r="O1914" t="str">
        <f>_xlfn.XLOOKUP(Pipeline_tbl[[#This Row],[Rep_ID]],Dim_Reps!A:A,Dim_Reps!B:B)</f>
        <v>Erik Duarte</v>
      </c>
      <c r="P1914" t="str">
        <f>_xlfn.XLOOKUP(Pipeline_tbl[[#This Row],[Rep_ID]],Dim_Reps!A:A,Dim_Reps!C:C)</f>
        <v>Mid-Market AE</v>
      </c>
      <c r="Q1914" t="str">
        <f>_xlfn.XLOOKUP(Pipeline_tbl[[#This Row],[Rep_ID]],Dim_Reps!A:A,Dim_Reps!D:D)</f>
        <v>Mid-Market</v>
      </c>
      <c r="R1914" t="str">
        <f>_xlfn.XLOOKUP(Pipeline_tbl[[#This Row],[Rep_ID]],Dim_Reps!A:A,Dim_Reps!E:E)</f>
        <v>EMEA</v>
      </c>
      <c r="S1914" t="str">
        <f>_xlfn.XLOOKUP(Pipeline_tbl[[#This Row],[Created_Date]],Dim_Date!A:A,Dim_Date!H:H)</f>
        <v>Nov 2024</v>
      </c>
      <c r="T1914" t="str">
        <f>IF(Pipeline_tbl[[#This Row],[Closed_Date]]=0,"",(_xlfn.XLOOKUP(Pipeline_tbl[[#This Row],[Closed_Date]],Dim_Date!A:A,Dim_Date!H:H)))</f>
        <v>Dec 2024</v>
      </c>
      <c r="U1914">
        <f>IF(Pipeline_tbl[[#This Row],[Closed_Date]]=0,"",Pipeline_tbl[[#This Row],[Closed_Date]]-Pipeline_tbl[[#This Row],[Created_Date]])</f>
        <v>46</v>
      </c>
    </row>
    <row r="1915" spans="1:21" ht="15" customHeight="1" x14ac:dyDescent="0.2">
      <c r="A1915" t="s">
        <v>2221</v>
      </c>
      <c r="B1915" t="s">
        <v>265</v>
      </c>
      <c r="C1915" t="s">
        <v>54</v>
      </c>
      <c r="D1915" s="49">
        <v>45607</v>
      </c>
      <c r="E1915" s="49">
        <v>45611</v>
      </c>
      <c r="F1915" s="49">
        <v>45620</v>
      </c>
      <c r="G1915" s="49">
        <v>45633</v>
      </c>
      <c r="H1915" s="49">
        <v>45644</v>
      </c>
      <c r="I1915" s="49">
        <v>45650</v>
      </c>
      <c r="J1915" t="s">
        <v>47</v>
      </c>
      <c r="K1915" s="33">
        <v>16700</v>
      </c>
      <c r="M1915" t="str">
        <f>_xlfn.XLOOKUP(Pipeline_tbl[[#This Row],[Rep_ID]],Dim_Reps!A:A,Dim_Reps!K:K)</f>
        <v>EUR</v>
      </c>
      <c r="N1915" s="33">
        <f>(_xlfn.XLOOKUP(Pipeline_tbl[[#This Row],[Rate_Code_Generalized]],Lookups!A:A,Lookups!B:B))*Pipeline_tbl[[#This Row],[Pipeline_Amount_USD]]</f>
        <v>16700</v>
      </c>
      <c r="O1915" t="str">
        <f>_xlfn.XLOOKUP(Pipeline_tbl[[#This Row],[Rep_ID]],Dim_Reps!A:A,Dim_Reps!B:B)</f>
        <v>Erik Duarte</v>
      </c>
      <c r="P1915" t="str">
        <f>_xlfn.XLOOKUP(Pipeline_tbl[[#This Row],[Rep_ID]],Dim_Reps!A:A,Dim_Reps!C:C)</f>
        <v>Mid-Market AE</v>
      </c>
      <c r="Q1915" t="str">
        <f>_xlfn.XLOOKUP(Pipeline_tbl[[#This Row],[Rep_ID]],Dim_Reps!A:A,Dim_Reps!D:D)</f>
        <v>Mid-Market</v>
      </c>
      <c r="R1915" t="str">
        <f>_xlfn.XLOOKUP(Pipeline_tbl[[#This Row],[Rep_ID]],Dim_Reps!A:A,Dim_Reps!E:E)</f>
        <v>EMEA</v>
      </c>
      <c r="S1915" t="str">
        <f>_xlfn.XLOOKUP(Pipeline_tbl[[#This Row],[Created_Date]],Dim_Date!A:A,Dim_Date!H:H)</f>
        <v>Nov 2024</v>
      </c>
      <c r="T1915" t="str">
        <f>IF(Pipeline_tbl[[#This Row],[Closed_Date]]=0,"",(_xlfn.XLOOKUP(Pipeline_tbl[[#This Row],[Closed_Date]],Dim_Date!A:A,Dim_Date!H:H)))</f>
        <v>Dec 2024</v>
      </c>
      <c r="U1915">
        <f>IF(Pipeline_tbl[[#This Row],[Closed_Date]]=0,"",Pipeline_tbl[[#This Row],[Closed_Date]]-Pipeline_tbl[[#This Row],[Created_Date]])</f>
        <v>43</v>
      </c>
    </row>
    <row r="1916" spans="1:21" ht="15" customHeight="1" x14ac:dyDescent="0.2">
      <c r="A1916" t="s">
        <v>2222</v>
      </c>
      <c r="B1916" t="s">
        <v>265</v>
      </c>
      <c r="C1916" t="s">
        <v>52</v>
      </c>
      <c r="D1916" s="49">
        <v>45616</v>
      </c>
      <c r="E1916" s="49">
        <v>45620</v>
      </c>
      <c r="F1916" s="49">
        <v>45628</v>
      </c>
      <c r="G1916" s="49">
        <v>45640</v>
      </c>
      <c r="H1916" s="49">
        <v>45650</v>
      </c>
      <c r="I1916" s="49">
        <v>45656</v>
      </c>
      <c r="J1916" t="s">
        <v>47</v>
      </c>
      <c r="K1916" s="33">
        <v>15300</v>
      </c>
      <c r="M1916" t="str">
        <f>_xlfn.XLOOKUP(Pipeline_tbl[[#This Row],[Rep_ID]],Dim_Reps!A:A,Dim_Reps!K:K)</f>
        <v>EUR</v>
      </c>
      <c r="N1916" s="33">
        <f>(_xlfn.XLOOKUP(Pipeline_tbl[[#This Row],[Rate_Code_Generalized]],Lookups!A:A,Lookups!B:B))*Pipeline_tbl[[#This Row],[Pipeline_Amount_USD]]</f>
        <v>15300</v>
      </c>
      <c r="O1916" t="str">
        <f>_xlfn.XLOOKUP(Pipeline_tbl[[#This Row],[Rep_ID]],Dim_Reps!A:A,Dim_Reps!B:B)</f>
        <v>Erik Duarte</v>
      </c>
      <c r="P1916" t="str">
        <f>_xlfn.XLOOKUP(Pipeline_tbl[[#This Row],[Rep_ID]],Dim_Reps!A:A,Dim_Reps!C:C)</f>
        <v>Mid-Market AE</v>
      </c>
      <c r="Q1916" t="str">
        <f>_xlfn.XLOOKUP(Pipeline_tbl[[#This Row],[Rep_ID]],Dim_Reps!A:A,Dim_Reps!D:D)</f>
        <v>Mid-Market</v>
      </c>
      <c r="R1916" t="str">
        <f>_xlfn.XLOOKUP(Pipeline_tbl[[#This Row],[Rep_ID]],Dim_Reps!A:A,Dim_Reps!E:E)</f>
        <v>EMEA</v>
      </c>
      <c r="S1916" t="str">
        <f>_xlfn.XLOOKUP(Pipeline_tbl[[#This Row],[Created_Date]],Dim_Date!A:A,Dim_Date!H:H)</f>
        <v>Nov 2024</v>
      </c>
      <c r="T1916" t="str">
        <f>IF(Pipeline_tbl[[#This Row],[Closed_Date]]=0,"",(_xlfn.XLOOKUP(Pipeline_tbl[[#This Row],[Closed_Date]],Dim_Date!A:A,Dim_Date!H:H)))</f>
        <v>Dec 2024</v>
      </c>
      <c r="U1916">
        <f>IF(Pipeline_tbl[[#This Row],[Closed_Date]]=0,"",Pipeline_tbl[[#This Row],[Closed_Date]]-Pipeline_tbl[[#This Row],[Created_Date]])</f>
        <v>40</v>
      </c>
    </row>
    <row r="1917" spans="1:21" ht="15" customHeight="1" x14ac:dyDescent="0.2">
      <c r="A1917" t="s">
        <v>2223</v>
      </c>
      <c r="B1917" t="s">
        <v>265</v>
      </c>
      <c r="C1917" t="s">
        <v>54</v>
      </c>
      <c r="D1917" s="49">
        <v>45603</v>
      </c>
      <c r="E1917" s="49">
        <v>45607</v>
      </c>
      <c r="F1917" s="49">
        <v>45614</v>
      </c>
      <c r="G1917" s="49">
        <v>45625</v>
      </c>
      <c r="H1917" s="49">
        <v>45634</v>
      </c>
      <c r="I1917" s="49">
        <v>45639</v>
      </c>
      <c r="J1917" t="s">
        <v>47</v>
      </c>
      <c r="K1917" s="33">
        <v>17600</v>
      </c>
      <c r="M1917" t="str">
        <f>_xlfn.XLOOKUP(Pipeline_tbl[[#This Row],[Rep_ID]],Dim_Reps!A:A,Dim_Reps!K:K)</f>
        <v>EUR</v>
      </c>
      <c r="N1917" s="33">
        <f>(_xlfn.XLOOKUP(Pipeline_tbl[[#This Row],[Rate_Code_Generalized]],Lookups!A:A,Lookups!B:B))*Pipeline_tbl[[#This Row],[Pipeline_Amount_USD]]</f>
        <v>17600</v>
      </c>
      <c r="O1917" t="str">
        <f>_xlfn.XLOOKUP(Pipeline_tbl[[#This Row],[Rep_ID]],Dim_Reps!A:A,Dim_Reps!B:B)</f>
        <v>Erik Duarte</v>
      </c>
      <c r="P1917" t="str">
        <f>_xlfn.XLOOKUP(Pipeline_tbl[[#This Row],[Rep_ID]],Dim_Reps!A:A,Dim_Reps!C:C)</f>
        <v>Mid-Market AE</v>
      </c>
      <c r="Q1917" t="str">
        <f>_xlfn.XLOOKUP(Pipeline_tbl[[#This Row],[Rep_ID]],Dim_Reps!A:A,Dim_Reps!D:D)</f>
        <v>Mid-Market</v>
      </c>
      <c r="R1917" t="str">
        <f>_xlfn.XLOOKUP(Pipeline_tbl[[#This Row],[Rep_ID]],Dim_Reps!A:A,Dim_Reps!E:E)</f>
        <v>EMEA</v>
      </c>
      <c r="S1917" t="str">
        <f>_xlfn.XLOOKUP(Pipeline_tbl[[#This Row],[Created_Date]],Dim_Date!A:A,Dim_Date!H:H)</f>
        <v>Nov 2024</v>
      </c>
      <c r="T1917" t="str">
        <f>IF(Pipeline_tbl[[#This Row],[Closed_Date]]=0,"",(_xlfn.XLOOKUP(Pipeline_tbl[[#This Row],[Closed_Date]],Dim_Date!A:A,Dim_Date!H:H)))</f>
        <v>Dec 2024</v>
      </c>
      <c r="U1917">
        <f>IF(Pipeline_tbl[[#This Row],[Closed_Date]]=0,"",Pipeline_tbl[[#This Row],[Closed_Date]]-Pipeline_tbl[[#This Row],[Created_Date]])</f>
        <v>36</v>
      </c>
    </row>
    <row r="1918" spans="1:21" ht="15" customHeight="1" x14ac:dyDescent="0.2">
      <c r="A1918" t="s">
        <v>2224</v>
      </c>
      <c r="B1918" t="s">
        <v>233</v>
      </c>
      <c r="C1918" t="s">
        <v>52</v>
      </c>
      <c r="D1918" s="49">
        <v>45610</v>
      </c>
      <c r="E1918" s="49">
        <v>45612</v>
      </c>
      <c r="F1918" s="49">
        <v>45616</v>
      </c>
      <c r="G1918" s="49">
        <v>45622</v>
      </c>
      <c r="I1918" s="49">
        <v>45630</v>
      </c>
      <c r="J1918" t="s">
        <v>49</v>
      </c>
      <c r="K1918" s="33">
        <v>3000</v>
      </c>
      <c r="L1918" t="s">
        <v>61</v>
      </c>
      <c r="M1918" t="str">
        <f>_xlfn.XLOOKUP(Pipeline_tbl[[#This Row],[Rep_ID]],Dim_Reps!A:A,Dim_Reps!K:K)</f>
        <v>MXN</v>
      </c>
      <c r="N1918" s="33">
        <f>(_xlfn.XLOOKUP(Pipeline_tbl[[#This Row],[Rate_Code_Generalized]],Lookups!A:A,Lookups!B:B))*Pipeline_tbl[[#This Row],[Pipeline_Amount_USD]]</f>
        <v>59198.100000000006</v>
      </c>
      <c r="O1918" t="str">
        <f>_xlfn.XLOOKUP(Pipeline_tbl[[#This Row],[Rep_ID]],Dim_Reps!A:A,Dim_Reps!B:B)</f>
        <v>Lucas Duarte</v>
      </c>
      <c r="P1918" t="str">
        <f>_xlfn.XLOOKUP(Pipeline_tbl[[#This Row],[Rep_ID]],Dim_Reps!A:A,Dim_Reps!C:C)</f>
        <v>SDR / Inside Sales Rep</v>
      </c>
      <c r="Q1918" t="str">
        <f>_xlfn.XLOOKUP(Pipeline_tbl[[#This Row],[Rep_ID]],Dim_Reps!A:A,Dim_Reps!D:D)</f>
        <v>Inside Sales</v>
      </c>
      <c r="R1918" t="str">
        <f>_xlfn.XLOOKUP(Pipeline_tbl[[#This Row],[Rep_ID]],Dim_Reps!A:A,Dim_Reps!E:E)</f>
        <v>LATAM</v>
      </c>
      <c r="S1918" t="str">
        <f>_xlfn.XLOOKUP(Pipeline_tbl[[#This Row],[Created_Date]],Dim_Date!A:A,Dim_Date!H:H)</f>
        <v>Nov 2024</v>
      </c>
      <c r="T1918" t="str">
        <f>IF(Pipeline_tbl[[#This Row],[Closed_Date]]=0,"",(_xlfn.XLOOKUP(Pipeline_tbl[[#This Row],[Closed_Date]],Dim_Date!A:A,Dim_Date!H:H)))</f>
        <v>Dec 2024</v>
      </c>
      <c r="U1918">
        <f>IF(Pipeline_tbl[[#This Row],[Closed_Date]]=0,"",Pipeline_tbl[[#This Row],[Closed_Date]]-Pipeline_tbl[[#This Row],[Created_Date]])</f>
        <v>20</v>
      </c>
    </row>
    <row r="1919" spans="1:21" ht="15" customHeight="1" x14ac:dyDescent="0.2">
      <c r="A1919" t="s">
        <v>2225</v>
      </c>
      <c r="B1919" t="s">
        <v>233</v>
      </c>
      <c r="C1919" t="s">
        <v>52</v>
      </c>
      <c r="D1919" s="49">
        <v>45606</v>
      </c>
      <c r="E1919" s="49">
        <v>45608</v>
      </c>
      <c r="I1919" s="49">
        <v>45627</v>
      </c>
      <c r="J1919" t="s">
        <v>49</v>
      </c>
      <c r="K1919" s="33">
        <v>2800</v>
      </c>
      <c r="L1919" t="s">
        <v>60</v>
      </c>
      <c r="M1919" t="str">
        <f>_xlfn.XLOOKUP(Pipeline_tbl[[#This Row],[Rep_ID]],Dim_Reps!A:A,Dim_Reps!K:K)</f>
        <v>MXN</v>
      </c>
      <c r="N1919" s="33">
        <f>(_xlfn.XLOOKUP(Pipeline_tbl[[#This Row],[Rate_Code_Generalized]],Lookups!A:A,Lookups!B:B))*Pipeline_tbl[[#This Row],[Pipeline_Amount_USD]]</f>
        <v>55251.560000000005</v>
      </c>
      <c r="O1919" t="str">
        <f>_xlfn.XLOOKUP(Pipeline_tbl[[#This Row],[Rep_ID]],Dim_Reps!A:A,Dim_Reps!B:B)</f>
        <v>Lucas Duarte</v>
      </c>
      <c r="P1919" t="str">
        <f>_xlfn.XLOOKUP(Pipeline_tbl[[#This Row],[Rep_ID]],Dim_Reps!A:A,Dim_Reps!C:C)</f>
        <v>SDR / Inside Sales Rep</v>
      </c>
      <c r="Q1919" t="str">
        <f>_xlfn.XLOOKUP(Pipeline_tbl[[#This Row],[Rep_ID]],Dim_Reps!A:A,Dim_Reps!D:D)</f>
        <v>Inside Sales</v>
      </c>
      <c r="R1919" t="str">
        <f>_xlfn.XLOOKUP(Pipeline_tbl[[#This Row],[Rep_ID]],Dim_Reps!A:A,Dim_Reps!E:E)</f>
        <v>LATAM</v>
      </c>
      <c r="S1919" t="str">
        <f>_xlfn.XLOOKUP(Pipeline_tbl[[#This Row],[Created_Date]],Dim_Date!A:A,Dim_Date!H:H)</f>
        <v>Nov 2024</v>
      </c>
      <c r="T1919" t="str">
        <f>IF(Pipeline_tbl[[#This Row],[Closed_Date]]=0,"",(_xlfn.XLOOKUP(Pipeline_tbl[[#This Row],[Closed_Date]],Dim_Date!A:A,Dim_Date!H:H)))</f>
        <v>Dec 2024</v>
      </c>
      <c r="U1919">
        <f>IF(Pipeline_tbl[[#This Row],[Closed_Date]]=0,"",Pipeline_tbl[[#This Row],[Closed_Date]]-Pipeline_tbl[[#This Row],[Created_Date]])</f>
        <v>21</v>
      </c>
    </row>
    <row r="1920" spans="1:21" ht="15" customHeight="1" x14ac:dyDescent="0.2">
      <c r="A1920" t="s">
        <v>2226</v>
      </c>
      <c r="B1920" t="s">
        <v>233</v>
      </c>
      <c r="C1920" t="s">
        <v>53</v>
      </c>
      <c r="D1920" s="49">
        <v>45623</v>
      </c>
      <c r="E1920" s="49">
        <v>45624</v>
      </c>
      <c r="I1920" s="49">
        <v>45635</v>
      </c>
      <c r="J1920" t="s">
        <v>49</v>
      </c>
      <c r="K1920" s="33">
        <v>4600</v>
      </c>
      <c r="L1920" t="s">
        <v>63</v>
      </c>
      <c r="M1920" t="str">
        <f>_xlfn.XLOOKUP(Pipeline_tbl[[#This Row],[Rep_ID]],Dim_Reps!A:A,Dim_Reps!K:K)</f>
        <v>MXN</v>
      </c>
      <c r="N1920" s="33">
        <f>(_xlfn.XLOOKUP(Pipeline_tbl[[#This Row],[Rate_Code_Generalized]],Lookups!A:A,Lookups!B:B))*Pipeline_tbl[[#This Row],[Pipeline_Amount_USD]]</f>
        <v>90770.420000000013</v>
      </c>
      <c r="O1920" t="str">
        <f>_xlfn.XLOOKUP(Pipeline_tbl[[#This Row],[Rep_ID]],Dim_Reps!A:A,Dim_Reps!B:B)</f>
        <v>Lucas Duarte</v>
      </c>
      <c r="P1920" t="str">
        <f>_xlfn.XLOOKUP(Pipeline_tbl[[#This Row],[Rep_ID]],Dim_Reps!A:A,Dim_Reps!C:C)</f>
        <v>SDR / Inside Sales Rep</v>
      </c>
      <c r="Q1920" t="str">
        <f>_xlfn.XLOOKUP(Pipeline_tbl[[#This Row],[Rep_ID]],Dim_Reps!A:A,Dim_Reps!D:D)</f>
        <v>Inside Sales</v>
      </c>
      <c r="R1920" t="str">
        <f>_xlfn.XLOOKUP(Pipeline_tbl[[#This Row],[Rep_ID]],Dim_Reps!A:A,Dim_Reps!E:E)</f>
        <v>LATAM</v>
      </c>
      <c r="S1920" t="str">
        <f>_xlfn.XLOOKUP(Pipeline_tbl[[#This Row],[Created_Date]],Dim_Date!A:A,Dim_Date!H:H)</f>
        <v>Nov 2024</v>
      </c>
      <c r="T1920" t="str">
        <f>IF(Pipeline_tbl[[#This Row],[Closed_Date]]=0,"",(_xlfn.XLOOKUP(Pipeline_tbl[[#This Row],[Closed_Date]],Dim_Date!A:A,Dim_Date!H:H)))</f>
        <v>Dec 2024</v>
      </c>
      <c r="U1920">
        <f>IF(Pipeline_tbl[[#This Row],[Closed_Date]]=0,"",Pipeline_tbl[[#This Row],[Closed_Date]]-Pipeline_tbl[[#This Row],[Created_Date]])</f>
        <v>12</v>
      </c>
    </row>
    <row r="1921" spans="1:21" ht="15" customHeight="1" x14ac:dyDescent="0.2">
      <c r="A1921" t="s">
        <v>2227</v>
      </c>
      <c r="B1921" t="s">
        <v>233</v>
      </c>
      <c r="C1921" t="s">
        <v>53</v>
      </c>
      <c r="D1921" s="49">
        <v>45618</v>
      </c>
      <c r="E1921" s="49">
        <v>45619</v>
      </c>
      <c r="F1921" s="49">
        <v>45622</v>
      </c>
      <c r="G1921" s="49">
        <v>45625</v>
      </c>
      <c r="H1921" s="49">
        <v>45628</v>
      </c>
      <c r="I1921" s="49">
        <v>45630</v>
      </c>
      <c r="J1921" t="s">
        <v>49</v>
      </c>
      <c r="K1921" s="33">
        <v>3500</v>
      </c>
      <c r="L1921" t="s">
        <v>61</v>
      </c>
      <c r="M1921" t="str">
        <f>_xlfn.XLOOKUP(Pipeline_tbl[[#This Row],[Rep_ID]],Dim_Reps!A:A,Dim_Reps!K:K)</f>
        <v>MXN</v>
      </c>
      <c r="N1921" s="33">
        <f>(_xlfn.XLOOKUP(Pipeline_tbl[[#This Row],[Rate_Code_Generalized]],Lookups!A:A,Lookups!B:B))*Pipeline_tbl[[#This Row],[Pipeline_Amount_USD]]</f>
        <v>69064.45</v>
      </c>
      <c r="O1921" t="str">
        <f>_xlfn.XLOOKUP(Pipeline_tbl[[#This Row],[Rep_ID]],Dim_Reps!A:A,Dim_Reps!B:B)</f>
        <v>Lucas Duarte</v>
      </c>
      <c r="P1921" t="str">
        <f>_xlfn.XLOOKUP(Pipeline_tbl[[#This Row],[Rep_ID]],Dim_Reps!A:A,Dim_Reps!C:C)</f>
        <v>SDR / Inside Sales Rep</v>
      </c>
      <c r="Q1921" t="str">
        <f>_xlfn.XLOOKUP(Pipeline_tbl[[#This Row],[Rep_ID]],Dim_Reps!A:A,Dim_Reps!D:D)</f>
        <v>Inside Sales</v>
      </c>
      <c r="R1921" t="str">
        <f>_xlfn.XLOOKUP(Pipeline_tbl[[#This Row],[Rep_ID]],Dim_Reps!A:A,Dim_Reps!E:E)</f>
        <v>LATAM</v>
      </c>
      <c r="S1921" t="str">
        <f>_xlfn.XLOOKUP(Pipeline_tbl[[#This Row],[Created_Date]],Dim_Date!A:A,Dim_Date!H:H)</f>
        <v>Nov 2024</v>
      </c>
      <c r="T1921" t="str">
        <f>IF(Pipeline_tbl[[#This Row],[Closed_Date]]=0,"",(_xlfn.XLOOKUP(Pipeline_tbl[[#This Row],[Closed_Date]],Dim_Date!A:A,Dim_Date!H:H)))</f>
        <v>Dec 2024</v>
      </c>
      <c r="U1921">
        <f>IF(Pipeline_tbl[[#This Row],[Closed_Date]]=0,"",Pipeline_tbl[[#This Row],[Closed_Date]]-Pipeline_tbl[[#This Row],[Created_Date]])</f>
        <v>12</v>
      </c>
    </row>
    <row r="1922" spans="1:21" ht="15" customHeight="1" x14ac:dyDescent="0.2">
      <c r="A1922" t="s">
        <v>2228</v>
      </c>
      <c r="B1922" t="s">
        <v>267</v>
      </c>
      <c r="C1922" t="s">
        <v>52</v>
      </c>
      <c r="D1922" s="49">
        <v>45611</v>
      </c>
      <c r="E1922" s="49">
        <v>45614</v>
      </c>
      <c r="F1922" s="49">
        <v>45621</v>
      </c>
      <c r="G1922" s="49">
        <v>45631</v>
      </c>
      <c r="H1922" s="49">
        <v>45639</v>
      </c>
      <c r="I1922" s="49">
        <v>45644</v>
      </c>
      <c r="J1922" t="s">
        <v>47</v>
      </c>
      <c r="K1922" s="33">
        <v>6700</v>
      </c>
      <c r="M1922" t="str">
        <f>_xlfn.XLOOKUP(Pipeline_tbl[[#This Row],[Rep_ID]],Dim_Reps!A:A,Dim_Reps!K:K)</f>
        <v>MXN</v>
      </c>
      <c r="N1922" s="33">
        <f>(_xlfn.XLOOKUP(Pipeline_tbl[[#This Row],[Rate_Code_Generalized]],Lookups!A:A,Lookups!B:B))*Pipeline_tbl[[#This Row],[Pipeline_Amount_USD]]</f>
        <v>132209.09</v>
      </c>
      <c r="O1922" t="str">
        <f>_xlfn.XLOOKUP(Pipeline_tbl[[#This Row],[Rep_ID]],Dim_Reps!A:A,Dim_Reps!B:B)</f>
        <v>Yuki Dubois</v>
      </c>
      <c r="P1922" t="str">
        <f>_xlfn.XLOOKUP(Pipeline_tbl[[#This Row],[Rep_ID]],Dim_Reps!A:A,Dim_Reps!C:C)</f>
        <v>Mid-Market AE</v>
      </c>
      <c r="Q1922" t="str">
        <f>_xlfn.XLOOKUP(Pipeline_tbl[[#This Row],[Rep_ID]],Dim_Reps!A:A,Dim_Reps!D:D)</f>
        <v>Mid-Market</v>
      </c>
      <c r="R1922" t="str">
        <f>_xlfn.XLOOKUP(Pipeline_tbl[[#This Row],[Rep_ID]],Dim_Reps!A:A,Dim_Reps!E:E)</f>
        <v>LATAM</v>
      </c>
      <c r="S1922" t="str">
        <f>_xlfn.XLOOKUP(Pipeline_tbl[[#This Row],[Created_Date]],Dim_Date!A:A,Dim_Date!H:H)</f>
        <v>Nov 2024</v>
      </c>
      <c r="T1922" t="str">
        <f>IF(Pipeline_tbl[[#This Row],[Closed_Date]]=0,"",(_xlfn.XLOOKUP(Pipeline_tbl[[#This Row],[Closed_Date]],Dim_Date!A:A,Dim_Date!H:H)))</f>
        <v>Dec 2024</v>
      </c>
      <c r="U1922">
        <f>IF(Pipeline_tbl[[#This Row],[Closed_Date]]=0,"",Pipeline_tbl[[#This Row],[Closed_Date]]-Pipeline_tbl[[#This Row],[Created_Date]])</f>
        <v>33</v>
      </c>
    </row>
    <row r="1923" spans="1:21" ht="15" customHeight="1" x14ac:dyDescent="0.2">
      <c r="A1923" t="s">
        <v>2229</v>
      </c>
      <c r="B1923" t="s">
        <v>267</v>
      </c>
      <c r="C1923" t="s">
        <v>52</v>
      </c>
      <c r="D1923" s="49">
        <v>45603</v>
      </c>
      <c r="E1923" s="49">
        <v>45607</v>
      </c>
      <c r="F1923" s="49">
        <v>45616</v>
      </c>
      <c r="I1923" s="49">
        <v>45646</v>
      </c>
      <c r="J1923" t="s">
        <v>49</v>
      </c>
      <c r="K1923" s="33">
        <v>17100</v>
      </c>
      <c r="L1923" t="s">
        <v>60</v>
      </c>
      <c r="M1923" t="str">
        <f>_xlfn.XLOOKUP(Pipeline_tbl[[#This Row],[Rep_ID]],Dim_Reps!A:A,Dim_Reps!K:K)</f>
        <v>MXN</v>
      </c>
      <c r="N1923" s="33">
        <f>(_xlfn.XLOOKUP(Pipeline_tbl[[#This Row],[Rate_Code_Generalized]],Lookups!A:A,Lookups!B:B))*Pipeline_tbl[[#This Row],[Pipeline_Amount_USD]]</f>
        <v>337429.17000000004</v>
      </c>
      <c r="O1923" t="str">
        <f>_xlfn.XLOOKUP(Pipeline_tbl[[#This Row],[Rep_ID]],Dim_Reps!A:A,Dim_Reps!B:B)</f>
        <v>Yuki Dubois</v>
      </c>
      <c r="P1923" t="str">
        <f>_xlfn.XLOOKUP(Pipeline_tbl[[#This Row],[Rep_ID]],Dim_Reps!A:A,Dim_Reps!C:C)</f>
        <v>Mid-Market AE</v>
      </c>
      <c r="Q1923" t="str">
        <f>_xlfn.XLOOKUP(Pipeline_tbl[[#This Row],[Rep_ID]],Dim_Reps!A:A,Dim_Reps!D:D)</f>
        <v>Mid-Market</v>
      </c>
      <c r="R1923" t="str">
        <f>_xlfn.XLOOKUP(Pipeline_tbl[[#This Row],[Rep_ID]],Dim_Reps!A:A,Dim_Reps!E:E)</f>
        <v>LATAM</v>
      </c>
      <c r="S1923" t="str">
        <f>_xlfn.XLOOKUP(Pipeline_tbl[[#This Row],[Created_Date]],Dim_Date!A:A,Dim_Date!H:H)</f>
        <v>Nov 2024</v>
      </c>
      <c r="T1923" t="str">
        <f>IF(Pipeline_tbl[[#This Row],[Closed_Date]]=0,"",(_xlfn.XLOOKUP(Pipeline_tbl[[#This Row],[Closed_Date]],Dim_Date!A:A,Dim_Date!H:H)))</f>
        <v>Dec 2024</v>
      </c>
      <c r="U1923">
        <f>IF(Pipeline_tbl[[#This Row],[Closed_Date]]=0,"",Pipeline_tbl[[#This Row],[Closed_Date]]-Pipeline_tbl[[#This Row],[Created_Date]])</f>
        <v>43</v>
      </c>
    </row>
    <row r="1924" spans="1:21" ht="15" customHeight="1" x14ac:dyDescent="0.2">
      <c r="A1924" t="s">
        <v>2230</v>
      </c>
      <c r="B1924" t="s">
        <v>235</v>
      </c>
      <c r="C1924" t="s">
        <v>52</v>
      </c>
      <c r="D1924" s="49">
        <v>45626</v>
      </c>
      <c r="E1924" s="49">
        <v>45628</v>
      </c>
      <c r="F1924" s="49">
        <v>45631</v>
      </c>
      <c r="G1924" s="49">
        <v>45636</v>
      </c>
      <c r="I1924" s="49">
        <v>45643</v>
      </c>
      <c r="J1924" t="s">
        <v>49</v>
      </c>
      <c r="K1924" s="33">
        <v>2700</v>
      </c>
      <c r="L1924" t="s">
        <v>61</v>
      </c>
      <c r="M1924" t="str">
        <f>_xlfn.XLOOKUP(Pipeline_tbl[[#This Row],[Rep_ID]],Dim_Reps!A:A,Dim_Reps!K:K)</f>
        <v>MXN</v>
      </c>
      <c r="N1924" s="33">
        <f>(_xlfn.XLOOKUP(Pipeline_tbl[[#This Row],[Rate_Code_Generalized]],Lookups!A:A,Lookups!B:B))*Pipeline_tbl[[#This Row],[Pipeline_Amount_USD]]</f>
        <v>53278.29</v>
      </c>
      <c r="O1924" t="str">
        <f>_xlfn.XLOOKUP(Pipeline_tbl[[#This Row],[Rep_ID]],Dim_Reps!A:A,Dim_Reps!B:B)</f>
        <v>Milo Castro</v>
      </c>
      <c r="P1924" t="str">
        <f>_xlfn.XLOOKUP(Pipeline_tbl[[#This Row],[Rep_ID]],Dim_Reps!A:A,Dim_Reps!C:C)</f>
        <v>SDR / Inside Sales Rep</v>
      </c>
      <c r="Q1924" t="str">
        <f>_xlfn.XLOOKUP(Pipeline_tbl[[#This Row],[Rep_ID]],Dim_Reps!A:A,Dim_Reps!D:D)</f>
        <v>Inside Sales</v>
      </c>
      <c r="R1924" t="str">
        <f>_xlfn.XLOOKUP(Pipeline_tbl[[#This Row],[Rep_ID]],Dim_Reps!A:A,Dim_Reps!E:E)</f>
        <v>LATAM</v>
      </c>
      <c r="S1924" t="str">
        <f>_xlfn.XLOOKUP(Pipeline_tbl[[#This Row],[Created_Date]],Dim_Date!A:A,Dim_Date!H:H)</f>
        <v>Nov 2024</v>
      </c>
      <c r="T1924" t="str">
        <f>IF(Pipeline_tbl[[#This Row],[Closed_Date]]=0,"",(_xlfn.XLOOKUP(Pipeline_tbl[[#This Row],[Closed_Date]],Dim_Date!A:A,Dim_Date!H:H)))</f>
        <v>Dec 2024</v>
      </c>
      <c r="U1924">
        <f>IF(Pipeline_tbl[[#This Row],[Closed_Date]]=0,"",Pipeline_tbl[[#This Row],[Closed_Date]]-Pipeline_tbl[[#This Row],[Created_Date]])</f>
        <v>17</v>
      </c>
    </row>
    <row r="1925" spans="1:21" ht="15" customHeight="1" x14ac:dyDescent="0.2">
      <c r="A1925" t="s">
        <v>2231</v>
      </c>
      <c r="B1925" t="s">
        <v>235</v>
      </c>
      <c r="C1925" t="s">
        <v>55</v>
      </c>
      <c r="D1925" s="49">
        <v>45609</v>
      </c>
      <c r="E1925" s="49">
        <v>45611</v>
      </c>
      <c r="F1925" s="49">
        <v>45615</v>
      </c>
      <c r="G1925" s="49">
        <v>45620</v>
      </c>
      <c r="H1925" s="49">
        <v>45625</v>
      </c>
      <c r="I1925" s="49">
        <v>45628</v>
      </c>
      <c r="J1925" t="s">
        <v>47</v>
      </c>
      <c r="K1925" s="33">
        <v>4100</v>
      </c>
      <c r="M1925" t="str">
        <f>_xlfn.XLOOKUP(Pipeline_tbl[[#This Row],[Rep_ID]],Dim_Reps!A:A,Dim_Reps!K:K)</f>
        <v>MXN</v>
      </c>
      <c r="N1925" s="33">
        <f>(_xlfn.XLOOKUP(Pipeline_tbl[[#This Row],[Rate_Code_Generalized]],Lookups!A:A,Lookups!B:B))*Pipeline_tbl[[#This Row],[Pipeline_Amount_USD]]</f>
        <v>80904.070000000007</v>
      </c>
      <c r="O1925" t="str">
        <f>_xlfn.XLOOKUP(Pipeline_tbl[[#This Row],[Rep_ID]],Dim_Reps!A:A,Dim_Reps!B:B)</f>
        <v>Milo Castro</v>
      </c>
      <c r="P1925" t="str">
        <f>_xlfn.XLOOKUP(Pipeline_tbl[[#This Row],[Rep_ID]],Dim_Reps!A:A,Dim_Reps!C:C)</f>
        <v>SDR / Inside Sales Rep</v>
      </c>
      <c r="Q1925" t="str">
        <f>_xlfn.XLOOKUP(Pipeline_tbl[[#This Row],[Rep_ID]],Dim_Reps!A:A,Dim_Reps!D:D)</f>
        <v>Inside Sales</v>
      </c>
      <c r="R1925" t="str">
        <f>_xlfn.XLOOKUP(Pipeline_tbl[[#This Row],[Rep_ID]],Dim_Reps!A:A,Dim_Reps!E:E)</f>
        <v>LATAM</v>
      </c>
      <c r="S1925" t="str">
        <f>_xlfn.XLOOKUP(Pipeline_tbl[[#This Row],[Created_Date]],Dim_Date!A:A,Dim_Date!H:H)</f>
        <v>Nov 2024</v>
      </c>
      <c r="T1925" t="str">
        <f>IF(Pipeline_tbl[[#This Row],[Closed_Date]]=0,"",(_xlfn.XLOOKUP(Pipeline_tbl[[#This Row],[Closed_Date]],Dim_Date!A:A,Dim_Date!H:H)))</f>
        <v>Dec 2024</v>
      </c>
      <c r="U1925">
        <f>IF(Pipeline_tbl[[#This Row],[Closed_Date]]=0,"",Pipeline_tbl[[#This Row],[Closed_Date]]-Pipeline_tbl[[#This Row],[Created_Date]])</f>
        <v>19</v>
      </c>
    </row>
    <row r="1926" spans="1:21" ht="15" customHeight="1" x14ac:dyDescent="0.2">
      <c r="A1926" t="s">
        <v>2232</v>
      </c>
      <c r="B1926" t="s">
        <v>235</v>
      </c>
      <c r="C1926" t="s">
        <v>55</v>
      </c>
      <c r="D1926" s="49">
        <v>45620</v>
      </c>
      <c r="E1926" s="49">
        <v>45622</v>
      </c>
      <c r="F1926" s="49">
        <v>45627</v>
      </c>
      <c r="G1926" s="49">
        <v>45633</v>
      </c>
      <c r="I1926" s="49">
        <v>45642</v>
      </c>
      <c r="J1926" t="s">
        <v>49</v>
      </c>
      <c r="K1926" s="33">
        <v>3400</v>
      </c>
      <c r="L1926" t="s">
        <v>61</v>
      </c>
      <c r="M1926" t="str">
        <f>_xlfn.XLOOKUP(Pipeline_tbl[[#This Row],[Rep_ID]],Dim_Reps!A:A,Dim_Reps!K:K)</f>
        <v>MXN</v>
      </c>
      <c r="N1926" s="33">
        <f>(_xlfn.XLOOKUP(Pipeline_tbl[[#This Row],[Rate_Code_Generalized]],Lookups!A:A,Lookups!B:B))*Pipeline_tbl[[#This Row],[Pipeline_Amount_USD]]</f>
        <v>67091.180000000008</v>
      </c>
      <c r="O1926" t="str">
        <f>_xlfn.XLOOKUP(Pipeline_tbl[[#This Row],[Rep_ID]],Dim_Reps!A:A,Dim_Reps!B:B)</f>
        <v>Milo Castro</v>
      </c>
      <c r="P1926" t="str">
        <f>_xlfn.XLOOKUP(Pipeline_tbl[[#This Row],[Rep_ID]],Dim_Reps!A:A,Dim_Reps!C:C)</f>
        <v>SDR / Inside Sales Rep</v>
      </c>
      <c r="Q1926" t="str">
        <f>_xlfn.XLOOKUP(Pipeline_tbl[[#This Row],[Rep_ID]],Dim_Reps!A:A,Dim_Reps!D:D)</f>
        <v>Inside Sales</v>
      </c>
      <c r="R1926" t="str">
        <f>_xlfn.XLOOKUP(Pipeline_tbl[[#This Row],[Rep_ID]],Dim_Reps!A:A,Dim_Reps!E:E)</f>
        <v>LATAM</v>
      </c>
      <c r="S1926" t="str">
        <f>_xlfn.XLOOKUP(Pipeline_tbl[[#This Row],[Created_Date]],Dim_Date!A:A,Dim_Date!H:H)</f>
        <v>Nov 2024</v>
      </c>
      <c r="T1926" t="str">
        <f>IF(Pipeline_tbl[[#This Row],[Closed_Date]]=0,"",(_xlfn.XLOOKUP(Pipeline_tbl[[#This Row],[Closed_Date]],Dim_Date!A:A,Dim_Date!H:H)))</f>
        <v>Dec 2024</v>
      </c>
      <c r="U1926">
        <f>IF(Pipeline_tbl[[#This Row],[Closed_Date]]=0,"",Pipeline_tbl[[#This Row],[Closed_Date]]-Pipeline_tbl[[#This Row],[Created_Date]])</f>
        <v>22</v>
      </c>
    </row>
    <row r="1927" spans="1:21" ht="15" customHeight="1" x14ac:dyDescent="0.2">
      <c r="A1927" t="s">
        <v>2233</v>
      </c>
      <c r="B1927" t="s">
        <v>235</v>
      </c>
      <c r="C1927" t="s">
        <v>53</v>
      </c>
      <c r="D1927" s="49">
        <v>45615</v>
      </c>
      <c r="E1927" s="49">
        <v>45617</v>
      </c>
      <c r="F1927" s="49">
        <v>45621</v>
      </c>
      <c r="G1927" s="49">
        <v>45627</v>
      </c>
      <c r="H1927" s="49">
        <v>45632</v>
      </c>
      <c r="I1927" s="49">
        <v>45635</v>
      </c>
      <c r="J1927" t="s">
        <v>47</v>
      </c>
      <c r="K1927" s="33">
        <v>3000</v>
      </c>
      <c r="M1927" t="str">
        <f>_xlfn.XLOOKUP(Pipeline_tbl[[#This Row],[Rep_ID]],Dim_Reps!A:A,Dim_Reps!K:K)</f>
        <v>MXN</v>
      </c>
      <c r="N1927" s="33">
        <f>(_xlfn.XLOOKUP(Pipeline_tbl[[#This Row],[Rate_Code_Generalized]],Lookups!A:A,Lookups!B:B))*Pipeline_tbl[[#This Row],[Pipeline_Amount_USD]]</f>
        <v>59198.100000000006</v>
      </c>
      <c r="O1927" t="str">
        <f>_xlfn.XLOOKUP(Pipeline_tbl[[#This Row],[Rep_ID]],Dim_Reps!A:A,Dim_Reps!B:B)</f>
        <v>Milo Castro</v>
      </c>
      <c r="P1927" t="str">
        <f>_xlfn.XLOOKUP(Pipeline_tbl[[#This Row],[Rep_ID]],Dim_Reps!A:A,Dim_Reps!C:C)</f>
        <v>SDR / Inside Sales Rep</v>
      </c>
      <c r="Q1927" t="str">
        <f>_xlfn.XLOOKUP(Pipeline_tbl[[#This Row],[Rep_ID]],Dim_Reps!A:A,Dim_Reps!D:D)</f>
        <v>Inside Sales</v>
      </c>
      <c r="R1927" t="str">
        <f>_xlfn.XLOOKUP(Pipeline_tbl[[#This Row],[Rep_ID]],Dim_Reps!A:A,Dim_Reps!E:E)</f>
        <v>LATAM</v>
      </c>
      <c r="S1927" t="str">
        <f>_xlfn.XLOOKUP(Pipeline_tbl[[#This Row],[Created_Date]],Dim_Date!A:A,Dim_Date!H:H)</f>
        <v>Nov 2024</v>
      </c>
      <c r="T1927" t="str">
        <f>IF(Pipeline_tbl[[#This Row],[Closed_Date]]=0,"",(_xlfn.XLOOKUP(Pipeline_tbl[[#This Row],[Closed_Date]],Dim_Date!A:A,Dim_Date!H:H)))</f>
        <v>Dec 2024</v>
      </c>
      <c r="U1927">
        <f>IF(Pipeline_tbl[[#This Row],[Closed_Date]]=0,"",Pipeline_tbl[[#This Row],[Closed_Date]]-Pipeline_tbl[[#This Row],[Created_Date]])</f>
        <v>20</v>
      </c>
    </row>
    <row r="1928" spans="1:21" ht="15" customHeight="1" x14ac:dyDescent="0.2">
      <c r="A1928" t="s">
        <v>2234</v>
      </c>
      <c r="B1928" t="s">
        <v>235</v>
      </c>
      <c r="C1928" t="s">
        <v>53</v>
      </c>
      <c r="D1928" s="49">
        <v>45619</v>
      </c>
      <c r="E1928" s="49">
        <v>45621</v>
      </c>
      <c r="F1928" s="49">
        <v>45624</v>
      </c>
      <c r="G1928" s="49">
        <v>45628</v>
      </c>
      <c r="H1928" s="49">
        <v>45632</v>
      </c>
      <c r="I1928" s="49">
        <v>45634</v>
      </c>
      <c r="J1928" t="s">
        <v>47</v>
      </c>
      <c r="K1928" s="33">
        <v>4600</v>
      </c>
      <c r="M1928" t="str">
        <f>_xlfn.XLOOKUP(Pipeline_tbl[[#This Row],[Rep_ID]],Dim_Reps!A:A,Dim_Reps!K:K)</f>
        <v>MXN</v>
      </c>
      <c r="N1928" s="33">
        <f>(_xlfn.XLOOKUP(Pipeline_tbl[[#This Row],[Rate_Code_Generalized]],Lookups!A:A,Lookups!B:B))*Pipeline_tbl[[#This Row],[Pipeline_Amount_USD]]</f>
        <v>90770.420000000013</v>
      </c>
      <c r="O1928" t="str">
        <f>_xlfn.XLOOKUP(Pipeline_tbl[[#This Row],[Rep_ID]],Dim_Reps!A:A,Dim_Reps!B:B)</f>
        <v>Milo Castro</v>
      </c>
      <c r="P1928" t="str">
        <f>_xlfn.XLOOKUP(Pipeline_tbl[[#This Row],[Rep_ID]],Dim_Reps!A:A,Dim_Reps!C:C)</f>
        <v>SDR / Inside Sales Rep</v>
      </c>
      <c r="Q1928" t="str">
        <f>_xlfn.XLOOKUP(Pipeline_tbl[[#This Row],[Rep_ID]],Dim_Reps!A:A,Dim_Reps!D:D)</f>
        <v>Inside Sales</v>
      </c>
      <c r="R1928" t="str">
        <f>_xlfn.XLOOKUP(Pipeline_tbl[[#This Row],[Rep_ID]],Dim_Reps!A:A,Dim_Reps!E:E)</f>
        <v>LATAM</v>
      </c>
      <c r="S1928" t="str">
        <f>_xlfn.XLOOKUP(Pipeline_tbl[[#This Row],[Created_Date]],Dim_Date!A:A,Dim_Date!H:H)</f>
        <v>Nov 2024</v>
      </c>
      <c r="T1928" t="str">
        <f>IF(Pipeline_tbl[[#This Row],[Closed_Date]]=0,"",(_xlfn.XLOOKUP(Pipeline_tbl[[#This Row],[Closed_Date]],Dim_Date!A:A,Dim_Date!H:H)))</f>
        <v>Dec 2024</v>
      </c>
      <c r="U1928">
        <f>IF(Pipeline_tbl[[#This Row],[Closed_Date]]=0,"",Pipeline_tbl[[#This Row],[Closed_Date]]-Pipeline_tbl[[#This Row],[Created_Date]])</f>
        <v>15</v>
      </c>
    </row>
    <row r="1929" spans="1:21" ht="15" customHeight="1" x14ac:dyDescent="0.2">
      <c r="A1929" t="s">
        <v>2235</v>
      </c>
      <c r="B1929" t="s">
        <v>235</v>
      </c>
      <c r="C1929" t="s">
        <v>53</v>
      </c>
      <c r="D1929" s="49">
        <v>45615</v>
      </c>
      <c r="E1929" s="49">
        <v>45616</v>
      </c>
      <c r="F1929" s="49">
        <v>45619</v>
      </c>
      <c r="G1929" s="49">
        <v>45623</v>
      </c>
      <c r="H1929" s="49">
        <v>45626</v>
      </c>
      <c r="I1929" s="49">
        <v>45628</v>
      </c>
      <c r="J1929" t="s">
        <v>47</v>
      </c>
      <c r="K1929" s="33">
        <v>10500</v>
      </c>
      <c r="M1929" t="str">
        <f>_xlfn.XLOOKUP(Pipeline_tbl[[#This Row],[Rep_ID]],Dim_Reps!A:A,Dim_Reps!K:K)</f>
        <v>MXN</v>
      </c>
      <c r="N1929" s="33">
        <f>(_xlfn.XLOOKUP(Pipeline_tbl[[#This Row],[Rate_Code_Generalized]],Lookups!A:A,Lookups!B:B))*Pipeline_tbl[[#This Row],[Pipeline_Amount_USD]]</f>
        <v>207193.35</v>
      </c>
      <c r="O1929" t="str">
        <f>_xlfn.XLOOKUP(Pipeline_tbl[[#This Row],[Rep_ID]],Dim_Reps!A:A,Dim_Reps!B:B)</f>
        <v>Milo Castro</v>
      </c>
      <c r="P1929" t="str">
        <f>_xlfn.XLOOKUP(Pipeline_tbl[[#This Row],[Rep_ID]],Dim_Reps!A:A,Dim_Reps!C:C)</f>
        <v>SDR / Inside Sales Rep</v>
      </c>
      <c r="Q1929" t="str">
        <f>_xlfn.XLOOKUP(Pipeline_tbl[[#This Row],[Rep_ID]],Dim_Reps!A:A,Dim_Reps!D:D)</f>
        <v>Inside Sales</v>
      </c>
      <c r="R1929" t="str">
        <f>_xlfn.XLOOKUP(Pipeline_tbl[[#This Row],[Rep_ID]],Dim_Reps!A:A,Dim_Reps!E:E)</f>
        <v>LATAM</v>
      </c>
      <c r="S1929" t="str">
        <f>_xlfn.XLOOKUP(Pipeline_tbl[[#This Row],[Created_Date]],Dim_Date!A:A,Dim_Date!H:H)</f>
        <v>Nov 2024</v>
      </c>
      <c r="T1929" t="str">
        <f>IF(Pipeline_tbl[[#This Row],[Closed_Date]]=0,"",(_xlfn.XLOOKUP(Pipeline_tbl[[#This Row],[Closed_Date]],Dim_Date!A:A,Dim_Date!H:H)))</f>
        <v>Dec 2024</v>
      </c>
      <c r="U1929">
        <f>IF(Pipeline_tbl[[#This Row],[Closed_Date]]=0,"",Pipeline_tbl[[#This Row],[Closed_Date]]-Pipeline_tbl[[#This Row],[Created_Date]])</f>
        <v>13</v>
      </c>
    </row>
    <row r="1930" spans="1:21" ht="15" customHeight="1" x14ac:dyDescent="0.2">
      <c r="A1930" t="s">
        <v>2236</v>
      </c>
      <c r="B1930" t="s">
        <v>235</v>
      </c>
      <c r="C1930" t="s">
        <v>52</v>
      </c>
      <c r="D1930" s="49">
        <v>45623</v>
      </c>
      <c r="E1930" s="49">
        <v>45625</v>
      </c>
      <c r="F1930" s="49">
        <v>45628</v>
      </c>
      <c r="G1930" s="49">
        <v>45633</v>
      </c>
      <c r="H1930" s="49">
        <v>45637</v>
      </c>
      <c r="I1930" s="49">
        <v>45640</v>
      </c>
      <c r="J1930" t="s">
        <v>49</v>
      </c>
      <c r="K1930" s="33">
        <v>6700</v>
      </c>
      <c r="L1930" t="s">
        <v>60</v>
      </c>
      <c r="M1930" t="str">
        <f>_xlfn.XLOOKUP(Pipeline_tbl[[#This Row],[Rep_ID]],Dim_Reps!A:A,Dim_Reps!K:K)</f>
        <v>MXN</v>
      </c>
      <c r="N1930" s="33">
        <f>(_xlfn.XLOOKUP(Pipeline_tbl[[#This Row],[Rate_Code_Generalized]],Lookups!A:A,Lookups!B:B))*Pipeline_tbl[[#This Row],[Pipeline_Amount_USD]]</f>
        <v>132209.09</v>
      </c>
      <c r="O1930" t="str">
        <f>_xlfn.XLOOKUP(Pipeline_tbl[[#This Row],[Rep_ID]],Dim_Reps!A:A,Dim_Reps!B:B)</f>
        <v>Milo Castro</v>
      </c>
      <c r="P1930" t="str">
        <f>_xlfn.XLOOKUP(Pipeline_tbl[[#This Row],[Rep_ID]],Dim_Reps!A:A,Dim_Reps!C:C)</f>
        <v>SDR / Inside Sales Rep</v>
      </c>
      <c r="Q1930" t="str">
        <f>_xlfn.XLOOKUP(Pipeline_tbl[[#This Row],[Rep_ID]],Dim_Reps!A:A,Dim_Reps!D:D)</f>
        <v>Inside Sales</v>
      </c>
      <c r="R1930" t="str">
        <f>_xlfn.XLOOKUP(Pipeline_tbl[[#This Row],[Rep_ID]],Dim_Reps!A:A,Dim_Reps!E:E)</f>
        <v>LATAM</v>
      </c>
      <c r="S1930" t="str">
        <f>_xlfn.XLOOKUP(Pipeline_tbl[[#This Row],[Created_Date]],Dim_Date!A:A,Dim_Date!H:H)</f>
        <v>Nov 2024</v>
      </c>
      <c r="T1930" t="str">
        <f>IF(Pipeline_tbl[[#This Row],[Closed_Date]]=0,"",(_xlfn.XLOOKUP(Pipeline_tbl[[#This Row],[Closed_Date]],Dim_Date!A:A,Dim_Date!H:H)))</f>
        <v>Dec 2024</v>
      </c>
      <c r="U1930">
        <f>IF(Pipeline_tbl[[#This Row],[Closed_Date]]=0,"",Pipeline_tbl[[#This Row],[Closed_Date]]-Pipeline_tbl[[#This Row],[Created_Date]])</f>
        <v>17</v>
      </c>
    </row>
    <row r="1931" spans="1:21" ht="15" customHeight="1" x14ac:dyDescent="0.2">
      <c r="A1931" t="s">
        <v>2237</v>
      </c>
      <c r="B1931" t="s">
        <v>284</v>
      </c>
      <c r="C1931" t="s">
        <v>55</v>
      </c>
      <c r="D1931" s="49">
        <v>45599</v>
      </c>
      <c r="E1931" s="49">
        <v>45605</v>
      </c>
      <c r="F1931" s="49">
        <v>45616</v>
      </c>
      <c r="G1931" s="49">
        <v>45634</v>
      </c>
      <c r="H1931" s="49">
        <v>45648</v>
      </c>
      <c r="I1931" s="49">
        <v>45657</v>
      </c>
      <c r="J1931" t="s">
        <v>49</v>
      </c>
      <c r="K1931" s="33">
        <v>29000</v>
      </c>
      <c r="L1931" t="s">
        <v>64</v>
      </c>
      <c r="M1931" t="str">
        <f>_xlfn.XLOOKUP(Pipeline_tbl[[#This Row],[Rep_ID]],Dim_Reps!A:A,Dim_Reps!K:K)</f>
        <v>USD</v>
      </c>
      <c r="N1931" s="33">
        <f>(_xlfn.XLOOKUP(Pipeline_tbl[[#This Row],[Rate_Code_Generalized]],Lookups!A:A,Lookups!B:B))*Pipeline_tbl[[#This Row],[Pipeline_Amount_USD]]</f>
        <v>33764.699999999997</v>
      </c>
      <c r="O1931" t="str">
        <f>_xlfn.XLOOKUP(Pipeline_tbl[[#This Row],[Rep_ID]],Dim_Reps!A:A,Dim_Reps!B:B)</f>
        <v>Taylor Adler</v>
      </c>
      <c r="P1931" t="str">
        <f>_xlfn.XLOOKUP(Pipeline_tbl[[#This Row],[Rep_ID]],Dim_Reps!A:A,Dim_Reps!C:C)</f>
        <v>Senior Enterprise AE</v>
      </c>
      <c r="Q1931" t="str">
        <f>_xlfn.XLOOKUP(Pipeline_tbl[[#This Row],[Rep_ID]],Dim_Reps!A:A,Dim_Reps!D:D)</f>
        <v>Strategic</v>
      </c>
      <c r="R1931" t="str">
        <f>_xlfn.XLOOKUP(Pipeline_tbl[[#This Row],[Rep_ID]],Dim_Reps!A:A,Dim_Reps!E:E)</f>
        <v>NAMER</v>
      </c>
      <c r="S1931" t="str">
        <f>_xlfn.XLOOKUP(Pipeline_tbl[[#This Row],[Created_Date]],Dim_Date!A:A,Dim_Date!H:H)</f>
        <v>Nov 2024</v>
      </c>
      <c r="T1931" t="str">
        <f>IF(Pipeline_tbl[[#This Row],[Closed_Date]]=0,"",(_xlfn.XLOOKUP(Pipeline_tbl[[#This Row],[Closed_Date]],Dim_Date!A:A,Dim_Date!H:H)))</f>
        <v>Dec 2024</v>
      </c>
      <c r="U1931">
        <f>IF(Pipeline_tbl[[#This Row],[Closed_Date]]=0,"",Pipeline_tbl[[#This Row],[Closed_Date]]-Pipeline_tbl[[#This Row],[Created_Date]])</f>
        <v>58</v>
      </c>
    </row>
    <row r="1932" spans="1:21" ht="15" customHeight="1" x14ac:dyDescent="0.2">
      <c r="A1932" t="s">
        <v>2238</v>
      </c>
      <c r="B1932" t="s">
        <v>237</v>
      </c>
      <c r="C1932" t="s">
        <v>54</v>
      </c>
      <c r="D1932" s="49">
        <v>45611</v>
      </c>
      <c r="E1932" s="49">
        <v>45614</v>
      </c>
      <c r="F1932" s="49">
        <v>45620</v>
      </c>
      <c r="G1932" s="49">
        <v>45628</v>
      </c>
      <c r="H1932" s="49">
        <v>45636</v>
      </c>
      <c r="I1932" s="49">
        <v>45640</v>
      </c>
      <c r="J1932" t="s">
        <v>49</v>
      </c>
      <c r="K1932" s="33">
        <v>3800</v>
      </c>
      <c r="L1932" t="s">
        <v>60</v>
      </c>
      <c r="M1932" t="str">
        <f>_xlfn.XLOOKUP(Pipeline_tbl[[#This Row],[Rep_ID]],Dim_Reps!A:A,Dim_Reps!K:K)</f>
        <v>EUR</v>
      </c>
      <c r="N1932" s="33">
        <f>(_xlfn.XLOOKUP(Pipeline_tbl[[#This Row],[Rate_Code_Generalized]],Lookups!A:A,Lookups!B:B))*Pipeline_tbl[[#This Row],[Pipeline_Amount_USD]]</f>
        <v>3800</v>
      </c>
      <c r="O1932" t="str">
        <f>_xlfn.XLOOKUP(Pipeline_tbl[[#This Row],[Rep_ID]],Dim_Reps!A:A,Dim_Reps!B:B)</f>
        <v>Hugo Santos</v>
      </c>
      <c r="P1932" t="str">
        <f>_xlfn.XLOOKUP(Pipeline_tbl[[#This Row],[Rep_ID]],Dim_Reps!A:A,Dim_Reps!C:C)</f>
        <v>SDR / Inside Sales Rep</v>
      </c>
      <c r="Q1932" t="str">
        <f>_xlfn.XLOOKUP(Pipeline_tbl[[#This Row],[Rep_ID]],Dim_Reps!A:A,Dim_Reps!D:D)</f>
        <v>Inside Sales</v>
      </c>
      <c r="R1932" t="str">
        <f>_xlfn.XLOOKUP(Pipeline_tbl[[#This Row],[Rep_ID]],Dim_Reps!A:A,Dim_Reps!E:E)</f>
        <v>EMEA</v>
      </c>
      <c r="S1932" t="str">
        <f>_xlfn.XLOOKUP(Pipeline_tbl[[#This Row],[Created_Date]],Dim_Date!A:A,Dim_Date!H:H)</f>
        <v>Nov 2024</v>
      </c>
      <c r="T1932" t="str">
        <f>IF(Pipeline_tbl[[#This Row],[Closed_Date]]=0,"",(_xlfn.XLOOKUP(Pipeline_tbl[[#This Row],[Closed_Date]],Dim_Date!A:A,Dim_Date!H:H)))</f>
        <v>Dec 2024</v>
      </c>
      <c r="U1932">
        <f>IF(Pipeline_tbl[[#This Row],[Closed_Date]]=0,"",Pipeline_tbl[[#This Row],[Closed_Date]]-Pipeline_tbl[[#This Row],[Created_Date]])</f>
        <v>29</v>
      </c>
    </row>
    <row r="1933" spans="1:21" ht="15" customHeight="1" x14ac:dyDescent="0.2">
      <c r="A1933" t="s">
        <v>2239</v>
      </c>
      <c r="B1933" t="s">
        <v>237</v>
      </c>
      <c r="C1933" t="s">
        <v>52</v>
      </c>
      <c r="D1933" s="49">
        <v>45605</v>
      </c>
      <c r="E1933" s="49">
        <v>45607</v>
      </c>
      <c r="F1933" s="49">
        <v>45612</v>
      </c>
      <c r="G1933" s="49">
        <v>45618</v>
      </c>
      <c r="H1933" s="49">
        <v>45624</v>
      </c>
      <c r="I1933" s="49">
        <v>45627</v>
      </c>
      <c r="J1933" t="s">
        <v>47</v>
      </c>
      <c r="K1933" s="33">
        <v>3800</v>
      </c>
      <c r="M1933" t="str">
        <f>_xlfn.XLOOKUP(Pipeline_tbl[[#This Row],[Rep_ID]],Dim_Reps!A:A,Dim_Reps!K:K)</f>
        <v>EUR</v>
      </c>
      <c r="N1933" s="33">
        <f>(_xlfn.XLOOKUP(Pipeline_tbl[[#This Row],[Rate_Code_Generalized]],Lookups!A:A,Lookups!B:B))*Pipeline_tbl[[#This Row],[Pipeline_Amount_USD]]</f>
        <v>3800</v>
      </c>
      <c r="O1933" t="str">
        <f>_xlfn.XLOOKUP(Pipeline_tbl[[#This Row],[Rep_ID]],Dim_Reps!A:A,Dim_Reps!B:B)</f>
        <v>Hugo Santos</v>
      </c>
      <c r="P1933" t="str">
        <f>_xlfn.XLOOKUP(Pipeline_tbl[[#This Row],[Rep_ID]],Dim_Reps!A:A,Dim_Reps!C:C)</f>
        <v>SDR / Inside Sales Rep</v>
      </c>
      <c r="Q1933" t="str">
        <f>_xlfn.XLOOKUP(Pipeline_tbl[[#This Row],[Rep_ID]],Dim_Reps!A:A,Dim_Reps!D:D)</f>
        <v>Inside Sales</v>
      </c>
      <c r="R1933" t="str">
        <f>_xlfn.XLOOKUP(Pipeline_tbl[[#This Row],[Rep_ID]],Dim_Reps!A:A,Dim_Reps!E:E)</f>
        <v>EMEA</v>
      </c>
      <c r="S1933" t="str">
        <f>_xlfn.XLOOKUP(Pipeline_tbl[[#This Row],[Created_Date]],Dim_Date!A:A,Dim_Date!H:H)</f>
        <v>Nov 2024</v>
      </c>
      <c r="T1933" t="str">
        <f>IF(Pipeline_tbl[[#This Row],[Closed_Date]]=0,"",(_xlfn.XLOOKUP(Pipeline_tbl[[#This Row],[Closed_Date]],Dim_Date!A:A,Dim_Date!H:H)))</f>
        <v>Dec 2024</v>
      </c>
      <c r="U1933">
        <f>IF(Pipeline_tbl[[#This Row],[Closed_Date]]=0,"",Pipeline_tbl[[#This Row],[Closed_Date]]-Pipeline_tbl[[#This Row],[Created_Date]])</f>
        <v>22</v>
      </c>
    </row>
    <row r="1934" spans="1:21" ht="15" customHeight="1" x14ac:dyDescent="0.2">
      <c r="A1934" t="s">
        <v>2240</v>
      </c>
      <c r="B1934" t="s">
        <v>237</v>
      </c>
      <c r="C1934" t="s">
        <v>54</v>
      </c>
      <c r="D1934" s="49">
        <v>45611</v>
      </c>
      <c r="E1934" s="49">
        <v>45614</v>
      </c>
      <c r="F1934" s="49">
        <v>45619</v>
      </c>
      <c r="I1934" s="49">
        <v>45637</v>
      </c>
      <c r="J1934" t="s">
        <v>49</v>
      </c>
      <c r="K1934" s="33">
        <v>6600</v>
      </c>
      <c r="L1934" t="s">
        <v>60</v>
      </c>
      <c r="M1934" t="str">
        <f>_xlfn.XLOOKUP(Pipeline_tbl[[#This Row],[Rep_ID]],Dim_Reps!A:A,Dim_Reps!K:K)</f>
        <v>EUR</v>
      </c>
      <c r="N1934" s="33">
        <f>(_xlfn.XLOOKUP(Pipeline_tbl[[#This Row],[Rate_Code_Generalized]],Lookups!A:A,Lookups!B:B))*Pipeline_tbl[[#This Row],[Pipeline_Amount_USD]]</f>
        <v>6600</v>
      </c>
      <c r="O1934" t="str">
        <f>_xlfn.XLOOKUP(Pipeline_tbl[[#This Row],[Rep_ID]],Dim_Reps!A:A,Dim_Reps!B:B)</f>
        <v>Hugo Santos</v>
      </c>
      <c r="P1934" t="str">
        <f>_xlfn.XLOOKUP(Pipeline_tbl[[#This Row],[Rep_ID]],Dim_Reps!A:A,Dim_Reps!C:C)</f>
        <v>SDR / Inside Sales Rep</v>
      </c>
      <c r="Q1934" t="str">
        <f>_xlfn.XLOOKUP(Pipeline_tbl[[#This Row],[Rep_ID]],Dim_Reps!A:A,Dim_Reps!D:D)</f>
        <v>Inside Sales</v>
      </c>
      <c r="R1934" t="str">
        <f>_xlfn.XLOOKUP(Pipeline_tbl[[#This Row],[Rep_ID]],Dim_Reps!A:A,Dim_Reps!E:E)</f>
        <v>EMEA</v>
      </c>
      <c r="S1934" t="str">
        <f>_xlfn.XLOOKUP(Pipeline_tbl[[#This Row],[Created_Date]],Dim_Date!A:A,Dim_Date!H:H)</f>
        <v>Nov 2024</v>
      </c>
      <c r="T1934" t="str">
        <f>IF(Pipeline_tbl[[#This Row],[Closed_Date]]=0,"",(_xlfn.XLOOKUP(Pipeline_tbl[[#This Row],[Closed_Date]],Dim_Date!A:A,Dim_Date!H:H)))</f>
        <v>Dec 2024</v>
      </c>
      <c r="U1934">
        <f>IF(Pipeline_tbl[[#This Row],[Closed_Date]]=0,"",Pipeline_tbl[[#This Row],[Closed_Date]]-Pipeline_tbl[[#This Row],[Created_Date]])</f>
        <v>26</v>
      </c>
    </row>
    <row r="1935" spans="1:21" ht="15" customHeight="1" x14ac:dyDescent="0.2">
      <c r="A1935" t="s">
        <v>2241</v>
      </c>
      <c r="B1935" t="s">
        <v>237</v>
      </c>
      <c r="C1935" t="s">
        <v>55</v>
      </c>
      <c r="D1935" s="49">
        <v>45623</v>
      </c>
      <c r="E1935" s="49">
        <v>45625</v>
      </c>
      <c r="F1935" s="49">
        <v>45630</v>
      </c>
      <c r="I1935" s="49">
        <v>45646</v>
      </c>
      <c r="J1935" t="s">
        <v>49</v>
      </c>
      <c r="K1935" s="33">
        <v>3400</v>
      </c>
      <c r="L1935" t="s">
        <v>62</v>
      </c>
      <c r="M1935" t="str">
        <f>_xlfn.XLOOKUP(Pipeline_tbl[[#This Row],[Rep_ID]],Dim_Reps!A:A,Dim_Reps!K:K)</f>
        <v>EUR</v>
      </c>
      <c r="N1935" s="33">
        <f>(_xlfn.XLOOKUP(Pipeline_tbl[[#This Row],[Rate_Code_Generalized]],Lookups!A:A,Lookups!B:B))*Pipeline_tbl[[#This Row],[Pipeline_Amount_USD]]</f>
        <v>3400</v>
      </c>
      <c r="O1935" t="str">
        <f>_xlfn.XLOOKUP(Pipeline_tbl[[#This Row],[Rep_ID]],Dim_Reps!A:A,Dim_Reps!B:B)</f>
        <v>Hugo Santos</v>
      </c>
      <c r="P1935" t="str">
        <f>_xlfn.XLOOKUP(Pipeline_tbl[[#This Row],[Rep_ID]],Dim_Reps!A:A,Dim_Reps!C:C)</f>
        <v>SDR / Inside Sales Rep</v>
      </c>
      <c r="Q1935" t="str">
        <f>_xlfn.XLOOKUP(Pipeline_tbl[[#This Row],[Rep_ID]],Dim_Reps!A:A,Dim_Reps!D:D)</f>
        <v>Inside Sales</v>
      </c>
      <c r="R1935" t="str">
        <f>_xlfn.XLOOKUP(Pipeline_tbl[[#This Row],[Rep_ID]],Dim_Reps!A:A,Dim_Reps!E:E)</f>
        <v>EMEA</v>
      </c>
      <c r="S1935" t="str">
        <f>_xlfn.XLOOKUP(Pipeline_tbl[[#This Row],[Created_Date]],Dim_Date!A:A,Dim_Date!H:H)</f>
        <v>Nov 2024</v>
      </c>
      <c r="T1935" t="str">
        <f>IF(Pipeline_tbl[[#This Row],[Closed_Date]]=0,"",(_xlfn.XLOOKUP(Pipeline_tbl[[#This Row],[Closed_Date]],Dim_Date!A:A,Dim_Date!H:H)))</f>
        <v>Dec 2024</v>
      </c>
      <c r="U1935">
        <f>IF(Pipeline_tbl[[#This Row],[Closed_Date]]=0,"",Pipeline_tbl[[#This Row],[Closed_Date]]-Pipeline_tbl[[#This Row],[Created_Date]])</f>
        <v>23</v>
      </c>
    </row>
    <row r="1936" spans="1:21" ht="15" customHeight="1" x14ac:dyDescent="0.2">
      <c r="A1936" t="s">
        <v>2242</v>
      </c>
      <c r="B1936" t="s">
        <v>237</v>
      </c>
      <c r="C1936" t="s">
        <v>54</v>
      </c>
      <c r="D1936" s="49">
        <v>45624</v>
      </c>
      <c r="E1936" s="49">
        <v>45625</v>
      </c>
      <c r="F1936" s="49">
        <v>45627</v>
      </c>
      <c r="G1936" s="49">
        <v>45631</v>
      </c>
      <c r="H1936" s="49">
        <v>45633</v>
      </c>
      <c r="I1936" s="49">
        <v>45635</v>
      </c>
      <c r="J1936" t="s">
        <v>49</v>
      </c>
      <c r="K1936" s="33">
        <v>2600</v>
      </c>
      <c r="L1936" t="s">
        <v>62</v>
      </c>
      <c r="M1936" t="str">
        <f>_xlfn.XLOOKUP(Pipeline_tbl[[#This Row],[Rep_ID]],Dim_Reps!A:A,Dim_Reps!K:K)</f>
        <v>EUR</v>
      </c>
      <c r="N1936" s="33">
        <f>(_xlfn.XLOOKUP(Pipeline_tbl[[#This Row],[Rate_Code_Generalized]],Lookups!A:A,Lookups!B:B))*Pipeline_tbl[[#This Row],[Pipeline_Amount_USD]]</f>
        <v>2600</v>
      </c>
      <c r="O1936" t="str">
        <f>_xlfn.XLOOKUP(Pipeline_tbl[[#This Row],[Rep_ID]],Dim_Reps!A:A,Dim_Reps!B:B)</f>
        <v>Hugo Santos</v>
      </c>
      <c r="P1936" t="str">
        <f>_xlfn.XLOOKUP(Pipeline_tbl[[#This Row],[Rep_ID]],Dim_Reps!A:A,Dim_Reps!C:C)</f>
        <v>SDR / Inside Sales Rep</v>
      </c>
      <c r="Q1936" t="str">
        <f>_xlfn.XLOOKUP(Pipeline_tbl[[#This Row],[Rep_ID]],Dim_Reps!A:A,Dim_Reps!D:D)</f>
        <v>Inside Sales</v>
      </c>
      <c r="R1936" t="str">
        <f>_xlfn.XLOOKUP(Pipeline_tbl[[#This Row],[Rep_ID]],Dim_Reps!A:A,Dim_Reps!E:E)</f>
        <v>EMEA</v>
      </c>
      <c r="S1936" t="str">
        <f>_xlfn.XLOOKUP(Pipeline_tbl[[#This Row],[Created_Date]],Dim_Date!A:A,Dim_Date!H:H)</f>
        <v>Nov 2024</v>
      </c>
      <c r="T1936" t="str">
        <f>IF(Pipeline_tbl[[#This Row],[Closed_Date]]=0,"",(_xlfn.XLOOKUP(Pipeline_tbl[[#This Row],[Closed_Date]],Dim_Date!A:A,Dim_Date!H:H)))</f>
        <v>Dec 2024</v>
      </c>
      <c r="U1936">
        <f>IF(Pipeline_tbl[[#This Row],[Closed_Date]]=0,"",Pipeline_tbl[[#This Row],[Closed_Date]]-Pipeline_tbl[[#This Row],[Created_Date]])</f>
        <v>11</v>
      </c>
    </row>
    <row r="1937" spans="1:21" ht="15" customHeight="1" x14ac:dyDescent="0.2">
      <c r="A1937" t="s">
        <v>2243</v>
      </c>
      <c r="B1937" t="s">
        <v>237</v>
      </c>
      <c r="C1937" t="s">
        <v>53</v>
      </c>
      <c r="D1937" s="49">
        <v>45624</v>
      </c>
      <c r="E1937" s="49">
        <v>45625</v>
      </c>
      <c r="F1937" s="49">
        <v>45627</v>
      </c>
      <c r="G1937" s="49">
        <v>45631</v>
      </c>
      <c r="H1937" s="49">
        <v>45633</v>
      </c>
      <c r="I1937" s="49">
        <v>45635</v>
      </c>
      <c r="J1937" t="s">
        <v>49</v>
      </c>
      <c r="K1937" s="33">
        <v>3700</v>
      </c>
      <c r="L1937" t="s">
        <v>60</v>
      </c>
      <c r="M1937" t="str">
        <f>_xlfn.XLOOKUP(Pipeline_tbl[[#This Row],[Rep_ID]],Dim_Reps!A:A,Dim_Reps!K:K)</f>
        <v>EUR</v>
      </c>
      <c r="N1937" s="33">
        <f>(_xlfn.XLOOKUP(Pipeline_tbl[[#This Row],[Rate_Code_Generalized]],Lookups!A:A,Lookups!B:B))*Pipeline_tbl[[#This Row],[Pipeline_Amount_USD]]</f>
        <v>3700</v>
      </c>
      <c r="O1937" t="str">
        <f>_xlfn.XLOOKUP(Pipeline_tbl[[#This Row],[Rep_ID]],Dim_Reps!A:A,Dim_Reps!B:B)</f>
        <v>Hugo Santos</v>
      </c>
      <c r="P1937" t="str">
        <f>_xlfn.XLOOKUP(Pipeline_tbl[[#This Row],[Rep_ID]],Dim_Reps!A:A,Dim_Reps!C:C)</f>
        <v>SDR / Inside Sales Rep</v>
      </c>
      <c r="Q1937" t="str">
        <f>_xlfn.XLOOKUP(Pipeline_tbl[[#This Row],[Rep_ID]],Dim_Reps!A:A,Dim_Reps!D:D)</f>
        <v>Inside Sales</v>
      </c>
      <c r="R1937" t="str">
        <f>_xlfn.XLOOKUP(Pipeline_tbl[[#This Row],[Rep_ID]],Dim_Reps!A:A,Dim_Reps!E:E)</f>
        <v>EMEA</v>
      </c>
      <c r="S1937" t="str">
        <f>_xlfn.XLOOKUP(Pipeline_tbl[[#This Row],[Created_Date]],Dim_Date!A:A,Dim_Date!H:H)</f>
        <v>Nov 2024</v>
      </c>
      <c r="T1937" t="str">
        <f>IF(Pipeline_tbl[[#This Row],[Closed_Date]]=0,"",(_xlfn.XLOOKUP(Pipeline_tbl[[#This Row],[Closed_Date]],Dim_Date!A:A,Dim_Date!H:H)))</f>
        <v>Dec 2024</v>
      </c>
      <c r="U1937">
        <f>IF(Pipeline_tbl[[#This Row],[Closed_Date]]=0,"",Pipeline_tbl[[#This Row],[Closed_Date]]-Pipeline_tbl[[#This Row],[Created_Date]])</f>
        <v>11</v>
      </c>
    </row>
    <row r="1938" spans="1:21" ht="15" customHeight="1" x14ac:dyDescent="0.2">
      <c r="A1938" t="s">
        <v>2244</v>
      </c>
      <c r="B1938" t="s">
        <v>269</v>
      </c>
      <c r="C1938" t="s">
        <v>53</v>
      </c>
      <c r="D1938" s="49">
        <v>45618</v>
      </c>
      <c r="E1938" s="49">
        <v>45621</v>
      </c>
      <c r="I1938" s="49">
        <v>45646</v>
      </c>
      <c r="J1938" t="s">
        <v>49</v>
      </c>
      <c r="K1938" s="33">
        <v>11700</v>
      </c>
      <c r="L1938" t="s">
        <v>62</v>
      </c>
      <c r="M1938" t="str">
        <f>_xlfn.XLOOKUP(Pipeline_tbl[[#This Row],[Rep_ID]],Dim_Reps!A:A,Dim_Reps!K:K)</f>
        <v>USD</v>
      </c>
      <c r="N1938" s="33">
        <f>(_xlfn.XLOOKUP(Pipeline_tbl[[#This Row],[Rate_Code_Generalized]],Lookups!A:A,Lookups!B:B))*Pipeline_tbl[[#This Row],[Pipeline_Amount_USD]]</f>
        <v>13622.31</v>
      </c>
      <c r="O1938" t="str">
        <f>_xlfn.XLOOKUP(Pipeline_tbl[[#This Row],[Rep_ID]],Dim_Reps!A:A,Dim_Reps!B:B)</f>
        <v>Morgan Rivera</v>
      </c>
      <c r="P1938" t="str">
        <f>_xlfn.XLOOKUP(Pipeline_tbl[[#This Row],[Rep_ID]],Dim_Reps!A:A,Dim_Reps!C:C)</f>
        <v>Mid-Market AE</v>
      </c>
      <c r="Q1938" t="str">
        <f>_xlfn.XLOOKUP(Pipeline_tbl[[#This Row],[Rep_ID]],Dim_Reps!A:A,Dim_Reps!D:D)</f>
        <v>Mid-Market</v>
      </c>
      <c r="R1938" t="str">
        <f>_xlfn.XLOOKUP(Pipeline_tbl[[#This Row],[Rep_ID]],Dim_Reps!A:A,Dim_Reps!E:E)</f>
        <v>NAMER</v>
      </c>
      <c r="S1938" t="str">
        <f>_xlfn.XLOOKUP(Pipeline_tbl[[#This Row],[Created_Date]],Dim_Date!A:A,Dim_Date!H:H)</f>
        <v>Nov 2024</v>
      </c>
      <c r="T1938" t="str">
        <f>IF(Pipeline_tbl[[#This Row],[Closed_Date]]=0,"",(_xlfn.XLOOKUP(Pipeline_tbl[[#This Row],[Closed_Date]],Dim_Date!A:A,Dim_Date!H:H)))</f>
        <v>Dec 2024</v>
      </c>
      <c r="U1938">
        <f>IF(Pipeline_tbl[[#This Row],[Closed_Date]]=0,"",Pipeline_tbl[[#This Row],[Closed_Date]]-Pipeline_tbl[[#This Row],[Created_Date]])</f>
        <v>28</v>
      </c>
    </row>
    <row r="1939" spans="1:21" ht="15" customHeight="1" x14ac:dyDescent="0.2">
      <c r="A1939" t="s">
        <v>2245</v>
      </c>
      <c r="B1939" t="s">
        <v>269</v>
      </c>
      <c r="C1939" t="s">
        <v>52</v>
      </c>
      <c r="D1939" s="49">
        <v>45611</v>
      </c>
      <c r="E1939" s="49">
        <v>45614</v>
      </c>
      <c r="F1939" s="49">
        <v>45621</v>
      </c>
      <c r="G1939" s="49">
        <v>45631</v>
      </c>
      <c r="I1939" s="49">
        <v>45645</v>
      </c>
      <c r="J1939" t="s">
        <v>49</v>
      </c>
      <c r="K1939" s="33">
        <v>12500</v>
      </c>
      <c r="L1939" t="s">
        <v>61</v>
      </c>
      <c r="M1939" t="str">
        <f>_xlfn.XLOOKUP(Pipeline_tbl[[#This Row],[Rep_ID]],Dim_Reps!A:A,Dim_Reps!K:K)</f>
        <v>USD</v>
      </c>
      <c r="N1939" s="33">
        <f>(_xlfn.XLOOKUP(Pipeline_tbl[[#This Row],[Rate_Code_Generalized]],Lookups!A:A,Lookups!B:B))*Pipeline_tbl[[#This Row],[Pipeline_Amount_USD]]</f>
        <v>14553.749999999998</v>
      </c>
      <c r="O1939" t="str">
        <f>_xlfn.XLOOKUP(Pipeline_tbl[[#This Row],[Rep_ID]],Dim_Reps!A:A,Dim_Reps!B:B)</f>
        <v>Morgan Rivera</v>
      </c>
      <c r="P1939" t="str">
        <f>_xlfn.XLOOKUP(Pipeline_tbl[[#This Row],[Rep_ID]],Dim_Reps!A:A,Dim_Reps!C:C)</f>
        <v>Mid-Market AE</v>
      </c>
      <c r="Q1939" t="str">
        <f>_xlfn.XLOOKUP(Pipeline_tbl[[#This Row],[Rep_ID]],Dim_Reps!A:A,Dim_Reps!D:D)</f>
        <v>Mid-Market</v>
      </c>
      <c r="R1939" t="str">
        <f>_xlfn.XLOOKUP(Pipeline_tbl[[#This Row],[Rep_ID]],Dim_Reps!A:A,Dim_Reps!E:E)</f>
        <v>NAMER</v>
      </c>
      <c r="S1939" t="str">
        <f>_xlfn.XLOOKUP(Pipeline_tbl[[#This Row],[Created_Date]],Dim_Date!A:A,Dim_Date!H:H)</f>
        <v>Nov 2024</v>
      </c>
      <c r="T1939" t="str">
        <f>IF(Pipeline_tbl[[#This Row],[Closed_Date]]=0,"",(_xlfn.XLOOKUP(Pipeline_tbl[[#This Row],[Closed_Date]],Dim_Date!A:A,Dim_Date!H:H)))</f>
        <v>Dec 2024</v>
      </c>
      <c r="U1939">
        <f>IF(Pipeline_tbl[[#This Row],[Closed_Date]]=0,"",Pipeline_tbl[[#This Row],[Closed_Date]]-Pipeline_tbl[[#This Row],[Created_Date]])</f>
        <v>34</v>
      </c>
    </row>
    <row r="1940" spans="1:21" ht="15" customHeight="1" x14ac:dyDescent="0.2">
      <c r="A1940" t="s">
        <v>2246</v>
      </c>
      <c r="B1940" t="s">
        <v>269</v>
      </c>
      <c r="C1940" t="s">
        <v>52</v>
      </c>
      <c r="D1940" s="49">
        <v>45607</v>
      </c>
      <c r="E1940" s="49">
        <v>45611</v>
      </c>
      <c r="F1940" s="49">
        <v>45620</v>
      </c>
      <c r="G1940" s="49">
        <v>45633</v>
      </c>
      <c r="I1940" s="49">
        <v>45650</v>
      </c>
      <c r="J1940" t="s">
        <v>49</v>
      </c>
      <c r="K1940" s="33">
        <v>8600</v>
      </c>
      <c r="L1940" t="s">
        <v>61</v>
      </c>
      <c r="M1940" t="str">
        <f>_xlfn.XLOOKUP(Pipeline_tbl[[#This Row],[Rep_ID]],Dim_Reps!A:A,Dim_Reps!K:K)</f>
        <v>USD</v>
      </c>
      <c r="N1940" s="33">
        <f>(_xlfn.XLOOKUP(Pipeline_tbl[[#This Row],[Rate_Code_Generalized]],Lookups!A:A,Lookups!B:B))*Pipeline_tbl[[#This Row],[Pipeline_Amount_USD]]</f>
        <v>10012.98</v>
      </c>
      <c r="O1940" t="str">
        <f>_xlfn.XLOOKUP(Pipeline_tbl[[#This Row],[Rep_ID]],Dim_Reps!A:A,Dim_Reps!B:B)</f>
        <v>Morgan Rivera</v>
      </c>
      <c r="P1940" t="str">
        <f>_xlfn.XLOOKUP(Pipeline_tbl[[#This Row],[Rep_ID]],Dim_Reps!A:A,Dim_Reps!C:C)</f>
        <v>Mid-Market AE</v>
      </c>
      <c r="Q1940" t="str">
        <f>_xlfn.XLOOKUP(Pipeline_tbl[[#This Row],[Rep_ID]],Dim_Reps!A:A,Dim_Reps!D:D)</f>
        <v>Mid-Market</v>
      </c>
      <c r="R1940" t="str">
        <f>_xlfn.XLOOKUP(Pipeline_tbl[[#This Row],[Rep_ID]],Dim_Reps!A:A,Dim_Reps!E:E)</f>
        <v>NAMER</v>
      </c>
      <c r="S1940" t="str">
        <f>_xlfn.XLOOKUP(Pipeline_tbl[[#This Row],[Created_Date]],Dim_Date!A:A,Dim_Date!H:H)</f>
        <v>Nov 2024</v>
      </c>
      <c r="T1940" t="str">
        <f>IF(Pipeline_tbl[[#This Row],[Closed_Date]]=0,"",(_xlfn.XLOOKUP(Pipeline_tbl[[#This Row],[Closed_Date]],Dim_Date!A:A,Dim_Date!H:H)))</f>
        <v>Dec 2024</v>
      </c>
      <c r="U1940">
        <f>IF(Pipeline_tbl[[#This Row],[Closed_Date]]=0,"",Pipeline_tbl[[#This Row],[Closed_Date]]-Pipeline_tbl[[#This Row],[Created_Date]])</f>
        <v>43</v>
      </c>
    </row>
    <row r="1941" spans="1:21" ht="15" customHeight="1" x14ac:dyDescent="0.2">
      <c r="A1941" t="s">
        <v>2247</v>
      </c>
      <c r="B1941" t="s">
        <v>269</v>
      </c>
      <c r="C1941" t="s">
        <v>52</v>
      </c>
      <c r="D1941" s="49">
        <v>45608</v>
      </c>
      <c r="E1941" s="49">
        <v>45612</v>
      </c>
      <c r="F1941" s="49">
        <v>45620</v>
      </c>
      <c r="G1941" s="49">
        <v>45631</v>
      </c>
      <c r="I1941" s="49">
        <v>45647</v>
      </c>
      <c r="J1941" t="s">
        <v>49</v>
      </c>
      <c r="K1941" s="33">
        <v>10500</v>
      </c>
      <c r="L1941" t="s">
        <v>63</v>
      </c>
      <c r="M1941" t="str">
        <f>_xlfn.XLOOKUP(Pipeline_tbl[[#This Row],[Rep_ID]],Dim_Reps!A:A,Dim_Reps!K:K)</f>
        <v>USD</v>
      </c>
      <c r="N1941" s="33">
        <f>(_xlfn.XLOOKUP(Pipeline_tbl[[#This Row],[Rate_Code_Generalized]],Lookups!A:A,Lookups!B:B))*Pipeline_tbl[[#This Row],[Pipeline_Amount_USD]]</f>
        <v>12225.15</v>
      </c>
      <c r="O1941" t="str">
        <f>_xlfn.XLOOKUP(Pipeline_tbl[[#This Row],[Rep_ID]],Dim_Reps!A:A,Dim_Reps!B:B)</f>
        <v>Morgan Rivera</v>
      </c>
      <c r="P1941" t="str">
        <f>_xlfn.XLOOKUP(Pipeline_tbl[[#This Row],[Rep_ID]],Dim_Reps!A:A,Dim_Reps!C:C)</f>
        <v>Mid-Market AE</v>
      </c>
      <c r="Q1941" t="str">
        <f>_xlfn.XLOOKUP(Pipeline_tbl[[#This Row],[Rep_ID]],Dim_Reps!A:A,Dim_Reps!D:D)</f>
        <v>Mid-Market</v>
      </c>
      <c r="R1941" t="str">
        <f>_xlfn.XLOOKUP(Pipeline_tbl[[#This Row],[Rep_ID]],Dim_Reps!A:A,Dim_Reps!E:E)</f>
        <v>NAMER</v>
      </c>
      <c r="S1941" t="str">
        <f>_xlfn.XLOOKUP(Pipeline_tbl[[#This Row],[Created_Date]],Dim_Date!A:A,Dim_Date!H:H)</f>
        <v>Nov 2024</v>
      </c>
      <c r="T1941" t="str">
        <f>IF(Pipeline_tbl[[#This Row],[Closed_Date]]=0,"",(_xlfn.XLOOKUP(Pipeline_tbl[[#This Row],[Closed_Date]],Dim_Date!A:A,Dim_Date!H:H)))</f>
        <v>Dec 2024</v>
      </c>
      <c r="U1941">
        <f>IF(Pipeline_tbl[[#This Row],[Closed_Date]]=0,"",Pipeline_tbl[[#This Row],[Closed_Date]]-Pipeline_tbl[[#This Row],[Created_Date]])</f>
        <v>39</v>
      </c>
    </row>
    <row r="1942" spans="1:21" ht="15" customHeight="1" x14ac:dyDescent="0.2">
      <c r="A1942" t="s">
        <v>2248</v>
      </c>
      <c r="B1942" t="s">
        <v>269</v>
      </c>
      <c r="C1942" t="s">
        <v>52</v>
      </c>
      <c r="D1942" s="49">
        <v>45623</v>
      </c>
      <c r="E1942" s="49">
        <v>45626</v>
      </c>
      <c r="F1942" s="49">
        <v>45632</v>
      </c>
      <c r="G1942" s="49">
        <v>45642</v>
      </c>
      <c r="H1942" s="49">
        <v>45649</v>
      </c>
      <c r="I1942" s="49">
        <v>45654</v>
      </c>
      <c r="J1942" t="s">
        <v>47</v>
      </c>
      <c r="K1942" s="33">
        <v>7600</v>
      </c>
      <c r="M1942" t="str">
        <f>_xlfn.XLOOKUP(Pipeline_tbl[[#This Row],[Rep_ID]],Dim_Reps!A:A,Dim_Reps!K:K)</f>
        <v>USD</v>
      </c>
      <c r="N1942" s="33">
        <f>(_xlfn.XLOOKUP(Pipeline_tbl[[#This Row],[Rate_Code_Generalized]],Lookups!A:A,Lookups!B:B))*Pipeline_tbl[[#This Row],[Pipeline_Amount_USD]]</f>
        <v>8848.6799999999985</v>
      </c>
      <c r="O1942" t="str">
        <f>_xlfn.XLOOKUP(Pipeline_tbl[[#This Row],[Rep_ID]],Dim_Reps!A:A,Dim_Reps!B:B)</f>
        <v>Morgan Rivera</v>
      </c>
      <c r="P1942" t="str">
        <f>_xlfn.XLOOKUP(Pipeline_tbl[[#This Row],[Rep_ID]],Dim_Reps!A:A,Dim_Reps!C:C)</f>
        <v>Mid-Market AE</v>
      </c>
      <c r="Q1942" t="str">
        <f>_xlfn.XLOOKUP(Pipeline_tbl[[#This Row],[Rep_ID]],Dim_Reps!A:A,Dim_Reps!D:D)</f>
        <v>Mid-Market</v>
      </c>
      <c r="R1942" t="str">
        <f>_xlfn.XLOOKUP(Pipeline_tbl[[#This Row],[Rep_ID]],Dim_Reps!A:A,Dim_Reps!E:E)</f>
        <v>NAMER</v>
      </c>
      <c r="S1942" t="str">
        <f>_xlfn.XLOOKUP(Pipeline_tbl[[#This Row],[Created_Date]],Dim_Date!A:A,Dim_Date!H:H)</f>
        <v>Nov 2024</v>
      </c>
      <c r="T1942" t="str">
        <f>IF(Pipeline_tbl[[#This Row],[Closed_Date]]=0,"",(_xlfn.XLOOKUP(Pipeline_tbl[[#This Row],[Closed_Date]],Dim_Date!A:A,Dim_Date!H:H)))</f>
        <v>Dec 2024</v>
      </c>
      <c r="U1942">
        <f>IF(Pipeline_tbl[[#This Row],[Closed_Date]]=0,"",Pipeline_tbl[[#This Row],[Closed_Date]]-Pipeline_tbl[[#This Row],[Created_Date]])</f>
        <v>31</v>
      </c>
    </row>
    <row r="1943" spans="1:21" ht="15" customHeight="1" x14ac:dyDescent="0.2">
      <c r="A1943" t="s">
        <v>2249</v>
      </c>
      <c r="B1943" t="s">
        <v>269</v>
      </c>
      <c r="C1943" t="s">
        <v>52</v>
      </c>
      <c r="D1943" s="49">
        <v>45604</v>
      </c>
      <c r="E1943" s="49">
        <v>45607</v>
      </c>
      <c r="F1943" s="49">
        <v>45612</v>
      </c>
      <c r="I1943" s="49">
        <v>45632</v>
      </c>
      <c r="J1943" t="s">
        <v>49</v>
      </c>
      <c r="K1943" s="33">
        <v>12600</v>
      </c>
      <c r="L1943" t="s">
        <v>62</v>
      </c>
      <c r="M1943" t="str">
        <f>_xlfn.XLOOKUP(Pipeline_tbl[[#This Row],[Rep_ID]],Dim_Reps!A:A,Dim_Reps!K:K)</f>
        <v>USD</v>
      </c>
      <c r="N1943" s="33">
        <f>(_xlfn.XLOOKUP(Pipeline_tbl[[#This Row],[Rate_Code_Generalized]],Lookups!A:A,Lookups!B:B))*Pipeline_tbl[[#This Row],[Pipeline_Amount_USD]]</f>
        <v>14670.179999999998</v>
      </c>
      <c r="O1943" t="str">
        <f>_xlfn.XLOOKUP(Pipeline_tbl[[#This Row],[Rep_ID]],Dim_Reps!A:A,Dim_Reps!B:B)</f>
        <v>Morgan Rivera</v>
      </c>
      <c r="P1943" t="str">
        <f>_xlfn.XLOOKUP(Pipeline_tbl[[#This Row],[Rep_ID]],Dim_Reps!A:A,Dim_Reps!C:C)</f>
        <v>Mid-Market AE</v>
      </c>
      <c r="Q1943" t="str">
        <f>_xlfn.XLOOKUP(Pipeline_tbl[[#This Row],[Rep_ID]],Dim_Reps!A:A,Dim_Reps!D:D)</f>
        <v>Mid-Market</v>
      </c>
      <c r="R1943" t="str">
        <f>_xlfn.XLOOKUP(Pipeline_tbl[[#This Row],[Rep_ID]],Dim_Reps!A:A,Dim_Reps!E:E)</f>
        <v>NAMER</v>
      </c>
      <c r="S1943" t="str">
        <f>_xlfn.XLOOKUP(Pipeline_tbl[[#This Row],[Created_Date]],Dim_Date!A:A,Dim_Date!H:H)</f>
        <v>Nov 2024</v>
      </c>
      <c r="T1943" t="str">
        <f>IF(Pipeline_tbl[[#This Row],[Closed_Date]]=0,"",(_xlfn.XLOOKUP(Pipeline_tbl[[#This Row],[Closed_Date]],Dim_Date!A:A,Dim_Date!H:H)))</f>
        <v>Dec 2024</v>
      </c>
      <c r="U1943">
        <f>IF(Pipeline_tbl[[#This Row],[Closed_Date]]=0,"",Pipeline_tbl[[#This Row],[Closed_Date]]-Pipeline_tbl[[#This Row],[Created_Date]])</f>
        <v>28</v>
      </c>
    </row>
    <row r="1944" spans="1:21" ht="15" customHeight="1" x14ac:dyDescent="0.2">
      <c r="A1944" t="s">
        <v>2250</v>
      </c>
      <c r="B1944" t="s">
        <v>269</v>
      </c>
      <c r="C1944" t="s">
        <v>53</v>
      </c>
      <c r="D1944" s="49">
        <v>45624</v>
      </c>
      <c r="E1944" s="49">
        <v>45626</v>
      </c>
      <c r="F1944" s="49">
        <v>45631</v>
      </c>
      <c r="G1944" s="49">
        <v>45637</v>
      </c>
      <c r="H1944" s="49">
        <v>45643</v>
      </c>
      <c r="I1944" s="49">
        <v>45646</v>
      </c>
      <c r="J1944" t="s">
        <v>49</v>
      </c>
      <c r="K1944" s="33">
        <v>14500</v>
      </c>
      <c r="L1944" t="s">
        <v>62</v>
      </c>
      <c r="M1944" t="str">
        <f>_xlfn.XLOOKUP(Pipeline_tbl[[#This Row],[Rep_ID]],Dim_Reps!A:A,Dim_Reps!K:K)</f>
        <v>USD</v>
      </c>
      <c r="N1944" s="33">
        <f>(_xlfn.XLOOKUP(Pipeline_tbl[[#This Row],[Rate_Code_Generalized]],Lookups!A:A,Lookups!B:B))*Pipeline_tbl[[#This Row],[Pipeline_Amount_USD]]</f>
        <v>16882.349999999999</v>
      </c>
      <c r="O1944" t="str">
        <f>_xlfn.XLOOKUP(Pipeline_tbl[[#This Row],[Rep_ID]],Dim_Reps!A:A,Dim_Reps!B:B)</f>
        <v>Morgan Rivera</v>
      </c>
      <c r="P1944" t="str">
        <f>_xlfn.XLOOKUP(Pipeline_tbl[[#This Row],[Rep_ID]],Dim_Reps!A:A,Dim_Reps!C:C)</f>
        <v>Mid-Market AE</v>
      </c>
      <c r="Q1944" t="str">
        <f>_xlfn.XLOOKUP(Pipeline_tbl[[#This Row],[Rep_ID]],Dim_Reps!A:A,Dim_Reps!D:D)</f>
        <v>Mid-Market</v>
      </c>
      <c r="R1944" t="str">
        <f>_xlfn.XLOOKUP(Pipeline_tbl[[#This Row],[Rep_ID]],Dim_Reps!A:A,Dim_Reps!E:E)</f>
        <v>NAMER</v>
      </c>
      <c r="S1944" t="str">
        <f>_xlfn.XLOOKUP(Pipeline_tbl[[#This Row],[Created_Date]],Dim_Date!A:A,Dim_Date!H:H)</f>
        <v>Nov 2024</v>
      </c>
      <c r="T1944" t="str">
        <f>IF(Pipeline_tbl[[#This Row],[Closed_Date]]=0,"",(_xlfn.XLOOKUP(Pipeline_tbl[[#This Row],[Closed_Date]],Dim_Date!A:A,Dim_Date!H:H)))</f>
        <v>Dec 2024</v>
      </c>
      <c r="U1944">
        <f>IF(Pipeline_tbl[[#This Row],[Closed_Date]]=0,"",Pipeline_tbl[[#This Row],[Closed_Date]]-Pipeline_tbl[[#This Row],[Created_Date]])</f>
        <v>22</v>
      </c>
    </row>
    <row r="1945" spans="1:21" ht="15" customHeight="1" x14ac:dyDescent="0.2">
      <c r="A1945" t="s">
        <v>2251</v>
      </c>
      <c r="B1945" t="s">
        <v>271</v>
      </c>
      <c r="C1945" t="s">
        <v>53</v>
      </c>
      <c r="D1945" s="49">
        <v>45619</v>
      </c>
      <c r="E1945" s="49">
        <v>45623</v>
      </c>
      <c r="F1945" s="49">
        <v>45630</v>
      </c>
      <c r="G1945" s="49">
        <v>45641</v>
      </c>
      <c r="H1945" s="49">
        <v>45650</v>
      </c>
      <c r="I1945" s="49">
        <v>45656</v>
      </c>
      <c r="J1945" t="s">
        <v>47</v>
      </c>
      <c r="K1945" s="33">
        <v>17100</v>
      </c>
      <c r="M1945" t="str">
        <f>_xlfn.XLOOKUP(Pipeline_tbl[[#This Row],[Rep_ID]],Dim_Reps!A:A,Dim_Reps!K:K)</f>
        <v>EUR</v>
      </c>
      <c r="N1945" s="33">
        <f>(_xlfn.XLOOKUP(Pipeline_tbl[[#This Row],[Rate_Code_Generalized]],Lookups!A:A,Lookups!B:B))*Pipeline_tbl[[#This Row],[Pipeline_Amount_USD]]</f>
        <v>17100</v>
      </c>
      <c r="O1945" t="str">
        <f>_xlfn.XLOOKUP(Pipeline_tbl[[#This Row],[Rep_ID]],Dim_Reps!A:A,Dim_Reps!B:B)</f>
        <v>Ivy Adler</v>
      </c>
      <c r="P1945" t="str">
        <f>_xlfn.XLOOKUP(Pipeline_tbl[[#This Row],[Rep_ID]],Dim_Reps!A:A,Dim_Reps!C:C)</f>
        <v>Mid-Market AE</v>
      </c>
      <c r="Q1945" t="str">
        <f>_xlfn.XLOOKUP(Pipeline_tbl[[#This Row],[Rep_ID]],Dim_Reps!A:A,Dim_Reps!D:D)</f>
        <v>Mid-Market</v>
      </c>
      <c r="R1945" t="str">
        <f>_xlfn.XLOOKUP(Pipeline_tbl[[#This Row],[Rep_ID]],Dim_Reps!A:A,Dim_Reps!E:E)</f>
        <v>APAC</v>
      </c>
      <c r="S1945" t="str">
        <f>_xlfn.XLOOKUP(Pipeline_tbl[[#This Row],[Created_Date]],Dim_Date!A:A,Dim_Date!H:H)</f>
        <v>Nov 2024</v>
      </c>
      <c r="T1945" t="str">
        <f>IF(Pipeline_tbl[[#This Row],[Closed_Date]]=0,"",(_xlfn.XLOOKUP(Pipeline_tbl[[#This Row],[Closed_Date]],Dim_Date!A:A,Dim_Date!H:H)))</f>
        <v>Dec 2024</v>
      </c>
      <c r="U1945">
        <f>IF(Pipeline_tbl[[#This Row],[Closed_Date]]=0,"",Pipeline_tbl[[#This Row],[Closed_Date]]-Pipeline_tbl[[#This Row],[Created_Date]])</f>
        <v>37</v>
      </c>
    </row>
    <row r="1946" spans="1:21" ht="15" customHeight="1" x14ac:dyDescent="0.2">
      <c r="A1946" t="s">
        <v>2252</v>
      </c>
      <c r="B1946" t="s">
        <v>271</v>
      </c>
      <c r="C1946" t="s">
        <v>54</v>
      </c>
      <c r="D1946" s="49">
        <v>45617</v>
      </c>
      <c r="E1946" s="49">
        <v>45621</v>
      </c>
      <c r="F1946" s="49">
        <v>45628</v>
      </c>
      <c r="G1946" s="49">
        <v>45639</v>
      </c>
      <c r="H1946" s="49">
        <v>45648</v>
      </c>
      <c r="I1946" s="49">
        <v>45654</v>
      </c>
      <c r="J1946" t="s">
        <v>47</v>
      </c>
      <c r="K1946" s="33">
        <v>10300</v>
      </c>
      <c r="M1946" t="str">
        <f>_xlfn.XLOOKUP(Pipeline_tbl[[#This Row],[Rep_ID]],Dim_Reps!A:A,Dim_Reps!K:K)</f>
        <v>EUR</v>
      </c>
      <c r="N1946" s="33">
        <f>(_xlfn.XLOOKUP(Pipeline_tbl[[#This Row],[Rate_Code_Generalized]],Lookups!A:A,Lookups!B:B))*Pipeline_tbl[[#This Row],[Pipeline_Amount_USD]]</f>
        <v>10300</v>
      </c>
      <c r="O1946" t="str">
        <f>_xlfn.XLOOKUP(Pipeline_tbl[[#This Row],[Rep_ID]],Dim_Reps!A:A,Dim_Reps!B:B)</f>
        <v>Ivy Adler</v>
      </c>
      <c r="P1946" t="str">
        <f>_xlfn.XLOOKUP(Pipeline_tbl[[#This Row],[Rep_ID]],Dim_Reps!A:A,Dim_Reps!C:C)</f>
        <v>Mid-Market AE</v>
      </c>
      <c r="Q1946" t="str">
        <f>_xlfn.XLOOKUP(Pipeline_tbl[[#This Row],[Rep_ID]],Dim_Reps!A:A,Dim_Reps!D:D)</f>
        <v>Mid-Market</v>
      </c>
      <c r="R1946" t="str">
        <f>_xlfn.XLOOKUP(Pipeline_tbl[[#This Row],[Rep_ID]],Dim_Reps!A:A,Dim_Reps!E:E)</f>
        <v>APAC</v>
      </c>
      <c r="S1946" t="str">
        <f>_xlfn.XLOOKUP(Pipeline_tbl[[#This Row],[Created_Date]],Dim_Date!A:A,Dim_Date!H:H)</f>
        <v>Nov 2024</v>
      </c>
      <c r="T1946" t="str">
        <f>IF(Pipeline_tbl[[#This Row],[Closed_Date]]=0,"",(_xlfn.XLOOKUP(Pipeline_tbl[[#This Row],[Closed_Date]],Dim_Date!A:A,Dim_Date!H:H)))</f>
        <v>Dec 2024</v>
      </c>
      <c r="U1946">
        <f>IF(Pipeline_tbl[[#This Row],[Closed_Date]]=0,"",Pipeline_tbl[[#This Row],[Closed_Date]]-Pipeline_tbl[[#This Row],[Created_Date]])</f>
        <v>37</v>
      </c>
    </row>
    <row r="1947" spans="1:21" ht="15" customHeight="1" x14ac:dyDescent="0.2">
      <c r="A1947" t="s">
        <v>2253</v>
      </c>
      <c r="B1947" t="s">
        <v>271</v>
      </c>
      <c r="C1947" t="s">
        <v>53</v>
      </c>
      <c r="D1947" s="49">
        <v>45602</v>
      </c>
      <c r="E1947" s="49">
        <v>45607</v>
      </c>
      <c r="F1947" s="49">
        <v>45617</v>
      </c>
      <c r="G1947" s="49">
        <v>45632</v>
      </c>
      <c r="I1947" s="49">
        <v>45652</v>
      </c>
      <c r="J1947" t="s">
        <v>49</v>
      </c>
      <c r="K1947" s="33">
        <v>13500</v>
      </c>
      <c r="L1947" t="s">
        <v>62</v>
      </c>
      <c r="M1947" t="str">
        <f>_xlfn.XLOOKUP(Pipeline_tbl[[#This Row],[Rep_ID]],Dim_Reps!A:A,Dim_Reps!K:K)</f>
        <v>EUR</v>
      </c>
      <c r="N1947" s="33">
        <f>(_xlfn.XLOOKUP(Pipeline_tbl[[#This Row],[Rate_Code_Generalized]],Lookups!A:A,Lookups!B:B))*Pipeline_tbl[[#This Row],[Pipeline_Amount_USD]]</f>
        <v>13500</v>
      </c>
      <c r="O1947" t="str">
        <f>_xlfn.XLOOKUP(Pipeline_tbl[[#This Row],[Rep_ID]],Dim_Reps!A:A,Dim_Reps!B:B)</f>
        <v>Ivy Adler</v>
      </c>
      <c r="P1947" t="str">
        <f>_xlfn.XLOOKUP(Pipeline_tbl[[#This Row],[Rep_ID]],Dim_Reps!A:A,Dim_Reps!C:C)</f>
        <v>Mid-Market AE</v>
      </c>
      <c r="Q1947" t="str">
        <f>_xlfn.XLOOKUP(Pipeline_tbl[[#This Row],[Rep_ID]],Dim_Reps!A:A,Dim_Reps!D:D)</f>
        <v>Mid-Market</v>
      </c>
      <c r="R1947" t="str">
        <f>_xlfn.XLOOKUP(Pipeline_tbl[[#This Row],[Rep_ID]],Dim_Reps!A:A,Dim_Reps!E:E)</f>
        <v>APAC</v>
      </c>
      <c r="S1947" t="str">
        <f>_xlfn.XLOOKUP(Pipeline_tbl[[#This Row],[Created_Date]],Dim_Date!A:A,Dim_Date!H:H)</f>
        <v>Nov 2024</v>
      </c>
      <c r="T1947" t="str">
        <f>IF(Pipeline_tbl[[#This Row],[Closed_Date]]=0,"",(_xlfn.XLOOKUP(Pipeline_tbl[[#This Row],[Closed_Date]],Dim_Date!A:A,Dim_Date!H:H)))</f>
        <v>Dec 2024</v>
      </c>
      <c r="U1947">
        <f>IF(Pipeline_tbl[[#This Row],[Closed_Date]]=0,"",Pipeline_tbl[[#This Row],[Closed_Date]]-Pipeline_tbl[[#This Row],[Created_Date]])</f>
        <v>50</v>
      </c>
    </row>
    <row r="1948" spans="1:21" ht="15" customHeight="1" x14ac:dyDescent="0.2">
      <c r="A1948" t="s">
        <v>2254</v>
      </c>
      <c r="B1948" t="s">
        <v>271</v>
      </c>
      <c r="C1948" t="s">
        <v>52</v>
      </c>
      <c r="D1948" s="49">
        <v>45613</v>
      </c>
      <c r="E1948" s="49">
        <v>45616</v>
      </c>
      <c r="F1948" s="49">
        <v>45622</v>
      </c>
      <c r="G1948" s="49">
        <v>45631</v>
      </c>
      <c r="I1948" s="49">
        <v>45643</v>
      </c>
      <c r="J1948" t="s">
        <v>49</v>
      </c>
      <c r="K1948" s="33">
        <v>13400</v>
      </c>
      <c r="L1948" t="s">
        <v>61</v>
      </c>
      <c r="M1948" t="str">
        <f>_xlfn.XLOOKUP(Pipeline_tbl[[#This Row],[Rep_ID]],Dim_Reps!A:A,Dim_Reps!K:K)</f>
        <v>EUR</v>
      </c>
      <c r="N1948" s="33">
        <f>(_xlfn.XLOOKUP(Pipeline_tbl[[#This Row],[Rate_Code_Generalized]],Lookups!A:A,Lookups!B:B))*Pipeline_tbl[[#This Row],[Pipeline_Amount_USD]]</f>
        <v>13400</v>
      </c>
      <c r="O1948" t="str">
        <f>_xlfn.XLOOKUP(Pipeline_tbl[[#This Row],[Rep_ID]],Dim_Reps!A:A,Dim_Reps!B:B)</f>
        <v>Ivy Adler</v>
      </c>
      <c r="P1948" t="str">
        <f>_xlfn.XLOOKUP(Pipeline_tbl[[#This Row],[Rep_ID]],Dim_Reps!A:A,Dim_Reps!C:C)</f>
        <v>Mid-Market AE</v>
      </c>
      <c r="Q1948" t="str">
        <f>_xlfn.XLOOKUP(Pipeline_tbl[[#This Row],[Rep_ID]],Dim_Reps!A:A,Dim_Reps!D:D)</f>
        <v>Mid-Market</v>
      </c>
      <c r="R1948" t="str">
        <f>_xlfn.XLOOKUP(Pipeline_tbl[[#This Row],[Rep_ID]],Dim_Reps!A:A,Dim_Reps!E:E)</f>
        <v>APAC</v>
      </c>
      <c r="S1948" t="str">
        <f>_xlfn.XLOOKUP(Pipeline_tbl[[#This Row],[Created_Date]],Dim_Date!A:A,Dim_Date!H:H)</f>
        <v>Nov 2024</v>
      </c>
      <c r="T1948" t="str">
        <f>IF(Pipeline_tbl[[#This Row],[Closed_Date]]=0,"",(_xlfn.XLOOKUP(Pipeline_tbl[[#This Row],[Closed_Date]],Dim_Date!A:A,Dim_Date!H:H)))</f>
        <v>Dec 2024</v>
      </c>
      <c r="U1948">
        <f>IF(Pipeline_tbl[[#This Row],[Closed_Date]]=0,"",Pipeline_tbl[[#This Row],[Closed_Date]]-Pipeline_tbl[[#This Row],[Created_Date]])</f>
        <v>30</v>
      </c>
    </row>
    <row r="1949" spans="1:21" ht="15" customHeight="1" x14ac:dyDescent="0.2">
      <c r="A1949" t="s">
        <v>2255</v>
      </c>
      <c r="B1949" t="s">
        <v>271</v>
      </c>
      <c r="C1949" t="s">
        <v>53</v>
      </c>
      <c r="D1949" s="49">
        <v>45614</v>
      </c>
      <c r="E1949" s="49">
        <v>45617</v>
      </c>
      <c r="F1949" s="49">
        <v>45622</v>
      </c>
      <c r="G1949" s="49">
        <v>45630</v>
      </c>
      <c r="I1949" s="49">
        <v>45641</v>
      </c>
      <c r="J1949" t="s">
        <v>49</v>
      </c>
      <c r="K1949" s="33">
        <v>13800</v>
      </c>
      <c r="L1949" t="s">
        <v>62</v>
      </c>
      <c r="M1949" t="str">
        <f>_xlfn.XLOOKUP(Pipeline_tbl[[#This Row],[Rep_ID]],Dim_Reps!A:A,Dim_Reps!K:K)</f>
        <v>EUR</v>
      </c>
      <c r="N1949" s="33">
        <f>(_xlfn.XLOOKUP(Pipeline_tbl[[#This Row],[Rate_Code_Generalized]],Lookups!A:A,Lookups!B:B))*Pipeline_tbl[[#This Row],[Pipeline_Amount_USD]]</f>
        <v>13800</v>
      </c>
      <c r="O1949" t="str">
        <f>_xlfn.XLOOKUP(Pipeline_tbl[[#This Row],[Rep_ID]],Dim_Reps!A:A,Dim_Reps!B:B)</f>
        <v>Ivy Adler</v>
      </c>
      <c r="P1949" t="str">
        <f>_xlfn.XLOOKUP(Pipeline_tbl[[#This Row],[Rep_ID]],Dim_Reps!A:A,Dim_Reps!C:C)</f>
        <v>Mid-Market AE</v>
      </c>
      <c r="Q1949" t="str">
        <f>_xlfn.XLOOKUP(Pipeline_tbl[[#This Row],[Rep_ID]],Dim_Reps!A:A,Dim_Reps!D:D)</f>
        <v>Mid-Market</v>
      </c>
      <c r="R1949" t="str">
        <f>_xlfn.XLOOKUP(Pipeline_tbl[[#This Row],[Rep_ID]],Dim_Reps!A:A,Dim_Reps!E:E)</f>
        <v>APAC</v>
      </c>
      <c r="S1949" t="str">
        <f>_xlfn.XLOOKUP(Pipeline_tbl[[#This Row],[Created_Date]],Dim_Date!A:A,Dim_Date!H:H)</f>
        <v>Nov 2024</v>
      </c>
      <c r="T1949" t="str">
        <f>IF(Pipeline_tbl[[#This Row],[Closed_Date]]=0,"",(_xlfn.XLOOKUP(Pipeline_tbl[[#This Row],[Closed_Date]],Dim_Date!A:A,Dim_Date!H:H)))</f>
        <v>Dec 2024</v>
      </c>
      <c r="U1949">
        <f>IF(Pipeline_tbl[[#This Row],[Closed_Date]]=0,"",Pipeline_tbl[[#This Row],[Closed_Date]]-Pipeline_tbl[[#This Row],[Created_Date]])</f>
        <v>27</v>
      </c>
    </row>
    <row r="1950" spans="1:21" ht="15" customHeight="1" x14ac:dyDescent="0.2">
      <c r="A1950" t="s">
        <v>2256</v>
      </c>
      <c r="B1950" t="s">
        <v>271</v>
      </c>
      <c r="C1950" t="s">
        <v>54</v>
      </c>
      <c r="D1950" s="49">
        <v>45619</v>
      </c>
      <c r="E1950" s="49">
        <v>45621</v>
      </c>
      <c r="F1950" s="49">
        <v>45625</v>
      </c>
      <c r="G1950" s="49">
        <v>45630</v>
      </c>
      <c r="I1950" s="49">
        <v>45638</v>
      </c>
      <c r="J1950" t="s">
        <v>49</v>
      </c>
      <c r="K1950" s="33">
        <v>7500</v>
      </c>
      <c r="L1950" t="s">
        <v>62</v>
      </c>
      <c r="M1950" t="str">
        <f>_xlfn.XLOOKUP(Pipeline_tbl[[#This Row],[Rep_ID]],Dim_Reps!A:A,Dim_Reps!K:K)</f>
        <v>EUR</v>
      </c>
      <c r="N1950" s="33">
        <f>(_xlfn.XLOOKUP(Pipeline_tbl[[#This Row],[Rate_Code_Generalized]],Lookups!A:A,Lookups!B:B))*Pipeline_tbl[[#This Row],[Pipeline_Amount_USD]]</f>
        <v>7500</v>
      </c>
      <c r="O1950" t="str">
        <f>_xlfn.XLOOKUP(Pipeline_tbl[[#This Row],[Rep_ID]],Dim_Reps!A:A,Dim_Reps!B:B)</f>
        <v>Ivy Adler</v>
      </c>
      <c r="P1950" t="str">
        <f>_xlfn.XLOOKUP(Pipeline_tbl[[#This Row],[Rep_ID]],Dim_Reps!A:A,Dim_Reps!C:C)</f>
        <v>Mid-Market AE</v>
      </c>
      <c r="Q1950" t="str">
        <f>_xlfn.XLOOKUP(Pipeline_tbl[[#This Row],[Rep_ID]],Dim_Reps!A:A,Dim_Reps!D:D)</f>
        <v>Mid-Market</v>
      </c>
      <c r="R1950" t="str">
        <f>_xlfn.XLOOKUP(Pipeline_tbl[[#This Row],[Rep_ID]],Dim_Reps!A:A,Dim_Reps!E:E)</f>
        <v>APAC</v>
      </c>
      <c r="S1950" t="str">
        <f>_xlfn.XLOOKUP(Pipeline_tbl[[#This Row],[Created_Date]],Dim_Date!A:A,Dim_Date!H:H)</f>
        <v>Nov 2024</v>
      </c>
      <c r="T1950" t="str">
        <f>IF(Pipeline_tbl[[#This Row],[Closed_Date]]=0,"",(_xlfn.XLOOKUP(Pipeline_tbl[[#This Row],[Closed_Date]],Dim_Date!A:A,Dim_Date!H:H)))</f>
        <v>Dec 2024</v>
      </c>
      <c r="U1950">
        <f>IF(Pipeline_tbl[[#This Row],[Closed_Date]]=0,"",Pipeline_tbl[[#This Row],[Closed_Date]]-Pipeline_tbl[[#This Row],[Created_Date]])</f>
        <v>19</v>
      </c>
    </row>
    <row r="1951" spans="1:21" ht="15" customHeight="1" x14ac:dyDescent="0.2">
      <c r="A1951" t="s">
        <v>2257</v>
      </c>
      <c r="B1951" t="s">
        <v>271</v>
      </c>
      <c r="C1951" t="s">
        <v>52</v>
      </c>
      <c r="D1951" s="49">
        <v>45617</v>
      </c>
      <c r="E1951" s="49">
        <v>45621</v>
      </c>
      <c r="F1951" s="49">
        <v>45628</v>
      </c>
      <c r="G1951" s="49">
        <v>45640</v>
      </c>
      <c r="H1951" s="49">
        <v>45649</v>
      </c>
      <c r="I1951" s="49">
        <v>45655</v>
      </c>
      <c r="J1951" t="s">
        <v>47</v>
      </c>
      <c r="K1951" s="33">
        <v>12000</v>
      </c>
      <c r="M1951" t="str">
        <f>_xlfn.XLOOKUP(Pipeline_tbl[[#This Row],[Rep_ID]],Dim_Reps!A:A,Dim_Reps!K:K)</f>
        <v>EUR</v>
      </c>
      <c r="N1951" s="33">
        <f>(_xlfn.XLOOKUP(Pipeline_tbl[[#This Row],[Rate_Code_Generalized]],Lookups!A:A,Lookups!B:B))*Pipeline_tbl[[#This Row],[Pipeline_Amount_USD]]</f>
        <v>12000</v>
      </c>
      <c r="O1951" t="str">
        <f>_xlfn.XLOOKUP(Pipeline_tbl[[#This Row],[Rep_ID]],Dim_Reps!A:A,Dim_Reps!B:B)</f>
        <v>Ivy Adler</v>
      </c>
      <c r="P1951" t="str">
        <f>_xlfn.XLOOKUP(Pipeline_tbl[[#This Row],[Rep_ID]],Dim_Reps!A:A,Dim_Reps!C:C)</f>
        <v>Mid-Market AE</v>
      </c>
      <c r="Q1951" t="str">
        <f>_xlfn.XLOOKUP(Pipeline_tbl[[#This Row],[Rep_ID]],Dim_Reps!A:A,Dim_Reps!D:D)</f>
        <v>Mid-Market</v>
      </c>
      <c r="R1951" t="str">
        <f>_xlfn.XLOOKUP(Pipeline_tbl[[#This Row],[Rep_ID]],Dim_Reps!A:A,Dim_Reps!E:E)</f>
        <v>APAC</v>
      </c>
      <c r="S1951" t="str">
        <f>_xlfn.XLOOKUP(Pipeline_tbl[[#This Row],[Created_Date]],Dim_Date!A:A,Dim_Date!H:H)</f>
        <v>Nov 2024</v>
      </c>
      <c r="T1951" t="str">
        <f>IF(Pipeline_tbl[[#This Row],[Closed_Date]]=0,"",(_xlfn.XLOOKUP(Pipeline_tbl[[#This Row],[Closed_Date]],Dim_Date!A:A,Dim_Date!H:H)))</f>
        <v>Dec 2024</v>
      </c>
      <c r="U1951">
        <f>IF(Pipeline_tbl[[#This Row],[Closed_Date]]=0,"",Pipeline_tbl[[#This Row],[Closed_Date]]-Pipeline_tbl[[#This Row],[Created_Date]])</f>
        <v>38</v>
      </c>
    </row>
    <row r="1952" spans="1:21" ht="15" customHeight="1" x14ac:dyDescent="0.2">
      <c r="A1952" t="s">
        <v>2258</v>
      </c>
      <c r="B1952" t="s">
        <v>271</v>
      </c>
      <c r="C1952" t="s">
        <v>52</v>
      </c>
      <c r="D1952" s="49">
        <v>45619</v>
      </c>
      <c r="E1952" s="49">
        <v>45620</v>
      </c>
      <c r="F1952" s="49">
        <v>45623</v>
      </c>
      <c r="G1952" s="49">
        <v>45627</v>
      </c>
      <c r="I1952" s="49">
        <v>45632</v>
      </c>
      <c r="J1952" t="s">
        <v>49</v>
      </c>
      <c r="K1952" s="33">
        <v>20000</v>
      </c>
      <c r="L1952" t="s">
        <v>62</v>
      </c>
      <c r="M1952" t="str">
        <f>_xlfn.XLOOKUP(Pipeline_tbl[[#This Row],[Rep_ID]],Dim_Reps!A:A,Dim_Reps!K:K)</f>
        <v>EUR</v>
      </c>
      <c r="N1952" s="33">
        <f>(_xlfn.XLOOKUP(Pipeline_tbl[[#This Row],[Rate_Code_Generalized]],Lookups!A:A,Lookups!B:B))*Pipeline_tbl[[#This Row],[Pipeline_Amount_USD]]</f>
        <v>20000</v>
      </c>
      <c r="O1952" t="str">
        <f>_xlfn.XLOOKUP(Pipeline_tbl[[#This Row],[Rep_ID]],Dim_Reps!A:A,Dim_Reps!B:B)</f>
        <v>Ivy Adler</v>
      </c>
      <c r="P1952" t="str">
        <f>_xlfn.XLOOKUP(Pipeline_tbl[[#This Row],[Rep_ID]],Dim_Reps!A:A,Dim_Reps!C:C)</f>
        <v>Mid-Market AE</v>
      </c>
      <c r="Q1952" t="str">
        <f>_xlfn.XLOOKUP(Pipeline_tbl[[#This Row],[Rep_ID]],Dim_Reps!A:A,Dim_Reps!D:D)</f>
        <v>Mid-Market</v>
      </c>
      <c r="R1952" t="str">
        <f>_xlfn.XLOOKUP(Pipeline_tbl[[#This Row],[Rep_ID]],Dim_Reps!A:A,Dim_Reps!E:E)</f>
        <v>APAC</v>
      </c>
      <c r="S1952" t="str">
        <f>_xlfn.XLOOKUP(Pipeline_tbl[[#This Row],[Created_Date]],Dim_Date!A:A,Dim_Date!H:H)</f>
        <v>Nov 2024</v>
      </c>
      <c r="T1952" t="str">
        <f>IF(Pipeline_tbl[[#This Row],[Closed_Date]]=0,"",(_xlfn.XLOOKUP(Pipeline_tbl[[#This Row],[Closed_Date]],Dim_Date!A:A,Dim_Date!H:H)))</f>
        <v>Dec 2024</v>
      </c>
      <c r="U1952">
        <f>IF(Pipeline_tbl[[#This Row],[Closed_Date]]=0,"",Pipeline_tbl[[#This Row],[Closed_Date]]-Pipeline_tbl[[#This Row],[Created_Date]])</f>
        <v>13</v>
      </c>
    </row>
    <row r="1953" spans="1:21" ht="15" customHeight="1" x14ac:dyDescent="0.2">
      <c r="A1953" t="s">
        <v>2259</v>
      </c>
      <c r="B1953" t="s">
        <v>271</v>
      </c>
      <c r="C1953" t="s">
        <v>52</v>
      </c>
      <c r="D1953" s="49">
        <v>45600</v>
      </c>
      <c r="E1953" s="49">
        <v>45603</v>
      </c>
      <c r="F1953" s="49">
        <v>45608</v>
      </c>
      <c r="G1953" s="49">
        <v>45617</v>
      </c>
      <c r="H1953" s="49">
        <v>45624</v>
      </c>
      <c r="I1953" s="49">
        <v>45628</v>
      </c>
      <c r="J1953" t="s">
        <v>47</v>
      </c>
      <c r="K1953" s="33">
        <v>9900</v>
      </c>
      <c r="M1953" t="str">
        <f>_xlfn.XLOOKUP(Pipeline_tbl[[#This Row],[Rep_ID]],Dim_Reps!A:A,Dim_Reps!K:K)</f>
        <v>EUR</v>
      </c>
      <c r="N1953" s="33">
        <f>(_xlfn.XLOOKUP(Pipeline_tbl[[#This Row],[Rate_Code_Generalized]],Lookups!A:A,Lookups!B:B))*Pipeline_tbl[[#This Row],[Pipeline_Amount_USD]]</f>
        <v>9900</v>
      </c>
      <c r="O1953" t="str">
        <f>_xlfn.XLOOKUP(Pipeline_tbl[[#This Row],[Rep_ID]],Dim_Reps!A:A,Dim_Reps!B:B)</f>
        <v>Ivy Adler</v>
      </c>
      <c r="P1953" t="str">
        <f>_xlfn.XLOOKUP(Pipeline_tbl[[#This Row],[Rep_ID]],Dim_Reps!A:A,Dim_Reps!C:C)</f>
        <v>Mid-Market AE</v>
      </c>
      <c r="Q1953" t="str">
        <f>_xlfn.XLOOKUP(Pipeline_tbl[[#This Row],[Rep_ID]],Dim_Reps!A:A,Dim_Reps!D:D)</f>
        <v>Mid-Market</v>
      </c>
      <c r="R1953" t="str">
        <f>_xlfn.XLOOKUP(Pipeline_tbl[[#This Row],[Rep_ID]],Dim_Reps!A:A,Dim_Reps!E:E)</f>
        <v>APAC</v>
      </c>
      <c r="S1953" t="str">
        <f>_xlfn.XLOOKUP(Pipeline_tbl[[#This Row],[Created_Date]],Dim_Date!A:A,Dim_Date!H:H)</f>
        <v>Nov 2024</v>
      </c>
      <c r="T1953" t="str">
        <f>IF(Pipeline_tbl[[#This Row],[Closed_Date]]=0,"",(_xlfn.XLOOKUP(Pipeline_tbl[[#This Row],[Closed_Date]],Dim_Date!A:A,Dim_Date!H:H)))</f>
        <v>Dec 2024</v>
      </c>
      <c r="U1953">
        <f>IF(Pipeline_tbl[[#This Row],[Closed_Date]]=0,"",Pipeline_tbl[[#This Row],[Closed_Date]]-Pipeline_tbl[[#This Row],[Created_Date]])</f>
        <v>28</v>
      </c>
    </row>
    <row r="1954" spans="1:21" ht="15" customHeight="1" x14ac:dyDescent="0.2">
      <c r="A1954" t="s">
        <v>2260</v>
      </c>
      <c r="B1954" t="s">
        <v>273</v>
      </c>
      <c r="C1954" t="s">
        <v>55</v>
      </c>
      <c r="D1954" s="49">
        <v>45616</v>
      </c>
      <c r="E1954" s="49">
        <v>45620</v>
      </c>
      <c r="I1954" s="49">
        <v>45656</v>
      </c>
      <c r="J1954" t="s">
        <v>49</v>
      </c>
      <c r="K1954" s="33">
        <v>6400</v>
      </c>
      <c r="L1954" t="s">
        <v>60</v>
      </c>
      <c r="M1954" t="str">
        <f>_xlfn.XLOOKUP(Pipeline_tbl[[#This Row],[Rep_ID]],Dim_Reps!A:A,Dim_Reps!K:K)</f>
        <v>EUR</v>
      </c>
      <c r="N1954" s="33">
        <f>(_xlfn.XLOOKUP(Pipeline_tbl[[#This Row],[Rate_Code_Generalized]],Lookups!A:A,Lookups!B:B))*Pipeline_tbl[[#This Row],[Pipeline_Amount_USD]]</f>
        <v>6400</v>
      </c>
      <c r="O1954" t="str">
        <f>_xlfn.XLOOKUP(Pipeline_tbl[[#This Row],[Rep_ID]],Dim_Reps!A:A,Dim_Reps!B:B)</f>
        <v>Olivia Cohen</v>
      </c>
      <c r="P1954" t="str">
        <f>_xlfn.XLOOKUP(Pipeline_tbl[[#This Row],[Rep_ID]],Dim_Reps!A:A,Dim_Reps!C:C)</f>
        <v>Mid-Market AE</v>
      </c>
      <c r="Q1954" t="str">
        <f>_xlfn.XLOOKUP(Pipeline_tbl[[#This Row],[Rep_ID]],Dim_Reps!A:A,Dim_Reps!D:D)</f>
        <v>Mid-Market</v>
      </c>
      <c r="R1954" t="str">
        <f>_xlfn.XLOOKUP(Pipeline_tbl[[#This Row],[Rep_ID]],Dim_Reps!A:A,Dim_Reps!E:E)</f>
        <v>APAC</v>
      </c>
      <c r="S1954" t="str">
        <f>_xlfn.XLOOKUP(Pipeline_tbl[[#This Row],[Created_Date]],Dim_Date!A:A,Dim_Date!H:H)</f>
        <v>Nov 2024</v>
      </c>
      <c r="T1954" t="str">
        <f>IF(Pipeline_tbl[[#This Row],[Closed_Date]]=0,"",(_xlfn.XLOOKUP(Pipeline_tbl[[#This Row],[Closed_Date]],Dim_Date!A:A,Dim_Date!H:H)))</f>
        <v>Dec 2024</v>
      </c>
      <c r="U1954">
        <f>IF(Pipeline_tbl[[#This Row],[Closed_Date]]=0,"",Pipeline_tbl[[#This Row],[Closed_Date]]-Pipeline_tbl[[#This Row],[Created_Date]])</f>
        <v>40</v>
      </c>
    </row>
    <row r="1955" spans="1:21" ht="15" customHeight="1" x14ac:dyDescent="0.2">
      <c r="A1955" t="s">
        <v>2261</v>
      </c>
      <c r="B1955" t="s">
        <v>273</v>
      </c>
      <c r="C1955" t="s">
        <v>55</v>
      </c>
      <c r="D1955" s="49">
        <v>45603</v>
      </c>
      <c r="E1955" s="49">
        <v>45606</v>
      </c>
      <c r="F1955" s="49">
        <v>45611</v>
      </c>
      <c r="I1955" s="49">
        <v>45631</v>
      </c>
      <c r="J1955" t="s">
        <v>49</v>
      </c>
      <c r="K1955" s="33">
        <v>4600</v>
      </c>
      <c r="L1955" t="s">
        <v>61</v>
      </c>
      <c r="M1955" t="str">
        <f>_xlfn.XLOOKUP(Pipeline_tbl[[#This Row],[Rep_ID]],Dim_Reps!A:A,Dim_Reps!K:K)</f>
        <v>EUR</v>
      </c>
      <c r="N1955" s="33">
        <f>(_xlfn.XLOOKUP(Pipeline_tbl[[#This Row],[Rate_Code_Generalized]],Lookups!A:A,Lookups!B:B))*Pipeline_tbl[[#This Row],[Pipeline_Amount_USD]]</f>
        <v>4600</v>
      </c>
      <c r="O1955" t="str">
        <f>_xlfn.XLOOKUP(Pipeline_tbl[[#This Row],[Rep_ID]],Dim_Reps!A:A,Dim_Reps!B:B)</f>
        <v>Olivia Cohen</v>
      </c>
      <c r="P1955" t="str">
        <f>_xlfn.XLOOKUP(Pipeline_tbl[[#This Row],[Rep_ID]],Dim_Reps!A:A,Dim_Reps!C:C)</f>
        <v>Mid-Market AE</v>
      </c>
      <c r="Q1955" t="str">
        <f>_xlfn.XLOOKUP(Pipeline_tbl[[#This Row],[Rep_ID]],Dim_Reps!A:A,Dim_Reps!D:D)</f>
        <v>Mid-Market</v>
      </c>
      <c r="R1955" t="str">
        <f>_xlfn.XLOOKUP(Pipeline_tbl[[#This Row],[Rep_ID]],Dim_Reps!A:A,Dim_Reps!E:E)</f>
        <v>APAC</v>
      </c>
      <c r="S1955" t="str">
        <f>_xlfn.XLOOKUP(Pipeline_tbl[[#This Row],[Created_Date]],Dim_Date!A:A,Dim_Date!H:H)</f>
        <v>Nov 2024</v>
      </c>
      <c r="T1955" t="str">
        <f>IF(Pipeline_tbl[[#This Row],[Closed_Date]]=0,"",(_xlfn.XLOOKUP(Pipeline_tbl[[#This Row],[Closed_Date]],Dim_Date!A:A,Dim_Date!H:H)))</f>
        <v>Dec 2024</v>
      </c>
      <c r="U1955">
        <f>IF(Pipeline_tbl[[#This Row],[Closed_Date]]=0,"",Pipeline_tbl[[#This Row],[Closed_Date]]-Pipeline_tbl[[#This Row],[Created_Date]])</f>
        <v>28</v>
      </c>
    </row>
    <row r="1956" spans="1:21" ht="15" customHeight="1" x14ac:dyDescent="0.2">
      <c r="A1956" t="s">
        <v>2262</v>
      </c>
      <c r="B1956" t="s">
        <v>273</v>
      </c>
      <c r="C1956" t="s">
        <v>54</v>
      </c>
      <c r="D1956" s="49">
        <v>45603</v>
      </c>
      <c r="E1956" s="49">
        <v>45606</v>
      </c>
      <c r="F1956" s="49">
        <v>45612</v>
      </c>
      <c r="G1956" s="49">
        <v>45622</v>
      </c>
      <c r="H1956" s="49">
        <v>45629</v>
      </c>
      <c r="I1956" s="49">
        <v>45634</v>
      </c>
      <c r="J1956" t="s">
        <v>47</v>
      </c>
      <c r="K1956" s="33">
        <v>13100</v>
      </c>
      <c r="M1956" t="str">
        <f>_xlfn.XLOOKUP(Pipeline_tbl[[#This Row],[Rep_ID]],Dim_Reps!A:A,Dim_Reps!K:K)</f>
        <v>EUR</v>
      </c>
      <c r="N1956" s="33">
        <f>(_xlfn.XLOOKUP(Pipeline_tbl[[#This Row],[Rate_Code_Generalized]],Lookups!A:A,Lookups!B:B))*Pipeline_tbl[[#This Row],[Pipeline_Amount_USD]]</f>
        <v>13100</v>
      </c>
      <c r="O1956" t="str">
        <f>_xlfn.XLOOKUP(Pipeline_tbl[[#This Row],[Rep_ID]],Dim_Reps!A:A,Dim_Reps!B:B)</f>
        <v>Olivia Cohen</v>
      </c>
      <c r="P1956" t="str">
        <f>_xlfn.XLOOKUP(Pipeline_tbl[[#This Row],[Rep_ID]],Dim_Reps!A:A,Dim_Reps!C:C)</f>
        <v>Mid-Market AE</v>
      </c>
      <c r="Q1956" t="str">
        <f>_xlfn.XLOOKUP(Pipeline_tbl[[#This Row],[Rep_ID]],Dim_Reps!A:A,Dim_Reps!D:D)</f>
        <v>Mid-Market</v>
      </c>
      <c r="R1956" t="str">
        <f>_xlfn.XLOOKUP(Pipeline_tbl[[#This Row],[Rep_ID]],Dim_Reps!A:A,Dim_Reps!E:E)</f>
        <v>APAC</v>
      </c>
      <c r="S1956" t="str">
        <f>_xlfn.XLOOKUP(Pipeline_tbl[[#This Row],[Created_Date]],Dim_Date!A:A,Dim_Date!H:H)</f>
        <v>Nov 2024</v>
      </c>
      <c r="T1956" t="str">
        <f>IF(Pipeline_tbl[[#This Row],[Closed_Date]]=0,"",(_xlfn.XLOOKUP(Pipeline_tbl[[#This Row],[Closed_Date]],Dim_Date!A:A,Dim_Date!H:H)))</f>
        <v>Dec 2024</v>
      </c>
      <c r="U1956">
        <f>IF(Pipeline_tbl[[#This Row],[Closed_Date]]=0,"",Pipeline_tbl[[#This Row],[Closed_Date]]-Pipeline_tbl[[#This Row],[Created_Date]])</f>
        <v>31</v>
      </c>
    </row>
    <row r="1957" spans="1:21" ht="15" customHeight="1" x14ac:dyDescent="0.2">
      <c r="A1957" t="s">
        <v>2263</v>
      </c>
      <c r="B1957" t="s">
        <v>273</v>
      </c>
      <c r="C1957" t="s">
        <v>52</v>
      </c>
      <c r="D1957" s="49">
        <v>45606</v>
      </c>
      <c r="E1957" s="49">
        <v>45609</v>
      </c>
      <c r="F1957" s="49">
        <v>45615</v>
      </c>
      <c r="G1957" s="49">
        <v>45623</v>
      </c>
      <c r="H1957" s="49">
        <v>45631</v>
      </c>
      <c r="I1957" s="49">
        <v>45635</v>
      </c>
      <c r="J1957" t="s">
        <v>49</v>
      </c>
      <c r="K1957" s="33">
        <v>14200</v>
      </c>
      <c r="L1957" t="s">
        <v>60</v>
      </c>
      <c r="M1957" t="str">
        <f>_xlfn.XLOOKUP(Pipeline_tbl[[#This Row],[Rep_ID]],Dim_Reps!A:A,Dim_Reps!K:K)</f>
        <v>EUR</v>
      </c>
      <c r="N1957" s="33">
        <f>(_xlfn.XLOOKUP(Pipeline_tbl[[#This Row],[Rate_Code_Generalized]],Lookups!A:A,Lookups!B:B))*Pipeline_tbl[[#This Row],[Pipeline_Amount_USD]]</f>
        <v>14200</v>
      </c>
      <c r="O1957" t="str">
        <f>_xlfn.XLOOKUP(Pipeline_tbl[[#This Row],[Rep_ID]],Dim_Reps!A:A,Dim_Reps!B:B)</f>
        <v>Olivia Cohen</v>
      </c>
      <c r="P1957" t="str">
        <f>_xlfn.XLOOKUP(Pipeline_tbl[[#This Row],[Rep_ID]],Dim_Reps!A:A,Dim_Reps!C:C)</f>
        <v>Mid-Market AE</v>
      </c>
      <c r="Q1957" t="str">
        <f>_xlfn.XLOOKUP(Pipeline_tbl[[#This Row],[Rep_ID]],Dim_Reps!A:A,Dim_Reps!D:D)</f>
        <v>Mid-Market</v>
      </c>
      <c r="R1957" t="str">
        <f>_xlfn.XLOOKUP(Pipeline_tbl[[#This Row],[Rep_ID]],Dim_Reps!A:A,Dim_Reps!E:E)</f>
        <v>APAC</v>
      </c>
      <c r="S1957" t="str">
        <f>_xlfn.XLOOKUP(Pipeline_tbl[[#This Row],[Created_Date]],Dim_Date!A:A,Dim_Date!H:H)</f>
        <v>Nov 2024</v>
      </c>
      <c r="T1957" t="str">
        <f>IF(Pipeline_tbl[[#This Row],[Closed_Date]]=0,"",(_xlfn.XLOOKUP(Pipeline_tbl[[#This Row],[Closed_Date]],Dim_Date!A:A,Dim_Date!H:H)))</f>
        <v>Dec 2024</v>
      </c>
      <c r="U1957">
        <f>IF(Pipeline_tbl[[#This Row],[Closed_Date]]=0,"",Pipeline_tbl[[#This Row],[Closed_Date]]-Pipeline_tbl[[#This Row],[Created_Date]])</f>
        <v>29</v>
      </c>
    </row>
    <row r="1958" spans="1:21" ht="15" customHeight="1" x14ac:dyDescent="0.2">
      <c r="A1958" t="s">
        <v>2264</v>
      </c>
      <c r="B1958" t="s">
        <v>241</v>
      </c>
      <c r="C1958" t="s">
        <v>53</v>
      </c>
      <c r="D1958" s="49">
        <v>45613</v>
      </c>
      <c r="E1958" s="49">
        <v>45614</v>
      </c>
      <c r="F1958" s="49">
        <v>45617</v>
      </c>
      <c r="G1958" s="49">
        <v>45621</v>
      </c>
      <c r="I1958" s="49">
        <v>45627</v>
      </c>
      <c r="J1958" t="s">
        <v>49</v>
      </c>
      <c r="K1958" s="33">
        <v>900</v>
      </c>
      <c r="L1958" t="s">
        <v>63</v>
      </c>
      <c r="M1958" t="str">
        <f>_xlfn.XLOOKUP(Pipeline_tbl[[#This Row],[Rep_ID]],Dim_Reps!A:A,Dim_Reps!K:K)</f>
        <v>EUR</v>
      </c>
      <c r="N1958" s="33">
        <f>(_xlfn.XLOOKUP(Pipeline_tbl[[#This Row],[Rate_Code_Generalized]],Lookups!A:A,Lookups!B:B))*Pipeline_tbl[[#This Row],[Pipeline_Amount_USD]]</f>
        <v>900</v>
      </c>
      <c r="O1958" t="str">
        <f>_xlfn.XLOOKUP(Pipeline_tbl[[#This Row],[Rep_ID]],Dim_Reps!A:A,Dim_Reps!B:B)</f>
        <v>Kenji Weber</v>
      </c>
      <c r="P1958" t="str">
        <f>_xlfn.XLOOKUP(Pipeline_tbl[[#This Row],[Rep_ID]],Dim_Reps!A:A,Dim_Reps!C:C)</f>
        <v>SDR / Inside Sales Rep</v>
      </c>
      <c r="Q1958" t="str">
        <f>_xlfn.XLOOKUP(Pipeline_tbl[[#This Row],[Rep_ID]],Dim_Reps!A:A,Dim_Reps!D:D)</f>
        <v>Inside Sales</v>
      </c>
      <c r="R1958" t="str">
        <f>_xlfn.XLOOKUP(Pipeline_tbl[[#This Row],[Rep_ID]],Dim_Reps!A:A,Dim_Reps!E:E)</f>
        <v>APAC</v>
      </c>
      <c r="S1958" t="str">
        <f>_xlfn.XLOOKUP(Pipeline_tbl[[#This Row],[Created_Date]],Dim_Date!A:A,Dim_Date!H:H)</f>
        <v>Nov 2024</v>
      </c>
      <c r="T1958" t="str">
        <f>IF(Pipeline_tbl[[#This Row],[Closed_Date]]=0,"",(_xlfn.XLOOKUP(Pipeline_tbl[[#This Row],[Closed_Date]],Dim_Date!A:A,Dim_Date!H:H)))</f>
        <v>Dec 2024</v>
      </c>
      <c r="U1958">
        <f>IF(Pipeline_tbl[[#This Row],[Closed_Date]]=0,"",Pipeline_tbl[[#This Row],[Closed_Date]]-Pipeline_tbl[[#This Row],[Created_Date]])</f>
        <v>14</v>
      </c>
    </row>
    <row r="1959" spans="1:21" ht="15" customHeight="1" x14ac:dyDescent="0.2">
      <c r="A1959" t="s">
        <v>2265</v>
      </c>
      <c r="B1959" t="s">
        <v>241</v>
      </c>
      <c r="C1959" t="s">
        <v>54</v>
      </c>
      <c r="D1959" s="49">
        <v>45622</v>
      </c>
      <c r="E1959" s="49">
        <v>45624</v>
      </c>
      <c r="F1959" s="49">
        <v>45627</v>
      </c>
      <c r="G1959" s="49">
        <v>45632</v>
      </c>
      <c r="H1959" s="49">
        <v>45636</v>
      </c>
      <c r="I1959" s="49">
        <v>45639</v>
      </c>
      <c r="J1959" t="s">
        <v>47</v>
      </c>
      <c r="K1959" s="33">
        <v>3200</v>
      </c>
      <c r="M1959" t="str">
        <f>_xlfn.XLOOKUP(Pipeline_tbl[[#This Row],[Rep_ID]],Dim_Reps!A:A,Dim_Reps!K:K)</f>
        <v>EUR</v>
      </c>
      <c r="N1959" s="33">
        <f>(_xlfn.XLOOKUP(Pipeline_tbl[[#This Row],[Rate_Code_Generalized]],Lookups!A:A,Lookups!B:B))*Pipeline_tbl[[#This Row],[Pipeline_Amount_USD]]</f>
        <v>3200</v>
      </c>
      <c r="O1959" t="str">
        <f>_xlfn.XLOOKUP(Pipeline_tbl[[#This Row],[Rep_ID]],Dim_Reps!A:A,Dim_Reps!B:B)</f>
        <v>Kenji Weber</v>
      </c>
      <c r="P1959" t="str">
        <f>_xlfn.XLOOKUP(Pipeline_tbl[[#This Row],[Rep_ID]],Dim_Reps!A:A,Dim_Reps!C:C)</f>
        <v>SDR / Inside Sales Rep</v>
      </c>
      <c r="Q1959" t="str">
        <f>_xlfn.XLOOKUP(Pipeline_tbl[[#This Row],[Rep_ID]],Dim_Reps!A:A,Dim_Reps!D:D)</f>
        <v>Inside Sales</v>
      </c>
      <c r="R1959" t="str">
        <f>_xlfn.XLOOKUP(Pipeline_tbl[[#This Row],[Rep_ID]],Dim_Reps!A:A,Dim_Reps!E:E)</f>
        <v>APAC</v>
      </c>
      <c r="S1959" t="str">
        <f>_xlfn.XLOOKUP(Pipeline_tbl[[#This Row],[Created_Date]],Dim_Date!A:A,Dim_Date!H:H)</f>
        <v>Nov 2024</v>
      </c>
      <c r="T1959" t="str">
        <f>IF(Pipeline_tbl[[#This Row],[Closed_Date]]=0,"",(_xlfn.XLOOKUP(Pipeline_tbl[[#This Row],[Closed_Date]],Dim_Date!A:A,Dim_Date!H:H)))</f>
        <v>Dec 2024</v>
      </c>
      <c r="U1959">
        <f>IF(Pipeline_tbl[[#This Row],[Closed_Date]]=0,"",Pipeline_tbl[[#This Row],[Closed_Date]]-Pipeline_tbl[[#This Row],[Created_Date]])</f>
        <v>17</v>
      </c>
    </row>
    <row r="1960" spans="1:21" ht="15" customHeight="1" x14ac:dyDescent="0.2">
      <c r="A1960" t="s">
        <v>2266</v>
      </c>
      <c r="B1960" t="s">
        <v>241</v>
      </c>
      <c r="C1960" t="s">
        <v>54</v>
      </c>
      <c r="D1960" s="49">
        <v>45618</v>
      </c>
      <c r="E1960" s="49">
        <v>45619</v>
      </c>
      <c r="F1960" s="49">
        <v>45621</v>
      </c>
      <c r="G1960" s="49">
        <v>45624</v>
      </c>
      <c r="I1960" s="49">
        <v>45628</v>
      </c>
      <c r="J1960" t="s">
        <v>49</v>
      </c>
      <c r="K1960" s="33">
        <v>4700</v>
      </c>
      <c r="L1960" t="s">
        <v>62</v>
      </c>
      <c r="M1960" t="str">
        <f>_xlfn.XLOOKUP(Pipeline_tbl[[#This Row],[Rep_ID]],Dim_Reps!A:A,Dim_Reps!K:K)</f>
        <v>EUR</v>
      </c>
      <c r="N1960" s="33">
        <f>(_xlfn.XLOOKUP(Pipeline_tbl[[#This Row],[Rate_Code_Generalized]],Lookups!A:A,Lookups!B:B))*Pipeline_tbl[[#This Row],[Pipeline_Amount_USD]]</f>
        <v>4700</v>
      </c>
      <c r="O1960" t="str">
        <f>_xlfn.XLOOKUP(Pipeline_tbl[[#This Row],[Rep_ID]],Dim_Reps!A:A,Dim_Reps!B:B)</f>
        <v>Kenji Weber</v>
      </c>
      <c r="P1960" t="str">
        <f>_xlfn.XLOOKUP(Pipeline_tbl[[#This Row],[Rep_ID]],Dim_Reps!A:A,Dim_Reps!C:C)</f>
        <v>SDR / Inside Sales Rep</v>
      </c>
      <c r="Q1960" t="str">
        <f>_xlfn.XLOOKUP(Pipeline_tbl[[#This Row],[Rep_ID]],Dim_Reps!A:A,Dim_Reps!D:D)</f>
        <v>Inside Sales</v>
      </c>
      <c r="R1960" t="str">
        <f>_xlfn.XLOOKUP(Pipeline_tbl[[#This Row],[Rep_ID]],Dim_Reps!A:A,Dim_Reps!E:E)</f>
        <v>APAC</v>
      </c>
      <c r="S1960" t="str">
        <f>_xlfn.XLOOKUP(Pipeline_tbl[[#This Row],[Created_Date]],Dim_Date!A:A,Dim_Date!H:H)</f>
        <v>Nov 2024</v>
      </c>
      <c r="T1960" t="str">
        <f>IF(Pipeline_tbl[[#This Row],[Closed_Date]]=0,"",(_xlfn.XLOOKUP(Pipeline_tbl[[#This Row],[Closed_Date]],Dim_Date!A:A,Dim_Date!H:H)))</f>
        <v>Dec 2024</v>
      </c>
      <c r="U1960">
        <f>IF(Pipeline_tbl[[#This Row],[Closed_Date]]=0,"",Pipeline_tbl[[#This Row],[Closed_Date]]-Pipeline_tbl[[#This Row],[Created_Date]])</f>
        <v>10</v>
      </c>
    </row>
    <row r="1961" spans="1:21" ht="15" customHeight="1" x14ac:dyDescent="0.2">
      <c r="A1961" t="s">
        <v>2267</v>
      </c>
      <c r="B1961" t="s">
        <v>241</v>
      </c>
      <c r="C1961" t="s">
        <v>54</v>
      </c>
      <c r="D1961" s="49">
        <v>45616</v>
      </c>
      <c r="E1961" s="49">
        <v>45617</v>
      </c>
      <c r="F1961" s="49">
        <v>45620</v>
      </c>
      <c r="G1961" s="49">
        <v>45624</v>
      </c>
      <c r="I1961" s="49">
        <v>45630</v>
      </c>
      <c r="J1961" t="s">
        <v>49</v>
      </c>
      <c r="K1961" s="33">
        <v>2800</v>
      </c>
      <c r="L1961" t="s">
        <v>60</v>
      </c>
      <c r="M1961" t="str">
        <f>_xlfn.XLOOKUP(Pipeline_tbl[[#This Row],[Rep_ID]],Dim_Reps!A:A,Dim_Reps!K:K)</f>
        <v>EUR</v>
      </c>
      <c r="N1961" s="33">
        <f>(_xlfn.XLOOKUP(Pipeline_tbl[[#This Row],[Rate_Code_Generalized]],Lookups!A:A,Lookups!B:B))*Pipeline_tbl[[#This Row],[Pipeline_Amount_USD]]</f>
        <v>2800</v>
      </c>
      <c r="O1961" t="str">
        <f>_xlfn.XLOOKUP(Pipeline_tbl[[#This Row],[Rep_ID]],Dim_Reps!A:A,Dim_Reps!B:B)</f>
        <v>Kenji Weber</v>
      </c>
      <c r="P1961" t="str">
        <f>_xlfn.XLOOKUP(Pipeline_tbl[[#This Row],[Rep_ID]],Dim_Reps!A:A,Dim_Reps!C:C)</f>
        <v>SDR / Inside Sales Rep</v>
      </c>
      <c r="Q1961" t="str">
        <f>_xlfn.XLOOKUP(Pipeline_tbl[[#This Row],[Rep_ID]],Dim_Reps!A:A,Dim_Reps!D:D)</f>
        <v>Inside Sales</v>
      </c>
      <c r="R1961" t="str">
        <f>_xlfn.XLOOKUP(Pipeline_tbl[[#This Row],[Rep_ID]],Dim_Reps!A:A,Dim_Reps!E:E)</f>
        <v>APAC</v>
      </c>
      <c r="S1961" t="str">
        <f>_xlfn.XLOOKUP(Pipeline_tbl[[#This Row],[Created_Date]],Dim_Date!A:A,Dim_Date!H:H)</f>
        <v>Nov 2024</v>
      </c>
      <c r="T1961" t="str">
        <f>IF(Pipeline_tbl[[#This Row],[Closed_Date]]=0,"",(_xlfn.XLOOKUP(Pipeline_tbl[[#This Row],[Closed_Date]],Dim_Date!A:A,Dim_Date!H:H)))</f>
        <v>Dec 2024</v>
      </c>
      <c r="U1961">
        <f>IF(Pipeline_tbl[[#This Row],[Closed_Date]]=0,"",Pipeline_tbl[[#This Row],[Closed_Date]]-Pipeline_tbl[[#This Row],[Created_Date]])</f>
        <v>14</v>
      </c>
    </row>
    <row r="1962" spans="1:21" ht="15" customHeight="1" x14ac:dyDescent="0.2">
      <c r="A1962" t="s">
        <v>2268</v>
      </c>
      <c r="B1962" t="s">
        <v>241</v>
      </c>
      <c r="C1962" t="s">
        <v>52</v>
      </c>
      <c r="D1962" s="49">
        <v>45606</v>
      </c>
      <c r="E1962" s="49">
        <v>45608</v>
      </c>
      <c r="F1962" s="49">
        <v>45613</v>
      </c>
      <c r="G1962" s="49">
        <v>45620</v>
      </c>
      <c r="H1962" s="49">
        <v>45626</v>
      </c>
      <c r="I1962" s="49">
        <v>45630</v>
      </c>
      <c r="J1962" t="s">
        <v>49</v>
      </c>
      <c r="K1962" s="33">
        <v>6500</v>
      </c>
      <c r="L1962" t="s">
        <v>61</v>
      </c>
      <c r="M1962" t="str">
        <f>_xlfn.XLOOKUP(Pipeline_tbl[[#This Row],[Rep_ID]],Dim_Reps!A:A,Dim_Reps!K:K)</f>
        <v>EUR</v>
      </c>
      <c r="N1962" s="33">
        <f>(_xlfn.XLOOKUP(Pipeline_tbl[[#This Row],[Rate_Code_Generalized]],Lookups!A:A,Lookups!B:B))*Pipeline_tbl[[#This Row],[Pipeline_Amount_USD]]</f>
        <v>6500</v>
      </c>
      <c r="O1962" t="str">
        <f>_xlfn.XLOOKUP(Pipeline_tbl[[#This Row],[Rep_ID]],Dim_Reps!A:A,Dim_Reps!B:B)</f>
        <v>Kenji Weber</v>
      </c>
      <c r="P1962" t="str">
        <f>_xlfn.XLOOKUP(Pipeline_tbl[[#This Row],[Rep_ID]],Dim_Reps!A:A,Dim_Reps!C:C)</f>
        <v>SDR / Inside Sales Rep</v>
      </c>
      <c r="Q1962" t="str">
        <f>_xlfn.XLOOKUP(Pipeline_tbl[[#This Row],[Rep_ID]],Dim_Reps!A:A,Dim_Reps!D:D)</f>
        <v>Inside Sales</v>
      </c>
      <c r="R1962" t="str">
        <f>_xlfn.XLOOKUP(Pipeline_tbl[[#This Row],[Rep_ID]],Dim_Reps!A:A,Dim_Reps!E:E)</f>
        <v>APAC</v>
      </c>
      <c r="S1962" t="str">
        <f>_xlfn.XLOOKUP(Pipeline_tbl[[#This Row],[Created_Date]],Dim_Date!A:A,Dim_Date!H:H)</f>
        <v>Nov 2024</v>
      </c>
      <c r="T1962" t="str">
        <f>IF(Pipeline_tbl[[#This Row],[Closed_Date]]=0,"",(_xlfn.XLOOKUP(Pipeline_tbl[[#This Row],[Closed_Date]],Dim_Date!A:A,Dim_Date!H:H)))</f>
        <v>Dec 2024</v>
      </c>
      <c r="U1962">
        <f>IF(Pipeline_tbl[[#This Row],[Closed_Date]]=0,"",Pipeline_tbl[[#This Row],[Closed_Date]]-Pipeline_tbl[[#This Row],[Created_Date]])</f>
        <v>24</v>
      </c>
    </row>
    <row r="1963" spans="1:21" ht="15" customHeight="1" x14ac:dyDescent="0.2">
      <c r="A1963" t="s">
        <v>2269</v>
      </c>
      <c r="B1963" t="s">
        <v>241</v>
      </c>
      <c r="C1963" t="s">
        <v>52</v>
      </c>
      <c r="D1963" s="49">
        <v>45621</v>
      </c>
      <c r="E1963" s="49">
        <v>45623</v>
      </c>
      <c r="F1963" s="49">
        <v>45627</v>
      </c>
      <c r="G1963" s="49">
        <v>45634</v>
      </c>
      <c r="H1963" s="49">
        <v>45639</v>
      </c>
      <c r="I1963" s="49">
        <v>45642</v>
      </c>
      <c r="J1963" t="s">
        <v>47</v>
      </c>
      <c r="K1963" s="33">
        <v>4400</v>
      </c>
      <c r="M1963" t="str">
        <f>_xlfn.XLOOKUP(Pipeline_tbl[[#This Row],[Rep_ID]],Dim_Reps!A:A,Dim_Reps!K:K)</f>
        <v>EUR</v>
      </c>
      <c r="N1963" s="33">
        <f>(_xlfn.XLOOKUP(Pipeline_tbl[[#This Row],[Rate_Code_Generalized]],Lookups!A:A,Lookups!B:B))*Pipeline_tbl[[#This Row],[Pipeline_Amount_USD]]</f>
        <v>4400</v>
      </c>
      <c r="O1963" t="str">
        <f>_xlfn.XLOOKUP(Pipeline_tbl[[#This Row],[Rep_ID]],Dim_Reps!A:A,Dim_Reps!B:B)</f>
        <v>Kenji Weber</v>
      </c>
      <c r="P1963" t="str">
        <f>_xlfn.XLOOKUP(Pipeline_tbl[[#This Row],[Rep_ID]],Dim_Reps!A:A,Dim_Reps!C:C)</f>
        <v>SDR / Inside Sales Rep</v>
      </c>
      <c r="Q1963" t="str">
        <f>_xlfn.XLOOKUP(Pipeline_tbl[[#This Row],[Rep_ID]],Dim_Reps!A:A,Dim_Reps!D:D)</f>
        <v>Inside Sales</v>
      </c>
      <c r="R1963" t="str">
        <f>_xlfn.XLOOKUP(Pipeline_tbl[[#This Row],[Rep_ID]],Dim_Reps!A:A,Dim_Reps!E:E)</f>
        <v>APAC</v>
      </c>
      <c r="S1963" t="str">
        <f>_xlfn.XLOOKUP(Pipeline_tbl[[#This Row],[Created_Date]],Dim_Date!A:A,Dim_Date!H:H)</f>
        <v>Nov 2024</v>
      </c>
      <c r="T1963" t="str">
        <f>IF(Pipeline_tbl[[#This Row],[Closed_Date]]=0,"",(_xlfn.XLOOKUP(Pipeline_tbl[[#This Row],[Closed_Date]],Dim_Date!A:A,Dim_Date!H:H)))</f>
        <v>Dec 2024</v>
      </c>
      <c r="U1963">
        <f>IF(Pipeline_tbl[[#This Row],[Closed_Date]]=0,"",Pipeline_tbl[[#This Row],[Closed_Date]]-Pipeline_tbl[[#This Row],[Created_Date]])</f>
        <v>21</v>
      </c>
    </row>
    <row r="1964" spans="1:21" ht="15" customHeight="1" x14ac:dyDescent="0.2">
      <c r="A1964" t="s">
        <v>2270</v>
      </c>
      <c r="B1964" t="s">
        <v>241</v>
      </c>
      <c r="C1964" t="s">
        <v>55</v>
      </c>
      <c r="D1964" s="49">
        <v>45626</v>
      </c>
      <c r="E1964" s="49">
        <v>45628</v>
      </c>
      <c r="F1964" s="49">
        <v>45632</v>
      </c>
      <c r="G1964" s="49">
        <v>45639</v>
      </c>
      <c r="I1964" s="49">
        <v>45647</v>
      </c>
      <c r="J1964" t="s">
        <v>49</v>
      </c>
      <c r="K1964" s="33">
        <v>6800</v>
      </c>
      <c r="L1964" t="s">
        <v>60</v>
      </c>
      <c r="M1964" t="str">
        <f>_xlfn.XLOOKUP(Pipeline_tbl[[#This Row],[Rep_ID]],Dim_Reps!A:A,Dim_Reps!K:K)</f>
        <v>EUR</v>
      </c>
      <c r="N1964" s="33">
        <f>(_xlfn.XLOOKUP(Pipeline_tbl[[#This Row],[Rate_Code_Generalized]],Lookups!A:A,Lookups!B:B))*Pipeline_tbl[[#This Row],[Pipeline_Amount_USD]]</f>
        <v>6800</v>
      </c>
      <c r="O1964" t="str">
        <f>_xlfn.XLOOKUP(Pipeline_tbl[[#This Row],[Rep_ID]],Dim_Reps!A:A,Dim_Reps!B:B)</f>
        <v>Kenji Weber</v>
      </c>
      <c r="P1964" t="str">
        <f>_xlfn.XLOOKUP(Pipeline_tbl[[#This Row],[Rep_ID]],Dim_Reps!A:A,Dim_Reps!C:C)</f>
        <v>SDR / Inside Sales Rep</v>
      </c>
      <c r="Q1964" t="str">
        <f>_xlfn.XLOOKUP(Pipeline_tbl[[#This Row],[Rep_ID]],Dim_Reps!A:A,Dim_Reps!D:D)</f>
        <v>Inside Sales</v>
      </c>
      <c r="R1964" t="str">
        <f>_xlfn.XLOOKUP(Pipeline_tbl[[#This Row],[Rep_ID]],Dim_Reps!A:A,Dim_Reps!E:E)</f>
        <v>APAC</v>
      </c>
      <c r="S1964" t="str">
        <f>_xlfn.XLOOKUP(Pipeline_tbl[[#This Row],[Created_Date]],Dim_Date!A:A,Dim_Date!H:H)</f>
        <v>Nov 2024</v>
      </c>
      <c r="T1964" t="str">
        <f>IF(Pipeline_tbl[[#This Row],[Closed_Date]]=0,"",(_xlfn.XLOOKUP(Pipeline_tbl[[#This Row],[Closed_Date]],Dim_Date!A:A,Dim_Date!H:H)))</f>
        <v>Dec 2024</v>
      </c>
      <c r="U1964">
        <f>IF(Pipeline_tbl[[#This Row],[Closed_Date]]=0,"",Pipeline_tbl[[#This Row],[Closed_Date]]-Pipeline_tbl[[#This Row],[Created_Date]])</f>
        <v>21</v>
      </c>
    </row>
    <row r="1965" spans="1:21" ht="15" customHeight="1" x14ac:dyDescent="0.2">
      <c r="A1965" t="s">
        <v>2271</v>
      </c>
      <c r="B1965" t="s">
        <v>241</v>
      </c>
      <c r="C1965" t="s">
        <v>54</v>
      </c>
      <c r="D1965" s="49">
        <v>45611</v>
      </c>
      <c r="E1965" s="49">
        <v>45613</v>
      </c>
      <c r="F1965" s="49">
        <v>45616</v>
      </c>
      <c r="G1965" s="49">
        <v>45621</v>
      </c>
      <c r="H1965" s="49">
        <v>45625</v>
      </c>
      <c r="I1965" s="49">
        <v>45628</v>
      </c>
      <c r="J1965" t="s">
        <v>47</v>
      </c>
      <c r="K1965" s="33">
        <v>2600</v>
      </c>
      <c r="M1965" t="str">
        <f>_xlfn.XLOOKUP(Pipeline_tbl[[#This Row],[Rep_ID]],Dim_Reps!A:A,Dim_Reps!K:K)</f>
        <v>EUR</v>
      </c>
      <c r="N1965" s="33">
        <f>(_xlfn.XLOOKUP(Pipeline_tbl[[#This Row],[Rate_Code_Generalized]],Lookups!A:A,Lookups!B:B))*Pipeline_tbl[[#This Row],[Pipeline_Amount_USD]]</f>
        <v>2600</v>
      </c>
      <c r="O1965" t="str">
        <f>_xlfn.XLOOKUP(Pipeline_tbl[[#This Row],[Rep_ID]],Dim_Reps!A:A,Dim_Reps!B:B)</f>
        <v>Kenji Weber</v>
      </c>
      <c r="P1965" t="str">
        <f>_xlfn.XLOOKUP(Pipeline_tbl[[#This Row],[Rep_ID]],Dim_Reps!A:A,Dim_Reps!C:C)</f>
        <v>SDR / Inside Sales Rep</v>
      </c>
      <c r="Q1965" t="str">
        <f>_xlfn.XLOOKUP(Pipeline_tbl[[#This Row],[Rep_ID]],Dim_Reps!A:A,Dim_Reps!D:D)</f>
        <v>Inside Sales</v>
      </c>
      <c r="R1965" t="str">
        <f>_xlfn.XLOOKUP(Pipeline_tbl[[#This Row],[Rep_ID]],Dim_Reps!A:A,Dim_Reps!E:E)</f>
        <v>APAC</v>
      </c>
      <c r="S1965" t="str">
        <f>_xlfn.XLOOKUP(Pipeline_tbl[[#This Row],[Created_Date]],Dim_Date!A:A,Dim_Date!H:H)</f>
        <v>Nov 2024</v>
      </c>
      <c r="T1965" t="str">
        <f>IF(Pipeline_tbl[[#This Row],[Closed_Date]]=0,"",(_xlfn.XLOOKUP(Pipeline_tbl[[#This Row],[Closed_Date]],Dim_Date!A:A,Dim_Date!H:H)))</f>
        <v>Dec 2024</v>
      </c>
      <c r="U1965">
        <f>IF(Pipeline_tbl[[#This Row],[Closed_Date]]=0,"",Pipeline_tbl[[#This Row],[Closed_Date]]-Pipeline_tbl[[#This Row],[Created_Date]])</f>
        <v>17</v>
      </c>
    </row>
    <row r="1966" spans="1:21" ht="15" customHeight="1" x14ac:dyDescent="0.2">
      <c r="A1966" t="s">
        <v>2272</v>
      </c>
      <c r="B1966" t="s">
        <v>241</v>
      </c>
      <c r="C1966" t="s">
        <v>52</v>
      </c>
      <c r="D1966" s="49">
        <v>45609</v>
      </c>
      <c r="E1966" s="49">
        <v>45611</v>
      </c>
      <c r="F1966" s="49">
        <v>45616</v>
      </c>
      <c r="G1966" s="49">
        <v>45622</v>
      </c>
      <c r="H1966" s="49">
        <v>45628</v>
      </c>
      <c r="I1966" s="49">
        <v>45631</v>
      </c>
      <c r="J1966" t="s">
        <v>49</v>
      </c>
      <c r="K1966" s="33">
        <v>4900</v>
      </c>
      <c r="L1966" t="s">
        <v>60</v>
      </c>
      <c r="M1966" t="str">
        <f>_xlfn.XLOOKUP(Pipeline_tbl[[#This Row],[Rep_ID]],Dim_Reps!A:A,Dim_Reps!K:K)</f>
        <v>EUR</v>
      </c>
      <c r="N1966" s="33">
        <f>(_xlfn.XLOOKUP(Pipeline_tbl[[#This Row],[Rate_Code_Generalized]],Lookups!A:A,Lookups!B:B))*Pipeline_tbl[[#This Row],[Pipeline_Amount_USD]]</f>
        <v>4900</v>
      </c>
      <c r="O1966" t="str">
        <f>_xlfn.XLOOKUP(Pipeline_tbl[[#This Row],[Rep_ID]],Dim_Reps!A:A,Dim_Reps!B:B)</f>
        <v>Kenji Weber</v>
      </c>
      <c r="P1966" t="str">
        <f>_xlfn.XLOOKUP(Pipeline_tbl[[#This Row],[Rep_ID]],Dim_Reps!A:A,Dim_Reps!C:C)</f>
        <v>SDR / Inside Sales Rep</v>
      </c>
      <c r="Q1966" t="str">
        <f>_xlfn.XLOOKUP(Pipeline_tbl[[#This Row],[Rep_ID]],Dim_Reps!A:A,Dim_Reps!D:D)</f>
        <v>Inside Sales</v>
      </c>
      <c r="R1966" t="str">
        <f>_xlfn.XLOOKUP(Pipeline_tbl[[#This Row],[Rep_ID]],Dim_Reps!A:A,Dim_Reps!E:E)</f>
        <v>APAC</v>
      </c>
      <c r="S1966" t="str">
        <f>_xlfn.XLOOKUP(Pipeline_tbl[[#This Row],[Created_Date]],Dim_Date!A:A,Dim_Date!H:H)</f>
        <v>Nov 2024</v>
      </c>
      <c r="T1966" t="str">
        <f>IF(Pipeline_tbl[[#This Row],[Closed_Date]]=0,"",(_xlfn.XLOOKUP(Pipeline_tbl[[#This Row],[Closed_Date]],Dim_Date!A:A,Dim_Date!H:H)))</f>
        <v>Dec 2024</v>
      </c>
      <c r="U1966">
        <f>IF(Pipeline_tbl[[#This Row],[Closed_Date]]=0,"",Pipeline_tbl[[#This Row],[Closed_Date]]-Pipeline_tbl[[#This Row],[Created_Date]])</f>
        <v>22</v>
      </c>
    </row>
    <row r="1967" spans="1:21" ht="15" customHeight="1" x14ac:dyDescent="0.2">
      <c r="A1967" t="s">
        <v>2273</v>
      </c>
      <c r="B1967" t="s">
        <v>241</v>
      </c>
      <c r="C1967" t="s">
        <v>53</v>
      </c>
      <c r="D1967" s="49">
        <v>45623</v>
      </c>
      <c r="E1967" s="49">
        <v>45624</v>
      </c>
      <c r="F1967" s="49">
        <v>45626</v>
      </c>
      <c r="G1967" s="49">
        <v>45630</v>
      </c>
      <c r="H1967" s="49">
        <v>45632</v>
      </c>
      <c r="I1967" s="49">
        <v>45634</v>
      </c>
      <c r="J1967" t="s">
        <v>47</v>
      </c>
      <c r="K1967" s="33">
        <v>3100</v>
      </c>
      <c r="M1967" t="str">
        <f>_xlfn.XLOOKUP(Pipeline_tbl[[#This Row],[Rep_ID]],Dim_Reps!A:A,Dim_Reps!K:K)</f>
        <v>EUR</v>
      </c>
      <c r="N1967" s="33">
        <f>(_xlfn.XLOOKUP(Pipeline_tbl[[#This Row],[Rate_Code_Generalized]],Lookups!A:A,Lookups!B:B))*Pipeline_tbl[[#This Row],[Pipeline_Amount_USD]]</f>
        <v>3100</v>
      </c>
      <c r="O1967" t="str">
        <f>_xlfn.XLOOKUP(Pipeline_tbl[[#This Row],[Rep_ID]],Dim_Reps!A:A,Dim_Reps!B:B)</f>
        <v>Kenji Weber</v>
      </c>
      <c r="P1967" t="str">
        <f>_xlfn.XLOOKUP(Pipeline_tbl[[#This Row],[Rep_ID]],Dim_Reps!A:A,Dim_Reps!C:C)</f>
        <v>SDR / Inside Sales Rep</v>
      </c>
      <c r="Q1967" t="str">
        <f>_xlfn.XLOOKUP(Pipeline_tbl[[#This Row],[Rep_ID]],Dim_Reps!A:A,Dim_Reps!D:D)</f>
        <v>Inside Sales</v>
      </c>
      <c r="R1967" t="str">
        <f>_xlfn.XLOOKUP(Pipeline_tbl[[#This Row],[Rep_ID]],Dim_Reps!A:A,Dim_Reps!E:E)</f>
        <v>APAC</v>
      </c>
      <c r="S1967" t="str">
        <f>_xlfn.XLOOKUP(Pipeline_tbl[[#This Row],[Created_Date]],Dim_Date!A:A,Dim_Date!H:H)</f>
        <v>Nov 2024</v>
      </c>
      <c r="T1967" t="str">
        <f>IF(Pipeline_tbl[[#This Row],[Closed_Date]]=0,"",(_xlfn.XLOOKUP(Pipeline_tbl[[#This Row],[Closed_Date]],Dim_Date!A:A,Dim_Date!H:H)))</f>
        <v>Dec 2024</v>
      </c>
      <c r="U1967">
        <f>IF(Pipeline_tbl[[#This Row],[Closed_Date]]=0,"",Pipeline_tbl[[#This Row],[Closed_Date]]-Pipeline_tbl[[#This Row],[Created_Date]])</f>
        <v>11</v>
      </c>
    </row>
    <row r="1968" spans="1:21" ht="15" customHeight="1" x14ac:dyDescent="0.2">
      <c r="A1968" t="s">
        <v>2274</v>
      </c>
      <c r="B1968" t="s">
        <v>241</v>
      </c>
      <c r="C1968" t="s">
        <v>52</v>
      </c>
      <c r="D1968" s="49">
        <v>45618</v>
      </c>
      <c r="E1968" s="49">
        <v>45620</v>
      </c>
      <c r="F1968" s="49">
        <v>45623</v>
      </c>
      <c r="I1968" s="49">
        <v>45635</v>
      </c>
      <c r="J1968" t="s">
        <v>49</v>
      </c>
      <c r="K1968" s="33">
        <v>1300</v>
      </c>
      <c r="L1968" t="s">
        <v>64</v>
      </c>
      <c r="M1968" t="str">
        <f>_xlfn.XLOOKUP(Pipeline_tbl[[#This Row],[Rep_ID]],Dim_Reps!A:A,Dim_Reps!K:K)</f>
        <v>EUR</v>
      </c>
      <c r="N1968" s="33">
        <f>(_xlfn.XLOOKUP(Pipeline_tbl[[#This Row],[Rate_Code_Generalized]],Lookups!A:A,Lookups!B:B))*Pipeline_tbl[[#This Row],[Pipeline_Amount_USD]]</f>
        <v>1300</v>
      </c>
      <c r="O1968" t="str">
        <f>_xlfn.XLOOKUP(Pipeline_tbl[[#This Row],[Rep_ID]],Dim_Reps!A:A,Dim_Reps!B:B)</f>
        <v>Kenji Weber</v>
      </c>
      <c r="P1968" t="str">
        <f>_xlfn.XLOOKUP(Pipeline_tbl[[#This Row],[Rep_ID]],Dim_Reps!A:A,Dim_Reps!C:C)</f>
        <v>SDR / Inside Sales Rep</v>
      </c>
      <c r="Q1968" t="str">
        <f>_xlfn.XLOOKUP(Pipeline_tbl[[#This Row],[Rep_ID]],Dim_Reps!A:A,Dim_Reps!D:D)</f>
        <v>Inside Sales</v>
      </c>
      <c r="R1968" t="str">
        <f>_xlfn.XLOOKUP(Pipeline_tbl[[#This Row],[Rep_ID]],Dim_Reps!A:A,Dim_Reps!E:E)</f>
        <v>APAC</v>
      </c>
      <c r="S1968" t="str">
        <f>_xlfn.XLOOKUP(Pipeline_tbl[[#This Row],[Created_Date]],Dim_Date!A:A,Dim_Date!H:H)</f>
        <v>Nov 2024</v>
      </c>
      <c r="T1968" t="str">
        <f>IF(Pipeline_tbl[[#This Row],[Closed_Date]]=0,"",(_xlfn.XLOOKUP(Pipeline_tbl[[#This Row],[Closed_Date]],Dim_Date!A:A,Dim_Date!H:H)))</f>
        <v>Dec 2024</v>
      </c>
      <c r="U1968">
        <f>IF(Pipeline_tbl[[#This Row],[Closed_Date]]=0,"",Pipeline_tbl[[#This Row],[Closed_Date]]-Pipeline_tbl[[#This Row],[Created_Date]])</f>
        <v>17</v>
      </c>
    </row>
    <row r="1969" spans="1:21" ht="15" customHeight="1" x14ac:dyDescent="0.2">
      <c r="A1969" t="s">
        <v>2275</v>
      </c>
      <c r="B1969" t="s">
        <v>183</v>
      </c>
      <c r="C1969" t="s">
        <v>56</v>
      </c>
      <c r="D1969" s="49">
        <v>45624</v>
      </c>
      <c r="E1969" s="49">
        <v>45632</v>
      </c>
      <c r="F1969" s="49">
        <v>45647</v>
      </c>
      <c r="I1969" s="49">
        <v>45702</v>
      </c>
      <c r="J1969" t="s">
        <v>49</v>
      </c>
      <c r="K1969" s="33">
        <v>46100</v>
      </c>
      <c r="L1969" t="s">
        <v>60</v>
      </c>
      <c r="M1969" t="str">
        <f>_xlfn.XLOOKUP(Pipeline_tbl[[#This Row],[Rep_ID]],Dim_Reps!A:A,Dim_Reps!K:K)</f>
        <v>EUR</v>
      </c>
      <c r="N1969" s="33">
        <f>(_xlfn.XLOOKUP(Pipeline_tbl[[#This Row],[Rate_Code_Generalized]],Lookups!A:A,Lookups!B:B))*Pipeline_tbl[[#This Row],[Pipeline_Amount_USD]]</f>
        <v>46100</v>
      </c>
      <c r="O1969" t="str">
        <f>_xlfn.XLOOKUP(Pipeline_tbl[[#This Row],[Rep_ID]],Dim_Reps!A:A,Dim_Reps!B:B)</f>
        <v>Sam Schmidt</v>
      </c>
      <c r="P1969" t="str">
        <f>_xlfn.XLOOKUP(Pipeline_tbl[[#This Row],[Rep_ID]],Dim_Reps!A:A,Dim_Reps!C:C)</f>
        <v>Enterprise AE</v>
      </c>
      <c r="Q1969" t="str">
        <f>_xlfn.XLOOKUP(Pipeline_tbl[[#This Row],[Rep_ID]],Dim_Reps!A:A,Dim_Reps!D:D)</f>
        <v>Enterprise</v>
      </c>
      <c r="R1969" t="str">
        <f>_xlfn.XLOOKUP(Pipeline_tbl[[#This Row],[Rep_ID]],Dim_Reps!A:A,Dim_Reps!E:E)</f>
        <v>EMEA</v>
      </c>
      <c r="S1969" t="str">
        <f>_xlfn.XLOOKUP(Pipeline_tbl[[#This Row],[Created_Date]],Dim_Date!A:A,Dim_Date!H:H)</f>
        <v>Nov 2024</v>
      </c>
      <c r="T1969" t="str">
        <f>IF(Pipeline_tbl[[#This Row],[Closed_Date]]=0,"",(_xlfn.XLOOKUP(Pipeline_tbl[[#This Row],[Closed_Date]],Dim_Date!A:A,Dim_Date!H:H)))</f>
        <v>Feb 2025</v>
      </c>
      <c r="U1969">
        <f>IF(Pipeline_tbl[[#This Row],[Closed_Date]]=0,"",Pipeline_tbl[[#This Row],[Closed_Date]]-Pipeline_tbl[[#This Row],[Created_Date]])</f>
        <v>78</v>
      </c>
    </row>
    <row r="1970" spans="1:21" ht="15" customHeight="1" x14ac:dyDescent="0.2">
      <c r="A1970" t="s">
        <v>2276</v>
      </c>
      <c r="B1970" t="s">
        <v>183</v>
      </c>
      <c r="C1970" t="s">
        <v>54</v>
      </c>
      <c r="D1970" s="49">
        <v>45619</v>
      </c>
      <c r="E1970" s="49">
        <v>45627</v>
      </c>
      <c r="F1970" s="49">
        <v>45643</v>
      </c>
      <c r="G1970" s="49">
        <v>45667</v>
      </c>
      <c r="H1970" s="49">
        <v>45687</v>
      </c>
      <c r="I1970" s="49">
        <v>45699</v>
      </c>
      <c r="J1970" t="s">
        <v>47</v>
      </c>
      <c r="K1970" s="33">
        <v>39200</v>
      </c>
      <c r="M1970" t="str">
        <f>_xlfn.XLOOKUP(Pipeline_tbl[[#This Row],[Rep_ID]],Dim_Reps!A:A,Dim_Reps!K:K)</f>
        <v>EUR</v>
      </c>
      <c r="N1970" s="33">
        <f>(_xlfn.XLOOKUP(Pipeline_tbl[[#This Row],[Rate_Code_Generalized]],Lookups!A:A,Lookups!B:B))*Pipeline_tbl[[#This Row],[Pipeline_Amount_USD]]</f>
        <v>39200</v>
      </c>
      <c r="O1970" t="str">
        <f>_xlfn.XLOOKUP(Pipeline_tbl[[#This Row],[Rep_ID]],Dim_Reps!A:A,Dim_Reps!B:B)</f>
        <v>Sam Schmidt</v>
      </c>
      <c r="P1970" t="str">
        <f>_xlfn.XLOOKUP(Pipeline_tbl[[#This Row],[Rep_ID]],Dim_Reps!A:A,Dim_Reps!C:C)</f>
        <v>Enterprise AE</v>
      </c>
      <c r="Q1970" t="str">
        <f>_xlfn.XLOOKUP(Pipeline_tbl[[#This Row],[Rep_ID]],Dim_Reps!A:A,Dim_Reps!D:D)</f>
        <v>Enterprise</v>
      </c>
      <c r="R1970" t="str">
        <f>_xlfn.XLOOKUP(Pipeline_tbl[[#This Row],[Rep_ID]],Dim_Reps!A:A,Dim_Reps!E:E)</f>
        <v>EMEA</v>
      </c>
      <c r="S1970" t="str">
        <f>_xlfn.XLOOKUP(Pipeline_tbl[[#This Row],[Created_Date]],Dim_Date!A:A,Dim_Date!H:H)</f>
        <v>Nov 2024</v>
      </c>
      <c r="T1970" t="str">
        <f>IF(Pipeline_tbl[[#This Row],[Closed_Date]]=0,"",(_xlfn.XLOOKUP(Pipeline_tbl[[#This Row],[Closed_Date]],Dim_Date!A:A,Dim_Date!H:H)))</f>
        <v>Feb 2025</v>
      </c>
      <c r="U1970">
        <f>IF(Pipeline_tbl[[#This Row],[Closed_Date]]=0,"",Pipeline_tbl[[#This Row],[Closed_Date]]-Pipeline_tbl[[#This Row],[Created_Date]])</f>
        <v>80</v>
      </c>
    </row>
    <row r="1971" spans="1:21" ht="15" customHeight="1" x14ac:dyDescent="0.2">
      <c r="A1971" t="s">
        <v>2277</v>
      </c>
      <c r="B1971" t="s">
        <v>185</v>
      </c>
      <c r="C1971" t="s">
        <v>54</v>
      </c>
      <c r="D1971" s="49">
        <v>45610</v>
      </c>
      <c r="E1971" s="49">
        <v>45618</v>
      </c>
      <c r="I1971" s="49">
        <v>45694</v>
      </c>
      <c r="J1971" t="s">
        <v>49</v>
      </c>
      <c r="K1971" s="33">
        <v>53700</v>
      </c>
      <c r="L1971" t="s">
        <v>63</v>
      </c>
      <c r="M1971" t="str">
        <f>_xlfn.XLOOKUP(Pipeline_tbl[[#This Row],[Rep_ID]],Dim_Reps!A:A,Dim_Reps!K:K)</f>
        <v>MXN</v>
      </c>
      <c r="N1971" s="33">
        <f>(_xlfn.XLOOKUP(Pipeline_tbl[[#This Row],[Rate_Code_Generalized]],Lookups!A:A,Lookups!B:B))*Pipeline_tbl[[#This Row],[Pipeline_Amount_USD]]</f>
        <v>1059645.99</v>
      </c>
      <c r="O1971" t="str">
        <f>_xlfn.XLOOKUP(Pipeline_tbl[[#This Row],[Rep_ID]],Dim_Reps!A:A,Dim_Reps!B:B)</f>
        <v>Noah Kim</v>
      </c>
      <c r="P1971" t="str">
        <f>_xlfn.XLOOKUP(Pipeline_tbl[[#This Row],[Rep_ID]],Dim_Reps!A:A,Dim_Reps!C:C)</f>
        <v>Enterprise AE</v>
      </c>
      <c r="Q1971" t="str">
        <f>_xlfn.XLOOKUP(Pipeline_tbl[[#This Row],[Rep_ID]],Dim_Reps!A:A,Dim_Reps!D:D)</f>
        <v>Enterprise</v>
      </c>
      <c r="R1971" t="str">
        <f>_xlfn.XLOOKUP(Pipeline_tbl[[#This Row],[Rep_ID]],Dim_Reps!A:A,Dim_Reps!E:E)</f>
        <v>LATAM</v>
      </c>
      <c r="S1971" t="str">
        <f>_xlfn.XLOOKUP(Pipeline_tbl[[#This Row],[Created_Date]],Dim_Date!A:A,Dim_Date!H:H)</f>
        <v>Nov 2024</v>
      </c>
      <c r="T1971" t="str">
        <f>IF(Pipeline_tbl[[#This Row],[Closed_Date]]=0,"",(_xlfn.XLOOKUP(Pipeline_tbl[[#This Row],[Closed_Date]],Dim_Date!A:A,Dim_Date!H:H)))</f>
        <v>Feb 2025</v>
      </c>
      <c r="U1971">
        <f>IF(Pipeline_tbl[[#This Row],[Closed_Date]]=0,"",Pipeline_tbl[[#This Row],[Closed_Date]]-Pipeline_tbl[[#This Row],[Created_Date]])</f>
        <v>84</v>
      </c>
    </row>
    <row r="1972" spans="1:21" ht="15" customHeight="1" x14ac:dyDescent="0.2">
      <c r="A1972" t="s">
        <v>2278</v>
      </c>
      <c r="B1972" t="s">
        <v>280</v>
      </c>
      <c r="C1972" t="s">
        <v>53</v>
      </c>
      <c r="D1972" s="49">
        <v>45608</v>
      </c>
      <c r="E1972" s="49">
        <v>45616</v>
      </c>
      <c r="F1972" s="49">
        <v>45634</v>
      </c>
      <c r="I1972" s="49">
        <v>45693</v>
      </c>
      <c r="J1972" t="s">
        <v>49</v>
      </c>
      <c r="K1972" s="33">
        <v>34800</v>
      </c>
      <c r="L1972" t="s">
        <v>61</v>
      </c>
      <c r="M1972" t="str">
        <f>_xlfn.XLOOKUP(Pipeline_tbl[[#This Row],[Rep_ID]],Dim_Reps!A:A,Dim_Reps!K:K)</f>
        <v>MXN</v>
      </c>
      <c r="N1972" s="33">
        <f>(_xlfn.XLOOKUP(Pipeline_tbl[[#This Row],[Rate_Code_Generalized]],Lookups!A:A,Lookups!B:B))*Pipeline_tbl[[#This Row],[Pipeline_Amount_USD]]</f>
        <v>686697.96000000008</v>
      </c>
      <c r="O1972" t="str">
        <f>_xlfn.XLOOKUP(Pipeline_tbl[[#This Row],[Rep_ID]],Dim_Reps!A:A,Dim_Reps!B:B)</f>
        <v>Cameron Lund</v>
      </c>
      <c r="P1972" t="str">
        <f>_xlfn.XLOOKUP(Pipeline_tbl[[#This Row],[Rep_ID]],Dim_Reps!A:A,Dim_Reps!C:C)</f>
        <v>Senior Enterprise AE</v>
      </c>
      <c r="Q1972" t="str">
        <f>_xlfn.XLOOKUP(Pipeline_tbl[[#This Row],[Rep_ID]],Dim_Reps!A:A,Dim_Reps!D:D)</f>
        <v>Strategic</v>
      </c>
      <c r="R1972" t="str">
        <f>_xlfn.XLOOKUP(Pipeline_tbl[[#This Row],[Rep_ID]],Dim_Reps!A:A,Dim_Reps!E:E)</f>
        <v>LATAM</v>
      </c>
      <c r="S1972" t="str">
        <f>_xlfn.XLOOKUP(Pipeline_tbl[[#This Row],[Created_Date]],Dim_Date!A:A,Dim_Date!H:H)</f>
        <v>Nov 2024</v>
      </c>
      <c r="T1972" t="str">
        <f>IF(Pipeline_tbl[[#This Row],[Closed_Date]]=0,"",(_xlfn.XLOOKUP(Pipeline_tbl[[#This Row],[Closed_Date]],Dim_Date!A:A,Dim_Date!H:H)))</f>
        <v>Feb 2025</v>
      </c>
      <c r="U1972">
        <f>IF(Pipeline_tbl[[#This Row],[Closed_Date]]=0,"",Pipeline_tbl[[#This Row],[Closed_Date]]-Pipeline_tbl[[#This Row],[Created_Date]])</f>
        <v>85</v>
      </c>
    </row>
    <row r="1973" spans="1:21" ht="15" customHeight="1" x14ac:dyDescent="0.2">
      <c r="A1973" t="s">
        <v>2279</v>
      </c>
      <c r="B1973" t="s">
        <v>280</v>
      </c>
      <c r="C1973" t="s">
        <v>52</v>
      </c>
      <c r="D1973" s="49">
        <v>45624</v>
      </c>
      <c r="E1973" s="49">
        <v>45632</v>
      </c>
      <c r="I1973" s="49">
        <v>45708</v>
      </c>
      <c r="J1973" t="s">
        <v>49</v>
      </c>
      <c r="K1973" s="33">
        <v>36700</v>
      </c>
      <c r="L1973" t="s">
        <v>62</v>
      </c>
      <c r="M1973" t="str">
        <f>_xlfn.XLOOKUP(Pipeline_tbl[[#This Row],[Rep_ID]],Dim_Reps!A:A,Dim_Reps!K:K)</f>
        <v>MXN</v>
      </c>
      <c r="N1973" s="33">
        <f>(_xlfn.XLOOKUP(Pipeline_tbl[[#This Row],[Rate_Code_Generalized]],Lookups!A:A,Lookups!B:B))*Pipeline_tbl[[#This Row],[Pipeline_Amount_USD]]</f>
        <v>724190.09000000008</v>
      </c>
      <c r="O1973" t="str">
        <f>_xlfn.XLOOKUP(Pipeline_tbl[[#This Row],[Rep_ID]],Dim_Reps!A:A,Dim_Reps!B:B)</f>
        <v>Cameron Lund</v>
      </c>
      <c r="P1973" t="str">
        <f>_xlfn.XLOOKUP(Pipeline_tbl[[#This Row],[Rep_ID]],Dim_Reps!A:A,Dim_Reps!C:C)</f>
        <v>Senior Enterprise AE</v>
      </c>
      <c r="Q1973" t="str">
        <f>_xlfn.XLOOKUP(Pipeline_tbl[[#This Row],[Rep_ID]],Dim_Reps!A:A,Dim_Reps!D:D)</f>
        <v>Strategic</v>
      </c>
      <c r="R1973" t="str">
        <f>_xlfn.XLOOKUP(Pipeline_tbl[[#This Row],[Rep_ID]],Dim_Reps!A:A,Dim_Reps!E:E)</f>
        <v>LATAM</v>
      </c>
      <c r="S1973" t="str">
        <f>_xlfn.XLOOKUP(Pipeline_tbl[[#This Row],[Created_Date]],Dim_Date!A:A,Dim_Date!H:H)</f>
        <v>Nov 2024</v>
      </c>
      <c r="T1973" t="str">
        <f>IF(Pipeline_tbl[[#This Row],[Closed_Date]]=0,"",(_xlfn.XLOOKUP(Pipeline_tbl[[#This Row],[Closed_Date]],Dim_Date!A:A,Dim_Date!H:H)))</f>
        <v>Feb 2025</v>
      </c>
      <c r="U1973">
        <f>IF(Pipeline_tbl[[#This Row],[Closed_Date]]=0,"",Pipeline_tbl[[#This Row],[Closed_Date]]-Pipeline_tbl[[#This Row],[Created_Date]])</f>
        <v>84</v>
      </c>
    </row>
    <row r="1974" spans="1:21" ht="15" customHeight="1" x14ac:dyDescent="0.2">
      <c r="A1974" t="s">
        <v>2280</v>
      </c>
      <c r="B1974" t="s">
        <v>284</v>
      </c>
      <c r="C1974" t="s">
        <v>52</v>
      </c>
      <c r="D1974" s="49">
        <v>45623</v>
      </c>
      <c r="E1974" s="49">
        <v>45630</v>
      </c>
      <c r="F1974" s="49">
        <v>45644</v>
      </c>
      <c r="G1974" s="49">
        <v>45665</v>
      </c>
      <c r="I1974" s="49">
        <v>45693</v>
      </c>
      <c r="J1974" t="s">
        <v>49</v>
      </c>
      <c r="K1974" s="33">
        <v>103200</v>
      </c>
      <c r="L1974" t="s">
        <v>64</v>
      </c>
      <c r="M1974" t="str">
        <f>_xlfn.XLOOKUP(Pipeline_tbl[[#This Row],[Rep_ID]],Dim_Reps!A:A,Dim_Reps!K:K)</f>
        <v>USD</v>
      </c>
      <c r="N1974" s="33">
        <f>(_xlfn.XLOOKUP(Pipeline_tbl[[#This Row],[Rate_Code_Generalized]],Lookups!A:A,Lookups!B:B))*Pipeline_tbl[[#This Row],[Pipeline_Amount_USD]]</f>
        <v>120155.76</v>
      </c>
      <c r="O1974" t="str">
        <f>_xlfn.XLOOKUP(Pipeline_tbl[[#This Row],[Rep_ID]],Dim_Reps!A:A,Dim_Reps!B:B)</f>
        <v>Taylor Adler</v>
      </c>
      <c r="P1974" t="str">
        <f>_xlfn.XLOOKUP(Pipeline_tbl[[#This Row],[Rep_ID]],Dim_Reps!A:A,Dim_Reps!C:C)</f>
        <v>Senior Enterprise AE</v>
      </c>
      <c r="Q1974" t="str">
        <f>_xlfn.XLOOKUP(Pipeline_tbl[[#This Row],[Rep_ID]],Dim_Reps!A:A,Dim_Reps!D:D)</f>
        <v>Strategic</v>
      </c>
      <c r="R1974" t="str">
        <f>_xlfn.XLOOKUP(Pipeline_tbl[[#This Row],[Rep_ID]],Dim_Reps!A:A,Dim_Reps!E:E)</f>
        <v>NAMER</v>
      </c>
      <c r="S1974" t="str">
        <f>_xlfn.XLOOKUP(Pipeline_tbl[[#This Row],[Created_Date]],Dim_Date!A:A,Dim_Date!H:H)</f>
        <v>Nov 2024</v>
      </c>
      <c r="T1974" t="str">
        <f>IF(Pipeline_tbl[[#This Row],[Closed_Date]]=0,"",(_xlfn.XLOOKUP(Pipeline_tbl[[#This Row],[Closed_Date]],Dim_Date!A:A,Dim_Date!H:H)))</f>
        <v>Feb 2025</v>
      </c>
      <c r="U1974">
        <f>IF(Pipeline_tbl[[#This Row],[Closed_Date]]=0,"",Pipeline_tbl[[#This Row],[Closed_Date]]-Pipeline_tbl[[#This Row],[Created_Date]])</f>
        <v>70</v>
      </c>
    </row>
    <row r="1975" spans="1:21" ht="15" customHeight="1" x14ac:dyDescent="0.2">
      <c r="A1975" t="s">
        <v>2281</v>
      </c>
      <c r="B1975" t="s">
        <v>243</v>
      </c>
      <c r="C1975" t="s">
        <v>53</v>
      </c>
      <c r="D1975" s="49">
        <v>45619</v>
      </c>
      <c r="E1975" s="49">
        <v>45623</v>
      </c>
      <c r="I1975" s="49">
        <v>45664</v>
      </c>
      <c r="J1975" t="s">
        <v>49</v>
      </c>
      <c r="K1975" s="33">
        <v>29900</v>
      </c>
      <c r="L1975" t="s">
        <v>60</v>
      </c>
      <c r="M1975" t="str">
        <f>_xlfn.XLOOKUP(Pipeline_tbl[[#This Row],[Rep_ID]],Dim_Reps!A:A,Dim_Reps!K:K)</f>
        <v>MXN</v>
      </c>
      <c r="N1975" s="33">
        <f>(_xlfn.XLOOKUP(Pipeline_tbl[[#This Row],[Rate_Code_Generalized]],Lookups!A:A,Lookups!B:B))*Pipeline_tbl[[#This Row],[Pipeline_Amount_USD]]</f>
        <v>590007.73</v>
      </c>
      <c r="O1975" t="str">
        <f>_xlfn.XLOOKUP(Pipeline_tbl[[#This Row],[Rep_ID]],Dim_Reps!A:A,Dim_Reps!B:B)</f>
        <v>Jonas Sato</v>
      </c>
      <c r="P1975" t="str">
        <f>_xlfn.XLOOKUP(Pipeline_tbl[[#This Row],[Rep_ID]],Dim_Reps!A:A,Dim_Reps!C:C)</f>
        <v>Mid-Market AE</v>
      </c>
      <c r="Q1975" t="str">
        <f>_xlfn.XLOOKUP(Pipeline_tbl[[#This Row],[Rep_ID]],Dim_Reps!A:A,Dim_Reps!D:D)</f>
        <v>Mid-Market</v>
      </c>
      <c r="R1975" t="str">
        <f>_xlfn.XLOOKUP(Pipeline_tbl[[#This Row],[Rep_ID]],Dim_Reps!A:A,Dim_Reps!E:E)</f>
        <v>LATAM</v>
      </c>
      <c r="S1975" t="str">
        <f>_xlfn.XLOOKUP(Pipeline_tbl[[#This Row],[Created_Date]],Dim_Date!A:A,Dim_Date!H:H)</f>
        <v>Nov 2024</v>
      </c>
      <c r="T1975" t="str">
        <f>IF(Pipeline_tbl[[#This Row],[Closed_Date]]=0,"",(_xlfn.XLOOKUP(Pipeline_tbl[[#This Row],[Closed_Date]],Dim_Date!A:A,Dim_Date!H:H)))</f>
        <v>Jan 2025</v>
      </c>
      <c r="U1975">
        <f>IF(Pipeline_tbl[[#This Row],[Closed_Date]]=0,"",Pipeline_tbl[[#This Row],[Closed_Date]]-Pipeline_tbl[[#This Row],[Created_Date]])</f>
        <v>45</v>
      </c>
    </row>
    <row r="1976" spans="1:21" ht="15" customHeight="1" x14ac:dyDescent="0.2">
      <c r="A1976" t="s">
        <v>2282</v>
      </c>
      <c r="B1976" t="s">
        <v>243</v>
      </c>
      <c r="C1976" t="s">
        <v>52</v>
      </c>
      <c r="D1976" s="49">
        <v>45612</v>
      </c>
      <c r="E1976" s="49">
        <v>45617</v>
      </c>
      <c r="F1976" s="49">
        <v>45627</v>
      </c>
      <c r="G1976" s="49">
        <v>45642</v>
      </c>
      <c r="H1976" s="49">
        <v>45655</v>
      </c>
      <c r="I1976" s="49">
        <v>45662</v>
      </c>
      <c r="J1976" t="s">
        <v>47</v>
      </c>
      <c r="K1976" s="33">
        <v>10800</v>
      </c>
      <c r="M1976" t="str">
        <f>_xlfn.XLOOKUP(Pipeline_tbl[[#This Row],[Rep_ID]],Dim_Reps!A:A,Dim_Reps!K:K)</f>
        <v>MXN</v>
      </c>
      <c r="N1976" s="33">
        <f>(_xlfn.XLOOKUP(Pipeline_tbl[[#This Row],[Rate_Code_Generalized]],Lookups!A:A,Lookups!B:B))*Pipeline_tbl[[#This Row],[Pipeline_Amount_USD]]</f>
        <v>213113.16</v>
      </c>
      <c r="O1976" t="str">
        <f>_xlfn.XLOOKUP(Pipeline_tbl[[#This Row],[Rep_ID]],Dim_Reps!A:A,Dim_Reps!B:B)</f>
        <v>Jonas Sato</v>
      </c>
      <c r="P1976" t="str">
        <f>_xlfn.XLOOKUP(Pipeline_tbl[[#This Row],[Rep_ID]],Dim_Reps!A:A,Dim_Reps!C:C)</f>
        <v>Mid-Market AE</v>
      </c>
      <c r="Q1976" t="str">
        <f>_xlfn.XLOOKUP(Pipeline_tbl[[#This Row],[Rep_ID]],Dim_Reps!A:A,Dim_Reps!D:D)</f>
        <v>Mid-Market</v>
      </c>
      <c r="R1976" t="str">
        <f>_xlfn.XLOOKUP(Pipeline_tbl[[#This Row],[Rep_ID]],Dim_Reps!A:A,Dim_Reps!E:E)</f>
        <v>LATAM</v>
      </c>
      <c r="S1976" t="str">
        <f>_xlfn.XLOOKUP(Pipeline_tbl[[#This Row],[Created_Date]],Dim_Date!A:A,Dim_Date!H:H)</f>
        <v>Nov 2024</v>
      </c>
      <c r="T1976" t="str">
        <f>IF(Pipeline_tbl[[#This Row],[Closed_Date]]=0,"",(_xlfn.XLOOKUP(Pipeline_tbl[[#This Row],[Closed_Date]],Dim_Date!A:A,Dim_Date!H:H)))</f>
        <v>Jan 2025</v>
      </c>
      <c r="U1976">
        <f>IF(Pipeline_tbl[[#This Row],[Closed_Date]]=0,"",Pipeline_tbl[[#This Row],[Closed_Date]]-Pipeline_tbl[[#This Row],[Created_Date]])</f>
        <v>50</v>
      </c>
    </row>
    <row r="1977" spans="1:21" ht="15" customHeight="1" x14ac:dyDescent="0.2">
      <c r="A1977" t="s">
        <v>2283</v>
      </c>
      <c r="B1977" t="s">
        <v>181</v>
      </c>
      <c r="C1977" t="s">
        <v>52</v>
      </c>
      <c r="D1977" s="49">
        <v>45605</v>
      </c>
      <c r="E1977" s="49">
        <v>45613</v>
      </c>
      <c r="F1977" s="49">
        <v>45629</v>
      </c>
      <c r="I1977" s="49">
        <v>45686</v>
      </c>
      <c r="J1977" t="s">
        <v>49</v>
      </c>
      <c r="K1977" s="33">
        <v>26600</v>
      </c>
      <c r="L1977" t="s">
        <v>61</v>
      </c>
      <c r="M1977" t="str">
        <f>_xlfn.XLOOKUP(Pipeline_tbl[[#This Row],[Rep_ID]],Dim_Reps!A:A,Dim_Reps!K:K)</f>
        <v>USD</v>
      </c>
      <c r="N1977" s="33">
        <f>(_xlfn.XLOOKUP(Pipeline_tbl[[#This Row],[Rate_Code_Generalized]],Lookups!A:A,Lookups!B:B))*Pipeline_tbl[[#This Row],[Pipeline_Amount_USD]]</f>
        <v>30970.379999999997</v>
      </c>
      <c r="O1977" t="str">
        <f>_xlfn.XLOOKUP(Pipeline_tbl[[#This Row],[Rep_ID]],Dim_Reps!A:A,Dim_Reps!B:B)</f>
        <v>Milo Weber</v>
      </c>
      <c r="P1977" t="str">
        <f>_xlfn.XLOOKUP(Pipeline_tbl[[#This Row],[Rep_ID]],Dim_Reps!A:A,Dim_Reps!C:C)</f>
        <v>Enterprise AE</v>
      </c>
      <c r="Q1977" t="str">
        <f>_xlfn.XLOOKUP(Pipeline_tbl[[#This Row],[Rep_ID]],Dim_Reps!A:A,Dim_Reps!D:D)</f>
        <v>Enterprise</v>
      </c>
      <c r="R1977" t="str">
        <f>_xlfn.XLOOKUP(Pipeline_tbl[[#This Row],[Rep_ID]],Dim_Reps!A:A,Dim_Reps!E:E)</f>
        <v>NAMER</v>
      </c>
      <c r="S1977" t="str">
        <f>_xlfn.XLOOKUP(Pipeline_tbl[[#This Row],[Created_Date]],Dim_Date!A:A,Dim_Date!H:H)</f>
        <v>Nov 2024</v>
      </c>
      <c r="T1977" t="str">
        <f>IF(Pipeline_tbl[[#This Row],[Closed_Date]]=0,"",(_xlfn.XLOOKUP(Pipeline_tbl[[#This Row],[Closed_Date]],Dim_Date!A:A,Dim_Date!H:H)))</f>
        <v>Jan 2025</v>
      </c>
      <c r="U1977">
        <f>IF(Pipeline_tbl[[#This Row],[Closed_Date]]=0,"",Pipeline_tbl[[#This Row],[Closed_Date]]-Pipeline_tbl[[#This Row],[Created_Date]])</f>
        <v>81</v>
      </c>
    </row>
    <row r="1978" spans="1:21" ht="15" customHeight="1" x14ac:dyDescent="0.2">
      <c r="A1978" t="s">
        <v>2284</v>
      </c>
      <c r="B1978" t="s">
        <v>181</v>
      </c>
      <c r="C1978" t="s">
        <v>52</v>
      </c>
      <c r="D1978" s="49">
        <v>45617</v>
      </c>
      <c r="E1978" s="49">
        <v>45623</v>
      </c>
      <c r="F1978" s="49">
        <v>45635</v>
      </c>
      <c r="G1978" s="49">
        <v>45652</v>
      </c>
      <c r="I1978" s="49">
        <v>45676</v>
      </c>
      <c r="J1978" t="s">
        <v>49</v>
      </c>
      <c r="K1978" s="33">
        <v>28900</v>
      </c>
      <c r="L1978" t="s">
        <v>61</v>
      </c>
      <c r="M1978" t="str">
        <f>_xlfn.XLOOKUP(Pipeline_tbl[[#This Row],[Rep_ID]],Dim_Reps!A:A,Dim_Reps!K:K)</f>
        <v>USD</v>
      </c>
      <c r="N1978" s="33">
        <f>(_xlfn.XLOOKUP(Pipeline_tbl[[#This Row],[Rate_Code_Generalized]],Lookups!A:A,Lookups!B:B))*Pipeline_tbl[[#This Row],[Pipeline_Amount_USD]]</f>
        <v>33648.269999999997</v>
      </c>
      <c r="O1978" t="str">
        <f>_xlfn.XLOOKUP(Pipeline_tbl[[#This Row],[Rep_ID]],Dim_Reps!A:A,Dim_Reps!B:B)</f>
        <v>Milo Weber</v>
      </c>
      <c r="P1978" t="str">
        <f>_xlfn.XLOOKUP(Pipeline_tbl[[#This Row],[Rep_ID]],Dim_Reps!A:A,Dim_Reps!C:C)</f>
        <v>Enterprise AE</v>
      </c>
      <c r="Q1978" t="str">
        <f>_xlfn.XLOOKUP(Pipeline_tbl[[#This Row],[Rep_ID]],Dim_Reps!A:A,Dim_Reps!D:D)</f>
        <v>Enterprise</v>
      </c>
      <c r="R1978" t="str">
        <f>_xlfn.XLOOKUP(Pipeline_tbl[[#This Row],[Rep_ID]],Dim_Reps!A:A,Dim_Reps!E:E)</f>
        <v>NAMER</v>
      </c>
      <c r="S1978" t="str">
        <f>_xlfn.XLOOKUP(Pipeline_tbl[[#This Row],[Created_Date]],Dim_Date!A:A,Dim_Date!H:H)</f>
        <v>Nov 2024</v>
      </c>
      <c r="T1978" t="str">
        <f>IF(Pipeline_tbl[[#This Row],[Closed_Date]]=0,"",(_xlfn.XLOOKUP(Pipeline_tbl[[#This Row],[Closed_Date]],Dim_Date!A:A,Dim_Date!H:H)))</f>
        <v>Jan 2025</v>
      </c>
      <c r="U1978">
        <f>IF(Pipeline_tbl[[#This Row],[Closed_Date]]=0,"",Pipeline_tbl[[#This Row],[Closed_Date]]-Pipeline_tbl[[#This Row],[Created_Date]])</f>
        <v>59</v>
      </c>
    </row>
    <row r="1979" spans="1:21" ht="15" customHeight="1" x14ac:dyDescent="0.2">
      <c r="A1979" t="s">
        <v>2285</v>
      </c>
      <c r="B1979" t="s">
        <v>181</v>
      </c>
      <c r="C1979" t="s">
        <v>52</v>
      </c>
      <c r="D1979" s="49">
        <v>45612</v>
      </c>
      <c r="E1979" s="49">
        <v>45619</v>
      </c>
      <c r="F1979" s="49">
        <v>45634</v>
      </c>
      <c r="G1979" s="49">
        <v>45656</v>
      </c>
      <c r="I1979" s="49">
        <v>45685</v>
      </c>
      <c r="J1979" t="s">
        <v>49</v>
      </c>
      <c r="K1979" s="33">
        <v>40200</v>
      </c>
      <c r="L1979" t="s">
        <v>61</v>
      </c>
      <c r="M1979" t="str">
        <f>_xlfn.XLOOKUP(Pipeline_tbl[[#This Row],[Rep_ID]],Dim_Reps!A:A,Dim_Reps!K:K)</f>
        <v>USD</v>
      </c>
      <c r="N1979" s="33">
        <f>(_xlfn.XLOOKUP(Pipeline_tbl[[#This Row],[Rate_Code_Generalized]],Lookups!A:A,Lookups!B:B))*Pipeline_tbl[[#This Row],[Pipeline_Amount_USD]]</f>
        <v>46804.859999999993</v>
      </c>
      <c r="O1979" t="str">
        <f>_xlfn.XLOOKUP(Pipeline_tbl[[#This Row],[Rep_ID]],Dim_Reps!A:A,Dim_Reps!B:B)</f>
        <v>Milo Weber</v>
      </c>
      <c r="P1979" t="str">
        <f>_xlfn.XLOOKUP(Pipeline_tbl[[#This Row],[Rep_ID]],Dim_Reps!A:A,Dim_Reps!C:C)</f>
        <v>Enterprise AE</v>
      </c>
      <c r="Q1979" t="str">
        <f>_xlfn.XLOOKUP(Pipeline_tbl[[#This Row],[Rep_ID]],Dim_Reps!A:A,Dim_Reps!D:D)</f>
        <v>Enterprise</v>
      </c>
      <c r="R1979" t="str">
        <f>_xlfn.XLOOKUP(Pipeline_tbl[[#This Row],[Rep_ID]],Dim_Reps!A:A,Dim_Reps!E:E)</f>
        <v>NAMER</v>
      </c>
      <c r="S1979" t="str">
        <f>_xlfn.XLOOKUP(Pipeline_tbl[[#This Row],[Created_Date]],Dim_Date!A:A,Dim_Date!H:H)</f>
        <v>Nov 2024</v>
      </c>
      <c r="T1979" t="str">
        <f>IF(Pipeline_tbl[[#This Row],[Closed_Date]]=0,"",(_xlfn.XLOOKUP(Pipeline_tbl[[#This Row],[Closed_Date]],Dim_Date!A:A,Dim_Date!H:H)))</f>
        <v>Jan 2025</v>
      </c>
      <c r="U1979">
        <f>IF(Pipeline_tbl[[#This Row],[Closed_Date]]=0,"",Pipeline_tbl[[#This Row],[Closed_Date]]-Pipeline_tbl[[#This Row],[Created_Date]])</f>
        <v>73</v>
      </c>
    </row>
    <row r="1980" spans="1:21" ht="15" customHeight="1" x14ac:dyDescent="0.2">
      <c r="A1980" t="s">
        <v>2286</v>
      </c>
      <c r="B1980" t="s">
        <v>181</v>
      </c>
      <c r="C1980" t="s">
        <v>55</v>
      </c>
      <c r="D1980" s="49">
        <v>45612</v>
      </c>
      <c r="E1980" s="49">
        <v>45617</v>
      </c>
      <c r="F1980" s="49">
        <v>45627</v>
      </c>
      <c r="I1980" s="49">
        <v>45662</v>
      </c>
      <c r="J1980" t="s">
        <v>49</v>
      </c>
      <c r="K1980" s="33">
        <v>21800</v>
      </c>
      <c r="L1980" t="s">
        <v>63</v>
      </c>
      <c r="M1980" t="str">
        <f>_xlfn.XLOOKUP(Pipeline_tbl[[#This Row],[Rep_ID]],Dim_Reps!A:A,Dim_Reps!K:K)</f>
        <v>USD</v>
      </c>
      <c r="N1980" s="33">
        <f>(_xlfn.XLOOKUP(Pipeline_tbl[[#This Row],[Rate_Code_Generalized]],Lookups!A:A,Lookups!B:B))*Pipeline_tbl[[#This Row],[Pipeline_Amount_USD]]</f>
        <v>25381.739999999998</v>
      </c>
      <c r="O1980" t="str">
        <f>_xlfn.XLOOKUP(Pipeline_tbl[[#This Row],[Rep_ID]],Dim_Reps!A:A,Dim_Reps!B:B)</f>
        <v>Milo Weber</v>
      </c>
      <c r="P1980" t="str">
        <f>_xlfn.XLOOKUP(Pipeline_tbl[[#This Row],[Rep_ID]],Dim_Reps!A:A,Dim_Reps!C:C)</f>
        <v>Enterprise AE</v>
      </c>
      <c r="Q1980" t="str">
        <f>_xlfn.XLOOKUP(Pipeline_tbl[[#This Row],[Rep_ID]],Dim_Reps!A:A,Dim_Reps!D:D)</f>
        <v>Enterprise</v>
      </c>
      <c r="R1980" t="str">
        <f>_xlfn.XLOOKUP(Pipeline_tbl[[#This Row],[Rep_ID]],Dim_Reps!A:A,Dim_Reps!E:E)</f>
        <v>NAMER</v>
      </c>
      <c r="S1980" t="str">
        <f>_xlfn.XLOOKUP(Pipeline_tbl[[#This Row],[Created_Date]],Dim_Date!A:A,Dim_Date!H:H)</f>
        <v>Nov 2024</v>
      </c>
      <c r="T1980" t="str">
        <f>IF(Pipeline_tbl[[#This Row],[Closed_Date]]=0,"",(_xlfn.XLOOKUP(Pipeline_tbl[[#This Row],[Closed_Date]],Dim_Date!A:A,Dim_Date!H:H)))</f>
        <v>Jan 2025</v>
      </c>
      <c r="U1980">
        <f>IF(Pipeline_tbl[[#This Row],[Closed_Date]]=0,"",Pipeline_tbl[[#This Row],[Closed_Date]]-Pipeline_tbl[[#This Row],[Created_Date]])</f>
        <v>50</v>
      </c>
    </row>
    <row r="1981" spans="1:21" ht="15" customHeight="1" x14ac:dyDescent="0.2">
      <c r="A1981" t="s">
        <v>2287</v>
      </c>
      <c r="B1981" t="s">
        <v>183</v>
      </c>
      <c r="C1981" t="s">
        <v>52</v>
      </c>
      <c r="D1981" s="49">
        <v>45607</v>
      </c>
      <c r="E1981" s="49">
        <v>45615</v>
      </c>
      <c r="F1981" s="49">
        <v>45630</v>
      </c>
      <c r="G1981" s="49">
        <v>45654</v>
      </c>
      <c r="H1981" s="49">
        <v>45673</v>
      </c>
      <c r="I1981" s="49">
        <v>45685</v>
      </c>
      <c r="J1981" t="s">
        <v>47</v>
      </c>
      <c r="K1981" s="33">
        <v>32500</v>
      </c>
      <c r="M1981" t="str">
        <f>_xlfn.XLOOKUP(Pipeline_tbl[[#This Row],[Rep_ID]],Dim_Reps!A:A,Dim_Reps!K:K)</f>
        <v>EUR</v>
      </c>
      <c r="N1981" s="33">
        <f>(_xlfn.XLOOKUP(Pipeline_tbl[[#This Row],[Rate_Code_Generalized]],Lookups!A:A,Lookups!B:B))*Pipeline_tbl[[#This Row],[Pipeline_Amount_USD]]</f>
        <v>32500</v>
      </c>
      <c r="O1981" t="str">
        <f>_xlfn.XLOOKUP(Pipeline_tbl[[#This Row],[Rep_ID]],Dim_Reps!A:A,Dim_Reps!B:B)</f>
        <v>Sam Schmidt</v>
      </c>
      <c r="P1981" t="str">
        <f>_xlfn.XLOOKUP(Pipeline_tbl[[#This Row],[Rep_ID]],Dim_Reps!A:A,Dim_Reps!C:C)</f>
        <v>Enterprise AE</v>
      </c>
      <c r="Q1981" t="str">
        <f>_xlfn.XLOOKUP(Pipeline_tbl[[#This Row],[Rep_ID]],Dim_Reps!A:A,Dim_Reps!D:D)</f>
        <v>Enterprise</v>
      </c>
      <c r="R1981" t="str">
        <f>_xlfn.XLOOKUP(Pipeline_tbl[[#This Row],[Rep_ID]],Dim_Reps!A:A,Dim_Reps!E:E)</f>
        <v>EMEA</v>
      </c>
      <c r="S1981" t="str">
        <f>_xlfn.XLOOKUP(Pipeline_tbl[[#This Row],[Created_Date]],Dim_Date!A:A,Dim_Date!H:H)</f>
        <v>Nov 2024</v>
      </c>
      <c r="T1981" t="str">
        <f>IF(Pipeline_tbl[[#This Row],[Closed_Date]]=0,"",(_xlfn.XLOOKUP(Pipeline_tbl[[#This Row],[Closed_Date]],Dim_Date!A:A,Dim_Date!H:H)))</f>
        <v>Jan 2025</v>
      </c>
      <c r="U1981">
        <f>IF(Pipeline_tbl[[#This Row],[Closed_Date]]=0,"",Pipeline_tbl[[#This Row],[Closed_Date]]-Pipeline_tbl[[#This Row],[Created_Date]])</f>
        <v>78</v>
      </c>
    </row>
    <row r="1982" spans="1:21" ht="15" customHeight="1" x14ac:dyDescent="0.2">
      <c r="A1982" t="s">
        <v>2288</v>
      </c>
      <c r="B1982" t="s">
        <v>183</v>
      </c>
      <c r="C1982" t="s">
        <v>52</v>
      </c>
      <c r="D1982" s="49">
        <v>45604</v>
      </c>
      <c r="E1982" s="49">
        <v>45610</v>
      </c>
      <c r="F1982" s="49">
        <v>45621</v>
      </c>
      <c r="G1982" s="49">
        <v>45637</v>
      </c>
      <c r="I1982" s="49">
        <v>45659</v>
      </c>
      <c r="J1982" t="s">
        <v>49</v>
      </c>
      <c r="K1982" s="33">
        <v>23100</v>
      </c>
      <c r="L1982" t="s">
        <v>60</v>
      </c>
      <c r="M1982" t="str">
        <f>_xlfn.XLOOKUP(Pipeline_tbl[[#This Row],[Rep_ID]],Dim_Reps!A:A,Dim_Reps!K:K)</f>
        <v>EUR</v>
      </c>
      <c r="N1982" s="33">
        <f>(_xlfn.XLOOKUP(Pipeline_tbl[[#This Row],[Rate_Code_Generalized]],Lookups!A:A,Lookups!B:B))*Pipeline_tbl[[#This Row],[Pipeline_Amount_USD]]</f>
        <v>23100</v>
      </c>
      <c r="O1982" t="str">
        <f>_xlfn.XLOOKUP(Pipeline_tbl[[#This Row],[Rep_ID]],Dim_Reps!A:A,Dim_Reps!B:B)</f>
        <v>Sam Schmidt</v>
      </c>
      <c r="P1982" t="str">
        <f>_xlfn.XLOOKUP(Pipeline_tbl[[#This Row],[Rep_ID]],Dim_Reps!A:A,Dim_Reps!C:C)</f>
        <v>Enterprise AE</v>
      </c>
      <c r="Q1982" t="str">
        <f>_xlfn.XLOOKUP(Pipeline_tbl[[#This Row],[Rep_ID]],Dim_Reps!A:A,Dim_Reps!D:D)</f>
        <v>Enterprise</v>
      </c>
      <c r="R1982" t="str">
        <f>_xlfn.XLOOKUP(Pipeline_tbl[[#This Row],[Rep_ID]],Dim_Reps!A:A,Dim_Reps!E:E)</f>
        <v>EMEA</v>
      </c>
      <c r="S1982" t="str">
        <f>_xlfn.XLOOKUP(Pipeline_tbl[[#This Row],[Created_Date]],Dim_Date!A:A,Dim_Date!H:H)</f>
        <v>Nov 2024</v>
      </c>
      <c r="T1982" t="str">
        <f>IF(Pipeline_tbl[[#This Row],[Closed_Date]]=0,"",(_xlfn.XLOOKUP(Pipeline_tbl[[#This Row],[Closed_Date]],Dim_Date!A:A,Dim_Date!H:H)))</f>
        <v>Jan 2025</v>
      </c>
      <c r="U1982">
        <f>IF(Pipeline_tbl[[#This Row],[Closed_Date]]=0,"",Pipeline_tbl[[#This Row],[Closed_Date]]-Pipeline_tbl[[#This Row],[Created_Date]])</f>
        <v>55</v>
      </c>
    </row>
    <row r="1983" spans="1:21" ht="15" customHeight="1" x14ac:dyDescent="0.2">
      <c r="A1983" t="s">
        <v>2289</v>
      </c>
      <c r="B1983" t="s">
        <v>278</v>
      </c>
      <c r="C1983" t="s">
        <v>52</v>
      </c>
      <c r="D1983" s="49">
        <v>45609</v>
      </c>
      <c r="E1983" s="49">
        <v>45616</v>
      </c>
      <c r="F1983" s="49">
        <v>45629</v>
      </c>
      <c r="G1983" s="49">
        <v>45649</v>
      </c>
      <c r="H1983" s="49">
        <v>45666</v>
      </c>
      <c r="I1983" s="49">
        <v>45676</v>
      </c>
      <c r="J1983" t="s">
        <v>49</v>
      </c>
      <c r="K1983" s="33">
        <v>21900</v>
      </c>
      <c r="L1983" t="s">
        <v>60</v>
      </c>
      <c r="M1983" t="str">
        <f>_xlfn.XLOOKUP(Pipeline_tbl[[#This Row],[Rep_ID]],Dim_Reps!A:A,Dim_Reps!K:K)</f>
        <v>EUR</v>
      </c>
      <c r="N1983" s="33">
        <f>(_xlfn.XLOOKUP(Pipeline_tbl[[#This Row],[Rate_Code_Generalized]],Lookups!A:A,Lookups!B:B))*Pipeline_tbl[[#This Row],[Pipeline_Amount_USD]]</f>
        <v>21900</v>
      </c>
      <c r="O1983" t="str">
        <f>_xlfn.XLOOKUP(Pipeline_tbl[[#This Row],[Rep_ID]],Dim_Reps!A:A,Dim_Reps!B:B)</f>
        <v>Sara Andersson</v>
      </c>
      <c r="P1983" t="str">
        <f>_xlfn.XLOOKUP(Pipeline_tbl[[#This Row],[Rep_ID]],Dim_Reps!A:A,Dim_Reps!C:C)</f>
        <v>Senior Enterprise AE</v>
      </c>
      <c r="Q1983" t="str">
        <f>_xlfn.XLOOKUP(Pipeline_tbl[[#This Row],[Rep_ID]],Dim_Reps!A:A,Dim_Reps!D:D)</f>
        <v>Strategic</v>
      </c>
      <c r="R1983" t="str">
        <f>_xlfn.XLOOKUP(Pipeline_tbl[[#This Row],[Rep_ID]],Dim_Reps!A:A,Dim_Reps!E:E)</f>
        <v>APAC</v>
      </c>
      <c r="S1983" t="str">
        <f>_xlfn.XLOOKUP(Pipeline_tbl[[#This Row],[Created_Date]],Dim_Date!A:A,Dim_Date!H:H)</f>
        <v>Nov 2024</v>
      </c>
      <c r="T1983" t="str">
        <f>IF(Pipeline_tbl[[#This Row],[Closed_Date]]=0,"",(_xlfn.XLOOKUP(Pipeline_tbl[[#This Row],[Closed_Date]],Dim_Date!A:A,Dim_Date!H:H)))</f>
        <v>Jan 2025</v>
      </c>
      <c r="U1983">
        <f>IF(Pipeline_tbl[[#This Row],[Closed_Date]]=0,"",Pipeline_tbl[[#This Row],[Closed_Date]]-Pipeline_tbl[[#This Row],[Created_Date]])</f>
        <v>67</v>
      </c>
    </row>
    <row r="1984" spans="1:21" ht="15" customHeight="1" x14ac:dyDescent="0.2">
      <c r="A1984" t="s">
        <v>2290</v>
      </c>
      <c r="B1984" t="s">
        <v>278</v>
      </c>
      <c r="C1984" t="s">
        <v>52</v>
      </c>
      <c r="D1984" s="49">
        <v>45624</v>
      </c>
      <c r="E1984" s="49">
        <v>45628</v>
      </c>
      <c r="F1984" s="49">
        <v>45638</v>
      </c>
      <c r="I1984" s="49">
        <v>45669</v>
      </c>
      <c r="J1984" t="s">
        <v>49</v>
      </c>
      <c r="K1984" s="33">
        <v>52400</v>
      </c>
      <c r="L1984" t="s">
        <v>60</v>
      </c>
      <c r="M1984" t="str">
        <f>_xlfn.XLOOKUP(Pipeline_tbl[[#This Row],[Rep_ID]],Dim_Reps!A:A,Dim_Reps!K:K)</f>
        <v>EUR</v>
      </c>
      <c r="N1984" s="33">
        <f>(_xlfn.XLOOKUP(Pipeline_tbl[[#This Row],[Rate_Code_Generalized]],Lookups!A:A,Lookups!B:B))*Pipeline_tbl[[#This Row],[Pipeline_Amount_USD]]</f>
        <v>52400</v>
      </c>
      <c r="O1984" t="str">
        <f>_xlfn.XLOOKUP(Pipeline_tbl[[#This Row],[Rep_ID]],Dim_Reps!A:A,Dim_Reps!B:B)</f>
        <v>Sara Andersson</v>
      </c>
      <c r="P1984" t="str">
        <f>_xlfn.XLOOKUP(Pipeline_tbl[[#This Row],[Rep_ID]],Dim_Reps!A:A,Dim_Reps!C:C)</f>
        <v>Senior Enterprise AE</v>
      </c>
      <c r="Q1984" t="str">
        <f>_xlfn.XLOOKUP(Pipeline_tbl[[#This Row],[Rep_ID]],Dim_Reps!A:A,Dim_Reps!D:D)</f>
        <v>Strategic</v>
      </c>
      <c r="R1984" t="str">
        <f>_xlfn.XLOOKUP(Pipeline_tbl[[#This Row],[Rep_ID]],Dim_Reps!A:A,Dim_Reps!E:E)</f>
        <v>APAC</v>
      </c>
      <c r="S1984" t="str">
        <f>_xlfn.XLOOKUP(Pipeline_tbl[[#This Row],[Created_Date]],Dim_Date!A:A,Dim_Date!H:H)</f>
        <v>Nov 2024</v>
      </c>
      <c r="T1984" t="str">
        <f>IF(Pipeline_tbl[[#This Row],[Closed_Date]]=0,"",(_xlfn.XLOOKUP(Pipeline_tbl[[#This Row],[Closed_Date]],Dim_Date!A:A,Dim_Date!H:H)))</f>
        <v>Jan 2025</v>
      </c>
      <c r="U1984">
        <f>IF(Pipeline_tbl[[#This Row],[Closed_Date]]=0,"",Pipeline_tbl[[#This Row],[Closed_Date]]-Pipeline_tbl[[#This Row],[Created_Date]])</f>
        <v>45</v>
      </c>
    </row>
    <row r="1985" spans="1:21" ht="15" customHeight="1" x14ac:dyDescent="0.2">
      <c r="A1985" t="s">
        <v>2291</v>
      </c>
      <c r="B1985" t="s">
        <v>278</v>
      </c>
      <c r="C1985" t="s">
        <v>52</v>
      </c>
      <c r="D1985" s="49">
        <v>45614</v>
      </c>
      <c r="E1985" s="49">
        <v>45621</v>
      </c>
      <c r="F1985" s="49">
        <v>45635</v>
      </c>
      <c r="G1985" s="49">
        <v>45657</v>
      </c>
      <c r="H1985" s="49">
        <v>45674</v>
      </c>
      <c r="I1985" s="49">
        <v>45685</v>
      </c>
      <c r="J1985" t="s">
        <v>47</v>
      </c>
      <c r="K1985" s="33">
        <v>42700</v>
      </c>
      <c r="M1985" t="str">
        <f>_xlfn.XLOOKUP(Pipeline_tbl[[#This Row],[Rep_ID]],Dim_Reps!A:A,Dim_Reps!K:K)</f>
        <v>EUR</v>
      </c>
      <c r="N1985" s="33">
        <f>(_xlfn.XLOOKUP(Pipeline_tbl[[#This Row],[Rate_Code_Generalized]],Lookups!A:A,Lookups!B:B))*Pipeline_tbl[[#This Row],[Pipeline_Amount_USD]]</f>
        <v>42700</v>
      </c>
      <c r="O1985" t="str">
        <f>_xlfn.XLOOKUP(Pipeline_tbl[[#This Row],[Rep_ID]],Dim_Reps!A:A,Dim_Reps!B:B)</f>
        <v>Sara Andersson</v>
      </c>
      <c r="P1985" t="str">
        <f>_xlfn.XLOOKUP(Pipeline_tbl[[#This Row],[Rep_ID]],Dim_Reps!A:A,Dim_Reps!C:C)</f>
        <v>Senior Enterprise AE</v>
      </c>
      <c r="Q1985" t="str">
        <f>_xlfn.XLOOKUP(Pipeline_tbl[[#This Row],[Rep_ID]],Dim_Reps!A:A,Dim_Reps!D:D)</f>
        <v>Strategic</v>
      </c>
      <c r="R1985" t="str">
        <f>_xlfn.XLOOKUP(Pipeline_tbl[[#This Row],[Rep_ID]],Dim_Reps!A:A,Dim_Reps!E:E)</f>
        <v>APAC</v>
      </c>
      <c r="S1985" t="str">
        <f>_xlfn.XLOOKUP(Pipeline_tbl[[#This Row],[Created_Date]],Dim_Date!A:A,Dim_Date!H:H)</f>
        <v>Nov 2024</v>
      </c>
      <c r="T1985" t="str">
        <f>IF(Pipeline_tbl[[#This Row],[Closed_Date]]=0,"",(_xlfn.XLOOKUP(Pipeline_tbl[[#This Row],[Closed_Date]],Dim_Date!A:A,Dim_Date!H:H)))</f>
        <v>Jan 2025</v>
      </c>
      <c r="U1985">
        <f>IF(Pipeline_tbl[[#This Row],[Closed_Date]]=0,"",Pipeline_tbl[[#This Row],[Closed_Date]]-Pipeline_tbl[[#This Row],[Created_Date]])</f>
        <v>71</v>
      </c>
    </row>
    <row r="1986" spans="1:21" ht="15" customHeight="1" x14ac:dyDescent="0.2">
      <c r="A1986" t="s">
        <v>2292</v>
      </c>
      <c r="B1986" t="s">
        <v>185</v>
      </c>
      <c r="C1986" t="s">
        <v>53</v>
      </c>
      <c r="D1986" s="49">
        <v>45625</v>
      </c>
      <c r="E1986" s="49">
        <v>45630</v>
      </c>
      <c r="F1986" s="49">
        <v>45640</v>
      </c>
      <c r="I1986" s="49">
        <v>45675</v>
      </c>
      <c r="J1986" t="s">
        <v>49</v>
      </c>
      <c r="K1986" s="33">
        <v>36100</v>
      </c>
      <c r="L1986" t="s">
        <v>64</v>
      </c>
      <c r="M1986" t="str">
        <f>_xlfn.XLOOKUP(Pipeline_tbl[[#This Row],[Rep_ID]],Dim_Reps!A:A,Dim_Reps!K:K)</f>
        <v>MXN</v>
      </c>
      <c r="N1986" s="33">
        <f>(_xlfn.XLOOKUP(Pipeline_tbl[[#This Row],[Rate_Code_Generalized]],Lookups!A:A,Lookups!B:B))*Pipeline_tbl[[#This Row],[Pipeline_Amount_USD]]</f>
        <v>712350.47000000009</v>
      </c>
      <c r="O1986" t="str">
        <f>_xlfn.XLOOKUP(Pipeline_tbl[[#This Row],[Rep_ID]],Dim_Reps!A:A,Dim_Reps!B:B)</f>
        <v>Noah Kim</v>
      </c>
      <c r="P1986" t="str">
        <f>_xlfn.XLOOKUP(Pipeline_tbl[[#This Row],[Rep_ID]],Dim_Reps!A:A,Dim_Reps!C:C)</f>
        <v>Enterprise AE</v>
      </c>
      <c r="Q1986" t="str">
        <f>_xlfn.XLOOKUP(Pipeline_tbl[[#This Row],[Rep_ID]],Dim_Reps!A:A,Dim_Reps!D:D)</f>
        <v>Enterprise</v>
      </c>
      <c r="R1986" t="str">
        <f>_xlfn.XLOOKUP(Pipeline_tbl[[#This Row],[Rep_ID]],Dim_Reps!A:A,Dim_Reps!E:E)</f>
        <v>LATAM</v>
      </c>
      <c r="S1986" t="str">
        <f>_xlfn.XLOOKUP(Pipeline_tbl[[#This Row],[Created_Date]],Dim_Date!A:A,Dim_Date!H:H)</f>
        <v>Nov 2024</v>
      </c>
      <c r="T1986" t="str">
        <f>IF(Pipeline_tbl[[#This Row],[Closed_Date]]=0,"",(_xlfn.XLOOKUP(Pipeline_tbl[[#This Row],[Closed_Date]],Dim_Date!A:A,Dim_Date!H:H)))</f>
        <v>Jan 2025</v>
      </c>
      <c r="U1986">
        <f>IF(Pipeline_tbl[[#This Row],[Closed_Date]]=0,"",Pipeline_tbl[[#This Row],[Closed_Date]]-Pipeline_tbl[[#This Row],[Created_Date]])</f>
        <v>50</v>
      </c>
    </row>
    <row r="1987" spans="1:21" ht="15" customHeight="1" x14ac:dyDescent="0.2">
      <c r="A1987" t="s">
        <v>2293</v>
      </c>
      <c r="B1987" t="s">
        <v>185</v>
      </c>
      <c r="C1987" t="s">
        <v>52</v>
      </c>
      <c r="D1987" s="49">
        <v>45610</v>
      </c>
      <c r="E1987" s="49">
        <v>45617</v>
      </c>
      <c r="F1987" s="49">
        <v>45631</v>
      </c>
      <c r="I1987" s="49">
        <v>45679</v>
      </c>
      <c r="J1987" t="s">
        <v>49</v>
      </c>
      <c r="K1987" s="33">
        <v>72300</v>
      </c>
      <c r="L1987" t="s">
        <v>60</v>
      </c>
      <c r="M1987" t="str">
        <f>_xlfn.XLOOKUP(Pipeline_tbl[[#This Row],[Rep_ID]],Dim_Reps!A:A,Dim_Reps!K:K)</f>
        <v>MXN</v>
      </c>
      <c r="N1987" s="33">
        <f>(_xlfn.XLOOKUP(Pipeline_tbl[[#This Row],[Rate_Code_Generalized]],Lookups!A:A,Lookups!B:B))*Pipeline_tbl[[#This Row],[Pipeline_Amount_USD]]</f>
        <v>1426674.2100000002</v>
      </c>
      <c r="O1987" t="str">
        <f>_xlfn.XLOOKUP(Pipeline_tbl[[#This Row],[Rep_ID]],Dim_Reps!A:A,Dim_Reps!B:B)</f>
        <v>Noah Kim</v>
      </c>
      <c r="P1987" t="str">
        <f>_xlfn.XLOOKUP(Pipeline_tbl[[#This Row],[Rep_ID]],Dim_Reps!A:A,Dim_Reps!C:C)</f>
        <v>Enterprise AE</v>
      </c>
      <c r="Q1987" t="str">
        <f>_xlfn.XLOOKUP(Pipeline_tbl[[#This Row],[Rep_ID]],Dim_Reps!A:A,Dim_Reps!D:D)</f>
        <v>Enterprise</v>
      </c>
      <c r="R1987" t="str">
        <f>_xlfn.XLOOKUP(Pipeline_tbl[[#This Row],[Rep_ID]],Dim_Reps!A:A,Dim_Reps!E:E)</f>
        <v>LATAM</v>
      </c>
      <c r="S1987" t="str">
        <f>_xlfn.XLOOKUP(Pipeline_tbl[[#This Row],[Created_Date]],Dim_Date!A:A,Dim_Date!H:H)</f>
        <v>Nov 2024</v>
      </c>
      <c r="T1987" t="str">
        <f>IF(Pipeline_tbl[[#This Row],[Closed_Date]]=0,"",(_xlfn.XLOOKUP(Pipeline_tbl[[#This Row],[Closed_Date]],Dim_Date!A:A,Dim_Date!H:H)))</f>
        <v>Jan 2025</v>
      </c>
      <c r="U1987">
        <f>IF(Pipeline_tbl[[#This Row],[Closed_Date]]=0,"",Pipeline_tbl[[#This Row],[Closed_Date]]-Pipeline_tbl[[#This Row],[Created_Date]])</f>
        <v>69</v>
      </c>
    </row>
    <row r="1988" spans="1:21" ht="15" customHeight="1" x14ac:dyDescent="0.2">
      <c r="A1988" t="s">
        <v>2294</v>
      </c>
      <c r="B1988" t="s">
        <v>185</v>
      </c>
      <c r="C1988" t="s">
        <v>53</v>
      </c>
      <c r="D1988" s="49">
        <v>45617</v>
      </c>
      <c r="E1988" s="49">
        <v>45622</v>
      </c>
      <c r="F1988" s="49">
        <v>45633</v>
      </c>
      <c r="G1988" s="49">
        <v>45649</v>
      </c>
      <c r="I1988" s="49">
        <v>45671</v>
      </c>
      <c r="J1988" t="s">
        <v>49</v>
      </c>
      <c r="K1988" s="33">
        <v>47200</v>
      </c>
      <c r="L1988" t="s">
        <v>63</v>
      </c>
      <c r="M1988" t="str">
        <f>_xlfn.XLOOKUP(Pipeline_tbl[[#This Row],[Rep_ID]],Dim_Reps!A:A,Dim_Reps!K:K)</f>
        <v>MXN</v>
      </c>
      <c r="N1988" s="33">
        <f>(_xlfn.XLOOKUP(Pipeline_tbl[[#This Row],[Rate_Code_Generalized]],Lookups!A:A,Lookups!B:B))*Pipeline_tbl[[#This Row],[Pipeline_Amount_USD]]</f>
        <v>931383.44000000006</v>
      </c>
      <c r="O1988" t="str">
        <f>_xlfn.XLOOKUP(Pipeline_tbl[[#This Row],[Rep_ID]],Dim_Reps!A:A,Dim_Reps!B:B)</f>
        <v>Noah Kim</v>
      </c>
      <c r="P1988" t="str">
        <f>_xlfn.XLOOKUP(Pipeline_tbl[[#This Row],[Rep_ID]],Dim_Reps!A:A,Dim_Reps!C:C)</f>
        <v>Enterprise AE</v>
      </c>
      <c r="Q1988" t="str">
        <f>_xlfn.XLOOKUP(Pipeline_tbl[[#This Row],[Rep_ID]],Dim_Reps!A:A,Dim_Reps!D:D)</f>
        <v>Enterprise</v>
      </c>
      <c r="R1988" t="str">
        <f>_xlfn.XLOOKUP(Pipeline_tbl[[#This Row],[Rep_ID]],Dim_Reps!A:A,Dim_Reps!E:E)</f>
        <v>LATAM</v>
      </c>
      <c r="S1988" t="str">
        <f>_xlfn.XLOOKUP(Pipeline_tbl[[#This Row],[Created_Date]],Dim_Date!A:A,Dim_Date!H:H)</f>
        <v>Nov 2024</v>
      </c>
      <c r="T1988" t="str">
        <f>IF(Pipeline_tbl[[#This Row],[Closed_Date]]=0,"",(_xlfn.XLOOKUP(Pipeline_tbl[[#This Row],[Closed_Date]],Dim_Date!A:A,Dim_Date!H:H)))</f>
        <v>Jan 2025</v>
      </c>
      <c r="U1988">
        <f>IF(Pipeline_tbl[[#This Row],[Closed_Date]]=0,"",Pipeline_tbl[[#This Row],[Closed_Date]]-Pipeline_tbl[[#This Row],[Created_Date]])</f>
        <v>54</v>
      </c>
    </row>
    <row r="1989" spans="1:21" ht="15" customHeight="1" x14ac:dyDescent="0.2">
      <c r="A1989" t="s">
        <v>2295</v>
      </c>
      <c r="B1989" t="s">
        <v>185</v>
      </c>
      <c r="C1989" t="s">
        <v>53</v>
      </c>
      <c r="D1989" s="49">
        <v>45623</v>
      </c>
      <c r="E1989" s="49">
        <v>45627</v>
      </c>
      <c r="F1989" s="49">
        <v>45637</v>
      </c>
      <c r="G1989" s="49">
        <v>45650</v>
      </c>
      <c r="H1989" s="49">
        <v>45661</v>
      </c>
      <c r="I1989" s="49">
        <v>45668</v>
      </c>
      <c r="J1989" t="s">
        <v>49</v>
      </c>
      <c r="K1989" s="33">
        <v>19100</v>
      </c>
      <c r="L1989" t="s">
        <v>60</v>
      </c>
      <c r="M1989" t="str">
        <f>_xlfn.XLOOKUP(Pipeline_tbl[[#This Row],[Rep_ID]],Dim_Reps!A:A,Dim_Reps!K:K)</f>
        <v>MXN</v>
      </c>
      <c r="N1989" s="33">
        <f>(_xlfn.XLOOKUP(Pipeline_tbl[[#This Row],[Rate_Code_Generalized]],Lookups!A:A,Lookups!B:B))*Pipeline_tbl[[#This Row],[Pipeline_Amount_USD]]</f>
        <v>376894.57</v>
      </c>
      <c r="O1989" t="str">
        <f>_xlfn.XLOOKUP(Pipeline_tbl[[#This Row],[Rep_ID]],Dim_Reps!A:A,Dim_Reps!B:B)</f>
        <v>Noah Kim</v>
      </c>
      <c r="P1989" t="str">
        <f>_xlfn.XLOOKUP(Pipeline_tbl[[#This Row],[Rep_ID]],Dim_Reps!A:A,Dim_Reps!C:C)</f>
        <v>Enterprise AE</v>
      </c>
      <c r="Q1989" t="str">
        <f>_xlfn.XLOOKUP(Pipeline_tbl[[#This Row],[Rep_ID]],Dim_Reps!A:A,Dim_Reps!D:D)</f>
        <v>Enterprise</v>
      </c>
      <c r="R1989" t="str">
        <f>_xlfn.XLOOKUP(Pipeline_tbl[[#This Row],[Rep_ID]],Dim_Reps!A:A,Dim_Reps!E:E)</f>
        <v>LATAM</v>
      </c>
      <c r="S1989" t="str">
        <f>_xlfn.XLOOKUP(Pipeline_tbl[[#This Row],[Created_Date]],Dim_Date!A:A,Dim_Date!H:H)</f>
        <v>Nov 2024</v>
      </c>
      <c r="T1989" t="str">
        <f>IF(Pipeline_tbl[[#This Row],[Closed_Date]]=0,"",(_xlfn.XLOOKUP(Pipeline_tbl[[#This Row],[Closed_Date]],Dim_Date!A:A,Dim_Date!H:H)))</f>
        <v>Jan 2025</v>
      </c>
      <c r="U1989">
        <f>IF(Pipeline_tbl[[#This Row],[Closed_Date]]=0,"",Pipeline_tbl[[#This Row],[Closed_Date]]-Pipeline_tbl[[#This Row],[Created_Date]])</f>
        <v>45</v>
      </c>
    </row>
    <row r="1990" spans="1:21" ht="15" customHeight="1" x14ac:dyDescent="0.2">
      <c r="A1990" t="s">
        <v>2296</v>
      </c>
      <c r="B1990" t="s">
        <v>185</v>
      </c>
      <c r="C1990" t="s">
        <v>56</v>
      </c>
      <c r="D1990" s="49">
        <v>45612</v>
      </c>
      <c r="E1990" s="49">
        <v>45618</v>
      </c>
      <c r="F1990" s="49">
        <v>45630</v>
      </c>
      <c r="G1990" s="49">
        <v>45647</v>
      </c>
      <c r="H1990" s="49">
        <v>45662</v>
      </c>
      <c r="I1990" s="49">
        <v>45671</v>
      </c>
      <c r="J1990" t="s">
        <v>47</v>
      </c>
      <c r="K1990" s="33">
        <v>43100</v>
      </c>
      <c r="M1990" t="str">
        <f>_xlfn.XLOOKUP(Pipeline_tbl[[#This Row],[Rep_ID]],Dim_Reps!A:A,Dim_Reps!K:K)</f>
        <v>MXN</v>
      </c>
      <c r="N1990" s="33">
        <f>(_xlfn.XLOOKUP(Pipeline_tbl[[#This Row],[Rate_Code_Generalized]],Lookups!A:A,Lookups!B:B))*Pipeline_tbl[[#This Row],[Pipeline_Amount_USD]]</f>
        <v>850479.37</v>
      </c>
      <c r="O1990" t="str">
        <f>_xlfn.XLOOKUP(Pipeline_tbl[[#This Row],[Rep_ID]],Dim_Reps!A:A,Dim_Reps!B:B)</f>
        <v>Noah Kim</v>
      </c>
      <c r="P1990" t="str">
        <f>_xlfn.XLOOKUP(Pipeline_tbl[[#This Row],[Rep_ID]],Dim_Reps!A:A,Dim_Reps!C:C)</f>
        <v>Enterprise AE</v>
      </c>
      <c r="Q1990" t="str">
        <f>_xlfn.XLOOKUP(Pipeline_tbl[[#This Row],[Rep_ID]],Dim_Reps!A:A,Dim_Reps!D:D)</f>
        <v>Enterprise</v>
      </c>
      <c r="R1990" t="str">
        <f>_xlfn.XLOOKUP(Pipeline_tbl[[#This Row],[Rep_ID]],Dim_Reps!A:A,Dim_Reps!E:E)</f>
        <v>LATAM</v>
      </c>
      <c r="S1990" t="str">
        <f>_xlfn.XLOOKUP(Pipeline_tbl[[#This Row],[Created_Date]],Dim_Date!A:A,Dim_Date!H:H)</f>
        <v>Nov 2024</v>
      </c>
      <c r="T1990" t="str">
        <f>IF(Pipeline_tbl[[#This Row],[Closed_Date]]=0,"",(_xlfn.XLOOKUP(Pipeline_tbl[[#This Row],[Closed_Date]],Dim_Date!A:A,Dim_Date!H:H)))</f>
        <v>Jan 2025</v>
      </c>
      <c r="U1990">
        <f>IF(Pipeline_tbl[[#This Row],[Closed_Date]]=0,"",Pipeline_tbl[[#This Row],[Closed_Date]]-Pipeline_tbl[[#This Row],[Created_Date]])</f>
        <v>59</v>
      </c>
    </row>
    <row r="1991" spans="1:21" ht="15" customHeight="1" x14ac:dyDescent="0.2">
      <c r="A1991" t="s">
        <v>2297</v>
      </c>
      <c r="B1991" t="s">
        <v>185</v>
      </c>
      <c r="C1991" t="s">
        <v>53</v>
      </c>
      <c r="D1991" s="49">
        <v>45616</v>
      </c>
      <c r="E1991" s="49">
        <v>45622</v>
      </c>
      <c r="F1991" s="49">
        <v>45635</v>
      </c>
      <c r="G1991" s="49">
        <v>45653</v>
      </c>
      <c r="H1991" s="49">
        <v>45669</v>
      </c>
      <c r="I1991" s="49">
        <v>45678</v>
      </c>
      <c r="J1991" t="s">
        <v>47</v>
      </c>
      <c r="K1991" s="33">
        <v>52000</v>
      </c>
      <c r="M1991" t="str">
        <f>_xlfn.XLOOKUP(Pipeline_tbl[[#This Row],[Rep_ID]],Dim_Reps!A:A,Dim_Reps!K:K)</f>
        <v>MXN</v>
      </c>
      <c r="N1991" s="33">
        <f>(_xlfn.XLOOKUP(Pipeline_tbl[[#This Row],[Rate_Code_Generalized]],Lookups!A:A,Lookups!B:B))*Pipeline_tbl[[#This Row],[Pipeline_Amount_USD]]</f>
        <v>1026100.4</v>
      </c>
      <c r="O1991" t="str">
        <f>_xlfn.XLOOKUP(Pipeline_tbl[[#This Row],[Rep_ID]],Dim_Reps!A:A,Dim_Reps!B:B)</f>
        <v>Noah Kim</v>
      </c>
      <c r="P1991" t="str">
        <f>_xlfn.XLOOKUP(Pipeline_tbl[[#This Row],[Rep_ID]],Dim_Reps!A:A,Dim_Reps!C:C)</f>
        <v>Enterprise AE</v>
      </c>
      <c r="Q1991" t="str">
        <f>_xlfn.XLOOKUP(Pipeline_tbl[[#This Row],[Rep_ID]],Dim_Reps!A:A,Dim_Reps!D:D)</f>
        <v>Enterprise</v>
      </c>
      <c r="R1991" t="str">
        <f>_xlfn.XLOOKUP(Pipeline_tbl[[#This Row],[Rep_ID]],Dim_Reps!A:A,Dim_Reps!E:E)</f>
        <v>LATAM</v>
      </c>
      <c r="S1991" t="str">
        <f>_xlfn.XLOOKUP(Pipeline_tbl[[#This Row],[Created_Date]],Dim_Date!A:A,Dim_Date!H:H)</f>
        <v>Nov 2024</v>
      </c>
      <c r="T1991" t="str">
        <f>IF(Pipeline_tbl[[#This Row],[Closed_Date]]=0,"",(_xlfn.XLOOKUP(Pipeline_tbl[[#This Row],[Closed_Date]],Dim_Date!A:A,Dim_Date!H:H)))</f>
        <v>Jan 2025</v>
      </c>
      <c r="U1991">
        <f>IF(Pipeline_tbl[[#This Row],[Closed_Date]]=0,"",Pipeline_tbl[[#This Row],[Closed_Date]]-Pipeline_tbl[[#This Row],[Created_Date]])</f>
        <v>62</v>
      </c>
    </row>
    <row r="1992" spans="1:21" ht="15" customHeight="1" x14ac:dyDescent="0.2">
      <c r="A1992" t="s">
        <v>2298</v>
      </c>
      <c r="B1992" t="s">
        <v>188</v>
      </c>
      <c r="C1992" t="s">
        <v>55</v>
      </c>
      <c r="D1992" s="49">
        <v>45605</v>
      </c>
      <c r="E1992" s="49">
        <v>45613</v>
      </c>
      <c r="F1992" s="49">
        <v>45628</v>
      </c>
      <c r="G1992" s="49">
        <v>45651</v>
      </c>
      <c r="H1992" s="49">
        <v>45670</v>
      </c>
      <c r="I1992" s="49">
        <v>45681</v>
      </c>
      <c r="J1992" t="s">
        <v>49</v>
      </c>
      <c r="K1992" s="33">
        <v>22300</v>
      </c>
      <c r="L1992" t="s">
        <v>61</v>
      </c>
      <c r="M1992" t="str">
        <f>_xlfn.XLOOKUP(Pipeline_tbl[[#This Row],[Rep_ID]],Dim_Reps!A:A,Dim_Reps!K:K)</f>
        <v>EUR</v>
      </c>
      <c r="N1992" s="33">
        <f>(_xlfn.XLOOKUP(Pipeline_tbl[[#This Row],[Rate_Code_Generalized]],Lookups!A:A,Lookups!B:B))*Pipeline_tbl[[#This Row],[Pipeline_Amount_USD]]</f>
        <v>22300</v>
      </c>
      <c r="O1992" t="str">
        <f>_xlfn.XLOOKUP(Pipeline_tbl[[#This Row],[Rep_ID]],Dim_Reps!A:A,Dim_Reps!B:B)</f>
        <v>Jamie Santos</v>
      </c>
      <c r="P1992" t="str">
        <f>_xlfn.XLOOKUP(Pipeline_tbl[[#This Row],[Rep_ID]],Dim_Reps!A:A,Dim_Reps!C:C)</f>
        <v>Enterprise AE</v>
      </c>
      <c r="Q1992" t="str">
        <f>_xlfn.XLOOKUP(Pipeline_tbl[[#This Row],[Rep_ID]],Dim_Reps!A:A,Dim_Reps!D:D)</f>
        <v>Enterprise</v>
      </c>
      <c r="R1992" t="str">
        <f>_xlfn.XLOOKUP(Pipeline_tbl[[#This Row],[Rep_ID]],Dim_Reps!A:A,Dim_Reps!E:E)</f>
        <v>APAC</v>
      </c>
      <c r="S1992" t="str">
        <f>_xlfn.XLOOKUP(Pipeline_tbl[[#This Row],[Created_Date]],Dim_Date!A:A,Dim_Date!H:H)</f>
        <v>Nov 2024</v>
      </c>
      <c r="T1992" t="str">
        <f>IF(Pipeline_tbl[[#This Row],[Closed_Date]]=0,"",(_xlfn.XLOOKUP(Pipeline_tbl[[#This Row],[Closed_Date]],Dim_Date!A:A,Dim_Date!H:H)))</f>
        <v>Jan 2025</v>
      </c>
      <c r="U1992">
        <f>IF(Pipeline_tbl[[#This Row],[Closed_Date]]=0,"",Pipeline_tbl[[#This Row],[Closed_Date]]-Pipeline_tbl[[#This Row],[Created_Date]])</f>
        <v>76</v>
      </c>
    </row>
    <row r="1993" spans="1:21" ht="15" customHeight="1" x14ac:dyDescent="0.2">
      <c r="A1993" t="s">
        <v>2299</v>
      </c>
      <c r="B1993" t="s">
        <v>259</v>
      </c>
      <c r="C1993" t="s">
        <v>52</v>
      </c>
      <c r="D1993" s="49">
        <v>45624</v>
      </c>
      <c r="E1993" s="49">
        <v>45629</v>
      </c>
      <c r="F1993" s="49">
        <v>45639</v>
      </c>
      <c r="I1993" s="49">
        <v>45675</v>
      </c>
      <c r="J1993" t="s">
        <v>49</v>
      </c>
      <c r="K1993" s="33">
        <v>26100</v>
      </c>
      <c r="L1993" t="s">
        <v>60</v>
      </c>
      <c r="M1993" t="str">
        <f>_xlfn.XLOOKUP(Pipeline_tbl[[#This Row],[Rep_ID]],Dim_Reps!A:A,Dim_Reps!K:K)</f>
        <v>EUR</v>
      </c>
      <c r="N1993" s="33">
        <f>(_xlfn.XLOOKUP(Pipeline_tbl[[#This Row],[Rate_Code_Generalized]],Lookups!A:A,Lookups!B:B))*Pipeline_tbl[[#This Row],[Pipeline_Amount_USD]]</f>
        <v>26100</v>
      </c>
      <c r="O1993" t="str">
        <f>_xlfn.XLOOKUP(Pipeline_tbl[[#This Row],[Rep_ID]],Dim_Reps!A:A,Dim_Reps!B:B)</f>
        <v>Felix Okafor</v>
      </c>
      <c r="P1993" t="str">
        <f>_xlfn.XLOOKUP(Pipeline_tbl[[#This Row],[Rep_ID]],Dim_Reps!A:A,Dim_Reps!C:C)</f>
        <v>Mid-Market AE</v>
      </c>
      <c r="Q1993" t="str">
        <f>_xlfn.XLOOKUP(Pipeline_tbl[[#This Row],[Rep_ID]],Dim_Reps!A:A,Dim_Reps!D:D)</f>
        <v>Mid-Market</v>
      </c>
      <c r="R1993" t="str">
        <f>_xlfn.XLOOKUP(Pipeline_tbl[[#This Row],[Rep_ID]],Dim_Reps!A:A,Dim_Reps!E:E)</f>
        <v>EMEA</v>
      </c>
      <c r="S1993" t="str">
        <f>_xlfn.XLOOKUP(Pipeline_tbl[[#This Row],[Created_Date]],Dim_Date!A:A,Dim_Date!H:H)</f>
        <v>Nov 2024</v>
      </c>
      <c r="T1993" t="str">
        <f>IF(Pipeline_tbl[[#This Row],[Closed_Date]]=0,"",(_xlfn.XLOOKUP(Pipeline_tbl[[#This Row],[Closed_Date]],Dim_Date!A:A,Dim_Date!H:H)))</f>
        <v>Jan 2025</v>
      </c>
      <c r="U1993">
        <f>IF(Pipeline_tbl[[#This Row],[Closed_Date]]=0,"",Pipeline_tbl[[#This Row],[Closed_Date]]-Pipeline_tbl[[#This Row],[Created_Date]])</f>
        <v>51</v>
      </c>
    </row>
    <row r="1994" spans="1:21" ht="15" customHeight="1" x14ac:dyDescent="0.2">
      <c r="A1994" t="s">
        <v>2300</v>
      </c>
      <c r="B1994" t="s">
        <v>259</v>
      </c>
      <c r="C1994" t="s">
        <v>53</v>
      </c>
      <c r="D1994" s="49">
        <v>45614</v>
      </c>
      <c r="E1994" s="49">
        <v>45618</v>
      </c>
      <c r="I1994" s="49">
        <v>45658</v>
      </c>
      <c r="J1994" t="s">
        <v>49</v>
      </c>
      <c r="K1994" s="33">
        <v>11700</v>
      </c>
      <c r="L1994" t="s">
        <v>64</v>
      </c>
      <c r="M1994" t="str">
        <f>_xlfn.XLOOKUP(Pipeline_tbl[[#This Row],[Rep_ID]],Dim_Reps!A:A,Dim_Reps!K:K)</f>
        <v>EUR</v>
      </c>
      <c r="N1994" s="33">
        <f>(_xlfn.XLOOKUP(Pipeline_tbl[[#This Row],[Rate_Code_Generalized]],Lookups!A:A,Lookups!B:B))*Pipeline_tbl[[#This Row],[Pipeline_Amount_USD]]</f>
        <v>11700</v>
      </c>
      <c r="O1994" t="str">
        <f>_xlfn.XLOOKUP(Pipeline_tbl[[#This Row],[Rep_ID]],Dim_Reps!A:A,Dim_Reps!B:B)</f>
        <v>Felix Okafor</v>
      </c>
      <c r="P1994" t="str">
        <f>_xlfn.XLOOKUP(Pipeline_tbl[[#This Row],[Rep_ID]],Dim_Reps!A:A,Dim_Reps!C:C)</f>
        <v>Mid-Market AE</v>
      </c>
      <c r="Q1994" t="str">
        <f>_xlfn.XLOOKUP(Pipeline_tbl[[#This Row],[Rep_ID]],Dim_Reps!A:A,Dim_Reps!D:D)</f>
        <v>Mid-Market</v>
      </c>
      <c r="R1994" t="str">
        <f>_xlfn.XLOOKUP(Pipeline_tbl[[#This Row],[Rep_ID]],Dim_Reps!A:A,Dim_Reps!E:E)</f>
        <v>EMEA</v>
      </c>
      <c r="S1994" t="str">
        <f>_xlfn.XLOOKUP(Pipeline_tbl[[#This Row],[Created_Date]],Dim_Date!A:A,Dim_Date!H:H)</f>
        <v>Nov 2024</v>
      </c>
      <c r="T1994" t="str">
        <f>IF(Pipeline_tbl[[#This Row],[Closed_Date]]=0,"",(_xlfn.XLOOKUP(Pipeline_tbl[[#This Row],[Closed_Date]],Dim_Date!A:A,Dim_Date!H:H)))</f>
        <v>Jan 2025</v>
      </c>
      <c r="U1994">
        <f>IF(Pipeline_tbl[[#This Row],[Closed_Date]]=0,"",Pipeline_tbl[[#This Row],[Closed_Date]]-Pipeline_tbl[[#This Row],[Created_Date]])</f>
        <v>44</v>
      </c>
    </row>
    <row r="1995" spans="1:21" ht="15" customHeight="1" x14ac:dyDescent="0.2">
      <c r="A1995" t="s">
        <v>2301</v>
      </c>
      <c r="B1995" t="s">
        <v>280</v>
      </c>
      <c r="C1995" t="s">
        <v>54</v>
      </c>
      <c r="D1995" s="49">
        <v>45605</v>
      </c>
      <c r="E1995" s="49">
        <v>45611</v>
      </c>
      <c r="F1995" s="49">
        <v>45622</v>
      </c>
      <c r="G1995" s="49">
        <v>45638</v>
      </c>
      <c r="H1995" s="49">
        <v>45652</v>
      </c>
      <c r="I1995" s="49">
        <v>45660</v>
      </c>
      <c r="J1995" t="s">
        <v>47</v>
      </c>
      <c r="K1995" s="33">
        <v>69700</v>
      </c>
      <c r="M1995" t="str">
        <f>_xlfn.XLOOKUP(Pipeline_tbl[[#This Row],[Rep_ID]],Dim_Reps!A:A,Dim_Reps!K:K)</f>
        <v>MXN</v>
      </c>
      <c r="N1995" s="33">
        <f>(_xlfn.XLOOKUP(Pipeline_tbl[[#This Row],[Rate_Code_Generalized]],Lookups!A:A,Lookups!B:B))*Pipeline_tbl[[#This Row],[Pipeline_Amount_USD]]</f>
        <v>1375369.1900000002</v>
      </c>
      <c r="O1995" t="str">
        <f>_xlfn.XLOOKUP(Pipeline_tbl[[#This Row],[Rep_ID]],Dim_Reps!A:A,Dim_Reps!B:B)</f>
        <v>Cameron Lund</v>
      </c>
      <c r="P1995" t="str">
        <f>_xlfn.XLOOKUP(Pipeline_tbl[[#This Row],[Rep_ID]],Dim_Reps!A:A,Dim_Reps!C:C)</f>
        <v>Senior Enterprise AE</v>
      </c>
      <c r="Q1995" t="str">
        <f>_xlfn.XLOOKUP(Pipeline_tbl[[#This Row],[Rep_ID]],Dim_Reps!A:A,Dim_Reps!D:D)</f>
        <v>Strategic</v>
      </c>
      <c r="R1995" t="str">
        <f>_xlfn.XLOOKUP(Pipeline_tbl[[#This Row],[Rep_ID]],Dim_Reps!A:A,Dim_Reps!E:E)</f>
        <v>LATAM</v>
      </c>
      <c r="S1995" t="str">
        <f>_xlfn.XLOOKUP(Pipeline_tbl[[#This Row],[Created_Date]],Dim_Date!A:A,Dim_Date!H:H)</f>
        <v>Nov 2024</v>
      </c>
      <c r="T1995" t="str">
        <f>IF(Pipeline_tbl[[#This Row],[Closed_Date]]=0,"",(_xlfn.XLOOKUP(Pipeline_tbl[[#This Row],[Closed_Date]],Dim_Date!A:A,Dim_Date!H:H)))</f>
        <v>Jan 2025</v>
      </c>
      <c r="U1995">
        <f>IF(Pipeline_tbl[[#This Row],[Closed_Date]]=0,"",Pipeline_tbl[[#This Row],[Closed_Date]]-Pipeline_tbl[[#This Row],[Created_Date]])</f>
        <v>55</v>
      </c>
    </row>
    <row r="1996" spans="1:21" ht="15" customHeight="1" x14ac:dyDescent="0.2">
      <c r="A1996" t="s">
        <v>2302</v>
      </c>
      <c r="B1996" t="s">
        <v>280</v>
      </c>
      <c r="C1996" t="s">
        <v>55</v>
      </c>
      <c r="D1996" s="49">
        <v>45623</v>
      </c>
      <c r="E1996" s="49">
        <v>45627</v>
      </c>
      <c r="F1996" s="49">
        <v>45636</v>
      </c>
      <c r="G1996" s="49">
        <v>45648</v>
      </c>
      <c r="H1996" s="49">
        <v>45659</v>
      </c>
      <c r="I1996" s="49">
        <v>45665</v>
      </c>
      <c r="J1996" t="s">
        <v>47</v>
      </c>
      <c r="K1996" s="33">
        <v>82900</v>
      </c>
      <c r="M1996" t="str">
        <f>_xlfn.XLOOKUP(Pipeline_tbl[[#This Row],[Rep_ID]],Dim_Reps!A:A,Dim_Reps!K:K)</f>
        <v>MXN</v>
      </c>
      <c r="N1996" s="33">
        <f>(_xlfn.XLOOKUP(Pipeline_tbl[[#This Row],[Rate_Code_Generalized]],Lookups!A:A,Lookups!B:B))*Pipeline_tbl[[#This Row],[Pipeline_Amount_USD]]</f>
        <v>1635840.83</v>
      </c>
      <c r="O1996" t="str">
        <f>_xlfn.XLOOKUP(Pipeline_tbl[[#This Row],[Rep_ID]],Dim_Reps!A:A,Dim_Reps!B:B)</f>
        <v>Cameron Lund</v>
      </c>
      <c r="P1996" t="str">
        <f>_xlfn.XLOOKUP(Pipeline_tbl[[#This Row],[Rep_ID]],Dim_Reps!A:A,Dim_Reps!C:C)</f>
        <v>Senior Enterprise AE</v>
      </c>
      <c r="Q1996" t="str">
        <f>_xlfn.XLOOKUP(Pipeline_tbl[[#This Row],[Rep_ID]],Dim_Reps!A:A,Dim_Reps!D:D)</f>
        <v>Strategic</v>
      </c>
      <c r="R1996" t="str">
        <f>_xlfn.XLOOKUP(Pipeline_tbl[[#This Row],[Rep_ID]],Dim_Reps!A:A,Dim_Reps!E:E)</f>
        <v>LATAM</v>
      </c>
      <c r="S1996" t="str">
        <f>_xlfn.XLOOKUP(Pipeline_tbl[[#This Row],[Created_Date]],Dim_Date!A:A,Dim_Date!H:H)</f>
        <v>Nov 2024</v>
      </c>
      <c r="T1996" t="str">
        <f>IF(Pipeline_tbl[[#This Row],[Closed_Date]]=0,"",(_xlfn.XLOOKUP(Pipeline_tbl[[#This Row],[Closed_Date]],Dim_Date!A:A,Dim_Date!H:H)))</f>
        <v>Jan 2025</v>
      </c>
      <c r="U1996">
        <f>IF(Pipeline_tbl[[#This Row],[Closed_Date]]=0,"",Pipeline_tbl[[#This Row],[Closed_Date]]-Pipeline_tbl[[#This Row],[Created_Date]])</f>
        <v>42</v>
      </c>
    </row>
    <row r="1997" spans="1:21" ht="15" customHeight="1" x14ac:dyDescent="0.2">
      <c r="A1997" t="s">
        <v>2303</v>
      </c>
      <c r="B1997" t="s">
        <v>191</v>
      </c>
      <c r="C1997" t="s">
        <v>56</v>
      </c>
      <c r="D1997" s="49">
        <v>45615</v>
      </c>
      <c r="E1997" s="49">
        <v>45619</v>
      </c>
      <c r="F1997" s="49">
        <v>45629</v>
      </c>
      <c r="G1997" s="49">
        <v>45642</v>
      </c>
      <c r="H1997" s="49">
        <v>45653</v>
      </c>
      <c r="I1997" s="49">
        <v>45660</v>
      </c>
      <c r="J1997" t="s">
        <v>49</v>
      </c>
      <c r="K1997" s="33">
        <v>30800</v>
      </c>
      <c r="L1997" t="s">
        <v>64</v>
      </c>
      <c r="M1997" t="str">
        <f>_xlfn.XLOOKUP(Pipeline_tbl[[#This Row],[Rep_ID]],Dim_Reps!A:A,Dim_Reps!K:K)</f>
        <v>USD</v>
      </c>
      <c r="N1997" s="33">
        <f>(_xlfn.XLOOKUP(Pipeline_tbl[[#This Row],[Rate_Code_Generalized]],Lookups!A:A,Lookups!B:B))*Pipeline_tbl[[#This Row],[Pipeline_Amount_USD]]</f>
        <v>35860.439999999995</v>
      </c>
      <c r="O1997" t="str">
        <f>_xlfn.XLOOKUP(Pipeline_tbl[[#This Row],[Rep_ID]],Dim_Reps!A:A,Dim_Reps!B:B)</f>
        <v>Zara Duarte</v>
      </c>
      <c r="P1997" t="str">
        <f>_xlfn.XLOOKUP(Pipeline_tbl[[#This Row],[Rep_ID]],Dim_Reps!A:A,Dim_Reps!C:C)</f>
        <v>Enterprise AE</v>
      </c>
      <c r="Q1997" t="str">
        <f>_xlfn.XLOOKUP(Pipeline_tbl[[#This Row],[Rep_ID]],Dim_Reps!A:A,Dim_Reps!D:D)</f>
        <v>Enterprise</v>
      </c>
      <c r="R1997" t="str">
        <f>_xlfn.XLOOKUP(Pipeline_tbl[[#This Row],[Rep_ID]],Dim_Reps!A:A,Dim_Reps!E:E)</f>
        <v>NAMER</v>
      </c>
      <c r="S1997" t="str">
        <f>_xlfn.XLOOKUP(Pipeline_tbl[[#This Row],[Created_Date]],Dim_Date!A:A,Dim_Date!H:H)</f>
        <v>Nov 2024</v>
      </c>
      <c r="T1997" t="str">
        <f>IF(Pipeline_tbl[[#This Row],[Closed_Date]]=0,"",(_xlfn.XLOOKUP(Pipeline_tbl[[#This Row],[Closed_Date]],Dim_Date!A:A,Dim_Date!H:H)))</f>
        <v>Jan 2025</v>
      </c>
      <c r="U1997">
        <f>IF(Pipeline_tbl[[#This Row],[Closed_Date]]=0,"",Pipeline_tbl[[#This Row],[Closed_Date]]-Pipeline_tbl[[#This Row],[Created_Date]])</f>
        <v>45</v>
      </c>
    </row>
    <row r="1998" spans="1:21" ht="15" customHeight="1" x14ac:dyDescent="0.2">
      <c r="A1998" t="s">
        <v>2304</v>
      </c>
      <c r="B1998" t="s">
        <v>191</v>
      </c>
      <c r="C1998" t="s">
        <v>53</v>
      </c>
      <c r="D1998" s="49">
        <v>45624</v>
      </c>
      <c r="E1998" s="49">
        <v>45628</v>
      </c>
      <c r="F1998" s="49">
        <v>45635</v>
      </c>
      <c r="G1998" s="49">
        <v>45646</v>
      </c>
      <c r="H1998" s="49">
        <v>45655</v>
      </c>
      <c r="I1998" s="49">
        <v>45660</v>
      </c>
      <c r="J1998" t="s">
        <v>47</v>
      </c>
      <c r="K1998" s="33">
        <v>21900</v>
      </c>
      <c r="M1998" t="str">
        <f>_xlfn.XLOOKUP(Pipeline_tbl[[#This Row],[Rep_ID]],Dim_Reps!A:A,Dim_Reps!K:K)</f>
        <v>USD</v>
      </c>
      <c r="N1998" s="33">
        <f>(_xlfn.XLOOKUP(Pipeline_tbl[[#This Row],[Rate_Code_Generalized]],Lookups!A:A,Lookups!B:B))*Pipeline_tbl[[#This Row],[Pipeline_Amount_USD]]</f>
        <v>25498.17</v>
      </c>
      <c r="O1998" t="str">
        <f>_xlfn.XLOOKUP(Pipeline_tbl[[#This Row],[Rep_ID]],Dim_Reps!A:A,Dim_Reps!B:B)</f>
        <v>Zara Duarte</v>
      </c>
      <c r="P1998" t="str">
        <f>_xlfn.XLOOKUP(Pipeline_tbl[[#This Row],[Rep_ID]],Dim_Reps!A:A,Dim_Reps!C:C)</f>
        <v>Enterprise AE</v>
      </c>
      <c r="Q1998" t="str">
        <f>_xlfn.XLOOKUP(Pipeline_tbl[[#This Row],[Rep_ID]],Dim_Reps!A:A,Dim_Reps!D:D)</f>
        <v>Enterprise</v>
      </c>
      <c r="R1998" t="str">
        <f>_xlfn.XLOOKUP(Pipeline_tbl[[#This Row],[Rep_ID]],Dim_Reps!A:A,Dim_Reps!E:E)</f>
        <v>NAMER</v>
      </c>
      <c r="S1998" t="str">
        <f>_xlfn.XLOOKUP(Pipeline_tbl[[#This Row],[Created_Date]],Dim_Date!A:A,Dim_Date!H:H)</f>
        <v>Nov 2024</v>
      </c>
      <c r="T1998" t="str">
        <f>IF(Pipeline_tbl[[#This Row],[Closed_Date]]=0,"",(_xlfn.XLOOKUP(Pipeline_tbl[[#This Row],[Closed_Date]],Dim_Date!A:A,Dim_Date!H:H)))</f>
        <v>Jan 2025</v>
      </c>
      <c r="U1998">
        <f>IF(Pipeline_tbl[[#This Row],[Closed_Date]]=0,"",Pipeline_tbl[[#This Row],[Closed_Date]]-Pipeline_tbl[[#This Row],[Created_Date]])</f>
        <v>36</v>
      </c>
    </row>
    <row r="1999" spans="1:21" ht="15" customHeight="1" x14ac:dyDescent="0.2">
      <c r="A1999" t="s">
        <v>2305</v>
      </c>
      <c r="B1999" t="s">
        <v>263</v>
      </c>
      <c r="C1999" t="s">
        <v>52</v>
      </c>
      <c r="D1999" s="49">
        <v>45625</v>
      </c>
      <c r="E1999" s="49">
        <v>45630</v>
      </c>
      <c r="F1999" s="49">
        <v>45641</v>
      </c>
      <c r="I1999" s="49">
        <v>45679</v>
      </c>
      <c r="J1999" t="s">
        <v>49</v>
      </c>
      <c r="K1999" s="33">
        <v>15000</v>
      </c>
      <c r="L1999" t="s">
        <v>60</v>
      </c>
      <c r="M1999" t="str">
        <f>_xlfn.XLOOKUP(Pipeline_tbl[[#This Row],[Rep_ID]],Dim_Reps!A:A,Dim_Reps!K:K)</f>
        <v>USD</v>
      </c>
      <c r="N1999" s="33">
        <f>(_xlfn.XLOOKUP(Pipeline_tbl[[#This Row],[Rate_Code_Generalized]],Lookups!A:A,Lookups!B:B))*Pipeline_tbl[[#This Row],[Pipeline_Amount_USD]]</f>
        <v>17464.5</v>
      </c>
      <c r="O1999" t="str">
        <f>_xlfn.XLOOKUP(Pipeline_tbl[[#This Row],[Rep_ID]],Dim_Reps!A:A,Dim_Reps!B:B)</f>
        <v>Morgan Weber</v>
      </c>
      <c r="P1999" t="str">
        <f>_xlfn.XLOOKUP(Pipeline_tbl[[#This Row],[Rep_ID]],Dim_Reps!A:A,Dim_Reps!C:C)</f>
        <v>Mid-Market AE</v>
      </c>
      <c r="Q1999" t="str">
        <f>_xlfn.XLOOKUP(Pipeline_tbl[[#This Row],[Rep_ID]],Dim_Reps!A:A,Dim_Reps!D:D)</f>
        <v>Mid-Market</v>
      </c>
      <c r="R1999" t="str">
        <f>_xlfn.XLOOKUP(Pipeline_tbl[[#This Row],[Rep_ID]],Dim_Reps!A:A,Dim_Reps!E:E)</f>
        <v>NAMER</v>
      </c>
      <c r="S1999" t="str">
        <f>_xlfn.XLOOKUP(Pipeline_tbl[[#This Row],[Created_Date]],Dim_Date!A:A,Dim_Date!H:H)</f>
        <v>Nov 2024</v>
      </c>
      <c r="T1999" t="str">
        <f>IF(Pipeline_tbl[[#This Row],[Closed_Date]]=0,"",(_xlfn.XLOOKUP(Pipeline_tbl[[#This Row],[Closed_Date]],Dim_Date!A:A,Dim_Date!H:H)))</f>
        <v>Jan 2025</v>
      </c>
      <c r="U1999">
        <f>IF(Pipeline_tbl[[#This Row],[Closed_Date]]=0,"",Pipeline_tbl[[#This Row],[Closed_Date]]-Pipeline_tbl[[#This Row],[Created_Date]])</f>
        <v>54</v>
      </c>
    </row>
    <row r="2000" spans="1:21" ht="15" customHeight="1" x14ac:dyDescent="0.2">
      <c r="A2000" t="s">
        <v>2306</v>
      </c>
      <c r="B2000" t="s">
        <v>263</v>
      </c>
      <c r="C2000" t="s">
        <v>56</v>
      </c>
      <c r="D2000" s="49">
        <v>45616</v>
      </c>
      <c r="E2000" s="49">
        <v>45621</v>
      </c>
      <c r="F2000" s="49">
        <v>45630</v>
      </c>
      <c r="G2000" s="49">
        <v>45644</v>
      </c>
      <c r="H2000" s="49">
        <v>45656</v>
      </c>
      <c r="I2000" s="49">
        <v>45663</v>
      </c>
      <c r="J2000" t="s">
        <v>49</v>
      </c>
      <c r="K2000" s="33">
        <v>14000</v>
      </c>
      <c r="L2000" t="s">
        <v>60</v>
      </c>
      <c r="M2000" t="str">
        <f>_xlfn.XLOOKUP(Pipeline_tbl[[#This Row],[Rep_ID]],Dim_Reps!A:A,Dim_Reps!K:K)</f>
        <v>USD</v>
      </c>
      <c r="N2000" s="33">
        <f>(_xlfn.XLOOKUP(Pipeline_tbl[[#This Row],[Rate_Code_Generalized]],Lookups!A:A,Lookups!B:B))*Pipeline_tbl[[#This Row],[Pipeline_Amount_USD]]</f>
        <v>16300.199999999999</v>
      </c>
      <c r="O2000" t="str">
        <f>_xlfn.XLOOKUP(Pipeline_tbl[[#This Row],[Rep_ID]],Dim_Reps!A:A,Dim_Reps!B:B)</f>
        <v>Morgan Weber</v>
      </c>
      <c r="P2000" t="str">
        <f>_xlfn.XLOOKUP(Pipeline_tbl[[#This Row],[Rep_ID]],Dim_Reps!A:A,Dim_Reps!C:C)</f>
        <v>Mid-Market AE</v>
      </c>
      <c r="Q2000" t="str">
        <f>_xlfn.XLOOKUP(Pipeline_tbl[[#This Row],[Rep_ID]],Dim_Reps!A:A,Dim_Reps!D:D)</f>
        <v>Mid-Market</v>
      </c>
      <c r="R2000" t="str">
        <f>_xlfn.XLOOKUP(Pipeline_tbl[[#This Row],[Rep_ID]],Dim_Reps!A:A,Dim_Reps!E:E)</f>
        <v>NAMER</v>
      </c>
      <c r="S2000" t="str">
        <f>_xlfn.XLOOKUP(Pipeline_tbl[[#This Row],[Created_Date]],Dim_Date!A:A,Dim_Date!H:H)</f>
        <v>Nov 2024</v>
      </c>
      <c r="T2000" t="str">
        <f>IF(Pipeline_tbl[[#This Row],[Closed_Date]]=0,"",(_xlfn.XLOOKUP(Pipeline_tbl[[#This Row],[Closed_Date]],Dim_Date!A:A,Dim_Date!H:H)))</f>
        <v>Jan 2025</v>
      </c>
      <c r="U2000">
        <f>IF(Pipeline_tbl[[#This Row],[Closed_Date]]=0,"",Pipeline_tbl[[#This Row],[Closed_Date]]-Pipeline_tbl[[#This Row],[Created_Date]])</f>
        <v>47</v>
      </c>
    </row>
    <row r="2001" spans="1:21" ht="15" customHeight="1" x14ac:dyDescent="0.2">
      <c r="A2001" t="s">
        <v>2307</v>
      </c>
      <c r="B2001" t="s">
        <v>265</v>
      </c>
      <c r="C2001" t="s">
        <v>52</v>
      </c>
      <c r="D2001" s="49">
        <v>45613</v>
      </c>
      <c r="E2001" s="49">
        <v>45619</v>
      </c>
      <c r="F2001" s="49">
        <v>45632</v>
      </c>
      <c r="G2001" s="49">
        <v>45651</v>
      </c>
      <c r="H2001" s="49">
        <v>45667</v>
      </c>
      <c r="I2001" s="49">
        <v>45677</v>
      </c>
      <c r="J2001" t="s">
        <v>47</v>
      </c>
      <c r="K2001" s="33">
        <v>29100</v>
      </c>
      <c r="M2001" t="str">
        <f>_xlfn.XLOOKUP(Pipeline_tbl[[#This Row],[Rep_ID]],Dim_Reps!A:A,Dim_Reps!K:K)</f>
        <v>EUR</v>
      </c>
      <c r="N2001" s="33">
        <f>(_xlfn.XLOOKUP(Pipeline_tbl[[#This Row],[Rate_Code_Generalized]],Lookups!A:A,Lookups!B:B))*Pipeline_tbl[[#This Row],[Pipeline_Amount_USD]]</f>
        <v>29100</v>
      </c>
      <c r="O2001" t="str">
        <f>_xlfn.XLOOKUP(Pipeline_tbl[[#This Row],[Rep_ID]],Dim_Reps!A:A,Dim_Reps!B:B)</f>
        <v>Erik Duarte</v>
      </c>
      <c r="P2001" t="str">
        <f>_xlfn.XLOOKUP(Pipeline_tbl[[#This Row],[Rep_ID]],Dim_Reps!A:A,Dim_Reps!C:C)</f>
        <v>Mid-Market AE</v>
      </c>
      <c r="Q2001" t="str">
        <f>_xlfn.XLOOKUP(Pipeline_tbl[[#This Row],[Rep_ID]],Dim_Reps!A:A,Dim_Reps!D:D)</f>
        <v>Mid-Market</v>
      </c>
      <c r="R2001" t="str">
        <f>_xlfn.XLOOKUP(Pipeline_tbl[[#This Row],[Rep_ID]],Dim_Reps!A:A,Dim_Reps!E:E)</f>
        <v>EMEA</v>
      </c>
      <c r="S2001" t="str">
        <f>_xlfn.XLOOKUP(Pipeline_tbl[[#This Row],[Created_Date]],Dim_Date!A:A,Dim_Date!H:H)</f>
        <v>Nov 2024</v>
      </c>
      <c r="T2001" t="str">
        <f>IF(Pipeline_tbl[[#This Row],[Closed_Date]]=0,"",(_xlfn.XLOOKUP(Pipeline_tbl[[#This Row],[Closed_Date]],Dim_Date!A:A,Dim_Date!H:H)))</f>
        <v>Jan 2025</v>
      </c>
      <c r="U2001">
        <f>IF(Pipeline_tbl[[#This Row],[Closed_Date]]=0,"",Pipeline_tbl[[#This Row],[Closed_Date]]-Pipeline_tbl[[#This Row],[Created_Date]])</f>
        <v>64</v>
      </c>
    </row>
    <row r="2002" spans="1:21" ht="15" customHeight="1" x14ac:dyDescent="0.2">
      <c r="A2002" t="s">
        <v>2308</v>
      </c>
      <c r="B2002" t="s">
        <v>265</v>
      </c>
      <c r="C2002" t="s">
        <v>54</v>
      </c>
      <c r="D2002" s="49">
        <v>45626</v>
      </c>
      <c r="E2002" s="49">
        <v>45631</v>
      </c>
      <c r="F2002" s="49">
        <v>45641</v>
      </c>
      <c r="G2002" s="49">
        <v>45656</v>
      </c>
      <c r="H2002" s="49">
        <v>45669</v>
      </c>
      <c r="I2002" s="49">
        <v>45676</v>
      </c>
      <c r="J2002" t="s">
        <v>49</v>
      </c>
      <c r="K2002" s="33">
        <v>13000</v>
      </c>
      <c r="L2002" t="s">
        <v>62</v>
      </c>
      <c r="M2002" t="str">
        <f>_xlfn.XLOOKUP(Pipeline_tbl[[#This Row],[Rep_ID]],Dim_Reps!A:A,Dim_Reps!K:K)</f>
        <v>EUR</v>
      </c>
      <c r="N2002" s="33">
        <f>(_xlfn.XLOOKUP(Pipeline_tbl[[#This Row],[Rate_Code_Generalized]],Lookups!A:A,Lookups!B:B))*Pipeline_tbl[[#This Row],[Pipeline_Amount_USD]]</f>
        <v>13000</v>
      </c>
      <c r="O2002" t="str">
        <f>_xlfn.XLOOKUP(Pipeline_tbl[[#This Row],[Rep_ID]],Dim_Reps!A:A,Dim_Reps!B:B)</f>
        <v>Erik Duarte</v>
      </c>
      <c r="P2002" t="str">
        <f>_xlfn.XLOOKUP(Pipeline_tbl[[#This Row],[Rep_ID]],Dim_Reps!A:A,Dim_Reps!C:C)</f>
        <v>Mid-Market AE</v>
      </c>
      <c r="Q2002" t="str">
        <f>_xlfn.XLOOKUP(Pipeline_tbl[[#This Row],[Rep_ID]],Dim_Reps!A:A,Dim_Reps!D:D)</f>
        <v>Mid-Market</v>
      </c>
      <c r="R2002" t="str">
        <f>_xlfn.XLOOKUP(Pipeline_tbl[[#This Row],[Rep_ID]],Dim_Reps!A:A,Dim_Reps!E:E)</f>
        <v>EMEA</v>
      </c>
      <c r="S2002" t="str">
        <f>_xlfn.XLOOKUP(Pipeline_tbl[[#This Row],[Created_Date]],Dim_Date!A:A,Dim_Date!H:H)</f>
        <v>Nov 2024</v>
      </c>
      <c r="T2002" t="str">
        <f>IF(Pipeline_tbl[[#This Row],[Closed_Date]]=0,"",(_xlfn.XLOOKUP(Pipeline_tbl[[#This Row],[Closed_Date]],Dim_Date!A:A,Dim_Date!H:H)))</f>
        <v>Jan 2025</v>
      </c>
      <c r="U2002">
        <f>IF(Pipeline_tbl[[#This Row],[Closed_Date]]=0,"",Pipeline_tbl[[#This Row],[Closed_Date]]-Pipeline_tbl[[#This Row],[Created_Date]])</f>
        <v>50</v>
      </c>
    </row>
    <row r="2003" spans="1:21" ht="15" customHeight="1" x14ac:dyDescent="0.2">
      <c r="A2003" t="s">
        <v>2309</v>
      </c>
      <c r="B2003" t="s">
        <v>284</v>
      </c>
      <c r="C2003" t="s">
        <v>55</v>
      </c>
      <c r="D2003" s="49">
        <v>45598</v>
      </c>
      <c r="E2003" s="49">
        <v>45606</v>
      </c>
      <c r="F2003" s="49">
        <v>45623</v>
      </c>
      <c r="G2003" s="49">
        <v>45648</v>
      </c>
      <c r="H2003" s="49">
        <v>45669</v>
      </c>
      <c r="I2003" s="49">
        <v>45681</v>
      </c>
      <c r="J2003" t="s">
        <v>47</v>
      </c>
      <c r="K2003" s="33">
        <v>61200</v>
      </c>
      <c r="M2003" t="str">
        <f>_xlfn.XLOOKUP(Pipeline_tbl[[#This Row],[Rep_ID]],Dim_Reps!A:A,Dim_Reps!K:K)</f>
        <v>USD</v>
      </c>
      <c r="N2003" s="33">
        <f>(_xlfn.XLOOKUP(Pipeline_tbl[[#This Row],[Rate_Code_Generalized]],Lookups!A:A,Lookups!B:B))*Pipeline_tbl[[#This Row],[Pipeline_Amount_USD]]</f>
        <v>71255.159999999989</v>
      </c>
      <c r="O2003" t="str">
        <f>_xlfn.XLOOKUP(Pipeline_tbl[[#This Row],[Rep_ID]],Dim_Reps!A:A,Dim_Reps!B:B)</f>
        <v>Taylor Adler</v>
      </c>
      <c r="P2003" t="str">
        <f>_xlfn.XLOOKUP(Pipeline_tbl[[#This Row],[Rep_ID]],Dim_Reps!A:A,Dim_Reps!C:C)</f>
        <v>Senior Enterprise AE</v>
      </c>
      <c r="Q2003" t="str">
        <f>_xlfn.XLOOKUP(Pipeline_tbl[[#This Row],[Rep_ID]],Dim_Reps!A:A,Dim_Reps!D:D)</f>
        <v>Strategic</v>
      </c>
      <c r="R2003" t="str">
        <f>_xlfn.XLOOKUP(Pipeline_tbl[[#This Row],[Rep_ID]],Dim_Reps!A:A,Dim_Reps!E:E)</f>
        <v>NAMER</v>
      </c>
      <c r="S2003" t="str">
        <f>_xlfn.XLOOKUP(Pipeline_tbl[[#This Row],[Created_Date]],Dim_Date!A:A,Dim_Date!H:H)</f>
        <v>Nov 2024</v>
      </c>
      <c r="T2003" t="str">
        <f>IF(Pipeline_tbl[[#This Row],[Closed_Date]]=0,"",(_xlfn.XLOOKUP(Pipeline_tbl[[#This Row],[Closed_Date]],Dim_Date!A:A,Dim_Date!H:H)))</f>
        <v>Jan 2025</v>
      </c>
      <c r="U2003">
        <f>IF(Pipeline_tbl[[#This Row],[Closed_Date]]=0,"",Pipeline_tbl[[#This Row],[Closed_Date]]-Pipeline_tbl[[#This Row],[Created_Date]])</f>
        <v>83</v>
      </c>
    </row>
    <row r="2004" spans="1:21" ht="15" customHeight="1" x14ac:dyDescent="0.2">
      <c r="A2004" t="s">
        <v>2310</v>
      </c>
      <c r="B2004" t="s">
        <v>269</v>
      </c>
      <c r="C2004" t="s">
        <v>54</v>
      </c>
      <c r="D2004" s="49">
        <v>45623</v>
      </c>
      <c r="E2004" s="49">
        <v>45628</v>
      </c>
      <c r="F2004" s="49">
        <v>45637</v>
      </c>
      <c r="G2004" s="49">
        <v>45651</v>
      </c>
      <c r="H2004" s="49">
        <v>45663</v>
      </c>
      <c r="I2004" s="49">
        <v>45670</v>
      </c>
      <c r="J2004" t="s">
        <v>47</v>
      </c>
      <c r="K2004" s="33">
        <v>25900</v>
      </c>
      <c r="M2004" t="str">
        <f>_xlfn.XLOOKUP(Pipeline_tbl[[#This Row],[Rep_ID]],Dim_Reps!A:A,Dim_Reps!K:K)</f>
        <v>USD</v>
      </c>
      <c r="N2004" s="33">
        <f>(_xlfn.XLOOKUP(Pipeline_tbl[[#This Row],[Rate_Code_Generalized]],Lookups!A:A,Lookups!B:B))*Pipeline_tbl[[#This Row],[Pipeline_Amount_USD]]</f>
        <v>30155.37</v>
      </c>
      <c r="O2004" t="str">
        <f>_xlfn.XLOOKUP(Pipeline_tbl[[#This Row],[Rep_ID]],Dim_Reps!A:A,Dim_Reps!B:B)</f>
        <v>Morgan Rivera</v>
      </c>
      <c r="P2004" t="str">
        <f>_xlfn.XLOOKUP(Pipeline_tbl[[#This Row],[Rep_ID]],Dim_Reps!A:A,Dim_Reps!C:C)</f>
        <v>Mid-Market AE</v>
      </c>
      <c r="Q2004" t="str">
        <f>_xlfn.XLOOKUP(Pipeline_tbl[[#This Row],[Rep_ID]],Dim_Reps!A:A,Dim_Reps!D:D)</f>
        <v>Mid-Market</v>
      </c>
      <c r="R2004" t="str">
        <f>_xlfn.XLOOKUP(Pipeline_tbl[[#This Row],[Rep_ID]],Dim_Reps!A:A,Dim_Reps!E:E)</f>
        <v>NAMER</v>
      </c>
      <c r="S2004" t="str">
        <f>_xlfn.XLOOKUP(Pipeline_tbl[[#This Row],[Created_Date]],Dim_Date!A:A,Dim_Date!H:H)</f>
        <v>Nov 2024</v>
      </c>
      <c r="T2004" t="str">
        <f>IF(Pipeline_tbl[[#This Row],[Closed_Date]]=0,"",(_xlfn.XLOOKUP(Pipeline_tbl[[#This Row],[Closed_Date]],Dim_Date!A:A,Dim_Date!H:H)))</f>
        <v>Jan 2025</v>
      </c>
      <c r="U2004">
        <f>IF(Pipeline_tbl[[#This Row],[Closed_Date]]=0,"",Pipeline_tbl[[#This Row],[Closed_Date]]-Pipeline_tbl[[#This Row],[Created_Date]])</f>
        <v>47</v>
      </c>
    </row>
    <row r="2005" spans="1:21" ht="15" customHeight="1" x14ac:dyDescent="0.2">
      <c r="A2005" t="s">
        <v>2311</v>
      </c>
      <c r="B2005" t="s">
        <v>271</v>
      </c>
      <c r="C2005" t="s">
        <v>52</v>
      </c>
      <c r="D2005" s="49">
        <v>45626</v>
      </c>
      <c r="E2005" s="49">
        <v>45630</v>
      </c>
      <c r="F2005" s="49">
        <v>45638</v>
      </c>
      <c r="G2005" s="49">
        <v>45649</v>
      </c>
      <c r="H2005" s="49">
        <v>45659</v>
      </c>
      <c r="I2005" s="49">
        <v>45665</v>
      </c>
      <c r="J2005" t="s">
        <v>47</v>
      </c>
      <c r="K2005" s="33">
        <v>11500</v>
      </c>
      <c r="M2005" t="str">
        <f>_xlfn.XLOOKUP(Pipeline_tbl[[#This Row],[Rep_ID]],Dim_Reps!A:A,Dim_Reps!K:K)</f>
        <v>EUR</v>
      </c>
      <c r="N2005" s="33">
        <f>(_xlfn.XLOOKUP(Pipeline_tbl[[#This Row],[Rate_Code_Generalized]],Lookups!A:A,Lookups!B:B))*Pipeline_tbl[[#This Row],[Pipeline_Amount_USD]]</f>
        <v>11500</v>
      </c>
      <c r="O2005" t="str">
        <f>_xlfn.XLOOKUP(Pipeline_tbl[[#This Row],[Rep_ID]],Dim_Reps!A:A,Dim_Reps!B:B)</f>
        <v>Ivy Adler</v>
      </c>
      <c r="P2005" t="str">
        <f>_xlfn.XLOOKUP(Pipeline_tbl[[#This Row],[Rep_ID]],Dim_Reps!A:A,Dim_Reps!C:C)</f>
        <v>Mid-Market AE</v>
      </c>
      <c r="Q2005" t="str">
        <f>_xlfn.XLOOKUP(Pipeline_tbl[[#This Row],[Rep_ID]],Dim_Reps!A:A,Dim_Reps!D:D)</f>
        <v>Mid-Market</v>
      </c>
      <c r="R2005" t="str">
        <f>_xlfn.XLOOKUP(Pipeline_tbl[[#This Row],[Rep_ID]],Dim_Reps!A:A,Dim_Reps!E:E)</f>
        <v>APAC</v>
      </c>
      <c r="S2005" t="str">
        <f>_xlfn.XLOOKUP(Pipeline_tbl[[#This Row],[Created_Date]],Dim_Date!A:A,Dim_Date!H:H)</f>
        <v>Nov 2024</v>
      </c>
      <c r="T2005" t="str">
        <f>IF(Pipeline_tbl[[#This Row],[Closed_Date]]=0,"",(_xlfn.XLOOKUP(Pipeline_tbl[[#This Row],[Closed_Date]],Dim_Date!A:A,Dim_Date!H:H)))</f>
        <v>Jan 2025</v>
      </c>
      <c r="U2005">
        <f>IF(Pipeline_tbl[[#This Row],[Closed_Date]]=0,"",Pipeline_tbl[[#This Row],[Closed_Date]]-Pipeline_tbl[[#This Row],[Created_Date]])</f>
        <v>39</v>
      </c>
    </row>
    <row r="2006" spans="1:21" ht="15" customHeight="1" x14ac:dyDescent="0.2">
      <c r="A2006" t="s">
        <v>2312</v>
      </c>
      <c r="B2006" t="s">
        <v>271</v>
      </c>
      <c r="C2006" t="s">
        <v>55</v>
      </c>
      <c r="D2006" s="49">
        <v>45618</v>
      </c>
      <c r="E2006" s="49">
        <v>45622</v>
      </c>
      <c r="F2006" s="49">
        <v>45630</v>
      </c>
      <c r="G2006" s="49">
        <v>45643</v>
      </c>
      <c r="H2006" s="49">
        <v>45653</v>
      </c>
      <c r="I2006" s="49">
        <v>45659</v>
      </c>
      <c r="J2006" t="s">
        <v>47</v>
      </c>
      <c r="K2006" s="33">
        <v>15800</v>
      </c>
      <c r="M2006" t="str">
        <f>_xlfn.XLOOKUP(Pipeline_tbl[[#This Row],[Rep_ID]],Dim_Reps!A:A,Dim_Reps!K:K)</f>
        <v>EUR</v>
      </c>
      <c r="N2006" s="33">
        <f>(_xlfn.XLOOKUP(Pipeline_tbl[[#This Row],[Rate_Code_Generalized]],Lookups!A:A,Lookups!B:B))*Pipeline_tbl[[#This Row],[Pipeline_Amount_USD]]</f>
        <v>15800</v>
      </c>
      <c r="O2006" t="str">
        <f>_xlfn.XLOOKUP(Pipeline_tbl[[#This Row],[Rep_ID]],Dim_Reps!A:A,Dim_Reps!B:B)</f>
        <v>Ivy Adler</v>
      </c>
      <c r="P2006" t="str">
        <f>_xlfn.XLOOKUP(Pipeline_tbl[[#This Row],[Rep_ID]],Dim_Reps!A:A,Dim_Reps!C:C)</f>
        <v>Mid-Market AE</v>
      </c>
      <c r="Q2006" t="str">
        <f>_xlfn.XLOOKUP(Pipeline_tbl[[#This Row],[Rep_ID]],Dim_Reps!A:A,Dim_Reps!D:D)</f>
        <v>Mid-Market</v>
      </c>
      <c r="R2006" t="str">
        <f>_xlfn.XLOOKUP(Pipeline_tbl[[#This Row],[Rep_ID]],Dim_Reps!A:A,Dim_Reps!E:E)</f>
        <v>APAC</v>
      </c>
      <c r="S2006" t="str">
        <f>_xlfn.XLOOKUP(Pipeline_tbl[[#This Row],[Created_Date]],Dim_Date!A:A,Dim_Date!H:H)</f>
        <v>Nov 2024</v>
      </c>
      <c r="T2006" t="str">
        <f>IF(Pipeline_tbl[[#This Row],[Closed_Date]]=0,"",(_xlfn.XLOOKUP(Pipeline_tbl[[#This Row],[Closed_Date]],Dim_Date!A:A,Dim_Date!H:H)))</f>
        <v>Jan 2025</v>
      </c>
      <c r="U2006">
        <f>IF(Pipeline_tbl[[#This Row],[Closed_Date]]=0,"",Pipeline_tbl[[#This Row],[Closed_Date]]-Pipeline_tbl[[#This Row],[Created_Date]])</f>
        <v>41</v>
      </c>
    </row>
    <row r="2007" spans="1:21" ht="15" customHeight="1" x14ac:dyDescent="0.2">
      <c r="A2007" t="s">
        <v>2313</v>
      </c>
      <c r="B2007" t="s">
        <v>271</v>
      </c>
      <c r="C2007" t="s">
        <v>55</v>
      </c>
      <c r="D2007" s="49">
        <v>45601</v>
      </c>
      <c r="E2007" s="49">
        <v>45607</v>
      </c>
      <c r="I2007" s="49">
        <v>45661</v>
      </c>
      <c r="J2007" t="s">
        <v>49</v>
      </c>
      <c r="K2007" s="33">
        <v>8600</v>
      </c>
      <c r="L2007" t="s">
        <v>62</v>
      </c>
      <c r="M2007" t="str">
        <f>_xlfn.XLOOKUP(Pipeline_tbl[[#This Row],[Rep_ID]],Dim_Reps!A:A,Dim_Reps!K:K)</f>
        <v>EUR</v>
      </c>
      <c r="N2007" s="33">
        <f>(_xlfn.XLOOKUP(Pipeline_tbl[[#This Row],[Rate_Code_Generalized]],Lookups!A:A,Lookups!B:B))*Pipeline_tbl[[#This Row],[Pipeline_Amount_USD]]</f>
        <v>8600</v>
      </c>
      <c r="O2007" t="str">
        <f>_xlfn.XLOOKUP(Pipeline_tbl[[#This Row],[Rep_ID]],Dim_Reps!A:A,Dim_Reps!B:B)</f>
        <v>Ivy Adler</v>
      </c>
      <c r="P2007" t="str">
        <f>_xlfn.XLOOKUP(Pipeline_tbl[[#This Row],[Rep_ID]],Dim_Reps!A:A,Dim_Reps!C:C)</f>
        <v>Mid-Market AE</v>
      </c>
      <c r="Q2007" t="str">
        <f>_xlfn.XLOOKUP(Pipeline_tbl[[#This Row],[Rep_ID]],Dim_Reps!A:A,Dim_Reps!D:D)</f>
        <v>Mid-Market</v>
      </c>
      <c r="R2007" t="str">
        <f>_xlfn.XLOOKUP(Pipeline_tbl[[#This Row],[Rep_ID]],Dim_Reps!A:A,Dim_Reps!E:E)</f>
        <v>APAC</v>
      </c>
      <c r="S2007" t="str">
        <f>_xlfn.XLOOKUP(Pipeline_tbl[[#This Row],[Created_Date]],Dim_Date!A:A,Dim_Date!H:H)</f>
        <v>Nov 2024</v>
      </c>
      <c r="T2007" t="str">
        <f>IF(Pipeline_tbl[[#This Row],[Closed_Date]]=0,"",(_xlfn.XLOOKUP(Pipeline_tbl[[#This Row],[Closed_Date]],Dim_Date!A:A,Dim_Date!H:H)))</f>
        <v>Jan 2025</v>
      </c>
      <c r="U2007">
        <f>IF(Pipeline_tbl[[#This Row],[Closed_Date]]=0,"",Pipeline_tbl[[#This Row],[Closed_Date]]-Pipeline_tbl[[#This Row],[Created_Date]])</f>
        <v>60</v>
      </c>
    </row>
    <row r="2008" spans="1:21" ht="15" customHeight="1" x14ac:dyDescent="0.2">
      <c r="A2008" t="s">
        <v>2314</v>
      </c>
      <c r="B2008" t="s">
        <v>271</v>
      </c>
      <c r="C2008" t="s">
        <v>54</v>
      </c>
      <c r="D2008" s="49">
        <v>45607</v>
      </c>
      <c r="E2008" s="49">
        <v>45612</v>
      </c>
      <c r="F2008" s="49">
        <v>45623</v>
      </c>
      <c r="I2008" s="49">
        <v>45660</v>
      </c>
      <c r="J2008" t="s">
        <v>49</v>
      </c>
      <c r="K2008" s="33">
        <v>12000</v>
      </c>
      <c r="L2008" t="s">
        <v>60</v>
      </c>
      <c r="M2008" t="str">
        <f>_xlfn.XLOOKUP(Pipeline_tbl[[#This Row],[Rep_ID]],Dim_Reps!A:A,Dim_Reps!K:K)</f>
        <v>EUR</v>
      </c>
      <c r="N2008" s="33">
        <f>(_xlfn.XLOOKUP(Pipeline_tbl[[#This Row],[Rate_Code_Generalized]],Lookups!A:A,Lookups!B:B))*Pipeline_tbl[[#This Row],[Pipeline_Amount_USD]]</f>
        <v>12000</v>
      </c>
      <c r="O2008" t="str">
        <f>_xlfn.XLOOKUP(Pipeline_tbl[[#This Row],[Rep_ID]],Dim_Reps!A:A,Dim_Reps!B:B)</f>
        <v>Ivy Adler</v>
      </c>
      <c r="P2008" t="str">
        <f>_xlfn.XLOOKUP(Pipeline_tbl[[#This Row],[Rep_ID]],Dim_Reps!A:A,Dim_Reps!C:C)</f>
        <v>Mid-Market AE</v>
      </c>
      <c r="Q2008" t="str">
        <f>_xlfn.XLOOKUP(Pipeline_tbl[[#This Row],[Rep_ID]],Dim_Reps!A:A,Dim_Reps!D:D)</f>
        <v>Mid-Market</v>
      </c>
      <c r="R2008" t="str">
        <f>_xlfn.XLOOKUP(Pipeline_tbl[[#This Row],[Rep_ID]],Dim_Reps!A:A,Dim_Reps!E:E)</f>
        <v>APAC</v>
      </c>
      <c r="S2008" t="str">
        <f>_xlfn.XLOOKUP(Pipeline_tbl[[#This Row],[Created_Date]],Dim_Date!A:A,Dim_Date!H:H)</f>
        <v>Nov 2024</v>
      </c>
      <c r="T2008" t="str">
        <f>IF(Pipeline_tbl[[#This Row],[Closed_Date]]=0,"",(_xlfn.XLOOKUP(Pipeline_tbl[[#This Row],[Closed_Date]],Dim_Date!A:A,Dim_Date!H:H)))</f>
        <v>Jan 2025</v>
      </c>
      <c r="U2008">
        <f>IF(Pipeline_tbl[[#This Row],[Closed_Date]]=0,"",Pipeline_tbl[[#This Row],[Closed_Date]]-Pipeline_tbl[[#This Row],[Created_Date]])</f>
        <v>53</v>
      </c>
    </row>
    <row r="2009" spans="1:21" ht="15" customHeight="1" x14ac:dyDescent="0.2">
      <c r="A2009" t="s">
        <v>2315</v>
      </c>
      <c r="B2009" t="s">
        <v>273</v>
      </c>
      <c r="C2009" t="s">
        <v>52</v>
      </c>
      <c r="D2009" s="49">
        <v>45620</v>
      </c>
      <c r="E2009" s="49">
        <v>45625</v>
      </c>
      <c r="F2009" s="49">
        <v>45635</v>
      </c>
      <c r="I2009" s="49">
        <v>45669</v>
      </c>
      <c r="J2009" t="s">
        <v>49</v>
      </c>
      <c r="K2009" s="33">
        <v>13100</v>
      </c>
      <c r="L2009" t="s">
        <v>60</v>
      </c>
      <c r="M2009" t="str">
        <f>_xlfn.XLOOKUP(Pipeline_tbl[[#This Row],[Rep_ID]],Dim_Reps!A:A,Dim_Reps!K:K)</f>
        <v>EUR</v>
      </c>
      <c r="N2009" s="33">
        <f>(_xlfn.XLOOKUP(Pipeline_tbl[[#This Row],[Rate_Code_Generalized]],Lookups!A:A,Lookups!B:B))*Pipeline_tbl[[#This Row],[Pipeline_Amount_USD]]</f>
        <v>13100</v>
      </c>
      <c r="O2009" t="str">
        <f>_xlfn.XLOOKUP(Pipeline_tbl[[#This Row],[Rep_ID]],Dim_Reps!A:A,Dim_Reps!B:B)</f>
        <v>Olivia Cohen</v>
      </c>
      <c r="P2009" t="str">
        <f>_xlfn.XLOOKUP(Pipeline_tbl[[#This Row],[Rep_ID]],Dim_Reps!A:A,Dim_Reps!C:C)</f>
        <v>Mid-Market AE</v>
      </c>
      <c r="Q2009" t="str">
        <f>_xlfn.XLOOKUP(Pipeline_tbl[[#This Row],[Rep_ID]],Dim_Reps!A:A,Dim_Reps!D:D)</f>
        <v>Mid-Market</v>
      </c>
      <c r="R2009" t="str">
        <f>_xlfn.XLOOKUP(Pipeline_tbl[[#This Row],[Rep_ID]],Dim_Reps!A:A,Dim_Reps!E:E)</f>
        <v>APAC</v>
      </c>
      <c r="S2009" t="str">
        <f>_xlfn.XLOOKUP(Pipeline_tbl[[#This Row],[Created_Date]],Dim_Date!A:A,Dim_Date!H:H)</f>
        <v>Nov 2024</v>
      </c>
      <c r="T2009" t="str">
        <f>IF(Pipeline_tbl[[#This Row],[Closed_Date]]=0,"",(_xlfn.XLOOKUP(Pipeline_tbl[[#This Row],[Closed_Date]],Dim_Date!A:A,Dim_Date!H:H)))</f>
        <v>Jan 2025</v>
      </c>
      <c r="U2009">
        <f>IF(Pipeline_tbl[[#This Row],[Closed_Date]]=0,"",Pipeline_tbl[[#This Row],[Closed_Date]]-Pipeline_tbl[[#This Row],[Created_Date]])</f>
        <v>49</v>
      </c>
    </row>
    <row r="2010" spans="1:21" ht="15" customHeight="1" x14ac:dyDescent="0.2">
      <c r="A2010" t="s">
        <v>2316</v>
      </c>
      <c r="B2010" t="s">
        <v>273</v>
      </c>
      <c r="C2010" t="s">
        <v>52</v>
      </c>
      <c r="D2010" s="49">
        <v>45621</v>
      </c>
      <c r="E2010" s="49">
        <v>45627</v>
      </c>
      <c r="F2010" s="49">
        <v>45638</v>
      </c>
      <c r="G2010" s="49">
        <v>45654</v>
      </c>
      <c r="H2010" s="49">
        <v>45668</v>
      </c>
      <c r="I2010" s="49">
        <v>45676</v>
      </c>
      <c r="J2010" t="s">
        <v>47</v>
      </c>
      <c r="K2010" s="33">
        <v>26500</v>
      </c>
      <c r="M2010" t="str">
        <f>_xlfn.XLOOKUP(Pipeline_tbl[[#This Row],[Rep_ID]],Dim_Reps!A:A,Dim_Reps!K:K)</f>
        <v>EUR</v>
      </c>
      <c r="N2010" s="33">
        <f>(_xlfn.XLOOKUP(Pipeline_tbl[[#This Row],[Rate_Code_Generalized]],Lookups!A:A,Lookups!B:B))*Pipeline_tbl[[#This Row],[Pipeline_Amount_USD]]</f>
        <v>26500</v>
      </c>
      <c r="O2010" t="str">
        <f>_xlfn.XLOOKUP(Pipeline_tbl[[#This Row],[Rep_ID]],Dim_Reps!A:A,Dim_Reps!B:B)</f>
        <v>Olivia Cohen</v>
      </c>
      <c r="P2010" t="str">
        <f>_xlfn.XLOOKUP(Pipeline_tbl[[#This Row],[Rep_ID]],Dim_Reps!A:A,Dim_Reps!C:C)</f>
        <v>Mid-Market AE</v>
      </c>
      <c r="Q2010" t="str">
        <f>_xlfn.XLOOKUP(Pipeline_tbl[[#This Row],[Rep_ID]],Dim_Reps!A:A,Dim_Reps!D:D)</f>
        <v>Mid-Market</v>
      </c>
      <c r="R2010" t="str">
        <f>_xlfn.XLOOKUP(Pipeline_tbl[[#This Row],[Rep_ID]],Dim_Reps!A:A,Dim_Reps!E:E)</f>
        <v>APAC</v>
      </c>
      <c r="S2010" t="str">
        <f>_xlfn.XLOOKUP(Pipeline_tbl[[#This Row],[Created_Date]],Dim_Date!A:A,Dim_Date!H:H)</f>
        <v>Nov 2024</v>
      </c>
      <c r="T2010" t="str">
        <f>IF(Pipeline_tbl[[#This Row],[Closed_Date]]=0,"",(_xlfn.XLOOKUP(Pipeline_tbl[[#This Row],[Closed_Date]],Dim_Date!A:A,Dim_Date!H:H)))</f>
        <v>Jan 2025</v>
      </c>
      <c r="U2010">
        <f>IF(Pipeline_tbl[[#This Row],[Closed_Date]]=0,"",Pipeline_tbl[[#This Row],[Closed_Date]]-Pipeline_tbl[[#This Row],[Created_Date]])</f>
        <v>55</v>
      </c>
    </row>
    <row r="2011" spans="1:21" ht="15" customHeight="1" x14ac:dyDescent="0.2">
      <c r="A2011" t="s">
        <v>2317</v>
      </c>
      <c r="B2011" t="s">
        <v>273</v>
      </c>
      <c r="C2011" t="s">
        <v>54</v>
      </c>
      <c r="D2011" s="49">
        <v>45620</v>
      </c>
      <c r="E2011" s="49">
        <v>45625</v>
      </c>
      <c r="F2011" s="49">
        <v>45634</v>
      </c>
      <c r="I2011" s="49">
        <v>45668</v>
      </c>
      <c r="J2011" t="s">
        <v>49</v>
      </c>
      <c r="K2011" s="33">
        <v>15100</v>
      </c>
      <c r="L2011" t="s">
        <v>60</v>
      </c>
      <c r="M2011" t="str">
        <f>_xlfn.XLOOKUP(Pipeline_tbl[[#This Row],[Rep_ID]],Dim_Reps!A:A,Dim_Reps!K:K)</f>
        <v>EUR</v>
      </c>
      <c r="N2011" s="33">
        <f>(_xlfn.XLOOKUP(Pipeline_tbl[[#This Row],[Rate_Code_Generalized]],Lookups!A:A,Lookups!B:B))*Pipeline_tbl[[#This Row],[Pipeline_Amount_USD]]</f>
        <v>15100</v>
      </c>
      <c r="O2011" t="str">
        <f>_xlfn.XLOOKUP(Pipeline_tbl[[#This Row],[Rep_ID]],Dim_Reps!A:A,Dim_Reps!B:B)</f>
        <v>Olivia Cohen</v>
      </c>
      <c r="P2011" t="str">
        <f>_xlfn.XLOOKUP(Pipeline_tbl[[#This Row],[Rep_ID]],Dim_Reps!A:A,Dim_Reps!C:C)</f>
        <v>Mid-Market AE</v>
      </c>
      <c r="Q2011" t="str">
        <f>_xlfn.XLOOKUP(Pipeline_tbl[[#This Row],[Rep_ID]],Dim_Reps!A:A,Dim_Reps!D:D)</f>
        <v>Mid-Market</v>
      </c>
      <c r="R2011" t="str">
        <f>_xlfn.XLOOKUP(Pipeline_tbl[[#This Row],[Rep_ID]],Dim_Reps!A:A,Dim_Reps!E:E)</f>
        <v>APAC</v>
      </c>
      <c r="S2011" t="str">
        <f>_xlfn.XLOOKUP(Pipeline_tbl[[#This Row],[Created_Date]],Dim_Date!A:A,Dim_Date!H:H)</f>
        <v>Nov 2024</v>
      </c>
      <c r="T2011" t="str">
        <f>IF(Pipeline_tbl[[#This Row],[Closed_Date]]=0,"",(_xlfn.XLOOKUP(Pipeline_tbl[[#This Row],[Closed_Date]],Dim_Date!A:A,Dim_Date!H:H)))</f>
        <v>Jan 2025</v>
      </c>
      <c r="U2011">
        <f>IF(Pipeline_tbl[[#This Row],[Closed_Date]]=0,"",Pipeline_tbl[[#This Row],[Closed_Date]]-Pipeline_tbl[[#This Row],[Created_Date]])</f>
        <v>48</v>
      </c>
    </row>
    <row r="2012" spans="1:21" ht="15" customHeight="1" x14ac:dyDescent="0.2">
      <c r="A2012" t="s">
        <v>2318</v>
      </c>
      <c r="B2012" t="s">
        <v>278</v>
      </c>
      <c r="C2012" t="s">
        <v>54</v>
      </c>
      <c r="D2012" s="49">
        <v>45618</v>
      </c>
      <c r="E2012" s="49">
        <v>45629</v>
      </c>
      <c r="F2012" s="49">
        <v>45652</v>
      </c>
      <c r="G2012" s="49">
        <v>45686</v>
      </c>
      <c r="H2012" s="49">
        <v>45714</v>
      </c>
      <c r="I2012" s="49">
        <v>45731</v>
      </c>
      <c r="J2012" t="s">
        <v>47</v>
      </c>
      <c r="K2012" s="33">
        <v>42500</v>
      </c>
      <c r="M2012" t="str">
        <f>_xlfn.XLOOKUP(Pipeline_tbl[[#This Row],[Rep_ID]],Dim_Reps!A:A,Dim_Reps!K:K)</f>
        <v>EUR</v>
      </c>
      <c r="N2012" s="33">
        <f>(_xlfn.XLOOKUP(Pipeline_tbl[[#This Row],[Rate_Code_Generalized]],Lookups!A:A,Lookups!B:B))*Pipeline_tbl[[#This Row],[Pipeline_Amount_USD]]</f>
        <v>42500</v>
      </c>
      <c r="O2012" t="str">
        <f>_xlfn.XLOOKUP(Pipeline_tbl[[#This Row],[Rep_ID]],Dim_Reps!A:A,Dim_Reps!B:B)</f>
        <v>Sara Andersson</v>
      </c>
      <c r="P2012" t="str">
        <f>_xlfn.XLOOKUP(Pipeline_tbl[[#This Row],[Rep_ID]],Dim_Reps!A:A,Dim_Reps!C:C)</f>
        <v>Senior Enterprise AE</v>
      </c>
      <c r="Q2012" t="str">
        <f>_xlfn.XLOOKUP(Pipeline_tbl[[#This Row],[Rep_ID]],Dim_Reps!A:A,Dim_Reps!D:D)</f>
        <v>Strategic</v>
      </c>
      <c r="R2012" t="str">
        <f>_xlfn.XLOOKUP(Pipeline_tbl[[#This Row],[Rep_ID]],Dim_Reps!A:A,Dim_Reps!E:E)</f>
        <v>APAC</v>
      </c>
      <c r="S2012" t="str">
        <f>_xlfn.XLOOKUP(Pipeline_tbl[[#This Row],[Created_Date]],Dim_Date!A:A,Dim_Date!H:H)</f>
        <v>Nov 2024</v>
      </c>
      <c r="T2012" t="str">
        <f>IF(Pipeline_tbl[[#This Row],[Closed_Date]]=0,"",(_xlfn.XLOOKUP(Pipeline_tbl[[#This Row],[Closed_Date]],Dim_Date!A:A,Dim_Date!H:H)))</f>
        <v>Mar 2025</v>
      </c>
      <c r="U2012">
        <f>IF(Pipeline_tbl[[#This Row],[Closed_Date]]=0,"",Pipeline_tbl[[#This Row],[Closed_Date]]-Pipeline_tbl[[#This Row],[Created_Date]])</f>
        <v>113</v>
      </c>
    </row>
    <row r="2013" spans="1:21" ht="15" customHeight="1" x14ac:dyDescent="0.2">
      <c r="A2013" t="s">
        <v>2319</v>
      </c>
      <c r="B2013" t="s">
        <v>278</v>
      </c>
      <c r="C2013" t="s">
        <v>52</v>
      </c>
      <c r="D2013" s="49">
        <v>45622</v>
      </c>
      <c r="E2013" s="49">
        <v>45632</v>
      </c>
      <c r="F2013" s="49">
        <v>45653</v>
      </c>
      <c r="G2013" s="49">
        <v>45684</v>
      </c>
      <c r="H2013" s="49">
        <v>45710</v>
      </c>
      <c r="I2013" s="49">
        <v>45726</v>
      </c>
      <c r="J2013" t="s">
        <v>49</v>
      </c>
      <c r="K2013" s="33">
        <v>83900</v>
      </c>
      <c r="L2013" t="s">
        <v>62</v>
      </c>
      <c r="M2013" t="str">
        <f>_xlfn.XLOOKUP(Pipeline_tbl[[#This Row],[Rep_ID]],Dim_Reps!A:A,Dim_Reps!K:K)</f>
        <v>EUR</v>
      </c>
      <c r="N2013" s="33">
        <f>(_xlfn.XLOOKUP(Pipeline_tbl[[#This Row],[Rate_Code_Generalized]],Lookups!A:A,Lookups!B:B))*Pipeline_tbl[[#This Row],[Pipeline_Amount_USD]]</f>
        <v>83900</v>
      </c>
      <c r="O2013" t="str">
        <f>_xlfn.XLOOKUP(Pipeline_tbl[[#This Row],[Rep_ID]],Dim_Reps!A:A,Dim_Reps!B:B)</f>
        <v>Sara Andersson</v>
      </c>
      <c r="P2013" t="str">
        <f>_xlfn.XLOOKUP(Pipeline_tbl[[#This Row],[Rep_ID]],Dim_Reps!A:A,Dim_Reps!C:C)</f>
        <v>Senior Enterprise AE</v>
      </c>
      <c r="Q2013" t="str">
        <f>_xlfn.XLOOKUP(Pipeline_tbl[[#This Row],[Rep_ID]],Dim_Reps!A:A,Dim_Reps!D:D)</f>
        <v>Strategic</v>
      </c>
      <c r="R2013" t="str">
        <f>_xlfn.XLOOKUP(Pipeline_tbl[[#This Row],[Rep_ID]],Dim_Reps!A:A,Dim_Reps!E:E)</f>
        <v>APAC</v>
      </c>
      <c r="S2013" t="str">
        <f>_xlfn.XLOOKUP(Pipeline_tbl[[#This Row],[Created_Date]],Dim_Date!A:A,Dim_Date!H:H)</f>
        <v>Nov 2024</v>
      </c>
      <c r="T2013" t="str">
        <f>IF(Pipeline_tbl[[#This Row],[Closed_Date]]=0,"",(_xlfn.XLOOKUP(Pipeline_tbl[[#This Row],[Closed_Date]],Dim_Date!A:A,Dim_Date!H:H)))</f>
        <v>Mar 2025</v>
      </c>
      <c r="U2013">
        <f>IF(Pipeline_tbl[[#This Row],[Closed_Date]]=0,"",Pipeline_tbl[[#This Row],[Closed_Date]]-Pipeline_tbl[[#This Row],[Created_Date]])</f>
        <v>104</v>
      </c>
    </row>
    <row r="2014" spans="1:21" ht="15" customHeight="1" x14ac:dyDescent="0.2">
      <c r="A2014" t="s">
        <v>2320</v>
      </c>
      <c r="B2014" t="s">
        <v>282</v>
      </c>
      <c r="C2014" t="s">
        <v>52</v>
      </c>
      <c r="D2014" s="49">
        <v>45624</v>
      </c>
      <c r="E2014" s="49">
        <v>45636</v>
      </c>
      <c r="F2014" s="49">
        <v>45660</v>
      </c>
      <c r="G2014" s="49">
        <v>45697</v>
      </c>
      <c r="H2014" s="49">
        <v>45727</v>
      </c>
      <c r="I2014" s="49">
        <v>45745</v>
      </c>
      <c r="J2014" t="s">
        <v>49</v>
      </c>
      <c r="K2014" s="33">
        <v>76800</v>
      </c>
      <c r="L2014" t="s">
        <v>60</v>
      </c>
      <c r="M2014" t="str">
        <f>_xlfn.XLOOKUP(Pipeline_tbl[[#This Row],[Rep_ID]],Dim_Reps!A:A,Dim_Reps!K:K)</f>
        <v>USD</v>
      </c>
      <c r="N2014" s="33">
        <f>(_xlfn.XLOOKUP(Pipeline_tbl[[#This Row],[Rate_Code_Generalized]],Lookups!A:A,Lookups!B:B))*Pipeline_tbl[[#This Row],[Pipeline_Amount_USD]]</f>
        <v>89418.239999999991</v>
      </c>
      <c r="O2014" t="str">
        <f>_xlfn.XLOOKUP(Pipeline_tbl[[#This Row],[Rep_ID]],Dim_Reps!A:A,Dim_Reps!B:B)</f>
        <v>Fatima Rossi</v>
      </c>
      <c r="P2014" t="str">
        <f>_xlfn.XLOOKUP(Pipeline_tbl[[#This Row],[Rep_ID]],Dim_Reps!A:A,Dim_Reps!C:C)</f>
        <v>Senior Enterprise AE</v>
      </c>
      <c r="Q2014" t="str">
        <f>_xlfn.XLOOKUP(Pipeline_tbl[[#This Row],[Rep_ID]],Dim_Reps!A:A,Dim_Reps!D:D)</f>
        <v>Strategic</v>
      </c>
      <c r="R2014" t="str">
        <f>_xlfn.XLOOKUP(Pipeline_tbl[[#This Row],[Rep_ID]],Dim_Reps!A:A,Dim_Reps!E:E)</f>
        <v>NAMER</v>
      </c>
      <c r="S2014" t="str">
        <f>_xlfn.XLOOKUP(Pipeline_tbl[[#This Row],[Created_Date]],Dim_Date!A:A,Dim_Date!H:H)</f>
        <v>Nov 2024</v>
      </c>
      <c r="T2014" t="str">
        <f>IF(Pipeline_tbl[[#This Row],[Closed_Date]]=0,"",(_xlfn.XLOOKUP(Pipeline_tbl[[#This Row],[Closed_Date]],Dim_Date!A:A,Dim_Date!H:H)))</f>
        <v>Mar 2025</v>
      </c>
      <c r="U2014">
        <f>IF(Pipeline_tbl[[#This Row],[Closed_Date]]=0,"",Pipeline_tbl[[#This Row],[Closed_Date]]-Pipeline_tbl[[#This Row],[Created_Date]])</f>
        <v>121</v>
      </c>
    </row>
    <row r="2015" spans="1:21" ht="15" customHeight="1" x14ac:dyDescent="0.2">
      <c r="A2015" t="s">
        <v>2321</v>
      </c>
      <c r="B2015" t="s">
        <v>282</v>
      </c>
      <c r="C2015" t="s">
        <v>52</v>
      </c>
      <c r="D2015" s="49">
        <v>45613</v>
      </c>
      <c r="E2015" s="49">
        <v>45624</v>
      </c>
      <c r="F2015" s="49">
        <v>45647</v>
      </c>
      <c r="I2015" s="49">
        <v>45727</v>
      </c>
      <c r="J2015" t="s">
        <v>49</v>
      </c>
      <c r="K2015" s="33">
        <v>66100</v>
      </c>
      <c r="L2015" t="s">
        <v>60</v>
      </c>
      <c r="M2015" t="str">
        <f>_xlfn.XLOOKUP(Pipeline_tbl[[#This Row],[Rep_ID]],Dim_Reps!A:A,Dim_Reps!K:K)</f>
        <v>USD</v>
      </c>
      <c r="N2015" s="33">
        <f>(_xlfn.XLOOKUP(Pipeline_tbl[[#This Row],[Rate_Code_Generalized]],Lookups!A:A,Lookups!B:B))*Pipeline_tbl[[#This Row],[Pipeline_Amount_USD]]</f>
        <v>76960.23</v>
      </c>
      <c r="O2015" t="str">
        <f>_xlfn.XLOOKUP(Pipeline_tbl[[#This Row],[Rep_ID]],Dim_Reps!A:A,Dim_Reps!B:B)</f>
        <v>Fatima Rossi</v>
      </c>
      <c r="P2015" t="str">
        <f>_xlfn.XLOOKUP(Pipeline_tbl[[#This Row],[Rep_ID]],Dim_Reps!A:A,Dim_Reps!C:C)</f>
        <v>Senior Enterprise AE</v>
      </c>
      <c r="Q2015" t="str">
        <f>_xlfn.XLOOKUP(Pipeline_tbl[[#This Row],[Rep_ID]],Dim_Reps!A:A,Dim_Reps!D:D)</f>
        <v>Strategic</v>
      </c>
      <c r="R2015" t="str">
        <f>_xlfn.XLOOKUP(Pipeline_tbl[[#This Row],[Rep_ID]],Dim_Reps!A:A,Dim_Reps!E:E)</f>
        <v>NAMER</v>
      </c>
      <c r="S2015" t="str">
        <f>_xlfn.XLOOKUP(Pipeline_tbl[[#This Row],[Created_Date]],Dim_Date!A:A,Dim_Date!H:H)</f>
        <v>Nov 2024</v>
      </c>
      <c r="T2015" t="str">
        <f>IF(Pipeline_tbl[[#This Row],[Closed_Date]]=0,"",(_xlfn.XLOOKUP(Pipeline_tbl[[#This Row],[Closed_Date]],Dim_Date!A:A,Dim_Date!H:H)))</f>
        <v>Mar 2025</v>
      </c>
      <c r="U2015">
        <f>IF(Pipeline_tbl[[#This Row],[Closed_Date]]=0,"",Pipeline_tbl[[#This Row],[Closed_Date]]-Pipeline_tbl[[#This Row],[Created_Date]])</f>
        <v>114</v>
      </c>
    </row>
    <row r="2016" spans="1:21" ht="15" customHeight="1" x14ac:dyDescent="0.2">
      <c r="A2016" t="s">
        <v>2322</v>
      </c>
      <c r="B2016" t="s">
        <v>282</v>
      </c>
      <c r="C2016" t="s">
        <v>55</v>
      </c>
      <c r="D2016" s="49">
        <v>45625</v>
      </c>
      <c r="E2016" s="49">
        <v>45637</v>
      </c>
      <c r="F2016" s="49">
        <v>45660</v>
      </c>
      <c r="G2016" s="49">
        <v>45695</v>
      </c>
      <c r="I2016" s="49">
        <v>45742</v>
      </c>
      <c r="J2016" t="s">
        <v>49</v>
      </c>
      <c r="K2016" s="33">
        <v>62900</v>
      </c>
      <c r="L2016" t="s">
        <v>62</v>
      </c>
      <c r="M2016" t="str">
        <f>_xlfn.XLOOKUP(Pipeline_tbl[[#This Row],[Rep_ID]],Dim_Reps!A:A,Dim_Reps!K:K)</f>
        <v>USD</v>
      </c>
      <c r="N2016" s="33">
        <f>(_xlfn.XLOOKUP(Pipeline_tbl[[#This Row],[Rate_Code_Generalized]],Lookups!A:A,Lookups!B:B))*Pipeline_tbl[[#This Row],[Pipeline_Amount_USD]]</f>
        <v>73234.469999999987</v>
      </c>
      <c r="O2016" t="str">
        <f>_xlfn.XLOOKUP(Pipeline_tbl[[#This Row],[Rep_ID]],Dim_Reps!A:A,Dim_Reps!B:B)</f>
        <v>Fatima Rossi</v>
      </c>
      <c r="P2016" t="str">
        <f>_xlfn.XLOOKUP(Pipeline_tbl[[#This Row],[Rep_ID]],Dim_Reps!A:A,Dim_Reps!C:C)</f>
        <v>Senior Enterprise AE</v>
      </c>
      <c r="Q2016" t="str">
        <f>_xlfn.XLOOKUP(Pipeline_tbl[[#This Row],[Rep_ID]],Dim_Reps!A:A,Dim_Reps!D:D)</f>
        <v>Strategic</v>
      </c>
      <c r="R2016" t="str">
        <f>_xlfn.XLOOKUP(Pipeline_tbl[[#This Row],[Rep_ID]],Dim_Reps!A:A,Dim_Reps!E:E)</f>
        <v>NAMER</v>
      </c>
      <c r="S2016" t="str">
        <f>_xlfn.XLOOKUP(Pipeline_tbl[[#This Row],[Created_Date]],Dim_Date!A:A,Dim_Date!H:H)</f>
        <v>Nov 2024</v>
      </c>
      <c r="T2016" t="str">
        <f>IF(Pipeline_tbl[[#This Row],[Closed_Date]]=0,"",(_xlfn.XLOOKUP(Pipeline_tbl[[#This Row],[Closed_Date]],Dim_Date!A:A,Dim_Date!H:H)))</f>
        <v>Mar 2025</v>
      </c>
      <c r="U2016">
        <f>IF(Pipeline_tbl[[#This Row],[Closed_Date]]=0,"",Pipeline_tbl[[#This Row],[Closed_Date]]-Pipeline_tbl[[#This Row],[Created_Date]])</f>
        <v>117</v>
      </c>
    </row>
    <row r="2017" spans="1:21" ht="15" customHeight="1" x14ac:dyDescent="0.2">
      <c r="A2017" t="s">
        <v>2323</v>
      </c>
      <c r="B2017" t="s">
        <v>193</v>
      </c>
      <c r="C2017" t="s">
        <v>53</v>
      </c>
      <c r="D2017" s="49">
        <v>45601</v>
      </c>
      <c r="E2017" s="49">
        <v>45603</v>
      </c>
      <c r="F2017" s="49">
        <v>45607</v>
      </c>
      <c r="G2017" s="49">
        <v>45614</v>
      </c>
      <c r="I2017" s="49">
        <v>45622</v>
      </c>
      <c r="J2017" t="s">
        <v>49</v>
      </c>
      <c r="K2017" s="33">
        <v>4400</v>
      </c>
      <c r="L2017" t="s">
        <v>62</v>
      </c>
      <c r="M2017" t="str">
        <f>_xlfn.XLOOKUP(Pipeline_tbl[[#This Row],[Rep_ID]],Dim_Reps!A:A,Dim_Reps!K:K)</f>
        <v>USD</v>
      </c>
      <c r="N2017" s="33">
        <f>(_xlfn.XLOOKUP(Pipeline_tbl[[#This Row],[Rate_Code_Generalized]],Lookups!A:A,Lookups!B:B))*Pipeline_tbl[[#This Row],[Pipeline_Amount_USD]]</f>
        <v>5122.9199999999992</v>
      </c>
      <c r="O2017" t="str">
        <f>_xlfn.XLOOKUP(Pipeline_tbl[[#This Row],[Rep_ID]],Dim_Reps!A:A,Dim_Reps!B:B)</f>
        <v>Karim Rossi</v>
      </c>
      <c r="P2017" t="str">
        <f>_xlfn.XLOOKUP(Pipeline_tbl[[#This Row],[Rep_ID]],Dim_Reps!A:A,Dim_Reps!C:C)</f>
        <v>SDR / Inside Sales Rep</v>
      </c>
      <c r="Q2017" t="str">
        <f>_xlfn.XLOOKUP(Pipeline_tbl[[#This Row],[Rep_ID]],Dim_Reps!A:A,Dim_Reps!D:D)</f>
        <v>Inside Sales</v>
      </c>
      <c r="R2017" t="str">
        <f>_xlfn.XLOOKUP(Pipeline_tbl[[#This Row],[Rep_ID]],Dim_Reps!A:A,Dim_Reps!E:E)</f>
        <v>NAMER</v>
      </c>
      <c r="S2017" t="str">
        <f>_xlfn.XLOOKUP(Pipeline_tbl[[#This Row],[Created_Date]],Dim_Date!A:A,Dim_Date!H:H)</f>
        <v>Nov 2024</v>
      </c>
      <c r="T2017" t="str">
        <f>IF(Pipeline_tbl[[#This Row],[Closed_Date]]=0,"",(_xlfn.XLOOKUP(Pipeline_tbl[[#This Row],[Closed_Date]],Dim_Date!A:A,Dim_Date!H:H)))</f>
        <v>Nov 2024</v>
      </c>
      <c r="U2017">
        <f>IF(Pipeline_tbl[[#This Row],[Closed_Date]]=0,"",Pipeline_tbl[[#This Row],[Closed_Date]]-Pipeline_tbl[[#This Row],[Created_Date]])</f>
        <v>21</v>
      </c>
    </row>
    <row r="2018" spans="1:21" ht="15" customHeight="1" x14ac:dyDescent="0.2">
      <c r="A2018" t="s">
        <v>2324</v>
      </c>
      <c r="B2018" t="s">
        <v>193</v>
      </c>
      <c r="C2018" t="s">
        <v>52</v>
      </c>
      <c r="D2018" s="49">
        <v>45598</v>
      </c>
      <c r="E2018" s="49">
        <v>45600</v>
      </c>
      <c r="F2018" s="49">
        <v>45604</v>
      </c>
      <c r="G2018" s="49">
        <v>45611</v>
      </c>
      <c r="H2018" s="49">
        <v>45616</v>
      </c>
      <c r="I2018" s="49">
        <v>45619</v>
      </c>
      <c r="J2018" t="s">
        <v>49</v>
      </c>
      <c r="K2018" s="33">
        <v>7900</v>
      </c>
      <c r="L2018" t="s">
        <v>62</v>
      </c>
      <c r="M2018" t="str">
        <f>_xlfn.XLOOKUP(Pipeline_tbl[[#This Row],[Rep_ID]],Dim_Reps!A:A,Dim_Reps!K:K)</f>
        <v>USD</v>
      </c>
      <c r="N2018" s="33">
        <f>(_xlfn.XLOOKUP(Pipeline_tbl[[#This Row],[Rate_Code_Generalized]],Lookups!A:A,Lookups!B:B))*Pipeline_tbl[[#This Row],[Pipeline_Amount_USD]]</f>
        <v>9197.9699999999993</v>
      </c>
      <c r="O2018" t="str">
        <f>_xlfn.XLOOKUP(Pipeline_tbl[[#This Row],[Rep_ID]],Dim_Reps!A:A,Dim_Reps!B:B)</f>
        <v>Karim Rossi</v>
      </c>
      <c r="P2018" t="str">
        <f>_xlfn.XLOOKUP(Pipeline_tbl[[#This Row],[Rep_ID]],Dim_Reps!A:A,Dim_Reps!C:C)</f>
        <v>SDR / Inside Sales Rep</v>
      </c>
      <c r="Q2018" t="str">
        <f>_xlfn.XLOOKUP(Pipeline_tbl[[#This Row],[Rep_ID]],Dim_Reps!A:A,Dim_Reps!D:D)</f>
        <v>Inside Sales</v>
      </c>
      <c r="R2018" t="str">
        <f>_xlfn.XLOOKUP(Pipeline_tbl[[#This Row],[Rep_ID]],Dim_Reps!A:A,Dim_Reps!E:E)</f>
        <v>NAMER</v>
      </c>
      <c r="S2018" t="str">
        <f>_xlfn.XLOOKUP(Pipeline_tbl[[#This Row],[Created_Date]],Dim_Date!A:A,Dim_Date!H:H)</f>
        <v>Nov 2024</v>
      </c>
      <c r="T2018" t="str">
        <f>IF(Pipeline_tbl[[#This Row],[Closed_Date]]=0,"",(_xlfn.XLOOKUP(Pipeline_tbl[[#This Row],[Closed_Date]],Dim_Date!A:A,Dim_Date!H:H)))</f>
        <v>Nov 2024</v>
      </c>
      <c r="U2018">
        <f>IF(Pipeline_tbl[[#This Row],[Closed_Date]]=0,"",Pipeline_tbl[[#This Row],[Closed_Date]]-Pipeline_tbl[[#This Row],[Created_Date]])</f>
        <v>21</v>
      </c>
    </row>
    <row r="2019" spans="1:21" ht="15" customHeight="1" x14ac:dyDescent="0.2">
      <c r="A2019" t="s">
        <v>2325</v>
      </c>
      <c r="B2019" t="s">
        <v>193</v>
      </c>
      <c r="C2019" t="s">
        <v>52</v>
      </c>
      <c r="D2019" s="49">
        <v>45606</v>
      </c>
      <c r="E2019" s="49">
        <v>45608</v>
      </c>
      <c r="F2019" s="49">
        <v>45611</v>
      </c>
      <c r="G2019" s="49">
        <v>45616</v>
      </c>
      <c r="H2019" s="49">
        <v>45620</v>
      </c>
      <c r="I2019" s="49">
        <v>45623</v>
      </c>
      <c r="J2019" t="s">
        <v>47</v>
      </c>
      <c r="K2019" s="33">
        <v>3100</v>
      </c>
      <c r="M2019" t="str">
        <f>_xlfn.XLOOKUP(Pipeline_tbl[[#This Row],[Rep_ID]],Dim_Reps!A:A,Dim_Reps!K:K)</f>
        <v>USD</v>
      </c>
      <c r="N2019" s="33">
        <f>(_xlfn.XLOOKUP(Pipeline_tbl[[#This Row],[Rate_Code_Generalized]],Lookups!A:A,Lookups!B:B))*Pipeline_tbl[[#This Row],[Pipeline_Amount_USD]]</f>
        <v>3609.3299999999995</v>
      </c>
      <c r="O2019" t="str">
        <f>_xlfn.XLOOKUP(Pipeline_tbl[[#This Row],[Rep_ID]],Dim_Reps!A:A,Dim_Reps!B:B)</f>
        <v>Karim Rossi</v>
      </c>
      <c r="P2019" t="str">
        <f>_xlfn.XLOOKUP(Pipeline_tbl[[#This Row],[Rep_ID]],Dim_Reps!A:A,Dim_Reps!C:C)</f>
        <v>SDR / Inside Sales Rep</v>
      </c>
      <c r="Q2019" t="str">
        <f>_xlfn.XLOOKUP(Pipeline_tbl[[#This Row],[Rep_ID]],Dim_Reps!A:A,Dim_Reps!D:D)</f>
        <v>Inside Sales</v>
      </c>
      <c r="R2019" t="str">
        <f>_xlfn.XLOOKUP(Pipeline_tbl[[#This Row],[Rep_ID]],Dim_Reps!A:A,Dim_Reps!E:E)</f>
        <v>NAMER</v>
      </c>
      <c r="S2019" t="str">
        <f>_xlfn.XLOOKUP(Pipeline_tbl[[#This Row],[Created_Date]],Dim_Date!A:A,Dim_Date!H:H)</f>
        <v>Nov 2024</v>
      </c>
      <c r="T2019" t="str">
        <f>IF(Pipeline_tbl[[#This Row],[Closed_Date]]=0,"",(_xlfn.XLOOKUP(Pipeline_tbl[[#This Row],[Closed_Date]],Dim_Date!A:A,Dim_Date!H:H)))</f>
        <v>Nov 2024</v>
      </c>
      <c r="U2019">
        <f>IF(Pipeline_tbl[[#This Row],[Closed_Date]]=0,"",Pipeline_tbl[[#This Row],[Closed_Date]]-Pipeline_tbl[[#This Row],[Created_Date]])</f>
        <v>17</v>
      </c>
    </row>
    <row r="2020" spans="1:21" ht="15" customHeight="1" x14ac:dyDescent="0.2">
      <c r="A2020" t="s">
        <v>2326</v>
      </c>
      <c r="B2020" t="s">
        <v>196</v>
      </c>
      <c r="C2020" t="s">
        <v>52</v>
      </c>
      <c r="D2020" s="49">
        <v>45606</v>
      </c>
      <c r="E2020" s="49">
        <v>45607</v>
      </c>
      <c r="F2020" s="49">
        <v>45610</v>
      </c>
      <c r="I2020" s="49">
        <v>45620</v>
      </c>
      <c r="J2020" t="s">
        <v>49</v>
      </c>
      <c r="K2020" s="33">
        <v>9800</v>
      </c>
      <c r="L2020" t="s">
        <v>61</v>
      </c>
      <c r="M2020" t="str">
        <f>_xlfn.XLOOKUP(Pipeline_tbl[[#This Row],[Rep_ID]],Dim_Reps!A:A,Dim_Reps!K:K)</f>
        <v>EUR</v>
      </c>
      <c r="N2020" s="33">
        <f>(_xlfn.XLOOKUP(Pipeline_tbl[[#This Row],[Rate_Code_Generalized]],Lookups!A:A,Lookups!B:B))*Pipeline_tbl[[#This Row],[Pipeline_Amount_USD]]</f>
        <v>9800</v>
      </c>
      <c r="O2020" t="str">
        <f>_xlfn.XLOOKUP(Pipeline_tbl[[#This Row],[Rep_ID]],Dim_Reps!A:A,Dim_Reps!B:B)</f>
        <v>Alex Okafor</v>
      </c>
      <c r="P2020" t="str">
        <f>_xlfn.XLOOKUP(Pipeline_tbl[[#This Row],[Rep_ID]],Dim_Reps!A:A,Dim_Reps!C:C)</f>
        <v>SDR / Inside Sales Rep</v>
      </c>
      <c r="Q2020" t="str">
        <f>_xlfn.XLOOKUP(Pipeline_tbl[[#This Row],[Rep_ID]],Dim_Reps!A:A,Dim_Reps!D:D)</f>
        <v>Inside Sales</v>
      </c>
      <c r="R2020" t="str">
        <f>_xlfn.XLOOKUP(Pipeline_tbl[[#This Row],[Rep_ID]],Dim_Reps!A:A,Dim_Reps!E:E)</f>
        <v>EMEA</v>
      </c>
      <c r="S2020" t="str">
        <f>_xlfn.XLOOKUP(Pipeline_tbl[[#This Row],[Created_Date]],Dim_Date!A:A,Dim_Date!H:H)</f>
        <v>Nov 2024</v>
      </c>
      <c r="T2020" t="str">
        <f>IF(Pipeline_tbl[[#This Row],[Closed_Date]]=0,"",(_xlfn.XLOOKUP(Pipeline_tbl[[#This Row],[Closed_Date]],Dim_Date!A:A,Dim_Date!H:H)))</f>
        <v>Nov 2024</v>
      </c>
      <c r="U2020">
        <f>IF(Pipeline_tbl[[#This Row],[Closed_Date]]=0,"",Pipeline_tbl[[#This Row],[Closed_Date]]-Pipeline_tbl[[#This Row],[Created_Date]])</f>
        <v>14</v>
      </c>
    </row>
    <row r="2021" spans="1:21" ht="15" customHeight="1" x14ac:dyDescent="0.2">
      <c r="A2021" t="s">
        <v>2327</v>
      </c>
      <c r="B2021" t="s">
        <v>196</v>
      </c>
      <c r="C2021" t="s">
        <v>53</v>
      </c>
      <c r="D2021" s="49">
        <v>45609</v>
      </c>
      <c r="E2021" s="49">
        <v>45610</v>
      </c>
      <c r="F2021" s="49">
        <v>45613</v>
      </c>
      <c r="G2021" s="49">
        <v>45617</v>
      </c>
      <c r="H2021" s="49">
        <v>45621</v>
      </c>
      <c r="I2021" s="49">
        <v>45623</v>
      </c>
      <c r="J2021" t="s">
        <v>49</v>
      </c>
      <c r="K2021" s="33">
        <v>2300</v>
      </c>
      <c r="L2021" t="s">
        <v>60</v>
      </c>
      <c r="M2021" t="str">
        <f>_xlfn.XLOOKUP(Pipeline_tbl[[#This Row],[Rep_ID]],Dim_Reps!A:A,Dim_Reps!K:K)</f>
        <v>EUR</v>
      </c>
      <c r="N2021" s="33">
        <f>(_xlfn.XLOOKUP(Pipeline_tbl[[#This Row],[Rate_Code_Generalized]],Lookups!A:A,Lookups!B:B))*Pipeline_tbl[[#This Row],[Pipeline_Amount_USD]]</f>
        <v>2300</v>
      </c>
      <c r="O2021" t="str">
        <f>_xlfn.XLOOKUP(Pipeline_tbl[[#This Row],[Rep_ID]],Dim_Reps!A:A,Dim_Reps!B:B)</f>
        <v>Alex Okafor</v>
      </c>
      <c r="P2021" t="str">
        <f>_xlfn.XLOOKUP(Pipeline_tbl[[#This Row],[Rep_ID]],Dim_Reps!A:A,Dim_Reps!C:C)</f>
        <v>SDR / Inside Sales Rep</v>
      </c>
      <c r="Q2021" t="str">
        <f>_xlfn.XLOOKUP(Pipeline_tbl[[#This Row],[Rep_ID]],Dim_Reps!A:A,Dim_Reps!D:D)</f>
        <v>Inside Sales</v>
      </c>
      <c r="R2021" t="str">
        <f>_xlfn.XLOOKUP(Pipeline_tbl[[#This Row],[Rep_ID]],Dim_Reps!A:A,Dim_Reps!E:E)</f>
        <v>EMEA</v>
      </c>
      <c r="S2021" t="str">
        <f>_xlfn.XLOOKUP(Pipeline_tbl[[#This Row],[Created_Date]],Dim_Date!A:A,Dim_Date!H:H)</f>
        <v>Nov 2024</v>
      </c>
      <c r="T2021" t="str">
        <f>IF(Pipeline_tbl[[#This Row],[Closed_Date]]=0,"",(_xlfn.XLOOKUP(Pipeline_tbl[[#This Row],[Closed_Date]],Dim_Date!A:A,Dim_Date!H:H)))</f>
        <v>Nov 2024</v>
      </c>
      <c r="U2021">
        <f>IF(Pipeline_tbl[[#This Row],[Closed_Date]]=0,"",Pipeline_tbl[[#This Row],[Closed_Date]]-Pipeline_tbl[[#This Row],[Created_Date]])</f>
        <v>14</v>
      </c>
    </row>
    <row r="2022" spans="1:21" ht="15" customHeight="1" x14ac:dyDescent="0.2">
      <c r="A2022" t="s">
        <v>2328</v>
      </c>
      <c r="B2022" t="s">
        <v>196</v>
      </c>
      <c r="C2022" t="s">
        <v>54</v>
      </c>
      <c r="D2022" s="49">
        <v>45610</v>
      </c>
      <c r="E2022" s="49">
        <v>45611</v>
      </c>
      <c r="F2022" s="49">
        <v>45614</v>
      </c>
      <c r="G2022" s="49">
        <v>45617</v>
      </c>
      <c r="H2022" s="49">
        <v>45620</v>
      </c>
      <c r="I2022" s="49">
        <v>45622</v>
      </c>
      <c r="J2022" t="s">
        <v>49</v>
      </c>
      <c r="K2022" s="33">
        <v>4000</v>
      </c>
      <c r="L2022" t="s">
        <v>60</v>
      </c>
      <c r="M2022" t="str">
        <f>_xlfn.XLOOKUP(Pipeline_tbl[[#This Row],[Rep_ID]],Dim_Reps!A:A,Dim_Reps!K:K)</f>
        <v>EUR</v>
      </c>
      <c r="N2022" s="33">
        <f>(_xlfn.XLOOKUP(Pipeline_tbl[[#This Row],[Rate_Code_Generalized]],Lookups!A:A,Lookups!B:B))*Pipeline_tbl[[#This Row],[Pipeline_Amount_USD]]</f>
        <v>4000</v>
      </c>
      <c r="O2022" t="str">
        <f>_xlfn.XLOOKUP(Pipeline_tbl[[#This Row],[Rep_ID]],Dim_Reps!A:A,Dim_Reps!B:B)</f>
        <v>Alex Okafor</v>
      </c>
      <c r="P2022" t="str">
        <f>_xlfn.XLOOKUP(Pipeline_tbl[[#This Row],[Rep_ID]],Dim_Reps!A:A,Dim_Reps!C:C)</f>
        <v>SDR / Inside Sales Rep</v>
      </c>
      <c r="Q2022" t="str">
        <f>_xlfn.XLOOKUP(Pipeline_tbl[[#This Row],[Rep_ID]],Dim_Reps!A:A,Dim_Reps!D:D)</f>
        <v>Inside Sales</v>
      </c>
      <c r="R2022" t="str">
        <f>_xlfn.XLOOKUP(Pipeline_tbl[[#This Row],[Rep_ID]],Dim_Reps!A:A,Dim_Reps!E:E)</f>
        <v>EMEA</v>
      </c>
      <c r="S2022" t="str">
        <f>_xlfn.XLOOKUP(Pipeline_tbl[[#This Row],[Created_Date]],Dim_Date!A:A,Dim_Date!H:H)</f>
        <v>Nov 2024</v>
      </c>
      <c r="T2022" t="str">
        <f>IF(Pipeline_tbl[[#This Row],[Closed_Date]]=0,"",(_xlfn.XLOOKUP(Pipeline_tbl[[#This Row],[Closed_Date]],Dim_Date!A:A,Dim_Date!H:H)))</f>
        <v>Nov 2024</v>
      </c>
      <c r="U2022">
        <f>IF(Pipeline_tbl[[#This Row],[Closed_Date]]=0,"",Pipeline_tbl[[#This Row],[Closed_Date]]-Pipeline_tbl[[#This Row],[Created_Date]])</f>
        <v>12</v>
      </c>
    </row>
    <row r="2023" spans="1:21" ht="15" customHeight="1" x14ac:dyDescent="0.2">
      <c r="A2023" t="s">
        <v>2329</v>
      </c>
      <c r="B2023" t="s">
        <v>199</v>
      </c>
      <c r="C2023" t="s">
        <v>52</v>
      </c>
      <c r="D2023" s="49">
        <v>45607</v>
      </c>
      <c r="E2023" s="49">
        <v>45609</v>
      </c>
      <c r="F2023" s="49">
        <v>45613</v>
      </c>
      <c r="G2023" s="49">
        <v>45618</v>
      </c>
      <c r="H2023" s="49">
        <v>45623</v>
      </c>
      <c r="I2023" s="49">
        <v>45626</v>
      </c>
      <c r="J2023" t="s">
        <v>47</v>
      </c>
      <c r="K2023" s="33">
        <v>5900</v>
      </c>
      <c r="M2023" t="str">
        <f>_xlfn.XLOOKUP(Pipeline_tbl[[#This Row],[Rep_ID]],Dim_Reps!A:A,Dim_Reps!K:K)</f>
        <v>EUR</v>
      </c>
      <c r="N2023" s="33">
        <f>(_xlfn.XLOOKUP(Pipeline_tbl[[#This Row],[Rate_Code_Generalized]],Lookups!A:A,Lookups!B:B))*Pipeline_tbl[[#This Row],[Pipeline_Amount_USD]]</f>
        <v>5900</v>
      </c>
      <c r="O2023" t="str">
        <f>_xlfn.XLOOKUP(Pipeline_tbl[[#This Row],[Rep_ID]],Dim_Reps!A:A,Dim_Reps!B:B)</f>
        <v>Lucas Okafor</v>
      </c>
      <c r="P2023" t="str">
        <f>_xlfn.XLOOKUP(Pipeline_tbl[[#This Row],[Rep_ID]],Dim_Reps!A:A,Dim_Reps!C:C)</f>
        <v>SDR / Inside Sales Rep</v>
      </c>
      <c r="Q2023" t="str">
        <f>_xlfn.XLOOKUP(Pipeline_tbl[[#This Row],[Rep_ID]],Dim_Reps!A:A,Dim_Reps!D:D)</f>
        <v>Inside Sales</v>
      </c>
      <c r="R2023" t="str">
        <f>_xlfn.XLOOKUP(Pipeline_tbl[[#This Row],[Rep_ID]],Dim_Reps!A:A,Dim_Reps!E:E)</f>
        <v>APAC</v>
      </c>
      <c r="S2023" t="str">
        <f>_xlfn.XLOOKUP(Pipeline_tbl[[#This Row],[Created_Date]],Dim_Date!A:A,Dim_Date!H:H)</f>
        <v>Nov 2024</v>
      </c>
      <c r="T2023" t="str">
        <f>IF(Pipeline_tbl[[#This Row],[Closed_Date]]=0,"",(_xlfn.XLOOKUP(Pipeline_tbl[[#This Row],[Closed_Date]],Dim_Date!A:A,Dim_Date!H:H)))</f>
        <v>Nov 2024</v>
      </c>
      <c r="U2023">
        <f>IF(Pipeline_tbl[[#This Row],[Closed_Date]]=0,"",Pipeline_tbl[[#This Row],[Closed_Date]]-Pipeline_tbl[[#This Row],[Created_Date]])</f>
        <v>19</v>
      </c>
    </row>
    <row r="2024" spans="1:21" ht="15" customHeight="1" x14ac:dyDescent="0.2">
      <c r="A2024" t="s">
        <v>2330</v>
      </c>
      <c r="B2024" t="s">
        <v>199</v>
      </c>
      <c r="C2024" t="s">
        <v>52</v>
      </c>
      <c r="D2024" s="49">
        <v>45605</v>
      </c>
      <c r="E2024" s="49">
        <v>45607</v>
      </c>
      <c r="F2024" s="49">
        <v>45611</v>
      </c>
      <c r="I2024" s="49">
        <v>45625</v>
      </c>
      <c r="J2024" t="s">
        <v>49</v>
      </c>
      <c r="K2024" s="33">
        <v>5100</v>
      </c>
      <c r="L2024" t="s">
        <v>62</v>
      </c>
      <c r="M2024" t="str">
        <f>_xlfn.XLOOKUP(Pipeline_tbl[[#This Row],[Rep_ID]],Dim_Reps!A:A,Dim_Reps!K:K)</f>
        <v>EUR</v>
      </c>
      <c r="N2024" s="33">
        <f>(_xlfn.XLOOKUP(Pipeline_tbl[[#This Row],[Rate_Code_Generalized]],Lookups!A:A,Lookups!B:B))*Pipeline_tbl[[#This Row],[Pipeline_Amount_USD]]</f>
        <v>5100</v>
      </c>
      <c r="O2024" t="str">
        <f>_xlfn.XLOOKUP(Pipeline_tbl[[#This Row],[Rep_ID]],Dim_Reps!A:A,Dim_Reps!B:B)</f>
        <v>Lucas Okafor</v>
      </c>
      <c r="P2024" t="str">
        <f>_xlfn.XLOOKUP(Pipeline_tbl[[#This Row],[Rep_ID]],Dim_Reps!A:A,Dim_Reps!C:C)</f>
        <v>SDR / Inside Sales Rep</v>
      </c>
      <c r="Q2024" t="str">
        <f>_xlfn.XLOOKUP(Pipeline_tbl[[#This Row],[Rep_ID]],Dim_Reps!A:A,Dim_Reps!D:D)</f>
        <v>Inside Sales</v>
      </c>
      <c r="R2024" t="str">
        <f>_xlfn.XLOOKUP(Pipeline_tbl[[#This Row],[Rep_ID]],Dim_Reps!A:A,Dim_Reps!E:E)</f>
        <v>APAC</v>
      </c>
      <c r="S2024" t="str">
        <f>_xlfn.XLOOKUP(Pipeline_tbl[[#This Row],[Created_Date]],Dim_Date!A:A,Dim_Date!H:H)</f>
        <v>Nov 2024</v>
      </c>
      <c r="T2024" t="str">
        <f>IF(Pipeline_tbl[[#This Row],[Closed_Date]]=0,"",(_xlfn.XLOOKUP(Pipeline_tbl[[#This Row],[Closed_Date]],Dim_Date!A:A,Dim_Date!H:H)))</f>
        <v>Nov 2024</v>
      </c>
      <c r="U2024">
        <f>IF(Pipeline_tbl[[#This Row],[Closed_Date]]=0,"",Pipeline_tbl[[#This Row],[Closed_Date]]-Pipeline_tbl[[#This Row],[Created_Date]])</f>
        <v>20</v>
      </c>
    </row>
    <row r="2025" spans="1:21" ht="15" customHeight="1" x14ac:dyDescent="0.2">
      <c r="A2025" t="s">
        <v>2331</v>
      </c>
      <c r="B2025" t="s">
        <v>181</v>
      </c>
      <c r="C2025" t="s">
        <v>52</v>
      </c>
      <c r="D2025" s="49">
        <v>45610</v>
      </c>
      <c r="E2025" s="49">
        <v>45611</v>
      </c>
      <c r="F2025" s="49">
        <v>45614</v>
      </c>
      <c r="G2025" s="49">
        <v>45618</v>
      </c>
      <c r="H2025" s="49">
        <v>45622</v>
      </c>
      <c r="I2025" s="49">
        <v>45624</v>
      </c>
      <c r="J2025" t="s">
        <v>47</v>
      </c>
      <c r="K2025" s="33">
        <v>19900</v>
      </c>
      <c r="M2025" t="str">
        <f>_xlfn.XLOOKUP(Pipeline_tbl[[#This Row],[Rep_ID]],Dim_Reps!A:A,Dim_Reps!K:K)</f>
        <v>USD</v>
      </c>
      <c r="N2025" s="33">
        <f>(_xlfn.XLOOKUP(Pipeline_tbl[[#This Row],[Rate_Code_Generalized]],Lookups!A:A,Lookups!B:B))*Pipeline_tbl[[#This Row],[Pipeline_Amount_USD]]</f>
        <v>23169.569999999996</v>
      </c>
      <c r="O2025" t="str">
        <f>_xlfn.XLOOKUP(Pipeline_tbl[[#This Row],[Rep_ID]],Dim_Reps!A:A,Dim_Reps!B:B)</f>
        <v>Milo Weber</v>
      </c>
      <c r="P2025" t="str">
        <f>_xlfn.XLOOKUP(Pipeline_tbl[[#This Row],[Rep_ID]],Dim_Reps!A:A,Dim_Reps!C:C)</f>
        <v>Enterprise AE</v>
      </c>
      <c r="Q2025" t="str">
        <f>_xlfn.XLOOKUP(Pipeline_tbl[[#This Row],[Rep_ID]],Dim_Reps!A:A,Dim_Reps!D:D)</f>
        <v>Enterprise</v>
      </c>
      <c r="R2025" t="str">
        <f>_xlfn.XLOOKUP(Pipeline_tbl[[#This Row],[Rep_ID]],Dim_Reps!A:A,Dim_Reps!E:E)</f>
        <v>NAMER</v>
      </c>
      <c r="S2025" t="str">
        <f>_xlfn.XLOOKUP(Pipeline_tbl[[#This Row],[Created_Date]],Dim_Date!A:A,Dim_Date!H:H)</f>
        <v>Nov 2024</v>
      </c>
      <c r="T2025" t="str">
        <f>IF(Pipeline_tbl[[#This Row],[Closed_Date]]=0,"",(_xlfn.XLOOKUP(Pipeline_tbl[[#This Row],[Closed_Date]],Dim_Date!A:A,Dim_Date!H:H)))</f>
        <v>Nov 2024</v>
      </c>
      <c r="U2025">
        <f>IF(Pipeline_tbl[[#This Row],[Closed_Date]]=0,"",Pipeline_tbl[[#This Row],[Closed_Date]]-Pipeline_tbl[[#This Row],[Created_Date]])</f>
        <v>14</v>
      </c>
    </row>
    <row r="2026" spans="1:21" ht="15" customHeight="1" x14ac:dyDescent="0.2">
      <c r="A2026" t="s">
        <v>2332</v>
      </c>
      <c r="B2026" t="s">
        <v>203</v>
      </c>
      <c r="C2026" t="s">
        <v>53</v>
      </c>
      <c r="D2026" s="49">
        <v>45600</v>
      </c>
      <c r="E2026" s="49">
        <v>45601</v>
      </c>
      <c r="F2026" s="49">
        <v>45603</v>
      </c>
      <c r="G2026" s="49">
        <v>45605</v>
      </c>
      <c r="I2026" s="49">
        <v>45609</v>
      </c>
      <c r="J2026" t="s">
        <v>49</v>
      </c>
      <c r="K2026" s="33">
        <v>1600</v>
      </c>
      <c r="L2026" t="s">
        <v>60</v>
      </c>
      <c r="M2026" t="str">
        <f>_xlfn.XLOOKUP(Pipeline_tbl[[#This Row],[Rep_ID]],Dim_Reps!A:A,Dim_Reps!K:K)</f>
        <v>EUR</v>
      </c>
      <c r="N2026" s="33">
        <f>(_xlfn.XLOOKUP(Pipeline_tbl[[#This Row],[Rate_Code_Generalized]],Lookups!A:A,Lookups!B:B))*Pipeline_tbl[[#This Row],[Pipeline_Amount_USD]]</f>
        <v>1600</v>
      </c>
      <c r="O2026" t="str">
        <f>_xlfn.XLOOKUP(Pipeline_tbl[[#This Row],[Rep_ID]],Dim_Reps!A:A,Dim_Reps!B:B)</f>
        <v>Riley Haddad</v>
      </c>
      <c r="P2026" t="str">
        <f>_xlfn.XLOOKUP(Pipeline_tbl[[#This Row],[Rep_ID]],Dim_Reps!A:A,Dim_Reps!C:C)</f>
        <v>SDR / Inside Sales Rep</v>
      </c>
      <c r="Q2026" t="str">
        <f>_xlfn.XLOOKUP(Pipeline_tbl[[#This Row],[Rep_ID]],Dim_Reps!A:A,Dim_Reps!D:D)</f>
        <v>Inside Sales</v>
      </c>
      <c r="R2026" t="str">
        <f>_xlfn.XLOOKUP(Pipeline_tbl[[#This Row],[Rep_ID]],Dim_Reps!A:A,Dim_Reps!E:E)</f>
        <v>APAC</v>
      </c>
      <c r="S2026" t="str">
        <f>_xlfn.XLOOKUP(Pipeline_tbl[[#This Row],[Created_Date]],Dim_Date!A:A,Dim_Date!H:H)</f>
        <v>Nov 2024</v>
      </c>
      <c r="T2026" t="str">
        <f>IF(Pipeline_tbl[[#This Row],[Closed_Date]]=0,"",(_xlfn.XLOOKUP(Pipeline_tbl[[#This Row],[Closed_Date]],Dim_Date!A:A,Dim_Date!H:H)))</f>
        <v>Nov 2024</v>
      </c>
      <c r="U2026">
        <f>IF(Pipeline_tbl[[#This Row],[Closed_Date]]=0,"",Pipeline_tbl[[#This Row],[Closed_Date]]-Pipeline_tbl[[#This Row],[Created_Date]])</f>
        <v>9</v>
      </c>
    </row>
    <row r="2027" spans="1:21" ht="15" customHeight="1" x14ac:dyDescent="0.2">
      <c r="A2027" t="s">
        <v>2333</v>
      </c>
      <c r="B2027" t="s">
        <v>203</v>
      </c>
      <c r="C2027" t="s">
        <v>52</v>
      </c>
      <c r="D2027" s="49">
        <v>45600</v>
      </c>
      <c r="E2027" s="49">
        <v>45602</v>
      </c>
      <c r="F2027" s="49">
        <v>45605</v>
      </c>
      <c r="I2027" s="49">
        <v>45617</v>
      </c>
      <c r="J2027" t="s">
        <v>49</v>
      </c>
      <c r="K2027" s="33">
        <v>3400</v>
      </c>
      <c r="L2027" t="s">
        <v>63</v>
      </c>
      <c r="M2027" t="str">
        <f>_xlfn.XLOOKUP(Pipeline_tbl[[#This Row],[Rep_ID]],Dim_Reps!A:A,Dim_Reps!K:K)</f>
        <v>EUR</v>
      </c>
      <c r="N2027" s="33">
        <f>(_xlfn.XLOOKUP(Pipeline_tbl[[#This Row],[Rate_Code_Generalized]],Lookups!A:A,Lookups!B:B))*Pipeline_tbl[[#This Row],[Pipeline_Amount_USD]]</f>
        <v>3400</v>
      </c>
      <c r="O2027" t="str">
        <f>_xlfn.XLOOKUP(Pipeline_tbl[[#This Row],[Rep_ID]],Dim_Reps!A:A,Dim_Reps!B:B)</f>
        <v>Riley Haddad</v>
      </c>
      <c r="P2027" t="str">
        <f>_xlfn.XLOOKUP(Pipeline_tbl[[#This Row],[Rep_ID]],Dim_Reps!A:A,Dim_Reps!C:C)</f>
        <v>SDR / Inside Sales Rep</v>
      </c>
      <c r="Q2027" t="str">
        <f>_xlfn.XLOOKUP(Pipeline_tbl[[#This Row],[Rep_ID]],Dim_Reps!A:A,Dim_Reps!D:D)</f>
        <v>Inside Sales</v>
      </c>
      <c r="R2027" t="str">
        <f>_xlfn.XLOOKUP(Pipeline_tbl[[#This Row],[Rep_ID]],Dim_Reps!A:A,Dim_Reps!E:E)</f>
        <v>APAC</v>
      </c>
      <c r="S2027" t="str">
        <f>_xlfn.XLOOKUP(Pipeline_tbl[[#This Row],[Created_Date]],Dim_Date!A:A,Dim_Date!H:H)</f>
        <v>Nov 2024</v>
      </c>
      <c r="T2027" t="str">
        <f>IF(Pipeline_tbl[[#This Row],[Closed_Date]]=0,"",(_xlfn.XLOOKUP(Pipeline_tbl[[#This Row],[Closed_Date]],Dim_Date!A:A,Dim_Date!H:H)))</f>
        <v>Nov 2024</v>
      </c>
      <c r="U2027">
        <f>IF(Pipeline_tbl[[#This Row],[Closed_Date]]=0,"",Pipeline_tbl[[#This Row],[Closed_Date]]-Pipeline_tbl[[#This Row],[Created_Date]])</f>
        <v>17</v>
      </c>
    </row>
    <row r="2028" spans="1:21" ht="15" customHeight="1" x14ac:dyDescent="0.2">
      <c r="A2028" t="s">
        <v>2334</v>
      </c>
      <c r="B2028" t="s">
        <v>203</v>
      </c>
      <c r="C2028" t="s">
        <v>55</v>
      </c>
      <c r="D2028" s="49">
        <v>45602</v>
      </c>
      <c r="E2028" s="49">
        <v>45604</v>
      </c>
      <c r="F2028" s="49">
        <v>45607</v>
      </c>
      <c r="G2028" s="49">
        <v>45612</v>
      </c>
      <c r="I2028" s="49">
        <v>45619</v>
      </c>
      <c r="J2028" t="s">
        <v>49</v>
      </c>
      <c r="K2028" s="33">
        <v>3500</v>
      </c>
      <c r="L2028" t="s">
        <v>62</v>
      </c>
      <c r="M2028" t="str">
        <f>_xlfn.XLOOKUP(Pipeline_tbl[[#This Row],[Rep_ID]],Dim_Reps!A:A,Dim_Reps!K:K)</f>
        <v>EUR</v>
      </c>
      <c r="N2028" s="33">
        <f>(_xlfn.XLOOKUP(Pipeline_tbl[[#This Row],[Rate_Code_Generalized]],Lookups!A:A,Lookups!B:B))*Pipeline_tbl[[#This Row],[Pipeline_Amount_USD]]</f>
        <v>3500</v>
      </c>
      <c r="O2028" t="str">
        <f>_xlfn.XLOOKUP(Pipeline_tbl[[#This Row],[Rep_ID]],Dim_Reps!A:A,Dim_Reps!B:B)</f>
        <v>Riley Haddad</v>
      </c>
      <c r="P2028" t="str">
        <f>_xlfn.XLOOKUP(Pipeline_tbl[[#This Row],[Rep_ID]],Dim_Reps!A:A,Dim_Reps!C:C)</f>
        <v>SDR / Inside Sales Rep</v>
      </c>
      <c r="Q2028" t="str">
        <f>_xlfn.XLOOKUP(Pipeline_tbl[[#This Row],[Rep_ID]],Dim_Reps!A:A,Dim_Reps!D:D)</f>
        <v>Inside Sales</v>
      </c>
      <c r="R2028" t="str">
        <f>_xlfn.XLOOKUP(Pipeline_tbl[[#This Row],[Rep_ID]],Dim_Reps!A:A,Dim_Reps!E:E)</f>
        <v>APAC</v>
      </c>
      <c r="S2028" t="str">
        <f>_xlfn.XLOOKUP(Pipeline_tbl[[#This Row],[Created_Date]],Dim_Date!A:A,Dim_Date!H:H)</f>
        <v>Nov 2024</v>
      </c>
      <c r="T2028" t="str">
        <f>IF(Pipeline_tbl[[#This Row],[Closed_Date]]=0,"",(_xlfn.XLOOKUP(Pipeline_tbl[[#This Row],[Closed_Date]],Dim_Date!A:A,Dim_Date!H:H)))</f>
        <v>Nov 2024</v>
      </c>
      <c r="U2028">
        <f>IF(Pipeline_tbl[[#This Row],[Closed_Date]]=0,"",Pipeline_tbl[[#This Row],[Closed_Date]]-Pipeline_tbl[[#This Row],[Created_Date]])</f>
        <v>17</v>
      </c>
    </row>
    <row r="2029" spans="1:21" ht="15" customHeight="1" x14ac:dyDescent="0.2">
      <c r="A2029" t="s">
        <v>2335</v>
      </c>
      <c r="B2029" t="s">
        <v>205</v>
      </c>
      <c r="C2029" t="s">
        <v>52</v>
      </c>
      <c r="D2029" s="49">
        <v>45603</v>
      </c>
      <c r="E2029" s="49">
        <v>45605</v>
      </c>
      <c r="F2029" s="49">
        <v>45608</v>
      </c>
      <c r="G2029" s="49">
        <v>45613</v>
      </c>
      <c r="H2029" s="49">
        <v>45617</v>
      </c>
      <c r="I2029" s="49">
        <v>45620</v>
      </c>
      <c r="J2029" t="s">
        <v>47</v>
      </c>
      <c r="K2029" s="33">
        <v>3300</v>
      </c>
      <c r="M2029" t="str">
        <f>_xlfn.XLOOKUP(Pipeline_tbl[[#This Row],[Rep_ID]],Dim_Reps!A:A,Dim_Reps!K:K)</f>
        <v>EUR</v>
      </c>
      <c r="N2029" s="33">
        <f>(_xlfn.XLOOKUP(Pipeline_tbl[[#This Row],[Rate_Code_Generalized]],Lookups!A:A,Lookups!B:B))*Pipeline_tbl[[#This Row],[Pipeline_Amount_USD]]</f>
        <v>3300</v>
      </c>
      <c r="O2029" t="str">
        <f>_xlfn.XLOOKUP(Pipeline_tbl[[#This Row],[Rep_ID]],Dim_Reps!A:A,Dim_Reps!B:B)</f>
        <v>Karim Alvarez</v>
      </c>
      <c r="P2029" t="str">
        <f>_xlfn.XLOOKUP(Pipeline_tbl[[#This Row],[Rep_ID]],Dim_Reps!A:A,Dim_Reps!C:C)</f>
        <v>SDR / Inside Sales Rep</v>
      </c>
      <c r="Q2029" t="str">
        <f>_xlfn.XLOOKUP(Pipeline_tbl[[#This Row],[Rep_ID]],Dim_Reps!A:A,Dim_Reps!D:D)</f>
        <v>Inside Sales</v>
      </c>
      <c r="R2029" t="str">
        <f>_xlfn.XLOOKUP(Pipeline_tbl[[#This Row],[Rep_ID]],Dim_Reps!A:A,Dim_Reps!E:E)</f>
        <v>EMEA</v>
      </c>
      <c r="S2029" t="str">
        <f>_xlfn.XLOOKUP(Pipeline_tbl[[#This Row],[Created_Date]],Dim_Date!A:A,Dim_Date!H:H)</f>
        <v>Nov 2024</v>
      </c>
      <c r="T2029" t="str">
        <f>IF(Pipeline_tbl[[#This Row],[Closed_Date]]=0,"",(_xlfn.XLOOKUP(Pipeline_tbl[[#This Row],[Closed_Date]],Dim_Date!A:A,Dim_Date!H:H)))</f>
        <v>Nov 2024</v>
      </c>
      <c r="U2029">
        <f>IF(Pipeline_tbl[[#This Row],[Closed_Date]]=0,"",Pipeline_tbl[[#This Row],[Closed_Date]]-Pipeline_tbl[[#This Row],[Created_Date]])</f>
        <v>17</v>
      </c>
    </row>
    <row r="2030" spans="1:21" ht="15" customHeight="1" x14ac:dyDescent="0.2">
      <c r="A2030" t="s">
        <v>2336</v>
      </c>
      <c r="B2030" t="s">
        <v>205</v>
      </c>
      <c r="C2030" t="s">
        <v>53</v>
      </c>
      <c r="D2030" s="49">
        <v>45604</v>
      </c>
      <c r="E2030" s="49">
        <v>45606</v>
      </c>
      <c r="I2030" s="49">
        <v>45620</v>
      </c>
      <c r="J2030" t="s">
        <v>49</v>
      </c>
      <c r="K2030" s="33">
        <v>2300</v>
      </c>
      <c r="L2030" t="s">
        <v>60</v>
      </c>
      <c r="M2030" t="str">
        <f>_xlfn.XLOOKUP(Pipeline_tbl[[#This Row],[Rep_ID]],Dim_Reps!A:A,Dim_Reps!K:K)</f>
        <v>EUR</v>
      </c>
      <c r="N2030" s="33">
        <f>(_xlfn.XLOOKUP(Pipeline_tbl[[#This Row],[Rate_Code_Generalized]],Lookups!A:A,Lookups!B:B))*Pipeline_tbl[[#This Row],[Pipeline_Amount_USD]]</f>
        <v>2300</v>
      </c>
      <c r="O2030" t="str">
        <f>_xlfn.XLOOKUP(Pipeline_tbl[[#This Row],[Rep_ID]],Dim_Reps!A:A,Dim_Reps!B:B)</f>
        <v>Karim Alvarez</v>
      </c>
      <c r="P2030" t="str">
        <f>_xlfn.XLOOKUP(Pipeline_tbl[[#This Row],[Rep_ID]],Dim_Reps!A:A,Dim_Reps!C:C)</f>
        <v>SDR / Inside Sales Rep</v>
      </c>
      <c r="Q2030" t="str">
        <f>_xlfn.XLOOKUP(Pipeline_tbl[[#This Row],[Rep_ID]],Dim_Reps!A:A,Dim_Reps!D:D)</f>
        <v>Inside Sales</v>
      </c>
      <c r="R2030" t="str">
        <f>_xlfn.XLOOKUP(Pipeline_tbl[[#This Row],[Rep_ID]],Dim_Reps!A:A,Dim_Reps!E:E)</f>
        <v>EMEA</v>
      </c>
      <c r="S2030" t="str">
        <f>_xlfn.XLOOKUP(Pipeline_tbl[[#This Row],[Created_Date]],Dim_Date!A:A,Dim_Date!H:H)</f>
        <v>Nov 2024</v>
      </c>
      <c r="T2030" t="str">
        <f>IF(Pipeline_tbl[[#This Row],[Closed_Date]]=0,"",(_xlfn.XLOOKUP(Pipeline_tbl[[#This Row],[Closed_Date]],Dim_Date!A:A,Dim_Date!H:H)))</f>
        <v>Nov 2024</v>
      </c>
      <c r="U2030">
        <f>IF(Pipeline_tbl[[#This Row],[Closed_Date]]=0,"",Pipeline_tbl[[#This Row],[Closed_Date]]-Pipeline_tbl[[#This Row],[Created_Date]])</f>
        <v>16</v>
      </c>
    </row>
    <row r="2031" spans="1:21" ht="15" customHeight="1" x14ac:dyDescent="0.2">
      <c r="A2031" t="s">
        <v>2337</v>
      </c>
      <c r="B2031" t="s">
        <v>205</v>
      </c>
      <c r="C2031" t="s">
        <v>53</v>
      </c>
      <c r="D2031" s="49">
        <v>45610</v>
      </c>
      <c r="E2031" s="49">
        <v>45612</v>
      </c>
      <c r="F2031" s="49">
        <v>45615</v>
      </c>
      <c r="G2031" s="49">
        <v>45620</v>
      </c>
      <c r="I2031" s="49">
        <v>45626</v>
      </c>
      <c r="J2031" t="s">
        <v>49</v>
      </c>
      <c r="K2031" s="33">
        <v>4300</v>
      </c>
      <c r="L2031" t="s">
        <v>62</v>
      </c>
      <c r="M2031" t="str">
        <f>_xlfn.XLOOKUP(Pipeline_tbl[[#This Row],[Rep_ID]],Dim_Reps!A:A,Dim_Reps!K:K)</f>
        <v>EUR</v>
      </c>
      <c r="N2031" s="33">
        <f>(_xlfn.XLOOKUP(Pipeline_tbl[[#This Row],[Rate_Code_Generalized]],Lookups!A:A,Lookups!B:B))*Pipeline_tbl[[#This Row],[Pipeline_Amount_USD]]</f>
        <v>4300</v>
      </c>
      <c r="O2031" t="str">
        <f>_xlfn.XLOOKUP(Pipeline_tbl[[#This Row],[Rep_ID]],Dim_Reps!A:A,Dim_Reps!B:B)</f>
        <v>Karim Alvarez</v>
      </c>
      <c r="P2031" t="str">
        <f>_xlfn.XLOOKUP(Pipeline_tbl[[#This Row],[Rep_ID]],Dim_Reps!A:A,Dim_Reps!C:C)</f>
        <v>SDR / Inside Sales Rep</v>
      </c>
      <c r="Q2031" t="str">
        <f>_xlfn.XLOOKUP(Pipeline_tbl[[#This Row],[Rep_ID]],Dim_Reps!A:A,Dim_Reps!D:D)</f>
        <v>Inside Sales</v>
      </c>
      <c r="R2031" t="str">
        <f>_xlfn.XLOOKUP(Pipeline_tbl[[#This Row],[Rep_ID]],Dim_Reps!A:A,Dim_Reps!E:E)</f>
        <v>EMEA</v>
      </c>
      <c r="S2031" t="str">
        <f>_xlfn.XLOOKUP(Pipeline_tbl[[#This Row],[Created_Date]],Dim_Date!A:A,Dim_Date!H:H)</f>
        <v>Nov 2024</v>
      </c>
      <c r="T2031" t="str">
        <f>IF(Pipeline_tbl[[#This Row],[Closed_Date]]=0,"",(_xlfn.XLOOKUP(Pipeline_tbl[[#This Row],[Closed_Date]],Dim_Date!A:A,Dim_Date!H:H)))</f>
        <v>Nov 2024</v>
      </c>
      <c r="U2031">
        <f>IF(Pipeline_tbl[[#This Row],[Closed_Date]]=0,"",Pipeline_tbl[[#This Row],[Closed_Date]]-Pipeline_tbl[[#This Row],[Created_Date]])</f>
        <v>16</v>
      </c>
    </row>
    <row r="2032" spans="1:21" ht="15" customHeight="1" x14ac:dyDescent="0.2">
      <c r="A2032" t="s">
        <v>2338</v>
      </c>
      <c r="B2032" t="s">
        <v>205</v>
      </c>
      <c r="C2032" t="s">
        <v>54</v>
      </c>
      <c r="D2032" s="49">
        <v>45607</v>
      </c>
      <c r="E2032" s="49">
        <v>45609</v>
      </c>
      <c r="F2032" s="49">
        <v>45612</v>
      </c>
      <c r="G2032" s="49">
        <v>45618</v>
      </c>
      <c r="H2032" s="49">
        <v>45622</v>
      </c>
      <c r="I2032" s="49">
        <v>45625</v>
      </c>
      <c r="J2032" t="s">
        <v>47</v>
      </c>
      <c r="K2032" s="33">
        <v>6200</v>
      </c>
      <c r="M2032" t="str">
        <f>_xlfn.XLOOKUP(Pipeline_tbl[[#This Row],[Rep_ID]],Dim_Reps!A:A,Dim_Reps!K:K)</f>
        <v>EUR</v>
      </c>
      <c r="N2032" s="33">
        <f>(_xlfn.XLOOKUP(Pipeline_tbl[[#This Row],[Rate_Code_Generalized]],Lookups!A:A,Lookups!B:B))*Pipeline_tbl[[#This Row],[Pipeline_Amount_USD]]</f>
        <v>6200</v>
      </c>
      <c r="O2032" t="str">
        <f>_xlfn.XLOOKUP(Pipeline_tbl[[#This Row],[Rep_ID]],Dim_Reps!A:A,Dim_Reps!B:B)</f>
        <v>Karim Alvarez</v>
      </c>
      <c r="P2032" t="str">
        <f>_xlfn.XLOOKUP(Pipeline_tbl[[#This Row],[Rep_ID]],Dim_Reps!A:A,Dim_Reps!C:C)</f>
        <v>SDR / Inside Sales Rep</v>
      </c>
      <c r="Q2032" t="str">
        <f>_xlfn.XLOOKUP(Pipeline_tbl[[#This Row],[Rep_ID]],Dim_Reps!A:A,Dim_Reps!D:D)</f>
        <v>Inside Sales</v>
      </c>
      <c r="R2032" t="str">
        <f>_xlfn.XLOOKUP(Pipeline_tbl[[#This Row],[Rep_ID]],Dim_Reps!A:A,Dim_Reps!E:E)</f>
        <v>EMEA</v>
      </c>
      <c r="S2032" t="str">
        <f>_xlfn.XLOOKUP(Pipeline_tbl[[#This Row],[Created_Date]],Dim_Date!A:A,Dim_Date!H:H)</f>
        <v>Nov 2024</v>
      </c>
      <c r="T2032" t="str">
        <f>IF(Pipeline_tbl[[#This Row],[Closed_Date]]=0,"",(_xlfn.XLOOKUP(Pipeline_tbl[[#This Row],[Closed_Date]],Dim_Date!A:A,Dim_Date!H:H)))</f>
        <v>Nov 2024</v>
      </c>
      <c r="U2032">
        <f>IF(Pipeline_tbl[[#This Row],[Closed_Date]]=0,"",Pipeline_tbl[[#This Row],[Closed_Date]]-Pipeline_tbl[[#This Row],[Created_Date]])</f>
        <v>18</v>
      </c>
    </row>
    <row r="2033" spans="1:21" ht="15" customHeight="1" x14ac:dyDescent="0.2">
      <c r="A2033" t="s">
        <v>2339</v>
      </c>
      <c r="B2033" t="s">
        <v>207</v>
      </c>
      <c r="C2033" t="s">
        <v>52</v>
      </c>
      <c r="D2033" s="49">
        <v>45604</v>
      </c>
      <c r="E2033" s="49">
        <v>45605</v>
      </c>
      <c r="F2033" s="49">
        <v>45606</v>
      </c>
      <c r="G2033" s="49">
        <v>45608</v>
      </c>
      <c r="I2033" s="49">
        <v>45610</v>
      </c>
      <c r="J2033" t="s">
        <v>49</v>
      </c>
      <c r="K2033" s="33">
        <v>7700</v>
      </c>
      <c r="L2033" t="s">
        <v>60</v>
      </c>
      <c r="M2033" t="str">
        <f>_xlfn.XLOOKUP(Pipeline_tbl[[#This Row],[Rep_ID]],Dim_Reps!A:A,Dim_Reps!K:K)</f>
        <v>EUR</v>
      </c>
      <c r="N2033" s="33">
        <f>(_xlfn.XLOOKUP(Pipeline_tbl[[#This Row],[Rate_Code_Generalized]],Lookups!A:A,Lookups!B:B))*Pipeline_tbl[[#This Row],[Pipeline_Amount_USD]]</f>
        <v>7700</v>
      </c>
      <c r="O2033" t="str">
        <f>_xlfn.XLOOKUP(Pipeline_tbl[[#This Row],[Rep_ID]],Dim_Reps!A:A,Dim_Reps!B:B)</f>
        <v>Sam Castro</v>
      </c>
      <c r="P2033" t="str">
        <f>_xlfn.XLOOKUP(Pipeline_tbl[[#This Row],[Rep_ID]],Dim_Reps!A:A,Dim_Reps!C:C)</f>
        <v>SDR / Inside Sales Rep</v>
      </c>
      <c r="Q2033" t="str">
        <f>_xlfn.XLOOKUP(Pipeline_tbl[[#This Row],[Rep_ID]],Dim_Reps!A:A,Dim_Reps!D:D)</f>
        <v>Inside Sales</v>
      </c>
      <c r="R2033" t="str">
        <f>_xlfn.XLOOKUP(Pipeline_tbl[[#This Row],[Rep_ID]],Dim_Reps!A:A,Dim_Reps!E:E)</f>
        <v>APAC</v>
      </c>
      <c r="S2033" t="str">
        <f>_xlfn.XLOOKUP(Pipeline_tbl[[#This Row],[Created_Date]],Dim_Date!A:A,Dim_Date!H:H)</f>
        <v>Nov 2024</v>
      </c>
      <c r="T2033" t="str">
        <f>IF(Pipeline_tbl[[#This Row],[Closed_Date]]=0,"",(_xlfn.XLOOKUP(Pipeline_tbl[[#This Row],[Closed_Date]],Dim_Date!A:A,Dim_Date!H:H)))</f>
        <v>Nov 2024</v>
      </c>
      <c r="U2033">
        <f>IF(Pipeline_tbl[[#This Row],[Closed_Date]]=0,"",Pipeline_tbl[[#This Row],[Closed_Date]]-Pipeline_tbl[[#This Row],[Created_Date]])</f>
        <v>6</v>
      </c>
    </row>
    <row r="2034" spans="1:21" ht="15" customHeight="1" x14ac:dyDescent="0.2">
      <c r="A2034" t="s">
        <v>2340</v>
      </c>
      <c r="B2034" t="s">
        <v>211</v>
      </c>
      <c r="C2034" t="s">
        <v>55</v>
      </c>
      <c r="D2034" s="49">
        <v>45598</v>
      </c>
      <c r="E2034" s="49">
        <v>45599</v>
      </c>
      <c r="I2034" s="49">
        <v>45609</v>
      </c>
      <c r="J2034" t="s">
        <v>49</v>
      </c>
      <c r="K2034" s="33">
        <v>2000</v>
      </c>
      <c r="L2034" t="s">
        <v>61</v>
      </c>
      <c r="M2034" t="str">
        <f>_xlfn.XLOOKUP(Pipeline_tbl[[#This Row],[Rep_ID]],Dim_Reps!A:A,Dim_Reps!K:K)</f>
        <v>EUR</v>
      </c>
      <c r="N2034" s="33">
        <f>(_xlfn.XLOOKUP(Pipeline_tbl[[#This Row],[Rate_Code_Generalized]],Lookups!A:A,Lookups!B:B))*Pipeline_tbl[[#This Row],[Pipeline_Amount_USD]]</f>
        <v>2000</v>
      </c>
      <c r="O2034" t="str">
        <f>_xlfn.XLOOKUP(Pipeline_tbl[[#This Row],[Rep_ID]],Dim_Reps!A:A,Dim_Reps!B:B)</f>
        <v>Lea Weber</v>
      </c>
      <c r="P2034" t="str">
        <f>_xlfn.XLOOKUP(Pipeline_tbl[[#This Row],[Rep_ID]],Dim_Reps!A:A,Dim_Reps!C:C)</f>
        <v>SDR / Inside Sales Rep</v>
      </c>
      <c r="Q2034" t="str">
        <f>_xlfn.XLOOKUP(Pipeline_tbl[[#This Row],[Rep_ID]],Dim_Reps!A:A,Dim_Reps!D:D)</f>
        <v>Inside Sales</v>
      </c>
      <c r="R2034" t="str">
        <f>_xlfn.XLOOKUP(Pipeline_tbl[[#This Row],[Rep_ID]],Dim_Reps!A:A,Dim_Reps!E:E)</f>
        <v>EMEA</v>
      </c>
      <c r="S2034" t="str">
        <f>_xlfn.XLOOKUP(Pipeline_tbl[[#This Row],[Created_Date]],Dim_Date!A:A,Dim_Date!H:H)</f>
        <v>Nov 2024</v>
      </c>
      <c r="T2034" t="str">
        <f>IF(Pipeline_tbl[[#This Row],[Closed_Date]]=0,"",(_xlfn.XLOOKUP(Pipeline_tbl[[#This Row],[Closed_Date]],Dim_Date!A:A,Dim_Date!H:H)))</f>
        <v>Nov 2024</v>
      </c>
      <c r="U2034">
        <f>IF(Pipeline_tbl[[#This Row],[Closed_Date]]=0,"",Pipeline_tbl[[#This Row],[Closed_Date]]-Pipeline_tbl[[#This Row],[Created_Date]])</f>
        <v>11</v>
      </c>
    </row>
    <row r="2035" spans="1:21" ht="15" customHeight="1" x14ac:dyDescent="0.2">
      <c r="A2035" t="s">
        <v>2341</v>
      </c>
      <c r="B2035" t="s">
        <v>211</v>
      </c>
      <c r="C2035" t="s">
        <v>52</v>
      </c>
      <c r="D2035" s="49">
        <v>45608</v>
      </c>
      <c r="E2035" s="49">
        <v>45610</v>
      </c>
      <c r="F2035" s="49">
        <v>45613</v>
      </c>
      <c r="G2035" s="49">
        <v>45619</v>
      </c>
      <c r="H2035" s="49">
        <v>45623</v>
      </c>
      <c r="I2035" s="49">
        <v>45626</v>
      </c>
      <c r="J2035" t="s">
        <v>49</v>
      </c>
      <c r="K2035" s="33">
        <v>2400</v>
      </c>
      <c r="L2035" t="s">
        <v>64</v>
      </c>
      <c r="M2035" t="str">
        <f>_xlfn.XLOOKUP(Pipeline_tbl[[#This Row],[Rep_ID]],Dim_Reps!A:A,Dim_Reps!K:K)</f>
        <v>EUR</v>
      </c>
      <c r="N2035" s="33">
        <f>(_xlfn.XLOOKUP(Pipeline_tbl[[#This Row],[Rate_Code_Generalized]],Lookups!A:A,Lookups!B:B))*Pipeline_tbl[[#This Row],[Pipeline_Amount_USD]]</f>
        <v>2400</v>
      </c>
      <c r="O2035" t="str">
        <f>_xlfn.XLOOKUP(Pipeline_tbl[[#This Row],[Rep_ID]],Dim_Reps!A:A,Dim_Reps!B:B)</f>
        <v>Lea Weber</v>
      </c>
      <c r="P2035" t="str">
        <f>_xlfn.XLOOKUP(Pipeline_tbl[[#This Row],[Rep_ID]],Dim_Reps!A:A,Dim_Reps!C:C)</f>
        <v>SDR / Inside Sales Rep</v>
      </c>
      <c r="Q2035" t="str">
        <f>_xlfn.XLOOKUP(Pipeline_tbl[[#This Row],[Rep_ID]],Dim_Reps!A:A,Dim_Reps!D:D)</f>
        <v>Inside Sales</v>
      </c>
      <c r="R2035" t="str">
        <f>_xlfn.XLOOKUP(Pipeline_tbl[[#This Row],[Rep_ID]],Dim_Reps!A:A,Dim_Reps!E:E)</f>
        <v>EMEA</v>
      </c>
      <c r="S2035" t="str">
        <f>_xlfn.XLOOKUP(Pipeline_tbl[[#This Row],[Created_Date]],Dim_Date!A:A,Dim_Date!H:H)</f>
        <v>Nov 2024</v>
      </c>
      <c r="T2035" t="str">
        <f>IF(Pipeline_tbl[[#This Row],[Closed_Date]]=0,"",(_xlfn.XLOOKUP(Pipeline_tbl[[#This Row],[Closed_Date]],Dim_Date!A:A,Dim_Date!H:H)))</f>
        <v>Nov 2024</v>
      </c>
      <c r="U2035">
        <f>IF(Pipeline_tbl[[#This Row],[Closed_Date]]=0,"",Pipeline_tbl[[#This Row],[Closed_Date]]-Pipeline_tbl[[#This Row],[Created_Date]])</f>
        <v>18</v>
      </c>
    </row>
    <row r="2036" spans="1:21" ht="15" customHeight="1" x14ac:dyDescent="0.2">
      <c r="A2036" t="s">
        <v>2342</v>
      </c>
      <c r="B2036" t="s">
        <v>211</v>
      </c>
      <c r="C2036" t="s">
        <v>52</v>
      </c>
      <c r="D2036" s="49">
        <v>45604</v>
      </c>
      <c r="E2036" s="49">
        <v>45606</v>
      </c>
      <c r="F2036" s="49">
        <v>45610</v>
      </c>
      <c r="G2036" s="49">
        <v>45616</v>
      </c>
      <c r="I2036" s="49">
        <v>45624</v>
      </c>
      <c r="J2036" t="s">
        <v>49</v>
      </c>
      <c r="K2036" s="33">
        <v>4500</v>
      </c>
      <c r="L2036" t="s">
        <v>62</v>
      </c>
      <c r="M2036" t="str">
        <f>_xlfn.XLOOKUP(Pipeline_tbl[[#This Row],[Rep_ID]],Dim_Reps!A:A,Dim_Reps!K:K)</f>
        <v>EUR</v>
      </c>
      <c r="N2036" s="33">
        <f>(_xlfn.XLOOKUP(Pipeline_tbl[[#This Row],[Rate_Code_Generalized]],Lookups!A:A,Lookups!B:B))*Pipeline_tbl[[#This Row],[Pipeline_Amount_USD]]</f>
        <v>4500</v>
      </c>
      <c r="O2036" t="str">
        <f>_xlfn.XLOOKUP(Pipeline_tbl[[#This Row],[Rep_ID]],Dim_Reps!A:A,Dim_Reps!B:B)</f>
        <v>Lea Weber</v>
      </c>
      <c r="P2036" t="str">
        <f>_xlfn.XLOOKUP(Pipeline_tbl[[#This Row],[Rep_ID]],Dim_Reps!A:A,Dim_Reps!C:C)</f>
        <v>SDR / Inside Sales Rep</v>
      </c>
      <c r="Q2036" t="str">
        <f>_xlfn.XLOOKUP(Pipeline_tbl[[#This Row],[Rep_ID]],Dim_Reps!A:A,Dim_Reps!D:D)</f>
        <v>Inside Sales</v>
      </c>
      <c r="R2036" t="str">
        <f>_xlfn.XLOOKUP(Pipeline_tbl[[#This Row],[Rep_ID]],Dim_Reps!A:A,Dim_Reps!E:E)</f>
        <v>EMEA</v>
      </c>
      <c r="S2036" t="str">
        <f>_xlfn.XLOOKUP(Pipeline_tbl[[#This Row],[Created_Date]],Dim_Date!A:A,Dim_Date!H:H)</f>
        <v>Nov 2024</v>
      </c>
      <c r="T2036" t="str">
        <f>IF(Pipeline_tbl[[#This Row],[Closed_Date]]=0,"",(_xlfn.XLOOKUP(Pipeline_tbl[[#This Row],[Closed_Date]],Dim_Date!A:A,Dim_Date!H:H)))</f>
        <v>Nov 2024</v>
      </c>
      <c r="U2036">
        <f>IF(Pipeline_tbl[[#This Row],[Closed_Date]]=0,"",Pipeline_tbl[[#This Row],[Closed_Date]]-Pipeline_tbl[[#This Row],[Created_Date]])</f>
        <v>20</v>
      </c>
    </row>
    <row r="2037" spans="1:21" ht="15" customHeight="1" x14ac:dyDescent="0.2">
      <c r="A2037" t="s">
        <v>2343</v>
      </c>
      <c r="B2037" t="s">
        <v>211</v>
      </c>
      <c r="C2037" t="s">
        <v>55</v>
      </c>
      <c r="D2037" s="49">
        <v>45616</v>
      </c>
      <c r="E2037" s="49">
        <v>45617</v>
      </c>
      <c r="F2037" s="49">
        <v>45619</v>
      </c>
      <c r="G2037" s="49">
        <v>45622</v>
      </c>
      <c r="H2037" s="49">
        <v>45624</v>
      </c>
      <c r="I2037" s="49">
        <v>45626</v>
      </c>
      <c r="J2037" t="s">
        <v>49</v>
      </c>
      <c r="K2037" s="33">
        <v>2600</v>
      </c>
      <c r="L2037" t="s">
        <v>61</v>
      </c>
      <c r="M2037" t="str">
        <f>_xlfn.XLOOKUP(Pipeline_tbl[[#This Row],[Rep_ID]],Dim_Reps!A:A,Dim_Reps!K:K)</f>
        <v>EUR</v>
      </c>
      <c r="N2037" s="33">
        <f>(_xlfn.XLOOKUP(Pipeline_tbl[[#This Row],[Rate_Code_Generalized]],Lookups!A:A,Lookups!B:B))*Pipeline_tbl[[#This Row],[Pipeline_Amount_USD]]</f>
        <v>2600</v>
      </c>
      <c r="O2037" t="str">
        <f>_xlfn.XLOOKUP(Pipeline_tbl[[#This Row],[Rep_ID]],Dim_Reps!A:A,Dim_Reps!B:B)</f>
        <v>Lea Weber</v>
      </c>
      <c r="P2037" t="str">
        <f>_xlfn.XLOOKUP(Pipeline_tbl[[#This Row],[Rep_ID]],Dim_Reps!A:A,Dim_Reps!C:C)</f>
        <v>SDR / Inside Sales Rep</v>
      </c>
      <c r="Q2037" t="str">
        <f>_xlfn.XLOOKUP(Pipeline_tbl[[#This Row],[Rep_ID]],Dim_Reps!A:A,Dim_Reps!D:D)</f>
        <v>Inside Sales</v>
      </c>
      <c r="R2037" t="str">
        <f>_xlfn.XLOOKUP(Pipeline_tbl[[#This Row],[Rep_ID]],Dim_Reps!A:A,Dim_Reps!E:E)</f>
        <v>EMEA</v>
      </c>
      <c r="S2037" t="str">
        <f>_xlfn.XLOOKUP(Pipeline_tbl[[#This Row],[Created_Date]],Dim_Date!A:A,Dim_Date!H:H)</f>
        <v>Nov 2024</v>
      </c>
      <c r="T2037" t="str">
        <f>IF(Pipeline_tbl[[#This Row],[Closed_Date]]=0,"",(_xlfn.XLOOKUP(Pipeline_tbl[[#This Row],[Closed_Date]],Dim_Date!A:A,Dim_Date!H:H)))</f>
        <v>Nov 2024</v>
      </c>
      <c r="U2037">
        <f>IF(Pipeline_tbl[[#This Row],[Closed_Date]]=0,"",Pipeline_tbl[[#This Row],[Closed_Date]]-Pipeline_tbl[[#This Row],[Created_Date]])</f>
        <v>10</v>
      </c>
    </row>
    <row r="2038" spans="1:21" ht="15" customHeight="1" x14ac:dyDescent="0.2">
      <c r="A2038" t="s">
        <v>2344</v>
      </c>
      <c r="B2038" t="s">
        <v>211</v>
      </c>
      <c r="C2038" t="s">
        <v>52</v>
      </c>
      <c r="D2038" s="49">
        <v>45606</v>
      </c>
      <c r="E2038" s="49">
        <v>45608</v>
      </c>
      <c r="F2038" s="49">
        <v>45611</v>
      </c>
      <c r="I2038" s="49">
        <v>45622</v>
      </c>
      <c r="J2038" t="s">
        <v>49</v>
      </c>
      <c r="K2038" s="33">
        <v>5100</v>
      </c>
      <c r="L2038" t="s">
        <v>61</v>
      </c>
      <c r="M2038" t="str">
        <f>_xlfn.XLOOKUP(Pipeline_tbl[[#This Row],[Rep_ID]],Dim_Reps!A:A,Dim_Reps!K:K)</f>
        <v>EUR</v>
      </c>
      <c r="N2038" s="33">
        <f>(_xlfn.XLOOKUP(Pipeline_tbl[[#This Row],[Rate_Code_Generalized]],Lookups!A:A,Lookups!B:B))*Pipeline_tbl[[#This Row],[Pipeline_Amount_USD]]</f>
        <v>5100</v>
      </c>
      <c r="O2038" t="str">
        <f>_xlfn.XLOOKUP(Pipeline_tbl[[#This Row],[Rep_ID]],Dim_Reps!A:A,Dim_Reps!B:B)</f>
        <v>Lea Weber</v>
      </c>
      <c r="P2038" t="str">
        <f>_xlfn.XLOOKUP(Pipeline_tbl[[#This Row],[Rep_ID]],Dim_Reps!A:A,Dim_Reps!C:C)</f>
        <v>SDR / Inside Sales Rep</v>
      </c>
      <c r="Q2038" t="str">
        <f>_xlfn.XLOOKUP(Pipeline_tbl[[#This Row],[Rep_ID]],Dim_Reps!A:A,Dim_Reps!D:D)</f>
        <v>Inside Sales</v>
      </c>
      <c r="R2038" t="str">
        <f>_xlfn.XLOOKUP(Pipeline_tbl[[#This Row],[Rep_ID]],Dim_Reps!A:A,Dim_Reps!E:E)</f>
        <v>EMEA</v>
      </c>
      <c r="S2038" t="str">
        <f>_xlfn.XLOOKUP(Pipeline_tbl[[#This Row],[Created_Date]],Dim_Date!A:A,Dim_Date!H:H)</f>
        <v>Nov 2024</v>
      </c>
      <c r="T2038" t="str">
        <f>IF(Pipeline_tbl[[#This Row],[Closed_Date]]=0,"",(_xlfn.XLOOKUP(Pipeline_tbl[[#This Row],[Closed_Date]],Dim_Date!A:A,Dim_Date!H:H)))</f>
        <v>Nov 2024</v>
      </c>
      <c r="U2038">
        <f>IF(Pipeline_tbl[[#This Row],[Closed_Date]]=0,"",Pipeline_tbl[[#This Row],[Closed_Date]]-Pipeline_tbl[[#This Row],[Created_Date]])</f>
        <v>16</v>
      </c>
    </row>
    <row r="2039" spans="1:21" ht="15" customHeight="1" x14ac:dyDescent="0.2">
      <c r="A2039" t="s">
        <v>2345</v>
      </c>
      <c r="B2039" t="s">
        <v>211</v>
      </c>
      <c r="C2039" t="s">
        <v>53</v>
      </c>
      <c r="D2039" s="49">
        <v>45604</v>
      </c>
      <c r="E2039" s="49">
        <v>45605</v>
      </c>
      <c r="F2039" s="49">
        <v>45607</v>
      </c>
      <c r="G2039" s="49">
        <v>45609</v>
      </c>
      <c r="H2039" s="49">
        <v>45612</v>
      </c>
      <c r="I2039" s="49">
        <v>45613</v>
      </c>
      <c r="J2039" t="s">
        <v>47</v>
      </c>
      <c r="K2039" s="33">
        <v>3900</v>
      </c>
      <c r="M2039" t="str">
        <f>_xlfn.XLOOKUP(Pipeline_tbl[[#This Row],[Rep_ID]],Dim_Reps!A:A,Dim_Reps!K:K)</f>
        <v>EUR</v>
      </c>
      <c r="N2039" s="33">
        <f>(_xlfn.XLOOKUP(Pipeline_tbl[[#This Row],[Rate_Code_Generalized]],Lookups!A:A,Lookups!B:B))*Pipeline_tbl[[#This Row],[Pipeline_Amount_USD]]</f>
        <v>3900</v>
      </c>
      <c r="O2039" t="str">
        <f>_xlfn.XLOOKUP(Pipeline_tbl[[#This Row],[Rep_ID]],Dim_Reps!A:A,Dim_Reps!B:B)</f>
        <v>Lea Weber</v>
      </c>
      <c r="P2039" t="str">
        <f>_xlfn.XLOOKUP(Pipeline_tbl[[#This Row],[Rep_ID]],Dim_Reps!A:A,Dim_Reps!C:C)</f>
        <v>SDR / Inside Sales Rep</v>
      </c>
      <c r="Q2039" t="str">
        <f>_xlfn.XLOOKUP(Pipeline_tbl[[#This Row],[Rep_ID]],Dim_Reps!A:A,Dim_Reps!D:D)</f>
        <v>Inside Sales</v>
      </c>
      <c r="R2039" t="str">
        <f>_xlfn.XLOOKUP(Pipeline_tbl[[#This Row],[Rep_ID]],Dim_Reps!A:A,Dim_Reps!E:E)</f>
        <v>EMEA</v>
      </c>
      <c r="S2039" t="str">
        <f>_xlfn.XLOOKUP(Pipeline_tbl[[#This Row],[Created_Date]],Dim_Date!A:A,Dim_Date!H:H)</f>
        <v>Nov 2024</v>
      </c>
      <c r="T2039" t="str">
        <f>IF(Pipeline_tbl[[#This Row],[Closed_Date]]=0,"",(_xlfn.XLOOKUP(Pipeline_tbl[[#This Row],[Closed_Date]],Dim_Date!A:A,Dim_Date!H:H)))</f>
        <v>Nov 2024</v>
      </c>
      <c r="U2039">
        <f>IF(Pipeline_tbl[[#This Row],[Closed_Date]]=0,"",Pipeline_tbl[[#This Row],[Closed_Date]]-Pipeline_tbl[[#This Row],[Created_Date]])</f>
        <v>9</v>
      </c>
    </row>
    <row r="2040" spans="1:21" ht="15" customHeight="1" x14ac:dyDescent="0.2">
      <c r="A2040" t="s">
        <v>2346</v>
      </c>
      <c r="B2040" t="s">
        <v>211</v>
      </c>
      <c r="C2040" t="s">
        <v>56</v>
      </c>
      <c r="D2040" s="49">
        <v>45604</v>
      </c>
      <c r="E2040" s="49">
        <v>45606</v>
      </c>
      <c r="F2040" s="49">
        <v>45610</v>
      </c>
      <c r="G2040" s="49">
        <v>45616</v>
      </c>
      <c r="H2040" s="49">
        <v>45621</v>
      </c>
      <c r="I2040" s="49">
        <v>45624</v>
      </c>
      <c r="J2040" t="s">
        <v>47</v>
      </c>
      <c r="K2040" s="33">
        <v>4200</v>
      </c>
      <c r="M2040" t="str">
        <f>_xlfn.XLOOKUP(Pipeline_tbl[[#This Row],[Rep_ID]],Dim_Reps!A:A,Dim_Reps!K:K)</f>
        <v>EUR</v>
      </c>
      <c r="N2040" s="33">
        <f>(_xlfn.XLOOKUP(Pipeline_tbl[[#This Row],[Rate_Code_Generalized]],Lookups!A:A,Lookups!B:B))*Pipeline_tbl[[#This Row],[Pipeline_Amount_USD]]</f>
        <v>4200</v>
      </c>
      <c r="O2040" t="str">
        <f>_xlfn.XLOOKUP(Pipeline_tbl[[#This Row],[Rep_ID]],Dim_Reps!A:A,Dim_Reps!B:B)</f>
        <v>Lea Weber</v>
      </c>
      <c r="P2040" t="str">
        <f>_xlfn.XLOOKUP(Pipeline_tbl[[#This Row],[Rep_ID]],Dim_Reps!A:A,Dim_Reps!C:C)</f>
        <v>SDR / Inside Sales Rep</v>
      </c>
      <c r="Q2040" t="str">
        <f>_xlfn.XLOOKUP(Pipeline_tbl[[#This Row],[Rep_ID]],Dim_Reps!A:A,Dim_Reps!D:D)</f>
        <v>Inside Sales</v>
      </c>
      <c r="R2040" t="str">
        <f>_xlfn.XLOOKUP(Pipeline_tbl[[#This Row],[Rep_ID]],Dim_Reps!A:A,Dim_Reps!E:E)</f>
        <v>EMEA</v>
      </c>
      <c r="S2040" t="str">
        <f>_xlfn.XLOOKUP(Pipeline_tbl[[#This Row],[Created_Date]],Dim_Date!A:A,Dim_Date!H:H)</f>
        <v>Nov 2024</v>
      </c>
      <c r="T2040" t="str">
        <f>IF(Pipeline_tbl[[#This Row],[Closed_Date]]=0,"",(_xlfn.XLOOKUP(Pipeline_tbl[[#This Row],[Closed_Date]],Dim_Date!A:A,Dim_Date!H:H)))</f>
        <v>Nov 2024</v>
      </c>
      <c r="U2040">
        <f>IF(Pipeline_tbl[[#This Row],[Closed_Date]]=0,"",Pipeline_tbl[[#This Row],[Closed_Date]]-Pipeline_tbl[[#This Row],[Created_Date]])</f>
        <v>20</v>
      </c>
    </row>
    <row r="2041" spans="1:21" ht="15" customHeight="1" x14ac:dyDescent="0.2">
      <c r="A2041" t="s">
        <v>2347</v>
      </c>
      <c r="B2041" t="s">
        <v>211</v>
      </c>
      <c r="C2041" t="s">
        <v>53</v>
      </c>
      <c r="D2041" s="49">
        <v>45606</v>
      </c>
      <c r="E2041" s="49">
        <v>45607</v>
      </c>
      <c r="F2041" s="49">
        <v>45609</v>
      </c>
      <c r="G2041" s="49">
        <v>45613</v>
      </c>
      <c r="H2041" s="49">
        <v>45615</v>
      </c>
      <c r="I2041" s="49">
        <v>45617</v>
      </c>
      <c r="J2041" t="s">
        <v>47</v>
      </c>
      <c r="K2041" s="33">
        <v>3700</v>
      </c>
      <c r="M2041" t="str">
        <f>_xlfn.XLOOKUP(Pipeline_tbl[[#This Row],[Rep_ID]],Dim_Reps!A:A,Dim_Reps!K:K)</f>
        <v>EUR</v>
      </c>
      <c r="N2041" s="33">
        <f>(_xlfn.XLOOKUP(Pipeline_tbl[[#This Row],[Rate_Code_Generalized]],Lookups!A:A,Lookups!B:B))*Pipeline_tbl[[#This Row],[Pipeline_Amount_USD]]</f>
        <v>3700</v>
      </c>
      <c r="O2041" t="str">
        <f>_xlfn.XLOOKUP(Pipeline_tbl[[#This Row],[Rep_ID]],Dim_Reps!A:A,Dim_Reps!B:B)</f>
        <v>Lea Weber</v>
      </c>
      <c r="P2041" t="str">
        <f>_xlfn.XLOOKUP(Pipeline_tbl[[#This Row],[Rep_ID]],Dim_Reps!A:A,Dim_Reps!C:C)</f>
        <v>SDR / Inside Sales Rep</v>
      </c>
      <c r="Q2041" t="str">
        <f>_xlfn.XLOOKUP(Pipeline_tbl[[#This Row],[Rep_ID]],Dim_Reps!A:A,Dim_Reps!D:D)</f>
        <v>Inside Sales</v>
      </c>
      <c r="R2041" t="str">
        <f>_xlfn.XLOOKUP(Pipeline_tbl[[#This Row],[Rep_ID]],Dim_Reps!A:A,Dim_Reps!E:E)</f>
        <v>EMEA</v>
      </c>
      <c r="S2041" t="str">
        <f>_xlfn.XLOOKUP(Pipeline_tbl[[#This Row],[Created_Date]],Dim_Date!A:A,Dim_Date!H:H)</f>
        <v>Nov 2024</v>
      </c>
      <c r="T2041" t="str">
        <f>IF(Pipeline_tbl[[#This Row],[Closed_Date]]=0,"",(_xlfn.XLOOKUP(Pipeline_tbl[[#This Row],[Closed_Date]],Dim_Date!A:A,Dim_Date!H:H)))</f>
        <v>Nov 2024</v>
      </c>
      <c r="U2041">
        <f>IF(Pipeline_tbl[[#This Row],[Closed_Date]]=0,"",Pipeline_tbl[[#This Row],[Closed_Date]]-Pipeline_tbl[[#This Row],[Created_Date]])</f>
        <v>11</v>
      </c>
    </row>
    <row r="2042" spans="1:21" ht="15" customHeight="1" x14ac:dyDescent="0.2">
      <c r="A2042" t="s">
        <v>2348</v>
      </c>
      <c r="B2042" t="s">
        <v>213</v>
      </c>
      <c r="C2042" t="s">
        <v>53</v>
      </c>
      <c r="D2042" s="49">
        <v>45601</v>
      </c>
      <c r="E2042" s="49">
        <v>45603</v>
      </c>
      <c r="F2042" s="49">
        <v>45608</v>
      </c>
      <c r="G2042" s="49">
        <v>45615</v>
      </c>
      <c r="H2042" s="49">
        <v>45621</v>
      </c>
      <c r="I2042" s="49">
        <v>45624</v>
      </c>
      <c r="J2042" t="s">
        <v>47</v>
      </c>
      <c r="K2042" s="33">
        <v>4000</v>
      </c>
      <c r="M2042" t="str">
        <f>_xlfn.XLOOKUP(Pipeline_tbl[[#This Row],[Rep_ID]],Dim_Reps!A:A,Dim_Reps!K:K)</f>
        <v>EUR</v>
      </c>
      <c r="N2042" s="33">
        <f>(_xlfn.XLOOKUP(Pipeline_tbl[[#This Row],[Rate_Code_Generalized]],Lookups!A:A,Lookups!B:B))*Pipeline_tbl[[#This Row],[Pipeline_Amount_USD]]</f>
        <v>4000</v>
      </c>
      <c r="O2042" t="str">
        <f>_xlfn.XLOOKUP(Pipeline_tbl[[#This Row],[Rep_ID]],Dim_Reps!A:A,Dim_Reps!B:B)</f>
        <v>Jamie Silva</v>
      </c>
      <c r="P2042" t="str">
        <f>_xlfn.XLOOKUP(Pipeline_tbl[[#This Row],[Rep_ID]],Dim_Reps!A:A,Dim_Reps!C:C)</f>
        <v>SDR / Inside Sales Rep</v>
      </c>
      <c r="Q2042" t="str">
        <f>_xlfn.XLOOKUP(Pipeline_tbl[[#This Row],[Rep_ID]],Dim_Reps!A:A,Dim_Reps!D:D)</f>
        <v>Inside Sales</v>
      </c>
      <c r="R2042" t="str">
        <f>_xlfn.XLOOKUP(Pipeline_tbl[[#This Row],[Rep_ID]],Dim_Reps!A:A,Dim_Reps!E:E)</f>
        <v>EMEA</v>
      </c>
      <c r="S2042" t="str">
        <f>_xlfn.XLOOKUP(Pipeline_tbl[[#This Row],[Created_Date]],Dim_Date!A:A,Dim_Date!H:H)</f>
        <v>Nov 2024</v>
      </c>
      <c r="T2042" t="str">
        <f>IF(Pipeline_tbl[[#This Row],[Closed_Date]]=0,"",(_xlfn.XLOOKUP(Pipeline_tbl[[#This Row],[Closed_Date]],Dim_Date!A:A,Dim_Date!H:H)))</f>
        <v>Nov 2024</v>
      </c>
      <c r="U2042">
        <f>IF(Pipeline_tbl[[#This Row],[Closed_Date]]=0,"",Pipeline_tbl[[#This Row],[Closed_Date]]-Pipeline_tbl[[#This Row],[Created_Date]])</f>
        <v>23</v>
      </c>
    </row>
    <row r="2043" spans="1:21" ht="15" customHeight="1" x14ac:dyDescent="0.2">
      <c r="A2043" t="s">
        <v>2349</v>
      </c>
      <c r="B2043" t="s">
        <v>213</v>
      </c>
      <c r="C2043" t="s">
        <v>52</v>
      </c>
      <c r="D2043" s="49">
        <v>45599</v>
      </c>
      <c r="E2043" s="49">
        <v>45601</v>
      </c>
      <c r="F2043" s="49">
        <v>45605</v>
      </c>
      <c r="G2043" s="49">
        <v>45610</v>
      </c>
      <c r="H2043" s="49">
        <v>45615</v>
      </c>
      <c r="I2043" s="49">
        <v>45618</v>
      </c>
      <c r="J2043" t="s">
        <v>47</v>
      </c>
      <c r="K2043" s="33">
        <v>4800</v>
      </c>
      <c r="M2043" t="str">
        <f>_xlfn.XLOOKUP(Pipeline_tbl[[#This Row],[Rep_ID]],Dim_Reps!A:A,Dim_Reps!K:K)</f>
        <v>EUR</v>
      </c>
      <c r="N2043" s="33">
        <f>(_xlfn.XLOOKUP(Pipeline_tbl[[#This Row],[Rate_Code_Generalized]],Lookups!A:A,Lookups!B:B))*Pipeline_tbl[[#This Row],[Pipeline_Amount_USD]]</f>
        <v>4800</v>
      </c>
      <c r="O2043" t="str">
        <f>_xlfn.XLOOKUP(Pipeline_tbl[[#This Row],[Rep_ID]],Dim_Reps!A:A,Dim_Reps!B:B)</f>
        <v>Jamie Silva</v>
      </c>
      <c r="P2043" t="str">
        <f>_xlfn.XLOOKUP(Pipeline_tbl[[#This Row],[Rep_ID]],Dim_Reps!A:A,Dim_Reps!C:C)</f>
        <v>SDR / Inside Sales Rep</v>
      </c>
      <c r="Q2043" t="str">
        <f>_xlfn.XLOOKUP(Pipeline_tbl[[#This Row],[Rep_ID]],Dim_Reps!A:A,Dim_Reps!D:D)</f>
        <v>Inside Sales</v>
      </c>
      <c r="R2043" t="str">
        <f>_xlfn.XLOOKUP(Pipeline_tbl[[#This Row],[Rep_ID]],Dim_Reps!A:A,Dim_Reps!E:E)</f>
        <v>EMEA</v>
      </c>
      <c r="S2043" t="str">
        <f>_xlfn.XLOOKUP(Pipeline_tbl[[#This Row],[Created_Date]],Dim_Date!A:A,Dim_Date!H:H)</f>
        <v>Nov 2024</v>
      </c>
      <c r="T2043" t="str">
        <f>IF(Pipeline_tbl[[#This Row],[Closed_Date]]=0,"",(_xlfn.XLOOKUP(Pipeline_tbl[[#This Row],[Closed_Date]],Dim_Date!A:A,Dim_Date!H:H)))</f>
        <v>Nov 2024</v>
      </c>
      <c r="U2043">
        <f>IF(Pipeline_tbl[[#This Row],[Closed_Date]]=0,"",Pipeline_tbl[[#This Row],[Closed_Date]]-Pipeline_tbl[[#This Row],[Created_Date]])</f>
        <v>19</v>
      </c>
    </row>
    <row r="2044" spans="1:21" ht="15" customHeight="1" x14ac:dyDescent="0.2">
      <c r="A2044" t="s">
        <v>2350</v>
      </c>
      <c r="B2044" t="s">
        <v>213</v>
      </c>
      <c r="C2044" t="s">
        <v>53</v>
      </c>
      <c r="D2044" s="49">
        <v>45598</v>
      </c>
      <c r="E2044" s="49">
        <v>45600</v>
      </c>
      <c r="F2044" s="49">
        <v>45604</v>
      </c>
      <c r="I2044" s="49">
        <v>45619</v>
      </c>
      <c r="J2044" t="s">
        <v>49</v>
      </c>
      <c r="K2044" s="33">
        <v>4400</v>
      </c>
      <c r="L2044" t="s">
        <v>64</v>
      </c>
      <c r="M2044" t="str">
        <f>_xlfn.XLOOKUP(Pipeline_tbl[[#This Row],[Rep_ID]],Dim_Reps!A:A,Dim_Reps!K:K)</f>
        <v>EUR</v>
      </c>
      <c r="N2044" s="33">
        <f>(_xlfn.XLOOKUP(Pipeline_tbl[[#This Row],[Rate_Code_Generalized]],Lookups!A:A,Lookups!B:B))*Pipeline_tbl[[#This Row],[Pipeline_Amount_USD]]</f>
        <v>4400</v>
      </c>
      <c r="O2044" t="str">
        <f>_xlfn.XLOOKUP(Pipeline_tbl[[#This Row],[Rep_ID]],Dim_Reps!A:A,Dim_Reps!B:B)</f>
        <v>Jamie Silva</v>
      </c>
      <c r="P2044" t="str">
        <f>_xlfn.XLOOKUP(Pipeline_tbl[[#This Row],[Rep_ID]],Dim_Reps!A:A,Dim_Reps!C:C)</f>
        <v>SDR / Inside Sales Rep</v>
      </c>
      <c r="Q2044" t="str">
        <f>_xlfn.XLOOKUP(Pipeline_tbl[[#This Row],[Rep_ID]],Dim_Reps!A:A,Dim_Reps!D:D)</f>
        <v>Inside Sales</v>
      </c>
      <c r="R2044" t="str">
        <f>_xlfn.XLOOKUP(Pipeline_tbl[[#This Row],[Rep_ID]],Dim_Reps!A:A,Dim_Reps!E:E)</f>
        <v>EMEA</v>
      </c>
      <c r="S2044" t="str">
        <f>_xlfn.XLOOKUP(Pipeline_tbl[[#This Row],[Created_Date]],Dim_Date!A:A,Dim_Date!H:H)</f>
        <v>Nov 2024</v>
      </c>
      <c r="T2044" t="str">
        <f>IF(Pipeline_tbl[[#This Row],[Closed_Date]]=0,"",(_xlfn.XLOOKUP(Pipeline_tbl[[#This Row],[Closed_Date]],Dim_Date!A:A,Dim_Date!H:H)))</f>
        <v>Nov 2024</v>
      </c>
      <c r="U2044">
        <f>IF(Pipeline_tbl[[#This Row],[Closed_Date]]=0,"",Pipeline_tbl[[#This Row],[Closed_Date]]-Pipeline_tbl[[#This Row],[Created_Date]])</f>
        <v>21</v>
      </c>
    </row>
    <row r="2045" spans="1:21" ht="15" customHeight="1" x14ac:dyDescent="0.2">
      <c r="A2045" t="s">
        <v>2351</v>
      </c>
      <c r="B2045" t="s">
        <v>213</v>
      </c>
      <c r="C2045" t="s">
        <v>53</v>
      </c>
      <c r="D2045" s="49">
        <v>45606</v>
      </c>
      <c r="E2045" s="49">
        <v>45608</v>
      </c>
      <c r="F2045" s="49">
        <v>45611</v>
      </c>
      <c r="G2045" s="49">
        <v>45616</v>
      </c>
      <c r="H2045" s="49">
        <v>45620</v>
      </c>
      <c r="I2045" s="49">
        <v>45623</v>
      </c>
      <c r="J2045" t="s">
        <v>47</v>
      </c>
      <c r="K2045" s="33">
        <v>3500</v>
      </c>
      <c r="M2045" t="str">
        <f>_xlfn.XLOOKUP(Pipeline_tbl[[#This Row],[Rep_ID]],Dim_Reps!A:A,Dim_Reps!K:K)</f>
        <v>EUR</v>
      </c>
      <c r="N2045" s="33">
        <f>(_xlfn.XLOOKUP(Pipeline_tbl[[#This Row],[Rate_Code_Generalized]],Lookups!A:A,Lookups!B:B))*Pipeline_tbl[[#This Row],[Pipeline_Amount_USD]]</f>
        <v>3500</v>
      </c>
      <c r="O2045" t="str">
        <f>_xlfn.XLOOKUP(Pipeline_tbl[[#This Row],[Rep_ID]],Dim_Reps!A:A,Dim_Reps!B:B)</f>
        <v>Jamie Silva</v>
      </c>
      <c r="P2045" t="str">
        <f>_xlfn.XLOOKUP(Pipeline_tbl[[#This Row],[Rep_ID]],Dim_Reps!A:A,Dim_Reps!C:C)</f>
        <v>SDR / Inside Sales Rep</v>
      </c>
      <c r="Q2045" t="str">
        <f>_xlfn.XLOOKUP(Pipeline_tbl[[#This Row],[Rep_ID]],Dim_Reps!A:A,Dim_Reps!D:D)</f>
        <v>Inside Sales</v>
      </c>
      <c r="R2045" t="str">
        <f>_xlfn.XLOOKUP(Pipeline_tbl[[#This Row],[Rep_ID]],Dim_Reps!A:A,Dim_Reps!E:E)</f>
        <v>EMEA</v>
      </c>
      <c r="S2045" t="str">
        <f>_xlfn.XLOOKUP(Pipeline_tbl[[#This Row],[Created_Date]],Dim_Date!A:A,Dim_Date!H:H)</f>
        <v>Nov 2024</v>
      </c>
      <c r="T2045" t="str">
        <f>IF(Pipeline_tbl[[#This Row],[Closed_Date]]=0,"",(_xlfn.XLOOKUP(Pipeline_tbl[[#This Row],[Closed_Date]],Dim_Date!A:A,Dim_Date!H:H)))</f>
        <v>Nov 2024</v>
      </c>
      <c r="U2045">
        <f>IF(Pipeline_tbl[[#This Row],[Closed_Date]]=0,"",Pipeline_tbl[[#This Row],[Closed_Date]]-Pipeline_tbl[[#This Row],[Created_Date]])</f>
        <v>17</v>
      </c>
    </row>
    <row r="2046" spans="1:21" ht="15" customHeight="1" x14ac:dyDescent="0.2">
      <c r="A2046" t="s">
        <v>2352</v>
      </c>
      <c r="B2046" t="s">
        <v>215</v>
      </c>
      <c r="C2046" t="s">
        <v>52</v>
      </c>
      <c r="D2046" s="49">
        <v>45608</v>
      </c>
      <c r="E2046" s="49">
        <v>45610</v>
      </c>
      <c r="F2046" s="49">
        <v>45613</v>
      </c>
      <c r="G2046" s="49">
        <v>45617</v>
      </c>
      <c r="H2046" s="49">
        <v>45621</v>
      </c>
      <c r="I2046" s="49">
        <v>45623</v>
      </c>
      <c r="J2046" t="s">
        <v>47</v>
      </c>
      <c r="K2046" s="33">
        <v>3800</v>
      </c>
      <c r="M2046" t="str">
        <f>_xlfn.XLOOKUP(Pipeline_tbl[[#This Row],[Rep_ID]],Dim_Reps!A:A,Dim_Reps!K:K)</f>
        <v>EUR</v>
      </c>
      <c r="N2046" s="33">
        <f>(_xlfn.XLOOKUP(Pipeline_tbl[[#This Row],[Rate_Code_Generalized]],Lookups!A:A,Lookups!B:B))*Pipeline_tbl[[#This Row],[Pipeline_Amount_USD]]</f>
        <v>3800</v>
      </c>
      <c r="O2046" t="str">
        <f>_xlfn.XLOOKUP(Pipeline_tbl[[#This Row],[Rep_ID]],Dim_Reps!A:A,Dim_Reps!B:B)</f>
        <v>Jamie Schmidt</v>
      </c>
      <c r="P2046" t="str">
        <f>_xlfn.XLOOKUP(Pipeline_tbl[[#This Row],[Rep_ID]],Dim_Reps!A:A,Dim_Reps!C:C)</f>
        <v>SDR / Inside Sales Rep</v>
      </c>
      <c r="Q2046" t="str">
        <f>_xlfn.XLOOKUP(Pipeline_tbl[[#This Row],[Rep_ID]],Dim_Reps!A:A,Dim_Reps!D:D)</f>
        <v>Inside Sales</v>
      </c>
      <c r="R2046" t="str">
        <f>_xlfn.XLOOKUP(Pipeline_tbl[[#This Row],[Rep_ID]],Dim_Reps!A:A,Dim_Reps!E:E)</f>
        <v>APAC</v>
      </c>
      <c r="S2046" t="str">
        <f>_xlfn.XLOOKUP(Pipeline_tbl[[#This Row],[Created_Date]],Dim_Date!A:A,Dim_Date!H:H)</f>
        <v>Nov 2024</v>
      </c>
      <c r="T2046" t="str">
        <f>IF(Pipeline_tbl[[#This Row],[Closed_Date]]=0,"",(_xlfn.XLOOKUP(Pipeline_tbl[[#This Row],[Closed_Date]],Dim_Date!A:A,Dim_Date!H:H)))</f>
        <v>Nov 2024</v>
      </c>
      <c r="U2046">
        <f>IF(Pipeline_tbl[[#This Row],[Closed_Date]]=0,"",Pipeline_tbl[[#This Row],[Closed_Date]]-Pipeline_tbl[[#This Row],[Created_Date]])</f>
        <v>15</v>
      </c>
    </row>
    <row r="2047" spans="1:21" ht="15" customHeight="1" x14ac:dyDescent="0.2">
      <c r="A2047" t="s">
        <v>2353</v>
      </c>
      <c r="B2047" t="s">
        <v>215</v>
      </c>
      <c r="C2047" t="s">
        <v>56</v>
      </c>
      <c r="D2047" s="49">
        <v>45613</v>
      </c>
      <c r="E2047" s="49">
        <v>45614</v>
      </c>
      <c r="F2047" s="49">
        <v>45617</v>
      </c>
      <c r="I2047" s="49">
        <v>45626</v>
      </c>
      <c r="J2047" t="s">
        <v>49</v>
      </c>
      <c r="K2047" s="33">
        <v>2200</v>
      </c>
      <c r="L2047" t="s">
        <v>63</v>
      </c>
      <c r="M2047" t="str">
        <f>_xlfn.XLOOKUP(Pipeline_tbl[[#This Row],[Rep_ID]],Dim_Reps!A:A,Dim_Reps!K:K)</f>
        <v>EUR</v>
      </c>
      <c r="N2047" s="33">
        <f>(_xlfn.XLOOKUP(Pipeline_tbl[[#This Row],[Rate_Code_Generalized]],Lookups!A:A,Lookups!B:B))*Pipeline_tbl[[#This Row],[Pipeline_Amount_USD]]</f>
        <v>2200</v>
      </c>
      <c r="O2047" t="str">
        <f>_xlfn.XLOOKUP(Pipeline_tbl[[#This Row],[Rep_ID]],Dim_Reps!A:A,Dim_Reps!B:B)</f>
        <v>Jamie Schmidt</v>
      </c>
      <c r="P2047" t="str">
        <f>_xlfn.XLOOKUP(Pipeline_tbl[[#This Row],[Rep_ID]],Dim_Reps!A:A,Dim_Reps!C:C)</f>
        <v>SDR / Inside Sales Rep</v>
      </c>
      <c r="Q2047" t="str">
        <f>_xlfn.XLOOKUP(Pipeline_tbl[[#This Row],[Rep_ID]],Dim_Reps!A:A,Dim_Reps!D:D)</f>
        <v>Inside Sales</v>
      </c>
      <c r="R2047" t="str">
        <f>_xlfn.XLOOKUP(Pipeline_tbl[[#This Row],[Rep_ID]],Dim_Reps!A:A,Dim_Reps!E:E)</f>
        <v>APAC</v>
      </c>
      <c r="S2047" t="str">
        <f>_xlfn.XLOOKUP(Pipeline_tbl[[#This Row],[Created_Date]],Dim_Date!A:A,Dim_Date!H:H)</f>
        <v>Nov 2024</v>
      </c>
      <c r="T2047" t="str">
        <f>IF(Pipeline_tbl[[#This Row],[Closed_Date]]=0,"",(_xlfn.XLOOKUP(Pipeline_tbl[[#This Row],[Closed_Date]],Dim_Date!A:A,Dim_Date!H:H)))</f>
        <v>Nov 2024</v>
      </c>
      <c r="U2047">
        <f>IF(Pipeline_tbl[[#This Row],[Closed_Date]]=0,"",Pipeline_tbl[[#This Row],[Closed_Date]]-Pipeline_tbl[[#This Row],[Created_Date]])</f>
        <v>13</v>
      </c>
    </row>
    <row r="2048" spans="1:21" ht="15" customHeight="1" x14ac:dyDescent="0.2">
      <c r="A2048" t="s">
        <v>2354</v>
      </c>
      <c r="B2048" t="s">
        <v>215</v>
      </c>
      <c r="C2048" t="s">
        <v>52</v>
      </c>
      <c r="D2048" s="49">
        <v>45599</v>
      </c>
      <c r="E2048" s="49">
        <v>45601</v>
      </c>
      <c r="F2048" s="49">
        <v>45606</v>
      </c>
      <c r="G2048" s="49">
        <v>45612</v>
      </c>
      <c r="H2048" s="49">
        <v>45618</v>
      </c>
      <c r="I2048" s="49">
        <v>45621</v>
      </c>
      <c r="J2048" t="s">
        <v>49</v>
      </c>
      <c r="K2048" s="33">
        <v>1800</v>
      </c>
      <c r="L2048" t="s">
        <v>62</v>
      </c>
      <c r="M2048" t="str">
        <f>_xlfn.XLOOKUP(Pipeline_tbl[[#This Row],[Rep_ID]],Dim_Reps!A:A,Dim_Reps!K:K)</f>
        <v>EUR</v>
      </c>
      <c r="N2048" s="33">
        <f>(_xlfn.XLOOKUP(Pipeline_tbl[[#This Row],[Rate_Code_Generalized]],Lookups!A:A,Lookups!B:B))*Pipeline_tbl[[#This Row],[Pipeline_Amount_USD]]</f>
        <v>1800</v>
      </c>
      <c r="O2048" t="str">
        <f>_xlfn.XLOOKUP(Pipeline_tbl[[#This Row],[Rep_ID]],Dim_Reps!A:A,Dim_Reps!B:B)</f>
        <v>Jamie Schmidt</v>
      </c>
      <c r="P2048" t="str">
        <f>_xlfn.XLOOKUP(Pipeline_tbl[[#This Row],[Rep_ID]],Dim_Reps!A:A,Dim_Reps!C:C)</f>
        <v>SDR / Inside Sales Rep</v>
      </c>
      <c r="Q2048" t="str">
        <f>_xlfn.XLOOKUP(Pipeline_tbl[[#This Row],[Rep_ID]],Dim_Reps!A:A,Dim_Reps!D:D)</f>
        <v>Inside Sales</v>
      </c>
      <c r="R2048" t="str">
        <f>_xlfn.XLOOKUP(Pipeline_tbl[[#This Row],[Rep_ID]],Dim_Reps!A:A,Dim_Reps!E:E)</f>
        <v>APAC</v>
      </c>
      <c r="S2048" t="str">
        <f>_xlfn.XLOOKUP(Pipeline_tbl[[#This Row],[Created_Date]],Dim_Date!A:A,Dim_Date!H:H)</f>
        <v>Nov 2024</v>
      </c>
      <c r="T2048" t="str">
        <f>IF(Pipeline_tbl[[#This Row],[Closed_Date]]=0,"",(_xlfn.XLOOKUP(Pipeline_tbl[[#This Row],[Closed_Date]],Dim_Date!A:A,Dim_Date!H:H)))</f>
        <v>Nov 2024</v>
      </c>
      <c r="U2048">
        <f>IF(Pipeline_tbl[[#This Row],[Closed_Date]]=0,"",Pipeline_tbl[[#This Row],[Closed_Date]]-Pipeline_tbl[[#This Row],[Created_Date]])</f>
        <v>22</v>
      </c>
    </row>
    <row r="2049" spans="1:21" ht="15" customHeight="1" x14ac:dyDescent="0.2">
      <c r="A2049" t="s">
        <v>2355</v>
      </c>
      <c r="B2049" t="s">
        <v>215</v>
      </c>
      <c r="C2049" t="s">
        <v>52</v>
      </c>
      <c r="D2049" s="49">
        <v>45605</v>
      </c>
      <c r="E2049" s="49">
        <v>45607</v>
      </c>
      <c r="F2049" s="49">
        <v>45610</v>
      </c>
      <c r="G2049" s="49">
        <v>45616</v>
      </c>
      <c r="H2049" s="49">
        <v>45620</v>
      </c>
      <c r="I2049" s="49">
        <v>45623</v>
      </c>
      <c r="J2049" t="s">
        <v>47</v>
      </c>
      <c r="K2049" s="33">
        <v>4200</v>
      </c>
      <c r="M2049" t="str">
        <f>_xlfn.XLOOKUP(Pipeline_tbl[[#This Row],[Rep_ID]],Dim_Reps!A:A,Dim_Reps!K:K)</f>
        <v>EUR</v>
      </c>
      <c r="N2049" s="33">
        <f>(_xlfn.XLOOKUP(Pipeline_tbl[[#This Row],[Rate_Code_Generalized]],Lookups!A:A,Lookups!B:B))*Pipeline_tbl[[#This Row],[Pipeline_Amount_USD]]</f>
        <v>4200</v>
      </c>
      <c r="O2049" t="str">
        <f>_xlfn.XLOOKUP(Pipeline_tbl[[#This Row],[Rep_ID]],Dim_Reps!A:A,Dim_Reps!B:B)</f>
        <v>Jamie Schmidt</v>
      </c>
      <c r="P2049" t="str">
        <f>_xlfn.XLOOKUP(Pipeline_tbl[[#This Row],[Rep_ID]],Dim_Reps!A:A,Dim_Reps!C:C)</f>
        <v>SDR / Inside Sales Rep</v>
      </c>
      <c r="Q2049" t="str">
        <f>_xlfn.XLOOKUP(Pipeline_tbl[[#This Row],[Rep_ID]],Dim_Reps!A:A,Dim_Reps!D:D)</f>
        <v>Inside Sales</v>
      </c>
      <c r="R2049" t="str">
        <f>_xlfn.XLOOKUP(Pipeline_tbl[[#This Row],[Rep_ID]],Dim_Reps!A:A,Dim_Reps!E:E)</f>
        <v>APAC</v>
      </c>
      <c r="S2049" t="str">
        <f>_xlfn.XLOOKUP(Pipeline_tbl[[#This Row],[Created_Date]],Dim_Date!A:A,Dim_Date!H:H)</f>
        <v>Nov 2024</v>
      </c>
      <c r="T2049" t="str">
        <f>IF(Pipeline_tbl[[#This Row],[Closed_Date]]=0,"",(_xlfn.XLOOKUP(Pipeline_tbl[[#This Row],[Closed_Date]],Dim_Date!A:A,Dim_Date!H:H)))</f>
        <v>Nov 2024</v>
      </c>
      <c r="U2049">
        <f>IF(Pipeline_tbl[[#This Row],[Closed_Date]]=0,"",Pipeline_tbl[[#This Row],[Closed_Date]]-Pipeline_tbl[[#This Row],[Created_Date]])</f>
        <v>18</v>
      </c>
    </row>
    <row r="2050" spans="1:21" ht="15" customHeight="1" x14ac:dyDescent="0.2">
      <c r="A2050" t="s">
        <v>2356</v>
      </c>
      <c r="B2050" t="s">
        <v>215</v>
      </c>
      <c r="C2050" t="s">
        <v>55</v>
      </c>
      <c r="D2050" s="49">
        <v>45603</v>
      </c>
      <c r="E2050" s="49">
        <v>45605</v>
      </c>
      <c r="F2050" s="49">
        <v>45609</v>
      </c>
      <c r="G2050" s="49">
        <v>45616</v>
      </c>
      <c r="H2050" s="49">
        <v>45621</v>
      </c>
      <c r="I2050" s="49">
        <v>45624</v>
      </c>
      <c r="J2050" t="s">
        <v>47</v>
      </c>
      <c r="K2050" s="33">
        <v>5500</v>
      </c>
      <c r="M2050" t="str">
        <f>_xlfn.XLOOKUP(Pipeline_tbl[[#This Row],[Rep_ID]],Dim_Reps!A:A,Dim_Reps!K:K)</f>
        <v>EUR</v>
      </c>
      <c r="N2050" s="33">
        <f>(_xlfn.XLOOKUP(Pipeline_tbl[[#This Row],[Rate_Code_Generalized]],Lookups!A:A,Lookups!B:B))*Pipeline_tbl[[#This Row],[Pipeline_Amount_USD]]</f>
        <v>5500</v>
      </c>
      <c r="O2050" t="str">
        <f>_xlfn.XLOOKUP(Pipeline_tbl[[#This Row],[Rep_ID]],Dim_Reps!A:A,Dim_Reps!B:B)</f>
        <v>Jamie Schmidt</v>
      </c>
      <c r="P2050" t="str">
        <f>_xlfn.XLOOKUP(Pipeline_tbl[[#This Row],[Rep_ID]],Dim_Reps!A:A,Dim_Reps!C:C)</f>
        <v>SDR / Inside Sales Rep</v>
      </c>
      <c r="Q2050" t="str">
        <f>_xlfn.XLOOKUP(Pipeline_tbl[[#This Row],[Rep_ID]],Dim_Reps!A:A,Dim_Reps!D:D)</f>
        <v>Inside Sales</v>
      </c>
      <c r="R2050" t="str">
        <f>_xlfn.XLOOKUP(Pipeline_tbl[[#This Row],[Rep_ID]],Dim_Reps!A:A,Dim_Reps!E:E)</f>
        <v>APAC</v>
      </c>
      <c r="S2050" t="str">
        <f>_xlfn.XLOOKUP(Pipeline_tbl[[#This Row],[Created_Date]],Dim_Date!A:A,Dim_Date!H:H)</f>
        <v>Nov 2024</v>
      </c>
      <c r="T2050" t="str">
        <f>IF(Pipeline_tbl[[#This Row],[Closed_Date]]=0,"",(_xlfn.XLOOKUP(Pipeline_tbl[[#This Row],[Closed_Date]],Dim_Date!A:A,Dim_Date!H:H)))</f>
        <v>Nov 2024</v>
      </c>
      <c r="U2050">
        <f>IF(Pipeline_tbl[[#This Row],[Closed_Date]]=0,"",Pipeline_tbl[[#This Row],[Closed_Date]]-Pipeline_tbl[[#This Row],[Created_Date]])</f>
        <v>21</v>
      </c>
    </row>
    <row r="2051" spans="1:21" ht="15" customHeight="1" x14ac:dyDescent="0.2">
      <c r="A2051" t="s">
        <v>2357</v>
      </c>
      <c r="B2051" t="s">
        <v>215</v>
      </c>
      <c r="C2051" t="s">
        <v>52</v>
      </c>
      <c r="D2051" s="49">
        <v>45605</v>
      </c>
      <c r="E2051" s="49">
        <v>45606</v>
      </c>
      <c r="F2051" s="49">
        <v>45609</v>
      </c>
      <c r="G2051" s="49">
        <v>45613</v>
      </c>
      <c r="H2051" s="49">
        <v>45617</v>
      </c>
      <c r="I2051" s="49">
        <v>45619</v>
      </c>
      <c r="J2051" t="s">
        <v>49</v>
      </c>
      <c r="K2051" s="33">
        <v>6300</v>
      </c>
      <c r="L2051" t="s">
        <v>64</v>
      </c>
      <c r="M2051" t="str">
        <f>_xlfn.XLOOKUP(Pipeline_tbl[[#This Row],[Rep_ID]],Dim_Reps!A:A,Dim_Reps!K:K)</f>
        <v>EUR</v>
      </c>
      <c r="N2051" s="33">
        <f>(_xlfn.XLOOKUP(Pipeline_tbl[[#This Row],[Rate_Code_Generalized]],Lookups!A:A,Lookups!B:B))*Pipeline_tbl[[#This Row],[Pipeline_Amount_USD]]</f>
        <v>6300</v>
      </c>
      <c r="O2051" t="str">
        <f>_xlfn.XLOOKUP(Pipeline_tbl[[#This Row],[Rep_ID]],Dim_Reps!A:A,Dim_Reps!B:B)</f>
        <v>Jamie Schmidt</v>
      </c>
      <c r="P2051" t="str">
        <f>_xlfn.XLOOKUP(Pipeline_tbl[[#This Row],[Rep_ID]],Dim_Reps!A:A,Dim_Reps!C:C)</f>
        <v>SDR / Inside Sales Rep</v>
      </c>
      <c r="Q2051" t="str">
        <f>_xlfn.XLOOKUP(Pipeline_tbl[[#This Row],[Rep_ID]],Dim_Reps!A:A,Dim_Reps!D:D)</f>
        <v>Inside Sales</v>
      </c>
      <c r="R2051" t="str">
        <f>_xlfn.XLOOKUP(Pipeline_tbl[[#This Row],[Rep_ID]],Dim_Reps!A:A,Dim_Reps!E:E)</f>
        <v>APAC</v>
      </c>
      <c r="S2051" t="str">
        <f>_xlfn.XLOOKUP(Pipeline_tbl[[#This Row],[Created_Date]],Dim_Date!A:A,Dim_Date!H:H)</f>
        <v>Nov 2024</v>
      </c>
      <c r="T2051" t="str">
        <f>IF(Pipeline_tbl[[#This Row],[Closed_Date]]=0,"",(_xlfn.XLOOKUP(Pipeline_tbl[[#This Row],[Closed_Date]],Dim_Date!A:A,Dim_Date!H:H)))</f>
        <v>Nov 2024</v>
      </c>
      <c r="U2051">
        <f>IF(Pipeline_tbl[[#This Row],[Closed_Date]]=0,"",Pipeline_tbl[[#This Row],[Closed_Date]]-Pipeline_tbl[[#This Row],[Created_Date]])</f>
        <v>14</v>
      </c>
    </row>
    <row r="2052" spans="1:21" ht="15" customHeight="1" x14ac:dyDescent="0.2">
      <c r="A2052" t="s">
        <v>2358</v>
      </c>
      <c r="B2052" t="s">
        <v>215</v>
      </c>
      <c r="C2052" t="s">
        <v>52</v>
      </c>
      <c r="D2052" s="49">
        <v>45601</v>
      </c>
      <c r="E2052" s="49">
        <v>45602</v>
      </c>
      <c r="F2052" s="49">
        <v>45605</v>
      </c>
      <c r="I2052" s="49">
        <v>45615</v>
      </c>
      <c r="J2052" t="s">
        <v>49</v>
      </c>
      <c r="K2052" s="33">
        <v>4200</v>
      </c>
      <c r="L2052" t="s">
        <v>61</v>
      </c>
      <c r="M2052" t="str">
        <f>_xlfn.XLOOKUP(Pipeline_tbl[[#This Row],[Rep_ID]],Dim_Reps!A:A,Dim_Reps!K:K)</f>
        <v>EUR</v>
      </c>
      <c r="N2052" s="33">
        <f>(_xlfn.XLOOKUP(Pipeline_tbl[[#This Row],[Rate_Code_Generalized]],Lookups!A:A,Lookups!B:B))*Pipeline_tbl[[#This Row],[Pipeline_Amount_USD]]</f>
        <v>4200</v>
      </c>
      <c r="O2052" t="str">
        <f>_xlfn.XLOOKUP(Pipeline_tbl[[#This Row],[Rep_ID]],Dim_Reps!A:A,Dim_Reps!B:B)</f>
        <v>Jamie Schmidt</v>
      </c>
      <c r="P2052" t="str">
        <f>_xlfn.XLOOKUP(Pipeline_tbl[[#This Row],[Rep_ID]],Dim_Reps!A:A,Dim_Reps!C:C)</f>
        <v>SDR / Inside Sales Rep</v>
      </c>
      <c r="Q2052" t="str">
        <f>_xlfn.XLOOKUP(Pipeline_tbl[[#This Row],[Rep_ID]],Dim_Reps!A:A,Dim_Reps!D:D)</f>
        <v>Inside Sales</v>
      </c>
      <c r="R2052" t="str">
        <f>_xlfn.XLOOKUP(Pipeline_tbl[[#This Row],[Rep_ID]],Dim_Reps!A:A,Dim_Reps!E:E)</f>
        <v>APAC</v>
      </c>
      <c r="S2052" t="str">
        <f>_xlfn.XLOOKUP(Pipeline_tbl[[#This Row],[Created_Date]],Dim_Date!A:A,Dim_Date!H:H)</f>
        <v>Nov 2024</v>
      </c>
      <c r="T2052" t="str">
        <f>IF(Pipeline_tbl[[#This Row],[Closed_Date]]=0,"",(_xlfn.XLOOKUP(Pipeline_tbl[[#This Row],[Closed_Date]],Dim_Date!A:A,Dim_Date!H:H)))</f>
        <v>Nov 2024</v>
      </c>
      <c r="U2052">
        <f>IF(Pipeline_tbl[[#This Row],[Closed_Date]]=0,"",Pipeline_tbl[[#This Row],[Closed_Date]]-Pipeline_tbl[[#This Row],[Created_Date]])</f>
        <v>14</v>
      </c>
    </row>
    <row r="2053" spans="1:21" ht="15" customHeight="1" x14ac:dyDescent="0.2">
      <c r="A2053" t="s">
        <v>2359</v>
      </c>
      <c r="B2053" t="s">
        <v>217</v>
      </c>
      <c r="C2053" t="s">
        <v>52</v>
      </c>
      <c r="D2053" s="49">
        <v>45612</v>
      </c>
      <c r="E2053" s="49">
        <v>45613</v>
      </c>
      <c r="F2053" s="49">
        <v>45615</v>
      </c>
      <c r="G2053" s="49">
        <v>45619</v>
      </c>
      <c r="H2053" s="49">
        <v>45621</v>
      </c>
      <c r="I2053" s="49">
        <v>45623</v>
      </c>
      <c r="J2053" t="s">
        <v>47</v>
      </c>
      <c r="K2053" s="33">
        <v>4800</v>
      </c>
      <c r="M2053" t="str">
        <f>_xlfn.XLOOKUP(Pipeline_tbl[[#This Row],[Rep_ID]],Dim_Reps!A:A,Dim_Reps!K:K)</f>
        <v>USD</v>
      </c>
      <c r="N2053" s="33">
        <f>(_xlfn.XLOOKUP(Pipeline_tbl[[#This Row],[Rate_Code_Generalized]],Lookups!A:A,Lookups!B:B))*Pipeline_tbl[[#This Row],[Pipeline_Amount_USD]]</f>
        <v>5588.6399999999994</v>
      </c>
      <c r="O2053" t="str">
        <f>_xlfn.XLOOKUP(Pipeline_tbl[[#This Row],[Rep_ID]],Dim_Reps!A:A,Dim_Reps!B:B)</f>
        <v>Priya Weber</v>
      </c>
      <c r="P2053" t="str">
        <f>_xlfn.XLOOKUP(Pipeline_tbl[[#This Row],[Rep_ID]],Dim_Reps!A:A,Dim_Reps!C:C)</f>
        <v>SDR / Inside Sales Rep</v>
      </c>
      <c r="Q2053" t="str">
        <f>_xlfn.XLOOKUP(Pipeline_tbl[[#This Row],[Rep_ID]],Dim_Reps!A:A,Dim_Reps!D:D)</f>
        <v>Inside Sales</v>
      </c>
      <c r="R2053" t="str">
        <f>_xlfn.XLOOKUP(Pipeline_tbl[[#This Row],[Rep_ID]],Dim_Reps!A:A,Dim_Reps!E:E)</f>
        <v>NAMER</v>
      </c>
      <c r="S2053" t="str">
        <f>_xlfn.XLOOKUP(Pipeline_tbl[[#This Row],[Created_Date]],Dim_Date!A:A,Dim_Date!H:H)</f>
        <v>Nov 2024</v>
      </c>
      <c r="T2053" t="str">
        <f>IF(Pipeline_tbl[[#This Row],[Closed_Date]]=0,"",(_xlfn.XLOOKUP(Pipeline_tbl[[#This Row],[Closed_Date]],Dim_Date!A:A,Dim_Date!H:H)))</f>
        <v>Nov 2024</v>
      </c>
      <c r="U2053">
        <f>IF(Pipeline_tbl[[#This Row],[Closed_Date]]=0,"",Pipeline_tbl[[#This Row],[Closed_Date]]-Pipeline_tbl[[#This Row],[Created_Date]])</f>
        <v>11</v>
      </c>
    </row>
    <row r="2054" spans="1:21" ht="15" customHeight="1" x14ac:dyDescent="0.2">
      <c r="A2054" t="s">
        <v>2360</v>
      </c>
      <c r="B2054" t="s">
        <v>217</v>
      </c>
      <c r="C2054" t="s">
        <v>52</v>
      </c>
      <c r="D2054" s="49">
        <v>45597</v>
      </c>
      <c r="E2054" s="49">
        <v>45600</v>
      </c>
      <c r="F2054" s="49">
        <v>45605</v>
      </c>
      <c r="G2054" s="49">
        <v>45614</v>
      </c>
      <c r="H2054" s="49">
        <v>45621</v>
      </c>
      <c r="I2054" s="49">
        <v>45625</v>
      </c>
      <c r="J2054" t="s">
        <v>47</v>
      </c>
      <c r="K2054" s="33">
        <v>4600</v>
      </c>
      <c r="M2054" t="str">
        <f>_xlfn.XLOOKUP(Pipeline_tbl[[#This Row],[Rep_ID]],Dim_Reps!A:A,Dim_Reps!K:K)</f>
        <v>USD</v>
      </c>
      <c r="N2054" s="33">
        <f>(_xlfn.XLOOKUP(Pipeline_tbl[[#This Row],[Rate_Code_Generalized]],Lookups!A:A,Lookups!B:B))*Pipeline_tbl[[#This Row],[Pipeline_Amount_USD]]</f>
        <v>5355.78</v>
      </c>
      <c r="O2054" t="str">
        <f>_xlfn.XLOOKUP(Pipeline_tbl[[#This Row],[Rep_ID]],Dim_Reps!A:A,Dim_Reps!B:B)</f>
        <v>Priya Weber</v>
      </c>
      <c r="P2054" t="str">
        <f>_xlfn.XLOOKUP(Pipeline_tbl[[#This Row],[Rep_ID]],Dim_Reps!A:A,Dim_Reps!C:C)</f>
        <v>SDR / Inside Sales Rep</v>
      </c>
      <c r="Q2054" t="str">
        <f>_xlfn.XLOOKUP(Pipeline_tbl[[#This Row],[Rep_ID]],Dim_Reps!A:A,Dim_Reps!D:D)</f>
        <v>Inside Sales</v>
      </c>
      <c r="R2054" t="str">
        <f>_xlfn.XLOOKUP(Pipeline_tbl[[#This Row],[Rep_ID]],Dim_Reps!A:A,Dim_Reps!E:E)</f>
        <v>NAMER</v>
      </c>
      <c r="S2054" t="str">
        <f>_xlfn.XLOOKUP(Pipeline_tbl[[#This Row],[Created_Date]],Dim_Date!A:A,Dim_Date!H:H)</f>
        <v>Nov 2024</v>
      </c>
      <c r="T2054" t="str">
        <f>IF(Pipeline_tbl[[#This Row],[Closed_Date]]=0,"",(_xlfn.XLOOKUP(Pipeline_tbl[[#This Row],[Closed_Date]],Dim_Date!A:A,Dim_Date!H:H)))</f>
        <v>Nov 2024</v>
      </c>
      <c r="U2054">
        <f>IF(Pipeline_tbl[[#This Row],[Closed_Date]]=0,"",Pipeline_tbl[[#This Row],[Closed_Date]]-Pipeline_tbl[[#This Row],[Created_Date]])</f>
        <v>28</v>
      </c>
    </row>
    <row r="2055" spans="1:21" ht="15" customHeight="1" x14ac:dyDescent="0.2">
      <c r="A2055" t="s">
        <v>2361</v>
      </c>
      <c r="B2055" t="s">
        <v>217</v>
      </c>
      <c r="C2055" t="s">
        <v>52</v>
      </c>
      <c r="D2055" s="49">
        <v>45608</v>
      </c>
      <c r="E2055" s="49">
        <v>45610</v>
      </c>
      <c r="F2055" s="49">
        <v>45613</v>
      </c>
      <c r="G2055" s="49">
        <v>45618</v>
      </c>
      <c r="H2055" s="49">
        <v>45622</v>
      </c>
      <c r="I2055" s="49">
        <v>45624</v>
      </c>
      <c r="J2055" t="s">
        <v>47</v>
      </c>
      <c r="K2055" s="33">
        <v>4600</v>
      </c>
      <c r="M2055" t="str">
        <f>_xlfn.XLOOKUP(Pipeline_tbl[[#This Row],[Rep_ID]],Dim_Reps!A:A,Dim_Reps!K:K)</f>
        <v>USD</v>
      </c>
      <c r="N2055" s="33">
        <f>(_xlfn.XLOOKUP(Pipeline_tbl[[#This Row],[Rate_Code_Generalized]],Lookups!A:A,Lookups!B:B))*Pipeline_tbl[[#This Row],[Pipeline_Amount_USD]]</f>
        <v>5355.78</v>
      </c>
      <c r="O2055" t="str">
        <f>_xlfn.XLOOKUP(Pipeline_tbl[[#This Row],[Rep_ID]],Dim_Reps!A:A,Dim_Reps!B:B)</f>
        <v>Priya Weber</v>
      </c>
      <c r="P2055" t="str">
        <f>_xlfn.XLOOKUP(Pipeline_tbl[[#This Row],[Rep_ID]],Dim_Reps!A:A,Dim_Reps!C:C)</f>
        <v>SDR / Inside Sales Rep</v>
      </c>
      <c r="Q2055" t="str">
        <f>_xlfn.XLOOKUP(Pipeline_tbl[[#This Row],[Rep_ID]],Dim_Reps!A:A,Dim_Reps!D:D)</f>
        <v>Inside Sales</v>
      </c>
      <c r="R2055" t="str">
        <f>_xlfn.XLOOKUP(Pipeline_tbl[[#This Row],[Rep_ID]],Dim_Reps!A:A,Dim_Reps!E:E)</f>
        <v>NAMER</v>
      </c>
      <c r="S2055" t="str">
        <f>_xlfn.XLOOKUP(Pipeline_tbl[[#This Row],[Created_Date]],Dim_Date!A:A,Dim_Date!H:H)</f>
        <v>Nov 2024</v>
      </c>
      <c r="T2055" t="str">
        <f>IF(Pipeline_tbl[[#This Row],[Closed_Date]]=0,"",(_xlfn.XLOOKUP(Pipeline_tbl[[#This Row],[Closed_Date]],Dim_Date!A:A,Dim_Date!H:H)))</f>
        <v>Nov 2024</v>
      </c>
      <c r="U2055">
        <f>IF(Pipeline_tbl[[#This Row],[Closed_Date]]=0,"",Pipeline_tbl[[#This Row],[Closed_Date]]-Pipeline_tbl[[#This Row],[Created_Date]])</f>
        <v>16</v>
      </c>
    </row>
    <row r="2056" spans="1:21" ht="15" customHeight="1" x14ac:dyDescent="0.2">
      <c r="A2056" t="s">
        <v>2362</v>
      </c>
      <c r="B2056" t="s">
        <v>217</v>
      </c>
      <c r="C2056" t="s">
        <v>56</v>
      </c>
      <c r="D2056" s="49">
        <v>45607</v>
      </c>
      <c r="E2056" s="49">
        <v>45609</v>
      </c>
      <c r="F2056" s="49">
        <v>45613</v>
      </c>
      <c r="G2056" s="49">
        <v>45618</v>
      </c>
      <c r="H2056" s="49">
        <v>45623</v>
      </c>
      <c r="I2056" s="49">
        <v>45626</v>
      </c>
      <c r="J2056" t="s">
        <v>47</v>
      </c>
      <c r="K2056" s="33">
        <v>7900</v>
      </c>
      <c r="M2056" t="str">
        <f>_xlfn.XLOOKUP(Pipeline_tbl[[#This Row],[Rep_ID]],Dim_Reps!A:A,Dim_Reps!K:K)</f>
        <v>USD</v>
      </c>
      <c r="N2056" s="33">
        <f>(_xlfn.XLOOKUP(Pipeline_tbl[[#This Row],[Rate_Code_Generalized]],Lookups!A:A,Lookups!B:B))*Pipeline_tbl[[#This Row],[Pipeline_Amount_USD]]</f>
        <v>9197.9699999999993</v>
      </c>
      <c r="O2056" t="str">
        <f>_xlfn.XLOOKUP(Pipeline_tbl[[#This Row],[Rep_ID]],Dim_Reps!A:A,Dim_Reps!B:B)</f>
        <v>Priya Weber</v>
      </c>
      <c r="P2056" t="str">
        <f>_xlfn.XLOOKUP(Pipeline_tbl[[#This Row],[Rep_ID]],Dim_Reps!A:A,Dim_Reps!C:C)</f>
        <v>SDR / Inside Sales Rep</v>
      </c>
      <c r="Q2056" t="str">
        <f>_xlfn.XLOOKUP(Pipeline_tbl[[#This Row],[Rep_ID]],Dim_Reps!A:A,Dim_Reps!D:D)</f>
        <v>Inside Sales</v>
      </c>
      <c r="R2056" t="str">
        <f>_xlfn.XLOOKUP(Pipeline_tbl[[#This Row],[Rep_ID]],Dim_Reps!A:A,Dim_Reps!E:E)</f>
        <v>NAMER</v>
      </c>
      <c r="S2056" t="str">
        <f>_xlfn.XLOOKUP(Pipeline_tbl[[#This Row],[Created_Date]],Dim_Date!A:A,Dim_Date!H:H)</f>
        <v>Nov 2024</v>
      </c>
      <c r="T2056" t="str">
        <f>IF(Pipeline_tbl[[#This Row],[Closed_Date]]=0,"",(_xlfn.XLOOKUP(Pipeline_tbl[[#This Row],[Closed_Date]],Dim_Date!A:A,Dim_Date!H:H)))</f>
        <v>Nov 2024</v>
      </c>
      <c r="U2056">
        <f>IF(Pipeline_tbl[[#This Row],[Closed_Date]]=0,"",Pipeline_tbl[[#This Row],[Closed_Date]]-Pipeline_tbl[[#This Row],[Created_Date]])</f>
        <v>19</v>
      </c>
    </row>
    <row r="2057" spans="1:21" ht="15" customHeight="1" x14ac:dyDescent="0.2">
      <c r="A2057" t="s">
        <v>2363</v>
      </c>
      <c r="B2057" t="s">
        <v>221</v>
      </c>
      <c r="C2057" t="s">
        <v>55</v>
      </c>
      <c r="D2057" s="49">
        <v>45601</v>
      </c>
      <c r="E2057" s="49">
        <v>45603</v>
      </c>
      <c r="F2057" s="49">
        <v>45608</v>
      </c>
      <c r="G2057" s="49">
        <v>45615</v>
      </c>
      <c r="H2057" s="49">
        <v>45621</v>
      </c>
      <c r="I2057" s="49">
        <v>45625</v>
      </c>
      <c r="J2057" t="s">
        <v>49</v>
      </c>
      <c r="K2057" s="33">
        <v>2600</v>
      </c>
      <c r="L2057" t="s">
        <v>60</v>
      </c>
      <c r="M2057" t="str">
        <f>_xlfn.XLOOKUP(Pipeline_tbl[[#This Row],[Rep_ID]],Dim_Reps!A:A,Dim_Reps!K:K)</f>
        <v>MXN</v>
      </c>
      <c r="N2057" s="33">
        <f>(_xlfn.XLOOKUP(Pipeline_tbl[[#This Row],[Rate_Code_Generalized]],Lookups!A:A,Lookups!B:B))*Pipeline_tbl[[#This Row],[Pipeline_Amount_USD]]</f>
        <v>51305.020000000004</v>
      </c>
      <c r="O2057" t="str">
        <f>_xlfn.XLOOKUP(Pipeline_tbl[[#This Row],[Rep_ID]],Dim_Reps!A:A,Dim_Reps!B:B)</f>
        <v>Casey Muller</v>
      </c>
      <c r="P2057" t="str">
        <f>_xlfn.XLOOKUP(Pipeline_tbl[[#This Row],[Rep_ID]],Dim_Reps!A:A,Dim_Reps!C:C)</f>
        <v>SDR / Inside Sales Rep</v>
      </c>
      <c r="Q2057" t="str">
        <f>_xlfn.XLOOKUP(Pipeline_tbl[[#This Row],[Rep_ID]],Dim_Reps!A:A,Dim_Reps!D:D)</f>
        <v>Inside Sales</v>
      </c>
      <c r="R2057" t="str">
        <f>_xlfn.XLOOKUP(Pipeline_tbl[[#This Row],[Rep_ID]],Dim_Reps!A:A,Dim_Reps!E:E)</f>
        <v>LATAM</v>
      </c>
      <c r="S2057" t="str">
        <f>_xlfn.XLOOKUP(Pipeline_tbl[[#This Row],[Created_Date]],Dim_Date!A:A,Dim_Date!H:H)</f>
        <v>Nov 2024</v>
      </c>
      <c r="T2057" t="str">
        <f>IF(Pipeline_tbl[[#This Row],[Closed_Date]]=0,"",(_xlfn.XLOOKUP(Pipeline_tbl[[#This Row],[Closed_Date]],Dim_Date!A:A,Dim_Date!H:H)))</f>
        <v>Nov 2024</v>
      </c>
      <c r="U2057">
        <f>IF(Pipeline_tbl[[#This Row],[Closed_Date]]=0,"",Pipeline_tbl[[#This Row],[Closed_Date]]-Pipeline_tbl[[#This Row],[Created_Date]])</f>
        <v>24</v>
      </c>
    </row>
    <row r="2058" spans="1:21" ht="15" customHeight="1" x14ac:dyDescent="0.2">
      <c r="A2058" t="s">
        <v>2364</v>
      </c>
      <c r="B2058" t="s">
        <v>221</v>
      </c>
      <c r="C2058" t="s">
        <v>56</v>
      </c>
      <c r="D2058" s="49">
        <v>45608</v>
      </c>
      <c r="E2058" s="49">
        <v>45609</v>
      </c>
      <c r="F2058" s="49">
        <v>45612</v>
      </c>
      <c r="G2058" s="49">
        <v>45616</v>
      </c>
      <c r="H2058" s="49">
        <v>45619</v>
      </c>
      <c r="I2058" s="49">
        <v>45621</v>
      </c>
      <c r="J2058" t="s">
        <v>47</v>
      </c>
      <c r="K2058" s="33">
        <v>3300</v>
      </c>
      <c r="M2058" t="str">
        <f>_xlfn.XLOOKUP(Pipeline_tbl[[#This Row],[Rep_ID]],Dim_Reps!A:A,Dim_Reps!K:K)</f>
        <v>MXN</v>
      </c>
      <c r="N2058" s="33">
        <f>(_xlfn.XLOOKUP(Pipeline_tbl[[#This Row],[Rate_Code_Generalized]],Lookups!A:A,Lookups!B:B))*Pipeline_tbl[[#This Row],[Pipeline_Amount_USD]]</f>
        <v>65117.91</v>
      </c>
      <c r="O2058" t="str">
        <f>_xlfn.XLOOKUP(Pipeline_tbl[[#This Row],[Rep_ID]],Dim_Reps!A:A,Dim_Reps!B:B)</f>
        <v>Casey Muller</v>
      </c>
      <c r="P2058" t="str">
        <f>_xlfn.XLOOKUP(Pipeline_tbl[[#This Row],[Rep_ID]],Dim_Reps!A:A,Dim_Reps!C:C)</f>
        <v>SDR / Inside Sales Rep</v>
      </c>
      <c r="Q2058" t="str">
        <f>_xlfn.XLOOKUP(Pipeline_tbl[[#This Row],[Rep_ID]],Dim_Reps!A:A,Dim_Reps!D:D)</f>
        <v>Inside Sales</v>
      </c>
      <c r="R2058" t="str">
        <f>_xlfn.XLOOKUP(Pipeline_tbl[[#This Row],[Rep_ID]],Dim_Reps!A:A,Dim_Reps!E:E)</f>
        <v>LATAM</v>
      </c>
      <c r="S2058" t="str">
        <f>_xlfn.XLOOKUP(Pipeline_tbl[[#This Row],[Created_Date]],Dim_Date!A:A,Dim_Date!H:H)</f>
        <v>Nov 2024</v>
      </c>
      <c r="T2058" t="str">
        <f>IF(Pipeline_tbl[[#This Row],[Closed_Date]]=0,"",(_xlfn.XLOOKUP(Pipeline_tbl[[#This Row],[Closed_Date]],Dim_Date!A:A,Dim_Date!H:H)))</f>
        <v>Nov 2024</v>
      </c>
      <c r="U2058">
        <f>IF(Pipeline_tbl[[#This Row],[Closed_Date]]=0,"",Pipeline_tbl[[#This Row],[Closed_Date]]-Pipeline_tbl[[#This Row],[Created_Date]])</f>
        <v>13</v>
      </c>
    </row>
    <row r="2059" spans="1:21" ht="15" customHeight="1" x14ac:dyDescent="0.2">
      <c r="A2059" t="s">
        <v>2365</v>
      </c>
      <c r="B2059" t="s">
        <v>221</v>
      </c>
      <c r="C2059" t="s">
        <v>53</v>
      </c>
      <c r="D2059" s="49">
        <v>45600</v>
      </c>
      <c r="E2059" s="49">
        <v>45602</v>
      </c>
      <c r="F2059" s="49">
        <v>45605</v>
      </c>
      <c r="I2059" s="49">
        <v>45616</v>
      </c>
      <c r="J2059" t="s">
        <v>49</v>
      </c>
      <c r="K2059" s="33">
        <v>6700</v>
      </c>
      <c r="L2059" t="s">
        <v>62</v>
      </c>
      <c r="M2059" t="str">
        <f>_xlfn.XLOOKUP(Pipeline_tbl[[#This Row],[Rep_ID]],Dim_Reps!A:A,Dim_Reps!K:K)</f>
        <v>MXN</v>
      </c>
      <c r="N2059" s="33">
        <f>(_xlfn.XLOOKUP(Pipeline_tbl[[#This Row],[Rate_Code_Generalized]],Lookups!A:A,Lookups!B:B))*Pipeline_tbl[[#This Row],[Pipeline_Amount_USD]]</f>
        <v>132209.09</v>
      </c>
      <c r="O2059" t="str">
        <f>_xlfn.XLOOKUP(Pipeline_tbl[[#This Row],[Rep_ID]],Dim_Reps!A:A,Dim_Reps!B:B)</f>
        <v>Casey Muller</v>
      </c>
      <c r="P2059" t="str">
        <f>_xlfn.XLOOKUP(Pipeline_tbl[[#This Row],[Rep_ID]],Dim_Reps!A:A,Dim_Reps!C:C)</f>
        <v>SDR / Inside Sales Rep</v>
      </c>
      <c r="Q2059" t="str">
        <f>_xlfn.XLOOKUP(Pipeline_tbl[[#This Row],[Rep_ID]],Dim_Reps!A:A,Dim_Reps!D:D)</f>
        <v>Inside Sales</v>
      </c>
      <c r="R2059" t="str">
        <f>_xlfn.XLOOKUP(Pipeline_tbl[[#This Row],[Rep_ID]],Dim_Reps!A:A,Dim_Reps!E:E)</f>
        <v>LATAM</v>
      </c>
      <c r="S2059" t="str">
        <f>_xlfn.XLOOKUP(Pipeline_tbl[[#This Row],[Created_Date]],Dim_Date!A:A,Dim_Date!H:H)</f>
        <v>Nov 2024</v>
      </c>
      <c r="T2059" t="str">
        <f>IF(Pipeline_tbl[[#This Row],[Closed_Date]]=0,"",(_xlfn.XLOOKUP(Pipeline_tbl[[#This Row],[Closed_Date]],Dim_Date!A:A,Dim_Date!H:H)))</f>
        <v>Nov 2024</v>
      </c>
      <c r="U2059">
        <f>IF(Pipeline_tbl[[#This Row],[Closed_Date]]=0,"",Pipeline_tbl[[#This Row],[Closed_Date]]-Pipeline_tbl[[#This Row],[Created_Date]])</f>
        <v>16</v>
      </c>
    </row>
    <row r="2060" spans="1:21" ht="15" customHeight="1" x14ac:dyDescent="0.2">
      <c r="A2060" t="s">
        <v>2366</v>
      </c>
      <c r="B2060" t="s">
        <v>221</v>
      </c>
      <c r="C2060" t="s">
        <v>53</v>
      </c>
      <c r="D2060" s="49">
        <v>45602</v>
      </c>
      <c r="E2060" s="49">
        <v>45604</v>
      </c>
      <c r="F2060" s="49">
        <v>45608</v>
      </c>
      <c r="G2060" s="49">
        <v>45613</v>
      </c>
      <c r="H2060" s="49">
        <v>45618</v>
      </c>
      <c r="I2060" s="49">
        <v>45621</v>
      </c>
      <c r="J2060" t="s">
        <v>47</v>
      </c>
      <c r="K2060" s="33">
        <v>5100</v>
      </c>
      <c r="M2060" t="str">
        <f>_xlfn.XLOOKUP(Pipeline_tbl[[#This Row],[Rep_ID]],Dim_Reps!A:A,Dim_Reps!K:K)</f>
        <v>MXN</v>
      </c>
      <c r="N2060" s="33">
        <f>(_xlfn.XLOOKUP(Pipeline_tbl[[#This Row],[Rate_Code_Generalized]],Lookups!A:A,Lookups!B:B))*Pipeline_tbl[[#This Row],[Pipeline_Amount_USD]]</f>
        <v>100636.77</v>
      </c>
      <c r="O2060" t="str">
        <f>_xlfn.XLOOKUP(Pipeline_tbl[[#This Row],[Rep_ID]],Dim_Reps!A:A,Dim_Reps!B:B)</f>
        <v>Casey Muller</v>
      </c>
      <c r="P2060" t="str">
        <f>_xlfn.XLOOKUP(Pipeline_tbl[[#This Row],[Rep_ID]],Dim_Reps!A:A,Dim_Reps!C:C)</f>
        <v>SDR / Inside Sales Rep</v>
      </c>
      <c r="Q2060" t="str">
        <f>_xlfn.XLOOKUP(Pipeline_tbl[[#This Row],[Rep_ID]],Dim_Reps!A:A,Dim_Reps!D:D)</f>
        <v>Inside Sales</v>
      </c>
      <c r="R2060" t="str">
        <f>_xlfn.XLOOKUP(Pipeline_tbl[[#This Row],[Rep_ID]],Dim_Reps!A:A,Dim_Reps!E:E)</f>
        <v>LATAM</v>
      </c>
      <c r="S2060" t="str">
        <f>_xlfn.XLOOKUP(Pipeline_tbl[[#This Row],[Created_Date]],Dim_Date!A:A,Dim_Date!H:H)</f>
        <v>Nov 2024</v>
      </c>
      <c r="T2060" t="str">
        <f>IF(Pipeline_tbl[[#This Row],[Closed_Date]]=0,"",(_xlfn.XLOOKUP(Pipeline_tbl[[#This Row],[Closed_Date]],Dim_Date!A:A,Dim_Date!H:H)))</f>
        <v>Nov 2024</v>
      </c>
      <c r="U2060">
        <f>IF(Pipeline_tbl[[#This Row],[Closed_Date]]=0,"",Pipeline_tbl[[#This Row],[Closed_Date]]-Pipeline_tbl[[#This Row],[Created_Date]])</f>
        <v>19</v>
      </c>
    </row>
    <row r="2061" spans="1:21" ht="15" customHeight="1" x14ac:dyDescent="0.2">
      <c r="A2061" t="s">
        <v>2367</v>
      </c>
      <c r="B2061" t="s">
        <v>221</v>
      </c>
      <c r="C2061" t="s">
        <v>52</v>
      </c>
      <c r="D2061" s="49">
        <v>45614</v>
      </c>
      <c r="E2061" s="49">
        <v>45615</v>
      </c>
      <c r="F2061" s="49">
        <v>45617</v>
      </c>
      <c r="I2061" s="49">
        <v>45624</v>
      </c>
      <c r="J2061" t="s">
        <v>49</v>
      </c>
      <c r="K2061" s="33">
        <v>3000</v>
      </c>
      <c r="L2061" t="s">
        <v>62</v>
      </c>
      <c r="M2061" t="str">
        <f>_xlfn.XLOOKUP(Pipeline_tbl[[#This Row],[Rep_ID]],Dim_Reps!A:A,Dim_Reps!K:K)</f>
        <v>MXN</v>
      </c>
      <c r="N2061" s="33">
        <f>(_xlfn.XLOOKUP(Pipeline_tbl[[#This Row],[Rate_Code_Generalized]],Lookups!A:A,Lookups!B:B))*Pipeline_tbl[[#This Row],[Pipeline_Amount_USD]]</f>
        <v>59198.100000000006</v>
      </c>
      <c r="O2061" t="str">
        <f>_xlfn.XLOOKUP(Pipeline_tbl[[#This Row],[Rep_ID]],Dim_Reps!A:A,Dim_Reps!B:B)</f>
        <v>Casey Muller</v>
      </c>
      <c r="P2061" t="str">
        <f>_xlfn.XLOOKUP(Pipeline_tbl[[#This Row],[Rep_ID]],Dim_Reps!A:A,Dim_Reps!C:C)</f>
        <v>SDR / Inside Sales Rep</v>
      </c>
      <c r="Q2061" t="str">
        <f>_xlfn.XLOOKUP(Pipeline_tbl[[#This Row],[Rep_ID]],Dim_Reps!A:A,Dim_Reps!D:D)</f>
        <v>Inside Sales</v>
      </c>
      <c r="R2061" t="str">
        <f>_xlfn.XLOOKUP(Pipeline_tbl[[#This Row],[Rep_ID]],Dim_Reps!A:A,Dim_Reps!E:E)</f>
        <v>LATAM</v>
      </c>
      <c r="S2061" t="str">
        <f>_xlfn.XLOOKUP(Pipeline_tbl[[#This Row],[Created_Date]],Dim_Date!A:A,Dim_Date!H:H)</f>
        <v>Nov 2024</v>
      </c>
      <c r="T2061" t="str">
        <f>IF(Pipeline_tbl[[#This Row],[Closed_Date]]=0,"",(_xlfn.XLOOKUP(Pipeline_tbl[[#This Row],[Closed_Date]],Dim_Date!A:A,Dim_Date!H:H)))</f>
        <v>Nov 2024</v>
      </c>
      <c r="U2061">
        <f>IF(Pipeline_tbl[[#This Row],[Closed_Date]]=0,"",Pipeline_tbl[[#This Row],[Closed_Date]]-Pipeline_tbl[[#This Row],[Created_Date]])</f>
        <v>10</v>
      </c>
    </row>
    <row r="2062" spans="1:21" ht="15" customHeight="1" x14ac:dyDescent="0.2">
      <c r="A2062" t="s">
        <v>2368</v>
      </c>
      <c r="B2062" t="s">
        <v>221</v>
      </c>
      <c r="C2062" t="s">
        <v>52</v>
      </c>
      <c r="D2062" s="49">
        <v>45613</v>
      </c>
      <c r="E2062" s="49">
        <v>45614</v>
      </c>
      <c r="F2062" s="49">
        <v>45617</v>
      </c>
      <c r="G2062" s="49">
        <v>45620</v>
      </c>
      <c r="H2062" s="49">
        <v>45623</v>
      </c>
      <c r="I2062" s="49">
        <v>45625</v>
      </c>
      <c r="J2062" t="s">
        <v>47</v>
      </c>
      <c r="K2062" s="33">
        <v>1600</v>
      </c>
      <c r="M2062" t="str">
        <f>_xlfn.XLOOKUP(Pipeline_tbl[[#This Row],[Rep_ID]],Dim_Reps!A:A,Dim_Reps!K:K)</f>
        <v>MXN</v>
      </c>
      <c r="N2062" s="33">
        <f>(_xlfn.XLOOKUP(Pipeline_tbl[[#This Row],[Rate_Code_Generalized]],Lookups!A:A,Lookups!B:B))*Pipeline_tbl[[#This Row],[Pipeline_Amount_USD]]</f>
        <v>31572.320000000003</v>
      </c>
      <c r="O2062" t="str">
        <f>_xlfn.XLOOKUP(Pipeline_tbl[[#This Row],[Rep_ID]],Dim_Reps!A:A,Dim_Reps!B:B)</f>
        <v>Casey Muller</v>
      </c>
      <c r="P2062" t="str">
        <f>_xlfn.XLOOKUP(Pipeline_tbl[[#This Row],[Rep_ID]],Dim_Reps!A:A,Dim_Reps!C:C)</f>
        <v>SDR / Inside Sales Rep</v>
      </c>
      <c r="Q2062" t="str">
        <f>_xlfn.XLOOKUP(Pipeline_tbl[[#This Row],[Rep_ID]],Dim_Reps!A:A,Dim_Reps!D:D)</f>
        <v>Inside Sales</v>
      </c>
      <c r="R2062" t="str">
        <f>_xlfn.XLOOKUP(Pipeline_tbl[[#This Row],[Rep_ID]],Dim_Reps!A:A,Dim_Reps!E:E)</f>
        <v>LATAM</v>
      </c>
      <c r="S2062" t="str">
        <f>_xlfn.XLOOKUP(Pipeline_tbl[[#This Row],[Created_Date]],Dim_Date!A:A,Dim_Date!H:H)</f>
        <v>Nov 2024</v>
      </c>
      <c r="T2062" t="str">
        <f>IF(Pipeline_tbl[[#This Row],[Closed_Date]]=0,"",(_xlfn.XLOOKUP(Pipeline_tbl[[#This Row],[Closed_Date]],Dim_Date!A:A,Dim_Date!H:H)))</f>
        <v>Nov 2024</v>
      </c>
      <c r="U2062">
        <f>IF(Pipeline_tbl[[#This Row],[Closed_Date]]=0,"",Pipeline_tbl[[#This Row],[Closed_Date]]-Pipeline_tbl[[#This Row],[Created_Date]])</f>
        <v>12</v>
      </c>
    </row>
    <row r="2063" spans="1:21" ht="15" customHeight="1" x14ac:dyDescent="0.2">
      <c r="A2063" t="s">
        <v>2369</v>
      </c>
      <c r="B2063" t="s">
        <v>221</v>
      </c>
      <c r="C2063" t="s">
        <v>53</v>
      </c>
      <c r="D2063" s="49">
        <v>45601</v>
      </c>
      <c r="E2063" s="49">
        <v>45603</v>
      </c>
      <c r="F2063" s="49">
        <v>45608</v>
      </c>
      <c r="G2063" s="49">
        <v>45614</v>
      </c>
      <c r="H2063" s="49">
        <v>45620</v>
      </c>
      <c r="I2063" s="49">
        <v>45623</v>
      </c>
      <c r="J2063" t="s">
        <v>49</v>
      </c>
      <c r="K2063" s="33">
        <v>5800</v>
      </c>
      <c r="L2063" t="s">
        <v>61</v>
      </c>
      <c r="M2063" t="str">
        <f>_xlfn.XLOOKUP(Pipeline_tbl[[#This Row],[Rep_ID]],Dim_Reps!A:A,Dim_Reps!K:K)</f>
        <v>MXN</v>
      </c>
      <c r="N2063" s="33">
        <f>(_xlfn.XLOOKUP(Pipeline_tbl[[#This Row],[Rate_Code_Generalized]],Lookups!A:A,Lookups!B:B))*Pipeline_tbl[[#This Row],[Pipeline_Amount_USD]]</f>
        <v>114449.66</v>
      </c>
      <c r="O2063" t="str">
        <f>_xlfn.XLOOKUP(Pipeline_tbl[[#This Row],[Rep_ID]],Dim_Reps!A:A,Dim_Reps!B:B)</f>
        <v>Casey Muller</v>
      </c>
      <c r="P2063" t="str">
        <f>_xlfn.XLOOKUP(Pipeline_tbl[[#This Row],[Rep_ID]],Dim_Reps!A:A,Dim_Reps!C:C)</f>
        <v>SDR / Inside Sales Rep</v>
      </c>
      <c r="Q2063" t="str">
        <f>_xlfn.XLOOKUP(Pipeline_tbl[[#This Row],[Rep_ID]],Dim_Reps!A:A,Dim_Reps!D:D)</f>
        <v>Inside Sales</v>
      </c>
      <c r="R2063" t="str">
        <f>_xlfn.XLOOKUP(Pipeline_tbl[[#This Row],[Rep_ID]],Dim_Reps!A:A,Dim_Reps!E:E)</f>
        <v>LATAM</v>
      </c>
      <c r="S2063" t="str">
        <f>_xlfn.XLOOKUP(Pipeline_tbl[[#This Row],[Created_Date]],Dim_Date!A:A,Dim_Date!H:H)</f>
        <v>Nov 2024</v>
      </c>
      <c r="T2063" t="str">
        <f>IF(Pipeline_tbl[[#This Row],[Closed_Date]]=0,"",(_xlfn.XLOOKUP(Pipeline_tbl[[#This Row],[Closed_Date]],Dim_Date!A:A,Dim_Date!H:H)))</f>
        <v>Nov 2024</v>
      </c>
      <c r="U2063">
        <f>IF(Pipeline_tbl[[#This Row],[Closed_Date]]=0,"",Pipeline_tbl[[#This Row],[Closed_Date]]-Pipeline_tbl[[#This Row],[Created_Date]])</f>
        <v>22</v>
      </c>
    </row>
    <row r="2064" spans="1:21" ht="15" customHeight="1" x14ac:dyDescent="0.2">
      <c r="A2064" t="s">
        <v>2370</v>
      </c>
      <c r="B2064" t="s">
        <v>221</v>
      </c>
      <c r="C2064" t="s">
        <v>55</v>
      </c>
      <c r="D2064" s="49">
        <v>45604</v>
      </c>
      <c r="E2064" s="49">
        <v>45606</v>
      </c>
      <c r="F2064" s="49">
        <v>45610</v>
      </c>
      <c r="G2064" s="49">
        <v>45615</v>
      </c>
      <c r="I2064" s="49">
        <v>45623</v>
      </c>
      <c r="J2064" t="s">
        <v>49</v>
      </c>
      <c r="K2064" s="33">
        <v>6500</v>
      </c>
      <c r="L2064" t="s">
        <v>62</v>
      </c>
      <c r="M2064" t="str">
        <f>_xlfn.XLOOKUP(Pipeline_tbl[[#This Row],[Rep_ID]],Dim_Reps!A:A,Dim_Reps!K:K)</f>
        <v>MXN</v>
      </c>
      <c r="N2064" s="33">
        <f>(_xlfn.XLOOKUP(Pipeline_tbl[[#This Row],[Rate_Code_Generalized]],Lookups!A:A,Lookups!B:B))*Pipeline_tbl[[#This Row],[Pipeline_Amount_USD]]</f>
        <v>128262.55</v>
      </c>
      <c r="O2064" t="str">
        <f>_xlfn.XLOOKUP(Pipeline_tbl[[#This Row],[Rep_ID]],Dim_Reps!A:A,Dim_Reps!B:B)</f>
        <v>Casey Muller</v>
      </c>
      <c r="P2064" t="str">
        <f>_xlfn.XLOOKUP(Pipeline_tbl[[#This Row],[Rep_ID]],Dim_Reps!A:A,Dim_Reps!C:C)</f>
        <v>SDR / Inside Sales Rep</v>
      </c>
      <c r="Q2064" t="str">
        <f>_xlfn.XLOOKUP(Pipeline_tbl[[#This Row],[Rep_ID]],Dim_Reps!A:A,Dim_Reps!D:D)</f>
        <v>Inside Sales</v>
      </c>
      <c r="R2064" t="str">
        <f>_xlfn.XLOOKUP(Pipeline_tbl[[#This Row],[Rep_ID]],Dim_Reps!A:A,Dim_Reps!E:E)</f>
        <v>LATAM</v>
      </c>
      <c r="S2064" t="str">
        <f>_xlfn.XLOOKUP(Pipeline_tbl[[#This Row],[Created_Date]],Dim_Date!A:A,Dim_Date!H:H)</f>
        <v>Nov 2024</v>
      </c>
      <c r="T2064" t="str">
        <f>IF(Pipeline_tbl[[#This Row],[Closed_Date]]=0,"",(_xlfn.XLOOKUP(Pipeline_tbl[[#This Row],[Closed_Date]],Dim_Date!A:A,Dim_Date!H:H)))</f>
        <v>Nov 2024</v>
      </c>
      <c r="U2064">
        <f>IF(Pipeline_tbl[[#This Row],[Closed_Date]]=0,"",Pipeline_tbl[[#This Row],[Closed_Date]]-Pipeline_tbl[[#This Row],[Created_Date]])</f>
        <v>19</v>
      </c>
    </row>
    <row r="2065" spans="1:21" ht="15" customHeight="1" x14ac:dyDescent="0.2">
      <c r="A2065" t="s">
        <v>2371</v>
      </c>
      <c r="B2065" t="s">
        <v>221</v>
      </c>
      <c r="C2065" t="s">
        <v>52</v>
      </c>
      <c r="D2065" s="49">
        <v>45597</v>
      </c>
      <c r="E2065" s="49">
        <v>45600</v>
      </c>
      <c r="F2065" s="49">
        <v>45605</v>
      </c>
      <c r="I2065" s="49">
        <v>45623</v>
      </c>
      <c r="J2065" t="s">
        <v>49</v>
      </c>
      <c r="K2065" s="33">
        <v>2800</v>
      </c>
      <c r="L2065" t="s">
        <v>63</v>
      </c>
      <c r="M2065" t="str">
        <f>_xlfn.XLOOKUP(Pipeline_tbl[[#This Row],[Rep_ID]],Dim_Reps!A:A,Dim_Reps!K:K)</f>
        <v>MXN</v>
      </c>
      <c r="N2065" s="33">
        <f>(_xlfn.XLOOKUP(Pipeline_tbl[[#This Row],[Rate_Code_Generalized]],Lookups!A:A,Lookups!B:B))*Pipeline_tbl[[#This Row],[Pipeline_Amount_USD]]</f>
        <v>55251.560000000005</v>
      </c>
      <c r="O2065" t="str">
        <f>_xlfn.XLOOKUP(Pipeline_tbl[[#This Row],[Rep_ID]],Dim_Reps!A:A,Dim_Reps!B:B)</f>
        <v>Casey Muller</v>
      </c>
      <c r="P2065" t="str">
        <f>_xlfn.XLOOKUP(Pipeline_tbl[[#This Row],[Rep_ID]],Dim_Reps!A:A,Dim_Reps!C:C)</f>
        <v>SDR / Inside Sales Rep</v>
      </c>
      <c r="Q2065" t="str">
        <f>_xlfn.XLOOKUP(Pipeline_tbl[[#This Row],[Rep_ID]],Dim_Reps!A:A,Dim_Reps!D:D)</f>
        <v>Inside Sales</v>
      </c>
      <c r="R2065" t="str">
        <f>_xlfn.XLOOKUP(Pipeline_tbl[[#This Row],[Rep_ID]],Dim_Reps!A:A,Dim_Reps!E:E)</f>
        <v>LATAM</v>
      </c>
      <c r="S2065" t="str">
        <f>_xlfn.XLOOKUP(Pipeline_tbl[[#This Row],[Created_Date]],Dim_Date!A:A,Dim_Date!H:H)</f>
        <v>Nov 2024</v>
      </c>
      <c r="T2065" t="str">
        <f>IF(Pipeline_tbl[[#This Row],[Closed_Date]]=0,"",(_xlfn.XLOOKUP(Pipeline_tbl[[#This Row],[Closed_Date]],Dim_Date!A:A,Dim_Date!H:H)))</f>
        <v>Nov 2024</v>
      </c>
      <c r="U2065">
        <f>IF(Pipeline_tbl[[#This Row],[Closed_Date]]=0,"",Pipeline_tbl[[#This Row],[Closed_Date]]-Pipeline_tbl[[#This Row],[Created_Date]])</f>
        <v>26</v>
      </c>
    </row>
    <row r="2066" spans="1:21" ht="15" customHeight="1" x14ac:dyDescent="0.2">
      <c r="A2066" t="s">
        <v>2372</v>
      </c>
      <c r="B2066" t="s">
        <v>225</v>
      </c>
      <c r="C2066" t="s">
        <v>52</v>
      </c>
      <c r="D2066" s="49">
        <v>45610</v>
      </c>
      <c r="E2066" s="49">
        <v>45612</v>
      </c>
      <c r="F2066" s="49">
        <v>45615</v>
      </c>
      <c r="G2066" s="49">
        <v>45620</v>
      </c>
      <c r="H2066" s="49">
        <v>45624</v>
      </c>
      <c r="I2066" s="49">
        <v>45626</v>
      </c>
      <c r="J2066" t="s">
        <v>49</v>
      </c>
      <c r="K2066" s="33">
        <v>3800</v>
      </c>
      <c r="L2066" t="s">
        <v>61</v>
      </c>
      <c r="M2066" t="str">
        <f>_xlfn.XLOOKUP(Pipeline_tbl[[#This Row],[Rep_ID]],Dim_Reps!A:A,Dim_Reps!K:K)</f>
        <v>USD</v>
      </c>
      <c r="N2066" s="33">
        <f>(_xlfn.XLOOKUP(Pipeline_tbl[[#This Row],[Rate_Code_Generalized]],Lookups!A:A,Lookups!B:B))*Pipeline_tbl[[#This Row],[Pipeline_Amount_USD]]</f>
        <v>4424.3399999999992</v>
      </c>
      <c r="O2066" t="str">
        <f>_xlfn.XLOOKUP(Pipeline_tbl[[#This Row],[Rep_ID]],Dim_Reps!A:A,Dim_Reps!B:B)</f>
        <v>Alex Muller</v>
      </c>
      <c r="P2066" t="str">
        <f>_xlfn.XLOOKUP(Pipeline_tbl[[#This Row],[Rep_ID]],Dim_Reps!A:A,Dim_Reps!C:C)</f>
        <v>SDR / Inside Sales Rep</v>
      </c>
      <c r="Q2066" t="str">
        <f>_xlfn.XLOOKUP(Pipeline_tbl[[#This Row],[Rep_ID]],Dim_Reps!A:A,Dim_Reps!D:D)</f>
        <v>Inside Sales</v>
      </c>
      <c r="R2066" t="str">
        <f>_xlfn.XLOOKUP(Pipeline_tbl[[#This Row],[Rep_ID]],Dim_Reps!A:A,Dim_Reps!E:E)</f>
        <v>NAMER</v>
      </c>
      <c r="S2066" t="str">
        <f>_xlfn.XLOOKUP(Pipeline_tbl[[#This Row],[Created_Date]],Dim_Date!A:A,Dim_Date!H:H)</f>
        <v>Nov 2024</v>
      </c>
      <c r="T2066" t="str">
        <f>IF(Pipeline_tbl[[#This Row],[Closed_Date]]=0,"",(_xlfn.XLOOKUP(Pipeline_tbl[[#This Row],[Closed_Date]],Dim_Date!A:A,Dim_Date!H:H)))</f>
        <v>Nov 2024</v>
      </c>
      <c r="U2066">
        <f>IF(Pipeline_tbl[[#This Row],[Closed_Date]]=0,"",Pipeline_tbl[[#This Row],[Closed_Date]]-Pipeline_tbl[[#This Row],[Created_Date]])</f>
        <v>16</v>
      </c>
    </row>
    <row r="2067" spans="1:21" ht="15" customHeight="1" x14ac:dyDescent="0.2">
      <c r="A2067" t="s">
        <v>2373</v>
      </c>
      <c r="B2067" t="s">
        <v>225</v>
      </c>
      <c r="C2067" t="s">
        <v>53</v>
      </c>
      <c r="D2067" s="49">
        <v>45609</v>
      </c>
      <c r="E2067" s="49">
        <v>45610</v>
      </c>
      <c r="F2067" s="49">
        <v>45612</v>
      </c>
      <c r="G2067" s="49">
        <v>45616</v>
      </c>
      <c r="H2067" s="49">
        <v>45618</v>
      </c>
      <c r="I2067" s="49">
        <v>45620</v>
      </c>
      <c r="J2067" t="s">
        <v>47</v>
      </c>
      <c r="K2067" s="33">
        <v>2100</v>
      </c>
      <c r="M2067" t="str">
        <f>_xlfn.XLOOKUP(Pipeline_tbl[[#This Row],[Rep_ID]],Dim_Reps!A:A,Dim_Reps!K:K)</f>
        <v>USD</v>
      </c>
      <c r="N2067" s="33">
        <f>(_xlfn.XLOOKUP(Pipeline_tbl[[#This Row],[Rate_Code_Generalized]],Lookups!A:A,Lookups!B:B))*Pipeline_tbl[[#This Row],[Pipeline_Amount_USD]]</f>
        <v>2445.0299999999997</v>
      </c>
      <c r="O2067" t="str">
        <f>_xlfn.XLOOKUP(Pipeline_tbl[[#This Row],[Rep_ID]],Dim_Reps!A:A,Dim_Reps!B:B)</f>
        <v>Alex Muller</v>
      </c>
      <c r="P2067" t="str">
        <f>_xlfn.XLOOKUP(Pipeline_tbl[[#This Row],[Rep_ID]],Dim_Reps!A:A,Dim_Reps!C:C)</f>
        <v>SDR / Inside Sales Rep</v>
      </c>
      <c r="Q2067" t="str">
        <f>_xlfn.XLOOKUP(Pipeline_tbl[[#This Row],[Rep_ID]],Dim_Reps!A:A,Dim_Reps!D:D)</f>
        <v>Inside Sales</v>
      </c>
      <c r="R2067" t="str">
        <f>_xlfn.XLOOKUP(Pipeline_tbl[[#This Row],[Rep_ID]],Dim_Reps!A:A,Dim_Reps!E:E)</f>
        <v>NAMER</v>
      </c>
      <c r="S2067" t="str">
        <f>_xlfn.XLOOKUP(Pipeline_tbl[[#This Row],[Created_Date]],Dim_Date!A:A,Dim_Date!H:H)</f>
        <v>Nov 2024</v>
      </c>
      <c r="T2067" t="str">
        <f>IF(Pipeline_tbl[[#This Row],[Closed_Date]]=0,"",(_xlfn.XLOOKUP(Pipeline_tbl[[#This Row],[Closed_Date]],Dim_Date!A:A,Dim_Date!H:H)))</f>
        <v>Nov 2024</v>
      </c>
      <c r="U2067">
        <f>IF(Pipeline_tbl[[#This Row],[Closed_Date]]=0,"",Pipeline_tbl[[#This Row],[Closed_Date]]-Pipeline_tbl[[#This Row],[Created_Date]])</f>
        <v>11</v>
      </c>
    </row>
    <row r="2068" spans="1:21" ht="15" customHeight="1" x14ac:dyDescent="0.2">
      <c r="A2068" t="s">
        <v>2374</v>
      </c>
      <c r="B2068" t="s">
        <v>225</v>
      </c>
      <c r="C2068" t="s">
        <v>54</v>
      </c>
      <c r="D2068" s="49">
        <v>45599</v>
      </c>
      <c r="E2068" s="49">
        <v>45601</v>
      </c>
      <c r="F2068" s="49">
        <v>45606</v>
      </c>
      <c r="G2068" s="49">
        <v>45613</v>
      </c>
      <c r="H2068" s="49">
        <v>45619</v>
      </c>
      <c r="I2068" s="49">
        <v>45623</v>
      </c>
      <c r="J2068" t="s">
        <v>47</v>
      </c>
      <c r="K2068" s="33">
        <v>7400</v>
      </c>
      <c r="M2068" t="str">
        <f>_xlfn.XLOOKUP(Pipeline_tbl[[#This Row],[Rep_ID]],Dim_Reps!A:A,Dim_Reps!K:K)</f>
        <v>USD</v>
      </c>
      <c r="N2068" s="33">
        <f>(_xlfn.XLOOKUP(Pipeline_tbl[[#This Row],[Rate_Code_Generalized]],Lookups!A:A,Lookups!B:B))*Pipeline_tbl[[#This Row],[Pipeline_Amount_USD]]</f>
        <v>8615.82</v>
      </c>
      <c r="O2068" t="str">
        <f>_xlfn.XLOOKUP(Pipeline_tbl[[#This Row],[Rep_ID]],Dim_Reps!A:A,Dim_Reps!B:B)</f>
        <v>Alex Muller</v>
      </c>
      <c r="P2068" t="str">
        <f>_xlfn.XLOOKUP(Pipeline_tbl[[#This Row],[Rep_ID]],Dim_Reps!A:A,Dim_Reps!C:C)</f>
        <v>SDR / Inside Sales Rep</v>
      </c>
      <c r="Q2068" t="str">
        <f>_xlfn.XLOOKUP(Pipeline_tbl[[#This Row],[Rep_ID]],Dim_Reps!A:A,Dim_Reps!D:D)</f>
        <v>Inside Sales</v>
      </c>
      <c r="R2068" t="str">
        <f>_xlfn.XLOOKUP(Pipeline_tbl[[#This Row],[Rep_ID]],Dim_Reps!A:A,Dim_Reps!E:E)</f>
        <v>NAMER</v>
      </c>
      <c r="S2068" t="str">
        <f>_xlfn.XLOOKUP(Pipeline_tbl[[#This Row],[Created_Date]],Dim_Date!A:A,Dim_Date!H:H)</f>
        <v>Nov 2024</v>
      </c>
      <c r="T2068" t="str">
        <f>IF(Pipeline_tbl[[#This Row],[Closed_Date]]=0,"",(_xlfn.XLOOKUP(Pipeline_tbl[[#This Row],[Closed_Date]],Dim_Date!A:A,Dim_Date!H:H)))</f>
        <v>Nov 2024</v>
      </c>
      <c r="U2068">
        <f>IF(Pipeline_tbl[[#This Row],[Closed_Date]]=0,"",Pipeline_tbl[[#This Row],[Closed_Date]]-Pipeline_tbl[[#This Row],[Created_Date]])</f>
        <v>24</v>
      </c>
    </row>
    <row r="2069" spans="1:21" ht="15" customHeight="1" x14ac:dyDescent="0.2">
      <c r="A2069" t="s">
        <v>2375</v>
      </c>
      <c r="B2069" t="s">
        <v>225</v>
      </c>
      <c r="C2069" t="s">
        <v>55</v>
      </c>
      <c r="D2069" s="49">
        <v>45604</v>
      </c>
      <c r="E2069" s="49">
        <v>45606</v>
      </c>
      <c r="F2069" s="49">
        <v>45609</v>
      </c>
      <c r="G2069" s="49">
        <v>45614</v>
      </c>
      <c r="H2069" s="49">
        <v>45618</v>
      </c>
      <c r="I2069" s="49">
        <v>45621</v>
      </c>
      <c r="J2069" t="s">
        <v>47</v>
      </c>
      <c r="K2069" s="33">
        <v>3300</v>
      </c>
      <c r="M2069" t="str">
        <f>_xlfn.XLOOKUP(Pipeline_tbl[[#This Row],[Rep_ID]],Dim_Reps!A:A,Dim_Reps!K:K)</f>
        <v>USD</v>
      </c>
      <c r="N2069" s="33">
        <f>(_xlfn.XLOOKUP(Pipeline_tbl[[#This Row],[Rate_Code_Generalized]],Lookups!A:A,Lookups!B:B))*Pipeline_tbl[[#This Row],[Pipeline_Amount_USD]]</f>
        <v>3842.1899999999996</v>
      </c>
      <c r="O2069" t="str">
        <f>_xlfn.XLOOKUP(Pipeline_tbl[[#This Row],[Rep_ID]],Dim_Reps!A:A,Dim_Reps!B:B)</f>
        <v>Alex Muller</v>
      </c>
      <c r="P2069" t="str">
        <f>_xlfn.XLOOKUP(Pipeline_tbl[[#This Row],[Rep_ID]],Dim_Reps!A:A,Dim_Reps!C:C)</f>
        <v>SDR / Inside Sales Rep</v>
      </c>
      <c r="Q2069" t="str">
        <f>_xlfn.XLOOKUP(Pipeline_tbl[[#This Row],[Rep_ID]],Dim_Reps!A:A,Dim_Reps!D:D)</f>
        <v>Inside Sales</v>
      </c>
      <c r="R2069" t="str">
        <f>_xlfn.XLOOKUP(Pipeline_tbl[[#This Row],[Rep_ID]],Dim_Reps!A:A,Dim_Reps!E:E)</f>
        <v>NAMER</v>
      </c>
      <c r="S2069" t="str">
        <f>_xlfn.XLOOKUP(Pipeline_tbl[[#This Row],[Created_Date]],Dim_Date!A:A,Dim_Date!H:H)</f>
        <v>Nov 2024</v>
      </c>
      <c r="T2069" t="str">
        <f>IF(Pipeline_tbl[[#This Row],[Closed_Date]]=0,"",(_xlfn.XLOOKUP(Pipeline_tbl[[#This Row],[Closed_Date]],Dim_Date!A:A,Dim_Date!H:H)))</f>
        <v>Nov 2024</v>
      </c>
      <c r="U2069">
        <f>IF(Pipeline_tbl[[#This Row],[Closed_Date]]=0,"",Pipeline_tbl[[#This Row],[Closed_Date]]-Pipeline_tbl[[#This Row],[Created_Date]])</f>
        <v>17</v>
      </c>
    </row>
    <row r="2070" spans="1:21" ht="15" customHeight="1" x14ac:dyDescent="0.2">
      <c r="A2070" t="s">
        <v>2376</v>
      </c>
      <c r="B2070" t="s">
        <v>227</v>
      </c>
      <c r="C2070" t="s">
        <v>53</v>
      </c>
      <c r="D2070" s="49">
        <v>45602</v>
      </c>
      <c r="E2070" s="49">
        <v>45604</v>
      </c>
      <c r="F2070" s="49">
        <v>45608</v>
      </c>
      <c r="G2070" s="49">
        <v>45613</v>
      </c>
      <c r="H2070" s="49">
        <v>45618</v>
      </c>
      <c r="I2070" s="49">
        <v>45621</v>
      </c>
      <c r="J2070" t="s">
        <v>47</v>
      </c>
      <c r="K2070" s="33">
        <v>2900</v>
      </c>
      <c r="M2070" t="str">
        <f>_xlfn.XLOOKUP(Pipeline_tbl[[#This Row],[Rep_ID]],Dim_Reps!A:A,Dim_Reps!K:K)</f>
        <v>EUR</v>
      </c>
      <c r="N2070" s="33">
        <f>(_xlfn.XLOOKUP(Pipeline_tbl[[#This Row],[Rate_Code_Generalized]],Lookups!A:A,Lookups!B:B))*Pipeline_tbl[[#This Row],[Pipeline_Amount_USD]]</f>
        <v>2900</v>
      </c>
      <c r="O2070" t="str">
        <f>_xlfn.XLOOKUP(Pipeline_tbl[[#This Row],[Rep_ID]],Dim_Reps!A:A,Dim_Reps!B:B)</f>
        <v>Liam Muller</v>
      </c>
      <c r="P2070" t="str">
        <f>_xlfn.XLOOKUP(Pipeline_tbl[[#This Row],[Rep_ID]],Dim_Reps!A:A,Dim_Reps!C:C)</f>
        <v>SDR / Inside Sales Rep</v>
      </c>
      <c r="Q2070" t="str">
        <f>_xlfn.XLOOKUP(Pipeline_tbl[[#This Row],[Rep_ID]],Dim_Reps!A:A,Dim_Reps!D:D)</f>
        <v>Inside Sales</v>
      </c>
      <c r="R2070" t="str">
        <f>_xlfn.XLOOKUP(Pipeline_tbl[[#This Row],[Rep_ID]],Dim_Reps!A:A,Dim_Reps!E:E)</f>
        <v>EMEA</v>
      </c>
      <c r="S2070" t="str">
        <f>_xlfn.XLOOKUP(Pipeline_tbl[[#This Row],[Created_Date]],Dim_Date!A:A,Dim_Date!H:H)</f>
        <v>Nov 2024</v>
      </c>
      <c r="T2070" t="str">
        <f>IF(Pipeline_tbl[[#This Row],[Closed_Date]]=0,"",(_xlfn.XLOOKUP(Pipeline_tbl[[#This Row],[Closed_Date]],Dim_Date!A:A,Dim_Date!H:H)))</f>
        <v>Nov 2024</v>
      </c>
      <c r="U2070">
        <f>IF(Pipeline_tbl[[#This Row],[Closed_Date]]=0,"",Pipeline_tbl[[#This Row],[Closed_Date]]-Pipeline_tbl[[#This Row],[Created_Date]])</f>
        <v>19</v>
      </c>
    </row>
    <row r="2071" spans="1:21" ht="15" customHeight="1" x14ac:dyDescent="0.2">
      <c r="A2071" t="s">
        <v>2377</v>
      </c>
      <c r="B2071" t="s">
        <v>227</v>
      </c>
      <c r="C2071" t="s">
        <v>52</v>
      </c>
      <c r="D2071" s="49">
        <v>45604</v>
      </c>
      <c r="E2071" s="49">
        <v>45606</v>
      </c>
      <c r="F2071" s="49">
        <v>45609</v>
      </c>
      <c r="G2071" s="49">
        <v>45614</v>
      </c>
      <c r="I2071" s="49">
        <v>45620</v>
      </c>
      <c r="J2071" t="s">
        <v>49</v>
      </c>
      <c r="K2071" s="33">
        <v>4200</v>
      </c>
      <c r="L2071" t="s">
        <v>61</v>
      </c>
      <c r="M2071" t="str">
        <f>_xlfn.XLOOKUP(Pipeline_tbl[[#This Row],[Rep_ID]],Dim_Reps!A:A,Dim_Reps!K:K)</f>
        <v>EUR</v>
      </c>
      <c r="N2071" s="33">
        <f>(_xlfn.XLOOKUP(Pipeline_tbl[[#This Row],[Rate_Code_Generalized]],Lookups!A:A,Lookups!B:B))*Pipeline_tbl[[#This Row],[Pipeline_Amount_USD]]</f>
        <v>4200</v>
      </c>
      <c r="O2071" t="str">
        <f>_xlfn.XLOOKUP(Pipeline_tbl[[#This Row],[Rep_ID]],Dim_Reps!A:A,Dim_Reps!B:B)</f>
        <v>Liam Muller</v>
      </c>
      <c r="P2071" t="str">
        <f>_xlfn.XLOOKUP(Pipeline_tbl[[#This Row],[Rep_ID]],Dim_Reps!A:A,Dim_Reps!C:C)</f>
        <v>SDR / Inside Sales Rep</v>
      </c>
      <c r="Q2071" t="str">
        <f>_xlfn.XLOOKUP(Pipeline_tbl[[#This Row],[Rep_ID]],Dim_Reps!A:A,Dim_Reps!D:D)</f>
        <v>Inside Sales</v>
      </c>
      <c r="R2071" t="str">
        <f>_xlfn.XLOOKUP(Pipeline_tbl[[#This Row],[Rep_ID]],Dim_Reps!A:A,Dim_Reps!E:E)</f>
        <v>EMEA</v>
      </c>
      <c r="S2071" t="str">
        <f>_xlfn.XLOOKUP(Pipeline_tbl[[#This Row],[Created_Date]],Dim_Date!A:A,Dim_Date!H:H)</f>
        <v>Nov 2024</v>
      </c>
      <c r="T2071" t="str">
        <f>IF(Pipeline_tbl[[#This Row],[Closed_Date]]=0,"",(_xlfn.XLOOKUP(Pipeline_tbl[[#This Row],[Closed_Date]],Dim_Date!A:A,Dim_Date!H:H)))</f>
        <v>Nov 2024</v>
      </c>
      <c r="U2071">
        <f>IF(Pipeline_tbl[[#This Row],[Closed_Date]]=0,"",Pipeline_tbl[[#This Row],[Closed_Date]]-Pipeline_tbl[[#This Row],[Created_Date]])</f>
        <v>16</v>
      </c>
    </row>
    <row r="2072" spans="1:21" ht="15" customHeight="1" x14ac:dyDescent="0.2">
      <c r="A2072" t="s">
        <v>2378</v>
      </c>
      <c r="B2072" t="s">
        <v>227</v>
      </c>
      <c r="C2072" t="s">
        <v>54</v>
      </c>
      <c r="D2072" s="49">
        <v>45602</v>
      </c>
      <c r="E2072" s="49">
        <v>45604</v>
      </c>
      <c r="F2072" s="49">
        <v>45608</v>
      </c>
      <c r="G2072" s="49">
        <v>45615</v>
      </c>
      <c r="H2072" s="49">
        <v>45620</v>
      </c>
      <c r="I2072" s="49">
        <v>45623</v>
      </c>
      <c r="J2072" t="s">
        <v>49</v>
      </c>
      <c r="K2072" s="33">
        <v>3300</v>
      </c>
      <c r="L2072" t="s">
        <v>64</v>
      </c>
      <c r="M2072" t="str">
        <f>_xlfn.XLOOKUP(Pipeline_tbl[[#This Row],[Rep_ID]],Dim_Reps!A:A,Dim_Reps!K:K)</f>
        <v>EUR</v>
      </c>
      <c r="N2072" s="33">
        <f>(_xlfn.XLOOKUP(Pipeline_tbl[[#This Row],[Rate_Code_Generalized]],Lookups!A:A,Lookups!B:B))*Pipeline_tbl[[#This Row],[Pipeline_Amount_USD]]</f>
        <v>3300</v>
      </c>
      <c r="O2072" t="str">
        <f>_xlfn.XLOOKUP(Pipeline_tbl[[#This Row],[Rep_ID]],Dim_Reps!A:A,Dim_Reps!B:B)</f>
        <v>Liam Muller</v>
      </c>
      <c r="P2072" t="str">
        <f>_xlfn.XLOOKUP(Pipeline_tbl[[#This Row],[Rep_ID]],Dim_Reps!A:A,Dim_Reps!C:C)</f>
        <v>SDR / Inside Sales Rep</v>
      </c>
      <c r="Q2072" t="str">
        <f>_xlfn.XLOOKUP(Pipeline_tbl[[#This Row],[Rep_ID]],Dim_Reps!A:A,Dim_Reps!D:D)</f>
        <v>Inside Sales</v>
      </c>
      <c r="R2072" t="str">
        <f>_xlfn.XLOOKUP(Pipeline_tbl[[#This Row],[Rep_ID]],Dim_Reps!A:A,Dim_Reps!E:E)</f>
        <v>EMEA</v>
      </c>
      <c r="S2072" t="str">
        <f>_xlfn.XLOOKUP(Pipeline_tbl[[#This Row],[Created_Date]],Dim_Date!A:A,Dim_Date!H:H)</f>
        <v>Nov 2024</v>
      </c>
      <c r="T2072" t="str">
        <f>IF(Pipeline_tbl[[#This Row],[Closed_Date]]=0,"",(_xlfn.XLOOKUP(Pipeline_tbl[[#This Row],[Closed_Date]],Dim_Date!A:A,Dim_Date!H:H)))</f>
        <v>Nov 2024</v>
      </c>
      <c r="U2072">
        <f>IF(Pipeline_tbl[[#This Row],[Closed_Date]]=0,"",Pipeline_tbl[[#This Row],[Closed_Date]]-Pipeline_tbl[[#This Row],[Created_Date]])</f>
        <v>21</v>
      </c>
    </row>
    <row r="2073" spans="1:21" ht="15" customHeight="1" x14ac:dyDescent="0.2">
      <c r="A2073" t="s">
        <v>2379</v>
      </c>
      <c r="B2073" t="s">
        <v>227</v>
      </c>
      <c r="C2073" t="s">
        <v>54</v>
      </c>
      <c r="D2073" s="49">
        <v>45602</v>
      </c>
      <c r="E2073" s="49">
        <v>45603</v>
      </c>
      <c r="F2073" s="49">
        <v>45605</v>
      </c>
      <c r="G2073" s="49">
        <v>45607</v>
      </c>
      <c r="H2073" s="49">
        <v>45610</v>
      </c>
      <c r="I2073" s="49">
        <v>45611</v>
      </c>
      <c r="J2073" t="s">
        <v>49</v>
      </c>
      <c r="K2073" s="33">
        <v>3300</v>
      </c>
      <c r="L2073" t="s">
        <v>62</v>
      </c>
      <c r="M2073" t="str">
        <f>_xlfn.XLOOKUP(Pipeline_tbl[[#This Row],[Rep_ID]],Dim_Reps!A:A,Dim_Reps!K:K)</f>
        <v>EUR</v>
      </c>
      <c r="N2073" s="33">
        <f>(_xlfn.XLOOKUP(Pipeline_tbl[[#This Row],[Rate_Code_Generalized]],Lookups!A:A,Lookups!B:B))*Pipeline_tbl[[#This Row],[Pipeline_Amount_USD]]</f>
        <v>3300</v>
      </c>
      <c r="O2073" t="str">
        <f>_xlfn.XLOOKUP(Pipeline_tbl[[#This Row],[Rep_ID]],Dim_Reps!A:A,Dim_Reps!B:B)</f>
        <v>Liam Muller</v>
      </c>
      <c r="P2073" t="str">
        <f>_xlfn.XLOOKUP(Pipeline_tbl[[#This Row],[Rep_ID]],Dim_Reps!A:A,Dim_Reps!C:C)</f>
        <v>SDR / Inside Sales Rep</v>
      </c>
      <c r="Q2073" t="str">
        <f>_xlfn.XLOOKUP(Pipeline_tbl[[#This Row],[Rep_ID]],Dim_Reps!A:A,Dim_Reps!D:D)</f>
        <v>Inside Sales</v>
      </c>
      <c r="R2073" t="str">
        <f>_xlfn.XLOOKUP(Pipeline_tbl[[#This Row],[Rep_ID]],Dim_Reps!A:A,Dim_Reps!E:E)</f>
        <v>EMEA</v>
      </c>
      <c r="S2073" t="str">
        <f>_xlfn.XLOOKUP(Pipeline_tbl[[#This Row],[Created_Date]],Dim_Date!A:A,Dim_Date!H:H)</f>
        <v>Nov 2024</v>
      </c>
      <c r="T2073" t="str">
        <f>IF(Pipeline_tbl[[#This Row],[Closed_Date]]=0,"",(_xlfn.XLOOKUP(Pipeline_tbl[[#This Row],[Closed_Date]],Dim_Date!A:A,Dim_Date!H:H)))</f>
        <v>Nov 2024</v>
      </c>
      <c r="U2073">
        <f>IF(Pipeline_tbl[[#This Row],[Closed_Date]]=0,"",Pipeline_tbl[[#This Row],[Closed_Date]]-Pipeline_tbl[[#This Row],[Created_Date]])</f>
        <v>9</v>
      </c>
    </row>
    <row r="2074" spans="1:21" ht="15" customHeight="1" x14ac:dyDescent="0.2">
      <c r="A2074" t="s">
        <v>2380</v>
      </c>
      <c r="B2074" t="s">
        <v>227</v>
      </c>
      <c r="C2074" t="s">
        <v>52</v>
      </c>
      <c r="D2074" s="49">
        <v>45610</v>
      </c>
      <c r="E2074" s="49">
        <v>45611</v>
      </c>
      <c r="F2074" s="49">
        <v>45612</v>
      </c>
      <c r="G2074" s="49">
        <v>45614</v>
      </c>
      <c r="H2074" s="49">
        <v>45615</v>
      </c>
      <c r="I2074" s="49">
        <v>45616</v>
      </c>
      <c r="J2074" t="s">
        <v>49</v>
      </c>
      <c r="K2074" s="33">
        <v>1400</v>
      </c>
      <c r="L2074" t="s">
        <v>62</v>
      </c>
      <c r="M2074" t="str">
        <f>_xlfn.XLOOKUP(Pipeline_tbl[[#This Row],[Rep_ID]],Dim_Reps!A:A,Dim_Reps!K:K)</f>
        <v>EUR</v>
      </c>
      <c r="N2074" s="33">
        <f>(_xlfn.XLOOKUP(Pipeline_tbl[[#This Row],[Rate_Code_Generalized]],Lookups!A:A,Lookups!B:B))*Pipeline_tbl[[#This Row],[Pipeline_Amount_USD]]</f>
        <v>1400</v>
      </c>
      <c r="O2074" t="str">
        <f>_xlfn.XLOOKUP(Pipeline_tbl[[#This Row],[Rep_ID]],Dim_Reps!A:A,Dim_Reps!B:B)</f>
        <v>Liam Muller</v>
      </c>
      <c r="P2074" t="str">
        <f>_xlfn.XLOOKUP(Pipeline_tbl[[#This Row],[Rep_ID]],Dim_Reps!A:A,Dim_Reps!C:C)</f>
        <v>SDR / Inside Sales Rep</v>
      </c>
      <c r="Q2074" t="str">
        <f>_xlfn.XLOOKUP(Pipeline_tbl[[#This Row],[Rep_ID]],Dim_Reps!A:A,Dim_Reps!D:D)</f>
        <v>Inside Sales</v>
      </c>
      <c r="R2074" t="str">
        <f>_xlfn.XLOOKUP(Pipeline_tbl[[#This Row],[Rep_ID]],Dim_Reps!A:A,Dim_Reps!E:E)</f>
        <v>EMEA</v>
      </c>
      <c r="S2074" t="str">
        <f>_xlfn.XLOOKUP(Pipeline_tbl[[#This Row],[Created_Date]],Dim_Date!A:A,Dim_Date!H:H)</f>
        <v>Nov 2024</v>
      </c>
      <c r="T2074" t="str">
        <f>IF(Pipeline_tbl[[#This Row],[Closed_Date]]=0,"",(_xlfn.XLOOKUP(Pipeline_tbl[[#This Row],[Closed_Date]],Dim_Date!A:A,Dim_Date!H:H)))</f>
        <v>Nov 2024</v>
      </c>
      <c r="U2074">
        <f>IF(Pipeline_tbl[[#This Row],[Closed_Date]]=0,"",Pipeline_tbl[[#This Row],[Closed_Date]]-Pipeline_tbl[[#This Row],[Created_Date]])</f>
        <v>6</v>
      </c>
    </row>
    <row r="2075" spans="1:21" ht="15" customHeight="1" x14ac:dyDescent="0.2">
      <c r="A2075" t="s">
        <v>2381</v>
      </c>
      <c r="B2075" t="s">
        <v>227</v>
      </c>
      <c r="C2075" t="s">
        <v>53</v>
      </c>
      <c r="D2075" s="49">
        <v>45604</v>
      </c>
      <c r="E2075" s="49">
        <v>45606</v>
      </c>
      <c r="F2075" s="49">
        <v>45609</v>
      </c>
      <c r="G2075" s="49">
        <v>45613</v>
      </c>
      <c r="H2075" s="49">
        <v>45617</v>
      </c>
      <c r="I2075" s="49">
        <v>45619</v>
      </c>
      <c r="J2075" t="s">
        <v>49</v>
      </c>
      <c r="K2075" s="33">
        <v>6200</v>
      </c>
      <c r="L2075" t="s">
        <v>63</v>
      </c>
      <c r="M2075" t="str">
        <f>_xlfn.XLOOKUP(Pipeline_tbl[[#This Row],[Rep_ID]],Dim_Reps!A:A,Dim_Reps!K:K)</f>
        <v>EUR</v>
      </c>
      <c r="N2075" s="33">
        <f>(_xlfn.XLOOKUP(Pipeline_tbl[[#This Row],[Rate_Code_Generalized]],Lookups!A:A,Lookups!B:B))*Pipeline_tbl[[#This Row],[Pipeline_Amount_USD]]</f>
        <v>6200</v>
      </c>
      <c r="O2075" t="str">
        <f>_xlfn.XLOOKUP(Pipeline_tbl[[#This Row],[Rep_ID]],Dim_Reps!A:A,Dim_Reps!B:B)</f>
        <v>Liam Muller</v>
      </c>
      <c r="P2075" t="str">
        <f>_xlfn.XLOOKUP(Pipeline_tbl[[#This Row],[Rep_ID]],Dim_Reps!A:A,Dim_Reps!C:C)</f>
        <v>SDR / Inside Sales Rep</v>
      </c>
      <c r="Q2075" t="str">
        <f>_xlfn.XLOOKUP(Pipeline_tbl[[#This Row],[Rep_ID]],Dim_Reps!A:A,Dim_Reps!D:D)</f>
        <v>Inside Sales</v>
      </c>
      <c r="R2075" t="str">
        <f>_xlfn.XLOOKUP(Pipeline_tbl[[#This Row],[Rep_ID]],Dim_Reps!A:A,Dim_Reps!E:E)</f>
        <v>EMEA</v>
      </c>
      <c r="S2075" t="str">
        <f>_xlfn.XLOOKUP(Pipeline_tbl[[#This Row],[Created_Date]],Dim_Date!A:A,Dim_Date!H:H)</f>
        <v>Nov 2024</v>
      </c>
      <c r="T2075" t="str">
        <f>IF(Pipeline_tbl[[#This Row],[Closed_Date]]=0,"",(_xlfn.XLOOKUP(Pipeline_tbl[[#This Row],[Closed_Date]],Dim_Date!A:A,Dim_Date!H:H)))</f>
        <v>Nov 2024</v>
      </c>
      <c r="U2075">
        <f>IF(Pipeline_tbl[[#This Row],[Closed_Date]]=0,"",Pipeline_tbl[[#This Row],[Closed_Date]]-Pipeline_tbl[[#This Row],[Created_Date]])</f>
        <v>15</v>
      </c>
    </row>
    <row r="2076" spans="1:21" ht="15" customHeight="1" x14ac:dyDescent="0.2">
      <c r="A2076" t="s">
        <v>2382</v>
      </c>
      <c r="B2076" t="s">
        <v>227</v>
      </c>
      <c r="C2076" t="s">
        <v>55</v>
      </c>
      <c r="D2076" s="49">
        <v>45602</v>
      </c>
      <c r="E2076" s="49">
        <v>45603</v>
      </c>
      <c r="F2076" s="49">
        <v>45606</v>
      </c>
      <c r="G2076" s="49">
        <v>45610</v>
      </c>
      <c r="H2076" s="49">
        <v>45613</v>
      </c>
      <c r="I2076" s="49">
        <v>45615</v>
      </c>
      <c r="J2076" t="s">
        <v>47</v>
      </c>
      <c r="K2076" s="33">
        <v>3600</v>
      </c>
      <c r="M2076" t="str">
        <f>_xlfn.XLOOKUP(Pipeline_tbl[[#This Row],[Rep_ID]],Dim_Reps!A:A,Dim_Reps!K:K)</f>
        <v>EUR</v>
      </c>
      <c r="N2076" s="33">
        <f>(_xlfn.XLOOKUP(Pipeline_tbl[[#This Row],[Rate_Code_Generalized]],Lookups!A:A,Lookups!B:B))*Pipeline_tbl[[#This Row],[Pipeline_Amount_USD]]</f>
        <v>3600</v>
      </c>
      <c r="O2076" t="str">
        <f>_xlfn.XLOOKUP(Pipeline_tbl[[#This Row],[Rep_ID]],Dim_Reps!A:A,Dim_Reps!B:B)</f>
        <v>Liam Muller</v>
      </c>
      <c r="P2076" t="str">
        <f>_xlfn.XLOOKUP(Pipeline_tbl[[#This Row],[Rep_ID]],Dim_Reps!A:A,Dim_Reps!C:C)</f>
        <v>SDR / Inside Sales Rep</v>
      </c>
      <c r="Q2076" t="str">
        <f>_xlfn.XLOOKUP(Pipeline_tbl[[#This Row],[Rep_ID]],Dim_Reps!A:A,Dim_Reps!D:D)</f>
        <v>Inside Sales</v>
      </c>
      <c r="R2076" t="str">
        <f>_xlfn.XLOOKUP(Pipeline_tbl[[#This Row],[Rep_ID]],Dim_Reps!A:A,Dim_Reps!E:E)</f>
        <v>EMEA</v>
      </c>
      <c r="S2076" t="str">
        <f>_xlfn.XLOOKUP(Pipeline_tbl[[#This Row],[Created_Date]],Dim_Date!A:A,Dim_Date!H:H)</f>
        <v>Nov 2024</v>
      </c>
      <c r="T2076" t="str">
        <f>IF(Pipeline_tbl[[#This Row],[Closed_Date]]=0,"",(_xlfn.XLOOKUP(Pipeline_tbl[[#This Row],[Closed_Date]],Dim_Date!A:A,Dim_Date!H:H)))</f>
        <v>Nov 2024</v>
      </c>
      <c r="U2076">
        <f>IF(Pipeline_tbl[[#This Row],[Closed_Date]]=0,"",Pipeline_tbl[[#This Row],[Closed_Date]]-Pipeline_tbl[[#This Row],[Created_Date]])</f>
        <v>13</v>
      </c>
    </row>
    <row r="2077" spans="1:21" ht="15" customHeight="1" x14ac:dyDescent="0.2">
      <c r="A2077" t="s">
        <v>2383</v>
      </c>
      <c r="B2077" t="s">
        <v>227</v>
      </c>
      <c r="C2077" t="s">
        <v>55</v>
      </c>
      <c r="D2077" s="49">
        <v>45602</v>
      </c>
      <c r="E2077" s="49">
        <v>45604</v>
      </c>
      <c r="F2077" s="49">
        <v>45607</v>
      </c>
      <c r="G2077" s="49">
        <v>45612</v>
      </c>
      <c r="H2077" s="49">
        <v>45616</v>
      </c>
      <c r="I2077" s="49">
        <v>45619</v>
      </c>
      <c r="J2077" t="s">
        <v>47</v>
      </c>
      <c r="K2077" s="33">
        <v>5300</v>
      </c>
      <c r="M2077" t="str">
        <f>_xlfn.XLOOKUP(Pipeline_tbl[[#This Row],[Rep_ID]],Dim_Reps!A:A,Dim_Reps!K:K)</f>
        <v>EUR</v>
      </c>
      <c r="N2077" s="33">
        <f>(_xlfn.XLOOKUP(Pipeline_tbl[[#This Row],[Rate_Code_Generalized]],Lookups!A:A,Lookups!B:B))*Pipeline_tbl[[#This Row],[Pipeline_Amount_USD]]</f>
        <v>5300</v>
      </c>
      <c r="O2077" t="str">
        <f>_xlfn.XLOOKUP(Pipeline_tbl[[#This Row],[Rep_ID]],Dim_Reps!A:A,Dim_Reps!B:B)</f>
        <v>Liam Muller</v>
      </c>
      <c r="P2077" t="str">
        <f>_xlfn.XLOOKUP(Pipeline_tbl[[#This Row],[Rep_ID]],Dim_Reps!A:A,Dim_Reps!C:C)</f>
        <v>SDR / Inside Sales Rep</v>
      </c>
      <c r="Q2077" t="str">
        <f>_xlfn.XLOOKUP(Pipeline_tbl[[#This Row],[Rep_ID]],Dim_Reps!A:A,Dim_Reps!D:D)</f>
        <v>Inside Sales</v>
      </c>
      <c r="R2077" t="str">
        <f>_xlfn.XLOOKUP(Pipeline_tbl[[#This Row],[Rep_ID]],Dim_Reps!A:A,Dim_Reps!E:E)</f>
        <v>EMEA</v>
      </c>
      <c r="S2077" t="str">
        <f>_xlfn.XLOOKUP(Pipeline_tbl[[#This Row],[Created_Date]],Dim_Date!A:A,Dim_Date!H:H)</f>
        <v>Nov 2024</v>
      </c>
      <c r="T2077" t="str">
        <f>IF(Pipeline_tbl[[#This Row],[Closed_Date]]=0,"",(_xlfn.XLOOKUP(Pipeline_tbl[[#This Row],[Closed_Date]],Dim_Date!A:A,Dim_Date!H:H)))</f>
        <v>Nov 2024</v>
      </c>
      <c r="U2077">
        <f>IF(Pipeline_tbl[[#This Row],[Closed_Date]]=0,"",Pipeline_tbl[[#This Row],[Closed_Date]]-Pipeline_tbl[[#This Row],[Created_Date]])</f>
        <v>17</v>
      </c>
    </row>
    <row r="2078" spans="1:21" ht="15" customHeight="1" x14ac:dyDescent="0.2">
      <c r="A2078" t="s">
        <v>2384</v>
      </c>
      <c r="B2078" t="s">
        <v>229</v>
      </c>
      <c r="C2078" t="s">
        <v>52</v>
      </c>
      <c r="D2078" s="49">
        <v>45600</v>
      </c>
      <c r="E2078" s="49">
        <v>45601</v>
      </c>
      <c r="F2078" s="49">
        <v>45604</v>
      </c>
      <c r="I2078" s="49">
        <v>45613</v>
      </c>
      <c r="J2078" t="s">
        <v>49</v>
      </c>
      <c r="K2078" s="33">
        <v>2100</v>
      </c>
      <c r="L2078" t="s">
        <v>62</v>
      </c>
      <c r="M2078" t="str">
        <f>_xlfn.XLOOKUP(Pipeline_tbl[[#This Row],[Rep_ID]],Dim_Reps!A:A,Dim_Reps!K:K)</f>
        <v>USD</v>
      </c>
      <c r="N2078" s="33">
        <f>(_xlfn.XLOOKUP(Pipeline_tbl[[#This Row],[Rate_Code_Generalized]],Lookups!A:A,Lookups!B:B))*Pipeline_tbl[[#This Row],[Pipeline_Amount_USD]]</f>
        <v>2445.0299999999997</v>
      </c>
      <c r="O2078" t="str">
        <f>_xlfn.XLOOKUP(Pipeline_tbl[[#This Row],[Rep_ID]],Dim_Reps!A:A,Dim_Reps!B:B)</f>
        <v>Liam Castro</v>
      </c>
      <c r="P2078" t="str">
        <f>_xlfn.XLOOKUP(Pipeline_tbl[[#This Row],[Rep_ID]],Dim_Reps!A:A,Dim_Reps!C:C)</f>
        <v>SDR / Inside Sales Rep</v>
      </c>
      <c r="Q2078" t="str">
        <f>_xlfn.XLOOKUP(Pipeline_tbl[[#This Row],[Rep_ID]],Dim_Reps!A:A,Dim_Reps!D:D)</f>
        <v>Inside Sales</v>
      </c>
      <c r="R2078" t="str">
        <f>_xlfn.XLOOKUP(Pipeline_tbl[[#This Row],[Rep_ID]],Dim_Reps!A:A,Dim_Reps!E:E)</f>
        <v>NAMER</v>
      </c>
      <c r="S2078" t="str">
        <f>_xlfn.XLOOKUP(Pipeline_tbl[[#This Row],[Created_Date]],Dim_Date!A:A,Dim_Date!H:H)</f>
        <v>Nov 2024</v>
      </c>
      <c r="T2078" t="str">
        <f>IF(Pipeline_tbl[[#This Row],[Closed_Date]]=0,"",(_xlfn.XLOOKUP(Pipeline_tbl[[#This Row],[Closed_Date]],Dim_Date!A:A,Dim_Date!H:H)))</f>
        <v>Nov 2024</v>
      </c>
      <c r="U2078">
        <f>IF(Pipeline_tbl[[#This Row],[Closed_Date]]=0,"",Pipeline_tbl[[#This Row],[Closed_Date]]-Pipeline_tbl[[#This Row],[Created_Date]])</f>
        <v>13</v>
      </c>
    </row>
    <row r="2079" spans="1:21" ht="15" customHeight="1" x14ac:dyDescent="0.2">
      <c r="A2079" t="s">
        <v>2385</v>
      </c>
      <c r="B2079" t="s">
        <v>229</v>
      </c>
      <c r="C2079" t="s">
        <v>55</v>
      </c>
      <c r="D2079" s="49">
        <v>45599</v>
      </c>
      <c r="E2079" s="49">
        <v>45600</v>
      </c>
      <c r="F2079" s="49">
        <v>45603</v>
      </c>
      <c r="G2079" s="49">
        <v>45606</v>
      </c>
      <c r="H2079" s="49">
        <v>45609</v>
      </c>
      <c r="I2079" s="49">
        <v>45611</v>
      </c>
      <c r="J2079" t="s">
        <v>47</v>
      </c>
      <c r="K2079" s="33">
        <v>4800</v>
      </c>
      <c r="M2079" t="str">
        <f>_xlfn.XLOOKUP(Pipeline_tbl[[#This Row],[Rep_ID]],Dim_Reps!A:A,Dim_Reps!K:K)</f>
        <v>USD</v>
      </c>
      <c r="N2079" s="33">
        <f>(_xlfn.XLOOKUP(Pipeline_tbl[[#This Row],[Rate_Code_Generalized]],Lookups!A:A,Lookups!B:B))*Pipeline_tbl[[#This Row],[Pipeline_Amount_USD]]</f>
        <v>5588.6399999999994</v>
      </c>
      <c r="O2079" t="str">
        <f>_xlfn.XLOOKUP(Pipeline_tbl[[#This Row],[Rep_ID]],Dim_Reps!A:A,Dim_Reps!B:B)</f>
        <v>Liam Castro</v>
      </c>
      <c r="P2079" t="str">
        <f>_xlfn.XLOOKUP(Pipeline_tbl[[#This Row],[Rep_ID]],Dim_Reps!A:A,Dim_Reps!C:C)</f>
        <v>SDR / Inside Sales Rep</v>
      </c>
      <c r="Q2079" t="str">
        <f>_xlfn.XLOOKUP(Pipeline_tbl[[#This Row],[Rep_ID]],Dim_Reps!A:A,Dim_Reps!D:D)</f>
        <v>Inside Sales</v>
      </c>
      <c r="R2079" t="str">
        <f>_xlfn.XLOOKUP(Pipeline_tbl[[#This Row],[Rep_ID]],Dim_Reps!A:A,Dim_Reps!E:E)</f>
        <v>NAMER</v>
      </c>
      <c r="S2079" t="str">
        <f>_xlfn.XLOOKUP(Pipeline_tbl[[#This Row],[Created_Date]],Dim_Date!A:A,Dim_Date!H:H)</f>
        <v>Nov 2024</v>
      </c>
      <c r="T2079" t="str">
        <f>IF(Pipeline_tbl[[#This Row],[Closed_Date]]=0,"",(_xlfn.XLOOKUP(Pipeline_tbl[[#This Row],[Closed_Date]],Dim_Date!A:A,Dim_Date!H:H)))</f>
        <v>Nov 2024</v>
      </c>
      <c r="U2079">
        <f>IF(Pipeline_tbl[[#This Row],[Closed_Date]]=0,"",Pipeline_tbl[[#This Row],[Closed_Date]]-Pipeline_tbl[[#This Row],[Created_Date]])</f>
        <v>12</v>
      </c>
    </row>
    <row r="2080" spans="1:21" ht="15" customHeight="1" x14ac:dyDescent="0.2">
      <c r="A2080" t="s">
        <v>2386</v>
      </c>
      <c r="B2080" t="s">
        <v>229</v>
      </c>
      <c r="C2080" t="s">
        <v>52</v>
      </c>
      <c r="D2080" s="49">
        <v>45613</v>
      </c>
      <c r="E2080" s="49">
        <v>45614</v>
      </c>
      <c r="F2080" s="49">
        <v>45617</v>
      </c>
      <c r="G2080" s="49">
        <v>45620</v>
      </c>
      <c r="H2080" s="49">
        <v>45623</v>
      </c>
      <c r="I2080" s="49">
        <v>45625</v>
      </c>
      <c r="J2080" t="s">
        <v>47</v>
      </c>
      <c r="K2080" s="33">
        <v>2900</v>
      </c>
      <c r="M2080" t="str">
        <f>_xlfn.XLOOKUP(Pipeline_tbl[[#This Row],[Rep_ID]],Dim_Reps!A:A,Dim_Reps!K:K)</f>
        <v>USD</v>
      </c>
      <c r="N2080" s="33">
        <f>(_xlfn.XLOOKUP(Pipeline_tbl[[#This Row],[Rate_Code_Generalized]],Lookups!A:A,Lookups!B:B))*Pipeline_tbl[[#This Row],[Pipeline_Amount_USD]]</f>
        <v>3376.47</v>
      </c>
      <c r="O2080" t="str">
        <f>_xlfn.XLOOKUP(Pipeline_tbl[[#This Row],[Rep_ID]],Dim_Reps!A:A,Dim_Reps!B:B)</f>
        <v>Liam Castro</v>
      </c>
      <c r="P2080" t="str">
        <f>_xlfn.XLOOKUP(Pipeline_tbl[[#This Row],[Rep_ID]],Dim_Reps!A:A,Dim_Reps!C:C)</f>
        <v>SDR / Inside Sales Rep</v>
      </c>
      <c r="Q2080" t="str">
        <f>_xlfn.XLOOKUP(Pipeline_tbl[[#This Row],[Rep_ID]],Dim_Reps!A:A,Dim_Reps!D:D)</f>
        <v>Inside Sales</v>
      </c>
      <c r="R2080" t="str">
        <f>_xlfn.XLOOKUP(Pipeline_tbl[[#This Row],[Rep_ID]],Dim_Reps!A:A,Dim_Reps!E:E)</f>
        <v>NAMER</v>
      </c>
      <c r="S2080" t="str">
        <f>_xlfn.XLOOKUP(Pipeline_tbl[[#This Row],[Created_Date]],Dim_Date!A:A,Dim_Date!H:H)</f>
        <v>Nov 2024</v>
      </c>
      <c r="T2080" t="str">
        <f>IF(Pipeline_tbl[[#This Row],[Closed_Date]]=0,"",(_xlfn.XLOOKUP(Pipeline_tbl[[#This Row],[Closed_Date]],Dim_Date!A:A,Dim_Date!H:H)))</f>
        <v>Nov 2024</v>
      </c>
      <c r="U2080">
        <f>IF(Pipeline_tbl[[#This Row],[Closed_Date]]=0,"",Pipeline_tbl[[#This Row],[Closed_Date]]-Pipeline_tbl[[#This Row],[Created_Date]])</f>
        <v>12</v>
      </c>
    </row>
    <row r="2081" spans="1:21" ht="15" customHeight="1" x14ac:dyDescent="0.2">
      <c r="A2081" t="s">
        <v>2387</v>
      </c>
      <c r="B2081" t="s">
        <v>229</v>
      </c>
      <c r="C2081" t="s">
        <v>55</v>
      </c>
      <c r="D2081" s="49">
        <v>45597</v>
      </c>
      <c r="E2081" s="49">
        <v>45600</v>
      </c>
      <c r="F2081" s="49">
        <v>45606</v>
      </c>
      <c r="G2081" s="49">
        <v>45614</v>
      </c>
      <c r="H2081" s="49">
        <v>45622</v>
      </c>
      <c r="I2081" s="49">
        <v>45626</v>
      </c>
      <c r="J2081" t="s">
        <v>49</v>
      </c>
      <c r="K2081" s="33">
        <v>1200</v>
      </c>
      <c r="L2081" t="s">
        <v>60</v>
      </c>
      <c r="M2081" t="str">
        <f>_xlfn.XLOOKUP(Pipeline_tbl[[#This Row],[Rep_ID]],Dim_Reps!A:A,Dim_Reps!K:K)</f>
        <v>USD</v>
      </c>
      <c r="N2081" s="33">
        <f>(_xlfn.XLOOKUP(Pipeline_tbl[[#This Row],[Rate_Code_Generalized]],Lookups!A:A,Lookups!B:B))*Pipeline_tbl[[#This Row],[Pipeline_Amount_USD]]</f>
        <v>1397.1599999999999</v>
      </c>
      <c r="O2081" t="str">
        <f>_xlfn.XLOOKUP(Pipeline_tbl[[#This Row],[Rep_ID]],Dim_Reps!A:A,Dim_Reps!B:B)</f>
        <v>Liam Castro</v>
      </c>
      <c r="P2081" t="str">
        <f>_xlfn.XLOOKUP(Pipeline_tbl[[#This Row],[Rep_ID]],Dim_Reps!A:A,Dim_Reps!C:C)</f>
        <v>SDR / Inside Sales Rep</v>
      </c>
      <c r="Q2081" t="str">
        <f>_xlfn.XLOOKUP(Pipeline_tbl[[#This Row],[Rep_ID]],Dim_Reps!A:A,Dim_Reps!D:D)</f>
        <v>Inside Sales</v>
      </c>
      <c r="R2081" t="str">
        <f>_xlfn.XLOOKUP(Pipeline_tbl[[#This Row],[Rep_ID]],Dim_Reps!A:A,Dim_Reps!E:E)</f>
        <v>NAMER</v>
      </c>
      <c r="S2081" t="str">
        <f>_xlfn.XLOOKUP(Pipeline_tbl[[#This Row],[Created_Date]],Dim_Date!A:A,Dim_Date!H:H)</f>
        <v>Nov 2024</v>
      </c>
      <c r="T2081" t="str">
        <f>IF(Pipeline_tbl[[#This Row],[Closed_Date]]=0,"",(_xlfn.XLOOKUP(Pipeline_tbl[[#This Row],[Closed_Date]],Dim_Date!A:A,Dim_Date!H:H)))</f>
        <v>Nov 2024</v>
      </c>
      <c r="U2081">
        <f>IF(Pipeline_tbl[[#This Row],[Closed_Date]]=0,"",Pipeline_tbl[[#This Row],[Closed_Date]]-Pipeline_tbl[[#This Row],[Created_Date]])</f>
        <v>29</v>
      </c>
    </row>
    <row r="2082" spans="1:21" ht="15" customHeight="1" x14ac:dyDescent="0.2">
      <c r="A2082" t="s">
        <v>2388</v>
      </c>
      <c r="B2082" t="s">
        <v>231</v>
      </c>
      <c r="C2082" t="s">
        <v>54</v>
      </c>
      <c r="D2082" s="49">
        <v>45610</v>
      </c>
      <c r="E2082" s="49">
        <v>45611</v>
      </c>
      <c r="F2082" s="49">
        <v>45614</v>
      </c>
      <c r="G2082" s="49">
        <v>45618</v>
      </c>
      <c r="I2082" s="49">
        <v>45623</v>
      </c>
      <c r="J2082" t="s">
        <v>49</v>
      </c>
      <c r="K2082" s="33">
        <v>4800</v>
      </c>
      <c r="L2082" t="s">
        <v>60</v>
      </c>
      <c r="M2082" t="str">
        <f>_xlfn.XLOOKUP(Pipeline_tbl[[#This Row],[Rep_ID]],Dim_Reps!A:A,Dim_Reps!K:K)</f>
        <v>MXN</v>
      </c>
      <c r="N2082" s="33">
        <f>(_xlfn.XLOOKUP(Pipeline_tbl[[#This Row],[Rate_Code_Generalized]],Lookups!A:A,Lookups!B:B))*Pipeline_tbl[[#This Row],[Pipeline_Amount_USD]]</f>
        <v>94716.96</v>
      </c>
      <c r="O2082" t="str">
        <f>_xlfn.XLOOKUP(Pipeline_tbl[[#This Row],[Rep_ID]],Dim_Reps!A:A,Dim_Reps!B:B)</f>
        <v>Ben Silva</v>
      </c>
      <c r="P2082" t="str">
        <f>_xlfn.XLOOKUP(Pipeline_tbl[[#This Row],[Rep_ID]],Dim_Reps!A:A,Dim_Reps!C:C)</f>
        <v>SDR / Inside Sales Rep</v>
      </c>
      <c r="Q2082" t="str">
        <f>_xlfn.XLOOKUP(Pipeline_tbl[[#This Row],[Rep_ID]],Dim_Reps!A:A,Dim_Reps!D:D)</f>
        <v>Inside Sales</v>
      </c>
      <c r="R2082" t="str">
        <f>_xlfn.XLOOKUP(Pipeline_tbl[[#This Row],[Rep_ID]],Dim_Reps!A:A,Dim_Reps!E:E)</f>
        <v>LATAM</v>
      </c>
      <c r="S2082" t="str">
        <f>_xlfn.XLOOKUP(Pipeline_tbl[[#This Row],[Created_Date]],Dim_Date!A:A,Dim_Date!H:H)</f>
        <v>Nov 2024</v>
      </c>
      <c r="T2082" t="str">
        <f>IF(Pipeline_tbl[[#This Row],[Closed_Date]]=0,"",(_xlfn.XLOOKUP(Pipeline_tbl[[#This Row],[Closed_Date]],Dim_Date!A:A,Dim_Date!H:H)))</f>
        <v>Nov 2024</v>
      </c>
      <c r="U2082">
        <f>IF(Pipeline_tbl[[#This Row],[Closed_Date]]=0,"",Pipeline_tbl[[#This Row],[Closed_Date]]-Pipeline_tbl[[#This Row],[Created_Date]])</f>
        <v>13</v>
      </c>
    </row>
    <row r="2083" spans="1:21" ht="15" customHeight="1" x14ac:dyDescent="0.2">
      <c r="A2083" t="s">
        <v>2389</v>
      </c>
      <c r="B2083" t="s">
        <v>231</v>
      </c>
      <c r="C2083" t="s">
        <v>55</v>
      </c>
      <c r="D2083" s="49">
        <v>45597</v>
      </c>
      <c r="E2083" s="49">
        <v>45599</v>
      </c>
      <c r="F2083" s="49">
        <v>45602</v>
      </c>
      <c r="I2083" s="49">
        <v>45615</v>
      </c>
      <c r="J2083" t="s">
        <v>49</v>
      </c>
      <c r="K2083" s="33">
        <v>2300</v>
      </c>
      <c r="L2083" t="s">
        <v>61</v>
      </c>
      <c r="M2083" t="str">
        <f>_xlfn.XLOOKUP(Pipeline_tbl[[#This Row],[Rep_ID]],Dim_Reps!A:A,Dim_Reps!K:K)</f>
        <v>MXN</v>
      </c>
      <c r="N2083" s="33">
        <f>(_xlfn.XLOOKUP(Pipeline_tbl[[#This Row],[Rate_Code_Generalized]],Lookups!A:A,Lookups!B:B))*Pipeline_tbl[[#This Row],[Pipeline_Amount_USD]]</f>
        <v>45385.210000000006</v>
      </c>
      <c r="O2083" t="str">
        <f>_xlfn.XLOOKUP(Pipeline_tbl[[#This Row],[Rep_ID]],Dim_Reps!A:A,Dim_Reps!B:B)</f>
        <v>Ben Silva</v>
      </c>
      <c r="P2083" t="str">
        <f>_xlfn.XLOOKUP(Pipeline_tbl[[#This Row],[Rep_ID]],Dim_Reps!A:A,Dim_Reps!C:C)</f>
        <v>SDR / Inside Sales Rep</v>
      </c>
      <c r="Q2083" t="str">
        <f>_xlfn.XLOOKUP(Pipeline_tbl[[#This Row],[Rep_ID]],Dim_Reps!A:A,Dim_Reps!D:D)</f>
        <v>Inside Sales</v>
      </c>
      <c r="R2083" t="str">
        <f>_xlfn.XLOOKUP(Pipeline_tbl[[#This Row],[Rep_ID]],Dim_Reps!A:A,Dim_Reps!E:E)</f>
        <v>LATAM</v>
      </c>
      <c r="S2083" t="str">
        <f>_xlfn.XLOOKUP(Pipeline_tbl[[#This Row],[Created_Date]],Dim_Date!A:A,Dim_Date!H:H)</f>
        <v>Nov 2024</v>
      </c>
      <c r="T2083" t="str">
        <f>IF(Pipeline_tbl[[#This Row],[Closed_Date]]=0,"",(_xlfn.XLOOKUP(Pipeline_tbl[[#This Row],[Closed_Date]],Dim_Date!A:A,Dim_Date!H:H)))</f>
        <v>Nov 2024</v>
      </c>
      <c r="U2083">
        <f>IF(Pipeline_tbl[[#This Row],[Closed_Date]]=0,"",Pipeline_tbl[[#This Row],[Closed_Date]]-Pipeline_tbl[[#This Row],[Created_Date]])</f>
        <v>18</v>
      </c>
    </row>
    <row r="2084" spans="1:21" ht="15" customHeight="1" x14ac:dyDescent="0.2">
      <c r="A2084" t="s">
        <v>2390</v>
      </c>
      <c r="B2084" t="s">
        <v>231</v>
      </c>
      <c r="C2084" t="s">
        <v>53</v>
      </c>
      <c r="D2084" s="49">
        <v>45604</v>
      </c>
      <c r="E2084" s="49">
        <v>45604</v>
      </c>
      <c r="F2084" s="49">
        <v>45606</v>
      </c>
      <c r="G2084" s="49">
        <v>45607</v>
      </c>
      <c r="H2084" s="49">
        <v>45608</v>
      </c>
      <c r="I2084" s="49">
        <v>45609</v>
      </c>
      <c r="J2084" t="s">
        <v>47</v>
      </c>
      <c r="K2084" s="33">
        <v>1100</v>
      </c>
      <c r="M2084" t="str">
        <f>_xlfn.XLOOKUP(Pipeline_tbl[[#This Row],[Rep_ID]],Dim_Reps!A:A,Dim_Reps!K:K)</f>
        <v>MXN</v>
      </c>
      <c r="N2084" s="33">
        <f>(_xlfn.XLOOKUP(Pipeline_tbl[[#This Row],[Rate_Code_Generalized]],Lookups!A:A,Lookups!B:B))*Pipeline_tbl[[#This Row],[Pipeline_Amount_USD]]</f>
        <v>21705.97</v>
      </c>
      <c r="O2084" t="str">
        <f>_xlfn.XLOOKUP(Pipeline_tbl[[#This Row],[Rep_ID]],Dim_Reps!A:A,Dim_Reps!B:B)</f>
        <v>Ben Silva</v>
      </c>
      <c r="P2084" t="str">
        <f>_xlfn.XLOOKUP(Pipeline_tbl[[#This Row],[Rep_ID]],Dim_Reps!A:A,Dim_Reps!C:C)</f>
        <v>SDR / Inside Sales Rep</v>
      </c>
      <c r="Q2084" t="str">
        <f>_xlfn.XLOOKUP(Pipeline_tbl[[#This Row],[Rep_ID]],Dim_Reps!A:A,Dim_Reps!D:D)</f>
        <v>Inside Sales</v>
      </c>
      <c r="R2084" t="str">
        <f>_xlfn.XLOOKUP(Pipeline_tbl[[#This Row],[Rep_ID]],Dim_Reps!A:A,Dim_Reps!E:E)</f>
        <v>LATAM</v>
      </c>
      <c r="S2084" t="str">
        <f>_xlfn.XLOOKUP(Pipeline_tbl[[#This Row],[Created_Date]],Dim_Date!A:A,Dim_Date!H:H)</f>
        <v>Nov 2024</v>
      </c>
      <c r="T2084" t="str">
        <f>IF(Pipeline_tbl[[#This Row],[Closed_Date]]=0,"",(_xlfn.XLOOKUP(Pipeline_tbl[[#This Row],[Closed_Date]],Dim_Date!A:A,Dim_Date!H:H)))</f>
        <v>Nov 2024</v>
      </c>
      <c r="U2084">
        <f>IF(Pipeline_tbl[[#This Row],[Closed_Date]]=0,"",Pipeline_tbl[[#This Row],[Closed_Date]]-Pipeline_tbl[[#This Row],[Created_Date]])</f>
        <v>5</v>
      </c>
    </row>
    <row r="2085" spans="1:21" ht="15" customHeight="1" x14ac:dyDescent="0.2">
      <c r="A2085" t="s">
        <v>2391</v>
      </c>
      <c r="B2085" t="s">
        <v>263</v>
      </c>
      <c r="C2085" t="s">
        <v>56</v>
      </c>
      <c r="D2085" s="49">
        <v>45601</v>
      </c>
      <c r="E2085" s="49">
        <v>45603</v>
      </c>
      <c r="F2085" s="49">
        <v>45606</v>
      </c>
      <c r="G2085" s="49">
        <v>45611</v>
      </c>
      <c r="H2085" s="49">
        <v>45615</v>
      </c>
      <c r="I2085" s="49">
        <v>45617</v>
      </c>
      <c r="J2085" t="s">
        <v>47</v>
      </c>
      <c r="K2085" s="33">
        <v>9500</v>
      </c>
      <c r="M2085" t="str">
        <f>_xlfn.XLOOKUP(Pipeline_tbl[[#This Row],[Rep_ID]],Dim_Reps!A:A,Dim_Reps!K:K)</f>
        <v>USD</v>
      </c>
      <c r="N2085" s="33">
        <f>(_xlfn.XLOOKUP(Pipeline_tbl[[#This Row],[Rate_Code_Generalized]],Lookups!A:A,Lookups!B:B))*Pipeline_tbl[[#This Row],[Pipeline_Amount_USD]]</f>
        <v>11060.849999999999</v>
      </c>
      <c r="O2085" t="str">
        <f>_xlfn.XLOOKUP(Pipeline_tbl[[#This Row],[Rep_ID]],Dim_Reps!A:A,Dim_Reps!B:B)</f>
        <v>Morgan Weber</v>
      </c>
      <c r="P2085" t="str">
        <f>_xlfn.XLOOKUP(Pipeline_tbl[[#This Row],[Rep_ID]],Dim_Reps!A:A,Dim_Reps!C:C)</f>
        <v>Mid-Market AE</v>
      </c>
      <c r="Q2085" t="str">
        <f>_xlfn.XLOOKUP(Pipeline_tbl[[#This Row],[Rep_ID]],Dim_Reps!A:A,Dim_Reps!D:D)</f>
        <v>Mid-Market</v>
      </c>
      <c r="R2085" t="str">
        <f>_xlfn.XLOOKUP(Pipeline_tbl[[#This Row],[Rep_ID]],Dim_Reps!A:A,Dim_Reps!E:E)</f>
        <v>NAMER</v>
      </c>
      <c r="S2085" t="str">
        <f>_xlfn.XLOOKUP(Pipeline_tbl[[#This Row],[Created_Date]],Dim_Date!A:A,Dim_Date!H:H)</f>
        <v>Nov 2024</v>
      </c>
      <c r="T2085" t="str">
        <f>IF(Pipeline_tbl[[#This Row],[Closed_Date]]=0,"",(_xlfn.XLOOKUP(Pipeline_tbl[[#This Row],[Closed_Date]],Dim_Date!A:A,Dim_Date!H:H)))</f>
        <v>Nov 2024</v>
      </c>
      <c r="U2085">
        <f>IF(Pipeline_tbl[[#This Row],[Closed_Date]]=0,"",Pipeline_tbl[[#This Row],[Closed_Date]]-Pipeline_tbl[[#This Row],[Created_Date]])</f>
        <v>16</v>
      </c>
    </row>
    <row r="2086" spans="1:21" ht="15" customHeight="1" x14ac:dyDescent="0.2">
      <c r="A2086" t="s">
        <v>2392</v>
      </c>
      <c r="B2086" t="s">
        <v>263</v>
      </c>
      <c r="C2086" t="s">
        <v>52</v>
      </c>
      <c r="D2086" s="49">
        <v>45598</v>
      </c>
      <c r="E2086" s="49">
        <v>45600</v>
      </c>
      <c r="F2086" s="49">
        <v>45604</v>
      </c>
      <c r="I2086" s="49">
        <v>45618</v>
      </c>
      <c r="J2086" t="s">
        <v>49</v>
      </c>
      <c r="K2086" s="33">
        <v>13500</v>
      </c>
      <c r="L2086" t="s">
        <v>61</v>
      </c>
      <c r="M2086" t="str">
        <f>_xlfn.XLOOKUP(Pipeline_tbl[[#This Row],[Rep_ID]],Dim_Reps!A:A,Dim_Reps!K:K)</f>
        <v>USD</v>
      </c>
      <c r="N2086" s="33">
        <f>(_xlfn.XLOOKUP(Pipeline_tbl[[#This Row],[Rate_Code_Generalized]],Lookups!A:A,Lookups!B:B))*Pipeline_tbl[[#This Row],[Pipeline_Amount_USD]]</f>
        <v>15718.05</v>
      </c>
      <c r="O2086" t="str">
        <f>_xlfn.XLOOKUP(Pipeline_tbl[[#This Row],[Rep_ID]],Dim_Reps!A:A,Dim_Reps!B:B)</f>
        <v>Morgan Weber</v>
      </c>
      <c r="P2086" t="str">
        <f>_xlfn.XLOOKUP(Pipeline_tbl[[#This Row],[Rep_ID]],Dim_Reps!A:A,Dim_Reps!C:C)</f>
        <v>Mid-Market AE</v>
      </c>
      <c r="Q2086" t="str">
        <f>_xlfn.XLOOKUP(Pipeline_tbl[[#This Row],[Rep_ID]],Dim_Reps!A:A,Dim_Reps!D:D)</f>
        <v>Mid-Market</v>
      </c>
      <c r="R2086" t="str">
        <f>_xlfn.XLOOKUP(Pipeline_tbl[[#This Row],[Rep_ID]],Dim_Reps!A:A,Dim_Reps!E:E)</f>
        <v>NAMER</v>
      </c>
      <c r="S2086" t="str">
        <f>_xlfn.XLOOKUP(Pipeline_tbl[[#This Row],[Created_Date]],Dim_Date!A:A,Dim_Date!H:H)</f>
        <v>Nov 2024</v>
      </c>
      <c r="T2086" t="str">
        <f>IF(Pipeline_tbl[[#This Row],[Closed_Date]]=0,"",(_xlfn.XLOOKUP(Pipeline_tbl[[#This Row],[Closed_Date]],Dim_Date!A:A,Dim_Date!H:H)))</f>
        <v>Nov 2024</v>
      </c>
      <c r="U2086">
        <f>IF(Pipeline_tbl[[#This Row],[Closed_Date]]=0,"",Pipeline_tbl[[#This Row],[Closed_Date]]-Pipeline_tbl[[#This Row],[Created_Date]])</f>
        <v>20</v>
      </c>
    </row>
    <row r="2087" spans="1:21" ht="15" customHeight="1" x14ac:dyDescent="0.2">
      <c r="A2087" t="s">
        <v>2393</v>
      </c>
      <c r="B2087" t="s">
        <v>233</v>
      </c>
      <c r="C2087" t="s">
        <v>53</v>
      </c>
      <c r="D2087" s="49">
        <v>45601</v>
      </c>
      <c r="E2087" s="49">
        <v>45603</v>
      </c>
      <c r="I2087" s="49">
        <v>45620</v>
      </c>
      <c r="J2087" t="s">
        <v>49</v>
      </c>
      <c r="K2087" s="33">
        <v>2800</v>
      </c>
      <c r="L2087" t="s">
        <v>60</v>
      </c>
      <c r="M2087" t="str">
        <f>_xlfn.XLOOKUP(Pipeline_tbl[[#This Row],[Rep_ID]],Dim_Reps!A:A,Dim_Reps!K:K)</f>
        <v>MXN</v>
      </c>
      <c r="N2087" s="33">
        <f>(_xlfn.XLOOKUP(Pipeline_tbl[[#This Row],[Rate_Code_Generalized]],Lookups!A:A,Lookups!B:B))*Pipeline_tbl[[#This Row],[Pipeline_Amount_USD]]</f>
        <v>55251.560000000005</v>
      </c>
      <c r="O2087" t="str">
        <f>_xlfn.XLOOKUP(Pipeline_tbl[[#This Row],[Rep_ID]],Dim_Reps!A:A,Dim_Reps!B:B)</f>
        <v>Lucas Duarte</v>
      </c>
      <c r="P2087" t="str">
        <f>_xlfn.XLOOKUP(Pipeline_tbl[[#This Row],[Rep_ID]],Dim_Reps!A:A,Dim_Reps!C:C)</f>
        <v>SDR / Inside Sales Rep</v>
      </c>
      <c r="Q2087" t="str">
        <f>_xlfn.XLOOKUP(Pipeline_tbl[[#This Row],[Rep_ID]],Dim_Reps!A:A,Dim_Reps!D:D)</f>
        <v>Inside Sales</v>
      </c>
      <c r="R2087" t="str">
        <f>_xlfn.XLOOKUP(Pipeline_tbl[[#This Row],[Rep_ID]],Dim_Reps!A:A,Dim_Reps!E:E)</f>
        <v>LATAM</v>
      </c>
      <c r="S2087" t="str">
        <f>_xlfn.XLOOKUP(Pipeline_tbl[[#This Row],[Created_Date]],Dim_Date!A:A,Dim_Date!H:H)</f>
        <v>Nov 2024</v>
      </c>
      <c r="T2087" t="str">
        <f>IF(Pipeline_tbl[[#This Row],[Closed_Date]]=0,"",(_xlfn.XLOOKUP(Pipeline_tbl[[#This Row],[Closed_Date]],Dim_Date!A:A,Dim_Date!H:H)))</f>
        <v>Nov 2024</v>
      </c>
      <c r="U2087">
        <f>IF(Pipeline_tbl[[#This Row],[Closed_Date]]=0,"",Pipeline_tbl[[#This Row],[Closed_Date]]-Pipeline_tbl[[#This Row],[Created_Date]])</f>
        <v>19</v>
      </c>
    </row>
    <row r="2088" spans="1:21" ht="15" customHeight="1" x14ac:dyDescent="0.2">
      <c r="A2088" t="s">
        <v>2394</v>
      </c>
      <c r="B2088" t="s">
        <v>233</v>
      </c>
      <c r="C2088" t="s">
        <v>52</v>
      </c>
      <c r="D2088" s="49">
        <v>45598</v>
      </c>
      <c r="E2088" s="49">
        <v>45599</v>
      </c>
      <c r="F2088" s="49">
        <v>45602</v>
      </c>
      <c r="G2088" s="49">
        <v>45606</v>
      </c>
      <c r="H2088" s="49">
        <v>45610</v>
      </c>
      <c r="I2088" s="49">
        <v>45612</v>
      </c>
      <c r="J2088" t="s">
        <v>47</v>
      </c>
      <c r="K2088" s="33">
        <v>5100</v>
      </c>
      <c r="M2088" t="str">
        <f>_xlfn.XLOOKUP(Pipeline_tbl[[#This Row],[Rep_ID]],Dim_Reps!A:A,Dim_Reps!K:K)</f>
        <v>MXN</v>
      </c>
      <c r="N2088" s="33">
        <f>(_xlfn.XLOOKUP(Pipeline_tbl[[#This Row],[Rate_Code_Generalized]],Lookups!A:A,Lookups!B:B))*Pipeline_tbl[[#This Row],[Pipeline_Amount_USD]]</f>
        <v>100636.77</v>
      </c>
      <c r="O2088" t="str">
        <f>_xlfn.XLOOKUP(Pipeline_tbl[[#This Row],[Rep_ID]],Dim_Reps!A:A,Dim_Reps!B:B)</f>
        <v>Lucas Duarte</v>
      </c>
      <c r="P2088" t="str">
        <f>_xlfn.XLOOKUP(Pipeline_tbl[[#This Row],[Rep_ID]],Dim_Reps!A:A,Dim_Reps!C:C)</f>
        <v>SDR / Inside Sales Rep</v>
      </c>
      <c r="Q2088" t="str">
        <f>_xlfn.XLOOKUP(Pipeline_tbl[[#This Row],[Rep_ID]],Dim_Reps!A:A,Dim_Reps!D:D)</f>
        <v>Inside Sales</v>
      </c>
      <c r="R2088" t="str">
        <f>_xlfn.XLOOKUP(Pipeline_tbl[[#This Row],[Rep_ID]],Dim_Reps!A:A,Dim_Reps!E:E)</f>
        <v>LATAM</v>
      </c>
      <c r="S2088" t="str">
        <f>_xlfn.XLOOKUP(Pipeline_tbl[[#This Row],[Created_Date]],Dim_Date!A:A,Dim_Date!H:H)</f>
        <v>Nov 2024</v>
      </c>
      <c r="T2088" t="str">
        <f>IF(Pipeline_tbl[[#This Row],[Closed_Date]]=0,"",(_xlfn.XLOOKUP(Pipeline_tbl[[#This Row],[Closed_Date]],Dim_Date!A:A,Dim_Date!H:H)))</f>
        <v>Nov 2024</v>
      </c>
      <c r="U2088">
        <f>IF(Pipeline_tbl[[#This Row],[Closed_Date]]=0,"",Pipeline_tbl[[#This Row],[Closed_Date]]-Pipeline_tbl[[#This Row],[Created_Date]])</f>
        <v>14</v>
      </c>
    </row>
    <row r="2089" spans="1:21" ht="15" customHeight="1" x14ac:dyDescent="0.2">
      <c r="A2089" t="s">
        <v>2395</v>
      </c>
      <c r="B2089" t="s">
        <v>233</v>
      </c>
      <c r="C2089" t="s">
        <v>54</v>
      </c>
      <c r="D2089" s="49">
        <v>45608</v>
      </c>
      <c r="E2089" s="49">
        <v>45609</v>
      </c>
      <c r="I2089" s="49">
        <v>45617</v>
      </c>
      <c r="J2089" t="s">
        <v>49</v>
      </c>
      <c r="K2089" s="33">
        <v>6500</v>
      </c>
      <c r="L2089" t="s">
        <v>61</v>
      </c>
      <c r="M2089" t="str">
        <f>_xlfn.XLOOKUP(Pipeline_tbl[[#This Row],[Rep_ID]],Dim_Reps!A:A,Dim_Reps!K:K)</f>
        <v>MXN</v>
      </c>
      <c r="N2089" s="33">
        <f>(_xlfn.XLOOKUP(Pipeline_tbl[[#This Row],[Rate_Code_Generalized]],Lookups!A:A,Lookups!B:B))*Pipeline_tbl[[#This Row],[Pipeline_Amount_USD]]</f>
        <v>128262.55</v>
      </c>
      <c r="O2089" t="str">
        <f>_xlfn.XLOOKUP(Pipeline_tbl[[#This Row],[Rep_ID]],Dim_Reps!A:A,Dim_Reps!B:B)</f>
        <v>Lucas Duarte</v>
      </c>
      <c r="P2089" t="str">
        <f>_xlfn.XLOOKUP(Pipeline_tbl[[#This Row],[Rep_ID]],Dim_Reps!A:A,Dim_Reps!C:C)</f>
        <v>SDR / Inside Sales Rep</v>
      </c>
      <c r="Q2089" t="str">
        <f>_xlfn.XLOOKUP(Pipeline_tbl[[#This Row],[Rep_ID]],Dim_Reps!A:A,Dim_Reps!D:D)</f>
        <v>Inside Sales</v>
      </c>
      <c r="R2089" t="str">
        <f>_xlfn.XLOOKUP(Pipeline_tbl[[#This Row],[Rep_ID]],Dim_Reps!A:A,Dim_Reps!E:E)</f>
        <v>LATAM</v>
      </c>
      <c r="S2089" t="str">
        <f>_xlfn.XLOOKUP(Pipeline_tbl[[#This Row],[Created_Date]],Dim_Date!A:A,Dim_Date!H:H)</f>
        <v>Nov 2024</v>
      </c>
      <c r="T2089" t="str">
        <f>IF(Pipeline_tbl[[#This Row],[Closed_Date]]=0,"",(_xlfn.XLOOKUP(Pipeline_tbl[[#This Row],[Closed_Date]],Dim_Date!A:A,Dim_Date!H:H)))</f>
        <v>Nov 2024</v>
      </c>
      <c r="U2089">
        <f>IF(Pipeline_tbl[[#This Row],[Closed_Date]]=0,"",Pipeline_tbl[[#This Row],[Closed_Date]]-Pipeline_tbl[[#This Row],[Created_Date]])</f>
        <v>9</v>
      </c>
    </row>
    <row r="2090" spans="1:21" ht="15" customHeight="1" x14ac:dyDescent="0.2">
      <c r="A2090" t="s">
        <v>2396</v>
      </c>
      <c r="B2090" t="s">
        <v>233</v>
      </c>
      <c r="C2090" t="s">
        <v>52</v>
      </c>
      <c r="D2090" s="49">
        <v>45597</v>
      </c>
      <c r="E2090" s="49">
        <v>45599</v>
      </c>
      <c r="I2090" s="49">
        <v>45618</v>
      </c>
      <c r="J2090" t="s">
        <v>49</v>
      </c>
      <c r="K2090" s="33">
        <v>4000</v>
      </c>
      <c r="L2090" t="s">
        <v>60</v>
      </c>
      <c r="M2090" t="str">
        <f>_xlfn.XLOOKUP(Pipeline_tbl[[#This Row],[Rep_ID]],Dim_Reps!A:A,Dim_Reps!K:K)</f>
        <v>MXN</v>
      </c>
      <c r="N2090" s="33">
        <f>(_xlfn.XLOOKUP(Pipeline_tbl[[#This Row],[Rate_Code_Generalized]],Lookups!A:A,Lookups!B:B))*Pipeline_tbl[[#This Row],[Pipeline_Amount_USD]]</f>
        <v>78930.8</v>
      </c>
      <c r="O2090" t="str">
        <f>_xlfn.XLOOKUP(Pipeline_tbl[[#This Row],[Rep_ID]],Dim_Reps!A:A,Dim_Reps!B:B)</f>
        <v>Lucas Duarte</v>
      </c>
      <c r="P2090" t="str">
        <f>_xlfn.XLOOKUP(Pipeline_tbl[[#This Row],[Rep_ID]],Dim_Reps!A:A,Dim_Reps!C:C)</f>
        <v>SDR / Inside Sales Rep</v>
      </c>
      <c r="Q2090" t="str">
        <f>_xlfn.XLOOKUP(Pipeline_tbl[[#This Row],[Rep_ID]],Dim_Reps!A:A,Dim_Reps!D:D)</f>
        <v>Inside Sales</v>
      </c>
      <c r="R2090" t="str">
        <f>_xlfn.XLOOKUP(Pipeline_tbl[[#This Row],[Rep_ID]],Dim_Reps!A:A,Dim_Reps!E:E)</f>
        <v>LATAM</v>
      </c>
      <c r="S2090" t="str">
        <f>_xlfn.XLOOKUP(Pipeline_tbl[[#This Row],[Created_Date]],Dim_Date!A:A,Dim_Date!H:H)</f>
        <v>Nov 2024</v>
      </c>
      <c r="T2090" t="str">
        <f>IF(Pipeline_tbl[[#This Row],[Closed_Date]]=0,"",(_xlfn.XLOOKUP(Pipeline_tbl[[#This Row],[Closed_Date]],Dim_Date!A:A,Dim_Date!H:H)))</f>
        <v>Nov 2024</v>
      </c>
      <c r="U2090">
        <f>IF(Pipeline_tbl[[#This Row],[Closed_Date]]=0,"",Pipeline_tbl[[#This Row],[Closed_Date]]-Pipeline_tbl[[#This Row],[Created_Date]])</f>
        <v>21</v>
      </c>
    </row>
    <row r="2091" spans="1:21" ht="15" customHeight="1" x14ac:dyDescent="0.2">
      <c r="A2091" t="s">
        <v>2397</v>
      </c>
      <c r="B2091" t="s">
        <v>233</v>
      </c>
      <c r="C2091" t="s">
        <v>52</v>
      </c>
      <c r="D2091" s="49">
        <v>45599</v>
      </c>
      <c r="E2091" s="49">
        <v>45601</v>
      </c>
      <c r="I2091" s="49">
        <v>45617</v>
      </c>
      <c r="J2091" t="s">
        <v>49</v>
      </c>
      <c r="K2091" s="33">
        <v>2900</v>
      </c>
      <c r="L2091" t="s">
        <v>60</v>
      </c>
      <c r="M2091" t="str">
        <f>_xlfn.XLOOKUP(Pipeline_tbl[[#This Row],[Rep_ID]],Dim_Reps!A:A,Dim_Reps!K:K)</f>
        <v>MXN</v>
      </c>
      <c r="N2091" s="33">
        <f>(_xlfn.XLOOKUP(Pipeline_tbl[[#This Row],[Rate_Code_Generalized]],Lookups!A:A,Lookups!B:B))*Pipeline_tbl[[#This Row],[Pipeline_Amount_USD]]</f>
        <v>57224.83</v>
      </c>
      <c r="O2091" t="str">
        <f>_xlfn.XLOOKUP(Pipeline_tbl[[#This Row],[Rep_ID]],Dim_Reps!A:A,Dim_Reps!B:B)</f>
        <v>Lucas Duarte</v>
      </c>
      <c r="P2091" t="str">
        <f>_xlfn.XLOOKUP(Pipeline_tbl[[#This Row],[Rep_ID]],Dim_Reps!A:A,Dim_Reps!C:C)</f>
        <v>SDR / Inside Sales Rep</v>
      </c>
      <c r="Q2091" t="str">
        <f>_xlfn.XLOOKUP(Pipeline_tbl[[#This Row],[Rep_ID]],Dim_Reps!A:A,Dim_Reps!D:D)</f>
        <v>Inside Sales</v>
      </c>
      <c r="R2091" t="str">
        <f>_xlfn.XLOOKUP(Pipeline_tbl[[#This Row],[Rep_ID]],Dim_Reps!A:A,Dim_Reps!E:E)</f>
        <v>LATAM</v>
      </c>
      <c r="S2091" t="str">
        <f>_xlfn.XLOOKUP(Pipeline_tbl[[#This Row],[Created_Date]],Dim_Date!A:A,Dim_Date!H:H)</f>
        <v>Nov 2024</v>
      </c>
      <c r="T2091" t="str">
        <f>IF(Pipeline_tbl[[#This Row],[Closed_Date]]=0,"",(_xlfn.XLOOKUP(Pipeline_tbl[[#This Row],[Closed_Date]],Dim_Date!A:A,Dim_Date!H:H)))</f>
        <v>Nov 2024</v>
      </c>
      <c r="U2091">
        <f>IF(Pipeline_tbl[[#This Row],[Closed_Date]]=0,"",Pipeline_tbl[[#This Row],[Closed_Date]]-Pipeline_tbl[[#This Row],[Created_Date]])</f>
        <v>18</v>
      </c>
    </row>
    <row r="2092" spans="1:21" ht="15" customHeight="1" x14ac:dyDescent="0.2">
      <c r="A2092" t="s">
        <v>2398</v>
      </c>
      <c r="B2092" t="s">
        <v>267</v>
      </c>
      <c r="C2092" t="s">
        <v>52</v>
      </c>
      <c r="D2092" s="49">
        <v>45603</v>
      </c>
      <c r="E2092" s="49">
        <v>45605</v>
      </c>
      <c r="F2092" s="49">
        <v>45608</v>
      </c>
      <c r="G2092" s="49">
        <v>45614</v>
      </c>
      <c r="I2092" s="49">
        <v>45621</v>
      </c>
      <c r="J2092" t="s">
        <v>49</v>
      </c>
      <c r="K2092" s="33">
        <v>10400</v>
      </c>
      <c r="L2092" t="s">
        <v>60</v>
      </c>
      <c r="M2092" t="str">
        <f>_xlfn.XLOOKUP(Pipeline_tbl[[#This Row],[Rep_ID]],Dim_Reps!A:A,Dim_Reps!K:K)</f>
        <v>MXN</v>
      </c>
      <c r="N2092" s="33">
        <f>(_xlfn.XLOOKUP(Pipeline_tbl[[#This Row],[Rate_Code_Generalized]],Lookups!A:A,Lookups!B:B))*Pipeline_tbl[[#This Row],[Pipeline_Amount_USD]]</f>
        <v>205220.08000000002</v>
      </c>
      <c r="O2092" t="str">
        <f>_xlfn.XLOOKUP(Pipeline_tbl[[#This Row],[Rep_ID]],Dim_Reps!A:A,Dim_Reps!B:B)</f>
        <v>Yuki Dubois</v>
      </c>
      <c r="P2092" t="str">
        <f>_xlfn.XLOOKUP(Pipeline_tbl[[#This Row],[Rep_ID]],Dim_Reps!A:A,Dim_Reps!C:C)</f>
        <v>Mid-Market AE</v>
      </c>
      <c r="Q2092" t="str">
        <f>_xlfn.XLOOKUP(Pipeline_tbl[[#This Row],[Rep_ID]],Dim_Reps!A:A,Dim_Reps!D:D)</f>
        <v>Mid-Market</v>
      </c>
      <c r="R2092" t="str">
        <f>_xlfn.XLOOKUP(Pipeline_tbl[[#This Row],[Rep_ID]],Dim_Reps!A:A,Dim_Reps!E:E)</f>
        <v>LATAM</v>
      </c>
      <c r="S2092" t="str">
        <f>_xlfn.XLOOKUP(Pipeline_tbl[[#This Row],[Created_Date]],Dim_Date!A:A,Dim_Date!H:H)</f>
        <v>Nov 2024</v>
      </c>
      <c r="T2092" t="str">
        <f>IF(Pipeline_tbl[[#This Row],[Closed_Date]]=0,"",(_xlfn.XLOOKUP(Pipeline_tbl[[#This Row],[Closed_Date]],Dim_Date!A:A,Dim_Date!H:H)))</f>
        <v>Nov 2024</v>
      </c>
      <c r="U2092">
        <f>IF(Pipeline_tbl[[#This Row],[Closed_Date]]=0,"",Pipeline_tbl[[#This Row],[Closed_Date]]-Pipeline_tbl[[#This Row],[Created_Date]])</f>
        <v>18</v>
      </c>
    </row>
    <row r="2093" spans="1:21" ht="15" customHeight="1" x14ac:dyDescent="0.2">
      <c r="A2093" t="s">
        <v>2399</v>
      </c>
      <c r="B2093" t="s">
        <v>235</v>
      </c>
      <c r="C2093" t="s">
        <v>53</v>
      </c>
      <c r="D2093" s="49">
        <v>45610</v>
      </c>
      <c r="E2093" s="49">
        <v>45611</v>
      </c>
      <c r="F2093" s="49">
        <v>45614</v>
      </c>
      <c r="G2093" s="49">
        <v>45618</v>
      </c>
      <c r="H2093" s="49">
        <v>45622</v>
      </c>
      <c r="I2093" s="49">
        <v>45624</v>
      </c>
      <c r="J2093" t="s">
        <v>47</v>
      </c>
      <c r="K2093" s="33">
        <v>6900</v>
      </c>
      <c r="M2093" t="str">
        <f>_xlfn.XLOOKUP(Pipeline_tbl[[#This Row],[Rep_ID]],Dim_Reps!A:A,Dim_Reps!K:K)</f>
        <v>MXN</v>
      </c>
      <c r="N2093" s="33">
        <f>(_xlfn.XLOOKUP(Pipeline_tbl[[#This Row],[Rate_Code_Generalized]],Lookups!A:A,Lookups!B:B))*Pipeline_tbl[[#This Row],[Pipeline_Amount_USD]]</f>
        <v>136155.63</v>
      </c>
      <c r="O2093" t="str">
        <f>_xlfn.XLOOKUP(Pipeline_tbl[[#This Row],[Rep_ID]],Dim_Reps!A:A,Dim_Reps!B:B)</f>
        <v>Milo Castro</v>
      </c>
      <c r="P2093" t="str">
        <f>_xlfn.XLOOKUP(Pipeline_tbl[[#This Row],[Rep_ID]],Dim_Reps!A:A,Dim_Reps!C:C)</f>
        <v>SDR / Inside Sales Rep</v>
      </c>
      <c r="Q2093" t="str">
        <f>_xlfn.XLOOKUP(Pipeline_tbl[[#This Row],[Rep_ID]],Dim_Reps!A:A,Dim_Reps!D:D)</f>
        <v>Inside Sales</v>
      </c>
      <c r="R2093" t="str">
        <f>_xlfn.XLOOKUP(Pipeline_tbl[[#This Row],[Rep_ID]],Dim_Reps!A:A,Dim_Reps!E:E)</f>
        <v>LATAM</v>
      </c>
      <c r="S2093" t="str">
        <f>_xlfn.XLOOKUP(Pipeline_tbl[[#This Row],[Created_Date]],Dim_Date!A:A,Dim_Date!H:H)</f>
        <v>Nov 2024</v>
      </c>
      <c r="T2093" t="str">
        <f>IF(Pipeline_tbl[[#This Row],[Closed_Date]]=0,"",(_xlfn.XLOOKUP(Pipeline_tbl[[#This Row],[Closed_Date]],Dim_Date!A:A,Dim_Date!H:H)))</f>
        <v>Nov 2024</v>
      </c>
      <c r="U2093">
        <f>IF(Pipeline_tbl[[#This Row],[Closed_Date]]=0,"",Pipeline_tbl[[#This Row],[Closed_Date]]-Pipeline_tbl[[#This Row],[Created_Date]])</f>
        <v>14</v>
      </c>
    </row>
    <row r="2094" spans="1:21" ht="15" customHeight="1" x14ac:dyDescent="0.2">
      <c r="A2094" t="s">
        <v>2400</v>
      </c>
      <c r="B2094" t="s">
        <v>235</v>
      </c>
      <c r="C2094" t="s">
        <v>53</v>
      </c>
      <c r="D2094" s="49">
        <v>45609</v>
      </c>
      <c r="E2094" s="49">
        <v>45610</v>
      </c>
      <c r="F2094" s="49">
        <v>45613</v>
      </c>
      <c r="G2094" s="49">
        <v>45616</v>
      </c>
      <c r="H2094" s="49">
        <v>45619</v>
      </c>
      <c r="I2094" s="49">
        <v>45621</v>
      </c>
      <c r="J2094" t="s">
        <v>49</v>
      </c>
      <c r="K2094" s="33">
        <v>3300</v>
      </c>
      <c r="L2094" t="s">
        <v>60</v>
      </c>
      <c r="M2094" t="str">
        <f>_xlfn.XLOOKUP(Pipeline_tbl[[#This Row],[Rep_ID]],Dim_Reps!A:A,Dim_Reps!K:K)</f>
        <v>MXN</v>
      </c>
      <c r="N2094" s="33">
        <f>(_xlfn.XLOOKUP(Pipeline_tbl[[#This Row],[Rate_Code_Generalized]],Lookups!A:A,Lookups!B:B))*Pipeline_tbl[[#This Row],[Pipeline_Amount_USD]]</f>
        <v>65117.91</v>
      </c>
      <c r="O2094" t="str">
        <f>_xlfn.XLOOKUP(Pipeline_tbl[[#This Row],[Rep_ID]],Dim_Reps!A:A,Dim_Reps!B:B)</f>
        <v>Milo Castro</v>
      </c>
      <c r="P2094" t="str">
        <f>_xlfn.XLOOKUP(Pipeline_tbl[[#This Row],[Rep_ID]],Dim_Reps!A:A,Dim_Reps!C:C)</f>
        <v>SDR / Inside Sales Rep</v>
      </c>
      <c r="Q2094" t="str">
        <f>_xlfn.XLOOKUP(Pipeline_tbl[[#This Row],[Rep_ID]],Dim_Reps!A:A,Dim_Reps!D:D)</f>
        <v>Inside Sales</v>
      </c>
      <c r="R2094" t="str">
        <f>_xlfn.XLOOKUP(Pipeline_tbl[[#This Row],[Rep_ID]],Dim_Reps!A:A,Dim_Reps!E:E)</f>
        <v>LATAM</v>
      </c>
      <c r="S2094" t="str">
        <f>_xlfn.XLOOKUP(Pipeline_tbl[[#This Row],[Created_Date]],Dim_Date!A:A,Dim_Date!H:H)</f>
        <v>Nov 2024</v>
      </c>
      <c r="T2094" t="str">
        <f>IF(Pipeline_tbl[[#This Row],[Closed_Date]]=0,"",(_xlfn.XLOOKUP(Pipeline_tbl[[#This Row],[Closed_Date]],Dim_Date!A:A,Dim_Date!H:H)))</f>
        <v>Nov 2024</v>
      </c>
      <c r="U2094">
        <f>IF(Pipeline_tbl[[#This Row],[Closed_Date]]=0,"",Pipeline_tbl[[#This Row],[Closed_Date]]-Pipeline_tbl[[#This Row],[Created_Date]])</f>
        <v>12</v>
      </c>
    </row>
    <row r="2095" spans="1:21" ht="15" customHeight="1" x14ac:dyDescent="0.2">
      <c r="A2095" t="s">
        <v>2401</v>
      </c>
      <c r="B2095" t="s">
        <v>235</v>
      </c>
      <c r="C2095" t="s">
        <v>52</v>
      </c>
      <c r="D2095" s="49">
        <v>45598</v>
      </c>
      <c r="E2095" s="49">
        <v>45599</v>
      </c>
      <c r="F2095" s="49">
        <v>45602</v>
      </c>
      <c r="G2095" s="49">
        <v>45606</v>
      </c>
      <c r="H2095" s="49">
        <v>45610</v>
      </c>
      <c r="I2095" s="49">
        <v>45612</v>
      </c>
      <c r="J2095" t="s">
        <v>47</v>
      </c>
      <c r="K2095" s="33">
        <v>4400</v>
      </c>
      <c r="M2095" t="str">
        <f>_xlfn.XLOOKUP(Pipeline_tbl[[#This Row],[Rep_ID]],Dim_Reps!A:A,Dim_Reps!K:K)</f>
        <v>MXN</v>
      </c>
      <c r="N2095" s="33">
        <f>(_xlfn.XLOOKUP(Pipeline_tbl[[#This Row],[Rate_Code_Generalized]],Lookups!A:A,Lookups!B:B))*Pipeline_tbl[[#This Row],[Pipeline_Amount_USD]]</f>
        <v>86823.88</v>
      </c>
      <c r="O2095" t="str">
        <f>_xlfn.XLOOKUP(Pipeline_tbl[[#This Row],[Rep_ID]],Dim_Reps!A:A,Dim_Reps!B:B)</f>
        <v>Milo Castro</v>
      </c>
      <c r="P2095" t="str">
        <f>_xlfn.XLOOKUP(Pipeline_tbl[[#This Row],[Rep_ID]],Dim_Reps!A:A,Dim_Reps!C:C)</f>
        <v>SDR / Inside Sales Rep</v>
      </c>
      <c r="Q2095" t="str">
        <f>_xlfn.XLOOKUP(Pipeline_tbl[[#This Row],[Rep_ID]],Dim_Reps!A:A,Dim_Reps!D:D)</f>
        <v>Inside Sales</v>
      </c>
      <c r="R2095" t="str">
        <f>_xlfn.XLOOKUP(Pipeline_tbl[[#This Row],[Rep_ID]],Dim_Reps!A:A,Dim_Reps!E:E)</f>
        <v>LATAM</v>
      </c>
      <c r="S2095" t="str">
        <f>_xlfn.XLOOKUP(Pipeline_tbl[[#This Row],[Created_Date]],Dim_Date!A:A,Dim_Date!H:H)</f>
        <v>Nov 2024</v>
      </c>
      <c r="T2095" t="str">
        <f>IF(Pipeline_tbl[[#This Row],[Closed_Date]]=0,"",(_xlfn.XLOOKUP(Pipeline_tbl[[#This Row],[Closed_Date]],Dim_Date!A:A,Dim_Date!H:H)))</f>
        <v>Nov 2024</v>
      </c>
      <c r="U2095">
        <f>IF(Pipeline_tbl[[#This Row],[Closed_Date]]=0,"",Pipeline_tbl[[#This Row],[Closed_Date]]-Pipeline_tbl[[#This Row],[Created_Date]])</f>
        <v>14</v>
      </c>
    </row>
    <row r="2096" spans="1:21" ht="15" customHeight="1" x14ac:dyDescent="0.2">
      <c r="A2096" t="s">
        <v>2402</v>
      </c>
      <c r="B2096" t="s">
        <v>235</v>
      </c>
      <c r="C2096" t="s">
        <v>55</v>
      </c>
      <c r="D2096" s="49">
        <v>45603</v>
      </c>
      <c r="E2096" s="49">
        <v>45604</v>
      </c>
      <c r="F2096" s="49">
        <v>45606</v>
      </c>
      <c r="G2096" s="49">
        <v>45608</v>
      </c>
      <c r="I2096" s="49">
        <v>45612</v>
      </c>
      <c r="J2096" t="s">
        <v>49</v>
      </c>
      <c r="K2096" s="33">
        <v>5600</v>
      </c>
      <c r="L2096" t="s">
        <v>64</v>
      </c>
      <c r="M2096" t="str">
        <f>_xlfn.XLOOKUP(Pipeline_tbl[[#This Row],[Rep_ID]],Dim_Reps!A:A,Dim_Reps!K:K)</f>
        <v>MXN</v>
      </c>
      <c r="N2096" s="33">
        <f>(_xlfn.XLOOKUP(Pipeline_tbl[[#This Row],[Rate_Code_Generalized]],Lookups!A:A,Lookups!B:B))*Pipeline_tbl[[#This Row],[Pipeline_Amount_USD]]</f>
        <v>110503.12000000001</v>
      </c>
      <c r="O2096" t="str">
        <f>_xlfn.XLOOKUP(Pipeline_tbl[[#This Row],[Rep_ID]],Dim_Reps!A:A,Dim_Reps!B:B)</f>
        <v>Milo Castro</v>
      </c>
      <c r="P2096" t="str">
        <f>_xlfn.XLOOKUP(Pipeline_tbl[[#This Row],[Rep_ID]],Dim_Reps!A:A,Dim_Reps!C:C)</f>
        <v>SDR / Inside Sales Rep</v>
      </c>
      <c r="Q2096" t="str">
        <f>_xlfn.XLOOKUP(Pipeline_tbl[[#This Row],[Rep_ID]],Dim_Reps!A:A,Dim_Reps!D:D)</f>
        <v>Inside Sales</v>
      </c>
      <c r="R2096" t="str">
        <f>_xlfn.XLOOKUP(Pipeline_tbl[[#This Row],[Rep_ID]],Dim_Reps!A:A,Dim_Reps!E:E)</f>
        <v>LATAM</v>
      </c>
      <c r="S2096" t="str">
        <f>_xlfn.XLOOKUP(Pipeline_tbl[[#This Row],[Created_Date]],Dim_Date!A:A,Dim_Date!H:H)</f>
        <v>Nov 2024</v>
      </c>
      <c r="T2096" t="str">
        <f>IF(Pipeline_tbl[[#This Row],[Closed_Date]]=0,"",(_xlfn.XLOOKUP(Pipeline_tbl[[#This Row],[Closed_Date]],Dim_Date!A:A,Dim_Date!H:H)))</f>
        <v>Nov 2024</v>
      </c>
      <c r="U2096">
        <f>IF(Pipeline_tbl[[#This Row],[Closed_Date]]=0,"",Pipeline_tbl[[#This Row],[Closed_Date]]-Pipeline_tbl[[#This Row],[Created_Date]])</f>
        <v>9</v>
      </c>
    </row>
    <row r="2097" spans="1:21" ht="15" customHeight="1" x14ac:dyDescent="0.2">
      <c r="A2097" t="s">
        <v>2403</v>
      </c>
      <c r="B2097" t="s">
        <v>235</v>
      </c>
      <c r="C2097" t="s">
        <v>56</v>
      </c>
      <c r="D2097" s="49">
        <v>45607</v>
      </c>
      <c r="E2097" s="49">
        <v>45608</v>
      </c>
      <c r="F2097" s="49">
        <v>45610</v>
      </c>
      <c r="G2097" s="49">
        <v>45614</v>
      </c>
      <c r="H2097" s="49">
        <v>45616</v>
      </c>
      <c r="I2097" s="49">
        <v>45618</v>
      </c>
      <c r="J2097" t="s">
        <v>49</v>
      </c>
      <c r="K2097" s="33">
        <v>2700</v>
      </c>
      <c r="L2097" t="s">
        <v>63</v>
      </c>
      <c r="M2097" t="str">
        <f>_xlfn.XLOOKUP(Pipeline_tbl[[#This Row],[Rep_ID]],Dim_Reps!A:A,Dim_Reps!K:K)</f>
        <v>MXN</v>
      </c>
      <c r="N2097" s="33">
        <f>(_xlfn.XLOOKUP(Pipeline_tbl[[#This Row],[Rate_Code_Generalized]],Lookups!A:A,Lookups!B:B))*Pipeline_tbl[[#This Row],[Pipeline_Amount_USD]]</f>
        <v>53278.29</v>
      </c>
      <c r="O2097" t="str">
        <f>_xlfn.XLOOKUP(Pipeline_tbl[[#This Row],[Rep_ID]],Dim_Reps!A:A,Dim_Reps!B:B)</f>
        <v>Milo Castro</v>
      </c>
      <c r="P2097" t="str">
        <f>_xlfn.XLOOKUP(Pipeline_tbl[[#This Row],[Rep_ID]],Dim_Reps!A:A,Dim_Reps!C:C)</f>
        <v>SDR / Inside Sales Rep</v>
      </c>
      <c r="Q2097" t="str">
        <f>_xlfn.XLOOKUP(Pipeline_tbl[[#This Row],[Rep_ID]],Dim_Reps!A:A,Dim_Reps!D:D)</f>
        <v>Inside Sales</v>
      </c>
      <c r="R2097" t="str">
        <f>_xlfn.XLOOKUP(Pipeline_tbl[[#This Row],[Rep_ID]],Dim_Reps!A:A,Dim_Reps!E:E)</f>
        <v>LATAM</v>
      </c>
      <c r="S2097" t="str">
        <f>_xlfn.XLOOKUP(Pipeline_tbl[[#This Row],[Created_Date]],Dim_Date!A:A,Dim_Date!H:H)</f>
        <v>Nov 2024</v>
      </c>
      <c r="T2097" t="str">
        <f>IF(Pipeline_tbl[[#This Row],[Closed_Date]]=0,"",(_xlfn.XLOOKUP(Pipeline_tbl[[#This Row],[Closed_Date]],Dim_Date!A:A,Dim_Date!H:H)))</f>
        <v>Nov 2024</v>
      </c>
      <c r="U2097">
        <f>IF(Pipeline_tbl[[#This Row],[Closed_Date]]=0,"",Pipeline_tbl[[#This Row],[Closed_Date]]-Pipeline_tbl[[#This Row],[Created_Date]])</f>
        <v>11</v>
      </c>
    </row>
    <row r="2098" spans="1:21" ht="15" customHeight="1" x14ac:dyDescent="0.2">
      <c r="A2098" t="s">
        <v>2404</v>
      </c>
      <c r="B2098" t="s">
        <v>237</v>
      </c>
      <c r="C2098" t="s">
        <v>52</v>
      </c>
      <c r="D2098" s="49">
        <v>45606</v>
      </c>
      <c r="E2098" s="49">
        <v>45608</v>
      </c>
      <c r="F2098" s="49">
        <v>45612</v>
      </c>
      <c r="G2098" s="49">
        <v>45617</v>
      </c>
      <c r="H2098" s="49">
        <v>45622</v>
      </c>
      <c r="I2098" s="49">
        <v>45625</v>
      </c>
      <c r="J2098" t="s">
        <v>47</v>
      </c>
      <c r="K2098" s="33">
        <v>2500</v>
      </c>
      <c r="M2098" t="str">
        <f>_xlfn.XLOOKUP(Pipeline_tbl[[#This Row],[Rep_ID]],Dim_Reps!A:A,Dim_Reps!K:K)</f>
        <v>EUR</v>
      </c>
      <c r="N2098" s="33">
        <f>(_xlfn.XLOOKUP(Pipeline_tbl[[#This Row],[Rate_Code_Generalized]],Lookups!A:A,Lookups!B:B))*Pipeline_tbl[[#This Row],[Pipeline_Amount_USD]]</f>
        <v>2500</v>
      </c>
      <c r="O2098" t="str">
        <f>_xlfn.XLOOKUP(Pipeline_tbl[[#This Row],[Rep_ID]],Dim_Reps!A:A,Dim_Reps!B:B)</f>
        <v>Hugo Santos</v>
      </c>
      <c r="P2098" t="str">
        <f>_xlfn.XLOOKUP(Pipeline_tbl[[#This Row],[Rep_ID]],Dim_Reps!A:A,Dim_Reps!C:C)</f>
        <v>SDR / Inside Sales Rep</v>
      </c>
      <c r="Q2098" t="str">
        <f>_xlfn.XLOOKUP(Pipeline_tbl[[#This Row],[Rep_ID]],Dim_Reps!A:A,Dim_Reps!D:D)</f>
        <v>Inside Sales</v>
      </c>
      <c r="R2098" t="str">
        <f>_xlfn.XLOOKUP(Pipeline_tbl[[#This Row],[Rep_ID]],Dim_Reps!A:A,Dim_Reps!E:E)</f>
        <v>EMEA</v>
      </c>
      <c r="S2098" t="str">
        <f>_xlfn.XLOOKUP(Pipeline_tbl[[#This Row],[Created_Date]],Dim_Date!A:A,Dim_Date!H:H)</f>
        <v>Nov 2024</v>
      </c>
      <c r="T2098" t="str">
        <f>IF(Pipeline_tbl[[#This Row],[Closed_Date]]=0,"",(_xlfn.XLOOKUP(Pipeline_tbl[[#This Row],[Closed_Date]],Dim_Date!A:A,Dim_Date!H:H)))</f>
        <v>Nov 2024</v>
      </c>
      <c r="U2098">
        <f>IF(Pipeline_tbl[[#This Row],[Closed_Date]]=0,"",Pipeline_tbl[[#This Row],[Closed_Date]]-Pipeline_tbl[[#This Row],[Created_Date]])</f>
        <v>19</v>
      </c>
    </row>
    <row r="2099" spans="1:21" ht="15" customHeight="1" x14ac:dyDescent="0.2">
      <c r="A2099" t="s">
        <v>2405</v>
      </c>
      <c r="B2099" t="s">
        <v>237</v>
      </c>
      <c r="C2099" t="s">
        <v>52</v>
      </c>
      <c r="D2099" s="49">
        <v>45598</v>
      </c>
      <c r="E2099" s="49">
        <v>45600</v>
      </c>
      <c r="I2099" s="49">
        <v>45620</v>
      </c>
      <c r="J2099" t="s">
        <v>49</v>
      </c>
      <c r="K2099" s="33">
        <v>2000</v>
      </c>
      <c r="L2099" t="s">
        <v>61</v>
      </c>
      <c r="M2099" t="str">
        <f>_xlfn.XLOOKUP(Pipeline_tbl[[#This Row],[Rep_ID]],Dim_Reps!A:A,Dim_Reps!K:K)</f>
        <v>EUR</v>
      </c>
      <c r="N2099" s="33">
        <f>(_xlfn.XLOOKUP(Pipeline_tbl[[#This Row],[Rate_Code_Generalized]],Lookups!A:A,Lookups!B:B))*Pipeline_tbl[[#This Row],[Pipeline_Amount_USD]]</f>
        <v>2000</v>
      </c>
      <c r="O2099" t="str">
        <f>_xlfn.XLOOKUP(Pipeline_tbl[[#This Row],[Rep_ID]],Dim_Reps!A:A,Dim_Reps!B:B)</f>
        <v>Hugo Santos</v>
      </c>
      <c r="P2099" t="str">
        <f>_xlfn.XLOOKUP(Pipeline_tbl[[#This Row],[Rep_ID]],Dim_Reps!A:A,Dim_Reps!C:C)</f>
        <v>SDR / Inside Sales Rep</v>
      </c>
      <c r="Q2099" t="str">
        <f>_xlfn.XLOOKUP(Pipeline_tbl[[#This Row],[Rep_ID]],Dim_Reps!A:A,Dim_Reps!D:D)</f>
        <v>Inside Sales</v>
      </c>
      <c r="R2099" t="str">
        <f>_xlfn.XLOOKUP(Pipeline_tbl[[#This Row],[Rep_ID]],Dim_Reps!A:A,Dim_Reps!E:E)</f>
        <v>EMEA</v>
      </c>
      <c r="S2099" t="str">
        <f>_xlfn.XLOOKUP(Pipeline_tbl[[#This Row],[Created_Date]],Dim_Date!A:A,Dim_Date!H:H)</f>
        <v>Nov 2024</v>
      </c>
      <c r="T2099" t="str">
        <f>IF(Pipeline_tbl[[#This Row],[Closed_Date]]=0,"",(_xlfn.XLOOKUP(Pipeline_tbl[[#This Row],[Closed_Date]],Dim_Date!A:A,Dim_Date!H:H)))</f>
        <v>Nov 2024</v>
      </c>
      <c r="U2099">
        <f>IF(Pipeline_tbl[[#This Row],[Closed_Date]]=0,"",Pipeline_tbl[[#This Row],[Closed_Date]]-Pipeline_tbl[[#This Row],[Created_Date]])</f>
        <v>22</v>
      </c>
    </row>
    <row r="2100" spans="1:21" ht="15" customHeight="1" x14ac:dyDescent="0.2">
      <c r="A2100" t="s">
        <v>2406</v>
      </c>
      <c r="B2100" t="s">
        <v>237</v>
      </c>
      <c r="C2100" t="s">
        <v>56</v>
      </c>
      <c r="D2100" s="49">
        <v>45600</v>
      </c>
      <c r="E2100" s="49">
        <v>45602</v>
      </c>
      <c r="I2100" s="49">
        <v>45625</v>
      </c>
      <c r="J2100" t="s">
        <v>49</v>
      </c>
      <c r="K2100" s="33">
        <v>3400</v>
      </c>
      <c r="L2100" t="s">
        <v>60</v>
      </c>
      <c r="M2100" t="str">
        <f>_xlfn.XLOOKUP(Pipeline_tbl[[#This Row],[Rep_ID]],Dim_Reps!A:A,Dim_Reps!K:K)</f>
        <v>EUR</v>
      </c>
      <c r="N2100" s="33">
        <f>(_xlfn.XLOOKUP(Pipeline_tbl[[#This Row],[Rate_Code_Generalized]],Lookups!A:A,Lookups!B:B))*Pipeline_tbl[[#This Row],[Pipeline_Amount_USD]]</f>
        <v>3400</v>
      </c>
      <c r="O2100" t="str">
        <f>_xlfn.XLOOKUP(Pipeline_tbl[[#This Row],[Rep_ID]],Dim_Reps!A:A,Dim_Reps!B:B)</f>
        <v>Hugo Santos</v>
      </c>
      <c r="P2100" t="str">
        <f>_xlfn.XLOOKUP(Pipeline_tbl[[#This Row],[Rep_ID]],Dim_Reps!A:A,Dim_Reps!C:C)</f>
        <v>SDR / Inside Sales Rep</v>
      </c>
      <c r="Q2100" t="str">
        <f>_xlfn.XLOOKUP(Pipeline_tbl[[#This Row],[Rep_ID]],Dim_Reps!A:A,Dim_Reps!D:D)</f>
        <v>Inside Sales</v>
      </c>
      <c r="R2100" t="str">
        <f>_xlfn.XLOOKUP(Pipeline_tbl[[#This Row],[Rep_ID]],Dim_Reps!A:A,Dim_Reps!E:E)</f>
        <v>EMEA</v>
      </c>
      <c r="S2100" t="str">
        <f>_xlfn.XLOOKUP(Pipeline_tbl[[#This Row],[Created_Date]],Dim_Date!A:A,Dim_Date!H:H)</f>
        <v>Nov 2024</v>
      </c>
      <c r="T2100" t="str">
        <f>IF(Pipeline_tbl[[#This Row],[Closed_Date]]=0,"",(_xlfn.XLOOKUP(Pipeline_tbl[[#This Row],[Closed_Date]],Dim_Date!A:A,Dim_Date!H:H)))</f>
        <v>Nov 2024</v>
      </c>
      <c r="U2100">
        <f>IF(Pipeline_tbl[[#This Row],[Closed_Date]]=0,"",Pipeline_tbl[[#This Row],[Closed_Date]]-Pipeline_tbl[[#This Row],[Created_Date]])</f>
        <v>25</v>
      </c>
    </row>
    <row r="2101" spans="1:21" ht="15" customHeight="1" x14ac:dyDescent="0.2">
      <c r="A2101" t="s">
        <v>2407</v>
      </c>
      <c r="B2101" t="s">
        <v>237</v>
      </c>
      <c r="C2101" t="s">
        <v>52</v>
      </c>
      <c r="D2101" s="49">
        <v>45602</v>
      </c>
      <c r="E2101" s="49">
        <v>45604</v>
      </c>
      <c r="F2101" s="49">
        <v>45607</v>
      </c>
      <c r="G2101" s="49">
        <v>45611</v>
      </c>
      <c r="I2101" s="49">
        <v>45617</v>
      </c>
      <c r="J2101" t="s">
        <v>49</v>
      </c>
      <c r="K2101" s="33">
        <v>4100</v>
      </c>
      <c r="L2101" t="s">
        <v>61</v>
      </c>
      <c r="M2101" t="str">
        <f>_xlfn.XLOOKUP(Pipeline_tbl[[#This Row],[Rep_ID]],Dim_Reps!A:A,Dim_Reps!K:K)</f>
        <v>EUR</v>
      </c>
      <c r="N2101" s="33">
        <f>(_xlfn.XLOOKUP(Pipeline_tbl[[#This Row],[Rate_Code_Generalized]],Lookups!A:A,Lookups!B:B))*Pipeline_tbl[[#This Row],[Pipeline_Amount_USD]]</f>
        <v>4100</v>
      </c>
      <c r="O2101" t="str">
        <f>_xlfn.XLOOKUP(Pipeline_tbl[[#This Row],[Rep_ID]],Dim_Reps!A:A,Dim_Reps!B:B)</f>
        <v>Hugo Santos</v>
      </c>
      <c r="P2101" t="str">
        <f>_xlfn.XLOOKUP(Pipeline_tbl[[#This Row],[Rep_ID]],Dim_Reps!A:A,Dim_Reps!C:C)</f>
        <v>SDR / Inside Sales Rep</v>
      </c>
      <c r="Q2101" t="str">
        <f>_xlfn.XLOOKUP(Pipeline_tbl[[#This Row],[Rep_ID]],Dim_Reps!A:A,Dim_Reps!D:D)</f>
        <v>Inside Sales</v>
      </c>
      <c r="R2101" t="str">
        <f>_xlfn.XLOOKUP(Pipeline_tbl[[#This Row],[Rep_ID]],Dim_Reps!A:A,Dim_Reps!E:E)</f>
        <v>EMEA</v>
      </c>
      <c r="S2101" t="str">
        <f>_xlfn.XLOOKUP(Pipeline_tbl[[#This Row],[Created_Date]],Dim_Date!A:A,Dim_Date!H:H)</f>
        <v>Nov 2024</v>
      </c>
      <c r="T2101" t="str">
        <f>IF(Pipeline_tbl[[#This Row],[Closed_Date]]=0,"",(_xlfn.XLOOKUP(Pipeline_tbl[[#This Row],[Closed_Date]],Dim_Date!A:A,Dim_Date!H:H)))</f>
        <v>Nov 2024</v>
      </c>
      <c r="U2101">
        <f>IF(Pipeline_tbl[[#This Row],[Closed_Date]]=0,"",Pipeline_tbl[[#This Row],[Closed_Date]]-Pipeline_tbl[[#This Row],[Created_Date]])</f>
        <v>15</v>
      </c>
    </row>
    <row r="2102" spans="1:21" ht="15" customHeight="1" x14ac:dyDescent="0.2">
      <c r="A2102" t="s">
        <v>2408</v>
      </c>
      <c r="B2102" t="s">
        <v>237</v>
      </c>
      <c r="C2102" t="s">
        <v>52</v>
      </c>
      <c r="D2102" s="49">
        <v>45598</v>
      </c>
      <c r="E2102" s="49">
        <v>45600</v>
      </c>
      <c r="F2102" s="49">
        <v>45603</v>
      </c>
      <c r="G2102" s="49">
        <v>45608</v>
      </c>
      <c r="H2102" s="49">
        <v>45612</v>
      </c>
      <c r="I2102" s="49">
        <v>45614</v>
      </c>
      <c r="J2102" t="s">
        <v>47</v>
      </c>
      <c r="K2102" s="33">
        <v>7300</v>
      </c>
      <c r="M2102" t="str">
        <f>_xlfn.XLOOKUP(Pipeline_tbl[[#This Row],[Rep_ID]],Dim_Reps!A:A,Dim_Reps!K:K)</f>
        <v>EUR</v>
      </c>
      <c r="N2102" s="33">
        <f>(_xlfn.XLOOKUP(Pipeline_tbl[[#This Row],[Rate_Code_Generalized]],Lookups!A:A,Lookups!B:B))*Pipeline_tbl[[#This Row],[Pipeline_Amount_USD]]</f>
        <v>7300</v>
      </c>
      <c r="O2102" t="str">
        <f>_xlfn.XLOOKUP(Pipeline_tbl[[#This Row],[Rep_ID]],Dim_Reps!A:A,Dim_Reps!B:B)</f>
        <v>Hugo Santos</v>
      </c>
      <c r="P2102" t="str">
        <f>_xlfn.XLOOKUP(Pipeline_tbl[[#This Row],[Rep_ID]],Dim_Reps!A:A,Dim_Reps!C:C)</f>
        <v>SDR / Inside Sales Rep</v>
      </c>
      <c r="Q2102" t="str">
        <f>_xlfn.XLOOKUP(Pipeline_tbl[[#This Row],[Rep_ID]],Dim_Reps!A:A,Dim_Reps!D:D)</f>
        <v>Inside Sales</v>
      </c>
      <c r="R2102" t="str">
        <f>_xlfn.XLOOKUP(Pipeline_tbl[[#This Row],[Rep_ID]],Dim_Reps!A:A,Dim_Reps!E:E)</f>
        <v>EMEA</v>
      </c>
      <c r="S2102" t="str">
        <f>_xlfn.XLOOKUP(Pipeline_tbl[[#This Row],[Created_Date]],Dim_Date!A:A,Dim_Date!H:H)</f>
        <v>Nov 2024</v>
      </c>
      <c r="T2102" t="str">
        <f>IF(Pipeline_tbl[[#This Row],[Closed_Date]]=0,"",(_xlfn.XLOOKUP(Pipeline_tbl[[#This Row],[Closed_Date]],Dim_Date!A:A,Dim_Date!H:H)))</f>
        <v>Nov 2024</v>
      </c>
      <c r="U2102">
        <f>IF(Pipeline_tbl[[#This Row],[Closed_Date]]=0,"",Pipeline_tbl[[#This Row],[Closed_Date]]-Pipeline_tbl[[#This Row],[Created_Date]])</f>
        <v>16</v>
      </c>
    </row>
    <row r="2103" spans="1:21" ht="15" customHeight="1" x14ac:dyDescent="0.2">
      <c r="A2103" t="s">
        <v>2409</v>
      </c>
      <c r="B2103" t="s">
        <v>237</v>
      </c>
      <c r="C2103" t="s">
        <v>52</v>
      </c>
      <c r="D2103" s="49">
        <v>45606</v>
      </c>
      <c r="E2103" s="49">
        <v>45607</v>
      </c>
      <c r="F2103" s="49">
        <v>45609</v>
      </c>
      <c r="I2103" s="49">
        <v>45616</v>
      </c>
      <c r="J2103" t="s">
        <v>49</v>
      </c>
      <c r="K2103" s="33">
        <v>3300</v>
      </c>
      <c r="L2103" t="s">
        <v>60</v>
      </c>
      <c r="M2103" t="str">
        <f>_xlfn.XLOOKUP(Pipeline_tbl[[#This Row],[Rep_ID]],Dim_Reps!A:A,Dim_Reps!K:K)</f>
        <v>EUR</v>
      </c>
      <c r="N2103" s="33">
        <f>(_xlfn.XLOOKUP(Pipeline_tbl[[#This Row],[Rate_Code_Generalized]],Lookups!A:A,Lookups!B:B))*Pipeline_tbl[[#This Row],[Pipeline_Amount_USD]]</f>
        <v>3300</v>
      </c>
      <c r="O2103" t="str">
        <f>_xlfn.XLOOKUP(Pipeline_tbl[[#This Row],[Rep_ID]],Dim_Reps!A:A,Dim_Reps!B:B)</f>
        <v>Hugo Santos</v>
      </c>
      <c r="P2103" t="str">
        <f>_xlfn.XLOOKUP(Pipeline_tbl[[#This Row],[Rep_ID]],Dim_Reps!A:A,Dim_Reps!C:C)</f>
        <v>SDR / Inside Sales Rep</v>
      </c>
      <c r="Q2103" t="str">
        <f>_xlfn.XLOOKUP(Pipeline_tbl[[#This Row],[Rep_ID]],Dim_Reps!A:A,Dim_Reps!D:D)</f>
        <v>Inside Sales</v>
      </c>
      <c r="R2103" t="str">
        <f>_xlfn.XLOOKUP(Pipeline_tbl[[#This Row],[Rep_ID]],Dim_Reps!A:A,Dim_Reps!E:E)</f>
        <v>EMEA</v>
      </c>
      <c r="S2103" t="str">
        <f>_xlfn.XLOOKUP(Pipeline_tbl[[#This Row],[Created_Date]],Dim_Date!A:A,Dim_Date!H:H)</f>
        <v>Nov 2024</v>
      </c>
      <c r="T2103" t="str">
        <f>IF(Pipeline_tbl[[#This Row],[Closed_Date]]=0,"",(_xlfn.XLOOKUP(Pipeline_tbl[[#This Row],[Closed_Date]],Dim_Date!A:A,Dim_Date!H:H)))</f>
        <v>Nov 2024</v>
      </c>
      <c r="U2103">
        <f>IF(Pipeline_tbl[[#This Row],[Closed_Date]]=0,"",Pipeline_tbl[[#This Row],[Closed_Date]]-Pipeline_tbl[[#This Row],[Created_Date]])</f>
        <v>10</v>
      </c>
    </row>
    <row r="2104" spans="1:21" ht="15" customHeight="1" x14ac:dyDescent="0.2">
      <c r="A2104" t="s">
        <v>2410</v>
      </c>
      <c r="B2104" t="s">
        <v>237</v>
      </c>
      <c r="C2104" t="s">
        <v>54</v>
      </c>
      <c r="D2104" s="49">
        <v>45608</v>
      </c>
      <c r="E2104" s="49">
        <v>45610</v>
      </c>
      <c r="F2104" s="49">
        <v>45613</v>
      </c>
      <c r="G2104" s="49">
        <v>45618</v>
      </c>
      <c r="H2104" s="49">
        <v>45622</v>
      </c>
      <c r="I2104" s="49">
        <v>45624</v>
      </c>
      <c r="J2104" t="s">
        <v>47</v>
      </c>
      <c r="K2104" s="33">
        <v>2700</v>
      </c>
      <c r="M2104" t="str">
        <f>_xlfn.XLOOKUP(Pipeline_tbl[[#This Row],[Rep_ID]],Dim_Reps!A:A,Dim_Reps!K:K)</f>
        <v>EUR</v>
      </c>
      <c r="N2104" s="33">
        <f>(_xlfn.XLOOKUP(Pipeline_tbl[[#This Row],[Rate_Code_Generalized]],Lookups!A:A,Lookups!B:B))*Pipeline_tbl[[#This Row],[Pipeline_Amount_USD]]</f>
        <v>2700</v>
      </c>
      <c r="O2104" t="str">
        <f>_xlfn.XLOOKUP(Pipeline_tbl[[#This Row],[Rep_ID]],Dim_Reps!A:A,Dim_Reps!B:B)</f>
        <v>Hugo Santos</v>
      </c>
      <c r="P2104" t="str">
        <f>_xlfn.XLOOKUP(Pipeline_tbl[[#This Row],[Rep_ID]],Dim_Reps!A:A,Dim_Reps!C:C)</f>
        <v>SDR / Inside Sales Rep</v>
      </c>
      <c r="Q2104" t="str">
        <f>_xlfn.XLOOKUP(Pipeline_tbl[[#This Row],[Rep_ID]],Dim_Reps!A:A,Dim_Reps!D:D)</f>
        <v>Inside Sales</v>
      </c>
      <c r="R2104" t="str">
        <f>_xlfn.XLOOKUP(Pipeline_tbl[[#This Row],[Rep_ID]],Dim_Reps!A:A,Dim_Reps!E:E)</f>
        <v>EMEA</v>
      </c>
      <c r="S2104" t="str">
        <f>_xlfn.XLOOKUP(Pipeline_tbl[[#This Row],[Created_Date]],Dim_Date!A:A,Dim_Date!H:H)</f>
        <v>Nov 2024</v>
      </c>
      <c r="T2104" t="str">
        <f>IF(Pipeline_tbl[[#This Row],[Closed_Date]]=0,"",(_xlfn.XLOOKUP(Pipeline_tbl[[#This Row],[Closed_Date]],Dim_Date!A:A,Dim_Date!H:H)))</f>
        <v>Nov 2024</v>
      </c>
      <c r="U2104">
        <f>IF(Pipeline_tbl[[#This Row],[Closed_Date]]=0,"",Pipeline_tbl[[#This Row],[Closed_Date]]-Pipeline_tbl[[#This Row],[Created_Date]])</f>
        <v>16</v>
      </c>
    </row>
    <row r="2105" spans="1:21" ht="15" customHeight="1" x14ac:dyDescent="0.2">
      <c r="A2105" t="s">
        <v>2411</v>
      </c>
      <c r="B2105" t="s">
        <v>269</v>
      </c>
      <c r="C2105" t="s">
        <v>52</v>
      </c>
      <c r="D2105" s="49">
        <v>45598</v>
      </c>
      <c r="E2105" s="49">
        <v>45600</v>
      </c>
      <c r="F2105" s="49">
        <v>45605</v>
      </c>
      <c r="G2105" s="49">
        <v>45612</v>
      </c>
      <c r="I2105" s="49">
        <v>45621</v>
      </c>
      <c r="J2105" t="s">
        <v>49</v>
      </c>
      <c r="K2105" s="33">
        <v>16400</v>
      </c>
      <c r="L2105" t="s">
        <v>63</v>
      </c>
      <c r="M2105" t="str">
        <f>_xlfn.XLOOKUP(Pipeline_tbl[[#This Row],[Rep_ID]],Dim_Reps!A:A,Dim_Reps!K:K)</f>
        <v>USD</v>
      </c>
      <c r="N2105" s="33">
        <f>(_xlfn.XLOOKUP(Pipeline_tbl[[#This Row],[Rate_Code_Generalized]],Lookups!A:A,Lookups!B:B))*Pipeline_tbl[[#This Row],[Pipeline_Amount_USD]]</f>
        <v>19094.519999999997</v>
      </c>
      <c r="O2105" t="str">
        <f>_xlfn.XLOOKUP(Pipeline_tbl[[#This Row],[Rep_ID]],Dim_Reps!A:A,Dim_Reps!B:B)</f>
        <v>Morgan Rivera</v>
      </c>
      <c r="P2105" t="str">
        <f>_xlfn.XLOOKUP(Pipeline_tbl[[#This Row],[Rep_ID]],Dim_Reps!A:A,Dim_Reps!C:C)</f>
        <v>Mid-Market AE</v>
      </c>
      <c r="Q2105" t="str">
        <f>_xlfn.XLOOKUP(Pipeline_tbl[[#This Row],[Rep_ID]],Dim_Reps!A:A,Dim_Reps!D:D)</f>
        <v>Mid-Market</v>
      </c>
      <c r="R2105" t="str">
        <f>_xlfn.XLOOKUP(Pipeline_tbl[[#This Row],[Rep_ID]],Dim_Reps!A:A,Dim_Reps!E:E)</f>
        <v>NAMER</v>
      </c>
      <c r="S2105" t="str">
        <f>_xlfn.XLOOKUP(Pipeline_tbl[[#This Row],[Created_Date]],Dim_Date!A:A,Dim_Date!H:H)</f>
        <v>Nov 2024</v>
      </c>
      <c r="T2105" t="str">
        <f>IF(Pipeline_tbl[[#This Row],[Closed_Date]]=0,"",(_xlfn.XLOOKUP(Pipeline_tbl[[#This Row],[Closed_Date]],Dim_Date!A:A,Dim_Date!H:H)))</f>
        <v>Nov 2024</v>
      </c>
      <c r="U2105">
        <f>IF(Pipeline_tbl[[#This Row],[Closed_Date]]=0,"",Pipeline_tbl[[#This Row],[Closed_Date]]-Pipeline_tbl[[#This Row],[Created_Date]])</f>
        <v>23</v>
      </c>
    </row>
    <row r="2106" spans="1:21" ht="15" customHeight="1" x14ac:dyDescent="0.2">
      <c r="A2106" t="s">
        <v>2412</v>
      </c>
      <c r="B2106" t="s">
        <v>241</v>
      </c>
      <c r="C2106" t="s">
        <v>53</v>
      </c>
      <c r="D2106" s="49">
        <v>45600</v>
      </c>
      <c r="E2106" s="49">
        <v>45602</v>
      </c>
      <c r="F2106" s="49">
        <v>45607</v>
      </c>
      <c r="I2106" s="49">
        <v>45622</v>
      </c>
      <c r="J2106" t="s">
        <v>49</v>
      </c>
      <c r="K2106" s="33">
        <v>2800</v>
      </c>
      <c r="L2106" t="s">
        <v>62</v>
      </c>
      <c r="M2106" t="str">
        <f>_xlfn.XLOOKUP(Pipeline_tbl[[#This Row],[Rep_ID]],Dim_Reps!A:A,Dim_Reps!K:K)</f>
        <v>EUR</v>
      </c>
      <c r="N2106" s="33">
        <f>(_xlfn.XLOOKUP(Pipeline_tbl[[#This Row],[Rate_Code_Generalized]],Lookups!A:A,Lookups!B:B))*Pipeline_tbl[[#This Row],[Pipeline_Amount_USD]]</f>
        <v>2800</v>
      </c>
      <c r="O2106" t="str">
        <f>_xlfn.XLOOKUP(Pipeline_tbl[[#This Row],[Rep_ID]],Dim_Reps!A:A,Dim_Reps!B:B)</f>
        <v>Kenji Weber</v>
      </c>
      <c r="P2106" t="str">
        <f>_xlfn.XLOOKUP(Pipeline_tbl[[#This Row],[Rep_ID]],Dim_Reps!A:A,Dim_Reps!C:C)</f>
        <v>SDR / Inside Sales Rep</v>
      </c>
      <c r="Q2106" t="str">
        <f>_xlfn.XLOOKUP(Pipeline_tbl[[#This Row],[Rep_ID]],Dim_Reps!A:A,Dim_Reps!D:D)</f>
        <v>Inside Sales</v>
      </c>
      <c r="R2106" t="str">
        <f>_xlfn.XLOOKUP(Pipeline_tbl[[#This Row],[Rep_ID]],Dim_Reps!A:A,Dim_Reps!E:E)</f>
        <v>APAC</v>
      </c>
      <c r="S2106" t="str">
        <f>_xlfn.XLOOKUP(Pipeline_tbl[[#This Row],[Created_Date]],Dim_Date!A:A,Dim_Date!H:H)</f>
        <v>Nov 2024</v>
      </c>
      <c r="T2106" t="str">
        <f>IF(Pipeline_tbl[[#This Row],[Closed_Date]]=0,"",(_xlfn.XLOOKUP(Pipeline_tbl[[#This Row],[Closed_Date]],Dim_Date!A:A,Dim_Date!H:H)))</f>
        <v>Nov 2024</v>
      </c>
      <c r="U2106">
        <f>IF(Pipeline_tbl[[#This Row],[Closed_Date]]=0,"",Pipeline_tbl[[#This Row],[Closed_Date]]-Pipeline_tbl[[#This Row],[Created_Date]])</f>
        <v>22</v>
      </c>
    </row>
    <row r="2107" spans="1:21" ht="15" customHeight="1" x14ac:dyDescent="0.2">
      <c r="A2107" t="s">
        <v>2413</v>
      </c>
      <c r="B2107" t="s">
        <v>241</v>
      </c>
      <c r="C2107" t="s">
        <v>53</v>
      </c>
      <c r="D2107" s="49">
        <v>45606</v>
      </c>
      <c r="E2107" s="49">
        <v>45607</v>
      </c>
      <c r="F2107" s="49">
        <v>45610</v>
      </c>
      <c r="G2107" s="49">
        <v>45614</v>
      </c>
      <c r="H2107" s="49">
        <v>45618</v>
      </c>
      <c r="I2107" s="49">
        <v>45620</v>
      </c>
      <c r="J2107" t="s">
        <v>47</v>
      </c>
      <c r="K2107" s="33">
        <v>5000</v>
      </c>
      <c r="M2107" t="str">
        <f>_xlfn.XLOOKUP(Pipeline_tbl[[#This Row],[Rep_ID]],Dim_Reps!A:A,Dim_Reps!K:K)</f>
        <v>EUR</v>
      </c>
      <c r="N2107" s="33">
        <f>(_xlfn.XLOOKUP(Pipeline_tbl[[#This Row],[Rate_Code_Generalized]],Lookups!A:A,Lookups!B:B))*Pipeline_tbl[[#This Row],[Pipeline_Amount_USD]]</f>
        <v>5000</v>
      </c>
      <c r="O2107" t="str">
        <f>_xlfn.XLOOKUP(Pipeline_tbl[[#This Row],[Rep_ID]],Dim_Reps!A:A,Dim_Reps!B:B)</f>
        <v>Kenji Weber</v>
      </c>
      <c r="P2107" t="str">
        <f>_xlfn.XLOOKUP(Pipeline_tbl[[#This Row],[Rep_ID]],Dim_Reps!A:A,Dim_Reps!C:C)</f>
        <v>SDR / Inside Sales Rep</v>
      </c>
      <c r="Q2107" t="str">
        <f>_xlfn.XLOOKUP(Pipeline_tbl[[#This Row],[Rep_ID]],Dim_Reps!A:A,Dim_Reps!D:D)</f>
        <v>Inside Sales</v>
      </c>
      <c r="R2107" t="str">
        <f>_xlfn.XLOOKUP(Pipeline_tbl[[#This Row],[Rep_ID]],Dim_Reps!A:A,Dim_Reps!E:E)</f>
        <v>APAC</v>
      </c>
      <c r="S2107" t="str">
        <f>_xlfn.XLOOKUP(Pipeline_tbl[[#This Row],[Created_Date]],Dim_Date!A:A,Dim_Date!H:H)</f>
        <v>Nov 2024</v>
      </c>
      <c r="T2107" t="str">
        <f>IF(Pipeline_tbl[[#This Row],[Closed_Date]]=0,"",(_xlfn.XLOOKUP(Pipeline_tbl[[#This Row],[Closed_Date]],Dim_Date!A:A,Dim_Date!H:H)))</f>
        <v>Nov 2024</v>
      </c>
      <c r="U2107">
        <f>IF(Pipeline_tbl[[#This Row],[Closed_Date]]=0,"",Pipeline_tbl[[#This Row],[Closed_Date]]-Pipeline_tbl[[#This Row],[Created_Date]])</f>
        <v>14</v>
      </c>
    </row>
    <row r="2108" spans="1:21" ht="15" customHeight="1" x14ac:dyDescent="0.2">
      <c r="A2108" t="s">
        <v>2414</v>
      </c>
      <c r="B2108" t="s">
        <v>241</v>
      </c>
      <c r="C2108" t="s">
        <v>52</v>
      </c>
      <c r="D2108" s="49">
        <v>45606</v>
      </c>
      <c r="E2108" s="49">
        <v>45607</v>
      </c>
      <c r="F2108" s="49">
        <v>45610</v>
      </c>
      <c r="I2108" s="49">
        <v>45619</v>
      </c>
      <c r="J2108" t="s">
        <v>49</v>
      </c>
      <c r="K2108" s="33">
        <v>2900</v>
      </c>
      <c r="L2108" t="s">
        <v>62</v>
      </c>
      <c r="M2108" t="str">
        <f>_xlfn.XLOOKUP(Pipeline_tbl[[#This Row],[Rep_ID]],Dim_Reps!A:A,Dim_Reps!K:K)</f>
        <v>EUR</v>
      </c>
      <c r="N2108" s="33">
        <f>(_xlfn.XLOOKUP(Pipeline_tbl[[#This Row],[Rate_Code_Generalized]],Lookups!A:A,Lookups!B:B))*Pipeline_tbl[[#This Row],[Pipeline_Amount_USD]]</f>
        <v>2900</v>
      </c>
      <c r="O2108" t="str">
        <f>_xlfn.XLOOKUP(Pipeline_tbl[[#This Row],[Rep_ID]],Dim_Reps!A:A,Dim_Reps!B:B)</f>
        <v>Kenji Weber</v>
      </c>
      <c r="P2108" t="str">
        <f>_xlfn.XLOOKUP(Pipeline_tbl[[#This Row],[Rep_ID]],Dim_Reps!A:A,Dim_Reps!C:C)</f>
        <v>SDR / Inside Sales Rep</v>
      </c>
      <c r="Q2108" t="str">
        <f>_xlfn.XLOOKUP(Pipeline_tbl[[#This Row],[Rep_ID]],Dim_Reps!A:A,Dim_Reps!D:D)</f>
        <v>Inside Sales</v>
      </c>
      <c r="R2108" t="str">
        <f>_xlfn.XLOOKUP(Pipeline_tbl[[#This Row],[Rep_ID]],Dim_Reps!A:A,Dim_Reps!E:E)</f>
        <v>APAC</v>
      </c>
      <c r="S2108" t="str">
        <f>_xlfn.XLOOKUP(Pipeline_tbl[[#This Row],[Created_Date]],Dim_Date!A:A,Dim_Date!H:H)</f>
        <v>Nov 2024</v>
      </c>
      <c r="T2108" t="str">
        <f>IF(Pipeline_tbl[[#This Row],[Closed_Date]]=0,"",(_xlfn.XLOOKUP(Pipeline_tbl[[#This Row],[Closed_Date]],Dim_Date!A:A,Dim_Date!H:H)))</f>
        <v>Nov 2024</v>
      </c>
      <c r="U2108">
        <f>IF(Pipeline_tbl[[#This Row],[Closed_Date]]=0,"",Pipeline_tbl[[#This Row],[Closed_Date]]-Pipeline_tbl[[#This Row],[Created_Date]])</f>
        <v>13</v>
      </c>
    </row>
    <row r="2109" spans="1:21" ht="15" customHeight="1" x14ac:dyDescent="0.2">
      <c r="A2109" t="s">
        <v>2415</v>
      </c>
      <c r="B2109" t="s">
        <v>241</v>
      </c>
      <c r="C2109" t="s">
        <v>56</v>
      </c>
      <c r="D2109" s="49">
        <v>45599</v>
      </c>
      <c r="E2109" s="49">
        <v>45600</v>
      </c>
      <c r="F2109" s="49">
        <v>45602</v>
      </c>
      <c r="I2109" s="49">
        <v>45610</v>
      </c>
      <c r="J2109" t="s">
        <v>49</v>
      </c>
      <c r="K2109" s="33">
        <v>3900</v>
      </c>
      <c r="L2109" t="s">
        <v>60</v>
      </c>
      <c r="M2109" t="str">
        <f>_xlfn.XLOOKUP(Pipeline_tbl[[#This Row],[Rep_ID]],Dim_Reps!A:A,Dim_Reps!K:K)</f>
        <v>EUR</v>
      </c>
      <c r="N2109" s="33">
        <f>(_xlfn.XLOOKUP(Pipeline_tbl[[#This Row],[Rate_Code_Generalized]],Lookups!A:A,Lookups!B:B))*Pipeline_tbl[[#This Row],[Pipeline_Amount_USD]]</f>
        <v>3900</v>
      </c>
      <c r="O2109" t="str">
        <f>_xlfn.XLOOKUP(Pipeline_tbl[[#This Row],[Rep_ID]],Dim_Reps!A:A,Dim_Reps!B:B)</f>
        <v>Kenji Weber</v>
      </c>
      <c r="P2109" t="str">
        <f>_xlfn.XLOOKUP(Pipeline_tbl[[#This Row],[Rep_ID]],Dim_Reps!A:A,Dim_Reps!C:C)</f>
        <v>SDR / Inside Sales Rep</v>
      </c>
      <c r="Q2109" t="str">
        <f>_xlfn.XLOOKUP(Pipeline_tbl[[#This Row],[Rep_ID]],Dim_Reps!A:A,Dim_Reps!D:D)</f>
        <v>Inside Sales</v>
      </c>
      <c r="R2109" t="str">
        <f>_xlfn.XLOOKUP(Pipeline_tbl[[#This Row],[Rep_ID]],Dim_Reps!A:A,Dim_Reps!E:E)</f>
        <v>APAC</v>
      </c>
      <c r="S2109" t="str">
        <f>_xlfn.XLOOKUP(Pipeline_tbl[[#This Row],[Created_Date]],Dim_Date!A:A,Dim_Date!H:H)</f>
        <v>Nov 2024</v>
      </c>
      <c r="T2109" t="str">
        <f>IF(Pipeline_tbl[[#This Row],[Closed_Date]]=0,"",(_xlfn.XLOOKUP(Pipeline_tbl[[#This Row],[Closed_Date]],Dim_Date!A:A,Dim_Date!H:H)))</f>
        <v>Nov 2024</v>
      </c>
      <c r="U2109">
        <f>IF(Pipeline_tbl[[#This Row],[Closed_Date]]=0,"",Pipeline_tbl[[#This Row],[Closed_Date]]-Pipeline_tbl[[#This Row],[Created_Date]])</f>
        <v>11</v>
      </c>
    </row>
    <row r="2110" spans="1:21" ht="15" customHeight="1" x14ac:dyDescent="0.2">
      <c r="A2110" t="s">
        <v>2416</v>
      </c>
      <c r="B2110" t="s">
        <v>241</v>
      </c>
      <c r="C2110" t="s">
        <v>53</v>
      </c>
      <c r="D2110" s="49">
        <v>45609</v>
      </c>
      <c r="E2110" s="49">
        <v>45611</v>
      </c>
      <c r="F2110" s="49">
        <v>45614</v>
      </c>
      <c r="G2110" s="49">
        <v>45618</v>
      </c>
      <c r="H2110" s="49">
        <v>45622</v>
      </c>
      <c r="I2110" s="49">
        <v>45624</v>
      </c>
      <c r="J2110" t="s">
        <v>47</v>
      </c>
      <c r="K2110" s="33">
        <v>2500</v>
      </c>
      <c r="M2110" t="str">
        <f>_xlfn.XLOOKUP(Pipeline_tbl[[#This Row],[Rep_ID]],Dim_Reps!A:A,Dim_Reps!K:K)</f>
        <v>EUR</v>
      </c>
      <c r="N2110" s="33">
        <f>(_xlfn.XLOOKUP(Pipeline_tbl[[#This Row],[Rate_Code_Generalized]],Lookups!A:A,Lookups!B:B))*Pipeline_tbl[[#This Row],[Pipeline_Amount_USD]]</f>
        <v>2500</v>
      </c>
      <c r="O2110" t="str">
        <f>_xlfn.XLOOKUP(Pipeline_tbl[[#This Row],[Rep_ID]],Dim_Reps!A:A,Dim_Reps!B:B)</f>
        <v>Kenji Weber</v>
      </c>
      <c r="P2110" t="str">
        <f>_xlfn.XLOOKUP(Pipeline_tbl[[#This Row],[Rep_ID]],Dim_Reps!A:A,Dim_Reps!C:C)</f>
        <v>SDR / Inside Sales Rep</v>
      </c>
      <c r="Q2110" t="str">
        <f>_xlfn.XLOOKUP(Pipeline_tbl[[#This Row],[Rep_ID]],Dim_Reps!A:A,Dim_Reps!D:D)</f>
        <v>Inside Sales</v>
      </c>
      <c r="R2110" t="str">
        <f>_xlfn.XLOOKUP(Pipeline_tbl[[#This Row],[Rep_ID]],Dim_Reps!A:A,Dim_Reps!E:E)</f>
        <v>APAC</v>
      </c>
      <c r="S2110" t="str">
        <f>_xlfn.XLOOKUP(Pipeline_tbl[[#This Row],[Created_Date]],Dim_Date!A:A,Dim_Date!H:H)</f>
        <v>Nov 2024</v>
      </c>
      <c r="T2110" t="str">
        <f>IF(Pipeline_tbl[[#This Row],[Closed_Date]]=0,"",(_xlfn.XLOOKUP(Pipeline_tbl[[#This Row],[Closed_Date]],Dim_Date!A:A,Dim_Date!H:H)))</f>
        <v>Nov 2024</v>
      </c>
      <c r="U2110">
        <f>IF(Pipeline_tbl[[#This Row],[Closed_Date]]=0,"",Pipeline_tbl[[#This Row],[Closed_Date]]-Pipeline_tbl[[#This Row],[Created_Date]])</f>
        <v>15</v>
      </c>
    </row>
    <row r="2111" spans="1:21" ht="15" customHeight="1" x14ac:dyDescent="0.2">
      <c r="A2111" t="s">
        <v>2417</v>
      </c>
      <c r="B2111" t="s">
        <v>241</v>
      </c>
      <c r="C2111" t="s">
        <v>52</v>
      </c>
      <c r="D2111" s="49">
        <v>45597</v>
      </c>
      <c r="E2111" s="49">
        <v>45600</v>
      </c>
      <c r="F2111" s="49">
        <v>45605</v>
      </c>
      <c r="G2111" s="49">
        <v>45613</v>
      </c>
      <c r="H2111" s="49">
        <v>45620</v>
      </c>
      <c r="I2111" s="49">
        <v>45624</v>
      </c>
      <c r="J2111" t="s">
        <v>49</v>
      </c>
      <c r="K2111" s="33">
        <v>3900</v>
      </c>
      <c r="L2111" t="s">
        <v>63</v>
      </c>
      <c r="M2111" t="str">
        <f>_xlfn.XLOOKUP(Pipeline_tbl[[#This Row],[Rep_ID]],Dim_Reps!A:A,Dim_Reps!K:K)</f>
        <v>EUR</v>
      </c>
      <c r="N2111" s="33">
        <f>(_xlfn.XLOOKUP(Pipeline_tbl[[#This Row],[Rate_Code_Generalized]],Lookups!A:A,Lookups!B:B))*Pipeline_tbl[[#This Row],[Pipeline_Amount_USD]]</f>
        <v>3900</v>
      </c>
      <c r="O2111" t="str">
        <f>_xlfn.XLOOKUP(Pipeline_tbl[[#This Row],[Rep_ID]],Dim_Reps!A:A,Dim_Reps!B:B)</f>
        <v>Kenji Weber</v>
      </c>
      <c r="P2111" t="str">
        <f>_xlfn.XLOOKUP(Pipeline_tbl[[#This Row],[Rep_ID]],Dim_Reps!A:A,Dim_Reps!C:C)</f>
        <v>SDR / Inside Sales Rep</v>
      </c>
      <c r="Q2111" t="str">
        <f>_xlfn.XLOOKUP(Pipeline_tbl[[#This Row],[Rep_ID]],Dim_Reps!A:A,Dim_Reps!D:D)</f>
        <v>Inside Sales</v>
      </c>
      <c r="R2111" t="str">
        <f>_xlfn.XLOOKUP(Pipeline_tbl[[#This Row],[Rep_ID]],Dim_Reps!A:A,Dim_Reps!E:E)</f>
        <v>APAC</v>
      </c>
      <c r="S2111" t="str">
        <f>_xlfn.XLOOKUP(Pipeline_tbl[[#This Row],[Created_Date]],Dim_Date!A:A,Dim_Date!H:H)</f>
        <v>Nov 2024</v>
      </c>
      <c r="T2111" t="str">
        <f>IF(Pipeline_tbl[[#This Row],[Closed_Date]]=0,"",(_xlfn.XLOOKUP(Pipeline_tbl[[#This Row],[Closed_Date]],Dim_Date!A:A,Dim_Date!H:H)))</f>
        <v>Nov 2024</v>
      </c>
      <c r="U2111">
        <f>IF(Pipeline_tbl[[#This Row],[Closed_Date]]=0,"",Pipeline_tbl[[#This Row],[Closed_Date]]-Pipeline_tbl[[#This Row],[Created_Date]])</f>
        <v>27</v>
      </c>
    </row>
    <row r="2112" spans="1:21" ht="15" customHeight="1" x14ac:dyDescent="0.2">
      <c r="A2112" t="s">
        <v>2418</v>
      </c>
      <c r="B2112" t="s">
        <v>177</v>
      </c>
      <c r="C2112" t="s">
        <v>52</v>
      </c>
      <c r="D2112" s="49">
        <v>45788</v>
      </c>
      <c r="E2112" s="49">
        <v>45798</v>
      </c>
      <c r="F2112" s="49">
        <v>45818</v>
      </c>
      <c r="G2112" s="49">
        <v>45848</v>
      </c>
      <c r="H2112" s="49">
        <v>45873</v>
      </c>
      <c r="I2112" s="49">
        <v>45888</v>
      </c>
      <c r="J2112" t="s">
        <v>47</v>
      </c>
      <c r="K2112" s="33">
        <v>22000</v>
      </c>
      <c r="M2112" t="str">
        <f>_xlfn.XLOOKUP(Pipeline_tbl[[#This Row],[Rep_ID]],Dim_Reps!A:A,Dim_Reps!K:K)</f>
        <v>USD</v>
      </c>
      <c r="N2112" s="33">
        <f>(_xlfn.XLOOKUP(Pipeline_tbl[[#This Row],[Rate_Code_Generalized]],Lookups!A:A,Lookups!B:B))*Pipeline_tbl[[#This Row],[Pipeline_Amount_USD]]</f>
        <v>25614.6</v>
      </c>
      <c r="O2112" t="str">
        <f>_xlfn.XLOOKUP(Pipeline_tbl[[#This Row],[Rep_ID]],Dim_Reps!A:A,Dim_Reps!B:B)</f>
        <v>Lucas Cohen</v>
      </c>
      <c r="P2112" t="str">
        <f>_xlfn.XLOOKUP(Pipeline_tbl[[#This Row],[Rep_ID]],Dim_Reps!A:A,Dim_Reps!C:C)</f>
        <v>Enterprise AE</v>
      </c>
      <c r="Q2112" t="str">
        <f>_xlfn.XLOOKUP(Pipeline_tbl[[#This Row],[Rep_ID]],Dim_Reps!A:A,Dim_Reps!D:D)</f>
        <v>Enterprise</v>
      </c>
      <c r="R2112" t="str">
        <f>_xlfn.XLOOKUP(Pipeline_tbl[[#This Row],[Rep_ID]],Dim_Reps!A:A,Dim_Reps!E:E)</f>
        <v>NAMER</v>
      </c>
      <c r="S2112" t="str">
        <f>_xlfn.XLOOKUP(Pipeline_tbl[[#This Row],[Created_Date]],Dim_Date!A:A,Dim_Date!H:H)</f>
        <v>May 2025</v>
      </c>
      <c r="T2112" t="str">
        <f>IF(Pipeline_tbl[[#This Row],[Closed_Date]]=0,"",(_xlfn.XLOOKUP(Pipeline_tbl[[#This Row],[Closed_Date]],Dim_Date!A:A,Dim_Date!H:H)))</f>
        <v>Aug 2025</v>
      </c>
      <c r="U2112">
        <f>IF(Pipeline_tbl[[#This Row],[Closed_Date]]=0,"",Pipeline_tbl[[#This Row],[Closed_Date]]-Pipeline_tbl[[#This Row],[Created_Date]])</f>
        <v>100</v>
      </c>
    </row>
    <row r="2113" spans="1:21" ht="15" customHeight="1" x14ac:dyDescent="0.2">
      <c r="A2113" t="s">
        <v>2419</v>
      </c>
      <c r="B2113" t="s">
        <v>177</v>
      </c>
      <c r="C2113" t="s">
        <v>52</v>
      </c>
      <c r="D2113" s="49">
        <v>45800</v>
      </c>
      <c r="E2113" s="49">
        <v>45809</v>
      </c>
      <c r="I2113" s="49">
        <v>45887</v>
      </c>
      <c r="J2113" t="s">
        <v>49</v>
      </c>
      <c r="K2113" s="33">
        <v>29500</v>
      </c>
      <c r="L2113" t="s">
        <v>61</v>
      </c>
      <c r="M2113" t="str">
        <f>_xlfn.XLOOKUP(Pipeline_tbl[[#This Row],[Rep_ID]],Dim_Reps!A:A,Dim_Reps!K:K)</f>
        <v>USD</v>
      </c>
      <c r="N2113" s="33">
        <f>(_xlfn.XLOOKUP(Pipeline_tbl[[#This Row],[Rate_Code_Generalized]],Lookups!A:A,Lookups!B:B))*Pipeline_tbl[[#This Row],[Pipeline_Amount_USD]]</f>
        <v>34346.85</v>
      </c>
      <c r="O2113" t="str">
        <f>_xlfn.XLOOKUP(Pipeline_tbl[[#This Row],[Rep_ID]],Dim_Reps!A:A,Dim_Reps!B:B)</f>
        <v>Lucas Cohen</v>
      </c>
      <c r="P2113" t="str">
        <f>_xlfn.XLOOKUP(Pipeline_tbl[[#This Row],[Rep_ID]],Dim_Reps!A:A,Dim_Reps!C:C)</f>
        <v>Enterprise AE</v>
      </c>
      <c r="Q2113" t="str">
        <f>_xlfn.XLOOKUP(Pipeline_tbl[[#This Row],[Rep_ID]],Dim_Reps!A:A,Dim_Reps!D:D)</f>
        <v>Enterprise</v>
      </c>
      <c r="R2113" t="str">
        <f>_xlfn.XLOOKUP(Pipeline_tbl[[#This Row],[Rep_ID]],Dim_Reps!A:A,Dim_Reps!E:E)</f>
        <v>NAMER</v>
      </c>
      <c r="S2113" t="str">
        <f>_xlfn.XLOOKUP(Pipeline_tbl[[#This Row],[Created_Date]],Dim_Date!A:A,Dim_Date!H:H)</f>
        <v>May 2025</v>
      </c>
      <c r="T2113" t="str">
        <f>IF(Pipeline_tbl[[#This Row],[Closed_Date]]=0,"",(_xlfn.XLOOKUP(Pipeline_tbl[[#This Row],[Closed_Date]],Dim_Date!A:A,Dim_Date!H:H)))</f>
        <v>Aug 2025</v>
      </c>
      <c r="U2113">
        <f>IF(Pipeline_tbl[[#This Row],[Closed_Date]]=0,"",Pipeline_tbl[[#This Row],[Closed_Date]]-Pipeline_tbl[[#This Row],[Created_Date]])</f>
        <v>87</v>
      </c>
    </row>
    <row r="2114" spans="1:21" ht="15" customHeight="1" x14ac:dyDescent="0.2">
      <c r="A2114" t="s">
        <v>2420</v>
      </c>
      <c r="B2114" t="s">
        <v>183</v>
      </c>
      <c r="C2114" t="s">
        <v>52</v>
      </c>
      <c r="D2114" s="49">
        <v>45805</v>
      </c>
      <c r="E2114" s="49">
        <v>45812</v>
      </c>
      <c r="F2114" s="49">
        <v>45826</v>
      </c>
      <c r="G2114" s="49">
        <v>45846</v>
      </c>
      <c r="H2114" s="49">
        <v>45864</v>
      </c>
      <c r="I2114" s="49">
        <v>45874</v>
      </c>
      <c r="J2114" t="s">
        <v>47</v>
      </c>
      <c r="K2114" s="33">
        <v>42200</v>
      </c>
      <c r="M2114" t="str">
        <f>_xlfn.XLOOKUP(Pipeline_tbl[[#This Row],[Rep_ID]],Dim_Reps!A:A,Dim_Reps!K:K)</f>
        <v>EUR</v>
      </c>
      <c r="N2114" s="33">
        <f>(_xlfn.XLOOKUP(Pipeline_tbl[[#This Row],[Rate_Code_Generalized]],Lookups!A:A,Lookups!B:B))*Pipeline_tbl[[#This Row],[Pipeline_Amount_USD]]</f>
        <v>42200</v>
      </c>
      <c r="O2114" t="str">
        <f>_xlfn.XLOOKUP(Pipeline_tbl[[#This Row],[Rep_ID]],Dim_Reps!A:A,Dim_Reps!B:B)</f>
        <v>Sam Schmidt</v>
      </c>
      <c r="P2114" t="str">
        <f>_xlfn.XLOOKUP(Pipeline_tbl[[#This Row],[Rep_ID]],Dim_Reps!A:A,Dim_Reps!C:C)</f>
        <v>Enterprise AE</v>
      </c>
      <c r="Q2114" t="str">
        <f>_xlfn.XLOOKUP(Pipeline_tbl[[#This Row],[Rep_ID]],Dim_Reps!A:A,Dim_Reps!D:D)</f>
        <v>Enterprise</v>
      </c>
      <c r="R2114" t="str">
        <f>_xlfn.XLOOKUP(Pipeline_tbl[[#This Row],[Rep_ID]],Dim_Reps!A:A,Dim_Reps!E:E)</f>
        <v>EMEA</v>
      </c>
      <c r="S2114" t="str">
        <f>_xlfn.XLOOKUP(Pipeline_tbl[[#This Row],[Created_Date]],Dim_Date!A:A,Dim_Date!H:H)</f>
        <v>May 2025</v>
      </c>
      <c r="T2114" t="str">
        <f>IF(Pipeline_tbl[[#This Row],[Closed_Date]]=0,"",(_xlfn.XLOOKUP(Pipeline_tbl[[#This Row],[Closed_Date]],Dim_Date!A:A,Dim_Date!H:H)))</f>
        <v>Aug 2025</v>
      </c>
      <c r="U2114">
        <f>IF(Pipeline_tbl[[#This Row],[Closed_Date]]=0,"",Pipeline_tbl[[#This Row],[Closed_Date]]-Pipeline_tbl[[#This Row],[Created_Date]])</f>
        <v>69</v>
      </c>
    </row>
    <row r="2115" spans="1:21" ht="15" customHeight="1" x14ac:dyDescent="0.2">
      <c r="A2115" t="s">
        <v>2421</v>
      </c>
      <c r="B2115" t="s">
        <v>183</v>
      </c>
      <c r="C2115" t="s">
        <v>52</v>
      </c>
      <c r="D2115" s="49">
        <v>45805</v>
      </c>
      <c r="E2115" s="49">
        <v>45813</v>
      </c>
      <c r="I2115" s="49">
        <v>45881</v>
      </c>
      <c r="J2115" t="s">
        <v>49</v>
      </c>
      <c r="K2115" s="33">
        <v>28200</v>
      </c>
      <c r="L2115" t="s">
        <v>61</v>
      </c>
      <c r="M2115" t="str">
        <f>_xlfn.XLOOKUP(Pipeline_tbl[[#This Row],[Rep_ID]],Dim_Reps!A:A,Dim_Reps!K:K)</f>
        <v>EUR</v>
      </c>
      <c r="N2115" s="33">
        <f>(_xlfn.XLOOKUP(Pipeline_tbl[[#This Row],[Rate_Code_Generalized]],Lookups!A:A,Lookups!B:B))*Pipeline_tbl[[#This Row],[Pipeline_Amount_USD]]</f>
        <v>28200</v>
      </c>
      <c r="O2115" t="str">
        <f>_xlfn.XLOOKUP(Pipeline_tbl[[#This Row],[Rep_ID]],Dim_Reps!A:A,Dim_Reps!B:B)</f>
        <v>Sam Schmidt</v>
      </c>
      <c r="P2115" t="str">
        <f>_xlfn.XLOOKUP(Pipeline_tbl[[#This Row],[Rep_ID]],Dim_Reps!A:A,Dim_Reps!C:C)</f>
        <v>Enterprise AE</v>
      </c>
      <c r="Q2115" t="str">
        <f>_xlfn.XLOOKUP(Pipeline_tbl[[#This Row],[Rep_ID]],Dim_Reps!A:A,Dim_Reps!D:D)</f>
        <v>Enterprise</v>
      </c>
      <c r="R2115" t="str">
        <f>_xlfn.XLOOKUP(Pipeline_tbl[[#This Row],[Rep_ID]],Dim_Reps!A:A,Dim_Reps!E:E)</f>
        <v>EMEA</v>
      </c>
      <c r="S2115" t="str">
        <f>_xlfn.XLOOKUP(Pipeline_tbl[[#This Row],[Created_Date]],Dim_Date!A:A,Dim_Date!H:H)</f>
        <v>May 2025</v>
      </c>
      <c r="T2115" t="str">
        <f>IF(Pipeline_tbl[[#This Row],[Closed_Date]]=0,"",(_xlfn.XLOOKUP(Pipeline_tbl[[#This Row],[Closed_Date]],Dim_Date!A:A,Dim_Date!H:H)))</f>
        <v>Aug 2025</v>
      </c>
      <c r="U2115">
        <f>IF(Pipeline_tbl[[#This Row],[Closed_Date]]=0,"",Pipeline_tbl[[#This Row],[Closed_Date]]-Pipeline_tbl[[#This Row],[Created_Date]])</f>
        <v>76</v>
      </c>
    </row>
    <row r="2116" spans="1:21" ht="15" customHeight="1" x14ac:dyDescent="0.2">
      <c r="A2116" t="s">
        <v>2422</v>
      </c>
      <c r="B2116" t="s">
        <v>278</v>
      </c>
      <c r="C2116" t="s">
        <v>53</v>
      </c>
      <c r="D2116" s="49">
        <v>45804</v>
      </c>
      <c r="E2116" s="49">
        <v>45811</v>
      </c>
      <c r="F2116" s="49">
        <v>45826</v>
      </c>
      <c r="G2116" s="49">
        <v>45848</v>
      </c>
      <c r="H2116" s="49">
        <v>45866</v>
      </c>
      <c r="I2116" s="49">
        <v>45877</v>
      </c>
      <c r="J2116" t="s">
        <v>49</v>
      </c>
      <c r="K2116" s="33">
        <v>36300</v>
      </c>
      <c r="L2116" t="s">
        <v>61</v>
      </c>
      <c r="M2116" t="str">
        <f>_xlfn.XLOOKUP(Pipeline_tbl[[#This Row],[Rep_ID]],Dim_Reps!A:A,Dim_Reps!K:K)</f>
        <v>EUR</v>
      </c>
      <c r="N2116" s="33">
        <f>(_xlfn.XLOOKUP(Pipeline_tbl[[#This Row],[Rate_Code_Generalized]],Lookups!A:A,Lookups!B:B))*Pipeline_tbl[[#This Row],[Pipeline_Amount_USD]]</f>
        <v>36300</v>
      </c>
      <c r="O2116" t="str">
        <f>_xlfn.XLOOKUP(Pipeline_tbl[[#This Row],[Rep_ID]],Dim_Reps!A:A,Dim_Reps!B:B)</f>
        <v>Sara Andersson</v>
      </c>
      <c r="P2116" t="str">
        <f>_xlfn.XLOOKUP(Pipeline_tbl[[#This Row],[Rep_ID]],Dim_Reps!A:A,Dim_Reps!C:C)</f>
        <v>Senior Enterprise AE</v>
      </c>
      <c r="Q2116" t="str">
        <f>_xlfn.XLOOKUP(Pipeline_tbl[[#This Row],[Rep_ID]],Dim_Reps!A:A,Dim_Reps!D:D)</f>
        <v>Strategic</v>
      </c>
      <c r="R2116" t="str">
        <f>_xlfn.XLOOKUP(Pipeline_tbl[[#This Row],[Rep_ID]],Dim_Reps!A:A,Dim_Reps!E:E)</f>
        <v>APAC</v>
      </c>
      <c r="S2116" t="str">
        <f>_xlfn.XLOOKUP(Pipeline_tbl[[#This Row],[Created_Date]],Dim_Date!A:A,Dim_Date!H:H)</f>
        <v>May 2025</v>
      </c>
      <c r="T2116" t="str">
        <f>IF(Pipeline_tbl[[#This Row],[Closed_Date]]=0,"",(_xlfn.XLOOKUP(Pipeline_tbl[[#This Row],[Closed_Date]],Dim_Date!A:A,Dim_Date!H:H)))</f>
        <v>Aug 2025</v>
      </c>
      <c r="U2116">
        <f>IF(Pipeline_tbl[[#This Row],[Closed_Date]]=0,"",Pipeline_tbl[[#This Row],[Closed_Date]]-Pipeline_tbl[[#This Row],[Created_Date]])</f>
        <v>73</v>
      </c>
    </row>
    <row r="2117" spans="1:21" ht="15" customHeight="1" x14ac:dyDescent="0.2">
      <c r="A2117" t="s">
        <v>2423</v>
      </c>
      <c r="B2117" t="s">
        <v>185</v>
      </c>
      <c r="C2117" t="s">
        <v>52</v>
      </c>
      <c r="D2117" s="49">
        <v>45799</v>
      </c>
      <c r="E2117" s="49">
        <v>45806</v>
      </c>
      <c r="I2117" s="49">
        <v>45871</v>
      </c>
      <c r="J2117" t="s">
        <v>49</v>
      </c>
      <c r="K2117" s="33">
        <v>34600</v>
      </c>
      <c r="L2117" t="s">
        <v>60</v>
      </c>
      <c r="M2117" t="str">
        <f>_xlfn.XLOOKUP(Pipeline_tbl[[#This Row],[Rep_ID]],Dim_Reps!A:A,Dim_Reps!K:K)</f>
        <v>MXN</v>
      </c>
      <c r="N2117" s="33">
        <f>(_xlfn.XLOOKUP(Pipeline_tbl[[#This Row],[Rate_Code_Generalized]],Lookups!A:A,Lookups!B:B))*Pipeline_tbl[[#This Row],[Pipeline_Amount_USD]]</f>
        <v>682751.42</v>
      </c>
      <c r="O2117" t="str">
        <f>_xlfn.XLOOKUP(Pipeline_tbl[[#This Row],[Rep_ID]],Dim_Reps!A:A,Dim_Reps!B:B)</f>
        <v>Noah Kim</v>
      </c>
      <c r="P2117" t="str">
        <f>_xlfn.XLOOKUP(Pipeline_tbl[[#This Row],[Rep_ID]],Dim_Reps!A:A,Dim_Reps!C:C)</f>
        <v>Enterprise AE</v>
      </c>
      <c r="Q2117" t="str">
        <f>_xlfn.XLOOKUP(Pipeline_tbl[[#This Row],[Rep_ID]],Dim_Reps!A:A,Dim_Reps!D:D)</f>
        <v>Enterprise</v>
      </c>
      <c r="R2117" t="str">
        <f>_xlfn.XLOOKUP(Pipeline_tbl[[#This Row],[Rep_ID]],Dim_Reps!A:A,Dim_Reps!E:E)</f>
        <v>LATAM</v>
      </c>
      <c r="S2117" t="str">
        <f>_xlfn.XLOOKUP(Pipeline_tbl[[#This Row],[Created_Date]],Dim_Date!A:A,Dim_Date!H:H)</f>
        <v>May 2025</v>
      </c>
      <c r="T2117" t="str">
        <f>IF(Pipeline_tbl[[#This Row],[Closed_Date]]=0,"",(_xlfn.XLOOKUP(Pipeline_tbl[[#This Row],[Closed_Date]],Dim_Date!A:A,Dim_Date!H:H)))</f>
        <v>Aug 2025</v>
      </c>
      <c r="U2117">
        <f>IF(Pipeline_tbl[[#This Row],[Closed_Date]]=0,"",Pipeline_tbl[[#This Row],[Closed_Date]]-Pipeline_tbl[[#This Row],[Created_Date]])</f>
        <v>72</v>
      </c>
    </row>
    <row r="2118" spans="1:21" ht="15" customHeight="1" x14ac:dyDescent="0.2">
      <c r="A2118" t="s">
        <v>2424</v>
      </c>
      <c r="B2118" t="s">
        <v>188</v>
      </c>
      <c r="C2118" t="s">
        <v>54</v>
      </c>
      <c r="D2118" s="49">
        <v>45808</v>
      </c>
      <c r="E2118" s="49">
        <v>45814</v>
      </c>
      <c r="F2118" s="49">
        <v>45827</v>
      </c>
      <c r="G2118" s="49">
        <v>45846</v>
      </c>
      <c r="H2118" s="49">
        <v>45862</v>
      </c>
      <c r="I2118" s="49">
        <v>45871</v>
      </c>
      <c r="J2118" t="s">
        <v>47</v>
      </c>
      <c r="K2118" s="33">
        <v>42800</v>
      </c>
      <c r="M2118" t="str">
        <f>_xlfn.XLOOKUP(Pipeline_tbl[[#This Row],[Rep_ID]],Dim_Reps!A:A,Dim_Reps!K:K)</f>
        <v>EUR</v>
      </c>
      <c r="N2118" s="33">
        <f>(_xlfn.XLOOKUP(Pipeline_tbl[[#This Row],[Rate_Code_Generalized]],Lookups!A:A,Lookups!B:B))*Pipeline_tbl[[#This Row],[Pipeline_Amount_USD]]</f>
        <v>42800</v>
      </c>
      <c r="O2118" t="str">
        <f>_xlfn.XLOOKUP(Pipeline_tbl[[#This Row],[Rep_ID]],Dim_Reps!A:A,Dim_Reps!B:B)</f>
        <v>Jamie Santos</v>
      </c>
      <c r="P2118" t="str">
        <f>_xlfn.XLOOKUP(Pipeline_tbl[[#This Row],[Rep_ID]],Dim_Reps!A:A,Dim_Reps!C:C)</f>
        <v>Enterprise AE</v>
      </c>
      <c r="Q2118" t="str">
        <f>_xlfn.XLOOKUP(Pipeline_tbl[[#This Row],[Rep_ID]],Dim_Reps!A:A,Dim_Reps!D:D)</f>
        <v>Enterprise</v>
      </c>
      <c r="R2118" t="str">
        <f>_xlfn.XLOOKUP(Pipeline_tbl[[#This Row],[Rep_ID]],Dim_Reps!A:A,Dim_Reps!E:E)</f>
        <v>APAC</v>
      </c>
      <c r="S2118" t="str">
        <f>_xlfn.XLOOKUP(Pipeline_tbl[[#This Row],[Created_Date]],Dim_Date!A:A,Dim_Date!H:H)</f>
        <v>May 2025</v>
      </c>
      <c r="T2118" t="str">
        <f>IF(Pipeline_tbl[[#This Row],[Closed_Date]]=0,"",(_xlfn.XLOOKUP(Pipeline_tbl[[#This Row],[Closed_Date]],Dim_Date!A:A,Dim_Date!H:H)))</f>
        <v>Aug 2025</v>
      </c>
      <c r="U2118">
        <f>IF(Pipeline_tbl[[#This Row],[Closed_Date]]=0,"",Pipeline_tbl[[#This Row],[Closed_Date]]-Pipeline_tbl[[#This Row],[Created_Date]])</f>
        <v>63</v>
      </c>
    </row>
    <row r="2119" spans="1:21" ht="15" customHeight="1" x14ac:dyDescent="0.2">
      <c r="A2119" t="s">
        <v>2425</v>
      </c>
      <c r="B2119" t="s">
        <v>280</v>
      </c>
      <c r="C2119" t="s">
        <v>56</v>
      </c>
      <c r="D2119" s="49">
        <v>45789</v>
      </c>
      <c r="E2119" s="49">
        <v>45797</v>
      </c>
      <c r="F2119" s="49">
        <v>45814</v>
      </c>
      <c r="G2119" s="49">
        <v>45839</v>
      </c>
      <c r="I2119" s="49">
        <v>45872</v>
      </c>
      <c r="J2119" t="s">
        <v>49</v>
      </c>
      <c r="K2119" s="33">
        <v>70600</v>
      </c>
      <c r="L2119" t="s">
        <v>60</v>
      </c>
      <c r="M2119" t="str">
        <f>_xlfn.XLOOKUP(Pipeline_tbl[[#This Row],[Rep_ID]],Dim_Reps!A:A,Dim_Reps!K:K)</f>
        <v>MXN</v>
      </c>
      <c r="N2119" s="33">
        <f>(_xlfn.XLOOKUP(Pipeline_tbl[[#This Row],[Rate_Code_Generalized]],Lookups!A:A,Lookups!B:B))*Pipeline_tbl[[#This Row],[Pipeline_Amount_USD]]</f>
        <v>1393128.62</v>
      </c>
      <c r="O2119" t="str">
        <f>_xlfn.XLOOKUP(Pipeline_tbl[[#This Row],[Rep_ID]],Dim_Reps!A:A,Dim_Reps!B:B)</f>
        <v>Cameron Lund</v>
      </c>
      <c r="P2119" t="str">
        <f>_xlfn.XLOOKUP(Pipeline_tbl[[#This Row],[Rep_ID]],Dim_Reps!A:A,Dim_Reps!C:C)</f>
        <v>Senior Enterprise AE</v>
      </c>
      <c r="Q2119" t="str">
        <f>_xlfn.XLOOKUP(Pipeline_tbl[[#This Row],[Rep_ID]],Dim_Reps!A:A,Dim_Reps!D:D)</f>
        <v>Strategic</v>
      </c>
      <c r="R2119" t="str">
        <f>_xlfn.XLOOKUP(Pipeline_tbl[[#This Row],[Rep_ID]],Dim_Reps!A:A,Dim_Reps!E:E)</f>
        <v>LATAM</v>
      </c>
      <c r="S2119" t="str">
        <f>_xlfn.XLOOKUP(Pipeline_tbl[[#This Row],[Created_Date]],Dim_Date!A:A,Dim_Date!H:H)</f>
        <v>May 2025</v>
      </c>
      <c r="T2119" t="str">
        <f>IF(Pipeline_tbl[[#This Row],[Closed_Date]]=0,"",(_xlfn.XLOOKUP(Pipeline_tbl[[#This Row],[Closed_Date]],Dim_Date!A:A,Dim_Date!H:H)))</f>
        <v>Aug 2025</v>
      </c>
      <c r="U2119">
        <f>IF(Pipeline_tbl[[#This Row],[Closed_Date]]=0,"",Pipeline_tbl[[#This Row],[Closed_Date]]-Pipeline_tbl[[#This Row],[Created_Date]])</f>
        <v>83</v>
      </c>
    </row>
    <row r="2120" spans="1:21" ht="15" customHeight="1" x14ac:dyDescent="0.2">
      <c r="A2120" t="s">
        <v>2426</v>
      </c>
      <c r="B2120" t="s">
        <v>282</v>
      </c>
      <c r="C2120" t="s">
        <v>56</v>
      </c>
      <c r="D2120" s="49">
        <v>45798</v>
      </c>
      <c r="E2120" s="49">
        <v>45807</v>
      </c>
      <c r="F2120" s="49">
        <v>45825</v>
      </c>
      <c r="G2120" s="49">
        <v>45851</v>
      </c>
      <c r="H2120" s="49">
        <v>45874</v>
      </c>
      <c r="I2120" s="49">
        <v>45887</v>
      </c>
      <c r="J2120" t="s">
        <v>47</v>
      </c>
      <c r="K2120" s="33">
        <v>289100</v>
      </c>
      <c r="M2120" t="str">
        <f>_xlfn.XLOOKUP(Pipeline_tbl[[#This Row],[Rep_ID]],Dim_Reps!A:A,Dim_Reps!K:K)</f>
        <v>USD</v>
      </c>
      <c r="N2120" s="33">
        <f>(_xlfn.XLOOKUP(Pipeline_tbl[[#This Row],[Rate_Code_Generalized]],Lookups!A:A,Lookups!B:B))*Pipeline_tbl[[#This Row],[Pipeline_Amount_USD]]</f>
        <v>336599.12999999995</v>
      </c>
      <c r="O2120" t="str">
        <f>_xlfn.XLOOKUP(Pipeline_tbl[[#This Row],[Rep_ID]],Dim_Reps!A:A,Dim_Reps!B:B)</f>
        <v>Fatima Rossi</v>
      </c>
      <c r="P2120" t="str">
        <f>_xlfn.XLOOKUP(Pipeline_tbl[[#This Row],[Rep_ID]],Dim_Reps!A:A,Dim_Reps!C:C)</f>
        <v>Senior Enterprise AE</v>
      </c>
      <c r="Q2120" t="str">
        <f>_xlfn.XLOOKUP(Pipeline_tbl[[#This Row],[Rep_ID]],Dim_Reps!A:A,Dim_Reps!D:D)</f>
        <v>Strategic</v>
      </c>
      <c r="R2120" t="str">
        <f>_xlfn.XLOOKUP(Pipeline_tbl[[#This Row],[Rep_ID]],Dim_Reps!A:A,Dim_Reps!E:E)</f>
        <v>NAMER</v>
      </c>
      <c r="S2120" t="str">
        <f>_xlfn.XLOOKUP(Pipeline_tbl[[#This Row],[Created_Date]],Dim_Date!A:A,Dim_Date!H:H)</f>
        <v>May 2025</v>
      </c>
      <c r="T2120" t="str">
        <f>IF(Pipeline_tbl[[#This Row],[Closed_Date]]=0,"",(_xlfn.XLOOKUP(Pipeline_tbl[[#This Row],[Closed_Date]],Dim_Date!A:A,Dim_Date!H:H)))</f>
        <v>Aug 2025</v>
      </c>
      <c r="U2120">
        <f>IF(Pipeline_tbl[[#This Row],[Closed_Date]]=0,"",Pipeline_tbl[[#This Row],[Closed_Date]]-Pipeline_tbl[[#This Row],[Created_Date]])</f>
        <v>89</v>
      </c>
    </row>
    <row r="2121" spans="1:21" ht="15" customHeight="1" x14ac:dyDescent="0.2">
      <c r="A2121" t="s">
        <v>2427</v>
      </c>
      <c r="B2121" t="s">
        <v>284</v>
      </c>
      <c r="C2121" t="s">
        <v>53</v>
      </c>
      <c r="D2121" s="49">
        <v>45806</v>
      </c>
      <c r="E2121" s="49">
        <v>45812</v>
      </c>
      <c r="F2121" s="49">
        <v>45826</v>
      </c>
      <c r="I2121" s="49">
        <v>45871</v>
      </c>
      <c r="J2121" t="s">
        <v>49</v>
      </c>
      <c r="K2121" s="33">
        <v>55400</v>
      </c>
      <c r="L2121" t="s">
        <v>61</v>
      </c>
      <c r="M2121" t="str">
        <f>_xlfn.XLOOKUP(Pipeline_tbl[[#This Row],[Rep_ID]],Dim_Reps!A:A,Dim_Reps!K:K)</f>
        <v>USD</v>
      </c>
      <c r="N2121" s="33">
        <f>(_xlfn.XLOOKUP(Pipeline_tbl[[#This Row],[Rate_Code_Generalized]],Lookups!A:A,Lookups!B:B))*Pipeline_tbl[[#This Row],[Pipeline_Amount_USD]]</f>
        <v>64502.219999999994</v>
      </c>
      <c r="O2121" t="str">
        <f>_xlfn.XLOOKUP(Pipeline_tbl[[#This Row],[Rep_ID]],Dim_Reps!A:A,Dim_Reps!B:B)</f>
        <v>Taylor Adler</v>
      </c>
      <c r="P2121" t="str">
        <f>_xlfn.XLOOKUP(Pipeline_tbl[[#This Row],[Rep_ID]],Dim_Reps!A:A,Dim_Reps!C:C)</f>
        <v>Senior Enterprise AE</v>
      </c>
      <c r="Q2121" t="str">
        <f>_xlfn.XLOOKUP(Pipeline_tbl[[#This Row],[Rep_ID]],Dim_Reps!A:A,Dim_Reps!D:D)</f>
        <v>Strategic</v>
      </c>
      <c r="R2121" t="str">
        <f>_xlfn.XLOOKUP(Pipeline_tbl[[#This Row],[Rep_ID]],Dim_Reps!A:A,Dim_Reps!E:E)</f>
        <v>NAMER</v>
      </c>
      <c r="S2121" t="str">
        <f>_xlfn.XLOOKUP(Pipeline_tbl[[#This Row],[Created_Date]],Dim_Date!A:A,Dim_Date!H:H)</f>
        <v>May 2025</v>
      </c>
      <c r="T2121" t="str">
        <f>IF(Pipeline_tbl[[#This Row],[Closed_Date]]=0,"",(_xlfn.XLOOKUP(Pipeline_tbl[[#This Row],[Closed_Date]],Dim_Date!A:A,Dim_Date!H:H)))</f>
        <v>Aug 2025</v>
      </c>
      <c r="U2121">
        <f>IF(Pipeline_tbl[[#This Row],[Closed_Date]]=0,"",Pipeline_tbl[[#This Row],[Closed_Date]]-Pipeline_tbl[[#This Row],[Created_Date]])</f>
        <v>65</v>
      </c>
    </row>
    <row r="2122" spans="1:21" ht="15" customHeight="1" x14ac:dyDescent="0.2">
      <c r="A2122" t="s">
        <v>2428</v>
      </c>
      <c r="B2122" t="s">
        <v>284</v>
      </c>
      <c r="C2122" t="s">
        <v>53</v>
      </c>
      <c r="D2122" s="49">
        <v>45793</v>
      </c>
      <c r="E2122" s="49">
        <v>45803</v>
      </c>
      <c r="I2122" s="49">
        <v>45893</v>
      </c>
      <c r="J2122" t="s">
        <v>49</v>
      </c>
      <c r="K2122" s="33">
        <v>60700</v>
      </c>
      <c r="L2122" t="s">
        <v>63</v>
      </c>
      <c r="M2122" t="str">
        <f>_xlfn.XLOOKUP(Pipeline_tbl[[#This Row],[Rep_ID]],Dim_Reps!A:A,Dim_Reps!K:K)</f>
        <v>USD</v>
      </c>
      <c r="N2122" s="33">
        <f>(_xlfn.XLOOKUP(Pipeline_tbl[[#This Row],[Rate_Code_Generalized]],Lookups!A:A,Lookups!B:B))*Pipeline_tbl[[#This Row],[Pipeline_Amount_USD]]</f>
        <v>70673.009999999995</v>
      </c>
      <c r="O2122" t="str">
        <f>_xlfn.XLOOKUP(Pipeline_tbl[[#This Row],[Rep_ID]],Dim_Reps!A:A,Dim_Reps!B:B)</f>
        <v>Taylor Adler</v>
      </c>
      <c r="P2122" t="str">
        <f>_xlfn.XLOOKUP(Pipeline_tbl[[#This Row],[Rep_ID]],Dim_Reps!A:A,Dim_Reps!C:C)</f>
        <v>Senior Enterprise AE</v>
      </c>
      <c r="Q2122" t="str">
        <f>_xlfn.XLOOKUP(Pipeline_tbl[[#This Row],[Rep_ID]],Dim_Reps!A:A,Dim_Reps!D:D)</f>
        <v>Strategic</v>
      </c>
      <c r="R2122" t="str">
        <f>_xlfn.XLOOKUP(Pipeline_tbl[[#This Row],[Rep_ID]],Dim_Reps!A:A,Dim_Reps!E:E)</f>
        <v>NAMER</v>
      </c>
      <c r="S2122" t="str">
        <f>_xlfn.XLOOKUP(Pipeline_tbl[[#This Row],[Created_Date]],Dim_Date!A:A,Dim_Date!H:H)</f>
        <v>May 2025</v>
      </c>
      <c r="T2122" t="str">
        <f>IF(Pipeline_tbl[[#This Row],[Closed_Date]]=0,"",(_xlfn.XLOOKUP(Pipeline_tbl[[#This Row],[Closed_Date]],Dim_Date!A:A,Dim_Date!H:H)))</f>
        <v>Aug 2025</v>
      </c>
      <c r="U2122">
        <f>IF(Pipeline_tbl[[#This Row],[Closed_Date]]=0,"",Pipeline_tbl[[#This Row],[Closed_Date]]-Pipeline_tbl[[#This Row],[Created_Date]])</f>
        <v>100</v>
      </c>
    </row>
    <row r="2123" spans="1:21" ht="15" customHeight="1" x14ac:dyDescent="0.2">
      <c r="A2123" t="s">
        <v>2429</v>
      </c>
      <c r="B2123" t="s">
        <v>177</v>
      </c>
      <c r="C2123" t="s">
        <v>52</v>
      </c>
      <c r="D2123" s="49">
        <v>45791</v>
      </c>
      <c r="E2123" s="49">
        <v>45798</v>
      </c>
      <c r="F2123" s="49">
        <v>45812</v>
      </c>
      <c r="G2123" s="49">
        <v>45833</v>
      </c>
      <c r="H2123" s="49">
        <v>45851</v>
      </c>
      <c r="I2123" s="49">
        <v>45861</v>
      </c>
      <c r="J2123" t="s">
        <v>49</v>
      </c>
      <c r="K2123" s="33">
        <v>28800</v>
      </c>
      <c r="L2123" t="s">
        <v>63</v>
      </c>
      <c r="M2123" t="str">
        <f>_xlfn.XLOOKUP(Pipeline_tbl[[#This Row],[Rep_ID]],Dim_Reps!A:A,Dim_Reps!K:K)</f>
        <v>USD</v>
      </c>
      <c r="N2123" s="33">
        <f>(_xlfn.XLOOKUP(Pipeline_tbl[[#This Row],[Rate_Code_Generalized]],Lookups!A:A,Lookups!B:B))*Pipeline_tbl[[#This Row],[Pipeline_Amount_USD]]</f>
        <v>33531.839999999997</v>
      </c>
      <c r="O2123" t="str">
        <f>_xlfn.XLOOKUP(Pipeline_tbl[[#This Row],[Rep_ID]],Dim_Reps!A:A,Dim_Reps!B:B)</f>
        <v>Lucas Cohen</v>
      </c>
      <c r="P2123" t="str">
        <f>_xlfn.XLOOKUP(Pipeline_tbl[[#This Row],[Rep_ID]],Dim_Reps!A:A,Dim_Reps!C:C)</f>
        <v>Enterprise AE</v>
      </c>
      <c r="Q2123" t="str">
        <f>_xlfn.XLOOKUP(Pipeline_tbl[[#This Row],[Rep_ID]],Dim_Reps!A:A,Dim_Reps!D:D)</f>
        <v>Enterprise</v>
      </c>
      <c r="R2123" t="str">
        <f>_xlfn.XLOOKUP(Pipeline_tbl[[#This Row],[Rep_ID]],Dim_Reps!A:A,Dim_Reps!E:E)</f>
        <v>NAMER</v>
      </c>
      <c r="S2123" t="str">
        <f>_xlfn.XLOOKUP(Pipeline_tbl[[#This Row],[Created_Date]],Dim_Date!A:A,Dim_Date!H:H)</f>
        <v>May 2025</v>
      </c>
      <c r="T2123" t="str">
        <f>IF(Pipeline_tbl[[#This Row],[Closed_Date]]=0,"",(_xlfn.XLOOKUP(Pipeline_tbl[[#This Row],[Closed_Date]],Dim_Date!A:A,Dim_Date!H:H)))</f>
        <v>Jul 2025</v>
      </c>
      <c r="U2123">
        <f>IF(Pipeline_tbl[[#This Row],[Closed_Date]]=0,"",Pipeline_tbl[[#This Row],[Closed_Date]]-Pipeline_tbl[[#This Row],[Created_Date]])</f>
        <v>70</v>
      </c>
    </row>
    <row r="2124" spans="1:21" ht="15" customHeight="1" x14ac:dyDescent="0.2">
      <c r="A2124" t="s">
        <v>2430</v>
      </c>
      <c r="B2124" t="s">
        <v>177</v>
      </c>
      <c r="C2124" t="s">
        <v>56</v>
      </c>
      <c r="D2124" s="49">
        <v>45790</v>
      </c>
      <c r="E2124" s="49">
        <v>45796</v>
      </c>
      <c r="I2124" s="49">
        <v>45855</v>
      </c>
      <c r="J2124" t="s">
        <v>49</v>
      </c>
      <c r="K2124" s="33">
        <v>15500</v>
      </c>
      <c r="L2124" t="s">
        <v>62</v>
      </c>
      <c r="M2124" t="str">
        <f>_xlfn.XLOOKUP(Pipeline_tbl[[#This Row],[Rep_ID]],Dim_Reps!A:A,Dim_Reps!K:K)</f>
        <v>USD</v>
      </c>
      <c r="N2124" s="33">
        <f>(_xlfn.XLOOKUP(Pipeline_tbl[[#This Row],[Rate_Code_Generalized]],Lookups!A:A,Lookups!B:B))*Pipeline_tbl[[#This Row],[Pipeline_Amount_USD]]</f>
        <v>18046.649999999998</v>
      </c>
      <c r="O2124" t="str">
        <f>_xlfn.XLOOKUP(Pipeline_tbl[[#This Row],[Rep_ID]],Dim_Reps!A:A,Dim_Reps!B:B)</f>
        <v>Lucas Cohen</v>
      </c>
      <c r="P2124" t="str">
        <f>_xlfn.XLOOKUP(Pipeline_tbl[[#This Row],[Rep_ID]],Dim_Reps!A:A,Dim_Reps!C:C)</f>
        <v>Enterprise AE</v>
      </c>
      <c r="Q2124" t="str">
        <f>_xlfn.XLOOKUP(Pipeline_tbl[[#This Row],[Rep_ID]],Dim_Reps!A:A,Dim_Reps!D:D)</f>
        <v>Enterprise</v>
      </c>
      <c r="R2124" t="str">
        <f>_xlfn.XLOOKUP(Pipeline_tbl[[#This Row],[Rep_ID]],Dim_Reps!A:A,Dim_Reps!E:E)</f>
        <v>NAMER</v>
      </c>
      <c r="S2124" t="str">
        <f>_xlfn.XLOOKUP(Pipeline_tbl[[#This Row],[Created_Date]],Dim_Date!A:A,Dim_Date!H:H)</f>
        <v>May 2025</v>
      </c>
      <c r="T2124" t="str">
        <f>IF(Pipeline_tbl[[#This Row],[Closed_Date]]=0,"",(_xlfn.XLOOKUP(Pipeline_tbl[[#This Row],[Closed_Date]],Dim_Date!A:A,Dim_Date!H:H)))</f>
        <v>Jul 2025</v>
      </c>
      <c r="U2124">
        <f>IF(Pipeline_tbl[[#This Row],[Closed_Date]]=0,"",Pipeline_tbl[[#This Row],[Closed_Date]]-Pipeline_tbl[[#This Row],[Created_Date]])</f>
        <v>65</v>
      </c>
    </row>
    <row r="2125" spans="1:21" ht="15" customHeight="1" x14ac:dyDescent="0.2">
      <c r="A2125" t="s">
        <v>2431</v>
      </c>
      <c r="B2125" t="s">
        <v>181</v>
      </c>
      <c r="C2125" t="s">
        <v>56</v>
      </c>
      <c r="D2125" s="49">
        <v>45804</v>
      </c>
      <c r="E2125" s="49">
        <v>45810</v>
      </c>
      <c r="F2125" s="49">
        <v>45822</v>
      </c>
      <c r="G2125" s="49">
        <v>45841</v>
      </c>
      <c r="I2125" s="49">
        <v>45865</v>
      </c>
      <c r="J2125" t="s">
        <v>49</v>
      </c>
      <c r="K2125" s="33">
        <v>29700</v>
      </c>
      <c r="L2125" t="s">
        <v>60</v>
      </c>
      <c r="M2125" t="str">
        <f>_xlfn.XLOOKUP(Pipeline_tbl[[#This Row],[Rep_ID]],Dim_Reps!A:A,Dim_Reps!K:K)</f>
        <v>USD</v>
      </c>
      <c r="N2125" s="33">
        <f>(_xlfn.XLOOKUP(Pipeline_tbl[[#This Row],[Rate_Code_Generalized]],Lookups!A:A,Lookups!B:B))*Pipeline_tbl[[#This Row],[Pipeline_Amount_USD]]</f>
        <v>34579.71</v>
      </c>
      <c r="O2125" t="str">
        <f>_xlfn.XLOOKUP(Pipeline_tbl[[#This Row],[Rep_ID]],Dim_Reps!A:A,Dim_Reps!B:B)</f>
        <v>Milo Weber</v>
      </c>
      <c r="P2125" t="str">
        <f>_xlfn.XLOOKUP(Pipeline_tbl[[#This Row],[Rep_ID]],Dim_Reps!A:A,Dim_Reps!C:C)</f>
        <v>Enterprise AE</v>
      </c>
      <c r="Q2125" t="str">
        <f>_xlfn.XLOOKUP(Pipeline_tbl[[#This Row],[Rep_ID]],Dim_Reps!A:A,Dim_Reps!D:D)</f>
        <v>Enterprise</v>
      </c>
      <c r="R2125" t="str">
        <f>_xlfn.XLOOKUP(Pipeline_tbl[[#This Row],[Rep_ID]],Dim_Reps!A:A,Dim_Reps!E:E)</f>
        <v>NAMER</v>
      </c>
      <c r="S2125" t="str">
        <f>_xlfn.XLOOKUP(Pipeline_tbl[[#This Row],[Created_Date]],Dim_Date!A:A,Dim_Date!H:H)</f>
        <v>May 2025</v>
      </c>
      <c r="T2125" t="str">
        <f>IF(Pipeline_tbl[[#This Row],[Closed_Date]]=0,"",(_xlfn.XLOOKUP(Pipeline_tbl[[#This Row],[Closed_Date]],Dim_Date!A:A,Dim_Date!H:H)))</f>
        <v>Jul 2025</v>
      </c>
      <c r="U2125">
        <f>IF(Pipeline_tbl[[#This Row],[Closed_Date]]=0,"",Pipeline_tbl[[#This Row],[Closed_Date]]-Pipeline_tbl[[#This Row],[Created_Date]])</f>
        <v>61</v>
      </c>
    </row>
    <row r="2126" spans="1:21" ht="15" customHeight="1" x14ac:dyDescent="0.2">
      <c r="A2126" t="s">
        <v>2432</v>
      </c>
      <c r="B2126" t="s">
        <v>181</v>
      </c>
      <c r="C2126" t="s">
        <v>55</v>
      </c>
      <c r="D2126" s="49">
        <v>45799</v>
      </c>
      <c r="E2126" s="49">
        <v>45806</v>
      </c>
      <c r="F2126" s="49">
        <v>45819</v>
      </c>
      <c r="G2126" s="49">
        <v>45839</v>
      </c>
      <c r="H2126" s="49">
        <v>45855</v>
      </c>
      <c r="I2126" s="49">
        <v>45865</v>
      </c>
      <c r="J2126" t="s">
        <v>47</v>
      </c>
      <c r="K2126" s="33">
        <v>14200</v>
      </c>
      <c r="M2126" t="str">
        <f>_xlfn.XLOOKUP(Pipeline_tbl[[#This Row],[Rep_ID]],Dim_Reps!A:A,Dim_Reps!K:K)</f>
        <v>USD</v>
      </c>
      <c r="N2126" s="33">
        <f>(_xlfn.XLOOKUP(Pipeline_tbl[[#This Row],[Rate_Code_Generalized]],Lookups!A:A,Lookups!B:B))*Pipeline_tbl[[#This Row],[Pipeline_Amount_USD]]</f>
        <v>16533.059999999998</v>
      </c>
      <c r="O2126" t="str">
        <f>_xlfn.XLOOKUP(Pipeline_tbl[[#This Row],[Rep_ID]],Dim_Reps!A:A,Dim_Reps!B:B)</f>
        <v>Milo Weber</v>
      </c>
      <c r="P2126" t="str">
        <f>_xlfn.XLOOKUP(Pipeline_tbl[[#This Row],[Rep_ID]],Dim_Reps!A:A,Dim_Reps!C:C)</f>
        <v>Enterprise AE</v>
      </c>
      <c r="Q2126" t="str">
        <f>_xlfn.XLOOKUP(Pipeline_tbl[[#This Row],[Rep_ID]],Dim_Reps!A:A,Dim_Reps!D:D)</f>
        <v>Enterprise</v>
      </c>
      <c r="R2126" t="str">
        <f>_xlfn.XLOOKUP(Pipeline_tbl[[#This Row],[Rep_ID]],Dim_Reps!A:A,Dim_Reps!E:E)</f>
        <v>NAMER</v>
      </c>
      <c r="S2126" t="str">
        <f>_xlfn.XLOOKUP(Pipeline_tbl[[#This Row],[Created_Date]],Dim_Date!A:A,Dim_Date!H:H)</f>
        <v>May 2025</v>
      </c>
      <c r="T2126" t="str">
        <f>IF(Pipeline_tbl[[#This Row],[Closed_Date]]=0,"",(_xlfn.XLOOKUP(Pipeline_tbl[[#This Row],[Closed_Date]],Dim_Date!A:A,Dim_Date!H:H)))</f>
        <v>Jul 2025</v>
      </c>
      <c r="U2126">
        <f>IF(Pipeline_tbl[[#This Row],[Closed_Date]]=0,"",Pipeline_tbl[[#This Row],[Closed_Date]]-Pipeline_tbl[[#This Row],[Created_Date]])</f>
        <v>66</v>
      </c>
    </row>
    <row r="2127" spans="1:21" ht="15" customHeight="1" x14ac:dyDescent="0.2">
      <c r="A2127" t="s">
        <v>2433</v>
      </c>
      <c r="B2127" t="s">
        <v>181</v>
      </c>
      <c r="C2127" t="s">
        <v>54</v>
      </c>
      <c r="D2127" s="49">
        <v>45805</v>
      </c>
      <c r="E2127" s="49">
        <v>45811</v>
      </c>
      <c r="F2127" s="49">
        <v>45824</v>
      </c>
      <c r="G2127" s="49">
        <v>45843</v>
      </c>
      <c r="H2127" s="49">
        <v>45859</v>
      </c>
      <c r="I2127" s="49">
        <v>45869</v>
      </c>
      <c r="J2127" t="s">
        <v>49</v>
      </c>
      <c r="K2127" s="33">
        <v>30100</v>
      </c>
      <c r="L2127" t="s">
        <v>63</v>
      </c>
      <c r="M2127" t="str">
        <f>_xlfn.XLOOKUP(Pipeline_tbl[[#This Row],[Rep_ID]],Dim_Reps!A:A,Dim_Reps!K:K)</f>
        <v>USD</v>
      </c>
      <c r="N2127" s="33">
        <f>(_xlfn.XLOOKUP(Pipeline_tbl[[#This Row],[Rate_Code_Generalized]],Lookups!A:A,Lookups!B:B))*Pipeline_tbl[[#This Row],[Pipeline_Amount_USD]]</f>
        <v>35045.43</v>
      </c>
      <c r="O2127" t="str">
        <f>_xlfn.XLOOKUP(Pipeline_tbl[[#This Row],[Rep_ID]],Dim_Reps!A:A,Dim_Reps!B:B)</f>
        <v>Milo Weber</v>
      </c>
      <c r="P2127" t="str">
        <f>_xlfn.XLOOKUP(Pipeline_tbl[[#This Row],[Rep_ID]],Dim_Reps!A:A,Dim_Reps!C:C)</f>
        <v>Enterprise AE</v>
      </c>
      <c r="Q2127" t="str">
        <f>_xlfn.XLOOKUP(Pipeline_tbl[[#This Row],[Rep_ID]],Dim_Reps!A:A,Dim_Reps!D:D)</f>
        <v>Enterprise</v>
      </c>
      <c r="R2127" t="str">
        <f>_xlfn.XLOOKUP(Pipeline_tbl[[#This Row],[Rep_ID]],Dim_Reps!A:A,Dim_Reps!E:E)</f>
        <v>NAMER</v>
      </c>
      <c r="S2127" t="str">
        <f>_xlfn.XLOOKUP(Pipeline_tbl[[#This Row],[Created_Date]],Dim_Date!A:A,Dim_Date!H:H)</f>
        <v>May 2025</v>
      </c>
      <c r="T2127" t="str">
        <f>IF(Pipeline_tbl[[#This Row],[Closed_Date]]=0,"",(_xlfn.XLOOKUP(Pipeline_tbl[[#This Row],[Closed_Date]],Dim_Date!A:A,Dim_Date!H:H)))</f>
        <v>Jul 2025</v>
      </c>
      <c r="U2127">
        <f>IF(Pipeline_tbl[[#This Row],[Closed_Date]]=0,"",Pipeline_tbl[[#This Row],[Closed_Date]]-Pipeline_tbl[[#This Row],[Created_Date]])</f>
        <v>64</v>
      </c>
    </row>
    <row r="2128" spans="1:21" ht="15" customHeight="1" x14ac:dyDescent="0.2">
      <c r="A2128" t="s">
        <v>2434</v>
      </c>
      <c r="B2128" t="s">
        <v>181</v>
      </c>
      <c r="C2128" t="s">
        <v>52</v>
      </c>
      <c r="D2128" s="49">
        <v>45795</v>
      </c>
      <c r="E2128" s="49">
        <v>45802</v>
      </c>
      <c r="I2128" s="49">
        <v>45868</v>
      </c>
      <c r="J2128" t="s">
        <v>49</v>
      </c>
      <c r="K2128" s="33">
        <v>28100</v>
      </c>
      <c r="L2128" t="s">
        <v>60</v>
      </c>
      <c r="M2128" t="str">
        <f>_xlfn.XLOOKUP(Pipeline_tbl[[#This Row],[Rep_ID]],Dim_Reps!A:A,Dim_Reps!K:K)</f>
        <v>USD</v>
      </c>
      <c r="N2128" s="33">
        <f>(_xlfn.XLOOKUP(Pipeline_tbl[[#This Row],[Rate_Code_Generalized]],Lookups!A:A,Lookups!B:B))*Pipeline_tbl[[#This Row],[Pipeline_Amount_USD]]</f>
        <v>32716.829999999998</v>
      </c>
      <c r="O2128" t="str">
        <f>_xlfn.XLOOKUP(Pipeline_tbl[[#This Row],[Rep_ID]],Dim_Reps!A:A,Dim_Reps!B:B)</f>
        <v>Milo Weber</v>
      </c>
      <c r="P2128" t="str">
        <f>_xlfn.XLOOKUP(Pipeline_tbl[[#This Row],[Rep_ID]],Dim_Reps!A:A,Dim_Reps!C:C)</f>
        <v>Enterprise AE</v>
      </c>
      <c r="Q2128" t="str">
        <f>_xlfn.XLOOKUP(Pipeline_tbl[[#This Row],[Rep_ID]],Dim_Reps!A:A,Dim_Reps!D:D)</f>
        <v>Enterprise</v>
      </c>
      <c r="R2128" t="str">
        <f>_xlfn.XLOOKUP(Pipeline_tbl[[#This Row],[Rep_ID]],Dim_Reps!A:A,Dim_Reps!E:E)</f>
        <v>NAMER</v>
      </c>
      <c r="S2128" t="str">
        <f>_xlfn.XLOOKUP(Pipeline_tbl[[#This Row],[Created_Date]],Dim_Date!A:A,Dim_Date!H:H)</f>
        <v>May 2025</v>
      </c>
      <c r="T2128" t="str">
        <f>IF(Pipeline_tbl[[#This Row],[Closed_Date]]=0,"",(_xlfn.XLOOKUP(Pipeline_tbl[[#This Row],[Closed_Date]],Dim_Date!A:A,Dim_Date!H:H)))</f>
        <v>Jul 2025</v>
      </c>
      <c r="U2128">
        <f>IF(Pipeline_tbl[[#This Row],[Closed_Date]]=0,"",Pipeline_tbl[[#This Row],[Closed_Date]]-Pipeline_tbl[[#This Row],[Created_Date]])</f>
        <v>73</v>
      </c>
    </row>
    <row r="2129" spans="1:21" ht="15" customHeight="1" x14ac:dyDescent="0.2">
      <c r="A2129" t="s">
        <v>2435</v>
      </c>
      <c r="B2129" t="s">
        <v>183</v>
      </c>
      <c r="C2129" t="s">
        <v>52</v>
      </c>
      <c r="D2129" s="49">
        <v>45788</v>
      </c>
      <c r="E2129" s="49">
        <v>45794</v>
      </c>
      <c r="F2129" s="49">
        <v>45806</v>
      </c>
      <c r="I2129" s="49">
        <v>45847</v>
      </c>
      <c r="J2129" t="s">
        <v>49</v>
      </c>
      <c r="K2129" s="33">
        <v>43000</v>
      </c>
      <c r="L2129" t="s">
        <v>62</v>
      </c>
      <c r="M2129" t="str">
        <f>_xlfn.XLOOKUP(Pipeline_tbl[[#This Row],[Rep_ID]],Dim_Reps!A:A,Dim_Reps!K:K)</f>
        <v>EUR</v>
      </c>
      <c r="N2129" s="33">
        <f>(_xlfn.XLOOKUP(Pipeline_tbl[[#This Row],[Rate_Code_Generalized]],Lookups!A:A,Lookups!B:B))*Pipeline_tbl[[#This Row],[Pipeline_Amount_USD]]</f>
        <v>43000</v>
      </c>
      <c r="O2129" t="str">
        <f>_xlfn.XLOOKUP(Pipeline_tbl[[#This Row],[Rep_ID]],Dim_Reps!A:A,Dim_Reps!B:B)</f>
        <v>Sam Schmidt</v>
      </c>
      <c r="P2129" t="str">
        <f>_xlfn.XLOOKUP(Pipeline_tbl[[#This Row],[Rep_ID]],Dim_Reps!A:A,Dim_Reps!C:C)</f>
        <v>Enterprise AE</v>
      </c>
      <c r="Q2129" t="str">
        <f>_xlfn.XLOOKUP(Pipeline_tbl[[#This Row],[Rep_ID]],Dim_Reps!A:A,Dim_Reps!D:D)</f>
        <v>Enterprise</v>
      </c>
      <c r="R2129" t="str">
        <f>_xlfn.XLOOKUP(Pipeline_tbl[[#This Row],[Rep_ID]],Dim_Reps!A:A,Dim_Reps!E:E)</f>
        <v>EMEA</v>
      </c>
      <c r="S2129" t="str">
        <f>_xlfn.XLOOKUP(Pipeline_tbl[[#This Row],[Created_Date]],Dim_Date!A:A,Dim_Date!H:H)</f>
        <v>May 2025</v>
      </c>
      <c r="T2129" t="str">
        <f>IF(Pipeline_tbl[[#This Row],[Closed_Date]]=0,"",(_xlfn.XLOOKUP(Pipeline_tbl[[#This Row],[Closed_Date]],Dim_Date!A:A,Dim_Date!H:H)))</f>
        <v>Jul 2025</v>
      </c>
      <c r="U2129">
        <f>IF(Pipeline_tbl[[#This Row],[Closed_Date]]=0,"",Pipeline_tbl[[#This Row],[Closed_Date]]-Pipeline_tbl[[#This Row],[Created_Date]])</f>
        <v>59</v>
      </c>
    </row>
    <row r="2130" spans="1:21" ht="15" customHeight="1" x14ac:dyDescent="0.2">
      <c r="A2130" t="s">
        <v>2436</v>
      </c>
      <c r="B2130" t="s">
        <v>183</v>
      </c>
      <c r="C2130" t="s">
        <v>52</v>
      </c>
      <c r="D2130" s="49">
        <v>45805</v>
      </c>
      <c r="E2130" s="49">
        <v>45811</v>
      </c>
      <c r="F2130" s="49">
        <v>45822</v>
      </c>
      <c r="G2130" s="49">
        <v>45838</v>
      </c>
      <c r="H2130" s="49">
        <v>45852</v>
      </c>
      <c r="I2130" s="49">
        <v>45860</v>
      </c>
      <c r="J2130" t="s">
        <v>47</v>
      </c>
      <c r="K2130" s="33">
        <v>29900</v>
      </c>
      <c r="M2130" t="str">
        <f>_xlfn.XLOOKUP(Pipeline_tbl[[#This Row],[Rep_ID]],Dim_Reps!A:A,Dim_Reps!K:K)</f>
        <v>EUR</v>
      </c>
      <c r="N2130" s="33">
        <f>(_xlfn.XLOOKUP(Pipeline_tbl[[#This Row],[Rate_Code_Generalized]],Lookups!A:A,Lookups!B:B))*Pipeline_tbl[[#This Row],[Pipeline_Amount_USD]]</f>
        <v>29900</v>
      </c>
      <c r="O2130" t="str">
        <f>_xlfn.XLOOKUP(Pipeline_tbl[[#This Row],[Rep_ID]],Dim_Reps!A:A,Dim_Reps!B:B)</f>
        <v>Sam Schmidt</v>
      </c>
      <c r="P2130" t="str">
        <f>_xlfn.XLOOKUP(Pipeline_tbl[[#This Row],[Rep_ID]],Dim_Reps!A:A,Dim_Reps!C:C)</f>
        <v>Enterprise AE</v>
      </c>
      <c r="Q2130" t="str">
        <f>_xlfn.XLOOKUP(Pipeline_tbl[[#This Row],[Rep_ID]],Dim_Reps!A:A,Dim_Reps!D:D)</f>
        <v>Enterprise</v>
      </c>
      <c r="R2130" t="str">
        <f>_xlfn.XLOOKUP(Pipeline_tbl[[#This Row],[Rep_ID]],Dim_Reps!A:A,Dim_Reps!E:E)</f>
        <v>EMEA</v>
      </c>
      <c r="S2130" t="str">
        <f>_xlfn.XLOOKUP(Pipeline_tbl[[#This Row],[Created_Date]],Dim_Date!A:A,Dim_Date!H:H)</f>
        <v>May 2025</v>
      </c>
      <c r="T2130" t="str">
        <f>IF(Pipeline_tbl[[#This Row],[Closed_Date]]=0,"",(_xlfn.XLOOKUP(Pipeline_tbl[[#This Row],[Closed_Date]],Dim_Date!A:A,Dim_Date!H:H)))</f>
        <v>Jul 2025</v>
      </c>
      <c r="U2130">
        <f>IF(Pipeline_tbl[[#This Row],[Closed_Date]]=0,"",Pipeline_tbl[[#This Row],[Closed_Date]]-Pipeline_tbl[[#This Row],[Created_Date]])</f>
        <v>55</v>
      </c>
    </row>
    <row r="2131" spans="1:21" ht="15" customHeight="1" x14ac:dyDescent="0.2">
      <c r="A2131" t="s">
        <v>2437</v>
      </c>
      <c r="B2131" t="s">
        <v>183</v>
      </c>
      <c r="C2131" t="s">
        <v>52</v>
      </c>
      <c r="D2131" s="49">
        <v>45781</v>
      </c>
      <c r="E2131" s="49">
        <v>45789</v>
      </c>
      <c r="F2131" s="49">
        <v>45805</v>
      </c>
      <c r="I2131" s="49">
        <v>45861</v>
      </c>
      <c r="J2131" t="s">
        <v>49</v>
      </c>
      <c r="K2131" s="33">
        <v>12600</v>
      </c>
      <c r="L2131" t="s">
        <v>61</v>
      </c>
      <c r="M2131" t="str">
        <f>_xlfn.XLOOKUP(Pipeline_tbl[[#This Row],[Rep_ID]],Dim_Reps!A:A,Dim_Reps!K:K)</f>
        <v>EUR</v>
      </c>
      <c r="N2131" s="33">
        <f>(_xlfn.XLOOKUP(Pipeline_tbl[[#This Row],[Rate_Code_Generalized]],Lookups!A:A,Lookups!B:B))*Pipeline_tbl[[#This Row],[Pipeline_Amount_USD]]</f>
        <v>12600</v>
      </c>
      <c r="O2131" t="str">
        <f>_xlfn.XLOOKUP(Pipeline_tbl[[#This Row],[Rep_ID]],Dim_Reps!A:A,Dim_Reps!B:B)</f>
        <v>Sam Schmidt</v>
      </c>
      <c r="P2131" t="str">
        <f>_xlfn.XLOOKUP(Pipeline_tbl[[#This Row],[Rep_ID]],Dim_Reps!A:A,Dim_Reps!C:C)</f>
        <v>Enterprise AE</v>
      </c>
      <c r="Q2131" t="str">
        <f>_xlfn.XLOOKUP(Pipeline_tbl[[#This Row],[Rep_ID]],Dim_Reps!A:A,Dim_Reps!D:D)</f>
        <v>Enterprise</v>
      </c>
      <c r="R2131" t="str">
        <f>_xlfn.XLOOKUP(Pipeline_tbl[[#This Row],[Rep_ID]],Dim_Reps!A:A,Dim_Reps!E:E)</f>
        <v>EMEA</v>
      </c>
      <c r="S2131" t="str">
        <f>_xlfn.XLOOKUP(Pipeline_tbl[[#This Row],[Created_Date]],Dim_Date!A:A,Dim_Date!H:H)</f>
        <v>May 2025</v>
      </c>
      <c r="T2131" t="str">
        <f>IF(Pipeline_tbl[[#This Row],[Closed_Date]]=0,"",(_xlfn.XLOOKUP(Pipeline_tbl[[#This Row],[Closed_Date]],Dim_Date!A:A,Dim_Date!H:H)))</f>
        <v>Jul 2025</v>
      </c>
      <c r="U2131">
        <f>IF(Pipeline_tbl[[#This Row],[Closed_Date]]=0,"",Pipeline_tbl[[#This Row],[Closed_Date]]-Pipeline_tbl[[#This Row],[Created_Date]])</f>
        <v>80</v>
      </c>
    </row>
    <row r="2132" spans="1:21" ht="15" customHeight="1" x14ac:dyDescent="0.2">
      <c r="A2132" t="s">
        <v>2438</v>
      </c>
      <c r="B2132" t="s">
        <v>278</v>
      </c>
      <c r="C2132" t="s">
        <v>56</v>
      </c>
      <c r="D2132" s="49">
        <v>45790</v>
      </c>
      <c r="E2132" s="49">
        <v>45797</v>
      </c>
      <c r="I2132" s="49">
        <v>45858</v>
      </c>
      <c r="J2132" t="s">
        <v>49</v>
      </c>
      <c r="K2132" s="33">
        <v>57700</v>
      </c>
      <c r="L2132" t="s">
        <v>61</v>
      </c>
      <c r="M2132" t="str">
        <f>_xlfn.XLOOKUP(Pipeline_tbl[[#This Row],[Rep_ID]],Dim_Reps!A:A,Dim_Reps!K:K)</f>
        <v>EUR</v>
      </c>
      <c r="N2132" s="33">
        <f>(_xlfn.XLOOKUP(Pipeline_tbl[[#This Row],[Rate_Code_Generalized]],Lookups!A:A,Lookups!B:B))*Pipeline_tbl[[#This Row],[Pipeline_Amount_USD]]</f>
        <v>57700</v>
      </c>
      <c r="O2132" t="str">
        <f>_xlfn.XLOOKUP(Pipeline_tbl[[#This Row],[Rep_ID]],Dim_Reps!A:A,Dim_Reps!B:B)</f>
        <v>Sara Andersson</v>
      </c>
      <c r="P2132" t="str">
        <f>_xlfn.XLOOKUP(Pipeline_tbl[[#This Row],[Rep_ID]],Dim_Reps!A:A,Dim_Reps!C:C)</f>
        <v>Senior Enterprise AE</v>
      </c>
      <c r="Q2132" t="str">
        <f>_xlfn.XLOOKUP(Pipeline_tbl[[#This Row],[Rep_ID]],Dim_Reps!A:A,Dim_Reps!D:D)</f>
        <v>Strategic</v>
      </c>
      <c r="R2132" t="str">
        <f>_xlfn.XLOOKUP(Pipeline_tbl[[#This Row],[Rep_ID]],Dim_Reps!A:A,Dim_Reps!E:E)</f>
        <v>APAC</v>
      </c>
      <c r="S2132" t="str">
        <f>_xlfn.XLOOKUP(Pipeline_tbl[[#This Row],[Created_Date]],Dim_Date!A:A,Dim_Date!H:H)</f>
        <v>May 2025</v>
      </c>
      <c r="T2132" t="str">
        <f>IF(Pipeline_tbl[[#This Row],[Closed_Date]]=0,"",(_xlfn.XLOOKUP(Pipeline_tbl[[#This Row],[Closed_Date]],Dim_Date!A:A,Dim_Date!H:H)))</f>
        <v>Jul 2025</v>
      </c>
      <c r="U2132">
        <f>IF(Pipeline_tbl[[#This Row],[Closed_Date]]=0,"",Pipeline_tbl[[#This Row],[Closed_Date]]-Pipeline_tbl[[#This Row],[Created_Date]])</f>
        <v>68</v>
      </c>
    </row>
    <row r="2133" spans="1:21" ht="15" customHeight="1" x14ac:dyDescent="0.2">
      <c r="A2133" t="s">
        <v>2439</v>
      </c>
      <c r="B2133" t="s">
        <v>188</v>
      </c>
      <c r="C2133" t="s">
        <v>52</v>
      </c>
      <c r="D2133" s="49">
        <v>45790</v>
      </c>
      <c r="E2133" s="49">
        <v>45797</v>
      </c>
      <c r="F2133" s="49">
        <v>45812</v>
      </c>
      <c r="G2133" s="49">
        <v>45833</v>
      </c>
      <c r="H2133" s="49">
        <v>45851</v>
      </c>
      <c r="I2133" s="49">
        <v>45862</v>
      </c>
      <c r="J2133" t="s">
        <v>47</v>
      </c>
      <c r="K2133" s="33">
        <v>28000</v>
      </c>
      <c r="M2133" t="str">
        <f>_xlfn.XLOOKUP(Pipeline_tbl[[#This Row],[Rep_ID]],Dim_Reps!A:A,Dim_Reps!K:K)</f>
        <v>EUR</v>
      </c>
      <c r="N2133" s="33">
        <f>(_xlfn.XLOOKUP(Pipeline_tbl[[#This Row],[Rate_Code_Generalized]],Lookups!A:A,Lookups!B:B))*Pipeline_tbl[[#This Row],[Pipeline_Amount_USD]]</f>
        <v>28000</v>
      </c>
      <c r="O2133" t="str">
        <f>_xlfn.XLOOKUP(Pipeline_tbl[[#This Row],[Rep_ID]],Dim_Reps!A:A,Dim_Reps!B:B)</f>
        <v>Jamie Santos</v>
      </c>
      <c r="P2133" t="str">
        <f>_xlfn.XLOOKUP(Pipeline_tbl[[#This Row],[Rep_ID]],Dim_Reps!A:A,Dim_Reps!C:C)</f>
        <v>Enterprise AE</v>
      </c>
      <c r="Q2133" t="str">
        <f>_xlfn.XLOOKUP(Pipeline_tbl[[#This Row],[Rep_ID]],Dim_Reps!A:A,Dim_Reps!D:D)</f>
        <v>Enterprise</v>
      </c>
      <c r="R2133" t="str">
        <f>_xlfn.XLOOKUP(Pipeline_tbl[[#This Row],[Rep_ID]],Dim_Reps!A:A,Dim_Reps!E:E)</f>
        <v>APAC</v>
      </c>
      <c r="S2133" t="str">
        <f>_xlfn.XLOOKUP(Pipeline_tbl[[#This Row],[Created_Date]],Dim_Date!A:A,Dim_Date!H:H)</f>
        <v>May 2025</v>
      </c>
      <c r="T2133" t="str">
        <f>IF(Pipeline_tbl[[#This Row],[Closed_Date]]=0,"",(_xlfn.XLOOKUP(Pipeline_tbl[[#This Row],[Closed_Date]],Dim_Date!A:A,Dim_Date!H:H)))</f>
        <v>Jul 2025</v>
      </c>
      <c r="U2133">
        <f>IF(Pipeline_tbl[[#This Row],[Closed_Date]]=0,"",Pipeline_tbl[[#This Row],[Closed_Date]]-Pipeline_tbl[[#This Row],[Created_Date]])</f>
        <v>72</v>
      </c>
    </row>
    <row r="2134" spans="1:21" ht="15" customHeight="1" x14ac:dyDescent="0.2">
      <c r="A2134" t="s">
        <v>2440</v>
      </c>
      <c r="B2134" t="s">
        <v>188</v>
      </c>
      <c r="C2134" t="s">
        <v>56</v>
      </c>
      <c r="D2134" s="49">
        <v>45785</v>
      </c>
      <c r="E2134" s="49">
        <v>45792</v>
      </c>
      <c r="I2134" s="49">
        <v>45852</v>
      </c>
      <c r="J2134" t="s">
        <v>49</v>
      </c>
      <c r="K2134" s="33">
        <v>27100</v>
      </c>
      <c r="L2134" t="s">
        <v>64</v>
      </c>
      <c r="M2134" t="str">
        <f>_xlfn.XLOOKUP(Pipeline_tbl[[#This Row],[Rep_ID]],Dim_Reps!A:A,Dim_Reps!K:K)</f>
        <v>EUR</v>
      </c>
      <c r="N2134" s="33">
        <f>(_xlfn.XLOOKUP(Pipeline_tbl[[#This Row],[Rate_Code_Generalized]],Lookups!A:A,Lookups!B:B))*Pipeline_tbl[[#This Row],[Pipeline_Amount_USD]]</f>
        <v>27100</v>
      </c>
      <c r="O2134" t="str">
        <f>_xlfn.XLOOKUP(Pipeline_tbl[[#This Row],[Rep_ID]],Dim_Reps!A:A,Dim_Reps!B:B)</f>
        <v>Jamie Santos</v>
      </c>
      <c r="P2134" t="str">
        <f>_xlfn.XLOOKUP(Pipeline_tbl[[#This Row],[Rep_ID]],Dim_Reps!A:A,Dim_Reps!C:C)</f>
        <v>Enterprise AE</v>
      </c>
      <c r="Q2134" t="str">
        <f>_xlfn.XLOOKUP(Pipeline_tbl[[#This Row],[Rep_ID]],Dim_Reps!A:A,Dim_Reps!D:D)</f>
        <v>Enterprise</v>
      </c>
      <c r="R2134" t="str">
        <f>_xlfn.XLOOKUP(Pipeline_tbl[[#This Row],[Rep_ID]],Dim_Reps!A:A,Dim_Reps!E:E)</f>
        <v>APAC</v>
      </c>
      <c r="S2134" t="str">
        <f>_xlfn.XLOOKUP(Pipeline_tbl[[#This Row],[Created_Date]],Dim_Date!A:A,Dim_Date!H:H)</f>
        <v>May 2025</v>
      </c>
      <c r="T2134" t="str">
        <f>IF(Pipeline_tbl[[#This Row],[Closed_Date]]=0,"",(_xlfn.XLOOKUP(Pipeline_tbl[[#This Row],[Closed_Date]],Dim_Date!A:A,Dim_Date!H:H)))</f>
        <v>Jul 2025</v>
      </c>
      <c r="U2134">
        <f>IF(Pipeline_tbl[[#This Row],[Closed_Date]]=0,"",Pipeline_tbl[[#This Row],[Closed_Date]]-Pipeline_tbl[[#This Row],[Created_Date]])</f>
        <v>67</v>
      </c>
    </row>
    <row r="2135" spans="1:21" ht="15" customHeight="1" x14ac:dyDescent="0.2">
      <c r="A2135" t="s">
        <v>2441</v>
      </c>
      <c r="B2135" t="s">
        <v>188</v>
      </c>
      <c r="C2135" t="s">
        <v>55</v>
      </c>
      <c r="D2135" s="49">
        <v>45792</v>
      </c>
      <c r="E2135" s="49">
        <v>45799</v>
      </c>
      <c r="I2135" s="49">
        <v>45864</v>
      </c>
      <c r="J2135" t="s">
        <v>49</v>
      </c>
      <c r="K2135" s="33">
        <v>77600</v>
      </c>
      <c r="L2135" t="s">
        <v>62</v>
      </c>
      <c r="M2135" t="str">
        <f>_xlfn.XLOOKUP(Pipeline_tbl[[#This Row],[Rep_ID]],Dim_Reps!A:A,Dim_Reps!K:K)</f>
        <v>EUR</v>
      </c>
      <c r="N2135" s="33">
        <f>(_xlfn.XLOOKUP(Pipeline_tbl[[#This Row],[Rate_Code_Generalized]],Lookups!A:A,Lookups!B:B))*Pipeline_tbl[[#This Row],[Pipeline_Amount_USD]]</f>
        <v>77600</v>
      </c>
      <c r="O2135" t="str">
        <f>_xlfn.XLOOKUP(Pipeline_tbl[[#This Row],[Rep_ID]],Dim_Reps!A:A,Dim_Reps!B:B)</f>
        <v>Jamie Santos</v>
      </c>
      <c r="P2135" t="str">
        <f>_xlfn.XLOOKUP(Pipeline_tbl[[#This Row],[Rep_ID]],Dim_Reps!A:A,Dim_Reps!C:C)</f>
        <v>Enterprise AE</v>
      </c>
      <c r="Q2135" t="str">
        <f>_xlfn.XLOOKUP(Pipeline_tbl[[#This Row],[Rep_ID]],Dim_Reps!A:A,Dim_Reps!D:D)</f>
        <v>Enterprise</v>
      </c>
      <c r="R2135" t="str">
        <f>_xlfn.XLOOKUP(Pipeline_tbl[[#This Row],[Rep_ID]],Dim_Reps!A:A,Dim_Reps!E:E)</f>
        <v>APAC</v>
      </c>
      <c r="S2135" t="str">
        <f>_xlfn.XLOOKUP(Pipeline_tbl[[#This Row],[Created_Date]],Dim_Date!A:A,Dim_Date!H:H)</f>
        <v>May 2025</v>
      </c>
      <c r="T2135" t="str">
        <f>IF(Pipeline_tbl[[#This Row],[Closed_Date]]=0,"",(_xlfn.XLOOKUP(Pipeline_tbl[[#This Row],[Closed_Date]],Dim_Date!A:A,Dim_Date!H:H)))</f>
        <v>Jul 2025</v>
      </c>
      <c r="U2135">
        <f>IF(Pipeline_tbl[[#This Row],[Closed_Date]]=0,"",Pipeline_tbl[[#This Row],[Closed_Date]]-Pipeline_tbl[[#This Row],[Created_Date]])</f>
        <v>72</v>
      </c>
    </row>
    <row r="2136" spans="1:21" ht="15" customHeight="1" x14ac:dyDescent="0.2">
      <c r="A2136" t="s">
        <v>2442</v>
      </c>
      <c r="B2136" t="s">
        <v>188</v>
      </c>
      <c r="C2136" t="s">
        <v>54</v>
      </c>
      <c r="D2136" s="49">
        <v>45802</v>
      </c>
      <c r="E2136" s="49">
        <v>45807</v>
      </c>
      <c r="F2136" s="49">
        <v>45818</v>
      </c>
      <c r="G2136" s="49">
        <v>45833</v>
      </c>
      <c r="H2136" s="49">
        <v>45846</v>
      </c>
      <c r="I2136" s="49">
        <v>45854</v>
      </c>
      <c r="J2136" t="s">
        <v>47</v>
      </c>
      <c r="K2136" s="33">
        <v>31300</v>
      </c>
      <c r="M2136" t="str">
        <f>_xlfn.XLOOKUP(Pipeline_tbl[[#This Row],[Rep_ID]],Dim_Reps!A:A,Dim_Reps!K:K)</f>
        <v>EUR</v>
      </c>
      <c r="N2136" s="33">
        <f>(_xlfn.XLOOKUP(Pipeline_tbl[[#This Row],[Rate_Code_Generalized]],Lookups!A:A,Lookups!B:B))*Pipeline_tbl[[#This Row],[Pipeline_Amount_USD]]</f>
        <v>31300</v>
      </c>
      <c r="O2136" t="str">
        <f>_xlfn.XLOOKUP(Pipeline_tbl[[#This Row],[Rep_ID]],Dim_Reps!A:A,Dim_Reps!B:B)</f>
        <v>Jamie Santos</v>
      </c>
      <c r="P2136" t="str">
        <f>_xlfn.XLOOKUP(Pipeline_tbl[[#This Row],[Rep_ID]],Dim_Reps!A:A,Dim_Reps!C:C)</f>
        <v>Enterprise AE</v>
      </c>
      <c r="Q2136" t="str">
        <f>_xlfn.XLOOKUP(Pipeline_tbl[[#This Row],[Rep_ID]],Dim_Reps!A:A,Dim_Reps!D:D)</f>
        <v>Enterprise</v>
      </c>
      <c r="R2136" t="str">
        <f>_xlfn.XLOOKUP(Pipeline_tbl[[#This Row],[Rep_ID]],Dim_Reps!A:A,Dim_Reps!E:E)</f>
        <v>APAC</v>
      </c>
      <c r="S2136" t="str">
        <f>_xlfn.XLOOKUP(Pipeline_tbl[[#This Row],[Created_Date]],Dim_Date!A:A,Dim_Date!H:H)</f>
        <v>May 2025</v>
      </c>
      <c r="T2136" t="str">
        <f>IF(Pipeline_tbl[[#This Row],[Closed_Date]]=0,"",(_xlfn.XLOOKUP(Pipeline_tbl[[#This Row],[Closed_Date]],Dim_Date!A:A,Dim_Date!H:H)))</f>
        <v>Jul 2025</v>
      </c>
      <c r="U2136">
        <f>IF(Pipeline_tbl[[#This Row],[Closed_Date]]=0,"",Pipeline_tbl[[#This Row],[Closed_Date]]-Pipeline_tbl[[#This Row],[Created_Date]])</f>
        <v>52</v>
      </c>
    </row>
    <row r="2137" spans="1:21" ht="15" customHeight="1" x14ac:dyDescent="0.2">
      <c r="A2137" t="s">
        <v>2443</v>
      </c>
      <c r="B2137" t="s">
        <v>280</v>
      </c>
      <c r="C2137" t="s">
        <v>52</v>
      </c>
      <c r="D2137" s="49">
        <v>45800</v>
      </c>
      <c r="E2137" s="49">
        <v>45806</v>
      </c>
      <c r="F2137" s="49">
        <v>45817</v>
      </c>
      <c r="G2137" s="49">
        <v>45835</v>
      </c>
      <c r="I2137" s="49">
        <v>45858</v>
      </c>
      <c r="J2137" t="s">
        <v>49</v>
      </c>
      <c r="K2137" s="33">
        <v>29900</v>
      </c>
      <c r="L2137" t="s">
        <v>64</v>
      </c>
      <c r="M2137" t="str">
        <f>_xlfn.XLOOKUP(Pipeline_tbl[[#This Row],[Rep_ID]],Dim_Reps!A:A,Dim_Reps!K:K)</f>
        <v>MXN</v>
      </c>
      <c r="N2137" s="33">
        <f>(_xlfn.XLOOKUP(Pipeline_tbl[[#This Row],[Rate_Code_Generalized]],Lookups!A:A,Lookups!B:B))*Pipeline_tbl[[#This Row],[Pipeline_Amount_USD]]</f>
        <v>590007.73</v>
      </c>
      <c r="O2137" t="str">
        <f>_xlfn.XLOOKUP(Pipeline_tbl[[#This Row],[Rep_ID]],Dim_Reps!A:A,Dim_Reps!B:B)</f>
        <v>Cameron Lund</v>
      </c>
      <c r="P2137" t="str">
        <f>_xlfn.XLOOKUP(Pipeline_tbl[[#This Row],[Rep_ID]],Dim_Reps!A:A,Dim_Reps!C:C)</f>
        <v>Senior Enterprise AE</v>
      </c>
      <c r="Q2137" t="str">
        <f>_xlfn.XLOOKUP(Pipeline_tbl[[#This Row],[Rep_ID]],Dim_Reps!A:A,Dim_Reps!D:D)</f>
        <v>Strategic</v>
      </c>
      <c r="R2137" t="str">
        <f>_xlfn.XLOOKUP(Pipeline_tbl[[#This Row],[Rep_ID]],Dim_Reps!A:A,Dim_Reps!E:E)</f>
        <v>LATAM</v>
      </c>
      <c r="S2137" t="str">
        <f>_xlfn.XLOOKUP(Pipeline_tbl[[#This Row],[Created_Date]],Dim_Date!A:A,Dim_Date!H:H)</f>
        <v>May 2025</v>
      </c>
      <c r="T2137" t="str">
        <f>IF(Pipeline_tbl[[#This Row],[Closed_Date]]=0,"",(_xlfn.XLOOKUP(Pipeline_tbl[[#This Row],[Closed_Date]],Dim_Date!A:A,Dim_Date!H:H)))</f>
        <v>Jul 2025</v>
      </c>
      <c r="U2137">
        <f>IF(Pipeline_tbl[[#This Row],[Closed_Date]]=0,"",Pipeline_tbl[[#This Row],[Closed_Date]]-Pipeline_tbl[[#This Row],[Created_Date]])</f>
        <v>58</v>
      </c>
    </row>
    <row r="2138" spans="1:21" ht="15" customHeight="1" x14ac:dyDescent="0.2">
      <c r="A2138" t="s">
        <v>2444</v>
      </c>
      <c r="B2138" t="s">
        <v>191</v>
      </c>
      <c r="C2138" t="s">
        <v>54</v>
      </c>
      <c r="D2138" s="49">
        <v>45805</v>
      </c>
      <c r="E2138" s="49">
        <v>45811</v>
      </c>
      <c r="F2138" s="49">
        <v>45823</v>
      </c>
      <c r="I2138" s="49">
        <v>45866</v>
      </c>
      <c r="J2138" t="s">
        <v>49</v>
      </c>
      <c r="K2138" s="33">
        <v>30100</v>
      </c>
      <c r="L2138" t="s">
        <v>60</v>
      </c>
      <c r="M2138" t="str">
        <f>_xlfn.XLOOKUP(Pipeline_tbl[[#This Row],[Rep_ID]],Dim_Reps!A:A,Dim_Reps!K:K)</f>
        <v>USD</v>
      </c>
      <c r="N2138" s="33">
        <f>(_xlfn.XLOOKUP(Pipeline_tbl[[#This Row],[Rate_Code_Generalized]],Lookups!A:A,Lookups!B:B))*Pipeline_tbl[[#This Row],[Pipeline_Amount_USD]]</f>
        <v>35045.43</v>
      </c>
      <c r="O2138" t="str">
        <f>_xlfn.XLOOKUP(Pipeline_tbl[[#This Row],[Rep_ID]],Dim_Reps!A:A,Dim_Reps!B:B)</f>
        <v>Zara Duarte</v>
      </c>
      <c r="P2138" t="str">
        <f>_xlfn.XLOOKUP(Pipeline_tbl[[#This Row],[Rep_ID]],Dim_Reps!A:A,Dim_Reps!C:C)</f>
        <v>Enterprise AE</v>
      </c>
      <c r="Q2138" t="str">
        <f>_xlfn.XLOOKUP(Pipeline_tbl[[#This Row],[Rep_ID]],Dim_Reps!A:A,Dim_Reps!D:D)</f>
        <v>Enterprise</v>
      </c>
      <c r="R2138" t="str">
        <f>_xlfn.XLOOKUP(Pipeline_tbl[[#This Row],[Rep_ID]],Dim_Reps!A:A,Dim_Reps!E:E)</f>
        <v>NAMER</v>
      </c>
      <c r="S2138" t="str">
        <f>_xlfn.XLOOKUP(Pipeline_tbl[[#This Row],[Created_Date]],Dim_Date!A:A,Dim_Date!H:H)</f>
        <v>May 2025</v>
      </c>
      <c r="T2138" t="str">
        <f>IF(Pipeline_tbl[[#This Row],[Closed_Date]]=0,"",(_xlfn.XLOOKUP(Pipeline_tbl[[#This Row],[Closed_Date]],Dim_Date!A:A,Dim_Date!H:H)))</f>
        <v>Jul 2025</v>
      </c>
      <c r="U2138">
        <f>IF(Pipeline_tbl[[#This Row],[Closed_Date]]=0,"",Pipeline_tbl[[#This Row],[Closed_Date]]-Pipeline_tbl[[#This Row],[Created_Date]])</f>
        <v>61</v>
      </c>
    </row>
    <row r="2139" spans="1:21" ht="15" customHeight="1" x14ac:dyDescent="0.2">
      <c r="A2139" t="s">
        <v>2445</v>
      </c>
      <c r="B2139" t="s">
        <v>191</v>
      </c>
      <c r="C2139" t="s">
        <v>53</v>
      </c>
      <c r="D2139" s="49">
        <v>45792</v>
      </c>
      <c r="E2139" s="49">
        <v>45799</v>
      </c>
      <c r="F2139" s="49">
        <v>45813</v>
      </c>
      <c r="G2139" s="49">
        <v>45835</v>
      </c>
      <c r="I2139" s="49">
        <v>45863</v>
      </c>
      <c r="J2139" t="s">
        <v>49</v>
      </c>
      <c r="K2139" s="33">
        <v>26700</v>
      </c>
      <c r="L2139" t="s">
        <v>62</v>
      </c>
      <c r="M2139" t="str">
        <f>_xlfn.XLOOKUP(Pipeline_tbl[[#This Row],[Rep_ID]],Dim_Reps!A:A,Dim_Reps!K:K)</f>
        <v>USD</v>
      </c>
      <c r="N2139" s="33">
        <f>(_xlfn.XLOOKUP(Pipeline_tbl[[#This Row],[Rate_Code_Generalized]],Lookups!A:A,Lookups!B:B))*Pipeline_tbl[[#This Row],[Pipeline_Amount_USD]]</f>
        <v>31086.809999999998</v>
      </c>
      <c r="O2139" t="str">
        <f>_xlfn.XLOOKUP(Pipeline_tbl[[#This Row],[Rep_ID]],Dim_Reps!A:A,Dim_Reps!B:B)</f>
        <v>Zara Duarte</v>
      </c>
      <c r="P2139" t="str">
        <f>_xlfn.XLOOKUP(Pipeline_tbl[[#This Row],[Rep_ID]],Dim_Reps!A:A,Dim_Reps!C:C)</f>
        <v>Enterprise AE</v>
      </c>
      <c r="Q2139" t="str">
        <f>_xlfn.XLOOKUP(Pipeline_tbl[[#This Row],[Rep_ID]],Dim_Reps!A:A,Dim_Reps!D:D)</f>
        <v>Enterprise</v>
      </c>
      <c r="R2139" t="str">
        <f>_xlfn.XLOOKUP(Pipeline_tbl[[#This Row],[Rep_ID]],Dim_Reps!A:A,Dim_Reps!E:E)</f>
        <v>NAMER</v>
      </c>
      <c r="S2139" t="str">
        <f>_xlfn.XLOOKUP(Pipeline_tbl[[#This Row],[Created_Date]],Dim_Date!A:A,Dim_Date!H:H)</f>
        <v>May 2025</v>
      </c>
      <c r="T2139" t="str">
        <f>IF(Pipeline_tbl[[#This Row],[Closed_Date]]=0,"",(_xlfn.XLOOKUP(Pipeline_tbl[[#This Row],[Closed_Date]],Dim_Date!A:A,Dim_Date!H:H)))</f>
        <v>Jul 2025</v>
      </c>
      <c r="U2139">
        <f>IF(Pipeline_tbl[[#This Row],[Closed_Date]]=0,"",Pipeline_tbl[[#This Row],[Closed_Date]]-Pipeline_tbl[[#This Row],[Created_Date]])</f>
        <v>71</v>
      </c>
    </row>
    <row r="2140" spans="1:21" ht="15" customHeight="1" x14ac:dyDescent="0.2">
      <c r="A2140" t="s">
        <v>2446</v>
      </c>
      <c r="B2140" t="s">
        <v>191</v>
      </c>
      <c r="C2140" t="s">
        <v>52</v>
      </c>
      <c r="D2140" s="49">
        <v>45792</v>
      </c>
      <c r="E2140" s="49">
        <v>45798</v>
      </c>
      <c r="I2140" s="49">
        <v>45855</v>
      </c>
      <c r="J2140" t="s">
        <v>49</v>
      </c>
      <c r="K2140" s="33">
        <v>28800</v>
      </c>
      <c r="L2140" t="s">
        <v>61</v>
      </c>
      <c r="M2140" t="str">
        <f>_xlfn.XLOOKUP(Pipeline_tbl[[#This Row],[Rep_ID]],Dim_Reps!A:A,Dim_Reps!K:K)</f>
        <v>USD</v>
      </c>
      <c r="N2140" s="33">
        <f>(_xlfn.XLOOKUP(Pipeline_tbl[[#This Row],[Rate_Code_Generalized]],Lookups!A:A,Lookups!B:B))*Pipeline_tbl[[#This Row],[Pipeline_Amount_USD]]</f>
        <v>33531.839999999997</v>
      </c>
      <c r="O2140" t="str">
        <f>_xlfn.XLOOKUP(Pipeline_tbl[[#This Row],[Rep_ID]],Dim_Reps!A:A,Dim_Reps!B:B)</f>
        <v>Zara Duarte</v>
      </c>
      <c r="P2140" t="str">
        <f>_xlfn.XLOOKUP(Pipeline_tbl[[#This Row],[Rep_ID]],Dim_Reps!A:A,Dim_Reps!C:C)</f>
        <v>Enterprise AE</v>
      </c>
      <c r="Q2140" t="str">
        <f>_xlfn.XLOOKUP(Pipeline_tbl[[#This Row],[Rep_ID]],Dim_Reps!A:A,Dim_Reps!D:D)</f>
        <v>Enterprise</v>
      </c>
      <c r="R2140" t="str">
        <f>_xlfn.XLOOKUP(Pipeline_tbl[[#This Row],[Rep_ID]],Dim_Reps!A:A,Dim_Reps!E:E)</f>
        <v>NAMER</v>
      </c>
      <c r="S2140" t="str">
        <f>_xlfn.XLOOKUP(Pipeline_tbl[[#This Row],[Created_Date]],Dim_Date!A:A,Dim_Date!H:H)</f>
        <v>May 2025</v>
      </c>
      <c r="T2140" t="str">
        <f>IF(Pipeline_tbl[[#This Row],[Closed_Date]]=0,"",(_xlfn.XLOOKUP(Pipeline_tbl[[#This Row],[Closed_Date]],Dim_Date!A:A,Dim_Date!H:H)))</f>
        <v>Jul 2025</v>
      </c>
      <c r="U2140">
        <f>IF(Pipeline_tbl[[#This Row],[Closed_Date]]=0,"",Pipeline_tbl[[#This Row],[Closed_Date]]-Pipeline_tbl[[#This Row],[Created_Date]])</f>
        <v>63</v>
      </c>
    </row>
    <row r="2141" spans="1:21" ht="15" customHeight="1" x14ac:dyDescent="0.2">
      <c r="A2141" t="s">
        <v>2447</v>
      </c>
      <c r="B2141" t="s">
        <v>191</v>
      </c>
      <c r="C2141" t="s">
        <v>53</v>
      </c>
      <c r="D2141" s="49">
        <v>45778</v>
      </c>
      <c r="E2141" s="49">
        <v>45786</v>
      </c>
      <c r="F2141" s="49">
        <v>45801</v>
      </c>
      <c r="G2141" s="49">
        <v>45823</v>
      </c>
      <c r="H2141" s="49">
        <v>45842</v>
      </c>
      <c r="I2141" s="49">
        <v>45853</v>
      </c>
      <c r="J2141" t="s">
        <v>47</v>
      </c>
      <c r="K2141" s="33">
        <v>55500</v>
      </c>
      <c r="M2141" t="str">
        <f>_xlfn.XLOOKUP(Pipeline_tbl[[#This Row],[Rep_ID]],Dim_Reps!A:A,Dim_Reps!K:K)</f>
        <v>USD</v>
      </c>
      <c r="N2141" s="33">
        <f>(_xlfn.XLOOKUP(Pipeline_tbl[[#This Row],[Rate_Code_Generalized]],Lookups!A:A,Lookups!B:B))*Pipeline_tbl[[#This Row],[Pipeline_Amount_USD]]</f>
        <v>64618.649999999994</v>
      </c>
      <c r="O2141" t="str">
        <f>_xlfn.XLOOKUP(Pipeline_tbl[[#This Row],[Rep_ID]],Dim_Reps!A:A,Dim_Reps!B:B)</f>
        <v>Zara Duarte</v>
      </c>
      <c r="P2141" t="str">
        <f>_xlfn.XLOOKUP(Pipeline_tbl[[#This Row],[Rep_ID]],Dim_Reps!A:A,Dim_Reps!C:C)</f>
        <v>Enterprise AE</v>
      </c>
      <c r="Q2141" t="str">
        <f>_xlfn.XLOOKUP(Pipeline_tbl[[#This Row],[Rep_ID]],Dim_Reps!A:A,Dim_Reps!D:D)</f>
        <v>Enterprise</v>
      </c>
      <c r="R2141" t="str">
        <f>_xlfn.XLOOKUP(Pipeline_tbl[[#This Row],[Rep_ID]],Dim_Reps!A:A,Dim_Reps!E:E)</f>
        <v>NAMER</v>
      </c>
      <c r="S2141" t="str">
        <f>_xlfn.XLOOKUP(Pipeline_tbl[[#This Row],[Created_Date]],Dim_Date!A:A,Dim_Date!H:H)</f>
        <v>May 2025</v>
      </c>
      <c r="T2141" t="str">
        <f>IF(Pipeline_tbl[[#This Row],[Closed_Date]]=0,"",(_xlfn.XLOOKUP(Pipeline_tbl[[#This Row],[Closed_Date]],Dim_Date!A:A,Dim_Date!H:H)))</f>
        <v>Jul 2025</v>
      </c>
      <c r="U2141">
        <f>IF(Pipeline_tbl[[#This Row],[Closed_Date]]=0,"",Pipeline_tbl[[#This Row],[Closed_Date]]-Pipeline_tbl[[#This Row],[Created_Date]])</f>
        <v>75</v>
      </c>
    </row>
    <row r="2142" spans="1:21" ht="15" customHeight="1" x14ac:dyDescent="0.2">
      <c r="A2142" t="s">
        <v>2448</v>
      </c>
      <c r="B2142" t="s">
        <v>263</v>
      </c>
      <c r="C2142" t="s">
        <v>52</v>
      </c>
      <c r="D2142" s="49">
        <v>45803</v>
      </c>
      <c r="E2142" s="49">
        <v>45807</v>
      </c>
      <c r="F2142" s="49">
        <v>45814</v>
      </c>
      <c r="G2142" s="49">
        <v>45825</v>
      </c>
      <c r="H2142" s="49">
        <v>45834</v>
      </c>
      <c r="I2142" s="49">
        <v>45839</v>
      </c>
      <c r="J2142" t="s">
        <v>49</v>
      </c>
      <c r="K2142" s="33">
        <v>8300</v>
      </c>
      <c r="L2142" t="s">
        <v>61</v>
      </c>
      <c r="M2142" t="str">
        <f>_xlfn.XLOOKUP(Pipeline_tbl[[#This Row],[Rep_ID]],Dim_Reps!A:A,Dim_Reps!K:K)</f>
        <v>USD</v>
      </c>
      <c r="N2142" s="33">
        <f>(_xlfn.XLOOKUP(Pipeline_tbl[[#This Row],[Rate_Code_Generalized]],Lookups!A:A,Lookups!B:B))*Pipeline_tbl[[#This Row],[Pipeline_Amount_USD]]</f>
        <v>9663.6899999999987</v>
      </c>
      <c r="O2142" t="str">
        <f>_xlfn.XLOOKUP(Pipeline_tbl[[#This Row],[Rep_ID]],Dim_Reps!A:A,Dim_Reps!B:B)</f>
        <v>Morgan Weber</v>
      </c>
      <c r="P2142" t="str">
        <f>_xlfn.XLOOKUP(Pipeline_tbl[[#This Row],[Rep_ID]],Dim_Reps!A:A,Dim_Reps!C:C)</f>
        <v>Mid-Market AE</v>
      </c>
      <c r="Q2142" t="str">
        <f>_xlfn.XLOOKUP(Pipeline_tbl[[#This Row],[Rep_ID]],Dim_Reps!A:A,Dim_Reps!D:D)</f>
        <v>Mid-Market</v>
      </c>
      <c r="R2142" t="str">
        <f>_xlfn.XLOOKUP(Pipeline_tbl[[#This Row],[Rep_ID]],Dim_Reps!A:A,Dim_Reps!E:E)</f>
        <v>NAMER</v>
      </c>
      <c r="S2142" t="str">
        <f>_xlfn.XLOOKUP(Pipeline_tbl[[#This Row],[Created_Date]],Dim_Date!A:A,Dim_Date!H:H)</f>
        <v>May 2025</v>
      </c>
      <c r="T2142" t="str">
        <f>IF(Pipeline_tbl[[#This Row],[Closed_Date]]=0,"",(_xlfn.XLOOKUP(Pipeline_tbl[[#This Row],[Closed_Date]],Dim_Date!A:A,Dim_Date!H:H)))</f>
        <v>Jul 2025</v>
      </c>
      <c r="U2142">
        <f>IF(Pipeline_tbl[[#This Row],[Closed_Date]]=0,"",Pipeline_tbl[[#This Row],[Closed_Date]]-Pipeline_tbl[[#This Row],[Created_Date]])</f>
        <v>36</v>
      </c>
    </row>
    <row r="2143" spans="1:21" ht="15" customHeight="1" x14ac:dyDescent="0.2">
      <c r="A2143" t="s">
        <v>2449</v>
      </c>
      <c r="B2143" t="s">
        <v>263</v>
      </c>
      <c r="C2143" t="s">
        <v>54</v>
      </c>
      <c r="D2143" s="49">
        <v>45790</v>
      </c>
      <c r="E2143" s="49">
        <v>45795</v>
      </c>
      <c r="F2143" s="49">
        <v>45806</v>
      </c>
      <c r="G2143" s="49">
        <v>45821</v>
      </c>
      <c r="H2143" s="49">
        <v>45834</v>
      </c>
      <c r="I2143" s="49">
        <v>45842</v>
      </c>
      <c r="J2143" t="s">
        <v>47</v>
      </c>
      <c r="K2143" s="33">
        <v>23800</v>
      </c>
      <c r="M2143" t="str">
        <f>_xlfn.XLOOKUP(Pipeline_tbl[[#This Row],[Rep_ID]],Dim_Reps!A:A,Dim_Reps!K:K)</f>
        <v>USD</v>
      </c>
      <c r="N2143" s="33">
        <f>(_xlfn.XLOOKUP(Pipeline_tbl[[#This Row],[Rate_Code_Generalized]],Lookups!A:A,Lookups!B:B))*Pipeline_tbl[[#This Row],[Pipeline_Amount_USD]]</f>
        <v>27710.339999999997</v>
      </c>
      <c r="O2143" t="str">
        <f>_xlfn.XLOOKUP(Pipeline_tbl[[#This Row],[Rep_ID]],Dim_Reps!A:A,Dim_Reps!B:B)</f>
        <v>Morgan Weber</v>
      </c>
      <c r="P2143" t="str">
        <f>_xlfn.XLOOKUP(Pipeline_tbl[[#This Row],[Rep_ID]],Dim_Reps!A:A,Dim_Reps!C:C)</f>
        <v>Mid-Market AE</v>
      </c>
      <c r="Q2143" t="str">
        <f>_xlfn.XLOOKUP(Pipeline_tbl[[#This Row],[Rep_ID]],Dim_Reps!A:A,Dim_Reps!D:D)</f>
        <v>Mid-Market</v>
      </c>
      <c r="R2143" t="str">
        <f>_xlfn.XLOOKUP(Pipeline_tbl[[#This Row],[Rep_ID]],Dim_Reps!A:A,Dim_Reps!E:E)</f>
        <v>NAMER</v>
      </c>
      <c r="S2143" t="str">
        <f>_xlfn.XLOOKUP(Pipeline_tbl[[#This Row],[Created_Date]],Dim_Date!A:A,Dim_Date!H:H)</f>
        <v>May 2025</v>
      </c>
      <c r="T2143" t="str">
        <f>IF(Pipeline_tbl[[#This Row],[Closed_Date]]=0,"",(_xlfn.XLOOKUP(Pipeline_tbl[[#This Row],[Closed_Date]],Dim_Date!A:A,Dim_Date!H:H)))</f>
        <v>Jul 2025</v>
      </c>
      <c r="U2143">
        <f>IF(Pipeline_tbl[[#This Row],[Closed_Date]]=0,"",Pipeline_tbl[[#This Row],[Closed_Date]]-Pipeline_tbl[[#This Row],[Created_Date]])</f>
        <v>52</v>
      </c>
    </row>
    <row r="2144" spans="1:21" ht="15" customHeight="1" x14ac:dyDescent="0.2">
      <c r="A2144" t="s">
        <v>2450</v>
      </c>
      <c r="B2144" t="s">
        <v>263</v>
      </c>
      <c r="C2144" t="s">
        <v>52</v>
      </c>
      <c r="D2144" s="49">
        <v>45803</v>
      </c>
      <c r="E2144" s="49">
        <v>45807</v>
      </c>
      <c r="I2144" s="49">
        <v>45842</v>
      </c>
      <c r="J2144" t="s">
        <v>49</v>
      </c>
      <c r="K2144" s="33">
        <v>12300</v>
      </c>
      <c r="L2144" t="s">
        <v>62</v>
      </c>
      <c r="M2144" t="str">
        <f>_xlfn.XLOOKUP(Pipeline_tbl[[#This Row],[Rep_ID]],Dim_Reps!A:A,Dim_Reps!K:K)</f>
        <v>USD</v>
      </c>
      <c r="N2144" s="33">
        <f>(_xlfn.XLOOKUP(Pipeline_tbl[[#This Row],[Rate_Code_Generalized]],Lookups!A:A,Lookups!B:B))*Pipeline_tbl[[#This Row],[Pipeline_Amount_USD]]</f>
        <v>14320.89</v>
      </c>
      <c r="O2144" t="str">
        <f>_xlfn.XLOOKUP(Pipeline_tbl[[#This Row],[Rep_ID]],Dim_Reps!A:A,Dim_Reps!B:B)</f>
        <v>Morgan Weber</v>
      </c>
      <c r="P2144" t="str">
        <f>_xlfn.XLOOKUP(Pipeline_tbl[[#This Row],[Rep_ID]],Dim_Reps!A:A,Dim_Reps!C:C)</f>
        <v>Mid-Market AE</v>
      </c>
      <c r="Q2144" t="str">
        <f>_xlfn.XLOOKUP(Pipeline_tbl[[#This Row],[Rep_ID]],Dim_Reps!A:A,Dim_Reps!D:D)</f>
        <v>Mid-Market</v>
      </c>
      <c r="R2144" t="str">
        <f>_xlfn.XLOOKUP(Pipeline_tbl[[#This Row],[Rep_ID]],Dim_Reps!A:A,Dim_Reps!E:E)</f>
        <v>NAMER</v>
      </c>
      <c r="S2144" t="str">
        <f>_xlfn.XLOOKUP(Pipeline_tbl[[#This Row],[Created_Date]],Dim_Date!A:A,Dim_Date!H:H)</f>
        <v>May 2025</v>
      </c>
      <c r="T2144" t="str">
        <f>IF(Pipeline_tbl[[#This Row],[Closed_Date]]=0,"",(_xlfn.XLOOKUP(Pipeline_tbl[[#This Row],[Closed_Date]],Dim_Date!A:A,Dim_Date!H:H)))</f>
        <v>Jul 2025</v>
      </c>
      <c r="U2144">
        <f>IF(Pipeline_tbl[[#This Row],[Closed_Date]]=0,"",Pipeline_tbl[[#This Row],[Closed_Date]]-Pipeline_tbl[[#This Row],[Created_Date]])</f>
        <v>39</v>
      </c>
    </row>
    <row r="2145" spans="1:21" ht="15" customHeight="1" x14ac:dyDescent="0.2">
      <c r="A2145" t="s">
        <v>2451</v>
      </c>
      <c r="B2145" t="s">
        <v>265</v>
      </c>
      <c r="C2145" t="s">
        <v>54</v>
      </c>
      <c r="D2145" s="49">
        <v>45808</v>
      </c>
      <c r="E2145" s="49">
        <v>45813</v>
      </c>
      <c r="F2145" s="49">
        <v>45824</v>
      </c>
      <c r="G2145" s="49">
        <v>45840</v>
      </c>
      <c r="H2145" s="49">
        <v>45853</v>
      </c>
      <c r="I2145" s="49">
        <v>45861</v>
      </c>
      <c r="J2145" t="s">
        <v>49</v>
      </c>
      <c r="K2145" s="33">
        <v>9800</v>
      </c>
      <c r="L2145" t="s">
        <v>63</v>
      </c>
      <c r="M2145" t="str">
        <f>_xlfn.XLOOKUP(Pipeline_tbl[[#This Row],[Rep_ID]],Dim_Reps!A:A,Dim_Reps!K:K)</f>
        <v>EUR</v>
      </c>
      <c r="N2145" s="33">
        <f>(_xlfn.XLOOKUP(Pipeline_tbl[[#This Row],[Rate_Code_Generalized]],Lookups!A:A,Lookups!B:B))*Pipeline_tbl[[#This Row],[Pipeline_Amount_USD]]</f>
        <v>9800</v>
      </c>
      <c r="O2145" t="str">
        <f>_xlfn.XLOOKUP(Pipeline_tbl[[#This Row],[Rep_ID]],Dim_Reps!A:A,Dim_Reps!B:B)</f>
        <v>Erik Duarte</v>
      </c>
      <c r="P2145" t="str">
        <f>_xlfn.XLOOKUP(Pipeline_tbl[[#This Row],[Rep_ID]],Dim_Reps!A:A,Dim_Reps!C:C)</f>
        <v>Mid-Market AE</v>
      </c>
      <c r="Q2145" t="str">
        <f>_xlfn.XLOOKUP(Pipeline_tbl[[#This Row],[Rep_ID]],Dim_Reps!A:A,Dim_Reps!D:D)</f>
        <v>Mid-Market</v>
      </c>
      <c r="R2145" t="str">
        <f>_xlfn.XLOOKUP(Pipeline_tbl[[#This Row],[Rep_ID]],Dim_Reps!A:A,Dim_Reps!E:E)</f>
        <v>EMEA</v>
      </c>
      <c r="S2145" t="str">
        <f>_xlfn.XLOOKUP(Pipeline_tbl[[#This Row],[Created_Date]],Dim_Date!A:A,Dim_Date!H:H)</f>
        <v>May 2025</v>
      </c>
      <c r="T2145" t="str">
        <f>IF(Pipeline_tbl[[#This Row],[Closed_Date]]=0,"",(_xlfn.XLOOKUP(Pipeline_tbl[[#This Row],[Closed_Date]],Dim_Date!A:A,Dim_Date!H:H)))</f>
        <v>Jul 2025</v>
      </c>
      <c r="U2145">
        <f>IF(Pipeline_tbl[[#This Row],[Closed_Date]]=0,"",Pipeline_tbl[[#This Row],[Closed_Date]]-Pipeline_tbl[[#This Row],[Created_Date]])</f>
        <v>53</v>
      </c>
    </row>
    <row r="2146" spans="1:21" ht="15" customHeight="1" x14ac:dyDescent="0.2">
      <c r="A2146" t="s">
        <v>2452</v>
      </c>
      <c r="B2146" t="s">
        <v>267</v>
      </c>
      <c r="C2146" t="s">
        <v>54</v>
      </c>
      <c r="D2146" s="49">
        <v>45806</v>
      </c>
      <c r="E2146" s="49">
        <v>45811</v>
      </c>
      <c r="F2146" s="49">
        <v>45822</v>
      </c>
      <c r="G2146" s="49">
        <v>45837</v>
      </c>
      <c r="I2146" s="49">
        <v>45858</v>
      </c>
      <c r="J2146" t="s">
        <v>49</v>
      </c>
      <c r="K2146" s="33">
        <v>5100</v>
      </c>
      <c r="L2146" t="s">
        <v>61</v>
      </c>
      <c r="M2146" t="str">
        <f>_xlfn.XLOOKUP(Pipeline_tbl[[#This Row],[Rep_ID]],Dim_Reps!A:A,Dim_Reps!K:K)</f>
        <v>MXN</v>
      </c>
      <c r="N2146" s="33">
        <f>(_xlfn.XLOOKUP(Pipeline_tbl[[#This Row],[Rate_Code_Generalized]],Lookups!A:A,Lookups!B:B))*Pipeline_tbl[[#This Row],[Pipeline_Amount_USD]]</f>
        <v>100636.77</v>
      </c>
      <c r="O2146" t="str">
        <f>_xlfn.XLOOKUP(Pipeline_tbl[[#This Row],[Rep_ID]],Dim_Reps!A:A,Dim_Reps!B:B)</f>
        <v>Yuki Dubois</v>
      </c>
      <c r="P2146" t="str">
        <f>_xlfn.XLOOKUP(Pipeline_tbl[[#This Row],[Rep_ID]],Dim_Reps!A:A,Dim_Reps!C:C)</f>
        <v>Mid-Market AE</v>
      </c>
      <c r="Q2146" t="str">
        <f>_xlfn.XLOOKUP(Pipeline_tbl[[#This Row],[Rep_ID]],Dim_Reps!A:A,Dim_Reps!D:D)</f>
        <v>Mid-Market</v>
      </c>
      <c r="R2146" t="str">
        <f>_xlfn.XLOOKUP(Pipeline_tbl[[#This Row],[Rep_ID]],Dim_Reps!A:A,Dim_Reps!E:E)</f>
        <v>LATAM</v>
      </c>
      <c r="S2146" t="str">
        <f>_xlfn.XLOOKUP(Pipeline_tbl[[#This Row],[Created_Date]],Dim_Date!A:A,Dim_Date!H:H)</f>
        <v>May 2025</v>
      </c>
      <c r="T2146" t="str">
        <f>IF(Pipeline_tbl[[#This Row],[Closed_Date]]=0,"",(_xlfn.XLOOKUP(Pipeline_tbl[[#This Row],[Closed_Date]],Dim_Date!A:A,Dim_Date!H:H)))</f>
        <v>Jul 2025</v>
      </c>
      <c r="U2146">
        <f>IF(Pipeline_tbl[[#This Row],[Closed_Date]]=0,"",Pipeline_tbl[[#This Row],[Closed_Date]]-Pipeline_tbl[[#This Row],[Created_Date]])</f>
        <v>52</v>
      </c>
    </row>
    <row r="2147" spans="1:21" ht="15" customHeight="1" x14ac:dyDescent="0.2">
      <c r="A2147" t="s">
        <v>2453</v>
      </c>
      <c r="B2147" t="s">
        <v>284</v>
      </c>
      <c r="C2147" t="s">
        <v>53</v>
      </c>
      <c r="D2147" s="49">
        <v>45789</v>
      </c>
      <c r="E2147" s="49">
        <v>45797</v>
      </c>
      <c r="F2147" s="49">
        <v>45812</v>
      </c>
      <c r="G2147" s="49">
        <v>45835</v>
      </c>
      <c r="H2147" s="49">
        <v>45854</v>
      </c>
      <c r="I2147" s="49">
        <v>45865</v>
      </c>
      <c r="J2147" t="s">
        <v>47</v>
      </c>
      <c r="K2147" s="33">
        <v>35300</v>
      </c>
      <c r="M2147" t="str">
        <f>_xlfn.XLOOKUP(Pipeline_tbl[[#This Row],[Rep_ID]],Dim_Reps!A:A,Dim_Reps!K:K)</f>
        <v>USD</v>
      </c>
      <c r="N2147" s="33">
        <f>(_xlfn.XLOOKUP(Pipeline_tbl[[#This Row],[Rate_Code_Generalized]],Lookups!A:A,Lookups!B:B))*Pipeline_tbl[[#This Row],[Pipeline_Amount_USD]]</f>
        <v>41099.789999999994</v>
      </c>
      <c r="O2147" t="str">
        <f>_xlfn.XLOOKUP(Pipeline_tbl[[#This Row],[Rep_ID]],Dim_Reps!A:A,Dim_Reps!B:B)</f>
        <v>Taylor Adler</v>
      </c>
      <c r="P2147" t="str">
        <f>_xlfn.XLOOKUP(Pipeline_tbl[[#This Row],[Rep_ID]],Dim_Reps!A:A,Dim_Reps!C:C)</f>
        <v>Senior Enterprise AE</v>
      </c>
      <c r="Q2147" t="str">
        <f>_xlfn.XLOOKUP(Pipeline_tbl[[#This Row],[Rep_ID]],Dim_Reps!A:A,Dim_Reps!D:D)</f>
        <v>Strategic</v>
      </c>
      <c r="R2147" t="str">
        <f>_xlfn.XLOOKUP(Pipeline_tbl[[#This Row],[Rep_ID]],Dim_Reps!A:A,Dim_Reps!E:E)</f>
        <v>NAMER</v>
      </c>
      <c r="S2147" t="str">
        <f>_xlfn.XLOOKUP(Pipeline_tbl[[#This Row],[Created_Date]],Dim_Date!A:A,Dim_Date!H:H)</f>
        <v>May 2025</v>
      </c>
      <c r="T2147" t="str">
        <f>IF(Pipeline_tbl[[#This Row],[Closed_Date]]=0,"",(_xlfn.XLOOKUP(Pipeline_tbl[[#This Row],[Closed_Date]],Dim_Date!A:A,Dim_Date!H:H)))</f>
        <v>Jul 2025</v>
      </c>
      <c r="U2147">
        <f>IF(Pipeline_tbl[[#This Row],[Closed_Date]]=0,"",Pipeline_tbl[[#This Row],[Closed_Date]]-Pipeline_tbl[[#This Row],[Created_Date]])</f>
        <v>76</v>
      </c>
    </row>
    <row r="2148" spans="1:21" ht="15" customHeight="1" x14ac:dyDescent="0.2">
      <c r="A2148" t="s">
        <v>2454</v>
      </c>
      <c r="B2148" t="s">
        <v>269</v>
      </c>
      <c r="C2148" t="s">
        <v>53</v>
      </c>
      <c r="D2148" s="49">
        <v>45807</v>
      </c>
      <c r="E2148" s="49">
        <v>45811</v>
      </c>
      <c r="I2148" s="49">
        <v>45845</v>
      </c>
      <c r="J2148" t="s">
        <v>49</v>
      </c>
      <c r="K2148" s="33">
        <v>18700</v>
      </c>
      <c r="L2148" t="s">
        <v>62</v>
      </c>
      <c r="M2148" t="str">
        <f>_xlfn.XLOOKUP(Pipeline_tbl[[#This Row],[Rep_ID]],Dim_Reps!A:A,Dim_Reps!K:K)</f>
        <v>USD</v>
      </c>
      <c r="N2148" s="33">
        <f>(_xlfn.XLOOKUP(Pipeline_tbl[[#This Row],[Rate_Code_Generalized]],Lookups!A:A,Lookups!B:B))*Pipeline_tbl[[#This Row],[Pipeline_Amount_USD]]</f>
        <v>21772.409999999996</v>
      </c>
      <c r="O2148" t="str">
        <f>_xlfn.XLOOKUP(Pipeline_tbl[[#This Row],[Rep_ID]],Dim_Reps!A:A,Dim_Reps!B:B)</f>
        <v>Morgan Rivera</v>
      </c>
      <c r="P2148" t="str">
        <f>_xlfn.XLOOKUP(Pipeline_tbl[[#This Row],[Rep_ID]],Dim_Reps!A:A,Dim_Reps!C:C)</f>
        <v>Mid-Market AE</v>
      </c>
      <c r="Q2148" t="str">
        <f>_xlfn.XLOOKUP(Pipeline_tbl[[#This Row],[Rep_ID]],Dim_Reps!A:A,Dim_Reps!D:D)</f>
        <v>Mid-Market</v>
      </c>
      <c r="R2148" t="str">
        <f>_xlfn.XLOOKUP(Pipeline_tbl[[#This Row],[Rep_ID]],Dim_Reps!A:A,Dim_Reps!E:E)</f>
        <v>NAMER</v>
      </c>
      <c r="S2148" t="str">
        <f>_xlfn.XLOOKUP(Pipeline_tbl[[#This Row],[Created_Date]],Dim_Date!A:A,Dim_Date!H:H)</f>
        <v>May 2025</v>
      </c>
      <c r="T2148" t="str">
        <f>IF(Pipeline_tbl[[#This Row],[Closed_Date]]=0,"",(_xlfn.XLOOKUP(Pipeline_tbl[[#This Row],[Closed_Date]],Dim_Date!A:A,Dim_Date!H:H)))</f>
        <v>Jul 2025</v>
      </c>
      <c r="U2148">
        <f>IF(Pipeline_tbl[[#This Row],[Closed_Date]]=0,"",Pipeline_tbl[[#This Row],[Closed_Date]]-Pipeline_tbl[[#This Row],[Created_Date]])</f>
        <v>38</v>
      </c>
    </row>
    <row r="2149" spans="1:21" ht="15" customHeight="1" x14ac:dyDescent="0.2">
      <c r="A2149" t="s">
        <v>2455</v>
      </c>
      <c r="B2149" t="s">
        <v>271</v>
      </c>
      <c r="C2149" t="s">
        <v>52</v>
      </c>
      <c r="D2149" s="49">
        <v>45799</v>
      </c>
      <c r="E2149" s="49">
        <v>45803</v>
      </c>
      <c r="F2149" s="49">
        <v>45812</v>
      </c>
      <c r="G2149" s="49">
        <v>45825</v>
      </c>
      <c r="I2149" s="49">
        <v>45843</v>
      </c>
      <c r="J2149" t="s">
        <v>49</v>
      </c>
      <c r="K2149" s="33">
        <v>17500</v>
      </c>
      <c r="L2149" t="s">
        <v>64</v>
      </c>
      <c r="M2149" t="str">
        <f>_xlfn.XLOOKUP(Pipeline_tbl[[#This Row],[Rep_ID]],Dim_Reps!A:A,Dim_Reps!K:K)</f>
        <v>EUR</v>
      </c>
      <c r="N2149" s="33">
        <f>(_xlfn.XLOOKUP(Pipeline_tbl[[#This Row],[Rate_Code_Generalized]],Lookups!A:A,Lookups!B:B))*Pipeline_tbl[[#This Row],[Pipeline_Amount_USD]]</f>
        <v>17500</v>
      </c>
      <c r="O2149" t="str">
        <f>_xlfn.XLOOKUP(Pipeline_tbl[[#This Row],[Rep_ID]],Dim_Reps!A:A,Dim_Reps!B:B)</f>
        <v>Ivy Adler</v>
      </c>
      <c r="P2149" t="str">
        <f>_xlfn.XLOOKUP(Pipeline_tbl[[#This Row],[Rep_ID]],Dim_Reps!A:A,Dim_Reps!C:C)</f>
        <v>Mid-Market AE</v>
      </c>
      <c r="Q2149" t="str">
        <f>_xlfn.XLOOKUP(Pipeline_tbl[[#This Row],[Rep_ID]],Dim_Reps!A:A,Dim_Reps!D:D)</f>
        <v>Mid-Market</v>
      </c>
      <c r="R2149" t="str">
        <f>_xlfn.XLOOKUP(Pipeline_tbl[[#This Row],[Rep_ID]],Dim_Reps!A:A,Dim_Reps!E:E)</f>
        <v>APAC</v>
      </c>
      <c r="S2149" t="str">
        <f>_xlfn.XLOOKUP(Pipeline_tbl[[#This Row],[Created_Date]],Dim_Date!A:A,Dim_Date!H:H)</f>
        <v>May 2025</v>
      </c>
      <c r="T2149" t="str">
        <f>IF(Pipeline_tbl[[#This Row],[Closed_Date]]=0,"",(_xlfn.XLOOKUP(Pipeline_tbl[[#This Row],[Closed_Date]],Dim_Date!A:A,Dim_Date!H:H)))</f>
        <v>Jul 2025</v>
      </c>
      <c r="U2149">
        <f>IF(Pipeline_tbl[[#This Row],[Closed_Date]]=0,"",Pipeline_tbl[[#This Row],[Closed_Date]]-Pipeline_tbl[[#This Row],[Created_Date]])</f>
        <v>44</v>
      </c>
    </row>
    <row r="2150" spans="1:21" ht="15" customHeight="1" x14ac:dyDescent="0.2">
      <c r="A2150" t="s">
        <v>2456</v>
      </c>
      <c r="B2150" t="s">
        <v>273</v>
      </c>
      <c r="C2150" t="s">
        <v>56</v>
      </c>
      <c r="D2150" s="49">
        <v>45798</v>
      </c>
      <c r="E2150" s="49">
        <v>45802</v>
      </c>
      <c r="F2150" s="49">
        <v>45812</v>
      </c>
      <c r="G2150" s="49">
        <v>45825</v>
      </c>
      <c r="I2150" s="49">
        <v>45843</v>
      </c>
      <c r="J2150" t="s">
        <v>49</v>
      </c>
      <c r="K2150" s="33">
        <v>8400</v>
      </c>
      <c r="L2150" t="s">
        <v>61</v>
      </c>
      <c r="M2150" t="str">
        <f>_xlfn.XLOOKUP(Pipeline_tbl[[#This Row],[Rep_ID]],Dim_Reps!A:A,Dim_Reps!K:K)</f>
        <v>EUR</v>
      </c>
      <c r="N2150" s="33">
        <f>(_xlfn.XLOOKUP(Pipeline_tbl[[#This Row],[Rate_Code_Generalized]],Lookups!A:A,Lookups!B:B))*Pipeline_tbl[[#This Row],[Pipeline_Amount_USD]]</f>
        <v>8400</v>
      </c>
      <c r="O2150" t="str">
        <f>_xlfn.XLOOKUP(Pipeline_tbl[[#This Row],[Rep_ID]],Dim_Reps!A:A,Dim_Reps!B:B)</f>
        <v>Olivia Cohen</v>
      </c>
      <c r="P2150" t="str">
        <f>_xlfn.XLOOKUP(Pipeline_tbl[[#This Row],[Rep_ID]],Dim_Reps!A:A,Dim_Reps!C:C)</f>
        <v>Mid-Market AE</v>
      </c>
      <c r="Q2150" t="str">
        <f>_xlfn.XLOOKUP(Pipeline_tbl[[#This Row],[Rep_ID]],Dim_Reps!A:A,Dim_Reps!D:D)</f>
        <v>Mid-Market</v>
      </c>
      <c r="R2150" t="str">
        <f>_xlfn.XLOOKUP(Pipeline_tbl[[#This Row],[Rep_ID]],Dim_Reps!A:A,Dim_Reps!E:E)</f>
        <v>APAC</v>
      </c>
      <c r="S2150" t="str">
        <f>_xlfn.XLOOKUP(Pipeline_tbl[[#This Row],[Created_Date]],Dim_Date!A:A,Dim_Date!H:H)</f>
        <v>May 2025</v>
      </c>
      <c r="T2150" t="str">
        <f>IF(Pipeline_tbl[[#This Row],[Closed_Date]]=0,"",(_xlfn.XLOOKUP(Pipeline_tbl[[#This Row],[Closed_Date]],Dim_Date!A:A,Dim_Date!H:H)))</f>
        <v>Jul 2025</v>
      </c>
      <c r="U2150">
        <f>IF(Pipeline_tbl[[#This Row],[Closed_Date]]=0,"",Pipeline_tbl[[#This Row],[Closed_Date]]-Pipeline_tbl[[#This Row],[Created_Date]])</f>
        <v>45</v>
      </c>
    </row>
    <row r="2151" spans="1:21" ht="15" customHeight="1" x14ac:dyDescent="0.2">
      <c r="A2151" t="s">
        <v>2457</v>
      </c>
      <c r="B2151" t="s">
        <v>273</v>
      </c>
      <c r="C2151" t="s">
        <v>53</v>
      </c>
      <c r="D2151" s="49">
        <v>45804</v>
      </c>
      <c r="E2151" s="49">
        <v>45808</v>
      </c>
      <c r="I2151" s="49">
        <v>45839</v>
      </c>
      <c r="J2151" t="s">
        <v>49</v>
      </c>
      <c r="K2151" s="33">
        <v>9700</v>
      </c>
      <c r="L2151" t="s">
        <v>61</v>
      </c>
      <c r="M2151" t="str">
        <f>_xlfn.XLOOKUP(Pipeline_tbl[[#This Row],[Rep_ID]],Dim_Reps!A:A,Dim_Reps!K:K)</f>
        <v>EUR</v>
      </c>
      <c r="N2151" s="33">
        <f>(_xlfn.XLOOKUP(Pipeline_tbl[[#This Row],[Rate_Code_Generalized]],Lookups!A:A,Lookups!B:B))*Pipeline_tbl[[#This Row],[Pipeline_Amount_USD]]</f>
        <v>9700</v>
      </c>
      <c r="O2151" t="str">
        <f>_xlfn.XLOOKUP(Pipeline_tbl[[#This Row],[Rep_ID]],Dim_Reps!A:A,Dim_Reps!B:B)</f>
        <v>Olivia Cohen</v>
      </c>
      <c r="P2151" t="str">
        <f>_xlfn.XLOOKUP(Pipeline_tbl[[#This Row],[Rep_ID]],Dim_Reps!A:A,Dim_Reps!C:C)</f>
        <v>Mid-Market AE</v>
      </c>
      <c r="Q2151" t="str">
        <f>_xlfn.XLOOKUP(Pipeline_tbl[[#This Row],[Rep_ID]],Dim_Reps!A:A,Dim_Reps!D:D)</f>
        <v>Mid-Market</v>
      </c>
      <c r="R2151" t="str">
        <f>_xlfn.XLOOKUP(Pipeline_tbl[[#This Row],[Rep_ID]],Dim_Reps!A:A,Dim_Reps!E:E)</f>
        <v>APAC</v>
      </c>
      <c r="S2151" t="str">
        <f>_xlfn.XLOOKUP(Pipeline_tbl[[#This Row],[Created_Date]],Dim_Date!A:A,Dim_Date!H:H)</f>
        <v>May 2025</v>
      </c>
      <c r="T2151" t="str">
        <f>IF(Pipeline_tbl[[#This Row],[Closed_Date]]=0,"",(_xlfn.XLOOKUP(Pipeline_tbl[[#This Row],[Closed_Date]],Dim_Date!A:A,Dim_Date!H:H)))</f>
        <v>Jul 2025</v>
      </c>
      <c r="U2151">
        <f>IF(Pipeline_tbl[[#This Row],[Closed_Date]]=0,"",Pipeline_tbl[[#This Row],[Closed_Date]]-Pipeline_tbl[[#This Row],[Created_Date]])</f>
        <v>35</v>
      </c>
    </row>
    <row r="2152" spans="1:21" ht="15" customHeight="1" x14ac:dyDescent="0.2">
      <c r="A2152" t="s">
        <v>2458</v>
      </c>
      <c r="B2152" t="s">
        <v>193</v>
      </c>
      <c r="C2152" t="s">
        <v>56</v>
      </c>
      <c r="D2152" s="49">
        <v>45807</v>
      </c>
      <c r="E2152" s="49">
        <v>45809</v>
      </c>
      <c r="F2152" s="49">
        <v>45815</v>
      </c>
      <c r="G2152" s="49">
        <v>45822</v>
      </c>
      <c r="H2152" s="49">
        <v>45828</v>
      </c>
      <c r="I2152" s="49">
        <v>45832</v>
      </c>
      <c r="J2152" t="s">
        <v>47</v>
      </c>
      <c r="K2152" s="33">
        <v>5900</v>
      </c>
      <c r="M2152" t="str">
        <f>_xlfn.XLOOKUP(Pipeline_tbl[[#This Row],[Rep_ID]],Dim_Reps!A:A,Dim_Reps!K:K)</f>
        <v>USD</v>
      </c>
      <c r="N2152" s="33">
        <f>(_xlfn.XLOOKUP(Pipeline_tbl[[#This Row],[Rate_Code_Generalized]],Lookups!A:A,Lookups!B:B))*Pipeline_tbl[[#This Row],[Pipeline_Amount_USD]]</f>
        <v>6869.369999999999</v>
      </c>
      <c r="O2152" t="str">
        <f>_xlfn.XLOOKUP(Pipeline_tbl[[#This Row],[Rep_ID]],Dim_Reps!A:A,Dim_Reps!B:B)</f>
        <v>Karim Rossi</v>
      </c>
      <c r="P2152" t="str">
        <f>_xlfn.XLOOKUP(Pipeline_tbl[[#This Row],[Rep_ID]],Dim_Reps!A:A,Dim_Reps!C:C)</f>
        <v>SDR / Inside Sales Rep</v>
      </c>
      <c r="Q2152" t="str">
        <f>_xlfn.XLOOKUP(Pipeline_tbl[[#This Row],[Rep_ID]],Dim_Reps!A:A,Dim_Reps!D:D)</f>
        <v>Inside Sales</v>
      </c>
      <c r="R2152" t="str">
        <f>_xlfn.XLOOKUP(Pipeline_tbl[[#This Row],[Rep_ID]],Dim_Reps!A:A,Dim_Reps!E:E)</f>
        <v>NAMER</v>
      </c>
      <c r="S2152" t="str">
        <f>_xlfn.XLOOKUP(Pipeline_tbl[[#This Row],[Created_Date]],Dim_Date!A:A,Dim_Date!H:H)</f>
        <v>May 2025</v>
      </c>
      <c r="T2152" t="str">
        <f>IF(Pipeline_tbl[[#This Row],[Closed_Date]]=0,"",(_xlfn.XLOOKUP(Pipeline_tbl[[#This Row],[Closed_Date]],Dim_Date!A:A,Dim_Date!H:H)))</f>
        <v>Jun 2025</v>
      </c>
      <c r="U2152">
        <f>IF(Pipeline_tbl[[#This Row],[Closed_Date]]=0,"",Pipeline_tbl[[#This Row],[Closed_Date]]-Pipeline_tbl[[#This Row],[Created_Date]])</f>
        <v>25</v>
      </c>
    </row>
    <row r="2153" spans="1:21" ht="15" customHeight="1" x14ac:dyDescent="0.2">
      <c r="A2153" t="s">
        <v>2459</v>
      </c>
      <c r="B2153" t="s">
        <v>193</v>
      </c>
      <c r="C2153" t="s">
        <v>53</v>
      </c>
      <c r="D2153" s="49">
        <v>45803</v>
      </c>
      <c r="E2153" s="49">
        <v>45805</v>
      </c>
      <c r="F2153" s="49">
        <v>45809</v>
      </c>
      <c r="G2153" s="49">
        <v>45814</v>
      </c>
      <c r="H2153" s="49">
        <v>45819</v>
      </c>
      <c r="I2153" s="49">
        <v>45822</v>
      </c>
      <c r="J2153" t="s">
        <v>49</v>
      </c>
      <c r="K2153" s="33">
        <v>7800</v>
      </c>
      <c r="L2153" t="s">
        <v>60</v>
      </c>
      <c r="M2153" t="str">
        <f>_xlfn.XLOOKUP(Pipeline_tbl[[#This Row],[Rep_ID]],Dim_Reps!A:A,Dim_Reps!K:K)</f>
        <v>USD</v>
      </c>
      <c r="N2153" s="33">
        <f>(_xlfn.XLOOKUP(Pipeline_tbl[[#This Row],[Rate_Code_Generalized]],Lookups!A:A,Lookups!B:B))*Pipeline_tbl[[#This Row],[Pipeline_Amount_USD]]</f>
        <v>9081.5399999999991</v>
      </c>
      <c r="O2153" t="str">
        <f>_xlfn.XLOOKUP(Pipeline_tbl[[#This Row],[Rep_ID]],Dim_Reps!A:A,Dim_Reps!B:B)</f>
        <v>Karim Rossi</v>
      </c>
      <c r="P2153" t="str">
        <f>_xlfn.XLOOKUP(Pipeline_tbl[[#This Row],[Rep_ID]],Dim_Reps!A:A,Dim_Reps!C:C)</f>
        <v>SDR / Inside Sales Rep</v>
      </c>
      <c r="Q2153" t="str">
        <f>_xlfn.XLOOKUP(Pipeline_tbl[[#This Row],[Rep_ID]],Dim_Reps!A:A,Dim_Reps!D:D)</f>
        <v>Inside Sales</v>
      </c>
      <c r="R2153" t="str">
        <f>_xlfn.XLOOKUP(Pipeline_tbl[[#This Row],[Rep_ID]],Dim_Reps!A:A,Dim_Reps!E:E)</f>
        <v>NAMER</v>
      </c>
      <c r="S2153" t="str">
        <f>_xlfn.XLOOKUP(Pipeline_tbl[[#This Row],[Created_Date]],Dim_Date!A:A,Dim_Date!H:H)</f>
        <v>May 2025</v>
      </c>
      <c r="T2153" t="str">
        <f>IF(Pipeline_tbl[[#This Row],[Closed_Date]]=0,"",(_xlfn.XLOOKUP(Pipeline_tbl[[#This Row],[Closed_Date]],Dim_Date!A:A,Dim_Date!H:H)))</f>
        <v>Jun 2025</v>
      </c>
      <c r="U2153">
        <f>IF(Pipeline_tbl[[#This Row],[Closed_Date]]=0,"",Pipeline_tbl[[#This Row],[Closed_Date]]-Pipeline_tbl[[#This Row],[Created_Date]])</f>
        <v>19</v>
      </c>
    </row>
    <row r="2154" spans="1:21" ht="15" customHeight="1" x14ac:dyDescent="0.2">
      <c r="A2154" t="s">
        <v>2460</v>
      </c>
      <c r="B2154" t="s">
        <v>193</v>
      </c>
      <c r="C2154" t="s">
        <v>52</v>
      </c>
      <c r="D2154" s="49">
        <v>45799</v>
      </c>
      <c r="E2154" s="49">
        <v>45801</v>
      </c>
      <c r="F2154" s="49">
        <v>45805</v>
      </c>
      <c r="I2154" s="49">
        <v>45818</v>
      </c>
      <c r="J2154" t="s">
        <v>49</v>
      </c>
      <c r="K2154" s="33">
        <v>4000</v>
      </c>
      <c r="L2154" t="s">
        <v>62</v>
      </c>
      <c r="M2154" t="str">
        <f>_xlfn.XLOOKUP(Pipeline_tbl[[#This Row],[Rep_ID]],Dim_Reps!A:A,Dim_Reps!K:K)</f>
        <v>USD</v>
      </c>
      <c r="N2154" s="33">
        <f>(_xlfn.XLOOKUP(Pipeline_tbl[[#This Row],[Rate_Code_Generalized]],Lookups!A:A,Lookups!B:B))*Pipeline_tbl[[#This Row],[Pipeline_Amount_USD]]</f>
        <v>4657.2</v>
      </c>
      <c r="O2154" t="str">
        <f>_xlfn.XLOOKUP(Pipeline_tbl[[#This Row],[Rep_ID]],Dim_Reps!A:A,Dim_Reps!B:B)</f>
        <v>Karim Rossi</v>
      </c>
      <c r="P2154" t="str">
        <f>_xlfn.XLOOKUP(Pipeline_tbl[[#This Row],[Rep_ID]],Dim_Reps!A:A,Dim_Reps!C:C)</f>
        <v>SDR / Inside Sales Rep</v>
      </c>
      <c r="Q2154" t="str">
        <f>_xlfn.XLOOKUP(Pipeline_tbl[[#This Row],[Rep_ID]],Dim_Reps!A:A,Dim_Reps!D:D)</f>
        <v>Inside Sales</v>
      </c>
      <c r="R2154" t="str">
        <f>_xlfn.XLOOKUP(Pipeline_tbl[[#This Row],[Rep_ID]],Dim_Reps!A:A,Dim_Reps!E:E)</f>
        <v>NAMER</v>
      </c>
      <c r="S2154" t="str">
        <f>_xlfn.XLOOKUP(Pipeline_tbl[[#This Row],[Created_Date]],Dim_Date!A:A,Dim_Date!H:H)</f>
        <v>May 2025</v>
      </c>
      <c r="T2154" t="str">
        <f>IF(Pipeline_tbl[[#This Row],[Closed_Date]]=0,"",(_xlfn.XLOOKUP(Pipeline_tbl[[#This Row],[Closed_Date]],Dim_Date!A:A,Dim_Date!H:H)))</f>
        <v>Jun 2025</v>
      </c>
      <c r="U2154">
        <f>IF(Pipeline_tbl[[#This Row],[Closed_Date]]=0,"",Pipeline_tbl[[#This Row],[Closed_Date]]-Pipeline_tbl[[#This Row],[Created_Date]])</f>
        <v>19</v>
      </c>
    </row>
    <row r="2155" spans="1:21" ht="15" customHeight="1" x14ac:dyDescent="0.2">
      <c r="A2155" t="s">
        <v>2461</v>
      </c>
      <c r="B2155" t="s">
        <v>193</v>
      </c>
      <c r="C2155" t="s">
        <v>53</v>
      </c>
      <c r="D2155" s="49">
        <v>45805</v>
      </c>
      <c r="E2155" s="49">
        <v>45807</v>
      </c>
      <c r="F2155" s="49">
        <v>45813</v>
      </c>
      <c r="G2155" s="49">
        <v>45820</v>
      </c>
      <c r="H2155" s="49">
        <v>45826</v>
      </c>
      <c r="I2155" s="49">
        <v>45830</v>
      </c>
      <c r="J2155" t="s">
        <v>47</v>
      </c>
      <c r="K2155" s="33">
        <v>3200</v>
      </c>
      <c r="M2155" t="str">
        <f>_xlfn.XLOOKUP(Pipeline_tbl[[#This Row],[Rep_ID]],Dim_Reps!A:A,Dim_Reps!K:K)</f>
        <v>USD</v>
      </c>
      <c r="N2155" s="33">
        <f>(_xlfn.XLOOKUP(Pipeline_tbl[[#This Row],[Rate_Code_Generalized]],Lookups!A:A,Lookups!B:B))*Pipeline_tbl[[#This Row],[Pipeline_Amount_USD]]</f>
        <v>3725.7599999999998</v>
      </c>
      <c r="O2155" t="str">
        <f>_xlfn.XLOOKUP(Pipeline_tbl[[#This Row],[Rep_ID]],Dim_Reps!A:A,Dim_Reps!B:B)</f>
        <v>Karim Rossi</v>
      </c>
      <c r="P2155" t="str">
        <f>_xlfn.XLOOKUP(Pipeline_tbl[[#This Row],[Rep_ID]],Dim_Reps!A:A,Dim_Reps!C:C)</f>
        <v>SDR / Inside Sales Rep</v>
      </c>
      <c r="Q2155" t="str">
        <f>_xlfn.XLOOKUP(Pipeline_tbl[[#This Row],[Rep_ID]],Dim_Reps!A:A,Dim_Reps!D:D)</f>
        <v>Inside Sales</v>
      </c>
      <c r="R2155" t="str">
        <f>_xlfn.XLOOKUP(Pipeline_tbl[[#This Row],[Rep_ID]],Dim_Reps!A:A,Dim_Reps!E:E)</f>
        <v>NAMER</v>
      </c>
      <c r="S2155" t="str">
        <f>_xlfn.XLOOKUP(Pipeline_tbl[[#This Row],[Created_Date]],Dim_Date!A:A,Dim_Date!H:H)</f>
        <v>May 2025</v>
      </c>
      <c r="T2155" t="str">
        <f>IF(Pipeline_tbl[[#This Row],[Closed_Date]]=0,"",(_xlfn.XLOOKUP(Pipeline_tbl[[#This Row],[Closed_Date]],Dim_Date!A:A,Dim_Date!H:H)))</f>
        <v>Jun 2025</v>
      </c>
      <c r="U2155">
        <f>IF(Pipeline_tbl[[#This Row],[Closed_Date]]=0,"",Pipeline_tbl[[#This Row],[Closed_Date]]-Pipeline_tbl[[#This Row],[Created_Date]])</f>
        <v>25</v>
      </c>
    </row>
    <row r="2156" spans="1:21" ht="15" customHeight="1" x14ac:dyDescent="0.2">
      <c r="A2156" t="s">
        <v>2462</v>
      </c>
      <c r="B2156" t="s">
        <v>193</v>
      </c>
      <c r="C2156" t="s">
        <v>53</v>
      </c>
      <c r="D2156" s="49">
        <v>45801</v>
      </c>
      <c r="E2156" s="49">
        <v>45803</v>
      </c>
      <c r="F2156" s="49">
        <v>45808</v>
      </c>
      <c r="G2156" s="49">
        <v>45815</v>
      </c>
      <c r="H2156" s="49">
        <v>45821</v>
      </c>
      <c r="I2156" s="49">
        <v>45824</v>
      </c>
      <c r="J2156" t="s">
        <v>47</v>
      </c>
      <c r="K2156" s="33">
        <v>2800</v>
      </c>
      <c r="M2156" t="str">
        <f>_xlfn.XLOOKUP(Pipeline_tbl[[#This Row],[Rep_ID]],Dim_Reps!A:A,Dim_Reps!K:K)</f>
        <v>USD</v>
      </c>
      <c r="N2156" s="33">
        <f>(_xlfn.XLOOKUP(Pipeline_tbl[[#This Row],[Rate_Code_Generalized]],Lookups!A:A,Lookups!B:B))*Pipeline_tbl[[#This Row],[Pipeline_Amount_USD]]</f>
        <v>3260.0399999999995</v>
      </c>
      <c r="O2156" t="str">
        <f>_xlfn.XLOOKUP(Pipeline_tbl[[#This Row],[Rep_ID]],Dim_Reps!A:A,Dim_Reps!B:B)</f>
        <v>Karim Rossi</v>
      </c>
      <c r="P2156" t="str">
        <f>_xlfn.XLOOKUP(Pipeline_tbl[[#This Row],[Rep_ID]],Dim_Reps!A:A,Dim_Reps!C:C)</f>
        <v>SDR / Inside Sales Rep</v>
      </c>
      <c r="Q2156" t="str">
        <f>_xlfn.XLOOKUP(Pipeline_tbl[[#This Row],[Rep_ID]],Dim_Reps!A:A,Dim_Reps!D:D)</f>
        <v>Inside Sales</v>
      </c>
      <c r="R2156" t="str">
        <f>_xlfn.XLOOKUP(Pipeline_tbl[[#This Row],[Rep_ID]],Dim_Reps!A:A,Dim_Reps!E:E)</f>
        <v>NAMER</v>
      </c>
      <c r="S2156" t="str">
        <f>_xlfn.XLOOKUP(Pipeline_tbl[[#This Row],[Created_Date]],Dim_Date!A:A,Dim_Date!H:H)</f>
        <v>May 2025</v>
      </c>
      <c r="T2156" t="str">
        <f>IF(Pipeline_tbl[[#This Row],[Closed_Date]]=0,"",(_xlfn.XLOOKUP(Pipeline_tbl[[#This Row],[Closed_Date]],Dim_Date!A:A,Dim_Date!H:H)))</f>
        <v>Jun 2025</v>
      </c>
      <c r="U2156">
        <f>IF(Pipeline_tbl[[#This Row],[Closed_Date]]=0,"",Pipeline_tbl[[#This Row],[Closed_Date]]-Pipeline_tbl[[#This Row],[Created_Date]])</f>
        <v>23</v>
      </c>
    </row>
    <row r="2157" spans="1:21" ht="15" customHeight="1" x14ac:dyDescent="0.2">
      <c r="A2157" t="s">
        <v>2463</v>
      </c>
      <c r="B2157" t="s">
        <v>193</v>
      </c>
      <c r="C2157" t="s">
        <v>54</v>
      </c>
      <c r="D2157" s="49">
        <v>45803</v>
      </c>
      <c r="E2157" s="49">
        <v>45805</v>
      </c>
      <c r="F2157" s="49">
        <v>45808</v>
      </c>
      <c r="G2157" s="49">
        <v>45812</v>
      </c>
      <c r="H2157" s="49">
        <v>45816</v>
      </c>
      <c r="I2157" s="49">
        <v>45818</v>
      </c>
      <c r="J2157" t="s">
        <v>47</v>
      </c>
      <c r="K2157" s="33">
        <v>2700</v>
      </c>
      <c r="M2157" t="str">
        <f>_xlfn.XLOOKUP(Pipeline_tbl[[#This Row],[Rep_ID]],Dim_Reps!A:A,Dim_Reps!K:K)</f>
        <v>USD</v>
      </c>
      <c r="N2157" s="33">
        <f>(_xlfn.XLOOKUP(Pipeline_tbl[[#This Row],[Rate_Code_Generalized]],Lookups!A:A,Lookups!B:B))*Pipeline_tbl[[#This Row],[Pipeline_Amount_USD]]</f>
        <v>3143.6099999999997</v>
      </c>
      <c r="O2157" t="str">
        <f>_xlfn.XLOOKUP(Pipeline_tbl[[#This Row],[Rep_ID]],Dim_Reps!A:A,Dim_Reps!B:B)</f>
        <v>Karim Rossi</v>
      </c>
      <c r="P2157" t="str">
        <f>_xlfn.XLOOKUP(Pipeline_tbl[[#This Row],[Rep_ID]],Dim_Reps!A:A,Dim_Reps!C:C)</f>
        <v>SDR / Inside Sales Rep</v>
      </c>
      <c r="Q2157" t="str">
        <f>_xlfn.XLOOKUP(Pipeline_tbl[[#This Row],[Rep_ID]],Dim_Reps!A:A,Dim_Reps!D:D)</f>
        <v>Inside Sales</v>
      </c>
      <c r="R2157" t="str">
        <f>_xlfn.XLOOKUP(Pipeline_tbl[[#This Row],[Rep_ID]],Dim_Reps!A:A,Dim_Reps!E:E)</f>
        <v>NAMER</v>
      </c>
      <c r="S2157" t="str">
        <f>_xlfn.XLOOKUP(Pipeline_tbl[[#This Row],[Created_Date]],Dim_Date!A:A,Dim_Date!H:H)</f>
        <v>May 2025</v>
      </c>
      <c r="T2157" t="str">
        <f>IF(Pipeline_tbl[[#This Row],[Closed_Date]]=0,"",(_xlfn.XLOOKUP(Pipeline_tbl[[#This Row],[Closed_Date]],Dim_Date!A:A,Dim_Date!H:H)))</f>
        <v>Jun 2025</v>
      </c>
      <c r="U2157">
        <f>IF(Pipeline_tbl[[#This Row],[Closed_Date]]=0,"",Pipeline_tbl[[#This Row],[Closed_Date]]-Pipeline_tbl[[#This Row],[Created_Date]])</f>
        <v>15</v>
      </c>
    </row>
    <row r="2158" spans="1:21" ht="15" customHeight="1" x14ac:dyDescent="0.2">
      <c r="A2158" t="s">
        <v>2464</v>
      </c>
      <c r="B2158" t="s">
        <v>193</v>
      </c>
      <c r="C2158" t="s">
        <v>53</v>
      </c>
      <c r="D2158" s="49">
        <v>45785</v>
      </c>
      <c r="E2158" s="49">
        <v>45787</v>
      </c>
      <c r="F2158" s="49">
        <v>45792</v>
      </c>
      <c r="G2158" s="49">
        <v>45799</v>
      </c>
      <c r="H2158" s="49">
        <v>45805</v>
      </c>
      <c r="I2158" s="49">
        <v>45809</v>
      </c>
      <c r="J2158" t="s">
        <v>49</v>
      </c>
      <c r="K2158" s="33">
        <v>4900</v>
      </c>
      <c r="L2158" t="s">
        <v>61</v>
      </c>
      <c r="M2158" t="str">
        <f>_xlfn.XLOOKUP(Pipeline_tbl[[#This Row],[Rep_ID]],Dim_Reps!A:A,Dim_Reps!K:K)</f>
        <v>USD</v>
      </c>
      <c r="N2158" s="33">
        <f>(_xlfn.XLOOKUP(Pipeline_tbl[[#This Row],[Rate_Code_Generalized]],Lookups!A:A,Lookups!B:B))*Pipeline_tbl[[#This Row],[Pipeline_Amount_USD]]</f>
        <v>5705.07</v>
      </c>
      <c r="O2158" t="str">
        <f>_xlfn.XLOOKUP(Pipeline_tbl[[#This Row],[Rep_ID]],Dim_Reps!A:A,Dim_Reps!B:B)</f>
        <v>Karim Rossi</v>
      </c>
      <c r="P2158" t="str">
        <f>_xlfn.XLOOKUP(Pipeline_tbl[[#This Row],[Rep_ID]],Dim_Reps!A:A,Dim_Reps!C:C)</f>
        <v>SDR / Inside Sales Rep</v>
      </c>
      <c r="Q2158" t="str">
        <f>_xlfn.XLOOKUP(Pipeline_tbl[[#This Row],[Rep_ID]],Dim_Reps!A:A,Dim_Reps!D:D)</f>
        <v>Inside Sales</v>
      </c>
      <c r="R2158" t="str">
        <f>_xlfn.XLOOKUP(Pipeline_tbl[[#This Row],[Rep_ID]],Dim_Reps!A:A,Dim_Reps!E:E)</f>
        <v>NAMER</v>
      </c>
      <c r="S2158" t="str">
        <f>_xlfn.XLOOKUP(Pipeline_tbl[[#This Row],[Created_Date]],Dim_Date!A:A,Dim_Date!H:H)</f>
        <v>May 2025</v>
      </c>
      <c r="T2158" t="str">
        <f>IF(Pipeline_tbl[[#This Row],[Closed_Date]]=0,"",(_xlfn.XLOOKUP(Pipeline_tbl[[#This Row],[Closed_Date]],Dim_Date!A:A,Dim_Date!H:H)))</f>
        <v>Jun 2025</v>
      </c>
      <c r="U2158">
        <f>IF(Pipeline_tbl[[#This Row],[Closed_Date]]=0,"",Pipeline_tbl[[#This Row],[Closed_Date]]-Pipeline_tbl[[#This Row],[Created_Date]])</f>
        <v>24</v>
      </c>
    </row>
    <row r="2159" spans="1:21" ht="15" customHeight="1" x14ac:dyDescent="0.2">
      <c r="A2159" t="s">
        <v>2465</v>
      </c>
      <c r="B2159" t="s">
        <v>193</v>
      </c>
      <c r="C2159" t="s">
        <v>52</v>
      </c>
      <c r="D2159" s="49">
        <v>45803</v>
      </c>
      <c r="E2159" s="49">
        <v>45805</v>
      </c>
      <c r="F2159" s="49">
        <v>45809</v>
      </c>
      <c r="G2159" s="49">
        <v>45815</v>
      </c>
      <c r="I2159" s="49">
        <v>45823</v>
      </c>
      <c r="J2159" t="s">
        <v>49</v>
      </c>
      <c r="K2159" s="33">
        <v>2900</v>
      </c>
      <c r="L2159" t="s">
        <v>60</v>
      </c>
      <c r="M2159" t="str">
        <f>_xlfn.XLOOKUP(Pipeline_tbl[[#This Row],[Rep_ID]],Dim_Reps!A:A,Dim_Reps!K:K)</f>
        <v>USD</v>
      </c>
      <c r="N2159" s="33">
        <f>(_xlfn.XLOOKUP(Pipeline_tbl[[#This Row],[Rate_Code_Generalized]],Lookups!A:A,Lookups!B:B))*Pipeline_tbl[[#This Row],[Pipeline_Amount_USD]]</f>
        <v>3376.47</v>
      </c>
      <c r="O2159" t="str">
        <f>_xlfn.XLOOKUP(Pipeline_tbl[[#This Row],[Rep_ID]],Dim_Reps!A:A,Dim_Reps!B:B)</f>
        <v>Karim Rossi</v>
      </c>
      <c r="P2159" t="str">
        <f>_xlfn.XLOOKUP(Pipeline_tbl[[#This Row],[Rep_ID]],Dim_Reps!A:A,Dim_Reps!C:C)</f>
        <v>SDR / Inside Sales Rep</v>
      </c>
      <c r="Q2159" t="str">
        <f>_xlfn.XLOOKUP(Pipeline_tbl[[#This Row],[Rep_ID]],Dim_Reps!A:A,Dim_Reps!D:D)</f>
        <v>Inside Sales</v>
      </c>
      <c r="R2159" t="str">
        <f>_xlfn.XLOOKUP(Pipeline_tbl[[#This Row],[Rep_ID]],Dim_Reps!A:A,Dim_Reps!E:E)</f>
        <v>NAMER</v>
      </c>
      <c r="S2159" t="str">
        <f>_xlfn.XLOOKUP(Pipeline_tbl[[#This Row],[Created_Date]],Dim_Date!A:A,Dim_Date!H:H)</f>
        <v>May 2025</v>
      </c>
      <c r="T2159" t="str">
        <f>IF(Pipeline_tbl[[#This Row],[Closed_Date]]=0,"",(_xlfn.XLOOKUP(Pipeline_tbl[[#This Row],[Closed_Date]],Dim_Date!A:A,Dim_Date!H:H)))</f>
        <v>Jun 2025</v>
      </c>
      <c r="U2159">
        <f>IF(Pipeline_tbl[[#This Row],[Closed_Date]]=0,"",Pipeline_tbl[[#This Row],[Closed_Date]]-Pipeline_tbl[[#This Row],[Created_Date]])</f>
        <v>20</v>
      </c>
    </row>
    <row r="2160" spans="1:21" ht="15" customHeight="1" x14ac:dyDescent="0.2">
      <c r="A2160" t="s">
        <v>2466</v>
      </c>
      <c r="B2160" t="s">
        <v>193</v>
      </c>
      <c r="C2160" t="s">
        <v>54</v>
      </c>
      <c r="D2160" s="49">
        <v>45800</v>
      </c>
      <c r="E2160" s="49">
        <v>45802</v>
      </c>
      <c r="F2160" s="49">
        <v>45805</v>
      </c>
      <c r="G2160" s="49">
        <v>45811</v>
      </c>
      <c r="H2160" s="49">
        <v>45815</v>
      </c>
      <c r="I2160" s="49">
        <v>45818</v>
      </c>
      <c r="J2160" t="s">
        <v>47</v>
      </c>
      <c r="K2160" s="33">
        <v>1500</v>
      </c>
      <c r="M2160" t="str">
        <f>_xlfn.XLOOKUP(Pipeline_tbl[[#This Row],[Rep_ID]],Dim_Reps!A:A,Dim_Reps!K:K)</f>
        <v>USD</v>
      </c>
      <c r="N2160" s="33">
        <f>(_xlfn.XLOOKUP(Pipeline_tbl[[#This Row],[Rate_Code_Generalized]],Lookups!A:A,Lookups!B:B))*Pipeline_tbl[[#This Row],[Pipeline_Amount_USD]]</f>
        <v>1746.4499999999998</v>
      </c>
      <c r="O2160" t="str">
        <f>_xlfn.XLOOKUP(Pipeline_tbl[[#This Row],[Rep_ID]],Dim_Reps!A:A,Dim_Reps!B:B)</f>
        <v>Karim Rossi</v>
      </c>
      <c r="P2160" t="str">
        <f>_xlfn.XLOOKUP(Pipeline_tbl[[#This Row],[Rep_ID]],Dim_Reps!A:A,Dim_Reps!C:C)</f>
        <v>SDR / Inside Sales Rep</v>
      </c>
      <c r="Q2160" t="str">
        <f>_xlfn.XLOOKUP(Pipeline_tbl[[#This Row],[Rep_ID]],Dim_Reps!A:A,Dim_Reps!D:D)</f>
        <v>Inside Sales</v>
      </c>
      <c r="R2160" t="str">
        <f>_xlfn.XLOOKUP(Pipeline_tbl[[#This Row],[Rep_ID]],Dim_Reps!A:A,Dim_Reps!E:E)</f>
        <v>NAMER</v>
      </c>
      <c r="S2160" t="str">
        <f>_xlfn.XLOOKUP(Pipeline_tbl[[#This Row],[Created_Date]],Dim_Date!A:A,Dim_Date!H:H)</f>
        <v>May 2025</v>
      </c>
      <c r="T2160" t="str">
        <f>IF(Pipeline_tbl[[#This Row],[Closed_Date]]=0,"",(_xlfn.XLOOKUP(Pipeline_tbl[[#This Row],[Closed_Date]],Dim_Date!A:A,Dim_Date!H:H)))</f>
        <v>Jun 2025</v>
      </c>
      <c r="U2160">
        <f>IF(Pipeline_tbl[[#This Row],[Closed_Date]]=0,"",Pipeline_tbl[[#This Row],[Closed_Date]]-Pipeline_tbl[[#This Row],[Created_Date]])</f>
        <v>18</v>
      </c>
    </row>
    <row r="2161" spans="1:21" ht="15" customHeight="1" x14ac:dyDescent="0.2">
      <c r="A2161" t="s">
        <v>2467</v>
      </c>
      <c r="B2161" t="s">
        <v>193</v>
      </c>
      <c r="C2161" t="s">
        <v>54</v>
      </c>
      <c r="D2161" s="49">
        <v>45790</v>
      </c>
      <c r="E2161" s="49">
        <v>45792</v>
      </c>
      <c r="F2161" s="49">
        <v>45797</v>
      </c>
      <c r="G2161" s="49">
        <v>45803</v>
      </c>
      <c r="I2161" s="49">
        <v>45812</v>
      </c>
      <c r="J2161" t="s">
        <v>49</v>
      </c>
      <c r="K2161" s="33">
        <v>2000</v>
      </c>
      <c r="L2161" t="s">
        <v>62</v>
      </c>
      <c r="M2161" t="str">
        <f>_xlfn.XLOOKUP(Pipeline_tbl[[#This Row],[Rep_ID]],Dim_Reps!A:A,Dim_Reps!K:K)</f>
        <v>USD</v>
      </c>
      <c r="N2161" s="33">
        <f>(_xlfn.XLOOKUP(Pipeline_tbl[[#This Row],[Rate_Code_Generalized]],Lookups!A:A,Lookups!B:B))*Pipeline_tbl[[#This Row],[Pipeline_Amount_USD]]</f>
        <v>2328.6</v>
      </c>
      <c r="O2161" t="str">
        <f>_xlfn.XLOOKUP(Pipeline_tbl[[#This Row],[Rep_ID]],Dim_Reps!A:A,Dim_Reps!B:B)</f>
        <v>Karim Rossi</v>
      </c>
      <c r="P2161" t="str">
        <f>_xlfn.XLOOKUP(Pipeline_tbl[[#This Row],[Rep_ID]],Dim_Reps!A:A,Dim_Reps!C:C)</f>
        <v>SDR / Inside Sales Rep</v>
      </c>
      <c r="Q2161" t="str">
        <f>_xlfn.XLOOKUP(Pipeline_tbl[[#This Row],[Rep_ID]],Dim_Reps!A:A,Dim_Reps!D:D)</f>
        <v>Inside Sales</v>
      </c>
      <c r="R2161" t="str">
        <f>_xlfn.XLOOKUP(Pipeline_tbl[[#This Row],[Rep_ID]],Dim_Reps!A:A,Dim_Reps!E:E)</f>
        <v>NAMER</v>
      </c>
      <c r="S2161" t="str">
        <f>_xlfn.XLOOKUP(Pipeline_tbl[[#This Row],[Created_Date]],Dim_Date!A:A,Dim_Date!H:H)</f>
        <v>May 2025</v>
      </c>
      <c r="T2161" t="str">
        <f>IF(Pipeline_tbl[[#This Row],[Closed_Date]]=0,"",(_xlfn.XLOOKUP(Pipeline_tbl[[#This Row],[Closed_Date]],Dim_Date!A:A,Dim_Date!H:H)))</f>
        <v>Jun 2025</v>
      </c>
      <c r="U2161">
        <f>IF(Pipeline_tbl[[#This Row],[Closed_Date]]=0,"",Pipeline_tbl[[#This Row],[Closed_Date]]-Pipeline_tbl[[#This Row],[Created_Date]])</f>
        <v>22</v>
      </c>
    </row>
    <row r="2162" spans="1:21" ht="15" customHeight="1" x14ac:dyDescent="0.2">
      <c r="A2162" t="s">
        <v>2468</v>
      </c>
      <c r="B2162" t="s">
        <v>193</v>
      </c>
      <c r="C2162" t="s">
        <v>52</v>
      </c>
      <c r="D2162" s="49">
        <v>45805</v>
      </c>
      <c r="E2162" s="49">
        <v>45805</v>
      </c>
      <c r="F2162" s="49">
        <v>45807</v>
      </c>
      <c r="I2162" s="49">
        <v>45810</v>
      </c>
      <c r="J2162" t="s">
        <v>49</v>
      </c>
      <c r="K2162" s="33">
        <v>1600</v>
      </c>
      <c r="L2162" t="s">
        <v>61</v>
      </c>
      <c r="M2162" t="str">
        <f>_xlfn.XLOOKUP(Pipeline_tbl[[#This Row],[Rep_ID]],Dim_Reps!A:A,Dim_Reps!K:K)</f>
        <v>USD</v>
      </c>
      <c r="N2162" s="33">
        <f>(_xlfn.XLOOKUP(Pipeline_tbl[[#This Row],[Rate_Code_Generalized]],Lookups!A:A,Lookups!B:B))*Pipeline_tbl[[#This Row],[Pipeline_Amount_USD]]</f>
        <v>1862.8799999999999</v>
      </c>
      <c r="O2162" t="str">
        <f>_xlfn.XLOOKUP(Pipeline_tbl[[#This Row],[Rep_ID]],Dim_Reps!A:A,Dim_Reps!B:B)</f>
        <v>Karim Rossi</v>
      </c>
      <c r="P2162" t="str">
        <f>_xlfn.XLOOKUP(Pipeline_tbl[[#This Row],[Rep_ID]],Dim_Reps!A:A,Dim_Reps!C:C)</f>
        <v>SDR / Inside Sales Rep</v>
      </c>
      <c r="Q2162" t="str">
        <f>_xlfn.XLOOKUP(Pipeline_tbl[[#This Row],[Rep_ID]],Dim_Reps!A:A,Dim_Reps!D:D)</f>
        <v>Inside Sales</v>
      </c>
      <c r="R2162" t="str">
        <f>_xlfn.XLOOKUP(Pipeline_tbl[[#This Row],[Rep_ID]],Dim_Reps!A:A,Dim_Reps!E:E)</f>
        <v>NAMER</v>
      </c>
      <c r="S2162" t="str">
        <f>_xlfn.XLOOKUP(Pipeline_tbl[[#This Row],[Created_Date]],Dim_Date!A:A,Dim_Date!H:H)</f>
        <v>May 2025</v>
      </c>
      <c r="T2162" t="str">
        <f>IF(Pipeline_tbl[[#This Row],[Closed_Date]]=0,"",(_xlfn.XLOOKUP(Pipeline_tbl[[#This Row],[Closed_Date]],Dim_Date!A:A,Dim_Date!H:H)))</f>
        <v>Jun 2025</v>
      </c>
      <c r="U2162">
        <f>IF(Pipeline_tbl[[#This Row],[Closed_Date]]=0,"",Pipeline_tbl[[#This Row],[Closed_Date]]-Pipeline_tbl[[#This Row],[Created_Date]])</f>
        <v>5</v>
      </c>
    </row>
    <row r="2163" spans="1:21" ht="15" customHeight="1" x14ac:dyDescent="0.2">
      <c r="A2163" t="s">
        <v>2469</v>
      </c>
      <c r="B2163" t="s">
        <v>193</v>
      </c>
      <c r="C2163" t="s">
        <v>54</v>
      </c>
      <c r="D2163" s="49">
        <v>45805</v>
      </c>
      <c r="E2163" s="49">
        <v>45807</v>
      </c>
      <c r="F2163" s="49">
        <v>45811</v>
      </c>
      <c r="G2163" s="49">
        <v>45817</v>
      </c>
      <c r="H2163" s="49">
        <v>45822</v>
      </c>
      <c r="I2163" s="49">
        <v>45825</v>
      </c>
      <c r="J2163" t="s">
        <v>49</v>
      </c>
      <c r="K2163" s="33">
        <v>3200</v>
      </c>
      <c r="L2163" t="s">
        <v>60</v>
      </c>
      <c r="M2163" t="str">
        <f>_xlfn.XLOOKUP(Pipeline_tbl[[#This Row],[Rep_ID]],Dim_Reps!A:A,Dim_Reps!K:K)</f>
        <v>USD</v>
      </c>
      <c r="N2163" s="33">
        <f>(_xlfn.XLOOKUP(Pipeline_tbl[[#This Row],[Rate_Code_Generalized]],Lookups!A:A,Lookups!B:B))*Pipeline_tbl[[#This Row],[Pipeline_Amount_USD]]</f>
        <v>3725.7599999999998</v>
      </c>
      <c r="O2163" t="str">
        <f>_xlfn.XLOOKUP(Pipeline_tbl[[#This Row],[Rep_ID]],Dim_Reps!A:A,Dim_Reps!B:B)</f>
        <v>Karim Rossi</v>
      </c>
      <c r="P2163" t="str">
        <f>_xlfn.XLOOKUP(Pipeline_tbl[[#This Row],[Rep_ID]],Dim_Reps!A:A,Dim_Reps!C:C)</f>
        <v>SDR / Inside Sales Rep</v>
      </c>
      <c r="Q2163" t="str">
        <f>_xlfn.XLOOKUP(Pipeline_tbl[[#This Row],[Rep_ID]],Dim_Reps!A:A,Dim_Reps!D:D)</f>
        <v>Inside Sales</v>
      </c>
      <c r="R2163" t="str">
        <f>_xlfn.XLOOKUP(Pipeline_tbl[[#This Row],[Rep_ID]],Dim_Reps!A:A,Dim_Reps!E:E)</f>
        <v>NAMER</v>
      </c>
      <c r="S2163" t="str">
        <f>_xlfn.XLOOKUP(Pipeline_tbl[[#This Row],[Created_Date]],Dim_Date!A:A,Dim_Date!H:H)</f>
        <v>May 2025</v>
      </c>
      <c r="T2163" t="str">
        <f>IF(Pipeline_tbl[[#This Row],[Closed_Date]]=0,"",(_xlfn.XLOOKUP(Pipeline_tbl[[#This Row],[Closed_Date]],Dim_Date!A:A,Dim_Date!H:H)))</f>
        <v>Jun 2025</v>
      </c>
      <c r="U2163">
        <f>IF(Pipeline_tbl[[#This Row],[Closed_Date]]=0,"",Pipeline_tbl[[#This Row],[Closed_Date]]-Pipeline_tbl[[#This Row],[Created_Date]])</f>
        <v>20</v>
      </c>
    </row>
    <row r="2164" spans="1:21" ht="15" customHeight="1" x14ac:dyDescent="0.2">
      <c r="A2164" t="s">
        <v>2470</v>
      </c>
      <c r="B2164" t="s">
        <v>243</v>
      </c>
      <c r="C2164" t="s">
        <v>53</v>
      </c>
      <c r="D2164" s="49">
        <v>45804</v>
      </c>
      <c r="E2164" s="49">
        <v>45807</v>
      </c>
      <c r="F2164" s="49">
        <v>45813</v>
      </c>
      <c r="G2164" s="49">
        <v>45821</v>
      </c>
      <c r="H2164" s="49">
        <v>45829</v>
      </c>
      <c r="I2164" s="49">
        <v>45833</v>
      </c>
      <c r="J2164" t="s">
        <v>47</v>
      </c>
      <c r="K2164" s="33">
        <v>18100</v>
      </c>
      <c r="M2164" t="str">
        <f>_xlfn.XLOOKUP(Pipeline_tbl[[#This Row],[Rep_ID]],Dim_Reps!A:A,Dim_Reps!K:K)</f>
        <v>MXN</v>
      </c>
      <c r="N2164" s="33">
        <f>(_xlfn.XLOOKUP(Pipeline_tbl[[#This Row],[Rate_Code_Generalized]],Lookups!A:A,Lookups!B:B))*Pipeline_tbl[[#This Row],[Pipeline_Amount_USD]]</f>
        <v>357161.87</v>
      </c>
      <c r="O2164" t="str">
        <f>_xlfn.XLOOKUP(Pipeline_tbl[[#This Row],[Rep_ID]],Dim_Reps!A:A,Dim_Reps!B:B)</f>
        <v>Jonas Sato</v>
      </c>
      <c r="P2164" t="str">
        <f>_xlfn.XLOOKUP(Pipeline_tbl[[#This Row],[Rep_ID]],Dim_Reps!A:A,Dim_Reps!C:C)</f>
        <v>Mid-Market AE</v>
      </c>
      <c r="Q2164" t="str">
        <f>_xlfn.XLOOKUP(Pipeline_tbl[[#This Row],[Rep_ID]],Dim_Reps!A:A,Dim_Reps!D:D)</f>
        <v>Mid-Market</v>
      </c>
      <c r="R2164" t="str">
        <f>_xlfn.XLOOKUP(Pipeline_tbl[[#This Row],[Rep_ID]],Dim_Reps!A:A,Dim_Reps!E:E)</f>
        <v>LATAM</v>
      </c>
      <c r="S2164" t="str">
        <f>_xlfn.XLOOKUP(Pipeline_tbl[[#This Row],[Created_Date]],Dim_Date!A:A,Dim_Date!H:H)</f>
        <v>May 2025</v>
      </c>
      <c r="T2164" t="str">
        <f>IF(Pipeline_tbl[[#This Row],[Closed_Date]]=0,"",(_xlfn.XLOOKUP(Pipeline_tbl[[#This Row],[Closed_Date]],Dim_Date!A:A,Dim_Date!H:H)))</f>
        <v>Jun 2025</v>
      </c>
      <c r="U2164">
        <f>IF(Pipeline_tbl[[#This Row],[Closed_Date]]=0,"",Pipeline_tbl[[#This Row],[Closed_Date]]-Pipeline_tbl[[#This Row],[Created_Date]])</f>
        <v>29</v>
      </c>
    </row>
    <row r="2165" spans="1:21" ht="15" customHeight="1" x14ac:dyDescent="0.2">
      <c r="A2165" t="s">
        <v>2471</v>
      </c>
      <c r="B2165" t="s">
        <v>243</v>
      </c>
      <c r="C2165" t="s">
        <v>53</v>
      </c>
      <c r="D2165" s="49">
        <v>45801</v>
      </c>
      <c r="E2165" s="49">
        <v>45804</v>
      </c>
      <c r="F2165" s="49">
        <v>45810</v>
      </c>
      <c r="G2165" s="49">
        <v>45820</v>
      </c>
      <c r="H2165" s="49">
        <v>45827</v>
      </c>
      <c r="I2165" s="49">
        <v>45832</v>
      </c>
      <c r="J2165" t="s">
        <v>49</v>
      </c>
      <c r="K2165" s="33">
        <v>26200</v>
      </c>
      <c r="L2165" t="s">
        <v>62</v>
      </c>
      <c r="M2165" t="str">
        <f>_xlfn.XLOOKUP(Pipeline_tbl[[#This Row],[Rep_ID]],Dim_Reps!A:A,Dim_Reps!K:K)</f>
        <v>MXN</v>
      </c>
      <c r="N2165" s="33">
        <f>(_xlfn.XLOOKUP(Pipeline_tbl[[#This Row],[Rate_Code_Generalized]],Lookups!A:A,Lookups!B:B))*Pipeline_tbl[[#This Row],[Pipeline_Amount_USD]]</f>
        <v>516996.74000000005</v>
      </c>
      <c r="O2165" t="str">
        <f>_xlfn.XLOOKUP(Pipeline_tbl[[#This Row],[Rep_ID]],Dim_Reps!A:A,Dim_Reps!B:B)</f>
        <v>Jonas Sato</v>
      </c>
      <c r="P2165" t="str">
        <f>_xlfn.XLOOKUP(Pipeline_tbl[[#This Row],[Rep_ID]],Dim_Reps!A:A,Dim_Reps!C:C)</f>
        <v>Mid-Market AE</v>
      </c>
      <c r="Q2165" t="str">
        <f>_xlfn.XLOOKUP(Pipeline_tbl[[#This Row],[Rep_ID]],Dim_Reps!A:A,Dim_Reps!D:D)</f>
        <v>Mid-Market</v>
      </c>
      <c r="R2165" t="str">
        <f>_xlfn.XLOOKUP(Pipeline_tbl[[#This Row],[Rep_ID]],Dim_Reps!A:A,Dim_Reps!E:E)</f>
        <v>LATAM</v>
      </c>
      <c r="S2165" t="str">
        <f>_xlfn.XLOOKUP(Pipeline_tbl[[#This Row],[Created_Date]],Dim_Date!A:A,Dim_Date!H:H)</f>
        <v>May 2025</v>
      </c>
      <c r="T2165" t="str">
        <f>IF(Pipeline_tbl[[#This Row],[Closed_Date]]=0,"",(_xlfn.XLOOKUP(Pipeline_tbl[[#This Row],[Closed_Date]],Dim_Date!A:A,Dim_Date!H:H)))</f>
        <v>Jun 2025</v>
      </c>
      <c r="U2165">
        <f>IF(Pipeline_tbl[[#This Row],[Closed_Date]]=0,"",Pipeline_tbl[[#This Row],[Closed_Date]]-Pipeline_tbl[[#This Row],[Created_Date]])</f>
        <v>31</v>
      </c>
    </row>
    <row r="2166" spans="1:21" ht="15" customHeight="1" x14ac:dyDescent="0.2">
      <c r="A2166" t="s">
        <v>2472</v>
      </c>
      <c r="B2166" t="s">
        <v>243</v>
      </c>
      <c r="C2166" t="s">
        <v>55</v>
      </c>
      <c r="D2166" s="49">
        <v>45806</v>
      </c>
      <c r="E2166" s="49">
        <v>45807</v>
      </c>
      <c r="F2166" s="49">
        <v>45810</v>
      </c>
      <c r="G2166" s="49">
        <v>45814</v>
      </c>
      <c r="H2166" s="49">
        <v>45818</v>
      </c>
      <c r="I2166" s="49">
        <v>45820</v>
      </c>
      <c r="J2166" t="s">
        <v>49</v>
      </c>
      <c r="K2166" s="33">
        <v>14300</v>
      </c>
      <c r="L2166" t="s">
        <v>64</v>
      </c>
      <c r="M2166" t="str">
        <f>_xlfn.XLOOKUP(Pipeline_tbl[[#This Row],[Rep_ID]],Dim_Reps!A:A,Dim_Reps!K:K)</f>
        <v>MXN</v>
      </c>
      <c r="N2166" s="33">
        <f>(_xlfn.XLOOKUP(Pipeline_tbl[[#This Row],[Rate_Code_Generalized]],Lookups!A:A,Lookups!B:B))*Pipeline_tbl[[#This Row],[Pipeline_Amount_USD]]</f>
        <v>282177.61000000004</v>
      </c>
      <c r="O2166" t="str">
        <f>_xlfn.XLOOKUP(Pipeline_tbl[[#This Row],[Rep_ID]],Dim_Reps!A:A,Dim_Reps!B:B)</f>
        <v>Jonas Sato</v>
      </c>
      <c r="P2166" t="str">
        <f>_xlfn.XLOOKUP(Pipeline_tbl[[#This Row],[Rep_ID]],Dim_Reps!A:A,Dim_Reps!C:C)</f>
        <v>Mid-Market AE</v>
      </c>
      <c r="Q2166" t="str">
        <f>_xlfn.XLOOKUP(Pipeline_tbl[[#This Row],[Rep_ID]],Dim_Reps!A:A,Dim_Reps!D:D)</f>
        <v>Mid-Market</v>
      </c>
      <c r="R2166" t="str">
        <f>_xlfn.XLOOKUP(Pipeline_tbl[[#This Row],[Rep_ID]],Dim_Reps!A:A,Dim_Reps!E:E)</f>
        <v>LATAM</v>
      </c>
      <c r="S2166" t="str">
        <f>_xlfn.XLOOKUP(Pipeline_tbl[[#This Row],[Created_Date]],Dim_Date!A:A,Dim_Date!H:H)</f>
        <v>May 2025</v>
      </c>
      <c r="T2166" t="str">
        <f>IF(Pipeline_tbl[[#This Row],[Closed_Date]]=0,"",(_xlfn.XLOOKUP(Pipeline_tbl[[#This Row],[Closed_Date]],Dim_Date!A:A,Dim_Date!H:H)))</f>
        <v>Jun 2025</v>
      </c>
      <c r="U2166">
        <f>IF(Pipeline_tbl[[#This Row],[Closed_Date]]=0,"",Pipeline_tbl[[#This Row],[Closed_Date]]-Pipeline_tbl[[#This Row],[Created_Date]])</f>
        <v>14</v>
      </c>
    </row>
    <row r="2167" spans="1:21" ht="15" customHeight="1" x14ac:dyDescent="0.2">
      <c r="A2167" t="s">
        <v>2473</v>
      </c>
      <c r="B2167" t="s">
        <v>243</v>
      </c>
      <c r="C2167" t="s">
        <v>52</v>
      </c>
      <c r="D2167" s="49">
        <v>45794</v>
      </c>
      <c r="E2167" s="49">
        <v>45796</v>
      </c>
      <c r="F2167" s="49">
        <v>45800</v>
      </c>
      <c r="G2167" s="49">
        <v>45806</v>
      </c>
      <c r="I2167" s="49">
        <v>45814</v>
      </c>
      <c r="J2167" t="s">
        <v>49</v>
      </c>
      <c r="K2167" s="33">
        <v>11700</v>
      </c>
      <c r="L2167" t="s">
        <v>61</v>
      </c>
      <c r="M2167" t="str">
        <f>_xlfn.XLOOKUP(Pipeline_tbl[[#This Row],[Rep_ID]],Dim_Reps!A:A,Dim_Reps!K:K)</f>
        <v>MXN</v>
      </c>
      <c r="N2167" s="33">
        <f>(_xlfn.XLOOKUP(Pipeline_tbl[[#This Row],[Rate_Code_Generalized]],Lookups!A:A,Lookups!B:B))*Pipeline_tbl[[#This Row],[Pipeline_Amount_USD]]</f>
        <v>230872.59000000003</v>
      </c>
      <c r="O2167" t="str">
        <f>_xlfn.XLOOKUP(Pipeline_tbl[[#This Row],[Rep_ID]],Dim_Reps!A:A,Dim_Reps!B:B)</f>
        <v>Jonas Sato</v>
      </c>
      <c r="P2167" t="str">
        <f>_xlfn.XLOOKUP(Pipeline_tbl[[#This Row],[Rep_ID]],Dim_Reps!A:A,Dim_Reps!C:C)</f>
        <v>Mid-Market AE</v>
      </c>
      <c r="Q2167" t="str">
        <f>_xlfn.XLOOKUP(Pipeline_tbl[[#This Row],[Rep_ID]],Dim_Reps!A:A,Dim_Reps!D:D)</f>
        <v>Mid-Market</v>
      </c>
      <c r="R2167" t="str">
        <f>_xlfn.XLOOKUP(Pipeline_tbl[[#This Row],[Rep_ID]],Dim_Reps!A:A,Dim_Reps!E:E)</f>
        <v>LATAM</v>
      </c>
      <c r="S2167" t="str">
        <f>_xlfn.XLOOKUP(Pipeline_tbl[[#This Row],[Created_Date]],Dim_Date!A:A,Dim_Date!H:H)</f>
        <v>May 2025</v>
      </c>
      <c r="T2167" t="str">
        <f>IF(Pipeline_tbl[[#This Row],[Closed_Date]]=0,"",(_xlfn.XLOOKUP(Pipeline_tbl[[#This Row],[Closed_Date]],Dim_Date!A:A,Dim_Date!H:H)))</f>
        <v>Jun 2025</v>
      </c>
      <c r="U2167">
        <f>IF(Pipeline_tbl[[#This Row],[Closed_Date]]=0,"",Pipeline_tbl[[#This Row],[Closed_Date]]-Pipeline_tbl[[#This Row],[Created_Date]])</f>
        <v>20</v>
      </c>
    </row>
    <row r="2168" spans="1:21" ht="15" customHeight="1" x14ac:dyDescent="0.2">
      <c r="A2168" t="s">
        <v>2474</v>
      </c>
      <c r="B2168" t="s">
        <v>243</v>
      </c>
      <c r="C2168" t="s">
        <v>55</v>
      </c>
      <c r="D2168" s="49">
        <v>45791</v>
      </c>
      <c r="E2168" s="49">
        <v>45794</v>
      </c>
      <c r="F2168" s="49">
        <v>45800</v>
      </c>
      <c r="G2168" s="49">
        <v>45810</v>
      </c>
      <c r="I2168" s="49">
        <v>45822</v>
      </c>
      <c r="J2168" t="s">
        <v>49</v>
      </c>
      <c r="K2168" s="33">
        <v>18400</v>
      </c>
      <c r="L2168" t="s">
        <v>61</v>
      </c>
      <c r="M2168" t="str">
        <f>_xlfn.XLOOKUP(Pipeline_tbl[[#This Row],[Rep_ID]],Dim_Reps!A:A,Dim_Reps!K:K)</f>
        <v>MXN</v>
      </c>
      <c r="N2168" s="33">
        <f>(_xlfn.XLOOKUP(Pipeline_tbl[[#This Row],[Rate_Code_Generalized]],Lookups!A:A,Lookups!B:B))*Pipeline_tbl[[#This Row],[Pipeline_Amount_USD]]</f>
        <v>363081.68000000005</v>
      </c>
      <c r="O2168" t="str">
        <f>_xlfn.XLOOKUP(Pipeline_tbl[[#This Row],[Rep_ID]],Dim_Reps!A:A,Dim_Reps!B:B)</f>
        <v>Jonas Sato</v>
      </c>
      <c r="P2168" t="str">
        <f>_xlfn.XLOOKUP(Pipeline_tbl[[#This Row],[Rep_ID]],Dim_Reps!A:A,Dim_Reps!C:C)</f>
        <v>Mid-Market AE</v>
      </c>
      <c r="Q2168" t="str">
        <f>_xlfn.XLOOKUP(Pipeline_tbl[[#This Row],[Rep_ID]],Dim_Reps!A:A,Dim_Reps!D:D)</f>
        <v>Mid-Market</v>
      </c>
      <c r="R2168" t="str">
        <f>_xlfn.XLOOKUP(Pipeline_tbl[[#This Row],[Rep_ID]],Dim_Reps!A:A,Dim_Reps!E:E)</f>
        <v>LATAM</v>
      </c>
      <c r="S2168" t="str">
        <f>_xlfn.XLOOKUP(Pipeline_tbl[[#This Row],[Created_Date]],Dim_Date!A:A,Dim_Date!H:H)</f>
        <v>May 2025</v>
      </c>
      <c r="T2168" t="str">
        <f>IF(Pipeline_tbl[[#This Row],[Closed_Date]]=0,"",(_xlfn.XLOOKUP(Pipeline_tbl[[#This Row],[Closed_Date]],Dim_Date!A:A,Dim_Date!H:H)))</f>
        <v>Jun 2025</v>
      </c>
      <c r="U2168">
        <f>IF(Pipeline_tbl[[#This Row],[Closed_Date]]=0,"",Pipeline_tbl[[#This Row],[Closed_Date]]-Pipeline_tbl[[#This Row],[Created_Date]])</f>
        <v>31</v>
      </c>
    </row>
    <row r="2169" spans="1:21" ht="15" customHeight="1" x14ac:dyDescent="0.2">
      <c r="A2169" t="s">
        <v>2475</v>
      </c>
      <c r="B2169" t="s">
        <v>196</v>
      </c>
      <c r="C2169" t="s">
        <v>52</v>
      </c>
      <c r="D2169" s="49">
        <v>45806</v>
      </c>
      <c r="E2169" s="49">
        <v>45808</v>
      </c>
      <c r="F2169" s="49">
        <v>45812</v>
      </c>
      <c r="I2169" s="49">
        <v>45826</v>
      </c>
      <c r="J2169" t="s">
        <v>49</v>
      </c>
      <c r="K2169" s="33">
        <v>3700</v>
      </c>
      <c r="L2169" t="s">
        <v>61</v>
      </c>
      <c r="M2169" t="str">
        <f>_xlfn.XLOOKUP(Pipeline_tbl[[#This Row],[Rep_ID]],Dim_Reps!A:A,Dim_Reps!K:K)</f>
        <v>EUR</v>
      </c>
      <c r="N2169" s="33">
        <f>(_xlfn.XLOOKUP(Pipeline_tbl[[#This Row],[Rate_Code_Generalized]],Lookups!A:A,Lookups!B:B))*Pipeline_tbl[[#This Row],[Pipeline_Amount_USD]]</f>
        <v>3700</v>
      </c>
      <c r="O2169" t="str">
        <f>_xlfn.XLOOKUP(Pipeline_tbl[[#This Row],[Rep_ID]],Dim_Reps!A:A,Dim_Reps!B:B)</f>
        <v>Alex Okafor</v>
      </c>
      <c r="P2169" t="str">
        <f>_xlfn.XLOOKUP(Pipeline_tbl[[#This Row],[Rep_ID]],Dim_Reps!A:A,Dim_Reps!C:C)</f>
        <v>SDR / Inside Sales Rep</v>
      </c>
      <c r="Q2169" t="str">
        <f>_xlfn.XLOOKUP(Pipeline_tbl[[#This Row],[Rep_ID]],Dim_Reps!A:A,Dim_Reps!D:D)</f>
        <v>Inside Sales</v>
      </c>
      <c r="R2169" t="str">
        <f>_xlfn.XLOOKUP(Pipeline_tbl[[#This Row],[Rep_ID]],Dim_Reps!A:A,Dim_Reps!E:E)</f>
        <v>EMEA</v>
      </c>
      <c r="S2169" t="str">
        <f>_xlfn.XLOOKUP(Pipeline_tbl[[#This Row],[Created_Date]],Dim_Date!A:A,Dim_Date!H:H)</f>
        <v>May 2025</v>
      </c>
      <c r="T2169" t="str">
        <f>IF(Pipeline_tbl[[#This Row],[Closed_Date]]=0,"",(_xlfn.XLOOKUP(Pipeline_tbl[[#This Row],[Closed_Date]],Dim_Date!A:A,Dim_Date!H:H)))</f>
        <v>Jun 2025</v>
      </c>
      <c r="U2169">
        <f>IF(Pipeline_tbl[[#This Row],[Closed_Date]]=0,"",Pipeline_tbl[[#This Row],[Closed_Date]]-Pipeline_tbl[[#This Row],[Created_Date]])</f>
        <v>20</v>
      </c>
    </row>
    <row r="2170" spans="1:21" ht="15" customHeight="1" x14ac:dyDescent="0.2">
      <c r="A2170" t="s">
        <v>2476</v>
      </c>
      <c r="B2170" t="s">
        <v>196</v>
      </c>
      <c r="C2170" t="s">
        <v>52</v>
      </c>
      <c r="D2170" s="49">
        <v>45790</v>
      </c>
      <c r="E2170" s="49">
        <v>45792</v>
      </c>
      <c r="F2170" s="49">
        <v>45797</v>
      </c>
      <c r="G2170" s="49">
        <v>45804</v>
      </c>
      <c r="H2170" s="49">
        <v>45810</v>
      </c>
      <c r="I2170" s="49">
        <v>45813</v>
      </c>
      <c r="J2170" t="s">
        <v>49</v>
      </c>
      <c r="K2170" s="33">
        <v>4600</v>
      </c>
      <c r="L2170" t="s">
        <v>61</v>
      </c>
      <c r="M2170" t="str">
        <f>_xlfn.XLOOKUP(Pipeline_tbl[[#This Row],[Rep_ID]],Dim_Reps!A:A,Dim_Reps!K:K)</f>
        <v>EUR</v>
      </c>
      <c r="N2170" s="33">
        <f>(_xlfn.XLOOKUP(Pipeline_tbl[[#This Row],[Rate_Code_Generalized]],Lookups!A:A,Lookups!B:B))*Pipeline_tbl[[#This Row],[Pipeline_Amount_USD]]</f>
        <v>4600</v>
      </c>
      <c r="O2170" t="str">
        <f>_xlfn.XLOOKUP(Pipeline_tbl[[#This Row],[Rep_ID]],Dim_Reps!A:A,Dim_Reps!B:B)</f>
        <v>Alex Okafor</v>
      </c>
      <c r="P2170" t="str">
        <f>_xlfn.XLOOKUP(Pipeline_tbl[[#This Row],[Rep_ID]],Dim_Reps!A:A,Dim_Reps!C:C)</f>
        <v>SDR / Inside Sales Rep</v>
      </c>
      <c r="Q2170" t="str">
        <f>_xlfn.XLOOKUP(Pipeline_tbl[[#This Row],[Rep_ID]],Dim_Reps!A:A,Dim_Reps!D:D)</f>
        <v>Inside Sales</v>
      </c>
      <c r="R2170" t="str">
        <f>_xlfn.XLOOKUP(Pipeline_tbl[[#This Row],[Rep_ID]],Dim_Reps!A:A,Dim_Reps!E:E)</f>
        <v>EMEA</v>
      </c>
      <c r="S2170" t="str">
        <f>_xlfn.XLOOKUP(Pipeline_tbl[[#This Row],[Created_Date]],Dim_Date!A:A,Dim_Date!H:H)</f>
        <v>May 2025</v>
      </c>
      <c r="T2170" t="str">
        <f>IF(Pipeline_tbl[[#This Row],[Closed_Date]]=0,"",(_xlfn.XLOOKUP(Pipeline_tbl[[#This Row],[Closed_Date]],Dim_Date!A:A,Dim_Date!H:H)))</f>
        <v>Jun 2025</v>
      </c>
      <c r="U2170">
        <f>IF(Pipeline_tbl[[#This Row],[Closed_Date]]=0,"",Pipeline_tbl[[#This Row],[Closed_Date]]-Pipeline_tbl[[#This Row],[Created_Date]])</f>
        <v>23</v>
      </c>
    </row>
    <row r="2171" spans="1:21" ht="15" customHeight="1" x14ac:dyDescent="0.2">
      <c r="A2171" t="s">
        <v>2477</v>
      </c>
      <c r="B2171" t="s">
        <v>196</v>
      </c>
      <c r="C2171" t="s">
        <v>55</v>
      </c>
      <c r="D2171" s="49">
        <v>45802</v>
      </c>
      <c r="E2171" s="49">
        <v>45804</v>
      </c>
      <c r="F2171" s="49">
        <v>45808</v>
      </c>
      <c r="G2171" s="49">
        <v>45815</v>
      </c>
      <c r="H2171" s="49">
        <v>45820</v>
      </c>
      <c r="I2171" s="49">
        <v>45823</v>
      </c>
      <c r="J2171" t="s">
        <v>49</v>
      </c>
      <c r="K2171" s="33">
        <v>2800</v>
      </c>
      <c r="L2171" t="s">
        <v>61</v>
      </c>
      <c r="M2171" t="str">
        <f>_xlfn.XLOOKUP(Pipeline_tbl[[#This Row],[Rep_ID]],Dim_Reps!A:A,Dim_Reps!K:K)</f>
        <v>EUR</v>
      </c>
      <c r="N2171" s="33">
        <f>(_xlfn.XLOOKUP(Pipeline_tbl[[#This Row],[Rate_Code_Generalized]],Lookups!A:A,Lookups!B:B))*Pipeline_tbl[[#This Row],[Pipeline_Amount_USD]]</f>
        <v>2800</v>
      </c>
      <c r="O2171" t="str">
        <f>_xlfn.XLOOKUP(Pipeline_tbl[[#This Row],[Rep_ID]],Dim_Reps!A:A,Dim_Reps!B:B)</f>
        <v>Alex Okafor</v>
      </c>
      <c r="P2171" t="str">
        <f>_xlfn.XLOOKUP(Pipeline_tbl[[#This Row],[Rep_ID]],Dim_Reps!A:A,Dim_Reps!C:C)</f>
        <v>SDR / Inside Sales Rep</v>
      </c>
      <c r="Q2171" t="str">
        <f>_xlfn.XLOOKUP(Pipeline_tbl[[#This Row],[Rep_ID]],Dim_Reps!A:A,Dim_Reps!D:D)</f>
        <v>Inside Sales</v>
      </c>
      <c r="R2171" t="str">
        <f>_xlfn.XLOOKUP(Pipeline_tbl[[#This Row],[Rep_ID]],Dim_Reps!A:A,Dim_Reps!E:E)</f>
        <v>EMEA</v>
      </c>
      <c r="S2171" t="str">
        <f>_xlfn.XLOOKUP(Pipeline_tbl[[#This Row],[Created_Date]],Dim_Date!A:A,Dim_Date!H:H)</f>
        <v>May 2025</v>
      </c>
      <c r="T2171" t="str">
        <f>IF(Pipeline_tbl[[#This Row],[Closed_Date]]=0,"",(_xlfn.XLOOKUP(Pipeline_tbl[[#This Row],[Closed_Date]],Dim_Date!A:A,Dim_Date!H:H)))</f>
        <v>Jun 2025</v>
      </c>
      <c r="U2171">
        <f>IF(Pipeline_tbl[[#This Row],[Closed_Date]]=0,"",Pipeline_tbl[[#This Row],[Closed_Date]]-Pipeline_tbl[[#This Row],[Created_Date]])</f>
        <v>21</v>
      </c>
    </row>
    <row r="2172" spans="1:21" ht="15" customHeight="1" x14ac:dyDescent="0.2">
      <c r="A2172" t="s">
        <v>2478</v>
      </c>
      <c r="B2172" t="s">
        <v>196</v>
      </c>
      <c r="C2172" t="s">
        <v>52</v>
      </c>
      <c r="D2172" s="49">
        <v>45808</v>
      </c>
      <c r="E2172" s="49">
        <v>45810</v>
      </c>
      <c r="F2172" s="49">
        <v>45815</v>
      </c>
      <c r="G2172" s="49">
        <v>45822</v>
      </c>
      <c r="I2172" s="49">
        <v>45831</v>
      </c>
      <c r="J2172" t="s">
        <v>49</v>
      </c>
      <c r="K2172" s="33">
        <v>2700</v>
      </c>
      <c r="L2172" t="s">
        <v>61</v>
      </c>
      <c r="M2172" t="str">
        <f>_xlfn.XLOOKUP(Pipeline_tbl[[#This Row],[Rep_ID]],Dim_Reps!A:A,Dim_Reps!K:K)</f>
        <v>EUR</v>
      </c>
      <c r="N2172" s="33">
        <f>(_xlfn.XLOOKUP(Pipeline_tbl[[#This Row],[Rate_Code_Generalized]],Lookups!A:A,Lookups!B:B))*Pipeline_tbl[[#This Row],[Pipeline_Amount_USD]]</f>
        <v>2700</v>
      </c>
      <c r="O2172" t="str">
        <f>_xlfn.XLOOKUP(Pipeline_tbl[[#This Row],[Rep_ID]],Dim_Reps!A:A,Dim_Reps!B:B)</f>
        <v>Alex Okafor</v>
      </c>
      <c r="P2172" t="str">
        <f>_xlfn.XLOOKUP(Pipeline_tbl[[#This Row],[Rep_ID]],Dim_Reps!A:A,Dim_Reps!C:C)</f>
        <v>SDR / Inside Sales Rep</v>
      </c>
      <c r="Q2172" t="str">
        <f>_xlfn.XLOOKUP(Pipeline_tbl[[#This Row],[Rep_ID]],Dim_Reps!A:A,Dim_Reps!D:D)</f>
        <v>Inside Sales</v>
      </c>
      <c r="R2172" t="str">
        <f>_xlfn.XLOOKUP(Pipeline_tbl[[#This Row],[Rep_ID]],Dim_Reps!A:A,Dim_Reps!E:E)</f>
        <v>EMEA</v>
      </c>
      <c r="S2172" t="str">
        <f>_xlfn.XLOOKUP(Pipeline_tbl[[#This Row],[Created_Date]],Dim_Date!A:A,Dim_Date!H:H)</f>
        <v>May 2025</v>
      </c>
      <c r="T2172" t="str">
        <f>IF(Pipeline_tbl[[#This Row],[Closed_Date]]=0,"",(_xlfn.XLOOKUP(Pipeline_tbl[[#This Row],[Closed_Date]],Dim_Date!A:A,Dim_Date!H:H)))</f>
        <v>Jun 2025</v>
      </c>
      <c r="U2172">
        <f>IF(Pipeline_tbl[[#This Row],[Closed_Date]]=0,"",Pipeline_tbl[[#This Row],[Closed_Date]]-Pipeline_tbl[[#This Row],[Created_Date]])</f>
        <v>23</v>
      </c>
    </row>
    <row r="2173" spans="1:21" ht="15" customHeight="1" x14ac:dyDescent="0.2">
      <c r="A2173" t="s">
        <v>2479</v>
      </c>
      <c r="B2173" t="s">
        <v>196</v>
      </c>
      <c r="C2173" t="s">
        <v>55</v>
      </c>
      <c r="D2173" s="49">
        <v>45804</v>
      </c>
      <c r="E2173" s="49">
        <v>45806</v>
      </c>
      <c r="F2173" s="49">
        <v>45810</v>
      </c>
      <c r="G2173" s="49">
        <v>45815</v>
      </c>
      <c r="H2173" s="49">
        <v>45820</v>
      </c>
      <c r="I2173" s="49">
        <v>45823</v>
      </c>
      <c r="J2173" t="s">
        <v>47</v>
      </c>
      <c r="K2173" s="33">
        <v>4100</v>
      </c>
      <c r="M2173" t="str">
        <f>_xlfn.XLOOKUP(Pipeline_tbl[[#This Row],[Rep_ID]],Dim_Reps!A:A,Dim_Reps!K:K)</f>
        <v>EUR</v>
      </c>
      <c r="N2173" s="33">
        <f>(_xlfn.XLOOKUP(Pipeline_tbl[[#This Row],[Rate_Code_Generalized]],Lookups!A:A,Lookups!B:B))*Pipeline_tbl[[#This Row],[Pipeline_Amount_USD]]</f>
        <v>4100</v>
      </c>
      <c r="O2173" t="str">
        <f>_xlfn.XLOOKUP(Pipeline_tbl[[#This Row],[Rep_ID]],Dim_Reps!A:A,Dim_Reps!B:B)</f>
        <v>Alex Okafor</v>
      </c>
      <c r="P2173" t="str">
        <f>_xlfn.XLOOKUP(Pipeline_tbl[[#This Row],[Rep_ID]],Dim_Reps!A:A,Dim_Reps!C:C)</f>
        <v>SDR / Inside Sales Rep</v>
      </c>
      <c r="Q2173" t="str">
        <f>_xlfn.XLOOKUP(Pipeline_tbl[[#This Row],[Rep_ID]],Dim_Reps!A:A,Dim_Reps!D:D)</f>
        <v>Inside Sales</v>
      </c>
      <c r="R2173" t="str">
        <f>_xlfn.XLOOKUP(Pipeline_tbl[[#This Row],[Rep_ID]],Dim_Reps!A:A,Dim_Reps!E:E)</f>
        <v>EMEA</v>
      </c>
      <c r="S2173" t="str">
        <f>_xlfn.XLOOKUP(Pipeline_tbl[[#This Row],[Created_Date]],Dim_Date!A:A,Dim_Date!H:H)</f>
        <v>May 2025</v>
      </c>
      <c r="T2173" t="str">
        <f>IF(Pipeline_tbl[[#This Row],[Closed_Date]]=0,"",(_xlfn.XLOOKUP(Pipeline_tbl[[#This Row],[Closed_Date]],Dim_Date!A:A,Dim_Date!H:H)))</f>
        <v>Jun 2025</v>
      </c>
      <c r="U2173">
        <f>IF(Pipeline_tbl[[#This Row],[Closed_Date]]=0,"",Pipeline_tbl[[#This Row],[Closed_Date]]-Pipeline_tbl[[#This Row],[Created_Date]])</f>
        <v>19</v>
      </c>
    </row>
    <row r="2174" spans="1:21" ht="15" customHeight="1" x14ac:dyDescent="0.2">
      <c r="A2174" t="s">
        <v>2480</v>
      </c>
      <c r="B2174" t="s">
        <v>199</v>
      </c>
      <c r="C2174" t="s">
        <v>53</v>
      </c>
      <c r="D2174" s="49">
        <v>45808</v>
      </c>
      <c r="E2174" s="49">
        <v>45810</v>
      </c>
      <c r="F2174" s="49">
        <v>45813</v>
      </c>
      <c r="G2174" s="49">
        <v>45819</v>
      </c>
      <c r="H2174" s="49">
        <v>45823</v>
      </c>
      <c r="I2174" s="49">
        <v>45826</v>
      </c>
      <c r="J2174" t="s">
        <v>49</v>
      </c>
      <c r="K2174" s="33">
        <v>2400</v>
      </c>
      <c r="L2174" t="s">
        <v>63</v>
      </c>
      <c r="M2174" t="str">
        <f>_xlfn.XLOOKUP(Pipeline_tbl[[#This Row],[Rep_ID]],Dim_Reps!A:A,Dim_Reps!K:K)</f>
        <v>EUR</v>
      </c>
      <c r="N2174" s="33">
        <f>(_xlfn.XLOOKUP(Pipeline_tbl[[#This Row],[Rate_Code_Generalized]],Lookups!A:A,Lookups!B:B))*Pipeline_tbl[[#This Row],[Pipeline_Amount_USD]]</f>
        <v>2400</v>
      </c>
      <c r="O2174" t="str">
        <f>_xlfn.XLOOKUP(Pipeline_tbl[[#This Row],[Rep_ID]],Dim_Reps!A:A,Dim_Reps!B:B)</f>
        <v>Lucas Okafor</v>
      </c>
      <c r="P2174" t="str">
        <f>_xlfn.XLOOKUP(Pipeline_tbl[[#This Row],[Rep_ID]],Dim_Reps!A:A,Dim_Reps!C:C)</f>
        <v>SDR / Inside Sales Rep</v>
      </c>
      <c r="Q2174" t="str">
        <f>_xlfn.XLOOKUP(Pipeline_tbl[[#This Row],[Rep_ID]],Dim_Reps!A:A,Dim_Reps!D:D)</f>
        <v>Inside Sales</v>
      </c>
      <c r="R2174" t="str">
        <f>_xlfn.XLOOKUP(Pipeline_tbl[[#This Row],[Rep_ID]],Dim_Reps!A:A,Dim_Reps!E:E)</f>
        <v>APAC</v>
      </c>
      <c r="S2174" t="str">
        <f>_xlfn.XLOOKUP(Pipeline_tbl[[#This Row],[Created_Date]],Dim_Date!A:A,Dim_Date!H:H)</f>
        <v>May 2025</v>
      </c>
      <c r="T2174" t="str">
        <f>IF(Pipeline_tbl[[#This Row],[Closed_Date]]=0,"",(_xlfn.XLOOKUP(Pipeline_tbl[[#This Row],[Closed_Date]],Dim_Date!A:A,Dim_Date!H:H)))</f>
        <v>Jun 2025</v>
      </c>
      <c r="U2174">
        <f>IF(Pipeline_tbl[[#This Row],[Closed_Date]]=0,"",Pipeline_tbl[[#This Row],[Closed_Date]]-Pipeline_tbl[[#This Row],[Created_Date]])</f>
        <v>18</v>
      </c>
    </row>
    <row r="2175" spans="1:21" ht="15" customHeight="1" x14ac:dyDescent="0.2">
      <c r="A2175" t="s">
        <v>2481</v>
      </c>
      <c r="B2175" t="s">
        <v>199</v>
      </c>
      <c r="C2175" t="s">
        <v>52</v>
      </c>
      <c r="D2175" s="49">
        <v>45786</v>
      </c>
      <c r="E2175" s="49">
        <v>45788</v>
      </c>
      <c r="F2175" s="49">
        <v>45793</v>
      </c>
      <c r="G2175" s="49">
        <v>45800</v>
      </c>
      <c r="I2175" s="49">
        <v>45810</v>
      </c>
      <c r="J2175" t="s">
        <v>49</v>
      </c>
      <c r="K2175" s="33">
        <v>1800</v>
      </c>
      <c r="L2175" t="s">
        <v>60</v>
      </c>
      <c r="M2175" t="str">
        <f>_xlfn.XLOOKUP(Pipeline_tbl[[#This Row],[Rep_ID]],Dim_Reps!A:A,Dim_Reps!K:K)</f>
        <v>EUR</v>
      </c>
      <c r="N2175" s="33">
        <f>(_xlfn.XLOOKUP(Pipeline_tbl[[#This Row],[Rate_Code_Generalized]],Lookups!A:A,Lookups!B:B))*Pipeline_tbl[[#This Row],[Pipeline_Amount_USD]]</f>
        <v>1800</v>
      </c>
      <c r="O2175" t="str">
        <f>_xlfn.XLOOKUP(Pipeline_tbl[[#This Row],[Rep_ID]],Dim_Reps!A:A,Dim_Reps!B:B)</f>
        <v>Lucas Okafor</v>
      </c>
      <c r="P2175" t="str">
        <f>_xlfn.XLOOKUP(Pipeline_tbl[[#This Row],[Rep_ID]],Dim_Reps!A:A,Dim_Reps!C:C)</f>
        <v>SDR / Inside Sales Rep</v>
      </c>
      <c r="Q2175" t="str">
        <f>_xlfn.XLOOKUP(Pipeline_tbl[[#This Row],[Rep_ID]],Dim_Reps!A:A,Dim_Reps!D:D)</f>
        <v>Inside Sales</v>
      </c>
      <c r="R2175" t="str">
        <f>_xlfn.XLOOKUP(Pipeline_tbl[[#This Row],[Rep_ID]],Dim_Reps!A:A,Dim_Reps!E:E)</f>
        <v>APAC</v>
      </c>
      <c r="S2175" t="str">
        <f>_xlfn.XLOOKUP(Pipeline_tbl[[#This Row],[Created_Date]],Dim_Date!A:A,Dim_Date!H:H)</f>
        <v>May 2025</v>
      </c>
      <c r="T2175" t="str">
        <f>IF(Pipeline_tbl[[#This Row],[Closed_Date]]=0,"",(_xlfn.XLOOKUP(Pipeline_tbl[[#This Row],[Closed_Date]],Dim_Date!A:A,Dim_Date!H:H)))</f>
        <v>Jun 2025</v>
      </c>
      <c r="U2175">
        <f>IF(Pipeline_tbl[[#This Row],[Closed_Date]]=0,"",Pipeline_tbl[[#This Row],[Closed_Date]]-Pipeline_tbl[[#This Row],[Created_Date]])</f>
        <v>24</v>
      </c>
    </row>
    <row r="2176" spans="1:21" ht="15" customHeight="1" x14ac:dyDescent="0.2">
      <c r="A2176" t="s">
        <v>2482</v>
      </c>
      <c r="B2176" t="s">
        <v>199</v>
      </c>
      <c r="C2176" t="s">
        <v>52</v>
      </c>
      <c r="D2176" s="49">
        <v>45808</v>
      </c>
      <c r="E2176" s="49">
        <v>45810</v>
      </c>
      <c r="F2176" s="49">
        <v>45814</v>
      </c>
      <c r="G2176" s="49">
        <v>45820</v>
      </c>
      <c r="H2176" s="49">
        <v>45825</v>
      </c>
      <c r="I2176" s="49">
        <v>45828</v>
      </c>
      <c r="J2176" t="s">
        <v>47</v>
      </c>
      <c r="K2176" s="33">
        <v>4700</v>
      </c>
      <c r="M2176" t="str">
        <f>_xlfn.XLOOKUP(Pipeline_tbl[[#This Row],[Rep_ID]],Dim_Reps!A:A,Dim_Reps!K:K)</f>
        <v>EUR</v>
      </c>
      <c r="N2176" s="33">
        <f>(_xlfn.XLOOKUP(Pipeline_tbl[[#This Row],[Rate_Code_Generalized]],Lookups!A:A,Lookups!B:B))*Pipeline_tbl[[#This Row],[Pipeline_Amount_USD]]</f>
        <v>4700</v>
      </c>
      <c r="O2176" t="str">
        <f>_xlfn.XLOOKUP(Pipeline_tbl[[#This Row],[Rep_ID]],Dim_Reps!A:A,Dim_Reps!B:B)</f>
        <v>Lucas Okafor</v>
      </c>
      <c r="P2176" t="str">
        <f>_xlfn.XLOOKUP(Pipeline_tbl[[#This Row],[Rep_ID]],Dim_Reps!A:A,Dim_Reps!C:C)</f>
        <v>SDR / Inside Sales Rep</v>
      </c>
      <c r="Q2176" t="str">
        <f>_xlfn.XLOOKUP(Pipeline_tbl[[#This Row],[Rep_ID]],Dim_Reps!A:A,Dim_Reps!D:D)</f>
        <v>Inside Sales</v>
      </c>
      <c r="R2176" t="str">
        <f>_xlfn.XLOOKUP(Pipeline_tbl[[#This Row],[Rep_ID]],Dim_Reps!A:A,Dim_Reps!E:E)</f>
        <v>APAC</v>
      </c>
      <c r="S2176" t="str">
        <f>_xlfn.XLOOKUP(Pipeline_tbl[[#This Row],[Created_Date]],Dim_Date!A:A,Dim_Date!H:H)</f>
        <v>May 2025</v>
      </c>
      <c r="T2176" t="str">
        <f>IF(Pipeline_tbl[[#This Row],[Closed_Date]]=0,"",(_xlfn.XLOOKUP(Pipeline_tbl[[#This Row],[Closed_Date]],Dim_Date!A:A,Dim_Date!H:H)))</f>
        <v>Jun 2025</v>
      </c>
      <c r="U2176">
        <f>IF(Pipeline_tbl[[#This Row],[Closed_Date]]=0,"",Pipeline_tbl[[#This Row],[Closed_Date]]-Pipeline_tbl[[#This Row],[Created_Date]])</f>
        <v>20</v>
      </c>
    </row>
    <row r="2177" spans="1:21" ht="15" customHeight="1" x14ac:dyDescent="0.2">
      <c r="A2177" t="s">
        <v>2483</v>
      </c>
      <c r="B2177" t="s">
        <v>199</v>
      </c>
      <c r="C2177" t="s">
        <v>55</v>
      </c>
      <c r="D2177" s="49">
        <v>45805</v>
      </c>
      <c r="E2177" s="49">
        <v>45807</v>
      </c>
      <c r="F2177" s="49">
        <v>45811</v>
      </c>
      <c r="G2177" s="49">
        <v>45816</v>
      </c>
      <c r="H2177" s="49">
        <v>45821</v>
      </c>
      <c r="I2177" s="49">
        <v>45824</v>
      </c>
      <c r="J2177" t="s">
        <v>49</v>
      </c>
      <c r="K2177" s="33">
        <v>2200</v>
      </c>
      <c r="L2177" t="s">
        <v>60</v>
      </c>
      <c r="M2177" t="str">
        <f>_xlfn.XLOOKUP(Pipeline_tbl[[#This Row],[Rep_ID]],Dim_Reps!A:A,Dim_Reps!K:K)</f>
        <v>EUR</v>
      </c>
      <c r="N2177" s="33">
        <f>(_xlfn.XLOOKUP(Pipeline_tbl[[#This Row],[Rate_Code_Generalized]],Lookups!A:A,Lookups!B:B))*Pipeline_tbl[[#This Row],[Pipeline_Amount_USD]]</f>
        <v>2200</v>
      </c>
      <c r="O2177" t="str">
        <f>_xlfn.XLOOKUP(Pipeline_tbl[[#This Row],[Rep_ID]],Dim_Reps!A:A,Dim_Reps!B:B)</f>
        <v>Lucas Okafor</v>
      </c>
      <c r="P2177" t="str">
        <f>_xlfn.XLOOKUP(Pipeline_tbl[[#This Row],[Rep_ID]],Dim_Reps!A:A,Dim_Reps!C:C)</f>
        <v>SDR / Inside Sales Rep</v>
      </c>
      <c r="Q2177" t="str">
        <f>_xlfn.XLOOKUP(Pipeline_tbl[[#This Row],[Rep_ID]],Dim_Reps!A:A,Dim_Reps!D:D)</f>
        <v>Inside Sales</v>
      </c>
      <c r="R2177" t="str">
        <f>_xlfn.XLOOKUP(Pipeline_tbl[[#This Row],[Rep_ID]],Dim_Reps!A:A,Dim_Reps!E:E)</f>
        <v>APAC</v>
      </c>
      <c r="S2177" t="str">
        <f>_xlfn.XLOOKUP(Pipeline_tbl[[#This Row],[Created_Date]],Dim_Date!A:A,Dim_Date!H:H)</f>
        <v>May 2025</v>
      </c>
      <c r="T2177" t="str">
        <f>IF(Pipeline_tbl[[#This Row],[Closed_Date]]=0,"",(_xlfn.XLOOKUP(Pipeline_tbl[[#This Row],[Closed_Date]],Dim_Date!A:A,Dim_Date!H:H)))</f>
        <v>Jun 2025</v>
      </c>
      <c r="U2177">
        <f>IF(Pipeline_tbl[[#This Row],[Closed_Date]]=0,"",Pipeline_tbl[[#This Row],[Closed_Date]]-Pipeline_tbl[[#This Row],[Created_Date]])</f>
        <v>19</v>
      </c>
    </row>
    <row r="2178" spans="1:21" ht="15" customHeight="1" x14ac:dyDescent="0.2">
      <c r="A2178" t="s">
        <v>2484</v>
      </c>
      <c r="B2178" t="s">
        <v>199</v>
      </c>
      <c r="C2178" t="s">
        <v>53</v>
      </c>
      <c r="D2178" s="49">
        <v>45804</v>
      </c>
      <c r="E2178" s="49">
        <v>45806</v>
      </c>
      <c r="F2178" s="49">
        <v>45810</v>
      </c>
      <c r="G2178" s="49">
        <v>45815</v>
      </c>
      <c r="H2178" s="49">
        <v>45820</v>
      </c>
      <c r="I2178" s="49">
        <v>45823</v>
      </c>
      <c r="J2178" t="s">
        <v>47</v>
      </c>
      <c r="K2178" s="33">
        <v>4000</v>
      </c>
      <c r="M2178" t="str">
        <f>_xlfn.XLOOKUP(Pipeline_tbl[[#This Row],[Rep_ID]],Dim_Reps!A:A,Dim_Reps!K:K)</f>
        <v>EUR</v>
      </c>
      <c r="N2178" s="33">
        <f>(_xlfn.XLOOKUP(Pipeline_tbl[[#This Row],[Rate_Code_Generalized]],Lookups!A:A,Lookups!B:B))*Pipeline_tbl[[#This Row],[Pipeline_Amount_USD]]</f>
        <v>4000</v>
      </c>
      <c r="O2178" t="str">
        <f>_xlfn.XLOOKUP(Pipeline_tbl[[#This Row],[Rep_ID]],Dim_Reps!A:A,Dim_Reps!B:B)</f>
        <v>Lucas Okafor</v>
      </c>
      <c r="P2178" t="str">
        <f>_xlfn.XLOOKUP(Pipeline_tbl[[#This Row],[Rep_ID]],Dim_Reps!A:A,Dim_Reps!C:C)</f>
        <v>SDR / Inside Sales Rep</v>
      </c>
      <c r="Q2178" t="str">
        <f>_xlfn.XLOOKUP(Pipeline_tbl[[#This Row],[Rep_ID]],Dim_Reps!A:A,Dim_Reps!D:D)</f>
        <v>Inside Sales</v>
      </c>
      <c r="R2178" t="str">
        <f>_xlfn.XLOOKUP(Pipeline_tbl[[#This Row],[Rep_ID]],Dim_Reps!A:A,Dim_Reps!E:E)</f>
        <v>APAC</v>
      </c>
      <c r="S2178" t="str">
        <f>_xlfn.XLOOKUP(Pipeline_tbl[[#This Row],[Created_Date]],Dim_Date!A:A,Dim_Date!H:H)</f>
        <v>May 2025</v>
      </c>
      <c r="T2178" t="str">
        <f>IF(Pipeline_tbl[[#This Row],[Closed_Date]]=0,"",(_xlfn.XLOOKUP(Pipeline_tbl[[#This Row],[Closed_Date]],Dim_Date!A:A,Dim_Date!H:H)))</f>
        <v>Jun 2025</v>
      </c>
      <c r="U2178">
        <f>IF(Pipeline_tbl[[#This Row],[Closed_Date]]=0,"",Pipeline_tbl[[#This Row],[Closed_Date]]-Pipeline_tbl[[#This Row],[Created_Date]])</f>
        <v>19</v>
      </c>
    </row>
    <row r="2179" spans="1:21" ht="15" customHeight="1" x14ac:dyDescent="0.2">
      <c r="A2179" t="s">
        <v>2485</v>
      </c>
      <c r="B2179" t="s">
        <v>181</v>
      </c>
      <c r="C2179" t="s">
        <v>52</v>
      </c>
      <c r="D2179" s="49">
        <v>45778</v>
      </c>
      <c r="E2179" s="49">
        <v>45783</v>
      </c>
      <c r="F2179" s="49">
        <v>45793</v>
      </c>
      <c r="G2179" s="49">
        <v>45809</v>
      </c>
      <c r="I2179" s="49">
        <v>45829</v>
      </c>
      <c r="J2179" t="s">
        <v>49</v>
      </c>
      <c r="K2179" s="33">
        <v>92200</v>
      </c>
      <c r="L2179" t="s">
        <v>62</v>
      </c>
      <c r="M2179" t="str">
        <f>_xlfn.XLOOKUP(Pipeline_tbl[[#This Row],[Rep_ID]],Dim_Reps!A:A,Dim_Reps!K:K)</f>
        <v>USD</v>
      </c>
      <c r="N2179" s="33">
        <f>(_xlfn.XLOOKUP(Pipeline_tbl[[#This Row],[Rate_Code_Generalized]],Lookups!A:A,Lookups!B:B))*Pipeline_tbl[[#This Row],[Pipeline_Amount_USD]]</f>
        <v>107348.45999999999</v>
      </c>
      <c r="O2179" t="str">
        <f>_xlfn.XLOOKUP(Pipeline_tbl[[#This Row],[Rep_ID]],Dim_Reps!A:A,Dim_Reps!B:B)</f>
        <v>Milo Weber</v>
      </c>
      <c r="P2179" t="str">
        <f>_xlfn.XLOOKUP(Pipeline_tbl[[#This Row],[Rep_ID]],Dim_Reps!A:A,Dim_Reps!C:C)</f>
        <v>Enterprise AE</v>
      </c>
      <c r="Q2179" t="str">
        <f>_xlfn.XLOOKUP(Pipeline_tbl[[#This Row],[Rep_ID]],Dim_Reps!A:A,Dim_Reps!D:D)</f>
        <v>Enterprise</v>
      </c>
      <c r="R2179" t="str">
        <f>_xlfn.XLOOKUP(Pipeline_tbl[[#This Row],[Rep_ID]],Dim_Reps!A:A,Dim_Reps!E:E)</f>
        <v>NAMER</v>
      </c>
      <c r="S2179" t="str">
        <f>_xlfn.XLOOKUP(Pipeline_tbl[[#This Row],[Created_Date]],Dim_Date!A:A,Dim_Date!H:H)</f>
        <v>May 2025</v>
      </c>
      <c r="T2179" t="str">
        <f>IF(Pipeline_tbl[[#This Row],[Closed_Date]]=0,"",(_xlfn.XLOOKUP(Pipeline_tbl[[#This Row],[Closed_Date]],Dim_Date!A:A,Dim_Date!H:H)))</f>
        <v>Jun 2025</v>
      </c>
      <c r="U2179">
        <f>IF(Pipeline_tbl[[#This Row],[Closed_Date]]=0,"",Pipeline_tbl[[#This Row],[Closed_Date]]-Pipeline_tbl[[#This Row],[Created_Date]])</f>
        <v>51</v>
      </c>
    </row>
    <row r="2180" spans="1:21" ht="15" customHeight="1" x14ac:dyDescent="0.2">
      <c r="A2180" t="s">
        <v>2486</v>
      </c>
      <c r="B2180" t="s">
        <v>246</v>
      </c>
      <c r="C2180" t="s">
        <v>52</v>
      </c>
      <c r="D2180" s="49">
        <v>45795</v>
      </c>
      <c r="E2180" s="49">
        <v>45798</v>
      </c>
      <c r="F2180" s="49">
        <v>45804</v>
      </c>
      <c r="I2180" s="49">
        <v>45826</v>
      </c>
      <c r="J2180" t="s">
        <v>49</v>
      </c>
      <c r="K2180" s="33">
        <v>19700</v>
      </c>
      <c r="L2180" t="s">
        <v>62</v>
      </c>
      <c r="M2180" t="str">
        <f>_xlfn.XLOOKUP(Pipeline_tbl[[#This Row],[Rep_ID]],Dim_Reps!A:A,Dim_Reps!K:K)</f>
        <v>EUR</v>
      </c>
      <c r="N2180" s="33">
        <f>(_xlfn.XLOOKUP(Pipeline_tbl[[#This Row],[Rate_Code_Generalized]],Lookups!A:A,Lookups!B:B))*Pipeline_tbl[[#This Row],[Pipeline_Amount_USD]]</f>
        <v>19700</v>
      </c>
      <c r="O2180" t="str">
        <f>_xlfn.XLOOKUP(Pipeline_tbl[[#This Row],[Rep_ID]],Dim_Reps!A:A,Dim_Reps!B:B)</f>
        <v>Karim Rivera</v>
      </c>
      <c r="P2180" t="str">
        <f>_xlfn.XLOOKUP(Pipeline_tbl[[#This Row],[Rep_ID]],Dim_Reps!A:A,Dim_Reps!C:C)</f>
        <v>Mid-Market AE</v>
      </c>
      <c r="Q2180" t="str">
        <f>_xlfn.XLOOKUP(Pipeline_tbl[[#This Row],[Rep_ID]],Dim_Reps!A:A,Dim_Reps!D:D)</f>
        <v>Mid-Market</v>
      </c>
      <c r="R2180" t="str">
        <f>_xlfn.XLOOKUP(Pipeline_tbl[[#This Row],[Rep_ID]],Dim_Reps!A:A,Dim_Reps!E:E)</f>
        <v>APAC</v>
      </c>
      <c r="S2180" t="str">
        <f>_xlfn.XLOOKUP(Pipeline_tbl[[#This Row],[Created_Date]],Dim_Date!A:A,Dim_Date!H:H)</f>
        <v>May 2025</v>
      </c>
      <c r="T2180" t="str">
        <f>IF(Pipeline_tbl[[#This Row],[Closed_Date]]=0,"",(_xlfn.XLOOKUP(Pipeline_tbl[[#This Row],[Closed_Date]],Dim_Date!A:A,Dim_Date!H:H)))</f>
        <v>Jun 2025</v>
      </c>
      <c r="U2180">
        <f>IF(Pipeline_tbl[[#This Row],[Closed_Date]]=0,"",Pipeline_tbl[[#This Row],[Closed_Date]]-Pipeline_tbl[[#This Row],[Created_Date]])</f>
        <v>31</v>
      </c>
    </row>
    <row r="2181" spans="1:21" ht="15" customHeight="1" x14ac:dyDescent="0.2">
      <c r="A2181" t="s">
        <v>2487</v>
      </c>
      <c r="B2181" t="s">
        <v>246</v>
      </c>
      <c r="C2181" t="s">
        <v>55</v>
      </c>
      <c r="D2181" s="49">
        <v>45791</v>
      </c>
      <c r="E2181" s="49">
        <v>45795</v>
      </c>
      <c r="I2181" s="49">
        <v>45829</v>
      </c>
      <c r="J2181" t="s">
        <v>49</v>
      </c>
      <c r="K2181" s="33">
        <v>3900</v>
      </c>
      <c r="L2181" t="s">
        <v>62</v>
      </c>
      <c r="M2181" t="str">
        <f>_xlfn.XLOOKUP(Pipeline_tbl[[#This Row],[Rep_ID]],Dim_Reps!A:A,Dim_Reps!K:K)</f>
        <v>EUR</v>
      </c>
      <c r="N2181" s="33">
        <f>(_xlfn.XLOOKUP(Pipeline_tbl[[#This Row],[Rate_Code_Generalized]],Lookups!A:A,Lookups!B:B))*Pipeline_tbl[[#This Row],[Pipeline_Amount_USD]]</f>
        <v>3900</v>
      </c>
      <c r="O2181" t="str">
        <f>_xlfn.XLOOKUP(Pipeline_tbl[[#This Row],[Rep_ID]],Dim_Reps!A:A,Dim_Reps!B:B)</f>
        <v>Karim Rivera</v>
      </c>
      <c r="P2181" t="str">
        <f>_xlfn.XLOOKUP(Pipeline_tbl[[#This Row],[Rep_ID]],Dim_Reps!A:A,Dim_Reps!C:C)</f>
        <v>Mid-Market AE</v>
      </c>
      <c r="Q2181" t="str">
        <f>_xlfn.XLOOKUP(Pipeline_tbl[[#This Row],[Rep_ID]],Dim_Reps!A:A,Dim_Reps!D:D)</f>
        <v>Mid-Market</v>
      </c>
      <c r="R2181" t="str">
        <f>_xlfn.XLOOKUP(Pipeline_tbl[[#This Row],[Rep_ID]],Dim_Reps!A:A,Dim_Reps!E:E)</f>
        <v>APAC</v>
      </c>
      <c r="S2181" t="str">
        <f>_xlfn.XLOOKUP(Pipeline_tbl[[#This Row],[Created_Date]],Dim_Date!A:A,Dim_Date!H:H)</f>
        <v>May 2025</v>
      </c>
      <c r="T2181" t="str">
        <f>IF(Pipeline_tbl[[#This Row],[Closed_Date]]=0,"",(_xlfn.XLOOKUP(Pipeline_tbl[[#This Row],[Closed_Date]],Dim_Date!A:A,Dim_Date!H:H)))</f>
        <v>Jun 2025</v>
      </c>
      <c r="U2181">
        <f>IF(Pipeline_tbl[[#This Row],[Closed_Date]]=0,"",Pipeline_tbl[[#This Row],[Closed_Date]]-Pipeline_tbl[[#This Row],[Created_Date]])</f>
        <v>38</v>
      </c>
    </row>
    <row r="2182" spans="1:21" ht="15" customHeight="1" x14ac:dyDescent="0.2">
      <c r="A2182" t="s">
        <v>2488</v>
      </c>
      <c r="B2182" t="s">
        <v>203</v>
      </c>
      <c r="C2182" t="s">
        <v>53</v>
      </c>
      <c r="D2182" s="49">
        <v>45799</v>
      </c>
      <c r="E2182" s="49">
        <v>45801</v>
      </c>
      <c r="F2182" s="49">
        <v>45804</v>
      </c>
      <c r="G2182" s="49">
        <v>45808</v>
      </c>
      <c r="I2182" s="49">
        <v>45814</v>
      </c>
      <c r="J2182" t="s">
        <v>49</v>
      </c>
      <c r="K2182" s="33">
        <v>3700</v>
      </c>
      <c r="L2182" t="s">
        <v>60</v>
      </c>
      <c r="M2182" t="str">
        <f>_xlfn.XLOOKUP(Pipeline_tbl[[#This Row],[Rep_ID]],Dim_Reps!A:A,Dim_Reps!K:K)</f>
        <v>EUR</v>
      </c>
      <c r="N2182" s="33">
        <f>(_xlfn.XLOOKUP(Pipeline_tbl[[#This Row],[Rate_Code_Generalized]],Lookups!A:A,Lookups!B:B))*Pipeline_tbl[[#This Row],[Pipeline_Amount_USD]]</f>
        <v>3700</v>
      </c>
      <c r="O2182" t="str">
        <f>_xlfn.XLOOKUP(Pipeline_tbl[[#This Row],[Rep_ID]],Dim_Reps!A:A,Dim_Reps!B:B)</f>
        <v>Riley Haddad</v>
      </c>
      <c r="P2182" t="str">
        <f>_xlfn.XLOOKUP(Pipeline_tbl[[#This Row],[Rep_ID]],Dim_Reps!A:A,Dim_Reps!C:C)</f>
        <v>SDR / Inside Sales Rep</v>
      </c>
      <c r="Q2182" t="str">
        <f>_xlfn.XLOOKUP(Pipeline_tbl[[#This Row],[Rep_ID]],Dim_Reps!A:A,Dim_Reps!D:D)</f>
        <v>Inside Sales</v>
      </c>
      <c r="R2182" t="str">
        <f>_xlfn.XLOOKUP(Pipeline_tbl[[#This Row],[Rep_ID]],Dim_Reps!A:A,Dim_Reps!E:E)</f>
        <v>APAC</v>
      </c>
      <c r="S2182" t="str">
        <f>_xlfn.XLOOKUP(Pipeline_tbl[[#This Row],[Created_Date]],Dim_Date!A:A,Dim_Date!H:H)</f>
        <v>May 2025</v>
      </c>
      <c r="T2182" t="str">
        <f>IF(Pipeline_tbl[[#This Row],[Closed_Date]]=0,"",(_xlfn.XLOOKUP(Pipeline_tbl[[#This Row],[Closed_Date]],Dim_Date!A:A,Dim_Date!H:H)))</f>
        <v>Jun 2025</v>
      </c>
      <c r="U2182">
        <f>IF(Pipeline_tbl[[#This Row],[Closed_Date]]=0,"",Pipeline_tbl[[#This Row],[Closed_Date]]-Pipeline_tbl[[#This Row],[Created_Date]])</f>
        <v>15</v>
      </c>
    </row>
    <row r="2183" spans="1:21" ht="15" customHeight="1" x14ac:dyDescent="0.2">
      <c r="A2183" t="s">
        <v>2489</v>
      </c>
      <c r="B2183" t="s">
        <v>203</v>
      </c>
      <c r="C2183" t="s">
        <v>53</v>
      </c>
      <c r="D2183" s="49">
        <v>45795</v>
      </c>
      <c r="E2183" s="49">
        <v>45797</v>
      </c>
      <c r="F2183" s="49">
        <v>45801</v>
      </c>
      <c r="G2183" s="49">
        <v>45806</v>
      </c>
      <c r="H2183" s="49">
        <v>45811</v>
      </c>
      <c r="I2183" s="49">
        <v>45814</v>
      </c>
      <c r="J2183" t="s">
        <v>47</v>
      </c>
      <c r="K2183" s="33">
        <v>3400</v>
      </c>
      <c r="M2183" t="str">
        <f>_xlfn.XLOOKUP(Pipeline_tbl[[#This Row],[Rep_ID]],Dim_Reps!A:A,Dim_Reps!K:K)</f>
        <v>EUR</v>
      </c>
      <c r="N2183" s="33">
        <f>(_xlfn.XLOOKUP(Pipeline_tbl[[#This Row],[Rate_Code_Generalized]],Lookups!A:A,Lookups!B:B))*Pipeline_tbl[[#This Row],[Pipeline_Amount_USD]]</f>
        <v>3400</v>
      </c>
      <c r="O2183" t="str">
        <f>_xlfn.XLOOKUP(Pipeline_tbl[[#This Row],[Rep_ID]],Dim_Reps!A:A,Dim_Reps!B:B)</f>
        <v>Riley Haddad</v>
      </c>
      <c r="P2183" t="str">
        <f>_xlfn.XLOOKUP(Pipeline_tbl[[#This Row],[Rep_ID]],Dim_Reps!A:A,Dim_Reps!C:C)</f>
        <v>SDR / Inside Sales Rep</v>
      </c>
      <c r="Q2183" t="str">
        <f>_xlfn.XLOOKUP(Pipeline_tbl[[#This Row],[Rep_ID]],Dim_Reps!A:A,Dim_Reps!D:D)</f>
        <v>Inside Sales</v>
      </c>
      <c r="R2183" t="str">
        <f>_xlfn.XLOOKUP(Pipeline_tbl[[#This Row],[Rep_ID]],Dim_Reps!A:A,Dim_Reps!E:E)</f>
        <v>APAC</v>
      </c>
      <c r="S2183" t="str">
        <f>_xlfn.XLOOKUP(Pipeline_tbl[[#This Row],[Created_Date]],Dim_Date!A:A,Dim_Date!H:H)</f>
        <v>May 2025</v>
      </c>
      <c r="T2183" t="str">
        <f>IF(Pipeline_tbl[[#This Row],[Closed_Date]]=0,"",(_xlfn.XLOOKUP(Pipeline_tbl[[#This Row],[Closed_Date]],Dim_Date!A:A,Dim_Date!H:H)))</f>
        <v>Jun 2025</v>
      </c>
      <c r="U2183">
        <f>IF(Pipeline_tbl[[#This Row],[Closed_Date]]=0,"",Pipeline_tbl[[#This Row],[Closed_Date]]-Pipeline_tbl[[#This Row],[Created_Date]])</f>
        <v>19</v>
      </c>
    </row>
    <row r="2184" spans="1:21" ht="15" customHeight="1" x14ac:dyDescent="0.2">
      <c r="A2184" t="s">
        <v>2490</v>
      </c>
      <c r="B2184" t="s">
        <v>203</v>
      </c>
      <c r="C2184" t="s">
        <v>52</v>
      </c>
      <c r="D2184" s="49">
        <v>45783</v>
      </c>
      <c r="E2184" s="49">
        <v>45786</v>
      </c>
      <c r="F2184" s="49">
        <v>45791</v>
      </c>
      <c r="G2184" s="49">
        <v>45799</v>
      </c>
      <c r="H2184" s="49">
        <v>45805</v>
      </c>
      <c r="I2184" s="49">
        <v>45809</v>
      </c>
      <c r="J2184" t="s">
        <v>49</v>
      </c>
      <c r="K2184" s="33">
        <v>5600</v>
      </c>
      <c r="L2184" t="s">
        <v>60</v>
      </c>
      <c r="M2184" t="str">
        <f>_xlfn.XLOOKUP(Pipeline_tbl[[#This Row],[Rep_ID]],Dim_Reps!A:A,Dim_Reps!K:K)</f>
        <v>EUR</v>
      </c>
      <c r="N2184" s="33">
        <f>(_xlfn.XLOOKUP(Pipeline_tbl[[#This Row],[Rate_Code_Generalized]],Lookups!A:A,Lookups!B:B))*Pipeline_tbl[[#This Row],[Pipeline_Amount_USD]]</f>
        <v>5600</v>
      </c>
      <c r="O2184" t="str">
        <f>_xlfn.XLOOKUP(Pipeline_tbl[[#This Row],[Rep_ID]],Dim_Reps!A:A,Dim_Reps!B:B)</f>
        <v>Riley Haddad</v>
      </c>
      <c r="P2184" t="str">
        <f>_xlfn.XLOOKUP(Pipeline_tbl[[#This Row],[Rep_ID]],Dim_Reps!A:A,Dim_Reps!C:C)</f>
        <v>SDR / Inside Sales Rep</v>
      </c>
      <c r="Q2184" t="str">
        <f>_xlfn.XLOOKUP(Pipeline_tbl[[#This Row],[Rep_ID]],Dim_Reps!A:A,Dim_Reps!D:D)</f>
        <v>Inside Sales</v>
      </c>
      <c r="R2184" t="str">
        <f>_xlfn.XLOOKUP(Pipeline_tbl[[#This Row],[Rep_ID]],Dim_Reps!A:A,Dim_Reps!E:E)</f>
        <v>APAC</v>
      </c>
      <c r="S2184" t="str">
        <f>_xlfn.XLOOKUP(Pipeline_tbl[[#This Row],[Created_Date]],Dim_Date!A:A,Dim_Date!H:H)</f>
        <v>May 2025</v>
      </c>
      <c r="T2184" t="str">
        <f>IF(Pipeline_tbl[[#This Row],[Closed_Date]]=0,"",(_xlfn.XLOOKUP(Pipeline_tbl[[#This Row],[Closed_Date]],Dim_Date!A:A,Dim_Date!H:H)))</f>
        <v>Jun 2025</v>
      </c>
      <c r="U2184">
        <f>IF(Pipeline_tbl[[#This Row],[Closed_Date]]=0,"",Pipeline_tbl[[#This Row],[Closed_Date]]-Pipeline_tbl[[#This Row],[Created_Date]])</f>
        <v>26</v>
      </c>
    </row>
    <row r="2185" spans="1:21" ht="15" customHeight="1" x14ac:dyDescent="0.2">
      <c r="A2185" t="s">
        <v>2491</v>
      </c>
      <c r="B2185" t="s">
        <v>203</v>
      </c>
      <c r="C2185" t="s">
        <v>52</v>
      </c>
      <c r="D2185" s="49">
        <v>45792</v>
      </c>
      <c r="E2185" s="49">
        <v>45794</v>
      </c>
      <c r="F2185" s="49">
        <v>45798</v>
      </c>
      <c r="G2185" s="49">
        <v>45804</v>
      </c>
      <c r="I2185" s="49">
        <v>45812</v>
      </c>
      <c r="J2185" t="s">
        <v>49</v>
      </c>
      <c r="K2185" s="33">
        <v>4100</v>
      </c>
      <c r="L2185" t="s">
        <v>60</v>
      </c>
      <c r="M2185" t="str">
        <f>_xlfn.XLOOKUP(Pipeline_tbl[[#This Row],[Rep_ID]],Dim_Reps!A:A,Dim_Reps!K:K)</f>
        <v>EUR</v>
      </c>
      <c r="N2185" s="33">
        <f>(_xlfn.XLOOKUP(Pipeline_tbl[[#This Row],[Rate_Code_Generalized]],Lookups!A:A,Lookups!B:B))*Pipeline_tbl[[#This Row],[Pipeline_Amount_USD]]</f>
        <v>4100</v>
      </c>
      <c r="O2185" t="str">
        <f>_xlfn.XLOOKUP(Pipeline_tbl[[#This Row],[Rep_ID]],Dim_Reps!A:A,Dim_Reps!B:B)</f>
        <v>Riley Haddad</v>
      </c>
      <c r="P2185" t="str">
        <f>_xlfn.XLOOKUP(Pipeline_tbl[[#This Row],[Rep_ID]],Dim_Reps!A:A,Dim_Reps!C:C)</f>
        <v>SDR / Inside Sales Rep</v>
      </c>
      <c r="Q2185" t="str">
        <f>_xlfn.XLOOKUP(Pipeline_tbl[[#This Row],[Rep_ID]],Dim_Reps!A:A,Dim_Reps!D:D)</f>
        <v>Inside Sales</v>
      </c>
      <c r="R2185" t="str">
        <f>_xlfn.XLOOKUP(Pipeline_tbl[[#This Row],[Rep_ID]],Dim_Reps!A:A,Dim_Reps!E:E)</f>
        <v>APAC</v>
      </c>
      <c r="S2185" t="str">
        <f>_xlfn.XLOOKUP(Pipeline_tbl[[#This Row],[Created_Date]],Dim_Date!A:A,Dim_Date!H:H)</f>
        <v>May 2025</v>
      </c>
      <c r="T2185" t="str">
        <f>IF(Pipeline_tbl[[#This Row],[Closed_Date]]=0,"",(_xlfn.XLOOKUP(Pipeline_tbl[[#This Row],[Closed_Date]],Dim_Date!A:A,Dim_Date!H:H)))</f>
        <v>Jun 2025</v>
      </c>
      <c r="U2185">
        <f>IF(Pipeline_tbl[[#This Row],[Closed_Date]]=0,"",Pipeline_tbl[[#This Row],[Closed_Date]]-Pipeline_tbl[[#This Row],[Created_Date]])</f>
        <v>20</v>
      </c>
    </row>
    <row r="2186" spans="1:21" ht="15" customHeight="1" x14ac:dyDescent="0.2">
      <c r="A2186" t="s">
        <v>2492</v>
      </c>
      <c r="B2186" t="s">
        <v>203</v>
      </c>
      <c r="C2186" t="s">
        <v>52</v>
      </c>
      <c r="D2186" s="49">
        <v>45808</v>
      </c>
      <c r="E2186" s="49">
        <v>45810</v>
      </c>
      <c r="F2186" s="49">
        <v>45815</v>
      </c>
      <c r="G2186" s="49">
        <v>45821</v>
      </c>
      <c r="H2186" s="49">
        <v>45827</v>
      </c>
      <c r="I2186" s="49">
        <v>45830</v>
      </c>
      <c r="J2186" t="s">
        <v>47</v>
      </c>
      <c r="K2186" s="33">
        <v>1500</v>
      </c>
      <c r="M2186" t="str">
        <f>_xlfn.XLOOKUP(Pipeline_tbl[[#This Row],[Rep_ID]],Dim_Reps!A:A,Dim_Reps!K:K)</f>
        <v>EUR</v>
      </c>
      <c r="N2186" s="33">
        <f>(_xlfn.XLOOKUP(Pipeline_tbl[[#This Row],[Rate_Code_Generalized]],Lookups!A:A,Lookups!B:B))*Pipeline_tbl[[#This Row],[Pipeline_Amount_USD]]</f>
        <v>1500</v>
      </c>
      <c r="O2186" t="str">
        <f>_xlfn.XLOOKUP(Pipeline_tbl[[#This Row],[Rep_ID]],Dim_Reps!A:A,Dim_Reps!B:B)</f>
        <v>Riley Haddad</v>
      </c>
      <c r="P2186" t="str">
        <f>_xlfn.XLOOKUP(Pipeline_tbl[[#This Row],[Rep_ID]],Dim_Reps!A:A,Dim_Reps!C:C)</f>
        <v>SDR / Inside Sales Rep</v>
      </c>
      <c r="Q2186" t="str">
        <f>_xlfn.XLOOKUP(Pipeline_tbl[[#This Row],[Rep_ID]],Dim_Reps!A:A,Dim_Reps!D:D)</f>
        <v>Inside Sales</v>
      </c>
      <c r="R2186" t="str">
        <f>_xlfn.XLOOKUP(Pipeline_tbl[[#This Row],[Rep_ID]],Dim_Reps!A:A,Dim_Reps!E:E)</f>
        <v>APAC</v>
      </c>
      <c r="S2186" t="str">
        <f>_xlfn.XLOOKUP(Pipeline_tbl[[#This Row],[Created_Date]],Dim_Date!A:A,Dim_Date!H:H)</f>
        <v>May 2025</v>
      </c>
      <c r="T2186" t="str">
        <f>IF(Pipeline_tbl[[#This Row],[Closed_Date]]=0,"",(_xlfn.XLOOKUP(Pipeline_tbl[[#This Row],[Closed_Date]],Dim_Date!A:A,Dim_Date!H:H)))</f>
        <v>Jun 2025</v>
      </c>
      <c r="U2186">
        <f>IF(Pipeline_tbl[[#This Row],[Closed_Date]]=0,"",Pipeline_tbl[[#This Row],[Closed_Date]]-Pipeline_tbl[[#This Row],[Created_Date]])</f>
        <v>22</v>
      </c>
    </row>
    <row r="2187" spans="1:21" ht="15" customHeight="1" x14ac:dyDescent="0.2">
      <c r="A2187" t="s">
        <v>2493</v>
      </c>
      <c r="B2187" t="s">
        <v>203</v>
      </c>
      <c r="C2187" t="s">
        <v>53</v>
      </c>
      <c r="D2187" s="49">
        <v>45789</v>
      </c>
      <c r="E2187" s="49">
        <v>45791</v>
      </c>
      <c r="F2187" s="49">
        <v>45796</v>
      </c>
      <c r="G2187" s="49">
        <v>45803</v>
      </c>
      <c r="I2187" s="49">
        <v>45812</v>
      </c>
      <c r="J2187" t="s">
        <v>49</v>
      </c>
      <c r="K2187" s="33">
        <v>4100</v>
      </c>
      <c r="L2187" t="s">
        <v>60</v>
      </c>
      <c r="M2187" t="str">
        <f>_xlfn.XLOOKUP(Pipeline_tbl[[#This Row],[Rep_ID]],Dim_Reps!A:A,Dim_Reps!K:K)</f>
        <v>EUR</v>
      </c>
      <c r="N2187" s="33">
        <f>(_xlfn.XLOOKUP(Pipeline_tbl[[#This Row],[Rate_Code_Generalized]],Lookups!A:A,Lookups!B:B))*Pipeline_tbl[[#This Row],[Pipeline_Amount_USD]]</f>
        <v>4100</v>
      </c>
      <c r="O2187" t="str">
        <f>_xlfn.XLOOKUP(Pipeline_tbl[[#This Row],[Rep_ID]],Dim_Reps!A:A,Dim_Reps!B:B)</f>
        <v>Riley Haddad</v>
      </c>
      <c r="P2187" t="str">
        <f>_xlfn.XLOOKUP(Pipeline_tbl[[#This Row],[Rep_ID]],Dim_Reps!A:A,Dim_Reps!C:C)</f>
        <v>SDR / Inside Sales Rep</v>
      </c>
      <c r="Q2187" t="str">
        <f>_xlfn.XLOOKUP(Pipeline_tbl[[#This Row],[Rep_ID]],Dim_Reps!A:A,Dim_Reps!D:D)</f>
        <v>Inside Sales</v>
      </c>
      <c r="R2187" t="str">
        <f>_xlfn.XLOOKUP(Pipeline_tbl[[#This Row],[Rep_ID]],Dim_Reps!A:A,Dim_Reps!E:E)</f>
        <v>APAC</v>
      </c>
      <c r="S2187" t="str">
        <f>_xlfn.XLOOKUP(Pipeline_tbl[[#This Row],[Created_Date]],Dim_Date!A:A,Dim_Date!H:H)</f>
        <v>May 2025</v>
      </c>
      <c r="T2187" t="str">
        <f>IF(Pipeline_tbl[[#This Row],[Closed_Date]]=0,"",(_xlfn.XLOOKUP(Pipeline_tbl[[#This Row],[Closed_Date]],Dim_Date!A:A,Dim_Date!H:H)))</f>
        <v>Jun 2025</v>
      </c>
      <c r="U2187">
        <f>IF(Pipeline_tbl[[#This Row],[Closed_Date]]=0,"",Pipeline_tbl[[#This Row],[Closed_Date]]-Pipeline_tbl[[#This Row],[Created_Date]])</f>
        <v>23</v>
      </c>
    </row>
    <row r="2188" spans="1:21" ht="15" customHeight="1" x14ac:dyDescent="0.2">
      <c r="A2188" t="s">
        <v>2494</v>
      </c>
      <c r="B2188" t="s">
        <v>203</v>
      </c>
      <c r="C2188" t="s">
        <v>53</v>
      </c>
      <c r="D2188" s="49">
        <v>45796</v>
      </c>
      <c r="E2188" s="49">
        <v>45798</v>
      </c>
      <c r="F2188" s="49">
        <v>45801</v>
      </c>
      <c r="G2188" s="49">
        <v>45806</v>
      </c>
      <c r="H2188" s="49">
        <v>45810</v>
      </c>
      <c r="I2188" s="49">
        <v>45812</v>
      </c>
      <c r="J2188" t="s">
        <v>49</v>
      </c>
      <c r="K2188" s="33">
        <v>3500</v>
      </c>
      <c r="L2188" t="s">
        <v>62</v>
      </c>
      <c r="M2188" t="str">
        <f>_xlfn.XLOOKUP(Pipeline_tbl[[#This Row],[Rep_ID]],Dim_Reps!A:A,Dim_Reps!K:K)</f>
        <v>EUR</v>
      </c>
      <c r="N2188" s="33">
        <f>(_xlfn.XLOOKUP(Pipeline_tbl[[#This Row],[Rate_Code_Generalized]],Lookups!A:A,Lookups!B:B))*Pipeline_tbl[[#This Row],[Pipeline_Amount_USD]]</f>
        <v>3500</v>
      </c>
      <c r="O2188" t="str">
        <f>_xlfn.XLOOKUP(Pipeline_tbl[[#This Row],[Rep_ID]],Dim_Reps!A:A,Dim_Reps!B:B)</f>
        <v>Riley Haddad</v>
      </c>
      <c r="P2188" t="str">
        <f>_xlfn.XLOOKUP(Pipeline_tbl[[#This Row],[Rep_ID]],Dim_Reps!A:A,Dim_Reps!C:C)</f>
        <v>SDR / Inside Sales Rep</v>
      </c>
      <c r="Q2188" t="str">
        <f>_xlfn.XLOOKUP(Pipeline_tbl[[#This Row],[Rep_ID]],Dim_Reps!A:A,Dim_Reps!D:D)</f>
        <v>Inside Sales</v>
      </c>
      <c r="R2188" t="str">
        <f>_xlfn.XLOOKUP(Pipeline_tbl[[#This Row],[Rep_ID]],Dim_Reps!A:A,Dim_Reps!E:E)</f>
        <v>APAC</v>
      </c>
      <c r="S2188" t="str">
        <f>_xlfn.XLOOKUP(Pipeline_tbl[[#This Row],[Created_Date]],Dim_Date!A:A,Dim_Date!H:H)</f>
        <v>May 2025</v>
      </c>
      <c r="T2188" t="str">
        <f>IF(Pipeline_tbl[[#This Row],[Closed_Date]]=0,"",(_xlfn.XLOOKUP(Pipeline_tbl[[#This Row],[Closed_Date]],Dim_Date!A:A,Dim_Date!H:H)))</f>
        <v>Jun 2025</v>
      </c>
      <c r="U2188">
        <f>IF(Pipeline_tbl[[#This Row],[Closed_Date]]=0,"",Pipeline_tbl[[#This Row],[Closed_Date]]-Pipeline_tbl[[#This Row],[Created_Date]])</f>
        <v>16</v>
      </c>
    </row>
    <row r="2189" spans="1:21" ht="15" customHeight="1" x14ac:dyDescent="0.2">
      <c r="A2189" t="s">
        <v>2495</v>
      </c>
      <c r="B2189" t="s">
        <v>203</v>
      </c>
      <c r="C2189" t="s">
        <v>53</v>
      </c>
      <c r="D2189" s="49">
        <v>45798</v>
      </c>
      <c r="E2189" s="49">
        <v>45800</v>
      </c>
      <c r="F2189" s="49">
        <v>45804</v>
      </c>
      <c r="I2189" s="49">
        <v>45819</v>
      </c>
      <c r="J2189" t="s">
        <v>49</v>
      </c>
      <c r="K2189" s="33">
        <v>1500</v>
      </c>
      <c r="L2189" t="s">
        <v>62</v>
      </c>
      <c r="M2189" t="str">
        <f>_xlfn.XLOOKUP(Pipeline_tbl[[#This Row],[Rep_ID]],Dim_Reps!A:A,Dim_Reps!K:K)</f>
        <v>EUR</v>
      </c>
      <c r="N2189" s="33">
        <f>(_xlfn.XLOOKUP(Pipeline_tbl[[#This Row],[Rate_Code_Generalized]],Lookups!A:A,Lookups!B:B))*Pipeline_tbl[[#This Row],[Pipeline_Amount_USD]]</f>
        <v>1500</v>
      </c>
      <c r="O2189" t="str">
        <f>_xlfn.XLOOKUP(Pipeline_tbl[[#This Row],[Rep_ID]],Dim_Reps!A:A,Dim_Reps!B:B)</f>
        <v>Riley Haddad</v>
      </c>
      <c r="P2189" t="str">
        <f>_xlfn.XLOOKUP(Pipeline_tbl[[#This Row],[Rep_ID]],Dim_Reps!A:A,Dim_Reps!C:C)</f>
        <v>SDR / Inside Sales Rep</v>
      </c>
      <c r="Q2189" t="str">
        <f>_xlfn.XLOOKUP(Pipeline_tbl[[#This Row],[Rep_ID]],Dim_Reps!A:A,Dim_Reps!D:D)</f>
        <v>Inside Sales</v>
      </c>
      <c r="R2189" t="str">
        <f>_xlfn.XLOOKUP(Pipeline_tbl[[#This Row],[Rep_ID]],Dim_Reps!A:A,Dim_Reps!E:E)</f>
        <v>APAC</v>
      </c>
      <c r="S2189" t="str">
        <f>_xlfn.XLOOKUP(Pipeline_tbl[[#This Row],[Created_Date]],Dim_Date!A:A,Dim_Date!H:H)</f>
        <v>May 2025</v>
      </c>
      <c r="T2189" t="str">
        <f>IF(Pipeline_tbl[[#This Row],[Closed_Date]]=0,"",(_xlfn.XLOOKUP(Pipeline_tbl[[#This Row],[Closed_Date]],Dim_Date!A:A,Dim_Date!H:H)))</f>
        <v>Jun 2025</v>
      </c>
      <c r="U2189">
        <f>IF(Pipeline_tbl[[#This Row],[Closed_Date]]=0,"",Pipeline_tbl[[#This Row],[Closed_Date]]-Pipeline_tbl[[#This Row],[Created_Date]])</f>
        <v>21</v>
      </c>
    </row>
    <row r="2190" spans="1:21" ht="15" customHeight="1" x14ac:dyDescent="0.2">
      <c r="A2190" t="s">
        <v>2496</v>
      </c>
      <c r="B2190" t="s">
        <v>203</v>
      </c>
      <c r="C2190" t="s">
        <v>54</v>
      </c>
      <c r="D2190" s="49">
        <v>45808</v>
      </c>
      <c r="E2190" s="49">
        <v>45810</v>
      </c>
      <c r="F2190" s="49">
        <v>45816</v>
      </c>
      <c r="G2190" s="49">
        <v>45823</v>
      </c>
      <c r="I2190" s="49">
        <v>45833</v>
      </c>
      <c r="J2190" t="s">
        <v>49</v>
      </c>
      <c r="K2190" s="33">
        <v>6300</v>
      </c>
      <c r="L2190" t="s">
        <v>60</v>
      </c>
      <c r="M2190" t="str">
        <f>_xlfn.XLOOKUP(Pipeline_tbl[[#This Row],[Rep_ID]],Dim_Reps!A:A,Dim_Reps!K:K)</f>
        <v>EUR</v>
      </c>
      <c r="N2190" s="33">
        <f>(_xlfn.XLOOKUP(Pipeline_tbl[[#This Row],[Rate_Code_Generalized]],Lookups!A:A,Lookups!B:B))*Pipeline_tbl[[#This Row],[Pipeline_Amount_USD]]</f>
        <v>6300</v>
      </c>
      <c r="O2190" t="str">
        <f>_xlfn.XLOOKUP(Pipeline_tbl[[#This Row],[Rep_ID]],Dim_Reps!A:A,Dim_Reps!B:B)</f>
        <v>Riley Haddad</v>
      </c>
      <c r="P2190" t="str">
        <f>_xlfn.XLOOKUP(Pipeline_tbl[[#This Row],[Rep_ID]],Dim_Reps!A:A,Dim_Reps!C:C)</f>
        <v>SDR / Inside Sales Rep</v>
      </c>
      <c r="Q2190" t="str">
        <f>_xlfn.XLOOKUP(Pipeline_tbl[[#This Row],[Rep_ID]],Dim_Reps!A:A,Dim_Reps!D:D)</f>
        <v>Inside Sales</v>
      </c>
      <c r="R2190" t="str">
        <f>_xlfn.XLOOKUP(Pipeline_tbl[[#This Row],[Rep_ID]],Dim_Reps!A:A,Dim_Reps!E:E)</f>
        <v>APAC</v>
      </c>
      <c r="S2190" t="str">
        <f>_xlfn.XLOOKUP(Pipeline_tbl[[#This Row],[Created_Date]],Dim_Date!A:A,Dim_Date!H:H)</f>
        <v>May 2025</v>
      </c>
      <c r="T2190" t="str">
        <f>IF(Pipeline_tbl[[#This Row],[Closed_Date]]=0,"",(_xlfn.XLOOKUP(Pipeline_tbl[[#This Row],[Closed_Date]],Dim_Date!A:A,Dim_Date!H:H)))</f>
        <v>Jun 2025</v>
      </c>
      <c r="U2190">
        <f>IF(Pipeline_tbl[[#This Row],[Closed_Date]]=0,"",Pipeline_tbl[[#This Row],[Closed_Date]]-Pipeline_tbl[[#This Row],[Created_Date]])</f>
        <v>25</v>
      </c>
    </row>
    <row r="2191" spans="1:21" ht="15" customHeight="1" x14ac:dyDescent="0.2">
      <c r="A2191" t="s">
        <v>2497</v>
      </c>
      <c r="B2191" t="s">
        <v>203</v>
      </c>
      <c r="C2191" t="s">
        <v>52</v>
      </c>
      <c r="D2191" s="49">
        <v>45791</v>
      </c>
      <c r="E2191" s="49">
        <v>45793</v>
      </c>
      <c r="F2191" s="49">
        <v>45797</v>
      </c>
      <c r="G2191" s="49">
        <v>45803</v>
      </c>
      <c r="H2191" s="49">
        <v>45808</v>
      </c>
      <c r="I2191" s="49">
        <v>45811</v>
      </c>
      <c r="J2191" t="s">
        <v>47</v>
      </c>
      <c r="K2191" s="33">
        <v>1800</v>
      </c>
      <c r="M2191" t="str">
        <f>_xlfn.XLOOKUP(Pipeline_tbl[[#This Row],[Rep_ID]],Dim_Reps!A:A,Dim_Reps!K:K)</f>
        <v>EUR</v>
      </c>
      <c r="N2191" s="33">
        <f>(_xlfn.XLOOKUP(Pipeline_tbl[[#This Row],[Rate_Code_Generalized]],Lookups!A:A,Lookups!B:B))*Pipeline_tbl[[#This Row],[Pipeline_Amount_USD]]</f>
        <v>1800</v>
      </c>
      <c r="O2191" t="str">
        <f>_xlfn.XLOOKUP(Pipeline_tbl[[#This Row],[Rep_ID]],Dim_Reps!A:A,Dim_Reps!B:B)</f>
        <v>Riley Haddad</v>
      </c>
      <c r="P2191" t="str">
        <f>_xlfn.XLOOKUP(Pipeline_tbl[[#This Row],[Rep_ID]],Dim_Reps!A:A,Dim_Reps!C:C)</f>
        <v>SDR / Inside Sales Rep</v>
      </c>
      <c r="Q2191" t="str">
        <f>_xlfn.XLOOKUP(Pipeline_tbl[[#This Row],[Rep_ID]],Dim_Reps!A:A,Dim_Reps!D:D)</f>
        <v>Inside Sales</v>
      </c>
      <c r="R2191" t="str">
        <f>_xlfn.XLOOKUP(Pipeline_tbl[[#This Row],[Rep_ID]],Dim_Reps!A:A,Dim_Reps!E:E)</f>
        <v>APAC</v>
      </c>
      <c r="S2191" t="str">
        <f>_xlfn.XLOOKUP(Pipeline_tbl[[#This Row],[Created_Date]],Dim_Date!A:A,Dim_Date!H:H)</f>
        <v>May 2025</v>
      </c>
      <c r="T2191" t="str">
        <f>IF(Pipeline_tbl[[#This Row],[Closed_Date]]=0,"",(_xlfn.XLOOKUP(Pipeline_tbl[[#This Row],[Closed_Date]],Dim_Date!A:A,Dim_Date!H:H)))</f>
        <v>Jun 2025</v>
      </c>
      <c r="U2191">
        <f>IF(Pipeline_tbl[[#This Row],[Closed_Date]]=0,"",Pipeline_tbl[[#This Row],[Closed_Date]]-Pipeline_tbl[[#This Row],[Created_Date]])</f>
        <v>20</v>
      </c>
    </row>
    <row r="2192" spans="1:21" ht="15" customHeight="1" x14ac:dyDescent="0.2">
      <c r="A2192" t="s">
        <v>2498</v>
      </c>
      <c r="B2192" t="s">
        <v>203</v>
      </c>
      <c r="C2192" t="s">
        <v>52</v>
      </c>
      <c r="D2192" s="49">
        <v>45800</v>
      </c>
      <c r="E2192" s="49">
        <v>45802</v>
      </c>
      <c r="F2192" s="49">
        <v>45805</v>
      </c>
      <c r="G2192" s="49">
        <v>45810</v>
      </c>
      <c r="H2192" s="49">
        <v>45814</v>
      </c>
      <c r="I2192" s="49">
        <v>45816</v>
      </c>
      <c r="J2192" t="s">
        <v>49</v>
      </c>
      <c r="K2192" s="33">
        <v>1500</v>
      </c>
      <c r="L2192" t="s">
        <v>60</v>
      </c>
      <c r="M2192" t="str">
        <f>_xlfn.XLOOKUP(Pipeline_tbl[[#This Row],[Rep_ID]],Dim_Reps!A:A,Dim_Reps!K:K)</f>
        <v>EUR</v>
      </c>
      <c r="N2192" s="33">
        <f>(_xlfn.XLOOKUP(Pipeline_tbl[[#This Row],[Rate_Code_Generalized]],Lookups!A:A,Lookups!B:B))*Pipeline_tbl[[#This Row],[Pipeline_Amount_USD]]</f>
        <v>1500</v>
      </c>
      <c r="O2192" t="str">
        <f>_xlfn.XLOOKUP(Pipeline_tbl[[#This Row],[Rep_ID]],Dim_Reps!A:A,Dim_Reps!B:B)</f>
        <v>Riley Haddad</v>
      </c>
      <c r="P2192" t="str">
        <f>_xlfn.XLOOKUP(Pipeline_tbl[[#This Row],[Rep_ID]],Dim_Reps!A:A,Dim_Reps!C:C)</f>
        <v>SDR / Inside Sales Rep</v>
      </c>
      <c r="Q2192" t="str">
        <f>_xlfn.XLOOKUP(Pipeline_tbl[[#This Row],[Rep_ID]],Dim_Reps!A:A,Dim_Reps!D:D)</f>
        <v>Inside Sales</v>
      </c>
      <c r="R2192" t="str">
        <f>_xlfn.XLOOKUP(Pipeline_tbl[[#This Row],[Rep_ID]],Dim_Reps!A:A,Dim_Reps!E:E)</f>
        <v>APAC</v>
      </c>
      <c r="S2192" t="str">
        <f>_xlfn.XLOOKUP(Pipeline_tbl[[#This Row],[Created_Date]],Dim_Date!A:A,Dim_Date!H:H)</f>
        <v>May 2025</v>
      </c>
      <c r="T2192" t="str">
        <f>IF(Pipeline_tbl[[#This Row],[Closed_Date]]=0,"",(_xlfn.XLOOKUP(Pipeline_tbl[[#This Row],[Closed_Date]],Dim_Date!A:A,Dim_Date!H:H)))</f>
        <v>Jun 2025</v>
      </c>
      <c r="U2192">
        <f>IF(Pipeline_tbl[[#This Row],[Closed_Date]]=0,"",Pipeline_tbl[[#This Row],[Closed_Date]]-Pipeline_tbl[[#This Row],[Created_Date]])</f>
        <v>16</v>
      </c>
    </row>
    <row r="2193" spans="1:21" ht="15" customHeight="1" x14ac:dyDescent="0.2">
      <c r="A2193" t="s">
        <v>2499</v>
      </c>
      <c r="B2193" t="s">
        <v>185</v>
      </c>
      <c r="C2193" t="s">
        <v>53</v>
      </c>
      <c r="D2193" s="49">
        <v>45780</v>
      </c>
      <c r="E2193" s="49">
        <v>45785</v>
      </c>
      <c r="F2193" s="49">
        <v>45794</v>
      </c>
      <c r="I2193" s="49">
        <v>45828</v>
      </c>
      <c r="J2193" t="s">
        <v>49</v>
      </c>
      <c r="K2193" s="33">
        <v>17900</v>
      </c>
      <c r="L2193" t="s">
        <v>62</v>
      </c>
      <c r="M2193" t="str">
        <f>_xlfn.XLOOKUP(Pipeline_tbl[[#This Row],[Rep_ID]],Dim_Reps!A:A,Dim_Reps!K:K)</f>
        <v>MXN</v>
      </c>
      <c r="N2193" s="33">
        <f>(_xlfn.XLOOKUP(Pipeline_tbl[[#This Row],[Rate_Code_Generalized]],Lookups!A:A,Lookups!B:B))*Pipeline_tbl[[#This Row],[Pipeline_Amount_USD]]</f>
        <v>353215.33</v>
      </c>
      <c r="O2193" t="str">
        <f>_xlfn.XLOOKUP(Pipeline_tbl[[#This Row],[Rep_ID]],Dim_Reps!A:A,Dim_Reps!B:B)</f>
        <v>Noah Kim</v>
      </c>
      <c r="P2193" t="str">
        <f>_xlfn.XLOOKUP(Pipeline_tbl[[#This Row],[Rep_ID]],Dim_Reps!A:A,Dim_Reps!C:C)</f>
        <v>Enterprise AE</v>
      </c>
      <c r="Q2193" t="str">
        <f>_xlfn.XLOOKUP(Pipeline_tbl[[#This Row],[Rep_ID]],Dim_Reps!A:A,Dim_Reps!D:D)</f>
        <v>Enterprise</v>
      </c>
      <c r="R2193" t="str">
        <f>_xlfn.XLOOKUP(Pipeline_tbl[[#This Row],[Rep_ID]],Dim_Reps!A:A,Dim_Reps!E:E)</f>
        <v>LATAM</v>
      </c>
      <c r="S2193" t="str">
        <f>_xlfn.XLOOKUP(Pipeline_tbl[[#This Row],[Created_Date]],Dim_Date!A:A,Dim_Date!H:H)</f>
        <v>May 2025</v>
      </c>
      <c r="T2193" t="str">
        <f>IF(Pipeline_tbl[[#This Row],[Closed_Date]]=0,"",(_xlfn.XLOOKUP(Pipeline_tbl[[#This Row],[Closed_Date]],Dim_Date!A:A,Dim_Date!H:H)))</f>
        <v>Jun 2025</v>
      </c>
      <c r="U2193">
        <f>IF(Pipeline_tbl[[#This Row],[Closed_Date]]=0,"",Pipeline_tbl[[#This Row],[Closed_Date]]-Pipeline_tbl[[#This Row],[Created_Date]])</f>
        <v>48</v>
      </c>
    </row>
    <row r="2194" spans="1:21" ht="15" customHeight="1" x14ac:dyDescent="0.2">
      <c r="A2194" t="s">
        <v>2500</v>
      </c>
      <c r="B2194" t="s">
        <v>205</v>
      </c>
      <c r="C2194" t="s">
        <v>56</v>
      </c>
      <c r="D2194" s="49">
        <v>45799</v>
      </c>
      <c r="E2194" s="49">
        <v>45801</v>
      </c>
      <c r="F2194" s="49">
        <v>45804</v>
      </c>
      <c r="G2194" s="49">
        <v>45808</v>
      </c>
      <c r="I2194" s="49">
        <v>45814</v>
      </c>
      <c r="J2194" t="s">
        <v>49</v>
      </c>
      <c r="K2194" s="33">
        <v>2500</v>
      </c>
      <c r="L2194" t="s">
        <v>63</v>
      </c>
      <c r="M2194" t="str">
        <f>_xlfn.XLOOKUP(Pipeline_tbl[[#This Row],[Rep_ID]],Dim_Reps!A:A,Dim_Reps!K:K)</f>
        <v>EUR</v>
      </c>
      <c r="N2194" s="33">
        <f>(_xlfn.XLOOKUP(Pipeline_tbl[[#This Row],[Rate_Code_Generalized]],Lookups!A:A,Lookups!B:B))*Pipeline_tbl[[#This Row],[Pipeline_Amount_USD]]</f>
        <v>2500</v>
      </c>
      <c r="O2194" t="str">
        <f>_xlfn.XLOOKUP(Pipeline_tbl[[#This Row],[Rep_ID]],Dim_Reps!A:A,Dim_Reps!B:B)</f>
        <v>Karim Alvarez</v>
      </c>
      <c r="P2194" t="str">
        <f>_xlfn.XLOOKUP(Pipeline_tbl[[#This Row],[Rep_ID]],Dim_Reps!A:A,Dim_Reps!C:C)</f>
        <v>SDR / Inside Sales Rep</v>
      </c>
      <c r="Q2194" t="str">
        <f>_xlfn.XLOOKUP(Pipeline_tbl[[#This Row],[Rep_ID]],Dim_Reps!A:A,Dim_Reps!D:D)</f>
        <v>Inside Sales</v>
      </c>
      <c r="R2194" t="str">
        <f>_xlfn.XLOOKUP(Pipeline_tbl[[#This Row],[Rep_ID]],Dim_Reps!A:A,Dim_Reps!E:E)</f>
        <v>EMEA</v>
      </c>
      <c r="S2194" t="str">
        <f>_xlfn.XLOOKUP(Pipeline_tbl[[#This Row],[Created_Date]],Dim_Date!A:A,Dim_Date!H:H)</f>
        <v>May 2025</v>
      </c>
      <c r="T2194" t="str">
        <f>IF(Pipeline_tbl[[#This Row],[Closed_Date]]=0,"",(_xlfn.XLOOKUP(Pipeline_tbl[[#This Row],[Closed_Date]],Dim_Date!A:A,Dim_Date!H:H)))</f>
        <v>Jun 2025</v>
      </c>
      <c r="U2194">
        <f>IF(Pipeline_tbl[[#This Row],[Closed_Date]]=0,"",Pipeline_tbl[[#This Row],[Closed_Date]]-Pipeline_tbl[[#This Row],[Created_Date]])</f>
        <v>15</v>
      </c>
    </row>
    <row r="2195" spans="1:21" ht="15" customHeight="1" x14ac:dyDescent="0.2">
      <c r="A2195" t="s">
        <v>2501</v>
      </c>
      <c r="B2195" t="s">
        <v>205</v>
      </c>
      <c r="C2195" t="s">
        <v>52</v>
      </c>
      <c r="D2195" s="49">
        <v>45793</v>
      </c>
      <c r="E2195" s="49">
        <v>45795</v>
      </c>
      <c r="F2195" s="49">
        <v>45799</v>
      </c>
      <c r="G2195" s="49">
        <v>45805</v>
      </c>
      <c r="H2195" s="49">
        <v>45810</v>
      </c>
      <c r="I2195" s="49">
        <v>45813</v>
      </c>
      <c r="J2195" t="s">
        <v>49</v>
      </c>
      <c r="K2195" s="33">
        <v>7600</v>
      </c>
      <c r="L2195" t="s">
        <v>62</v>
      </c>
      <c r="M2195" t="str">
        <f>_xlfn.XLOOKUP(Pipeline_tbl[[#This Row],[Rep_ID]],Dim_Reps!A:A,Dim_Reps!K:K)</f>
        <v>EUR</v>
      </c>
      <c r="N2195" s="33">
        <f>(_xlfn.XLOOKUP(Pipeline_tbl[[#This Row],[Rate_Code_Generalized]],Lookups!A:A,Lookups!B:B))*Pipeline_tbl[[#This Row],[Pipeline_Amount_USD]]</f>
        <v>7600</v>
      </c>
      <c r="O2195" t="str">
        <f>_xlfn.XLOOKUP(Pipeline_tbl[[#This Row],[Rep_ID]],Dim_Reps!A:A,Dim_Reps!B:B)</f>
        <v>Karim Alvarez</v>
      </c>
      <c r="P2195" t="str">
        <f>_xlfn.XLOOKUP(Pipeline_tbl[[#This Row],[Rep_ID]],Dim_Reps!A:A,Dim_Reps!C:C)</f>
        <v>SDR / Inside Sales Rep</v>
      </c>
      <c r="Q2195" t="str">
        <f>_xlfn.XLOOKUP(Pipeline_tbl[[#This Row],[Rep_ID]],Dim_Reps!A:A,Dim_Reps!D:D)</f>
        <v>Inside Sales</v>
      </c>
      <c r="R2195" t="str">
        <f>_xlfn.XLOOKUP(Pipeline_tbl[[#This Row],[Rep_ID]],Dim_Reps!A:A,Dim_Reps!E:E)</f>
        <v>EMEA</v>
      </c>
      <c r="S2195" t="str">
        <f>_xlfn.XLOOKUP(Pipeline_tbl[[#This Row],[Created_Date]],Dim_Date!A:A,Dim_Date!H:H)</f>
        <v>May 2025</v>
      </c>
      <c r="T2195" t="str">
        <f>IF(Pipeline_tbl[[#This Row],[Closed_Date]]=0,"",(_xlfn.XLOOKUP(Pipeline_tbl[[#This Row],[Closed_Date]],Dim_Date!A:A,Dim_Date!H:H)))</f>
        <v>Jun 2025</v>
      </c>
      <c r="U2195">
        <f>IF(Pipeline_tbl[[#This Row],[Closed_Date]]=0,"",Pipeline_tbl[[#This Row],[Closed_Date]]-Pipeline_tbl[[#This Row],[Created_Date]])</f>
        <v>20</v>
      </c>
    </row>
    <row r="2196" spans="1:21" ht="15" customHeight="1" x14ac:dyDescent="0.2">
      <c r="A2196" t="s">
        <v>2502</v>
      </c>
      <c r="B2196" t="s">
        <v>205</v>
      </c>
      <c r="C2196" t="s">
        <v>55</v>
      </c>
      <c r="D2196" s="49">
        <v>45785</v>
      </c>
      <c r="E2196" s="49">
        <v>45788</v>
      </c>
      <c r="I2196" s="49">
        <v>45813</v>
      </c>
      <c r="J2196" t="s">
        <v>49</v>
      </c>
      <c r="K2196" s="33">
        <v>1700</v>
      </c>
      <c r="L2196" t="s">
        <v>63</v>
      </c>
      <c r="M2196" t="str">
        <f>_xlfn.XLOOKUP(Pipeline_tbl[[#This Row],[Rep_ID]],Dim_Reps!A:A,Dim_Reps!K:K)</f>
        <v>EUR</v>
      </c>
      <c r="N2196" s="33">
        <f>(_xlfn.XLOOKUP(Pipeline_tbl[[#This Row],[Rate_Code_Generalized]],Lookups!A:A,Lookups!B:B))*Pipeline_tbl[[#This Row],[Pipeline_Amount_USD]]</f>
        <v>1700</v>
      </c>
      <c r="O2196" t="str">
        <f>_xlfn.XLOOKUP(Pipeline_tbl[[#This Row],[Rep_ID]],Dim_Reps!A:A,Dim_Reps!B:B)</f>
        <v>Karim Alvarez</v>
      </c>
      <c r="P2196" t="str">
        <f>_xlfn.XLOOKUP(Pipeline_tbl[[#This Row],[Rep_ID]],Dim_Reps!A:A,Dim_Reps!C:C)</f>
        <v>SDR / Inside Sales Rep</v>
      </c>
      <c r="Q2196" t="str">
        <f>_xlfn.XLOOKUP(Pipeline_tbl[[#This Row],[Rep_ID]],Dim_Reps!A:A,Dim_Reps!D:D)</f>
        <v>Inside Sales</v>
      </c>
      <c r="R2196" t="str">
        <f>_xlfn.XLOOKUP(Pipeline_tbl[[#This Row],[Rep_ID]],Dim_Reps!A:A,Dim_Reps!E:E)</f>
        <v>EMEA</v>
      </c>
      <c r="S2196" t="str">
        <f>_xlfn.XLOOKUP(Pipeline_tbl[[#This Row],[Created_Date]],Dim_Date!A:A,Dim_Date!H:H)</f>
        <v>May 2025</v>
      </c>
      <c r="T2196" t="str">
        <f>IF(Pipeline_tbl[[#This Row],[Closed_Date]]=0,"",(_xlfn.XLOOKUP(Pipeline_tbl[[#This Row],[Closed_Date]],Dim_Date!A:A,Dim_Date!H:H)))</f>
        <v>Jun 2025</v>
      </c>
      <c r="U2196">
        <f>IF(Pipeline_tbl[[#This Row],[Closed_Date]]=0,"",Pipeline_tbl[[#This Row],[Closed_Date]]-Pipeline_tbl[[#This Row],[Created_Date]])</f>
        <v>28</v>
      </c>
    </row>
    <row r="2197" spans="1:21" ht="15" customHeight="1" x14ac:dyDescent="0.2">
      <c r="A2197" t="s">
        <v>2503</v>
      </c>
      <c r="B2197" t="s">
        <v>205</v>
      </c>
      <c r="C2197" t="s">
        <v>56</v>
      </c>
      <c r="D2197" s="49">
        <v>45805</v>
      </c>
      <c r="E2197" s="49">
        <v>45806</v>
      </c>
      <c r="F2197" s="49">
        <v>45808</v>
      </c>
      <c r="G2197" s="49">
        <v>45811</v>
      </c>
      <c r="I2197" s="49">
        <v>45815</v>
      </c>
      <c r="J2197" t="s">
        <v>49</v>
      </c>
      <c r="K2197" s="33">
        <v>3300</v>
      </c>
      <c r="L2197" t="s">
        <v>60</v>
      </c>
      <c r="M2197" t="str">
        <f>_xlfn.XLOOKUP(Pipeline_tbl[[#This Row],[Rep_ID]],Dim_Reps!A:A,Dim_Reps!K:K)</f>
        <v>EUR</v>
      </c>
      <c r="N2197" s="33">
        <f>(_xlfn.XLOOKUP(Pipeline_tbl[[#This Row],[Rate_Code_Generalized]],Lookups!A:A,Lookups!B:B))*Pipeline_tbl[[#This Row],[Pipeline_Amount_USD]]</f>
        <v>3300</v>
      </c>
      <c r="O2197" t="str">
        <f>_xlfn.XLOOKUP(Pipeline_tbl[[#This Row],[Rep_ID]],Dim_Reps!A:A,Dim_Reps!B:B)</f>
        <v>Karim Alvarez</v>
      </c>
      <c r="P2197" t="str">
        <f>_xlfn.XLOOKUP(Pipeline_tbl[[#This Row],[Rep_ID]],Dim_Reps!A:A,Dim_Reps!C:C)</f>
        <v>SDR / Inside Sales Rep</v>
      </c>
      <c r="Q2197" t="str">
        <f>_xlfn.XLOOKUP(Pipeline_tbl[[#This Row],[Rep_ID]],Dim_Reps!A:A,Dim_Reps!D:D)</f>
        <v>Inside Sales</v>
      </c>
      <c r="R2197" t="str">
        <f>_xlfn.XLOOKUP(Pipeline_tbl[[#This Row],[Rep_ID]],Dim_Reps!A:A,Dim_Reps!E:E)</f>
        <v>EMEA</v>
      </c>
      <c r="S2197" t="str">
        <f>_xlfn.XLOOKUP(Pipeline_tbl[[#This Row],[Created_Date]],Dim_Date!A:A,Dim_Date!H:H)</f>
        <v>May 2025</v>
      </c>
      <c r="T2197" t="str">
        <f>IF(Pipeline_tbl[[#This Row],[Closed_Date]]=0,"",(_xlfn.XLOOKUP(Pipeline_tbl[[#This Row],[Closed_Date]],Dim_Date!A:A,Dim_Date!H:H)))</f>
        <v>Jun 2025</v>
      </c>
      <c r="U2197">
        <f>IF(Pipeline_tbl[[#This Row],[Closed_Date]]=0,"",Pipeline_tbl[[#This Row],[Closed_Date]]-Pipeline_tbl[[#This Row],[Created_Date]])</f>
        <v>10</v>
      </c>
    </row>
    <row r="2198" spans="1:21" ht="15" customHeight="1" x14ac:dyDescent="0.2">
      <c r="A2198" t="s">
        <v>2504</v>
      </c>
      <c r="B2198" t="s">
        <v>205</v>
      </c>
      <c r="C2198" t="s">
        <v>52</v>
      </c>
      <c r="D2198" s="49">
        <v>45805</v>
      </c>
      <c r="E2198" s="49">
        <v>45806</v>
      </c>
      <c r="F2198" s="49">
        <v>45809</v>
      </c>
      <c r="I2198" s="49">
        <v>45819</v>
      </c>
      <c r="J2198" t="s">
        <v>49</v>
      </c>
      <c r="K2198" s="33">
        <v>2800</v>
      </c>
      <c r="L2198" t="s">
        <v>61</v>
      </c>
      <c r="M2198" t="str">
        <f>_xlfn.XLOOKUP(Pipeline_tbl[[#This Row],[Rep_ID]],Dim_Reps!A:A,Dim_Reps!K:K)</f>
        <v>EUR</v>
      </c>
      <c r="N2198" s="33">
        <f>(_xlfn.XLOOKUP(Pipeline_tbl[[#This Row],[Rate_Code_Generalized]],Lookups!A:A,Lookups!B:B))*Pipeline_tbl[[#This Row],[Pipeline_Amount_USD]]</f>
        <v>2800</v>
      </c>
      <c r="O2198" t="str">
        <f>_xlfn.XLOOKUP(Pipeline_tbl[[#This Row],[Rep_ID]],Dim_Reps!A:A,Dim_Reps!B:B)</f>
        <v>Karim Alvarez</v>
      </c>
      <c r="P2198" t="str">
        <f>_xlfn.XLOOKUP(Pipeline_tbl[[#This Row],[Rep_ID]],Dim_Reps!A:A,Dim_Reps!C:C)</f>
        <v>SDR / Inside Sales Rep</v>
      </c>
      <c r="Q2198" t="str">
        <f>_xlfn.XLOOKUP(Pipeline_tbl[[#This Row],[Rep_ID]],Dim_Reps!A:A,Dim_Reps!D:D)</f>
        <v>Inside Sales</v>
      </c>
      <c r="R2198" t="str">
        <f>_xlfn.XLOOKUP(Pipeline_tbl[[#This Row],[Rep_ID]],Dim_Reps!A:A,Dim_Reps!E:E)</f>
        <v>EMEA</v>
      </c>
      <c r="S2198" t="str">
        <f>_xlfn.XLOOKUP(Pipeline_tbl[[#This Row],[Created_Date]],Dim_Date!A:A,Dim_Date!H:H)</f>
        <v>May 2025</v>
      </c>
      <c r="T2198" t="str">
        <f>IF(Pipeline_tbl[[#This Row],[Closed_Date]]=0,"",(_xlfn.XLOOKUP(Pipeline_tbl[[#This Row],[Closed_Date]],Dim_Date!A:A,Dim_Date!H:H)))</f>
        <v>Jun 2025</v>
      </c>
      <c r="U2198">
        <f>IF(Pipeline_tbl[[#This Row],[Closed_Date]]=0,"",Pipeline_tbl[[#This Row],[Closed_Date]]-Pipeline_tbl[[#This Row],[Created_Date]])</f>
        <v>14</v>
      </c>
    </row>
    <row r="2199" spans="1:21" ht="15" customHeight="1" x14ac:dyDescent="0.2">
      <c r="A2199" t="s">
        <v>2505</v>
      </c>
      <c r="B2199" t="s">
        <v>205</v>
      </c>
      <c r="C2199" t="s">
        <v>54</v>
      </c>
      <c r="D2199" s="49">
        <v>45795</v>
      </c>
      <c r="E2199" s="49">
        <v>45797</v>
      </c>
      <c r="F2199" s="49">
        <v>45800</v>
      </c>
      <c r="G2199" s="49">
        <v>45805</v>
      </c>
      <c r="H2199" s="49">
        <v>45809</v>
      </c>
      <c r="I2199" s="49">
        <v>45811</v>
      </c>
      <c r="J2199" t="s">
        <v>49</v>
      </c>
      <c r="K2199" s="33">
        <v>4400</v>
      </c>
      <c r="L2199" t="s">
        <v>61</v>
      </c>
      <c r="M2199" t="str">
        <f>_xlfn.XLOOKUP(Pipeline_tbl[[#This Row],[Rep_ID]],Dim_Reps!A:A,Dim_Reps!K:K)</f>
        <v>EUR</v>
      </c>
      <c r="N2199" s="33">
        <f>(_xlfn.XLOOKUP(Pipeline_tbl[[#This Row],[Rate_Code_Generalized]],Lookups!A:A,Lookups!B:B))*Pipeline_tbl[[#This Row],[Pipeline_Amount_USD]]</f>
        <v>4400</v>
      </c>
      <c r="O2199" t="str">
        <f>_xlfn.XLOOKUP(Pipeline_tbl[[#This Row],[Rep_ID]],Dim_Reps!A:A,Dim_Reps!B:B)</f>
        <v>Karim Alvarez</v>
      </c>
      <c r="P2199" t="str">
        <f>_xlfn.XLOOKUP(Pipeline_tbl[[#This Row],[Rep_ID]],Dim_Reps!A:A,Dim_Reps!C:C)</f>
        <v>SDR / Inside Sales Rep</v>
      </c>
      <c r="Q2199" t="str">
        <f>_xlfn.XLOOKUP(Pipeline_tbl[[#This Row],[Rep_ID]],Dim_Reps!A:A,Dim_Reps!D:D)</f>
        <v>Inside Sales</v>
      </c>
      <c r="R2199" t="str">
        <f>_xlfn.XLOOKUP(Pipeline_tbl[[#This Row],[Rep_ID]],Dim_Reps!A:A,Dim_Reps!E:E)</f>
        <v>EMEA</v>
      </c>
      <c r="S2199" t="str">
        <f>_xlfn.XLOOKUP(Pipeline_tbl[[#This Row],[Created_Date]],Dim_Date!A:A,Dim_Date!H:H)</f>
        <v>May 2025</v>
      </c>
      <c r="T2199" t="str">
        <f>IF(Pipeline_tbl[[#This Row],[Closed_Date]]=0,"",(_xlfn.XLOOKUP(Pipeline_tbl[[#This Row],[Closed_Date]],Dim_Date!A:A,Dim_Date!H:H)))</f>
        <v>Jun 2025</v>
      </c>
      <c r="U2199">
        <f>IF(Pipeline_tbl[[#This Row],[Closed_Date]]=0,"",Pipeline_tbl[[#This Row],[Closed_Date]]-Pipeline_tbl[[#This Row],[Created_Date]])</f>
        <v>16</v>
      </c>
    </row>
    <row r="2200" spans="1:21" ht="15" customHeight="1" x14ac:dyDescent="0.2">
      <c r="A2200" t="s">
        <v>2506</v>
      </c>
      <c r="B2200" t="s">
        <v>207</v>
      </c>
      <c r="C2200" t="s">
        <v>53</v>
      </c>
      <c r="D2200" s="49">
        <v>45806</v>
      </c>
      <c r="E2200" s="49">
        <v>45808</v>
      </c>
      <c r="F2200" s="49">
        <v>45812</v>
      </c>
      <c r="G2200" s="49">
        <v>45818</v>
      </c>
      <c r="H2200" s="49">
        <v>45823</v>
      </c>
      <c r="I2200" s="49">
        <v>45826</v>
      </c>
      <c r="J2200" t="s">
        <v>49</v>
      </c>
      <c r="K2200" s="33">
        <v>3500</v>
      </c>
      <c r="L2200" t="s">
        <v>61</v>
      </c>
      <c r="M2200" t="str">
        <f>_xlfn.XLOOKUP(Pipeline_tbl[[#This Row],[Rep_ID]],Dim_Reps!A:A,Dim_Reps!K:K)</f>
        <v>EUR</v>
      </c>
      <c r="N2200" s="33">
        <f>(_xlfn.XLOOKUP(Pipeline_tbl[[#This Row],[Rate_Code_Generalized]],Lookups!A:A,Lookups!B:B))*Pipeline_tbl[[#This Row],[Pipeline_Amount_USD]]</f>
        <v>3500</v>
      </c>
      <c r="O2200" t="str">
        <f>_xlfn.XLOOKUP(Pipeline_tbl[[#This Row],[Rep_ID]],Dim_Reps!A:A,Dim_Reps!B:B)</f>
        <v>Sam Castro</v>
      </c>
      <c r="P2200" t="str">
        <f>_xlfn.XLOOKUP(Pipeline_tbl[[#This Row],[Rep_ID]],Dim_Reps!A:A,Dim_Reps!C:C)</f>
        <v>SDR / Inside Sales Rep</v>
      </c>
      <c r="Q2200" t="str">
        <f>_xlfn.XLOOKUP(Pipeline_tbl[[#This Row],[Rep_ID]],Dim_Reps!A:A,Dim_Reps!D:D)</f>
        <v>Inside Sales</v>
      </c>
      <c r="R2200" t="str">
        <f>_xlfn.XLOOKUP(Pipeline_tbl[[#This Row],[Rep_ID]],Dim_Reps!A:A,Dim_Reps!E:E)</f>
        <v>APAC</v>
      </c>
      <c r="S2200" t="str">
        <f>_xlfn.XLOOKUP(Pipeline_tbl[[#This Row],[Created_Date]],Dim_Date!A:A,Dim_Date!H:H)</f>
        <v>May 2025</v>
      </c>
      <c r="T2200" t="str">
        <f>IF(Pipeline_tbl[[#This Row],[Closed_Date]]=0,"",(_xlfn.XLOOKUP(Pipeline_tbl[[#This Row],[Closed_Date]],Dim_Date!A:A,Dim_Date!H:H)))</f>
        <v>Jun 2025</v>
      </c>
      <c r="U2200">
        <f>IF(Pipeline_tbl[[#This Row],[Closed_Date]]=0,"",Pipeline_tbl[[#This Row],[Closed_Date]]-Pipeline_tbl[[#This Row],[Created_Date]])</f>
        <v>20</v>
      </c>
    </row>
    <row r="2201" spans="1:21" ht="15" customHeight="1" x14ac:dyDescent="0.2">
      <c r="A2201" t="s">
        <v>2507</v>
      </c>
      <c r="B2201" t="s">
        <v>207</v>
      </c>
      <c r="C2201" t="s">
        <v>53</v>
      </c>
      <c r="D2201" s="49">
        <v>45802</v>
      </c>
      <c r="E2201" s="49">
        <v>45804</v>
      </c>
      <c r="F2201" s="49">
        <v>45807</v>
      </c>
      <c r="G2201" s="49">
        <v>45811</v>
      </c>
      <c r="H2201" s="49">
        <v>45815</v>
      </c>
      <c r="I2201" s="49">
        <v>45817</v>
      </c>
      <c r="J2201" t="s">
        <v>47</v>
      </c>
      <c r="K2201" s="33">
        <v>3700</v>
      </c>
      <c r="M2201" t="str">
        <f>_xlfn.XLOOKUP(Pipeline_tbl[[#This Row],[Rep_ID]],Dim_Reps!A:A,Dim_Reps!K:K)</f>
        <v>EUR</v>
      </c>
      <c r="N2201" s="33">
        <f>(_xlfn.XLOOKUP(Pipeline_tbl[[#This Row],[Rate_Code_Generalized]],Lookups!A:A,Lookups!B:B))*Pipeline_tbl[[#This Row],[Pipeline_Amount_USD]]</f>
        <v>3700</v>
      </c>
      <c r="O2201" t="str">
        <f>_xlfn.XLOOKUP(Pipeline_tbl[[#This Row],[Rep_ID]],Dim_Reps!A:A,Dim_Reps!B:B)</f>
        <v>Sam Castro</v>
      </c>
      <c r="P2201" t="str">
        <f>_xlfn.XLOOKUP(Pipeline_tbl[[#This Row],[Rep_ID]],Dim_Reps!A:A,Dim_Reps!C:C)</f>
        <v>SDR / Inside Sales Rep</v>
      </c>
      <c r="Q2201" t="str">
        <f>_xlfn.XLOOKUP(Pipeline_tbl[[#This Row],[Rep_ID]],Dim_Reps!A:A,Dim_Reps!D:D)</f>
        <v>Inside Sales</v>
      </c>
      <c r="R2201" t="str">
        <f>_xlfn.XLOOKUP(Pipeline_tbl[[#This Row],[Rep_ID]],Dim_Reps!A:A,Dim_Reps!E:E)</f>
        <v>APAC</v>
      </c>
      <c r="S2201" t="str">
        <f>_xlfn.XLOOKUP(Pipeline_tbl[[#This Row],[Created_Date]],Dim_Date!A:A,Dim_Date!H:H)</f>
        <v>May 2025</v>
      </c>
      <c r="T2201" t="str">
        <f>IF(Pipeline_tbl[[#This Row],[Closed_Date]]=0,"",(_xlfn.XLOOKUP(Pipeline_tbl[[#This Row],[Closed_Date]],Dim_Date!A:A,Dim_Date!H:H)))</f>
        <v>Jun 2025</v>
      </c>
      <c r="U2201">
        <f>IF(Pipeline_tbl[[#This Row],[Closed_Date]]=0,"",Pipeline_tbl[[#This Row],[Closed_Date]]-Pipeline_tbl[[#This Row],[Created_Date]])</f>
        <v>15</v>
      </c>
    </row>
    <row r="2202" spans="1:21" ht="15" customHeight="1" x14ac:dyDescent="0.2">
      <c r="A2202" t="s">
        <v>2508</v>
      </c>
      <c r="B2202" t="s">
        <v>207</v>
      </c>
      <c r="C2202" t="s">
        <v>52</v>
      </c>
      <c r="D2202" s="49">
        <v>45789</v>
      </c>
      <c r="E2202" s="49">
        <v>45791</v>
      </c>
      <c r="F2202" s="49">
        <v>45796</v>
      </c>
      <c r="I2202" s="49">
        <v>45811</v>
      </c>
      <c r="J2202" t="s">
        <v>49</v>
      </c>
      <c r="K2202" s="33">
        <v>2700</v>
      </c>
      <c r="L2202" t="s">
        <v>60</v>
      </c>
      <c r="M2202" t="str">
        <f>_xlfn.XLOOKUP(Pipeline_tbl[[#This Row],[Rep_ID]],Dim_Reps!A:A,Dim_Reps!K:K)</f>
        <v>EUR</v>
      </c>
      <c r="N2202" s="33">
        <f>(_xlfn.XLOOKUP(Pipeline_tbl[[#This Row],[Rate_Code_Generalized]],Lookups!A:A,Lookups!B:B))*Pipeline_tbl[[#This Row],[Pipeline_Amount_USD]]</f>
        <v>2700</v>
      </c>
      <c r="O2202" t="str">
        <f>_xlfn.XLOOKUP(Pipeline_tbl[[#This Row],[Rep_ID]],Dim_Reps!A:A,Dim_Reps!B:B)</f>
        <v>Sam Castro</v>
      </c>
      <c r="P2202" t="str">
        <f>_xlfn.XLOOKUP(Pipeline_tbl[[#This Row],[Rep_ID]],Dim_Reps!A:A,Dim_Reps!C:C)</f>
        <v>SDR / Inside Sales Rep</v>
      </c>
      <c r="Q2202" t="str">
        <f>_xlfn.XLOOKUP(Pipeline_tbl[[#This Row],[Rep_ID]],Dim_Reps!A:A,Dim_Reps!D:D)</f>
        <v>Inside Sales</v>
      </c>
      <c r="R2202" t="str">
        <f>_xlfn.XLOOKUP(Pipeline_tbl[[#This Row],[Rep_ID]],Dim_Reps!A:A,Dim_Reps!E:E)</f>
        <v>APAC</v>
      </c>
      <c r="S2202" t="str">
        <f>_xlfn.XLOOKUP(Pipeline_tbl[[#This Row],[Created_Date]],Dim_Date!A:A,Dim_Date!H:H)</f>
        <v>May 2025</v>
      </c>
      <c r="T2202" t="str">
        <f>IF(Pipeline_tbl[[#This Row],[Closed_Date]]=0,"",(_xlfn.XLOOKUP(Pipeline_tbl[[#This Row],[Closed_Date]],Dim_Date!A:A,Dim_Date!H:H)))</f>
        <v>Jun 2025</v>
      </c>
      <c r="U2202">
        <f>IF(Pipeline_tbl[[#This Row],[Closed_Date]]=0,"",Pipeline_tbl[[#This Row],[Closed_Date]]-Pipeline_tbl[[#This Row],[Created_Date]])</f>
        <v>22</v>
      </c>
    </row>
    <row r="2203" spans="1:21" ht="15" customHeight="1" x14ac:dyDescent="0.2">
      <c r="A2203" t="s">
        <v>2509</v>
      </c>
      <c r="B2203" t="s">
        <v>207</v>
      </c>
      <c r="C2203" t="s">
        <v>54</v>
      </c>
      <c r="D2203" s="49">
        <v>45801</v>
      </c>
      <c r="E2203" s="49">
        <v>45803</v>
      </c>
      <c r="F2203" s="49">
        <v>45806</v>
      </c>
      <c r="G2203" s="49">
        <v>45811</v>
      </c>
      <c r="H2203" s="49">
        <v>45815</v>
      </c>
      <c r="I2203" s="49">
        <v>45817</v>
      </c>
      <c r="J2203" t="s">
        <v>47</v>
      </c>
      <c r="K2203" s="33">
        <v>5600</v>
      </c>
      <c r="M2203" t="str">
        <f>_xlfn.XLOOKUP(Pipeline_tbl[[#This Row],[Rep_ID]],Dim_Reps!A:A,Dim_Reps!K:K)</f>
        <v>EUR</v>
      </c>
      <c r="N2203" s="33">
        <f>(_xlfn.XLOOKUP(Pipeline_tbl[[#This Row],[Rate_Code_Generalized]],Lookups!A:A,Lookups!B:B))*Pipeline_tbl[[#This Row],[Pipeline_Amount_USD]]</f>
        <v>5600</v>
      </c>
      <c r="O2203" t="str">
        <f>_xlfn.XLOOKUP(Pipeline_tbl[[#This Row],[Rep_ID]],Dim_Reps!A:A,Dim_Reps!B:B)</f>
        <v>Sam Castro</v>
      </c>
      <c r="P2203" t="str">
        <f>_xlfn.XLOOKUP(Pipeline_tbl[[#This Row],[Rep_ID]],Dim_Reps!A:A,Dim_Reps!C:C)</f>
        <v>SDR / Inside Sales Rep</v>
      </c>
      <c r="Q2203" t="str">
        <f>_xlfn.XLOOKUP(Pipeline_tbl[[#This Row],[Rep_ID]],Dim_Reps!A:A,Dim_Reps!D:D)</f>
        <v>Inside Sales</v>
      </c>
      <c r="R2203" t="str">
        <f>_xlfn.XLOOKUP(Pipeline_tbl[[#This Row],[Rep_ID]],Dim_Reps!A:A,Dim_Reps!E:E)</f>
        <v>APAC</v>
      </c>
      <c r="S2203" t="str">
        <f>_xlfn.XLOOKUP(Pipeline_tbl[[#This Row],[Created_Date]],Dim_Date!A:A,Dim_Date!H:H)</f>
        <v>May 2025</v>
      </c>
      <c r="T2203" t="str">
        <f>IF(Pipeline_tbl[[#This Row],[Closed_Date]]=0,"",(_xlfn.XLOOKUP(Pipeline_tbl[[#This Row],[Closed_Date]],Dim_Date!A:A,Dim_Date!H:H)))</f>
        <v>Jun 2025</v>
      </c>
      <c r="U2203">
        <f>IF(Pipeline_tbl[[#This Row],[Closed_Date]]=0,"",Pipeline_tbl[[#This Row],[Closed_Date]]-Pipeline_tbl[[#This Row],[Created_Date]])</f>
        <v>16</v>
      </c>
    </row>
    <row r="2204" spans="1:21" ht="15" customHeight="1" x14ac:dyDescent="0.2">
      <c r="A2204" t="s">
        <v>2510</v>
      </c>
      <c r="B2204" t="s">
        <v>207</v>
      </c>
      <c r="C2204" t="s">
        <v>53</v>
      </c>
      <c r="D2204" s="49">
        <v>45808</v>
      </c>
      <c r="E2204" s="49">
        <v>45810</v>
      </c>
      <c r="F2204" s="49">
        <v>45814</v>
      </c>
      <c r="G2204" s="49">
        <v>45820</v>
      </c>
      <c r="H2204" s="49">
        <v>45825</v>
      </c>
      <c r="I2204" s="49">
        <v>45828</v>
      </c>
      <c r="J2204" t="s">
        <v>49</v>
      </c>
      <c r="K2204" s="33">
        <v>3700</v>
      </c>
      <c r="L2204" t="s">
        <v>62</v>
      </c>
      <c r="M2204" t="str">
        <f>_xlfn.XLOOKUP(Pipeline_tbl[[#This Row],[Rep_ID]],Dim_Reps!A:A,Dim_Reps!K:K)</f>
        <v>EUR</v>
      </c>
      <c r="N2204" s="33">
        <f>(_xlfn.XLOOKUP(Pipeline_tbl[[#This Row],[Rate_Code_Generalized]],Lookups!A:A,Lookups!B:B))*Pipeline_tbl[[#This Row],[Pipeline_Amount_USD]]</f>
        <v>3700</v>
      </c>
      <c r="O2204" t="str">
        <f>_xlfn.XLOOKUP(Pipeline_tbl[[#This Row],[Rep_ID]],Dim_Reps!A:A,Dim_Reps!B:B)</f>
        <v>Sam Castro</v>
      </c>
      <c r="P2204" t="str">
        <f>_xlfn.XLOOKUP(Pipeline_tbl[[#This Row],[Rep_ID]],Dim_Reps!A:A,Dim_Reps!C:C)</f>
        <v>SDR / Inside Sales Rep</v>
      </c>
      <c r="Q2204" t="str">
        <f>_xlfn.XLOOKUP(Pipeline_tbl[[#This Row],[Rep_ID]],Dim_Reps!A:A,Dim_Reps!D:D)</f>
        <v>Inside Sales</v>
      </c>
      <c r="R2204" t="str">
        <f>_xlfn.XLOOKUP(Pipeline_tbl[[#This Row],[Rep_ID]],Dim_Reps!A:A,Dim_Reps!E:E)</f>
        <v>APAC</v>
      </c>
      <c r="S2204" t="str">
        <f>_xlfn.XLOOKUP(Pipeline_tbl[[#This Row],[Created_Date]],Dim_Date!A:A,Dim_Date!H:H)</f>
        <v>May 2025</v>
      </c>
      <c r="T2204" t="str">
        <f>IF(Pipeline_tbl[[#This Row],[Closed_Date]]=0,"",(_xlfn.XLOOKUP(Pipeline_tbl[[#This Row],[Closed_Date]],Dim_Date!A:A,Dim_Date!H:H)))</f>
        <v>Jun 2025</v>
      </c>
      <c r="U2204">
        <f>IF(Pipeline_tbl[[#This Row],[Closed_Date]]=0,"",Pipeline_tbl[[#This Row],[Closed_Date]]-Pipeline_tbl[[#This Row],[Created_Date]])</f>
        <v>20</v>
      </c>
    </row>
    <row r="2205" spans="1:21" ht="15" customHeight="1" x14ac:dyDescent="0.2">
      <c r="A2205" t="s">
        <v>2511</v>
      </c>
      <c r="B2205" t="s">
        <v>207</v>
      </c>
      <c r="C2205" t="s">
        <v>56</v>
      </c>
      <c r="D2205" s="49">
        <v>45804</v>
      </c>
      <c r="E2205" s="49">
        <v>45806</v>
      </c>
      <c r="F2205" s="49">
        <v>45809</v>
      </c>
      <c r="I2205" s="49">
        <v>45819</v>
      </c>
      <c r="J2205" t="s">
        <v>49</v>
      </c>
      <c r="K2205" s="33">
        <v>2500</v>
      </c>
      <c r="L2205" t="s">
        <v>62</v>
      </c>
      <c r="M2205" t="str">
        <f>_xlfn.XLOOKUP(Pipeline_tbl[[#This Row],[Rep_ID]],Dim_Reps!A:A,Dim_Reps!K:K)</f>
        <v>EUR</v>
      </c>
      <c r="N2205" s="33">
        <f>(_xlfn.XLOOKUP(Pipeline_tbl[[#This Row],[Rate_Code_Generalized]],Lookups!A:A,Lookups!B:B))*Pipeline_tbl[[#This Row],[Pipeline_Amount_USD]]</f>
        <v>2500</v>
      </c>
      <c r="O2205" t="str">
        <f>_xlfn.XLOOKUP(Pipeline_tbl[[#This Row],[Rep_ID]],Dim_Reps!A:A,Dim_Reps!B:B)</f>
        <v>Sam Castro</v>
      </c>
      <c r="P2205" t="str">
        <f>_xlfn.XLOOKUP(Pipeline_tbl[[#This Row],[Rep_ID]],Dim_Reps!A:A,Dim_Reps!C:C)</f>
        <v>SDR / Inside Sales Rep</v>
      </c>
      <c r="Q2205" t="str">
        <f>_xlfn.XLOOKUP(Pipeline_tbl[[#This Row],[Rep_ID]],Dim_Reps!A:A,Dim_Reps!D:D)</f>
        <v>Inside Sales</v>
      </c>
      <c r="R2205" t="str">
        <f>_xlfn.XLOOKUP(Pipeline_tbl[[#This Row],[Rep_ID]],Dim_Reps!A:A,Dim_Reps!E:E)</f>
        <v>APAC</v>
      </c>
      <c r="S2205" t="str">
        <f>_xlfn.XLOOKUP(Pipeline_tbl[[#This Row],[Created_Date]],Dim_Date!A:A,Dim_Date!H:H)</f>
        <v>May 2025</v>
      </c>
      <c r="T2205" t="str">
        <f>IF(Pipeline_tbl[[#This Row],[Closed_Date]]=0,"",(_xlfn.XLOOKUP(Pipeline_tbl[[#This Row],[Closed_Date]],Dim_Date!A:A,Dim_Date!H:H)))</f>
        <v>Jun 2025</v>
      </c>
      <c r="U2205">
        <f>IF(Pipeline_tbl[[#This Row],[Closed_Date]]=0,"",Pipeline_tbl[[#This Row],[Closed_Date]]-Pipeline_tbl[[#This Row],[Created_Date]])</f>
        <v>15</v>
      </c>
    </row>
    <row r="2206" spans="1:21" ht="15" customHeight="1" x14ac:dyDescent="0.2">
      <c r="A2206" t="s">
        <v>2512</v>
      </c>
      <c r="B2206" t="s">
        <v>207</v>
      </c>
      <c r="C2206" t="s">
        <v>52</v>
      </c>
      <c r="D2206" s="49">
        <v>45798</v>
      </c>
      <c r="E2206" s="49">
        <v>45800</v>
      </c>
      <c r="F2206" s="49">
        <v>45803</v>
      </c>
      <c r="I2206" s="49">
        <v>45815</v>
      </c>
      <c r="J2206" t="s">
        <v>49</v>
      </c>
      <c r="K2206" s="33">
        <v>3800</v>
      </c>
      <c r="L2206" t="s">
        <v>61</v>
      </c>
      <c r="M2206" t="str">
        <f>_xlfn.XLOOKUP(Pipeline_tbl[[#This Row],[Rep_ID]],Dim_Reps!A:A,Dim_Reps!K:K)</f>
        <v>EUR</v>
      </c>
      <c r="N2206" s="33">
        <f>(_xlfn.XLOOKUP(Pipeline_tbl[[#This Row],[Rate_Code_Generalized]],Lookups!A:A,Lookups!B:B))*Pipeline_tbl[[#This Row],[Pipeline_Amount_USD]]</f>
        <v>3800</v>
      </c>
      <c r="O2206" t="str">
        <f>_xlfn.XLOOKUP(Pipeline_tbl[[#This Row],[Rep_ID]],Dim_Reps!A:A,Dim_Reps!B:B)</f>
        <v>Sam Castro</v>
      </c>
      <c r="P2206" t="str">
        <f>_xlfn.XLOOKUP(Pipeline_tbl[[#This Row],[Rep_ID]],Dim_Reps!A:A,Dim_Reps!C:C)</f>
        <v>SDR / Inside Sales Rep</v>
      </c>
      <c r="Q2206" t="str">
        <f>_xlfn.XLOOKUP(Pipeline_tbl[[#This Row],[Rep_ID]],Dim_Reps!A:A,Dim_Reps!D:D)</f>
        <v>Inside Sales</v>
      </c>
      <c r="R2206" t="str">
        <f>_xlfn.XLOOKUP(Pipeline_tbl[[#This Row],[Rep_ID]],Dim_Reps!A:A,Dim_Reps!E:E)</f>
        <v>APAC</v>
      </c>
      <c r="S2206" t="str">
        <f>_xlfn.XLOOKUP(Pipeline_tbl[[#This Row],[Created_Date]],Dim_Date!A:A,Dim_Date!H:H)</f>
        <v>May 2025</v>
      </c>
      <c r="T2206" t="str">
        <f>IF(Pipeline_tbl[[#This Row],[Closed_Date]]=0,"",(_xlfn.XLOOKUP(Pipeline_tbl[[#This Row],[Closed_Date]],Dim_Date!A:A,Dim_Date!H:H)))</f>
        <v>Jun 2025</v>
      </c>
      <c r="U2206">
        <f>IF(Pipeline_tbl[[#This Row],[Closed_Date]]=0,"",Pipeline_tbl[[#This Row],[Closed_Date]]-Pipeline_tbl[[#This Row],[Created_Date]])</f>
        <v>17</v>
      </c>
    </row>
    <row r="2207" spans="1:21" ht="15" customHeight="1" x14ac:dyDescent="0.2">
      <c r="A2207" t="s">
        <v>2513</v>
      </c>
      <c r="B2207" t="s">
        <v>207</v>
      </c>
      <c r="C2207" t="s">
        <v>52</v>
      </c>
      <c r="D2207" s="49">
        <v>45804</v>
      </c>
      <c r="E2207" s="49">
        <v>45805</v>
      </c>
      <c r="F2207" s="49">
        <v>45806</v>
      </c>
      <c r="G2207" s="49">
        <v>45808</v>
      </c>
      <c r="H2207" s="49">
        <v>45810</v>
      </c>
      <c r="I2207" s="49">
        <v>45811</v>
      </c>
      <c r="J2207" t="s">
        <v>47</v>
      </c>
      <c r="K2207" s="33">
        <v>2900</v>
      </c>
      <c r="M2207" t="str">
        <f>_xlfn.XLOOKUP(Pipeline_tbl[[#This Row],[Rep_ID]],Dim_Reps!A:A,Dim_Reps!K:K)</f>
        <v>EUR</v>
      </c>
      <c r="N2207" s="33">
        <f>(_xlfn.XLOOKUP(Pipeline_tbl[[#This Row],[Rate_Code_Generalized]],Lookups!A:A,Lookups!B:B))*Pipeline_tbl[[#This Row],[Pipeline_Amount_USD]]</f>
        <v>2900</v>
      </c>
      <c r="O2207" t="str">
        <f>_xlfn.XLOOKUP(Pipeline_tbl[[#This Row],[Rep_ID]],Dim_Reps!A:A,Dim_Reps!B:B)</f>
        <v>Sam Castro</v>
      </c>
      <c r="P2207" t="str">
        <f>_xlfn.XLOOKUP(Pipeline_tbl[[#This Row],[Rep_ID]],Dim_Reps!A:A,Dim_Reps!C:C)</f>
        <v>SDR / Inside Sales Rep</v>
      </c>
      <c r="Q2207" t="str">
        <f>_xlfn.XLOOKUP(Pipeline_tbl[[#This Row],[Rep_ID]],Dim_Reps!A:A,Dim_Reps!D:D)</f>
        <v>Inside Sales</v>
      </c>
      <c r="R2207" t="str">
        <f>_xlfn.XLOOKUP(Pipeline_tbl[[#This Row],[Rep_ID]],Dim_Reps!A:A,Dim_Reps!E:E)</f>
        <v>APAC</v>
      </c>
      <c r="S2207" t="str">
        <f>_xlfn.XLOOKUP(Pipeline_tbl[[#This Row],[Created_Date]],Dim_Date!A:A,Dim_Date!H:H)</f>
        <v>May 2025</v>
      </c>
      <c r="T2207" t="str">
        <f>IF(Pipeline_tbl[[#This Row],[Closed_Date]]=0,"",(_xlfn.XLOOKUP(Pipeline_tbl[[#This Row],[Closed_Date]],Dim_Date!A:A,Dim_Date!H:H)))</f>
        <v>Jun 2025</v>
      </c>
      <c r="U2207">
        <f>IF(Pipeline_tbl[[#This Row],[Closed_Date]]=0,"",Pipeline_tbl[[#This Row],[Closed_Date]]-Pipeline_tbl[[#This Row],[Created_Date]])</f>
        <v>7</v>
      </c>
    </row>
    <row r="2208" spans="1:21" ht="15" customHeight="1" x14ac:dyDescent="0.2">
      <c r="A2208" t="s">
        <v>2514</v>
      </c>
      <c r="B2208" t="s">
        <v>207</v>
      </c>
      <c r="C2208" t="s">
        <v>53</v>
      </c>
      <c r="D2208" s="49">
        <v>45781</v>
      </c>
      <c r="E2208" s="49">
        <v>45784</v>
      </c>
      <c r="F2208" s="49">
        <v>45790</v>
      </c>
      <c r="G2208" s="49">
        <v>45800</v>
      </c>
      <c r="H2208" s="49">
        <v>45807</v>
      </c>
      <c r="I2208" s="49">
        <v>45812</v>
      </c>
      <c r="J2208" t="s">
        <v>47</v>
      </c>
      <c r="K2208" s="33">
        <v>4800</v>
      </c>
      <c r="M2208" t="str">
        <f>_xlfn.XLOOKUP(Pipeline_tbl[[#This Row],[Rep_ID]],Dim_Reps!A:A,Dim_Reps!K:K)</f>
        <v>EUR</v>
      </c>
      <c r="N2208" s="33">
        <f>(_xlfn.XLOOKUP(Pipeline_tbl[[#This Row],[Rate_Code_Generalized]],Lookups!A:A,Lookups!B:B))*Pipeline_tbl[[#This Row],[Pipeline_Amount_USD]]</f>
        <v>4800</v>
      </c>
      <c r="O2208" t="str">
        <f>_xlfn.XLOOKUP(Pipeline_tbl[[#This Row],[Rep_ID]],Dim_Reps!A:A,Dim_Reps!B:B)</f>
        <v>Sam Castro</v>
      </c>
      <c r="P2208" t="str">
        <f>_xlfn.XLOOKUP(Pipeline_tbl[[#This Row],[Rep_ID]],Dim_Reps!A:A,Dim_Reps!C:C)</f>
        <v>SDR / Inside Sales Rep</v>
      </c>
      <c r="Q2208" t="str">
        <f>_xlfn.XLOOKUP(Pipeline_tbl[[#This Row],[Rep_ID]],Dim_Reps!A:A,Dim_Reps!D:D)</f>
        <v>Inside Sales</v>
      </c>
      <c r="R2208" t="str">
        <f>_xlfn.XLOOKUP(Pipeline_tbl[[#This Row],[Rep_ID]],Dim_Reps!A:A,Dim_Reps!E:E)</f>
        <v>APAC</v>
      </c>
      <c r="S2208" t="str">
        <f>_xlfn.XLOOKUP(Pipeline_tbl[[#This Row],[Created_Date]],Dim_Date!A:A,Dim_Date!H:H)</f>
        <v>May 2025</v>
      </c>
      <c r="T2208" t="str">
        <f>IF(Pipeline_tbl[[#This Row],[Closed_Date]]=0,"",(_xlfn.XLOOKUP(Pipeline_tbl[[#This Row],[Closed_Date]],Dim_Date!A:A,Dim_Date!H:H)))</f>
        <v>Jun 2025</v>
      </c>
      <c r="U2208">
        <f>IF(Pipeline_tbl[[#This Row],[Closed_Date]]=0,"",Pipeline_tbl[[#This Row],[Closed_Date]]-Pipeline_tbl[[#This Row],[Created_Date]])</f>
        <v>31</v>
      </c>
    </row>
    <row r="2209" spans="1:21" ht="15" customHeight="1" x14ac:dyDescent="0.2">
      <c r="A2209" t="s">
        <v>2515</v>
      </c>
      <c r="B2209" t="s">
        <v>209</v>
      </c>
      <c r="C2209" t="s">
        <v>53</v>
      </c>
      <c r="D2209" s="49">
        <v>45806</v>
      </c>
      <c r="E2209" s="49">
        <v>45807</v>
      </c>
      <c r="I2209" s="49">
        <v>45818</v>
      </c>
      <c r="J2209" t="s">
        <v>49</v>
      </c>
      <c r="K2209" s="33">
        <v>1200</v>
      </c>
      <c r="L2209" t="s">
        <v>60</v>
      </c>
      <c r="M2209" t="str">
        <f>_xlfn.XLOOKUP(Pipeline_tbl[[#This Row],[Rep_ID]],Dim_Reps!A:A,Dim_Reps!K:K)</f>
        <v>EUR</v>
      </c>
      <c r="N2209" s="33">
        <f>(_xlfn.XLOOKUP(Pipeline_tbl[[#This Row],[Rate_Code_Generalized]],Lookups!A:A,Lookups!B:B))*Pipeline_tbl[[#This Row],[Pipeline_Amount_USD]]</f>
        <v>1200</v>
      </c>
      <c r="O2209" t="str">
        <f>_xlfn.XLOOKUP(Pipeline_tbl[[#This Row],[Rep_ID]],Dim_Reps!A:A,Dim_Reps!B:B)</f>
        <v>Petra Larsen</v>
      </c>
      <c r="P2209" t="str">
        <f>_xlfn.XLOOKUP(Pipeline_tbl[[#This Row],[Rep_ID]],Dim_Reps!A:A,Dim_Reps!C:C)</f>
        <v>SDR / Inside Sales Rep</v>
      </c>
      <c r="Q2209" t="str">
        <f>_xlfn.XLOOKUP(Pipeline_tbl[[#This Row],[Rep_ID]],Dim_Reps!A:A,Dim_Reps!D:D)</f>
        <v>Inside Sales</v>
      </c>
      <c r="R2209" t="str">
        <f>_xlfn.XLOOKUP(Pipeline_tbl[[#This Row],[Rep_ID]],Dim_Reps!A:A,Dim_Reps!E:E)</f>
        <v>EMEA</v>
      </c>
      <c r="S2209" t="str">
        <f>_xlfn.XLOOKUP(Pipeline_tbl[[#This Row],[Created_Date]],Dim_Date!A:A,Dim_Date!H:H)</f>
        <v>May 2025</v>
      </c>
      <c r="T2209" t="str">
        <f>IF(Pipeline_tbl[[#This Row],[Closed_Date]]=0,"",(_xlfn.XLOOKUP(Pipeline_tbl[[#This Row],[Closed_Date]],Dim_Date!A:A,Dim_Date!H:H)))</f>
        <v>Jun 2025</v>
      </c>
      <c r="U2209">
        <f>IF(Pipeline_tbl[[#This Row],[Closed_Date]]=0,"",Pipeline_tbl[[#This Row],[Closed_Date]]-Pipeline_tbl[[#This Row],[Created_Date]])</f>
        <v>12</v>
      </c>
    </row>
    <row r="2210" spans="1:21" ht="15" customHeight="1" x14ac:dyDescent="0.2">
      <c r="A2210" t="s">
        <v>2516</v>
      </c>
      <c r="B2210" t="s">
        <v>209</v>
      </c>
      <c r="C2210" t="s">
        <v>53</v>
      </c>
      <c r="D2210" s="49">
        <v>45807</v>
      </c>
      <c r="E2210" s="49">
        <v>45809</v>
      </c>
      <c r="F2210" s="49">
        <v>45812</v>
      </c>
      <c r="G2210" s="49">
        <v>45818</v>
      </c>
      <c r="H2210" s="49">
        <v>45822</v>
      </c>
      <c r="I2210" s="49">
        <v>45825</v>
      </c>
      <c r="J2210" t="s">
        <v>47</v>
      </c>
      <c r="K2210" s="33">
        <v>5400</v>
      </c>
      <c r="M2210" t="str">
        <f>_xlfn.XLOOKUP(Pipeline_tbl[[#This Row],[Rep_ID]],Dim_Reps!A:A,Dim_Reps!K:K)</f>
        <v>EUR</v>
      </c>
      <c r="N2210" s="33">
        <f>(_xlfn.XLOOKUP(Pipeline_tbl[[#This Row],[Rate_Code_Generalized]],Lookups!A:A,Lookups!B:B))*Pipeline_tbl[[#This Row],[Pipeline_Amount_USD]]</f>
        <v>5400</v>
      </c>
      <c r="O2210" t="str">
        <f>_xlfn.XLOOKUP(Pipeline_tbl[[#This Row],[Rep_ID]],Dim_Reps!A:A,Dim_Reps!B:B)</f>
        <v>Petra Larsen</v>
      </c>
      <c r="P2210" t="str">
        <f>_xlfn.XLOOKUP(Pipeline_tbl[[#This Row],[Rep_ID]],Dim_Reps!A:A,Dim_Reps!C:C)</f>
        <v>SDR / Inside Sales Rep</v>
      </c>
      <c r="Q2210" t="str">
        <f>_xlfn.XLOOKUP(Pipeline_tbl[[#This Row],[Rep_ID]],Dim_Reps!A:A,Dim_Reps!D:D)</f>
        <v>Inside Sales</v>
      </c>
      <c r="R2210" t="str">
        <f>_xlfn.XLOOKUP(Pipeline_tbl[[#This Row],[Rep_ID]],Dim_Reps!A:A,Dim_Reps!E:E)</f>
        <v>EMEA</v>
      </c>
      <c r="S2210" t="str">
        <f>_xlfn.XLOOKUP(Pipeline_tbl[[#This Row],[Created_Date]],Dim_Date!A:A,Dim_Date!H:H)</f>
        <v>May 2025</v>
      </c>
      <c r="T2210" t="str">
        <f>IF(Pipeline_tbl[[#This Row],[Closed_Date]]=0,"",(_xlfn.XLOOKUP(Pipeline_tbl[[#This Row],[Closed_Date]],Dim_Date!A:A,Dim_Date!H:H)))</f>
        <v>Jun 2025</v>
      </c>
      <c r="U2210">
        <f>IF(Pipeline_tbl[[#This Row],[Closed_Date]]=0,"",Pipeline_tbl[[#This Row],[Closed_Date]]-Pipeline_tbl[[#This Row],[Created_Date]])</f>
        <v>18</v>
      </c>
    </row>
    <row r="2211" spans="1:21" ht="15" customHeight="1" x14ac:dyDescent="0.2">
      <c r="A2211" t="s">
        <v>2517</v>
      </c>
      <c r="B2211" t="s">
        <v>211</v>
      </c>
      <c r="C2211" t="s">
        <v>53</v>
      </c>
      <c r="D2211" s="49">
        <v>45807</v>
      </c>
      <c r="E2211" s="49">
        <v>45809</v>
      </c>
      <c r="F2211" s="49">
        <v>45813</v>
      </c>
      <c r="G2211" s="49">
        <v>45818</v>
      </c>
      <c r="H2211" s="49">
        <v>45823</v>
      </c>
      <c r="I2211" s="49">
        <v>45826</v>
      </c>
      <c r="J2211" t="s">
        <v>49</v>
      </c>
      <c r="K2211" s="33">
        <v>2100</v>
      </c>
      <c r="L2211" t="s">
        <v>62</v>
      </c>
      <c r="M2211" t="str">
        <f>_xlfn.XLOOKUP(Pipeline_tbl[[#This Row],[Rep_ID]],Dim_Reps!A:A,Dim_Reps!K:K)</f>
        <v>EUR</v>
      </c>
      <c r="N2211" s="33">
        <f>(_xlfn.XLOOKUP(Pipeline_tbl[[#This Row],[Rate_Code_Generalized]],Lookups!A:A,Lookups!B:B))*Pipeline_tbl[[#This Row],[Pipeline_Amount_USD]]</f>
        <v>2100</v>
      </c>
      <c r="O2211" t="str">
        <f>_xlfn.XLOOKUP(Pipeline_tbl[[#This Row],[Rep_ID]],Dim_Reps!A:A,Dim_Reps!B:B)</f>
        <v>Lea Weber</v>
      </c>
      <c r="P2211" t="str">
        <f>_xlfn.XLOOKUP(Pipeline_tbl[[#This Row],[Rep_ID]],Dim_Reps!A:A,Dim_Reps!C:C)</f>
        <v>SDR / Inside Sales Rep</v>
      </c>
      <c r="Q2211" t="str">
        <f>_xlfn.XLOOKUP(Pipeline_tbl[[#This Row],[Rep_ID]],Dim_Reps!A:A,Dim_Reps!D:D)</f>
        <v>Inside Sales</v>
      </c>
      <c r="R2211" t="str">
        <f>_xlfn.XLOOKUP(Pipeline_tbl[[#This Row],[Rep_ID]],Dim_Reps!A:A,Dim_Reps!E:E)</f>
        <v>EMEA</v>
      </c>
      <c r="S2211" t="str">
        <f>_xlfn.XLOOKUP(Pipeline_tbl[[#This Row],[Created_Date]],Dim_Date!A:A,Dim_Date!H:H)</f>
        <v>May 2025</v>
      </c>
      <c r="T2211" t="str">
        <f>IF(Pipeline_tbl[[#This Row],[Closed_Date]]=0,"",(_xlfn.XLOOKUP(Pipeline_tbl[[#This Row],[Closed_Date]],Dim_Date!A:A,Dim_Date!H:H)))</f>
        <v>Jun 2025</v>
      </c>
      <c r="U2211">
        <f>IF(Pipeline_tbl[[#This Row],[Closed_Date]]=0,"",Pipeline_tbl[[#This Row],[Closed_Date]]-Pipeline_tbl[[#This Row],[Created_Date]])</f>
        <v>19</v>
      </c>
    </row>
    <row r="2212" spans="1:21" ht="15" customHeight="1" x14ac:dyDescent="0.2">
      <c r="A2212" t="s">
        <v>2518</v>
      </c>
      <c r="B2212" t="s">
        <v>211</v>
      </c>
      <c r="C2212" t="s">
        <v>53</v>
      </c>
      <c r="D2212" s="49">
        <v>45804</v>
      </c>
      <c r="E2212" s="49">
        <v>45806</v>
      </c>
      <c r="F2212" s="49">
        <v>45809</v>
      </c>
      <c r="I2212" s="49">
        <v>45822</v>
      </c>
      <c r="J2212" t="s">
        <v>49</v>
      </c>
      <c r="K2212" s="33">
        <v>2800</v>
      </c>
      <c r="L2212" t="s">
        <v>62</v>
      </c>
      <c r="M2212" t="str">
        <f>_xlfn.XLOOKUP(Pipeline_tbl[[#This Row],[Rep_ID]],Dim_Reps!A:A,Dim_Reps!K:K)</f>
        <v>EUR</v>
      </c>
      <c r="N2212" s="33">
        <f>(_xlfn.XLOOKUP(Pipeline_tbl[[#This Row],[Rate_Code_Generalized]],Lookups!A:A,Lookups!B:B))*Pipeline_tbl[[#This Row],[Pipeline_Amount_USD]]</f>
        <v>2800</v>
      </c>
      <c r="O2212" t="str">
        <f>_xlfn.XLOOKUP(Pipeline_tbl[[#This Row],[Rep_ID]],Dim_Reps!A:A,Dim_Reps!B:B)</f>
        <v>Lea Weber</v>
      </c>
      <c r="P2212" t="str">
        <f>_xlfn.XLOOKUP(Pipeline_tbl[[#This Row],[Rep_ID]],Dim_Reps!A:A,Dim_Reps!C:C)</f>
        <v>SDR / Inside Sales Rep</v>
      </c>
      <c r="Q2212" t="str">
        <f>_xlfn.XLOOKUP(Pipeline_tbl[[#This Row],[Rep_ID]],Dim_Reps!A:A,Dim_Reps!D:D)</f>
        <v>Inside Sales</v>
      </c>
      <c r="R2212" t="str">
        <f>_xlfn.XLOOKUP(Pipeline_tbl[[#This Row],[Rep_ID]],Dim_Reps!A:A,Dim_Reps!E:E)</f>
        <v>EMEA</v>
      </c>
      <c r="S2212" t="str">
        <f>_xlfn.XLOOKUP(Pipeline_tbl[[#This Row],[Created_Date]],Dim_Date!A:A,Dim_Date!H:H)</f>
        <v>May 2025</v>
      </c>
      <c r="T2212" t="str">
        <f>IF(Pipeline_tbl[[#This Row],[Closed_Date]]=0,"",(_xlfn.XLOOKUP(Pipeline_tbl[[#This Row],[Closed_Date]],Dim_Date!A:A,Dim_Date!H:H)))</f>
        <v>Jun 2025</v>
      </c>
      <c r="U2212">
        <f>IF(Pipeline_tbl[[#This Row],[Closed_Date]]=0,"",Pipeline_tbl[[#This Row],[Closed_Date]]-Pipeline_tbl[[#This Row],[Created_Date]])</f>
        <v>18</v>
      </c>
    </row>
    <row r="2213" spans="1:21" ht="15" customHeight="1" x14ac:dyDescent="0.2">
      <c r="A2213" t="s">
        <v>2519</v>
      </c>
      <c r="B2213" t="s">
        <v>211</v>
      </c>
      <c r="C2213" t="s">
        <v>52</v>
      </c>
      <c r="D2213" s="49">
        <v>45800</v>
      </c>
      <c r="E2213" s="49">
        <v>45803</v>
      </c>
      <c r="F2213" s="49">
        <v>45809</v>
      </c>
      <c r="I2213" s="49">
        <v>45829</v>
      </c>
      <c r="J2213" t="s">
        <v>49</v>
      </c>
      <c r="K2213" s="33">
        <v>2800</v>
      </c>
      <c r="L2213" t="s">
        <v>61</v>
      </c>
      <c r="M2213" t="str">
        <f>_xlfn.XLOOKUP(Pipeline_tbl[[#This Row],[Rep_ID]],Dim_Reps!A:A,Dim_Reps!K:K)</f>
        <v>EUR</v>
      </c>
      <c r="N2213" s="33">
        <f>(_xlfn.XLOOKUP(Pipeline_tbl[[#This Row],[Rate_Code_Generalized]],Lookups!A:A,Lookups!B:B))*Pipeline_tbl[[#This Row],[Pipeline_Amount_USD]]</f>
        <v>2800</v>
      </c>
      <c r="O2213" t="str">
        <f>_xlfn.XLOOKUP(Pipeline_tbl[[#This Row],[Rep_ID]],Dim_Reps!A:A,Dim_Reps!B:B)</f>
        <v>Lea Weber</v>
      </c>
      <c r="P2213" t="str">
        <f>_xlfn.XLOOKUP(Pipeline_tbl[[#This Row],[Rep_ID]],Dim_Reps!A:A,Dim_Reps!C:C)</f>
        <v>SDR / Inside Sales Rep</v>
      </c>
      <c r="Q2213" t="str">
        <f>_xlfn.XLOOKUP(Pipeline_tbl[[#This Row],[Rep_ID]],Dim_Reps!A:A,Dim_Reps!D:D)</f>
        <v>Inside Sales</v>
      </c>
      <c r="R2213" t="str">
        <f>_xlfn.XLOOKUP(Pipeline_tbl[[#This Row],[Rep_ID]],Dim_Reps!A:A,Dim_Reps!E:E)</f>
        <v>EMEA</v>
      </c>
      <c r="S2213" t="str">
        <f>_xlfn.XLOOKUP(Pipeline_tbl[[#This Row],[Created_Date]],Dim_Date!A:A,Dim_Date!H:H)</f>
        <v>May 2025</v>
      </c>
      <c r="T2213" t="str">
        <f>IF(Pipeline_tbl[[#This Row],[Closed_Date]]=0,"",(_xlfn.XLOOKUP(Pipeline_tbl[[#This Row],[Closed_Date]],Dim_Date!A:A,Dim_Date!H:H)))</f>
        <v>Jun 2025</v>
      </c>
      <c r="U2213">
        <f>IF(Pipeline_tbl[[#This Row],[Closed_Date]]=0,"",Pipeline_tbl[[#This Row],[Closed_Date]]-Pipeline_tbl[[#This Row],[Created_Date]])</f>
        <v>29</v>
      </c>
    </row>
    <row r="2214" spans="1:21" ht="15" customHeight="1" x14ac:dyDescent="0.2">
      <c r="A2214" t="s">
        <v>2520</v>
      </c>
      <c r="B2214" t="s">
        <v>211</v>
      </c>
      <c r="C2214" t="s">
        <v>56</v>
      </c>
      <c r="D2214" s="49">
        <v>45798</v>
      </c>
      <c r="E2214" s="49">
        <v>45800</v>
      </c>
      <c r="F2214" s="49">
        <v>45804</v>
      </c>
      <c r="G2214" s="49">
        <v>45809</v>
      </c>
      <c r="H2214" s="49">
        <v>45814</v>
      </c>
      <c r="I2214" s="49">
        <v>45817</v>
      </c>
      <c r="J2214" t="s">
        <v>47</v>
      </c>
      <c r="K2214" s="33">
        <v>3000</v>
      </c>
      <c r="M2214" t="str">
        <f>_xlfn.XLOOKUP(Pipeline_tbl[[#This Row],[Rep_ID]],Dim_Reps!A:A,Dim_Reps!K:K)</f>
        <v>EUR</v>
      </c>
      <c r="N2214" s="33">
        <f>(_xlfn.XLOOKUP(Pipeline_tbl[[#This Row],[Rate_Code_Generalized]],Lookups!A:A,Lookups!B:B))*Pipeline_tbl[[#This Row],[Pipeline_Amount_USD]]</f>
        <v>3000</v>
      </c>
      <c r="O2214" t="str">
        <f>_xlfn.XLOOKUP(Pipeline_tbl[[#This Row],[Rep_ID]],Dim_Reps!A:A,Dim_Reps!B:B)</f>
        <v>Lea Weber</v>
      </c>
      <c r="P2214" t="str">
        <f>_xlfn.XLOOKUP(Pipeline_tbl[[#This Row],[Rep_ID]],Dim_Reps!A:A,Dim_Reps!C:C)</f>
        <v>SDR / Inside Sales Rep</v>
      </c>
      <c r="Q2214" t="str">
        <f>_xlfn.XLOOKUP(Pipeline_tbl[[#This Row],[Rep_ID]],Dim_Reps!A:A,Dim_Reps!D:D)</f>
        <v>Inside Sales</v>
      </c>
      <c r="R2214" t="str">
        <f>_xlfn.XLOOKUP(Pipeline_tbl[[#This Row],[Rep_ID]],Dim_Reps!A:A,Dim_Reps!E:E)</f>
        <v>EMEA</v>
      </c>
      <c r="S2214" t="str">
        <f>_xlfn.XLOOKUP(Pipeline_tbl[[#This Row],[Created_Date]],Dim_Date!A:A,Dim_Date!H:H)</f>
        <v>May 2025</v>
      </c>
      <c r="T2214" t="str">
        <f>IF(Pipeline_tbl[[#This Row],[Closed_Date]]=0,"",(_xlfn.XLOOKUP(Pipeline_tbl[[#This Row],[Closed_Date]],Dim_Date!A:A,Dim_Date!H:H)))</f>
        <v>Jun 2025</v>
      </c>
      <c r="U2214">
        <f>IF(Pipeline_tbl[[#This Row],[Closed_Date]]=0,"",Pipeline_tbl[[#This Row],[Closed_Date]]-Pipeline_tbl[[#This Row],[Created_Date]])</f>
        <v>19</v>
      </c>
    </row>
    <row r="2215" spans="1:21" ht="15" customHeight="1" x14ac:dyDescent="0.2">
      <c r="A2215" t="s">
        <v>2521</v>
      </c>
      <c r="B2215" t="s">
        <v>211</v>
      </c>
      <c r="C2215" t="s">
        <v>53</v>
      </c>
      <c r="D2215" s="49">
        <v>45803</v>
      </c>
      <c r="E2215" s="49">
        <v>45805</v>
      </c>
      <c r="F2215" s="49">
        <v>45810</v>
      </c>
      <c r="G2215" s="49">
        <v>45816</v>
      </c>
      <c r="H2215" s="49">
        <v>45822</v>
      </c>
      <c r="I2215" s="49">
        <v>45825</v>
      </c>
      <c r="J2215" t="s">
        <v>49</v>
      </c>
      <c r="K2215" s="33">
        <v>5500</v>
      </c>
      <c r="L2215" t="s">
        <v>60</v>
      </c>
      <c r="M2215" t="str">
        <f>_xlfn.XLOOKUP(Pipeline_tbl[[#This Row],[Rep_ID]],Dim_Reps!A:A,Dim_Reps!K:K)</f>
        <v>EUR</v>
      </c>
      <c r="N2215" s="33">
        <f>(_xlfn.XLOOKUP(Pipeline_tbl[[#This Row],[Rate_Code_Generalized]],Lookups!A:A,Lookups!B:B))*Pipeline_tbl[[#This Row],[Pipeline_Amount_USD]]</f>
        <v>5500</v>
      </c>
      <c r="O2215" t="str">
        <f>_xlfn.XLOOKUP(Pipeline_tbl[[#This Row],[Rep_ID]],Dim_Reps!A:A,Dim_Reps!B:B)</f>
        <v>Lea Weber</v>
      </c>
      <c r="P2215" t="str">
        <f>_xlfn.XLOOKUP(Pipeline_tbl[[#This Row],[Rep_ID]],Dim_Reps!A:A,Dim_Reps!C:C)</f>
        <v>SDR / Inside Sales Rep</v>
      </c>
      <c r="Q2215" t="str">
        <f>_xlfn.XLOOKUP(Pipeline_tbl[[#This Row],[Rep_ID]],Dim_Reps!A:A,Dim_Reps!D:D)</f>
        <v>Inside Sales</v>
      </c>
      <c r="R2215" t="str">
        <f>_xlfn.XLOOKUP(Pipeline_tbl[[#This Row],[Rep_ID]],Dim_Reps!A:A,Dim_Reps!E:E)</f>
        <v>EMEA</v>
      </c>
      <c r="S2215" t="str">
        <f>_xlfn.XLOOKUP(Pipeline_tbl[[#This Row],[Created_Date]],Dim_Date!A:A,Dim_Date!H:H)</f>
        <v>May 2025</v>
      </c>
      <c r="T2215" t="str">
        <f>IF(Pipeline_tbl[[#This Row],[Closed_Date]]=0,"",(_xlfn.XLOOKUP(Pipeline_tbl[[#This Row],[Closed_Date]],Dim_Date!A:A,Dim_Date!H:H)))</f>
        <v>Jun 2025</v>
      </c>
      <c r="U2215">
        <f>IF(Pipeline_tbl[[#This Row],[Closed_Date]]=0,"",Pipeline_tbl[[#This Row],[Closed_Date]]-Pipeline_tbl[[#This Row],[Created_Date]])</f>
        <v>22</v>
      </c>
    </row>
    <row r="2216" spans="1:21" ht="15" customHeight="1" x14ac:dyDescent="0.2">
      <c r="A2216" t="s">
        <v>2522</v>
      </c>
      <c r="B2216" t="s">
        <v>213</v>
      </c>
      <c r="C2216" t="s">
        <v>55</v>
      </c>
      <c r="D2216" s="49">
        <v>45791</v>
      </c>
      <c r="E2216" s="49">
        <v>45793</v>
      </c>
      <c r="F2216" s="49">
        <v>45797</v>
      </c>
      <c r="G2216" s="49">
        <v>45804</v>
      </c>
      <c r="H2216" s="49">
        <v>45809</v>
      </c>
      <c r="I2216" s="49">
        <v>45812</v>
      </c>
      <c r="J2216" t="s">
        <v>47</v>
      </c>
      <c r="K2216" s="33">
        <v>2800</v>
      </c>
      <c r="M2216" t="str">
        <f>_xlfn.XLOOKUP(Pipeline_tbl[[#This Row],[Rep_ID]],Dim_Reps!A:A,Dim_Reps!K:K)</f>
        <v>EUR</v>
      </c>
      <c r="N2216" s="33">
        <f>(_xlfn.XLOOKUP(Pipeline_tbl[[#This Row],[Rate_Code_Generalized]],Lookups!A:A,Lookups!B:B))*Pipeline_tbl[[#This Row],[Pipeline_Amount_USD]]</f>
        <v>2800</v>
      </c>
      <c r="O2216" t="str">
        <f>_xlfn.XLOOKUP(Pipeline_tbl[[#This Row],[Rep_ID]],Dim_Reps!A:A,Dim_Reps!B:B)</f>
        <v>Jamie Silva</v>
      </c>
      <c r="P2216" t="str">
        <f>_xlfn.XLOOKUP(Pipeline_tbl[[#This Row],[Rep_ID]],Dim_Reps!A:A,Dim_Reps!C:C)</f>
        <v>SDR / Inside Sales Rep</v>
      </c>
      <c r="Q2216" t="str">
        <f>_xlfn.XLOOKUP(Pipeline_tbl[[#This Row],[Rep_ID]],Dim_Reps!A:A,Dim_Reps!D:D)</f>
        <v>Inside Sales</v>
      </c>
      <c r="R2216" t="str">
        <f>_xlfn.XLOOKUP(Pipeline_tbl[[#This Row],[Rep_ID]],Dim_Reps!A:A,Dim_Reps!E:E)</f>
        <v>EMEA</v>
      </c>
      <c r="S2216" t="str">
        <f>_xlfn.XLOOKUP(Pipeline_tbl[[#This Row],[Created_Date]],Dim_Date!A:A,Dim_Date!H:H)</f>
        <v>May 2025</v>
      </c>
      <c r="T2216" t="str">
        <f>IF(Pipeline_tbl[[#This Row],[Closed_Date]]=0,"",(_xlfn.XLOOKUP(Pipeline_tbl[[#This Row],[Closed_Date]],Dim_Date!A:A,Dim_Date!H:H)))</f>
        <v>Jun 2025</v>
      </c>
      <c r="U2216">
        <f>IF(Pipeline_tbl[[#This Row],[Closed_Date]]=0,"",Pipeline_tbl[[#This Row],[Closed_Date]]-Pipeline_tbl[[#This Row],[Created_Date]])</f>
        <v>21</v>
      </c>
    </row>
    <row r="2217" spans="1:21" ht="15" customHeight="1" x14ac:dyDescent="0.2">
      <c r="A2217" t="s">
        <v>2523</v>
      </c>
      <c r="B2217" t="s">
        <v>213</v>
      </c>
      <c r="C2217" t="s">
        <v>52</v>
      </c>
      <c r="D2217" s="49">
        <v>45804</v>
      </c>
      <c r="E2217" s="49">
        <v>45806</v>
      </c>
      <c r="F2217" s="49">
        <v>45809</v>
      </c>
      <c r="G2217" s="49">
        <v>45815</v>
      </c>
      <c r="I2217" s="49">
        <v>45822</v>
      </c>
      <c r="J2217" t="s">
        <v>49</v>
      </c>
      <c r="K2217" s="33">
        <v>1000</v>
      </c>
      <c r="L2217" t="s">
        <v>60</v>
      </c>
      <c r="M2217" t="str">
        <f>_xlfn.XLOOKUP(Pipeline_tbl[[#This Row],[Rep_ID]],Dim_Reps!A:A,Dim_Reps!K:K)</f>
        <v>EUR</v>
      </c>
      <c r="N2217" s="33">
        <f>(_xlfn.XLOOKUP(Pipeline_tbl[[#This Row],[Rate_Code_Generalized]],Lookups!A:A,Lookups!B:B))*Pipeline_tbl[[#This Row],[Pipeline_Amount_USD]]</f>
        <v>1000</v>
      </c>
      <c r="O2217" t="str">
        <f>_xlfn.XLOOKUP(Pipeline_tbl[[#This Row],[Rep_ID]],Dim_Reps!A:A,Dim_Reps!B:B)</f>
        <v>Jamie Silva</v>
      </c>
      <c r="P2217" t="str">
        <f>_xlfn.XLOOKUP(Pipeline_tbl[[#This Row],[Rep_ID]],Dim_Reps!A:A,Dim_Reps!C:C)</f>
        <v>SDR / Inside Sales Rep</v>
      </c>
      <c r="Q2217" t="str">
        <f>_xlfn.XLOOKUP(Pipeline_tbl[[#This Row],[Rep_ID]],Dim_Reps!A:A,Dim_Reps!D:D)</f>
        <v>Inside Sales</v>
      </c>
      <c r="R2217" t="str">
        <f>_xlfn.XLOOKUP(Pipeline_tbl[[#This Row],[Rep_ID]],Dim_Reps!A:A,Dim_Reps!E:E)</f>
        <v>EMEA</v>
      </c>
      <c r="S2217" t="str">
        <f>_xlfn.XLOOKUP(Pipeline_tbl[[#This Row],[Created_Date]],Dim_Date!A:A,Dim_Date!H:H)</f>
        <v>May 2025</v>
      </c>
      <c r="T2217" t="str">
        <f>IF(Pipeline_tbl[[#This Row],[Closed_Date]]=0,"",(_xlfn.XLOOKUP(Pipeline_tbl[[#This Row],[Closed_Date]],Dim_Date!A:A,Dim_Date!H:H)))</f>
        <v>Jun 2025</v>
      </c>
      <c r="U2217">
        <f>IF(Pipeline_tbl[[#This Row],[Closed_Date]]=0,"",Pipeline_tbl[[#This Row],[Closed_Date]]-Pipeline_tbl[[#This Row],[Created_Date]])</f>
        <v>18</v>
      </c>
    </row>
    <row r="2218" spans="1:21" ht="15" customHeight="1" x14ac:dyDescent="0.2">
      <c r="A2218" t="s">
        <v>2524</v>
      </c>
      <c r="B2218" t="s">
        <v>253</v>
      </c>
      <c r="C2218" t="s">
        <v>53</v>
      </c>
      <c r="D2218" s="49">
        <v>45790</v>
      </c>
      <c r="E2218" s="49">
        <v>45793</v>
      </c>
      <c r="F2218" s="49">
        <v>45798</v>
      </c>
      <c r="G2218" s="49">
        <v>45806</v>
      </c>
      <c r="H2218" s="49">
        <v>45813</v>
      </c>
      <c r="I2218" s="49">
        <v>45817</v>
      </c>
      <c r="J2218" t="s">
        <v>47</v>
      </c>
      <c r="K2218" s="33">
        <v>12900</v>
      </c>
      <c r="M2218" t="str">
        <f>_xlfn.XLOOKUP(Pipeline_tbl[[#This Row],[Rep_ID]],Dim_Reps!A:A,Dim_Reps!K:K)</f>
        <v>EUR</v>
      </c>
      <c r="N2218" s="33">
        <f>(_xlfn.XLOOKUP(Pipeline_tbl[[#This Row],[Rate_Code_Generalized]],Lookups!A:A,Lookups!B:B))*Pipeline_tbl[[#This Row],[Pipeline_Amount_USD]]</f>
        <v>12900</v>
      </c>
      <c r="O2218" t="str">
        <f>_xlfn.XLOOKUP(Pipeline_tbl[[#This Row],[Rep_ID]],Dim_Reps!A:A,Dim_Reps!B:B)</f>
        <v>Rafael Weber</v>
      </c>
      <c r="P2218" t="str">
        <f>_xlfn.XLOOKUP(Pipeline_tbl[[#This Row],[Rep_ID]],Dim_Reps!A:A,Dim_Reps!C:C)</f>
        <v>Mid-Market AE</v>
      </c>
      <c r="Q2218" t="str">
        <f>_xlfn.XLOOKUP(Pipeline_tbl[[#This Row],[Rep_ID]],Dim_Reps!A:A,Dim_Reps!D:D)</f>
        <v>Mid-Market</v>
      </c>
      <c r="R2218" t="str">
        <f>_xlfn.XLOOKUP(Pipeline_tbl[[#This Row],[Rep_ID]],Dim_Reps!A:A,Dim_Reps!E:E)</f>
        <v>APAC</v>
      </c>
      <c r="S2218" t="str">
        <f>_xlfn.XLOOKUP(Pipeline_tbl[[#This Row],[Created_Date]],Dim_Date!A:A,Dim_Date!H:H)</f>
        <v>May 2025</v>
      </c>
      <c r="T2218" t="str">
        <f>IF(Pipeline_tbl[[#This Row],[Closed_Date]]=0,"",(_xlfn.XLOOKUP(Pipeline_tbl[[#This Row],[Closed_Date]],Dim_Date!A:A,Dim_Date!H:H)))</f>
        <v>Jun 2025</v>
      </c>
      <c r="U2218">
        <f>IF(Pipeline_tbl[[#This Row],[Closed_Date]]=0,"",Pipeline_tbl[[#This Row],[Closed_Date]]-Pipeline_tbl[[#This Row],[Created_Date]])</f>
        <v>27</v>
      </c>
    </row>
    <row r="2219" spans="1:21" ht="15" customHeight="1" x14ac:dyDescent="0.2">
      <c r="A2219" t="s">
        <v>2525</v>
      </c>
      <c r="B2219" t="s">
        <v>215</v>
      </c>
      <c r="C2219" t="s">
        <v>54</v>
      </c>
      <c r="D2219" s="49">
        <v>45798</v>
      </c>
      <c r="E2219" s="49">
        <v>45800</v>
      </c>
      <c r="F2219" s="49">
        <v>45803</v>
      </c>
      <c r="G2219" s="49">
        <v>45809</v>
      </c>
      <c r="I2219" s="49">
        <v>45816</v>
      </c>
      <c r="J2219" t="s">
        <v>49</v>
      </c>
      <c r="K2219" s="33">
        <v>1900</v>
      </c>
      <c r="L2219" t="s">
        <v>60</v>
      </c>
      <c r="M2219" t="str">
        <f>_xlfn.XLOOKUP(Pipeline_tbl[[#This Row],[Rep_ID]],Dim_Reps!A:A,Dim_Reps!K:K)</f>
        <v>EUR</v>
      </c>
      <c r="N2219" s="33">
        <f>(_xlfn.XLOOKUP(Pipeline_tbl[[#This Row],[Rate_Code_Generalized]],Lookups!A:A,Lookups!B:B))*Pipeline_tbl[[#This Row],[Pipeline_Amount_USD]]</f>
        <v>1900</v>
      </c>
      <c r="O2219" t="str">
        <f>_xlfn.XLOOKUP(Pipeline_tbl[[#This Row],[Rep_ID]],Dim_Reps!A:A,Dim_Reps!B:B)</f>
        <v>Jamie Schmidt</v>
      </c>
      <c r="P2219" t="str">
        <f>_xlfn.XLOOKUP(Pipeline_tbl[[#This Row],[Rep_ID]],Dim_Reps!A:A,Dim_Reps!C:C)</f>
        <v>SDR / Inside Sales Rep</v>
      </c>
      <c r="Q2219" t="str">
        <f>_xlfn.XLOOKUP(Pipeline_tbl[[#This Row],[Rep_ID]],Dim_Reps!A:A,Dim_Reps!D:D)</f>
        <v>Inside Sales</v>
      </c>
      <c r="R2219" t="str">
        <f>_xlfn.XLOOKUP(Pipeline_tbl[[#This Row],[Rep_ID]],Dim_Reps!A:A,Dim_Reps!E:E)</f>
        <v>APAC</v>
      </c>
      <c r="S2219" t="str">
        <f>_xlfn.XLOOKUP(Pipeline_tbl[[#This Row],[Created_Date]],Dim_Date!A:A,Dim_Date!H:H)</f>
        <v>May 2025</v>
      </c>
      <c r="T2219" t="str">
        <f>IF(Pipeline_tbl[[#This Row],[Closed_Date]]=0,"",(_xlfn.XLOOKUP(Pipeline_tbl[[#This Row],[Closed_Date]],Dim_Date!A:A,Dim_Date!H:H)))</f>
        <v>Jun 2025</v>
      </c>
      <c r="U2219">
        <f>IF(Pipeline_tbl[[#This Row],[Closed_Date]]=0,"",Pipeline_tbl[[#This Row],[Closed_Date]]-Pipeline_tbl[[#This Row],[Created_Date]])</f>
        <v>18</v>
      </c>
    </row>
    <row r="2220" spans="1:21" ht="15" customHeight="1" x14ac:dyDescent="0.2">
      <c r="A2220" t="s">
        <v>2526</v>
      </c>
      <c r="B2220" t="s">
        <v>215</v>
      </c>
      <c r="C2220" t="s">
        <v>54</v>
      </c>
      <c r="D2220" s="49">
        <v>45795</v>
      </c>
      <c r="E2220" s="49">
        <v>45797</v>
      </c>
      <c r="F2220" s="49">
        <v>45800</v>
      </c>
      <c r="G2220" s="49">
        <v>45805</v>
      </c>
      <c r="H2220" s="49">
        <v>45809</v>
      </c>
      <c r="I2220" s="49">
        <v>45812</v>
      </c>
      <c r="J2220" t="s">
        <v>49</v>
      </c>
      <c r="K2220" s="33">
        <v>2100</v>
      </c>
      <c r="L2220" t="s">
        <v>60</v>
      </c>
      <c r="M2220" t="str">
        <f>_xlfn.XLOOKUP(Pipeline_tbl[[#This Row],[Rep_ID]],Dim_Reps!A:A,Dim_Reps!K:K)</f>
        <v>EUR</v>
      </c>
      <c r="N2220" s="33">
        <f>(_xlfn.XLOOKUP(Pipeline_tbl[[#This Row],[Rate_Code_Generalized]],Lookups!A:A,Lookups!B:B))*Pipeline_tbl[[#This Row],[Pipeline_Amount_USD]]</f>
        <v>2100</v>
      </c>
      <c r="O2220" t="str">
        <f>_xlfn.XLOOKUP(Pipeline_tbl[[#This Row],[Rep_ID]],Dim_Reps!A:A,Dim_Reps!B:B)</f>
        <v>Jamie Schmidt</v>
      </c>
      <c r="P2220" t="str">
        <f>_xlfn.XLOOKUP(Pipeline_tbl[[#This Row],[Rep_ID]],Dim_Reps!A:A,Dim_Reps!C:C)</f>
        <v>SDR / Inside Sales Rep</v>
      </c>
      <c r="Q2220" t="str">
        <f>_xlfn.XLOOKUP(Pipeline_tbl[[#This Row],[Rep_ID]],Dim_Reps!A:A,Dim_Reps!D:D)</f>
        <v>Inside Sales</v>
      </c>
      <c r="R2220" t="str">
        <f>_xlfn.XLOOKUP(Pipeline_tbl[[#This Row],[Rep_ID]],Dim_Reps!A:A,Dim_Reps!E:E)</f>
        <v>APAC</v>
      </c>
      <c r="S2220" t="str">
        <f>_xlfn.XLOOKUP(Pipeline_tbl[[#This Row],[Created_Date]],Dim_Date!A:A,Dim_Date!H:H)</f>
        <v>May 2025</v>
      </c>
      <c r="T2220" t="str">
        <f>IF(Pipeline_tbl[[#This Row],[Closed_Date]]=0,"",(_xlfn.XLOOKUP(Pipeline_tbl[[#This Row],[Closed_Date]],Dim_Date!A:A,Dim_Date!H:H)))</f>
        <v>Jun 2025</v>
      </c>
      <c r="U2220">
        <f>IF(Pipeline_tbl[[#This Row],[Closed_Date]]=0,"",Pipeline_tbl[[#This Row],[Closed_Date]]-Pipeline_tbl[[#This Row],[Created_Date]])</f>
        <v>17</v>
      </c>
    </row>
    <row r="2221" spans="1:21" ht="15" customHeight="1" x14ac:dyDescent="0.2">
      <c r="A2221" t="s">
        <v>2527</v>
      </c>
      <c r="B2221" t="s">
        <v>215</v>
      </c>
      <c r="C2221" t="s">
        <v>55</v>
      </c>
      <c r="D2221" s="49">
        <v>45798</v>
      </c>
      <c r="E2221" s="49">
        <v>45800</v>
      </c>
      <c r="F2221" s="49">
        <v>45803</v>
      </c>
      <c r="G2221" s="49">
        <v>45808</v>
      </c>
      <c r="H2221" s="49">
        <v>45812</v>
      </c>
      <c r="I2221" s="49">
        <v>45814</v>
      </c>
      <c r="J2221" t="s">
        <v>49</v>
      </c>
      <c r="K2221" s="33">
        <v>3600</v>
      </c>
      <c r="L2221" t="s">
        <v>62</v>
      </c>
      <c r="M2221" t="str">
        <f>_xlfn.XLOOKUP(Pipeline_tbl[[#This Row],[Rep_ID]],Dim_Reps!A:A,Dim_Reps!K:K)</f>
        <v>EUR</v>
      </c>
      <c r="N2221" s="33">
        <f>(_xlfn.XLOOKUP(Pipeline_tbl[[#This Row],[Rate_Code_Generalized]],Lookups!A:A,Lookups!B:B))*Pipeline_tbl[[#This Row],[Pipeline_Amount_USD]]</f>
        <v>3600</v>
      </c>
      <c r="O2221" t="str">
        <f>_xlfn.XLOOKUP(Pipeline_tbl[[#This Row],[Rep_ID]],Dim_Reps!A:A,Dim_Reps!B:B)</f>
        <v>Jamie Schmidt</v>
      </c>
      <c r="P2221" t="str">
        <f>_xlfn.XLOOKUP(Pipeline_tbl[[#This Row],[Rep_ID]],Dim_Reps!A:A,Dim_Reps!C:C)</f>
        <v>SDR / Inside Sales Rep</v>
      </c>
      <c r="Q2221" t="str">
        <f>_xlfn.XLOOKUP(Pipeline_tbl[[#This Row],[Rep_ID]],Dim_Reps!A:A,Dim_Reps!D:D)</f>
        <v>Inside Sales</v>
      </c>
      <c r="R2221" t="str">
        <f>_xlfn.XLOOKUP(Pipeline_tbl[[#This Row],[Rep_ID]],Dim_Reps!A:A,Dim_Reps!E:E)</f>
        <v>APAC</v>
      </c>
      <c r="S2221" t="str">
        <f>_xlfn.XLOOKUP(Pipeline_tbl[[#This Row],[Created_Date]],Dim_Date!A:A,Dim_Date!H:H)</f>
        <v>May 2025</v>
      </c>
      <c r="T2221" t="str">
        <f>IF(Pipeline_tbl[[#This Row],[Closed_Date]]=0,"",(_xlfn.XLOOKUP(Pipeline_tbl[[#This Row],[Closed_Date]],Dim_Date!A:A,Dim_Date!H:H)))</f>
        <v>Jun 2025</v>
      </c>
      <c r="U2221">
        <f>IF(Pipeline_tbl[[#This Row],[Closed_Date]]=0,"",Pipeline_tbl[[#This Row],[Closed_Date]]-Pipeline_tbl[[#This Row],[Created_Date]])</f>
        <v>16</v>
      </c>
    </row>
    <row r="2222" spans="1:21" ht="15" customHeight="1" x14ac:dyDescent="0.2">
      <c r="A2222" t="s">
        <v>2528</v>
      </c>
      <c r="B2222" t="s">
        <v>215</v>
      </c>
      <c r="C2222" t="s">
        <v>54</v>
      </c>
      <c r="D2222" s="49">
        <v>45808</v>
      </c>
      <c r="E2222" s="49">
        <v>45810</v>
      </c>
      <c r="F2222" s="49">
        <v>45814</v>
      </c>
      <c r="G2222" s="49">
        <v>45820</v>
      </c>
      <c r="I2222" s="49">
        <v>45828</v>
      </c>
      <c r="J2222" t="s">
        <v>49</v>
      </c>
      <c r="K2222" s="33">
        <v>5300</v>
      </c>
      <c r="L2222" t="s">
        <v>61</v>
      </c>
      <c r="M2222" t="str">
        <f>_xlfn.XLOOKUP(Pipeline_tbl[[#This Row],[Rep_ID]],Dim_Reps!A:A,Dim_Reps!K:K)</f>
        <v>EUR</v>
      </c>
      <c r="N2222" s="33">
        <f>(_xlfn.XLOOKUP(Pipeline_tbl[[#This Row],[Rate_Code_Generalized]],Lookups!A:A,Lookups!B:B))*Pipeline_tbl[[#This Row],[Pipeline_Amount_USD]]</f>
        <v>5300</v>
      </c>
      <c r="O2222" t="str">
        <f>_xlfn.XLOOKUP(Pipeline_tbl[[#This Row],[Rep_ID]],Dim_Reps!A:A,Dim_Reps!B:B)</f>
        <v>Jamie Schmidt</v>
      </c>
      <c r="P2222" t="str">
        <f>_xlfn.XLOOKUP(Pipeline_tbl[[#This Row],[Rep_ID]],Dim_Reps!A:A,Dim_Reps!C:C)</f>
        <v>SDR / Inside Sales Rep</v>
      </c>
      <c r="Q2222" t="str">
        <f>_xlfn.XLOOKUP(Pipeline_tbl[[#This Row],[Rep_ID]],Dim_Reps!A:A,Dim_Reps!D:D)</f>
        <v>Inside Sales</v>
      </c>
      <c r="R2222" t="str">
        <f>_xlfn.XLOOKUP(Pipeline_tbl[[#This Row],[Rep_ID]],Dim_Reps!A:A,Dim_Reps!E:E)</f>
        <v>APAC</v>
      </c>
      <c r="S2222" t="str">
        <f>_xlfn.XLOOKUP(Pipeline_tbl[[#This Row],[Created_Date]],Dim_Date!A:A,Dim_Date!H:H)</f>
        <v>May 2025</v>
      </c>
      <c r="T2222" t="str">
        <f>IF(Pipeline_tbl[[#This Row],[Closed_Date]]=0,"",(_xlfn.XLOOKUP(Pipeline_tbl[[#This Row],[Closed_Date]],Dim_Date!A:A,Dim_Date!H:H)))</f>
        <v>Jun 2025</v>
      </c>
      <c r="U2222">
        <f>IF(Pipeline_tbl[[#This Row],[Closed_Date]]=0,"",Pipeline_tbl[[#This Row],[Closed_Date]]-Pipeline_tbl[[#This Row],[Created_Date]])</f>
        <v>20</v>
      </c>
    </row>
    <row r="2223" spans="1:21" ht="15" customHeight="1" x14ac:dyDescent="0.2">
      <c r="A2223" t="s">
        <v>2529</v>
      </c>
      <c r="B2223" t="s">
        <v>215</v>
      </c>
      <c r="C2223" t="s">
        <v>56</v>
      </c>
      <c r="D2223" s="49">
        <v>45793</v>
      </c>
      <c r="E2223" s="49">
        <v>45795</v>
      </c>
      <c r="F2223" s="49">
        <v>45799</v>
      </c>
      <c r="G2223" s="49">
        <v>45804</v>
      </c>
      <c r="H2223" s="49">
        <v>45809</v>
      </c>
      <c r="I2223" s="49">
        <v>45812</v>
      </c>
      <c r="J2223" t="s">
        <v>49</v>
      </c>
      <c r="K2223" s="33">
        <v>2000</v>
      </c>
      <c r="L2223" t="s">
        <v>64</v>
      </c>
      <c r="M2223" t="str">
        <f>_xlfn.XLOOKUP(Pipeline_tbl[[#This Row],[Rep_ID]],Dim_Reps!A:A,Dim_Reps!K:K)</f>
        <v>EUR</v>
      </c>
      <c r="N2223" s="33">
        <f>(_xlfn.XLOOKUP(Pipeline_tbl[[#This Row],[Rate_Code_Generalized]],Lookups!A:A,Lookups!B:B))*Pipeline_tbl[[#This Row],[Pipeline_Amount_USD]]</f>
        <v>2000</v>
      </c>
      <c r="O2223" t="str">
        <f>_xlfn.XLOOKUP(Pipeline_tbl[[#This Row],[Rep_ID]],Dim_Reps!A:A,Dim_Reps!B:B)</f>
        <v>Jamie Schmidt</v>
      </c>
      <c r="P2223" t="str">
        <f>_xlfn.XLOOKUP(Pipeline_tbl[[#This Row],[Rep_ID]],Dim_Reps!A:A,Dim_Reps!C:C)</f>
        <v>SDR / Inside Sales Rep</v>
      </c>
      <c r="Q2223" t="str">
        <f>_xlfn.XLOOKUP(Pipeline_tbl[[#This Row],[Rep_ID]],Dim_Reps!A:A,Dim_Reps!D:D)</f>
        <v>Inside Sales</v>
      </c>
      <c r="R2223" t="str">
        <f>_xlfn.XLOOKUP(Pipeline_tbl[[#This Row],[Rep_ID]],Dim_Reps!A:A,Dim_Reps!E:E)</f>
        <v>APAC</v>
      </c>
      <c r="S2223" t="str">
        <f>_xlfn.XLOOKUP(Pipeline_tbl[[#This Row],[Created_Date]],Dim_Date!A:A,Dim_Date!H:H)</f>
        <v>May 2025</v>
      </c>
      <c r="T2223" t="str">
        <f>IF(Pipeline_tbl[[#This Row],[Closed_Date]]=0,"",(_xlfn.XLOOKUP(Pipeline_tbl[[#This Row],[Closed_Date]],Dim_Date!A:A,Dim_Date!H:H)))</f>
        <v>Jun 2025</v>
      </c>
      <c r="U2223">
        <f>IF(Pipeline_tbl[[#This Row],[Closed_Date]]=0,"",Pipeline_tbl[[#This Row],[Closed_Date]]-Pipeline_tbl[[#This Row],[Created_Date]])</f>
        <v>19</v>
      </c>
    </row>
    <row r="2224" spans="1:21" ht="15" customHeight="1" x14ac:dyDescent="0.2">
      <c r="A2224" t="s">
        <v>2530</v>
      </c>
      <c r="B2224" t="s">
        <v>215</v>
      </c>
      <c r="C2224" t="s">
        <v>52</v>
      </c>
      <c r="D2224" s="49">
        <v>45803</v>
      </c>
      <c r="E2224" s="49">
        <v>45805</v>
      </c>
      <c r="F2224" s="49">
        <v>45808</v>
      </c>
      <c r="G2224" s="49">
        <v>45813</v>
      </c>
      <c r="I2224" s="49">
        <v>45820</v>
      </c>
      <c r="J2224" t="s">
        <v>49</v>
      </c>
      <c r="K2224" s="33">
        <v>1600</v>
      </c>
      <c r="L2224" t="s">
        <v>64</v>
      </c>
      <c r="M2224" t="str">
        <f>_xlfn.XLOOKUP(Pipeline_tbl[[#This Row],[Rep_ID]],Dim_Reps!A:A,Dim_Reps!K:K)</f>
        <v>EUR</v>
      </c>
      <c r="N2224" s="33">
        <f>(_xlfn.XLOOKUP(Pipeline_tbl[[#This Row],[Rate_Code_Generalized]],Lookups!A:A,Lookups!B:B))*Pipeline_tbl[[#This Row],[Pipeline_Amount_USD]]</f>
        <v>1600</v>
      </c>
      <c r="O2224" t="str">
        <f>_xlfn.XLOOKUP(Pipeline_tbl[[#This Row],[Rep_ID]],Dim_Reps!A:A,Dim_Reps!B:B)</f>
        <v>Jamie Schmidt</v>
      </c>
      <c r="P2224" t="str">
        <f>_xlfn.XLOOKUP(Pipeline_tbl[[#This Row],[Rep_ID]],Dim_Reps!A:A,Dim_Reps!C:C)</f>
        <v>SDR / Inside Sales Rep</v>
      </c>
      <c r="Q2224" t="str">
        <f>_xlfn.XLOOKUP(Pipeline_tbl[[#This Row],[Rep_ID]],Dim_Reps!A:A,Dim_Reps!D:D)</f>
        <v>Inside Sales</v>
      </c>
      <c r="R2224" t="str">
        <f>_xlfn.XLOOKUP(Pipeline_tbl[[#This Row],[Rep_ID]],Dim_Reps!A:A,Dim_Reps!E:E)</f>
        <v>APAC</v>
      </c>
      <c r="S2224" t="str">
        <f>_xlfn.XLOOKUP(Pipeline_tbl[[#This Row],[Created_Date]],Dim_Date!A:A,Dim_Date!H:H)</f>
        <v>May 2025</v>
      </c>
      <c r="T2224" t="str">
        <f>IF(Pipeline_tbl[[#This Row],[Closed_Date]]=0,"",(_xlfn.XLOOKUP(Pipeline_tbl[[#This Row],[Closed_Date]],Dim_Date!A:A,Dim_Date!H:H)))</f>
        <v>Jun 2025</v>
      </c>
      <c r="U2224">
        <f>IF(Pipeline_tbl[[#This Row],[Closed_Date]]=0,"",Pipeline_tbl[[#This Row],[Closed_Date]]-Pipeline_tbl[[#This Row],[Created_Date]])</f>
        <v>17</v>
      </c>
    </row>
    <row r="2225" spans="1:21" ht="15" customHeight="1" x14ac:dyDescent="0.2">
      <c r="A2225" t="s">
        <v>2531</v>
      </c>
      <c r="B2225" t="s">
        <v>215</v>
      </c>
      <c r="C2225" t="s">
        <v>55</v>
      </c>
      <c r="D2225" s="49">
        <v>45803</v>
      </c>
      <c r="E2225" s="49">
        <v>45805</v>
      </c>
      <c r="F2225" s="49">
        <v>45808</v>
      </c>
      <c r="G2225" s="49">
        <v>45813</v>
      </c>
      <c r="I2225" s="49">
        <v>45819</v>
      </c>
      <c r="J2225" t="s">
        <v>49</v>
      </c>
      <c r="K2225" s="33">
        <v>6900</v>
      </c>
      <c r="L2225" t="s">
        <v>62</v>
      </c>
      <c r="M2225" t="str">
        <f>_xlfn.XLOOKUP(Pipeline_tbl[[#This Row],[Rep_ID]],Dim_Reps!A:A,Dim_Reps!K:K)</f>
        <v>EUR</v>
      </c>
      <c r="N2225" s="33">
        <f>(_xlfn.XLOOKUP(Pipeline_tbl[[#This Row],[Rate_Code_Generalized]],Lookups!A:A,Lookups!B:B))*Pipeline_tbl[[#This Row],[Pipeline_Amount_USD]]</f>
        <v>6900</v>
      </c>
      <c r="O2225" t="str">
        <f>_xlfn.XLOOKUP(Pipeline_tbl[[#This Row],[Rep_ID]],Dim_Reps!A:A,Dim_Reps!B:B)</f>
        <v>Jamie Schmidt</v>
      </c>
      <c r="P2225" t="str">
        <f>_xlfn.XLOOKUP(Pipeline_tbl[[#This Row],[Rep_ID]],Dim_Reps!A:A,Dim_Reps!C:C)</f>
        <v>SDR / Inside Sales Rep</v>
      </c>
      <c r="Q2225" t="str">
        <f>_xlfn.XLOOKUP(Pipeline_tbl[[#This Row],[Rep_ID]],Dim_Reps!A:A,Dim_Reps!D:D)</f>
        <v>Inside Sales</v>
      </c>
      <c r="R2225" t="str">
        <f>_xlfn.XLOOKUP(Pipeline_tbl[[#This Row],[Rep_ID]],Dim_Reps!A:A,Dim_Reps!E:E)</f>
        <v>APAC</v>
      </c>
      <c r="S2225" t="str">
        <f>_xlfn.XLOOKUP(Pipeline_tbl[[#This Row],[Created_Date]],Dim_Date!A:A,Dim_Date!H:H)</f>
        <v>May 2025</v>
      </c>
      <c r="T2225" t="str">
        <f>IF(Pipeline_tbl[[#This Row],[Closed_Date]]=0,"",(_xlfn.XLOOKUP(Pipeline_tbl[[#This Row],[Closed_Date]],Dim_Date!A:A,Dim_Date!H:H)))</f>
        <v>Jun 2025</v>
      </c>
      <c r="U2225">
        <f>IF(Pipeline_tbl[[#This Row],[Closed_Date]]=0,"",Pipeline_tbl[[#This Row],[Closed_Date]]-Pipeline_tbl[[#This Row],[Created_Date]])</f>
        <v>16</v>
      </c>
    </row>
    <row r="2226" spans="1:21" ht="15" customHeight="1" x14ac:dyDescent="0.2">
      <c r="A2226" t="s">
        <v>2532</v>
      </c>
      <c r="B2226" t="s">
        <v>215</v>
      </c>
      <c r="C2226" t="s">
        <v>53</v>
      </c>
      <c r="D2226" s="49">
        <v>45799</v>
      </c>
      <c r="E2226" s="49">
        <v>45801</v>
      </c>
      <c r="F2226" s="49">
        <v>45806</v>
      </c>
      <c r="G2226" s="49">
        <v>45812</v>
      </c>
      <c r="I2226" s="49">
        <v>45821</v>
      </c>
      <c r="J2226" t="s">
        <v>49</v>
      </c>
      <c r="K2226" s="33">
        <v>2200</v>
      </c>
      <c r="L2226" t="s">
        <v>64</v>
      </c>
      <c r="M2226" t="str">
        <f>_xlfn.XLOOKUP(Pipeline_tbl[[#This Row],[Rep_ID]],Dim_Reps!A:A,Dim_Reps!K:K)</f>
        <v>EUR</v>
      </c>
      <c r="N2226" s="33">
        <f>(_xlfn.XLOOKUP(Pipeline_tbl[[#This Row],[Rate_Code_Generalized]],Lookups!A:A,Lookups!B:B))*Pipeline_tbl[[#This Row],[Pipeline_Amount_USD]]</f>
        <v>2200</v>
      </c>
      <c r="O2226" t="str">
        <f>_xlfn.XLOOKUP(Pipeline_tbl[[#This Row],[Rep_ID]],Dim_Reps!A:A,Dim_Reps!B:B)</f>
        <v>Jamie Schmidt</v>
      </c>
      <c r="P2226" t="str">
        <f>_xlfn.XLOOKUP(Pipeline_tbl[[#This Row],[Rep_ID]],Dim_Reps!A:A,Dim_Reps!C:C)</f>
        <v>SDR / Inside Sales Rep</v>
      </c>
      <c r="Q2226" t="str">
        <f>_xlfn.XLOOKUP(Pipeline_tbl[[#This Row],[Rep_ID]],Dim_Reps!A:A,Dim_Reps!D:D)</f>
        <v>Inside Sales</v>
      </c>
      <c r="R2226" t="str">
        <f>_xlfn.XLOOKUP(Pipeline_tbl[[#This Row],[Rep_ID]],Dim_Reps!A:A,Dim_Reps!E:E)</f>
        <v>APAC</v>
      </c>
      <c r="S2226" t="str">
        <f>_xlfn.XLOOKUP(Pipeline_tbl[[#This Row],[Created_Date]],Dim_Date!A:A,Dim_Date!H:H)</f>
        <v>May 2025</v>
      </c>
      <c r="T2226" t="str">
        <f>IF(Pipeline_tbl[[#This Row],[Closed_Date]]=0,"",(_xlfn.XLOOKUP(Pipeline_tbl[[#This Row],[Closed_Date]],Dim_Date!A:A,Dim_Date!H:H)))</f>
        <v>Jun 2025</v>
      </c>
      <c r="U2226">
        <f>IF(Pipeline_tbl[[#This Row],[Closed_Date]]=0,"",Pipeline_tbl[[#This Row],[Closed_Date]]-Pipeline_tbl[[#This Row],[Created_Date]])</f>
        <v>22</v>
      </c>
    </row>
    <row r="2227" spans="1:21" ht="15" customHeight="1" x14ac:dyDescent="0.2">
      <c r="A2227" t="s">
        <v>2533</v>
      </c>
      <c r="B2227" t="s">
        <v>215</v>
      </c>
      <c r="C2227" t="s">
        <v>54</v>
      </c>
      <c r="D2227" s="49">
        <v>45790</v>
      </c>
      <c r="E2227" s="49">
        <v>45792</v>
      </c>
      <c r="F2227" s="49">
        <v>45797</v>
      </c>
      <c r="G2227" s="49">
        <v>45804</v>
      </c>
      <c r="I2227" s="49">
        <v>45814</v>
      </c>
      <c r="J2227" t="s">
        <v>49</v>
      </c>
      <c r="K2227" s="33">
        <v>5100</v>
      </c>
      <c r="L2227" t="s">
        <v>63</v>
      </c>
      <c r="M2227" t="str">
        <f>_xlfn.XLOOKUP(Pipeline_tbl[[#This Row],[Rep_ID]],Dim_Reps!A:A,Dim_Reps!K:K)</f>
        <v>EUR</v>
      </c>
      <c r="N2227" s="33">
        <f>(_xlfn.XLOOKUP(Pipeline_tbl[[#This Row],[Rate_Code_Generalized]],Lookups!A:A,Lookups!B:B))*Pipeline_tbl[[#This Row],[Pipeline_Amount_USD]]</f>
        <v>5100</v>
      </c>
      <c r="O2227" t="str">
        <f>_xlfn.XLOOKUP(Pipeline_tbl[[#This Row],[Rep_ID]],Dim_Reps!A:A,Dim_Reps!B:B)</f>
        <v>Jamie Schmidt</v>
      </c>
      <c r="P2227" t="str">
        <f>_xlfn.XLOOKUP(Pipeline_tbl[[#This Row],[Rep_ID]],Dim_Reps!A:A,Dim_Reps!C:C)</f>
        <v>SDR / Inside Sales Rep</v>
      </c>
      <c r="Q2227" t="str">
        <f>_xlfn.XLOOKUP(Pipeline_tbl[[#This Row],[Rep_ID]],Dim_Reps!A:A,Dim_Reps!D:D)</f>
        <v>Inside Sales</v>
      </c>
      <c r="R2227" t="str">
        <f>_xlfn.XLOOKUP(Pipeline_tbl[[#This Row],[Rep_ID]],Dim_Reps!A:A,Dim_Reps!E:E)</f>
        <v>APAC</v>
      </c>
      <c r="S2227" t="str">
        <f>_xlfn.XLOOKUP(Pipeline_tbl[[#This Row],[Created_Date]],Dim_Date!A:A,Dim_Date!H:H)</f>
        <v>May 2025</v>
      </c>
      <c r="T2227" t="str">
        <f>IF(Pipeline_tbl[[#This Row],[Closed_Date]]=0,"",(_xlfn.XLOOKUP(Pipeline_tbl[[#This Row],[Closed_Date]],Dim_Date!A:A,Dim_Date!H:H)))</f>
        <v>Jun 2025</v>
      </c>
      <c r="U2227">
        <f>IF(Pipeline_tbl[[#This Row],[Closed_Date]]=0,"",Pipeline_tbl[[#This Row],[Closed_Date]]-Pipeline_tbl[[#This Row],[Created_Date]])</f>
        <v>24</v>
      </c>
    </row>
    <row r="2228" spans="1:21" ht="15" customHeight="1" x14ac:dyDescent="0.2">
      <c r="A2228" t="s">
        <v>2534</v>
      </c>
      <c r="B2228" t="s">
        <v>217</v>
      </c>
      <c r="C2228" t="s">
        <v>52</v>
      </c>
      <c r="D2228" s="49">
        <v>45800</v>
      </c>
      <c r="E2228" s="49">
        <v>45802</v>
      </c>
      <c r="F2228" s="49">
        <v>45807</v>
      </c>
      <c r="G2228" s="49">
        <v>45813</v>
      </c>
      <c r="H2228" s="49">
        <v>45819</v>
      </c>
      <c r="I2228" s="49">
        <v>45822</v>
      </c>
      <c r="J2228" t="s">
        <v>47</v>
      </c>
      <c r="K2228" s="33">
        <v>3700</v>
      </c>
      <c r="M2228" t="str">
        <f>_xlfn.XLOOKUP(Pipeline_tbl[[#This Row],[Rep_ID]],Dim_Reps!A:A,Dim_Reps!K:K)</f>
        <v>USD</v>
      </c>
      <c r="N2228" s="33">
        <f>(_xlfn.XLOOKUP(Pipeline_tbl[[#This Row],[Rate_Code_Generalized]],Lookups!A:A,Lookups!B:B))*Pipeline_tbl[[#This Row],[Pipeline_Amount_USD]]</f>
        <v>4307.91</v>
      </c>
      <c r="O2228" t="str">
        <f>_xlfn.XLOOKUP(Pipeline_tbl[[#This Row],[Rep_ID]],Dim_Reps!A:A,Dim_Reps!B:B)</f>
        <v>Priya Weber</v>
      </c>
      <c r="P2228" t="str">
        <f>_xlfn.XLOOKUP(Pipeline_tbl[[#This Row],[Rep_ID]],Dim_Reps!A:A,Dim_Reps!C:C)</f>
        <v>SDR / Inside Sales Rep</v>
      </c>
      <c r="Q2228" t="str">
        <f>_xlfn.XLOOKUP(Pipeline_tbl[[#This Row],[Rep_ID]],Dim_Reps!A:A,Dim_Reps!D:D)</f>
        <v>Inside Sales</v>
      </c>
      <c r="R2228" t="str">
        <f>_xlfn.XLOOKUP(Pipeline_tbl[[#This Row],[Rep_ID]],Dim_Reps!A:A,Dim_Reps!E:E)</f>
        <v>NAMER</v>
      </c>
      <c r="S2228" t="str">
        <f>_xlfn.XLOOKUP(Pipeline_tbl[[#This Row],[Created_Date]],Dim_Date!A:A,Dim_Date!H:H)</f>
        <v>May 2025</v>
      </c>
      <c r="T2228" t="str">
        <f>IF(Pipeline_tbl[[#This Row],[Closed_Date]]=0,"",(_xlfn.XLOOKUP(Pipeline_tbl[[#This Row],[Closed_Date]],Dim_Date!A:A,Dim_Date!H:H)))</f>
        <v>Jun 2025</v>
      </c>
      <c r="U2228">
        <f>IF(Pipeline_tbl[[#This Row],[Closed_Date]]=0,"",Pipeline_tbl[[#This Row],[Closed_Date]]-Pipeline_tbl[[#This Row],[Created_Date]])</f>
        <v>22</v>
      </c>
    </row>
    <row r="2229" spans="1:21" ht="15" customHeight="1" x14ac:dyDescent="0.2">
      <c r="A2229" t="s">
        <v>2535</v>
      </c>
      <c r="B2229" t="s">
        <v>217</v>
      </c>
      <c r="C2229" t="s">
        <v>52</v>
      </c>
      <c r="D2229" s="49">
        <v>45782</v>
      </c>
      <c r="E2229" s="49">
        <v>45785</v>
      </c>
      <c r="F2229" s="49">
        <v>45790</v>
      </c>
      <c r="G2229" s="49">
        <v>45798</v>
      </c>
      <c r="I2229" s="49">
        <v>45809</v>
      </c>
      <c r="J2229" t="s">
        <v>49</v>
      </c>
      <c r="K2229" s="33">
        <v>1900</v>
      </c>
      <c r="L2229" t="s">
        <v>62</v>
      </c>
      <c r="M2229" t="str">
        <f>_xlfn.XLOOKUP(Pipeline_tbl[[#This Row],[Rep_ID]],Dim_Reps!A:A,Dim_Reps!K:K)</f>
        <v>USD</v>
      </c>
      <c r="N2229" s="33">
        <f>(_xlfn.XLOOKUP(Pipeline_tbl[[#This Row],[Rate_Code_Generalized]],Lookups!A:A,Lookups!B:B))*Pipeline_tbl[[#This Row],[Pipeline_Amount_USD]]</f>
        <v>2212.1699999999996</v>
      </c>
      <c r="O2229" t="str">
        <f>_xlfn.XLOOKUP(Pipeline_tbl[[#This Row],[Rep_ID]],Dim_Reps!A:A,Dim_Reps!B:B)</f>
        <v>Priya Weber</v>
      </c>
      <c r="P2229" t="str">
        <f>_xlfn.XLOOKUP(Pipeline_tbl[[#This Row],[Rep_ID]],Dim_Reps!A:A,Dim_Reps!C:C)</f>
        <v>SDR / Inside Sales Rep</v>
      </c>
      <c r="Q2229" t="str">
        <f>_xlfn.XLOOKUP(Pipeline_tbl[[#This Row],[Rep_ID]],Dim_Reps!A:A,Dim_Reps!D:D)</f>
        <v>Inside Sales</v>
      </c>
      <c r="R2229" t="str">
        <f>_xlfn.XLOOKUP(Pipeline_tbl[[#This Row],[Rep_ID]],Dim_Reps!A:A,Dim_Reps!E:E)</f>
        <v>NAMER</v>
      </c>
      <c r="S2229" t="str">
        <f>_xlfn.XLOOKUP(Pipeline_tbl[[#This Row],[Created_Date]],Dim_Date!A:A,Dim_Date!H:H)</f>
        <v>May 2025</v>
      </c>
      <c r="T2229" t="str">
        <f>IF(Pipeline_tbl[[#This Row],[Closed_Date]]=0,"",(_xlfn.XLOOKUP(Pipeline_tbl[[#This Row],[Closed_Date]],Dim_Date!A:A,Dim_Date!H:H)))</f>
        <v>Jun 2025</v>
      </c>
      <c r="U2229">
        <f>IF(Pipeline_tbl[[#This Row],[Closed_Date]]=0,"",Pipeline_tbl[[#This Row],[Closed_Date]]-Pipeline_tbl[[#This Row],[Created_Date]])</f>
        <v>27</v>
      </c>
    </row>
    <row r="2230" spans="1:21" ht="15" customHeight="1" x14ac:dyDescent="0.2">
      <c r="A2230" t="s">
        <v>2536</v>
      </c>
      <c r="B2230" t="s">
        <v>217</v>
      </c>
      <c r="C2230" t="s">
        <v>52</v>
      </c>
      <c r="D2230" s="49">
        <v>45794</v>
      </c>
      <c r="E2230" s="49">
        <v>45796</v>
      </c>
      <c r="F2230" s="49">
        <v>45801</v>
      </c>
      <c r="G2230" s="49">
        <v>45808</v>
      </c>
      <c r="I2230" s="49">
        <v>45817</v>
      </c>
      <c r="J2230" t="s">
        <v>49</v>
      </c>
      <c r="K2230" s="33">
        <v>3300</v>
      </c>
      <c r="L2230" t="s">
        <v>61</v>
      </c>
      <c r="M2230" t="str">
        <f>_xlfn.XLOOKUP(Pipeline_tbl[[#This Row],[Rep_ID]],Dim_Reps!A:A,Dim_Reps!K:K)</f>
        <v>USD</v>
      </c>
      <c r="N2230" s="33">
        <f>(_xlfn.XLOOKUP(Pipeline_tbl[[#This Row],[Rate_Code_Generalized]],Lookups!A:A,Lookups!B:B))*Pipeline_tbl[[#This Row],[Pipeline_Amount_USD]]</f>
        <v>3842.1899999999996</v>
      </c>
      <c r="O2230" t="str">
        <f>_xlfn.XLOOKUP(Pipeline_tbl[[#This Row],[Rep_ID]],Dim_Reps!A:A,Dim_Reps!B:B)</f>
        <v>Priya Weber</v>
      </c>
      <c r="P2230" t="str">
        <f>_xlfn.XLOOKUP(Pipeline_tbl[[#This Row],[Rep_ID]],Dim_Reps!A:A,Dim_Reps!C:C)</f>
        <v>SDR / Inside Sales Rep</v>
      </c>
      <c r="Q2230" t="str">
        <f>_xlfn.XLOOKUP(Pipeline_tbl[[#This Row],[Rep_ID]],Dim_Reps!A:A,Dim_Reps!D:D)</f>
        <v>Inside Sales</v>
      </c>
      <c r="R2230" t="str">
        <f>_xlfn.XLOOKUP(Pipeline_tbl[[#This Row],[Rep_ID]],Dim_Reps!A:A,Dim_Reps!E:E)</f>
        <v>NAMER</v>
      </c>
      <c r="S2230" t="str">
        <f>_xlfn.XLOOKUP(Pipeline_tbl[[#This Row],[Created_Date]],Dim_Date!A:A,Dim_Date!H:H)</f>
        <v>May 2025</v>
      </c>
      <c r="T2230" t="str">
        <f>IF(Pipeline_tbl[[#This Row],[Closed_Date]]=0,"",(_xlfn.XLOOKUP(Pipeline_tbl[[#This Row],[Closed_Date]],Dim_Date!A:A,Dim_Date!H:H)))</f>
        <v>Jun 2025</v>
      </c>
      <c r="U2230">
        <f>IF(Pipeline_tbl[[#This Row],[Closed_Date]]=0,"",Pipeline_tbl[[#This Row],[Closed_Date]]-Pipeline_tbl[[#This Row],[Created_Date]])</f>
        <v>23</v>
      </c>
    </row>
    <row r="2231" spans="1:21" ht="15" customHeight="1" x14ac:dyDescent="0.2">
      <c r="A2231" t="s">
        <v>2537</v>
      </c>
      <c r="B2231" t="s">
        <v>217</v>
      </c>
      <c r="C2231" t="s">
        <v>52</v>
      </c>
      <c r="D2231" s="49">
        <v>45795</v>
      </c>
      <c r="E2231" s="49">
        <v>45797</v>
      </c>
      <c r="F2231" s="49">
        <v>45800</v>
      </c>
      <c r="G2231" s="49">
        <v>45805</v>
      </c>
      <c r="H2231" s="49">
        <v>45809</v>
      </c>
      <c r="I2231" s="49">
        <v>45811</v>
      </c>
      <c r="J2231" t="s">
        <v>47</v>
      </c>
      <c r="K2231" s="33">
        <v>3000</v>
      </c>
      <c r="M2231" t="str">
        <f>_xlfn.XLOOKUP(Pipeline_tbl[[#This Row],[Rep_ID]],Dim_Reps!A:A,Dim_Reps!K:K)</f>
        <v>USD</v>
      </c>
      <c r="N2231" s="33">
        <f>(_xlfn.XLOOKUP(Pipeline_tbl[[#This Row],[Rate_Code_Generalized]],Lookups!A:A,Lookups!B:B))*Pipeline_tbl[[#This Row],[Pipeline_Amount_USD]]</f>
        <v>3492.8999999999996</v>
      </c>
      <c r="O2231" t="str">
        <f>_xlfn.XLOOKUP(Pipeline_tbl[[#This Row],[Rep_ID]],Dim_Reps!A:A,Dim_Reps!B:B)</f>
        <v>Priya Weber</v>
      </c>
      <c r="P2231" t="str">
        <f>_xlfn.XLOOKUP(Pipeline_tbl[[#This Row],[Rep_ID]],Dim_Reps!A:A,Dim_Reps!C:C)</f>
        <v>SDR / Inside Sales Rep</v>
      </c>
      <c r="Q2231" t="str">
        <f>_xlfn.XLOOKUP(Pipeline_tbl[[#This Row],[Rep_ID]],Dim_Reps!A:A,Dim_Reps!D:D)</f>
        <v>Inside Sales</v>
      </c>
      <c r="R2231" t="str">
        <f>_xlfn.XLOOKUP(Pipeline_tbl[[#This Row],[Rep_ID]],Dim_Reps!A:A,Dim_Reps!E:E)</f>
        <v>NAMER</v>
      </c>
      <c r="S2231" t="str">
        <f>_xlfn.XLOOKUP(Pipeline_tbl[[#This Row],[Created_Date]],Dim_Date!A:A,Dim_Date!H:H)</f>
        <v>May 2025</v>
      </c>
      <c r="T2231" t="str">
        <f>IF(Pipeline_tbl[[#This Row],[Closed_Date]]=0,"",(_xlfn.XLOOKUP(Pipeline_tbl[[#This Row],[Closed_Date]],Dim_Date!A:A,Dim_Date!H:H)))</f>
        <v>Jun 2025</v>
      </c>
      <c r="U2231">
        <f>IF(Pipeline_tbl[[#This Row],[Closed_Date]]=0,"",Pipeline_tbl[[#This Row],[Closed_Date]]-Pipeline_tbl[[#This Row],[Created_Date]])</f>
        <v>16</v>
      </c>
    </row>
    <row r="2232" spans="1:21" ht="15" customHeight="1" x14ac:dyDescent="0.2">
      <c r="A2232" t="s">
        <v>2538</v>
      </c>
      <c r="B2232" t="s">
        <v>217</v>
      </c>
      <c r="C2232" t="s">
        <v>53</v>
      </c>
      <c r="D2232" s="49">
        <v>45799</v>
      </c>
      <c r="E2232" s="49">
        <v>45801</v>
      </c>
      <c r="F2232" s="49">
        <v>45804</v>
      </c>
      <c r="G2232" s="49">
        <v>45809</v>
      </c>
      <c r="H2232" s="49">
        <v>45813</v>
      </c>
      <c r="I2232" s="49">
        <v>45816</v>
      </c>
      <c r="J2232" t="s">
        <v>49</v>
      </c>
      <c r="K2232" s="33">
        <v>4200</v>
      </c>
      <c r="L2232" t="s">
        <v>61</v>
      </c>
      <c r="M2232" t="str">
        <f>_xlfn.XLOOKUP(Pipeline_tbl[[#This Row],[Rep_ID]],Dim_Reps!A:A,Dim_Reps!K:K)</f>
        <v>USD</v>
      </c>
      <c r="N2232" s="33">
        <f>(_xlfn.XLOOKUP(Pipeline_tbl[[#This Row],[Rate_Code_Generalized]],Lookups!A:A,Lookups!B:B))*Pipeline_tbl[[#This Row],[Pipeline_Amount_USD]]</f>
        <v>4890.0599999999995</v>
      </c>
      <c r="O2232" t="str">
        <f>_xlfn.XLOOKUP(Pipeline_tbl[[#This Row],[Rep_ID]],Dim_Reps!A:A,Dim_Reps!B:B)</f>
        <v>Priya Weber</v>
      </c>
      <c r="P2232" t="str">
        <f>_xlfn.XLOOKUP(Pipeline_tbl[[#This Row],[Rep_ID]],Dim_Reps!A:A,Dim_Reps!C:C)</f>
        <v>SDR / Inside Sales Rep</v>
      </c>
      <c r="Q2232" t="str">
        <f>_xlfn.XLOOKUP(Pipeline_tbl[[#This Row],[Rep_ID]],Dim_Reps!A:A,Dim_Reps!D:D)</f>
        <v>Inside Sales</v>
      </c>
      <c r="R2232" t="str">
        <f>_xlfn.XLOOKUP(Pipeline_tbl[[#This Row],[Rep_ID]],Dim_Reps!A:A,Dim_Reps!E:E)</f>
        <v>NAMER</v>
      </c>
      <c r="S2232" t="str">
        <f>_xlfn.XLOOKUP(Pipeline_tbl[[#This Row],[Created_Date]],Dim_Date!A:A,Dim_Date!H:H)</f>
        <v>May 2025</v>
      </c>
      <c r="T2232" t="str">
        <f>IF(Pipeline_tbl[[#This Row],[Closed_Date]]=0,"",(_xlfn.XLOOKUP(Pipeline_tbl[[#This Row],[Closed_Date]],Dim_Date!A:A,Dim_Date!H:H)))</f>
        <v>Jun 2025</v>
      </c>
      <c r="U2232">
        <f>IF(Pipeline_tbl[[#This Row],[Closed_Date]]=0,"",Pipeline_tbl[[#This Row],[Closed_Date]]-Pipeline_tbl[[#This Row],[Created_Date]])</f>
        <v>17</v>
      </c>
    </row>
    <row r="2233" spans="1:21" ht="15" customHeight="1" x14ac:dyDescent="0.2">
      <c r="A2233" t="s">
        <v>2539</v>
      </c>
      <c r="B2233" t="s">
        <v>188</v>
      </c>
      <c r="C2233" t="s">
        <v>55</v>
      </c>
      <c r="D2233" s="49">
        <v>45786</v>
      </c>
      <c r="E2233" s="49">
        <v>45789</v>
      </c>
      <c r="F2233" s="49">
        <v>45794</v>
      </c>
      <c r="G2233" s="49">
        <v>45802</v>
      </c>
      <c r="I2233" s="49">
        <v>45812</v>
      </c>
      <c r="J2233" t="s">
        <v>49</v>
      </c>
      <c r="K2233" s="33">
        <v>25900</v>
      </c>
      <c r="L2233" t="s">
        <v>62</v>
      </c>
      <c r="M2233" t="str">
        <f>_xlfn.XLOOKUP(Pipeline_tbl[[#This Row],[Rep_ID]],Dim_Reps!A:A,Dim_Reps!K:K)</f>
        <v>EUR</v>
      </c>
      <c r="N2233" s="33">
        <f>(_xlfn.XLOOKUP(Pipeline_tbl[[#This Row],[Rate_Code_Generalized]],Lookups!A:A,Lookups!B:B))*Pipeline_tbl[[#This Row],[Pipeline_Amount_USD]]</f>
        <v>25900</v>
      </c>
      <c r="O2233" t="str">
        <f>_xlfn.XLOOKUP(Pipeline_tbl[[#This Row],[Rep_ID]],Dim_Reps!A:A,Dim_Reps!B:B)</f>
        <v>Jamie Santos</v>
      </c>
      <c r="P2233" t="str">
        <f>_xlfn.XLOOKUP(Pipeline_tbl[[#This Row],[Rep_ID]],Dim_Reps!A:A,Dim_Reps!C:C)</f>
        <v>Enterprise AE</v>
      </c>
      <c r="Q2233" t="str">
        <f>_xlfn.XLOOKUP(Pipeline_tbl[[#This Row],[Rep_ID]],Dim_Reps!A:A,Dim_Reps!D:D)</f>
        <v>Enterprise</v>
      </c>
      <c r="R2233" t="str">
        <f>_xlfn.XLOOKUP(Pipeline_tbl[[#This Row],[Rep_ID]],Dim_Reps!A:A,Dim_Reps!E:E)</f>
        <v>APAC</v>
      </c>
      <c r="S2233" t="str">
        <f>_xlfn.XLOOKUP(Pipeline_tbl[[#This Row],[Created_Date]],Dim_Date!A:A,Dim_Date!H:H)</f>
        <v>May 2025</v>
      </c>
      <c r="T2233" t="str">
        <f>IF(Pipeline_tbl[[#This Row],[Closed_Date]]=0,"",(_xlfn.XLOOKUP(Pipeline_tbl[[#This Row],[Closed_Date]],Dim_Date!A:A,Dim_Date!H:H)))</f>
        <v>Jun 2025</v>
      </c>
      <c r="U2233">
        <f>IF(Pipeline_tbl[[#This Row],[Closed_Date]]=0,"",Pipeline_tbl[[#This Row],[Closed_Date]]-Pipeline_tbl[[#This Row],[Created_Date]])</f>
        <v>26</v>
      </c>
    </row>
    <row r="2234" spans="1:21" ht="15" customHeight="1" x14ac:dyDescent="0.2">
      <c r="A2234" t="s">
        <v>2540</v>
      </c>
      <c r="B2234" t="s">
        <v>188</v>
      </c>
      <c r="C2234" t="s">
        <v>52</v>
      </c>
      <c r="D2234" s="49">
        <v>45788</v>
      </c>
      <c r="E2234" s="49">
        <v>45792</v>
      </c>
      <c r="I2234" s="49">
        <v>45831</v>
      </c>
      <c r="J2234" t="s">
        <v>49</v>
      </c>
      <c r="K2234" s="33">
        <v>38600</v>
      </c>
      <c r="L2234" t="s">
        <v>63</v>
      </c>
      <c r="M2234" t="str">
        <f>_xlfn.XLOOKUP(Pipeline_tbl[[#This Row],[Rep_ID]],Dim_Reps!A:A,Dim_Reps!K:K)</f>
        <v>EUR</v>
      </c>
      <c r="N2234" s="33">
        <f>(_xlfn.XLOOKUP(Pipeline_tbl[[#This Row],[Rate_Code_Generalized]],Lookups!A:A,Lookups!B:B))*Pipeline_tbl[[#This Row],[Pipeline_Amount_USD]]</f>
        <v>38600</v>
      </c>
      <c r="O2234" t="str">
        <f>_xlfn.XLOOKUP(Pipeline_tbl[[#This Row],[Rep_ID]],Dim_Reps!A:A,Dim_Reps!B:B)</f>
        <v>Jamie Santos</v>
      </c>
      <c r="P2234" t="str">
        <f>_xlfn.XLOOKUP(Pipeline_tbl[[#This Row],[Rep_ID]],Dim_Reps!A:A,Dim_Reps!C:C)</f>
        <v>Enterprise AE</v>
      </c>
      <c r="Q2234" t="str">
        <f>_xlfn.XLOOKUP(Pipeline_tbl[[#This Row],[Rep_ID]],Dim_Reps!A:A,Dim_Reps!D:D)</f>
        <v>Enterprise</v>
      </c>
      <c r="R2234" t="str">
        <f>_xlfn.XLOOKUP(Pipeline_tbl[[#This Row],[Rep_ID]],Dim_Reps!A:A,Dim_Reps!E:E)</f>
        <v>APAC</v>
      </c>
      <c r="S2234" t="str">
        <f>_xlfn.XLOOKUP(Pipeline_tbl[[#This Row],[Created_Date]],Dim_Date!A:A,Dim_Date!H:H)</f>
        <v>May 2025</v>
      </c>
      <c r="T2234" t="str">
        <f>IF(Pipeline_tbl[[#This Row],[Closed_Date]]=0,"",(_xlfn.XLOOKUP(Pipeline_tbl[[#This Row],[Closed_Date]],Dim_Date!A:A,Dim_Date!H:H)))</f>
        <v>Jun 2025</v>
      </c>
      <c r="U2234">
        <f>IF(Pipeline_tbl[[#This Row],[Closed_Date]]=0,"",Pipeline_tbl[[#This Row],[Closed_Date]]-Pipeline_tbl[[#This Row],[Created_Date]])</f>
        <v>43</v>
      </c>
    </row>
    <row r="2235" spans="1:21" ht="15" customHeight="1" x14ac:dyDescent="0.2">
      <c r="A2235" t="s">
        <v>2541</v>
      </c>
      <c r="B2235" t="s">
        <v>221</v>
      </c>
      <c r="C2235" t="s">
        <v>56</v>
      </c>
      <c r="D2235" s="49">
        <v>45800</v>
      </c>
      <c r="E2235" s="49">
        <v>45803</v>
      </c>
      <c r="F2235" s="49">
        <v>45808</v>
      </c>
      <c r="G2235" s="49">
        <v>45816</v>
      </c>
      <c r="H2235" s="49">
        <v>45823</v>
      </c>
      <c r="I2235" s="49">
        <v>45827</v>
      </c>
      <c r="J2235" t="s">
        <v>49</v>
      </c>
      <c r="K2235" s="33">
        <v>2400</v>
      </c>
      <c r="L2235" t="s">
        <v>61</v>
      </c>
      <c r="M2235" t="str">
        <f>_xlfn.XLOOKUP(Pipeline_tbl[[#This Row],[Rep_ID]],Dim_Reps!A:A,Dim_Reps!K:K)</f>
        <v>MXN</v>
      </c>
      <c r="N2235" s="33">
        <f>(_xlfn.XLOOKUP(Pipeline_tbl[[#This Row],[Rate_Code_Generalized]],Lookups!A:A,Lookups!B:B))*Pipeline_tbl[[#This Row],[Pipeline_Amount_USD]]</f>
        <v>47358.48</v>
      </c>
      <c r="O2235" t="str">
        <f>_xlfn.XLOOKUP(Pipeline_tbl[[#This Row],[Rep_ID]],Dim_Reps!A:A,Dim_Reps!B:B)</f>
        <v>Casey Muller</v>
      </c>
      <c r="P2235" t="str">
        <f>_xlfn.XLOOKUP(Pipeline_tbl[[#This Row],[Rep_ID]],Dim_Reps!A:A,Dim_Reps!C:C)</f>
        <v>SDR / Inside Sales Rep</v>
      </c>
      <c r="Q2235" t="str">
        <f>_xlfn.XLOOKUP(Pipeline_tbl[[#This Row],[Rep_ID]],Dim_Reps!A:A,Dim_Reps!D:D)</f>
        <v>Inside Sales</v>
      </c>
      <c r="R2235" t="str">
        <f>_xlfn.XLOOKUP(Pipeline_tbl[[#This Row],[Rep_ID]],Dim_Reps!A:A,Dim_Reps!E:E)</f>
        <v>LATAM</v>
      </c>
      <c r="S2235" t="str">
        <f>_xlfn.XLOOKUP(Pipeline_tbl[[#This Row],[Created_Date]],Dim_Date!A:A,Dim_Date!H:H)</f>
        <v>May 2025</v>
      </c>
      <c r="T2235" t="str">
        <f>IF(Pipeline_tbl[[#This Row],[Closed_Date]]=0,"",(_xlfn.XLOOKUP(Pipeline_tbl[[#This Row],[Closed_Date]],Dim_Date!A:A,Dim_Date!H:H)))</f>
        <v>Jun 2025</v>
      </c>
      <c r="U2235">
        <f>IF(Pipeline_tbl[[#This Row],[Closed_Date]]=0,"",Pipeline_tbl[[#This Row],[Closed_Date]]-Pipeline_tbl[[#This Row],[Created_Date]])</f>
        <v>27</v>
      </c>
    </row>
    <row r="2236" spans="1:21" ht="15" customHeight="1" x14ac:dyDescent="0.2">
      <c r="A2236" t="s">
        <v>2542</v>
      </c>
      <c r="B2236" t="s">
        <v>221</v>
      </c>
      <c r="C2236" t="s">
        <v>53</v>
      </c>
      <c r="D2236" s="49">
        <v>45805</v>
      </c>
      <c r="E2236" s="49">
        <v>45807</v>
      </c>
      <c r="F2236" s="49">
        <v>45811</v>
      </c>
      <c r="G2236" s="49">
        <v>45816</v>
      </c>
      <c r="H2236" s="49">
        <v>45821</v>
      </c>
      <c r="I2236" s="49">
        <v>45824</v>
      </c>
      <c r="J2236" t="s">
        <v>49</v>
      </c>
      <c r="K2236" s="33">
        <v>4100</v>
      </c>
      <c r="L2236" t="s">
        <v>62</v>
      </c>
      <c r="M2236" t="str">
        <f>_xlfn.XLOOKUP(Pipeline_tbl[[#This Row],[Rep_ID]],Dim_Reps!A:A,Dim_Reps!K:K)</f>
        <v>MXN</v>
      </c>
      <c r="N2236" s="33">
        <f>(_xlfn.XLOOKUP(Pipeline_tbl[[#This Row],[Rate_Code_Generalized]],Lookups!A:A,Lookups!B:B))*Pipeline_tbl[[#This Row],[Pipeline_Amount_USD]]</f>
        <v>80904.070000000007</v>
      </c>
      <c r="O2236" t="str">
        <f>_xlfn.XLOOKUP(Pipeline_tbl[[#This Row],[Rep_ID]],Dim_Reps!A:A,Dim_Reps!B:B)</f>
        <v>Casey Muller</v>
      </c>
      <c r="P2236" t="str">
        <f>_xlfn.XLOOKUP(Pipeline_tbl[[#This Row],[Rep_ID]],Dim_Reps!A:A,Dim_Reps!C:C)</f>
        <v>SDR / Inside Sales Rep</v>
      </c>
      <c r="Q2236" t="str">
        <f>_xlfn.XLOOKUP(Pipeline_tbl[[#This Row],[Rep_ID]],Dim_Reps!A:A,Dim_Reps!D:D)</f>
        <v>Inside Sales</v>
      </c>
      <c r="R2236" t="str">
        <f>_xlfn.XLOOKUP(Pipeline_tbl[[#This Row],[Rep_ID]],Dim_Reps!A:A,Dim_Reps!E:E)</f>
        <v>LATAM</v>
      </c>
      <c r="S2236" t="str">
        <f>_xlfn.XLOOKUP(Pipeline_tbl[[#This Row],[Created_Date]],Dim_Date!A:A,Dim_Date!H:H)</f>
        <v>May 2025</v>
      </c>
      <c r="T2236" t="str">
        <f>IF(Pipeline_tbl[[#This Row],[Closed_Date]]=0,"",(_xlfn.XLOOKUP(Pipeline_tbl[[#This Row],[Closed_Date]],Dim_Date!A:A,Dim_Date!H:H)))</f>
        <v>Jun 2025</v>
      </c>
      <c r="U2236">
        <f>IF(Pipeline_tbl[[#This Row],[Closed_Date]]=0,"",Pipeline_tbl[[#This Row],[Closed_Date]]-Pipeline_tbl[[#This Row],[Created_Date]])</f>
        <v>19</v>
      </c>
    </row>
    <row r="2237" spans="1:21" ht="15" customHeight="1" x14ac:dyDescent="0.2">
      <c r="A2237" t="s">
        <v>2543</v>
      </c>
      <c r="B2237" t="s">
        <v>221</v>
      </c>
      <c r="C2237" t="s">
        <v>55</v>
      </c>
      <c r="D2237" s="49">
        <v>45801</v>
      </c>
      <c r="E2237" s="49">
        <v>45802</v>
      </c>
      <c r="F2237" s="49">
        <v>45805</v>
      </c>
      <c r="I2237" s="49">
        <v>45815</v>
      </c>
      <c r="J2237" t="s">
        <v>49</v>
      </c>
      <c r="K2237" s="33">
        <v>5200</v>
      </c>
      <c r="L2237" t="s">
        <v>62</v>
      </c>
      <c r="M2237" t="str">
        <f>_xlfn.XLOOKUP(Pipeline_tbl[[#This Row],[Rep_ID]],Dim_Reps!A:A,Dim_Reps!K:K)</f>
        <v>MXN</v>
      </c>
      <c r="N2237" s="33">
        <f>(_xlfn.XLOOKUP(Pipeline_tbl[[#This Row],[Rate_Code_Generalized]],Lookups!A:A,Lookups!B:B))*Pipeline_tbl[[#This Row],[Pipeline_Amount_USD]]</f>
        <v>102610.04000000001</v>
      </c>
      <c r="O2237" t="str">
        <f>_xlfn.XLOOKUP(Pipeline_tbl[[#This Row],[Rep_ID]],Dim_Reps!A:A,Dim_Reps!B:B)</f>
        <v>Casey Muller</v>
      </c>
      <c r="P2237" t="str">
        <f>_xlfn.XLOOKUP(Pipeline_tbl[[#This Row],[Rep_ID]],Dim_Reps!A:A,Dim_Reps!C:C)</f>
        <v>SDR / Inside Sales Rep</v>
      </c>
      <c r="Q2237" t="str">
        <f>_xlfn.XLOOKUP(Pipeline_tbl[[#This Row],[Rep_ID]],Dim_Reps!A:A,Dim_Reps!D:D)</f>
        <v>Inside Sales</v>
      </c>
      <c r="R2237" t="str">
        <f>_xlfn.XLOOKUP(Pipeline_tbl[[#This Row],[Rep_ID]],Dim_Reps!A:A,Dim_Reps!E:E)</f>
        <v>LATAM</v>
      </c>
      <c r="S2237" t="str">
        <f>_xlfn.XLOOKUP(Pipeline_tbl[[#This Row],[Created_Date]],Dim_Date!A:A,Dim_Date!H:H)</f>
        <v>May 2025</v>
      </c>
      <c r="T2237" t="str">
        <f>IF(Pipeline_tbl[[#This Row],[Closed_Date]]=0,"",(_xlfn.XLOOKUP(Pipeline_tbl[[#This Row],[Closed_Date]],Dim_Date!A:A,Dim_Date!H:H)))</f>
        <v>Jun 2025</v>
      </c>
      <c r="U2237">
        <f>IF(Pipeline_tbl[[#This Row],[Closed_Date]]=0,"",Pipeline_tbl[[#This Row],[Closed_Date]]-Pipeline_tbl[[#This Row],[Created_Date]])</f>
        <v>14</v>
      </c>
    </row>
    <row r="2238" spans="1:21" ht="15" customHeight="1" x14ac:dyDescent="0.2">
      <c r="A2238" t="s">
        <v>2544</v>
      </c>
      <c r="B2238" t="s">
        <v>221</v>
      </c>
      <c r="C2238" t="s">
        <v>53</v>
      </c>
      <c r="D2238" s="49">
        <v>45790</v>
      </c>
      <c r="E2238" s="49">
        <v>45793</v>
      </c>
      <c r="F2238" s="49">
        <v>45798</v>
      </c>
      <c r="G2238" s="49">
        <v>45806</v>
      </c>
      <c r="I2238" s="49">
        <v>45817</v>
      </c>
      <c r="J2238" t="s">
        <v>49</v>
      </c>
      <c r="K2238" s="33">
        <v>2800</v>
      </c>
      <c r="L2238" t="s">
        <v>60</v>
      </c>
      <c r="M2238" t="str">
        <f>_xlfn.XLOOKUP(Pipeline_tbl[[#This Row],[Rep_ID]],Dim_Reps!A:A,Dim_Reps!K:K)</f>
        <v>MXN</v>
      </c>
      <c r="N2238" s="33">
        <f>(_xlfn.XLOOKUP(Pipeline_tbl[[#This Row],[Rate_Code_Generalized]],Lookups!A:A,Lookups!B:B))*Pipeline_tbl[[#This Row],[Pipeline_Amount_USD]]</f>
        <v>55251.560000000005</v>
      </c>
      <c r="O2238" t="str">
        <f>_xlfn.XLOOKUP(Pipeline_tbl[[#This Row],[Rep_ID]],Dim_Reps!A:A,Dim_Reps!B:B)</f>
        <v>Casey Muller</v>
      </c>
      <c r="P2238" t="str">
        <f>_xlfn.XLOOKUP(Pipeline_tbl[[#This Row],[Rep_ID]],Dim_Reps!A:A,Dim_Reps!C:C)</f>
        <v>SDR / Inside Sales Rep</v>
      </c>
      <c r="Q2238" t="str">
        <f>_xlfn.XLOOKUP(Pipeline_tbl[[#This Row],[Rep_ID]],Dim_Reps!A:A,Dim_Reps!D:D)</f>
        <v>Inside Sales</v>
      </c>
      <c r="R2238" t="str">
        <f>_xlfn.XLOOKUP(Pipeline_tbl[[#This Row],[Rep_ID]],Dim_Reps!A:A,Dim_Reps!E:E)</f>
        <v>LATAM</v>
      </c>
      <c r="S2238" t="str">
        <f>_xlfn.XLOOKUP(Pipeline_tbl[[#This Row],[Created_Date]],Dim_Date!A:A,Dim_Date!H:H)</f>
        <v>May 2025</v>
      </c>
      <c r="T2238" t="str">
        <f>IF(Pipeline_tbl[[#This Row],[Closed_Date]]=0,"",(_xlfn.XLOOKUP(Pipeline_tbl[[#This Row],[Closed_Date]],Dim_Date!A:A,Dim_Date!H:H)))</f>
        <v>Jun 2025</v>
      </c>
      <c r="U2238">
        <f>IF(Pipeline_tbl[[#This Row],[Closed_Date]]=0,"",Pipeline_tbl[[#This Row],[Closed_Date]]-Pipeline_tbl[[#This Row],[Created_Date]])</f>
        <v>27</v>
      </c>
    </row>
    <row r="2239" spans="1:21" ht="15" customHeight="1" x14ac:dyDescent="0.2">
      <c r="A2239" t="s">
        <v>2545</v>
      </c>
      <c r="B2239" t="s">
        <v>257</v>
      </c>
      <c r="C2239" t="s">
        <v>52</v>
      </c>
      <c r="D2239" s="49">
        <v>45787</v>
      </c>
      <c r="E2239" s="49">
        <v>45790</v>
      </c>
      <c r="F2239" s="49">
        <v>45797</v>
      </c>
      <c r="G2239" s="49">
        <v>45807</v>
      </c>
      <c r="H2239" s="49">
        <v>45815</v>
      </c>
      <c r="I2239" s="49">
        <v>45820</v>
      </c>
      <c r="J2239" t="s">
        <v>49</v>
      </c>
      <c r="K2239" s="33">
        <v>24500</v>
      </c>
      <c r="L2239" t="s">
        <v>63</v>
      </c>
      <c r="M2239" t="str">
        <f>_xlfn.XLOOKUP(Pipeline_tbl[[#This Row],[Rep_ID]],Dim_Reps!A:A,Dim_Reps!K:K)</f>
        <v>EUR</v>
      </c>
      <c r="N2239" s="33">
        <f>(_xlfn.XLOOKUP(Pipeline_tbl[[#This Row],[Rate_Code_Generalized]],Lookups!A:A,Lookups!B:B))*Pipeline_tbl[[#This Row],[Pipeline_Amount_USD]]</f>
        <v>24500</v>
      </c>
      <c r="O2239" t="str">
        <f>_xlfn.XLOOKUP(Pipeline_tbl[[#This Row],[Rep_ID]],Dim_Reps!A:A,Dim_Reps!B:B)</f>
        <v>Ana Kim</v>
      </c>
      <c r="P2239" t="str">
        <f>_xlfn.XLOOKUP(Pipeline_tbl[[#This Row],[Rep_ID]],Dim_Reps!A:A,Dim_Reps!C:C)</f>
        <v>Mid-Market AE</v>
      </c>
      <c r="Q2239" t="str">
        <f>_xlfn.XLOOKUP(Pipeline_tbl[[#This Row],[Rep_ID]],Dim_Reps!A:A,Dim_Reps!D:D)</f>
        <v>Mid-Market</v>
      </c>
      <c r="R2239" t="str">
        <f>_xlfn.XLOOKUP(Pipeline_tbl[[#This Row],[Rep_ID]],Dim_Reps!A:A,Dim_Reps!E:E)</f>
        <v>APAC</v>
      </c>
      <c r="S2239" t="str">
        <f>_xlfn.XLOOKUP(Pipeline_tbl[[#This Row],[Created_Date]],Dim_Date!A:A,Dim_Date!H:H)</f>
        <v>May 2025</v>
      </c>
      <c r="T2239" t="str">
        <f>IF(Pipeline_tbl[[#This Row],[Closed_Date]]=0,"",(_xlfn.XLOOKUP(Pipeline_tbl[[#This Row],[Closed_Date]],Dim_Date!A:A,Dim_Date!H:H)))</f>
        <v>Jun 2025</v>
      </c>
      <c r="U2239">
        <f>IF(Pipeline_tbl[[#This Row],[Closed_Date]]=0,"",Pipeline_tbl[[#This Row],[Closed_Date]]-Pipeline_tbl[[#This Row],[Created_Date]])</f>
        <v>33</v>
      </c>
    </row>
    <row r="2240" spans="1:21" ht="15" customHeight="1" x14ac:dyDescent="0.2">
      <c r="A2240" t="s">
        <v>2546</v>
      </c>
      <c r="B2240" t="s">
        <v>257</v>
      </c>
      <c r="C2240" t="s">
        <v>54</v>
      </c>
      <c r="D2240" s="49">
        <v>45790</v>
      </c>
      <c r="E2240" s="49">
        <v>45794</v>
      </c>
      <c r="F2240" s="49">
        <v>45803</v>
      </c>
      <c r="G2240" s="49">
        <v>45815</v>
      </c>
      <c r="H2240" s="49">
        <v>45826</v>
      </c>
      <c r="I2240" s="49">
        <v>45832</v>
      </c>
      <c r="J2240" t="s">
        <v>49</v>
      </c>
      <c r="K2240" s="33">
        <v>11100</v>
      </c>
      <c r="L2240" t="s">
        <v>60</v>
      </c>
      <c r="M2240" t="str">
        <f>_xlfn.XLOOKUP(Pipeline_tbl[[#This Row],[Rep_ID]],Dim_Reps!A:A,Dim_Reps!K:K)</f>
        <v>EUR</v>
      </c>
      <c r="N2240" s="33">
        <f>(_xlfn.XLOOKUP(Pipeline_tbl[[#This Row],[Rate_Code_Generalized]],Lookups!A:A,Lookups!B:B))*Pipeline_tbl[[#This Row],[Pipeline_Amount_USD]]</f>
        <v>11100</v>
      </c>
      <c r="O2240" t="str">
        <f>_xlfn.XLOOKUP(Pipeline_tbl[[#This Row],[Rep_ID]],Dim_Reps!A:A,Dim_Reps!B:B)</f>
        <v>Ana Kim</v>
      </c>
      <c r="P2240" t="str">
        <f>_xlfn.XLOOKUP(Pipeline_tbl[[#This Row],[Rep_ID]],Dim_Reps!A:A,Dim_Reps!C:C)</f>
        <v>Mid-Market AE</v>
      </c>
      <c r="Q2240" t="str">
        <f>_xlfn.XLOOKUP(Pipeline_tbl[[#This Row],[Rep_ID]],Dim_Reps!A:A,Dim_Reps!D:D)</f>
        <v>Mid-Market</v>
      </c>
      <c r="R2240" t="str">
        <f>_xlfn.XLOOKUP(Pipeline_tbl[[#This Row],[Rep_ID]],Dim_Reps!A:A,Dim_Reps!E:E)</f>
        <v>APAC</v>
      </c>
      <c r="S2240" t="str">
        <f>_xlfn.XLOOKUP(Pipeline_tbl[[#This Row],[Created_Date]],Dim_Date!A:A,Dim_Date!H:H)</f>
        <v>May 2025</v>
      </c>
      <c r="T2240" t="str">
        <f>IF(Pipeline_tbl[[#This Row],[Closed_Date]]=0,"",(_xlfn.XLOOKUP(Pipeline_tbl[[#This Row],[Closed_Date]],Dim_Date!A:A,Dim_Date!H:H)))</f>
        <v>Jun 2025</v>
      </c>
      <c r="U2240">
        <f>IF(Pipeline_tbl[[#This Row],[Closed_Date]]=0,"",Pipeline_tbl[[#This Row],[Closed_Date]]-Pipeline_tbl[[#This Row],[Created_Date]])</f>
        <v>42</v>
      </c>
    </row>
    <row r="2241" spans="1:21" ht="15" customHeight="1" x14ac:dyDescent="0.2">
      <c r="A2241" t="s">
        <v>2547</v>
      </c>
      <c r="B2241" t="s">
        <v>257</v>
      </c>
      <c r="C2241" t="s">
        <v>52</v>
      </c>
      <c r="D2241" s="49">
        <v>45802</v>
      </c>
      <c r="E2241" s="49">
        <v>45806</v>
      </c>
      <c r="I2241" s="49">
        <v>45838</v>
      </c>
      <c r="J2241" t="s">
        <v>49</v>
      </c>
      <c r="K2241" s="33">
        <v>17900</v>
      </c>
      <c r="L2241" t="s">
        <v>60</v>
      </c>
      <c r="M2241" t="str">
        <f>_xlfn.XLOOKUP(Pipeline_tbl[[#This Row],[Rep_ID]],Dim_Reps!A:A,Dim_Reps!K:K)</f>
        <v>EUR</v>
      </c>
      <c r="N2241" s="33">
        <f>(_xlfn.XLOOKUP(Pipeline_tbl[[#This Row],[Rate_Code_Generalized]],Lookups!A:A,Lookups!B:B))*Pipeline_tbl[[#This Row],[Pipeline_Amount_USD]]</f>
        <v>17900</v>
      </c>
      <c r="O2241" t="str">
        <f>_xlfn.XLOOKUP(Pipeline_tbl[[#This Row],[Rep_ID]],Dim_Reps!A:A,Dim_Reps!B:B)</f>
        <v>Ana Kim</v>
      </c>
      <c r="P2241" t="str">
        <f>_xlfn.XLOOKUP(Pipeline_tbl[[#This Row],[Rep_ID]],Dim_Reps!A:A,Dim_Reps!C:C)</f>
        <v>Mid-Market AE</v>
      </c>
      <c r="Q2241" t="str">
        <f>_xlfn.XLOOKUP(Pipeline_tbl[[#This Row],[Rep_ID]],Dim_Reps!A:A,Dim_Reps!D:D)</f>
        <v>Mid-Market</v>
      </c>
      <c r="R2241" t="str">
        <f>_xlfn.XLOOKUP(Pipeline_tbl[[#This Row],[Rep_ID]],Dim_Reps!A:A,Dim_Reps!E:E)</f>
        <v>APAC</v>
      </c>
      <c r="S2241" t="str">
        <f>_xlfn.XLOOKUP(Pipeline_tbl[[#This Row],[Created_Date]],Dim_Date!A:A,Dim_Date!H:H)</f>
        <v>May 2025</v>
      </c>
      <c r="T2241" t="str">
        <f>IF(Pipeline_tbl[[#This Row],[Closed_Date]]=0,"",(_xlfn.XLOOKUP(Pipeline_tbl[[#This Row],[Closed_Date]],Dim_Date!A:A,Dim_Date!H:H)))</f>
        <v>Jun 2025</v>
      </c>
      <c r="U2241">
        <f>IF(Pipeline_tbl[[#This Row],[Closed_Date]]=0,"",Pipeline_tbl[[#This Row],[Closed_Date]]-Pipeline_tbl[[#This Row],[Created_Date]])</f>
        <v>36</v>
      </c>
    </row>
    <row r="2242" spans="1:21" ht="15" customHeight="1" x14ac:dyDescent="0.2">
      <c r="A2242" t="s">
        <v>2548</v>
      </c>
      <c r="B2242" t="s">
        <v>257</v>
      </c>
      <c r="C2242" t="s">
        <v>52</v>
      </c>
      <c r="D2242" s="49">
        <v>45795</v>
      </c>
      <c r="E2242" s="49">
        <v>45798</v>
      </c>
      <c r="F2242" s="49">
        <v>45805</v>
      </c>
      <c r="G2242" s="49">
        <v>45814</v>
      </c>
      <c r="I2242" s="49">
        <v>45827</v>
      </c>
      <c r="J2242" t="s">
        <v>49</v>
      </c>
      <c r="K2242" s="33">
        <v>10000</v>
      </c>
      <c r="L2242" t="s">
        <v>62</v>
      </c>
      <c r="M2242" t="str">
        <f>_xlfn.XLOOKUP(Pipeline_tbl[[#This Row],[Rep_ID]],Dim_Reps!A:A,Dim_Reps!K:K)</f>
        <v>EUR</v>
      </c>
      <c r="N2242" s="33">
        <f>(_xlfn.XLOOKUP(Pipeline_tbl[[#This Row],[Rate_Code_Generalized]],Lookups!A:A,Lookups!B:B))*Pipeline_tbl[[#This Row],[Pipeline_Amount_USD]]</f>
        <v>10000</v>
      </c>
      <c r="O2242" t="str">
        <f>_xlfn.XLOOKUP(Pipeline_tbl[[#This Row],[Rep_ID]],Dim_Reps!A:A,Dim_Reps!B:B)</f>
        <v>Ana Kim</v>
      </c>
      <c r="P2242" t="str">
        <f>_xlfn.XLOOKUP(Pipeline_tbl[[#This Row],[Rep_ID]],Dim_Reps!A:A,Dim_Reps!C:C)</f>
        <v>Mid-Market AE</v>
      </c>
      <c r="Q2242" t="str">
        <f>_xlfn.XLOOKUP(Pipeline_tbl[[#This Row],[Rep_ID]],Dim_Reps!A:A,Dim_Reps!D:D)</f>
        <v>Mid-Market</v>
      </c>
      <c r="R2242" t="str">
        <f>_xlfn.XLOOKUP(Pipeline_tbl[[#This Row],[Rep_ID]],Dim_Reps!A:A,Dim_Reps!E:E)</f>
        <v>APAC</v>
      </c>
      <c r="S2242" t="str">
        <f>_xlfn.XLOOKUP(Pipeline_tbl[[#This Row],[Created_Date]],Dim_Date!A:A,Dim_Date!H:H)</f>
        <v>May 2025</v>
      </c>
      <c r="T2242" t="str">
        <f>IF(Pipeline_tbl[[#This Row],[Closed_Date]]=0,"",(_xlfn.XLOOKUP(Pipeline_tbl[[#This Row],[Closed_Date]],Dim_Date!A:A,Dim_Date!H:H)))</f>
        <v>Jun 2025</v>
      </c>
      <c r="U2242">
        <f>IF(Pipeline_tbl[[#This Row],[Closed_Date]]=0,"",Pipeline_tbl[[#This Row],[Closed_Date]]-Pipeline_tbl[[#This Row],[Created_Date]])</f>
        <v>32</v>
      </c>
    </row>
    <row r="2243" spans="1:21" ht="15" customHeight="1" x14ac:dyDescent="0.2">
      <c r="A2243" t="s">
        <v>2549</v>
      </c>
      <c r="B2243" t="s">
        <v>257</v>
      </c>
      <c r="C2243" t="s">
        <v>53</v>
      </c>
      <c r="D2243" s="49">
        <v>45793</v>
      </c>
      <c r="E2243" s="49">
        <v>45795</v>
      </c>
      <c r="I2243" s="49">
        <v>45817</v>
      </c>
      <c r="J2243" t="s">
        <v>49</v>
      </c>
      <c r="K2243" s="33">
        <v>21200</v>
      </c>
      <c r="L2243" t="s">
        <v>61</v>
      </c>
      <c r="M2243" t="str">
        <f>_xlfn.XLOOKUP(Pipeline_tbl[[#This Row],[Rep_ID]],Dim_Reps!A:A,Dim_Reps!K:K)</f>
        <v>EUR</v>
      </c>
      <c r="N2243" s="33">
        <f>(_xlfn.XLOOKUP(Pipeline_tbl[[#This Row],[Rate_Code_Generalized]],Lookups!A:A,Lookups!B:B))*Pipeline_tbl[[#This Row],[Pipeline_Amount_USD]]</f>
        <v>21200</v>
      </c>
      <c r="O2243" t="str">
        <f>_xlfn.XLOOKUP(Pipeline_tbl[[#This Row],[Rep_ID]],Dim_Reps!A:A,Dim_Reps!B:B)</f>
        <v>Ana Kim</v>
      </c>
      <c r="P2243" t="str">
        <f>_xlfn.XLOOKUP(Pipeline_tbl[[#This Row],[Rep_ID]],Dim_Reps!A:A,Dim_Reps!C:C)</f>
        <v>Mid-Market AE</v>
      </c>
      <c r="Q2243" t="str">
        <f>_xlfn.XLOOKUP(Pipeline_tbl[[#This Row],[Rep_ID]],Dim_Reps!A:A,Dim_Reps!D:D)</f>
        <v>Mid-Market</v>
      </c>
      <c r="R2243" t="str">
        <f>_xlfn.XLOOKUP(Pipeline_tbl[[#This Row],[Rep_ID]],Dim_Reps!A:A,Dim_Reps!E:E)</f>
        <v>APAC</v>
      </c>
      <c r="S2243" t="str">
        <f>_xlfn.XLOOKUP(Pipeline_tbl[[#This Row],[Created_Date]],Dim_Date!A:A,Dim_Date!H:H)</f>
        <v>May 2025</v>
      </c>
      <c r="T2243" t="str">
        <f>IF(Pipeline_tbl[[#This Row],[Closed_Date]]=0,"",(_xlfn.XLOOKUP(Pipeline_tbl[[#This Row],[Closed_Date]],Dim_Date!A:A,Dim_Date!H:H)))</f>
        <v>Jun 2025</v>
      </c>
      <c r="U2243">
        <f>IF(Pipeline_tbl[[#This Row],[Closed_Date]]=0,"",Pipeline_tbl[[#This Row],[Closed_Date]]-Pipeline_tbl[[#This Row],[Created_Date]])</f>
        <v>24</v>
      </c>
    </row>
    <row r="2244" spans="1:21" ht="15" customHeight="1" x14ac:dyDescent="0.2">
      <c r="A2244" t="s">
        <v>2550</v>
      </c>
      <c r="B2244" t="s">
        <v>259</v>
      </c>
      <c r="C2244" t="s">
        <v>55</v>
      </c>
      <c r="D2244" s="49">
        <v>45801</v>
      </c>
      <c r="E2244" s="49">
        <v>45804</v>
      </c>
      <c r="F2244" s="49">
        <v>45809</v>
      </c>
      <c r="I2244" s="49">
        <v>45829</v>
      </c>
      <c r="J2244" t="s">
        <v>49</v>
      </c>
      <c r="K2244" s="33">
        <v>7400</v>
      </c>
      <c r="L2244" t="s">
        <v>62</v>
      </c>
      <c r="M2244" t="str">
        <f>_xlfn.XLOOKUP(Pipeline_tbl[[#This Row],[Rep_ID]],Dim_Reps!A:A,Dim_Reps!K:K)</f>
        <v>EUR</v>
      </c>
      <c r="N2244" s="33">
        <f>(_xlfn.XLOOKUP(Pipeline_tbl[[#This Row],[Rate_Code_Generalized]],Lookups!A:A,Lookups!B:B))*Pipeline_tbl[[#This Row],[Pipeline_Amount_USD]]</f>
        <v>7400</v>
      </c>
      <c r="O2244" t="str">
        <f>_xlfn.XLOOKUP(Pipeline_tbl[[#This Row],[Rep_ID]],Dim_Reps!A:A,Dim_Reps!B:B)</f>
        <v>Felix Okafor</v>
      </c>
      <c r="P2244" t="str">
        <f>_xlfn.XLOOKUP(Pipeline_tbl[[#This Row],[Rep_ID]],Dim_Reps!A:A,Dim_Reps!C:C)</f>
        <v>Mid-Market AE</v>
      </c>
      <c r="Q2244" t="str">
        <f>_xlfn.XLOOKUP(Pipeline_tbl[[#This Row],[Rep_ID]],Dim_Reps!A:A,Dim_Reps!D:D)</f>
        <v>Mid-Market</v>
      </c>
      <c r="R2244" t="str">
        <f>_xlfn.XLOOKUP(Pipeline_tbl[[#This Row],[Rep_ID]],Dim_Reps!A:A,Dim_Reps!E:E)</f>
        <v>EMEA</v>
      </c>
      <c r="S2244" t="str">
        <f>_xlfn.XLOOKUP(Pipeline_tbl[[#This Row],[Created_Date]],Dim_Date!A:A,Dim_Date!H:H)</f>
        <v>May 2025</v>
      </c>
      <c r="T2244" t="str">
        <f>IF(Pipeline_tbl[[#This Row],[Closed_Date]]=0,"",(_xlfn.XLOOKUP(Pipeline_tbl[[#This Row],[Closed_Date]],Dim_Date!A:A,Dim_Date!H:H)))</f>
        <v>Jun 2025</v>
      </c>
      <c r="U2244">
        <f>IF(Pipeline_tbl[[#This Row],[Closed_Date]]=0,"",Pipeline_tbl[[#This Row],[Closed_Date]]-Pipeline_tbl[[#This Row],[Created_Date]])</f>
        <v>28</v>
      </c>
    </row>
    <row r="2245" spans="1:21" ht="15" customHeight="1" x14ac:dyDescent="0.2">
      <c r="A2245" t="s">
        <v>2551</v>
      </c>
      <c r="B2245" t="s">
        <v>259</v>
      </c>
      <c r="C2245" t="s">
        <v>54</v>
      </c>
      <c r="D2245" s="49">
        <v>45795</v>
      </c>
      <c r="E2245" s="49">
        <v>45797</v>
      </c>
      <c r="F2245" s="49">
        <v>45802</v>
      </c>
      <c r="G2245" s="49">
        <v>45809</v>
      </c>
      <c r="I2245" s="49">
        <v>45819</v>
      </c>
      <c r="J2245" t="s">
        <v>49</v>
      </c>
      <c r="K2245" s="33">
        <v>17000</v>
      </c>
      <c r="L2245" t="s">
        <v>61</v>
      </c>
      <c r="M2245" t="str">
        <f>_xlfn.XLOOKUP(Pipeline_tbl[[#This Row],[Rep_ID]],Dim_Reps!A:A,Dim_Reps!K:K)</f>
        <v>EUR</v>
      </c>
      <c r="N2245" s="33">
        <f>(_xlfn.XLOOKUP(Pipeline_tbl[[#This Row],[Rate_Code_Generalized]],Lookups!A:A,Lookups!B:B))*Pipeline_tbl[[#This Row],[Pipeline_Amount_USD]]</f>
        <v>17000</v>
      </c>
      <c r="O2245" t="str">
        <f>_xlfn.XLOOKUP(Pipeline_tbl[[#This Row],[Rep_ID]],Dim_Reps!A:A,Dim_Reps!B:B)</f>
        <v>Felix Okafor</v>
      </c>
      <c r="P2245" t="str">
        <f>_xlfn.XLOOKUP(Pipeline_tbl[[#This Row],[Rep_ID]],Dim_Reps!A:A,Dim_Reps!C:C)</f>
        <v>Mid-Market AE</v>
      </c>
      <c r="Q2245" t="str">
        <f>_xlfn.XLOOKUP(Pipeline_tbl[[#This Row],[Rep_ID]],Dim_Reps!A:A,Dim_Reps!D:D)</f>
        <v>Mid-Market</v>
      </c>
      <c r="R2245" t="str">
        <f>_xlfn.XLOOKUP(Pipeline_tbl[[#This Row],[Rep_ID]],Dim_Reps!A:A,Dim_Reps!E:E)</f>
        <v>EMEA</v>
      </c>
      <c r="S2245" t="str">
        <f>_xlfn.XLOOKUP(Pipeline_tbl[[#This Row],[Created_Date]],Dim_Date!A:A,Dim_Date!H:H)</f>
        <v>May 2025</v>
      </c>
      <c r="T2245" t="str">
        <f>IF(Pipeline_tbl[[#This Row],[Closed_Date]]=0,"",(_xlfn.XLOOKUP(Pipeline_tbl[[#This Row],[Closed_Date]],Dim_Date!A:A,Dim_Date!H:H)))</f>
        <v>Jun 2025</v>
      </c>
      <c r="U2245">
        <f>IF(Pipeline_tbl[[#This Row],[Closed_Date]]=0,"",Pipeline_tbl[[#This Row],[Closed_Date]]-Pipeline_tbl[[#This Row],[Created_Date]])</f>
        <v>24</v>
      </c>
    </row>
    <row r="2246" spans="1:21" ht="15" customHeight="1" x14ac:dyDescent="0.2">
      <c r="A2246" t="s">
        <v>2552</v>
      </c>
      <c r="B2246" t="s">
        <v>223</v>
      </c>
      <c r="C2246" t="s">
        <v>52</v>
      </c>
      <c r="D2246" s="49">
        <v>45804</v>
      </c>
      <c r="E2246" s="49">
        <v>45805</v>
      </c>
      <c r="F2246" s="49">
        <v>45807</v>
      </c>
      <c r="G2246" s="49">
        <v>45810</v>
      </c>
      <c r="H2246" s="49">
        <v>45812</v>
      </c>
      <c r="I2246" s="49">
        <v>45814</v>
      </c>
      <c r="J2246" t="s">
        <v>47</v>
      </c>
      <c r="K2246" s="33">
        <v>2500</v>
      </c>
      <c r="M2246" t="str">
        <f>_xlfn.XLOOKUP(Pipeline_tbl[[#This Row],[Rep_ID]],Dim_Reps!A:A,Dim_Reps!K:K)</f>
        <v>MXN</v>
      </c>
      <c r="N2246" s="33">
        <f>(_xlfn.XLOOKUP(Pipeline_tbl[[#This Row],[Rate_Code_Generalized]],Lookups!A:A,Lookups!B:B))*Pipeline_tbl[[#This Row],[Pipeline_Amount_USD]]</f>
        <v>49331.75</v>
      </c>
      <c r="O2246" t="str">
        <f>_xlfn.XLOOKUP(Pipeline_tbl[[#This Row],[Rep_ID]],Dim_Reps!A:A,Dim_Reps!B:B)</f>
        <v>Lea Petrov</v>
      </c>
      <c r="P2246" t="str">
        <f>_xlfn.XLOOKUP(Pipeline_tbl[[#This Row],[Rep_ID]],Dim_Reps!A:A,Dim_Reps!C:C)</f>
        <v>SDR / Inside Sales Rep</v>
      </c>
      <c r="Q2246" t="str">
        <f>_xlfn.XLOOKUP(Pipeline_tbl[[#This Row],[Rep_ID]],Dim_Reps!A:A,Dim_Reps!D:D)</f>
        <v>Inside Sales</v>
      </c>
      <c r="R2246" t="str">
        <f>_xlfn.XLOOKUP(Pipeline_tbl[[#This Row],[Rep_ID]],Dim_Reps!A:A,Dim_Reps!E:E)</f>
        <v>LATAM</v>
      </c>
      <c r="S2246" t="str">
        <f>_xlfn.XLOOKUP(Pipeline_tbl[[#This Row],[Created_Date]],Dim_Date!A:A,Dim_Date!H:H)</f>
        <v>May 2025</v>
      </c>
      <c r="T2246" t="str">
        <f>IF(Pipeline_tbl[[#This Row],[Closed_Date]]=0,"",(_xlfn.XLOOKUP(Pipeline_tbl[[#This Row],[Closed_Date]],Dim_Date!A:A,Dim_Date!H:H)))</f>
        <v>Jun 2025</v>
      </c>
      <c r="U2246">
        <f>IF(Pipeline_tbl[[#This Row],[Closed_Date]]=0,"",Pipeline_tbl[[#This Row],[Closed_Date]]-Pipeline_tbl[[#This Row],[Created_Date]])</f>
        <v>10</v>
      </c>
    </row>
    <row r="2247" spans="1:21" ht="15" customHeight="1" x14ac:dyDescent="0.2">
      <c r="A2247" t="s">
        <v>2553</v>
      </c>
      <c r="B2247" t="s">
        <v>223</v>
      </c>
      <c r="C2247" t="s">
        <v>53</v>
      </c>
      <c r="D2247" s="49">
        <v>45803</v>
      </c>
      <c r="E2247" s="49">
        <v>45804</v>
      </c>
      <c r="F2247" s="49">
        <v>45807</v>
      </c>
      <c r="G2247" s="49">
        <v>45810</v>
      </c>
      <c r="I2247" s="49">
        <v>45815</v>
      </c>
      <c r="J2247" t="s">
        <v>49</v>
      </c>
      <c r="K2247" s="33">
        <v>5700</v>
      </c>
      <c r="L2247" t="s">
        <v>61</v>
      </c>
      <c r="M2247" t="str">
        <f>_xlfn.XLOOKUP(Pipeline_tbl[[#This Row],[Rep_ID]],Dim_Reps!A:A,Dim_Reps!K:K)</f>
        <v>MXN</v>
      </c>
      <c r="N2247" s="33">
        <f>(_xlfn.XLOOKUP(Pipeline_tbl[[#This Row],[Rate_Code_Generalized]],Lookups!A:A,Lookups!B:B))*Pipeline_tbl[[#This Row],[Pipeline_Amount_USD]]</f>
        <v>112476.39000000001</v>
      </c>
      <c r="O2247" t="str">
        <f>_xlfn.XLOOKUP(Pipeline_tbl[[#This Row],[Rep_ID]],Dim_Reps!A:A,Dim_Reps!B:B)</f>
        <v>Lea Petrov</v>
      </c>
      <c r="P2247" t="str">
        <f>_xlfn.XLOOKUP(Pipeline_tbl[[#This Row],[Rep_ID]],Dim_Reps!A:A,Dim_Reps!C:C)</f>
        <v>SDR / Inside Sales Rep</v>
      </c>
      <c r="Q2247" t="str">
        <f>_xlfn.XLOOKUP(Pipeline_tbl[[#This Row],[Rep_ID]],Dim_Reps!A:A,Dim_Reps!D:D)</f>
        <v>Inside Sales</v>
      </c>
      <c r="R2247" t="str">
        <f>_xlfn.XLOOKUP(Pipeline_tbl[[#This Row],[Rep_ID]],Dim_Reps!A:A,Dim_Reps!E:E)</f>
        <v>LATAM</v>
      </c>
      <c r="S2247" t="str">
        <f>_xlfn.XLOOKUP(Pipeline_tbl[[#This Row],[Created_Date]],Dim_Date!A:A,Dim_Date!H:H)</f>
        <v>May 2025</v>
      </c>
      <c r="T2247" t="str">
        <f>IF(Pipeline_tbl[[#This Row],[Closed_Date]]=0,"",(_xlfn.XLOOKUP(Pipeline_tbl[[#This Row],[Closed_Date]],Dim_Date!A:A,Dim_Date!H:H)))</f>
        <v>Jun 2025</v>
      </c>
      <c r="U2247">
        <f>IF(Pipeline_tbl[[#This Row],[Closed_Date]]=0,"",Pipeline_tbl[[#This Row],[Closed_Date]]-Pipeline_tbl[[#This Row],[Created_Date]])</f>
        <v>12</v>
      </c>
    </row>
    <row r="2248" spans="1:21" ht="15" customHeight="1" x14ac:dyDescent="0.2">
      <c r="A2248" t="s">
        <v>2554</v>
      </c>
      <c r="B2248" t="s">
        <v>223</v>
      </c>
      <c r="C2248" t="s">
        <v>55</v>
      </c>
      <c r="D2248" s="49">
        <v>45790</v>
      </c>
      <c r="E2248" s="49">
        <v>45792</v>
      </c>
      <c r="F2248" s="49">
        <v>45796</v>
      </c>
      <c r="G2248" s="49">
        <v>45801</v>
      </c>
      <c r="I2248" s="49">
        <v>45809</v>
      </c>
      <c r="J2248" t="s">
        <v>49</v>
      </c>
      <c r="K2248" s="33">
        <v>3600</v>
      </c>
      <c r="L2248" t="s">
        <v>60</v>
      </c>
      <c r="M2248" t="str">
        <f>_xlfn.XLOOKUP(Pipeline_tbl[[#This Row],[Rep_ID]],Dim_Reps!A:A,Dim_Reps!K:K)</f>
        <v>MXN</v>
      </c>
      <c r="N2248" s="33">
        <f>(_xlfn.XLOOKUP(Pipeline_tbl[[#This Row],[Rate_Code_Generalized]],Lookups!A:A,Lookups!B:B))*Pipeline_tbl[[#This Row],[Pipeline_Amount_USD]]</f>
        <v>71037.72</v>
      </c>
      <c r="O2248" t="str">
        <f>_xlfn.XLOOKUP(Pipeline_tbl[[#This Row],[Rep_ID]],Dim_Reps!A:A,Dim_Reps!B:B)</f>
        <v>Lea Petrov</v>
      </c>
      <c r="P2248" t="str">
        <f>_xlfn.XLOOKUP(Pipeline_tbl[[#This Row],[Rep_ID]],Dim_Reps!A:A,Dim_Reps!C:C)</f>
        <v>SDR / Inside Sales Rep</v>
      </c>
      <c r="Q2248" t="str">
        <f>_xlfn.XLOOKUP(Pipeline_tbl[[#This Row],[Rep_ID]],Dim_Reps!A:A,Dim_Reps!D:D)</f>
        <v>Inside Sales</v>
      </c>
      <c r="R2248" t="str">
        <f>_xlfn.XLOOKUP(Pipeline_tbl[[#This Row],[Rep_ID]],Dim_Reps!A:A,Dim_Reps!E:E)</f>
        <v>LATAM</v>
      </c>
      <c r="S2248" t="str">
        <f>_xlfn.XLOOKUP(Pipeline_tbl[[#This Row],[Created_Date]],Dim_Date!A:A,Dim_Date!H:H)</f>
        <v>May 2025</v>
      </c>
      <c r="T2248" t="str">
        <f>IF(Pipeline_tbl[[#This Row],[Closed_Date]]=0,"",(_xlfn.XLOOKUP(Pipeline_tbl[[#This Row],[Closed_Date]],Dim_Date!A:A,Dim_Date!H:H)))</f>
        <v>Jun 2025</v>
      </c>
      <c r="U2248">
        <f>IF(Pipeline_tbl[[#This Row],[Closed_Date]]=0,"",Pipeline_tbl[[#This Row],[Closed_Date]]-Pipeline_tbl[[#This Row],[Created_Date]])</f>
        <v>19</v>
      </c>
    </row>
    <row r="2249" spans="1:21" ht="15" customHeight="1" x14ac:dyDescent="0.2">
      <c r="A2249" t="s">
        <v>2555</v>
      </c>
      <c r="B2249" t="s">
        <v>225</v>
      </c>
      <c r="C2249" t="s">
        <v>52</v>
      </c>
      <c r="D2249" s="49">
        <v>45798</v>
      </c>
      <c r="E2249" s="49">
        <v>45800</v>
      </c>
      <c r="F2249" s="49">
        <v>45804</v>
      </c>
      <c r="G2249" s="49">
        <v>45809</v>
      </c>
      <c r="I2249" s="49">
        <v>45817</v>
      </c>
      <c r="J2249" t="s">
        <v>49</v>
      </c>
      <c r="K2249" s="33">
        <v>2300</v>
      </c>
      <c r="L2249" t="s">
        <v>62</v>
      </c>
      <c r="M2249" t="str">
        <f>_xlfn.XLOOKUP(Pipeline_tbl[[#This Row],[Rep_ID]],Dim_Reps!A:A,Dim_Reps!K:K)</f>
        <v>USD</v>
      </c>
      <c r="N2249" s="33">
        <f>(_xlfn.XLOOKUP(Pipeline_tbl[[#This Row],[Rate_Code_Generalized]],Lookups!A:A,Lookups!B:B))*Pipeline_tbl[[#This Row],[Pipeline_Amount_USD]]</f>
        <v>2677.89</v>
      </c>
      <c r="O2249" t="str">
        <f>_xlfn.XLOOKUP(Pipeline_tbl[[#This Row],[Rep_ID]],Dim_Reps!A:A,Dim_Reps!B:B)</f>
        <v>Alex Muller</v>
      </c>
      <c r="P2249" t="str">
        <f>_xlfn.XLOOKUP(Pipeline_tbl[[#This Row],[Rep_ID]],Dim_Reps!A:A,Dim_Reps!C:C)</f>
        <v>SDR / Inside Sales Rep</v>
      </c>
      <c r="Q2249" t="str">
        <f>_xlfn.XLOOKUP(Pipeline_tbl[[#This Row],[Rep_ID]],Dim_Reps!A:A,Dim_Reps!D:D)</f>
        <v>Inside Sales</v>
      </c>
      <c r="R2249" t="str">
        <f>_xlfn.XLOOKUP(Pipeline_tbl[[#This Row],[Rep_ID]],Dim_Reps!A:A,Dim_Reps!E:E)</f>
        <v>NAMER</v>
      </c>
      <c r="S2249" t="str">
        <f>_xlfn.XLOOKUP(Pipeline_tbl[[#This Row],[Created_Date]],Dim_Date!A:A,Dim_Date!H:H)</f>
        <v>May 2025</v>
      </c>
      <c r="T2249" t="str">
        <f>IF(Pipeline_tbl[[#This Row],[Closed_Date]]=0,"",(_xlfn.XLOOKUP(Pipeline_tbl[[#This Row],[Closed_Date]],Dim_Date!A:A,Dim_Date!H:H)))</f>
        <v>Jun 2025</v>
      </c>
      <c r="U2249">
        <f>IF(Pipeline_tbl[[#This Row],[Closed_Date]]=0,"",Pipeline_tbl[[#This Row],[Closed_Date]]-Pipeline_tbl[[#This Row],[Created_Date]])</f>
        <v>19</v>
      </c>
    </row>
    <row r="2250" spans="1:21" ht="15" customHeight="1" x14ac:dyDescent="0.2">
      <c r="A2250" t="s">
        <v>2556</v>
      </c>
      <c r="B2250" t="s">
        <v>225</v>
      </c>
      <c r="C2250" t="s">
        <v>52</v>
      </c>
      <c r="D2250" s="49">
        <v>45797</v>
      </c>
      <c r="E2250" s="49">
        <v>45799</v>
      </c>
      <c r="F2250" s="49">
        <v>45803</v>
      </c>
      <c r="G2250" s="49">
        <v>45809</v>
      </c>
      <c r="H2250" s="49">
        <v>45814</v>
      </c>
      <c r="I2250" s="49">
        <v>45817</v>
      </c>
      <c r="J2250" t="s">
        <v>47</v>
      </c>
      <c r="K2250" s="33">
        <v>2200</v>
      </c>
      <c r="M2250" t="str">
        <f>_xlfn.XLOOKUP(Pipeline_tbl[[#This Row],[Rep_ID]],Dim_Reps!A:A,Dim_Reps!K:K)</f>
        <v>USD</v>
      </c>
      <c r="N2250" s="33">
        <f>(_xlfn.XLOOKUP(Pipeline_tbl[[#This Row],[Rate_Code_Generalized]],Lookups!A:A,Lookups!B:B))*Pipeline_tbl[[#This Row],[Pipeline_Amount_USD]]</f>
        <v>2561.4599999999996</v>
      </c>
      <c r="O2250" t="str">
        <f>_xlfn.XLOOKUP(Pipeline_tbl[[#This Row],[Rep_ID]],Dim_Reps!A:A,Dim_Reps!B:B)</f>
        <v>Alex Muller</v>
      </c>
      <c r="P2250" t="str">
        <f>_xlfn.XLOOKUP(Pipeline_tbl[[#This Row],[Rep_ID]],Dim_Reps!A:A,Dim_Reps!C:C)</f>
        <v>SDR / Inside Sales Rep</v>
      </c>
      <c r="Q2250" t="str">
        <f>_xlfn.XLOOKUP(Pipeline_tbl[[#This Row],[Rep_ID]],Dim_Reps!A:A,Dim_Reps!D:D)</f>
        <v>Inside Sales</v>
      </c>
      <c r="R2250" t="str">
        <f>_xlfn.XLOOKUP(Pipeline_tbl[[#This Row],[Rep_ID]],Dim_Reps!A:A,Dim_Reps!E:E)</f>
        <v>NAMER</v>
      </c>
      <c r="S2250" t="str">
        <f>_xlfn.XLOOKUP(Pipeline_tbl[[#This Row],[Created_Date]],Dim_Date!A:A,Dim_Date!H:H)</f>
        <v>May 2025</v>
      </c>
      <c r="T2250" t="str">
        <f>IF(Pipeline_tbl[[#This Row],[Closed_Date]]=0,"",(_xlfn.XLOOKUP(Pipeline_tbl[[#This Row],[Closed_Date]],Dim_Date!A:A,Dim_Date!H:H)))</f>
        <v>Jun 2025</v>
      </c>
      <c r="U2250">
        <f>IF(Pipeline_tbl[[#This Row],[Closed_Date]]=0,"",Pipeline_tbl[[#This Row],[Closed_Date]]-Pipeline_tbl[[#This Row],[Created_Date]])</f>
        <v>20</v>
      </c>
    </row>
    <row r="2251" spans="1:21" ht="15" customHeight="1" x14ac:dyDescent="0.2">
      <c r="A2251" t="s">
        <v>2557</v>
      </c>
      <c r="B2251" t="s">
        <v>225</v>
      </c>
      <c r="C2251" t="s">
        <v>53</v>
      </c>
      <c r="D2251" s="49">
        <v>45782</v>
      </c>
      <c r="E2251" s="49">
        <v>45785</v>
      </c>
      <c r="F2251" s="49">
        <v>45791</v>
      </c>
      <c r="G2251" s="49">
        <v>45800</v>
      </c>
      <c r="I2251" s="49">
        <v>45812</v>
      </c>
      <c r="J2251" t="s">
        <v>49</v>
      </c>
      <c r="K2251" s="33">
        <v>5400</v>
      </c>
      <c r="L2251" t="s">
        <v>61</v>
      </c>
      <c r="M2251" t="str">
        <f>_xlfn.XLOOKUP(Pipeline_tbl[[#This Row],[Rep_ID]],Dim_Reps!A:A,Dim_Reps!K:K)</f>
        <v>USD</v>
      </c>
      <c r="N2251" s="33">
        <f>(_xlfn.XLOOKUP(Pipeline_tbl[[#This Row],[Rate_Code_Generalized]],Lookups!A:A,Lookups!B:B))*Pipeline_tbl[[#This Row],[Pipeline_Amount_USD]]</f>
        <v>6287.2199999999993</v>
      </c>
      <c r="O2251" t="str">
        <f>_xlfn.XLOOKUP(Pipeline_tbl[[#This Row],[Rep_ID]],Dim_Reps!A:A,Dim_Reps!B:B)</f>
        <v>Alex Muller</v>
      </c>
      <c r="P2251" t="str">
        <f>_xlfn.XLOOKUP(Pipeline_tbl[[#This Row],[Rep_ID]],Dim_Reps!A:A,Dim_Reps!C:C)</f>
        <v>SDR / Inside Sales Rep</v>
      </c>
      <c r="Q2251" t="str">
        <f>_xlfn.XLOOKUP(Pipeline_tbl[[#This Row],[Rep_ID]],Dim_Reps!A:A,Dim_Reps!D:D)</f>
        <v>Inside Sales</v>
      </c>
      <c r="R2251" t="str">
        <f>_xlfn.XLOOKUP(Pipeline_tbl[[#This Row],[Rep_ID]],Dim_Reps!A:A,Dim_Reps!E:E)</f>
        <v>NAMER</v>
      </c>
      <c r="S2251" t="str">
        <f>_xlfn.XLOOKUP(Pipeline_tbl[[#This Row],[Created_Date]],Dim_Date!A:A,Dim_Date!H:H)</f>
        <v>May 2025</v>
      </c>
      <c r="T2251" t="str">
        <f>IF(Pipeline_tbl[[#This Row],[Closed_Date]]=0,"",(_xlfn.XLOOKUP(Pipeline_tbl[[#This Row],[Closed_Date]],Dim_Date!A:A,Dim_Date!H:H)))</f>
        <v>Jun 2025</v>
      </c>
      <c r="U2251">
        <f>IF(Pipeline_tbl[[#This Row],[Closed_Date]]=0,"",Pipeline_tbl[[#This Row],[Closed_Date]]-Pipeline_tbl[[#This Row],[Created_Date]])</f>
        <v>30</v>
      </c>
    </row>
    <row r="2252" spans="1:21" ht="15" customHeight="1" x14ac:dyDescent="0.2">
      <c r="A2252" t="s">
        <v>2558</v>
      </c>
      <c r="B2252" t="s">
        <v>225</v>
      </c>
      <c r="C2252" t="s">
        <v>52</v>
      </c>
      <c r="D2252" s="49">
        <v>45797</v>
      </c>
      <c r="E2252" s="49">
        <v>45798</v>
      </c>
      <c r="F2252" s="49">
        <v>45801</v>
      </c>
      <c r="I2252" s="49">
        <v>45809</v>
      </c>
      <c r="J2252" t="s">
        <v>49</v>
      </c>
      <c r="K2252" s="33">
        <v>4000</v>
      </c>
      <c r="L2252" t="s">
        <v>61</v>
      </c>
      <c r="M2252" t="str">
        <f>_xlfn.XLOOKUP(Pipeline_tbl[[#This Row],[Rep_ID]],Dim_Reps!A:A,Dim_Reps!K:K)</f>
        <v>USD</v>
      </c>
      <c r="N2252" s="33">
        <f>(_xlfn.XLOOKUP(Pipeline_tbl[[#This Row],[Rate_Code_Generalized]],Lookups!A:A,Lookups!B:B))*Pipeline_tbl[[#This Row],[Pipeline_Amount_USD]]</f>
        <v>4657.2</v>
      </c>
      <c r="O2252" t="str">
        <f>_xlfn.XLOOKUP(Pipeline_tbl[[#This Row],[Rep_ID]],Dim_Reps!A:A,Dim_Reps!B:B)</f>
        <v>Alex Muller</v>
      </c>
      <c r="P2252" t="str">
        <f>_xlfn.XLOOKUP(Pipeline_tbl[[#This Row],[Rep_ID]],Dim_Reps!A:A,Dim_Reps!C:C)</f>
        <v>SDR / Inside Sales Rep</v>
      </c>
      <c r="Q2252" t="str">
        <f>_xlfn.XLOOKUP(Pipeline_tbl[[#This Row],[Rep_ID]],Dim_Reps!A:A,Dim_Reps!D:D)</f>
        <v>Inside Sales</v>
      </c>
      <c r="R2252" t="str">
        <f>_xlfn.XLOOKUP(Pipeline_tbl[[#This Row],[Rep_ID]],Dim_Reps!A:A,Dim_Reps!E:E)</f>
        <v>NAMER</v>
      </c>
      <c r="S2252" t="str">
        <f>_xlfn.XLOOKUP(Pipeline_tbl[[#This Row],[Created_Date]],Dim_Date!A:A,Dim_Date!H:H)</f>
        <v>May 2025</v>
      </c>
      <c r="T2252" t="str">
        <f>IF(Pipeline_tbl[[#This Row],[Closed_Date]]=0,"",(_xlfn.XLOOKUP(Pipeline_tbl[[#This Row],[Closed_Date]],Dim_Date!A:A,Dim_Date!H:H)))</f>
        <v>Jun 2025</v>
      </c>
      <c r="U2252">
        <f>IF(Pipeline_tbl[[#This Row],[Closed_Date]]=0,"",Pipeline_tbl[[#This Row],[Closed_Date]]-Pipeline_tbl[[#This Row],[Created_Date]])</f>
        <v>12</v>
      </c>
    </row>
    <row r="2253" spans="1:21" ht="15" customHeight="1" x14ac:dyDescent="0.2">
      <c r="A2253" t="s">
        <v>2559</v>
      </c>
      <c r="B2253" t="s">
        <v>225</v>
      </c>
      <c r="C2253" t="s">
        <v>53</v>
      </c>
      <c r="D2253" s="49">
        <v>45808</v>
      </c>
      <c r="E2253" s="49">
        <v>45810</v>
      </c>
      <c r="F2253" s="49">
        <v>45813</v>
      </c>
      <c r="G2253" s="49">
        <v>45819</v>
      </c>
      <c r="H2253" s="49">
        <v>45823</v>
      </c>
      <c r="I2253" s="49">
        <v>45826</v>
      </c>
      <c r="J2253" t="s">
        <v>47</v>
      </c>
      <c r="K2253" s="33">
        <v>2000</v>
      </c>
      <c r="M2253" t="str">
        <f>_xlfn.XLOOKUP(Pipeline_tbl[[#This Row],[Rep_ID]],Dim_Reps!A:A,Dim_Reps!K:K)</f>
        <v>USD</v>
      </c>
      <c r="N2253" s="33">
        <f>(_xlfn.XLOOKUP(Pipeline_tbl[[#This Row],[Rate_Code_Generalized]],Lookups!A:A,Lookups!B:B))*Pipeline_tbl[[#This Row],[Pipeline_Amount_USD]]</f>
        <v>2328.6</v>
      </c>
      <c r="O2253" t="str">
        <f>_xlfn.XLOOKUP(Pipeline_tbl[[#This Row],[Rep_ID]],Dim_Reps!A:A,Dim_Reps!B:B)</f>
        <v>Alex Muller</v>
      </c>
      <c r="P2253" t="str">
        <f>_xlfn.XLOOKUP(Pipeline_tbl[[#This Row],[Rep_ID]],Dim_Reps!A:A,Dim_Reps!C:C)</f>
        <v>SDR / Inside Sales Rep</v>
      </c>
      <c r="Q2253" t="str">
        <f>_xlfn.XLOOKUP(Pipeline_tbl[[#This Row],[Rep_ID]],Dim_Reps!A:A,Dim_Reps!D:D)</f>
        <v>Inside Sales</v>
      </c>
      <c r="R2253" t="str">
        <f>_xlfn.XLOOKUP(Pipeline_tbl[[#This Row],[Rep_ID]],Dim_Reps!A:A,Dim_Reps!E:E)</f>
        <v>NAMER</v>
      </c>
      <c r="S2253" t="str">
        <f>_xlfn.XLOOKUP(Pipeline_tbl[[#This Row],[Created_Date]],Dim_Date!A:A,Dim_Date!H:H)</f>
        <v>May 2025</v>
      </c>
      <c r="T2253" t="str">
        <f>IF(Pipeline_tbl[[#This Row],[Closed_Date]]=0,"",(_xlfn.XLOOKUP(Pipeline_tbl[[#This Row],[Closed_Date]],Dim_Date!A:A,Dim_Date!H:H)))</f>
        <v>Jun 2025</v>
      </c>
      <c r="U2253">
        <f>IF(Pipeline_tbl[[#This Row],[Closed_Date]]=0,"",Pipeline_tbl[[#This Row],[Closed_Date]]-Pipeline_tbl[[#This Row],[Created_Date]])</f>
        <v>18</v>
      </c>
    </row>
    <row r="2254" spans="1:21" ht="15" customHeight="1" x14ac:dyDescent="0.2">
      <c r="A2254" t="s">
        <v>2560</v>
      </c>
      <c r="B2254" t="s">
        <v>227</v>
      </c>
      <c r="C2254" t="s">
        <v>56</v>
      </c>
      <c r="D2254" s="49">
        <v>45789</v>
      </c>
      <c r="E2254" s="49">
        <v>45791</v>
      </c>
      <c r="F2254" s="49">
        <v>45795</v>
      </c>
      <c r="G2254" s="49">
        <v>45802</v>
      </c>
      <c r="H2254" s="49">
        <v>45807</v>
      </c>
      <c r="I2254" s="49">
        <v>45810</v>
      </c>
      <c r="J2254" t="s">
        <v>47</v>
      </c>
      <c r="K2254" s="33">
        <v>3000</v>
      </c>
      <c r="M2254" t="str">
        <f>_xlfn.XLOOKUP(Pipeline_tbl[[#This Row],[Rep_ID]],Dim_Reps!A:A,Dim_Reps!K:K)</f>
        <v>EUR</v>
      </c>
      <c r="N2254" s="33">
        <f>(_xlfn.XLOOKUP(Pipeline_tbl[[#This Row],[Rate_Code_Generalized]],Lookups!A:A,Lookups!B:B))*Pipeline_tbl[[#This Row],[Pipeline_Amount_USD]]</f>
        <v>3000</v>
      </c>
      <c r="O2254" t="str">
        <f>_xlfn.XLOOKUP(Pipeline_tbl[[#This Row],[Rep_ID]],Dim_Reps!A:A,Dim_Reps!B:B)</f>
        <v>Liam Muller</v>
      </c>
      <c r="P2254" t="str">
        <f>_xlfn.XLOOKUP(Pipeline_tbl[[#This Row],[Rep_ID]],Dim_Reps!A:A,Dim_Reps!C:C)</f>
        <v>SDR / Inside Sales Rep</v>
      </c>
      <c r="Q2254" t="str">
        <f>_xlfn.XLOOKUP(Pipeline_tbl[[#This Row],[Rep_ID]],Dim_Reps!A:A,Dim_Reps!D:D)</f>
        <v>Inside Sales</v>
      </c>
      <c r="R2254" t="str">
        <f>_xlfn.XLOOKUP(Pipeline_tbl[[#This Row],[Rep_ID]],Dim_Reps!A:A,Dim_Reps!E:E)</f>
        <v>EMEA</v>
      </c>
      <c r="S2254" t="str">
        <f>_xlfn.XLOOKUP(Pipeline_tbl[[#This Row],[Created_Date]],Dim_Date!A:A,Dim_Date!H:H)</f>
        <v>May 2025</v>
      </c>
      <c r="T2254" t="str">
        <f>IF(Pipeline_tbl[[#This Row],[Closed_Date]]=0,"",(_xlfn.XLOOKUP(Pipeline_tbl[[#This Row],[Closed_Date]],Dim_Date!A:A,Dim_Date!H:H)))</f>
        <v>Jun 2025</v>
      </c>
      <c r="U2254">
        <f>IF(Pipeline_tbl[[#This Row],[Closed_Date]]=0,"",Pipeline_tbl[[#This Row],[Closed_Date]]-Pipeline_tbl[[#This Row],[Created_Date]])</f>
        <v>21</v>
      </c>
    </row>
    <row r="2255" spans="1:21" ht="15" customHeight="1" x14ac:dyDescent="0.2">
      <c r="A2255" t="s">
        <v>2561</v>
      </c>
      <c r="B2255" t="s">
        <v>227</v>
      </c>
      <c r="C2255" t="s">
        <v>52</v>
      </c>
      <c r="D2255" s="49">
        <v>45805</v>
      </c>
      <c r="E2255" s="49">
        <v>45807</v>
      </c>
      <c r="F2255" s="49">
        <v>45810</v>
      </c>
      <c r="I2255" s="49">
        <v>45823</v>
      </c>
      <c r="J2255" t="s">
        <v>49</v>
      </c>
      <c r="K2255" s="33">
        <v>2200</v>
      </c>
      <c r="L2255" t="s">
        <v>63</v>
      </c>
      <c r="M2255" t="str">
        <f>_xlfn.XLOOKUP(Pipeline_tbl[[#This Row],[Rep_ID]],Dim_Reps!A:A,Dim_Reps!K:K)</f>
        <v>EUR</v>
      </c>
      <c r="N2255" s="33">
        <f>(_xlfn.XLOOKUP(Pipeline_tbl[[#This Row],[Rate_Code_Generalized]],Lookups!A:A,Lookups!B:B))*Pipeline_tbl[[#This Row],[Pipeline_Amount_USD]]</f>
        <v>2200</v>
      </c>
      <c r="O2255" t="str">
        <f>_xlfn.XLOOKUP(Pipeline_tbl[[#This Row],[Rep_ID]],Dim_Reps!A:A,Dim_Reps!B:B)</f>
        <v>Liam Muller</v>
      </c>
      <c r="P2255" t="str">
        <f>_xlfn.XLOOKUP(Pipeline_tbl[[#This Row],[Rep_ID]],Dim_Reps!A:A,Dim_Reps!C:C)</f>
        <v>SDR / Inside Sales Rep</v>
      </c>
      <c r="Q2255" t="str">
        <f>_xlfn.XLOOKUP(Pipeline_tbl[[#This Row],[Rep_ID]],Dim_Reps!A:A,Dim_Reps!D:D)</f>
        <v>Inside Sales</v>
      </c>
      <c r="R2255" t="str">
        <f>_xlfn.XLOOKUP(Pipeline_tbl[[#This Row],[Rep_ID]],Dim_Reps!A:A,Dim_Reps!E:E)</f>
        <v>EMEA</v>
      </c>
      <c r="S2255" t="str">
        <f>_xlfn.XLOOKUP(Pipeline_tbl[[#This Row],[Created_Date]],Dim_Date!A:A,Dim_Date!H:H)</f>
        <v>May 2025</v>
      </c>
      <c r="T2255" t="str">
        <f>IF(Pipeline_tbl[[#This Row],[Closed_Date]]=0,"",(_xlfn.XLOOKUP(Pipeline_tbl[[#This Row],[Closed_Date]],Dim_Date!A:A,Dim_Date!H:H)))</f>
        <v>Jun 2025</v>
      </c>
      <c r="U2255">
        <f>IF(Pipeline_tbl[[#This Row],[Closed_Date]]=0,"",Pipeline_tbl[[#This Row],[Closed_Date]]-Pipeline_tbl[[#This Row],[Created_Date]])</f>
        <v>18</v>
      </c>
    </row>
    <row r="2256" spans="1:21" ht="15" customHeight="1" x14ac:dyDescent="0.2">
      <c r="A2256" t="s">
        <v>2562</v>
      </c>
      <c r="B2256" t="s">
        <v>227</v>
      </c>
      <c r="C2256" t="s">
        <v>53</v>
      </c>
      <c r="D2256" s="49">
        <v>45797</v>
      </c>
      <c r="E2256" s="49">
        <v>45799</v>
      </c>
      <c r="F2256" s="49">
        <v>45802</v>
      </c>
      <c r="G2256" s="49">
        <v>45807</v>
      </c>
      <c r="H2256" s="49">
        <v>45811</v>
      </c>
      <c r="I2256" s="49">
        <v>45813</v>
      </c>
      <c r="J2256" t="s">
        <v>47</v>
      </c>
      <c r="K2256" s="33">
        <v>4400</v>
      </c>
      <c r="M2256" t="str">
        <f>_xlfn.XLOOKUP(Pipeline_tbl[[#This Row],[Rep_ID]],Dim_Reps!A:A,Dim_Reps!K:K)</f>
        <v>EUR</v>
      </c>
      <c r="N2256" s="33">
        <f>(_xlfn.XLOOKUP(Pipeline_tbl[[#This Row],[Rate_Code_Generalized]],Lookups!A:A,Lookups!B:B))*Pipeline_tbl[[#This Row],[Pipeline_Amount_USD]]</f>
        <v>4400</v>
      </c>
      <c r="O2256" t="str">
        <f>_xlfn.XLOOKUP(Pipeline_tbl[[#This Row],[Rep_ID]],Dim_Reps!A:A,Dim_Reps!B:B)</f>
        <v>Liam Muller</v>
      </c>
      <c r="P2256" t="str">
        <f>_xlfn.XLOOKUP(Pipeline_tbl[[#This Row],[Rep_ID]],Dim_Reps!A:A,Dim_Reps!C:C)</f>
        <v>SDR / Inside Sales Rep</v>
      </c>
      <c r="Q2256" t="str">
        <f>_xlfn.XLOOKUP(Pipeline_tbl[[#This Row],[Rep_ID]],Dim_Reps!A:A,Dim_Reps!D:D)</f>
        <v>Inside Sales</v>
      </c>
      <c r="R2256" t="str">
        <f>_xlfn.XLOOKUP(Pipeline_tbl[[#This Row],[Rep_ID]],Dim_Reps!A:A,Dim_Reps!E:E)</f>
        <v>EMEA</v>
      </c>
      <c r="S2256" t="str">
        <f>_xlfn.XLOOKUP(Pipeline_tbl[[#This Row],[Created_Date]],Dim_Date!A:A,Dim_Date!H:H)</f>
        <v>May 2025</v>
      </c>
      <c r="T2256" t="str">
        <f>IF(Pipeline_tbl[[#This Row],[Closed_Date]]=0,"",(_xlfn.XLOOKUP(Pipeline_tbl[[#This Row],[Closed_Date]],Dim_Date!A:A,Dim_Date!H:H)))</f>
        <v>Jun 2025</v>
      </c>
      <c r="U2256">
        <f>IF(Pipeline_tbl[[#This Row],[Closed_Date]]=0,"",Pipeline_tbl[[#This Row],[Closed_Date]]-Pipeline_tbl[[#This Row],[Created_Date]])</f>
        <v>16</v>
      </c>
    </row>
    <row r="2257" spans="1:21" ht="15" customHeight="1" x14ac:dyDescent="0.2">
      <c r="A2257" t="s">
        <v>2563</v>
      </c>
      <c r="B2257" t="s">
        <v>227</v>
      </c>
      <c r="C2257" t="s">
        <v>53</v>
      </c>
      <c r="D2257" s="49">
        <v>45804</v>
      </c>
      <c r="E2257" s="49">
        <v>45806</v>
      </c>
      <c r="F2257" s="49">
        <v>45811</v>
      </c>
      <c r="I2257" s="49">
        <v>45828</v>
      </c>
      <c r="J2257" t="s">
        <v>49</v>
      </c>
      <c r="K2257" s="33">
        <v>7600</v>
      </c>
      <c r="L2257" t="s">
        <v>61</v>
      </c>
      <c r="M2257" t="str">
        <f>_xlfn.XLOOKUP(Pipeline_tbl[[#This Row],[Rep_ID]],Dim_Reps!A:A,Dim_Reps!K:K)</f>
        <v>EUR</v>
      </c>
      <c r="N2257" s="33">
        <f>(_xlfn.XLOOKUP(Pipeline_tbl[[#This Row],[Rate_Code_Generalized]],Lookups!A:A,Lookups!B:B))*Pipeline_tbl[[#This Row],[Pipeline_Amount_USD]]</f>
        <v>7600</v>
      </c>
      <c r="O2257" t="str">
        <f>_xlfn.XLOOKUP(Pipeline_tbl[[#This Row],[Rep_ID]],Dim_Reps!A:A,Dim_Reps!B:B)</f>
        <v>Liam Muller</v>
      </c>
      <c r="P2257" t="str">
        <f>_xlfn.XLOOKUP(Pipeline_tbl[[#This Row],[Rep_ID]],Dim_Reps!A:A,Dim_Reps!C:C)</f>
        <v>SDR / Inside Sales Rep</v>
      </c>
      <c r="Q2257" t="str">
        <f>_xlfn.XLOOKUP(Pipeline_tbl[[#This Row],[Rep_ID]],Dim_Reps!A:A,Dim_Reps!D:D)</f>
        <v>Inside Sales</v>
      </c>
      <c r="R2257" t="str">
        <f>_xlfn.XLOOKUP(Pipeline_tbl[[#This Row],[Rep_ID]],Dim_Reps!A:A,Dim_Reps!E:E)</f>
        <v>EMEA</v>
      </c>
      <c r="S2257" t="str">
        <f>_xlfn.XLOOKUP(Pipeline_tbl[[#This Row],[Created_Date]],Dim_Date!A:A,Dim_Date!H:H)</f>
        <v>May 2025</v>
      </c>
      <c r="T2257" t="str">
        <f>IF(Pipeline_tbl[[#This Row],[Closed_Date]]=0,"",(_xlfn.XLOOKUP(Pipeline_tbl[[#This Row],[Closed_Date]],Dim_Date!A:A,Dim_Date!H:H)))</f>
        <v>Jun 2025</v>
      </c>
      <c r="U2257">
        <f>IF(Pipeline_tbl[[#This Row],[Closed_Date]]=0,"",Pipeline_tbl[[#This Row],[Closed_Date]]-Pipeline_tbl[[#This Row],[Created_Date]])</f>
        <v>24</v>
      </c>
    </row>
    <row r="2258" spans="1:21" ht="15" customHeight="1" x14ac:dyDescent="0.2">
      <c r="A2258" t="s">
        <v>2564</v>
      </c>
      <c r="B2258" t="s">
        <v>227</v>
      </c>
      <c r="C2258" t="s">
        <v>53</v>
      </c>
      <c r="D2258" s="49">
        <v>45799</v>
      </c>
      <c r="E2258" s="49">
        <v>45801</v>
      </c>
      <c r="F2258" s="49">
        <v>45805</v>
      </c>
      <c r="G2258" s="49">
        <v>45811</v>
      </c>
      <c r="H2258" s="49">
        <v>45816</v>
      </c>
      <c r="I2258" s="49">
        <v>45819</v>
      </c>
      <c r="J2258" t="s">
        <v>49</v>
      </c>
      <c r="K2258" s="33">
        <v>3300</v>
      </c>
      <c r="L2258" t="s">
        <v>60</v>
      </c>
      <c r="M2258" t="str">
        <f>_xlfn.XLOOKUP(Pipeline_tbl[[#This Row],[Rep_ID]],Dim_Reps!A:A,Dim_Reps!K:K)</f>
        <v>EUR</v>
      </c>
      <c r="N2258" s="33">
        <f>(_xlfn.XLOOKUP(Pipeline_tbl[[#This Row],[Rate_Code_Generalized]],Lookups!A:A,Lookups!B:B))*Pipeline_tbl[[#This Row],[Pipeline_Amount_USD]]</f>
        <v>3300</v>
      </c>
      <c r="O2258" t="str">
        <f>_xlfn.XLOOKUP(Pipeline_tbl[[#This Row],[Rep_ID]],Dim_Reps!A:A,Dim_Reps!B:B)</f>
        <v>Liam Muller</v>
      </c>
      <c r="P2258" t="str">
        <f>_xlfn.XLOOKUP(Pipeline_tbl[[#This Row],[Rep_ID]],Dim_Reps!A:A,Dim_Reps!C:C)</f>
        <v>SDR / Inside Sales Rep</v>
      </c>
      <c r="Q2258" t="str">
        <f>_xlfn.XLOOKUP(Pipeline_tbl[[#This Row],[Rep_ID]],Dim_Reps!A:A,Dim_Reps!D:D)</f>
        <v>Inside Sales</v>
      </c>
      <c r="R2258" t="str">
        <f>_xlfn.XLOOKUP(Pipeline_tbl[[#This Row],[Rep_ID]],Dim_Reps!A:A,Dim_Reps!E:E)</f>
        <v>EMEA</v>
      </c>
      <c r="S2258" t="str">
        <f>_xlfn.XLOOKUP(Pipeline_tbl[[#This Row],[Created_Date]],Dim_Date!A:A,Dim_Date!H:H)</f>
        <v>May 2025</v>
      </c>
      <c r="T2258" t="str">
        <f>IF(Pipeline_tbl[[#This Row],[Closed_Date]]=0,"",(_xlfn.XLOOKUP(Pipeline_tbl[[#This Row],[Closed_Date]],Dim_Date!A:A,Dim_Date!H:H)))</f>
        <v>Jun 2025</v>
      </c>
      <c r="U2258">
        <f>IF(Pipeline_tbl[[#This Row],[Closed_Date]]=0,"",Pipeline_tbl[[#This Row],[Closed_Date]]-Pipeline_tbl[[#This Row],[Created_Date]])</f>
        <v>20</v>
      </c>
    </row>
    <row r="2259" spans="1:21" ht="15" customHeight="1" x14ac:dyDescent="0.2">
      <c r="A2259" t="s">
        <v>2565</v>
      </c>
      <c r="B2259" t="s">
        <v>227</v>
      </c>
      <c r="C2259" t="s">
        <v>53</v>
      </c>
      <c r="D2259" s="49">
        <v>45803</v>
      </c>
      <c r="E2259" s="49">
        <v>45804</v>
      </c>
      <c r="F2259" s="49">
        <v>45805</v>
      </c>
      <c r="G2259" s="49">
        <v>45807</v>
      </c>
      <c r="H2259" s="49">
        <v>45809</v>
      </c>
      <c r="I2259" s="49">
        <v>45810</v>
      </c>
      <c r="J2259" t="s">
        <v>49</v>
      </c>
      <c r="K2259" s="33">
        <v>4900</v>
      </c>
      <c r="L2259" t="s">
        <v>62</v>
      </c>
      <c r="M2259" t="str">
        <f>_xlfn.XLOOKUP(Pipeline_tbl[[#This Row],[Rep_ID]],Dim_Reps!A:A,Dim_Reps!K:K)</f>
        <v>EUR</v>
      </c>
      <c r="N2259" s="33">
        <f>(_xlfn.XLOOKUP(Pipeline_tbl[[#This Row],[Rate_Code_Generalized]],Lookups!A:A,Lookups!B:B))*Pipeline_tbl[[#This Row],[Pipeline_Amount_USD]]</f>
        <v>4900</v>
      </c>
      <c r="O2259" t="str">
        <f>_xlfn.XLOOKUP(Pipeline_tbl[[#This Row],[Rep_ID]],Dim_Reps!A:A,Dim_Reps!B:B)</f>
        <v>Liam Muller</v>
      </c>
      <c r="P2259" t="str">
        <f>_xlfn.XLOOKUP(Pipeline_tbl[[#This Row],[Rep_ID]],Dim_Reps!A:A,Dim_Reps!C:C)</f>
        <v>SDR / Inside Sales Rep</v>
      </c>
      <c r="Q2259" t="str">
        <f>_xlfn.XLOOKUP(Pipeline_tbl[[#This Row],[Rep_ID]],Dim_Reps!A:A,Dim_Reps!D:D)</f>
        <v>Inside Sales</v>
      </c>
      <c r="R2259" t="str">
        <f>_xlfn.XLOOKUP(Pipeline_tbl[[#This Row],[Rep_ID]],Dim_Reps!A:A,Dim_Reps!E:E)</f>
        <v>EMEA</v>
      </c>
      <c r="S2259" t="str">
        <f>_xlfn.XLOOKUP(Pipeline_tbl[[#This Row],[Created_Date]],Dim_Date!A:A,Dim_Date!H:H)</f>
        <v>May 2025</v>
      </c>
      <c r="T2259" t="str">
        <f>IF(Pipeline_tbl[[#This Row],[Closed_Date]]=0,"",(_xlfn.XLOOKUP(Pipeline_tbl[[#This Row],[Closed_Date]],Dim_Date!A:A,Dim_Date!H:H)))</f>
        <v>Jun 2025</v>
      </c>
      <c r="U2259">
        <f>IF(Pipeline_tbl[[#This Row],[Closed_Date]]=0,"",Pipeline_tbl[[#This Row],[Closed_Date]]-Pipeline_tbl[[#This Row],[Created_Date]])</f>
        <v>7</v>
      </c>
    </row>
    <row r="2260" spans="1:21" ht="15" customHeight="1" x14ac:dyDescent="0.2">
      <c r="A2260" t="s">
        <v>2566</v>
      </c>
      <c r="B2260" t="s">
        <v>227</v>
      </c>
      <c r="C2260" t="s">
        <v>54</v>
      </c>
      <c r="D2260" s="49">
        <v>45807</v>
      </c>
      <c r="E2260" s="49">
        <v>45809</v>
      </c>
      <c r="F2260" s="49">
        <v>45813</v>
      </c>
      <c r="G2260" s="49">
        <v>45818</v>
      </c>
      <c r="H2260" s="49">
        <v>45823</v>
      </c>
      <c r="I2260" s="49">
        <v>45826</v>
      </c>
      <c r="J2260" t="s">
        <v>47</v>
      </c>
      <c r="K2260" s="33">
        <v>5600</v>
      </c>
      <c r="M2260" t="str">
        <f>_xlfn.XLOOKUP(Pipeline_tbl[[#This Row],[Rep_ID]],Dim_Reps!A:A,Dim_Reps!K:K)</f>
        <v>EUR</v>
      </c>
      <c r="N2260" s="33">
        <f>(_xlfn.XLOOKUP(Pipeline_tbl[[#This Row],[Rate_Code_Generalized]],Lookups!A:A,Lookups!B:B))*Pipeline_tbl[[#This Row],[Pipeline_Amount_USD]]</f>
        <v>5600</v>
      </c>
      <c r="O2260" t="str">
        <f>_xlfn.XLOOKUP(Pipeline_tbl[[#This Row],[Rep_ID]],Dim_Reps!A:A,Dim_Reps!B:B)</f>
        <v>Liam Muller</v>
      </c>
      <c r="P2260" t="str">
        <f>_xlfn.XLOOKUP(Pipeline_tbl[[#This Row],[Rep_ID]],Dim_Reps!A:A,Dim_Reps!C:C)</f>
        <v>SDR / Inside Sales Rep</v>
      </c>
      <c r="Q2260" t="str">
        <f>_xlfn.XLOOKUP(Pipeline_tbl[[#This Row],[Rep_ID]],Dim_Reps!A:A,Dim_Reps!D:D)</f>
        <v>Inside Sales</v>
      </c>
      <c r="R2260" t="str">
        <f>_xlfn.XLOOKUP(Pipeline_tbl[[#This Row],[Rep_ID]],Dim_Reps!A:A,Dim_Reps!E:E)</f>
        <v>EMEA</v>
      </c>
      <c r="S2260" t="str">
        <f>_xlfn.XLOOKUP(Pipeline_tbl[[#This Row],[Created_Date]],Dim_Date!A:A,Dim_Date!H:H)</f>
        <v>May 2025</v>
      </c>
      <c r="T2260" t="str">
        <f>IF(Pipeline_tbl[[#This Row],[Closed_Date]]=0,"",(_xlfn.XLOOKUP(Pipeline_tbl[[#This Row],[Closed_Date]],Dim_Date!A:A,Dim_Date!H:H)))</f>
        <v>Jun 2025</v>
      </c>
      <c r="U2260">
        <f>IF(Pipeline_tbl[[#This Row],[Closed_Date]]=0,"",Pipeline_tbl[[#This Row],[Closed_Date]]-Pipeline_tbl[[#This Row],[Created_Date]])</f>
        <v>19</v>
      </c>
    </row>
    <row r="2261" spans="1:21" ht="15" customHeight="1" x14ac:dyDescent="0.2">
      <c r="A2261" t="s">
        <v>2567</v>
      </c>
      <c r="B2261" t="s">
        <v>227</v>
      </c>
      <c r="C2261" t="s">
        <v>52</v>
      </c>
      <c r="D2261" s="49">
        <v>45797</v>
      </c>
      <c r="E2261" s="49">
        <v>45799</v>
      </c>
      <c r="F2261" s="49">
        <v>45803</v>
      </c>
      <c r="G2261" s="49">
        <v>45808</v>
      </c>
      <c r="I2261" s="49">
        <v>45816</v>
      </c>
      <c r="J2261" t="s">
        <v>49</v>
      </c>
      <c r="K2261" s="33">
        <v>10000</v>
      </c>
      <c r="L2261" t="s">
        <v>63</v>
      </c>
      <c r="M2261" t="str">
        <f>_xlfn.XLOOKUP(Pipeline_tbl[[#This Row],[Rep_ID]],Dim_Reps!A:A,Dim_Reps!K:K)</f>
        <v>EUR</v>
      </c>
      <c r="N2261" s="33">
        <f>(_xlfn.XLOOKUP(Pipeline_tbl[[#This Row],[Rate_Code_Generalized]],Lookups!A:A,Lookups!B:B))*Pipeline_tbl[[#This Row],[Pipeline_Amount_USD]]</f>
        <v>10000</v>
      </c>
      <c r="O2261" t="str">
        <f>_xlfn.XLOOKUP(Pipeline_tbl[[#This Row],[Rep_ID]],Dim_Reps!A:A,Dim_Reps!B:B)</f>
        <v>Liam Muller</v>
      </c>
      <c r="P2261" t="str">
        <f>_xlfn.XLOOKUP(Pipeline_tbl[[#This Row],[Rep_ID]],Dim_Reps!A:A,Dim_Reps!C:C)</f>
        <v>SDR / Inside Sales Rep</v>
      </c>
      <c r="Q2261" t="str">
        <f>_xlfn.XLOOKUP(Pipeline_tbl[[#This Row],[Rep_ID]],Dim_Reps!A:A,Dim_Reps!D:D)</f>
        <v>Inside Sales</v>
      </c>
      <c r="R2261" t="str">
        <f>_xlfn.XLOOKUP(Pipeline_tbl[[#This Row],[Rep_ID]],Dim_Reps!A:A,Dim_Reps!E:E)</f>
        <v>EMEA</v>
      </c>
      <c r="S2261" t="str">
        <f>_xlfn.XLOOKUP(Pipeline_tbl[[#This Row],[Created_Date]],Dim_Date!A:A,Dim_Date!H:H)</f>
        <v>May 2025</v>
      </c>
      <c r="T2261" t="str">
        <f>IF(Pipeline_tbl[[#This Row],[Closed_Date]]=0,"",(_xlfn.XLOOKUP(Pipeline_tbl[[#This Row],[Closed_Date]],Dim_Date!A:A,Dim_Date!H:H)))</f>
        <v>Jun 2025</v>
      </c>
      <c r="U2261">
        <f>IF(Pipeline_tbl[[#This Row],[Closed_Date]]=0,"",Pipeline_tbl[[#This Row],[Closed_Date]]-Pipeline_tbl[[#This Row],[Created_Date]])</f>
        <v>19</v>
      </c>
    </row>
    <row r="2262" spans="1:21" ht="15" customHeight="1" x14ac:dyDescent="0.2">
      <c r="A2262" t="s">
        <v>2568</v>
      </c>
      <c r="B2262" t="s">
        <v>282</v>
      </c>
      <c r="C2262" t="s">
        <v>56</v>
      </c>
      <c r="D2262" s="49">
        <v>45782</v>
      </c>
      <c r="E2262" s="49">
        <v>45787</v>
      </c>
      <c r="F2262" s="49">
        <v>45798</v>
      </c>
      <c r="G2262" s="49">
        <v>45813</v>
      </c>
      <c r="I2262" s="49">
        <v>45834</v>
      </c>
      <c r="J2262" t="s">
        <v>49</v>
      </c>
      <c r="K2262" s="33">
        <v>58900</v>
      </c>
      <c r="L2262" t="s">
        <v>61</v>
      </c>
      <c r="M2262" t="str">
        <f>_xlfn.XLOOKUP(Pipeline_tbl[[#This Row],[Rep_ID]],Dim_Reps!A:A,Dim_Reps!K:K)</f>
        <v>USD</v>
      </c>
      <c r="N2262" s="33">
        <f>(_xlfn.XLOOKUP(Pipeline_tbl[[#This Row],[Rate_Code_Generalized]],Lookups!A:A,Lookups!B:B))*Pipeline_tbl[[#This Row],[Pipeline_Amount_USD]]</f>
        <v>68577.26999999999</v>
      </c>
      <c r="O2262" t="str">
        <f>_xlfn.XLOOKUP(Pipeline_tbl[[#This Row],[Rep_ID]],Dim_Reps!A:A,Dim_Reps!B:B)</f>
        <v>Fatima Rossi</v>
      </c>
      <c r="P2262" t="str">
        <f>_xlfn.XLOOKUP(Pipeline_tbl[[#This Row],[Rep_ID]],Dim_Reps!A:A,Dim_Reps!C:C)</f>
        <v>Senior Enterprise AE</v>
      </c>
      <c r="Q2262" t="str">
        <f>_xlfn.XLOOKUP(Pipeline_tbl[[#This Row],[Rep_ID]],Dim_Reps!A:A,Dim_Reps!D:D)</f>
        <v>Strategic</v>
      </c>
      <c r="R2262" t="str">
        <f>_xlfn.XLOOKUP(Pipeline_tbl[[#This Row],[Rep_ID]],Dim_Reps!A:A,Dim_Reps!E:E)</f>
        <v>NAMER</v>
      </c>
      <c r="S2262" t="str">
        <f>_xlfn.XLOOKUP(Pipeline_tbl[[#This Row],[Created_Date]],Dim_Date!A:A,Dim_Date!H:H)</f>
        <v>May 2025</v>
      </c>
      <c r="T2262" t="str">
        <f>IF(Pipeline_tbl[[#This Row],[Closed_Date]]=0,"",(_xlfn.XLOOKUP(Pipeline_tbl[[#This Row],[Closed_Date]],Dim_Date!A:A,Dim_Date!H:H)))</f>
        <v>Jun 2025</v>
      </c>
      <c r="U2262">
        <f>IF(Pipeline_tbl[[#This Row],[Closed_Date]]=0,"",Pipeline_tbl[[#This Row],[Closed_Date]]-Pipeline_tbl[[#This Row],[Created_Date]])</f>
        <v>52</v>
      </c>
    </row>
    <row r="2263" spans="1:21" ht="15" customHeight="1" x14ac:dyDescent="0.2">
      <c r="A2263" t="s">
        <v>2569</v>
      </c>
      <c r="B2263" t="s">
        <v>229</v>
      </c>
      <c r="C2263" t="s">
        <v>52</v>
      </c>
      <c r="D2263" s="49">
        <v>45796</v>
      </c>
      <c r="E2263" s="49">
        <v>45798</v>
      </c>
      <c r="F2263" s="49">
        <v>45802</v>
      </c>
      <c r="G2263" s="49">
        <v>45807</v>
      </c>
      <c r="H2263" s="49">
        <v>45812</v>
      </c>
      <c r="I2263" s="49">
        <v>45815</v>
      </c>
      <c r="J2263" t="s">
        <v>47</v>
      </c>
      <c r="K2263" s="33">
        <v>1800</v>
      </c>
      <c r="M2263" t="str">
        <f>_xlfn.XLOOKUP(Pipeline_tbl[[#This Row],[Rep_ID]],Dim_Reps!A:A,Dim_Reps!K:K)</f>
        <v>USD</v>
      </c>
      <c r="N2263" s="33">
        <f>(_xlfn.XLOOKUP(Pipeline_tbl[[#This Row],[Rate_Code_Generalized]],Lookups!A:A,Lookups!B:B))*Pipeline_tbl[[#This Row],[Pipeline_Amount_USD]]</f>
        <v>2095.7399999999998</v>
      </c>
      <c r="O2263" t="str">
        <f>_xlfn.XLOOKUP(Pipeline_tbl[[#This Row],[Rep_ID]],Dim_Reps!A:A,Dim_Reps!B:B)</f>
        <v>Liam Castro</v>
      </c>
      <c r="P2263" t="str">
        <f>_xlfn.XLOOKUP(Pipeline_tbl[[#This Row],[Rep_ID]],Dim_Reps!A:A,Dim_Reps!C:C)</f>
        <v>SDR / Inside Sales Rep</v>
      </c>
      <c r="Q2263" t="str">
        <f>_xlfn.XLOOKUP(Pipeline_tbl[[#This Row],[Rep_ID]],Dim_Reps!A:A,Dim_Reps!D:D)</f>
        <v>Inside Sales</v>
      </c>
      <c r="R2263" t="str">
        <f>_xlfn.XLOOKUP(Pipeline_tbl[[#This Row],[Rep_ID]],Dim_Reps!A:A,Dim_Reps!E:E)</f>
        <v>NAMER</v>
      </c>
      <c r="S2263" t="str">
        <f>_xlfn.XLOOKUP(Pipeline_tbl[[#This Row],[Created_Date]],Dim_Date!A:A,Dim_Date!H:H)</f>
        <v>May 2025</v>
      </c>
      <c r="T2263" t="str">
        <f>IF(Pipeline_tbl[[#This Row],[Closed_Date]]=0,"",(_xlfn.XLOOKUP(Pipeline_tbl[[#This Row],[Closed_Date]],Dim_Date!A:A,Dim_Date!H:H)))</f>
        <v>Jun 2025</v>
      </c>
      <c r="U2263">
        <f>IF(Pipeline_tbl[[#This Row],[Closed_Date]]=0,"",Pipeline_tbl[[#This Row],[Closed_Date]]-Pipeline_tbl[[#This Row],[Created_Date]])</f>
        <v>19</v>
      </c>
    </row>
    <row r="2264" spans="1:21" ht="15" customHeight="1" x14ac:dyDescent="0.2">
      <c r="A2264" t="s">
        <v>2570</v>
      </c>
      <c r="B2264" t="s">
        <v>229</v>
      </c>
      <c r="C2264" t="s">
        <v>54</v>
      </c>
      <c r="D2264" s="49">
        <v>45798</v>
      </c>
      <c r="E2264" s="49">
        <v>45800</v>
      </c>
      <c r="F2264" s="49">
        <v>45803</v>
      </c>
      <c r="I2264" s="49">
        <v>45815</v>
      </c>
      <c r="J2264" t="s">
        <v>49</v>
      </c>
      <c r="K2264" s="33">
        <v>6700</v>
      </c>
      <c r="L2264" t="s">
        <v>62</v>
      </c>
      <c r="M2264" t="str">
        <f>_xlfn.XLOOKUP(Pipeline_tbl[[#This Row],[Rep_ID]],Dim_Reps!A:A,Dim_Reps!K:K)</f>
        <v>USD</v>
      </c>
      <c r="N2264" s="33">
        <f>(_xlfn.XLOOKUP(Pipeline_tbl[[#This Row],[Rate_Code_Generalized]],Lookups!A:A,Lookups!B:B))*Pipeline_tbl[[#This Row],[Pipeline_Amount_USD]]</f>
        <v>7800.8099999999995</v>
      </c>
      <c r="O2264" t="str">
        <f>_xlfn.XLOOKUP(Pipeline_tbl[[#This Row],[Rep_ID]],Dim_Reps!A:A,Dim_Reps!B:B)</f>
        <v>Liam Castro</v>
      </c>
      <c r="P2264" t="str">
        <f>_xlfn.XLOOKUP(Pipeline_tbl[[#This Row],[Rep_ID]],Dim_Reps!A:A,Dim_Reps!C:C)</f>
        <v>SDR / Inside Sales Rep</v>
      </c>
      <c r="Q2264" t="str">
        <f>_xlfn.XLOOKUP(Pipeline_tbl[[#This Row],[Rep_ID]],Dim_Reps!A:A,Dim_Reps!D:D)</f>
        <v>Inside Sales</v>
      </c>
      <c r="R2264" t="str">
        <f>_xlfn.XLOOKUP(Pipeline_tbl[[#This Row],[Rep_ID]],Dim_Reps!A:A,Dim_Reps!E:E)</f>
        <v>NAMER</v>
      </c>
      <c r="S2264" t="str">
        <f>_xlfn.XLOOKUP(Pipeline_tbl[[#This Row],[Created_Date]],Dim_Date!A:A,Dim_Date!H:H)</f>
        <v>May 2025</v>
      </c>
      <c r="T2264" t="str">
        <f>IF(Pipeline_tbl[[#This Row],[Closed_Date]]=0,"",(_xlfn.XLOOKUP(Pipeline_tbl[[#This Row],[Closed_Date]],Dim_Date!A:A,Dim_Date!H:H)))</f>
        <v>Jun 2025</v>
      </c>
      <c r="U2264">
        <f>IF(Pipeline_tbl[[#This Row],[Closed_Date]]=0,"",Pipeline_tbl[[#This Row],[Closed_Date]]-Pipeline_tbl[[#This Row],[Created_Date]])</f>
        <v>17</v>
      </c>
    </row>
    <row r="2265" spans="1:21" ht="15" customHeight="1" x14ac:dyDescent="0.2">
      <c r="A2265" t="s">
        <v>2571</v>
      </c>
      <c r="B2265" t="s">
        <v>229</v>
      </c>
      <c r="C2265" t="s">
        <v>52</v>
      </c>
      <c r="D2265" s="49">
        <v>45802</v>
      </c>
      <c r="E2265" s="49">
        <v>45804</v>
      </c>
      <c r="F2265" s="49">
        <v>45808</v>
      </c>
      <c r="I2265" s="49">
        <v>45822</v>
      </c>
      <c r="J2265" t="s">
        <v>49</v>
      </c>
      <c r="K2265" s="33">
        <v>2000</v>
      </c>
      <c r="L2265" t="s">
        <v>61</v>
      </c>
      <c r="M2265" t="str">
        <f>_xlfn.XLOOKUP(Pipeline_tbl[[#This Row],[Rep_ID]],Dim_Reps!A:A,Dim_Reps!K:K)</f>
        <v>USD</v>
      </c>
      <c r="N2265" s="33">
        <f>(_xlfn.XLOOKUP(Pipeline_tbl[[#This Row],[Rate_Code_Generalized]],Lookups!A:A,Lookups!B:B))*Pipeline_tbl[[#This Row],[Pipeline_Amount_USD]]</f>
        <v>2328.6</v>
      </c>
      <c r="O2265" t="str">
        <f>_xlfn.XLOOKUP(Pipeline_tbl[[#This Row],[Rep_ID]],Dim_Reps!A:A,Dim_Reps!B:B)</f>
        <v>Liam Castro</v>
      </c>
      <c r="P2265" t="str">
        <f>_xlfn.XLOOKUP(Pipeline_tbl[[#This Row],[Rep_ID]],Dim_Reps!A:A,Dim_Reps!C:C)</f>
        <v>SDR / Inside Sales Rep</v>
      </c>
      <c r="Q2265" t="str">
        <f>_xlfn.XLOOKUP(Pipeline_tbl[[#This Row],[Rep_ID]],Dim_Reps!A:A,Dim_Reps!D:D)</f>
        <v>Inside Sales</v>
      </c>
      <c r="R2265" t="str">
        <f>_xlfn.XLOOKUP(Pipeline_tbl[[#This Row],[Rep_ID]],Dim_Reps!A:A,Dim_Reps!E:E)</f>
        <v>NAMER</v>
      </c>
      <c r="S2265" t="str">
        <f>_xlfn.XLOOKUP(Pipeline_tbl[[#This Row],[Created_Date]],Dim_Date!A:A,Dim_Date!H:H)</f>
        <v>May 2025</v>
      </c>
      <c r="T2265" t="str">
        <f>IF(Pipeline_tbl[[#This Row],[Closed_Date]]=0,"",(_xlfn.XLOOKUP(Pipeline_tbl[[#This Row],[Closed_Date]],Dim_Date!A:A,Dim_Date!H:H)))</f>
        <v>Jun 2025</v>
      </c>
      <c r="U2265">
        <f>IF(Pipeline_tbl[[#This Row],[Closed_Date]]=0,"",Pipeline_tbl[[#This Row],[Closed_Date]]-Pipeline_tbl[[#This Row],[Created_Date]])</f>
        <v>20</v>
      </c>
    </row>
    <row r="2266" spans="1:21" ht="15" customHeight="1" x14ac:dyDescent="0.2">
      <c r="A2266" t="s">
        <v>2572</v>
      </c>
      <c r="B2266" t="s">
        <v>229</v>
      </c>
      <c r="C2266" t="s">
        <v>53</v>
      </c>
      <c r="D2266" s="49">
        <v>45804</v>
      </c>
      <c r="E2266" s="49">
        <v>45805</v>
      </c>
      <c r="F2266" s="49">
        <v>45806</v>
      </c>
      <c r="G2266" s="49">
        <v>45808</v>
      </c>
      <c r="H2266" s="49">
        <v>45809</v>
      </c>
      <c r="I2266" s="49">
        <v>45810</v>
      </c>
      <c r="J2266" t="s">
        <v>49</v>
      </c>
      <c r="K2266" s="33">
        <v>2800</v>
      </c>
      <c r="L2266" t="s">
        <v>61</v>
      </c>
      <c r="M2266" t="str">
        <f>_xlfn.XLOOKUP(Pipeline_tbl[[#This Row],[Rep_ID]],Dim_Reps!A:A,Dim_Reps!K:K)</f>
        <v>USD</v>
      </c>
      <c r="N2266" s="33">
        <f>(_xlfn.XLOOKUP(Pipeline_tbl[[#This Row],[Rate_Code_Generalized]],Lookups!A:A,Lookups!B:B))*Pipeline_tbl[[#This Row],[Pipeline_Amount_USD]]</f>
        <v>3260.0399999999995</v>
      </c>
      <c r="O2266" t="str">
        <f>_xlfn.XLOOKUP(Pipeline_tbl[[#This Row],[Rep_ID]],Dim_Reps!A:A,Dim_Reps!B:B)</f>
        <v>Liam Castro</v>
      </c>
      <c r="P2266" t="str">
        <f>_xlfn.XLOOKUP(Pipeline_tbl[[#This Row],[Rep_ID]],Dim_Reps!A:A,Dim_Reps!C:C)</f>
        <v>SDR / Inside Sales Rep</v>
      </c>
      <c r="Q2266" t="str">
        <f>_xlfn.XLOOKUP(Pipeline_tbl[[#This Row],[Rep_ID]],Dim_Reps!A:A,Dim_Reps!D:D)</f>
        <v>Inside Sales</v>
      </c>
      <c r="R2266" t="str">
        <f>_xlfn.XLOOKUP(Pipeline_tbl[[#This Row],[Rep_ID]],Dim_Reps!A:A,Dim_Reps!E:E)</f>
        <v>NAMER</v>
      </c>
      <c r="S2266" t="str">
        <f>_xlfn.XLOOKUP(Pipeline_tbl[[#This Row],[Created_Date]],Dim_Date!A:A,Dim_Date!H:H)</f>
        <v>May 2025</v>
      </c>
      <c r="T2266" t="str">
        <f>IF(Pipeline_tbl[[#This Row],[Closed_Date]]=0,"",(_xlfn.XLOOKUP(Pipeline_tbl[[#This Row],[Closed_Date]],Dim_Date!A:A,Dim_Date!H:H)))</f>
        <v>Jun 2025</v>
      </c>
      <c r="U2266">
        <f>IF(Pipeline_tbl[[#This Row],[Closed_Date]]=0,"",Pipeline_tbl[[#This Row],[Closed_Date]]-Pipeline_tbl[[#This Row],[Created_Date]])</f>
        <v>6</v>
      </c>
    </row>
    <row r="2267" spans="1:21" ht="15" customHeight="1" x14ac:dyDescent="0.2">
      <c r="A2267" t="s">
        <v>2573</v>
      </c>
      <c r="B2267" t="s">
        <v>229</v>
      </c>
      <c r="C2267" t="s">
        <v>54</v>
      </c>
      <c r="D2267" s="49">
        <v>45798</v>
      </c>
      <c r="E2267" s="49">
        <v>45800</v>
      </c>
      <c r="F2267" s="49">
        <v>45804</v>
      </c>
      <c r="G2267" s="49">
        <v>45809</v>
      </c>
      <c r="H2267" s="49">
        <v>45814</v>
      </c>
      <c r="I2267" s="49">
        <v>45817</v>
      </c>
      <c r="J2267" t="s">
        <v>47</v>
      </c>
      <c r="K2267" s="33">
        <v>3500</v>
      </c>
      <c r="M2267" t="str">
        <f>_xlfn.XLOOKUP(Pipeline_tbl[[#This Row],[Rep_ID]],Dim_Reps!A:A,Dim_Reps!K:K)</f>
        <v>USD</v>
      </c>
      <c r="N2267" s="33">
        <f>(_xlfn.XLOOKUP(Pipeline_tbl[[#This Row],[Rate_Code_Generalized]],Lookups!A:A,Lookups!B:B))*Pipeline_tbl[[#This Row],[Pipeline_Amount_USD]]</f>
        <v>4075.0499999999997</v>
      </c>
      <c r="O2267" t="str">
        <f>_xlfn.XLOOKUP(Pipeline_tbl[[#This Row],[Rep_ID]],Dim_Reps!A:A,Dim_Reps!B:B)</f>
        <v>Liam Castro</v>
      </c>
      <c r="P2267" t="str">
        <f>_xlfn.XLOOKUP(Pipeline_tbl[[#This Row],[Rep_ID]],Dim_Reps!A:A,Dim_Reps!C:C)</f>
        <v>SDR / Inside Sales Rep</v>
      </c>
      <c r="Q2267" t="str">
        <f>_xlfn.XLOOKUP(Pipeline_tbl[[#This Row],[Rep_ID]],Dim_Reps!A:A,Dim_Reps!D:D)</f>
        <v>Inside Sales</v>
      </c>
      <c r="R2267" t="str">
        <f>_xlfn.XLOOKUP(Pipeline_tbl[[#This Row],[Rep_ID]],Dim_Reps!A:A,Dim_Reps!E:E)</f>
        <v>NAMER</v>
      </c>
      <c r="S2267" t="str">
        <f>_xlfn.XLOOKUP(Pipeline_tbl[[#This Row],[Created_Date]],Dim_Date!A:A,Dim_Date!H:H)</f>
        <v>May 2025</v>
      </c>
      <c r="T2267" t="str">
        <f>IF(Pipeline_tbl[[#This Row],[Closed_Date]]=0,"",(_xlfn.XLOOKUP(Pipeline_tbl[[#This Row],[Closed_Date]],Dim_Date!A:A,Dim_Date!H:H)))</f>
        <v>Jun 2025</v>
      </c>
      <c r="U2267">
        <f>IF(Pipeline_tbl[[#This Row],[Closed_Date]]=0,"",Pipeline_tbl[[#This Row],[Closed_Date]]-Pipeline_tbl[[#This Row],[Created_Date]])</f>
        <v>19</v>
      </c>
    </row>
    <row r="2268" spans="1:21" ht="15" customHeight="1" x14ac:dyDescent="0.2">
      <c r="A2268" t="s">
        <v>2574</v>
      </c>
      <c r="B2268" t="s">
        <v>229</v>
      </c>
      <c r="C2268" t="s">
        <v>56</v>
      </c>
      <c r="D2268" s="49">
        <v>45799</v>
      </c>
      <c r="E2268" s="49">
        <v>45801</v>
      </c>
      <c r="F2268" s="49">
        <v>45805</v>
      </c>
      <c r="G2268" s="49">
        <v>45812</v>
      </c>
      <c r="H2268" s="49">
        <v>45817</v>
      </c>
      <c r="I2268" s="49">
        <v>45820</v>
      </c>
      <c r="J2268" t="s">
        <v>47</v>
      </c>
      <c r="K2268" s="33">
        <v>3300</v>
      </c>
      <c r="M2268" t="str">
        <f>_xlfn.XLOOKUP(Pipeline_tbl[[#This Row],[Rep_ID]],Dim_Reps!A:A,Dim_Reps!K:K)</f>
        <v>USD</v>
      </c>
      <c r="N2268" s="33">
        <f>(_xlfn.XLOOKUP(Pipeline_tbl[[#This Row],[Rate_Code_Generalized]],Lookups!A:A,Lookups!B:B))*Pipeline_tbl[[#This Row],[Pipeline_Amount_USD]]</f>
        <v>3842.1899999999996</v>
      </c>
      <c r="O2268" t="str">
        <f>_xlfn.XLOOKUP(Pipeline_tbl[[#This Row],[Rep_ID]],Dim_Reps!A:A,Dim_Reps!B:B)</f>
        <v>Liam Castro</v>
      </c>
      <c r="P2268" t="str">
        <f>_xlfn.XLOOKUP(Pipeline_tbl[[#This Row],[Rep_ID]],Dim_Reps!A:A,Dim_Reps!C:C)</f>
        <v>SDR / Inside Sales Rep</v>
      </c>
      <c r="Q2268" t="str">
        <f>_xlfn.XLOOKUP(Pipeline_tbl[[#This Row],[Rep_ID]],Dim_Reps!A:A,Dim_Reps!D:D)</f>
        <v>Inside Sales</v>
      </c>
      <c r="R2268" t="str">
        <f>_xlfn.XLOOKUP(Pipeline_tbl[[#This Row],[Rep_ID]],Dim_Reps!A:A,Dim_Reps!E:E)</f>
        <v>NAMER</v>
      </c>
      <c r="S2268" t="str">
        <f>_xlfn.XLOOKUP(Pipeline_tbl[[#This Row],[Created_Date]],Dim_Date!A:A,Dim_Date!H:H)</f>
        <v>May 2025</v>
      </c>
      <c r="T2268" t="str">
        <f>IF(Pipeline_tbl[[#This Row],[Closed_Date]]=0,"",(_xlfn.XLOOKUP(Pipeline_tbl[[#This Row],[Closed_Date]],Dim_Date!A:A,Dim_Date!H:H)))</f>
        <v>Jun 2025</v>
      </c>
      <c r="U2268">
        <f>IF(Pipeline_tbl[[#This Row],[Closed_Date]]=0,"",Pipeline_tbl[[#This Row],[Closed_Date]]-Pipeline_tbl[[#This Row],[Created_Date]])</f>
        <v>21</v>
      </c>
    </row>
    <row r="2269" spans="1:21" ht="15" customHeight="1" x14ac:dyDescent="0.2">
      <c r="A2269" t="s">
        <v>2575</v>
      </c>
      <c r="B2269" t="s">
        <v>229</v>
      </c>
      <c r="C2269" t="s">
        <v>52</v>
      </c>
      <c r="D2269" s="49">
        <v>45798</v>
      </c>
      <c r="E2269" s="49">
        <v>45800</v>
      </c>
      <c r="F2269" s="49">
        <v>45803</v>
      </c>
      <c r="I2269" s="49">
        <v>45815</v>
      </c>
      <c r="J2269" t="s">
        <v>49</v>
      </c>
      <c r="K2269" s="33">
        <v>2000</v>
      </c>
      <c r="L2269" t="s">
        <v>61</v>
      </c>
      <c r="M2269" t="str">
        <f>_xlfn.XLOOKUP(Pipeline_tbl[[#This Row],[Rep_ID]],Dim_Reps!A:A,Dim_Reps!K:K)</f>
        <v>USD</v>
      </c>
      <c r="N2269" s="33">
        <f>(_xlfn.XLOOKUP(Pipeline_tbl[[#This Row],[Rate_Code_Generalized]],Lookups!A:A,Lookups!B:B))*Pipeline_tbl[[#This Row],[Pipeline_Amount_USD]]</f>
        <v>2328.6</v>
      </c>
      <c r="O2269" t="str">
        <f>_xlfn.XLOOKUP(Pipeline_tbl[[#This Row],[Rep_ID]],Dim_Reps!A:A,Dim_Reps!B:B)</f>
        <v>Liam Castro</v>
      </c>
      <c r="P2269" t="str">
        <f>_xlfn.XLOOKUP(Pipeline_tbl[[#This Row],[Rep_ID]],Dim_Reps!A:A,Dim_Reps!C:C)</f>
        <v>SDR / Inside Sales Rep</v>
      </c>
      <c r="Q2269" t="str">
        <f>_xlfn.XLOOKUP(Pipeline_tbl[[#This Row],[Rep_ID]],Dim_Reps!A:A,Dim_Reps!D:D)</f>
        <v>Inside Sales</v>
      </c>
      <c r="R2269" t="str">
        <f>_xlfn.XLOOKUP(Pipeline_tbl[[#This Row],[Rep_ID]],Dim_Reps!A:A,Dim_Reps!E:E)</f>
        <v>NAMER</v>
      </c>
      <c r="S2269" t="str">
        <f>_xlfn.XLOOKUP(Pipeline_tbl[[#This Row],[Created_Date]],Dim_Date!A:A,Dim_Date!H:H)</f>
        <v>May 2025</v>
      </c>
      <c r="T2269" t="str">
        <f>IF(Pipeline_tbl[[#This Row],[Closed_Date]]=0,"",(_xlfn.XLOOKUP(Pipeline_tbl[[#This Row],[Closed_Date]],Dim_Date!A:A,Dim_Date!H:H)))</f>
        <v>Jun 2025</v>
      </c>
      <c r="U2269">
        <f>IF(Pipeline_tbl[[#This Row],[Closed_Date]]=0,"",Pipeline_tbl[[#This Row],[Closed_Date]]-Pipeline_tbl[[#This Row],[Created_Date]])</f>
        <v>17</v>
      </c>
    </row>
    <row r="2270" spans="1:21" ht="15" customHeight="1" x14ac:dyDescent="0.2">
      <c r="A2270" t="s">
        <v>2576</v>
      </c>
      <c r="B2270" t="s">
        <v>231</v>
      </c>
      <c r="C2270" t="s">
        <v>52</v>
      </c>
      <c r="D2270" s="49">
        <v>45794</v>
      </c>
      <c r="E2270" s="49">
        <v>45796</v>
      </c>
      <c r="F2270" s="49">
        <v>45799</v>
      </c>
      <c r="G2270" s="49">
        <v>45804</v>
      </c>
      <c r="H2270" s="49">
        <v>45808</v>
      </c>
      <c r="I2270" s="49">
        <v>45810</v>
      </c>
      <c r="J2270" t="s">
        <v>49</v>
      </c>
      <c r="K2270" s="33">
        <v>2900</v>
      </c>
      <c r="L2270" t="s">
        <v>60</v>
      </c>
      <c r="M2270" t="str">
        <f>_xlfn.XLOOKUP(Pipeline_tbl[[#This Row],[Rep_ID]],Dim_Reps!A:A,Dim_Reps!K:K)</f>
        <v>MXN</v>
      </c>
      <c r="N2270" s="33">
        <f>(_xlfn.XLOOKUP(Pipeline_tbl[[#This Row],[Rate_Code_Generalized]],Lookups!A:A,Lookups!B:B))*Pipeline_tbl[[#This Row],[Pipeline_Amount_USD]]</f>
        <v>57224.83</v>
      </c>
      <c r="O2270" t="str">
        <f>_xlfn.XLOOKUP(Pipeline_tbl[[#This Row],[Rep_ID]],Dim_Reps!A:A,Dim_Reps!B:B)</f>
        <v>Ben Silva</v>
      </c>
      <c r="P2270" t="str">
        <f>_xlfn.XLOOKUP(Pipeline_tbl[[#This Row],[Rep_ID]],Dim_Reps!A:A,Dim_Reps!C:C)</f>
        <v>SDR / Inside Sales Rep</v>
      </c>
      <c r="Q2270" t="str">
        <f>_xlfn.XLOOKUP(Pipeline_tbl[[#This Row],[Rep_ID]],Dim_Reps!A:A,Dim_Reps!D:D)</f>
        <v>Inside Sales</v>
      </c>
      <c r="R2270" t="str">
        <f>_xlfn.XLOOKUP(Pipeline_tbl[[#This Row],[Rep_ID]],Dim_Reps!A:A,Dim_Reps!E:E)</f>
        <v>LATAM</v>
      </c>
      <c r="S2270" t="str">
        <f>_xlfn.XLOOKUP(Pipeline_tbl[[#This Row],[Created_Date]],Dim_Date!A:A,Dim_Date!H:H)</f>
        <v>May 2025</v>
      </c>
      <c r="T2270" t="str">
        <f>IF(Pipeline_tbl[[#This Row],[Closed_Date]]=0,"",(_xlfn.XLOOKUP(Pipeline_tbl[[#This Row],[Closed_Date]],Dim_Date!A:A,Dim_Date!H:H)))</f>
        <v>Jun 2025</v>
      </c>
      <c r="U2270">
        <f>IF(Pipeline_tbl[[#This Row],[Closed_Date]]=0,"",Pipeline_tbl[[#This Row],[Closed_Date]]-Pipeline_tbl[[#This Row],[Created_Date]])</f>
        <v>16</v>
      </c>
    </row>
    <row r="2271" spans="1:21" ht="15" customHeight="1" x14ac:dyDescent="0.2">
      <c r="A2271" t="s">
        <v>2577</v>
      </c>
      <c r="B2271" t="s">
        <v>231</v>
      </c>
      <c r="C2271" t="s">
        <v>54</v>
      </c>
      <c r="D2271" s="49">
        <v>45798</v>
      </c>
      <c r="E2271" s="49">
        <v>45800</v>
      </c>
      <c r="F2271" s="49">
        <v>45804</v>
      </c>
      <c r="I2271" s="49">
        <v>45819</v>
      </c>
      <c r="J2271" t="s">
        <v>49</v>
      </c>
      <c r="K2271" s="33">
        <v>2800</v>
      </c>
      <c r="L2271" t="s">
        <v>60</v>
      </c>
      <c r="M2271" t="str">
        <f>_xlfn.XLOOKUP(Pipeline_tbl[[#This Row],[Rep_ID]],Dim_Reps!A:A,Dim_Reps!K:K)</f>
        <v>MXN</v>
      </c>
      <c r="N2271" s="33">
        <f>(_xlfn.XLOOKUP(Pipeline_tbl[[#This Row],[Rate_Code_Generalized]],Lookups!A:A,Lookups!B:B))*Pipeline_tbl[[#This Row],[Pipeline_Amount_USD]]</f>
        <v>55251.560000000005</v>
      </c>
      <c r="O2271" t="str">
        <f>_xlfn.XLOOKUP(Pipeline_tbl[[#This Row],[Rep_ID]],Dim_Reps!A:A,Dim_Reps!B:B)</f>
        <v>Ben Silva</v>
      </c>
      <c r="P2271" t="str">
        <f>_xlfn.XLOOKUP(Pipeline_tbl[[#This Row],[Rep_ID]],Dim_Reps!A:A,Dim_Reps!C:C)</f>
        <v>SDR / Inside Sales Rep</v>
      </c>
      <c r="Q2271" t="str">
        <f>_xlfn.XLOOKUP(Pipeline_tbl[[#This Row],[Rep_ID]],Dim_Reps!A:A,Dim_Reps!D:D)</f>
        <v>Inside Sales</v>
      </c>
      <c r="R2271" t="str">
        <f>_xlfn.XLOOKUP(Pipeline_tbl[[#This Row],[Rep_ID]],Dim_Reps!A:A,Dim_Reps!E:E)</f>
        <v>LATAM</v>
      </c>
      <c r="S2271" t="str">
        <f>_xlfn.XLOOKUP(Pipeline_tbl[[#This Row],[Created_Date]],Dim_Date!A:A,Dim_Date!H:H)</f>
        <v>May 2025</v>
      </c>
      <c r="T2271" t="str">
        <f>IF(Pipeline_tbl[[#This Row],[Closed_Date]]=0,"",(_xlfn.XLOOKUP(Pipeline_tbl[[#This Row],[Closed_Date]],Dim_Date!A:A,Dim_Date!H:H)))</f>
        <v>Jun 2025</v>
      </c>
      <c r="U2271">
        <f>IF(Pipeline_tbl[[#This Row],[Closed_Date]]=0,"",Pipeline_tbl[[#This Row],[Closed_Date]]-Pipeline_tbl[[#This Row],[Created_Date]])</f>
        <v>21</v>
      </c>
    </row>
    <row r="2272" spans="1:21" ht="15" customHeight="1" x14ac:dyDescent="0.2">
      <c r="A2272" t="s">
        <v>2578</v>
      </c>
      <c r="B2272" t="s">
        <v>231</v>
      </c>
      <c r="C2272" t="s">
        <v>54</v>
      </c>
      <c r="D2272" s="49">
        <v>45804</v>
      </c>
      <c r="E2272" s="49">
        <v>45805</v>
      </c>
      <c r="F2272" s="49">
        <v>45808</v>
      </c>
      <c r="G2272" s="49">
        <v>45811</v>
      </c>
      <c r="I2272" s="49">
        <v>45816</v>
      </c>
      <c r="J2272" t="s">
        <v>49</v>
      </c>
      <c r="K2272" s="33">
        <v>4600</v>
      </c>
      <c r="L2272" t="s">
        <v>64</v>
      </c>
      <c r="M2272" t="str">
        <f>_xlfn.XLOOKUP(Pipeline_tbl[[#This Row],[Rep_ID]],Dim_Reps!A:A,Dim_Reps!K:K)</f>
        <v>MXN</v>
      </c>
      <c r="N2272" s="33">
        <f>(_xlfn.XLOOKUP(Pipeline_tbl[[#This Row],[Rate_Code_Generalized]],Lookups!A:A,Lookups!B:B))*Pipeline_tbl[[#This Row],[Pipeline_Amount_USD]]</f>
        <v>90770.420000000013</v>
      </c>
      <c r="O2272" t="str">
        <f>_xlfn.XLOOKUP(Pipeline_tbl[[#This Row],[Rep_ID]],Dim_Reps!A:A,Dim_Reps!B:B)</f>
        <v>Ben Silva</v>
      </c>
      <c r="P2272" t="str">
        <f>_xlfn.XLOOKUP(Pipeline_tbl[[#This Row],[Rep_ID]],Dim_Reps!A:A,Dim_Reps!C:C)</f>
        <v>SDR / Inside Sales Rep</v>
      </c>
      <c r="Q2272" t="str">
        <f>_xlfn.XLOOKUP(Pipeline_tbl[[#This Row],[Rep_ID]],Dim_Reps!A:A,Dim_Reps!D:D)</f>
        <v>Inside Sales</v>
      </c>
      <c r="R2272" t="str">
        <f>_xlfn.XLOOKUP(Pipeline_tbl[[#This Row],[Rep_ID]],Dim_Reps!A:A,Dim_Reps!E:E)</f>
        <v>LATAM</v>
      </c>
      <c r="S2272" t="str">
        <f>_xlfn.XLOOKUP(Pipeline_tbl[[#This Row],[Created_Date]],Dim_Date!A:A,Dim_Date!H:H)</f>
        <v>May 2025</v>
      </c>
      <c r="T2272" t="str">
        <f>IF(Pipeline_tbl[[#This Row],[Closed_Date]]=0,"",(_xlfn.XLOOKUP(Pipeline_tbl[[#This Row],[Closed_Date]],Dim_Date!A:A,Dim_Date!H:H)))</f>
        <v>Jun 2025</v>
      </c>
      <c r="U2272">
        <f>IF(Pipeline_tbl[[#This Row],[Closed_Date]]=0,"",Pipeline_tbl[[#This Row],[Closed_Date]]-Pipeline_tbl[[#This Row],[Created_Date]])</f>
        <v>12</v>
      </c>
    </row>
    <row r="2273" spans="1:21" ht="15" customHeight="1" x14ac:dyDescent="0.2">
      <c r="A2273" t="s">
        <v>2579</v>
      </c>
      <c r="B2273" t="s">
        <v>231</v>
      </c>
      <c r="C2273" t="s">
        <v>54</v>
      </c>
      <c r="D2273" s="49">
        <v>45796</v>
      </c>
      <c r="E2273" s="49">
        <v>45798</v>
      </c>
      <c r="F2273" s="49">
        <v>45801</v>
      </c>
      <c r="G2273" s="49">
        <v>45805</v>
      </c>
      <c r="H2273" s="49">
        <v>45809</v>
      </c>
      <c r="I2273" s="49">
        <v>45811</v>
      </c>
      <c r="J2273" t="s">
        <v>47</v>
      </c>
      <c r="K2273" s="33">
        <v>5600</v>
      </c>
      <c r="M2273" t="str">
        <f>_xlfn.XLOOKUP(Pipeline_tbl[[#This Row],[Rep_ID]],Dim_Reps!A:A,Dim_Reps!K:K)</f>
        <v>MXN</v>
      </c>
      <c r="N2273" s="33">
        <f>(_xlfn.XLOOKUP(Pipeline_tbl[[#This Row],[Rate_Code_Generalized]],Lookups!A:A,Lookups!B:B))*Pipeline_tbl[[#This Row],[Pipeline_Amount_USD]]</f>
        <v>110503.12000000001</v>
      </c>
      <c r="O2273" t="str">
        <f>_xlfn.XLOOKUP(Pipeline_tbl[[#This Row],[Rep_ID]],Dim_Reps!A:A,Dim_Reps!B:B)</f>
        <v>Ben Silva</v>
      </c>
      <c r="P2273" t="str">
        <f>_xlfn.XLOOKUP(Pipeline_tbl[[#This Row],[Rep_ID]],Dim_Reps!A:A,Dim_Reps!C:C)</f>
        <v>SDR / Inside Sales Rep</v>
      </c>
      <c r="Q2273" t="str">
        <f>_xlfn.XLOOKUP(Pipeline_tbl[[#This Row],[Rep_ID]],Dim_Reps!A:A,Dim_Reps!D:D)</f>
        <v>Inside Sales</v>
      </c>
      <c r="R2273" t="str">
        <f>_xlfn.XLOOKUP(Pipeline_tbl[[#This Row],[Rep_ID]],Dim_Reps!A:A,Dim_Reps!E:E)</f>
        <v>LATAM</v>
      </c>
      <c r="S2273" t="str">
        <f>_xlfn.XLOOKUP(Pipeline_tbl[[#This Row],[Created_Date]],Dim_Date!A:A,Dim_Date!H:H)</f>
        <v>May 2025</v>
      </c>
      <c r="T2273" t="str">
        <f>IF(Pipeline_tbl[[#This Row],[Closed_Date]]=0,"",(_xlfn.XLOOKUP(Pipeline_tbl[[#This Row],[Closed_Date]],Dim_Date!A:A,Dim_Date!H:H)))</f>
        <v>Jun 2025</v>
      </c>
      <c r="U2273">
        <f>IF(Pipeline_tbl[[#This Row],[Closed_Date]]=0,"",Pipeline_tbl[[#This Row],[Closed_Date]]-Pipeline_tbl[[#This Row],[Created_Date]])</f>
        <v>15</v>
      </c>
    </row>
    <row r="2274" spans="1:21" ht="15" customHeight="1" x14ac:dyDescent="0.2">
      <c r="A2274" t="s">
        <v>2580</v>
      </c>
      <c r="B2274" t="s">
        <v>231</v>
      </c>
      <c r="C2274" t="s">
        <v>52</v>
      </c>
      <c r="D2274" s="49">
        <v>45796</v>
      </c>
      <c r="E2274" s="49">
        <v>45799</v>
      </c>
      <c r="F2274" s="49">
        <v>45804</v>
      </c>
      <c r="I2274" s="49">
        <v>45822</v>
      </c>
      <c r="J2274" t="s">
        <v>49</v>
      </c>
      <c r="K2274" s="33">
        <v>2100</v>
      </c>
      <c r="L2274" t="s">
        <v>61</v>
      </c>
      <c r="M2274" t="str">
        <f>_xlfn.XLOOKUP(Pipeline_tbl[[#This Row],[Rep_ID]],Dim_Reps!A:A,Dim_Reps!K:K)</f>
        <v>MXN</v>
      </c>
      <c r="N2274" s="33">
        <f>(_xlfn.XLOOKUP(Pipeline_tbl[[#This Row],[Rate_Code_Generalized]],Lookups!A:A,Lookups!B:B))*Pipeline_tbl[[#This Row],[Pipeline_Amount_USD]]</f>
        <v>41438.670000000006</v>
      </c>
      <c r="O2274" t="str">
        <f>_xlfn.XLOOKUP(Pipeline_tbl[[#This Row],[Rep_ID]],Dim_Reps!A:A,Dim_Reps!B:B)</f>
        <v>Ben Silva</v>
      </c>
      <c r="P2274" t="str">
        <f>_xlfn.XLOOKUP(Pipeline_tbl[[#This Row],[Rep_ID]],Dim_Reps!A:A,Dim_Reps!C:C)</f>
        <v>SDR / Inside Sales Rep</v>
      </c>
      <c r="Q2274" t="str">
        <f>_xlfn.XLOOKUP(Pipeline_tbl[[#This Row],[Rep_ID]],Dim_Reps!A:A,Dim_Reps!D:D)</f>
        <v>Inside Sales</v>
      </c>
      <c r="R2274" t="str">
        <f>_xlfn.XLOOKUP(Pipeline_tbl[[#This Row],[Rep_ID]],Dim_Reps!A:A,Dim_Reps!E:E)</f>
        <v>LATAM</v>
      </c>
      <c r="S2274" t="str">
        <f>_xlfn.XLOOKUP(Pipeline_tbl[[#This Row],[Created_Date]],Dim_Date!A:A,Dim_Date!H:H)</f>
        <v>May 2025</v>
      </c>
      <c r="T2274" t="str">
        <f>IF(Pipeline_tbl[[#This Row],[Closed_Date]]=0,"",(_xlfn.XLOOKUP(Pipeline_tbl[[#This Row],[Closed_Date]],Dim_Date!A:A,Dim_Date!H:H)))</f>
        <v>Jun 2025</v>
      </c>
      <c r="U2274">
        <f>IF(Pipeline_tbl[[#This Row],[Closed_Date]]=0,"",Pipeline_tbl[[#This Row],[Closed_Date]]-Pipeline_tbl[[#This Row],[Created_Date]])</f>
        <v>26</v>
      </c>
    </row>
    <row r="2275" spans="1:21" ht="15" customHeight="1" x14ac:dyDescent="0.2">
      <c r="A2275" t="s">
        <v>2581</v>
      </c>
      <c r="B2275" t="s">
        <v>263</v>
      </c>
      <c r="C2275" t="s">
        <v>52</v>
      </c>
      <c r="D2275" s="49">
        <v>45778</v>
      </c>
      <c r="E2275" s="49">
        <v>45783</v>
      </c>
      <c r="F2275" s="49">
        <v>45794</v>
      </c>
      <c r="G2275" s="49">
        <v>45809</v>
      </c>
      <c r="I2275" s="49">
        <v>45830</v>
      </c>
      <c r="J2275" t="s">
        <v>49</v>
      </c>
      <c r="K2275" s="33">
        <v>8200</v>
      </c>
      <c r="L2275" t="s">
        <v>60</v>
      </c>
      <c r="M2275" t="str">
        <f>_xlfn.XLOOKUP(Pipeline_tbl[[#This Row],[Rep_ID]],Dim_Reps!A:A,Dim_Reps!K:K)</f>
        <v>USD</v>
      </c>
      <c r="N2275" s="33">
        <f>(_xlfn.XLOOKUP(Pipeline_tbl[[#This Row],[Rate_Code_Generalized]],Lookups!A:A,Lookups!B:B))*Pipeline_tbl[[#This Row],[Pipeline_Amount_USD]]</f>
        <v>9547.2599999999984</v>
      </c>
      <c r="O2275" t="str">
        <f>_xlfn.XLOOKUP(Pipeline_tbl[[#This Row],[Rep_ID]],Dim_Reps!A:A,Dim_Reps!B:B)</f>
        <v>Morgan Weber</v>
      </c>
      <c r="P2275" t="str">
        <f>_xlfn.XLOOKUP(Pipeline_tbl[[#This Row],[Rep_ID]],Dim_Reps!A:A,Dim_Reps!C:C)</f>
        <v>Mid-Market AE</v>
      </c>
      <c r="Q2275" t="str">
        <f>_xlfn.XLOOKUP(Pipeline_tbl[[#This Row],[Rep_ID]],Dim_Reps!A:A,Dim_Reps!D:D)</f>
        <v>Mid-Market</v>
      </c>
      <c r="R2275" t="str">
        <f>_xlfn.XLOOKUP(Pipeline_tbl[[#This Row],[Rep_ID]],Dim_Reps!A:A,Dim_Reps!E:E)</f>
        <v>NAMER</v>
      </c>
      <c r="S2275" t="str">
        <f>_xlfn.XLOOKUP(Pipeline_tbl[[#This Row],[Created_Date]],Dim_Date!A:A,Dim_Date!H:H)</f>
        <v>May 2025</v>
      </c>
      <c r="T2275" t="str">
        <f>IF(Pipeline_tbl[[#This Row],[Closed_Date]]=0,"",(_xlfn.XLOOKUP(Pipeline_tbl[[#This Row],[Closed_Date]],Dim_Date!A:A,Dim_Date!H:H)))</f>
        <v>Jun 2025</v>
      </c>
      <c r="U2275">
        <f>IF(Pipeline_tbl[[#This Row],[Closed_Date]]=0,"",Pipeline_tbl[[#This Row],[Closed_Date]]-Pipeline_tbl[[#This Row],[Created_Date]])</f>
        <v>52</v>
      </c>
    </row>
    <row r="2276" spans="1:21" ht="15" customHeight="1" x14ac:dyDescent="0.2">
      <c r="A2276" t="s">
        <v>2582</v>
      </c>
      <c r="B2276" t="s">
        <v>265</v>
      </c>
      <c r="C2276" t="s">
        <v>52</v>
      </c>
      <c r="D2276" s="49">
        <v>45783</v>
      </c>
      <c r="E2276" s="49">
        <v>45788</v>
      </c>
      <c r="I2276" s="49">
        <v>45829</v>
      </c>
      <c r="J2276" t="s">
        <v>49</v>
      </c>
      <c r="K2276" s="33">
        <v>23200</v>
      </c>
      <c r="L2276" t="s">
        <v>60</v>
      </c>
      <c r="M2276" t="str">
        <f>_xlfn.XLOOKUP(Pipeline_tbl[[#This Row],[Rep_ID]],Dim_Reps!A:A,Dim_Reps!K:K)</f>
        <v>EUR</v>
      </c>
      <c r="N2276" s="33">
        <f>(_xlfn.XLOOKUP(Pipeline_tbl[[#This Row],[Rate_Code_Generalized]],Lookups!A:A,Lookups!B:B))*Pipeline_tbl[[#This Row],[Pipeline_Amount_USD]]</f>
        <v>23200</v>
      </c>
      <c r="O2276" t="str">
        <f>_xlfn.XLOOKUP(Pipeline_tbl[[#This Row],[Rep_ID]],Dim_Reps!A:A,Dim_Reps!B:B)</f>
        <v>Erik Duarte</v>
      </c>
      <c r="P2276" t="str">
        <f>_xlfn.XLOOKUP(Pipeline_tbl[[#This Row],[Rep_ID]],Dim_Reps!A:A,Dim_Reps!C:C)</f>
        <v>Mid-Market AE</v>
      </c>
      <c r="Q2276" t="str">
        <f>_xlfn.XLOOKUP(Pipeline_tbl[[#This Row],[Rep_ID]],Dim_Reps!A:A,Dim_Reps!D:D)</f>
        <v>Mid-Market</v>
      </c>
      <c r="R2276" t="str">
        <f>_xlfn.XLOOKUP(Pipeline_tbl[[#This Row],[Rep_ID]],Dim_Reps!A:A,Dim_Reps!E:E)</f>
        <v>EMEA</v>
      </c>
      <c r="S2276" t="str">
        <f>_xlfn.XLOOKUP(Pipeline_tbl[[#This Row],[Created_Date]],Dim_Date!A:A,Dim_Date!H:H)</f>
        <v>May 2025</v>
      </c>
      <c r="T2276" t="str">
        <f>IF(Pipeline_tbl[[#This Row],[Closed_Date]]=0,"",(_xlfn.XLOOKUP(Pipeline_tbl[[#This Row],[Closed_Date]],Dim_Date!A:A,Dim_Date!H:H)))</f>
        <v>Jun 2025</v>
      </c>
      <c r="U2276">
        <f>IF(Pipeline_tbl[[#This Row],[Closed_Date]]=0,"",Pipeline_tbl[[#This Row],[Closed_Date]]-Pipeline_tbl[[#This Row],[Created_Date]])</f>
        <v>46</v>
      </c>
    </row>
    <row r="2277" spans="1:21" ht="15" customHeight="1" x14ac:dyDescent="0.2">
      <c r="A2277" t="s">
        <v>2583</v>
      </c>
      <c r="B2277" t="s">
        <v>265</v>
      </c>
      <c r="C2277" t="s">
        <v>52</v>
      </c>
      <c r="D2277" s="49">
        <v>45800</v>
      </c>
      <c r="E2277" s="49">
        <v>45803</v>
      </c>
      <c r="F2277" s="49">
        <v>45809</v>
      </c>
      <c r="G2277" s="49">
        <v>45817</v>
      </c>
      <c r="H2277" s="49">
        <v>45825</v>
      </c>
      <c r="I2277" s="49">
        <v>45829</v>
      </c>
      <c r="J2277" t="s">
        <v>47</v>
      </c>
      <c r="K2277" s="33">
        <v>31600</v>
      </c>
      <c r="M2277" t="str">
        <f>_xlfn.XLOOKUP(Pipeline_tbl[[#This Row],[Rep_ID]],Dim_Reps!A:A,Dim_Reps!K:K)</f>
        <v>EUR</v>
      </c>
      <c r="N2277" s="33">
        <f>(_xlfn.XLOOKUP(Pipeline_tbl[[#This Row],[Rate_Code_Generalized]],Lookups!A:A,Lookups!B:B))*Pipeline_tbl[[#This Row],[Pipeline_Amount_USD]]</f>
        <v>31600</v>
      </c>
      <c r="O2277" t="str">
        <f>_xlfn.XLOOKUP(Pipeline_tbl[[#This Row],[Rep_ID]],Dim_Reps!A:A,Dim_Reps!B:B)</f>
        <v>Erik Duarte</v>
      </c>
      <c r="P2277" t="str">
        <f>_xlfn.XLOOKUP(Pipeline_tbl[[#This Row],[Rep_ID]],Dim_Reps!A:A,Dim_Reps!C:C)</f>
        <v>Mid-Market AE</v>
      </c>
      <c r="Q2277" t="str">
        <f>_xlfn.XLOOKUP(Pipeline_tbl[[#This Row],[Rep_ID]],Dim_Reps!A:A,Dim_Reps!D:D)</f>
        <v>Mid-Market</v>
      </c>
      <c r="R2277" t="str">
        <f>_xlfn.XLOOKUP(Pipeline_tbl[[#This Row],[Rep_ID]],Dim_Reps!A:A,Dim_Reps!E:E)</f>
        <v>EMEA</v>
      </c>
      <c r="S2277" t="str">
        <f>_xlfn.XLOOKUP(Pipeline_tbl[[#This Row],[Created_Date]],Dim_Date!A:A,Dim_Date!H:H)</f>
        <v>May 2025</v>
      </c>
      <c r="T2277" t="str">
        <f>IF(Pipeline_tbl[[#This Row],[Closed_Date]]=0,"",(_xlfn.XLOOKUP(Pipeline_tbl[[#This Row],[Closed_Date]],Dim_Date!A:A,Dim_Date!H:H)))</f>
        <v>Jun 2025</v>
      </c>
      <c r="U2277">
        <f>IF(Pipeline_tbl[[#This Row],[Closed_Date]]=0,"",Pipeline_tbl[[#This Row],[Closed_Date]]-Pipeline_tbl[[#This Row],[Created_Date]])</f>
        <v>29</v>
      </c>
    </row>
    <row r="2278" spans="1:21" ht="15" customHeight="1" x14ac:dyDescent="0.2">
      <c r="A2278" t="s">
        <v>2584</v>
      </c>
      <c r="B2278" t="s">
        <v>233</v>
      </c>
      <c r="C2278" t="s">
        <v>52</v>
      </c>
      <c r="D2278" s="49">
        <v>45804</v>
      </c>
      <c r="E2278" s="49">
        <v>45806</v>
      </c>
      <c r="F2278" s="49">
        <v>45809</v>
      </c>
      <c r="I2278" s="49">
        <v>45820</v>
      </c>
      <c r="J2278" t="s">
        <v>49</v>
      </c>
      <c r="K2278" s="33">
        <v>3900</v>
      </c>
      <c r="L2278" t="s">
        <v>60</v>
      </c>
      <c r="M2278" t="str">
        <f>_xlfn.XLOOKUP(Pipeline_tbl[[#This Row],[Rep_ID]],Dim_Reps!A:A,Dim_Reps!K:K)</f>
        <v>MXN</v>
      </c>
      <c r="N2278" s="33">
        <f>(_xlfn.XLOOKUP(Pipeline_tbl[[#This Row],[Rate_Code_Generalized]],Lookups!A:A,Lookups!B:B))*Pipeline_tbl[[#This Row],[Pipeline_Amount_USD]]</f>
        <v>76957.53</v>
      </c>
      <c r="O2278" t="str">
        <f>_xlfn.XLOOKUP(Pipeline_tbl[[#This Row],[Rep_ID]],Dim_Reps!A:A,Dim_Reps!B:B)</f>
        <v>Lucas Duarte</v>
      </c>
      <c r="P2278" t="str">
        <f>_xlfn.XLOOKUP(Pipeline_tbl[[#This Row],[Rep_ID]],Dim_Reps!A:A,Dim_Reps!C:C)</f>
        <v>SDR / Inside Sales Rep</v>
      </c>
      <c r="Q2278" t="str">
        <f>_xlfn.XLOOKUP(Pipeline_tbl[[#This Row],[Rep_ID]],Dim_Reps!A:A,Dim_Reps!D:D)</f>
        <v>Inside Sales</v>
      </c>
      <c r="R2278" t="str">
        <f>_xlfn.XLOOKUP(Pipeline_tbl[[#This Row],[Rep_ID]],Dim_Reps!A:A,Dim_Reps!E:E)</f>
        <v>LATAM</v>
      </c>
      <c r="S2278" t="str">
        <f>_xlfn.XLOOKUP(Pipeline_tbl[[#This Row],[Created_Date]],Dim_Date!A:A,Dim_Date!H:H)</f>
        <v>May 2025</v>
      </c>
      <c r="T2278" t="str">
        <f>IF(Pipeline_tbl[[#This Row],[Closed_Date]]=0,"",(_xlfn.XLOOKUP(Pipeline_tbl[[#This Row],[Closed_Date]],Dim_Date!A:A,Dim_Date!H:H)))</f>
        <v>Jun 2025</v>
      </c>
      <c r="U2278">
        <f>IF(Pipeline_tbl[[#This Row],[Closed_Date]]=0,"",Pipeline_tbl[[#This Row],[Closed_Date]]-Pipeline_tbl[[#This Row],[Created_Date]])</f>
        <v>16</v>
      </c>
    </row>
    <row r="2279" spans="1:21" ht="15" customHeight="1" x14ac:dyDescent="0.2">
      <c r="A2279" t="s">
        <v>2585</v>
      </c>
      <c r="B2279" t="s">
        <v>233</v>
      </c>
      <c r="C2279" t="s">
        <v>52</v>
      </c>
      <c r="D2279" s="49">
        <v>45804</v>
      </c>
      <c r="E2279" s="49">
        <v>45806</v>
      </c>
      <c r="F2279" s="49">
        <v>45810</v>
      </c>
      <c r="G2279" s="49">
        <v>45816</v>
      </c>
      <c r="H2279" s="49">
        <v>45821</v>
      </c>
      <c r="I2279" s="49">
        <v>45824</v>
      </c>
      <c r="J2279" t="s">
        <v>47</v>
      </c>
      <c r="K2279" s="33">
        <v>2600</v>
      </c>
      <c r="M2279" t="str">
        <f>_xlfn.XLOOKUP(Pipeline_tbl[[#This Row],[Rep_ID]],Dim_Reps!A:A,Dim_Reps!K:K)</f>
        <v>MXN</v>
      </c>
      <c r="N2279" s="33">
        <f>(_xlfn.XLOOKUP(Pipeline_tbl[[#This Row],[Rate_Code_Generalized]],Lookups!A:A,Lookups!B:B))*Pipeline_tbl[[#This Row],[Pipeline_Amount_USD]]</f>
        <v>51305.020000000004</v>
      </c>
      <c r="O2279" t="str">
        <f>_xlfn.XLOOKUP(Pipeline_tbl[[#This Row],[Rep_ID]],Dim_Reps!A:A,Dim_Reps!B:B)</f>
        <v>Lucas Duarte</v>
      </c>
      <c r="P2279" t="str">
        <f>_xlfn.XLOOKUP(Pipeline_tbl[[#This Row],[Rep_ID]],Dim_Reps!A:A,Dim_Reps!C:C)</f>
        <v>SDR / Inside Sales Rep</v>
      </c>
      <c r="Q2279" t="str">
        <f>_xlfn.XLOOKUP(Pipeline_tbl[[#This Row],[Rep_ID]],Dim_Reps!A:A,Dim_Reps!D:D)</f>
        <v>Inside Sales</v>
      </c>
      <c r="R2279" t="str">
        <f>_xlfn.XLOOKUP(Pipeline_tbl[[#This Row],[Rep_ID]],Dim_Reps!A:A,Dim_Reps!E:E)</f>
        <v>LATAM</v>
      </c>
      <c r="S2279" t="str">
        <f>_xlfn.XLOOKUP(Pipeline_tbl[[#This Row],[Created_Date]],Dim_Date!A:A,Dim_Date!H:H)</f>
        <v>May 2025</v>
      </c>
      <c r="T2279" t="str">
        <f>IF(Pipeline_tbl[[#This Row],[Closed_Date]]=0,"",(_xlfn.XLOOKUP(Pipeline_tbl[[#This Row],[Closed_Date]],Dim_Date!A:A,Dim_Date!H:H)))</f>
        <v>Jun 2025</v>
      </c>
      <c r="U2279">
        <f>IF(Pipeline_tbl[[#This Row],[Closed_Date]]=0,"",Pipeline_tbl[[#This Row],[Closed_Date]]-Pipeline_tbl[[#This Row],[Created_Date]])</f>
        <v>20</v>
      </c>
    </row>
    <row r="2280" spans="1:21" ht="15" customHeight="1" x14ac:dyDescent="0.2">
      <c r="A2280" t="s">
        <v>2586</v>
      </c>
      <c r="B2280" t="s">
        <v>233</v>
      </c>
      <c r="C2280" t="s">
        <v>52</v>
      </c>
      <c r="D2280" s="49">
        <v>45794</v>
      </c>
      <c r="E2280" s="49">
        <v>45796</v>
      </c>
      <c r="F2280" s="49">
        <v>45801</v>
      </c>
      <c r="G2280" s="49">
        <v>45808</v>
      </c>
      <c r="H2280" s="49">
        <v>45814</v>
      </c>
      <c r="I2280" s="49">
        <v>45817</v>
      </c>
      <c r="J2280" t="s">
        <v>47</v>
      </c>
      <c r="K2280" s="33">
        <v>2800</v>
      </c>
      <c r="M2280" t="str">
        <f>_xlfn.XLOOKUP(Pipeline_tbl[[#This Row],[Rep_ID]],Dim_Reps!A:A,Dim_Reps!K:K)</f>
        <v>MXN</v>
      </c>
      <c r="N2280" s="33">
        <f>(_xlfn.XLOOKUP(Pipeline_tbl[[#This Row],[Rate_Code_Generalized]],Lookups!A:A,Lookups!B:B))*Pipeline_tbl[[#This Row],[Pipeline_Amount_USD]]</f>
        <v>55251.560000000005</v>
      </c>
      <c r="O2280" t="str">
        <f>_xlfn.XLOOKUP(Pipeline_tbl[[#This Row],[Rep_ID]],Dim_Reps!A:A,Dim_Reps!B:B)</f>
        <v>Lucas Duarte</v>
      </c>
      <c r="P2280" t="str">
        <f>_xlfn.XLOOKUP(Pipeline_tbl[[#This Row],[Rep_ID]],Dim_Reps!A:A,Dim_Reps!C:C)</f>
        <v>SDR / Inside Sales Rep</v>
      </c>
      <c r="Q2280" t="str">
        <f>_xlfn.XLOOKUP(Pipeline_tbl[[#This Row],[Rep_ID]],Dim_Reps!A:A,Dim_Reps!D:D)</f>
        <v>Inside Sales</v>
      </c>
      <c r="R2280" t="str">
        <f>_xlfn.XLOOKUP(Pipeline_tbl[[#This Row],[Rep_ID]],Dim_Reps!A:A,Dim_Reps!E:E)</f>
        <v>LATAM</v>
      </c>
      <c r="S2280" t="str">
        <f>_xlfn.XLOOKUP(Pipeline_tbl[[#This Row],[Created_Date]],Dim_Date!A:A,Dim_Date!H:H)</f>
        <v>May 2025</v>
      </c>
      <c r="T2280" t="str">
        <f>IF(Pipeline_tbl[[#This Row],[Closed_Date]]=0,"",(_xlfn.XLOOKUP(Pipeline_tbl[[#This Row],[Closed_Date]],Dim_Date!A:A,Dim_Date!H:H)))</f>
        <v>Jun 2025</v>
      </c>
      <c r="U2280">
        <f>IF(Pipeline_tbl[[#This Row],[Closed_Date]]=0,"",Pipeline_tbl[[#This Row],[Closed_Date]]-Pipeline_tbl[[#This Row],[Created_Date]])</f>
        <v>23</v>
      </c>
    </row>
    <row r="2281" spans="1:21" ht="15" customHeight="1" x14ac:dyDescent="0.2">
      <c r="A2281" t="s">
        <v>2587</v>
      </c>
      <c r="B2281" t="s">
        <v>233</v>
      </c>
      <c r="C2281" t="s">
        <v>53</v>
      </c>
      <c r="D2281" s="49">
        <v>45791</v>
      </c>
      <c r="E2281" s="49">
        <v>45793</v>
      </c>
      <c r="F2281" s="49">
        <v>45797</v>
      </c>
      <c r="G2281" s="49">
        <v>45804</v>
      </c>
      <c r="H2281" s="49">
        <v>45809</v>
      </c>
      <c r="I2281" s="49">
        <v>45812</v>
      </c>
      <c r="J2281" t="s">
        <v>47</v>
      </c>
      <c r="K2281" s="33">
        <v>5300</v>
      </c>
      <c r="M2281" t="str">
        <f>_xlfn.XLOOKUP(Pipeline_tbl[[#This Row],[Rep_ID]],Dim_Reps!A:A,Dim_Reps!K:K)</f>
        <v>MXN</v>
      </c>
      <c r="N2281" s="33">
        <f>(_xlfn.XLOOKUP(Pipeline_tbl[[#This Row],[Rate_Code_Generalized]],Lookups!A:A,Lookups!B:B))*Pipeline_tbl[[#This Row],[Pipeline_Amount_USD]]</f>
        <v>104583.31000000001</v>
      </c>
      <c r="O2281" t="str">
        <f>_xlfn.XLOOKUP(Pipeline_tbl[[#This Row],[Rep_ID]],Dim_Reps!A:A,Dim_Reps!B:B)</f>
        <v>Lucas Duarte</v>
      </c>
      <c r="P2281" t="str">
        <f>_xlfn.XLOOKUP(Pipeline_tbl[[#This Row],[Rep_ID]],Dim_Reps!A:A,Dim_Reps!C:C)</f>
        <v>SDR / Inside Sales Rep</v>
      </c>
      <c r="Q2281" t="str">
        <f>_xlfn.XLOOKUP(Pipeline_tbl[[#This Row],[Rep_ID]],Dim_Reps!A:A,Dim_Reps!D:D)</f>
        <v>Inside Sales</v>
      </c>
      <c r="R2281" t="str">
        <f>_xlfn.XLOOKUP(Pipeline_tbl[[#This Row],[Rep_ID]],Dim_Reps!A:A,Dim_Reps!E:E)</f>
        <v>LATAM</v>
      </c>
      <c r="S2281" t="str">
        <f>_xlfn.XLOOKUP(Pipeline_tbl[[#This Row],[Created_Date]],Dim_Date!A:A,Dim_Date!H:H)</f>
        <v>May 2025</v>
      </c>
      <c r="T2281" t="str">
        <f>IF(Pipeline_tbl[[#This Row],[Closed_Date]]=0,"",(_xlfn.XLOOKUP(Pipeline_tbl[[#This Row],[Closed_Date]],Dim_Date!A:A,Dim_Date!H:H)))</f>
        <v>Jun 2025</v>
      </c>
      <c r="U2281">
        <f>IF(Pipeline_tbl[[#This Row],[Closed_Date]]=0,"",Pipeline_tbl[[#This Row],[Closed_Date]]-Pipeline_tbl[[#This Row],[Created_Date]])</f>
        <v>21</v>
      </c>
    </row>
    <row r="2282" spans="1:21" ht="15" customHeight="1" x14ac:dyDescent="0.2">
      <c r="A2282" t="s">
        <v>2588</v>
      </c>
      <c r="B2282" t="s">
        <v>233</v>
      </c>
      <c r="C2282" t="s">
        <v>55</v>
      </c>
      <c r="D2282" s="49">
        <v>45808</v>
      </c>
      <c r="E2282" s="49">
        <v>45810</v>
      </c>
      <c r="F2282" s="49">
        <v>45813</v>
      </c>
      <c r="G2282" s="49">
        <v>45818</v>
      </c>
      <c r="I2282" s="49">
        <v>45825</v>
      </c>
      <c r="J2282" t="s">
        <v>49</v>
      </c>
      <c r="K2282" s="33">
        <v>2300</v>
      </c>
      <c r="L2282" t="s">
        <v>61</v>
      </c>
      <c r="M2282" t="str">
        <f>_xlfn.XLOOKUP(Pipeline_tbl[[#This Row],[Rep_ID]],Dim_Reps!A:A,Dim_Reps!K:K)</f>
        <v>MXN</v>
      </c>
      <c r="N2282" s="33">
        <f>(_xlfn.XLOOKUP(Pipeline_tbl[[#This Row],[Rate_Code_Generalized]],Lookups!A:A,Lookups!B:B))*Pipeline_tbl[[#This Row],[Pipeline_Amount_USD]]</f>
        <v>45385.210000000006</v>
      </c>
      <c r="O2282" t="str">
        <f>_xlfn.XLOOKUP(Pipeline_tbl[[#This Row],[Rep_ID]],Dim_Reps!A:A,Dim_Reps!B:B)</f>
        <v>Lucas Duarte</v>
      </c>
      <c r="P2282" t="str">
        <f>_xlfn.XLOOKUP(Pipeline_tbl[[#This Row],[Rep_ID]],Dim_Reps!A:A,Dim_Reps!C:C)</f>
        <v>SDR / Inside Sales Rep</v>
      </c>
      <c r="Q2282" t="str">
        <f>_xlfn.XLOOKUP(Pipeline_tbl[[#This Row],[Rep_ID]],Dim_Reps!A:A,Dim_Reps!D:D)</f>
        <v>Inside Sales</v>
      </c>
      <c r="R2282" t="str">
        <f>_xlfn.XLOOKUP(Pipeline_tbl[[#This Row],[Rep_ID]],Dim_Reps!A:A,Dim_Reps!E:E)</f>
        <v>LATAM</v>
      </c>
      <c r="S2282" t="str">
        <f>_xlfn.XLOOKUP(Pipeline_tbl[[#This Row],[Created_Date]],Dim_Date!A:A,Dim_Date!H:H)</f>
        <v>May 2025</v>
      </c>
      <c r="T2282" t="str">
        <f>IF(Pipeline_tbl[[#This Row],[Closed_Date]]=0,"",(_xlfn.XLOOKUP(Pipeline_tbl[[#This Row],[Closed_Date]],Dim_Date!A:A,Dim_Date!H:H)))</f>
        <v>Jun 2025</v>
      </c>
      <c r="U2282">
        <f>IF(Pipeline_tbl[[#This Row],[Closed_Date]]=0,"",Pipeline_tbl[[#This Row],[Closed_Date]]-Pipeline_tbl[[#This Row],[Created_Date]])</f>
        <v>17</v>
      </c>
    </row>
    <row r="2283" spans="1:21" ht="15" customHeight="1" x14ac:dyDescent="0.2">
      <c r="A2283" t="s">
        <v>2589</v>
      </c>
      <c r="B2283" t="s">
        <v>233</v>
      </c>
      <c r="C2283" t="s">
        <v>56</v>
      </c>
      <c r="D2283" s="49">
        <v>45795</v>
      </c>
      <c r="E2283" s="49">
        <v>45797</v>
      </c>
      <c r="F2283" s="49">
        <v>45800</v>
      </c>
      <c r="G2283" s="49">
        <v>45806</v>
      </c>
      <c r="I2283" s="49">
        <v>45813</v>
      </c>
      <c r="J2283" t="s">
        <v>49</v>
      </c>
      <c r="K2283" s="33">
        <v>3300</v>
      </c>
      <c r="L2283" t="s">
        <v>60</v>
      </c>
      <c r="M2283" t="str">
        <f>_xlfn.XLOOKUP(Pipeline_tbl[[#This Row],[Rep_ID]],Dim_Reps!A:A,Dim_Reps!K:K)</f>
        <v>MXN</v>
      </c>
      <c r="N2283" s="33">
        <f>(_xlfn.XLOOKUP(Pipeline_tbl[[#This Row],[Rate_Code_Generalized]],Lookups!A:A,Lookups!B:B))*Pipeline_tbl[[#This Row],[Pipeline_Amount_USD]]</f>
        <v>65117.91</v>
      </c>
      <c r="O2283" t="str">
        <f>_xlfn.XLOOKUP(Pipeline_tbl[[#This Row],[Rep_ID]],Dim_Reps!A:A,Dim_Reps!B:B)</f>
        <v>Lucas Duarte</v>
      </c>
      <c r="P2283" t="str">
        <f>_xlfn.XLOOKUP(Pipeline_tbl[[#This Row],[Rep_ID]],Dim_Reps!A:A,Dim_Reps!C:C)</f>
        <v>SDR / Inside Sales Rep</v>
      </c>
      <c r="Q2283" t="str">
        <f>_xlfn.XLOOKUP(Pipeline_tbl[[#This Row],[Rep_ID]],Dim_Reps!A:A,Dim_Reps!D:D)</f>
        <v>Inside Sales</v>
      </c>
      <c r="R2283" t="str">
        <f>_xlfn.XLOOKUP(Pipeline_tbl[[#This Row],[Rep_ID]],Dim_Reps!A:A,Dim_Reps!E:E)</f>
        <v>LATAM</v>
      </c>
      <c r="S2283" t="str">
        <f>_xlfn.XLOOKUP(Pipeline_tbl[[#This Row],[Created_Date]],Dim_Date!A:A,Dim_Date!H:H)</f>
        <v>May 2025</v>
      </c>
      <c r="T2283" t="str">
        <f>IF(Pipeline_tbl[[#This Row],[Closed_Date]]=0,"",(_xlfn.XLOOKUP(Pipeline_tbl[[#This Row],[Closed_Date]],Dim_Date!A:A,Dim_Date!H:H)))</f>
        <v>Jun 2025</v>
      </c>
      <c r="U2283">
        <f>IF(Pipeline_tbl[[#This Row],[Closed_Date]]=0,"",Pipeline_tbl[[#This Row],[Closed_Date]]-Pipeline_tbl[[#This Row],[Created_Date]])</f>
        <v>18</v>
      </c>
    </row>
    <row r="2284" spans="1:21" ht="15" customHeight="1" x14ac:dyDescent="0.2">
      <c r="A2284" t="s">
        <v>2590</v>
      </c>
      <c r="B2284" t="s">
        <v>233</v>
      </c>
      <c r="C2284" t="s">
        <v>52</v>
      </c>
      <c r="D2284" s="49">
        <v>45799</v>
      </c>
      <c r="E2284" s="49">
        <v>45800</v>
      </c>
      <c r="F2284" s="49">
        <v>45802</v>
      </c>
      <c r="G2284" s="49">
        <v>45806</v>
      </c>
      <c r="H2284" s="49">
        <v>45808</v>
      </c>
      <c r="I2284" s="49">
        <v>45810</v>
      </c>
      <c r="J2284" t="s">
        <v>49</v>
      </c>
      <c r="K2284" s="33">
        <v>5600</v>
      </c>
      <c r="L2284" t="s">
        <v>62</v>
      </c>
      <c r="M2284" t="str">
        <f>_xlfn.XLOOKUP(Pipeline_tbl[[#This Row],[Rep_ID]],Dim_Reps!A:A,Dim_Reps!K:K)</f>
        <v>MXN</v>
      </c>
      <c r="N2284" s="33">
        <f>(_xlfn.XLOOKUP(Pipeline_tbl[[#This Row],[Rate_Code_Generalized]],Lookups!A:A,Lookups!B:B))*Pipeline_tbl[[#This Row],[Pipeline_Amount_USD]]</f>
        <v>110503.12000000001</v>
      </c>
      <c r="O2284" t="str">
        <f>_xlfn.XLOOKUP(Pipeline_tbl[[#This Row],[Rep_ID]],Dim_Reps!A:A,Dim_Reps!B:B)</f>
        <v>Lucas Duarte</v>
      </c>
      <c r="P2284" t="str">
        <f>_xlfn.XLOOKUP(Pipeline_tbl[[#This Row],[Rep_ID]],Dim_Reps!A:A,Dim_Reps!C:C)</f>
        <v>SDR / Inside Sales Rep</v>
      </c>
      <c r="Q2284" t="str">
        <f>_xlfn.XLOOKUP(Pipeline_tbl[[#This Row],[Rep_ID]],Dim_Reps!A:A,Dim_Reps!D:D)</f>
        <v>Inside Sales</v>
      </c>
      <c r="R2284" t="str">
        <f>_xlfn.XLOOKUP(Pipeline_tbl[[#This Row],[Rep_ID]],Dim_Reps!A:A,Dim_Reps!E:E)</f>
        <v>LATAM</v>
      </c>
      <c r="S2284" t="str">
        <f>_xlfn.XLOOKUP(Pipeline_tbl[[#This Row],[Created_Date]],Dim_Date!A:A,Dim_Date!H:H)</f>
        <v>May 2025</v>
      </c>
      <c r="T2284" t="str">
        <f>IF(Pipeline_tbl[[#This Row],[Closed_Date]]=0,"",(_xlfn.XLOOKUP(Pipeline_tbl[[#This Row],[Closed_Date]],Dim_Date!A:A,Dim_Date!H:H)))</f>
        <v>Jun 2025</v>
      </c>
      <c r="U2284">
        <f>IF(Pipeline_tbl[[#This Row],[Closed_Date]]=0,"",Pipeline_tbl[[#This Row],[Closed_Date]]-Pipeline_tbl[[#This Row],[Created_Date]])</f>
        <v>11</v>
      </c>
    </row>
    <row r="2285" spans="1:21" ht="15" customHeight="1" x14ac:dyDescent="0.2">
      <c r="A2285" t="s">
        <v>2591</v>
      </c>
      <c r="B2285" t="s">
        <v>233</v>
      </c>
      <c r="C2285" t="s">
        <v>52</v>
      </c>
      <c r="D2285" s="49">
        <v>45805</v>
      </c>
      <c r="E2285" s="49">
        <v>45807</v>
      </c>
      <c r="F2285" s="49">
        <v>45811</v>
      </c>
      <c r="I2285" s="49">
        <v>45824</v>
      </c>
      <c r="J2285" t="s">
        <v>49</v>
      </c>
      <c r="K2285" s="33">
        <v>6700</v>
      </c>
      <c r="L2285" t="s">
        <v>61</v>
      </c>
      <c r="M2285" t="str">
        <f>_xlfn.XLOOKUP(Pipeline_tbl[[#This Row],[Rep_ID]],Dim_Reps!A:A,Dim_Reps!K:K)</f>
        <v>MXN</v>
      </c>
      <c r="N2285" s="33">
        <f>(_xlfn.XLOOKUP(Pipeline_tbl[[#This Row],[Rate_Code_Generalized]],Lookups!A:A,Lookups!B:B))*Pipeline_tbl[[#This Row],[Pipeline_Amount_USD]]</f>
        <v>132209.09</v>
      </c>
      <c r="O2285" t="str">
        <f>_xlfn.XLOOKUP(Pipeline_tbl[[#This Row],[Rep_ID]],Dim_Reps!A:A,Dim_Reps!B:B)</f>
        <v>Lucas Duarte</v>
      </c>
      <c r="P2285" t="str">
        <f>_xlfn.XLOOKUP(Pipeline_tbl[[#This Row],[Rep_ID]],Dim_Reps!A:A,Dim_Reps!C:C)</f>
        <v>SDR / Inside Sales Rep</v>
      </c>
      <c r="Q2285" t="str">
        <f>_xlfn.XLOOKUP(Pipeline_tbl[[#This Row],[Rep_ID]],Dim_Reps!A:A,Dim_Reps!D:D)</f>
        <v>Inside Sales</v>
      </c>
      <c r="R2285" t="str">
        <f>_xlfn.XLOOKUP(Pipeline_tbl[[#This Row],[Rep_ID]],Dim_Reps!A:A,Dim_Reps!E:E)</f>
        <v>LATAM</v>
      </c>
      <c r="S2285" t="str">
        <f>_xlfn.XLOOKUP(Pipeline_tbl[[#This Row],[Created_Date]],Dim_Date!A:A,Dim_Date!H:H)</f>
        <v>May 2025</v>
      </c>
      <c r="T2285" t="str">
        <f>IF(Pipeline_tbl[[#This Row],[Closed_Date]]=0,"",(_xlfn.XLOOKUP(Pipeline_tbl[[#This Row],[Closed_Date]],Dim_Date!A:A,Dim_Date!H:H)))</f>
        <v>Jun 2025</v>
      </c>
      <c r="U2285">
        <f>IF(Pipeline_tbl[[#This Row],[Closed_Date]]=0,"",Pipeline_tbl[[#This Row],[Closed_Date]]-Pipeline_tbl[[#This Row],[Created_Date]])</f>
        <v>19</v>
      </c>
    </row>
    <row r="2286" spans="1:21" ht="15" customHeight="1" x14ac:dyDescent="0.2">
      <c r="A2286" t="s">
        <v>2592</v>
      </c>
      <c r="B2286" t="s">
        <v>233</v>
      </c>
      <c r="C2286" t="s">
        <v>53</v>
      </c>
      <c r="D2286" s="49">
        <v>45807</v>
      </c>
      <c r="E2286" s="49">
        <v>45808</v>
      </c>
      <c r="F2286" s="49">
        <v>45811</v>
      </c>
      <c r="G2286" s="49">
        <v>45815</v>
      </c>
      <c r="H2286" s="49">
        <v>45818</v>
      </c>
      <c r="I2286" s="49">
        <v>45820</v>
      </c>
      <c r="J2286" t="s">
        <v>49</v>
      </c>
      <c r="K2286" s="33">
        <v>1500</v>
      </c>
      <c r="L2286" t="s">
        <v>60</v>
      </c>
      <c r="M2286" t="str">
        <f>_xlfn.XLOOKUP(Pipeline_tbl[[#This Row],[Rep_ID]],Dim_Reps!A:A,Dim_Reps!K:K)</f>
        <v>MXN</v>
      </c>
      <c r="N2286" s="33">
        <f>(_xlfn.XLOOKUP(Pipeline_tbl[[#This Row],[Rate_Code_Generalized]],Lookups!A:A,Lookups!B:B))*Pipeline_tbl[[#This Row],[Pipeline_Amount_USD]]</f>
        <v>29599.050000000003</v>
      </c>
      <c r="O2286" t="str">
        <f>_xlfn.XLOOKUP(Pipeline_tbl[[#This Row],[Rep_ID]],Dim_Reps!A:A,Dim_Reps!B:B)</f>
        <v>Lucas Duarte</v>
      </c>
      <c r="P2286" t="str">
        <f>_xlfn.XLOOKUP(Pipeline_tbl[[#This Row],[Rep_ID]],Dim_Reps!A:A,Dim_Reps!C:C)</f>
        <v>SDR / Inside Sales Rep</v>
      </c>
      <c r="Q2286" t="str">
        <f>_xlfn.XLOOKUP(Pipeline_tbl[[#This Row],[Rep_ID]],Dim_Reps!A:A,Dim_Reps!D:D)</f>
        <v>Inside Sales</v>
      </c>
      <c r="R2286" t="str">
        <f>_xlfn.XLOOKUP(Pipeline_tbl[[#This Row],[Rep_ID]],Dim_Reps!A:A,Dim_Reps!E:E)</f>
        <v>LATAM</v>
      </c>
      <c r="S2286" t="str">
        <f>_xlfn.XLOOKUP(Pipeline_tbl[[#This Row],[Created_Date]],Dim_Date!A:A,Dim_Date!H:H)</f>
        <v>May 2025</v>
      </c>
      <c r="T2286" t="str">
        <f>IF(Pipeline_tbl[[#This Row],[Closed_Date]]=0,"",(_xlfn.XLOOKUP(Pipeline_tbl[[#This Row],[Closed_Date]],Dim_Date!A:A,Dim_Date!H:H)))</f>
        <v>Jun 2025</v>
      </c>
      <c r="U2286">
        <f>IF(Pipeline_tbl[[#This Row],[Closed_Date]]=0,"",Pipeline_tbl[[#This Row],[Closed_Date]]-Pipeline_tbl[[#This Row],[Created_Date]])</f>
        <v>13</v>
      </c>
    </row>
    <row r="2287" spans="1:21" ht="15" customHeight="1" x14ac:dyDescent="0.2">
      <c r="A2287" t="s">
        <v>2593</v>
      </c>
      <c r="B2287" t="s">
        <v>233</v>
      </c>
      <c r="C2287" t="s">
        <v>54</v>
      </c>
      <c r="D2287" s="49">
        <v>45793</v>
      </c>
      <c r="E2287" s="49">
        <v>45795</v>
      </c>
      <c r="I2287" s="49">
        <v>45815</v>
      </c>
      <c r="J2287" t="s">
        <v>49</v>
      </c>
      <c r="K2287" s="33">
        <v>5500</v>
      </c>
      <c r="L2287" t="s">
        <v>60</v>
      </c>
      <c r="M2287" t="str">
        <f>_xlfn.XLOOKUP(Pipeline_tbl[[#This Row],[Rep_ID]],Dim_Reps!A:A,Dim_Reps!K:K)</f>
        <v>MXN</v>
      </c>
      <c r="N2287" s="33">
        <f>(_xlfn.XLOOKUP(Pipeline_tbl[[#This Row],[Rate_Code_Generalized]],Lookups!A:A,Lookups!B:B))*Pipeline_tbl[[#This Row],[Pipeline_Amount_USD]]</f>
        <v>108529.85</v>
      </c>
      <c r="O2287" t="str">
        <f>_xlfn.XLOOKUP(Pipeline_tbl[[#This Row],[Rep_ID]],Dim_Reps!A:A,Dim_Reps!B:B)</f>
        <v>Lucas Duarte</v>
      </c>
      <c r="P2287" t="str">
        <f>_xlfn.XLOOKUP(Pipeline_tbl[[#This Row],[Rep_ID]],Dim_Reps!A:A,Dim_Reps!C:C)</f>
        <v>SDR / Inside Sales Rep</v>
      </c>
      <c r="Q2287" t="str">
        <f>_xlfn.XLOOKUP(Pipeline_tbl[[#This Row],[Rep_ID]],Dim_Reps!A:A,Dim_Reps!D:D)</f>
        <v>Inside Sales</v>
      </c>
      <c r="R2287" t="str">
        <f>_xlfn.XLOOKUP(Pipeline_tbl[[#This Row],[Rep_ID]],Dim_Reps!A:A,Dim_Reps!E:E)</f>
        <v>LATAM</v>
      </c>
      <c r="S2287" t="str">
        <f>_xlfn.XLOOKUP(Pipeline_tbl[[#This Row],[Created_Date]],Dim_Date!A:A,Dim_Date!H:H)</f>
        <v>May 2025</v>
      </c>
      <c r="T2287" t="str">
        <f>IF(Pipeline_tbl[[#This Row],[Closed_Date]]=0,"",(_xlfn.XLOOKUP(Pipeline_tbl[[#This Row],[Closed_Date]],Dim_Date!A:A,Dim_Date!H:H)))</f>
        <v>Jun 2025</v>
      </c>
      <c r="U2287">
        <f>IF(Pipeline_tbl[[#This Row],[Closed_Date]]=0,"",Pipeline_tbl[[#This Row],[Closed_Date]]-Pipeline_tbl[[#This Row],[Created_Date]])</f>
        <v>22</v>
      </c>
    </row>
    <row r="2288" spans="1:21" ht="15" customHeight="1" x14ac:dyDescent="0.2">
      <c r="A2288" t="s">
        <v>2594</v>
      </c>
      <c r="B2288" t="s">
        <v>233</v>
      </c>
      <c r="C2288" t="s">
        <v>54</v>
      </c>
      <c r="D2288" s="49">
        <v>45806</v>
      </c>
      <c r="E2288" s="49">
        <v>45807</v>
      </c>
      <c r="I2288" s="49">
        <v>45820</v>
      </c>
      <c r="J2288" t="s">
        <v>49</v>
      </c>
      <c r="K2288" s="33">
        <v>4200</v>
      </c>
      <c r="L2288" t="s">
        <v>64</v>
      </c>
      <c r="M2288" t="str">
        <f>_xlfn.XLOOKUP(Pipeline_tbl[[#This Row],[Rep_ID]],Dim_Reps!A:A,Dim_Reps!K:K)</f>
        <v>MXN</v>
      </c>
      <c r="N2288" s="33">
        <f>(_xlfn.XLOOKUP(Pipeline_tbl[[#This Row],[Rate_Code_Generalized]],Lookups!A:A,Lookups!B:B))*Pipeline_tbl[[#This Row],[Pipeline_Amount_USD]]</f>
        <v>82877.340000000011</v>
      </c>
      <c r="O2288" t="str">
        <f>_xlfn.XLOOKUP(Pipeline_tbl[[#This Row],[Rep_ID]],Dim_Reps!A:A,Dim_Reps!B:B)</f>
        <v>Lucas Duarte</v>
      </c>
      <c r="P2288" t="str">
        <f>_xlfn.XLOOKUP(Pipeline_tbl[[#This Row],[Rep_ID]],Dim_Reps!A:A,Dim_Reps!C:C)</f>
        <v>SDR / Inside Sales Rep</v>
      </c>
      <c r="Q2288" t="str">
        <f>_xlfn.XLOOKUP(Pipeline_tbl[[#This Row],[Rep_ID]],Dim_Reps!A:A,Dim_Reps!D:D)</f>
        <v>Inside Sales</v>
      </c>
      <c r="R2288" t="str">
        <f>_xlfn.XLOOKUP(Pipeline_tbl[[#This Row],[Rep_ID]],Dim_Reps!A:A,Dim_Reps!E:E)</f>
        <v>LATAM</v>
      </c>
      <c r="S2288" t="str">
        <f>_xlfn.XLOOKUP(Pipeline_tbl[[#This Row],[Created_Date]],Dim_Date!A:A,Dim_Date!H:H)</f>
        <v>May 2025</v>
      </c>
      <c r="T2288" t="str">
        <f>IF(Pipeline_tbl[[#This Row],[Closed_Date]]=0,"",(_xlfn.XLOOKUP(Pipeline_tbl[[#This Row],[Closed_Date]],Dim_Date!A:A,Dim_Date!H:H)))</f>
        <v>Jun 2025</v>
      </c>
      <c r="U2288">
        <f>IF(Pipeline_tbl[[#This Row],[Closed_Date]]=0,"",Pipeline_tbl[[#This Row],[Closed_Date]]-Pipeline_tbl[[#This Row],[Created_Date]])</f>
        <v>14</v>
      </c>
    </row>
    <row r="2289" spans="1:21" ht="15" customHeight="1" x14ac:dyDescent="0.2">
      <c r="A2289" t="s">
        <v>2595</v>
      </c>
      <c r="B2289" t="s">
        <v>233</v>
      </c>
      <c r="C2289" t="s">
        <v>52</v>
      </c>
      <c r="D2289" s="49">
        <v>45785</v>
      </c>
      <c r="E2289" s="49">
        <v>45788</v>
      </c>
      <c r="F2289" s="49">
        <v>45794</v>
      </c>
      <c r="G2289" s="49">
        <v>45803</v>
      </c>
      <c r="H2289" s="49">
        <v>45811</v>
      </c>
      <c r="I2289" s="49">
        <v>45815</v>
      </c>
      <c r="J2289" t="s">
        <v>47</v>
      </c>
      <c r="K2289" s="33">
        <v>5200</v>
      </c>
      <c r="M2289" t="str">
        <f>_xlfn.XLOOKUP(Pipeline_tbl[[#This Row],[Rep_ID]],Dim_Reps!A:A,Dim_Reps!K:K)</f>
        <v>MXN</v>
      </c>
      <c r="N2289" s="33">
        <f>(_xlfn.XLOOKUP(Pipeline_tbl[[#This Row],[Rate_Code_Generalized]],Lookups!A:A,Lookups!B:B))*Pipeline_tbl[[#This Row],[Pipeline_Amount_USD]]</f>
        <v>102610.04000000001</v>
      </c>
      <c r="O2289" t="str">
        <f>_xlfn.XLOOKUP(Pipeline_tbl[[#This Row],[Rep_ID]],Dim_Reps!A:A,Dim_Reps!B:B)</f>
        <v>Lucas Duarte</v>
      </c>
      <c r="P2289" t="str">
        <f>_xlfn.XLOOKUP(Pipeline_tbl[[#This Row],[Rep_ID]],Dim_Reps!A:A,Dim_Reps!C:C)</f>
        <v>SDR / Inside Sales Rep</v>
      </c>
      <c r="Q2289" t="str">
        <f>_xlfn.XLOOKUP(Pipeline_tbl[[#This Row],[Rep_ID]],Dim_Reps!A:A,Dim_Reps!D:D)</f>
        <v>Inside Sales</v>
      </c>
      <c r="R2289" t="str">
        <f>_xlfn.XLOOKUP(Pipeline_tbl[[#This Row],[Rep_ID]],Dim_Reps!A:A,Dim_Reps!E:E)</f>
        <v>LATAM</v>
      </c>
      <c r="S2289" t="str">
        <f>_xlfn.XLOOKUP(Pipeline_tbl[[#This Row],[Created_Date]],Dim_Date!A:A,Dim_Date!H:H)</f>
        <v>May 2025</v>
      </c>
      <c r="T2289" t="str">
        <f>IF(Pipeline_tbl[[#This Row],[Closed_Date]]=0,"",(_xlfn.XLOOKUP(Pipeline_tbl[[#This Row],[Closed_Date]],Dim_Date!A:A,Dim_Date!H:H)))</f>
        <v>Jun 2025</v>
      </c>
      <c r="U2289">
        <f>IF(Pipeline_tbl[[#This Row],[Closed_Date]]=0,"",Pipeline_tbl[[#This Row],[Closed_Date]]-Pipeline_tbl[[#This Row],[Created_Date]])</f>
        <v>30</v>
      </c>
    </row>
    <row r="2290" spans="1:21" ht="15" customHeight="1" x14ac:dyDescent="0.2">
      <c r="A2290" t="s">
        <v>2596</v>
      </c>
      <c r="B2290" t="s">
        <v>233</v>
      </c>
      <c r="C2290" t="s">
        <v>52</v>
      </c>
      <c r="D2290" s="49">
        <v>45790</v>
      </c>
      <c r="E2290" s="49">
        <v>45792</v>
      </c>
      <c r="I2290" s="49">
        <v>45809</v>
      </c>
      <c r="J2290" t="s">
        <v>49</v>
      </c>
      <c r="K2290" s="33">
        <v>1800</v>
      </c>
      <c r="L2290" t="s">
        <v>60</v>
      </c>
      <c r="M2290" t="str">
        <f>_xlfn.XLOOKUP(Pipeline_tbl[[#This Row],[Rep_ID]],Dim_Reps!A:A,Dim_Reps!K:K)</f>
        <v>MXN</v>
      </c>
      <c r="N2290" s="33">
        <f>(_xlfn.XLOOKUP(Pipeline_tbl[[#This Row],[Rate_Code_Generalized]],Lookups!A:A,Lookups!B:B))*Pipeline_tbl[[#This Row],[Pipeline_Amount_USD]]</f>
        <v>35518.86</v>
      </c>
      <c r="O2290" t="str">
        <f>_xlfn.XLOOKUP(Pipeline_tbl[[#This Row],[Rep_ID]],Dim_Reps!A:A,Dim_Reps!B:B)</f>
        <v>Lucas Duarte</v>
      </c>
      <c r="P2290" t="str">
        <f>_xlfn.XLOOKUP(Pipeline_tbl[[#This Row],[Rep_ID]],Dim_Reps!A:A,Dim_Reps!C:C)</f>
        <v>SDR / Inside Sales Rep</v>
      </c>
      <c r="Q2290" t="str">
        <f>_xlfn.XLOOKUP(Pipeline_tbl[[#This Row],[Rep_ID]],Dim_Reps!A:A,Dim_Reps!D:D)</f>
        <v>Inside Sales</v>
      </c>
      <c r="R2290" t="str">
        <f>_xlfn.XLOOKUP(Pipeline_tbl[[#This Row],[Rep_ID]],Dim_Reps!A:A,Dim_Reps!E:E)</f>
        <v>LATAM</v>
      </c>
      <c r="S2290" t="str">
        <f>_xlfn.XLOOKUP(Pipeline_tbl[[#This Row],[Created_Date]],Dim_Date!A:A,Dim_Date!H:H)</f>
        <v>May 2025</v>
      </c>
      <c r="T2290" t="str">
        <f>IF(Pipeline_tbl[[#This Row],[Closed_Date]]=0,"",(_xlfn.XLOOKUP(Pipeline_tbl[[#This Row],[Closed_Date]],Dim_Date!A:A,Dim_Date!H:H)))</f>
        <v>Jun 2025</v>
      </c>
      <c r="U2290">
        <f>IF(Pipeline_tbl[[#This Row],[Closed_Date]]=0,"",Pipeline_tbl[[#This Row],[Closed_Date]]-Pipeline_tbl[[#This Row],[Created_Date]])</f>
        <v>19</v>
      </c>
    </row>
    <row r="2291" spans="1:21" ht="15" customHeight="1" x14ac:dyDescent="0.2">
      <c r="A2291" t="s">
        <v>2597</v>
      </c>
      <c r="B2291" t="s">
        <v>267</v>
      </c>
      <c r="C2291" t="s">
        <v>55</v>
      </c>
      <c r="D2291" s="49">
        <v>45796</v>
      </c>
      <c r="E2291" s="49">
        <v>45800</v>
      </c>
      <c r="F2291" s="49">
        <v>45807</v>
      </c>
      <c r="G2291" s="49">
        <v>45818</v>
      </c>
      <c r="H2291" s="49">
        <v>45827</v>
      </c>
      <c r="I2291" s="49">
        <v>45833</v>
      </c>
      <c r="J2291" t="s">
        <v>47</v>
      </c>
      <c r="K2291" s="33">
        <v>12400</v>
      </c>
      <c r="M2291" t="str">
        <f>_xlfn.XLOOKUP(Pipeline_tbl[[#This Row],[Rep_ID]],Dim_Reps!A:A,Dim_Reps!K:K)</f>
        <v>MXN</v>
      </c>
      <c r="N2291" s="33">
        <f>(_xlfn.XLOOKUP(Pipeline_tbl[[#This Row],[Rate_Code_Generalized]],Lookups!A:A,Lookups!B:B))*Pipeline_tbl[[#This Row],[Pipeline_Amount_USD]]</f>
        <v>244685.48</v>
      </c>
      <c r="O2291" t="str">
        <f>_xlfn.XLOOKUP(Pipeline_tbl[[#This Row],[Rep_ID]],Dim_Reps!A:A,Dim_Reps!B:B)</f>
        <v>Yuki Dubois</v>
      </c>
      <c r="P2291" t="str">
        <f>_xlfn.XLOOKUP(Pipeline_tbl[[#This Row],[Rep_ID]],Dim_Reps!A:A,Dim_Reps!C:C)</f>
        <v>Mid-Market AE</v>
      </c>
      <c r="Q2291" t="str">
        <f>_xlfn.XLOOKUP(Pipeline_tbl[[#This Row],[Rep_ID]],Dim_Reps!A:A,Dim_Reps!D:D)</f>
        <v>Mid-Market</v>
      </c>
      <c r="R2291" t="str">
        <f>_xlfn.XLOOKUP(Pipeline_tbl[[#This Row],[Rep_ID]],Dim_Reps!A:A,Dim_Reps!E:E)</f>
        <v>LATAM</v>
      </c>
      <c r="S2291" t="str">
        <f>_xlfn.XLOOKUP(Pipeline_tbl[[#This Row],[Created_Date]],Dim_Date!A:A,Dim_Date!H:H)</f>
        <v>May 2025</v>
      </c>
      <c r="T2291" t="str">
        <f>IF(Pipeline_tbl[[#This Row],[Closed_Date]]=0,"",(_xlfn.XLOOKUP(Pipeline_tbl[[#This Row],[Closed_Date]],Dim_Date!A:A,Dim_Date!H:H)))</f>
        <v>Jun 2025</v>
      </c>
      <c r="U2291">
        <f>IF(Pipeline_tbl[[#This Row],[Closed_Date]]=0,"",Pipeline_tbl[[#This Row],[Closed_Date]]-Pipeline_tbl[[#This Row],[Created_Date]])</f>
        <v>37</v>
      </c>
    </row>
    <row r="2292" spans="1:21" ht="15" customHeight="1" x14ac:dyDescent="0.2">
      <c r="A2292" t="s">
        <v>2598</v>
      </c>
      <c r="B2292" t="s">
        <v>267</v>
      </c>
      <c r="C2292" t="s">
        <v>52</v>
      </c>
      <c r="D2292" s="49">
        <v>45783</v>
      </c>
      <c r="E2292" s="49">
        <v>45788</v>
      </c>
      <c r="F2292" s="49">
        <v>45797</v>
      </c>
      <c r="G2292" s="49">
        <v>45811</v>
      </c>
      <c r="H2292" s="49">
        <v>45822</v>
      </c>
      <c r="I2292" s="49">
        <v>45829</v>
      </c>
      <c r="J2292" t="s">
        <v>47</v>
      </c>
      <c r="K2292" s="33">
        <v>7800</v>
      </c>
      <c r="M2292" t="str">
        <f>_xlfn.XLOOKUP(Pipeline_tbl[[#This Row],[Rep_ID]],Dim_Reps!A:A,Dim_Reps!K:K)</f>
        <v>MXN</v>
      </c>
      <c r="N2292" s="33">
        <f>(_xlfn.XLOOKUP(Pipeline_tbl[[#This Row],[Rate_Code_Generalized]],Lookups!A:A,Lookups!B:B))*Pipeline_tbl[[#This Row],[Pipeline_Amount_USD]]</f>
        <v>153915.06</v>
      </c>
      <c r="O2292" t="str">
        <f>_xlfn.XLOOKUP(Pipeline_tbl[[#This Row],[Rep_ID]],Dim_Reps!A:A,Dim_Reps!B:B)</f>
        <v>Yuki Dubois</v>
      </c>
      <c r="P2292" t="str">
        <f>_xlfn.XLOOKUP(Pipeline_tbl[[#This Row],[Rep_ID]],Dim_Reps!A:A,Dim_Reps!C:C)</f>
        <v>Mid-Market AE</v>
      </c>
      <c r="Q2292" t="str">
        <f>_xlfn.XLOOKUP(Pipeline_tbl[[#This Row],[Rep_ID]],Dim_Reps!A:A,Dim_Reps!D:D)</f>
        <v>Mid-Market</v>
      </c>
      <c r="R2292" t="str">
        <f>_xlfn.XLOOKUP(Pipeline_tbl[[#This Row],[Rep_ID]],Dim_Reps!A:A,Dim_Reps!E:E)</f>
        <v>LATAM</v>
      </c>
      <c r="S2292" t="str">
        <f>_xlfn.XLOOKUP(Pipeline_tbl[[#This Row],[Created_Date]],Dim_Date!A:A,Dim_Date!H:H)</f>
        <v>May 2025</v>
      </c>
      <c r="T2292" t="str">
        <f>IF(Pipeline_tbl[[#This Row],[Closed_Date]]=0,"",(_xlfn.XLOOKUP(Pipeline_tbl[[#This Row],[Closed_Date]],Dim_Date!A:A,Dim_Date!H:H)))</f>
        <v>Jun 2025</v>
      </c>
      <c r="U2292">
        <f>IF(Pipeline_tbl[[#This Row],[Closed_Date]]=0,"",Pipeline_tbl[[#This Row],[Closed_Date]]-Pipeline_tbl[[#This Row],[Created_Date]])</f>
        <v>46</v>
      </c>
    </row>
    <row r="2293" spans="1:21" ht="15" customHeight="1" x14ac:dyDescent="0.2">
      <c r="A2293" t="s">
        <v>2599</v>
      </c>
      <c r="B2293" t="s">
        <v>267</v>
      </c>
      <c r="C2293" t="s">
        <v>52</v>
      </c>
      <c r="D2293" s="49">
        <v>45784</v>
      </c>
      <c r="E2293" s="49">
        <v>45788</v>
      </c>
      <c r="F2293" s="49">
        <v>45795</v>
      </c>
      <c r="G2293" s="49">
        <v>45806</v>
      </c>
      <c r="H2293" s="49">
        <v>45815</v>
      </c>
      <c r="I2293" s="49">
        <v>45820</v>
      </c>
      <c r="J2293" t="s">
        <v>47</v>
      </c>
      <c r="K2293" s="33">
        <v>23900</v>
      </c>
      <c r="M2293" t="str">
        <f>_xlfn.XLOOKUP(Pipeline_tbl[[#This Row],[Rep_ID]],Dim_Reps!A:A,Dim_Reps!K:K)</f>
        <v>MXN</v>
      </c>
      <c r="N2293" s="33">
        <f>(_xlfn.XLOOKUP(Pipeline_tbl[[#This Row],[Rate_Code_Generalized]],Lookups!A:A,Lookups!B:B))*Pipeline_tbl[[#This Row],[Pipeline_Amount_USD]]</f>
        <v>471611.53</v>
      </c>
      <c r="O2293" t="str">
        <f>_xlfn.XLOOKUP(Pipeline_tbl[[#This Row],[Rep_ID]],Dim_Reps!A:A,Dim_Reps!B:B)</f>
        <v>Yuki Dubois</v>
      </c>
      <c r="P2293" t="str">
        <f>_xlfn.XLOOKUP(Pipeline_tbl[[#This Row],[Rep_ID]],Dim_Reps!A:A,Dim_Reps!C:C)</f>
        <v>Mid-Market AE</v>
      </c>
      <c r="Q2293" t="str">
        <f>_xlfn.XLOOKUP(Pipeline_tbl[[#This Row],[Rep_ID]],Dim_Reps!A:A,Dim_Reps!D:D)</f>
        <v>Mid-Market</v>
      </c>
      <c r="R2293" t="str">
        <f>_xlfn.XLOOKUP(Pipeline_tbl[[#This Row],[Rep_ID]],Dim_Reps!A:A,Dim_Reps!E:E)</f>
        <v>LATAM</v>
      </c>
      <c r="S2293" t="str">
        <f>_xlfn.XLOOKUP(Pipeline_tbl[[#This Row],[Created_Date]],Dim_Date!A:A,Dim_Date!H:H)</f>
        <v>May 2025</v>
      </c>
      <c r="T2293" t="str">
        <f>IF(Pipeline_tbl[[#This Row],[Closed_Date]]=0,"",(_xlfn.XLOOKUP(Pipeline_tbl[[#This Row],[Closed_Date]],Dim_Date!A:A,Dim_Date!H:H)))</f>
        <v>Jun 2025</v>
      </c>
      <c r="U2293">
        <f>IF(Pipeline_tbl[[#This Row],[Closed_Date]]=0,"",Pipeline_tbl[[#This Row],[Closed_Date]]-Pipeline_tbl[[#This Row],[Created_Date]])</f>
        <v>36</v>
      </c>
    </row>
    <row r="2294" spans="1:21" ht="15" customHeight="1" x14ac:dyDescent="0.2">
      <c r="A2294" t="s">
        <v>2600</v>
      </c>
      <c r="B2294" t="s">
        <v>267</v>
      </c>
      <c r="C2294" t="s">
        <v>52</v>
      </c>
      <c r="D2294" s="49">
        <v>45804</v>
      </c>
      <c r="E2294" s="49">
        <v>45807</v>
      </c>
      <c r="F2294" s="49">
        <v>45813</v>
      </c>
      <c r="G2294" s="49">
        <v>45823</v>
      </c>
      <c r="H2294" s="49">
        <v>45830</v>
      </c>
      <c r="I2294" s="49">
        <v>45835</v>
      </c>
      <c r="J2294" t="s">
        <v>49</v>
      </c>
      <c r="K2294" s="33">
        <v>16100</v>
      </c>
      <c r="L2294" t="s">
        <v>61</v>
      </c>
      <c r="M2294" t="str">
        <f>_xlfn.XLOOKUP(Pipeline_tbl[[#This Row],[Rep_ID]],Dim_Reps!A:A,Dim_Reps!K:K)</f>
        <v>MXN</v>
      </c>
      <c r="N2294" s="33">
        <f>(_xlfn.XLOOKUP(Pipeline_tbl[[#This Row],[Rate_Code_Generalized]],Lookups!A:A,Lookups!B:B))*Pipeline_tbl[[#This Row],[Pipeline_Amount_USD]]</f>
        <v>317696.47000000003</v>
      </c>
      <c r="O2294" t="str">
        <f>_xlfn.XLOOKUP(Pipeline_tbl[[#This Row],[Rep_ID]],Dim_Reps!A:A,Dim_Reps!B:B)</f>
        <v>Yuki Dubois</v>
      </c>
      <c r="P2294" t="str">
        <f>_xlfn.XLOOKUP(Pipeline_tbl[[#This Row],[Rep_ID]],Dim_Reps!A:A,Dim_Reps!C:C)</f>
        <v>Mid-Market AE</v>
      </c>
      <c r="Q2294" t="str">
        <f>_xlfn.XLOOKUP(Pipeline_tbl[[#This Row],[Rep_ID]],Dim_Reps!A:A,Dim_Reps!D:D)</f>
        <v>Mid-Market</v>
      </c>
      <c r="R2294" t="str">
        <f>_xlfn.XLOOKUP(Pipeline_tbl[[#This Row],[Rep_ID]],Dim_Reps!A:A,Dim_Reps!E:E)</f>
        <v>LATAM</v>
      </c>
      <c r="S2294" t="str">
        <f>_xlfn.XLOOKUP(Pipeline_tbl[[#This Row],[Created_Date]],Dim_Date!A:A,Dim_Date!H:H)</f>
        <v>May 2025</v>
      </c>
      <c r="T2294" t="str">
        <f>IF(Pipeline_tbl[[#This Row],[Closed_Date]]=0,"",(_xlfn.XLOOKUP(Pipeline_tbl[[#This Row],[Closed_Date]],Dim_Date!A:A,Dim_Date!H:H)))</f>
        <v>Jun 2025</v>
      </c>
      <c r="U2294">
        <f>IF(Pipeline_tbl[[#This Row],[Closed_Date]]=0,"",Pipeline_tbl[[#This Row],[Closed_Date]]-Pipeline_tbl[[#This Row],[Created_Date]])</f>
        <v>31</v>
      </c>
    </row>
    <row r="2295" spans="1:21" ht="15" customHeight="1" x14ac:dyDescent="0.2">
      <c r="A2295" t="s">
        <v>2601</v>
      </c>
      <c r="B2295" t="s">
        <v>267</v>
      </c>
      <c r="C2295" t="s">
        <v>53</v>
      </c>
      <c r="D2295" s="49">
        <v>45784</v>
      </c>
      <c r="E2295" s="49">
        <v>45789</v>
      </c>
      <c r="F2295" s="49">
        <v>45798</v>
      </c>
      <c r="I2295" s="49">
        <v>45830</v>
      </c>
      <c r="J2295" t="s">
        <v>49</v>
      </c>
      <c r="K2295" s="33">
        <v>4900</v>
      </c>
      <c r="L2295" t="s">
        <v>61</v>
      </c>
      <c r="M2295" t="str">
        <f>_xlfn.XLOOKUP(Pipeline_tbl[[#This Row],[Rep_ID]],Dim_Reps!A:A,Dim_Reps!K:K)</f>
        <v>MXN</v>
      </c>
      <c r="N2295" s="33">
        <f>(_xlfn.XLOOKUP(Pipeline_tbl[[#This Row],[Rate_Code_Generalized]],Lookups!A:A,Lookups!B:B))*Pipeline_tbl[[#This Row],[Pipeline_Amount_USD]]</f>
        <v>96690.23000000001</v>
      </c>
      <c r="O2295" t="str">
        <f>_xlfn.XLOOKUP(Pipeline_tbl[[#This Row],[Rep_ID]],Dim_Reps!A:A,Dim_Reps!B:B)</f>
        <v>Yuki Dubois</v>
      </c>
      <c r="P2295" t="str">
        <f>_xlfn.XLOOKUP(Pipeline_tbl[[#This Row],[Rep_ID]],Dim_Reps!A:A,Dim_Reps!C:C)</f>
        <v>Mid-Market AE</v>
      </c>
      <c r="Q2295" t="str">
        <f>_xlfn.XLOOKUP(Pipeline_tbl[[#This Row],[Rep_ID]],Dim_Reps!A:A,Dim_Reps!D:D)</f>
        <v>Mid-Market</v>
      </c>
      <c r="R2295" t="str">
        <f>_xlfn.XLOOKUP(Pipeline_tbl[[#This Row],[Rep_ID]],Dim_Reps!A:A,Dim_Reps!E:E)</f>
        <v>LATAM</v>
      </c>
      <c r="S2295" t="str">
        <f>_xlfn.XLOOKUP(Pipeline_tbl[[#This Row],[Created_Date]],Dim_Date!A:A,Dim_Date!H:H)</f>
        <v>May 2025</v>
      </c>
      <c r="T2295" t="str">
        <f>IF(Pipeline_tbl[[#This Row],[Closed_Date]]=0,"",(_xlfn.XLOOKUP(Pipeline_tbl[[#This Row],[Closed_Date]],Dim_Date!A:A,Dim_Date!H:H)))</f>
        <v>Jun 2025</v>
      </c>
      <c r="U2295">
        <f>IF(Pipeline_tbl[[#This Row],[Closed_Date]]=0,"",Pipeline_tbl[[#This Row],[Closed_Date]]-Pipeline_tbl[[#This Row],[Created_Date]])</f>
        <v>46</v>
      </c>
    </row>
    <row r="2296" spans="1:21" ht="15" customHeight="1" x14ac:dyDescent="0.2">
      <c r="A2296" t="s">
        <v>2602</v>
      </c>
      <c r="B2296" t="s">
        <v>267</v>
      </c>
      <c r="C2296" t="s">
        <v>56</v>
      </c>
      <c r="D2296" s="49">
        <v>45804</v>
      </c>
      <c r="E2296" s="49">
        <v>45807</v>
      </c>
      <c r="F2296" s="49">
        <v>45814</v>
      </c>
      <c r="G2296" s="49">
        <v>45823</v>
      </c>
      <c r="I2296" s="49">
        <v>45836</v>
      </c>
      <c r="J2296" t="s">
        <v>49</v>
      </c>
      <c r="K2296" s="33">
        <v>11500</v>
      </c>
      <c r="L2296" t="s">
        <v>60</v>
      </c>
      <c r="M2296" t="str">
        <f>_xlfn.XLOOKUP(Pipeline_tbl[[#This Row],[Rep_ID]],Dim_Reps!A:A,Dim_Reps!K:K)</f>
        <v>MXN</v>
      </c>
      <c r="N2296" s="33">
        <f>(_xlfn.XLOOKUP(Pipeline_tbl[[#This Row],[Rate_Code_Generalized]],Lookups!A:A,Lookups!B:B))*Pipeline_tbl[[#This Row],[Pipeline_Amount_USD]]</f>
        <v>226926.05000000002</v>
      </c>
      <c r="O2296" t="str">
        <f>_xlfn.XLOOKUP(Pipeline_tbl[[#This Row],[Rep_ID]],Dim_Reps!A:A,Dim_Reps!B:B)</f>
        <v>Yuki Dubois</v>
      </c>
      <c r="P2296" t="str">
        <f>_xlfn.XLOOKUP(Pipeline_tbl[[#This Row],[Rep_ID]],Dim_Reps!A:A,Dim_Reps!C:C)</f>
        <v>Mid-Market AE</v>
      </c>
      <c r="Q2296" t="str">
        <f>_xlfn.XLOOKUP(Pipeline_tbl[[#This Row],[Rep_ID]],Dim_Reps!A:A,Dim_Reps!D:D)</f>
        <v>Mid-Market</v>
      </c>
      <c r="R2296" t="str">
        <f>_xlfn.XLOOKUP(Pipeline_tbl[[#This Row],[Rep_ID]],Dim_Reps!A:A,Dim_Reps!E:E)</f>
        <v>LATAM</v>
      </c>
      <c r="S2296" t="str">
        <f>_xlfn.XLOOKUP(Pipeline_tbl[[#This Row],[Created_Date]],Dim_Date!A:A,Dim_Date!H:H)</f>
        <v>May 2025</v>
      </c>
      <c r="T2296" t="str">
        <f>IF(Pipeline_tbl[[#This Row],[Closed_Date]]=0,"",(_xlfn.XLOOKUP(Pipeline_tbl[[#This Row],[Closed_Date]],Dim_Date!A:A,Dim_Date!H:H)))</f>
        <v>Jun 2025</v>
      </c>
      <c r="U2296">
        <f>IF(Pipeline_tbl[[#This Row],[Closed_Date]]=0,"",Pipeline_tbl[[#This Row],[Closed_Date]]-Pipeline_tbl[[#This Row],[Created_Date]])</f>
        <v>32</v>
      </c>
    </row>
    <row r="2297" spans="1:21" ht="15" customHeight="1" x14ac:dyDescent="0.2">
      <c r="A2297" t="s">
        <v>2603</v>
      </c>
      <c r="B2297" t="s">
        <v>235</v>
      </c>
      <c r="C2297" t="s">
        <v>53</v>
      </c>
      <c r="D2297" s="49">
        <v>45805</v>
      </c>
      <c r="E2297" s="49">
        <v>45807</v>
      </c>
      <c r="F2297" s="49">
        <v>45813</v>
      </c>
      <c r="I2297" s="49">
        <v>45830</v>
      </c>
      <c r="J2297" t="s">
        <v>49</v>
      </c>
      <c r="K2297" s="33">
        <v>4000</v>
      </c>
      <c r="L2297" t="s">
        <v>61</v>
      </c>
      <c r="M2297" t="str">
        <f>_xlfn.XLOOKUP(Pipeline_tbl[[#This Row],[Rep_ID]],Dim_Reps!A:A,Dim_Reps!K:K)</f>
        <v>MXN</v>
      </c>
      <c r="N2297" s="33">
        <f>(_xlfn.XLOOKUP(Pipeline_tbl[[#This Row],[Rate_Code_Generalized]],Lookups!A:A,Lookups!B:B))*Pipeline_tbl[[#This Row],[Pipeline_Amount_USD]]</f>
        <v>78930.8</v>
      </c>
      <c r="O2297" t="str">
        <f>_xlfn.XLOOKUP(Pipeline_tbl[[#This Row],[Rep_ID]],Dim_Reps!A:A,Dim_Reps!B:B)</f>
        <v>Milo Castro</v>
      </c>
      <c r="P2297" t="str">
        <f>_xlfn.XLOOKUP(Pipeline_tbl[[#This Row],[Rep_ID]],Dim_Reps!A:A,Dim_Reps!C:C)</f>
        <v>SDR / Inside Sales Rep</v>
      </c>
      <c r="Q2297" t="str">
        <f>_xlfn.XLOOKUP(Pipeline_tbl[[#This Row],[Rep_ID]],Dim_Reps!A:A,Dim_Reps!D:D)</f>
        <v>Inside Sales</v>
      </c>
      <c r="R2297" t="str">
        <f>_xlfn.XLOOKUP(Pipeline_tbl[[#This Row],[Rep_ID]],Dim_Reps!A:A,Dim_Reps!E:E)</f>
        <v>LATAM</v>
      </c>
      <c r="S2297" t="str">
        <f>_xlfn.XLOOKUP(Pipeline_tbl[[#This Row],[Created_Date]],Dim_Date!A:A,Dim_Date!H:H)</f>
        <v>May 2025</v>
      </c>
      <c r="T2297" t="str">
        <f>IF(Pipeline_tbl[[#This Row],[Closed_Date]]=0,"",(_xlfn.XLOOKUP(Pipeline_tbl[[#This Row],[Closed_Date]],Dim_Date!A:A,Dim_Date!H:H)))</f>
        <v>Jun 2025</v>
      </c>
      <c r="U2297">
        <f>IF(Pipeline_tbl[[#This Row],[Closed_Date]]=0,"",Pipeline_tbl[[#This Row],[Closed_Date]]-Pipeline_tbl[[#This Row],[Created_Date]])</f>
        <v>25</v>
      </c>
    </row>
    <row r="2298" spans="1:21" ht="15" customHeight="1" x14ac:dyDescent="0.2">
      <c r="A2298" t="s">
        <v>2604</v>
      </c>
      <c r="B2298" t="s">
        <v>235</v>
      </c>
      <c r="C2298" t="s">
        <v>55</v>
      </c>
      <c r="D2298" s="49">
        <v>45805</v>
      </c>
      <c r="E2298" s="49">
        <v>45807</v>
      </c>
      <c r="F2298" s="49">
        <v>45812</v>
      </c>
      <c r="I2298" s="49">
        <v>45828</v>
      </c>
      <c r="J2298" t="s">
        <v>49</v>
      </c>
      <c r="K2298" s="33">
        <v>2200</v>
      </c>
      <c r="L2298" t="s">
        <v>63</v>
      </c>
      <c r="M2298" t="str">
        <f>_xlfn.XLOOKUP(Pipeline_tbl[[#This Row],[Rep_ID]],Dim_Reps!A:A,Dim_Reps!K:K)</f>
        <v>MXN</v>
      </c>
      <c r="N2298" s="33">
        <f>(_xlfn.XLOOKUP(Pipeline_tbl[[#This Row],[Rate_Code_Generalized]],Lookups!A:A,Lookups!B:B))*Pipeline_tbl[[#This Row],[Pipeline_Amount_USD]]</f>
        <v>43411.94</v>
      </c>
      <c r="O2298" t="str">
        <f>_xlfn.XLOOKUP(Pipeline_tbl[[#This Row],[Rep_ID]],Dim_Reps!A:A,Dim_Reps!B:B)</f>
        <v>Milo Castro</v>
      </c>
      <c r="P2298" t="str">
        <f>_xlfn.XLOOKUP(Pipeline_tbl[[#This Row],[Rep_ID]],Dim_Reps!A:A,Dim_Reps!C:C)</f>
        <v>SDR / Inside Sales Rep</v>
      </c>
      <c r="Q2298" t="str">
        <f>_xlfn.XLOOKUP(Pipeline_tbl[[#This Row],[Rep_ID]],Dim_Reps!A:A,Dim_Reps!D:D)</f>
        <v>Inside Sales</v>
      </c>
      <c r="R2298" t="str">
        <f>_xlfn.XLOOKUP(Pipeline_tbl[[#This Row],[Rep_ID]],Dim_Reps!A:A,Dim_Reps!E:E)</f>
        <v>LATAM</v>
      </c>
      <c r="S2298" t="str">
        <f>_xlfn.XLOOKUP(Pipeline_tbl[[#This Row],[Created_Date]],Dim_Date!A:A,Dim_Date!H:H)</f>
        <v>May 2025</v>
      </c>
      <c r="T2298" t="str">
        <f>IF(Pipeline_tbl[[#This Row],[Closed_Date]]=0,"",(_xlfn.XLOOKUP(Pipeline_tbl[[#This Row],[Closed_Date]],Dim_Date!A:A,Dim_Date!H:H)))</f>
        <v>Jun 2025</v>
      </c>
      <c r="U2298">
        <f>IF(Pipeline_tbl[[#This Row],[Closed_Date]]=0,"",Pipeline_tbl[[#This Row],[Closed_Date]]-Pipeline_tbl[[#This Row],[Created_Date]])</f>
        <v>23</v>
      </c>
    </row>
    <row r="2299" spans="1:21" ht="15" customHeight="1" x14ac:dyDescent="0.2">
      <c r="A2299" t="s">
        <v>2605</v>
      </c>
      <c r="B2299" t="s">
        <v>235</v>
      </c>
      <c r="C2299" t="s">
        <v>53</v>
      </c>
      <c r="D2299" s="49">
        <v>45798</v>
      </c>
      <c r="E2299" s="49">
        <v>45800</v>
      </c>
      <c r="F2299" s="49">
        <v>45804</v>
      </c>
      <c r="G2299" s="49">
        <v>45810</v>
      </c>
      <c r="H2299" s="49">
        <v>45815</v>
      </c>
      <c r="I2299" s="49">
        <v>45818</v>
      </c>
      <c r="J2299" t="s">
        <v>47</v>
      </c>
      <c r="K2299" s="33">
        <v>1800</v>
      </c>
      <c r="M2299" t="str">
        <f>_xlfn.XLOOKUP(Pipeline_tbl[[#This Row],[Rep_ID]],Dim_Reps!A:A,Dim_Reps!K:K)</f>
        <v>MXN</v>
      </c>
      <c r="N2299" s="33">
        <f>(_xlfn.XLOOKUP(Pipeline_tbl[[#This Row],[Rate_Code_Generalized]],Lookups!A:A,Lookups!B:B))*Pipeline_tbl[[#This Row],[Pipeline_Amount_USD]]</f>
        <v>35518.86</v>
      </c>
      <c r="O2299" t="str">
        <f>_xlfn.XLOOKUP(Pipeline_tbl[[#This Row],[Rep_ID]],Dim_Reps!A:A,Dim_Reps!B:B)</f>
        <v>Milo Castro</v>
      </c>
      <c r="P2299" t="str">
        <f>_xlfn.XLOOKUP(Pipeline_tbl[[#This Row],[Rep_ID]],Dim_Reps!A:A,Dim_Reps!C:C)</f>
        <v>SDR / Inside Sales Rep</v>
      </c>
      <c r="Q2299" t="str">
        <f>_xlfn.XLOOKUP(Pipeline_tbl[[#This Row],[Rep_ID]],Dim_Reps!A:A,Dim_Reps!D:D)</f>
        <v>Inside Sales</v>
      </c>
      <c r="R2299" t="str">
        <f>_xlfn.XLOOKUP(Pipeline_tbl[[#This Row],[Rep_ID]],Dim_Reps!A:A,Dim_Reps!E:E)</f>
        <v>LATAM</v>
      </c>
      <c r="S2299" t="str">
        <f>_xlfn.XLOOKUP(Pipeline_tbl[[#This Row],[Created_Date]],Dim_Date!A:A,Dim_Date!H:H)</f>
        <v>May 2025</v>
      </c>
      <c r="T2299" t="str">
        <f>IF(Pipeline_tbl[[#This Row],[Closed_Date]]=0,"",(_xlfn.XLOOKUP(Pipeline_tbl[[#This Row],[Closed_Date]],Dim_Date!A:A,Dim_Date!H:H)))</f>
        <v>Jun 2025</v>
      </c>
      <c r="U2299">
        <f>IF(Pipeline_tbl[[#This Row],[Closed_Date]]=0,"",Pipeline_tbl[[#This Row],[Closed_Date]]-Pipeline_tbl[[#This Row],[Created_Date]])</f>
        <v>20</v>
      </c>
    </row>
    <row r="2300" spans="1:21" ht="15" customHeight="1" x14ac:dyDescent="0.2">
      <c r="A2300" t="s">
        <v>2606</v>
      </c>
      <c r="B2300" t="s">
        <v>235</v>
      </c>
      <c r="C2300" t="s">
        <v>56</v>
      </c>
      <c r="D2300" s="49">
        <v>45796</v>
      </c>
      <c r="E2300" s="49">
        <v>45799</v>
      </c>
      <c r="I2300" s="49">
        <v>45824</v>
      </c>
      <c r="J2300" t="s">
        <v>49</v>
      </c>
      <c r="K2300" s="33">
        <v>2000</v>
      </c>
      <c r="L2300" t="s">
        <v>60</v>
      </c>
      <c r="M2300" t="str">
        <f>_xlfn.XLOOKUP(Pipeline_tbl[[#This Row],[Rep_ID]],Dim_Reps!A:A,Dim_Reps!K:K)</f>
        <v>MXN</v>
      </c>
      <c r="N2300" s="33">
        <f>(_xlfn.XLOOKUP(Pipeline_tbl[[#This Row],[Rate_Code_Generalized]],Lookups!A:A,Lookups!B:B))*Pipeline_tbl[[#This Row],[Pipeline_Amount_USD]]</f>
        <v>39465.4</v>
      </c>
      <c r="O2300" t="str">
        <f>_xlfn.XLOOKUP(Pipeline_tbl[[#This Row],[Rep_ID]],Dim_Reps!A:A,Dim_Reps!B:B)</f>
        <v>Milo Castro</v>
      </c>
      <c r="P2300" t="str">
        <f>_xlfn.XLOOKUP(Pipeline_tbl[[#This Row],[Rep_ID]],Dim_Reps!A:A,Dim_Reps!C:C)</f>
        <v>SDR / Inside Sales Rep</v>
      </c>
      <c r="Q2300" t="str">
        <f>_xlfn.XLOOKUP(Pipeline_tbl[[#This Row],[Rep_ID]],Dim_Reps!A:A,Dim_Reps!D:D)</f>
        <v>Inside Sales</v>
      </c>
      <c r="R2300" t="str">
        <f>_xlfn.XLOOKUP(Pipeline_tbl[[#This Row],[Rep_ID]],Dim_Reps!A:A,Dim_Reps!E:E)</f>
        <v>LATAM</v>
      </c>
      <c r="S2300" t="str">
        <f>_xlfn.XLOOKUP(Pipeline_tbl[[#This Row],[Created_Date]],Dim_Date!A:A,Dim_Date!H:H)</f>
        <v>May 2025</v>
      </c>
      <c r="T2300" t="str">
        <f>IF(Pipeline_tbl[[#This Row],[Closed_Date]]=0,"",(_xlfn.XLOOKUP(Pipeline_tbl[[#This Row],[Closed_Date]],Dim_Date!A:A,Dim_Date!H:H)))</f>
        <v>Jun 2025</v>
      </c>
      <c r="U2300">
        <f>IF(Pipeline_tbl[[#This Row],[Closed_Date]]=0,"",Pipeline_tbl[[#This Row],[Closed_Date]]-Pipeline_tbl[[#This Row],[Created_Date]])</f>
        <v>28</v>
      </c>
    </row>
    <row r="2301" spans="1:21" ht="15" customHeight="1" x14ac:dyDescent="0.2">
      <c r="A2301" t="s">
        <v>2607</v>
      </c>
      <c r="B2301" t="s">
        <v>235</v>
      </c>
      <c r="C2301" t="s">
        <v>53</v>
      </c>
      <c r="D2301" s="49">
        <v>45796</v>
      </c>
      <c r="E2301" s="49">
        <v>45798</v>
      </c>
      <c r="F2301" s="49">
        <v>45802</v>
      </c>
      <c r="G2301" s="49">
        <v>45807</v>
      </c>
      <c r="H2301" s="49">
        <v>45812</v>
      </c>
      <c r="I2301" s="49">
        <v>45815</v>
      </c>
      <c r="J2301" t="s">
        <v>49</v>
      </c>
      <c r="K2301" s="33">
        <v>1300</v>
      </c>
      <c r="L2301" t="s">
        <v>60</v>
      </c>
      <c r="M2301" t="str">
        <f>_xlfn.XLOOKUP(Pipeline_tbl[[#This Row],[Rep_ID]],Dim_Reps!A:A,Dim_Reps!K:K)</f>
        <v>MXN</v>
      </c>
      <c r="N2301" s="33">
        <f>(_xlfn.XLOOKUP(Pipeline_tbl[[#This Row],[Rate_Code_Generalized]],Lookups!A:A,Lookups!B:B))*Pipeline_tbl[[#This Row],[Pipeline_Amount_USD]]</f>
        <v>25652.510000000002</v>
      </c>
      <c r="O2301" t="str">
        <f>_xlfn.XLOOKUP(Pipeline_tbl[[#This Row],[Rep_ID]],Dim_Reps!A:A,Dim_Reps!B:B)</f>
        <v>Milo Castro</v>
      </c>
      <c r="P2301" t="str">
        <f>_xlfn.XLOOKUP(Pipeline_tbl[[#This Row],[Rep_ID]],Dim_Reps!A:A,Dim_Reps!C:C)</f>
        <v>SDR / Inside Sales Rep</v>
      </c>
      <c r="Q2301" t="str">
        <f>_xlfn.XLOOKUP(Pipeline_tbl[[#This Row],[Rep_ID]],Dim_Reps!A:A,Dim_Reps!D:D)</f>
        <v>Inside Sales</v>
      </c>
      <c r="R2301" t="str">
        <f>_xlfn.XLOOKUP(Pipeline_tbl[[#This Row],[Rep_ID]],Dim_Reps!A:A,Dim_Reps!E:E)</f>
        <v>LATAM</v>
      </c>
      <c r="S2301" t="str">
        <f>_xlfn.XLOOKUP(Pipeline_tbl[[#This Row],[Created_Date]],Dim_Date!A:A,Dim_Date!H:H)</f>
        <v>May 2025</v>
      </c>
      <c r="T2301" t="str">
        <f>IF(Pipeline_tbl[[#This Row],[Closed_Date]]=0,"",(_xlfn.XLOOKUP(Pipeline_tbl[[#This Row],[Closed_Date]],Dim_Date!A:A,Dim_Date!H:H)))</f>
        <v>Jun 2025</v>
      </c>
      <c r="U2301">
        <f>IF(Pipeline_tbl[[#This Row],[Closed_Date]]=0,"",Pipeline_tbl[[#This Row],[Closed_Date]]-Pipeline_tbl[[#This Row],[Created_Date]])</f>
        <v>19</v>
      </c>
    </row>
    <row r="2302" spans="1:21" ht="15" customHeight="1" x14ac:dyDescent="0.2">
      <c r="A2302" t="s">
        <v>2608</v>
      </c>
      <c r="B2302" t="s">
        <v>235</v>
      </c>
      <c r="C2302" t="s">
        <v>52</v>
      </c>
      <c r="D2302" s="49">
        <v>45808</v>
      </c>
      <c r="E2302" s="49">
        <v>45810</v>
      </c>
      <c r="F2302" s="49">
        <v>45813</v>
      </c>
      <c r="G2302" s="49">
        <v>45817</v>
      </c>
      <c r="H2302" s="49">
        <v>45821</v>
      </c>
      <c r="I2302" s="49">
        <v>45823</v>
      </c>
      <c r="J2302" t="s">
        <v>47</v>
      </c>
      <c r="K2302" s="33">
        <v>7100</v>
      </c>
      <c r="M2302" t="str">
        <f>_xlfn.XLOOKUP(Pipeline_tbl[[#This Row],[Rep_ID]],Dim_Reps!A:A,Dim_Reps!K:K)</f>
        <v>MXN</v>
      </c>
      <c r="N2302" s="33">
        <f>(_xlfn.XLOOKUP(Pipeline_tbl[[#This Row],[Rate_Code_Generalized]],Lookups!A:A,Lookups!B:B))*Pipeline_tbl[[#This Row],[Pipeline_Amount_USD]]</f>
        <v>140102.17000000001</v>
      </c>
      <c r="O2302" t="str">
        <f>_xlfn.XLOOKUP(Pipeline_tbl[[#This Row],[Rep_ID]],Dim_Reps!A:A,Dim_Reps!B:B)</f>
        <v>Milo Castro</v>
      </c>
      <c r="P2302" t="str">
        <f>_xlfn.XLOOKUP(Pipeline_tbl[[#This Row],[Rep_ID]],Dim_Reps!A:A,Dim_Reps!C:C)</f>
        <v>SDR / Inside Sales Rep</v>
      </c>
      <c r="Q2302" t="str">
        <f>_xlfn.XLOOKUP(Pipeline_tbl[[#This Row],[Rep_ID]],Dim_Reps!A:A,Dim_Reps!D:D)</f>
        <v>Inside Sales</v>
      </c>
      <c r="R2302" t="str">
        <f>_xlfn.XLOOKUP(Pipeline_tbl[[#This Row],[Rep_ID]],Dim_Reps!A:A,Dim_Reps!E:E)</f>
        <v>LATAM</v>
      </c>
      <c r="S2302" t="str">
        <f>_xlfn.XLOOKUP(Pipeline_tbl[[#This Row],[Created_Date]],Dim_Date!A:A,Dim_Date!H:H)</f>
        <v>May 2025</v>
      </c>
      <c r="T2302" t="str">
        <f>IF(Pipeline_tbl[[#This Row],[Closed_Date]]=0,"",(_xlfn.XLOOKUP(Pipeline_tbl[[#This Row],[Closed_Date]],Dim_Date!A:A,Dim_Date!H:H)))</f>
        <v>Jun 2025</v>
      </c>
      <c r="U2302">
        <f>IF(Pipeline_tbl[[#This Row],[Closed_Date]]=0,"",Pipeline_tbl[[#This Row],[Closed_Date]]-Pipeline_tbl[[#This Row],[Created_Date]])</f>
        <v>15</v>
      </c>
    </row>
    <row r="2303" spans="1:21" ht="15" customHeight="1" x14ac:dyDescent="0.2">
      <c r="A2303" t="s">
        <v>2609</v>
      </c>
      <c r="B2303" t="s">
        <v>235</v>
      </c>
      <c r="C2303" t="s">
        <v>53</v>
      </c>
      <c r="D2303" s="49">
        <v>45797</v>
      </c>
      <c r="E2303" s="49">
        <v>45799</v>
      </c>
      <c r="F2303" s="49">
        <v>45803</v>
      </c>
      <c r="I2303" s="49">
        <v>45817</v>
      </c>
      <c r="J2303" t="s">
        <v>49</v>
      </c>
      <c r="K2303" s="33">
        <v>3200</v>
      </c>
      <c r="L2303" t="s">
        <v>60</v>
      </c>
      <c r="M2303" t="str">
        <f>_xlfn.XLOOKUP(Pipeline_tbl[[#This Row],[Rep_ID]],Dim_Reps!A:A,Dim_Reps!K:K)</f>
        <v>MXN</v>
      </c>
      <c r="N2303" s="33">
        <f>(_xlfn.XLOOKUP(Pipeline_tbl[[#This Row],[Rate_Code_Generalized]],Lookups!A:A,Lookups!B:B))*Pipeline_tbl[[#This Row],[Pipeline_Amount_USD]]</f>
        <v>63144.640000000007</v>
      </c>
      <c r="O2303" t="str">
        <f>_xlfn.XLOOKUP(Pipeline_tbl[[#This Row],[Rep_ID]],Dim_Reps!A:A,Dim_Reps!B:B)</f>
        <v>Milo Castro</v>
      </c>
      <c r="P2303" t="str">
        <f>_xlfn.XLOOKUP(Pipeline_tbl[[#This Row],[Rep_ID]],Dim_Reps!A:A,Dim_Reps!C:C)</f>
        <v>SDR / Inside Sales Rep</v>
      </c>
      <c r="Q2303" t="str">
        <f>_xlfn.XLOOKUP(Pipeline_tbl[[#This Row],[Rep_ID]],Dim_Reps!A:A,Dim_Reps!D:D)</f>
        <v>Inside Sales</v>
      </c>
      <c r="R2303" t="str">
        <f>_xlfn.XLOOKUP(Pipeline_tbl[[#This Row],[Rep_ID]],Dim_Reps!A:A,Dim_Reps!E:E)</f>
        <v>LATAM</v>
      </c>
      <c r="S2303" t="str">
        <f>_xlfn.XLOOKUP(Pipeline_tbl[[#This Row],[Created_Date]],Dim_Date!A:A,Dim_Date!H:H)</f>
        <v>May 2025</v>
      </c>
      <c r="T2303" t="str">
        <f>IF(Pipeline_tbl[[#This Row],[Closed_Date]]=0,"",(_xlfn.XLOOKUP(Pipeline_tbl[[#This Row],[Closed_Date]],Dim_Date!A:A,Dim_Date!H:H)))</f>
        <v>Jun 2025</v>
      </c>
      <c r="U2303">
        <f>IF(Pipeline_tbl[[#This Row],[Closed_Date]]=0,"",Pipeline_tbl[[#This Row],[Closed_Date]]-Pipeline_tbl[[#This Row],[Created_Date]])</f>
        <v>20</v>
      </c>
    </row>
    <row r="2304" spans="1:21" ht="15" customHeight="1" x14ac:dyDescent="0.2">
      <c r="A2304" t="s">
        <v>2610</v>
      </c>
      <c r="B2304" t="s">
        <v>237</v>
      </c>
      <c r="C2304" t="s">
        <v>52</v>
      </c>
      <c r="D2304" s="49">
        <v>45800</v>
      </c>
      <c r="E2304" s="49">
        <v>45801</v>
      </c>
      <c r="F2304" s="49">
        <v>45804</v>
      </c>
      <c r="G2304" s="49">
        <v>45807</v>
      </c>
      <c r="I2304" s="49">
        <v>45812</v>
      </c>
      <c r="J2304" t="s">
        <v>49</v>
      </c>
      <c r="K2304" s="33">
        <v>3200</v>
      </c>
      <c r="L2304" t="s">
        <v>60</v>
      </c>
      <c r="M2304" t="str">
        <f>_xlfn.XLOOKUP(Pipeline_tbl[[#This Row],[Rep_ID]],Dim_Reps!A:A,Dim_Reps!K:K)</f>
        <v>EUR</v>
      </c>
      <c r="N2304" s="33">
        <f>(_xlfn.XLOOKUP(Pipeline_tbl[[#This Row],[Rate_Code_Generalized]],Lookups!A:A,Lookups!B:B))*Pipeline_tbl[[#This Row],[Pipeline_Amount_USD]]</f>
        <v>3200</v>
      </c>
      <c r="O2304" t="str">
        <f>_xlfn.XLOOKUP(Pipeline_tbl[[#This Row],[Rep_ID]],Dim_Reps!A:A,Dim_Reps!B:B)</f>
        <v>Hugo Santos</v>
      </c>
      <c r="P2304" t="str">
        <f>_xlfn.XLOOKUP(Pipeline_tbl[[#This Row],[Rep_ID]],Dim_Reps!A:A,Dim_Reps!C:C)</f>
        <v>SDR / Inside Sales Rep</v>
      </c>
      <c r="Q2304" t="str">
        <f>_xlfn.XLOOKUP(Pipeline_tbl[[#This Row],[Rep_ID]],Dim_Reps!A:A,Dim_Reps!D:D)</f>
        <v>Inside Sales</v>
      </c>
      <c r="R2304" t="str">
        <f>_xlfn.XLOOKUP(Pipeline_tbl[[#This Row],[Rep_ID]],Dim_Reps!A:A,Dim_Reps!E:E)</f>
        <v>EMEA</v>
      </c>
      <c r="S2304" t="str">
        <f>_xlfn.XLOOKUP(Pipeline_tbl[[#This Row],[Created_Date]],Dim_Date!A:A,Dim_Date!H:H)</f>
        <v>May 2025</v>
      </c>
      <c r="T2304" t="str">
        <f>IF(Pipeline_tbl[[#This Row],[Closed_Date]]=0,"",(_xlfn.XLOOKUP(Pipeline_tbl[[#This Row],[Closed_Date]],Dim_Date!A:A,Dim_Date!H:H)))</f>
        <v>Jun 2025</v>
      </c>
      <c r="U2304">
        <f>IF(Pipeline_tbl[[#This Row],[Closed_Date]]=0,"",Pipeline_tbl[[#This Row],[Closed_Date]]-Pipeline_tbl[[#This Row],[Created_Date]])</f>
        <v>12</v>
      </c>
    </row>
    <row r="2305" spans="1:21" ht="15" customHeight="1" x14ac:dyDescent="0.2">
      <c r="A2305" t="s">
        <v>2611</v>
      </c>
      <c r="B2305" t="s">
        <v>237</v>
      </c>
      <c r="C2305" t="s">
        <v>52</v>
      </c>
      <c r="D2305" s="49">
        <v>45801</v>
      </c>
      <c r="E2305" s="49">
        <v>45803</v>
      </c>
      <c r="F2305" s="49">
        <v>45808</v>
      </c>
      <c r="G2305" s="49">
        <v>45815</v>
      </c>
      <c r="H2305" s="49">
        <v>45821</v>
      </c>
      <c r="I2305" s="49">
        <v>45824</v>
      </c>
      <c r="J2305" t="s">
        <v>49</v>
      </c>
      <c r="K2305" s="33">
        <v>3600</v>
      </c>
      <c r="L2305" t="s">
        <v>64</v>
      </c>
      <c r="M2305" t="str">
        <f>_xlfn.XLOOKUP(Pipeline_tbl[[#This Row],[Rep_ID]],Dim_Reps!A:A,Dim_Reps!K:K)</f>
        <v>EUR</v>
      </c>
      <c r="N2305" s="33">
        <f>(_xlfn.XLOOKUP(Pipeline_tbl[[#This Row],[Rate_Code_Generalized]],Lookups!A:A,Lookups!B:B))*Pipeline_tbl[[#This Row],[Pipeline_Amount_USD]]</f>
        <v>3600</v>
      </c>
      <c r="O2305" t="str">
        <f>_xlfn.XLOOKUP(Pipeline_tbl[[#This Row],[Rep_ID]],Dim_Reps!A:A,Dim_Reps!B:B)</f>
        <v>Hugo Santos</v>
      </c>
      <c r="P2305" t="str">
        <f>_xlfn.XLOOKUP(Pipeline_tbl[[#This Row],[Rep_ID]],Dim_Reps!A:A,Dim_Reps!C:C)</f>
        <v>SDR / Inside Sales Rep</v>
      </c>
      <c r="Q2305" t="str">
        <f>_xlfn.XLOOKUP(Pipeline_tbl[[#This Row],[Rep_ID]],Dim_Reps!A:A,Dim_Reps!D:D)</f>
        <v>Inside Sales</v>
      </c>
      <c r="R2305" t="str">
        <f>_xlfn.XLOOKUP(Pipeline_tbl[[#This Row],[Rep_ID]],Dim_Reps!A:A,Dim_Reps!E:E)</f>
        <v>EMEA</v>
      </c>
      <c r="S2305" t="str">
        <f>_xlfn.XLOOKUP(Pipeline_tbl[[#This Row],[Created_Date]],Dim_Date!A:A,Dim_Date!H:H)</f>
        <v>May 2025</v>
      </c>
      <c r="T2305" t="str">
        <f>IF(Pipeline_tbl[[#This Row],[Closed_Date]]=0,"",(_xlfn.XLOOKUP(Pipeline_tbl[[#This Row],[Closed_Date]],Dim_Date!A:A,Dim_Date!H:H)))</f>
        <v>Jun 2025</v>
      </c>
      <c r="U2305">
        <f>IF(Pipeline_tbl[[#This Row],[Closed_Date]]=0,"",Pipeline_tbl[[#This Row],[Closed_Date]]-Pipeline_tbl[[#This Row],[Created_Date]])</f>
        <v>23</v>
      </c>
    </row>
    <row r="2306" spans="1:21" ht="15" customHeight="1" x14ac:dyDescent="0.2">
      <c r="A2306" t="s">
        <v>2612</v>
      </c>
      <c r="B2306" t="s">
        <v>237</v>
      </c>
      <c r="C2306" t="s">
        <v>52</v>
      </c>
      <c r="D2306" s="49">
        <v>45808</v>
      </c>
      <c r="E2306" s="49">
        <v>45809</v>
      </c>
      <c r="F2306" s="49">
        <v>45812</v>
      </c>
      <c r="G2306" s="49">
        <v>45816</v>
      </c>
      <c r="H2306" s="49">
        <v>45820</v>
      </c>
      <c r="I2306" s="49">
        <v>45822</v>
      </c>
      <c r="J2306" t="s">
        <v>47</v>
      </c>
      <c r="K2306" s="33">
        <v>5600</v>
      </c>
      <c r="M2306" t="str">
        <f>_xlfn.XLOOKUP(Pipeline_tbl[[#This Row],[Rep_ID]],Dim_Reps!A:A,Dim_Reps!K:K)</f>
        <v>EUR</v>
      </c>
      <c r="N2306" s="33">
        <f>(_xlfn.XLOOKUP(Pipeline_tbl[[#This Row],[Rate_Code_Generalized]],Lookups!A:A,Lookups!B:B))*Pipeline_tbl[[#This Row],[Pipeline_Amount_USD]]</f>
        <v>5600</v>
      </c>
      <c r="O2306" t="str">
        <f>_xlfn.XLOOKUP(Pipeline_tbl[[#This Row],[Rep_ID]],Dim_Reps!A:A,Dim_Reps!B:B)</f>
        <v>Hugo Santos</v>
      </c>
      <c r="P2306" t="str">
        <f>_xlfn.XLOOKUP(Pipeline_tbl[[#This Row],[Rep_ID]],Dim_Reps!A:A,Dim_Reps!C:C)</f>
        <v>SDR / Inside Sales Rep</v>
      </c>
      <c r="Q2306" t="str">
        <f>_xlfn.XLOOKUP(Pipeline_tbl[[#This Row],[Rep_ID]],Dim_Reps!A:A,Dim_Reps!D:D)</f>
        <v>Inside Sales</v>
      </c>
      <c r="R2306" t="str">
        <f>_xlfn.XLOOKUP(Pipeline_tbl[[#This Row],[Rep_ID]],Dim_Reps!A:A,Dim_Reps!E:E)</f>
        <v>EMEA</v>
      </c>
      <c r="S2306" t="str">
        <f>_xlfn.XLOOKUP(Pipeline_tbl[[#This Row],[Created_Date]],Dim_Date!A:A,Dim_Date!H:H)</f>
        <v>May 2025</v>
      </c>
      <c r="T2306" t="str">
        <f>IF(Pipeline_tbl[[#This Row],[Closed_Date]]=0,"",(_xlfn.XLOOKUP(Pipeline_tbl[[#This Row],[Closed_Date]],Dim_Date!A:A,Dim_Date!H:H)))</f>
        <v>Jun 2025</v>
      </c>
      <c r="U2306">
        <f>IF(Pipeline_tbl[[#This Row],[Closed_Date]]=0,"",Pipeline_tbl[[#This Row],[Closed_Date]]-Pipeline_tbl[[#This Row],[Created_Date]])</f>
        <v>14</v>
      </c>
    </row>
    <row r="2307" spans="1:21" ht="15" customHeight="1" x14ac:dyDescent="0.2">
      <c r="A2307" t="s">
        <v>2613</v>
      </c>
      <c r="B2307" t="s">
        <v>237</v>
      </c>
      <c r="C2307" t="s">
        <v>52</v>
      </c>
      <c r="D2307" s="49">
        <v>45805</v>
      </c>
      <c r="E2307" s="49">
        <v>45806</v>
      </c>
      <c r="F2307" s="49">
        <v>45809</v>
      </c>
      <c r="I2307" s="49">
        <v>45817</v>
      </c>
      <c r="J2307" t="s">
        <v>49</v>
      </c>
      <c r="K2307" s="33">
        <v>4800</v>
      </c>
      <c r="L2307" t="s">
        <v>62</v>
      </c>
      <c r="M2307" t="str">
        <f>_xlfn.XLOOKUP(Pipeline_tbl[[#This Row],[Rep_ID]],Dim_Reps!A:A,Dim_Reps!K:K)</f>
        <v>EUR</v>
      </c>
      <c r="N2307" s="33">
        <f>(_xlfn.XLOOKUP(Pipeline_tbl[[#This Row],[Rate_Code_Generalized]],Lookups!A:A,Lookups!B:B))*Pipeline_tbl[[#This Row],[Pipeline_Amount_USD]]</f>
        <v>4800</v>
      </c>
      <c r="O2307" t="str">
        <f>_xlfn.XLOOKUP(Pipeline_tbl[[#This Row],[Rep_ID]],Dim_Reps!A:A,Dim_Reps!B:B)</f>
        <v>Hugo Santos</v>
      </c>
      <c r="P2307" t="str">
        <f>_xlfn.XLOOKUP(Pipeline_tbl[[#This Row],[Rep_ID]],Dim_Reps!A:A,Dim_Reps!C:C)</f>
        <v>SDR / Inside Sales Rep</v>
      </c>
      <c r="Q2307" t="str">
        <f>_xlfn.XLOOKUP(Pipeline_tbl[[#This Row],[Rep_ID]],Dim_Reps!A:A,Dim_Reps!D:D)</f>
        <v>Inside Sales</v>
      </c>
      <c r="R2307" t="str">
        <f>_xlfn.XLOOKUP(Pipeline_tbl[[#This Row],[Rep_ID]],Dim_Reps!A:A,Dim_Reps!E:E)</f>
        <v>EMEA</v>
      </c>
      <c r="S2307" t="str">
        <f>_xlfn.XLOOKUP(Pipeline_tbl[[#This Row],[Created_Date]],Dim_Date!A:A,Dim_Date!H:H)</f>
        <v>May 2025</v>
      </c>
      <c r="T2307" t="str">
        <f>IF(Pipeline_tbl[[#This Row],[Closed_Date]]=0,"",(_xlfn.XLOOKUP(Pipeline_tbl[[#This Row],[Closed_Date]],Dim_Date!A:A,Dim_Date!H:H)))</f>
        <v>Jun 2025</v>
      </c>
      <c r="U2307">
        <f>IF(Pipeline_tbl[[#This Row],[Closed_Date]]=0,"",Pipeline_tbl[[#This Row],[Closed_Date]]-Pipeline_tbl[[#This Row],[Created_Date]])</f>
        <v>12</v>
      </c>
    </row>
    <row r="2308" spans="1:21" ht="15" customHeight="1" x14ac:dyDescent="0.2">
      <c r="A2308" t="s">
        <v>2614</v>
      </c>
      <c r="B2308" t="s">
        <v>269</v>
      </c>
      <c r="C2308" t="s">
        <v>54</v>
      </c>
      <c r="D2308" s="49">
        <v>45786</v>
      </c>
      <c r="E2308" s="49">
        <v>45788</v>
      </c>
      <c r="F2308" s="49">
        <v>45794</v>
      </c>
      <c r="G2308" s="49">
        <v>45801</v>
      </c>
      <c r="H2308" s="49">
        <v>45807</v>
      </c>
      <c r="I2308" s="49">
        <v>45811</v>
      </c>
      <c r="J2308" t="s">
        <v>49</v>
      </c>
      <c r="K2308" s="33">
        <v>7800</v>
      </c>
      <c r="L2308" t="s">
        <v>61</v>
      </c>
      <c r="M2308" t="str">
        <f>_xlfn.XLOOKUP(Pipeline_tbl[[#This Row],[Rep_ID]],Dim_Reps!A:A,Dim_Reps!K:K)</f>
        <v>USD</v>
      </c>
      <c r="N2308" s="33">
        <f>(_xlfn.XLOOKUP(Pipeline_tbl[[#This Row],[Rate_Code_Generalized]],Lookups!A:A,Lookups!B:B))*Pipeline_tbl[[#This Row],[Pipeline_Amount_USD]]</f>
        <v>9081.5399999999991</v>
      </c>
      <c r="O2308" t="str">
        <f>_xlfn.XLOOKUP(Pipeline_tbl[[#This Row],[Rep_ID]],Dim_Reps!A:A,Dim_Reps!B:B)</f>
        <v>Morgan Rivera</v>
      </c>
      <c r="P2308" t="str">
        <f>_xlfn.XLOOKUP(Pipeline_tbl[[#This Row],[Rep_ID]],Dim_Reps!A:A,Dim_Reps!C:C)</f>
        <v>Mid-Market AE</v>
      </c>
      <c r="Q2308" t="str">
        <f>_xlfn.XLOOKUP(Pipeline_tbl[[#This Row],[Rep_ID]],Dim_Reps!A:A,Dim_Reps!D:D)</f>
        <v>Mid-Market</v>
      </c>
      <c r="R2308" t="str">
        <f>_xlfn.XLOOKUP(Pipeline_tbl[[#This Row],[Rep_ID]],Dim_Reps!A:A,Dim_Reps!E:E)</f>
        <v>NAMER</v>
      </c>
      <c r="S2308" t="str">
        <f>_xlfn.XLOOKUP(Pipeline_tbl[[#This Row],[Created_Date]],Dim_Date!A:A,Dim_Date!H:H)</f>
        <v>May 2025</v>
      </c>
      <c r="T2308" t="str">
        <f>IF(Pipeline_tbl[[#This Row],[Closed_Date]]=0,"",(_xlfn.XLOOKUP(Pipeline_tbl[[#This Row],[Closed_Date]],Dim_Date!A:A,Dim_Date!H:H)))</f>
        <v>Jun 2025</v>
      </c>
      <c r="U2308">
        <f>IF(Pipeline_tbl[[#This Row],[Closed_Date]]=0,"",Pipeline_tbl[[#This Row],[Closed_Date]]-Pipeline_tbl[[#This Row],[Created_Date]])</f>
        <v>25</v>
      </c>
    </row>
    <row r="2309" spans="1:21" ht="15" customHeight="1" x14ac:dyDescent="0.2">
      <c r="A2309" t="s">
        <v>2615</v>
      </c>
      <c r="B2309" t="s">
        <v>269</v>
      </c>
      <c r="C2309" t="s">
        <v>53</v>
      </c>
      <c r="D2309" s="49">
        <v>45797</v>
      </c>
      <c r="E2309" s="49">
        <v>45800</v>
      </c>
      <c r="F2309" s="49">
        <v>45806</v>
      </c>
      <c r="G2309" s="49">
        <v>45816</v>
      </c>
      <c r="H2309" s="49">
        <v>45823</v>
      </c>
      <c r="I2309" s="49">
        <v>45828</v>
      </c>
      <c r="J2309" t="s">
        <v>47</v>
      </c>
      <c r="K2309" s="33">
        <v>16200</v>
      </c>
      <c r="M2309" t="str">
        <f>_xlfn.XLOOKUP(Pipeline_tbl[[#This Row],[Rep_ID]],Dim_Reps!A:A,Dim_Reps!K:K)</f>
        <v>USD</v>
      </c>
      <c r="N2309" s="33">
        <f>(_xlfn.XLOOKUP(Pipeline_tbl[[#This Row],[Rate_Code_Generalized]],Lookups!A:A,Lookups!B:B))*Pipeline_tbl[[#This Row],[Pipeline_Amount_USD]]</f>
        <v>18861.66</v>
      </c>
      <c r="O2309" t="str">
        <f>_xlfn.XLOOKUP(Pipeline_tbl[[#This Row],[Rep_ID]],Dim_Reps!A:A,Dim_Reps!B:B)</f>
        <v>Morgan Rivera</v>
      </c>
      <c r="P2309" t="str">
        <f>_xlfn.XLOOKUP(Pipeline_tbl[[#This Row],[Rep_ID]],Dim_Reps!A:A,Dim_Reps!C:C)</f>
        <v>Mid-Market AE</v>
      </c>
      <c r="Q2309" t="str">
        <f>_xlfn.XLOOKUP(Pipeline_tbl[[#This Row],[Rep_ID]],Dim_Reps!A:A,Dim_Reps!D:D)</f>
        <v>Mid-Market</v>
      </c>
      <c r="R2309" t="str">
        <f>_xlfn.XLOOKUP(Pipeline_tbl[[#This Row],[Rep_ID]],Dim_Reps!A:A,Dim_Reps!E:E)</f>
        <v>NAMER</v>
      </c>
      <c r="S2309" t="str">
        <f>_xlfn.XLOOKUP(Pipeline_tbl[[#This Row],[Created_Date]],Dim_Date!A:A,Dim_Date!H:H)</f>
        <v>May 2025</v>
      </c>
      <c r="T2309" t="str">
        <f>IF(Pipeline_tbl[[#This Row],[Closed_Date]]=0,"",(_xlfn.XLOOKUP(Pipeline_tbl[[#This Row],[Closed_Date]],Dim_Date!A:A,Dim_Date!H:H)))</f>
        <v>Jun 2025</v>
      </c>
      <c r="U2309">
        <f>IF(Pipeline_tbl[[#This Row],[Closed_Date]]=0,"",Pipeline_tbl[[#This Row],[Closed_Date]]-Pipeline_tbl[[#This Row],[Created_Date]])</f>
        <v>31</v>
      </c>
    </row>
    <row r="2310" spans="1:21" ht="15" customHeight="1" x14ac:dyDescent="0.2">
      <c r="A2310" t="s">
        <v>2616</v>
      </c>
      <c r="B2310" t="s">
        <v>269</v>
      </c>
      <c r="C2310" t="s">
        <v>54</v>
      </c>
      <c r="D2310" s="49">
        <v>45784</v>
      </c>
      <c r="E2310" s="49">
        <v>45788</v>
      </c>
      <c r="F2310" s="49">
        <v>45797</v>
      </c>
      <c r="G2310" s="49">
        <v>45810</v>
      </c>
      <c r="H2310" s="49">
        <v>45821</v>
      </c>
      <c r="I2310" s="49">
        <v>45827</v>
      </c>
      <c r="J2310" t="s">
        <v>47</v>
      </c>
      <c r="K2310" s="33">
        <v>8800</v>
      </c>
      <c r="M2310" t="str">
        <f>_xlfn.XLOOKUP(Pipeline_tbl[[#This Row],[Rep_ID]],Dim_Reps!A:A,Dim_Reps!K:K)</f>
        <v>USD</v>
      </c>
      <c r="N2310" s="33">
        <f>(_xlfn.XLOOKUP(Pipeline_tbl[[#This Row],[Rate_Code_Generalized]],Lookups!A:A,Lookups!B:B))*Pipeline_tbl[[#This Row],[Pipeline_Amount_USD]]</f>
        <v>10245.839999999998</v>
      </c>
      <c r="O2310" t="str">
        <f>_xlfn.XLOOKUP(Pipeline_tbl[[#This Row],[Rep_ID]],Dim_Reps!A:A,Dim_Reps!B:B)</f>
        <v>Morgan Rivera</v>
      </c>
      <c r="P2310" t="str">
        <f>_xlfn.XLOOKUP(Pipeline_tbl[[#This Row],[Rep_ID]],Dim_Reps!A:A,Dim_Reps!C:C)</f>
        <v>Mid-Market AE</v>
      </c>
      <c r="Q2310" t="str">
        <f>_xlfn.XLOOKUP(Pipeline_tbl[[#This Row],[Rep_ID]],Dim_Reps!A:A,Dim_Reps!D:D)</f>
        <v>Mid-Market</v>
      </c>
      <c r="R2310" t="str">
        <f>_xlfn.XLOOKUP(Pipeline_tbl[[#This Row],[Rep_ID]],Dim_Reps!A:A,Dim_Reps!E:E)</f>
        <v>NAMER</v>
      </c>
      <c r="S2310" t="str">
        <f>_xlfn.XLOOKUP(Pipeline_tbl[[#This Row],[Created_Date]],Dim_Date!A:A,Dim_Date!H:H)</f>
        <v>May 2025</v>
      </c>
      <c r="T2310" t="str">
        <f>IF(Pipeline_tbl[[#This Row],[Closed_Date]]=0,"",(_xlfn.XLOOKUP(Pipeline_tbl[[#This Row],[Closed_Date]],Dim_Date!A:A,Dim_Date!H:H)))</f>
        <v>Jun 2025</v>
      </c>
      <c r="U2310">
        <f>IF(Pipeline_tbl[[#This Row],[Closed_Date]]=0,"",Pipeline_tbl[[#This Row],[Closed_Date]]-Pipeline_tbl[[#This Row],[Created_Date]])</f>
        <v>43</v>
      </c>
    </row>
    <row r="2311" spans="1:21" ht="15" customHeight="1" x14ac:dyDescent="0.2">
      <c r="A2311" t="s">
        <v>2617</v>
      </c>
      <c r="B2311" t="s">
        <v>269</v>
      </c>
      <c r="C2311" t="s">
        <v>55</v>
      </c>
      <c r="D2311" s="49">
        <v>45784</v>
      </c>
      <c r="E2311" s="49">
        <v>45788</v>
      </c>
      <c r="F2311" s="49">
        <v>45795</v>
      </c>
      <c r="I2311" s="49">
        <v>45819</v>
      </c>
      <c r="J2311" t="s">
        <v>49</v>
      </c>
      <c r="K2311" s="33">
        <v>9200</v>
      </c>
      <c r="L2311" t="s">
        <v>61</v>
      </c>
      <c r="M2311" t="str">
        <f>_xlfn.XLOOKUP(Pipeline_tbl[[#This Row],[Rep_ID]],Dim_Reps!A:A,Dim_Reps!K:K)</f>
        <v>USD</v>
      </c>
      <c r="N2311" s="33">
        <f>(_xlfn.XLOOKUP(Pipeline_tbl[[#This Row],[Rate_Code_Generalized]],Lookups!A:A,Lookups!B:B))*Pipeline_tbl[[#This Row],[Pipeline_Amount_USD]]</f>
        <v>10711.56</v>
      </c>
      <c r="O2311" t="str">
        <f>_xlfn.XLOOKUP(Pipeline_tbl[[#This Row],[Rep_ID]],Dim_Reps!A:A,Dim_Reps!B:B)</f>
        <v>Morgan Rivera</v>
      </c>
      <c r="P2311" t="str">
        <f>_xlfn.XLOOKUP(Pipeline_tbl[[#This Row],[Rep_ID]],Dim_Reps!A:A,Dim_Reps!C:C)</f>
        <v>Mid-Market AE</v>
      </c>
      <c r="Q2311" t="str">
        <f>_xlfn.XLOOKUP(Pipeline_tbl[[#This Row],[Rep_ID]],Dim_Reps!A:A,Dim_Reps!D:D)</f>
        <v>Mid-Market</v>
      </c>
      <c r="R2311" t="str">
        <f>_xlfn.XLOOKUP(Pipeline_tbl[[#This Row],[Rep_ID]],Dim_Reps!A:A,Dim_Reps!E:E)</f>
        <v>NAMER</v>
      </c>
      <c r="S2311" t="str">
        <f>_xlfn.XLOOKUP(Pipeline_tbl[[#This Row],[Created_Date]],Dim_Date!A:A,Dim_Date!H:H)</f>
        <v>May 2025</v>
      </c>
      <c r="T2311" t="str">
        <f>IF(Pipeline_tbl[[#This Row],[Closed_Date]]=0,"",(_xlfn.XLOOKUP(Pipeline_tbl[[#This Row],[Closed_Date]],Dim_Date!A:A,Dim_Date!H:H)))</f>
        <v>Jun 2025</v>
      </c>
      <c r="U2311">
        <f>IF(Pipeline_tbl[[#This Row],[Closed_Date]]=0,"",Pipeline_tbl[[#This Row],[Closed_Date]]-Pipeline_tbl[[#This Row],[Created_Date]])</f>
        <v>35</v>
      </c>
    </row>
    <row r="2312" spans="1:21" ht="15" customHeight="1" x14ac:dyDescent="0.2">
      <c r="A2312" t="s">
        <v>2618</v>
      </c>
      <c r="B2312" t="s">
        <v>269</v>
      </c>
      <c r="C2312" t="s">
        <v>53</v>
      </c>
      <c r="D2312" s="49">
        <v>45781</v>
      </c>
      <c r="E2312" s="49">
        <v>45786</v>
      </c>
      <c r="F2312" s="49">
        <v>45796</v>
      </c>
      <c r="G2312" s="49">
        <v>45810</v>
      </c>
      <c r="H2312" s="49">
        <v>45823</v>
      </c>
      <c r="I2312" s="49">
        <v>45830</v>
      </c>
      <c r="J2312" t="s">
        <v>47</v>
      </c>
      <c r="K2312" s="33">
        <v>6900</v>
      </c>
      <c r="M2312" t="str">
        <f>_xlfn.XLOOKUP(Pipeline_tbl[[#This Row],[Rep_ID]],Dim_Reps!A:A,Dim_Reps!K:K)</f>
        <v>USD</v>
      </c>
      <c r="N2312" s="33">
        <f>(_xlfn.XLOOKUP(Pipeline_tbl[[#This Row],[Rate_Code_Generalized]],Lookups!A:A,Lookups!B:B))*Pipeline_tbl[[#This Row],[Pipeline_Amount_USD]]</f>
        <v>8033.6699999999992</v>
      </c>
      <c r="O2312" t="str">
        <f>_xlfn.XLOOKUP(Pipeline_tbl[[#This Row],[Rep_ID]],Dim_Reps!A:A,Dim_Reps!B:B)</f>
        <v>Morgan Rivera</v>
      </c>
      <c r="P2312" t="str">
        <f>_xlfn.XLOOKUP(Pipeline_tbl[[#This Row],[Rep_ID]],Dim_Reps!A:A,Dim_Reps!C:C)</f>
        <v>Mid-Market AE</v>
      </c>
      <c r="Q2312" t="str">
        <f>_xlfn.XLOOKUP(Pipeline_tbl[[#This Row],[Rep_ID]],Dim_Reps!A:A,Dim_Reps!D:D)</f>
        <v>Mid-Market</v>
      </c>
      <c r="R2312" t="str">
        <f>_xlfn.XLOOKUP(Pipeline_tbl[[#This Row],[Rep_ID]],Dim_Reps!A:A,Dim_Reps!E:E)</f>
        <v>NAMER</v>
      </c>
      <c r="S2312" t="str">
        <f>_xlfn.XLOOKUP(Pipeline_tbl[[#This Row],[Created_Date]],Dim_Date!A:A,Dim_Date!H:H)</f>
        <v>May 2025</v>
      </c>
      <c r="T2312" t="str">
        <f>IF(Pipeline_tbl[[#This Row],[Closed_Date]]=0,"",(_xlfn.XLOOKUP(Pipeline_tbl[[#This Row],[Closed_Date]],Dim_Date!A:A,Dim_Date!H:H)))</f>
        <v>Jun 2025</v>
      </c>
      <c r="U2312">
        <f>IF(Pipeline_tbl[[#This Row],[Closed_Date]]=0,"",Pipeline_tbl[[#This Row],[Closed_Date]]-Pipeline_tbl[[#This Row],[Created_Date]])</f>
        <v>49</v>
      </c>
    </row>
    <row r="2313" spans="1:21" ht="15" customHeight="1" x14ac:dyDescent="0.2">
      <c r="A2313" t="s">
        <v>2619</v>
      </c>
      <c r="B2313" t="s">
        <v>271</v>
      </c>
      <c r="C2313" t="s">
        <v>52</v>
      </c>
      <c r="D2313" s="49">
        <v>45787</v>
      </c>
      <c r="E2313" s="49">
        <v>45791</v>
      </c>
      <c r="F2313" s="49">
        <v>45799</v>
      </c>
      <c r="G2313" s="49">
        <v>45812</v>
      </c>
      <c r="H2313" s="49">
        <v>45822</v>
      </c>
      <c r="I2313" s="49">
        <v>45828</v>
      </c>
      <c r="J2313" t="s">
        <v>49</v>
      </c>
      <c r="K2313" s="33">
        <v>12900</v>
      </c>
      <c r="L2313" t="s">
        <v>62</v>
      </c>
      <c r="M2313" t="str">
        <f>_xlfn.XLOOKUP(Pipeline_tbl[[#This Row],[Rep_ID]],Dim_Reps!A:A,Dim_Reps!K:K)</f>
        <v>EUR</v>
      </c>
      <c r="N2313" s="33">
        <f>(_xlfn.XLOOKUP(Pipeline_tbl[[#This Row],[Rate_Code_Generalized]],Lookups!A:A,Lookups!B:B))*Pipeline_tbl[[#This Row],[Pipeline_Amount_USD]]</f>
        <v>12900</v>
      </c>
      <c r="O2313" t="str">
        <f>_xlfn.XLOOKUP(Pipeline_tbl[[#This Row],[Rep_ID]],Dim_Reps!A:A,Dim_Reps!B:B)</f>
        <v>Ivy Adler</v>
      </c>
      <c r="P2313" t="str">
        <f>_xlfn.XLOOKUP(Pipeline_tbl[[#This Row],[Rep_ID]],Dim_Reps!A:A,Dim_Reps!C:C)</f>
        <v>Mid-Market AE</v>
      </c>
      <c r="Q2313" t="str">
        <f>_xlfn.XLOOKUP(Pipeline_tbl[[#This Row],[Rep_ID]],Dim_Reps!A:A,Dim_Reps!D:D)</f>
        <v>Mid-Market</v>
      </c>
      <c r="R2313" t="str">
        <f>_xlfn.XLOOKUP(Pipeline_tbl[[#This Row],[Rep_ID]],Dim_Reps!A:A,Dim_Reps!E:E)</f>
        <v>APAC</v>
      </c>
      <c r="S2313" t="str">
        <f>_xlfn.XLOOKUP(Pipeline_tbl[[#This Row],[Created_Date]],Dim_Date!A:A,Dim_Date!H:H)</f>
        <v>May 2025</v>
      </c>
      <c r="T2313" t="str">
        <f>IF(Pipeline_tbl[[#This Row],[Closed_Date]]=0,"",(_xlfn.XLOOKUP(Pipeline_tbl[[#This Row],[Closed_Date]],Dim_Date!A:A,Dim_Date!H:H)))</f>
        <v>Jun 2025</v>
      </c>
      <c r="U2313">
        <f>IF(Pipeline_tbl[[#This Row],[Closed_Date]]=0,"",Pipeline_tbl[[#This Row],[Closed_Date]]-Pipeline_tbl[[#This Row],[Created_Date]])</f>
        <v>41</v>
      </c>
    </row>
    <row r="2314" spans="1:21" ht="15" customHeight="1" x14ac:dyDescent="0.2">
      <c r="A2314" t="s">
        <v>2620</v>
      </c>
      <c r="B2314" t="s">
        <v>273</v>
      </c>
      <c r="C2314" t="s">
        <v>52</v>
      </c>
      <c r="D2314" s="49">
        <v>45807</v>
      </c>
      <c r="E2314" s="49">
        <v>45809</v>
      </c>
      <c r="F2314" s="49">
        <v>45815</v>
      </c>
      <c r="G2314" s="49">
        <v>45822</v>
      </c>
      <c r="H2314" s="49">
        <v>45828</v>
      </c>
      <c r="I2314" s="49">
        <v>45832</v>
      </c>
      <c r="J2314" t="s">
        <v>49</v>
      </c>
      <c r="K2314" s="33">
        <v>12400</v>
      </c>
      <c r="L2314" t="s">
        <v>63</v>
      </c>
      <c r="M2314" t="str">
        <f>_xlfn.XLOOKUP(Pipeline_tbl[[#This Row],[Rep_ID]],Dim_Reps!A:A,Dim_Reps!K:K)</f>
        <v>EUR</v>
      </c>
      <c r="N2314" s="33">
        <f>(_xlfn.XLOOKUP(Pipeline_tbl[[#This Row],[Rate_Code_Generalized]],Lookups!A:A,Lookups!B:B))*Pipeline_tbl[[#This Row],[Pipeline_Amount_USD]]</f>
        <v>12400</v>
      </c>
      <c r="O2314" t="str">
        <f>_xlfn.XLOOKUP(Pipeline_tbl[[#This Row],[Rep_ID]],Dim_Reps!A:A,Dim_Reps!B:B)</f>
        <v>Olivia Cohen</v>
      </c>
      <c r="P2314" t="str">
        <f>_xlfn.XLOOKUP(Pipeline_tbl[[#This Row],[Rep_ID]],Dim_Reps!A:A,Dim_Reps!C:C)</f>
        <v>Mid-Market AE</v>
      </c>
      <c r="Q2314" t="str">
        <f>_xlfn.XLOOKUP(Pipeline_tbl[[#This Row],[Rep_ID]],Dim_Reps!A:A,Dim_Reps!D:D)</f>
        <v>Mid-Market</v>
      </c>
      <c r="R2314" t="str">
        <f>_xlfn.XLOOKUP(Pipeline_tbl[[#This Row],[Rep_ID]],Dim_Reps!A:A,Dim_Reps!E:E)</f>
        <v>APAC</v>
      </c>
      <c r="S2314" t="str">
        <f>_xlfn.XLOOKUP(Pipeline_tbl[[#This Row],[Created_Date]],Dim_Date!A:A,Dim_Date!H:H)</f>
        <v>May 2025</v>
      </c>
      <c r="T2314" t="str">
        <f>IF(Pipeline_tbl[[#This Row],[Closed_Date]]=0,"",(_xlfn.XLOOKUP(Pipeline_tbl[[#This Row],[Closed_Date]],Dim_Date!A:A,Dim_Date!H:H)))</f>
        <v>Jun 2025</v>
      </c>
      <c r="U2314">
        <f>IF(Pipeline_tbl[[#This Row],[Closed_Date]]=0,"",Pipeline_tbl[[#This Row],[Closed_Date]]-Pipeline_tbl[[#This Row],[Created_Date]])</f>
        <v>25</v>
      </c>
    </row>
    <row r="2315" spans="1:21" ht="15" customHeight="1" x14ac:dyDescent="0.2">
      <c r="A2315" t="s">
        <v>2621</v>
      </c>
      <c r="B2315" t="s">
        <v>273</v>
      </c>
      <c r="C2315" t="s">
        <v>53</v>
      </c>
      <c r="D2315" s="49">
        <v>45797</v>
      </c>
      <c r="E2315" s="49">
        <v>45801</v>
      </c>
      <c r="I2315" s="49">
        <v>45834</v>
      </c>
      <c r="J2315" t="s">
        <v>49</v>
      </c>
      <c r="K2315" s="33">
        <v>9600</v>
      </c>
      <c r="L2315" t="s">
        <v>60</v>
      </c>
      <c r="M2315" t="str">
        <f>_xlfn.XLOOKUP(Pipeline_tbl[[#This Row],[Rep_ID]],Dim_Reps!A:A,Dim_Reps!K:K)</f>
        <v>EUR</v>
      </c>
      <c r="N2315" s="33">
        <f>(_xlfn.XLOOKUP(Pipeline_tbl[[#This Row],[Rate_Code_Generalized]],Lookups!A:A,Lookups!B:B))*Pipeline_tbl[[#This Row],[Pipeline_Amount_USD]]</f>
        <v>9600</v>
      </c>
      <c r="O2315" t="str">
        <f>_xlfn.XLOOKUP(Pipeline_tbl[[#This Row],[Rep_ID]],Dim_Reps!A:A,Dim_Reps!B:B)</f>
        <v>Olivia Cohen</v>
      </c>
      <c r="P2315" t="str">
        <f>_xlfn.XLOOKUP(Pipeline_tbl[[#This Row],[Rep_ID]],Dim_Reps!A:A,Dim_Reps!C:C)</f>
        <v>Mid-Market AE</v>
      </c>
      <c r="Q2315" t="str">
        <f>_xlfn.XLOOKUP(Pipeline_tbl[[#This Row],[Rep_ID]],Dim_Reps!A:A,Dim_Reps!D:D)</f>
        <v>Mid-Market</v>
      </c>
      <c r="R2315" t="str">
        <f>_xlfn.XLOOKUP(Pipeline_tbl[[#This Row],[Rep_ID]],Dim_Reps!A:A,Dim_Reps!E:E)</f>
        <v>APAC</v>
      </c>
      <c r="S2315" t="str">
        <f>_xlfn.XLOOKUP(Pipeline_tbl[[#This Row],[Created_Date]],Dim_Date!A:A,Dim_Date!H:H)</f>
        <v>May 2025</v>
      </c>
      <c r="T2315" t="str">
        <f>IF(Pipeline_tbl[[#This Row],[Closed_Date]]=0,"",(_xlfn.XLOOKUP(Pipeline_tbl[[#This Row],[Closed_Date]],Dim_Date!A:A,Dim_Date!H:H)))</f>
        <v>Jun 2025</v>
      </c>
      <c r="U2315">
        <f>IF(Pipeline_tbl[[#This Row],[Closed_Date]]=0,"",Pipeline_tbl[[#This Row],[Closed_Date]]-Pipeline_tbl[[#This Row],[Created_Date]])</f>
        <v>37</v>
      </c>
    </row>
    <row r="2316" spans="1:21" ht="15" customHeight="1" x14ac:dyDescent="0.2">
      <c r="A2316" t="s">
        <v>2622</v>
      </c>
      <c r="B2316" t="s">
        <v>241</v>
      </c>
      <c r="C2316" t="s">
        <v>53</v>
      </c>
      <c r="D2316" s="49">
        <v>45802</v>
      </c>
      <c r="E2316" s="49">
        <v>45803</v>
      </c>
      <c r="F2316" s="49">
        <v>45806</v>
      </c>
      <c r="G2316" s="49">
        <v>45810</v>
      </c>
      <c r="H2316" s="49">
        <v>45814</v>
      </c>
      <c r="I2316" s="49">
        <v>45816</v>
      </c>
      <c r="J2316" t="s">
        <v>47</v>
      </c>
      <c r="K2316" s="33">
        <v>4900</v>
      </c>
      <c r="M2316" t="str">
        <f>_xlfn.XLOOKUP(Pipeline_tbl[[#This Row],[Rep_ID]],Dim_Reps!A:A,Dim_Reps!K:K)</f>
        <v>EUR</v>
      </c>
      <c r="N2316" s="33">
        <f>(_xlfn.XLOOKUP(Pipeline_tbl[[#This Row],[Rate_Code_Generalized]],Lookups!A:A,Lookups!B:B))*Pipeline_tbl[[#This Row],[Pipeline_Amount_USD]]</f>
        <v>4900</v>
      </c>
      <c r="O2316" t="str">
        <f>_xlfn.XLOOKUP(Pipeline_tbl[[#This Row],[Rep_ID]],Dim_Reps!A:A,Dim_Reps!B:B)</f>
        <v>Kenji Weber</v>
      </c>
      <c r="P2316" t="str">
        <f>_xlfn.XLOOKUP(Pipeline_tbl[[#This Row],[Rep_ID]],Dim_Reps!A:A,Dim_Reps!C:C)</f>
        <v>SDR / Inside Sales Rep</v>
      </c>
      <c r="Q2316" t="str">
        <f>_xlfn.XLOOKUP(Pipeline_tbl[[#This Row],[Rep_ID]],Dim_Reps!A:A,Dim_Reps!D:D)</f>
        <v>Inside Sales</v>
      </c>
      <c r="R2316" t="str">
        <f>_xlfn.XLOOKUP(Pipeline_tbl[[#This Row],[Rep_ID]],Dim_Reps!A:A,Dim_Reps!E:E)</f>
        <v>APAC</v>
      </c>
      <c r="S2316" t="str">
        <f>_xlfn.XLOOKUP(Pipeline_tbl[[#This Row],[Created_Date]],Dim_Date!A:A,Dim_Date!H:H)</f>
        <v>May 2025</v>
      </c>
      <c r="T2316" t="str">
        <f>IF(Pipeline_tbl[[#This Row],[Closed_Date]]=0,"",(_xlfn.XLOOKUP(Pipeline_tbl[[#This Row],[Closed_Date]],Dim_Date!A:A,Dim_Date!H:H)))</f>
        <v>Jun 2025</v>
      </c>
      <c r="U2316">
        <f>IF(Pipeline_tbl[[#This Row],[Closed_Date]]=0,"",Pipeline_tbl[[#This Row],[Closed_Date]]-Pipeline_tbl[[#This Row],[Created_Date]])</f>
        <v>14</v>
      </c>
    </row>
    <row r="2317" spans="1:21" ht="15" customHeight="1" x14ac:dyDescent="0.2">
      <c r="A2317" t="s">
        <v>2623</v>
      </c>
      <c r="B2317" t="s">
        <v>241</v>
      </c>
      <c r="C2317" t="s">
        <v>54</v>
      </c>
      <c r="D2317" s="49">
        <v>45807</v>
      </c>
      <c r="E2317" s="49">
        <v>45809</v>
      </c>
      <c r="F2317" s="49">
        <v>45813</v>
      </c>
      <c r="G2317" s="49">
        <v>45818</v>
      </c>
      <c r="I2317" s="49">
        <v>45826</v>
      </c>
      <c r="J2317" t="s">
        <v>49</v>
      </c>
      <c r="K2317" s="33">
        <v>1700</v>
      </c>
      <c r="L2317" t="s">
        <v>63</v>
      </c>
      <c r="M2317" t="str">
        <f>_xlfn.XLOOKUP(Pipeline_tbl[[#This Row],[Rep_ID]],Dim_Reps!A:A,Dim_Reps!K:K)</f>
        <v>EUR</v>
      </c>
      <c r="N2317" s="33">
        <f>(_xlfn.XLOOKUP(Pipeline_tbl[[#This Row],[Rate_Code_Generalized]],Lookups!A:A,Lookups!B:B))*Pipeline_tbl[[#This Row],[Pipeline_Amount_USD]]</f>
        <v>1700</v>
      </c>
      <c r="O2317" t="str">
        <f>_xlfn.XLOOKUP(Pipeline_tbl[[#This Row],[Rep_ID]],Dim_Reps!A:A,Dim_Reps!B:B)</f>
        <v>Kenji Weber</v>
      </c>
      <c r="P2317" t="str">
        <f>_xlfn.XLOOKUP(Pipeline_tbl[[#This Row],[Rep_ID]],Dim_Reps!A:A,Dim_Reps!C:C)</f>
        <v>SDR / Inside Sales Rep</v>
      </c>
      <c r="Q2317" t="str">
        <f>_xlfn.XLOOKUP(Pipeline_tbl[[#This Row],[Rep_ID]],Dim_Reps!A:A,Dim_Reps!D:D)</f>
        <v>Inside Sales</v>
      </c>
      <c r="R2317" t="str">
        <f>_xlfn.XLOOKUP(Pipeline_tbl[[#This Row],[Rep_ID]],Dim_Reps!A:A,Dim_Reps!E:E)</f>
        <v>APAC</v>
      </c>
      <c r="S2317" t="str">
        <f>_xlfn.XLOOKUP(Pipeline_tbl[[#This Row],[Created_Date]],Dim_Date!A:A,Dim_Date!H:H)</f>
        <v>May 2025</v>
      </c>
      <c r="T2317" t="str">
        <f>IF(Pipeline_tbl[[#This Row],[Closed_Date]]=0,"",(_xlfn.XLOOKUP(Pipeline_tbl[[#This Row],[Closed_Date]],Dim_Date!A:A,Dim_Date!H:H)))</f>
        <v>Jun 2025</v>
      </c>
      <c r="U2317">
        <f>IF(Pipeline_tbl[[#This Row],[Closed_Date]]=0,"",Pipeline_tbl[[#This Row],[Closed_Date]]-Pipeline_tbl[[#This Row],[Created_Date]])</f>
        <v>19</v>
      </c>
    </row>
    <row r="2318" spans="1:21" ht="15" customHeight="1" x14ac:dyDescent="0.2">
      <c r="A2318" t="s">
        <v>2624</v>
      </c>
      <c r="B2318" t="s">
        <v>241</v>
      </c>
      <c r="C2318" t="s">
        <v>52</v>
      </c>
      <c r="D2318" s="49">
        <v>45795</v>
      </c>
      <c r="E2318" s="49">
        <v>45797</v>
      </c>
      <c r="F2318" s="49">
        <v>45800</v>
      </c>
      <c r="G2318" s="49">
        <v>45805</v>
      </c>
      <c r="I2318" s="49">
        <v>45811</v>
      </c>
      <c r="J2318" t="s">
        <v>49</v>
      </c>
      <c r="K2318" s="33">
        <v>4400</v>
      </c>
      <c r="L2318" t="s">
        <v>61</v>
      </c>
      <c r="M2318" t="str">
        <f>_xlfn.XLOOKUP(Pipeline_tbl[[#This Row],[Rep_ID]],Dim_Reps!A:A,Dim_Reps!K:K)</f>
        <v>EUR</v>
      </c>
      <c r="N2318" s="33">
        <f>(_xlfn.XLOOKUP(Pipeline_tbl[[#This Row],[Rate_Code_Generalized]],Lookups!A:A,Lookups!B:B))*Pipeline_tbl[[#This Row],[Pipeline_Amount_USD]]</f>
        <v>4400</v>
      </c>
      <c r="O2318" t="str">
        <f>_xlfn.XLOOKUP(Pipeline_tbl[[#This Row],[Rep_ID]],Dim_Reps!A:A,Dim_Reps!B:B)</f>
        <v>Kenji Weber</v>
      </c>
      <c r="P2318" t="str">
        <f>_xlfn.XLOOKUP(Pipeline_tbl[[#This Row],[Rep_ID]],Dim_Reps!A:A,Dim_Reps!C:C)</f>
        <v>SDR / Inside Sales Rep</v>
      </c>
      <c r="Q2318" t="str">
        <f>_xlfn.XLOOKUP(Pipeline_tbl[[#This Row],[Rep_ID]],Dim_Reps!A:A,Dim_Reps!D:D)</f>
        <v>Inside Sales</v>
      </c>
      <c r="R2318" t="str">
        <f>_xlfn.XLOOKUP(Pipeline_tbl[[#This Row],[Rep_ID]],Dim_Reps!A:A,Dim_Reps!E:E)</f>
        <v>APAC</v>
      </c>
      <c r="S2318" t="str">
        <f>_xlfn.XLOOKUP(Pipeline_tbl[[#This Row],[Created_Date]],Dim_Date!A:A,Dim_Date!H:H)</f>
        <v>May 2025</v>
      </c>
      <c r="T2318" t="str">
        <f>IF(Pipeline_tbl[[#This Row],[Closed_Date]]=0,"",(_xlfn.XLOOKUP(Pipeline_tbl[[#This Row],[Closed_Date]],Dim_Date!A:A,Dim_Date!H:H)))</f>
        <v>Jun 2025</v>
      </c>
      <c r="U2318">
        <f>IF(Pipeline_tbl[[#This Row],[Closed_Date]]=0,"",Pipeline_tbl[[#This Row],[Closed_Date]]-Pipeline_tbl[[#This Row],[Created_Date]])</f>
        <v>16</v>
      </c>
    </row>
    <row r="2319" spans="1:21" ht="15" customHeight="1" x14ac:dyDescent="0.2">
      <c r="A2319" t="s">
        <v>2625</v>
      </c>
      <c r="B2319" t="s">
        <v>241</v>
      </c>
      <c r="C2319" t="s">
        <v>53</v>
      </c>
      <c r="D2319" s="49">
        <v>45792</v>
      </c>
      <c r="E2319" s="49">
        <v>45794</v>
      </c>
      <c r="F2319" s="49">
        <v>45799</v>
      </c>
      <c r="G2319" s="49">
        <v>45805</v>
      </c>
      <c r="H2319" s="49">
        <v>45811</v>
      </c>
      <c r="I2319" s="49">
        <v>45814</v>
      </c>
      <c r="J2319" t="s">
        <v>47</v>
      </c>
      <c r="K2319" s="33">
        <v>3400</v>
      </c>
      <c r="M2319" t="str">
        <f>_xlfn.XLOOKUP(Pipeline_tbl[[#This Row],[Rep_ID]],Dim_Reps!A:A,Dim_Reps!K:K)</f>
        <v>EUR</v>
      </c>
      <c r="N2319" s="33">
        <f>(_xlfn.XLOOKUP(Pipeline_tbl[[#This Row],[Rate_Code_Generalized]],Lookups!A:A,Lookups!B:B))*Pipeline_tbl[[#This Row],[Pipeline_Amount_USD]]</f>
        <v>3400</v>
      </c>
      <c r="O2319" t="str">
        <f>_xlfn.XLOOKUP(Pipeline_tbl[[#This Row],[Rep_ID]],Dim_Reps!A:A,Dim_Reps!B:B)</f>
        <v>Kenji Weber</v>
      </c>
      <c r="P2319" t="str">
        <f>_xlfn.XLOOKUP(Pipeline_tbl[[#This Row],[Rep_ID]],Dim_Reps!A:A,Dim_Reps!C:C)</f>
        <v>SDR / Inside Sales Rep</v>
      </c>
      <c r="Q2319" t="str">
        <f>_xlfn.XLOOKUP(Pipeline_tbl[[#This Row],[Rep_ID]],Dim_Reps!A:A,Dim_Reps!D:D)</f>
        <v>Inside Sales</v>
      </c>
      <c r="R2319" t="str">
        <f>_xlfn.XLOOKUP(Pipeline_tbl[[#This Row],[Rep_ID]],Dim_Reps!A:A,Dim_Reps!E:E)</f>
        <v>APAC</v>
      </c>
      <c r="S2319" t="str">
        <f>_xlfn.XLOOKUP(Pipeline_tbl[[#This Row],[Created_Date]],Dim_Date!A:A,Dim_Date!H:H)</f>
        <v>May 2025</v>
      </c>
      <c r="T2319" t="str">
        <f>IF(Pipeline_tbl[[#This Row],[Closed_Date]]=0,"",(_xlfn.XLOOKUP(Pipeline_tbl[[#This Row],[Closed_Date]],Dim_Date!A:A,Dim_Date!H:H)))</f>
        <v>Jun 2025</v>
      </c>
      <c r="U2319">
        <f>IF(Pipeline_tbl[[#This Row],[Closed_Date]]=0,"",Pipeline_tbl[[#This Row],[Closed_Date]]-Pipeline_tbl[[#This Row],[Created_Date]])</f>
        <v>22</v>
      </c>
    </row>
    <row r="2320" spans="1:21" ht="15" customHeight="1" x14ac:dyDescent="0.2">
      <c r="A2320" t="s">
        <v>2626</v>
      </c>
      <c r="B2320" t="s">
        <v>241</v>
      </c>
      <c r="C2320" t="s">
        <v>53</v>
      </c>
      <c r="D2320" s="49">
        <v>45798</v>
      </c>
      <c r="E2320" s="49">
        <v>45800</v>
      </c>
      <c r="F2320" s="49">
        <v>45804</v>
      </c>
      <c r="I2320" s="49">
        <v>45819</v>
      </c>
      <c r="J2320" t="s">
        <v>49</v>
      </c>
      <c r="K2320" s="33">
        <v>6400</v>
      </c>
      <c r="L2320" t="s">
        <v>61</v>
      </c>
      <c r="M2320" t="str">
        <f>_xlfn.XLOOKUP(Pipeline_tbl[[#This Row],[Rep_ID]],Dim_Reps!A:A,Dim_Reps!K:K)</f>
        <v>EUR</v>
      </c>
      <c r="N2320" s="33">
        <f>(_xlfn.XLOOKUP(Pipeline_tbl[[#This Row],[Rate_Code_Generalized]],Lookups!A:A,Lookups!B:B))*Pipeline_tbl[[#This Row],[Pipeline_Amount_USD]]</f>
        <v>6400</v>
      </c>
      <c r="O2320" t="str">
        <f>_xlfn.XLOOKUP(Pipeline_tbl[[#This Row],[Rep_ID]],Dim_Reps!A:A,Dim_Reps!B:B)</f>
        <v>Kenji Weber</v>
      </c>
      <c r="P2320" t="str">
        <f>_xlfn.XLOOKUP(Pipeline_tbl[[#This Row],[Rep_ID]],Dim_Reps!A:A,Dim_Reps!C:C)</f>
        <v>SDR / Inside Sales Rep</v>
      </c>
      <c r="Q2320" t="str">
        <f>_xlfn.XLOOKUP(Pipeline_tbl[[#This Row],[Rep_ID]],Dim_Reps!A:A,Dim_Reps!D:D)</f>
        <v>Inside Sales</v>
      </c>
      <c r="R2320" t="str">
        <f>_xlfn.XLOOKUP(Pipeline_tbl[[#This Row],[Rep_ID]],Dim_Reps!A:A,Dim_Reps!E:E)</f>
        <v>APAC</v>
      </c>
      <c r="S2320" t="str">
        <f>_xlfn.XLOOKUP(Pipeline_tbl[[#This Row],[Created_Date]],Dim_Date!A:A,Dim_Date!H:H)</f>
        <v>May 2025</v>
      </c>
      <c r="T2320" t="str">
        <f>IF(Pipeline_tbl[[#This Row],[Closed_Date]]=0,"",(_xlfn.XLOOKUP(Pipeline_tbl[[#This Row],[Closed_Date]],Dim_Date!A:A,Dim_Date!H:H)))</f>
        <v>Jun 2025</v>
      </c>
      <c r="U2320">
        <f>IF(Pipeline_tbl[[#This Row],[Closed_Date]]=0,"",Pipeline_tbl[[#This Row],[Closed_Date]]-Pipeline_tbl[[#This Row],[Created_Date]])</f>
        <v>21</v>
      </c>
    </row>
    <row r="2321" spans="1:21" ht="15" customHeight="1" x14ac:dyDescent="0.2">
      <c r="A2321" t="s">
        <v>2627</v>
      </c>
      <c r="B2321" t="s">
        <v>241</v>
      </c>
      <c r="C2321" t="s">
        <v>53</v>
      </c>
      <c r="D2321" s="49">
        <v>45795</v>
      </c>
      <c r="E2321" s="49">
        <v>45797</v>
      </c>
      <c r="F2321" s="49">
        <v>45800</v>
      </c>
      <c r="G2321" s="49">
        <v>45805</v>
      </c>
      <c r="H2321" s="49">
        <v>45809</v>
      </c>
      <c r="I2321" s="49">
        <v>45812</v>
      </c>
      <c r="J2321" t="s">
        <v>47</v>
      </c>
      <c r="K2321" s="33">
        <v>1600</v>
      </c>
      <c r="M2321" t="str">
        <f>_xlfn.XLOOKUP(Pipeline_tbl[[#This Row],[Rep_ID]],Dim_Reps!A:A,Dim_Reps!K:K)</f>
        <v>EUR</v>
      </c>
      <c r="N2321" s="33">
        <f>(_xlfn.XLOOKUP(Pipeline_tbl[[#This Row],[Rate_Code_Generalized]],Lookups!A:A,Lookups!B:B))*Pipeline_tbl[[#This Row],[Pipeline_Amount_USD]]</f>
        <v>1600</v>
      </c>
      <c r="O2321" t="str">
        <f>_xlfn.XLOOKUP(Pipeline_tbl[[#This Row],[Rep_ID]],Dim_Reps!A:A,Dim_Reps!B:B)</f>
        <v>Kenji Weber</v>
      </c>
      <c r="P2321" t="str">
        <f>_xlfn.XLOOKUP(Pipeline_tbl[[#This Row],[Rep_ID]],Dim_Reps!A:A,Dim_Reps!C:C)</f>
        <v>SDR / Inside Sales Rep</v>
      </c>
      <c r="Q2321" t="str">
        <f>_xlfn.XLOOKUP(Pipeline_tbl[[#This Row],[Rep_ID]],Dim_Reps!A:A,Dim_Reps!D:D)</f>
        <v>Inside Sales</v>
      </c>
      <c r="R2321" t="str">
        <f>_xlfn.XLOOKUP(Pipeline_tbl[[#This Row],[Rep_ID]],Dim_Reps!A:A,Dim_Reps!E:E)</f>
        <v>APAC</v>
      </c>
      <c r="S2321" t="str">
        <f>_xlfn.XLOOKUP(Pipeline_tbl[[#This Row],[Created_Date]],Dim_Date!A:A,Dim_Date!H:H)</f>
        <v>May 2025</v>
      </c>
      <c r="T2321" t="str">
        <f>IF(Pipeline_tbl[[#This Row],[Closed_Date]]=0,"",(_xlfn.XLOOKUP(Pipeline_tbl[[#This Row],[Closed_Date]],Dim_Date!A:A,Dim_Date!H:H)))</f>
        <v>Jun 2025</v>
      </c>
      <c r="U2321">
        <f>IF(Pipeline_tbl[[#This Row],[Closed_Date]]=0,"",Pipeline_tbl[[#This Row],[Closed_Date]]-Pipeline_tbl[[#This Row],[Created_Date]])</f>
        <v>17</v>
      </c>
    </row>
    <row r="2322" spans="1:21" ht="15" customHeight="1" x14ac:dyDescent="0.2">
      <c r="A2322" t="s">
        <v>2628</v>
      </c>
      <c r="B2322" t="s">
        <v>241</v>
      </c>
      <c r="C2322" t="s">
        <v>54</v>
      </c>
      <c r="D2322" s="49">
        <v>45799</v>
      </c>
      <c r="E2322" s="49">
        <v>45801</v>
      </c>
      <c r="F2322" s="49">
        <v>45804</v>
      </c>
      <c r="G2322" s="49">
        <v>45808</v>
      </c>
      <c r="H2322" s="49">
        <v>45812</v>
      </c>
      <c r="I2322" s="49">
        <v>45814</v>
      </c>
      <c r="J2322" t="s">
        <v>47</v>
      </c>
      <c r="K2322" s="33">
        <v>6000</v>
      </c>
      <c r="M2322" t="str">
        <f>_xlfn.XLOOKUP(Pipeline_tbl[[#This Row],[Rep_ID]],Dim_Reps!A:A,Dim_Reps!K:K)</f>
        <v>EUR</v>
      </c>
      <c r="N2322" s="33">
        <f>(_xlfn.XLOOKUP(Pipeline_tbl[[#This Row],[Rate_Code_Generalized]],Lookups!A:A,Lookups!B:B))*Pipeline_tbl[[#This Row],[Pipeline_Amount_USD]]</f>
        <v>6000</v>
      </c>
      <c r="O2322" t="str">
        <f>_xlfn.XLOOKUP(Pipeline_tbl[[#This Row],[Rep_ID]],Dim_Reps!A:A,Dim_Reps!B:B)</f>
        <v>Kenji Weber</v>
      </c>
      <c r="P2322" t="str">
        <f>_xlfn.XLOOKUP(Pipeline_tbl[[#This Row],[Rep_ID]],Dim_Reps!A:A,Dim_Reps!C:C)</f>
        <v>SDR / Inside Sales Rep</v>
      </c>
      <c r="Q2322" t="str">
        <f>_xlfn.XLOOKUP(Pipeline_tbl[[#This Row],[Rep_ID]],Dim_Reps!A:A,Dim_Reps!D:D)</f>
        <v>Inside Sales</v>
      </c>
      <c r="R2322" t="str">
        <f>_xlfn.XLOOKUP(Pipeline_tbl[[#This Row],[Rep_ID]],Dim_Reps!A:A,Dim_Reps!E:E)</f>
        <v>APAC</v>
      </c>
      <c r="S2322" t="str">
        <f>_xlfn.XLOOKUP(Pipeline_tbl[[#This Row],[Created_Date]],Dim_Date!A:A,Dim_Date!H:H)</f>
        <v>May 2025</v>
      </c>
      <c r="T2322" t="str">
        <f>IF(Pipeline_tbl[[#This Row],[Closed_Date]]=0,"",(_xlfn.XLOOKUP(Pipeline_tbl[[#This Row],[Closed_Date]],Dim_Date!A:A,Dim_Date!H:H)))</f>
        <v>Jun 2025</v>
      </c>
      <c r="U2322">
        <f>IF(Pipeline_tbl[[#This Row],[Closed_Date]]=0,"",Pipeline_tbl[[#This Row],[Closed_Date]]-Pipeline_tbl[[#This Row],[Created_Date]])</f>
        <v>15</v>
      </c>
    </row>
    <row r="2323" spans="1:21" ht="15" customHeight="1" x14ac:dyDescent="0.2">
      <c r="A2323" t="s">
        <v>2629</v>
      </c>
      <c r="B2323" t="s">
        <v>193</v>
      </c>
      <c r="C2323" t="s">
        <v>55</v>
      </c>
      <c r="D2323" s="49">
        <v>45791</v>
      </c>
      <c r="E2323" s="49">
        <v>45793</v>
      </c>
      <c r="F2323" s="49">
        <v>45796</v>
      </c>
      <c r="G2323" s="49">
        <v>45801</v>
      </c>
      <c r="H2323" s="49">
        <v>45805</v>
      </c>
      <c r="I2323" s="49">
        <v>45807</v>
      </c>
      <c r="J2323" t="s">
        <v>47</v>
      </c>
      <c r="K2323" s="33">
        <v>2000</v>
      </c>
      <c r="M2323" t="str">
        <f>_xlfn.XLOOKUP(Pipeline_tbl[[#This Row],[Rep_ID]],Dim_Reps!A:A,Dim_Reps!K:K)</f>
        <v>USD</v>
      </c>
      <c r="N2323" s="33">
        <f>(_xlfn.XLOOKUP(Pipeline_tbl[[#This Row],[Rate_Code_Generalized]],Lookups!A:A,Lookups!B:B))*Pipeline_tbl[[#This Row],[Pipeline_Amount_USD]]</f>
        <v>2328.6</v>
      </c>
      <c r="O2323" t="str">
        <f>_xlfn.XLOOKUP(Pipeline_tbl[[#This Row],[Rep_ID]],Dim_Reps!A:A,Dim_Reps!B:B)</f>
        <v>Karim Rossi</v>
      </c>
      <c r="P2323" t="str">
        <f>_xlfn.XLOOKUP(Pipeline_tbl[[#This Row],[Rep_ID]],Dim_Reps!A:A,Dim_Reps!C:C)</f>
        <v>SDR / Inside Sales Rep</v>
      </c>
      <c r="Q2323" t="str">
        <f>_xlfn.XLOOKUP(Pipeline_tbl[[#This Row],[Rep_ID]],Dim_Reps!A:A,Dim_Reps!D:D)</f>
        <v>Inside Sales</v>
      </c>
      <c r="R2323" t="str">
        <f>_xlfn.XLOOKUP(Pipeline_tbl[[#This Row],[Rep_ID]],Dim_Reps!A:A,Dim_Reps!E:E)</f>
        <v>NAMER</v>
      </c>
      <c r="S2323" t="str">
        <f>_xlfn.XLOOKUP(Pipeline_tbl[[#This Row],[Created_Date]],Dim_Date!A:A,Dim_Date!H:H)</f>
        <v>May 2025</v>
      </c>
      <c r="T2323" t="str">
        <f>IF(Pipeline_tbl[[#This Row],[Closed_Date]]=0,"",(_xlfn.XLOOKUP(Pipeline_tbl[[#This Row],[Closed_Date]],Dim_Date!A:A,Dim_Date!H:H)))</f>
        <v>May 2025</v>
      </c>
      <c r="U2323">
        <f>IF(Pipeline_tbl[[#This Row],[Closed_Date]]=0,"",Pipeline_tbl[[#This Row],[Closed_Date]]-Pipeline_tbl[[#This Row],[Created_Date]])</f>
        <v>16</v>
      </c>
    </row>
    <row r="2324" spans="1:21" ht="15" customHeight="1" x14ac:dyDescent="0.2">
      <c r="A2324" t="s">
        <v>2630</v>
      </c>
      <c r="B2324" t="s">
        <v>193</v>
      </c>
      <c r="C2324" t="s">
        <v>53</v>
      </c>
      <c r="D2324" s="49">
        <v>45786</v>
      </c>
      <c r="E2324" s="49">
        <v>45788</v>
      </c>
      <c r="F2324" s="49">
        <v>45791</v>
      </c>
      <c r="G2324" s="49">
        <v>45797</v>
      </c>
      <c r="H2324" s="49">
        <v>45801</v>
      </c>
      <c r="I2324" s="49">
        <v>45804</v>
      </c>
      <c r="J2324" t="s">
        <v>47</v>
      </c>
      <c r="K2324" s="33">
        <v>3600</v>
      </c>
      <c r="M2324" t="str">
        <f>_xlfn.XLOOKUP(Pipeline_tbl[[#This Row],[Rep_ID]],Dim_Reps!A:A,Dim_Reps!K:K)</f>
        <v>USD</v>
      </c>
      <c r="N2324" s="33">
        <f>(_xlfn.XLOOKUP(Pipeline_tbl[[#This Row],[Rate_Code_Generalized]],Lookups!A:A,Lookups!B:B))*Pipeline_tbl[[#This Row],[Pipeline_Amount_USD]]</f>
        <v>4191.4799999999996</v>
      </c>
      <c r="O2324" t="str">
        <f>_xlfn.XLOOKUP(Pipeline_tbl[[#This Row],[Rep_ID]],Dim_Reps!A:A,Dim_Reps!B:B)</f>
        <v>Karim Rossi</v>
      </c>
      <c r="P2324" t="str">
        <f>_xlfn.XLOOKUP(Pipeline_tbl[[#This Row],[Rep_ID]],Dim_Reps!A:A,Dim_Reps!C:C)</f>
        <v>SDR / Inside Sales Rep</v>
      </c>
      <c r="Q2324" t="str">
        <f>_xlfn.XLOOKUP(Pipeline_tbl[[#This Row],[Rep_ID]],Dim_Reps!A:A,Dim_Reps!D:D)</f>
        <v>Inside Sales</v>
      </c>
      <c r="R2324" t="str">
        <f>_xlfn.XLOOKUP(Pipeline_tbl[[#This Row],[Rep_ID]],Dim_Reps!A:A,Dim_Reps!E:E)</f>
        <v>NAMER</v>
      </c>
      <c r="S2324" t="str">
        <f>_xlfn.XLOOKUP(Pipeline_tbl[[#This Row],[Created_Date]],Dim_Date!A:A,Dim_Date!H:H)</f>
        <v>May 2025</v>
      </c>
      <c r="T2324" t="str">
        <f>IF(Pipeline_tbl[[#This Row],[Closed_Date]]=0,"",(_xlfn.XLOOKUP(Pipeline_tbl[[#This Row],[Closed_Date]],Dim_Date!A:A,Dim_Date!H:H)))</f>
        <v>May 2025</v>
      </c>
      <c r="U2324">
        <f>IF(Pipeline_tbl[[#This Row],[Closed_Date]]=0,"",Pipeline_tbl[[#This Row],[Closed_Date]]-Pipeline_tbl[[#This Row],[Created_Date]])</f>
        <v>18</v>
      </c>
    </row>
    <row r="2325" spans="1:21" ht="15" customHeight="1" x14ac:dyDescent="0.2">
      <c r="A2325" t="s">
        <v>2631</v>
      </c>
      <c r="B2325" t="s">
        <v>193</v>
      </c>
      <c r="C2325" t="s">
        <v>54</v>
      </c>
      <c r="D2325" s="49">
        <v>45783</v>
      </c>
      <c r="E2325" s="49">
        <v>45784</v>
      </c>
      <c r="F2325" s="49">
        <v>45786</v>
      </c>
      <c r="G2325" s="49">
        <v>45790</v>
      </c>
      <c r="H2325" s="49">
        <v>45792</v>
      </c>
      <c r="I2325" s="49">
        <v>45794</v>
      </c>
      <c r="J2325" t="s">
        <v>47</v>
      </c>
      <c r="K2325" s="33">
        <v>6000</v>
      </c>
      <c r="M2325" t="str">
        <f>_xlfn.XLOOKUP(Pipeline_tbl[[#This Row],[Rep_ID]],Dim_Reps!A:A,Dim_Reps!K:K)</f>
        <v>USD</v>
      </c>
      <c r="N2325" s="33">
        <f>(_xlfn.XLOOKUP(Pipeline_tbl[[#This Row],[Rate_Code_Generalized]],Lookups!A:A,Lookups!B:B))*Pipeline_tbl[[#This Row],[Pipeline_Amount_USD]]</f>
        <v>6985.7999999999993</v>
      </c>
      <c r="O2325" t="str">
        <f>_xlfn.XLOOKUP(Pipeline_tbl[[#This Row],[Rep_ID]],Dim_Reps!A:A,Dim_Reps!B:B)</f>
        <v>Karim Rossi</v>
      </c>
      <c r="P2325" t="str">
        <f>_xlfn.XLOOKUP(Pipeline_tbl[[#This Row],[Rep_ID]],Dim_Reps!A:A,Dim_Reps!C:C)</f>
        <v>SDR / Inside Sales Rep</v>
      </c>
      <c r="Q2325" t="str">
        <f>_xlfn.XLOOKUP(Pipeline_tbl[[#This Row],[Rep_ID]],Dim_Reps!A:A,Dim_Reps!D:D)</f>
        <v>Inside Sales</v>
      </c>
      <c r="R2325" t="str">
        <f>_xlfn.XLOOKUP(Pipeline_tbl[[#This Row],[Rep_ID]],Dim_Reps!A:A,Dim_Reps!E:E)</f>
        <v>NAMER</v>
      </c>
      <c r="S2325" t="str">
        <f>_xlfn.XLOOKUP(Pipeline_tbl[[#This Row],[Created_Date]],Dim_Date!A:A,Dim_Date!H:H)</f>
        <v>May 2025</v>
      </c>
      <c r="T2325" t="str">
        <f>IF(Pipeline_tbl[[#This Row],[Closed_Date]]=0,"",(_xlfn.XLOOKUP(Pipeline_tbl[[#This Row],[Closed_Date]],Dim_Date!A:A,Dim_Date!H:H)))</f>
        <v>May 2025</v>
      </c>
      <c r="U2325">
        <f>IF(Pipeline_tbl[[#This Row],[Closed_Date]]=0,"",Pipeline_tbl[[#This Row],[Closed_Date]]-Pipeline_tbl[[#This Row],[Created_Date]])</f>
        <v>11</v>
      </c>
    </row>
    <row r="2326" spans="1:21" ht="15" customHeight="1" x14ac:dyDescent="0.2">
      <c r="A2326" t="s">
        <v>2632</v>
      </c>
      <c r="B2326" t="s">
        <v>193</v>
      </c>
      <c r="C2326" t="s">
        <v>52</v>
      </c>
      <c r="D2326" s="49">
        <v>45781</v>
      </c>
      <c r="E2326" s="49">
        <v>45782</v>
      </c>
      <c r="F2326" s="49">
        <v>45784</v>
      </c>
      <c r="G2326" s="49">
        <v>45787</v>
      </c>
      <c r="H2326" s="49">
        <v>45789</v>
      </c>
      <c r="I2326" s="49">
        <v>45791</v>
      </c>
      <c r="J2326" t="s">
        <v>49</v>
      </c>
      <c r="K2326" s="33">
        <v>5600</v>
      </c>
      <c r="L2326" t="s">
        <v>63</v>
      </c>
      <c r="M2326" t="str">
        <f>_xlfn.XLOOKUP(Pipeline_tbl[[#This Row],[Rep_ID]],Dim_Reps!A:A,Dim_Reps!K:K)</f>
        <v>USD</v>
      </c>
      <c r="N2326" s="33">
        <f>(_xlfn.XLOOKUP(Pipeline_tbl[[#This Row],[Rate_Code_Generalized]],Lookups!A:A,Lookups!B:B))*Pipeline_tbl[[#This Row],[Pipeline_Amount_USD]]</f>
        <v>6520.079999999999</v>
      </c>
      <c r="O2326" t="str">
        <f>_xlfn.XLOOKUP(Pipeline_tbl[[#This Row],[Rep_ID]],Dim_Reps!A:A,Dim_Reps!B:B)</f>
        <v>Karim Rossi</v>
      </c>
      <c r="P2326" t="str">
        <f>_xlfn.XLOOKUP(Pipeline_tbl[[#This Row],[Rep_ID]],Dim_Reps!A:A,Dim_Reps!C:C)</f>
        <v>SDR / Inside Sales Rep</v>
      </c>
      <c r="Q2326" t="str">
        <f>_xlfn.XLOOKUP(Pipeline_tbl[[#This Row],[Rep_ID]],Dim_Reps!A:A,Dim_Reps!D:D)</f>
        <v>Inside Sales</v>
      </c>
      <c r="R2326" t="str">
        <f>_xlfn.XLOOKUP(Pipeline_tbl[[#This Row],[Rep_ID]],Dim_Reps!A:A,Dim_Reps!E:E)</f>
        <v>NAMER</v>
      </c>
      <c r="S2326" t="str">
        <f>_xlfn.XLOOKUP(Pipeline_tbl[[#This Row],[Created_Date]],Dim_Date!A:A,Dim_Date!H:H)</f>
        <v>May 2025</v>
      </c>
      <c r="T2326" t="str">
        <f>IF(Pipeline_tbl[[#This Row],[Closed_Date]]=0,"",(_xlfn.XLOOKUP(Pipeline_tbl[[#This Row],[Closed_Date]],Dim_Date!A:A,Dim_Date!H:H)))</f>
        <v>May 2025</v>
      </c>
      <c r="U2326">
        <f>IF(Pipeline_tbl[[#This Row],[Closed_Date]]=0,"",Pipeline_tbl[[#This Row],[Closed_Date]]-Pipeline_tbl[[#This Row],[Created_Date]])</f>
        <v>10</v>
      </c>
    </row>
    <row r="2327" spans="1:21" ht="15" customHeight="1" x14ac:dyDescent="0.2">
      <c r="A2327" t="s">
        <v>2633</v>
      </c>
      <c r="B2327" t="s">
        <v>193</v>
      </c>
      <c r="C2327" t="s">
        <v>56</v>
      </c>
      <c r="D2327" s="49">
        <v>45779</v>
      </c>
      <c r="E2327" s="49">
        <v>45780</v>
      </c>
      <c r="F2327" s="49">
        <v>45783</v>
      </c>
      <c r="G2327" s="49">
        <v>45786</v>
      </c>
      <c r="H2327" s="49">
        <v>45789</v>
      </c>
      <c r="I2327" s="49">
        <v>45791</v>
      </c>
      <c r="J2327" t="s">
        <v>47</v>
      </c>
      <c r="K2327" s="33">
        <v>3200</v>
      </c>
      <c r="M2327" t="str">
        <f>_xlfn.XLOOKUP(Pipeline_tbl[[#This Row],[Rep_ID]],Dim_Reps!A:A,Dim_Reps!K:K)</f>
        <v>USD</v>
      </c>
      <c r="N2327" s="33">
        <f>(_xlfn.XLOOKUP(Pipeline_tbl[[#This Row],[Rate_Code_Generalized]],Lookups!A:A,Lookups!B:B))*Pipeline_tbl[[#This Row],[Pipeline_Amount_USD]]</f>
        <v>3725.7599999999998</v>
      </c>
      <c r="O2327" t="str">
        <f>_xlfn.XLOOKUP(Pipeline_tbl[[#This Row],[Rep_ID]],Dim_Reps!A:A,Dim_Reps!B:B)</f>
        <v>Karim Rossi</v>
      </c>
      <c r="P2327" t="str">
        <f>_xlfn.XLOOKUP(Pipeline_tbl[[#This Row],[Rep_ID]],Dim_Reps!A:A,Dim_Reps!C:C)</f>
        <v>SDR / Inside Sales Rep</v>
      </c>
      <c r="Q2327" t="str">
        <f>_xlfn.XLOOKUP(Pipeline_tbl[[#This Row],[Rep_ID]],Dim_Reps!A:A,Dim_Reps!D:D)</f>
        <v>Inside Sales</v>
      </c>
      <c r="R2327" t="str">
        <f>_xlfn.XLOOKUP(Pipeline_tbl[[#This Row],[Rep_ID]],Dim_Reps!A:A,Dim_Reps!E:E)</f>
        <v>NAMER</v>
      </c>
      <c r="S2327" t="str">
        <f>_xlfn.XLOOKUP(Pipeline_tbl[[#This Row],[Created_Date]],Dim_Date!A:A,Dim_Date!H:H)</f>
        <v>May 2025</v>
      </c>
      <c r="T2327" t="str">
        <f>IF(Pipeline_tbl[[#This Row],[Closed_Date]]=0,"",(_xlfn.XLOOKUP(Pipeline_tbl[[#This Row],[Closed_Date]],Dim_Date!A:A,Dim_Date!H:H)))</f>
        <v>May 2025</v>
      </c>
      <c r="U2327">
        <f>IF(Pipeline_tbl[[#This Row],[Closed_Date]]=0,"",Pipeline_tbl[[#This Row],[Closed_Date]]-Pipeline_tbl[[#This Row],[Created_Date]])</f>
        <v>12</v>
      </c>
    </row>
    <row r="2328" spans="1:21" ht="15" customHeight="1" x14ac:dyDescent="0.2">
      <c r="A2328" t="s">
        <v>2634</v>
      </c>
      <c r="B2328" t="s">
        <v>193</v>
      </c>
      <c r="C2328" t="s">
        <v>54</v>
      </c>
      <c r="D2328" s="49">
        <v>45793</v>
      </c>
      <c r="E2328" s="49">
        <v>45795</v>
      </c>
      <c r="F2328" s="49">
        <v>45798</v>
      </c>
      <c r="G2328" s="49">
        <v>45802</v>
      </c>
      <c r="H2328" s="49">
        <v>45806</v>
      </c>
      <c r="I2328" s="49">
        <v>45808</v>
      </c>
      <c r="J2328" t="s">
        <v>47</v>
      </c>
      <c r="K2328" s="33">
        <v>5200</v>
      </c>
      <c r="M2328" t="str">
        <f>_xlfn.XLOOKUP(Pipeline_tbl[[#This Row],[Rep_ID]],Dim_Reps!A:A,Dim_Reps!K:K)</f>
        <v>USD</v>
      </c>
      <c r="N2328" s="33">
        <f>(_xlfn.XLOOKUP(Pipeline_tbl[[#This Row],[Rate_Code_Generalized]],Lookups!A:A,Lookups!B:B))*Pipeline_tbl[[#This Row],[Pipeline_Amount_USD]]</f>
        <v>6054.36</v>
      </c>
      <c r="O2328" t="str">
        <f>_xlfn.XLOOKUP(Pipeline_tbl[[#This Row],[Rep_ID]],Dim_Reps!A:A,Dim_Reps!B:B)</f>
        <v>Karim Rossi</v>
      </c>
      <c r="P2328" t="str">
        <f>_xlfn.XLOOKUP(Pipeline_tbl[[#This Row],[Rep_ID]],Dim_Reps!A:A,Dim_Reps!C:C)</f>
        <v>SDR / Inside Sales Rep</v>
      </c>
      <c r="Q2328" t="str">
        <f>_xlfn.XLOOKUP(Pipeline_tbl[[#This Row],[Rep_ID]],Dim_Reps!A:A,Dim_Reps!D:D)</f>
        <v>Inside Sales</v>
      </c>
      <c r="R2328" t="str">
        <f>_xlfn.XLOOKUP(Pipeline_tbl[[#This Row],[Rep_ID]],Dim_Reps!A:A,Dim_Reps!E:E)</f>
        <v>NAMER</v>
      </c>
      <c r="S2328" t="str">
        <f>_xlfn.XLOOKUP(Pipeline_tbl[[#This Row],[Created_Date]],Dim_Date!A:A,Dim_Date!H:H)</f>
        <v>May 2025</v>
      </c>
      <c r="T2328" t="str">
        <f>IF(Pipeline_tbl[[#This Row],[Closed_Date]]=0,"",(_xlfn.XLOOKUP(Pipeline_tbl[[#This Row],[Closed_Date]],Dim_Date!A:A,Dim_Date!H:H)))</f>
        <v>May 2025</v>
      </c>
      <c r="U2328">
        <f>IF(Pipeline_tbl[[#This Row],[Closed_Date]]=0,"",Pipeline_tbl[[#This Row],[Closed_Date]]-Pipeline_tbl[[#This Row],[Created_Date]])</f>
        <v>15</v>
      </c>
    </row>
    <row r="2329" spans="1:21" ht="15" customHeight="1" x14ac:dyDescent="0.2">
      <c r="A2329" t="s">
        <v>2635</v>
      </c>
      <c r="B2329" t="s">
        <v>193</v>
      </c>
      <c r="C2329" t="s">
        <v>55</v>
      </c>
      <c r="D2329" s="49">
        <v>45785</v>
      </c>
      <c r="E2329" s="49">
        <v>45786</v>
      </c>
      <c r="F2329" s="49">
        <v>45789</v>
      </c>
      <c r="I2329" s="49">
        <v>45799</v>
      </c>
      <c r="J2329" t="s">
        <v>49</v>
      </c>
      <c r="K2329" s="33">
        <v>4100</v>
      </c>
      <c r="L2329" t="s">
        <v>60</v>
      </c>
      <c r="M2329" t="str">
        <f>_xlfn.XLOOKUP(Pipeline_tbl[[#This Row],[Rep_ID]],Dim_Reps!A:A,Dim_Reps!K:K)</f>
        <v>USD</v>
      </c>
      <c r="N2329" s="33">
        <f>(_xlfn.XLOOKUP(Pipeline_tbl[[#This Row],[Rate_Code_Generalized]],Lookups!A:A,Lookups!B:B))*Pipeline_tbl[[#This Row],[Pipeline_Amount_USD]]</f>
        <v>4773.6299999999992</v>
      </c>
      <c r="O2329" t="str">
        <f>_xlfn.XLOOKUP(Pipeline_tbl[[#This Row],[Rep_ID]],Dim_Reps!A:A,Dim_Reps!B:B)</f>
        <v>Karim Rossi</v>
      </c>
      <c r="P2329" t="str">
        <f>_xlfn.XLOOKUP(Pipeline_tbl[[#This Row],[Rep_ID]],Dim_Reps!A:A,Dim_Reps!C:C)</f>
        <v>SDR / Inside Sales Rep</v>
      </c>
      <c r="Q2329" t="str">
        <f>_xlfn.XLOOKUP(Pipeline_tbl[[#This Row],[Rep_ID]],Dim_Reps!A:A,Dim_Reps!D:D)</f>
        <v>Inside Sales</v>
      </c>
      <c r="R2329" t="str">
        <f>_xlfn.XLOOKUP(Pipeline_tbl[[#This Row],[Rep_ID]],Dim_Reps!A:A,Dim_Reps!E:E)</f>
        <v>NAMER</v>
      </c>
      <c r="S2329" t="str">
        <f>_xlfn.XLOOKUP(Pipeline_tbl[[#This Row],[Created_Date]],Dim_Date!A:A,Dim_Date!H:H)</f>
        <v>May 2025</v>
      </c>
      <c r="T2329" t="str">
        <f>IF(Pipeline_tbl[[#This Row],[Closed_Date]]=0,"",(_xlfn.XLOOKUP(Pipeline_tbl[[#This Row],[Closed_Date]],Dim_Date!A:A,Dim_Date!H:H)))</f>
        <v>May 2025</v>
      </c>
      <c r="U2329">
        <f>IF(Pipeline_tbl[[#This Row],[Closed_Date]]=0,"",Pipeline_tbl[[#This Row],[Closed_Date]]-Pipeline_tbl[[#This Row],[Created_Date]])</f>
        <v>14</v>
      </c>
    </row>
    <row r="2330" spans="1:21" ht="15" customHeight="1" x14ac:dyDescent="0.2">
      <c r="A2330" t="s">
        <v>2636</v>
      </c>
      <c r="B2330" t="s">
        <v>193</v>
      </c>
      <c r="C2330" t="s">
        <v>52</v>
      </c>
      <c r="D2330" s="49">
        <v>45784</v>
      </c>
      <c r="E2330" s="49">
        <v>45786</v>
      </c>
      <c r="F2330" s="49">
        <v>45789</v>
      </c>
      <c r="I2330" s="49">
        <v>45800</v>
      </c>
      <c r="J2330" t="s">
        <v>49</v>
      </c>
      <c r="K2330" s="33">
        <v>1500</v>
      </c>
      <c r="L2330" t="s">
        <v>60</v>
      </c>
      <c r="M2330" t="str">
        <f>_xlfn.XLOOKUP(Pipeline_tbl[[#This Row],[Rep_ID]],Dim_Reps!A:A,Dim_Reps!K:K)</f>
        <v>USD</v>
      </c>
      <c r="N2330" s="33">
        <f>(_xlfn.XLOOKUP(Pipeline_tbl[[#This Row],[Rate_Code_Generalized]],Lookups!A:A,Lookups!B:B))*Pipeline_tbl[[#This Row],[Pipeline_Amount_USD]]</f>
        <v>1746.4499999999998</v>
      </c>
      <c r="O2330" t="str">
        <f>_xlfn.XLOOKUP(Pipeline_tbl[[#This Row],[Rep_ID]],Dim_Reps!A:A,Dim_Reps!B:B)</f>
        <v>Karim Rossi</v>
      </c>
      <c r="P2330" t="str">
        <f>_xlfn.XLOOKUP(Pipeline_tbl[[#This Row],[Rep_ID]],Dim_Reps!A:A,Dim_Reps!C:C)</f>
        <v>SDR / Inside Sales Rep</v>
      </c>
      <c r="Q2330" t="str">
        <f>_xlfn.XLOOKUP(Pipeline_tbl[[#This Row],[Rep_ID]],Dim_Reps!A:A,Dim_Reps!D:D)</f>
        <v>Inside Sales</v>
      </c>
      <c r="R2330" t="str">
        <f>_xlfn.XLOOKUP(Pipeline_tbl[[#This Row],[Rep_ID]],Dim_Reps!A:A,Dim_Reps!E:E)</f>
        <v>NAMER</v>
      </c>
      <c r="S2330" t="str">
        <f>_xlfn.XLOOKUP(Pipeline_tbl[[#This Row],[Created_Date]],Dim_Date!A:A,Dim_Date!H:H)</f>
        <v>May 2025</v>
      </c>
      <c r="T2330" t="str">
        <f>IF(Pipeline_tbl[[#This Row],[Closed_Date]]=0,"",(_xlfn.XLOOKUP(Pipeline_tbl[[#This Row],[Closed_Date]],Dim_Date!A:A,Dim_Date!H:H)))</f>
        <v>May 2025</v>
      </c>
      <c r="U2330">
        <f>IF(Pipeline_tbl[[#This Row],[Closed_Date]]=0,"",Pipeline_tbl[[#This Row],[Closed_Date]]-Pipeline_tbl[[#This Row],[Created_Date]])</f>
        <v>16</v>
      </c>
    </row>
    <row r="2331" spans="1:21" ht="15" customHeight="1" x14ac:dyDescent="0.2">
      <c r="A2331" t="s">
        <v>2637</v>
      </c>
      <c r="B2331" t="s">
        <v>196</v>
      </c>
      <c r="C2331" t="s">
        <v>52</v>
      </c>
      <c r="D2331" s="49">
        <v>45786</v>
      </c>
      <c r="E2331" s="49">
        <v>45787</v>
      </c>
      <c r="F2331" s="49">
        <v>45789</v>
      </c>
      <c r="I2331" s="49">
        <v>45796</v>
      </c>
      <c r="J2331" t="s">
        <v>49</v>
      </c>
      <c r="K2331" s="33">
        <v>2300</v>
      </c>
      <c r="L2331" t="s">
        <v>64</v>
      </c>
      <c r="M2331" t="str">
        <f>_xlfn.XLOOKUP(Pipeline_tbl[[#This Row],[Rep_ID]],Dim_Reps!A:A,Dim_Reps!K:K)</f>
        <v>EUR</v>
      </c>
      <c r="N2331" s="33">
        <f>(_xlfn.XLOOKUP(Pipeline_tbl[[#This Row],[Rate_Code_Generalized]],Lookups!A:A,Lookups!B:B))*Pipeline_tbl[[#This Row],[Pipeline_Amount_USD]]</f>
        <v>2300</v>
      </c>
      <c r="O2331" t="str">
        <f>_xlfn.XLOOKUP(Pipeline_tbl[[#This Row],[Rep_ID]],Dim_Reps!A:A,Dim_Reps!B:B)</f>
        <v>Alex Okafor</v>
      </c>
      <c r="P2331" t="str">
        <f>_xlfn.XLOOKUP(Pipeline_tbl[[#This Row],[Rep_ID]],Dim_Reps!A:A,Dim_Reps!C:C)</f>
        <v>SDR / Inside Sales Rep</v>
      </c>
      <c r="Q2331" t="str">
        <f>_xlfn.XLOOKUP(Pipeline_tbl[[#This Row],[Rep_ID]],Dim_Reps!A:A,Dim_Reps!D:D)</f>
        <v>Inside Sales</v>
      </c>
      <c r="R2331" t="str">
        <f>_xlfn.XLOOKUP(Pipeline_tbl[[#This Row],[Rep_ID]],Dim_Reps!A:A,Dim_Reps!E:E)</f>
        <v>EMEA</v>
      </c>
      <c r="S2331" t="str">
        <f>_xlfn.XLOOKUP(Pipeline_tbl[[#This Row],[Created_Date]],Dim_Date!A:A,Dim_Date!H:H)</f>
        <v>May 2025</v>
      </c>
      <c r="T2331" t="str">
        <f>IF(Pipeline_tbl[[#This Row],[Closed_Date]]=0,"",(_xlfn.XLOOKUP(Pipeline_tbl[[#This Row],[Closed_Date]],Dim_Date!A:A,Dim_Date!H:H)))</f>
        <v>May 2025</v>
      </c>
      <c r="U2331">
        <f>IF(Pipeline_tbl[[#This Row],[Closed_Date]]=0,"",Pipeline_tbl[[#This Row],[Closed_Date]]-Pipeline_tbl[[#This Row],[Created_Date]])</f>
        <v>10</v>
      </c>
    </row>
    <row r="2332" spans="1:21" ht="15" customHeight="1" x14ac:dyDescent="0.2">
      <c r="A2332" t="s">
        <v>2638</v>
      </c>
      <c r="B2332" t="s">
        <v>199</v>
      </c>
      <c r="C2332" t="s">
        <v>56</v>
      </c>
      <c r="D2332" s="49">
        <v>45788</v>
      </c>
      <c r="E2332" s="49">
        <v>45790</v>
      </c>
      <c r="F2332" s="49">
        <v>45793</v>
      </c>
      <c r="G2332" s="49">
        <v>45799</v>
      </c>
      <c r="H2332" s="49">
        <v>45803</v>
      </c>
      <c r="I2332" s="49">
        <v>45806</v>
      </c>
      <c r="J2332" t="s">
        <v>49</v>
      </c>
      <c r="K2332" s="33">
        <v>2500</v>
      </c>
      <c r="L2332" t="s">
        <v>60</v>
      </c>
      <c r="M2332" t="str">
        <f>_xlfn.XLOOKUP(Pipeline_tbl[[#This Row],[Rep_ID]],Dim_Reps!A:A,Dim_Reps!K:K)</f>
        <v>EUR</v>
      </c>
      <c r="N2332" s="33">
        <f>(_xlfn.XLOOKUP(Pipeline_tbl[[#This Row],[Rate_Code_Generalized]],Lookups!A:A,Lookups!B:B))*Pipeline_tbl[[#This Row],[Pipeline_Amount_USD]]</f>
        <v>2500</v>
      </c>
      <c r="O2332" t="str">
        <f>_xlfn.XLOOKUP(Pipeline_tbl[[#This Row],[Rep_ID]],Dim_Reps!A:A,Dim_Reps!B:B)</f>
        <v>Lucas Okafor</v>
      </c>
      <c r="P2332" t="str">
        <f>_xlfn.XLOOKUP(Pipeline_tbl[[#This Row],[Rep_ID]],Dim_Reps!A:A,Dim_Reps!C:C)</f>
        <v>SDR / Inside Sales Rep</v>
      </c>
      <c r="Q2332" t="str">
        <f>_xlfn.XLOOKUP(Pipeline_tbl[[#This Row],[Rep_ID]],Dim_Reps!A:A,Dim_Reps!D:D)</f>
        <v>Inside Sales</v>
      </c>
      <c r="R2332" t="str">
        <f>_xlfn.XLOOKUP(Pipeline_tbl[[#This Row],[Rep_ID]],Dim_Reps!A:A,Dim_Reps!E:E)</f>
        <v>APAC</v>
      </c>
      <c r="S2332" t="str">
        <f>_xlfn.XLOOKUP(Pipeline_tbl[[#This Row],[Created_Date]],Dim_Date!A:A,Dim_Date!H:H)</f>
        <v>May 2025</v>
      </c>
      <c r="T2332" t="str">
        <f>IF(Pipeline_tbl[[#This Row],[Closed_Date]]=0,"",(_xlfn.XLOOKUP(Pipeline_tbl[[#This Row],[Closed_Date]],Dim_Date!A:A,Dim_Date!H:H)))</f>
        <v>May 2025</v>
      </c>
      <c r="U2332">
        <f>IF(Pipeline_tbl[[#This Row],[Closed_Date]]=0,"",Pipeline_tbl[[#This Row],[Closed_Date]]-Pipeline_tbl[[#This Row],[Created_Date]])</f>
        <v>18</v>
      </c>
    </row>
    <row r="2333" spans="1:21" ht="15" customHeight="1" x14ac:dyDescent="0.2">
      <c r="A2333" t="s">
        <v>2639</v>
      </c>
      <c r="B2333" t="s">
        <v>199</v>
      </c>
      <c r="C2333" t="s">
        <v>55</v>
      </c>
      <c r="D2333" s="49">
        <v>45783</v>
      </c>
      <c r="E2333" s="49">
        <v>45785</v>
      </c>
      <c r="I2333" s="49">
        <v>45803</v>
      </c>
      <c r="J2333" t="s">
        <v>49</v>
      </c>
      <c r="K2333" s="33">
        <v>3500</v>
      </c>
      <c r="L2333" t="s">
        <v>62</v>
      </c>
      <c r="M2333" t="str">
        <f>_xlfn.XLOOKUP(Pipeline_tbl[[#This Row],[Rep_ID]],Dim_Reps!A:A,Dim_Reps!K:K)</f>
        <v>EUR</v>
      </c>
      <c r="N2333" s="33">
        <f>(_xlfn.XLOOKUP(Pipeline_tbl[[#This Row],[Rate_Code_Generalized]],Lookups!A:A,Lookups!B:B))*Pipeline_tbl[[#This Row],[Pipeline_Amount_USD]]</f>
        <v>3500</v>
      </c>
      <c r="O2333" t="str">
        <f>_xlfn.XLOOKUP(Pipeline_tbl[[#This Row],[Rep_ID]],Dim_Reps!A:A,Dim_Reps!B:B)</f>
        <v>Lucas Okafor</v>
      </c>
      <c r="P2333" t="str">
        <f>_xlfn.XLOOKUP(Pipeline_tbl[[#This Row],[Rep_ID]],Dim_Reps!A:A,Dim_Reps!C:C)</f>
        <v>SDR / Inside Sales Rep</v>
      </c>
      <c r="Q2333" t="str">
        <f>_xlfn.XLOOKUP(Pipeline_tbl[[#This Row],[Rep_ID]],Dim_Reps!A:A,Dim_Reps!D:D)</f>
        <v>Inside Sales</v>
      </c>
      <c r="R2333" t="str">
        <f>_xlfn.XLOOKUP(Pipeline_tbl[[#This Row],[Rep_ID]],Dim_Reps!A:A,Dim_Reps!E:E)</f>
        <v>APAC</v>
      </c>
      <c r="S2333" t="str">
        <f>_xlfn.XLOOKUP(Pipeline_tbl[[#This Row],[Created_Date]],Dim_Date!A:A,Dim_Date!H:H)</f>
        <v>May 2025</v>
      </c>
      <c r="T2333" t="str">
        <f>IF(Pipeline_tbl[[#This Row],[Closed_Date]]=0,"",(_xlfn.XLOOKUP(Pipeline_tbl[[#This Row],[Closed_Date]],Dim_Date!A:A,Dim_Date!H:H)))</f>
        <v>May 2025</v>
      </c>
      <c r="U2333">
        <f>IF(Pipeline_tbl[[#This Row],[Closed_Date]]=0,"",Pipeline_tbl[[#This Row],[Closed_Date]]-Pipeline_tbl[[#This Row],[Created_Date]])</f>
        <v>20</v>
      </c>
    </row>
    <row r="2334" spans="1:21" ht="15" customHeight="1" x14ac:dyDescent="0.2">
      <c r="A2334" t="s">
        <v>2640</v>
      </c>
      <c r="B2334" t="s">
        <v>199</v>
      </c>
      <c r="C2334" t="s">
        <v>52</v>
      </c>
      <c r="D2334" s="49">
        <v>45779</v>
      </c>
      <c r="E2334" s="49">
        <v>45781</v>
      </c>
      <c r="F2334" s="49">
        <v>45784</v>
      </c>
      <c r="G2334" s="49">
        <v>45788</v>
      </c>
      <c r="H2334" s="49">
        <v>45792</v>
      </c>
      <c r="I2334" s="49">
        <v>45794</v>
      </c>
      <c r="J2334" t="s">
        <v>49</v>
      </c>
      <c r="K2334" s="33">
        <v>3100</v>
      </c>
      <c r="L2334" t="s">
        <v>60</v>
      </c>
      <c r="M2334" t="str">
        <f>_xlfn.XLOOKUP(Pipeline_tbl[[#This Row],[Rep_ID]],Dim_Reps!A:A,Dim_Reps!K:K)</f>
        <v>EUR</v>
      </c>
      <c r="N2334" s="33">
        <f>(_xlfn.XLOOKUP(Pipeline_tbl[[#This Row],[Rate_Code_Generalized]],Lookups!A:A,Lookups!B:B))*Pipeline_tbl[[#This Row],[Pipeline_Amount_USD]]</f>
        <v>3100</v>
      </c>
      <c r="O2334" t="str">
        <f>_xlfn.XLOOKUP(Pipeline_tbl[[#This Row],[Rep_ID]],Dim_Reps!A:A,Dim_Reps!B:B)</f>
        <v>Lucas Okafor</v>
      </c>
      <c r="P2334" t="str">
        <f>_xlfn.XLOOKUP(Pipeline_tbl[[#This Row],[Rep_ID]],Dim_Reps!A:A,Dim_Reps!C:C)</f>
        <v>SDR / Inside Sales Rep</v>
      </c>
      <c r="Q2334" t="str">
        <f>_xlfn.XLOOKUP(Pipeline_tbl[[#This Row],[Rep_ID]],Dim_Reps!A:A,Dim_Reps!D:D)</f>
        <v>Inside Sales</v>
      </c>
      <c r="R2334" t="str">
        <f>_xlfn.XLOOKUP(Pipeline_tbl[[#This Row],[Rep_ID]],Dim_Reps!A:A,Dim_Reps!E:E)</f>
        <v>APAC</v>
      </c>
      <c r="S2334" t="str">
        <f>_xlfn.XLOOKUP(Pipeline_tbl[[#This Row],[Created_Date]],Dim_Date!A:A,Dim_Date!H:H)</f>
        <v>May 2025</v>
      </c>
      <c r="T2334" t="str">
        <f>IF(Pipeline_tbl[[#This Row],[Closed_Date]]=0,"",(_xlfn.XLOOKUP(Pipeline_tbl[[#This Row],[Closed_Date]],Dim_Date!A:A,Dim_Date!H:H)))</f>
        <v>May 2025</v>
      </c>
      <c r="U2334">
        <f>IF(Pipeline_tbl[[#This Row],[Closed_Date]]=0,"",Pipeline_tbl[[#This Row],[Closed_Date]]-Pipeline_tbl[[#This Row],[Created_Date]])</f>
        <v>15</v>
      </c>
    </row>
    <row r="2335" spans="1:21" ht="15" customHeight="1" x14ac:dyDescent="0.2">
      <c r="A2335" t="s">
        <v>2641</v>
      </c>
      <c r="B2335" t="s">
        <v>199</v>
      </c>
      <c r="C2335" t="s">
        <v>54</v>
      </c>
      <c r="D2335" s="49">
        <v>45793</v>
      </c>
      <c r="E2335" s="49">
        <v>45794</v>
      </c>
      <c r="F2335" s="49">
        <v>45797</v>
      </c>
      <c r="G2335" s="49">
        <v>45800</v>
      </c>
      <c r="I2335" s="49">
        <v>45805</v>
      </c>
      <c r="J2335" t="s">
        <v>49</v>
      </c>
      <c r="K2335" s="33">
        <v>3500</v>
      </c>
      <c r="L2335" t="s">
        <v>64</v>
      </c>
      <c r="M2335" t="str">
        <f>_xlfn.XLOOKUP(Pipeline_tbl[[#This Row],[Rep_ID]],Dim_Reps!A:A,Dim_Reps!K:K)</f>
        <v>EUR</v>
      </c>
      <c r="N2335" s="33">
        <f>(_xlfn.XLOOKUP(Pipeline_tbl[[#This Row],[Rate_Code_Generalized]],Lookups!A:A,Lookups!B:B))*Pipeline_tbl[[#This Row],[Pipeline_Amount_USD]]</f>
        <v>3500</v>
      </c>
      <c r="O2335" t="str">
        <f>_xlfn.XLOOKUP(Pipeline_tbl[[#This Row],[Rep_ID]],Dim_Reps!A:A,Dim_Reps!B:B)</f>
        <v>Lucas Okafor</v>
      </c>
      <c r="P2335" t="str">
        <f>_xlfn.XLOOKUP(Pipeline_tbl[[#This Row],[Rep_ID]],Dim_Reps!A:A,Dim_Reps!C:C)</f>
        <v>SDR / Inside Sales Rep</v>
      </c>
      <c r="Q2335" t="str">
        <f>_xlfn.XLOOKUP(Pipeline_tbl[[#This Row],[Rep_ID]],Dim_Reps!A:A,Dim_Reps!D:D)</f>
        <v>Inside Sales</v>
      </c>
      <c r="R2335" t="str">
        <f>_xlfn.XLOOKUP(Pipeline_tbl[[#This Row],[Rep_ID]],Dim_Reps!A:A,Dim_Reps!E:E)</f>
        <v>APAC</v>
      </c>
      <c r="S2335" t="str">
        <f>_xlfn.XLOOKUP(Pipeline_tbl[[#This Row],[Created_Date]],Dim_Date!A:A,Dim_Date!H:H)</f>
        <v>May 2025</v>
      </c>
      <c r="T2335" t="str">
        <f>IF(Pipeline_tbl[[#This Row],[Closed_Date]]=0,"",(_xlfn.XLOOKUP(Pipeline_tbl[[#This Row],[Closed_Date]],Dim_Date!A:A,Dim_Date!H:H)))</f>
        <v>May 2025</v>
      </c>
      <c r="U2335">
        <f>IF(Pipeline_tbl[[#This Row],[Closed_Date]]=0,"",Pipeline_tbl[[#This Row],[Closed_Date]]-Pipeline_tbl[[#This Row],[Created_Date]])</f>
        <v>12</v>
      </c>
    </row>
    <row r="2336" spans="1:21" ht="15" customHeight="1" x14ac:dyDescent="0.2">
      <c r="A2336" t="s">
        <v>2642</v>
      </c>
      <c r="B2336" t="s">
        <v>199</v>
      </c>
      <c r="C2336" t="s">
        <v>56</v>
      </c>
      <c r="D2336" s="49">
        <v>45781</v>
      </c>
      <c r="E2336" s="49">
        <v>45783</v>
      </c>
      <c r="F2336" s="49">
        <v>45788</v>
      </c>
      <c r="G2336" s="49">
        <v>45794</v>
      </c>
      <c r="I2336" s="49">
        <v>45803</v>
      </c>
      <c r="J2336" t="s">
        <v>49</v>
      </c>
      <c r="K2336" s="33">
        <v>1200</v>
      </c>
      <c r="L2336" t="s">
        <v>61</v>
      </c>
      <c r="M2336" t="str">
        <f>_xlfn.XLOOKUP(Pipeline_tbl[[#This Row],[Rep_ID]],Dim_Reps!A:A,Dim_Reps!K:K)</f>
        <v>EUR</v>
      </c>
      <c r="N2336" s="33">
        <f>(_xlfn.XLOOKUP(Pipeline_tbl[[#This Row],[Rate_Code_Generalized]],Lookups!A:A,Lookups!B:B))*Pipeline_tbl[[#This Row],[Pipeline_Amount_USD]]</f>
        <v>1200</v>
      </c>
      <c r="O2336" t="str">
        <f>_xlfn.XLOOKUP(Pipeline_tbl[[#This Row],[Rep_ID]],Dim_Reps!A:A,Dim_Reps!B:B)</f>
        <v>Lucas Okafor</v>
      </c>
      <c r="P2336" t="str">
        <f>_xlfn.XLOOKUP(Pipeline_tbl[[#This Row],[Rep_ID]],Dim_Reps!A:A,Dim_Reps!C:C)</f>
        <v>SDR / Inside Sales Rep</v>
      </c>
      <c r="Q2336" t="str">
        <f>_xlfn.XLOOKUP(Pipeline_tbl[[#This Row],[Rep_ID]],Dim_Reps!A:A,Dim_Reps!D:D)</f>
        <v>Inside Sales</v>
      </c>
      <c r="R2336" t="str">
        <f>_xlfn.XLOOKUP(Pipeline_tbl[[#This Row],[Rep_ID]],Dim_Reps!A:A,Dim_Reps!E:E)</f>
        <v>APAC</v>
      </c>
      <c r="S2336" t="str">
        <f>_xlfn.XLOOKUP(Pipeline_tbl[[#This Row],[Created_Date]],Dim_Date!A:A,Dim_Date!H:H)</f>
        <v>May 2025</v>
      </c>
      <c r="T2336" t="str">
        <f>IF(Pipeline_tbl[[#This Row],[Closed_Date]]=0,"",(_xlfn.XLOOKUP(Pipeline_tbl[[#This Row],[Closed_Date]],Dim_Date!A:A,Dim_Date!H:H)))</f>
        <v>May 2025</v>
      </c>
      <c r="U2336">
        <f>IF(Pipeline_tbl[[#This Row],[Closed_Date]]=0,"",Pipeline_tbl[[#This Row],[Closed_Date]]-Pipeline_tbl[[#This Row],[Created_Date]])</f>
        <v>22</v>
      </c>
    </row>
    <row r="2337" spans="1:21" ht="15" customHeight="1" x14ac:dyDescent="0.2">
      <c r="A2337" t="s">
        <v>2643</v>
      </c>
      <c r="B2337" t="s">
        <v>199</v>
      </c>
      <c r="C2337" t="s">
        <v>52</v>
      </c>
      <c r="D2337" s="49">
        <v>45780</v>
      </c>
      <c r="E2337" s="49">
        <v>45782</v>
      </c>
      <c r="F2337" s="49">
        <v>45785</v>
      </c>
      <c r="G2337" s="49">
        <v>45790</v>
      </c>
      <c r="H2337" s="49">
        <v>45794</v>
      </c>
      <c r="I2337" s="49">
        <v>45796</v>
      </c>
      <c r="J2337" t="s">
        <v>47</v>
      </c>
      <c r="K2337" s="33">
        <v>12100</v>
      </c>
      <c r="M2337" t="str">
        <f>_xlfn.XLOOKUP(Pipeline_tbl[[#This Row],[Rep_ID]],Dim_Reps!A:A,Dim_Reps!K:K)</f>
        <v>EUR</v>
      </c>
      <c r="N2337" s="33">
        <f>(_xlfn.XLOOKUP(Pipeline_tbl[[#This Row],[Rate_Code_Generalized]],Lookups!A:A,Lookups!B:B))*Pipeline_tbl[[#This Row],[Pipeline_Amount_USD]]</f>
        <v>12100</v>
      </c>
      <c r="O2337" t="str">
        <f>_xlfn.XLOOKUP(Pipeline_tbl[[#This Row],[Rep_ID]],Dim_Reps!A:A,Dim_Reps!B:B)</f>
        <v>Lucas Okafor</v>
      </c>
      <c r="P2337" t="str">
        <f>_xlfn.XLOOKUP(Pipeline_tbl[[#This Row],[Rep_ID]],Dim_Reps!A:A,Dim_Reps!C:C)</f>
        <v>SDR / Inside Sales Rep</v>
      </c>
      <c r="Q2337" t="str">
        <f>_xlfn.XLOOKUP(Pipeline_tbl[[#This Row],[Rep_ID]],Dim_Reps!A:A,Dim_Reps!D:D)</f>
        <v>Inside Sales</v>
      </c>
      <c r="R2337" t="str">
        <f>_xlfn.XLOOKUP(Pipeline_tbl[[#This Row],[Rep_ID]],Dim_Reps!A:A,Dim_Reps!E:E)</f>
        <v>APAC</v>
      </c>
      <c r="S2337" t="str">
        <f>_xlfn.XLOOKUP(Pipeline_tbl[[#This Row],[Created_Date]],Dim_Date!A:A,Dim_Date!H:H)</f>
        <v>May 2025</v>
      </c>
      <c r="T2337" t="str">
        <f>IF(Pipeline_tbl[[#This Row],[Closed_Date]]=0,"",(_xlfn.XLOOKUP(Pipeline_tbl[[#This Row],[Closed_Date]],Dim_Date!A:A,Dim_Date!H:H)))</f>
        <v>May 2025</v>
      </c>
      <c r="U2337">
        <f>IF(Pipeline_tbl[[#This Row],[Closed_Date]]=0,"",Pipeline_tbl[[#This Row],[Closed_Date]]-Pipeline_tbl[[#This Row],[Created_Date]])</f>
        <v>16</v>
      </c>
    </row>
    <row r="2338" spans="1:21" ht="15" customHeight="1" x14ac:dyDescent="0.2">
      <c r="A2338" t="s">
        <v>2644</v>
      </c>
      <c r="B2338" t="s">
        <v>199</v>
      </c>
      <c r="C2338" t="s">
        <v>54</v>
      </c>
      <c r="D2338" s="49">
        <v>45790</v>
      </c>
      <c r="E2338" s="49">
        <v>45792</v>
      </c>
      <c r="F2338" s="49">
        <v>45795</v>
      </c>
      <c r="G2338" s="49">
        <v>45800</v>
      </c>
      <c r="H2338" s="49">
        <v>45804</v>
      </c>
      <c r="I2338" s="49">
        <v>45807</v>
      </c>
      <c r="J2338" t="s">
        <v>47</v>
      </c>
      <c r="K2338" s="33">
        <v>1400</v>
      </c>
      <c r="M2338" t="str">
        <f>_xlfn.XLOOKUP(Pipeline_tbl[[#This Row],[Rep_ID]],Dim_Reps!A:A,Dim_Reps!K:K)</f>
        <v>EUR</v>
      </c>
      <c r="N2338" s="33">
        <f>(_xlfn.XLOOKUP(Pipeline_tbl[[#This Row],[Rate_Code_Generalized]],Lookups!A:A,Lookups!B:B))*Pipeline_tbl[[#This Row],[Pipeline_Amount_USD]]</f>
        <v>1400</v>
      </c>
      <c r="O2338" t="str">
        <f>_xlfn.XLOOKUP(Pipeline_tbl[[#This Row],[Rep_ID]],Dim_Reps!A:A,Dim_Reps!B:B)</f>
        <v>Lucas Okafor</v>
      </c>
      <c r="P2338" t="str">
        <f>_xlfn.XLOOKUP(Pipeline_tbl[[#This Row],[Rep_ID]],Dim_Reps!A:A,Dim_Reps!C:C)</f>
        <v>SDR / Inside Sales Rep</v>
      </c>
      <c r="Q2338" t="str">
        <f>_xlfn.XLOOKUP(Pipeline_tbl[[#This Row],[Rep_ID]],Dim_Reps!A:A,Dim_Reps!D:D)</f>
        <v>Inside Sales</v>
      </c>
      <c r="R2338" t="str">
        <f>_xlfn.XLOOKUP(Pipeline_tbl[[#This Row],[Rep_ID]],Dim_Reps!A:A,Dim_Reps!E:E)</f>
        <v>APAC</v>
      </c>
      <c r="S2338" t="str">
        <f>_xlfn.XLOOKUP(Pipeline_tbl[[#This Row],[Created_Date]],Dim_Date!A:A,Dim_Date!H:H)</f>
        <v>May 2025</v>
      </c>
      <c r="T2338" t="str">
        <f>IF(Pipeline_tbl[[#This Row],[Closed_Date]]=0,"",(_xlfn.XLOOKUP(Pipeline_tbl[[#This Row],[Closed_Date]],Dim_Date!A:A,Dim_Date!H:H)))</f>
        <v>May 2025</v>
      </c>
      <c r="U2338">
        <f>IF(Pipeline_tbl[[#This Row],[Closed_Date]]=0,"",Pipeline_tbl[[#This Row],[Closed_Date]]-Pipeline_tbl[[#This Row],[Created_Date]])</f>
        <v>17</v>
      </c>
    </row>
    <row r="2339" spans="1:21" ht="15" customHeight="1" x14ac:dyDescent="0.2">
      <c r="A2339" t="s">
        <v>2645</v>
      </c>
      <c r="B2339" t="s">
        <v>246</v>
      </c>
      <c r="C2339" t="s">
        <v>52</v>
      </c>
      <c r="D2339" s="49">
        <v>45778</v>
      </c>
      <c r="E2339" s="49">
        <v>45780</v>
      </c>
      <c r="F2339" s="49">
        <v>45783</v>
      </c>
      <c r="I2339" s="49">
        <v>45795</v>
      </c>
      <c r="J2339" t="s">
        <v>49</v>
      </c>
      <c r="K2339" s="33">
        <v>11300</v>
      </c>
      <c r="L2339" t="s">
        <v>64</v>
      </c>
      <c r="M2339" t="str">
        <f>_xlfn.XLOOKUP(Pipeline_tbl[[#This Row],[Rep_ID]],Dim_Reps!A:A,Dim_Reps!K:K)</f>
        <v>EUR</v>
      </c>
      <c r="N2339" s="33">
        <f>(_xlfn.XLOOKUP(Pipeline_tbl[[#This Row],[Rate_Code_Generalized]],Lookups!A:A,Lookups!B:B))*Pipeline_tbl[[#This Row],[Pipeline_Amount_USD]]</f>
        <v>11300</v>
      </c>
      <c r="O2339" t="str">
        <f>_xlfn.XLOOKUP(Pipeline_tbl[[#This Row],[Rep_ID]],Dim_Reps!A:A,Dim_Reps!B:B)</f>
        <v>Karim Rivera</v>
      </c>
      <c r="P2339" t="str">
        <f>_xlfn.XLOOKUP(Pipeline_tbl[[#This Row],[Rep_ID]],Dim_Reps!A:A,Dim_Reps!C:C)</f>
        <v>Mid-Market AE</v>
      </c>
      <c r="Q2339" t="str">
        <f>_xlfn.XLOOKUP(Pipeline_tbl[[#This Row],[Rep_ID]],Dim_Reps!A:A,Dim_Reps!D:D)</f>
        <v>Mid-Market</v>
      </c>
      <c r="R2339" t="str">
        <f>_xlfn.XLOOKUP(Pipeline_tbl[[#This Row],[Rep_ID]],Dim_Reps!A:A,Dim_Reps!E:E)</f>
        <v>APAC</v>
      </c>
      <c r="S2339" t="str">
        <f>_xlfn.XLOOKUP(Pipeline_tbl[[#This Row],[Created_Date]],Dim_Date!A:A,Dim_Date!H:H)</f>
        <v>May 2025</v>
      </c>
      <c r="T2339" t="str">
        <f>IF(Pipeline_tbl[[#This Row],[Closed_Date]]=0,"",(_xlfn.XLOOKUP(Pipeline_tbl[[#This Row],[Closed_Date]],Dim_Date!A:A,Dim_Date!H:H)))</f>
        <v>May 2025</v>
      </c>
      <c r="U2339">
        <f>IF(Pipeline_tbl[[#This Row],[Closed_Date]]=0,"",Pipeline_tbl[[#This Row],[Closed_Date]]-Pipeline_tbl[[#This Row],[Created_Date]])</f>
        <v>17</v>
      </c>
    </row>
    <row r="2340" spans="1:21" ht="15" customHeight="1" x14ac:dyDescent="0.2">
      <c r="A2340" t="s">
        <v>2646</v>
      </c>
      <c r="B2340" t="s">
        <v>203</v>
      </c>
      <c r="C2340" t="s">
        <v>52</v>
      </c>
      <c r="D2340" s="49">
        <v>45780</v>
      </c>
      <c r="E2340" s="49">
        <v>45781</v>
      </c>
      <c r="F2340" s="49">
        <v>45782</v>
      </c>
      <c r="G2340" s="49">
        <v>45784</v>
      </c>
      <c r="H2340" s="49">
        <v>45786</v>
      </c>
      <c r="I2340" s="49">
        <v>45787</v>
      </c>
      <c r="J2340" t="s">
        <v>49</v>
      </c>
      <c r="K2340" s="33">
        <v>2900</v>
      </c>
      <c r="L2340" t="s">
        <v>63</v>
      </c>
      <c r="M2340" t="str">
        <f>_xlfn.XLOOKUP(Pipeline_tbl[[#This Row],[Rep_ID]],Dim_Reps!A:A,Dim_Reps!K:K)</f>
        <v>EUR</v>
      </c>
      <c r="N2340" s="33">
        <f>(_xlfn.XLOOKUP(Pipeline_tbl[[#This Row],[Rate_Code_Generalized]],Lookups!A:A,Lookups!B:B))*Pipeline_tbl[[#This Row],[Pipeline_Amount_USD]]</f>
        <v>2900</v>
      </c>
      <c r="O2340" t="str">
        <f>_xlfn.XLOOKUP(Pipeline_tbl[[#This Row],[Rep_ID]],Dim_Reps!A:A,Dim_Reps!B:B)</f>
        <v>Riley Haddad</v>
      </c>
      <c r="P2340" t="str">
        <f>_xlfn.XLOOKUP(Pipeline_tbl[[#This Row],[Rep_ID]],Dim_Reps!A:A,Dim_Reps!C:C)</f>
        <v>SDR / Inside Sales Rep</v>
      </c>
      <c r="Q2340" t="str">
        <f>_xlfn.XLOOKUP(Pipeline_tbl[[#This Row],[Rep_ID]],Dim_Reps!A:A,Dim_Reps!D:D)</f>
        <v>Inside Sales</v>
      </c>
      <c r="R2340" t="str">
        <f>_xlfn.XLOOKUP(Pipeline_tbl[[#This Row],[Rep_ID]],Dim_Reps!A:A,Dim_Reps!E:E)</f>
        <v>APAC</v>
      </c>
      <c r="S2340" t="str">
        <f>_xlfn.XLOOKUP(Pipeline_tbl[[#This Row],[Created_Date]],Dim_Date!A:A,Dim_Date!H:H)</f>
        <v>May 2025</v>
      </c>
      <c r="T2340" t="str">
        <f>IF(Pipeline_tbl[[#This Row],[Closed_Date]]=0,"",(_xlfn.XLOOKUP(Pipeline_tbl[[#This Row],[Closed_Date]],Dim_Date!A:A,Dim_Date!H:H)))</f>
        <v>May 2025</v>
      </c>
      <c r="U2340">
        <f>IF(Pipeline_tbl[[#This Row],[Closed_Date]]=0,"",Pipeline_tbl[[#This Row],[Closed_Date]]-Pipeline_tbl[[#This Row],[Created_Date]])</f>
        <v>7</v>
      </c>
    </row>
    <row r="2341" spans="1:21" ht="15" customHeight="1" x14ac:dyDescent="0.2">
      <c r="A2341" t="s">
        <v>2647</v>
      </c>
      <c r="B2341" t="s">
        <v>203</v>
      </c>
      <c r="C2341" t="s">
        <v>53</v>
      </c>
      <c r="D2341" s="49">
        <v>45787</v>
      </c>
      <c r="E2341" s="49">
        <v>45789</v>
      </c>
      <c r="F2341" s="49">
        <v>45793</v>
      </c>
      <c r="G2341" s="49">
        <v>45800</v>
      </c>
      <c r="H2341" s="49">
        <v>45805</v>
      </c>
      <c r="I2341" s="49">
        <v>45808</v>
      </c>
      <c r="J2341" t="s">
        <v>47</v>
      </c>
      <c r="K2341" s="33">
        <v>1700</v>
      </c>
      <c r="M2341" t="str">
        <f>_xlfn.XLOOKUP(Pipeline_tbl[[#This Row],[Rep_ID]],Dim_Reps!A:A,Dim_Reps!K:K)</f>
        <v>EUR</v>
      </c>
      <c r="N2341" s="33">
        <f>(_xlfn.XLOOKUP(Pipeline_tbl[[#This Row],[Rate_Code_Generalized]],Lookups!A:A,Lookups!B:B))*Pipeline_tbl[[#This Row],[Pipeline_Amount_USD]]</f>
        <v>1700</v>
      </c>
      <c r="O2341" t="str">
        <f>_xlfn.XLOOKUP(Pipeline_tbl[[#This Row],[Rep_ID]],Dim_Reps!A:A,Dim_Reps!B:B)</f>
        <v>Riley Haddad</v>
      </c>
      <c r="P2341" t="str">
        <f>_xlfn.XLOOKUP(Pipeline_tbl[[#This Row],[Rep_ID]],Dim_Reps!A:A,Dim_Reps!C:C)</f>
        <v>SDR / Inside Sales Rep</v>
      </c>
      <c r="Q2341" t="str">
        <f>_xlfn.XLOOKUP(Pipeline_tbl[[#This Row],[Rep_ID]],Dim_Reps!A:A,Dim_Reps!D:D)</f>
        <v>Inside Sales</v>
      </c>
      <c r="R2341" t="str">
        <f>_xlfn.XLOOKUP(Pipeline_tbl[[#This Row],[Rep_ID]],Dim_Reps!A:A,Dim_Reps!E:E)</f>
        <v>APAC</v>
      </c>
      <c r="S2341" t="str">
        <f>_xlfn.XLOOKUP(Pipeline_tbl[[#This Row],[Created_Date]],Dim_Date!A:A,Dim_Date!H:H)</f>
        <v>May 2025</v>
      </c>
      <c r="T2341" t="str">
        <f>IF(Pipeline_tbl[[#This Row],[Closed_Date]]=0,"",(_xlfn.XLOOKUP(Pipeline_tbl[[#This Row],[Closed_Date]],Dim_Date!A:A,Dim_Date!H:H)))</f>
        <v>May 2025</v>
      </c>
      <c r="U2341">
        <f>IF(Pipeline_tbl[[#This Row],[Closed_Date]]=0,"",Pipeline_tbl[[#This Row],[Closed_Date]]-Pipeline_tbl[[#This Row],[Created_Date]])</f>
        <v>21</v>
      </c>
    </row>
    <row r="2342" spans="1:21" ht="15" customHeight="1" x14ac:dyDescent="0.2">
      <c r="A2342" t="s">
        <v>2648</v>
      </c>
      <c r="B2342" t="s">
        <v>203</v>
      </c>
      <c r="C2342" t="s">
        <v>52</v>
      </c>
      <c r="D2342" s="49">
        <v>45786</v>
      </c>
      <c r="E2342" s="49">
        <v>45788</v>
      </c>
      <c r="F2342" s="49">
        <v>45792</v>
      </c>
      <c r="I2342" s="49">
        <v>45805</v>
      </c>
      <c r="J2342" t="s">
        <v>49</v>
      </c>
      <c r="K2342" s="33">
        <v>7800</v>
      </c>
      <c r="L2342" t="s">
        <v>62</v>
      </c>
      <c r="M2342" t="str">
        <f>_xlfn.XLOOKUP(Pipeline_tbl[[#This Row],[Rep_ID]],Dim_Reps!A:A,Dim_Reps!K:K)</f>
        <v>EUR</v>
      </c>
      <c r="N2342" s="33">
        <f>(_xlfn.XLOOKUP(Pipeline_tbl[[#This Row],[Rate_Code_Generalized]],Lookups!A:A,Lookups!B:B))*Pipeline_tbl[[#This Row],[Pipeline_Amount_USD]]</f>
        <v>7800</v>
      </c>
      <c r="O2342" t="str">
        <f>_xlfn.XLOOKUP(Pipeline_tbl[[#This Row],[Rep_ID]],Dim_Reps!A:A,Dim_Reps!B:B)</f>
        <v>Riley Haddad</v>
      </c>
      <c r="P2342" t="str">
        <f>_xlfn.XLOOKUP(Pipeline_tbl[[#This Row],[Rep_ID]],Dim_Reps!A:A,Dim_Reps!C:C)</f>
        <v>SDR / Inside Sales Rep</v>
      </c>
      <c r="Q2342" t="str">
        <f>_xlfn.XLOOKUP(Pipeline_tbl[[#This Row],[Rep_ID]],Dim_Reps!A:A,Dim_Reps!D:D)</f>
        <v>Inside Sales</v>
      </c>
      <c r="R2342" t="str">
        <f>_xlfn.XLOOKUP(Pipeline_tbl[[#This Row],[Rep_ID]],Dim_Reps!A:A,Dim_Reps!E:E)</f>
        <v>APAC</v>
      </c>
      <c r="S2342" t="str">
        <f>_xlfn.XLOOKUP(Pipeline_tbl[[#This Row],[Created_Date]],Dim_Date!A:A,Dim_Date!H:H)</f>
        <v>May 2025</v>
      </c>
      <c r="T2342" t="str">
        <f>IF(Pipeline_tbl[[#This Row],[Closed_Date]]=0,"",(_xlfn.XLOOKUP(Pipeline_tbl[[#This Row],[Closed_Date]],Dim_Date!A:A,Dim_Date!H:H)))</f>
        <v>May 2025</v>
      </c>
      <c r="U2342">
        <f>IF(Pipeline_tbl[[#This Row],[Closed_Date]]=0,"",Pipeline_tbl[[#This Row],[Closed_Date]]-Pipeline_tbl[[#This Row],[Created_Date]])</f>
        <v>19</v>
      </c>
    </row>
    <row r="2343" spans="1:21" ht="15" customHeight="1" x14ac:dyDescent="0.2">
      <c r="A2343" t="s">
        <v>2649</v>
      </c>
      <c r="B2343" t="s">
        <v>205</v>
      </c>
      <c r="C2343" t="s">
        <v>52</v>
      </c>
      <c r="D2343" s="49">
        <v>45781</v>
      </c>
      <c r="E2343" s="49">
        <v>45783</v>
      </c>
      <c r="F2343" s="49">
        <v>45786</v>
      </c>
      <c r="G2343" s="49">
        <v>45790</v>
      </c>
      <c r="H2343" s="49">
        <v>45794</v>
      </c>
      <c r="I2343" s="49">
        <v>45796</v>
      </c>
      <c r="J2343" t="s">
        <v>47</v>
      </c>
      <c r="K2343" s="33">
        <v>2100</v>
      </c>
      <c r="M2343" t="str">
        <f>_xlfn.XLOOKUP(Pipeline_tbl[[#This Row],[Rep_ID]],Dim_Reps!A:A,Dim_Reps!K:K)</f>
        <v>EUR</v>
      </c>
      <c r="N2343" s="33">
        <f>(_xlfn.XLOOKUP(Pipeline_tbl[[#This Row],[Rate_Code_Generalized]],Lookups!A:A,Lookups!B:B))*Pipeline_tbl[[#This Row],[Pipeline_Amount_USD]]</f>
        <v>2100</v>
      </c>
      <c r="O2343" t="str">
        <f>_xlfn.XLOOKUP(Pipeline_tbl[[#This Row],[Rep_ID]],Dim_Reps!A:A,Dim_Reps!B:B)</f>
        <v>Karim Alvarez</v>
      </c>
      <c r="P2343" t="str">
        <f>_xlfn.XLOOKUP(Pipeline_tbl[[#This Row],[Rep_ID]],Dim_Reps!A:A,Dim_Reps!C:C)</f>
        <v>SDR / Inside Sales Rep</v>
      </c>
      <c r="Q2343" t="str">
        <f>_xlfn.XLOOKUP(Pipeline_tbl[[#This Row],[Rep_ID]],Dim_Reps!A:A,Dim_Reps!D:D)</f>
        <v>Inside Sales</v>
      </c>
      <c r="R2343" t="str">
        <f>_xlfn.XLOOKUP(Pipeline_tbl[[#This Row],[Rep_ID]],Dim_Reps!A:A,Dim_Reps!E:E)</f>
        <v>EMEA</v>
      </c>
      <c r="S2343" t="str">
        <f>_xlfn.XLOOKUP(Pipeline_tbl[[#This Row],[Created_Date]],Dim_Date!A:A,Dim_Date!H:H)</f>
        <v>May 2025</v>
      </c>
      <c r="T2343" t="str">
        <f>IF(Pipeline_tbl[[#This Row],[Closed_Date]]=0,"",(_xlfn.XLOOKUP(Pipeline_tbl[[#This Row],[Closed_Date]],Dim_Date!A:A,Dim_Date!H:H)))</f>
        <v>May 2025</v>
      </c>
      <c r="U2343">
        <f>IF(Pipeline_tbl[[#This Row],[Closed_Date]]=0,"",Pipeline_tbl[[#This Row],[Closed_Date]]-Pipeline_tbl[[#This Row],[Created_Date]])</f>
        <v>15</v>
      </c>
    </row>
    <row r="2344" spans="1:21" ht="15" customHeight="1" x14ac:dyDescent="0.2">
      <c r="A2344" t="s">
        <v>2650</v>
      </c>
      <c r="B2344" t="s">
        <v>205</v>
      </c>
      <c r="C2344" t="s">
        <v>52</v>
      </c>
      <c r="D2344" s="49">
        <v>45789</v>
      </c>
      <c r="E2344" s="49">
        <v>45790</v>
      </c>
      <c r="F2344" s="49">
        <v>45793</v>
      </c>
      <c r="G2344" s="49">
        <v>45797</v>
      </c>
      <c r="H2344" s="49">
        <v>45801</v>
      </c>
      <c r="I2344" s="49">
        <v>45803</v>
      </c>
      <c r="J2344" t="s">
        <v>47</v>
      </c>
      <c r="K2344" s="33">
        <v>4100</v>
      </c>
      <c r="M2344" t="str">
        <f>_xlfn.XLOOKUP(Pipeline_tbl[[#This Row],[Rep_ID]],Dim_Reps!A:A,Dim_Reps!K:K)</f>
        <v>EUR</v>
      </c>
      <c r="N2344" s="33">
        <f>(_xlfn.XLOOKUP(Pipeline_tbl[[#This Row],[Rate_Code_Generalized]],Lookups!A:A,Lookups!B:B))*Pipeline_tbl[[#This Row],[Pipeline_Amount_USD]]</f>
        <v>4100</v>
      </c>
      <c r="O2344" t="str">
        <f>_xlfn.XLOOKUP(Pipeline_tbl[[#This Row],[Rep_ID]],Dim_Reps!A:A,Dim_Reps!B:B)</f>
        <v>Karim Alvarez</v>
      </c>
      <c r="P2344" t="str">
        <f>_xlfn.XLOOKUP(Pipeline_tbl[[#This Row],[Rep_ID]],Dim_Reps!A:A,Dim_Reps!C:C)</f>
        <v>SDR / Inside Sales Rep</v>
      </c>
      <c r="Q2344" t="str">
        <f>_xlfn.XLOOKUP(Pipeline_tbl[[#This Row],[Rep_ID]],Dim_Reps!A:A,Dim_Reps!D:D)</f>
        <v>Inside Sales</v>
      </c>
      <c r="R2344" t="str">
        <f>_xlfn.XLOOKUP(Pipeline_tbl[[#This Row],[Rep_ID]],Dim_Reps!A:A,Dim_Reps!E:E)</f>
        <v>EMEA</v>
      </c>
      <c r="S2344" t="str">
        <f>_xlfn.XLOOKUP(Pipeline_tbl[[#This Row],[Created_Date]],Dim_Date!A:A,Dim_Date!H:H)</f>
        <v>May 2025</v>
      </c>
      <c r="T2344" t="str">
        <f>IF(Pipeline_tbl[[#This Row],[Closed_Date]]=0,"",(_xlfn.XLOOKUP(Pipeline_tbl[[#This Row],[Closed_Date]],Dim_Date!A:A,Dim_Date!H:H)))</f>
        <v>May 2025</v>
      </c>
      <c r="U2344">
        <f>IF(Pipeline_tbl[[#This Row],[Closed_Date]]=0,"",Pipeline_tbl[[#This Row],[Closed_Date]]-Pipeline_tbl[[#This Row],[Created_Date]])</f>
        <v>14</v>
      </c>
    </row>
    <row r="2345" spans="1:21" ht="15" customHeight="1" x14ac:dyDescent="0.2">
      <c r="A2345" t="s">
        <v>2651</v>
      </c>
      <c r="B2345" t="s">
        <v>207</v>
      </c>
      <c r="C2345" t="s">
        <v>56</v>
      </c>
      <c r="D2345" s="49">
        <v>45789</v>
      </c>
      <c r="E2345" s="49">
        <v>45790</v>
      </c>
      <c r="F2345" s="49">
        <v>45791</v>
      </c>
      <c r="G2345" s="49">
        <v>45794</v>
      </c>
      <c r="H2345" s="49">
        <v>45796</v>
      </c>
      <c r="I2345" s="49">
        <v>45797</v>
      </c>
      <c r="J2345" t="s">
        <v>49</v>
      </c>
      <c r="K2345" s="33">
        <v>6100</v>
      </c>
      <c r="L2345" t="s">
        <v>61</v>
      </c>
      <c r="M2345" t="str">
        <f>_xlfn.XLOOKUP(Pipeline_tbl[[#This Row],[Rep_ID]],Dim_Reps!A:A,Dim_Reps!K:K)</f>
        <v>EUR</v>
      </c>
      <c r="N2345" s="33">
        <f>(_xlfn.XLOOKUP(Pipeline_tbl[[#This Row],[Rate_Code_Generalized]],Lookups!A:A,Lookups!B:B))*Pipeline_tbl[[#This Row],[Pipeline_Amount_USD]]</f>
        <v>6100</v>
      </c>
      <c r="O2345" t="str">
        <f>_xlfn.XLOOKUP(Pipeline_tbl[[#This Row],[Rep_ID]],Dim_Reps!A:A,Dim_Reps!B:B)</f>
        <v>Sam Castro</v>
      </c>
      <c r="P2345" t="str">
        <f>_xlfn.XLOOKUP(Pipeline_tbl[[#This Row],[Rep_ID]],Dim_Reps!A:A,Dim_Reps!C:C)</f>
        <v>SDR / Inside Sales Rep</v>
      </c>
      <c r="Q2345" t="str">
        <f>_xlfn.XLOOKUP(Pipeline_tbl[[#This Row],[Rep_ID]],Dim_Reps!A:A,Dim_Reps!D:D)</f>
        <v>Inside Sales</v>
      </c>
      <c r="R2345" t="str">
        <f>_xlfn.XLOOKUP(Pipeline_tbl[[#This Row],[Rep_ID]],Dim_Reps!A:A,Dim_Reps!E:E)</f>
        <v>APAC</v>
      </c>
      <c r="S2345" t="str">
        <f>_xlfn.XLOOKUP(Pipeline_tbl[[#This Row],[Created_Date]],Dim_Date!A:A,Dim_Date!H:H)</f>
        <v>May 2025</v>
      </c>
      <c r="T2345" t="str">
        <f>IF(Pipeline_tbl[[#This Row],[Closed_Date]]=0,"",(_xlfn.XLOOKUP(Pipeline_tbl[[#This Row],[Closed_Date]],Dim_Date!A:A,Dim_Date!H:H)))</f>
        <v>May 2025</v>
      </c>
      <c r="U2345">
        <f>IF(Pipeline_tbl[[#This Row],[Closed_Date]]=0,"",Pipeline_tbl[[#This Row],[Closed_Date]]-Pipeline_tbl[[#This Row],[Created_Date]])</f>
        <v>8</v>
      </c>
    </row>
    <row r="2346" spans="1:21" ht="15" customHeight="1" x14ac:dyDescent="0.2">
      <c r="A2346" t="s">
        <v>2652</v>
      </c>
      <c r="B2346" t="s">
        <v>207</v>
      </c>
      <c r="C2346" t="s">
        <v>52</v>
      </c>
      <c r="D2346" s="49">
        <v>45782</v>
      </c>
      <c r="E2346" s="49">
        <v>45783</v>
      </c>
      <c r="F2346" s="49">
        <v>45786</v>
      </c>
      <c r="I2346" s="49">
        <v>45796</v>
      </c>
      <c r="J2346" t="s">
        <v>49</v>
      </c>
      <c r="K2346" s="33">
        <v>4600</v>
      </c>
      <c r="L2346" t="s">
        <v>62</v>
      </c>
      <c r="M2346" t="str">
        <f>_xlfn.XLOOKUP(Pipeline_tbl[[#This Row],[Rep_ID]],Dim_Reps!A:A,Dim_Reps!K:K)</f>
        <v>EUR</v>
      </c>
      <c r="N2346" s="33">
        <f>(_xlfn.XLOOKUP(Pipeline_tbl[[#This Row],[Rate_Code_Generalized]],Lookups!A:A,Lookups!B:B))*Pipeline_tbl[[#This Row],[Pipeline_Amount_USD]]</f>
        <v>4600</v>
      </c>
      <c r="O2346" t="str">
        <f>_xlfn.XLOOKUP(Pipeline_tbl[[#This Row],[Rep_ID]],Dim_Reps!A:A,Dim_Reps!B:B)</f>
        <v>Sam Castro</v>
      </c>
      <c r="P2346" t="str">
        <f>_xlfn.XLOOKUP(Pipeline_tbl[[#This Row],[Rep_ID]],Dim_Reps!A:A,Dim_Reps!C:C)</f>
        <v>SDR / Inside Sales Rep</v>
      </c>
      <c r="Q2346" t="str">
        <f>_xlfn.XLOOKUP(Pipeline_tbl[[#This Row],[Rep_ID]],Dim_Reps!A:A,Dim_Reps!D:D)</f>
        <v>Inside Sales</v>
      </c>
      <c r="R2346" t="str">
        <f>_xlfn.XLOOKUP(Pipeline_tbl[[#This Row],[Rep_ID]],Dim_Reps!A:A,Dim_Reps!E:E)</f>
        <v>APAC</v>
      </c>
      <c r="S2346" t="str">
        <f>_xlfn.XLOOKUP(Pipeline_tbl[[#This Row],[Created_Date]],Dim_Date!A:A,Dim_Date!H:H)</f>
        <v>May 2025</v>
      </c>
      <c r="T2346" t="str">
        <f>IF(Pipeline_tbl[[#This Row],[Closed_Date]]=0,"",(_xlfn.XLOOKUP(Pipeline_tbl[[#This Row],[Closed_Date]],Dim_Date!A:A,Dim_Date!H:H)))</f>
        <v>May 2025</v>
      </c>
      <c r="U2346">
        <f>IF(Pipeline_tbl[[#This Row],[Closed_Date]]=0,"",Pipeline_tbl[[#This Row],[Closed_Date]]-Pipeline_tbl[[#This Row],[Created_Date]])</f>
        <v>14</v>
      </c>
    </row>
    <row r="2347" spans="1:21" ht="15" customHeight="1" x14ac:dyDescent="0.2">
      <c r="A2347" t="s">
        <v>2653</v>
      </c>
      <c r="B2347" t="s">
        <v>207</v>
      </c>
      <c r="C2347" t="s">
        <v>55</v>
      </c>
      <c r="D2347" s="49">
        <v>45785</v>
      </c>
      <c r="E2347" s="49">
        <v>45786</v>
      </c>
      <c r="F2347" s="49">
        <v>45788</v>
      </c>
      <c r="G2347" s="49">
        <v>45790</v>
      </c>
      <c r="H2347" s="49">
        <v>45793</v>
      </c>
      <c r="I2347" s="49">
        <v>45794</v>
      </c>
      <c r="J2347" t="s">
        <v>47</v>
      </c>
      <c r="K2347" s="33">
        <v>3700</v>
      </c>
      <c r="M2347" t="str">
        <f>_xlfn.XLOOKUP(Pipeline_tbl[[#This Row],[Rep_ID]],Dim_Reps!A:A,Dim_Reps!K:K)</f>
        <v>EUR</v>
      </c>
      <c r="N2347" s="33">
        <f>(_xlfn.XLOOKUP(Pipeline_tbl[[#This Row],[Rate_Code_Generalized]],Lookups!A:A,Lookups!B:B))*Pipeline_tbl[[#This Row],[Pipeline_Amount_USD]]</f>
        <v>3700</v>
      </c>
      <c r="O2347" t="str">
        <f>_xlfn.XLOOKUP(Pipeline_tbl[[#This Row],[Rep_ID]],Dim_Reps!A:A,Dim_Reps!B:B)</f>
        <v>Sam Castro</v>
      </c>
      <c r="P2347" t="str">
        <f>_xlfn.XLOOKUP(Pipeline_tbl[[#This Row],[Rep_ID]],Dim_Reps!A:A,Dim_Reps!C:C)</f>
        <v>SDR / Inside Sales Rep</v>
      </c>
      <c r="Q2347" t="str">
        <f>_xlfn.XLOOKUP(Pipeline_tbl[[#This Row],[Rep_ID]],Dim_Reps!A:A,Dim_Reps!D:D)</f>
        <v>Inside Sales</v>
      </c>
      <c r="R2347" t="str">
        <f>_xlfn.XLOOKUP(Pipeline_tbl[[#This Row],[Rep_ID]],Dim_Reps!A:A,Dim_Reps!E:E)</f>
        <v>APAC</v>
      </c>
      <c r="S2347" t="str">
        <f>_xlfn.XLOOKUP(Pipeline_tbl[[#This Row],[Created_Date]],Dim_Date!A:A,Dim_Date!H:H)</f>
        <v>May 2025</v>
      </c>
      <c r="T2347" t="str">
        <f>IF(Pipeline_tbl[[#This Row],[Closed_Date]]=0,"",(_xlfn.XLOOKUP(Pipeline_tbl[[#This Row],[Closed_Date]],Dim_Date!A:A,Dim_Date!H:H)))</f>
        <v>May 2025</v>
      </c>
      <c r="U2347">
        <f>IF(Pipeline_tbl[[#This Row],[Closed_Date]]=0,"",Pipeline_tbl[[#This Row],[Closed_Date]]-Pipeline_tbl[[#This Row],[Created_Date]])</f>
        <v>9</v>
      </c>
    </row>
    <row r="2348" spans="1:21" ht="15" customHeight="1" x14ac:dyDescent="0.2">
      <c r="A2348" t="s">
        <v>2654</v>
      </c>
      <c r="B2348" t="s">
        <v>209</v>
      </c>
      <c r="C2348" t="s">
        <v>56</v>
      </c>
      <c r="D2348" s="49">
        <v>45779</v>
      </c>
      <c r="E2348" s="49">
        <v>45781</v>
      </c>
      <c r="I2348" s="49">
        <v>45794</v>
      </c>
      <c r="J2348" t="s">
        <v>49</v>
      </c>
      <c r="K2348" s="33">
        <v>2800</v>
      </c>
      <c r="L2348" t="s">
        <v>61</v>
      </c>
      <c r="M2348" t="str">
        <f>_xlfn.XLOOKUP(Pipeline_tbl[[#This Row],[Rep_ID]],Dim_Reps!A:A,Dim_Reps!K:K)</f>
        <v>EUR</v>
      </c>
      <c r="N2348" s="33">
        <f>(_xlfn.XLOOKUP(Pipeline_tbl[[#This Row],[Rate_Code_Generalized]],Lookups!A:A,Lookups!B:B))*Pipeline_tbl[[#This Row],[Pipeline_Amount_USD]]</f>
        <v>2800</v>
      </c>
      <c r="O2348" t="str">
        <f>_xlfn.XLOOKUP(Pipeline_tbl[[#This Row],[Rep_ID]],Dim_Reps!A:A,Dim_Reps!B:B)</f>
        <v>Petra Larsen</v>
      </c>
      <c r="P2348" t="str">
        <f>_xlfn.XLOOKUP(Pipeline_tbl[[#This Row],[Rep_ID]],Dim_Reps!A:A,Dim_Reps!C:C)</f>
        <v>SDR / Inside Sales Rep</v>
      </c>
      <c r="Q2348" t="str">
        <f>_xlfn.XLOOKUP(Pipeline_tbl[[#This Row],[Rep_ID]],Dim_Reps!A:A,Dim_Reps!D:D)</f>
        <v>Inside Sales</v>
      </c>
      <c r="R2348" t="str">
        <f>_xlfn.XLOOKUP(Pipeline_tbl[[#This Row],[Rep_ID]],Dim_Reps!A:A,Dim_Reps!E:E)</f>
        <v>EMEA</v>
      </c>
      <c r="S2348" t="str">
        <f>_xlfn.XLOOKUP(Pipeline_tbl[[#This Row],[Created_Date]],Dim_Date!A:A,Dim_Date!H:H)</f>
        <v>May 2025</v>
      </c>
      <c r="T2348" t="str">
        <f>IF(Pipeline_tbl[[#This Row],[Closed_Date]]=0,"",(_xlfn.XLOOKUP(Pipeline_tbl[[#This Row],[Closed_Date]],Dim_Date!A:A,Dim_Date!H:H)))</f>
        <v>May 2025</v>
      </c>
      <c r="U2348">
        <f>IF(Pipeline_tbl[[#This Row],[Closed_Date]]=0,"",Pipeline_tbl[[#This Row],[Closed_Date]]-Pipeline_tbl[[#This Row],[Created_Date]])</f>
        <v>15</v>
      </c>
    </row>
    <row r="2349" spans="1:21" ht="15" customHeight="1" x14ac:dyDescent="0.2">
      <c r="A2349" t="s">
        <v>2655</v>
      </c>
      <c r="B2349" t="s">
        <v>209</v>
      </c>
      <c r="C2349" t="s">
        <v>52</v>
      </c>
      <c r="D2349" s="49">
        <v>45792</v>
      </c>
      <c r="E2349" s="49">
        <v>45793</v>
      </c>
      <c r="F2349" s="49">
        <v>45796</v>
      </c>
      <c r="G2349" s="49">
        <v>45799</v>
      </c>
      <c r="H2349" s="49">
        <v>45802</v>
      </c>
      <c r="I2349" s="49">
        <v>45804</v>
      </c>
      <c r="J2349" t="s">
        <v>47</v>
      </c>
      <c r="K2349" s="33">
        <v>6900</v>
      </c>
      <c r="M2349" t="str">
        <f>_xlfn.XLOOKUP(Pipeline_tbl[[#This Row],[Rep_ID]],Dim_Reps!A:A,Dim_Reps!K:K)</f>
        <v>EUR</v>
      </c>
      <c r="N2349" s="33">
        <f>(_xlfn.XLOOKUP(Pipeline_tbl[[#This Row],[Rate_Code_Generalized]],Lookups!A:A,Lookups!B:B))*Pipeline_tbl[[#This Row],[Pipeline_Amount_USD]]</f>
        <v>6900</v>
      </c>
      <c r="O2349" t="str">
        <f>_xlfn.XLOOKUP(Pipeline_tbl[[#This Row],[Rep_ID]],Dim_Reps!A:A,Dim_Reps!B:B)</f>
        <v>Petra Larsen</v>
      </c>
      <c r="P2349" t="str">
        <f>_xlfn.XLOOKUP(Pipeline_tbl[[#This Row],[Rep_ID]],Dim_Reps!A:A,Dim_Reps!C:C)</f>
        <v>SDR / Inside Sales Rep</v>
      </c>
      <c r="Q2349" t="str">
        <f>_xlfn.XLOOKUP(Pipeline_tbl[[#This Row],[Rep_ID]],Dim_Reps!A:A,Dim_Reps!D:D)</f>
        <v>Inside Sales</v>
      </c>
      <c r="R2349" t="str">
        <f>_xlfn.XLOOKUP(Pipeline_tbl[[#This Row],[Rep_ID]],Dim_Reps!A:A,Dim_Reps!E:E)</f>
        <v>EMEA</v>
      </c>
      <c r="S2349" t="str">
        <f>_xlfn.XLOOKUP(Pipeline_tbl[[#This Row],[Created_Date]],Dim_Date!A:A,Dim_Date!H:H)</f>
        <v>May 2025</v>
      </c>
      <c r="T2349" t="str">
        <f>IF(Pipeline_tbl[[#This Row],[Closed_Date]]=0,"",(_xlfn.XLOOKUP(Pipeline_tbl[[#This Row],[Closed_Date]],Dim_Date!A:A,Dim_Date!H:H)))</f>
        <v>May 2025</v>
      </c>
      <c r="U2349">
        <f>IF(Pipeline_tbl[[#This Row],[Closed_Date]]=0,"",Pipeline_tbl[[#This Row],[Closed_Date]]-Pipeline_tbl[[#This Row],[Created_Date]])</f>
        <v>12</v>
      </c>
    </row>
    <row r="2350" spans="1:21" ht="15" customHeight="1" x14ac:dyDescent="0.2">
      <c r="A2350" t="s">
        <v>2656</v>
      </c>
      <c r="B2350" t="s">
        <v>211</v>
      </c>
      <c r="C2350" t="s">
        <v>53</v>
      </c>
      <c r="D2350" s="49">
        <v>45790</v>
      </c>
      <c r="E2350" s="49">
        <v>45792</v>
      </c>
      <c r="I2350" s="49">
        <v>45808</v>
      </c>
      <c r="J2350" t="s">
        <v>49</v>
      </c>
      <c r="K2350" s="33">
        <v>3000</v>
      </c>
      <c r="L2350" t="s">
        <v>61</v>
      </c>
      <c r="M2350" t="str">
        <f>_xlfn.XLOOKUP(Pipeline_tbl[[#This Row],[Rep_ID]],Dim_Reps!A:A,Dim_Reps!K:K)</f>
        <v>EUR</v>
      </c>
      <c r="N2350" s="33">
        <f>(_xlfn.XLOOKUP(Pipeline_tbl[[#This Row],[Rate_Code_Generalized]],Lookups!A:A,Lookups!B:B))*Pipeline_tbl[[#This Row],[Pipeline_Amount_USD]]</f>
        <v>3000</v>
      </c>
      <c r="O2350" t="str">
        <f>_xlfn.XLOOKUP(Pipeline_tbl[[#This Row],[Rep_ID]],Dim_Reps!A:A,Dim_Reps!B:B)</f>
        <v>Lea Weber</v>
      </c>
      <c r="P2350" t="str">
        <f>_xlfn.XLOOKUP(Pipeline_tbl[[#This Row],[Rep_ID]],Dim_Reps!A:A,Dim_Reps!C:C)</f>
        <v>SDR / Inside Sales Rep</v>
      </c>
      <c r="Q2350" t="str">
        <f>_xlfn.XLOOKUP(Pipeline_tbl[[#This Row],[Rep_ID]],Dim_Reps!A:A,Dim_Reps!D:D)</f>
        <v>Inside Sales</v>
      </c>
      <c r="R2350" t="str">
        <f>_xlfn.XLOOKUP(Pipeline_tbl[[#This Row],[Rep_ID]],Dim_Reps!A:A,Dim_Reps!E:E)</f>
        <v>EMEA</v>
      </c>
      <c r="S2350" t="str">
        <f>_xlfn.XLOOKUP(Pipeline_tbl[[#This Row],[Created_Date]],Dim_Date!A:A,Dim_Date!H:H)</f>
        <v>May 2025</v>
      </c>
      <c r="T2350" t="str">
        <f>IF(Pipeline_tbl[[#This Row],[Closed_Date]]=0,"",(_xlfn.XLOOKUP(Pipeline_tbl[[#This Row],[Closed_Date]],Dim_Date!A:A,Dim_Date!H:H)))</f>
        <v>May 2025</v>
      </c>
      <c r="U2350">
        <f>IF(Pipeline_tbl[[#This Row],[Closed_Date]]=0,"",Pipeline_tbl[[#This Row],[Closed_Date]]-Pipeline_tbl[[#This Row],[Created_Date]])</f>
        <v>18</v>
      </c>
    </row>
    <row r="2351" spans="1:21" ht="15" customHeight="1" x14ac:dyDescent="0.2">
      <c r="A2351" t="s">
        <v>2657</v>
      </c>
      <c r="B2351" t="s">
        <v>211</v>
      </c>
      <c r="C2351" t="s">
        <v>52</v>
      </c>
      <c r="D2351" s="49">
        <v>45780</v>
      </c>
      <c r="E2351" s="49">
        <v>45781</v>
      </c>
      <c r="F2351" s="49">
        <v>45784</v>
      </c>
      <c r="I2351" s="49">
        <v>45794</v>
      </c>
      <c r="J2351" t="s">
        <v>49</v>
      </c>
      <c r="K2351" s="33">
        <v>3200</v>
      </c>
      <c r="L2351" t="s">
        <v>61</v>
      </c>
      <c r="M2351" t="str">
        <f>_xlfn.XLOOKUP(Pipeline_tbl[[#This Row],[Rep_ID]],Dim_Reps!A:A,Dim_Reps!K:K)</f>
        <v>EUR</v>
      </c>
      <c r="N2351" s="33">
        <f>(_xlfn.XLOOKUP(Pipeline_tbl[[#This Row],[Rate_Code_Generalized]],Lookups!A:A,Lookups!B:B))*Pipeline_tbl[[#This Row],[Pipeline_Amount_USD]]</f>
        <v>3200</v>
      </c>
      <c r="O2351" t="str">
        <f>_xlfn.XLOOKUP(Pipeline_tbl[[#This Row],[Rep_ID]],Dim_Reps!A:A,Dim_Reps!B:B)</f>
        <v>Lea Weber</v>
      </c>
      <c r="P2351" t="str">
        <f>_xlfn.XLOOKUP(Pipeline_tbl[[#This Row],[Rep_ID]],Dim_Reps!A:A,Dim_Reps!C:C)</f>
        <v>SDR / Inside Sales Rep</v>
      </c>
      <c r="Q2351" t="str">
        <f>_xlfn.XLOOKUP(Pipeline_tbl[[#This Row],[Rep_ID]],Dim_Reps!A:A,Dim_Reps!D:D)</f>
        <v>Inside Sales</v>
      </c>
      <c r="R2351" t="str">
        <f>_xlfn.XLOOKUP(Pipeline_tbl[[#This Row],[Rep_ID]],Dim_Reps!A:A,Dim_Reps!E:E)</f>
        <v>EMEA</v>
      </c>
      <c r="S2351" t="str">
        <f>_xlfn.XLOOKUP(Pipeline_tbl[[#This Row],[Created_Date]],Dim_Date!A:A,Dim_Date!H:H)</f>
        <v>May 2025</v>
      </c>
      <c r="T2351" t="str">
        <f>IF(Pipeline_tbl[[#This Row],[Closed_Date]]=0,"",(_xlfn.XLOOKUP(Pipeline_tbl[[#This Row],[Closed_Date]],Dim_Date!A:A,Dim_Date!H:H)))</f>
        <v>May 2025</v>
      </c>
      <c r="U2351">
        <f>IF(Pipeline_tbl[[#This Row],[Closed_Date]]=0,"",Pipeline_tbl[[#This Row],[Closed_Date]]-Pipeline_tbl[[#This Row],[Created_Date]])</f>
        <v>14</v>
      </c>
    </row>
    <row r="2352" spans="1:21" ht="15" customHeight="1" x14ac:dyDescent="0.2">
      <c r="A2352" t="s">
        <v>2658</v>
      </c>
      <c r="B2352" t="s">
        <v>211</v>
      </c>
      <c r="C2352" t="s">
        <v>52</v>
      </c>
      <c r="D2352" s="49">
        <v>45789</v>
      </c>
      <c r="E2352" s="49">
        <v>45791</v>
      </c>
      <c r="F2352" s="49">
        <v>45794</v>
      </c>
      <c r="G2352" s="49">
        <v>45799</v>
      </c>
      <c r="I2352" s="49">
        <v>45805</v>
      </c>
      <c r="J2352" t="s">
        <v>49</v>
      </c>
      <c r="K2352" s="33">
        <v>2900</v>
      </c>
      <c r="L2352" t="s">
        <v>60</v>
      </c>
      <c r="M2352" t="str">
        <f>_xlfn.XLOOKUP(Pipeline_tbl[[#This Row],[Rep_ID]],Dim_Reps!A:A,Dim_Reps!K:K)</f>
        <v>EUR</v>
      </c>
      <c r="N2352" s="33">
        <f>(_xlfn.XLOOKUP(Pipeline_tbl[[#This Row],[Rate_Code_Generalized]],Lookups!A:A,Lookups!B:B))*Pipeline_tbl[[#This Row],[Pipeline_Amount_USD]]</f>
        <v>2900</v>
      </c>
      <c r="O2352" t="str">
        <f>_xlfn.XLOOKUP(Pipeline_tbl[[#This Row],[Rep_ID]],Dim_Reps!A:A,Dim_Reps!B:B)</f>
        <v>Lea Weber</v>
      </c>
      <c r="P2352" t="str">
        <f>_xlfn.XLOOKUP(Pipeline_tbl[[#This Row],[Rep_ID]],Dim_Reps!A:A,Dim_Reps!C:C)</f>
        <v>SDR / Inside Sales Rep</v>
      </c>
      <c r="Q2352" t="str">
        <f>_xlfn.XLOOKUP(Pipeline_tbl[[#This Row],[Rep_ID]],Dim_Reps!A:A,Dim_Reps!D:D)</f>
        <v>Inside Sales</v>
      </c>
      <c r="R2352" t="str">
        <f>_xlfn.XLOOKUP(Pipeline_tbl[[#This Row],[Rep_ID]],Dim_Reps!A:A,Dim_Reps!E:E)</f>
        <v>EMEA</v>
      </c>
      <c r="S2352" t="str">
        <f>_xlfn.XLOOKUP(Pipeline_tbl[[#This Row],[Created_Date]],Dim_Date!A:A,Dim_Date!H:H)</f>
        <v>May 2025</v>
      </c>
      <c r="T2352" t="str">
        <f>IF(Pipeline_tbl[[#This Row],[Closed_Date]]=0,"",(_xlfn.XLOOKUP(Pipeline_tbl[[#This Row],[Closed_Date]],Dim_Date!A:A,Dim_Date!H:H)))</f>
        <v>May 2025</v>
      </c>
      <c r="U2352">
        <f>IF(Pipeline_tbl[[#This Row],[Closed_Date]]=0,"",Pipeline_tbl[[#This Row],[Closed_Date]]-Pipeline_tbl[[#This Row],[Created_Date]])</f>
        <v>16</v>
      </c>
    </row>
    <row r="2353" spans="1:21" ht="15" customHeight="1" x14ac:dyDescent="0.2">
      <c r="A2353" t="s">
        <v>2659</v>
      </c>
      <c r="B2353" t="s">
        <v>211</v>
      </c>
      <c r="C2353" t="s">
        <v>52</v>
      </c>
      <c r="D2353" s="49">
        <v>45785</v>
      </c>
      <c r="E2353" s="49">
        <v>45786</v>
      </c>
      <c r="F2353" s="49">
        <v>45788</v>
      </c>
      <c r="G2353" s="49">
        <v>45792</v>
      </c>
      <c r="I2353" s="49">
        <v>45796</v>
      </c>
      <c r="J2353" t="s">
        <v>49</v>
      </c>
      <c r="K2353" s="33">
        <v>4700</v>
      </c>
      <c r="L2353" t="s">
        <v>61</v>
      </c>
      <c r="M2353" t="str">
        <f>_xlfn.XLOOKUP(Pipeline_tbl[[#This Row],[Rep_ID]],Dim_Reps!A:A,Dim_Reps!K:K)</f>
        <v>EUR</v>
      </c>
      <c r="N2353" s="33">
        <f>(_xlfn.XLOOKUP(Pipeline_tbl[[#This Row],[Rate_Code_Generalized]],Lookups!A:A,Lookups!B:B))*Pipeline_tbl[[#This Row],[Pipeline_Amount_USD]]</f>
        <v>4700</v>
      </c>
      <c r="O2353" t="str">
        <f>_xlfn.XLOOKUP(Pipeline_tbl[[#This Row],[Rep_ID]],Dim_Reps!A:A,Dim_Reps!B:B)</f>
        <v>Lea Weber</v>
      </c>
      <c r="P2353" t="str">
        <f>_xlfn.XLOOKUP(Pipeline_tbl[[#This Row],[Rep_ID]],Dim_Reps!A:A,Dim_Reps!C:C)</f>
        <v>SDR / Inside Sales Rep</v>
      </c>
      <c r="Q2353" t="str">
        <f>_xlfn.XLOOKUP(Pipeline_tbl[[#This Row],[Rep_ID]],Dim_Reps!A:A,Dim_Reps!D:D)</f>
        <v>Inside Sales</v>
      </c>
      <c r="R2353" t="str">
        <f>_xlfn.XLOOKUP(Pipeline_tbl[[#This Row],[Rep_ID]],Dim_Reps!A:A,Dim_Reps!E:E)</f>
        <v>EMEA</v>
      </c>
      <c r="S2353" t="str">
        <f>_xlfn.XLOOKUP(Pipeline_tbl[[#This Row],[Created_Date]],Dim_Date!A:A,Dim_Date!H:H)</f>
        <v>May 2025</v>
      </c>
      <c r="T2353" t="str">
        <f>IF(Pipeline_tbl[[#This Row],[Closed_Date]]=0,"",(_xlfn.XLOOKUP(Pipeline_tbl[[#This Row],[Closed_Date]],Dim_Date!A:A,Dim_Date!H:H)))</f>
        <v>May 2025</v>
      </c>
      <c r="U2353">
        <f>IF(Pipeline_tbl[[#This Row],[Closed_Date]]=0,"",Pipeline_tbl[[#This Row],[Closed_Date]]-Pipeline_tbl[[#This Row],[Created_Date]])</f>
        <v>11</v>
      </c>
    </row>
    <row r="2354" spans="1:21" ht="15" customHeight="1" x14ac:dyDescent="0.2">
      <c r="A2354" t="s">
        <v>2660</v>
      </c>
      <c r="B2354" t="s">
        <v>211</v>
      </c>
      <c r="C2354" t="s">
        <v>53</v>
      </c>
      <c r="D2354" s="49">
        <v>45778</v>
      </c>
      <c r="E2354" s="49">
        <v>45779</v>
      </c>
      <c r="F2354" s="49">
        <v>45780</v>
      </c>
      <c r="G2354" s="49">
        <v>45783</v>
      </c>
      <c r="I2354" s="49">
        <v>45786</v>
      </c>
      <c r="J2354" t="s">
        <v>49</v>
      </c>
      <c r="K2354" s="33">
        <v>4500</v>
      </c>
      <c r="L2354" t="s">
        <v>60</v>
      </c>
      <c r="M2354" t="str">
        <f>_xlfn.XLOOKUP(Pipeline_tbl[[#This Row],[Rep_ID]],Dim_Reps!A:A,Dim_Reps!K:K)</f>
        <v>EUR</v>
      </c>
      <c r="N2354" s="33">
        <f>(_xlfn.XLOOKUP(Pipeline_tbl[[#This Row],[Rate_Code_Generalized]],Lookups!A:A,Lookups!B:B))*Pipeline_tbl[[#This Row],[Pipeline_Amount_USD]]</f>
        <v>4500</v>
      </c>
      <c r="O2354" t="str">
        <f>_xlfn.XLOOKUP(Pipeline_tbl[[#This Row],[Rep_ID]],Dim_Reps!A:A,Dim_Reps!B:B)</f>
        <v>Lea Weber</v>
      </c>
      <c r="P2354" t="str">
        <f>_xlfn.XLOOKUP(Pipeline_tbl[[#This Row],[Rep_ID]],Dim_Reps!A:A,Dim_Reps!C:C)</f>
        <v>SDR / Inside Sales Rep</v>
      </c>
      <c r="Q2354" t="str">
        <f>_xlfn.XLOOKUP(Pipeline_tbl[[#This Row],[Rep_ID]],Dim_Reps!A:A,Dim_Reps!D:D)</f>
        <v>Inside Sales</v>
      </c>
      <c r="R2354" t="str">
        <f>_xlfn.XLOOKUP(Pipeline_tbl[[#This Row],[Rep_ID]],Dim_Reps!A:A,Dim_Reps!E:E)</f>
        <v>EMEA</v>
      </c>
      <c r="S2354" t="str">
        <f>_xlfn.XLOOKUP(Pipeline_tbl[[#This Row],[Created_Date]],Dim_Date!A:A,Dim_Date!H:H)</f>
        <v>May 2025</v>
      </c>
      <c r="T2354" t="str">
        <f>IF(Pipeline_tbl[[#This Row],[Closed_Date]]=0,"",(_xlfn.XLOOKUP(Pipeline_tbl[[#This Row],[Closed_Date]],Dim_Date!A:A,Dim_Date!H:H)))</f>
        <v>May 2025</v>
      </c>
      <c r="U2354">
        <f>IF(Pipeline_tbl[[#This Row],[Closed_Date]]=0,"",Pipeline_tbl[[#This Row],[Closed_Date]]-Pipeline_tbl[[#This Row],[Created_Date]])</f>
        <v>8</v>
      </c>
    </row>
    <row r="2355" spans="1:21" ht="15" customHeight="1" x14ac:dyDescent="0.2">
      <c r="A2355" t="s">
        <v>2661</v>
      </c>
      <c r="B2355" t="s">
        <v>211</v>
      </c>
      <c r="C2355" t="s">
        <v>52</v>
      </c>
      <c r="D2355" s="49">
        <v>45788</v>
      </c>
      <c r="E2355" s="49">
        <v>45789</v>
      </c>
      <c r="I2355" s="49">
        <v>45798</v>
      </c>
      <c r="J2355" t="s">
        <v>49</v>
      </c>
      <c r="K2355" s="33">
        <v>3900</v>
      </c>
      <c r="L2355" t="s">
        <v>63</v>
      </c>
      <c r="M2355" t="str">
        <f>_xlfn.XLOOKUP(Pipeline_tbl[[#This Row],[Rep_ID]],Dim_Reps!A:A,Dim_Reps!K:K)</f>
        <v>EUR</v>
      </c>
      <c r="N2355" s="33">
        <f>(_xlfn.XLOOKUP(Pipeline_tbl[[#This Row],[Rate_Code_Generalized]],Lookups!A:A,Lookups!B:B))*Pipeline_tbl[[#This Row],[Pipeline_Amount_USD]]</f>
        <v>3900</v>
      </c>
      <c r="O2355" t="str">
        <f>_xlfn.XLOOKUP(Pipeline_tbl[[#This Row],[Rep_ID]],Dim_Reps!A:A,Dim_Reps!B:B)</f>
        <v>Lea Weber</v>
      </c>
      <c r="P2355" t="str">
        <f>_xlfn.XLOOKUP(Pipeline_tbl[[#This Row],[Rep_ID]],Dim_Reps!A:A,Dim_Reps!C:C)</f>
        <v>SDR / Inside Sales Rep</v>
      </c>
      <c r="Q2355" t="str">
        <f>_xlfn.XLOOKUP(Pipeline_tbl[[#This Row],[Rep_ID]],Dim_Reps!A:A,Dim_Reps!D:D)</f>
        <v>Inside Sales</v>
      </c>
      <c r="R2355" t="str">
        <f>_xlfn.XLOOKUP(Pipeline_tbl[[#This Row],[Rep_ID]],Dim_Reps!A:A,Dim_Reps!E:E)</f>
        <v>EMEA</v>
      </c>
      <c r="S2355" t="str">
        <f>_xlfn.XLOOKUP(Pipeline_tbl[[#This Row],[Created_Date]],Dim_Date!A:A,Dim_Date!H:H)</f>
        <v>May 2025</v>
      </c>
      <c r="T2355" t="str">
        <f>IF(Pipeline_tbl[[#This Row],[Closed_Date]]=0,"",(_xlfn.XLOOKUP(Pipeline_tbl[[#This Row],[Closed_Date]],Dim_Date!A:A,Dim_Date!H:H)))</f>
        <v>May 2025</v>
      </c>
      <c r="U2355">
        <f>IF(Pipeline_tbl[[#This Row],[Closed_Date]]=0,"",Pipeline_tbl[[#This Row],[Closed_Date]]-Pipeline_tbl[[#This Row],[Created_Date]])</f>
        <v>10</v>
      </c>
    </row>
    <row r="2356" spans="1:21" ht="15" customHeight="1" x14ac:dyDescent="0.2">
      <c r="A2356" t="s">
        <v>2662</v>
      </c>
      <c r="B2356" t="s">
        <v>211</v>
      </c>
      <c r="C2356" t="s">
        <v>52</v>
      </c>
      <c r="D2356" s="49">
        <v>45781</v>
      </c>
      <c r="E2356" s="49">
        <v>45783</v>
      </c>
      <c r="I2356" s="49">
        <v>45796</v>
      </c>
      <c r="J2356" t="s">
        <v>49</v>
      </c>
      <c r="K2356" s="33">
        <v>4500</v>
      </c>
      <c r="L2356" t="s">
        <v>63</v>
      </c>
      <c r="M2356" t="str">
        <f>_xlfn.XLOOKUP(Pipeline_tbl[[#This Row],[Rep_ID]],Dim_Reps!A:A,Dim_Reps!K:K)</f>
        <v>EUR</v>
      </c>
      <c r="N2356" s="33">
        <f>(_xlfn.XLOOKUP(Pipeline_tbl[[#This Row],[Rate_Code_Generalized]],Lookups!A:A,Lookups!B:B))*Pipeline_tbl[[#This Row],[Pipeline_Amount_USD]]</f>
        <v>4500</v>
      </c>
      <c r="O2356" t="str">
        <f>_xlfn.XLOOKUP(Pipeline_tbl[[#This Row],[Rep_ID]],Dim_Reps!A:A,Dim_Reps!B:B)</f>
        <v>Lea Weber</v>
      </c>
      <c r="P2356" t="str">
        <f>_xlfn.XLOOKUP(Pipeline_tbl[[#This Row],[Rep_ID]],Dim_Reps!A:A,Dim_Reps!C:C)</f>
        <v>SDR / Inside Sales Rep</v>
      </c>
      <c r="Q2356" t="str">
        <f>_xlfn.XLOOKUP(Pipeline_tbl[[#This Row],[Rep_ID]],Dim_Reps!A:A,Dim_Reps!D:D)</f>
        <v>Inside Sales</v>
      </c>
      <c r="R2356" t="str">
        <f>_xlfn.XLOOKUP(Pipeline_tbl[[#This Row],[Rep_ID]],Dim_Reps!A:A,Dim_Reps!E:E)</f>
        <v>EMEA</v>
      </c>
      <c r="S2356" t="str">
        <f>_xlfn.XLOOKUP(Pipeline_tbl[[#This Row],[Created_Date]],Dim_Date!A:A,Dim_Date!H:H)</f>
        <v>May 2025</v>
      </c>
      <c r="T2356" t="str">
        <f>IF(Pipeline_tbl[[#This Row],[Closed_Date]]=0,"",(_xlfn.XLOOKUP(Pipeline_tbl[[#This Row],[Closed_Date]],Dim_Date!A:A,Dim_Date!H:H)))</f>
        <v>May 2025</v>
      </c>
      <c r="U2356">
        <f>IF(Pipeline_tbl[[#This Row],[Closed_Date]]=0,"",Pipeline_tbl[[#This Row],[Closed_Date]]-Pipeline_tbl[[#This Row],[Created_Date]])</f>
        <v>15</v>
      </c>
    </row>
    <row r="2357" spans="1:21" ht="15" customHeight="1" x14ac:dyDescent="0.2">
      <c r="A2357" t="s">
        <v>2663</v>
      </c>
      <c r="B2357" t="s">
        <v>211</v>
      </c>
      <c r="C2357" t="s">
        <v>52</v>
      </c>
      <c r="D2357" s="49">
        <v>45788</v>
      </c>
      <c r="E2357" s="49">
        <v>45789</v>
      </c>
      <c r="F2357" s="49">
        <v>45792</v>
      </c>
      <c r="G2357" s="49">
        <v>45796</v>
      </c>
      <c r="H2357" s="49">
        <v>45800</v>
      </c>
      <c r="I2357" s="49">
        <v>45802</v>
      </c>
      <c r="J2357" t="s">
        <v>49</v>
      </c>
      <c r="K2357" s="33">
        <v>5000</v>
      </c>
      <c r="L2357" t="s">
        <v>64</v>
      </c>
      <c r="M2357" t="str">
        <f>_xlfn.XLOOKUP(Pipeline_tbl[[#This Row],[Rep_ID]],Dim_Reps!A:A,Dim_Reps!K:K)</f>
        <v>EUR</v>
      </c>
      <c r="N2357" s="33">
        <f>(_xlfn.XLOOKUP(Pipeline_tbl[[#This Row],[Rate_Code_Generalized]],Lookups!A:A,Lookups!B:B))*Pipeline_tbl[[#This Row],[Pipeline_Amount_USD]]</f>
        <v>5000</v>
      </c>
      <c r="O2357" t="str">
        <f>_xlfn.XLOOKUP(Pipeline_tbl[[#This Row],[Rep_ID]],Dim_Reps!A:A,Dim_Reps!B:B)</f>
        <v>Lea Weber</v>
      </c>
      <c r="P2357" t="str">
        <f>_xlfn.XLOOKUP(Pipeline_tbl[[#This Row],[Rep_ID]],Dim_Reps!A:A,Dim_Reps!C:C)</f>
        <v>SDR / Inside Sales Rep</v>
      </c>
      <c r="Q2357" t="str">
        <f>_xlfn.XLOOKUP(Pipeline_tbl[[#This Row],[Rep_ID]],Dim_Reps!A:A,Dim_Reps!D:D)</f>
        <v>Inside Sales</v>
      </c>
      <c r="R2357" t="str">
        <f>_xlfn.XLOOKUP(Pipeline_tbl[[#This Row],[Rep_ID]],Dim_Reps!A:A,Dim_Reps!E:E)</f>
        <v>EMEA</v>
      </c>
      <c r="S2357" t="str">
        <f>_xlfn.XLOOKUP(Pipeline_tbl[[#This Row],[Created_Date]],Dim_Date!A:A,Dim_Date!H:H)</f>
        <v>May 2025</v>
      </c>
      <c r="T2357" t="str">
        <f>IF(Pipeline_tbl[[#This Row],[Closed_Date]]=0,"",(_xlfn.XLOOKUP(Pipeline_tbl[[#This Row],[Closed_Date]],Dim_Date!A:A,Dim_Date!H:H)))</f>
        <v>May 2025</v>
      </c>
      <c r="U2357">
        <f>IF(Pipeline_tbl[[#This Row],[Closed_Date]]=0,"",Pipeline_tbl[[#This Row],[Closed_Date]]-Pipeline_tbl[[#This Row],[Created_Date]])</f>
        <v>14</v>
      </c>
    </row>
    <row r="2358" spans="1:21" ht="15" customHeight="1" x14ac:dyDescent="0.2">
      <c r="A2358" t="s">
        <v>2664</v>
      </c>
      <c r="B2358" t="s">
        <v>213</v>
      </c>
      <c r="C2358" t="s">
        <v>52</v>
      </c>
      <c r="D2358" s="49">
        <v>45780</v>
      </c>
      <c r="E2358" s="49">
        <v>45782</v>
      </c>
      <c r="F2358" s="49">
        <v>45787</v>
      </c>
      <c r="G2358" s="49">
        <v>45793</v>
      </c>
      <c r="I2358" s="49">
        <v>45802</v>
      </c>
      <c r="J2358" t="s">
        <v>49</v>
      </c>
      <c r="K2358" s="33">
        <v>3500</v>
      </c>
      <c r="L2358" t="s">
        <v>61</v>
      </c>
      <c r="M2358" t="str">
        <f>_xlfn.XLOOKUP(Pipeline_tbl[[#This Row],[Rep_ID]],Dim_Reps!A:A,Dim_Reps!K:K)</f>
        <v>EUR</v>
      </c>
      <c r="N2358" s="33">
        <f>(_xlfn.XLOOKUP(Pipeline_tbl[[#This Row],[Rate_Code_Generalized]],Lookups!A:A,Lookups!B:B))*Pipeline_tbl[[#This Row],[Pipeline_Amount_USD]]</f>
        <v>3500</v>
      </c>
      <c r="O2358" t="str">
        <f>_xlfn.XLOOKUP(Pipeline_tbl[[#This Row],[Rep_ID]],Dim_Reps!A:A,Dim_Reps!B:B)</f>
        <v>Jamie Silva</v>
      </c>
      <c r="P2358" t="str">
        <f>_xlfn.XLOOKUP(Pipeline_tbl[[#This Row],[Rep_ID]],Dim_Reps!A:A,Dim_Reps!C:C)</f>
        <v>SDR / Inside Sales Rep</v>
      </c>
      <c r="Q2358" t="str">
        <f>_xlfn.XLOOKUP(Pipeline_tbl[[#This Row],[Rep_ID]],Dim_Reps!A:A,Dim_Reps!D:D)</f>
        <v>Inside Sales</v>
      </c>
      <c r="R2358" t="str">
        <f>_xlfn.XLOOKUP(Pipeline_tbl[[#This Row],[Rep_ID]],Dim_Reps!A:A,Dim_Reps!E:E)</f>
        <v>EMEA</v>
      </c>
      <c r="S2358" t="str">
        <f>_xlfn.XLOOKUP(Pipeline_tbl[[#This Row],[Created_Date]],Dim_Date!A:A,Dim_Date!H:H)</f>
        <v>May 2025</v>
      </c>
      <c r="T2358" t="str">
        <f>IF(Pipeline_tbl[[#This Row],[Closed_Date]]=0,"",(_xlfn.XLOOKUP(Pipeline_tbl[[#This Row],[Closed_Date]],Dim_Date!A:A,Dim_Date!H:H)))</f>
        <v>May 2025</v>
      </c>
      <c r="U2358">
        <f>IF(Pipeline_tbl[[#This Row],[Closed_Date]]=0,"",Pipeline_tbl[[#This Row],[Closed_Date]]-Pipeline_tbl[[#This Row],[Created_Date]])</f>
        <v>22</v>
      </c>
    </row>
    <row r="2359" spans="1:21" ht="15" customHeight="1" x14ac:dyDescent="0.2">
      <c r="A2359" t="s">
        <v>2665</v>
      </c>
      <c r="B2359" t="s">
        <v>213</v>
      </c>
      <c r="C2359" t="s">
        <v>52</v>
      </c>
      <c r="D2359" s="49">
        <v>45791</v>
      </c>
      <c r="E2359" s="49">
        <v>45792</v>
      </c>
      <c r="I2359" s="49">
        <v>45801</v>
      </c>
      <c r="J2359" t="s">
        <v>49</v>
      </c>
      <c r="K2359" s="33">
        <v>6000</v>
      </c>
      <c r="L2359" t="s">
        <v>60</v>
      </c>
      <c r="M2359" t="str">
        <f>_xlfn.XLOOKUP(Pipeline_tbl[[#This Row],[Rep_ID]],Dim_Reps!A:A,Dim_Reps!K:K)</f>
        <v>EUR</v>
      </c>
      <c r="N2359" s="33">
        <f>(_xlfn.XLOOKUP(Pipeline_tbl[[#This Row],[Rate_Code_Generalized]],Lookups!A:A,Lookups!B:B))*Pipeline_tbl[[#This Row],[Pipeline_Amount_USD]]</f>
        <v>6000</v>
      </c>
      <c r="O2359" t="str">
        <f>_xlfn.XLOOKUP(Pipeline_tbl[[#This Row],[Rep_ID]],Dim_Reps!A:A,Dim_Reps!B:B)</f>
        <v>Jamie Silva</v>
      </c>
      <c r="P2359" t="str">
        <f>_xlfn.XLOOKUP(Pipeline_tbl[[#This Row],[Rep_ID]],Dim_Reps!A:A,Dim_Reps!C:C)</f>
        <v>SDR / Inside Sales Rep</v>
      </c>
      <c r="Q2359" t="str">
        <f>_xlfn.XLOOKUP(Pipeline_tbl[[#This Row],[Rep_ID]],Dim_Reps!A:A,Dim_Reps!D:D)</f>
        <v>Inside Sales</v>
      </c>
      <c r="R2359" t="str">
        <f>_xlfn.XLOOKUP(Pipeline_tbl[[#This Row],[Rep_ID]],Dim_Reps!A:A,Dim_Reps!E:E)</f>
        <v>EMEA</v>
      </c>
      <c r="S2359" t="str">
        <f>_xlfn.XLOOKUP(Pipeline_tbl[[#This Row],[Created_Date]],Dim_Date!A:A,Dim_Date!H:H)</f>
        <v>May 2025</v>
      </c>
      <c r="T2359" t="str">
        <f>IF(Pipeline_tbl[[#This Row],[Closed_Date]]=0,"",(_xlfn.XLOOKUP(Pipeline_tbl[[#This Row],[Closed_Date]],Dim_Date!A:A,Dim_Date!H:H)))</f>
        <v>May 2025</v>
      </c>
      <c r="U2359">
        <f>IF(Pipeline_tbl[[#This Row],[Closed_Date]]=0,"",Pipeline_tbl[[#This Row],[Closed_Date]]-Pipeline_tbl[[#This Row],[Created_Date]])</f>
        <v>10</v>
      </c>
    </row>
    <row r="2360" spans="1:21" ht="15" customHeight="1" x14ac:dyDescent="0.2">
      <c r="A2360" t="s">
        <v>2666</v>
      </c>
      <c r="B2360" t="s">
        <v>213</v>
      </c>
      <c r="C2360" t="s">
        <v>52</v>
      </c>
      <c r="D2360" s="49">
        <v>45797</v>
      </c>
      <c r="E2360" s="49">
        <v>45798</v>
      </c>
      <c r="F2360" s="49">
        <v>45800</v>
      </c>
      <c r="I2360" s="49">
        <v>45808</v>
      </c>
      <c r="J2360" t="s">
        <v>49</v>
      </c>
      <c r="K2360" s="33">
        <v>7900</v>
      </c>
      <c r="L2360" t="s">
        <v>60</v>
      </c>
      <c r="M2360" t="str">
        <f>_xlfn.XLOOKUP(Pipeline_tbl[[#This Row],[Rep_ID]],Dim_Reps!A:A,Dim_Reps!K:K)</f>
        <v>EUR</v>
      </c>
      <c r="N2360" s="33">
        <f>(_xlfn.XLOOKUP(Pipeline_tbl[[#This Row],[Rate_Code_Generalized]],Lookups!A:A,Lookups!B:B))*Pipeline_tbl[[#This Row],[Pipeline_Amount_USD]]</f>
        <v>7900</v>
      </c>
      <c r="O2360" t="str">
        <f>_xlfn.XLOOKUP(Pipeline_tbl[[#This Row],[Rep_ID]],Dim_Reps!A:A,Dim_Reps!B:B)</f>
        <v>Jamie Silva</v>
      </c>
      <c r="P2360" t="str">
        <f>_xlfn.XLOOKUP(Pipeline_tbl[[#This Row],[Rep_ID]],Dim_Reps!A:A,Dim_Reps!C:C)</f>
        <v>SDR / Inside Sales Rep</v>
      </c>
      <c r="Q2360" t="str">
        <f>_xlfn.XLOOKUP(Pipeline_tbl[[#This Row],[Rep_ID]],Dim_Reps!A:A,Dim_Reps!D:D)</f>
        <v>Inside Sales</v>
      </c>
      <c r="R2360" t="str">
        <f>_xlfn.XLOOKUP(Pipeline_tbl[[#This Row],[Rep_ID]],Dim_Reps!A:A,Dim_Reps!E:E)</f>
        <v>EMEA</v>
      </c>
      <c r="S2360" t="str">
        <f>_xlfn.XLOOKUP(Pipeline_tbl[[#This Row],[Created_Date]],Dim_Date!A:A,Dim_Date!H:H)</f>
        <v>May 2025</v>
      </c>
      <c r="T2360" t="str">
        <f>IF(Pipeline_tbl[[#This Row],[Closed_Date]]=0,"",(_xlfn.XLOOKUP(Pipeline_tbl[[#This Row],[Closed_Date]],Dim_Date!A:A,Dim_Date!H:H)))</f>
        <v>May 2025</v>
      </c>
      <c r="U2360">
        <f>IF(Pipeline_tbl[[#This Row],[Closed_Date]]=0,"",Pipeline_tbl[[#This Row],[Closed_Date]]-Pipeline_tbl[[#This Row],[Created_Date]])</f>
        <v>11</v>
      </c>
    </row>
    <row r="2361" spans="1:21" ht="15" customHeight="1" x14ac:dyDescent="0.2">
      <c r="A2361" t="s">
        <v>2667</v>
      </c>
      <c r="B2361" t="s">
        <v>213</v>
      </c>
      <c r="C2361" t="s">
        <v>55</v>
      </c>
      <c r="D2361" s="49">
        <v>45783</v>
      </c>
      <c r="E2361" s="49">
        <v>45785</v>
      </c>
      <c r="F2361" s="49">
        <v>45788</v>
      </c>
      <c r="G2361" s="49">
        <v>45794</v>
      </c>
      <c r="H2361" s="49">
        <v>45798</v>
      </c>
      <c r="I2361" s="49">
        <v>45801</v>
      </c>
      <c r="J2361" t="s">
        <v>47</v>
      </c>
      <c r="K2361" s="33">
        <v>3900</v>
      </c>
      <c r="M2361" t="str">
        <f>_xlfn.XLOOKUP(Pipeline_tbl[[#This Row],[Rep_ID]],Dim_Reps!A:A,Dim_Reps!K:K)</f>
        <v>EUR</v>
      </c>
      <c r="N2361" s="33">
        <f>(_xlfn.XLOOKUP(Pipeline_tbl[[#This Row],[Rate_Code_Generalized]],Lookups!A:A,Lookups!B:B))*Pipeline_tbl[[#This Row],[Pipeline_Amount_USD]]</f>
        <v>3900</v>
      </c>
      <c r="O2361" t="str">
        <f>_xlfn.XLOOKUP(Pipeline_tbl[[#This Row],[Rep_ID]],Dim_Reps!A:A,Dim_Reps!B:B)</f>
        <v>Jamie Silva</v>
      </c>
      <c r="P2361" t="str">
        <f>_xlfn.XLOOKUP(Pipeline_tbl[[#This Row],[Rep_ID]],Dim_Reps!A:A,Dim_Reps!C:C)</f>
        <v>SDR / Inside Sales Rep</v>
      </c>
      <c r="Q2361" t="str">
        <f>_xlfn.XLOOKUP(Pipeline_tbl[[#This Row],[Rep_ID]],Dim_Reps!A:A,Dim_Reps!D:D)</f>
        <v>Inside Sales</v>
      </c>
      <c r="R2361" t="str">
        <f>_xlfn.XLOOKUP(Pipeline_tbl[[#This Row],[Rep_ID]],Dim_Reps!A:A,Dim_Reps!E:E)</f>
        <v>EMEA</v>
      </c>
      <c r="S2361" t="str">
        <f>_xlfn.XLOOKUP(Pipeline_tbl[[#This Row],[Created_Date]],Dim_Date!A:A,Dim_Date!H:H)</f>
        <v>May 2025</v>
      </c>
      <c r="T2361" t="str">
        <f>IF(Pipeline_tbl[[#This Row],[Closed_Date]]=0,"",(_xlfn.XLOOKUP(Pipeline_tbl[[#This Row],[Closed_Date]],Dim_Date!A:A,Dim_Date!H:H)))</f>
        <v>May 2025</v>
      </c>
      <c r="U2361">
        <f>IF(Pipeline_tbl[[#This Row],[Closed_Date]]=0,"",Pipeline_tbl[[#This Row],[Closed_Date]]-Pipeline_tbl[[#This Row],[Created_Date]])</f>
        <v>18</v>
      </c>
    </row>
    <row r="2362" spans="1:21" ht="15" customHeight="1" x14ac:dyDescent="0.2">
      <c r="A2362" t="s">
        <v>2668</v>
      </c>
      <c r="B2362" t="s">
        <v>215</v>
      </c>
      <c r="C2362" t="s">
        <v>53</v>
      </c>
      <c r="D2362" s="49">
        <v>45787</v>
      </c>
      <c r="E2362" s="49">
        <v>45789</v>
      </c>
      <c r="F2362" s="49">
        <v>45792</v>
      </c>
      <c r="I2362" s="49">
        <v>45804</v>
      </c>
      <c r="J2362" t="s">
        <v>49</v>
      </c>
      <c r="K2362" s="33">
        <v>5900</v>
      </c>
      <c r="L2362" t="s">
        <v>60</v>
      </c>
      <c r="M2362" t="str">
        <f>_xlfn.XLOOKUP(Pipeline_tbl[[#This Row],[Rep_ID]],Dim_Reps!A:A,Dim_Reps!K:K)</f>
        <v>EUR</v>
      </c>
      <c r="N2362" s="33">
        <f>(_xlfn.XLOOKUP(Pipeline_tbl[[#This Row],[Rate_Code_Generalized]],Lookups!A:A,Lookups!B:B))*Pipeline_tbl[[#This Row],[Pipeline_Amount_USD]]</f>
        <v>5900</v>
      </c>
      <c r="O2362" t="str">
        <f>_xlfn.XLOOKUP(Pipeline_tbl[[#This Row],[Rep_ID]],Dim_Reps!A:A,Dim_Reps!B:B)</f>
        <v>Jamie Schmidt</v>
      </c>
      <c r="P2362" t="str">
        <f>_xlfn.XLOOKUP(Pipeline_tbl[[#This Row],[Rep_ID]],Dim_Reps!A:A,Dim_Reps!C:C)</f>
        <v>SDR / Inside Sales Rep</v>
      </c>
      <c r="Q2362" t="str">
        <f>_xlfn.XLOOKUP(Pipeline_tbl[[#This Row],[Rep_ID]],Dim_Reps!A:A,Dim_Reps!D:D)</f>
        <v>Inside Sales</v>
      </c>
      <c r="R2362" t="str">
        <f>_xlfn.XLOOKUP(Pipeline_tbl[[#This Row],[Rep_ID]],Dim_Reps!A:A,Dim_Reps!E:E)</f>
        <v>APAC</v>
      </c>
      <c r="S2362" t="str">
        <f>_xlfn.XLOOKUP(Pipeline_tbl[[#This Row],[Created_Date]],Dim_Date!A:A,Dim_Date!H:H)</f>
        <v>May 2025</v>
      </c>
      <c r="T2362" t="str">
        <f>IF(Pipeline_tbl[[#This Row],[Closed_Date]]=0,"",(_xlfn.XLOOKUP(Pipeline_tbl[[#This Row],[Closed_Date]],Dim_Date!A:A,Dim_Date!H:H)))</f>
        <v>May 2025</v>
      </c>
      <c r="U2362">
        <f>IF(Pipeline_tbl[[#This Row],[Closed_Date]]=0,"",Pipeline_tbl[[#This Row],[Closed_Date]]-Pipeline_tbl[[#This Row],[Created_Date]])</f>
        <v>17</v>
      </c>
    </row>
    <row r="2363" spans="1:21" ht="15" customHeight="1" x14ac:dyDescent="0.2">
      <c r="A2363" t="s">
        <v>2669</v>
      </c>
      <c r="B2363" t="s">
        <v>215</v>
      </c>
      <c r="C2363" t="s">
        <v>54</v>
      </c>
      <c r="D2363" s="49">
        <v>45787</v>
      </c>
      <c r="E2363" s="49">
        <v>45789</v>
      </c>
      <c r="F2363" s="49">
        <v>45793</v>
      </c>
      <c r="G2363" s="49">
        <v>45800</v>
      </c>
      <c r="H2363" s="49">
        <v>45805</v>
      </c>
      <c r="I2363" s="49">
        <v>45808</v>
      </c>
      <c r="J2363" t="s">
        <v>47</v>
      </c>
      <c r="K2363" s="33">
        <v>3000</v>
      </c>
      <c r="M2363" t="str">
        <f>_xlfn.XLOOKUP(Pipeline_tbl[[#This Row],[Rep_ID]],Dim_Reps!A:A,Dim_Reps!K:K)</f>
        <v>EUR</v>
      </c>
      <c r="N2363" s="33">
        <f>(_xlfn.XLOOKUP(Pipeline_tbl[[#This Row],[Rate_Code_Generalized]],Lookups!A:A,Lookups!B:B))*Pipeline_tbl[[#This Row],[Pipeline_Amount_USD]]</f>
        <v>3000</v>
      </c>
      <c r="O2363" t="str">
        <f>_xlfn.XLOOKUP(Pipeline_tbl[[#This Row],[Rep_ID]],Dim_Reps!A:A,Dim_Reps!B:B)</f>
        <v>Jamie Schmidt</v>
      </c>
      <c r="P2363" t="str">
        <f>_xlfn.XLOOKUP(Pipeline_tbl[[#This Row],[Rep_ID]],Dim_Reps!A:A,Dim_Reps!C:C)</f>
        <v>SDR / Inside Sales Rep</v>
      </c>
      <c r="Q2363" t="str">
        <f>_xlfn.XLOOKUP(Pipeline_tbl[[#This Row],[Rep_ID]],Dim_Reps!A:A,Dim_Reps!D:D)</f>
        <v>Inside Sales</v>
      </c>
      <c r="R2363" t="str">
        <f>_xlfn.XLOOKUP(Pipeline_tbl[[#This Row],[Rep_ID]],Dim_Reps!A:A,Dim_Reps!E:E)</f>
        <v>APAC</v>
      </c>
      <c r="S2363" t="str">
        <f>_xlfn.XLOOKUP(Pipeline_tbl[[#This Row],[Created_Date]],Dim_Date!A:A,Dim_Date!H:H)</f>
        <v>May 2025</v>
      </c>
      <c r="T2363" t="str">
        <f>IF(Pipeline_tbl[[#This Row],[Closed_Date]]=0,"",(_xlfn.XLOOKUP(Pipeline_tbl[[#This Row],[Closed_Date]],Dim_Date!A:A,Dim_Date!H:H)))</f>
        <v>May 2025</v>
      </c>
      <c r="U2363">
        <f>IF(Pipeline_tbl[[#This Row],[Closed_Date]]=0,"",Pipeline_tbl[[#This Row],[Closed_Date]]-Pipeline_tbl[[#This Row],[Created_Date]])</f>
        <v>21</v>
      </c>
    </row>
    <row r="2364" spans="1:21" ht="15" customHeight="1" x14ac:dyDescent="0.2">
      <c r="A2364" t="s">
        <v>2670</v>
      </c>
      <c r="B2364" t="s">
        <v>215</v>
      </c>
      <c r="C2364" t="s">
        <v>54</v>
      </c>
      <c r="D2364" s="49">
        <v>45785</v>
      </c>
      <c r="E2364" s="49">
        <v>45787</v>
      </c>
      <c r="F2364" s="49">
        <v>45790</v>
      </c>
      <c r="I2364" s="49">
        <v>45801</v>
      </c>
      <c r="J2364" t="s">
        <v>49</v>
      </c>
      <c r="K2364" s="33">
        <v>4100</v>
      </c>
      <c r="L2364" t="s">
        <v>63</v>
      </c>
      <c r="M2364" t="str">
        <f>_xlfn.XLOOKUP(Pipeline_tbl[[#This Row],[Rep_ID]],Dim_Reps!A:A,Dim_Reps!K:K)</f>
        <v>EUR</v>
      </c>
      <c r="N2364" s="33">
        <f>(_xlfn.XLOOKUP(Pipeline_tbl[[#This Row],[Rate_Code_Generalized]],Lookups!A:A,Lookups!B:B))*Pipeline_tbl[[#This Row],[Pipeline_Amount_USD]]</f>
        <v>4100</v>
      </c>
      <c r="O2364" t="str">
        <f>_xlfn.XLOOKUP(Pipeline_tbl[[#This Row],[Rep_ID]],Dim_Reps!A:A,Dim_Reps!B:B)</f>
        <v>Jamie Schmidt</v>
      </c>
      <c r="P2364" t="str">
        <f>_xlfn.XLOOKUP(Pipeline_tbl[[#This Row],[Rep_ID]],Dim_Reps!A:A,Dim_Reps!C:C)</f>
        <v>SDR / Inside Sales Rep</v>
      </c>
      <c r="Q2364" t="str">
        <f>_xlfn.XLOOKUP(Pipeline_tbl[[#This Row],[Rep_ID]],Dim_Reps!A:A,Dim_Reps!D:D)</f>
        <v>Inside Sales</v>
      </c>
      <c r="R2364" t="str">
        <f>_xlfn.XLOOKUP(Pipeline_tbl[[#This Row],[Rep_ID]],Dim_Reps!A:A,Dim_Reps!E:E)</f>
        <v>APAC</v>
      </c>
      <c r="S2364" t="str">
        <f>_xlfn.XLOOKUP(Pipeline_tbl[[#This Row],[Created_Date]],Dim_Date!A:A,Dim_Date!H:H)</f>
        <v>May 2025</v>
      </c>
      <c r="T2364" t="str">
        <f>IF(Pipeline_tbl[[#This Row],[Closed_Date]]=0,"",(_xlfn.XLOOKUP(Pipeline_tbl[[#This Row],[Closed_Date]],Dim_Date!A:A,Dim_Date!H:H)))</f>
        <v>May 2025</v>
      </c>
      <c r="U2364">
        <f>IF(Pipeline_tbl[[#This Row],[Closed_Date]]=0,"",Pipeline_tbl[[#This Row],[Closed_Date]]-Pipeline_tbl[[#This Row],[Created_Date]])</f>
        <v>16</v>
      </c>
    </row>
    <row r="2365" spans="1:21" ht="15" customHeight="1" x14ac:dyDescent="0.2">
      <c r="A2365" t="s">
        <v>2671</v>
      </c>
      <c r="B2365" t="s">
        <v>217</v>
      </c>
      <c r="C2365" t="s">
        <v>55</v>
      </c>
      <c r="D2365" s="49">
        <v>45779</v>
      </c>
      <c r="E2365" s="49">
        <v>45780</v>
      </c>
      <c r="F2365" s="49">
        <v>45783</v>
      </c>
      <c r="I2365" s="49">
        <v>45793</v>
      </c>
      <c r="J2365" t="s">
        <v>49</v>
      </c>
      <c r="K2365" s="33">
        <v>3500</v>
      </c>
      <c r="L2365" t="s">
        <v>62</v>
      </c>
      <c r="M2365" t="str">
        <f>_xlfn.XLOOKUP(Pipeline_tbl[[#This Row],[Rep_ID]],Dim_Reps!A:A,Dim_Reps!K:K)</f>
        <v>USD</v>
      </c>
      <c r="N2365" s="33">
        <f>(_xlfn.XLOOKUP(Pipeline_tbl[[#This Row],[Rate_Code_Generalized]],Lookups!A:A,Lookups!B:B))*Pipeline_tbl[[#This Row],[Pipeline_Amount_USD]]</f>
        <v>4075.0499999999997</v>
      </c>
      <c r="O2365" t="str">
        <f>_xlfn.XLOOKUP(Pipeline_tbl[[#This Row],[Rep_ID]],Dim_Reps!A:A,Dim_Reps!B:B)</f>
        <v>Priya Weber</v>
      </c>
      <c r="P2365" t="str">
        <f>_xlfn.XLOOKUP(Pipeline_tbl[[#This Row],[Rep_ID]],Dim_Reps!A:A,Dim_Reps!C:C)</f>
        <v>SDR / Inside Sales Rep</v>
      </c>
      <c r="Q2365" t="str">
        <f>_xlfn.XLOOKUP(Pipeline_tbl[[#This Row],[Rep_ID]],Dim_Reps!A:A,Dim_Reps!D:D)</f>
        <v>Inside Sales</v>
      </c>
      <c r="R2365" t="str">
        <f>_xlfn.XLOOKUP(Pipeline_tbl[[#This Row],[Rep_ID]],Dim_Reps!A:A,Dim_Reps!E:E)</f>
        <v>NAMER</v>
      </c>
      <c r="S2365" t="str">
        <f>_xlfn.XLOOKUP(Pipeline_tbl[[#This Row],[Created_Date]],Dim_Date!A:A,Dim_Date!H:H)</f>
        <v>May 2025</v>
      </c>
      <c r="T2365" t="str">
        <f>IF(Pipeline_tbl[[#This Row],[Closed_Date]]=0,"",(_xlfn.XLOOKUP(Pipeline_tbl[[#This Row],[Closed_Date]],Dim_Date!A:A,Dim_Date!H:H)))</f>
        <v>May 2025</v>
      </c>
      <c r="U2365">
        <f>IF(Pipeline_tbl[[#This Row],[Closed_Date]]=0,"",Pipeline_tbl[[#This Row],[Closed_Date]]-Pipeline_tbl[[#This Row],[Created_Date]])</f>
        <v>14</v>
      </c>
    </row>
    <row r="2366" spans="1:21" ht="15" customHeight="1" x14ac:dyDescent="0.2">
      <c r="A2366" t="s">
        <v>2672</v>
      </c>
      <c r="B2366" t="s">
        <v>217</v>
      </c>
      <c r="C2366" t="s">
        <v>52</v>
      </c>
      <c r="D2366" s="49">
        <v>45784</v>
      </c>
      <c r="E2366" s="49">
        <v>45786</v>
      </c>
      <c r="F2366" s="49">
        <v>45791</v>
      </c>
      <c r="G2366" s="49">
        <v>45798</v>
      </c>
      <c r="H2366" s="49">
        <v>45804</v>
      </c>
      <c r="I2366" s="49">
        <v>45808</v>
      </c>
      <c r="J2366" t="s">
        <v>47</v>
      </c>
      <c r="K2366" s="33">
        <v>2400</v>
      </c>
      <c r="M2366" t="str">
        <f>_xlfn.XLOOKUP(Pipeline_tbl[[#This Row],[Rep_ID]],Dim_Reps!A:A,Dim_Reps!K:K)</f>
        <v>USD</v>
      </c>
      <c r="N2366" s="33">
        <f>(_xlfn.XLOOKUP(Pipeline_tbl[[#This Row],[Rate_Code_Generalized]],Lookups!A:A,Lookups!B:B))*Pipeline_tbl[[#This Row],[Pipeline_Amount_USD]]</f>
        <v>2794.3199999999997</v>
      </c>
      <c r="O2366" t="str">
        <f>_xlfn.XLOOKUP(Pipeline_tbl[[#This Row],[Rep_ID]],Dim_Reps!A:A,Dim_Reps!B:B)</f>
        <v>Priya Weber</v>
      </c>
      <c r="P2366" t="str">
        <f>_xlfn.XLOOKUP(Pipeline_tbl[[#This Row],[Rep_ID]],Dim_Reps!A:A,Dim_Reps!C:C)</f>
        <v>SDR / Inside Sales Rep</v>
      </c>
      <c r="Q2366" t="str">
        <f>_xlfn.XLOOKUP(Pipeline_tbl[[#This Row],[Rep_ID]],Dim_Reps!A:A,Dim_Reps!D:D)</f>
        <v>Inside Sales</v>
      </c>
      <c r="R2366" t="str">
        <f>_xlfn.XLOOKUP(Pipeline_tbl[[#This Row],[Rep_ID]],Dim_Reps!A:A,Dim_Reps!E:E)</f>
        <v>NAMER</v>
      </c>
      <c r="S2366" t="str">
        <f>_xlfn.XLOOKUP(Pipeline_tbl[[#This Row],[Created_Date]],Dim_Date!A:A,Dim_Date!H:H)</f>
        <v>May 2025</v>
      </c>
      <c r="T2366" t="str">
        <f>IF(Pipeline_tbl[[#This Row],[Closed_Date]]=0,"",(_xlfn.XLOOKUP(Pipeline_tbl[[#This Row],[Closed_Date]],Dim_Date!A:A,Dim_Date!H:H)))</f>
        <v>May 2025</v>
      </c>
      <c r="U2366">
        <f>IF(Pipeline_tbl[[#This Row],[Closed_Date]]=0,"",Pipeline_tbl[[#This Row],[Closed_Date]]-Pipeline_tbl[[#This Row],[Created_Date]])</f>
        <v>24</v>
      </c>
    </row>
    <row r="2367" spans="1:21" ht="15" customHeight="1" x14ac:dyDescent="0.2">
      <c r="A2367" t="s">
        <v>2673</v>
      </c>
      <c r="B2367" t="s">
        <v>217</v>
      </c>
      <c r="C2367" t="s">
        <v>55</v>
      </c>
      <c r="D2367" s="49">
        <v>45788</v>
      </c>
      <c r="E2367" s="49">
        <v>45789</v>
      </c>
      <c r="F2367" s="49">
        <v>45792</v>
      </c>
      <c r="G2367" s="49">
        <v>45796</v>
      </c>
      <c r="H2367" s="49">
        <v>45799</v>
      </c>
      <c r="I2367" s="49">
        <v>45801</v>
      </c>
      <c r="J2367" t="s">
        <v>47</v>
      </c>
      <c r="K2367" s="33">
        <v>6600</v>
      </c>
      <c r="M2367" t="str">
        <f>_xlfn.XLOOKUP(Pipeline_tbl[[#This Row],[Rep_ID]],Dim_Reps!A:A,Dim_Reps!K:K)</f>
        <v>USD</v>
      </c>
      <c r="N2367" s="33">
        <f>(_xlfn.XLOOKUP(Pipeline_tbl[[#This Row],[Rate_Code_Generalized]],Lookups!A:A,Lookups!B:B))*Pipeline_tbl[[#This Row],[Pipeline_Amount_USD]]</f>
        <v>7684.3799999999992</v>
      </c>
      <c r="O2367" t="str">
        <f>_xlfn.XLOOKUP(Pipeline_tbl[[#This Row],[Rep_ID]],Dim_Reps!A:A,Dim_Reps!B:B)</f>
        <v>Priya Weber</v>
      </c>
      <c r="P2367" t="str">
        <f>_xlfn.XLOOKUP(Pipeline_tbl[[#This Row],[Rep_ID]],Dim_Reps!A:A,Dim_Reps!C:C)</f>
        <v>SDR / Inside Sales Rep</v>
      </c>
      <c r="Q2367" t="str">
        <f>_xlfn.XLOOKUP(Pipeline_tbl[[#This Row],[Rep_ID]],Dim_Reps!A:A,Dim_Reps!D:D)</f>
        <v>Inside Sales</v>
      </c>
      <c r="R2367" t="str">
        <f>_xlfn.XLOOKUP(Pipeline_tbl[[#This Row],[Rep_ID]],Dim_Reps!A:A,Dim_Reps!E:E)</f>
        <v>NAMER</v>
      </c>
      <c r="S2367" t="str">
        <f>_xlfn.XLOOKUP(Pipeline_tbl[[#This Row],[Created_Date]],Dim_Date!A:A,Dim_Date!H:H)</f>
        <v>May 2025</v>
      </c>
      <c r="T2367" t="str">
        <f>IF(Pipeline_tbl[[#This Row],[Closed_Date]]=0,"",(_xlfn.XLOOKUP(Pipeline_tbl[[#This Row],[Closed_Date]],Dim_Date!A:A,Dim_Date!H:H)))</f>
        <v>May 2025</v>
      </c>
      <c r="U2367">
        <f>IF(Pipeline_tbl[[#This Row],[Closed_Date]]=0,"",Pipeline_tbl[[#This Row],[Closed_Date]]-Pipeline_tbl[[#This Row],[Created_Date]])</f>
        <v>13</v>
      </c>
    </row>
    <row r="2368" spans="1:21" ht="15" customHeight="1" x14ac:dyDescent="0.2">
      <c r="A2368" t="s">
        <v>2674</v>
      </c>
      <c r="B2368" t="s">
        <v>221</v>
      </c>
      <c r="C2368" t="s">
        <v>52</v>
      </c>
      <c r="D2368" s="49">
        <v>45779</v>
      </c>
      <c r="E2368" s="49">
        <v>45781</v>
      </c>
      <c r="F2368" s="49">
        <v>45784</v>
      </c>
      <c r="G2368" s="49">
        <v>45789</v>
      </c>
      <c r="H2368" s="49">
        <v>45793</v>
      </c>
      <c r="I2368" s="49">
        <v>45796</v>
      </c>
      <c r="J2368" t="s">
        <v>47</v>
      </c>
      <c r="K2368" s="33">
        <v>2100</v>
      </c>
      <c r="M2368" t="str">
        <f>_xlfn.XLOOKUP(Pipeline_tbl[[#This Row],[Rep_ID]],Dim_Reps!A:A,Dim_Reps!K:K)</f>
        <v>MXN</v>
      </c>
      <c r="N2368" s="33">
        <f>(_xlfn.XLOOKUP(Pipeline_tbl[[#This Row],[Rate_Code_Generalized]],Lookups!A:A,Lookups!B:B))*Pipeline_tbl[[#This Row],[Pipeline_Amount_USD]]</f>
        <v>41438.670000000006</v>
      </c>
      <c r="O2368" t="str">
        <f>_xlfn.XLOOKUP(Pipeline_tbl[[#This Row],[Rep_ID]],Dim_Reps!A:A,Dim_Reps!B:B)</f>
        <v>Casey Muller</v>
      </c>
      <c r="P2368" t="str">
        <f>_xlfn.XLOOKUP(Pipeline_tbl[[#This Row],[Rep_ID]],Dim_Reps!A:A,Dim_Reps!C:C)</f>
        <v>SDR / Inside Sales Rep</v>
      </c>
      <c r="Q2368" t="str">
        <f>_xlfn.XLOOKUP(Pipeline_tbl[[#This Row],[Rep_ID]],Dim_Reps!A:A,Dim_Reps!D:D)</f>
        <v>Inside Sales</v>
      </c>
      <c r="R2368" t="str">
        <f>_xlfn.XLOOKUP(Pipeline_tbl[[#This Row],[Rep_ID]],Dim_Reps!A:A,Dim_Reps!E:E)</f>
        <v>LATAM</v>
      </c>
      <c r="S2368" t="str">
        <f>_xlfn.XLOOKUP(Pipeline_tbl[[#This Row],[Created_Date]],Dim_Date!A:A,Dim_Date!H:H)</f>
        <v>May 2025</v>
      </c>
      <c r="T2368" t="str">
        <f>IF(Pipeline_tbl[[#This Row],[Closed_Date]]=0,"",(_xlfn.XLOOKUP(Pipeline_tbl[[#This Row],[Closed_Date]],Dim_Date!A:A,Dim_Date!H:H)))</f>
        <v>May 2025</v>
      </c>
      <c r="U2368">
        <f>IF(Pipeline_tbl[[#This Row],[Closed_Date]]=0,"",Pipeline_tbl[[#This Row],[Closed_Date]]-Pipeline_tbl[[#This Row],[Created_Date]])</f>
        <v>17</v>
      </c>
    </row>
    <row r="2369" spans="1:21" ht="15" customHeight="1" x14ac:dyDescent="0.2">
      <c r="A2369" t="s">
        <v>2675</v>
      </c>
      <c r="B2369" t="s">
        <v>221</v>
      </c>
      <c r="C2369" t="s">
        <v>52</v>
      </c>
      <c r="D2369" s="49">
        <v>45785</v>
      </c>
      <c r="E2369" s="49">
        <v>45787</v>
      </c>
      <c r="F2369" s="49">
        <v>45792</v>
      </c>
      <c r="G2369" s="49">
        <v>45799</v>
      </c>
      <c r="H2369" s="49">
        <v>45805</v>
      </c>
      <c r="I2369" s="49">
        <v>45808</v>
      </c>
      <c r="J2369" t="s">
        <v>47</v>
      </c>
      <c r="K2369" s="33">
        <v>5100</v>
      </c>
      <c r="M2369" t="str">
        <f>_xlfn.XLOOKUP(Pipeline_tbl[[#This Row],[Rep_ID]],Dim_Reps!A:A,Dim_Reps!K:K)</f>
        <v>MXN</v>
      </c>
      <c r="N2369" s="33">
        <f>(_xlfn.XLOOKUP(Pipeline_tbl[[#This Row],[Rate_Code_Generalized]],Lookups!A:A,Lookups!B:B))*Pipeline_tbl[[#This Row],[Pipeline_Amount_USD]]</f>
        <v>100636.77</v>
      </c>
      <c r="O2369" t="str">
        <f>_xlfn.XLOOKUP(Pipeline_tbl[[#This Row],[Rep_ID]],Dim_Reps!A:A,Dim_Reps!B:B)</f>
        <v>Casey Muller</v>
      </c>
      <c r="P2369" t="str">
        <f>_xlfn.XLOOKUP(Pipeline_tbl[[#This Row],[Rep_ID]],Dim_Reps!A:A,Dim_Reps!C:C)</f>
        <v>SDR / Inside Sales Rep</v>
      </c>
      <c r="Q2369" t="str">
        <f>_xlfn.XLOOKUP(Pipeline_tbl[[#This Row],[Rep_ID]],Dim_Reps!A:A,Dim_Reps!D:D)</f>
        <v>Inside Sales</v>
      </c>
      <c r="R2369" t="str">
        <f>_xlfn.XLOOKUP(Pipeline_tbl[[#This Row],[Rep_ID]],Dim_Reps!A:A,Dim_Reps!E:E)</f>
        <v>LATAM</v>
      </c>
      <c r="S2369" t="str">
        <f>_xlfn.XLOOKUP(Pipeline_tbl[[#This Row],[Created_Date]],Dim_Date!A:A,Dim_Date!H:H)</f>
        <v>May 2025</v>
      </c>
      <c r="T2369" t="str">
        <f>IF(Pipeline_tbl[[#This Row],[Closed_Date]]=0,"",(_xlfn.XLOOKUP(Pipeline_tbl[[#This Row],[Closed_Date]],Dim_Date!A:A,Dim_Date!H:H)))</f>
        <v>May 2025</v>
      </c>
      <c r="U2369">
        <f>IF(Pipeline_tbl[[#This Row],[Closed_Date]]=0,"",Pipeline_tbl[[#This Row],[Closed_Date]]-Pipeline_tbl[[#This Row],[Created_Date]])</f>
        <v>23</v>
      </c>
    </row>
    <row r="2370" spans="1:21" ht="15" customHeight="1" x14ac:dyDescent="0.2">
      <c r="A2370" t="s">
        <v>2676</v>
      </c>
      <c r="B2370" t="s">
        <v>221</v>
      </c>
      <c r="C2370" t="s">
        <v>52</v>
      </c>
      <c r="D2370" s="49">
        <v>45779</v>
      </c>
      <c r="E2370" s="49">
        <v>45781</v>
      </c>
      <c r="I2370" s="49">
        <v>45797</v>
      </c>
      <c r="J2370" t="s">
        <v>49</v>
      </c>
      <c r="K2370" s="33">
        <v>3600</v>
      </c>
      <c r="L2370" t="s">
        <v>62</v>
      </c>
      <c r="M2370" t="str">
        <f>_xlfn.XLOOKUP(Pipeline_tbl[[#This Row],[Rep_ID]],Dim_Reps!A:A,Dim_Reps!K:K)</f>
        <v>MXN</v>
      </c>
      <c r="N2370" s="33">
        <f>(_xlfn.XLOOKUP(Pipeline_tbl[[#This Row],[Rate_Code_Generalized]],Lookups!A:A,Lookups!B:B))*Pipeline_tbl[[#This Row],[Pipeline_Amount_USD]]</f>
        <v>71037.72</v>
      </c>
      <c r="O2370" t="str">
        <f>_xlfn.XLOOKUP(Pipeline_tbl[[#This Row],[Rep_ID]],Dim_Reps!A:A,Dim_Reps!B:B)</f>
        <v>Casey Muller</v>
      </c>
      <c r="P2370" t="str">
        <f>_xlfn.XLOOKUP(Pipeline_tbl[[#This Row],[Rep_ID]],Dim_Reps!A:A,Dim_Reps!C:C)</f>
        <v>SDR / Inside Sales Rep</v>
      </c>
      <c r="Q2370" t="str">
        <f>_xlfn.XLOOKUP(Pipeline_tbl[[#This Row],[Rep_ID]],Dim_Reps!A:A,Dim_Reps!D:D)</f>
        <v>Inside Sales</v>
      </c>
      <c r="R2370" t="str">
        <f>_xlfn.XLOOKUP(Pipeline_tbl[[#This Row],[Rep_ID]],Dim_Reps!A:A,Dim_Reps!E:E)</f>
        <v>LATAM</v>
      </c>
      <c r="S2370" t="str">
        <f>_xlfn.XLOOKUP(Pipeline_tbl[[#This Row],[Created_Date]],Dim_Date!A:A,Dim_Date!H:H)</f>
        <v>May 2025</v>
      </c>
      <c r="T2370" t="str">
        <f>IF(Pipeline_tbl[[#This Row],[Closed_Date]]=0,"",(_xlfn.XLOOKUP(Pipeline_tbl[[#This Row],[Closed_Date]],Dim_Date!A:A,Dim_Date!H:H)))</f>
        <v>May 2025</v>
      </c>
      <c r="U2370">
        <f>IF(Pipeline_tbl[[#This Row],[Closed_Date]]=0,"",Pipeline_tbl[[#This Row],[Closed_Date]]-Pipeline_tbl[[#This Row],[Created_Date]])</f>
        <v>18</v>
      </c>
    </row>
    <row r="2371" spans="1:21" ht="15" customHeight="1" x14ac:dyDescent="0.2">
      <c r="A2371" t="s">
        <v>2677</v>
      </c>
      <c r="B2371" t="s">
        <v>221</v>
      </c>
      <c r="C2371" t="s">
        <v>56</v>
      </c>
      <c r="D2371" s="49">
        <v>45792</v>
      </c>
      <c r="E2371" s="49">
        <v>45793</v>
      </c>
      <c r="F2371" s="49">
        <v>45795</v>
      </c>
      <c r="G2371" s="49">
        <v>45799</v>
      </c>
      <c r="I2371" s="49">
        <v>45803</v>
      </c>
      <c r="J2371" t="s">
        <v>49</v>
      </c>
      <c r="K2371" s="33">
        <v>4400</v>
      </c>
      <c r="L2371" t="s">
        <v>61</v>
      </c>
      <c r="M2371" t="str">
        <f>_xlfn.XLOOKUP(Pipeline_tbl[[#This Row],[Rep_ID]],Dim_Reps!A:A,Dim_Reps!K:K)</f>
        <v>MXN</v>
      </c>
      <c r="N2371" s="33">
        <f>(_xlfn.XLOOKUP(Pipeline_tbl[[#This Row],[Rate_Code_Generalized]],Lookups!A:A,Lookups!B:B))*Pipeline_tbl[[#This Row],[Pipeline_Amount_USD]]</f>
        <v>86823.88</v>
      </c>
      <c r="O2371" t="str">
        <f>_xlfn.XLOOKUP(Pipeline_tbl[[#This Row],[Rep_ID]],Dim_Reps!A:A,Dim_Reps!B:B)</f>
        <v>Casey Muller</v>
      </c>
      <c r="P2371" t="str">
        <f>_xlfn.XLOOKUP(Pipeline_tbl[[#This Row],[Rep_ID]],Dim_Reps!A:A,Dim_Reps!C:C)</f>
        <v>SDR / Inside Sales Rep</v>
      </c>
      <c r="Q2371" t="str">
        <f>_xlfn.XLOOKUP(Pipeline_tbl[[#This Row],[Rep_ID]],Dim_Reps!A:A,Dim_Reps!D:D)</f>
        <v>Inside Sales</v>
      </c>
      <c r="R2371" t="str">
        <f>_xlfn.XLOOKUP(Pipeline_tbl[[#This Row],[Rep_ID]],Dim_Reps!A:A,Dim_Reps!E:E)</f>
        <v>LATAM</v>
      </c>
      <c r="S2371" t="str">
        <f>_xlfn.XLOOKUP(Pipeline_tbl[[#This Row],[Created_Date]],Dim_Date!A:A,Dim_Date!H:H)</f>
        <v>May 2025</v>
      </c>
      <c r="T2371" t="str">
        <f>IF(Pipeline_tbl[[#This Row],[Closed_Date]]=0,"",(_xlfn.XLOOKUP(Pipeline_tbl[[#This Row],[Closed_Date]],Dim_Date!A:A,Dim_Date!H:H)))</f>
        <v>May 2025</v>
      </c>
      <c r="U2371">
        <f>IF(Pipeline_tbl[[#This Row],[Closed_Date]]=0,"",Pipeline_tbl[[#This Row],[Closed_Date]]-Pipeline_tbl[[#This Row],[Created_Date]])</f>
        <v>11</v>
      </c>
    </row>
    <row r="2372" spans="1:21" ht="15" customHeight="1" x14ac:dyDescent="0.2">
      <c r="A2372" t="s">
        <v>2678</v>
      </c>
      <c r="B2372" t="s">
        <v>221</v>
      </c>
      <c r="C2372" t="s">
        <v>53</v>
      </c>
      <c r="D2372" s="49">
        <v>45785</v>
      </c>
      <c r="E2372" s="49">
        <v>45787</v>
      </c>
      <c r="F2372" s="49">
        <v>45791</v>
      </c>
      <c r="G2372" s="49">
        <v>45797</v>
      </c>
      <c r="H2372" s="49">
        <v>45802</v>
      </c>
      <c r="I2372" s="49">
        <v>45805</v>
      </c>
      <c r="J2372" t="s">
        <v>49</v>
      </c>
      <c r="K2372" s="33">
        <v>2900</v>
      </c>
      <c r="L2372" t="s">
        <v>62</v>
      </c>
      <c r="M2372" t="str">
        <f>_xlfn.XLOOKUP(Pipeline_tbl[[#This Row],[Rep_ID]],Dim_Reps!A:A,Dim_Reps!K:K)</f>
        <v>MXN</v>
      </c>
      <c r="N2372" s="33">
        <f>(_xlfn.XLOOKUP(Pipeline_tbl[[#This Row],[Rate_Code_Generalized]],Lookups!A:A,Lookups!B:B))*Pipeline_tbl[[#This Row],[Pipeline_Amount_USD]]</f>
        <v>57224.83</v>
      </c>
      <c r="O2372" t="str">
        <f>_xlfn.XLOOKUP(Pipeline_tbl[[#This Row],[Rep_ID]],Dim_Reps!A:A,Dim_Reps!B:B)</f>
        <v>Casey Muller</v>
      </c>
      <c r="P2372" t="str">
        <f>_xlfn.XLOOKUP(Pipeline_tbl[[#This Row],[Rep_ID]],Dim_Reps!A:A,Dim_Reps!C:C)</f>
        <v>SDR / Inside Sales Rep</v>
      </c>
      <c r="Q2372" t="str">
        <f>_xlfn.XLOOKUP(Pipeline_tbl[[#This Row],[Rep_ID]],Dim_Reps!A:A,Dim_Reps!D:D)</f>
        <v>Inside Sales</v>
      </c>
      <c r="R2372" t="str">
        <f>_xlfn.XLOOKUP(Pipeline_tbl[[#This Row],[Rep_ID]],Dim_Reps!A:A,Dim_Reps!E:E)</f>
        <v>LATAM</v>
      </c>
      <c r="S2372" t="str">
        <f>_xlfn.XLOOKUP(Pipeline_tbl[[#This Row],[Created_Date]],Dim_Date!A:A,Dim_Date!H:H)</f>
        <v>May 2025</v>
      </c>
      <c r="T2372" t="str">
        <f>IF(Pipeline_tbl[[#This Row],[Closed_Date]]=0,"",(_xlfn.XLOOKUP(Pipeline_tbl[[#This Row],[Closed_Date]],Dim_Date!A:A,Dim_Date!H:H)))</f>
        <v>May 2025</v>
      </c>
      <c r="U2372">
        <f>IF(Pipeline_tbl[[#This Row],[Closed_Date]]=0,"",Pipeline_tbl[[#This Row],[Closed_Date]]-Pipeline_tbl[[#This Row],[Created_Date]])</f>
        <v>20</v>
      </c>
    </row>
    <row r="2373" spans="1:21" ht="15" customHeight="1" x14ac:dyDescent="0.2">
      <c r="A2373" t="s">
        <v>2679</v>
      </c>
      <c r="B2373" t="s">
        <v>221</v>
      </c>
      <c r="C2373" t="s">
        <v>56</v>
      </c>
      <c r="D2373" s="49">
        <v>45795</v>
      </c>
      <c r="E2373" s="49">
        <v>45796</v>
      </c>
      <c r="F2373" s="49">
        <v>45798</v>
      </c>
      <c r="I2373" s="49">
        <v>45804</v>
      </c>
      <c r="J2373" t="s">
        <v>49</v>
      </c>
      <c r="K2373" s="33">
        <v>1900</v>
      </c>
      <c r="L2373" t="s">
        <v>62</v>
      </c>
      <c r="M2373" t="str">
        <f>_xlfn.XLOOKUP(Pipeline_tbl[[#This Row],[Rep_ID]],Dim_Reps!A:A,Dim_Reps!K:K)</f>
        <v>MXN</v>
      </c>
      <c r="N2373" s="33">
        <f>(_xlfn.XLOOKUP(Pipeline_tbl[[#This Row],[Rate_Code_Generalized]],Lookups!A:A,Lookups!B:B))*Pipeline_tbl[[#This Row],[Pipeline_Amount_USD]]</f>
        <v>37492.130000000005</v>
      </c>
      <c r="O2373" t="str">
        <f>_xlfn.XLOOKUP(Pipeline_tbl[[#This Row],[Rep_ID]],Dim_Reps!A:A,Dim_Reps!B:B)</f>
        <v>Casey Muller</v>
      </c>
      <c r="P2373" t="str">
        <f>_xlfn.XLOOKUP(Pipeline_tbl[[#This Row],[Rep_ID]],Dim_Reps!A:A,Dim_Reps!C:C)</f>
        <v>SDR / Inside Sales Rep</v>
      </c>
      <c r="Q2373" t="str">
        <f>_xlfn.XLOOKUP(Pipeline_tbl[[#This Row],[Rep_ID]],Dim_Reps!A:A,Dim_Reps!D:D)</f>
        <v>Inside Sales</v>
      </c>
      <c r="R2373" t="str">
        <f>_xlfn.XLOOKUP(Pipeline_tbl[[#This Row],[Rep_ID]],Dim_Reps!A:A,Dim_Reps!E:E)</f>
        <v>LATAM</v>
      </c>
      <c r="S2373" t="str">
        <f>_xlfn.XLOOKUP(Pipeline_tbl[[#This Row],[Created_Date]],Dim_Date!A:A,Dim_Date!H:H)</f>
        <v>May 2025</v>
      </c>
      <c r="T2373" t="str">
        <f>IF(Pipeline_tbl[[#This Row],[Closed_Date]]=0,"",(_xlfn.XLOOKUP(Pipeline_tbl[[#This Row],[Closed_Date]],Dim_Date!A:A,Dim_Date!H:H)))</f>
        <v>May 2025</v>
      </c>
      <c r="U2373">
        <f>IF(Pipeline_tbl[[#This Row],[Closed_Date]]=0,"",Pipeline_tbl[[#This Row],[Closed_Date]]-Pipeline_tbl[[#This Row],[Created_Date]])</f>
        <v>9</v>
      </c>
    </row>
    <row r="2374" spans="1:21" ht="15" customHeight="1" x14ac:dyDescent="0.2">
      <c r="A2374" t="s">
        <v>2680</v>
      </c>
      <c r="B2374" t="s">
        <v>221</v>
      </c>
      <c r="C2374" t="s">
        <v>52</v>
      </c>
      <c r="D2374" s="49">
        <v>45784</v>
      </c>
      <c r="E2374" s="49">
        <v>45785</v>
      </c>
      <c r="F2374" s="49">
        <v>45787</v>
      </c>
      <c r="G2374" s="49">
        <v>45791</v>
      </c>
      <c r="H2374" s="49">
        <v>45793</v>
      </c>
      <c r="I2374" s="49">
        <v>45795</v>
      </c>
      <c r="J2374" t="s">
        <v>47</v>
      </c>
      <c r="K2374" s="33">
        <v>3200</v>
      </c>
      <c r="M2374" t="str">
        <f>_xlfn.XLOOKUP(Pipeline_tbl[[#This Row],[Rep_ID]],Dim_Reps!A:A,Dim_Reps!K:K)</f>
        <v>MXN</v>
      </c>
      <c r="N2374" s="33">
        <f>(_xlfn.XLOOKUP(Pipeline_tbl[[#This Row],[Rate_Code_Generalized]],Lookups!A:A,Lookups!B:B))*Pipeline_tbl[[#This Row],[Pipeline_Amount_USD]]</f>
        <v>63144.640000000007</v>
      </c>
      <c r="O2374" t="str">
        <f>_xlfn.XLOOKUP(Pipeline_tbl[[#This Row],[Rep_ID]],Dim_Reps!A:A,Dim_Reps!B:B)</f>
        <v>Casey Muller</v>
      </c>
      <c r="P2374" t="str">
        <f>_xlfn.XLOOKUP(Pipeline_tbl[[#This Row],[Rep_ID]],Dim_Reps!A:A,Dim_Reps!C:C)</f>
        <v>SDR / Inside Sales Rep</v>
      </c>
      <c r="Q2374" t="str">
        <f>_xlfn.XLOOKUP(Pipeline_tbl[[#This Row],[Rep_ID]],Dim_Reps!A:A,Dim_Reps!D:D)</f>
        <v>Inside Sales</v>
      </c>
      <c r="R2374" t="str">
        <f>_xlfn.XLOOKUP(Pipeline_tbl[[#This Row],[Rep_ID]],Dim_Reps!A:A,Dim_Reps!E:E)</f>
        <v>LATAM</v>
      </c>
      <c r="S2374" t="str">
        <f>_xlfn.XLOOKUP(Pipeline_tbl[[#This Row],[Created_Date]],Dim_Date!A:A,Dim_Date!H:H)</f>
        <v>May 2025</v>
      </c>
      <c r="T2374" t="str">
        <f>IF(Pipeline_tbl[[#This Row],[Closed_Date]]=0,"",(_xlfn.XLOOKUP(Pipeline_tbl[[#This Row],[Closed_Date]],Dim_Date!A:A,Dim_Date!H:H)))</f>
        <v>May 2025</v>
      </c>
      <c r="U2374">
        <f>IF(Pipeline_tbl[[#This Row],[Closed_Date]]=0,"",Pipeline_tbl[[#This Row],[Closed_Date]]-Pipeline_tbl[[#This Row],[Created_Date]])</f>
        <v>11</v>
      </c>
    </row>
    <row r="2375" spans="1:21" ht="15" customHeight="1" x14ac:dyDescent="0.2">
      <c r="A2375" t="s">
        <v>2681</v>
      </c>
      <c r="B2375" t="s">
        <v>257</v>
      </c>
      <c r="C2375" t="s">
        <v>55</v>
      </c>
      <c r="D2375" s="49">
        <v>45782</v>
      </c>
      <c r="E2375" s="49">
        <v>45784</v>
      </c>
      <c r="F2375" s="49">
        <v>45787</v>
      </c>
      <c r="I2375" s="49">
        <v>45800</v>
      </c>
      <c r="J2375" t="s">
        <v>49</v>
      </c>
      <c r="K2375" s="33">
        <v>9700</v>
      </c>
      <c r="L2375" t="s">
        <v>61</v>
      </c>
      <c r="M2375" t="str">
        <f>_xlfn.XLOOKUP(Pipeline_tbl[[#This Row],[Rep_ID]],Dim_Reps!A:A,Dim_Reps!K:K)</f>
        <v>EUR</v>
      </c>
      <c r="N2375" s="33">
        <f>(_xlfn.XLOOKUP(Pipeline_tbl[[#This Row],[Rate_Code_Generalized]],Lookups!A:A,Lookups!B:B))*Pipeline_tbl[[#This Row],[Pipeline_Amount_USD]]</f>
        <v>9700</v>
      </c>
      <c r="O2375" t="str">
        <f>_xlfn.XLOOKUP(Pipeline_tbl[[#This Row],[Rep_ID]],Dim_Reps!A:A,Dim_Reps!B:B)</f>
        <v>Ana Kim</v>
      </c>
      <c r="P2375" t="str">
        <f>_xlfn.XLOOKUP(Pipeline_tbl[[#This Row],[Rep_ID]],Dim_Reps!A:A,Dim_Reps!C:C)</f>
        <v>Mid-Market AE</v>
      </c>
      <c r="Q2375" t="str">
        <f>_xlfn.XLOOKUP(Pipeline_tbl[[#This Row],[Rep_ID]],Dim_Reps!A:A,Dim_Reps!D:D)</f>
        <v>Mid-Market</v>
      </c>
      <c r="R2375" t="str">
        <f>_xlfn.XLOOKUP(Pipeline_tbl[[#This Row],[Rep_ID]],Dim_Reps!A:A,Dim_Reps!E:E)</f>
        <v>APAC</v>
      </c>
      <c r="S2375" t="str">
        <f>_xlfn.XLOOKUP(Pipeline_tbl[[#This Row],[Created_Date]],Dim_Date!A:A,Dim_Date!H:H)</f>
        <v>May 2025</v>
      </c>
      <c r="T2375" t="str">
        <f>IF(Pipeline_tbl[[#This Row],[Closed_Date]]=0,"",(_xlfn.XLOOKUP(Pipeline_tbl[[#This Row],[Closed_Date]],Dim_Date!A:A,Dim_Date!H:H)))</f>
        <v>May 2025</v>
      </c>
      <c r="U2375">
        <f>IF(Pipeline_tbl[[#This Row],[Closed_Date]]=0,"",Pipeline_tbl[[#This Row],[Closed_Date]]-Pipeline_tbl[[#This Row],[Created_Date]])</f>
        <v>18</v>
      </c>
    </row>
    <row r="2376" spans="1:21" ht="15" customHeight="1" x14ac:dyDescent="0.2">
      <c r="A2376" t="s">
        <v>2682</v>
      </c>
      <c r="B2376" t="s">
        <v>257</v>
      </c>
      <c r="C2376" t="s">
        <v>54</v>
      </c>
      <c r="D2376" s="49">
        <v>45783</v>
      </c>
      <c r="E2376" s="49">
        <v>45784</v>
      </c>
      <c r="F2376" s="49">
        <v>45787</v>
      </c>
      <c r="I2376" s="49">
        <v>45796</v>
      </c>
      <c r="J2376" t="s">
        <v>49</v>
      </c>
      <c r="K2376" s="33">
        <v>19000</v>
      </c>
      <c r="L2376" t="s">
        <v>60</v>
      </c>
      <c r="M2376" t="str">
        <f>_xlfn.XLOOKUP(Pipeline_tbl[[#This Row],[Rep_ID]],Dim_Reps!A:A,Dim_Reps!K:K)</f>
        <v>EUR</v>
      </c>
      <c r="N2376" s="33">
        <f>(_xlfn.XLOOKUP(Pipeline_tbl[[#This Row],[Rate_Code_Generalized]],Lookups!A:A,Lookups!B:B))*Pipeline_tbl[[#This Row],[Pipeline_Amount_USD]]</f>
        <v>19000</v>
      </c>
      <c r="O2376" t="str">
        <f>_xlfn.XLOOKUP(Pipeline_tbl[[#This Row],[Rep_ID]],Dim_Reps!A:A,Dim_Reps!B:B)</f>
        <v>Ana Kim</v>
      </c>
      <c r="P2376" t="str">
        <f>_xlfn.XLOOKUP(Pipeline_tbl[[#This Row],[Rep_ID]],Dim_Reps!A:A,Dim_Reps!C:C)</f>
        <v>Mid-Market AE</v>
      </c>
      <c r="Q2376" t="str">
        <f>_xlfn.XLOOKUP(Pipeline_tbl[[#This Row],[Rep_ID]],Dim_Reps!A:A,Dim_Reps!D:D)</f>
        <v>Mid-Market</v>
      </c>
      <c r="R2376" t="str">
        <f>_xlfn.XLOOKUP(Pipeline_tbl[[#This Row],[Rep_ID]],Dim_Reps!A:A,Dim_Reps!E:E)</f>
        <v>APAC</v>
      </c>
      <c r="S2376" t="str">
        <f>_xlfn.XLOOKUP(Pipeline_tbl[[#This Row],[Created_Date]],Dim_Date!A:A,Dim_Date!H:H)</f>
        <v>May 2025</v>
      </c>
      <c r="T2376" t="str">
        <f>IF(Pipeline_tbl[[#This Row],[Closed_Date]]=0,"",(_xlfn.XLOOKUP(Pipeline_tbl[[#This Row],[Closed_Date]],Dim_Date!A:A,Dim_Date!H:H)))</f>
        <v>May 2025</v>
      </c>
      <c r="U2376">
        <f>IF(Pipeline_tbl[[#This Row],[Closed_Date]]=0,"",Pipeline_tbl[[#This Row],[Closed_Date]]-Pipeline_tbl[[#This Row],[Created_Date]])</f>
        <v>13</v>
      </c>
    </row>
    <row r="2377" spans="1:21" ht="15" customHeight="1" x14ac:dyDescent="0.2">
      <c r="A2377" t="s">
        <v>2683</v>
      </c>
      <c r="B2377" t="s">
        <v>259</v>
      </c>
      <c r="C2377" t="s">
        <v>52</v>
      </c>
      <c r="D2377" s="49">
        <v>45782</v>
      </c>
      <c r="E2377" s="49">
        <v>45785</v>
      </c>
      <c r="F2377" s="49">
        <v>45790</v>
      </c>
      <c r="I2377" s="49">
        <v>45808</v>
      </c>
      <c r="J2377" t="s">
        <v>49</v>
      </c>
      <c r="K2377" s="33">
        <v>8500</v>
      </c>
      <c r="L2377" t="s">
        <v>63</v>
      </c>
      <c r="M2377" t="str">
        <f>_xlfn.XLOOKUP(Pipeline_tbl[[#This Row],[Rep_ID]],Dim_Reps!A:A,Dim_Reps!K:K)</f>
        <v>EUR</v>
      </c>
      <c r="N2377" s="33">
        <f>(_xlfn.XLOOKUP(Pipeline_tbl[[#This Row],[Rate_Code_Generalized]],Lookups!A:A,Lookups!B:B))*Pipeline_tbl[[#This Row],[Pipeline_Amount_USD]]</f>
        <v>8500</v>
      </c>
      <c r="O2377" t="str">
        <f>_xlfn.XLOOKUP(Pipeline_tbl[[#This Row],[Rep_ID]],Dim_Reps!A:A,Dim_Reps!B:B)</f>
        <v>Felix Okafor</v>
      </c>
      <c r="P2377" t="str">
        <f>_xlfn.XLOOKUP(Pipeline_tbl[[#This Row],[Rep_ID]],Dim_Reps!A:A,Dim_Reps!C:C)</f>
        <v>Mid-Market AE</v>
      </c>
      <c r="Q2377" t="str">
        <f>_xlfn.XLOOKUP(Pipeline_tbl[[#This Row],[Rep_ID]],Dim_Reps!A:A,Dim_Reps!D:D)</f>
        <v>Mid-Market</v>
      </c>
      <c r="R2377" t="str">
        <f>_xlfn.XLOOKUP(Pipeline_tbl[[#This Row],[Rep_ID]],Dim_Reps!A:A,Dim_Reps!E:E)</f>
        <v>EMEA</v>
      </c>
      <c r="S2377" t="str">
        <f>_xlfn.XLOOKUP(Pipeline_tbl[[#This Row],[Created_Date]],Dim_Date!A:A,Dim_Date!H:H)</f>
        <v>May 2025</v>
      </c>
      <c r="T2377" t="str">
        <f>IF(Pipeline_tbl[[#This Row],[Closed_Date]]=0,"",(_xlfn.XLOOKUP(Pipeline_tbl[[#This Row],[Closed_Date]],Dim_Date!A:A,Dim_Date!H:H)))</f>
        <v>May 2025</v>
      </c>
      <c r="U2377">
        <f>IF(Pipeline_tbl[[#This Row],[Closed_Date]]=0,"",Pipeline_tbl[[#This Row],[Closed_Date]]-Pipeline_tbl[[#This Row],[Created_Date]])</f>
        <v>26</v>
      </c>
    </row>
    <row r="2378" spans="1:21" ht="15" customHeight="1" x14ac:dyDescent="0.2">
      <c r="A2378" t="s">
        <v>2684</v>
      </c>
      <c r="B2378" t="s">
        <v>223</v>
      </c>
      <c r="C2378" t="s">
        <v>53</v>
      </c>
      <c r="D2378" s="49">
        <v>45789</v>
      </c>
      <c r="E2378" s="49">
        <v>45791</v>
      </c>
      <c r="F2378" s="49">
        <v>45794</v>
      </c>
      <c r="I2378" s="49">
        <v>45807</v>
      </c>
      <c r="J2378" t="s">
        <v>49</v>
      </c>
      <c r="K2378" s="33">
        <v>2600</v>
      </c>
      <c r="L2378" t="s">
        <v>61</v>
      </c>
      <c r="M2378" t="str">
        <f>_xlfn.XLOOKUP(Pipeline_tbl[[#This Row],[Rep_ID]],Dim_Reps!A:A,Dim_Reps!K:K)</f>
        <v>MXN</v>
      </c>
      <c r="N2378" s="33">
        <f>(_xlfn.XLOOKUP(Pipeline_tbl[[#This Row],[Rate_Code_Generalized]],Lookups!A:A,Lookups!B:B))*Pipeline_tbl[[#This Row],[Pipeline_Amount_USD]]</f>
        <v>51305.020000000004</v>
      </c>
      <c r="O2378" t="str">
        <f>_xlfn.XLOOKUP(Pipeline_tbl[[#This Row],[Rep_ID]],Dim_Reps!A:A,Dim_Reps!B:B)</f>
        <v>Lea Petrov</v>
      </c>
      <c r="P2378" t="str">
        <f>_xlfn.XLOOKUP(Pipeline_tbl[[#This Row],[Rep_ID]],Dim_Reps!A:A,Dim_Reps!C:C)</f>
        <v>SDR / Inside Sales Rep</v>
      </c>
      <c r="Q2378" t="str">
        <f>_xlfn.XLOOKUP(Pipeline_tbl[[#This Row],[Rep_ID]],Dim_Reps!A:A,Dim_Reps!D:D)</f>
        <v>Inside Sales</v>
      </c>
      <c r="R2378" t="str">
        <f>_xlfn.XLOOKUP(Pipeline_tbl[[#This Row],[Rep_ID]],Dim_Reps!A:A,Dim_Reps!E:E)</f>
        <v>LATAM</v>
      </c>
      <c r="S2378" t="str">
        <f>_xlfn.XLOOKUP(Pipeline_tbl[[#This Row],[Created_Date]],Dim_Date!A:A,Dim_Date!H:H)</f>
        <v>May 2025</v>
      </c>
      <c r="T2378" t="str">
        <f>IF(Pipeline_tbl[[#This Row],[Closed_Date]]=0,"",(_xlfn.XLOOKUP(Pipeline_tbl[[#This Row],[Closed_Date]],Dim_Date!A:A,Dim_Date!H:H)))</f>
        <v>May 2025</v>
      </c>
      <c r="U2378">
        <f>IF(Pipeline_tbl[[#This Row],[Closed_Date]]=0,"",Pipeline_tbl[[#This Row],[Closed_Date]]-Pipeline_tbl[[#This Row],[Created_Date]])</f>
        <v>18</v>
      </c>
    </row>
    <row r="2379" spans="1:21" ht="15" customHeight="1" x14ac:dyDescent="0.2">
      <c r="A2379" t="s">
        <v>2685</v>
      </c>
      <c r="B2379" t="s">
        <v>223</v>
      </c>
      <c r="C2379" t="s">
        <v>53</v>
      </c>
      <c r="D2379" s="49">
        <v>45786</v>
      </c>
      <c r="E2379" s="49">
        <v>45787</v>
      </c>
      <c r="F2379" s="49">
        <v>45788</v>
      </c>
      <c r="G2379" s="49">
        <v>45791</v>
      </c>
      <c r="I2379" s="49">
        <v>45794</v>
      </c>
      <c r="J2379" t="s">
        <v>49</v>
      </c>
      <c r="K2379" s="33">
        <v>2300</v>
      </c>
      <c r="L2379" t="s">
        <v>60</v>
      </c>
      <c r="M2379" t="str">
        <f>_xlfn.XLOOKUP(Pipeline_tbl[[#This Row],[Rep_ID]],Dim_Reps!A:A,Dim_Reps!K:K)</f>
        <v>MXN</v>
      </c>
      <c r="N2379" s="33">
        <f>(_xlfn.XLOOKUP(Pipeline_tbl[[#This Row],[Rate_Code_Generalized]],Lookups!A:A,Lookups!B:B))*Pipeline_tbl[[#This Row],[Pipeline_Amount_USD]]</f>
        <v>45385.210000000006</v>
      </c>
      <c r="O2379" t="str">
        <f>_xlfn.XLOOKUP(Pipeline_tbl[[#This Row],[Rep_ID]],Dim_Reps!A:A,Dim_Reps!B:B)</f>
        <v>Lea Petrov</v>
      </c>
      <c r="P2379" t="str">
        <f>_xlfn.XLOOKUP(Pipeline_tbl[[#This Row],[Rep_ID]],Dim_Reps!A:A,Dim_Reps!C:C)</f>
        <v>SDR / Inside Sales Rep</v>
      </c>
      <c r="Q2379" t="str">
        <f>_xlfn.XLOOKUP(Pipeline_tbl[[#This Row],[Rep_ID]],Dim_Reps!A:A,Dim_Reps!D:D)</f>
        <v>Inside Sales</v>
      </c>
      <c r="R2379" t="str">
        <f>_xlfn.XLOOKUP(Pipeline_tbl[[#This Row],[Rep_ID]],Dim_Reps!A:A,Dim_Reps!E:E)</f>
        <v>LATAM</v>
      </c>
      <c r="S2379" t="str">
        <f>_xlfn.XLOOKUP(Pipeline_tbl[[#This Row],[Created_Date]],Dim_Date!A:A,Dim_Date!H:H)</f>
        <v>May 2025</v>
      </c>
      <c r="T2379" t="str">
        <f>IF(Pipeline_tbl[[#This Row],[Closed_Date]]=0,"",(_xlfn.XLOOKUP(Pipeline_tbl[[#This Row],[Closed_Date]],Dim_Date!A:A,Dim_Date!H:H)))</f>
        <v>May 2025</v>
      </c>
      <c r="U2379">
        <f>IF(Pipeline_tbl[[#This Row],[Closed_Date]]=0,"",Pipeline_tbl[[#This Row],[Closed_Date]]-Pipeline_tbl[[#This Row],[Created_Date]])</f>
        <v>8</v>
      </c>
    </row>
    <row r="2380" spans="1:21" ht="15" customHeight="1" x14ac:dyDescent="0.2">
      <c r="A2380" t="s">
        <v>2686</v>
      </c>
      <c r="B2380" t="s">
        <v>223</v>
      </c>
      <c r="C2380" t="s">
        <v>52</v>
      </c>
      <c r="D2380" s="49">
        <v>45780</v>
      </c>
      <c r="E2380" s="49">
        <v>45781</v>
      </c>
      <c r="F2380" s="49">
        <v>45784</v>
      </c>
      <c r="G2380" s="49">
        <v>45788</v>
      </c>
      <c r="I2380" s="49">
        <v>45793</v>
      </c>
      <c r="J2380" t="s">
        <v>49</v>
      </c>
      <c r="K2380" s="33">
        <v>3600</v>
      </c>
      <c r="L2380" t="s">
        <v>61</v>
      </c>
      <c r="M2380" t="str">
        <f>_xlfn.XLOOKUP(Pipeline_tbl[[#This Row],[Rep_ID]],Dim_Reps!A:A,Dim_Reps!K:K)</f>
        <v>MXN</v>
      </c>
      <c r="N2380" s="33">
        <f>(_xlfn.XLOOKUP(Pipeline_tbl[[#This Row],[Rate_Code_Generalized]],Lookups!A:A,Lookups!B:B))*Pipeline_tbl[[#This Row],[Pipeline_Amount_USD]]</f>
        <v>71037.72</v>
      </c>
      <c r="O2380" t="str">
        <f>_xlfn.XLOOKUP(Pipeline_tbl[[#This Row],[Rep_ID]],Dim_Reps!A:A,Dim_Reps!B:B)</f>
        <v>Lea Petrov</v>
      </c>
      <c r="P2380" t="str">
        <f>_xlfn.XLOOKUP(Pipeline_tbl[[#This Row],[Rep_ID]],Dim_Reps!A:A,Dim_Reps!C:C)</f>
        <v>SDR / Inside Sales Rep</v>
      </c>
      <c r="Q2380" t="str">
        <f>_xlfn.XLOOKUP(Pipeline_tbl[[#This Row],[Rep_ID]],Dim_Reps!A:A,Dim_Reps!D:D)</f>
        <v>Inside Sales</v>
      </c>
      <c r="R2380" t="str">
        <f>_xlfn.XLOOKUP(Pipeline_tbl[[#This Row],[Rep_ID]],Dim_Reps!A:A,Dim_Reps!E:E)</f>
        <v>LATAM</v>
      </c>
      <c r="S2380" t="str">
        <f>_xlfn.XLOOKUP(Pipeline_tbl[[#This Row],[Created_Date]],Dim_Date!A:A,Dim_Date!H:H)</f>
        <v>May 2025</v>
      </c>
      <c r="T2380" t="str">
        <f>IF(Pipeline_tbl[[#This Row],[Closed_Date]]=0,"",(_xlfn.XLOOKUP(Pipeline_tbl[[#This Row],[Closed_Date]],Dim_Date!A:A,Dim_Date!H:H)))</f>
        <v>May 2025</v>
      </c>
      <c r="U2380">
        <f>IF(Pipeline_tbl[[#This Row],[Closed_Date]]=0,"",Pipeline_tbl[[#This Row],[Closed_Date]]-Pipeline_tbl[[#This Row],[Created_Date]])</f>
        <v>13</v>
      </c>
    </row>
    <row r="2381" spans="1:21" ht="15" customHeight="1" x14ac:dyDescent="0.2">
      <c r="A2381" t="s">
        <v>2687</v>
      </c>
      <c r="B2381" t="s">
        <v>223</v>
      </c>
      <c r="C2381" t="s">
        <v>53</v>
      </c>
      <c r="D2381" s="49">
        <v>45789</v>
      </c>
      <c r="E2381" s="49">
        <v>45791</v>
      </c>
      <c r="F2381" s="49">
        <v>45794</v>
      </c>
      <c r="G2381" s="49">
        <v>45798</v>
      </c>
      <c r="I2381" s="49">
        <v>45804</v>
      </c>
      <c r="J2381" t="s">
        <v>49</v>
      </c>
      <c r="K2381" s="33">
        <v>1600</v>
      </c>
      <c r="L2381" t="s">
        <v>61</v>
      </c>
      <c r="M2381" t="str">
        <f>_xlfn.XLOOKUP(Pipeline_tbl[[#This Row],[Rep_ID]],Dim_Reps!A:A,Dim_Reps!K:K)</f>
        <v>MXN</v>
      </c>
      <c r="N2381" s="33">
        <f>(_xlfn.XLOOKUP(Pipeline_tbl[[#This Row],[Rate_Code_Generalized]],Lookups!A:A,Lookups!B:B))*Pipeline_tbl[[#This Row],[Pipeline_Amount_USD]]</f>
        <v>31572.320000000003</v>
      </c>
      <c r="O2381" t="str">
        <f>_xlfn.XLOOKUP(Pipeline_tbl[[#This Row],[Rep_ID]],Dim_Reps!A:A,Dim_Reps!B:B)</f>
        <v>Lea Petrov</v>
      </c>
      <c r="P2381" t="str">
        <f>_xlfn.XLOOKUP(Pipeline_tbl[[#This Row],[Rep_ID]],Dim_Reps!A:A,Dim_Reps!C:C)</f>
        <v>SDR / Inside Sales Rep</v>
      </c>
      <c r="Q2381" t="str">
        <f>_xlfn.XLOOKUP(Pipeline_tbl[[#This Row],[Rep_ID]],Dim_Reps!A:A,Dim_Reps!D:D)</f>
        <v>Inside Sales</v>
      </c>
      <c r="R2381" t="str">
        <f>_xlfn.XLOOKUP(Pipeline_tbl[[#This Row],[Rep_ID]],Dim_Reps!A:A,Dim_Reps!E:E)</f>
        <v>LATAM</v>
      </c>
      <c r="S2381" t="str">
        <f>_xlfn.XLOOKUP(Pipeline_tbl[[#This Row],[Created_Date]],Dim_Date!A:A,Dim_Date!H:H)</f>
        <v>May 2025</v>
      </c>
      <c r="T2381" t="str">
        <f>IF(Pipeline_tbl[[#This Row],[Closed_Date]]=0,"",(_xlfn.XLOOKUP(Pipeline_tbl[[#This Row],[Closed_Date]],Dim_Date!A:A,Dim_Date!H:H)))</f>
        <v>May 2025</v>
      </c>
      <c r="U2381">
        <f>IF(Pipeline_tbl[[#This Row],[Closed_Date]]=0,"",Pipeline_tbl[[#This Row],[Closed_Date]]-Pipeline_tbl[[#This Row],[Created_Date]])</f>
        <v>15</v>
      </c>
    </row>
    <row r="2382" spans="1:21" ht="15" customHeight="1" x14ac:dyDescent="0.2">
      <c r="A2382" t="s">
        <v>2688</v>
      </c>
      <c r="B2382" t="s">
        <v>225</v>
      </c>
      <c r="C2382" t="s">
        <v>55</v>
      </c>
      <c r="D2382" s="49">
        <v>45787</v>
      </c>
      <c r="E2382" s="49">
        <v>45789</v>
      </c>
      <c r="F2382" s="49">
        <v>45792</v>
      </c>
      <c r="I2382" s="49">
        <v>45803</v>
      </c>
      <c r="J2382" t="s">
        <v>49</v>
      </c>
      <c r="K2382" s="33">
        <v>3000</v>
      </c>
      <c r="L2382" t="s">
        <v>60</v>
      </c>
      <c r="M2382" t="str">
        <f>_xlfn.XLOOKUP(Pipeline_tbl[[#This Row],[Rep_ID]],Dim_Reps!A:A,Dim_Reps!K:K)</f>
        <v>USD</v>
      </c>
      <c r="N2382" s="33">
        <f>(_xlfn.XLOOKUP(Pipeline_tbl[[#This Row],[Rate_Code_Generalized]],Lookups!A:A,Lookups!B:B))*Pipeline_tbl[[#This Row],[Pipeline_Amount_USD]]</f>
        <v>3492.8999999999996</v>
      </c>
      <c r="O2382" t="str">
        <f>_xlfn.XLOOKUP(Pipeline_tbl[[#This Row],[Rep_ID]],Dim_Reps!A:A,Dim_Reps!B:B)</f>
        <v>Alex Muller</v>
      </c>
      <c r="P2382" t="str">
        <f>_xlfn.XLOOKUP(Pipeline_tbl[[#This Row],[Rep_ID]],Dim_Reps!A:A,Dim_Reps!C:C)</f>
        <v>SDR / Inside Sales Rep</v>
      </c>
      <c r="Q2382" t="str">
        <f>_xlfn.XLOOKUP(Pipeline_tbl[[#This Row],[Rep_ID]],Dim_Reps!A:A,Dim_Reps!D:D)</f>
        <v>Inside Sales</v>
      </c>
      <c r="R2382" t="str">
        <f>_xlfn.XLOOKUP(Pipeline_tbl[[#This Row],[Rep_ID]],Dim_Reps!A:A,Dim_Reps!E:E)</f>
        <v>NAMER</v>
      </c>
      <c r="S2382" t="str">
        <f>_xlfn.XLOOKUP(Pipeline_tbl[[#This Row],[Created_Date]],Dim_Date!A:A,Dim_Date!H:H)</f>
        <v>May 2025</v>
      </c>
      <c r="T2382" t="str">
        <f>IF(Pipeline_tbl[[#This Row],[Closed_Date]]=0,"",(_xlfn.XLOOKUP(Pipeline_tbl[[#This Row],[Closed_Date]],Dim_Date!A:A,Dim_Date!H:H)))</f>
        <v>May 2025</v>
      </c>
      <c r="U2382">
        <f>IF(Pipeline_tbl[[#This Row],[Closed_Date]]=0,"",Pipeline_tbl[[#This Row],[Closed_Date]]-Pipeline_tbl[[#This Row],[Created_Date]])</f>
        <v>16</v>
      </c>
    </row>
    <row r="2383" spans="1:21" ht="15" customHeight="1" x14ac:dyDescent="0.2">
      <c r="A2383" t="s">
        <v>2689</v>
      </c>
      <c r="B2383" t="s">
        <v>225</v>
      </c>
      <c r="C2383" t="s">
        <v>53</v>
      </c>
      <c r="D2383" s="49">
        <v>45788</v>
      </c>
      <c r="E2383" s="49">
        <v>45790</v>
      </c>
      <c r="F2383" s="49">
        <v>45793</v>
      </c>
      <c r="G2383" s="49">
        <v>45799</v>
      </c>
      <c r="H2383" s="49">
        <v>45803</v>
      </c>
      <c r="I2383" s="49">
        <v>45806</v>
      </c>
      <c r="J2383" t="s">
        <v>47</v>
      </c>
      <c r="K2383" s="33">
        <v>3900</v>
      </c>
      <c r="M2383" t="str">
        <f>_xlfn.XLOOKUP(Pipeline_tbl[[#This Row],[Rep_ID]],Dim_Reps!A:A,Dim_Reps!K:K)</f>
        <v>USD</v>
      </c>
      <c r="N2383" s="33">
        <f>(_xlfn.XLOOKUP(Pipeline_tbl[[#This Row],[Rate_Code_Generalized]],Lookups!A:A,Lookups!B:B))*Pipeline_tbl[[#This Row],[Pipeline_Amount_USD]]</f>
        <v>4540.7699999999995</v>
      </c>
      <c r="O2383" t="str">
        <f>_xlfn.XLOOKUP(Pipeline_tbl[[#This Row],[Rep_ID]],Dim_Reps!A:A,Dim_Reps!B:B)</f>
        <v>Alex Muller</v>
      </c>
      <c r="P2383" t="str">
        <f>_xlfn.XLOOKUP(Pipeline_tbl[[#This Row],[Rep_ID]],Dim_Reps!A:A,Dim_Reps!C:C)</f>
        <v>SDR / Inside Sales Rep</v>
      </c>
      <c r="Q2383" t="str">
        <f>_xlfn.XLOOKUP(Pipeline_tbl[[#This Row],[Rep_ID]],Dim_Reps!A:A,Dim_Reps!D:D)</f>
        <v>Inside Sales</v>
      </c>
      <c r="R2383" t="str">
        <f>_xlfn.XLOOKUP(Pipeline_tbl[[#This Row],[Rep_ID]],Dim_Reps!A:A,Dim_Reps!E:E)</f>
        <v>NAMER</v>
      </c>
      <c r="S2383" t="str">
        <f>_xlfn.XLOOKUP(Pipeline_tbl[[#This Row],[Created_Date]],Dim_Date!A:A,Dim_Date!H:H)</f>
        <v>May 2025</v>
      </c>
      <c r="T2383" t="str">
        <f>IF(Pipeline_tbl[[#This Row],[Closed_Date]]=0,"",(_xlfn.XLOOKUP(Pipeline_tbl[[#This Row],[Closed_Date]],Dim_Date!A:A,Dim_Date!H:H)))</f>
        <v>May 2025</v>
      </c>
      <c r="U2383">
        <f>IF(Pipeline_tbl[[#This Row],[Closed_Date]]=0,"",Pipeline_tbl[[#This Row],[Closed_Date]]-Pipeline_tbl[[#This Row],[Created_Date]])</f>
        <v>18</v>
      </c>
    </row>
    <row r="2384" spans="1:21" ht="15" customHeight="1" x14ac:dyDescent="0.2">
      <c r="A2384" t="s">
        <v>2690</v>
      </c>
      <c r="B2384" t="s">
        <v>227</v>
      </c>
      <c r="C2384" t="s">
        <v>53</v>
      </c>
      <c r="D2384" s="49">
        <v>45781</v>
      </c>
      <c r="E2384" s="49">
        <v>45783</v>
      </c>
      <c r="F2384" s="49">
        <v>45786</v>
      </c>
      <c r="G2384" s="49">
        <v>45792</v>
      </c>
      <c r="H2384" s="49">
        <v>45796</v>
      </c>
      <c r="I2384" s="49">
        <v>45799</v>
      </c>
      <c r="J2384" t="s">
        <v>47</v>
      </c>
      <c r="K2384" s="33">
        <v>5600</v>
      </c>
      <c r="M2384" t="str">
        <f>_xlfn.XLOOKUP(Pipeline_tbl[[#This Row],[Rep_ID]],Dim_Reps!A:A,Dim_Reps!K:K)</f>
        <v>EUR</v>
      </c>
      <c r="N2384" s="33">
        <f>(_xlfn.XLOOKUP(Pipeline_tbl[[#This Row],[Rate_Code_Generalized]],Lookups!A:A,Lookups!B:B))*Pipeline_tbl[[#This Row],[Pipeline_Amount_USD]]</f>
        <v>5600</v>
      </c>
      <c r="O2384" t="str">
        <f>_xlfn.XLOOKUP(Pipeline_tbl[[#This Row],[Rep_ID]],Dim_Reps!A:A,Dim_Reps!B:B)</f>
        <v>Liam Muller</v>
      </c>
      <c r="P2384" t="str">
        <f>_xlfn.XLOOKUP(Pipeline_tbl[[#This Row],[Rep_ID]],Dim_Reps!A:A,Dim_Reps!C:C)</f>
        <v>SDR / Inside Sales Rep</v>
      </c>
      <c r="Q2384" t="str">
        <f>_xlfn.XLOOKUP(Pipeline_tbl[[#This Row],[Rep_ID]],Dim_Reps!A:A,Dim_Reps!D:D)</f>
        <v>Inside Sales</v>
      </c>
      <c r="R2384" t="str">
        <f>_xlfn.XLOOKUP(Pipeline_tbl[[#This Row],[Rep_ID]],Dim_Reps!A:A,Dim_Reps!E:E)</f>
        <v>EMEA</v>
      </c>
      <c r="S2384" t="str">
        <f>_xlfn.XLOOKUP(Pipeline_tbl[[#This Row],[Created_Date]],Dim_Date!A:A,Dim_Date!H:H)</f>
        <v>May 2025</v>
      </c>
      <c r="T2384" t="str">
        <f>IF(Pipeline_tbl[[#This Row],[Closed_Date]]=0,"",(_xlfn.XLOOKUP(Pipeline_tbl[[#This Row],[Closed_Date]],Dim_Date!A:A,Dim_Date!H:H)))</f>
        <v>May 2025</v>
      </c>
      <c r="U2384">
        <f>IF(Pipeline_tbl[[#This Row],[Closed_Date]]=0,"",Pipeline_tbl[[#This Row],[Closed_Date]]-Pipeline_tbl[[#This Row],[Created_Date]])</f>
        <v>18</v>
      </c>
    </row>
    <row r="2385" spans="1:21" ht="15" customHeight="1" x14ac:dyDescent="0.2">
      <c r="A2385" t="s">
        <v>2691</v>
      </c>
      <c r="B2385" t="s">
        <v>227</v>
      </c>
      <c r="C2385" t="s">
        <v>52</v>
      </c>
      <c r="D2385" s="49">
        <v>45789</v>
      </c>
      <c r="E2385" s="49">
        <v>45791</v>
      </c>
      <c r="F2385" s="49">
        <v>45794</v>
      </c>
      <c r="G2385" s="49">
        <v>45799</v>
      </c>
      <c r="H2385" s="49">
        <v>45803</v>
      </c>
      <c r="I2385" s="49">
        <v>45805</v>
      </c>
      <c r="J2385" t="s">
        <v>49</v>
      </c>
      <c r="K2385" s="33">
        <v>3800</v>
      </c>
      <c r="L2385" t="s">
        <v>61</v>
      </c>
      <c r="M2385" t="str">
        <f>_xlfn.XLOOKUP(Pipeline_tbl[[#This Row],[Rep_ID]],Dim_Reps!A:A,Dim_Reps!K:K)</f>
        <v>EUR</v>
      </c>
      <c r="N2385" s="33">
        <f>(_xlfn.XLOOKUP(Pipeline_tbl[[#This Row],[Rate_Code_Generalized]],Lookups!A:A,Lookups!B:B))*Pipeline_tbl[[#This Row],[Pipeline_Amount_USD]]</f>
        <v>3800</v>
      </c>
      <c r="O2385" t="str">
        <f>_xlfn.XLOOKUP(Pipeline_tbl[[#This Row],[Rep_ID]],Dim_Reps!A:A,Dim_Reps!B:B)</f>
        <v>Liam Muller</v>
      </c>
      <c r="P2385" t="str">
        <f>_xlfn.XLOOKUP(Pipeline_tbl[[#This Row],[Rep_ID]],Dim_Reps!A:A,Dim_Reps!C:C)</f>
        <v>SDR / Inside Sales Rep</v>
      </c>
      <c r="Q2385" t="str">
        <f>_xlfn.XLOOKUP(Pipeline_tbl[[#This Row],[Rep_ID]],Dim_Reps!A:A,Dim_Reps!D:D)</f>
        <v>Inside Sales</v>
      </c>
      <c r="R2385" t="str">
        <f>_xlfn.XLOOKUP(Pipeline_tbl[[#This Row],[Rep_ID]],Dim_Reps!A:A,Dim_Reps!E:E)</f>
        <v>EMEA</v>
      </c>
      <c r="S2385" t="str">
        <f>_xlfn.XLOOKUP(Pipeline_tbl[[#This Row],[Created_Date]],Dim_Date!A:A,Dim_Date!H:H)</f>
        <v>May 2025</v>
      </c>
      <c r="T2385" t="str">
        <f>IF(Pipeline_tbl[[#This Row],[Closed_Date]]=0,"",(_xlfn.XLOOKUP(Pipeline_tbl[[#This Row],[Closed_Date]],Dim_Date!A:A,Dim_Date!H:H)))</f>
        <v>May 2025</v>
      </c>
      <c r="U2385">
        <f>IF(Pipeline_tbl[[#This Row],[Closed_Date]]=0,"",Pipeline_tbl[[#This Row],[Closed_Date]]-Pipeline_tbl[[#This Row],[Created_Date]])</f>
        <v>16</v>
      </c>
    </row>
    <row r="2386" spans="1:21" ht="15" customHeight="1" x14ac:dyDescent="0.2">
      <c r="A2386" t="s">
        <v>2692</v>
      </c>
      <c r="B2386" t="s">
        <v>227</v>
      </c>
      <c r="C2386" t="s">
        <v>52</v>
      </c>
      <c r="D2386" s="49">
        <v>45792</v>
      </c>
      <c r="E2386" s="49">
        <v>45794</v>
      </c>
      <c r="F2386" s="49">
        <v>45797</v>
      </c>
      <c r="G2386" s="49">
        <v>45802</v>
      </c>
      <c r="H2386" s="49">
        <v>45806</v>
      </c>
      <c r="I2386" s="49">
        <v>45808</v>
      </c>
      <c r="J2386" t="s">
        <v>47</v>
      </c>
      <c r="K2386" s="33">
        <v>4600</v>
      </c>
      <c r="M2386" t="str">
        <f>_xlfn.XLOOKUP(Pipeline_tbl[[#This Row],[Rep_ID]],Dim_Reps!A:A,Dim_Reps!K:K)</f>
        <v>EUR</v>
      </c>
      <c r="N2386" s="33">
        <f>(_xlfn.XLOOKUP(Pipeline_tbl[[#This Row],[Rate_Code_Generalized]],Lookups!A:A,Lookups!B:B))*Pipeline_tbl[[#This Row],[Pipeline_Amount_USD]]</f>
        <v>4600</v>
      </c>
      <c r="O2386" t="str">
        <f>_xlfn.XLOOKUP(Pipeline_tbl[[#This Row],[Rep_ID]],Dim_Reps!A:A,Dim_Reps!B:B)</f>
        <v>Liam Muller</v>
      </c>
      <c r="P2386" t="str">
        <f>_xlfn.XLOOKUP(Pipeline_tbl[[#This Row],[Rep_ID]],Dim_Reps!A:A,Dim_Reps!C:C)</f>
        <v>SDR / Inside Sales Rep</v>
      </c>
      <c r="Q2386" t="str">
        <f>_xlfn.XLOOKUP(Pipeline_tbl[[#This Row],[Rep_ID]],Dim_Reps!A:A,Dim_Reps!D:D)</f>
        <v>Inside Sales</v>
      </c>
      <c r="R2386" t="str">
        <f>_xlfn.XLOOKUP(Pipeline_tbl[[#This Row],[Rep_ID]],Dim_Reps!A:A,Dim_Reps!E:E)</f>
        <v>EMEA</v>
      </c>
      <c r="S2386" t="str">
        <f>_xlfn.XLOOKUP(Pipeline_tbl[[#This Row],[Created_Date]],Dim_Date!A:A,Dim_Date!H:H)</f>
        <v>May 2025</v>
      </c>
      <c r="T2386" t="str">
        <f>IF(Pipeline_tbl[[#This Row],[Closed_Date]]=0,"",(_xlfn.XLOOKUP(Pipeline_tbl[[#This Row],[Closed_Date]],Dim_Date!A:A,Dim_Date!H:H)))</f>
        <v>May 2025</v>
      </c>
      <c r="U2386">
        <f>IF(Pipeline_tbl[[#This Row],[Closed_Date]]=0,"",Pipeline_tbl[[#This Row],[Closed_Date]]-Pipeline_tbl[[#This Row],[Created_Date]])</f>
        <v>16</v>
      </c>
    </row>
    <row r="2387" spans="1:21" ht="15" customHeight="1" x14ac:dyDescent="0.2">
      <c r="A2387" t="s">
        <v>2693</v>
      </c>
      <c r="B2387" t="s">
        <v>227</v>
      </c>
      <c r="C2387" t="s">
        <v>53</v>
      </c>
      <c r="D2387" s="49">
        <v>45783</v>
      </c>
      <c r="E2387" s="49">
        <v>45785</v>
      </c>
      <c r="F2387" s="49">
        <v>45788</v>
      </c>
      <c r="G2387" s="49">
        <v>45793</v>
      </c>
      <c r="H2387" s="49">
        <v>45797</v>
      </c>
      <c r="I2387" s="49">
        <v>45799</v>
      </c>
      <c r="J2387" t="s">
        <v>47</v>
      </c>
      <c r="K2387" s="33">
        <v>5300</v>
      </c>
      <c r="M2387" t="str">
        <f>_xlfn.XLOOKUP(Pipeline_tbl[[#This Row],[Rep_ID]],Dim_Reps!A:A,Dim_Reps!K:K)</f>
        <v>EUR</v>
      </c>
      <c r="N2387" s="33">
        <f>(_xlfn.XLOOKUP(Pipeline_tbl[[#This Row],[Rate_Code_Generalized]],Lookups!A:A,Lookups!B:B))*Pipeline_tbl[[#This Row],[Pipeline_Amount_USD]]</f>
        <v>5300</v>
      </c>
      <c r="O2387" t="str">
        <f>_xlfn.XLOOKUP(Pipeline_tbl[[#This Row],[Rep_ID]],Dim_Reps!A:A,Dim_Reps!B:B)</f>
        <v>Liam Muller</v>
      </c>
      <c r="P2387" t="str">
        <f>_xlfn.XLOOKUP(Pipeline_tbl[[#This Row],[Rep_ID]],Dim_Reps!A:A,Dim_Reps!C:C)</f>
        <v>SDR / Inside Sales Rep</v>
      </c>
      <c r="Q2387" t="str">
        <f>_xlfn.XLOOKUP(Pipeline_tbl[[#This Row],[Rep_ID]],Dim_Reps!A:A,Dim_Reps!D:D)</f>
        <v>Inside Sales</v>
      </c>
      <c r="R2387" t="str">
        <f>_xlfn.XLOOKUP(Pipeline_tbl[[#This Row],[Rep_ID]],Dim_Reps!A:A,Dim_Reps!E:E)</f>
        <v>EMEA</v>
      </c>
      <c r="S2387" t="str">
        <f>_xlfn.XLOOKUP(Pipeline_tbl[[#This Row],[Created_Date]],Dim_Date!A:A,Dim_Date!H:H)</f>
        <v>May 2025</v>
      </c>
      <c r="T2387" t="str">
        <f>IF(Pipeline_tbl[[#This Row],[Closed_Date]]=0,"",(_xlfn.XLOOKUP(Pipeline_tbl[[#This Row],[Closed_Date]],Dim_Date!A:A,Dim_Date!H:H)))</f>
        <v>May 2025</v>
      </c>
      <c r="U2387">
        <f>IF(Pipeline_tbl[[#This Row],[Closed_Date]]=0,"",Pipeline_tbl[[#This Row],[Closed_Date]]-Pipeline_tbl[[#This Row],[Created_Date]])</f>
        <v>16</v>
      </c>
    </row>
    <row r="2388" spans="1:21" ht="15" customHeight="1" x14ac:dyDescent="0.2">
      <c r="A2388" t="s">
        <v>2694</v>
      </c>
      <c r="B2388" t="s">
        <v>227</v>
      </c>
      <c r="C2388" t="s">
        <v>52</v>
      </c>
      <c r="D2388" s="49">
        <v>45800</v>
      </c>
      <c r="E2388" s="49">
        <v>45800</v>
      </c>
      <c r="F2388" s="49">
        <v>45802</v>
      </c>
      <c r="G2388" s="49">
        <v>45803</v>
      </c>
      <c r="I2388" s="49">
        <v>45805</v>
      </c>
      <c r="J2388" t="s">
        <v>49</v>
      </c>
      <c r="K2388" s="33">
        <v>2600</v>
      </c>
      <c r="L2388" t="s">
        <v>62</v>
      </c>
      <c r="M2388" t="str">
        <f>_xlfn.XLOOKUP(Pipeline_tbl[[#This Row],[Rep_ID]],Dim_Reps!A:A,Dim_Reps!K:K)</f>
        <v>EUR</v>
      </c>
      <c r="N2388" s="33">
        <f>(_xlfn.XLOOKUP(Pipeline_tbl[[#This Row],[Rate_Code_Generalized]],Lookups!A:A,Lookups!B:B))*Pipeline_tbl[[#This Row],[Pipeline_Amount_USD]]</f>
        <v>2600</v>
      </c>
      <c r="O2388" t="str">
        <f>_xlfn.XLOOKUP(Pipeline_tbl[[#This Row],[Rep_ID]],Dim_Reps!A:A,Dim_Reps!B:B)</f>
        <v>Liam Muller</v>
      </c>
      <c r="P2388" t="str">
        <f>_xlfn.XLOOKUP(Pipeline_tbl[[#This Row],[Rep_ID]],Dim_Reps!A:A,Dim_Reps!C:C)</f>
        <v>SDR / Inside Sales Rep</v>
      </c>
      <c r="Q2388" t="str">
        <f>_xlfn.XLOOKUP(Pipeline_tbl[[#This Row],[Rep_ID]],Dim_Reps!A:A,Dim_Reps!D:D)</f>
        <v>Inside Sales</v>
      </c>
      <c r="R2388" t="str">
        <f>_xlfn.XLOOKUP(Pipeline_tbl[[#This Row],[Rep_ID]],Dim_Reps!A:A,Dim_Reps!E:E)</f>
        <v>EMEA</v>
      </c>
      <c r="S2388" t="str">
        <f>_xlfn.XLOOKUP(Pipeline_tbl[[#This Row],[Created_Date]],Dim_Date!A:A,Dim_Date!H:H)</f>
        <v>May 2025</v>
      </c>
      <c r="T2388" t="str">
        <f>IF(Pipeline_tbl[[#This Row],[Closed_Date]]=0,"",(_xlfn.XLOOKUP(Pipeline_tbl[[#This Row],[Closed_Date]],Dim_Date!A:A,Dim_Date!H:H)))</f>
        <v>May 2025</v>
      </c>
      <c r="U2388">
        <f>IF(Pipeline_tbl[[#This Row],[Closed_Date]]=0,"",Pipeline_tbl[[#This Row],[Closed_Date]]-Pipeline_tbl[[#This Row],[Created_Date]])</f>
        <v>5</v>
      </c>
    </row>
    <row r="2389" spans="1:21" ht="15" customHeight="1" x14ac:dyDescent="0.2">
      <c r="A2389" t="s">
        <v>2695</v>
      </c>
      <c r="B2389" t="s">
        <v>227</v>
      </c>
      <c r="C2389" t="s">
        <v>52</v>
      </c>
      <c r="D2389" s="49">
        <v>45787</v>
      </c>
      <c r="E2389" s="49">
        <v>45789</v>
      </c>
      <c r="F2389" s="49">
        <v>45793</v>
      </c>
      <c r="G2389" s="49">
        <v>45798</v>
      </c>
      <c r="I2389" s="49">
        <v>45806</v>
      </c>
      <c r="J2389" t="s">
        <v>49</v>
      </c>
      <c r="K2389" s="33">
        <v>2700</v>
      </c>
      <c r="L2389" t="s">
        <v>61</v>
      </c>
      <c r="M2389" t="str">
        <f>_xlfn.XLOOKUP(Pipeline_tbl[[#This Row],[Rep_ID]],Dim_Reps!A:A,Dim_Reps!K:K)</f>
        <v>EUR</v>
      </c>
      <c r="N2389" s="33">
        <f>(_xlfn.XLOOKUP(Pipeline_tbl[[#This Row],[Rate_Code_Generalized]],Lookups!A:A,Lookups!B:B))*Pipeline_tbl[[#This Row],[Pipeline_Amount_USD]]</f>
        <v>2700</v>
      </c>
      <c r="O2389" t="str">
        <f>_xlfn.XLOOKUP(Pipeline_tbl[[#This Row],[Rep_ID]],Dim_Reps!A:A,Dim_Reps!B:B)</f>
        <v>Liam Muller</v>
      </c>
      <c r="P2389" t="str">
        <f>_xlfn.XLOOKUP(Pipeline_tbl[[#This Row],[Rep_ID]],Dim_Reps!A:A,Dim_Reps!C:C)</f>
        <v>SDR / Inside Sales Rep</v>
      </c>
      <c r="Q2389" t="str">
        <f>_xlfn.XLOOKUP(Pipeline_tbl[[#This Row],[Rep_ID]],Dim_Reps!A:A,Dim_Reps!D:D)</f>
        <v>Inside Sales</v>
      </c>
      <c r="R2389" t="str">
        <f>_xlfn.XLOOKUP(Pipeline_tbl[[#This Row],[Rep_ID]],Dim_Reps!A:A,Dim_Reps!E:E)</f>
        <v>EMEA</v>
      </c>
      <c r="S2389" t="str">
        <f>_xlfn.XLOOKUP(Pipeline_tbl[[#This Row],[Created_Date]],Dim_Date!A:A,Dim_Date!H:H)</f>
        <v>May 2025</v>
      </c>
      <c r="T2389" t="str">
        <f>IF(Pipeline_tbl[[#This Row],[Closed_Date]]=0,"",(_xlfn.XLOOKUP(Pipeline_tbl[[#This Row],[Closed_Date]],Dim_Date!A:A,Dim_Date!H:H)))</f>
        <v>May 2025</v>
      </c>
      <c r="U2389">
        <f>IF(Pipeline_tbl[[#This Row],[Closed_Date]]=0,"",Pipeline_tbl[[#This Row],[Closed_Date]]-Pipeline_tbl[[#This Row],[Created_Date]])</f>
        <v>19</v>
      </c>
    </row>
    <row r="2390" spans="1:21" ht="15" customHeight="1" x14ac:dyDescent="0.2">
      <c r="A2390" t="s">
        <v>2696</v>
      </c>
      <c r="B2390" t="s">
        <v>191</v>
      </c>
      <c r="C2390" t="s">
        <v>52</v>
      </c>
      <c r="D2390" s="49">
        <v>45783</v>
      </c>
      <c r="E2390" s="49">
        <v>45785</v>
      </c>
      <c r="F2390" s="49">
        <v>45789</v>
      </c>
      <c r="I2390" s="49">
        <v>45802</v>
      </c>
      <c r="J2390" t="s">
        <v>49</v>
      </c>
      <c r="K2390" s="33">
        <v>30300</v>
      </c>
      <c r="L2390" t="s">
        <v>61</v>
      </c>
      <c r="M2390" t="str">
        <f>_xlfn.XLOOKUP(Pipeline_tbl[[#This Row],[Rep_ID]],Dim_Reps!A:A,Dim_Reps!K:K)</f>
        <v>USD</v>
      </c>
      <c r="N2390" s="33">
        <f>(_xlfn.XLOOKUP(Pipeline_tbl[[#This Row],[Rate_Code_Generalized]],Lookups!A:A,Lookups!B:B))*Pipeline_tbl[[#This Row],[Pipeline_Amount_USD]]</f>
        <v>35278.289999999994</v>
      </c>
      <c r="O2390" t="str">
        <f>_xlfn.XLOOKUP(Pipeline_tbl[[#This Row],[Rep_ID]],Dim_Reps!A:A,Dim_Reps!B:B)</f>
        <v>Zara Duarte</v>
      </c>
      <c r="P2390" t="str">
        <f>_xlfn.XLOOKUP(Pipeline_tbl[[#This Row],[Rep_ID]],Dim_Reps!A:A,Dim_Reps!C:C)</f>
        <v>Enterprise AE</v>
      </c>
      <c r="Q2390" t="str">
        <f>_xlfn.XLOOKUP(Pipeline_tbl[[#This Row],[Rep_ID]],Dim_Reps!A:A,Dim_Reps!D:D)</f>
        <v>Enterprise</v>
      </c>
      <c r="R2390" t="str">
        <f>_xlfn.XLOOKUP(Pipeline_tbl[[#This Row],[Rep_ID]],Dim_Reps!A:A,Dim_Reps!E:E)</f>
        <v>NAMER</v>
      </c>
      <c r="S2390" t="str">
        <f>_xlfn.XLOOKUP(Pipeline_tbl[[#This Row],[Created_Date]],Dim_Date!A:A,Dim_Date!H:H)</f>
        <v>May 2025</v>
      </c>
      <c r="T2390" t="str">
        <f>IF(Pipeline_tbl[[#This Row],[Closed_Date]]=0,"",(_xlfn.XLOOKUP(Pipeline_tbl[[#This Row],[Closed_Date]],Dim_Date!A:A,Dim_Date!H:H)))</f>
        <v>May 2025</v>
      </c>
      <c r="U2390">
        <f>IF(Pipeline_tbl[[#This Row],[Closed_Date]]=0,"",Pipeline_tbl[[#This Row],[Closed_Date]]-Pipeline_tbl[[#This Row],[Created_Date]])</f>
        <v>19</v>
      </c>
    </row>
    <row r="2391" spans="1:21" ht="15" customHeight="1" x14ac:dyDescent="0.2">
      <c r="A2391" t="s">
        <v>2697</v>
      </c>
      <c r="B2391" t="s">
        <v>229</v>
      </c>
      <c r="C2391" t="s">
        <v>55</v>
      </c>
      <c r="D2391" s="49">
        <v>45790</v>
      </c>
      <c r="E2391" s="49">
        <v>45791</v>
      </c>
      <c r="F2391" s="49">
        <v>45793</v>
      </c>
      <c r="G2391" s="49">
        <v>45797</v>
      </c>
      <c r="H2391" s="49">
        <v>45799</v>
      </c>
      <c r="I2391" s="49">
        <v>45801</v>
      </c>
      <c r="J2391" t="s">
        <v>47</v>
      </c>
      <c r="K2391" s="33">
        <v>4900</v>
      </c>
      <c r="M2391" t="str">
        <f>_xlfn.XLOOKUP(Pipeline_tbl[[#This Row],[Rep_ID]],Dim_Reps!A:A,Dim_Reps!K:K)</f>
        <v>USD</v>
      </c>
      <c r="N2391" s="33">
        <f>(_xlfn.XLOOKUP(Pipeline_tbl[[#This Row],[Rate_Code_Generalized]],Lookups!A:A,Lookups!B:B))*Pipeline_tbl[[#This Row],[Pipeline_Amount_USD]]</f>
        <v>5705.07</v>
      </c>
      <c r="O2391" t="str">
        <f>_xlfn.XLOOKUP(Pipeline_tbl[[#This Row],[Rep_ID]],Dim_Reps!A:A,Dim_Reps!B:B)</f>
        <v>Liam Castro</v>
      </c>
      <c r="P2391" t="str">
        <f>_xlfn.XLOOKUP(Pipeline_tbl[[#This Row],[Rep_ID]],Dim_Reps!A:A,Dim_Reps!C:C)</f>
        <v>SDR / Inside Sales Rep</v>
      </c>
      <c r="Q2391" t="str">
        <f>_xlfn.XLOOKUP(Pipeline_tbl[[#This Row],[Rep_ID]],Dim_Reps!A:A,Dim_Reps!D:D)</f>
        <v>Inside Sales</v>
      </c>
      <c r="R2391" t="str">
        <f>_xlfn.XLOOKUP(Pipeline_tbl[[#This Row],[Rep_ID]],Dim_Reps!A:A,Dim_Reps!E:E)</f>
        <v>NAMER</v>
      </c>
      <c r="S2391" t="str">
        <f>_xlfn.XLOOKUP(Pipeline_tbl[[#This Row],[Created_Date]],Dim_Date!A:A,Dim_Date!H:H)</f>
        <v>May 2025</v>
      </c>
      <c r="T2391" t="str">
        <f>IF(Pipeline_tbl[[#This Row],[Closed_Date]]=0,"",(_xlfn.XLOOKUP(Pipeline_tbl[[#This Row],[Closed_Date]],Dim_Date!A:A,Dim_Date!H:H)))</f>
        <v>May 2025</v>
      </c>
      <c r="U2391">
        <f>IF(Pipeline_tbl[[#This Row],[Closed_Date]]=0,"",Pipeline_tbl[[#This Row],[Closed_Date]]-Pipeline_tbl[[#This Row],[Created_Date]])</f>
        <v>11</v>
      </c>
    </row>
    <row r="2392" spans="1:21" ht="15" customHeight="1" x14ac:dyDescent="0.2">
      <c r="A2392" t="s">
        <v>2698</v>
      </c>
      <c r="B2392" t="s">
        <v>229</v>
      </c>
      <c r="C2392" t="s">
        <v>53</v>
      </c>
      <c r="D2392" s="49">
        <v>45780</v>
      </c>
      <c r="E2392" s="49">
        <v>45782</v>
      </c>
      <c r="F2392" s="49">
        <v>45785</v>
      </c>
      <c r="I2392" s="49">
        <v>45798</v>
      </c>
      <c r="J2392" t="s">
        <v>49</v>
      </c>
      <c r="K2392" s="33">
        <v>2100</v>
      </c>
      <c r="L2392" t="s">
        <v>63</v>
      </c>
      <c r="M2392" t="str">
        <f>_xlfn.XLOOKUP(Pipeline_tbl[[#This Row],[Rep_ID]],Dim_Reps!A:A,Dim_Reps!K:K)</f>
        <v>USD</v>
      </c>
      <c r="N2392" s="33">
        <f>(_xlfn.XLOOKUP(Pipeline_tbl[[#This Row],[Rate_Code_Generalized]],Lookups!A:A,Lookups!B:B))*Pipeline_tbl[[#This Row],[Pipeline_Amount_USD]]</f>
        <v>2445.0299999999997</v>
      </c>
      <c r="O2392" t="str">
        <f>_xlfn.XLOOKUP(Pipeline_tbl[[#This Row],[Rep_ID]],Dim_Reps!A:A,Dim_Reps!B:B)</f>
        <v>Liam Castro</v>
      </c>
      <c r="P2392" t="str">
        <f>_xlfn.XLOOKUP(Pipeline_tbl[[#This Row],[Rep_ID]],Dim_Reps!A:A,Dim_Reps!C:C)</f>
        <v>SDR / Inside Sales Rep</v>
      </c>
      <c r="Q2392" t="str">
        <f>_xlfn.XLOOKUP(Pipeline_tbl[[#This Row],[Rep_ID]],Dim_Reps!A:A,Dim_Reps!D:D)</f>
        <v>Inside Sales</v>
      </c>
      <c r="R2392" t="str">
        <f>_xlfn.XLOOKUP(Pipeline_tbl[[#This Row],[Rep_ID]],Dim_Reps!A:A,Dim_Reps!E:E)</f>
        <v>NAMER</v>
      </c>
      <c r="S2392" t="str">
        <f>_xlfn.XLOOKUP(Pipeline_tbl[[#This Row],[Created_Date]],Dim_Date!A:A,Dim_Date!H:H)</f>
        <v>May 2025</v>
      </c>
      <c r="T2392" t="str">
        <f>IF(Pipeline_tbl[[#This Row],[Closed_Date]]=0,"",(_xlfn.XLOOKUP(Pipeline_tbl[[#This Row],[Closed_Date]],Dim_Date!A:A,Dim_Date!H:H)))</f>
        <v>May 2025</v>
      </c>
      <c r="U2392">
        <f>IF(Pipeline_tbl[[#This Row],[Closed_Date]]=0,"",Pipeline_tbl[[#This Row],[Closed_Date]]-Pipeline_tbl[[#This Row],[Created_Date]])</f>
        <v>18</v>
      </c>
    </row>
    <row r="2393" spans="1:21" ht="15" customHeight="1" x14ac:dyDescent="0.2">
      <c r="A2393" t="s">
        <v>2699</v>
      </c>
      <c r="B2393" t="s">
        <v>229</v>
      </c>
      <c r="C2393" t="s">
        <v>52</v>
      </c>
      <c r="D2393" s="49">
        <v>45787</v>
      </c>
      <c r="E2393" s="49">
        <v>45789</v>
      </c>
      <c r="F2393" s="49">
        <v>45793</v>
      </c>
      <c r="G2393" s="49">
        <v>45800</v>
      </c>
      <c r="H2393" s="49">
        <v>45805</v>
      </c>
      <c r="I2393" s="49">
        <v>45808</v>
      </c>
      <c r="J2393" t="s">
        <v>47</v>
      </c>
      <c r="K2393" s="33">
        <v>2600</v>
      </c>
      <c r="M2393" t="str">
        <f>_xlfn.XLOOKUP(Pipeline_tbl[[#This Row],[Rep_ID]],Dim_Reps!A:A,Dim_Reps!K:K)</f>
        <v>USD</v>
      </c>
      <c r="N2393" s="33">
        <f>(_xlfn.XLOOKUP(Pipeline_tbl[[#This Row],[Rate_Code_Generalized]],Lookups!A:A,Lookups!B:B))*Pipeline_tbl[[#This Row],[Pipeline_Amount_USD]]</f>
        <v>3027.18</v>
      </c>
      <c r="O2393" t="str">
        <f>_xlfn.XLOOKUP(Pipeline_tbl[[#This Row],[Rep_ID]],Dim_Reps!A:A,Dim_Reps!B:B)</f>
        <v>Liam Castro</v>
      </c>
      <c r="P2393" t="str">
        <f>_xlfn.XLOOKUP(Pipeline_tbl[[#This Row],[Rep_ID]],Dim_Reps!A:A,Dim_Reps!C:C)</f>
        <v>SDR / Inside Sales Rep</v>
      </c>
      <c r="Q2393" t="str">
        <f>_xlfn.XLOOKUP(Pipeline_tbl[[#This Row],[Rep_ID]],Dim_Reps!A:A,Dim_Reps!D:D)</f>
        <v>Inside Sales</v>
      </c>
      <c r="R2393" t="str">
        <f>_xlfn.XLOOKUP(Pipeline_tbl[[#This Row],[Rep_ID]],Dim_Reps!A:A,Dim_Reps!E:E)</f>
        <v>NAMER</v>
      </c>
      <c r="S2393" t="str">
        <f>_xlfn.XLOOKUP(Pipeline_tbl[[#This Row],[Created_Date]],Dim_Date!A:A,Dim_Date!H:H)</f>
        <v>May 2025</v>
      </c>
      <c r="T2393" t="str">
        <f>IF(Pipeline_tbl[[#This Row],[Closed_Date]]=0,"",(_xlfn.XLOOKUP(Pipeline_tbl[[#This Row],[Closed_Date]],Dim_Date!A:A,Dim_Date!H:H)))</f>
        <v>May 2025</v>
      </c>
      <c r="U2393">
        <f>IF(Pipeline_tbl[[#This Row],[Closed_Date]]=0,"",Pipeline_tbl[[#This Row],[Closed_Date]]-Pipeline_tbl[[#This Row],[Created_Date]])</f>
        <v>21</v>
      </c>
    </row>
    <row r="2394" spans="1:21" ht="15" customHeight="1" x14ac:dyDescent="0.2">
      <c r="A2394" t="s">
        <v>2700</v>
      </c>
      <c r="B2394" t="s">
        <v>231</v>
      </c>
      <c r="C2394" t="s">
        <v>52</v>
      </c>
      <c r="D2394" s="49">
        <v>45782</v>
      </c>
      <c r="E2394" s="49">
        <v>45784</v>
      </c>
      <c r="F2394" s="49">
        <v>45788</v>
      </c>
      <c r="G2394" s="49">
        <v>45795</v>
      </c>
      <c r="H2394" s="49">
        <v>45800</v>
      </c>
      <c r="I2394" s="49">
        <v>45803</v>
      </c>
      <c r="J2394" t="s">
        <v>47</v>
      </c>
      <c r="K2394" s="33">
        <v>5400</v>
      </c>
      <c r="M2394" t="str">
        <f>_xlfn.XLOOKUP(Pipeline_tbl[[#This Row],[Rep_ID]],Dim_Reps!A:A,Dim_Reps!K:K)</f>
        <v>MXN</v>
      </c>
      <c r="N2394" s="33">
        <f>(_xlfn.XLOOKUP(Pipeline_tbl[[#This Row],[Rate_Code_Generalized]],Lookups!A:A,Lookups!B:B))*Pipeline_tbl[[#This Row],[Pipeline_Amount_USD]]</f>
        <v>106556.58</v>
      </c>
      <c r="O2394" t="str">
        <f>_xlfn.XLOOKUP(Pipeline_tbl[[#This Row],[Rep_ID]],Dim_Reps!A:A,Dim_Reps!B:B)</f>
        <v>Ben Silva</v>
      </c>
      <c r="P2394" t="str">
        <f>_xlfn.XLOOKUP(Pipeline_tbl[[#This Row],[Rep_ID]],Dim_Reps!A:A,Dim_Reps!C:C)</f>
        <v>SDR / Inside Sales Rep</v>
      </c>
      <c r="Q2394" t="str">
        <f>_xlfn.XLOOKUP(Pipeline_tbl[[#This Row],[Rep_ID]],Dim_Reps!A:A,Dim_Reps!D:D)</f>
        <v>Inside Sales</v>
      </c>
      <c r="R2394" t="str">
        <f>_xlfn.XLOOKUP(Pipeline_tbl[[#This Row],[Rep_ID]],Dim_Reps!A:A,Dim_Reps!E:E)</f>
        <v>LATAM</v>
      </c>
      <c r="S2394" t="str">
        <f>_xlfn.XLOOKUP(Pipeline_tbl[[#This Row],[Created_Date]],Dim_Date!A:A,Dim_Date!H:H)</f>
        <v>May 2025</v>
      </c>
      <c r="T2394" t="str">
        <f>IF(Pipeline_tbl[[#This Row],[Closed_Date]]=0,"",(_xlfn.XLOOKUP(Pipeline_tbl[[#This Row],[Closed_Date]],Dim_Date!A:A,Dim_Date!H:H)))</f>
        <v>May 2025</v>
      </c>
      <c r="U2394">
        <f>IF(Pipeline_tbl[[#This Row],[Closed_Date]]=0,"",Pipeline_tbl[[#This Row],[Closed_Date]]-Pipeline_tbl[[#This Row],[Created_Date]])</f>
        <v>21</v>
      </c>
    </row>
    <row r="2395" spans="1:21" ht="15" customHeight="1" x14ac:dyDescent="0.2">
      <c r="A2395" t="s">
        <v>2701</v>
      </c>
      <c r="B2395" t="s">
        <v>231</v>
      </c>
      <c r="C2395" t="s">
        <v>56</v>
      </c>
      <c r="D2395" s="49">
        <v>45790</v>
      </c>
      <c r="E2395" s="49">
        <v>45792</v>
      </c>
      <c r="F2395" s="49">
        <v>45795</v>
      </c>
      <c r="G2395" s="49">
        <v>45799</v>
      </c>
      <c r="I2395" s="49">
        <v>45805</v>
      </c>
      <c r="J2395" t="s">
        <v>49</v>
      </c>
      <c r="K2395" s="33">
        <v>1900</v>
      </c>
      <c r="L2395" t="s">
        <v>62</v>
      </c>
      <c r="M2395" t="str">
        <f>_xlfn.XLOOKUP(Pipeline_tbl[[#This Row],[Rep_ID]],Dim_Reps!A:A,Dim_Reps!K:K)</f>
        <v>MXN</v>
      </c>
      <c r="N2395" s="33">
        <f>(_xlfn.XLOOKUP(Pipeline_tbl[[#This Row],[Rate_Code_Generalized]],Lookups!A:A,Lookups!B:B))*Pipeline_tbl[[#This Row],[Pipeline_Amount_USD]]</f>
        <v>37492.130000000005</v>
      </c>
      <c r="O2395" t="str">
        <f>_xlfn.XLOOKUP(Pipeline_tbl[[#This Row],[Rep_ID]],Dim_Reps!A:A,Dim_Reps!B:B)</f>
        <v>Ben Silva</v>
      </c>
      <c r="P2395" t="str">
        <f>_xlfn.XLOOKUP(Pipeline_tbl[[#This Row],[Rep_ID]],Dim_Reps!A:A,Dim_Reps!C:C)</f>
        <v>SDR / Inside Sales Rep</v>
      </c>
      <c r="Q2395" t="str">
        <f>_xlfn.XLOOKUP(Pipeline_tbl[[#This Row],[Rep_ID]],Dim_Reps!A:A,Dim_Reps!D:D)</f>
        <v>Inside Sales</v>
      </c>
      <c r="R2395" t="str">
        <f>_xlfn.XLOOKUP(Pipeline_tbl[[#This Row],[Rep_ID]],Dim_Reps!A:A,Dim_Reps!E:E)</f>
        <v>LATAM</v>
      </c>
      <c r="S2395" t="str">
        <f>_xlfn.XLOOKUP(Pipeline_tbl[[#This Row],[Created_Date]],Dim_Date!A:A,Dim_Date!H:H)</f>
        <v>May 2025</v>
      </c>
      <c r="T2395" t="str">
        <f>IF(Pipeline_tbl[[#This Row],[Closed_Date]]=0,"",(_xlfn.XLOOKUP(Pipeline_tbl[[#This Row],[Closed_Date]],Dim_Date!A:A,Dim_Date!H:H)))</f>
        <v>May 2025</v>
      </c>
      <c r="U2395">
        <f>IF(Pipeline_tbl[[#This Row],[Closed_Date]]=0,"",Pipeline_tbl[[#This Row],[Closed_Date]]-Pipeline_tbl[[#This Row],[Created_Date]])</f>
        <v>15</v>
      </c>
    </row>
    <row r="2396" spans="1:21" ht="15" customHeight="1" x14ac:dyDescent="0.2">
      <c r="A2396" t="s">
        <v>2702</v>
      </c>
      <c r="B2396" t="s">
        <v>231</v>
      </c>
      <c r="C2396" t="s">
        <v>53</v>
      </c>
      <c r="D2396" s="49">
        <v>45780</v>
      </c>
      <c r="E2396" s="49">
        <v>45780</v>
      </c>
      <c r="F2396" s="49">
        <v>45782</v>
      </c>
      <c r="I2396" s="49">
        <v>45785</v>
      </c>
      <c r="J2396" t="s">
        <v>49</v>
      </c>
      <c r="K2396" s="33">
        <v>4900</v>
      </c>
      <c r="L2396" t="s">
        <v>61</v>
      </c>
      <c r="M2396" t="str">
        <f>_xlfn.XLOOKUP(Pipeline_tbl[[#This Row],[Rep_ID]],Dim_Reps!A:A,Dim_Reps!K:K)</f>
        <v>MXN</v>
      </c>
      <c r="N2396" s="33">
        <f>(_xlfn.XLOOKUP(Pipeline_tbl[[#This Row],[Rate_Code_Generalized]],Lookups!A:A,Lookups!B:B))*Pipeline_tbl[[#This Row],[Pipeline_Amount_USD]]</f>
        <v>96690.23000000001</v>
      </c>
      <c r="O2396" t="str">
        <f>_xlfn.XLOOKUP(Pipeline_tbl[[#This Row],[Rep_ID]],Dim_Reps!A:A,Dim_Reps!B:B)</f>
        <v>Ben Silva</v>
      </c>
      <c r="P2396" t="str">
        <f>_xlfn.XLOOKUP(Pipeline_tbl[[#This Row],[Rep_ID]],Dim_Reps!A:A,Dim_Reps!C:C)</f>
        <v>SDR / Inside Sales Rep</v>
      </c>
      <c r="Q2396" t="str">
        <f>_xlfn.XLOOKUP(Pipeline_tbl[[#This Row],[Rep_ID]],Dim_Reps!A:A,Dim_Reps!D:D)</f>
        <v>Inside Sales</v>
      </c>
      <c r="R2396" t="str">
        <f>_xlfn.XLOOKUP(Pipeline_tbl[[#This Row],[Rep_ID]],Dim_Reps!A:A,Dim_Reps!E:E)</f>
        <v>LATAM</v>
      </c>
      <c r="S2396" t="str">
        <f>_xlfn.XLOOKUP(Pipeline_tbl[[#This Row],[Created_Date]],Dim_Date!A:A,Dim_Date!H:H)</f>
        <v>May 2025</v>
      </c>
      <c r="T2396" t="str">
        <f>IF(Pipeline_tbl[[#This Row],[Closed_Date]]=0,"",(_xlfn.XLOOKUP(Pipeline_tbl[[#This Row],[Closed_Date]],Dim_Date!A:A,Dim_Date!H:H)))</f>
        <v>May 2025</v>
      </c>
      <c r="U2396">
        <f>IF(Pipeline_tbl[[#This Row],[Closed_Date]]=0,"",Pipeline_tbl[[#This Row],[Closed_Date]]-Pipeline_tbl[[#This Row],[Created_Date]])</f>
        <v>5</v>
      </c>
    </row>
    <row r="2397" spans="1:21" ht="15" customHeight="1" x14ac:dyDescent="0.2">
      <c r="A2397" t="s">
        <v>2703</v>
      </c>
      <c r="B2397" t="s">
        <v>231</v>
      </c>
      <c r="C2397" t="s">
        <v>54</v>
      </c>
      <c r="D2397" s="49">
        <v>45779</v>
      </c>
      <c r="E2397" s="49">
        <v>45781</v>
      </c>
      <c r="F2397" s="49">
        <v>45785</v>
      </c>
      <c r="G2397" s="49">
        <v>45791</v>
      </c>
      <c r="I2397" s="49">
        <v>45799</v>
      </c>
      <c r="J2397" t="s">
        <v>49</v>
      </c>
      <c r="K2397" s="33">
        <v>6000</v>
      </c>
      <c r="L2397" t="s">
        <v>60</v>
      </c>
      <c r="M2397" t="str">
        <f>_xlfn.XLOOKUP(Pipeline_tbl[[#This Row],[Rep_ID]],Dim_Reps!A:A,Dim_Reps!K:K)</f>
        <v>MXN</v>
      </c>
      <c r="N2397" s="33">
        <f>(_xlfn.XLOOKUP(Pipeline_tbl[[#This Row],[Rate_Code_Generalized]],Lookups!A:A,Lookups!B:B))*Pipeline_tbl[[#This Row],[Pipeline_Amount_USD]]</f>
        <v>118396.20000000001</v>
      </c>
      <c r="O2397" t="str">
        <f>_xlfn.XLOOKUP(Pipeline_tbl[[#This Row],[Rep_ID]],Dim_Reps!A:A,Dim_Reps!B:B)</f>
        <v>Ben Silva</v>
      </c>
      <c r="P2397" t="str">
        <f>_xlfn.XLOOKUP(Pipeline_tbl[[#This Row],[Rep_ID]],Dim_Reps!A:A,Dim_Reps!C:C)</f>
        <v>SDR / Inside Sales Rep</v>
      </c>
      <c r="Q2397" t="str">
        <f>_xlfn.XLOOKUP(Pipeline_tbl[[#This Row],[Rep_ID]],Dim_Reps!A:A,Dim_Reps!D:D)</f>
        <v>Inside Sales</v>
      </c>
      <c r="R2397" t="str">
        <f>_xlfn.XLOOKUP(Pipeline_tbl[[#This Row],[Rep_ID]],Dim_Reps!A:A,Dim_Reps!E:E)</f>
        <v>LATAM</v>
      </c>
      <c r="S2397" t="str">
        <f>_xlfn.XLOOKUP(Pipeline_tbl[[#This Row],[Created_Date]],Dim_Date!A:A,Dim_Date!H:H)</f>
        <v>May 2025</v>
      </c>
      <c r="T2397" t="str">
        <f>IF(Pipeline_tbl[[#This Row],[Closed_Date]]=0,"",(_xlfn.XLOOKUP(Pipeline_tbl[[#This Row],[Closed_Date]],Dim_Date!A:A,Dim_Date!H:H)))</f>
        <v>May 2025</v>
      </c>
      <c r="U2397">
        <f>IF(Pipeline_tbl[[#This Row],[Closed_Date]]=0,"",Pipeline_tbl[[#This Row],[Closed_Date]]-Pipeline_tbl[[#This Row],[Created_Date]])</f>
        <v>20</v>
      </c>
    </row>
    <row r="2398" spans="1:21" ht="15" customHeight="1" x14ac:dyDescent="0.2">
      <c r="A2398" t="s">
        <v>2704</v>
      </c>
      <c r="B2398" t="s">
        <v>231</v>
      </c>
      <c r="C2398" t="s">
        <v>52</v>
      </c>
      <c r="D2398" s="49">
        <v>45791</v>
      </c>
      <c r="E2398" s="49">
        <v>45793</v>
      </c>
      <c r="F2398" s="49">
        <v>45796</v>
      </c>
      <c r="G2398" s="49">
        <v>45801</v>
      </c>
      <c r="H2398" s="49">
        <v>45805</v>
      </c>
      <c r="I2398" s="49">
        <v>45808</v>
      </c>
      <c r="J2398" t="s">
        <v>47</v>
      </c>
      <c r="K2398" s="33">
        <v>5000</v>
      </c>
      <c r="M2398" t="str">
        <f>_xlfn.XLOOKUP(Pipeline_tbl[[#This Row],[Rep_ID]],Dim_Reps!A:A,Dim_Reps!K:K)</f>
        <v>MXN</v>
      </c>
      <c r="N2398" s="33">
        <f>(_xlfn.XLOOKUP(Pipeline_tbl[[#This Row],[Rate_Code_Generalized]],Lookups!A:A,Lookups!B:B))*Pipeline_tbl[[#This Row],[Pipeline_Amount_USD]]</f>
        <v>98663.5</v>
      </c>
      <c r="O2398" t="str">
        <f>_xlfn.XLOOKUP(Pipeline_tbl[[#This Row],[Rep_ID]],Dim_Reps!A:A,Dim_Reps!B:B)</f>
        <v>Ben Silva</v>
      </c>
      <c r="P2398" t="str">
        <f>_xlfn.XLOOKUP(Pipeline_tbl[[#This Row],[Rep_ID]],Dim_Reps!A:A,Dim_Reps!C:C)</f>
        <v>SDR / Inside Sales Rep</v>
      </c>
      <c r="Q2398" t="str">
        <f>_xlfn.XLOOKUP(Pipeline_tbl[[#This Row],[Rep_ID]],Dim_Reps!A:A,Dim_Reps!D:D)</f>
        <v>Inside Sales</v>
      </c>
      <c r="R2398" t="str">
        <f>_xlfn.XLOOKUP(Pipeline_tbl[[#This Row],[Rep_ID]],Dim_Reps!A:A,Dim_Reps!E:E)</f>
        <v>LATAM</v>
      </c>
      <c r="S2398" t="str">
        <f>_xlfn.XLOOKUP(Pipeline_tbl[[#This Row],[Created_Date]],Dim_Date!A:A,Dim_Date!H:H)</f>
        <v>May 2025</v>
      </c>
      <c r="T2398" t="str">
        <f>IF(Pipeline_tbl[[#This Row],[Closed_Date]]=0,"",(_xlfn.XLOOKUP(Pipeline_tbl[[#This Row],[Closed_Date]],Dim_Date!A:A,Dim_Date!H:H)))</f>
        <v>May 2025</v>
      </c>
      <c r="U2398">
        <f>IF(Pipeline_tbl[[#This Row],[Closed_Date]]=0,"",Pipeline_tbl[[#This Row],[Closed_Date]]-Pipeline_tbl[[#This Row],[Created_Date]])</f>
        <v>17</v>
      </c>
    </row>
    <row r="2399" spans="1:21" ht="15" customHeight="1" x14ac:dyDescent="0.2">
      <c r="A2399" t="s">
        <v>2705</v>
      </c>
      <c r="B2399" t="s">
        <v>233</v>
      </c>
      <c r="C2399" t="s">
        <v>54</v>
      </c>
      <c r="D2399" s="49">
        <v>45790</v>
      </c>
      <c r="E2399" s="49">
        <v>45792</v>
      </c>
      <c r="F2399" s="49">
        <v>45795</v>
      </c>
      <c r="I2399" s="49">
        <v>45808</v>
      </c>
      <c r="J2399" t="s">
        <v>49</v>
      </c>
      <c r="K2399" s="33">
        <v>1900</v>
      </c>
      <c r="L2399" t="s">
        <v>61</v>
      </c>
      <c r="M2399" t="str">
        <f>_xlfn.XLOOKUP(Pipeline_tbl[[#This Row],[Rep_ID]],Dim_Reps!A:A,Dim_Reps!K:K)</f>
        <v>MXN</v>
      </c>
      <c r="N2399" s="33">
        <f>(_xlfn.XLOOKUP(Pipeline_tbl[[#This Row],[Rate_Code_Generalized]],Lookups!A:A,Lookups!B:B))*Pipeline_tbl[[#This Row],[Pipeline_Amount_USD]]</f>
        <v>37492.130000000005</v>
      </c>
      <c r="O2399" t="str">
        <f>_xlfn.XLOOKUP(Pipeline_tbl[[#This Row],[Rep_ID]],Dim_Reps!A:A,Dim_Reps!B:B)</f>
        <v>Lucas Duarte</v>
      </c>
      <c r="P2399" t="str">
        <f>_xlfn.XLOOKUP(Pipeline_tbl[[#This Row],[Rep_ID]],Dim_Reps!A:A,Dim_Reps!C:C)</f>
        <v>SDR / Inside Sales Rep</v>
      </c>
      <c r="Q2399" t="str">
        <f>_xlfn.XLOOKUP(Pipeline_tbl[[#This Row],[Rep_ID]],Dim_Reps!A:A,Dim_Reps!D:D)</f>
        <v>Inside Sales</v>
      </c>
      <c r="R2399" t="str">
        <f>_xlfn.XLOOKUP(Pipeline_tbl[[#This Row],[Rep_ID]],Dim_Reps!A:A,Dim_Reps!E:E)</f>
        <v>LATAM</v>
      </c>
      <c r="S2399" t="str">
        <f>_xlfn.XLOOKUP(Pipeline_tbl[[#This Row],[Created_Date]],Dim_Date!A:A,Dim_Date!H:H)</f>
        <v>May 2025</v>
      </c>
      <c r="T2399" t="str">
        <f>IF(Pipeline_tbl[[#This Row],[Closed_Date]]=0,"",(_xlfn.XLOOKUP(Pipeline_tbl[[#This Row],[Closed_Date]],Dim_Date!A:A,Dim_Date!H:H)))</f>
        <v>May 2025</v>
      </c>
      <c r="U2399">
        <f>IF(Pipeline_tbl[[#This Row],[Closed_Date]]=0,"",Pipeline_tbl[[#This Row],[Closed_Date]]-Pipeline_tbl[[#This Row],[Created_Date]])</f>
        <v>18</v>
      </c>
    </row>
    <row r="2400" spans="1:21" ht="15" customHeight="1" x14ac:dyDescent="0.2">
      <c r="A2400" t="s">
        <v>2706</v>
      </c>
      <c r="B2400" t="s">
        <v>233</v>
      </c>
      <c r="C2400" t="s">
        <v>55</v>
      </c>
      <c r="D2400" s="49">
        <v>45796</v>
      </c>
      <c r="E2400" s="49">
        <v>45797</v>
      </c>
      <c r="F2400" s="49">
        <v>45800</v>
      </c>
      <c r="G2400" s="49">
        <v>45803</v>
      </c>
      <c r="H2400" s="49">
        <v>45806</v>
      </c>
      <c r="I2400" s="49">
        <v>45808</v>
      </c>
      <c r="J2400" t="s">
        <v>47</v>
      </c>
      <c r="K2400" s="33">
        <v>5200</v>
      </c>
      <c r="M2400" t="str">
        <f>_xlfn.XLOOKUP(Pipeline_tbl[[#This Row],[Rep_ID]],Dim_Reps!A:A,Dim_Reps!K:K)</f>
        <v>MXN</v>
      </c>
      <c r="N2400" s="33">
        <f>(_xlfn.XLOOKUP(Pipeline_tbl[[#This Row],[Rate_Code_Generalized]],Lookups!A:A,Lookups!B:B))*Pipeline_tbl[[#This Row],[Pipeline_Amount_USD]]</f>
        <v>102610.04000000001</v>
      </c>
      <c r="O2400" t="str">
        <f>_xlfn.XLOOKUP(Pipeline_tbl[[#This Row],[Rep_ID]],Dim_Reps!A:A,Dim_Reps!B:B)</f>
        <v>Lucas Duarte</v>
      </c>
      <c r="P2400" t="str">
        <f>_xlfn.XLOOKUP(Pipeline_tbl[[#This Row],[Rep_ID]],Dim_Reps!A:A,Dim_Reps!C:C)</f>
        <v>SDR / Inside Sales Rep</v>
      </c>
      <c r="Q2400" t="str">
        <f>_xlfn.XLOOKUP(Pipeline_tbl[[#This Row],[Rep_ID]],Dim_Reps!A:A,Dim_Reps!D:D)</f>
        <v>Inside Sales</v>
      </c>
      <c r="R2400" t="str">
        <f>_xlfn.XLOOKUP(Pipeline_tbl[[#This Row],[Rep_ID]],Dim_Reps!A:A,Dim_Reps!E:E)</f>
        <v>LATAM</v>
      </c>
      <c r="S2400" t="str">
        <f>_xlfn.XLOOKUP(Pipeline_tbl[[#This Row],[Created_Date]],Dim_Date!A:A,Dim_Date!H:H)</f>
        <v>May 2025</v>
      </c>
      <c r="T2400" t="str">
        <f>IF(Pipeline_tbl[[#This Row],[Closed_Date]]=0,"",(_xlfn.XLOOKUP(Pipeline_tbl[[#This Row],[Closed_Date]],Dim_Date!A:A,Dim_Date!H:H)))</f>
        <v>May 2025</v>
      </c>
      <c r="U2400">
        <f>IF(Pipeline_tbl[[#This Row],[Closed_Date]]=0,"",Pipeline_tbl[[#This Row],[Closed_Date]]-Pipeline_tbl[[#This Row],[Created_Date]])</f>
        <v>12</v>
      </c>
    </row>
    <row r="2401" spans="1:21" ht="15" customHeight="1" x14ac:dyDescent="0.2">
      <c r="A2401" t="s">
        <v>2707</v>
      </c>
      <c r="B2401" t="s">
        <v>233</v>
      </c>
      <c r="C2401" t="s">
        <v>53</v>
      </c>
      <c r="D2401" s="49">
        <v>45793</v>
      </c>
      <c r="E2401" s="49">
        <v>45794</v>
      </c>
      <c r="F2401" s="49">
        <v>45797</v>
      </c>
      <c r="G2401" s="49">
        <v>45801</v>
      </c>
      <c r="I2401" s="49">
        <v>45806</v>
      </c>
      <c r="J2401" t="s">
        <v>49</v>
      </c>
      <c r="K2401" s="33">
        <v>1700</v>
      </c>
      <c r="L2401" t="s">
        <v>60</v>
      </c>
      <c r="M2401" t="str">
        <f>_xlfn.XLOOKUP(Pipeline_tbl[[#This Row],[Rep_ID]],Dim_Reps!A:A,Dim_Reps!K:K)</f>
        <v>MXN</v>
      </c>
      <c r="N2401" s="33">
        <f>(_xlfn.XLOOKUP(Pipeline_tbl[[#This Row],[Rate_Code_Generalized]],Lookups!A:A,Lookups!B:B))*Pipeline_tbl[[#This Row],[Pipeline_Amount_USD]]</f>
        <v>33545.590000000004</v>
      </c>
      <c r="O2401" t="str">
        <f>_xlfn.XLOOKUP(Pipeline_tbl[[#This Row],[Rep_ID]],Dim_Reps!A:A,Dim_Reps!B:B)</f>
        <v>Lucas Duarte</v>
      </c>
      <c r="P2401" t="str">
        <f>_xlfn.XLOOKUP(Pipeline_tbl[[#This Row],[Rep_ID]],Dim_Reps!A:A,Dim_Reps!C:C)</f>
        <v>SDR / Inside Sales Rep</v>
      </c>
      <c r="Q2401" t="str">
        <f>_xlfn.XLOOKUP(Pipeline_tbl[[#This Row],[Rep_ID]],Dim_Reps!A:A,Dim_Reps!D:D)</f>
        <v>Inside Sales</v>
      </c>
      <c r="R2401" t="str">
        <f>_xlfn.XLOOKUP(Pipeline_tbl[[#This Row],[Rep_ID]],Dim_Reps!A:A,Dim_Reps!E:E)</f>
        <v>LATAM</v>
      </c>
      <c r="S2401" t="str">
        <f>_xlfn.XLOOKUP(Pipeline_tbl[[#This Row],[Created_Date]],Dim_Date!A:A,Dim_Date!H:H)</f>
        <v>May 2025</v>
      </c>
      <c r="T2401" t="str">
        <f>IF(Pipeline_tbl[[#This Row],[Closed_Date]]=0,"",(_xlfn.XLOOKUP(Pipeline_tbl[[#This Row],[Closed_Date]],Dim_Date!A:A,Dim_Date!H:H)))</f>
        <v>May 2025</v>
      </c>
      <c r="U2401">
        <f>IF(Pipeline_tbl[[#This Row],[Closed_Date]]=0,"",Pipeline_tbl[[#This Row],[Closed_Date]]-Pipeline_tbl[[#This Row],[Created_Date]])</f>
        <v>13</v>
      </c>
    </row>
    <row r="2402" spans="1:21" ht="15" customHeight="1" x14ac:dyDescent="0.2">
      <c r="A2402" t="s">
        <v>2708</v>
      </c>
      <c r="B2402" t="s">
        <v>233</v>
      </c>
      <c r="C2402" t="s">
        <v>55</v>
      </c>
      <c r="D2402" s="49">
        <v>45787</v>
      </c>
      <c r="E2402" s="49">
        <v>45789</v>
      </c>
      <c r="F2402" s="49">
        <v>45793</v>
      </c>
      <c r="G2402" s="49">
        <v>45799</v>
      </c>
      <c r="H2402" s="49">
        <v>45804</v>
      </c>
      <c r="I2402" s="49">
        <v>45807</v>
      </c>
      <c r="J2402" t="s">
        <v>47</v>
      </c>
      <c r="K2402" s="33">
        <v>3900</v>
      </c>
      <c r="M2402" t="str">
        <f>_xlfn.XLOOKUP(Pipeline_tbl[[#This Row],[Rep_ID]],Dim_Reps!A:A,Dim_Reps!K:K)</f>
        <v>MXN</v>
      </c>
      <c r="N2402" s="33">
        <f>(_xlfn.XLOOKUP(Pipeline_tbl[[#This Row],[Rate_Code_Generalized]],Lookups!A:A,Lookups!B:B))*Pipeline_tbl[[#This Row],[Pipeline_Amount_USD]]</f>
        <v>76957.53</v>
      </c>
      <c r="O2402" t="str">
        <f>_xlfn.XLOOKUP(Pipeline_tbl[[#This Row],[Rep_ID]],Dim_Reps!A:A,Dim_Reps!B:B)</f>
        <v>Lucas Duarte</v>
      </c>
      <c r="P2402" t="str">
        <f>_xlfn.XLOOKUP(Pipeline_tbl[[#This Row],[Rep_ID]],Dim_Reps!A:A,Dim_Reps!C:C)</f>
        <v>SDR / Inside Sales Rep</v>
      </c>
      <c r="Q2402" t="str">
        <f>_xlfn.XLOOKUP(Pipeline_tbl[[#This Row],[Rep_ID]],Dim_Reps!A:A,Dim_Reps!D:D)</f>
        <v>Inside Sales</v>
      </c>
      <c r="R2402" t="str">
        <f>_xlfn.XLOOKUP(Pipeline_tbl[[#This Row],[Rep_ID]],Dim_Reps!A:A,Dim_Reps!E:E)</f>
        <v>LATAM</v>
      </c>
      <c r="S2402" t="str">
        <f>_xlfn.XLOOKUP(Pipeline_tbl[[#This Row],[Created_Date]],Dim_Date!A:A,Dim_Date!H:H)</f>
        <v>May 2025</v>
      </c>
      <c r="T2402" t="str">
        <f>IF(Pipeline_tbl[[#This Row],[Closed_Date]]=0,"",(_xlfn.XLOOKUP(Pipeline_tbl[[#This Row],[Closed_Date]],Dim_Date!A:A,Dim_Date!H:H)))</f>
        <v>May 2025</v>
      </c>
      <c r="U2402">
        <f>IF(Pipeline_tbl[[#This Row],[Closed_Date]]=0,"",Pipeline_tbl[[#This Row],[Closed_Date]]-Pipeline_tbl[[#This Row],[Created_Date]])</f>
        <v>20</v>
      </c>
    </row>
    <row r="2403" spans="1:21" ht="15" customHeight="1" x14ac:dyDescent="0.2">
      <c r="A2403" t="s">
        <v>2709</v>
      </c>
      <c r="B2403" t="s">
        <v>233</v>
      </c>
      <c r="C2403" t="s">
        <v>53</v>
      </c>
      <c r="D2403" s="49">
        <v>45780</v>
      </c>
      <c r="E2403" s="49">
        <v>45782</v>
      </c>
      <c r="F2403" s="49">
        <v>45786</v>
      </c>
      <c r="G2403" s="49">
        <v>45792</v>
      </c>
      <c r="H2403" s="49">
        <v>45797</v>
      </c>
      <c r="I2403" s="49">
        <v>45800</v>
      </c>
      <c r="J2403" t="s">
        <v>47</v>
      </c>
      <c r="K2403" s="33">
        <v>5500</v>
      </c>
      <c r="M2403" t="str">
        <f>_xlfn.XLOOKUP(Pipeline_tbl[[#This Row],[Rep_ID]],Dim_Reps!A:A,Dim_Reps!K:K)</f>
        <v>MXN</v>
      </c>
      <c r="N2403" s="33">
        <f>(_xlfn.XLOOKUP(Pipeline_tbl[[#This Row],[Rate_Code_Generalized]],Lookups!A:A,Lookups!B:B))*Pipeline_tbl[[#This Row],[Pipeline_Amount_USD]]</f>
        <v>108529.85</v>
      </c>
      <c r="O2403" t="str">
        <f>_xlfn.XLOOKUP(Pipeline_tbl[[#This Row],[Rep_ID]],Dim_Reps!A:A,Dim_Reps!B:B)</f>
        <v>Lucas Duarte</v>
      </c>
      <c r="P2403" t="str">
        <f>_xlfn.XLOOKUP(Pipeline_tbl[[#This Row],[Rep_ID]],Dim_Reps!A:A,Dim_Reps!C:C)</f>
        <v>SDR / Inside Sales Rep</v>
      </c>
      <c r="Q2403" t="str">
        <f>_xlfn.XLOOKUP(Pipeline_tbl[[#This Row],[Rep_ID]],Dim_Reps!A:A,Dim_Reps!D:D)</f>
        <v>Inside Sales</v>
      </c>
      <c r="R2403" t="str">
        <f>_xlfn.XLOOKUP(Pipeline_tbl[[#This Row],[Rep_ID]],Dim_Reps!A:A,Dim_Reps!E:E)</f>
        <v>LATAM</v>
      </c>
      <c r="S2403" t="str">
        <f>_xlfn.XLOOKUP(Pipeline_tbl[[#This Row],[Created_Date]],Dim_Date!A:A,Dim_Date!H:H)</f>
        <v>May 2025</v>
      </c>
      <c r="T2403" t="str">
        <f>IF(Pipeline_tbl[[#This Row],[Closed_Date]]=0,"",(_xlfn.XLOOKUP(Pipeline_tbl[[#This Row],[Closed_Date]],Dim_Date!A:A,Dim_Date!H:H)))</f>
        <v>May 2025</v>
      </c>
      <c r="U2403">
        <f>IF(Pipeline_tbl[[#This Row],[Closed_Date]]=0,"",Pipeline_tbl[[#This Row],[Closed_Date]]-Pipeline_tbl[[#This Row],[Created_Date]])</f>
        <v>20</v>
      </c>
    </row>
    <row r="2404" spans="1:21" ht="15" customHeight="1" x14ac:dyDescent="0.2">
      <c r="A2404" t="s">
        <v>2710</v>
      </c>
      <c r="B2404" t="s">
        <v>267</v>
      </c>
      <c r="C2404" t="s">
        <v>53</v>
      </c>
      <c r="D2404" s="49">
        <v>45778</v>
      </c>
      <c r="E2404" s="49">
        <v>45780</v>
      </c>
      <c r="F2404" s="49">
        <v>45785</v>
      </c>
      <c r="G2404" s="49">
        <v>45791</v>
      </c>
      <c r="I2404" s="49">
        <v>45800</v>
      </c>
      <c r="J2404" t="s">
        <v>49</v>
      </c>
      <c r="K2404" s="33">
        <v>21500</v>
      </c>
      <c r="L2404" t="s">
        <v>64</v>
      </c>
      <c r="M2404" t="str">
        <f>_xlfn.XLOOKUP(Pipeline_tbl[[#This Row],[Rep_ID]],Dim_Reps!A:A,Dim_Reps!K:K)</f>
        <v>MXN</v>
      </c>
      <c r="N2404" s="33">
        <f>(_xlfn.XLOOKUP(Pipeline_tbl[[#This Row],[Rate_Code_Generalized]],Lookups!A:A,Lookups!B:B))*Pipeline_tbl[[#This Row],[Pipeline_Amount_USD]]</f>
        <v>424253.05000000005</v>
      </c>
      <c r="O2404" t="str">
        <f>_xlfn.XLOOKUP(Pipeline_tbl[[#This Row],[Rep_ID]],Dim_Reps!A:A,Dim_Reps!B:B)</f>
        <v>Yuki Dubois</v>
      </c>
      <c r="P2404" t="str">
        <f>_xlfn.XLOOKUP(Pipeline_tbl[[#This Row],[Rep_ID]],Dim_Reps!A:A,Dim_Reps!C:C)</f>
        <v>Mid-Market AE</v>
      </c>
      <c r="Q2404" t="str">
        <f>_xlfn.XLOOKUP(Pipeline_tbl[[#This Row],[Rep_ID]],Dim_Reps!A:A,Dim_Reps!D:D)</f>
        <v>Mid-Market</v>
      </c>
      <c r="R2404" t="str">
        <f>_xlfn.XLOOKUP(Pipeline_tbl[[#This Row],[Rep_ID]],Dim_Reps!A:A,Dim_Reps!E:E)</f>
        <v>LATAM</v>
      </c>
      <c r="S2404" t="str">
        <f>_xlfn.XLOOKUP(Pipeline_tbl[[#This Row],[Created_Date]],Dim_Date!A:A,Dim_Date!H:H)</f>
        <v>May 2025</v>
      </c>
      <c r="T2404" t="str">
        <f>IF(Pipeline_tbl[[#This Row],[Closed_Date]]=0,"",(_xlfn.XLOOKUP(Pipeline_tbl[[#This Row],[Closed_Date]],Dim_Date!A:A,Dim_Date!H:H)))</f>
        <v>May 2025</v>
      </c>
      <c r="U2404">
        <f>IF(Pipeline_tbl[[#This Row],[Closed_Date]]=0,"",Pipeline_tbl[[#This Row],[Closed_Date]]-Pipeline_tbl[[#This Row],[Created_Date]])</f>
        <v>22</v>
      </c>
    </row>
    <row r="2405" spans="1:21" ht="15" customHeight="1" x14ac:dyDescent="0.2">
      <c r="A2405" t="s">
        <v>2711</v>
      </c>
      <c r="B2405" t="s">
        <v>235</v>
      </c>
      <c r="C2405" t="s">
        <v>52</v>
      </c>
      <c r="D2405" s="49">
        <v>45781</v>
      </c>
      <c r="E2405" s="49">
        <v>45781</v>
      </c>
      <c r="F2405" s="49">
        <v>45783</v>
      </c>
      <c r="G2405" s="49">
        <v>45784</v>
      </c>
      <c r="H2405" s="49">
        <v>45785</v>
      </c>
      <c r="I2405" s="49">
        <v>45786</v>
      </c>
      <c r="J2405" t="s">
        <v>47</v>
      </c>
      <c r="K2405" s="33">
        <v>5600</v>
      </c>
      <c r="M2405" t="str">
        <f>_xlfn.XLOOKUP(Pipeline_tbl[[#This Row],[Rep_ID]],Dim_Reps!A:A,Dim_Reps!K:K)</f>
        <v>MXN</v>
      </c>
      <c r="N2405" s="33">
        <f>(_xlfn.XLOOKUP(Pipeline_tbl[[#This Row],[Rate_Code_Generalized]],Lookups!A:A,Lookups!B:B))*Pipeline_tbl[[#This Row],[Pipeline_Amount_USD]]</f>
        <v>110503.12000000001</v>
      </c>
      <c r="O2405" t="str">
        <f>_xlfn.XLOOKUP(Pipeline_tbl[[#This Row],[Rep_ID]],Dim_Reps!A:A,Dim_Reps!B:B)</f>
        <v>Milo Castro</v>
      </c>
      <c r="P2405" t="str">
        <f>_xlfn.XLOOKUP(Pipeline_tbl[[#This Row],[Rep_ID]],Dim_Reps!A:A,Dim_Reps!C:C)</f>
        <v>SDR / Inside Sales Rep</v>
      </c>
      <c r="Q2405" t="str">
        <f>_xlfn.XLOOKUP(Pipeline_tbl[[#This Row],[Rep_ID]],Dim_Reps!A:A,Dim_Reps!D:D)</f>
        <v>Inside Sales</v>
      </c>
      <c r="R2405" t="str">
        <f>_xlfn.XLOOKUP(Pipeline_tbl[[#This Row],[Rep_ID]],Dim_Reps!A:A,Dim_Reps!E:E)</f>
        <v>LATAM</v>
      </c>
      <c r="S2405" t="str">
        <f>_xlfn.XLOOKUP(Pipeline_tbl[[#This Row],[Created_Date]],Dim_Date!A:A,Dim_Date!H:H)</f>
        <v>May 2025</v>
      </c>
      <c r="T2405" t="str">
        <f>IF(Pipeline_tbl[[#This Row],[Closed_Date]]=0,"",(_xlfn.XLOOKUP(Pipeline_tbl[[#This Row],[Closed_Date]],Dim_Date!A:A,Dim_Date!H:H)))</f>
        <v>May 2025</v>
      </c>
      <c r="U2405">
        <f>IF(Pipeline_tbl[[#This Row],[Closed_Date]]=0,"",Pipeline_tbl[[#This Row],[Closed_Date]]-Pipeline_tbl[[#This Row],[Created_Date]])</f>
        <v>5</v>
      </c>
    </row>
    <row r="2406" spans="1:21" ht="15" customHeight="1" x14ac:dyDescent="0.2">
      <c r="A2406" t="s">
        <v>2712</v>
      </c>
      <c r="B2406" t="s">
        <v>235</v>
      </c>
      <c r="C2406" t="s">
        <v>53</v>
      </c>
      <c r="D2406" s="49">
        <v>45793</v>
      </c>
      <c r="E2406" s="49">
        <v>45795</v>
      </c>
      <c r="F2406" s="49">
        <v>45798</v>
      </c>
      <c r="G2406" s="49">
        <v>45802</v>
      </c>
      <c r="I2406" s="49">
        <v>45808</v>
      </c>
      <c r="J2406" t="s">
        <v>49</v>
      </c>
      <c r="K2406" s="33">
        <v>6500</v>
      </c>
      <c r="L2406" t="s">
        <v>62</v>
      </c>
      <c r="M2406" t="str">
        <f>_xlfn.XLOOKUP(Pipeline_tbl[[#This Row],[Rep_ID]],Dim_Reps!A:A,Dim_Reps!K:K)</f>
        <v>MXN</v>
      </c>
      <c r="N2406" s="33">
        <f>(_xlfn.XLOOKUP(Pipeline_tbl[[#This Row],[Rate_Code_Generalized]],Lookups!A:A,Lookups!B:B))*Pipeline_tbl[[#This Row],[Pipeline_Amount_USD]]</f>
        <v>128262.55</v>
      </c>
      <c r="O2406" t="str">
        <f>_xlfn.XLOOKUP(Pipeline_tbl[[#This Row],[Rep_ID]],Dim_Reps!A:A,Dim_Reps!B:B)</f>
        <v>Milo Castro</v>
      </c>
      <c r="P2406" t="str">
        <f>_xlfn.XLOOKUP(Pipeline_tbl[[#This Row],[Rep_ID]],Dim_Reps!A:A,Dim_Reps!C:C)</f>
        <v>SDR / Inside Sales Rep</v>
      </c>
      <c r="Q2406" t="str">
        <f>_xlfn.XLOOKUP(Pipeline_tbl[[#This Row],[Rep_ID]],Dim_Reps!A:A,Dim_Reps!D:D)</f>
        <v>Inside Sales</v>
      </c>
      <c r="R2406" t="str">
        <f>_xlfn.XLOOKUP(Pipeline_tbl[[#This Row],[Rep_ID]],Dim_Reps!A:A,Dim_Reps!E:E)</f>
        <v>LATAM</v>
      </c>
      <c r="S2406" t="str">
        <f>_xlfn.XLOOKUP(Pipeline_tbl[[#This Row],[Created_Date]],Dim_Date!A:A,Dim_Date!H:H)</f>
        <v>May 2025</v>
      </c>
      <c r="T2406" t="str">
        <f>IF(Pipeline_tbl[[#This Row],[Closed_Date]]=0,"",(_xlfn.XLOOKUP(Pipeline_tbl[[#This Row],[Closed_Date]],Dim_Date!A:A,Dim_Date!H:H)))</f>
        <v>May 2025</v>
      </c>
      <c r="U2406">
        <f>IF(Pipeline_tbl[[#This Row],[Closed_Date]]=0,"",Pipeline_tbl[[#This Row],[Closed_Date]]-Pipeline_tbl[[#This Row],[Created_Date]])</f>
        <v>15</v>
      </c>
    </row>
    <row r="2407" spans="1:21" ht="15" customHeight="1" x14ac:dyDescent="0.2">
      <c r="A2407" t="s">
        <v>2713</v>
      </c>
      <c r="B2407" t="s">
        <v>235</v>
      </c>
      <c r="C2407" t="s">
        <v>52</v>
      </c>
      <c r="D2407" s="49">
        <v>45779</v>
      </c>
      <c r="E2407" s="49">
        <v>45781</v>
      </c>
      <c r="F2407" s="49">
        <v>45786</v>
      </c>
      <c r="G2407" s="49">
        <v>45793</v>
      </c>
      <c r="H2407" s="49">
        <v>45799</v>
      </c>
      <c r="I2407" s="49">
        <v>45802</v>
      </c>
      <c r="J2407" t="s">
        <v>47</v>
      </c>
      <c r="K2407" s="33">
        <v>2900</v>
      </c>
      <c r="M2407" t="str">
        <f>_xlfn.XLOOKUP(Pipeline_tbl[[#This Row],[Rep_ID]],Dim_Reps!A:A,Dim_Reps!K:K)</f>
        <v>MXN</v>
      </c>
      <c r="N2407" s="33">
        <f>(_xlfn.XLOOKUP(Pipeline_tbl[[#This Row],[Rate_Code_Generalized]],Lookups!A:A,Lookups!B:B))*Pipeline_tbl[[#This Row],[Pipeline_Amount_USD]]</f>
        <v>57224.83</v>
      </c>
      <c r="O2407" t="str">
        <f>_xlfn.XLOOKUP(Pipeline_tbl[[#This Row],[Rep_ID]],Dim_Reps!A:A,Dim_Reps!B:B)</f>
        <v>Milo Castro</v>
      </c>
      <c r="P2407" t="str">
        <f>_xlfn.XLOOKUP(Pipeline_tbl[[#This Row],[Rep_ID]],Dim_Reps!A:A,Dim_Reps!C:C)</f>
        <v>SDR / Inside Sales Rep</v>
      </c>
      <c r="Q2407" t="str">
        <f>_xlfn.XLOOKUP(Pipeline_tbl[[#This Row],[Rep_ID]],Dim_Reps!A:A,Dim_Reps!D:D)</f>
        <v>Inside Sales</v>
      </c>
      <c r="R2407" t="str">
        <f>_xlfn.XLOOKUP(Pipeline_tbl[[#This Row],[Rep_ID]],Dim_Reps!A:A,Dim_Reps!E:E)</f>
        <v>LATAM</v>
      </c>
      <c r="S2407" t="str">
        <f>_xlfn.XLOOKUP(Pipeline_tbl[[#This Row],[Created_Date]],Dim_Date!A:A,Dim_Date!H:H)</f>
        <v>May 2025</v>
      </c>
      <c r="T2407" t="str">
        <f>IF(Pipeline_tbl[[#This Row],[Closed_Date]]=0,"",(_xlfn.XLOOKUP(Pipeline_tbl[[#This Row],[Closed_Date]],Dim_Date!A:A,Dim_Date!H:H)))</f>
        <v>May 2025</v>
      </c>
      <c r="U2407">
        <f>IF(Pipeline_tbl[[#This Row],[Closed_Date]]=0,"",Pipeline_tbl[[#This Row],[Closed_Date]]-Pipeline_tbl[[#This Row],[Created_Date]])</f>
        <v>23</v>
      </c>
    </row>
    <row r="2408" spans="1:21" ht="15" customHeight="1" x14ac:dyDescent="0.2">
      <c r="A2408" t="s">
        <v>2714</v>
      </c>
      <c r="B2408" t="s">
        <v>237</v>
      </c>
      <c r="C2408" t="s">
        <v>53</v>
      </c>
      <c r="D2408" s="49">
        <v>45782</v>
      </c>
      <c r="E2408" s="49">
        <v>45783</v>
      </c>
      <c r="F2408" s="49">
        <v>45786</v>
      </c>
      <c r="G2408" s="49">
        <v>45790</v>
      </c>
      <c r="H2408" s="49">
        <v>45794</v>
      </c>
      <c r="I2408" s="49">
        <v>45796</v>
      </c>
      <c r="J2408" t="s">
        <v>49</v>
      </c>
      <c r="K2408" s="33">
        <v>4000</v>
      </c>
      <c r="L2408" t="s">
        <v>62</v>
      </c>
      <c r="M2408" t="str">
        <f>_xlfn.XLOOKUP(Pipeline_tbl[[#This Row],[Rep_ID]],Dim_Reps!A:A,Dim_Reps!K:K)</f>
        <v>EUR</v>
      </c>
      <c r="N2408" s="33">
        <f>(_xlfn.XLOOKUP(Pipeline_tbl[[#This Row],[Rate_Code_Generalized]],Lookups!A:A,Lookups!B:B))*Pipeline_tbl[[#This Row],[Pipeline_Amount_USD]]</f>
        <v>4000</v>
      </c>
      <c r="O2408" t="str">
        <f>_xlfn.XLOOKUP(Pipeline_tbl[[#This Row],[Rep_ID]],Dim_Reps!A:A,Dim_Reps!B:B)</f>
        <v>Hugo Santos</v>
      </c>
      <c r="P2408" t="str">
        <f>_xlfn.XLOOKUP(Pipeline_tbl[[#This Row],[Rep_ID]],Dim_Reps!A:A,Dim_Reps!C:C)</f>
        <v>SDR / Inside Sales Rep</v>
      </c>
      <c r="Q2408" t="str">
        <f>_xlfn.XLOOKUP(Pipeline_tbl[[#This Row],[Rep_ID]],Dim_Reps!A:A,Dim_Reps!D:D)</f>
        <v>Inside Sales</v>
      </c>
      <c r="R2408" t="str">
        <f>_xlfn.XLOOKUP(Pipeline_tbl[[#This Row],[Rep_ID]],Dim_Reps!A:A,Dim_Reps!E:E)</f>
        <v>EMEA</v>
      </c>
      <c r="S2408" t="str">
        <f>_xlfn.XLOOKUP(Pipeline_tbl[[#This Row],[Created_Date]],Dim_Date!A:A,Dim_Date!H:H)</f>
        <v>May 2025</v>
      </c>
      <c r="T2408" t="str">
        <f>IF(Pipeline_tbl[[#This Row],[Closed_Date]]=0,"",(_xlfn.XLOOKUP(Pipeline_tbl[[#This Row],[Closed_Date]],Dim_Date!A:A,Dim_Date!H:H)))</f>
        <v>May 2025</v>
      </c>
      <c r="U2408">
        <f>IF(Pipeline_tbl[[#This Row],[Closed_Date]]=0,"",Pipeline_tbl[[#This Row],[Closed_Date]]-Pipeline_tbl[[#This Row],[Created_Date]])</f>
        <v>14</v>
      </c>
    </row>
    <row r="2409" spans="1:21" ht="15" customHeight="1" x14ac:dyDescent="0.2">
      <c r="A2409" t="s">
        <v>2715</v>
      </c>
      <c r="B2409" t="s">
        <v>237</v>
      </c>
      <c r="C2409" t="s">
        <v>53</v>
      </c>
      <c r="D2409" s="49">
        <v>45779</v>
      </c>
      <c r="E2409" s="49">
        <v>45781</v>
      </c>
      <c r="F2409" s="49">
        <v>45784</v>
      </c>
      <c r="G2409" s="49">
        <v>45789</v>
      </c>
      <c r="H2409" s="49">
        <v>45793</v>
      </c>
      <c r="I2409" s="49">
        <v>45795</v>
      </c>
      <c r="J2409" t="s">
        <v>47</v>
      </c>
      <c r="K2409" s="33">
        <v>9300</v>
      </c>
      <c r="M2409" t="str">
        <f>_xlfn.XLOOKUP(Pipeline_tbl[[#This Row],[Rep_ID]],Dim_Reps!A:A,Dim_Reps!K:K)</f>
        <v>EUR</v>
      </c>
      <c r="N2409" s="33">
        <f>(_xlfn.XLOOKUP(Pipeline_tbl[[#This Row],[Rate_Code_Generalized]],Lookups!A:A,Lookups!B:B))*Pipeline_tbl[[#This Row],[Pipeline_Amount_USD]]</f>
        <v>9300</v>
      </c>
      <c r="O2409" t="str">
        <f>_xlfn.XLOOKUP(Pipeline_tbl[[#This Row],[Rep_ID]],Dim_Reps!A:A,Dim_Reps!B:B)</f>
        <v>Hugo Santos</v>
      </c>
      <c r="P2409" t="str">
        <f>_xlfn.XLOOKUP(Pipeline_tbl[[#This Row],[Rep_ID]],Dim_Reps!A:A,Dim_Reps!C:C)</f>
        <v>SDR / Inside Sales Rep</v>
      </c>
      <c r="Q2409" t="str">
        <f>_xlfn.XLOOKUP(Pipeline_tbl[[#This Row],[Rep_ID]],Dim_Reps!A:A,Dim_Reps!D:D)</f>
        <v>Inside Sales</v>
      </c>
      <c r="R2409" t="str">
        <f>_xlfn.XLOOKUP(Pipeline_tbl[[#This Row],[Rep_ID]],Dim_Reps!A:A,Dim_Reps!E:E)</f>
        <v>EMEA</v>
      </c>
      <c r="S2409" t="str">
        <f>_xlfn.XLOOKUP(Pipeline_tbl[[#This Row],[Created_Date]],Dim_Date!A:A,Dim_Date!H:H)</f>
        <v>May 2025</v>
      </c>
      <c r="T2409" t="str">
        <f>IF(Pipeline_tbl[[#This Row],[Closed_Date]]=0,"",(_xlfn.XLOOKUP(Pipeline_tbl[[#This Row],[Closed_Date]],Dim_Date!A:A,Dim_Date!H:H)))</f>
        <v>May 2025</v>
      </c>
      <c r="U2409">
        <f>IF(Pipeline_tbl[[#This Row],[Closed_Date]]=0,"",Pipeline_tbl[[#This Row],[Closed_Date]]-Pipeline_tbl[[#This Row],[Created_Date]])</f>
        <v>16</v>
      </c>
    </row>
    <row r="2410" spans="1:21" ht="15" customHeight="1" x14ac:dyDescent="0.2">
      <c r="A2410" t="s">
        <v>2716</v>
      </c>
      <c r="B2410" t="s">
        <v>237</v>
      </c>
      <c r="C2410" t="s">
        <v>55</v>
      </c>
      <c r="D2410" s="49">
        <v>45783</v>
      </c>
      <c r="E2410" s="49">
        <v>45783</v>
      </c>
      <c r="F2410" s="49">
        <v>45785</v>
      </c>
      <c r="G2410" s="49">
        <v>45786</v>
      </c>
      <c r="I2410" s="49">
        <v>45788</v>
      </c>
      <c r="J2410" t="s">
        <v>49</v>
      </c>
      <c r="K2410" s="33">
        <v>5100</v>
      </c>
      <c r="L2410" t="s">
        <v>64</v>
      </c>
      <c r="M2410" t="str">
        <f>_xlfn.XLOOKUP(Pipeline_tbl[[#This Row],[Rep_ID]],Dim_Reps!A:A,Dim_Reps!K:K)</f>
        <v>EUR</v>
      </c>
      <c r="N2410" s="33">
        <f>(_xlfn.XLOOKUP(Pipeline_tbl[[#This Row],[Rate_Code_Generalized]],Lookups!A:A,Lookups!B:B))*Pipeline_tbl[[#This Row],[Pipeline_Amount_USD]]</f>
        <v>5100</v>
      </c>
      <c r="O2410" t="str">
        <f>_xlfn.XLOOKUP(Pipeline_tbl[[#This Row],[Rep_ID]],Dim_Reps!A:A,Dim_Reps!B:B)</f>
        <v>Hugo Santos</v>
      </c>
      <c r="P2410" t="str">
        <f>_xlfn.XLOOKUP(Pipeline_tbl[[#This Row],[Rep_ID]],Dim_Reps!A:A,Dim_Reps!C:C)</f>
        <v>SDR / Inside Sales Rep</v>
      </c>
      <c r="Q2410" t="str">
        <f>_xlfn.XLOOKUP(Pipeline_tbl[[#This Row],[Rep_ID]],Dim_Reps!A:A,Dim_Reps!D:D)</f>
        <v>Inside Sales</v>
      </c>
      <c r="R2410" t="str">
        <f>_xlfn.XLOOKUP(Pipeline_tbl[[#This Row],[Rep_ID]],Dim_Reps!A:A,Dim_Reps!E:E)</f>
        <v>EMEA</v>
      </c>
      <c r="S2410" t="str">
        <f>_xlfn.XLOOKUP(Pipeline_tbl[[#This Row],[Created_Date]],Dim_Date!A:A,Dim_Date!H:H)</f>
        <v>May 2025</v>
      </c>
      <c r="T2410" t="str">
        <f>IF(Pipeline_tbl[[#This Row],[Closed_Date]]=0,"",(_xlfn.XLOOKUP(Pipeline_tbl[[#This Row],[Closed_Date]],Dim_Date!A:A,Dim_Date!H:H)))</f>
        <v>May 2025</v>
      </c>
      <c r="U2410">
        <f>IF(Pipeline_tbl[[#This Row],[Closed_Date]]=0,"",Pipeline_tbl[[#This Row],[Closed_Date]]-Pipeline_tbl[[#This Row],[Created_Date]])</f>
        <v>5</v>
      </c>
    </row>
    <row r="2411" spans="1:21" ht="15" customHeight="1" x14ac:dyDescent="0.2">
      <c r="A2411" t="s">
        <v>2717</v>
      </c>
      <c r="B2411" t="s">
        <v>271</v>
      </c>
      <c r="C2411" t="s">
        <v>52</v>
      </c>
      <c r="D2411" s="49">
        <v>45783</v>
      </c>
      <c r="E2411" s="49">
        <v>45785</v>
      </c>
      <c r="F2411" s="49">
        <v>45791</v>
      </c>
      <c r="G2411" s="49">
        <v>45798</v>
      </c>
      <c r="H2411" s="49">
        <v>45804</v>
      </c>
      <c r="I2411" s="49">
        <v>45808</v>
      </c>
      <c r="J2411" t="s">
        <v>49</v>
      </c>
      <c r="K2411" s="33">
        <v>7500</v>
      </c>
      <c r="L2411" t="s">
        <v>62</v>
      </c>
      <c r="M2411" t="str">
        <f>_xlfn.XLOOKUP(Pipeline_tbl[[#This Row],[Rep_ID]],Dim_Reps!A:A,Dim_Reps!K:K)</f>
        <v>EUR</v>
      </c>
      <c r="N2411" s="33">
        <f>(_xlfn.XLOOKUP(Pipeline_tbl[[#This Row],[Rate_Code_Generalized]],Lookups!A:A,Lookups!B:B))*Pipeline_tbl[[#This Row],[Pipeline_Amount_USD]]</f>
        <v>7500</v>
      </c>
      <c r="O2411" t="str">
        <f>_xlfn.XLOOKUP(Pipeline_tbl[[#This Row],[Rep_ID]],Dim_Reps!A:A,Dim_Reps!B:B)</f>
        <v>Ivy Adler</v>
      </c>
      <c r="P2411" t="str">
        <f>_xlfn.XLOOKUP(Pipeline_tbl[[#This Row],[Rep_ID]],Dim_Reps!A:A,Dim_Reps!C:C)</f>
        <v>Mid-Market AE</v>
      </c>
      <c r="Q2411" t="str">
        <f>_xlfn.XLOOKUP(Pipeline_tbl[[#This Row],[Rep_ID]],Dim_Reps!A:A,Dim_Reps!D:D)</f>
        <v>Mid-Market</v>
      </c>
      <c r="R2411" t="str">
        <f>_xlfn.XLOOKUP(Pipeline_tbl[[#This Row],[Rep_ID]],Dim_Reps!A:A,Dim_Reps!E:E)</f>
        <v>APAC</v>
      </c>
      <c r="S2411" t="str">
        <f>_xlfn.XLOOKUP(Pipeline_tbl[[#This Row],[Created_Date]],Dim_Date!A:A,Dim_Date!H:H)</f>
        <v>May 2025</v>
      </c>
      <c r="T2411" t="str">
        <f>IF(Pipeline_tbl[[#This Row],[Closed_Date]]=0,"",(_xlfn.XLOOKUP(Pipeline_tbl[[#This Row],[Closed_Date]],Dim_Date!A:A,Dim_Date!H:H)))</f>
        <v>May 2025</v>
      </c>
      <c r="U2411">
        <f>IF(Pipeline_tbl[[#This Row],[Closed_Date]]=0,"",Pipeline_tbl[[#This Row],[Closed_Date]]-Pipeline_tbl[[#This Row],[Created_Date]])</f>
        <v>25</v>
      </c>
    </row>
    <row r="2412" spans="1:21" ht="15" customHeight="1" x14ac:dyDescent="0.2">
      <c r="A2412" t="s">
        <v>2718</v>
      </c>
      <c r="B2412" t="s">
        <v>241</v>
      </c>
      <c r="C2412" t="s">
        <v>52</v>
      </c>
      <c r="D2412" s="49">
        <v>45780</v>
      </c>
      <c r="E2412" s="49">
        <v>45781</v>
      </c>
      <c r="F2412" s="49">
        <v>45783</v>
      </c>
      <c r="G2412" s="49">
        <v>45787</v>
      </c>
      <c r="H2412" s="49">
        <v>45789</v>
      </c>
      <c r="I2412" s="49">
        <v>45791</v>
      </c>
      <c r="J2412" t="s">
        <v>47</v>
      </c>
      <c r="K2412" s="33">
        <v>3000</v>
      </c>
      <c r="M2412" t="str">
        <f>_xlfn.XLOOKUP(Pipeline_tbl[[#This Row],[Rep_ID]],Dim_Reps!A:A,Dim_Reps!K:K)</f>
        <v>EUR</v>
      </c>
      <c r="N2412" s="33">
        <f>(_xlfn.XLOOKUP(Pipeline_tbl[[#This Row],[Rate_Code_Generalized]],Lookups!A:A,Lookups!B:B))*Pipeline_tbl[[#This Row],[Pipeline_Amount_USD]]</f>
        <v>3000</v>
      </c>
      <c r="O2412" t="str">
        <f>_xlfn.XLOOKUP(Pipeline_tbl[[#This Row],[Rep_ID]],Dim_Reps!A:A,Dim_Reps!B:B)</f>
        <v>Kenji Weber</v>
      </c>
      <c r="P2412" t="str">
        <f>_xlfn.XLOOKUP(Pipeline_tbl[[#This Row],[Rep_ID]],Dim_Reps!A:A,Dim_Reps!C:C)</f>
        <v>SDR / Inside Sales Rep</v>
      </c>
      <c r="Q2412" t="str">
        <f>_xlfn.XLOOKUP(Pipeline_tbl[[#This Row],[Rep_ID]],Dim_Reps!A:A,Dim_Reps!D:D)</f>
        <v>Inside Sales</v>
      </c>
      <c r="R2412" t="str">
        <f>_xlfn.XLOOKUP(Pipeline_tbl[[#This Row],[Rep_ID]],Dim_Reps!A:A,Dim_Reps!E:E)</f>
        <v>APAC</v>
      </c>
      <c r="S2412" t="str">
        <f>_xlfn.XLOOKUP(Pipeline_tbl[[#This Row],[Created_Date]],Dim_Date!A:A,Dim_Date!H:H)</f>
        <v>May 2025</v>
      </c>
      <c r="T2412" t="str">
        <f>IF(Pipeline_tbl[[#This Row],[Closed_Date]]=0,"",(_xlfn.XLOOKUP(Pipeline_tbl[[#This Row],[Closed_Date]],Dim_Date!A:A,Dim_Date!H:H)))</f>
        <v>May 2025</v>
      </c>
      <c r="U2412">
        <f>IF(Pipeline_tbl[[#This Row],[Closed_Date]]=0,"",Pipeline_tbl[[#This Row],[Closed_Date]]-Pipeline_tbl[[#This Row],[Created_Date]])</f>
        <v>11</v>
      </c>
    </row>
    <row r="2413" spans="1:21" ht="15" customHeight="1" x14ac:dyDescent="0.2">
      <c r="A2413" t="s">
        <v>2719</v>
      </c>
      <c r="B2413" t="s">
        <v>241</v>
      </c>
      <c r="C2413" t="s">
        <v>52</v>
      </c>
      <c r="D2413" s="49">
        <v>45787</v>
      </c>
      <c r="E2413" s="49">
        <v>45788</v>
      </c>
      <c r="F2413" s="49">
        <v>45791</v>
      </c>
      <c r="G2413" s="49">
        <v>45795</v>
      </c>
      <c r="H2413" s="49">
        <v>45798</v>
      </c>
      <c r="I2413" s="49">
        <v>45800</v>
      </c>
      <c r="J2413" t="s">
        <v>47</v>
      </c>
      <c r="K2413" s="33">
        <v>4900</v>
      </c>
      <c r="M2413" t="str">
        <f>_xlfn.XLOOKUP(Pipeline_tbl[[#This Row],[Rep_ID]],Dim_Reps!A:A,Dim_Reps!K:K)</f>
        <v>EUR</v>
      </c>
      <c r="N2413" s="33">
        <f>(_xlfn.XLOOKUP(Pipeline_tbl[[#This Row],[Rate_Code_Generalized]],Lookups!A:A,Lookups!B:B))*Pipeline_tbl[[#This Row],[Pipeline_Amount_USD]]</f>
        <v>4900</v>
      </c>
      <c r="O2413" t="str">
        <f>_xlfn.XLOOKUP(Pipeline_tbl[[#This Row],[Rep_ID]],Dim_Reps!A:A,Dim_Reps!B:B)</f>
        <v>Kenji Weber</v>
      </c>
      <c r="P2413" t="str">
        <f>_xlfn.XLOOKUP(Pipeline_tbl[[#This Row],[Rep_ID]],Dim_Reps!A:A,Dim_Reps!C:C)</f>
        <v>SDR / Inside Sales Rep</v>
      </c>
      <c r="Q2413" t="str">
        <f>_xlfn.XLOOKUP(Pipeline_tbl[[#This Row],[Rep_ID]],Dim_Reps!A:A,Dim_Reps!D:D)</f>
        <v>Inside Sales</v>
      </c>
      <c r="R2413" t="str">
        <f>_xlfn.XLOOKUP(Pipeline_tbl[[#This Row],[Rep_ID]],Dim_Reps!A:A,Dim_Reps!E:E)</f>
        <v>APAC</v>
      </c>
      <c r="S2413" t="str">
        <f>_xlfn.XLOOKUP(Pipeline_tbl[[#This Row],[Created_Date]],Dim_Date!A:A,Dim_Date!H:H)</f>
        <v>May 2025</v>
      </c>
      <c r="T2413" t="str">
        <f>IF(Pipeline_tbl[[#This Row],[Closed_Date]]=0,"",(_xlfn.XLOOKUP(Pipeline_tbl[[#This Row],[Closed_Date]],Dim_Date!A:A,Dim_Date!H:H)))</f>
        <v>May 2025</v>
      </c>
      <c r="U2413">
        <f>IF(Pipeline_tbl[[#This Row],[Closed_Date]]=0,"",Pipeline_tbl[[#This Row],[Closed_Date]]-Pipeline_tbl[[#This Row],[Created_Date]])</f>
        <v>13</v>
      </c>
    </row>
    <row r="2414" spans="1:21" ht="15" customHeight="1" x14ac:dyDescent="0.2">
      <c r="A2414" t="s">
        <v>2720</v>
      </c>
      <c r="B2414" t="s">
        <v>278</v>
      </c>
      <c r="C2414" t="s">
        <v>53</v>
      </c>
      <c r="D2414" s="49">
        <v>45796</v>
      </c>
      <c r="E2414" s="49">
        <v>45807</v>
      </c>
      <c r="F2414" s="49">
        <v>45829</v>
      </c>
      <c r="G2414" s="49">
        <v>45862</v>
      </c>
      <c r="I2414" s="49">
        <v>45906</v>
      </c>
      <c r="J2414" t="s">
        <v>49</v>
      </c>
      <c r="K2414" s="33">
        <v>46200</v>
      </c>
      <c r="L2414" t="s">
        <v>61</v>
      </c>
      <c r="M2414" t="str">
        <f>_xlfn.XLOOKUP(Pipeline_tbl[[#This Row],[Rep_ID]],Dim_Reps!A:A,Dim_Reps!K:K)</f>
        <v>EUR</v>
      </c>
      <c r="N2414" s="33">
        <f>(_xlfn.XLOOKUP(Pipeline_tbl[[#This Row],[Rate_Code_Generalized]],Lookups!A:A,Lookups!B:B))*Pipeline_tbl[[#This Row],[Pipeline_Amount_USD]]</f>
        <v>46200</v>
      </c>
      <c r="O2414" t="str">
        <f>_xlfn.XLOOKUP(Pipeline_tbl[[#This Row],[Rep_ID]],Dim_Reps!A:A,Dim_Reps!B:B)</f>
        <v>Sara Andersson</v>
      </c>
      <c r="P2414" t="str">
        <f>_xlfn.XLOOKUP(Pipeline_tbl[[#This Row],[Rep_ID]],Dim_Reps!A:A,Dim_Reps!C:C)</f>
        <v>Senior Enterprise AE</v>
      </c>
      <c r="Q2414" t="str">
        <f>_xlfn.XLOOKUP(Pipeline_tbl[[#This Row],[Rep_ID]],Dim_Reps!A:A,Dim_Reps!D:D)</f>
        <v>Strategic</v>
      </c>
      <c r="R2414" t="str">
        <f>_xlfn.XLOOKUP(Pipeline_tbl[[#This Row],[Rep_ID]],Dim_Reps!A:A,Dim_Reps!E:E)</f>
        <v>APAC</v>
      </c>
      <c r="S2414" t="str">
        <f>_xlfn.XLOOKUP(Pipeline_tbl[[#This Row],[Created_Date]],Dim_Date!A:A,Dim_Date!H:H)</f>
        <v>May 2025</v>
      </c>
      <c r="T2414" t="str">
        <f>IF(Pipeline_tbl[[#This Row],[Closed_Date]]=0,"",(_xlfn.XLOOKUP(Pipeline_tbl[[#This Row],[Closed_Date]],Dim_Date!A:A,Dim_Date!H:H)))</f>
        <v>Sep 2025</v>
      </c>
      <c r="U2414">
        <f>IF(Pipeline_tbl[[#This Row],[Closed_Date]]=0,"",Pipeline_tbl[[#This Row],[Closed_Date]]-Pipeline_tbl[[#This Row],[Created_Date]])</f>
        <v>110</v>
      </c>
    </row>
    <row r="2415" spans="1:21" ht="15" customHeight="1" x14ac:dyDescent="0.2">
      <c r="A2415" t="s">
        <v>2721</v>
      </c>
      <c r="B2415" t="s">
        <v>181</v>
      </c>
      <c r="C2415" t="s">
        <v>52</v>
      </c>
      <c r="D2415" s="49">
        <v>45432</v>
      </c>
      <c r="E2415" s="49">
        <v>45440</v>
      </c>
      <c r="F2415" s="49">
        <v>45456</v>
      </c>
      <c r="G2415" s="49">
        <v>45479</v>
      </c>
      <c r="H2415" s="49">
        <v>45499</v>
      </c>
      <c r="I2415" s="49">
        <v>45511</v>
      </c>
      <c r="J2415" t="s">
        <v>47</v>
      </c>
      <c r="K2415" s="33">
        <v>37200</v>
      </c>
      <c r="M2415" t="str">
        <f>_xlfn.XLOOKUP(Pipeline_tbl[[#This Row],[Rep_ID]],Dim_Reps!A:A,Dim_Reps!K:K)</f>
        <v>USD</v>
      </c>
      <c r="N2415" s="33">
        <f>(_xlfn.XLOOKUP(Pipeline_tbl[[#This Row],[Rate_Code_Generalized]],Lookups!A:A,Lookups!B:B))*Pipeline_tbl[[#This Row],[Pipeline_Amount_USD]]</f>
        <v>43311.96</v>
      </c>
      <c r="O2415" t="str">
        <f>_xlfn.XLOOKUP(Pipeline_tbl[[#This Row],[Rep_ID]],Dim_Reps!A:A,Dim_Reps!B:B)</f>
        <v>Milo Weber</v>
      </c>
      <c r="P2415" t="str">
        <f>_xlfn.XLOOKUP(Pipeline_tbl[[#This Row],[Rep_ID]],Dim_Reps!A:A,Dim_Reps!C:C)</f>
        <v>Enterprise AE</v>
      </c>
      <c r="Q2415" t="str">
        <f>_xlfn.XLOOKUP(Pipeline_tbl[[#This Row],[Rep_ID]],Dim_Reps!A:A,Dim_Reps!D:D)</f>
        <v>Enterprise</v>
      </c>
      <c r="R2415" t="str">
        <f>_xlfn.XLOOKUP(Pipeline_tbl[[#This Row],[Rep_ID]],Dim_Reps!A:A,Dim_Reps!E:E)</f>
        <v>NAMER</v>
      </c>
      <c r="S2415" t="str">
        <f>_xlfn.XLOOKUP(Pipeline_tbl[[#This Row],[Created_Date]],Dim_Date!A:A,Dim_Date!H:H)</f>
        <v>May 2024</v>
      </c>
      <c r="T2415" t="str">
        <f>IF(Pipeline_tbl[[#This Row],[Closed_Date]]=0,"",(_xlfn.XLOOKUP(Pipeline_tbl[[#This Row],[Closed_Date]],Dim_Date!A:A,Dim_Date!H:H)))</f>
        <v>Aug 2024</v>
      </c>
      <c r="U2415">
        <f>IF(Pipeline_tbl[[#This Row],[Closed_Date]]=0,"",Pipeline_tbl[[#This Row],[Closed_Date]]-Pipeline_tbl[[#This Row],[Created_Date]])</f>
        <v>79</v>
      </c>
    </row>
    <row r="2416" spans="1:21" ht="15" customHeight="1" x14ac:dyDescent="0.2">
      <c r="A2416" t="s">
        <v>2722</v>
      </c>
      <c r="B2416" t="s">
        <v>183</v>
      </c>
      <c r="C2416" t="s">
        <v>55</v>
      </c>
      <c r="D2416" s="49">
        <v>45436</v>
      </c>
      <c r="E2416" s="49">
        <v>45444</v>
      </c>
      <c r="F2416" s="49">
        <v>45459</v>
      </c>
      <c r="G2416" s="49">
        <v>45483</v>
      </c>
      <c r="H2416" s="49">
        <v>45502</v>
      </c>
      <c r="I2416" s="49">
        <v>45514</v>
      </c>
      <c r="J2416" t="s">
        <v>49</v>
      </c>
      <c r="K2416" s="33">
        <v>13400</v>
      </c>
      <c r="L2416" t="s">
        <v>61</v>
      </c>
      <c r="M2416" t="str">
        <f>_xlfn.XLOOKUP(Pipeline_tbl[[#This Row],[Rep_ID]],Dim_Reps!A:A,Dim_Reps!K:K)</f>
        <v>EUR</v>
      </c>
      <c r="N2416" s="33">
        <f>(_xlfn.XLOOKUP(Pipeline_tbl[[#This Row],[Rate_Code_Generalized]],Lookups!A:A,Lookups!B:B))*Pipeline_tbl[[#This Row],[Pipeline_Amount_USD]]</f>
        <v>13400</v>
      </c>
      <c r="O2416" t="str">
        <f>_xlfn.XLOOKUP(Pipeline_tbl[[#This Row],[Rep_ID]],Dim_Reps!A:A,Dim_Reps!B:B)</f>
        <v>Sam Schmidt</v>
      </c>
      <c r="P2416" t="str">
        <f>_xlfn.XLOOKUP(Pipeline_tbl[[#This Row],[Rep_ID]],Dim_Reps!A:A,Dim_Reps!C:C)</f>
        <v>Enterprise AE</v>
      </c>
      <c r="Q2416" t="str">
        <f>_xlfn.XLOOKUP(Pipeline_tbl[[#This Row],[Rep_ID]],Dim_Reps!A:A,Dim_Reps!D:D)</f>
        <v>Enterprise</v>
      </c>
      <c r="R2416" t="str">
        <f>_xlfn.XLOOKUP(Pipeline_tbl[[#This Row],[Rep_ID]],Dim_Reps!A:A,Dim_Reps!E:E)</f>
        <v>EMEA</v>
      </c>
      <c r="S2416" t="str">
        <f>_xlfn.XLOOKUP(Pipeline_tbl[[#This Row],[Created_Date]],Dim_Date!A:A,Dim_Date!H:H)</f>
        <v>May 2024</v>
      </c>
      <c r="T2416" t="str">
        <f>IF(Pipeline_tbl[[#This Row],[Closed_Date]]=0,"",(_xlfn.XLOOKUP(Pipeline_tbl[[#This Row],[Closed_Date]],Dim_Date!A:A,Dim_Date!H:H)))</f>
        <v>Aug 2024</v>
      </c>
      <c r="U2416">
        <f>IF(Pipeline_tbl[[#This Row],[Closed_Date]]=0,"",Pipeline_tbl[[#This Row],[Closed_Date]]-Pipeline_tbl[[#This Row],[Created_Date]])</f>
        <v>78</v>
      </c>
    </row>
    <row r="2417" spans="1:21" ht="15" customHeight="1" x14ac:dyDescent="0.2">
      <c r="A2417" t="s">
        <v>2723</v>
      </c>
      <c r="B2417" t="s">
        <v>278</v>
      </c>
      <c r="C2417" t="s">
        <v>52</v>
      </c>
      <c r="D2417" s="49">
        <v>45422</v>
      </c>
      <c r="E2417" s="49">
        <v>45432</v>
      </c>
      <c r="F2417" s="49">
        <v>45451</v>
      </c>
      <c r="G2417" s="49">
        <v>45480</v>
      </c>
      <c r="H2417" s="49">
        <v>45504</v>
      </c>
      <c r="I2417" s="49">
        <v>45519</v>
      </c>
      <c r="J2417" t="s">
        <v>49</v>
      </c>
      <c r="K2417" s="33">
        <v>43700</v>
      </c>
      <c r="L2417" t="s">
        <v>61</v>
      </c>
      <c r="M2417" t="str">
        <f>_xlfn.XLOOKUP(Pipeline_tbl[[#This Row],[Rep_ID]],Dim_Reps!A:A,Dim_Reps!K:K)</f>
        <v>EUR</v>
      </c>
      <c r="N2417" s="33">
        <f>(_xlfn.XLOOKUP(Pipeline_tbl[[#This Row],[Rate_Code_Generalized]],Lookups!A:A,Lookups!B:B))*Pipeline_tbl[[#This Row],[Pipeline_Amount_USD]]</f>
        <v>43700</v>
      </c>
      <c r="O2417" t="str">
        <f>_xlfn.XLOOKUP(Pipeline_tbl[[#This Row],[Rep_ID]],Dim_Reps!A:A,Dim_Reps!B:B)</f>
        <v>Sara Andersson</v>
      </c>
      <c r="P2417" t="str">
        <f>_xlfn.XLOOKUP(Pipeline_tbl[[#This Row],[Rep_ID]],Dim_Reps!A:A,Dim_Reps!C:C)</f>
        <v>Senior Enterprise AE</v>
      </c>
      <c r="Q2417" t="str">
        <f>_xlfn.XLOOKUP(Pipeline_tbl[[#This Row],[Rep_ID]],Dim_Reps!A:A,Dim_Reps!D:D)</f>
        <v>Strategic</v>
      </c>
      <c r="R2417" t="str">
        <f>_xlfn.XLOOKUP(Pipeline_tbl[[#This Row],[Rep_ID]],Dim_Reps!A:A,Dim_Reps!E:E)</f>
        <v>APAC</v>
      </c>
      <c r="S2417" t="str">
        <f>_xlfn.XLOOKUP(Pipeline_tbl[[#This Row],[Created_Date]],Dim_Date!A:A,Dim_Date!H:H)</f>
        <v>May 2024</v>
      </c>
      <c r="T2417" t="str">
        <f>IF(Pipeline_tbl[[#This Row],[Closed_Date]]=0,"",(_xlfn.XLOOKUP(Pipeline_tbl[[#This Row],[Closed_Date]],Dim_Date!A:A,Dim_Date!H:H)))</f>
        <v>Aug 2024</v>
      </c>
      <c r="U2417">
        <f>IF(Pipeline_tbl[[#This Row],[Closed_Date]]=0,"",Pipeline_tbl[[#This Row],[Closed_Date]]-Pipeline_tbl[[#This Row],[Created_Date]])</f>
        <v>97</v>
      </c>
    </row>
    <row r="2418" spans="1:21" ht="15" customHeight="1" x14ac:dyDescent="0.2">
      <c r="A2418" t="s">
        <v>2724</v>
      </c>
      <c r="B2418" t="s">
        <v>278</v>
      </c>
      <c r="C2418" t="s">
        <v>53</v>
      </c>
      <c r="D2418" s="49">
        <v>45436</v>
      </c>
      <c r="E2418" s="49">
        <v>45443</v>
      </c>
      <c r="F2418" s="49">
        <v>45457</v>
      </c>
      <c r="I2418" s="49">
        <v>45505</v>
      </c>
      <c r="J2418" t="s">
        <v>49</v>
      </c>
      <c r="K2418" s="33">
        <v>65200</v>
      </c>
      <c r="L2418" t="s">
        <v>60</v>
      </c>
      <c r="M2418" t="str">
        <f>_xlfn.XLOOKUP(Pipeline_tbl[[#This Row],[Rep_ID]],Dim_Reps!A:A,Dim_Reps!K:K)</f>
        <v>EUR</v>
      </c>
      <c r="N2418" s="33">
        <f>(_xlfn.XLOOKUP(Pipeline_tbl[[#This Row],[Rate_Code_Generalized]],Lookups!A:A,Lookups!B:B))*Pipeline_tbl[[#This Row],[Pipeline_Amount_USD]]</f>
        <v>65200</v>
      </c>
      <c r="O2418" t="str">
        <f>_xlfn.XLOOKUP(Pipeline_tbl[[#This Row],[Rep_ID]],Dim_Reps!A:A,Dim_Reps!B:B)</f>
        <v>Sara Andersson</v>
      </c>
      <c r="P2418" t="str">
        <f>_xlfn.XLOOKUP(Pipeline_tbl[[#This Row],[Rep_ID]],Dim_Reps!A:A,Dim_Reps!C:C)</f>
        <v>Senior Enterprise AE</v>
      </c>
      <c r="Q2418" t="str">
        <f>_xlfn.XLOOKUP(Pipeline_tbl[[#This Row],[Rep_ID]],Dim_Reps!A:A,Dim_Reps!D:D)</f>
        <v>Strategic</v>
      </c>
      <c r="R2418" t="str">
        <f>_xlfn.XLOOKUP(Pipeline_tbl[[#This Row],[Rep_ID]],Dim_Reps!A:A,Dim_Reps!E:E)</f>
        <v>APAC</v>
      </c>
      <c r="S2418" t="str">
        <f>_xlfn.XLOOKUP(Pipeline_tbl[[#This Row],[Created_Date]],Dim_Date!A:A,Dim_Date!H:H)</f>
        <v>May 2024</v>
      </c>
      <c r="T2418" t="str">
        <f>IF(Pipeline_tbl[[#This Row],[Closed_Date]]=0,"",(_xlfn.XLOOKUP(Pipeline_tbl[[#This Row],[Closed_Date]],Dim_Date!A:A,Dim_Date!H:H)))</f>
        <v>Aug 2024</v>
      </c>
      <c r="U2418">
        <f>IF(Pipeline_tbl[[#This Row],[Closed_Date]]=0,"",Pipeline_tbl[[#This Row],[Closed_Date]]-Pipeline_tbl[[#This Row],[Created_Date]])</f>
        <v>69</v>
      </c>
    </row>
    <row r="2419" spans="1:21" ht="15" customHeight="1" x14ac:dyDescent="0.2">
      <c r="A2419" t="s">
        <v>2725</v>
      </c>
      <c r="B2419" t="s">
        <v>280</v>
      </c>
      <c r="C2419" t="s">
        <v>53</v>
      </c>
      <c r="D2419" s="49">
        <v>45430</v>
      </c>
      <c r="E2419" s="49">
        <v>45438</v>
      </c>
      <c r="F2419" s="49">
        <v>45453</v>
      </c>
      <c r="G2419" s="49">
        <v>45476</v>
      </c>
      <c r="I2419" s="49">
        <v>45506</v>
      </c>
      <c r="J2419" t="s">
        <v>49</v>
      </c>
      <c r="K2419" s="33">
        <v>48500</v>
      </c>
      <c r="L2419" t="s">
        <v>63</v>
      </c>
      <c r="M2419" t="str">
        <f>_xlfn.XLOOKUP(Pipeline_tbl[[#This Row],[Rep_ID]],Dim_Reps!A:A,Dim_Reps!K:K)</f>
        <v>MXN</v>
      </c>
      <c r="N2419" s="33">
        <f>(_xlfn.XLOOKUP(Pipeline_tbl[[#This Row],[Rate_Code_Generalized]],Lookups!A:A,Lookups!B:B))*Pipeline_tbl[[#This Row],[Pipeline_Amount_USD]]</f>
        <v>957035.95000000007</v>
      </c>
      <c r="O2419" t="str">
        <f>_xlfn.XLOOKUP(Pipeline_tbl[[#This Row],[Rep_ID]],Dim_Reps!A:A,Dim_Reps!B:B)</f>
        <v>Cameron Lund</v>
      </c>
      <c r="P2419" t="str">
        <f>_xlfn.XLOOKUP(Pipeline_tbl[[#This Row],[Rep_ID]],Dim_Reps!A:A,Dim_Reps!C:C)</f>
        <v>Senior Enterprise AE</v>
      </c>
      <c r="Q2419" t="str">
        <f>_xlfn.XLOOKUP(Pipeline_tbl[[#This Row],[Rep_ID]],Dim_Reps!A:A,Dim_Reps!D:D)</f>
        <v>Strategic</v>
      </c>
      <c r="R2419" t="str">
        <f>_xlfn.XLOOKUP(Pipeline_tbl[[#This Row],[Rep_ID]],Dim_Reps!A:A,Dim_Reps!E:E)</f>
        <v>LATAM</v>
      </c>
      <c r="S2419" t="str">
        <f>_xlfn.XLOOKUP(Pipeline_tbl[[#This Row],[Created_Date]],Dim_Date!A:A,Dim_Date!H:H)</f>
        <v>May 2024</v>
      </c>
      <c r="T2419" t="str">
        <f>IF(Pipeline_tbl[[#This Row],[Closed_Date]]=0,"",(_xlfn.XLOOKUP(Pipeline_tbl[[#This Row],[Closed_Date]],Dim_Date!A:A,Dim_Date!H:H)))</f>
        <v>Aug 2024</v>
      </c>
      <c r="U2419">
        <f>IF(Pipeline_tbl[[#This Row],[Closed_Date]]=0,"",Pipeline_tbl[[#This Row],[Closed_Date]]-Pipeline_tbl[[#This Row],[Created_Date]])</f>
        <v>76</v>
      </c>
    </row>
    <row r="2420" spans="1:21" ht="15" customHeight="1" x14ac:dyDescent="0.2">
      <c r="A2420" t="s">
        <v>2726</v>
      </c>
      <c r="B2420" t="s">
        <v>191</v>
      </c>
      <c r="C2420" t="s">
        <v>54</v>
      </c>
      <c r="D2420" s="49">
        <v>45440</v>
      </c>
      <c r="E2420" s="49">
        <v>45448</v>
      </c>
      <c r="F2420" s="49">
        <v>45464</v>
      </c>
      <c r="G2420" s="49">
        <v>45489</v>
      </c>
      <c r="I2420" s="49">
        <v>45521</v>
      </c>
      <c r="J2420" t="s">
        <v>49</v>
      </c>
      <c r="K2420" s="33">
        <v>51300</v>
      </c>
      <c r="L2420" t="s">
        <v>61</v>
      </c>
      <c r="M2420" t="str">
        <f>_xlfn.XLOOKUP(Pipeline_tbl[[#This Row],[Rep_ID]],Dim_Reps!A:A,Dim_Reps!K:K)</f>
        <v>USD</v>
      </c>
      <c r="N2420" s="33">
        <f>(_xlfn.XLOOKUP(Pipeline_tbl[[#This Row],[Rate_Code_Generalized]],Lookups!A:A,Lookups!B:B))*Pipeline_tbl[[#This Row],[Pipeline_Amount_USD]]</f>
        <v>59728.59</v>
      </c>
      <c r="O2420" t="str">
        <f>_xlfn.XLOOKUP(Pipeline_tbl[[#This Row],[Rep_ID]],Dim_Reps!A:A,Dim_Reps!B:B)</f>
        <v>Zara Duarte</v>
      </c>
      <c r="P2420" t="str">
        <f>_xlfn.XLOOKUP(Pipeline_tbl[[#This Row],[Rep_ID]],Dim_Reps!A:A,Dim_Reps!C:C)</f>
        <v>Enterprise AE</v>
      </c>
      <c r="Q2420" t="str">
        <f>_xlfn.XLOOKUP(Pipeline_tbl[[#This Row],[Rep_ID]],Dim_Reps!A:A,Dim_Reps!D:D)</f>
        <v>Enterprise</v>
      </c>
      <c r="R2420" t="str">
        <f>_xlfn.XLOOKUP(Pipeline_tbl[[#This Row],[Rep_ID]],Dim_Reps!A:A,Dim_Reps!E:E)</f>
        <v>NAMER</v>
      </c>
      <c r="S2420" t="str">
        <f>_xlfn.XLOOKUP(Pipeline_tbl[[#This Row],[Created_Date]],Dim_Date!A:A,Dim_Date!H:H)</f>
        <v>May 2024</v>
      </c>
      <c r="T2420" t="str">
        <f>IF(Pipeline_tbl[[#This Row],[Closed_Date]]=0,"",(_xlfn.XLOOKUP(Pipeline_tbl[[#This Row],[Closed_Date]],Dim_Date!A:A,Dim_Date!H:H)))</f>
        <v>Aug 2024</v>
      </c>
      <c r="U2420">
        <f>IF(Pipeline_tbl[[#This Row],[Closed_Date]]=0,"",Pipeline_tbl[[#This Row],[Closed_Date]]-Pipeline_tbl[[#This Row],[Created_Date]])</f>
        <v>81</v>
      </c>
    </row>
    <row r="2421" spans="1:21" ht="15" customHeight="1" x14ac:dyDescent="0.2">
      <c r="A2421" t="s">
        <v>2727</v>
      </c>
      <c r="B2421" t="s">
        <v>191</v>
      </c>
      <c r="C2421" t="s">
        <v>53</v>
      </c>
      <c r="D2421" s="49">
        <v>45436</v>
      </c>
      <c r="E2421" s="49">
        <v>45445</v>
      </c>
      <c r="I2421" s="49">
        <v>45522</v>
      </c>
      <c r="J2421" t="s">
        <v>49</v>
      </c>
      <c r="K2421" s="33">
        <v>42900</v>
      </c>
      <c r="L2421" t="s">
        <v>60</v>
      </c>
      <c r="M2421" t="str">
        <f>_xlfn.XLOOKUP(Pipeline_tbl[[#This Row],[Rep_ID]],Dim_Reps!A:A,Dim_Reps!K:K)</f>
        <v>USD</v>
      </c>
      <c r="N2421" s="33">
        <f>(_xlfn.XLOOKUP(Pipeline_tbl[[#This Row],[Rate_Code_Generalized]],Lookups!A:A,Lookups!B:B))*Pipeline_tbl[[#This Row],[Pipeline_Amount_USD]]</f>
        <v>49948.469999999994</v>
      </c>
      <c r="O2421" t="str">
        <f>_xlfn.XLOOKUP(Pipeline_tbl[[#This Row],[Rep_ID]],Dim_Reps!A:A,Dim_Reps!B:B)</f>
        <v>Zara Duarte</v>
      </c>
      <c r="P2421" t="str">
        <f>_xlfn.XLOOKUP(Pipeline_tbl[[#This Row],[Rep_ID]],Dim_Reps!A:A,Dim_Reps!C:C)</f>
        <v>Enterprise AE</v>
      </c>
      <c r="Q2421" t="str">
        <f>_xlfn.XLOOKUP(Pipeline_tbl[[#This Row],[Rep_ID]],Dim_Reps!A:A,Dim_Reps!D:D)</f>
        <v>Enterprise</v>
      </c>
      <c r="R2421" t="str">
        <f>_xlfn.XLOOKUP(Pipeline_tbl[[#This Row],[Rep_ID]],Dim_Reps!A:A,Dim_Reps!E:E)</f>
        <v>NAMER</v>
      </c>
      <c r="S2421" t="str">
        <f>_xlfn.XLOOKUP(Pipeline_tbl[[#This Row],[Created_Date]],Dim_Date!A:A,Dim_Date!H:H)</f>
        <v>May 2024</v>
      </c>
      <c r="T2421" t="str">
        <f>IF(Pipeline_tbl[[#This Row],[Closed_Date]]=0,"",(_xlfn.XLOOKUP(Pipeline_tbl[[#This Row],[Closed_Date]],Dim_Date!A:A,Dim_Date!H:H)))</f>
        <v>Aug 2024</v>
      </c>
      <c r="U2421">
        <f>IF(Pipeline_tbl[[#This Row],[Closed_Date]]=0,"",Pipeline_tbl[[#This Row],[Closed_Date]]-Pipeline_tbl[[#This Row],[Created_Date]])</f>
        <v>86</v>
      </c>
    </row>
    <row r="2422" spans="1:21" ht="15" customHeight="1" x14ac:dyDescent="0.2">
      <c r="A2422" t="s">
        <v>2728</v>
      </c>
      <c r="B2422" t="s">
        <v>191</v>
      </c>
      <c r="C2422" t="s">
        <v>52</v>
      </c>
      <c r="D2422" s="49">
        <v>45415</v>
      </c>
      <c r="E2422" s="49">
        <v>45424</v>
      </c>
      <c r="I2422" s="49">
        <v>45505</v>
      </c>
      <c r="J2422" t="s">
        <v>49</v>
      </c>
      <c r="K2422" s="33">
        <v>68200</v>
      </c>
      <c r="L2422" t="s">
        <v>61</v>
      </c>
      <c r="M2422" t="str">
        <f>_xlfn.XLOOKUP(Pipeline_tbl[[#This Row],[Rep_ID]],Dim_Reps!A:A,Dim_Reps!K:K)</f>
        <v>USD</v>
      </c>
      <c r="N2422" s="33">
        <f>(_xlfn.XLOOKUP(Pipeline_tbl[[#This Row],[Rate_Code_Generalized]],Lookups!A:A,Lookups!B:B))*Pipeline_tbl[[#This Row],[Pipeline_Amount_USD]]</f>
        <v>79405.259999999995</v>
      </c>
      <c r="O2422" t="str">
        <f>_xlfn.XLOOKUP(Pipeline_tbl[[#This Row],[Rep_ID]],Dim_Reps!A:A,Dim_Reps!B:B)</f>
        <v>Zara Duarte</v>
      </c>
      <c r="P2422" t="str">
        <f>_xlfn.XLOOKUP(Pipeline_tbl[[#This Row],[Rep_ID]],Dim_Reps!A:A,Dim_Reps!C:C)</f>
        <v>Enterprise AE</v>
      </c>
      <c r="Q2422" t="str">
        <f>_xlfn.XLOOKUP(Pipeline_tbl[[#This Row],[Rep_ID]],Dim_Reps!A:A,Dim_Reps!D:D)</f>
        <v>Enterprise</v>
      </c>
      <c r="R2422" t="str">
        <f>_xlfn.XLOOKUP(Pipeline_tbl[[#This Row],[Rep_ID]],Dim_Reps!A:A,Dim_Reps!E:E)</f>
        <v>NAMER</v>
      </c>
      <c r="S2422" t="str">
        <f>_xlfn.XLOOKUP(Pipeline_tbl[[#This Row],[Created_Date]],Dim_Date!A:A,Dim_Date!H:H)</f>
        <v>May 2024</v>
      </c>
      <c r="T2422" t="str">
        <f>IF(Pipeline_tbl[[#This Row],[Closed_Date]]=0,"",(_xlfn.XLOOKUP(Pipeline_tbl[[#This Row],[Closed_Date]],Dim_Date!A:A,Dim_Date!H:H)))</f>
        <v>Aug 2024</v>
      </c>
      <c r="U2422">
        <f>IF(Pipeline_tbl[[#This Row],[Closed_Date]]=0,"",Pipeline_tbl[[#This Row],[Closed_Date]]-Pipeline_tbl[[#This Row],[Created_Date]])</f>
        <v>90</v>
      </c>
    </row>
    <row r="2423" spans="1:21" ht="15" customHeight="1" x14ac:dyDescent="0.2">
      <c r="A2423" t="s">
        <v>2729</v>
      </c>
      <c r="B2423" t="s">
        <v>243</v>
      </c>
      <c r="C2423" t="s">
        <v>54</v>
      </c>
      <c r="D2423" s="49">
        <v>45433</v>
      </c>
      <c r="E2423" s="49">
        <v>45438</v>
      </c>
      <c r="F2423" s="49">
        <v>45448</v>
      </c>
      <c r="G2423" s="49">
        <v>45464</v>
      </c>
      <c r="I2423" s="49">
        <v>45484</v>
      </c>
      <c r="J2423" t="s">
        <v>49</v>
      </c>
      <c r="K2423" s="33">
        <v>17300</v>
      </c>
      <c r="L2423" t="s">
        <v>60</v>
      </c>
      <c r="M2423" t="str">
        <f>_xlfn.XLOOKUP(Pipeline_tbl[[#This Row],[Rep_ID]],Dim_Reps!A:A,Dim_Reps!K:K)</f>
        <v>MXN</v>
      </c>
      <c r="N2423" s="33">
        <f>(_xlfn.XLOOKUP(Pipeline_tbl[[#This Row],[Rate_Code_Generalized]],Lookups!A:A,Lookups!B:B))*Pipeline_tbl[[#This Row],[Pipeline_Amount_USD]]</f>
        <v>341375.71</v>
      </c>
      <c r="O2423" t="str">
        <f>_xlfn.XLOOKUP(Pipeline_tbl[[#This Row],[Rep_ID]],Dim_Reps!A:A,Dim_Reps!B:B)</f>
        <v>Jonas Sato</v>
      </c>
      <c r="P2423" t="str">
        <f>_xlfn.XLOOKUP(Pipeline_tbl[[#This Row],[Rep_ID]],Dim_Reps!A:A,Dim_Reps!C:C)</f>
        <v>Mid-Market AE</v>
      </c>
      <c r="Q2423" t="str">
        <f>_xlfn.XLOOKUP(Pipeline_tbl[[#This Row],[Rep_ID]],Dim_Reps!A:A,Dim_Reps!D:D)</f>
        <v>Mid-Market</v>
      </c>
      <c r="R2423" t="str">
        <f>_xlfn.XLOOKUP(Pipeline_tbl[[#This Row],[Rep_ID]],Dim_Reps!A:A,Dim_Reps!E:E)</f>
        <v>LATAM</v>
      </c>
      <c r="S2423" t="str">
        <f>_xlfn.XLOOKUP(Pipeline_tbl[[#This Row],[Created_Date]],Dim_Date!A:A,Dim_Date!H:H)</f>
        <v>May 2024</v>
      </c>
      <c r="T2423" t="str">
        <f>IF(Pipeline_tbl[[#This Row],[Closed_Date]]=0,"",(_xlfn.XLOOKUP(Pipeline_tbl[[#This Row],[Closed_Date]],Dim_Date!A:A,Dim_Date!H:H)))</f>
        <v>Jul 2024</v>
      </c>
      <c r="U2423">
        <f>IF(Pipeline_tbl[[#This Row],[Closed_Date]]=0,"",Pipeline_tbl[[#This Row],[Closed_Date]]-Pipeline_tbl[[#This Row],[Created_Date]])</f>
        <v>51</v>
      </c>
    </row>
    <row r="2424" spans="1:21" ht="15" customHeight="1" x14ac:dyDescent="0.2">
      <c r="A2424" t="s">
        <v>2730</v>
      </c>
      <c r="B2424" t="s">
        <v>181</v>
      </c>
      <c r="C2424" t="s">
        <v>56</v>
      </c>
      <c r="D2424" s="49">
        <v>45415</v>
      </c>
      <c r="E2424" s="49">
        <v>45422</v>
      </c>
      <c r="F2424" s="49">
        <v>45435</v>
      </c>
      <c r="I2424" s="49">
        <v>45483</v>
      </c>
      <c r="J2424" t="s">
        <v>49</v>
      </c>
      <c r="K2424" s="33">
        <v>38400</v>
      </c>
      <c r="L2424" t="s">
        <v>63</v>
      </c>
      <c r="M2424" t="str">
        <f>_xlfn.XLOOKUP(Pipeline_tbl[[#This Row],[Rep_ID]],Dim_Reps!A:A,Dim_Reps!K:K)</f>
        <v>USD</v>
      </c>
      <c r="N2424" s="33">
        <f>(_xlfn.XLOOKUP(Pipeline_tbl[[#This Row],[Rate_Code_Generalized]],Lookups!A:A,Lookups!B:B))*Pipeline_tbl[[#This Row],[Pipeline_Amount_USD]]</f>
        <v>44709.119999999995</v>
      </c>
      <c r="O2424" t="str">
        <f>_xlfn.XLOOKUP(Pipeline_tbl[[#This Row],[Rep_ID]],Dim_Reps!A:A,Dim_Reps!B:B)</f>
        <v>Milo Weber</v>
      </c>
      <c r="P2424" t="str">
        <f>_xlfn.XLOOKUP(Pipeline_tbl[[#This Row],[Rep_ID]],Dim_Reps!A:A,Dim_Reps!C:C)</f>
        <v>Enterprise AE</v>
      </c>
      <c r="Q2424" t="str">
        <f>_xlfn.XLOOKUP(Pipeline_tbl[[#This Row],[Rep_ID]],Dim_Reps!A:A,Dim_Reps!D:D)</f>
        <v>Enterprise</v>
      </c>
      <c r="R2424" t="str">
        <f>_xlfn.XLOOKUP(Pipeline_tbl[[#This Row],[Rep_ID]],Dim_Reps!A:A,Dim_Reps!E:E)</f>
        <v>NAMER</v>
      </c>
      <c r="S2424" t="str">
        <f>_xlfn.XLOOKUP(Pipeline_tbl[[#This Row],[Created_Date]],Dim_Date!A:A,Dim_Date!H:H)</f>
        <v>May 2024</v>
      </c>
      <c r="T2424" t="str">
        <f>IF(Pipeline_tbl[[#This Row],[Closed_Date]]=0,"",(_xlfn.XLOOKUP(Pipeline_tbl[[#This Row],[Closed_Date]],Dim_Date!A:A,Dim_Date!H:H)))</f>
        <v>Jul 2024</v>
      </c>
      <c r="U2424">
        <f>IF(Pipeline_tbl[[#This Row],[Closed_Date]]=0,"",Pipeline_tbl[[#This Row],[Closed_Date]]-Pipeline_tbl[[#This Row],[Created_Date]])</f>
        <v>68</v>
      </c>
    </row>
    <row r="2425" spans="1:21" ht="15" customHeight="1" x14ac:dyDescent="0.2">
      <c r="A2425" t="s">
        <v>2731</v>
      </c>
      <c r="B2425" t="s">
        <v>183</v>
      </c>
      <c r="C2425" t="s">
        <v>56</v>
      </c>
      <c r="D2425" s="49">
        <v>45439</v>
      </c>
      <c r="E2425" s="49">
        <v>45445</v>
      </c>
      <c r="F2425" s="49">
        <v>45456</v>
      </c>
      <c r="G2425" s="49">
        <v>45472</v>
      </c>
      <c r="H2425" s="49">
        <v>45486</v>
      </c>
      <c r="I2425" s="49">
        <v>45494</v>
      </c>
      <c r="J2425" t="s">
        <v>47</v>
      </c>
      <c r="K2425" s="33">
        <v>23200</v>
      </c>
      <c r="M2425" t="str">
        <f>_xlfn.XLOOKUP(Pipeline_tbl[[#This Row],[Rep_ID]],Dim_Reps!A:A,Dim_Reps!K:K)</f>
        <v>EUR</v>
      </c>
      <c r="N2425" s="33">
        <f>(_xlfn.XLOOKUP(Pipeline_tbl[[#This Row],[Rate_Code_Generalized]],Lookups!A:A,Lookups!B:B))*Pipeline_tbl[[#This Row],[Pipeline_Amount_USD]]</f>
        <v>23200</v>
      </c>
      <c r="O2425" t="str">
        <f>_xlfn.XLOOKUP(Pipeline_tbl[[#This Row],[Rep_ID]],Dim_Reps!A:A,Dim_Reps!B:B)</f>
        <v>Sam Schmidt</v>
      </c>
      <c r="P2425" t="str">
        <f>_xlfn.XLOOKUP(Pipeline_tbl[[#This Row],[Rep_ID]],Dim_Reps!A:A,Dim_Reps!C:C)</f>
        <v>Enterprise AE</v>
      </c>
      <c r="Q2425" t="str">
        <f>_xlfn.XLOOKUP(Pipeline_tbl[[#This Row],[Rep_ID]],Dim_Reps!A:A,Dim_Reps!D:D)</f>
        <v>Enterprise</v>
      </c>
      <c r="R2425" t="str">
        <f>_xlfn.XLOOKUP(Pipeline_tbl[[#This Row],[Rep_ID]],Dim_Reps!A:A,Dim_Reps!E:E)</f>
        <v>EMEA</v>
      </c>
      <c r="S2425" t="str">
        <f>_xlfn.XLOOKUP(Pipeline_tbl[[#This Row],[Created_Date]],Dim_Date!A:A,Dim_Date!H:H)</f>
        <v>May 2024</v>
      </c>
      <c r="T2425" t="str">
        <f>IF(Pipeline_tbl[[#This Row],[Closed_Date]]=0,"",(_xlfn.XLOOKUP(Pipeline_tbl[[#This Row],[Closed_Date]],Dim_Date!A:A,Dim_Date!H:H)))</f>
        <v>Jul 2024</v>
      </c>
      <c r="U2425">
        <f>IF(Pipeline_tbl[[#This Row],[Closed_Date]]=0,"",Pipeline_tbl[[#This Row],[Closed_Date]]-Pipeline_tbl[[#This Row],[Created_Date]])</f>
        <v>55</v>
      </c>
    </row>
    <row r="2426" spans="1:21" ht="15" customHeight="1" x14ac:dyDescent="0.2">
      <c r="A2426" t="s">
        <v>2732</v>
      </c>
      <c r="B2426" t="s">
        <v>183</v>
      </c>
      <c r="C2426" t="s">
        <v>54</v>
      </c>
      <c r="D2426" s="49">
        <v>45413</v>
      </c>
      <c r="E2426" s="49">
        <v>45420</v>
      </c>
      <c r="F2426" s="49">
        <v>45435</v>
      </c>
      <c r="G2426" s="49">
        <v>45457</v>
      </c>
      <c r="H2426" s="49">
        <v>45475</v>
      </c>
      <c r="I2426" s="49">
        <v>45486</v>
      </c>
      <c r="J2426" t="s">
        <v>47</v>
      </c>
      <c r="K2426" s="33">
        <v>26300</v>
      </c>
      <c r="M2426" t="str">
        <f>_xlfn.XLOOKUP(Pipeline_tbl[[#This Row],[Rep_ID]],Dim_Reps!A:A,Dim_Reps!K:K)</f>
        <v>EUR</v>
      </c>
      <c r="N2426" s="33">
        <f>(_xlfn.XLOOKUP(Pipeline_tbl[[#This Row],[Rate_Code_Generalized]],Lookups!A:A,Lookups!B:B))*Pipeline_tbl[[#This Row],[Pipeline_Amount_USD]]</f>
        <v>26300</v>
      </c>
      <c r="O2426" t="str">
        <f>_xlfn.XLOOKUP(Pipeline_tbl[[#This Row],[Rep_ID]],Dim_Reps!A:A,Dim_Reps!B:B)</f>
        <v>Sam Schmidt</v>
      </c>
      <c r="P2426" t="str">
        <f>_xlfn.XLOOKUP(Pipeline_tbl[[#This Row],[Rep_ID]],Dim_Reps!A:A,Dim_Reps!C:C)</f>
        <v>Enterprise AE</v>
      </c>
      <c r="Q2426" t="str">
        <f>_xlfn.XLOOKUP(Pipeline_tbl[[#This Row],[Rep_ID]],Dim_Reps!A:A,Dim_Reps!D:D)</f>
        <v>Enterprise</v>
      </c>
      <c r="R2426" t="str">
        <f>_xlfn.XLOOKUP(Pipeline_tbl[[#This Row],[Rep_ID]],Dim_Reps!A:A,Dim_Reps!E:E)</f>
        <v>EMEA</v>
      </c>
      <c r="S2426" t="str">
        <f>_xlfn.XLOOKUP(Pipeline_tbl[[#This Row],[Created_Date]],Dim_Date!A:A,Dim_Date!H:H)</f>
        <v>May 2024</v>
      </c>
      <c r="T2426" t="str">
        <f>IF(Pipeline_tbl[[#This Row],[Closed_Date]]=0,"",(_xlfn.XLOOKUP(Pipeline_tbl[[#This Row],[Closed_Date]],Dim_Date!A:A,Dim_Date!H:H)))</f>
        <v>Jul 2024</v>
      </c>
      <c r="U2426">
        <f>IF(Pipeline_tbl[[#This Row],[Closed_Date]]=0,"",Pipeline_tbl[[#This Row],[Closed_Date]]-Pipeline_tbl[[#This Row],[Created_Date]])</f>
        <v>73</v>
      </c>
    </row>
    <row r="2427" spans="1:21" ht="15" customHeight="1" x14ac:dyDescent="0.2">
      <c r="A2427" t="s">
        <v>2733</v>
      </c>
      <c r="B2427" t="s">
        <v>183</v>
      </c>
      <c r="C2427" t="s">
        <v>52</v>
      </c>
      <c r="D2427" s="49">
        <v>45422</v>
      </c>
      <c r="E2427" s="49">
        <v>45428</v>
      </c>
      <c r="F2427" s="49">
        <v>45439</v>
      </c>
      <c r="G2427" s="49">
        <v>45455</v>
      </c>
      <c r="H2427" s="49">
        <v>45469</v>
      </c>
      <c r="I2427" s="49">
        <v>45477</v>
      </c>
      <c r="J2427" t="s">
        <v>49</v>
      </c>
      <c r="K2427" s="33">
        <v>16400</v>
      </c>
      <c r="L2427" t="s">
        <v>60</v>
      </c>
      <c r="M2427" t="str">
        <f>_xlfn.XLOOKUP(Pipeline_tbl[[#This Row],[Rep_ID]],Dim_Reps!A:A,Dim_Reps!K:K)</f>
        <v>EUR</v>
      </c>
      <c r="N2427" s="33">
        <f>(_xlfn.XLOOKUP(Pipeline_tbl[[#This Row],[Rate_Code_Generalized]],Lookups!A:A,Lookups!B:B))*Pipeline_tbl[[#This Row],[Pipeline_Amount_USD]]</f>
        <v>16400</v>
      </c>
      <c r="O2427" t="str">
        <f>_xlfn.XLOOKUP(Pipeline_tbl[[#This Row],[Rep_ID]],Dim_Reps!A:A,Dim_Reps!B:B)</f>
        <v>Sam Schmidt</v>
      </c>
      <c r="P2427" t="str">
        <f>_xlfn.XLOOKUP(Pipeline_tbl[[#This Row],[Rep_ID]],Dim_Reps!A:A,Dim_Reps!C:C)</f>
        <v>Enterprise AE</v>
      </c>
      <c r="Q2427" t="str">
        <f>_xlfn.XLOOKUP(Pipeline_tbl[[#This Row],[Rep_ID]],Dim_Reps!A:A,Dim_Reps!D:D)</f>
        <v>Enterprise</v>
      </c>
      <c r="R2427" t="str">
        <f>_xlfn.XLOOKUP(Pipeline_tbl[[#This Row],[Rep_ID]],Dim_Reps!A:A,Dim_Reps!E:E)</f>
        <v>EMEA</v>
      </c>
      <c r="S2427" t="str">
        <f>_xlfn.XLOOKUP(Pipeline_tbl[[#This Row],[Created_Date]],Dim_Date!A:A,Dim_Date!H:H)</f>
        <v>May 2024</v>
      </c>
      <c r="T2427" t="str">
        <f>IF(Pipeline_tbl[[#This Row],[Closed_Date]]=0,"",(_xlfn.XLOOKUP(Pipeline_tbl[[#This Row],[Closed_Date]],Dim_Date!A:A,Dim_Date!H:H)))</f>
        <v>Jul 2024</v>
      </c>
      <c r="U2427">
        <f>IF(Pipeline_tbl[[#This Row],[Closed_Date]]=0,"",Pipeline_tbl[[#This Row],[Closed_Date]]-Pipeline_tbl[[#This Row],[Created_Date]])</f>
        <v>55</v>
      </c>
    </row>
    <row r="2428" spans="1:21" ht="15" customHeight="1" x14ac:dyDescent="0.2">
      <c r="A2428" t="s">
        <v>2734</v>
      </c>
      <c r="B2428" t="s">
        <v>188</v>
      </c>
      <c r="C2428" t="s">
        <v>52</v>
      </c>
      <c r="D2428" s="49">
        <v>45416</v>
      </c>
      <c r="E2428" s="49">
        <v>45422</v>
      </c>
      <c r="F2428" s="49">
        <v>45436</v>
      </c>
      <c r="G2428" s="49">
        <v>45455</v>
      </c>
      <c r="I2428" s="49">
        <v>45481</v>
      </c>
      <c r="J2428" t="s">
        <v>49</v>
      </c>
      <c r="K2428" s="33">
        <v>60900</v>
      </c>
      <c r="L2428" t="s">
        <v>61</v>
      </c>
      <c r="M2428" t="str">
        <f>_xlfn.XLOOKUP(Pipeline_tbl[[#This Row],[Rep_ID]],Dim_Reps!A:A,Dim_Reps!K:K)</f>
        <v>EUR</v>
      </c>
      <c r="N2428" s="33">
        <f>(_xlfn.XLOOKUP(Pipeline_tbl[[#This Row],[Rate_Code_Generalized]],Lookups!A:A,Lookups!B:B))*Pipeline_tbl[[#This Row],[Pipeline_Amount_USD]]</f>
        <v>60900</v>
      </c>
      <c r="O2428" t="str">
        <f>_xlfn.XLOOKUP(Pipeline_tbl[[#This Row],[Rep_ID]],Dim_Reps!A:A,Dim_Reps!B:B)</f>
        <v>Jamie Santos</v>
      </c>
      <c r="P2428" t="str">
        <f>_xlfn.XLOOKUP(Pipeline_tbl[[#This Row],[Rep_ID]],Dim_Reps!A:A,Dim_Reps!C:C)</f>
        <v>Enterprise AE</v>
      </c>
      <c r="Q2428" t="str">
        <f>_xlfn.XLOOKUP(Pipeline_tbl[[#This Row],[Rep_ID]],Dim_Reps!A:A,Dim_Reps!D:D)</f>
        <v>Enterprise</v>
      </c>
      <c r="R2428" t="str">
        <f>_xlfn.XLOOKUP(Pipeline_tbl[[#This Row],[Rep_ID]],Dim_Reps!A:A,Dim_Reps!E:E)</f>
        <v>APAC</v>
      </c>
      <c r="S2428" t="str">
        <f>_xlfn.XLOOKUP(Pipeline_tbl[[#This Row],[Created_Date]],Dim_Date!A:A,Dim_Date!H:H)</f>
        <v>May 2024</v>
      </c>
      <c r="T2428" t="str">
        <f>IF(Pipeline_tbl[[#This Row],[Closed_Date]]=0,"",(_xlfn.XLOOKUP(Pipeline_tbl[[#This Row],[Closed_Date]],Dim_Date!A:A,Dim_Date!H:H)))</f>
        <v>Jul 2024</v>
      </c>
      <c r="U2428">
        <f>IF(Pipeline_tbl[[#This Row],[Closed_Date]]=0,"",Pipeline_tbl[[#This Row],[Closed_Date]]-Pipeline_tbl[[#This Row],[Created_Date]])</f>
        <v>65</v>
      </c>
    </row>
    <row r="2429" spans="1:21" ht="15" customHeight="1" x14ac:dyDescent="0.2">
      <c r="A2429" t="s">
        <v>2735</v>
      </c>
      <c r="B2429" t="s">
        <v>188</v>
      </c>
      <c r="C2429" t="s">
        <v>52</v>
      </c>
      <c r="D2429" s="49">
        <v>45442</v>
      </c>
      <c r="E2429" s="49">
        <v>45446</v>
      </c>
      <c r="I2429" s="49">
        <v>45484</v>
      </c>
      <c r="J2429" t="s">
        <v>49</v>
      </c>
      <c r="K2429" s="33">
        <v>17000</v>
      </c>
      <c r="L2429" t="s">
        <v>60</v>
      </c>
      <c r="M2429" t="str">
        <f>_xlfn.XLOOKUP(Pipeline_tbl[[#This Row],[Rep_ID]],Dim_Reps!A:A,Dim_Reps!K:K)</f>
        <v>EUR</v>
      </c>
      <c r="N2429" s="33">
        <f>(_xlfn.XLOOKUP(Pipeline_tbl[[#This Row],[Rate_Code_Generalized]],Lookups!A:A,Lookups!B:B))*Pipeline_tbl[[#This Row],[Pipeline_Amount_USD]]</f>
        <v>17000</v>
      </c>
      <c r="O2429" t="str">
        <f>_xlfn.XLOOKUP(Pipeline_tbl[[#This Row],[Rep_ID]],Dim_Reps!A:A,Dim_Reps!B:B)</f>
        <v>Jamie Santos</v>
      </c>
      <c r="P2429" t="str">
        <f>_xlfn.XLOOKUP(Pipeline_tbl[[#This Row],[Rep_ID]],Dim_Reps!A:A,Dim_Reps!C:C)</f>
        <v>Enterprise AE</v>
      </c>
      <c r="Q2429" t="str">
        <f>_xlfn.XLOOKUP(Pipeline_tbl[[#This Row],[Rep_ID]],Dim_Reps!A:A,Dim_Reps!D:D)</f>
        <v>Enterprise</v>
      </c>
      <c r="R2429" t="str">
        <f>_xlfn.XLOOKUP(Pipeline_tbl[[#This Row],[Rep_ID]],Dim_Reps!A:A,Dim_Reps!E:E)</f>
        <v>APAC</v>
      </c>
      <c r="S2429" t="str">
        <f>_xlfn.XLOOKUP(Pipeline_tbl[[#This Row],[Created_Date]],Dim_Date!A:A,Dim_Date!H:H)</f>
        <v>May 2024</v>
      </c>
      <c r="T2429" t="str">
        <f>IF(Pipeline_tbl[[#This Row],[Closed_Date]]=0,"",(_xlfn.XLOOKUP(Pipeline_tbl[[#This Row],[Closed_Date]],Dim_Date!A:A,Dim_Date!H:H)))</f>
        <v>Jul 2024</v>
      </c>
      <c r="U2429">
        <f>IF(Pipeline_tbl[[#This Row],[Closed_Date]]=0,"",Pipeline_tbl[[#This Row],[Closed_Date]]-Pipeline_tbl[[#This Row],[Created_Date]])</f>
        <v>42</v>
      </c>
    </row>
    <row r="2430" spans="1:21" ht="15" customHeight="1" x14ac:dyDescent="0.2">
      <c r="A2430" t="s">
        <v>2736</v>
      </c>
      <c r="B2430" t="s">
        <v>188</v>
      </c>
      <c r="C2430" t="s">
        <v>53</v>
      </c>
      <c r="D2430" s="49">
        <v>45423</v>
      </c>
      <c r="E2430" s="49">
        <v>45430</v>
      </c>
      <c r="F2430" s="49">
        <v>45445</v>
      </c>
      <c r="G2430" s="49">
        <v>45466</v>
      </c>
      <c r="I2430" s="49">
        <v>45495</v>
      </c>
      <c r="J2430" t="s">
        <v>49</v>
      </c>
      <c r="K2430" s="33">
        <v>34200</v>
      </c>
      <c r="L2430" t="s">
        <v>62</v>
      </c>
      <c r="M2430" t="str">
        <f>_xlfn.XLOOKUP(Pipeline_tbl[[#This Row],[Rep_ID]],Dim_Reps!A:A,Dim_Reps!K:K)</f>
        <v>EUR</v>
      </c>
      <c r="N2430" s="33">
        <f>(_xlfn.XLOOKUP(Pipeline_tbl[[#This Row],[Rate_Code_Generalized]],Lookups!A:A,Lookups!B:B))*Pipeline_tbl[[#This Row],[Pipeline_Amount_USD]]</f>
        <v>34200</v>
      </c>
      <c r="O2430" t="str">
        <f>_xlfn.XLOOKUP(Pipeline_tbl[[#This Row],[Rep_ID]],Dim_Reps!A:A,Dim_Reps!B:B)</f>
        <v>Jamie Santos</v>
      </c>
      <c r="P2430" t="str">
        <f>_xlfn.XLOOKUP(Pipeline_tbl[[#This Row],[Rep_ID]],Dim_Reps!A:A,Dim_Reps!C:C)</f>
        <v>Enterprise AE</v>
      </c>
      <c r="Q2430" t="str">
        <f>_xlfn.XLOOKUP(Pipeline_tbl[[#This Row],[Rep_ID]],Dim_Reps!A:A,Dim_Reps!D:D)</f>
        <v>Enterprise</v>
      </c>
      <c r="R2430" t="str">
        <f>_xlfn.XLOOKUP(Pipeline_tbl[[#This Row],[Rep_ID]],Dim_Reps!A:A,Dim_Reps!E:E)</f>
        <v>APAC</v>
      </c>
      <c r="S2430" t="str">
        <f>_xlfn.XLOOKUP(Pipeline_tbl[[#This Row],[Created_Date]],Dim_Date!A:A,Dim_Date!H:H)</f>
        <v>May 2024</v>
      </c>
      <c r="T2430" t="str">
        <f>IF(Pipeline_tbl[[#This Row],[Closed_Date]]=0,"",(_xlfn.XLOOKUP(Pipeline_tbl[[#This Row],[Closed_Date]],Dim_Date!A:A,Dim_Date!H:H)))</f>
        <v>Jul 2024</v>
      </c>
      <c r="U2430">
        <f>IF(Pipeline_tbl[[#This Row],[Closed_Date]]=0,"",Pipeline_tbl[[#This Row],[Closed_Date]]-Pipeline_tbl[[#This Row],[Created_Date]])</f>
        <v>72</v>
      </c>
    </row>
    <row r="2431" spans="1:21" ht="15" customHeight="1" x14ac:dyDescent="0.2">
      <c r="A2431" t="s">
        <v>2737</v>
      </c>
      <c r="B2431" t="s">
        <v>188</v>
      </c>
      <c r="C2431" t="s">
        <v>54</v>
      </c>
      <c r="D2431" s="49">
        <v>45422</v>
      </c>
      <c r="E2431" s="49">
        <v>45429</v>
      </c>
      <c r="F2431" s="49">
        <v>45444</v>
      </c>
      <c r="G2431" s="49">
        <v>45466</v>
      </c>
      <c r="I2431" s="49">
        <v>45495</v>
      </c>
      <c r="J2431" t="s">
        <v>49</v>
      </c>
      <c r="K2431" s="33">
        <v>25300</v>
      </c>
      <c r="L2431" t="s">
        <v>60</v>
      </c>
      <c r="M2431" t="str">
        <f>_xlfn.XLOOKUP(Pipeline_tbl[[#This Row],[Rep_ID]],Dim_Reps!A:A,Dim_Reps!K:K)</f>
        <v>EUR</v>
      </c>
      <c r="N2431" s="33">
        <f>(_xlfn.XLOOKUP(Pipeline_tbl[[#This Row],[Rate_Code_Generalized]],Lookups!A:A,Lookups!B:B))*Pipeline_tbl[[#This Row],[Pipeline_Amount_USD]]</f>
        <v>25300</v>
      </c>
      <c r="O2431" t="str">
        <f>_xlfn.XLOOKUP(Pipeline_tbl[[#This Row],[Rep_ID]],Dim_Reps!A:A,Dim_Reps!B:B)</f>
        <v>Jamie Santos</v>
      </c>
      <c r="P2431" t="str">
        <f>_xlfn.XLOOKUP(Pipeline_tbl[[#This Row],[Rep_ID]],Dim_Reps!A:A,Dim_Reps!C:C)</f>
        <v>Enterprise AE</v>
      </c>
      <c r="Q2431" t="str">
        <f>_xlfn.XLOOKUP(Pipeline_tbl[[#This Row],[Rep_ID]],Dim_Reps!A:A,Dim_Reps!D:D)</f>
        <v>Enterprise</v>
      </c>
      <c r="R2431" t="str">
        <f>_xlfn.XLOOKUP(Pipeline_tbl[[#This Row],[Rep_ID]],Dim_Reps!A:A,Dim_Reps!E:E)</f>
        <v>APAC</v>
      </c>
      <c r="S2431" t="str">
        <f>_xlfn.XLOOKUP(Pipeline_tbl[[#This Row],[Created_Date]],Dim_Date!A:A,Dim_Date!H:H)</f>
        <v>May 2024</v>
      </c>
      <c r="T2431" t="str">
        <f>IF(Pipeline_tbl[[#This Row],[Closed_Date]]=0,"",(_xlfn.XLOOKUP(Pipeline_tbl[[#This Row],[Closed_Date]],Dim_Date!A:A,Dim_Date!H:H)))</f>
        <v>Jul 2024</v>
      </c>
      <c r="U2431">
        <f>IF(Pipeline_tbl[[#This Row],[Closed_Date]]=0,"",Pipeline_tbl[[#This Row],[Closed_Date]]-Pipeline_tbl[[#This Row],[Created_Date]])</f>
        <v>73</v>
      </c>
    </row>
    <row r="2432" spans="1:21" ht="15" customHeight="1" x14ac:dyDescent="0.2">
      <c r="A2432" t="s">
        <v>2738</v>
      </c>
      <c r="B2432" t="s">
        <v>259</v>
      </c>
      <c r="C2432" t="s">
        <v>53</v>
      </c>
      <c r="D2432" s="49">
        <v>45442</v>
      </c>
      <c r="E2432" s="49">
        <v>45447</v>
      </c>
      <c r="F2432" s="49">
        <v>45456</v>
      </c>
      <c r="G2432" s="49">
        <v>45470</v>
      </c>
      <c r="H2432" s="49">
        <v>45481</v>
      </c>
      <c r="I2432" s="49">
        <v>45488</v>
      </c>
      <c r="J2432" t="s">
        <v>49</v>
      </c>
      <c r="K2432" s="33">
        <v>15800</v>
      </c>
      <c r="L2432" t="s">
        <v>61</v>
      </c>
      <c r="M2432" t="str">
        <f>_xlfn.XLOOKUP(Pipeline_tbl[[#This Row],[Rep_ID]],Dim_Reps!A:A,Dim_Reps!K:K)</f>
        <v>EUR</v>
      </c>
      <c r="N2432" s="33">
        <f>(_xlfn.XLOOKUP(Pipeline_tbl[[#This Row],[Rate_Code_Generalized]],Lookups!A:A,Lookups!B:B))*Pipeline_tbl[[#This Row],[Pipeline_Amount_USD]]</f>
        <v>15800</v>
      </c>
      <c r="O2432" t="str">
        <f>_xlfn.XLOOKUP(Pipeline_tbl[[#This Row],[Rep_ID]],Dim_Reps!A:A,Dim_Reps!B:B)</f>
        <v>Felix Okafor</v>
      </c>
      <c r="P2432" t="str">
        <f>_xlfn.XLOOKUP(Pipeline_tbl[[#This Row],[Rep_ID]],Dim_Reps!A:A,Dim_Reps!C:C)</f>
        <v>Mid-Market AE</v>
      </c>
      <c r="Q2432" t="str">
        <f>_xlfn.XLOOKUP(Pipeline_tbl[[#This Row],[Rep_ID]],Dim_Reps!A:A,Dim_Reps!D:D)</f>
        <v>Mid-Market</v>
      </c>
      <c r="R2432" t="str">
        <f>_xlfn.XLOOKUP(Pipeline_tbl[[#This Row],[Rep_ID]],Dim_Reps!A:A,Dim_Reps!E:E)</f>
        <v>EMEA</v>
      </c>
      <c r="S2432" t="str">
        <f>_xlfn.XLOOKUP(Pipeline_tbl[[#This Row],[Created_Date]],Dim_Date!A:A,Dim_Date!H:H)</f>
        <v>May 2024</v>
      </c>
      <c r="T2432" t="str">
        <f>IF(Pipeline_tbl[[#This Row],[Closed_Date]]=0,"",(_xlfn.XLOOKUP(Pipeline_tbl[[#This Row],[Closed_Date]],Dim_Date!A:A,Dim_Date!H:H)))</f>
        <v>Jul 2024</v>
      </c>
      <c r="U2432">
        <f>IF(Pipeline_tbl[[#This Row],[Closed_Date]]=0,"",Pipeline_tbl[[#This Row],[Closed_Date]]-Pipeline_tbl[[#This Row],[Created_Date]])</f>
        <v>46</v>
      </c>
    </row>
    <row r="2433" spans="1:21" ht="15" customHeight="1" x14ac:dyDescent="0.2">
      <c r="A2433" t="s">
        <v>2739</v>
      </c>
      <c r="B2433" t="s">
        <v>263</v>
      </c>
      <c r="C2433" t="s">
        <v>52</v>
      </c>
      <c r="D2433" s="49">
        <v>45427</v>
      </c>
      <c r="E2433" s="49">
        <v>45432</v>
      </c>
      <c r="F2433" s="49">
        <v>45442</v>
      </c>
      <c r="G2433" s="49">
        <v>45456</v>
      </c>
      <c r="H2433" s="49">
        <v>45469</v>
      </c>
      <c r="I2433" s="49">
        <v>45476</v>
      </c>
      <c r="J2433" t="s">
        <v>47</v>
      </c>
      <c r="K2433" s="33">
        <v>8100</v>
      </c>
      <c r="M2433" t="str">
        <f>_xlfn.XLOOKUP(Pipeline_tbl[[#This Row],[Rep_ID]],Dim_Reps!A:A,Dim_Reps!K:K)</f>
        <v>USD</v>
      </c>
      <c r="N2433" s="33">
        <f>(_xlfn.XLOOKUP(Pipeline_tbl[[#This Row],[Rate_Code_Generalized]],Lookups!A:A,Lookups!B:B))*Pipeline_tbl[[#This Row],[Pipeline_Amount_USD]]</f>
        <v>9430.83</v>
      </c>
      <c r="O2433" t="str">
        <f>_xlfn.XLOOKUP(Pipeline_tbl[[#This Row],[Rep_ID]],Dim_Reps!A:A,Dim_Reps!B:B)</f>
        <v>Morgan Weber</v>
      </c>
      <c r="P2433" t="str">
        <f>_xlfn.XLOOKUP(Pipeline_tbl[[#This Row],[Rep_ID]],Dim_Reps!A:A,Dim_Reps!C:C)</f>
        <v>Mid-Market AE</v>
      </c>
      <c r="Q2433" t="str">
        <f>_xlfn.XLOOKUP(Pipeline_tbl[[#This Row],[Rep_ID]],Dim_Reps!A:A,Dim_Reps!D:D)</f>
        <v>Mid-Market</v>
      </c>
      <c r="R2433" t="str">
        <f>_xlfn.XLOOKUP(Pipeline_tbl[[#This Row],[Rep_ID]],Dim_Reps!A:A,Dim_Reps!E:E)</f>
        <v>NAMER</v>
      </c>
      <c r="S2433" t="str">
        <f>_xlfn.XLOOKUP(Pipeline_tbl[[#This Row],[Created_Date]],Dim_Date!A:A,Dim_Date!H:H)</f>
        <v>May 2024</v>
      </c>
      <c r="T2433" t="str">
        <f>IF(Pipeline_tbl[[#This Row],[Closed_Date]]=0,"",(_xlfn.XLOOKUP(Pipeline_tbl[[#This Row],[Closed_Date]],Dim_Date!A:A,Dim_Date!H:H)))</f>
        <v>Jul 2024</v>
      </c>
      <c r="U2433">
        <f>IF(Pipeline_tbl[[#This Row],[Closed_Date]]=0,"",Pipeline_tbl[[#This Row],[Closed_Date]]-Pipeline_tbl[[#This Row],[Created_Date]])</f>
        <v>49</v>
      </c>
    </row>
    <row r="2434" spans="1:21" ht="15" customHeight="1" x14ac:dyDescent="0.2">
      <c r="A2434" t="s">
        <v>2740</v>
      </c>
      <c r="B2434" t="s">
        <v>263</v>
      </c>
      <c r="C2434" t="s">
        <v>55</v>
      </c>
      <c r="D2434" s="49">
        <v>45438</v>
      </c>
      <c r="E2434" s="49">
        <v>45444</v>
      </c>
      <c r="F2434" s="49">
        <v>45455</v>
      </c>
      <c r="G2434" s="49">
        <v>45471</v>
      </c>
      <c r="H2434" s="49">
        <v>45485</v>
      </c>
      <c r="I2434" s="49">
        <v>45493</v>
      </c>
      <c r="J2434" t="s">
        <v>47</v>
      </c>
      <c r="K2434" s="33">
        <v>9600</v>
      </c>
      <c r="M2434" t="str">
        <f>_xlfn.XLOOKUP(Pipeline_tbl[[#This Row],[Rep_ID]],Dim_Reps!A:A,Dim_Reps!K:K)</f>
        <v>USD</v>
      </c>
      <c r="N2434" s="33">
        <f>(_xlfn.XLOOKUP(Pipeline_tbl[[#This Row],[Rate_Code_Generalized]],Lookups!A:A,Lookups!B:B))*Pipeline_tbl[[#This Row],[Pipeline_Amount_USD]]</f>
        <v>11177.279999999999</v>
      </c>
      <c r="O2434" t="str">
        <f>_xlfn.XLOOKUP(Pipeline_tbl[[#This Row],[Rep_ID]],Dim_Reps!A:A,Dim_Reps!B:B)</f>
        <v>Morgan Weber</v>
      </c>
      <c r="P2434" t="str">
        <f>_xlfn.XLOOKUP(Pipeline_tbl[[#This Row],[Rep_ID]],Dim_Reps!A:A,Dim_Reps!C:C)</f>
        <v>Mid-Market AE</v>
      </c>
      <c r="Q2434" t="str">
        <f>_xlfn.XLOOKUP(Pipeline_tbl[[#This Row],[Rep_ID]],Dim_Reps!A:A,Dim_Reps!D:D)</f>
        <v>Mid-Market</v>
      </c>
      <c r="R2434" t="str">
        <f>_xlfn.XLOOKUP(Pipeline_tbl[[#This Row],[Rep_ID]],Dim_Reps!A:A,Dim_Reps!E:E)</f>
        <v>NAMER</v>
      </c>
      <c r="S2434" t="str">
        <f>_xlfn.XLOOKUP(Pipeline_tbl[[#This Row],[Created_Date]],Dim_Date!A:A,Dim_Date!H:H)</f>
        <v>May 2024</v>
      </c>
      <c r="T2434" t="str">
        <f>IF(Pipeline_tbl[[#This Row],[Closed_Date]]=0,"",(_xlfn.XLOOKUP(Pipeline_tbl[[#This Row],[Closed_Date]],Dim_Date!A:A,Dim_Date!H:H)))</f>
        <v>Jul 2024</v>
      </c>
      <c r="U2434">
        <f>IF(Pipeline_tbl[[#This Row],[Closed_Date]]=0,"",Pipeline_tbl[[#This Row],[Closed_Date]]-Pipeline_tbl[[#This Row],[Created_Date]])</f>
        <v>55</v>
      </c>
    </row>
    <row r="2435" spans="1:21" ht="15" customHeight="1" x14ac:dyDescent="0.2">
      <c r="A2435" t="s">
        <v>2741</v>
      </c>
      <c r="B2435" t="s">
        <v>263</v>
      </c>
      <c r="C2435" t="s">
        <v>53</v>
      </c>
      <c r="D2435" s="49">
        <v>45441</v>
      </c>
      <c r="E2435" s="49">
        <v>45446</v>
      </c>
      <c r="F2435" s="49">
        <v>45455</v>
      </c>
      <c r="G2435" s="49">
        <v>45469</v>
      </c>
      <c r="I2435" s="49">
        <v>45487</v>
      </c>
      <c r="J2435" t="s">
        <v>49</v>
      </c>
      <c r="K2435" s="33">
        <v>12200</v>
      </c>
      <c r="L2435" t="s">
        <v>64</v>
      </c>
      <c r="M2435" t="str">
        <f>_xlfn.XLOOKUP(Pipeline_tbl[[#This Row],[Rep_ID]],Dim_Reps!A:A,Dim_Reps!K:K)</f>
        <v>USD</v>
      </c>
      <c r="N2435" s="33">
        <f>(_xlfn.XLOOKUP(Pipeline_tbl[[#This Row],[Rate_Code_Generalized]],Lookups!A:A,Lookups!B:B))*Pipeline_tbl[[#This Row],[Pipeline_Amount_USD]]</f>
        <v>14204.46</v>
      </c>
      <c r="O2435" t="str">
        <f>_xlfn.XLOOKUP(Pipeline_tbl[[#This Row],[Rep_ID]],Dim_Reps!A:A,Dim_Reps!B:B)</f>
        <v>Morgan Weber</v>
      </c>
      <c r="P2435" t="str">
        <f>_xlfn.XLOOKUP(Pipeline_tbl[[#This Row],[Rep_ID]],Dim_Reps!A:A,Dim_Reps!C:C)</f>
        <v>Mid-Market AE</v>
      </c>
      <c r="Q2435" t="str">
        <f>_xlfn.XLOOKUP(Pipeline_tbl[[#This Row],[Rep_ID]],Dim_Reps!A:A,Dim_Reps!D:D)</f>
        <v>Mid-Market</v>
      </c>
      <c r="R2435" t="str">
        <f>_xlfn.XLOOKUP(Pipeline_tbl[[#This Row],[Rep_ID]],Dim_Reps!A:A,Dim_Reps!E:E)</f>
        <v>NAMER</v>
      </c>
      <c r="S2435" t="str">
        <f>_xlfn.XLOOKUP(Pipeline_tbl[[#This Row],[Created_Date]],Dim_Date!A:A,Dim_Date!H:H)</f>
        <v>May 2024</v>
      </c>
      <c r="T2435" t="str">
        <f>IF(Pipeline_tbl[[#This Row],[Closed_Date]]=0,"",(_xlfn.XLOOKUP(Pipeline_tbl[[#This Row],[Closed_Date]],Dim_Date!A:A,Dim_Date!H:H)))</f>
        <v>Jul 2024</v>
      </c>
      <c r="U2435">
        <f>IF(Pipeline_tbl[[#This Row],[Closed_Date]]=0,"",Pipeline_tbl[[#This Row],[Closed_Date]]-Pipeline_tbl[[#This Row],[Created_Date]])</f>
        <v>46</v>
      </c>
    </row>
    <row r="2436" spans="1:21" ht="15" customHeight="1" x14ac:dyDescent="0.2">
      <c r="A2436" t="s">
        <v>2742</v>
      </c>
      <c r="B2436" t="s">
        <v>263</v>
      </c>
      <c r="C2436" t="s">
        <v>53</v>
      </c>
      <c r="D2436" s="49">
        <v>45440</v>
      </c>
      <c r="E2436" s="49">
        <v>45444</v>
      </c>
      <c r="F2436" s="49">
        <v>45452</v>
      </c>
      <c r="G2436" s="49">
        <v>45464</v>
      </c>
      <c r="H2436" s="49">
        <v>45474</v>
      </c>
      <c r="I2436" s="49">
        <v>45480</v>
      </c>
      <c r="J2436" t="s">
        <v>49</v>
      </c>
      <c r="K2436" s="33">
        <v>21800</v>
      </c>
      <c r="L2436" t="s">
        <v>60</v>
      </c>
      <c r="M2436" t="str">
        <f>_xlfn.XLOOKUP(Pipeline_tbl[[#This Row],[Rep_ID]],Dim_Reps!A:A,Dim_Reps!K:K)</f>
        <v>USD</v>
      </c>
      <c r="N2436" s="33">
        <f>(_xlfn.XLOOKUP(Pipeline_tbl[[#This Row],[Rate_Code_Generalized]],Lookups!A:A,Lookups!B:B))*Pipeline_tbl[[#This Row],[Pipeline_Amount_USD]]</f>
        <v>25381.739999999998</v>
      </c>
      <c r="O2436" t="str">
        <f>_xlfn.XLOOKUP(Pipeline_tbl[[#This Row],[Rep_ID]],Dim_Reps!A:A,Dim_Reps!B:B)</f>
        <v>Morgan Weber</v>
      </c>
      <c r="P2436" t="str">
        <f>_xlfn.XLOOKUP(Pipeline_tbl[[#This Row],[Rep_ID]],Dim_Reps!A:A,Dim_Reps!C:C)</f>
        <v>Mid-Market AE</v>
      </c>
      <c r="Q2436" t="str">
        <f>_xlfn.XLOOKUP(Pipeline_tbl[[#This Row],[Rep_ID]],Dim_Reps!A:A,Dim_Reps!D:D)</f>
        <v>Mid-Market</v>
      </c>
      <c r="R2436" t="str">
        <f>_xlfn.XLOOKUP(Pipeline_tbl[[#This Row],[Rep_ID]],Dim_Reps!A:A,Dim_Reps!E:E)</f>
        <v>NAMER</v>
      </c>
      <c r="S2436" t="str">
        <f>_xlfn.XLOOKUP(Pipeline_tbl[[#This Row],[Created_Date]],Dim_Date!A:A,Dim_Date!H:H)</f>
        <v>May 2024</v>
      </c>
      <c r="T2436" t="str">
        <f>IF(Pipeline_tbl[[#This Row],[Closed_Date]]=0,"",(_xlfn.XLOOKUP(Pipeline_tbl[[#This Row],[Closed_Date]],Dim_Date!A:A,Dim_Date!H:H)))</f>
        <v>Jul 2024</v>
      </c>
      <c r="U2436">
        <f>IF(Pipeline_tbl[[#This Row],[Closed_Date]]=0,"",Pipeline_tbl[[#This Row],[Closed_Date]]-Pipeline_tbl[[#This Row],[Created_Date]])</f>
        <v>40</v>
      </c>
    </row>
    <row r="2437" spans="1:21" ht="15" customHeight="1" x14ac:dyDescent="0.2">
      <c r="A2437" t="s">
        <v>2743</v>
      </c>
      <c r="B2437" t="s">
        <v>263</v>
      </c>
      <c r="C2437" t="s">
        <v>54</v>
      </c>
      <c r="D2437" s="49">
        <v>45439</v>
      </c>
      <c r="E2437" s="49">
        <v>45443</v>
      </c>
      <c r="F2437" s="49">
        <v>45453</v>
      </c>
      <c r="G2437" s="49">
        <v>45466</v>
      </c>
      <c r="H2437" s="49">
        <v>45477</v>
      </c>
      <c r="I2437" s="49">
        <v>45484</v>
      </c>
      <c r="J2437" t="s">
        <v>47</v>
      </c>
      <c r="K2437" s="33">
        <v>19400</v>
      </c>
      <c r="M2437" t="str">
        <f>_xlfn.XLOOKUP(Pipeline_tbl[[#This Row],[Rep_ID]],Dim_Reps!A:A,Dim_Reps!K:K)</f>
        <v>USD</v>
      </c>
      <c r="N2437" s="33">
        <f>(_xlfn.XLOOKUP(Pipeline_tbl[[#This Row],[Rate_Code_Generalized]],Lookups!A:A,Lookups!B:B))*Pipeline_tbl[[#This Row],[Pipeline_Amount_USD]]</f>
        <v>22587.42</v>
      </c>
      <c r="O2437" t="str">
        <f>_xlfn.XLOOKUP(Pipeline_tbl[[#This Row],[Rep_ID]],Dim_Reps!A:A,Dim_Reps!B:B)</f>
        <v>Morgan Weber</v>
      </c>
      <c r="P2437" t="str">
        <f>_xlfn.XLOOKUP(Pipeline_tbl[[#This Row],[Rep_ID]],Dim_Reps!A:A,Dim_Reps!C:C)</f>
        <v>Mid-Market AE</v>
      </c>
      <c r="Q2437" t="str">
        <f>_xlfn.XLOOKUP(Pipeline_tbl[[#This Row],[Rep_ID]],Dim_Reps!A:A,Dim_Reps!D:D)</f>
        <v>Mid-Market</v>
      </c>
      <c r="R2437" t="str">
        <f>_xlfn.XLOOKUP(Pipeline_tbl[[#This Row],[Rep_ID]],Dim_Reps!A:A,Dim_Reps!E:E)</f>
        <v>NAMER</v>
      </c>
      <c r="S2437" t="str">
        <f>_xlfn.XLOOKUP(Pipeline_tbl[[#This Row],[Created_Date]],Dim_Date!A:A,Dim_Date!H:H)</f>
        <v>May 2024</v>
      </c>
      <c r="T2437" t="str">
        <f>IF(Pipeline_tbl[[#This Row],[Closed_Date]]=0,"",(_xlfn.XLOOKUP(Pipeline_tbl[[#This Row],[Closed_Date]],Dim_Date!A:A,Dim_Date!H:H)))</f>
        <v>Jul 2024</v>
      </c>
      <c r="U2437">
        <f>IF(Pipeline_tbl[[#This Row],[Closed_Date]]=0,"",Pipeline_tbl[[#This Row],[Closed_Date]]-Pipeline_tbl[[#This Row],[Created_Date]])</f>
        <v>45</v>
      </c>
    </row>
    <row r="2438" spans="1:21" ht="15" customHeight="1" x14ac:dyDescent="0.2">
      <c r="A2438" t="s">
        <v>2744</v>
      </c>
      <c r="B2438" t="s">
        <v>271</v>
      </c>
      <c r="C2438" t="s">
        <v>52</v>
      </c>
      <c r="D2438" s="49">
        <v>45438</v>
      </c>
      <c r="E2438" s="49">
        <v>45442</v>
      </c>
      <c r="F2438" s="49">
        <v>45451</v>
      </c>
      <c r="G2438" s="49">
        <v>45464</v>
      </c>
      <c r="H2438" s="49">
        <v>45475</v>
      </c>
      <c r="I2438" s="49">
        <v>45482</v>
      </c>
      <c r="J2438" t="s">
        <v>49</v>
      </c>
      <c r="K2438" s="33">
        <v>11900</v>
      </c>
      <c r="L2438" t="s">
        <v>62</v>
      </c>
      <c r="M2438" t="str">
        <f>_xlfn.XLOOKUP(Pipeline_tbl[[#This Row],[Rep_ID]],Dim_Reps!A:A,Dim_Reps!K:K)</f>
        <v>EUR</v>
      </c>
      <c r="N2438" s="33">
        <f>(_xlfn.XLOOKUP(Pipeline_tbl[[#This Row],[Rate_Code_Generalized]],Lookups!A:A,Lookups!B:B))*Pipeline_tbl[[#This Row],[Pipeline_Amount_USD]]</f>
        <v>11900</v>
      </c>
      <c r="O2438" t="str">
        <f>_xlfn.XLOOKUP(Pipeline_tbl[[#This Row],[Rep_ID]],Dim_Reps!A:A,Dim_Reps!B:B)</f>
        <v>Ivy Adler</v>
      </c>
      <c r="P2438" t="str">
        <f>_xlfn.XLOOKUP(Pipeline_tbl[[#This Row],[Rep_ID]],Dim_Reps!A:A,Dim_Reps!C:C)</f>
        <v>Mid-Market AE</v>
      </c>
      <c r="Q2438" t="str">
        <f>_xlfn.XLOOKUP(Pipeline_tbl[[#This Row],[Rep_ID]],Dim_Reps!A:A,Dim_Reps!D:D)</f>
        <v>Mid-Market</v>
      </c>
      <c r="R2438" t="str">
        <f>_xlfn.XLOOKUP(Pipeline_tbl[[#This Row],[Rep_ID]],Dim_Reps!A:A,Dim_Reps!E:E)</f>
        <v>APAC</v>
      </c>
      <c r="S2438" t="str">
        <f>_xlfn.XLOOKUP(Pipeline_tbl[[#This Row],[Created_Date]],Dim_Date!A:A,Dim_Date!H:H)</f>
        <v>May 2024</v>
      </c>
      <c r="T2438" t="str">
        <f>IF(Pipeline_tbl[[#This Row],[Closed_Date]]=0,"",(_xlfn.XLOOKUP(Pipeline_tbl[[#This Row],[Closed_Date]],Dim_Date!A:A,Dim_Date!H:H)))</f>
        <v>Jul 2024</v>
      </c>
      <c r="U2438">
        <f>IF(Pipeline_tbl[[#This Row],[Closed_Date]]=0,"",Pipeline_tbl[[#This Row],[Closed_Date]]-Pipeline_tbl[[#This Row],[Created_Date]])</f>
        <v>44</v>
      </c>
    </row>
    <row r="2439" spans="1:21" ht="15" customHeight="1" x14ac:dyDescent="0.2">
      <c r="A2439" t="s">
        <v>2745</v>
      </c>
      <c r="B2439" t="s">
        <v>273</v>
      </c>
      <c r="C2439" t="s">
        <v>53</v>
      </c>
      <c r="D2439" s="49">
        <v>45440</v>
      </c>
      <c r="E2439" s="49">
        <v>45444</v>
      </c>
      <c r="F2439" s="49">
        <v>45451</v>
      </c>
      <c r="I2439" s="49">
        <v>45477</v>
      </c>
      <c r="J2439" t="s">
        <v>49</v>
      </c>
      <c r="K2439" s="33">
        <v>9300</v>
      </c>
      <c r="L2439" t="s">
        <v>60</v>
      </c>
      <c r="M2439" t="str">
        <f>_xlfn.XLOOKUP(Pipeline_tbl[[#This Row],[Rep_ID]],Dim_Reps!A:A,Dim_Reps!K:K)</f>
        <v>EUR</v>
      </c>
      <c r="N2439" s="33">
        <f>(_xlfn.XLOOKUP(Pipeline_tbl[[#This Row],[Rate_Code_Generalized]],Lookups!A:A,Lookups!B:B))*Pipeline_tbl[[#This Row],[Pipeline_Amount_USD]]</f>
        <v>9300</v>
      </c>
      <c r="O2439" t="str">
        <f>_xlfn.XLOOKUP(Pipeline_tbl[[#This Row],[Rep_ID]],Dim_Reps!A:A,Dim_Reps!B:B)</f>
        <v>Olivia Cohen</v>
      </c>
      <c r="P2439" t="str">
        <f>_xlfn.XLOOKUP(Pipeline_tbl[[#This Row],[Rep_ID]],Dim_Reps!A:A,Dim_Reps!C:C)</f>
        <v>Mid-Market AE</v>
      </c>
      <c r="Q2439" t="str">
        <f>_xlfn.XLOOKUP(Pipeline_tbl[[#This Row],[Rep_ID]],Dim_Reps!A:A,Dim_Reps!D:D)</f>
        <v>Mid-Market</v>
      </c>
      <c r="R2439" t="str">
        <f>_xlfn.XLOOKUP(Pipeline_tbl[[#This Row],[Rep_ID]],Dim_Reps!A:A,Dim_Reps!E:E)</f>
        <v>APAC</v>
      </c>
      <c r="S2439" t="str">
        <f>_xlfn.XLOOKUP(Pipeline_tbl[[#This Row],[Created_Date]],Dim_Date!A:A,Dim_Date!H:H)</f>
        <v>May 2024</v>
      </c>
      <c r="T2439" t="str">
        <f>IF(Pipeline_tbl[[#This Row],[Closed_Date]]=0,"",(_xlfn.XLOOKUP(Pipeline_tbl[[#This Row],[Closed_Date]],Dim_Date!A:A,Dim_Date!H:H)))</f>
        <v>Jul 2024</v>
      </c>
      <c r="U2439">
        <f>IF(Pipeline_tbl[[#This Row],[Closed_Date]]=0,"",Pipeline_tbl[[#This Row],[Closed_Date]]-Pipeline_tbl[[#This Row],[Created_Date]])</f>
        <v>37</v>
      </c>
    </row>
    <row r="2440" spans="1:21" ht="15" customHeight="1" x14ac:dyDescent="0.2">
      <c r="A2440" t="s">
        <v>2746</v>
      </c>
      <c r="B2440" t="s">
        <v>273</v>
      </c>
      <c r="C2440" t="s">
        <v>52</v>
      </c>
      <c r="D2440" s="49">
        <v>45437</v>
      </c>
      <c r="E2440" s="49">
        <v>45441</v>
      </c>
      <c r="F2440" s="49">
        <v>45449</v>
      </c>
      <c r="G2440" s="49">
        <v>45461</v>
      </c>
      <c r="H2440" s="49">
        <v>45471</v>
      </c>
      <c r="I2440" s="49">
        <v>45477</v>
      </c>
      <c r="J2440" t="s">
        <v>47</v>
      </c>
      <c r="K2440" s="33">
        <v>7000</v>
      </c>
      <c r="M2440" t="str">
        <f>_xlfn.XLOOKUP(Pipeline_tbl[[#This Row],[Rep_ID]],Dim_Reps!A:A,Dim_Reps!K:K)</f>
        <v>EUR</v>
      </c>
      <c r="N2440" s="33">
        <f>(_xlfn.XLOOKUP(Pipeline_tbl[[#This Row],[Rate_Code_Generalized]],Lookups!A:A,Lookups!B:B))*Pipeline_tbl[[#This Row],[Pipeline_Amount_USD]]</f>
        <v>7000</v>
      </c>
      <c r="O2440" t="str">
        <f>_xlfn.XLOOKUP(Pipeline_tbl[[#This Row],[Rep_ID]],Dim_Reps!A:A,Dim_Reps!B:B)</f>
        <v>Olivia Cohen</v>
      </c>
      <c r="P2440" t="str">
        <f>_xlfn.XLOOKUP(Pipeline_tbl[[#This Row],[Rep_ID]],Dim_Reps!A:A,Dim_Reps!C:C)</f>
        <v>Mid-Market AE</v>
      </c>
      <c r="Q2440" t="str">
        <f>_xlfn.XLOOKUP(Pipeline_tbl[[#This Row],[Rep_ID]],Dim_Reps!A:A,Dim_Reps!D:D)</f>
        <v>Mid-Market</v>
      </c>
      <c r="R2440" t="str">
        <f>_xlfn.XLOOKUP(Pipeline_tbl[[#This Row],[Rep_ID]],Dim_Reps!A:A,Dim_Reps!E:E)</f>
        <v>APAC</v>
      </c>
      <c r="S2440" t="str">
        <f>_xlfn.XLOOKUP(Pipeline_tbl[[#This Row],[Created_Date]],Dim_Date!A:A,Dim_Date!H:H)</f>
        <v>May 2024</v>
      </c>
      <c r="T2440" t="str">
        <f>IF(Pipeline_tbl[[#This Row],[Closed_Date]]=0,"",(_xlfn.XLOOKUP(Pipeline_tbl[[#This Row],[Closed_Date]],Dim_Date!A:A,Dim_Date!H:H)))</f>
        <v>Jul 2024</v>
      </c>
      <c r="U2440">
        <f>IF(Pipeline_tbl[[#This Row],[Closed_Date]]=0,"",Pipeline_tbl[[#This Row],[Closed_Date]]-Pipeline_tbl[[#This Row],[Created_Date]])</f>
        <v>40</v>
      </c>
    </row>
    <row r="2441" spans="1:21" ht="15" customHeight="1" x14ac:dyDescent="0.2">
      <c r="A2441" t="s">
        <v>2747</v>
      </c>
      <c r="B2441" t="s">
        <v>193</v>
      </c>
      <c r="C2441" t="s">
        <v>53</v>
      </c>
      <c r="D2441" s="49">
        <v>45443</v>
      </c>
      <c r="E2441" s="49">
        <v>45445</v>
      </c>
      <c r="F2441" s="49">
        <v>45449</v>
      </c>
      <c r="G2441" s="49">
        <v>45455</v>
      </c>
      <c r="H2441" s="49">
        <v>45460</v>
      </c>
      <c r="I2441" s="49">
        <v>45463</v>
      </c>
      <c r="J2441" t="s">
        <v>49</v>
      </c>
      <c r="K2441" s="33">
        <v>4000</v>
      </c>
      <c r="L2441" t="s">
        <v>62</v>
      </c>
      <c r="M2441" t="str">
        <f>_xlfn.XLOOKUP(Pipeline_tbl[[#This Row],[Rep_ID]],Dim_Reps!A:A,Dim_Reps!K:K)</f>
        <v>USD</v>
      </c>
      <c r="N2441" s="33">
        <f>(_xlfn.XLOOKUP(Pipeline_tbl[[#This Row],[Rate_Code_Generalized]],Lookups!A:A,Lookups!B:B))*Pipeline_tbl[[#This Row],[Pipeline_Amount_USD]]</f>
        <v>4657.2</v>
      </c>
      <c r="O2441" t="str">
        <f>_xlfn.XLOOKUP(Pipeline_tbl[[#This Row],[Rep_ID]],Dim_Reps!A:A,Dim_Reps!B:B)</f>
        <v>Karim Rossi</v>
      </c>
      <c r="P2441" t="str">
        <f>_xlfn.XLOOKUP(Pipeline_tbl[[#This Row],[Rep_ID]],Dim_Reps!A:A,Dim_Reps!C:C)</f>
        <v>SDR / Inside Sales Rep</v>
      </c>
      <c r="Q2441" t="str">
        <f>_xlfn.XLOOKUP(Pipeline_tbl[[#This Row],[Rep_ID]],Dim_Reps!A:A,Dim_Reps!D:D)</f>
        <v>Inside Sales</v>
      </c>
      <c r="R2441" t="str">
        <f>_xlfn.XLOOKUP(Pipeline_tbl[[#This Row],[Rep_ID]],Dim_Reps!A:A,Dim_Reps!E:E)</f>
        <v>NAMER</v>
      </c>
      <c r="S2441" t="str">
        <f>_xlfn.XLOOKUP(Pipeline_tbl[[#This Row],[Created_Date]],Dim_Date!A:A,Dim_Date!H:H)</f>
        <v>May 2024</v>
      </c>
      <c r="T2441" t="str">
        <f>IF(Pipeline_tbl[[#This Row],[Closed_Date]]=0,"",(_xlfn.XLOOKUP(Pipeline_tbl[[#This Row],[Closed_Date]],Dim_Date!A:A,Dim_Date!H:H)))</f>
        <v>Jun 2024</v>
      </c>
      <c r="U2441">
        <f>IF(Pipeline_tbl[[#This Row],[Closed_Date]]=0,"",Pipeline_tbl[[#This Row],[Closed_Date]]-Pipeline_tbl[[#This Row],[Created_Date]])</f>
        <v>20</v>
      </c>
    </row>
    <row r="2442" spans="1:21" ht="15" customHeight="1" x14ac:dyDescent="0.2">
      <c r="A2442" t="s">
        <v>2748</v>
      </c>
      <c r="B2442" t="s">
        <v>193</v>
      </c>
      <c r="C2442" t="s">
        <v>53</v>
      </c>
      <c r="D2442" s="49">
        <v>45441</v>
      </c>
      <c r="E2442" s="49">
        <v>45442</v>
      </c>
      <c r="F2442" s="49">
        <v>45444</v>
      </c>
      <c r="G2442" s="49">
        <v>45448</v>
      </c>
      <c r="H2442" s="49">
        <v>45450</v>
      </c>
      <c r="I2442" s="49">
        <v>45452</v>
      </c>
      <c r="J2442" t="s">
        <v>49</v>
      </c>
      <c r="K2442" s="33">
        <v>6000</v>
      </c>
      <c r="L2442" t="s">
        <v>62</v>
      </c>
      <c r="M2442" t="str">
        <f>_xlfn.XLOOKUP(Pipeline_tbl[[#This Row],[Rep_ID]],Dim_Reps!A:A,Dim_Reps!K:K)</f>
        <v>USD</v>
      </c>
      <c r="N2442" s="33">
        <f>(_xlfn.XLOOKUP(Pipeline_tbl[[#This Row],[Rate_Code_Generalized]],Lookups!A:A,Lookups!B:B))*Pipeline_tbl[[#This Row],[Pipeline_Amount_USD]]</f>
        <v>6985.7999999999993</v>
      </c>
      <c r="O2442" t="str">
        <f>_xlfn.XLOOKUP(Pipeline_tbl[[#This Row],[Rep_ID]],Dim_Reps!A:A,Dim_Reps!B:B)</f>
        <v>Karim Rossi</v>
      </c>
      <c r="P2442" t="str">
        <f>_xlfn.XLOOKUP(Pipeline_tbl[[#This Row],[Rep_ID]],Dim_Reps!A:A,Dim_Reps!C:C)</f>
        <v>SDR / Inside Sales Rep</v>
      </c>
      <c r="Q2442" t="str">
        <f>_xlfn.XLOOKUP(Pipeline_tbl[[#This Row],[Rep_ID]],Dim_Reps!A:A,Dim_Reps!D:D)</f>
        <v>Inside Sales</v>
      </c>
      <c r="R2442" t="str">
        <f>_xlfn.XLOOKUP(Pipeline_tbl[[#This Row],[Rep_ID]],Dim_Reps!A:A,Dim_Reps!E:E)</f>
        <v>NAMER</v>
      </c>
      <c r="S2442" t="str">
        <f>_xlfn.XLOOKUP(Pipeline_tbl[[#This Row],[Created_Date]],Dim_Date!A:A,Dim_Date!H:H)</f>
        <v>May 2024</v>
      </c>
      <c r="T2442" t="str">
        <f>IF(Pipeline_tbl[[#This Row],[Closed_Date]]=0,"",(_xlfn.XLOOKUP(Pipeline_tbl[[#This Row],[Closed_Date]],Dim_Date!A:A,Dim_Date!H:H)))</f>
        <v>Jun 2024</v>
      </c>
      <c r="U2442">
        <f>IF(Pipeline_tbl[[#This Row],[Closed_Date]]=0,"",Pipeline_tbl[[#This Row],[Closed_Date]]-Pipeline_tbl[[#This Row],[Created_Date]])</f>
        <v>11</v>
      </c>
    </row>
    <row r="2443" spans="1:21" ht="15" customHeight="1" x14ac:dyDescent="0.2">
      <c r="A2443" t="s">
        <v>2749</v>
      </c>
      <c r="B2443" t="s">
        <v>193</v>
      </c>
      <c r="C2443" t="s">
        <v>55</v>
      </c>
      <c r="D2443" s="49">
        <v>45441</v>
      </c>
      <c r="E2443" s="49">
        <v>45444</v>
      </c>
      <c r="F2443" s="49">
        <v>45450</v>
      </c>
      <c r="G2443" s="49">
        <v>45459</v>
      </c>
      <c r="H2443" s="49">
        <v>45467</v>
      </c>
      <c r="I2443" s="49">
        <v>45471</v>
      </c>
      <c r="J2443" t="s">
        <v>47</v>
      </c>
      <c r="K2443" s="33">
        <v>1100</v>
      </c>
      <c r="M2443" t="str">
        <f>_xlfn.XLOOKUP(Pipeline_tbl[[#This Row],[Rep_ID]],Dim_Reps!A:A,Dim_Reps!K:K)</f>
        <v>USD</v>
      </c>
      <c r="N2443" s="33">
        <f>(_xlfn.XLOOKUP(Pipeline_tbl[[#This Row],[Rate_Code_Generalized]],Lookups!A:A,Lookups!B:B))*Pipeline_tbl[[#This Row],[Pipeline_Amount_USD]]</f>
        <v>1280.7299999999998</v>
      </c>
      <c r="O2443" t="str">
        <f>_xlfn.XLOOKUP(Pipeline_tbl[[#This Row],[Rep_ID]],Dim_Reps!A:A,Dim_Reps!B:B)</f>
        <v>Karim Rossi</v>
      </c>
      <c r="P2443" t="str">
        <f>_xlfn.XLOOKUP(Pipeline_tbl[[#This Row],[Rep_ID]],Dim_Reps!A:A,Dim_Reps!C:C)</f>
        <v>SDR / Inside Sales Rep</v>
      </c>
      <c r="Q2443" t="str">
        <f>_xlfn.XLOOKUP(Pipeline_tbl[[#This Row],[Rep_ID]],Dim_Reps!A:A,Dim_Reps!D:D)</f>
        <v>Inside Sales</v>
      </c>
      <c r="R2443" t="str">
        <f>_xlfn.XLOOKUP(Pipeline_tbl[[#This Row],[Rep_ID]],Dim_Reps!A:A,Dim_Reps!E:E)</f>
        <v>NAMER</v>
      </c>
      <c r="S2443" t="str">
        <f>_xlfn.XLOOKUP(Pipeline_tbl[[#This Row],[Created_Date]],Dim_Date!A:A,Dim_Date!H:H)</f>
        <v>May 2024</v>
      </c>
      <c r="T2443" t="str">
        <f>IF(Pipeline_tbl[[#This Row],[Closed_Date]]=0,"",(_xlfn.XLOOKUP(Pipeline_tbl[[#This Row],[Closed_Date]],Dim_Date!A:A,Dim_Date!H:H)))</f>
        <v>Jun 2024</v>
      </c>
      <c r="U2443">
        <f>IF(Pipeline_tbl[[#This Row],[Closed_Date]]=0,"",Pipeline_tbl[[#This Row],[Closed_Date]]-Pipeline_tbl[[#This Row],[Created_Date]])</f>
        <v>30</v>
      </c>
    </row>
    <row r="2444" spans="1:21" ht="15" customHeight="1" x14ac:dyDescent="0.2">
      <c r="A2444" t="s">
        <v>2750</v>
      </c>
      <c r="B2444" t="s">
        <v>193</v>
      </c>
      <c r="C2444" t="s">
        <v>54</v>
      </c>
      <c r="D2444" s="49">
        <v>45436</v>
      </c>
      <c r="E2444" s="49">
        <v>45438</v>
      </c>
      <c r="F2444" s="49">
        <v>45443</v>
      </c>
      <c r="I2444" s="49">
        <v>45458</v>
      </c>
      <c r="J2444" t="s">
        <v>49</v>
      </c>
      <c r="K2444" s="33">
        <v>4600</v>
      </c>
      <c r="L2444" t="s">
        <v>60</v>
      </c>
      <c r="M2444" t="str">
        <f>_xlfn.XLOOKUP(Pipeline_tbl[[#This Row],[Rep_ID]],Dim_Reps!A:A,Dim_Reps!K:K)</f>
        <v>USD</v>
      </c>
      <c r="N2444" s="33">
        <f>(_xlfn.XLOOKUP(Pipeline_tbl[[#This Row],[Rate_Code_Generalized]],Lookups!A:A,Lookups!B:B))*Pipeline_tbl[[#This Row],[Pipeline_Amount_USD]]</f>
        <v>5355.78</v>
      </c>
      <c r="O2444" t="str">
        <f>_xlfn.XLOOKUP(Pipeline_tbl[[#This Row],[Rep_ID]],Dim_Reps!A:A,Dim_Reps!B:B)</f>
        <v>Karim Rossi</v>
      </c>
      <c r="P2444" t="str">
        <f>_xlfn.XLOOKUP(Pipeline_tbl[[#This Row],[Rep_ID]],Dim_Reps!A:A,Dim_Reps!C:C)</f>
        <v>SDR / Inside Sales Rep</v>
      </c>
      <c r="Q2444" t="str">
        <f>_xlfn.XLOOKUP(Pipeline_tbl[[#This Row],[Rep_ID]],Dim_Reps!A:A,Dim_Reps!D:D)</f>
        <v>Inside Sales</v>
      </c>
      <c r="R2444" t="str">
        <f>_xlfn.XLOOKUP(Pipeline_tbl[[#This Row],[Rep_ID]],Dim_Reps!A:A,Dim_Reps!E:E)</f>
        <v>NAMER</v>
      </c>
      <c r="S2444" t="str">
        <f>_xlfn.XLOOKUP(Pipeline_tbl[[#This Row],[Created_Date]],Dim_Date!A:A,Dim_Date!H:H)</f>
        <v>May 2024</v>
      </c>
      <c r="T2444" t="str">
        <f>IF(Pipeline_tbl[[#This Row],[Closed_Date]]=0,"",(_xlfn.XLOOKUP(Pipeline_tbl[[#This Row],[Closed_Date]],Dim_Date!A:A,Dim_Date!H:H)))</f>
        <v>Jun 2024</v>
      </c>
      <c r="U2444">
        <f>IF(Pipeline_tbl[[#This Row],[Closed_Date]]=0,"",Pipeline_tbl[[#This Row],[Closed_Date]]-Pipeline_tbl[[#This Row],[Created_Date]])</f>
        <v>22</v>
      </c>
    </row>
    <row r="2445" spans="1:21" ht="15" customHeight="1" x14ac:dyDescent="0.2">
      <c r="A2445" t="s">
        <v>2751</v>
      </c>
      <c r="B2445" t="s">
        <v>193</v>
      </c>
      <c r="C2445" t="s">
        <v>52</v>
      </c>
      <c r="D2445" s="49">
        <v>45430</v>
      </c>
      <c r="E2445" s="49">
        <v>45432</v>
      </c>
      <c r="F2445" s="49">
        <v>45436</v>
      </c>
      <c r="G2445" s="49">
        <v>45441</v>
      </c>
      <c r="H2445" s="49">
        <v>45446</v>
      </c>
      <c r="I2445" s="49">
        <v>45449</v>
      </c>
      <c r="J2445" t="s">
        <v>47</v>
      </c>
      <c r="K2445" s="33">
        <v>4900</v>
      </c>
      <c r="M2445" t="str">
        <f>_xlfn.XLOOKUP(Pipeline_tbl[[#This Row],[Rep_ID]],Dim_Reps!A:A,Dim_Reps!K:K)</f>
        <v>USD</v>
      </c>
      <c r="N2445" s="33">
        <f>(_xlfn.XLOOKUP(Pipeline_tbl[[#This Row],[Rate_Code_Generalized]],Lookups!A:A,Lookups!B:B))*Pipeline_tbl[[#This Row],[Pipeline_Amount_USD]]</f>
        <v>5705.07</v>
      </c>
      <c r="O2445" t="str">
        <f>_xlfn.XLOOKUP(Pipeline_tbl[[#This Row],[Rep_ID]],Dim_Reps!A:A,Dim_Reps!B:B)</f>
        <v>Karim Rossi</v>
      </c>
      <c r="P2445" t="str">
        <f>_xlfn.XLOOKUP(Pipeline_tbl[[#This Row],[Rep_ID]],Dim_Reps!A:A,Dim_Reps!C:C)</f>
        <v>SDR / Inside Sales Rep</v>
      </c>
      <c r="Q2445" t="str">
        <f>_xlfn.XLOOKUP(Pipeline_tbl[[#This Row],[Rep_ID]],Dim_Reps!A:A,Dim_Reps!D:D)</f>
        <v>Inside Sales</v>
      </c>
      <c r="R2445" t="str">
        <f>_xlfn.XLOOKUP(Pipeline_tbl[[#This Row],[Rep_ID]],Dim_Reps!A:A,Dim_Reps!E:E)</f>
        <v>NAMER</v>
      </c>
      <c r="S2445" t="str">
        <f>_xlfn.XLOOKUP(Pipeline_tbl[[#This Row],[Created_Date]],Dim_Date!A:A,Dim_Date!H:H)</f>
        <v>May 2024</v>
      </c>
      <c r="T2445" t="str">
        <f>IF(Pipeline_tbl[[#This Row],[Closed_Date]]=0,"",(_xlfn.XLOOKUP(Pipeline_tbl[[#This Row],[Closed_Date]],Dim_Date!A:A,Dim_Date!H:H)))</f>
        <v>Jun 2024</v>
      </c>
      <c r="U2445">
        <f>IF(Pipeline_tbl[[#This Row],[Closed_Date]]=0,"",Pipeline_tbl[[#This Row],[Closed_Date]]-Pipeline_tbl[[#This Row],[Created_Date]])</f>
        <v>19</v>
      </c>
    </row>
    <row r="2446" spans="1:21" ht="15" customHeight="1" x14ac:dyDescent="0.2">
      <c r="A2446" t="s">
        <v>2752</v>
      </c>
      <c r="B2446" t="s">
        <v>193</v>
      </c>
      <c r="C2446" t="s">
        <v>52</v>
      </c>
      <c r="D2446" s="49">
        <v>45421</v>
      </c>
      <c r="E2446" s="49">
        <v>45423</v>
      </c>
      <c r="F2446" s="49">
        <v>45429</v>
      </c>
      <c r="G2446" s="49">
        <v>45436</v>
      </c>
      <c r="H2446" s="49">
        <v>45442</v>
      </c>
      <c r="I2446" s="49">
        <v>45446</v>
      </c>
      <c r="J2446" t="s">
        <v>47</v>
      </c>
      <c r="K2446" s="33">
        <v>3800</v>
      </c>
      <c r="M2446" t="str">
        <f>_xlfn.XLOOKUP(Pipeline_tbl[[#This Row],[Rep_ID]],Dim_Reps!A:A,Dim_Reps!K:K)</f>
        <v>USD</v>
      </c>
      <c r="N2446" s="33">
        <f>(_xlfn.XLOOKUP(Pipeline_tbl[[#This Row],[Rate_Code_Generalized]],Lookups!A:A,Lookups!B:B))*Pipeline_tbl[[#This Row],[Pipeline_Amount_USD]]</f>
        <v>4424.3399999999992</v>
      </c>
      <c r="O2446" t="str">
        <f>_xlfn.XLOOKUP(Pipeline_tbl[[#This Row],[Rep_ID]],Dim_Reps!A:A,Dim_Reps!B:B)</f>
        <v>Karim Rossi</v>
      </c>
      <c r="P2446" t="str">
        <f>_xlfn.XLOOKUP(Pipeline_tbl[[#This Row],[Rep_ID]],Dim_Reps!A:A,Dim_Reps!C:C)</f>
        <v>SDR / Inside Sales Rep</v>
      </c>
      <c r="Q2446" t="str">
        <f>_xlfn.XLOOKUP(Pipeline_tbl[[#This Row],[Rep_ID]],Dim_Reps!A:A,Dim_Reps!D:D)</f>
        <v>Inside Sales</v>
      </c>
      <c r="R2446" t="str">
        <f>_xlfn.XLOOKUP(Pipeline_tbl[[#This Row],[Rep_ID]],Dim_Reps!A:A,Dim_Reps!E:E)</f>
        <v>NAMER</v>
      </c>
      <c r="S2446" t="str">
        <f>_xlfn.XLOOKUP(Pipeline_tbl[[#This Row],[Created_Date]],Dim_Date!A:A,Dim_Date!H:H)</f>
        <v>May 2024</v>
      </c>
      <c r="T2446" t="str">
        <f>IF(Pipeline_tbl[[#This Row],[Closed_Date]]=0,"",(_xlfn.XLOOKUP(Pipeline_tbl[[#This Row],[Closed_Date]],Dim_Date!A:A,Dim_Date!H:H)))</f>
        <v>Jun 2024</v>
      </c>
      <c r="U2446">
        <f>IF(Pipeline_tbl[[#This Row],[Closed_Date]]=0,"",Pipeline_tbl[[#This Row],[Closed_Date]]-Pipeline_tbl[[#This Row],[Created_Date]])</f>
        <v>25</v>
      </c>
    </row>
    <row r="2447" spans="1:21" ht="15" customHeight="1" x14ac:dyDescent="0.2">
      <c r="A2447" t="s">
        <v>2753</v>
      </c>
      <c r="B2447" t="s">
        <v>193</v>
      </c>
      <c r="C2447" t="s">
        <v>53</v>
      </c>
      <c r="D2447" s="49">
        <v>45422</v>
      </c>
      <c r="E2447" s="49">
        <v>45424</v>
      </c>
      <c r="F2447" s="49">
        <v>45429</v>
      </c>
      <c r="I2447" s="49">
        <v>45445</v>
      </c>
      <c r="J2447" t="s">
        <v>49</v>
      </c>
      <c r="K2447" s="33">
        <v>2200</v>
      </c>
      <c r="L2447" t="s">
        <v>60</v>
      </c>
      <c r="M2447" t="str">
        <f>_xlfn.XLOOKUP(Pipeline_tbl[[#This Row],[Rep_ID]],Dim_Reps!A:A,Dim_Reps!K:K)</f>
        <v>USD</v>
      </c>
      <c r="N2447" s="33">
        <f>(_xlfn.XLOOKUP(Pipeline_tbl[[#This Row],[Rate_Code_Generalized]],Lookups!A:A,Lookups!B:B))*Pipeline_tbl[[#This Row],[Pipeline_Amount_USD]]</f>
        <v>2561.4599999999996</v>
      </c>
      <c r="O2447" t="str">
        <f>_xlfn.XLOOKUP(Pipeline_tbl[[#This Row],[Rep_ID]],Dim_Reps!A:A,Dim_Reps!B:B)</f>
        <v>Karim Rossi</v>
      </c>
      <c r="P2447" t="str">
        <f>_xlfn.XLOOKUP(Pipeline_tbl[[#This Row],[Rep_ID]],Dim_Reps!A:A,Dim_Reps!C:C)</f>
        <v>SDR / Inside Sales Rep</v>
      </c>
      <c r="Q2447" t="str">
        <f>_xlfn.XLOOKUP(Pipeline_tbl[[#This Row],[Rep_ID]],Dim_Reps!A:A,Dim_Reps!D:D)</f>
        <v>Inside Sales</v>
      </c>
      <c r="R2447" t="str">
        <f>_xlfn.XLOOKUP(Pipeline_tbl[[#This Row],[Rep_ID]],Dim_Reps!A:A,Dim_Reps!E:E)</f>
        <v>NAMER</v>
      </c>
      <c r="S2447" t="str">
        <f>_xlfn.XLOOKUP(Pipeline_tbl[[#This Row],[Created_Date]],Dim_Date!A:A,Dim_Date!H:H)</f>
        <v>May 2024</v>
      </c>
      <c r="T2447" t="str">
        <f>IF(Pipeline_tbl[[#This Row],[Closed_Date]]=0,"",(_xlfn.XLOOKUP(Pipeline_tbl[[#This Row],[Closed_Date]],Dim_Date!A:A,Dim_Date!H:H)))</f>
        <v>Jun 2024</v>
      </c>
      <c r="U2447">
        <f>IF(Pipeline_tbl[[#This Row],[Closed_Date]]=0,"",Pipeline_tbl[[#This Row],[Closed_Date]]-Pipeline_tbl[[#This Row],[Created_Date]])</f>
        <v>23</v>
      </c>
    </row>
    <row r="2448" spans="1:21" ht="15" customHeight="1" x14ac:dyDescent="0.2">
      <c r="A2448" t="s">
        <v>2754</v>
      </c>
      <c r="B2448" t="s">
        <v>243</v>
      </c>
      <c r="C2448" t="s">
        <v>55</v>
      </c>
      <c r="D2448" s="49">
        <v>45432</v>
      </c>
      <c r="E2448" s="49">
        <v>45436</v>
      </c>
      <c r="F2448" s="49">
        <v>45443</v>
      </c>
      <c r="G2448" s="49">
        <v>45455</v>
      </c>
      <c r="H2448" s="49">
        <v>45464</v>
      </c>
      <c r="I2448" s="49">
        <v>45470</v>
      </c>
      <c r="J2448" t="s">
        <v>47</v>
      </c>
      <c r="K2448" s="33">
        <v>15400</v>
      </c>
      <c r="M2448" t="str">
        <f>_xlfn.XLOOKUP(Pipeline_tbl[[#This Row],[Rep_ID]],Dim_Reps!A:A,Dim_Reps!K:K)</f>
        <v>MXN</v>
      </c>
      <c r="N2448" s="33">
        <f>(_xlfn.XLOOKUP(Pipeline_tbl[[#This Row],[Rate_Code_Generalized]],Lookups!A:A,Lookups!B:B))*Pipeline_tbl[[#This Row],[Pipeline_Amount_USD]]</f>
        <v>303883.58</v>
      </c>
      <c r="O2448" t="str">
        <f>_xlfn.XLOOKUP(Pipeline_tbl[[#This Row],[Rep_ID]],Dim_Reps!A:A,Dim_Reps!B:B)</f>
        <v>Jonas Sato</v>
      </c>
      <c r="P2448" t="str">
        <f>_xlfn.XLOOKUP(Pipeline_tbl[[#This Row],[Rep_ID]],Dim_Reps!A:A,Dim_Reps!C:C)</f>
        <v>Mid-Market AE</v>
      </c>
      <c r="Q2448" t="str">
        <f>_xlfn.XLOOKUP(Pipeline_tbl[[#This Row],[Rep_ID]],Dim_Reps!A:A,Dim_Reps!D:D)</f>
        <v>Mid-Market</v>
      </c>
      <c r="R2448" t="str">
        <f>_xlfn.XLOOKUP(Pipeline_tbl[[#This Row],[Rep_ID]],Dim_Reps!A:A,Dim_Reps!E:E)</f>
        <v>LATAM</v>
      </c>
      <c r="S2448" t="str">
        <f>_xlfn.XLOOKUP(Pipeline_tbl[[#This Row],[Created_Date]],Dim_Date!A:A,Dim_Date!H:H)</f>
        <v>May 2024</v>
      </c>
      <c r="T2448" t="str">
        <f>IF(Pipeline_tbl[[#This Row],[Closed_Date]]=0,"",(_xlfn.XLOOKUP(Pipeline_tbl[[#This Row],[Closed_Date]],Dim_Date!A:A,Dim_Date!H:H)))</f>
        <v>Jun 2024</v>
      </c>
      <c r="U2448">
        <f>IF(Pipeline_tbl[[#This Row],[Closed_Date]]=0,"",Pipeline_tbl[[#This Row],[Closed_Date]]-Pipeline_tbl[[#This Row],[Created_Date]])</f>
        <v>38</v>
      </c>
    </row>
    <row r="2449" spans="1:21" ht="15" customHeight="1" x14ac:dyDescent="0.2">
      <c r="A2449" t="s">
        <v>2755</v>
      </c>
      <c r="B2449" t="s">
        <v>199</v>
      </c>
      <c r="C2449" t="s">
        <v>52</v>
      </c>
      <c r="D2449" s="49">
        <v>45427</v>
      </c>
      <c r="E2449" s="49">
        <v>45429</v>
      </c>
      <c r="F2449" s="49">
        <v>45432</v>
      </c>
      <c r="G2449" s="49">
        <v>45438</v>
      </c>
      <c r="H2449" s="49">
        <v>45442</v>
      </c>
      <c r="I2449" s="49">
        <v>45445</v>
      </c>
      <c r="J2449" t="s">
        <v>47</v>
      </c>
      <c r="K2449" s="33">
        <v>2900</v>
      </c>
      <c r="M2449" t="str">
        <f>_xlfn.XLOOKUP(Pipeline_tbl[[#This Row],[Rep_ID]],Dim_Reps!A:A,Dim_Reps!K:K)</f>
        <v>EUR</v>
      </c>
      <c r="N2449" s="33">
        <f>(_xlfn.XLOOKUP(Pipeline_tbl[[#This Row],[Rate_Code_Generalized]],Lookups!A:A,Lookups!B:B))*Pipeline_tbl[[#This Row],[Pipeline_Amount_USD]]</f>
        <v>2900</v>
      </c>
      <c r="O2449" t="str">
        <f>_xlfn.XLOOKUP(Pipeline_tbl[[#This Row],[Rep_ID]],Dim_Reps!A:A,Dim_Reps!B:B)</f>
        <v>Lucas Okafor</v>
      </c>
      <c r="P2449" t="str">
        <f>_xlfn.XLOOKUP(Pipeline_tbl[[#This Row],[Rep_ID]],Dim_Reps!A:A,Dim_Reps!C:C)</f>
        <v>SDR / Inside Sales Rep</v>
      </c>
      <c r="Q2449" t="str">
        <f>_xlfn.XLOOKUP(Pipeline_tbl[[#This Row],[Rep_ID]],Dim_Reps!A:A,Dim_Reps!D:D)</f>
        <v>Inside Sales</v>
      </c>
      <c r="R2449" t="str">
        <f>_xlfn.XLOOKUP(Pipeline_tbl[[#This Row],[Rep_ID]],Dim_Reps!A:A,Dim_Reps!E:E)</f>
        <v>APAC</v>
      </c>
      <c r="S2449" t="str">
        <f>_xlfn.XLOOKUP(Pipeline_tbl[[#This Row],[Created_Date]],Dim_Date!A:A,Dim_Date!H:H)</f>
        <v>May 2024</v>
      </c>
      <c r="T2449" t="str">
        <f>IF(Pipeline_tbl[[#This Row],[Closed_Date]]=0,"",(_xlfn.XLOOKUP(Pipeline_tbl[[#This Row],[Closed_Date]],Dim_Date!A:A,Dim_Date!H:H)))</f>
        <v>Jun 2024</v>
      </c>
      <c r="U2449">
        <f>IF(Pipeline_tbl[[#This Row],[Closed_Date]]=0,"",Pipeline_tbl[[#This Row],[Closed_Date]]-Pipeline_tbl[[#This Row],[Created_Date]])</f>
        <v>18</v>
      </c>
    </row>
    <row r="2450" spans="1:21" ht="15" customHeight="1" x14ac:dyDescent="0.2">
      <c r="A2450" t="s">
        <v>2756</v>
      </c>
      <c r="B2450" t="s">
        <v>199</v>
      </c>
      <c r="C2450" t="s">
        <v>54</v>
      </c>
      <c r="D2450" s="49">
        <v>45439</v>
      </c>
      <c r="E2450" s="49">
        <v>45440</v>
      </c>
      <c r="F2450" s="49">
        <v>45441</v>
      </c>
      <c r="G2450" s="49">
        <v>45443</v>
      </c>
      <c r="H2450" s="49">
        <v>45445</v>
      </c>
      <c r="I2450" s="49">
        <v>45446</v>
      </c>
      <c r="J2450" t="s">
        <v>47</v>
      </c>
      <c r="K2450" s="33">
        <v>7400</v>
      </c>
      <c r="M2450" t="str">
        <f>_xlfn.XLOOKUP(Pipeline_tbl[[#This Row],[Rep_ID]],Dim_Reps!A:A,Dim_Reps!K:K)</f>
        <v>EUR</v>
      </c>
      <c r="N2450" s="33">
        <f>(_xlfn.XLOOKUP(Pipeline_tbl[[#This Row],[Rate_Code_Generalized]],Lookups!A:A,Lookups!B:B))*Pipeline_tbl[[#This Row],[Pipeline_Amount_USD]]</f>
        <v>7400</v>
      </c>
      <c r="O2450" t="str">
        <f>_xlfn.XLOOKUP(Pipeline_tbl[[#This Row],[Rep_ID]],Dim_Reps!A:A,Dim_Reps!B:B)</f>
        <v>Lucas Okafor</v>
      </c>
      <c r="P2450" t="str">
        <f>_xlfn.XLOOKUP(Pipeline_tbl[[#This Row],[Rep_ID]],Dim_Reps!A:A,Dim_Reps!C:C)</f>
        <v>SDR / Inside Sales Rep</v>
      </c>
      <c r="Q2450" t="str">
        <f>_xlfn.XLOOKUP(Pipeline_tbl[[#This Row],[Rep_ID]],Dim_Reps!A:A,Dim_Reps!D:D)</f>
        <v>Inside Sales</v>
      </c>
      <c r="R2450" t="str">
        <f>_xlfn.XLOOKUP(Pipeline_tbl[[#This Row],[Rep_ID]],Dim_Reps!A:A,Dim_Reps!E:E)</f>
        <v>APAC</v>
      </c>
      <c r="S2450" t="str">
        <f>_xlfn.XLOOKUP(Pipeline_tbl[[#This Row],[Created_Date]],Dim_Date!A:A,Dim_Date!H:H)</f>
        <v>May 2024</v>
      </c>
      <c r="T2450" t="str">
        <f>IF(Pipeline_tbl[[#This Row],[Closed_Date]]=0,"",(_xlfn.XLOOKUP(Pipeline_tbl[[#This Row],[Closed_Date]],Dim_Date!A:A,Dim_Date!H:H)))</f>
        <v>Jun 2024</v>
      </c>
      <c r="U2450">
        <f>IF(Pipeline_tbl[[#This Row],[Closed_Date]]=0,"",Pipeline_tbl[[#This Row],[Closed_Date]]-Pipeline_tbl[[#This Row],[Created_Date]])</f>
        <v>7</v>
      </c>
    </row>
    <row r="2451" spans="1:21" ht="15" customHeight="1" x14ac:dyDescent="0.2">
      <c r="A2451" t="s">
        <v>2757</v>
      </c>
      <c r="B2451" t="s">
        <v>199</v>
      </c>
      <c r="C2451" t="s">
        <v>52</v>
      </c>
      <c r="D2451" s="49">
        <v>45436</v>
      </c>
      <c r="E2451" s="49">
        <v>45438</v>
      </c>
      <c r="F2451" s="49">
        <v>45441</v>
      </c>
      <c r="G2451" s="49">
        <v>45446</v>
      </c>
      <c r="I2451" s="49">
        <v>45452</v>
      </c>
      <c r="J2451" t="s">
        <v>49</v>
      </c>
      <c r="K2451" s="33">
        <v>6300</v>
      </c>
      <c r="L2451" t="s">
        <v>60</v>
      </c>
      <c r="M2451" t="str">
        <f>_xlfn.XLOOKUP(Pipeline_tbl[[#This Row],[Rep_ID]],Dim_Reps!A:A,Dim_Reps!K:K)</f>
        <v>EUR</v>
      </c>
      <c r="N2451" s="33">
        <f>(_xlfn.XLOOKUP(Pipeline_tbl[[#This Row],[Rate_Code_Generalized]],Lookups!A:A,Lookups!B:B))*Pipeline_tbl[[#This Row],[Pipeline_Amount_USD]]</f>
        <v>6300</v>
      </c>
      <c r="O2451" t="str">
        <f>_xlfn.XLOOKUP(Pipeline_tbl[[#This Row],[Rep_ID]],Dim_Reps!A:A,Dim_Reps!B:B)</f>
        <v>Lucas Okafor</v>
      </c>
      <c r="P2451" t="str">
        <f>_xlfn.XLOOKUP(Pipeline_tbl[[#This Row],[Rep_ID]],Dim_Reps!A:A,Dim_Reps!C:C)</f>
        <v>SDR / Inside Sales Rep</v>
      </c>
      <c r="Q2451" t="str">
        <f>_xlfn.XLOOKUP(Pipeline_tbl[[#This Row],[Rep_ID]],Dim_Reps!A:A,Dim_Reps!D:D)</f>
        <v>Inside Sales</v>
      </c>
      <c r="R2451" t="str">
        <f>_xlfn.XLOOKUP(Pipeline_tbl[[#This Row],[Rep_ID]],Dim_Reps!A:A,Dim_Reps!E:E)</f>
        <v>APAC</v>
      </c>
      <c r="S2451" t="str">
        <f>_xlfn.XLOOKUP(Pipeline_tbl[[#This Row],[Created_Date]],Dim_Date!A:A,Dim_Date!H:H)</f>
        <v>May 2024</v>
      </c>
      <c r="T2451" t="str">
        <f>IF(Pipeline_tbl[[#This Row],[Closed_Date]]=0,"",(_xlfn.XLOOKUP(Pipeline_tbl[[#This Row],[Closed_Date]],Dim_Date!A:A,Dim_Date!H:H)))</f>
        <v>Jun 2024</v>
      </c>
      <c r="U2451">
        <f>IF(Pipeline_tbl[[#This Row],[Closed_Date]]=0,"",Pipeline_tbl[[#This Row],[Closed_Date]]-Pipeline_tbl[[#This Row],[Created_Date]])</f>
        <v>16</v>
      </c>
    </row>
    <row r="2452" spans="1:21" ht="15" customHeight="1" x14ac:dyDescent="0.2">
      <c r="A2452" t="s">
        <v>2758</v>
      </c>
      <c r="B2452" t="s">
        <v>199</v>
      </c>
      <c r="C2452" t="s">
        <v>55</v>
      </c>
      <c r="D2452" s="49">
        <v>45431</v>
      </c>
      <c r="E2452" s="49">
        <v>45433</v>
      </c>
      <c r="F2452" s="49">
        <v>45436</v>
      </c>
      <c r="G2452" s="49">
        <v>45440</v>
      </c>
      <c r="H2452" s="49">
        <v>45444</v>
      </c>
      <c r="I2452" s="49">
        <v>45446</v>
      </c>
      <c r="J2452" t="s">
        <v>47</v>
      </c>
      <c r="K2452" s="33">
        <v>5800</v>
      </c>
      <c r="M2452" t="str">
        <f>_xlfn.XLOOKUP(Pipeline_tbl[[#This Row],[Rep_ID]],Dim_Reps!A:A,Dim_Reps!K:K)</f>
        <v>EUR</v>
      </c>
      <c r="N2452" s="33">
        <f>(_xlfn.XLOOKUP(Pipeline_tbl[[#This Row],[Rate_Code_Generalized]],Lookups!A:A,Lookups!B:B))*Pipeline_tbl[[#This Row],[Pipeline_Amount_USD]]</f>
        <v>5800</v>
      </c>
      <c r="O2452" t="str">
        <f>_xlfn.XLOOKUP(Pipeline_tbl[[#This Row],[Rep_ID]],Dim_Reps!A:A,Dim_Reps!B:B)</f>
        <v>Lucas Okafor</v>
      </c>
      <c r="P2452" t="str">
        <f>_xlfn.XLOOKUP(Pipeline_tbl[[#This Row],[Rep_ID]],Dim_Reps!A:A,Dim_Reps!C:C)</f>
        <v>SDR / Inside Sales Rep</v>
      </c>
      <c r="Q2452" t="str">
        <f>_xlfn.XLOOKUP(Pipeline_tbl[[#This Row],[Rep_ID]],Dim_Reps!A:A,Dim_Reps!D:D)</f>
        <v>Inside Sales</v>
      </c>
      <c r="R2452" t="str">
        <f>_xlfn.XLOOKUP(Pipeline_tbl[[#This Row],[Rep_ID]],Dim_Reps!A:A,Dim_Reps!E:E)</f>
        <v>APAC</v>
      </c>
      <c r="S2452" t="str">
        <f>_xlfn.XLOOKUP(Pipeline_tbl[[#This Row],[Created_Date]],Dim_Date!A:A,Dim_Date!H:H)</f>
        <v>May 2024</v>
      </c>
      <c r="T2452" t="str">
        <f>IF(Pipeline_tbl[[#This Row],[Closed_Date]]=0,"",(_xlfn.XLOOKUP(Pipeline_tbl[[#This Row],[Closed_Date]],Dim_Date!A:A,Dim_Date!H:H)))</f>
        <v>Jun 2024</v>
      </c>
      <c r="U2452">
        <f>IF(Pipeline_tbl[[#This Row],[Closed_Date]]=0,"",Pipeline_tbl[[#This Row],[Closed_Date]]-Pipeline_tbl[[#This Row],[Created_Date]])</f>
        <v>15</v>
      </c>
    </row>
    <row r="2453" spans="1:21" ht="15" customHeight="1" x14ac:dyDescent="0.2">
      <c r="A2453" t="s">
        <v>2759</v>
      </c>
      <c r="B2453" t="s">
        <v>199</v>
      </c>
      <c r="C2453" t="s">
        <v>56</v>
      </c>
      <c r="D2453" s="49">
        <v>45421</v>
      </c>
      <c r="E2453" s="49">
        <v>45423</v>
      </c>
      <c r="F2453" s="49">
        <v>45429</v>
      </c>
      <c r="I2453" s="49">
        <v>45446</v>
      </c>
      <c r="J2453" t="s">
        <v>49</v>
      </c>
      <c r="K2453" s="33">
        <v>2100</v>
      </c>
      <c r="L2453" t="s">
        <v>60</v>
      </c>
      <c r="M2453" t="str">
        <f>_xlfn.XLOOKUP(Pipeline_tbl[[#This Row],[Rep_ID]],Dim_Reps!A:A,Dim_Reps!K:K)</f>
        <v>EUR</v>
      </c>
      <c r="N2453" s="33">
        <f>(_xlfn.XLOOKUP(Pipeline_tbl[[#This Row],[Rate_Code_Generalized]],Lookups!A:A,Lookups!B:B))*Pipeline_tbl[[#This Row],[Pipeline_Amount_USD]]</f>
        <v>2100</v>
      </c>
      <c r="O2453" t="str">
        <f>_xlfn.XLOOKUP(Pipeline_tbl[[#This Row],[Rep_ID]],Dim_Reps!A:A,Dim_Reps!B:B)</f>
        <v>Lucas Okafor</v>
      </c>
      <c r="P2453" t="str">
        <f>_xlfn.XLOOKUP(Pipeline_tbl[[#This Row],[Rep_ID]],Dim_Reps!A:A,Dim_Reps!C:C)</f>
        <v>SDR / Inside Sales Rep</v>
      </c>
      <c r="Q2453" t="str">
        <f>_xlfn.XLOOKUP(Pipeline_tbl[[#This Row],[Rep_ID]],Dim_Reps!A:A,Dim_Reps!D:D)</f>
        <v>Inside Sales</v>
      </c>
      <c r="R2453" t="str">
        <f>_xlfn.XLOOKUP(Pipeline_tbl[[#This Row],[Rep_ID]],Dim_Reps!A:A,Dim_Reps!E:E)</f>
        <v>APAC</v>
      </c>
      <c r="S2453" t="str">
        <f>_xlfn.XLOOKUP(Pipeline_tbl[[#This Row],[Created_Date]],Dim_Date!A:A,Dim_Date!H:H)</f>
        <v>May 2024</v>
      </c>
      <c r="T2453" t="str">
        <f>IF(Pipeline_tbl[[#This Row],[Closed_Date]]=0,"",(_xlfn.XLOOKUP(Pipeline_tbl[[#This Row],[Closed_Date]],Dim_Date!A:A,Dim_Date!H:H)))</f>
        <v>Jun 2024</v>
      </c>
      <c r="U2453">
        <f>IF(Pipeline_tbl[[#This Row],[Closed_Date]]=0,"",Pipeline_tbl[[#This Row],[Closed_Date]]-Pipeline_tbl[[#This Row],[Created_Date]])</f>
        <v>25</v>
      </c>
    </row>
    <row r="2454" spans="1:21" ht="15" customHeight="1" x14ac:dyDescent="0.2">
      <c r="A2454" t="s">
        <v>2760</v>
      </c>
      <c r="B2454" t="s">
        <v>199</v>
      </c>
      <c r="C2454" t="s">
        <v>52</v>
      </c>
      <c r="D2454" s="49">
        <v>45440</v>
      </c>
      <c r="E2454" s="49">
        <v>45442</v>
      </c>
      <c r="F2454" s="49">
        <v>45447</v>
      </c>
      <c r="G2454" s="49">
        <v>45453</v>
      </c>
      <c r="H2454" s="49">
        <v>45459</v>
      </c>
      <c r="I2454" s="49">
        <v>45462</v>
      </c>
      <c r="J2454" t="s">
        <v>49</v>
      </c>
      <c r="K2454" s="33">
        <v>6400</v>
      </c>
      <c r="L2454" t="s">
        <v>61</v>
      </c>
      <c r="M2454" t="str">
        <f>_xlfn.XLOOKUP(Pipeline_tbl[[#This Row],[Rep_ID]],Dim_Reps!A:A,Dim_Reps!K:K)</f>
        <v>EUR</v>
      </c>
      <c r="N2454" s="33">
        <f>(_xlfn.XLOOKUP(Pipeline_tbl[[#This Row],[Rate_Code_Generalized]],Lookups!A:A,Lookups!B:B))*Pipeline_tbl[[#This Row],[Pipeline_Amount_USD]]</f>
        <v>6400</v>
      </c>
      <c r="O2454" t="str">
        <f>_xlfn.XLOOKUP(Pipeline_tbl[[#This Row],[Rep_ID]],Dim_Reps!A:A,Dim_Reps!B:B)</f>
        <v>Lucas Okafor</v>
      </c>
      <c r="P2454" t="str">
        <f>_xlfn.XLOOKUP(Pipeline_tbl[[#This Row],[Rep_ID]],Dim_Reps!A:A,Dim_Reps!C:C)</f>
        <v>SDR / Inside Sales Rep</v>
      </c>
      <c r="Q2454" t="str">
        <f>_xlfn.XLOOKUP(Pipeline_tbl[[#This Row],[Rep_ID]],Dim_Reps!A:A,Dim_Reps!D:D)</f>
        <v>Inside Sales</v>
      </c>
      <c r="R2454" t="str">
        <f>_xlfn.XLOOKUP(Pipeline_tbl[[#This Row],[Rep_ID]],Dim_Reps!A:A,Dim_Reps!E:E)</f>
        <v>APAC</v>
      </c>
      <c r="S2454" t="str">
        <f>_xlfn.XLOOKUP(Pipeline_tbl[[#This Row],[Created_Date]],Dim_Date!A:A,Dim_Date!H:H)</f>
        <v>May 2024</v>
      </c>
      <c r="T2454" t="str">
        <f>IF(Pipeline_tbl[[#This Row],[Closed_Date]]=0,"",(_xlfn.XLOOKUP(Pipeline_tbl[[#This Row],[Closed_Date]],Dim_Date!A:A,Dim_Date!H:H)))</f>
        <v>Jun 2024</v>
      </c>
      <c r="U2454">
        <f>IF(Pipeline_tbl[[#This Row],[Closed_Date]]=0,"",Pipeline_tbl[[#This Row],[Closed_Date]]-Pipeline_tbl[[#This Row],[Created_Date]])</f>
        <v>22</v>
      </c>
    </row>
    <row r="2455" spans="1:21" ht="15" customHeight="1" x14ac:dyDescent="0.2">
      <c r="A2455" t="s">
        <v>2761</v>
      </c>
      <c r="B2455" t="s">
        <v>199</v>
      </c>
      <c r="C2455" t="s">
        <v>54</v>
      </c>
      <c r="D2455" s="49">
        <v>45439</v>
      </c>
      <c r="E2455" s="49">
        <v>45440</v>
      </c>
      <c r="F2455" s="49">
        <v>45442</v>
      </c>
      <c r="I2455" s="49">
        <v>45448</v>
      </c>
      <c r="J2455" t="s">
        <v>49</v>
      </c>
      <c r="K2455" s="33">
        <v>7100</v>
      </c>
      <c r="L2455" t="s">
        <v>62</v>
      </c>
      <c r="M2455" t="str">
        <f>_xlfn.XLOOKUP(Pipeline_tbl[[#This Row],[Rep_ID]],Dim_Reps!A:A,Dim_Reps!K:K)</f>
        <v>EUR</v>
      </c>
      <c r="N2455" s="33">
        <f>(_xlfn.XLOOKUP(Pipeline_tbl[[#This Row],[Rate_Code_Generalized]],Lookups!A:A,Lookups!B:B))*Pipeline_tbl[[#This Row],[Pipeline_Amount_USD]]</f>
        <v>7100</v>
      </c>
      <c r="O2455" t="str">
        <f>_xlfn.XLOOKUP(Pipeline_tbl[[#This Row],[Rep_ID]],Dim_Reps!A:A,Dim_Reps!B:B)</f>
        <v>Lucas Okafor</v>
      </c>
      <c r="P2455" t="str">
        <f>_xlfn.XLOOKUP(Pipeline_tbl[[#This Row],[Rep_ID]],Dim_Reps!A:A,Dim_Reps!C:C)</f>
        <v>SDR / Inside Sales Rep</v>
      </c>
      <c r="Q2455" t="str">
        <f>_xlfn.XLOOKUP(Pipeline_tbl[[#This Row],[Rep_ID]],Dim_Reps!A:A,Dim_Reps!D:D)</f>
        <v>Inside Sales</v>
      </c>
      <c r="R2455" t="str">
        <f>_xlfn.XLOOKUP(Pipeline_tbl[[#This Row],[Rep_ID]],Dim_Reps!A:A,Dim_Reps!E:E)</f>
        <v>APAC</v>
      </c>
      <c r="S2455" t="str">
        <f>_xlfn.XLOOKUP(Pipeline_tbl[[#This Row],[Created_Date]],Dim_Date!A:A,Dim_Date!H:H)</f>
        <v>May 2024</v>
      </c>
      <c r="T2455" t="str">
        <f>IF(Pipeline_tbl[[#This Row],[Closed_Date]]=0,"",(_xlfn.XLOOKUP(Pipeline_tbl[[#This Row],[Closed_Date]],Dim_Date!A:A,Dim_Date!H:H)))</f>
        <v>Jun 2024</v>
      </c>
      <c r="U2455">
        <f>IF(Pipeline_tbl[[#This Row],[Closed_Date]]=0,"",Pipeline_tbl[[#This Row],[Closed_Date]]-Pipeline_tbl[[#This Row],[Created_Date]])</f>
        <v>9</v>
      </c>
    </row>
    <row r="2456" spans="1:21" ht="15" customHeight="1" x14ac:dyDescent="0.2">
      <c r="A2456" t="s">
        <v>2762</v>
      </c>
      <c r="B2456" t="s">
        <v>199</v>
      </c>
      <c r="C2456" t="s">
        <v>52</v>
      </c>
      <c r="D2456" s="49">
        <v>45442</v>
      </c>
      <c r="E2456" s="49">
        <v>45443</v>
      </c>
      <c r="F2456" s="49">
        <v>45444</v>
      </c>
      <c r="G2456" s="49">
        <v>45446</v>
      </c>
      <c r="H2456" s="49">
        <v>45448</v>
      </c>
      <c r="I2456" s="49">
        <v>45449</v>
      </c>
      <c r="J2456" t="s">
        <v>47</v>
      </c>
      <c r="K2456" s="33">
        <v>3100</v>
      </c>
      <c r="M2456" t="str">
        <f>_xlfn.XLOOKUP(Pipeline_tbl[[#This Row],[Rep_ID]],Dim_Reps!A:A,Dim_Reps!K:K)</f>
        <v>EUR</v>
      </c>
      <c r="N2456" s="33">
        <f>(_xlfn.XLOOKUP(Pipeline_tbl[[#This Row],[Rate_Code_Generalized]],Lookups!A:A,Lookups!B:B))*Pipeline_tbl[[#This Row],[Pipeline_Amount_USD]]</f>
        <v>3100</v>
      </c>
      <c r="O2456" t="str">
        <f>_xlfn.XLOOKUP(Pipeline_tbl[[#This Row],[Rep_ID]],Dim_Reps!A:A,Dim_Reps!B:B)</f>
        <v>Lucas Okafor</v>
      </c>
      <c r="P2456" t="str">
        <f>_xlfn.XLOOKUP(Pipeline_tbl[[#This Row],[Rep_ID]],Dim_Reps!A:A,Dim_Reps!C:C)</f>
        <v>SDR / Inside Sales Rep</v>
      </c>
      <c r="Q2456" t="str">
        <f>_xlfn.XLOOKUP(Pipeline_tbl[[#This Row],[Rep_ID]],Dim_Reps!A:A,Dim_Reps!D:D)</f>
        <v>Inside Sales</v>
      </c>
      <c r="R2456" t="str">
        <f>_xlfn.XLOOKUP(Pipeline_tbl[[#This Row],[Rep_ID]],Dim_Reps!A:A,Dim_Reps!E:E)</f>
        <v>APAC</v>
      </c>
      <c r="S2456" t="str">
        <f>_xlfn.XLOOKUP(Pipeline_tbl[[#This Row],[Created_Date]],Dim_Date!A:A,Dim_Date!H:H)</f>
        <v>May 2024</v>
      </c>
      <c r="T2456" t="str">
        <f>IF(Pipeline_tbl[[#This Row],[Closed_Date]]=0,"",(_xlfn.XLOOKUP(Pipeline_tbl[[#This Row],[Closed_Date]],Dim_Date!A:A,Dim_Date!H:H)))</f>
        <v>Jun 2024</v>
      </c>
      <c r="U2456">
        <f>IF(Pipeline_tbl[[#This Row],[Closed_Date]]=0,"",Pipeline_tbl[[#This Row],[Closed_Date]]-Pipeline_tbl[[#This Row],[Created_Date]])</f>
        <v>7</v>
      </c>
    </row>
    <row r="2457" spans="1:21" ht="15" customHeight="1" x14ac:dyDescent="0.2">
      <c r="A2457" t="s">
        <v>2763</v>
      </c>
      <c r="B2457" t="s">
        <v>199</v>
      </c>
      <c r="C2457" t="s">
        <v>53</v>
      </c>
      <c r="D2457" s="49">
        <v>45421</v>
      </c>
      <c r="E2457" s="49">
        <v>45424</v>
      </c>
      <c r="F2457" s="49">
        <v>45429</v>
      </c>
      <c r="G2457" s="49">
        <v>45437</v>
      </c>
      <c r="I2457" s="49">
        <v>45448</v>
      </c>
      <c r="J2457" t="s">
        <v>49</v>
      </c>
      <c r="K2457" s="33">
        <v>2400</v>
      </c>
      <c r="L2457" t="s">
        <v>61</v>
      </c>
      <c r="M2457" t="str">
        <f>_xlfn.XLOOKUP(Pipeline_tbl[[#This Row],[Rep_ID]],Dim_Reps!A:A,Dim_Reps!K:K)</f>
        <v>EUR</v>
      </c>
      <c r="N2457" s="33">
        <f>(_xlfn.XLOOKUP(Pipeline_tbl[[#This Row],[Rate_Code_Generalized]],Lookups!A:A,Lookups!B:B))*Pipeline_tbl[[#This Row],[Pipeline_Amount_USD]]</f>
        <v>2400</v>
      </c>
      <c r="O2457" t="str">
        <f>_xlfn.XLOOKUP(Pipeline_tbl[[#This Row],[Rep_ID]],Dim_Reps!A:A,Dim_Reps!B:B)</f>
        <v>Lucas Okafor</v>
      </c>
      <c r="P2457" t="str">
        <f>_xlfn.XLOOKUP(Pipeline_tbl[[#This Row],[Rep_ID]],Dim_Reps!A:A,Dim_Reps!C:C)</f>
        <v>SDR / Inside Sales Rep</v>
      </c>
      <c r="Q2457" t="str">
        <f>_xlfn.XLOOKUP(Pipeline_tbl[[#This Row],[Rep_ID]],Dim_Reps!A:A,Dim_Reps!D:D)</f>
        <v>Inside Sales</v>
      </c>
      <c r="R2457" t="str">
        <f>_xlfn.XLOOKUP(Pipeline_tbl[[#This Row],[Rep_ID]],Dim_Reps!A:A,Dim_Reps!E:E)</f>
        <v>APAC</v>
      </c>
      <c r="S2457" t="str">
        <f>_xlfn.XLOOKUP(Pipeline_tbl[[#This Row],[Created_Date]],Dim_Date!A:A,Dim_Date!H:H)</f>
        <v>May 2024</v>
      </c>
      <c r="T2457" t="str">
        <f>IF(Pipeline_tbl[[#This Row],[Closed_Date]]=0,"",(_xlfn.XLOOKUP(Pipeline_tbl[[#This Row],[Closed_Date]],Dim_Date!A:A,Dim_Date!H:H)))</f>
        <v>Jun 2024</v>
      </c>
      <c r="U2457">
        <f>IF(Pipeline_tbl[[#This Row],[Closed_Date]]=0,"",Pipeline_tbl[[#This Row],[Closed_Date]]-Pipeline_tbl[[#This Row],[Created_Date]])</f>
        <v>27</v>
      </c>
    </row>
    <row r="2458" spans="1:21" ht="15" customHeight="1" x14ac:dyDescent="0.2">
      <c r="A2458" t="s">
        <v>2764</v>
      </c>
      <c r="B2458" t="s">
        <v>181</v>
      </c>
      <c r="C2458" t="s">
        <v>53</v>
      </c>
      <c r="D2458" s="49">
        <v>45421</v>
      </c>
      <c r="E2458" s="49">
        <v>45425</v>
      </c>
      <c r="I2458" s="49">
        <v>45466</v>
      </c>
      <c r="J2458" t="s">
        <v>49</v>
      </c>
      <c r="K2458" s="33">
        <v>50200</v>
      </c>
      <c r="L2458" t="s">
        <v>64</v>
      </c>
      <c r="M2458" t="str">
        <f>_xlfn.XLOOKUP(Pipeline_tbl[[#This Row],[Rep_ID]],Dim_Reps!A:A,Dim_Reps!K:K)</f>
        <v>USD</v>
      </c>
      <c r="N2458" s="33">
        <f>(_xlfn.XLOOKUP(Pipeline_tbl[[#This Row],[Rate_Code_Generalized]],Lookups!A:A,Lookups!B:B))*Pipeline_tbl[[#This Row],[Pipeline_Amount_USD]]</f>
        <v>58447.859999999993</v>
      </c>
      <c r="O2458" t="str">
        <f>_xlfn.XLOOKUP(Pipeline_tbl[[#This Row],[Rep_ID]],Dim_Reps!A:A,Dim_Reps!B:B)</f>
        <v>Milo Weber</v>
      </c>
      <c r="P2458" t="str">
        <f>_xlfn.XLOOKUP(Pipeline_tbl[[#This Row],[Rep_ID]],Dim_Reps!A:A,Dim_Reps!C:C)</f>
        <v>Enterprise AE</v>
      </c>
      <c r="Q2458" t="str">
        <f>_xlfn.XLOOKUP(Pipeline_tbl[[#This Row],[Rep_ID]],Dim_Reps!A:A,Dim_Reps!D:D)</f>
        <v>Enterprise</v>
      </c>
      <c r="R2458" t="str">
        <f>_xlfn.XLOOKUP(Pipeline_tbl[[#This Row],[Rep_ID]],Dim_Reps!A:A,Dim_Reps!E:E)</f>
        <v>NAMER</v>
      </c>
      <c r="S2458" t="str">
        <f>_xlfn.XLOOKUP(Pipeline_tbl[[#This Row],[Created_Date]],Dim_Date!A:A,Dim_Date!H:H)</f>
        <v>May 2024</v>
      </c>
      <c r="T2458" t="str">
        <f>IF(Pipeline_tbl[[#This Row],[Closed_Date]]=0,"",(_xlfn.XLOOKUP(Pipeline_tbl[[#This Row],[Closed_Date]],Dim_Date!A:A,Dim_Date!H:H)))</f>
        <v>Jun 2024</v>
      </c>
      <c r="U2458">
        <f>IF(Pipeline_tbl[[#This Row],[Closed_Date]]=0,"",Pipeline_tbl[[#This Row],[Closed_Date]]-Pipeline_tbl[[#This Row],[Created_Date]])</f>
        <v>45</v>
      </c>
    </row>
    <row r="2459" spans="1:21" ht="15" customHeight="1" x14ac:dyDescent="0.2">
      <c r="A2459" t="s">
        <v>2765</v>
      </c>
      <c r="B2459" t="s">
        <v>181</v>
      </c>
      <c r="C2459" t="s">
        <v>52</v>
      </c>
      <c r="D2459" s="49">
        <v>45420</v>
      </c>
      <c r="E2459" s="49">
        <v>45422</v>
      </c>
      <c r="F2459" s="49">
        <v>45428</v>
      </c>
      <c r="I2459" s="49">
        <v>45445</v>
      </c>
      <c r="J2459" t="s">
        <v>49</v>
      </c>
      <c r="K2459" s="33">
        <v>27400</v>
      </c>
      <c r="L2459" t="s">
        <v>64</v>
      </c>
      <c r="M2459" t="str">
        <f>_xlfn.XLOOKUP(Pipeline_tbl[[#This Row],[Rep_ID]],Dim_Reps!A:A,Dim_Reps!K:K)</f>
        <v>USD</v>
      </c>
      <c r="N2459" s="33">
        <f>(_xlfn.XLOOKUP(Pipeline_tbl[[#This Row],[Rate_Code_Generalized]],Lookups!A:A,Lookups!B:B))*Pipeline_tbl[[#This Row],[Pipeline_Amount_USD]]</f>
        <v>31901.819999999996</v>
      </c>
      <c r="O2459" t="str">
        <f>_xlfn.XLOOKUP(Pipeline_tbl[[#This Row],[Rep_ID]],Dim_Reps!A:A,Dim_Reps!B:B)</f>
        <v>Milo Weber</v>
      </c>
      <c r="P2459" t="str">
        <f>_xlfn.XLOOKUP(Pipeline_tbl[[#This Row],[Rep_ID]],Dim_Reps!A:A,Dim_Reps!C:C)</f>
        <v>Enterprise AE</v>
      </c>
      <c r="Q2459" t="str">
        <f>_xlfn.XLOOKUP(Pipeline_tbl[[#This Row],[Rep_ID]],Dim_Reps!A:A,Dim_Reps!D:D)</f>
        <v>Enterprise</v>
      </c>
      <c r="R2459" t="str">
        <f>_xlfn.XLOOKUP(Pipeline_tbl[[#This Row],[Rep_ID]],Dim_Reps!A:A,Dim_Reps!E:E)</f>
        <v>NAMER</v>
      </c>
      <c r="S2459" t="str">
        <f>_xlfn.XLOOKUP(Pipeline_tbl[[#This Row],[Created_Date]],Dim_Date!A:A,Dim_Date!H:H)</f>
        <v>May 2024</v>
      </c>
      <c r="T2459" t="str">
        <f>IF(Pipeline_tbl[[#This Row],[Closed_Date]]=0,"",(_xlfn.XLOOKUP(Pipeline_tbl[[#This Row],[Closed_Date]],Dim_Date!A:A,Dim_Date!H:H)))</f>
        <v>Jun 2024</v>
      </c>
      <c r="U2459">
        <f>IF(Pipeline_tbl[[#This Row],[Closed_Date]]=0,"",Pipeline_tbl[[#This Row],[Closed_Date]]-Pipeline_tbl[[#This Row],[Created_Date]])</f>
        <v>25</v>
      </c>
    </row>
    <row r="2460" spans="1:21" ht="15" customHeight="1" x14ac:dyDescent="0.2">
      <c r="A2460" t="s">
        <v>2766</v>
      </c>
      <c r="B2460" t="s">
        <v>183</v>
      </c>
      <c r="C2460" t="s">
        <v>56</v>
      </c>
      <c r="D2460" s="49">
        <v>45421</v>
      </c>
      <c r="E2460" s="49">
        <v>45426</v>
      </c>
      <c r="I2460" s="49">
        <v>45471</v>
      </c>
      <c r="J2460" t="s">
        <v>49</v>
      </c>
      <c r="K2460" s="33">
        <v>25700</v>
      </c>
      <c r="L2460" t="s">
        <v>60</v>
      </c>
      <c r="M2460" t="str">
        <f>_xlfn.XLOOKUP(Pipeline_tbl[[#This Row],[Rep_ID]],Dim_Reps!A:A,Dim_Reps!K:K)</f>
        <v>EUR</v>
      </c>
      <c r="N2460" s="33">
        <f>(_xlfn.XLOOKUP(Pipeline_tbl[[#This Row],[Rate_Code_Generalized]],Lookups!A:A,Lookups!B:B))*Pipeline_tbl[[#This Row],[Pipeline_Amount_USD]]</f>
        <v>25700</v>
      </c>
      <c r="O2460" t="str">
        <f>_xlfn.XLOOKUP(Pipeline_tbl[[#This Row],[Rep_ID]],Dim_Reps!A:A,Dim_Reps!B:B)</f>
        <v>Sam Schmidt</v>
      </c>
      <c r="P2460" t="str">
        <f>_xlfn.XLOOKUP(Pipeline_tbl[[#This Row],[Rep_ID]],Dim_Reps!A:A,Dim_Reps!C:C)</f>
        <v>Enterprise AE</v>
      </c>
      <c r="Q2460" t="str">
        <f>_xlfn.XLOOKUP(Pipeline_tbl[[#This Row],[Rep_ID]],Dim_Reps!A:A,Dim_Reps!D:D)</f>
        <v>Enterprise</v>
      </c>
      <c r="R2460" t="str">
        <f>_xlfn.XLOOKUP(Pipeline_tbl[[#This Row],[Rep_ID]],Dim_Reps!A:A,Dim_Reps!E:E)</f>
        <v>EMEA</v>
      </c>
      <c r="S2460" t="str">
        <f>_xlfn.XLOOKUP(Pipeline_tbl[[#This Row],[Created_Date]],Dim_Date!A:A,Dim_Date!H:H)</f>
        <v>May 2024</v>
      </c>
      <c r="T2460" t="str">
        <f>IF(Pipeline_tbl[[#This Row],[Closed_Date]]=0,"",(_xlfn.XLOOKUP(Pipeline_tbl[[#This Row],[Closed_Date]],Dim_Date!A:A,Dim_Date!H:H)))</f>
        <v>Jun 2024</v>
      </c>
      <c r="U2460">
        <f>IF(Pipeline_tbl[[#This Row],[Closed_Date]]=0,"",Pipeline_tbl[[#This Row],[Closed_Date]]-Pipeline_tbl[[#This Row],[Created_Date]])</f>
        <v>50</v>
      </c>
    </row>
    <row r="2461" spans="1:21" ht="15" customHeight="1" x14ac:dyDescent="0.2">
      <c r="A2461" t="s">
        <v>2767</v>
      </c>
      <c r="B2461" t="s">
        <v>205</v>
      </c>
      <c r="C2461" t="s">
        <v>52</v>
      </c>
      <c r="D2461" s="49">
        <v>45437</v>
      </c>
      <c r="E2461" s="49">
        <v>45439</v>
      </c>
      <c r="F2461" s="49">
        <v>45442</v>
      </c>
      <c r="I2461" s="49">
        <v>45453</v>
      </c>
      <c r="J2461" t="s">
        <v>49</v>
      </c>
      <c r="K2461" s="33">
        <v>3600</v>
      </c>
      <c r="L2461" t="s">
        <v>61</v>
      </c>
      <c r="M2461" t="str">
        <f>_xlfn.XLOOKUP(Pipeline_tbl[[#This Row],[Rep_ID]],Dim_Reps!A:A,Dim_Reps!K:K)</f>
        <v>EUR</v>
      </c>
      <c r="N2461" s="33">
        <f>(_xlfn.XLOOKUP(Pipeline_tbl[[#This Row],[Rate_Code_Generalized]],Lookups!A:A,Lookups!B:B))*Pipeline_tbl[[#This Row],[Pipeline_Amount_USD]]</f>
        <v>3600</v>
      </c>
      <c r="O2461" t="str">
        <f>_xlfn.XLOOKUP(Pipeline_tbl[[#This Row],[Rep_ID]],Dim_Reps!A:A,Dim_Reps!B:B)</f>
        <v>Karim Alvarez</v>
      </c>
      <c r="P2461" t="str">
        <f>_xlfn.XLOOKUP(Pipeline_tbl[[#This Row],[Rep_ID]],Dim_Reps!A:A,Dim_Reps!C:C)</f>
        <v>SDR / Inside Sales Rep</v>
      </c>
      <c r="Q2461" t="str">
        <f>_xlfn.XLOOKUP(Pipeline_tbl[[#This Row],[Rep_ID]],Dim_Reps!A:A,Dim_Reps!D:D)</f>
        <v>Inside Sales</v>
      </c>
      <c r="R2461" t="str">
        <f>_xlfn.XLOOKUP(Pipeline_tbl[[#This Row],[Rep_ID]],Dim_Reps!A:A,Dim_Reps!E:E)</f>
        <v>EMEA</v>
      </c>
      <c r="S2461" t="str">
        <f>_xlfn.XLOOKUP(Pipeline_tbl[[#This Row],[Created_Date]],Dim_Date!A:A,Dim_Date!H:H)</f>
        <v>May 2024</v>
      </c>
      <c r="T2461" t="str">
        <f>IF(Pipeline_tbl[[#This Row],[Closed_Date]]=0,"",(_xlfn.XLOOKUP(Pipeline_tbl[[#This Row],[Closed_Date]],Dim_Date!A:A,Dim_Date!H:H)))</f>
        <v>Jun 2024</v>
      </c>
      <c r="U2461">
        <f>IF(Pipeline_tbl[[#This Row],[Closed_Date]]=0,"",Pipeline_tbl[[#This Row],[Closed_Date]]-Pipeline_tbl[[#This Row],[Created_Date]])</f>
        <v>16</v>
      </c>
    </row>
    <row r="2462" spans="1:21" ht="15" customHeight="1" x14ac:dyDescent="0.2">
      <c r="A2462" t="s">
        <v>2768</v>
      </c>
      <c r="B2462" t="s">
        <v>205</v>
      </c>
      <c r="C2462" t="s">
        <v>52</v>
      </c>
      <c r="D2462" s="49">
        <v>45429</v>
      </c>
      <c r="E2462" s="49">
        <v>45431</v>
      </c>
      <c r="F2462" s="49">
        <v>45435</v>
      </c>
      <c r="G2462" s="49">
        <v>45442</v>
      </c>
      <c r="H2462" s="49">
        <v>45447</v>
      </c>
      <c r="I2462" s="49">
        <v>45450</v>
      </c>
      <c r="J2462" t="s">
        <v>47</v>
      </c>
      <c r="K2462" s="33">
        <v>2500</v>
      </c>
      <c r="M2462" t="str">
        <f>_xlfn.XLOOKUP(Pipeline_tbl[[#This Row],[Rep_ID]],Dim_Reps!A:A,Dim_Reps!K:K)</f>
        <v>EUR</v>
      </c>
      <c r="N2462" s="33">
        <f>(_xlfn.XLOOKUP(Pipeline_tbl[[#This Row],[Rate_Code_Generalized]],Lookups!A:A,Lookups!B:B))*Pipeline_tbl[[#This Row],[Pipeline_Amount_USD]]</f>
        <v>2500</v>
      </c>
      <c r="O2462" t="str">
        <f>_xlfn.XLOOKUP(Pipeline_tbl[[#This Row],[Rep_ID]],Dim_Reps!A:A,Dim_Reps!B:B)</f>
        <v>Karim Alvarez</v>
      </c>
      <c r="P2462" t="str">
        <f>_xlfn.XLOOKUP(Pipeline_tbl[[#This Row],[Rep_ID]],Dim_Reps!A:A,Dim_Reps!C:C)</f>
        <v>SDR / Inside Sales Rep</v>
      </c>
      <c r="Q2462" t="str">
        <f>_xlfn.XLOOKUP(Pipeline_tbl[[#This Row],[Rep_ID]],Dim_Reps!A:A,Dim_Reps!D:D)</f>
        <v>Inside Sales</v>
      </c>
      <c r="R2462" t="str">
        <f>_xlfn.XLOOKUP(Pipeline_tbl[[#This Row],[Rep_ID]],Dim_Reps!A:A,Dim_Reps!E:E)</f>
        <v>EMEA</v>
      </c>
      <c r="S2462" t="str">
        <f>_xlfn.XLOOKUP(Pipeline_tbl[[#This Row],[Created_Date]],Dim_Date!A:A,Dim_Date!H:H)</f>
        <v>May 2024</v>
      </c>
      <c r="T2462" t="str">
        <f>IF(Pipeline_tbl[[#This Row],[Closed_Date]]=0,"",(_xlfn.XLOOKUP(Pipeline_tbl[[#This Row],[Closed_Date]],Dim_Date!A:A,Dim_Date!H:H)))</f>
        <v>Jun 2024</v>
      </c>
      <c r="U2462">
        <f>IF(Pipeline_tbl[[#This Row],[Closed_Date]]=0,"",Pipeline_tbl[[#This Row],[Closed_Date]]-Pipeline_tbl[[#This Row],[Created_Date]])</f>
        <v>21</v>
      </c>
    </row>
    <row r="2463" spans="1:21" ht="15" customHeight="1" x14ac:dyDescent="0.2">
      <c r="A2463" t="s">
        <v>2769</v>
      </c>
      <c r="B2463" t="s">
        <v>205</v>
      </c>
      <c r="C2463" t="s">
        <v>55</v>
      </c>
      <c r="D2463" s="49">
        <v>45431</v>
      </c>
      <c r="E2463" s="49">
        <v>45433</v>
      </c>
      <c r="F2463" s="49">
        <v>45438</v>
      </c>
      <c r="G2463" s="49">
        <v>45445</v>
      </c>
      <c r="H2463" s="49">
        <v>45451</v>
      </c>
      <c r="I2463" s="49">
        <v>45454</v>
      </c>
      <c r="J2463" t="s">
        <v>49</v>
      </c>
      <c r="K2463" s="33">
        <v>3100</v>
      </c>
      <c r="L2463" t="s">
        <v>61</v>
      </c>
      <c r="M2463" t="str">
        <f>_xlfn.XLOOKUP(Pipeline_tbl[[#This Row],[Rep_ID]],Dim_Reps!A:A,Dim_Reps!K:K)</f>
        <v>EUR</v>
      </c>
      <c r="N2463" s="33">
        <f>(_xlfn.XLOOKUP(Pipeline_tbl[[#This Row],[Rate_Code_Generalized]],Lookups!A:A,Lookups!B:B))*Pipeline_tbl[[#This Row],[Pipeline_Amount_USD]]</f>
        <v>3100</v>
      </c>
      <c r="O2463" t="str">
        <f>_xlfn.XLOOKUP(Pipeline_tbl[[#This Row],[Rep_ID]],Dim_Reps!A:A,Dim_Reps!B:B)</f>
        <v>Karim Alvarez</v>
      </c>
      <c r="P2463" t="str">
        <f>_xlfn.XLOOKUP(Pipeline_tbl[[#This Row],[Rep_ID]],Dim_Reps!A:A,Dim_Reps!C:C)</f>
        <v>SDR / Inside Sales Rep</v>
      </c>
      <c r="Q2463" t="str">
        <f>_xlfn.XLOOKUP(Pipeline_tbl[[#This Row],[Rep_ID]],Dim_Reps!A:A,Dim_Reps!D:D)</f>
        <v>Inside Sales</v>
      </c>
      <c r="R2463" t="str">
        <f>_xlfn.XLOOKUP(Pipeline_tbl[[#This Row],[Rep_ID]],Dim_Reps!A:A,Dim_Reps!E:E)</f>
        <v>EMEA</v>
      </c>
      <c r="S2463" t="str">
        <f>_xlfn.XLOOKUP(Pipeline_tbl[[#This Row],[Created_Date]],Dim_Date!A:A,Dim_Date!H:H)</f>
        <v>May 2024</v>
      </c>
      <c r="T2463" t="str">
        <f>IF(Pipeline_tbl[[#This Row],[Closed_Date]]=0,"",(_xlfn.XLOOKUP(Pipeline_tbl[[#This Row],[Closed_Date]],Dim_Date!A:A,Dim_Date!H:H)))</f>
        <v>Jun 2024</v>
      </c>
      <c r="U2463">
        <f>IF(Pipeline_tbl[[#This Row],[Closed_Date]]=0,"",Pipeline_tbl[[#This Row],[Closed_Date]]-Pipeline_tbl[[#This Row],[Created_Date]])</f>
        <v>23</v>
      </c>
    </row>
    <row r="2464" spans="1:21" ht="15" customHeight="1" x14ac:dyDescent="0.2">
      <c r="A2464" t="s">
        <v>2770</v>
      </c>
      <c r="B2464" t="s">
        <v>205</v>
      </c>
      <c r="C2464" t="s">
        <v>52</v>
      </c>
      <c r="D2464" s="49">
        <v>45416</v>
      </c>
      <c r="E2464" s="49">
        <v>45419</v>
      </c>
      <c r="F2464" s="49">
        <v>45426</v>
      </c>
      <c r="I2464" s="49">
        <v>45449</v>
      </c>
      <c r="J2464" t="s">
        <v>49</v>
      </c>
      <c r="K2464" s="33">
        <v>1600</v>
      </c>
      <c r="L2464" t="s">
        <v>63</v>
      </c>
      <c r="M2464" t="str">
        <f>_xlfn.XLOOKUP(Pipeline_tbl[[#This Row],[Rep_ID]],Dim_Reps!A:A,Dim_Reps!K:K)</f>
        <v>EUR</v>
      </c>
      <c r="N2464" s="33">
        <f>(_xlfn.XLOOKUP(Pipeline_tbl[[#This Row],[Rate_Code_Generalized]],Lookups!A:A,Lookups!B:B))*Pipeline_tbl[[#This Row],[Pipeline_Amount_USD]]</f>
        <v>1600</v>
      </c>
      <c r="O2464" t="str">
        <f>_xlfn.XLOOKUP(Pipeline_tbl[[#This Row],[Rep_ID]],Dim_Reps!A:A,Dim_Reps!B:B)</f>
        <v>Karim Alvarez</v>
      </c>
      <c r="P2464" t="str">
        <f>_xlfn.XLOOKUP(Pipeline_tbl[[#This Row],[Rep_ID]],Dim_Reps!A:A,Dim_Reps!C:C)</f>
        <v>SDR / Inside Sales Rep</v>
      </c>
      <c r="Q2464" t="str">
        <f>_xlfn.XLOOKUP(Pipeline_tbl[[#This Row],[Rep_ID]],Dim_Reps!A:A,Dim_Reps!D:D)</f>
        <v>Inside Sales</v>
      </c>
      <c r="R2464" t="str">
        <f>_xlfn.XLOOKUP(Pipeline_tbl[[#This Row],[Rep_ID]],Dim_Reps!A:A,Dim_Reps!E:E)</f>
        <v>EMEA</v>
      </c>
      <c r="S2464" t="str">
        <f>_xlfn.XLOOKUP(Pipeline_tbl[[#This Row],[Created_Date]],Dim_Date!A:A,Dim_Date!H:H)</f>
        <v>May 2024</v>
      </c>
      <c r="T2464" t="str">
        <f>IF(Pipeline_tbl[[#This Row],[Closed_Date]]=0,"",(_xlfn.XLOOKUP(Pipeline_tbl[[#This Row],[Closed_Date]],Dim_Date!A:A,Dim_Date!H:H)))</f>
        <v>Jun 2024</v>
      </c>
      <c r="U2464">
        <f>IF(Pipeline_tbl[[#This Row],[Closed_Date]]=0,"",Pipeline_tbl[[#This Row],[Closed_Date]]-Pipeline_tbl[[#This Row],[Created_Date]])</f>
        <v>33</v>
      </c>
    </row>
    <row r="2465" spans="1:21" ht="15" customHeight="1" x14ac:dyDescent="0.2">
      <c r="A2465" t="s">
        <v>2771</v>
      </c>
      <c r="B2465" t="s">
        <v>205</v>
      </c>
      <c r="C2465" t="s">
        <v>52</v>
      </c>
      <c r="D2465" s="49">
        <v>45427</v>
      </c>
      <c r="E2465" s="49">
        <v>45429</v>
      </c>
      <c r="F2465" s="49">
        <v>45434</v>
      </c>
      <c r="G2465" s="49">
        <v>45440</v>
      </c>
      <c r="H2465" s="49">
        <v>45446</v>
      </c>
      <c r="I2465" s="49">
        <v>45449</v>
      </c>
      <c r="J2465" t="s">
        <v>47</v>
      </c>
      <c r="K2465" s="33">
        <v>8000</v>
      </c>
      <c r="M2465" t="str">
        <f>_xlfn.XLOOKUP(Pipeline_tbl[[#This Row],[Rep_ID]],Dim_Reps!A:A,Dim_Reps!K:K)</f>
        <v>EUR</v>
      </c>
      <c r="N2465" s="33">
        <f>(_xlfn.XLOOKUP(Pipeline_tbl[[#This Row],[Rate_Code_Generalized]],Lookups!A:A,Lookups!B:B))*Pipeline_tbl[[#This Row],[Pipeline_Amount_USD]]</f>
        <v>8000</v>
      </c>
      <c r="O2465" t="str">
        <f>_xlfn.XLOOKUP(Pipeline_tbl[[#This Row],[Rep_ID]],Dim_Reps!A:A,Dim_Reps!B:B)</f>
        <v>Karim Alvarez</v>
      </c>
      <c r="P2465" t="str">
        <f>_xlfn.XLOOKUP(Pipeline_tbl[[#This Row],[Rep_ID]],Dim_Reps!A:A,Dim_Reps!C:C)</f>
        <v>SDR / Inside Sales Rep</v>
      </c>
      <c r="Q2465" t="str">
        <f>_xlfn.XLOOKUP(Pipeline_tbl[[#This Row],[Rep_ID]],Dim_Reps!A:A,Dim_Reps!D:D)</f>
        <v>Inside Sales</v>
      </c>
      <c r="R2465" t="str">
        <f>_xlfn.XLOOKUP(Pipeline_tbl[[#This Row],[Rep_ID]],Dim_Reps!A:A,Dim_Reps!E:E)</f>
        <v>EMEA</v>
      </c>
      <c r="S2465" t="str">
        <f>_xlfn.XLOOKUP(Pipeline_tbl[[#This Row],[Created_Date]],Dim_Date!A:A,Dim_Date!H:H)</f>
        <v>May 2024</v>
      </c>
      <c r="T2465" t="str">
        <f>IF(Pipeline_tbl[[#This Row],[Closed_Date]]=0,"",(_xlfn.XLOOKUP(Pipeline_tbl[[#This Row],[Closed_Date]],Dim_Date!A:A,Dim_Date!H:H)))</f>
        <v>Jun 2024</v>
      </c>
      <c r="U2465">
        <f>IF(Pipeline_tbl[[#This Row],[Closed_Date]]=0,"",Pipeline_tbl[[#This Row],[Closed_Date]]-Pipeline_tbl[[#This Row],[Created_Date]])</f>
        <v>22</v>
      </c>
    </row>
    <row r="2466" spans="1:21" ht="15" customHeight="1" x14ac:dyDescent="0.2">
      <c r="A2466" t="s">
        <v>2772</v>
      </c>
      <c r="B2466" t="s">
        <v>205</v>
      </c>
      <c r="C2466" t="s">
        <v>52</v>
      </c>
      <c r="D2466" s="49">
        <v>45429</v>
      </c>
      <c r="E2466" s="49">
        <v>45431</v>
      </c>
      <c r="F2466" s="49">
        <v>45436</v>
      </c>
      <c r="G2466" s="49">
        <v>45442</v>
      </c>
      <c r="H2466" s="49">
        <v>45448</v>
      </c>
      <c r="I2466" s="49">
        <v>45451</v>
      </c>
      <c r="J2466" t="s">
        <v>49</v>
      </c>
      <c r="K2466" s="33">
        <v>6000</v>
      </c>
      <c r="L2466" t="s">
        <v>64</v>
      </c>
      <c r="M2466" t="str">
        <f>_xlfn.XLOOKUP(Pipeline_tbl[[#This Row],[Rep_ID]],Dim_Reps!A:A,Dim_Reps!K:K)</f>
        <v>EUR</v>
      </c>
      <c r="N2466" s="33">
        <f>(_xlfn.XLOOKUP(Pipeline_tbl[[#This Row],[Rate_Code_Generalized]],Lookups!A:A,Lookups!B:B))*Pipeline_tbl[[#This Row],[Pipeline_Amount_USD]]</f>
        <v>6000</v>
      </c>
      <c r="O2466" t="str">
        <f>_xlfn.XLOOKUP(Pipeline_tbl[[#This Row],[Rep_ID]],Dim_Reps!A:A,Dim_Reps!B:B)</f>
        <v>Karim Alvarez</v>
      </c>
      <c r="P2466" t="str">
        <f>_xlfn.XLOOKUP(Pipeline_tbl[[#This Row],[Rep_ID]],Dim_Reps!A:A,Dim_Reps!C:C)</f>
        <v>SDR / Inside Sales Rep</v>
      </c>
      <c r="Q2466" t="str">
        <f>_xlfn.XLOOKUP(Pipeline_tbl[[#This Row],[Rep_ID]],Dim_Reps!A:A,Dim_Reps!D:D)</f>
        <v>Inside Sales</v>
      </c>
      <c r="R2466" t="str">
        <f>_xlfn.XLOOKUP(Pipeline_tbl[[#This Row],[Rep_ID]],Dim_Reps!A:A,Dim_Reps!E:E)</f>
        <v>EMEA</v>
      </c>
      <c r="S2466" t="str">
        <f>_xlfn.XLOOKUP(Pipeline_tbl[[#This Row],[Created_Date]],Dim_Date!A:A,Dim_Date!H:H)</f>
        <v>May 2024</v>
      </c>
      <c r="T2466" t="str">
        <f>IF(Pipeline_tbl[[#This Row],[Closed_Date]]=0,"",(_xlfn.XLOOKUP(Pipeline_tbl[[#This Row],[Closed_Date]],Dim_Date!A:A,Dim_Date!H:H)))</f>
        <v>Jun 2024</v>
      </c>
      <c r="U2466">
        <f>IF(Pipeline_tbl[[#This Row],[Closed_Date]]=0,"",Pipeline_tbl[[#This Row],[Closed_Date]]-Pipeline_tbl[[#This Row],[Created_Date]])</f>
        <v>22</v>
      </c>
    </row>
    <row r="2467" spans="1:21" ht="15" customHeight="1" x14ac:dyDescent="0.2">
      <c r="A2467" t="s">
        <v>2773</v>
      </c>
      <c r="B2467" t="s">
        <v>205</v>
      </c>
      <c r="C2467" t="s">
        <v>52</v>
      </c>
      <c r="D2467" s="49">
        <v>45443</v>
      </c>
      <c r="E2467" s="49">
        <v>45445</v>
      </c>
      <c r="F2467" s="49">
        <v>45450</v>
      </c>
      <c r="G2467" s="49">
        <v>45457</v>
      </c>
      <c r="I2467" s="49">
        <v>45467</v>
      </c>
      <c r="J2467" t="s">
        <v>49</v>
      </c>
      <c r="K2467" s="33">
        <v>5900</v>
      </c>
      <c r="L2467" t="s">
        <v>63</v>
      </c>
      <c r="M2467" t="str">
        <f>_xlfn.XLOOKUP(Pipeline_tbl[[#This Row],[Rep_ID]],Dim_Reps!A:A,Dim_Reps!K:K)</f>
        <v>EUR</v>
      </c>
      <c r="N2467" s="33">
        <f>(_xlfn.XLOOKUP(Pipeline_tbl[[#This Row],[Rate_Code_Generalized]],Lookups!A:A,Lookups!B:B))*Pipeline_tbl[[#This Row],[Pipeline_Amount_USD]]</f>
        <v>5900</v>
      </c>
      <c r="O2467" t="str">
        <f>_xlfn.XLOOKUP(Pipeline_tbl[[#This Row],[Rep_ID]],Dim_Reps!A:A,Dim_Reps!B:B)</f>
        <v>Karim Alvarez</v>
      </c>
      <c r="P2467" t="str">
        <f>_xlfn.XLOOKUP(Pipeline_tbl[[#This Row],[Rep_ID]],Dim_Reps!A:A,Dim_Reps!C:C)</f>
        <v>SDR / Inside Sales Rep</v>
      </c>
      <c r="Q2467" t="str">
        <f>_xlfn.XLOOKUP(Pipeline_tbl[[#This Row],[Rep_ID]],Dim_Reps!A:A,Dim_Reps!D:D)</f>
        <v>Inside Sales</v>
      </c>
      <c r="R2467" t="str">
        <f>_xlfn.XLOOKUP(Pipeline_tbl[[#This Row],[Rep_ID]],Dim_Reps!A:A,Dim_Reps!E:E)</f>
        <v>EMEA</v>
      </c>
      <c r="S2467" t="str">
        <f>_xlfn.XLOOKUP(Pipeline_tbl[[#This Row],[Created_Date]],Dim_Date!A:A,Dim_Date!H:H)</f>
        <v>May 2024</v>
      </c>
      <c r="T2467" t="str">
        <f>IF(Pipeline_tbl[[#This Row],[Closed_Date]]=0,"",(_xlfn.XLOOKUP(Pipeline_tbl[[#This Row],[Closed_Date]],Dim_Date!A:A,Dim_Date!H:H)))</f>
        <v>Jun 2024</v>
      </c>
      <c r="U2467">
        <f>IF(Pipeline_tbl[[#This Row],[Closed_Date]]=0,"",Pipeline_tbl[[#This Row],[Closed_Date]]-Pipeline_tbl[[#This Row],[Created_Date]])</f>
        <v>24</v>
      </c>
    </row>
    <row r="2468" spans="1:21" ht="15" customHeight="1" x14ac:dyDescent="0.2">
      <c r="A2468" t="s">
        <v>2774</v>
      </c>
      <c r="B2468" t="s">
        <v>205</v>
      </c>
      <c r="C2468" t="s">
        <v>55</v>
      </c>
      <c r="D2468" s="49">
        <v>45432</v>
      </c>
      <c r="E2468" s="49">
        <v>45434</v>
      </c>
      <c r="F2468" s="49">
        <v>45437</v>
      </c>
      <c r="G2468" s="49">
        <v>45442</v>
      </c>
      <c r="I2468" s="49">
        <v>45448</v>
      </c>
      <c r="J2468" t="s">
        <v>49</v>
      </c>
      <c r="K2468" s="33">
        <v>4600</v>
      </c>
      <c r="L2468" t="s">
        <v>60</v>
      </c>
      <c r="M2468" t="str">
        <f>_xlfn.XLOOKUP(Pipeline_tbl[[#This Row],[Rep_ID]],Dim_Reps!A:A,Dim_Reps!K:K)</f>
        <v>EUR</v>
      </c>
      <c r="N2468" s="33">
        <f>(_xlfn.XLOOKUP(Pipeline_tbl[[#This Row],[Rate_Code_Generalized]],Lookups!A:A,Lookups!B:B))*Pipeline_tbl[[#This Row],[Pipeline_Amount_USD]]</f>
        <v>4600</v>
      </c>
      <c r="O2468" t="str">
        <f>_xlfn.XLOOKUP(Pipeline_tbl[[#This Row],[Rep_ID]],Dim_Reps!A:A,Dim_Reps!B:B)</f>
        <v>Karim Alvarez</v>
      </c>
      <c r="P2468" t="str">
        <f>_xlfn.XLOOKUP(Pipeline_tbl[[#This Row],[Rep_ID]],Dim_Reps!A:A,Dim_Reps!C:C)</f>
        <v>SDR / Inside Sales Rep</v>
      </c>
      <c r="Q2468" t="str">
        <f>_xlfn.XLOOKUP(Pipeline_tbl[[#This Row],[Rep_ID]],Dim_Reps!A:A,Dim_Reps!D:D)</f>
        <v>Inside Sales</v>
      </c>
      <c r="R2468" t="str">
        <f>_xlfn.XLOOKUP(Pipeline_tbl[[#This Row],[Rep_ID]],Dim_Reps!A:A,Dim_Reps!E:E)</f>
        <v>EMEA</v>
      </c>
      <c r="S2468" t="str">
        <f>_xlfn.XLOOKUP(Pipeline_tbl[[#This Row],[Created_Date]],Dim_Date!A:A,Dim_Date!H:H)</f>
        <v>May 2024</v>
      </c>
      <c r="T2468" t="str">
        <f>IF(Pipeline_tbl[[#This Row],[Closed_Date]]=0,"",(_xlfn.XLOOKUP(Pipeline_tbl[[#This Row],[Closed_Date]],Dim_Date!A:A,Dim_Date!H:H)))</f>
        <v>Jun 2024</v>
      </c>
      <c r="U2468">
        <f>IF(Pipeline_tbl[[#This Row],[Closed_Date]]=0,"",Pipeline_tbl[[#This Row],[Closed_Date]]-Pipeline_tbl[[#This Row],[Created_Date]])</f>
        <v>16</v>
      </c>
    </row>
    <row r="2469" spans="1:21" ht="15" customHeight="1" x14ac:dyDescent="0.2">
      <c r="A2469" t="s">
        <v>2775</v>
      </c>
      <c r="B2469" t="s">
        <v>205</v>
      </c>
      <c r="C2469" t="s">
        <v>52</v>
      </c>
      <c r="D2469" s="49">
        <v>45436</v>
      </c>
      <c r="E2469" s="49">
        <v>45438</v>
      </c>
      <c r="F2469" s="49">
        <v>45442</v>
      </c>
      <c r="I2469" s="49">
        <v>45456</v>
      </c>
      <c r="J2469" t="s">
        <v>49</v>
      </c>
      <c r="K2469" s="33">
        <v>3700</v>
      </c>
      <c r="L2469" t="s">
        <v>62</v>
      </c>
      <c r="M2469" t="str">
        <f>_xlfn.XLOOKUP(Pipeline_tbl[[#This Row],[Rep_ID]],Dim_Reps!A:A,Dim_Reps!K:K)</f>
        <v>EUR</v>
      </c>
      <c r="N2469" s="33">
        <f>(_xlfn.XLOOKUP(Pipeline_tbl[[#This Row],[Rate_Code_Generalized]],Lookups!A:A,Lookups!B:B))*Pipeline_tbl[[#This Row],[Pipeline_Amount_USD]]</f>
        <v>3700</v>
      </c>
      <c r="O2469" t="str">
        <f>_xlfn.XLOOKUP(Pipeline_tbl[[#This Row],[Rep_ID]],Dim_Reps!A:A,Dim_Reps!B:B)</f>
        <v>Karim Alvarez</v>
      </c>
      <c r="P2469" t="str">
        <f>_xlfn.XLOOKUP(Pipeline_tbl[[#This Row],[Rep_ID]],Dim_Reps!A:A,Dim_Reps!C:C)</f>
        <v>SDR / Inside Sales Rep</v>
      </c>
      <c r="Q2469" t="str">
        <f>_xlfn.XLOOKUP(Pipeline_tbl[[#This Row],[Rep_ID]],Dim_Reps!A:A,Dim_Reps!D:D)</f>
        <v>Inside Sales</v>
      </c>
      <c r="R2469" t="str">
        <f>_xlfn.XLOOKUP(Pipeline_tbl[[#This Row],[Rep_ID]],Dim_Reps!A:A,Dim_Reps!E:E)</f>
        <v>EMEA</v>
      </c>
      <c r="S2469" t="str">
        <f>_xlfn.XLOOKUP(Pipeline_tbl[[#This Row],[Created_Date]],Dim_Date!A:A,Dim_Date!H:H)</f>
        <v>May 2024</v>
      </c>
      <c r="T2469" t="str">
        <f>IF(Pipeline_tbl[[#This Row],[Closed_Date]]=0,"",(_xlfn.XLOOKUP(Pipeline_tbl[[#This Row],[Closed_Date]],Dim_Date!A:A,Dim_Date!H:H)))</f>
        <v>Jun 2024</v>
      </c>
      <c r="U2469">
        <f>IF(Pipeline_tbl[[#This Row],[Closed_Date]]=0,"",Pipeline_tbl[[#This Row],[Closed_Date]]-Pipeline_tbl[[#This Row],[Created_Date]])</f>
        <v>20</v>
      </c>
    </row>
    <row r="2470" spans="1:21" ht="15" customHeight="1" x14ac:dyDescent="0.2">
      <c r="A2470" t="s">
        <v>2776</v>
      </c>
      <c r="B2470" t="s">
        <v>205</v>
      </c>
      <c r="C2470" t="s">
        <v>53</v>
      </c>
      <c r="D2470" s="49">
        <v>45438</v>
      </c>
      <c r="E2470" s="49">
        <v>45440</v>
      </c>
      <c r="F2470" s="49">
        <v>45443</v>
      </c>
      <c r="G2470" s="49">
        <v>45449</v>
      </c>
      <c r="H2470" s="49">
        <v>45453</v>
      </c>
      <c r="I2470" s="49">
        <v>45456</v>
      </c>
      <c r="J2470" t="s">
        <v>47</v>
      </c>
      <c r="K2470" s="33">
        <v>3900</v>
      </c>
      <c r="M2470" t="str">
        <f>_xlfn.XLOOKUP(Pipeline_tbl[[#This Row],[Rep_ID]],Dim_Reps!A:A,Dim_Reps!K:K)</f>
        <v>EUR</v>
      </c>
      <c r="N2470" s="33">
        <f>(_xlfn.XLOOKUP(Pipeline_tbl[[#This Row],[Rate_Code_Generalized]],Lookups!A:A,Lookups!B:B))*Pipeline_tbl[[#This Row],[Pipeline_Amount_USD]]</f>
        <v>3900</v>
      </c>
      <c r="O2470" t="str">
        <f>_xlfn.XLOOKUP(Pipeline_tbl[[#This Row],[Rep_ID]],Dim_Reps!A:A,Dim_Reps!B:B)</f>
        <v>Karim Alvarez</v>
      </c>
      <c r="P2470" t="str">
        <f>_xlfn.XLOOKUP(Pipeline_tbl[[#This Row],[Rep_ID]],Dim_Reps!A:A,Dim_Reps!C:C)</f>
        <v>SDR / Inside Sales Rep</v>
      </c>
      <c r="Q2470" t="str">
        <f>_xlfn.XLOOKUP(Pipeline_tbl[[#This Row],[Rep_ID]],Dim_Reps!A:A,Dim_Reps!D:D)</f>
        <v>Inside Sales</v>
      </c>
      <c r="R2470" t="str">
        <f>_xlfn.XLOOKUP(Pipeline_tbl[[#This Row],[Rep_ID]],Dim_Reps!A:A,Dim_Reps!E:E)</f>
        <v>EMEA</v>
      </c>
      <c r="S2470" t="str">
        <f>_xlfn.XLOOKUP(Pipeline_tbl[[#This Row],[Created_Date]],Dim_Date!A:A,Dim_Date!H:H)</f>
        <v>May 2024</v>
      </c>
      <c r="T2470" t="str">
        <f>IF(Pipeline_tbl[[#This Row],[Closed_Date]]=0,"",(_xlfn.XLOOKUP(Pipeline_tbl[[#This Row],[Closed_Date]],Dim_Date!A:A,Dim_Date!H:H)))</f>
        <v>Jun 2024</v>
      </c>
      <c r="U2470">
        <f>IF(Pipeline_tbl[[#This Row],[Closed_Date]]=0,"",Pipeline_tbl[[#This Row],[Closed_Date]]-Pipeline_tbl[[#This Row],[Created_Date]])</f>
        <v>18</v>
      </c>
    </row>
    <row r="2471" spans="1:21" ht="15" customHeight="1" x14ac:dyDescent="0.2">
      <c r="A2471" t="s">
        <v>2777</v>
      </c>
      <c r="B2471" t="s">
        <v>207</v>
      </c>
      <c r="C2471" t="s">
        <v>52</v>
      </c>
      <c r="D2471" s="49">
        <v>45426</v>
      </c>
      <c r="E2471" s="49">
        <v>45428</v>
      </c>
      <c r="F2471" s="49">
        <v>45432</v>
      </c>
      <c r="G2471" s="49">
        <v>45439</v>
      </c>
      <c r="H2471" s="49">
        <v>45444</v>
      </c>
      <c r="I2471" s="49">
        <v>45447</v>
      </c>
      <c r="J2471" t="s">
        <v>49</v>
      </c>
      <c r="K2471" s="33">
        <v>3700</v>
      </c>
      <c r="L2471" t="s">
        <v>62</v>
      </c>
      <c r="M2471" t="str">
        <f>_xlfn.XLOOKUP(Pipeline_tbl[[#This Row],[Rep_ID]],Dim_Reps!A:A,Dim_Reps!K:K)</f>
        <v>EUR</v>
      </c>
      <c r="N2471" s="33">
        <f>(_xlfn.XLOOKUP(Pipeline_tbl[[#This Row],[Rate_Code_Generalized]],Lookups!A:A,Lookups!B:B))*Pipeline_tbl[[#This Row],[Pipeline_Amount_USD]]</f>
        <v>3700</v>
      </c>
      <c r="O2471" t="str">
        <f>_xlfn.XLOOKUP(Pipeline_tbl[[#This Row],[Rep_ID]],Dim_Reps!A:A,Dim_Reps!B:B)</f>
        <v>Sam Castro</v>
      </c>
      <c r="P2471" t="str">
        <f>_xlfn.XLOOKUP(Pipeline_tbl[[#This Row],[Rep_ID]],Dim_Reps!A:A,Dim_Reps!C:C)</f>
        <v>SDR / Inside Sales Rep</v>
      </c>
      <c r="Q2471" t="str">
        <f>_xlfn.XLOOKUP(Pipeline_tbl[[#This Row],[Rep_ID]],Dim_Reps!A:A,Dim_Reps!D:D)</f>
        <v>Inside Sales</v>
      </c>
      <c r="R2471" t="str">
        <f>_xlfn.XLOOKUP(Pipeline_tbl[[#This Row],[Rep_ID]],Dim_Reps!A:A,Dim_Reps!E:E)</f>
        <v>APAC</v>
      </c>
      <c r="S2471" t="str">
        <f>_xlfn.XLOOKUP(Pipeline_tbl[[#This Row],[Created_Date]],Dim_Date!A:A,Dim_Date!H:H)</f>
        <v>May 2024</v>
      </c>
      <c r="T2471" t="str">
        <f>IF(Pipeline_tbl[[#This Row],[Closed_Date]]=0,"",(_xlfn.XLOOKUP(Pipeline_tbl[[#This Row],[Closed_Date]],Dim_Date!A:A,Dim_Date!H:H)))</f>
        <v>Jun 2024</v>
      </c>
      <c r="U2471">
        <f>IF(Pipeline_tbl[[#This Row],[Closed_Date]]=0,"",Pipeline_tbl[[#This Row],[Closed_Date]]-Pipeline_tbl[[#This Row],[Created_Date]])</f>
        <v>21</v>
      </c>
    </row>
    <row r="2472" spans="1:21" ht="15" customHeight="1" x14ac:dyDescent="0.2">
      <c r="A2472" t="s">
        <v>2778</v>
      </c>
      <c r="B2472" t="s">
        <v>211</v>
      </c>
      <c r="C2472" t="s">
        <v>55</v>
      </c>
      <c r="D2472" s="49">
        <v>45434</v>
      </c>
      <c r="E2472" s="49">
        <v>45436</v>
      </c>
      <c r="F2472" s="49">
        <v>45439</v>
      </c>
      <c r="G2472" s="49">
        <v>45443</v>
      </c>
      <c r="H2472" s="49">
        <v>45447</v>
      </c>
      <c r="I2472" s="49">
        <v>45449</v>
      </c>
      <c r="J2472" t="s">
        <v>47</v>
      </c>
      <c r="K2472" s="33">
        <v>7000</v>
      </c>
      <c r="M2472" t="str">
        <f>_xlfn.XLOOKUP(Pipeline_tbl[[#This Row],[Rep_ID]],Dim_Reps!A:A,Dim_Reps!K:K)</f>
        <v>EUR</v>
      </c>
      <c r="N2472" s="33">
        <f>(_xlfn.XLOOKUP(Pipeline_tbl[[#This Row],[Rate_Code_Generalized]],Lookups!A:A,Lookups!B:B))*Pipeline_tbl[[#This Row],[Pipeline_Amount_USD]]</f>
        <v>7000</v>
      </c>
      <c r="O2472" t="str">
        <f>_xlfn.XLOOKUP(Pipeline_tbl[[#This Row],[Rep_ID]],Dim_Reps!A:A,Dim_Reps!B:B)</f>
        <v>Lea Weber</v>
      </c>
      <c r="P2472" t="str">
        <f>_xlfn.XLOOKUP(Pipeline_tbl[[#This Row],[Rep_ID]],Dim_Reps!A:A,Dim_Reps!C:C)</f>
        <v>SDR / Inside Sales Rep</v>
      </c>
      <c r="Q2472" t="str">
        <f>_xlfn.XLOOKUP(Pipeline_tbl[[#This Row],[Rep_ID]],Dim_Reps!A:A,Dim_Reps!D:D)</f>
        <v>Inside Sales</v>
      </c>
      <c r="R2472" t="str">
        <f>_xlfn.XLOOKUP(Pipeline_tbl[[#This Row],[Rep_ID]],Dim_Reps!A:A,Dim_Reps!E:E)</f>
        <v>EMEA</v>
      </c>
      <c r="S2472" t="str">
        <f>_xlfn.XLOOKUP(Pipeline_tbl[[#This Row],[Created_Date]],Dim_Date!A:A,Dim_Date!H:H)</f>
        <v>May 2024</v>
      </c>
      <c r="T2472" t="str">
        <f>IF(Pipeline_tbl[[#This Row],[Closed_Date]]=0,"",(_xlfn.XLOOKUP(Pipeline_tbl[[#This Row],[Closed_Date]],Dim_Date!A:A,Dim_Date!H:H)))</f>
        <v>Jun 2024</v>
      </c>
      <c r="U2472">
        <f>IF(Pipeline_tbl[[#This Row],[Closed_Date]]=0,"",Pipeline_tbl[[#This Row],[Closed_Date]]-Pipeline_tbl[[#This Row],[Created_Date]])</f>
        <v>15</v>
      </c>
    </row>
    <row r="2473" spans="1:21" ht="15" customHeight="1" x14ac:dyDescent="0.2">
      <c r="A2473" t="s">
        <v>2779</v>
      </c>
      <c r="B2473" t="s">
        <v>211</v>
      </c>
      <c r="C2473" t="s">
        <v>52</v>
      </c>
      <c r="D2473" s="49">
        <v>45426</v>
      </c>
      <c r="E2473" s="49">
        <v>45429</v>
      </c>
      <c r="F2473" s="49">
        <v>45434</v>
      </c>
      <c r="G2473" s="49">
        <v>45442</v>
      </c>
      <c r="H2473" s="49">
        <v>45448</v>
      </c>
      <c r="I2473" s="49">
        <v>45452</v>
      </c>
      <c r="J2473" t="s">
        <v>49</v>
      </c>
      <c r="K2473" s="33">
        <v>2900</v>
      </c>
      <c r="L2473" t="s">
        <v>60</v>
      </c>
      <c r="M2473" t="str">
        <f>_xlfn.XLOOKUP(Pipeline_tbl[[#This Row],[Rep_ID]],Dim_Reps!A:A,Dim_Reps!K:K)</f>
        <v>EUR</v>
      </c>
      <c r="N2473" s="33">
        <f>(_xlfn.XLOOKUP(Pipeline_tbl[[#This Row],[Rate_Code_Generalized]],Lookups!A:A,Lookups!B:B))*Pipeline_tbl[[#This Row],[Pipeline_Amount_USD]]</f>
        <v>2900</v>
      </c>
      <c r="O2473" t="str">
        <f>_xlfn.XLOOKUP(Pipeline_tbl[[#This Row],[Rep_ID]],Dim_Reps!A:A,Dim_Reps!B:B)</f>
        <v>Lea Weber</v>
      </c>
      <c r="P2473" t="str">
        <f>_xlfn.XLOOKUP(Pipeline_tbl[[#This Row],[Rep_ID]],Dim_Reps!A:A,Dim_Reps!C:C)</f>
        <v>SDR / Inside Sales Rep</v>
      </c>
      <c r="Q2473" t="str">
        <f>_xlfn.XLOOKUP(Pipeline_tbl[[#This Row],[Rep_ID]],Dim_Reps!A:A,Dim_Reps!D:D)</f>
        <v>Inside Sales</v>
      </c>
      <c r="R2473" t="str">
        <f>_xlfn.XLOOKUP(Pipeline_tbl[[#This Row],[Rep_ID]],Dim_Reps!A:A,Dim_Reps!E:E)</f>
        <v>EMEA</v>
      </c>
      <c r="S2473" t="str">
        <f>_xlfn.XLOOKUP(Pipeline_tbl[[#This Row],[Created_Date]],Dim_Date!A:A,Dim_Date!H:H)</f>
        <v>May 2024</v>
      </c>
      <c r="T2473" t="str">
        <f>IF(Pipeline_tbl[[#This Row],[Closed_Date]]=0,"",(_xlfn.XLOOKUP(Pipeline_tbl[[#This Row],[Closed_Date]],Dim_Date!A:A,Dim_Date!H:H)))</f>
        <v>Jun 2024</v>
      </c>
      <c r="U2473">
        <f>IF(Pipeline_tbl[[#This Row],[Closed_Date]]=0,"",Pipeline_tbl[[#This Row],[Closed_Date]]-Pipeline_tbl[[#This Row],[Created_Date]])</f>
        <v>26</v>
      </c>
    </row>
    <row r="2474" spans="1:21" ht="15" customHeight="1" x14ac:dyDescent="0.2">
      <c r="A2474" t="s">
        <v>2780</v>
      </c>
      <c r="B2474" t="s">
        <v>211</v>
      </c>
      <c r="C2474" t="s">
        <v>53</v>
      </c>
      <c r="D2474" s="49">
        <v>45429</v>
      </c>
      <c r="E2474" s="49">
        <v>45431</v>
      </c>
      <c r="F2474" s="49">
        <v>45435</v>
      </c>
      <c r="G2474" s="49">
        <v>45441</v>
      </c>
      <c r="H2474" s="49">
        <v>45446</v>
      </c>
      <c r="I2474" s="49">
        <v>45449</v>
      </c>
      <c r="J2474" t="s">
        <v>49</v>
      </c>
      <c r="K2474" s="33">
        <v>4200</v>
      </c>
      <c r="L2474" t="s">
        <v>60</v>
      </c>
      <c r="M2474" t="str">
        <f>_xlfn.XLOOKUP(Pipeline_tbl[[#This Row],[Rep_ID]],Dim_Reps!A:A,Dim_Reps!K:K)</f>
        <v>EUR</v>
      </c>
      <c r="N2474" s="33">
        <f>(_xlfn.XLOOKUP(Pipeline_tbl[[#This Row],[Rate_Code_Generalized]],Lookups!A:A,Lookups!B:B))*Pipeline_tbl[[#This Row],[Pipeline_Amount_USD]]</f>
        <v>4200</v>
      </c>
      <c r="O2474" t="str">
        <f>_xlfn.XLOOKUP(Pipeline_tbl[[#This Row],[Rep_ID]],Dim_Reps!A:A,Dim_Reps!B:B)</f>
        <v>Lea Weber</v>
      </c>
      <c r="P2474" t="str">
        <f>_xlfn.XLOOKUP(Pipeline_tbl[[#This Row],[Rep_ID]],Dim_Reps!A:A,Dim_Reps!C:C)</f>
        <v>SDR / Inside Sales Rep</v>
      </c>
      <c r="Q2474" t="str">
        <f>_xlfn.XLOOKUP(Pipeline_tbl[[#This Row],[Rep_ID]],Dim_Reps!A:A,Dim_Reps!D:D)</f>
        <v>Inside Sales</v>
      </c>
      <c r="R2474" t="str">
        <f>_xlfn.XLOOKUP(Pipeline_tbl[[#This Row],[Rep_ID]],Dim_Reps!A:A,Dim_Reps!E:E)</f>
        <v>EMEA</v>
      </c>
      <c r="S2474" t="str">
        <f>_xlfn.XLOOKUP(Pipeline_tbl[[#This Row],[Created_Date]],Dim_Date!A:A,Dim_Date!H:H)</f>
        <v>May 2024</v>
      </c>
      <c r="T2474" t="str">
        <f>IF(Pipeline_tbl[[#This Row],[Closed_Date]]=0,"",(_xlfn.XLOOKUP(Pipeline_tbl[[#This Row],[Closed_Date]],Dim_Date!A:A,Dim_Date!H:H)))</f>
        <v>Jun 2024</v>
      </c>
      <c r="U2474">
        <f>IF(Pipeline_tbl[[#This Row],[Closed_Date]]=0,"",Pipeline_tbl[[#This Row],[Closed_Date]]-Pipeline_tbl[[#This Row],[Created_Date]])</f>
        <v>20</v>
      </c>
    </row>
    <row r="2475" spans="1:21" ht="15" customHeight="1" x14ac:dyDescent="0.2">
      <c r="A2475" t="s">
        <v>2781</v>
      </c>
      <c r="B2475" t="s">
        <v>211</v>
      </c>
      <c r="C2475" t="s">
        <v>55</v>
      </c>
      <c r="D2475" s="49">
        <v>45422</v>
      </c>
      <c r="E2475" s="49">
        <v>45424</v>
      </c>
      <c r="F2475" s="49">
        <v>45429</v>
      </c>
      <c r="G2475" s="49">
        <v>45436</v>
      </c>
      <c r="I2475" s="49">
        <v>45445</v>
      </c>
      <c r="J2475" t="s">
        <v>49</v>
      </c>
      <c r="K2475" s="33">
        <v>6600</v>
      </c>
      <c r="L2475" t="s">
        <v>61</v>
      </c>
      <c r="M2475" t="str">
        <f>_xlfn.XLOOKUP(Pipeline_tbl[[#This Row],[Rep_ID]],Dim_Reps!A:A,Dim_Reps!K:K)</f>
        <v>EUR</v>
      </c>
      <c r="N2475" s="33">
        <f>(_xlfn.XLOOKUP(Pipeline_tbl[[#This Row],[Rate_Code_Generalized]],Lookups!A:A,Lookups!B:B))*Pipeline_tbl[[#This Row],[Pipeline_Amount_USD]]</f>
        <v>6600</v>
      </c>
      <c r="O2475" t="str">
        <f>_xlfn.XLOOKUP(Pipeline_tbl[[#This Row],[Rep_ID]],Dim_Reps!A:A,Dim_Reps!B:B)</f>
        <v>Lea Weber</v>
      </c>
      <c r="P2475" t="str">
        <f>_xlfn.XLOOKUP(Pipeline_tbl[[#This Row],[Rep_ID]],Dim_Reps!A:A,Dim_Reps!C:C)</f>
        <v>SDR / Inside Sales Rep</v>
      </c>
      <c r="Q2475" t="str">
        <f>_xlfn.XLOOKUP(Pipeline_tbl[[#This Row],[Rep_ID]],Dim_Reps!A:A,Dim_Reps!D:D)</f>
        <v>Inside Sales</v>
      </c>
      <c r="R2475" t="str">
        <f>_xlfn.XLOOKUP(Pipeline_tbl[[#This Row],[Rep_ID]],Dim_Reps!A:A,Dim_Reps!E:E)</f>
        <v>EMEA</v>
      </c>
      <c r="S2475" t="str">
        <f>_xlfn.XLOOKUP(Pipeline_tbl[[#This Row],[Created_Date]],Dim_Date!A:A,Dim_Date!H:H)</f>
        <v>May 2024</v>
      </c>
      <c r="T2475" t="str">
        <f>IF(Pipeline_tbl[[#This Row],[Closed_Date]]=0,"",(_xlfn.XLOOKUP(Pipeline_tbl[[#This Row],[Closed_Date]],Dim_Date!A:A,Dim_Date!H:H)))</f>
        <v>Jun 2024</v>
      </c>
      <c r="U2475">
        <f>IF(Pipeline_tbl[[#This Row],[Closed_Date]]=0,"",Pipeline_tbl[[#This Row],[Closed_Date]]-Pipeline_tbl[[#This Row],[Created_Date]])</f>
        <v>23</v>
      </c>
    </row>
    <row r="2476" spans="1:21" ht="15" customHeight="1" x14ac:dyDescent="0.2">
      <c r="A2476" t="s">
        <v>2782</v>
      </c>
      <c r="B2476" t="s">
        <v>211</v>
      </c>
      <c r="C2476" t="s">
        <v>54</v>
      </c>
      <c r="D2476" s="49">
        <v>45443</v>
      </c>
      <c r="E2476" s="49">
        <v>45445</v>
      </c>
      <c r="F2476" s="49">
        <v>45449</v>
      </c>
      <c r="G2476" s="49">
        <v>45456</v>
      </c>
      <c r="H2476" s="49">
        <v>45461</v>
      </c>
      <c r="I2476" s="49">
        <v>45464</v>
      </c>
      <c r="J2476" t="s">
        <v>47</v>
      </c>
      <c r="K2476" s="33">
        <v>4800</v>
      </c>
      <c r="M2476" t="str">
        <f>_xlfn.XLOOKUP(Pipeline_tbl[[#This Row],[Rep_ID]],Dim_Reps!A:A,Dim_Reps!K:K)</f>
        <v>EUR</v>
      </c>
      <c r="N2476" s="33">
        <f>(_xlfn.XLOOKUP(Pipeline_tbl[[#This Row],[Rate_Code_Generalized]],Lookups!A:A,Lookups!B:B))*Pipeline_tbl[[#This Row],[Pipeline_Amount_USD]]</f>
        <v>4800</v>
      </c>
      <c r="O2476" t="str">
        <f>_xlfn.XLOOKUP(Pipeline_tbl[[#This Row],[Rep_ID]],Dim_Reps!A:A,Dim_Reps!B:B)</f>
        <v>Lea Weber</v>
      </c>
      <c r="P2476" t="str">
        <f>_xlfn.XLOOKUP(Pipeline_tbl[[#This Row],[Rep_ID]],Dim_Reps!A:A,Dim_Reps!C:C)</f>
        <v>SDR / Inside Sales Rep</v>
      </c>
      <c r="Q2476" t="str">
        <f>_xlfn.XLOOKUP(Pipeline_tbl[[#This Row],[Rep_ID]],Dim_Reps!A:A,Dim_Reps!D:D)</f>
        <v>Inside Sales</v>
      </c>
      <c r="R2476" t="str">
        <f>_xlfn.XLOOKUP(Pipeline_tbl[[#This Row],[Rep_ID]],Dim_Reps!A:A,Dim_Reps!E:E)</f>
        <v>EMEA</v>
      </c>
      <c r="S2476" t="str">
        <f>_xlfn.XLOOKUP(Pipeline_tbl[[#This Row],[Created_Date]],Dim_Date!A:A,Dim_Date!H:H)</f>
        <v>May 2024</v>
      </c>
      <c r="T2476" t="str">
        <f>IF(Pipeline_tbl[[#This Row],[Closed_Date]]=0,"",(_xlfn.XLOOKUP(Pipeline_tbl[[#This Row],[Closed_Date]],Dim_Date!A:A,Dim_Date!H:H)))</f>
        <v>Jun 2024</v>
      </c>
      <c r="U2476">
        <f>IF(Pipeline_tbl[[#This Row],[Closed_Date]]=0,"",Pipeline_tbl[[#This Row],[Closed_Date]]-Pipeline_tbl[[#This Row],[Created_Date]])</f>
        <v>21</v>
      </c>
    </row>
    <row r="2477" spans="1:21" ht="15" customHeight="1" x14ac:dyDescent="0.2">
      <c r="A2477" t="s">
        <v>2783</v>
      </c>
      <c r="B2477" t="s">
        <v>215</v>
      </c>
      <c r="C2477" t="s">
        <v>52</v>
      </c>
      <c r="D2477" s="49">
        <v>45438</v>
      </c>
      <c r="E2477" s="49">
        <v>45439</v>
      </c>
      <c r="F2477" s="49">
        <v>45441</v>
      </c>
      <c r="G2477" s="49">
        <v>45443</v>
      </c>
      <c r="I2477" s="49">
        <v>45447</v>
      </c>
      <c r="J2477" t="s">
        <v>49</v>
      </c>
      <c r="K2477" s="33">
        <v>2000</v>
      </c>
      <c r="L2477" t="s">
        <v>61</v>
      </c>
      <c r="M2477" t="str">
        <f>_xlfn.XLOOKUP(Pipeline_tbl[[#This Row],[Rep_ID]],Dim_Reps!A:A,Dim_Reps!K:K)</f>
        <v>EUR</v>
      </c>
      <c r="N2477" s="33">
        <f>(_xlfn.XLOOKUP(Pipeline_tbl[[#This Row],[Rate_Code_Generalized]],Lookups!A:A,Lookups!B:B))*Pipeline_tbl[[#This Row],[Pipeline_Amount_USD]]</f>
        <v>2000</v>
      </c>
      <c r="O2477" t="str">
        <f>_xlfn.XLOOKUP(Pipeline_tbl[[#This Row],[Rep_ID]],Dim_Reps!A:A,Dim_Reps!B:B)</f>
        <v>Jamie Schmidt</v>
      </c>
      <c r="P2477" t="str">
        <f>_xlfn.XLOOKUP(Pipeline_tbl[[#This Row],[Rep_ID]],Dim_Reps!A:A,Dim_Reps!C:C)</f>
        <v>SDR / Inside Sales Rep</v>
      </c>
      <c r="Q2477" t="str">
        <f>_xlfn.XLOOKUP(Pipeline_tbl[[#This Row],[Rep_ID]],Dim_Reps!A:A,Dim_Reps!D:D)</f>
        <v>Inside Sales</v>
      </c>
      <c r="R2477" t="str">
        <f>_xlfn.XLOOKUP(Pipeline_tbl[[#This Row],[Rep_ID]],Dim_Reps!A:A,Dim_Reps!E:E)</f>
        <v>APAC</v>
      </c>
      <c r="S2477" t="str">
        <f>_xlfn.XLOOKUP(Pipeline_tbl[[#This Row],[Created_Date]],Dim_Date!A:A,Dim_Date!H:H)</f>
        <v>May 2024</v>
      </c>
      <c r="T2477" t="str">
        <f>IF(Pipeline_tbl[[#This Row],[Closed_Date]]=0,"",(_xlfn.XLOOKUP(Pipeline_tbl[[#This Row],[Closed_Date]],Dim_Date!A:A,Dim_Date!H:H)))</f>
        <v>Jun 2024</v>
      </c>
      <c r="U2477">
        <f>IF(Pipeline_tbl[[#This Row],[Closed_Date]]=0,"",Pipeline_tbl[[#This Row],[Closed_Date]]-Pipeline_tbl[[#This Row],[Created_Date]])</f>
        <v>9</v>
      </c>
    </row>
    <row r="2478" spans="1:21" ht="15" customHeight="1" x14ac:dyDescent="0.2">
      <c r="A2478" t="s">
        <v>2784</v>
      </c>
      <c r="B2478" t="s">
        <v>215</v>
      </c>
      <c r="C2478" t="s">
        <v>53</v>
      </c>
      <c r="D2478" s="49">
        <v>45432</v>
      </c>
      <c r="E2478" s="49">
        <v>45435</v>
      </c>
      <c r="I2478" s="49">
        <v>45458</v>
      </c>
      <c r="J2478" t="s">
        <v>49</v>
      </c>
      <c r="K2478" s="33">
        <v>2900</v>
      </c>
      <c r="L2478" t="s">
        <v>60</v>
      </c>
      <c r="M2478" t="str">
        <f>_xlfn.XLOOKUP(Pipeline_tbl[[#This Row],[Rep_ID]],Dim_Reps!A:A,Dim_Reps!K:K)</f>
        <v>EUR</v>
      </c>
      <c r="N2478" s="33">
        <f>(_xlfn.XLOOKUP(Pipeline_tbl[[#This Row],[Rate_Code_Generalized]],Lookups!A:A,Lookups!B:B))*Pipeline_tbl[[#This Row],[Pipeline_Amount_USD]]</f>
        <v>2900</v>
      </c>
      <c r="O2478" t="str">
        <f>_xlfn.XLOOKUP(Pipeline_tbl[[#This Row],[Rep_ID]],Dim_Reps!A:A,Dim_Reps!B:B)</f>
        <v>Jamie Schmidt</v>
      </c>
      <c r="P2478" t="str">
        <f>_xlfn.XLOOKUP(Pipeline_tbl[[#This Row],[Rep_ID]],Dim_Reps!A:A,Dim_Reps!C:C)</f>
        <v>SDR / Inside Sales Rep</v>
      </c>
      <c r="Q2478" t="str">
        <f>_xlfn.XLOOKUP(Pipeline_tbl[[#This Row],[Rep_ID]],Dim_Reps!A:A,Dim_Reps!D:D)</f>
        <v>Inside Sales</v>
      </c>
      <c r="R2478" t="str">
        <f>_xlfn.XLOOKUP(Pipeline_tbl[[#This Row],[Rep_ID]],Dim_Reps!A:A,Dim_Reps!E:E)</f>
        <v>APAC</v>
      </c>
      <c r="S2478" t="str">
        <f>_xlfn.XLOOKUP(Pipeline_tbl[[#This Row],[Created_Date]],Dim_Date!A:A,Dim_Date!H:H)</f>
        <v>May 2024</v>
      </c>
      <c r="T2478" t="str">
        <f>IF(Pipeline_tbl[[#This Row],[Closed_Date]]=0,"",(_xlfn.XLOOKUP(Pipeline_tbl[[#This Row],[Closed_Date]],Dim_Date!A:A,Dim_Date!H:H)))</f>
        <v>Jun 2024</v>
      </c>
      <c r="U2478">
        <f>IF(Pipeline_tbl[[#This Row],[Closed_Date]]=0,"",Pipeline_tbl[[#This Row],[Closed_Date]]-Pipeline_tbl[[#This Row],[Created_Date]])</f>
        <v>26</v>
      </c>
    </row>
    <row r="2479" spans="1:21" ht="15" customHeight="1" x14ac:dyDescent="0.2">
      <c r="A2479" t="s">
        <v>2785</v>
      </c>
      <c r="B2479" t="s">
        <v>215</v>
      </c>
      <c r="C2479" t="s">
        <v>55</v>
      </c>
      <c r="D2479" s="49">
        <v>45441</v>
      </c>
      <c r="E2479" s="49">
        <v>45442</v>
      </c>
      <c r="F2479" s="49">
        <v>45444</v>
      </c>
      <c r="G2479" s="49">
        <v>45446</v>
      </c>
      <c r="I2479" s="49">
        <v>45450</v>
      </c>
      <c r="J2479" t="s">
        <v>49</v>
      </c>
      <c r="K2479" s="33">
        <v>4600</v>
      </c>
      <c r="L2479" t="s">
        <v>62</v>
      </c>
      <c r="M2479" t="str">
        <f>_xlfn.XLOOKUP(Pipeline_tbl[[#This Row],[Rep_ID]],Dim_Reps!A:A,Dim_Reps!K:K)</f>
        <v>EUR</v>
      </c>
      <c r="N2479" s="33">
        <f>(_xlfn.XLOOKUP(Pipeline_tbl[[#This Row],[Rate_Code_Generalized]],Lookups!A:A,Lookups!B:B))*Pipeline_tbl[[#This Row],[Pipeline_Amount_USD]]</f>
        <v>4600</v>
      </c>
      <c r="O2479" t="str">
        <f>_xlfn.XLOOKUP(Pipeline_tbl[[#This Row],[Rep_ID]],Dim_Reps!A:A,Dim_Reps!B:B)</f>
        <v>Jamie Schmidt</v>
      </c>
      <c r="P2479" t="str">
        <f>_xlfn.XLOOKUP(Pipeline_tbl[[#This Row],[Rep_ID]],Dim_Reps!A:A,Dim_Reps!C:C)</f>
        <v>SDR / Inside Sales Rep</v>
      </c>
      <c r="Q2479" t="str">
        <f>_xlfn.XLOOKUP(Pipeline_tbl[[#This Row],[Rep_ID]],Dim_Reps!A:A,Dim_Reps!D:D)</f>
        <v>Inside Sales</v>
      </c>
      <c r="R2479" t="str">
        <f>_xlfn.XLOOKUP(Pipeline_tbl[[#This Row],[Rep_ID]],Dim_Reps!A:A,Dim_Reps!E:E)</f>
        <v>APAC</v>
      </c>
      <c r="S2479" t="str">
        <f>_xlfn.XLOOKUP(Pipeline_tbl[[#This Row],[Created_Date]],Dim_Date!A:A,Dim_Date!H:H)</f>
        <v>May 2024</v>
      </c>
      <c r="T2479" t="str">
        <f>IF(Pipeline_tbl[[#This Row],[Closed_Date]]=0,"",(_xlfn.XLOOKUP(Pipeline_tbl[[#This Row],[Closed_Date]],Dim_Date!A:A,Dim_Date!H:H)))</f>
        <v>Jun 2024</v>
      </c>
      <c r="U2479">
        <f>IF(Pipeline_tbl[[#This Row],[Closed_Date]]=0,"",Pipeline_tbl[[#This Row],[Closed_Date]]-Pipeline_tbl[[#This Row],[Created_Date]])</f>
        <v>9</v>
      </c>
    </row>
    <row r="2480" spans="1:21" ht="15" customHeight="1" x14ac:dyDescent="0.2">
      <c r="A2480" t="s">
        <v>2786</v>
      </c>
      <c r="B2480" t="s">
        <v>217</v>
      </c>
      <c r="C2480" t="s">
        <v>52</v>
      </c>
      <c r="D2480" s="49">
        <v>45438</v>
      </c>
      <c r="E2480" s="49">
        <v>45440</v>
      </c>
      <c r="F2480" s="49">
        <v>45443</v>
      </c>
      <c r="G2480" s="49">
        <v>45448</v>
      </c>
      <c r="H2480" s="49">
        <v>45452</v>
      </c>
      <c r="I2480" s="49">
        <v>45455</v>
      </c>
      <c r="J2480" t="s">
        <v>49</v>
      </c>
      <c r="K2480" s="33">
        <v>5300</v>
      </c>
      <c r="L2480" t="s">
        <v>62</v>
      </c>
      <c r="M2480" t="str">
        <f>_xlfn.XLOOKUP(Pipeline_tbl[[#This Row],[Rep_ID]],Dim_Reps!A:A,Dim_Reps!K:K)</f>
        <v>USD</v>
      </c>
      <c r="N2480" s="33">
        <f>(_xlfn.XLOOKUP(Pipeline_tbl[[#This Row],[Rate_Code_Generalized]],Lookups!A:A,Lookups!B:B))*Pipeline_tbl[[#This Row],[Pipeline_Amount_USD]]</f>
        <v>6170.7899999999991</v>
      </c>
      <c r="O2480" t="str">
        <f>_xlfn.XLOOKUP(Pipeline_tbl[[#This Row],[Rep_ID]],Dim_Reps!A:A,Dim_Reps!B:B)</f>
        <v>Priya Weber</v>
      </c>
      <c r="P2480" t="str">
        <f>_xlfn.XLOOKUP(Pipeline_tbl[[#This Row],[Rep_ID]],Dim_Reps!A:A,Dim_Reps!C:C)</f>
        <v>SDR / Inside Sales Rep</v>
      </c>
      <c r="Q2480" t="str">
        <f>_xlfn.XLOOKUP(Pipeline_tbl[[#This Row],[Rep_ID]],Dim_Reps!A:A,Dim_Reps!D:D)</f>
        <v>Inside Sales</v>
      </c>
      <c r="R2480" t="str">
        <f>_xlfn.XLOOKUP(Pipeline_tbl[[#This Row],[Rep_ID]],Dim_Reps!A:A,Dim_Reps!E:E)</f>
        <v>NAMER</v>
      </c>
      <c r="S2480" t="str">
        <f>_xlfn.XLOOKUP(Pipeline_tbl[[#This Row],[Created_Date]],Dim_Date!A:A,Dim_Date!H:H)</f>
        <v>May 2024</v>
      </c>
      <c r="T2480" t="str">
        <f>IF(Pipeline_tbl[[#This Row],[Closed_Date]]=0,"",(_xlfn.XLOOKUP(Pipeline_tbl[[#This Row],[Closed_Date]],Dim_Date!A:A,Dim_Date!H:H)))</f>
        <v>Jun 2024</v>
      </c>
      <c r="U2480">
        <f>IF(Pipeline_tbl[[#This Row],[Closed_Date]]=0,"",Pipeline_tbl[[#This Row],[Closed_Date]]-Pipeline_tbl[[#This Row],[Created_Date]])</f>
        <v>17</v>
      </c>
    </row>
    <row r="2481" spans="1:21" ht="15" customHeight="1" x14ac:dyDescent="0.2">
      <c r="A2481" t="s">
        <v>2787</v>
      </c>
      <c r="B2481" t="s">
        <v>217</v>
      </c>
      <c r="C2481" t="s">
        <v>55</v>
      </c>
      <c r="D2481" s="49">
        <v>45423</v>
      </c>
      <c r="E2481" s="49">
        <v>45425</v>
      </c>
      <c r="F2481" s="49">
        <v>45430</v>
      </c>
      <c r="I2481" s="49">
        <v>45445</v>
      </c>
      <c r="J2481" t="s">
        <v>49</v>
      </c>
      <c r="K2481" s="33">
        <v>4100</v>
      </c>
      <c r="L2481" t="s">
        <v>61</v>
      </c>
      <c r="M2481" t="str">
        <f>_xlfn.XLOOKUP(Pipeline_tbl[[#This Row],[Rep_ID]],Dim_Reps!A:A,Dim_Reps!K:K)</f>
        <v>USD</v>
      </c>
      <c r="N2481" s="33">
        <f>(_xlfn.XLOOKUP(Pipeline_tbl[[#This Row],[Rate_Code_Generalized]],Lookups!A:A,Lookups!B:B))*Pipeline_tbl[[#This Row],[Pipeline_Amount_USD]]</f>
        <v>4773.6299999999992</v>
      </c>
      <c r="O2481" t="str">
        <f>_xlfn.XLOOKUP(Pipeline_tbl[[#This Row],[Rep_ID]],Dim_Reps!A:A,Dim_Reps!B:B)</f>
        <v>Priya Weber</v>
      </c>
      <c r="P2481" t="str">
        <f>_xlfn.XLOOKUP(Pipeline_tbl[[#This Row],[Rep_ID]],Dim_Reps!A:A,Dim_Reps!C:C)</f>
        <v>SDR / Inside Sales Rep</v>
      </c>
      <c r="Q2481" t="str">
        <f>_xlfn.XLOOKUP(Pipeline_tbl[[#This Row],[Rep_ID]],Dim_Reps!A:A,Dim_Reps!D:D)</f>
        <v>Inside Sales</v>
      </c>
      <c r="R2481" t="str">
        <f>_xlfn.XLOOKUP(Pipeline_tbl[[#This Row],[Rep_ID]],Dim_Reps!A:A,Dim_Reps!E:E)</f>
        <v>NAMER</v>
      </c>
      <c r="S2481" t="str">
        <f>_xlfn.XLOOKUP(Pipeline_tbl[[#This Row],[Created_Date]],Dim_Date!A:A,Dim_Date!H:H)</f>
        <v>May 2024</v>
      </c>
      <c r="T2481" t="str">
        <f>IF(Pipeline_tbl[[#This Row],[Closed_Date]]=0,"",(_xlfn.XLOOKUP(Pipeline_tbl[[#This Row],[Closed_Date]],Dim_Date!A:A,Dim_Date!H:H)))</f>
        <v>Jun 2024</v>
      </c>
      <c r="U2481">
        <f>IF(Pipeline_tbl[[#This Row],[Closed_Date]]=0,"",Pipeline_tbl[[#This Row],[Closed_Date]]-Pipeline_tbl[[#This Row],[Created_Date]])</f>
        <v>22</v>
      </c>
    </row>
    <row r="2482" spans="1:21" ht="15" customHeight="1" x14ac:dyDescent="0.2">
      <c r="A2482" t="s">
        <v>2788</v>
      </c>
      <c r="B2482" t="s">
        <v>217</v>
      </c>
      <c r="C2482" t="s">
        <v>55</v>
      </c>
      <c r="D2482" s="49">
        <v>45430</v>
      </c>
      <c r="E2482" s="49">
        <v>45432</v>
      </c>
      <c r="F2482" s="49">
        <v>45435</v>
      </c>
      <c r="G2482" s="49">
        <v>45441</v>
      </c>
      <c r="H2482" s="49">
        <v>45445</v>
      </c>
      <c r="I2482" s="49">
        <v>45448</v>
      </c>
      <c r="J2482" t="s">
        <v>47</v>
      </c>
      <c r="K2482" s="33">
        <v>5200</v>
      </c>
      <c r="M2482" t="str">
        <f>_xlfn.XLOOKUP(Pipeline_tbl[[#This Row],[Rep_ID]],Dim_Reps!A:A,Dim_Reps!K:K)</f>
        <v>USD</v>
      </c>
      <c r="N2482" s="33">
        <f>(_xlfn.XLOOKUP(Pipeline_tbl[[#This Row],[Rate_Code_Generalized]],Lookups!A:A,Lookups!B:B))*Pipeline_tbl[[#This Row],[Pipeline_Amount_USD]]</f>
        <v>6054.36</v>
      </c>
      <c r="O2482" t="str">
        <f>_xlfn.XLOOKUP(Pipeline_tbl[[#This Row],[Rep_ID]],Dim_Reps!A:A,Dim_Reps!B:B)</f>
        <v>Priya Weber</v>
      </c>
      <c r="P2482" t="str">
        <f>_xlfn.XLOOKUP(Pipeline_tbl[[#This Row],[Rep_ID]],Dim_Reps!A:A,Dim_Reps!C:C)</f>
        <v>SDR / Inside Sales Rep</v>
      </c>
      <c r="Q2482" t="str">
        <f>_xlfn.XLOOKUP(Pipeline_tbl[[#This Row],[Rep_ID]],Dim_Reps!A:A,Dim_Reps!D:D)</f>
        <v>Inside Sales</v>
      </c>
      <c r="R2482" t="str">
        <f>_xlfn.XLOOKUP(Pipeline_tbl[[#This Row],[Rep_ID]],Dim_Reps!A:A,Dim_Reps!E:E)</f>
        <v>NAMER</v>
      </c>
      <c r="S2482" t="str">
        <f>_xlfn.XLOOKUP(Pipeline_tbl[[#This Row],[Created_Date]],Dim_Date!A:A,Dim_Date!H:H)</f>
        <v>May 2024</v>
      </c>
      <c r="T2482" t="str">
        <f>IF(Pipeline_tbl[[#This Row],[Closed_Date]]=0,"",(_xlfn.XLOOKUP(Pipeline_tbl[[#This Row],[Closed_Date]],Dim_Date!A:A,Dim_Date!H:H)))</f>
        <v>Jun 2024</v>
      </c>
      <c r="U2482">
        <f>IF(Pipeline_tbl[[#This Row],[Closed_Date]]=0,"",Pipeline_tbl[[#This Row],[Closed_Date]]-Pipeline_tbl[[#This Row],[Created_Date]])</f>
        <v>18</v>
      </c>
    </row>
    <row r="2483" spans="1:21" ht="15" customHeight="1" x14ac:dyDescent="0.2">
      <c r="A2483" t="s">
        <v>2789</v>
      </c>
      <c r="B2483" t="s">
        <v>217</v>
      </c>
      <c r="C2483" t="s">
        <v>52</v>
      </c>
      <c r="D2483" s="49">
        <v>45443</v>
      </c>
      <c r="E2483" s="49">
        <v>45445</v>
      </c>
      <c r="F2483" s="49">
        <v>45450</v>
      </c>
      <c r="G2483" s="49">
        <v>45457</v>
      </c>
      <c r="H2483" s="49">
        <v>45463</v>
      </c>
      <c r="I2483" s="49">
        <v>45466</v>
      </c>
      <c r="J2483" t="s">
        <v>49</v>
      </c>
      <c r="K2483" s="33">
        <v>3800</v>
      </c>
      <c r="L2483" t="s">
        <v>63</v>
      </c>
      <c r="M2483" t="str">
        <f>_xlfn.XLOOKUP(Pipeline_tbl[[#This Row],[Rep_ID]],Dim_Reps!A:A,Dim_Reps!K:K)</f>
        <v>USD</v>
      </c>
      <c r="N2483" s="33">
        <f>(_xlfn.XLOOKUP(Pipeline_tbl[[#This Row],[Rate_Code_Generalized]],Lookups!A:A,Lookups!B:B))*Pipeline_tbl[[#This Row],[Pipeline_Amount_USD]]</f>
        <v>4424.3399999999992</v>
      </c>
      <c r="O2483" t="str">
        <f>_xlfn.XLOOKUP(Pipeline_tbl[[#This Row],[Rep_ID]],Dim_Reps!A:A,Dim_Reps!B:B)</f>
        <v>Priya Weber</v>
      </c>
      <c r="P2483" t="str">
        <f>_xlfn.XLOOKUP(Pipeline_tbl[[#This Row],[Rep_ID]],Dim_Reps!A:A,Dim_Reps!C:C)</f>
        <v>SDR / Inside Sales Rep</v>
      </c>
      <c r="Q2483" t="str">
        <f>_xlfn.XLOOKUP(Pipeline_tbl[[#This Row],[Rep_ID]],Dim_Reps!A:A,Dim_Reps!D:D)</f>
        <v>Inside Sales</v>
      </c>
      <c r="R2483" t="str">
        <f>_xlfn.XLOOKUP(Pipeline_tbl[[#This Row],[Rep_ID]],Dim_Reps!A:A,Dim_Reps!E:E)</f>
        <v>NAMER</v>
      </c>
      <c r="S2483" t="str">
        <f>_xlfn.XLOOKUP(Pipeline_tbl[[#This Row],[Created_Date]],Dim_Date!A:A,Dim_Date!H:H)</f>
        <v>May 2024</v>
      </c>
      <c r="T2483" t="str">
        <f>IF(Pipeline_tbl[[#This Row],[Closed_Date]]=0,"",(_xlfn.XLOOKUP(Pipeline_tbl[[#This Row],[Closed_Date]],Dim_Date!A:A,Dim_Date!H:H)))</f>
        <v>Jun 2024</v>
      </c>
      <c r="U2483">
        <f>IF(Pipeline_tbl[[#This Row],[Closed_Date]]=0,"",Pipeline_tbl[[#This Row],[Closed_Date]]-Pipeline_tbl[[#This Row],[Created_Date]])</f>
        <v>23</v>
      </c>
    </row>
    <row r="2484" spans="1:21" ht="15" customHeight="1" x14ac:dyDescent="0.2">
      <c r="A2484" t="s">
        <v>2790</v>
      </c>
      <c r="B2484" t="s">
        <v>221</v>
      </c>
      <c r="C2484" t="s">
        <v>52</v>
      </c>
      <c r="D2484" s="49">
        <v>45440</v>
      </c>
      <c r="E2484" s="49">
        <v>45442</v>
      </c>
      <c r="I2484" s="49">
        <v>45459</v>
      </c>
      <c r="J2484" t="s">
        <v>49</v>
      </c>
      <c r="K2484" s="33">
        <v>4500</v>
      </c>
      <c r="L2484" t="s">
        <v>62</v>
      </c>
      <c r="M2484" t="str">
        <f>_xlfn.XLOOKUP(Pipeline_tbl[[#This Row],[Rep_ID]],Dim_Reps!A:A,Dim_Reps!K:K)</f>
        <v>MXN</v>
      </c>
      <c r="N2484" s="33">
        <f>(_xlfn.XLOOKUP(Pipeline_tbl[[#This Row],[Rate_Code_Generalized]],Lookups!A:A,Lookups!B:B))*Pipeline_tbl[[#This Row],[Pipeline_Amount_USD]]</f>
        <v>88797.150000000009</v>
      </c>
      <c r="O2484" t="str">
        <f>_xlfn.XLOOKUP(Pipeline_tbl[[#This Row],[Rep_ID]],Dim_Reps!A:A,Dim_Reps!B:B)</f>
        <v>Casey Muller</v>
      </c>
      <c r="P2484" t="str">
        <f>_xlfn.XLOOKUP(Pipeline_tbl[[#This Row],[Rep_ID]],Dim_Reps!A:A,Dim_Reps!C:C)</f>
        <v>SDR / Inside Sales Rep</v>
      </c>
      <c r="Q2484" t="str">
        <f>_xlfn.XLOOKUP(Pipeline_tbl[[#This Row],[Rep_ID]],Dim_Reps!A:A,Dim_Reps!D:D)</f>
        <v>Inside Sales</v>
      </c>
      <c r="R2484" t="str">
        <f>_xlfn.XLOOKUP(Pipeline_tbl[[#This Row],[Rep_ID]],Dim_Reps!A:A,Dim_Reps!E:E)</f>
        <v>LATAM</v>
      </c>
      <c r="S2484" t="str">
        <f>_xlfn.XLOOKUP(Pipeline_tbl[[#This Row],[Created_Date]],Dim_Date!A:A,Dim_Date!H:H)</f>
        <v>May 2024</v>
      </c>
      <c r="T2484" t="str">
        <f>IF(Pipeline_tbl[[#This Row],[Closed_Date]]=0,"",(_xlfn.XLOOKUP(Pipeline_tbl[[#This Row],[Closed_Date]],Dim_Date!A:A,Dim_Date!H:H)))</f>
        <v>Jun 2024</v>
      </c>
      <c r="U2484">
        <f>IF(Pipeline_tbl[[#This Row],[Closed_Date]]=0,"",Pipeline_tbl[[#This Row],[Closed_Date]]-Pipeline_tbl[[#This Row],[Created_Date]])</f>
        <v>19</v>
      </c>
    </row>
    <row r="2485" spans="1:21" ht="15" customHeight="1" x14ac:dyDescent="0.2">
      <c r="A2485" t="s">
        <v>2791</v>
      </c>
      <c r="B2485" t="s">
        <v>221</v>
      </c>
      <c r="C2485" t="s">
        <v>54</v>
      </c>
      <c r="D2485" s="49">
        <v>45427</v>
      </c>
      <c r="E2485" s="49">
        <v>45429</v>
      </c>
      <c r="F2485" s="49">
        <v>45434</v>
      </c>
      <c r="G2485" s="49">
        <v>45440</v>
      </c>
      <c r="H2485" s="49">
        <v>45446</v>
      </c>
      <c r="I2485" s="49">
        <v>45449</v>
      </c>
      <c r="J2485" t="s">
        <v>49</v>
      </c>
      <c r="K2485" s="33">
        <v>2100</v>
      </c>
      <c r="L2485" t="s">
        <v>60</v>
      </c>
      <c r="M2485" t="str">
        <f>_xlfn.XLOOKUP(Pipeline_tbl[[#This Row],[Rep_ID]],Dim_Reps!A:A,Dim_Reps!K:K)</f>
        <v>MXN</v>
      </c>
      <c r="N2485" s="33">
        <f>(_xlfn.XLOOKUP(Pipeline_tbl[[#This Row],[Rate_Code_Generalized]],Lookups!A:A,Lookups!B:B))*Pipeline_tbl[[#This Row],[Pipeline_Amount_USD]]</f>
        <v>41438.670000000006</v>
      </c>
      <c r="O2485" t="str">
        <f>_xlfn.XLOOKUP(Pipeline_tbl[[#This Row],[Rep_ID]],Dim_Reps!A:A,Dim_Reps!B:B)</f>
        <v>Casey Muller</v>
      </c>
      <c r="P2485" t="str">
        <f>_xlfn.XLOOKUP(Pipeline_tbl[[#This Row],[Rep_ID]],Dim_Reps!A:A,Dim_Reps!C:C)</f>
        <v>SDR / Inside Sales Rep</v>
      </c>
      <c r="Q2485" t="str">
        <f>_xlfn.XLOOKUP(Pipeline_tbl[[#This Row],[Rep_ID]],Dim_Reps!A:A,Dim_Reps!D:D)</f>
        <v>Inside Sales</v>
      </c>
      <c r="R2485" t="str">
        <f>_xlfn.XLOOKUP(Pipeline_tbl[[#This Row],[Rep_ID]],Dim_Reps!A:A,Dim_Reps!E:E)</f>
        <v>LATAM</v>
      </c>
      <c r="S2485" t="str">
        <f>_xlfn.XLOOKUP(Pipeline_tbl[[#This Row],[Created_Date]],Dim_Date!A:A,Dim_Date!H:H)</f>
        <v>May 2024</v>
      </c>
      <c r="T2485" t="str">
        <f>IF(Pipeline_tbl[[#This Row],[Closed_Date]]=0,"",(_xlfn.XLOOKUP(Pipeline_tbl[[#This Row],[Closed_Date]],Dim_Date!A:A,Dim_Date!H:H)))</f>
        <v>Jun 2024</v>
      </c>
      <c r="U2485">
        <f>IF(Pipeline_tbl[[#This Row],[Closed_Date]]=0,"",Pipeline_tbl[[#This Row],[Closed_Date]]-Pipeline_tbl[[#This Row],[Created_Date]])</f>
        <v>22</v>
      </c>
    </row>
    <row r="2486" spans="1:21" ht="15" customHeight="1" x14ac:dyDescent="0.2">
      <c r="A2486" t="s">
        <v>2792</v>
      </c>
      <c r="B2486" t="s">
        <v>221</v>
      </c>
      <c r="C2486" t="s">
        <v>55</v>
      </c>
      <c r="D2486" s="49">
        <v>45434</v>
      </c>
      <c r="E2486" s="49">
        <v>45436</v>
      </c>
      <c r="F2486" s="49">
        <v>45439</v>
      </c>
      <c r="I2486" s="49">
        <v>45450</v>
      </c>
      <c r="J2486" t="s">
        <v>49</v>
      </c>
      <c r="K2486" s="33">
        <v>4500</v>
      </c>
      <c r="L2486" t="s">
        <v>62</v>
      </c>
      <c r="M2486" t="str">
        <f>_xlfn.XLOOKUP(Pipeline_tbl[[#This Row],[Rep_ID]],Dim_Reps!A:A,Dim_Reps!K:K)</f>
        <v>MXN</v>
      </c>
      <c r="N2486" s="33">
        <f>(_xlfn.XLOOKUP(Pipeline_tbl[[#This Row],[Rate_Code_Generalized]],Lookups!A:A,Lookups!B:B))*Pipeline_tbl[[#This Row],[Pipeline_Amount_USD]]</f>
        <v>88797.150000000009</v>
      </c>
      <c r="O2486" t="str">
        <f>_xlfn.XLOOKUP(Pipeline_tbl[[#This Row],[Rep_ID]],Dim_Reps!A:A,Dim_Reps!B:B)</f>
        <v>Casey Muller</v>
      </c>
      <c r="P2486" t="str">
        <f>_xlfn.XLOOKUP(Pipeline_tbl[[#This Row],[Rep_ID]],Dim_Reps!A:A,Dim_Reps!C:C)</f>
        <v>SDR / Inside Sales Rep</v>
      </c>
      <c r="Q2486" t="str">
        <f>_xlfn.XLOOKUP(Pipeline_tbl[[#This Row],[Rep_ID]],Dim_Reps!A:A,Dim_Reps!D:D)</f>
        <v>Inside Sales</v>
      </c>
      <c r="R2486" t="str">
        <f>_xlfn.XLOOKUP(Pipeline_tbl[[#This Row],[Rep_ID]],Dim_Reps!A:A,Dim_Reps!E:E)</f>
        <v>LATAM</v>
      </c>
      <c r="S2486" t="str">
        <f>_xlfn.XLOOKUP(Pipeline_tbl[[#This Row],[Created_Date]],Dim_Date!A:A,Dim_Date!H:H)</f>
        <v>May 2024</v>
      </c>
      <c r="T2486" t="str">
        <f>IF(Pipeline_tbl[[#This Row],[Closed_Date]]=0,"",(_xlfn.XLOOKUP(Pipeline_tbl[[#This Row],[Closed_Date]],Dim_Date!A:A,Dim_Date!H:H)))</f>
        <v>Jun 2024</v>
      </c>
      <c r="U2486">
        <f>IF(Pipeline_tbl[[#This Row],[Closed_Date]]=0,"",Pipeline_tbl[[#This Row],[Closed_Date]]-Pipeline_tbl[[#This Row],[Created_Date]])</f>
        <v>16</v>
      </c>
    </row>
    <row r="2487" spans="1:21" ht="15" customHeight="1" x14ac:dyDescent="0.2">
      <c r="A2487" t="s">
        <v>2793</v>
      </c>
      <c r="B2487" t="s">
        <v>221</v>
      </c>
      <c r="C2487" t="s">
        <v>53</v>
      </c>
      <c r="D2487" s="49">
        <v>45435</v>
      </c>
      <c r="E2487" s="49">
        <v>45437</v>
      </c>
      <c r="F2487" s="49">
        <v>45440</v>
      </c>
      <c r="G2487" s="49">
        <v>45445</v>
      </c>
      <c r="H2487" s="49">
        <v>45449</v>
      </c>
      <c r="I2487" s="49">
        <v>45452</v>
      </c>
      <c r="J2487" t="s">
        <v>47</v>
      </c>
      <c r="K2487" s="33">
        <v>1800</v>
      </c>
      <c r="M2487" t="str">
        <f>_xlfn.XLOOKUP(Pipeline_tbl[[#This Row],[Rep_ID]],Dim_Reps!A:A,Dim_Reps!K:K)</f>
        <v>MXN</v>
      </c>
      <c r="N2487" s="33">
        <f>(_xlfn.XLOOKUP(Pipeline_tbl[[#This Row],[Rate_Code_Generalized]],Lookups!A:A,Lookups!B:B))*Pipeline_tbl[[#This Row],[Pipeline_Amount_USD]]</f>
        <v>35518.86</v>
      </c>
      <c r="O2487" t="str">
        <f>_xlfn.XLOOKUP(Pipeline_tbl[[#This Row],[Rep_ID]],Dim_Reps!A:A,Dim_Reps!B:B)</f>
        <v>Casey Muller</v>
      </c>
      <c r="P2487" t="str">
        <f>_xlfn.XLOOKUP(Pipeline_tbl[[#This Row],[Rep_ID]],Dim_Reps!A:A,Dim_Reps!C:C)</f>
        <v>SDR / Inside Sales Rep</v>
      </c>
      <c r="Q2487" t="str">
        <f>_xlfn.XLOOKUP(Pipeline_tbl[[#This Row],[Rep_ID]],Dim_Reps!A:A,Dim_Reps!D:D)</f>
        <v>Inside Sales</v>
      </c>
      <c r="R2487" t="str">
        <f>_xlfn.XLOOKUP(Pipeline_tbl[[#This Row],[Rep_ID]],Dim_Reps!A:A,Dim_Reps!E:E)</f>
        <v>LATAM</v>
      </c>
      <c r="S2487" t="str">
        <f>_xlfn.XLOOKUP(Pipeline_tbl[[#This Row],[Created_Date]],Dim_Date!A:A,Dim_Date!H:H)</f>
        <v>May 2024</v>
      </c>
      <c r="T2487" t="str">
        <f>IF(Pipeline_tbl[[#This Row],[Closed_Date]]=0,"",(_xlfn.XLOOKUP(Pipeline_tbl[[#This Row],[Closed_Date]],Dim_Date!A:A,Dim_Date!H:H)))</f>
        <v>Jun 2024</v>
      </c>
      <c r="U2487">
        <f>IF(Pipeline_tbl[[#This Row],[Closed_Date]]=0,"",Pipeline_tbl[[#This Row],[Closed_Date]]-Pipeline_tbl[[#This Row],[Created_Date]])</f>
        <v>17</v>
      </c>
    </row>
    <row r="2488" spans="1:21" ht="15" customHeight="1" x14ac:dyDescent="0.2">
      <c r="A2488" t="s">
        <v>2794</v>
      </c>
      <c r="B2488" t="s">
        <v>221</v>
      </c>
      <c r="C2488" t="s">
        <v>53</v>
      </c>
      <c r="D2488" s="49">
        <v>45428</v>
      </c>
      <c r="E2488" s="49">
        <v>45430</v>
      </c>
      <c r="F2488" s="49">
        <v>45435</v>
      </c>
      <c r="G2488" s="49">
        <v>45442</v>
      </c>
      <c r="H2488" s="49">
        <v>45448</v>
      </c>
      <c r="I2488" s="49">
        <v>45452</v>
      </c>
      <c r="J2488" t="s">
        <v>47</v>
      </c>
      <c r="K2488" s="33">
        <v>2900</v>
      </c>
      <c r="M2488" t="str">
        <f>_xlfn.XLOOKUP(Pipeline_tbl[[#This Row],[Rep_ID]],Dim_Reps!A:A,Dim_Reps!K:K)</f>
        <v>MXN</v>
      </c>
      <c r="N2488" s="33">
        <f>(_xlfn.XLOOKUP(Pipeline_tbl[[#This Row],[Rate_Code_Generalized]],Lookups!A:A,Lookups!B:B))*Pipeline_tbl[[#This Row],[Pipeline_Amount_USD]]</f>
        <v>57224.83</v>
      </c>
      <c r="O2488" t="str">
        <f>_xlfn.XLOOKUP(Pipeline_tbl[[#This Row],[Rep_ID]],Dim_Reps!A:A,Dim_Reps!B:B)</f>
        <v>Casey Muller</v>
      </c>
      <c r="P2488" t="str">
        <f>_xlfn.XLOOKUP(Pipeline_tbl[[#This Row],[Rep_ID]],Dim_Reps!A:A,Dim_Reps!C:C)</f>
        <v>SDR / Inside Sales Rep</v>
      </c>
      <c r="Q2488" t="str">
        <f>_xlfn.XLOOKUP(Pipeline_tbl[[#This Row],[Rep_ID]],Dim_Reps!A:A,Dim_Reps!D:D)</f>
        <v>Inside Sales</v>
      </c>
      <c r="R2488" t="str">
        <f>_xlfn.XLOOKUP(Pipeline_tbl[[#This Row],[Rep_ID]],Dim_Reps!A:A,Dim_Reps!E:E)</f>
        <v>LATAM</v>
      </c>
      <c r="S2488" t="str">
        <f>_xlfn.XLOOKUP(Pipeline_tbl[[#This Row],[Created_Date]],Dim_Date!A:A,Dim_Date!H:H)</f>
        <v>May 2024</v>
      </c>
      <c r="T2488" t="str">
        <f>IF(Pipeline_tbl[[#This Row],[Closed_Date]]=0,"",(_xlfn.XLOOKUP(Pipeline_tbl[[#This Row],[Closed_Date]],Dim_Date!A:A,Dim_Date!H:H)))</f>
        <v>Jun 2024</v>
      </c>
      <c r="U2488">
        <f>IF(Pipeline_tbl[[#This Row],[Closed_Date]]=0,"",Pipeline_tbl[[#This Row],[Closed_Date]]-Pipeline_tbl[[#This Row],[Created_Date]])</f>
        <v>24</v>
      </c>
    </row>
    <row r="2489" spans="1:21" ht="15" customHeight="1" x14ac:dyDescent="0.2">
      <c r="A2489" t="s">
        <v>2795</v>
      </c>
      <c r="B2489" t="s">
        <v>259</v>
      </c>
      <c r="C2489" t="s">
        <v>53</v>
      </c>
      <c r="D2489" s="49">
        <v>45425</v>
      </c>
      <c r="E2489" s="49">
        <v>45428</v>
      </c>
      <c r="F2489" s="49">
        <v>45434</v>
      </c>
      <c r="G2489" s="49">
        <v>45442</v>
      </c>
      <c r="H2489" s="49">
        <v>45450</v>
      </c>
      <c r="I2489" s="49">
        <v>45454</v>
      </c>
      <c r="J2489" t="s">
        <v>49</v>
      </c>
      <c r="K2489" s="33">
        <v>20400</v>
      </c>
      <c r="L2489" t="s">
        <v>61</v>
      </c>
      <c r="M2489" t="str">
        <f>_xlfn.XLOOKUP(Pipeline_tbl[[#This Row],[Rep_ID]],Dim_Reps!A:A,Dim_Reps!K:K)</f>
        <v>EUR</v>
      </c>
      <c r="N2489" s="33">
        <f>(_xlfn.XLOOKUP(Pipeline_tbl[[#This Row],[Rate_Code_Generalized]],Lookups!A:A,Lookups!B:B))*Pipeline_tbl[[#This Row],[Pipeline_Amount_USD]]</f>
        <v>20400</v>
      </c>
      <c r="O2489" t="str">
        <f>_xlfn.XLOOKUP(Pipeline_tbl[[#This Row],[Rep_ID]],Dim_Reps!A:A,Dim_Reps!B:B)</f>
        <v>Felix Okafor</v>
      </c>
      <c r="P2489" t="str">
        <f>_xlfn.XLOOKUP(Pipeline_tbl[[#This Row],[Rep_ID]],Dim_Reps!A:A,Dim_Reps!C:C)</f>
        <v>Mid-Market AE</v>
      </c>
      <c r="Q2489" t="str">
        <f>_xlfn.XLOOKUP(Pipeline_tbl[[#This Row],[Rep_ID]],Dim_Reps!A:A,Dim_Reps!D:D)</f>
        <v>Mid-Market</v>
      </c>
      <c r="R2489" t="str">
        <f>_xlfn.XLOOKUP(Pipeline_tbl[[#This Row],[Rep_ID]],Dim_Reps!A:A,Dim_Reps!E:E)</f>
        <v>EMEA</v>
      </c>
      <c r="S2489" t="str">
        <f>_xlfn.XLOOKUP(Pipeline_tbl[[#This Row],[Created_Date]],Dim_Date!A:A,Dim_Date!H:H)</f>
        <v>May 2024</v>
      </c>
      <c r="T2489" t="str">
        <f>IF(Pipeline_tbl[[#This Row],[Closed_Date]]=0,"",(_xlfn.XLOOKUP(Pipeline_tbl[[#This Row],[Closed_Date]],Dim_Date!A:A,Dim_Date!H:H)))</f>
        <v>Jun 2024</v>
      </c>
      <c r="U2489">
        <f>IF(Pipeline_tbl[[#This Row],[Closed_Date]]=0,"",Pipeline_tbl[[#This Row],[Closed_Date]]-Pipeline_tbl[[#This Row],[Created_Date]])</f>
        <v>29</v>
      </c>
    </row>
    <row r="2490" spans="1:21" ht="15" customHeight="1" x14ac:dyDescent="0.2">
      <c r="A2490" t="s">
        <v>2796</v>
      </c>
      <c r="B2490" t="s">
        <v>259</v>
      </c>
      <c r="C2490" t="s">
        <v>54</v>
      </c>
      <c r="D2490" s="49">
        <v>45420</v>
      </c>
      <c r="E2490" s="49">
        <v>45423</v>
      </c>
      <c r="I2490" s="49">
        <v>45454</v>
      </c>
      <c r="J2490" t="s">
        <v>49</v>
      </c>
      <c r="K2490" s="33">
        <v>18000</v>
      </c>
      <c r="L2490" t="s">
        <v>64</v>
      </c>
      <c r="M2490" t="str">
        <f>_xlfn.XLOOKUP(Pipeline_tbl[[#This Row],[Rep_ID]],Dim_Reps!A:A,Dim_Reps!K:K)</f>
        <v>EUR</v>
      </c>
      <c r="N2490" s="33">
        <f>(_xlfn.XLOOKUP(Pipeline_tbl[[#This Row],[Rate_Code_Generalized]],Lookups!A:A,Lookups!B:B))*Pipeline_tbl[[#This Row],[Pipeline_Amount_USD]]</f>
        <v>18000</v>
      </c>
      <c r="O2490" t="str">
        <f>_xlfn.XLOOKUP(Pipeline_tbl[[#This Row],[Rep_ID]],Dim_Reps!A:A,Dim_Reps!B:B)</f>
        <v>Felix Okafor</v>
      </c>
      <c r="P2490" t="str">
        <f>_xlfn.XLOOKUP(Pipeline_tbl[[#This Row],[Rep_ID]],Dim_Reps!A:A,Dim_Reps!C:C)</f>
        <v>Mid-Market AE</v>
      </c>
      <c r="Q2490" t="str">
        <f>_xlfn.XLOOKUP(Pipeline_tbl[[#This Row],[Rep_ID]],Dim_Reps!A:A,Dim_Reps!D:D)</f>
        <v>Mid-Market</v>
      </c>
      <c r="R2490" t="str">
        <f>_xlfn.XLOOKUP(Pipeline_tbl[[#This Row],[Rep_ID]],Dim_Reps!A:A,Dim_Reps!E:E)</f>
        <v>EMEA</v>
      </c>
      <c r="S2490" t="str">
        <f>_xlfn.XLOOKUP(Pipeline_tbl[[#This Row],[Created_Date]],Dim_Date!A:A,Dim_Date!H:H)</f>
        <v>May 2024</v>
      </c>
      <c r="T2490" t="str">
        <f>IF(Pipeline_tbl[[#This Row],[Closed_Date]]=0,"",(_xlfn.XLOOKUP(Pipeline_tbl[[#This Row],[Closed_Date]],Dim_Date!A:A,Dim_Date!H:H)))</f>
        <v>Jun 2024</v>
      </c>
      <c r="U2490">
        <f>IF(Pipeline_tbl[[#This Row],[Closed_Date]]=0,"",Pipeline_tbl[[#This Row],[Closed_Date]]-Pipeline_tbl[[#This Row],[Created_Date]])</f>
        <v>34</v>
      </c>
    </row>
    <row r="2491" spans="1:21" ht="15" customHeight="1" x14ac:dyDescent="0.2">
      <c r="A2491" t="s">
        <v>2797</v>
      </c>
      <c r="B2491" t="s">
        <v>225</v>
      </c>
      <c r="C2491" t="s">
        <v>53</v>
      </c>
      <c r="D2491" s="49">
        <v>45437</v>
      </c>
      <c r="E2491" s="49">
        <v>45439</v>
      </c>
      <c r="F2491" s="49">
        <v>45443</v>
      </c>
      <c r="G2491" s="49">
        <v>45449</v>
      </c>
      <c r="I2491" s="49">
        <v>45457</v>
      </c>
      <c r="J2491" t="s">
        <v>49</v>
      </c>
      <c r="K2491" s="33">
        <v>4500</v>
      </c>
      <c r="L2491" t="s">
        <v>62</v>
      </c>
      <c r="M2491" t="str">
        <f>_xlfn.XLOOKUP(Pipeline_tbl[[#This Row],[Rep_ID]],Dim_Reps!A:A,Dim_Reps!K:K)</f>
        <v>USD</v>
      </c>
      <c r="N2491" s="33">
        <f>(_xlfn.XLOOKUP(Pipeline_tbl[[#This Row],[Rate_Code_Generalized]],Lookups!A:A,Lookups!B:B))*Pipeline_tbl[[#This Row],[Pipeline_Amount_USD]]</f>
        <v>5239.3499999999995</v>
      </c>
      <c r="O2491" t="str">
        <f>_xlfn.XLOOKUP(Pipeline_tbl[[#This Row],[Rep_ID]],Dim_Reps!A:A,Dim_Reps!B:B)</f>
        <v>Alex Muller</v>
      </c>
      <c r="P2491" t="str">
        <f>_xlfn.XLOOKUP(Pipeline_tbl[[#This Row],[Rep_ID]],Dim_Reps!A:A,Dim_Reps!C:C)</f>
        <v>SDR / Inside Sales Rep</v>
      </c>
      <c r="Q2491" t="str">
        <f>_xlfn.XLOOKUP(Pipeline_tbl[[#This Row],[Rep_ID]],Dim_Reps!A:A,Dim_Reps!D:D)</f>
        <v>Inside Sales</v>
      </c>
      <c r="R2491" t="str">
        <f>_xlfn.XLOOKUP(Pipeline_tbl[[#This Row],[Rep_ID]],Dim_Reps!A:A,Dim_Reps!E:E)</f>
        <v>NAMER</v>
      </c>
      <c r="S2491" t="str">
        <f>_xlfn.XLOOKUP(Pipeline_tbl[[#This Row],[Created_Date]],Dim_Date!A:A,Dim_Date!H:H)</f>
        <v>May 2024</v>
      </c>
      <c r="T2491" t="str">
        <f>IF(Pipeline_tbl[[#This Row],[Closed_Date]]=0,"",(_xlfn.XLOOKUP(Pipeline_tbl[[#This Row],[Closed_Date]],Dim_Date!A:A,Dim_Date!H:H)))</f>
        <v>Jun 2024</v>
      </c>
      <c r="U2491">
        <f>IF(Pipeline_tbl[[#This Row],[Closed_Date]]=0,"",Pipeline_tbl[[#This Row],[Closed_Date]]-Pipeline_tbl[[#This Row],[Created_Date]])</f>
        <v>20</v>
      </c>
    </row>
    <row r="2492" spans="1:21" ht="15" customHeight="1" x14ac:dyDescent="0.2">
      <c r="A2492" t="s">
        <v>2798</v>
      </c>
      <c r="B2492" t="s">
        <v>225</v>
      </c>
      <c r="C2492" t="s">
        <v>53</v>
      </c>
      <c r="D2492" s="49">
        <v>45432</v>
      </c>
      <c r="E2492" s="49">
        <v>45434</v>
      </c>
      <c r="F2492" s="49">
        <v>45439</v>
      </c>
      <c r="G2492" s="49">
        <v>45445</v>
      </c>
      <c r="H2492" s="49">
        <v>45451</v>
      </c>
      <c r="I2492" s="49">
        <v>45454</v>
      </c>
      <c r="J2492" t="s">
        <v>47</v>
      </c>
      <c r="K2492" s="33">
        <v>3100</v>
      </c>
      <c r="M2492" t="str">
        <f>_xlfn.XLOOKUP(Pipeline_tbl[[#This Row],[Rep_ID]],Dim_Reps!A:A,Dim_Reps!K:K)</f>
        <v>USD</v>
      </c>
      <c r="N2492" s="33">
        <f>(_xlfn.XLOOKUP(Pipeline_tbl[[#This Row],[Rate_Code_Generalized]],Lookups!A:A,Lookups!B:B))*Pipeline_tbl[[#This Row],[Pipeline_Amount_USD]]</f>
        <v>3609.3299999999995</v>
      </c>
      <c r="O2492" t="str">
        <f>_xlfn.XLOOKUP(Pipeline_tbl[[#This Row],[Rep_ID]],Dim_Reps!A:A,Dim_Reps!B:B)</f>
        <v>Alex Muller</v>
      </c>
      <c r="P2492" t="str">
        <f>_xlfn.XLOOKUP(Pipeline_tbl[[#This Row],[Rep_ID]],Dim_Reps!A:A,Dim_Reps!C:C)</f>
        <v>SDR / Inside Sales Rep</v>
      </c>
      <c r="Q2492" t="str">
        <f>_xlfn.XLOOKUP(Pipeline_tbl[[#This Row],[Rep_ID]],Dim_Reps!A:A,Dim_Reps!D:D)</f>
        <v>Inside Sales</v>
      </c>
      <c r="R2492" t="str">
        <f>_xlfn.XLOOKUP(Pipeline_tbl[[#This Row],[Rep_ID]],Dim_Reps!A:A,Dim_Reps!E:E)</f>
        <v>NAMER</v>
      </c>
      <c r="S2492" t="str">
        <f>_xlfn.XLOOKUP(Pipeline_tbl[[#This Row],[Created_Date]],Dim_Date!A:A,Dim_Date!H:H)</f>
        <v>May 2024</v>
      </c>
      <c r="T2492" t="str">
        <f>IF(Pipeline_tbl[[#This Row],[Closed_Date]]=0,"",(_xlfn.XLOOKUP(Pipeline_tbl[[#This Row],[Closed_Date]],Dim_Date!A:A,Dim_Date!H:H)))</f>
        <v>Jun 2024</v>
      </c>
      <c r="U2492">
        <f>IF(Pipeline_tbl[[#This Row],[Closed_Date]]=0,"",Pipeline_tbl[[#This Row],[Closed_Date]]-Pipeline_tbl[[#This Row],[Created_Date]])</f>
        <v>22</v>
      </c>
    </row>
    <row r="2493" spans="1:21" ht="15" customHeight="1" x14ac:dyDescent="0.2">
      <c r="A2493" t="s">
        <v>2799</v>
      </c>
      <c r="B2493" t="s">
        <v>225</v>
      </c>
      <c r="C2493" t="s">
        <v>53</v>
      </c>
      <c r="D2493" s="49">
        <v>45443</v>
      </c>
      <c r="E2493" s="49">
        <v>45444</v>
      </c>
      <c r="F2493" s="49">
        <v>45446</v>
      </c>
      <c r="G2493" s="49">
        <v>45449</v>
      </c>
      <c r="H2493" s="49">
        <v>45451</v>
      </c>
      <c r="I2493" s="49">
        <v>45453</v>
      </c>
      <c r="J2493" t="s">
        <v>49</v>
      </c>
      <c r="K2493" s="33">
        <v>3500</v>
      </c>
      <c r="L2493" t="s">
        <v>62</v>
      </c>
      <c r="M2493" t="str">
        <f>_xlfn.XLOOKUP(Pipeline_tbl[[#This Row],[Rep_ID]],Dim_Reps!A:A,Dim_Reps!K:K)</f>
        <v>USD</v>
      </c>
      <c r="N2493" s="33">
        <f>(_xlfn.XLOOKUP(Pipeline_tbl[[#This Row],[Rate_Code_Generalized]],Lookups!A:A,Lookups!B:B))*Pipeline_tbl[[#This Row],[Pipeline_Amount_USD]]</f>
        <v>4075.0499999999997</v>
      </c>
      <c r="O2493" t="str">
        <f>_xlfn.XLOOKUP(Pipeline_tbl[[#This Row],[Rep_ID]],Dim_Reps!A:A,Dim_Reps!B:B)</f>
        <v>Alex Muller</v>
      </c>
      <c r="P2493" t="str">
        <f>_xlfn.XLOOKUP(Pipeline_tbl[[#This Row],[Rep_ID]],Dim_Reps!A:A,Dim_Reps!C:C)</f>
        <v>SDR / Inside Sales Rep</v>
      </c>
      <c r="Q2493" t="str">
        <f>_xlfn.XLOOKUP(Pipeline_tbl[[#This Row],[Rep_ID]],Dim_Reps!A:A,Dim_Reps!D:D)</f>
        <v>Inside Sales</v>
      </c>
      <c r="R2493" t="str">
        <f>_xlfn.XLOOKUP(Pipeline_tbl[[#This Row],[Rep_ID]],Dim_Reps!A:A,Dim_Reps!E:E)</f>
        <v>NAMER</v>
      </c>
      <c r="S2493" t="str">
        <f>_xlfn.XLOOKUP(Pipeline_tbl[[#This Row],[Created_Date]],Dim_Date!A:A,Dim_Date!H:H)</f>
        <v>May 2024</v>
      </c>
      <c r="T2493" t="str">
        <f>IF(Pipeline_tbl[[#This Row],[Closed_Date]]=0,"",(_xlfn.XLOOKUP(Pipeline_tbl[[#This Row],[Closed_Date]],Dim_Date!A:A,Dim_Date!H:H)))</f>
        <v>Jun 2024</v>
      </c>
      <c r="U2493">
        <f>IF(Pipeline_tbl[[#This Row],[Closed_Date]]=0,"",Pipeline_tbl[[#This Row],[Closed_Date]]-Pipeline_tbl[[#This Row],[Created_Date]])</f>
        <v>10</v>
      </c>
    </row>
    <row r="2494" spans="1:21" ht="15" customHeight="1" x14ac:dyDescent="0.2">
      <c r="A2494" t="s">
        <v>2800</v>
      </c>
      <c r="B2494" t="s">
        <v>225</v>
      </c>
      <c r="C2494" t="s">
        <v>52</v>
      </c>
      <c r="D2494" s="49">
        <v>45432</v>
      </c>
      <c r="E2494" s="49">
        <v>45434</v>
      </c>
      <c r="F2494" s="49">
        <v>45439</v>
      </c>
      <c r="G2494" s="49">
        <v>45445</v>
      </c>
      <c r="H2494" s="49">
        <v>45451</v>
      </c>
      <c r="I2494" s="49">
        <v>45454</v>
      </c>
      <c r="J2494" t="s">
        <v>47</v>
      </c>
      <c r="K2494" s="33">
        <v>3900</v>
      </c>
      <c r="M2494" t="str">
        <f>_xlfn.XLOOKUP(Pipeline_tbl[[#This Row],[Rep_ID]],Dim_Reps!A:A,Dim_Reps!K:K)</f>
        <v>USD</v>
      </c>
      <c r="N2494" s="33">
        <f>(_xlfn.XLOOKUP(Pipeline_tbl[[#This Row],[Rate_Code_Generalized]],Lookups!A:A,Lookups!B:B))*Pipeline_tbl[[#This Row],[Pipeline_Amount_USD]]</f>
        <v>4540.7699999999995</v>
      </c>
      <c r="O2494" t="str">
        <f>_xlfn.XLOOKUP(Pipeline_tbl[[#This Row],[Rep_ID]],Dim_Reps!A:A,Dim_Reps!B:B)</f>
        <v>Alex Muller</v>
      </c>
      <c r="P2494" t="str">
        <f>_xlfn.XLOOKUP(Pipeline_tbl[[#This Row],[Rep_ID]],Dim_Reps!A:A,Dim_Reps!C:C)</f>
        <v>SDR / Inside Sales Rep</v>
      </c>
      <c r="Q2494" t="str">
        <f>_xlfn.XLOOKUP(Pipeline_tbl[[#This Row],[Rep_ID]],Dim_Reps!A:A,Dim_Reps!D:D)</f>
        <v>Inside Sales</v>
      </c>
      <c r="R2494" t="str">
        <f>_xlfn.XLOOKUP(Pipeline_tbl[[#This Row],[Rep_ID]],Dim_Reps!A:A,Dim_Reps!E:E)</f>
        <v>NAMER</v>
      </c>
      <c r="S2494" t="str">
        <f>_xlfn.XLOOKUP(Pipeline_tbl[[#This Row],[Created_Date]],Dim_Date!A:A,Dim_Date!H:H)</f>
        <v>May 2024</v>
      </c>
      <c r="T2494" t="str">
        <f>IF(Pipeline_tbl[[#This Row],[Closed_Date]]=0,"",(_xlfn.XLOOKUP(Pipeline_tbl[[#This Row],[Closed_Date]],Dim_Date!A:A,Dim_Date!H:H)))</f>
        <v>Jun 2024</v>
      </c>
      <c r="U2494">
        <f>IF(Pipeline_tbl[[#This Row],[Closed_Date]]=0,"",Pipeline_tbl[[#This Row],[Closed_Date]]-Pipeline_tbl[[#This Row],[Created_Date]])</f>
        <v>22</v>
      </c>
    </row>
    <row r="2495" spans="1:21" ht="15" customHeight="1" x14ac:dyDescent="0.2">
      <c r="A2495" t="s">
        <v>2801</v>
      </c>
      <c r="B2495" t="s">
        <v>225</v>
      </c>
      <c r="C2495" t="s">
        <v>53</v>
      </c>
      <c r="D2495" s="49">
        <v>45437</v>
      </c>
      <c r="E2495" s="49">
        <v>45439</v>
      </c>
      <c r="F2495" s="49">
        <v>45442</v>
      </c>
      <c r="G2495" s="49">
        <v>45447</v>
      </c>
      <c r="H2495" s="49">
        <v>45451</v>
      </c>
      <c r="I2495" s="49">
        <v>45453</v>
      </c>
      <c r="J2495" t="s">
        <v>49</v>
      </c>
      <c r="K2495" s="33">
        <v>1300</v>
      </c>
      <c r="L2495" t="s">
        <v>60</v>
      </c>
      <c r="M2495" t="str">
        <f>_xlfn.XLOOKUP(Pipeline_tbl[[#This Row],[Rep_ID]],Dim_Reps!A:A,Dim_Reps!K:K)</f>
        <v>USD</v>
      </c>
      <c r="N2495" s="33">
        <f>(_xlfn.XLOOKUP(Pipeline_tbl[[#This Row],[Rate_Code_Generalized]],Lookups!A:A,Lookups!B:B))*Pipeline_tbl[[#This Row],[Pipeline_Amount_USD]]</f>
        <v>1513.59</v>
      </c>
      <c r="O2495" t="str">
        <f>_xlfn.XLOOKUP(Pipeline_tbl[[#This Row],[Rep_ID]],Dim_Reps!A:A,Dim_Reps!B:B)</f>
        <v>Alex Muller</v>
      </c>
      <c r="P2495" t="str">
        <f>_xlfn.XLOOKUP(Pipeline_tbl[[#This Row],[Rep_ID]],Dim_Reps!A:A,Dim_Reps!C:C)</f>
        <v>SDR / Inside Sales Rep</v>
      </c>
      <c r="Q2495" t="str">
        <f>_xlfn.XLOOKUP(Pipeline_tbl[[#This Row],[Rep_ID]],Dim_Reps!A:A,Dim_Reps!D:D)</f>
        <v>Inside Sales</v>
      </c>
      <c r="R2495" t="str">
        <f>_xlfn.XLOOKUP(Pipeline_tbl[[#This Row],[Rep_ID]],Dim_Reps!A:A,Dim_Reps!E:E)</f>
        <v>NAMER</v>
      </c>
      <c r="S2495" t="str">
        <f>_xlfn.XLOOKUP(Pipeline_tbl[[#This Row],[Created_Date]],Dim_Date!A:A,Dim_Date!H:H)</f>
        <v>May 2024</v>
      </c>
      <c r="T2495" t="str">
        <f>IF(Pipeline_tbl[[#This Row],[Closed_Date]]=0,"",(_xlfn.XLOOKUP(Pipeline_tbl[[#This Row],[Closed_Date]],Dim_Date!A:A,Dim_Date!H:H)))</f>
        <v>Jun 2024</v>
      </c>
      <c r="U2495">
        <f>IF(Pipeline_tbl[[#This Row],[Closed_Date]]=0,"",Pipeline_tbl[[#This Row],[Closed_Date]]-Pipeline_tbl[[#This Row],[Created_Date]])</f>
        <v>16</v>
      </c>
    </row>
    <row r="2496" spans="1:21" ht="15" customHeight="1" x14ac:dyDescent="0.2">
      <c r="A2496" t="s">
        <v>2802</v>
      </c>
      <c r="B2496" t="s">
        <v>225</v>
      </c>
      <c r="C2496" t="s">
        <v>52</v>
      </c>
      <c r="D2496" s="49">
        <v>45433</v>
      </c>
      <c r="E2496" s="49">
        <v>45434</v>
      </c>
      <c r="F2496" s="49">
        <v>45437</v>
      </c>
      <c r="G2496" s="49">
        <v>45440</v>
      </c>
      <c r="I2496" s="49">
        <v>45445</v>
      </c>
      <c r="J2496" t="s">
        <v>49</v>
      </c>
      <c r="K2496" s="33">
        <v>3400</v>
      </c>
      <c r="L2496" t="s">
        <v>61</v>
      </c>
      <c r="M2496" t="str">
        <f>_xlfn.XLOOKUP(Pipeline_tbl[[#This Row],[Rep_ID]],Dim_Reps!A:A,Dim_Reps!K:K)</f>
        <v>USD</v>
      </c>
      <c r="N2496" s="33">
        <f>(_xlfn.XLOOKUP(Pipeline_tbl[[#This Row],[Rate_Code_Generalized]],Lookups!A:A,Lookups!B:B))*Pipeline_tbl[[#This Row],[Pipeline_Amount_USD]]</f>
        <v>3958.6199999999994</v>
      </c>
      <c r="O2496" t="str">
        <f>_xlfn.XLOOKUP(Pipeline_tbl[[#This Row],[Rep_ID]],Dim_Reps!A:A,Dim_Reps!B:B)</f>
        <v>Alex Muller</v>
      </c>
      <c r="P2496" t="str">
        <f>_xlfn.XLOOKUP(Pipeline_tbl[[#This Row],[Rep_ID]],Dim_Reps!A:A,Dim_Reps!C:C)</f>
        <v>SDR / Inside Sales Rep</v>
      </c>
      <c r="Q2496" t="str">
        <f>_xlfn.XLOOKUP(Pipeline_tbl[[#This Row],[Rep_ID]],Dim_Reps!A:A,Dim_Reps!D:D)</f>
        <v>Inside Sales</v>
      </c>
      <c r="R2496" t="str">
        <f>_xlfn.XLOOKUP(Pipeline_tbl[[#This Row],[Rep_ID]],Dim_Reps!A:A,Dim_Reps!E:E)</f>
        <v>NAMER</v>
      </c>
      <c r="S2496" t="str">
        <f>_xlfn.XLOOKUP(Pipeline_tbl[[#This Row],[Created_Date]],Dim_Date!A:A,Dim_Date!H:H)</f>
        <v>May 2024</v>
      </c>
      <c r="T2496" t="str">
        <f>IF(Pipeline_tbl[[#This Row],[Closed_Date]]=0,"",(_xlfn.XLOOKUP(Pipeline_tbl[[#This Row],[Closed_Date]],Dim_Date!A:A,Dim_Date!H:H)))</f>
        <v>Jun 2024</v>
      </c>
      <c r="U2496">
        <f>IF(Pipeline_tbl[[#This Row],[Closed_Date]]=0,"",Pipeline_tbl[[#This Row],[Closed_Date]]-Pipeline_tbl[[#This Row],[Created_Date]])</f>
        <v>12</v>
      </c>
    </row>
    <row r="2497" spans="1:21" ht="15" customHeight="1" x14ac:dyDescent="0.2">
      <c r="A2497" t="s">
        <v>2803</v>
      </c>
      <c r="B2497" t="s">
        <v>225</v>
      </c>
      <c r="C2497" t="s">
        <v>52</v>
      </c>
      <c r="D2497" s="49">
        <v>45438</v>
      </c>
      <c r="E2497" s="49">
        <v>45441</v>
      </c>
      <c r="F2497" s="49">
        <v>45446</v>
      </c>
      <c r="I2497" s="49">
        <v>45464</v>
      </c>
      <c r="J2497" t="s">
        <v>49</v>
      </c>
      <c r="K2497" s="33">
        <v>6600</v>
      </c>
      <c r="L2497" t="s">
        <v>60</v>
      </c>
      <c r="M2497" t="str">
        <f>_xlfn.XLOOKUP(Pipeline_tbl[[#This Row],[Rep_ID]],Dim_Reps!A:A,Dim_Reps!K:K)</f>
        <v>USD</v>
      </c>
      <c r="N2497" s="33">
        <f>(_xlfn.XLOOKUP(Pipeline_tbl[[#This Row],[Rate_Code_Generalized]],Lookups!A:A,Lookups!B:B))*Pipeline_tbl[[#This Row],[Pipeline_Amount_USD]]</f>
        <v>7684.3799999999992</v>
      </c>
      <c r="O2497" t="str">
        <f>_xlfn.XLOOKUP(Pipeline_tbl[[#This Row],[Rep_ID]],Dim_Reps!A:A,Dim_Reps!B:B)</f>
        <v>Alex Muller</v>
      </c>
      <c r="P2497" t="str">
        <f>_xlfn.XLOOKUP(Pipeline_tbl[[#This Row],[Rep_ID]],Dim_Reps!A:A,Dim_Reps!C:C)</f>
        <v>SDR / Inside Sales Rep</v>
      </c>
      <c r="Q2497" t="str">
        <f>_xlfn.XLOOKUP(Pipeline_tbl[[#This Row],[Rep_ID]],Dim_Reps!A:A,Dim_Reps!D:D)</f>
        <v>Inside Sales</v>
      </c>
      <c r="R2497" t="str">
        <f>_xlfn.XLOOKUP(Pipeline_tbl[[#This Row],[Rep_ID]],Dim_Reps!A:A,Dim_Reps!E:E)</f>
        <v>NAMER</v>
      </c>
      <c r="S2497" t="str">
        <f>_xlfn.XLOOKUP(Pipeline_tbl[[#This Row],[Created_Date]],Dim_Date!A:A,Dim_Date!H:H)</f>
        <v>May 2024</v>
      </c>
      <c r="T2497" t="str">
        <f>IF(Pipeline_tbl[[#This Row],[Closed_Date]]=0,"",(_xlfn.XLOOKUP(Pipeline_tbl[[#This Row],[Closed_Date]],Dim_Date!A:A,Dim_Date!H:H)))</f>
        <v>Jun 2024</v>
      </c>
      <c r="U2497">
        <f>IF(Pipeline_tbl[[#This Row],[Closed_Date]]=0,"",Pipeline_tbl[[#This Row],[Closed_Date]]-Pipeline_tbl[[#This Row],[Created_Date]])</f>
        <v>26</v>
      </c>
    </row>
    <row r="2498" spans="1:21" ht="15" customHeight="1" x14ac:dyDescent="0.2">
      <c r="A2498" t="s">
        <v>2804</v>
      </c>
      <c r="B2498" t="s">
        <v>225</v>
      </c>
      <c r="C2498" t="s">
        <v>53</v>
      </c>
      <c r="D2498" s="49">
        <v>45428</v>
      </c>
      <c r="E2498" s="49">
        <v>45430</v>
      </c>
      <c r="F2498" s="49">
        <v>45434</v>
      </c>
      <c r="G2498" s="49">
        <v>45439</v>
      </c>
      <c r="H2498" s="49">
        <v>45444</v>
      </c>
      <c r="I2498" s="49">
        <v>45447</v>
      </c>
      <c r="J2498" t="s">
        <v>47</v>
      </c>
      <c r="K2498" s="33">
        <v>3800</v>
      </c>
      <c r="M2498" t="str">
        <f>_xlfn.XLOOKUP(Pipeline_tbl[[#This Row],[Rep_ID]],Dim_Reps!A:A,Dim_Reps!K:K)</f>
        <v>USD</v>
      </c>
      <c r="N2498" s="33">
        <f>(_xlfn.XLOOKUP(Pipeline_tbl[[#This Row],[Rate_Code_Generalized]],Lookups!A:A,Lookups!B:B))*Pipeline_tbl[[#This Row],[Pipeline_Amount_USD]]</f>
        <v>4424.3399999999992</v>
      </c>
      <c r="O2498" t="str">
        <f>_xlfn.XLOOKUP(Pipeline_tbl[[#This Row],[Rep_ID]],Dim_Reps!A:A,Dim_Reps!B:B)</f>
        <v>Alex Muller</v>
      </c>
      <c r="P2498" t="str">
        <f>_xlfn.XLOOKUP(Pipeline_tbl[[#This Row],[Rep_ID]],Dim_Reps!A:A,Dim_Reps!C:C)</f>
        <v>SDR / Inside Sales Rep</v>
      </c>
      <c r="Q2498" t="str">
        <f>_xlfn.XLOOKUP(Pipeline_tbl[[#This Row],[Rep_ID]],Dim_Reps!A:A,Dim_Reps!D:D)</f>
        <v>Inside Sales</v>
      </c>
      <c r="R2498" t="str">
        <f>_xlfn.XLOOKUP(Pipeline_tbl[[#This Row],[Rep_ID]],Dim_Reps!A:A,Dim_Reps!E:E)</f>
        <v>NAMER</v>
      </c>
      <c r="S2498" t="str">
        <f>_xlfn.XLOOKUP(Pipeline_tbl[[#This Row],[Created_Date]],Dim_Date!A:A,Dim_Date!H:H)</f>
        <v>May 2024</v>
      </c>
      <c r="T2498" t="str">
        <f>IF(Pipeline_tbl[[#This Row],[Closed_Date]]=0,"",(_xlfn.XLOOKUP(Pipeline_tbl[[#This Row],[Closed_Date]],Dim_Date!A:A,Dim_Date!H:H)))</f>
        <v>Jun 2024</v>
      </c>
      <c r="U2498">
        <f>IF(Pipeline_tbl[[#This Row],[Closed_Date]]=0,"",Pipeline_tbl[[#This Row],[Closed_Date]]-Pipeline_tbl[[#This Row],[Created_Date]])</f>
        <v>19</v>
      </c>
    </row>
    <row r="2499" spans="1:21" ht="15" customHeight="1" x14ac:dyDescent="0.2">
      <c r="A2499" t="s">
        <v>2805</v>
      </c>
      <c r="B2499" t="s">
        <v>225</v>
      </c>
      <c r="C2499" t="s">
        <v>56</v>
      </c>
      <c r="D2499" s="49">
        <v>45420</v>
      </c>
      <c r="E2499" s="49">
        <v>45423</v>
      </c>
      <c r="I2499" s="49">
        <v>45447</v>
      </c>
      <c r="J2499" t="s">
        <v>49</v>
      </c>
      <c r="K2499" s="33">
        <v>2300</v>
      </c>
      <c r="L2499" t="s">
        <v>61</v>
      </c>
      <c r="M2499" t="str">
        <f>_xlfn.XLOOKUP(Pipeline_tbl[[#This Row],[Rep_ID]],Dim_Reps!A:A,Dim_Reps!K:K)</f>
        <v>USD</v>
      </c>
      <c r="N2499" s="33">
        <f>(_xlfn.XLOOKUP(Pipeline_tbl[[#This Row],[Rate_Code_Generalized]],Lookups!A:A,Lookups!B:B))*Pipeline_tbl[[#This Row],[Pipeline_Amount_USD]]</f>
        <v>2677.89</v>
      </c>
      <c r="O2499" t="str">
        <f>_xlfn.XLOOKUP(Pipeline_tbl[[#This Row],[Rep_ID]],Dim_Reps!A:A,Dim_Reps!B:B)</f>
        <v>Alex Muller</v>
      </c>
      <c r="P2499" t="str">
        <f>_xlfn.XLOOKUP(Pipeline_tbl[[#This Row],[Rep_ID]],Dim_Reps!A:A,Dim_Reps!C:C)</f>
        <v>SDR / Inside Sales Rep</v>
      </c>
      <c r="Q2499" t="str">
        <f>_xlfn.XLOOKUP(Pipeline_tbl[[#This Row],[Rep_ID]],Dim_Reps!A:A,Dim_Reps!D:D)</f>
        <v>Inside Sales</v>
      </c>
      <c r="R2499" t="str">
        <f>_xlfn.XLOOKUP(Pipeline_tbl[[#This Row],[Rep_ID]],Dim_Reps!A:A,Dim_Reps!E:E)</f>
        <v>NAMER</v>
      </c>
      <c r="S2499" t="str">
        <f>_xlfn.XLOOKUP(Pipeline_tbl[[#This Row],[Created_Date]],Dim_Date!A:A,Dim_Date!H:H)</f>
        <v>May 2024</v>
      </c>
      <c r="T2499" t="str">
        <f>IF(Pipeline_tbl[[#This Row],[Closed_Date]]=0,"",(_xlfn.XLOOKUP(Pipeline_tbl[[#This Row],[Closed_Date]],Dim_Date!A:A,Dim_Date!H:H)))</f>
        <v>Jun 2024</v>
      </c>
      <c r="U2499">
        <f>IF(Pipeline_tbl[[#This Row],[Closed_Date]]=0,"",Pipeline_tbl[[#This Row],[Closed_Date]]-Pipeline_tbl[[#This Row],[Created_Date]])</f>
        <v>27</v>
      </c>
    </row>
    <row r="2500" spans="1:21" ht="15" customHeight="1" x14ac:dyDescent="0.2">
      <c r="A2500" t="s">
        <v>2806</v>
      </c>
      <c r="B2500" t="s">
        <v>225</v>
      </c>
      <c r="C2500" t="s">
        <v>54</v>
      </c>
      <c r="D2500" s="49">
        <v>45424</v>
      </c>
      <c r="E2500" s="49">
        <v>45426</v>
      </c>
      <c r="F2500" s="49">
        <v>45431</v>
      </c>
      <c r="G2500" s="49">
        <v>45437</v>
      </c>
      <c r="H2500" s="49">
        <v>45443</v>
      </c>
      <c r="I2500" s="49">
        <v>45446</v>
      </c>
      <c r="J2500" t="s">
        <v>47</v>
      </c>
      <c r="K2500" s="33">
        <v>4500</v>
      </c>
      <c r="M2500" t="str">
        <f>_xlfn.XLOOKUP(Pipeline_tbl[[#This Row],[Rep_ID]],Dim_Reps!A:A,Dim_Reps!K:K)</f>
        <v>USD</v>
      </c>
      <c r="N2500" s="33">
        <f>(_xlfn.XLOOKUP(Pipeline_tbl[[#This Row],[Rate_Code_Generalized]],Lookups!A:A,Lookups!B:B))*Pipeline_tbl[[#This Row],[Pipeline_Amount_USD]]</f>
        <v>5239.3499999999995</v>
      </c>
      <c r="O2500" t="str">
        <f>_xlfn.XLOOKUP(Pipeline_tbl[[#This Row],[Rep_ID]],Dim_Reps!A:A,Dim_Reps!B:B)</f>
        <v>Alex Muller</v>
      </c>
      <c r="P2500" t="str">
        <f>_xlfn.XLOOKUP(Pipeline_tbl[[#This Row],[Rep_ID]],Dim_Reps!A:A,Dim_Reps!C:C)</f>
        <v>SDR / Inside Sales Rep</v>
      </c>
      <c r="Q2500" t="str">
        <f>_xlfn.XLOOKUP(Pipeline_tbl[[#This Row],[Rep_ID]],Dim_Reps!A:A,Dim_Reps!D:D)</f>
        <v>Inside Sales</v>
      </c>
      <c r="R2500" t="str">
        <f>_xlfn.XLOOKUP(Pipeline_tbl[[#This Row],[Rep_ID]],Dim_Reps!A:A,Dim_Reps!E:E)</f>
        <v>NAMER</v>
      </c>
      <c r="S2500" t="str">
        <f>_xlfn.XLOOKUP(Pipeline_tbl[[#This Row],[Created_Date]],Dim_Date!A:A,Dim_Date!H:H)</f>
        <v>May 2024</v>
      </c>
      <c r="T2500" t="str">
        <f>IF(Pipeline_tbl[[#This Row],[Closed_Date]]=0,"",(_xlfn.XLOOKUP(Pipeline_tbl[[#This Row],[Closed_Date]],Dim_Date!A:A,Dim_Date!H:H)))</f>
        <v>Jun 2024</v>
      </c>
      <c r="U2500">
        <f>IF(Pipeline_tbl[[#This Row],[Closed_Date]]=0,"",Pipeline_tbl[[#This Row],[Closed_Date]]-Pipeline_tbl[[#This Row],[Created_Date]])</f>
        <v>22</v>
      </c>
    </row>
    <row r="2501" spans="1:21" ht="15" customHeight="1" x14ac:dyDescent="0.2">
      <c r="A2501" t="s">
        <v>2807</v>
      </c>
      <c r="B2501" t="s">
        <v>227</v>
      </c>
      <c r="C2501" t="s">
        <v>53</v>
      </c>
      <c r="D2501" s="49">
        <v>45425</v>
      </c>
      <c r="E2501" s="49">
        <v>45428</v>
      </c>
      <c r="F2501" s="49">
        <v>45433</v>
      </c>
      <c r="G2501" s="49">
        <v>45441</v>
      </c>
      <c r="H2501" s="49">
        <v>45448</v>
      </c>
      <c r="I2501" s="49">
        <v>45452</v>
      </c>
      <c r="J2501" t="s">
        <v>49</v>
      </c>
      <c r="K2501" s="33">
        <v>3500</v>
      </c>
      <c r="L2501" t="s">
        <v>61</v>
      </c>
      <c r="M2501" t="str">
        <f>_xlfn.XLOOKUP(Pipeline_tbl[[#This Row],[Rep_ID]],Dim_Reps!A:A,Dim_Reps!K:K)</f>
        <v>EUR</v>
      </c>
      <c r="N2501" s="33">
        <f>(_xlfn.XLOOKUP(Pipeline_tbl[[#This Row],[Rate_Code_Generalized]],Lookups!A:A,Lookups!B:B))*Pipeline_tbl[[#This Row],[Pipeline_Amount_USD]]</f>
        <v>3500</v>
      </c>
      <c r="O2501" t="str">
        <f>_xlfn.XLOOKUP(Pipeline_tbl[[#This Row],[Rep_ID]],Dim_Reps!A:A,Dim_Reps!B:B)</f>
        <v>Liam Muller</v>
      </c>
      <c r="P2501" t="str">
        <f>_xlfn.XLOOKUP(Pipeline_tbl[[#This Row],[Rep_ID]],Dim_Reps!A:A,Dim_Reps!C:C)</f>
        <v>SDR / Inside Sales Rep</v>
      </c>
      <c r="Q2501" t="str">
        <f>_xlfn.XLOOKUP(Pipeline_tbl[[#This Row],[Rep_ID]],Dim_Reps!A:A,Dim_Reps!D:D)</f>
        <v>Inside Sales</v>
      </c>
      <c r="R2501" t="str">
        <f>_xlfn.XLOOKUP(Pipeline_tbl[[#This Row],[Rep_ID]],Dim_Reps!A:A,Dim_Reps!E:E)</f>
        <v>EMEA</v>
      </c>
      <c r="S2501" t="str">
        <f>_xlfn.XLOOKUP(Pipeline_tbl[[#This Row],[Created_Date]],Dim_Date!A:A,Dim_Date!H:H)</f>
        <v>May 2024</v>
      </c>
      <c r="T2501" t="str">
        <f>IF(Pipeline_tbl[[#This Row],[Closed_Date]]=0,"",(_xlfn.XLOOKUP(Pipeline_tbl[[#This Row],[Closed_Date]],Dim_Date!A:A,Dim_Date!H:H)))</f>
        <v>Jun 2024</v>
      </c>
      <c r="U2501">
        <f>IF(Pipeline_tbl[[#This Row],[Closed_Date]]=0,"",Pipeline_tbl[[#This Row],[Closed_Date]]-Pipeline_tbl[[#This Row],[Created_Date]])</f>
        <v>27</v>
      </c>
    </row>
    <row r="2502" spans="1:21" ht="15" customHeight="1" x14ac:dyDescent="0.2">
      <c r="A2502" t="s">
        <v>2808</v>
      </c>
      <c r="B2502" t="s">
        <v>227</v>
      </c>
      <c r="C2502" t="s">
        <v>54</v>
      </c>
      <c r="D2502" s="49">
        <v>45437</v>
      </c>
      <c r="E2502" s="49">
        <v>45438</v>
      </c>
      <c r="F2502" s="49">
        <v>45440</v>
      </c>
      <c r="I2502" s="49">
        <v>45447</v>
      </c>
      <c r="J2502" t="s">
        <v>49</v>
      </c>
      <c r="K2502" s="33">
        <v>6800</v>
      </c>
      <c r="L2502" t="s">
        <v>62</v>
      </c>
      <c r="M2502" t="str">
        <f>_xlfn.XLOOKUP(Pipeline_tbl[[#This Row],[Rep_ID]],Dim_Reps!A:A,Dim_Reps!K:K)</f>
        <v>EUR</v>
      </c>
      <c r="N2502" s="33">
        <f>(_xlfn.XLOOKUP(Pipeline_tbl[[#This Row],[Rate_Code_Generalized]],Lookups!A:A,Lookups!B:B))*Pipeline_tbl[[#This Row],[Pipeline_Amount_USD]]</f>
        <v>6800</v>
      </c>
      <c r="O2502" t="str">
        <f>_xlfn.XLOOKUP(Pipeline_tbl[[#This Row],[Rep_ID]],Dim_Reps!A:A,Dim_Reps!B:B)</f>
        <v>Liam Muller</v>
      </c>
      <c r="P2502" t="str">
        <f>_xlfn.XLOOKUP(Pipeline_tbl[[#This Row],[Rep_ID]],Dim_Reps!A:A,Dim_Reps!C:C)</f>
        <v>SDR / Inside Sales Rep</v>
      </c>
      <c r="Q2502" t="str">
        <f>_xlfn.XLOOKUP(Pipeline_tbl[[#This Row],[Rep_ID]],Dim_Reps!A:A,Dim_Reps!D:D)</f>
        <v>Inside Sales</v>
      </c>
      <c r="R2502" t="str">
        <f>_xlfn.XLOOKUP(Pipeline_tbl[[#This Row],[Rep_ID]],Dim_Reps!A:A,Dim_Reps!E:E)</f>
        <v>EMEA</v>
      </c>
      <c r="S2502" t="str">
        <f>_xlfn.XLOOKUP(Pipeline_tbl[[#This Row],[Created_Date]],Dim_Date!A:A,Dim_Date!H:H)</f>
        <v>May 2024</v>
      </c>
      <c r="T2502" t="str">
        <f>IF(Pipeline_tbl[[#This Row],[Closed_Date]]=0,"",(_xlfn.XLOOKUP(Pipeline_tbl[[#This Row],[Closed_Date]],Dim_Date!A:A,Dim_Date!H:H)))</f>
        <v>Jun 2024</v>
      </c>
      <c r="U2502">
        <f>IF(Pipeline_tbl[[#This Row],[Closed_Date]]=0,"",Pipeline_tbl[[#This Row],[Closed_Date]]-Pipeline_tbl[[#This Row],[Created_Date]])</f>
        <v>10</v>
      </c>
    </row>
    <row r="2503" spans="1:21" ht="15" customHeight="1" x14ac:dyDescent="0.2">
      <c r="A2503" t="s">
        <v>2809</v>
      </c>
      <c r="B2503" t="s">
        <v>227</v>
      </c>
      <c r="C2503" t="s">
        <v>53</v>
      </c>
      <c r="D2503" s="49">
        <v>45434</v>
      </c>
      <c r="E2503" s="49">
        <v>45436</v>
      </c>
      <c r="I2503" s="49">
        <v>45451</v>
      </c>
      <c r="J2503" t="s">
        <v>49</v>
      </c>
      <c r="K2503" s="33">
        <v>5700</v>
      </c>
      <c r="L2503" t="s">
        <v>61</v>
      </c>
      <c r="M2503" t="str">
        <f>_xlfn.XLOOKUP(Pipeline_tbl[[#This Row],[Rep_ID]],Dim_Reps!A:A,Dim_Reps!K:K)</f>
        <v>EUR</v>
      </c>
      <c r="N2503" s="33">
        <f>(_xlfn.XLOOKUP(Pipeline_tbl[[#This Row],[Rate_Code_Generalized]],Lookups!A:A,Lookups!B:B))*Pipeline_tbl[[#This Row],[Pipeline_Amount_USD]]</f>
        <v>5700</v>
      </c>
      <c r="O2503" t="str">
        <f>_xlfn.XLOOKUP(Pipeline_tbl[[#This Row],[Rep_ID]],Dim_Reps!A:A,Dim_Reps!B:B)</f>
        <v>Liam Muller</v>
      </c>
      <c r="P2503" t="str">
        <f>_xlfn.XLOOKUP(Pipeline_tbl[[#This Row],[Rep_ID]],Dim_Reps!A:A,Dim_Reps!C:C)</f>
        <v>SDR / Inside Sales Rep</v>
      </c>
      <c r="Q2503" t="str">
        <f>_xlfn.XLOOKUP(Pipeline_tbl[[#This Row],[Rep_ID]],Dim_Reps!A:A,Dim_Reps!D:D)</f>
        <v>Inside Sales</v>
      </c>
      <c r="R2503" t="str">
        <f>_xlfn.XLOOKUP(Pipeline_tbl[[#This Row],[Rep_ID]],Dim_Reps!A:A,Dim_Reps!E:E)</f>
        <v>EMEA</v>
      </c>
      <c r="S2503" t="str">
        <f>_xlfn.XLOOKUP(Pipeline_tbl[[#This Row],[Created_Date]],Dim_Date!A:A,Dim_Date!H:H)</f>
        <v>May 2024</v>
      </c>
      <c r="T2503" t="str">
        <f>IF(Pipeline_tbl[[#This Row],[Closed_Date]]=0,"",(_xlfn.XLOOKUP(Pipeline_tbl[[#This Row],[Closed_Date]],Dim_Date!A:A,Dim_Date!H:H)))</f>
        <v>Jun 2024</v>
      </c>
      <c r="U2503">
        <f>IF(Pipeline_tbl[[#This Row],[Closed_Date]]=0,"",Pipeline_tbl[[#This Row],[Closed_Date]]-Pipeline_tbl[[#This Row],[Created_Date]])</f>
        <v>17</v>
      </c>
    </row>
    <row r="2504" spans="1:21" ht="15" customHeight="1" x14ac:dyDescent="0.2">
      <c r="A2504" t="s">
        <v>2810</v>
      </c>
      <c r="B2504" t="s">
        <v>227</v>
      </c>
      <c r="C2504" t="s">
        <v>56</v>
      </c>
      <c r="D2504" s="49">
        <v>45435</v>
      </c>
      <c r="E2504" s="49">
        <v>45437</v>
      </c>
      <c r="F2504" s="49">
        <v>45441</v>
      </c>
      <c r="G2504" s="49">
        <v>45447</v>
      </c>
      <c r="H2504" s="49">
        <v>45452</v>
      </c>
      <c r="I2504" s="49">
        <v>45455</v>
      </c>
      <c r="J2504" t="s">
        <v>49</v>
      </c>
      <c r="K2504" s="33">
        <v>2200</v>
      </c>
      <c r="L2504" t="s">
        <v>61</v>
      </c>
      <c r="M2504" t="str">
        <f>_xlfn.XLOOKUP(Pipeline_tbl[[#This Row],[Rep_ID]],Dim_Reps!A:A,Dim_Reps!K:K)</f>
        <v>EUR</v>
      </c>
      <c r="N2504" s="33">
        <f>(_xlfn.XLOOKUP(Pipeline_tbl[[#This Row],[Rate_Code_Generalized]],Lookups!A:A,Lookups!B:B))*Pipeline_tbl[[#This Row],[Pipeline_Amount_USD]]</f>
        <v>2200</v>
      </c>
      <c r="O2504" t="str">
        <f>_xlfn.XLOOKUP(Pipeline_tbl[[#This Row],[Rep_ID]],Dim_Reps!A:A,Dim_Reps!B:B)</f>
        <v>Liam Muller</v>
      </c>
      <c r="P2504" t="str">
        <f>_xlfn.XLOOKUP(Pipeline_tbl[[#This Row],[Rep_ID]],Dim_Reps!A:A,Dim_Reps!C:C)</f>
        <v>SDR / Inside Sales Rep</v>
      </c>
      <c r="Q2504" t="str">
        <f>_xlfn.XLOOKUP(Pipeline_tbl[[#This Row],[Rep_ID]],Dim_Reps!A:A,Dim_Reps!D:D)</f>
        <v>Inside Sales</v>
      </c>
      <c r="R2504" t="str">
        <f>_xlfn.XLOOKUP(Pipeline_tbl[[#This Row],[Rep_ID]],Dim_Reps!A:A,Dim_Reps!E:E)</f>
        <v>EMEA</v>
      </c>
      <c r="S2504" t="str">
        <f>_xlfn.XLOOKUP(Pipeline_tbl[[#This Row],[Created_Date]],Dim_Date!A:A,Dim_Date!H:H)</f>
        <v>May 2024</v>
      </c>
      <c r="T2504" t="str">
        <f>IF(Pipeline_tbl[[#This Row],[Closed_Date]]=0,"",(_xlfn.XLOOKUP(Pipeline_tbl[[#This Row],[Closed_Date]],Dim_Date!A:A,Dim_Date!H:H)))</f>
        <v>Jun 2024</v>
      </c>
      <c r="U2504">
        <f>IF(Pipeline_tbl[[#This Row],[Closed_Date]]=0,"",Pipeline_tbl[[#This Row],[Closed_Date]]-Pipeline_tbl[[#This Row],[Created_Date]])</f>
        <v>20</v>
      </c>
    </row>
    <row r="2505" spans="1:21" ht="15" customHeight="1" x14ac:dyDescent="0.2">
      <c r="A2505" t="s">
        <v>2811</v>
      </c>
      <c r="B2505" t="s">
        <v>227</v>
      </c>
      <c r="C2505" t="s">
        <v>55</v>
      </c>
      <c r="D2505" s="49">
        <v>45428</v>
      </c>
      <c r="E2505" s="49">
        <v>45430</v>
      </c>
      <c r="F2505" s="49">
        <v>45433</v>
      </c>
      <c r="I2505" s="49">
        <v>45445</v>
      </c>
      <c r="J2505" t="s">
        <v>49</v>
      </c>
      <c r="K2505" s="33">
        <v>2500</v>
      </c>
      <c r="L2505" t="s">
        <v>62</v>
      </c>
      <c r="M2505" t="str">
        <f>_xlfn.XLOOKUP(Pipeline_tbl[[#This Row],[Rep_ID]],Dim_Reps!A:A,Dim_Reps!K:K)</f>
        <v>EUR</v>
      </c>
      <c r="N2505" s="33">
        <f>(_xlfn.XLOOKUP(Pipeline_tbl[[#This Row],[Rate_Code_Generalized]],Lookups!A:A,Lookups!B:B))*Pipeline_tbl[[#This Row],[Pipeline_Amount_USD]]</f>
        <v>2500</v>
      </c>
      <c r="O2505" t="str">
        <f>_xlfn.XLOOKUP(Pipeline_tbl[[#This Row],[Rep_ID]],Dim_Reps!A:A,Dim_Reps!B:B)</f>
        <v>Liam Muller</v>
      </c>
      <c r="P2505" t="str">
        <f>_xlfn.XLOOKUP(Pipeline_tbl[[#This Row],[Rep_ID]],Dim_Reps!A:A,Dim_Reps!C:C)</f>
        <v>SDR / Inside Sales Rep</v>
      </c>
      <c r="Q2505" t="str">
        <f>_xlfn.XLOOKUP(Pipeline_tbl[[#This Row],[Rep_ID]],Dim_Reps!A:A,Dim_Reps!D:D)</f>
        <v>Inside Sales</v>
      </c>
      <c r="R2505" t="str">
        <f>_xlfn.XLOOKUP(Pipeline_tbl[[#This Row],[Rep_ID]],Dim_Reps!A:A,Dim_Reps!E:E)</f>
        <v>EMEA</v>
      </c>
      <c r="S2505" t="str">
        <f>_xlfn.XLOOKUP(Pipeline_tbl[[#This Row],[Created_Date]],Dim_Date!A:A,Dim_Date!H:H)</f>
        <v>May 2024</v>
      </c>
      <c r="T2505" t="str">
        <f>IF(Pipeline_tbl[[#This Row],[Closed_Date]]=0,"",(_xlfn.XLOOKUP(Pipeline_tbl[[#This Row],[Closed_Date]],Dim_Date!A:A,Dim_Date!H:H)))</f>
        <v>Jun 2024</v>
      </c>
      <c r="U2505">
        <f>IF(Pipeline_tbl[[#This Row],[Closed_Date]]=0,"",Pipeline_tbl[[#This Row],[Closed_Date]]-Pipeline_tbl[[#This Row],[Created_Date]])</f>
        <v>17</v>
      </c>
    </row>
    <row r="2506" spans="1:21" ht="15" customHeight="1" x14ac:dyDescent="0.2">
      <c r="A2506" t="s">
        <v>2812</v>
      </c>
      <c r="B2506" t="s">
        <v>227</v>
      </c>
      <c r="C2506" t="s">
        <v>52</v>
      </c>
      <c r="D2506" s="49">
        <v>45422</v>
      </c>
      <c r="E2506" s="49">
        <v>45424</v>
      </c>
      <c r="I2506" s="49">
        <v>45445</v>
      </c>
      <c r="J2506" t="s">
        <v>49</v>
      </c>
      <c r="K2506" s="33">
        <v>2300</v>
      </c>
      <c r="L2506" t="s">
        <v>64</v>
      </c>
      <c r="M2506" t="str">
        <f>_xlfn.XLOOKUP(Pipeline_tbl[[#This Row],[Rep_ID]],Dim_Reps!A:A,Dim_Reps!K:K)</f>
        <v>EUR</v>
      </c>
      <c r="N2506" s="33">
        <f>(_xlfn.XLOOKUP(Pipeline_tbl[[#This Row],[Rate_Code_Generalized]],Lookups!A:A,Lookups!B:B))*Pipeline_tbl[[#This Row],[Pipeline_Amount_USD]]</f>
        <v>2300</v>
      </c>
      <c r="O2506" t="str">
        <f>_xlfn.XLOOKUP(Pipeline_tbl[[#This Row],[Rep_ID]],Dim_Reps!A:A,Dim_Reps!B:B)</f>
        <v>Liam Muller</v>
      </c>
      <c r="P2506" t="str">
        <f>_xlfn.XLOOKUP(Pipeline_tbl[[#This Row],[Rep_ID]],Dim_Reps!A:A,Dim_Reps!C:C)</f>
        <v>SDR / Inside Sales Rep</v>
      </c>
      <c r="Q2506" t="str">
        <f>_xlfn.XLOOKUP(Pipeline_tbl[[#This Row],[Rep_ID]],Dim_Reps!A:A,Dim_Reps!D:D)</f>
        <v>Inside Sales</v>
      </c>
      <c r="R2506" t="str">
        <f>_xlfn.XLOOKUP(Pipeline_tbl[[#This Row],[Rep_ID]],Dim_Reps!A:A,Dim_Reps!E:E)</f>
        <v>EMEA</v>
      </c>
      <c r="S2506" t="str">
        <f>_xlfn.XLOOKUP(Pipeline_tbl[[#This Row],[Created_Date]],Dim_Date!A:A,Dim_Date!H:H)</f>
        <v>May 2024</v>
      </c>
      <c r="T2506" t="str">
        <f>IF(Pipeline_tbl[[#This Row],[Closed_Date]]=0,"",(_xlfn.XLOOKUP(Pipeline_tbl[[#This Row],[Closed_Date]],Dim_Date!A:A,Dim_Date!H:H)))</f>
        <v>Jun 2024</v>
      </c>
      <c r="U2506">
        <f>IF(Pipeline_tbl[[#This Row],[Closed_Date]]=0,"",Pipeline_tbl[[#This Row],[Closed_Date]]-Pipeline_tbl[[#This Row],[Created_Date]])</f>
        <v>23</v>
      </c>
    </row>
    <row r="2507" spans="1:21" ht="15" customHeight="1" x14ac:dyDescent="0.2">
      <c r="A2507" t="s">
        <v>2813</v>
      </c>
      <c r="B2507" t="s">
        <v>229</v>
      </c>
      <c r="C2507" t="s">
        <v>52</v>
      </c>
      <c r="D2507" s="49">
        <v>45432</v>
      </c>
      <c r="E2507" s="49">
        <v>45434</v>
      </c>
      <c r="F2507" s="49">
        <v>45437</v>
      </c>
      <c r="I2507" s="49">
        <v>45448</v>
      </c>
      <c r="J2507" t="s">
        <v>49</v>
      </c>
      <c r="K2507" s="33">
        <v>3500</v>
      </c>
      <c r="L2507" t="s">
        <v>60</v>
      </c>
      <c r="M2507" t="str">
        <f>_xlfn.XLOOKUP(Pipeline_tbl[[#This Row],[Rep_ID]],Dim_Reps!A:A,Dim_Reps!K:K)</f>
        <v>USD</v>
      </c>
      <c r="N2507" s="33">
        <f>(_xlfn.XLOOKUP(Pipeline_tbl[[#This Row],[Rate_Code_Generalized]],Lookups!A:A,Lookups!B:B))*Pipeline_tbl[[#This Row],[Pipeline_Amount_USD]]</f>
        <v>4075.0499999999997</v>
      </c>
      <c r="O2507" t="str">
        <f>_xlfn.XLOOKUP(Pipeline_tbl[[#This Row],[Rep_ID]],Dim_Reps!A:A,Dim_Reps!B:B)</f>
        <v>Liam Castro</v>
      </c>
      <c r="P2507" t="str">
        <f>_xlfn.XLOOKUP(Pipeline_tbl[[#This Row],[Rep_ID]],Dim_Reps!A:A,Dim_Reps!C:C)</f>
        <v>SDR / Inside Sales Rep</v>
      </c>
      <c r="Q2507" t="str">
        <f>_xlfn.XLOOKUP(Pipeline_tbl[[#This Row],[Rep_ID]],Dim_Reps!A:A,Dim_Reps!D:D)</f>
        <v>Inside Sales</v>
      </c>
      <c r="R2507" t="str">
        <f>_xlfn.XLOOKUP(Pipeline_tbl[[#This Row],[Rep_ID]],Dim_Reps!A:A,Dim_Reps!E:E)</f>
        <v>NAMER</v>
      </c>
      <c r="S2507" t="str">
        <f>_xlfn.XLOOKUP(Pipeline_tbl[[#This Row],[Created_Date]],Dim_Date!A:A,Dim_Date!H:H)</f>
        <v>May 2024</v>
      </c>
      <c r="T2507" t="str">
        <f>IF(Pipeline_tbl[[#This Row],[Closed_Date]]=0,"",(_xlfn.XLOOKUP(Pipeline_tbl[[#This Row],[Closed_Date]],Dim_Date!A:A,Dim_Date!H:H)))</f>
        <v>Jun 2024</v>
      </c>
      <c r="U2507">
        <f>IF(Pipeline_tbl[[#This Row],[Closed_Date]]=0,"",Pipeline_tbl[[#This Row],[Closed_Date]]-Pipeline_tbl[[#This Row],[Created_Date]])</f>
        <v>16</v>
      </c>
    </row>
    <row r="2508" spans="1:21" ht="15" customHeight="1" x14ac:dyDescent="0.2">
      <c r="A2508" t="s">
        <v>2814</v>
      </c>
      <c r="B2508" t="s">
        <v>229</v>
      </c>
      <c r="C2508" t="s">
        <v>55</v>
      </c>
      <c r="D2508" s="49">
        <v>45434</v>
      </c>
      <c r="E2508" s="49">
        <v>45436</v>
      </c>
      <c r="F2508" s="49">
        <v>45439</v>
      </c>
      <c r="I2508" s="49">
        <v>45450</v>
      </c>
      <c r="J2508" t="s">
        <v>49</v>
      </c>
      <c r="K2508" s="33">
        <v>3200</v>
      </c>
      <c r="L2508" t="s">
        <v>63</v>
      </c>
      <c r="M2508" t="str">
        <f>_xlfn.XLOOKUP(Pipeline_tbl[[#This Row],[Rep_ID]],Dim_Reps!A:A,Dim_Reps!K:K)</f>
        <v>USD</v>
      </c>
      <c r="N2508" s="33">
        <f>(_xlfn.XLOOKUP(Pipeline_tbl[[#This Row],[Rate_Code_Generalized]],Lookups!A:A,Lookups!B:B))*Pipeline_tbl[[#This Row],[Pipeline_Amount_USD]]</f>
        <v>3725.7599999999998</v>
      </c>
      <c r="O2508" t="str">
        <f>_xlfn.XLOOKUP(Pipeline_tbl[[#This Row],[Rep_ID]],Dim_Reps!A:A,Dim_Reps!B:B)</f>
        <v>Liam Castro</v>
      </c>
      <c r="P2508" t="str">
        <f>_xlfn.XLOOKUP(Pipeline_tbl[[#This Row],[Rep_ID]],Dim_Reps!A:A,Dim_Reps!C:C)</f>
        <v>SDR / Inside Sales Rep</v>
      </c>
      <c r="Q2508" t="str">
        <f>_xlfn.XLOOKUP(Pipeline_tbl[[#This Row],[Rep_ID]],Dim_Reps!A:A,Dim_Reps!D:D)</f>
        <v>Inside Sales</v>
      </c>
      <c r="R2508" t="str">
        <f>_xlfn.XLOOKUP(Pipeline_tbl[[#This Row],[Rep_ID]],Dim_Reps!A:A,Dim_Reps!E:E)</f>
        <v>NAMER</v>
      </c>
      <c r="S2508" t="str">
        <f>_xlfn.XLOOKUP(Pipeline_tbl[[#This Row],[Created_Date]],Dim_Date!A:A,Dim_Date!H:H)</f>
        <v>May 2024</v>
      </c>
      <c r="T2508" t="str">
        <f>IF(Pipeline_tbl[[#This Row],[Closed_Date]]=0,"",(_xlfn.XLOOKUP(Pipeline_tbl[[#This Row],[Closed_Date]],Dim_Date!A:A,Dim_Date!H:H)))</f>
        <v>Jun 2024</v>
      </c>
      <c r="U2508">
        <f>IF(Pipeline_tbl[[#This Row],[Closed_Date]]=0,"",Pipeline_tbl[[#This Row],[Closed_Date]]-Pipeline_tbl[[#This Row],[Created_Date]])</f>
        <v>16</v>
      </c>
    </row>
    <row r="2509" spans="1:21" ht="15" customHeight="1" x14ac:dyDescent="0.2">
      <c r="A2509" t="s">
        <v>2815</v>
      </c>
      <c r="B2509" t="s">
        <v>229</v>
      </c>
      <c r="C2509" t="s">
        <v>54</v>
      </c>
      <c r="D2509" s="49">
        <v>45440</v>
      </c>
      <c r="E2509" s="49">
        <v>45441</v>
      </c>
      <c r="F2509" s="49">
        <v>45443</v>
      </c>
      <c r="G2509" s="49">
        <v>45446</v>
      </c>
      <c r="H2509" s="49">
        <v>45448</v>
      </c>
      <c r="I2509" s="49">
        <v>45450</v>
      </c>
      <c r="J2509" t="s">
        <v>47</v>
      </c>
      <c r="K2509" s="33">
        <v>4700</v>
      </c>
      <c r="M2509" t="str">
        <f>_xlfn.XLOOKUP(Pipeline_tbl[[#This Row],[Rep_ID]],Dim_Reps!A:A,Dim_Reps!K:K)</f>
        <v>USD</v>
      </c>
      <c r="N2509" s="33">
        <f>(_xlfn.XLOOKUP(Pipeline_tbl[[#This Row],[Rate_Code_Generalized]],Lookups!A:A,Lookups!B:B))*Pipeline_tbl[[#This Row],[Pipeline_Amount_USD]]</f>
        <v>5472.2099999999991</v>
      </c>
      <c r="O2509" t="str">
        <f>_xlfn.XLOOKUP(Pipeline_tbl[[#This Row],[Rep_ID]],Dim_Reps!A:A,Dim_Reps!B:B)</f>
        <v>Liam Castro</v>
      </c>
      <c r="P2509" t="str">
        <f>_xlfn.XLOOKUP(Pipeline_tbl[[#This Row],[Rep_ID]],Dim_Reps!A:A,Dim_Reps!C:C)</f>
        <v>SDR / Inside Sales Rep</v>
      </c>
      <c r="Q2509" t="str">
        <f>_xlfn.XLOOKUP(Pipeline_tbl[[#This Row],[Rep_ID]],Dim_Reps!A:A,Dim_Reps!D:D)</f>
        <v>Inside Sales</v>
      </c>
      <c r="R2509" t="str">
        <f>_xlfn.XLOOKUP(Pipeline_tbl[[#This Row],[Rep_ID]],Dim_Reps!A:A,Dim_Reps!E:E)</f>
        <v>NAMER</v>
      </c>
      <c r="S2509" t="str">
        <f>_xlfn.XLOOKUP(Pipeline_tbl[[#This Row],[Created_Date]],Dim_Date!A:A,Dim_Date!H:H)</f>
        <v>May 2024</v>
      </c>
      <c r="T2509" t="str">
        <f>IF(Pipeline_tbl[[#This Row],[Closed_Date]]=0,"",(_xlfn.XLOOKUP(Pipeline_tbl[[#This Row],[Closed_Date]],Dim_Date!A:A,Dim_Date!H:H)))</f>
        <v>Jun 2024</v>
      </c>
      <c r="U2509">
        <f>IF(Pipeline_tbl[[#This Row],[Closed_Date]]=0,"",Pipeline_tbl[[#This Row],[Closed_Date]]-Pipeline_tbl[[#This Row],[Created_Date]])</f>
        <v>10</v>
      </c>
    </row>
    <row r="2510" spans="1:21" ht="15" customHeight="1" x14ac:dyDescent="0.2">
      <c r="A2510" t="s">
        <v>2816</v>
      </c>
      <c r="B2510" t="s">
        <v>229</v>
      </c>
      <c r="C2510" t="s">
        <v>54</v>
      </c>
      <c r="D2510" s="49">
        <v>45441</v>
      </c>
      <c r="E2510" s="49">
        <v>45442</v>
      </c>
      <c r="F2510" s="49">
        <v>45445</v>
      </c>
      <c r="G2510" s="49">
        <v>45449</v>
      </c>
      <c r="H2510" s="49">
        <v>45453</v>
      </c>
      <c r="I2510" s="49">
        <v>45455</v>
      </c>
      <c r="J2510" t="s">
        <v>49</v>
      </c>
      <c r="K2510" s="33">
        <v>1800</v>
      </c>
      <c r="L2510" t="s">
        <v>61</v>
      </c>
      <c r="M2510" t="str">
        <f>_xlfn.XLOOKUP(Pipeline_tbl[[#This Row],[Rep_ID]],Dim_Reps!A:A,Dim_Reps!K:K)</f>
        <v>USD</v>
      </c>
      <c r="N2510" s="33">
        <f>(_xlfn.XLOOKUP(Pipeline_tbl[[#This Row],[Rate_Code_Generalized]],Lookups!A:A,Lookups!B:B))*Pipeline_tbl[[#This Row],[Pipeline_Amount_USD]]</f>
        <v>2095.7399999999998</v>
      </c>
      <c r="O2510" t="str">
        <f>_xlfn.XLOOKUP(Pipeline_tbl[[#This Row],[Rep_ID]],Dim_Reps!A:A,Dim_Reps!B:B)</f>
        <v>Liam Castro</v>
      </c>
      <c r="P2510" t="str">
        <f>_xlfn.XLOOKUP(Pipeline_tbl[[#This Row],[Rep_ID]],Dim_Reps!A:A,Dim_Reps!C:C)</f>
        <v>SDR / Inside Sales Rep</v>
      </c>
      <c r="Q2510" t="str">
        <f>_xlfn.XLOOKUP(Pipeline_tbl[[#This Row],[Rep_ID]],Dim_Reps!A:A,Dim_Reps!D:D)</f>
        <v>Inside Sales</v>
      </c>
      <c r="R2510" t="str">
        <f>_xlfn.XLOOKUP(Pipeline_tbl[[#This Row],[Rep_ID]],Dim_Reps!A:A,Dim_Reps!E:E)</f>
        <v>NAMER</v>
      </c>
      <c r="S2510" t="str">
        <f>_xlfn.XLOOKUP(Pipeline_tbl[[#This Row],[Created_Date]],Dim_Date!A:A,Dim_Date!H:H)</f>
        <v>May 2024</v>
      </c>
      <c r="T2510" t="str">
        <f>IF(Pipeline_tbl[[#This Row],[Closed_Date]]=0,"",(_xlfn.XLOOKUP(Pipeline_tbl[[#This Row],[Closed_Date]],Dim_Date!A:A,Dim_Date!H:H)))</f>
        <v>Jun 2024</v>
      </c>
      <c r="U2510">
        <f>IF(Pipeline_tbl[[#This Row],[Closed_Date]]=0,"",Pipeline_tbl[[#This Row],[Closed_Date]]-Pipeline_tbl[[#This Row],[Created_Date]])</f>
        <v>14</v>
      </c>
    </row>
    <row r="2511" spans="1:21" ht="15" customHeight="1" x14ac:dyDescent="0.2">
      <c r="A2511" t="s">
        <v>2817</v>
      </c>
      <c r="B2511" t="s">
        <v>231</v>
      </c>
      <c r="C2511" t="s">
        <v>52</v>
      </c>
      <c r="D2511" s="49">
        <v>45436</v>
      </c>
      <c r="E2511" s="49">
        <v>45437</v>
      </c>
      <c r="I2511" s="49">
        <v>45446</v>
      </c>
      <c r="J2511" t="s">
        <v>49</v>
      </c>
      <c r="K2511" s="33">
        <v>4600</v>
      </c>
      <c r="L2511" t="s">
        <v>60</v>
      </c>
      <c r="M2511" t="str">
        <f>_xlfn.XLOOKUP(Pipeline_tbl[[#This Row],[Rep_ID]],Dim_Reps!A:A,Dim_Reps!K:K)</f>
        <v>MXN</v>
      </c>
      <c r="N2511" s="33">
        <f>(_xlfn.XLOOKUP(Pipeline_tbl[[#This Row],[Rate_Code_Generalized]],Lookups!A:A,Lookups!B:B))*Pipeline_tbl[[#This Row],[Pipeline_Amount_USD]]</f>
        <v>90770.420000000013</v>
      </c>
      <c r="O2511" t="str">
        <f>_xlfn.XLOOKUP(Pipeline_tbl[[#This Row],[Rep_ID]],Dim_Reps!A:A,Dim_Reps!B:B)</f>
        <v>Ben Silva</v>
      </c>
      <c r="P2511" t="str">
        <f>_xlfn.XLOOKUP(Pipeline_tbl[[#This Row],[Rep_ID]],Dim_Reps!A:A,Dim_Reps!C:C)</f>
        <v>SDR / Inside Sales Rep</v>
      </c>
      <c r="Q2511" t="str">
        <f>_xlfn.XLOOKUP(Pipeline_tbl[[#This Row],[Rep_ID]],Dim_Reps!A:A,Dim_Reps!D:D)</f>
        <v>Inside Sales</v>
      </c>
      <c r="R2511" t="str">
        <f>_xlfn.XLOOKUP(Pipeline_tbl[[#This Row],[Rep_ID]],Dim_Reps!A:A,Dim_Reps!E:E)</f>
        <v>LATAM</v>
      </c>
      <c r="S2511" t="str">
        <f>_xlfn.XLOOKUP(Pipeline_tbl[[#This Row],[Created_Date]],Dim_Date!A:A,Dim_Date!H:H)</f>
        <v>May 2024</v>
      </c>
      <c r="T2511" t="str">
        <f>IF(Pipeline_tbl[[#This Row],[Closed_Date]]=0,"",(_xlfn.XLOOKUP(Pipeline_tbl[[#This Row],[Closed_Date]],Dim_Date!A:A,Dim_Date!H:H)))</f>
        <v>Jun 2024</v>
      </c>
      <c r="U2511">
        <f>IF(Pipeline_tbl[[#This Row],[Closed_Date]]=0,"",Pipeline_tbl[[#This Row],[Closed_Date]]-Pipeline_tbl[[#This Row],[Created_Date]])</f>
        <v>10</v>
      </c>
    </row>
    <row r="2512" spans="1:21" ht="15" customHeight="1" x14ac:dyDescent="0.2">
      <c r="A2512" t="s">
        <v>2818</v>
      </c>
      <c r="B2512" t="s">
        <v>231</v>
      </c>
      <c r="C2512" t="s">
        <v>53</v>
      </c>
      <c r="D2512" s="49">
        <v>45439</v>
      </c>
      <c r="E2512" s="49">
        <v>45441</v>
      </c>
      <c r="F2512" s="49">
        <v>45446</v>
      </c>
      <c r="G2512" s="49">
        <v>45453</v>
      </c>
      <c r="I2512" s="49">
        <v>45462</v>
      </c>
      <c r="J2512" t="s">
        <v>49</v>
      </c>
      <c r="K2512" s="33">
        <v>3000</v>
      </c>
      <c r="L2512" t="s">
        <v>61</v>
      </c>
      <c r="M2512" t="str">
        <f>_xlfn.XLOOKUP(Pipeline_tbl[[#This Row],[Rep_ID]],Dim_Reps!A:A,Dim_Reps!K:K)</f>
        <v>MXN</v>
      </c>
      <c r="N2512" s="33">
        <f>(_xlfn.XLOOKUP(Pipeline_tbl[[#This Row],[Rate_Code_Generalized]],Lookups!A:A,Lookups!B:B))*Pipeline_tbl[[#This Row],[Pipeline_Amount_USD]]</f>
        <v>59198.100000000006</v>
      </c>
      <c r="O2512" t="str">
        <f>_xlfn.XLOOKUP(Pipeline_tbl[[#This Row],[Rep_ID]],Dim_Reps!A:A,Dim_Reps!B:B)</f>
        <v>Ben Silva</v>
      </c>
      <c r="P2512" t="str">
        <f>_xlfn.XLOOKUP(Pipeline_tbl[[#This Row],[Rep_ID]],Dim_Reps!A:A,Dim_Reps!C:C)</f>
        <v>SDR / Inside Sales Rep</v>
      </c>
      <c r="Q2512" t="str">
        <f>_xlfn.XLOOKUP(Pipeline_tbl[[#This Row],[Rep_ID]],Dim_Reps!A:A,Dim_Reps!D:D)</f>
        <v>Inside Sales</v>
      </c>
      <c r="R2512" t="str">
        <f>_xlfn.XLOOKUP(Pipeline_tbl[[#This Row],[Rep_ID]],Dim_Reps!A:A,Dim_Reps!E:E)</f>
        <v>LATAM</v>
      </c>
      <c r="S2512" t="str">
        <f>_xlfn.XLOOKUP(Pipeline_tbl[[#This Row],[Created_Date]],Dim_Date!A:A,Dim_Date!H:H)</f>
        <v>May 2024</v>
      </c>
      <c r="T2512" t="str">
        <f>IF(Pipeline_tbl[[#This Row],[Closed_Date]]=0,"",(_xlfn.XLOOKUP(Pipeline_tbl[[#This Row],[Closed_Date]],Dim_Date!A:A,Dim_Date!H:H)))</f>
        <v>Jun 2024</v>
      </c>
      <c r="U2512">
        <f>IF(Pipeline_tbl[[#This Row],[Closed_Date]]=0,"",Pipeline_tbl[[#This Row],[Closed_Date]]-Pipeline_tbl[[#This Row],[Created_Date]])</f>
        <v>23</v>
      </c>
    </row>
    <row r="2513" spans="1:21" ht="15" customHeight="1" x14ac:dyDescent="0.2">
      <c r="A2513" t="s">
        <v>2819</v>
      </c>
      <c r="B2513" t="s">
        <v>231</v>
      </c>
      <c r="C2513" t="s">
        <v>53</v>
      </c>
      <c r="D2513" s="49">
        <v>45431</v>
      </c>
      <c r="E2513" s="49">
        <v>45434</v>
      </c>
      <c r="F2513" s="49">
        <v>45439</v>
      </c>
      <c r="G2513" s="49">
        <v>45447</v>
      </c>
      <c r="I2513" s="49">
        <v>45457</v>
      </c>
      <c r="J2513" t="s">
        <v>49</v>
      </c>
      <c r="K2513" s="33">
        <v>2500</v>
      </c>
      <c r="L2513" t="s">
        <v>60</v>
      </c>
      <c r="M2513" t="str">
        <f>_xlfn.XLOOKUP(Pipeline_tbl[[#This Row],[Rep_ID]],Dim_Reps!A:A,Dim_Reps!K:K)</f>
        <v>MXN</v>
      </c>
      <c r="N2513" s="33">
        <f>(_xlfn.XLOOKUP(Pipeline_tbl[[#This Row],[Rate_Code_Generalized]],Lookups!A:A,Lookups!B:B))*Pipeline_tbl[[#This Row],[Pipeline_Amount_USD]]</f>
        <v>49331.75</v>
      </c>
      <c r="O2513" t="str">
        <f>_xlfn.XLOOKUP(Pipeline_tbl[[#This Row],[Rep_ID]],Dim_Reps!A:A,Dim_Reps!B:B)</f>
        <v>Ben Silva</v>
      </c>
      <c r="P2513" t="str">
        <f>_xlfn.XLOOKUP(Pipeline_tbl[[#This Row],[Rep_ID]],Dim_Reps!A:A,Dim_Reps!C:C)</f>
        <v>SDR / Inside Sales Rep</v>
      </c>
      <c r="Q2513" t="str">
        <f>_xlfn.XLOOKUP(Pipeline_tbl[[#This Row],[Rep_ID]],Dim_Reps!A:A,Dim_Reps!D:D)</f>
        <v>Inside Sales</v>
      </c>
      <c r="R2513" t="str">
        <f>_xlfn.XLOOKUP(Pipeline_tbl[[#This Row],[Rep_ID]],Dim_Reps!A:A,Dim_Reps!E:E)</f>
        <v>LATAM</v>
      </c>
      <c r="S2513" t="str">
        <f>_xlfn.XLOOKUP(Pipeline_tbl[[#This Row],[Created_Date]],Dim_Date!A:A,Dim_Date!H:H)</f>
        <v>May 2024</v>
      </c>
      <c r="T2513" t="str">
        <f>IF(Pipeline_tbl[[#This Row],[Closed_Date]]=0,"",(_xlfn.XLOOKUP(Pipeline_tbl[[#This Row],[Closed_Date]],Dim_Date!A:A,Dim_Date!H:H)))</f>
        <v>Jun 2024</v>
      </c>
      <c r="U2513">
        <f>IF(Pipeline_tbl[[#This Row],[Closed_Date]]=0,"",Pipeline_tbl[[#This Row],[Closed_Date]]-Pipeline_tbl[[#This Row],[Created_Date]])</f>
        <v>26</v>
      </c>
    </row>
    <row r="2514" spans="1:21" ht="15" customHeight="1" x14ac:dyDescent="0.2">
      <c r="A2514" t="s">
        <v>2820</v>
      </c>
      <c r="B2514" t="s">
        <v>263</v>
      </c>
      <c r="C2514" t="s">
        <v>52</v>
      </c>
      <c r="D2514" s="49">
        <v>45417</v>
      </c>
      <c r="E2514" s="49">
        <v>45420</v>
      </c>
      <c r="F2514" s="49">
        <v>45427</v>
      </c>
      <c r="G2514" s="49">
        <v>45437</v>
      </c>
      <c r="H2514" s="49">
        <v>45445</v>
      </c>
      <c r="I2514" s="49">
        <v>45450</v>
      </c>
      <c r="J2514" t="s">
        <v>47</v>
      </c>
      <c r="K2514" s="33">
        <v>18900</v>
      </c>
      <c r="M2514" t="str">
        <f>_xlfn.XLOOKUP(Pipeline_tbl[[#This Row],[Rep_ID]],Dim_Reps!A:A,Dim_Reps!K:K)</f>
        <v>USD</v>
      </c>
      <c r="N2514" s="33">
        <f>(_xlfn.XLOOKUP(Pipeline_tbl[[#This Row],[Rate_Code_Generalized]],Lookups!A:A,Lookups!B:B))*Pipeline_tbl[[#This Row],[Pipeline_Amount_USD]]</f>
        <v>22005.269999999997</v>
      </c>
      <c r="O2514" t="str">
        <f>_xlfn.XLOOKUP(Pipeline_tbl[[#This Row],[Rep_ID]],Dim_Reps!A:A,Dim_Reps!B:B)</f>
        <v>Morgan Weber</v>
      </c>
      <c r="P2514" t="str">
        <f>_xlfn.XLOOKUP(Pipeline_tbl[[#This Row],[Rep_ID]],Dim_Reps!A:A,Dim_Reps!C:C)</f>
        <v>Mid-Market AE</v>
      </c>
      <c r="Q2514" t="str">
        <f>_xlfn.XLOOKUP(Pipeline_tbl[[#This Row],[Rep_ID]],Dim_Reps!A:A,Dim_Reps!D:D)</f>
        <v>Mid-Market</v>
      </c>
      <c r="R2514" t="str">
        <f>_xlfn.XLOOKUP(Pipeline_tbl[[#This Row],[Rep_ID]],Dim_Reps!A:A,Dim_Reps!E:E)</f>
        <v>NAMER</v>
      </c>
      <c r="S2514" t="str">
        <f>_xlfn.XLOOKUP(Pipeline_tbl[[#This Row],[Created_Date]],Dim_Date!A:A,Dim_Date!H:H)</f>
        <v>May 2024</v>
      </c>
      <c r="T2514" t="str">
        <f>IF(Pipeline_tbl[[#This Row],[Closed_Date]]=0,"",(_xlfn.XLOOKUP(Pipeline_tbl[[#This Row],[Closed_Date]],Dim_Date!A:A,Dim_Date!H:H)))</f>
        <v>Jun 2024</v>
      </c>
      <c r="U2514">
        <f>IF(Pipeline_tbl[[#This Row],[Closed_Date]]=0,"",Pipeline_tbl[[#This Row],[Closed_Date]]-Pipeline_tbl[[#This Row],[Created_Date]])</f>
        <v>33</v>
      </c>
    </row>
    <row r="2515" spans="1:21" ht="15" customHeight="1" x14ac:dyDescent="0.2">
      <c r="A2515" t="s">
        <v>2821</v>
      </c>
      <c r="B2515" t="s">
        <v>263</v>
      </c>
      <c r="C2515" t="s">
        <v>53</v>
      </c>
      <c r="D2515" s="49">
        <v>45415</v>
      </c>
      <c r="E2515" s="49">
        <v>45419</v>
      </c>
      <c r="F2515" s="49">
        <v>45426</v>
      </c>
      <c r="G2515" s="49">
        <v>45438</v>
      </c>
      <c r="H2515" s="49">
        <v>45447</v>
      </c>
      <c r="I2515" s="49">
        <v>45453</v>
      </c>
      <c r="J2515" t="s">
        <v>49</v>
      </c>
      <c r="K2515" s="33">
        <v>12600</v>
      </c>
      <c r="L2515" t="s">
        <v>62</v>
      </c>
      <c r="M2515" t="str">
        <f>_xlfn.XLOOKUP(Pipeline_tbl[[#This Row],[Rep_ID]],Dim_Reps!A:A,Dim_Reps!K:K)</f>
        <v>USD</v>
      </c>
      <c r="N2515" s="33">
        <f>(_xlfn.XLOOKUP(Pipeline_tbl[[#This Row],[Rate_Code_Generalized]],Lookups!A:A,Lookups!B:B))*Pipeline_tbl[[#This Row],[Pipeline_Amount_USD]]</f>
        <v>14670.179999999998</v>
      </c>
      <c r="O2515" t="str">
        <f>_xlfn.XLOOKUP(Pipeline_tbl[[#This Row],[Rep_ID]],Dim_Reps!A:A,Dim_Reps!B:B)</f>
        <v>Morgan Weber</v>
      </c>
      <c r="P2515" t="str">
        <f>_xlfn.XLOOKUP(Pipeline_tbl[[#This Row],[Rep_ID]],Dim_Reps!A:A,Dim_Reps!C:C)</f>
        <v>Mid-Market AE</v>
      </c>
      <c r="Q2515" t="str">
        <f>_xlfn.XLOOKUP(Pipeline_tbl[[#This Row],[Rep_ID]],Dim_Reps!A:A,Dim_Reps!D:D)</f>
        <v>Mid-Market</v>
      </c>
      <c r="R2515" t="str">
        <f>_xlfn.XLOOKUP(Pipeline_tbl[[#This Row],[Rep_ID]],Dim_Reps!A:A,Dim_Reps!E:E)</f>
        <v>NAMER</v>
      </c>
      <c r="S2515" t="str">
        <f>_xlfn.XLOOKUP(Pipeline_tbl[[#This Row],[Created_Date]],Dim_Date!A:A,Dim_Date!H:H)</f>
        <v>May 2024</v>
      </c>
      <c r="T2515" t="str">
        <f>IF(Pipeline_tbl[[#This Row],[Closed_Date]]=0,"",(_xlfn.XLOOKUP(Pipeline_tbl[[#This Row],[Closed_Date]],Dim_Date!A:A,Dim_Date!H:H)))</f>
        <v>Jun 2024</v>
      </c>
      <c r="U2515">
        <f>IF(Pipeline_tbl[[#This Row],[Closed_Date]]=0,"",Pipeline_tbl[[#This Row],[Closed_Date]]-Pipeline_tbl[[#This Row],[Created_Date]])</f>
        <v>38</v>
      </c>
    </row>
    <row r="2516" spans="1:21" ht="15" customHeight="1" x14ac:dyDescent="0.2">
      <c r="A2516" t="s">
        <v>2822</v>
      </c>
      <c r="B2516" t="s">
        <v>263</v>
      </c>
      <c r="C2516" t="s">
        <v>53</v>
      </c>
      <c r="D2516" s="49">
        <v>45438</v>
      </c>
      <c r="E2516" s="49">
        <v>45440</v>
      </c>
      <c r="F2516" s="49">
        <v>45444</v>
      </c>
      <c r="G2516" s="49">
        <v>45449</v>
      </c>
      <c r="I2516" s="49">
        <v>45457</v>
      </c>
      <c r="J2516" t="s">
        <v>49</v>
      </c>
      <c r="K2516" s="33">
        <v>14500</v>
      </c>
      <c r="L2516" t="s">
        <v>62</v>
      </c>
      <c r="M2516" t="str">
        <f>_xlfn.XLOOKUP(Pipeline_tbl[[#This Row],[Rep_ID]],Dim_Reps!A:A,Dim_Reps!K:K)</f>
        <v>USD</v>
      </c>
      <c r="N2516" s="33">
        <f>(_xlfn.XLOOKUP(Pipeline_tbl[[#This Row],[Rate_Code_Generalized]],Lookups!A:A,Lookups!B:B))*Pipeline_tbl[[#This Row],[Pipeline_Amount_USD]]</f>
        <v>16882.349999999999</v>
      </c>
      <c r="O2516" t="str">
        <f>_xlfn.XLOOKUP(Pipeline_tbl[[#This Row],[Rep_ID]],Dim_Reps!A:A,Dim_Reps!B:B)</f>
        <v>Morgan Weber</v>
      </c>
      <c r="P2516" t="str">
        <f>_xlfn.XLOOKUP(Pipeline_tbl[[#This Row],[Rep_ID]],Dim_Reps!A:A,Dim_Reps!C:C)</f>
        <v>Mid-Market AE</v>
      </c>
      <c r="Q2516" t="str">
        <f>_xlfn.XLOOKUP(Pipeline_tbl[[#This Row],[Rep_ID]],Dim_Reps!A:A,Dim_Reps!D:D)</f>
        <v>Mid-Market</v>
      </c>
      <c r="R2516" t="str">
        <f>_xlfn.XLOOKUP(Pipeline_tbl[[#This Row],[Rep_ID]],Dim_Reps!A:A,Dim_Reps!E:E)</f>
        <v>NAMER</v>
      </c>
      <c r="S2516" t="str">
        <f>_xlfn.XLOOKUP(Pipeline_tbl[[#This Row],[Created_Date]],Dim_Date!A:A,Dim_Date!H:H)</f>
        <v>May 2024</v>
      </c>
      <c r="T2516" t="str">
        <f>IF(Pipeline_tbl[[#This Row],[Closed_Date]]=0,"",(_xlfn.XLOOKUP(Pipeline_tbl[[#This Row],[Closed_Date]],Dim_Date!A:A,Dim_Date!H:H)))</f>
        <v>Jun 2024</v>
      </c>
      <c r="U2516">
        <f>IF(Pipeline_tbl[[#This Row],[Closed_Date]]=0,"",Pipeline_tbl[[#This Row],[Closed_Date]]-Pipeline_tbl[[#This Row],[Created_Date]])</f>
        <v>19</v>
      </c>
    </row>
    <row r="2517" spans="1:21" ht="15" customHeight="1" x14ac:dyDescent="0.2">
      <c r="A2517" t="s">
        <v>2823</v>
      </c>
      <c r="B2517" t="s">
        <v>265</v>
      </c>
      <c r="C2517" t="s">
        <v>52</v>
      </c>
      <c r="D2517" s="49">
        <v>45431</v>
      </c>
      <c r="E2517" s="49">
        <v>45435</v>
      </c>
      <c r="F2517" s="49">
        <v>45442</v>
      </c>
      <c r="I2517" s="49">
        <v>45467</v>
      </c>
      <c r="J2517" t="s">
        <v>49</v>
      </c>
      <c r="K2517" s="33">
        <v>14100</v>
      </c>
      <c r="L2517" t="s">
        <v>62</v>
      </c>
      <c r="M2517" t="str">
        <f>_xlfn.XLOOKUP(Pipeline_tbl[[#This Row],[Rep_ID]],Dim_Reps!A:A,Dim_Reps!K:K)</f>
        <v>EUR</v>
      </c>
      <c r="N2517" s="33">
        <f>(_xlfn.XLOOKUP(Pipeline_tbl[[#This Row],[Rate_Code_Generalized]],Lookups!A:A,Lookups!B:B))*Pipeline_tbl[[#This Row],[Pipeline_Amount_USD]]</f>
        <v>14100</v>
      </c>
      <c r="O2517" t="str">
        <f>_xlfn.XLOOKUP(Pipeline_tbl[[#This Row],[Rep_ID]],Dim_Reps!A:A,Dim_Reps!B:B)</f>
        <v>Erik Duarte</v>
      </c>
      <c r="P2517" t="str">
        <f>_xlfn.XLOOKUP(Pipeline_tbl[[#This Row],[Rep_ID]],Dim_Reps!A:A,Dim_Reps!C:C)</f>
        <v>Mid-Market AE</v>
      </c>
      <c r="Q2517" t="str">
        <f>_xlfn.XLOOKUP(Pipeline_tbl[[#This Row],[Rep_ID]],Dim_Reps!A:A,Dim_Reps!D:D)</f>
        <v>Mid-Market</v>
      </c>
      <c r="R2517" t="str">
        <f>_xlfn.XLOOKUP(Pipeline_tbl[[#This Row],[Rep_ID]],Dim_Reps!A:A,Dim_Reps!E:E)</f>
        <v>EMEA</v>
      </c>
      <c r="S2517" t="str">
        <f>_xlfn.XLOOKUP(Pipeline_tbl[[#This Row],[Created_Date]],Dim_Date!A:A,Dim_Date!H:H)</f>
        <v>May 2024</v>
      </c>
      <c r="T2517" t="str">
        <f>IF(Pipeline_tbl[[#This Row],[Closed_Date]]=0,"",(_xlfn.XLOOKUP(Pipeline_tbl[[#This Row],[Closed_Date]],Dim_Date!A:A,Dim_Date!H:H)))</f>
        <v>Jun 2024</v>
      </c>
      <c r="U2517">
        <f>IF(Pipeline_tbl[[#This Row],[Closed_Date]]=0,"",Pipeline_tbl[[#This Row],[Closed_Date]]-Pipeline_tbl[[#This Row],[Created_Date]])</f>
        <v>36</v>
      </c>
    </row>
    <row r="2518" spans="1:21" ht="15" customHeight="1" x14ac:dyDescent="0.2">
      <c r="A2518" t="s">
        <v>2824</v>
      </c>
      <c r="B2518" t="s">
        <v>265</v>
      </c>
      <c r="C2518" t="s">
        <v>52</v>
      </c>
      <c r="D2518" s="49">
        <v>45423</v>
      </c>
      <c r="E2518" s="49">
        <v>45426</v>
      </c>
      <c r="F2518" s="49">
        <v>45432</v>
      </c>
      <c r="G2518" s="49">
        <v>45440</v>
      </c>
      <c r="H2518" s="49">
        <v>45448</v>
      </c>
      <c r="I2518" s="49">
        <v>45452</v>
      </c>
      <c r="J2518" t="s">
        <v>47</v>
      </c>
      <c r="K2518" s="33">
        <v>15300</v>
      </c>
      <c r="M2518" t="str">
        <f>_xlfn.XLOOKUP(Pipeline_tbl[[#This Row],[Rep_ID]],Dim_Reps!A:A,Dim_Reps!K:K)</f>
        <v>EUR</v>
      </c>
      <c r="N2518" s="33">
        <f>(_xlfn.XLOOKUP(Pipeline_tbl[[#This Row],[Rate_Code_Generalized]],Lookups!A:A,Lookups!B:B))*Pipeline_tbl[[#This Row],[Pipeline_Amount_USD]]</f>
        <v>15300</v>
      </c>
      <c r="O2518" t="str">
        <f>_xlfn.XLOOKUP(Pipeline_tbl[[#This Row],[Rep_ID]],Dim_Reps!A:A,Dim_Reps!B:B)</f>
        <v>Erik Duarte</v>
      </c>
      <c r="P2518" t="str">
        <f>_xlfn.XLOOKUP(Pipeline_tbl[[#This Row],[Rep_ID]],Dim_Reps!A:A,Dim_Reps!C:C)</f>
        <v>Mid-Market AE</v>
      </c>
      <c r="Q2518" t="str">
        <f>_xlfn.XLOOKUP(Pipeline_tbl[[#This Row],[Rep_ID]],Dim_Reps!A:A,Dim_Reps!D:D)</f>
        <v>Mid-Market</v>
      </c>
      <c r="R2518" t="str">
        <f>_xlfn.XLOOKUP(Pipeline_tbl[[#This Row],[Rep_ID]],Dim_Reps!A:A,Dim_Reps!E:E)</f>
        <v>EMEA</v>
      </c>
      <c r="S2518" t="str">
        <f>_xlfn.XLOOKUP(Pipeline_tbl[[#This Row],[Created_Date]],Dim_Date!A:A,Dim_Date!H:H)</f>
        <v>May 2024</v>
      </c>
      <c r="T2518" t="str">
        <f>IF(Pipeline_tbl[[#This Row],[Closed_Date]]=0,"",(_xlfn.XLOOKUP(Pipeline_tbl[[#This Row],[Closed_Date]],Dim_Date!A:A,Dim_Date!H:H)))</f>
        <v>Jun 2024</v>
      </c>
      <c r="U2518">
        <f>IF(Pipeline_tbl[[#This Row],[Closed_Date]]=0,"",Pipeline_tbl[[#This Row],[Closed_Date]]-Pipeline_tbl[[#This Row],[Created_Date]])</f>
        <v>29</v>
      </c>
    </row>
    <row r="2519" spans="1:21" ht="15" customHeight="1" x14ac:dyDescent="0.2">
      <c r="A2519" t="s">
        <v>2825</v>
      </c>
      <c r="B2519" t="s">
        <v>265</v>
      </c>
      <c r="C2519" t="s">
        <v>52</v>
      </c>
      <c r="D2519" s="49">
        <v>45438</v>
      </c>
      <c r="E2519" s="49">
        <v>45441</v>
      </c>
      <c r="F2519" s="49">
        <v>45448</v>
      </c>
      <c r="G2519" s="49">
        <v>45458</v>
      </c>
      <c r="H2519" s="49">
        <v>45467</v>
      </c>
      <c r="I2519" s="49">
        <v>45472</v>
      </c>
      <c r="J2519" t="s">
        <v>49</v>
      </c>
      <c r="K2519" s="33">
        <v>13000</v>
      </c>
      <c r="L2519" t="s">
        <v>61</v>
      </c>
      <c r="M2519" t="str">
        <f>_xlfn.XLOOKUP(Pipeline_tbl[[#This Row],[Rep_ID]],Dim_Reps!A:A,Dim_Reps!K:K)</f>
        <v>EUR</v>
      </c>
      <c r="N2519" s="33">
        <f>(_xlfn.XLOOKUP(Pipeline_tbl[[#This Row],[Rate_Code_Generalized]],Lookups!A:A,Lookups!B:B))*Pipeline_tbl[[#This Row],[Pipeline_Amount_USD]]</f>
        <v>13000</v>
      </c>
      <c r="O2519" t="str">
        <f>_xlfn.XLOOKUP(Pipeline_tbl[[#This Row],[Rep_ID]],Dim_Reps!A:A,Dim_Reps!B:B)</f>
        <v>Erik Duarte</v>
      </c>
      <c r="P2519" t="str">
        <f>_xlfn.XLOOKUP(Pipeline_tbl[[#This Row],[Rep_ID]],Dim_Reps!A:A,Dim_Reps!C:C)</f>
        <v>Mid-Market AE</v>
      </c>
      <c r="Q2519" t="str">
        <f>_xlfn.XLOOKUP(Pipeline_tbl[[#This Row],[Rep_ID]],Dim_Reps!A:A,Dim_Reps!D:D)</f>
        <v>Mid-Market</v>
      </c>
      <c r="R2519" t="str">
        <f>_xlfn.XLOOKUP(Pipeline_tbl[[#This Row],[Rep_ID]],Dim_Reps!A:A,Dim_Reps!E:E)</f>
        <v>EMEA</v>
      </c>
      <c r="S2519" t="str">
        <f>_xlfn.XLOOKUP(Pipeline_tbl[[#This Row],[Created_Date]],Dim_Date!A:A,Dim_Date!H:H)</f>
        <v>May 2024</v>
      </c>
      <c r="T2519" t="str">
        <f>IF(Pipeline_tbl[[#This Row],[Closed_Date]]=0,"",(_xlfn.XLOOKUP(Pipeline_tbl[[#This Row],[Closed_Date]],Dim_Date!A:A,Dim_Date!H:H)))</f>
        <v>Jun 2024</v>
      </c>
      <c r="U2519">
        <f>IF(Pipeline_tbl[[#This Row],[Closed_Date]]=0,"",Pipeline_tbl[[#This Row],[Closed_Date]]-Pipeline_tbl[[#This Row],[Created_Date]])</f>
        <v>34</v>
      </c>
    </row>
    <row r="2520" spans="1:21" ht="15" customHeight="1" x14ac:dyDescent="0.2">
      <c r="A2520" t="s">
        <v>2826</v>
      </c>
      <c r="B2520" t="s">
        <v>265</v>
      </c>
      <c r="C2520" t="s">
        <v>52</v>
      </c>
      <c r="D2520" s="49">
        <v>45436</v>
      </c>
      <c r="E2520" s="49">
        <v>45438</v>
      </c>
      <c r="F2520" s="49">
        <v>45442</v>
      </c>
      <c r="I2520" s="49">
        <v>45455</v>
      </c>
      <c r="J2520" t="s">
        <v>49</v>
      </c>
      <c r="K2520" s="33">
        <v>9900</v>
      </c>
      <c r="L2520" t="s">
        <v>60</v>
      </c>
      <c r="M2520" t="str">
        <f>_xlfn.XLOOKUP(Pipeline_tbl[[#This Row],[Rep_ID]],Dim_Reps!A:A,Dim_Reps!K:K)</f>
        <v>EUR</v>
      </c>
      <c r="N2520" s="33">
        <f>(_xlfn.XLOOKUP(Pipeline_tbl[[#This Row],[Rate_Code_Generalized]],Lookups!A:A,Lookups!B:B))*Pipeline_tbl[[#This Row],[Pipeline_Amount_USD]]</f>
        <v>9900</v>
      </c>
      <c r="O2520" t="str">
        <f>_xlfn.XLOOKUP(Pipeline_tbl[[#This Row],[Rep_ID]],Dim_Reps!A:A,Dim_Reps!B:B)</f>
        <v>Erik Duarte</v>
      </c>
      <c r="P2520" t="str">
        <f>_xlfn.XLOOKUP(Pipeline_tbl[[#This Row],[Rep_ID]],Dim_Reps!A:A,Dim_Reps!C:C)</f>
        <v>Mid-Market AE</v>
      </c>
      <c r="Q2520" t="str">
        <f>_xlfn.XLOOKUP(Pipeline_tbl[[#This Row],[Rep_ID]],Dim_Reps!A:A,Dim_Reps!D:D)</f>
        <v>Mid-Market</v>
      </c>
      <c r="R2520" t="str">
        <f>_xlfn.XLOOKUP(Pipeline_tbl[[#This Row],[Rep_ID]],Dim_Reps!A:A,Dim_Reps!E:E)</f>
        <v>EMEA</v>
      </c>
      <c r="S2520" t="str">
        <f>_xlfn.XLOOKUP(Pipeline_tbl[[#This Row],[Created_Date]],Dim_Date!A:A,Dim_Date!H:H)</f>
        <v>May 2024</v>
      </c>
      <c r="T2520" t="str">
        <f>IF(Pipeline_tbl[[#This Row],[Closed_Date]]=0,"",(_xlfn.XLOOKUP(Pipeline_tbl[[#This Row],[Closed_Date]],Dim_Date!A:A,Dim_Date!H:H)))</f>
        <v>Jun 2024</v>
      </c>
      <c r="U2520">
        <f>IF(Pipeline_tbl[[#This Row],[Closed_Date]]=0,"",Pipeline_tbl[[#This Row],[Closed_Date]]-Pipeline_tbl[[#This Row],[Created_Date]])</f>
        <v>19</v>
      </c>
    </row>
    <row r="2521" spans="1:21" ht="15" customHeight="1" x14ac:dyDescent="0.2">
      <c r="A2521" t="s">
        <v>2827</v>
      </c>
      <c r="B2521" t="s">
        <v>265</v>
      </c>
      <c r="C2521" t="s">
        <v>52</v>
      </c>
      <c r="D2521" s="49">
        <v>45435</v>
      </c>
      <c r="E2521" s="49">
        <v>45437</v>
      </c>
      <c r="F2521" s="49">
        <v>45442</v>
      </c>
      <c r="G2521" s="49">
        <v>45448</v>
      </c>
      <c r="H2521" s="49">
        <v>45454</v>
      </c>
      <c r="I2521" s="49">
        <v>45457</v>
      </c>
      <c r="J2521" t="s">
        <v>47</v>
      </c>
      <c r="K2521" s="33">
        <v>16800</v>
      </c>
      <c r="M2521" t="str">
        <f>_xlfn.XLOOKUP(Pipeline_tbl[[#This Row],[Rep_ID]],Dim_Reps!A:A,Dim_Reps!K:K)</f>
        <v>EUR</v>
      </c>
      <c r="N2521" s="33">
        <f>(_xlfn.XLOOKUP(Pipeline_tbl[[#This Row],[Rate_Code_Generalized]],Lookups!A:A,Lookups!B:B))*Pipeline_tbl[[#This Row],[Pipeline_Amount_USD]]</f>
        <v>16800</v>
      </c>
      <c r="O2521" t="str">
        <f>_xlfn.XLOOKUP(Pipeline_tbl[[#This Row],[Rep_ID]],Dim_Reps!A:A,Dim_Reps!B:B)</f>
        <v>Erik Duarte</v>
      </c>
      <c r="P2521" t="str">
        <f>_xlfn.XLOOKUP(Pipeline_tbl[[#This Row],[Rep_ID]],Dim_Reps!A:A,Dim_Reps!C:C)</f>
        <v>Mid-Market AE</v>
      </c>
      <c r="Q2521" t="str">
        <f>_xlfn.XLOOKUP(Pipeline_tbl[[#This Row],[Rep_ID]],Dim_Reps!A:A,Dim_Reps!D:D)</f>
        <v>Mid-Market</v>
      </c>
      <c r="R2521" t="str">
        <f>_xlfn.XLOOKUP(Pipeline_tbl[[#This Row],[Rep_ID]],Dim_Reps!A:A,Dim_Reps!E:E)</f>
        <v>EMEA</v>
      </c>
      <c r="S2521" t="str">
        <f>_xlfn.XLOOKUP(Pipeline_tbl[[#This Row],[Created_Date]],Dim_Date!A:A,Dim_Date!H:H)</f>
        <v>May 2024</v>
      </c>
      <c r="T2521" t="str">
        <f>IF(Pipeline_tbl[[#This Row],[Closed_Date]]=0,"",(_xlfn.XLOOKUP(Pipeline_tbl[[#This Row],[Closed_Date]],Dim_Date!A:A,Dim_Date!H:H)))</f>
        <v>Jun 2024</v>
      </c>
      <c r="U2521">
        <f>IF(Pipeline_tbl[[#This Row],[Closed_Date]]=0,"",Pipeline_tbl[[#This Row],[Closed_Date]]-Pipeline_tbl[[#This Row],[Created_Date]])</f>
        <v>22</v>
      </c>
    </row>
    <row r="2522" spans="1:21" ht="15" customHeight="1" x14ac:dyDescent="0.2">
      <c r="A2522" t="s">
        <v>2828</v>
      </c>
      <c r="B2522" t="s">
        <v>265</v>
      </c>
      <c r="C2522" t="s">
        <v>53</v>
      </c>
      <c r="D2522" s="49">
        <v>45424</v>
      </c>
      <c r="E2522" s="49">
        <v>45428</v>
      </c>
      <c r="F2522" s="49">
        <v>45435</v>
      </c>
      <c r="G2522" s="49">
        <v>45445</v>
      </c>
      <c r="H2522" s="49">
        <v>45454</v>
      </c>
      <c r="I2522" s="49">
        <v>45459</v>
      </c>
      <c r="J2522" t="s">
        <v>47</v>
      </c>
      <c r="K2522" s="33">
        <v>6100</v>
      </c>
      <c r="M2522" t="str">
        <f>_xlfn.XLOOKUP(Pipeline_tbl[[#This Row],[Rep_ID]],Dim_Reps!A:A,Dim_Reps!K:K)</f>
        <v>EUR</v>
      </c>
      <c r="N2522" s="33">
        <f>(_xlfn.XLOOKUP(Pipeline_tbl[[#This Row],[Rate_Code_Generalized]],Lookups!A:A,Lookups!B:B))*Pipeline_tbl[[#This Row],[Pipeline_Amount_USD]]</f>
        <v>6100</v>
      </c>
      <c r="O2522" t="str">
        <f>_xlfn.XLOOKUP(Pipeline_tbl[[#This Row],[Rep_ID]],Dim_Reps!A:A,Dim_Reps!B:B)</f>
        <v>Erik Duarte</v>
      </c>
      <c r="P2522" t="str">
        <f>_xlfn.XLOOKUP(Pipeline_tbl[[#This Row],[Rep_ID]],Dim_Reps!A:A,Dim_Reps!C:C)</f>
        <v>Mid-Market AE</v>
      </c>
      <c r="Q2522" t="str">
        <f>_xlfn.XLOOKUP(Pipeline_tbl[[#This Row],[Rep_ID]],Dim_Reps!A:A,Dim_Reps!D:D)</f>
        <v>Mid-Market</v>
      </c>
      <c r="R2522" t="str">
        <f>_xlfn.XLOOKUP(Pipeline_tbl[[#This Row],[Rep_ID]],Dim_Reps!A:A,Dim_Reps!E:E)</f>
        <v>EMEA</v>
      </c>
      <c r="S2522" t="str">
        <f>_xlfn.XLOOKUP(Pipeline_tbl[[#This Row],[Created_Date]],Dim_Date!A:A,Dim_Date!H:H)</f>
        <v>May 2024</v>
      </c>
      <c r="T2522" t="str">
        <f>IF(Pipeline_tbl[[#This Row],[Closed_Date]]=0,"",(_xlfn.XLOOKUP(Pipeline_tbl[[#This Row],[Closed_Date]],Dim_Date!A:A,Dim_Date!H:H)))</f>
        <v>Jun 2024</v>
      </c>
      <c r="U2522">
        <f>IF(Pipeline_tbl[[#This Row],[Closed_Date]]=0,"",Pipeline_tbl[[#This Row],[Closed_Date]]-Pipeline_tbl[[#This Row],[Created_Date]])</f>
        <v>35</v>
      </c>
    </row>
    <row r="2523" spans="1:21" ht="15" customHeight="1" x14ac:dyDescent="0.2">
      <c r="A2523" t="s">
        <v>2829</v>
      </c>
      <c r="B2523" t="s">
        <v>233</v>
      </c>
      <c r="C2523" t="s">
        <v>53</v>
      </c>
      <c r="D2523" s="49">
        <v>45424</v>
      </c>
      <c r="E2523" s="49">
        <v>45426</v>
      </c>
      <c r="F2523" s="49">
        <v>45431</v>
      </c>
      <c r="G2523" s="49">
        <v>45438</v>
      </c>
      <c r="H2523" s="49">
        <v>45444</v>
      </c>
      <c r="I2523" s="49">
        <v>45448</v>
      </c>
      <c r="J2523" t="s">
        <v>49</v>
      </c>
      <c r="K2523" s="33">
        <v>4300</v>
      </c>
      <c r="L2523" t="s">
        <v>60</v>
      </c>
      <c r="M2523" t="str">
        <f>_xlfn.XLOOKUP(Pipeline_tbl[[#This Row],[Rep_ID]],Dim_Reps!A:A,Dim_Reps!K:K)</f>
        <v>MXN</v>
      </c>
      <c r="N2523" s="33">
        <f>(_xlfn.XLOOKUP(Pipeline_tbl[[#This Row],[Rate_Code_Generalized]],Lookups!A:A,Lookups!B:B))*Pipeline_tbl[[#This Row],[Pipeline_Amount_USD]]</f>
        <v>84850.61</v>
      </c>
      <c r="O2523" t="str">
        <f>_xlfn.XLOOKUP(Pipeline_tbl[[#This Row],[Rep_ID]],Dim_Reps!A:A,Dim_Reps!B:B)</f>
        <v>Lucas Duarte</v>
      </c>
      <c r="P2523" t="str">
        <f>_xlfn.XLOOKUP(Pipeline_tbl[[#This Row],[Rep_ID]],Dim_Reps!A:A,Dim_Reps!C:C)</f>
        <v>SDR / Inside Sales Rep</v>
      </c>
      <c r="Q2523" t="str">
        <f>_xlfn.XLOOKUP(Pipeline_tbl[[#This Row],[Rep_ID]],Dim_Reps!A:A,Dim_Reps!D:D)</f>
        <v>Inside Sales</v>
      </c>
      <c r="R2523" t="str">
        <f>_xlfn.XLOOKUP(Pipeline_tbl[[#This Row],[Rep_ID]],Dim_Reps!A:A,Dim_Reps!E:E)</f>
        <v>LATAM</v>
      </c>
      <c r="S2523" t="str">
        <f>_xlfn.XLOOKUP(Pipeline_tbl[[#This Row],[Created_Date]],Dim_Date!A:A,Dim_Date!H:H)</f>
        <v>May 2024</v>
      </c>
      <c r="T2523" t="str">
        <f>IF(Pipeline_tbl[[#This Row],[Closed_Date]]=0,"",(_xlfn.XLOOKUP(Pipeline_tbl[[#This Row],[Closed_Date]],Dim_Date!A:A,Dim_Date!H:H)))</f>
        <v>Jun 2024</v>
      </c>
      <c r="U2523">
        <f>IF(Pipeline_tbl[[#This Row],[Closed_Date]]=0,"",Pipeline_tbl[[#This Row],[Closed_Date]]-Pipeline_tbl[[#This Row],[Created_Date]])</f>
        <v>24</v>
      </c>
    </row>
    <row r="2524" spans="1:21" ht="15" customHeight="1" x14ac:dyDescent="0.2">
      <c r="A2524" t="s">
        <v>2830</v>
      </c>
      <c r="B2524" t="s">
        <v>233</v>
      </c>
      <c r="C2524" t="s">
        <v>52</v>
      </c>
      <c r="D2524" s="49">
        <v>45430</v>
      </c>
      <c r="E2524" s="49">
        <v>45433</v>
      </c>
      <c r="F2524" s="49">
        <v>45438</v>
      </c>
      <c r="I2524" s="49">
        <v>45456</v>
      </c>
      <c r="J2524" t="s">
        <v>49</v>
      </c>
      <c r="K2524" s="33">
        <v>1300</v>
      </c>
      <c r="L2524" t="s">
        <v>60</v>
      </c>
      <c r="M2524" t="str">
        <f>_xlfn.XLOOKUP(Pipeline_tbl[[#This Row],[Rep_ID]],Dim_Reps!A:A,Dim_Reps!K:K)</f>
        <v>MXN</v>
      </c>
      <c r="N2524" s="33">
        <f>(_xlfn.XLOOKUP(Pipeline_tbl[[#This Row],[Rate_Code_Generalized]],Lookups!A:A,Lookups!B:B))*Pipeline_tbl[[#This Row],[Pipeline_Amount_USD]]</f>
        <v>25652.510000000002</v>
      </c>
      <c r="O2524" t="str">
        <f>_xlfn.XLOOKUP(Pipeline_tbl[[#This Row],[Rep_ID]],Dim_Reps!A:A,Dim_Reps!B:B)</f>
        <v>Lucas Duarte</v>
      </c>
      <c r="P2524" t="str">
        <f>_xlfn.XLOOKUP(Pipeline_tbl[[#This Row],[Rep_ID]],Dim_Reps!A:A,Dim_Reps!C:C)</f>
        <v>SDR / Inside Sales Rep</v>
      </c>
      <c r="Q2524" t="str">
        <f>_xlfn.XLOOKUP(Pipeline_tbl[[#This Row],[Rep_ID]],Dim_Reps!A:A,Dim_Reps!D:D)</f>
        <v>Inside Sales</v>
      </c>
      <c r="R2524" t="str">
        <f>_xlfn.XLOOKUP(Pipeline_tbl[[#This Row],[Rep_ID]],Dim_Reps!A:A,Dim_Reps!E:E)</f>
        <v>LATAM</v>
      </c>
      <c r="S2524" t="str">
        <f>_xlfn.XLOOKUP(Pipeline_tbl[[#This Row],[Created_Date]],Dim_Date!A:A,Dim_Date!H:H)</f>
        <v>May 2024</v>
      </c>
      <c r="T2524" t="str">
        <f>IF(Pipeline_tbl[[#This Row],[Closed_Date]]=0,"",(_xlfn.XLOOKUP(Pipeline_tbl[[#This Row],[Closed_Date]],Dim_Date!A:A,Dim_Date!H:H)))</f>
        <v>Jun 2024</v>
      </c>
      <c r="U2524">
        <f>IF(Pipeline_tbl[[#This Row],[Closed_Date]]=0,"",Pipeline_tbl[[#This Row],[Closed_Date]]-Pipeline_tbl[[#This Row],[Created_Date]])</f>
        <v>26</v>
      </c>
    </row>
    <row r="2525" spans="1:21" ht="15" customHeight="1" x14ac:dyDescent="0.2">
      <c r="A2525" t="s">
        <v>2831</v>
      </c>
      <c r="B2525" t="s">
        <v>233</v>
      </c>
      <c r="C2525" t="s">
        <v>54</v>
      </c>
      <c r="D2525" s="49">
        <v>45425</v>
      </c>
      <c r="E2525" s="49">
        <v>45428</v>
      </c>
      <c r="F2525" s="49">
        <v>45434</v>
      </c>
      <c r="G2525" s="49">
        <v>45442</v>
      </c>
      <c r="H2525" s="49">
        <v>45450</v>
      </c>
      <c r="I2525" s="49">
        <v>45454</v>
      </c>
      <c r="J2525" t="s">
        <v>49</v>
      </c>
      <c r="K2525" s="33">
        <v>7700</v>
      </c>
      <c r="L2525" t="s">
        <v>64</v>
      </c>
      <c r="M2525" t="str">
        <f>_xlfn.XLOOKUP(Pipeline_tbl[[#This Row],[Rep_ID]],Dim_Reps!A:A,Dim_Reps!K:K)</f>
        <v>MXN</v>
      </c>
      <c r="N2525" s="33">
        <f>(_xlfn.XLOOKUP(Pipeline_tbl[[#This Row],[Rate_Code_Generalized]],Lookups!A:A,Lookups!B:B))*Pipeline_tbl[[#This Row],[Pipeline_Amount_USD]]</f>
        <v>151941.79</v>
      </c>
      <c r="O2525" t="str">
        <f>_xlfn.XLOOKUP(Pipeline_tbl[[#This Row],[Rep_ID]],Dim_Reps!A:A,Dim_Reps!B:B)</f>
        <v>Lucas Duarte</v>
      </c>
      <c r="P2525" t="str">
        <f>_xlfn.XLOOKUP(Pipeline_tbl[[#This Row],[Rep_ID]],Dim_Reps!A:A,Dim_Reps!C:C)</f>
        <v>SDR / Inside Sales Rep</v>
      </c>
      <c r="Q2525" t="str">
        <f>_xlfn.XLOOKUP(Pipeline_tbl[[#This Row],[Rep_ID]],Dim_Reps!A:A,Dim_Reps!D:D)</f>
        <v>Inside Sales</v>
      </c>
      <c r="R2525" t="str">
        <f>_xlfn.XLOOKUP(Pipeline_tbl[[#This Row],[Rep_ID]],Dim_Reps!A:A,Dim_Reps!E:E)</f>
        <v>LATAM</v>
      </c>
      <c r="S2525" t="str">
        <f>_xlfn.XLOOKUP(Pipeline_tbl[[#This Row],[Created_Date]],Dim_Date!A:A,Dim_Date!H:H)</f>
        <v>May 2024</v>
      </c>
      <c r="T2525" t="str">
        <f>IF(Pipeline_tbl[[#This Row],[Closed_Date]]=0,"",(_xlfn.XLOOKUP(Pipeline_tbl[[#This Row],[Closed_Date]],Dim_Date!A:A,Dim_Date!H:H)))</f>
        <v>Jun 2024</v>
      </c>
      <c r="U2525">
        <f>IF(Pipeline_tbl[[#This Row],[Closed_Date]]=0,"",Pipeline_tbl[[#This Row],[Closed_Date]]-Pipeline_tbl[[#This Row],[Created_Date]])</f>
        <v>29</v>
      </c>
    </row>
    <row r="2526" spans="1:21" ht="15" customHeight="1" x14ac:dyDescent="0.2">
      <c r="A2526" t="s">
        <v>2832</v>
      </c>
      <c r="B2526" t="s">
        <v>233</v>
      </c>
      <c r="C2526" t="s">
        <v>52</v>
      </c>
      <c r="D2526" s="49">
        <v>45439</v>
      </c>
      <c r="E2526" s="49">
        <v>45440</v>
      </c>
      <c r="F2526" s="49">
        <v>45443</v>
      </c>
      <c r="I2526" s="49">
        <v>45453</v>
      </c>
      <c r="J2526" t="s">
        <v>49</v>
      </c>
      <c r="K2526" s="33">
        <v>2500</v>
      </c>
      <c r="L2526" t="s">
        <v>61</v>
      </c>
      <c r="M2526" t="str">
        <f>_xlfn.XLOOKUP(Pipeline_tbl[[#This Row],[Rep_ID]],Dim_Reps!A:A,Dim_Reps!K:K)</f>
        <v>MXN</v>
      </c>
      <c r="N2526" s="33">
        <f>(_xlfn.XLOOKUP(Pipeline_tbl[[#This Row],[Rate_Code_Generalized]],Lookups!A:A,Lookups!B:B))*Pipeline_tbl[[#This Row],[Pipeline_Amount_USD]]</f>
        <v>49331.75</v>
      </c>
      <c r="O2526" t="str">
        <f>_xlfn.XLOOKUP(Pipeline_tbl[[#This Row],[Rep_ID]],Dim_Reps!A:A,Dim_Reps!B:B)</f>
        <v>Lucas Duarte</v>
      </c>
      <c r="P2526" t="str">
        <f>_xlfn.XLOOKUP(Pipeline_tbl[[#This Row],[Rep_ID]],Dim_Reps!A:A,Dim_Reps!C:C)</f>
        <v>SDR / Inside Sales Rep</v>
      </c>
      <c r="Q2526" t="str">
        <f>_xlfn.XLOOKUP(Pipeline_tbl[[#This Row],[Rep_ID]],Dim_Reps!A:A,Dim_Reps!D:D)</f>
        <v>Inside Sales</v>
      </c>
      <c r="R2526" t="str">
        <f>_xlfn.XLOOKUP(Pipeline_tbl[[#This Row],[Rep_ID]],Dim_Reps!A:A,Dim_Reps!E:E)</f>
        <v>LATAM</v>
      </c>
      <c r="S2526" t="str">
        <f>_xlfn.XLOOKUP(Pipeline_tbl[[#This Row],[Created_Date]],Dim_Date!A:A,Dim_Date!H:H)</f>
        <v>May 2024</v>
      </c>
      <c r="T2526" t="str">
        <f>IF(Pipeline_tbl[[#This Row],[Closed_Date]]=0,"",(_xlfn.XLOOKUP(Pipeline_tbl[[#This Row],[Closed_Date]],Dim_Date!A:A,Dim_Date!H:H)))</f>
        <v>Jun 2024</v>
      </c>
      <c r="U2526">
        <f>IF(Pipeline_tbl[[#This Row],[Closed_Date]]=0,"",Pipeline_tbl[[#This Row],[Closed_Date]]-Pipeline_tbl[[#This Row],[Created_Date]])</f>
        <v>14</v>
      </c>
    </row>
    <row r="2527" spans="1:21" ht="15" customHeight="1" x14ac:dyDescent="0.2">
      <c r="A2527" t="s">
        <v>2833</v>
      </c>
      <c r="B2527" t="s">
        <v>233</v>
      </c>
      <c r="C2527" t="s">
        <v>55</v>
      </c>
      <c r="D2527" s="49">
        <v>45428</v>
      </c>
      <c r="E2527" s="49">
        <v>45430</v>
      </c>
      <c r="F2527" s="49">
        <v>45433</v>
      </c>
      <c r="G2527" s="49">
        <v>45438</v>
      </c>
      <c r="H2527" s="49">
        <v>45442</v>
      </c>
      <c r="I2527" s="49">
        <v>45445</v>
      </c>
      <c r="J2527" t="s">
        <v>47</v>
      </c>
      <c r="K2527" s="33">
        <v>2700</v>
      </c>
      <c r="M2527" t="str">
        <f>_xlfn.XLOOKUP(Pipeline_tbl[[#This Row],[Rep_ID]],Dim_Reps!A:A,Dim_Reps!K:K)</f>
        <v>MXN</v>
      </c>
      <c r="N2527" s="33">
        <f>(_xlfn.XLOOKUP(Pipeline_tbl[[#This Row],[Rate_Code_Generalized]],Lookups!A:A,Lookups!B:B))*Pipeline_tbl[[#This Row],[Pipeline_Amount_USD]]</f>
        <v>53278.29</v>
      </c>
      <c r="O2527" t="str">
        <f>_xlfn.XLOOKUP(Pipeline_tbl[[#This Row],[Rep_ID]],Dim_Reps!A:A,Dim_Reps!B:B)</f>
        <v>Lucas Duarte</v>
      </c>
      <c r="P2527" t="str">
        <f>_xlfn.XLOOKUP(Pipeline_tbl[[#This Row],[Rep_ID]],Dim_Reps!A:A,Dim_Reps!C:C)</f>
        <v>SDR / Inside Sales Rep</v>
      </c>
      <c r="Q2527" t="str">
        <f>_xlfn.XLOOKUP(Pipeline_tbl[[#This Row],[Rep_ID]],Dim_Reps!A:A,Dim_Reps!D:D)</f>
        <v>Inside Sales</v>
      </c>
      <c r="R2527" t="str">
        <f>_xlfn.XLOOKUP(Pipeline_tbl[[#This Row],[Rep_ID]],Dim_Reps!A:A,Dim_Reps!E:E)</f>
        <v>LATAM</v>
      </c>
      <c r="S2527" t="str">
        <f>_xlfn.XLOOKUP(Pipeline_tbl[[#This Row],[Created_Date]],Dim_Date!A:A,Dim_Date!H:H)</f>
        <v>May 2024</v>
      </c>
      <c r="T2527" t="str">
        <f>IF(Pipeline_tbl[[#This Row],[Closed_Date]]=0,"",(_xlfn.XLOOKUP(Pipeline_tbl[[#This Row],[Closed_Date]],Dim_Date!A:A,Dim_Date!H:H)))</f>
        <v>Jun 2024</v>
      </c>
      <c r="U2527">
        <f>IF(Pipeline_tbl[[#This Row],[Closed_Date]]=0,"",Pipeline_tbl[[#This Row],[Closed_Date]]-Pipeline_tbl[[#This Row],[Created_Date]])</f>
        <v>17</v>
      </c>
    </row>
    <row r="2528" spans="1:21" ht="15" customHeight="1" x14ac:dyDescent="0.2">
      <c r="A2528" t="s">
        <v>2834</v>
      </c>
      <c r="B2528" t="s">
        <v>233</v>
      </c>
      <c r="C2528" t="s">
        <v>52</v>
      </c>
      <c r="D2528" s="49">
        <v>45438</v>
      </c>
      <c r="E2528" s="49">
        <v>45440</v>
      </c>
      <c r="F2528" s="49">
        <v>45443</v>
      </c>
      <c r="G2528" s="49">
        <v>45448</v>
      </c>
      <c r="H2528" s="49">
        <v>45452</v>
      </c>
      <c r="I2528" s="49">
        <v>45454</v>
      </c>
      <c r="J2528" t="s">
        <v>49</v>
      </c>
      <c r="K2528" s="33">
        <v>4200</v>
      </c>
      <c r="L2528" t="s">
        <v>63</v>
      </c>
      <c r="M2528" t="str">
        <f>_xlfn.XLOOKUP(Pipeline_tbl[[#This Row],[Rep_ID]],Dim_Reps!A:A,Dim_Reps!K:K)</f>
        <v>MXN</v>
      </c>
      <c r="N2528" s="33">
        <f>(_xlfn.XLOOKUP(Pipeline_tbl[[#This Row],[Rate_Code_Generalized]],Lookups!A:A,Lookups!B:B))*Pipeline_tbl[[#This Row],[Pipeline_Amount_USD]]</f>
        <v>82877.340000000011</v>
      </c>
      <c r="O2528" t="str">
        <f>_xlfn.XLOOKUP(Pipeline_tbl[[#This Row],[Rep_ID]],Dim_Reps!A:A,Dim_Reps!B:B)</f>
        <v>Lucas Duarte</v>
      </c>
      <c r="P2528" t="str">
        <f>_xlfn.XLOOKUP(Pipeline_tbl[[#This Row],[Rep_ID]],Dim_Reps!A:A,Dim_Reps!C:C)</f>
        <v>SDR / Inside Sales Rep</v>
      </c>
      <c r="Q2528" t="str">
        <f>_xlfn.XLOOKUP(Pipeline_tbl[[#This Row],[Rep_ID]],Dim_Reps!A:A,Dim_Reps!D:D)</f>
        <v>Inside Sales</v>
      </c>
      <c r="R2528" t="str">
        <f>_xlfn.XLOOKUP(Pipeline_tbl[[#This Row],[Rep_ID]],Dim_Reps!A:A,Dim_Reps!E:E)</f>
        <v>LATAM</v>
      </c>
      <c r="S2528" t="str">
        <f>_xlfn.XLOOKUP(Pipeline_tbl[[#This Row],[Created_Date]],Dim_Date!A:A,Dim_Date!H:H)</f>
        <v>May 2024</v>
      </c>
      <c r="T2528" t="str">
        <f>IF(Pipeline_tbl[[#This Row],[Closed_Date]]=0,"",(_xlfn.XLOOKUP(Pipeline_tbl[[#This Row],[Closed_Date]],Dim_Date!A:A,Dim_Date!H:H)))</f>
        <v>Jun 2024</v>
      </c>
      <c r="U2528">
        <f>IF(Pipeline_tbl[[#This Row],[Closed_Date]]=0,"",Pipeline_tbl[[#This Row],[Closed_Date]]-Pipeline_tbl[[#This Row],[Created_Date]])</f>
        <v>16</v>
      </c>
    </row>
    <row r="2529" spans="1:21" ht="15" customHeight="1" x14ac:dyDescent="0.2">
      <c r="A2529" t="s">
        <v>2835</v>
      </c>
      <c r="B2529" t="s">
        <v>233</v>
      </c>
      <c r="C2529" t="s">
        <v>53</v>
      </c>
      <c r="D2529" s="49">
        <v>45440</v>
      </c>
      <c r="E2529" s="49">
        <v>45442</v>
      </c>
      <c r="F2529" s="49">
        <v>45446</v>
      </c>
      <c r="G2529" s="49">
        <v>45451</v>
      </c>
      <c r="H2529" s="49">
        <v>45456</v>
      </c>
      <c r="I2529" s="49">
        <v>45459</v>
      </c>
      <c r="J2529" t="s">
        <v>47</v>
      </c>
      <c r="K2529" s="33">
        <v>2100</v>
      </c>
      <c r="M2529" t="str">
        <f>_xlfn.XLOOKUP(Pipeline_tbl[[#This Row],[Rep_ID]],Dim_Reps!A:A,Dim_Reps!K:K)</f>
        <v>MXN</v>
      </c>
      <c r="N2529" s="33">
        <f>(_xlfn.XLOOKUP(Pipeline_tbl[[#This Row],[Rate_Code_Generalized]],Lookups!A:A,Lookups!B:B))*Pipeline_tbl[[#This Row],[Pipeline_Amount_USD]]</f>
        <v>41438.670000000006</v>
      </c>
      <c r="O2529" t="str">
        <f>_xlfn.XLOOKUP(Pipeline_tbl[[#This Row],[Rep_ID]],Dim_Reps!A:A,Dim_Reps!B:B)</f>
        <v>Lucas Duarte</v>
      </c>
      <c r="P2529" t="str">
        <f>_xlfn.XLOOKUP(Pipeline_tbl[[#This Row],[Rep_ID]],Dim_Reps!A:A,Dim_Reps!C:C)</f>
        <v>SDR / Inside Sales Rep</v>
      </c>
      <c r="Q2529" t="str">
        <f>_xlfn.XLOOKUP(Pipeline_tbl[[#This Row],[Rep_ID]],Dim_Reps!A:A,Dim_Reps!D:D)</f>
        <v>Inside Sales</v>
      </c>
      <c r="R2529" t="str">
        <f>_xlfn.XLOOKUP(Pipeline_tbl[[#This Row],[Rep_ID]],Dim_Reps!A:A,Dim_Reps!E:E)</f>
        <v>LATAM</v>
      </c>
      <c r="S2529" t="str">
        <f>_xlfn.XLOOKUP(Pipeline_tbl[[#This Row],[Created_Date]],Dim_Date!A:A,Dim_Date!H:H)</f>
        <v>May 2024</v>
      </c>
      <c r="T2529" t="str">
        <f>IF(Pipeline_tbl[[#This Row],[Closed_Date]]=0,"",(_xlfn.XLOOKUP(Pipeline_tbl[[#This Row],[Closed_Date]],Dim_Date!A:A,Dim_Date!H:H)))</f>
        <v>Jun 2024</v>
      </c>
      <c r="U2529">
        <f>IF(Pipeline_tbl[[#This Row],[Closed_Date]]=0,"",Pipeline_tbl[[#This Row],[Closed_Date]]-Pipeline_tbl[[#This Row],[Created_Date]])</f>
        <v>19</v>
      </c>
    </row>
    <row r="2530" spans="1:21" ht="15" customHeight="1" x14ac:dyDescent="0.2">
      <c r="A2530" t="s">
        <v>2836</v>
      </c>
      <c r="B2530" t="s">
        <v>233</v>
      </c>
      <c r="C2530" t="s">
        <v>53</v>
      </c>
      <c r="D2530" s="49">
        <v>45431</v>
      </c>
      <c r="E2530" s="49">
        <v>45433</v>
      </c>
      <c r="I2530" s="49">
        <v>45447</v>
      </c>
      <c r="J2530" t="s">
        <v>49</v>
      </c>
      <c r="K2530" s="33">
        <v>4700</v>
      </c>
      <c r="L2530" t="s">
        <v>62</v>
      </c>
      <c r="M2530" t="str">
        <f>_xlfn.XLOOKUP(Pipeline_tbl[[#This Row],[Rep_ID]],Dim_Reps!A:A,Dim_Reps!K:K)</f>
        <v>MXN</v>
      </c>
      <c r="N2530" s="33">
        <f>(_xlfn.XLOOKUP(Pipeline_tbl[[#This Row],[Rate_Code_Generalized]],Lookups!A:A,Lookups!B:B))*Pipeline_tbl[[#This Row],[Pipeline_Amount_USD]]</f>
        <v>92743.69</v>
      </c>
      <c r="O2530" t="str">
        <f>_xlfn.XLOOKUP(Pipeline_tbl[[#This Row],[Rep_ID]],Dim_Reps!A:A,Dim_Reps!B:B)</f>
        <v>Lucas Duarte</v>
      </c>
      <c r="P2530" t="str">
        <f>_xlfn.XLOOKUP(Pipeline_tbl[[#This Row],[Rep_ID]],Dim_Reps!A:A,Dim_Reps!C:C)</f>
        <v>SDR / Inside Sales Rep</v>
      </c>
      <c r="Q2530" t="str">
        <f>_xlfn.XLOOKUP(Pipeline_tbl[[#This Row],[Rep_ID]],Dim_Reps!A:A,Dim_Reps!D:D)</f>
        <v>Inside Sales</v>
      </c>
      <c r="R2530" t="str">
        <f>_xlfn.XLOOKUP(Pipeline_tbl[[#This Row],[Rep_ID]],Dim_Reps!A:A,Dim_Reps!E:E)</f>
        <v>LATAM</v>
      </c>
      <c r="S2530" t="str">
        <f>_xlfn.XLOOKUP(Pipeline_tbl[[#This Row],[Created_Date]],Dim_Date!A:A,Dim_Date!H:H)</f>
        <v>May 2024</v>
      </c>
      <c r="T2530" t="str">
        <f>IF(Pipeline_tbl[[#This Row],[Closed_Date]]=0,"",(_xlfn.XLOOKUP(Pipeline_tbl[[#This Row],[Closed_Date]],Dim_Date!A:A,Dim_Date!H:H)))</f>
        <v>Jun 2024</v>
      </c>
      <c r="U2530">
        <f>IF(Pipeline_tbl[[#This Row],[Closed_Date]]=0,"",Pipeline_tbl[[#This Row],[Closed_Date]]-Pipeline_tbl[[#This Row],[Created_Date]])</f>
        <v>16</v>
      </c>
    </row>
    <row r="2531" spans="1:21" ht="15" customHeight="1" x14ac:dyDescent="0.2">
      <c r="A2531" t="s">
        <v>2837</v>
      </c>
      <c r="B2531" t="s">
        <v>233</v>
      </c>
      <c r="C2531" t="s">
        <v>53</v>
      </c>
      <c r="D2531" s="49">
        <v>45433</v>
      </c>
      <c r="E2531" s="49">
        <v>45434</v>
      </c>
      <c r="F2531" s="49">
        <v>45437</v>
      </c>
      <c r="G2531" s="49">
        <v>45441</v>
      </c>
      <c r="H2531" s="49">
        <v>45445</v>
      </c>
      <c r="I2531" s="49">
        <v>45447</v>
      </c>
      <c r="J2531" t="s">
        <v>47</v>
      </c>
      <c r="K2531" s="33">
        <v>7600</v>
      </c>
      <c r="M2531" t="str">
        <f>_xlfn.XLOOKUP(Pipeline_tbl[[#This Row],[Rep_ID]],Dim_Reps!A:A,Dim_Reps!K:K)</f>
        <v>MXN</v>
      </c>
      <c r="N2531" s="33">
        <f>(_xlfn.XLOOKUP(Pipeline_tbl[[#This Row],[Rate_Code_Generalized]],Lookups!A:A,Lookups!B:B))*Pipeline_tbl[[#This Row],[Pipeline_Amount_USD]]</f>
        <v>149968.52000000002</v>
      </c>
      <c r="O2531" t="str">
        <f>_xlfn.XLOOKUP(Pipeline_tbl[[#This Row],[Rep_ID]],Dim_Reps!A:A,Dim_Reps!B:B)</f>
        <v>Lucas Duarte</v>
      </c>
      <c r="P2531" t="str">
        <f>_xlfn.XLOOKUP(Pipeline_tbl[[#This Row],[Rep_ID]],Dim_Reps!A:A,Dim_Reps!C:C)</f>
        <v>SDR / Inside Sales Rep</v>
      </c>
      <c r="Q2531" t="str">
        <f>_xlfn.XLOOKUP(Pipeline_tbl[[#This Row],[Rep_ID]],Dim_Reps!A:A,Dim_Reps!D:D)</f>
        <v>Inside Sales</v>
      </c>
      <c r="R2531" t="str">
        <f>_xlfn.XLOOKUP(Pipeline_tbl[[#This Row],[Rep_ID]],Dim_Reps!A:A,Dim_Reps!E:E)</f>
        <v>LATAM</v>
      </c>
      <c r="S2531" t="str">
        <f>_xlfn.XLOOKUP(Pipeline_tbl[[#This Row],[Created_Date]],Dim_Date!A:A,Dim_Date!H:H)</f>
        <v>May 2024</v>
      </c>
      <c r="T2531" t="str">
        <f>IF(Pipeline_tbl[[#This Row],[Closed_Date]]=0,"",(_xlfn.XLOOKUP(Pipeline_tbl[[#This Row],[Closed_Date]],Dim_Date!A:A,Dim_Date!H:H)))</f>
        <v>Jun 2024</v>
      </c>
      <c r="U2531">
        <f>IF(Pipeline_tbl[[#This Row],[Closed_Date]]=0,"",Pipeline_tbl[[#This Row],[Closed_Date]]-Pipeline_tbl[[#This Row],[Created_Date]])</f>
        <v>14</v>
      </c>
    </row>
    <row r="2532" spans="1:21" ht="15" customHeight="1" x14ac:dyDescent="0.2">
      <c r="A2532" t="s">
        <v>2838</v>
      </c>
      <c r="B2532" t="s">
        <v>233</v>
      </c>
      <c r="C2532" t="s">
        <v>56</v>
      </c>
      <c r="D2532" s="49">
        <v>45437</v>
      </c>
      <c r="E2532" s="49">
        <v>45439</v>
      </c>
      <c r="F2532" s="49">
        <v>45444</v>
      </c>
      <c r="I2532" s="49">
        <v>45461</v>
      </c>
      <c r="J2532" t="s">
        <v>49</v>
      </c>
      <c r="K2532" s="33">
        <v>6000</v>
      </c>
      <c r="L2532" t="s">
        <v>64</v>
      </c>
      <c r="M2532" t="str">
        <f>_xlfn.XLOOKUP(Pipeline_tbl[[#This Row],[Rep_ID]],Dim_Reps!A:A,Dim_Reps!K:K)</f>
        <v>MXN</v>
      </c>
      <c r="N2532" s="33">
        <f>(_xlfn.XLOOKUP(Pipeline_tbl[[#This Row],[Rate_Code_Generalized]],Lookups!A:A,Lookups!B:B))*Pipeline_tbl[[#This Row],[Pipeline_Amount_USD]]</f>
        <v>118396.20000000001</v>
      </c>
      <c r="O2532" t="str">
        <f>_xlfn.XLOOKUP(Pipeline_tbl[[#This Row],[Rep_ID]],Dim_Reps!A:A,Dim_Reps!B:B)</f>
        <v>Lucas Duarte</v>
      </c>
      <c r="P2532" t="str">
        <f>_xlfn.XLOOKUP(Pipeline_tbl[[#This Row],[Rep_ID]],Dim_Reps!A:A,Dim_Reps!C:C)</f>
        <v>SDR / Inside Sales Rep</v>
      </c>
      <c r="Q2532" t="str">
        <f>_xlfn.XLOOKUP(Pipeline_tbl[[#This Row],[Rep_ID]],Dim_Reps!A:A,Dim_Reps!D:D)</f>
        <v>Inside Sales</v>
      </c>
      <c r="R2532" t="str">
        <f>_xlfn.XLOOKUP(Pipeline_tbl[[#This Row],[Rep_ID]],Dim_Reps!A:A,Dim_Reps!E:E)</f>
        <v>LATAM</v>
      </c>
      <c r="S2532" t="str">
        <f>_xlfn.XLOOKUP(Pipeline_tbl[[#This Row],[Created_Date]],Dim_Date!A:A,Dim_Date!H:H)</f>
        <v>May 2024</v>
      </c>
      <c r="T2532" t="str">
        <f>IF(Pipeline_tbl[[#This Row],[Closed_Date]]=0,"",(_xlfn.XLOOKUP(Pipeline_tbl[[#This Row],[Closed_Date]],Dim_Date!A:A,Dim_Date!H:H)))</f>
        <v>Jun 2024</v>
      </c>
      <c r="U2532">
        <f>IF(Pipeline_tbl[[#This Row],[Closed_Date]]=0,"",Pipeline_tbl[[#This Row],[Closed_Date]]-Pipeline_tbl[[#This Row],[Created_Date]])</f>
        <v>24</v>
      </c>
    </row>
    <row r="2533" spans="1:21" ht="15" customHeight="1" x14ac:dyDescent="0.2">
      <c r="A2533" t="s">
        <v>2839</v>
      </c>
      <c r="B2533" t="s">
        <v>233</v>
      </c>
      <c r="C2533" t="s">
        <v>55</v>
      </c>
      <c r="D2533" s="49">
        <v>45434</v>
      </c>
      <c r="E2533" s="49">
        <v>45435</v>
      </c>
      <c r="F2533" s="49">
        <v>45437</v>
      </c>
      <c r="G2533" s="49">
        <v>45441</v>
      </c>
      <c r="H2533" s="49">
        <v>45443</v>
      </c>
      <c r="I2533" s="49">
        <v>45445</v>
      </c>
      <c r="J2533" t="s">
        <v>47</v>
      </c>
      <c r="K2533" s="33">
        <v>3300</v>
      </c>
      <c r="M2533" t="str">
        <f>_xlfn.XLOOKUP(Pipeline_tbl[[#This Row],[Rep_ID]],Dim_Reps!A:A,Dim_Reps!K:K)</f>
        <v>MXN</v>
      </c>
      <c r="N2533" s="33">
        <f>(_xlfn.XLOOKUP(Pipeline_tbl[[#This Row],[Rate_Code_Generalized]],Lookups!A:A,Lookups!B:B))*Pipeline_tbl[[#This Row],[Pipeline_Amount_USD]]</f>
        <v>65117.91</v>
      </c>
      <c r="O2533" t="str">
        <f>_xlfn.XLOOKUP(Pipeline_tbl[[#This Row],[Rep_ID]],Dim_Reps!A:A,Dim_Reps!B:B)</f>
        <v>Lucas Duarte</v>
      </c>
      <c r="P2533" t="str">
        <f>_xlfn.XLOOKUP(Pipeline_tbl[[#This Row],[Rep_ID]],Dim_Reps!A:A,Dim_Reps!C:C)</f>
        <v>SDR / Inside Sales Rep</v>
      </c>
      <c r="Q2533" t="str">
        <f>_xlfn.XLOOKUP(Pipeline_tbl[[#This Row],[Rep_ID]],Dim_Reps!A:A,Dim_Reps!D:D)</f>
        <v>Inside Sales</v>
      </c>
      <c r="R2533" t="str">
        <f>_xlfn.XLOOKUP(Pipeline_tbl[[#This Row],[Rep_ID]],Dim_Reps!A:A,Dim_Reps!E:E)</f>
        <v>LATAM</v>
      </c>
      <c r="S2533" t="str">
        <f>_xlfn.XLOOKUP(Pipeline_tbl[[#This Row],[Created_Date]],Dim_Date!A:A,Dim_Date!H:H)</f>
        <v>May 2024</v>
      </c>
      <c r="T2533" t="str">
        <f>IF(Pipeline_tbl[[#This Row],[Closed_Date]]=0,"",(_xlfn.XLOOKUP(Pipeline_tbl[[#This Row],[Closed_Date]],Dim_Date!A:A,Dim_Date!H:H)))</f>
        <v>Jun 2024</v>
      </c>
      <c r="U2533">
        <f>IF(Pipeline_tbl[[#This Row],[Closed_Date]]=0,"",Pipeline_tbl[[#This Row],[Closed_Date]]-Pipeline_tbl[[#This Row],[Created_Date]])</f>
        <v>11</v>
      </c>
    </row>
    <row r="2534" spans="1:21" ht="15" customHeight="1" x14ac:dyDescent="0.2">
      <c r="A2534" t="s">
        <v>2840</v>
      </c>
      <c r="B2534" t="s">
        <v>267</v>
      </c>
      <c r="C2534" t="s">
        <v>52</v>
      </c>
      <c r="D2534" s="49">
        <v>45421</v>
      </c>
      <c r="E2534" s="49">
        <v>45425</v>
      </c>
      <c r="F2534" s="49">
        <v>45432</v>
      </c>
      <c r="I2534" s="49">
        <v>45459</v>
      </c>
      <c r="J2534" t="s">
        <v>49</v>
      </c>
      <c r="K2534" s="33">
        <v>16300</v>
      </c>
      <c r="L2534" t="s">
        <v>61</v>
      </c>
      <c r="M2534" t="str">
        <f>_xlfn.XLOOKUP(Pipeline_tbl[[#This Row],[Rep_ID]],Dim_Reps!A:A,Dim_Reps!K:K)</f>
        <v>MXN</v>
      </c>
      <c r="N2534" s="33">
        <f>(_xlfn.XLOOKUP(Pipeline_tbl[[#This Row],[Rate_Code_Generalized]],Lookups!A:A,Lookups!B:B))*Pipeline_tbl[[#This Row],[Pipeline_Amount_USD]]</f>
        <v>321643.01</v>
      </c>
      <c r="O2534" t="str">
        <f>_xlfn.XLOOKUP(Pipeline_tbl[[#This Row],[Rep_ID]],Dim_Reps!A:A,Dim_Reps!B:B)</f>
        <v>Yuki Dubois</v>
      </c>
      <c r="P2534" t="str">
        <f>_xlfn.XLOOKUP(Pipeline_tbl[[#This Row],[Rep_ID]],Dim_Reps!A:A,Dim_Reps!C:C)</f>
        <v>Mid-Market AE</v>
      </c>
      <c r="Q2534" t="str">
        <f>_xlfn.XLOOKUP(Pipeline_tbl[[#This Row],[Rep_ID]],Dim_Reps!A:A,Dim_Reps!D:D)</f>
        <v>Mid-Market</v>
      </c>
      <c r="R2534" t="str">
        <f>_xlfn.XLOOKUP(Pipeline_tbl[[#This Row],[Rep_ID]],Dim_Reps!A:A,Dim_Reps!E:E)</f>
        <v>LATAM</v>
      </c>
      <c r="S2534" t="str">
        <f>_xlfn.XLOOKUP(Pipeline_tbl[[#This Row],[Created_Date]],Dim_Date!A:A,Dim_Date!H:H)</f>
        <v>May 2024</v>
      </c>
      <c r="T2534" t="str">
        <f>IF(Pipeline_tbl[[#This Row],[Closed_Date]]=0,"",(_xlfn.XLOOKUP(Pipeline_tbl[[#This Row],[Closed_Date]],Dim_Date!A:A,Dim_Date!H:H)))</f>
        <v>Jun 2024</v>
      </c>
      <c r="U2534">
        <f>IF(Pipeline_tbl[[#This Row],[Closed_Date]]=0,"",Pipeline_tbl[[#This Row],[Closed_Date]]-Pipeline_tbl[[#This Row],[Created_Date]])</f>
        <v>38</v>
      </c>
    </row>
    <row r="2535" spans="1:21" ht="15" customHeight="1" x14ac:dyDescent="0.2">
      <c r="A2535" t="s">
        <v>2841</v>
      </c>
      <c r="B2535" t="s">
        <v>267</v>
      </c>
      <c r="C2535" t="s">
        <v>53</v>
      </c>
      <c r="D2535" s="49">
        <v>45441</v>
      </c>
      <c r="E2535" s="49">
        <v>45443</v>
      </c>
      <c r="F2535" s="49">
        <v>45447</v>
      </c>
      <c r="I2535" s="49">
        <v>45462</v>
      </c>
      <c r="J2535" t="s">
        <v>49</v>
      </c>
      <c r="K2535" s="33">
        <v>20900</v>
      </c>
      <c r="L2535" t="s">
        <v>63</v>
      </c>
      <c r="M2535" t="str">
        <f>_xlfn.XLOOKUP(Pipeline_tbl[[#This Row],[Rep_ID]],Dim_Reps!A:A,Dim_Reps!K:K)</f>
        <v>MXN</v>
      </c>
      <c r="N2535" s="33">
        <f>(_xlfn.XLOOKUP(Pipeline_tbl[[#This Row],[Rate_Code_Generalized]],Lookups!A:A,Lookups!B:B))*Pipeline_tbl[[#This Row],[Pipeline_Amount_USD]]</f>
        <v>412413.43000000005</v>
      </c>
      <c r="O2535" t="str">
        <f>_xlfn.XLOOKUP(Pipeline_tbl[[#This Row],[Rep_ID]],Dim_Reps!A:A,Dim_Reps!B:B)</f>
        <v>Yuki Dubois</v>
      </c>
      <c r="P2535" t="str">
        <f>_xlfn.XLOOKUP(Pipeline_tbl[[#This Row],[Rep_ID]],Dim_Reps!A:A,Dim_Reps!C:C)</f>
        <v>Mid-Market AE</v>
      </c>
      <c r="Q2535" t="str">
        <f>_xlfn.XLOOKUP(Pipeline_tbl[[#This Row],[Rep_ID]],Dim_Reps!A:A,Dim_Reps!D:D)</f>
        <v>Mid-Market</v>
      </c>
      <c r="R2535" t="str">
        <f>_xlfn.XLOOKUP(Pipeline_tbl[[#This Row],[Rep_ID]],Dim_Reps!A:A,Dim_Reps!E:E)</f>
        <v>LATAM</v>
      </c>
      <c r="S2535" t="str">
        <f>_xlfn.XLOOKUP(Pipeline_tbl[[#This Row],[Created_Date]],Dim_Date!A:A,Dim_Date!H:H)</f>
        <v>May 2024</v>
      </c>
      <c r="T2535" t="str">
        <f>IF(Pipeline_tbl[[#This Row],[Closed_Date]]=0,"",(_xlfn.XLOOKUP(Pipeline_tbl[[#This Row],[Closed_Date]],Dim_Date!A:A,Dim_Date!H:H)))</f>
        <v>Jun 2024</v>
      </c>
      <c r="U2535">
        <f>IF(Pipeline_tbl[[#This Row],[Closed_Date]]=0,"",Pipeline_tbl[[#This Row],[Closed_Date]]-Pipeline_tbl[[#This Row],[Created_Date]])</f>
        <v>21</v>
      </c>
    </row>
    <row r="2536" spans="1:21" ht="15" customHeight="1" x14ac:dyDescent="0.2">
      <c r="A2536" t="s">
        <v>2842</v>
      </c>
      <c r="B2536" t="s">
        <v>267</v>
      </c>
      <c r="C2536" t="s">
        <v>53</v>
      </c>
      <c r="D2536" s="49">
        <v>45424</v>
      </c>
      <c r="E2536" s="49">
        <v>45426</v>
      </c>
      <c r="F2536" s="49">
        <v>45431</v>
      </c>
      <c r="G2536" s="49">
        <v>45438</v>
      </c>
      <c r="H2536" s="49">
        <v>45444</v>
      </c>
      <c r="I2536" s="49">
        <v>45448</v>
      </c>
      <c r="J2536" t="s">
        <v>49</v>
      </c>
      <c r="K2536" s="33">
        <v>9600</v>
      </c>
      <c r="L2536" t="s">
        <v>61</v>
      </c>
      <c r="M2536" t="str">
        <f>_xlfn.XLOOKUP(Pipeline_tbl[[#This Row],[Rep_ID]],Dim_Reps!A:A,Dim_Reps!K:K)</f>
        <v>MXN</v>
      </c>
      <c r="N2536" s="33">
        <f>(_xlfn.XLOOKUP(Pipeline_tbl[[#This Row],[Rate_Code_Generalized]],Lookups!A:A,Lookups!B:B))*Pipeline_tbl[[#This Row],[Pipeline_Amount_USD]]</f>
        <v>189433.92</v>
      </c>
      <c r="O2536" t="str">
        <f>_xlfn.XLOOKUP(Pipeline_tbl[[#This Row],[Rep_ID]],Dim_Reps!A:A,Dim_Reps!B:B)</f>
        <v>Yuki Dubois</v>
      </c>
      <c r="P2536" t="str">
        <f>_xlfn.XLOOKUP(Pipeline_tbl[[#This Row],[Rep_ID]],Dim_Reps!A:A,Dim_Reps!C:C)</f>
        <v>Mid-Market AE</v>
      </c>
      <c r="Q2536" t="str">
        <f>_xlfn.XLOOKUP(Pipeline_tbl[[#This Row],[Rep_ID]],Dim_Reps!A:A,Dim_Reps!D:D)</f>
        <v>Mid-Market</v>
      </c>
      <c r="R2536" t="str">
        <f>_xlfn.XLOOKUP(Pipeline_tbl[[#This Row],[Rep_ID]],Dim_Reps!A:A,Dim_Reps!E:E)</f>
        <v>LATAM</v>
      </c>
      <c r="S2536" t="str">
        <f>_xlfn.XLOOKUP(Pipeline_tbl[[#This Row],[Created_Date]],Dim_Date!A:A,Dim_Date!H:H)</f>
        <v>May 2024</v>
      </c>
      <c r="T2536" t="str">
        <f>IF(Pipeline_tbl[[#This Row],[Closed_Date]]=0,"",(_xlfn.XLOOKUP(Pipeline_tbl[[#This Row],[Closed_Date]],Dim_Date!A:A,Dim_Date!H:H)))</f>
        <v>Jun 2024</v>
      </c>
      <c r="U2536">
        <f>IF(Pipeline_tbl[[#This Row],[Closed_Date]]=0,"",Pipeline_tbl[[#This Row],[Closed_Date]]-Pipeline_tbl[[#This Row],[Created_Date]])</f>
        <v>24</v>
      </c>
    </row>
    <row r="2537" spans="1:21" ht="15" customHeight="1" x14ac:dyDescent="0.2">
      <c r="A2537" t="s">
        <v>2843</v>
      </c>
      <c r="B2537" t="s">
        <v>267</v>
      </c>
      <c r="C2537" t="s">
        <v>56</v>
      </c>
      <c r="D2537" s="49">
        <v>45423</v>
      </c>
      <c r="E2537" s="49">
        <v>45426</v>
      </c>
      <c r="I2537" s="49">
        <v>45456</v>
      </c>
      <c r="J2537" t="s">
        <v>49</v>
      </c>
      <c r="K2537" s="33">
        <v>15700</v>
      </c>
      <c r="L2537" t="s">
        <v>60</v>
      </c>
      <c r="M2537" t="str">
        <f>_xlfn.XLOOKUP(Pipeline_tbl[[#This Row],[Rep_ID]],Dim_Reps!A:A,Dim_Reps!K:K)</f>
        <v>MXN</v>
      </c>
      <c r="N2537" s="33">
        <f>(_xlfn.XLOOKUP(Pipeline_tbl[[#This Row],[Rate_Code_Generalized]],Lookups!A:A,Lookups!B:B))*Pipeline_tbl[[#This Row],[Pipeline_Amount_USD]]</f>
        <v>309803.39</v>
      </c>
      <c r="O2537" t="str">
        <f>_xlfn.XLOOKUP(Pipeline_tbl[[#This Row],[Rep_ID]],Dim_Reps!A:A,Dim_Reps!B:B)</f>
        <v>Yuki Dubois</v>
      </c>
      <c r="P2537" t="str">
        <f>_xlfn.XLOOKUP(Pipeline_tbl[[#This Row],[Rep_ID]],Dim_Reps!A:A,Dim_Reps!C:C)</f>
        <v>Mid-Market AE</v>
      </c>
      <c r="Q2537" t="str">
        <f>_xlfn.XLOOKUP(Pipeline_tbl[[#This Row],[Rep_ID]],Dim_Reps!A:A,Dim_Reps!D:D)</f>
        <v>Mid-Market</v>
      </c>
      <c r="R2537" t="str">
        <f>_xlfn.XLOOKUP(Pipeline_tbl[[#This Row],[Rep_ID]],Dim_Reps!A:A,Dim_Reps!E:E)</f>
        <v>LATAM</v>
      </c>
      <c r="S2537" t="str">
        <f>_xlfn.XLOOKUP(Pipeline_tbl[[#This Row],[Created_Date]],Dim_Date!A:A,Dim_Date!H:H)</f>
        <v>May 2024</v>
      </c>
      <c r="T2537" t="str">
        <f>IF(Pipeline_tbl[[#This Row],[Closed_Date]]=0,"",(_xlfn.XLOOKUP(Pipeline_tbl[[#This Row],[Closed_Date]],Dim_Date!A:A,Dim_Date!H:H)))</f>
        <v>Jun 2024</v>
      </c>
      <c r="U2537">
        <f>IF(Pipeline_tbl[[#This Row],[Closed_Date]]=0,"",Pipeline_tbl[[#This Row],[Closed_Date]]-Pipeline_tbl[[#This Row],[Created_Date]])</f>
        <v>33</v>
      </c>
    </row>
    <row r="2538" spans="1:21" ht="15" customHeight="1" x14ac:dyDescent="0.2">
      <c r="A2538" t="s">
        <v>2844</v>
      </c>
      <c r="B2538" t="s">
        <v>235</v>
      </c>
      <c r="C2538" t="s">
        <v>55</v>
      </c>
      <c r="D2538" s="49">
        <v>45427</v>
      </c>
      <c r="E2538" s="49">
        <v>45429</v>
      </c>
      <c r="F2538" s="49">
        <v>45432</v>
      </c>
      <c r="I2538" s="49">
        <v>45444</v>
      </c>
      <c r="J2538" t="s">
        <v>49</v>
      </c>
      <c r="K2538" s="33">
        <v>3300</v>
      </c>
      <c r="L2538" t="s">
        <v>62</v>
      </c>
      <c r="M2538" t="str">
        <f>_xlfn.XLOOKUP(Pipeline_tbl[[#This Row],[Rep_ID]],Dim_Reps!A:A,Dim_Reps!K:K)</f>
        <v>MXN</v>
      </c>
      <c r="N2538" s="33">
        <f>(_xlfn.XLOOKUP(Pipeline_tbl[[#This Row],[Rate_Code_Generalized]],Lookups!A:A,Lookups!B:B))*Pipeline_tbl[[#This Row],[Pipeline_Amount_USD]]</f>
        <v>65117.91</v>
      </c>
      <c r="O2538" t="str">
        <f>_xlfn.XLOOKUP(Pipeline_tbl[[#This Row],[Rep_ID]],Dim_Reps!A:A,Dim_Reps!B:B)</f>
        <v>Milo Castro</v>
      </c>
      <c r="P2538" t="str">
        <f>_xlfn.XLOOKUP(Pipeline_tbl[[#This Row],[Rep_ID]],Dim_Reps!A:A,Dim_Reps!C:C)</f>
        <v>SDR / Inside Sales Rep</v>
      </c>
      <c r="Q2538" t="str">
        <f>_xlfn.XLOOKUP(Pipeline_tbl[[#This Row],[Rep_ID]],Dim_Reps!A:A,Dim_Reps!D:D)</f>
        <v>Inside Sales</v>
      </c>
      <c r="R2538" t="str">
        <f>_xlfn.XLOOKUP(Pipeline_tbl[[#This Row],[Rep_ID]],Dim_Reps!A:A,Dim_Reps!E:E)</f>
        <v>LATAM</v>
      </c>
      <c r="S2538" t="str">
        <f>_xlfn.XLOOKUP(Pipeline_tbl[[#This Row],[Created_Date]],Dim_Date!A:A,Dim_Date!H:H)</f>
        <v>May 2024</v>
      </c>
      <c r="T2538" t="str">
        <f>IF(Pipeline_tbl[[#This Row],[Closed_Date]]=0,"",(_xlfn.XLOOKUP(Pipeline_tbl[[#This Row],[Closed_Date]],Dim_Date!A:A,Dim_Date!H:H)))</f>
        <v>Jun 2024</v>
      </c>
      <c r="U2538">
        <f>IF(Pipeline_tbl[[#This Row],[Closed_Date]]=0,"",Pipeline_tbl[[#This Row],[Closed_Date]]-Pipeline_tbl[[#This Row],[Created_Date]])</f>
        <v>17</v>
      </c>
    </row>
    <row r="2539" spans="1:21" ht="15" customHeight="1" x14ac:dyDescent="0.2">
      <c r="A2539" t="s">
        <v>2845</v>
      </c>
      <c r="B2539" t="s">
        <v>235</v>
      </c>
      <c r="C2539" t="s">
        <v>53</v>
      </c>
      <c r="D2539" s="49">
        <v>45422</v>
      </c>
      <c r="E2539" s="49">
        <v>45424</v>
      </c>
      <c r="I2539" s="49">
        <v>45446</v>
      </c>
      <c r="J2539" t="s">
        <v>49</v>
      </c>
      <c r="K2539" s="33">
        <v>2600</v>
      </c>
      <c r="L2539" t="s">
        <v>60</v>
      </c>
      <c r="M2539" t="str">
        <f>_xlfn.XLOOKUP(Pipeline_tbl[[#This Row],[Rep_ID]],Dim_Reps!A:A,Dim_Reps!K:K)</f>
        <v>MXN</v>
      </c>
      <c r="N2539" s="33">
        <f>(_xlfn.XLOOKUP(Pipeline_tbl[[#This Row],[Rate_Code_Generalized]],Lookups!A:A,Lookups!B:B))*Pipeline_tbl[[#This Row],[Pipeline_Amount_USD]]</f>
        <v>51305.020000000004</v>
      </c>
      <c r="O2539" t="str">
        <f>_xlfn.XLOOKUP(Pipeline_tbl[[#This Row],[Rep_ID]],Dim_Reps!A:A,Dim_Reps!B:B)</f>
        <v>Milo Castro</v>
      </c>
      <c r="P2539" t="str">
        <f>_xlfn.XLOOKUP(Pipeline_tbl[[#This Row],[Rep_ID]],Dim_Reps!A:A,Dim_Reps!C:C)</f>
        <v>SDR / Inside Sales Rep</v>
      </c>
      <c r="Q2539" t="str">
        <f>_xlfn.XLOOKUP(Pipeline_tbl[[#This Row],[Rep_ID]],Dim_Reps!A:A,Dim_Reps!D:D)</f>
        <v>Inside Sales</v>
      </c>
      <c r="R2539" t="str">
        <f>_xlfn.XLOOKUP(Pipeline_tbl[[#This Row],[Rep_ID]],Dim_Reps!A:A,Dim_Reps!E:E)</f>
        <v>LATAM</v>
      </c>
      <c r="S2539" t="str">
        <f>_xlfn.XLOOKUP(Pipeline_tbl[[#This Row],[Created_Date]],Dim_Date!A:A,Dim_Date!H:H)</f>
        <v>May 2024</v>
      </c>
      <c r="T2539" t="str">
        <f>IF(Pipeline_tbl[[#This Row],[Closed_Date]]=0,"",(_xlfn.XLOOKUP(Pipeline_tbl[[#This Row],[Closed_Date]],Dim_Date!A:A,Dim_Date!H:H)))</f>
        <v>Jun 2024</v>
      </c>
      <c r="U2539">
        <f>IF(Pipeline_tbl[[#This Row],[Closed_Date]]=0,"",Pipeline_tbl[[#This Row],[Closed_Date]]-Pipeline_tbl[[#This Row],[Created_Date]])</f>
        <v>24</v>
      </c>
    </row>
    <row r="2540" spans="1:21" ht="15" customHeight="1" x14ac:dyDescent="0.2">
      <c r="A2540" t="s">
        <v>2846</v>
      </c>
      <c r="B2540" t="s">
        <v>235</v>
      </c>
      <c r="C2540" t="s">
        <v>56</v>
      </c>
      <c r="D2540" s="49">
        <v>45434</v>
      </c>
      <c r="E2540" s="49">
        <v>45435</v>
      </c>
      <c r="F2540" s="49">
        <v>45438</v>
      </c>
      <c r="G2540" s="49">
        <v>45441</v>
      </c>
      <c r="I2540" s="49">
        <v>45446</v>
      </c>
      <c r="J2540" t="s">
        <v>49</v>
      </c>
      <c r="K2540" s="33">
        <v>2200</v>
      </c>
      <c r="L2540" t="s">
        <v>62</v>
      </c>
      <c r="M2540" t="str">
        <f>_xlfn.XLOOKUP(Pipeline_tbl[[#This Row],[Rep_ID]],Dim_Reps!A:A,Dim_Reps!K:K)</f>
        <v>MXN</v>
      </c>
      <c r="N2540" s="33">
        <f>(_xlfn.XLOOKUP(Pipeline_tbl[[#This Row],[Rate_Code_Generalized]],Lookups!A:A,Lookups!B:B))*Pipeline_tbl[[#This Row],[Pipeline_Amount_USD]]</f>
        <v>43411.94</v>
      </c>
      <c r="O2540" t="str">
        <f>_xlfn.XLOOKUP(Pipeline_tbl[[#This Row],[Rep_ID]],Dim_Reps!A:A,Dim_Reps!B:B)</f>
        <v>Milo Castro</v>
      </c>
      <c r="P2540" t="str">
        <f>_xlfn.XLOOKUP(Pipeline_tbl[[#This Row],[Rep_ID]],Dim_Reps!A:A,Dim_Reps!C:C)</f>
        <v>SDR / Inside Sales Rep</v>
      </c>
      <c r="Q2540" t="str">
        <f>_xlfn.XLOOKUP(Pipeline_tbl[[#This Row],[Rep_ID]],Dim_Reps!A:A,Dim_Reps!D:D)</f>
        <v>Inside Sales</v>
      </c>
      <c r="R2540" t="str">
        <f>_xlfn.XLOOKUP(Pipeline_tbl[[#This Row],[Rep_ID]],Dim_Reps!A:A,Dim_Reps!E:E)</f>
        <v>LATAM</v>
      </c>
      <c r="S2540" t="str">
        <f>_xlfn.XLOOKUP(Pipeline_tbl[[#This Row],[Created_Date]],Dim_Date!A:A,Dim_Date!H:H)</f>
        <v>May 2024</v>
      </c>
      <c r="T2540" t="str">
        <f>IF(Pipeline_tbl[[#This Row],[Closed_Date]]=0,"",(_xlfn.XLOOKUP(Pipeline_tbl[[#This Row],[Closed_Date]],Dim_Date!A:A,Dim_Date!H:H)))</f>
        <v>Jun 2024</v>
      </c>
      <c r="U2540">
        <f>IF(Pipeline_tbl[[#This Row],[Closed_Date]]=0,"",Pipeline_tbl[[#This Row],[Closed_Date]]-Pipeline_tbl[[#This Row],[Created_Date]])</f>
        <v>12</v>
      </c>
    </row>
    <row r="2541" spans="1:21" ht="15" customHeight="1" x14ac:dyDescent="0.2">
      <c r="A2541" t="s">
        <v>2847</v>
      </c>
      <c r="B2541" t="s">
        <v>235</v>
      </c>
      <c r="C2541" t="s">
        <v>54</v>
      </c>
      <c r="D2541" s="49">
        <v>45429</v>
      </c>
      <c r="E2541" s="49">
        <v>45431</v>
      </c>
      <c r="F2541" s="49">
        <v>45436</v>
      </c>
      <c r="G2541" s="49">
        <v>45442</v>
      </c>
      <c r="H2541" s="49">
        <v>45448</v>
      </c>
      <c r="I2541" s="49">
        <v>45451</v>
      </c>
      <c r="J2541" t="s">
        <v>47</v>
      </c>
      <c r="K2541" s="33">
        <v>5400</v>
      </c>
      <c r="M2541" t="str">
        <f>_xlfn.XLOOKUP(Pipeline_tbl[[#This Row],[Rep_ID]],Dim_Reps!A:A,Dim_Reps!K:K)</f>
        <v>MXN</v>
      </c>
      <c r="N2541" s="33">
        <f>(_xlfn.XLOOKUP(Pipeline_tbl[[#This Row],[Rate_Code_Generalized]],Lookups!A:A,Lookups!B:B))*Pipeline_tbl[[#This Row],[Pipeline_Amount_USD]]</f>
        <v>106556.58</v>
      </c>
      <c r="O2541" t="str">
        <f>_xlfn.XLOOKUP(Pipeline_tbl[[#This Row],[Rep_ID]],Dim_Reps!A:A,Dim_Reps!B:B)</f>
        <v>Milo Castro</v>
      </c>
      <c r="P2541" t="str">
        <f>_xlfn.XLOOKUP(Pipeline_tbl[[#This Row],[Rep_ID]],Dim_Reps!A:A,Dim_Reps!C:C)</f>
        <v>SDR / Inside Sales Rep</v>
      </c>
      <c r="Q2541" t="str">
        <f>_xlfn.XLOOKUP(Pipeline_tbl[[#This Row],[Rep_ID]],Dim_Reps!A:A,Dim_Reps!D:D)</f>
        <v>Inside Sales</v>
      </c>
      <c r="R2541" t="str">
        <f>_xlfn.XLOOKUP(Pipeline_tbl[[#This Row],[Rep_ID]],Dim_Reps!A:A,Dim_Reps!E:E)</f>
        <v>LATAM</v>
      </c>
      <c r="S2541" t="str">
        <f>_xlfn.XLOOKUP(Pipeline_tbl[[#This Row],[Created_Date]],Dim_Date!A:A,Dim_Date!H:H)</f>
        <v>May 2024</v>
      </c>
      <c r="T2541" t="str">
        <f>IF(Pipeline_tbl[[#This Row],[Closed_Date]]=0,"",(_xlfn.XLOOKUP(Pipeline_tbl[[#This Row],[Closed_Date]],Dim_Date!A:A,Dim_Date!H:H)))</f>
        <v>Jun 2024</v>
      </c>
      <c r="U2541">
        <f>IF(Pipeline_tbl[[#This Row],[Closed_Date]]=0,"",Pipeline_tbl[[#This Row],[Closed_Date]]-Pipeline_tbl[[#This Row],[Created_Date]])</f>
        <v>22</v>
      </c>
    </row>
    <row r="2542" spans="1:21" ht="15" customHeight="1" x14ac:dyDescent="0.2">
      <c r="A2542" t="s">
        <v>2848</v>
      </c>
      <c r="B2542" t="s">
        <v>237</v>
      </c>
      <c r="C2542" t="s">
        <v>54</v>
      </c>
      <c r="D2542" s="49">
        <v>45434</v>
      </c>
      <c r="E2542" s="49">
        <v>45435</v>
      </c>
      <c r="I2542" s="49">
        <v>45444</v>
      </c>
      <c r="J2542" t="s">
        <v>49</v>
      </c>
      <c r="K2542" s="33">
        <v>4100</v>
      </c>
      <c r="L2542" t="s">
        <v>61</v>
      </c>
      <c r="M2542" t="str">
        <f>_xlfn.XLOOKUP(Pipeline_tbl[[#This Row],[Rep_ID]],Dim_Reps!A:A,Dim_Reps!K:K)</f>
        <v>EUR</v>
      </c>
      <c r="N2542" s="33">
        <f>(_xlfn.XLOOKUP(Pipeline_tbl[[#This Row],[Rate_Code_Generalized]],Lookups!A:A,Lookups!B:B))*Pipeline_tbl[[#This Row],[Pipeline_Amount_USD]]</f>
        <v>4100</v>
      </c>
      <c r="O2542" t="str">
        <f>_xlfn.XLOOKUP(Pipeline_tbl[[#This Row],[Rep_ID]],Dim_Reps!A:A,Dim_Reps!B:B)</f>
        <v>Hugo Santos</v>
      </c>
      <c r="P2542" t="str">
        <f>_xlfn.XLOOKUP(Pipeline_tbl[[#This Row],[Rep_ID]],Dim_Reps!A:A,Dim_Reps!C:C)</f>
        <v>SDR / Inside Sales Rep</v>
      </c>
      <c r="Q2542" t="str">
        <f>_xlfn.XLOOKUP(Pipeline_tbl[[#This Row],[Rep_ID]],Dim_Reps!A:A,Dim_Reps!D:D)</f>
        <v>Inside Sales</v>
      </c>
      <c r="R2542" t="str">
        <f>_xlfn.XLOOKUP(Pipeline_tbl[[#This Row],[Rep_ID]],Dim_Reps!A:A,Dim_Reps!E:E)</f>
        <v>EMEA</v>
      </c>
      <c r="S2542" t="str">
        <f>_xlfn.XLOOKUP(Pipeline_tbl[[#This Row],[Created_Date]],Dim_Date!A:A,Dim_Date!H:H)</f>
        <v>May 2024</v>
      </c>
      <c r="T2542" t="str">
        <f>IF(Pipeline_tbl[[#This Row],[Closed_Date]]=0,"",(_xlfn.XLOOKUP(Pipeline_tbl[[#This Row],[Closed_Date]],Dim_Date!A:A,Dim_Date!H:H)))</f>
        <v>Jun 2024</v>
      </c>
      <c r="U2542">
        <f>IF(Pipeline_tbl[[#This Row],[Closed_Date]]=0,"",Pipeline_tbl[[#This Row],[Closed_Date]]-Pipeline_tbl[[#This Row],[Created_Date]])</f>
        <v>10</v>
      </c>
    </row>
    <row r="2543" spans="1:21" ht="15" customHeight="1" x14ac:dyDescent="0.2">
      <c r="A2543" t="s">
        <v>2849</v>
      </c>
      <c r="B2543" t="s">
        <v>237</v>
      </c>
      <c r="C2543" t="s">
        <v>52</v>
      </c>
      <c r="D2543" s="49">
        <v>45434</v>
      </c>
      <c r="E2543" s="49">
        <v>45436</v>
      </c>
      <c r="F2543" s="49">
        <v>45439</v>
      </c>
      <c r="G2543" s="49">
        <v>45444</v>
      </c>
      <c r="H2543" s="49">
        <v>45448</v>
      </c>
      <c r="I2543" s="49">
        <v>45450</v>
      </c>
      <c r="J2543" t="s">
        <v>49</v>
      </c>
      <c r="K2543" s="33">
        <v>5800</v>
      </c>
      <c r="L2543" t="s">
        <v>62</v>
      </c>
      <c r="M2543" t="str">
        <f>_xlfn.XLOOKUP(Pipeline_tbl[[#This Row],[Rep_ID]],Dim_Reps!A:A,Dim_Reps!K:K)</f>
        <v>EUR</v>
      </c>
      <c r="N2543" s="33">
        <f>(_xlfn.XLOOKUP(Pipeline_tbl[[#This Row],[Rate_Code_Generalized]],Lookups!A:A,Lookups!B:B))*Pipeline_tbl[[#This Row],[Pipeline_Amount_USD]]</f>
        <v>5800</v>
      </c>
      <c r="O2543" t="str">
        <f>_xlfn.XLOOKUP(Pipeline_tbl[[#This Row],[Rep_ID]],Dim_Reps!A:A,Dim_Reps!B:B)</f>
        <v>Hugo Santos</v>
      </c>
      <c r="P2543" t="str">
        <f>_xlfn.XLOOKUP(Pipeline_tbl[[#This Row],[Rep_ID]],Dim_Reps!A:A,Dim_Reps!C:C)</f>
        <v>SDR / Inside Sales Rep</v>
      </c>
      <c r="Q2543" t="str">
        <f>_xlfn.XLOOKUP(Pipeline_tbl[[#This Row],[Rep_ID]],Dim_Reps!A:A,Dim_Reps!D:D)</f>
        <v>Inside Sales</v>
      </c>
      <c r="R2543" t="str">
        <f>_xlfn.XLOOKUP(Pipeline_tbl[[#This Row],[Rep_ID]],Dim_Reps!A:A,Dim_Reps!E:E)</f>
        <v>EMEA</v>
      </c>
      <c r="S2543" t="str">
        <f>_xlfn.XLOOKUP(Pipeline_tbl[[#This Row],[Created_Date]],Dim_Date!A:A,Dim_Date!H:H)</f>
        <v>May 2024</v>
      </c>
      <c r="T2543" t="str">
        <f>IF(Pipeline_tbl[[#This Row],[Closed_Date]]=0,"",(_xlfn.XLOOKUP(Pipeline_tbl[[#This Row],[Closed_Date]],Dim_Date!A:A,Dim_Date!H:H)))</f>
        <v>Jun 2024</v>
      </c>
      <c r="U2543">
        <f>IF(Pipeline_tbl[[#This Row],[Closed_Date]]=0,"",Pipeline_tbl[[#This Row],[Closed_Date]]-Pipeline_tbl[[#This Row],[Created_Date]])</f>
        <v>16</v>
      </c>
    </row>
    <row r="2544" spans="1:21" ht="15" customHeight="1" x14ac:dyDescent="0.2">
      <c r="A2544" t="s">
        <v>2850</v>
      </c>
      <c r="B2544" t="s">
        <v>237</v>
      </c>
      <c r="C2544" t="s">
        <v>52</v>
      </c>
      <c r="D2544" s="49">
        <v>45429</v>
      </c>
      <c r="E2544" s="49">
        <v>45431</v>
      </c>
      <c r="F2544" s="49">
        <v>45434</v>
      </c>
      <c r="I2544" s="49">
        <v>45446</v>
      </c>
      <c r="J2544" t="s">
        <v>49</v>
      </c>
      <c r="K2544" s="33">
        <v>5700</v>
      </c>
      <c r="L2544" t="s">
        <v>60</v>
      </c>
      <c r="M2544" t="str">
        <f>_xlfn.XLOOKUP(Pipeline_tbl[[#This Row],[Rep_ID]],Dim_Reps!A:A,Dim_Reps!K:K)</f>
        <v>EUR</v>
      </c>
      <c r="N2544" s="33">
        <f>(_xlfn.XLOOKUP(Pipeline_tbl[[#This Row],[Rate_Code_Generalized]],Lookups!A:A,Lookups!B:B))*Pipeline_tbl[[#This Row],[Pipeline_Amount_USD]]</f>
        <v>5700</v>
      </c>
      <c r="O2544" t="str">
        <f>_xlfn.XLOOKUP(Pipeline_tbl[[#This Row],[Rep_ID]],Dim_Reps!A:A,Dim_Reps!B:B)</f>
        <v>Hugo Santos</v>
      </c>
      <c r="P2544" t="str">
        <f>_xlfn.XLOOKUP(Pipeline_tbl[[#This Row],[Rep_ID]],Dim_Reps!A:A,Dim_Reps!C:C)</f>
        <v>SDR / Inside Sales Rep</v>
      </c>
      <c r="Q2544" t="str">
        <f>_xlfn.XLOOKUP(Pipeline_tbl[[#This Row],[Rep_ID]],Dim_Reps!A:A,Dim_Reps!D:D)</f>
        <v>Inside Sales</v>
      </c>
      <c r="R2544" t="str">
        <f>_xlfn.XLOOKUP(Pipeline_tbl[[#This Row],[Rep_ID]],Dim_Reps!A:A,Dim_Reps!E:E)</f>
        <v>EMEA</v>
      </c>
      <c r="S2544" t="str">
        <f>_xlfn.XLOOKUP(Pipeline_tbl[[#This Row],[Created_Date]],Dim_Date!A:A,Dim_Date!H:H)</f>
        <v>May 2024</v>
      </c>
      <c r="T2544" t="str">
        <f>IF(Pipeline_tbl[[#This Row],[Closed_Date]]=0,"",(_xlfn.XLOOKUP(Pipeline_tbl[[#This Row],[Closed_Date]],Dim_Date!A:A,Dim_Date!H:H)))</f>
        <v>Jun 2024</v>
      </c>
      <c r="U2544">
        <f>IF(Pipeline_tbl[[#This Row],[Closed_Date]]=0,"",Pipeline_tbl[[#This Row],[Closed_Date]]-Pipeline_tbl[[#This Row],[Created_Date]])</f>
        <v>17</v>
      </c>
    </row>
    <row r="2545" spans="1:21" ht="15" customHeight="1" x14ac:dyDescent="0.2">
      <c r="A2545" t="s">
        <v>2851</v>
      </c>
      <c r="B2545" t="s">
        <v>237</v>
      </c>
      <c r="C2545" t="s">
        <v>55</v>
      </c>
      <c r="D2545" s="49">
        <v>45432</v>
      </c>
      <c r="E2545" s="49">
        <v>45434</v>
      </c>
      <c r="F2545" s="49">
        <v>45438</v>
      </c>
      <c r="G2545" s="49">
        <v>45445</v>
      </c>
      <c r="H2545" s="49">
        <v>45450</v>
      </c>
      <c r="I2545" s="49">
        <v>45453</v>
      </c>
      <c r="J2545" t="s">
        <v>47</v>
      </c>
      <c r="K2545" s="33">
        <v>5900</v>
      </c>
      <c r="M2545" t="str">
        <f>_xlfn.XLOOKUP(Pipeline_tbl[[#This Row],[Rep_ID]],Dim_Reps!A:A,Dim_Reps!K:K)</f>
        <v>EUR</v>
      </c>
      <c r="N2545" s="33">
        <f>(_xlfn.XLOOKUP(Pipeline_tbl[[#This Row],[Rate_Code_Generalized]],Lookups!A:A,Lookups!B:B))*Pipeline_tbl[[#This Row],[Pipeline_Amount_USD]]</f>
        <v>5900</v>
      </c>
      <c r="O2545" t="str">
        <f>_xlfn.XLOOKUP(Pipeline_tbl[[#This Row],[Rep_ID]],Dim_Reps!A:A,Dim_Reps!B:B)</f>
        <v>Hugo Santos</v>
      </c>
      <c r="P2545" t="str">
        <f>_xlfn.XLOOKUP(Pipeline_tbl[[#This Row],[Rep_ID]],Dim_Reps!A:A,Dim_Reps!C:C)</f>
        <v>SDR / Inside Sales Rep</v>
      </c>
      <c r="Q2545" t="str">
        <f>_xlfn.XLOOKUP(Pipeline_tbl[[#This Row],[Rep_ID]],Dim_Reps!A:A,Dim_Reps!D:D)</f>
        <v>Inside Sales</v>
      </c>
      <c r="R2545" t="str">
        <f>_xlfn.XLOOKUP(Pipeline_tbl[[#This Row],[Rep_ID]],Dim_Reps!A:A,Dim_Reps!E:E)</f>
        <v>EMEA</v>
      </c>
      <c r="S2545" t="str">
        <f>_xlfn.XLOOKUP(Pipeline_tbl[[#This Row],[Created_Date]],Dim_Date!A:A,Dim_Date!H:H)</f>
        <v>May 2024</v>
      </c>
      <c r="T2545" t="str">
        <f>IF(Pipeline_tbl[[#This Row],[Closed_Date]]=0,"",(_xlfn.XLOOKUP(Pipeline_tbl[[#This Row],[Closed_Date]],Dim_Date!A:A,Dim_Date!H:H)))</f>
        <v>Jun 2024</v>
      </c>
      <c r="U2545">
        <f>IF(Pipeline_tbl[[#This Row],[Closed_Date]]=0,"",Pipeline_tbl[[#This Row],[Closed_Date]]-Pipeline_tbl[[#This Row],[Created_Date]])</f>
        <v>21</v>
      </c>
    </row>
    <row r="2546" spans="1:21" ht="15" customHeight="1" x14ac:dyDescent="0.2">
      <c r="A2546" t="s">
        <v>2852</v>
      </c>
      <c r="B2546" t="s">
        <v>237</v>
      </c>
      <c r="C2546" t="s">
        <v>52</v>
      </c>
      <c r="D2546" s="49">
        <v>45432</v>
      </c>
      <c r="E2546" s="49">
        <v>45435</v>
      </c>
      <c r="F2546" s="49">
        <v>45441</v>
      </c>
      <c r="I2546" s="49">
        <v>45461</v>
      </c>
      <c r="J2546" t="s">
        <v>49</v>
      </c>
      <c r="K2546" s="33">
        <v>3400</v>
      </c>
      <c r="L2546" t="s">
        <v>60</v>
      </c>
      <c r="M2546" t="str">
        <f>_xlfn.XLOOKUP(Pipeline_tbl[[#This Row],[Rep_ID]],Dim_Reps!A:A,Dim_Reps!K:K)</f>
        <v>EUR</v>
      </c>
      <c r="N2546" s="33">
        <f>(_xlfn.XLOOKUP(Pipeline_tbl[[#This Row],[Rate_Code_Generalized]],Lookups!A:A,Lookups!B:B))*Pipeline_tbl[[#This Row],[Pipeline_Amount_USD]]</f>
        <v>3400</v>
      </c>
      <c r="O2546" t="str">
        <f>_xlfn.XLOOKUP(Pipeline_tbl[[#This Row],[Rep_ID]],Dim_Reps!A:A,Dim_Reps!B:B)</f>
        <v>Hugo Santos</v>
      </c>
      <c r="P2546" t="str">
        <f>_xlfn.XLOOKUP(Pipeline_tbl[[#This Row],[Rep_ID]],Dim_Reps!A:A,Dim_Reps!C:C)</f>
        <v>SDR / Inside Sales Rep</v>
      </c>
      <c r="Q2546" t="str">
        <f>_xlfn.XLOOKUP(Pipeline_tbl[[#This Row],[Rep_ID]],Dim_Reps!A:A,Dim_Reps!D:D)</f>
        <v>Inside Sales</v>
      </c>
      <c r="R2546" t="str">
        <f>_xlfn.XLOOKUP(Pipeline_tbl[[#This Row],[Rep_ID]],Dim_Reps!A:A,Dim_Reps!E:E)</f>
        <v>EMEA</v>
      </c>
      <c r="S2546" t="str">
        <f>_xlfn.XLOOKUP(Pipeline_tbl[[#This Row],[Created_Date]],Dim_Date!A:A,Dim_Date!H:H)</f>
        <v>May 2024</v>
      </c>
      <c r="T2546" t="str">
        <f>IF(Pipeline_tbl[[#This Row],[Closed_Date]]=0,"",(_xlfn.XLOOKUP(Pipeline_tbl[[#This Row],[Closed_Date]],Dim_Date!A:A,Dim_Date!H:H)))</f>
        <v>Jun 2024</v>
      </c>
      <c r="U2546">
        <f>IF(Pipeline_tbl[[#This Row],[Closed_Date]]=0,"",Pipeline_tbl[[#This Row],[Closed_Date]]-Pipeline_tbl[[#This Row],[Created_Date]])</f>
        <v>29</v>
      </c>
    </row>
    <row r="2547" spans="1:21" ht="15" customHeight="1" x14ac:dyDescent="0.2">
      <c r="A2547" t="s">
        <v>2853</v>
      </c>
      <c r="B2547" t="s">
        <v>237</v>
      </c>
      <c r="C2547" t="s">
        <v>55</v>
      </c>
      <c r="D2547" s="49">
        <v>45435</v>
      </c>
      <c r="E2547" s="49">
        <v>45437</v>
      </c>
      <c r="F2547" s="49">
        <v>45442</v>
      </c>
      <c r="G2547" s="49">
        <v>45449</v>
      </c>
      <c r="H2547" s="49">
        <v>45455</v>
      </c>
      <c r="I2547" s="49">
        <v>45458</v>
      </c>
      <c r="J2547" t="s">
        <v>49</v>
      </c>
      <c r="K2547" s="33">
        <v>4500</v>
      </c>
      <c r="L2547" t="s">
        <v>62</v>
      </c>
      <c r="M2547" t="str">
        <f>_xlfn.XLOOKUP(Pipeline_tbl[[#This Row],[Rep_ID]],Dim_Reps!A:A,Dim_Reps!K:K)</f>
        <v>EUR</v>
      </c>
      <c r="N2547" s="33">
        <f>(_xlfn.XLOOKUP(Pipeline_tbl[[#This Row],[Rate_Code_Generalized]],Lookups!A:A,Lookups!B:B))*Pipeline_tbl[[#This Row],[Pipeline_Amount_USD]]</f>
        <v>4500</v>
      </c>
      <c r="O2547" t="str">
        <f>_xlfn.XLOOKUP(Pipeline_tbl[[#This Row],[Rep_ID]],Dim_Reps!A:A,Dim_Reps!B:B)</f>
        <v>Hugo Santos</v>
      </c>
      <c r="P2547" t="str">
        <f>_xlfn.XLOOKUP(Pipeline_tbl[[#This Row],[Rep_ID]],Dim_Reps!A:A,Dim_Reps!C:C)</f>
        <v>SDR / Inside Sales Rep</v>
      </c>
      <c r="Q2547" t="str">
        <f>_xlfn.XLOOKUP(Pipeline_tbl[[#This Row],[Rep_ID]],Dim_Reps!A:A,Dim_Reps!D:D)</f>
        <v>Inside Sales</v>
      </c>
      <c r="R2547" t="str">
        <f>_xlfn.XLOOKUP(Pipeline_tbl[[#This Row],[Rep_ID]],Dim_Reps!A:A,Dim_Reps!E:E)</f>
        <v>EMEA</v>
      </c>
      <c r="S2547" t="str">
        <f>_xlfn.XLOOKUP(Pipeline_tbl[[#This Row],[Created_Date]],Dim_Date!A:A,Dim_Date!H:H)</f>
        <v>May 2024</v>
      </c>
      <c r="T2547" t="str">
        <f>IF(Pipeline_tbl[[#This Row],[Closed_Date]]=0,"",(_xlfn.XLOOKUP(Pipeline_tbl[[#This Row],[Closed_Date]],Dim_Date!A:A,Dim_Date!H:H)))</f>
        <v>Jun 2024</v>
      </c>
      <c r="U2547">
        <f>IF(Pipeline_tbl[[#This Row],[Closed_Date]]=0,"",Pipeline_tbl[[#This Row],[Closed_Date]]-Pipeline_tbl[[#This Row],[Created_Date]])</f>
        <v>23</v>
      </c>
    </row>
    <row r="2548" spans="1:21" ht="15" customHeight="1" x14ac:dyDescent="0.2">
      <c r="A2548" t="s">
        <v>2854</v>
      </c>
      <c r="B2548" t="s">
        <v>237</v>
      </c>
      <c r="C2548" t="s">
        <v>52</v>
      </c>
      <c r="D2548" s="49">
        <v>45426</v>
      </c>
      <c r="E2548" s="49">
        <v>45428</v>
      </c>
      <c r="F2548" s="49">
        <v>45433</v>
      </c>
      <c r="G2548" s="49">
        <v>45440</v>
      </c>
      <c r="I2548" s="49">
        <v>45450</v>
      </c>
      <c r="J2548" t="s">
        <v>49</v>
      </c>
      <c r="K2548" s="33">
        <v>3500</v>
      </c>
      <c r="L2548" t="s">
        <v>60</v>
      </c>
      <c r="M2548" t="str">
        <f>_xlfn.XLOOKUP(Pipeline_tbl[[#This Row],[Rep_ID]],Dim_Reps!A:A,Dim_Reps!K:K)</f>
        <v>EUR</v>
      </c>
      <c r="N2548" s="33">
        <f>(_xlfn.XLOOKUP(Pipeline_tbl[[#This Row],[Rate_Code_Generalized]],Lookups!A:A,Lookups!B:B))*Pipeline_tbl[[#This Row],[Pipeline_Amount_USD]]</f>
        <v>3500</v>
      </c>
      <c r="O2548" t="str">
        <f>_xlfn.XLOOKUP(Pipeline_tbl[[#This Row],[Rep_ID]],Dim_Reps!A:A,Dim_Reps!B:B)</f>
        <v>Hugo Santos</v>
      </c>
      <c r="P2548" t="str">
        <f>_xlfn.XLOOKUP(Pipeline_tbl[[#This Row],[Rep_ID]],Dim_Reps!A:A,Dim_Reps!C:C)</f>
        <v>SDR / Inside Sales Rep</v>
      </c>
      <c r="Q2548" t="str">
        <f>_xlfn.XLOOKUP(Pipeline_tbl[[#This Row],[Rep_ID]],Dim_Reps!A:A,Dim_Reps!D:D)</f>
        <v>Inside Sales</v>
      </c>
      <c r="R2548" t="str">
        <f>_xlfn.XLOOKUP(Pipeline_tbl[[#This Row],[Rep_ID]],Dim_Reps!A:A,Dim_Reps!E:E)</f>
        <v>EMEA</v>
      </c>
      <c r="S2548" t="str">
        <f>_xlfn.XLOOKUP(Pipeline_tbl[[#This Row],[Created_Date]],Dim_Date!A:A,Dim_Date!H:H)</f>
        <v>May 2024</v>
      </c>
      <c r="T2548" t="str">
        <f>IF(Pipeline_tbl[[#This Row],[Closed_Date]]=0,"",(_xlfn.XLOOKUP(Pipeline_tbl[[#This Row],[Closed_Date]],Dim_Date!A:A,Dim_Date!H:H)))</f>
        <v>Jun 2024</v>
      </c>
      <c r="U2548">
        <f>IF(Pipeline_tbl[[#This Row],[Closed_Date]]=0,"",Pipeline_tbl[[#This Row],[Closed_Date]]-Pipeline_tbl[[#This Row],[Created_Date]])</f>
        <v>24</v>
      </c>
    </row>
    <row r="2549" spans="1:21" ht="15" customHeight="1" x14ac:dyDescent="0.2">
      <c r="A2549" t="s">
        <v>2855</v>
      </c>
      <c r="B2549" t="s">
        <v>237</v>
      </c>
      <c r="C2549" t="s">
        <v>52</v>
      </c>
      <c r="D2549" s="49">
        <v>45439</v>
      </c>
      <c r="E2549" s="49">
        <v>45441</v>
      </c>
      <c r="I2549" s="49">
        <v>45458</v>
      </c>
      <c r="J2549" t="s">
        <v>49</v>
      </c>
      <c r="K2549" s="33">
        <v>9700</v>
      </c>
      <c r="L2549" t="s">
        <v>60</v>
      </c>
      <c r="M2549" t="str">
        <f>_xlfn.XLOOKUP(Pipeline_tbl[[#This Row],[Rep_ID]],Dim_Reps!A:A,Dim_Reps!K:K)</f>
        <v>EUR</v>
      </c>
      <c r="N2549" s="33">
        <f>(_xlfn.XLOOKUP(Pipeline_tbl[[#This Row],[Rate_Code_Generalized]],Lookups!A:A,Lookups!B:B))*Pipeline_tbl[[#This Row],[Pipeline_Amount_USD]]</f>
        <v>9700</v>
      </c>
      <c r="O2549" t="str">
        <f>_xlfn.XLOOKUP(Pipeline_tbl[[#This Row],[Rep_ID]],Dim_Reps!A:A,Dim_Reps!B:B)</f>
        <v>Hugo Santos</v>
      </c>
      <c r="P2549" t="str">
        <f>_xlfn.XLOOKUP(Pipeline_tbl[[#This Row],[Rep_ID]],Dim_Reps!A:A,Dim_Reps!C:C)</f>
        <v>SDR / Inside Sales Rep</v>
      </c>
      <c r="Q2549" t="str">
        <f>_xlfn.XLOOKUP(Pipeline_tbl[[#This Row],[Rep_ID]],Dim_Reps!A:A,Dim_Reps!D:D)</f>
        <v>Inside Sales</v>
      </c>
      <c r="R2549" t="str">
        <f>_xlfn.XLOOKUP(Pipeline_tbl[[#This Row],[Rep_ID]],Dim_Reps!A:A,Dim_Reps!E:E)</f>
        <v>EMEA</v>
      </c>
      <c r="S2549" t="str">
        <f>_xlfn.XLOOKUP(Pipeline_tbl[[#This Row],[Created_Date]],Dim_Date!A:A,Dim_Date!H:H)</f>
        <v>May 2024</v>
      </c>
      <c r="T2549" t="str">
        <f>IF(Pipeline_tbl[[#This Row],[Closed_Date]]=0,"",(_xlfn.XLOOKUP(Pipeline_tbl[[#This Row],[Closed_Date]],Dim_Date!A:A,Dim_Date!H:H)))</f>
        <v>Jun 2024</v>
      </c>
      <c r="U2549">
        <f>IF(Pipeline_tbl[[#This Row],[Closed_Date]]=0,"",Pipeline_tbl[[#This Row],[Closed_Date]]-Pipeline_tbl[[#This Row],[Created_Date]])</f>
        <v>19</v>
      </c>
    </row>
    <row r="2550" spans="1:21" ht="15" customHeight="1" x14ac:dyDescent="0.2">
      <c r="A2550" t="s">
        <v>2856</v>
      </c>
      <c r="B2550" t="s">
        <v>237</v>
      </c>
      <c r="C2550" t="s">
        <v>52</v>
      </c>
      <c r="D2550" s="49">
        <v>45441</v>
      </c>
      <c r="E2550" s="49">
        <v>45443</v>
      </c>
      <c r="F2550" s="49">
        <v>45448</v>
      </c>
      <c r="G2550" s="49">
        <v>45454</v>
      </c>
      <c r="H2550" s="49">
        <v>45460</v>
      </c>
      <c r="I2550" s="49">
        <v>45463</v>
      </c>
      <c r="J2550" t="s">
        <v>47</v>
      </c>
      <c r="K2550" s="33">
        <v>2900</v>
      </c>
      <c r="M2550" t="str">
        <f>_xlfn.XLOOKUP(Pipeline_tbl[[#This Row],[Rep_ID]],Dim_Reps!A:A,Dim_Reps!K:K)</f>
        <v>EUR</v>
      </c>
      <c r="N2550" s="33">
        <f>(_xlfn.XLOOKUP(Pipeline_tbl[[#This Row],[Rate_Code_Generalized]],Lookups!A:A,Lookups!B:B))*Pipeline_tbl[[#This Row],[Pipeline_Amount_USD]]</f>
        <v>2900</v>
      </c>
      <c r="O2550" t="str">
        <f>_xlfn.XLOOKUP(Pipeline_tbl[[#This Row],[Rep_ID]],Dim_Reps!A:A,Dim_Reps!B:B)</f>
        <v>Hugo Santos</v>
      </c>
      <c r="P2550" t="str">
        <f>_xlfn.XLOOKUP(Pipeline_tbl[[#This Row],[Rep_ID]],Dim_Reps!A:A,Dim_Reps!C:C)</f>
        <v>SDR / Inside Sales Rep</v>
      </c>
      <c r="Q2550" t="str">
        <f>_xlfn.XLOOKUP(Pipeline_tbl[[#This Row],[Rep_ID]],Dim_Reps!A:A,Dim_Reps!D:D)</f>
        <v>Inside Sales</v>
      </c>
      <c r="R2550" t="str">
        <f>_xlfn.XLOOKUP(Pipeline_tbl[[#This Row],[Rep_ID]],Dim_Reps!A:A,Dim_Reps!E:E)</f>
        <v>EMEA</v>
      </c>
      <c r="S2550" t="str">
        <f>_xlfn.XLOOKUP(Pipeline_tbl[[#This Row],[Created_Date]],Dim_Date!A:A,Dim_Date!H:H)</f>
        <v>May 2024</v>
      </c>
      <c r="T2550" t="str">
        <f>IF(Pipeline_tbl[[#This Row],[Closed_Date]]=0,"",(_xlfn.XLOOKUP(Pipeline_tbl[[#This Row],[Closed_Date]],Dim_Date!A:A,Dim_Date!H:H)))</f>
        <v>Jun 2024</v>
      </c>
      <c r="U2550">
        <f>IF(Pipeline_tbl[[#This Row],[Closed_Date]]=0,"",Pipeline_tbl[[#This Row],[Closed_Date]]-Pipeline_tbl[[#This Row],[Created_Date]])</f>
        <v>22</v>
      </c>
    </row>
    <row r="2551" spans="1:21" ht="15" customHeight="1" x14ac:dyDescent="0.2">
      <c r="A2551" t="s">
        <v>2857</v>
      </c>
      <c r="B2551" t="s">
        <v>237</v>
      </c>
      <c r="C2551" t="s">
        <v>53</v>
      </c>
      <c r="D2551" s="49">
        <v>45429</v>
      </c>
      <c r="E2551" s="49">
        <v>45431</v>
      </c>
      <c r="F2551" s="49">
        <v>45435</v>
      </c>
      <c r="G2551" s="49">
        <v>45441</v>
      </c>
      <c r="H2551" s="49">
        <v>45446</v>
      </c>
      <c r="I2551" s="49">
        <v>45449</v>
      </c>
      <c r="J2551" t="s">
        <v>47</v>
      </c>
      <c r="K2551" s="33">
        <v>3500</v>
      </c>
      <c r="M2551" t="str">
        <f>_xlfn.XLOOKUP(Pipeline_tbl[[#This Row],[Rep_ID]],Dim_Reps!A:A,Dim_Reps!K:K)</f>
        <v>EUR</v>
      </c>
      <c r="N2551" s="33">
        <f>(_xlfn.XLOOKUP(Pipeline_tbl[[#This Row],[Rate_Code_Generalized]],Lookups!A:A,Lookups!B:B))*Pipeline_tbl[[#This Row],[Pipeline_Amount_USD]]</f>
        <v>3500</v>
      </c>
      <c r="O2551" t="str">
        <f>_xlfn.XLOOKUP(Pipeline_tbl[[#This Row],[Rep_ID]],Dim_Reps!A:A,Dim_Reps!B:B)</f>
        <v>Hugo Santos</v>
      </c>
      <c r="P2551" t="str">
        <f>_xlfn.XLOOKUP(Pipeline_tbl[[#This Row],[Rep_ID]],Dim_Reps!A:A,Dim_Reps!C:C)</f>
        <v>SDR / Inside Sales Rep</v>
      </c>
      <c r="Q2551" t="str">
        <f>_xlfn.XLOOKUP(Pipeline_tbl[[#This Row],[Rep_ID]],Dim_Reps!A:A,Dim_Reps!D:D)</f>
        <v>Inside Sales</v>
      </c>
      <c r="R2551" t="str">
        <f>_xlfn.XLOOKUP(Pipeline_tbl[[#This Row],[Rep_ID]],Dim_Reps!A:A,Dim_Reps!E:E)</f>
        <v>EMEA</v>
      </c>
      <c r="S2551" t="str">
        <f>_xlfn.XLOOKUP(Pipeline_tbl[[#This Row],[Created_Date]],Dim_Date!A:A,Dim_Date!H:H)</f>
        <v>May 2024</v>
      </c>
      <c r="T2551" t="str">
        <f>IF(Pipeline_tbl[[#This Row],[Closed_Date]]=0,"",(_xlfn.XLOOKUP(Pipeline_tbl[[#This Row],[Closed_Date]],Dim_Date!A:A,Dim_Date!H:H)))</f>
        <v>Jun 2024</v>
      </c>
      <c r="U2551">
        <f>IF(Pipeline_tbl[[#This Row],[Closed_Date]]=0,"",Pipeline_tbl[[#This Row],[Closed_Date]]-Pipeline_tbl[[#This Row],[Created_Date]])</f>
        <v>20</v>
      </c>
    </row>
    <row r="2552" spans="1:21" ht="15" customHeight="1" x14ac:dyDescent="0.2">
      <c r="A2552" t="s">
        <v>2858</v>
      </c>
      <c r="B2552" t="s">
        <v>269</v>
      </c>
      <c r="C2552" t="s">
        <v>52</v>
      </c>
      <c r="D2552" s="49">
        <v>45428</v>
      </c>
      <c r="E2552" s="49">
        <v>45431</v>
      </c>
      <c r="F2552" s="49">
        <v>45438</v>
      </c>
      <c r="G2552" s="49">
        <v>45447</v>
      </c>
      <c r="I2552" s="49">
        <v>45460</v>
      </c>
      <c r="J2552" t="s">
        <v>49</v>
      </c>
      <c r="K2552" s="33">
        <v>8800</v>
      </c>
      <c r="L2552" t="s">
        <v>61</v>
      </c>
      <c r="M2552" t="str">
        <f>_xlfn.XLOOKUP(Pipeline_tbl[[#This Row],[Rep_ID]],Dim_Reps!A:A,Dim_Reps!K:K)</f>
        <v>USD</v>
      </c>
      <c r="N2552" s="33">
        <f>(_xlfn.XLOOKUP(Pipeline_tbl[[#This Row],[Rate_Code_Generalized]],Lookups!A:A,Lookups!B:B))*Pipeline_tbl[[#This Row],[Pipeline_Amount_USD]]</f>
        <v>10245.839999999998</v>
      </c>
      <c r="O2552" t="str">
        <f>_xlfn.XLOOKUP(Pipeline_tbl[[#This Row],[Rep_ID]],Dim_Reps!A:A,Dim_Reps!B:B)</f>
        <v>Morgan Rivera</v>
      </c>
      <c r="P2552" t="str">
        <f>_xlfn.XLOOKUP(Pipeline_tbl[[#This Row],[Rep_ID]],Dim_Reps!A:A,Dim_Reps!C:C)</f>
        <v>Mid-Market AE</v>
      </c>
      <c r="Q2552" t="str">
        <f>_xlfn.XLOOKUP(Pipeline_tbl[[#This Row],[Rep_ID]],Dim_Reps!A:A,Dim_Reps!D:D)</f>
        <v>Mid-Market</v>
      </c>
      <c r="R2552" t="str">
        <f>_xlfn.XLOOKUP(Pipeline_tbl[[#This Row],[Rep_ID]],Dim_Reps!A:A,Dim_Reps!E:E)</f>
        <v>NAMER</v>
      </c>
      <c r="S2552" t="str">
        <f>_xlfn.XLOOKUP(Pipeline_tbl[[#This Row],[Created_Date]],Dim_Date!A:A,Dim_Date!H:H)</f>
        <v>May 2024</v>
      </c>
      <c r="T2552" t="str">
        <f>IF(Pipeline_tbl[[#This Row],[Closed_Date]]=0,"",(_xlfn.XLOOKUP(Pipeline_tbl[[#This Row],[Closed_Date]],Dim_Date!A:A,Dim_Date!H:H)))</f>
        <v>Jun 2024</v>
      </c>
      <c r="U2552">
        <f>IF(Pipeline_tbl[[#This Row],[Closed_Date]]=0,"",Pipeline_tbl[[#This Row],[Closed_Date]]-Pipeline_tbl[[#This Row],[Created_Date]])</f>
        <v>32</v>
      </c>
    </row>
    <row r="2553" spans="1:21" ht="15" customHeight="1" x14ac:dyDescent="0.2">
      <c r="A2553" t="s">
        <v>2859</v>
      </c>
      <c r="B2553" t="s">
        <v>269</v>
      </c>
      <c r="C2553" t="s">
        <v>52</v>
      </c>
      <c r="D2553" s="49">
        <v>45427</v>
      </c>
      <c r="E2553" s="49">
        <v>45431</v>
      </c>
      <c r="F2553" s="49">
        <v>45438</v>
      </c>
      <c r="G2553" s="49">
        <v>45448</v>
      </c>
      <c r="I2553" s="49">
        <v>45462</v>
      </c>
      <c r="J2553" t="s">
        <v>49</v>
      </c>
      <c r="K2553" s="33">
        <v>24500</v>
      </c>
      <c r="L2553" t="s">
        <v>64</v>
      </c>
      <c r="M2553" t="str">
        <f>_xlfn.XLOOKUP(Pipeline_tbl[[#This Row],[Rep_ID]],Dim_Reps!A:A,Dim_Reps!K:K)</f>
        <v>USD</v>
      </c>
      <c r="N2553" s="33">
        <f>(_xlfn.XLOOKUP(Pipeline_tbl[[#This Row],[Rate_Code_Generalized]],Lookups!A:A,Lookups!B:B))*Pipeline_tbl[[#This Row],[Pipeline_Amount_USD]]</f>
        <v>28525.35</v>
      </c>
      <c r="O2553" t="str">
        <f>_xlfn.XLOOKUP(Pipeline_tbl[[#This Row],[Rep_ID]],Dim_Reps!A:A,Dim_Reps!B:B)</f>
        <v>Morgan Rivera</v>
      </c>
      <c r="P2553" t="str">
        <f>_xlfn.XLOOKUP(Pipeline_tbl[[#This Row],[Rep_ID]],Dim_Reps!A:A,Dim_Reps!C:C)</f>
        <v>Mid-Market AE</v>
      </c>
      <c r="Q2553" t="str">
        <f>_xlfn.XLOOKUP(Pipeline_tbl[[#This Row],[Rep_ID]],Dim_Reps!A:A,Dim_Reps!D:D)</f>
        <v>Mid-Market</v>
      </c>
      <c r="R2553" t="str">
        <f>_xlfn.XLOOKUP(Pipeline_tbl[[#This Row],[Rep_ID]],Dim_Reps!A:A,Dim_Reps!E:E)</f>
        <v>NAMER</v>
      </c>
      <c r="S2553" t="str">
        <f>_xlfn.XLOOKUP(Pipeline_tbl[[#This Row],[Created_Date]],Dim_Date!A:A,Dim_Date!H:H)</f>
        <v>May 2024</v>
      </c>
      <c r="T2553" t="str">
        <f>IF(Pipeline_tbl[[#This Row],[Closed_Date]]=0,"",(_xlfn.XLOOKUP(Pipeline_tbl[[#This Row],[Closed_Date]],Dim_Date!A:A,Dim_Date!H:H)))</f>
        <v>Jun 2024</v>
      </c>
      <c r="U2553">
        <f>IF(Pipeline_tbl[[#This Row],[Closed_Date]]=0,"",Pipeline_tbl[[#This Row],[Closed_Date]]-Pipeline_tbl[[#This Row],[Created_Date]])</f>
        <v>35</v>
      </c>
    </row>
    <row r="2554" spans="1:21" ht="15" customHeight="1" x14ac:dyDescent="0.2">
      <c r="A2554" t="s">
        <v>2860</v>
      </c>
      <c r="B2554" t="s">
        <v>269</v>
      </c>
      <c r="C2554" t="s">
        <v>56</v>
      </c>
      <c r="D2554" s="49">
        <v>45423</v>
      </c>
      <c r="E2554" s="49">
        <v>45427</v>
      </c>
      <c r="F2554" s="49">
        <v>45435</v>
      </c>
      <c r="G2554" s="49">
        <v>45447</v>
      </c>
      <c r="H2554" s="49">
        <v>45457</v>
      </c>
      <c r="I2554" s="49">
        <v>45463</v>
      </c>
      <c r="J2554" t="s">
        <v>47</v>
      </c>
      <c r="K2554" s="33">
        <v>9000</v>
      </c>
      <c r="M2554" t="str">
        <f>_xlfn.XLOOKUP(Pipeline_tbl[[#This Row],[Rep_ID]],Dim_Reps!A:A,Dim_Reps!K:K)</f>
        <v>USD</v>
      </c>
      <c r="N2554" s="33">
        <f>(_xlfn.XLOOKUP(Pipeline_tbl[[#This Row],[Rate_Code_Generalized]],Lookups!A:A,Lookups!B:B))*Pipeline_tbl[[#This Row],[Pipeline_Amount_USD]]</f>
        <v>10478.699999999999</v>
      </c>
      <c r="O2554" t="str">
        <f>_xlfn.XLOOKUP(Pipeline_tbl[[#This Row],[Rep_ID]],Dim_Reps!A:A,Dim_Reps!B:B)</f>
        <v>Morgan Rivera</v>
      </c>
      <c r="P2554" t="str">
        <f>_xlfn.XLOOKUP(Pipeline_tbl[[#This Row],[Rep_ID]],Dim_Reps!A:A,Dim_Reps!C:C)</f>
        <v>Mid-Market AE</v>
      </c>
      <c r="Q2554" t="str">
        <f>_xlfn.XLOOKUP(Pipeline_tbl[[#This Row],[Rep_ID]],Dim_Reps!A:A,Dim_Reps!D:D)</f>
        <v>Mid-Market</v>
      </c>
      <c r="R2554" t="str">
        <f>_xlfn.XLOOKUP(Pipeline_tbl[[#This Row],[Rep_ID]],Dim_Reps!A:A,Dim_Reps!E:E)</f>
        <v>NAMER</v>
      </c>
      <c r="S2554" t="str">
        <f>_xlfn.XLOOKUP(Pipeline_tbl[[#This Row],[Created_Date]],Dim_Date!A:A,Dim_Date!H:H)</f>
        <v>May 2024</v>
      </c>
      <c r="T2554" t="str">
        <f>IF(Pipeline_tbl[[#This Row],[Closed_Date]]=0,"",(_xlfn.XLOOKUP(Pipeline_tbl[[#This Row],[Closed_Date]],Dim_Date!A:A,Dim_Date!H:H)))</f>
        <v>Jun 2024</v>
      </c>
      <c r="U2554">
        <f>IF(Pipeline_tbl[[#This Row],[Closed_Date]]=0,"",Pipeline_tbl[[#This Row],[Closed_Date]]-Pipeline_tbl[[#This Row],[Created_Date]])</f>
        <v>40</v>
      </c>
    </row>
    <row r="2555" spans="1:21" ht="15" customHeight="1" x14ac:dyDescent="0.2">
      <c r="A2555" t="s">
        <v>2861</v>
      </c>
      <c r="B2555" t="s">
        <v>269</v>
      </c>
      <c r="C2555" t="s">
        <v>56</v>
      </c>
      <c r="D2555" s="49">
        <v>45416</v>
      </c>
      <c r="E2555" s="49">
        <v>45420</v>
      </c>
      <c r="F2555" s="49">
        <v>45427</v>
      </c>
      <c r="G2555" s="49">
        <v>45438</v>
      </c>
      <c r="H2555" s="49">
        <v>45447</v>
      </c>
      <c r="I2555" s="49">
        <v>45452</v>
      </c>
      <c r="J2555" t="s">
        <v>49</v>
      </c>
      <c r="K2555" s="33">
        <v>11000</v>
      </c>
      <c r="L2555" t="s">
        <v>63</v>
      </c>
      <c r="M2555" t="str">
        <f>_xlfn.XLOOKUP(Pipeline_tbl[[#This Row],[Rep_ID]],Dim_Reps!A:A,Dim_Reps!K:K)</f>
        <v>USD</v>
      </c>
      <c r="N2555" s="33">
        <f>(_xlfn.XLOOKUP(Pipeline_tbl[[#This Row],[Rate_Code_Generalized]],Lookups!A:A,Lookups!B:B))*Pipeline_tbl[[#This Row],[Pipeline_Amount_USD]]</f>
        <v>12807.3</v>
      </c>
      <c r="O2555" t="str">
        <f>_xlfn.XLOOKUP(Pipeline_tbl[[#This Row],[Rep_ID]],Dim_Reps!A:A,Dim_Reps!B:B)</f>
        <v>Morgan Rivera</v>
      </c>
      <c r="P2555" t="str">
        <f>_xlfn.XLOOKUP(Pipeline_tbl[[#This Row],[Rep_ID]],Dim_Reps!A:A,Dim_Reps!C:C)</f>
        <v>Mid-Market AE</v>
      </c>
      <c r="Q2555" t="str">
        <f>_xlfn.XLOOKUP(Pipeline_tbl[[#This Row],[Rep_ID]],Dim_Reps!A:A,Dim_Reps!D:D)</f>
        <v>Mid-Market</v>
      </c>
      <c r="R2555" t="str">
        <f>_xlfn.XLOOKUP(Pipeline_tbl[[#This Row],[Rep_ID]],Dim_Reps!A:A,Dim_Reps!E:E)</f>
        <v>NAMER</v>
      </c>
      <c r="S2555" t="str">
        <f>_xlfn.XLOOKUP(Pipeline_tbl[[#This Row],[Created_Date]],Dim_Date!A:A,Dim_Date!H:H)</f>
        <v>May 2024</v>
      </c>
      <c r="T2555" t="str">
        <f>IF(Pipeline_tbl[[#This Row],[Closed_Date]]=0,"",(_xlfn.XLOOKUP(Pipeline_tbl[[#This Row],[Closed_Date]],Dim_Date!A:A,Dim_Date!H:H)))</f>
        <v>Jun 2024</v>
      </c>
      <c r="U2555">
        <f>IF(Pipeline_tbl[[#This Row],[Closed_Date]]=0,"",Pipeline_tbl[[#This Row],[Closed_Date]]-Pipeline_tbl[[#This Row],[Created_Date]])</f>
        <v>36</v>
      </c>
    </row>
    <row r="2556" spans="1:21" ht="15" customHeight="1" x14ac:dyDescent="0.2">
      <c r="A2556" t="s">
        <v>2862</v>
      </c>
      <c r="B2556" t="s">
        <v>269</v>
      </c>
      <c r="C2556" t="s">
        <v>53</v>
      </c>
      <c r="D2556" s="49">
        <v>45428</v>
      </c>
      <c r="E2556" s="49">
        <v>45432</v>
      </c>
      <c r="F2556" s="49">
        <v>45441</v>
      </c>
      <c r="G2556" s="49">
        <v>45454</v>
      </c>
      <c r="I2556" s="49">
        <v>45471</v>
      </c>
      <c r="J2556" t="s">
        <v>49</v>
      </c>
      <c r="K2556" s="33">
        <v>18900</v>
      </c>
      <c r="L2556" t="s">
        <v>62</v>
      </c>
      <c r="M2556" t="str">
        <f>_xlfn.XLOOKUP(Pipeline_tbl[[#This Row],[Rep_ID]],Dim_Reps!A:A,Dim_Reps!K:K)</f>
        <v>USD</v>
      </c>
      <c r="N2556" s="33">
        <f>(_xlfn.XLOOKUP(Pipeline_tbl[[#This Row],[Rate_Code_Generalized]],Lookups!A:A,Lookups!B:B))*Pipeline_tbl[[#This Row],[Pipeline_Amount_USD]]</f>
        <v>22005.269999999997</v>
      </c>
      <c r="O2556" t="str">
        <f>_xlfn.XLOOKUP(Pipeline_tbl[[#This Row],[Rep_ID]],Dim_Reps!A:A,Dim_Reps!B:B)</f>
        <v>Morgan Rivera</v>
      </c>
      <c r="P2556" t="str">
        <f>_xlfn.XLOOKUP(Pipeline_tbl[[#This Row],[Rep_ID]],Dim_Reps!A:A,Dim_Reps!C:C)</f>
        <v>Mid-Market AE</v>
      </c>
      <c r="Q2556" t="str">
        <f>_xlfn.XLOOKUP(Pipeline_tbl[[#This Row],[Rep_ID]],Dim_Reps!A:A,Dim_Reps!D:D)</f>
        <v>Mid-Market</v>
      </c>
      <c r="R2556" t="str">
        <f>_xlfn.XLOOKUP(Pipeline_tbl[[#This Row],[Rep_ID]],Dim_Reps!A:A,Dim_Reps!E:E)</f>
        <v>NAMER</v>
      </c>
      <c r="S2556" t="str">
        <f>_xlfn.XLOOKUP(Pipeline_tbl[[#This Row],[Created_Date]],Dim_Date!A:A,Dim_Date!H:H)</f>
        <v>May 2024</v>
      </c>
      <c r="T2556" t="str">
        <f>IF(Pipeline_tbl[[#This Row],[Closed_Date]]=0,"",(_xlfn.XLOOKUP(Pipeline_tbl[[#This Row],[Closed_Date]],Dim_Date!A:A,Dim_Date!H:H)))</f>
        <v>Jun 2024</v>
      </c>
      <c r="U2556">
        <f>IF(Pipeline_tbl[[#This Row],[Closed_Date]]=0,"",Pipeline_tbl[[#This Row],[Closed_Date]]-Pipeline_tbl[[#This Row],[Created_Date]])</f>
        <v>43</v>
      </c>
    </row>
    <row r="2557" spans="1:21" ht="15" customHeight="1" x14ac:dyDescent="0.2">
      <c r="A2557" t="s">
        <v>2863</v>
      </c>
      <c r="B2557" t="s">
        <v>269</v>
      </c>
      <c r="C2557" t="s">
        <v>53</v>
      </c>
      <c r="D2557" s="49">
        <v>45436</v>
      </c>
      <c r="E2557" s="49">
        <v>45439</v>
      </c>
      <c r="F2557" s="49">
        <v>45446</v>
      </c>
      <c r="G2557" s="49">
        <v>45455</v>
      </c>
      <c r="H2557" s="49">
        <v>45463</v>
      </c>
      <c r="I2557" s="49">
        <v>45468</v>
      </c>
      <c r="J2557" t="s">
        <v>47</v>
      </c>
      <c r="K2557" s="33">
        <v>12900</v>
      </c>
      <c r="M2557" t="str">
        <f>_xlfn.XLOOKUP(Pipeline_tbl[[#This Row],[Rep_ID]],Dim_Reps!A:A,Dim_Reps!K:K)</f>
        <v>USD</v>
      </c>
      <c r="N2557" s="33">
        <f>(_xlfn.XLOOKUP(Pipeline_tbl[[#This Row],[Rate_Code_Generalized]],Lookups!A:A,Lookups!B:B))*Pipeline_tbl[[#This Row],[Pipeline_Amount_USD]]</f>
        <v>15019.47</v>
      </c>
      <c r="O2557" t="str">
        <f>_xlfn.XLOOKUP(Pipeline_tbl[[#This Row],[Rep_ID]],Dim_Reps!A:A,Dim_Reps!B:B)</f>
        <v>Morgan Rivera</v>
      </c>
      <c r="P2557" t="str">
        <f>_xlfn.XLOOKUP(Pipeline_tbl[[#This Row],[Rep_ID]],Dim_Reps!A:A,Dim_Reps!C:C)</f>
        <v>Mid-Market AE</v>
      </c>
      <c r="Q2557" t="str">
        <f>_xlfn.XLOOKUP(Pipeline_tbl[[#This Row],[Rep_ID]],Dim_Reps!A:A,Dim_Reps!D:D)</f>
        <v>Mid-Market</v>
      </c>
      <c r="R2557" t="str">
        <f>_xlfn.XLOOKUP(Pipeline_tbl[[#This Row],[Rep_ID]],Dim_Reps!A:A,Dim_Reps!E:E)</f>
        <v>NAMER</v>
      </c>
      <c r="S2557" t="str">
        <f>_xlfn.XLOOKUP(Pipeline_tbl[[#This Row],[Created_Date]],Dim_Date!A:A,Dim_Date!H:H)</f>
        <v>May 2024</v>
      </c>
      <c r="T2557" t="str">
        <f>IF(Pipeline_tbl[[#This Row],[Closed_Date]]=0,"",(_xlfn.XLOOKUP(Pipeline_tbl[[#This Row],[Closed_Date]],Dim_Date!A:A,Dim_Date!H:H)))</f>
        <v>Jun 2024</v>
      </c>
      <c r="U2557">
        <f>IF(Pipeline_tbl[[#This Row],[Closed_Date]]=0,"",Pipeline_tbl[[#This Row],[Closed_Date]]-Pipeline_tbl[[#This Row],[Created_Date]])</f>
        <v>32</v>
      </c>
    </row>
    <row r="2558" spans="1:21" ht="15" customHeight="1" x14ac:dyDescent="0.2">
      <c r="A2558" t="s">
        <v>2864</v>
      </c>
      <c r="B2558" t="s">
        <v>269</v>
      </c>
      <c r="C2558" t="s">
        <v>53</v>
      </c>
      <c r="D2558" s="49">
        <v>45433</v>
      </c>
      <c r="E2558" s="49">
        <v>45436</v>
      </c>
      <c r="F2558" s="49">
        <v>45441</v>
      </c>
      <c r="I2558" s="49">
        <v>45459</v>
      </c>
      <c r="J2558" t="s">
        <v>49</v>
      </c>
      <c r="K2558" s="33">
        <v>13300</v>
      </c>
      <c r="L2558" t="s">
        <v>62</v>
      </c>
      <c r="M2558" t="str">
        <f>_xlfn.XLOOKUP(Pipeline_tbl[[#This Row],[Rep_ID]],Dim_Reps!A:A,Dim_Reps!K:K)</f>
        <v>USD</v>
      </c>
      <c r="N2558" s="33">
        <f>(_xlfn.XLOOKUP(Pipeline_tbl[[#This Row],[Rate_Code_Generalized]],Lookups!A:A,Lookups!B:B))*Pipeline_tbl[[#This Row],[Pipeline_Amount_USD]]</f>
        <v>15485.189999999999</v>
      </c>
      <c r="O2558" t="str">
        <f>_xlfn.XLOOKUP(Pipeline_tbl[[#This Row],[Rep_ID]],Dim_Reps!A:A,Dim_Reps!B:B)</f>
        <v>Morgan Rivera</v>
      </c>
      <c r="P2558" t="str">
        <f>_xlfn.XLOOKUP(Pipeline_tbl[[#This Row],[Rep_ID]],Dim_Reps!A:A,Dim_Reps!C:C)</f>
        <v>Mid-Market AE</v>
      </c>
      <c r="Q2558" t="str">
        <f>_xlfn.XLOOKUP(Pipeline_tbl[[#This Row],[Rep_ID]],Dim_Reps!A:A,Dim_Reps!D:D)</f>
        <v>Mid-Market</v>
      </c>
      <c r="R2558" t="str">
        <f>_xlfn.XLOOKUP(Pipeline_tbl[[#This Row],[Rep_ID]],Dim_Reps!A:A,Dim_Reps!E:E)</f>
        <v>NAMER</v>
      </c>
      <c r="S2558" t="str">
        <f>_xlfn.XLOOKUP(Pipeline_tbl[[#This Row],[Created_Date]],Dim_Date!A:A,Dim_Date!H:H)</f>
        <v>May 2024</v>
      </c>
      <c r="T2558" t="str">
        <f>IF(Pipeline_tbl[[#This Row],[Closed_Date]]=0,"",(_xlfn.XLOOKUP(Pipeline_tbl[[#This Row],[Closed_Date]],Dim_Date!A:A,Dim_Date!H:H)))</f>
        <v>Jun 2024</v>
      </c>
      <c r="U2558">
        <f>IF(Pipeline_tbl[[#This Row],[Closed_Date]]=0,"",Pipeline_tbl[[#This Row],[Closed_Date]]-Pipeline_tbl[[#This Row],[Created_Date]])</f>
        <v>26</v>
      </c>
    </row>
    <row r="2559" spans="1:21" ht="15" customHeight="1" x14ac:dyDescent="0.2">
      <c r="A2559" t="s">
        <v>2865</v>
      </c>
      <c r="B2559" t="s">
        <v>271</v>
      </c>
      <c r="C2559" t="s">
        <v>55</v>
      </c>
      <c r="D2559" s="49">
        <v>45417</v>
      </c>
      <c r="E2559" s="49">
        <v>45420</v>
      </c>
      <c r="F2559" s="49">
        <v>45426</v>
      </c>
      <c r="I2559" s="49">
        <v>45446</v>
      </c>
      <c r="J2559" t="s">
        <v>49</v>
      </c>
      <c r="K2559" s="33">
        <v>23400</v>
      </c>
      <c r="L2559" t="s">
        <v>60</v>
      </c>
      <c r="M2559" t="str">
        <f>_xlfn.XLOOKUP(Pipeline_tbl[[#This Row],[Rep_ID]],Dim_Reps!A:A,Dim_Reps!K:K)</f>
        <v>EUR</v>
      </c>
      <c r="N2559" s="33">
        <f>(_xlfn.XLOOKUP(Pipeline_tbl[[#This Row],[Rate_Code_Generalized]],Lookups!A:A,Lookups!B:B))*Pipeline_tbl[[#This Row],[Pipeline_Amount_USD]]</f>
        <v>23400</v>
      </c>
      <c r="O2559" t="str">
        <f>_xlfn.XLOOKUP(Pipeline_tbl[[#This Row],[Rep_ID]],Dim_Reps!A:A,Dim_Reps!B:B)</f>
        <v>Ivy Adler</v>
      </c>
      <c r="P2559" t="str">
        <f>_xlfn.XLOOKUP(Pipeline_tbl[[#This Row],[Rep_ID]],Dim_Reps!A:A,Dim_Reps!C:C)</f>
        <v>Mid-Market AE</v>
      </c>
      <c r="Q2559" t="str">
        <f>_xlfn.XLOOKUP(Pipeline_tbl[[#This Row],[Rep_ID]],Dim_Reps!A:A,Dim_Reps!D:D)</f>
        <v>Mid-Market</v>
      </c>
      <c r="R2559" t="str">
        <f>_xlfn.XLOOKUP(Pipeline_tbl[[#This Row],[Rep_ID]],Dim_Reps!A:A,Dim_Reps!E:E)</f>
        <v>APAC</v>
      </c>
      <c r="S2559" t="str">
        <f>_xlfn.XLOOKUP(Pipeline_tbl[[#This Row],[Created_Date]],Dim_Date!A:A,Dim_Date!H:H)</f>
        <v>May 2024</v>
      </c>
      <c r="T2559" t="str">
        <f>IF(Pipeline_tbl[[#This Row],[Closed_Date]]=0,"",(_xlfn.XLOOKUP(Pipeline_tbl[[#This Row],[Closed_Date]],Dim_Date!A:A,Dim_Date!H:H)))</f>
        <v>Jun 2024</v>
      </c>
      <c r="U2559">
        <f>IF(Pipeline_tbl[[#This Row],[Closed_Date]]=0,"",Pipeline_tbl[[#This Row],[Closed_Date]]-Pipeline_tbl[[#This Row],[Created_Date]])</f>
        <v>29</v>
      </c>
    </row>
    <row r="2560" spans="1:21" ht="15" customHeight="1" x14ac:dyDescent="0.2">
      <c r="A2560" t="s">
        <v>2866</v>
      </c>
      <c r="B2560" t="s">
        <v>271</v>
      </c>
      <c r="C2560" t="s">
        <v>52</v>
      </c>
      <c r="D2560" s="49">
        <v>45417</v>
      </c>
      <c r="E2560" s="49">
        <v>45421</v>
      </c>
      <c r="F2560" s="49">
        <v>45428</v>
      </c>
      <c r="I2560" s="49">
        <v>45452</v>
      </c>
      <c r="J2560" t="s">
        <v>49</v>
      </c>
      <c r="K2560" s="33">
        <v>15900</v>
      </c>
      <c r="L2560" t="s">
        <v>61</v>
      </c>
      <c r="M2560" t="str">
        <f>_xlfn.XLOOKUP(Pipeline_tbl[[#This Row],[Rep_ID]],Dim_Reps!A:A,Dim_Reps!K:K)</f>
        <v>EUR</v>
      </c>
      <c r="N2560" s="33">
        <f>(_xlfn.XLOOKUP(Pipeline_tbl[[#This Row],[Rate_Code_Generalized]],Lookups!A:A,Lookups!B:B))*Pipeline_tbl[[#This Row],[Pipeline_Amount_USD]]</f>
        <v>15900</v>
      </c>
      <c r="O2560" t="str">
        <f>_xlfn.XLOOKUP(Pipeline_tbl[[#This Row],[Rep_ID]],Dim_Reps!A:A,Dim_Reps!B:B)</f>
        <v>Ivy Adler</v>
      </c>
      <c r="P2560" t="str">
        <f>_xlfn.XLOOKUP(Pipeline_tbl[[#This Row],[Rep_ID]],Dim_Reps!A:A,Dim_Reps!C:C)</f>
        <v>Mid-Market AE</v>
      </c>
      <c r="Q2560" t="str">
        <f>_xlfn.XLOOKUP(Pipeline_tbl[[#This Row],[Rep_ID]],Dim_Reps!A:A,Dim_Reps!D:D)</f>
        <v>Mid-Market</v>
      </c>
      <c r="R2560" t="str">
        <f>_xlfn.XLOOKUP(Pipeline_tbl[[#This Row],[Rep_ID]],Dim_Reps!A:A,Dim_Reps!E:E)</f>
        <v>APAC</v>
      </c>
      <c r="S2560" t="str">
        <f>_xlfn.XLOOKUP(Pipeline_tbl[[#This Row],[Created_Date]],Dim_Date!A:A,Dim_Date!H:H)</f>
        <v>May 2024</v>
      </c>
      <c r="T2560" t="str">
        <f>IF(Pipeline_tbl[[#This Row],[Closed_Date]]=0,"",(_xlfn.XLOOKUP(Pipeline_tbl[[#This Row],[Closed_Date]],Dim_Date!A:A,Dim_Date!H:H)))</f>
        <v>Jun 2024</v>
      </c>
      <c r="U2560">
        <f>IF(Pipeline_tbl[[#This Row],[Closed_Date]]=0,"",Pipeline_tbl[[#This Row],[Closed_Date]]-Pipeline_tbl[[#This Row],[Created_Date]])</f>
        <v>35</v>
      </c>
    </row>
    <row r="2561" spans="1:21" ht="15" customHeight="1" x14ac:dyDescent="0.2">
      <c r="A2561" t="s">
        <v>2867</v>
      </c>
      <c r="B2561" t="s">
        <v>271</v>
      </c>
      <c r="C2561" t="s">
        <v>52</v>
      </c>
      <c r="D2561" s="49">
        <v>45426</v>
      </c>
      <c r="E2561" s="49">
        <v>45430</v>
      </c>
      <c r="F2561" s="49">
        <v>45438</v>
      </c>
      <c r="G2561" s="49">
        <v>45449</v>
      </c>
      <c r="H2561" s="49">
        <v>45459</v>
      </c>
      <c r="I2561" s="49">
        <v>45465</v>
      </c>
      <c r="J2561" t="s">
        <v>49</v>
      </c>
      <c r="K2561" s="33">
        <v>18300</v>
      </c>
      <c r="L2561" t="s">
        <v>61</v>
      </c>
      <c r="M2561" t="str">
        <f>_xlfn.XLOOKUP(Pipeline_tbl[[#This Row],[Rep_ID]],Dim_Reps!A:A,Dim_Reps!K:K)</f>
        <v>EUR</v>
      </c>
      <c r="N2561" s="33">
        <f>(_xlfn.XLOOKUP(Pipeline_tbl[[#This Row],[Rate_Code_Generalized]],Lookups!A:A,Lookups!B:B))*Pipeline_tbl[[#This Row],[Pipeline_Amount_USD]]</f>
        <v>18300</v>
      </c>
      <c r="O2561" t="str">
        <f>_xlfn.XLOOKUP(Pipeline_tbl[[#This Row],[Rep_ID]],Dim_Reps!A:A,Dim_Reps!B:B)</f>
        <v>Ivy Adler</v>
      </c>
      <c r="P2561" t="str">
        <f>_xlfn.XLOOKUP(Pipeline_tbl[[#This Row],[Rep_ID]],Dim_Reps!A:A,Dim_Reps!C:C)</f>
        <v>Mid-Market AE</v>
      </c>
      <c r="Q2561" t="str">
        <f>_xlfn.XLOOKUP(Pipeline_tbl[[#This Row],[Rep_ID]],Dim_Reps!A:A,Dim_Reps!D:D)</f>
        <v>Mid-Market</v>
      </c>
      <c r="R2561" t="str">
        <f>_xlfn.XLOOKUP(Pipeline_tbl[[#This Row],[Rep_ID]],Dim_Reps!A:A,Dim_Reps!E:E)</f>
        <v>APAC</v>
      </c>
      <c r="S2561" t="str">
        <f>_xlfn.XLOOKUP(Pipeline_tbl[[#This Row],[Created_Date]],Dim_Date!A:A,Dim_Date!H:H)</f>
        <v>May 2024</v>
      </c>
      <c r="T2561" t="str">
        <f>IF(Pipeline_tbl[[#This Row],[Closed_Date]]=0,"",(_xlfn.XLOOKUP(Pipeline_tbl[[#This Row],[Closed_Date]],Dim_Date!A:A,Dim_Date!H:H)))</f>
        <v>Jun 2024</v>
      </c>
      <c r="U2561">
        <f>IF(Pipeline_tbl[[#This Row],[Closed_Date]]=0,"",Pipeline_tbl[[#This Row],[Closed_Date]]-Pipeline_tbl[[#This Row],[Created_Date]])</f>
        <v>39</v>
      </c>
    </row>
    <row r="2562" spans="1:21" ht="15" customHeight="1" x14ac:dyDescent="0.2">
      <c r="A2562" t="s">
        <v>2868</v>
      </c>
      <c r="B2562" t="s">
        <v>271</v>
      </c>
      <c r="C2562" t="s">
        <v>52</v>
      </c>
      <c r="D2562" s="49">
        <v>45432</v>
      </c>
      <c r="E2562" s="49">
        <v>45435</v>
      </c>
      <c r="F2562" s="49">
        <v>45440</v>
      </c>
      <c r="I2562" s="49">
        <v>45458</v>
      </c>
      <c r="J2562" t="s">
        <v>49</v>
      </c>
      <c r="K2562" s="33">
        <v>21600</v>
      </c>
      <c r="L2562" t="s">
        <v>60</v>
      </c>
      <c r="M2562" t="str">
        <f>_xlfn.XLOOKUP(Pipeline_tbl[[#This Row],[Rep_ID]],Dim_Reps!A:A,Dim_Reps!K:K)</f>
        <v>EUR</v>
      </c>
      <c r="N2562" s="33">
        <f>(_xlfn.XLOOKUP(Pipeline_tbl[[#This Row],[Rate_Code_Generalized]],Lookups!A:A,Lookups!B:B))*Pipeline_tbl[[#This Row],[Pipeline_Amount_USD]]</f>
        <v>21600</v>
      </c>
      <c r="O2562" t="str">
        <f>_xlfn.XLOOKUP(Pipeline_tbl[[#This Row],[Rep_ID]],Dim_Reps!A:A,Dim_Reps!B:B)</f>
        <v>Ivy Adler</v>
      </c>
      <c r="P2562" t="str">
        <f>_xlfn.XLOOKUP(Pipeline_tbl[[#This Row],[Rep_ID]],Dim_Reps!A:A,Dim_Reps!C:C)</f>
        <v>Mid-Market AE</v>
      </c>
      <c r="Q2562" t="str">
        <f>_xlfn.XLOOKUP(Pipeline_tbl[[#This Row],[Rep_ID]],Dim_Reps!A:A,Dim_Reps!D:D)</f>
        <v>Mid-Market</v>
      </c>
      <c r="R2562" t="str">
        <f>_xlfn.XLOOKUP(Pipeline_tbl[[#This Row],[Rep_ID]],Dim_Reps!A:A,Dim_Reps!E:E)</f>
        <v>APAC</v>
      </c>
      <c r="S2562" t="str">
        <f>_xlfn.XLOOKUP(Pipeline_tbl[[#This Row],[Created_Date]],Dim_Date!A:A,Dim_Date!H:H)</f>
        <v>May 2024</v>
      </c>
      <c r="T2562" t="str">
        <f>IF(Pipeline_tbl[[#This Row],[Closed_Date]]=0,"",(_xlfn.XLOOKUP(Pipeline_tbl[[#This Row],[Closed_Date]],Dim_Date!A:A,Dim_Date!H:H)))</f>
        <v>Jun 2024</v>
      </c>
      <c r="U2562">
        <f>IF(Pipeline_tbl[[#This Row],[Closed_Date]]=0,"",Pipeline_tbl[[#This Row],[Closed_Date]]-Pipeline_tbl[[#This Row],[Created_Date]])</f>
        <v>26</v>
      </c>
    </row>
    <row r="2563" spans="1:21" ht="15" customHeight="1" x14ac:dyDescent="0.2">
      <c r="A2563" t="s">
        <v>2869</v>
      </c>
      <c r="B2563" t="s">
        <v>241</v>
      </c>
      <c r="C2563" t="s">
        <v>53</v>
      </c>
      <c r="D2563" s="49">
        <v>45415</v>
      </c>
      <c r="E2563" s="49">
        <v>45418</v>
      </c>
      <c r="F2563" s="49">
        <v>45424</v>
      </c>
      <c r="G2563" s="49">
        <v>45433</v>
      </c>
      <c r="H2563" s="49">
        <v>45441</v>
      </c>
      <c r="I2563" s="49">
        <v>45445</v>
      </c>
      <c r="J2563" t="s">
        <v>47</v>
      </c>
      <c r="K2563" s="33">
        <v>2200</v>
      </c>
      <c r="M2563" t="str">
        <f>_xlfn.XLOOKUP(Pipeline_tbl[[#This Row],[Rep_ID]],Dim_Reps!A:A,Dim_Reps!K:K)</f>
        <v>EUR</v>
      </c>
      <c r="N2563" s="33">
        <f>(_xlfn.XLOOKUP(Pipeline_tbl[[#This Row],[Rate_Code_Generalized]],Lookups!A:A,Lookups!B:B))*Pipeline_tbl[[#This Row],[Pipeline_Amount_USD]]</f>
        <v>2200</v>
      </c>
      <c r="O2563" t="str">
        <f>_xlfn.XLOOKUP(Pipeline_tbl[[#This Row],[Rep_ID]],Dim_Reps!A:A,Dim_Reps!B:B)</f>
        <v>Kenji Weber</v>
      </c>
      <c r="P2563" t="str">
        <f>_xlfn.XLOOKUP(Pipeline_tbl[[#This Row],[Rep_ID]],Dim_Reps!A:A,Dim_Reps!C:C)</f>
        <v>SDR / Inside Sales Rep</v>
      </c>
      <c r="Q2563" t="str">
        <f>_xlfn.XLOOKUP(Pipeline_tbl[[#This Row],[Rep_ID]],Dim_Reps!A:A,Dim_Reps!D:D)</f>
        <v>Inside Sales</v>
      </c>
      <c r="R2563" t="str">
        <f>_xlfn.XLOOKUP(Pipeline_tbl[[#This Row],[Rep_ID]],Dim_Reps!A:A,Dim_Reps!E:E)</f>
        <v>APAC</v>
      </c>
      <c r="S2563" t="str">
        <f>_xlfn.XLOOKUP(Pipeline_tbl[[#This Row],[Created_Date]],Dim_Date!A:A,Dim_Date!H:H)</f>
        <v>May 2024</v>
      </c>
      <c r="T2563" t="str">
        <f>IF(Pipeline_tbl[[#This Row],[Closed_Date]]=0,"",(_xlfn.XLOOKUP(Pipeline_tbl[[#This Row],[Closed_Date]],Dim_Date!A:A,Dim_Date!H:H)))</f>
        <v>Jun 2024</v>
      </c>
      <c r="U2563">
        <f>IF(Pipeline_tbl[[#This Row],[Closed_Date]]=0,"",Pipeline_tbl[[#This Row],[Closed_Date]]-Pipeline_tbl[[#This Row],[Created_Date]])</f>
        <v>30</v>
      </c>
    </row>
    <row r="2564" spans="1:21" ht="15" customHeight="1" x14ac:dyDescent="0.2">
      <c r="A2564" t="s">
        <v>2870</v>
      </c>
      <c r="B2564" t="s">
        <v>241</v>
      </c>
      <c r="C2564" t="s">
        <v>55</v>
      </c>
      <c r="D2564" s="49">
        <v>45434</v>
      </c>
      <c r="E2564" s="49">
        <v>45437</v>
      </c>
      <c r="F2564" s="49">
        <v>45442</v>
      </c>
      <c r="G2564" s="49">
        <v>45450</v>
      </c>
      <c r="H2564" s="49">
        <v>45457</v>
      </c>
      <c r="I2564" s="49">
        <v>45461</v>
      </c>
      <c r="J2564" t="s">
        <v>49</v>
      </c>
      <c r="K2564" s="33">
        <v>2900</v>
      </c>
      <c r="L2564" t="s">
        <v>62</v>
      </c>
      <c r="M2564" t="str">
        <f>_xlfn.XLOOKUP(Pipeline_tbl[[#This Row],[Rep_ID]],Dim_Reps!A:A,Dim_Reps!K:K)</f>
        <v>EUR</v>
      </c>
      <c r="N2564" s="33">
        <f>(_xlfn.XLOOKUP(Pipeline_tbl[[#This Row],[Rate_Code_Generalized]],Lookups!A:A,Lookups!B:B))*Pipeline_tbl[[#This Row],[Pipeline_Amount_USD]]</f>
        <v>2900</v>
      </c>
      <c r="O2564" t="str">
        <f>_xlfn.XLOOKUP(Pipeline_tbl[[#This Row],[Rep_ID]],Dim_Reps!A:A,Dim_Reps!B:B)</f>
        <v>Kenji Weber</v>
      </c>
      <c r="P2564" t="str">
        <f>_xlfn.XLOOKUP(Pipeline_tbl[[#This Row],[Rep_ID]],Dim_Reps!A:A,Dim_Reps!C:C)</f>
        <v>SDR / Inside Sales Rep</v>
      </c>
      <c r="Q2564" t="str">
        <f>_xlfn.XLOOKUP(Pipeline_tbl[[#This Row],[Rep_ID]],Dim_Reps!A:A,Dim_Reps!D:D)</f>
        <v>Inside Sales</v>
      </c>
      <c r="R2564" t="str">
        <f>_xlfn.XLOOKUP(Pipeline_tbl[[#This Row],[Rep_ID]],Dim_Reps!A:A,Dim_Reps!E:E)</f>
        <v>APAC</v>
      </c>
      <c r="S2564" t="str">
        <f>_xlfn.XLOOKUP(Pipeline_tbl[[#This Row],[Created_Date]],Dim_Date!A:A,Dim_Date!H:H)</f>
        <v>May 2024</v>
      </c>
      <c r="T2564" t="str">
        <f>IF(Pipeline_tbl[[#This Row],[Closed_Date]]=0,"",(_xlfn.XLOOKUP(Pipeline_tbl[[#This Row],[Closed_Date]],Dim_Date!A:A,Dim_Date!H:H)))</f>
        <v>Jun 2024</v>
      </c>
      <c r="U2564">
        <f>IF(Pipeline_tbl[[#This Row],[Closed_Date]]=0,"",Pipeline_tbl[[#This Row],[Closed_Date]]-Pipeline_tbl[[#This Row],[Created_Date]])</f>
        <v>27</v>
      </c>
    </row>
    <row r="2565" spans="1:21" ht="15" customHeight="1" x14ac:dyDescent="0.2">
      <c r="A2565" t="s">
        <v>2871</v>
      </c>
      <c r="B2565" t="s">
        <v>241</v>
      </c>
      <c r="C2565" t="s">
        <v>55</v>
      </c>
      <c r="D2565" s="49">
        <v>45437</v>
      </c>
      <c r="E2565" s="49">
        <v>45440</v>
      </c>
      <c r="F2565" s="49">
        <v>45445</v>
      </c>
      <c r="I2565" s="49">
        <v>45463</v>
      </c>
      <c r="J2565" t="s">
        <v>49</v>
      </c>
      <c r="K2565" s="33">
        <v>5700</v>
      </c>
      <c r="L2565" t="s">
        <v>64</v>
      </c>
      <c r="M2565" t="str">
        <f>_xlfn.XLOOKUP(Pipeline_tbl[[#This Row],[Rep_ID]],Dim_Reps!A:A,Dim_Reps!K:K)</f>
        <v>EUR</v>
      </c>
      <c r="N2565" s="33">
        <f>(_xlfn.XLOOKUP(Pipeline_tbl[[#This Row],[Rate_Code_Generalized]],Lookups!A:A,Lookups!B:B))*Pipeline_tbl[[#This Row],[Pipeline_Amount_USD]]</f>
        <v>5700</v>
      </c>
      <c r="O2565" t="str">
        <f>_xlfn.XLOOKUP(Pipeline_tbl[[#This Row],[Rep_ID]],Dim_Reps!A:A,Dim_Reps!B:B)</f>
        <v>Kenji Weber</v>
      </c>
      <c r="P2565" t="str">
        <f>_xlfn.XLOOKUP(Pipeline_tbl[[#This Row],[Rep_ID]],Dim_Reps!A:A,Dim_Reps!C:C)</f>
        <v>SDR / Inside Sales Rep</v>
      </c>
      <c r="Q2565" t="str">
        <f>_xlfn.XLOOKUP(Pipeline_tbl[[#This Row],[Rep_ID]],Dim_Reps!A:A,Dim_Reps!D:D)</f>
        <v>Inside Sales</v>
      </c>
      <c r="R2565" t="str">
        <f>_xlfn.XLOOKUP(Pipeline_tbl[[#This Row],[Rep_ID]],Dim_Reps!A:A,Dim_Reps!E:E)</f>
        <v>APAC</v>
      </c>
      <c r="S2565" t="str">
        <f>_xlfn.XLOOKUP(Pipeline_tbl[[#This Row],[Created_Date]],Dim_Date!A:A,Dim_Date!H:H)</f>
        <v>May 2024</v>
      </c>
      <c r="T2565" t="str">
        <f>IF(Pipeline_tbl[[#This Row],[Closed_Date]]=0,"",(_xlfn.XLOOKUP(Pipeline_tbl[[#This Row],[Closed_Date]],Dim_Date!A:A,Dim_Date!H:H)))</f>
        <v>Jun 2024</v>
      </c>
      <c r="U2565">
        <f>IF(Pipeline_tbl[[#This Row],[Closed_Date]]=0,"",Pipeline_tbl[[#This Row],[Closed_Date]]-Pipeline_tbl[[#This Row],[Created_Date]])</f>
        <v>26</v>
      </c>
    </row>
    <row r="2566" spans="1:21" ht="15" customHeight="1" x14ac:dyDescent="0.2">
      <c r="A2566" t="s">
        <v>2872</v>
      </c>
      <c r="B2566" t="s">
        <v>241</v>
      </c>
      <c r="C2566" t="s">
        <v>54</v>
      </c>
      <c r="D2566" s="49">
        <v>45419</v>
      </c>
      <c r="E2566" s="49">
        <v>45422</v>
      </c>
      <c r="F2566" s="49">
        <v>45428</v>
      </c>
      <c r="G2566" s="49">
        <v>45437</v>
      </c>
      <c r="I2566" s="49">
        <v>45449</v>
      </c>
      <c r="J2566" t="s">
        <v>49</v>
      </c>
      <c r="K2566" s="33">
        <v>2100</v>
      </c>
      <c r="L2566" t="s">
        <v>63</v>
      </c>
      <c r="M2566" t="str">
        <f>_xlfn.XLOOKUP(Pipeline_tbl[[#This Row],[Rep_ID]],Dim_Reps!A:A,Dim_Reps!K:K)</f>
        <v>EUR</v>
      </c>
      <c r="N2566" s="33">
        <f>(_xlfn.XLOOKUP(Pipeline_tbl[[#This Row],[Rate_Code_Generalized]],Lookups!A:A,Lookups!B:B))*Pipeline_tbl[[#This Row],[Pipeline_Amount_USD]]</f>
        <v>2100</v>
      </c>
      <c r="O2566" t="str">
        <f>_xlfn.XLOOKUP(Pipeline_tbl[[#This Row],[Rep_ID]],Dim_Reps!A:A,Dim_Reps!B:B)</f>
        <v>Kenji Weber</v>
      </c>
      <c r="P2566" t="str">
        <f>_xlfn.XLOOKUP(Pipeline_tbl[[#This Row],[Rep_ID]],Dim_Reps!A:A,Dim_Reps!C:C)</f>
        <v>SDR / Inside Sales Rep</v>
      </c>
      <c r="Q2566" t="str">
        <f>_xlfn.XLOOKUP(Pipeline_tbl[[#This Row],[Rep_ID]],Dim_Reps!A:A,Dim_Reps!D:D)</f>
        <v>Inside Sales</v>
      </c>
      <c r="R2566" t="str">
        <f>_xlfn.XLOOKUP(Pipeline_tbl[[#This Row],[Rep_ID]],Dim_Reps!A:A,Dim_Reps!E:E)</f>
        <v>APAC</v>
      </c>
      <c r="S2566" t="str">
        <f>_xlfn.XLOOKUP(Pipeline_tbl[[#This Row],[Created_Date]],Dim_Date!A:A,Dim_Date!H:H)</f>
        <v>May 2024</v>
      </c>
      <c r="T2566" t="str">
        <f>IF(Pipeline_tbl[[#This Row],[Closed_Date]]=0,"",(_xlfn.XLOOKUP(Pipeline_tbl[[#This Row],[Closed_Date]],Dim_Date!A:A,Dim_Date!H:H)))</f>
        <v>Jun 2024</v>
      </c>
      <c r="U2566">
        <f>IF(Pipeline_tbl[[#This Row],[Closed_Date]]=0,"",Pipeline_tbl[[#This Row],[Closed_Date]]-Pipeline_tbl[[#This Row],[Created_Date]])</f>
        <v>30</v>
      </c>
    </row>
    <row r="2567" spans="1:21" ht="15" customHeight="1" x14ac:dyDescent="0.2">
      <c r="A2567" t="s">
        <v>2873</v>
      </c>
      <c r="B2567" t="s">
        <v>241</v>
      </c>
      <c r="C2567" t="s">
        <v>52</v>
      </c>
      <c r="D2567" s="49">
        <v>45440</v>
      </c>
      <c r="E2567" s="49">
        <v>45443</v>
      </c>
      <c r="F2567" s="49">
        <v>45449</v>
      </c>
      <c r="G2567" s="49">
        <v>45457</v>
      </c>
      <c r="H2567" s="49">
        <v>45465</v>
      </c>
      <c r="I2567" s="49">
        <v>45469</v>
      </c>
      <c r="J2567" t="s">
        <v>47</v>
      </c>
      <c r="K2567" s="33">
        <v>4200</v>
      </c>
      <c r="M2567" t="str">
        <f>_xlfn.XLOOKUP(Pipeline_tbl[[#This Row],[Rep_ID]],Dim_Reps!A:A,Dim_Reps!K:K)</f>
        <v>EUR</v>
      </c>
      <c r="N2567" s="33">
        <f>(_xlfn.XLOOKUP(Pipeline_tbl[[#This Row],[Rate_Code_Generalized]],Lookups!A:A,Lookups!B:B))*Pipeline_tbl[[#This Row],[Pipeline_Amount_USD]]</f>
        <v>4200</v>
      </c>
      <c r="O2567" t="str">
        <f>_xlfn.XLOOKUP(Pipeline_tbl[[#This Row],[Rep_ID]],Dim_Reps!A:A,Dim_Reps!B:B)</f>
        <v>Kenji Weber</v>
      </c>
      <c r="P2567" t="str">
        <f>_xlfn.XLOOKUP(Pipeline_tbl[[#This Row],[Rep_ID]],Dim_Reps!A:A,Dim_Reps!C:C)</f>
        <v>SDR / Inside Sales Rep</v>
      </c>
      <c r="Q2567" t="str">
        <f>_xlfn.XLOOKUP(Pipeline_tbl[[#This Row],[Rep_ID]],Dim_Reps!A:A,Dim_Reps!D:D)</f>
        <v>Inside Sales</v>
      </c>
      <c r="R2567" t="str">
        <f>_xlfn.XLOOKUP(Pipeline_tbl[[#This Row],[Rep_ID]],Dim_Reps!A:A,Dim_Reps!E:E)</f>
        <v>APAC</v>
      </c>
      <c r="S2567" t="str">
        <f>_xlfn.XLOOKUP(Pipeline_tbl[[#This Row],[Created_Date]],Dim_Date!A:A,Dim_Date!H:H)</f>
        <v>May 2024</v>
      </c>
      <c r="T2567" t="str">
        <f>IF(Pipeline_tbl[[#This Row],[Closed_Date]]=0,"",(_xlfn.XLOOKUP(Pipeline_tbl[[#This Row],[Closed_Date]],Dim_Date!A:A,Dim_Date!H:H)))</f>
        <v>Jun 2024</v>
      </c>
      <c r="U2567">
        <f>IF(Pipeline_tbl[[#This Row],[Closed_Date]]=0,"",Pipeline_tbl[[#This Row],[Closed_Date]]-Pipeline_tbl[[#This Row],[Created_Date]])</f>
        <v>29</v>
      </c>
    </row>
    <row r="2568" spans="1:21" ht="15" customHeight="1" x14ac:dyDescent="0.2">
      <c r="A2568" t="s">
        <v>2874</v>
      </c>
      <c r="B2568" t="s">
        <v>241</v>
      </c>
      <c r="C2568" t="s">
        <v>52</v>
      </c>
      <c r="D2568" s="49">
        <v>45426</v>
      </c>
      <c r="E2568" s="49">
        <v>45428</v>
      </c>
      <c r="F2568" s="49">
        <v>45432</v>
      </c>
      <c r="G2568" s="49">
        <v>45439</v>
      </c>
      <c r="I2568" s="49">
        <v>45447</v>
      </c>
      <c r="J2568" t="s">
        <v>49</v>
      </c>
      <c r="K2568" s="33">
        <v>11700</v>
      </c>
      <c r="L2568" t="s">
        <v>62</v>
      </c>
      <c r="M2568" t="str">
        <f>_xlfn.XLOOKUP(Pipeline_tbl[[#This Row],[Rep_ID]],Dim_Reps!A:A,Dim_Reps!K:K)</f>
        <v>EUR</v>
      </c>
      <c r="N2568" s="33">
        <f>(_xlfn.XLOOKUP(Pipeline_tbl[[#This Row],[Rate_Code_Generalized]],Lookups!A:A,Lookups!B:B))*Pipeline_tbl[[#This Row],[Pipeline_Amount_USD]]</f>
        <v>11700</v>
      </c>
      <c r="O2568" t="str">
        <f>_xlfn.XLOOKUP(Pipeline_tbl[[#This Row],[Rep_ID]],Dim_Reps!A:A,Dim_Reps!B:B)</f>
        <v>Kenji Weber</v>
      </c>
      <c r="P2568" t="str">
        <f>_xlfn.XLOOKUP(Pipeline_tbl[[#This Row],[Rep_ID]],Dim_Reps!A:A,Dim_Reps!C:C)</f>
        <v>SDR / Inside Sales Rep</v>
      </c>
      <c r="Q2568" t="str">
        <f>_xlfn.XLOOKUP(Pipeline_tbl[[#This Row],[Rep_ID]],Dim_Reps!A:A,Dim_Reps!D:D)</f>
        <v>Inside Sales</v>
      </c>
      <c r="R2568" t="str">
        <f>_xlfn.XLOOKUP(Pipeline_tbl[[#This Row],[Rep_ID]],Dim_Reps!A:A,Dim_Reps!E:E)</f>
        <v>APAC</v>
      </c>
      <c r="S2568" t="str">
        <f>_xlfn.XLOOKUP(Pipeline_tbl[[#This Row],[Created_Date]],Dim_Date!A:A,Dim_Date!H:H)</f>
        <v>May 2024</v>
      </c>
      <c r="T2568" t="str">
        <f>IF(Pipeline_tbl[[#This Row],[Closed_Date]]=0,"",(_xlfn.XLOOKUP(Pipeline_tbl[[#This Row],[Closed_Date]],Dim_Date!A:A,Dim_Date!H:H)))</f>
        <v>Jun 2024</v>
      </c>
      <c r="U2568">
        <f>IF(Pipeline_tbl[[#This Row],[Closed_Date]]=0,"",Pipeline_tbl[[#This Row],[Closed_Date]]-Pipeline_tbl[[#This Row],[Created_Date]])</f>
        <v>21</v>
      </c>
    </row>
    <row r="2569" spans="1:21" ht="15" customHeight="1" x14ac:dyDescent="0.2">
      <c r="A2569" t="s">
        <v>2875</v>
      </c>
      <c r="B2569" t="s">
        <v>241</v>
      </c>
      <c r="C2569" t="s">
        <v>52</v>
      </c>
      <c r="D2569" s="49">
        <v>45439</v>
      </c>
      <c r="E2569" s="49">
        <v>45442</v>
      </c>
      <c r="F2569" s="49">
        <v>45447</v>
      </c>
      <c r="G2569" s="49">
        <v>45456</v>
      </c>
      <c r="H2569" s="49">
        <v>45463</v>
      </c>
      <c r="I2569" s="49">
        <v>45467</v>
      </c>
      <c r="J2569" t="s">
        <v>47</v>
      </c>
      <c r="K2569" s="33">
        <v>3700</v>
      </c>
      <c r="M2569" t="str">
        <f>_xlfn.XLOOKUP(Pipeline_tbl[[#This Row],[Rep_ID]],Dim_Reps!A:A,Dim_Reps!K:K)</f>
        <v>EUR</v>
      </c>
      <c r="N2569" s="33">
        <f>(_xlfn.XLOOKUP(Pipeline_tbl[[#This Row],[Rate_Code_Generalized]],Lookups!A:A,Lookups!B:B))*Pipeline_tbl[[#This Row],[Pipeline_Amount_USD]]</f>
        <v>3700</v>
      </c>
      <c r="O2569" t="str">
        <f>_xlfn.XLOOKUP(Pipeline_tbl[[#This Row],[Rep_ID]],Dim_Reps!A:A,Dim_Reps!B:B)</f>
        <v>Kenji Weber</v>
      </c>
      <c r="P2569" t="str">
        <f>_xlfn.XLOOKUP(Pipeline_tbl[[#This Row],[Rep_ID]],Dim_Reps!A:A,Dim_Reps!C:C)</f>
        <v>SDR / Inside Sales Rep</v>
      </c>
      <c r="Q2569" t="str">
        <f>_xlfn.XLOOKUP(Pipeline_tbl[[#This Row],[Rep_ID]],Dim_Reps!A:A,Dim_Reps!D:D)</f>
        <v>Inside Sales</v>
      </c>
      <c r="R2569" t="str">
        <f>_xlfn.XLOOKUP(Pipeline_tbl[[#This Row],[Rep_ID]],Dim_Reps!A:A,Dim_Reps!E:E)</f>
        <v>APAC</v>
      </c>
      <c r="S2569" t="str">
        <f>_xlfn.XLOOKUP(Pipeline_tbl[[#This Row],[Created_Date]],Dim_Date!A:A,Dim_Date!H:H)</f>
        <v>May 2024</v>
      </c>
      <c r="T2569" t="str">
        <f>IF(Pipeline_tbl[[#This Row],[Closed_Date]]=0,"",(_xlfn.XLOOKUP(Pipeline_tbl[[#This Row],[Closed_Date]],Dim_Date!A:A,Dim_Date!H:H)))</f>
        <v>Jun 2024</v>
      </c>
      <c r="U2569">
        <f>IF(Pipeline_tbl[[#This Row],[Closed_Date]]=0,"",Pipeline_tbl[[#This Row],[Closed_Date]]-Pipeline_tbl[[#This Row],[Created_Date]])</f>
        <v>28</v>
      </c>
    </row>
    <row r="2570" spans="1:21" ht="15" customHeight="1" x14ac:dyDescent="0.2">
      <c r="A2570" t="s">
        <v>2876</v>
      </c>
      <c r="B2570" t="s">
        <v>241</v>
      </c>
      <c r="C2570" t="s">
        <v>53</v>
      </c>
      <c r="D2570" s="49">
        <v>45430</v>
      </c>
      <c r="E2570" s="49">
        <v>45432</v>
      </c>
      <c r="I2570" s="49">
        <v>45449</v>
      </c>
      <c r="J2570" t="s">
        <v>49</v>
      </c>
      <c r="K2570" s="33">
        <v>5300</v>
      </c>
      <c r="L2570" t="s">
        <v>63</v>
      </c>
      <c r="M2570" t="str">
        <f>_xlfn.XLOOKUP(Pipeline_tbl[[#This Row],[Rep_ID]],Dim_Reps!A:A,Dim_Reps!K:K)</f>
        <v>EUR</v>
      </c>
      <c r="N2570" s="33">
        <f>(_xlfn.XLOOKUP(Pipeline_tbl[[#This Row],[Rate_Code_Generalized]],Lookups!A:A,Lookups!B:B))*Pipeline_tbl[[#This Row],[Pipeline_Amount_USD]]</f>
        <v>5300</v>
      </c>
      <c r="O2570" t="str">
        <f>_xlfn.XLOOKUP(Pipeline_tbl[[#This Row],[Rep_ID]],Dim_Reps!A:A,Dim_Reps!B:B)</f>
        <v>Kenji Weber</v>
      </c>
      <c r="P2570" t="str">
        <f>_xlfn.XLOOKUP(Pipeline_tbl[[#This Row],[Rep_ID]],Dim_Reps!A:A,Dim_Reps!C:C)</f>
        <v>SDR / Inside Sales Rep</v>
      </c>
      <c r="Q2570" t="str">
        <f>_xlfn.XLOOKUP(Pipeline_tbl[[#This Row],[Rep_ID]],Dim_Reps!A:A,Dim_Reps!D:D)</f>
        <v>Inside Sales</v>
      </c>
      <c r="R2570" t="str">
        <f>_xlfn.XLOOKUP(Pipeline_tbl[[#This Row],[Rep_ID]],Dim_Reps!A:A,Dim_Reps!E:E)</f>
        <v>APAC</v>
      </c>
      <c r="S2570" t="str">
        <f>_xlfn.XLOOKUP(Pipeline_tbl[[#This Row],[Created_Date]],Dim_Date!A:A,Dim_Date!H:H)</f>
        <v>May 2024</v>
      </c>
      <c r="T2570" t="str">
        <f>IF(Pipeline_tbl[[#This Row],[Closed_Date]]=0,"",(_xlfn.XLOOKUP(Pipeline_tbl[[#This Row],[Closed_Date]],Dim_Date!A:A,Dim_Date!H:H)))</f>
        <v>Jun 2024</v>
      </c>
      <c r="U2570">
        <f>IF(Pipeline_tbl[[#This Row],[Closed_Date]]=0,"",Pipeline_tbl[[#This Row],[Closed_Date]]-Pipeline_tbl[[#This Row],[Created_Date]])</f>
        <v>19</v>
      </c>
    </row>
    <row r="2571" spans="1:21" ht="15" customHeight="1" x14ac:dyDescent="0.2">
      <c r="A2571" t="s">
        <v>2877</v>
      </c>
      <c r="B2571" t="s">
        <v>193</v>
      </c>
      <c r="C2571" t="s">
        <v>54</v>
      </c>
      <c r="D2571" s="49">
        <v>45416</v>
      </c>
      <c r="E2571" s="49">
        <v>45417</v>
      </c>
      <c r="F2571" s="49">
        <v>45420</v>
      </c>
      <c r="G2571" s="49">
        <v>45424</v>
      </c>
      <c r="H2571" s="49">
        <v>45427</v>
      </c>
      <c r="I2571" s="49">
        <v>45429</v>
      </c>
      <c r="J2571" t="s">
        <v>49</v>
      </c>
      <c r="K2571" s="33">
        <v>4000</v>
      </c>
      <c r="L2571" t="s">
        <v>60</v>
      </c>
      <c r="M2571" t="str">
        <f>_xlfn.XLOOKUP(Pipeline_tbl[[#This Row],[Rep_ID]],Dim_Reps!A:A,Dim_Reps!K:K)</f>
        <v>USD</v>
      </c>
      <c r="N2571" s="33">
        <f>(_xlfn.XLOOKUP(Pipeline_tbl[[#This Row],[Rate_Code_Generalized]],Lookups!A:A,Lookups!B:B))*Pipeline_tbl[[#This Row],[Pipeline_Amount_USD]]</f>
        <v>4657.2</v>
      </c>
      <c r="O2571" t="str">
        <f>_xlfn.XLOOKUP(Pipeline_tbl[[#This Row],[Rep_ID]],Dim_Reps!A:A,Dim_Reps!B:B)</f>
        <v>Karim Rossi</v>
      </c>
      <c r="P2571" t="str">
        <f>_xlfn.XLOOKUP(Pipeline_tbl[[#This Row],[Rep_ID]],Dim_Reps!A:A,Dim_Reps!C:C)</f>
        <v>SDR / Inside Sales Rep</v>
      </c>
      <c r="Q2571" t="str">
        <f>_xlfn.XLOOKUP(Pipeline_tbl[[#This Row],[Rep_ID]],Dim_Reps!A:A,Dim_Reps!D:D)</f>
        <v>Inside Sales</v>
      </c>
      <c r="R2571" t="str">
        <f>_xlfn.XLOOKUP(Pipeline_tbl[[#This Row],[Rep_ID]],Dim_Reps!A:A,Dim_Reps!E:E)</f>
        <v>NAMER</v>
      </c>
      <c r="S2571" t="str">
        <f>_xlfn.XLOOKUP(Pipeline_tbl[[#This Row],[Created_Date]],Dim_Date!A:A,Dim_Date!H:H)</f>
        <v>May 2024</v>
      </c>
      <c r="T2571" t="str">
        <f>IF(Pipeline_tbl[[#This Row],[Closed_Date]]=0,"",(_xlfn.XLOOKUP(Pipeline_tbl[[#This Row],[Closed_Date]],Dim_Date!A:A,Dim_Date!H:H)))</f>
        <v>May 2024</v>
      </c>
      <c r="U2571">
        <f>IF(Pipeline_tbl[[#This Row],[Closed_Date]]=0,"",Pipeline_tbl[[#This Row],[Closed_Date]]-Pipeline_tbl[[#This Row],[Created_Date]])</f>
        <v>13</v>
      </c>
    </row>
    <row r="2572" spans="1:21" ht="15" customHeight="1" x14ac:dyDescent="0.2">
      <c r="A2572" t="s">
        <v>2878</v>
      </c>
      <c r="B2572" t="s">
        <v>193</v>
      </c>
      <c r="C2572" t="s">
        <v>53</v>
      </c>
      <c r="D2572" s="49">
        <v>45417</v>
      </c>
      <c r="E2572" s="49">
        <v>45419</v>
      </c>
      <c r="F2572" s="49">
        <v>45422</v>
      </c>
      <c r="I2572" s="49">
        <v>45435</v>
      </c>
      <c r="J2572" t="s">
        <v>49</v>
      </c>
      <c r="K2572" s="33">
        <v>3300</v>
      </c>
      <c r="L2572" t="s">
        <v>60</v>
      </c>
      <c r="M2572" t="str">
        <f>_xlfn.XLOOKUP(Pipeline_tbl[[#This Row],[Rep_ID]],Dim_Reps!A:A,Dim_Reps!K:K)</f>
        <v>USD</v>
      </c>
      <c r="N2572" s="33">
        <f>(_xlfn.XLOOKUP(Pipeline_tbl[[#This Row],[Rate_Code_Generalized]],Lookups!A:A,Lookups!B:B))*Pipeline_tbl[[#This Row],[Pipeline_Amount_USD]]</f>
        <v>3842.1899999999996</v>
      </c>
      <c r="O2572" t="str">
        <f>_xlfn.XLOOKUP(Pipeline_tbl[[#This Row],[Rep_ID]],Dim_Reps!A:A,Dim_Reps!B:B)</f>
        <v>Karim Rossi</v>
      </c>
      <c r="P2572" t="str">
        <f>_xlfn.XLOOKUP(Pipeline_tbl[[#This Row],[Rep_ID]],Dim_Reps!A:A,Dim_Reps!C:C)</f>
        <v>SDR / Inside Sales Rep</v>
      </c>
      <c r="Q2572" t="str">
        <f>_xlfn.XLOOKUP(Pipeline_tbl[[#This Row],[Rep_ID]],Dim_Reps!A:A,Dim_Reps!D:D)</f>
        <v>Inside Sales</v>
      </c>
      <c r="R2572" t="str">
        <f>_xlfn.XLOOKUP(Pipeline_tbl[[#This Row],[Rep_ID]],Dim_Reps!A:A,Dim_Reps!E:E)</f>
        <v>NAMER</v>
      </c>
      <c r="S2572" t="str">
        <f>_xlfn.XLOOKUP(Pipeline_tbl[[#This Row],[Created_Date]],Dim_Date!A:A,Dim_Date!H:H)</f>
        <v>May 2024</v>
      </c>
      <c r="T2572" t="str">
        <f>IF(Pipeline_tbl[[#This Row],[Closed_Date]]=0,"",(_xlfn.XLOOKUP(Pipeline_tbl[[#This Row],[Closed_Date]],Dim_Date!A:A,Dim_Date!H:H)))</f>
        <v>May 2024</v>
      </c>
      <c r="U2572">
        <f>IF(Pipeline_tbl[[#This Row],[Closed_Date]]=0,"",Pipeline_tbl[[#This Row],[Closed_Date]]-Pipeline_tbl[[#This Row],[Created_Date]])</f>
        <v>18</v>
      </c>
    </row>
    <row r="2573" spans="1:21" ht="15" customHeight="1" x14ac:dyDescent="0.2">
      <c r="A2573" t="s">
        <v>2879</v>
      </c>
      <c r="B2573" t="s">
        <v>193</v>
      </c>
      <c r="C2573" t="s">
        <v>52</v>
      </c>
      <c r="D2573" s="49">
        <v>45421</v>
      </c>
      <c r="E2573" s="49">
        <v>45422</v>
      </c>
      <c r="F2573" s="49">
        <v>45425</v>
      </c>
      <c r="I2573" s="49">
        <v>45434</v>
      </c>
      <c r="J2573" t="s">
        <v>49</v>
      </c>
      <c r="K2573" s="33">
        <v>7200</v>
      </c>
      <c r="L2573" t="s">
        <v>61</v>
      </c>
      <c r="M2573" t="str">
        <f>_xlfn.XLOOKUP(Pipeline_tbl[[#This Row],[Rep_ID]],Dim_Reps!A:A,Dim_Reps!K:K)</f>
        <v>USD</v>
      </c>
      <c r="N2573" s="33">
        <f>(_xlfn.XLOOKUP(Pipeline_tbl[[#This Row],[Rate_Code_Generalized]],Lookups!A:A,Lookups!B:B))*Pipeline_tbl[[#This Row],[Pipeline_Amount_USD]]</f>
        <v>8382.9599999999991</v>
      </c>
      <c r="O2573" t="str">
        <f>_xlfn.XLOOKUP(Pipeline_tbl[[#This Row],[Rep_ID]],Dim_Reps!A:A,Dim_Reps!B:B)</f>
        <v>Karim Rossi</v>
      </c>
      <c r="P2573" t="str">
        <f>_xlfn.XLOOKUP(Pipeline_tbl[[#This Row],[Rep_ID]],Dim_Reps!A:A,Dim_Reps!C:C)</f>
        <v>SDR / Inside Sales Rep</v>
      </c>
      <c r="Q2573" t="str">
        <f>_xlfn.XLOOKUP(Pipeline_tbl[[#This Row],[Rep_ID]],Dim_Reps!A:A,Dim_Reps!D:D)</f>
        <v>Inside Sales</v>
      </c>
      <c r="R2573" t="str">
        <f>_xlfn.XLOOKUP(Pipeline_tbl[[#This Row],[Rep_ID]],Dim_Reps!A:A,Dim_Reps!E:E)</f>
        <v>NAMER</v>
      </c>
      <c r="S2573" t="str">
        <f>_xlfn.XLOOKUP(Pipeline_tbl[[#This Row],[Created_Date]],Dim_Date!A:A,Dim_Date!H:H)</f>
        <v>May 2024</v>
      </c>
      <c r="T2573" t="str">
        <f>IF(Pipeline_tbl[[#This Row],[Closed_Date]]=0,"",(_xlfn.XLOOKUP(Pipeline_tbl[[#This Row],[Closed_Date]],Dim_Date!A:A,Dim_Date!H:H)))</f>
        <v>May 2024</v>
      </c>
      <c r="U2573">
        <f>IF(Pipeline_tbl[[#This Row],[Closed_Date]]=0,"",Pipeline_tbl[[#This Row],[Closed_Date]]-Pipeline_tbl[[#This Row],[Created_Date]])</f>
        <v>13</v>
      </c>
    </row>
    <row r="2574" spans="1:21" ht="15" customHeight="1" x14ac:dyDescent="0.2">
      <c r="A2574" t="s">
        <v>2880</v>
      </c>
      <c r="B2574" t="s">
        <v>193</v>
      </c>
      <c r="C2574" t="s">
        <v>52</v>
      </c>
      <c r="D2574" s="49">
        <v>45416</v>
      </c>
      <c r="E2574" s="49">
        <v>45418</v>
      </c>
      <c r="F2574" s="49">
        <v>45423</v>
      </c>
      <c r="I2574" s="49">
        <v>45439</v>
      </c>
      <c r="J2574" t="s">
        <v>49</v>
      </c>
      <c r="K2574" s="33">
        <v>7300</v>
      </c>
      <c r="L2574" t="s">
        <v>61</v>
      </c>
      <c r="M2574" t="str">
        <f>_xlfn.XLOOKUP(Pipeline_tbl[[#This Row],[Rep_ID]],Dim_Reps!A:A,Dim_Reps!K:K)</f>
        <v>USD</v>
      </c>
      <c r="N2574" s="33">
        <f>(_xlfn.XLOOKUP(Pipeline_tbl[[#This Row],[Rate_Code_Generalized]],Lookups!A:A,Lookups!B:B))*Pipeline_tbl[[#This Row],[Pipeline_Amount_USD]]</f>
        <v>8499.39</v>
      </c>
      <c r="O2574" t="str">
        <f>_xlfn.XLOOKUP(Pipeline_tbl[[#This Row],[Rep_ID]],Dim_Reps!A:A,Dim_Reps!B:B)</f>
        <v>Karim Rossi</v>
      </c>
      <c r="P2574" t="str">
        <f>_xlfn.XLOOKUP(Pipeline_tbl[[#This Row],[Rep_ID]],Dim_Reps!A:A,Dim_Reps!C:C)</f>
        <v>SDR / Inside Sales Rep</v>
      </c>
      <c r="Q2574" t="str">
        <f>_xlfn.XLOOKUP(Pipeline_tbl[[#This Row],[Rep_ID]],Dim_Reps!A:A,Dim_Reps!D:D)</f>
        <v>Inside Sales</v>
      </c>
      <c r="R2574" t="str">
        <f>_xlfn.XLOOKUP(Pipeline_tbl[[#This Row],[Rep_ID]],Dim_Reps!A:A,Dim_Reps!E:E)</f>
        <v>NAMER</v>
      </c>
      <c r="S2574" t="str">
        <f>_xlfn.XLOOKUP(Pipeline_tbl[[#This Row],[Created_Date]],Dim_Date!A:A,Dim_Date!H:H)</f>
        <v>May 2024</v>
      </c>
      <c r="T2574" t="str">
        <f>IF(Pipeline_tbl[[#This Row],[Closed_Date]]=0,"",(_xlfn.XLOOKUP(Pipeline_tbl[[#This Row],[Closed_Date]],Dim_Date!A:A,Dim_Date!H:H)))</f>
        <v>May 2024</v>
      </c>
      <c r="U2574">
        <f>IF(Pipeline_tbl[[#This Row],[Closed_Date]]=0,"",Pipeline_tbl[[#This Row],[Closed_Date]]-Pipeline_tbl[[#This Row],[Created_Date]])</f>
        <v>23</v>
      </c>
    </row>
    <row r="2575" spans="1:21" ht="15" customHeight="1" x14ac:dyDescent="0.2">
      <c r="A2575" t="s">
        <v>2881</v>
      </c>
      <c r="B2575" t="s">
        <v>193</v>
      </c>
      <c r="C2575" t="s">
        <v>52</v>
      </c>
      <c r="D2575" s="49">
        <v>45416</v>
      </c>
      <c r="E2575" s="49">
        <v>45417</v>
      </c>
      <c r="F2575" s="49">
        <v>45419</v>
      </c>
      <c r="G2575" s="49">
        <v>45421</v>
      </c>
      <c r="I2575" s="49">
        <v>45425</v>
      </c>
      <c r="J2575" t="s">
        <v>49</v>
      </c>
      <c r="K2575" s="33">
        <v>1900</v>
      </c>
      <c r="L2575" t="s">
        <v>61</v>
      </c>
      <c r="M2575" t="str">
        <f>_xlfn.XLOOKUP(Pipeline_tbl[[#This Row],[Rep_ID]],Dim_Reps!A:A,Dim_Reps!K:K)</f>
        <v>USD</v>
      </c>
      <c r="N2575" s="33">
        <f>(_xlfn.XLOOKUP(Pipeline_tbl[[#This Row],[Rate_Code_Generalized]],Lookups!A:A,Lookups!B:B))*Pipeline_tbl[[#This Row],[Pipeline_Amount_USD]]</f>
        <v>2212.1699999999996</v>
      </c>
      <c r="O2575" t="str">
        <f>_xlfn.XLOOKUP(Pipeline_tbl[[#This Row],[Rep_ID]],Dim_Reps!A:A,Dim_Reps!B:B)</f>
        <v>Karim Rossi</v>
      </c>
      <c r="P2575" t="str">
        <f>_xlfn.XLOOKUP(Pipeline_tbl[[#This Row],[Rep_ID]],Dim_Reps!A:A,Dim_Reps!C:C)</f>
        <v>SDR / Inside Sales Rep</v>
      </c>
      <c r="Q2575" t="str">
        <f>_xlfn.XLOOKUP(Pipeline_tbl[[#This Row],[Rep_ID]],Dim_Reps!A:A,Dim_Reps!D:D)</f>
        <v>Inside Sales</v>
      </c>
      <c r="R2575" t="str">
        <f>_xlfn.XLOOKUP(Pipeline_tbl[[#This Row],[Rep_ID]],Dim_Reps!A:A,Dim_Reps!E:E)</f>
        <v>NAMER</v>
      </c>
      <c r="S2575" t="str">
        <f>_xlfn.XLOOKUP(Pipeline_tbl[[#This Row],[Created_Date]],Dim_Date!A:A,Dim_Date!H:H)</f>
        <v>May 2024</v>
      </c>
      <c r="T2575" t="str">
        <f>IF(Pipeline_tbl[[#This Row],[Closed_Date]]=0,"",(_xlfn.XLOOKUP(Pipeline_tbl[[#This Row],[Closed_Date]],Dim_Date!A:A,Dim_Date!H:H)))</f>
        <v>May 2024</v>
      </c>
      <c r="U2575">
        <f>IF(Pipeline_tbl[[#This Row],[Closed_Date]]=0,"",Pipeline_tbl[[#This Row],[Closed_Date]]-Pipeline_tbl[[#This Row],[Created_Date]])</f>
        <v>9</v>
      </c>
    </row>
    <row r="2576" spans="1:21" ht="15" customHeight="1" x14ac:dyDescent="0.2">
      <c r="A2576" t="s">
        <v>2882</v>
      </c>
      <c r="B2576" t="s">
        <v>193</v>
      </c>
      <c r="C2576" t="s">
        <v>56</v>
      </c>
      <c r="D2576" s="49">
        <v>45417</v>
      </c>
      <c r="E2576" s="49">
        <v>45419</v>
      </c>
      <c r="F2576" s="49">
        <v>45422</v>
      </c>
      <c r="I2576" s="49">
        <v>45433</v>
      </c>
      <c r="J2576" t="s">
        <v>49</v>
      </c>
      <c r="K2576" s="33">
        <v>2500</v>
      </c>
      <c r="L2576" t="s">
        <v>60</v>
      </c>
      <c r="M2576" t="str">
        <f>_xlfn.XLOOKUP(Pipeline_tbl[[#This Row],[Rep_ID]],Dim_Reps!A:A,Dim_Reps!K:K)</f>
        <v>USD</v>
      </c>
      <c r="N2576" s="33">
        <f>(_xlfn.XLOOKUP(Pipeline_tbl[[#This Row],[Rate_Code_Generalized]],Lookups!A:A,Lookups!B:B))*Pipeline_tbl[[#This Row],[Pipeline_Amount_USD]]</f>
        <v>2910.7499999999995</v>
      </c>
      <c r="O2576" t="str">
        <f>_xlfn.XLOOKUP(Pipeline_tbl[[#This Row],[Rep_ID]],Dim_Reps!A:A,Dim_Reps!B:B)</f>
        <v>Karim Rossi</v>
      </c>
      <c r="P2576" t="str">
        <f>_xlfn.XLOOKUP(Pipeline_tbl[[#This Row],[Rep_ID]],Dim_Reps!A:A,Dim_Reps!C:C)</f>
        <v>SDR / Inside Sales Rep</v>
      </c>
      <c r="Q2576" t="str">
        <f>_xlfn.XLOOKUP(Pipeline_tbl[[#This Row],[Rep_ID]],Dim_Reps!A:A,Dim_Reps!D:D)</f>
        <v>Inside Sales</v>
      </c>
      <c r="R2576" t="str">
        <f>_xlfn.XLOOKUP(Pipeline_tbl[[#This Row],[Rep_ID]],Dim_Reps!A:A,Dim_Reps!E:E)</f>
        <v>NAMER</v>
      </c>
      <c r="S2576" t="str">
        <f>_xlfn.XLOOKUP(Pipeline_tbl[[#This Row],[Created_Date]],Dim_Date!A:A,Dim_Date!H:H)</f>
        <v>May 2024</v>
      </c>
      <c r="T2576" t="str">
        <f>IF(Pipeline_tbl[[#This Row],[Closed_Date]]=0,"",(_xlfn.XLOOKUP(Pipeline_tbl[[#This Row],[Closed_Date]],Dim_Date!A:A,Dim_Date!H:H)))</f>
        <v>May 2024</v>
      </c>
      <c r="U2576">
        <f>IF(Pipeline_tbl[[#This Row],[Closed_Date]]=0,"",Pipeline_tbl[[#This Row],[Closed_Date]]-Pipeline_tbl[[#This Row],[Created_Date]])</f>
        <v>16</v>
      </c>
    </row>
    <row r="2577" spans="1:21" ht="15" customHeight="1" x14ac:dyDescent="0.2">
      <c r="A2577" t="s">
        <v>2883</v>
      </c>
      <c r="B2577" t="s">
        <v>193</v>
      </c>
      <c r="C2577" t="s">
        <v>54</v>
      </c>
      <c r="D2577" s="49">
        <v>45432</v>
      </c>
      <c r="E2577" s="49">
        <v>45433</v>
      </c>
      <c r="F2577" s="49">
        <v>45435</v>
      </c>
      <c r="G2577" s="49">
        <v>45438</v>
      </c>
      <c r="I2577" s="49">
        <v>45442</v>
      </c>
      <c r="J2577" t="s">
        <v>49</v>
      </c>
      <c r="K2577" s="33">
        <v>3700</v>
      </c>
      <c r="L2577" t="s">
        <v>60</v>
      </c>
      <c r="M2577" t="str">
        <f>_xlfn.XLOOKUP(Pipeline_tbl[[#This Row],[Rep_ID]],Dim_Reps!A:A,Dim_Reps!K:K)</f>
        <v>USD</v>
      </c>
      <c r="N2577" s="33">
        <f>(_xlfn.XLOOKUP(Pipeline_tbl[[#This Row],[Rate_Code_Generalized]],Lookups!A:A,Lookups!B:B))*Pipeline_tbl[[#This Row],[Pipeline_Amount_USD]]</f>
        <v>4307.91</v>
      </c>
      <c r="O2577" t="str">
        <f>_xlfn.XLOOKUP(Pipeline_tbl[[#This Row],[Rep_ID]],Dim_Reps!A:A,Dim_Reps!B:B)</f>
        <v>Karim Rossi</v>
      </c>
      <c r="P2577" t="str">
        <f>_xlfn.XLOOKUP(Pipeline_tbl[[#This Row],[Rep_ID]],Dim_Reps!A:A,Dim_Reps!C:C)</f>
        <v>SDR / Inside Sales Rep</v>
      </c>
      <c r="Q2577" t="str">
        <f>_xlfn.XLOOKUP(Pipeline_tbl[[#This Row],[Rep_ID]],Dim_Reps!A:A,Dim_Reps!D:D)</f>
        <v>Inside Sales</v>
      </c>
      <c r="R2577" t="str">
        <f>_xlfn.XLOOKUP(Pipeline_tbl[[#This Row],[Rep_ID]],Dim_Reps!A:A,Dim_Reps!E:E)</f>
        <v>NAMER</v>
      </c>
      <c r="S2577" t="str">
        <f>_xlfn.XLOOKUP(Pipeline_tbl[[#This Row],[Created_Date]],Dim_Date!A:A,Dim_Date!H:H)</f>
        <v>May 2024</v>
      </c>
      <c r="T2577" t="str">
        <f>IF(Pipeline_tbl[[#This Row],[Closed_Date]]=0,"",(_xlfn.XLOOKUP(Pipeline_tbl[[#This Row],[Closed_Date]],Dim_Date!A:A,Dim_Date!H:H)))</f>
        <v>May 2024</v>
      </c>
      <c r="U2577">
        <f>IF(Pipeline_tbl[[#This Row],[Closed_Date]]=0,"",Pipeline_tbl[[#This Row],[Closed_Date]]-Pipeline_tbl[[#This Row],[Created_Date]])</f>
        <v>10</v>
      </c>
    </row>
    <row r="2578" spans="1:21" ht="15" customHeight="1" x14ac:dyDescent="0.2">
      <c r="A2578" t="s">
        <v>2884</v>
      </c>
      <c r="B2578" t="s">
        <v>199</v>
      </c>
      <c r="C2578" t="s">
        <v>53</v>
      </c>
      <c r="D2578" s="49">
        <v>45426</v>
      </c>
      <c r="E2578" s="49">
        <v>45428</v>
      </c>
      <c r="F2578" s="49">
        <v>45431</v>
      </c>
      <c r="G2578" s="49">
        <v>45436</v>
      </c>
      <c r="H2578" s="49">
        <v>45440</v>
      </c>
      <c r="I2578" s="49">
        <v>45442</v>
      </c>
      <c r="J2578" t="s">
        <v>47</v>
      </c>
      <c r="K2578" s="33">
        <v>2900</v>
      </c>
      <c r="M2578" t="str">
        <f>_xlfn.XLOOKUP(Pipeline_tbl[[#This Row],[Rep_ID]],Dim_Reps!A:A,Dim_Reps!K:K)</f>
        <v>EUR</v>
      </c>
      <c r="N2578" s="33">
        <f>(_xlfn.XLOOKUP(Pipeline_tbl[[#This Row],[Rate_Code_Generalized]],Lookups!A:A,Lookups!B:B))*Pipeline_tbl[[#This Row],[Pipeline_Amount_USD]]</f>
        <v>2900</v>
      </c>
      <c r="O2578" t="str">
        <f>_xlfn.XLOOKUP(Pipeline_tbl[[#This Row],[Rep_ID]],Dim_Reps!A:A,Dim_Reps!B:B)</f>
        <v>Lucas Okafor</v>
      </c>
      <c r="P2578" t="str">
        <f>_xlfn.XLOOKUP(Pipeline_tbl[[#This Row],[Rep_ID]],Dim_Reps!A:A,Dim_Reps!C:C)</f>
        <v>SDR / Inside Sales Rep</v>
      </c>
      <c r="Q2578" t="str">
        <f>_xlfn.XLOOKUP(Pipeline_tbl[[#This Row],[Rep_ID]],Dim_Reps!A:A,Dim_Reps!D:D)</f>
        <v>Inside Sales</v>
      </c>
      <c r="R2578" t="str">
        <f>_xlfn.XLOOKUP(Pipeline_tbl[[#This Row],[Rep_ID]],Dim_Reps!A:A,Dim_Reps!E:E)</f>
        <v>APAC</v>
      </c>
      <c r="S2578" t="str">
        <f>_xlfn.XLOOKUP(Pipeline_tbl[[#This Row],[Created_Date]],Dim_Date!A:A,Dim_Date!H:H)</f>
        <v>May 2024</v>
      </c>
      <c r="T2578" t="str">
        <f>IF(Pipeline_tbl[[#This Row],[Closed_Date]]=0,"",(_xlfn.XLOOKUP(Pipeline_tbl[[#This Row],[Closed_Date]],Dim_Date!A:A,Dim_Date!H:H)))</f>
        <v>May 2024</v>
      </c>
      <c r="U2578">
        <f>IF(Pipeline_tbl[[#This Row],[Closed_Date]]=0,"",Pipeline_tbl[[#This Row],[Closed_Date]]-Pipeline_tbl[[#This Row],[Created_Date]])</f>
        <v>16</v>
      </c>
    </row>
    <row r="2579" spans="1:21" ht="15" customHeight="1" x14ac:dyDescent="0.2">
      <c r="A2579" t="s">
        <v>2885</v>
      </c>
      <c r="B2579" t="s">
        <v>199</v>
      </c>
      <c r="C2579" t="s">
        <v>54</v>
      </c>
      <c r="D2579" s="49">
        <v>45423</v>
      </c>
      <c r="E2579" s="49">
        <v>45424</v>
      </c>
      <c r="F2579" s="49">
        <v>45427</v>
      </c>
      <c r="I2579" s="49">
        <v>45437</v>
      </c>
      <c r="J2579" t="s">
        <v>49</v>
      </c>
      <c r="K2579" s="33">
        <v>4600</v>
      </c>
      <c r="L2579" t="s">
        <v>60</v>
      </c>
      <c r="M2579" t="str">
        <f>_xlfn.XLOOKUP(Pipeline_tbl[[#This Row],[Rep_ID]],Dim_Reps!A:A,Dim_Reps!K:K)</f>
        <v>EUR</v>
      </c>
      <c r="N2579" s="33">
        <f>(_xlfn.XLOOKUP(Pipeline_tbl[[#This Row],[Rate_Code_Generalized]],Lookups!A:A,Lookups!B:B))*Pipeline_tbl[[#This Row],[Pipeline_Amount_USD]]</f>
        <v>4600</v>
      </c>
      <c r="O2579" t="str">
        <f>_xlfn.XLOOKUP(Pipeline_tbl[[#This Row],[Rep_ID]],Dim_Reps!A:A,Dim_Reps!B:B)</f>
        <v>Lucas Okafor</v>
      </c>
      <c r="P2579" t="str">
        <f>_xlfn.XLOOKUP(Pipeline_tbl[[#This Row],[Rep_ID]],Dim_Reps!A:A,Dim_Reps!C:C)</f>
        <v>SDR / Inside Sales Rep</v>
      </c>
      <c r="Q2579" t="str">
        <f>_xlfn.XLOOKUP(Pipeline_tbl[[#This Row],[Rep_ID]],Dim_Reps!A:A,Dim_Reps!D:D)</f>
        <v>Inside Sales</v>
      </c>
      <c r="R2579" t="str">
        <f>_xlfn.XLOOKUP(Pipeline_tbl[[#This Row],[Rep_ID]],Dim_Reps!A:A,Dim_Reps!E:E)</f>
        <v>APAC</v>
      </c>
      <c r="S2579" t="str">
        <f>_xlfn.XLOOKUP(Pipeline_tbl[[#This Row],[Created_Date]],Dim_Date!A:A,Dim_Date!H:H)</f>
        <v>May 2024</v>
      </c>
      <c r="T2579" t="str">
        <f>IF(Pipeline_tbl[[#This Row],[Closed_Date]]=0,"",(_xlfn.XLOOKUP(Pipeline_tbl[[#This Row],[Closed_Date]],Dim_Date!A:A,Dim_Date!H:H)))</f>
        <v>May 2024</v>
      </c>
      <c r="U2579">
        <f>IF(Pipeline_tbl[[#This Row],[Closed_Date]]=0,"",Pipeline_tbl[[#This Row],[Closed_Date]]-Pipeline_tbl[[#This Row],[Created_Date]])</f>
        <v>14</v>
      </c>
    </row>
    <row r="2580" spans="1:21" ht="15" customHeight="1" x14ac:dyDescent="0.2">
      <c r="A2580" t="s">
        <v>2886</v>
      </c>
      <c r="B2580" t="s">
        <v>199</v>
      </c>
      <c r="C2580" t="s">
        <v>53</v>
      </c>
      <c r="D2580" s="49">
        <v>45420</v>
      </c>
      <c r="E2580" s="49">
        <v>45422</v>
      </c>
      <c r="F2580" s="49">
        <v>45426</v>
      </c>
      <c r="I2580" s="49">
        <v>45439</v>
      </c>
      <c r="J2580" t="s">
        <v>49</v>
      </c>
      <c r="K2580" s="33">
        <v>3200</v>
      </c>
      <c r="L2580" t="s">
        <v>60</v>
      </c>
      <c r="M2580" t="str">
        <f>_xlfn.XLOOKUP(Pipeline_tbl[[#This Row],[Rep_ID]],Dim_Reps!A:A,Dim_Reps!K:K)</f>
        <v>EUR</v>
      </c>
      <c r="N2580" s="33">
        <f>(_xlfn.XLOOKUP(Pipeline_tbl[[#This Row],[Rate_Code_Generalized]],Lookups!A:A,Lookups!B:B))*Pipeline_tbl[[#This Row],[Pipeline_Amount_USD]]</f>
        <v>3200</v>
      </c>
      <c r="O2580" t="str">
        <f>_xlfn.XLOOKUP(Pipeline_tbl[[#This Row],[Rep_ID]],Dim_Reps!A:A,Dim_Reps!B:B)</f>
        <v>Lucas Okafor</v>
      </c>
      <c r="P2580" t="str">
        <f>_xlfn.XLOOKUP(Pipeline_tbl[[#This Row],[Rep_ID]],Dim_Reps!A:A,Dim_Reps!C:C)</f>
        <v>SDR / Inside Sales Rep</v>
      </c>
      <c r="Q2580" t="str">
        <f>_xlfn.XLOOKUP(Pipeline_tbl[[#This Row],[Rep_ID]],Dim_Reps!A:A,Dim_Reps!D:D)</f>
        <v>Inside Sales</v>
      </c>
      <c r="R2580" t="str">
        <f>_xlfn.XLOOKUP(Pipeline_tbl[[#This Row],[Rep_ID]],Dim_Reps!A:A,Dim_Reps!E:E)</f>
        <v>APAC</v>
      </c>
      <c r="S2580" t="str">
        <f>_xlfn.XLOOKUP(Pipeline_tbl[[#This Row],[Created_Date]],Dim_Date!A:A,Dim_Date!H:H)</f>
        <v>May 2024</v>
      </c>
      <c r="T2580" t="str">
        <f>IF(Pipeline_tbl[[#This Row],[Closed_Date]]=0,"",(_xlfn.XLOOKUP(Pipeline_tbl[[#This Row],[Closed_Date]],Dim_Date!A:A,Dim_Date!H:H)))</f>
        <v>May 2024</v>
      </c>
      <c r="U2580">
        <f>IF(Pipeline_tbl[[#This Row],[Closed_Date]]=0,"",Pipeline_tbl[[#This Row],[Closed_Date]]-Pipeline_tbl[[#This Row],[Created_Date]])</f>
        <v>19</v>
      </c>
    </row>
    <row r="2581" spans="1:21" ht="15" customHeight="1" x14ac:dyDescent="0.2">
      <c r="A2581" t="s">
        <v>2887</v>
      </c>
      <c r="B2581" t="s">
        <v>199</v>
      </c>
      <c r="C2581" t="s">
        <v>52</v>
      </c>
      <c r="D2581" s="49">
        <v>45415</v>
      </c>
      <c r="E2581" s="49">
        <v>45417</v>
      </c>
      <c r="F2581" s="49">
        <v>45420</v>
      </c>
      <c r="I2581" s="49">
        <v>45432</v>
      </c>
      <c r="J2581" t="s">
        <v>49</v>
      </c>
      <c r="K2581" s="33">
        <v>2700</v>
      </c>
      <c r="L2581" t="s">
        <v>63</v>
      </c>
      <c r="M2581" t="str">
        <f>_xlfn.XLOOKUP(Pipeline_tbl[[#This Row],[Rep_ID]],Dim_Reps!A:A,Dim_Reps!K:K)</f>
        <v>EUR</v>
      </c>
      <c r="N2581" s="33">
        <f>(_xlfn.XLOOKUP(Pipeline_tbl[[#This Row],[Rate_Code_Generalized]],Lookups!A:A,Lookups!B:B))*Pipeline_tbl[[#This Row],[Pipeline_Amount_USD]]</f>
        <v>2700</v>
      </c>
      <c r="O2581" t="str">
        <f>_xlfn.XLOOKUP(Pipeline_tbl[[#This Row],[Rep_ID]],Dim_Reps!A:A,Dim_Reps!B:B)</f>
        <v>Lucas Okafor</v>
      </c>
      <c r="P2581" t="str">
        <f>_xlfn.XLOOKUP(Pipeline_tbl[[#This Row],[Rep_ID]],Dim_Reps!A:A,Dim_Reps!C:C)</f>
        <v>SDR / Inside Sales Rep</v>
      </c>
      <c r="Q2581" t="str">
        <f>_xlfn.XLOOKUP(Pipeline_tbl[[#This Row],[Rep_ID]],Dim_Reps!A:A,Dim_Reps!D:D)</f>
        <v>Inside Sales</v>
      </c>
      <c r="R2581" t="str">
        <f>_xlfn.XLOOKUP(Pipeline_tbl[[#This Row],[Rep_ID]],Dim_Reps!A:A,Dim_Reps!E:E)</f>
        <v>APAC</v>
      </c>
      <c r="S2581" t="str">
        <f>_xlfn.XLOOKUP(Pipeline_tbl[[#This Row],[Created_Date]],Dim_Date!A:A,Dim_Date!H:H)</f>
        <v>May 2024</v>
      </c>
      <c r="T2581" t="str">
        <f>IF(Pipeline_tbl[[#This Row],[Closed_Date]]=0,"",(_xlfn.XLOOKUP(Pipeline_tbl[[#This Row],[Closed_Date]],Dim_Date!A:A,Dim_Date!H:H)))</f>
        <v>May 2024</v>
      </c>
      <c r="U2581">
        <f>IF(Pipeline_tbl[[#This Row],[Closed_Date]]=0,"",Pipeline_tbl[[#This Row],[Closed_Date]]-Pipeline_tbl[[#This Row],[Created_Date]])</f>
        <v>17</v>
      </c>
    </row>
    <row r="2582" spans="1:21" ht="15" customHeight="1" x14ac:dyDescent="0.2">
      <c r="A2582" t="s">
        <v>2888</v>
      </c>
      <c r="B2582" t="s">
        <v>181</v>
      </c>
      <c r="C2582" t="s">
        <v>52</v>
      </c>
      <c r="D2582" s="49">
        <v>45413</v>
      </c>
      <c r="E2582" s="49">
        <v>45413</v>
      </c>
      <c r="F2582" s="49">
        <v>45415</v>
      </c>
      <c r="G2582" s="49">
        <v>45416</v>
      </c>
      <c r="H2582" s="49">
        <v>45417</v>
      </c>
      <c r="I2582" s="49">
        <v>45418</v>
      </c>
      <c r="J2582" t="s">
        <v>49</v>
      </c>
      <c r="K2582" s="33">
        <v>42300</v>
      </c>
      <c r="L2582" t="s">
        <v>62</v>
      </c>
      <c r="M2582" t="str">
        <f>_xlfn.XLOOKUP(Pipeline_tbl[[#This Row],[Rep_ID]],Dim_Reps!A:A,Dim_Reps!K:K)</f>
        <v>USD</v>
      </c>
      <c r="N2582" s="33">
        <f>(_xlfn.XLOOKUP(Pipeline_tbl[[#This Row],[Rate_Code_Generalized]],Lookups!A:A,Lookups!B:B))*Pipeline_tbl[[#This Row],[Pipeline_Amount_USD]]</f>
        <v>49249.889999999992</v>
      </c>
      <c r="O2582" t="str">
        <f>_xlfn.XLOOKUP(Pipeline_tbl[[#This Row],[Rep_ID]],Dim_Reps!A:A,Dim_Reps!B:B)</f>
        <v>Milo Weber</v>
      </c>
      <c r="P2582" t="str">
        <f>_xlfn.XLOOKUP(Pipeline_tbl[[#This Row],[Rep_ID]],Dim_Reps!A:A,Dim_Reps!C:C)</f>
        <v>Enterprise AE</v>
      </c>
      <c r="Q2582" t="str">
        <f>_xlfn.XLOOKUP(Pipeline_tbl[[#This Row],[Rep_ID]],Dim_Reps!A:A,Dim_Reps!D:D)</f>
        <v>Enterprise</v>
      </c>
      <c r="R2582" t="str">
        <f>_xlfn.XLOOKUP(Pipeline_tbl[[#This Row],[Rep_ID]],Dim_Reps!A:A,Dim_Reps!E:E)</f>
        <v>NAMER</v>
      </c>
      <c r="S2582" t="str">
        <f>_xlfn.XLOOKUP(Pipeline_tbl[[#This Row],[Created_Date]],Dim_Date!A:A,Dim_Date!H:H)</f>
        <v>May 2024</v>
      </c>
      <c r="T2582" t="str">
        <f>IF(Pipeline_tbl[[#This Row],[Closed_Date]]=0,"",(_xlfn.XLOOKUP(Pipeline_tbl[[#This Row],[Closed_Date]],Dim_Date!A:A,Dim_Date!H:H)))</f>
        <v>May 2024</v>
      </c>
      <c r="U2582">
        <f>IF(Pipeline_tbl[[#This Row],[Closed_Date]]=0,"",Pipeline_tbl[[#This Row],[Closed_Date]]-Pipeline_tbl[[#This Row],[Created_Date]])</f>
        <v>5</v>
      </c>
    </row>
    <row r="2583" spans="1:21" ht="15" customHeight="1" x14ac:dyDescent="0.2">
      <c r="A2583" t="s">
        <v>2889</v>
      </c>
      <c r="B2583" t="s">
        <v>205</v>
      </c>
      <c r="C2583" t="s">
        <v>52</v>
      </c>
      <c r="D2583" s="49">
        <v>45424</v>
      </c>
      <c r="E2583" s="49">
        <v>45426</v>
      </c>
      <c r="F2583" s="49">
        <v>45429</v>
      </c>
      <c r="G2583" s="49">
        <v>45435</v>
      </c>
      <c r="H2583" s="49">
        <v>45439</v>
      </c>
      <c r="I2583" s="49">
        <v>45442</v>
      </c>
      <c r="J2583" t="s">
        <v>49</v>
      </c>
      <c r="K2583" s="33">
        <v>2900</v>
      </c>
      <c r="L2583" t="s">
        <v>60</v>
      </c>
      <c r="M2583" t="str">
        <f>_xlfn.XLOOKUP(Pipeline_tbl[[#This Row],[Rep_ID]],Dim_Reps!A:A,Dim_Reps!K:K)</f>
        <v>EUR</v>
      </c>
      <c r="N2583" s="33">
        <f>(_xlfn.XLOOKUP(Pipeline_tbl[[#This Row],[Rate_Code_Generalized]],Lookups!A:A,Lookups!B:B))*Pipeline_tbl[[#This Row],[Pipeline_Amount_USD]]</f>
        <v>2900</v>
      </c>
      <c r="O2583" t="str">
        <f>_xlfn.XLOOKUP(Pipeline_tbl[[#This Row],[Rep_ID]],Dim_Reps!A:A,Dim_Reps!B:B)</f>
        <v>Karim Alvarez</v>
      </c>
      <c r="P2583" t="str">
        <f>_xlfn.XLOOKUP(Pipeline_tbl[[#This Row],[Rep_ID]],Dim_Reps!A:A,Dim_Reps!C:C)</f>
        <v>SDR / Inside Sales Rep</v>
      </c>
      <c r="Q2583" t="str">
        <f>_xlfn.XLOOKUP(Pipeline_tbl[[#This Row],[Rep_ID]],Dim_Reps!A:A,Dim_Reps!D:D)</f>
        <v>Inside Sales</v>
      </c>
      <c r="R2583" t="str">
        <f>_xlfn.XLOOKUP(Pipeline_tbl[[#This Row],[Rep_ID]],Dim_Reps!A:A,Dim_Reps!E:E)</f>
        <v>EMEA</v>
      </c>
      <c r="S2583" t="str">
        <f>_xlfn.XLOOKUP(Pipeline_tbl[[#This Row],[Created_Date]],Dim_Date!A:A,Dim_Date!H:H)</f>
        <v>May 2024</v>
      </c>
      <c r="T2583" t="str">
        <f>IF(Pipeline_tbl[[#This Row],[Closed_Date]]=0,"",(_xlfn.XLOOKUP(Pipeline_tbl[[#This Row],[Closed_Date]],Dim_Date!A:A,Dim_Date!H:H)))</f>
        <v>May 2024</v>
      </c>
      <c r="U2583">
        <f>IF(Pipeline_tbl[[#This Row],[Closed_Date]]=0,"",Pipeline_tbl[[#This Row],[Closed_Date]]-Pipeline_tbl[[#This Row],[Created_Date]])</f>
        <v>18</v>
      </c>
    </row>
    <row r="2584" spans="1:21" ht="15" customHeight="1" x14ac:dyDescent="0.2">
      <c r="A2584" t="s">
        <v>2890</v>
      </c>
      <c r="B2584" t="s">
        <v>205</v>
      </c>
      <c r="C2584" t="s">
        <v>53</v>
      </c>
      <c r="D2584" s="49">
        <v>45420</v>
      </c>
      <c r="E2584" s="49">
        <v>45422</v>
      </c>
      <c r="F2584" s="49">
        <v>45426</v>
      </c>
      <c r="I2584" s="49">
        <v>45441</v>
      </c>
      <c r="J2584" t="s">
        <v>49</v>
      </c>
      <c r="K2584" s="33">
        <v>7800</v>
      </c>
      <c r="L2584" t="s">
        <v>63</v>
      </c>
      <c r="M2584" t="str">
        <f>_xlfn.XLOOKUP(Pipeline_tbl[[#This Row],[Rep_ID]],Dim_Reps!A:A,Dim_Reps!K:K)</f>
        <v>EUR</v>
      </c>
      <c r="N2584" s="33">
        <f>(_xlfn.XLOOKUP(Pipeline_tbl[[#This Row],[Rate_Code_Generalized]],Lookups!A:A,Lookups!B:B))*Pipeline_tbl[[#This Row],[Pipeline_Amount_USD]]</f>
        <v>7800</v>
      </c>
      <c r="O2584" t="str">
        <f>_xlfn.XLOOKUP(Pipeline_tbl[[#This Row],[Rep_ID]],Dim_Reps!A:A,Dim_Reps!B:B)</f>
        <v>Karim Alvarez</v>
      </c>
      <c r="P2584" t="str">
        <f>_xlfn.XLOOKUP(Pipeline_tbl[[#This Row],[Rep_ID]],Dim_Reps!A:A,Dim_Reps!C:C)</f>
        <v>SDR / Inside Sales Rep</v>
      </c>
      <c r="Q2584" t="str">
        <f>_xlfn.XLOOKUP(Pipeline_tbl[[#This Row],[Rep_ID]],Dim_Reps!A:A,Dim_Reps!D:D)</f>
        <v>Inside Sales</v>
      </c>
      <c r="R2584" t="str">
        <f>_xlfn.XLOOKUP(Pipeline_tbl[[#This Row],[Rep_ID]],Dim_Reps!A:A,Dim_Reps!E:E)</f>
        <v>EMEA</v>
      </c>
      <c r="S2584" t="str">
        <f>_xlfn.XLOOKUP(Pipeline_tbl[[#This Row],[Created_Date]],Dim_Date!A:A,Dim_Date!H:H)</f>
        <v>May 2024</v>
      </c>
      <c r="T2584" t="str">
        <f>IF(Pipeline_tbl[[#This Row],[Closed_Date]]=0,"",(_xlfn.XLOOKUP(Pipeline_tbl[[#This Row],[Closed_Date]],Dim_Date!A:A,Dim_Date!H:H)))</f>
        <v>May 2024</v>
      </c>
      <c r="U2584">
        <f>IF(Pipeline_tbl[[#This Row],[Closed_Date]]=0,"",Pipeline_tbl[[#This Row],[Closed_Date]]-Pipeline_tbl[[#This Row],[Created_Date]])</f>
        <v>21</v>
      </c>
    </row>
    <row r="2585" spans="1:21" ht="15" customHeight="1" x14ac:dyDescent="0.2">
      <c r="A2585" t="s">
        <v>2891</v>
      </c>
      <c r="B2585" t="s">
        <v>205</v>
      </c>
      <c r="C2585" t="s">
        <v>53</v>
      </c>
      <c r="D2585" s="49">
        <v>45414</v>
      </c>
      <c r="E2585" s="49">
        <v>45415</v>
      </c>
      <c r="F2585" s="49">
        <v>45418</v>
      </c>
      <c r="G2585" s="49">
        <v>45421</v>
      </c>
      <c r="H2585" s="49">
        <v>45424</v>
      </c>
      <c r="I2585" s="49">
        <v>45426</v>
      </c>
      <c r="J2585" t="s">
        <v>47</v>
      </c>
      <c r="K2585" s="33">
        <v>3900</v>
      </c>
      <c r="M2585" t="str">
        <f>_xlfn.XLOOKUP(Pipeline_tbl[[#This Row],[Rep_ID]],Dim_Reps!A:A,Dim_Reps!K:K)</f>
        <v>EUR</v>
      </c>
      <c r="N2585" s="33">
        <f>(_xlfn.XLOOKUP(Pipeline_tbl[[#This Row],[Rate_Code_Generalized]],Lookups!A:A,Lookups!B:B))*Pipeline_tbl[[#This Row],[Pipeline_Amount_USD]]</f>
        <v>3900</v>
      </c>
      <c r="O2585" t="str">
        <f>_xlfn.XLOOKUP(Pipeline_tbl[[#This Row],[Rep_ID]],Dim_Reps!A:A,Dim_Reps!B:B)</f>
        <v>Karim Alvarez</v>
      </c>
      <c r="P2585" t="str">
        <f>_xlfn.XLOOKUP(Pipeline_tbl[[#This Row],[Rep_ID]],Dim_Reps!A:A,Dim_Reps!C:C)</f>
        <v>SDR / Inside Sales Rep</v>
      </c>
      <c r="Q2585" t="str">
        <f>_xlfn.XLOOKUP(Pipeline_tbl[[#This Row],[Rep_ID]],Dim_Reps!A:A,Dim_Reps!D:D)</f>
        <v>Inside Sales</v>
      </c>
      <c r="R2585" t="str">
        <f>_xlfn.XLOOKUP(Pipeline_tbl[[#This Row],[Rep_ID]],Dim_Reps!A:A,Dim_Reps!E:E)</f>
        <v>EMEA</v>
      </c>
      <c r="S2585" t="str">
        <f>_xlfn.XLOOKUP(Pipeline_tbl[[#This Row],[Created_Date]],Dim_Date!A:A,Dim_Date!H:H)</f>
        <v>May 2024</v>
      </c>
      <c r="T2585" t="str">
        <f>IF(Pipeline_tbl[[#This Row],[Closed_Date]]=0,"",(_xlfn.XLOOKUP(Pipeline_tbl[[#This Row],[Closed_Date]],Dim_Date!A:A,Dim_Date!H:H)))</f>
        <v>May 2024</v>
      </c>
      <c r="U2585">
        <f>IF(Pipeline_tbl[[#This Row],[Closed_Date]]=0,"",Pipeline_tbl[[#This Row],[Closed_Date]]-Pipeline_tbl[[#This Row],[Created_Date]])</f>
        <v>12</v>
      </c>
    </row>
    <row r="2586" spans="1:21" ht="15" customHeight="1" x14ac:dyDescent="0.2">
      <c r="A2586" t="s">
        <v>2892</v>
      </c>
      <c r="B2586" t="s">
        <v>211</v>
      </c>
      <c r="C2586" t="s">
        <v>52</v>
      </c>
      <c r="D2586" s="49">
        <v>45424</v>
      </c>
      <c r="E2586" s="49">
        <v>45425</v>
      </c>
      <c r="F2586" s="49">
        <v>45428</v>
      </c>
      <c r="G2586" s="49">
        <v>45432</v>
      </c>
      <c r="H2586" s="49">
        <v>45435</v>
      </c>
      <c r="I2586" s="49">
        <v>45437</v>
      </c>
      <c r="J2586" t="s">
        <v>49</v>
      </c>
      <c r="K2586" s="33">
        <v>3300</v>
      </c>
      <c r="L2586" t="s">
        <v>61</v>
      </c>
      <c r="M2586" t="str">
        <f>_xlfn.XLOOKUP(Pipeline_tbl[[#This Row],[Rep_ID]],Dim_Reps!A:A,Dim_Reps!K:K)</f>
        <v>EUR</v>
      </c>
      <c r="N2586" s="33">
        <f>(_xlfn.XLOOKUP(Pipeline_tbl[[#This Row],[Rate_Code_Generalized]],Lookups!A:A,Lookups!B:B))*Pipeline_tbl[[#This Row],[Pipeline_Amount_USD]]</f>
        <v>3300</v>
      </c>
      <c r="O2586" t="str">
        <f>_xlfn.XLOOKUP(Pipeline_tbl[[#This Row],[Rep_ID]],Dim_Reps!A:A,Dim_Reps!B:B)</f>
        <v>Lea Weber</v>
      </c>
      <c r="P2586" t="str">
        <f>_xlfn.XLOOKUP(Pipeline_tbl[[#This Row],[Rep_ID]],Dim_Reps!A:A,Dim_Reps!C:C)</f>
        <v>SDR / Inside Sales Rep</v>
      </c>
      <c r="Q2586" t="str">
        <f>_xlfn.XLOOKUP(Pipeline_tbl[[#This Row],[Rep_ID]],Dim_Reps!A:A,Dim_Reps!D:D)</f>
        <v>Inside Sales</v>
      </c>
      <c r="R2586" t="str">
        <f>_xlfn.XLOOKUP(Pipeline_tbl[[#This Row],[Rep_ID]],Dim_Reps!A:A,Dim_Reps!E:E)</f>
        <v>EMEA</v>
      </c>
      <c r="S2586" t="str">
        <f>_xlfn.XLOOKUP(Pipeline_tbl[[#This Row],[Created_Date]],Dim_Date!A:A,Dim_Date!H:H)</f>
        <v>May 2024</v>
      </c>
      <c r="T2586" t="str">
        <f>IF(Pipeline_tbl[[#This Row],[Closed_Date]]=0,"",(_xlfn.XLOOKUP(Pipeline_tbl[[#This Row],[Closed_Date]],Dim_Date!A:A,Dim_Date!H:H)))</f>
        <v>May 2024</v>
      </c>
      <c r="U2586">
        <f>IF(Pipeline_tbl[[#This Row],[Closed_Date]]=0,"",Pipeline_tbl[[#This Row],[Closed_Date]]-Pipeline_tbl[[#This Row],[Created_Date]])</f>
        <v>13</v>
      </c>
    </row>
    <row r="2587" spans="1:21" ht="15" customHeight="1" x14ac:dyDescent="0.2">
      <c r="A2587" t="s">
        <v>2893</v>
      </c>
      <c r="B2587" t="s">
        <v>211</v>
      </c>
      <c r="C2587" t="s">
        <v>54</v>
      </c>
      <c r="D2587" s="49">
        <v>45413</v>
      </c>
      <c r="E2587" s="49">
        <v>45414</v>
      </c>
      <c r="F2587" s="49">
        <v>45415</v>
      </c>
      <c r="I2587" s="49">
        <v>45420</v>
      </c>
      <c r="J2587" t="s">
        <v>49</v>
      </c>
      <c r="K2587" s="33">
        <v>3500</v>
      </c>
      <c r="L2587" t="s">
        <v>60</v>
      </c>
      <c r="M2587" t="str">
        <f>_xlfn.XLOOKUP(Pipeline_tbl[[#This Row],[Rep_ID]],Dim_Reps!A:A,Dim_Reps!K:K)</f>
        <v>EUR</v>
      </c>
      <c r="N2587" s="33">
        <f>(_xlfn.XLOOKUP(Pipeline_tbl[[#This Row],[Rate_Code_Generalized]],Lookups!A:A,Lookups!B:B))*Pipeline_tbl[[#This Row],[Pipeline_Amount_USD]]</f>
        <v>3500</v>
      </c>
      <c r="O2587" t="str">
        <f>_xlfn.XLOOKUP(Pipeline_tbl[[#This Row],[Rep_ID]],Dim_Reps!A:A,Dim_Reps!B:B)</f>
        <v>Lea Weber</v>
      </c>
      <c r="P2587" t="str">
        <f>_xlfn.XLOOKUP(Pipeline_tbl[[#This Row],[Rep_ID]],Dim_Reps!A:A,Dim_Reps!C:C)</f>
        <v>SDR / Inside Sales Rep</v>
      </c>
      <c r="Q2587" t="str">
        <f>_xlfn.XLOOKUP(Pipeline_tbl[[#This Row],[Rep_ID]],Dim_Reps!A:A,Dim_Reps!D:D)</f>
        <v>Inside Sales</v>
      </c>
      <c r="R2587" t="str">
        <f>_xlfn.XLOOKUP(Pipeline_tbl[[#This Row],[Rep_ID]],Dim_Reps!A:A,Dim_Reps!E:E)</f>
        <v>EMEA</v>
      </c>
      <c r="S2587" t="str">
        <f>_xlfn.XLOOKUP(Pipeline_tbl[[#This Row],[Created_Date]],Dim_Date!A:A,Dim_Date!H:H)</f>
        <v>May 2024</v>
      </c>
      <c r="T2587" t="str">
        <f>IF(Pipeline_tbl[[#This Row],[Closed_Date]]=0,"",(_xlfn.XLOOKUP(Pipeline_tbl[[#This Row],[Closed_Date]],Dim_Date!A:A,Dim_Date!H:H)))</f>
        <v>May 2024</v>
      </c>
      <c r="U2587">
        <f>IF(Pipeline_tbl[[#This Row],[Closed_Date]]=0,"",Pipeline_tbl[[#This Row],[Closed_Date]]-Pipeline_tbl[[#This Row],[Created_Date]])</f>
        <v>7</v>
      </c>
    </row>
    <row r="2588" spans="1:21" ht="15" customHeight="1" x14ac:dyDescent="0.2">
      <c r="A2588" t="s">
        <v>2894</v>
      </c>
      <c r="B2588" t="s">
        <v>211</v>
      </c>
      <c r="C2588" t="s">
        <v>52</v>
      </c>
      <c r="D2588" s="49">
        <v>45424</v>
      </c>
      <c r="E2588" s="49">
        <v>45426</v>
      </c>
      <c r="F2588" s="49">
        <v>45429</v>
      </c>
      <c r="G2588" s="49">
        <v>45433</v>
      </c>
      <c r="I2588" s="49">
        <v>45439</v>
      </c>
      <c r="J2588" t="s">
        <v>49</v>
      </c>
      <c r="K2588" s="33">
        <v>2700</v>
      </c>
      <c r="L2588" t="s">
        <v>63</v>
      </c>
      <c r="M2588" t="str">
        <f>_xlfn.XLOOKUP(Pipeline_tbl[[#This Row],[Rep_ID]],Dim_Reps!A:A,Dim_Reps!K:K)</f>
        <v>EUR</v>
      </c>
      <c r="N2588" s="33">
        <f>(_xlfn.XLOOKUP(Pipeline_tbl[[#This Row],[Rate_Code_Generalized]],Lookups!A:A,Lookups!B:B))*Pipeline_tbl[[#This Row],[Pipeline_Amount_USD]]</f>
        <v>2700</v>
      </c>
      <c r="O2588" t="str">
        <f>_xlfn.XLOOKUP(Pipeline_tbl[[#This Row],[Rep_ID]],Dim_Reps!A:A,Dim_Reps!B:B)</f>
        <v>Lea Weber</v>
      </c>
      <c r="P2588" t="str">
        <f>_xlfn.XLOOKUP(Pipeline_tbl[[#This Row],[Rep_ID]],Dim_Reps!A:A,Dim_Reps!C:C)</f>
        <v>SDR / Inside Sales Rep</v>
      </c>
      <c r="Q2588" t="str">
        <f>_xlfn.XLOOKUP(Pipeline_tbl[[#This Row],[Rep_ID]],Dim_Reps!A:A,Dim_Reps!D:D)</f>
        <v>Inside Sales</v>
      </c>
      <c r="R2588" t="str">
        <f>_xlfn.XLOOKUP(Pipeline_tbl[[#This Row],[Rep_ID]],Dim_Reps!A:A,Dim_Reps!E:E)</f>
        <v>EMEA</v>
      </c>
      <c r="S2588" t="str">
        <f>_xlfn.XLOOKUP(Pipeline_tbl[[#This Row],[Created_Date]],Dim_Date!A:A,Dim_Date!H:H)</f>
        <v>May 2024</v>
      </c>
      <c r="T2588" t="str">
        <f>IF(Pipeline_tbl[[#This Row],[Closed_Date]]=0,"",(_xlfn.XLOOKUP(Pipeline_tbl[[#This Row],[Closed_Date]],Dim_Date!A:A,Dim_Date!H:H)))</f>
        <v>May 2024</v>
      </c>
      <c r="U2588">
        <f>IF(Pipeline_tbl[[#This Row],[Closed_Date]]=0,"",Pipeline_tbl[[#This Row],[Closed_Date]]-Pipeline_tbl[[#This Row],[Created_Date]])</f>
        <v>15</v>
      </c>
    </row>
    <row r="2589" spans="1:21" ht="15" customHeight="1" x14ac:dyDescent="0.2">
      <c r="A2589" t="s">
        <v>2895</v>
      </c>
      <c r="B2589" t="s">
        <v>211</v>
      </c>
      <c r="C2589" t="s">
        <v>52</v>
      </c>
      <c r="D2589" s="49">
        <v>45418</v>
      </c>
      <c r="E2589" s="49">
        <v>45420</v>
      </c>
      <c r="F2589" s="49">
        <v>45424</v>
      </c>
      <c r="G2589" s="49">
        <v>45430</v>
      </c>
      <c r="H2589" s="49">
        <v>45435</v>
      </c>
      <c r="I2589" s="49">
        <v>45438</v>
      </c>
      <c r="J2589" t="s">
        <v>47</v>
      </c>
      <c r="K2589" s="33">
        <v>4100</v>
      </c>
      <c r="M2589" t="str">
        <f>_xlfn.XLOOKUP(Pipeline_tbl[[#This Row],[Rep_ID]],Dim_Reps!A:A,Dim_Reps!K:K)</f>
        <v>EUR</v>
      </c>
      <c r="N2589" s="33">
        <f>(_xlfn.XLOOKUP(Pipeline_tbl[[#This Row],[Rate_Code_Generalized]],Lookups!A:A,Lookups!B:B))*Pipeline_tbl[[#This Row],[Pipeline_Amount_USD]]</f>
        <v>4100</v>
      </c>
      <c r="O2589" t="str">
        <f>_xlfn.XLOOKUP(Pipeline_tbl[[#This Row],[Rep_ID]],Dim_Reps!A:A,Dim_Reps!B:B)</f>
        <v>Lea Weber</v>
      </c>
      <c r="P2589" t="str">
        <f>_xlfn.XLOOKUP(Pipeline_tbl[[#This Row],[Rep_ID]],Dim_Reps!A:A,Dim_Reps!C:C)</f>
        <v>SDR / Inside Sales Rep</v>
      </c>
      <c r="Q2589" t="str">
        <f>_xlfn.XLOOKUP(Pipeline_tbl[[#This Row],[Rep_ID]],Dim_Reps!A:A,Dim_Reps!D:D)</f>
        <v>Inside Sales</v>
      </c>
      <c r="R2589" t="str">
        <f>_xlfn.XLOOKUP(Pipeline_tbl[[#This Row],[Rep_ID]],Dim_Reps!A:A,Dim_Reps!E:E)</f>
        <v>EMEA</v>
      </c>
      <c r="S2589" t="str">
        <f>_xlfn.XLOOKUP(Pipeline_tbl[[#This Row],[Created_Date]],Dim_Date!A:A,Dim_Date!H:H)</f>
        <v>May 2024</v>
      </c>
      <c r="T2589" t="str">
        <f>IF(Pipeline_tbl[[#This Row],[Closed_Date]]=0,"",(_xlfn.XLOOKUP(Pipeline_tbl[[#This Row],[Closed_Date]],Dim_Date!A:A,Dim_Date!H:H)))</f>
        <v>May 2024</v>
      </c>
      <c r="U2589">
        <f>IF(Pipeline_tbl[[#This Row],[Closed_Date]]=0,"",Pipeline_tbl[[#This Row],[Closed_Date]]-Pipeline_tbl[[#This Row],[Created_Date]])</f>
        <v>20</v>
      </c>
    </row>
    <row r="2590" spans="1:21" ht="15" customHeight="1" x14ac:dyDescent="0.2">
      <c r="A2590" t="s">
        <v>2896</v>
      </c>
      <c r="B2590" t="s">
        <v>211</v>
      </c>
      <c r="C2590" t="s">
        <v>53</v>
      </c>
      <c r="D2590" s="49">
        <v>45419</v>
      </c>
      <c r="E2590" s="49">
        <v>45421</v>
      </c>
      <c r="F2590" s="49">
        <v>45425</v>
      </c>
      <c r="I2590" s="49">
        <v>45439</v>
      </c>
      <c r="J2590" t="s">
        <v>49</v>
      </c>
      <c r="K2590" s="33">
        <v>2400</v>
      </c>
      <c r="L2590" t="s">
        <v>60</v>
      </c>
      <c r="M2590" t="str">
        <f>_xlfn.XLOOKUP(Pipeline_tbl[[#This Row],[Rep_ID]],Dim_Reps!A:A,Dim_Reps!K:K)</f>
        <v>EUR</v>
      </c>
      <c r="N2590" s="33">
        <f>(_xlfn.XLOOKUP(Pipeline_tbl[[#This Row],[Rate_Code_Generalized]],Lookups!A:A,Lookups!B:B))*Pipeline_tbl[[#This Row],[Pipeline_Amount_USD]]</f>
        <v>2400</v>
      </c>
      <c r="O2590" t="str">
        <f>_xlfn.XLOOKUP(Pipeline_tbl[[#This Row],[Rep_ID]],Dim_Reps!A:A,Dim_Reps!B:B)</f>
        <v>Lea Weber</v>
      </c>
      <c r="P2590" t="str">
        <f>_xlfn.XLOOKUP(Pipeline_tbl[[#This Row],[Rep_ID]],Dim_Reps!A:A,Dim_Reps!C:C)</f>
        <v>SDR / Inside Sales Rep</v>
      </c>
      <c r="Q2590" t="str">
        <f>_xlfn.XLOOKUP(Pipeline_tbl[[#This Row],[Rep_ID]],Dim_Reps!A:A,Dim_Reps!D:D)</f>
        <v>Inside Sales</v>
      </c>
      <c r="R2590" t="str">
        <f>_xlfn.XLOOKUP(Pipeline_tbl[[#This Row],[Rep_ID]],Dim_Reps!A:A,Dim_Reps!E:E)</f>
        <v>EMEA</v>
      </c>
      <c r="S2590" t="str">
        <f>_xlfn.XLOOKUP(Pipeline_tbl[[#This Row],[Created_Date]],Dim_Date!A:A,Dim_Date!H:H)</f>
        <v>May 2024</v>
      </c>
      <c r="T2590" t="str">
        <f>IF(Pipeline_tbl[[#This Row],[Closed_Date]]=0,"",(_xlfn.XLOOKUP(Pipeline_tbl[[#This Row],[Closed_Date]],Dim_Date!A:A,Dim_Date!H:H)))</f>
        <v>May 2024</v>
      </c>
      <c r="U2590">
        <f>IF(Pipeline_tbl[[#This Row],[Closed_Date]]=0,"",Pipeline_tbl[[#This Row],[Closed_Date]]-Pipeline_tbl[[#This Row],[Created_Date]])</f>
        <v>20</v>
      </c>
    </row>
    <row r="2591" spans="1:21" ht="15" customHeight="1" x14ac:dyDescent="0.2">
      <c r="A2591" t="s">
        <v>2897</v>
      </c>
      <c r="B2591" t="s">
        <v>215</v>
      </c>
      <c r="C2591" t="s">
        <v>53</v>
      </c>
      <c r="D2591" s="49">
        <v>45430</v>
      </c>
      <c r="E2591" s="49">
        <v>45431</v>
      </c>
      <c r="F2591" s="49">
        <v>45434</v>
      </c>
      <c r="G2591" s="49">
        <v>45437</v>
      </c>
      <c r="H2591" s="49">
        <v>45440</v>
      </c>
      <c r="I2591" s="49">
        <v>45442</v>
      </c>
      <c r="J2591" t="s">
        <v>49</v>
      </c>
      <c r="K2591" s="33">
        <v>4900</v>
      </c>
      <c r="L2591" t="s">
        <v>61</v>
      </c>
      <c r="M2591" t="str">
        <f>_xlfn.XLOOKUP(Pipeline_tbl[[#This Row],[Rep_ID]],Dim_Reps!A:A,Dim_Reps!K:K)</f>
        <v>EUR</v>
      </c>
      <c r="N2591" s="33">
        <f>(_xlfn.XLOOKUP(Pipeline_tbl[[#This Row],[Rate_Code_Generalized]],Lookups!A:A,Lookups!B:B))*Pipeline_tbl[[#This Row],[Pipeline_Amount_USD]]</f>
        <v>4900</v>
      </c>
      <c r="O2591" t="str">
        <f>_xlfn.XLOOKUP(Pipeline_tbl[[#This Row],[Rep_ID]],Dim_Reps!A:A,Dim_Reps!B:B)</f>
        <v>Jamie Schmidt</v>
      </c>
      <c r="P2591" t="str">
        <f>_xlfn.XLOOKUP(Pipeline_tbl[[#This Row],[Rep_ID]],Dim_Reps!A:A,Dim_Reps!C:C)</f>
        <v>SDR / Inside Sales Rep</v>
      </c>
      <c r="Q2591" t="str">
        <f>_xlfn.XLOOKUP(Pipeline_tbl[[#This Row],[Rep_ID]],Dim_Reps!A:A,Dim_Reps!D:D)</f>
        <v>Inside Sales</v>
      </c>
      <c r="R2591" t="str">
        <f>_xlfn.XLOOKUP(Pipeline_tbl[[#This Row],[Rep_ID]],Dim_Reps!A:A,Dim_Reps!E:E)</f>
        <v>APAC</v>
      </c>
      <c r="S2591" t="str">
        <f>_xlfn.XLOOKUP(Pipeline_tbl[[#This Row],[Created_Date]],Dim_Date!A:A,Dim_Date!H:H)</f>
        <v>May 2024</v>
      </c>
      <c r="T2591" t="str">
        <f>IF(Pipeline_tbl[[#This Row],[Closed_Date]]=0,"",(_xlfn.XLOOKUP(Pipeline_tbl[[#This Row],[Closed_Date]],Dim_Date!A:A,Dim_Date!H:H)))</f>
        <v>May 2024</v>
      </c>
      <c r="U2591">
        <f>IF(Pipeline_tbl[[#This Row],[Closed_Date]]=0,"",Pipeline_tbl[[#This Row],[Closed_Date]]-Pipeline_tbl[[#This Row],[Created_Date]])</f>
        <v>12</v>
      </c>
    </row>
    <row r="2592" spans="1:21" ht="15" customHeight="1" x14ac:dyDescent="0.2">
      <c r="A2592" t="s">
        <v>2898</v>
      </c>
      <c r="B2592" t="s">
        <v>215</v>
      </c>
      <c r="C2592" t="s">
        <v>52</v>
      </c>
      <c r="D2592" s="49">
        <v>45417</v>
      </c>
      <c r="E2592" s="49">
        <v>45419</v>
      </c>
      <c r="F2592" s="49">
        <v>45424</v>
      </c>
      <c r="G2592" s="49">
        <v>45431</v>
      </c>
      <c r="H2592" s="49">
        <v>45437</v>
      </c>
      <c r="I2592" s="49">
        <v>45440</v>
      </c>
      <c r="J2592" t="s">
        <v>49</v>
      </c>
      <c r="K2592" s="33">
        <v>3800</v>
      </c>
      <c r="L2592" t="s">
        <v>63</v>
      </c>
      <c r="M2592" t="str">
        <f>_xlfn.XLOOKUP(Pipeline_tbl[[#This Row],[Rep_ID]],Dim_Reps!A:A,Dim_Reps!K:K)</f>
        <v>EUR</v>
      </c>
      <c r="N2592" s="33">
        <f>(_xlfn.XLOOKUP(Pipeline_tbl[[#This Row],[Rate_Code_Generalized]],Lookups!A:A,Lookups!B:B))*Pipeline_tbl[[#This Row],[Pipeline_Amount_USD]]</f>
        <v>3800</v>
      </c>
      <c r="O2592" t="str">
        <f>_xlfn.XLOOKUP(Pipeline_tbl[[#This Row],[Rep_ID]],Dim_Reps!A:A,Dim_Reps!B:B)</f>
        <v>Jamie Schmidt</v>
      </c>
      <c r="P2592" t="str">
        <f>_xlfn.XLOOKUP(Pipeline_tbl[[#This Row],[Rep_ID]],Dim_Reps!A:A,Dim_Reps!C:C)</f>
        <v>SDR / Inside Sales Rep</v>
      </c>
      <c r="Q2592" t="str">
        <f>_xlfn.XLOOKUP(Pipeline_tbl[[#This Row],[Rep_ID]],Dim_Reps!A:A,Dim_Reps!D:D)</f>
        <v>Inside Sales</v>
      </c>
      <c r="R2592" t="str">
        <f>_xlfn.XLOOKUP(Pipeline_tbl[[#This Row],[Rep_ID]],Dim_Reps!A:A,Dim_Reps!E:E)</f>
        <v>APAC</v>
      </c>
      <c r="S2592" t="str">
        <f>_xlfn.XLOOKUP(Pipeline_tbl[[#This Row],[Created_Date]],Dim_Date!A:A,Dim_Date!H:H)</f>
        <v>May 2024</v>
      </c>
      <c r="T2592" t="str">
        <f>IF(Pipeline_tbl[[#This Row],[Closed_Date]]=0,"",(_xlfn.XLOOKUP(Pipeline_tbl[[#This Row],[Closed_Date]],Dim_Date!A:A,Dim_Date!H:H)))</f>
        <v>May 2024</v>
      </c>
      <c r="U2592">
        <f>IF(Pipeline_tbl[[#This Row],[Closed_Date]]=0,"",Pipeline_tbl[[#This Row],[Closed_Date]]-Pipeline_tbl[[#This Row],[Created_Date]])</f>
        <v>23</v>
      </c>
    </row>
    <row r="2593" spans="1:21" ht="15" customHeight="1" x14ac:dyDescent="0.2">
      <c r="A2593" t="s">
        <v>2899</v>
      </c>
      <c r="B2593" t="s">
        <v>215</v>
      </c>
      <c r="C2593" t="s">
        <v>53</v>
      </c>
      <c r="D2593" s="49">
        <v>45415</v>
      </c>
      <c r="E2593" s="49">
        <v>45418</v>
      </c>
      <c r="F2593" s="49">
        <v>45423</v>
      </c>
      <c r="G2593" s="49">
        <v>45431</v>
      </c>
      <c r="I2593" s="49">
        <v>45442</v>
      </c>
      <c r="J2593" t="s">
        <v>49</v>
      </c>
      <c r="K2593" s="33">
        <v>3500</v>
      </c>
      <c r="L2593" t="s">
        <v>63</v>
      </c>
      <c r="M2593" t="str">
        <f>_xlfn.XLOOKUP(Pipeline_tbl[[#This Row],[Rep_ID]],Dim_Reps!A:A,Dim_Reps!K:K)</f>
        <v>EUR</v>
      </c>
      <c r="N2593" s="33">
        <f>(_xlfn.XLOOKUP(Pipeline_tbl[[#This Row],[Rate_Code_Generalized]],Lookups!A:A,Lookups!B:B))*Pipeline_tbl[[#This Row],[Pipeline_Amount_USD]]</f>
        <v>3500</v>
      </c>
      <c r="O2593" t="str">
        <f>_xlfn.XLOOKUP(Pipeline_tbl[[#This Row],[Rep_ID]],Dim_Reps!A:A,Dim_Reps!B:B)</f>
        <v>Jamie Schmidt</v>
      </c>
      <c r="P2593" t="str">
        <f>_xlfn.XLOOKUP(Pipeline_tbl[[#This Row],[Rep_ID]],Dim_Reps!A:A,Dim_Reps!C:C)</f>
        <v>SDR / Inside Sales Rep</v>
      </c>
      <c r="Q2593" t="str">
        <f>_xlfn.XLOOKUP(Pipeline_tbl[[#This Row],[Rep_ID]],Dim_Reps!A:A,Dim_Reps!D:D)</f>
        <v>Inside Sales</v>
      </c>
      <c r="R2593" t="str">
        <f>_xlfn.XLOOKUP(Pipeline_tbl[[#This Row],[Rep_ID]],Dim_Reps!A:A,Dim_Reps!E:E)</f>
        <v>APAC</v>
      </c>
      <c r="S2593" t="str">
        <f>_xlfn.XLOOKUP(Pipeline_tbl[[#This Row],[Created_Date]],Dim_Date!A:A,Dim_Date!H:H)</f>
        <v>May 2024</v>
      </c>
      <c r="T2593" t="str">
        <f>IF(Pipeline_tbl[[#This Row],[Closed_Date]]=0,"",(_xlfn.XLOOKUP(Pipeline_tbl[[#This Row],[Closed_Date]],Dim_Date!A:A,Dim_Date!H:H)))</f>
        <v>May 2024</v>
      </c>
      <c r="U2593">
        <f>IF(Pipeline_tbl[[#This Row],[Closed_Date]]=0,"",Pipeline_tbl[[#This Row],[Closed_Date]]-Pipeline_tbl[[#This Row],[Created_Date]])</f>
        <v>27</v>
      </c>
    </row>
    <row r="2594" spans="1:21" ht="15" customHeight="1" x14ac:dyDescent="0.2">
      <c r="A2594" t="s">
        <v>2900</v>
      </c>
      <c r="B2594" t="s">
        <v>215</v>
      </c>
      <c r="C2594" t="s">
        <v>52</v>
      </c>
      <c r="D2594" s="49">
        <v>45415</v>
      </c>
      <c r="E2594" s="49">
        <v>45417</v>
      </c>
      <c r="F2594" s="49">
        <v>45420</v>
      </c>
      <c r="I2594" s="49">
        <v>45430</v>
      </c>
      <c r="J2594" t="s">
        <v>49</v>
      </c>
      <c r="K2594" s="33">
        <v>3500</v>
      </c>
      <c r="L2594" t="s">
        <v>61</v>
      </c>
      <c r="M2594" t="str">
        <f>_xlfn.XLOOKUP(Pipeline_tbl[[#This Row],[Rep_ID]],Dim_Reps!A:A,Dim_Reps!K:K)</f>
        <v>EUR</v>
      </c>
      <c r="N2594" s="33">
        <f>(_xlfn.XLOOKUP(Pipeline_tbl[[#This Row],[Rate_Code_Generalized]],Lookups!A:A,Lookups!B:B))*Pipeline_tbl[[#This Row],[Pipeline_Amount_USD]]</f>
        <v>3500</v>
      </c>
      <c r="O2594" t="str">
        <f>_xlfn.XLOOKUP(Pipeline_tbl[[#This Row],[Rep_ID]],Dim_Reps!A:A,Dim_Reps!B:B)</f>
        <v>Jamie Schmidt</v>
      </c>
      <c r="P2594" t="str">
        <f>_xlfn.XLOOKUP(Pipeline_tbl[[#This Row],[Rep_ID]],Dim_Reps!A:A,Dim_Reps!C:C)</f>
        <v>SDR / Inside Sales Rep</v>
      </c>
      <c r="Q2594" t="str">
        <f>_xlfn.XLOOKUP(Pipeline_tbl[[#This Row],[Rep_ID]],Dim_Reps!A:A,Dim_Reps!D:D)</f>
        <v>Inside Sales</v>
      </c>
      <c r="R2594" t="str">
        <f>_xlfn.XLOOKUP(Pipeline_tbl[[#This Row],[Rep_ID]],Dim_Reps!A:A,Dim_Reps!E:E)</f>
        <v>APAC</v>
      </c>
      <c r="S2594" t="str">
        <f>_xlfn.XLOOKUP(Pipeline_tbl[[#This Row],[Created_Date]],Dim_Date!A:A,Dim_Date!H:H)</f>
        <v>May 2024</v>
      </c>
      <c r="T2594" t="str">
        <f>IF(Pipeline_tbl[[#This Row],[Closed_Date]]=0,"",(_xlfn.XLOOKUP(Pipeline_tbl[[#This Row],[Closed_Date]],Dim_Date!A:A,Dim_Date!H:H)))</f>
        <v>May 2024</v>
      </c>
      <c r="U2594">
        <f>IF(Pipeline_tbl[[#This Row],[Closed_Date]]=0,"",Pipeline_tbl[[#This Row],[Closed_Date]]-Pipeline_tbl[[#This Row],[Created_Date]])</f>
        <v>15</v>
      </c>
    </row>
    <row r="2595" spans="1:21" ht="15" customHeight="1" x14ac:dyDescent="0.2">
      <c r="A2595" t="s">
        <v>2901</v>
      </c>
      <c r="B2595" t="s">
        <v>215</v>
      </c>
      <c r="C2595" t="s">
        <v>54</v>
      </c>
      <c r="D2595" s="49">
        <v>45422</v>
      </c>
      <c r="E2595" s="49">
        <v>45423</v>
      </c>
      <c r="F2595" s="49">
        <v>45426</v>
      </c>
      <c r="G2595" s="49">
        <v>45430</v>
      </c>
      <c r="H2595" s="49">
        <v>45433</v>
      </c>
      <c r="I2595" s="49">
        <v>45435</v>
      </c>
      <c r="J2595" t="s">
        <v>49</v>
      </c>
      <c r="K2595" s="33">
        <v>5300</v>
      </c>
      <c r="L2595" t="s">
        <v>60</v>
      </c>
      <c r="M2595" t="str">
        <f>_xlfn.XLOOKUP(Pipeline_tbl[[#This Row],[Rep_ID]],Dim_Reps!A:A,Dim_Reps!K:K)</f>
        <v>EUR</v>
      </c>
      <c r="N2595" s="33">
        <f>(_xlfn.XLOOKUP(Pipeline_tbl[[#This Row],[Rate_Code_Generalized]],Lookups!A:A,Lookups!B:B))*Pipeline_tbl[[#This Row],[Pipeline_Amount_USD]]</f>
        <v>5300</v>
      </c>
      <c r="O2595" t="str">
        <f>_xlfn.XLOOKUP(Pipeline_tbl[[#This Row],[Rep_ID]],Dim_Reps!A:A,Dim_Reps!B:B)</f>
        <v>Jamie Schmidt</v>
      </c>
      <c r="P2595" t="str">
        <f>_xlfn.XLOOKUP(Pipeline_tbl[[#This Row],[Rep_ID]],Dim_Reps!A:A,Dim_Reps!C:C)</f>
        <v>SDR / Inside Sales Rep</v>
      </c>
      <c r="Q2595" t="str">
        <f>_xlfn.XLOOKUP(Pipeline_tbl[[#This Row],[Rep_ID]],Dim_Reps!A:A,Dim_Reps!D:D)</f>
        <v>Inside Sales</v>
      </c>
      <c r="R2595" t="str">
        <f>_xlfn.XLOOKUP(Pipeline_tbl[[#This Row],[Rep_ID]],Dim_Reps!A:A,Dim_Reps!E:E)</f>
        <v>APAC</v>
      </c>
      <c r="S2595" t="str">
        <f>_xlfn.XLOOKUP(Pipeline_tbl[[#This Row],[Created_Date]],Dim_Date!A:A,Dim_Date!H:H)</f>
        <v>May 2024</v>
      </c>
      <c r="T2595" t="str">
        <f>IF(Pipeline_tbl[[#This Row],[Closed_Date]]=0,"",(_xlfn.XLOOKUP(Pipeline_tbl[[#This Row],[Closed_Date]],Dim_Date!A:A,Dim_Date!H:H)))</f>
        <v>May 2024</v>
      </c>
      <c r="U2595">
        <f>IF(Pipeline_tbl[[#This Row],[Closed_Date]]=0,"",Pipeline_tbl[[#This Row],[Closed_Date]]-Pipeline_tbl[[#This Row],[Created_Date]])</f>
        <v>13</v>
      </c>
    </row>
    <row r="2596" spans="1:21" ht="15" customHeight="1" x14ac:dyDescent="0.2">
      <c r="A2596" t="s">
        <v>2902</v>
      </c>
      <c r="B2596" t="s">
        <v>215</v>
      </c>
      <c r="C2596" t="s">
        <v>52</v>
      </c>
      <c r="D2596" s="49">
        <v>45425</v>
      </c>
      <c r="E2596" s="49">
        <v>45426</v>
      </c>
      <c r="F2596" s="49">
        <v>45429</v>
      </c>
      <c r="G2596" s="49">
        <v>45433</v>
      </c>
      <c r="H2596" s="49">
        <v>45437</v>
      </c>
      <c r="I2596" s="49">
        <v>45439</v>
      </c>
      <c r="J2596" t="s">
        <v>47</v>
      </c>
      <c r="K2596" s="33">
        <v>2400</v>
      </c>
      <c r="M2596" t="str">
        <f>_xlfn.XLOOKUP(Pipeline_tbl[[#This Row],[Rep_ID]],Dim_Reps!A:A,Dim_Reps!K:K)</f>
        <v>EUR</v>
      </c>
      <c r="N2596" s="33">
        <f>(_xlfn.XLOOKUP(Pipeline_tbl[[#This Row],[Rate_Code_Generalized]],Lookups!A:A,Lookups!B:B))*Pipeline_tbl[[#This Row],[Pipeline_Amount_USD]]</f>
        <v>2400</v>
      </c>
      <c r="O2596" t="str">
        <f>_xlfn.XLOOKUP(Pipeline_tbl[[#This Row],[Rep_ID]],Dim_Reps!A:A,Dim_Reps!B:B)</f>
        <v>Jamie Schmidt</v>
      </c>
      <c r="P2596" t="str">
        <f>_xlfn.XLOOKUP(Pipeline_tbl[[#This Row],[Rep_ID]],Dim_Reps!A:A,Dim_Reps!C:C)</f>
        <v>SDR / Inside Sales Rep</v>
      </c>
      <c r="Q2596" t="str">
        <f>_xlfn.XLOOKUP(Pipeline_tbl[[#This Row],[Rep_ID]],Dim_Reps!A:A,Dim_Reps!D:D)</f>
        <v>Inside Sales</v>
      </c>
      <c r="R2596" t="str">
        <f>_xlfn.XLOOKUP(Pipeline_tbl[[#This Row],[Rep_ID]],Dim_Reps!A:A,Dim_Reps!E:E)</f>
        <v>APAC</v>
      </c>
      <c r="S2596" t="str">
        <f>_xlfn.XLOOKUP(Pipeline_tbl[[#This Row],[Created_Date]],Dim_Date!A:A,Dim_Date!H:H)</f>
        <v>May 2024</v>
      </c>
      <c r="T2596" t="str">
        <f>IF(Pipeline_tbl[[#This Row],[Closed_Date]]=0,"",(_xlfn.XLOOKUP(Pipeline_tbl[[#This Row],[Closed_Date]],Dim_Date!A:A,Dim_Date!H:H)))</f>
        <v>May 2024</v>
      </c>
      <c r="U2596">
        <f>IF(Pipeline_tbl[[#This Row],[Closed_Date]]=0,"",Pipeline_tbl[[#This Row],[Closed_Date]]-Pipeline_tbl[[#This Row],[Created_Date]])</f>
        <v>14</v>
      </c>
    </row>
    <row r="2597" spans="1:21" ht="15" customHeight="1" x14ac:dyDescent="0.2">
      <c r="A2597" t="s">
        <v>2903</v>
      </c>
      <c r="B2597" t="s">
        <v>217</v>
      </c>
      <c r="C2597" t="s">
        <v>53</v>
      </c>
      <c r="D2597" s="49">
        <v>45424</v>
      </c>
      <c r="E2597" s="49">
        <v>45425</v>
      </c>
      <c r="F2597" s="49">
        <v>45427</v>
      </c>
      <c r="I2597" s="49">
        <v>45435</v>
      </c>
      <c r="J2597" t="s">
        <v>49</v>
      </c>
      <c r="K2597" s="33">
        <v>3300</v>
      </c>
      <c r="L2597" t="s">
        <v>63</v>
      </c>
      <c r="M2597" t="str">
        <f>_xlfn.XLOOKUP(Pipeline_tbl[[#This Row],[Rep_ID]],Dim_Reps!A:A,Dim_Reps!K:K)</f>
        <v>USD</v>
      </c>
      <c r="N2597" s="33">
        <f>(_xlfn.XLOOKUP(Pipeline_tbl[[#This Row],[Rate_Code_Generalized]],Lookups!A:A,Lookups!B:B))*Pipeline_tbl[[#This Row],[Pipeline_Amount_USD]]</f>
        <v>3842.1899999999996</v>
      </c>
      <c r="O2597" t="str">
        <f>_xlfn.XLOOKUP(Pipeline_tbl[[#This Row],[Rep_ID]],Dim_Reps!A:A,Dim_Reps!B:B)</f>
        <v>Priya Weber</v>
      </c>
      <c r="P2597" t="str">
        <f>_xlfn.XLOOKUP(Pipeline_tbl[[#This Row],[Rep_ID]],Dim_Reps!A:A,Dim_Reps!C:C)</f>
        <v>SDR / Inside Sales Rep</v>
      </c>
      <c r="Q2597" t="str">
        <f>_xlfn.XLOOKUP(Pipeline_tbl[[#This Row],[Rep_ID]],Dim_Reps!A:A,Dim_Reps!D:D)</f>
        <v>Inside Sales</v>
      </c>
      <c r="R2597" t="str">
        <f>_xlfn.XLOOKUP(Pipeline_tbl[[#This Row],[Rep_ID]],Dim_Reps!A:A,Dim_Reps!E:E)</f>
        <v>NAMER</v>
      </c>
      <c r="S2597" t="str">
        <f>_xlfn.XLOOKUP(Pipeline_tbl[[#This Row],[Created_Date]],Dim_Date!A:A,Dim_Date!H:H)</f>
        <v>May 2024</v>
      </c>
      <c r="T2597" t="str">
        <f>IF(Pipeline_tbl[[#This Row],[Closed_Date]]=0,"",(_xlfn.XLOOKUP(Pipeline_tbl[[#This Row],[Closed_Date]],Dim_Date!A:A,Dim_Date!H:H)))</f>
        <v>May 2024</v>
      </c>
      <c r="U2597">
        <f>IF(Pipeline_tbl[[#This Row],[Closed_Date]]=0,"",Pipeline_tbl[[#This Row],[Closed_Date]]-Pipeline_tbl[[#This Row],[Created_Date]])</f>
        <v>11</v>
      </c>
    </row>
    <row r="2598" spans="1:21" ht="15" customHeight="1" x14ac:dyDescent="0.2">
      <c r="A2598" t="s">
        <v>2904</v>
      </c>
      <c r="B2598" t="s">
        <v>221</v>
      </c>
      <c r="C2598" t="s">
        <v>54</v>
      </c>
      <c r="D2598" s="49">
        <v>45429</v>
      </c>
      <c r="E2598" s="49">
        <v>45430</v>
      </c>
      <c r="F2598" s="49">
        <v>45433</v>
      </c>
      <c r="G2598" s="49">
        <v>45437</v>
      </c>
      <c r="H2598" s="49">
        <v>45441</v>
      </c>
      <c r="I2598" s="49">
        <v>45443</v>
      </c>
      <c r="J2598" t="s">
        <v>49</v>
      </c>
      <c r="K2598" s="33">
        <v>4000</v>
      </c>
      <c r="L2598" t="s">
        <v>62</v>
      </c>
      <c r="M2598" t="str">
        <f>_xlfn.XLOOKUP(Pipeline_tbl[[#This Row],[Rep_ID]],Dim_Reps!A:A,Dim_Reps!K:K)</f>
        <v>MXN</v>
      </c>
      <c r="N2598" s="33">
        <f>(_xlfn.XLOOKUP(Pipeline_tbl[[#This Row],[Rate_Code_Generalized]],Lookups!A:A,Lookups!B:B))*Pipeline_tbl[[#This Row],[Pipeline_Amount_USD]]</f>
        <v>78930.8</v>
      </c>
      <c r="O2598" t="str">
        <f>_xlfn.XLOOKUP(Pipeline_tbl[[#This Row],[Rep_ID]],Dim_Reps!A:A,Dim_Reps!B:B)</f>
        <v>Casey Muller</v>
      </c>
      <c r="P2598" t="str">
        <f>_xlfn.XLOOKUP(Pipeline_tbl[[#This Row],[Rep_ID]],Dim_Reps!A:A,Dim_Reps!C:C)</f>
        <v>SDR / Inside Sales Rep</v>
      </c>
      <c r="Q2598" t="str">
        <f>_xlfn.XLOOKUP(Pipeline_tbl[[#This Row],[Rep_ID]],Dim_Reps!A:A,Dim_Reps!D:D)</f>
        <v>Inside Sales</v>
      </c>
      <c r="R2598" t="str">
        <f>_xlfn.XLOOKUP(Pipeline_tbl[[#This Row],[Rep_ID]],Dim_Reps!A:A,Dim_Reps!E:E)</f>
        <v>LATAM</v>
      </c>
      <c r="S2598" t="str">
        <f>_xlfn.XLOOKUP(Pipeline_tbl[[#This Row],[Created_Date]],Dim_Date!A:A,Dim_Date!H:H)</f>
        <v>May 2024</v>
      </c>
      <c r="T2598" t="str">
        <f>IF(Pipeline_tbl[[#This Row],[Closed_Date]]=0,"",(_xlfn.XLOOKUP(Pipeline_tbl[[#This Row],[Closed_Date]],Dim_Date!A:A,Dim_Date!H:H)))</f>
        <v>May 2024</v>
      </c>
      <c r="U2598">
        <f>IF(Pipeline_tbl[[#This Row],[Closed_Date]]=0,"",Pipeline_tbl[[#This Row],[Closed_Date]]-Pipeline_tbl[[#This Row],[Created_Date]])</f>
        <v>14</v>
      </c>
    </row>
    <row r="2599" spans="1:21" ht="15" customHeight="1" x14ac:dyDescent="0.2">
      <c r="A2599" t="s">
        <v>2905</v>
      </c>
      <c r="B2599" t="s">
        <v>221</v>
      </c>
      <c r="C2599" t="s">
        <v>52</v>
      </c>
      <c r="D2599" s="49">
        <v>45416</v>
      </c>
      <c r="E2599" s="49">
        <v>45418</v>
      </c>
      <c r="F2599" s="49">
        <v>45421</v>
      </c>
      <c r="G2599" s="49">
        <v>45426</v>
      </c>
      <c r="H2599" s="49">
        <v>45430</v>
      </c>
      <c r="I2599" s="49">
        <v>45433</v>
      </c>
      <c r="J2599" t="s">
        <v>47</v>
      </c>
      <c r="K2599" s="33">
        <v>3700</v>
      </c>
      <c r="M2599" t="str">
        <f>_xlfn.XLOOKUP(Pipeline_tbl[[#This Row],[Rep_ID]],Dim_Reps!A:A,Dim_Reps!K:K)</f>
        <v>MXN</v>
      </c>
      <c r="N2599" s="33">
        <f>(_xlfn.XLOOKUP(Pipeline_tbl[[#This Row],[Rate_Code_Generalized]],Lookups!A:A,Lookups!B:B))*Pipeline_tbl[[#This Row],[Pipeline_Amount_USD]]</f>
        <v>73010.990000000005</v>
      </c>
      <c r="O2599" t="str">
        <f>_xlfn.XLOOKUP(Pipeline_tbl[[#This Row],[Rep_ID]],Dim_Reps!A:A,Dim_Reps!B:B)</f>
        <v>Casey Muller</v>
      </c>
      <c r="P2599" t="str">
        <f>_xlfn.XLOOKUP(Pipeline_tbl[[#This Row],[Rep_ID]],Dim_Reps!A:A,Dim_Reps!C:C)</f>
        <v>SDR / Inside Sales Rep</v>
      </c>
      <c r="Q2599" t="str">
        <f>_xlfn.XLOOKUP(Pipeline_tbl[[#This Row],[Rep_ID]],Dim_Reps!A:A,Dim_Reps!D:D)</f>
        <v>Inside Sales</v>
      </c>
      <c r="R2599" t="str">
        <f>_xlfn.XLOOKUP(Pipeline_tbl[[#This Row],[Rep_ID]],Dim_Reps!A:A,Dim_Reps!E:E)</f>
        <v>LATAM</v>
      </c>
      <c r="S2599" t="str">
        <f>_xlfn.XLOOKUP(Pipeline_tbl[[#This Row],[Created_Date]],Dim_Date!A:A,Dim_Date!H:H)</f>
        <v>May 2024</v>
      </c>
      <c r="T2599" t="str">
        <f>IF(Pipeline_tbl[[#This Row],[Closed_Date]]=0,"",(_xlfn.XLOOKUP(Pipeline_tbl[[#This Row],[Closed_Date]],Dim_Date!A:A,Dim_Date!H:H)))</f>
        <v>May 2024</v>
      </c>
      <c r="U2599">
        <f>IF(Pipeline_tbl[[#This Row],[Closed_Date]]=0,"",Pipeline_tbl[[#This Row],[Closed_Date]]-Pipeline_tbl[[#This Row],[Created_Date]])</f>
        <v>17</v>
      </c>
    </row>
    <row r="2600" spans="1:21" ht="15" customHeight="1" x14ac:dyDescent="0.2">
      <c r="A2600" t="s">
        <v>2906</v>
      </c>
      <c r="B2600" t="s">
        <v>221</v>
      </c>
      <c r="C2600" t="s">
        <v>52</v>
      </c>
      <c r="D2600" s="49">
        <v>45419</v>
      </c>
      <c r="E2600" s="49">
        <v>45421</v>
      </c>
      <c r="F2600" s="49">
        <v>45425</v>
      </c>
      <c r="G2600" s="49">
        <v>45431</v>
      </c>
      <c r="H2600" s="49">
        <v>45436</v>
      </c>
      <c r="I2600" s="49">
        <v>45439</v>
      </c>
      <c r="J2600" t="s">
        <v>47</v>
      </c>
      <c r="K2600" s="33">
        <v>3000</v>
      </c>
      <c r="M2600" t="str">
        <f>_xlfn.XLOOKUP(Pipeline_tbl[[#This Row],[Rep_ID]],Dim_Reps!A:A,Dim_Reps!K:K)</f>
        <v>MXN</v>
      </c>
      <c r="N2600" s="33">
        <f>(_xlfn.XLOOKUP(Pipeline_tbl[[#This Row],[Rate_Code_Generalized]],Lookups!A:A,Lookups!B:B))*Pipeline_tbl[[#This Row],[Pipeline_Amount_USD]]</f>
        <v>59198.100000000006</v>
      </c>
      <c r="O2600" t="str">
        <f>_xlfn.XLOOKUP(Pipeline_tbl[[#This Row],[Rep_ID]],Dim_Reps!A:A,Dim_Reps!B:B)</f>
        <v>Casey Muller</v>
      </c>
      <c r="P2600" t="str">
        <f>_xlfn.XLOOKUP(Pipeline_tbl[[#This Row],[Rep_ID]],Dim_Reps!A:A,Dim_Reps!C:C)</f>
        <v>SDR / Inside Sales Rep</v>
      </c>
      <c r="Q2600" t="str">
        <f>_xlfn.XLOOKUP(Pipeline_tbl[[#This Row],[Rep_ID]],Dim_Reps!A:A,Dim_Reps!D:D)</f>
        <v>Inside Sales</v>
      </c>
      <c r="R2600" t="str">
        <f>_xlfn.XLOOKUP(Pipeline_tbl[[#This Row],[Rep_ID]],Dim_Reps!A:A,Dim_Reps!E:E)</f>
        <v>LATAM</v>
      </c>
      <c r="S2600" t="str">
        <f>_xlfn.XLOOKUP(Pipeline_tbl[[#This Row],[Created_Date]],Dim_Date!A:A,Dim_Date!H:H)</f>
        <v>May 2024</v>
      </c>
      <c r="T2600" t="str">
        <f>IF(Pipeline_tbl[[#This Row],[Closed_Date]]=0,"",(_xlfn.XLOOKUP(Pipeline_tbl[[#This Row],[Closed_Date]],Dim_Date!A:A,Dim_Date!H:H)))</f>
        <v>May 2024</v>
      </c>
      <c r="U2600">
        <f>IF(Pipeline_tbl[[#This Row],[Closed_Date]]=0,"",Pipeline_tbl[[#This Row],[Closed_Date]]-Pipeline_tbl[[#This Row],[Created_Date]])</f>
        <v>20</v>
      </c>
    </row>
    <row r="2601" spans="1:21" ht="15" customHeight="1" x14ac:dyDescent="0.2">
      <c r="A2601" t="s">
        <v>2907</v>
      </c>
      <c r="B2601" t="s">
        <v>221</v>
      </c>
      <c r="C2601" t="s">
        <v>52</v>
      </c>
      <c r="D2601" s="49">
        <v>45431</v>
      </c>
      <c r="E2601" s="49">
        <v>45432</v>
      </c>
      <c r="F2601" s="49">
        <v>45435</v>
      </c>
      <c r="G2601" s="49">
        <v>45438</v>
      </c>
      <c r="H2601" s="49">
        <v>45441</v>
      </c>
      <c r="I2601" s="49">
        <v>45443</v>
      </c>
      <c r="J2601" t="s">
        <v>47</v>
      </c>
      <c r="K2601" s="33">
        <v>3800</v>
      </c>
      <c r="M2601" t="str">
        <f>_xlfn.XLOOKUP(Pipeline_tbl[[#This Row],[Rep_ID]],Dim_Reps!A:A,Dim_Reps!K:K)</f>
        <v>MXN</v>
      </c>
      <c r="N2601" s="33">
        <f>(_xlfn.XLOOKUP(Pipeline_tbl[[#This Row],[Rate_Code_Generalized]],Lookups!A:A,Lookups!B:B))*Pipeline_tbl[[#This Row],[Pipeline_Amount_USD]]</f>
        <v>74984.260000000009</v>
      </c>
      <c r="O2601" t="str">
        <f>_xlfn.XLOOKUP(Pipeline_tbl[[#This Row],[Rep_ID]],Dim_Reps!A:A,Dim_Reps!B:B)</f>
        <v>Casey Muller</v>
      </c>
      <c r="P2601" t="str">
        <f>_xlfn.XLOOKUP(Pipeline_tbl[[#This Row],[Rep_ID]],Dim_Reps!A:A,Dim_Reps!C:C)</f>
        <v>SDR / Inside Sales Rep</v>
      </c>
      <c r="Q2601" t="str">
        <f>_xlfn.XLOOKUP(Pipeline_tbl[[#This Row],[Rep_ID]],Dim_Reps!A:A,Dim_Reps!D:D)</f>
        <v>Inside Sales</v>
      </c>
      <c r="R2601" t="str">
        <f>_xlfn.XLOOKUP(Pipeline_tbl[[#This Row],[Rep_ID]],Dim_Reps!A:A,Dim_Reps!E:E)</f>
        <v>LATAM</v>
      </c>
      <c r="S2601" t="str">
        <f>_xlfn.XLOOKUP(Pipeline_tbl[[#This Row],[Created_Date]],Dim_Date!A:A,Dim_Date!H:H)</f>
        <v>May 2024</v>
      </c>
      <c r="T2601" t="str">
        <f>IF(Pipeline_tbl[[#This Row],[Closed_Date]]=0,"",(_xlfn.XLOOKUP(Pipeline_tbl[[#This Row],[Closed_Date]],Dim_Date!A:A,Dim_Date!H:H)))</f>
        <v>May 2024</v>
      </c>
      <c r="U2601">
        <f>IF(Pipeline_tbl[[#This Row],[Closed_Date]]=0,"",Pipeline_tbl[[#This Row],[Closed_Date]]-Pipeline_tbl[[#This Row],[Created_Date]])</f>
        <v>12</v>
      </c>
    </row>
    <row r="2602" spans="1:21" ht="15" customHeight="1" x14ac:dyDescent="0.2">
      <c r="A2602" t="s">
        <v>2908</v>
      </c>
      <c r="B2602" t="s">
        <v>221</v>
      </c>
      <c r="C2602" t="s">
        <v>52</v>
      </c>
      <c r="D2602" s="49">
        <v>45415</v>
      </c>
      <c r="E2602" s="49">
        <v>45417</v>
      </c>
      <c r="F2602" s="49">
        <v>45422</v>
      </c>
      <c r="G2602" s="49">
        <v>45429</v>
      </c>
      <c r="H2602" s="49">
        <v>45435</v>
      </c>
      <c r="I2602" s="49">
        <v>45438</v>
      </c>
      <c r="J2602" t="s">
        <v>47</v>
      </c>
      <c r="K2602" s="33">
        <v>3700</v>
      </c>
      <c r="M2602" t="str">
        <f>_xlfn.XLOOKUP(Pipeline_tbl[[#This Row],[Rep_ID]],Dim_Reps!A:A,Dim_Reps!K:K)</f>
        <v>MXN</v>
      </c>
      <c r="N2602" s="33">
        <f>(_xlfn.XLOOKUP(Pipeline_tbl[[#This Row],[Rate_Code_Generalized]],Lookups!A:A,Lookups!B:B))*Pipeline_tbl[[#This Row],[Pipeline_Amount_USD]]</f>
        <v>73010.990000000005</v>
      </c>
      <c r="O2602" t="str">
        <f>_xlfn.XLOOKUP(Pipeline_tbl[[#This Row],[Rep_ID]],Dim_Reps!A:A,Dim_Reps!B:B)</f>
        <v>Casey Muller</v>
      </c>
      <c r="P2602" t="str">
        <f>_xlfn.XLOOKUP(Pipeline_tbl[[#This Row],[Rep_ID]],Dim_Reps!A:A,Dim_Reps!C:C)</f>
        <v>SDR / Inside Sales Rep</v>
      </c>
      <c r="Q2602" t="str">
        <f>_xlfn.XLOOKUP(Pipeline_tbl[[#This Row],[Rep_ID]],Dim_Reps!A:A,Dim_Reps!D:D)</f>
        <v>Inside Sales</v>
      </c>
      <c r="R2602" t="str">
        <f>_xlfn.XLOOKUP(Pipeline_tbl[[#This Row],[Rep_ID]],Dim_Reps!A:A,Dim_Reps!E:E)</f>
        <v>LATAM</v>
      </c>
      <c r="S2602" t="str">
        <f>_xlfn.XLOOKUP(Pipeline_tbl[[#This Row],[Created_Date]],Dim_Date!A:A,Dim_Date!H:H)</f>
        <v>May 2024</v>
      </c>
      <c r="T2602" t="str">
        <f>IF(Pipeline_tbl[[#This Row],[Closed_Date]]=0,"",(_xlfn.XLOOKUP(Pipeline_tbl[[#This Row],[Closed_Date]],Dim_Date!A:A,Dim_Date!H:H)))</f>
        <v>May 2024</v>
      </c>
      <c r="U2602">
        <f>IF(Pipeline_tbl[[#This Row],[Closed_Date]]=0,"",Pipeline_tbl[[#This Row],[Closed_Date]]-Pipeline_tbl[[#This Row],[Created_Date]])</f>
        <v>23</v>
      </c>
    </row>
    <row r="2603" spans="1:21" ht="15" customHeight="1" x14ac:dyDescent="0.2">
      <c r="A2603" t="s">
        <v>2909</v>
      </c>
      <c r="B2603" t="s">
        <v>225</v>
      </c>
      <c r="C2603" t="s">
        <v>53</v>
      </c>
      <c r="D2603" s="49">
        <v>45425</v>
      </c>
      <c r="E2603" s="49">
        <v>45427</v>
      </c>
      <c r="F2603" s="49">
        <v>45430</v>
      </c>
      <c r="G2603" s="49">
        <v>45436</v>
      </c>
      <c r="H2603" s="49">
        <v>45440</v>
      </c>
      <c r="I2603" s="49">
        <v>45443</v>
      </c>
      <c r="J2603" t="s">
        <v>47</v>
      </c>
      <c r="K2603" s="33">
        <v>5000</v>
      </c>
      <c r="M2603" t="str">
        <f>_xlfn.XLOOKUP(Pipeline_tbl[[#This Row],[Rep_ID]],Dim_Reps!A:A,Dim_Reps!K:K)</f>
        <v>USD</v>
      </c>
      <c r="N2603" s="33">
        <f>(_xlfn.XLOOKUP(Pipeline_tbl[[#This Row],[Rate_Code_Generalized]],Lookups!A:A,Lookups!B:B))*Pipeline_tbl[[#This Row],[Pipeline_Amount_USD]]</f>
        <v>5821.4999999999991</v>
      </c>
      <c r="O2603" t="str">
        <f>_xlfn.XLOOKUP(Pipeline_tbl[[#This Row],[Rep_ID]],Dim_Reps!A:A,Dim_Reps!B:B)</f>
        <v>Alex Muller</v>
      </c>
      <c r="P2603" t="str">
        <f>_xlfn.XLOOKUP(Pipeline_tbl[[#This Row],[Rep_ID]],Dim_Reps!A:A,Dim_Reps!C:C)</f>
        <v>SDR / Inside Sales Rep</v>
      </c>
      <c r="Q2603" t="str">
        <f>_xlfn.XLOOKUP(Pipeline_tbl[[#This Row],[Rep_ID]],Dim_Reps!A:A,Dim_Reps!D:D)</f>
        <v>Inside Sales</v>
      </c>
      <c r="R2603" t="str">
        <f>_xlfn.XLOOKUP(Pipeline_tbl[[#This Row],[Rep_ID]],Dim_Reps!A:A,Dim_Reps!E:E)</f>
        <v>NAMER</v>
      </c>
      <c r="S2603" t="str">
        <f>_xlfn.XLOOKUP(Pipeline_tbl[[#This Row],[Created_Date]],Dim_Date!A:A,Dim_Date!H:H)</f>
        <v>May 2024</v>
      </c>
      <c r="T2603" t="str">
        <f>IF(Pipeline_tbl[[#This Row],[Closed_Date]]=0,"",(_xlfn.XLOOKUP(Pipeline_tbl[[#This Row],[Closed_Date]],Dim_Date!A:A,Dim_Date!H:H)))</f>
        <v>May 2024</v>
      </c>
      <c r="U2603">
        <f>IF(Pipeline_tbl[[#This Row],[Closed_Date]]=0,"",Pipeline_tbl[[#This Row],[Closed_Date]]-Pipeline_tbl[[#This Row],[Created_Date]])</f>
        <v>18</v>
      </c>
    </row>
    <row r="2604" spans="1:21" ht="15" customHeight="1" x14ac:dyDescent="0.2">
      <c r="A2604" t="s">
        <v>2910</v>
      </c>
      <c r="B2604" t="s">
        <v>225</v>
      </c>
      <c r="C2604" t="s">
        <v>52</v>
      </c>
      <c r="D2604" s="49">
        <v>45423</v>
      </c>
      <c r="E2604" s="49">
        <v>45424</v>
      </c>
      <c r="F2604" s="49">
        <v>45425</v>
      </c>
      <c r="G2604" s="49">
        <v>45427</v>
      </c>
      <c r="H2604" s="49">
        <v>45429</v>
      </c>
      <c r="I2604" s="49">
        <v>45430</v>
      </c>
      <c r="J2604" t="s">
        <v>49</v>
      </c>
      <c r="K2604" s="33">
        <v>3600</v>
      </c>
      <c r="L2604" t="s">
        <v>61</v>
      </c>
      <c r="M2604" t="str">
        <f>_xlfn.XLOOKUP(Pipeline_tbl[[#This Row],[Rep_ID]],Dim_Reps!A:A,Dim_Reps!K:K)</f>
        <v>USD</v>
      </c>
      <c r="N2604" s="33">
        <f>(_xlfn.XLOOKUP(Pipeline_tbl[[#This Row],[Rate_Code_Generalized]],Lookups!A:A,Lookups!B:B))*Pipeline_tbl[[#This Row],[Pipeline_Amount_USD]]</f>
        <v>4191.4799999999996</v>
      </c>
      <c r="O2604" t="str">
        <f>_xlfn.XLOOKUP(Pipeline_tbl[[#This Row],[Rep_ID]],Dim_Reps!A:A,Dim_Reps!B:B)</f>
        <v>Alex Muller</v>
      </c>
      <c r="P2604" t="str">
        <f>_xlfn.XLOOKUP(Pipeline_tbl[[#This Row],[Rep_ID]],Dim_Reps!A:A,Dim_Reps!C:C)</f>
        <v>SDR / Inside Sales Rep</v>
      </c>
      <c r="Q2604" t="str">
        <f>_xlfn.XLOOKUP(Pipeline_tbl[[#This Row],[Rep_ID]],Dim_Reps!A:A,Dim_Reps!D:D)</f>
        <v>Inside Sales</v>
      </c>
      <c r="R2604" t="str">
        <f>_xlfn.XLOOKUP(Pipeline_tbl[[#This Row],[Rep_ID]],Dim_Reps!A:A,Dim_Reps!E:E)</f>
        <v>NAMER</v>
      </c>
      <c r="S2604" t="str">
        <f>_xlfn.XLOOKUP(Pipeline_tbl[[#This Row],[Created_Date]],Dim_Date!A:A,Dim_Date!H:H)</f>
        <v>May 2024</v>
      </c>
      <c r="T2604" t="str">
        <f>IF(Pipeline_tbl[[#This Row],[Closed_Date]]=0,"",(_xlfn.XLOOKUP(Pipeline_tbl[[#This Row],[Closed_Date]],Dim_Date!A:A,Dim_Date!H:H)))</f>
        <v>May 2024</v>
      </c>
      <c r="U2604">
        <f>IF(Pipeline_tbl[[#This Row],[Closed_Date]]=0,"",Pipeline_tbl[[#This Row],[Closed_Date]]-Pipeline_tbl[[#This Row],[Created_Date]])</f>
        <v>7</v>
      </c>
    </row>
    <row r="2605" spans="1:21" ht="15" customHeight="1" x14ac:dyDescent="0.2">
      <c r="A2605" t="s">
        <v>2911</v>
      </c>
      <c r="B2605" t="s">
        <v>225</v>
      </c>
      <c r="C2605" t="s">
        <v>56</v>
      </c>
      <c r="D2605" s="49">
        <v>45413</v>
      </c>
      <c r="E2605" s="49">
        <v>45415</v>
      </c>
      <c r="F2605" s="49">
        <v>45420</v>
      </c>
      <c r="G2605" s="49">
        <v>45427</v>
      </c>
      <c r="I2605" s="49">
        <v>45436</v>
      </c>
      <c r="J2605" t="s">
        <v>49</v>
      </c>
      <c r="K2605" s="33">
        <v>3600</v>
      </c>
      <c r="L2605" t="s">
        <v>64</v>
      </c>
      <c r="M2605" t="str">
        <f>_xlfn.XLOOKUP(Pipeline_tbl[[#This Row],[Rep_ID]],Dim_Reps!A:A,Dim_Reps!K:K)</f>
        <v>USD</v>
      </c>
      <c r="N2605" s="33">
        <f>(_xlfn.XLOOKUP(Pipeline_tbl[[#This Row],[Rate_Code_Generalized]],Lookups!A:A,Lookups!B:B))*Pipeline_tbl[[#This Row],[Pipeline_Amount_USD]]</f>
        <v>4191.4799999999996</v>
      </c>
      <c r="O2605" t="str">
        <f>_xlfn.XLOOKUP(Pipeline_tbl[[#This Row],[Rep_ID]],Dim_Reps!A:A,Dim_Reps!B:B)</f>
        <v>Alex Muller</v>
      </c>
      <c r="P2605" t="str">
        <f>_xlfn.XLOOKUP(Pipeline_tbl[[#This Row],[Rep_ID]],Dim_Reps!A:A,Dim_Reps!C:C)</f>
        <v>SDR / Inside Sales Rep</v>
      </c>
      <c r="Q2605" t="str">
        <f>_xlfn.XLOOKUP(Pipeline_tbl[[#This Row],[Rep_ID]],Dim_Reps!A:A,Dim_Reps!D:D)</f>
        <v>Inside Sales</v>
      </c>
      <c r="R2605" t="str">
        <f>_xlfn.XLOOKUP(Pipeline_tbl[[#This Row],[Rep_ID]],Dim_Reps!A:A,Dim_Reps!E:E)</f>
        <v>NAMER</v>
      </c>
      <c r="S2605" t="str">
        <f>_xlfn.XLOOKUP(Pipeline_tbl[[#This Row],[Created_Date]],Dim_Date!A:A,Dim_Date!H:H)</f>
        <v>May 2024</v>
      </c>
      <c r="T2605" t="str">
        <f>IF(Pipeline_tbl[[#This Row],[Closed_Date]]=0,"",(_xlfn.XLOOKUP(Pipeline_tbl[[#This Row],[Closed_Date]],Dim_Date!A:A,Dim_Date!H:H)))</f>
        <v>May 2024</v>
      </c>
      <c r="U2605">
        <f>IF(Pipeline_tbl[[#This Row],[Closed_Date]]=0,"",Pipeline_tbl[[#This Row],[Closed_Date]]-Pipeline_tbl[[#This Row],[Created_Date]])</f>
        <v>23</v>
      </c>
    </row>
    <row r="2606" spans="1:21" ht="15" customHeight="1" x14ac:dyDescent="0.2">
      <c r="A2606" t="s">
        <v>2912</v>
      </c>
      <c r="B2606" t="s">
        <v>225</v>
      </c>
      <c r="C2606" t="s">
        <v>52</v>
      </c>
      <c r="D2606" s="49">
        <v>45421</v>
      </c>
      <c r="E2606" s="49">
        <v>45422</v>
      </c>
      <c r="F2606" s="49">
        <v>45424</v>
      </c>
      <c r="G2606" s="49">
        <v>45428</v>
      </c>
      <c r="H2606" s="49">
        <v>45430</v>
      </c>
      <c r="I2606" s="49">
        <v>45432</v>
      </c>
      <c r="J2606" t="s">
        <v>49</v>
      </c>
      <c r="K2606" s="33">
        <v>3300</v>
      </c>
      <c r="L2606" t="s">
        <v>61</v>
      </c>
      <c r="M2606" t="str">
        <f>_xlfn.XLOOKUP(Pipeline_tbl[[#This Row],[Rep_ID]],Dim_Reps!A:A,Dim_Reps!K:K)</f>
        <v>USD</v>
      </c>
      <c r="N2606" s="33">
        <f>(_xlfn.XLOOKUP(Pipeline_tbl[[#This Row],[Rate_Code_Generalized]],Lookups!A:A,Lookups!B:B))*Pipeline_tbl[[#This Row],[Pipeline_Amount_USD]]</f>
        <v>3842.1899999999996</v>
      </c>
      <c r="O2606" t="str">
        <f>_xlfn.XLOOKUP(Pipeline_tbl[[#This Row],[Rep_ID]],Dim_Reps!A:A,Dim_Reps!B:B)</f>
        <v>Alex Muller</v>
      </c>
      <c r="P2606" t="str">
        <f>_xlfn.XLOOKUP(Pipeline_tbl[[#This Row],[Rep_ID]],Dim_Reps!A:A,Dim_Reps!C:C)</f>
        <v>SDR / Inside Sales Rep</v>
      </c>
      <c r="Q2606" t="str">
        <f>_xlfn.XLOOKUP(Pipeline_tbl[[#This Row],[Rep_ID]],Dim_Reps!A:A,Dim_Reps!D:D)</f>
        <v>Inside Sales</v>
      </c>
      <c r="R2606" t="str">
        <f>_xlfn.XLOOKUP(Pipeline_tbl[[#This Row],[Rep_ID]],Dim_Reps!A:A,Dim_Reps!E:E)</f>
        <v>NAMER</v>
      </c>
      <c r="S2606" t="str">
        <f>_xlfn.XLOOKUP(Pipeline_tbl[[#This Row],[Created_Date]],Dim_Date!A:A,Dim_Date!H:H)</f>
        <v>May 2024</v>
      </c>
      <c r="T2606" t="str">
        <f>IF(Pipeline_tbl[[#This Row],[Closed_Date]]=0,"",(_xlfn.XLOOKUP(Pipeline_tbl[[#This Row],[Closed_Date]],Dim_Date!A:A,Dim_Date!H:H)))</f>
        <v>May 2024</v>
      </c>
      <c r="U2606">
        <f>IF(Pipeline_tbl[[#This Row],[Closed_Date]]=0,"",Pipeline_tbl[[#This Row],[Closed_Date]]-Pipeline_tbl[[#This Row],[Created_Date]])</f>
        <v>11</v>
      </c>
    </row>
    <row r="2607" spans="1:21" ht="15" customHeight="1" x14ac:dyDescent="0.2">
      <c r="A2607" t="s">
        <v>2913</v>
      </c>
      <c r="B2607" t="s">
        <v>225</v>
      </c>
      <c r="C2607" t="s">
        <v>52</v>
      </c>
      <c r="D2607" s="49">
        <v>45427</v>
      </c>
      <c r="E2607" s="49">
        <v>45429</v>
      </c>
      <c r="F2607" s="49">
        <v>45432</v>
      </c>
      <c r="G2607" s="49">
        <v>45436</v>
      </c>
      <c r="H2607" s="49">
        <v>45440</v>
      </c>
      <c r="I2607" s="49">
        <v>45442</v>
      </c>
      <c r="J2607" t="s">
        <v>49</v>
      </c>
      <c r="K2607" s="33">
        <v>3600</v>
      </c>
      <c r="L2607" t="s">
        <v>63</v>
      </c>
      <c r="M2607" t="str">
        <f>_xlfn.XLOOKUP(Pipeline_tbl[[#This Row],[Rep_ID]],Dim_Reps!A:A,Dim_Reps!K:K)</f>
        <v>USD</v>
      </c>
      <c r="N2607" s="33">
        <f>(_xlfn.XLOOKUP(Pipeline_tbl[[#This Row],[Rate_Code_Generalized]],Lookups!A:A,Lookups!B:B))*Pipeline_tbl[[#This Row],[Pipeline_Amount_USD]]</f>
        <v>4191.4799999999996</v>
      </c>
      <c r="O2607" t="str">
        <f>_xlfn.XLOOKUP(Pipeline_tbl[[#This Row],[Rep_ID]],Dim_Reps!A:A,Dim_Reps!B:B)</f>
        <v>Alex Muller</v>
      </c>
      <c r="P2607" t="str">
        <f>_xlfn.XLOOKUP(Pipeline_tbl[[#This Row],[Rep_ID]],Dim_Reps!A:A,Dim_Reps!C:C)</f>
        <v>SDR / Inside Sales Rep</v>
      </c>
      <c r="Q2607" t="str">
        <f>_xlfn.XLOOKUP(Pipeline_tbl[[#This Row],[Rep_ID]],Dim_Reps!A:A,Dim_Reps!D:D)</f>
        <v>Inside Sales</v>
      </c>
      <c r="R2607" t="str">
        <f>_xlfn.XLOOKUP(Pipeline_tbl[[#This Row],[Rep_ID]],Dim_Reps!A:A,Dim_Reps!E:E)</f>
        <v>NAMER</v>
      </c>
      <c r="S2607" t="str">
        <f>_xlfn.XLOOKUP(Pipeline_tbl[[#This Row],[Created_Date]],Dim_Date!A:A,Dim_Date!H:H)</f>
        <v>May 2024</v>
      </c>
      <c r="T2607" t="str">
        <f>IF(Pipeline_tbl[[#This Row],[Closed_Date]]=0,"",(_xlfn.XLOOKUP(Pipeline_tbl[[#This Row],[Closed_Date]],Dim_Date!A:A,Dim_Date!H:H)))</f>
        <v>May 2024</v>
      </c>
      <c r="U2607">
        <f>IF(Pipeline_tbl[[#This Row],[Closed_Date]]=0,"",Pipeline_tbl[[#This Row],[Closed_Date]]-Pipeline_tbl[[#This Row],[Created_Date]])</f>
        <v>15</v>
      </c>
    </row>
    <row r="2608" spans="1:21" ht="15" customHeight="1" x14ac:dyDescent="0.2">
      <c r="A2608" t="s">
        <v>2914</v>
      </c>
      <c r="B2608" t="s">
        <v>225</v>
      </c>
      <c r="C2608" t="s">
        <v>56</v>
      </c>
      <c r="D2608" s="49">
        <v>45430</v>
      </c>
      <c r="E2608" s="49">
        <v>45431</v>
      </c>
      <c r="F2608" s="49">
        <v>45433</v>
      </c>
      <c r="G2608" s="49">
        <v>45436</v>
      </c>
      <c r="H2608" s="49">
        <v>45438</v>
      </c>
      <c r="I2608" s="49">
        <v>45440</v>
      </c>
      <c r="J2608" t="s">
        <v>49</v>
      </c>
      <c r="K2608" s="33">
        <v>7600</v>
      </c>
      <c r="L2608" t="s">
        <v>64</v>
      </c>
      <c r="M2608" t="str">
        <f>_xlfn.XLOOKUP(Pipeline_tbl[[#This Row],[Rep_ID]],Dim_Reps!A:A,Dim_Reps!K:K)</f>
        <v>USD</v>
      </c>
      <c r="N2608" s="33">
        <f>(_xlfn.XLOOKUP(Pipeline_tbl[[#This Row],[Rate_Code_Generalized]],Lookups!A:A,Lookups!B:B))*Pipeline_tbl[[#This Row],[Pipeline_Amount_USD]]</f>
        <v>8848.6799999999985</v>
      </c>
      <c r="O2608" t="str">
        <f>_xlfn.XLOOKUP(Pipeline_tbl[[#This Row],[Rep_ID]],Dim_Reps!A:A,Dim_Reps!B:B)</f>
        <v>Alex Muller</v>
      </c>
      <c r="P2608" t="str">
        <f>_xlfn.XLOOKUP(Pipeline_tbl[[#This Row],[Rep_ID]],Dim_Reps!A:A,Dim_Reps!C:C)</f>
        <v>SDR / Inside Sales Rep</v>
      </c>
      <c r="Q2608" t="str">
        <f>_xlfn.XLOOKUP(Pipeline_tbl[[#This Row],[Rep_ID]],Dim_Reps!A:A,Dim_Reps!D:D)</f>
        <v>Inside Sales</v>
      </c>
      <c r="R2608" t="str">
        <f>_xlfn.XLOOKUP(Pipeline_tbl[[#This Row],[Rep_ID]],Dim_Reps!A:A,Dim_Reps!E:E)</f>
        <v>NAMER</v>
      </c>
      <c r="S2608" t="str">
        <f>_xlfn.XLOOKUP(Pipeline_tbl[[#This Row],[Created_Date]],Dim_Date!A:A,Dim_Date!H:H)</f>
        <v>May 2024</v>
      </c>
      <c r="T2608" t="str">
        <f>IF(Pipeline_tbl[[#This Row],[Closed_Date]]=0,"",(_xlfn.XLOOKUP(Pipeline_tbl[[#This Row],[Closed_Date]],Dim_Date!A:A,Dim_Date!H:H)))</f>
        <v>May 2024</v>
      </c>
      <c r="U2608">
        <f>IF(Pipeline_tbl[[#This Row],[Closed_Date]]=0,"",Pipeline_tbl[[#This Row],[Closed_Date]]-Pipeline_tbl[[#This Row],[Created_Date]])</f>
        <v>10</v>
      </c>
    </row>
    <row r="2609" spans="1:21" ht="15" customHeight="1" x14ac:dyDescent="0.2">
      <c r="A2609" t="s">
        <v>2915</v>
      </c>
      <c r="B2609" t="s">
        <v>227</v>
      </c>
      <c r="C2609" t="s">
        <v>52</v>
      </c>
      <c r="D2609" s="49">
        <v>45427</v>
      </c>
      <c r="E2609" s="49">
        <v>45428</v>
      </c>
      <c r="F2609" s="49">
        <v>45431</v>
      </c>
      <c r="I2609" s="49">
        <v>45440</v>
      </c>
      <c r="J2609" t="s">
        <v>49</v>
      </c>
      <c r="K2609" s="33">
        <v>3300</v>
      </c>
      <c r="L2609" t="s">
        <v>61</v>
      </c>
      <c r="M2609" t="str">
        <f>_xlfn.XLOOKUP(Pipeline_tbl[[#This Row],[Rep_ID]],Dim_Reps!A:A,Dim_Reps!K:K)</f>
        <v>EUR</v>
      </c>
      <c r="N2609" s="33">
        <f>(_xlfn.XLOOKUP(Pipeline_tbl[[#This Row],[Rate_Code_Generalized]],Lookups!A:A,Lookups!B:B))*Pipeline_tbl[[#This Row],[Pipeline_Amount_USD]]</f>
        <v>3300</v>
      </c>
      <c r="O2609" t="str">
        <f>_xlfn.XLOOKUP(Pipeline_tbl[[#This Row],[Rep_ID]],Dim_Reps!A:A,Dim_Reps!B:B)</f>
        <v>Liam Muller</v>
      </c>
      <c r="P2609" t="str">
        <f>_xlfn.XLOOKUP(Pipeline_tbl[[#This Row],[Rep_ID]],Dim_Reps!A:A,Dim_Reps!C:C)</f>
        <v>SDR / Inside Sales Rep</v>
      </c>
      <c r="Q2609" t="str">
        <f>_xlfn.XLOOKUP(Pipeline_tbl[[#This Row],[Rep_ID]],Dim_Reps!A:A,Dim_Reps!D:D)</f>
        <v>Inside Sales</v>
      </c>
      <c r="R2609" t="str">
        <f>_xlfn.XLOOKUP(Pipeline_tbl[[#This Row],[Rep_ID]],Dim_Reps!A:A,Dim_Reps!E:E)</f>
        <v>EMEA</v>
      </c>
      <c r="S2609" t="str">
        <f>_xlfn.XLOOKUP(Pipeline_tbl[[#This Row],[Created_Date]],Dim_Date!A:A,Dim_Date!H:H)</f>
        <v>May 2024</v>
      </c>
      <c r="T2609" t="str">
        <f>IF(Pipeline_tbl[[#This Row],[Closed_Date]]=0,"",(_xlfn.XLOOKUP(Pipeline_tbl[[#This Row],[Closed_Date]],Dim_Date!A:A,Dim_Date!H:H)))</f>
        <v>May 2024</v>
      </c>
      <c r="U2609">
        <f>IF(Pipeline_tbl[[#This Row],[Closed_Date]]=0,"",Pipeline_tbl[[#This Row],[Closed_Date]]-Pipeline_tbl[[#This Row],[Created_Date]])</f>
        <v>13</v>
      </c>
    </row>
    <row r="2610" spans="1:21" ht="15" customHeight="1" x14ac:dyDescent="0.2">
      <c r="A2610" t="s">
        <v>2916</v>
      </c>
      <c r="B2610" t="s">
        <v>227</v>
      </c>
      <c r="C2610" t="s">
        <v>52</v>
      </c>
      <c r="D2610" s="49">
        <v>45431</v>
      </c>
      <c r="E2610" s="49">
        <v>45432</v>
      </c>
      <c r="F2610" s="49">
        <v>45433</v>
      </c>
      <c r="G2610" s="49">
        <v>45435</v>
      </c>
      <c r="I2610" s="49">
        <v>45438</v>
      </c>
      <c r="J2610" t="s">
        <v>49</v>
      </c>
      <c r="K2610" s="33">
        <v>5400</v>
      </c>
      <c r="L2610" t="s">
        <v>61</v>
      </c>
      <c r="M2610" t="str">
        <f>_xlfn.XLOOKUP(Pipeline_tbl[[#This Row],[Rep_ID]],Dim_Reps!A:A,Dim_Reps!K:K)</f>
        <v>EUR</v>
      </c>
      <c r="N2610" s="33">
        <f>(_xlfn.XLOOKUP(Pipeline_tbl[[#This Row],[Rate_Code_Generalized]],Lookups!A:A,Lookups!B:B))*Pipeline_tbl[[#This Row],[Pipeline_Amount_USD]]</f>
        <v>5400</v>
      </c>
      <c r="O2610" t="str">
        <f>_xlfn.XLOOKUP(Pipeline_tbl[[#This Row],[Rep_ID]],Dim_Reps!A:A,Dim_Reps!B:B)</f>
        <v>Liam Muller</v>
      </c>
      <c r="P2610" t="str">
        <f>_xlfn.XLOOKUP(Pipeline_tbl[[#This Row],[Rep_ID]],Dim_Reps!A:A,Dim_Reps!C:C)</f>
        <v>SDR / Inside Sales Rep</v>
      </c>
      <c r="Q2610" t="str">
        <f>_xlfn.XLOOKUP(Pipeline_tbl[[#This Row],[Rep_ID]],Dim_Reps!A:A,Dim_Reps!D:D)</f>
        <v>Inside Sales</v>
      </c>
      <c r="R2610" t="str">
        <f>_xlfn.XLOOKUP(Pipeline_tbl[[#This Row],[Rep_ID]],Dim_Reps!A:A,Dim_Reps!E:E)</f>
        <v>EMEA</v>
      </c>
      <c r="S2610" t="str">
        <f>_xlfn.XLOOKUP(Pipeline_tbl[[#This Row],[Created_Date]],Dim_Date!A:A,Dim_Date!H:H)</f>
        <v>May 2024</v>
      </c>
      <c r="T2610" t="str">
        <f>IF(Pipeline_tbl[[#This Row],[Closed_Date]]=0,"",(_xlfn.XLOOKUP(Pipeline_tbl[[#This Row],[Closed_Date]],Dim_Date!A:A,Dim_Date!H:H)))</f>
        <v>May 2024</v>
      </c>
      <c r="U2610">
        <f>IF(Pipeline_tbl[[#This Row],[Closed_Date]]=0,"",Pipeline_tbl[[#This Row],[Closed_Date]]-Pipeline_tbl[[#This Row],[Created_Date]])</f>
        <v>7</v>
      </c>
    </row>
    <row r="2611" spans="1:21" ht="15" customHeight="1" x14ac:dyDescent="0.2">
      <c r="A2611" t="s">
        <v>2917</v>
      </c>
      <c r="B2611" t="s">
        <v>227</v>
      </c>
      <c r="C2611" t="s">
        <v>52</v>
      </c>
      <c r="D2611" s="49">
        <v>45429</v>
      </c>
      <c r="E2611" s="49">
        <v>45430</v>
      </c>
      <c r="I2611" s="49">
        <v>45439</v>
      </c>
      <c r="J2611" t="s">
        <v>49</v>
      </c>
      <c r="K2611" s="33">
        <v>8100</v>
      </c>
      <c r="L2611" t="s">
        <v>62</v>
      </c>
      <c r="M2611" t="str">
        <f>_xlfn.XLOOKUP(Pipeline_tbl[[#This Row],[Rep_ID]],Dim_Reps!A:A,Dim_Reps!K:K)</f>
        <v>EUR</v>
      </c>
      <c r="N2611" s="33">
        <f>(_xlfn.XLOOKUP(Pipeline_tbl[[#This Row],[Rate_Code_Generalized]],Lookups!A:A,Lookups!B:B))*Pipeline_tbl[[#This Row],[Pipeline_Amount_USD]]</f>
        <v>8100</v>
      </c>
      <c r="O2611" t="str">
        <f>_xlfn.XLOOKUP(Pipeline_tbl[[#This Row],[Rep_ID]],Dim_Reps!A:A,Dim_Reps!B:B)</f>
        <v>Liam Muller</v>
      </c>
      <c r="P2611" t="str">
        <f>_xlfn.XLOOKUP(Pipeline_tbl[[#This Row],[Rep_ID]],Dim_Reps!A:A,Dim_Reps!C:C)</f>
        <v>SDR / Inside Sales Rep</v>
      </c>
      <c r="Q2611" t="str">
        <f>_xlfn.XLOOKUP(Pipeline_tbl[[#This Row],[Rep_ID]],Dim_Reps!A:A,Dim_Reps!D:D)</f>
        <v>Inside Sales</v>
      </c>
      <c r="R2611" t="str">
        <f>_xlfn.XLOOKUP(Pipeline_tbl[[#This Row],[Rep_ID]],Dim_Reps!A:A,Dim_Reps!E:E)</f>
        <v>EMEA</v>
      </c>
      <c r="S2611" t="str">
        <f>_xlfn.XLOOKUP(Pipeline_tbl[[#This Row],[Created_Date]],Dim_Date!A:A,Dim_Date!H:H)</f>
        <v>May 2024</v>
      </c>
      <c r="T2611" t="str">
        <f>IF(Pipeline_tbl[[#This Row],[Closed_Date]]=0,"",(_xlfn.XLOOKUP(Pipeline_tbl[[#This Row],[Closed_Date]],Dim_Date!A:A,Dim_Date!H:H)))</f>
        <v>May 2024</v>
      </c>
      <c r="U2611">
        <f>IF(Pipeline_tbl[[#This Row],[Closed_Date]]=0,"",Pipeline_tbl[[#This Row],[Closed_Date]]-Pipeline_tbl[[#This Row],[Created_Date]])</f>
        <v>10</v>
      </c>
    </row>
    <row r="2612" spans="1:21" ht="15" customHeight="1" x14ac:dyDescent="0.2">
      <c r="A2612" t="s">
        <v>2918</v>
      </c>
      <c r="B2612" t="s">
        <v>227</v>
      </c>
      <c r="C2612" t="s">
        <v>53</v>
      </c>
      <c r="D2612" s="49">
        <v>45417</v>
      </c>
      <c r="E2612" s="49">
        <v>45418</v>
      </c>
      <c r="F2612" s="49">
        <v>45421</v>
      </c>
      <c r="I2612" s="49">
        <v>45430</v>
      </c>
      <c r="J2612" t="s">
        <v>49</v>
      </c>
      <c r="K2612" s="33">
        <v>3000</v>
      </c>
      <c r="L2612" t="s">
        <v>60</v>
      </c>
      <c r="M2612" t="str">
        <f>_xlfn.XLOOKUP(Pipeline_tbl[[#This Row],[Rep_ID]],Dim_Reps!A:A,Dim_Reps!K:K)</f>
        <v>EUR</v>
      </c>
      <c r="N2612" s="33">
        <f>(_xlfn.XLOOKUP(Pipeline_tbl[[#This Row],[Rate_Code_Generalized]],Lookups!A:A,Lookups!B:B))*Pipeline_tbl[[#This Row],[Pipeline_Amount_USD]]</f>
        <v>3000</v>
      </c>
      <c r="O2612" t="str">
        <f>_xlfn.XLOOKUP(Pipeline_tbl[[#This Row],[Rep_ID]],Dim_Reps!A:A,Dim_Reps!B:B)</f>
        <v>Liam Muller</v>
      </c>
      <c r="P2612" t="str">
        <f>_xlfn.XLOOKUP(Pipeline_tbl[[#This Row],[Rep_ID]],Dim_Reps!A:A,Dim_Reps!C:C)</f>
        <v>SDR / Inside Sales Rep</v>
      </c>
      <c r="Q2612" t="str">
        <f>_xlfn.XLOOKUP(Pipeline_tbl[[#This Row],[Rep_ID]],Dim_Reps!A:A,Dim_Reps!D:D)</f>
        <v>Inside Sales</v>
      </c>
      <c r="R2612" t="str">
        <f>_xlfn.XLOOKUP(Pipeline_tbl[[#This Row],[Rep_ID]],Dim_Reps!A:A,Dim_Reps!E:E)</f>
        <v>EMEA</v>
      </c>
      <c r="S2612" t="str">
        <f>_xlfn.XLOOKUP(Pipeline_tbl[[#This Row],[Created_Date]],Dim_Date!A:A,Dim_Date!H:H)</f>
        <v>May 2024</v>
      </c>
      <c r="T2612" t="str">
        <f>IF(Pipeline_tbl[[#This Row],[Closed_Date]]=0,"",(_xlfn.XLOOKUP(Pipeline_tbl[[#This Row],[Closed_Date]],Dim_Date!A:A,Dim_Date!H:H)))</f>
        <v>May 2024</v>
      </c>
      <c r="U2612">
        <f>IF(Pipeline_tbl[[#This Row],[Closed_Date]]=0,"",Pipeline_tbl[[#This Row],[Closed_Date]]-Pipeline_tbl[[#This Row],[Created_Date]])</f>
        <v>13</v>
      </c>
    </row>
    <row r="2613" spans="1:21" ht="15" customHeight="1" x14ac:dyDescent="0.2">
      <c r="A2613" t="s">
        <v>2919</v>
      </c>
      <c r="B2613" t="s">
        <v>227</v>
      </c>
      <c r="C2613" t="s">
        <v>54</v>
      </c>
      <c r="D2613" s="49">
        <v>45424</v>
      </c>
      <c r="E2613" s="49">
        <v>45426</v>
      </c>
      <c r="F2613" s="49">
        <v>45430</v>
      </c>
      <c r="I2613" s="49">
        <v>45443</v>
      </c>
      <c r="J2613" t="s">
        <v>49</v>
      </c>
      <c r="K2613" s="33">
        <v>2600</v>
      </c>
      <c r="L2613" t="s">
        <v>60</v>
      </c>
      <c r="M2613" t="str">
        <f>_xlfn.XLOOKUP(Pipeline_tbl[[#This Row],[Rep_ID]],Dim_Reps!A:A,Dim_Reps!K:K)</f>
        <v>EUR</v>
      </c>
      <c r="N2613" s="33">
        <f>(_xlfn.XLOOKUP(Pipeline_tbl[[#This Row],[Rate_Code_Generalized]],Lookups!A:A,Lookups!B:B))*Pipeline_tbl[[#This Row],[Pipeline_Amount_USD]]</f>
        <v>2600</v>
      </c>
      <c r="O2613" t="str">
        <f>_xlfn.XLOOKUP(Pipeline_tbl[[#This Row],[Rep_ID]],Dim_Reps!A:A,Dim_Reps!B:B)</f>
        <v>Liam Muller</v>
      </c>
      <c r="P2613" t="str">
        <f>_xlfn.XLOOKUP(Pipeline_tbl[[#This Row],[Rep_ID]],Dim_Reps!A:A,Dim_Reps!C:C)</f>
        <v>SDR / Inside Sales Rep</v>
      </c>
      <c r="Q2613" t="str">
        <f>_xlfn.XLOOKUP(Pipeline_tbl[[#This Row],[Rep_ID]],Dim_Reps!A:A,Dim_Reps!D:D)</f>
        <v>Inside Sales</v>
      </c>
      <c r="R2613" t="str">
        <f>_xlfn.XLOOKUP(Pipeline_tbl[[#This Row],[Rep_ID]],Dim_Reps!A:A,Dim_Reps!E:E)</f>
        <v>EMEA</v>
      </c>
      <c r="S2613" t="str">
        <f>_xlfn.XLOOKUP(Pipeline_tbl[[#This Row],[Created_Date]],Dim_Date!A:A,Dim_Date!H:H)</f>
        <v>May 2024</v>
      </c>
      <c r="T2613" t="str">
        <f>IF(Pipeline_tbl[[#This Row],[Closed_Date]]=0,"",(_xlfn.XLOOKUP(Pipeline_tbl[[#This Row],[Closed_Date]],Dim_Date!A:A,Dim_Date!H:H)))</f>
        <v>May 2024</v>
      </c>
      <c r="U2613">
        <f>IF(Pipeline_tbl[[#This Row],[Closed_Date]]=0,"",Pipeline_tbl[[#This Row],[Closed_Date]]-Pipeline_tbl[[#This Row],[Created_Date]])</f>
        <v>19</v>
      </c>
    </row>
    <row r="2614" spans="1:21" ht="15" customHeight="1" x14ac:dyDescent="0.2">
      <c r="A2614" t="s">
        <v>2920</v>
      </c>
      <c r="B2614" t="s">
        <v>227</v>
      </c>
      <c r="C2614" t="s">
        <v>53</v>
      </c>
      <c r="D2614" s="49">
        <v>45413</v>
      </c>
      <c r="E2614" s="49">
        <v>45414</v>
      </c>
      <c r="F2614" s="49">
        <v>45417</v>
      </c>
      <c r="G2614" s="49">
        <v>45421</v>
      </c>
      <c r="I2614" s="49">
        <v>45427</v>
      </c>
      <c r="J2614" t="s">
        <v>49</v>
      </c>
      <c r="K2614" s="33">
        <v>4300</v>
      </c>
      <c r="L2614" t="s">
        <v>64</v>
      </c>
      <c r="M2614" t="str">
        <f>_xlfn.XLOOKUP(Pipeline_tbl[[#This Row],[Rep_ID]],Dim_Reps!A:A,Dim_Reps!K:K)</f>
        <v>EUR</v>
      </c>
      <c r="N2614" s="33">
        <f>(_xlfn.XLOOKUP(Pipeline_tbl[[#This Row],[Rate_Code_Generalized]],Lookups!A:A,Lookups!B:B))*Pipeline_tbl[[#This Row],[Pipeline_Amount_USD]]</f>
        <v>4300</v>
      </c>
      <c r="O2614" t="str">
        <f>_xlfn.XLOOKUP(Pipeline_tbl[[#This Row],[Rep_ID]],Dim_Reps!A:A,Dim_Reps!B:B)</f>
        <v>Liam Muller</v>
      </c>
      <c r="P2614" t="str">
        <f>_xlfn.XLOOKUP(Pipeline_tbl[[#This Row],[Rep_ID]],Dim_Reps!A:A,Dim_Reps!C:C)</f>
        <v>SDR / Inside Sales Rep</v>
      </c>
      <c r="Q2614" t="str">
        <f>_xlfn.XLOOKUP(Pipeline_tbl[[#This Row],[Rep_ID]],Dim_Reps!A:A,Dim_Reps!D:D)</f>
        <v>Inside Sales</v>
      </c>
      <c r="R2614" t="str">
        <f>_xlfn.XLOOKUP(Pipeline_tbl[[#This Row],[Rep_ID]],Dim_Reps!A:A,Dim_Reps!E:E)</f>
        <v>EMEA</v>
      </c>
      <c r="S2614" t="str">
        <f>_xlfn.XLOOKUP(Pipeline_tbl[[#This Row],[Created_Date]],Dim_Date!A:A,Dim_Date!H:H)</f>
        <v>May 2024</v>
      </c>
      <c r="T2614" t="str">
        <f>IF(Pipeline_tbl[[#This Row],[Closed_Date]]=0,"",(_xlfn.XLOOKUP(Pipeline_tbl[[#This Row],[Closed_Date]],Dim_Date!A:A,Dim_Date!H:H)))</f>
        <v>May 2024</v>
      </c>
      <c r="U2614">
        <f>IF(Pipeline_tbl[[#This Row],[Closed_Date]]=0,"",Pipeline_tbl[[#This Row],[Closed_Date]]-Pipeline_tbl[[#This Row],[Created_Date]])</f>
        <v>14</v>
      </c>
    </row>
    <row r="2615" spans="1:21" ht="15" customHeight="1" x14ac:dyDescent="0.2">
      <c r="A2615" t="s">
        <v>2921</v>
      </c>
      <c r="B2615" t="s">
        <v>227</v>
      </c>
      <c r="C2615" t="s">
        <v>54</v>
      </c>
      <c r="D2615" s="49">
        <v>45416</v>
      </c>
      <c r="E2615" s="49">
        <v>45418</v>
      </c>
      <c r="F2615" s="49">
        <v>45421</v>
      </c>
      <c r="G2615" s="49">
        <v>45426</v>
      </c>
      <c r="H2615" s="49">
        <v>45430</v>
      </c>
      <c r="I2615" s="49">
        <v>45433</v>
      </c>
      <c r="J2615" t="s">
        <v>47</v>
      </c>
      <c r="K2615" s="33">
        <v>3600</v>
      </c>
      <c r="M2615" t="str">
        <f>_xlfn.XLOOKUP(Pipeline_tbl[[#This Row],[Rep_ID]],Dim_Reps!A:A,Dim_Reps!K:K)</f>
        <v>EUR</v>
      </c>
      <c r="N2615" s="33">
        <f>(_xlfn.XLOOKUP(Pipeline_tbl[[#This Row],[Rate_Code_Generalized]],Lookups!A:A,Lookups!B:B))*Pipeline_tbl[[#This Row],[Pipeline_Amount_USD]]</f>
        <v>3600</v>
      </c>
      <c r="O2615" t="str">
        <f>_xlfn.XLOOKUP(Pipeline_tbl[[#This Row],[Rep_ID]],Dim_Reps!A:A,Dim_Reps!B:B)</f>
        <v>Liam Muller</v>
      </c>
      <c r="P2615" t="str">
        <f>_xlfn.XLOOKUP(Pipeline_tbl[[#This Row],[Rep_ID]],Dim_Reps!A:A,Dim_Reps!C:C)</f>
        <v>SDR / Inside Sales Rep</v>
      </c>
      <c r="Q2615" t="str">
        <f>_xlfn.XLOOKUP(Pipeline_tbl[[#This Row],[Rep_ID]],Dim_Reps!A:A,Dim_Reps!D:D)</f>
        <v>Inside Sales</v>
      </c>
      <c r="R2615" t="str">
        <f>_xlfn.XLOOKUP(Pipeline_tbl[[#This Row],[Rep_ID]],Dim_Reps!A:A,Dim_Reps!E:E)</f>
        <v>EMEA</v>
      </c>
      <c r="S2615" t="str">
        <f>_xlfn.XLOOKUP(Pipeline_tbl[[#This Row],[Created_Date]],Dim_Date!A:A,Dim_Date!H:H)</f>
        <v>May 2024</v>
      </c>
      <c r="T2615" t="str">
        <f>IF(Pipeline_tbl[[#This Row],[Closed_Date]]=0,"",(_xlfn.XLOOKUP(Pipeline_tbl[[#This Row],[Closed_Date]],Dim_Date!A:A,Dim_Date!H:H)))</f>
        <v>May 2024</v>
      </c>
      <c r="U2615">
        <f>IF(Pipeline_tbl[[#This Row],[Closed_Date]]=0,"",Pipeline_tbl[[#This Row],[Closed_Date]]-Pipeline_tbl[[#This Row],[Created_Date]])</f>
        <v>17</v>
      </c>
    </row>
    <row r="2616" spans="1:21" ht="15" customHeight="1" x14ac:dyDescent="0.2">
      <c r="A2616" t="s">
        <v>2922</v>
      </c>
      <c r="B2616" t="s">
        <v>229</v>
      </c>
      <c r="C2616" t="s">
        <v>56</v>
      </c>
      <c r="D2616" s="49">
        <v>45427</v>
      </c>
      <c r="E2616" s="49">
        <v>45428</v>
      </c>
      <c r="F2616" s="49">
        <v>45430</v>
      </c>
      <c r="G2616" s="49">
        <v>45432</v>
      </c>
      <c r="H2616" s="49">
        <v>45435</v>
      </c>
      <c r="I2616" s="49">
        <v>45436</v>
      </c>
      <c r="J2616" t="s">
        <v>47</v>
      </c>
      <c r="K2616" s="33">
        <v>2000</v>
      </c>
      <c r="M2616" t="str">
        <f>_xlfn.XLOOKUP(Pipeline_tbl[[#This Row],[Rep_ID]],Dim_Reps!A:A,Dim_Reps!K:K)</f>
        <v>USD</v>
      </c>
      <c r="N2616" s="33">
        <f>(_xlfn.XLOOKUP(Pipeline_tbl[[#This Row],[Rate_Code_Generalized]],Lookups!A:A,Lookups!B:B))*Pipeline_tbl[[#This Row],[Pipeline_Amount_USD]]</f>
        <v>2328.6</v>
      </c>
      <c r="O2616" t="str">
        <f>_xlfn.XLOOKUP(Pipeline_tbl[[#This Row],[Rep_ID]],Dim_Reps!A:A,Dim_Reps!B:B)</f>
        <v>Liam Castro</v>
      </c>
      <c r="P2616" t="str">
        <f>_xlfn.XLOOKUP(Pipeline_tbl[[#This Row],[Rep_ID]],Dim_Reps!A:A,Dim_Reps!C:C)</f>
        <v>SDR / Inside Sales Rep</v>
      </c>
      <c r="Q2616" t="str">
        <f>_xlfn.XLOOKUP(Pipeline_tbl[[#This Row],[Rep_ID]],Dim_Reps!A:A,Dim_Reps!D:D)</f>
        <v>Inside Sales</v>
      </c>
      <c r="R2616" t="str">
        <f>_xlfn.XLOOKUP(Pipeline_tbl[[#This Row],[Rep_ID]],Dim_Reps!A:A,Dim_Reps!E:E)</f>
        <v>NAMER</v>
      </c>
      <c r="S2616" t="str">
        <f>_xlfn.XLOOKUP(Pipeline_tbl[[#This Row],[Created_Date]],Dim_Date!A:A,Dim_Date!H:H)</f>
        <v>May 2024</v>
      </c>
      <c r="T2616" t="str">
        <f>IF(Pipeline_tbl[[#This Row],[Closed_Date]]=0,"",(_xlfn.XLOOKUP(Pipeline_tbl[[#This Row],[Closed_Date]],Dim_Date!A:A,Dim_Date!H:H)))</f>
        <v>May 2024</v>
      </c>
      <c r="U2616">
        <f>IF(Pipeline_tbl[[#This Row],[Closed_Date]]=0,"",Pipeline_tbl[[#This Row],[Closed_Date]]-Pipeline_tbl[[#This Row],[Created_Date]])</f>
        <v>9</v>
      </c>
    </row>
    <row r="2617" spans="1:21" ht="15" customHeight="1" x14ac:dyDescent="0.2">
      <c r="A2617" t="s">
        <v>2923</v>
      </c>
      <c r="B2617" t="s">
        <v>229</v>
      </c>
      <c r="C2617" t="s">
        <v>52</v>
      </c>
      <c r="D2617" s="49">
        <v>45419</v>
      </c>
      <c r="E2617" s="49">
        <v>45421</v>
      </c>
      <c r="F2617" s="49">
        <v>45425</v>
      </c>
      <c r="G2617" s="49">
        <v>45432</v>
      </c>
      <c r="H2617" s="49">
        <v>45437</v>
      </c>
      <c r="I2617" s="49">
        <v>45440</v>
      </c>
      <c r="J2617" t="s">
        <v>47</v>
      </c>
      <c r="K2617" s="33">
        <v>4300</v>
      </c>
      <c r="M2617" t="str">
        <f>_xlfn.XLOOKUP(Pipeline_tbl[[#This Row],[Rep_ID]],Dim_Reps!A:A,Dim_Reps!K:K)</f>
        <v>USD</v>
      </c>
      <c r="N2617" s="33">
        <f>(_xlfn.XLOOKUP(Pipeline_tbl[[#This Row],[Rate_Code_Generalized]],Lookups!A:A,Lookups!B:B))*Pipeline_tbl[[#This Row],[Pipeline_Amount_USD]]</f>
        <v>5006.49</v>
      </c>
      <c r="O2617" t="str">
        <f>_xlfn.XLOOKUP(Pipeline_tbl[[#This Row],[Rep_ID]],Dim_Reps!A:A,Dim_Reps!B:B)</f>
        <v>Liam Castro</v>
      </c>
      <c r="P2617" t="str">
        <f>_xlfn.XLOOKUP(Pipeline_tbl[[#This Row],[Rep_ID]],Dim_Reps!A:A,Dim_Reps!C:C)</f>
        <v>SDR / Inside Sales Rep</v>
      </c>
      <c r="Q2617" t="str">
        <f>_xlfn.XLOOKUP(Pipeline_tbl[[#This Row],[Rep_ID]],Dim_Reps!A:A,Dim_Reps!D:D)</f>
        <v>Inside Sales</v>
      </c>
      <c r="R2617" t="str">
        <f>_xlfn.XLOOKUP(Pipeline_tbl[[#This Row],[Rep_ID]],Dim_Reps!A:A,Dim_Reps!E:E)</f>
        <v>NAMER</v>
      </c>
      <c r="S2617" t="str">
        <f>_xlfn.XLOOKUP(Pipeline_tbl[[#This Row],[Created_Date]],Dim_Date!A:A,Dim_Date!H:H)</f>
        <v>May 2024</v>
      </c>
      <c r="T2617" t="str">
        <f>IF(Pipeline_tbl[[#This Row],[Closed_Date]]=0,"",(_xlfn.XLOOKUP(Pipeline_tbl[[#This Row],[Closed_Date]],Dim_Date!A:A,Dim_Date!H:H)))</f>
        <v>May 2024</v>
      </c>
      <c r="U2617">
        <f>IF(Pipeline_tbl[[#This Row],[Closed_Date]]=0,"",Pipeline_tbl[[#This Row],[Closed_Date]]-Pipeline_tbl[[#This Row],[Created_Date]])</f>
        <v>21</v>
      </c>
    </row>
    <row r="2618" spans="1:21" ht="15" customHeight="1" x14ac:dyDescent="0.2">
      <c r="A2618" t="s">
        <v>2924</v>
      </c>
      <c r="B2618" t="s">
        <v>229</v>
      </c>
      <c r="C2618" t="s">
        <v>53</v>
      </c>
      <c r="D2618" s="49">
        <v>45415</v>
      </c>
      <c r="E2618" s="49">
        <v>45417</v>
      </c>
      <c r="F2618" s="49">
        <v>45421</v>
      </c>
      <c r="G2618" s="49">
        <v>45426</v>
      </c>
      <c r="I2618" s="49">
        <v>45434</v>
      </c>
      <c r="J2618" t="s">
        <v>49</v>
      </c>
      <c r="K2618" s="33">
        <v>2500</v>
      </c>
      <c r="L2618" t="s">
        <v>60</v>
      </c>
      <c r="M2618" t="str">
        <f>_xlfn.XLOOKUP(Pipeline_tbl[[#This Row],[Rep_ID]],Dim_Reps!A:A,Dim_Reps!K:K)</f>
        <v>USD</v>
      </c>
      <c r="N2618" s="33">
        <f>(_xlfn.XLOOKUP(Pipeline_tbl[[#This Row],[Rate_Code_Generalized]],Lookups!A:A,Lookups!B:B))*Pipeline_tbl[[#This Row],[Pipeline_Amount_USD]]</f>
        <v>2910.7499999999995</v>
      </c>
      <c r="O2618" t="str">
        <f>_xlfn.XLOOKUP(Pipeline_tbl[[#This Row],[Rep_ID]],Dim_Reps!A:A,Dim_Reps!B:B)</f>
        <v>Liam Castro</v>
      </c>
      <c r="P2618" t="str">
        <f>_xlfn.XLOOKUP(Pipeline_tbl[[#This Row],[Rep_ID]],Dim_Reps!A:A,Dim_Reps!C:C)</f>
        <v>SDR / Inside Sales Rep</v>
      </c>
      <c r="Q2618" t="str">
        <f>_xlfn.XLOOKUP(Pipeline_tbl[[#This Row],[Rep_ID]],Dim_Reps!A:A,Dim_Reps!D:D)</f>
        <v>Inside Sales</v>
      </c>
      <c r="R2618" t="str">
        <f>_xlfn.XLOOKUP(Pipeline_tbl[[#This Row],[Rep_ID]],Dim_Reps!A:A,Dim_Reps!E:E)</f>
        <v>NAMER</v>
      </c>
      <c r="S2618" t="str">
        <f>_xlfn.XLOOKUP(Pipeline_tbl[[#This Row],[Created_Date]],Dim_Date!A:A,Dim_Date!H:H)</f>
        <v>May 2024</v>
      </c>
      <c r="T2618" t="str">
        <f>IF(Pipeline_tbl[[#This Row],[Closed_Date]]=0,"",(_xlfn.XLOOKUP(Pipeline_tbl[[#This Row],[Closed_Date]],Dim_Date!A:A,Dim_Date!H:H)))</f>
        <v>May 2024</v>
      </c>
      <c r="U2618">
        <f>IF(Pipeline_tbl[[#This Row],[Closed_Date]]=0,"",Pipeline_tbl[[#This Row],[Closed_Date]]-Pipeline_tbl[[#This Row],[Created_Date]])</f>
        <v>19</v>
      </c>
    </row>
    <row r="2619" spans="1:21" ht="15" customHeight="1" x14ac:dyDescent="0.2">
      <c r="A2619" t="s">
        <v>2925</v>
      </c>
      <c r="B2619" t="s">
        <v>229</v>
      </c>
      <c r="C2619" t="s">
        <v>52</v>
      </c>
      <c r="D2619" s="49">
        <v>45416</v>
      </c>
      <c r="E2619" s="49">
        <v>45418</v>
      </c>
      <c r="F2619" s="49">
        <v>45422</v>
      </c>
      <c r="G2619" s="49">
        <v>45429</v>
      </c>
      <c r="I2619" s="49">
        <v>45437</v>
      </c>
      <c r="J2619" t="s">
        <v>49</v>
      </c>
      <c r="K2619" s="33">
        <v>7400</v>
      </c>
      <c r="L2619" t="s">
        <v>61</v>
      </c>
      <c r="M2619" t="str">
        <f>_xlfn.XLOOKUP(Pipeline_tbl[[#This Row],[Rep_ID]],Dim_Reps!A:A,Dim_Reps!K:K)</f>
        <v>USD</v>
      </c>
      <c r="N2619" s="33">
        <f>(_xlfn.XLOOKUP(Pipeline_tbl[[#This Row],[Rate_Code_Generalized]],Lookups!A:A,Lookups!B:B))*Pipeline_tbl[[#This Row],[Pipeline_Amount_USD]]</f>
        <v>8615.82</v>
      </c>
      <c r="O2619" t="str">
        <f>_xlfn.XLOOKUP(Pipeline_tbl[[#This Row],[Rep_ID]],Dim_Reps!A:A,Dim_Reps!B:B)</f>
        <v>Liam Castro</v>
      </c>
      <c r="P2619" t="str">
        <f>_xlfn.XLOOKUP(Pipeline_tbl[[#This Row],[Rep_ID]],Dim_Reps!A:A,Dim_Reps!C:C)</f>
        <v>SDR / Inside Sales Rep</v>
      </c>
      <c r="Q2619" t="str">
        <f>_xlfn.XLOOKUP(Pipeline_tbl[[#This Row],[Rep_ID]],Dim_Reps!A:A,Dim_Reps!D:D)</f>
        <v>Inside Sales</v>
      </c>
      <c r="R2619" t="str">
        <f>_xlfn.XLOOKUP(Pipeline_tbl[[#This Row],[Rep_ID]],Dim_Reps!A:A,Dim_Reps!E:E)</f>
        <v>NAMER</v>
      </c>
      <c r="S2619" t="str">
        <f>_xlfn.XLOOKUP(Pipeline_tbl[[#This Row],[Created_Date]],Dim_Date!A:A,Dim_Date!H:H)</f>
        <v>May 2024</v>
      </c>
      <c r="T2619" t="str">
        <f>IF(Pipeline_tbl[[#This Row],[Closed_Date]]=0,"",(_xlfn.XLOOKUP(Pipeline_tbl[[#This Row],[Closed_Date]],Dim_Date!A:A,Dim_Date!H:H)))</f>
        <v>May 2024</v>
      </c>
      <c r="U2619">
        <f>IF(Pipeline_tbl[[#This Row],[Closed_Date]]=0,"",Pipeline_tbl[[#This Row],[Closed_Date]]-Pipeline_tbl[[#This Row],[Created_Date]])</f>
        <v>21</v>
      </c>
    </row>
    <row r="2620" spans="1:21" ht="15" customHeight="1" x14ac:dyDescent="0.2">
      <c r="A2620" t="s">
        <v>2926</v>
      </c>
      <c r="B2620" t="s">
        <v>229</v>
      </c>
      <c r="C2620" t="s">
        <v>52</v>
      </c>
      <c r="D2620" s="49">
        <v>45417</v>
      </c>
      <c r="E2620" s="49">
        <v>45419</v>
      </c>
      <c r="F2620" s="49">
        <v>45422</v>
      </c>
      <c r="I2620" s="49">
        <v>45434</v>
      </c>
      <c r="J2620" t="s">
        <v>49</v>
      </c>
      <c r="K2620" s="33">
        <v>5300</v>
      </c>
      <c r="L2620" t="s">
        <v>62</v>
      </c>
      <c r="M2620" t="str">
        <f>_xlfn.XLOOKUP(Pipeline_tbl[[#This Row],[Rep_ID]],Dim_Reps!A:A,Dim_Reps!K:K)</f>
        <v>USD</v>
      </c>
      <c r="N2620" s="33">
        <f>(_xlfn.XLOOKUP(Pipeline_tbl[[#This Row],[Rate_Code_Generalized]],Lookups!A:A,Lookups!B:B))*Pipeline_tbl[[#This Row],[Pipeline_Amount_USD]]</f>
        <v>6170.7899999999991</v>
      </c>
      <c r="O2620" t="str">
        <f>_xlfn.XLOOKUP(Pipeline_tbl[[#This Row],[Rep_ID]],Dim_Reps!A:A,Dim_Reps!B:B)</f>
        <v>Liam Castro</v>
      </c>
      <c r="P2620" t="str">
        <f>_xlfn.XLOOKUP(Pipeline_tbl[[#This Row],[Rep_ID]],Dim_Reps!A:A,Dim_Reps!C:C)</f>
        <v>SDR / Inside Sales Rep</v>
      </c>
      <c r="Q2620" t="str">
        <f>_xlfn.XLOOKUP(Pipeline_tbl[[#This Row],[Rep_ID]],Dim_Reps!A:A,Dim_Reps!D:D)</f>
        <v>Inside Sales</v>
      </c>
      <c r="R2620" t="str">
        <f>_xlfn.XLOOKUP(Pipeline_tbl[[#This Row],[Rep_ID]],Dim_Reps!A:A,Dim_Reps!E:E)</f>
        <v>NAMER</v>
      </c>
      <c r="S2620" t="str">
        <f>_xlfn.XLOOKUP(Pipeline_tbl[[#This Row],[Created_Date]],Dim_Date!A:A,Dim_Date!H:H)</f>
        <v>May 2024</v>
      </c>
      <c r="T2620" t="str">
        <f>IF(Pipeline_tbl[[#This Row],[Closed_Date]]=0,"",(_xlfn.XLOOKUP(Pipeline_tbl[[#This Row],[Closed_Date]],Dim_Date!A:A,Dim_Date!H:H)))</f>
        <v>May 2024</v>
      </c>
      <c r="U2620">
        <f>IF(Pipeline_tbl[[#This Row],[Closed_Date]]=0,"",Pipeline_tbl[[#This Row],[Closed_Date]]-Pipeline_tbl[[#This Row],[Created_Date]])</f>
        <v>17</v>
      </c>
    </row>
    <row r="2621" spans="1:21" ht="15" customHeight="1" x14ac:dyDescent="0.2">
      <c r="A2621" t="s">
        <v>2927</v>
      </c>
      <c r="B2621" t="s">
        <v>231</v>
      </c>
      <c r="C2621" t="s">
        <v>55</v>
      </c>
      <c r="D2621" s="49">
        <v>45423</v>
      </c>
      <c r="E2621" s="49">
        <v>45425</v>
      </c>
      <c r="F2621" s="49">
        <v>45428</v>
      </c>
      <c r="I2621" s="49">
        <v>45440</v>
      </c>
      <c r="J2621" t="s">
        <v>49</v>
      </c>
      <c r="K2621" s="33">
        <v>2100</v>
      </c>
      <c r="L2621" t="s">
        <v>60</v>
      </c>
      <c r="M2621" t="str">
        <f>_xlfn.XLOOKUP(Pipeline_tbl[[#This Row],[Rep_ID]],Dim_Reps!A:A,Dim_Reps!K:K)</f>
        <v>MXN</v>
      </c>
      <c r="N2621" s="33">
        <f>(_xlfn.XLOOKUP(Pipeline_tbl[[#This Row],[Rate_Code_Generalized]],Lookups!A:A,Lookups!B:B))*Pipeline_tbl[[#This Row],[Pipeline_Amount_USD]]</f>
        <v>41438.670000000006</v>
      </c>
      <c r="O2621" t="str">
        <f>_xlfn.XLOOKUP(Pipeline_tbl[[#This Row],[Rep_ID]],Dim_Reps!A:A,Dim_Reps!B:B)</f>
        <v>Ben Silva</v>
      </c>
      <c r="P2621" t="str">
        <f>_xlfn.XLOOKUP(Pipeline_tbl[[#This Row],[Rep_ID]],Dim_Reps!A:A,Dim_Reps!C:C)</f>
        <v>SDR / Inside Sales Rep</v>
      </c>
      <c r="Q2621" t="str">
        <f>_xlfn.XLOOKUP(Pipeline_tbl[[#This Row],[Rep_ID]],Dim_Reps!A:A,Dim_Reps!D:D)</f>
        <v>Inside Sales</v>
      </c>
      <c r="R2621" t="str">
        <f>_xlfn.XLOOKUP(Pipeline_tbl[[#This Row],[Rep_ID]],Dim_Reps!A:A,Dim_Reps!E:E)</f>
        <v>LATAM</v>
      </c>
      <c r="S2621" t="str">
        <f>_xlfn.XLOOKUP(Pipeline_tbl[[#This Row],[Created_Date]],Dim_Date!A:A,Dim_Date!H:H)</f>
        <v>May 2024</v>
      </c>
      <c r="T2621" t="str">
        <f>IF(Pipeline_tbl[[#This Row],[Closed_Date]]=0,"",(_xlfn.XLOOKUP(Pipeline_tbl[[#This Row],[Closed_Date]],Dim_Date!A:A,Dim_Date!H:H)))</f>
        <v>May 2024</v>
      </c>
      <c r="U2621">
        <f>IF(Pipeline_tbl[[#This Row],[Closed_Date]]=0,"",Pipeline_tbl[[#This Row],[Closed_Date]]-Pipeline_tbl[[#This Row],[Created_Date]])</f>
        <v>17</v>
      </c>
    </row>
    <row r="2622" spans="1:21" ht="15" customHeight="1" x14ac:dyDescent="0.2">
      <c r="A2622" t="s">
        <v>2928</v>
      </c>
      <c r="B2622" t="s">
        <v>231</v>
      </c>
      <c r="C2622" t="s">
        <v>56</v>
      </c>
      <c r="D2622" s="49">
        <v>45421</v>
      </c>
      <c r="E2622" s="49">
        <v>45423</v>
      </c>
      <c r="F2622" s="49">
        <v>45426</v>
      </c>
      <c r="I2622" s="49">
        <v>45438</v>
      </c>
      <c r="J2622" t="s">
        <v>49</v>
      </c>
      <c r="K2622" s="33">
        <v>2900</v>
      </c>
      <c r="L2622" t="s">
        <v>63</v>
      </c>
      <c r="M2622" t="str">
        <f>_xlfn.XLOOKUP(Pipeline_tbl[[#This Row],[Rep_ID]],Dim_Reps!A:A,Dim_Reps!K:K)</f>
        <v>MXN</v>
      </c>
      <c r="N2622" s="33">
        <f>(_xlfn.XLOOKUP(Pipeline_tbl[[#This Row],[Rate_Code_Generalized]],Lookups!A:A,Lookups!B:B))*Pipeline_tbl[[#This Row],[Pipeline_Amount_USD]]</f>
        <v>57224.83</v>
      </c>
      <c r="O2622" t="str">
        <f>_xlfn.XLOOKUP(Pipeline_tbl[[#This Row],[Rep_ID]],Dim_Reps!A:A,Dim_Reps!B:B)</f>
        <v>Ben Silva</v>
      </c>
      <c r="P2622" t="str">
        <f>_xlfn.XLOOKUP(Pipeline_tbl[[#This Row],[Rep_ID]],Dim_Reps!A:A,Dim_Reps!C:C)</f>
        <v>SDR / Inside Sales Rep</v>
      </c>
      <c r="Q2622" t="str">
        <f>_xlfn.XLOOKUP(Pipeline_tbl[[#This Row],[Rep_ID]],Dim_Reps!A:A,Dim_Reps!D:D)</f>
        <v>Inside Sales</v>
      </c>
      <c r="R2622" t="str">
        <f>_xlfn.XLOOKUP(Pipeline_tbl[[#This Row],[Rep_ID]],Dim_Reps!A:A,Dim_Reps!E:E)</f>
        <v>LATAM</v>
      </c>
      <c r="S2622" t="str">
        <f>_xlfn.XLOOKUP(Pipeline_tbl[[#This Row],[Created_Date]],Dim_Date!A:A,Dim_Date!H:H)</f>
        <v>May 2024</v>
      </c>
      <c r="T2622" t="str">
        <f>IF(Pipeline_tbl[[#This Row],[Closed_Date]]=0,"",(_xlfn.XLOOKUP(Pipeline_tbl[[#This Row],[Closed_Date]],Dim_Date!A:A,Dim_Date!H:H)))</f>
        <v>May 2024</v>
      </c>
      <c r="U2622">
        <f>IF(Pipeline_tbl[[#This Row],[Closed_Date]]=0,"",Pipeline_tbl[[#This Row],[Closed_Date]]-Pipeline_tbl[[#This Row],[Created_Date]])</f>
        <v>17</v>
      </c>
    </row>
    <row r="2623" spans="1:21" ht="15" customHeight="1" x14ac:dyDescent="0.2">
      <c r="A2623" t="s">
        <v>2929</v>
      </c>
      <c r="B2623" t="s">
        <v>231</v>
      </c>
      <c r="C2623" t="s">
        <v>53</v>
      </c>
      <c r="D2623" s="49">
        <v>45415</v>
      </c>
      <c r="E2623" s="49">
        <v>45417</v>
      </c>
      <c r="F2623" s="49">
        <v>45420</v>
      </c>
      <c r="G2623" s="49">
        <v>45425</v>
      </c>
      <c r="I2623" s="49">
        <v>45432</v>
      </c>
      <c r="J2623" t="s">
        <v>49</v>
      </c>
      <c r="K2623" s="33">
        <v>2900</v>
      </c>
      <c r="L2623" t="s">
        <v>60</v>
      </c>
      <c r="M2623" t="str">
        <f>_xlfn.XLOOKUP(Pipeline_tbl[[#This Row],[Rep_ID]],Dim_Reps!A:A,Dim_Reps!K:K)</f>
        <v>MXN</v>
      </c>
      <c r="N2623" s="33">
        <f>(_xlfn.XLOOKUP(Pipeline_tbl[[#This Row],[Rate_Code_Generalized]],Lookups!A:A,Lookups!B:B))*Pipeline_tbl[[#This Row],[Pipeline_Amount_USD]]</f>
        <v>57224.83</v>
      </c>
      <c r="O2623" t="str">
        <f>_xlfn.XLOOKUP(Pipeline_tbl[[#This Row],[Rep_ID]],Dim_Reps!A:A,Dim_Reps!B:B)</f>
        <v>Ben Silva</v>
      </c>
      <c r="P2623" t="str">
        <f>_xlfn.XLOOKUP(Pipeline_tbl[[#This Row],[Rep_ID]],Dim_Reps!A:A,Dim_Reps!C:C)</f>
        <v>SDR / Inside Sales Rep</v>
      </c>
      <c r="Q2623" t="str">
        <f>_xlfn.XLOOKUP(Pipeline_tbl[[#This Row],[Rep_ID]],Dim_Reps!A:A,Dim_Reps!D:D)</f>
        <v>Inside Sales</v>
      </c>
      <c r="R2623" t="str">
        <f>_xlfn.XLOOKUP(Pipeline_tbl[[#This Row],[Rep_ID]],Dim_Reps!A:A,Dim_Reps!E:E)</f>
        <v>LATAM</v>
      </c>
      <c r="S2623" t="str">
        <f>_xlfn.XLOOKUP(Pipeline_tbl[[#This Row],[Created_Date]],Dim_Date!A:A,Dim_Date!H:H)</f>
        <v>May 2024</v>
      </c>
      <c r="T2623" t="str">
        <f>IF(Pipeline_tbl[[#This Row],[Closed_Date]]=0,"",(_xlfn.XLOOKUP(Pipeline_tbl[[#This Row],[Closed_Date]],Dim_Date!A:A,Dim_Date!H:H)))</f>
        <v>May 2024</v>
      </c>
      <c r="U2623">
        <f>IF(Pipeline_tbl[[#This Row],[Closed_Date]]=0,"",Pipeline_tbl[[#This Row],[Closed_Date]]-Pipeline_tbl[[#This Row],[Created_Date]])</f>
        <v>17</v>
      </c>
    </row>
    <row r="2624" spans="1:21" ht="15" customHeight="1" x14ac:dyDescent="0.2">
      <c r="A2624" t="s">
        <v>2930</v>
      </c>
      <c r="B2624" t="s">
        <v>233</v>
      </c>
      <c r="C2624" t="s">
        <v>52</v>
      </c>
      <c r="D2624" s="49">
        <v>45416</v>
      </c>
      <c r="E2624" s="49">
        <v>45417</v>
      </c>
      <c r="F2624" s="49">
        <v>45418</v>
      </c>
      <c r="G2624" s="49">
        <v>45420</v>
      </c>
      <c r="H2624" s="49">
        <v>45422</v>
      </c>
      <c r="I2624" s="49">
        <v>45423</v>
      </c>
      <c r="J2624" t="s">
        <v>47</v>
      </c>
      <c r="K2624" s="33">
        <v>4900</v>
      </c>
      <c r="M2624" t="str">
        <f>_xlfn.XLOOKUP(Pipeline_tbl[[#This Row],[Rep_ID]],Dim_Reps!A:A,Dim_Reps!K:K)</f>
        <v>MXN</v>
      </c>
      <c r="N2624" s="33">
        <f>(_xlfn.XLOOKUP(Pipeline_tbl[[#This Row],[Rate_Code_Generalized]],Lookups!A:A,Lookups!B:B))*Pipeline_tbl[[#This Row],[Pipeline_Amount_USD]]</f>
        <v>96690.23000000001</v>
      </c>
      <c r="O2624" t="str">
        <f>_xlfn.XLOOKUP(Pipeline_tbl[[#This Row],[Rep_ID]],Dim_Reps!A:A,Dim_Reps!B:B)</f>
        <v>Lucas Duarte</v>
      </c>
      <c r="P2624" t="str">
        <f>_xlfn.XLOOKUP(Pipeline_tbl[[#This Row],[Rep_ID]],Dim_Reps!A:A,Dim_Reps!C:C)</f>
        <v>SDR / Inside Sales Rep</v>
      </c>
      <c r="Q2624" t="str">
        <f>_xlfn.XLOOKUP(Pipeline_tbl[[#This Row],[Rep_ID]],Dim_Reps!A:A,Dim_Reps!D:D)</f>
        <v>Inside Sales</v>
      </c>
      <c r="R2624" t="str">
        <f>_xlfn.XLOOKUP(Pipeline_tbl[[#This Row],[Rep_ID]],Dim_Reps!A:A,Dim_Reps!E:E)</f>
        <v>LATAM</v>
      </c>
      <c r="S2624" t="str">
        <f>_xlfn.XLOOKUP(Pipeline_tbl[[#This Row],[Created_Date]],Dim_Date!A:A,Dim_Date!H:H)</f>
        <v>May 2024</v>
      </c>
      <c r="T2624" t="str">
        <f>IF(Pipeline_tbl[[#This Row],[Closed_Date]]=0,"",(_xlfn.XLOOKUP(Pipeline_tbl[[#This Row],[Closed_Date]],Dim_Date!A:A,Dim_Date!H:H)))</f>
        <v>May 2024</v>
      </c>
      <c r="U2624">
        <f>IF(Pipeline_tbl[[#This Row],[Closed_Date]]=0,"",Pipeline_tbl[[#This Row],[Closed_Date]]-Pipeline_tbl[[#This Row],[Created_Date]])</f>
        <v>7</v>
      </c>
    </row>
    <row r="2625" spans="1:21" ht="15" customHeight="1" x14ac:dyDescent="0.2">
      <c r="A2625" t="s">
        <v>2931</v>
      </c>
      <c r="B2625" t="s">
        <v>233</v>
      </c>
      <c r="C2625" t="s">
        <v>53</v>
      </c>
      <c r="D2625" s="49">
        <v>45420</v>
      </c>
      <c r="E2625" s="49">
        <v>45422</v>
      </c>
      <c r="F2625" s="49">
        <v>45425</v>
      </c>
      <c r="I2625" s="49">
        <v>45435</v>
      </c>
      <c r="J2625" t="s">
        <v>49</v>
      </c>
      <c r="K2625" s="33">
        <v>9600</v>
      </c>
      <c r="L2625" t="s">
        <v>62</v>
      </c>
      <c r="M2625" t="str">
        <f>_xlfn.XLOOKUP(Pipeline_tbl[[#This Row],[Rep_ID]],Dim_Reps!A:A,Dim_Reps!K:K)</f>
        <v>MXN</v>
      </c>
      <c r="N2625" s="33">
        <f>(_xlfn.XLOOKUP(Pipeline_tbl[[#This Row],[Rate_Code_Generalized]],Lookups!A:A,Lookups!B:B))*Pipeline_tbl[[#This Row],[Pipeline_Amount_USD]]</f>
        <v>189433.92</v>
      </c>
      <c r="O2625" t="str">
        <f>_xlfn.XLOOKUP(Pipeline_tbl[[#This Row],[Rep_ID]],Dim_Reps!A:A,Dim_Reps!B:B)</f>
        <v>Lucas Duarte</v>
      </c>
      <c r="P2625" t="str">
        <f>_xlfn.XLOOKUP(Pipeline_tbl[[#This Row],[Rep_ID]],Dim_Reps!A:A,Dim_Reps!C:C)</f>
        <v>SDR / Inside Sales Rep</v>
      </c>
      <c r="Q2625" t="str">
        <f>_xlfn.XLOOKUP(Pipeline_tbl[[#This Row],[Rep_ID]],Dim_Reps!A:A,Dim_Reps!D:D)</f>
        <v>Inside Sales</v>
      </c>
      <c r="R2625" t="str">
        <f>_xlfn.XLOOKUP(Pipeline_tbl[[#This Row],[Rep_ID]],Dim_Reps!A:A,Dim_Reps!E:E)</f>
        <v>LATAM</v>
      </c>
      <c r="S2625" t="str">
        <f>_xlfn.XLOOKUP(Pipeline_tbl[[#This Row],[Created_Date]],Dim_Date!A:A,Dim_Date!H:H)</f>
        <v>May 2024</v>
      </c>
      <c r="T2625" t="str">
        <f>IF(Pipeline_tbl[[#This Row],[Closed_Date]]=0,"",(_xlfn.XLOOKUP(Pipeline_tbl[[#This Row],[Closed_Date]],Dim_Date!A:A,Dim_Date!H:H)))</f>
        <v>May 2024</v>
      </c>
      <c r="U2625">
        <f>IF(Pipeline_tbl[[#This Row],[Closed_Date]]=0,"",Pipeline_tbl[[#This Row],[Closed_Date]]-Pipeline_tbl[[#This Row],[Created_Date]])</f>
        <v>15</v>
      </c>
    </row>
    <row r="2626" spans="1:21" ht="15" customHeight="1" x14ac:dyDescent="0.2">
      <c r="A2626" t="s">
        <v>2932</v>
      </c>
      <c r="B2626" t="s">
        <v>267</v>
      </c>
      <c r="C2626" t="s">
        <v>52</v>
      </c>
      <c r="D2626" s="49">
        <v>45413</v>
      </c>
      <c r="E2626" s="49">
        <v>45415</v>
      </c>
      <c r="F2626" s="49">
        <v>45420</v>
      </c>
      <c r="G2626" s="49">
        <v>45427</v>
      </c>
      <c r="H2626" s="49">
        <v>45433</v>
      </c>
      <c r="I2626" s="49">
        <v>45436</v>
      </c>
      <c r="J2626" t="s">
        <v>47</v>
      </c>
      <c r="K2626" s="33">
        <v>6300</v>
      </c>
      <c r="M2626" t="str">
        <f>_xlfn.XLOOKUP(Pipeline_tbl[[#This Row],[Rep_ID]],Dim_Reps!A:A,Dim_Reps!K:K)</f>
        <v>MXN</v>
      </c>
      <c r="N2626" s="33">
        <f>(_xlfn.XLOOKUP(Pipeline_tbl[[#This Row],[Rate_Code_Generalized]],Lookups!A:A,Lookups!B:B))*Pipeline_tbl[[#This Row],[Pipeline_Amount_USD]]</f>
        <v>124316.01000000001</v>
      </c>
      <c r="O2626" t="str">
        <f>_xlfn.XLOOKUP(Pipeline_tbl[[#This Row],[Rep_ID]],Dim_Reps!A:A,Dim_Reps!B:B)</f>
        <v>Yuki Dubois</v>
      </c>
      <c r="P2626" t="str">
        <f>_xlfn.XLOOKUP(Pipeline_tbl[[#This Row],[Rep_ID]],Dim_Reps!A:A,Dim_Reps!C:C)</f>
        <v>Mid-Market AE</v>
      </c>
      <c r="Q2626" t="str">
        <f>_xlfn.XLOOKUP(Pipeline_tbl[[#This Row],[Rep_ID]],Dim_Reps!A:A,Dim_Reps!D:D)</f>
        <v>Mid-Market</v>
      </c>
      <c r="R2626" t="str">
        <f>_xlfn.XLOOKUP(Pipeline_tbl[[#This Row],[Rep_ID]],Dim_Reps!A:A,Dim_Reps!E:E)</f>
        <v>LATAM</v>
      </c>
      <c r="S2626" t="str">
        <f>_xlfn.XLOOKUP(Pipeline_tbl[[#This Row],[Created_Date]],Dim_Date!A:A,Dim_Date!H:H)</f>
        <v>May 2024</v>
      </c>
      <c r="T2626" t="str">
        <f>IF(Pipeline_tbl[[#This Row],[Closed_Date]]=0,"",(_xlfn.XLOOKUP(Pipeline_tbl[[#This Row],[Closed_Date]],Dim_Date!A:A,Dim_Date!H:H)))</f>
        <v>May 2024</v>
      </c>
      <c r="U2626">
        <f>IF(Pipeline_tbl[[#This Row],[Closed_Date]]=0,"",Pipeline_tbl[[#This Row],[Closed_Date]]-Pipeline_tbl[[#This Row],[Created_Date]])</f>
        <v>23</v>
      </c>
    </row>
    <row r="2627" spans="1:21" ht="15" customHeight="1" x14ac:dyDescent="0.2">
      <c r="A2627" t="s">
        <v>2933</v>
      </c>
      <c r="B2627" t="s">
        <v>235</v>
      </c>
      <c r="C2627" t="s">
        <v>53</v>
      </c>
      <c r="D2627" s="49">
        <v>45424</v>
      </c>
      <c r="E2627" s="49">
        <v>45426</v>
      </c>
      <c r="F2627" s="49">
        <v>45429</v>
      </c>
      <c r="G2627" s="49">
        <v>45435</v>
      </c>
      <c r="H2627" s="49">
        <v>45439</v>
      </c>
      <c r="I2627" s="49">
        <v>45442</v>
      </c>
      <c r="J2627" t="s">
        <v>47</v>
      </c>
      <c r="K2627" s="33">
        <v>8700</v>
      </c>
      <c r="M2627" t="str">
        <f>_xlfn.XLOOKUP(Pipeline_tbl[[#This Row],[Rep_ID]],Dim_Reps!A:A,Dim_Reps!K:K)</f>
        <v>MXN</v>
      </c>
      <c r="N2627" s="33">
        <f>(_xlfn.XLOOKUP(Pipeline_tbl[[#This Row],[Rate_Code_Generalized]],Lookups!A:A,Lookups!B:B))*Pipeline_tbl[[#This Row],[Pipeline_Amount_USD]]</f>
        <v>171674.49000000002</v>
      </c>
      <c r="O2627" t="str">
        <f>_xlfn.XLOOKUP(Pipeline_tbl[[#This Row],[Rep_ID]],Dim_Reps!A:A,Dim_Reps!B:B)</f>
        <v>Milo Castro</v>
      </c>
      <c r="P2627" t="str">
        <f>_xlfn.XLOOKUP(Pipeline_tbl[[#This Row],[Rep_ID]],Dim_Reps!A:A,Dim_Reps!C:C)</f>
        <v>SDR / Inside Sales Rep</v>
      </c>
      <c r="Q2627" t="str">
        <f>_xlfn.XLOOKUP(Pipeline_tbl[[#This Row],[Rep_ID]],Dim_Reps!A:A,Dim_Reps!D:D)</f>
        <v>Inside Sales</v>
      </c>
      <c r="R2627" t="str">
        <f>_xlfn.XLOOKUP(Pipeline_tbl[[#This Row],[Rep_ID]],Dim_Reps!A:A,Dim_Reps!E:E)</f>
        <v>LATAM</v>
      </c>
      <c r="S2627" t="str">
        <f>_xlfn.XLOOKUP(Pipeline_tbl[[#This Row],[Created_Date]],Dim_Date!A:A,Dim_Date!H:H)</f>
        <v>May 2024</v>
      </c>
      <c r="T2627" t="str">
        <f>IF(Pipeline_tbl[[#This Row],[Closed_Date]]=0,"",(_xlfn.XLOOKUP(Pipeline_tbl[[#This Row],[Closed_Date]],Dim_Date!A:A,Dim_Date!H:H)))</f>
        <v>May 2024</v>
      </c>
      <c r="U2627">
        <f>IF(Pipeline_tbl[[#This Row],[Closed_Date]]=0,"",Pipeline_tbl[[#This Row],[Closed_Date]]-Pipeline_tbl[[#This Row],[Created_Date]])</f>
        <v>18</v>
      </c>
    </row>
    <row r="2628" spans="1:21" ht="15" customHeight="1" x14ac:dyDescent="0.2">
      <c r="A2628" t="s">
        <v>2934</v>
      </c>
      <c r="B2628" t="s">
        <v>235</v>
      </c>
      <c r="C2628" t="s">
        <v>52</v>
      </c>
      <c r="D2628" s="49">
        <v>45427</v>
      </c>
      <c r="E2628" s="49">
        <v>45428</v>
      </c>
      <c r="F2628" s="49">
        <v>45431</v>
      </c>
      <c r="G2628" s="49">
        <v>45435</v>
      </c>
      <c r="H2628" s="49">
        <v>45439</v>
      </c>
      <c r="I2628" s="49">
        <v>45441</v>
      </c>
      <c r="J2628" t="s">
        <v>47</v>
      </c>
      <c r="K2628" s="33">
        <v>5300</v>
      </c>
      <c r="M2628" t="str">
        <f>_xlfn.XLOOKUP(Pipeline_tbl[[#This Row],[Rep_ID]],Dim_Reps!A:A,Dim_Reps!K:K)</f>
        <v>MXN</v>
      </c>
      <c r="N2628" s="33">
        <f>(_xlfn.XLOOKUP(Pipeline_tbl[[#This Row],[Rate_Code_Generalized]],Lookups!A:A,Lookups!B:B))*Pipeline_tbl[[#This Row],[Pipeline_Amount_USD]]</f>
        <v>104583.31000000001</v>
      </c>
      <c r="O2628" t="str">
        <f>_xlfn.XLOOKUP(Pipeline_tbl[[#This Row],[Rep_ID]],Dim_Reps!A:A,Dim_Reps!B:B)</f>
        <v>Milo Castro</v>
      </c>
      <c r="P2628" t="str">
        <f>_xlfn.XLOOKUP(Pipeline_tbl[[#This Row],[Rep_ID]],Dim_Reps!A:A,Dim_Reps!C:C)</f>
        <v>SDR / Inside Sales Rep</v>
      </c>
      <c r="Q2628" t="str">
        <f>_xlfn.XLOOKUP(Pipeline_tbl[[#This Row],[Rep_ID]],Dim_Reps!A:A,Dim_Reps!D:D)</f>
        <v>Inside Sales</v>
      </c>
      <c r="R2628" t="str">
        <f>_xlfn.XLOOKUP(Pipeline_tbl[[#This Row],[Rep_ID]],Dim_Reps!A:A,Dim_Reps!E:E)</f>
        <v>LATAM</v>
      </c>
      <c r="S2628" t="str">
        <f>_xlfn.XLOOKUP(Pipeline_tbl[[#This Row],[Created_Date]],Dim_Date!A:A,Dim_Date!H:H)</f>
        <v>May 2024</v>
      </c>
      <c r="T2628" t="str">
        <f>IF(Pipeline_tbl[[#This Row],[Closed_Date]]=0,"",(_xlfn.XLOOKUP(Pipeline_tbl[[#This Row],[Closed_Date]],Dim_Date!A:A,Dim_Date!H:H)))</f>
        <v>May 2024</v>
      </c>
      <c r="U2628">
        <f>IF(Pipeline_tbl[[#This Row],[Closed_Date]]=0,"",Pipeline_tbl[[#This Row],[Closed_Date]]-Pipeline_tbl[[#This Row],[Created_Date]])</f>
        <v>14</v>
      </c>
    </row>
    <row r="2629" spans="1:21" ht="15" customHeight="1" x14ac:dyDescent="0.2">
      <c r="A2629" t="s">
        <v>2935</v>
      </c>
      <c r="B2629" t="s">
        <v>235</v>
      </c>
      <c r="C2629" t="s">
        <v>53</v>
      </c>
      <c r="D2629" s="49">
        <v>45421</v>
      </c>
      <c r="E2629" s="49">
        <v>45422</v>
      </c>
      <c r="F2629" s="49">
        <v>45425</v>
      </c>
      <c r="G2629" s="49">
        <v>45429</v>
      </c>
      <c r="H2629" s="49">
        <v>45433</v>
      </c>
      <c r="I2629" s="49">
        <v>45435</v>
      </c>
      <c r="J2629" t="s">
        <v>47</v>
      </c>
      <c r="K2629" s="33">
        <v>3600</v>
      </c>
      <c r="M2629" t="str">
        <f>_xlfn.XLOOKUP(Pipeline_tbl[[#This Row],[Rep_ID]],Dim_Reps!A:A,Dim_Reps!K:K)</f>
        <v>MXN</v>
      </c>
      <c r="N2629" s="33">
        <f>(_xlfn.XLOOKUP(Pipeline_tbl[[#This Row],[Rate_Code_Generalized]],Lookups!A:A,Lookups!B:B))*Pipeline_tbl[[#This Row],[Pipeline_Amount_USD]]</f>
        <v>71037.72</v>
      </c>
      <c r="O2629" t="str">
        <f>_xlfn.XLOOKUP(Pipeline_tbl[[#This Row],[Rep_ID]],Dim_Reps!A:A,Dim_Reps!B:B)</f>
        <v>Milo Castro</v>
      </c>
      <c r="P2629" t="str">
        <f>_xlfn.XLOOKUP(Pipeline_tbl[[#This Row],[Rep_ID]],Dim_Reps!A:A,Dim_Reps!C:C)</f>
        <v>SDR / Inside Sales Rep</v>
      </c>
      <c r="Q2629" t="str">
        <f>_xlfn.XLOOKUP(Pipeline_tbl[[#This Row],[Rep_ID]],Dim_Reps!A:A,Dim_Reps!D:D)</f>
        <v>Inside Sales</v>
      </c>
      <c r="R2629" t="str">
        <f>_xlfn.XLOOKUP(Pipeline_tbl[[#This Row],[Rep_ID]],Dim_Reps!A:A,Dim_Reps!E:E)</f>
        <v>LATAM</v>
      </c>
      <c r="S2629" t="str">
        <f>_xlfn.XLOOKUP(Pipeline_tbl[[#This Row],[Created_Date]],Dim_Date!A:A,Dim_Date!H:H)</f>
        <v>May 2024</v>
      </c>
      <c r="T2629" t="str">
        <f>IF(Pipeline_tbl[[#This Row],[Closed_Date]]=0,"",(_xlfn.XLOOKUP(Pipeline_tbl[[#This Row],[Closed_Date]],Dim_Date!A:A,Dim_Date!H:H)))</f>
        <v>May 2024</v>
      </c>
      <c r="U2629">
        <f>IF(Pipeline_tbl[[#This Row],[Closed_Date]]=0,"",Pipeline_tbl[[#This Row],[Closed_Date]]-Pipeline_tbl[[#This Row],[Created_Date]])</f>
        <v>14</v>
      </c>
    </row>
    <row r="2630" spans="1:21" ht="15" customHeight="1" x14ac:dyDescent="0.2">
      <c r="A2630" t="s">
        <v>2936</v>
      </c>
      <c r="B2630" t="s">
        <v>235</v>
      </c>
      <c r="C2630" t="s">
        <v>52</v>
      </c>
      <c r="D2630" s="49">
        <v>45419</v>
      </c>
      <c r="E2630" s="49">
        <v>45420</v>
      </c>
      <c r="F2630" s="49">
        <v>45423</v>
      </c>
      <c r="G2630" s="49">
        <v>45427</v>
      </c>
      <c r="H2630" s="49">
        <v>45430</v>
      </c>
      <c r="I2630" s="49">
        <v>45432</v>
      </c>
      <c r="J2630" t="s">
        <v>47</v>
      </c>
      <c r="K2630" s="33">
        <v>3000</v>
      </c>
      <c r="M2630" t="str">
        <f>_xlfn.XLOOKUP(Pipeline_tbl[[#This Row],[Rep_ID]],Dim_Reps!A:A,Dim_Reps!K:K)</f>
        <v>MXN</v>
      </c>
      <c r="N2630" s="33">
        <f>(_xlfn.XLOOKUP(Pipeline_tbl[[#This Row],[Rate_Code_Generalized]],Lookups!A:A,Lookups!B:B))*Pipeline_tbl[[#This Row],[Pipeline_Amount_USD]]</f>
        <v>59198.100000000006</v>
      </c>
      <c r="O2630" t="str">
        <f>_xlfn.XLOOKUP(Pipeline_tbl[[#This Row],[Rep_ID]],Dim_Reps!A:A,Dim_Reps!B:B)</f>
        <v>Milo Castro</v>
      </c>
      <c r="P2630" t="str">
        <f>_xlfn.XLOOKUP(Pipeline_tbl[[#This Row],[Rep_ID]],Dim_Reps!A:A,Dim_Reps!C:C)</f>
        <v>SDR / Inside Sales Rep</v>
      </c>
      <c r="Q2630" t="str">
        <f>_xlfn.XLOOKUP(Pipeline_tbl[[#This Row],[Rep_ID]],Dim_Reps!A:A,Dim_Reps!D:D)</f>
        <v>Inside Sales</v>
      </c>
      <c r="R2630" t="str">
        <f>_xlfn.XLOOKUP(Pipeline_tbl[[#This Row],[Rep_ID]],Dim_Reps!A:A,Dim_Reps!E:E)</f>
        <v>LATAM</v>
      </c>
      <c r="S2630" t="str">
        <f>_xlfn.XLOOKUP(Pipeline_tbl[[#This Row],[Created_Date]],Dim_Date!A:A,Dim_Date!H:H)</f>
        <v>May 2024</v>
      </c>
      <c r="T2630" t="str">
        <f>IF(Pipeline_tbl[[#This Row],[Closed_Date]]=0,"",(_xlfn.XLOOKUP(Pipeline_tbl[[#This Row],[Closed_Date]],Dim_Date!A:A,Dim_Date!H:H)))</f>
        <v>May 2024</v>
      </c>
      <c r="U2630">
        <f>IF(Pipeline_tbl[[#This Row],[Closed_Date]]=0,"",Pipeline_tbl[[#This Row],[Closed_Date]]-Pipeline_tbl[[#This Row],[Created_Date]])</f>
        <v>13</v>
      </c>
    </row>
    <row r="2631" spans="1:21" ht="15" customHeight="1" x14ac:dyDescent="0.2">
      <c r="A2631" t="s">
        <v>2937</v>
      </c>
      <c r="B2631" t="s">
        <v>237</v>
      </c>
      <c r="C2631" t="s">
        <v>53</v>
      </c>
      <c r="D2631" s="49">
        <v>45413</v>
      </c>
      <c r="E2631" s="49">
        <v>45414</v>
      </c>
      <c r="F2631" s="49">
        <v>45417</v>
      </c>
      <c r="G2631" s="49">
        <v>45421</v>
      </c>
      <c r="H2631" s="49">
        <v>45424</v>
      </c>
      <c r="I2631" s="49">
        <v>45426</v>
      </c>
      <c r="J2631" t="s">
        <v>47</v>
      </c>
      <c r="K2631" s="33">
        <v>2700</v>
      </c>
      <c r="M2631" t="str">
        <f>_xlfn.XLOOKUP(Pipeline_tbl[[#This Row],[Rep_ID]],Dim_Reps!A:A,Dim_Reps!K:K)</f>
        <v>EUR</v>
      </c>
      <c r="N2631" s="33">
        <f>(_xlfn.XLOOKUP(Pipeline_tbl[[#This Row],[Rate_Code_Generalized]],Lookups!A:A,Lookups!B:B))*Pipeline_tbl[[#This Row],[Pipeline_Amount_USD]]</f>
        <v>2700</v>
      </c>
      <c r="O2631" t="str">
        <f>_xlfn.XLOOKUP(Pipeline_tbl[[#This Row],[Rep_ID]],Dim_Reps!A:A,Dim_Reps!B:B)</f>
        <v>Hugo Santos</v>
      </c>
      <c r="P2631" t="str">
        <f>_xlfn.XLOOKUP(Pipeline_tbl[[#This Row],[Rep_ID]],Dim_Reps!A:A,Dim_Reps!C:C)</f>
        <v>SDR / Inside Sales Rep</v>
      </c>
      <c r="Q2631" t="str">
        <f>_xlfn.XLOOKUP(Pipeline_tbl[[#This Row],[Rep_ID]],Dim_Reps!A:A,Dim_Reps!D:D)</f>
        <v>Inside Sales</v>
      </c>
      <c r="R2631" t="str">
        <f>_xlfn.XLOOKUP(Pipeline_tbl[[#This Row],[Rep_ID]],Dim_Reps!A:A,Dim_Reps!E:E)</f>
        <v>EMEA</v>
      </c>
      <c r="S2631" t="str">
        <f>_xlfn.XLOOKUP(Pipeline_tbl[[#This Row],[Created_Date]],Dim_Date!A:A,Dim_Date!H:H)</f>
        <v>May 2024</v>
      </c>
      <c r="T2631" t="str">
        <f>IF(Pipeline_tbl[[#This Row],[Closed_Date]]=0,"",(_xlfn.XLOOKUP(Pipeline_tbl[[#This Row],[Closed_Date]],Dim_Date!A:A,Dim_Date!H:H)))</f>
        <v>May 2024</v>
      </c>
      <c r="U2631">
        <f>IF(Pipeline_tbl[[#This Row],[Closed_Date]]=0,"",Pipeline_tbl[[#This Row],[Closed_Date]]-Pipeline_tbl[[#This Row],[Created_Date]])</f>
        <v>13</v>
      </c>
    </row>
    <row r="2632" spans="1:21" ht="15" customHeight="1" x14ac:dyDescent="0.2">
      <c r="A2632" t="s">
        <v>2938</v>
      </c>
      <c r="B2632" t="s">
        <v>237</v>
      </c>
      <c r="C2632" t="s">
        <v>52</v>
      </c>
      <c r="D2632" s="49">
        <v>45422</v>
      </c>
      <c r="E2632" s="49">
        <v>45424</v>
      </c>
      <c r="I2632" s="49">
        <v>45439</v>
      </c>
      <c r="J2632" t="s">
        <v>49</v>
      </c>
      <c r="K2632" s="33">
        <v>6200</v>
      </c>
      <c r="L2632" t="s">
        <v>60</v>
      </c>
      <c r="M2632" t="str">
        <f>_xlfn.XLOOKUP(Pipeline_tbl[[#This Row],[Rep_ID]],Dim_Reps!A:A,Dim_Reps!K:K)</f>
        <v>EUR</v>
      </c>
      <c r="N2632" s="33">
        <f>(_xlfn.XLOOKUP(Pipeline_tbl[[#This Row],[Rate_Code_Generalized]],Lookups!A:A,Lookups!B:B))*Pipeline_tbl[[#This Row],[Pipeline_Amount_USD]]</f>
        <v>6200</v>
      </c>
      <c r="O2632" t="str">
        <f>_xlfn.XLOOKUP(Pipeline_tbl[[#This Row],[Rep_ID]],Dim_Reps!A:A,Dim_Reps!B:B)</f>
        <v>Hugo Santos</v>
      </c>
      <c r="P2632" t="str">
        <f>_xlfn.XLOOKUP(Pipeline_tbl[[#This Row],[Rep_ID]],Dim_Reps!A:A,Dim_Reps!C:C)</f>
        <v>SDR / Inside Sales Rep</v>
      </c>
      <c r="Q2632" t="str">
        <f>_xlfn.XLOOKUP(Pipeline_tbl[[#This Row],[Rep_ID]],Dim_Reps!A:A,Dim_Reps!D:D)</f>
        <v>Inside Sales</v>
      </c>
      <c r="R2632" t="str">
        <f>_xlfn.XLOOKUP(Pipeline_tbl[[#This Row],[Rep_ID]],Dim_Reps!A:A,Dim_Reps!E:E)</f>
        <v>EMEA</v>
      </c>
      <c r="S2632" t="str">
        <f>_xlfn.XLOOKUP(Pipeline_tbl[[#This Row],[Created_Date]],Dim_Date!A:A,Dim_Date!H:H)</f>
        <v>May 2024</v>
      </c>
      <c r="T2632" t="str">
        <f>IF(Pipeline_tbl[[#This Row],[Closed_Date]]=0,"",(_xlfn.XLOOKUP(Pipeline_tbl[[#This Row],[Closed_Date]],Dim_Date!A:A,Dim_Date!H:H)))</f>
        <v>May 2024</v>
      </c>
      <c r="U2632">
        <f>IF(Pipeline_tbl[[#This Row],[Closed_Date]]=0,"",Pipeline_tbl[[#This Row],[Closed_Date]]-Pipeline_tbl[[#This Row],[Created_Date]])</f>
        <v>17</v>
      </c>
    </row>
    <row r="2633" spans="1:21" ht="15" customHeight="1" x14ac:dyDescent="0.2">
      <c r="A2633" t="s">
        <v>2939</v>
      </c>
      <c r="B2633" t="s">
        <v>237</v>
      </c>
      <c r="C2633" t="s">
        <v>53</v>
      </c>
      <c r="D2633" s="49">
        <v>45426</v>
      </c>
      <c r="E2633" s="49">
        <v>45428</v>
      </c>
      <c r="I2633" s="49">
        <v>45443</v>
      </c>
      <c r="J2633" t="s">
        <v>49</v>
      </c>
      <c r="K2633" s="33">
        <v>3900</v>
      </c>
      <c r="L2633" t="s">
        <v>63</v>
      </c>
      <c r="M2633" t="str">
        <f>_xlfn.XLOOKUP(Pipeline_tbl[[#This Row],[Rep_ID]],Dim_Reps!A:A,Dim_Reps!K:K)</f>
        <v>EUR</v>
      </c>
      <c r="N2633" s="33">
        <f>(_xlfn.XLOOKUP(Pipeline_tbl[[#This Row],[Rate_Code_Generalized]],Lookups!A:A,Lookups!B:B))*Pipeline_tbl[[#This Row],[Pipeline_Amount_USD]]</f>
        <v>3900</v>
      </c>
      <c r="O2633" t="str">
        <f>_xlfn.XLOOKUP(Pipeline_tbl[[#This Row],[Rep_ID]],Dim_Reps!A:A,Dim_Reps!B:B)</f>
        <v>Hugo Santos</v>
      </c>
      <c r="P2633" t="str">
        <f>_xlfn.XLOOKUP(Pipeline_tbl[[#This Row],[Rep_ID]],Dim_Reps!A:A,Dim_Reps!C:C)</f>
        <v>SDR / Inside Sales Rep</v>
      </c>
      <c r="Q2633" t="str">
        <f>_xlfn.XLOOKUP(Pipeline_tbl[[#This Row],[Rep_ID]],Dim_Reps!A:A,Dim_Reps!D:D)</f>
        <v>Inside Sales</v>
      </c>
      <c r="R2633" t="str">
        <f>_xlfn.XLOOKUP(Pipeline_tbl[[#This Row],[Rep_ID]],Dim_Reps!A:A,Dim_Reps!E:E)</f>
        <v>EMEA</v>
      </c>
      <c r="S2633" t="str">
        <f>_xlfn.XLOOKUP(Pipeline_tbl[[#This Row],[Created_Date]],Dim_Date!A:A,Dim_Date!H:H)</f>
        <v>May 2024</v>
      </c>
      <c r="T2633" t="str">
        <f>IF(Pipeline_tbl[[#This Row],[Closed_Date]]=0,"",(_xlfn.XLOOKUP(Pipeline_tbl[[#This Row],[Closed_Date]],Dim_Date!A:A,Dim_Date!H:H)))</f>
        <v>May 2024</v>
      </c>
      <c r="U2633">
        <f>IF(Pipeline_tbl[[#This Row],[Closed_Date]]=0,"",Pipeline_tbl[[#This Row],[Closed_Date]]-Pipeline_tbl[[#This Row],[Created_Date]])</f>
        <v>17</v>
      </c>
    </row>
    <row r="2634" spans="1:21" ht="15" customHeight="1" x14ac:dyDescent="0.2">
      <c r="A2634" t="s">
        <v>2940</v>
      </c>
      <c r="B2634" t="s">
        <v>237</v>
      </c>
      <c r="C2634" t="s">
        <v>53</v>
      </c>
      <c r="D2634" s="49">
        <v>45416</v>
      </c>
      <c r="E2634" s="49">
        <v>45418</v>
      </c>
      <c r="I2634" s="49">
        <v>45434</v>
      </c>
      <c r="J2634" t="s">
        <v>49</v>
      </c>
      <c r="K2634" s="33">
        <v>4200</v>
      </c>
      <c r="L2634" t="s">
        <v>61</v>
      </c>
      <c r="M2634" t="str">
        <f>_xlfn.XLOOKUP(Pipeline_tbl[[#This Row],[Rep_ID]],Dim_Reps!A:A,Dim_Reps!K:K)</f>
        <v>EUR</v>
      </c>
      <c r="N2634" s="33">
        <f>(_xlfn.XLOOKUP(Pipeline_tbl[[#This Row],[Rate_Code_Generalized]],Lookups!A:A,Lookups!B:B))*Pipeline_tbl[[#This Row],[Pipeline_Amount_USD]]</f>
        <v>4200</v>
      </c>
      <c r="O2634" t="str">
        <f>_xlfn.XLOOKUP(Pipeline_tbl[[#This Row],[Rep_ID]],Dim_Reps!A:A,Dim_Reps!B:B)</f>
        <v>Hugo Santos</v>
      </c>
      <c r="P2634" t="str">
        <f>_xlfn.XLOOKUP(Pipeline_tbl[[#This Row],[Rep_ID]],Dim_Reps!A:A,Dim_Reps!C:C)</f>
        <v>SDR / Inside Sales Rep</v>
      </c>
      <c r="Q2634" t="str">
        <f>_xlfn.XLOOKUP(Pipeline_tbl[[#This Row],[Rep_ID]],Dim_Reps!A:A,Dim_Reps!D:D)</f>
        <v>Inside Sales</v>
      </c>
      <c r="R2634" t="str">
        <f>_xlfn.XLOOKUP(Pipeline_tbl[[#This Row],[Rep_ID]],Dim_Reps!A:A,Dim_Reps!E:E)</f>
        <v>EMEA</v>
      </c>
      <c r="S2634" t="str">
        <f>_xlfn.XLOOKUP(Pipeline_tbl[[#This Row],[Created_Date]],Dim_Date!A:A,Dim_Date!H:H)</f>
        <v>May 2024</v>
      </c>
      <c r="T2634" t="str">
        <f>IF(Pipeline_tbl[[#This Row],[Closed_Date]]=0,"",(_xlfn.XLOOKUP(Pipeline_tbl[[#This Row],[Closed_Date]],Dim_Date!A:A,Dim_Date!H:H)))</f>
        <v>May 2024</v>
      </c>
      <c r="U2634">
        <f>IF(Pipeline_tbl[[#This Row],[Closed_Date]]=0,"",Pipeline_tbl[[#This Row],[Closed_Date]]-Pipeline_tbl[[#This Row],[Created_Date]])</f>
        <v>18</v>
      </c>
    </row>
    <row r="2635" spans="1:21" ht="15" customHeight="1" x14ac:dyDescent="0.2">
      <c r="A2635" t="s">
        <v>2941</v>
      </c>
      <c r="B2635" t="s">
        <v>237</v>
      </c>
      <c r="C2635" t="s">
        <v>54</v>
      </c>
      <c r="D2635" s="49">
        <v>45421</v>
      </c>
      <c r="E2635" s="49">
        <v>45423</v>
      </c>
      <c r="F2635" s="49">
        <v>45426</v>
      </c>
      <c r="G2635" s="49">
        <v>45431</v>
      </c>
      <c r="I2635" s="49">
        <v>45438</v>
      </c>
      <c r="J2635" t="s">
        <v>49</v>
      </c>
      <c r="K2635" s="33">
        <v>3500</v>
      </c>
      <c r="L2635" t="s">
        <v>61</v>
      </c>
      <c r="M2635" t="str">
        <f>_xlfn.XLOOKUP(Pipeline_tbl[[#This Row],[Rep_ID]],Dim_Reps!A:A,Dim_Reps!K:K)</f>
        <v>EUR</v>
      </c>
      <c r="N2635" s="33">
        <f>(_xlfn.XLOOKUP(Pipeline_tbl[[#This Row],[Rate_Code_Generalized]],Lookups!A:A,Lookups!B:B))*Pipeline_tbl[[#This Row],[Pipeline_Amount_USD]]</f>
        <v>3500</v>
      </c>
      <c r="O2635" t="str">
        <f>_xlfn.XLOOKUP(Pipeline_tbl[[#This Row],[Rep_ID]],Dim_Reps!A:A,Dim_Reps!B:B)</f>
        <v>Hugo Santos</v>
      </c>
      <c r="P2635" t="str">
        <f>_xlfn.XLOOKUP(Pipeline_tbl[[#This Row],[Rep_ID]],Dim_Reps!A:A,Dim_Reps!C:C)</f>
        <v>SDR / Inside Sales Rep</v>
      </c>
      <c r="Q2635" t="str">
        <f>_xlfn.XLOOKUP(Pipeline_tbl[[#This Row],[Rep_ID]],Dim_Reps!A:A,Dim_Reps!D:D)</f>
        <v>Inside Sales</v>
      </c>
      <c r="R2635" t="str">
        <f>_xlfn.XLOOKUP(Pipeline_tbl[[#This Row],[Rep_ID]],Dim_Reps!A:A,Dim_Reps!E:E)</f>
        <v>EMEA</v>
      </c>
      <c r="S2635" t="str">
        <f>_xlfn.XLOOKUP(Pipeline_tbl[[#This Row],[Created_Date]],Dim_Date!A:A,Dim_Date!H:H)</f>
        <v>May 2024</v>
      </c>
      <c r="T2635" t="str">
        <f>IF(Pipeline_tbl[[#This Row],[Closed_Date]]=0,"",(_xlfn.XLOOKUP(Pipeline_tbl[[#This Row],[Closed_Date]],Dim_Date!A:A,Dim_Date!H:H)))</f>
        <v>May 2024</v>
      </c>
      <c r="U2635">
        <f>IF(Pipeline_tbl[[#This Row],[Closed_Date]]=0,"",Pipeline_tbl[[#This Row],[Closed_Date]]-Pipeline_tbl[[#This Row],[Created_Date]])</f>
        <v>17</v>
      </c>
    </row>
    <row r="2636" spans="1:21" ht="15" customHeight="1" x14ac:dyDescent="0.2">
      <c r="A2636" t="s">
        <v>2942</v>
      </c>
      <c r="B2636" t="s">
        <v>237</v>
      </c>
      <c r="C2636" t="s">
        <v>52</v>
      </c>
      <c r="D2636" s="49">
        <v>45417</v>
      </c>
      <c r="E2636" s="49">
        <v>45419</v>
      </c>
      <c r="F2636" s="49">
        <v>45424</v>
      </c>
      <c r="G2636" s="49">
        <v>45430</v>
      </c>
      <c r="H2636" s="49">
        <v>45436</v>
      </c>
      <c r="I2636" s="49">
        <v>45439</v>
      </c>
      <c r="J2636" t="s">
        <v>47</v>
      </c>
      <c r="K2636" s="33">
        <v>3700</v>
      </c>
      <c r="M2636" t="str">
        <f>_xlfn.XLOOKUP(Pipeline_tbl[[#This Row],[Rep_ID]],Dim_Reps!A:A,Dim_Reps!K:K)</f>
        <v>EUR</v>
      </c>
      <c r="N2636" s="33">
        <f>(_xlfn.XLOOKUP(Pipeline_tbl[[#This Row],[Rate_Code_Generalized]],Lookups!A:A,Lookups!B:B))*Pipeline_tbl[[#This Row],[Pipeline_Amount_USD]]</f>
        <v>3700</v>
      </c>
      <c r="O2636" t="str">
        <f>_xlfn.XLOOKUP(Pipeline_tbl[[#This Row],[Rep_ID]],Dim_Reps!A:A,Dim_Reps!B:B)</f>
        <v>Hugo Santos</v>
      </c>
      <c r="P2636" t="str">
        <f>_xlfn.XLOOKUP(Pipeline_tbl[[#This Row],[Rep_ID]],Dim_Reps!A:A,Dim_Reps!C:C)</f>
        <v>SDR / Inside Sales Rep</v>
      </c>
      <c r="Q2636" t="str">
        <f>_xlfn.XLOOKUP(Pipeline_tbl[[#This Row],[Rep_ID]],Dim_Reps!A:A,Dim_Reps!D:D)</f>
        <v>Inside Sales</v>
      </c>
      <c r="R2636" t="str">
        <f>_xlfn.XLOOKUP(Pipeline_tbl[[#This Row],[Rep_ID]],Dim_Reps!A:A,Dim_Reps!E:E)</f>
        <v>EMEA</v>
      </c>
      <c r="S2636" t="str">
        <f>_xlfn.XLOOKUP(Pipeline_tbl[[#This Row],[Created_Date]],Dim_Date!A:A,Dim_Date!H:H)</f>
        <v>May 2024</v>
      </c>
      <c r="T2636" t="str">
        <f>IF(Pipeline_tbl[[#This Row],[Closed_Date]]=0,"",(_xlfn.XLOOKUP(Pipeline_tbl[[#This Row],[Closed_Date]],Dim_Date!A:A,Dim_Date!H:H)))</f>
        <v>May 2024</v>
      </c>
      <c r="U2636">
        <f>IF(Pipeline_tbl[[#This Row],[Closed_Date]]=0,"",Pipeline_tbl[[#This Row],[Closed_Date]]-Pipeline_tbl[[#This Row],[Created_Date]])</f>
        <v>22</v>
      </c>
    </row>
    <row r="2637" spans="1:21" ht="15" customHeight="1" x14ac:dyDescent="0.2">
      <c r="A2637" t="s">
        <v>2943</v>
      </c>
      <c r="B2637" t="s">
        <v>237</v>
      </c>
      <c r="C2637" t="s">
        <v>53</v>
      </c>
      <c r="D2637" s="49">
        <v>45416</v>
      </c>
      <c r="E2637" s="49">
        <v>45417</v>
      </c>
      <c r="F2637" s="49">
        <v>45420</v>
      </c>
      <c r="I2637" s="49">
        <v>45430</v>
      </c>
      <c r="J2637" t="s">
        <v>49</v>
      </c>
      <c r="K2637" s="33">
        <v>4100</v>
      </c>
      <c r="L2637" t="s">
        <v>62</v>
      </c>
      <c r="M2637" t="str">
        <f>_xlfn.XLOOKUP(Pipeline_tbl[[#This Row],[Rep_ID]],Dim_Reps!A:A,Dim_Reps!K:K)</f>
        <v>EUR</v>
      </c>
      <c r="N2637" s="33">
        <f>(_xlfn.XLOOKUP(Pipeline_tbl[[#This Row],[Rate_Code_Generalized]],Lookups!A:A,Lookups!B:B))*Pipeline_tbl[[#This Row],[Pipeline_Amount_USD]]</f>
        <v>4100</v>
      </c>
      <c r="O2637" t="str">
        <f>_xlfn.XLOOKUP(Pipeline_tbl[[#This Row],[Rep_ID]],Dim_Reps!A:A,Dim_Reps!B:B)</f>
        <v>Hugo Santos</v>
      </c>
      <c r="P2637" t="str">
        <f>_xlfn.XLOOKUP(Pipeline_tbl[[#This Row],[Rep_ID]],Dim_Reps!A:A,Dim_Reps!C:C)</f>
        <v>SDR / Inside Sales Rep</v>
      </c>
      <c r="Q2637" t="str">
        <f>_xlfn.XLOOKUP(Pipeline_tbl[[#This Row],[Rep_ID]],Dim_Reps!A:A,Dim_Reps!D:D)</f>
        <v>Inside Sales</v>
      </c>
      <c r="R2637" t="str">
        <f>_xlfn.XLOOKUP(Pipeline_tbl[[#This Row],[Rep_ID]],Dim_Reps!A:A,Dim_Reps!E:E)</f>
        <v>EMEA</v>
      </c>
      <c r="S2637" t="str">
        <f>_xlfn.XLOOKUP(Pipeline_tbl[[#This Row],[Created_Date]],Dim_Date!A:A,Dim_Date!H:H)</f>
        <v>May 2024</v>
      </c>
      <c r="T2637" t="str">
        <f>IF(Pipeline_tbl[[#This Row],[Closed_Date]]=0,"",(_xlfn.XLOOKUP(Pipeline_tbl[[#This Row],[Closed_Date]],Dim_Date!A:A,Dim_Date!H:H)))</f>
        <v>May 2024</v>
      </c>
      <c r="U2637">
        <f>IF(Pipeline_tbl[[#This Row],[Closed_Date]]=0,"",Pipeline_tbl[[#This Row],[Closed_Date]]-Pipeline_tbl[[#This Row],[Created_Date]])</f>
        <v>14</v>
      </c>
    </row>
    <row r="2638" spans="1:21" ht="15" customHeight="1" x14ac:dyDescent="0.2">
      <c r="A2638" t="s">
        <v>2944</v>
      </c>
      <c r="B2638" t="s">
        <v>241</v>
      </c>
      <c r="C2638" t="s">
        <v>52</v>
      </c>
      <c r="D2638" s="49">
        <v>45419</v>
      </c>
      <c r="E2638" s="49">
        <v>45421</v>
      </c>
      <c r="F2638" s="49">
        <v>45424</v>
      </c>
      <c r="I2638" s="49">
        <v>45437</v>
      </c>
      <c r="J2638" t="s">
        <v>49</v>
      </c>
      <c r="K2638" s="33">
        <v>2700</v>
      </c>
      <c r="L2638" t="s">
        <v>61</v>
      </c>
      <c r="M2638" t="str">
        <f>_xlfn.XLOOKUP(Pipeline_tbl[[#This Row],[Rep_ID]],Dim_Reps!A:A,Dim_Reps!K:K)</f>
        <v>EUR</v>
      </c>
      <c r="N2638" s="33">
        <f>(_xlfn.XLOOKUP(Pipeline_tbl[[#This Row],[Rate_Code_Generalized]],Lookups!A:A,Lookups!B:B))*Pipeline_tbl[[#This Row],[Pipeline_Amount_USD]]</f>
        <v>2700</v>
      </c>
      <c r="O2638" t="str">
        <f>_xlfn.XLOOKUP(Pipeline_tbl[[#This Row],[Rep_ID]],Dim_Reps!A:A,Dim_Reps!B:B)</f>
        <v>Kenji Weber</v>
      </c>
      <c r="P2638" t="str">
        <f>_xlfn.XLOOKUP(Pipeline_tbl[[#This Row],[Rep_ID]],Dim_Reps!A:A,Dim_Reps!C:C)</f>
        <v>SDR / Inside Sales Rep</v>
      </c>
      <c r="Q2638" t="str">
        <f>_xlfn.XLOOKUP(Pipeline_tbl[[#This Row],[Rep_ID]],Dim_Reps!A:A,Dim_Reps!D:D)</f>
        <v>Inside Sales</v>
      </c>
      <c r="R2638" t="str">
        <f>_xlfn.XLOOKUP(Pipeline_tbl[[#This Row],[Rep_ID]],Dim_Reps!A:A,Dim_Reps!E:E)</f>
        <v>APAC</v>
      </c>
      <c r="S2638" t="str">
        <f>_xlfn.XLOOKUP(Pipeline_tbl[[#This Row],[Created_Date]],Dim_Date!A:A,Dim_Date!H:H)</f>
        <v>May 2024</v>
      </c>
      <c r="T2638" t="str">
        <f>IF(Pipeline_tbl[[#This Row],[Closed_Date]]=0,"",(_xlfn.XLOOKUP(Pipeline_tbl[[#This Row],[Closed_Date]],Dim_Date!A:A,Dim_Date!H:H)))</f>
        <v>May 2024</v>
      </c>
      <c r="U2638">
        <f>IF(Pipeline_tbl[[#This Row],[Closed_Date]]=0,"",Pipeline_tbl[[#This Row],[Closed_Date]]-Pipeline_tbl[[#This Row],[Created_Date]])</f>
        <v>18</v>
      </c>
    </row>
    <row r="2639" spans="1:21" ht="15" customHeight="1" x14ac:dyDescent="0.2">
      <c r="A2639" t="s">
        <v>2945</v>
      </c>
      <c r="B2639" t="s">
        <v>241</v>
      </c>
      <c r="C2639" t="s">
        <v>53</v>
      </c>
      <c r="D2639" s="49">
        <v>45433</v>
      </c>
      <c r="E2639" s="49">
        <v>45433</v>
      </c>
      <c r="F2639" s="49">
        <v>45435</v>
      </c>
      <c r="G2639" s="49">
        <v>45436</v>
      </c>
      <c r="H2639" s="49">
        <v>45437</v>
      </c>
      <c r="I2639" s="49">
        <v>45438</v>
      </c>
      <c r="J2639" t="s">
        <v>47</v>
      </c>
      <c r="K2639" s="33">
        <v>7200</v>
      </c>
      <c r="M2639" t="str">
        <f>_xlfn.XLOOKUP(Pipeline_tbl[[#This Row],[Rep_ID]],Dim_Reps!A:A,Dim_Reps!K:K)</f>
        <v>EUR</v>
      </c>
      <c r="N2639" s="33">
        <f>(_xlfn.XLOOKUP(Pipeline_tbl[[#This Row],[Rate_Code_Generalized]],Lookups!A:A,Lookups!B:B))*Pipeline_tbl[[#This Row],[Pipeline_Amount_USD]]</f>
        <v>7200</v>
      </c>
      <c r="O2639" t="str">
        <f>_xlfn.XLOOKUP(Pipeline_tbl[[#This Row],[Rep_ID]],Dim_Reps!A:A,Dim_Reps!B:B)</f>
        <v>Kenji Weber</v>
      </c>
      <c r="P2639" t="str">
        <f>_xlfn.XLOOKUP(Pipeline_tbl[[#This Row],[Rep_ID]],Dim_Reps!A:A,Dim_Reps!C:C)</f>
        <v>SDR / Inside Sales Rep</v>
      </c>
      <c r="Q2639" t="str">
        <f>_xlfn.XLOOKUP(Pipeline_tbl[[#This Row],[Rep_ID]],Dim_Reps!A:A,Dim_Reps!D:D)</f>
        <v>Inside Sales</v>
      </c>
      <c r="R2639" t="str">
        <f>_xlfn.XLOOKUP(Pipeline_tbl[[#This Row],[Rep_ID]],Dim_Reps!A:A,Dim_Reps!E:E)</f>
        <v>APAC</v>
      </c>
      <c r="S2639" t="str">
        <f>_xlfn.XLOOKUP(Pipeline_tbl[[#This Row],[Created_Date]],Dim_Date!A:A,Dim_Date!H:H)</f>
        <v>May 2024</v>
      </c>
      <c r="T2639" t="str">
        <f>IF(Pipeline_tbl[[#This Row],[Closed_Date]]=0,"",(_xlfn.XLOOKUP(Pipeline_tbl[[#This Row],[Closed_Date]],Dim_Date!A:A,Dim_Date!H:H)))</f>
        <v>May 2024</v>
      </c>
      <c r="U2639">
        <f>IF(Pipeline_tbl[[#This Row],[Closed_Date]]=0,"",Pipeline_tbl[[#This Row],[Closed_Date]]-Pipeline_tbl[[#This Row],[Created_Date]])</f>
        <v>5</v>
      </c>
    </row>
    <row r="2640" spans="1:21" ht="15" customHeight="1" x14ac:dyDescent="0.2">
      <c r="A2640" t="s">
        <v>2946</v>
      </c>
      <c r="B2640" t="s">
        <v>241</v>
      </c>
      <c r="C2640" t="s">
        <v>53</v>
      </c>
      <c r="D2640" s="49">
        <v>45434</v>
      </c>
      <c r="E2640" s="49">
        <v>45435</v>
      </c>
      <c r="F2640" s="49">
        <v>45437</v>
      </c>
      <c r="G2640" s="49">
        <v>45439</v>
      </c>
      <c r="H2640" s="49">
        <v>45442</v>
      </c>
      <c r="I2640" s="49">
        <v>45443</v>
      </c>
      <c r="J2640" t="s">
        <v>49</v>
      </c>
      <c r="K2640" s="33">
        <v>3500</v>
      </c>
      <c r="L2640" t="s">
        <v>60</v>
      </c>
      <c r="M2640" t="str">
        <f>_xlfn.XLOOKUP(Pipeline_tbl[[#This Row],[Rep_ID]],Dim_Reps!A:A,Dim_Reps!K:K)</f>
        <v>EUR</v>
      </c>
      <c r="N2640" s="33">
        <f>(_xlfn.XLOOKUP(Pipeline_tbl[[#This Row],[Rate_Code_Generalized]],Lookups!A:A,Lookups!B:B))*Pipeline_tbl[[#This Row],[Pipeline_Amount_USD]]</f>
        <v>3500</v>
      </c>
      <c r="O2640" t="str">
        <f>_xlfn.XLOOKUP(Pipeline_tbl[[#This Row],[Rep_ID]],Dim_Reps!A:A,Dim_Reps!B:B)</f>
        <v>Kenji Weber</v>
      </c>
      <c r="P2640" t="str">
        <f>_xlfn.XLOOKUP(Pipeline_tbl[[#This Row],[Rep_ID]],Dim_Reps!A:A,Dim_Reps!C:C)</f>
        <v>SDR / Inside Sales Rep</v>
      </c>
      <c r="Q2640" t="str">
        <f>_xlfn.XLOOKUP(Pipeline_tbl[[#This Row],[Rep_ID]],Dim_Reps!A:A,Dim_Reps!D:D)</f>
        <v>Inside Sales</v>
      </c>
      <c r="R2640" t="str">
        <f>_xlfn.XLOOKUP(Pipeline_tbl[[#This Row],[Rep_ID]],Dim_Reps!A:A,Dim_Reps!E:E)</f>
        <v>APAC</v>
      </c>
      <c r="S2640" t="str">
        <f>_xlfn.XLOOKUP(Pipeline_tbl[[#This Row],[Created_Date]],Dim_Date!A:A,Dim_Date!H:H)</f>
        <v>May 2024</v>
      </c>
      <c r="T2640" t="str">
        <f>IF(Pipeline_tbl[[#This Row],[Closed_Date]]=0,"",(_xlfn.XLOOKUP(Pipeline_tbl[[#This Row],[Closed_Date]],Dim_Date!A:A,Dim_Date!H:H)))</f>
        <v>May 2024</v>
      </c>
      <c r="U2640">
        <f>IF(Pipeline_tbl[[#This Row],[Closed_Date]]=0,"",Pipeline_tbl[[#This Row],[Closed_Date]]-Pipeline_tbl[[#This Row],[Created_Date]])</f>
        <v>9</v>
      </c>
    </row>
    <row r="2641" spans="1:21" ht="15" customHeight="1" x14ac:dyDescent="0.2">
      <c r="A2641" t="s">
        <v>2947</v>
      </c>
      <c r="B2641" t="s">
        <v>241</v>
      </c>
      <c r="C2641" t="s">
        <v>52</v>
      </c>
      <c r="D2641" s="49">
        <v>45416</v>
      </c>
      <c r="E2641" s="49">
        <v>45417</v>
      </c>
      <c r="F2641" s="49">
        <v>45420</v>
      </c>
      <c r="G2641" s="49">
        <v>45424</v>
      </c>
      <c r="I2641" s="49">
        <v>45430</v>
      </c>
      <c r="J2641" t="s">
        <v>49</v>
      </c>
      <c r="K2641" s="33">
        <v>3000</v>
      </c>
      <c r="L2641" t="s">
        <v>61</v>
      </c>
      <c r="M2641" t="str">
        <f>_xlfn.XLOOKUP(Pipeline_tbl[[#This Row],[Rep_ID]],Dim_Reps!A:A,Dim_Reps!K:K)</f>
        <v>EUR</v>
      </c>
      <c r="N2641" s="33">
        <f>(_xlfn.XLOOKUP(Pipeline_tbl[[#This Row],[Rate_Code_Generalized]],Lookups!A:A,Lookups!B:B))*Pipeline_tbl[[#This Row],[Pipeline_Amount_USD]]</f>
        <v>3000</v>
      </c>
      <c r="O2641" t="str">
        <f>_xlfn.XLOOKUP(Pipeline_tbl[[#This Row],[Rep_ID]],Dim_Reps!A:A,Dim_Reps!B:B)</f>
        <v>Kenji Weber</v>
      </c>
      <c r="P2641" t="str">
        <f>_xlfn.XLOOKUP(Pipeline_tbl[[#This Row],[Rep_ID]],Dim_Reps!A:A,Dim_Reps!C:C)</f>
        <v>SDR / Inside Sales Rep</v>
      </c>
      <c r="Q2641" t="str">
        <f>_xlfn.XLOOKUP(Pipeline_tbl[[#This Row],[Rep_ID]],Dim_Reps!A:A,Dim_Reps!D:D)</f>
        <v>Inside Sales</v>
      </c>
      <c r="R2641" t="str">
        <f>_xlfn.XLOOKUP(Pipeline_tbl[[#This Row],[Rep_ID]],Dim_Reps!A:A,Dim_Reps!E:E)</f>
        <v>APAC</v>
      </c>
      <c r="S2641" t="str">
        <f>_xlfn.XLOOKUP(Pipeline_tbl[[#This Row],[Created_Date]],Dim_Date!A:A,Dim_Date!H:H)</f>
        <v>May 2024</v>
      </c>
      <c r="T2641" t="str">
        <f>IF(Pipeline_tbl[[#This Row],[Closed_Date]]=0,"",(_xlfn.XLOOKUP(Pipeline_tbl[[#This Row],[Closed_Date]],Dim_Date!A:A,Dim_Date!H:H)))</f>
        <v>May 2024</v>
      </c>
      <c r="U2641">
        <f>IF(Pipeline_tbl[[#This Row],[Closed_Date]]=0,"",Pipeline_tbl[[#This Row],[Closed_Date]]-Pipeline_tbl[[#This Row],[Created_Date]])</f>
        <v>14</v>
      </c>
    </row>
    <row r="2642" spans="1:21" ht="15" customHeight="1" x14ac:dyDescent="0.2">
      <c r="A2642" t="s">
        <v>2948</v>
      </c>
      <c r="B2642" t="s">
        <v>241</v>
      </c>
      <c r="C2642" t="s">
        <v>52</v>
      </c>
      <c r="D2642" s="49">
        <v>45419</v>
      </c>
      <c r="E2642" s="49">
        <v>45421</v>
      </c>
      <c r="F2642" s="49">
        <v>45426</v>
      </c>
      <c r="G2642" s="49">
        <v>45432</v>
      </c>
      <c r="I2642" s="49">
        <v>45441</v>
      </c>
      <c r="J2642" t="s">
        <v>49</v>
      </c>
      <c r="K2642" s="33">
        <v>3500</v>
      </c>
      <c r="L2642" t="s">
        <v>60</v>
      </c>
      <c r="M2642" t="str">
        <f>_xlfn.XLOOKUP(Pipeline_tbl[[#This Row],[Rep_ID]],Dim_Reps!A:A,Dim_Reps!K:K)</f>
        <v>EUR</v>
      </c>
      <c r="N2642" s="33">
        <f>(_xlfn.XLOOKUP(Pipeline_tbl[[#This Row],[Rate_Code_Generalized]],Lookups!A:A,Lookups!B:B))*Pipeline_tbl[[#This Row],[Pipeline_Amount_USD]]</f>
        <v>3500</v>
      </c>
      <c r="O2642" t="str">
        <f>_xlfn.XLOOKUP(Pipeline_tbl[[#This Row],[Rep_ID]],Dim_Reps!A:A,Dim_Reps!B:B)</f>
        <v>Kenji Weber</v>
      </c>
      <c r="P2642" t="str">
        <f>_xlfn.XLOOKUP(Pipeline_tbl[[#This Row],[Rep_ID]],Dim_Reps!A:A,Dim_Reps!C:C)</f>
        <v>SDR / Inside Sales Rep</v>
      </c>
      <c r="Q2642" t="str">
        <f>_xlfn.XLOOKUP(Pipeline_tbl[[#This Row],[Rep_ID]],Dim_Reps!A:A,Dim_Reps!D:D)</f>
        <v>Inside Sales</v>
      </c>
      <c r="R2642" t="str">
        <f>_xlfn.XLOOKUP(Pipeline_tbl[[#This Row],[Rep_ID]],Dim_Reps!A:A,Dim_Reps!E:E)</f>
        <v>APAC</v>
      </c>
      <c r="S2642" t="str">
        <f>_xlfn.XLOOKUP(Pipeline_tbl[[#This Row],[Created_Date]],Dim_Date!A:A,Dim_Date!H:H)</f>
        <v>May 2024</v>
      </c>
      <c r="T2642" t="str">
        <f>IF(Pipeline_tbl[[#This Row],[Closed_Date]]=0,"",(_xlfn.XLOOKUP(Pipeline_tbl[[#This Row],[Closed_Date]],Dim_Date!A:A,Dim_Date!H:H)))</f>
        <v>May 2024</v>
      </c>
      <c r="U2642">
        <f>IF(Pipeline_tbl[[#This Row],[Closed_Date]]=0,"",Pipeline_tbl[[#This Row],[Closed_Date]]-Pipeline_tbl[[#This Row],[Created_Date]])</f>
        <v>22</v>
      </c>
    </row>
    <row r="2643" spans="1:21" ht="15" customHeight="1" x14ac:dyDescent="0.2">
      <c r="A2643" t="s">
        <v>2949</v>
      </c>
      <c r="B2643" t="s">
        <v>193</v>
      </c>
      <c r="C2643" t="s">
        <v>54</v>
      </c>
      <c r="D2643" s="49">
        <v>45746</v>
      </c>
      <c r="E2643" s="49">
        <v>45748</v>
      </c>
      <c r="F2643" s="49">
        <v>45752</v>
      </c>
      <c r="G2643" s="49">
        <v>45759</v>
      </c>
      <c r="H2643" s="49">
        <v>45764</v>
      </c>
      <c r="I2643" s="49">
        <v>45767</v>
      </c>
      <c r="J2643" t="s">
        <v>49</v>
      </c>
      <c r="K2643" s="33">
        <v>2100</v>
      </c>
      <c r="L2643" t="s">
        <v>61</v>
      </c>
      <c r="M2643" t="str">
        <f>_xlfn.XLOOKUP(Pipeline_tbl[[#This Row],[Rep_ID]],Dim_Reps!A:A,Dim_Reps!K:K)</f>
        <v>USD</v>
      </c>
      <c r="N2643" s="33">
        <f>(_xlfn.XLOOKUP(Pipeline_tbl[[#This Row],[Rate_Code_Generalized]],Lookups!A:A,Lookups!B:B))*Pipeline_tbl[[#This Row],[Pipeline_Amount_USD]]</f>
        <v>2445.0299999999997</v>
      </c>
      <c r="O2643" t="str">
        <f>_xlfn.XLOOKUP(Pipeline_tbl[[#This Row],[Rep_ID]],Dim_Reps!A:A,Dim_Reps!B:B)</f>
        <v>Karim Rossi</v>
      </c>
      <c r="P2643" t="str">
        <f>_xlfn.XLOOKUP(Pipeline_tbl[[#This Row],[Rep_ID]],Dim_Reps!A:A,Dim_Reps!C:C)</f>
        <v>SDR / Inside Sales Rep</v>
      </c>
      <c r="Q2643" t="str">
        <f>_xlfn.XLOOKUP(Pipeline_tbl[[#This Row],[Rep_ID]],Dim_Reps!A:A,Dim_Reps!D:D)</f>
        <v>Inside Sales</v>
      </c>
      <c r="R2643" t="str">
        <f>_xlfn.XLOOKUP(Pipeline_tbl[[#This Row],[Rep_ID]],Dim_Reps!A:A,Dim_Reps!E:E)</f>
        <v>NAMER</v>
      </c>
      <c r="S2643" t="str">
        <f>_xlfn.XLOOKUP(Pipeline_tbl[[#This Row],[Created_Date]],Dim_Date!A:A,Dim_Date!H:H)</f>
        <v>Mar 2025</v>
      </c>
      <c r="T2643" t="str">
        <f>IF(Pipeline_tbl[[#This Row],[Closed_Date]]=0,"",(_xlfn.XLOOKUP(Pipeline_tbl[[#This Row],[Closed_Date]],Dim_Date!A:A,Dim_Date!H:H)))</f>
        <v>Apr 2025</v>
      </c>
      <c r="U2643">
        <f>IF(Pipeline_tbl[[#This Row],[Closed_Date]]=0,"",Pipeline_tbl[[#This Row],[Closed_Date]]-Pipeline_tbl[[#This Row],[Created_Date]])</f>
        <v>21</v>
      </c>
    </row>
    <row r="2644" spans="1:21" ht="15" customHeight="1" x14ac:dyDescent="0.2">
      <c r="A2644" t="s">
        <v>2950</v>
      </c>
      <c r="B2644" t="s">
        <v>193</v>
      </c>
      <c r="C2644" t="s">
        <v>53</v>
      </c>
      <c r="D2644" s="49">
        <v>45746</v>
      </c>
      <c r="E2644" s="49">
        <v>45748</v>
      </c>
      <c r="F2644" s="49">
        <v>45751</v>
      </c>
      <c r="G2644" s="49">
        <v>45756</v>
      </c>
      <c r="H2644" s="49">
        <v>45760</v>
      </c>
      <c r="I2644" s="49">
        <v>45762</v>
      </c>
      <c r="J2644" t="s">
        <v>47</v>
      </c>
      <c r="K2644" s="33">
        <v>2400</v>
      </c>
      <c r="M2644" t="str">
        <f>_xlfn.XLOOKUP(Pipeline_tbl[[#This Row],[Rep_ID]],Dim_Reps!A:A,Dim_Reps!K:K)</f>
        <v>USD</v>
      </c>
      <c r="N2644" s="33">
        <f>(_xlfn.XLOOKUP(Pipeline_tbl[[#This Row],[Rate_Code_Generalized]],Lookups!A:A,Lookups!B:B))*Pipeline_tbl[[#This Row],[Pipeline_Amount_USD]]</f>
        <v>2794.3199999999997</v>
      </c>
      <c r="O2644" t="str">
        <f>_xlfn.XLOOKUP(Pipeline_tbl[[#This Row],[Rep_ID]],Dim_Reps!A:A,Dim_Reps!B:B)</f>
        <v>Karim Rossi</v>
      </c>
      <c r="P2644" t="str">
        <f>_xlfn.XLOOKUP(Pipeline_tbl[[#This Row],[Rep_ID]],Dim_Reps!A:A,Dim_Reps!C:C)</f>
        <v>SDR / Inside Sales Rep</v>
      </c>
      <c r="Q2644" t="str">
        <f>_xlfn.XLOOKUP(Pipeline_tbl[[#This Row],[Rep_ID]],Dim_Reps!A:A,Dim_Reps!D:D)</f>
        <v>Inside Sales</v>
      </c>
      <c r="R2644" t="str">
        <f>_xlfn.XLOOKUP(Pipeline_tbl[[#This Row],[Rep_ID]],Dim_Reps!A:A,Dim_Reps!E:E)</f>
        <v>NAMER</v>
      </c>
      <c r="S2644" t="str">
        <f>_xlfn.XLOOKUP(Pipeline_tbl[[#This Row],[Created_Date]],Dim_Date!A:A,Dim_Date!H:H)</f>
        <v>Mar 2025</v>
      </c>
      <c r="T2644" t="str">
        <f>IF(Pipeline_tbl[[#This Row],[Closed_Date]]=0,"",(_xlfn.XLOOKUP(Pipeline_tbl[[#This Row],[Closed_Date]],Dim_Date!A:A,Dim_Date!H:H)))</f>
        <v>Apr 2025</v>
      </c>
      <c r="U2644">
        <f>IF(Pipeline_tbl[[#This Row],[Closed_Date]]=0,"",Pipeline_tbl[[#This Row],[Closed_Date]]-Pipeline_tbl[[#This Row],[Created_Date]])</f>
        <v>16</v>
      </c>
    </row>
    <row r="2645" spans="1:21" ht="15" customHeight="1" x14ac:dyDescent="0.2">
      <c r="A2645" t="s">
        <v>2951</v>
      </c>
      <c r="B2645" t="s">
        <v>193</v>
      </c>
      <c r="C2645" t="s">
        <v>55</v>
      </c>
      <c r="D2645" s="49">
        <v>45744</v>
      </c>
      <c r="E2645" s="49">
        <v>45746</v>
      </c>
      <c r="I2645" s="49">
        <v>45762</v>
      </c>
      <c r="J2645" t="s">
        <v>49</v>
      </c>
      <c r="K2645" s="33">
        <v>3100</v>
      </c>
      <c r="L2645" t="s">
        <v>61</v>
      </c>
      <c r="M2645" t="str">
        <f>_xlfn.XLOOKUP(Pipeline_tbl[[#This Row],[Rep_ID]],Dim_Reps!A:A,Dim_Reps!K:K)</f>
        <v>USD</v>
      </c>
      <c r="N2645" s="33">
        <f>(_xlfn.XLOOKUP(Pipeline_tbl[[#This Row],[Rate_Code_Generalized]],Lookups!A:A,Lookups!B:B))*Pipeline_tbl[[#This Row],[Pipeline_Amount_USD]]</f>
        <v>3609.3299999999995</v>
      </c>
      <c r="O2645" t="str">
        <f>_xlfn.XLOOKUP(Pipeline_tbl[[#This Row],[Rep_ID]],Dim_Reps!A:A,Dim_Reps!B:B)</f>
        <v>Karim Rossi</v>
      </c>
      <c r="P2645" t="str">
        <f>_xlfn.XLOOKUP(Pipeline_tbl[[#This Row],[Rep_ID]],Dim_Reps!A:A,Dim_Reps!C:C)</f>
        <v>SDR / Inside Sales Rep</v>
      </c>
      <c r="Q2645" t="str">
        <f>_xlfn.XLOOKUP(Pipeline_tbl[[#This Row],[Rep_ID]],Dim_Reps!A:A,Dim_Reps!D:D)</f>
        <v>Inside Sales</v>
      </c>
      <c r="R2645" t="str">
        <f>_xlfn.XLOOKUP(Pipeline_tbl[[#This Row],[Rep_ID]],Dim_Reps!A:A,Dim_Reps!E:E)</f>
        <v>NAMER</v>
      </c>
      <c r="S2645" t="str">
        <f>_xlfn.XLOOKUP(Pipeline_tbl[[#This Row],[Created_Date]],Dim_Date!A:A,Dim_Date!H:H)</f>
        <v>Mar 2025</v>
      </c>
      <c r="T2645" t="str">
        <f>IF(Pipeline_tbl[[#This Row],[Closed_Date]]=0,"",(_xlfn.XLOOKUP(Pipeline_tbl[[#This Row],[Closed_Date]],Dim_Date!A:A,Dim_Date!H:H)))</f>
        <v>Apr 2025</v>
      </c>
      <c r="U2645">
        <f>IF(Pipeline_tbl[[#This Row],[Closed_Date]]=0,"",Pipeline_tbl[[#This Row],[Closed_Date]]-Pipeline_tbl[[#This Row],[Created_Date]])</f>
        <v>18</v>
      </c>
    </row>
    <row r="2646" spans="1:21" ht="15" customHeight="1" x14ac:dyDescent="0.2">
      <c r="A2646" t="s">
        <v>2952</v>
      </c>
      <c r="B2646" t="s">
        <v>193</v>
      </c>
      <c r="C2646" t="s">
        <v>53</v>
      </c>
      <c r="D2646" s="49">
        <v>45742</v>
      </c>
      <c r="E2646" s="49">
        <v>45743</v>
      </c>
      <c r="F2646" s="49">
        <v>45746</v>
      </c>
      <c r="G2646" s="49">
        <v>45749</v>
      </c>
      <c r="I2646" s="49">
        <v>45754</v>
      </c>
      <c r="J2646" t="s">
        <v>49</v>
      </c>
      <c r="K2646" s="33">
        <v>7800</v>
      </c>
      <c r="L2646" t="s">
        <v>60</v>
      </c>
      <c r="M2646" t="str">
        <f>_xlfn.XLOOKUP(Pipeline_tbl[[#This Row],[Rep_ID]],Dim_Reps!A:A,Dim_Reps!K:K)</f>
        <v>USD</v>
      </c>
      <c r="N2646" s="33">
        <f>(_xlfn.XLOOKUP(Pipeline_tbl[[#This Row],[Rate_Code_Generalized]],Lookups!A:A,Lookups!B:B))*Pipeline_tbl[[#This Row],[Pipeline_Amount_USD]]</f>
        <v>9081.5399999999991</v>
      </c>
      <c r="O2646" t="str">
        <f>_xlfn.XLOOKUP(Pipeline_tbl[[#This Row],[Rep_ID]],Dim_Reps!A:A,Dim_Reps!B:B)</f>
        <v>Karim Rossi</v>
      </c>
      <c r="P2646" t="str">
        <f>_xlfn.XLOOKUP(Pipeline_tbl[[#This Row],[Rep_ID]],Dim_Reps!A:A,Dim_Reps!C:C)</f>
        <v>SDR / Inside Sales Rep</v>
      </c>
      <c r="Q2646" t="str">
        <f>_xlfn.XLOOKUP(Pipeline_tbl[[#This Row],[Rep_ID]],Dim_Reps!A:A,Dim_Reps!D:D)</f>
        <v>Inside Sales</v>
      </c>
      <c r="R2646" t="str">
        <f>_xlfn.XLOOKUP(Pipeline_tbl[[#This Row],[Rep_ID]],Dim_Reps!A:A,Dim_Reps!E:E)</f>
        <v>NAMER</v>
      </c>
      <c r="S2646" t="str">
        <f>_xlfn.XLOOKUP(Pipeline_tbl[[#This Row],[Created_Date]],Dim_Date!A:A,Dim_Date!H:H)</f>
        <v>Mar 2025</v>
      </c>
      <c r="T2646" t="str">
        <f>IF(Pipeline_tbl[[#This Row],[Closed_Date]]=0,"",(_xlfn.XLOOKUP(Pipeline_tbl[[#This Row],[Closed_Date]],Dim_Date!A:A,Dim_Date!H:H)))</f>
        <v>Apr 2025</v>
      </c>
      <c r="U2646">
        <f>IF(Pipeline_tbl[[#This Row],[Closed_Date]]=0,"",Pipeline_tbl[[#This Row],[Closed_Date]]-Pipeline_tbl[[#This Row],[Created_Date]])</f>
        <v>12</v>
      </c>
    </row>
    <row r="2647" spans="1:21" ht="15" customHeight="1" x14ac:dyDescent="0.2">
      <c r="A2647" t="s">
        <v>2953</v>
      </c>
      <c r="B2647" t="s">
        <v>193</v>
      </c>
      <c r="C2647" t="s">
        <v>55</v>
      </c>
      <c r="D2647" s="49">
        <v>45742</v>
      </c>
      <c r="E2647" s="49">
        <v>45744</v>
      </c>
      <c r="F2647" s="49">
        <v>45747</v>
      </c>
      <c r="I2647" s="49">
        <v>45759</v>
      </c>
      <c r="J2647" t="s">
        <v>49</v>
      </c>
      <c r="K2647" s="33">
        <v>2600</v>
      </c>
      <c r="L2647" t="s">
        <v>60</v>
      </c>
      <c r="M2647" t="str">
        <f>_xlfn.XLOOKUP(Pipeline_tbl[[#This Row],[Rep_ID]],Dim_Reps!A:A,Dim_Reps!K:K)</f>
        <v>USD</v>
      </c>
      <c r="N2647" s="33">
        <f>(_xlfn.XLOOKUP(Pipeline_tbl[[#This Row],[Rate_Code_Generalized]],Lookups!A:A,Lookups!B:B))*Pipeline_tbl[[#This Row],[Pipeline_Amount_USD]]</f>
        <v>3027.18</v>
      </c>
      <c r="O2647" t="str">
        <f>_xlfn.XLOOKUP(Pipeline_tbl[[#This Row],[Rep_ID]],Dim_Reps!A:A,Dim_Reps!B:B)</f>
        <v>Karim Rossi</v>
      </c>
      <c r="P2647" t="str">
        <f>_xlfn.XLOOKUP(Pipeline_tbl[[#This Row],[Rep_ID]],Dim_Reps!A:A,Dim_Reps!C:C)</f>
        <v>SDR / Inside Sales Rep</v>
      </c>
      <c r="Q2647" t="str">
        <f>_xlfn.XLOOKUP(Pipeline_tbl[[#This Row],[Rep_ID]],Dim_Reps!A:A,Dim_Reps!D:D)</f>
        <v>Inside Sales</v>
      </c>
      <c r="R2647" t="str">
        <f>_xlfn.XLOOKUP(Pipeline_tbl[[#This Row],[Rep_ID]],Dim_Reps!A:A,Dim_Reps!E:E)</f>
        <v>NAMER</v>
      </c>
      <c r="S2647" t="str">
        <f>_xlfn.XLOOKUP(Pipeline_tbl[[#This Row],[Created_Date]],Dim_Date!A:A,Dim_Date!H:H)</f>
        <v>Mar 2025</v>
      </c>
      <c r="T2647" t="str">
        <f>IF(Pipeline_tbl[[#This Row],[Closed_Date]]=0,"",(_xlfn.XLOOKUP(Pipeline_tbl[[#This Row],[Closed_Date]],Dim_Date!A:A,Dim_Date!H:H)))</f>
        <v>Apr 2025</v>
      </c>
      <c r="U2647">
        <f>IF(Pipeline_tbl[[#This Row],[Closed_Date]]=0,"",Pipeline_tbl[[#This Row],[Closed_Date]]-Pipeline_tbl[[#This Row],[Created_Date]])</f>
        <v>17</v>
      </c>
    </row>
    <row r="2648" spans="1:21" ht="15" customHeight="1" x14ac:dyDescent="0.2">
      <c r="A2648" t="s">
        <v>2954</v>
      </c>
      <c r="B2648" t="s">
        <v>193</v>
      </c>
      <c r="C2648" t="s">
        <v>55</v>
      </c>
      <c r="D2648" s="49">
        <v>45745</v>
      </c>
      <c r="E2648" s="49">
        <v>45747</v>
      </c>
      <c r="F2648" s="49">
        <v>45751</v>
      </c>
      <c r="G2648" s="49">
        <v>45757</v>
      </c>
      <c r="H2648" s="49">
        <v>45762</v>
      </c>
      <c r="I2648" s="49">
        <v>45765</v>
      </c>
      <c r="J2648" t="s">
        <v>49</v>
      </c>
      <c r="K2648" s="33">
        <v>3000</v>
      </c>
      <c r="L2648" t="s">
        <v>64</v>
      </c>
      <c r="M2648" t="str">
        <f>_xlfn.XLOOKUP(Pipeline_tbl[[#This Row],[Rep_ID]],Dim_Reps!A:A,Dim_Reps!K:K)</f>
        <v>USD</v>
      </c>
      <c r="N2648" s="33">
        <f>(_xlfn.XLOOKUP(Pipeline_tbl[[#This Row],[Rate_Code_Generalized]],Lookups!A:A,Lookups!B:B))*Pipeline_tbl[[#This Row],[Pipeline_Amount_USD]]</f>
        <v>3492.8999999999996</v>
      </c>
      <c r="O2648" t="str">
        <f>_xlfn.XLOOKUP(Pipeline_tbl[[#This Row],[Rep_ID]],Dim_Reps!A:A,Dim_Reps!B:B)</f>
        <v>Karim Rossi</v>
      </c>
      <c r="P2648" t="str">
        <f>_xlfn.XLOOKUP(Pipeline_tbl[[#This Row],[Rep_ID]],Dim_Reps!A:A,Dim_Reps!C:C)</f>
        <v>SDR / Inside Sales Rep</v>
      </c>
      <c r="Q2648" t="str">
        <f>_xlfn.XLOOKUP(Pipeline_tbl[[#This Row],[Rep_ID]],Dim_Reps!A:A,Dim_Reps!D:D)</f>
        <v>Inside Sales</v>
      </c>
      <c r="R2648" t="str">
        <f>_xlfn.XLOOKUP(Pipeline_tbl[[#This Row],[Rep_ID]],Dim_Reps!A:A,Dim_Reps!E:E)</f>
        <v>NAMER</v>
      </c>
      <c r="S2648" t="str">
        <f>_xlfn.XLOOKUP(Pipeline_tbl[[#This Row],[Created_Date]],Dim_Date!A:A,Dim_Date!H:H)</f>
        <v>Mar 2025</v>
      </c>
      <c r="T2648" t="str">
        <f>IF(Pipeline_tbl[[#This Row],[Closed_Date]]=0,"",(_xlfn.XLOOKUP(Pipeline_tbl[[#This Row],[Closed_Date]],Dim_Date!A:A,Dim_Date!H:H)))</f>
        <v>Apr 2025</v>
      </c>
      <c r="U2648">
        <f>IF(Pipeline_tbl[[#This Row],[Closed_Date]]=0,"",Pipeline_tbl[[#This Row],[Closed_Date]]-Pipeline_tbl[[#This Row],[Created_Date]])</f>
        <v>20</v>
      </c>
    </row>
    <row r="2649" spans="1:21" ht="15" customHeight="1" x14ac:dyDescent="0.2">
      <c r="A2649" t="s">
        <v>2955</v>
      </c>
      <c r="B2649" t="s">
        <v>243</v>
      </c>
      <c r="C2649" t="s">
        <v>55</v>
      </c>
      <c r="D2649" s="49">
        <v>45721</v>
      </c>
      <c r="E2649" s="49">
        <v>45726</v>
      </c>
      <c r="F2649" s="49">
        <v>45735</v>
      </c>
      <c r="G2649" s="49">
        <v>45750</v>
      </c>
      <c r="H2649" s="49">
        <v>45762</v>
      </c>
      <c r="I2649" s="49">
        <v>45769</v>
      </c>
      <c r="J2649" t="s">
        <v>49</v>
      </c>
      <c r="K2649" s="33">
        <v>15200</v>
      </c>
      <c r="L2649" t="s">
        <v>63</v>
      </c>
      <c r="M2649" t="str">
        <f>_xlfn.XLOOKUP(Pipeline_tbl[[#This Row],[Rep_ID]],Dim_Reps!A:A,Dim_Reps!K:K)</f>
        <v>MXN</v>
      </c>
      <c r="N2649" s="33">
        <f>(_xlfn.XLOOKUP(Pipeline_tbl[[#This Row],[Rate_Code_Generalized]],Lookups!A:A,Lookups!B:B))*Pipeline_tbl[[#This Row],[Pipeline_Amount_USD]]</f>
        <v>299937.04000000004</v>
      </c>
      <c r="O2649" t="str">
        <f>_xlfn.XLOOKUP(Pipeline_tbl[[#This Row],[Rep_ID]],Dim_Reps!A:A,Dim_Reps!B:B)</f>
        <v>Jonas Sato</v>
      </c>
      <c r="P2649" t="str">
        <f>_xlfn.XLOOKUP(Pipeline_tbl[[#This Row],[Rep_ID]],Dim_Reps!A:A,Dim_Reps!C:C)</f>
        <v>Mid-Market AE</v>
      </c>
      <c r="Q2649" t="str">
        <f>_xlfn.XLOOKUP(Pipeline_tbl[[#This Row],[Rep_ID]],Dim_Reps!A:A,Dim_Reps!D:D)</f>
        <v>Mid-Market</v>
      </c>
      <c r="R2649" t="str">
        <f>_xlfn.XLOOKUP(Pipeline_tbl[[#This Row],[Rep_ID]],Dim_Reps!A:A,Dim_Reps!E:E)</f>
        <v>LATAM</v>
      </c>
      <c r="S2649" t="str">
        <f>_xlfn.XLOOKUP(Pipeline_tbl[[#This Row],[Created_Date]],Dim_Date!A:A,Dim_Date!H:H)</f>
        <v>Mar 2025</v>
      </c>
      <c r="T2649" t="str">
        <f>IF(Pipeline_tbl[[#This Row],[Closed_Date]]=0,"",(_xlfn.XLOOKUP(Pipeline_tbl[[#This Row],[Closed_Date]],Dim_Date!A:A,Dim_Date!H:H)))</f>
        <v>Apr 2025</v>
      </c>
      <c r="U2649">
        <f>IF(Pipeline_tbl[[#This Row],[Closed_Date]]=0,"",Pipeline_tbl[[#This Row],[Closed_Date]]-Pipeline_tbl[[#This Row],[Created_Date]])</f>
        <v>48</v>
      </c>
    </row>
    <row r="2650" spans="1:21" ht="15" customHeight="1" x14ac:dyDescent="0.2">
      <c r="A2650" t="s">
        <v>2956</v>
      </c>
      <c r="B2650" t="s">
        <v>243</v>
      </c>
      <c r="C2650" t="s">
        <v>52</v>
      </c>
      <c r="D2650" s="49">
        <v>45731</v>
      </c>
      <c r="E2650" s="49">
        <v>45735</v>
      </c>
      <c r="I2650" s="49">
        <v>45774</v>
      </c>
      <c r="J2650" t="s">
        <v>49</v>
      </c>
      <c r="K2650" s="33">
        <v>12800</v>
      </c>
      <c r="L2650" t="s">
        <v>61</v>
      </c>
      <c r="M2650" t="str">
        <f>_xlfn.XLOOKUP(Pipeline_tbl[[#This Row],[Rep_ID]],Dim_Reps!A:A,Dim_Reps!K:K)</f>
        <v>MXN</v>
      </c>
      <c r="N2650" s="33">
        <f>(_xlfn.XLOOKUP(Pipeline_tbl[[#This Row],[Rate_Code_Generalized]],Lookups!A:A,Lookups!B:B))*Pipeline_tbl[[#This Row],[Pipeline_Amount_USD]]</f>
        <v>252578.56000000003</v>
      </c>
      <c r="O2650" t="str">
        <f>_xlfn.XLOOKUP(Pipeline_tbl[[#This Row],[Rep_ID]],Dim_Reps!A:A,Dim_Reps!B:B)</f>
        <v>Jonas Sato</v>
      </c>
      <c r="P2650" t="str">
        <f>_xlfn.XLOOKUP(Pipeline_tbl[[#This Row],[Rep_ID]],Dim_Reps!A:A,Dim_Reps!C:C)</f>
        <v>Mid-Market AE</v>
      </c>
      <c r="Q2650" t="str">
        <f>_xlfn.XLOOKUP(Pipeline_tbl[[#This Row],[Rep_ID]],Dim_Reps!A:A,Dim_Reps!D:D)</f>
        <v>Mid-Market</v>
      </c>
      <c r="R2650" t="str">
        <f>_xlfn.XLOOKUP(Pipeline_tbl[[#This Row],[Rep_ID]],Dim_Reps!A:A,Dim_Reps!E:E)</f>
        <v>LATAM</v>
      </c>
      <c r="S2650" t="str">
        <f>_xlfn.XLOOKUP(Pipeline_tbl[[#This Row],[Created_Date]],Dim_Date!A:A,Dim_Date!H:H)</f>
        <v>Mar 2025</v>
      </c>
      <c r="T2650" t="str">
        <f>IF(Pipeline_tbl[[#This Row],[Closed_Date]]=0,"",(_xlfn.XLOOKUP(Pipeline_tbl[[#This Row],[Closed_Date]],Dim_Date!A:A,Dim_Date!H:H)))</f>
        <v>Apr 2025</v>
      </c>
      <c r="U2650">
        <f>IF(Pipeline_tbl[[#This Row],[Closed_Date]]=0,"",Pipeline_tbl[[#This Row],[Closed_Date]]-Pipeline_tbl[[#This Row],[Created_Date]])</f>
        <v>43</v>
      </c>
    </row>
    <row r="2651" spans="1:21" ht="15" customHeight="1" x14ac:dyDescent="0.2">
      <c r="A2651" t="s">
        <v>2957</v>
      </c>
      <c r="B2651" t="s">
        <v>243</v>
      </c>
      <c r="C2651" t="s">
        <v>52</v>
      </c>
      <c r="D2651" s="49">
        <v>45738</v>
      </c>
      <c r="E2651" s="49">
        <v>45741</v>
      </c>
      <c r="F2651" s="49">
        <v>45748</v>
      </c>
      <c r="G2651" s="49">
        <v>45758</v>
      </c>
      <c r="H2651" s="49">
        <v>45766</v>
      </c>
      <c r="I2651" s="49">
        <v>45771</v>
      </c>
      <c r="J2651" t="s">
        <v>49</v>
      </c>
      <c r="K2651" s="33">
        <v>8300</v>
      </c>
      <c r="L2651" t="s">
        <v>63</v>
      </c>
      <c r="M2651" t="str">
        <f>_xlfn.XLOOKUP(Pipeline_tbl[[#This Row],[Rep_ID]],Dim_Reps!A:A,Dim_Reps!K:K)</f>
        <v>MXN</v>
      </c>
      <c r="N2651" s="33">
        <f>(_xlfn.XLOOKUP(Pipeline_tbl[[#This Row],[Rate_Code_Generalized]],Lookups!A:A,Lookups!B:B))*Pipeline_tbl[[#This Row],[Pipeline_Amount_USD]]</f>
        <v>163781.41</v>
      </c>
      <c r="O2651" t="str">
        <f>_xlfn.XLOOKUP(Pipeline_tbl[[#This Row],[Rep_ID]],Dim_Reps!A:A,Dim_Reps!B:B)</f>
        <v>Jonas Sato</v>
      </c>
      <c r="P2651" t="str">
        <f>_xlfn.XLOOKUP(Pipeline_tbl[[#This Row],[Rep_ID]],Dim_Reps!A:A,Dim_Reps!C:C)</f>
        <v>Mid-Market AE</v>
      </c>
      <c r="Q2651" t="str">
        <f>_xlfn.XLOOKUP(Pipeline_tbl[[#This Row],[Rep_ID]],Dim_Reps!A:A,Dim_Reps!D:D)</f>
        <v>Mid-Market</v>
      </c>
      <c r="R2651" t="str">
        <f>_xlfn.XLOOKUP(Pipeline_tbl[[#This Row],[Rep_ID]],Dim_Reps!A:A,Dim_Reps!E:E)</f>
        <v>LATAM</v>
      </c>
      <c r="S2651" t="str">
        <f>_xlfn.XLOOKUP(Pipeline_tbl[[#This Row],[Created_Date]],Dim_Date!A:A,Dim_Date!H:H)</f>
        <v>Mar 2025</v>
      </c>
      <c r="T2651" t="str">
        <f>IF(Pipeline_tbl[[#This Row],[Closed_Date]]=0,"",(_xlfn.XLOOKUP(Pipeline_tbl[[#This Row],[Closed_Date]],Dim_Date!A:A,Dim_Date!H:H)))</f>
        <v>Apr 2025</v>
      </c>
      <c r="U2651">
        <f>IF(Pipeline_tbl[[#This Row],[Closed_Date]]=0,"",Pipeline_tbl[[#This Row],[Closed_Date]]-Pipeline_tbl[[#This Row],[Created_Date]])</f>
        <v>33</v>
      </c>
    </row>
    <row r="2652" spans="1:21" ht="15" customHeight="1" x14ac:dyDescent="0.2">
      <c r="A2652" t="s">
        <v>2958</v>
      </c>
      <c r="B2652" t="s">
        <v>243</v>
      </c>
      <c r="C2652" t="s">
        <v>54</v>
      </c>
      <c r="D2652" s="49">
        <v>45733</v>
      </c>
      <c r="E2652" s="49">
        <v>45736</v>
      </c>
      <c r="F2652" s="49">
        <v>45742</v>
      </c>
      <c r="G2652" s="49">
        <v>45752</v>
      </c>
      <c r="H2652" s="49">
        <v>45759</v>
      </c>
      <c r="I2652" s="49">
        <v>45764</v>
      </c>
      <c r="J2652" t="s">
        <v>49</v>
      </c>
      <c r="K2652" s="33">
        <v>14600</v>
      </c>
      <c r="L2652" t="s">
        <v>60</v>
      </c>
      <c r="M2652" t="str">
        <f>_xlfn.XLOOKUP(Pipeline_tbl[[#This Row],[Rep_ID]],Dim_Reps!A:A,Dim_Reps!K:K)</f>
        <v>MXN</v>
      </c>
      <c r="N2652" s="33">
        <f>(_xlfn.XLOOKUP(Pipeline_tbl[[#This Row],[Rate_Code_Generalized]],Lookups!A:A,Lookups!B:B))*Pipeline_tbl[[#This Row],[Pipeline_Amount_USD]]</f>
        <v>288097.42000000004</v>
      </c>
      <c r="O2652" t="str">
        <f>_xlfn.XLOOKUP(Pipeline_tbl[[#This Row],[Rep_ID]],Dim_Reps!A:A,Dim_Reps!B:B)</f>
        <v>Jonas Sato</v>
      </c>
      <c r="P2652" t="str">
        <f>_xlfn.XLOOKUP(Pipeline_tbl[[#This Row],[Rep_ID]],Dim_Reps!A:A,Dim_Reps!C:C)</f>
        <v>Mid-Market AE</v>
      </c>
      <c r="Q2652" t="str">
        <f>_xlfn.XLOOKUP(Pipeline_tbl[[#This Row],[Rep_ID]],Dim_Reps!A:A,Dim_Reps!D:D)</f>
        <v>Mid-Market</v>
      </c>
      <c r="R2652" t="str">
        <f>_xlfn.XLOOKUP(Pipeline_tbl[[#This Row],[Rep_ID]],Dim_Reps!A:A,Dim_Reps!E:E)</f>
        <v>LATAM</v>
      </c>
      <c r="S2652" t="str">
        <f>_xlfn.XLOOKUP(Pipeline_tbl[[#This Row],[Created_Date]],Dim_Date!A:A,Dim_Date!H:H)</f>
        <v>Mar 2025</v>
      </c>
      <c r="T2652" t="str">
        <f>IF(Pipeline_tbl[[#This Row],[Closed_Date]]=0,"",(_xlfn.XLOOKUP(Pipeline_tbl[[#This Row],[Closed_Date]],Dim_Date!A:A,Dim_Date!H:H)))</f>
        <v>Apr 2025</v>
      </c>
      <c r="U2652">
        <f>IF(Pipeline_tbl[[#This Row],[Closed_Date]]=0,"",Pipeline_tbl[[#This Row],[Closed_Date]]-Pipeline_tbl[[#This Row],[Created_Date]])</f>
        <v>31</v>
      </c>
    </row>
    <row r="2653" spans="1:21" ht="15" customHeight="1" x14ac:dyDescent="0.2">
      <c r="A2653" t="s">
        <v>2959</v>
      </c>
      <c r="B2653" t="s">
        <v>243</v>
      </c>
      <c r="C2653" t="s">
        <v>52</v>
      </c>
      <c r="D2653" s="49">
        <v>45734</v>
      </c>
      <c r="E2653" s="49">
        <v>45738</v>
      </c>
      <c r="I2653" s="49">
        <v>45769</v>
      </c>
      <c r="J2653" t="s">
        <v>49</v>
      </c>
      <c r="K2653" s="33">
        <v>13700</v>
      </c>
      <c r="L2653" t="s">
        <v>63</v>
      </c>
      <c r="M2653" t="str">
        <f>_xlfn.XLOOKUP(Pipeline_tbl[[#This Row],[Rep_ID]],Dim_Reps!A:A,Dim_Reps!K:K)</f>
        <v>MXN</v>
      </c>
      <c r="N2653" s="33">
        <f>(_xlfn.XLOOKUP(Pipeline_tbl[[#This Row],[Rate_Code_Generalized]],Lookups!A:A,Lookups!B:B))*Pipeline_tbl[[#This Row],[Pipeline_Amount_USD]]</f>
        <v>270337.99</v>
      </c>
      <c r="O2653" t="str">
        <f>_xlfn.XLOOKUP(Pipeline_tbl[[#This Row],[Rep_ID]],Dim_Reps!A:A,Dim_Reps!B:B)</f>
        <v>Jonas Sato</v>
      </c>
      <c r="P2653" t="str">
        <f>_xlfn.XLOOKUP(Pipeline_tbl[[#This Row],[Rep_ID]],Dim_Reps!A:A,Dim_Reps!C:C)</f>
        <v>Mid-Market AE</v>
      </c>
      <c r="Q2653" t="str">
        <f>_xlfn.XLOOKUP(Pipeline_tbl[[#This Row],[Rep_ID]],Dim_Reps!A:A,Dim_Reps!D:D)</f>
        <v>Mid-Market</v>
      </c>
      <c r="R2653" t="str">
        <f>_xlfn.XLOOKUP(Pipeline_tbl[[#This Row],[Rep_ID]],Dim_Reps!A:A,Dim_Reps!E:E)</f>
        <v>LATAM</v>
      </c>
      <c r="S2653" t="str">
        <f>_xlfn.XLOOKUP(Pipeline_tbl[[#This Row],[Created_Date]],Dim_Date!A:A,Dim_Date!H:H)</f>
        <v>Mar 2025</v>
      </c>
      <c r="T2653" t="str">
        <f>IF(Pipeline_tbl[[#This Row],[Closed_Date]]=0,"",(_xlfn.XLOOKUP(Pipeline_tbl[[#This Row],[Closed_Date]],Dim_Date!A:A,Dim_Date!H:H)))</f>
        <v>Apr 2025</v>
      </c>
      <c r="U2653">
        <f>IF(Pipeline_tbl[[#This Row],[Closed_Date]]=0,"",Pipeline_tbl[[#This Row],[Closed_Date]]-Pipeline_tbl[[#This Row],[Created_Date]])</f>
        <v>35</v>
      </c>
    </row>
    <row r="2654" spans="1:21" ht="15" customHeight="1" x14ac:dyDescent="0.2">
      <c r="A2654" t="s">
        <v>2960</v>
      </c>
      <c r="B2654" t="s">
        <v>196</v>
      </c>
      <c r="C2654" t="s">
        <v>53</v>
      </c>
      <c r="D2654" s="49">
        <v>45737</v>
      </c>
      <c r="E2654" s="49">
        <v>45739</v>
      </c>
      <c r="F2654" s="49">
        <v>45743</v>
      </c>
      <c r="G2654" s="49">
        <v>45749</v>
      </c>
      <c r="I2654" s="49">
        <v>45757</v>
      </c>
      <c r="J2654" t="s">
        <v>49</v>
      </c>
      <c r="K2654" s="33">
        <v>11400</v>
      </c>
      <c r="L2654" t="s">
        <v>62</v>
      </c>
      <c r="M2654" t="str">
        <f>_xlfn.XLOOKUP(Pipeline_tbl[[#This Row],[Rep_ID]],Dim_Reps!A:A,Dim_Reps!K:K)</f>
        <v>EUR</v>
      </c>
      <c r="N2654" s="33">
        <f>(_xlfn.XLOOKUP(Pipeline_tbl[[#This Row],[Rate_Code_Generalized]],Lookups!A:A,Lookups!B:B))*Pipeline_tbl[[#This Row],[Pipeline_Amount_USD]]</f>
        <v>11400</v>
      </c>
      <c r="O2654" t="str">
        <f>_xlfn.XLOOKUP(Pipeline_tbl[[#This Row],[Rep_ID]],Dim_Reps!A:A,Dim_Reps!B:B)</f>
        <v>Alex Okafor</v>
      </c>
      <c r="P2654" t="str">
        <f>_xlfn.XLOOKUP(Pipeline_tbl[[#This Row],[Rep_ID]],Dim_Reps!A:A,Dim_Reps!C:C)</f>
        <v>SDR / Inside Sales Rep</v>
      </c>
      <c r="Q2654" t="str">
        <f>_xlfn.XLOOKUP(Pipeline_tbl[[#This Row],[Rep_ID]],Dim_Reps!A:A,Dim_Reps!D:D)</f>
        <v>Inside Sales</v>
      </c>
      <c r="R2654" t="str">
        <f>_xlfn.XLOOKUP(Pipeline_tbl[[#This Row],[Rep_ID]],Dim_Reps!A:A,Dim_Reps!E:E)</f>
        <v>EMEA</v>
      </c>
      <c r="S2654" t="str">
        <f>_xlfn.XLOOKUP(Pipeline_tbl[[#This Row],[Created_Date]],Dim_Date!A:A,Dim_Date!H:H)</f>
        <v>Mar 2025</v>
      </c>
      <c r="T2654" t="str">
        <f>IF(Pipeline_tbl[[#This Row],[Closed_Date]]=0,"",(_xlfn.XLOOKUP(Pipeline_tbl[[#This Row],[Closed_Date]],Dim_Date!A:A,Dim_Date!H:H)))</f>
        <v>Apr 2025</v>
      </c>
      <c r="U2654">
        <f>IF(Pipeline_tbl[[#This Row],[Closed_Date]]=0,"",Pipeline_tbl[[#This Row],[Closed_Date]]-Pipeline_tbl[[#This Row],[Created_Date]])</f>
        <v>20</v>
      </c>
    </row>
    <row r="2655" spans="1:21" ht="15" customHeight="1" x14ac:dyDescent="0.2">
      <c r="A2655" t="s">
        <v>2961</v>
      </c>
      <c r="B2655" t="s">
        <v>196</v>
      </c>
      <c r="C2655" t="s">
        <v>55</v>
      </c>
      <c r="D2655" s="49">
        <v>45730</v>
      </c>
      <c r="E2655" s="49">
        <v>45732</v>
      </c>
      <c r="F2655" s="49">
        <v>45737</v>
      </c>
      <c r="G2655" s="49">
        <v>45743</v>
      </c>
      <c r="H2655" s="49">
        <v>45749</v>
      </c>
      <c r="I2655" s="49">
        <v>45752</v>
      </c>
      <c r="J2655" t="s">
        <v>47</v>
      </c>
      <c r="K2655" s="33">
        <v>2700</v>
      </c>
      <c r="M2655" t="str">
        <f>_xlfn.XLOOKUP(Pipeline_tbl[[#This Row],[Rep_ID]],Dim_Reps!A:A,Dim_Reps!K:K)</f>
        <v>EUR</v>
      </c>
      <c r="N2655" s="33">
        <f>(_xlfn.XLOOKUP(Pipeline_tbl[[#This Row],[Rate_Code_Generalized]],Lookups!A:A,Lookups!B:B))*Pipeline_tbl[[#This Row],[Pipeline_Amount_USD]]</f>
        <v>2700</v>
      </c>
      <c r="O2655" t="str">
        <f>_xlfn.XLOOKUP(Pipeline_tbl[[#This Row],[Rep_ID]],Dim_Reps!A:A,Dim_Reps!B:B)</f>
        <v>Alex Okafor</v>
      </c>
      <c r="P2655" t="str">
        <f>_xlfn.XLOOKUP(Pipeline_tbl[[#This Row],[Rep_ID]],Dim_Reps!A:A,Dim_Reps!C:C)</f>
        <v>SDR / Inside Sales Rep</v>
      </c>
      <c r="Q2655" t="str">
        <f>_xlfn.XLOOKUP(Pipeline_tbl[[#This Row],[Rep_ID]],Dim_Reps!A:A,Dim_Reps!D:D)</f>
        <v>Inside Sales</v>
      </c>
      <c r="R2655" t="str">
        <f>_xlfn.XLOOKUP(Pipeline_tbl[[#This Row],[Rep_ID]],Dim_Reps!A:A,Dim_Reps!E:E)</f>
        <v>EMEA</v>
      </c>
      <c r="S2655" t="str">
        <f>_xlfn.XLOOKUP(Pipeline_tbl[[#This Row],[Created_Date]],Dim_Date!A:A,Dim_Date!H:H)</f>
        <v>Mar 2025</v>
      </c>
      <c r="T2655" t="str">
        <f>IF(Pipeline_tbl[[#This Row],[Closed_Date]]=0,"",(_xlfn.XLOOKUP(Pipeline_tbl[[#This Row],[Closed_Date]],Dim_Date!A:A,Dim_Date!H:H)))</f>
        <v>Apr 2025</v>
      </c>
      <c r="U2655">
        <f>IF(Pipeline_tbl[[#This Row],[Closed_Date]]=0,"",Pipeline_tbl[[#This Row],[Closed_Date]]-Pipeline_tbl[[#This Row],[Created_Date]])</f>
        <v>22</v>
      </c>
    </row>
    <row r="2656" spans="1:21" ht="15" customHeight="1" x14ac:dyDescent="0.2">
      <c r="A2656" t="s">
        <v>2962</v>
      </c>
      <c r="B2656" t="s">
        <v>196</v>
      </c>
      <c r="C2656" t="s">
        <v>53</v>
      </c>
      <c r="D2656" s="49">
        <v>45744</v>
      </c>
      <c r="E2656" s="49">
        <v>45746</v>
      </c>
      <c r="F2656" s="49">
        <v>45751</v>
      </c>
      <c r="G2656" s="49">
        <v>45757</v>
      </c>
      <c r="H2656" s="49">
        <v>45763</v>
      </c>
      <c r="I2656" s="49">
        <v>45766</v>
      </c>
      <c r="J2656" t="s">
        <v>47</v>
      </c>
      <c r="K2656" s="33">
        <v>3100</v>
      </c>
      <c r="M2656" t="str">
        <f>_xlfn.XLOOKUP(Pipeline_tbl[[#This Row],[Rep_ID]],Dim_Reps!A:A,Dim_Reps!K:K)</f>
        <v>EUR</v>
      </c>
      <c r="N2656" s="33">
        <f>(_xlfn.XLOOKUP(Pipeline_tbl[[#This Row],[Rate_Code_Generalized]],Lookups!A:A,Lookups!B:B))*Pipeline_tbl[[#This Row],[Pipeline_Amount_USD]]</f>
        <v>3100</v>
      </c>
      <c r="O2656" t="str">
        <f>_xlfn.XLOOKUP(Pipeline_tbl[[#This Row],[Rep_ID]],Dim_Reps!A:A,Dim_Reps!B:B)</f>
        <v>Alex Okafor</v>
      </c>
      <c r="P2656" t="str">
        <f>_xlfn.XLOOKUP(Pipeline_tbl[[#This Row],[Rep_ID]],Dim_Reps!A:A,Dim_Reps!C:C)</f>
        <v>SDR / Inside Sales Rep</v>
      </c>
      <c r="Q2656" t="str">
        <f>_xlfn.XLOOKUP(Pipeline_tbl[[#This Row],[Rep_ID]],Dim_Reps!A:A,Dim_Reps!D:D)</f>
        <v>Inside Sales</v>
      </c>
      <c r="R2656" t="str">
        <f>_xlfn.XLOOKUP(Pipeline_tbl[[#This Row],[Rep_ID]],Dim_Reps!A:A,Dim_Reps!E:E)</f>
        <v>EMEA</v>
      </c>
      <c r="S2656" t="str">
        <f>_xlfn.XLOOKUP(Pipeline_tbl[[#This Row],[Created_Date]],Dim_Date!A:A,Dim_Date!H:H)</f>
        <v>Mar 2025</v>
      </c>
      <c r="T2656" t="str">
        <f>IF(Pipeline_tbl[[#This Row],[Closed_Date]]=0,"",(_xlfn.XLOOKUP(Pipeline_tbl[[#This Row],[Closed_Date]],Dim_Date!A:A,Dim_Date!H:H)))</f>
        <v>Apr 2025</v>
      </c>
      <c r="U2656">
        <f>IF(Pipeline_tbl[[#This Row],[Closed_Date]]=0,"",Pipeline_tbl[[#This Row],[Closed_Date]]-Pipeline_tbl[[#This Row],[Created_Date]])</f>
        <v>22</v>
      </c>
    </row>
    <row r="2657" spans="1:21" ht="15" customHeight="1" x14ac:dyDescent="0.2">
      <c r="A2657" t="s">
        <v>2963</v>
      </c>
      <c r="B2657" t="s">
        <v>196</v>
      </c>
      <c r="C2657" t="s">
        <v>53</v>
      </c>
      <c r="D2657" s="49">
        <v>45731</v>
      </c>
      <c r="E2657" s="49">
        <v>45733</v>
      </c>
      <c r="F2657" s="49">
        <v>45738</v>
      </c>
      <c r="G2657" s="49">
        <v>45745</v>
      </c>
      <c r="H2657" s="49">
        <v>45751</v>
      </c>
      <c r="I2657" s="49">
        <v>45755</v>
      </c>
      <c r="J2657" t="s">
        <v>47</v>
      </c>
      <c r="K2657" s="33">
        <v>4100</v>
      </c>
      <c r="M2657" t="str">
        <f>_xlfn.XLOOKUP(Pipeline_tbl[[#This Row],[Rep_ID]],Dim_Reps!A:A,Dim_Reps!K:K)</f>
        <v>EUR</v>
      </c>
      <c r="N2657" s="33">
        <f>(_xlfn.XLOOKUP(Pipeline_tbl[[#This Row],[Rate_Code_Generalized]],Lookups!A:A,Lookups!B:B))*Pipeline_tbl[[#This Row],[Pipeline_Amount_USD]]</f>
        <v>4100</v>
      </c>
      <c r="O2657" t="str">
        <f>_xlfn.XLOOKUP(Pipeline_tbl[[#This Row],[Rep_ID]],Dim_Reps!A:A,Dim_Reps!B:B)</f>
        <v>Alex Okafor</v>
      </c>
      <c r="P2657" t="str">
        <f>_xlfn.XLOOKUP(Pipeline_tbl[[#This Row],[Rep_ID]],Dim_Reps!A:A,Dim_Reps!C:C)</f>
        <v>SDR / Inside Sales Rep</v>
      </c>
      <c r="Q2657" t="str">
        <f>_xlfn.XLOOKUP(Pipeline_tbl[[#This Row],[Rep_ID]],Dim_Reps!A:A,Dim_Reps!D:D)</f>
        <v>Inside Sales</v>
      </c>
      <c r="R2657" t="str">
        <f>_xlfn.XLOOKUP(Pipeline_tbl[[#This Row],[Rep_ID]],Dim_Reps!A:A,Dim_Reps!E:E)</f>
        <v>EMEA</v>
      </c>
      <c r="S2657" t="str">
        <f>_xlfn.XLOOKUP(Pipeline_tbl[[#This Row],[Created_Date]],Dim_Date!A:A,Dim_Date!H:H)</f>
        <v>Mar 2025</v>
      </c>
      <c r="T2657" t="str">
        <f>IF(Pipeline_tbl[[#This Row],[Closed_Date]]=0,"",(_xlfn.XLOOKUP(Pipeline_tbl[[#This Row],[Closed_Date]],Dim_Date!A:A,Dim_Date!H:H)))</f>
        <v>Apr 2025</v>
      </c>
      <c r="U2657">
        <f>IF(Pipeline_tbl[[#This Row],[Closed_Date]]=0,"",Pipeline_tbl[[#This Row],[Closed_Date]]-Pipeline_tbl[[#This Row],[Created_Date]])</f>
        <v>24</v>
      </c>
    </row>
    <row r="2658" spans="1:21" ht="15" customHeight="1" x14ac:dyDescent="0.2">
      <c r="A2658" t="s">
        <v>2964</v>
      </c>
      <c r="B2658" t="s">
        <v>199</v>
      </c>
      <c r="C2658" t="s">
        <v>52</v>
      </c>
      <c r="D2658" s="49">
        <v>45739</v>
      </c>
      <c r="E2658" s="49">
        <v>45741</v>
      </c>
      <c r="F2658" s="49">
        <v>45745</v>
      </c>
      <c r="G2658" s="49">
        <v>45751</v>
      </c>
      <c r="H2658" s="49">
        <v>45756</v>
      </c>
      <c r="I2658" s="49">
        <v>45759</v>
      </c>
      <c r="J2658" t="s">
        <v>49</v>
      </c>
      <c r="K2658" s="33">
        <v>5700</v>
      </c>
      <c r="L2658" t="s">
        <v>60</v>
      </c>
      <c r="M2658" t="str">
        <f>_xlfn.XLOOKUP(Pipeline_tbl[[#This Row],[Rep_ID]],Dim_Reps!A:A,Dim_Reps!K:K)</f>
        <v>EUR</v>
      </c>
      <c r="N2658" s="33">
        <f>(_xlfn.XLOOKUP(Pipeline_tbl[[#This Row],[Rate_Code_Generalized]],Lookups!A:A,Lookups!B:B))*Pipeline_tbl[[#This Row],[Pipeline_Amount_USD]]</f>
        <v>5700</v>
      </c>
      <c r="O2658" t="str">
        <f>_xlfn.XLOOKUP(Pipeline_tbl[[#This Row],[Rep_ID]],Dim_Reps!A:A,Dim_Reps!B:B)</f>
        <v>Lucas Okafor</v>
      </c>
      <c r="P2658" t="str">
        <f>_xlfn.XLOOKUP(Pipeline_tbl[[#This Row],[Rep_ID]],Dim_Reps!A:A,Dim_Reps!C:C)</f>
        <v>SDR / Inside Sales Rep</v>
      </c>
      <c r="Q2658" t="str">
        <f>_xlfn.XLOOKUP(Pipeline_tbl[[#This Row],[Rep_ID]],Dim_Reps!A:A,Dim_Reps!D:D)</f>
        <v>Inside Sales</v>
      </c>
      <c r="R2658" t="str">
        <f>_xlfn.XLOOKUP(Pipeline_tbl[[#This Row],[Rep_ID]],Dim_Reps!A:A,Dim_Reps!E:E)</f>
        <v>APAC</v>
      </c>
      <c r="S2658" t="str">
        <f>_xlfn.XLOOKUP(Pipeline_tbl[[#This Row],[Created_Date]],Dim_Date!A:A,Dim_Date!H:H)</f>
        <v>Mar 2025</v>
      </c>
      <c r="T2658" t="str">
        <f>IF(Pipeline_tbl[[#This Row],[Closed_Date]]=0,"",(_xlfn.XLOOKUP(Pipeline_tbl[[#This Row],[Closed_Date]],Dim_Date!A:A,Dim_Date!H:H)))</f>
        <v>Apr 2025</v>
      </c>
      <c r="U2658">
        <f>IF(Pipeline_tbl[[#This Row],[Closed_Date]]=0,"",Pipeline_tbl[[#This Row],[Closed_Date]]-Pipeline_tbl[[#This Row],[Created_Date]])</f>
        <v>20</v>
      </c>
    </row>
    <row r="2659" spans="1:21" ht="15" customHeight="1" x14ac:dyDescent="0.2">
      <c r="A2659" t="s">
        <v>2965</v>
      </c>
      <c r="B2659" t="s">
        <v>199</v>
      </c>
      <c r="C2659" t="s">
        <v>53</v>
      </c>
      <c r="D2659" s="49">
        <v>45725</v>
      </c>
      <c r="E2659" s="49">
        <v>45728</v>
      </c>
      <c r="F2659" s="49">
        <v>45733</v>
      </c>
      <c r="G2659" s="49">
        <v>45741</v>
      </c>
      <c r="I2659" s="49">
        <v>45751</v>
      </c>
      <c r="J2659" t="s">
        <v>49</v>
      </c>
      <c r="K2659" s="33">
        <v>4700</v>
      </c>
      <c r="L2659" t="s">
        <v>60</v>
      </c>
      <c r="M2659" t="str">
        <f>_xlfn.XLOOKUP(Pipeline_tbl[[#This Row],[Rep_ID]],Dim_Reps!A:A,Dim_Reps!K:K)</f>
        <v>EUR</v>
      </c>
      <c r="N2659" s="33">
        <f>(_xlfn.XLOOKUP(Pipeline_tbl[[#This Row],[Rate_Code_Generalized]],Lookups!A:A,Lookups!B:B))*Pipeline_tbl[[#This Row],[Pipeline_Amount_USD]]</f>
        <v>4700</v>
      </c>
      <c r="O2659" t="str">
        <f>_xlfn.XLOOKUP(Pipeline_tbl[[#This Row],[Rep_ID]],Dim_Reps!A:A,Dim_Reps!B:B)</f>
        <v>Lucas Okafor</v>
      </c>
      <c r="P2659" t="str">
        <f>_xlfn.XLOOKUP(Pipeline_tbl[[#This Row],[Rep_ID]],Dim_Reps!A:A,Dim_Reps!C:C)</f>
        <v>SDR / Inside Sales Rep</v>
      </c>
      <c r="Q2659" t="str">
        <f>_xlfn.XLOOKUP(Pipeline_tbl[[#This Row],[Rep_ID]],Dim_Reps!A:A,Dim_Reps!D:D)</f>
        <v>Inside Sales</v>
      </c>
      <c r="R2659" t="str">
        <f>_xlfn.XLOOKUP(Pipeline_tbl[[#This Row],[Rep_ID]],Dim_Reps!A:A,Dim_Reps!E:E)</f>
        <v>APAC</v>
      </c>
      <c r="S2659" t="str">
        <f>_xlfn.XLOOKUP(Pipeline_tbl[[#This Row],[Created_Date]],Dim_Date!A:A,Dim_Date!H:H)</f>
        <v>Mar 2025</v>
      </c>
      <c r="T2659" t="str">
        <f>IF(Pipeline_tbl[[#This Row],[Closed_Date]]=0,"",(_xlfn.XLOOKUP(Pipeline_tbl[[#This Row],[Closed_Date]],Dim_Date!A:A,Dim_Date!H:H)))</f>
        <v>Apr 2025</v>
      </c>
      <c r="U2659">
        <f>IF(Pipeline_tbl[[#This Row],[Closed_Date]]=0,"",Pipeline_tbl[[#This Row],[Closed_Date]]-Pipeline_tbl[[#This Row],[Created_Date]])</f>
        <v>26</v>
      </c>
    </row>
    <row r="2660" spans="1:21" ht="15" customHeight="1" x14ac:dyDescent="0.2">
      <c r="A2660" t="s">
        <v>2966</v>
      </c>
      <c r="B2660" t="s">
        <v>199</v>
      </c>
      <c r="C2660" t="s">
        <v>53</v>
      </c>
      <c r="D2660" s="49">
        <v>45734</v>
      </c>
      <c r="E2660" s="49">
        <v>45736</v>
      </c>
      <c r="F2660" s="49">
        <v>45739</v>
      </c>
      <c r="G2660" s="49">
        <v>45744</v>
      </c>
      <c r="H2660" s="49">
        <v>45748</v>
      </c>
      <c r="I2660" s="49">
        <v>45750</v>
      </c>
      <c r="J2660" t="s">
        <v>47</v>
      </c>
      <c r="K2660" s="33">
        <v>6800</v>
      </c>
      <c r="M2660" t="str">
        <f>_xlfn.XLOOKUP(Pipeline_tbl[[#This Row],[Rep_ID]],Dim_Reps!A:A,Dim_Reps!K:K)</f>
        <v>EUR</v>
      </c>
      <c r="N2660" s="33">
        <f>(_xlfn.XLOOKUP(Pipeline_tbl[[#This Row],[Rate_Code_Generalized]],Lookups!A:A,Lookups!B:B))*Pipeline_tbl[[#This Row],[Pipeline_Amount_USD]]</f>
        <v>6800</v>
      </c>
      <c r="O2660" t="str">
        <f>_xlfn.XLOOKUP(Pipeline_tbl[[#This Row],[Rep_ID]],Dim_Reps!A:A,Dim_Reps!B:B)</f>
        <v>Lucas Okafor</v>
      </c>
      <c r="P2660" t="str">
        <f>_xlfn.XLOOKUP(Pipeline_tbl[[#This Row],[Rep_ID]],Dim_Reps!A:A,Dim_Reps!C:C)</f>
        <v>SDR / Inside Sales Rep</v>
      </c>
      <c r="Q2660" t="str">
        <f>_xlfn.XLOOKUP(Pipeline_tbl[[#This Row],[Rep_ID]],Dim_Reps!A:A,Dim_Reps!D:D)</f>
        <v>Inside Sales</v>
      </c>
      <c r="R2660" t="str">
        <f>_xlfn.XLOOKUP(Pipeline_tbl[[#This Row],[Rep_ID]],Dim_Reps!A:A,Dim_Reps!E:E)</f>
        <v>APAC</v>
      </c>
      <c r="S2660" t="str">
        <f>_xlfn.XLOOKUP(Pipeline_tbl[[#This Row],[Created_Date]],Dim_Date!A:A,Dim_Date!H:H)</f>
        <v>Mar 2025</v>
      </c>
      <c r="T2660" t="str">
        <f>IF(Pipeline_tbl[[#This Row],[Closed_Date]]=0,"",(_xlfn.XLOOKUP(Pipeline_tbl[[#This Row],[Closed_Date]],Dim_Date!A:A,Dim_Date!H:H)))</f>
        <v>Apr 2025</v>
      </c>
      <c r="U2660">
        <f>IF(Pipeline_tbl[[#This Row],[Closed_Date]]=0,"",Pipeline_tbl[[#This Row],[Closed_Date]]-Pipeline_tbl[[#This Row],[Created_Date]])</f>
        <v>16</v>
      </c>
    </row>
    <row r="2661" spans="1:21" ht="15" customHeight="1" x14ac:dyDescent="0.2">
      <c r="A2661" t="s">
        <v>2967</v>
      </c>
      <c r="B2661" t="s">
        <v>199</v>
      </c>
      <c r="C2661" t="s">
        <v>52</v>
      </c>
      <c r="D2661" s="49">
        <v>45739</v>
      </c>
      <c r="E2661" s="49">
        <v>45740</v>
      </c>
      <c r="F2661" s="49">
        <v>45742</v>
      </c>
      <c r="G2661" s="49">
        <v>45744</v>
      </c>
      <c r="H2661" s="49">
        <v>45747</v>
      </c>
      <c r="I2661" s="49">
        <v>45748</v>
      </c>
      <c r="J2661" t="s">
        <v>47</v>
      </c>
      <c r="K2661" s="33">
        <v>4700</v>
      </c>
      <c r="M2661" t="str">
        <f>_xlfn.XLOOKUP(Pipeline_tbl[[#This Row],[Rep_ID]],Dim_Reps!A:A,Dim_Reps!K:K)</f>
        <v>EUR</v>
      </c>
      <c r="N2661" s="33">
        <f>(_xlfn.XLOOKUP(Pipeline_tbl[[#This Row],[Rate_Code_Generalized]],Lookups!A:A,Lookups!B:B))*Pipeline_tbl[[#This Row],[Pipeline_Amount_USD]]</f>
        <v>4700</v>
      </c>
      <c r="O2661" t="str">
        <f>_xlfn.XLOOKUP(Pipeline_tbl[[#This Row],[Rep_ID]],Dim_Reps!A:A,Dim_Reps!B:B)</f>
        <v>Lucas Okafor</v>
      </c>
      <c r="P2661" t="str">
        <f>_xlfn.XLOOKUP(Pipeline_tbl[[#This Row],[Rep_ID]],Dim_Reps!A:A,Dim_Reps!C:C)</f>
        <v>SDR / Inside Sales Rep</v>
      </c>
      <c r="Q2661" t="str">
        <f>_xlfn.XLOOKUP(Pipeline_tbl[[#This Row],[Rep_ID]],Dim_Reps!A:A,Dim_Reps!D:D)</f>
        <v>Inside Sales</v>
      </c>
      <c r="R2661" t="str">
        <f>_xlfn.XLOOKUP(Pipeline_tbl[[#This Row],[Rep_ID]],Dim_Reps!A:A,Dim_Reps!E:E)</f>
        <v>APAC</v>
      </c>
      <c r="S2661" t="str">
        <f>_xlfn.XLOOKUP(Pipeline_tbl[[#This Row],[Created_Date]],Dim_Date!A:A,Dim_Date!H:H)</f>
        <v>Mar 2025</v>
      </c>
      <c r="T2661" t="str">
        <f>IF(Pipeline_tbl[[#This Row],[Closed_Date]]=0,"",(_xlfn.XLOOKUP(Pipeline_tbl[[#This Row],[Closed_Date]],Dim_Date!A:A,Dim_Date!H:H)))</f>
        <v>Apr 2025</v>
      </c>
      <c r="U2661">
        <f>IF(Pipeline_tbl[[#This Row],[Closed_Date]]=0,"",Pipeline_tbl[[#This Row],[Closed_Date]]-Pipeline_tbl[[#This Row],[Created_Date]])</f>
        <v>9</v>
      </c>
    </row>
    <row r="2662" spans="1:21" ht="15" customHeight="1" x14ac:dyDescent="0.2">
      <c r="A2662" t="s">
        <v>2968</v>
      </c>
      <c r="B2662" t="s">
        <v>199</v>
      </c>
      <c r="C2662" t="s">
        <v>56</v>
      </c>
      <c r="D2662" s="49">
        <v>45747</v>
      </c>
      <c r="E2662" s="49">
        <v>45748</v>
      </c>
      <c r="F2662" s="49">
        <v>45751</v>
      </c>
      <c r="G2662" s="49">
        <v>45754</v>
      </c>
      <c r="H2662" s="49">
        <v>45757</v>
      </c>
      <c r="I2662" s="49">
        <v>45759</v>
      </c>
      <c r="J2662" t="s">
        <v>47</v>
      </c>
      <c r="K2662" s="33">
        <v>4300</v>
      </c>
      <c r="M2662" t="str">
        <f>_xlfn.XLOOKUP(Pipeline_tbl[[#This Row],[Rep_ID]],Dim_Reps!A:A,Dim_Reps!K:K)</f>
        <v>EUR</v>
      </c>
      <c r="N2662" s="33">
        <f>(_xlfn.XLOOKUP(Pipeline_tbl[[#This Row],[Rate_Code_Generalized]],Lookups!A:A,Lookups!B:B))*Pipeline_tbl[[#This Row],[Pipeline_Amount_USD]]</f>
        <v>4300</v>
      </c>
      <c r="O2662" t="str">
        <f>_xlfn.XLOOKUP(Pipeline_tbl[[#This Row],[Rep_ID]],Dim_Reps!A:A,Dim_Reps!B:B)</f>
        <v>Lucas Okafor</v>
      </c>
      <c r="P2662" t="str">
        <f>_xlfn.XLOOKUP(Pipeline_tbl[[#This Row],[Rep_ID]],Dim_Reps!A:A,Dim_Reps!C:C)</f>
        <v>SDR / Inside Sales Rep</v>
      </c>
      <c r="Q2662" t="str">
        <f>_xlfn.XLOOKUP(Pipeline_tbl[[#This Row],[Rep_ID]],Dim_Reps!A:A,Dim_Reps!D:D)</f>
        <v>Inside Sales</v>
      </c>
      <c r="R2662" t="str">
        <f>_xlfn.XLOOKUP(Pipeline_tbl[[#This Row],[Rep_ID]],Dim_Reps!A:A,Dim_Reps!E:E)</f>
        <v>APAC</v>
      </c>
      <c r="S2662" t="str">
        <f>_xlfn.XLOOKUP(Pipeline_tbl[[#This Row],[Created_Date]],Dim_Date!A:A,Dim_Date!H:H)</f>
        <v>Mar 2025</v>
      </c>
      <c r="T2662" t="str">
        <f>IF(Pipeline_tbl[[#This Row],[Closed_Date]]=0,"",(_xlfn.XLOOKUP(Pipeline_tbl[[#This Row],[Closed_Date]],Dim_Date!A:A,Dim_Date!H:H)))</f>
        <v>Apr 2025</v>
      </c>
      <c r="U2662">
        <f>IF(Pipeline_tbl[[#This Row],[Closed_Date]]=0,"",Pipeline_tbl[[#This Row],[Closed_Date]]-Pipeline_tbl[[#This Row],[Created_Date]])</f>
        <v>12</v>
      </c>
    </row>
    <row r="2663" spans="1:21" ht="15" customHeight="1" x14ac:dyDescent="0.2">
      <c r="A2663" t="s">
        <v>2969</v>
      </c>
      <c r="B2663" t="s">
        <v>181</v>
      </c>
      <c r="C2663" t="s">
        <v>54</v>
      </c>
      <c r="D2663" s="49">
        <v>45731</v>
      </c>
      <c r="E2663" s="49">
        <v>45735</v>
      </c>
      <c r="I2663" s="49">
        <v>45770</v>
      </c>
      <c r="J2663" t="s">
        <v>49</v>
      </c>
      <c r="K2663" s="33">
        <v>71100</v>
      </c>
      <c r="L2663" t="s">
        <v>62</v>
      </c>
      <c r="M2663" t="str">
        <f>_xlfn.XLOOKUP(Pipeline_tbl[[#This Row],[Rep_ID]],Dim_Reps!A:A,Dim_Reps!K:K)</f>
        <v>USD</v>
      </c>
      <c r="N2663" s="33">
        <f>(_xlfn.XLOOKUP(Pipeline_tbl[[#This Row],[Rate_Code_Generalized]],Lookups!A:A,Lookups!B:B))*Pipeline_tbl[[#This Row],[Pipeline_Amount_USD]]</f>
        <v>82781.73</v>
      </c>
      <c r="O2663" t="str">
        <f>_xlfn.XLOOKUP(Pipeline_tbl[[#This Row],[Rep_ID]],Dim_Reps!A:A,Dim_Reps!B:B)</f>
        <v>Milo Weber</v>
      </c>
      <c r="P2663" t="str">
        <f>_xlfn.XLOOKUP(Pipeline_tbl[[#This Row],[Rep_ID]],Dim_Reps!A:A,Dim_Reps!C:C)</f>
        <v>Enterprise AE</v>
      </c>
      <c r="Q2663" t="str">
        <f>_xlfn.XLOOKUP(Pipeline_tbl[[#This Row],[Rep_ID]],Dim_Reps!A:A,Dim_Reps!D:D)</f>
        <v>Enterprise</v>
      </c>
      <c r="R2663" t="str">
        <f>_xlfn.XLOOKUP(Pipeline_tbl[[#This Row],[Rep_ID]],Dim_Reps!A:A,Dim_Reps!E:E)</f>
        <v>NAMER</v>
      </c>
      <c r="S2663" t="str">
        <f>_xlfn.XLOOKUP(Pipeline_tbl[[#This Row],[Created_Date]],Dim_Date!A:A,Dim_Date!H:H)</f>
        <v>Mar 2025</v>
      </c>
      <c r="T2663" t="str">
        <f>IF(Pipeline_tbl[[#This Row],[Closed_Date]]=0,"",(_xlfn.XLOOKUP(Pipeline_tbl[[#This Row],[Closed_Date]],Dim_Date!A:A,Dim_Date!H:H)))</f>
        <v>Apr 2025</v>
      </c>
      <c r="U2663">
        <f>IF(Pipeline_tbl[[#This Row],[Closed_Date]]=0,"",Pipeline_tbl[[#This Row],[Closed_Date]]-Pipeline_tbl[[#This Row],[Created_Date]])</f>
        <v>39</v>
      </c>
    </row>
    <row r="2664" spans="1:21" ht="15" customHeight="1" x14ac:dyDescent="0.2">
      <c r="A2664" t="s">
        <v>2970</v>
      </c>
      <c r="B2664" t="s">
        <v>181</v>
      </c>
      <c r="C2664" t="s">
        <v>55</v>
      </c>
      <c r="D2664" s="49">
        <v>45719</v>
      </c>
      <c r="E2664" s="49">
        <v>45725</v>
      </c>
      <c r="F2664" s="49">
        <v>45736</v>
      </c>
      <c r="G2664" s="49">
        <v>45753</v>
      </c>
      <c r="H2664" s="49">
        <v>45767</v>
      </c>
      <c r="I2664" s="49">
        <v>45775</v>
      </c>
      <c r="J2664" t="s">
        <v>47</v>
      </c>
      <c r="K2664" s="33">
        <v>15000</v>
      </c>
      <c r="M2664" t="str">
        <f>_xlfn.XLOOKUP(Pipeline_tbl[[#This Row],[Rep_ID]],Dim_Reps!A:A,Dim_Reps!K:K)</f>
        <v>USD</v>
      </c>
      <c r="N2664" s="33">
        <f>(_xlfn.XLOOKUP(Pipeline_tbl[[#This Row],[Rate_Code_Generalized]],Lookups!A:A,Lookups!B:B))*Pipeline_tbl[[#This Row],[Pipeline_Amount_USD]]</f>
        <v>17464.5</v>
      </c>
      <c r="O2664" t="str">
        <f>_xlfn.XLOOKUP(Pipeline_tbl[[#This Row],[Rep_ID]],Dim_Reps!A:A,Dim_Reps!B:B)</f>
        <v>Milo Weber</v>
      </c>
      <c r="P2664" t="str">
        <f>_xlfn.XLOOKUP(Pipeline_tbl[[#This Row],[Rep_ID]],Dim_Reps!A:A,Dim_Reps!C:C)</f>
        <v>Enterprise AE</v>
      </c>
      <c r="Q2664" t="str">
        <f>_xlfn.XLOOKUP(Pipeline_tbl[[#This Row],[Rep_ID]],Dim_Reps!A:A,Dim_Reps!D:D)</f>
        <v>Enterprise</v>
      </c>
      <c r="R2664" t="str">
        <f>_xlfn.XLOOKUP(Pipeline_tbl[[#This Row],[Rep_ID]],Dim_Reps!A:A,Dim_Reps!E:E)</f>
        <v>NAMER</v>
      </c>
      <c r="S2664" t="str">
        <f>_xlfn.XLOOKUP(Pipeline_tbl[[#This Row],[Created_Date]],Dim_Date!A:A,Dim_Date!H:H)</f>
        <v>Mar 2025</v>
      </c>
      <c r="T2664" t="str">
        <f>IF(Pipeline_tbl[[#This Row],[Closed_Date]]=0,"",(_xlfn.XLOOKUP(Pipeline_tbl[[#This Row],[Closed_Date]],Dim_Date!A:A,Dim_Date!H:H)))</f>
        <v>Apr 2025</v>
      </c>
      <c r="U2664">
        <f>IF(Pipeline_tbl[[#This Row],[Closed_Date]]=0,"",Pipeline_tbl[[#This Row],[Closed_Date]]-Pipeline_tbl[[#This Row],[Created_Date]])</f>
        <v>56</v>
      </c>
    </row>
    <row r="2665" spans="1:21" ht="15" customHeight="1" x14ac:dyDescent="0.2">
      <c r="A2665" t="s">
        <v>2971</v>
      </c>
      <c r="B2665" t="s">
        <v>183</v>
      </c>
      <c r="C2665" t="s">
        <v>56</v>
      </c>
      <c r="D2665" s="49">
        <v>45718</v>
      </c>
      <c r="E2665" s="49">
        <v>45722</v>
      </c>
      <c r="F2665" s="49">
        <v>45731</v>
      </c>
      <c r="I2665" s="49">
        <v>45761</v>
      </c>
      <c r="J2665" t="s">
        <v>49</v>
      </c>
      <c r="K2665" s="33">
        <v>29000</v>
      </c>
      <c r="L2665" t="s">
        <v>61</v>
      </c>
      <c r="M2665" t="str">
        <f>_xlfn.XLOOKUP(Pipeline_tbl[[#This Row],[Rep_ID]],Dim_Reps!A:A,Dim_Reps!K:K)</f>
        <v>EUR</v>
      </c>
      <c r="N2665" s="33">
        <f>(_xlfn.XLOOKUP(Pipeline_tbl[[#This Row],[Rate_Code_Generalized]],Lookups!A:A,Lookups!B:B))*Pipeline_tbl[[#This Row],[Pipeline_Amount_USD]]</f>
        <v>29000</v>
      </c>
      <c r="O2665" t="str">
        <f>_xlfn.XLOOKUP(Pipeline_tbl[[#This Row],[Rep_ID]],Dim_Reps!A:A,Dim_Reps!B:B)</f>
        <v>Sam Schmidt</v>
      </c>
      <c r="P2665" t="str">
        <f>_xlfn.XLOOKUP(Pipeline_tbl[[#This Row],[Rep_ID]],Dim_Reps!A:A,Dim_Reps!C:C)</f>
        <v>Enterprise AE</v>
      </c>
      <c r="Q2665" t="str">
        <f>_xlfn.XLOOKUP(Pipeline_tbl[[#This Row],[Rep_ID]],Dim_Reps!A:A,Dim_Reps!D:D)</f>
        <v>Enterprise</v>
      </c>
      <c r="R2665" t="str">
        <f>_xlfn.XLOOKUP(Pipeline_tbl[[#This Row],[Rep_ID]],Dim_Reps!A:A,Dim_Reps!E:E)</f>
        <v>EMEA</v>
      </c>
      <c r="S2665" t="str">
        <f>_xlfn.XLOOKUP(Pipeline_tbl[[#This Row],[Created_Date]],Dim_Date!A:A,Dim_Date!H:H)</f>
        <v>Mar 2025</v>
      </c>
      <c r="T2665" t="str">
        <f>IF(Pipeline_tbl[[#This Row],[Closed_Date]]=0,"",(_xlfn.XLOOKUP(Pipeline_tbl[[#This Row],[Closed_Date]],Dim_Date!A:A,Dim_Date!H:H)))</f>
        <v>Apr 2025</v>
      </c>
      <c r="U2665">
        <f>IF(Pipeline_tbl[[#This Row],[Closed_Date]]=0,"",Pipeline_tbl[[#This Row],[Closed_Date]]-Pipeline_tbl[[#This Row],[Created_Date]])</f>
        <v>43</v>
      </c>
    </row>
    <row r="2666" spans="1:21" ht="15" customHeight="1" x14ac:dyDescent="0.2">
      <c r="A2666" t="s">
        <v>2972</v>
      </c>
      <c r="B2666" t="s">
        <v>203</v>
      </c>
      <c r="C2666" t="s">
        <v>56</v>
      </c>
      <c r="D2666" s="49">
        <v>45746</v>
      </c>
      <c r="E2666" s="49">
        <v>45748</v>
      </c>
      <c r="I2666" s="49">
        <v>45766</v>
      </c>
      <c r="J2666" t="s">
        <v>49</v>
      </c>
      <c r="K2666" s="33">
        <v>5200</v>
      </c>
      <c r="L2666" t="s">
        <v>62</v>
      </c>
      <c r="M2666" t="str">
        <f>_xlfn.XLOOKUP(Pipeline_tbl[[#This Row],[Rep_ID]],Dim_Reps!A:A,Dim_Reps!K:K)</f>
        <v>EUR</v>
      </c>
      <c r="N2666" s="33">
        <f>(_xlfn.XLOOKUP(Pipeline_tbl[[#This Row],[Rate_Code_Generalized]],Lookups!A:A,Lookups!B:B))*Pipeline_tbl[[#This Row],[Pipeline_Amount_USD]]</f>
        <v>5200</v>
      </c>
      <c r="O2666" t="str">
        <f>_xlfn.XLOOKUP(Pipeline_tbl[[#This Row],[Rep_ID]],Dim_Reps!A:A,Dim_Reps!B:B)</f>
        <v>Riley Haddad</v>
      </c>
      <c r="P2666" t="str">
        <f>_xlfn.XLOOKUP(Pipeline_tbl[[#This Row],[Rep_ID]],Dim_Reps!A:A,Dim_Reps!C:C)</f>
        <v>SDR / Inside Sales Rep</v>
      </c>
      <c r="Q2666" t="str">
        <f>_xlfn.XLOOKUP(Pipeline_tbl[[#This Row],[Rep_ID]],Dim_Reps!A:A,Dim_Reps!D:D)</f>
        <v>Inside Sales</v>
      </c>
      <c r="R2666" t="str">
        <f>_xlfn.XLOOKUP(Pipeline_tbl[[#This Row],[Rep_ID]],Dim_Reps!A:A,Dim_Reps!E:E)</f>
        <v>APAC</v>
      </c>
      <c r="S2666" t="str">
        <f>_xlfn.XLOOKUP(Pipeline_tbl[[#This Row],[Created_Date]],Dim_Date!A:A,Dim_Date!H:H)</f>
        <v>Mar 2025</v>
      </c>
      <c r="T2666" t="str">
        <f>IF(Pipeline_tbl[[#This Row],[Closed_Date]]=0,"",(_xlfn.XLOOKUP(Pipeline_tbl[[#This Row],[Closed_Date]],Dim_Date!A:A,Dim_Date!H:H)))</f>
        <v>Apr 2025</v>
      </c>
      <c r="U2666">
        <f>IF(Pipeline_tbl[[#This Row],[Closed_Date]]=0,"",Pipeline_tbl[[#This Row],[Closed_Date]]-Pipeline_tbl[[#This Row],[Created_Date]])</f>
        <v>20</v>
      </c>
    </row>
    <row r="2667" spans="1:21" ht="15" customHeight="1" x14ac:dyDescent="0.2">
      <c r="A2667" t="s">
        <v>2973</v>
      </c>
      <c r="B2667" t="s">
        <v>203</v>
      </c>
      <c r="C2667" t="s">
        <v>52</v>
      </c>
      <c r="D2667" s="49">
        <v>45737</v>
      </c>
      <c r="E2667" s="49">
        <v>45739</v>
      </c>
      <c r="F2667" s="49">
        <v>45742</v>
      </c>
      <c r="G2667" s="49">
        <v>45748</v>
      </c>
      <c r="I2667" s="49">
        <v>45755</v>
      </c>
      <c r="J2667" t="s">
        <v>49</v>
      </c>
      <c r="K2667" s="33">
        <v>11600</v>
      </c>
      <c r="L2667" t="s">
        <v>60</v>
      </c>
      <c r="M2667" t="str">
        <f>_xlfn.XLOOKUP(Pipeline_tbl[[#This Row],[Rep_ID]],Dim_Reps!A:A,Dim_Reps!K:K)</f>
        <v>EUR</v>
      </c>
      <c r="N2667" s="33">
        <f>(_xlfn.XLOOKUP(Pipeline_tbl[[#This Row],[Rate_Code_Generalized]],Lookups!A:A,Lookups!B:B))*Pipeline_tbl[[#This Row],[Pipeline_Amount_USD]]</f>
        <v>11600</v>
      </c>
      <c r="O2667" t="str">
        <f>_xlfn.XLOOKUP(Pipeline_tbl[[#This Row],[Rep_ID]],Dim_Reps!A:A,Dim_Reps!B:B)</f>
        <v>Riley Haddad</v>
      </c>
      <c r="P2667" t="str">
        <f>_xlfn.XLOOKUP(Pipeline_tbl[[#This Row],[Rep_ID]],Dim_Reps!A:A,Dim_Reps!C:C)</f>
        <v>SDR / Inside Sales Rep</v>
      </c>
      <c r="Q2667" t="str">
        <f>_xlfn.XLOOKUP(Pipeline_tbl[[#This Row],[Rep_ID]],Dim_Reps!A:A,Dim_Reps!D:D)</f>
        <v>Inside Sales</v>
      </c>
      <c r="R2667" t="str">
        <f>_xlfn.XLOOKUP(Pipeline_tbl[[#This Row],[Rep_ID]],Dim_Reps!A:A,Dim_Reps!E:E)</f>
        <v>APAC</v>
      </c>
      <c r="S2667" t="str">
        <f>_xlfn.XLOOKUP(Pipeline_tbl[[#This Row],[Created_Date]],Dim_Date!A:A,Dim_Date!H:H)</f>
        <v>Mar 2025</v>
      </c>
      <c r="T2667" t="str">
        <f>IF(Pipeline_tbl[[#This Row],[Closed_Date]]=0,"",(_xlfn.XLOOKUP(Pipeline_tbl[[#This Row],[Closed_Date]],Dim_Date!A:A,Dim_Date!H:H)))</f>
        <v>Apr 2025</v>
      </c>
      <c r="U2667">
        <f>IF(Pipeline_tbl[[#This Row],[Closed_Date]]=0,"",Pipeline_tbl[[#This Row],[Closed_Date]]-Pipeline_tbl[[#This Row],[Created_Date]])</f>
        <v>18</v>
      </c>
    </row>
    <row r="2668" spans="1:21" ht="15" customHeight="1" x14ac:dyDescent="0.2">
      <c r="A2668" t="s">
        <v>2974</v>
      </c>
      <c r="B2668" t="s">
        <v>203</v>
      </c>
      <c r="C2668" t="s">
        <v>54</v>
      </c>
      <c r="D2668" s="49">
        <v>45731</v>
      </c>
      <c r="E2668" s="49">
        <v>45733</v>
      </c>
      <c r="F2668" s="49">
        <v>45737</v>
      </c>
      <c r="G2668" s="49">
        <v>45743</v>
      </c>
      <c r="H2668" s="49">
        <v>45748</v>
      </c>
      <c r="I2668" s="49">
        <v>45751</v>
      </c>
      <c r="J2668" t="s">
        <v>49</v>
      </c>
      <c r="K2668" s="33">
        <v>3800</v>
      </c>
      <c r="L2668" t="s">
        <v>60</v>
      </c>
      <c r="M2668" t="str">
        <f>_xlfn.XLOOKUP(Pipeline_tbl[[#This Row],[Rep_ID]],Dim_Reps!A:A,Dim_Reps!K:K)</f>
        <v>EUR</v>
      </c>
      <c r="N2668" s="33">
        <f>(_xlfn.XLOOKUP(Pipeline_tbl[[#This Row],[Rate_Code_Generalized]],Lookups!A:A,Lookups!B:B))*Pipeline_tbl[[#This Row],[Pipeline_Amount_USD]]</f>
        <v>3800</v>
      </c>
      <c r="O2668" t="str">
        <f>_xlfn.XLOOKUP(Pipeline_tbl[[#This Row],[Rep_ID]],Dim_Reps!A:A,Dim_Reps!B:B)</f>
        <v>Riley Haddad</v>
      </c>
      <c r="P2668" t="str">
        <f>_xlfn.XLOOKUP(Pipeline_tbl[[#This Row],[Rep_ID]],Dim_Reps!A:A,Dim_Reps!C:C)</f>
        <v>SDR / Inside Sales Rep</v>
      </c>
      <c r="Q2668" t="str">
        <f>_xlfn.XLOOKUP(Pipeline_tbl[[#This Row],[Rep_ID]],Dim_Reps!A:A,Dim_Reps!D:D)</f>
        <v>Inside Sales</v>
      </c>
      <c r="R2668" t="str">
        <f>_xlfn.XLOOKUP(Pipeline_tbl[[#This Row],[Rep_ID]],Dim_Reps!A:A,Dim_Reps!E:E)</f>
        <v>APAC</v>
      </c>
      <c r="S2668" t="str">
        <f>_xlfn.XLOOKUP(Pipeline_tbl[[#This Row],[Created_Date]],Dim_Date!A:A,Dim_Date!H:H)</f>
        <v>Mar 2025</v>
      </c>
      <c r="T2668" t="str">
        <f>IF(Pipeline_tbl[[#This Row],[Closed_Date]]=0,"",(_xlfn.XLOOKUP(Pipeline_tbl[[#This Row],[Closed_Date]],Dim_Date!A:A,Dim_Date!H:H)))</f>
        <v>Apr 2025</v>
      </c>
      <c r="U2668">
        <f>IF(Pipeline_tbl[[#This Row],[Closed_Date]]=0,"",Pipeline_tbl[[#This Row],[Closed_Date]]-Pipeline_tbl[[#This Row],[Created_Date]])</f>
        <v>20</v>
      </c>
    </row>
    <row r="2669" spans="1:21" ht="15" customHeight="1" x14ac:dyDescent="0.2">
      <c r="A2669" t="s">
        <v>2975</v>
      </c>
      <c r="B2669" t="s">
        <v>205</v>
      </c>
      <c r="C2669" t="s">
        <v>53</v>
      </c>
      <c r="D2669" s="49">
        <v>45744</v>
      </c>
      <c r="E2669" s="49">
        <v>45746</v>
      </c>
      <c r="F2669" s="49">
        <v>45749</v>
      </c>
      <c r="G2669" s="49">
        <v>45754</v>
      </c>
      <c r="I2669" s="49">
        <v>45761</v>
      </c>
      <c r="J2669" t="s">
        <v>49</v>
      </c>
      <c r="K2669" s="33">
        <v>2600</v>
      </c>
      <c r="L2669" t="s">
        <v>61</v>
      </c>
      <c r="M2669" t="str">
        <f>_xlfn.XLOOKUP(Pipeline_tbl[[#This Row],[Rep_ID]],Dim_Reps!A:A,Dim_Reps!K:K)</f>
        <v>EUR</v>
      </c>
      <c r="N2669" s="33">
        <f>(_xlfn.XLOOKUP(Pipeline_tbl[[#This Row],[Rate_Code_Generalized]],Lookups!A:A,Lookups!B:B))*Pipeline_tbl[[#This Row],[Pipeline_Amount_USD]]</f>
        <v>2600</v>
      </c>
      <c r="O2669" t="str">
        <f>_xlfn.XLOOKUP(Pipeline_tbl[[#This Row],[Rep_ID]],Dim_Reps!A:A,Dim_Reps!B:B)</f>
        <v>Karim Alvarez</v>
      </c>
      <c r="P2669" t="str">
        <f>_xlfn.XLOOKUP(Pipeline_tbl[[#This Row],[Rep_ID]],Dim_Reps!A:A,Dim_Reps!C:C)</f>
        <v>SDR / Inside Sales Rep</v>
      </c>
      <c r="Q2669" t="str">
        <f>_xlfn.XLOOKUP(Pipeline_tbl[[#This Row],[Rep_ID]],Dim_Reps!A:A,Dim_Reps!D:D)</f>
        <v>Inside Sales</v>
      </c>
      <c r="R2669" t="str">
        <f>_xlfn.XLOOKUP(Pipeline_tbl[[#This Row],[Rep_ID]],Dim_Reps!A:A,Dim_Reps!E:E)</f>
        <v>EMEA</v>
      </c>
      <c r="S2669" t="str">
        <f>_xlfn.XLOOKUP(Pipeline_tbl[[#This Row],[Created_Date]],Dim_Date!A:A,Dim_Date!H:H)</f>
        <v>Mar 2025</v>
      </c>
      <c r="T2669" t="str">
        <f>IF(Pipeline_tbl[[#This Row],[Closed_Date]]=0,"",(_xlfn.XLOOKUP(Pipeline_tbl[[#This Row],[Closed_Date]],Dim_Date!A:A,Dim_Date!H:H)))</f>
        <v>Apr 2025</v>
      </c>
      <c r="U2669">
        <f>IF(Pipeline_tbl[[#This Row],[Closed_Date]]=0,"",Pipeline_tbl[[#This Row],[Closed_Date]]-Pipeline_tbl[[#This Row],[Created_Date]])</f>
        <v>17</v>
      </c>
    </row>
    <row r="2670" spans="1:21" ht="15" customHeight="1" x14ac:dyDescent="0.2">
      <c r="A2670" t="s">
        <v>2976</v>
      </c>
      <c r="B2670" t="s">
        <v>205</v>
      </c>
      <c r="C2670" t="s">
        <v>52</v>
      </c>
      <c r="D2670" s="49">
        <v>45746</v>
      </c>
      <c r="E2670" s="49">
        <v>45748</v>
      </c>
      <c r="F2670" s="49">
        <v>45752</v>
      </c>
      <c r="I2670" s="49">
        <v>45766</v>
      </c>
      <c r="J2670" t="s">
        <v>49</v>
      </c>
      <c r="K2670" s="33">
        <v>6800</v>
      </c>
      <c r="L2670" t="s">
        <v>60</v>
      </c>
      <c r="M2670" t="str">
        <f>_xlfn.XLOOKUP(Pipeline_tbl[[#This Row],[Rep_ID]],Dim_Reps!A:A,Dim_Reps!K:K)</f>
        <v>EUR</v>
      </c>
      <c r="N2670" s="33">
        <f>(_xlfn.XLOOKUP(Pipeline_tbl[[#This Row],[Rate_Code_Generalized]],Lookups!A:A,Lookups!B:B))*Pipeline_tbl[[#This Row],[Pipeline_Amount_USD]]</f>
        <v>6800</v>
      </c>
      <c r="O2670" t="str">
        <f>_xlfn.XLOOKUP(Pipeline_tbl[[#This Row],[Rep_ID]],Dim_Reps!A:A,Dim_Reps!B:B)</f>
        <v>Karim Alvarez</v>
      </c>
      <c r="P2670" t="str">
        <f>_xlfn.XLOOKUP(Pipeline_tbl[[#This Row],[Rep_ID]],Dim_Reps!A:A,Dim_Reps!C:C)</f>
        <v>SDR / Inside Sales Rep</v>
      </c>
      <c r="Q2670" t="str">
        <f>_xlfn.XLOOKUP(Pipeline_tbl[[#This Row],[Rep_ID]],Dim_Reps!A:A,Dim_Reps!D:D)</f>
        <v>Inside Sales</v>
      </c>
      <c r="R2670" t="str">
        <f>_xlfn.XLOOKUP(Pipeline_tbl[[#This Row],[Rep_ID]],Dim_Reps!A:A,Dim_Reps!E:E)</f>
        <v>EMEA</v>
      </c>
      <c r="S2670" t="str">
        <f>_xlfn.XLOOKUP(Pipeline_tbl[[#This Row],[Created_Date]],Dim_Date!A:A,Dim_Date!H:H)</f>
        <v>Mar 2025</v>
      </c>
      <c r="T2670" t="str">
        <f>IF(Pipeline_tbl[[#This Row],[Closed_Date]]=0,"",(_xlfn.XLOOKUP(Pipeline_tbl[[#This Row],[Closed_Date]],Dim_Date!A:A,Dim_Date!H:H)))</f>
        <v>Apr 2025</v>
      </c>
      <c r="U2670">
        <f>IF(Pipeline_tbl[[#This Row],[Closed_Date]]=0,"",Pipeline_tbl[[#This Row],[Closed_Date]]-Pipeline_tbl[[#This Row],[Created_Date]])</f>
        <v>20</v>
      </c>
    </row>
    <row r="2671" spans="1:21" ht="15" customHeight="1" x14ac:dyDescent="0.2">
      <c r="A2671" t="s">
        <v>2977</v>
      </c>
      <c r="B2671" t="s">
        <v>205</v>
      </c>
      <c r="C2671" t="s">
        <v>53</v>
      </c>
      <c r="D2671" s="49">
        <v>45740</v>
      </c>
      <c r="E2671" s="49">
        <v>45742</v>
      </c>
      <c r="F2671" s="49">
        <v>45745</v>
      </c>
      <c r="G2671" s="49">
        <v>45750</v>
      </c>
      <c r="H2671" s="49">
        <v>45754</v>
      </c>
      <c r="I2671" s="49">
        <v>45757</v>
      </c>
      <c r="J2671" t="s">
        <v>47</v>
      </c>
      <c r="K2671" s="33">
        <v>2300</v>
      </c>
      <c r="M2671" t="str">
        <f>_xlfn.XLOOKUP(Pipeline_tbl[[#This Row],[Rep_ID]],Dim_Reps!A:A,Dim_Reps!K:K)</f>
        <v>EUR</v>
      </c>
      <c r="N2671" s="33">
        <f>(_xlfn.XLOOKUP(Pipeline_tbl[[#This Row],[Rate_Code_Generalized]],Lookups!A:A,Lookups!B:B))*Pipeline_tbl[[#This Row],[Pipeline_Amount_USD]]</f>
        <v>2300</v>
      </c>
      <c r="O2671" t="str">
        <f>_xlfn.XLOOKUP(Pipeline_tbl[[#This Row],[Rep_ID]],Dim_Reps!A:A,Dim_Reps!B:B)</f>
        <v>Karim Alvarez</v>
      </c>
      <c r="P2671" t="str">
        <f>_xlfn.XLOOKUP(Pipeline_tbl[[#This Row],[Rep_ID]],Dim_Reps!A:A,Dim_Reps!C:C)</f>
        <v>SDR / Inside Sales Rep</v>
      </c>
      <c r="Q2671" t="str">
        <f>_xlfn.XLOOKUP(Pipeline_tbl[[#This Row],[Rep_ID]],Dim_Reps!A:A,Dim_Reps!D:D)</f>
        <v>Inside Sales</v>
      </c>
      <c r="R2671" t="str">
        <f>_xlfn.XLOOKUP(Pipeline_tbl[[#This Row],[Rep_ID]],Dim_Reps!A:A,Dim_Reps!E:E)</f>
        <v>EMEA</v>
      </c>
      <c r="S2671" t="str">
        <f>_xlfn.XLOOKUP(Pipeline_tbl[[#This Row],[Created_Date]],Dim_Date!A:A,Dim_Date!H:H)</f>
        <v>Mar 2025</v>
      </c>
      <c r="T2671" t="str">
        <f>IF(Pipeline_tbl[[#This Row],[Closed_Date]]=0,"",(_xlfn.XLOOKUP(Pipeline_tbl[[#This Row],[Closed_Date]],Dim_Date!A:A,Dim_Date!H:H)))</f>
        <v>Apr 2025</v>
      </c>
      <c r="U2671">
        <f>IF(Pipeline_tbl[[#This Row],[Closed_Date]]=0,"",Pipeline_tbl[[#This Row],[Closed_Date]]-Pipeline_tbl[[#This Row],[Created_Date]])</f>
        <v>17</v>
      </c>
    </row>
    <row r="2672" spans="1:21" ht="15" customHeight="1" x14ac:dyDescent="0.2">
      <c r="A2672" t="s">
        <v>2978</v>
      </c>
      <c r="B2672" t="s">
        <v>205</v>
      </c>
      <c r="C2672" t="s">
        <v>55</v>
      </c>
      <c r="D2672" s="49">
        <v>45747</v>
      </c>
      <c r="E2672" s="49">
        <v>45748</v>
      </c>
      <c r="F2672" s="49">
        <v>45751</v>
      </c>
      <c r="G2672" s="49">
        <v>45755</v>
      </c>
      <c r="I2672" s="49">
        <v>45761</v>
      </c>
      <c r="J2672" t="s">
        <v>49</v>
      </c>
      <c r="K2672" s="33">
        <v>4100</v>
      </c>
      <c r="L2672" t="s">
        <v>60</v>
      </c>
      <c r="M2672" t="str">
        <f>_xlfn.XLOOKUP(Pipeline_tbl[[#This Row],[Rep_ID]],Dim_Reps!A:A,Dim_Reps!K:K)</f>
        <v>EUR</v>
      </c>
      <c r="N2672" s="33">
        <f>(_xlfn.XLOOKUP(Pipeline_tbl[[#This Row],[Rate_Code_Generalized]],Lookups!A:A,Lookups!B:B))*Pipeline_tbl[[#This Row],[Pipeline_Amount_USD]]</f>
        <v>4100</v>
      </c>
      <c r="O2672" t="str">
        <f>_xlfn.XLOOKUP(Pipeline_tbl[[#This Row],[Rep_ID]],Dim_Reps!A:A,Dim_Reps!B:B)</f>
        <v>Karim Alvarez</v>
      </c>
      <c r="P2672" t="str">
        <f>_xlfn.XLOOKUP(Pipeline_tbl[[#This Row],[Rep_ID]],Dim_Reps!A:A,Dim_Reps!C:C)</f>
        <v>SDR / Inside Sales Rep</v>
      </c>
      <c r="Q2672" t="str">
        <f>_xlfn.XLOOKUP(Pipeline_tbl[[#This Row],[Rep_ID]],Dim_Reps!A:A,Dim_Reps!D:D)</f>
        <v>Inside Sales</v>
      </c>
      <c r="R2672" t="str">
        <f>_xlfn.XLOOKUP(Pipeline_tbl[[#This Row],[Rep_ID]],Dim_Reps!A:A,Dim_Reps!E:E)</f>
        <v>EMEA</v>
      </c>
      <c r="S2672" t="str">
        <f>_xlfn.XLOOKUP(Pipeline_tbl[[#This Row],[Created_Date]],Dim_Date!A:A,Dim_Date!H:H)</f>
        <v>Mar 2025</v>
      </c>
      <c r="T2672" t="str">
        <f>IF(Pipeline_tbl[[#This Row],[Closed_Date]]=0,"",(_xlfn.XLOOKUP(Pipeline_tbl[[#This Row],[Closed_Date]],Dim_Date!A:A,Dim_Date!H:H)))</f>
        <v>Apr 2025</v>
      </c>
      <c r="U2672">
        <f>IF(Pipeline_tbl[[#This Row],[Closed_Date]]=0,"",Pipeline_tbl[[#This Row],[Closed_Date]]-Pipeline_tbl[[#This Row],[Created_Date]])</f>
        <v>14</v>
      </c>
    </row>
    <row r="2673" spans="1:21" ht="15" customHeight="1" x14ac:dyDescent="0.2">
      <c r="A2673" t="s">
        <v>2979</v>
      </c>
      <c r="B2673" t="s">
        <v>205</v>
      </c>
      <c r="C2673" t="s">
        <v>52</v>
      </c>
      <c r="D2673" s="49">
        <v>45726</v>
      </c>
      <c r="E2673" s="49">
        <v>45728</v>
      </c>
      <c r="F2673" s="49">
        <v>45733</v>
      </c>
      <c r="G2673" s="49">
        <v>45739</v>
      </c>
      <c r="H2673" s="49">
        <v>45745</v>
      </c>
      <c r="I2673" s="49">
        <v>45748</v>
      </c>
      <c r="J2673" t="s">
        <v>47</v>
      </c>
      <c r="K2673" s="33">
        <v>2200</v>
      </c>
      <c r="M2673" t="str">
        <f>_xlfn.XLOOKUP(Pipeline_tbl[[#This Row],[Rep_ID]],Dim_Reps!A:A,Dim_Reps!K:K)</f>
        <v>EUR</v>
      </c>
      <c r="N2673" s="33">
        <f>(_xlfn.XLOOKUP(Pipeline_tbl[[#This Row],[Rate_Code_Generalized]],Lookups!A:A,Lookups!B:B))*Pipeline_tbl[[#This Row],[Pipeline_Amount_USD]]</f>
        <v>2200</v>
      </c>
      <c r="O2673" t="str">
        <f>_xlfn.XLOOKUP(Pipeline_tbl[[#This Row],[Rep_ID]],Dim_Reps!A:A,Dim_Reps!B:B)</f>
        <v>Karim Alvarez</v>
      </c>
      <c r="P2673" t="str">
        <f>_xlfn.XLOOKUP(Pipeline_tbl[[#This Row],[Rep_ID]],Dim_Reps!A:A,Dim_Reps!C:C)</f>
        <v>SDR / Inside Sales Rep</v>
      </c>
      <c r="Q2673" t="str">
        <f>_xlfn.XLOOKUP(Pipeline_tbl[[#This Row],[Rep_ID]],Dim_Reps!A:A,Dim_Reps!D:D)</f>
        <v>Inside Sales</v>
      </c>
      <c r="R2673" t="str">
        <f>_xlfn.XLOOKUP(Pipeline_tbl[[#This Row],[Rep_ID]],Dim_Reps!A:A,Dim_Reps!E:E)</f>
        <v>EMEA</v>
      </c>
      <c r="S2673" t="str">
        <f>_xlfn.XLOOKUP(Pipeline_tbl[[#This Row],[Created_Date]],Dim_Date!A:A,Dim_Date!H:H)</f>
        <v>Mar 2025</v>
      </c>
      <c r="T2673" t="str">
        <f>IF(Pipeline_tbl[[#This Row],[Closed_Date]]=0,"",(_xlfn.XLOOKUP(Pipeline_tbl[[#This Row],[Closed_Date]],Dim_Date!A:A,Dim_Date!H:H)))</f>
        <v>Apr 2025</v>
      </c>
      <c r="U2673">
        <f>IF(Pipeline_tbl[[#This Row],[Closed_Date]]=0,"",Pipeline_tbl[[#This Row],[Closed_Date]]-Pipeline_tbl[[#This Row],[Created_Date]])</f>
        <v>22</v>
      </c>
    </row>
    <row r="2674" spans="1:21" ht="15" customHeight="1" x14ac:dyDescent="0.2">
      <c r="A2674" t="s">
        <v>2980</v>
      </c>
      <c r="B2674" t="s">
        <v>205</v>
      </c>
      <c r="C2674" t="s">
        <v>52</v>
      </c>
      <c r="D2674" s="49">
        <v>45736</v>
      </c>
      <c r="E2674" s="49">
        <v>45738</v>
      </c>
      <c r="F2674" s="49">
        <v>45743</v>
      </c>
      <c r="G2674" s="49">
        <v>45750</v>
      </c>
      <c r="I2674" s="49">
        <v>45760</v>
      </c>
      <c r="J2674" t="s">
        <v>49</v>
      </c>
      <c r="K2674" s="33">
        <v>3500</v>
      </c>
      <c r="L2674" t="s">
        <v>61</v>
      </c>
      <c r="M2674" t="str">
        <f>_xlfn.XLOOKUP(Pipeline_tbl[[#This Row],[Rep_ID]],Dim_Reps!A:A,Dim_Reps!K:K)</f>
        <v>EUR</v>
      </c>
      <c r="N2674" s="33">
        <f>(_xlfn.XLOOKUP(Pipeline_tbl[[#This Row],[Rate_Code_Generalized]],Lookups!A:A,Lookups!B:B))*Pipeline_tbl[[#This Row],[Pipeline_Amount_USD]]</f>
        <v>3500</v>
      </c>
      <c r="O2674" t="str">
        <f>_xlfn.XLOOKUP(Pipeline_tbl[[#This Row],[Rep_ID]],Dim_Reps!A:A,Dim_Reps!B:B)</f>
        <v>Karim Alvarez</v>
      </c>
      <c r="P2674" t="str">
        <f>_xlfn.XLOOKUP(Pipeline_tbl[[#This Row],[Rep_ID]],Dim_Reps!A:A,Dim_Reps!C:C)</f>
        <v>SDR / Inside Sales Rep</v>
      </c>
      <c r="Q2674" t="str">
        <f>_xlfn.XLOOKUP(Pipeline_tbl[[#This Row],[Rep_ID]],Dim_Reps!A:A,Dim_Reps!D:D)</f>
        <v>Inside Sales</v>
      </c>
      <c r="R2674" t="str">
        <f>_xlfn.XLOOKUP(Pipeline_tbl[[#This Row],[Rep_ID]],Dim_Reps!A:A,Dim_Reps!E:E)</f>
        <v>EMEA</v>
      </c>
      <c r="S2674" t="str">
        <f>_xlfn.XLOOKUP(Pipeline_tbl[[#This Row],[Created_Date]],Dim_Date!A:A,Dim_Date!H:H)</f>
        <v>Mar 2025</v>
      </c>
      <c r="T2674" t="str">
        <f>IF(Pipeline_tbl[[#This Row],[Closed_Date]]=0,"",(_xlfn.XLOOKUP(Pipeline_tbl[[#This Row],[Closed_Date]],Dim_Date!A:A,Dim_Date!H:H)))</f>
        <v>Apr 2025</v>
      </c>
      <c r="U2674">
        <f>IF(Pipeline_tbl[[#This Row],[Closed_Date]]=0,"",Pipeline_tbl[[#This Row],[Closed_Date]]-Pipeline_tbl[[#This Row],[Created_Date]])</f>
        <v>24</v>
      </c>
    </row>
    <row r="2675" spans="1:21" ht="15" customHeight="1" x14ac:dyDescent="0.2">
      <c r="A2675" t="s">
        <v>2981</v>
      </c>
      <c r="B2675" t="s">
        <v>207</v>
      </c>
      <c r="C2675" t="s">
        <v>56</v>
      </c>
      <c r="D2675" s="49">
        <v>45730</v>
      </c>
      <c r="E2675" s="49">
        <v>45732</v>
      </c>
      <c r="F2675" s="49">
        <v>45735</v>
      </c>
      <c r="G2675" s="49">
        <v>45741</v>
      </c>
      <c r="I2675" s="49">
        <v>45748</v>
      </c>
      <c r="J2675" t="s">
        <v>49</v>
      </c>
      <c r="K2675" s="33">
        <v>1700</v>
      </c>
      <c r="L2675" t="s">
        <v>63</v>
      </c>
      <c r="M2675" t="str">
        <f>_xlfn.XLOOKUP(Pipeline_tbl[[#This Row],[Rep_ID]],Dim_Reps!A:A,Dim_Reps!K:K)</f>
        <v>EUR</v>
      </c>
      <c r="N2675" s="33">
        <f>(_xlfn.XLOOKUP(Pipeline_tbl[[#This Row],[Rate_Code_Generalized]],Lookups!A:A,Lookups!B:B))*Pipeline_tbl[[#This Row],[Pipeline_Amount_USD]]</f>
        <v>1700</v>
      </c>
      <c r="O2675" t="str">
        <f>_xlfn.XLOOKUP(Pipeline_tbl[[#This Row],[Rep_ID]],Dim_Reps!A:A,Dim_Reps!B:B)</f>
        <v>Sam Castro</v>
      </c>
      <c r="P2675" t="str">
        <f>_xlfn.XLOOKUP(Pipeline_tbl[[#This Row],[Rep_ID]],Dim_Reps!A:A,Dim_Reps!C:C)</f>
        <v>SDR / Inside Sales Rep</v>
      </c>
      <c r="Q2675" t="str">
        <f>_xlfn.XLOOKUP(Pipeline_tbl[[#This Row],[Rep_ID]],Dim_Reps!A:A,Dim_Reps!D:D)</f>
        <v>Inside Sales</v>
      </c>
      <c r="R2675" t="str">
        <f>_xlfn.XLOOKUP(Pipeline_tbl[[#This Row],[Rep_ID]],Dim_Reps!A:A,Dim_Reps!E:E)</f>
        <v>APAC</v>
      </c>
      <c r="S2675" t="str">
        <f>_xlfn.XLOOKUP(Pipeline_tbl[[#This Row],[Created_Date]],Dim_Date!A:A,Dim_Date!H:H)</f>
        <v>Mar 2025</v>
      </c>
      <c r="T2675" t="str">
        <f>IF(Pipeline_tbl[[#This Row],[Closed_Date]]=0,"",(_xlfn.XLOOKUP(Pipeline_tbl[[#This Row],[Closed_Date]],Dim_Date!A:A,Dim_Date!H:H)))</f>
        <v>Apr 2025</v>
      </c>
      <c r="U2675">
        <f>IF(Pipeline_tbl[[#This Row],[Closed_Date]]=0,"",Pipeline_tbl[[#This Row],[Closed_Date]]-Pipeline_tbl[[#This Row],[Created_Date]])</f>
        <v>18</v>
      </c>
    </row>
    <row r="2676" spans="1:21" ht="15" customHeight="1" x14ac:dyDescent="0.2">
      <c r="A2676" t="s">
        <v>2982</v>
      </c>
      <c r="B2676" t="s">
        <v>207</v>
      </c>
      <c r="C2676" t="s">
        <v>52</v>
      </c>
      <c r="D2676" s="49">
        <v>45744</v>
      </c>
      <c r="E2676" s="49">
        <v>45745</v>
      </c>
      <c r="F2676" s="49">
        <v>45748</v>
      </c>
      <c r="I2676" s="49">
        <v>45758</v>
      </c>
      <c r="J2676" t="s">
        <v>49</v>
      </c>
      <c r="K2676" s="33">
        <v>4600</v>
      </c>
      <c r="L2676" t="s">
        <v>61</v>
      </c>
      <c r="M2676" t="str">
        <f>_xlfn.XLOOKUP(Pipeline_tbl[[#This Row],[Rep_ID]],Dim_Reps!A:A,Dim_Reps!K:K)</f>
        <v>EUR</v>
      </c>
      <c r="N2676" s="33">
        <f>(_xlfn.XLOOKUP(Pipeline_tbl[[#This Row],[Rate_Code_Generalized]],Lookups!A:A,Lookups!B:B))*Pipeline_tbl[[#This Row],[Pipeline_Amount_USD]]</f>
        <v>4600</v>
      </c>
      <c r="O2676" t="str">
        <f>_xlfn.XLOOKUP(Pipeline_tbl[[#This Row],[Rep_ID]],Dim_Reps!A:A,Dim_Reps!B:B)</f>
        <v>Sam Castro</v>
      </c>
      <c r="P2676" t="str">
        <f>_xlfn.XLOOKUP(Pipeline_tbl[[#This Row],[Rep_ID]],Dim_Reps!A:A,Dim_Reps!C:C)</f>
        <v>SDR / Inside Sales Rep</v>
      </c>
      <c r="Q2676" t="str">
        <f>_xlfn.XLOOKUP(Pipeline_tbl[[#This Row],[Rep_ID]],Dim_Reps!A:A,Dim_Reps!D:D)</f>
        <v>Inside Sales</v>
      </c>
      <c r="R2676" t="str">
        <f>_xlfn.XLOOKUP(Pipeline_tbl[[#This Row],[Rep_ID]],Dim_Reps!A:A,Dim_Reps!E:E)</f>
        <v>APAC</v>
      </c>
      <c r="S2676" t="str">
        <f>_xlfn.XLOOKUP(Pipeline_tbl[[#This Row],[Created_Date]],Dim_Date!A:A,Dim_Date!H:H)</f>
        <v>Mar 2025</v>
      </c>
      <c r="T2676" t="str">
        <f>IF(Pipeline_tbl[[#This Row],[Closed_Date]]=0,"",(_xlfn.XLOOKUP(Pipeline_tbl[[#This Row],[Closed_Date]],Dim_Date!A:A,Dim_Date!H:H)))</f>
        <v>Apr 2025</v>
      </c>
      <c r="U2676">
        <f>IF(Pipeline_tbl[[#This Row],[Closed_Date]]=0,"",Pipeline_tbl[[#This Row],[Closed_Date]]-Pipeline_tbl[[#This Row],[Created_Date]])</f>
        <v>14</v>
      </c>
    </row>
    <row r="2677" spans="1:21" ht="15" customHeight="1" x14ac:dyDescent="0.2">
      <c r="A2677" t="s">
        <v>2983</v>
      </c>
      <c r="B2677" t="s">
        <v>207</v>
      </c>
      <c r="C2677" t="s">
        <v>54</v>
      </c>
      <c r="D2677" s="49">
        <v>45735</v>
      </c>
      <c r="E2677" s="49">
        <v>45737</v>
      </c>
      <c r="I2677" s="49">
        <v>45760</v>
      </c>
      <c r="J2677" t="s">
        <v>49</v>
      </c>
      <c r="K2677" s="33">
        <v>3900</v>
      </c>
      <c r="L2677" t="s">
        <v>60</v>
      </c>
      <c r="M2677" t="str">
        <f>_xlfn.XLOOKUP(Pipeline_tbl[[#This Row],[Rep_ID]],Dim_Reps!A:A,Dim_Reps!K:K)</f>
        <v>EUR</v>
      </c>
      <c r="N2677" s="33">
        <f>(_xlfn.XLOOKUP(Pipeline_tbl[[#This Row],[Rate_Code_Generalized]],Lookups!A:A,Lookups!B:B))*Pipeline_tbl[[#This Row],[Pipeline_Amount_USD]]</f>
        <v>3900</v>
      </c>
      <c r="O2677" t="str">
        <f>_xlfn.XLOOKUP(Pipeline_tbl[[#This Row],[Rep_ID]],Dim_Reps!A:A,Dim_Reps!B:B)</f>
        <v>Sam Castro</v>
      </c>
      <c r="P2677" t="str">
        <f>_xlfn.XLOOKUP(Pipeline_tbl[[#This Row],[Rep_ID]],Dim_Reps!A:A,Dim_Reps!C:C)</f>
        <v>SDR / Inside Sales Rep</v>
      </c>
      <c r="Q2677" t="str">
        <f>_xlfn.XLOOKUP(Pipeline_tbl[[#This Row],[Rep_ID]],Dim_Reps!A:A,Dim_Reps!D:D)</f>
        <v>Inside Sales</v>
      </c>
      <c r="R2677" t="str">
        <f>_xlfn.XLOOKUP(Pipeline_tbl[[#This Row],[Rep_ID]],Dim_Reps!A:A,Dim_Reps!E:E)</f>
        <v>APAC</v>
      </c>
      <c r="S2677" t="str">
        <f>_xlfn.XLOOKUP(Pipeline_tbl[[#This Row],[Created_Date]],Dim_Date!A:A,Dim_Date!H:H)</f>
        <v>Mar 2025</v>
      </c>
      <c r="T2677" t="str">
        <f>IF(Pipeline_tbl[[#This Row],[Closed_Date]]=0,"",(_xlfn.XLOOKUP(Pipeline_tbl[[#This Row],[Closed_Date]],Dim_Date!A:A,Dim_Date!H:H)))</f>
        <v>Apr 2025</v>
      </c>
      <c r="U2677">
        <f>IF(Pipeline_tbl[[#This Row],[Closed_Date]]=0,"",Pipeline_tbl[[#This Row],[Closed_Date]]-Pipeline_tbl[[#This Row],[Created_Date]])</f>
        <v>25</v>
      </c>
    </row>
    <row r="2678" spans="1:21" ht="15" customHeight="1" x14ac:dyDescent="0.2">
      <c r="A2678" t="s">
        <v>2984</v>
      </c>
      <c r="B2678" t="s">
        <v>207</v>
      </c>
      <c r="C2678" t="s">
        <v>52</v>
      </c>
      <c r="D2678" s="49">
        <v>45733</v>
      </c>
      <c r="E2678" s="49">
        <v>45735</v>
      </c>
      <c r="F2678" s="49">
        <v>45739</v>
      </c>
      <c r="G2678" s="49">
        <v>45744</v>
      </c>
      <c r="H2678" s="49">
        <v>45749</v>
      </c>
      <c r="I2678" s="49">
        <v>45752</v>
      </c>
      <c r="J2678" t="s">
        <v>47</v>
      </c>
      <c r="K2678" s="33">
        <v>3400</v>
      </c>
      <c r="M2678" t="str">
        <f>_xlfn.XLOOKUP(Pipeline_tbl[[#This Row],[Rep_ID]],Dim_Reps!A:A,Dim_Reps!K:K)</f>
        <v>EUR</v>
      </c>
      <c r="N2678" s="33">
        <f>(_xlfn.XLOOKUP(Pipeline_tbl[[#This Row],[Rate_Code_Generalized]],Lookups!A:A,Lookups!B:B))*Pipeline_tbl[[#This Row],[Pipeline_Amount_USD]]</f>
        <v>3400</v>
      </c>
      <c r="O2678" t="str">
        <f>_xlfn.XLOOKUP(Pipeline_tbl[[#This Row],[Rep_ID]],Dim_Reps!A:A,Dim_Reps!B:B)</f>
        <v>Sam Castro</v>
      </c>
      <c r="P2678" t="str">
        <f>_xlfn.XLOOKUP(Pipeline_tbl[[#This Row],[Rep_ID]],Dim_Reps!A:A,Dim_Reps!C:C)</f>
        <v>SDR / Inside Sales Rep</v>
      </c>
      <c r="Q2678" t="str">
        <f>_xlfn.XLOOKUP(Pipeline_tbl[[#This Row],[Rep_ID]],Dim_Reps!A:A,Dim_Reps!D:D)</f>
        <v>Inside Sales</v>
      </c>
      <c r="R2678" t="str">
        <f>_xlfn.XLOOKUP(Pipeline_tbl[[#This Row],[Rep_ID]],Dim_Reps!A:A,Dim_Reps!E:E)</f>
        <v>APAC</v>
      </c>
      <c r="S2678" t="str">
        <f>_xlfn.XLOOKUP(Pipeline_tbl[[#This Row],[Created_Date]],Dim_Date!A:A,Dim_Date!H:H)</f>
        <v>Mar 2025</v>
      </c>
      <c r="T2678" t="str">
        <f>IF(Pipeline_tbl[[#This Row],[Closed_Date]]=0,"",(_xlfn.XLOOKUP(Pipeline_tbl[[#This Row],[Closed_Date]],Dim_Date!A:A,Dim_Date!H:H)))</f>
        <v>Apr 2025</v>
      </c>
      <c r="U2678">
        <f>IF(Pipeline_tbl[[#This Row],[Closed_Date]]=0,"",Pipeline_tbl[[#This Row],[Closed_Date]]-Pipeline_tbl[[#This Row],[Created_Date]])</f>
        <v>19</v>
      </c>
    </row>
    <row r="2679" spans="1:21" ht="15" customHeight="1" x14ac:dyDescent="0.2">
      <c r="A2679" t="s">
        <v>2985</v>
      </c>
      <c r="B2679" t="s">
        <v>209</v>
      </c>
      <c r="C2679" t="s">
        <v>52</v>
      </c>
      <c r="D2679" s="49">
        <v>45726</v>
      </c>
      <c r="E2679" s="49">
        <v>45728</v>
      </c>
      <c r="F2679" s="49">
        <v>45733</v>
      </c>
      <c r="I2679" s="49">
        <v>45748</v>
      </c>
      <c r="J2679" t="s">
        <v>49</v>
      </c>
      <c r="K2679" s="33">
        <v>3100</v>
      </c>
      <c r="L2679" t="s">
        <v>63</v>
      </c>
      <c r="M2679" t="str">
        <f>_xlfn.XLOOKUP(Pipeline_tbl[[#This Row],[Rep_ID]],Dim_Reps!A:A,Dim_Reps!K:K)</f>
        <v>EUR</v>
      </c>
      <c r="N2679" s="33">
        <f>(_xlfn.XLOOKUP(Pipeline_tbl[[#This Row],[Rate_Code_Generalized]],Lookups!A:A,Lookups!B:B))*Pipeline_tbl[[#This Row],[Pipeline_Amount_USD]]</f>
        <v>3100</v>
      </c>
      <c r="O2679" t="str">
        <f>_xlfn.XLOOKUP(Pipeline_tbl[[#This Row],[Rep_ID]],Dim_Reps!A:A,Dim_Reps!B:B)</f>
        <v>Petra Larsen</v>
      </c>
      <c r="P2679" t="str">
        <f>_xlfn.XLOOKUP(Pipeline_tbl[[#This Row],[Rep_ID]],Dim_Reps!A:A,Dim_Reps!C:C)</f>
        <v>SDR / Inside Sales Rep</v>
      </c>
      <c r="Q2679" t="str">
        <f>_xlfn.XLOOKUP(Pipeline_tbl[[#This Row],[Rep_ID]],Dim_Reps!A:A,Dim_Reps!D:D)</f>
        <v>Inside Sales</v>
      </c>
      <c r="R2679" t="str">
        <f>_xlfn.XLOOKUP(Pipeline_tbl[[#This Row],[Rep_ID]],Dim_Reps!A:A,Dim_Reps!E:E)</f>
        <v>EMEA</v>
      </c>
      <c r="S2679" t="str">
        <f>_xlfn.XLOOKUP(Pipeline_tbl[[#This Row],[Created_Date]],Dim_Date!A:A,Dim_Date!H:H)</f>
        <v>Mar 2025</v>
      </c>
      <c r="T2679" t="str">
        <f>IF(Pipeline_tbl[[#This Row],[Closed_Date]]=0,"",(_xlfn.XLOOKUP(Pipeline_tbl[[#This Row],[Closed_Date]],Dim_Date!A:A,Dim_Date!H:H)))</f>
        <v>Apr 2025</v>
      </c>
      <c r="U2679">
        <f>IF(Pipeline_tbl[[#This Row],[Closed_Date]]=0,"",Pipeline_tbl[[#This Row],[Closed_Date]]-Pipeline_tbl[[#This Row],[Created_Date]])</f>
        <v>22</v>
      </c>
    </row>
    <row r="2680" spans="1:21" ht="15" customHeight="1" x14ac:dyDescent="0.2">
      <c r="A2680" t="s">
        <v>2986</v>
      </c>
      <c r="B2680" t="s">
        <v>209</v>
      </c>
      <c r="C2680" t="s">
        <v>54</v>
      </c>
      <c r="D2680" s="49">
        <v>45731</v>
      </c>
      <c r="E2680" s="49">
        <v>45733</v>
      </c>
      <c r="F2680" s="49">
        <v>45737</v>
      </c>
      <c r="G2680" s="49">
        <v>45742</v>
      </c>
      <c r="H2680" s="49">
        <v>45747</v>
      </c>
      <c r="I2680" s="49">
        <v>45750</v>
      </c>
      <c r="J2680" t="s">
        <v>47</v>
      </c>
      <c r="K2680" s="33">
        <v>5200</v>
      </c>
      <c r="M2680" t="str">
        <f>_xlfn.XLOOKUP(Pipeline_tbl[[#This Row],[Rep_ID]],Dim_Reps!A:A,Dim_Reps!K:K)</f>
        <v>EUR</v>
      </c>
      <c r="N2680" s="33">
        <f>(_xlfn.XLOOKUP(Pipeline_tbl[[#This Row],[Rate_Code_Generalized]],Lookups!A:A,Lookups!B:B))*Pipeline_tbl[[#This Row],[Pipeline_Amount_USD]]</f>
        <v>5200</v>
      </c>
      <c r="O2680" t="str">
        <f>_xlfn.XLOOKUP(Pipeline_tbl[[#This Row],[Rep_ID]],Dim_Reps!A:A,Dim_Reps!B:B)</f>
        <v>Petra Larsen</v>
      </c>
      <c r="P2680" t="str">
        <f>_xlfn.XLOOKUP(Pipeline_tbl[[#This Row],[Rep_ID]],Dim_Reps!A:A,Dim_Reps!C:C)</f>
        <v>SDR / Inside Sales Rep</v>
      </c>
      <c r="Q2680" t="str">
        <f>_xlfn.XLOOKUP(Pipeline_tbl[[#This Row],[Rep_ID]],Dim_Reps!A:A,Dim_Reps!D:D)</f>
        <v>Inside Sales</v>
      </c>
      <c r="R2680" t="str">
        <f>_xlfn.XLOOKUP(Pipeline_tbl[[#This Row],[Rep_ID]],Dim_Reps!A:A,Dim_Reps!E:E)</f>
        <v>EMEA</v>
      </c>
      <c r="S2680" t="str">
        <f>_xlfn.XLOOKUP(Pipeline_tbl[[#This Row],[Created_Date]],Dim_Date!A:A,Dim_Date!H:H)</f>
        <v>Mar 2025</v>
      </c>
      <c r="T2680" t="str">
        <f>IF(Pipeline_tbl[[#This Row],[Closed_Date]]=0,"",(_xlfn.XLOOKUP(Pipeline_tbl[[#This Row],[Closed_Date]],Dim_Date!A:A,Dim_Date!H:H)))</f>
        <v>Apr 2025</v>
      </c>
      <c r="U2680">
        <f>IF(Pipeline_tbl[[#This Row],[Closed_Date]]=0,"",Pipeline_tbl[[#This Row],[Closed_Date]]-Pipeline_tbl[[#This Row],[Created_Date]])</f>
        <v>19</v>
      </c>
    </row>
    <row r="2681" spans="1:21" ht="15" customHeight="1" x14ac:dyDescent="0.2">
      <c r="A2681" t="s">
        <v>2987</v>
      </c>
      <c r="B2681" t="s">
        <v>209</v>
      </c>
      <c r="C2681" t="s">
        <v>52</v>
      </c>
      <c r="D2681" s="49">
        <v>45728</v>
      </c>
      <c r="E2681" s="49">
        <v>45731</v>
      </c>
      <c r="I2681" s="49">
        <v>45755</v>
      </c>
      <c r="J2681" t="s">
        <v>49</v>
      </c>
      <c r="K2681" s="33">
        <v>2600</v>
      </c>
      <c r="L2681" t="s">
        <v>62</v>
      </c>
      <c r="M2681" t="str">
        <f>_xlfn.XLOOKUP(Pipeline_tbl[[#This Row],[Rep_ID]],Dim_Reps!A:A,Dim_Reps!K:K)</f>
        <v>EUR</v>
      </c>
      <c r="N2681" s="33">
        <f>(_xlfn.XLOOKUP(Pipeline_tbl[[#This Row],[Rate_Code_Generalized]],Lookups!A:A,Lookups!B:B))*Pipeline_tbl[[#This Row],[Pipeline_Amount_USD]]</f>
        <v>2600</v>
      </c>
      <c r="O2681" t="str">
        <f>_xlfn.XLOOKUP(Pipeline_tbl[[#This Row],[Rep_ID]],Dim_Reps!A:A,Dim_Reps!B:B)</f>
        <v>Petra Larsen</v>
      </c>
      <c r="P2681" t="str">
        <f>_xlfn.XLOOKUP(Pipeline_tbl[[#This Row],[Rep_ID]],Dim_Reps!A:A,Dim_Reps!C:C)</f>
        <v>SDR / Inside Sales Rep</v>
      </c>
      <c r="Q2681" t="str">
        <f>_xlfn.XLOOKUP(Pipeline_tbl[[#This Row],[Rep_ID]],Dim_Reps!A:A,Dim_Reps!D:D)</f>
        <v>Inside Sales</v>
      </c>
      <c r="R2681" t="str">
        <f>_xlfn.XLOOKUP(Pipeline_tbl[[#This Row],[Rep_ID]],Dim_Reps!A:A,Dim_Reps!E:E)</f>
        <v>EMEA</v>
      </c>
      <c r="S2681" t="str">
        <f>_xlfn.XLOOKUP(Pipeline_tbl[[#This Row],[Created_Date]],Dim_Date!A:A,Dim_Date!H:H)</f>
        <v>Mar 2025</v>
      </c>
      <c r="T2681" t="str">
        <f>IF(Pipeline_tbl[[#This Row],[Closed_Date]]=0,"",(_xlfn.XLOOKUP(Pipeline_tbl[[#This Row],[Closed_Date]],Dim_Date!A:A,Dim_Date!H:H)))</f>
        <v>Apr 2025</v>
      </c>
      <c r="U2681">
        <f>IF(Pipeline_tbl[[#This Row],[Closed_Date]]=0,"",Pipeline_tbl[[#This Row],[Closed_Date]]-Pipeline_tbl[[#This Row],[Created_Date]])</f>
        <v>27</v>
      </c>
    </row>
    <row r="2682" spans="1:21" ht="15" customHeight="1" x14ac:dyDescent="0.2">
      <c r="A2682" t="s">
        <v>2988</v>
      </c>
      <c r="B2682" t="s">
        <v>209</v>
      </c>
      <c r="C2682" t="s">
        <v>53</v>
      </c>
      <c r="D2682" s="49">
        <v>45743</v>
      </c>
      <c r="E2682" s="49">
        <v>45745</v>
      </c>
      <c r="F2682" s="49">
        <v>45748</v>
      </c>
      <c r="G2682" s="49">
        <v>45753</v>
      </c>
      <c r="I2682" s="49">
        <v>45760</v>
      </c>
      <c r="J2682" t="s">
        <v>49</v>
      </c>
      <c r="K2682" s="33">
        <v>3700</v>
      </c>
      <c r="L2682" t="s">
        <v>61</v>
      </c>
      <c r="M2682" t="str">
        <f>_xlfn.XLOOKUP(Pipeline_tbl[[#This Row],[Rep_ID]],Dim_Reps!A:A,Dim_Reps!K:K)</f>
        <v>EUR</v>
      </c>
      <c r="N2682" s="33">
        <f>(_xlfn.XLOOKUP(Pipeline_tbl[[#This Row],[Rate_Code_Generalized]],Lookups!A:A,Lookups!B:B))*Pipeline_tbl[[#This Row],[Pipeline_Amount_USD]]</f>
        <v>3700</v>
      </c>
      <c r="O2682" t="str">
        <f>_xlfn.XLOOKUP(Pipeline_tbl[[#This Row],[Rep_ID]],Dim_Reps!A:A,Dim_Reps!B:B)</f>
        <v>Petra Larsen</v>
      </c>
      <c r="P2682" t="str">
        <f>_xlfn.XLOOKUP(Pipeline_tbl[[#This Row],[Rep_ID]],Dim_Reps!A:A,Dim_Reps!C:C)</f>
        <v>SDR / Inside Sales Rep</v>
      </c>
      <c r="Q2682" t="str">
        <f>_xlfn.XLOOKUP(Pipeline_tbl[[#This Row],[Rep_ID]],Dim_Reps!A:A,Dim_Reps!D:D)</f>
        <v>Inside Sales</v>
      </c>
      <c r="R2682" t="str">
        <f>_xlfn.XLOOKUP(Pipeline_tbl[[#This Row],[Rep_ID]],Dim_Reps!A:A,Dim_Reps!E:E)</f>
        <v>EMEA</v>
      </c>
      <c r="S2682" t="str">
        <f>_xlfn.XLOOKUP(Pipeline_tbl[[#This Row],[Created_Date]],Dim_Date!A:A,Dim_Date!H:H)</f>
        <v>Mar 2025</v>
      </c>
      <c r="T2682" t="str">
        <f>IF(Pipeline_tbl[[#This Row],[Closed_Date]]=0,"",(_xlfn.XLOOKUP(Pipeline_tbl[[#This Row],[Closed_Date]],Dim_Date!A:A,Dim_Date!H:H)))</f>
        <v>Apr 2025</v>
      </c>
      <c r="U2682">
        <f>IF(Pipeline_tbl[[#This Row],[Closed_Date]]=0,"",Pipeline_tbl[[#This Row],[Closed_Date]]-Pipeline_tbl[[#This Row],[Created_Date]])</f>
        <v>17</v>
      </c>
    </row>
    <row r="2683" spans="1:21" ht="15" customHeight="1" x14ac:dyDescent="0.2">
      <c r="A2683" t="s">
        <v>2989</v>
      </c>
      <c r="B2683" t="s">
        <v>209</v>
      </c>
      <c r="C2683" t="s">
        <v>52</v>
      </c>
      <c r="D2683" s="49">
        <v>45737</v>
      </c>
      <c r="E2683" s="49">
        <v>45739</v>
      </c>
      <c r="I2683" s="49">
        <v>45758</v>
      </c>
      <c r="J2683" t="s">
        <v>49</v>
      </c>
      <c r="K2683" s="33">
        <v>2300</v>
      </c>
      <c r="L2683" t="s">
        <v>60</v>
      </c>
      <c r="M2683" t="str">
        <f>_xlfn.XLOOKUP(Pipeline_tbl[[#This Row],[Rep_ID]],Dim_Reps!A:A,Dim_Reps!K:K)</f>
        <v>EUR</v>
      </c>
      <c r="N2683" s="33">
        <f>(_xlfn.XLOOKUP(Pipeline_tbl[[#This Row],[Rate_Code_Generalized]],Lookups!A:A,Lookups!B:B))*Pipeline_tbl[[#This Row],[Pipeline_Amount_USD]]</f>
        <v>2300</v>
      </c>
      <c r="O2683" t="str">
        <f>_xlfn.XLOOKUP(Pipeline_tbl[[#This Row],[Rep_ID]],Dim_Reps!A:A,Dim_Reps!B:B)</f>
        <v>Petra Larsen</v>
      </c>
      <c r="P2683" t="str">
        <f>_xlfn.XLOOKUP(Pipeline_tbl[[#This Row],[Rep_ID]],Dim_Reps!A:A,Dim_Reps!C:C)</f>
        <v>SDR / Inside Sales Rep</v>
      </c>
      <c r="Q2683" t="str">
        <f>_xlfn.XLOOKUP(Pipeline_tbl[[#This Row],[Rep_ID]],Dim_Reps!A:A,Dim_Reps!D:D)</f>
        <v>Inside Sales</v>
      </c>
      <c r="R2683" t="str">
        <f>_xlfn.XLOOKUP(Pipeline_tbl[[#This Row],[Rep_ID]],Dim_Reps!A:A,Dim_Reps!E:E)</f>
        <v>EMEA</v>
      </c>
      <c r="S2683" t="str">
        <f>_xlfn.XLOOKUP(Pipeline_tbl[[#This Row],[Created_Date]],Dim_Date!A:A,Dim_Date!H:H)</f>
        <v>Mar 2025</v>
      </c>
      <c r="T2683" t="str">
        <f>IF(Pipeline_tbl[[#This Row],[Closed_Date]]=0,"",(_xlfn.XLOOKUP(Pipeline_tbl[[#This Row],[Closed_Date]],Dim_Date!A:A,Dim_Date!H:H)))</f>
        <v>Apr 2025</v>
      </c>
      <c r="U2683">
        <f>IF(Pipeline_tbl[[#This Row],[Closed_Date]]=0,"",Pipeline_tbl[[#This Row],[Closed_Date]]-Pipeline_tbl[[#This Row],[Created_Date]])</f>
        <v>21</v>
      </c>
    </row>
    <row r="2684" spans="1:21" ht="15" customHeight="1" x14ac:dyDescent="0.2">
      <c r="A2684" t="s">
        <v>2990</v>
      </c>
      <c r="B2684" t="s">
        <v>209</v>
      </c>
      <c r="C2684" t="s">
        <v>52</v>
      </c>
      <c r="D2684" s="49">
        <v>45744</v>
      </c>
      <c r="E2684" s="49">
        <v>45746</v>
      </c>
      <c r="F2684" s="49">
        <v>45751</v>
      </c>
      <c r="G2684" s="49">
        <v>45757</v>
      </c>
      <c r="I2684" s="49">
        <v>45766</v>
      </c>
      <c r="J2684" t="s">
        <v>49</v>
      </c>
      <c r="K2684" s="33">
        <v>3600</v>
      </c>
      <c r="L2684" t="s">
        <v>61</v>
      </c>
      <c r="M2684" t="str">
        <f>_xlfn.XLOOKUP(Pipeline_tbl[[#This Row],[Rep_ID]],Dim_Reps!A:A,Dim_Reps!K:K)</f>
        <v>EUR</v>
      </c>
      <c r="N2684" s="33">
        <f>(_xlfn.XLOOKUP(Pipeline_tbl[[#This Row],[Rate_Code_Generalized]],Lookups!A:A,Lookups!B:B))*Pipeline_tbl[[#This Row],[Pipeline_Amount_USD]]</f>
        <v>3600</v>
      </c>
      <c r="O2684" t="str">
        <f>_xlfn.XLOOKUP(Pipeline_tbl[[#This Row],[Rep_ID]],Dim_Reps!A:A,Dim_Reps!B:B)</f>
        <v>Petra Larsen</v>
      </c>
      <c r="P2684" t="str">
        <f>_xlfn.XLOOKUP(Pipeline_tbl[[#This Row],[Rep_ID]],Dim_Reps!A:A,Dim_Reps!C:C)</f>
        <v>SDR / Inside Sales Rep</v>
      </c>
      <c r="Q2684" t="str">
        <f>_xlfn.XLOOKUP(Pipeline_tbl[[#This Row],[Rep_ID]],Dim_Reps!A:A,Dim_Reps!D:D)</f>
        <v>Inside Sales</v>
      </c>
      <c r="R2684" t="str">
        <f>_xlfn.XLOOKUP(Pipeline_tbl[[#This Row],[Rep_ID]],Dim_Reps!A:A,Dim_Reps!E:E)</f>
        <v>EMEA</v>
      </c>
      <c r="S2684" t="str">
        <f>_xlfn.XLOOKUP(Pipeline_tbl[[#This Row],[Created_Date]],Dim_Date!A:A,Dim_Date!H:H)</f>
        <v>Mar 2025</v>
      </c>
      <c r="T2684" t="str">
        <f>IF(Pipeline_tbl[[#This Row],[Closed_Date]]=0,"",(_xlfn.XLOOKUP(Pipeline_tbl[[#This Row],[Closed_Date]],Dim_Date!A:A,Dim_Date!H:H)))</f>
        <v>Apr 2025</v>
      </c>
      <c r="U2684">
        <f>IF(Pipeline_tbl[[#This Row],[Closed_Date]]=0,"",Pipeline_tbl[[#This Row],[Closed_Date]]-Pipeline_tbl[[#This Row],[Created_Date]])</f>
        <v>22</v>
      </c>
    </row>
    <row r="2685" spans="1:21" ht="15" customHeight="1" x14ac:dyDescent="0.2">
      <c r="A2685" t="s">
        <v>2991</v>
      </c>
      <c r="B2685" t="s">
        <v>209</v>
      </c>
      <c r="C2685" t="s">
        <v>53</v>
      </c>
      <c r="D2685" s="49">
        <v>45744</v>
      </c>
      <c r="E2685" s="49">
        <v>45747</v>
      </c>
      <c r="F2685" s="49">
        <v>45753</v>
      </c>
      <c r="I2685" s="49">
        <v>45775</v>
      </c>
      <c r="J2685" t="s">
        <v>49</v>
      </c>
      <c r="K2685" s="33">
        <v>1700</v>
      </c>
      <c r="L2685" t="s">
        <v>60</v>
      </c>
      <c r="M2685" t="str">
        <f>_xlfn.XLOOKUP(Pipeline_tbl[[#This Row],[Rep_ID]],Dim_Reps!A:A,Dim_Reps!K:K)</f>
        <v>EUR</v>
      </c>
      <c r="N2685" s="33">
        <f>(_xlfn.XLOOKUP(Pipeline_tbl[[#This Row],[Rate_Code_Generalized]],Lookups!A:A,Lookups!B:B))*Pipeline_tbl[[#This Row],[Pipeline_Amount_USD]]</f>
        <v>1700</v>
      </c>
      <c r="O2685" t="str">
        <f>_xlfn.XLOOKUP(Pipeline_tbl[[#This Row],[Rep_ID]],Dim_Reps!A:A,Dim_Reps!B:B)</f>
        <v>Petra Larsen</v>
      </c>
      <c r="P2685" t="str">
        <f>_xlfn.XLOOKUP(Pipeline_tbl[[#This Row],[Rep_ID]],Dim_Reps!A:A,Dim_Reps!C:C)</f>
        <v>SDR / Inside Sales Rep</v>
      </c>
      <c r="Q2685" t="str">
        <f>_xlfn.XLOOKUP(Pipeline_tbl[[#This Row],[Rep_ID]],Dim_Reps!A:A,Dim_Reps!D:D)</f>
        <v>Inside Sales</v>
      </c>
      <c r="R2685" t="str">
        <f>_xlfn.XLOOKUP(Pipeline_tbl[[#This Row],[Rep_ID]],Dim_Reps!A:A,Dim_Reps!E:E)</f>
        <v>EMEA</v>
      </c>
      <c r="S2685" t="str">
        <f>_xlfn.XLOOKUP(Pipeline_tbl[[#This Row],[Created_Date]],Dim_Date!A:A,Dim_Date!H:H)</f>
        <v>Mar 2025</v>
      </c>
      <c r="T2685" t="str">
        <f>IF(Pipeline_tbl[[#This Row],[Closed_Date]]=0,"",(_xlfn.XLOOKUP(Pipeline_tbl[[#This Row],[Closed_Date]],Dim_Date!A:A,Dim_Date!H:H)))</f>
        <v>Apr 2025</v>
      </c>
      <c r="U2685">
        <f>IF(Pipeline_tbl[[#This Row],[Closed_Date]]=0,"",Pipeline_tbl[[#This Row],[Closed_Date]]-Pipeline_tbl[[#This Row],[Created_Date]])</f>
        <v>31</v>
      </c>
    </row>
    <row r="2686" spans="1:21" ht="15" customHeight="1" x14ac:dyDescent="0.2">
      <c r="A2686" t="s">
        <v>2992</v>
      </c>
      <c r="B2686" t="s">
        <v>211</v>
      </c>
      <c r="C2686" t="s">
        <v>52</v>
      </c>
      <c r="D2686" s="49">
        <v>45745</v>
      </c>
      <c r="E2686" s="49">
        <v>45747</v>
      </c>
      <c r="F2686" s="49">
        <v>45752</v>
      </c>
      <c r="G2686" s="49">
        <v>45759</v>
      </c>
      <c r="H2686" s="49">
        <v>45765</v>
      </c>
      <c r="I2686" s="49">
        <v>45769</v>
      </c>
      <c r="J2686" t="s">
        <v>49</v>
      </c>
      <c r="K2686" s="33">
        <v>2600</v>
      </c>
      <c r="L2686" t="s">
        <v>62</v>
      </c>
      <c r="M2686" t="str">
        <f>_xlfn.XLOOKUP(Pipeline_tbl[[#This Row],[Rep_ID]],Dim_Reps!A:A,Dim_Reps!K:K)</f>
        <v>EUR</v>
      </c>
      <c r="N2686" s="33">
        <f>(_xlfn.XLOOKUP(Pipeline_tbl[[#This Row],[Rate_Code_Generalized]],Lookups!A:A,Lookups!B:B))*Pipeline_tbl[[#This Row],[Pipeline_Amount_USD]]</f>
        <v>2600</v>
      </c>
      <c r="O2686" t="str">
        <f>_xlfn.XLOOKUP(Pipeline_tbl[[#This Row],[Rep_ID]],Dim_Reps!A:A,Dim_Reps!B:B)</f>
        <v>Lea Weber</v>
      </c>
      <c r="P2686" t="str">
        <f>_xlfn.XLOOKUP(Pipeline_tbl[[#This Row],[Rep_ID]],Dim_Reps!A:A,Dim_Reps!C:C)</f>
        <v>SDR / Inside Sales Rep</v>
      </c>
      <c r="Q2686" t="str">
        <f>_xlfn.XLOOKUP(Pipeline_tbl[[#This Row],[Rep_ID]],Dim_Reps!A:A,Dim_Reps!D:D)</f>
        <v>Inside Sales</v>
      </c>
      <c r="R2686" t="str">
        <f>_xlfn.XLOOKUP(Pipeline_tbl[[#This Row],[Rep_ID]],Dim_Reps!A:A,Dim_Reps!E:E)</f>
        <v>EMEA</v>
      </c>
      <c r="S2686" t="str">
        <f>_xlfn.XLOOKUP(Pipeline_tbl[[#This Row],[Created_Date]],Dim_Date!A:A,Dim_Date!H:H)</f>
        <v>Mar 2025</v>
      </c>
      <c r="T2686" t="str">
        <f>IF(Pipeline_tbl[[#This Row],[Closed_Date]]=0,"",(_xlfn.XLOOKUP(Pipeline_tbl[[#This Row],[Closed_Date]],Dim_Date!A:A,Dim_Date!H:H)))</f>
        <v>Apr 2025</v>
      </c>
      <c r="U2686">
        <f>IF(Pipeline_tbl[[#This Row],[Closed_Date]]=0,"",Pipeline_tbl[[#This Row],[Closed_Date]]-Pipeline_tbl[[#This Row],[Created_Date]])</f>
        <v>24</v>
      </c>
    </row>
    <row r="2687" spans="1:21" ht="15" customHeight="1" x14ac:dyDescent="0.2">
      <c r="A2687" t="s">
        <v>2993</v>
      </c>
      <c r="B2687" t="s">
        <v>211</v>
      </c>
      <c r="C2687" t="s">
        <v>55</v>
      </c>
      <c r="D2687" s="49">
        <v>45733</v>
      </c>
      <c r="E2687" s="49">
        <v>45736</v>
      </c>
      <c r="F2687" s="49">
        <v>45741</v>
      </c>
      <c r="G2687" s="49">
        <v>45749</v>
      </c>
      <c r="H2687" s="49">
        <v>45755</v>
      </c>
      <c r="I2687" s="49">
        <v>45759</v>
      </c>
      <c r="J2687" t="s">
        <v>49</v>
      </c>
      <c r="K2687" s="33">
        <v>1700</v>
      </c>
      <c r="L2687" t="s">
        <v>62</v>
      </c>
      <c r="M2687" t="str">
        <f>_xlfn.XLOOKUP(Pipeline_tbl[[#This Row],[Rep_ID]],Dim_Reps!A:A,Dim_Reps!K:K)</f>
        <v>EUR</v>
      </c>
      <c r="N2687" s="33">
        <f>(_xlfn.XLOOKUP(Pipeline_tbl[[#This Row],[Rate_Code_Generalized]],Lookups!A:A,Lookups!B:B))*Pipeline_tbl[[#This Row],[Pipeline_Amount_USD]]</f>
        <v>1700</v>
      </c>
      <c r="O2687" t="str">
        <f>_xlfn.XLOOKUP(Pipeline_tbl[[#This Row],[Rep_ID]],Dim_Reps!A:A,Dim_Reps!B:B)</f>
        <v>Lea Weber</v>
      </c>
      <c r="P2687" t="str">
        <f>_xlfn.XLOOKUP(Pipeline_tbl[[#This Row],[Rep_ID]],Dim_Reps!A:A,Dim_Reps!C:C)</f>
        <v>SDR / Inside Sales Rep</v>
      </c>
      <c r="Q2687" t="str">
        <f>_xlfn.XLOOKUP(Pipeline_tbl[[#This Row],[Rep_ID]],Dim_Reps!A:A,Dim_Reps!D:D)</f>
        <v>Inside Sales</v>
      </c>
      <c r="R2687" t="str">
        <f>_xlfn.XLOOKUP(Pipeline_tbl[[#This Row],[Rep_ID]],Dim_Reps!A:A,Dim_Reps!E:E)</f>
        <v>EMEA</v>
      </c>
      <c r="S2687" t="str">
        <f>_xlfn.XLOOKUP(Pipeline_tbl[[#This Row],[Created_Date]],Dim_Date!A:A,Dim_Date!H:H)</f>
        <v>Mar 2025</v>
      </c>
      <c r="T2687" t="str">
        <f>IF(Pipeline_tbl[[#This Row],[Closed_Date]]=0,"",(_xlfn.XLOOKUP(Pipeline_tbl[[#This Row],[Closed_Date]],Dim_Date!A:A,Dim_Date!H:H)))</f>
        <v>Apr 2025</v>
      </c>
      <c r="U2687">
        <f>IF(Pipeline_tbl[[#This Row],[Closed_Date]]=0,"",Pipeline_tbl[[#This Row],[Closed_Date]]-Pipeline_tbl[[#This Row],[Created_Date]])</f>
        <v>26</v>
      </c>
    </row>
    <row r="2688" spans="1:21" ht="15" customHeight="1" x14ac:dyDescent="0.2">
      <c r="A2688" t="s">
        <v>2994</v>
      </c>
      <c r="B2688" t="s">
        <v>211</v>
      </c>
      <c r="C2688" t="s">
        <v>53</v>
      </c>
      <c r="D2688" s="49">
        <v>45743</v>
      </c>
      <c r="E2688" s="49">
        <v>45745</v>
      </c>
      <c r="F2688" s="49">
        <v>45748</v>
      </c>
      <c r="G2688" s="49">
        <v>45754</v>
      </c>
      <c r="H2688" s="49">
        <v>45758</v>
      </c>
      <c r="I2688" s="49">
        <v>45761</v>
      </c>
      <c r="J2688" t="s">
        <v>47</v>
      </c>
      <c r="K2688" s="33">
        <v>3500</v>
      </c>
      <c r="M2688" t="str">
        <f>_xlfn.XLOOKUP(Pipeline_tbl[[#This Row],[Rep_ID]],Dim_Reps!A:A,Dim_Reps!K:K)</f>
        <v>EUR</v>
      </c>
      <c r="N2688" s="33">
        <f>(_xlfn.XLOOKUP(Pipeline_tbl[[#This Row],[Rate_Code_Generalized]],Lookups!A:A,Lookups!B:B))*Pipeline_tbl[[#This Row],[Pipeline_Amount_USD]]</f>
        <v>3500</v>
      </c>
      <c r="O2688" t="str">
        <f>_xlfn.XLOOKUP(Pipeline_tbl[[#This Row],[Rep_ID]],Dim_Reps!A:A,Dim_Reps!B:B)</f>
        <v>Lea Weber</v>
      </c>
      <c r="P2688" t="str">
        <f>_xlfn.XLOOKUP(Pipeline_tbl[[#This Row],[Rep_ID]],Dim_Reps!A:A,Dim_Reps!C:C)</f>
        <v>SDR / Inside Sales Rep</v>
      </c>
      <c r="Q2688" t="str">
        <f>_xlfn.XLOOKUP(Pipeline_tbl[[#This Row],[Rep_ID]],Dim_Reps!A:A,Dim_Reps!D:D)</f>
        <v>Inside Sales</v>
      </c>
      <c r="R2688" t="str">
        <f>_xlfn.XLOOKUP(Pipeline_tbl[[#This Row],[Rep_ID]],Dim_Reps!A:A,Dim_Reps!E:E)</f>
        <v>EMEA</v>
      </c>
      <c r="S2688" t="str">
        <f>_xlfn.XLOOKUP(Pipeline_tbl[[#This Row],[Created_Date]],Dim_Date!A:A,Dim_Date!H:H)</f>
        <v>Mar 2025</v>
      </c>
      <c r="T2688" t="str">
        <f>IF(Pipeline_tbl[[#This Row],[Closed_Date]]=0,"",(_xlfn.XLOOKUP(Pipeline_tbl[[#This Row],[Closed_Date]],Dim_Date!A:A,Dim_Date!H:H)))</f>
        <v>Apr 2025</v>
      </c>
      <c r="U2688">
        <f>IF(Pipeline_tbl[[#This Row],[Closed_Date]]=0,"",Pipeline_tbl[[#This Row],[Closed_Date]]-Pipeline_tbl[[#This Row],[Created_Date]])</f>
        <v>18</v>
      </c>
    </row>
    <row r="2689" spans="1:21" ht="15" customHeight="1" x14ac:dyDescent="0.2">
      <c r="A2689" t="s">
        <v>2995</v>
      </c>
      <c r="B2689" t="s">
        <v>211</v>
      </c>
      <c r="C2689" t="s">
        <v>53</v>
      </c>
      <c r="D2689" s="49">
        <v>45747</v>
      </c>
      <c r="E2689" s="49">
        <v>45749</v>
      </c>
      <c r="F2689" s="49">
        <v>45753</v>
      </c>
      <c r="G2689" s="49">
        <v>45760</v>
      </c>
      <c r="H2689" s="49">
        <v>45765</v>
      </c>
      <c r="I2689" s="49">
        <v>45768</v>
      </c>
      <c r="J2689" t="s">
        <v>49</v>
      </c>
      <c r="K2689" s="33">
        <v>4700</v>
      </c>
      <c r="L2689" t="s">
        <v>63</v>
      </c>
      <c r="M2689" t="str">
        <f>_xlfn.XLOOKUP(Pipeline_tbl[[#This Row],[Rep_ID]],Dim_Reps!A:A,Dim_Reps!K:K)</f>
        <v>EUR</v>
      </c>
      <c r="N2689" s="33">
        <f>(_xlfn.XLOOKUP(Pipeline_tbl[[#This Row],[Rate_Code_Generalized]],Lookups!A:A,Lookups!B:B))*Pipeline_tbl[[#This Row],[Pipeline_Amount_USD]]</f>
        <v>4700</v>
      </c>
      <c r="O2689" t="str">
        <f>_xlfn.XLOOKUP(Pipeline_tbl[[#This Row],[Rep_ID]],Dim_Reps!A:A,Dim_Reps!B:B)</f>
        <v>Lea Weber</v>
      </c>
      <c r="P2689" t="str">
        <f>_xlfn.XLOOKUP(Pipeline_tbl[[#This Row],[Rep_ID]],Dim_Reps!A:A,Dim_Reps!C:C)</f>
        <v>SDR / Inside Sales Rep</v>
      </c>
      <c r="Q2689" t="str">
        <f>_xlfn.XLOOKUP(Pipeline_tbl[[#This Row],[Rep_ID]],Dim_Reps!A:A,Dim_Reps!D:D)</f>
        <v>Inside Sales</v>
      </c>
      <c r="R2689" t="str">
        <f>_xlfn.XLOOKUP(Pipeline_tbl[[#This Row],[Rep_ID]],Dim_Reps!A:A,Dim_Reps!E:E)</f>
        <v>EMEA</v>
      </c>
      <c r="S2689" t="str">
        <f>_xlfn.XLOOKUP(Pipeline_tbl[[#This Row],[Created_Date]],Dim_Date!A:A,Dim_Date!H:H)</f>
        <v>Mar 2025</v>
      </c>
      <c r="T2689" t="str">
        <f>IF(Pipeline_tbl[[#This Row],[Closed_Date]]=0,"",(_xlfn.XLOOKUP(Pipeline_tbl[[#This Row],[Closed_Date]],Dim_Date!A:A,Dim_Date!H:H)))</f>
        <v>Apr 2025</v>
      </c>
      <c r="U2689">
        <f>IF(Pipeline_tbl[[#This Row],[Closed_Date]]=0,"",Pipeline_tbl[[#This Row],[Closed_Date]]-Pipeline_tbl[[#This Row],[Created_Date]])</f>
        <v>21</v>
      </c>
    </row>
    <row r="2690" spans="1:21" ht="15" customHeight="1" x14ac:dyDescent="0.2">
      <c r="A2690" t="s">
        <v>2996</v>
      </c>
      <c r="B2690" t="s">
        <v>211</v>
      </c>
      <c r="C2690" t="s">
        <v>53</v>
      </c>
      <c r="D2690" s="49">
        <v>45746</v>
      </c>
      <c r="E2690" s="49">
        <v>45747</v>
      </c>
      <c r="F2690" s="49">
        <v>45749</v>
      </c>
      <c r="I2690" s="49">
        <v>45756</v>
      </c>
      <c r="J2690" t="s">
        <v>49</v>
      </c>
      <c r="K2690" s="33">
        <v>2700</v>
      </c>
      <c r="L2690" t="s">
        <v>62</v>
      </c>
      <c r="M2690" t="str">
        <f>_xlfn.XLOOKUP(Pipeline_tbl[[#This Row],[Rep_ID]],Dim_Reps!A:A,Dim_Reps!K:K)</f>
        <v>EUR</v>
      </c>
      <c r="N2690" s="33">
        <f>(_xlfn.XLOOKUP(Pipeline_tbl[[#This Row],[Rate_Code_Generalized]],Lookups!A:A,Lookups!B:B))*Pipeline_tbl[[#This Row],[Pipeline_Amount_USD]]</f>
        <v>2700</v>
      </c>
      <c r="O2690" t="str">
        <f>_xlfn.XLOOKUP(Pipeline_tbl[[#This Row],[Rep_ID]],Dim_Reps!A:A,Dim_Reps!B:B)</f>
        <v>Lea Weber</v>
      </c>
      <c r="P2690" t="str">
        <f>_xlfn.XLOOKUP(Pipeline_tbl[[#This Row],[Rep_ID]],Dim_Reps!A:A,Dim_Reps!C:C)</f>
        <v>SDR / Inside Sales Rep</v>
      </c>
      <c r="Q2690" t="str">
        <f>_xlfn.XLOOKUP(Pipeline_tbl[[#This Row],[Rep_ID]],Dim_Reps!A:A,Dim_Reps!D:D)</f>
        <v>Inside Sales</v>
      </c>
      <c r="R2690" t="str">
        <f>_xlfn.XLOOKUP(Pipeline_tbl[[#This Row],[Rep_ID]],Dim_Reps!A:A,Dim_Reps!E:E)</f>
        <v>EMEA</v>
      </c>
      <c r="S2690" t="str">
        <f>_xlfn.XLOOKUP(Pipeline_tbl[[#This Row],[Created_Date]],Dim_Date!A:A,Dim_Date!H:H)</f>
        <v>Mar 2025</v>
      </c>
      <c r="T2690" t="str">
        <f>IF(Pipeline_tbl[[#This Row],[Closed_Date]]=0,"",(_xlfn.XLOOKUP(Pipeline_tbl[[#This Row],[Closed_Date]],Dim_Date!A:A,Dim_Date!H:H)))</f>
        <v>Apr 2025</v>
      </c>
      <c r="U2690">
        <f>IF(Pipeline_tbl[[#This Row],[Closed_Date]]=0,"",Pipeline_tbl[[#This Row],[Closed_Date]]-Pipeline_tbl[[#This Row],[Created_Date]])</f>
        <v>10</v>
      </c>
    </row>
    <row r="2691" spans="1:21" ht="15" customHeight="1" x14ac:dyDescent="0.2">
      <c r="A2691" t="s">
        <v>2997</v>
      </c>
      <c r="B2691" t="s">
        <v>211</v>
      </c>
      <c r="C2691" t="s">
        <v>52</v>
      </c>
      <c r="D2691" s="49">
        <v>45743</v>
      </c>
      <c r="E2691" s="49">
        <v>45744</v>
      </c>
      <c r="F2691" s="49">
        <v>45747</v>
      </c>
      <c r="G2691" s="49">
        <v>45751</v>
      </c>
      <c r="H2691" s="49">
        <v>45755</v>
      </c>
      <c r="I2691" s="49">
        <v>45757</v>
      </c>
      <c r="J2691" t="s">
        <v>47</v>
      </c>
      <c r="K2691" s="33">
        <v>2700</v>
      </c>
      <c r="M2691" t="str">
        <f>_xlfn.XLOOKUP(Pipeline_tbl[[#This Row],[Rep_ID]],Dim_Reps!A:A,Dim_Reps!K:K)</f>
        <v>EUR</v>
      </c>
      <c r="N2691" s="33">
        <f>(_xlfn.XLOOKUP(Pipeline_tbl[[#This Row],[Rate_Code_Generalized]],Lookups!A:A,Lookups!B:B))*Pipeline_tbl[[#This Row],[Pipeline_Amount_USD]]</f>
        <v>2700</v>
      </c>
      <c r="O2691" t="str">
        <f>_xlfn.XLOOKUP(Pipeline_tbl[[#This Row],[Rep_ID]],Dim_Reps!A:A,Dim_Reps!B:B)</f>
        <v>Lea Weber</v>
      </c>
      <c r="P2691" t="str">
        <f>_xlfn.XLOOKUP(Pipeline_tbl[[#This Row],[Rep_ID]],Dim_Reps!A:A,Dim_Reps!C:C)</f>
        <v>SDR / Inside Sales Rep</v>
      </c>
      <c r="Q2691" t="str">
        <f>_xlfn.XLOOKUP(Pipeline_tbl[[#This Row],[Rep_ID]],Dim_Reps!A:A,Dim_Reps!D:D)</f>
        <v>Inside Sales</v>
      </c>
      <c r="R2691" t="str">
        <f>_xlfn.XLOOKUP(Pipeline_tbl[[#This Row],[Rep_ID]],Dim_Reps!A:A,Dim_Reps!E:E)</f>
        <v>EMEA</v>
      </c>
      <c r="S2691" t="str">
        <f>_xlfn.XLOOKUP(Pipeline_tbl[[#This Row],[Created_Date]],Dim_Date!A:A,Dim_Date!H:H)</f>
        <v>Mar 2025</v>
      </c>
      <c r="T2691" t="str">
        <f>IF(Pipeline_tbl[[#This Row],[Closed_Date]]=0,"",(_xlfn.XLOOKUP(Pipeline_tbl[[#This Row],[Closed_Date]],Dim_Date!A:A,Dim_Date!H:H)))</f>
        <v>Apr 2025</v>
      </c>
      <c r="U2691">
        <f>IF(Pipeline_tbl[[#This Row],[Closed_Date]]=0,"",Pipeline_tbl[[#This Row],[Closed_Date]]-Pipeline_tbl[[#This Row],[Created_Date]])</f>
        <v>14</v>
      </c>
    </row>
    <row r="2692" spans="1:21" ht="15" customHeight="1" x14ac:dyDescent="0.2">
      <c r="A2692" t="s">
        <v>2998</v>
      </c>
      <c r="B2692" t="s">
        <v>211</v>
      </c>
      <c r="C2692" t="s">
        <v>53</v>
      </c>
      <c r="D2692" s="49">
        <v>45731</v>
      </c>
      <c r="E2692" s="49">
        <v>45733</v>
      </c>
      <c r="F2692" s="49">
        <v>45736</v>
      </c>
      <c r="G2692" s="49">
        <v>45742</v>
      </c>
      <c r="H2692" s="49">
        <v>45746</v>
      </c>
      <c r="I2692" s="49">
        <v>45749</v>
      </c>
      <c r="J2692" t="s">
        <v>47</v>
      </c>
      <c r="K2692" s="33">
        <v>1800</v>
      </c>
      <c r="M2692" t="str">
        <f>_xlfn.XLOOKUP(Pipeline_tbl[[#This Row],[Rep_ID]],Dim_Reps!A:A,Dim_Reps!K:K)</f>
        <v>EUR</v>
      </c>
      <c r="N2692" s="33">
        <f>(_xlfn.XLOOKUP(Pipeline_tbl[[#This Row],[Rate_Code_Generalized]],Lookups!A:A,Lookups!B:B))*Pipeline_tbl[[#This Row],[Pipeline_Amount_USD]]</f>
        <v>1800</v>
      </c>
      <c r="O2692" t="str">
        <f>_xlfn.XLOOKUP(Pipeline_tbl[[#This Row],[Rep_ID]],Dim_Reps!A:A,Dim_Reps!B:B)</f>
        <v>Lea Weber</v>
      </c>
      <c r="P2692" t="str">
        <f>_xlfn.XLOOKUP(Pipeline_tbl[[#This Row],[Rep_ID]],Dim_Reps!A:A,Dim_Reps!C:C)</f>
        <v>SDR / Inside Sales Rep</v>
      </c>
      <c r="Q2692" t="str">
        <f>_xlfn.XLOOKUP(Pipeline_tbl[[#This Row],[Rep_ID]],Dim_Reps!A:A,Dim_Reps!D:D)</f>
        <v>Inside Sales</v>
      </c>
      <c r="R2692" t="str">
        <f>_xlfn.XLOOKUP(Pipeline_tbl[[#This Row],[Rep_ID]],Dim_Reps!A:A,Dim_Reps!E:E)</f>
        <v>EMEA</v>
      </c>
      <c r="S2692" t="str">
        <f>_xlfn.XLOOKUP(Pipeline_tbl[[#This Row],[Created_Date]],Dim_Date!A:A,Dim_Date!H:H)</f>
        <v>Mar 2025</v>
      </c>
      <c r="T2692" t="str">
        <f>IF(Pipeline_tbl[[#This Row],[Closed_Date]]=0,"",(_xlfn.XLOOKUP(Pipeline_tbl[[#This Row],[Closed_Date]],Dim_Date!A:A,Dim_Date!H:H)))</f>
        <v>Apr 2025</v>
      </c>
      <c r="U2692">
        <f>IF(Pipeline_tbl[[#This Row],[Closed_Date]]=0,"",Pipeline_tbl[[#This Row],[Closed_Date]]-Pipeline_tbl[[#This Row],[Created_Date]])</f>
        <v>18</v>
      </c>
    </row>
    <row r="2693" spans="1:21" ht="15" customHeight="1" x14ac:dyDescent="0.2">
      <c r="A2693" t="s">
        <v>2999</v>
      </c>
      <c r="B2693" t="s">
        <v>213</v>
      </c>
      <c r="C2693" t="s">
        <v>53</v>
      </c>
      <c r="D2693" s="49">
        <v>45742</v>
      </c>
      <c r="E2693" s="49">
        <v>45744</v>
      </c>
      <c r="I2693" s="49">
        <v>45759</v>
      </c>
      <c r="J2693" t="s">
        <v>49</v>
      </c>
      <c r="K2693" s="33">
        <v>3500</v>
      </c>
      <c r="L2693" t="s">
        <v>61</v>
      </c>
      <c r="M2693" t="str">
        <f>_xlfn.XLOOKUP(Pipeline_tbl[[#This Row],[Rep_ID]],Dim_Reps!A:A,Dim_Reps!K:K)</f>
        <v>EUR</v>
      </c>
      <c r="N2693" s="33">
        <f>(_xlfn.XLOOKUP(Pipeline_tbl[[#This Row],[Rate_Code_Generalized]],Lookups!A:A,Lookups!B:B))*Pipeline_tbl[[#This Row],[Pipeline_Amount_USD]]</f>
        <v>3500</v>
      </c>
      <c r="O2693" t="str">
        <f>_xlfn.XLOOKUP(Pipeline_tbl[[#This Row],[Rep_ID]],Dim_Reps!A:A,Dim_Reps!B:B)</f>
        <v>Jamie Silva</v>
      </c>
      <c r="P2693" t="str">
        <f>_xlfn.XLOOKUP(Pipeline_tbl[[#This Row],[Rep_ID]],Dim_Reps!A:A,Dim_Reps!C:C)</f>
        <v>SDR / Inside Sales Rep</v>
      </c>
      <c r="Q2693" t="str">
        <f>_xlfn.XLOOKUP(Pipeline_tbl[[#This Row],[Rep_ID]],Dim_Reps!A:A,Dim_Reps!D:D)</f>
        <v>Inside Sales</v>
      </c>
      <c r="R2693" t="str">
        <f>_xlfn.XLOOKUP(Pipeline_tbl[[#This Row],[Rep_ID]],Dim_Reps!A:A,Dim_Reps!E:E)</f>
        <v>EMEA</v>
      </c>
      <c r="S2693" t="str">
        <f>_xlfn.XLOOKUP(Pipeline_tbl[[#This Row],[Created_Date]],Dim_Date!A:A,Dim_Date!H:H)</f>
        <v>Mar 2025</v>
      </c>
      <c r="T2693" t="str">
        <f>IF(Pipeline_tbl[[#This Row],[Closed_Date]]=0,"",(_xlfn.XLOOKUP(Pipeline_tbl[[#This Row],[Closed_Date]],Dim_Date!A:A,Dim_Date!H:H)))</f>
        <v>Apr 2025</v>
      </c>
      <c r="U2693">
        <f>IF(Pipeline_tbl[[#This Row],[Closed_Date]]=0,"",Pipeline_tbl[[#This Row],[Closed_Date]]-Pipeline_tbl[[#This Row],[Created_Date]])</f>
        <v>17</v>
      </c>
    </row>
    <row r="2694" spans="1:21" ht="15" customHeight="1" x14ac:dyDescent="0.2">
      <c r="A2694" t="s">
        <v>3000</v>
      </c>
      <c r="B2694" t="s">
        <v>213</v>
      </c>
      <c r="C2694" t="s">
        <v>54</v>
      </c>
      <c r="D2694" s="49">
        <v>45728</v>
      </c>
      <c r="E2694" s="49">
        <v>45730</v>
      </c>
      <c r="F2694" s="49">
        <v>45736</v>
      </c>
      <c r="G2694" s="49">
        <v>45743</v>
      </c>
      <c r="I2694" s="49">
        <v>45753</v>
      </c>
      <c r="J2694" t="s">
        <v>49</v>
      </c>
      <c r="K2694" s="33">
        <v>2200</v>
      </c>
      <c r="L2694" t="s">
        <v>64</v>
      </c>
      <c r="M2694" t="str">
        <f>_xlfn.XLOOKUP(Pipeline_tbl[[#This Row],[Rep_ID]],Dim_Reps!A:A,Dim_Reps!K:K)</f>
        <v>EUR</v>
      </c>
      <c r="N2694" s="33">
        <f>(_xlfn.XLOOKUP(Pipeline_tbl[[#This Row],[Rate_Code_Generalized]],Lookups!A:A,Lookups!B:B))*Pipeline_tbl[[#This Row],[Pipeline_Amount_USD]]</f>
        <v>2200</v>
      </c>
      <c r="O2694" t="str">
        <f>_xlfn.XLOOKUP(Pipeline_tbl[[#This Row],[Rep_ID]],Dim_Reps!A:A,Dim_Reps!B:B)</f>
        <v>Jamie Silva</v>
      </c>
      <c r="P2694" t="str">
        <f>_xlfn.XLOOKUP(Pipeline_tbl[[#This Row],[Rep_ID]],Dim_Reps!A:A,Dim_Reps!C:C)</f>
        <v>SDR / Inside Sales Rep</v>
      </c>
      <c r="Q2694" t="str">
        <f>_xlfn.XLOOKUP(Pipeline_tbl[[#This Row],[Rep_ID]],Dim_Reps!A:A,Dim_Reps!D:D)</f>
        <v>Inside Sales</v>
      </c>
      <c r="R2694" t="str">
        <f>_xlfn.XLOOKUP(Pipeline_tbl[[#This Row],[Rep_ID]],Dim_Reps!A:A,Dim_Reps!E:E)</f>
        <v>EMEA</v>
      </c>
      <c r="S2694" t="str">
        <f>_xlfn.XLOOKUP(Pipeline_tbl[[#This Row],[Created_Date]],Dim_Date!A:A,Dim_Date!H:H)</f>
        <v>Mar 2025</v>
      </c>
      <c r="T2694" t="str">
        <f>IF(Pipeline_tbl[[#This Row],[Closed_Date]]=0,"",(_xlfn.XLOOKUP(Pipeline_tbl[[#This Row],[Closed_Date]],Dim_Date!A:A,Dim_Date!H:H)))</f>
        <v>Apr 2025</v>
      </c>
      <c r="U2694">
        <f>IF(Pipeline_tbl[[#This Row],[Closed_Date]]=0,"",Pipeline_tbl[[#This Row],[Closed_Date]]-Pipeline_tbl[[#This Row],[Created_Date]])</f>
        <v>25</v>
      </c>
    </row>
    <row r="2695" spans="1:21" ht="15" customHeight="1" x14ac:dyDescent="0.2">
      <c r="A2695" t="s">
        <v>3001</v>
      </c>
      <c r="B2695" t="s">
        <v>213</v>
      </c>
      <c r="C2695" t="s">
        <v>52</v>
      </c>
      <c r="D2695" s="49">
        <v>45745</v>
      </c>
      <c r="E2695" s="49">
        <v>45746</v>
      </c>
      <c r="F2695" s="49">
        <v>45748</v>
      </c>
      <c r="I2695" s="49">
        <v>45755</v>
      </c>
      <c r="J2695" t="s">
        <v>49</v>
      </c>
      <c r="K2695" s="33">
        <v>3800</v>
      </c>
      <c r="L2695" t="s">
        <v>62</v>
      </c>
      <c r="M2695" t="str">
        <f>_xlfn.XLOOKUP(Pipeline_tbl[[#This Row],[Rep_ID]],Dim_Reps!A:A,Dim_Reps!K:K)</f>
        <v>EUR</v>
      </c>
      <c r="N2695" s="33">
        <f>(_xlfn.XLOOKUP(Pipeline_tbl[[#This Row],[Rate_Code_Generalized]],Lookups!A:A,Lookups!B:B))*Pipeline_tbl[[#This Row],[Pipeline_Amount_USD]]</f>
        <v>3800</v>
      </c>
      <c r="O2695" t="str">
        <f>_xlfn.XLOOKUP(Pipeline_tbl[[#This Row],[Rep_ID]],Dim_Reps!A:A,Dim_Reps!B:B)</f>
        <v>Jamie Silva</v>
      </c>
      <c r="P2695" t="str">
        <f>_xlfn.XLOOKUP(Pipeline_tbl[[#This Row],[Rep_ID]],Dim_Reps!A:A,Dim_Reps!C:C)</f>
        <v>SDR / Inside Sales Rep</v>
      </c>
      <c r="Q2695" t="str">
        <f>_xlfn.XLOOKUP(Pipeline_tbl[[#This Row],[Rep_ID]],Dim_Reps!A:A,Dim_Reps!D:D)</f>
        <v>Inside Sales</v>
      </c>
      <c r="R2695" t="str">
        <f>_xlfn.XLOOKUP(Pipeline_tbl[[#This Row],[Rep_ID]],Dim_Reps!A:A,Dim_Reps!E:E)</f>
        <v>EMEA</v>
      </c>
      <c r="S2695" t="str">
        <f>_xlfn.XLOOKUP(Pipeline_tbl[[#This Row],[Created_Date]],Dim_Date!A:A,Dim_Date!H:H)</f>
        <v>Mar 2025</v>
      </c>
      <c r="T2695" t="str">
        <f>IF(Pipeline_tbl[[#This Row],[Closed_Date]]=0,"",(_xlfn.XLOOKUP(Pipeline_tbl[[#This Row],[Closed_Date]],Dim_Date!A:A,Dim_Date!H:H)))</f>
        <v>Apr 2025</v>
      </c>
      <c r="U2695">
        <f>IF(Pipeline_tbl[[#This Row],[Closed_Date]]=0,"",Pipeline_tbl[[#This Row],[Closed_Date]]-Pipeline_tbl[[#This Row],[Created_Date]])</f>
        <v>10</v>
      </c>
    </row>
    <row r="2696" spans="1:21" ht="15" customHeight="1" x14ac:dyDescent="0.2">
      <c r="A2696" t="s">
        <v>3002</v>
      </c>
      <c r="B2696" t="s">
        <v>213</v>
      </c>
      <c r="C2696" t="s">
        <v>53</v>
      </c>
      <c r="D2696" s="49">
        <v>45729</v>
      </c>
      <c r="E2696" s="49">
        <v>45731</v>
      </c>
      <c r="F2696" s="49">
        <v>45736</v>
      </c>
      <c r="G2696" s="49">
        <v>45743</v>
      </c>
      <c r="I2696" s="49">
        <v>45753</v>
      </c>
      <c r="J2696" t="s">
        <v>49</v>
      </c>
      <c r="K2696" s="33">
        <v>3400</v>
      </c>
      <c r="L2696" t="s">
        <v>61</v>
      </c>
      <c r="M2696" t="str">
        <f>_xlfn.XLOOKUP(Pipeline_tbl[[#This Row],[Rep_ID]],Dim_Reps!A:A,Dim_Reps!K:K)</f>
        <v>EUR</v>
      </c>
      <c r="N2696" s="33">
        <f>(_xlfn.XLOOKUP(Pipeline_tbl[[#This Row],[Rate_Code_Generalized]],Lookups!A:A,Lookups!B:B))*Pipeline_tbl[[#This Row],[Pipeline_Amount_USD]]</f>
        <v>3400</v>
      </c>
      <c r="O2696" t="str">
        <f>_xlfn.XLOOKUP(Pipeline_tbl[[#This Row],[Rep_ID]],Dim_Reps!A:A,Dim_Reps!B:B)</f>
        <v>Jamie Silva</v>
      </c>
      <c r="P2696" t="str">
        <f>_xlfn.XLOOKUP(Pipeline_tbl[[#This Row],[Rep_ID]],Dim_Reps!A:A,Dim_Reps!C:C)</f>
        <v>SDR / Inside Sales Rep</v>
      </c>
      <c r="Q2696" t="str">
        <f>_xlfn.XLOOKUP(Pipeline_tbl[[#This Row],[Rep_ID]],Dim_Reps!A:A,Dim_Reps!D:D)</f>
        <v>Inside Sales</v>
      </c>
      <c r="R2696" t="str">
        <f>_xlfn.XLOOKUP(Pipeline_tbl[[#This Row],[Rep_ID]],Dim_Reps!A:A,Dim_Reps!E:E)</f>
        <v>EMEA</v>
      </c>
      <c r="S2696" t="str">
        <f>_xlfn.XLOOKUP(Pipeline_tbl[[#This Row],[Created_Date]],Dim_Date!A:A,Dim_Date!H:H)</f>
        <v>Mar 2025</v>
      </c>
      <c r="T2696" t="str">
        <f>IF(Pipeline_tbl[[#This Row],[Closed_Date]]=0,"",(_xlfn.XLOOKUP(Pipeline_tbl[[#This Row],[Closed_Date]],Dim_Date!A:A,Dim_Date!H:H)))</f>
        <v>Apr 2025</v>
      </c>
      <c r="U2696">
        <f>IF(Pipeline_tbl[[#This Row],[Closed_Date]]=0,"",Pipeline_tbl[[#This Row],[Closed_Date]]-Pipeline_tbl[[#This Row],[Created_Date]])</f>
        <v>24</v>
      </c>
    </row>
    <row r="2697" spans="1:21" ht="15" customHeight="1" x14ac:dyDescent="0.2">
      <c r="A2697" t="s">
        <v>3003</v>
      </c>
      <c r="B2697" t="s">
        <v>213</v>
      </c>
      <c r="C2697" t="s">
        <v>52</v>
      </c>
      <c r="D2697" s="49">
        <v>45740</v>
      </c>
      <c r="E2697" s="49">
        <v>45742</v>
      </c>
      <c r="F2697" s="49">
        <v>45746</v>
      </c>
      <c r="I2697" s="49">
        <v>45760</v>
      </c>
      <c r="J2697" t="s">
        <v>49</v>
      </c>
      <c r="K2697" s="33">
        <v>5400</v>
      </c>
      <c r="L2697" t="s">
        <v>64</v>
      </c>
      <c r="M2697" t="str">
        <f>_xlfn.XLOOKUP(Pipeline_tbl[[#This Row],[Rep_ID]],Dim_Reps!A:A,Dim_Reps!K:K)</f>
        <v>EUR</v>
      </c>
      <c r="N2697" s="33">
        <f>(_xlfn.XLOOKUP(Pipeline_tbl[[#This Row],[Rate_Code_Generalized]],Lookups!A:A,Lookups!B:B))*Pipeline_tbl[[#This Row],[Pipeline_Amount_USD]]</f>
        <v>5400</v>
      </c>
      <c r="O2697" t="str">
        <f>_xlfn.XLOOKUP(Pipeline_tbl[[#This Row],[Rep_ID]],Dim_Reps!A:A,Dim_Reps!B:B)</f>
        <v>Jamie Silva</v>
      </c>
      <c r="P2697" t="str">
        <f>_xlfn.XLOOKUP(Pipeline_tbl[[#This Row],[Rep_ID]],Dim_Reps!A:A,Dim_Reps!C:C)</f>
        <v>SDR / Inside Sales Rep</v>
      </c>
      <c r="Q2697" t="str">
        <f>_xlfn.XLOOKUP(Pipeline_tbl[[#This Row],[Rep_ID]],Dim_Reps!A:A,Dim_Reps!D:D)</f>
        <v>Inside Sales</v>
      </c>
      <c r="R2697" t="str">
        <f>_xlfn.XLOOKUP(Pipeline_tbl[[#This Row],[Rep_ID]],Dim_Reps!A:A,Dim_Reps!E:E)</f>
        <v>EMEA</v>
      </c>
      <c r="S2697" t="str">
        <f>_xlfn.XLOOKUP(Pipeline_tbl[[#This Row],[Created_Date]],Dim_Date!A:A,Dim_Date!H:H)</f>
        <v>Mar 2025</v>
      </c>
      <c r="T2697" t="str">
        <f>IF(Pipeline_tbl[[#This Row],[Closed_Date]]=0,"",(_xlfn.XLOOKUP(Pipeline_tbl[[#This Row],[Closed_Date]],Dim_Date!A:A,Dim_Date!H:H)))</f>
        <v>Apr 2025</v>
      </c>
      <c r="U2697">
        <f>IF(Pipeline_tbl[[#This Row],[Closed_Date]]=0,"",Pipeline_tbl[[#This Row],[Closed_Date]]-Pipeline_tbl[[#This Row],[Created_Date]])</f>
        <v>20</v>
      </c>
    </row>
    <row r="2698" spans="1:21" ht="15" customHeight="1" x14ac:dyDescent="0.2">
      <c r="A2698" t="s">
        <v>3004</v>
      </c>
      <c r="B2698" t="s">
        <v>213</v>
      </c>
      <c r="C2698" t="s">
        <v>55</v>
      </c>
      <c r="D2698" s="49">
        <v>45745</v>
      </c>
      <c r="E2698" s="49">
        <v>45747</v>
      </c>
      <c r="F2698" s="49">
        <v>45752</v>
      </c>
      <c r="G2698" s="49">
        <v>45758</v>
      </c>
      <c r="H2698" s="49">
        <v>45764</v>
      </c>
      <c r="I2698" s="49">
        <v>45767</v>
      </c>
      <c r="J2698" t="s">
        <v>47</v>
      </c>
      <c r="K2698" s="33">
        <v>3300</v>
      </c>
      <c r="M2698" t="str">
        <f>_xlfn.XLOOKUP(Pipeline_tbl[[#This Row],[Rep_ID]],Dim_Reps!A:A,Dim_Reps!K:K)</f>
        <v>EUR</v>
      </c>
      <c r="N2698" s="33">
        <f>(_xlfn.XLOOKUP(Pipeline_tbl[[#This Row],[Rate_Code_Generalized]],Lookups!A:A,Lookups!B:B))*Pipeline_tbl[[#This Row],[Pipeline_Amount_USD]]</f>
        <v>3300</v>
      </c>
      <c r="O2698" t="str">
        <f>_xlfn.XLOOKUP(Pipeline_tbl[[#This Row],[Rep_ID]],Dim_Reps!A:A,Dim_Reps!B:B)</f>
        <v>Jamie Silva</v>
      </c>
      <c r="P2698" t="str">
        <f>_xlfn.XLOOKUP(Pipeline_tbl[[#This Row],[Rep_ID]],Dim_Reps!A:A,Dim_Reps!C:C)</f>
        <v>SDR / Inside Sales Rep</v>
      </c>
      <c r="Q2698" t="str">
        <f>_xlfn.XLOOKUP(Pipeline_tbl[[#This Row],[Rep_ID]],Dim_Reps!A:A,Dim_Reps!D:D)</f>
        <v>Inside Sales</v>
      </c>
      <c r="R2698" t="str">
        <f>_xlfn.XLOOKUP(Pipeline_tbl[[#This Row],[Rep_ID]],Dim_Reps!A:A,Dim_Reps!E:E)</f>
        <v>EMEA</v>
      </c>
      <c r="S2698" t="str">
        <f>_xlfn.XLOOKUP(Pipeline_tbl[[#This Row],[Created_Date]],Dim_Date!A:A,Dim_Date!H:H)</f>
        <v>Mar 2025</v>
      </c>
      <c r="T2698" t="str">
        <f>IF(Pipeline_tbl[[#This Row],[Closed_Date]]=0,"",(_xlfn.XLOOKUP(Pipeline_tbl[[#This Row],[Closed_Date]],Dim_Date!A:A,Dim_Date!H:H)))</f>
        <v>Apr 2025</v>
      </c>
      <c r="U2698">
        <f>IF(Pipeline_tbl[[#This Row],[Closed_Date]]=0,"",Pipeline_tbl[[#This Row],[Closed_Date]]-Pipeline_tbl[[#This Row],[Created_Date]])</f>
        <v>22</v>
      </c>
    </row>
    <row r="2699" spans="1:21" ht="15" customHeight="1" x14ac:dyDescent="0.2">
      <c r="A2699" t="s">
        <v>3005</v>
      </c>
      <c r="B2699" t="s">
        <v>213</v>
      </c>
      <c r="C2699" t="s">
        <v>52</v>
      </c>
      <c r="D2699" s="49">
        <v>45747</v>
      </c>
      <c r="E2699" s="49">
        <v>45749</v>
      </c>
      <c r="F2699" s="49">
        <v>45754</v>
      </c>
      <c r="G2699" s="49">
        <v>45761</v>
      </c>
      <c r="I2699" s="49">
        <v>45771</v>
      </c>
      <c r="J2699" t="s">
        <v>49</v>
      </c>
      <c r="K2699" s="33">
        <v>2100</v>
      </c>
      <c r="L2699" t="s">
        <v>62</v>
      </c>
      <c r="M2699" t="str">
        <f>_xlfn.XLOOKUP(Pipeline_tbl[[#This Row],[Rep_ID]],Dim_Reps!A:A,Dim_Reps!K:K)</f>
        <v>EUR</v>
      </c>
      <c r="N2699" s="33">
        <f>(_xlfn.XLOOKUP(Pipeline_tbl[[#This Row],[Rate_Code_Generalized]],Lookups!A:A,Lookups!B:B))*Pipeline_tbl[[#This Row],[Pipeline_Amount_USD]]</f>
        <v>2100</v>
      </c>
      <c r="O2699" t="str">
        <f>_xlfn.XLOOKUP(Pipeline_tbl[[#This Row],[Rep_ID]],Dim_Reps!A:A,Dim_Reps!B:B)</f>
        <v>Jamie Silva</v>
      </c>
      <c r="P2699" t="str">
        <f>_xlfn.XLOOKUP(Pipeline_tbl[[#This Row],[Rep_ID]],Dim_Reps!A:A,Dim_Reps!C:C)</f>
        <v>SDR / Inside Sales Rep</v>
      </c>
      <c r="Q2699" t="str">
        <f>_xlfn.XLOOKUP(Pipeline_tbl[[#This Row],[Rep_ID]],Dim_Reps!A:A,Dim_Reps!D:D)</f>
        <v>Inside Sales</v>
      </c>
      <c r="R2699" t="str">
        <f>_xlfn.XLOOKUP(Pipeline_tbl[[#This Row],[Rep_ID]],Dim_Reps!A:A,Dim_Reps!E:E)</f>
        <v>EMEA</v>
      </c>
      <c r="S2699" t="str">
        <f>_xlfn.XLOOKUP(Pipeline_tbl[[#This Row],[Created_Date]],Dim_Date!A:A,Dim_Date!H:H)</f>
        <v>Mar 2025</v>
      </c>
      <c r="T2699" t="str">
        <f>IF(Pipeline_tbl[[#This Row],[Closed_Date]]=0,"",(_xlfn.XLOOKUP(Pipeline_tbl[[#This Row],[Closed_Date]],Dim_Date!A:A,Dim_Date!H:H)))</f>
        <v>Apr 2025</v>
      </c>
      <c r="U2699">
        <f>IF(Pipeline_tbl[[#This Row],[Closed_Date]]=0,"",Pipeline_tbl[[#This Row],[Closed_Date]]-Pipeline_tbl[[#This Row],[Created_Date]])</f>
        <v>24</v>
      </c>
    </row>
    <row r="2700" spans="1:21" ht="15" customHeight="1" x14ac:dyDescent="0.2">
      <c r="A2700" t="s">
        <v>3006</v>
      </c>
      <c r="B2700" t="s">
        <v>213</v>
      </c>
      <c r="C2700" t="s">
        <v>53</v>
      </c>
      <c r="D2700" s="49">
        <v>45729</v>
      </c>
      <c r="E2700" s="49">
        <v>45731</v>
      </c>
      <c r="F2700" s="49">
        <v>45735</v>
      </c>
      <c r="G2700" s="49">
        <v>45740</v>
      </c>
      <c r="H2700" s="49">
        <v>45745</v>
      </c>
      <c r="I2700" s="49">
        <v>45748</v>
      </c>
      <c r="J2700" t="s">
        <v>47</v>
      </c>
      <c r="K2700" s="33">
        <v>7900</v>
      </c>
      <c r="M2700" t="str">
        <f>_xlfn.XLOOKUP(Pipeline_tbl[[#This Row],[Rep_ID]],Dim_Reps!A:A,Dim_Reps!K:K)</f>
        <v>EUR</v>
      </c>
      <c r="N2700" s="33">
        <f>(_xlfn.XLOOKUP(Pipeline_tbl[[#This Row],[Rate_Code_Generalized]],Lookups!A:A,Lookups!B:B))*Pipeline_tbl[[#This Row],[Pipeline_Amount_USD]]</f>
        <v>7900</v>
      </c>
      <c r="O2700" t="str">
        <f>_xlfn.XLOOKUP(Pipeline_tbl[[#This Row],[Rep_ID]],Dim_Reps!A:A,Dim_Reps!B:B)</f>
        <v>Jamie Silva</v>
      </c>
      <c r="P2700" t="str">
        <f>_xlfn.XLOOKUP(Pipeline_tbl[[#This Row],[Rep_ID]],Dim_Reps!A:A,Dim_Reps!C:C)</f>
        <v>SDR / Inside Sales Rep</v>
      </c>
      <c r="Q2700" t="str">
        <f>_xlfn.XLOOKUP(Pipeline_tbl[[#This Row],[Rep_ID]],Dim_Reps!A:A,Dim_Reps!D:D)</f>
        <v>Inside Sales</v>
      </c>
      <c r="R2700" t="str">
        <f>_xlfn.XLOOKUP(Pipeline_tbl[[#This Row],[Rep_ID]],Dim_Reps!A:A,Dim_Reps!E:E)</f>
        <v>EMEA</v>
      </c>
      <c r="S2700" t="str">
        <f>_xlfn.XLOOKUP(Pipeline_tbl[[#This Row],[Created_Date]],Dim_Date!A:A,Dim_Date!H:H)</f>
        <v>Mar 2025</v>
      </c>
      <c r="T2700" t="str">
        <f>IF(Pipeline_tbl[[#This Row],[Closed_Date]]=0,"",(_xlfn.XLOOKUP(Pipeline_tbl[[#This Row],[Closed_Date]],Dim_Date!A:A,Dim_Date!H:H)))</f>
        <v>Apr 2025</v>
      </c>
      <c r="U2700">
        <f>IF(Pipeline_tbl[[#This Row],[Closed_Date]]=0,"",Pipeline_tbl[[#This Row],[Closed_Date]]-Pipeline_tbl[[#This Row],[Created_Date]])</f>
        <v>19</v>
      </c>
    </row>
    <row r="2701" spans="1:21" ht="15" customHeight="1" x14ac:dyDescent="0.2">
      <c r="A2701" t="s">
        <v>3007</v>
      </c>
      <c r="B2701" t="s">
        <v>213</v>
      </c>
      <c r="C2701" t="s">
        <v>53</v>
      </c>
      <c r="D2701" s="49">
        <v>45727</v>
      </c>
      <c r="E2701" s="49">
        <v>45729</v>
      </c>
      <c r="F2701" s="49">
        <v>45733</v>
      </c>
      <c r="G2701" s="49">
        <v>45740</v>
      </c>
      <c r="H2701" s="49">
        <v>45745</v>
      </c>
      <c r="I2701" s="49">
        <v>45748</v>
      </c>
      <c r="J2701" t="s">
        <v>49</v>
      </c>
      <c r="K2701" s="33">
        <v>4900</v>
      </c>
      <c r="L2701" t="s">
        <v>60</v>
      </c>
      <c r="M2701" t="str">
        <f>_xlfn.XLOOKUP(Pipeline_tbl[[#This Row],[Rep_ID]],Dim_Reps!A:A,Dim_Reps!K:K)</f>
        <v>EUR</v>
      </c>
      <c r="N2701" s="33">
        <f>(_xlfn.XLOOKUP(Pipeline_tbl[[#This Row],[Rate_Code_Generalized]],Lookups!A:A,Lookups!B:B))*Pipeline_tbl[[#This Row],[Pipeline_Amount_USD]]</f>
        <v>4900</v>
      </c>
      <c r="O2701" t="str">
        <f>_xlfn.XLOOKUP(Pipeline_tbl[[#This Row],[Rep_ID]],Dim_Reps!A:A,Dim_Reps!B:B)</f>
        <v>Jamie Silva</v>
      </c>
      <c r="P2701" t="str">
        <f>_xlfn.XLOOKUP(Pipeline_tbl[[#This Row],[Rep_ID]],Dim_Reps!A:A,Dim_Reps!C:C)</f>
        <v>SDR / Inside Sales Rep</v>
      </c>
      <c r="Q2701" t="str">
        <f>_xlfn.XLOOKUP(Pipeline_tbl[[#This Row],[Rep_ID]],Dim_Reps!A:A,Dim_Reps!D:D)</f>
        <v>Inside Sales</v>
      </c>
      <c r="R2701" t="str">
        <f>_xlfn.XLOOKUP(Pipeline_tbl[[#This Row],[Rep_ID]],Dim_Reps!A:A,Dim_Reps!E:E)</f>
        <v>EMEA</v>
      </c>
      <c r="S2701" t="str">
        <f>_xlfn.XLOOKUP(Pipeline_tbl[[#This Row],[Created_Date]],Dim_Date!A:A,Dim_Date!H:H)</f>
        <v>Mar 2025</v>
      </c>
      <c r="T2701" t="str">
        <f>IF(Pipeline_tbl[[#This Row],[Closed_Date]]=0,"",(_xlfn.XLOOKUP(Pipeline_tbl[[#This Row],[Closed_Date]],Dim_Date!A:A,Dim_Date!H:H)))</f>
        <v>Apr 2025</v>
      </c>
      <c r="U2701">
        <f>IF(Pipeline_tbl[[#This Row],[Closed_Date]]=0,"",Pipeline_tbl[[#This Row],[Closed_Date]]-Pipeline_tbl[[#This Row],[Created_Date]])</f>
        <v>21</v>
      </c>
    </row>
    <row r="2702" spans="1:21" ht="15" customHeight="1" x14ac:dyDescent="0.2">
      <c r="A2702" t="s">
        <v>3008</v>
      </c>
      <c r="B2702" t="s">
        <v>215</v>
      </c>
      <c r="C2702" t="s">
        <v>55</v>
      </c>
      <c r="D2702" s="49">
        <v>45747</v>
      </c>
      <c r="E2702" s="49">
        <v>45749</v>
      </c>
      <c r="F2702" s="49">
        <v>45752</v>
      </c>
      <c r="G2702" s="49">
        <v>45757</v>
      </c>
      <c r="H2702" s="49">
        <v>45761</v>
      </c>
      <c r="I2702" s="49">
        <v>45763</v>
      </c>
      <c r="J2702" t="s">
        <v>47</v>
      </c>
      <c r="K2702" s="33">
        <v>9200</v>
      </c>
      <c r="M2702" t="str">
        <f>_xlfn.XLOOKUP(Pipeline_tbl[[#This Row],[Rep_ID]],Dim_Reps!A:A,Dim_Reps!K:K)</f>
        <v>EUR</v>
      </c>
      <c r="N2702" s="33">
        <f>(_xlfn.XLOOKUP(Pipeline_tbl[[#This Row],[Rate_Code_Generalized]],Lookups!A:A,Lookups!B:B))*Pipeline_tbl[[#This Row],[Pipeline_Amount_USD]]</f>
        <v>9200</v>
      </c>
      <c r="O2702" t="str">
        <f>_xlfn.XLOOKUP(Pipeline_tbl[[#This Row],[Rep_ID]],Dim_Reps!A:A,Dim_Reps!B:B)</f>
        <v>Jamie Schmidt</v>
      </c>
      <c r="P2702" t="str">
        <f>_xlfn.XLOOKUP(Pipeline_tbl[[#This Row],[Rep_ID]],Dim_Reps!A:A,Dim_Reps!C:C)</f>
        <v>SDR / Inside Sales Rep</v>
      </c>
      <c r="Q2702" t="str">
        <f>_xlfn.XLOOKUP(Pipeline_tbl[[#This Row],[Rep_ID]],Dim_Reps!A:A,Dim_Reps!D:D)</f>
        <v>Inside Sales</v>
      </c>
      <c r="R2702" t="str">
        <f>_xlfn.XLOOKUP(Pipeline_tbl[[#This Row],[Rep_ID]],Dim_Reps!A:A,Dim_Reps!E:E)</f>
        <v>APAC</v>
      </c>
      <c r="S2702" t="str">
        <f>_xlfn.XLOOKUP(Pipeline_tbl[[#This Row],[Created_Date]],Dim_Date!A:A,Dim_Date!H:H)</f>
        <v>Mar 2025</v>
      </c>
      <c r="T2702" t="str">
        <f>IF(Pipeline_tbl[[#This Row],[Closed_Date]]=0,"",(_xlfn.XLOOKUP(Pipeline_tbl[[#This Row],[Closed_Date]],Dim_Date!A:A,Dim_Date!H:H)))</f>
        <v>Apr 2025</v>
      </c>
      <c r="U2702">
        <f>IF(Pipeline_tbl[[#This Row],[Closed_Date]]=0,"",Pipeline_tbl[[#This Row],[Closed_Date]]-Pipeline_tbl[[#This Row],[Created_Date]])</f>
        <v>16</v>
      </c>
    </row>
    <row r="2703" spans="1:21" ht="15" customHeight="1" x14ac:dyDescent="0.2">
      <c r="A2703" t="s">
        <v>3009</v>
      </c>
      <c r="B2703" t="s">
        <v>215</v>
      </c>
      <c r="C2703" t="s">
        <v>54</v>
      </c>
      <c r="D2703" s="49">
        <v>45741</v>
      </c>
      <c r="E2703" s="49">
        <v>45743</v>
      </c>
      <c r="F2703" s="49">
        <v>45747</v>
      </c>
      <c r="G2703" s="49">
        <v>45754</v>
      </c>
      <c r="H2703" s="49">
        <v>45759</v>
      </c>
      <c r="I2703" s="49">
        <v>45762</v>
      </c>
      <c r="J2703" t="s">
        <v>47</v>
      </c>
      <c r="K2703" s="33">
        <v>3800</v>
      </c>
      <c r="M2703" t="str">
        <f>_xlfn.XLOOKUP(Pipeline_tbl[[#This Row],[Rep_ID]],Dim_Reps!A:A,Dim_Reps!K:K)</f>
        <v>EUR</v>
      </c>
      <c r="N2703" s="33">
        <f>(_xlfn.XLOOKUP(Pipeline_tbl[[#This Row],[Rate_Code_Generalized]],Lookups!A:A,Lookups!B:B))*Pipeline_tbl[[#This Row],[Pipeline_Amount_USD]]</f>
        <v>3800</v>
      </c>
      <c r="O2703" t="str">
        <f>_xlfn.XLOOKUP(Pipeline_tbl[[#This Row],[Rep_ID]],Dim_Reps!A:A,Dim_Reps!B:B)</f>
        <v>Jamie Schmidt</v>
      </c>
      <c r="P2703" t="str">
        <f>_xlfn.XLOOKUP(Pipeline_tbl[[#This Row],[Rep_ID]],Dim_Reps!A:A,Dim_Reps!C:C)</f>
        <v>SDR / Inside Sales Rep</v>
      </c>
      <c r="Q2703" t="str">
        <f>_xlfn.XLOOKUP(Pipeline_tbl[[#This Row],[Rep_ID]],Dim_Reps!A:A,Dim_Reps!D:D)</f>
        <v>Inside Sales</v>
      </c>
      <c r="R2703" t="str">
        <f>_xlfn.XLOOKUP(Pipeline_tbl[[#This Row],[Rep_ID]],Dim_Reps!A:A,Dim_Reps!E:E)</f>
        <v>APAC</v>
      </c>
      <c r="S2703" t="str">
        <f>_xlfn.XLOOKUP(Pipeline_tbl[[#This Row],[Created_Date]],Dim_Date!A:A,Dim_Date!H:H)</f>
        <v>Mar 2025</v>
      </c>
      <c r="T2703" t="str">
        <f>IF(Pipeline_tbl[[#This Row],[Closed_Date]]=0,"",(_xlfn.XLOOKUP(Pipeline_tbl[[#This Row],[Closed_Date]],Dim_Date!A:A,Dim_Date!H:H)))</f>
        <v>Apr 2025</v>
      </c>
      <c r="U2703">
        <f>IF(Pipeline_tbl[[#This Row],[Closed_Date]]=0,"",Pipeline_tbl[[#This Row],[Closed_Date]]-Pipeline_tbl[[#This Row],[Created_Date]])</f>
        <v>21</v>
      </c>
    </row>
    <row r="2704" spans="1:21" ht="15" customHeight="1" x14ac:dyDescent="0.2">
      <c r="A2704" t="s">
        <v>3010</v>
      </c>
      <c r="B2704" t="s">
        <v>217</v>
      </c>
      <c r="C2704" t="s">
        <v>52</v>
      </c>
      <c r="D2704" s="49">
        <v>45739</v>
      </c>
      <c r="E2704" s="49">
        <v>45740</v>
      </c>
      <c r="F2704" s="49">
        <v>45742</v>
      </c>
      <c r="G2704" s="49">
        <v>45745</v>
      </c>
      <c r="I2704" s="49">
        <v>45749</v>
      </c>
      <c r="J2704" t="s">
        <v>49</v>
      </c>
      <c r="K2704" s="33">
        <v>6900</v>
      </c>
      <c r="L2704" t="s">
        <v>61</v>
      </c>
      <c r="M2704" t="str">
        <f>_xlfn.XLOOKUP(Pipeline_tbl[[#This Row],[Rep_ID]],Dim_Reps!A:A,Dim_Reps!K:K)</f>
        <v>USD</v>
      </c>
      <c r="N2704" s="33">
        <f>(_xlfn.XLOOKUP(Pipeline_tbl[[#This Row],[Rate_Code_Generalized]],Lookups!A:A,Lookups!B:B))*Pipeline_tbl[[#This Row],[Pipeline_Amount_USD]]</f>
        <v>8033.6699999999992</v>
      </c>
      <c r="O2704" t="str">
        <f>_xlfn.XLOOKUP(Pipeline_tbl[[#This Row],[Rep_ID]],Dim_Reps!A:A,Dim_Reps!B:B)</f>
        <v>Priya Weber</v>
      </c>
      <c r="P2704" t="str">
        <f>_xlfn.XLOOKUP(Pipeline_tbl[[#This Row],[Rep_ID]],Dim_Reps!A:A,Dim_Reps!C:C)</f>
        <v>SDR / Inside Sales Rep</v>
      </c>
      <c r="Q2704" t="str">
        <f>_xlfn.XLOOKUP(Pipeline_tbl[[#This Row],[Rep_ID]],Dim_Reps!A:A,Dim_Reps!D:D)</f>
        <v>Inside Sales</v>
      </c>
      <c r="R2704" t="str">
        <f>_xlfn.XLOOKUP(Pipeline_tbl[[#This Row],[Rep_ID]],Dim_Reps!A:A,Dim_Reps!E:E)</f>
        <v>NAMER</v>
      </c>
      <c r="S2704" t="str">
        <f>_xlfn.XLOOKUP(Pipeline_tbl[[#This Row],[Created_Date]],Dim_Date!A:A,Dim_Date!H:H)</f>
        <v>Mar 2025</v>
      </c>
      <c r="T2704" t="str">
        <f>IF(Pipeline_tbl[[#This Row],[Closed_Date]]=0,"",(_xlfn.XLOOKUP(Pipeline_tbl[[#This Row],[Closed_Date]],Dim_Date!A:A,Dim_Date!H:H)))</f>
        <v>Apr 2025</v>
      </c>
      <c r="U2704">
        <f>IF(Pipeline_tbl[[#This Row],[Closed_Date]]=0,"",Pipeline_tbl[[#This Row],[Closed_Date]]-Pipeline_tbl[[#This Row],[Created_Date]])</f>
        <v>10</v>
      </c>
    </row>
    <row r="2705" spans="1:21" ht="15" customHeight="1" x14ac:dyDescent="0.2">
      <c r="A2705" t="s">
        <v>3011</v>
      </c>
      <c r="B2705" t="s">
        <v>188</v>
      </c>
      <c r="C2705" t="s">
        <v>52</v>
      </c>
      <c r="D2705" s="49">
        <v>45719</v>
      </c>
      <c r="E2705" s="49">
        <v>45724</v>
      </c>
      <c r="F2705" s="49">
        <v>45734</v>
      </c>
      <c r="G2705" s="49">
        <v>45750</v>
      </c>
      <c r="H2705" s="49">
        <v>45762</v>
      </c>
      <c r="I2705" s="49">
        <v>45770</v>
      </c>
      <c r="J2705" t="s">
        <v>47</v>
      </c>
      <c r="K2705" s="33">
        <v>44100</v>
      </c>
      <c r="M2705" t="str">
        <f>_xlfn.XLOOKUP(Pipeline_tbl[[#This Row],[Rep_ID]],Dim_Reps!A:A,Dim_Reps!K:K)</f>
        <v>EUR</v>
      </c>
      <c r="N2705" s="33">
        <f>(_xlfn.XLOOKUP(Pipeline_tbl[[#This Row],[Rate_Code_Generalized]],Lookups!A:A,Lookups!B:B))*Pipeline_tbl[[#This Row],[Pipeline_Amount_USD]]</f>
        <v>44100</v>
      </c>
      <c r="O2705" t="str">
        <f>_xlfn.XLOOKUP(Pipeline_tbl[[#This Row],[Rep_ID]],Dim_Reps!A:A,Dim_Reps!B:B)</f>
        <v>Jamie Santos</v>
      </c>
      <c r="P2705" t="str">
        <f>_xlfn.XLOOKUP(Pipeline_tbl[[#This Row],[Rep_ID]],Dim_Reps!A:A,Dim_Reps!C:C)</f>
        <v>Enterprise AE</v>
      </c>
      <c r="Q2705" t="str">
        <f>_xlfn.XLOOKUP(Pipeline_tbl[[#This Row],[Rep_ID]],Dim_Reps!A:A,Dim_Reps!D:D)</f>
        <v>Enterprise</v>
      </c>
      <c r="R2705" t="str">
        <f>_xlfn.XLOOKUP(Pipeline_tbl[[#This Row],[Rep_ID]],Dim_Reps!A:A,Dim_Reps!E:E)</f>
        <v>APAC</v>
      </c>
      <c r="S2705" t="str">
        <f>_xlfn.XLOOKUP(Pipeline_tbl[[#This Row],[Created_Date]],Dim_Date!A:A,Dim_Date!H:H)</f>
        <v>Mar 2025</v>
      </c>
      <c r="T2705" t="str">
        <f>IF(Pipeline_tbl[[#This Row],[Closed_Date]]=0,"",(_xlfn.XLOOKUP(Pipeline_tbl[[#This Row],[Closed_Date]],Dim_Date!A:A,Dim_Date!H:H)))</f>
        <v>Apr 2025</v>
      </c>
      <c r="U2705">
        <f>IF(Pipeline_tbl[[#This Row],[Closed_Date]]=0,"",Pipeline_tbl[[#This Row],[Closed_Date]]-Pipeline_tbl[[#This Row],[Created_Date]])</f>
        <v>51</v>
      </c>
    </row>
    <row r="2706" spans="1:21" ht="15" customHeight="1" x14ac:dyDescent="0.2">
      <c r="A2706" t="s">
        <v>3012</v>
      </c>
      <c r="B2706" t="s">
        <v>188</v>
      </c>
      <c r="C2706" t="s">
        <v>53</v>
      </c>
      <c r="D2706" s="49">
        <v>45720</v>
      </c>
      <c r="E2706" s="49">
        <v>45725</v>
      </c>
      <c r="I2706" s="49">
        <v>45770</v>
      </c>
      <c r="J2706" t="s">
        <v>49</v>
      </c>
      <c r="K2706" s="33">
        <v>37200</v>
      </c>
      <c r="L2706" t="s">
        <v>62</v>
      </c>
      <c r="M2706" t="str">
        <f>_xlfn.XLOOKUP(Pipeline_tbl[[#This Row],[Rep_ID]],Dim_Reps!A:A,Dim_Reps!K:K)</f>
        <v>EUR</v>
      </c>
      <c r="N2706" s="33">
        <f>(_xlfn.XLOOKUP(Pipeline_tbl[[#This Row],[Rate_Code_Generalized]],Lookups!A:A,Lookups!B:B))*Pipeline_tbl[[#This Row],[Pipeline_Amount_USD]]</f>
        <v>37200</v>
      </c>
      <c r="O2706" t="str">
        <f>_xlfn.XLOOKUP(Pipeline_tbl[[#This Row],[Rep_ID]],Dim_Reps!A:A,Dim_Reps!B:B)</f>
        <v>Jamie Santos</v>
      </c>
      <c r="P2706" t="str">
        <f>_xlfn.XLOOKUP(Pipeline_tbl[[#This Row],[Rep_ID]],Dim_Reps!A:A,Dim_Reps!C:C)</f>
        <v>Enterprise AE</v>
      </c>
      <c r="Q2706" t="str">
        <f>_xlfn.XLOOKUP(Pipeline_tbl[[#This Row],[Rep_ID]],Dim_Reps!A:A,Dim_Reps!D:D)</f>
        <v>Enterprise</v>
      </c>
      <c r="R2706" t="str">
        <f>_xlfn.XLOOKUP(Pipeline_tbl[[#This Row],[Rep_ID]],Dim_Reps!A:A,Dim_Reps!E:E)</f>
        <v>APAC</v>
      </c>
      <c r="S2706" t="str">
        <f>_xlfn.XLOOKUP(Pipeline_tbl[[#This Row],[Created_Date]],Dim_Date!A:A,Dim_Date!H:H)</f>
        <v>Mar 2025</v>
      </c>
      <c r="T2706" t="str">
        <f>IF(Pipeline_tbl[[#This Row],[Closed_Date]]=0,"",(_xlfn.XLOOKUP(Pipeline_tbl[[#This Row],[Closed_Date]],Dim_Date!A:A,Dim_Date!H:H)))</f>
        <v>Apr 2025</v>
      </c>
      <c r="U2706">
        <f>IF(Pipeline_tbl[[#This Row],[Closed_Date]]=0,"",Pipeline_tbl[[#This Row],[Closed_Date]]-Pipeline_tbl[[#This Row],[Created_Date]])</f>
        <v>50</v>
      </c>
    </row>
    <row r="2707" spans="1:21" ht="15" customHeight="1" x14ac:dyDescent="0.2">
      <c r="A2707" t="s">
        <v>3013</v>
      </c>
      <c r="B2707" t="s">
        <v>221</v>
      </c>
      <c r="C2707" t="s">
        <v>53</v>
      </c>
      <c r="D2707" s="49">
        <v>45741</v>
      </c>
      <c r="E2707" s="49">
        <v>45743</v>
      </c>
      <c r="F2707" s="49">
        <v>45747</v>
      </c>
      <c r="G2707" s="49">
        <v>45753</v>
      </c>
      <c r="H2707" s="49">
        <v>45758</v>
      </c>
      <c r="I2707" s="49">
        <v>45761</v>
      </c>
      <c r="J2707" t="s">
        <v>47</v>
      </c>
      <c r="K2707" s="33">
        <v>3900</v>
      </c>
      <c r="M2707" t="str">
        <f>_xlfn.XLOOKUP(Pipeline_tbl[[#This Row],[Rep_ID]],Dim_Reps!A:A,Dim_Reps!K:K)</f>
        <v>MXN</v>
      </c>
      <c r="N2707" s="33">
        <f>(_xlfn.XLOOKUP(Pipeline_tbl[[#This Row],[Rate_Code_Generalized]],Lookups!A:A,Lookups!B:B))*Pipeline_tbl[[#This Row],[Pipeline_Amount_USD]]</f>
        <v>76957.53</v>
      </c>
      <c r="O2707" t="str">
        <f>_xlfn.XLOOKUP(Pipeline_tbl[[#This Row],[Rep_ID]],Dim_Reps!A:A,Dim_Reps!B:B)</f>
        <v>Casey Muller</v>
      </c>
      <c r="P2707" t="str">
        <f>_xlfn.XLOOKUP(Pipeline_tbl[[#This Row],[Rep_ID]],Dim_Reps!A:A,Dim_Reps!C:C)</f>
        <v>SDR / Inside Sales Rep</v>
      </c>
      <c r="Q2707" t="str">
        <f>_xlfn.XLOOKUP(Pipeline_tbl[[#This Row],[Rep_ID]],Dim_Reps!A:A,Dim_Reps!D:D)</f>
        <v>Inside Sales</v>
      </c>
      <c r="R2707" t="str">
        <f>_xlfn.XLOOKUP(Pipeline_tbl[[#This Row],[Rep_ID]],Dim_Reps!A:A,Dim_Reps!E:E)</f>
        <v>LATAM</v>
      </c>
      <c r="S2707" t="str">
        <f>_xlfn.XLOOKUP(Pipeline_tbl[[#This Row],[Created_Date]],Dim_Date!A:A,Dim_Date!H:H)</f>
        <v>Mar 2025</v>
      </c>
      <c r="T2707" t="str">
        <f>IF(Pipeline_tbl[[#This Row],[Closed_Date]]=0,"",(_xlfn.XLOOKUP(Pipeline_tbl[[#This Row],[Closed_Date]],Dim_Date!A:A,Dim_Date!H:H)))</f>
        <v>Apr 2025</v>
      </c>
      <c r="U2707">
        <f>IF(Pipeline_tbl[[#This Row],[Closed_Date]]=0,"",Pipeline_tbl[[#This Row],[Closed_Date]]-Pipeline_tbl[[#This Row],[Created_Date]])</f>
        <v>20</v>
      </c>
    </row>
    <row r="2708" spans="1:21" ht="15" customHeight="1" x14ac:dyDescent="0.2">
      <c r="A2708" t="s">
        <v>3014</v>
      </c>
      <c r="B2708" t="s">
        <v>221</v>
      </c>
      <c r="C2708" t="s">
        <v>52</v>
      </c>
      <c r="D2708" s="49">
        <v>45746</v>
      </c>
      <c r="E2708" s="49">
        <v>45747</v>
      </c>
      <c r="F2708" s="49">
        <v>45750</v>
      </c>
      <c r="G2708" s="49">
        <v>45754</v>
      </c>
      <c r="H2708" s="49">
        <v>45757</v>
      </c>
      <c r="I2708" s="49">
        <v>45759</v>
      </c>
      <c r="J2708" t="s">
        <v>47</v>
      </c>
      <c r="K2708" s="33">
        <v>2500</v>
      </c>
      <c r="M2708" t="str">
        <f>_xlfn.XLOOKUP(Pipeline_tbl[[#This Row],[Rep_ID]],Dim_Reps!A:A,Dim_Reps!K:K)</f>
        <v>MXN</v>
      </c>
      <c r="N2708" s="33">
        <f>(_xlfn.XLOOKUP(Pipeline_tbl[[#This Row],[Rate_Code_Generalized]],Lookups!A:A,Lookups!B:B))*Pipeline_tbl[[#This Row],[Pipeline_Amount_USD]]</f>
        <v>49331.75</v>
      </c>
      <c r="O2708" t="str">
        <f>_xlfn.XLOOKUP(Pipeline_tbl[[#This Row],[Rep_ID]],Dim_Reps!A:A,Dim_Reps!B:B)</f>
        <v>Casey Muller</v>
      </c>
      <c r="P2708" t="str">
        <f>_xlfn.XLOOKUP(Pipeline_tbl[[#This Row],[Rep_ID]],Dim_Reps!A:A,Dim_Reps!C:C)</f>
        <v>SDR / Inside Sales Rep</v>
      </c>
      <c r="Q2708" t="str">
        <f>_xlfn.XLOOKUP(Pipeline_tbl[[#This Row],[Rep_ID]],Dim_Reps!A:A,Dim_Reps!D:D)</f>
        <v>Inside Sales</v>
      </c>
      <c r="R2708" t="str">
        <f>_xlfn.XLOOKUP(Pipeline_tbl[[#This Row],[Rep_ID]],Dim_Reps!A:A,Dim_Reps!E:E)</f>
        <v>LATAM</v>
      </c>
      <c r="S2708" t="str">
        <f>_xlfn.XLOOKUP(Pipeline_tbl[[#This Row],[Created_Date]],Dim_Date!A:A,Dim_Date!H:H)</f>
        <v>Mar 2025</v>
      </c>
      <c r="T2708" t="str">
        <f>IF(Pipeline_tbl[[#This Row],[Closed_Date]]=0,"",(_xlfn.XLOOKUP(Pipeline_tbl[[#This Row],[Closed_Date]],Dim_Date!A:A,Dim_Date!H:H)))</f>
        <v>Apr 2025</v>
      </c>
      <c r="U2708">
        <f>IF(Pipeline_tbl[[#This Row],[Closed_Date]]=0,"",Pipeline_tbl[[#This Row],[Closed_Date]]-Pipeline_tbl[[#This Row],[Created_Date]])</f>
        <v>13</v>
      </c>
    </row>
    <row r="2709" spans="1:21" ht="15" customHeight="1" x14ac:dyDescent="0.2">
      <c r="A2709" t="s">
        <v>3015</v>
      </c>
      <c r="B2709" t="s">
        <v>221</v>
      </c>
      <c r="C2709" t="s">
        <v>54</v>
      </c>
      <c r="D2709" s="49">
        <v>45745</v>
      </c>
      <c r="E2709" s="49">
        <v>45746</v>
      </c>
      <c r="I2709" s="49">
        <v>45758</v>
      </c>
      <c r="J2709" t="s">
        <v>49</v>
      </c>
      <c r="K2709" s="33">
        <v>3100</v>
      </c>
      <c r="L2709" t="s">
        <v>60</v>
      </c>
      <c r="M2709" t="str">
        <f>_xlfn.XLOOKUP(Pipeline_tbl[[#This Row],[Rep_ID]],Dim_Reps!A:A,Dim_Reps!K:K)</f>
        <v>MXN</v>
      </c>
      <c r="N2709" s="33">
        <f>(_xlfn.XLOOKUP(Pipeline_tbl[[#This Row],[Rate_Code_Generalized]],Lookups!A:A,Lookups!B:B))*Pipeline_tbl[[#This Row],[Pipeline_Amount_USD]]</f>
        <v>61171.37</v>
      </c>
      <c r="O2709" t="str">
        <f>_xlfn.XLOOKUP(Pipeline_tbl[[#This Row],[Rep_ID]],Dim_Reps!A:A,Dim_Reps!B:B)</f>
        <v>Casey Muller</v>
      </c>
      <c r="P2709" t="str">
        <f>_xlfn.XLOOKUP(Pipeline_tbl[[#This Row],[Rep_ID]],Dim_Reps!A:A,Dim_Reps!C:C)</f>
        <v>SDR / Inside Sales Rep</v>
      </c>
      <c r="Q2709" t="str">
        <f>_xlfn.XLOOKUP(Pipeline_tbl[[#This Row],[Rep_ID]],Dim_Reps!A:A,Dim_Reps!D:D)</f>
        <v>Inside Sales</v>
      </c>
      <c r="R2709" t="str">
        <f>_xlfn.XLOOKUP(Pipeline_tbl[[#This Row],[Rep_ID]],Dim_Reps!A:A,Dim_Reps!E:E)</f>
        <v>LATAM</v>
      </c>
      <c r="S2709" t="str">
        <f>_xlfn.XLOOKUP(Pipeline_tbl[[#This Row],[Created_Date]],Dim_Date!A:A,Dim_Date!H:H)</f>
        <v>Mar 2025</v>
      </c>
      <c r="T2709" t="str">
        <f>IF(Pipeline_tbl[[#This Row],[Closed_Date]]=0,"",(_xlfn.XLOOKUP(Pipeline_tbl[[#This Row],[Closed_Date]],Dim_Date!A:A,Dim_Date!H:H)))</f>
        <v>Apr 2025</v>
      </c>
      <c r="U2709">
        <f>IF(Pipeline_tbl[[#This Row],[Closed_Date]]=0,"",Pipeline_tbl[[#This Row],[Closed_Date]]-Pipeline_tbl[[#This Row],[Created_Date]])</f>
        <v>13</v>
      </c>
    </row>
    <row r="2710" spans="1:21" ht="15" customHeight="1" x14ac:dyDescent="0.2">
      <c r="A2710" t="s">
        <v>3016</v>
      </c>
      <c r="B2710" t="s">
        <v>221</v>
      </c>
      <c r="C2710" t="s">
        <v>52</v>
      </c>
      <c r="D2710" s="49">
        <v>45745</v>
      </c>
      <c r="E2710" s="49">
        <v>45747</v>
      </c>
      <c r="F2710" s="49">
        <v>45751</v>
      </c>
      <c r="G2710" s="49">
        <v>45756</v>
      </c>
      <c r="H2710" s="49">
        <v>45761</v>
      </c>
      <c r="I2710" s="49">
        <v>45764</v>
      </c>
      <c r="J2710" t="s">
        <v>47</v>
      </c>
      <c r="K2710" s="33">
        <v>2800</v>
      </c>
      <c r="M2710" t="str">
        <f>_xlfn.XLOOKUP(Pipeline_tbl[[#This Row],[Rep_ID]],Dim_Reps!A:A,Dim_Reps!K:K)</f>
        <v>MXN</v>
      </c>
      <c r="N2710" s="33">
        <f>(_xlfn.XLOOKUP(Pipeline_tbl[[#This Row],[Rate_Code_Generalized]],Lookups!A:A,Lookups!B:B))*Pipeline_tbl[[#This Row],[Pipeline_Amount_USD]]</f>
        <v>55251.560000000005</v>
      </c>
      <c r="O2710" t="str">
        <f>_xlfn.XLOOKUP(Pipeline_tbl[[#This Row],[Rep_ID]],Dim_Reps!A:A,Dim_Reps!B:B)</f>
        <v>Casey Muller</v>
      </c>
      <c r="P2710" t="str">
        <f>_xlfn.XLOOKUP(Pipeline_tbl[[#This Row],[Rep_ID]],Dim_Reps!A:A,Dim_Reps!C:C)</f>
        <v>SDR / Inside Sales Rep</v>
      </c>
      <c r="Q2710" t="str">
        <f>_xlfn.XLOOKUP(Pipeline_tbl[[#This Row],[Rep_ID]],Dim_Reps!A:A,Dim_Reps!D:D)</f>
        <v>Inside Sales</v>
      </c>
      <c r="R2710" t="str">
        <f>_xlfn.XLOOKUP(Pipeline_tbl[[#This Row],[Rep_ID]],Dim_Reps!A:A,Dim_Reps!E:E)</f>
        <v>LATAM</v>
      </c>
      <c r="S2710" t="str">
        <f>_xlfn.XLOOKUP(Pipeline_tbl[[#This Row],[Created_Date]],Dim_Date!A:A,Dim_Date!H:H)</f>
        <v>Mar 2025</v>
      </c>
      <c r="T2710" t="str">
        <f>IF(Pipeline_tbl[[#This Row],[Closed_Date]]=0,"",(_xlfn.XLOOKUP(Pipeline_tbl[[#This Row],[Closed_Date]],Dim_Date!A:A,Dim_Date!H:H)))</f>
        <v>Apr 2025</v>
      </c>
      <c r="U2710">
        <f>IF(Pipeline_tbl[[#This Row],[Closed_Date]]=0,"",Pipeline_tbl[[#This Row],[Closed_Date]]-Pipeline_tbl[[#This Row],[Created_Date]])</f>
        <v>19</v>
      </c>
    </row>
    <row r="2711" spans="1:21" ht="15" customHeight="1" x14ac:dyDescent="0.2">
      <c r="A2711" t="s">
        <v>3017</v>
      </c>
      <c r="B2711" t="s">
        <v>221</v>
      </c>
      <c r="C2711" t="s">
        <v>52</v>
      </c>
      <c r="D2711" s="49">
        <v>45717</v>
      </c>
      <c r="E2711" s="49">
        <v>45720</v>
      </c>
      <c r="I2711" s="49">
        <v>45748</v>
      </c>
      <c r="J2711" t="s">
        <v>49</v>
      </c>
      <c r="K2711" s="33">
        <v>4900</v>
      </c>
      <c r="L2711" t="s">
        <v>61</v>
      </c>
      <c r="M2711" t="str">
        <f>_xlfn.XLOOKUP(Pipeline_tbl[[#This Row],[Rep_ID]],Dim_Reps!A:A,Dim_Reps!K:K)</f>
        <v>MXN</v>
      </c>
      <c r="N2711" s="33">
        <f>(_xlfn.XLOOKUP(Pipeline_tbl[[#This Row],[Rate_Code_Generalized]],Lookups!A:A,Lookups!B:B))*Pipeline_tbl[[#This Row],[Pipeline_Amount_USD]]</f>
        <v>96690.23000000001</v>
      </c>
      <c r="O2711" t="str">
        <f>_xlfn.XLOOKUP(Pipeline_tbl[[#This Row],[Rep_ID]],Dim_Reps!A:A,Dim_Reps!B:B)</f>
        <v>Casey Muller</v>
      </c>
      <c r="P2711" t="str">
        <f>_xlfn.XLOOKUP(Pipeline_tbl[[#This Row],[Rep_ID]],Dim_Reps!A:A,Dim_Reps!C:C)</f>
        <v>SDR / Inside Sales Rep</v>
      </c>
      <c r="Q2711" t="str">
        <f>_xlfn.XLOOKUP(Pipeline_tbl[[#This Row],[Rep_ID]],Dim_Reps!A:A,Dim_Reps!D:D)</f>
        <v>Inside Sales</v>
      </c>
      <c r="R2711" t="str">
        <f>_xlfn.XLOOKUP(Pipeline_tbl[[#This Row],[Rep_ID]],Dim_Reps!A:A,Dim_Reps!E:E)</f>
        <v>LATAM</v>
      </c>
      <c r="S2711" t="str">
        <f>_xlfn.XLOOKUP(Pipeline_tbl[[#This Row],[Created_Date]],Dim_Date!A:A,Dim_Date!H:H)</f>
        <v>Mar 2025</v>
      </c>
      <c r="T2711" t="str">
        <f>IF(Pipeline_tbl[[#This Row],[Closed_Date]]=0,"",(_xlfn.XLOOKUP(Pipeline_tbl[[#This Row],[Closed_Date]],Dim_Date!A:A,Dim_Date!H:H)))</f>
        <v>Apr 2025</v>
      </c>
      <c r="U2711">
        <f>IF(Pipeline_tbl[[#This Row],[Closed_Date]]=0,"",Pipeline_tbl[[#This Row],[Closed_Date]]-Pipeline_tbl[[#This Row],[Created_Date]])</f>
        <v>31</v>
      </c>
    </row>
    <row r="2712" spans="1:21" ht="15" customHeight="1" x14ac:dyDescent="0.2">
      <c r="A2712" t="s">
        <v>3018</v>
      </c>
      <c r="B2712" t="s">
        <v>257</v>
      </c>
      <c r="C2712" t="s">
        <v>53</v>
      </c>
      <c r="D2712" s="49">
        <v>45729</v>
      </c>
      <c r="E2712" s="49">
        <v>45734</v>
      </c>
      <c r="F2712" s="49">
        <v>45743</v>
      </c>
      <c r="G2712" s="49">
        <v>45757</v>
      </c>
      <c r="H2712" s="49">
        <v>45768</v>
      </c>
      <c r="I2712" s="49">
        <v>45775</v>
      </c>
      <c r="J2712" t="s">
        <v>49</v>
      </c>
      <c r="K2712" s="33">
        <v>6400</v>
      </c>
      <c r="L2712" t="s">
        <v>60</v>
      </c>
      <c r="M2712" t="str">
        <f>_xlfn.XLOOKUP(Pipeline_tbl[[#This Row],[Rep_ID]],Dim_Reps!A:A,Dim_Reps!K:K)</f>
        <v>EUR</v>
      </c>
      <c r="N2712" s="33">
        <f>(_xlfn.XLOOKUP(Pipeline_tbl[[#This Row],[Rate_Code_Generalized]],Lookups!A:A,Lookups!B:B))*Pipeline_tbl[[#This Row],[Pipeline_Amount_USD]]</f>
        <v>6400</v>
      </c>
      <c r="O2712" t="str">
        <f>_xlfn.XLOOKUP(Pipeline_tbl[[#This Row],[Rep_ID]],Dim_Reps!A:A,Dim_Reps!B:B)</f>
        <v>Ana Kim</v>
      </c>
      <c r="P2712" t="str">
        <f>_xlfn.XLOOKUP(Pipeline_tbl[[#This Row],[Rep_ID]],Dim_Reps!A:A,Dim_Reps!C:C)</f>
        <v>Mid-Market AE</v>
      </c>
      <c r="Q2712" t="str">
        <f>_xlfn.XLOOKUP(Pipeline_tbl[[#This Row],[Rep_ID]],Dim_Reps!A:A,Dim_Reps!D:D)</f>
        <v>Mid-Market</v>
      </c>
      <c r="R2712" t="str">
        <f>_xlfn.XLOOKUP(Pipeline_tbl[[#This Row],[Rep_ID]],Dim_Reps!A:A,Dim_Reps!E:E)</f>
        <v>APAC</v>
      </c>
      <c r="S2712" t="str">
        <f>_xlfn.XLOOKUP(Pipeline_tbl[[#This Row],[Created_Date]],Dim_Date!A:A,Dim_Date!H:H)</f>
        <v>Mar 2025</v>
      </c>
      <c r="T2712" t="str">
        <f>IF(Pipeline_tbl[[#This Row],[Closed_Date]]=0,"",(_xlfn.XLOOKUP(Pipeline_tbl[[#This Row],[Closed_Date]],Dim_Date!A:A,Dim_Date!H:H)))</f>
        <v>Apr 2025</v>
      </c>
      <c r="U2712">
        <f>IF(Pipeline_tbl[[#This Row],[Closed_Date]]=0,"",Pipeline_tbl[[#This Row],[Closed_Date]]-Pipeline_tbl[[#This Row],[Created_Date]])</f>
        <v>46</v>
      </c>
    </row>
    <row r="2713" spans="1:21" ht="15" customHeight="1" x14ac:dyDescent="0.2">
      <c r="A2713" t="s">
        <v>3019</v>
      </c>
      <c r="B2713" t="s">
        <v>259</v>
      </c>
      <c r="C2713" t="s">
        <v>55</v>
      </c>
      <c r="D2713" s="49">
        <v>45727</v>
      </c>
      <c r="E2713" s="49">
        <v>45729</v>
      </c>
      <c r="F2713" s="49">
        <v>45733</v>
      </c>
      <c r="G2713" s="49">
        <v>45740</v>
      </c>
      <c r="I2713" s="49">
        <v>45748</v>
      </c>
      <c r="J2713" t="s">
        <v>49</v>
      </c>
      <c r="K2713" s="33">
        <v>9100</v>
      </c>
      <c r="L2713" t="s">
        <v>61</v>
      </c>
      <c r="M2713" t="str">
        <f>_xlfn.XLOOKUP(Pipeline_tbl[[#This Row],[Rep_ID]],Dim_Reps!A:A,Dim_Reps!K:K)</f>
        <v>EUR</v>
      </c>
      <c r="N2713" s="33">
        <f>(_xlfn.XLOOKUP(Pipeline_tbl[[#This Row],[Rate_Code_Generalized]],Lookups!A:A,Lookups!B:B))*Pipeline_tbl[[#This Row],[Pipeline_Amount_USD]]</f>
        <v>9100</v>
      </c>
      <c r="O2713" t="str">
        <f>_xlfn.XLOOKUP(Pipeline_tbl[[#This Row],[Rep_ID]],Dim_Reps!A:A,Dim_Reps!B:B)</f>
        <v>Felix Okafor</v>
      </c>
      <c r="P2713" t="str">
        <f>_xlfn.XLOOKUP(Pipeline_tbl[[#This Row],[Rep_ID]],Dim_Reps!A:A,Dim_Reps!C:C)</f>
        <v>Mid-Market AE</v>
      </c>
      <c r="Q2713" t="str">
        <f>_xlfn.XLOOKUP(Pipeline_tbl[[#This Row],[Rep_ID]],Dim_Reps!A:A,Dim_Reps!D:D)</f>
        <v>Mid-Market</v>
      </c>
      <c r="R2713" t="str">
        <f>_xlfn.XLOOKUP(Pipeline_tbl[[#This Row],[Rep_ID]],Dim_Reps!A:A,Dim_Reps!E:E)</f>
        <v>EMEA</v>
      </c>
      <c r="S2713" t="str">
        <f>_xlfn.XLOOKUP(Pipeline_tbl[[#This Row],[Created_Date]],Dim_Date!A:A,Dim_Date!H:H)</f>
        <v>Mar 2025</v>
      </c>
      <c r="T2713" t="str">
        <f>IF(Pipeline_tbl[[#This Row],[Closed_Date]]=0,"",(_xlfn.XLOOKUP(Pipeline_tbl[[#This Row],[Closed_Date]],Dim_Date!A:A,Dim_Date!H:H)))</f>
        <v>Apr 2025</v>
      </c>
      <c r="U2713">
        <f>IF(Pipeline_tbl[[#This Row],[Closed_Date]]=0,"",Pipeline_tbl[[#This Row],[Closed_Date]]-Pipeline_tbl[[#This Row],[Created_Date]])</f>
        <v>21</v>
      </c>
    </row>
    <row r="2714" spans="1:21" ht="15" customHeight="1" x14ac:dyDescent="0.2">
      <c r="A2714" t="s">
        <v>3020</v>
      </c>
      <c r="B2714" t="s">
        <v>259</v>
      </c>
      <c r="C2714" t="s">
        <v>52</v>
      </c>
      <c r="D2714" s="49">
        <v>45725</v>
      </c>
      <c r="E2714" s="49">
        <v>45729</v>
      </c>
      <c r="I2714" s="49">
        <v>45763</v>
      </c>
      <c r="J2714" t="s">
        <v>49</v>
      </c>
      <c r="K2714" s="33">
        <v>18900</v>
      </c>
      <c r="L2714" t="s">
        <v>60</v>
      </c>
      <c r="M2714" t="str">
        <f>_xlfn.XLOOKUP(Pipeline_tbl[[#This Row],[Rep_ID]],Dim_Reps!A:A,Dim_Reps!K:K)</f>
        <v>EUR</v>
      </c>
      <c r="N2714" s="33">
        <f>(_xlfn.XLOOKUP(Pipeline_tbl[[#This Row],[Rate_Code_Generalized]],Lookups!A:A,Lookups!B:B))*Pipeline_tbl[[#This Row],[Pipeline_Amount_USD]]</f>
        <v>18900</v>
      </c>
      <c r="O2714" t="str">
        <f>_xlfn.XLOOKUP(Pipeline_tbl[[#This Row],[Rep_ID]],Dim_Reps!A:A,Dim_Reps!B:B)</f>
        <v>Felix Okafor</v>
      </c>
      <c r="P2714" t="str">
        <f>_xlfn.XLOOKUP(Pipeline_tbl[[#This Row],[Rep_ID]],Dim_Reps!A:A,Dim_Reps!C:C)</f>
        <v>Mid-Market AE</v>
      </c>
      <c r="Q2714" t="str">
        <f>_xlfn.XLOOKUP(Pipeline_tbl[[#This Row],[Rep_ID]],Dim_Reps!A:A,Dim_Reps!D:D)</f>
        <v>Mid-Market</v>
      </c>
      <c r="R2714" t="str">
        <f>_xlfn.XLOOKUP(Pipeline_tbl[[#This Row],[Rep_ID]],Dim_Reps!A:A,Dim_Reps!E:E)</f>
        <v>EMEA</v>
      </c>
      <c r="S2714" t="str">
        <f>_xlfn.XLOOKUP(Pipeline_tbl[[#This Row],[Created_Date]],Dim_Date!A:A,Dim_Date!H:H)</f>
        <v>Mar 2025</v>
      </c>
      <c r="T2714" t="str">
        <f>IF(Pipeline_tbl[[#This Row],[Closed_Date]]=0,"",(_xlfn.XLOOKUP(Pipeline_tbl[[#This Row],[Closed_Date]],Dim_Date!A:A,Dim_Date!H:H)))</f>
        <v>Apr 2025</v>
      </c>
      <c r="U2714">
        <f>IF(Pipeline_tbl[[#This Row],[Closed_Date]]=0,"",Pipeline_tbl[[#This Row],[Closed_Date]]-Pipeline_tbl[[#This Row],[Created_Date]])</f>
        <v>38</v>
      </c>
    </row>
    <row r="2715" spans="1:21" ht="15" customHeight="1" x14ac:dyDescent="0.2">
      <c r="A2715" t="s">
        <v>3021</v>
      </c>
      <c r="B2715" t="s">
        <v>259</v>
      </c>
      <c r="C2715" t="s">
        <v>54</v>
      </c>
      <c r="D2715" s="49">
        <v>45741</v>
      </c>
      <c r="E2715" s="49">
        <v>45744</v>
      </c>
      <c r="F2715" s="49">
        <v>45751</v>
      </c>
      <c r="G2715" s="49">
        <v>45761</v>
      </c>
      <c r="I2715" s="49">
        <v>45775</v>
      </c>
      <c r="J2715" t="s">
        <v>49</v>
      </c>
      <c r="K2715" s="33">
        <v>23700</v>
      </c>
      <c r="L2715" t="s">
        <v>64</v>
      </c>
      <c r="M2715" t="str">
        <f>_xlfn.XLOOKUP(Pipeline_tbl[[#This Row],[Rep_ID]],Dim_Reps!A:A,Dim_Reps!K:K)</f>
        <v>EUR</v>
      </c>
      <c r="N2715" s="33">
        <f>(_xlfn.XLOOKUP(Pipeline_tbl[[#This Row],[Rate_Code_Generalized]],Lookups!A:A,Lookups!B:B))*Pipeline_tbl[[#This Row],[Pipeline_Amount_USD]]</f>
        <v>23700</v>
      </c>
      <c r="O2715" t="str">
        <f>_xlfn.XLOOKUP(Pipeline_tbl[[#This Row],[Rep_ID]],Dim_Reps!A:A,Dim_Reps!B:B)</f>
        <v>Felix Okafor</v>
      </c>
      <c r="P2715" t="str">
        <f>_xlfn.XLOOKUP(Pipeline_tbl[[#This Row],[Rep_ID]],Dim_Reps!A:A,Dim_Reps!C:C)</f>
        <v>Mid-Market AE</v>
      </c>
      <c r="Q2715" t="str">
        <f>_xlfn.XLOOKUP(Pipeline_tbl[[#This Row],[Rep_ID]],Dim_Reps!A:A,Dim_Reps!D:D)</f>
        <v>Mid-Market</v>
      </c>
      <c r="R2715" t="str">
        <f>_xlfn.XLOOKUP(Pipeline_tbl[[#This Row],[Rep_ID]],Dim_Reps!A:A,Dim_Reps!E:E)</f>
        <v>EMEA</v>
      </c>
      <c r="S2715" t="str">
        <f>_xlfn.XLOOKUP(Pipeline_tbl[[#This Row],[Created_Date]],Dim_Date!A:A,Dim_Date!H:H)</f>
        <v>Mar 2025</v>
      </c>
      <c r="T2715" t="str">
        <f>IF(Pipeline_tbl[[#This Row],[Closed_Date]]=0,"",(_xlfn.XLOOKUP(Pipeline_tbl[[#This Row],[Closed_Date]],Dim_Date!A:A,Dim_Date!H:H)))</f>
        <v>Apr 2025</v>
      </c>
      <c r="U2715">
        <f>IF(Pipeline_tbl[[#This Row],[Closed_Date]]=0,"",Pipeline_tbl[[#This Row],[Closed_Date]]-Pipeline_tbl[[#This Row],[Created_Date]])</f>
        <v>34</v>
      </c>
    </row>
    <row r="2716" spans="1:21" ht="15" customHeight="1" x14ac:dyDescent="0.2">
      <c r="A2716" t="s">
        <v>3022</v>
      </c>
      <c r="B2716" t="s">
        <v>259</v>
      </c>
      <c r="C2716" t="s">
        <v>53</v>
      </c>
      <c r="D2716" s="49">
        <v>45743</v>
      </c>
      <c r="E2716" s="49">
        <v>45745</v>
      </c>
      <c r="F2716" s="49">
        <v>45748</v>
      </c>
      <c r="G2716" s="49">
        <v>45752</v>
      </c>
      <c r="H2716" s="49">
        <v>45756</v>
      </c>
      <c r="I2716" s="49">
        <v>45758</v>
      </c>
      <c r="J2716" t="s">
        <v>49</v>
      </c>
      <c r="K2716" s="33">
        <v>11000</v>
      </c>
      <c r="L2716" t="s">
        <v>60</v>
      </c>
      <c r="M2716" t="str">
        <f>_xlfn.XLOOKUP(Pipeline_tbl[[#This Row],[Rep_ID]],Dim_Reps!A:A,Dim_Reps!K:K)</f>
        <v>EUR</v>
      </c>
      <c r="N2716" s="33">
        <f>(_xlfn.XLOOKUP(Pipeline_tbl[[#This Row],[Rate_Code_Generalized]],Lookups!A:A,Lookups!B:B))*Pipeline_tbl[[#This Row],[Pipeline_Amount_USD]]</f>
        <v>11000</v>
      </c>
      <c r="O2716" t="str">
        <f>_xlfn.XLOOKUP(Pipeline_tbl[[#This Row],[Rep_ID]],Dim_Reps!A:A,Dim_Reps!B:B)</f>
        <v>Felix Okafor</v>
      </c>
      <c r="P2716" t="str">
        <f>_xlfn.XLOOKUP(Pipeline_tbl[[#This Row],[Rep_ID]],Dim_Reps!A:A,Dim_Reps!C:C)</f>
        <v>Mid-Market AE</v>
      </c>
      <c r="Q2716" t="str">
        <f>_xlfn.XLOOKUP(Pipeline_tbl[[#This Row],[Rep_ID]],Dim_Reps!A:A,Dim_Reps!D:D)</f>
        <v>Mid-Market</v>
      </c>
      <c r="R2716" t="str">
        <f>_xlfn.XLOOKUP(Pipeline_tbl[[#This Row],[Rep_ID]],Dim_Reps!A:A,Dim_Reps!E:E)</f>
        <v>EMEA</v>
      </c>
      <c r="S2716" t="str">
        <f>_xlfn.XLOOKUP(Pipeline_tbl[[#This Row],[Created_Date]],Dim_Date!A:A,Dim_Date!H:H)</f>
        <v>Mar 2025</v>
      </c>
      <c r="T2716" t="str">
        <f>IF(Pipeline_tbl[[#This Row],[Closed_Date]]=0,"",(_xlfn.XLOOKUP(Pipeline_tbl[[#This Row],[Closed_Date]],Dim_Date!A:A,Dim_Date!H:H)))</f>
        <v>Apr 2025</v>
      </c>
      <c r="U2716">
        <f>IF(Pipeline_tbl[[#This Row],[Closed_Date]]=0,"",Pipeline_tbl[[#This Row],[Closed_Date]]-Pipeline_tbl[[#This Row],[Created_Date]])</f>
        <v>15</v>
      </c>
    </row>
    <row r="2717" spans="1:21" ht="15" customHeight="1" x14ac:dyDescent="0.2">
      <c r="A2717" t="s">
        <v>3023</v>
      </c>
      <c r="B2717" t="s">
        <v>259</v>
      </c>
      <c r="C2717" t="s">
        <v>56</v>
      </c>
      <c r="D2717" s="49">
        <v>45732</v>
      </c>
      <c r="E2717" s="49">
        <v>45736</v>
      </c>
      <c r="F2717" s="49">
        <v>45746</v>
      </c>
      <c r="G2717" s="49">
        <v>45759</v>
      </c>
      <c r="H2717" s="49">
        <v>45770</v>
      </c>
      <c r="I2717" s="49">
        <v>45777</v>
      </c>
      <c r="J2717" t="s">
        <v>47</v>
      </c>
      <c r="K2717" s="33">
        <v>5600</v>
      </c>
      <c r="M2717" t="str">
        <f>_xlfn.XLOOKUP(Pipeline_tbl[[#This Row],[Rep_ID]],Dim_Reps!A:A,Dim_Reps!K:K)</f>
        <v>EUR</v>
      </c>
      <c r="N2717" s="33">
        <f>(_xlfn.XLOOKUP(Pipeline_tbl[[#This Row],[Rate_Code_Generalized]],Lookups!A:A,Lookups!B:B))*Pipeline_tbl[[#This Row],[Pipeline_Amount_USD]]</f>
        <v>5600</v>
      </c>
      <c r="O2717" t="str">
        <f>_xlfn.XLOOKUP(Pipeline_tbl[[#This Row],[Rep_ID]],Dim_Reps!A:A,Dim_Reps!B:B)</f>
        <v>Felix Okafor</v>
      </c>
      <c r="P2717" t="str">
        <f>_xlfn.XLOOKUP(Pipeline_tbl[[#This Row],[Rep_ID]],Dim_Reps!A:A,Dim_Reps!C:C)</f>
        <v>Mid-Market AE</v>
      </c>
      <c r="Q2717" t="str">
        <f>_xlfn.XLOOKUP(Pipeline_tbl[[#This Row],[Rep_ID]],Dim_Reps!A:A,Dim_Reps!D:D)</f>
        <v>Mid-Market</v>
      </c>
      <c r="R2717" t="str">
        <f>_xlfn.XLOOKUP(Pipeline_tbl[[#This Row],[Rep_ID]],Dim_Reps!A:A,Dim_Reps!E:E)</f>
        <v>EMEA</v>
      </c>
      <c r="S2717" t="str">
        <f>_xlfn.XLOOKUP(Pipeline_tbl[[#This Row],[Created_Date]],Dim_Date!A:A,Dim_Date!H:H)</f>
        <v>Mar 2025</v>
      </c>
      <c r="T2717" t="str">
        <f>IF(Pipeline_tbl[[#This Row],[Closed_Date]]=0,"",(_xlfn.XLOOKUP(Pipeline_tbl[[#This Row],[Closed_Date]],Dim_Date!A:A,Dim_Date!H:H)))</f>
        <v>Apr 2025</v>
      </c>
      <c r="U2717">
        <f>IF(Pipeline_tbl[[#This Row],[Closed_Date]]=0,"",Pipeline_tbl[[#This Row],[Closed_Date]]-Pipeline_tbl[[#This Row],[Created_Date]])</f>
        <v>45</v>
      </c>
    </row>
    <row r="2718" spans="1:21" ht="15" customHeight="1" x14ac:dyDescent="0.2">
      <c r="A2718" t="s">
        <v>3024</v>
      </c>
      <c r="B2718" t="s">
        <v>259</v>
      </c>
      <c r="C2718" t="s">
        <v>52</v>
      </c>
      <c r="D2718" s="49">
        <v>45747</v>
      </c>
      <c r="E2718" s="49">
        <v>45750</v>
      </c>
      <c r="F2718" s="49">
        <v>45755</v>
      </c>
      <c r="G2718" s="49">
        <v>45764</v>
      </c>
      <c r="H2718" s="49">
        <v>45771</v>
      </c>
      <c r="I2718" s="49">
        <v>45775</v>
      </c>
      <c r="J2718" t="s">
        <v>47</v>
      </c>
      <c r="K2718" s="33">
        <v>11800</v>
      </c>
      <c r="M2718" t="str">
        <f>_xlfn.XLOOKUP(Pipeline_tbl[[#This Row],[Rep_ID]],Dim_Reps!A:A,Dim_Reps!K:K)</f>
        <v>EUR</v>
      </c>
      <c r="N2718" s="33">
        <f>(_xlfn.XLOOKUP(Pipeline_tbl[[#This Row],[Rate_Code_Generalized]],Lookups!A:A,Lookups!B:B))*Pipeline_tbl[[#This Row],[Pipeline_Amount_USD]]</f>
        <v>11800</v>
      </c>
      <c r="O2718" t="str">
        <f>_xlfn.XLOOKUP(Pipeline_tbl[[#This Row],[Rep_ID]],Dim_Reps!A:A,Dim_Reps!B:B)</f>
        <v>Felix Okafor</v>
      </c>
      <c r="P2718" t="str">
        <f>_xlfn.XLOOKUP(Pipeline_tbl[[#This Row],[Rep_ID]],Dim_Reps!A:A,Dim_Reps!C:C)</f>
        <v>Mid-Market AE</v>
      </c>
      <c r="Q2718" t="str">
        <f>_xlfn.XLOOKUP(Pipeline_tbl[[#This Row],[Rep_ID]],Dim_Reps!A:A,Dim_Reps!D:D)</f>
        <v>Mid-Market</v>
      </c>
      <c r="R2718" t="str">
        <f>_xlfn.XLOOKUP(Pipeline_tbl[[#This Row],[Rep_ID]],Dim_Reps!A:A,Dim_Reps!E:E)</f>
        <v>EMEA</v>
      </c>
      <c r="S2718" t="str">
        <f>_xlfn.XLOOKUP(Pipeline_tbl[[#This Row],[Created_Date]],Dim_Date!A:A,Dim_Date!H:H)</f>
        <v>Mar 2025</v>
      </c>
      <c r="T2718" t="str">
        <f>IF(Pipeline_tbl[[#This Row],[Closed_Date]]=0,"",(_xlfn.XLOOKUP(Pipeline_tbl[[#This Row],[Closed_Date]],Dim_Date!A:A,Dim_Date!H:H)))</f>
        <v>Apr 2025</v>
      </c>
      <c r="U2718">
        <f>IF(Pipeline_tbl[[#This Row],[Closed_Date]]=0,"",Pipeline_tbl[[#This Row],[Closed_Date]]-Pipeline_tbl[[#This Row],[Created_Date]])</f>
        <v>28</v>
      </c>
    </row>
    <row r="2719" spans="1:21" ht="15" customHeight="1" x14ac:dyDescent="0.2">
      <c r="A2719" t="s">
        <v>3025</v>
      </c>
      <c r="B2719" t="s">
        <v>223</v>
      </c>
      <c r="C2719" t="s">
        <v>52</v>
      </c>
      <c r="D2719" s="49">
        <v>45743</v>
      </c>
      <c r="E2719" s="49">
        <v>45745</v>
      </c>
      <c r="F2719" s="49">
        <v>45749</v>
      </c>
      <c r="G2719" s="49">
        <v>45755</v>
      </c>
      <c r="H2719" s="49">
        <v>45760</v>
      </c>
      <c r="I2719" s="49">
        <v>45763</v>
      </c>
      <c r="J2719" t="s">
        <v>47</v>
      </c>
      <c r="K2719" s="33">
        <v>1800</v>
      </c>
      <c r="M2719" t="str">
        <f>_xlfn.XLOOKUP(Pipeline_tbl[[#This Row],[Rep_ID]],Dim_Reps!A:A,Dim_Reps!K:K)</f>
        <v>MXN</v>
      </c>
      <c r="N2719" s="33">
        <f>(_xlfn.XLOOKUP(Pipeline_tbl[[#This Row],[Rate_Code_Generalized]],Lookups!A:A,Lookups!B:B))*Pipeline_tbl[[#This Row],[Pipeline_Amount_USD]]</f>
        <v>35518.86</v>
      </c>
      <c r="O2719" t="str">
        <f>_xlfn.XLOOKUP(Pipeline_tbl[[#This Row],[Rep_ID]],Dim_Reps!A:A,Dim_Reps!B:B)</f>
        <v>Lea Petrov</v>
      </c>
      <c r="P2719" t="str">
        <f>_xlfn.XLOOKUP(Pipeline_tbl[[#This Row],[Rep_ID]],Dim_Reps!A:A,Dim_Reps!C:C)</f>
        <v>SDR / Inside Sales Rep</v>
      </c>
      <c r="Q2719" t="str">
        <f>_xlfn.XLOOKUP(Pipeline_tbl[[#This Row],[Rep_ID]],Dim_Reps!A:A,Dim_Reps!D:D)</f>
        <v>Inside Sales</v>
      </c>
      <c r="R2719" t="str">
        <f>_xlfn.XLOOKUP(Pipeline_tbl[[#This Row],[Rep_ID]],Dim_Reps!A:A,Dim_Reps!E:E)</f>
        <v>LATAM</v>
      </c>
      <c r="S2719" t="str">
        <f>_xlfn.XLOOKUP(Pipeline_tbl[[#This Row],[Created_Date]],Dim_Date!A:A,Dim_Date!H:H)</f>
        <v>Mar 2025</v>
      </c>
      <c r="T2719" t="str">
        <f>IF(Pipeline_tbl[[#This Row],[Closed_Date]]=0,"",(_xlfn.XLOOKUP(Pipeline_tbl[[#This Row],[Closed_Date]],Dim_Date!A:A,Dim_Date!H:H)))</f>
        <v>Apr 2025</v>
      </c>
      <c r="U2719">
        <f>IF(Pipeline_tbl[[#This Row],[Closed_Date]]=0,"",Pipeline_tbl[[#This Row],[Closed_Date]]-Pipeline_tbl[[#This Row],[Created_Date]])</f>
        <v>20</v>
      </c>
    </row>
    <row r="2720" spans="1:21" ht="15" customHeight="1" x14ac:dyDescent="0.2">
      <c r="A2720" t="s">
        <v>3026</v>
      </c>
      <c r="B2720" t="s">
        <v>223</v>
      </c>
      <c r="C2720" t="s">
        <v>53</v>
      </c>
      <c r="D2720" s="49">
        <v>45739</v>
      </c>
      <c r="E2720" s="49">
        <v>45741</v>
      </c>
      <c r="F2720" s="49">
        <v>45746</v>
      </c>
      <c r="G2720" s="49">
        <v>45753</v>
      </c>
      <c r="H2720" s="49">
        <v>45759</v>
      </c>
      <c r="I2720" s="49">
        <v>45763</v>
      </c>
      <c r="J2720" t="s">
        <v>49</v>
      </c>
      <c r="K2720" s="33">
        <v>2500</v>
      </c>
      <c r="L2720" t="s">
        <v>60</v>
      </c>
      <c r="M2720" t="str">
        <f>_xlfn.XLOOKUP(Pipeline_tbl[[#This Row],[Rep_ID]],Dim_Reps!A:A,Dim_Reps!K:K)</f>
        <v>MXN</v>
      </c>
      <c r="N2720" s="33">
        <f>(_xlfn.XLOOKUP(Pipeline_tbl[[#This Row],[Rate_Code_Generalized]],Lookups!A:A,Lookups!B:B))*Pipeline_tbl[[#This Row],[Pipeline_Amount_USD]]</f>
        <v>49331.75</v>
      </c>
      <c r="O2720" t="str">
        <f>_xlfn.XLOOKUP(Pipeline_tbl[[#This Row],[Rep_ID]],Dim_Reps!A:A,Dim_Reps!B:B)</f>
        <v>Lea Petrov</v>
      </c>
      <c r="P2720" t="str">
        <f>_xlfn.XLOOKUP(Pipeline_tbl[[#This Row],[Rep_ID]],Dim_Reps!A:A,Dim_Reps!C:C)</f>
        <v>SDR / Inside Sales Rep</v>
      </c>
      <c r="Q2720" t="str">
        <f>_xlfn.XLOOKUP(Pipeline_tbl[[#This Row],[Rep_ID]],Dim_Reps!A:A,Dim_Reps!D:D)</f>
        <v>Inside Sales</v>
      </c>
      <c r="R2720" t="str">
        <f>_xlfn.XLOOKUP(Pipeline_tbl[[#This Row],[Rep_ID]],Dim_Reps!A:A,Dim_Reps!E:E)</f>
        <v>LATAM</v>
      </c>
      <c r="S2720" t="str">
        <f>_xlfn.XLOOKUP(Pipeline_tbl[[#This Row],[Created_Date]],Dim_Date!A:A,Dim_Date!H:H)</f>
        <v>Mar 2025</v>
      </c>
      <c r="T2720" t="str">
        <f>IF(Pipeline_tbl[[#This Row],[Closed_Date]]=0,"",(_xlfn.XLOOKUP(Pipeline_tbl[[#This Row],[Closed_Date]],Dim_Date!A:A,Dim_Date!H:H)))</f>
        <v>Apr 2025</v>
      </c>
      <c r="U2720">
        <f>IF(Pipeline_tbl[[#This Row],[Closed_Date]]=0,"",Pipeline_tbl[[#This Row],[Closed_Date]]-Pipeline_tbl[[#This Row],[Created_Date]])</f>
        <v>24</v>
      </c>
    </row>
    <row r="2721" spans="1:21" ht="15" customHeight="1" x14ac:dyDescent="0.2">
      <c r="A2721" t="s">
        <v>3027</v>
      </c>
      <c r="B2721" t="s">
        <v>223</v>
      </c>
      <c r="C2721" t="s">
        <v>52</v>
      </c>
      <c r="D2721" s="49">
        <v>45738</v>
      </c>
      <c r="E2721" s="49">
        <v>45740</v>
      </c>
      <c r="F2721" s="49">
        <v>45743</v>
      </c>
      <c r="G2721" s="49">
        <v>45749</v>
      </c>
      <c r="H2721" s="49">
        <v>45753</v>
      </c>
      <c r="I2721" s="49">
        <v>45756</v>
      </c>
      <c r="J2721" t="s">
        <v>49</v>
      </c>
      <c r="K2721" s="33">
        <v>2400</v>
      </c>
      <c r="L2721" t="s">
        <v>63</v>
      </c>
      <c r="M2721" t="str">
        <f>_xlfn.XLOOKUP(Pipeline_tbl[[#This Row],[Rep_ID]],Dim_Reps!A:A,Dim_Reps!K:K)</f>
        <v>MXN</v>
      </c>
      <c r="N2721" s="33">
        <f>(_xlfn.XLOOKUP(Pipeline_tbl[[#This Row],[Rate_Code_Generalized]],Lookups!A:A,Lookups!B:B))*Pipeline_tbl[[#This Row],[Pipeline_Amount_USD]]</f>
        <v>47358.48</v>
      </c>
      <c r="O2721" t="str">
        <f>_xlfn.XLOOKUP(Pipeline_tbl[[#This Row],[Rep_ID]],Dim_Reps!A:A,Dim_Reps!B:B)</f>
        <v>Lea Petrov</v>
      </c>
      <c r="P2721" t="str">
        <f>_xlfn.XLOOKUP(Pipeline_tbl[[#This Row],[Rep_ID]],Dim_Reps!A:A,Dim_Reps!C:C)</f>
        <v>SDR / Inside Sales Rep</v>
      </c>
      <c r="Q2721" t="str">
        <f>_xlfn.XLOOKUP(Pipeline_tbl[[#This Row],[Rep_ID]],Dim_Reps!A:A,Dim_Reps!D:D)</f>
        <v>Inside Sales</v>
      </c>
      <c r="R2721" t="str">
        <f>_xlfn.XLOOKUP(Pipeline_tbl[[#This Row],[Rep_ID]],Dim_Reps!A:A,Dim_Reps!E:E)</f>
        <v>LATAM</v>
      </c>
      <c r="S2721" t="str">
        <f>_xlfn.XLOOKUP(Pipeline_tbl[[#This Row],[Created_Date]],Dim_Date!A:A,Dim_Date!H:H)</f>
        <v>Mar 2025</v>
      </c>
      <c r="T2721" t="str">
        <f>IF(Pipeline_tbl[[#This Row],[Closed_Date]]=0,"",(_xlfn.XLOOKUP(Pipeline_tbl[[#This Row],[Closed_Date]],Dim_Date!A:A,Dim_Date!H:H)))</f>
        <v>Apr 2025</v>
      </c>
      <c r="U2721">
        <f>IF(Pipeline_tbl[[#This Row],[Closed_Date]]=0,"",Pipeline_tbl[[#This Row],[Closed_Date]]-Pipeline_tbl[[#This Row],[Created_Date]])</f>
        <v>18</v>
      </c>
    </row>
    <row r="2722" spans="1:21" ht="15" customHeight="1" x14ac:dyDescent="0.2">
      <c r="A2722" t="s">
        <v>3028</v>
      </c>
      <c r="B2722" t="s">
        <v>223</v>
      </c>
      <c r="C2722" t="s">
        <v>53</v>
      </c>
      <c r="D2722" s="49">
        <v>45730</v>
      </c>
      <c r="E2722" s="49">
        <v>45733</v>
      </c>
      <c r="F2722" s="49">
        <v>45739</v>
      </c>
      <c r="G2722" s="49">
        <v>45749</v>
      </c>
      <c r="I2722" s="49">
        <v>45761</v>
      </c>
      <c r="J2722" t="s">
        <v>49</v>
      </c>
      <c r="K2722" s="33">
        <v>9400</v>
      </c>
      <c r="L2722" t="s">
        <v>61</v>
      </c>
      <c r="M2722" t="str">
        <f>_xlfn.XLOOKUP(Pipeline_tbl[[#This Row],[Rep_ID]],Dim_Reps!A:A,Dim_Reps!K:K)</f>
        <v>MXN</v>
      </c>
      <c r="N2722" s="33">
        <f>(_xlfn.XLOOKUP(Pipeline_tbl[[#This Row],[Rate_Code_Generalized]],Lookups!A:A,Lookups!B:B))*Pipeline_tbl[[#This Row],[Pipeline_Amount_USD]]</f>
        <v>185487.38</v>
      </c>
      <c r="O2722" t="str">
        <f>_xlfn.XLOOKUP(Pipeline_tbl[[#This Row],[Rep_ID]],Dim_Reps!A:A,Dim_Reps!B:B)</f>
        <v>Lea Petrov</v>
      </c>
      <c r="P2722" t="str">
        <f>_xlfn.XLOOKUP(Pipeline_tbl[[#This Row],[Rep_ID]],Dim_Reps!A:A,Dim_Reps!C:C)</f>
        <v>SDR / Inside Sales Rep</v>
      </c>
      <c r="Q2722" t="str">
        <f>_xlfn.XLOOKUP(Pipeline_tbl[[#This Row],[Rep_ID]],Dim_Reps!A:A,Dim_Reps!D:D)</f>
        <v>Inside Sales</v>
      </c>
      <c r="R2722" t="str">
        <f>_xlfn.XLOOKUP(Pipeline_tbl[[#This Row],[Rep_ID]],Dim_Reps!A:A,Dim_Reps!E:E)</f>
        <v>LATAM</v>
      </c>
      <c r="S2722" t="str">
        <f>_xlfn.XLOOKUP(Pipeline_tbl[[#This Row],[Created_Date]],Dim_Date!A:A,Dim_Date!H:H)</f>
        <v>Mar 2025</v>
      </c>
      <c r="T2722" t="str">
        <f>IF(Pipeline_tbl[[#This Row],[Closed_Date]]=0,"",(_xlfn.XLOOKUP(Pipeline_tbl[[#This Row],[Closed_Date]],Dim_Date!A:A,Dim_Date!H:H)))</f>
        <v>Apr 2025</v>
      </c>
      <c r="U2722">
        <f>IF(Pipeline_tbl[[#This Row],[Closed_Date]]=0,"",Pipeline_tbl[[#This Row],[Closed_Date]]-Pipeline_tbl[[#This Row],[Created_Date]])</f>
        <v>31</v>
      </c>
    </row>
    <row r="2723" spans="1:21" ht="15" customHeight="1" x14ac:dyDescent="0.2">
      <c r="A2723" t="s">
        <v>3029</v>
      </c>
      <c r="B2723" t="s">
        <v>223</v>
      </c>
      <c r="C2723" t="s">
        <v>56</v>
      </c>
      <c r="D2723" s="49">
        <v>45742</v>
      </c>
      <c r="E2723" s="49">
        <v>45744</v>
      </c>
      <c r="F2723" s="49">
        <v>45748</v>
      </c>
      <c r="I2723" s="49">
        <v>45761</v>
      </c>
      <c r="J2723" t="s">
        <v>49</v>
      </c>
      <c r="K2723" s="33">
        <v>5600</v>
      </c>
      <c r="L2723" t="s">
        <v>61</v>
      </c>
      <c r="M2723" t="str">
        <f>_xlfn.XLOOKUP(Pipeline_tbl[[#This Row],[Rep_ID]],Dim_Reps!A:A,Dim_Reps!K:K)</f>
        <v>MXN</v>
      </c>
      <c r="N2723" s="33">
        <f>(_xlfn.XLOOKUP(Pipeline_tbl[[#This Row],[Rate_Code_Generalized]],Lookups!A:A,Lookups!B:B))*Pipeline_tbl[[#This Row],[Pipeline_Amount_USD]]</f>
        <v>110503.12000000001</v>
      </c>
      <c r="O2723" t="str">
        <f>_xlfn.XLOOKUP(Pipeline_tbl[[#This Row],[Rep_ID]],Dim_Reps!A:A,Dim_Reps!B:B)</f>
        <v>Lea Petrov</v>
      </c>
      <c r="P2723" t="str">
        <f>_xlfn.XLOOKUP(Pipeline_tbl[[#This Row],[Rep_ID]],Dim_Reps!A:A,Dim_Reps!C:C)</f>
        <v>SDR / Inside Sales Rep</v>
      </c>
      <c r="Q2723" t="str">
        <f>_xlfn.XLOOKUP(Pipeline_tbl[[#This Row],[Rep_ID]],Dim_Reps!A:A,Dim_Reps!D:D)</f>
        <v>Inside Sales</v>
      </c>
      <c r="R2723" t="str">
        <f>_xlfn.XLOOKUP(Pipeline_tbl[[#This Row],[Rep_ID]],Dim_Reps!A:A,Dim_Reps!E:E)</f>
        <v>LATAM</v>
      </c>
      <c r="S2723" t="str">
        <f>_xlfn.XLOOKUP(Pipeline_tbl[[#This Row],[Created_Date]],Dim_Date!A:A,Dim_Date!H:H)</f>
        <v>Mar 2025</v>
      </c>
      <c r="T2723" t="str">
        <f>IF(Pipeline_tbl[[#This Row],[Closed_Date]]=0,"",(_xlfn.XLOOKUP(Pipeline_tbl[[#This Row],[Closed_Date]],Dim_Date!A:A,Dim_Date!H:H)))</f>
        <v>Apr 2025</v>
      </c>
      <c r="U2723">
        <f>IF(Pipeline_tbl[[#This Row],[Closed_Date]]=0,"",Pipeline_tbl[[#This Row],[Closed_Date]]-Pipeline_tbl[[#This Row],[Created_Date]])</f>
        <v>19</v>
      </c>
    </row>
    <row r="2724" spans="1:21" ht="15" customHeight="1" x14ac:dyDescent="0.2">
      <c r="A2724" t="s">
        <v>3030</v>
      </c>
      <c r="B2724" t="s">
        <v>223</v>
      </c>
      <c r="C2724" t="s">
        <v>53</v>
      </c>
      <c r="D2724" s="49">
        <v>45747</v>
      </c>
      <c r="E2724" s="49">
        <v>45749</v>
      </c>
      <c r="I2724" s="49">
        <v>45764</v>
      </c>
      <c r="J2724" t="s">
        <v>49</v>
      </c>
      <c r="K2724" s="33">
        <v>2400</v>
      </c>
      <c r="L2724" t="s">
        <v>64</v>
      </c>
      <c r="M2724" t="str">
        <f>_xlfn.XLOOKUP(Pipeline_tbl[[#This Row],[Rep_ID]],Dim_Reps!A:A,Dim_Reps!K:K)</f>
        <v>MXN</v>
      </c>
      <c r="N2724" s="33">
        <f>(_xlfn.XLOOKUP(Pipeline_tbl[[#This Row],[Rate_Code_Generalized]],Lookups!A:A,Lookups!B:B))*Pipeline_tbl[[#This Row],[Pipeline_Amount_USD]]</f>
        <v>47358.48</v>
      </c>
      <c r="O2724" t="str">
        <f>_xlfn.XLOOKUP(Pipeline_tbl[[#This Row],[Rep_ID]],Dim_Reps!A:A,Dim_Reps!B:B)</f>
        <v>Lea Petrov</v>
      </c>
      <c r="P2724" t="str">
        <f>_xlfn.XLOOKUP(Pipeline_tbl[[#This Row],[Rep_ID]],Dim_Reps!A:A,Dim_Reps!C:C)</f>
        <v>SDR / Inside Sales Rep</v>
      </c>
      <c r="Q2724" t="str">
        <f>_xlfn.XLOOKUP(Pipeline_tbl[[#This Row],[Rep_ID]],Dim_Reps!A:A,Dim_Reps!D:D)</f>
        <v>Inside Sales</v>
      </c>
      <c r="R2724" t="str">
        <f>_xlfn.XLOOKUP(Pipeline_tbl[[#This Row],[Rep_ID]],Dim_Reps!A:A,Dim_Reps!E:E)</f>
        <v>LATAM</v>
      </c>
      <c r="S2724" t="str">
        <f>_xlfn.XLOOKUP(Pipeline_tbl[[#This Row],[Created_Date]],Dim_Date!A:A,Dim_Date!H:H)</f>
        <v>Mar 2025</v>
      </c>
      <c r="T2724" t="str">
        <f>IF(Pipeline_tbl[[#This Row],[Closed_Date]]=0,"",(_xlfn.XLOOKUP(Pipeline_tbl[[#This Row],[Closed_Date]],Dim_Date!A:A,Dim_Date!H:H)))</f>
        <v>Apr 2025</v>
      </c>
      <c r="U2724">
        <f>IF(Pipeline_tbl[[#This Row],[Closed_Date]]=0,"",Pipeline_tbl[[#This Row],[Closed_Date]]-Pipeline_tbl[[#This Row],[Created_Date]])</f>
        <v>17</v>
      </c>
    </row>
    <row r="2725" spans="1:21" ht="15" customHeight="1" x14ac:dyDescent="0.2">
      <c r="A2725" t="s">
        <v>3031</v>
      </c>
      <c r="B2725" t="s">
        <v>223</v>
      </c>
      <c r="C2725" t="s">
        <v>54</v>
      </c>
      <c r="D2725" s="49">
        <v>45746</v>
      </c>
      <c r="E2725" s="49">
        <v>45748</v>
      </c>
      <c r="F2725" s="49">
        <v>45753</v>
      </c>
      <c r="G2725" s="49">
        <v>45760</v>
      </c>
      <c r="I2725" s="49">
        <v>45769</v>
      </c>
      <c r="J2725" t="s">
        <v>49</v>
      </c>
      <c r="K2725" s="33">
        <v>4300</v>
      </c>
      <c r="L2725" t="s">
        <v>62</v>
      </c>
      <c r="M2725" t="str">
        <f>_xlfn.XLOOKUP(Pipeline_tbl[[#This Row],[Rep_ID]],Dim_Reps!A:A,Dim_Reps!K:K)</f>
        <v>MXN</v>
      </c>
      <c r="N2725" s="33">
        <f>(_xlfn.XLOOKUP(Pipeline_tbl[[#This Row],[Rate_Code_Generalized]],Lookups!A:A,Lookups!B:B))*Pipeline_tbl[[#This Row],[Pipeline_Amount_USD]]</f>
        <v>84850.61</v>
      </c>
      <c r="O2725" t="str">
        <f>_xlfn.XLOOKUP(Pipeline_tbl[[#This Row],[Rep_ID]],Dim_Reps!A:A,Dim_Reps!B:B)</f>
        <v>Lea Petrov</v>
      </c>
      <c r="P2725" t="str">
        <f>_xlfn.XLOOKUP(Pipeline_tbl[[#This Row],[Rep_ID]],Dim_Reps!A:A,Dim_Reps!C:C)</f>
        <v>SDR / Inside Sales Rep</v>
      </c>
      <c r="Q2725" t="str">
        <f>_xlfn.XLOOKUP(Pipeline_tbl[[#This Row],[Rep_ID]],Dim_Reps!A:A,Dim_Reps!D:D)</f>
        <v>Inside Sales</v>
      </c>
      <c r="R2725" t="str">
        <f>_xlfn.XLOOKUP(Pipeline_tbl[[#This Row],[Rep_ID]],Dim_Reps!A:A,Dim_Reps!E:E)</f>
        <v>LATAM</v>
      </c>
      <c r="S2725" t="str">
        <f>_xlfn.XLOOKUP(Pipeline_tbl[[#This Row],[Created_Date]],Dim_Date!A:A,Dim_Date!H:H)</f>
        <v>Mar 2025</v>
      </c>
      <c r="T2725" t="str">
        <f>IF(Pipeline_tbl[[#This Row],[Closed_Date]]=0,"",(_xlfn.XLOOKUP(Pipeline_tbl[[#This Row],[Closed_Date]],Dim_Date!A:A,Dim_Date!H:H)))</f>
        <v>Apr 2025</v>
      </c>
      <c r="U2725">
        <f>IF(Pipeline_tbl[[#This Row],[Closed_Date]]=0,"",Pipeline_tbl[[#This Row],[Closed_Date]]-Pipeline_tbl[[#This Row],[Created_Date]])</f>
        <v>23</v>
      </c>
    </row>
    <row r="2726" spans="1:21" ht="15" customHeight="1" x14ac:dyDescent="0.2">
      <c r="A2726" t="s">
        <v>3032</v>
      </c>
      <c r="B2726" t="s">
        <v>225</v>
      </c>
      <c r="C2726" t="s">
        <v>52</v>
      </c>
      <c r="D2726" s="49">
        <v>45747</v>
      </c>
      <c r="E2726" s="49">
        <v>45749</v>
      </c>
      <c r="F2726" s="49">
        <v>45754</v>
      </c>
      <c r="G2726" s="49">
        <v>45761</v>
      </c>
      <c r="H2726" s="49">
        <v>45767</v>
      </c>
      <c r="I2726" s="49">
        <v>45770</v>
      </c>
      <c r="J2726" t="s">
        <v>49</v>
      </c>
      <c r="K2726" s="33">
        <v>3000</v>
      </c>
      <c r="L2726" t="s">
        <v>60</v>
      </c>
      <c r="M2726" t="str">
        <f>_xlfn.XLOOKUP(Pipeline_tbl[[#This Row],[Rep_ID]],Dim_Reps!A:A,Dim_Reps!K:K)</f>
        <v>USD</v>
      </c>
      <c r="N2726" s="33">
        <f>(_xlfn.XLOOKUP(Pipeline_tbl[[#This Row],[Rate_Code_Generalized]],Lookups!A:A,Lookups!B:B))*Pipeline_tbl[[#This Row],[Pipeline_Amount_USD]]</f>
        <v>3492.8999999999996</v>
      </c>
      <c r="O2726" t="str">
        <f>_xlfn.XLOOKUP(Pipeline_tbl[[#This Row],[Rep_ID]],Dim_Reps!A:A,Dim_Reps!B:B)</f>
        <v>Alex Muller</v>
      </c>
      <c r="P2726" t="str">
        <f>_xlfn.XLOOKUP(Pipeline_tbl[[#This Row],[Rep_ID]],Dim_Reps!A:A,Dim_Reps!C:C)</f>
        <v>SDR / Inside Sales Rep</v>
      </c>
      <c r="Q2726" t="str">
        <f>_xlfn.XLOOKUP(Pipeline_tbl[[#This Row],[Rep_ID]],Dim_Reps!A:A,Dim_Reps!D:D)</f>
        <v>Inside Sales</v>
      </c>
      <c r="R2726" t="str">
        <f>_xlfn.XLOOKUP(Pipeline_tbl[[#This Row],[Rep_ID]],Dim_Reps!A:A,Dim_Reps!E:E)</f>
        <v>NAMER</v>
      </c>
      <c r="S2726" t="str">
        <f>_xlfn.XLOOKUP(Pipeline_tbl[[#This Row],[Created_Date]],Dim_Date!A:A,Dim_Date!H:H)</f>
        <v>Mar 2025</v>
      </c>
      <c r="T2726" t="str">
        <f>IF(Pipeline_tbl[[#This Row],[Closed_Date]]=0,"",(_xlfn.XLOOKUP(Pipeline_tbl[[#This Row],[Closed_Date]],Dim_Date!A:A,Dim_Date!H:H)))</f>
        <v>Apr 2025</v>
      </c>
      <c r="U2726">
        <f>IF(Pipeline_tbl[[#This Row],[Closed_Date]]=0,"",Pipeline_tbl[[#This Row],[Closed_Date]]-Pipeline_tbl[[#This Row],[Created_Date]])</f>
        <v>23</v>
      </c>
    </row>
    <row r="2727" spans="1:21" ht="15" customHeight="1" x14ac:dyDescent="0.2">
      <c r="A2727" t="s">
        <v>3033</v>
      </c>
      <c r="B2727" t="s">
        <v>225</v>
      </c>
      <c r="C2727" t="s">
        <v>52</v>
      </c>
      <c r="D2727" s="49">
        <v>45743</v>
      </c>
      <c r="E2727" s="49">
        <v>45745</v>
      </c>
      <c r="F2727" s="49">
        <v>45748</v>
      </c>
      <c r="I2727" s="49">
        <v>45759</v>
      </c>
      <c r="J2727" t="s">
        <v>49</v>
      </c>
      <c r="K2727" s="33">
        <v>8600</v>
      </c>
      <c r="L2727" t="s">
        <v>60</v>
      </c>
      <c r="M2727" t="str">
        <f>_xlfn.XLOOKUP(Pipeline_tbl[[#This Row],[Rep_ID]],Dim_Reps!A:A,Dim_Reps!K:K)</f>
        <v>USD</v>
      </c>
      <c r="N2727" s="33">
        <f>(_xlfn.XLOOKUP(Pipeline_tbl[[#This Row],[Rate_Code_Generalized]],Lookups!A:A,Lookups!B:B))*Pipeline_tbl[[#This Row],[Pipeline_Amount_USD]]</f>
        <v>10012.98</v>
      </c>
      <c r="O2727" t="str">
        <f>_xlfn.XLOOKUP(Pipeline_tbl[[#This Row],[Rep_ID]],Dim_Reps!A:A,Dim_Reps!B:B)</f>
        <v>Alex Muller</v>
      </c>
      <c r="P2727" t="str">
        <f>_xlfn.XLOOKUP(Pipeline_tbl[[#This Row],[Rep_ID]],Dim_Reps!A:A,Dim_Reps!C:C)</f>
        <v>SDR / Inside Sales Rep</v>
      </c>
      <c r="Q2727" t="str">
        <f>_xlfn.XLOOKUP(Pipeline_tbl[[#This Row],[Rep_ID]],Dim_Reps!A:A,Dim_Reps!D:D)</f>
        <v>Inside Sales</v>
      </c>
      <c r="R2727" t="str">
        <f>_xlfn.XLOOKUP(Pipeline_tbl[[#This Row],[Rep_ID]],Dim_Reps!A:A,Dim_Reps!E:E)</f>
        <v>NAMER</v>
      </c>
      <c r="S2727" t="str">
        <f>_xlfn.XLOOKUP(Pipeline_tbl[[#This Row],[Created_Date]],Dim_Date!A:A,Dim_Date!H:H)</f>
        <v>Mar 2025</v>
      </c>
      <c r="T2727" t="str">
        <f>IF(Pipeline_tbl[[#This Row],[Closed_Date]]=0,"",(_xlfn.XLOOKUP(Pipeline_tbl[[#This Row],[Closed_Date]],Dim_Date!A:A,Dim_Date!H:H)))</f>
        <v>Apr 2025</v>
      </c>
      <c r="U2727">
        <f>IF(Pipeline_tbl[[#This Row],[Closed_Date]]=0,"",Pipeline_tbl[[#This Row],[Closed_Date]]-Pipeline_tbl[[#This Row],[Created_Date]])</f>
        <v>16</v>
      </c>
    </row>
    <row r="2728" spans="1:21" ht="15" customHeight="1" x14ac:dyDescent="0.2">
      <c r="A2728" t="s">
        <v>3034</v>
      </c>
      <c r="B2728" t="s">
        <v>225</v>
      </c>
      <c r="C2728" t="s">
        <v>52</v>
      </c>
      <c r="D2728" s="49">
        <v>45736</v>
      </c>
      <c r="E2728" s="49">
        <v>45739</v>
      </c>
      <c r="F2728" s="49">
        <v>45744</v>
      </c>
      <c r="G2728" s="49">
        <v>45752</v>
      </c>
      <c r="H2728" s="49">
        <v>45758</v>
      </c>
      <c r="I2728" s="49">
        <v>45762</v>
      </c>
      <c r="J2728" t="s">
        <v>49</v>
      </c>
      <c r="K2728" s="33">
        <v>3000</v>
      </c>
      <c r="L2728" t="s">
        <v>61</v>
      </c>
      <c r="M2728" t="str">
        <f>_xlfn.XLOOKUP(Pipeline_tbl[[#This Row],[Rep_ID]],Dim_Reps!A:A,Dim_Reps!K:K)</f>
        <v>USD</v>
      </c>
      <c r="N2728" s="33">
        <f>(_xlfn.XLOOKUP(Pipeline_tbl[[#This Row],[Rate_Code_Generalized]],Lookups!A:A,Lookups!B:B))*Pipeline_tbl[[#This Row],[Pipeline_Amount_USD]]</f>
        <v>3492.8999999999996</v>
      </c>
      <c r="O2728" t="str">
        <f>_xlfn.XLOOKUP(Pipeline_tbl[[#This Row],[Rep_ID]],Dim_Reps!A:A,Dim_Reps!B:B)</f>
        <v>Alex Muller</v>
      </c>
      <c r="P2728" t="str">
        <f>_xlfn.XLOOKUP(Pipeline_tbl[[#This Row],[Rep_ID]],Dim_Reps!A:A,Dim_Reps!C:C)</f>
        <v>SDR / Inside Sales Rep</v>
      </c>
      <c r="Q2728" t="str">
        <f>_xlfn.XLOOKUP(Pipeline_tbl[[#This Row],[Rep_ID]],Dim_Reps!A:A,Dim_Reps!D:D)</f>
        <v>Inside Sales</v>
      </c>
      <c r="R2728" t="str">
        <f>_xlfn.XLOOKUP(Pipeline_tbl[[#This Row],[Rep_ID]],Dim_Reps!A:A,Dim_Reps!E:E)</f>
        <v>NAMER</v>
      </c>
      <c r="S2728" t="str">
        <f>_xlfn.XLOOKUP(Pipeline_tbl[[#This Row],[Created_Date]],Dim_Date!A:A,Dim_Date!H:H)</f>
        <v>Mar 2025</v>
      </c>
      <c r="T2728" t="str">
        <f>IF(Pipeline_tbl[[#This Row],[Closed_Date]]=0,"",(_xlfn.XLOOKUP(Pipeline_tbl[[#This Row],[Closed_Date]],Dim_Date!A:A,Dim_Date!H:H)))</f>
        <v>Apr 2025</v>
      </c>
      <c r="U2728">
        <f>IF(Pipeline_tbl[[#This Row],[Closed_Date]]=0,"",Pipeline_tbl[[#This Row],[Closed_Date]]-Pipeline_tbl[[#This Row],[Created_Date]])</f>
        <v>26</v>
      </c>
    </row>
    <row r="2729" spans="1:21" ht="15" customHeight="1" x14ac:dyDescent="0.2">
      <c r="A2729" t="s">
        <v>3035</v>
      </c>
      <c r="B2729" t="s">
        <v>227</v>
      </c>
      <c r="C2729" t="s">
        <v>54</v>
      </c>
      <c r="D2729" s="49">
        <v>45735</v>
      </c>
      <c r="E2729" s="49">
        <v>45737</v>
      </c>
      <c r="F2729" s="49">
        <v>45740</v>
      </c>
      <c r="G2729" s="49">
        <v>45744</v>
      </c>
      <c r="H2729" s="49">
        <v>45748</v>
      </c>
      <c r="I2729" s="49">
        <v>45750</v>
      </c>
      <c r="J2729" t="s">
        <v>47</v>
      </c>
      <c r="K2729" s="33">
        <v>3800</v>
      </c>
      <c r="M2729" t="str">
        <f>_xlfn.XLOOKUP(Pipeline_tbl[[#This Row],[Rep_ID]],Dim_Reps!A:A,Dim_Reps!K:K)</f>
        <v>EUR</v>
      </c>
      <c r="N2729" s="33">
        <f>(_xlfn.XLOOKUP(Pipeline_tbl[[#This Row],[Rate_Code_Generalized]],Lookups!A:A,Lookups!B:B))*Pipeline_tbl[[#This Row],[Pipeline_Amount_USD]]</f>
        <v>3800</v>
      </c>
      <c r="O2729" t="str">
        <f>_xlfn.XLOOKUP(Pipeline_tbl[[#This Row],[Rep_ID]],Dim_Reps!A:A,Dim_Reps!B:B)</f>
        <v>Liam Muller</v>
      </c>
      <c r="P2729" t="str">
        <f>_xlfn.XLOOKUP(Pipeline_tbl[[#This Row],[Rep_ID]],Dim_Reps!A:A,Dim_Reps!C:C)</f>
        <v>SDR / Inside Sales Rep</v>
      </c>
      <c r="Q2729" t="str">
        <f>_xlfn.XLOOKUP(Pipeline_tbl[[#This Row],[Rep_ID]],Dim_Reps!A:A,Dim_Reps!D:D)</f>
        <v>Inside Sales</v>
      </c>
      <c r="R2729" t="str">
        <f>_xlfn.XLOOKUP(Pipeline_tbl[[#This Row],[Rep_ID]],Dim_Reps!A:A,Dim_Reps!E:E)</f>
        <v>EMEA</v>
      </c>
      <c r="S2729" t="str">
        <f>_xlfn.XLOOKUP(Pipeline_tbl[[#This Row],[Created_Date]],Dim_Date!A:A,Dim_Date!H:H)</f>
        <v>Mar 2025</v>
      </c>
      <c r="T2729" t="str">
        <f>IF(Pipeline_tbl[[#This Row],[Closed_Date]]=0,"",(_xlfn.XLOOKUP(Pipeline_tbl[[#This Row],[Closed_Date]],Dim_Date!A:A,Dim_Date!H:H)))</f>
        <v>Apr 2025</v>
      </c>
      <c r="U2729">
        <f>IF(Pipeline_tbl[[#This Row],[Closed_Date]]=0,"",Pipeline_tbl[[#This Row],[Closed_Date]]-Pipeline_tbl[[#This Row],[Created_Date]])</f>
        <v>15</v>
      </c>
    </row>
    <row r="2730" spans="1:21" ht="15" customHeight="1" x14ac:dyDescent="0.2">
      <c r="A2730" t="s">
        <v>3036</v>
      </c>
      <c r="B2730" t="s">
        <v>227</v>
      </c>
      <c r="C2730" t="s">
        <v>53</v>
      </c>
      <c r="D2730" s="49">
        <v>45742</v>
      </c>
      <c r="E2730" s="49">
        <v>45743</v>
      </c>
      <c r="F2730" s="49">
        <v>45746</v>
      </c>
      <c r="G2730" s="49">
        <v>45749</v>
      </c>
      <c r="H2730" s="49">
        <v>45752</v>
      </c>
      <c r="I2730" s="49">
        <v>45754</v>
      </c>
      <c r="J2730" t="s">
        <v>47</v>
      </c>
      <c r="K2730" s="33">
        <v>3100</v>
      </c>
      <c r="M2730" t="str">
        <f>_xlfn.XLOOKUP(Pipeline_tbl[[#This Row],[Rep_ID]],Dim_Reps!A:A,Dim_Reps!K:K)</f>
        <v>EUR</v>
      </c>
      <c r="N2730" s="33">
        <f>(_xlfn.XLOOKUP(Pipeline_tbl[[#This Row],[Rate_Code_Generalized]],Lookups!A:A,Lookups!B:B))*Pipeline_tbl[[#This Row],[Pipeline_Amount_USD]]</f>
        <v>3100</v>
      </c>
      <c r="O2730" t="str">
        <f>_xlfn.XLOOKUP(Pipeline_tbl[[#This Row],[Rep_ID]],Dim_Reps!A:A,Dim_Reps!B:B)</f>
        <v>Liam Muller</v>
      </c>
      <c r="P2730" t="str">
        <f>_xlfn.XLOOKUP(Pipeline_tbl[[#This Row],[Rep_ID]],Dim_Reps!A:A,Dim_Reps!C:C)</f>
        <v>SDR / Inside Sales Rep</v>
      </c>
      <c r="Q2730" t="str">
        <f>_xlfn.XLOOKUP(Pipeline_tbl[[#This Row],[Rep_ID]],Dim_Reps!A:A,Dim_Reps!D:D)</f>
        <v>Inside Sales</v>
      </c>
      <c r="R2730" t="str">
        <f>_xlfn.XLOOKUP(Pipeline_tbl[[#This Row],[Rep_ID]],Dim_Reps!A:A,Dim_Reps!E:E)</f>
        <v>EMEA</v>
      </c>
      <c r="S2730" t="str">
        <f>_xlfn.XLOOKUP(Pipeline_tbl[[#This Row],[Created_Date]],Dim_Date!A:A,Dim_Date!H:H)</f>
        <v>Mar 2025</v>
      </c>
      <c r="T2730" t="str">
        <f>IF(Pipeline_tbl[[#This Row],[Closed_Date]]=0,"",(_xlfn.XLOOKUP(Pipeline_tbl[[#This Row],[Closed_Date]],Dim_Date!A:A,Dim_Date!H:H)))</f>
        <v>Apr 2025</v>
      </c>
      <c r="U2730">
        <f>IF(Pipeline_tbl[[#This Row],[Closed_Date]]=0,"",Pipeline_tbl[[#This Row],[Closed_Date]]-Pipeline_tbl[[#This Row],[Created_Date]])</f>
        <v>12</v>
      </c>
    </row>
    <row r="2731" spans="1:21" ht="15" customHeight="1" x14ac:dyDescent="0.2">
      <c r="A2731" t="s">
        <v>3037</v>
      </c>
      <c r="B2731" t="s">
        <v>227</v>
      </c>
      <c r="C2731" t="s">
        <v>52</v>
      </c>
      <c r="D2731" s="49">
        <v>45744</v>
      </c>
      <c r="E2731" s="49">
        <v>45745</v>
      </c>
      <c r="F2731" s="49">
        <v>45748</v>
      </c>
      <c r="G2731" s="49">
        <v>45752</v>
      </c>
      <c r="H2731" s="49">
        <v>45756</v>
      </c>
      <c r="I2731" s="49">
        <v>45758</v>
      </c>
      <c r="J2731" t="s">
        <v>49</v>
      </c>
      <c r="K2731" s="33">
        <v>3200</v>
      </c>
      <c r="L2731" t="s">
        <v>61</v>
      </c>
      <c r="M2731" t="str">
        <f>_xlfn.XLOOKUP(Pipeline_tbl[[#This Row],[Rep_ID]],Dim_Reps!A:A,Dim_Reps!K:K)</f>
        <v>EUR</v>
      </c>
      <c r="N2731" s="33">
        <f>(_xlfn.XLOOKUP(Pipeline_tbl[[#This Row],[Rate_Code_Generalized]],Lookups!A:A,Lookups!B:B))*Pipeline_tbl[[#This Row],[Pipeline_Amount_USD]]</f>
        <v>3200</v>
      </c>
      <c r="O2731" t="str">
        <f>_xlfn.XLOOKUP(Pipeline_tbl[[#This Row],[Rep_ID]],Dim_Reps!A:A,Dim_Reps!B:B)</f>
        <v>Liam Muller</v>
      </c>
      <c r="P2731" t="str">
        <f>_xlfn.XLOOKUP(Pipeline_tbl[[#This Row],[Rep_ID]],Dim_Reps!A:A,Dim_Reps!C:C)</f>
        <v>SDR / Inside Sales Rep</v>
      </c>
      <c r="Q2731" t="str">
        <f>_xlfn.XLOOKUP(Pipeline_tbl[[#This Row],[Rep_ID]],Dim_Reps!A:A,Dim_Reps!D:D)</f>
        <v>Inside Sales</v>
      </c>
      <c r="R2731" t="str">
        <f>_xlfn.XLOOKUP(Pipeline_tbl[[#This Row],[Rep_ID]],Dim_Reps!A:A,Dim_Reps!E:E)</f>
        <v>EMEA</v>
      </c>
      <c r="S2731" t="str">
        <f>_xlfn.XLOOKUP(Pipeline_tbl[[#This Row],[Created_Date]],Dim_Date!A:A,Dim_Date!H:H)</f>
        <v>Mar 2025</v>
      </c>
      <c r="T2731" t="str">
        <f>IF(Pipeline_tbl[[#This Row],[Closed_Date]]=0,"",(_xlfn.XLOOKUP(Pipeline_tbl[[#This Row],[Closed_Date]],Dim_Date!A:A,Dim_Date!H:H)))</f>
        <v>Apr 2025</v>
      </c>
      <c r="U2731">
        <f>IF(Pipeline_tbl[[#This Row],[Closed_Date]]=0,"",Pipeline_tbl[[#This Row],[Closed_Date]]-Pipeline_tbl[[#This Row],[Created_Date]])</f>
        <v>14</v>
      </c>
    </row>
    <row r="2732" spans="1:21" ht="15" customHeight="1" x14ac:dyDescent="0.2">
      <c r="A2732" t="s">
        <v>3038</v>
      </c>
      <c r="B2732" t="s">
        <v>227</v>
      </c>
      <c r="C2732" t="s">
        <v>54</v>
      </c>
      <c r="D2732" s="49">
        <v>45734</v>
      </c>
      <c r="E2732" s="49">
        <v>45736</v>
      </c>
      <c r="F2732" s="49">
        <v>45739</v>
      </c>
      <c r="G2732" s="49">
        <v>45745</v>
      </c>
      <c r="I2732" s="49">
        <v>45752</v>
      </c>
      <c r="J2732" t="s">
        <v>49</v>
      </c>
      <c r="K2732" s="33">
        <v>1700</v>
      </c>
      <c r="L2732" t="s">
        <v>60</v>
      </c>
      <c r="M2732" t="str">
        <f>_xlfn.XLOOKUP(Pipeline_tbl[[#This Row],[Rep_ID]],Dim_Reps!A:A,Dim_Reps!K:K)</f>
        <v>EUR</v>
      </c>
      <c r="N2732" s="33">
        <f>(_xlfn.XLOOKUP(Pipeline_tbl[[#This Row],[Rate_Code_Generalized]],Lookups!A:A,Lookups!B:B))*Pipeline_tbl[[#This Row],[Pipeline_Amount_USD]]</f>
        <v>1700</v>
      </c>
      <c r="O2732" t="str">
        <f>_xlfn.XLOOKUP(Pipeline_tbl[[#This Row],[Rep_ID]],Dim_Reps!A:A,Dim_Reps!B:B)</f>
        <v>Liam Muller</v>
      </c>
      <c r="P2732" t="str">
        <f>_xlfn.XLOOKUP(Pipeline_tbl[[#This Row],[Rep_ID]],Dim_Reps!A:A,Dim_Reps!C:C)</f>
        <v>SDR / Inside Sales Rep</v>
      </c>
      <c r="Q2732" t="str">
        <f>_xlfn.XLOOKUP(Pipeline_tbl[[#This Row],[Rep_ID]],Dim_Reps!A:A,Dim_Reps!D:D)</f>
        <v>Inside Sales</v>
      </c>
      <c r="R2732" t="str">
        <f>_xlfn.XLOOKUP(Pipeline_tbl[[#This Row],[Rep_ID]],Dim_Reps!A:A,Dim_Reps!E:E)</f>
        <v>EMEA</v>
      </c>
      <c r="S2732" t="str">
        <f>_xlfn.XLOOKUP(Pipeline_tbl[[#This Row],[Created_Date]],Dim_Date!A:A,Dim_Date!H:H)</f>
        <v>Mar 2025</v>
      </c>
      <c r="T2732" t="str">
        <f>IF(Pipeline_tbl[[#This Row],[Closed_Date]]=0,"",(_xlfn.XLOOKUP(Pipeline_tbl[[#This Row],[Closed_Date]],Dim_Date!A:A,Dim_Date!H:H)))</f>
        <v>Apr 2025</v>
      </c>
      <c r="U2732">
        <f>IF(Pipeline_tbl[[#This Row],[Closed_Date]]=0,"",Pipeline_tbl[[#This Row],[Closed_Date]]-Pipeline_tbl[[#This Row],[Created_Date]])</f>
        <v>18</v>
      </c>
    </row>
    <row r="2733" spans="1:21" ht="15" customHeight="1" x14ac:dyDescent="0.2">
      <c r="A2733" t="s">
        <v>3039</v>
      </c>
      <c r="B2733" t="s">
        <v>229</v>
      </c>
      <c r="C2733" t="s">
        <v>55</v>
      </c>
      <c r="D2733" s="49">
        <v>45734</v>
      </c>
      <c r="E2733" s="49">
        <v>45736</v>
      </c>
      <c r="F2733" s="49">
        <v>45739</v>
      </c>
      <c r="G2733" s="49">
        <v>45743</v>
      </c>
      <c r="I2733" s="49">
        <v>45749</v>
      </c>
      <c r="J2733" t="s">
        <v>49</v>
      </c>
      <c r="K2733" s="33">
        <v>7900</v>
      </c>
      <c r="L2733" t="s">
        <v>60</v>
      </c>
      <c r="M2733" t="str">
        <f>_xlfn.XLOOKUP(Pipeline_tbl[[#This Row],[Rep_ID]],Dim_Reps!A:A,Dim_Reps!K:K)</f>
        <v>USD</v>
      </c>
      <c r="N2733" s="33">
        <f>(_xlfn.XLOOKUP(Pipeline_tbl[[#This Row],[Rate_Code_Generalized]],Lookups!A:A,Lookups!B:B))*Pipeline_tbl[[#This Row],[Pipeline_Amount_USD]]</f>
        <v>9197.9699999999993</v>
      </c>
      <c r="O2733" t="str">
        <f>_xlfn.XLOOKUP(Pipeline_tbl[[#This Row],[Rep_ID]],Dim_Reps!A:A,Dim_Reps!B:B)</f>
        <v>Liam Castro</v>
      </c>
      <c r="P2733" t="str">
        <f>_xlfn.XLOOKUP(Pipeline_tbl[[#This Row],[Rep_ID]],Dim_Reps!A:A,Dim_Reps!C:C)</f>
        <v>SDR / Inside Sales Rep</v>
      </c>
      <c r="Q2733" t="str">
        <f>_xlfn.XLOOKUP(Pipeline_tbl[[#This Row],[Rep_ID]],Dim_Reps!A:A,Dim_Reps!D:D)</f>
        <v>Inside Sales</v>
      </c>
      <c r="R2733" t="str">
        <f>_xlfn.XLOOKUP(Pipeline_tbl[[#This Row],[Rep_ID]],Dim_Reps!A:A,Dim_Reps!E:E)</f>
        <v>NAMER</v>
      </c>
      <c r="S2733" t="str">
        <f>_xlfn.XLOOKUP(Pipeline_tbl[[#This Row],[Created_Date]],Dim_Date!A:A,Dim_Date!H:H)</f>
        <v>Mar 2025</v>
      </c>
      <c r="T2733" t="str">
        <f>IF(Pipeline_tbl[[#This Row],[Closed_Date]]=0,"",(_xlfn.XLOOKUP(Pipeline_tbl[[#This Row],[Closed_Date]],Dim_Date!A:A,Dim_Date!H:H)))</f>
        <v>Apr 2025</v>
      </c>
      <c r="U2733">
        <f>IF(Pipeline_tbl[[#This Row],[Closed_Date]]=0,"",Pipeline_tbl[[#This Row],[Closed_Date]]-Pipeline_tbl[[#This Row],[Created_Date]])</f>
        <v>15</v>
      </c>
    </row>
    <row r="2734" spans="1:21" ht="15" customHeight="1" x14ac:dyDescent="0.2">
      <c r="A2734" t="s">
        <v>3040</v>
      </c>
      <c r="B2734" t="s">
        <v>229</v>
      </c>
      <c r="C2734" t="s">
        <v>53</v>
      </c>
      <c r="D2734" s="49">
        <v>45734</v>
      </c>
      <c r="E2734" s="49">
        <v>45736</v>
      </c>
      <c r="F2734" s="49">
        <v>45741</v>
      </c>
      <c r="G2734" s="49">
        <v>45748</v>
      </c>
      <c r="H2734" s="49">
        <v>45754</v>
      </c>
      <c r="I2734" s="49">
        <v>45758</v>
      </c>
      <c r="J2734" t="s">
        <v>47</v>
      </c>
      <c r="K2734" s="33">
        <v>7200</v>
      </c>
      <c r="M2734" t="str">
        <f>_xlfn.XLOOKUP(Pipeline_tbl[[#This Row],[Rep_ID]],Dim_Reps!A:A,Dim_Reps!K:K)</f>
        <v>USD</v>
      </c>
      <c r="N2734" s="33">
        <f>(_xlfn.XLOOKUP(Pipeline_tbl[[#This Row],[Rate_Code_Generalized]],Lookups!A:A,Lookups!B:B))*Pipeline_tbl[[#This Row],[Pipeline_Amount_USD]]</f>
        <v>8382.9599999999991</v>
      </c>
      <c r="O2734" t="str">
        <f>_xlfn.XLOOKUP(Pipeline_tbl[[#This Row],[Rep_ID]],Dim_Reps!A:A,Dim_Reps!B:B)</f>
        <v>Liam Castro</v>
      </c>
      <c r="P2734" t="str">
        <f>_xlfn.XLOOKUP(Pipeline_tbl[[#This Row],[Rep_ID]],Dim_Reps!A:A,Dim_Reps!C:C)</f>
        <v>SDR / Inside Sales Rep</v>
      </c>
      <c r="Q2734" t="str">
        <f>_xlfn.XLOOKUP(Pipeline_tbl[[#This Row],[Rep_ID]],Dim_Reps!A:A,Dim_Reps!D:D)</f>
        <v>Inside Sales</v>
      </c>
      <c r="R2734" t="str">
        <f>_xlfn.XLOOKUP(Pipeline_tbl[[#This Row],[Rep_ID]],Dim_Reps!A:A,Dim_Reps!E:E)</f>
        <v>NAMER</v>
      </c>
      <c r="S2734" t="str">
        <f>_xlfn.XLOOKUP(Pipeline_tbl[[#This Row],[Created_Date]],Dim_Date!A:A,Dim_Date!H:H)</f>
        <v>Mar 2025</v>
      </c>
      <c r="T2734" t="str">
        <f>IF(Pipeline_tbl[[#This Row],[Closed_Date]]=0,"",(_xlfn.XLOOKUP(Pipeline_tbl[[#This Row],[Closed_Date]],Dim_Date!A:A,Dim_Date!H:H)))</f>
        <v>Apr 2025</v>
      </c>
      <c r="U2734">
        <f>IF(Pipeline_tbl[[#This Row],[Closed_Date]]=0,"",Pipeline_tbl[[#This Row],[Closed_Date]]-Pipeline_tbl[[#This Row],[Created_Date]])</f>
        <v>24</v>
      </c>
    </row>
    <row r="2735" spans="1:21" ht="15" customHeight="1" x14ac:dyDescent="0.2">
      <c r="A2735" t="s">
        <v>3041</v>
      </c>
      <c r="B2735" t="s">
        <v>229</v>
      </c>
      <c r="C2735" t="s">
        <v>52</v>
      </c>
      <c r="D2735" s="49">
        <v>45736</v>
      </c>
      <c r="E2735" s="49">
        <v>45738</v>
      </c>
      <c r="F2735" s="49">
        <v>45741</v>
      </c>
      <c r="G2735" s="49">
        <v>45746</v>
      </c>
      <c r="H2735" s="49">
        <v>45750</v>
      </c>
      <c r="I2735" s="49">
        <v>45753</v>
      </c>
      <c r="J2735" t="s">
        <v>47</v>
      </c>
      <c r="K2735" s="33">
        <v>2400</v>
      </c>
      <c r="M2735" t="str">
        <f>_xlfn.XLOOKUP(Pipeline_tbl[[#This Row],[Rep_ID]],Dim_Reps!A:A,Dim_Reps!K:K)</f>
        <v>USD</v>
      </c>
      <c r="N2735" s="33">
        <f>(_xlfn.XLOOKUP(Pipeline_tbl[[#This Row],[Rate_Code_Generalized]],Lookups!A:A,Lookups!B:B))*Pipeline_tbl[[#This Row],[Pipeline_Amount_USD]]</f>
        <v>2794.3199999999997</v>
      </c>
      <c r="O2735" t="str">
        <f>_xlfn.XLOOKUP(Pipeline_tbl[[#This Row],[Rep_ID]],Dim_Reps!A:A,Dim_Reps!B:B)</f>
        <v>Liam Castro</v>
      </c>
      <c r="P2735" t="str">
        <f>_xlfn.XLOOKUP(Pipeline_tbl[[#This Row],[Rep_ID]],Dim_Reps!A:A,Dim_Reps!C:C)</f>
        <v>SDR / Inside Sales Rep</v>
      </c>
      <c r="Q2735" t="str">
        <f>_xlfn.XLOOKUP(Pipeline_tbl[[#This Row],[Rep_ID]],Dim_Reps!A:A,Dim_Reps!D:D)</f>
        <v>Inside Sales</v>
      </c>
      <c r="R2735" t="str">
        <f>_xlfn.XLOOKUP(Pipeline_tbl[[#This Row],[Rep_ID]],Dim_Reps!A:A,Dim_Reps!E:E)</f>
        <v>NAMER</v>
      </c>
      <c r="S2735" t="str">
        <f>_xlfn.XLOOKUP(Pipeline_tbl[[#This Row],[Created_Date]],Dim_Date!A:A,Dim_Date!H:H)</f>
        <v>Mar 2025</v>
      </c>
      <c r="T2735" t="str">
        <f>IF(Pipeline_tbl[[#This Row],[Closed_Date]]=0,"",(_xlfn.XLOOKUP(Pipeline_tbl[[#This Row],[Closed_Date]],Dim_Date!A:A,Dim_Date!H:H)))</f>
        <v>Apr 2025</v>
      </c>
      <c r="U2735">
        <f>IF(Pipeline_tbl[[#This Row],[Closed_Date]]=0,"",Pipeline_tbl[[#This Row],[Closed_Date]]-Pipeline_tbl[[#This Row],[Created_Date]])</f>
        <v>17</v>
      </c>
    </row>
    <row r="2736" spans="1:21" ht="15" customHeight="1" x14ac:dyDescent="0.2">
      <c r="A2736" t="s">
        <v>3042</v>
      </c>
      <c r="B2736" t="s">
        <v>231</v>
      </c>
      <c r="C2736" t="s">
        <v>52</v>
      </c>
      <c r="D2736" s="49">
        <v>45746</v>
      </c>
      <c r="E2736" s="49">
        <v>45748</v>
      </c>
      <c r="F2736" s="49">
        <v>45751</v>
      </c>
      <c r="I2736" s="49">
        <v>45761</v>
      </c>
      <c r="J2736" t="s">
        <v>49</v>
      </c>
      <c r="K2736" s="33">
        <v>3700</v>
      </c>
      <c r="L2736" t="s">
        <v>60</v>
      </c>
      <c r="M2736" t="str">
        <f>_xlfn.XLOOKUP(Pipeline_tbl[[#This Row],[Rep_ID]],Dim_Reps!A:A,Dim_Reps!K:K)</f>
        <v>MXN</v>
      </c>
      <c r="N2736" s="33">
        <f>(_xlfn.XLOOKUP(Pipeline_tbl[[#This Row],[Rate_Code_Generalized]],Lookups!A:A,Lookups!B:B))*Pipeline_tbl[[#This Row],[Pipeline_Amount_USD]]</f>
        <v>73010.990000000005</v>
      </c>
      <c r="O2736" t="str">
        <f>_xlfn.XLOOKUP(Pipeline_tbl[[#This Row],[Rep_ID]],Dim_Reps!A:A,Dim_Reps!B:B)</f>
        <v>Ben Silva</v>
      </c>
      <c r="P2736" t="str">
        <f>_xlfn.XLOOKUP(Pipeline_tbl[[#This Row],[Rep_ID]],Dim_Reps!A:A,Dim_Reps!C:C)</f>
        <v>SDR / Inside Sales Rep</v>
      </c>
      <c r="Q2736" t="str">
        <f>_xlfn.XLOOKUP(Pipeline_tbl[[#This Row],[Rep_ID]],Dim_Reps!A:A,Dim_Reps!D:D)</f>
        <v>Inside Sales</v>
      </c>
      <c r="R2736" t="str">
        <f>_xlfn.XLOOKUP(Pipeline_tbl[[#This Row],[Rep_ID]],Dim_Reps!A:A,Dim_Reps!E:E)</f>
        <v>LATAM</v>
      </c>
      <c r="S2736" t="str">
        <f>_xlfn.XLOOKUP(Pipeline_tbl[[#This Row],[Created_Date]],Dim_Date!A:A,Dim_Date!H:H)</f>
        <v>Mar 2025</v>
      </c>
      <c r="T2736" t="str">
        <f>IF(Pipeline_tbl[[#This Row],[Closed_Date]]=0,"",(_xlfn.XLOOKUP(Pipeline_tbl[[#This Row],[Closed_Date]],Dim_Date!A:A,Dim_Date!H:H)))</f>
        <v>Apr 2025</v>
      </c>
      <c r="U2736">
        <f>IF(Pipeline_tbl[[#This Row],[Closed_Date]]=0,"",Pipeline_tbl[[#This Row],[Closed_Date]]-Pipeline_tbl[[#This Row],[Created_Date]])</f>
        <v>15</v>
      </c>
    </row>
    <row r="2737" spans="1:21" ht="15" customHeight="1" x14ac:dyDescent="0.2">
      <c r="A2737" t="s">
        <v>3043</v>
      </c>
      <c r="B2737" t="s">
        <v>231</v>
      </c>
      <c r="C2737" t="s">
        <v>53</v>
      </c>
      <c r="D2737" s="49">
        <v>45745</v>
      </c>
      <c r="E2737" s="49">
        <v>45746</v>
      </c>
      <c r="F2737" s="49">
        <v>45748</v>
      </c>
      <c r="G2737" s="49">
        <v>45752</v>
      </c>
      <c r="H2737" s="49">
        <v>45754</v>
      </c>
      <c r="I2737" s="49">
        <v>45756</v>
      </c>
      <c r="J2737" t="s">
        <v>47</v>
      </c>
      <c r="K2737" s="33">
        <v>6400</v>
      </c>
      <c r="M2737" t="str">
        <f>_xlfn.XLOOKUP(Pipeline_tbl[[#This Row],[Rep_ID]],Dim_Reps!A:A,Dim_Reps!K:K)</f>
        <v>MXN</v>
      </c>
      <c r="N2737" s="33">
        <f>(_xlfn.XLOOKUP(Pipeline_tbl[[#This Row],[Rate_Code_Generalized]],Lookups!A:A,Lookups!B:B))*Pipeline_tbl[[#This Row],[Pipeline_Amount_USD]]</f>
        <v>126289.28000000001</v>
      </c>
      <c r="O2737" t="str">
        <f>_xlfn.XLOOKUP(Pipeline_tbl[[#This Row],[Rep_ID]],Dim_Reps!A:A,Dim_Reps!B:B)</f>
        <v>Ben Silva</v>
      </c>
      <c r="P2737" t="str">
        <f>_xlfn.XLOOKUP(Pipeline_tbl[[#This Row],[Rep_ID]],Dim_Reps!A:A,Dim_Reps!C:C)</f>
        <v>SDR / Inside Sales Rep</v>
      </c>
      <c r="Q2737" t="str">
        <f>_xlfn.XLOOKUP(Pipeline_tbl[[#This Row],[Rep_ID]],Dim_Reps!A:A,Dim_Reps!D:D)</f>
        <v>Inside Sales</v>
      </c>
      <c r="R2737" t="str">
        <f>_xlfn.XLOOKUP(Pipeline_tbl[[#This Row],[Rep_ID]],Dim_Reps!A:A,Dim_Reps!E:E)</f>
        <v>LATAM</v>
      </c>
      <c r="S2737" t="str">
        <f>_xlfn.XLOOKUP(Pipeline_tbl[[#This Row],[Created_Date]],Dim_Date!A:A,Dim_Date!H:H)</f>
        <v>Mar 2025</v>
      </c>
      <c r="T2737" t="str">
        <f>IF(Pipeline_tbl[[#This Row],[Closed_Date]]=0,"",(_xlfn.XLOOKUP(Pipeline_tbl[[#This Row],[Closed_Date]],Dim_Date!A:A,Dim_Date!H:H)))</f>
        <v>Apr 2025</v>
      </c>
      <c r="U2737">
        <f>IF(Pipeline_tbl[[#This Row],[Closed_Date]]=0,"",Pipeline_tbl[[#This Row],[Closed_Date]]-Pipeline_tbl[[#This Row],[Created_Date]])</f>
        <v>11</v>
      </c>
    </row>
    <row r="2738" spans="1:21" ht="15" customHeight="1" x14ac:dyDescent="0.2">
      <c r="A2738" t="s">
        <v>3044</v>
      </c>
      <c r="B2738" t="s">
        <v>231</v>
      </c>
      <c r="C2738" t="s">
        <v>52</v>
      </c>
      <c r="D2738" s="49">
        <v>45744</v>
      </c>
      <c r="E2738" s="49">
        <v>45746</v>
      </c>
      <c r="F2738" s="49">
        <v>45749</v>
      </c>
      <c r="G2738" s="49">
        <v>45755</v>
      </c>
      <c r="H2738" s="49">
        <v>45759</v>
      </c>
      <c r="I2738" s="49">
        <v>45762</v>
      </c>
      <c r="J2738" t="s">
        <v>47</v>
      </c>
      <c r="K2738" s="33">
        <v>4600</v>
      </c>
      <c r="M2738" t="str">
        <f>_xlfn.XLOOKUP(Pipeline_tbl[[#This Row],[Rep_ID]],Dim_Reps!A:A,Dim_Reps!K:K)</f>
        <v>MXN</v>
      </c>
      <c r="N2738" s="33">
        <f>(_xlfn.XLOOKUP(Pipeline_tbl[[#This Row],[Rate_Code_Generalized]],Lookups!A:A,Lookups!B:B))*Pipeline_tbl[[#This Row],[Pipeline_Amount_USD]]</f>
        <v>90770.420000000013</v>
      </c>
      <c r="O2738" t="str">
        <f>_xlfn.XLOOKUP(Pipeline_tbl[[#This Row],[Rep_ID]],Dim_Reps!A:A,Dim_Reps!B:B)</f>
        <v>Ben Silva</v>
      </c>
      <c r="P2738" t="str">
        <f>_xlfn.XLOOKUP(Pipeline_tbl[[#This Row],[Rep_ID]],Dim_Reps!A:A,Dim_Reps!C:C)</f>
        <v>SDR / Inside Sales Rep</v>
      </c>
      <c r="Q2738" t="str">
        <f>_xlfn.XLOOKUP(Pipeline_tbl[[#This Row],[Rep_ID]],Dim_Reps!A:A,Dim_Reps!D:D)</f>
        <v>Inside Sales</v>
      </c>
      <c r="R2738" t="str">
        <f>_xlfn.XLOOKUP(Pipeline_tbl[[#This Row],[Rep_ID]],Dim_Reps!A:A,Dim_Reps!E:E)</f>
        <v>LATAM</v>
      </c>
      <c r="S2738" t="str">
        <f>_xlfn.XLOOKUP(Pipeline_tbl[[#This Row],[Created_Date]],Dim_Date!A:A,Dim_Date!H:H)</f>
        <v>Mar 2025</v>
      </c>
      <c r="T2738" t="str">
        <f>IF(Pipeline_tbl[[#This Row],[Closed_Date]]=0,"",(_xlfn.XLOOKUP(Pipeline_tbl[[#This Row],[Closed_Date]],Dim_Date!A:A,Dim_Date!H:H)))</f>
        <v>Apr 2025</v>
      </c>
      <c r="U2738">
        <f>IF(Pipeline_tbl[[#This Row],[Closed_Date]]=0,"",Pipeline_tbl[[#This Row],[Closed_Date]]-Pipeline_tbl[[#This Row],[Created_Date]])</f>
        <v>18</v>
      </c>
    </row>
    <row r="2739" spans="1:21" ht="15" customHeight="1" x14ac:dyDescent="0.2">
      <c r="A2739" t="s">
        <v>3045</v>
      </c>
      <c r="B2739" t="s">
        <v>231</v>
      </c>
      <c r="C2739" t="s">
        <v>53</v>
      </c>
      <c r="D2739" s="49">
        <v>45733</v>
      </c>
      <c r="E2739" s="49">
        <v>45735</v>
      </c>
      <c r="F2739" s="49">
        <v>45738</v>
      </c>
      <c r="G2739" s="49">
        <v>45743</v>
      </c>
      <c r="H2739" s="49">
        <v>45747</v>
      </c>
      <c r="I2739" s="49">
        <v>45749</v>
      </c>
      <c r="J2739" t="s">
        <v>47</v>
      </c>
      <c r="K2739" s="33">
        <v>5200</v>
      </c>
      <c r="M2739" t="str">
        <f>_xlfn.XLOOKUP(Pipeline_tbl[[#This Row],[Rep_ID]],Dim_Reps!A:A,Dim_Reps!K:K)</f>
        <v>MXN</v>
      </c>
      <c r="N2739" s="33">
        <f>(_xlfn.XLOOKUP(Pipeline_tbl[[#This Row],[Rate_Code_Generalized]],Lookups!A:A,Lookups!B:B))*Pipeline_tbl[[#This Row],[Pipeline_Amount_USD]]</f>
        <v>102610.04000000001</v>
      </c>
      <c r="O2739" t="str">
        <f>_xlfn.XLOOKUP(Pipeline_tbl[[#This Row],[Rep_ID]],Dim_Reps!A:A,Dim_Reps!B:B)</f>
        <v>Ben Silva</v>
      </c>
      <c r="P2739" t="str">
        <f>_xlfn.XLOOKUP(Pipeline_tbl[[#This Row],[Rep_ID]],Dim_Reps!A:A,Dim_Reps!C:C)</f>
        <v>SDR / Inside Sales Rep</v>
      </c>
      <c r="Q2739" t="str">
        <f>_xlfn.XLOOKUP(Pipeline_tbl[[#This Row],[Rep_ID]],Dim_Reps!A:A,Dim_Reps!D:D)</f>
        <v>Inside Sales</v>
      </c>
      <c r="R2739" t="str">
        <f>_xlfn.XLOOKUP(Pipeline_tbl[[#This Row],[Rep_ID]],Dim_Reps!A:A,Dim_Reps!E:E)</f>
        <v>LATAM</v>
      </c>
      <c r="S2739" t="str">
        <f>_xlfn.XLOOKUP(Pipeline_tbl[[#This Row],[Created_Date]],Dim_Date!A:A,Dim_Date!H:H)</f>
        <v>Mar 2025</v>
      </c>
      <c r="T2739" t="str">
        <f>IF(Pipeline_tbl[[#This Row],[Closed_Date]]=0,"",(_xlfn.XLOOKUP(Pipeline_tbl[[#This Row],[Closed_Date]],Dim_Date!A:A,Dim_Date!H:H)))</f>
        <v>Apr 2025</v>
      </c>
      <c r="U2739">
        <f>IF(Pipeline_tbl[[#This Row],[Closed_Date]]=0,"",Pipeline_tbl[[#This Row],[Closed_Date]]-Pipeline_tbl[[#This Row],[Created_Date]])</f>
        <v>16</v>
      </c>
    </row>
    <row r="2740" spans="1:21" ht="15" customHeight="1" x14ac:dyDescent="0.2">
      <c r="A2740" t="s">
        <v>3046</v>
      </c>
      <c r="B2740" t="s">
        <v>231</v>
      </c>
      <c r="C2740" t="s">
        <v>53</v>
      </c>
      <c r="D2740" s="49">
        <v>45730</v>
      </c>
      <c r="E2740" s="49">
        <v>45733</v>
      </c>
      <c r="F2740" s="49">
        <v>45738</v>
      </c>
      <c r="G2740" s="49">
        <v>45746</v>
      </c>
      <c r="I2740" s="49">
        <v>45756</v>
      </c>
      <c r="J2740" t="s">
        <v>49</v>
      </c>
      <c r="K2740" s="33">
        <v>2300</v>
      </c>
      <c r="L2740" t="s">
        <v>61</v>
      </c>
      <c r="M2740" t="str">
        <f>_xlfn.XLOOKUP(Pipeline_tbl[[#This Row],[Rep_ID]],Dim_Reps!A:A,Dim_Reps!K:K)</f>
        <v>MXN</v>
      </c>
      <c r="N2740" s="33">
        <f>(_xlfn.XLOOKUP(Pipeline_tbl[[#This Row],[Rate_Code_Generalized]],Lookups!A:A,Lookups!B:B))*Pipeline_tbl[[#This Row],[Pipeline_Amount_USD]]</f>
        <v>45385.210000000006</v>
      </c>
      <c r="O2740" t="str">
        <f>_xlfn.XLOOKUP(Pipeline_tbl[[#This Row],[Rep_ID]],Dim_Reps!A:A,Dim_Reps!B:B)</f>
        <v>Ben Silva</v>
      </c>
      <c r="P2740" t="str">
        <f>_xlfn.XLOOKUP(Pipeline_tbl[[#This Row],[Rep_ID]],Dim_Reps!A:A,Dim_Reps!C:C)</f>
        <v>SDR / Inside Sales Rep</v>
      </c>
      <c r="Q2740" t="str">
        <f>_xlfn.XLOOKUP(Pipeline_tbl[[#This Row],[Rep_ID]],Dim_Reps!A:A,Dim_Reps!D:D)</f>
        <v>Inside Sales</v>
      </c>
      <c r="R2740" t="str">
        <f>_xlfn.XLOOKUP(Pipeline_tbl[[#This Row],[Rep_ID]],Dim_Reps!A:A,Dim_Reps!E:E)</f>
        <v>LATAM</v>
      </c>
      <c r="S2740" t="str">
        <f>_xlfn.XLOOKUP(Pipeline_tbl[[#This Row],[Created_Date]],Dim_Date!A:A,Dim_Date!H:H)</f>
        <v>Mar 2025</v>
      </c>
      <c r="T2740" t="str">
        <f>IF(Pipeline_tbl[[#This Row],[Closed_Date]]=0,"",(_xlfn.XLOOKUP(Pipeline_tbl[[#This Row],[Closed_Date]],Dim_Date!A:A,Dim_Date!H:H)))</f>
        <v>Apr 2025</v>
      </c>
      <c r="U2740">
        <f>IF(Pipeline_tbl[[#This Row],[Closed_Date]]=0,"",Pipeline_tbl[[#This Row],[Closed_Date]]-Pipeline_tbl[[#This Row],[Created_Date]])</f>
        <v>26</v>
      </c>
    </row>
    <row r="2741" spans="1:21" ht="15" customHeight="1" x14ac:dyDescent="0.2">
      <c r="A2741" t="s">
        <v>3047</v>
      </c>
      <c r="B2741" t="s">
        <v>231</v>
      </c>
      <c r="C2741" t="s">
        <v>54</v>
      </c>
      <c r="D2741" s="49">
        <v>45739</v>
      </c>
      <c r="E2741" s="49">
        <v>45741</v>
      </c>
      <c r="F2741" s="49">
        <v>45746</v>
      </c>
      <c r="G2741" s="49">
        <v>45753</v>
      </c>
      <c r="H2741" s="49">
        <v>45759</v>
      </c>
      <c r="I2741" s="49">
        <v>45763</v>
      </c>
      <c r="J2741" t="s">
        <v>49</v>
      </c>
      <c r="K2741" s="33">
        <v>3000</v>
      </c>
      <c r="L2741" t="s">
        <v>64</v>
      </c>
      <c r="M2741" t="str">
        <f>_xlfn.XLOOKUP(Pipeline_tbl[[#This Row],[Rep_ID]],Dim_Reps!A:A,Dim_Reps!K:K)</f>
        <v>MXN</v>
      </c>
      <c r="N2741" s="33">
        <f>(_xlfn.XLOOKUP(Pipeline_tbl[[#This Row],[Rate_Code_Generalized]],Lookups!A:A,Lookups!B:B))*Pipeline_tbl[[#This Row],[Pipeline_Amount_USD]]</f>
        <v>59198.100000000006</v>
      </c>
      <c r="O2741" t="str">
        <f>_xlfn.XLOOKUP(Pipeline_tbl[[#This Row],[Rep_ID]],Dim_Reps!A:A,Dim_Reps!B:B)</f>
        <v>Ben Silva</v>
      </c>
      <c r="P2741" t="str">
        <f>_xlfn.XLOOKUP(Pipeline_tbl[[#This Row],[Rep_ID]],Dim_Reps!A:A,Dim_Reps!C:C)</f>
        <v>SDR / Inside Sales Rep</v>
      </c>
      <c r="Q2741" t="str">
        <f>_xlfn.XLOOKUP(Pipeline_tbl[[#This Row],[Rep_ID]],Dim_Reps!A:A,Dim_Reps!D:D)</f>
        <v>Inside Sales</v>
      </c>
      <c r="R2741" t="str">
        <f>_xlfn.XLOOKUP(Pipeline_tbl[[#This Row],[Rep_ID]],Dim_Reps!A:A,Dim_Reps!E:E)</f>
        <v>LATAM</v>
      </c>
      <c r="S2741" t="str">
        <f>_xlfn.XLOOKUP(Pipeline_tbl[[#This Row],[Created_Date]],Dim_Date!A:A,Dim_Date!H:H)</f>
        <v>Mar 2025</v>
      </c>
      <c r="T2741" t="str">
        <f>IF(Pipeline_tbl[[#This Row],[Closed_Date]]=0,"",(_xlfn.XLOOKUP(Pipeline_tbl[[#This Row],[Closed_Date]],Dim_Date!A:A,Dim_Date!H:H)))</f>
        <v>Apr 2025</v>
      </c>
      <c r="U2741">
        <f>IF(Pipeline_tbl[[#This Row],[Closed_Date]]=0,"",Pipeline_tbl[[#This Row],[Closed_Date]]-Pipeline_tbl[[#This Row],[Created_Date]])</f>
        <v>24</v>
      </c>
    </row>
    <row r="2742" spans="1:21" ht="15" customHeight="1" x14ac:dyDescent="0.2">
      <c r="A2742" t="s">
        <v>3048</v>
      </c>
      <c r="B2742" t="s">
        <v>231</v>
      </c>
      <c r="C2742" t="s">
        <v>54</v>
      </c>
      <c r="D2742" s="49">
        <v>45745</v>
      </c>
      <c r="E2742" s="49">
        <v>45748</v>
      </c>
      <c r="F2742" s="49">
        <v>45754</v>
      </c>
      <c r="G2742" s="49">
        <v>45762</v>
      </c>
      <c r="H2742" s="49">
        <v>45770</v>
      </c>
      <c r="I2742" s="49">
        <v>45774</v>
      </c>
      <c r="J2742" t="s">
        <v>47</v>
      </c>
      <c r="K2742" s="33">
        <v>4400</v>
      </c>
      <c r="M2742" t="str">
        <f>_xlfn.XLOOKUP(Pipeline_tbl[[#This Row],[Rep_ID]],Dim_Reps!A:A,Dim_Reps!K:K)</f>
        <v>MXN</v>
      </c>
      <c r="N2742" s="33">
        <f>(_xlfn.XLOOKUP(Pipeline_tbl[[#This Row],[Rate_Code_Generalized]],Lookups!A:A,Lookups!B:B))*Pipeline_tbl[[#This Row],[Pipeline_Amount_USD]]</f>
        <v>86823.88</v>
      </c>
      <c r="O2742" t="str">
        <f>_xlfn.XLOOKUP(Pipeline_tbl[[#This Row],[Rep_ID]],Dim_Reps!A:A,Dim_Reps!B:B)</f>
        <v>Ben Silva</v>
      </c>
      <c r="P2742" t="str">
        <f>_xlfn.XLOOKUP(Pipeline_tbl[[#This Row],[Rep_ID]],Dim_Reps!A:A,Dim_Reps!C:C)</f>
        <v>SDR / Inside Sales Rep</v>
      </c>
      <c r="Q2742" t="str">
        <f>_xlfn.XLOOKUP(Pipeline_tbl[[#This Row],[Rep_ID]],Dim_Reps!A:A,Dim_Reps!D:D)</f>
        <v>Inside Sales</v>
      </c>
      <c r="R2742" t="str">
        <f>_xlfn.XLOOKUP(Pipeline_tbl[[#This Row],[Rep_ID]],Dim_Reps!A:A,Dim_Reps!E:E)</f>
        <v>LATAM</v>
      </c>
      <c r="S2742" t="str">
        <f>_xlfn.XLOOKUP(Pipeline_tbl[[#This Row],[Created_Date]],Dim_Date!A:A,Dim_Date!H:H)</f>
        <v>Mar 2025</v>
      </c>
      <c r="T2742" t="str">
        <f>IF(Pipeline_tbl[[#This Row],[Closed_Date]]=0,"",(_xlfn.XLOOKUP(Pipeline_tbl[[#This Row],[Closed_Date]],Dim_Date!A:A,Dim_Date!H:H)))</f>
        <v>Apr 2025</v>
      </c>
      <c r="U2742">
        <f>IF(Pipeline_tbl[[#This Row],[Closed_Date]]=0,"",Pipeline_tbl[[#This Row],[Closed_Date]]-Pipeline_tbl[[#This Row],[Created_Date]])</f>
        <v>29</v>
      </c>
    </row>
    <row r="2743" spans="1:21" ht="15" customHeight="1" x14ac:dyDescent="0.2">
      <c r="A2743" t="s">
        <v>3049</v>
      </c>
      <c r="B2743" t="s">
        <v>263</v>
      </c>
      <c r="C2743" t="s">
        <v>54</v>
      </c>
      <c r="D2743" s="49">
        <v>45730</v>
      </c>
      <c r="E2743" s="49">
        <v>45734</v>
      </c>
      <c r="F2743" s="49">
        <v>45742</v>
      </c>
      <c r="G2743" s="49">
        <v>45753</v>
      </c>
      <c r="H2743" s="49">
        <v>45763</v>
      </c>
      <c r="I2743" s="49">
        <v>45769</v>
      </c>
      <c r="J2743" t="s">
        <v>49</v>
      </c>
      <c r="K2743" s="33">
        <v>15600</v>
      </c>
      <c r="L2743" t="s">
        <v>64</v>
      </c>
      <c r="M2743" t="str">
        <f>_xlfn.XLOOKUP(Pipeline_tbl[[#This Row],[Rep_ID]],Dim_Reps!A:A,Dim_Reps!K:K)</f>
        <v>USD</v>
      </c>
      <c r="N2743" s="33">
        <f>(_xlfn.XLOOKUP(Pipeline_tbl[[#This Row],[Rate_Code_Generalized]],Lookups!A:A,Lookups!B:B))*Pipeline_tbl[[#This Row],[Pipeline_Amount_USD]]</f>
        <v>18163.079999999998</v>
      </c>
      <c r="O2743" t="str">
        <f>_xlfn.XLOOKUP(Pipeline_tbl[[#This Row],[Rep_ID]],Dim_Reps!A:A,Dim_Reps!B:B)</f>
        <v>Morgan Weber</v>
      </c>
      <c r="P2743" t="str">
        <f>_xlfn.XLOOKUP(Pipeline_tbl[[#This Row],[Rep_ID]],Dim_Reps!A:A,Dim_Reps!C:C)</f>
        <v>Mid-Market AE</v>
      </c>
      <c r="Q2743" t="str">
        <f>_xlfn.XLOOKUP(Pipeline_tbl[[#This Row],[Rep_ID]],Dim_Reps!A:A,Dim_Reps!D:D)</f>
        <v>Mid-Market</v>
      </c>
      <c r="R2743" t="str">
        <f>_xlfn.XLOOKUP(Pipeline_tbl[[#This Row],[Rep_ID]],Dim_Reps!A:A,Dim_Reps!E:E)</f>
        <v>NAMER</v>
      </c>
      <c r="S2743" t="str">
        <f>_xlfn.XLOOKUP(Pipeline_tbl[[#This Row],[Created_Date]],Dim_Date!A:A,Dim_Date!H:H)</f>
        <v>Mar 2025</v>
      </c>
      <c r="T2743" t="str">
        <f>IF(Pipeline_tbl[[#This Row],[Closed_Date]]=0,"",(_xlfn.XLOOKUP(Pipeline_tbl[[#This Row],[Closed_Date]],Dim_Date!A:A,Dim_Date!H:H)))</f>
        <v>Apr 2025</v>
      </c>
      <c r="U2743">
        <f>IF(Pipeline_tbl[[#This Row],[Closed_Date]]=0,"",Pipeline_tbl[[#This Row],[Closed_Date]]-Pipeline_tbl[[#This Row],[Created_Date]])</f>
        <v>39</v>
      </c>
    </row>
    <row r="2744" spans="1:21" ht="15" customHeight="1" x14ac:dyDescent="0.2">
      <c r="A2744" t="s">
        <v>3050</v>
      </c>
      <c r="B2744" t="s">
        <v>263</v>
      </c>
      <c r="C2744" t="s">
        <v>52</v>
      </c>
      <c r="D2744" s="49">
        <v>45745</v>
      </c>
      <c r="E2744" s="49">
        <v>45748</v>
      </c>
      <c r="F2744" s="49">
        <v>45755</v>
      </c>
      <c r="G2744" s="49">
        <v>45764</v>
      </c>
      <c r="I2744" s="49">
        <v>45777</v>
      </c>
      <c r="J2744" t="s">
        <v>49</v>
      </c>
      <c r="K2744" s="33">
        <v>14000</v>
      </c>
      <c r="L2744" t="s">
        <v>64</v>
      </c>
      <c r="M2744" t="str">
        <f>_xlfn.XLOOKUP(Pipeline_tbl[[#This Row],[Rep_ID]],Dim_Reps!A:A,Dim_Reps!K:K)</f>
        <v>USD</v>
      </c>
      <c r="N2744" s="33">
        <f>(_xlfn.XLOOKUP(Pipeline_tbl[[#This Row],[Rate_Code_Generalized]],Lookups!A:A,Lookups!B:B))*Pipeline_tbl[[#This Row],[Pipeline_Amount_USD]]</f>
        <v>16300.199999999999</v>
      </c>
      <c r="O2744" t="str">
        <f>_xlfn.XLOOKUP(Pipeline_tbl[[#This Row],[Rep_ID]],Dim_Reps!A:A,Dim_Reps!B:B)</f>
        <v>Morgan Weber</v>
      </c>
      <c r="P2744" t="str">
        <f>_xlfn.XLOOKUP(Pipeline_tbl[[#This Row],[Rep_ID]],Dim_Reps!A:A,Dim_Reps!C:C)</f>
        <v>Mid-Market AE</v>
      </c>
      <c r="Q2744" t="str">
        <f>_xlfn.XLOOKUP(Pipeline_tbl[[#This Row],[Rep_ID]],Dim_Reps!A:A,Dim_Reps!D:D)</f>
        <v>Mid-Market</v>
      </c>
      <c r="R2744" t="str">
        <f>_xlfn.XLOOKUP(Pipeline_tbl[[#This Row],[Rep_ID]],Dim_Reps!A:A,Dim_Reps!E:E)</f>
        <v>NAMER</v>
      </c>
      <c r="S2744" t="str">
        <f>_xlfn.XLOOKUP(Pipeline_tbl[[#This Row],[Created_Date]],Dim_Date!A:A,Dim_Date!H:H)</f>
        <v>Mar 2025</v>
      </c>
      <c r="T2744" t="str">
        <f>IF(Pipeline_tbl[[#This Row],[Closed_Date]]=0,"",(_xlfn.XLOOKUP(Pipeline_tbl[[#This Row],[Closed_Date]],Dim_Date!A:A,Dim_Date!H:H)))</f>
        <v>Apr 2025</v>
      </c>
      <c r="U2744">
        <f>IF(Pipeline_tbl[[#This Row],[Closed_Date]]=0,"",Pipeline_tbl[[#This Row],[Closed_Date]]-Pipeline_tbl[[#This Row],[Created_Date]])</f>
        <v>32</v>
      </c>
    </row>
    <row r="2745" spans="1:21" ht="15" customHeight="1" x14ac:dyDescent="0.2">
      <c r="A2745" t="s">
        <v>3051</v>
      </c>
      <c r="B2745" t="s">
        <v>265</v>
      </c>
      <c r="C2745" t="s">
        <v>52</v>
      </c>
      <c r="D2745" s="49">
        <v>45726</v>
      </c>
      <c r="E2745" s="49">
        <v>45730</v>
      </c>
      <c r="F2745" s="49">
        <v>45737</v>
      </c>
      <c r="I2745" s="49">
        <v>45761</v>
      </c>
      <c r="J2745" t="s">
        <v>49</v>
      </c>
      <c r="K2745" s="33">
        <v>6700</v>
      </c>
      <c r="L2745" t="s">
        <v>61</v>
      </c>
      <c r="M2745" t="str">
        <f>_xlfn.XLOOKUP(Pipeline_tbl[[#This Row],[Rep_ID]],Dim_Reps!A:A,Dim_Reps!K:K)</f>
        <v>EUR</v>
      </c>
      <c r="N2745" s="33">
        <f>(_xlfn.XLOOKUP(Pipeline_tbl[[#This Row],[Rate_Code_Generalized]],Lookups!A:A,Lookups!B:B))*Pipeline_tbl[[#This Row],[Pipeline_Amount_USD]]</f>
        <v>6700</v>
      </c>
      <c r="O2745" t="str">
        <f>_xlfn.XLOOKUP(Pipeline_tbl[[#This Row],[Rep_ID]],Dim_Reps!A:A,Dim_Reps!B:B)</f>
        <v>Erik Duarte</v>
      </c>
      <c r="P2745" t="str">
        <f>_xlfn.XLOOKUP(Pipeline_tbl[[#This Row],[Rep_ID]],Dim_Reps!A:A,Dim_Reps!C:C)</f>
        <v>Mid-Market AE</v>
      </c>
      <c r="Q2745" t="str">
        <f>_xlfn.XLOOKUP(Pipeline_tbl[[#This Row],[Rep_ID]],Dim_Reps!A:A,Dim_Reps!D:D)</f>
        <v>Mid-Market</v>
      </c>
      <c r="R2745" t="str">
        <f>_xlfn.XLOOKUP(Pipeline_tbl[[#This Row],[Rep_ID]],Dim_Reps!A:A,Dim_Reps!E:E)</f>
        <v>EMEA</v>
      </c>
      <c r="S2745" t="str">
        <f>_xlfn.XLOOKUP(Pipeline_tbl[[#This Row],[Created_Date]],Dim_Date!A:A,Dim_Date!H:H)</f>
        <v>Mar 2025</v>
      </c>
      <c r="T2745" t="str">
        <f>IF(Pipeline_tbl[[#This Row],[Closed_Date]]=0,"",(_xlfn.XLOOKUP(Pipeline_tbl[[#This Row],[Closed_Date]],Dim_Date!A:A,Dim_Date!H:H)))</f>
        <v>Apr 2025</v>
      </c>
      <c r="U2745">
        <f>IF(Pipeline_tbl[[#This Row],[Closed_Date]]=0,"",Pipeline_tbl[[#This Row],[Closed_Date]]-Pipeline_tbl[[#This Row],[Created_Date]])</f>
        <v>35</v>
      </c>
    </row>
    <row r="2746" spans="1:21" ht="15" customHeight="1" x14ac:dyDescent="0.2">
      <c r="A2746" t="s">
        <v>3052</v>
      </c>
      <c r="B2746" t="s">
        <v>265</v>
      </c>
      <c r="C2746" t="s">
        <v>56</v>
      </c>
      <c r="D2746" s="49">
        <v>45727</v>
      </c>
      <c r="E2746" s="49">
        <v>45730</v>
      </c>
      <c r="F2746" s="49">
        <v>45735</v>
      </c>
      <c r="G2746" s="49">
        <v>45744</v>
      </c>
      <c r="H2746" s="49">
        <v>45751</v>
      </c>
      <c r="I2746" s="49">
        <v>45755</v>
      </c>
      <c r="J2746" t="s">
        <v>47</v>
      </c>
      <c r="K2746" s="33">
        <v>13200</v>
      </c>
      <c r="M2746" t="str">
        <f>_xlfn.XLOOKUP(Pipeline_tbl[[#This Row],[Rep_ID]],Dim_Reps!A:A,Dim_Reps!K:K)</f>
        <v>EUR</v>
      </c>
      <c r="N2746" s="33">
        <f>(_xlfn.XLOOKUP(Pipeline_tbl[[#This Row],[Rate_Code_Generalized]],Lookups!A:A,Lookups!B:B))*Pipeline_tbl[[#This Row],[Pipeline_Amount_USD]]</f>
        <v>13200</v>
      </c>
      <c r="O2746" t="str">
        <f>_xlfn.XLOOKUP(Pipeline_tbl[[#This Row],[Rep_ID]],Dim_Reps!A:A,Dim_Reps!B:B)</f>
        <v>Erik Duarte</v>
      </c>
      <c r="P2746" t="str">
        <f>_xlfn.XLOOKUP(Pipeline_tbl[[#This Row],[Rep_ID]],Dim_Reps!A:A,Dim_Reps!C:C)</f>
        <v>Mid-Market AE</v>
      </c>
      <c r="Q2746" t="str">
        <f>_xlfn.XLOOKUP(Pipeline_tbl[[#This Row],[Rep_ID]],Dim_Reps!A:A,Dim_Reps!D:D)</f>
        <v>Mid-Market</v>
      </c>
      <c r="R2746" t="str">
        <f>_xlfn.XLOOKUP(Pipeline_tbl[[#This Row],[Rep_ID]],Dim_Reps!A:A,Dim_Reps!E:E)</f>
        <v>EMEA</v>
      </c>
      <c r="S2746" t="str">
        <f>_xlfn.XLOOKUP(Pipeline_tbl[[#This Row],[Created_Date]],Dim_Date!A:A,Dim_Date!H:H)</f>
        <v>Mar 2025</v>
      </c>
      <c r="T2746" t="str">
        <f>IF(Pipeline_tbl[[#This Row],[Closed_Date]]=0,"",(_xlfn.XLOOKUP(Pipeline_tbl[[#This Row],[Closed_Date]],Dim_Date!A:A,Dim_Date!H:H)))</f>
        <v>Apr 2025</v>
      </c>
      <c r="U2746">
        <f>IF(Pipeline_tbl[[#This Row],[Closed_Date]]=0,"",Pipeline_tbl[[#This Row],[Closed_Date]]-Pipeline_tbl[[#This Row],[Created_Date]])</f>
        <v>28</v>
      </c>
    </row>
    <row r="2747" spans="1:21" ht="15" customHeight="1" x14ac:dyDescent="0.2">
      <c r="A2747" t="s">
        <v>3053</v>
      </c>
      <c r="B2747" t="s">
        <v>265</v>
      </c>
      <c r="C2747" t="s">
        <v>55</v>
      </c>
      <c r="D2747" s="49">
        <v>45721</v>
      </c>
      <c r="E2747" s="49">
        <v>45725</v>
      </c>
      <c r="I2747" s="49">
        <v>45764</v>
      </c>
      <c r="J2747" t="s">
        <v>49</v>
      </c>
      <c r="K2747" s="33">
        <v>11000</v>
      </c>
      <c r="L2747" t="s">
        <v>60</v>
      </c>
      <c r="M2747" t="str">
        <f>_xlfn.XLOOKUP(Pipeline_tbl[[#This Row],[Rep_ID]],Dim_Reps!A:A,Dim_Reps!K:K)</f>
        <v>EUR</v>
      </c>
      <c r="N2747" s="33">
        <f>(_xlfn.XLOOKUP(Pipeline_tbl[[#This Row],[Rate_Code_Generalized]],Lookups!A:A,Lookups!B:B))*Pipeline_tbl[[#This Row],[Pipeline_Amount_USD]]</f>
        <v>11000</v>
      </c>
      <c r="O2747" t="str">
        <f>_xlfn.XLOOKUP(Pipeline_tbl[[#This Row],[Rep_ID]],Dim_Reps!A:A,Dim_Reps!B:B)</f>
        <v>Erik Duarte</v>
      </c>
      <c r="P2747" t="str">
        <f>_xlfn.XLOOKUP(Pipeline_tbl[[#This Row],[Rep_ID]],Dim_Reps!A:A,Dim_Reps!C:C)</f>
        <v>Mid-Market AE</v>
      </c>
      <c r="Q2747" t="str">
        <f>_xlfn.XLOOKUP(Pipeline_tbl[[#This Row],[Rep_ID]],Dim_Reps!A:A,Dim_Reps!D:D)</f>
        <v>Mid-Market</v>
      </c>
      <c r="R2747" t="str">
        <f>_xlfn.XLOOKUP(Pipeline_tbl[[#This Row],[Rep_ID]],Dim_Reps!A:A,Dim_Reps!E:E)</f>
        <v>EMEA</v>
      </c>
      <c r="S2747" t="str">
        <f>_xlfn.XLOOKUP(Pipeline_tbl[[#This Row],[Created_Date]],Dim_Date!A:A,Dim_Date!H:H)</f>
        <v>Mar 2025</v>
      </c>
      <c r="T2747" t="str">
        <f>IF(Pipeline_tbl[[#This Row],[Closed_Date]]=0,"",(_xlfn.XLOOKUP(Pipeline_tbl[[#This Row],[Closed_Date]],Dim_Date!A:A,Dim_Date!H:H)))</f>
        <v>Apr 2025</v>
      </c>
      <c r="U2747">
        <f>IF(Pipeline_tbl[[#This Row],[Closed_Date]]=0,"",Pipeline_tbl[[#This Row],[Closed_Date]]-Pipeline_tbl[[#This Row],[Created_Date]])</f>
        <v>43</v>
      </c>
    </row>
    <row r="2748" spans="1:21" ht="15" customHeight="1" x14ac:dyDescent="0.2">
      <c r="A2748" t="s">
        <v>3054</v>
      </c>
      <c r="B2748" t="s">
        <v>265</v>
      </c>
      <c r="C2748" t="s">
        <v>52</v>
      </c>
      <c r="D2748" s="49">
        <v>45740</v>
      </c>
      <c r="E2748" s="49">
        <v>45743</v>
      </c>
      <c r="I2748" s="49">
        <v>45770</v>
      </c>
      <c r="J2748" t="s">
        <v>49</v>
      </c>
      <c r="K2748" s="33">
        <v>12000</v>
      </c>
      <c r="L2748" t="s">
        <v>60</v>
      </c>
      <c r="M2748" t="str">
        <f>_xlfn.XLOOKUP(Pipeline_tbl[[#This Row],[Rep_ID]],Dim_Reps!A:A,Dim_Reps!K:K)</f>
        <v>EUR</v>
      </c>
      <c r="N2748" s="33">
        <f>(_xlfn.XLOOKUP(Pipeline_tbl[[#This Row],[Rate_Code_Generalized]],Lookups!A:A,Lookups!B:B))*Pipeline_tbl[[#This Row],[Pipeline_Amount_USD]]</f>
        <v>12000</v>
      </c>
      <c r="O2748" t="str">
        <f>_xlfn.XLOOKUP(Pipeline_tbl[[#This Row],[Rep_ID]],Dim_Reps!A:A,Dim_Reps!B:B)</f>
        <v>Erik Duarte</v>
      </c>
      <c r="P2748" t="str">
        <f>_xlfn.XLOOKUP(Pipeline_tbl[[#This Row],[Rep_ID]],Dim_Reps!A:A,Dim_Reps!C:C)</f>
        <v>Mid-Market AE</v>
      </c>
      <c r="Q2748" t="str">
        <f>_xlfn.XLOOKUP(Pipeline_tbl[[#This Row],[Rep_ID]],Dim_Reps!A:A,Dim_Reps!D:D)</f>
        <v>Mid-Market</v>
      </c>
      <c r="R2748" t="str">
        <f>_xlfn.XLOOKUP(Pipeline_tbl[[#This Row],[Rep_ID]],Dim_Reps!A:A,Dim_Reps!E:E)</f>
        <v>EMEA</v>
      </c>
      <c r="S2748" t="str">
        <f>_xlfn.XLOOKUP(Pipeline_tbl[[#This Row],[Created_Date]],Dim_Date!A:A,Dim_Date!H:H)</f>
        <v>Mar 2025</v>
      </c>
      <c r="T2748" t="str">
        <f>IF(Pipeline_tbl[[#This Row],[Closed_Date]]=0,"",(_xlfn.XLOOKUP(Pipeline_tbl[[#This Row],[Closed_Date]],Dim_Date!A:A,Dim_Date!H:H)))</f>
        <v>Apr 2025</v>
      </c>
      <c r="U2748">
        <f>IF(Pipeline_tbl[[#This Row],[Closed_Date]]=0,"",Pipeline_tbl[[#This Row],[Closed_Date]]-Pipeline_tbl[[#This Row],[Created_Date]])</f>
        <v>30</v>
      </c>
    </row>
    <row r="2749" spans="1:21" ht="15" customHeight="1" x14ac:dyDescent="0.2">
      <c r="A2749" t="s">
        <v>3055</v>
      </c>
      <c r="B2749" t="s">
        <v>265</v>
      </c>
      <c r="C2749" t="s">
        <v>52</v>
      </c>
      <c r="D2749" s="49">
        <v>45730</v>
      </c>
      <c r="E2749" s="49">
        <v>45733</v>
      </c>
      <c r="I2749" s="49">
        <v>45764</v>
      </c>
      <c r="J2749" t="s">
        <v>49</v>
      </c>
      <c r="K2749" s="33">
        <v>13700</v>
      </c>
      <c r="L2749" t="s">
        <v>61</v>
      </c>
      <c r="M2749" t="str">
        <f>_xlfn.XLOOKUP(Pipeline_tbl[[#This Row],[Rep_ID]],Dim_Reps!A:A,Dim_Reps!K:K)</f>
        <v>EUR</v>
      </c>
      <c r="N2749" s="33">
        <f>(_xlfn.XLOOKUP(Pipeline_tbl[[#This Row],[Rate_Code_Generalized]],Lookups!A:A,Lookups!B:B))*Pipeline_tbl[[#This Row],[Pipeline_Amount_USD]]</f>
        <v>13700</v>
      </c>
      <c r="O2749" t="str">
        <f>_xlfn.XLOOKUP(Pipeline_tbl[[#This Row],[Rep_ID]],Dim_Reps!A:A,Dim_Reps!B:B)</f>
        <v>Erik Duarte</v>
      </c>
      <c r="P2749" t="str">
        <f>_xlfn.XLOOKUP(Pipeline_tbl[[#This Row],[Rep_ID]],Dim_Reps!A:A,Dim_Reps!C:C)</f>
        <v>Mid-Market AE</v>
      </c>
      <c r="Q2749" t="str">
        <f>_xlfn.XLOOKUP(Pipeline_tbl[[#This Row],[Rep_ID]],Dim_Reps!A:A,Dim_Reps!D:D)</f>
        <v>Mid-Market</v>
      </c>
      <c r="R2749" t="str">
        <f>_xlfn.XLOOKUP(Pipeline_tbl[[#This Row],[Rep_ID]],Dim_Reps!A:A,Dim_Reps!E:E)</f>
        <v>EMEA</v>
      </c>
      <c r="S2749" t="str">
        <f>_xlfn.XLOOKUP(Pipeline_tbl[[#This Row],[Created_Date]],Dim_Date!A:A,Dim_Date!H:H)</f>
        <v>Mar 2025</v>
      </c>
      <c r="T2749" t="str">
        <f>IF(Pipeline_tbl[[#This Row],[Closed_Date]]=0,"",(_xlfn.XLOOKUP(Pipeline_tbl[[#This Row],[Closed_Date]],Dim_Date!A:A,Dim_Date!H:H)))</f>
        <v>Apr 2025</v>
      </c>
      <c r="U2749">
        <f>IF(Pipeline_tbl[[#This Row],[Closed_Date]]=0,"",Pipeline_tbl[[#This Row],[Closed_Date]]-Pipeline_tbl[[#This Row],[Created_Date]])</f>
        <v>34</v>
      </c>
    </row>
    <row r="2750" spans="1:21" ht="15" customHeight="1" x14ac:dyDescent="0.2">
      <c r="A2750" t="s">
        <v>3056</v>
      </c>
      <c r="B2750" t="s">
        <v>233</v>
      </c>
      <c r="C2750" t="s">
        <v>52</v>
      </c>
      <c r="D2750" s="49">
        <v>45743</v>
      </c>
      <c r="E2750" s="49">
        <v>45745</v>
      </c>
      <c r="F2750" s="49">
        <v>45750</v>
      </c>
      <c r="G2750" s="49">
        <v>45757</v>
      </c>
      <c r="H2750" s="49">
        <v>45763</v>
      </c>
      <c r="I2750" s="49">
        <v>45767</v>
      </c>
      <c r="J2750" t="s">
        <v>49</v>
      </c>
      <c r="K2750" s="33">
        <v>1600</v>
      </c>
      <c r="L2750" t="s">
        <v>61</v>
      </c>
      <c r="M2750" t="str">
        <f>_xlfn.XLOOKUP(Pipeline_tbl[[#This Row],[Rep_ID]],Dim_Reps!A:A,Dim_Reps!K:K)</f>
        <v>MXN</v>
      </c>
      <c r="N2750" s="33">
        <f>(_xlfn.XLOOKUP(Pipeline_tbl[[#This Row],[Rate_Code_Generalized]],Lookups!A:A,Lookups!B:B))*Pipeline_tbl[[#This Row],[Pipeline_Amount_USD]]</f>
        <v>31572.320000000003</v>
      </c>
      <c r="O2750" t="str">
        <f>_xlfn.XLOOKUP(Pipeline_tbl[[#This Row],[Rep_ID]],Dim_Reps!A:A,Dim_Reps!B:B)</f>
        <v>Lucas Duarte</v>
      </c>
      <c r="P2750" t="str">
        <f>_xlfn.XLOOKUP(Pipeline_tbl[[#This Row],[Rep_ID]],Dim_Reps!A:A,Dim_Reps!C:C)</f>
        <v>SDR / Inside Sales Rep</v>
      </c>
      <c r="Q2750" t="str">
        <f>_xlfn.XLOOKUP(Pipeline_tbl[[#This Row],[Rep_ID]],Dim_Reps!A:A,Dim_Reps!D:D)</f>
        <v>Inside Sales</v>
      </c>
      <c r="R2750" t="str">
        <f>_xlfn.XLOOKUP(Pipeline_tbl[[#This Row],[Rep_ID]],Dim_Reps!A:A,Dim_Reps!E:E)</f>
        <v>LATAM</v>
      </c>
      <c r="S2750" t="str">
        <f>_xlfn.XLOOKUP(Pipeline_tbl[[#This Row],[Created_Date]],Dim_Date!A:A,Dim_Date!H:H)</f>
        <v>Mar 2025</v>
      </c>
      <c r="T2750" t="str">
        <f>IF(Pipeline_tbl[[#This Row],[Closed_Date]]=0,"",(_xlfn.XLOOKUP(Pipeline_tbl[[#This Row],[Closed_Date]],Dim_Date!A:A,Dim_Date!H:H)))</f>
        <v>Apr 2025</v>
      </c>
      <c r="U2750">
        <f>IF(Pipeline_tbl[[#This Row],[Closed_Date]]=0,"",Pipeline_tbl[[#This Row],[Closed_Date]]-Pipeline_tbl[[#This Row],[Created_Date]])</f>
        <v>24</v>
      </c>
    </row>
    <row r="2751" spans="1:21" ht="15" customHeight="1" x14ac:dyDescent="0.2">
      <c r="A2751" t="s">
        <v>3057</v>
      </c>
      <c r="B2751" t="s">
        <v>233</v>
      </c>
      <c r="C2751" t="s">
        <v>52</v>
      </c>
      <c r="D2751" s="49">
        <v>45725</v>
      </c>
      <c r="E2751" s="49">
        <v>45727</v>
      </c>
      <c r="F2751" s="49">
        <v>45732</v>
      </c>
      <c r="I2751" s="49">
        <v>45749</v>
      </c>
      <c r="J2751" t="s">
        <v>49</v>
      </c>
      <c r="K2751" s="33">
        <v>5800</v>
      </c>
      <c r="L2751" t="s">
        <v>61</v>
      </c>
      <c r="M2751" t="str">
        <f>_xlfn.XLOOKUP(Pipeline_tbl[[#This Row],[Rep_ID]],Dim_Reps!A:A,Dim_Reps!K:K)</f>
        <v>MXN</v>
      </c>
      <c r="N2751" s="33">
        <f>(_xlfn.XLOOKUP(Pipeline_tbl[[#This Row],[Rate_Code_Generalized]],Lookups!A:A,Lookups!B:B))*Pipeline_tbl[[#This Row],[Pipeline_Amount_USD]]</f>
        <v>114449.66</v>
      </c>
      <c r="O2751" t="str">
        <f>_xlfn.XLOOKUP(Pipeline_tbl[[#This Row],[Rep_ID]],Dim_Reps!A:A,Dim_Reps!B:B)</f>
        <v>Lucas Duarte</v>
      </c>
      <c r="P2751" t="str">
        <f>_xlfn.XLOOKUP(Pipeline_tbl[[#This Row],[Rep_ID]],Dim_Reps!A:A,Dim_Reps!C:C)</f>
        <v>SDR / Inside Sales Rep</v>
      </c>
      <c r="Q2751" t="str">
        <f>_xlfn.XLOOKUP(Pipeline_tbl[[#This Row],[Rep_ID]],Dim_Reps!A:A,Dim_Reps!D:D)</f>
        <v>Inside Sales</v>
      </c>
      <c r="R2751" t="str">
        <f>_xlfn.XLOOKUP(Pipeline_tbl[[#This Row],[Rep_ID]],Dim_Reps!A:A,Dim_Reps!E:E)</f>
        <v>LATAM</v>
      </c>
      <c r="S2751" t="str">
        <f>_xlfn.XLOOKUP(Pipeline_tbl[[#This Row],[Created_Date]],Dim_Date!A:A,Dim_Date!H:H)</f>
        <v>Mar 2025</v>
      </c>
      <c r="T2751" t="str">
        <f>IF(Pipeline_tbl[[#This Row],[Closed_Date]]=0,"",(_xlfn.XLOOKUP(Pipeline_tbl[[#This Row],[Closed_Date]],Dim_Date!A:A,Dim_Date!H:H)))</f>
        <v>Apr 2025</v>
      </c>
      <c r="U2751">
        <f>IF(Pipeline_tbl[[#This Row],[Closed_Date]]=0,"",Pipeline_tbl[[#This Row],[Closed_Date]]-Pipeline_tbl[[#This Row],[Created_Date]])</f>
        <v>24</v>
      </c>
    </row>
    <row r="2752" spans="1:21" ht="15" customHeight="1" x14ac:dyDescent="0.2">
      <c r="A2752" t="s">
        <v>3058</v>
      </c>
      <c r="B2752" t="s">
        <v>233</v>
      </c>
      <c r="C2752" t="s">
        <v>52</v>
      </c>
      <c r="D2752" s="49">
        <v>45741</v>
      </c>
      <c r="E2752" s="49">
        <v>45743</v>
      </c>
      <c r="F2752" s="49">
        <v>45746</v>
      </c>
      <c r="I2752" s="49">
        <v>45756</v>
      </c>
      <c r="J2752" t="s">
        <v>49</v>
      </c>
      <c r="K2752" s="33">
        <v>6300</v>
      </c>
      <c r="L2752" t="s">
        <v>61</v>
      </c>
      <c r="M2752" t="str">
        <f>_xlfn.XLOOKUP(Pipeline_tbl[[#This Row],[Rep_ID]],Dim_Reps!A:A,Dim_Reps!K:K)</f>
        <v>MXN</v>
      </c>
      <c r="N2752" s="33">
        <f>(_xlfn.XLOOKUP(Pipeline_tbl[[#This Row],[Rate_Code_Generalized]],Lookups!A:A,Lookups!B:B))*Pipeline_tbl[[#This Row],[Pipeline_Amount_USD]]</f>
        <v>124316.01000000001</v>
      </c>
      <c r="O2752" t="str">
        <f>_xlfn.XLOOKUP(Pipeline_tbl[[#This Row],[Rep_ID]],Dim_Reps!A:A,Dim_Reps!B:B)</f>
        <v>Lucas Duarte</v>
      </c>
      <c r="P2752" t="str">
        <f>_xlfn.XLOOKUP(Pipeline_tbl[[#This Row],[Rep_ID]],Dim_Reps!A:A,Dim_Reps!C:C)</f>
        <v>SDR / Inside Sales Rep</v>
      </c>
      <c r="Q2752" t="str">
        <f>_xlfn.XLOOKUP(Pipeline_tbl[[#This Row],[Rep_ID]],Dim_Reps!A:A,Dim_Reps!D:D)</f>
        <v>Inside Sales</v>
      </c>
      <c r="R2752" t="str">
        <f>_xlfn.XLOOKUP(Pipeline_tbl[[#This Row],[Rep_ID]],Dim_Reps!A:A,Dim_Reps!E:E)</f>
        <v>LATAM</v>
      </c>
      <c r="S2752" t="str">
        <f>_xlfn.XLOOKUP(Pipeline_tbl[[#This Row],[Created_Date]],Dim_Date!A:A,Dim_Date!H:H)</f>
        <v>Mar 2025</v>
      </c>
      <c r="T2752" t="str">
        <f>IF(Pipeline_tbl[[#This Row],[Closed_Date]]=0,"",(_xlfn.XLOOKUP(Pipeline_tbl[[#This Row],[Closed_Date]],Dim_Date!A:A,Dim_Date!H:H)))</f>
        <v>Apr 2025</v>
      </c>
      <c r="U2752">
        <f>IF(Pipeline_tbl[[#This Row],[Closed_Date]]=0,"",Pipeline_tbl[[#This Row],[Closed_Date]]-Pipeline_tbl[[#This Row],[Created_Date]])</f>
        <v>15</v>
      </c>
    </row>
    <row r="2753" spans="1:21" ht="15" customHeight="1" x14ac:dyDescent="0.2">
      <c r="A2753" t="s">
        <v>3059</v>
      </c>
      <c r="B2753" t="s">
        <v>233</v>
      </c>
      <c r="C2753" t="s">
        <v>53</v>
      </c>
      <c r="D2753" s="49">
        <v>45739</v>
      </c>
      <c r="E2753" s="49">
        <v>45740</v>
      </c>
      <c r="I2753" s="49">
        <v>45752</v>
      </c>
      <c r="J2753" t="s">
        <v>49</v>
      </c>
      <c r="K2753" s="33">
        <v>2300</v>
      </c>
      <c r="L2753" t="s">
        <v>60</v>
      </c>
      <c r="M2753" t="str">
        <f>_xlfn.XLOOKUP(Pipeline_tbl[[#This Row],[Rep_ID]],Dim_Reps!A:A,Dim_Reps!K:K)</f>
        <v>MXN</v>
      </c>
      <c r="N2753" s="33">
        <f>(_xlfn.XLOOKUP(Pipeline_tbl[[#This Row],[Rate_Code_Generalized]],Lookups!A:A,Lookups!B:B))*Pipeline_tbl[[#This Row],[Pipeline_Amount_USD]]</f>
        <v>45385.210000000006</v>
      </c>
      <c r="O2753" t="str">
        <f>_xlfn.XLOOKUP(Pipeline_tbl[[#This Row],[Rep_ID]],Dim_Reps!A:A,Dim_Reps!B:B)</f>
        <v>Lucas Duarte</v>
      </c>
      <c r="P2753" t="str">
        <f>_xlfn.XLOOKUP(Pipeline_tbl[[#This Row],[Rep_ID]],Dim_Reps!A:A,Dim_Reps!C:C)</f>
        <v>SDR / Inside Sales Rep</v>
      </c>
      <c r="Q2753" t="str">
        <f>_xlfn.XLOOKUP(Pipeline_tbl[[#This Row],[Rep_ID]],Dim_Reps!A:A,Dim_Reps!D:D)</f>
        <v>Inside Sales</v>
      </c>
      <c r="R2753" t="str">
        <f>_xlfn.XLOOKUP(Pipeline_tbl[[#This Row],[Rep_ID]],Dim_Reps!A:A,Dim_Reps!E:E)</f>
        <v>LATAM</v>
      </c>
      <c r="S2753" t="str">
        <f>_xlfn.XLOOKUP(Pipeline_tbl[[#This Row],[Created_Date]],Dim_Date!A:A,Dim_Date!H:H)</f>
        <v>Mar 2025</v>
      </c>
      <c r="T2753" t="str">
        <f>IF(Pipeline_tbl[[#This Row],[Closed_Date]]=0,"",(_xlfn.XLOOKUP(Pipeline_tbl[[#This Row],[Closed_Date]],Dim_Date!A:A,Dim_Date!H:H)))</f>
        <v>Apr 2025</v>
      </c>
      <c r="U2753">
        <f>IF(Pipeline_tbl[[#This Row],[Closed_Date]]=0,"",Pipeline_tbl[[#This Row],[Closed_Date]]-Pipeline_tbl[[#This Row],[Created_Date]])</f>
        <v>13</v>
      </c>
    </row>
    <row r="2754" spans="1:21" ht="15" customHeight="1" x14ac:dyDescent="0.2">
      <c r="A2754" t="s">
        <v>3060</v>
      </c>
      <c r="B2754" t="s">
        <v>233</v>
      </c>
      <c r="C2754" t="s">
        <v>52</v>
      </c>
      <c r="D2754" s="49">
        <v>45738</v>
      </c>
      <c r="E2754" s="49">
        <v>45740</v>
      </c>
      <c r="F2754" s="49">
        <v>45743</v>
      </c>
      <c r="G2754" s="49">
        <v>45748</v>
      </c>
      <c r="I2754" s="49">
        <v>45755</v>
      </c>
      <c r="J2754" t="s">
        <v>49</v>
      </c>
      <c r="K2754" s="33">
        <v>8200</v>
      </c>
      <c r="L2754" t="s">
        <v>62</v>
      </c>
      <c r="M2754" t="str">
        <f>_xlfn.XLOOKUP(Pipeline_tbl[[#This Row],[Rep_ID]],Dim_Reps!A:A,Dim_Reps!K:K)</f>
        <v>MXN</v>
      </c>
      <c r="N2754" s="33">
        <f>(_xlfn.XLOOKUP(Pipeline_tbl[[#This Row],[Rate_Code_Generalized]],Lookups!A:A,Lookups!B:B))*Pipeline_tbl[[#This Row],[Pipeline_Amount_USD]]</f>
        <v>161808.14000000001</v>
      </c>
      <c r="O2754" t="str">
        <f>_xlfn.XLOOKUP(Pipeline_tbl[[#This Row],[Rep_ID]],Dim_Reps!A:A,Dim_Reps!B:B)</f>
        <v>Lucas Duarte</v>
      </c>
      <c r="P2754" t="str">
        <f>_xlfn.XLOOKUP(Pipeline_tbl[[#This Row],[Rep_ID]],Dim_Reps!A:A,Dim_Reps!C:C)</f>
        <v>SDR / Inside Sales Rep</v>
      </c>
      <c r="Q2754" t="str">
        <f>_xlfn.XLOOKUP(Pipeline_tbl[[#This Row],[Rep_ID]],Dim_Reps!A:A,Dim_Reps!D:D)</f>
        <v>Inside Sales</v>
      </c>
      <c r="R2754" t="str">
        <f>_xlfn.XLOOKUP(Pipeline_tbl[[#This Row],[Rep_ID]],Dim_Reps!A:A,Dim_Reps!E:E)</f>
        <v>LATAM</v>
      </c>
      <c r="S2754" t="str">
        <f>_xlfn.XLOOKUP(Pipeline_tbl[[#This Row],[Created_Date]],Dim_Date!A:A,Dim_Date!H:H)</f>
        <v>Mar 2025</v>
      </c>
      <c r="T2754" t="str">
        <f>IF(Pipeline_tbl[[#This Row],[Closed_Date]]=0,"",(_xlfn.XLOOKUP(Pipeline_tbl[[#This Row],[Closed_Date]],Dim_Date!A:A,Dim_Date!H:H)))</f>
        <v>Apr 2025</v>
      </c>
      <c r="U2754">
        <f>IF(Pipeline_tbl[[#This Row],[Closed_Date]]=0,"",Pipeline_tbl[[#This Row],[Closed_Date]]-Pipeline_tbl[[#This Row],[Created_Date]])</f>
        <v>17</v>
      </c>
    </row>
    <row r="2755" spans="1:21" ht="15" customHeight="1" x14ac:dyDescent="0.2">
      <c r="A2755" t="s">
        <v>3061</v>
      </c>
      <c r="B2755" t="s">
        <v>267</v>
      </c>
      <c r="C2755" t="s">
        <v>52</v>
      </c>
      <c r="D2755" s="49">
        <v>45726</v>
      </c>
      <c r="E2755" s="49">
        <v>45730</v>
      </c>
      <c r="F2755" s="49">
        <v>45737</v>
      </c>
      <c r="I2755" s="49">
        <v>45762</v>
      </c>
      <c r="J2755" t="s">
        <v>49</v>
      </c>
      <c r="K2755" s="33">
        <v>16300</v>
      </c>
      <c r="L2755" t="s">
        <v>64</v>
      </c>
      <c r="M2755" t="str">
        <f>_xlfn.XLOOKUP(Pipeline_tbl[[#This Row],[Rep_ID]],Dim_Reps!A:A,Dim_Reps!K:K)</f>
        <v>MXN</v>
      </c>
      <c r="N2755" s="33">
        <f>(_xlfn.XLOOKUP(Pipeline_tbl[[#This Row],[Rate_Code_Generalized]],Lookups!A:A,Lookups!B:B))*Pipeline_tbl[[#This Row],[Pipeline_Amount_USD]]</f>
        <v>321643.01</v>
      </c>
      <c r="O2755" t="str">
        <f>_xlfn.XLOOKUP(Pipeline_tbl[[#This Row],[Rep_ID]],Dim_Reps!A:A,Dim_Reps!B:B)</f>
        <v>Yuki Dubois</v>
      </c>
      <c r="P2755" t="str">
        <f>_xlfn.XLOOKUP(Pipeline_tbl[[#This Row],[Rep_ID]],Dim_Reps!A:A,Dim_Reps!C:C)</f>
        <v>Mid-Market AE</v>
      </c>
      <c r="Q2755" t="str">
        <f>_xlfn.XLOOKUP(Pipeline_tbl[[#This Row],[Rep_ID]],Dim_Reps!A:A,Dim_Reps!D:D)</f>
        <v>Mid-Market</v>
      </c>
      <c r="R2755" t="str">
        <f>_xlfn.XLOOKUP(Pipeline_tbl[[#This Row],[Rep_ID]],Dim_Reps!A:A,Dim_Reps!E:E)</f>
        <v>LATAM</v>
      </c>
      <c r="S2755" t="str">
        <f>_xlfn.XLOOKUP(Pipeline_tbl[[#This Row],[Created_Date]],Dim_Date!A:A,Dim_Date!H:H)</f>
        <v>Mar 2025</v>
      </c>
      <c r="T2755" t="str">
        <f>IF(Pipeline_tbl[[#This Row],[Closed_Date]]=0,"",(_xlfn.XLOOKUP(Pipeline_tbl[[#This Row],[Closed_Date]],Dim_Date!A:A,Dim_Date!H:H)))</f>
        <v>Apr 2025</v>
      </c>
      <c r="U2755">
        <f>IF(Pipeline_tbl[[#This Row],[Closed_Date]]=0,"",Pipeline_tbl[[#This Row],[Closed_Date]]-Pipeline_tbl[[#This Row],[Created_Date]])</f>
        <v>36</v>
      </c>
    </row>
    <row r="2756" spans="1:21" ht="15" customHeight="1" x14ac:dyDescent="0.2">
      <c r="A2756" t="s">
        <v>3062</v>
      </c>
      <c r="B2756" t="s">
        <v>267</v>
      </c>
      <c r="C2756" t="s">
        <v>55</v>
      </c>
      <c r="D2756" s="49">
        <v>45739</v>
      </c>
      <c r="E2756" s="49">
        <v>45743</v>
      </c>
      <c r="F2756" s="49">
        <v>45750</v>
      </c>
      <c r="G2756" s="49">
        <v>45761</v>
      </c>
      <c r="H2756" s="49">
        <v>45770</v>
      </c>
      <c r="I2756" s="49">
        <v>45776</v>
      </c>
      <c r="J2756" t="s">
        <v>47</v>
      </c>
      <c r="K2756" s="33">
        <v>4900</v>
      </c>
      <c r="M2756" t="str">
        <f>_xlfn.XLOOKUP(Pipeline_tbl[[#This Row],[Rep_ID]],Dim_Reps!A:A,Dim_Reps!K:K)</f>
        <v>MXN</v>
      </c>
      <c r="N2756" s="33">
        <f>(_xlfn.XLOOKUP(Pipeline_tbl[[#This Row],[Rate_Code_Generalized]],Lookups!A:A,Lookups!B:B))*Pipeline_tbl[[#This Row],[Pipeline_Amount_USD]]</f>
        <v>96690.23000000001</v>
      </c>
      <c r="O2756" t="str">
        <f>_xlfn.XLOOKUP(Pipeline_tbl[[#This Row],[Rep_ID]],Dim_Reps!A:A,Dim_Reps!B:B)</f>
        <v>Yuki Dubois</v>
      </c>
      <c r="P2756" t="str">
        <f>_xlfn.XLOOKUP(Pipeline_tbl[[#This Row],[Rep_ID]],Dim_Reps!A:A,Dim_Reps!C:C)</f>
        <v>Mid-Market AE</v>
      </c>
      <c r="Q2756" t="str">
        <f>_xlfn.XLOOKUP(Pipeline_tbl[[#This Row],[Rep_ID]],Dim_Reps!A:A,Dim_Reps!D:D)</f>
        <v>Mid-Market</v>
      </c>
      <c r="R2756" t="str">
        <f>_xlfn.XLOOKUP(Pipeline_tbl[[#This Row],[Rep_ID]],Dim_Reps!A:A,Dim_Reps!E:E)</f>
        <v>LATAM</v>
      </c>
      <c r="S2756" t="str">
        <f>_xlfn.XLOOKUP(Pipeline_tbl[[#This Row],[Created_Date]],Dim_Date!A:A,Dim_Date!H:H)</f>
        <v>Mar 2025</v>
      </c>
      <c r="T2756" t="str">
        <f>IF(Pipeline_tbl[[#This Row],[Closed_Date]]=0,"",(_xlfn.XLOOKUP(Pipeline_tbl[[#This Row],[Closed_Date]],Dim_Date!A:A,Dim_Date!H:H)))</f>
        <v>Apr 2025</v>
      </c>
      <c r="U2756">
        <f>IF(Pipeline_tbl[[#This Row],[Closed_Date]]=0,"",Pipeline_tbl[[#This Row],[Closed_Date]]-Pipeline_tbl[[#This Row],[Created_Date]])</f>
        <v>37</v>
      </c>
    </row>
    <row r="2757" spans="1:21" ht="15" customHeight="1" x14ac:dyDescent="0.2">
      <c r="A2757" t="s">
        <v>3063</v>
      </c>
      <c r="B2757" t="s">
        <v>267</v>
      </c>
      <c r="C2757" t="s">
        <v>56</v>
      </c>
      <c r="D2757" s="49">
        <v>45733</v>
      </c>
      <c r="E2757" s="49">
        <v>45737</v>
      </c>
      <c r="F2757" s="49">
        <v>45744</v>
      </c>
      <c r="I2757" s="49">
        <v>45771</v>
      </c>
      <c r="J2757" t="s">
        <v>49</v>
      </c>
      <c r="K2757" s="33">
        <v>16400</v>
      </c>
      <c r="L2757" t="s">
        <v>61</v>
      </c>
      <c r="M2757" t="str">
        <f>_xlfn.XLOOKUP(Pipeline_tbl[[#This Row],[Rep_ID]],Dim_Reps!A:A,Dim_Reps!K:K)</f>
        <v>MXN</v>
      </c>
      <c r="N2757" s="33">
        <f>(_xlfn.XLOOKUP(Pipeline_tbl[[#This Row],[Rate_Code_Generalized]],Lookups!A:A,Lookups!B:B))*Pipeline_tbl[[#This Row],[Pipeline_Amount_USD]]</f>
        <v>323616.28000000003</v>
      </c>
      <c r="O2757" t="str">
        <f>_xlfn.XLOOKUP(Pipeline_tbl[[#This Row],[Rep_ID]],Dim_Reps!A:A,Dim_Reps!B:B)</f>
        <v>Yuki Dubois</v>
      </c>
      <c r="P2757" t="str">
        <f>_xlfn.XLOOKUP(Pipeline_tbl[[#This Row],[Rep_ID]],Dim_Reps!A:A,Dim_Reps!C:C)</f>
        <v>Mid-Market AE</v>
      </c>
      <c r="Q2757" t="str">
        <f>_xlfn.XLOOKUP(Pipeline_tbl[[#This Row],[Rep_ID]],Dim_Reps!A:A,Dim_Reps!D:D)</f>
        <v>Mid-Market</v>
      </c>
      <c r="R2757" t="str">
        <f>_xlfn.XLOOKUP(Pipeline_tbl[[#This Row],[Rep_ID]],Dim_Reps!A:A,Dim_Reps!E:E)</f>
        <v>LATAM</v>
      </c>
      <c r="S2757" t="str">
        <f>_xlfn.XLOOKUP(Pipeline_tbl[[#This Row],[Created_Date]],Dim_Date!A:A,Dim_Date!H:H)</f>
        <v>Mar 2025</v>
      </c>
      <c r="T2757" t="str">
        <f>IF(Pipeline_tbl[[#This Row],[Closed_Date]]=0,"",(_xlfn.XLOOKUP(Pipeline_tbl[[#This Row],[Closed_Date]],Dim_Date!A:A,Dim_Date!H:H)))</f>
        <v>Apr 2025</v>
      </c>
      <c r="U2757">
        <f>IF(Pipeline_tbl[[#This Row],[Closed_Date]]=0,"",Pipeline_tbl[[#This Row],[Closed_Date]]-Pipeline_tbl[[#This Row],[Created_Date]])</f>
        <v>38</v>
      </c>
    </row>
    <row r="2758" spans="1:21" ht="15" customHeight="1" x14ac:dyDescent="0.2">
      <c r="A2758" t="s">
        <v>3064</v>
      </c>
      <c r="B2758" t="s">
        <v>267</v>
      </c>
      <c r="C2758" t="s">
        <v>52</v>
      </c>
      <c r="D2758" s="49">
        <v>45729</v>
      </c>
      <c r="E2758" s="49">
        <v>45733</v>
      </c>
      <c r="F2758" s="49">
        <v>45740</v>
      </c>
      <c r="I2758" s="49">
        <v>45767</v>
      </c>
      <c r="J2758" t="s">
        <v>49</v>
      </c>
      <c r="K2758" s="33">
        <v>36300</v>
      </c>
      <c r="L2758" t="s">
        <v>61</v>
      </c>
      <c r="M2758" t="str">
        <f>_xlfn.XLOOKUP(Pipeline_tbl[[#This Row],[Rep_ID]],Dim_Reps!A:A,Dim_Reps!K:K)</f>
        <v>MXN</v>
      </c>
      <c r="N2758" s="33">
        <f>(_xlfn.XLOOKUP(Pipeline_tbl[[#This Row],[Rate_Code_Generalized]],Lookups!A:A,Lookups!B:B))*Pipeline_tbl[[#This Row],[Pipeline_Amount_USD]]</f>
        <v>716297.01</v>
      </c>
      <c r="O2758" t="str">
        <f>_xlfn.XLOOKUP(Pipeline_tbl[[#This Row],[Rep_ID]],Dim_Reps!A:A,Dim_Reps!B:B)</f>
        <v>Yuki Dubois</v>
      </c>
      <c r="P2758" t="str">
        <f>_xlfn.XLOOKUP(Pipeline_tbl[[#This Row],[Rep_ID]],Dim_Reps!A:A,Dim_Reps!C:C)</f>
        <v>Mid-Market AE</v>
      </c>
      <c r="Q2758" t="str">
        <f>_xlfn.XLOOKUP(Pipeline_tbl[[#This Row],[Rep_ID]],Dim_Reps!A:A,Dim_Reps!D:D)</f>
        <v>Mid-Market</v>
      </c>
      <c r="R2758" t="str">
        <f>_xlfn.XLOOKUP(Pipeline_tbl[[#This Row],[Rep_ID]],Dim_Reps!A:A,Dim_Reps!E:E)</f>
        <v>LATAM</v>
      </c>
      <c r="S2758" t="str">
        <f>_xlfn.XLOOKUP(Pipeline_tbl[[#This Row],[Created_Date]],Dim_Date!A:A,Dim_Date!H:H)</f>
        <v>Mar 2025</v>
      </c>
      <c r="T2758" t="str">
        <f>IF(Pipeline_tbl[[#This Row],[Closed_Date]]=0,"",(_xlfn.XLOOKUP(Pipeline_tbl[[#This Row],[Closed_Date]],Dim_Date!A:A,Dim_Date!H:H)))</f>
        <v>Apr 2025</v>
      </c>
      <c r="U2758">
        <f>IF(Pipeline_tbl[[#This Row],[Closed_Date]]=0,"",Pipeline_tbl[[#This Row],[Closed_Date]]-Pipeline_tbl[[#This Row],[Created_Date]])</f>
        <v>38</v>
      </c>
    </row>
    <row r="2759" spans="1:21" ht="15" customHeight="1" x14ac:dyDescent="0.2">
      <c r="A2759" t="s">
        <v>3065</v>
      </c>
      <c r="B2759" t="s">
        <v>267</v>
      </c>
      <c r="C2759" t="s">
        <v>53</v>
      </c>
      <c r="D2759" s="49">
        <v>45721</v>
      </c>
      <c r="E2759" s="49">
        <v>45724</v>
      </c>
      <c r="F2759" s="49">
        <v>45730</v>
      </c>
      <c r="G2759" s="49">
        <v>45738</v>
      </c>
      <c r="H2759" s="49">
        <v>45746</v>
      </c>
      <c r="I2759" s="49">
        <v>45750</v>
      </c>
      <c r="J2759" t="s">
        <v>47</v>
      </c>
      <c r="K2759" s="33">
        <v>11300</v>
      </c>
      <c r="M2759" t="str">
        <f>_xlfn.XLOOKUP(Pipeline_tbl[[#This Row],[Rep_ID]],Dim_Reps!A:A,Dim_Reps!K:K)</f>
        <v>MXN</v>
      </c>
      <c r="N2759" s="33">
        <f>(_xlfn.XLOOKUP(Pipeline_tbl[[#This Row],[Rate_Code_Generalized]],Lookups!A:A,Lookups!B:B))*Pipeline_tbl[[#This Row],[Pipeline_Amount_USD]]</f>
        <v>222979.51</v>
      </c>
      <c r="O2759" t="str">
        <f>_xlfn.XLOOKUP(Pipeline_tbl[[#This Row],[Rep_ID]],Dim_Reps!A:A,Dim_Reps!B:B)</f>
        <v>Yuki Dubois</v>
      </c>
      <c r="P2759" t="str">
        <f>_xlfn.XLOOKUP(Pipeline_tbl[[#This Row],[Rep_ID]],Dim_Reps!A:A,Dim_Reps!C:C)</f>
        <v>Mid-Market AE</v>
      </c>
      <c r="Q2759" t="str">
        <f>_xlfn.XLOOKUP(Pipeline_tbl[[#This Row],[Rep_ID]],Dim_Reps!A:A,Dim_Reps!D:D)</f>
        <v>Mid-Market</v>
      </c>
      <c r="R2759" t="str">
        <f>_xlfn.XLOOKUP(Pipeline_tbl[[#This Row],[Rep_ID]],Dim_Reps!A:A,Dim_Reps!E:E)</f>
        <v>LATAM</v>
      </c>
      <c r="S2759" t="str">
        <f>_xlfn.XLOOKUP(Pipeline_tbl[[#This Row],[Created_Date]],Dim_Date!A:A,Dim_Date!H:H)</f>
        <v>Mar 2025</v>
      </c>
      <c r="T2759" t="str">
        <f>IF(Pipeline_tbl[[#This Row],[Closed_Date]]=0,"",(_xlfn.XLOOKUP(Pipeline_tbl[[#This Row],[Closed_Date]],Dim_Date!A:A,Dim_Date!H:H)))</f>
        <v>Apr 2025</v>
      </c>
      <c r="U2759">
        <f>IF(Pipeline_tbl[[#This Row],[Closed_Date]]=0,"",Pipeline_tbl[[#This Row],[Closed_Date]]-Pipeline_tbl[[#This Row],[Created_Date]])</f>
        <v>29</v>
      </c>
    </row>
    <row r="2760" spans="1:21" ht="15" customHeight="1" x14ac:dyDescent="0.2">
      <c r="A2760" t="s">
        <v>3066</v>
      </c>
      <c r="B2760" t="s">
        <v>267</v>
      </c>
      <c r="C2760" t="s">
        <v>54</v>
      </c>
      <c r="D2760" s="49">
        <v>45741</v>
      </c>
      <c r="E2760" s="49">
        <v>45744</v>
      </c>
      <c r="F2760" s="49">
        <v>45750</v>
      </c>
      <c r="G2760" s="49">
        <v>45760</v>
      </c>
      <c r="H2760" s="49">
        <v>45767</v>
      </c>
      <c r="I2760" s="49">
        <v>45772</v>
      </c>
      <c r="J2760" t="s">
        <v>49</v>
      </c>
      <c r="K2760" s="33">
        <v>8800</v>
      </c>
      <c r="L2760" t="s">
        <v>64</v>
      </c>
      <c r="M2760" t="str">
        <f>_xlfn.XLOOKUP(Pipeline_tbl[[#This Row],[Rep_ID]],Dim_Reps!A:A,Dim_Reps!K:K)</f>
        <v>MXN</v>
      </c>
      <c r="N2760" s="33">
        <f>(_xlfn.XLOOKUP(Pipeline_tbl[[#This Row],[Rate_Code_Generalized]],Lookups!A:A,Lookups!B:B))*Pipeline_tbl[[#This Row],[Pipeline_Amount_USD]]</f>
        <v>173647.76</v>
      </c>
      <c r="O2760" t="str">
        <f>_xlfn.XLOOKUP(Pipeline_tbl[[#This Row],[Rep_ID]],Dim_Reps!A:A,Dim_Reps!B:B)</f>
        <v>Yuki Dubois</v>
      </c>
      <c r="P2760" t="str">
        <f>_xlfn.XLOOKUP(Pipeline_tbl[[#This Row],[Rep_ID]],Dim_Reps!A:A,Dim_Reps!C:C)</f>
        <v>Mid-Market AE</v>
      </c>
      <c r="Q2760" t="str">
        <f>_xlfn.XLOOKUP(Pipeline_tbl[[#This Row],[Rep_ID]],Dim_Reps!A:A,Dim_Reps!D:D)</f>
        <v>Mid-Market</v>
      </c>
      <c r="R2760" t="str">
        <f>_xlfn.XLOOKUP(Pipeline_tbl[[#This Row],[Rep_ID]],Dim_Reps!A:A,Dim_Reps!E:E)</f>
        <v>LATAM</v>
      </c>
      <c r="S2760" t="str">
        <f>_xlfn.XLOOKUP(Pipeline_tbl[[#This Row],[Created_Date]],Dim_Date!A:A,Dim_Date!H:H)</f>
        <v>Mar 2025</v>
      </c>
      <c r="T2760" t="str">
        <f>IF(Pipeline_tbl[[#This Row],[Closed_Date]]=0,"",(_xlfn.XLOOKUP(Pipeline_tbl[[#This Row],[Closed_Date]],Dim_Date!A:A,Dim_Date!H:H)))</f>
        <v>Apr 2025</v>
      </c>
      <c r="U2760">
        <f>IF(Pipeline_tbl[[#This Row],[Closed_Date]]=0,"",Pipeline_tbl[[#This Row],[Closed_Date]]-Pipeline_tbl[[#This Row],[Created_Date]])</f>
        <v>31</v>
      </c>
    </row>
    <row r="2761" spans="1:21" ht="15" customHeight="1" x14ac:dyDescent="0.2">
      <c r="A2761" t="s">
        <v>3067</v>
      </c>
      <c r="B2761" t="s">
        <v>235</v>
      </c>
      <c r="C2761" t="s">
        <v>55</v>
      </c>
      <c r="D2761" s="49">
        <v>45746</v>
      </c>
      <c r="E2761" s="49">
        <v>45748</v>
      </c>
      <c r="F2761" s="49">
        <v>45751</v>
      </c>
      <c r="G2761" s="49">
        <v>45756</v>
      </c>
      <c r="H2761" s="49">
        <v>45760</v>
      </c>
      <c r="I2761" s="49">
        <v>45763</v>
      </c>
      <c r="J2761" t="s">
        <v>47</v>
      </c>
      <c r="K2761" s="33">
        <v>1600</v>
      </c>
      <c r="M2761" t="str">
        <f>_xlfn.XLOOKUP(Pipeline_tbl[[#This Row],[Rep_ID]],Dim_Reps!A:A,Dim_Reps!K:K)</f>
        <v>MXN</v>
      </c>
      <c r="N2761" s="33">
        <f>(_xlfn.XLOOKUP(Pipeline_tbl[[#This Row],[Rate_Code_Generalized]],Lookups!A:A,Lookups!B:B))*Pipeline_tbl[[#This Row],[Pipeline_Amount_USD]]</f>
        <v>31572.320000000003</v>
      </c>
      <c r="O2761" t="str">
        <f>_xlfn.XLOOKUP(Pipeline_tbl[[#This Row],[Rep_ID]],Dim_Reps!A:A,Dim_Reps!B:B)</f>
        <v>Milo Castro</v>
      </c>
      <c r="P2761" t="str">
        <f>_xlfn.XLOOKUP(Pipeline_tbl[[#This Row],[Rep_ID]],Dim_Reps!A:A,Dim_Reps!C:C)</f>
        <v>SDR / Inside Sales Rep</v>
      </c>
      <c r="Q2761" t="str">
        <f>_xlfn.XLOOKUP(Pipeline_tbl[[#This Row],[Rep_ID]],Dim_Reps!A:A,Dim_Reps!D:D)</f>
        <v>Inside Sales</v>
      </c>
      <c r="R2761" t="str">
        <f>_xlfn.XLOOKUP(Pipeline_tbl[[#This Row],[Rep_ID]],Dim_Reps!A:A,Dim_Reps!E:E)</f>
        <v>LATAM</v>
      </c>
      <c r="S2761" t="str">
        <f>_xlfn.XLOOKUP(Pipeline_tbl[[#This Row],[Created_Date]],Dim_Date!A:A,Dim_Date!H:H)</f>
        <v>Mar 2025</v>
      </c>
      <c r="T2761" t="str">
        <f>IF(Pipeline_tbl[[#This Row],[Closed_Date]]=0,"",(_xlfn.XLOOKUP(Pipeline_tbl[[#This Row],[Closed_Date]],Dim_Date!A:A,Dim_Date!H:H)))</f>
        <v>Apr 2025</v>
      </c>
      <c r="U2761">
        <f>IF(Pipeline_tbl[[#This Row],[Closed_Date]]=0,"",Pipeline_tbl[[#This Row],[Closed_Date]]-Pipeline_tbl[[#This Row],[Created_Date]])</f>
        <v>17</v>
      </c>
    </row>
    <row r="2762" spans="1:21" ht="15" customHeight="1" x14ac:dyDescent="0.2">
      <c r="A2762" t="s">
        <v>3068</v>
      </c>
      <c r="B2762" t="s">
        <v>235</v>
      </c>
      <c r="C2762" t="s">
        <v>53</v>
      </c>
      <c r="D2762" s="49">
        <v>45747</v>
      </c>
      <c r="E2762" s="49">
        <v>45749</v>
      </c>
      <c r="F2762" s="49">
        <v>45752</v>
      </c>
      <c r="G2762" s="49">
        <v>45757</v>
      </c>
      <c r="H2762" s="49">
        <v>45761</v>
      </c>
      <c r="I2762" s="49">
        <v>45763</v>
      </c>
      <c r="J2762" t="s">
        <v>47</v>
      </c>
      <c r="K2762" s="33">
        <v>2600</v>
      </c>
      <c r="M2762" t="str">
        <f>_xlfn.XLOOKUP(Pipeline_tbl[[#This Row],[Rep_ID]],Dim_Reps!A:A,Dim_Reps!K:K)</f>
        <v>MXN</v>
      </c>
      <c r="N2762" s="33">
        <f>(_xlfn.XLOOKUP(Pipeline_tbl[[#This Row],[Rate_Code_Generalized]],Lookups!A:A,Lookups!B:B))*Pipeline_tbl[[#This Row],[Pipeline_Amount_USD]]</f>
        <v>51305.020000000004</v>
      </c>
      <c r="O2762" t="str">
        <f>_xlfn.XLOOKUP(Pipeline_tbl[[#This Row],[Rep_ID]],Dim_Reps!A:A,Dim_Reps!B:B)</f>
        <v>Milo Castro</v>
      </c>
      <c r="P2762" t="str">
        <f>_xlfn.XLOOKUP(Pipeline_tbl[[#This Row],[Rep_ID]],Dim_Reps!A:A,Dim_Reps!C:C)</f>
        <v>SDR / Inside Sales Rep</v>
      </c>
      <c r="Q2762" t="str">
        <f>_xlfn.XLOOKUP(Pipeline_tbl[[#This Row],[Rep_ID]],Dim_Reps!A:A,Dim_Reps!D:D)</f>
        <v>Inside Sales</v>
      </c>
      <c r="R2762" t="str">
        <f>_xlfn.XLOOKUP(Pipeline_tbl[[#This Row],[Rep_ID]],Dim_Reps!A:A,Dim_Reps!E:E)</f>
        <v>LATAM</v>
      </c>
      <c r="S2762" t="str">
        <f>_xlfn.XLOOKUP(Pipeline_tbl[[#This Row],[Created_Date]],Dim_Date!A:A,Dim_Date!H:H)</f>
        <v>Mar 2025</v>
      </c>
      <c r="T2762" t="str">
        <f>IF(Pipeline_tbl[[#This Row],[Closed_Date]]=0,"",(_xlfn.XLOOKUP(Pipeline_tbl[[#This Row],[Closed_Date]],Dim_Date!A:A,Dim_Date!H:H)))</f>
        <v>Apr 2025</v>
      </c>
      <c r="U2762">
        <f>IF(Pipeline_tbl[[#This Row],[Closed_Date]]=0,"",Pipeline_tbl[[#This Row],[Closed_Date]]-Pipeline_tbl[[#This Row],[Created_Date]])</f>
        <v>16</v>
      </c>
    </row>
    <row r="2763" spans="1:21" ht="15" customHeight="1" x14ac:dyDescent="0.2">
      <c r="A2763" t="s">
        <v>3069</v>
      </c>
      <c r="B2763" t="s">
        <v>235</v>
      </c>
      <c r="C2763" t="s">
        <v>52</v>
      </c>
      <c r="D2763" s="49">
        <v>45738</v>
      </c>
      <c r="E2763" s="49">
        <v>45740</v>
      </c>
      <c r="F2763" s="49">
        <v>45744</v>
      </c>
      <c r="G2763" s="49">
        <v>45749</v>
      </c>
      <c r="H2763" s="49">
        <v>45754</v>
      </c>
      <c r="I2763" s="49">
        <v>45757</v>
      </c>
      <c r="J2763" t="s">
        <v>49</v>
      </c>
      <c r="K2763" s="33">
        <v>2400</v>
      </c>
      <c r="L2763" t="s">
        <v>62</v>
      </c>
      <c r="M2763" t="str">
        <f>_xlfn.XLOOKUP(Pipeline_tbl[[#This Row],[Rep_ID]],Dim_Reps!A:A,Dim_Reps!K:K)</f>
        <v>MXN</v>
      </c>
      <c r="N2763" s="33">
        <f>(_xlfn.XLOOKUP(Pipeline_tbl[[#This Row],[Rate_Code_Generalized]],Lookups!A:A,Lookups!B:B))*Pipeline_tbl[[#This Row],[Pipeline_Amount_USD]]</f>
        <v>47358.48</v>
      </c>
      <c r="O2763" t="str">
        <f>_xlfn.XLOOKUP(Pipeline_tbl[[#This Row],[Rep_ID]],Dim_Reps!A:A,Dim_Reps!B:B)</f>
        <v>Milo Castro</v>
      </c>
      <c r="P2763" t="str">
        <f>_xlfn.XLOOKUP(Pipeline_tbl[[#This Row],[Rep_ID]],Dim_Reps!A:A,Dim_Reps!C:C)</f>
        <v>SDR / Inside Sales Rep</v>
      </c>
      <c r="Q2763" t="str">
        <f>_xlfn.XLOOKUP(Pipeline_tbl[[#This Row],[Rep_ID]],Dim_Reps!A:A,Dim_Reps!D:D)</f>
        <v>Inside Sales</v>
      </c>
      <c r="R2763" t="str">
        <f>_xlfn.XLOOKUP(Pipeline_tbl[[#This Row],[Rep_ID]],Dim_Reps!A:A,Dim_Reps!E:E)</f>
        <v>LATAM</v>
      </c>
      <c r="S2763" t="str">
        <f>_xlfn.XLOOKUP(Pipeline_tbl[[#This Row],[Created_Date]],Dim_Date!A:A,Dim_Date!H:H)</f>
        <v>Mar 2025</v>
      </c>
      <c r="T2763" t="str">
        <f>IF(Pipeline_tbl[[#This Row],[Closed_Date]]=0,"",(_xlfn.XLOOKUP(Pipeline_tbl[[#This Row],[Closed_Date]],Dim_Date!A:A,Dim_Date!H:H)))</f>
        <v>Apr 2025</v>
      </c>
      <c r="U2763">
        <f>IF(Pipeline_tbl[[#This Row],[Closed_Date]]=0,"",Pipeline_tbl[[#This Row],[Closed_Date]]-Pipeline_tbl[[#This Row],[Created_Date]])</f>
        <v>19</v>
      </c>
    </row>
    <row r="2764" spans="1:21" ht="15" customHeight="1" x14ac:dyDescent="0.2">
      <c r="A2764" t="s">
        <v>3070</v>
      </c>
      <c r="B2764" t="s">
        <v>235</v>
      </c>
      <c r="C2764" t="s">
        <v>53</v>
      </c>
      <c r="D2764" s="49">
        <v>45745</v>
      </c>
      <c r="E2764" s="49">
        <v>45747</v>
      </c>
      <c r="F2764" s="49">
        <v>45753</v>
      </c>
      <c r="I2764" s="49">
        <v>45770</v>
      </c>
      <c r="J2764" t="s">
        <v>49</v>
      </c>
      <c r="K2764" s="33">
        <v>2500</v>
      </c>
      <c r="L2764" t="s">
        <v>61</v>
      </c>
      <c r="M2764" t="str">
        <f>_xlfn.XLOOKUP(Pipeline_tbl[[#This Row],[Rep_ID]],Dim_Reps!A:A,Dim_Reps!K:K)</f>
        <v>MXN</v>
      </c>
      <c r="N2764" s="33">
        <f>(_xlfn.XLOOKUP(Pipeline_tbl[[#This Row],[Rate_Code_Generalized]],Lookups!A:A,Lookups!B:B))*Pipeline_tbl[[#This Row],[Pipeline_Amount_USD]]</f>
        <v>49331.75</v>
      </c>
      <c r="O2764" t="str">
        <f>_xlfn.XLOOKUP(Pipeline_tbl[[#This Row],[Rep_ID]],Dim_Reps!A:A,Dim_Reps!B:B)</f>
        <v>Milo Castro</v>
      </c>
      <c r="P2764" t="str">
        <f>_xlfn.XLOOKUP(Pipeline_tbl[[#This Row],[Rep_ID]],Dim_Reps!A:A,Dim_Reps!C:C)</f>
        <v>SDR / Inside Sales Rep</v>
      </c>
      <c r="Q2764" t="str">
        <f>_xlfn.XLOOKUP(Pipeline_tbl[[#This Row],[Rep_ID]],Dim_Reps!A:A,Dim_Reps!D:D)</f>
        <v>Inside Sales</v>
      </c>
      <c r="R2764" t="str">
        <f>_xlfn.XLOOKUP(Pipeline_tbl[[#This Row],[Rep_ID]],Dim_Reps!A:A,Dim_Reps!E:E)</f>
        <v>LATAM</v>
      </c>
      <c r="S2764" t="str">
        <f>_xlfn.XLOOKUP(Pipeline_tbl[[#This Row],[Created_Date]],Dim_Date!A:A,Dim_Date!H:H)</f>
        <v>Mar 2025</v>
      </c>
      <c r="T2764" t="str">
        <f>IF(Pipeline_tbl[[#This Row],[Closed_Date]]=0,"",(_xlfn.XLOOKUP(Pipeline_tbl[[#This Row],[Closed_Date]],Dim_Date!A:A,Dim_Date!H:H)))</f>
        <v>Apr 2025</v>
      </c>
      <c r="U2764">
        <f>IF(Pipeline_tbl[[#This Row],[Closed_Date]]=0,"",Pipeline_tbl[[#This Row],[Closed_Date]]-Pipeline_tbl[[#This Row],[Created_Date]])</f>
        <v>25</v>
      </c>
    </row>
    <row r="2765" spans="1:21" ht="15" customHeight="1" x14ac:dyDescent="0.2">
      <c r="A2765" t="s">
        <v>3071</v>
      </c>
      <c r="B2765" t="s">
        <v>235</v>
      </c>
      <c r="C2765" t="s">
        <v>52</v>
      </c>
      <c r="D2765" s="49">
        <v>45737</v>
      </c>
      <c r="E2765" s="49">
        <v>45739</v>
      </c>
      <c r="F2765" s="49">
        <v>45744</v>
      </c>
      <c r="G2765" s="49">
        <v>45751</v>
      </c>
      <c r="I2765" s="49">
        <v>45761</v>
      </c>
      <c r="J2765" t="s">
        <v>49</v>
      </c>
      <c r="K2765" s="33">
        <v>4900</v>
      </c>
      <c r="L2765" t="s">
        <v>60</v>
      </c>
      <c r="M2765" t="str">
        <f>_xlfn.XLOOKUP(Pipeline_tbl[[#This Row],[Rep_ID]],Dim_Reps!A:A,Dim_Reps!K:K)</f>
        <v>MXN</v>
      </c>
      <c r="N2765" s="33">
        <f>(_xlfn.XLOOKUP(Pipeline_tbl[[#This Row],[Rate_Code_Generalized]],Lookups!A:A,Lookups!B:B))*Pipeline_tbl[[#This Row],[Pipeline_Amount_USD]]</f>
        <v>96690.23000000001</v>
      </c>
      <c r="O2765" t="str">
        <f>_xlfn.XLOOKUP(Pipeline_tbl[[#This Row],[Rep_ID]],Dim_Reps!A:A,Dim_Reps!B:B)</f>
        <v>Milo Castro</v>
      </c>
      <c r="P2765" t="str">
        <f>_xlfn.XLOOKUP(Pipeline_tbl[[#This Row],[Rep_ID]],Dim_Reps!A:A,Dim_Reps!C:C)</f>
        <v>SDR / Inside Sales Rep</v>
      </c>
      <c r="Q2765" t="str">
        <f>_xlfn.XLOOKUP(Pipeline_tbl[[#This Row],[Rep_ID]],Dim_Reps!A:A,Dim_Reps!D:D)</f>
        <v>Inside Sales</v>
      </c>
      <c r="R2765" t="str">
        <f>_xlfn.XLOOKUP(Pipeline_tbl[[#This Row],[Rep_ID]],Dim_Reps!A:A,Dim_Reps!E:E)</f>
        <v>LATAM</v>
      </c>
      <c r="S2765" t="str">
        <f>_xlfn.XLOOKUP(Pipeline_tbl[[#This Row],[Created_Date]],Dim_Date!A:A,Dim_Date!H:H)</f>
        <v>Mar 2025</v>
      </c>
      <c r="T2765" t="str">
        <f>IF(Pipeline_tbl[[#This Row],[Closed_Date]]=0,"",(_xlfn.XLOOKUP(Pipeline_tbl[[#This Row],[Closed_Date]],Dim_Date!A:A,Dim_Date!H:H)))</f>
        <v>Apr 2025</v>
      </c>
      <c r="U2765">
        <f>IF(Pipeline_tbl[[#This Row],[Closed_Date]]=0,"",Pipeline_tbl[[#This Row],[Closed_Date]]-Pipeline_tbl[[#This Row],[Created_Date]])</f>
        <v>24</v>
      </c>
    </row>
    <row r="2766" spans="1:21" ht="15" customHeight="1" x14ac:dyDescent="0.2">
      <c r="A2766" t="s">
        <v>3072</v>
      </c>
      <c r="B2766" t="s">
        <v>235</v>
      </c>
      <c r="C2766" t="s">
        <v>53</v>
      </c>
      <c r="D2766" s="49">
        <v>45724</v>
      </c>
      <c r="E2766" s="49">
        <v>45726</v>
      </c>
      <c r="F2766" s="49">
        <v>45732</v>
      </c>
      <c r="G2766" s="49">
        <v>45739</v>
      </c>
      <c r="H2766" s="49">
        <v>45745</v>
      </c>
      <c r="I2766" s="49">
        <v>45749</v>
      </c>
      <c r="J2766" t="s">
        <v>47</v>
      </c>
      <c r="K2766" s="33">
        <v>6100</v>
      </c>
      <c r="M2766" t="str">
        <f>_xlfn.XLOOKUP(Pipeline_tbl[[#This Row],[Rep_ID]],Dim_Reps!A:A,Dim_Reps!K:K)</f>
        <v>MXN</v>
      </c>
      <c r="N2766" s="33">
        <f>(_xlfn.XLOOKUP(Pipeline_tbl[[#This Row],[Rate_Code_Generalized]],Lookups!A:A,Lookups!B:B))*Pipeline_tbl[[#This Row],[Pipeline_Amount_USD]]</f>
        <v>120369.47</v>
      </c>
      <c r="O2766" t="str">
        <f>_xlfn.XLOOKUP(Pipeline_tbl[[#This Row],[Rep_ID]],Dim_Reps!A:A,Dim_Reps!B:B)</f>
        <v>Milo Castro</v>
      </c>
      <c r="P2766" t="str">
        <f>_xlfn.XLOOKUP(Pipeline_tbl[[#This Row],[Rep_ID]],Dim_Reps!A:A,Dim_Reps!C:C)</f>
        <v>SDR / Inside Sales Rep</v>
      </c>
      <c r="Q2766" t="str">
        <f>_xlfn.XLOOKUP(Pipeline_tbl[[#This Row],[Rep_ID]],Dim_Reps!A:A,Dim_Reps!D:D)</f>
        <v>Inside Sales</v>
      </c>
      <c r="R2766" t="str">
        <f>_xlfn.XLOOKUP(Pipeline_tbl[[#This Row],[Rep_ID]],Dim_Reps!A:A,Dim_Reps!E:E)</f>
        <v>LATAM</v>
      </c>
      <c r="S2766" t="str">
        <f>_xlfn.XLOOKUP(Pipeline_tbl[[#This Row],[Created_Date]],Dim_Date!A:A,Dim_Date!H:H)</f>
        <v>Mar 2025</v>
      </c>
      <c r="T2766" t="str">
        <f>IF(Pipeline_tbl[[#This Row],[Closed_Date]]=0,"",(_xlfn.XLOOKUP(Pipeline_tbl[[#This Row],[Closed_Date]],Dim_Date!A:A,Dim_Date!H:H)))</f>
        <v>Apr 2025</v>
      </c>
      <c r="U2766">
        <f>IF(Pipeline_tbl[[#This Row],[Closed_Date]]=0,"",Pipeline_tbl[[#This Row],[Closed_Date]]-Pipeline_tbl[[#This Row],[Created_Date]])</f>
        <v>25</v>
      </c>
    </row>
    <row r="2767" spans="1:21" ht="15" customHeight="1" x14ac:dyDescent="0.2">
      <c r="A2767" t="s">
        <v>3073</v>
      </c>
      <c r="B2767" t="s">
        <v>235</v>
      </c>
      <c r="C2767" t="s">
        <v>52</v>
      </c>
      <c r="D2767" s="49">
        <v>45728</v>
      </c>
      <c r="E2767" s="49">
        <v>45730</v>
      </c>
      <c r="F2767" s="49">
        <v>45735</v>
      </c>
      <c r="I2767" s="49">
        <v>45750</v>
      </c>
      <c r="J2767" t="s">
        <v>49</v>
      </c>
      <c r="K2767" s="33">
        <v>2700</v>
      </c>
      <c r="L2767" t="s">
        <v>62</v>
      </c>
      <c r="M2767" t="str">
        <f>_xlfn.XLOOKUP(Pipeline_tbl[[#This Row],[Rep_ID]],Dim_Reps!A:A,Dim_Reps!K:K)</f>
        <v>MXN</v>
      </c>
      <c r="N2767" s="33">
        <f>(_xlfn.XLOOKUP(Pipeline_tbl[[#This Row],[Rate_Code_Generalized]],Lookups!A:A,Lookups!B:B))*Pipeline_tbl[[#This Row],[Pipeline_Amount_USD]]</f>
        <v>53278.29</v>
      </c>
      <c r="O2767" t="str">
        <f>_xlfn.XLOOKUP(Pipeline_tbl[[#This Row],[Rep_ID]],Dim_Reps!A:A,Dim_Reps!B:B)</f>
        <v>Milo Castro</v>
      </c>
      <c r="P2767" t="str">
        <f>_xlfn.XLOOKUP(Pipeline_tbl[[#This Row],[Rep_ID]],Dim_Reps!A:A,Dim_Reps!C:C)</f>
        <v>SDR / Inside Sales Rep</v>
      </c>
      <c r="Q2767" t="str">
        <f>_xlfn.XLOOKUP(Pipeline_tbl[[#This Row],[Rep_ID]],Dim_Reps!A:A,Dim_Reps!D:D)</f>
        <v>Inside Sales</v>
      </c>
      <c r="R2767" t="str">
        <f>_xlfn.XLOOKUP(Pipeline_tbl[[#This Row],[Rep_ID]],Dim_Reps!A:A,Dim_Reps!E:E)</f>
        <v>LATAM</v>
      </c>
      <c r="S2767" t="str">
        <f>_xlfn.XLOOKUP(Pipeline_tbl[[#This Row],[Created_Date]],Dim_Date!A:A,Dim_Date!H:H)</f>
        <v>Mar 2025</v>
      </c>
      <c r="T2767" t="str">
        <f>IF(Pipeline_tbl[[#This Row],[Closed_Date]]=0,"",(_xlfn.XLOOKUP(Pipeline_tbl[[#This Row],[Closed_Date]],Dim_Date!A:A,Dim_Date!H:H)))</f>
        <v>Apr 2025</v>
      </c>
      <c r="U2767">
        <f>IF(Pipeline_tbl[[#This Row],[Closed_Date]]=0,"",Pipeline_tbl[[#This Row],[Closed_Date]]-Pipeline_tbl[[#This Row],[Created_Date]])</f>
        <v>22</v>
      </c>
    </row>
    <row r="2768" spans="1:21" ht="15" customHeight="1" x14ac:dyDescent="0.2">
      <c r="A2768" t="s">
        <v>3074</v>
      </c>
      <c r="B2768" t="s">
        <v>235</v>
      </c>
      <c r="C2768" t="s">
        <v>53</v>
      </c>
      <c r="D2768" s="49">
        <v>45740</v>
      </c>
      <c r="E2768" s="49">
        <v>45742</v>
      </c>
      <c r="F2768" s="49">
        <v>45746</v>
      </c>
      <c r="G2768" s="49">
        <v>45752</v>
      </c>
      <c r="H2768" s="49">
        <v>45757</v>
      </c>
      <c r="I2768" s="49">
        <v>45760</v>
      </c>
      <c r="J2768" t="s">
        <v>47</v>
      </c>
      <c r="K2768" s="33">
        <v>3000</v>
      </c>
      <c r="M2768" t="str">
        <f>_xlfn.XLOOKUP(Pipeline_tbl[[#This Row],[Rep_ID]],Dim_Reps!A:A,Dim_Reps!K:K)</f>
        <v>MXN</v>
      </c>
      <c r="N2768" s="33">
        <f>(_xlfn.XLOOKUP(Pipeline_tbl[[#This Row],[Rate_Code_Generalized]],Lookups!A:A,Lookups!B:B))*Pipeline_tbl[[#This Row],[Pipeline_Amount_USD]]</f>
        <v>59198.100000000006</v>
      </c>
      <c r="O2768" t="str">
        <f>_xlfn.XLOOKUP(Pipeline_tbl[[#This Row],[Rep_ID]],Dim_Reps!A:A,Dim_Reps!B:B)</f>
        <v>Milo Castro</v>
      </c>
      <c r="P2768" t="str">
        <f>_xlfn.XLOOKUP(Pipeline_tbl[[#This Row],[Rep_ID]],Dim_Reps!A:A,Dim_Reps!C:C)</f>
        <v>SDR / Inside Sales Rep</v>
      </c>
      <c r="Q2768" t="str">
        <f>_xlfn.XLOOKUP(Pipeline_tbl[[#This Row],[Rep_ID]],Dim_Reps!A:A,Dim_Reps!D:D)</f>
        <v>Inside Sales</v>
      </c>
      <c r="R2768" t="str">
        <f>_xlfn.XLOOKUP(Pipeline_tbl[[#This Row],[Rep_ID]],Dim_Reps!A:A,Dim_Reps!E:E)</f>
        <v>LATAM</v>
      </c>
      <c r="S2768" t="str">
        <f>_xlfn.XLOOKUP(Pipeline_tbl[[#This Row],[Created_Date]],Dim_Date!A:A,Dim_Date!H:H)</f>
        <v>Mar 2025</v>
      </c>
      <c r="T2768" t="str">
        <f>IF(Pipeline_tbl[[#This Row],[Closed_Date]]=0,"",(_xlfn.XLOOKUP(Pipeline_tbl[[#This Row],[Closed_Date]],Dim_Date!A:A,Dim_Date!H:H)))</f>
        <v>Apr 2025</v>
      </c>
      <c r="U2768">
        <f>IF(Pipeline_tbl[[#This Row],[Closed_Date]]=0,"",Pipeline_tbl[[#This Row],[Closed_Date]]-Pipeline_tbl[[#This Row],[Created_Date]])</f>
        <v>20</v>
      </c>
    </row>
    <row r="2769" spans="1:21" ht="15" customHeight="1" x14ac:dyDescent="0.2">
      <c r="A2769" t="s">
        <v>3075</v>
      </c>
      <c r="B2769" t="s">
        <v>237</v>
      </c>
      <c r="C2769" t="s">
        <v>56</v>
      </c>
      <c r="D2769" s="49">
        <v>45747</v>
      </c>
      <c r="E2769" s="49">
        <v>45749</v>
      </c>
      <c r="F2769" s="49">
        <v>45753</v>
      </c>
      <c r="G2769" s="49">
        <v>45758</v>
      </c>
      <c r="H2769" s="49">
        <v>45763</v>
      </c>
      <c r="I2769" s="49">
        <v>45766</v>
      </c>
      <c r="J2769" t="s">
        <v>47</v>
      </c>
      <c r="K2769" s="33">
        <v>5600</v>
      </c>
      <c r="M2769" t="str">
        <f>_xlfn.XLOOKUP(Pipeline_tbl[[#This Row],[Rep_ID]],Dim_Reps!A:A,Dim_Reps!K:K)</f>
        <v>EUR</v>
      </c>
      <c r="N2769" s="33">
        <f>(_xlfn.XLOOKUP(Pipeline_tbl[[#This Row],[Rate_Code_Generalized]],Lookups!A:A,Lookups!B:B))*Pipeline_tbl[[#This Row],[Pipeline_Amount_USD]]</f>
        <v>5600</v>
      </c>
      <c r="O2769" t="str">
        <f>_xlfn.XLOOKUP(Pipeline_tbl[[#This Row],[Rep_ID]],Dim_Reps!A:A,Dim_Reps!B:B)</f>
        <v>Hugo Santos</v>
      </c>
      <c r="P2769" t="str">
        <f>_xlfn.XLOOKUP(Pipeline_tbl[[#This Row],[Rep_ID]],Dim_Reps!A:A,Dim_Reps!C:C)</f>
        <v>SDR / Inside Sales Rep</v>
      </c>
      <c r="Q2769" t="str">
        <f>_xlfn.XLOOKUP(Pipeline_tbl[[#This Row],[Rep_ID]],Dim_Reps!A:A,Dim_Reps!D:D)</f>
        <v>Inside Sales</v>
      </c>
      <c r="R2769" t="str">
        <f>_xlfn.XLOOKUP(Pipeline_tbl[[#This Row],[Rep_ID]],Dim_Reps!A:A,Dim_Reps!E:E)</f>
        <v>EMEA</v>
      </c>
      <c r="S2769" t="str">
        <f>_xlfn.XLOOKUP(Pipeline_tbl[[#This Row],[Created_Date]],Dim_Date!A:A,Dim_Date!H:H)</f>
        <v>Mar 2025</v>
      </c>
      <c r="T2769" t="str">
        <f>IF(Pipeline_tbl[[#This Row],[Closed_Date]]=0,"",(_xlfn.XLOOKUP(Pipeline_tbl[[#This Row],[Closed_Date]],Dim_Date!A:A,Dim_Date!H:H)))</f>
        <v>Apr 2025</v>
      </c>
      <c r="U2769">
        <f>IF(Pipeline_tbl[[#This Row],[Closed_Date]]=0,"",Pipeline_tbl[[#This Row],[Closed_Date]]-Pipeline_tbl[[#This Row],[Created_Date]])</f>
        <v>19</v>
      </c>
    </row>
    <row r="2770" spans="1:21" ht="15" customHeight="1" x14ac:dyDescent="0.2">
      <c r="A2770" t="s">
        <v>3076</v>
      </c>
      <c r="B2770" t="s">
        <v>269</v>
      </c>
      <c r="C2770" t="s">
        <v>52</v>
      </c>
      <c r="D2770" s="49">
        <v>45734</v>
      </c>
      <c r="E2770" s="49">
        <v>45737</v>
      </c>
      <c r="F2770" s="49">
        <v>45742</v>
      </c>
      <c r="G2770" s="49">
        <v>45751</v>
      </c>
      <c r="H2770" s="49">
        <v>45758</v>
      </c>
      <c r="I2770" s="49">
        <v>45762</v>
      </c>
      <c r="J2770" t="s">
        <v>47</v>
      </c>
      <c r="K2770" s="33">
        <v>12700</v>
      </c>
      <c r="M2770" t="str">
        <f>_xlfn.XLOOKUP(Pipeline_tbl[[#This Row],[Rep_ID]],Dim_Reps!A:A,Dim_Reps!K:K)</f>
        <v>USD</v>
      </c>
      <c r="N2770" s="33">
        <f>(_xlfn.XLOOKUP(Pipeline_tbl[[#This Row],[Rate_Code_Generalized]],Lookups!A:A,Lookups!B:B))*Pipeline_tbl[[#This Row],[Pipeline_Amount_USD]]</f>
        <v>14786.609999999999</v>
      </c>
      <c r="O2770" t="str">
        <f>_xlfn.XLOOKUP(Pipeline_tbl[[#This Row],[Rep_ID]],Dim_Reps!A:A,Dim_Reps!B:B)</f>
        <v>Morgan Rivera</v>
      </c>
      <c r="P2770" t="str">
        <f>_xlfn.XLOOKUP(Pipeline_tbl[[#This Row],[Rep_ID]],Dim_Reps!A:A,Dim_Reps!C:C)</f>
        <v>Mid-Market AE</v>
      </c>
      <c r="Q2770" t="str">
        <f>_xlfn.XLOOKUP(Pipeline_tbl[[#This Row],[Rep_ID]],Dim_Reps!A:A,Dim_Reps!D:D)</f>
        <v>Mid-Market</v>
      </c>
      <c r="R2770" t="str">
        <f>_xlfn.XLOOKUP(Pipeline_tbl[[#This Row],[Rep_ID]],Dim_Reps!A:A,Dim_Reps!E:E)</f>
        <v>NAMER</v>
      </c>
      <c r="S2770" t="str">
        <f>_xlfn.XLOOKUP(Pipeline_tbl[[#This Row],[Created_Date]],Dim_Date!A:A,Dim_Date!H:H)</f>
        <v>Mar 2025</v>
      </c>
      <c r="T2770" t="str">
        <f>IF(Pipeline_tbl[[#This Row],[Closed_Date]]=0,"",(_xlfn.XLOOKUP(Pipeline_tbl[[#This Row],[Closed_Date]],Dim_Date!A:A,Dim_Date!H:H)))</f>
        <v>Apr 2025</v>
      </c>
      <c r="U2770">
        <f>IF(Pipeline_tbl[[#This Row],[Closed_Date]]=0,"",Pipeline_tbl[[#This Row],[Closed_Date]]-Pipeline_tbl[[#This Row],[Created_Date]])</f>
        <v>28</v>
      </c>
    </row>
    <row r="2771" spans="1:21" ht="15" customHeight="1" x14ac:dyDescent="0.2">
      <c r="A2771" t="s">
        <v>3077</v>
      </c>
      <c r="B2771" t="s">
        <v>269</v>
      </c>
      <c r="C2771" t="s">
        <v>52</v>
      </c>
      <c r="D2771" s="49">
        <v>45733</v>
      </c>
      <c r="E2771" s="49">
        <v>45737</v>
      </c>
      <c r="F2771" s="49">
        <v>45744</v>
      </c>
      <c r="G2771" s="49">
        <v>45756</v>
      </c>
      <c r="H2771" s="49">
        <v>45765</v>
      </c>
      <c r="I2771" s="49">
        <v>45771</v>
      </c>
      <c r="J2771" t="s">
        <v>47</v>
      </c>
      <c r="K2771" s="33">
        <v>16500</v>
      </c>
      <c r="M2771" t="str">
        <f>_xlfn.XLOOKUP(Pipeline_tbl[[#This Row],[Rep_ID]],Dim_Reps!A:A,Dim_Reps!K:K)</f>
        <v>USD</v>
      </c>
      <c r="N2771" s="33">
        <f>(_xlfn.XLOOKUP(Pipeline_tbl[[#This Row],[Rate_Code_Generalized]],Lookups!A:A,Lookups!B:B))*Pipeline_tbl[[#This Row],[Pipeline_Amount_USD]]</f>
        <v>19210.949999999997</v>
      </c>
      <c r="O2771" t="str">
        <f>_xlfn.XLOOKUP(Pipeline_tbl[[#This Row],[Rep_ID]],Dim_Reps!A:A,Dim_Reps!B:B)</f>
        <v>Morgan Rivera</v>
      </c>
      <c r="P2771" t="str">
        <f>_xlfn.XLOOKUP(Pipeline_tbl[[#This Row],[Rep_ID]],Dim_Reps!A:A,Dim_Reps!C:C)</f>
        <v>Mid-Market AE</v>
      </c>
      <c r="Q2771" t="str">
        <f>_xlfn.XLOOKUP(Pipeline_tbl[[#This Row],[Rep_ID]],Dim_Reps!A:A,Dim_Reps!D:D)</f>
        <v>Mid-Market</v>
      </c>
      <c r="R2771" t="str">
        <f>_xlfn.XLOOKUP(Pipeline_tbl[[#This Row],[Rep_ID]],Dim_Reps!A:A,Dim_Reps!E:E)</f>
        <v>NAMER</v>
      </c>
      <c r="S2771" t="str">
        <f>_xlfn.XLOOKUP(Pipeline_tbl[[#This Row],[Created_Date]],Dim_Date!A:A,Dim_Date!H:H)</f>
        <v>Mar 2025</v>
      </c>
      <c r="T2771" t="str">
        <f>IF(Pipeline_tbl[[#This Row],[Closed_Date]]=0,"",(_xlfn.XLOOKUP(Pipeline_tbl[[#This Row],[Closed_Date]],Dim_Date!A:A,Dim_Date!H:H)))</f>
        <v>Apr 2025</v>
      </c>
      <c r="U2771">
        <f>IF(Pipeline_tbl[[#This Row],[Closed_Date]]=0,"",Pipeline_tbl[[#This Row],[Closed_Date]]-Pipeline_tbl[[#This Row],[Created_Date]])</f>
        <v>38</v>
      </c>
    </row>
    <row r="2772" spans="1:21" ht="15" customHeight="1" x14ac:dyDescent="0.2">
      <c r="A2772" t="s">
        <v>3078</v>
      </c>
      <c r="B2772" t="s">
        <v>269</v>
      </c>
      <c r="C2772" t="s">
        <v>55</v>
      </c>
      <c r="D2772" s="49">
        <v>45720</v>
      </c>
      <c r="E2772" s="49">
        <v>45723</v>
      </c>
      <c r="F2772" s="49">
        <v>45729</v>
      </c>
      <c r="G2772" s="49">
        <v>45737</v>
      </c>
      <c r="H2772" s="49">
        <v>45745</v>
      </c>
      <c r="I2772" s="49">
        <v>45749</v>
      </c>
      <c r="J2772" t="s">
        <v>49</v>
      </c>
      <c r="K2772" s="33">
        <v>10600</v>
      </c>
      <c r="L2772" t="s">
        <v>60</v>
      </c>
      <c r="M2772" t="str">
        <f>_xlfn.XLOOKUP(Pipeline_tbl[[#This Row],[Rep_ID]],Dim_Reps!A:A,Dim_Reps!K:K)</f>
        <v>USD</v>
      </c>
      <c r="N2772" s="33">
        <f>(_xlfn.XLOOKUP(Pipeline_tbl[[#This Row],[Rate_Code_Generalized]],Lookups!A:A,Lookups!B:B))*Pipeline_tbl[[#This Row],[Pipeline_Amount_USD]]</f>
        <v>12341.579999999998</v>
      </c>
      <c r="O2772" t="str">
        <f>_xlfn.XLOOKUP(Pipeline_tbl[[#This Row],[Rep_ID]],Dim_Reps!A:A,Dim_Reps!B:B)</f>
        <v>Morgan Rivera</v>
      </c>
      <c r="P2772" t="str">
        <f>_xlfn.XLOOKUP(Pipeline_tbl[[#This Row],[Rep_ID]],Dim_Reps!A:A,Dim_Reps!C:C)</f>
        <v>Mid-Market AE</v>
      </c>
      <c r="Q2772" t="str">
        <f>_xlfn.XLOOKUP(Pipeline_tbl[[#This Row],[Rep_ID]],Dim_Reps!A:A,Dim_Reps!D:D)</f>
        <v>Mid-Market</v>
      </c>
      <c r="R2772" t="str">
        <f>_xlfn.XLOOKUP(Pipeline_tbl[[#This Row],[Rep_ID]],Dim_Reps!A:A,Dim_Reps!E:E)</f>
        <v>NAMER</v>
      </c>
      <c r="S2772" t="str">
        <f>_xlfn.XLOOKUP(Pipeline_tbl[[#This Row],[Created_Date]],Dim_Date!A:A,Dim_Date!H:H)</f>
        <v>Mar 2025</v>
      </c>
      <c r="T2772" t="str">
        <f>IF(Pipeline_tbl[[#This Row],[Closed_Date]]=0,"",(_xlfn.XLOOKUP(Pipeline_tbl[[#This Row],[Closed_Date]],Dim_Date!A:A,Dim_Date!H:H)))</f>
        <v>Apr 2025</v>
      </c>
      <c r="U2772">
        <f>IF(Pipeline_tbl[[#This Row],[Closed_Date]]=0,"",Pipeline_tbl[[#This Row],[Closed_Date]]-Pipeline_tbl[[#This Row],[Created_Date]])</f>
        <v>29</v>
      </c>
    </row>
    <row r="2773" spans="1:21" ht="15" customHeight="1" x14ac:dyDescent="0.2">
      <c r="A2773" t="s">
        <v>3079</v>
      </c>
      <c r="B2773" t="s">
        <v>271</v>
      </c>
      <c r="C2773" t="s">
        <v>52</v>
      </c>
      <c r="D2773" s="49">
        <v>45733</v>
      </c>
      <c r="E2773" s="49">
        <v>45736</v>
      </c>
      <c r="F2773" s="49">
        <v>45743</v>
      </c>
      <c r="G2773" s="49">
        <v>45752</v>
      </c>
      <c r="I2773" s="49">
        <v>45765</v>
      </c>
      <c r="J2773" t="s">
        <v>49</v>
      </c>
      <c r="K2773" s="33">
        <v>9800</v>
      </c>
      <c r="L2773" t="s">
        <v>64</v>
      </c>
      <c r="M2773" t="str">
        <f>_xlfn.XLOOKUP(Pipeline_tbl[[#This Row],[Rep_ID]],Dim_Reps!A:A,Dim_Reps!K:K)</f>
        <v>EUR</v>
      </c>
      <c r="N2773" s="33">
        <f>(_xlfn.XLOOKUP(Pipeline_tbl[[#This Row],[Rate_Code_Generalized]],Lookups!A:A,Lookups!B:B))*Pipeline_tbl[[#This Row],[Pipeline_Amount_USD]]</f>
        <v>9800</v>
      </c>
      <c r="O2773" t="str">
        <f>_xlfn.XLOOKUP(Pipeline_tbl[[#This Row],[Rep_ID]],Dim_Reps!A:A,Dim_Reps!B:B)</f>
        <v>Ivy Adler</v>
      </c>
      <c r="P2773" t="str">
        <f>_xlfn.XLOOKUP(Pipeline_tbl[[#This Row],[Rep_ID]],Dim_Reps!A:A,Dim_Reps!C:C)</f>
        <v>Mid-Market AE</v>
      </c>
      <c r="Q2773" t="str">
        <f>_xlfn.XLOOKUP(Pipeline_tbl[[#This Row],[Rep_ID]],Dim_Reps!A:A,Dim_Reps!D:D)</f>
        <v>Mid-Market</v>
      </c>
      <c r="R2773" t="str">
        <f>_xlfn.XLOOKUP(Pipeline_tbl[[#This Row],[Rep_ID]],Dim_Reps!A:A,Dim_Reps!E:E)</f>
        <v>APAC</v>
      </c>
      <c r="S2773" t="str">
        <f>_xlfn.XLOOKUP(Pipeline_tbl[[#This Row],[Created_Date]],Dim_Date!A:A,Dim_Date!H:H)</f>
        <v>Mar 2025</v>
      </c>
      <c r="T2773" t="str">
        <f>IF(Pipeline_tbl[[#This Row],[Closed_Date]]=0,"",(_xlfn.XLOOKUP(Pipeline_tbl[[#This Row],[Closed_Date]],Dim_Date!A:A,Dim_Date!H:H)))</f>
        <v>Apr 2025</v>
      </c>
      <c r="U2773">
        <f>IF(Pipeline_tbl[[#This Row],[Closed_Date]]=0,"",Pipeline_tbl[[#This Row],[Closed_Date]]-Pipeline_tbl[[#This Row],[Created_Date]])</f>
        <v>32</v>
      </c>
    </row>
    <row r="2774" spans="1:21" ht="15" customHeight="1" x14ac:dyDescent="0.2">
      <c r="A2774" t="s">
        <v>3080</v>
      </c>
      <c r="B2774" t="s">
        <v>271</v>
      </c>
      <c r="C2774" t="s">
        <v>54</v>
      </c>
      <c r="D2774" s="49">
        <v>45720</v>
      </c>
      <c r="E2774" s="49">
        <v>45723</v>
      </c>
      <c r="I2774" s="49">
        <v>45752</v>
      </c>
      <c r="J2774" t="s">
        <v>49</v>
      </c>
      <c r="K2774" s="33">
        <v>22000</v>
      </c>
      <c r="L2774" t="s">
        <v>64</v>
      </c>
      <c r="M2774" t="str">
        <f>_xlfn.XLOOKUP(Pipeline_tbl[[#This Row],[Rep_ID]],Dim_Reps!A:A,Dim_Reps!K:K)</f>
        <v>EUR</v>
      </c>
      <c r="N2774" s="33">
        <f>(_xlfn.XLOOKUP(Pipeline_tbl[[#This Row],[Rate_Code_Generalized]],Lookups!A:A,Lookups!B:B))*Pipeline_tbl[[#This Row],[Pipeline_Amount_USD]]</f>
        <v>22000</v>
      </c>
      <c r="O2774" t="str">
        <f>_xlfn.XLOOKUP(Pipeline_tbl[[#This Row],[Rep_ID]],Dim_Reps!A:A,Dim_Reps!B:B)</f>
        <v>Ivy Adler</v>
      </c>
      <c r="P2774" t="str">
        <f>_xlfn.XLOOKUP(Pipeline_tbl[[#This Row],[Rep_ID]],Dim_Reps!A:A,Dim_Reps!C:C)</f>
        <v>Mid-Market AE</v>
      </c>
      <c r="Q2774" t="str">
        <f>_xlfn.XLOOKUP(Pipeline_tbl[[#This Row],[Rep_ID]],Dim_Reps!A:A,Dim_Reps!D:D)</f>
        <v>Mid-Market</v>
      </c>
      <c r="R2774" t="str">
        <f>_xlfn.XLOOKUP(Pipeline_tbl[[#This Row],[Rep_ID]],Dim_Reps!A:A,Dim_Reps!E:E)</f>
        <v>APAC</v>
      </c>
      <c r="S2774" t="str">
        <f>_xlfn.XLOOKUP(Pipeline_tbl[[#This Row],[Created_Date]],Dim_Date!A:A,Dim_Date!H:H)</f>
        <v>Mar 2025</v>
      </c>
      <c r="T2774" t="str">
        <f>IF(Pipeline_tbl[[#This Row],[Closed_Date]]=0,"",(_xlfn.XLOOKUP(Pipeline_tbl[[#This Row],[Closed_Date]],Dim_Date!A:A,Dim_Date!H:H)))</f>
        <v>Apr 2025</v>
      </c>
      <c r="U2774">
        <f>IF(Pipeline_tbl[[#This Row],[Closed_Date]]=0,"",Pipeline_tbl[[#This Row],[Closed_Date]]-Pipeline_tbl[[#This Row],[Created_Date]])</f>
        <v>32</v>
      </c>
    </row>
    <row r="2775" spans="1:21" ht="15" customHeight="1" x14ac:dyDescent="0.2">
      <c r="A2775" t="s">
        <v>3081</v>
      </c>
      <c r="B2775" t="s">
        <v>271</v>
      </c>
      <c r="C2775" t="s">
        <v>53</v>
      </c>
      <c r="D2775" s="49">
        <v>45721</v>
      </c>
      <c r="E2775" s="49">
        <v>45725</v>
      </c>
      <c r="F2775" s="49">
        <v>45732</v>
      </c>
      <c r="G2775" s="49">
        <v>45742</v>
      </c>
      <c r="H2775" s="49">
        <v>45751</v>
      </c>
      <c r="I2775" s="49">
        <v>45756</v>
      </c>
      <c r="J2775" t="s">
        <v>47</v>
      </c>
      <c r="K2775" s="33">
        <v>8500</v>
      </c>
      <c r="M2775" t="str">
        <f>_xlfn.XLOOKUP(Pipeline_tbl[[#This Row],[Rep_ID]],Dim_Reps!A:A,Dim_Reps!K:K)</f>
        <v>EUR</v>
      </c>
      <c r="N2775" s="33">
        <f>(_xlfn.XLOOKUP(Pipeline_tbl[[#This Row],[Rate_Code_Generalized]],Lookups!A:A,Lookups!B:B))*Pipeline_tbl[[#This Row],[Pipeline_Amount_USD]]</f>
        <v>8500</v>
      </c>
      <c r="O2775" t="str">
        <f>_xlfn.XLOOKUP(Pipeline_tbl[[#This Row],[Rep_ID]],Dim_Reps!A:A,Dim_Reps!B:B)</f>
        <v>Ivy Adler</v>
      </c>
      <c r="P2775" t="str">
        <f>_xlfn.XLOOKUP(Pipeline_tbl[[#This Row],[Rep_ID]],Dim_Reps!A:A,Dim_Reps!C:C)</f>
        <v>Mid-Market AE</v>
      </c>
      <c r="Q2775" t="str">
        <f>_xlfn.XLOOKUP(Pipeline_tbl[[#This Row],[Rep_ID]],Dim_Reps!A:A,Dim_Reps!D:D)</f>
        <v>Mid-Market</v>
      </c>
      <c r="R2775" t="str">
        <f>_xlfn.XLOOKUP(Pipeline_tbl[[#This Row],[Rep_ID]],Dim_Reps!A:A,Dim_Reps!E:E)</f>
        <v>APAC</v>
      </c>
      <c r="S2775" t="str">
        <f>_xlfn.XLOOKUP(Pipeline_tbl[[#This Row],[Created_Date]],Dim_Date!A:A,Dim_Date!H:H)</f>
        <v>Mar 2025</v>
      </c>
      <c r="T2775" t="str">
        <f>IF(Pipeline_tbl[[#This Row],[Closed_Date]]=0,"",(_xlfn.XLOOKUP(Pipeline_tbl[[#This Row],[Closed_Date]],Dim_Date!A:A,Dim_Date!H:H)))</f>
        <v>Apr 2025</v>
      </c>
      <c r="U2775">
        <f>IF(Pipeline_tbl[[#This Row],[Closed_Date]]=0,"",Pipeline_tbl[[#This Row],[Closed_Date]]-Pipeline_tbl[[#This Row],[Created_Date]])</f>
        <v>35</v>
      </c>
    </row>
    <row r="2776" spans="1:21" ht="15" customHeight="1" x14ac:dyDescent="0.2">
      <c r="A2776" t="s">
        <v>3082</v>
      </c>
      <c r="B2776" t="s">
        <v>273</v>
      </c>
      <c r="C2776" t="s">
        <v>52</v>
      </c>
      <c r="D2776" s="49">
        <v>45725</v>
      </c>
      <c r="E2776" s="49">
        <v>45728</v>
      </c>
      <c r="F2776" s="49">
        <v>45734</v>
      </c>
      <c r="G2776" s="49">
        <v>45743</v>
      </c>
      <c r="H2776" s="49">
        <v>45751</v>
      </c>
      <c r="I2776" s="49">
        <v>45755</v>
      </c>
      <c r="J2776" t="s">
        <v>47</v>
      </c>
      <c r="K2776" s="33">
        <v>15300</v>
      </c>
      <c r="M2776" t="str">
        <f>_xlfn.XLOOKUP(Pipeline_tbl[[#This Row],[Rep_ID]],Dim_Reps!A:A,Dim_Reps!K:K)</f>
        <v>EUR</v>
      </c>
      <c r="N2776" s="33">
        <f>(_xlfn.XLOOKUP(Pipeline_tbl[[#This Row],[Rate_Code_Generalized]],Lookups!A:A,Lookups!B:B))*Pipeline_tbl[[#This Row],[Pipeline_Amount_USD]]</f>
        <v>15300</v>
      </c>
      <c r="O2776" t="str">
        <f>_xlfn.XLOOKUP(Pipeline_tbl[[#This Row],[Rep_ID]],Dim_Reps!A:A,Dim_Reps!B:B)</f>
        <v>Olivia Cohen</v>
      </c>
      <c r="P2776" t="str">
        <f>_xlfn.XLOOKUP(Pipeline_tbl[[#This Row],[Rep_ID]],Dim_Reps!A:A,Dim_Reps!C:C)</f>
        <v>Mid-Market AE</v>
      </c>
      <c r="Q2776" t="str">
        <f>_xlfn.XLOOKUP(Pipeline_tbl[[#This Row],[Rep_ID]],Dim_Reps!A:A,Dim_Reps!D:D)</f>
        <v>Mid-Market</v>
      </c>
      <c r="R2776" t="str">
        <f>_xlfn.XLOOKUP(Pipeline_tbl[[#This Row],[Rep_ID]],Dim_Reps!A:A,Dim_Reps!E:E)</f>
        <v>APAC</v>
      </c>
      <c r="S2776" t="str">
        <f>_xlfn.XLOOKUP(Pipeline_tbl[[#This Row],[Created_Date]],Dim_Date!A:A,Dim_Date!H:H)</f>
        <v>Mar 2025</v>
      </c>
      <c r="T2776" t="str">
        <f>IF(Pipeline_tbl[[#This Row],[Closed_Date]]=0,"",(_xlfn.XLOOKUP(Pipeline_tbl[[#This Row],[Closed_Date]],Dim_Date!A:A,Dim_Date!H:H)))</f>
        <v>Apr 2025</v>
      </c>
      <c r="U2776">
        <f>IF(Pipeline_tbl[[#This Row],[Closed_Date]]=0,"",Pipeline_tbl[[#This Row],[Closed_Date]]-Pipeline_tbl[[#This Row],[Created_Date]])</f>
        <v>30</v>
      </c>
    </row>
    <row r="2777" spans="1:21" ht="15" customHeight="1" x14ac:dyDescent="0.2">
      <c r="A2777" t="s">
        <v>3083</v>
      </c>
      <c r="B2777" t="s">
        <v>273</v>
      </c>
      <c r="C2777" t="s">
        <v>53</v>
      </c>
      <c r="D2777" s="49">
        <v>45717</v>
      </c>
      <c r="E2777" s="49">
        <v>45721</v>
      </c>
      <c r="F2777" s="49">
        <v>45730</v>
      </c>
      <c r="G2777" s="49">
        <v>45742</v>
      </c>
      <c r="H2777" s="49">
        <v>45753</v>
      </c>
      <c r="I2777" s="49">
        <v>45759</v>
      </c>
      <c r="J2777" t="s">
        <v>47</v>
      </c>
      <c r="K2777" s="33">
        <v>14200</v>
      </c>
      <c r="M2777" t="str">
        <f>_xlfn.XLOOKUP(Pipeline_tbl[[#This Row],[Rep_ID]],Dim_Reps!A:A,Dim_Reps!K:K)</f>
        <v>EUR</v>
      </c>
      <c r="N2777" s="33">
        <f>(_xlfn.XLOOKUP(Pipeline_tbl[[#This Row],[Rate_Code_Generalized]],Lookups!A:A,Lookups!B:B))*Pipeline_tbl[[#This Row],[Pipeline_Amount_USD]]</f>
        <v>14200</v>
      </c>
      <c r="O2777" t="str">
        <f>_xlfn.XLOOKUP(Pipeline_tbl[[#This Row],[Rep_ID]],Dim_Reps!A:A,Dim_Reps!B:B)</f>
        <v>Olivia Cohen</v>
      </c>
      <c r="P2777" t="str">
        <f>_xlfn.XLOOKUP(Pipeline_tbl[[#This Row],[Rep_ID]],Dim_Reps!A:A,Dim_Reps!C:C)</f>
        <v>Mid-Market AE</v>
      </c>
      <c r="Q2777" t="str">
        <f>_xlfn.XLOOKUP(Pipeline_tbl[[#This Row],[Rep_ID]],Dim_Reps!A:A,Dim_Reps!D:D)</f>
        <v>Mid-Market</v>
      </c>
      <c r="R2777" t="str">
        <f>_xlfn.XLOOKUP(Pipeline_tbl[[#This Row],[Rep_ID]],Dim_Reps!A:A,Dim_Reps!E:E)</f>
        <v>APAC</v>
      </c>
      <c r="S2777" t="str">
        <f>_xlfn.XLOOKUP(Pipeline_tbl[[#This Row],[Created_Date]],Dim_Date!A:A,Dim_Date!H:H)</f>
        <v>Mar 2025</v>
      </c>
      <c r="T2777" t="str">
        <f>IF(Pipeline_tbl[[#This Row],[Closed_Date]]=0,"",(_xlfn.XLOOKUP(Pipeline_tbl[[#This Row],[Closed_Date]],Dim_Date!A:A,Dim_Date!H:H)))</f>
        <v>Apr 2025</v>
      </c>
      <c r="U2777">
        <f>IF(Pipeline_tbl[[#This Row],[Closed_Date]]=0,"",Pipeline_tbl[[#This Row],[Closed_Date]]-Pipeline_tbl[[#This Row],[Created_Date]])</f>
        <v>42</v>
      </c>
    </row>
    <row r="2778" spans="1:21" ht="15" customHeight="1" x14ac:dyDescent="0.2">
      <c r="A2778" t="s">
        <v>3084</v>
      </c>
      <c r="B2778" t="s">
        <v>273</v>
      </c>
      <c r="C2778" t="s">
        <v>55</v>
      </c>
      <c r="D2778" s="49">
        <v>45727</v>
      </c>
      <c r="E2778" s="49">
        <v>45730</v>
      </c>
      <c r="F2778" s="49">
        <v>45737</v>
      </c>
      <c r="G2778" s="49">
        <v>45747</v>
      </c>
      <c r="I2778" s="49">
        <v>45760</v>
      </c>
      <c r="J2778" t="s">
        <v>49</v>
      </c>
      <c r="K2778" s="33">
        <v>31900</v>
      </c>
      <c r="L2778" t="s">
        <v>63</v>
      </c>
      <c r="M2778" t="str">
        <f>_xlfn.XLOOKUP(Pipeline_tbl[[#This Row],[Rep_ID]],Dim_Reps!A:A,Dim_Reps!K:K)</f>
        <v>EUR</v>
      </c>
      <c r="N2778" s="33">
        <f>(_xlfn.XLOOKUP(Pipeline_tbl[[#This Row],[Rate_Code_Generalized]],Lookups!A:A,Lookups!B:B))*Pipeline_tbl[[#This Row],[Pipeline_Amount_USD]]</f>
        <v>31900</v>
      </c>
      <c r="O2778" t="str">
        <f>_xlfn.XLOOKUP(Pipeline_tbl[[#This Row],[Rep_ID]],Dim_Reps!A:A,Dim_Reps!B:B)</f>
        <v>Olivia Cohen</v>
      </c>
      <c r="P2778" t="str">
        <f>_xlfn.XLOOKUP(Pipeline_tbl[[#This Row],[Rep_ID]],Dim_Reps!A:A,Dim_Reps!C:C)</f>
        <v>Mid-Market AE</v>
      </c>
      <c r="Q2778" t="str">
        <f>_xlfn.XLOOKUP(Pipeline_tbl[[#This Row],[Rep_ID]],Dim_Reps!A:A,Dim_Reps!D:D)</f>
        <v>Mid-Market</v>
      </c>
      <c r="R2778" t="str">
        <f>_xlfn.XLOOKUP(Pipeline_tbl[[#This Row],[Rep_ID]],Dim_Reps!A:A,Dim_Reps!E:E)</f>
        <v>APAC</v>
      </c>
      <c r="S2778" t="str">
        <f>_xlfn.XLOOKUP(Pipeline_tbl[[#This Row],[Created_Date]],Dim_Date!A:A,Dim_Date!H:H)</f>
        <v>Mar 2025</v>
      </c>
      <c r="T2778" t="str">
        <f>IF(Pipeline_tbl[[#This Row],[Closed_Date]]=0,"",(_xlfn.XLOOKUP(Pipeline_tbl[[#This Row],[Closed_Date]],Dim_Date!A:A,Dim_Date!H:H)))</f>
        <v>Apr 2025</v>
      </c>
      <c r="U2778">
        <f>IF(Pipeline_tbl[[#This Row],[Closed_Date]]=0,"",Pipeline_tbl[[#This Row],[Closed_Date]]-Pipeline_tbl[[#This Row],[Created_Date]])</f>
        <v>33</v>
      </c>
    </row>
    <row r="2779" spans="1:21" ht="15" customHeight="1" x14ac:dyDescent="0.2">
      <c r="A2779" t="s">
        <v>3085</v>
      </c>
      <c r="B2779" t="s">
        <v>273</v>
      </c>
      <c r="C2779" t="s">
        <v>52</v>
      </c>
      <c r="D2779" s="49">
        <v>45731</v>
      </c>
      <c r="E2779" s="49">
        <v>45734</v>
      </c>
      <c r="I2779" s="49">
        <v>45757</v>
      </c>
      <c r="J2779" t="s">
        <v>49</v>
      </c>
      <c r="K2779" s="33">
        <v>17600</v>
      </c>
      <c r="L2779" t="s">
        <v>60</v>
      </c>
      <c r="M2779" t="str">
        <f>_xlfn.XLOOKUP(Pipeline_tbl[[#This Row],[Rep_ID]],Dim_Reps!A:A,Dim_Reps!K:K)</f>
        <v>EUR</v>
      </c>
      <c r="N2779" s="33">
        <f>(_xlfn.XLOOKUP(Pipeline_tbl[[#This Row],[Rate_Code_Generalized]],Lookups!A:A,Lookups!B:B))*Pipeline_tbl[[#This Row],[Pipeline_Amount_USD]]</f>
        <v>17600</v>
      </c>
      <c r="O2779" t="str">
        <f>_xlfn.XLOOKUP(Pipeline_tbl[[#This Row],[Rep_ID]],Dim_Reps!A:A,Dim_Reps!B:B)</f>
        <v>Olivia Cohen</v>
      </c>
      <c r="P2779" t="str">
        <f>_xlfn.XLOOKUP(Pipeline_tbl[[#This Row],[Rep_ID]],Dim_Reps!A:A,Dim_Reps!C:C)</f>
        <v>Mid-Market AE</v>
      </c>
      <c r="Q2779" t="str">
        <f>_xlfn.XLOOKUP(Pipeline_tbl[[#This Row],[Rep_ID]],Dim_Reps!A:A,Dim_Reps!D:D)</f>
        <v>Mid-Market</v>
      </c>
      <c r="R2779" t="str">
        <f>_xlfn.XLOOKUP(Pipeline_tbl[[#This Row],[Rep_ID]],Dim_Reps!A:A,Dim_Reps!E:E)</f>
        <v>APAC</v>
      </c>
      <c r="S2779" t="str">
        <f>_xlfn.XLOOKUP(Pipeline_tbl[[#This Row],[Created_Date]],Dim_Date!A:A,Dim_Date!H:H)</f>
        <v>Mar 2025</v>
      </c>
      <c r="T2779" t="str">
        <f>IF(Pipeline_tbl[[#This Row],[Closed_Date]]=0,"",(_xlfn.XLOOKUP(Pipeline_tbl[[#This Row],[Closed_Date]],Dim_Date!A:A,Dim_Date!H:H)))</f>
        <v>Apr 2025</v>
      </c>
      <c r="U2779">
        <f>IF(Pipeline_tbl[[#This Row],[Closed_Date]]=0,"",Pipeline_tbl[[#This Row],[Closed_Date]]-Pipeline_tbl[[#This Row],[Created_Date]])</f>
        <v>26</v>
      </c>
    </row>
    <row r="2780" spans="1:21" ht="15" customHeight="1" x14ac:dyDescent="0.2">
      <c r="A2780" t="s">
        <v>3086</v>
      </c>
      <c r="B2780" t="s">
        <v>273</v>
      </c>
      <c r="C2780" t="s">
        <v>55</v>
      </c>
      <c r="D2780" s="49">
        <v>45739</v>
      </c>
      <c r="E2780" s="49">
        <v>45742</v>
      </c>
      <c r="F2780" s="49">
        <v>45747</v>
      </c>
      <c r="G2780" s="49">
        <v>45755</v>
      </c>
      <c r="H2780" s="49">
        <v>45762</v>
      </c>
      <c r="I2780" s="49">
        <v>45766</v>
      </c>
      <c r="J2780" t="s">
        <v>47</v>
      </c>
      <c r="K2780" s="33">
        <v>6200</v>
      </c>
      <c r="M2780" t="str">
        <f>_xlfn.XLOOKUP(Pipeline_tbl[[#This Row],[Rep_ID]],Dim_Reps!A:A,Dim_Reps!K:K)</f>
        <v>EUR</v>
      </c>
      <c r="N2780" s="33">
        <f>(_xlfn.XLOOKUP(Pipeline_tbl[[#This Row],[Rate_Code_Generalized]],Lookups!A:A,Lookups!B:B))*Pipeline_tbl[[#This Row],[Pipeline_Amount_USD]]</f>
        <v>6200</v>
      </c>
      <c r="O2780" t="str">
        <f>_xlfn.XLOOKUP(Pipeline_tbl[[#This Row],[Rep_ID]],Dim_Reps!A:A,Dim_Reps!B:B)</f>
        <v>Olivia Cohen</v>
      </c>
      <c r="P2780" t="str">
        <f>_xlfn.XLOOKUP(Pipeline_tbl[[#This Row],[Rep_ID]],Dim_Reps!A:A,Dim_Reps!C:C)</f>
        <v>Mid-Market AE</v>
      </c>
      <c r="Q2780" t="str">
        <f>_xlfn.XLOOKUP(Pipeline_tbl[[#This Row],[Rep_ID]],Dim_Reps!A:A,Dim_Reps!D:D)</f>
        <v>Mid-Market</v>
      </c>
      <c r="R2780" t="str">
        <f>_xlfn.XLOOKUP(Pipeline_tbl[[#This Row],[Rep_ID]],Dim_Reps!A:A,Dim_Reps!E:E)</f>
        <v>APAC</v>
      </c>
      <c r="S2780" t="str">
        <f>_xlfn.XLOOKUP(Pipeline_tbl[[#This Row],[Created_Date]],Dim_Date!A:A,Dim_Date!H:H)</f>
        <v>Mar 2025</v>
      </c>
      <c r="T2780" t="str">
        <f>IF(Pipeline_tbl[[#This Row],[Closed_Date]]=0,"",(_xlfn.XLOOKUP(Pipeline_tbl[[#This Row],[Closed_Date]],Dim_Date!A:A,Dim_Date!H:H)))</f>
        <v>Apr 2025</v>
      </c>
      <c r="U2780">
        <f>IF(Pipeline_tbl[[#This Row],[Closed_Date]]=0,"",Pipeline_tbl[[#This Row],[Closed_Date]]-Pipeline_tbl[[#This Row],[Created_Date]])</f>
        <v>27</v>
      </c>
    </row>
    <row r="2781" spans="1:21" ht="15" customHeight="1" x14ac:dyDescent="0.2">
      <c r="A2781" t="s">
        <v>3087</v>
      </c>
      <c r="B2781" t="s">
        <v>241</v>
      </c>
      <c r="C2781" t="s">
        <v>52</v>
      </c>
      <c r="D2781" s="49">
        <v>45740</v>
      </c>
      <c r="E2781" s="49">
        <v>45741</v>
      </c>
      <c r="F2781" s="49">
        <v>45744</v>
      </c>
      <c r="G2781" s="49">
        <v>45748</v>
      </c>
      <c r="I2781" s="49">
        <v>45753</v>
      </c>
      <c r="J2781" t="s">
        <v>49</v>
      </c>
      <c r="K2781" s="33">
        <v>3800</v>
      </c>
      <c r="L2781" t="s">
        <v>61</v>
      </c>
      <c r="M2781" t="str">
        <f>_xlfn.XLOOKUP(Pipeline_tbl[[#This Row],[Rep_ID]],Dim_Reps!A:A,Dim_Reps!K:K)</f>
        <v>EUR</v>
      </c>
      <c r="N2781" s="33">
        <f>(_xlfn.XLOOKUP(Pipeline_tbl[[#This Row],[Rate_Code_Generalized]],Lookups!A:A,Lookups!B:B))*Pipeline_tbl[[#This Row],[Pipeline_Amount_USD]]</f>
        <v>3800</v>
      </c>
      <c r="O2781" t="str">
        <f>_xlfn.XLOOKUP(Pipeline_tbl[[#This Row],[Rep_ID]],Dim_Reps!A:A,Dim_Reps!B:B)</f>
        <v>Kenji Weber</v>
      </c>
      <c r="P2781" t="str">
        <f>_xlfn.XLOOKUP(Pipeline_tbl[[#This Row],[Rep_ID]],Dim_Reps!A:A,Dim_Reps!C:C)</f>
        <v>SDR / Inside Sales Rep</v>
      </c>
      <c r="Q2781" t="str">
        <f>_xlfn.XLOOKUP(Pipeline_tbl[[#This Row],[Rep_ID]],Dim_Reps!A:A,Dim_Reps!D:D)</f>
        <v>Inside Sales</v>
      </c>
      <c r="R2781" t="str">
        <f>_xlfn.XLOOKUP(Pipeline_tbl[[#This Row],[Rep_ID]],Dim_Reps!A:A,Dim_Reps!E:E)</f>
        <v>APAC</v>
      </c>
      <c r="S2781" t="str">
        <f>_xlfn.XLOOKUP(Pipeline_tbl[[#This Row],[Created_Date]],Dim_Date!A:A,Dim_Date!H:H)</f>
        <v>Mar 2025</v>
      </c>
      <c r="T2781" t="str">
        <f>IF(Pipeline_tbl[[#This Row],[Closed_Date]]=0,"",(_xlfn.XLOOKUP(Pipeline_tbl[[#This Row],[Closed_Date]],Dim_Date!A:A,Dim_Date!H:H)))</f>
        <v>Apr 2025</v>
      </c>
      <c r="U2781">
        <f>IF(Pipeline_tbl[[#This Row],[Closed_Date]]=0,"",Pipeline_tbl[[#This Row],[Closed_Date]]-Pipeline_tbl[[#This Row],[Created_Date]])</f>
        <v>13</v>
      </c>
    </row>
    <row r="2782" spans="1:21" ht="15" customHeight="1" x14ac:dyDescent="0.2">
      <c r="A2782" t="s">
        <v>3088</v>
      </c>
      <c r="B2782" t="s">
        <v>241</v>
      </c>
      <c r="C2782" t="s">
        <v>55</v>
      </c>
      <c r="D2782" s="49">
        <v>45740</v>
      </c>
      <c r="E2782" s="49">
        <v>45741</v>
      </c>
      <c r="F2782" s="49">
        <v>45743</v>
      </c>
      <c r="G2782" s="49">
        <v>45747</v>
      </c>
      <c r="H2782" s="49">
        <v>45749</v>
      </c>
      <c r="I2782" s="49">
        <v>45751</v>
      </c>
      <c r="J2782" t="s">
        <v>47</v>
      </c>
      <c r="K2782" s="33">
        <v>6500</v>
      </c>
      <c r="M2782" t="str">
        <f>_xlfn.XLOOKUP(Pipeline_tbl[[#This Row],[Rep_ID]],Dim_Reps!A:A,Dim_Reps!K:K)</f>
        <v>EUR</v>
      </c>
      <c r="N2782" s="33">
        <f>(_xlfn.XLOOKUP(Pipeline_tbl[[#This Row],[Rate_Code_Generalized]],Lookups!A:A,Lookups!B:B))*Pipeline_tbl[[#This Row],[Pipeline_Amount_USD]]</f>
        <v>6500</v>
      </c>
      <c r="O2782" t="str">
        <f>_xlfn.XLOOKUP(Pipeline_tbl[[#This Row],[Rep_ID]],Dim_Reps!A:A,Dim_Reps!B:B)</f>
        <v>Kenji Weber</v>
      </c>
      <c r="P2782" t="str">
        <f>_xlfn.XLOOKUP(Pipeline_tbl[[#This Row],[Rep_ID]],Dim_Reps!A:A,Dim_Reps!C:C)</f>
        <v>SDR / Inside Sales Rep</v>
      </c>
      <c r="Q2782" t="str">
        <f>_xlfn.XLOOKUP(Pipeline_tbl[[#This Row],[Rep_ID]],Dim_Reps!A:A,Dim_Reps!D:D)</f>
        <v>Inside Sales</v>
      </c>
      <c r="R2782" t="str">
        <f>_xlfn.XLOOKUP(Pipeline_tbl[[#This Row],[Rep_ID]],Dim_Reps!A:A,Dim_Reps!E:E)</f>
        <v>APAC</v>
      </c>
      <c r="S2782" t="str">
        <f>_xlfn.XLOOKUP(Pipeline_tbl[[#This Row],[Created_Date]],Dim_Date!A:A,Dim_Date!H:H)</f>
        <v>Mar 2025</v>
      </c>
      <c r="T2782" t="str">
        <f>IF(Pipeline_tbl[[#This Row],[Closed_Date]]=0,"",(_xlfn.XLOOKUP(Pipeline_tbl[[#This Row],[Closed_Date]],Dim_Date!A:A,Dim_Date!H:H)))</f>
        <v>Apr 2025</v>
      </c>
      <c r="U2782">
        <f>IF(Pipeline_tbl[[#This Row],[Closed_Date]]=0,"",Pipeline_tbl[[#This Row],[Closed_Date]]-Pipeline_tbl[[#This Row],[Created_Date]])</f>
        <v>11</v>
      </c>
    </row>
    <row r="2783" spans="1:21" ht="15" customHeight="1" x14ac:dyDescent="0.2">
      <c r="A2783" t="s">
        <v>3089</v>
      </c>
      <c r="B2783" t="s">
        <v>241</v>
      </c>
      <c r="C2783" t="s">
        <v>53</v>
      </c>
      <c r="D2783" s="49">
        <v>45745</v>
      </c>
      <c r="E2783" s="49">
        <v>45746</v>
      </c>
      <c r="F2783" s="49">
        <v>45749</v>
      </c>
      <c r="G2783" s="49">
        <v>45753</v>
      </c>
      <c r="H2783" s="49">
        <v>45756</v>
      </c>
      <c r="I2783" s="49">
        <v>45758</v>
      </c>
      <c r="J2783" t="s">
        <v>47</v>
      </c>
      <c r="K2783" s="33">
        <v>3500</v>
      </c>
      <c r="M2783" t="str">
        <f>_xlfn.XLOOKUP(Pipeline_tbl[[#This Row],[Rep_ID]],Dim_Reps!A:A,Dim_Reps!K:K)</f>
        <v>EUR</v>
      </c>
      <c r="N2783" s="33">
        <f>(_xlfn.XLOOKUP(Pipeline_tbl[[#This Row],[Rate_Code_Generalized]],Lookups!A:A,Lookups!B:B))*Pipeline_tbl[[#This Row],[Pipeline_Amount_USD]]</f>
        <v>3500</v>
      </c>
      <c r="O2783" t="str">
        <f>_xlfn.XLOOKUP(Pipeline_tbl[[#This Row],[Rep_ID]],Dim_Reps!A:A,Dim_Reps!B:B)</f>
        <v>Kenji Weber</v>
      </c>
      <c r="P2783" t="str">
        <f>_xlfn.XLOOKUP(Pipeline_tbl[[#This Row],[Rep_ID]],Dim_Reps!A:A,Dim_Reps!C:C)</f>
        <v>SDR / Inside Sales Rep</v>
      </c>
      <c r="Q2783" t="str">
        <f>_xlfn.XLOOKUP(Pipeline_tbl[[#This Row],[Rep_ID]],Dim_Reps!A:A,Dim_Reps!D:D)</f>
        <v>Inside Sales</v>
      </c>
      <c r="R2783" t="str">
        <f>_xlfn.XLOOKUP(Pipeline_tbl[[#This Row],[Rep_ID]],Dim_Reps!A:A,Dim_Reps!E:E)</f>
        <v>APAC</v>
      </c>
      <c r="S2783" t="str">
        <f>_xlfn.XLOOKUP(Pipeline_tbl[[#This Row],[Created_Date]],Dim_Date!A:A,Dim_Date!H:H)</f>
        <v>Mar 2025</v>
      </c>
      <c r="T2783" t="str">
        <f>IF(Pipeline_tbl[[#This Row],[Closed_Date]]=0,"",(_xlfn.XLOOKUP(Pipeline_tbl[[#This Row],[Closed_Date]],Dim_Date!A:A,Dim_Date!H:H)))</f>
        <v>Apr 2025</v>
      </c>
      <c r="U2783">
        <f>IF(Pipeline_tbl[[#This Row],[Closed_Date]]=0,"",Pipeline_tbl[[#This Row],[Closed_Date]]-Pipeline_tbl[[#This Row],[Created_Date]])</f>
        <v>13</v>
      </c>
    </row>
    <row r="2784" spans="1:21" ht="15" customHeight="1" x14ac:dyDescent="0.2">
      <c r="A2784" t="s">
        <v>3090</v>
      </c>
      <c r="B2784" t="s">
        <v>241</v>
      </c>
      <c r="C2784" t="s">
        <v>53</v>
      </c>
      <c r="D2784" s="49">
        <v>45740</v>
      </c>
      <c r="E2784" s="49">
        <v>45741</v>
      </c>
      <c r="F2784" s="49">
        <v>45744</v>
      </c>
      <c r="G2784" s="49">
        <v>45748</v>
      </c>
      <c r="H2784" s="49">
        <v>45752</v>
      </c>
      <c r="I2784" s="49">
        <v>45754</v>
      </c>
      <c r="J2784" t="s">
        <v>47</v>
      </c>
      <c r="K2784" s="33">
        <v>1600</v>
      </c>
      <c r="M2784" t="str">
        <f>_xlfn.XLOOKUP(Pipeline_tbl[[#This Row],[Rep_ID]],Dim_Reps!A:A,Dim_Reps!K:K)</f>
        <v>EUR</v>
      </c>
      <c r="N2784" s="33">
        <f>(_xlfn.XLOOKUP(Pipeline_tbl[[#This Row],[Rate_Code_Generalized]],Lookups!A:A,Lookups!B:B))*Pipeline_tbl[[#This Row],[Pipeline_Amount_USD]]</f>
        <v>1600</v>
      </c>
      <c r="O2784" t="str">
        <f>_xlfn.XLOOKUP(Pipeline_tbl[[#This Row],[Rep_ID]],Dim_Reps!A:A,Dim_Reps!B:B)</f>
        <v>Kenji Weber</v>
      </c>
      <c r="P2784" t="str">
        <f>_xlfn.XLOOKUP(Pipeline_tbl[[#This Row],[Rep_ID]],Dim_Reps!A:A,Dim_Reps!C:C)</f>
        <v>SDR / Inside Sales Rep</v>
      </c>
      <c r="Q2784" t="str">
        <f>_xlfn.XLOOKUP(Pipeline_tbl[[#This Row],[Rep_ID]],Dim_Reps!A:A,Dim_Reps!D:D)</f>
        <v>Inside Sales</v>
      </c>
      <c r="R2784" t="str">
        <f>_xlfn.XLOOKUP(Pipeline_tbl[[#This Row],[Rep_ID]],Dim_Reps!A:A,Dim_Reps!E:E)</f>
        <v>APAC</v>
      </c>
      <c r="S2784" t="str">
        <f>_xlfn.XLOOKUP(Pipeline_tbl[[#This Row],[Created_Date]],Dim_Date!A:A,Dim_Date!H:H)</f>
        <v>Mar 2025</v>
      </c>
      <c r="T2784" t="str">
        <f>IF(Pipeline_tbl[[#This Row],[Closed_Date]]=0,"",(_xlfn.XLOOKUP(Pipeline_tbl[[#This Row],[Closed_Date]],Dim_Date!A:A,Dim_Date!H:H)))</f>
        <v>Apr 2025</v>
      </c>
      <c r="U2784">
        <f>IF(Pipeline_tbl[[#This Row],[Closed_Date]]=0,"",Pipeline_tbl[[#This Row],[Closed_Date]]-Pipeline_tbl[[#This Row],[Created_Date]])</f>
        <v>14</v>
      </c>
    </row>
    <row r="2785" spans="1:21" ht="15" customHeight="1" x14ac:dyDescent="0.2">
      <c r="A2785" t="s">
        <v>3091</v>
      </c>
      <c r="B2785" t="s">
        <v>241</v>
      </c>
      <c r="C2785" t="s">
        <v>52</v>
      </c>
      <c r="D2785" s="49">
        <v>45728</v>
      </c>
      <c r="E2785" s="49">
        <v>45730</v>
      </c>
      <c r="I2785" s="49">
        <v>45749</v>
      </c>
      <c r="J2785" t="s">
        <v>49</v>
      </c>
      <c r="K2785" s="33">
        <v>2600</v>
      </c>
      <c r="L2785" t="s">
        <v>61</v>
      </c>
      <c r="M2785" t="str">
        <f>_xlfn.XLOOKUP(Pipeline_tbl[[#This Row],[Rep_ID]],Dim_Reps!A:A,Dim_Reps!K:K)</f>
        <v>EUR</v>
      </c>
      <c r="N2785" s="33">
        <f>(_xlfn.XLOOKUP(Pipeline_tbl[[#This Row],[Rate_Code_Generalized]],Lookups!A:A,Lookups!B:B))*Pipeline_tbl[[#This Row],[Pipeline_Amount_USD]]</f>
        <v>2600</v>
      </c>
      <c r="O2785" t="str">
        <f>_xlfn.XLOOKUP(Pipeline_tbl[[#This Row],[Rep_ID]],Dim_Reps!A:A,Dim_Reps!B:B)</f>
        <v>Kenji Weber</v>
      </c>
      <c r="P2785" t="str">
        <f>_xlfn.XLOOKUP(Pipeline_tbl[[#This Row],[Rep_ID]],Dim_Reps!A:A,Dim_Reps!C:C)</f>
        <v>SDR / Inside Sales Rep</v>
      </c>
      <c r="Q2785" t="str">
        <f>_xlfn.XLOOKUP(Pipeline_tbl[[#This Row],[Rep_ID]],Dim_Reps!A:A,Dim_Reps!D:D)</f>
        <v>Inside Sales</v>
      </c>
      <c r="R2785" t="str">
        <f>_xlfn.XLOOKUP(Pipeline_tbl[[#This Row],[Rep_ID]],Dim_Reps!A:A,Dim_Reps!E:E)</f>
        <v>APAC</v>
      </c>
      <c r="S2785" t="str">
        <f>_xlfn.XLOOKUP(Pipeline_tbl[[#This Row],[Created_Date]],Dim_Date!A:A,Dim_Date!H:H)</f>
        <v>Mar 2025</v>
      </c>
      <c r="T2785" t="str">
        <f>IF(Pipeline_tbl[[#This Row],[Closed_Date]]=0,"",(_xlfn.XLOOKUP(Pipeline_tbl[[#This Row],[Closed_Date]],Dim_Date!A:A,Dim_Date!H:H)))</f>
        <v>Apr 2025</v>
      </c>
      <c r="U2785">
        <f>IF(Pipeline_tbl[[#This Row],[Closed_Date]]=0,"",Pipeline_tbl[[#This Row],[Closed_Date]]-Pipeline_tbl[[#This Row],[Created_Date]])</f>
        <v>21</v>
      </c>
    </row>
    <row r="2786" spans="1:21" ht="15" customHeight="1" x14ac:dyDescent="0.2">
      <c r="A2786" t="s">
        <v>3092</v>
      </c>
      <c r="B2786" t="s">
        <v>241</v>
      </c>
      <c r="C2786" t="s">
        <v>54</v>
      </c>
      <c r="D2786" s="49">
        <v>45730</v>
      </c>
      <c r="E2786" s="49">
        <v>45732</v>
      </c>
      <c r="I2786" s="49">
        <v>45753</v>
      </c>
      <c r="J2786" t="s">
        <v>49</v>
      </c>
      <c r="K2786" s="33">
        <v>2800</v>
      </c>
      <c r="L2786" t="s">
        <v>60</v>
      </c>
      <c r="M2786" t="str">
        <f>_xlfn.XLOOKUP(Pipeline_tbl[[#This Row],[Rep_ID]],Dim_Reps!A:A,Dim_Reps!K:K)</f>
        <v>EUR</v>
      </c>
      <c r="N2786" s="33">
        <f>(_xlfn.XLOOKUP(Pipeline_tbl[[#This Row],[Rate_Code_Generalized]],Lookups!A:A,Lookups!B:B))*Pipeline_tbl[[#This Row],[Pipeline_Amount_USD]]</f>
        <v>2800</v>
      </c>
      <c r="O2786" t="str">
        <f>_xlfn.XLOOKUP(Pipeline_tbl[[#This Row],[Rep_ID]],Dim_Reps!A:A,Dim_Reps!B:B)</f>
        <v>Kenji Weber</v>
      </c>
      <c r="P2786" t="str">
        <f>_xlfn.XLOOKUP(Pipeline_tbl[[#This Row],[Rep_ID]],Dim_Reps!A:A,Dim_Reps!C:C)</f>
        <v>SDR / Inside Sales Rep</v>
      </c>
      <c r="Q2786" t="str">
        <f>_xlfn.XLOOKUP(Pipeline_tbl[[#This Row],[Rep_ID]],Dim_Reps!A:A,Dim_Reps!D:D)</f>
        <v>Inside Sales</v>
      </c>
      <c r="R2786" t="str">
        <f>_xlfn.XLOOKUP(Pipeline_tbl[[#This Row],[Rep_ID]],Dim_Reps!A:A,Dim_Reps!E:E)</f>
        <v>APAC</v>
      </c>
      <c r="S2786" t="str">
        <f>_xlfn.XLOOKUP(Pipeline_tbl[[#This Row],[Created_Date]],Dim_Date!A:A,Dim_Date!H:H)</f>
        <v>Mar 2025</v>
      </c>
      <c r="T2786" t="str">
        <f>IF(Pipeline_tbl[[#This Row],[Closed_Date]]=0,"",(_xlfn.XLOOKUP(Pipeline_tbl[[#This Row],[Closed_Date]],Dim_Date!A:A,Dim_Date!H:H)))</f>
        <v>Apr 2025</v>
      </c>
      <c r="U2786">
        <f>IF(Pipeline_tbl[[#This Row],[Closed_Date]]=0,"",Pipeline_tbl[[#This Row],[Closed_Date]]-Pipeline_tbl[[#This Row],[Created_Date]])</f>
        <v>23</v>
      </c>
    </row>
    <row r="2787" spans="1:21" ht="15" customHeight="1" x14ac:dyDescent="0.2">
      <c r="A2787" t="s">
        <v>3093</v>
      </c>
      <c r="B2787" t="s">
        <v>241</v>
      </c>
      <c r="C2787" t="s">
        <v>52</v>
      </c>
      <c r="D2787" s="49">
        <v>45745</v>
      </c>
      <c r="E2787" s="49">
        <v>45748</v>
      </c>
      <c r="F2787" s="49">
        <v>45753</v>
      </c>
      <c r="G2787" s="49">
        <v>45761</v>
      </c>
      <c r="H2787" s="49">
        <v>45767</v>
      </c>
      <c r="I2787" s="49">
        <v>45771</v>
      </c>
      <c r="J2787" t="s">
        <v>47</v>
      </c>
      <c r="K2787" s="33">
        <v>3100</v>
      </c>
      <c r="M2787" t="str">
        <f>_xlfn.XLOOKUP(Pipeline_tbl[[#This Row],[Rep_ID]],Dim_Reps!A:A,Dim_Reps!K:K)</f>
        <v>EUR</v>
      </c>
      <c r="N2787" s="33">
        <f>(_xlfn.XLOOKUP(Pipeline_tbl[[#This Row],[Rate_Code_Generalized]],Lookups!A:A,Lookups!B:B))*Pipeline_tbl[[#This Row],[Pipeline_Amount_USD]]</f>
        <v>3100</v>
      </c>
      <c r="O2787" t="str">
        <f>_xlfn.XLOOKUP(Pipeline_tbl[[#This Row],[Rep_ID]],Dim_Reps!A:A,Dim_Reps!B:B)</f>
        <v>Kenji Weber</v>
      </c>
      <c r="P2787" t="str">
        <f>_xlfn.XLOOKUP(Pipeline_tbl[[#This Row],[Rep_ID]],Dim_Reps!A:A,Dim_Reps!C:C)</f>
        <v>SDR / Inside Sales Rep</v>
      </c>
      <c r="Q2787" t="str">
        <f>_xlfn.XLOOKUP(Pipeline_tbl[[#This Row],[Rep_ID]],Dim_Reps!A:A,Dim_Reps!D:D)</f>
        <v>Inside Sales</v>
      </c>
      <c r="R2787" t="str">
        <f>_xlfn.XLOOKUP(Pipeline_tbl[[#This Row],[Rep_ID]],Dim_Reps!A:A,Dim_Reps!E:E)</f>
        <v>APAC</v>
      </c>
      <c r="S2787" t="str">
        <f>_xlfn.XLOOKUP(Pipeline_tbl[[#This Row],[Created_Date]],Dim_Date!A:A,Dim_Date!H:H)</f>
        <v>Mar 2025</v>
      </c>
      <c r="T2787" t="str">
        <f>IF(Pipeline_tbl[[#This Row],[Closed_Date]]=0,"",(_xlfn.XLOOKUP(Pipeline_tbl[[#This Row],[Closed_Date]],Dim_Date!A:A,Dim_Date!H:H)))</f>
        <v>Apr 2025</v>
      </c>
      <c r="U2787">
        <f>IF(Pipeline_tbl[[#This Row],[Closed_Date]]=0,"",Pipeline_tbl[[#This Row],[Closed_Date]]-Pipeline_tbl[[#This Row],[Created_Date]])</f>
        <v>26</v>
      </c>
    </row>
    <row r="2788" spans="1:21" ht="15" customHeight="1" x14ac:dyDescent="0.2">
      <c r="A2788" t="s">
        <v>3094</v>
      </c>
      <c r="B2788" t="s">
        <v>241</v>
      </c>
      <c r="C2788" t="s">
        <v>52</v>
      </c>
      <c r="D2788" s="49">
        <v>45737</v>
      </c>
      <c r="E2788" s="49">
        <v>45739</v>
      </c>
      <c r="F2788" s="49">
        <v>45742</v>
      </c>
      <c r="G2788" s="49">
        <v>45746</v>
      </c>
      <c r="H2788" s="49">
        <v>45750</v>
      </c>
      <c r="I2788" s="49">
        <v>45752</v>
      </c>
      <c r="J2788" t="s">
        <v>49</v>
      </c>
      <c r="K2788" s="33">
        <v>1500</v>
      </c>
      <c r="L2788" t="s">
        <v>60</v>
      </c>
      <c r="M2788" t="str">
        <f>_xlfn.XLOOKUP(Pipeline_tbl[[#This Row],[Rep_ID]],Dim_Reps!A:A,Dim_Reps!K:K)</f>
        <v>EUR</v>
      </c>
      <c r="N2788" s="33">
        <f>(_xlfn.XLOOKUP(Pipeline_tbl[[#This Row],[Rate_Code_Generalized]],Lookups!A:A,Lookups!B:B))*Pipeline_tbl[[#This Row],[Pipeline_Amount_USD]]</f>
        <v>1500</v>
      </c>
      <c r="O2788" t="str">
        <f>_xlfn.XLOOKUP(Pipeline_tbl[[#This Row],[Rep_ID]],Dim_Reps!A:A,Dim_Reps!B:B)</f>
        <v>Kenji Weber</v>
      </c>
      <c r="P2788" t="str">
        <f>_xlfn.XLOOKUP(Pipeline_tbl[[#This Row],[Rep_ID]],Dim_Reps!A:A,Dim_Reps!C:C)</f>
        <v>SDR / Inside Sales Rep</v>
      </c>
      <c r="Q2788" t="str">
        <f>_xlfn.XLOOKUP(Pipeline_tbl[[#This Row],[Rep_ID]],Dim_Reps!A:A,Dim_Reps!D:D)</f>
        <v>Inside Sales</v>
      </c>
      <c r="R2788" t="str">
        <f>_xlfn.XLOOKUP(Pipeline_tbl[[#This Row],[Rep_ID]],Dim_Reps!A:A,Dim_Reps!E:E)</f>
        <v>APAC</v>
      </c>
      <c r="S2788" t="str">
        <f>_xlfn.XLOOKUP(Pipeline_tbl[[#This Row],[Created_Date]],Dim_Date!A:A,Dim_Date!H:H)</f>
        <v>Mar 2025</v>
      </c>
      <c r="T2788" t="str">
        <f>IF(Pipeline_tbl[[#This Row],[Closed_Date]]=0,"",(_xlfn.XLOOKUP(Pipeline_tbl[[#This Row],[Closed_Date]],Dim_Date!A:A,Dim_Date!H:H)))</f>
        <v>Apr 2025</v>
      </c>
      <c r="U2788">
        <f>IF(Pipeline_tbl[[#This Row],[Closed_Date]]=0,"",Pipeline_tbl[[#This Row],[Closed_Date]]-Pipeline_tbl[[#This Row],[Created_Date]])</f>
        <v>15</v>
      </c>
    </row>
    <row r="2789" spans="1:21" ht="15" customHeight="1" x14ac:dyDescent="0.2">
      <c r="A2789" t="s">
        <v>3095</v>
      </c>
      <c r="B2789" t="s">
        <v>241</v>
      </c>
      <c r="C2789" t="s">
        <v>52</v>
      </c>
      <c r="D2789" s="49">
        <v>45744</v>
      </c>
      <c r="E2789" s="49">
        <v>45747</v>
      </c>
      <c r="F2789" s="49">
        <v>45753</v>
      </c>
      <c r="I2789" s="49">
        <v>45773</v>
      </c>
      <c r="J2789" t="s">
        <v>49</v>
      </c>
      <c r="K2789" s="33">
        <v>2500</v>
      </c>
      <c r="L2789" t="s">
        <v>63</v>
      </c>
      <c r="M2789" t="str">
        <f>_xlfn.XLOOKUP(Pipeline_tbl[[#This Row],[Rep_ID]],Dim_Reps!A:A,Dim_Reps!K:K)</f>
        <v>EUR</v>
      </c>
      <c r="N2789" s="33">
        <f>(_xlfn.XLOOKUP(Pipeline_tbl[[#This Row],[Rate_Code_Generalized]],Lookups!A:A,Lookups!B:B))*Pipeline_tbl[[#This Row],[Pipeline_Amount_USD]]</f>
        <v>2500</v>
      </c>
      <c r="O2789" t="str">
        <f>_xlfn.XLOOKUP(Pipeline_tbl[[#This Row],[Rep_ID]],Dim_Reps!A:A,Dim_Reps!B:B)</f>
        <v>Kenji Weber</v>
      </c>
      <c r="P2789" t="str">
        <f>_xlfn.XLOOKUP(Pipeline_tbl[[#This Row],[Rep_ID]],Dim_Reps!A:A,Dim_Reps!C:C)</f>
        <v>SDR / Inside Sales Rep</v>
      </c>
      <c r="Q2789" t="str">
        <f>_xlfn.XLOOKUP(Pipeline_tbl[[#This Row],[Rep_ID]],Dim_Reps!A:A,Dim_Reps!D:D)</f>
        <v>Inside Sales</v>
      </c>
      <c r="R2789" t="str">
        <f>_xlfn.XLOOKUP(Pipeline_tbl[[#This Row],[Rep_ID]],Dim_Reps!A:A,Dim_Reps!E:E)</f>
        <v>APAC</v>
      </c>
      <c r="S2789" t="str">
        <f>_xlfn.XLOOKUP(Pipeline_tbl[[#This Row],[Created_Date]],Dim_Date!A:A,Dim_Date!H:H)</f>
        <v>Mar 2025</v>
      </c>
      <c r="T2789" t="str">
        <f>IF(Pipeline_tbl[[#This Row],[Closed_Date]]=0,"",(_xlfn.XLOOKUP(Pipeline_tbl[[#This Row],[Closed_Date]],Dim_Date!A:A,Dim_Date!H:H)))</f>
        <v>Apr 2025</v>
      </c>
      <c r="U2789">
        <f>IF(Pipeline_tbl[[#This Row],[Closed_Date]]=0,"",Pipeline_tbl[[#This Row],[Closed_Date]]-Pipeline_tbl[[#This Row],[Created_Date]])</f>
        <v>29</v>
      </c>
    </row>
    <row r="2790" spans="1:21" ht="15" customHeight="1" x14ac:dyDescent="0.2">
      <c r="A2790" t="s">
        <v>3096</v>
      </c>
      <c r="B2790" t="s">
        <v>241</v>
      </c>
      <c r="C2790" t="s">
        <v>54</v>
      </c>
      <c r="D2790" s="49">
        <v>45733</v>
      </c>
      <c r="E2790" s="49">
        <v>45735</v>
      </c>
      <c r="F2790" s="49">
        <v>45738</v>
      </c>
      <c r="I2790" s="49">
        <v>45749</v>
      </c>
      <c r="J2790" t="s">
        <v>49</v>
      </c>
      <c r="K2790" s="33">
        <v>3100</v>
      </c>
      <c r="L2790" t="s">
        <v>60</v>
      </c>
      <c r="M2790" t="str">
        <f>_xlfn.XLOOKUP(Pipeline_tbl[[#This Row],[Rep_ID]],Dim_Reps!A:A,Dim_Reps!K:K)</f>
        <v>EUR</v>
      </c>
      <c r="N2790" s="33">
        <f>(_xlfn.XLOOKUP(Pipeline_tbl[[#This Row],[Rate_Code_Generalized]],Lookups!A:A,Lookups!B:B))*Pipeline_tbl[[#This Row],[Pipeline_Amount_USD]]</f>
        <v>3100</v>
      </c>
      <c r="O2790" t="str">
        <f>_xlfn.XLOOKUP(Pipeline_tbl[[#This Row],[Rep_ID]],Dim_Reps!A:A,Dim_Reps!B:B)</f>
        <v>Kenji Weber</v>
      </c>
      <c r="P2790" t="str">
        <f>_xlfn.XLOOKUP(Pipeline_tbl[[#This Row],[Rep_ID]],Dim_Reps!A:A,Dim_Reps!C:C)</f>
        <v>SDR / Inside Sales Rep</v>
      </c>
      <c r="Q2790" t="str">
        <f>_xlfn.XLOOKUP(Pipeline_tbl[[#This Row],[Rep_ID]],Dim_Reps!A:A,Dim_Reps!D:D)</f>
        <v>Inside Sales</v>
      </c>
      <c r="R2790" t="str">
        <f>_xlfn.XLOOKUP(Pipeline_tbl[[#This Row],[Rep_ID]],Dim_Reps!A:A,Dim_Reps!E:E)</f>
        <v>APAC</v>
      </c>
      <c r="S2790" t="str">
        <f>_xlfn.XLOOKUP(Pipeline_tbl[[#This Row],[Created_Date]],Dim_Date!A:A,Dim_Date!H:H)</f>
        <v>Mar 2025</v>
      </c>
      <c r="T2790" t="str">
        <f>IF(Pipeline_tbl[[#This Row],[Closed_Date]]=0,"",(_xlfn.XLOOKUP(Pipeline_tbl[[#This Row],[Closed_Date]],Dim_Date!A:A,Dim_Date!H:H)))</f>
        <v>Apr 2025</v>
      </c>
      <c r="U2790">
        <f>IF(Pipeline_tbl[[#This Row],[Closed_Date]]=0,"",Pipeline_tbl[[#This Row],[Closed_Date]]-Pipeline_tbl[[#This Row],[Created_Date]])</f>
        <v>16</v>
      </c>
    </row>
    <row r="2791" spans="1:21" ht="15" customHeight="1" x14ac:dyDescent="0.2">
      <c r="A2791" t="s">
        <v>3097</v>
      </c>
      <c r="B2791" t="s">
        <v>280</v>
      </c>
      <c r="C2791" t="s">
        <v>52</v>
      </c>
      <c r="D2791" s="49">
        <v>45742</v>
      </c>
      <c r="E2791" s="49">
        <v>45752</v>
      </c>
      <c r="F2791" s="49">
        <v>45771</v>
      </c>
      <c r="G2791" s="49">
        <v>45800</v>
      </c>
      <c r="H2791" s="49">
        <v>45824</v>
      </c>
      <c r="I2791" s="49">
        <v>45839</v>
      </c>
      <c r="J2791" t="s">
        <v>49</v>
      </c>
      <c r="K2791" s="33">
        <v>59200</v>
      </c>
      <c r="L2791" t="s">
        <v>60</v>
      </c>
      <c r="M2791" t="str">
        <f>_xlfn.XLOOKUP(Pipeline_tbl[[#This Row],[Rep_ID]],Dim_Reps!A:A,Dim_Reps!K:K)</f>
        <v>MXN</v>
      </c>
      <c r="N2791" s="33">
        <f>(_xlfn.XLOOKUP(Pipeline_tbl[[#This Row],[Rate_Code_Generalized]],Lookups!A:A,Lookups!B:B))*Pipeline_tbl[[#This Row],[Pipeline_Amount_USD]]</f>
        <v>1168175.8400000001</v>
      </c>
      <c r="O2791" t="str">
        <f>_xlfn.XLOOKUP(Pipeline_tbl[[#This Row],[Rep_ID]],Dim_Reps!A:A,Dim_Reps!B:B)</f>
        <v>Cameron Lund</v>
      </c>
      <c r="P2791" t="str">
        <f>_xlfn.XLOOKUP(Pipeline_tbl[[#This Row],[Rep_ID]],Dim_Reps!A:A,Dim_Reps!C:C)</f>
        <v>Senior Enterprise AE</v>
      </c>
      <c r="Q2791" t="str">
        <f>_xlfn.XLOOKUP(Pipeline_tbl[[#This Row],[Rep_ID]],Dim_Reps!A:A,Dim_Reps!D:D)</f>
        <v>Strategic</v>
      </c>
      <c r="R2791" t="str">
        <f>_xlfn.XLOOKUP(Pipeline_tbl[[#This Row],[Rep_ID]],Dim_Reps!A:A,Dim_Reps!E:E)</f>
        <v>LATAM</v>
      </c>
      <c r="S2791" t="str">
        <f>_xlfn.XLOOKUP(Pipeline_tbl[[#This Row],[Created_Date]],Dim_Date!A:A,Dim_Date!H:H)</f>
        <v>Mar 2025</v>
      </c>
      <c r="T2791" t="str">
        <f>IF(Pipeline_tbl[[#This Row],[Closed_Date]]=0,"",(_xlfn.XLOOKUP(Pipeline_tbl[[#This Row],[Closed_Date]],Dim_Date!A:A,Dim_Date!H:H)))</f>
        <v>Jul 2025</v>
      </c>
      <c r="U2791">
        <f>IF(Pipeline_tbl[[#This Row],[Closed_Date]]=0,"",Pipeline_tbl[[#This Row],[Closed_Date]]-Pipeline_tbl[[#This Row],[Created_Date]])</f>
        <v>97</v>
      </c>
    </row>
    <row r="2792" spans="1:21" ht="15" customHeight="1" x14ac:dyDescent="0.2">
      <c r="A2792" t="s">
        <v>3098</v>
      </c>
      <c r="B2792" t="s">
        <v>243</v>
      </c>
      <c r="C2792" t="s">
        <v>56</v>
      </c>
      <c r="D2792" s="49">
        <v>45742</v>
      </c>
      <c r="E2792" s="49">
        <v>45749</v>
      </c>
      <c r="F2792" s="49">
        <v>45762</v>
      </c>
      <c r="G2792" s="49">
        <v>45782</v>
      </c>
      <c r="I2792" s="49">
        <v>45809</v>
      </c>
      <c r="J2792" t="s">
        <v>49</v>
      </c>
      <c r="K2792" s="33">
        <v>7700</v>
      </c>
      <c r="L2792" t="s">
        <v>60</v>
      </c>
      <c r="M2792" t="str">
        <f>_xlfn.XLOOKUP(Pipeline_tbl[[#This Row],[Rep_ID]],Dim_Reps!A:A,Dim_Reps!K:K)</f>
        <v>MXN</v>
      </c>
      <c r="N2792" s="33">
        <f>(_xlfn.XLOOKUP(Pipeline_tbl[[#This Row],[Rate_Code_Generalized]],Lookups!A:A,Lookups!B:B))*Pipeline_tbl[[#This Row],[Pipeline_Amount_USD]]</f>
        <v>151941.79</v>
      </c>
      <c r="O2792" t="str">
        <f>_xlfn.XLOOKUP(Pipeline_tbl[[#This Row],[Rep_ID]],Dim_Reps!A:A,Dim_Reps!B:B)</f>
        <v>Jonas Sato</v>
      </c>
      <c r="P2792" t="str">
        <f>_xlfn.XLOOKUP(Pipeline_tbl[[#This Row],[Rep_ID]],Dim_Reps!A:A,Dim_Reps!C:C)</f>
        <v>Mid-Market AE</v>
      </c>
      <c r="Q2792" t="str">
        <f>_xlfn.XLOOKUP(Pipeline_tbl[[#This Row],[Rep_ID]],Dim_Reps!A:A,Dim_Reps!D:D)</f>
        <v>Mid-Market</v>
      </c>
      <c r="R2792" t="str">
        <f>_xlfn.XLOOKUP(Pipeline_tbl[[#This Row],[Rep_ID]],Dim_Reps!A:A,Dim_Reps!E:E)</f>
        <v>LATAM</v>
      </c>
      <c r="S2792" t="str">
        <f>_xlfn.XLOOKUP(Pipeline_tbl[[#This Row],[Created_Date]],Dim_Date!A:A,Dim_Date!H:H)</f>
        <v>Mar 2025</v>
      </c>
      <c r="T2792" t="str">
        <f>IF(Pipeline_tbl[[#This Row],[Closed_Date]]=0,"",(_xlfn.XLOOKUP(Pipeline_tbl[[#This Row],[Closed_Date]],Dim_Date!A:A,Dim_Date!H:H)))</f>
        <v>Jun 2025</v>
      </c>
      <c r="U2792">
        <f>IF(Pipeline_tbl[[#This Row],[Closed_Date]]=0,"",Pipeline_tbl[[#This Row],[Closed_Date]]-Pipeline_tbl[[#This Row],[Created_Date]])</f>
        <v>67</v>
      </c>
    </row>
    <row r="2793" spans="1:21" ht="15" customHeight="1" x14ac:dyDescent="0.2">
      <c r="A2793" t="s">
        <v>3099</v>
      </c>
      <c r="B2793" t="s">
        <v>181</v>
      </c>
      <c r="C2793" t="s">
        <v>53</v>
      </c>
      <c r="D2793" s="49">
        <v>45720</v>
      </c>
      <c r="E2793" s="49">
        <v>45730</v>
      </c>
      <c r="F2793" s="49">
        <v>45750</v>
      </c>
      <c r="I2793" s="49">
        <v>45820</v>
      </c>
      <c r="J2793" t="s">
        <v>49</v>
      </c>
      <c r="K2793" s="33">
        <v>54400</v>
      </c>
      <c r="L2793" t="s">
        <v>61</v>
      </c>
      <c r="M2793" t="str">
        <f>_xlfn.XLOOKUP(Pipeline_tbl[[#This Row],[Rep_ID]],Dim_Reps!A:A,Dim_Reps!K:K)</f>
        <v>USD</v>
      </c>
      <c r="N2793" s="33">
        <f>(_xlfn.XLOOKUP(Pipeline_tbl[[#This Row],[Rate_Code_Generalized]],Lookups!A:A,Lookups!B:B))*Pipeline_tbl[[#This Row],[Pipeline_Amount_USD]]</f>
        <v>63337.919999999991</v>
      </c>
      <c r="O2793" t="str">
        <f>_xlfn.XLOOKUP(Pipeline_tbl[[#This Row],[Rep_ID]],Dim_Reps!A:A,Dim_Reps!B:B)</f>
        <v>Milo Weber</v>
      </c>
      <c r="P2793" t="str">
        <f>_xlfn.XLOOKUP(Pipeline_tbl[[#This Row],[Rep_ID]],Dim_Reps!A:A,Dim_Reps!C:C)</f>
        <v>Enterprise AE</v>
      </c>
      <c r="Q2793" t="str">
        <f>_xlfn.XLOOKUP(Pipeline_tbl[[#This Row],[Rep_ID]],Dim_Reps!A:A,Dim_Reps!D:D)</f>
        <v>Enterprise</v>
      </c>
      <c r="R2793" t="str">
        <f>_xlfn.XLOOKUP(Pipeline_tbl[[#This Row],[Rep_ID]],Dim_Reps!A:A,Dim_Reps!E:E)</f>
        <v>NAMER</v>
      </c>
      <c r="S2793" t="str">
        <f>_xlfn.XLOOKUP(Pipeline_tbl[[#This Row],[Created_Date]],Dim_Date!A:A,Dim_Date!H:H)</f>
        <v>Mar 2025</v>
      </c>
      <c r="T2793" t="str">
        <f>IF(Pipeline_tbl[[#This Row],[Closed_Date]]=0,"",(_xlfn.XLOOKUP(Pipeline_tbl[[#This Row],[Closed_Date]],Dim_Date!A:A,Dim_Date!H:H)))</f>
        <v>Jun 2025</v>
      </c>
      <c r="U2793">
        <f>IF(Pipeline_tbl[[#This Row],[Closed_Date]]=0,"",Pipeline_tbl[[#This Row],[Closed_Date]]-Pipeline_tbl[[#This Row],[Created_Date]])</f>
        <v>100</v>
      </c>
    </row>
    <row r="2794" spans="1:21" ht="15" customHeight="1" x14ac:dyDescent="0.2">
      <c r="A2794" t="s">
        <v>3100</v>
      </c>
      <c r="B2794" t="s">
        <v>278</v>
      </c>
      <c r="C2794" t="s">
        <v>54</v>
      </c>
      <c r="D2794" s="49">
        <v>45728</v>
      </c>
      <c r="E2794" s="49">
        <v>45737</v>
      </c>
      <c r="F2794" s="49">
        <v>45756</v>
      </c>
      <c r="G2794" s="49">
        <v>45783</v>
      </c>
      <c r="H2794" s="49">
        <v>45806</v>
      </c>
      <c r="I2794" s="49">
        <v>45820</v>
      </c>
      <c r="J2794" t="s">
        <v>49</v>
      </c>
      <c r="K2794" s="33">
        <v>104200</v>
      </c>
      <c r="L2794" t="s">
        <v>62</v>
      </c>
      <c r="M2794" t="str">
        <f>_xlfn.XLOOKUP(Pipeline_tbl[[#This Row],[Rep_ID]],Dim_Reps!A:A,Dim_Reps!K:K)</f>
        <v>EUR</v>
      </c>
      <c r="N2794" s="33">
        <f>(_xlfn.XLOOKUP(Pipeline_tbl[[#This Row],[Rate_Code_Generalized]],Lookups!A:A,Lookups!B:B))*Pipeline_tbl[[#This Row],[Pipeline_Amount_USD]]</f>
        <v>104200</v>
      </c>
      <c r="O2794" t="str">
        <f>_xlfn.XLOOKUP(Pipeline_tbl[[#This Row],[Rep_ID]],Dim_Reps!A:A,Dim_Reps!B:B)</f>
        <v>Sara Andersson</v>
      </c>
      <c r="P2794" t="str">
        <f>_xlfn.XLOOKUP(Pipeline_tbl[[#This Row],[Rep_ID]],Dim_Reps!A:A,Dim_Reps!C:C)</f>
        <v>Senior Enterprise AE</v>
      </c>
      <c r="Q2794" t="str">
        <f>_xlfn.XLOOKUP(Pipeline_tbl[[#This Row],[Rep_ID]],Dim_Reps!A:A,Dim_Reps!D:D)</f>
        <v>Strategic</v>
      </c>
      <c r="R2794" t="str">
        <f>_xlfn.XLOOKUP(Pipeline_tbl[[#This Row],[Rep_ID]],Dim_Reps!A:A,Dim_Reps!E:E)</f>
        <v>APAC</v>
      </c>
      <c r="S2794" t="str">
        <f>_xlfn.XLOOKUP(Pipeline_tbl[[#This Row],[Created_Date]],Dim_Date!A:A,Dim_Date!H:H)</f>
        <v>Mar 2025</v>
      </c>
      <c r="T2794" t="str">
        <f>IF(Pipeline_tbl[[#This Row],[Closed_Date]]=0,"",(_xlfn.XLOOKUP(Pipeline_tbl[[#This Row],[Closed_Date]],Dim_Date!A:A,Dim_Date!H:H)))</f>
        <v>Jun 2025</v>
      </c>
      <c r="U2794">
        <f>IF(Pipeline_tbl[[#This Row],[Closed_Date]]=0,"",Pipeline_tbl[[#This Row],[Closed_Date]]-Pipeline_tbl[[#This Row],[Created_Date]])</f>
        <v>92</v>
      </c>
    </row>
    <row r="2795" spans="1:21" ht="15" customHeight="1" x14ac:dyDescent="0.2">
      <c r="A2795" t="s">
        <v>3101</v>
      </c>
      <c r="B2795" t="s">
        <v>185</v>
      </c>
      <c r="C2795" t="s">
        <v>56</v>
      </c>
      <c r="D2795" s="49">
        <v>45734</v>
      </c>
      <c r="E2795" s="49">
        <v>45742</v>
      </c>
      <c r="I2795" s="49">
        <v>45814</v>
      </c>
      <c r="J2795" t="s">
        <v>49</v>
      </c>
      <c r="K2795" s="33">
        <v>33600</v>
      </c>
      <c r="L2795" t="s">
        <v>61</v>
      </c>
      <c r="M2795" t="str">
        <f>_xlfn.XLOOKUP(Pipeline_tbl[[#This Row],[Rep_ID]],Dim_Reps!A:A,Dim_Reps!K:K)</f>
        <v>MXN</v>
      </c>
      <c r="N2795" s="33">
        <f>(_xlfn.XLOOKUP(Pipeline_tbl[[#This Row],[Rate_Code_Generalized]],Lookups!A:A,Lookups!B:B))*Pipeline_tbl[[#This Row],[Pipeline_Amount_USD]]</f>
        <v>663018.72000000009</v>
      </c>
      <c r="O2795" t="str">
        <f>_xlfn.XLOOKUP(Pipeline_tbl[[#This Row],[Rep_ID]],Dim_Reps!A:A,Dim_Reps!B:B)</f>
        <v>Noah Kim</v>
      </c>
      <c r="P2795" t="str">
        <f>_xlfn.XLOOKUP(Pipeline_tbl[[#This Row],[Rep_ID]],Dim_Reps!A:A,Dim_Reps!C:C)</f>
        <v>Enterprise AE</v>
      </c>
      <c r="Q2795" t="str">
        <f>_xlfn.XLOOKUP(Pipeline_tbl[[#This Row],[Rep_ID]],Dim_Reps!A:A,Dim_Reps!D:D)</f>
        <v>Enterprise</v>
      </c>
      <c r="R2795" t="str">
        <f>_xlfn.XLOOKUP(Pipeline_tbl[[#This Row],[Rep_ID]],Dim_Reps!A:A,Dim_Reps!E:E)</f>
        <v>LATAM</v>
      </c>
      <c r="S2795" t="str">
        <f>_xlfn.XLOOKUP(Pipeline_tbl[[#This Row],[Created_Date]],Dim_Date!A:A,Dim_Date!H:H)</f>
        <v>Mar 2025</v>
      </c>
      <c r="T2795" t="str">
        <f>IF(Pipeline_tbl[[#This Row],[Closed_Date]]=0,"",(_xlfn.XLOOKUP(Pipeline_tbl[[#This Row],[Closed_Date]],Dim_Date!A:A,Dim_Date!H:H)))</f>
        <v>Jun 2025</v>
      </c>
      <c r="U2795">
        <f>IF(Pipeline_tbl[[#This Row],[Closed_Date]]=0,"",Pipeline_tbl[[#This Row],[Closed_Date]]-Pipeline_tbl[[#This Row],[Created_Date]])</f>
        <v>80</v>
      </c>
    </row>
    <row r="2796" spans="1:21" ht="15" customHeight="1" x14ac:dyDescent="0.2">
      <c r="A2796" t="s">
        <v>3102</v>
      </c>
      <c r="B2796" t="s">
        <v>282</v>
      </c>
      <c r="C2796" t="s">
        <v>54</v>
      </c>
      <c r="D2796" s="49">
        <v>45746</v>
      </c>
      <c r="E2796" s="49">
        <v>45754</v>
      </c>
      <c r="I2796" s="49">
        <v>45824</v>
      </c>
      <c r="J2796" t="s">
        <v>49</v>
      </c>
      <c r="K2796" s="33">
        <v>93500</v>
      </c>
      <c r="L2796" t="s">
        <v>62</v>
      </c>
      <c r="M2796" t="str">
        <f>_xlfn.XLOOKUP(Pipeline_tbl[[#This Row],[Rep_ID]],Dim_Reps!A:A,Dim_Reps!K:K)</f>
        <v>USD</v>
      </c>
      <c r="N2796" s="33">
        <f>(_xlfn.XLOOKUP(Pipeline_tbl[[#This Row],[Rate_Code_Generalized]],Lookups!A:A,Lookups!B:B))*Pipeline_tbl[[#This Row],[Pipeline_Amount_USD]]</f>
        <v>108862.04999999999</v>
      </c>
      <c r="O2796" t="str">
        <f>_xlfn.XLOOKUP(Pipeline_tbl[[#This Row],[Rep_ID]],Dim_Reps!A:A,Dim_Reps!B:B)</f>
        <v>Fatima Rossi</v>
      </c>
      <c r="P2796" t="str">
        <f>_xlfn.XLOOKUP(Pipeline_tbl[[#This Row],[Rep_ID]],Dim_Reps!A:A,Dim_Reps!C:C)</f>
        <v>Senior Enterprise AE</v>
      </c>
      <c r="Q2796" t="str">
        <f>_xlfn.XLOOKUP(Pipeline_tbl[[#This Row],[Rep_ID]],Dim_Reps!A:A,Dim_Reps!D:D)</f>
        <v>Strategic</v>
      </c>
      <c r="R2796" t="str">
        <f>_xlfn.XLOOKUP(Pipeline_tbl[[#This Row],[Rep_ID]],Dim_Reps!A:A,Dim_Reps!E:E)</f>
        <v>NAMER</v>
      </c>
      <c r="S2796" t="str">
        <f>_xlfn.XLOOKUP(Pipeline_tbl[[#This Row],[Created_Date]],Dim_Date!A:A,Dim_Date!H:H)</f>
        <v>Mar 2025</v>
      </c>
      <c r="T2796" t="str">
        <f>IF(Pipeline_tbl[[#This Row],[Closed_Date]]=0,"",(_xlfn.XLOOKUP(Pipeline_tbl[[#This Row],[Closed_Date]],Dim_Date!A:A,Dim_Date!H:H)))</f>
        <v>Jun 2025</v>
      </c>
      <c r="U2796">
        <f>IF(Pipeline_tbl[[#This Row],[Closed_Date]]=0,"",Pipeline_tbl[[#This Row],[Closed_Date]]-Pipeline_tbl[[#This Row],[Created_Date]])</f>
        <v>78</v>
      </c>
    </row>
    <row r="2797" spans="1:21" ht="15" customHeight="1" x14ac:dyDescent="0.2">
      <c r="A2797" t="s">
        <v>3103</v>
      </c>
      <c r="B2797" t="s">
        <v>282</v>
      </c>
      <c r="C2797" t="s">
        <v>53</v>
      </c>
      <c r="D2797" s="49">
        <v>45718</v>
      </c>
      <c r="E2797" s="49">
        <v>45729</v>
      </c>
      <c r="F2797" s="49">
        <v>45751</v>
      </c>
      <c r="G2797" s="49">
        <v>45784</v>
      </c>
      <c r="H2797" s="49">
        <v>45812</v>
      </c>
      <c r="I2797" s="49">
        <v>45828</v>
      </c>
      <c r="J2797" t="s">
        <v>49</v>
      </c>
      <c r="K2797" s="33">
        <v>145800</v>
      </c>
      <c r="L2797" t="s">
        <v>64</v>
      </c>
      <c r="M2797" t="str">
        <f>_xlfn.XLOOKUP(Pipeline_tbl[[#This Row],[Rep_ID]],Dim_Reps!A:A,Dim_Reps!K:K)</f>
        <v>USD</v>
      </c>
      <c r="N2797" s="33">
        <f>(_xlfn.XLOOKUP(Pipeline_tbl[[#This Row],[Rate_Code_Generalized]],Lookups!A:A,Lookups!B:B))*Pipeline_tbl[[#This Row],[Pipeline_Amount_USD]]</f>
        <v>169754.93999999997</v>
      </c>
      <c r="O2797" t="str">
        <f>_xlfn.XLOOKUP(Pipeline_tbl[[#This Row],[Rep_ID]],Dim_Reps!A:A,Dim_Reps!B:B)</f>
        <v>Fatima Rossi</v>
      </c>
      <c r="P2797" t="str">
        <f>_xlfn.XLOOKUP(Pipeline_tbl[[#This Row],[Rep_ID]],Dim_Reps!A:A,Dim_Reps!C:C)</f>
        <v>Senior Enterprise AE</v>
      </c>
      <c r="Q2797" t="str">
        <f>_xlfn.XLOOKUP(Pipeline_tbl[[#This Row],[Rep_ID]],Dim_Reps!A:A,Dim_Reps!D:D)</f>
        <v>Strategic</v>
      </c>
      <c r="R2797" t="str">
        <f>_xlfn.XLOOKUP(Pipeline_tbl[[#This Row],[Rep_ID]],Dim_Reps!A:A,Dim_Reps!E:E)</f>
        <v>NAMER</v>
      </c>
      <c r="S2797" t="str">
        <f>_xlfn.XLOOKUP(Pipeline_tbl[[#This Row],[Created_Date]],Dim_Date!A:A,Dim_Date!H:H)</f>
        <v>Mar 2025</v>
      </c>
      <c r="T2797" t="str">
        <f>IF(Pipeline_tbl[[#This Row],[Closed_Date]]=0,"",(_xlfn.XLOOKUP(Pipeline_tbl[[#This Row],[Closed_Date]],Dim_Date!A:A,Dim_Date!H:H)))</f>
        <v>Jun 2025</v>
      </c>
      <c r="U2797">
        <f>IF(Pipeline_tbl[[#This Row],[Closed_Date]]=0,"",Pipeline_tbl[[#This Row],[Closed_Date]]-Pipeline_tbl[[#This Row],[Created_Date]])</f>
        <v>110</v>
      </c>
    </row>
    <row r="2798" spans="1:21" ht="15" customHeight="1" x14ac:dyDescent="0.2">
      <c r="A2798" t="s">
        <v>3104</v>
      </c>
      <c r="B2798" t="s">
        <v>284</v>
      </c>
      <c r="C2798" t="s">
        <v>54</v>
      </c>
      <c r="D2798" s="49">
        <v>45733</v>
      </c>
      <c r="E2798" s="49">
        <v>45743</v>
      </c>
      <c r="F2798" s="49">
        <v>45762</v>
      </c>
      <c r="G2798" s="49">
        <v>45792</v>
      </c>
      <c r="H2798" s="49">
        <v>45816</v>
      </c>
      <c r="I2798" s="49">
        <v>45831</v>
      </c>
      <c r="J2798" t="s">
        <v>49</v>
      </c>
      <c r="K2798" s="33">
        <v>54200</v>
      </c>
      <c r="L2798" t="s">
        <v>61</v>
      </c>
      <c r="M2798" t="str">
        <f>_xlfn.XLOOKUP(Pipeline_tbl[[#This Row],[Rep_ID]],Dim_Reps!A:A,Dim_Reps!K:K)</f>
        <v>USD</v>
      </c>
      <c r="N2798" s="33">
        <f>(_xlfn.XLOOKUP(Pipeline_tbl[[#This Row],[Rate_Code_Generalized]],Lookups!A:A,Lookups!B:B))*Pipeline_tbl[[#This Row],[Pipeline_Amount_USD]]</f>
        <v>63105.06</v>
      </c>
      <c r="O2798" t="str">
        <f>_xlfn.XLOOKUP(Pipeline_tbl[[#This Row],[Rep_ID]],Dim_Reps!A:A,Dim_Reps!B:B)</f>
        <v>Taylor Adler</v>
      </c>
      <c r="P2798" t="str">
        <f>_xlfn.XLOOKUP(Pipeline_tbl[[#This Row],[Rep_ID]],Dim_Reps!A:A,Dim_Reps!C:C)</f>
        <v>Senior Enterprise AE</v>
      </c>
      <c r="Q2798" t="str">
        <f>_xlfn.XLOOKUP(Pipeline_tbl[[#This Row],[Rep_ID]],Dim_Reps!A:A,Dim_Reps!D:D)</f>
        <v>Strategic</v>
      </c>
      <c r="R2798" t="str">
        <f>_xlfn.XLOOKUP(Pipeline_tbl[[#This Row],[Rep_ID]],Dim_Reps!A:A,Dim_Reps!E:E)</f>
        <v>NAMER</v>
      </c>
      <c r="S2798" t="str">
        <f>_xlfn.XLOOKUP(Pipeline_tbl[[#This Row],[Created_Date]],Dim_Date!A:A,Dim_Date!H:H)</f>
        <v>Mar 2025</v>
      </c>
      <c r="T2798" t="str">
        <f>IF(Pipeline_tbl[[#This Row],[Closed_Date]]=0,"",(_xlfn.XLOOKUP(Pipeline_tbl[[#This Row],[Closed_Date]],Dim_Date!A:A,Dim_Date!H:H)))</f>
        <v>Jun 2025</v>
      </c>
      <c r="U2798">
        <f>IF(Pipeline_tbl[[#This Row],[Closed_Date]]=0,"",Pipeline_tbl[[#This Row],[Closed_Date]]-Pipeline_tbl[[#This Row],[Created_Date]])</f>
        <v>98</v>
      </c>
    </row>
    <row r="2799" spans="1:21" ht="15" customHeight="1" x14ac:dyDescent="0.2">
      <c r="A2799" t="s">
        <v>3105</v>
      </c>
      <c r="B2799" t="s">
        <v>284</v>
      </c>
      <c r="C2799" t="s">
        <v>52</v>
      </c>
      <c r="D2799" s="49">
        <v>45727</v>
      </c>
      <c r="E2799" s="49">
        <v>45736</v>
      </c>
      <c r="F2799" s="49">
        <v>45753</v>
      </c>
      <c r="G2799" s="49">
        <v>45779</v>
      </c>
      <c r="I2799" s="49">
        <v>45814</v>
      </c>
      <c r="J2799" t="s">
        <v>49</v>
      </c>
      <c r="K2799" s="33">
        <v>34400</v>
      </c>
      <c r="L2799" t="s">
        <v>60</v>
      </c>
      <c r="M2799" t="str">
        <f>_xlfn.XLOOKUP(Pipeline_tbl[[#This Row],[Rep_ID]],Dim_Reps!A:A,Dim_Reps!K:K)</f>
        <v>USD</v>
      </c>
      <c r="N2799" s="33">
        <f>(_xlfn.XLOOKUP(Pipeline_tbl[[#This Row],[Rate_Code_Generalized]],Lookups!A:A,Lookups!B:B))*Pipeline_tbl[[#This Row],[Pipeline_Amount_USD]]</f>
        <v>40051.919999999998</v>
      </c>
      <c r="O2799" t="str">
        <f>_xlfn.XLOOKUP(Pipeline_tbl[[#This Row],[Rep_ID]],Dim_Reps!A:A,Dim_Reps!B:B)</f>
        <v>Taylor Adler</v>
      </c>
      <c r="P2799" t="str">
        <f>_xlfn.XLOOKUP(Pipeline_tbl[[#This Row],[Rep_ID]],Dim_Reps!A:A,Dim_Reps!C:C)</f>
        <v>Senior Enterprise AE</v>
      </c>
      <c r="Q2799" t="str">
        <f>_xlfn.XLOOKUP(Pipeline_tbl[[#This Row],[Rep_ID]],Dim_Reps!A:A,Dim_Reps!D:D)</f>
        <v>Strategic</v>
      </c>
      <c r="R2799" t="str">
        <f>_xlfn.XLOOKUP(Pipeline_tbl[[#This Row],[Rep_ID]],Dim_Reps!A:A,Dim_Reps!E:E)</f>
        <v>NAMER</v>
      </c>
      <c r="S2799" t="str">
        <f>_xlfn.XLOOKUP(Pipeline_tbl[[#This Row],[Created_Date]],Dim_Date!A:A,Dim_Date!H:H)</f>
        <v>Mar 2025</v>
      </c>
      <c r="T2799" t="str">
        <f>IF(Pipeline_tbl[[#This Row],[Closed_Date]]=0,"",(_xlfn.XLOOKUP(Pipeline_tbl[[#This Row],[Closed_Date]],Dim_Date!A:A,Dim_Date!H:H)))</f>
        <v>Jun 2025</v>
      </c>
      <c r="U2799">
        <f>IF(Pipeline_tbl[[#This Row],[Closed_Date]]=0,"",Pipeline_tbl[[#This Row],[Closed_Date]]-Pipeline_tbl[[#This Row],[Created_Date]])</f>
        <v>87</v>
      </c>
    </row>
    <row r="2800" spans="1:21" ht="15" customHeight="1" x14ac:dyDescent="0.2">
      <c r="A2800" t="s">
        <v>3106</v>
      </c>
      <c r="B2800" t="s">
        <v>284</v>
      </c>
      <c r="C2800" t="s">
        <v>52</v>
      </c>
      <c r="D2800" s="49">
        <v>45730</v>
      </c>
      <c r="E2800" s="49">
        <v>45741</v>
      </c>
      <c r="F2800" s="49">
        <v>45762</v>
      </c>
      <c r="G2800" s="49">
        <v>45794</v>
      </c>
      <c r="H2800" s="49">
        <v>45820</v>
      </c>
      <c r="I2800" s="49">
        <v>45836</v>
      </c>
      <c r="J2800" t="s">
        <v>49</v>
      </c>
      <c r="K2800" s="33">
        <v>25500</v>
      </c>
      <c r="L2800" t="s">
        <v>63</v>
      </c>
      <c r="M2800" t="str">
        <f>_xlfn.XLOOKUP(Pipeline_tbl[[#This Row],[Rep_ID]],Dim_Reps!A:A,Dim_Reps!K:K)</f>
        <v>USD</v>
      </c>
      <c r="N2800" s="33">
        <f>(_xlfn.XLOOKUP(Pipeline_tbl[[#This Row],[Rate_Code_Generalized]],Lookups!A:A,Lookups!B:B))*Pipeline_tbl[[#This Row],[Pipeline_Amount_USD]]</f>
        <v>29689.649999999998</v>
      </c>
      <c r="O2800" t="str">
        <f>_xlfn.XLOOKUP(Pipeline_tbl[[#This Row],[Rep_ID]],Dim_Reps!A:A,Dim_Reps!B:B)</f>
        <v>Taylor Adler</v>
      </c>
      <c r="P2800" t="str">
        <f>_xlfn.XLOOKUP(Pipeline_tbl[[#This Row],[Rep_ID]],Dim_Reps!A:A,Dim_Reps!C:C)</f>
        <v>Senior Enterprise AE</v>
      </c>
      <c r="Q2800" t="str">
        <f>_xlfn.XLOOKUP(Pipeline_tbl[[#This Row],[Rep_ID]],Dim_Reps!A:A,Dim_Reps!D:D)</f>
        <v>Strategic</v>
      </c>
      <c r="R2800" t="str">
        <f>_xlfn.XLOOKUP(Pipeline_tbl[[#This Row],[Rep_ID]],Dim_Reps!A:A,Dim_Reps!E:E)</f>
        <v>NAMER</v>
      </c>
      <c r="S2800" t="str">
        <f>_xlfn.XLOOKUP(Pipeline_tbl[[#This Row],[Created_Date]],Dim_Date!A:A,Dim_Date!H:H)</f>
        <v>Mar 2025</v>
      </c>
      <c r="T2800" t="str">
        <f>IF(Pipeline_tbl[[#This Row],[Closed_Date]]=0,"",(_xlfn.XLOOKUP(Pipeline_tbl[[#This Row],[Closed_Date]],Dim_Date!A:A,Dim_Date!H:H)))</f>
        <v>Jun 2025</v>
      </c>
      <c r="U2800">
        <f>IF(Pipeline_tbl[[#This Row],[Closed_Date]]=0,"",Pipeline_tbl[[#This Row],[Closed_Date]]-Pipeline_tbl[[#This Row],[Created_Date]])</f>
        <v>106</v>
      </c>
    </row>
    <row r="2801" spans="1:21" ht="15" customHeight="1" x14ac:dyDescent="0.2">
      <c r="A2801" t="s">
        <v>3107</v>
      </c>
      <c r="B2801" t="s">
        <v>284</v>
      </c>
      <c r="C2801" t="s">
        <v>52</v>
      </c>
      <c r="D2801" s="49">
        <v>45745</v>
      </c>
      <c r="E2801" s="49">
        <v>45752</v>
      </c>
      <c r="F2801" s="49">
        <v>45765</v>
      </c>
      <c r="G2801" s="49">
        <v>45785</v>
      </c>
      <c r="H2801" s="49">
        <v>45802</v>
      </c>
      <c r="I2801" s="49">
        <v>45812</v>
      </c>
      <c r="J2801" t="s">
        <v>47</v>
      </c>
      <c r="K2801" s="33">
        <v>52800</v>
      </c>
      <c r="M2801" t="str">
        <f>_xlfn.XLOOKUP(Pipeline_tbl[[#This Row],[Rep_ID]],Dim_Reps!A:A,Dim_Reps!K:K)</f>
        <v>USD</v>
      </c>
      <c r="N2801" s="33">
        <f>(_xlfn.XLOOKUP(Pipeline_tbl[[#This Row],[Rate_Code_Generalized]],Lookups!A:A,Lookups!B:B))*Pipeline_tbl[[#This Row],[Pipeline_Amount_USD]]</f>
        <v>61475.039999999994</v>
      </c>
      <c r="O2801" t="str">
        <f>_xlfn.XLOOKUP(Pipeline_tbl[[#This Row],[Rep_ID]],Dim_Reps!A:A,Dim_Reps!B:B)</f>
        <v>Taylor Adler</v>
      </c>
      <c r="P2801" t="str">
        <f>_xlfn.XLOOKUP(Pipeline_tbl[[#This Row],[Rep_ID]],Dim_Reps!A:A,Dim_Reps!C:C)</f>
        <v>Senior Enterprise AE</v>
      </c>
      <c r="Q2801" t="str">
        <f>_xlfn.XLOOKUP(Pipeline_tbl[[#This Row],[Rep_ID]],Dim_Reps!A:A,Dim_Reps!D:D)</f>
        <v>Strategic</v>
      </c>
      <c r="R2801" t="str">
        <f>_xlfn.XLOOKUP(Pipeline_tbl[[#This Row],[Rep_ID]],Dim_Reps!A:A,Dim_Reps!E:E)</f>
        <v>NAMER</v>
      </c>
      <c r="S2801" t="str">
        <f>_xlfn.XLOOKUP(Pipeline_tbl[[#This Row],[Created_Date]],Dim_Date!A:A,Dim_Date!H:H)</f>
        <v>Mar 2025</v>
      </c>
      <c r="T2801" t="str">
        <f>IF(Pipeline_tbl[[#This Row],[Closed_Date]]=0,"",(_xlfn.XLOOKUP(Pipeline_tbl[[#This Row],[Closed_Date]],Dim_Date!A:A,Dim_Date!H:H)))</f>
        <v>Jun 2025</v>
      </c>
      <c r="U2801">
        <f>IF(Pipeline_tbl[[#This Row],[Closed_Date]]=0,"",Pipeline_tbl[[#This Row],[Closed_Date]]-Pipeline_tbl[[#This Row],[Created_Date]])</f>
        <v>67</v>
      </c>
    </row>
    <row r="2802" spans="1:21" ht="15" customHeight="1" x14ac:dyDescent="0.2">
      <c r="A2802" t="s">
        <v>3108</v>
      </c>
      <c r="B2802" t="s">
        <v>193</v>
      </c>
      <c r="C2802" t="s">
        <v>52</v>
      </c>
      <c r="D2802" s="49">
        <v>45724</v>
      </c>
      <c r="E2802" s="49">
        <v>45726</v>
      </c>
      <c r="I2802" s="49">
        <v>45739</v>
      </c>
      <c r="J2802" t="s">
        <v>49</v>
      </c>
      <c r="K2802" s="33">
        <v>4700</v>
      </c>
      <c r="L2802" t="s">
        <v>61</v>
      </c>
      <c r="M2802" t="str">
        <f>_xlfn.XLOOKUP(Pipeline_tbl[[#This Row],[Rep_ID]],Dim_Reps!A:A,Dim_Reps!K:K)</f>
        <v>USD</v>
      </c>
      <c r="N2802" s="33">
        <f>(_xlfn.XLOOKUP(Pipeline_tbl[[#This Row],[Rate_Code_Generalized]],Lookups!A:A,Lookups!B:B))*Pipeline_tbl[[#This Row],[Pipeline_Amount_USD]]</f>
        <v>5472.2099999999991</v>
      </c>
      <c r="O2802" t="str">
        <f>_xlfn.XLOOKUP(Pipeline_tbl[[#This Row],[Rep_ID]],Dim_Reps!A:A,Dim_Reps!B:B)</f>
        <v>Karim Rossi</v>
      </c>
      <c r="P2802" t="str">
        <f>_xlfn.XLOOKUP(Pipeline_tbl[[#This Row],[Rep_ID]],Dim_Reps!A:A,Dim_Reps!C:C)</f>
        <v>SDR / Inside Sales Rep</v>
      </c>
      <c r="Q2802" t="str">
        <f>_xlfn.XLOOKUP(Pipeline_tbl[[#This Row],[Rep_ID]],Dim_Reps!A:A,Dim_Reps!D:D)</f>
        <v>Inside Sales</v>
      </c>
      <c r="R2802" t="str">
        <f>_xlfn.XLOOKUP(Pipeline_tbl[[#This Row],[Rep_ID]],Dim_Reps!A:A,Dim_Reps!E:E)</f>
        <v>NAMER</v>
      </c>
      <c r="S2802" t="str">
        <f>_xlfn.XLOOKUP(Pipeline_tbl[[#This Row],[Created_Date]],Dim_Date!A:A,Dim_Date!H:H)</f>
        <v>Mar 2025</v>
      </c>
      <c r="T2802" t="str">
        <f>IF(Pipeline_tbl[[#This Row],[Closed_Date]]=0,"",(_xlfn.XLOOKUP(Pipeline_tbl[[#This Row],[Closed_Date]],Dim_Date!A:A,Dim_Date!H:H)))</f>
        <v>Mar 2025</v>
      </c>
      <c r="U2802">
        <f>IF(Pipeline_tbl[[#This Row],[Closed_Date]]=0,"",Pipeline_tbl[[#This Row],[Closed_Date]]-Pipeline_tbl[[#This Row],[Created_Date]])</f>
        <v>15</v>
      </c>
    </row>
    <row r="2803" spans="1:21" ht="15" customHeight="1" x14ac:dyDescent="0.2">
      <c r="A2803" t="s">
        <v>3109</v>
      </c>
      <c r="B2803" t="s">
        <v>193</v>
      </c>
      <c r="C2803" t="s">
        <v>53</v>
      </c>
      <c r="D2803" s="49">
        <v>45722</v>
      </c>
      <c r="E2803" s="49">
        <v>45724</v>
      </c>
      <c r="F2803" s="49">
        <v>45727</v>
      </c>
      <c r="G2803" s="49">
        <v>45732</v>
      </c>
      <c r="I2803" s="49">
        <v>45739</v>
      </c>
      <c r="J2803" t="s">
        <v>49</v>
      </c>
      <c r="K2803" s="33">
        <v>2000</v>
      </c>
      <c r="L2803" t="s">
        <v>63</v>
      </c>
      <c r="M2803" t="str">
        <f>_xlfn.XLOOKUP(Pipeline_tbl[[#This Row],[Rep_ID]],Dim_Reps!A:A,Dim_Reps!K:K)</f>
        <v>USD</v>
      </c>
      <c r="N2803" s="33">
        <f>(_xlfn.XLOOKUP(Pipeline_tbl[[#This Row],[Rate_Code_Generalized]],Lookups!A:A,Lookups!B:B))*Pipeline_tbl[[#This Row],[Pipeline_Amount_USD]]</f>
        <v>2328.6</v>
      </c>
      <c r="O2803" t="str">
        <f>_xlfn.XLOOKUP(Pipeline_tbl[[#This Row],[Rep_ID]],Dim_Reps!A:A,Dim_Reps!B:B)</f>
        <v>Karim Rossi</v>
      </c>
      <c r="P2803" t="str">
        <f>_xlfn.XLOOKUP(Pipeline_tbl[[#This Row],[Rep_ID]],Dim_Reps!A:A,Dim_Reps!C:C)</f>
        <v>SDR / Inside Sales Rep</v>
      </c>
      <c r="Q2803" t="str">
        <f>_xlfn.XLOOKUP(Pipeline_tbl[[#This Row],[Rep_ID]],Dim_Reps!A:A,Dim_Reps!D:D)</f>
        <v>Inside Sales</v>
      </c>
      <c r="R2803" t="str">
        <f>_xlfn.XLOOKUP(Pipeline_tbl[[#This Row],[Rep_ID]],Dim_Reps!A:A,Dim_Reps!E:E)</f>
        <v>NAMER</v>
      </c>
      <c r="S2803" t="str">
        <f>_xlfn.XLOOKUP(Pipeline_tbl[[#This Row],[Created_Date]],Dim_Date!A:A,Dim_Date!H:H)</f>
        <v>Mar 2025</v>
      </c>
      <c r="T2803" t="str">
        <f>IF(Pipeline_tbl[[#This Row],[Closed_Date]]=0,"",(_xlfn.XLOOKUP(Pipeline_tbl[[#This Row],[Closed_Date]],Dim_Date!A:A,Dim_Date!H:H)))</f>
        <v>Mar 2025</v>
      </c>
      <c r="U2803">
        <f>IF(Pipeline_tbl[[#This Row],[Closed_Date]]=0,"",Pipeline_tbl[[#This Row],[Closed_Date]]-Pipeline_tbl[[#This Row],[Created_Date]])</f>
        <v>17</v>
      </c>
    </row>
    <row r="2804" spans="1:21" ht="15" customHeight="1" x14ac:dyDescent="0.2">
      <c r="A2804" t="s">
        <v>3110</v>
      </c>
      <c r="B2804" t="s">
        <v>193</v>
      </c>
      <c r="C2804" t="s">
        <v>52</v>
      </c>
      <c r="D2804" s="49">
        <v>45722</v>
      </c>
      <c r="E2804" s="49">
        <v>45723</v>
      </c>
      <c r="F2804" s="49">
        <v>45726</v>
      </c>
      <c r="G2804" s="49">
        <v>45730</v>
      </c>
      <c r="H2804" s="49">
        <v>45733</v>
      </c>
      <c r="I2804" s="49">
        <v>45735</v>
      </c>
      <c r="J2804" t="s">
        <v>49</v>
      </c>
      <c r="K2804" s="33">
        <v>5900</v>
      </c>
      <c r="L2804" t="s">
        <v>60</v>
      </c>
      <c r="M2804" t="str">
        <f>_xlfn.XLOOKUP(Pipeline_tbl[[#This Row],[Rep_ID]],Dim_Reps!A:A,Dim_Reps!K:K)</f>
        <v>USD</v>
      </c>
      <c r="N2804" s="33">
        <f>(_xlfn.XLOOKUP(Pipeline_tbl[[#This Row],[Rate_Code_Generalized]],Lookups!A:A,Lookups!B:B))*Pipeline_tbl[[#This Row],[Pipeline_Amount_USD]]</f>
        <v>6869.369999999999</v>
      </c>
      <c r="O2804" t="str">
        <f>_xlfn.XLOOKUP(Pipeline_tbl[[#This Row],[Rep_ID]],Dim_Reps!A:A,Dim_Reps!B:B)</f>
        <v>Karim Rossi</v>
      </c>
      <c r="P2804" t="str">
        <f>_xlfn.XLOOKUP(Pipeline_tbl[[#This Row],[Rep_ID]],Dim_Reps!A:A,Dim_Reps!C:C)</f>
        <v>SDR / Inside Sales Rep</v>
      </c>
      <c r="Q2804" t="str">
        <f>_xlfn.XLOOKUP(Pipeline_tbl[[#This Row],[Rep_ID]],Dim_Reps!A:A,Dim_Reps!D:D)</f>
        <v>Inside Sales</v>
      </c>
      <c r="R2804" t="str">
        <f>_xlfn.XLOOKUP(Pipeline_tbl[[#This Row],[Rep_ID]],Dim_Reps!A:A,Dim_Reps!E:E)</f>
        <v>NAMER</v>
      </c>
      <c r="S2804" t="str">
        <f>_xlfn.XLOOKUP(Pipeline_tbl[[#This Row],[Created_Date]],Dim_Date!A:A,Dim_Date!H:H)</f>
        <v>Mar 2025</v>
      </c>
      <c r="T2804" t="str">
        <f>IF(Pipeline_tbl[[#This Row],[Closed_Date]]=0,"",(_xlfn.XLOOKUP(Pipeline_tbl[[#This Row],[Closed_Date]],Dim_Date!A:A,Dim_Date!H:H)))</f>
        <v>Mar 2025</v>
      </c>
      <c r="U2804">
        <f>IF(Pipeline_tbl[[#This Row],[Closed_Date]]=0,"",Pipeline_tbl[[#This Row],[Closed_Date]]-Pipeline_tbl[[#This Row],[Created_Date]])</f>
        <v>13</v>
      </c>
    </row>
    <row r="2805" spans="1:21" ht="15" customHeight="1" x14ac:dyDescent="0.2">
      <c r="A2805" t="s">
        <v>3111</v>
      </c>
      <c r="B2805" t="s">
        <v>193</v>
      </c>
      <c r="C2805" t="s">
        <v>52</v>
      </c>
      <c r="D2805" s="49">
        <v>45730</v>
      </c>
      <c r="E2805" s="49">
        <v>45731</v>
      </c>
      <c r="F2805" s="49">
        <v>45734</v>
      </c>
      <c r="G2805" s="49">
        <v>45738</v>
      </c>
      <c r="I2805" s="49">
        <v>45744</v>
      </c>
      <c r="J2805" t="s">
        <v>49</v>
      </c>
      <c r="K2805" s="33">
        <v>3400</v>
      </c>
      <c r="L2805" t="s">
        <v>61</v>
      </c>
      <c r="M2805" t="str">
        <f>_xlfn.XLOOKUP(Pipeline_tbl[[#This Row],[Rep_ID]],Dim_Reps!A:A,Dim_Reps!K:K)</f>
        <v>USD</v>
      </c>
      <c r="N2805" s="33">
        <f>(_xlfn.XLOOKUP(Pipeline_tbl[[#This Row],[Rate_Code_Generalized]],Lookups!A:A,Lookups!B:B))*Pipeline_tbl[[#This Row],[Pipeline_Amount_USD]]</f>
        <v>3958.6199999999994</v>
      </c>
      <c r="O2805" t="str">
        <f>_xlfn.XLOOKUP(Pipeline_tbl[[#This Row],[Rep_ID]],Dim_Reps!A:A,Dim_Reps!B:B)</f>
        <v>Karim Rossi</v>
      </c>
      <c r="P2805" t="str">
        <f>_xlfn.XLOOKUP(Pipeline_tbl[[#This Row],[Rep_ID]],Dim_Reps!A:A,Dim_Reps!C:C)</f>
        <v>SDR / Inside Sales Rep</v>
      </c>
      <c r="Q2805" t="str">
        <f>_xlfn.XLOOKUP(Pipeline_tbl[[#This Row],[Rep_ID]],Dim_Reps!A:A,Dim_Reps!D:D)</f>
        <v>Inside Sales</v>
      </c>
      <c r="R2805" t="str">
        <f>_xlfn.XLOOKUP(Pipeline_tbl[[#This Row],[Rep_ID]],Dim_Reps!A:A,Dim_Reps!E:E)</f>
        <v>NAMER</v>
      </c>
      <c r="S2805" t="str">
        <f>_xlfn.XLOOKUP(Pipeline_tbl[[#This Row],[Created_Date]],Dim_Date!A:A,Dim_Date!H:H)</f>
        <v>Mar 2025</v>
      </c>
      <c r="T2805" t="str">
        <f>IF(Pipeline_tbl[[#This Row],[Closed_Date]]=0,"",(_xlfn.XLOOKUP(Pipeline_tbl[[#This Row],[Closed_Date]],Dim_Date!A:A,Dim_Date!H:H)))</f>
        <v>Mar 2025</v>
      </c>
      <c r="U2805">
        <f>IF(Pipeline_tbl[[#This Row],[Closed_Date]]=0,"",Pipeline_tbl[[#This Row],[Closed_Date]]-Pipeline_tbl[[#This Row],[Created_Date]])</f>
        <v>14</v>
      </c>
    </row>
    <row r="2806" spans="1:21" ht="15" customHeight="1" x14ac:dyDescent="0.2">
      <c r="A2806" t="s">
        <v>3112</v>
      </c>
      <c r="B2806" t="s">
        <v>196</v>
      </c>
      <c r="C2806" t="s">
        <v>53</v>
      </c>
      <c r="D2806" s="49">
        <v>45717</v>
      </c>
      <c r="E2806" s="49">
        <v>45719</v>
      </c>
      <c r="F2806" s="49">
        <v>45723</v>
      </c>
      <c r="G2806" s="49">
        <v>45729</v>
      </c>
      <c r="H2806" s="49">
        <v>45734</v>
      </c>
      <c r="I2806" s="49">
        <v>45737</v>
      </c>
      <c r="J2806" t="s">
        <v>49</v>
      </c>
      <c r="K2806" s="33">
        <v>5700</v>
      </c>
      <c r="L2806" t="s">
        <v>60</v>
      </c>
      <c r="M2806" t="str">
        <f>_xlfn.XLOOKUP(Pipeline_tbl[[#This Row],[Rep_ID]],Dim_Reps!A:A,Dim_Reps!K:K)</f>
        <v>EUR</v>
      </c>
      <c r="N2806" s="33">
        <f>(_xlfn.XLOOKUP(Pipeline_tbl[[#This Row],[Rate_Code_Generalized]],Lookups!A:A,Lookups!B:B))*Pipeline_tbl[[#This Row],[Pipeline_Amount_USD]]</f>
        <v>5700</v>
      </c>
      <c r="O2806" t="str">
        <f>_xlfn.XLOOKUP(Pipeline_tbl[[#This Row],[Rep_ID]],Dim_Reps!A:A,Dim_Reps!B:B)</f>
        <v>Alex Okafor</v>
      </c>
      <c r="P2806" t="str">
        <f>_xlfn.XLOOKUP(Pipeline_tbl[[#This Row],[Rep_ID]],Dim_Reps!A:A,Dim_Reps!C:C)</f>
        <v>SDR / Inside Sales Rep</v>
      </c>
      <c r="Q2806" t="str">
        <f>_xlfn.XLOOKUP(Pipeline_tbl[[#This Row],[Rep_ID]],Dim_Reps!A:A,Dim_Reps!D:D)</f>
        <v>Inside Sales</v>
      </c>
      <c r="R2806" t="str">
        <f>_xlfn.XLOOKUP(Pipeline_tbl[[#This Row],[Rep_ID]],Dim_Reps!A:A,Dim_Reps!E:E)</f>
        <v>EMEA</v>
      </c>
      <c r="S2806" t="str">
        <f>_xlfn.XLOOKUP(Pipeline_tbl[[#This Row],[Created_Date]],Dim_Date!A:A,Dim_Date!H:H)</f>
        <v>Mar 2025</v>
      </c>
      <c r="T2806" t="str">
        <f>IF(Pipeline_tbl[[#This Row],[Closed_Date]]=0,"",(_xlfn.XLOOKUP(Pipeline_tbl[[#This Row],[Closed_Date]],Dim_Date!A:A,Dim_Date!H:H)))</f>
        <v>Mar 2025</v>
      </c>
      <c r="U2806">
        <f>IF(Pipeline_tbl[[#This Row],[Closed_Date]]=0,"",Pipeline_tbl[[#This Row],[Closed_Date]]-Pipeline_tbl[[#This Row],[Created_Date]])</f>
        <v>20</v>
      </c>
    </row>
    <row r="2807" spans="1:21" ht="15" customHeight="1" x14ac:dyDescent="0.2">
      <c r="A2807" t="s">
        <v>3113</v>
      </c>
      <c r="B2807" t="s">
        <v>196</v>
      </c>
      <c r="C2807" t="s">
        <v>52</v>
      </c>
      <c r="D2807" s="49">
        <v>45719</v>
      </c>
      <c r="E2807" s="49">
        <v>45720</v>
      </c>
      <c r="F2807" s="49">
        <v>45723</v>
      </c>
      <c r="G2807" s="49">
        <v>45727</v>
      </c>
      <c r="H2807" s="49">
        <v>45730</v>
      </c>
      <c r="I2807" s="49">
        <v>45732</v>
      </c>
      <c r="J2807" t="s">
        <v>47</v>
      </c>
      <c r="K2807" s="33">
        <v>4500</v>
      </c>
      <c r="M2807" t="str">
        <f>_xlfn.XLOOKUP(Pipeline_tbl[[#This Row],[Rep_ID]],Dim_Reps!A:A,Dim_Reps!K:K)</f>
        <v>EUR</v>
      </c>
      <c r="N2807" s="33">
        <f>(_xlfn.XLOOKUP(Pipeline_tbl[[#This Row],[Rate_Code_Generalized]],Lookups!A:A,Lookups!B:B))*Pipeline_tbl[[#This Row],[Pipeline_Amount_USD]]</f>
        <v>4500</v>
      </c>
      <c r="O2807" t="str">
        <f>_xlfn.XLOOKUP(Pipeline_tbl[[#This Row],[Rep_ID]],Dim_Reps!A:A,Dim_Reps!B:B)</f>
        <v>Alex Okafor</v>
      </c>
      <c r="P2807" t="str">
        <f>_xlfn.XLOOKUP(Pipeline_tbl[[#This Row],[Rep_ID]],Dim_Reps!A:A,Dim_Reps!C:C)</f>
        <v>SDR / Inside Sales Rep</v>
      </c>
      <c r="Q2807" t="str">
        <f>_xlfn.XLOOKUP(Pipeline_tbl[[#This Row],[Rep_ID]],Dim_Reps!A:A,Dim_Reps!D:D)</f>
        <v>Inside Sales</v>
      </c>
      <c r="R2807" t="str">
        <f>_xlfn.XLOOKUP(Pipeline_tbl[[#This Row],[Rep_ID]],Dim_Reps!A:A,Dim_Reps!E:E)</f>
        <v>EMEA</v>
      </c>
      <c r="S2807" t="str">
        <f>_xlfn.XLOOKUP(Pipeline_tbl[[#This Row],[Created_Date]],Dim_Date!A:A,Dim_Date!H:H)</f>
        <v>Mar 2025</v>
      </c>
      <c r="T2807" t="str">
        <f>IF(Pipeline_tbl[[#This Row],[Closed_Date]]=0,"",(_xlfn.XLOOKUP(Pipeline_tbl[[#This Row],[Closed_Date]],Dim_Date!A:A,Dim_Date!H:H)))</f>
        <v>Mar 2025</v>
      </c>
      <c r="U2807">
        <f>IF(Pipeline_tbl[[#This Row],[Closed_Date]]=0,"",Pipeline_tbl[[#This Row],[Closed_Date]]-Pipeline_tbl[[#This Row],[Created_Date]])</f>
        <v>13</v>
      </c>
    </row>
    <row r="2808" spans="1:21" ht="15" customHeight="1" x14ac:dyDescent="0.2">
      <c r="A2808" t="s">
        <v>3114</v>
      </c>
      <c r="B2808" t="s">
        <v>196</v>
      </c>
      <c r="C2808" t="s">
        <v>53</v>
      </c>
      <c r="D2808" s="49">
        <v>45721</v>
      </c>
      <c r="E2808" s="49">
        <v>45724</v>
      </c>
      <c r="F2808" s="49">
        <v>45729</v>
      </c>
      <c r="G2808" s="49">
        <v>45737</v>
      </c>
      <c r="H2808" s="49">
        <v>45743</v>
      </c>
      <c r="I2808" s="49">
        <v>45747</v>
      </c>
      <c r="J2808" t="s">
        <v>47</v>
      </c>
      <c r="K2808" s="33">
        <v>2000</v>
      </c>
      <c r="M2808" t="str">
        <f>_xlfn.XLOOKUP(Pipeline_tbl[[#This Row],[Rep_ID]],Dim_Reps!A:A,Dim_Reps!K:K)</f>
        <v>EUR</v>
      </c>
      <c r="N2808" s="33">
        <f>(_xlfn.XLOOKUP(Pipeline_tbl[[#This Row],[Rate_Code_Generalized]],Lookups!A:A,Lookups!B:B))*Pipeline_tbl[[#This Row],[Pipeline_Amount_USD]]</f>
        <v>2000</v>
      </c>
      <c r="O2808" t="str">
        <f>_xlfn.XLOOKUP(Pipeline_tbl[[#This Row],[Rep_ID]],Dim_Reps!A:A,Dim_Reps!B:B)</f>
        <v>Alex Okafor</v>
      </c>
      <c r="P2808" t="str">
        <f>_xlfn.XLOOKUP(Pipeline_tbl[[#This Row],[Rep_ID]],Dim_Reps!A:A,Dim_Reps!C:C)</f>
        <v>SDR / Inside Sales Rep</v>
      </c>
      <c r="Q2808" t="str">
        <f>_xlfn.XLOOKUP(Pipeline_tbl[[#This Row],[Rep_ID]],Dim_Reps!A:A,Dim_Reps!D:D)</f>
        <v>Inside Sales</v>
      </c>
      <c r="R2808" t="str">
        <f>_xlfn.XLOOKUP(Pipeline_tbl[[#This Row],[Rep_ID]],Dim_Reps!A:A,Dim_Reps!E:E)</f>
        <v>EMEA</v>
      </c>
      <c r="S2808" t="str">
        <f>_xlfn.XLOOKUP(Pipeline_tbl[[#This Row],[Created_Date]],Dim_Date!A:A,Dim_Date!H:H)</f>
        <v>Mar 2025</v>
      </c>
      <c r="T2808" t="str">
        <f>IF(Pipeline_tbl[[#This Row],[Closed_Date]]=0,"",(_xlfn.XLOOKUP(Pipeline_tbl[[#This Row],[Closed_Date]],Dim_Date!A:A,Dim_Date!H:H)))</f>
        <v>Mar 2025</v>
      </c>
      <c r="U2808">
        <f>IF(Pipeline_tbl[[#This Row],[Closed_Date]]=0,"",Pipeline_tbl[[#This Row],[Closed_Date]]-Pipeline_tbl[[#This Row],[Created_Date]])</f>
        <v>26</v>
      </c>
    </row>
    <row r="2809" spans="1:21" ht="15" customHeight="1" x14ac:dyDescent="0.2">
      <c r="A2809" t="s">
        <v>3115</v>
      </c>
      <c r="B2809" t="s">
        <v>196</v>
      </c>
      <c r="C2809" t="s">
        <v>54</v>
      </c>
      <c r="D2809" s="49">
        <v>45722</v>
      </c>
      <c r="E2809" s="49">
        <v>45724</v>
      </c>
      <c r="F2809" s="49">
        <v>45728</v>
      </c>
      <c r="G2809" s="49">
        <v>45733</v>
      </c>
      <c r="I2809" s="49">
        <v>45741</v>
      </c>
      <c r="J2809" t="s">
        <v>49</v>
      </c>
      <c r="K2809" s="33">
        <v>6200</v>
      </c>
      <c r="L2809" t="s">
        <v>63</v>
      </c>
      <c r="M2809" t="str">
        <f>_xlfn.XLOOKUP(Pipeline_tbl[[#This Row],[Rep_ID]],Dim_Reps!A:A,Dim_Reps!K:K)</f>
        <v>EUR</v>
      </c>
      <c r="N2809" s="33">
        <f>(_xlfn.XLOOKUP(Pipeline_tbl[[#This Row],[Rate_Code_Generalized]],Lookups!A:A,Lookups!B:B))*Pipeline_tbl[[#This Row],[Pipeline_Amount_USD]]</f>
        <v>6200</v>
      </c>
      <c r="O2809" t="str">
        <f>_xlfn.XLOOKUP(Pipeline_tbl[[#This Row],[Rep_ID]],Dim_Reps!A:A,Dim_Reps!B:B)</f>
        <v>Alex Okafor</v>
      </c>
      <c r="P2809" t="str">
        <f>_xlfn.XLOOKUP(Pipeline_tbl[[#This Row],[Rep_ID]],Dim_Reps!A:A,Dim_Reps!C:C)</f>
        <v>SDR / Inside Sales Rep</v>
      </c>
      <c r="Q2809" t="str">
        <f>_xlfn.XLOOKUP(Pipeline_tbl[[#This Row],[Rep_ID]],Dim_Reps!A:A,Dim_Reps!D:D)</f>
        <v>Inside Sales</v>
      </c>
      <c r="R2809" t="str">
        <f>_xlfn.XLOOKUP(Pipeline_tbl[[#This Row],[Rep_ID]],Dim_Reps!A:A,Dim_Reps!E:E)</f>
        <v>EMEA</v>
      </c>
      <c r="S2809" t="str">
        <f>_xlfn.XLOOKUP(Pipeline_tbl[[#This Row],[Created_Date]],Dim_Date!A:A,Dim_Date!H:H)</f>
        <v>Mar 2025</v>
      </c>
      <c r="T2809" t="str">
        <f>IF(Pipeline_tbl[[#This Row],[Closed_Date]]=0,"",(_xlfn.XLOOKUP(Pipeline_tbl[[#This Row],[Closed_Date]],Dim_Date!A:A,Dim_Date!H:H)))</f>
        <v>Mar 2025</v>
      </c>
      <c r="U2809">
        <f>IF(Pipeline_tbl[[#This Row],[Closed_Date]]=0,"",Pipeline_tbl[[#This Row],[Closed_Date]]-Pipeline_tbl[[#This Row],[Created_Date]])</f>
        <v>19</v>
      </c>
    </row>
    <row r="2810" spans="1:21" ht="15" customHeight="1" x14ac:dyDescent="0.2">
      <c r="A2810" t="s">
        <v>3116</v>
      </c>
      <c r="B2810" t="s">
        <v>196</v>
      </c>
      <c r="C2810" t="s">
        <v>53</v>
      </c>
      <c r="D2810" s="49">
        <v>45718</v>
      </c>
      <c r="E2810" s="49">
        <v>45720</v>
      </c>
      <c r="F2810" s="49">
        <v>45724</v>
      </c>
      <c r="G2810" s="49">
        <v>45731</v>
      </c>
      <c r="I2810" s="49">
        <v>45739</v>
      </c>
      <c r="J2810" t="s">
        <v>49</v>
      </c>
      <c r="K2810" s="33">
        <v>3600</v>
      </c>
      <c r="L2810" t="s">
        <v>60</v>
      </c>
      <c r="M2810" t="str">
        <f>_xlfn.XLOOKUP(Pipeline_tbl[[#This Row],[Rep_ID]],Dim_Reps!A:A,Dim_Reps!K:K)</f>
        <v>EUR</v>
      </c>
      <c r="N2810" s="33">
        <f>(_xlfn.XLOOKUP(Pipeline_tbl[[#This Row],[Rate_Code_Generalized]],Lookups!A:A,Lookups!B:B))*Pipeline_tbl[[#This Row],[Pipeline_Amount_USD]]</f>
        <v>3600</v>
      </c>
      <c r="O2810" t="str">
        <f>_xlfn.XLOOKUP(Pipeline_tbl[[#This Row],[Rep_ID]],Dim_Reps!A:A,Dim_Reps!B:B)</f>
        <v>Alex Okafor</v>
      </c>
      <c r="P2810" t="str">
        <f>_xlfn.XLOOKUP(Pipeline_tbl[[#This Row],[Rep_ID]],Dim_Reps!A:A,Dim_Reps!C:C)</f>
        <v>SDR / Inside Sales Rep</v>
      </c>
      <c r="Q2810" t="str">
        <f>_xlfn.XLOOKUP(Pipeline_tbl[[#This Row],[Rep_ID]],Dim_Reps!A:A,Dim_Reps!D:D)</f>
        <v>Inside Sales</v>
      </c>
      <c r="R2810" t="str">
        <f>_xlfn.XLOOKUP(Pipeline_tbl[[#This Row],[Rep_ID]],Dim_Reps!A:A,Dim_Reps!E:E)</f>
        <v>EMEA</v>
      </c>
      <c r="S2810" t="str">
        <f>_xlfn.XLOOKUP(Pipeline_tbl[[#This Row],[Created_Date]],Dim_Date!A:A,Dim_Date!H:H)</f>
        <v>Mar 2025</v>
      </c>
      <c r="T2810" t="str">
        <f>IF(Pipeline_tbl[[#This Row],[Closed_Date]]=0,"",(_xlfn.XLOOKUP(Pipeline_tbl[[#This Row],[Closed_Date]],Dim_Date!A:A,Dim_Date!H:H)))</f>
        <v>Mar 2025</v>
      </c>
      <c r="U2810">
        <f>IF(Pipeline_tbl[[#This Row],[Closed_Date]]=0,"",Pipeline_tbl[[#This Row],[Closed_Date]]-Pipeline_tbl[[#This Row],[Created_Date]])</f>
        <v>21</v>
      </c>
    </row>
    <row r="2811" spans="1:21" ht="15" customHeight="1" x14ac:dyDescent="0.2">
      <c r="A2811" t="s">
        <v>3117</v>
      </c>
      <c r="B2811" t="s">
        <v>199</v>
      </c>
      <c r="C2811" t="s">
        <v>53</v>
      </c>
      <c r="D2811" s="49">
        <v>45726</v>
      </c>
      <c r="E2811" s="49">
        <v>45728</v>
      </c>
      <c r="F2811" s="49">
        <v>45731</v>
      </c>
      <c r="G2811" s="49">
        <v>45736</v>
      </c>
      <c r="H2811" s="49">
        <v>45740</v>
      </c>
      <c r="I2811" s="49">
        <v>45743</v>
      </c>
      <c r="J2811" t="s">
        <v>49</v>
      </c>
      <c r="K2811" s="33">
        <v>3500</v>
      </c>
      <c r="L2811" t="s">
        <v>61</v>
      </c>
      <c r="M2811" t="str">
        <f>_xlfn.XLOOKUP(Pipeline_tbl[[#This Row],[Rep_ID]],Dim_Reps!A:A,Dim_Reps!K:K)</f>
        <v>EUR</v>
      </c>
      <c r="N2811" s="33">
        <f>(_xlfn.XLOOKUP(Pipeline_tbl[[#This Row],[Rate_Code_Generalized]],Lookups!A:A,Lookups!B:B))*Pipeline_tbl[[#This Row],[Pipeline_Amount_USD]]</f>
        <v>3500</v>
      </c>
      <c r="O2811" t="str">
        <f>_xlfn.XLOOKUP(Pipeline_tbl[[#This Row],[Rep_ID]],Dim_Reps!A:A,Dim_Reps!B:B)</f>
        <v>Lucas Okafor</v>
      </c>
      <c r="P2811" t="str">
        <f>_xlfn.XLOOKUP(Pipeline_tbl[[#This Row],[Rep_ID]],Dim_Reps!A:A,Dim_Reps!C:C)</f>
        <v>SDR / Inside Sales Rep</v>
      </c>
      <c r="Q2811" t="str">
        <f>_xlfn.XLOOKUP(Pipeline_tbl[[#This Row],[Rep_ID]],Dim_Reps!A:A,Dim_Reps!D:D)</f>
        <v>Inside Sales</v>
      </c>
      <c r="R2811" t="str">
        <f>_xlfn.XLOOKUP(Pipeline_tbl[[#This Row],[Rep_ID]],Dim_Reps!A:A,Dim_Reps!E:E)</f>
        <v>APAC</v>
      </c>
      <c r="S2811" t="str">
        <f>_xlfn.XLOOKUP(Pipeline_tbl[[#This Row],[Created_Date]],Dim_Date!A:A,Dim_Date!H:H)</f>
        <v>Mar 2025</v>
      </c>
      <c r="T2811" t="str">
        <f>IF(Pipeline_tbl[[#This Row],[Closed_Date]]=0,"",(_xlfn.XLOOKUP(Pipeline_tbl[[#This Row],[Closed_Date]],Dim_Date!A:A,Dim_Date!H:H)))</f>
        <v>Mar 2025</v>
      </c>
      <c r="U2811">
        <f>IF(Pipeline_tbl[[#This Row],[Closed_Date]]=0,"",Pipeline_tbl[[#This Row],[Closed_Date]]-Pipeline_tbl[[#This Row],[Created_Date]])</f>
        <v>17</v>
      </c>
    </row>
    <row r="2812" spans="1:21" ht="15" customHeight="1" x14ac:dyDescent="0.2">
      <c r="A2812" t="s">
        <v>3118</v>
      </c>
      <c r="B2812" t="s">
        <v>199</v>
      </c>
      <c r="C2812" t="s">
        <v>52</v>
      </c>
      <c r="D2812" s="49">
        <v>45717</v>
      </c>
      <c r="E2812" s="49">
        <v>45719</v>
      </c>
      <c r="F2812" s="49">
        <v>45724</v>
      </c>
      <c r="G2812" s="49">
        <v>45731</v>
      </c>
      <c r="H2812" s="49">
        <v>45737</v>
      </c>
      <c r="I2812" s="49">
        <v>45741</v>
      </c>
      <c r="J2812" t="s">
        <v>47</v>
      </c>
      <c r="K2812" s="33">
        <v>4100</v>
      </c>
      <c r="M2812" t="str">
        <f>_xlfn.XLOOKUP(Pipeline_tbl[[#This Row],[Rep_ID]],Dim_Reps!A:A,Dim_Reps!K:K)</f>
        <v>EUR</v>
      </c>
      <c r="N2812" s="33">
        <f>(_xlfn.XLOOKUP(Pipeline_tbl[[#This Row],[Rate_Code_Generalized]],Lookups!A:A,Lookups!B:B))*Pipeline_tbl[[#This Row],[Pipeline_Amount_USD]]</f>
        <v>4100</v>
      </c>
      <c r="O2812" t="str">
        <f>_xlfn.XLOOKUP(Pipeline_tbl[[#This Row],[Rep_ID]],Dim_Reps!A:A,Dim_Reps!B:B)</f>
        <v>Lucas Okafor</v>
      </c>
      <c r="P2812" t="str">
        <f>_xlfn.XLOOKUP(Pipeline_tbl[[#This Row],[Rep_ID]],Dim_Reps!A:A,Dim_Reps!C:C)</f>
        <v>SDR / Inside Sales Rep</v>
      </c>
      <c r="Q2812" t="str">
        <f>_xlfn.XLOOKUP(Pipeline_tbl[[#This Row],[Rep_ID]],Dim_Reps!A:A,Dim_Reps!D:D)</f>
        <v>Inside Sales</v>
      </c>
      <c r="R2812" t="str">
        <f>_xlfn.XLOOKUP(Pipeline_tbl[[#This Row],[Rep_ID]],Dim_Reps!A:A,Dim_Reps!E:E)</f>
        <v>APAC</v>
      </c>
      <c r="S2812" t="str">
        <f>_xlfn.XLOOKUP(Pipeline_tbl[[#This Row],[Created_Date]],Dim_Date!A:A,Dim_Date!H:H)</f>
        <v>Mar 2025</v>
      </c>
      <c r="T2812" t="str">
        <f>IF(Pipeline_tbl[[#This Row],[Closed_Date]]=0,"",(_xlfn.XLOOKUP(Pipeline_tbl[[#This Row],[Closed_Date]],Dim_Date!A:A,Dim_Date!H:H)))</f>
        <v>Mar 2025</v>
      </c>
      <c r="U2812">
        <f>IF(Pipeline_tbl[[#This Row],[Closed_Date]]=0,"",Pipeline_tbl[[#This Row],[Closed_Date]]-Pipeline_tbl[[#This Row],[Created_Date]])</f>
        <v>24</v>
      </c>
    </row>
    <row r="2813" spans="1:21" ht="15" customHeight="1" x14ac:dyDescent="0.2">
      <c r="A2813" t="s">
        <v>3119</v>
      </c>
      <c r="B2813" t="s">
        <v>199</v>
      </c>
      <c r="C2813" t="s">
        <v>54</v>
      </c>
      <c r="D2813" s="49">
        <v>45734</v>
      </c>
      <c r="E2813" s="49">
        <v>45734</v>
      </c>
      <c r="F2813" s="49">
        <v>45736</v>
      </c>
      <c r="G2813" s="49">
        <v>45737</v>
      </c>
      <c r="H2813" s="49">
        <v>45738</v>
      </c>
      <c r="I2813" s="49">
        <v>45739</v>
      </c>
      <c r="J2813" t="s">
        <v>47</v>
      </c>
      <c r="K2813" s="33">
        <v>2600</v>
      </c>
      <c r="M2813" t="str">
        <f>_xlfn.XLOOKUP(Pipeline_tbl[[#This Row],[Rep_ID]],Dim_Reps!A:A,Dim_Reps!K:K)</f>
        <v>EUR</v>
      </c>
      <c r="N2813" s="33">
        <f>(_xlfn.XLOOKUP(Pipeline_tbl[[#This Row],[Rate_Code_Generalized]],Lookups!A:A,Lookups!B:B))*Pipeline_tbl[[#This Row],[Pipeline_Amount_USD]]</f>
        <v>2600</v>
      </c>
      <c r="O2813" t="str">
        <f>_xlfn.XLOOKUP(Pipeline_tbl[[#This Row],[Rep_ID]],Dim_Reps!A:A,Dim_Reps!B:B)</f>
        <v>Lucas Okafor</v>
      </c>
      <c r="P2813" t="str">
        <f>_xlfn.XLOOKUP(Pipeline_tbl[[#This Row],[Rep_ID]],Dim_Reps!A:A,Dim_Reps!C:C)</f>
        <v>SDR / Inside Sales Rep</v>
      </c>
      <c r="Q2813" t="str">
        <f>_xlfn.XLOOKUP(Pipeline_tbl[[#This Row],[Rep_ID]],Dim_Reps!A:A,Dim_Reps!D:D)</f>
        <v>Inside Sales</v>
      </c>
      <c r="R2813" t="str">
        <f>_xlfn.XLOOKUP(Pipeline_tbl[[#This Row],[Rep_ID]],Dim_Reps!A:A,Dim_Reps!E:E)</f>
        <v>APAC</v>
      </c>
      <c r="S2813" t="str">
        <f>_xlfn.XLOOKUP(Pipeline_tbl[[#This Row],[Created_Date]],Dim_Date!A:A,Dim_Date!H:H)</f>
        <v>Mar 2025</v>
      </c>
      <c r="T2813" t="str">
        <f>IF(Pipeline_tbl[[#This Row],[Closed_Date]]=0,"",(_xlfn.XLOOKUP(Pipeline_tbl[[#This Row],[Closed_Date]],Dim_Date!A:A,Dim_Date!H:H)))</f>
        <v>Mar 2025</v>
      </c>
      <c r="U2813">
        <f>IF(Pipeline_tbl[[#This Row],[Closed_Date]]=0,"",Pipeline_tbl[[#This Row],[Closed_Date]]-Pipeline_tbl[[#This Row],[Created_Date]])</f>
        <v>5</v>
      </c>
    </row>
    <row r="2814" spans="1:21" ht="15" customHeight="1" x14ac:dyDescent="0.2">
      <c r="A2814" t="s">
        <v>3120</v>
      </c>
      <c r="B2814" t="s">
        <v>199</v>
      </c>
      <c r="C2814" t="s">
        <v>53</v>
      </c>
      <c r="D2814" s="49">
        <v>45721</v>
      </c>
      <c r="E2814" s="49">
        <v>45721</v>
      </c>
      <c r="F2814" s="49">
        <v>45723</v>
      </c>
      <c r="G2814" s="49">
        <v>45724</v>
      </c>
      <c r="H2814" s="49">
        <v>45725</v>
      </c>
      <c r="I2814" s="49">
        <v>45726</v>
      </c>
      <c r="J2814" t="s">
        <v>49</v>
      </c>
      <c r="K2814" s="33">
        <v>1400</v>
      </c>
      <c r="L2814" t="s">
        <v>64</v>
      </c>
      <c r="M2814" t="str">
        <f>_xlfn.XLOOKUP(Pipeline_tbl[[#This Row],[Rep_ID]],Dim_Reps!A:A,Dim_Reps!K:K)</f>
        <v>EUR</v>
      </c>
      <c r="N2814" s="33">
        <f>(_xlfn.XLOOKUP(Pipeline_tbl[[#This Row],[Rate_Code_Generalized]],Lookups!A:A,Lookups!B:B))*Pipeline_tbl[[#This Row],[Pipeline_Amount_USD]]</f>
        <v>1400</v>
      </c>
      <c r="O2814" t="str">
        <f>_xlfn.XLOOKUP(Pipeline_tbl[[#This Row],[Rep_ID]],Dim_Reps!A:A,Dim_Reps!B:B)</f>
        <v>Lucas Okafor</v>
      </c>
      <c r="P2814" t="str">
        <f>_xlfn.XLOOKUP(Pipeline_tbl[[#This Row],[Rep_ID]],Dim_Reps!A:A,Dim_Reps!C:C)</f>
        <v>SDR / Inside Sales Rep</v>
      </c>
      <c r="Q2814" t="str">
        <f>_xlfn.XLOOKUP(Pipeline_tbl[[#This Row],[Rep_ID]],Dim_Reps!A:A,Dim_Reps!D:D)</f>
        <v>Inside Sales</v>
      </c>
      <c r="R2814" t="str">
        <f>_xlfn.XLOOKUP(Pipeline_tbl[[#This Row],[Rep_ID]],Dim_Reps!A:A,Dim_Reps!E:E)</f>
        <v>APAC</v>
      </c>
      <c r="S2814" t="str">
        <f>_xlfn.XLOOKUP(Pipeline_tbl[[#This Row],[Created_Date]],Dim_Date!A:A,Dim_Date!H:H)</f>
        <v>Mar 2025</v>
      </c>
      <c r="T2814" t="str">
        <f>IF(Pipeline_tbl[[#This Row],[Closed_Date]]=0,"",(_xlfn.XLOOKUP(Pipeline_tbl[[#This Row],[Closed_Date]],Dim_Date!A:A,Dim_Date!H:H)))</f>
        <v>Mar 2025</v>
      </c>
      <c r="U2814">
        <f>IF(Pipeline_tbl[[#This Row],[Closed_Date]]=0,"",Pipeline_tbl[[#This Row],[Closed_Date]]-Pipeline_tbl[[#This Row],[Created_Date]])</f>
        <v>5</v>
      </c>
    </row>
    <row r="2815" spans="1:21" ht="15" customHeight="1" x14ac:dyDescent="0.2">
      <c r="A2815" t="s">
        <v>3121</v>
      </c>
      <c r="B2815" t="s">
        <v>199</v>
      </c>
      <c r="C2815" t="s">
        <v>52</v>
      </c>
      <c r="D2815" s="49">
        <v>45718</v>
      </c>
      <c r="E2815" s="49">
        <v>45720</v>
      </c>
      <c r="F2815" s="49">
        <v>45724</v>
      </c>
      <c r="G2815" s="49">
        <v>45731</v>
      </c>
      <c r="I2815" s="49">
        <v>45739</v>
      </c>
      <c r="J2815" t="s">
        <v>49</v>
      </c>
      <c r="K2815" s="33">
        <v>3100</v>
      </c>
      <c r="L2815" t="s">
        <v>61</v>
      </c>
      <c r="M2815" t="str">
        <f>_xlfn.XLOOKUP(Pipeline_tbl[[#This Row],[Rep_ID]],Dim_Reps!A:A,Dim_Reps!K:K)</f>
        <v>EUR</v>
      </c>
      <c r="N2815" s="33">
        <f>(_xlfn.XLOOKUP(Pipeline_tbl[[#This Row],[Rate_Code_Generalized]],Lookups!A:A,Lookups!B:B))*Pipeline_tbl[[#This Row],[Pipeline_Amount_USD]]</f>
        <v>3100</v>
      </c>
      <c r="O2815" t="str">
        <f>_xlfn.XLOOKUP(Pipeline_tbl[[#This Row],[Rep_ID]],Dim_Reps!A:A,Dim_Reps!B:B)</f>
        <v>Lucas Okafor</v>
      </c>
      <c r="P2815" t="str">
        <f>_xlfn.XLOOKUP(Pipeline_tbl[[#This Row],[Rep_ID]],Dim_Reps!A:A,Dim_Reps!C:C)</f>
        <v>SDR / Inside Sales Rep</v>
      </c>
      <c r="Q2815" t="str">
        <f>_xlfn.XLOOKUP(Pipeline_tbl[[#This Row],[Rep_ID]],Dim_Reps!A:A,Dim_Reps!D:D)</f>
        <v>Inside Sales</v>
      </c>
      <c r="R2815" t="str">
        <f>_xlfn.XLOOKUP(Pipeline_tbl[[#This Row],[Rep_ID]],Dim_Reps!A:A,Dim_Reps!E:E)</f>
        <v>APAC</v>
      </c>
      <c r="S2815" t="str">
        <f>_xlfn.XLOOKUP(Pipeline_tbl[[#This Row],[Created_Date]],Dim_Date!A:A,Dim_Date!H:H)</f>
        <v>Mar 2025</v>
      </c>
      <c r="T2815" t="str">
        <f>IF(Pipeline_tbl[[#This Row],[Closed_Date]]=0,"",(_xlfn.XLOOKUP(Pipeline_tbl[[#This Row],[Closed_Date]],Dim_Date!A:A,Dim_Date!H:H)))</f>
        <v>Mar 2025</v>
      </c>
      <c r="U2815">
        <f>IF(Pipeline_tbl[[#This Row],[Closed_Date]]=0,"",Pipeline_tbl[[#This Row],[Closed_Date]]-Pipeline_tbl[[#This Row],[Created_Date]])</f>
        <v>21</v>
      </c>
    </row>
    <row r="2816" spans="1:21" ht="15" customHeight="1" x14ac:dyDescent="0.2">
      <c r="A2816" t="s">
        <v>3122</v>
      </c>
      <c r="B2816" t="s">
        <v>199</v>
      </c>
      <c r="C2816" t="s">
        <v>53</v>
      </c>
      <c r="D2816" s="49">
        <v>45718</v>
      </c>
      <c r="E2816" s="49">
        <v>45719</v>
      </c>
      <c r="F2816" s="49">
        <v>45722</v>
      </c>
      <c r="G2816" s="49">
        <v>45725</v>
      </c>
      <c r="H2816" s="49">
        <v>45728</v>
      </c>
      <c r="I2816" s="49">
        <v>45730</v>
      </c>
      <c r="J2816" t="s">
        <v>47</v>
      </c>
      <c r="K2816" s="33">
        <v>3000</v>
      </c>
      <c r="M2816" t="str">
        <f>_xlfn.XLOOKUP(Pipeline_tbl[[#This Row],[Rep_ID]],Dim_Reps!A:A,Dim_Reps!K:K)</f>
        <v>EUR</v>
      </c>
      <c r="N2816" s="33">
        <f>(_xlfn.XLOOKUP(Pipeline_tbl[[#This Row],[Rate_Code_Generalized]],Lookups!A:A,Lookups!B:B))*Pipeline_tbl[[#This Row],[Pipeline_Amount_USD]]</f>
        <v>3000</v>
      </c>
      <c r="O2816" t="str">
        <f>_xlfn.XLOOKUP(Pipeline_tbl[[#This Row],[Rep_ID]],Dim_Reps!A:A,Dim_Reps!B:B)</f>
        <v>Lucas Okafor</v>
      </c>
      <c r="P2816" t="str">
        <f>_xlfn.XLOOKUP(Pipeline_tbl[[#This Row],[Rep_ID]],Dim_Reps!A:A,Dim_Reps!C:C)</f>
        <v>SDR / Inside Sales Rep</v>
      </c>
      <c r="Q2816" t="str">
        <f>_xlfn.XLOOKUP(Pipeline_tbl[[#This Row],[Rep_ID]],Dim_Reps!A:A,Dim_Reps!D:D)</f>
        <v>Inside Sales</v>
      </c>
      <c r="R2816" t="str">
        <f>_xlfn.XLOOKUP(Pipeline_tbl[[#This Row],[Rep_ID]],Dim_Reps!A:A,Dim_Reps!E:E)</f>
        <v>APAC</v>
      </c>
      <c r="S2816" t="str">
        <f>_xlfn.XLOOKUP(Pipeline_tbl[[#This Row],[Created_Date]],Dim_Date!A:A,Dim_Date!H:H)</f>
        <v>Mar 2025</v>
      </c>
      <c r="T2816" t="str">
        <f>IF(Pipeline_tbl[[#This Row],[Closed_Date]]=0,"",(_xlfn.XLOOKUP(Pipeline_tbl[[#This Row],[Closed_Date]],Dim_Date!A:A,Dim_Date!H:H)))</f>
        <v>Mar 2025</v>
      </c>
      <c r="U2816">
        <f>IF(Pipeline_tbl[[#This Row],[Closed_Date]]=0,"",Pipeline_tbl[[#This Row],[Closed_Date]]-Pipeline_tbl[[#This Row],[Created_Date]])</f>
        <v>12</v>
      </c>
    </row>
    <row r="2817" spans="1:21" ht="15" customHeight="1" x14ac:dyDescent="0.2">
      <c r="A2817" t="s">
        <v>3123</v>
      </c>
      <c r="B2817" t="s">
        <v>199</v>
      </c>
      <c r="C2817" t="s">
        <v>52</v>
      </c>
      <c r="D2817" s="49">
        <v>45726</v>
      </c>
      <c r="E2817" s="49">
        <v>45728</v>
      </c>
      <c r="F2817" s="49">
        <v>45731</v>
      </c>
      <c r="G2817" s="49">
        <v>45736</v>
      </c>
      <c r="I2817" s="49">
        <v>45743</v>
      </c>
      <c r="J2817" t="s">
        <v>49</v>
      </c>
      <c r="K2817" s="33">
        <v>4800</v>
      </c>
      <c r="L2817" t="s">
        <v>61</v>
      </c>
      <c r="M2817" t="str">
        <f>_xlfn.XLOOKUP(Pipeline_tbl[[#This Row],[Rep_ID]],Dim_Reps!A:A,Dim_Reps!K:K)</f>
        <v>EUR</v>
      </c>
      <c r="N2817" s="33">
        <f>(_xlfn.XLOOKUP(Pipeline_tbl[[#This Row],[Rate_Code_Generalized]],Lookups!A:A,Lookups!B:B))*Pipeline_tbl[[#This Row],[Pipeline_Amount_USD]]</f>
        <v>4800</v>
      </c>
      <c r="O2817" t="str">
        <f>_xlfn.XLOOKUP(Pipeline_tbl[[#This Row],[Rep_ID]],Dim_Reps!A:A,Dim_Reps!B:B)</f>
        <v>Lucas Okafor</v>
      </c>
      <c r="P2817" t="str">
        <f>_xlfn.XLOOKUP(Pipeline_tbl[[#This Row],[Rep_ID]],Dim_Reps!A:A,Dim_Reps!C:C)</f>
        <v>SDR / Inside Sales Rep</v>
      </c>
      <c r="Q2817" t="str">
        <f>_xlfn.XLOOKUP(Pipeline_tbl[[#This Row],[Rep_ID]],Dim_Reps!A:A,Dim_Reps!D:D)</f>
        <v>Inside Sales</v>
      </c>
      <c r="R2817" t="str">
        <f>_xlfn.XLOOKUP(Pipeline_tbl[[#This Row],[Rep_ID]],Dim_Reps!A:A,Dim_Reps!E:E)</f>
        <v>APAC</v>
      </c>
      <c r="S2817" t="str">
        <f>_xlfn.XLOOKUP(Pipeline_tbl[[#This Row],[Created_Date]],Dim_Date!A:A,Dim_Date!H:H)</f>
        <v>Mar 2025</v>
      </c>
      <c r="T2817" t="str">
        <f>IF(Pipeline_tbl[[#This Row],[Closed_Date]]=0,"",(_xlfn.XLOOKUP(Pipeline_tbl[[#This Row],[Closed_Date]],Dim_Date!A:A,Dim_Date!H:H)))</f>
        <v>Mar 2025</v>
      </c>
      <c r="U2817">
        <f>IF(Pipeline_tbl[[#This Row],[Closed_Date]]=0,"",Pipeline_tbl[[#This Row],[Closed_Date]]-Pipeline_tbl[[#This Row],[Created_Date]])</f>
        <v>17</v>
      </c>
    </row>
    <row r="2818" spans="1:21" ht="15" customHeight="1" x14ac:dyDescent="0.2">
      <c r="A2818" t="s">
        <v>3124</v>
      </c>
      <c r="B2818" t="s">
        <v>203</v>
      </c>
      <c r="C2818" t="s">
        <v>54</v>
      </c>
      <c r="D2818" s="49">
        <v>45724</v>
      </c>
      <c r="E2818" s="49">
        <v>45725</v>
      </c>
      <c r="I2818" s="49">
        <v>45738</v>
      </c>
      <c r="J2818" t="s">
        <v>49</v>
      </c>
      <c r="K2818" s="33">
        <v>4300</v>
      </c>
      <c r="L2818" t="s">
        <v>61</v>
      </c>
      <c r="M2818" t="str">
        <f>_xlfn.XLOOKUP(Pipeline_tbl[[#This Row],[Rep_ID]],Dim_Reps!A:A,Dim_Reps!K:K)</f>
        <v>EUR</v>
      </c>
      <c r="N2818" s="33">
        <f>(_xlfn.XLOOKUP(Pipeline_tbl[[#This Row],[Rate_Code_Generalized]],Lookups!A:A,Lookups!B:B))*Pipeline_tbl[[#This Row],[Pipeline_Amount_USD]]</f>
        <v>4300</v>
      </c>
      <c r="O2818" t="str">
        <f>_xlfn.XLOOKUP(Pipeline_tbl[[#This Row],[Rep_ID]],Dim_Reps!A:A,Dim_Reps!B:B)</f>
        <v>Riley Haddad</v>
      </c>
      <c r="P2818" t="str">
        <f>_xlfn.XLOOKUP(Pipeline_tbl[[#This Row],[Rep_ID]],Dim_Reps!A:A,Dim_Reps!C:C)</f>
        <v>SDR / Inside Sales Rep</v>
      </c>
      <c r="Q2818" t="str">
        <f>_xlfn.XLOOKUP(Pipeline_tbl[[#This Row],[Rep_ID]],Dim_Reps!A:A,Dim_Reps!D:D)</f>
        <v>Inside Sales</v>
      </c>
      <c r="R2818" t="str">
        <f>_xlfn.XLOOKUP(Pipeline_tbl[[#This Row],[Rep_ID]],Dim_Reps!A:A,Dim_Reps!E:E)</f>
        <v>APAC</v>
      </c>
      <c r="S2818" t="str">
        <f>_xlfn.XLOOKUP(Pipeline_tbl[[#This Row],[Created_Date]],Dim_Date!A:A,Dim_Date!H:H)</f>
        <v>Mar 2025</v>
      </c>
      <c r="T2818" t="str">
        <f>IF(Pipeline_tbl[[#This Row],[Closed_Date]]=0,"",(_xlfn.XLOOKUP(Pipeline_tbl[[#This Row],[Closed_Date]],Dim_Date!A:A,Dim_Date!H:H)))</f>
        <v>Mar 2025</v>
      </c>
      <c r="U2818">
        <f>IF(Pipeline_tbl[[#This Row],[Closed_Date]]=0,"",Pipeline_tbl[[#This Row],[Closed_Date]]-Pipeline_tbl[[#This Row],[Created_Date]])</f>
        <v>14</v>
      </c>
    </row>
    <row r="2819" spans="1:21" ht="15" customHeight="1" x14ac:dyDescent="0.2">
      <c r="A2819" t="s">
        <v>3125</v>
      </c>
      <c r="B2819" t="s">
        <v>203</v>
      </c>
      <c r="C2819" t="s">
        <v>53</v>
      </c>
      <c r="D2819" s="49">
        <v>45732</v>
      </c>
      <c r="E2819" s="49">
        <v>45733</v>
      </c>
      <c r="F2819" s="49">
        <v>45736</v>
      </c>
      <c r="G2819" s="49">
        <v>45739</v>
      </c>
      <c r="I2819" s="49">
        <v>45744</v>
      </c>
      <c r="J2819" t="s">
        <v>49</v>
      </c>
      <c r="K2819" s="33">
        <v>3400</v>
      </c>
      <c r="L2819" t="s">
        <v>60</v>
      </c>
      <c r="M2819" t="str">
        <f>_xlfn.XLOOKUP(Pipeline_tbl[[#This Row],[Rep_ID]],Dim_Reps!A:A,Dim_Reps!K:K)</f>
        <v>EUR</v>
      </c>
      <c r="N2819" s="33">
        <f>(_xlfn.XLOOKUP(Pipeline_tbl[[#This Row],[Rate_Code_Generalized]],Lookups!A:A,Lookups!B:B))*Pipeline_tbl[[#This Row],[Pipeline_Amount_USD]]</f>
        <v>3400</v>
      </c>
      <c r="O2819" t="str">
        <f>_xlfn.XLOOKUP(Pipeline_tbl[[#This Row],[Rep_ID]],Dim_Reps!A:A,Dim_Reps!B:B)</f>
        <v>Riley Haddad</v>
      </c>
      <c r="P2819" t="str">
        <f>_xlfn.XLOOKUP(Pipeline_tbl[[#This Row],[Rep_ID]],Dim_Reps!A:A,Dim_Reps!C:C)</f>
        <v>SDR / Inside Sales Rep</v>
      </c>
      <c r="Q2819" t="str">
        <f>_xlfn.XLOOKUP(Pipeline_tbl[[#This Row],[Rep_ID]],Dim_Reps!A:A,Dim_Reps!D:D)</f>
        <v>Inside Sales</v>
      </c>
      <c r="R2819" t="str">
        <f>_xlfn.XLOOKUP(Pipeline_tbl[[#This Row],[Rep_ID]],Dim_Reps!A:A,Dim_Reps!E:E)</f>
        <v>APAC</v>
      </c>
      <c r="S2819" t="str">
        <f>_xlfn.XLOOKUP(Pipeline_tbl[[#This Row],[Created_Date]],Dim_Date!A:A,Dim_Date!H:H)</f>
        <v>Mar 2025</v>
      </c>
      <c r="T2819" t="str">
        <f>IF(Pipeline_tbl[[#This Row],[Closed_Date]]=0,"",(_xlfn.XLOOKUP(Pipeline_tbl[[#This Row],[Closed_Date]],Dim_Date!A:A,Dim_Date!H:H)))</f>
        <v>Mar 2025</v>
      </c>
      <c r="U2819">
        <f>IF(Pipeline_tbl[[#This Row],[Closed_Date]]=0,"",Pipeline_tbl[[#This Row],[Closed_Date]]-Pipeline_tbl[[#This Row],[Created_Date]])</f>
        <v>12</v>
      </c>
    </row>
    <row r="2820" spans="1:21" ht="15" customHeight="1" x14ac:dyDescent="0.2">
      <c r="A2820" t="s">
        <v>3126</v>
      </c>
      <c r="B2820" t="s">
        <v>203</v>
      </c>
      <c r="C2820" t="s">
        <v>52</v>
      </c>
      <c r="D2820" s="49">
        <v>45735</v>
      </c>
      <c r="E2820" s="49">
        <v>45736</v>
      </c>
      <c r="F2820" s="49">
        <v>45738</v>
      </c>
      <c r="G2820" s="49">
        <v>45741</v>
      </c>
      <c r="I2820" s="49">
        <v>45745</v>
      </c>
      <c r="J2820" t="s">
        <v>49</v>
      </c>
      <c r="K2820" s="33">
        <v>2900</v>
      </c>
      <c r="L2820" t="s">
        <v>61</v>
      </c>
      <c r="M2820" t="str">
        <f>_xlfn.XLOOKUP(Pipeline_tbl[[#This Row],[Rep_ID]],Dim_Reps!A:A,Dim_Reps!K:K)</f>
        <v>EUR</v>
      </c>
      <c r="N2820" s="33">
        <f>(_xlfn.XLOOKUP(Pipeline_tbl[[#This Row],[Rate_Code_Generalized]],Lookups!A:A,Lookups!B:B))*Pipeline_tbl[[#This Row],[Pipeline_Amount_USD]]</f>
        <v>2900</v>
      </c>
      <c r="O2820" t="str">
        <f>_xlfn.XLOOKUP(Pipeline_tbl[[#This Row],[Rep_ID]],Dim_Reps!A:A,Dim_Reps!B:B)</f>
        <v>Riley Haddad</v>
      </c>
      <c r="P2820" t="str">
        <f>_xlfn.XLOOKUP(Pipeline_tbl[[#This Row],[Rep_ID]],Dim_Reps!A:A,Dim_Reps!C:C)</f>
        <v>SDR / Inside Sales Rep</v>
      </c>
      <c r="Q2820" t="str">
        <f>_xlfn.XLOOKUP(Pipeline_tbl[[#This Row],[Rep_ID]],Dim_Reps!A:A,Dim_Reps!D:D)</f>
        <v>Inside Sales</v>
      </c>
      <c r="R2820" t="str">
        <f>_xlfn.XLOOKUP(Pipeline_tbl[[#This Row],[Rep_ID]],Dim_Reps!A:A,Dim_Reps!E:E)</f>
        <v>APAC</v>
      </c>
      <c r="S2820" t="str">
        <f>_xlfn.XLOOKUP(Pipeline_tbl[[#This Row],[Created_Date]],Dim_Date!A:A,Dim_Date!H:H)</f>
        <v>Mar 2025</v>
      </c>
      <c r="T2820" t="str">
        <f>IF(Pipeline_tbl[[#This Row],[Closed_Date]]=0,"",(_xlfn.XLOOKUP(Pipeline_tbl[[#This Row],[Closed_Date]],Dim_Date!A:A,Dim_Date!H:H)))</f>
        <v>Mar 2025</v>
      </c>
      <c r="U2820">
        <f>IF(Pipeline_tbl[[#This Row],[Closed_Date]]=0,"",Pipeline_tbl[[#This Row],[Closed_Date]]-Pipeline_tbl[[#This Row],[Created_Date]])</f>
        <v>10</v>
      </c>
    </row>
    <row r="2821" spans="1:21" ht="15" customHeight="1" x14ac:dyDescent="0.2">
      <c r="A2821" t="s">
        <v>3127</v>
      </c>
      <c r="B2821" t="s">
        <v>203</v>
      </c>
      <c r="C2821" t="s">
        <v>54</v>
      </c>
      <c r="D2821" s="49">
        <v>45721</v>
      </c>
      <c r="E2821" s="49">
        <v>45723</v>
      </c>
      <c r="I2821" s="49">
        <v>45744</v>
      </c>
      <c r="J2821" t="s">
        <v>49</v>
      </c>
      <c r="K2821" s="33">
        <v>1600</v>
      </c>
      <c r="L2821" t="s">
        <v>61</v>
      </c>
      <c r="M2821" t="str">
        <f>_xlfn.XLOOKUP(Pipeline_tbl[[#This Row],[Rep_ID]],Dim_Reps!A:A,Dim_Reps!K:K)</f>
        <v>EUR</v>
      </c>
      <c r="N2821" s="33">
        <f>(_xlfn.XLOOKUP(Pipeline_tbl[[#This Row],[Rate_Code_Generalized]],Lookups!A:A,Lookups!B:B))*Pipeline_tbl[[#This Row],[Pipeline_Amount_USD]]</f>
        <v>1600</v>
      </c>
      <c r="O2821" t="str">
        <f>_xlfn.XLOOKUP(Pipeline_tbl[[#This Row],[Rep_ID]],Dim_Reps!A:A,Dim_Reps!B:B)</f>
        <v>Riley Haddad</v>
      </c>
      <c r="P2821" t="str">
        <f>_xlfn.XLOOKUP(Pipeline_tbl[[#This Row],[Rep_ID]],Dim_Reps!A:A,Dim_Reps!C:C)</f>
        <v>SDR / Inside Sales Rep</v>
      </c>
      <c r="Q2821" t="str">
        <f>_xlfn.XLOOKUP(Pipeline_tbl[[#This Row],[Rep_ID]],Dim_Reps!A:A,Dim_Reps!D:D)</f>
        <v>Inside Sales</v>
      </c>
      <c r="R2821" t="str">
        <f>_xlfn.XLOOKUP(Pipeline_tbl[[#This Row],[Rep_ID]],Dim_Reps!A:A,Dim_Reps!E:E)</f>
        <v>APAC</v>
      </c>
      <c r="S2821" t="str">
        <f>_xlfn.XLOOKUP(Pipeline_tbl[[#This Row],[Created_Date]],Dim_Date!A:A,Dim_Date!H:H)</f>
        <v>Mar 2025</v>
      </c>
      <c r="T2821" t="str">
        <f>IF(Pipeline_tbl[[#This Row],[Closed_Date]]=0,"",(_xlfn.XLOOKUP(Pipeline_tbl[[#This Row],[Closed_Date]],Dim_Date!A:A,Dim_Date!H:H)))</f>
        <v>Mar 2025</v>
      </c>
      <c r="U2821">
        <f>IF(Pipeline_tbl[[#This Row],[Closed_Date]]=0,"",Pipeline_tbl[[#This Row],[Closed_Date]]-Pipeline_tbl[[#This Row],[Created_Date]])</f>
        <v>23</v>
      </c>
    </row>
    <row r="2822" spans="1:21" ht="15" customHeight="1" x14ac:dyDescent="0.2">
      <c r="A2822" t="s">
        <v>3128</v>
      </c>
      <c r="B2822" t="s">
        <v>203</v>
      </c>
      <c r="C2822" t="s">
        <v>56</v>
      </c>
      <c r="D2822" s="49">
        <v>45724</v>
      </c>
      <c r="E2822" s="49">
        <v>45726</v>
      </c>
      <c r="F2822" s="49">
        <v>45730</v>
      </c>
      <c r="I2822" s="49">
        <v>45745</v>
      </c>
      <c r="J2822" t="s">
        <v>49</v>
      </c>
      <c r="K2822" s="33">
        <v>3000</v>
      </c>
      <c r="L2822" t="s">
        <v>61</v>
      </c>
      <c r="M2822" t="str">
        <f>_xlfn.XLOOKUP(Pipeline_tbl[[#This Row],[Rep_ID]],Dim_Reps!A:A,Dim_Reps!K:K)</f>
        <v>EUR</v>
      </c>
      <c r="N2822" s="33">
        <f>(_xlfn.XLOOKUP(Pipeline_tbl[[#This Row],[Rate_Code_Generalized]],Lookups!A:A,Lookups!B:B))*Pipeline_tbl[[#This Row],[Pipeline_Amount_USD]]</f>
        <v>3000</v>
      </c>
      <c r="O2822" t="str">
        <f>_xlfn.XLOOKUP(Pipeline_tbl[[#This Row],[Rep_ID]],Dim_Reps!A:A,Dim_Reps!B:B)</f>
        <v>Riley Haddad</v>
      </c>
      <c r="P2822" t="str">
        <f>_xlfn.XLOOKUP(Pipeline_tbl[[#This Row],[Rep_ID]],Dim_Reps!A:A,Dim_Reps!C:C)</f>
        <v>SDR / Inside Sales Rep</v>
      </c>
      <c r="Q2822" t="str">
        <f>_xlfn.XLOOKUP(Pipeline_tbl[[#This Row],[Rep_ID]],Dim_Reps!A:A,Dim_Reps!D:D)</f>
        <v>Inside Sales</v>
      </c>
      <c r="R2822" t="str">
        <f>_xlfn.XLOOKUP(Pipeline_tbl[[#This Row],[Rep_ID]],Dim_Reps!A:A,Dim_Reps!E:E)</f>
        <v>APAC</v>
      </c>
      <c r="S2822" t="str">
        <f>_xlfn.XLOOKUP(Pipeline_tbl[[#This Row],[Created_Date]],Dim_Date!A:A,Dim_Date!H:H)</f>
        <v>Mar 2025</v>
      </c>
      <c r="T2822" t="str">
        <f>IF(Pipeline_tbl[[#This Row],[Closed_Date]]=0,"",(_xlfn.XLOOKUP(Pipeline_tbl[[#This Row],[Closed_Date]],Dim_Date!A:A,Dim_Date!H:H)))</f>
        <v>Mar 2025</v>
      </c>
      <c r="U2822">
        <f>IF(Pipeline_tbl[[#This Row],[Closed_Date]]=0,"",Pipeline_tbl[[#This Row],[Closed_Date]]-Pipeline_tbl[[#This Row],[Created_Date]])</f>
        <v>21</v>
      </c>
    </row>
    <row r="2823" spans="1:21" ht="15" customHeight="1" x14ac:dyDescent="0.2">
      <c r="A2823" t="s">
        <v>3129</v>
      </c>
      <c r="B2823" t="s">
        <v>203</v>
      </c>
      <c r="C2823" t="s">
        <v>52</v>
      </c>
      <c r="D2823" s="49">
        <v>45731</v>
      </c>
      <c r="E2823" s="49">
        <v>45732</v>
      </c>
      <c r="F2823" s="49">
        <v>45733</v>
      </c>
      <c r="G2823" s="49">
        <v>45736</v>
      </c>
      <c r="H2823" s="49">
        <v>45738</v>
      </c>
      <c r="I2823" s="49">
        <v>45739</v>
      </c>
      <c r="J2823" t="s">
        <v>49</v>
      </c>
      <c r="K2823" s="33">
        <v>2200</v>
      </c>
      <c r="L2823" t="s">
        <v>61</v>
      </c>
      <c r="M2823" t="str">
        <f>_xlfn.XLOOKUP(Pipeline_tbl[[#This Row],[Rep_ID]],Dim_Reps!A:A,Dim_Reps!K:K)</f>
        <v>EUR</v>
      </c>
      <c r="N2823" s="33">
        <f>(_xlfn.XLOOKUP(Pipeline_tbl[[#This Row],[Rate_Code_Generalized]],Lookups!A:A,Lookups!B:B))*Pipeline_tbl[[#This Row],[Pipeline_Amount_USD]]</f>
        <v>2200</v>
      </c>
      <c r="O2823" t="str">
        <f>_xlfn.XLOOKUP(Pipeline_tbl[[#This Row],[Rep_ID]],Dim_Reps!A:A,Dim_Reps!B:B)</f>
        <v>Riley Haddad</v>
      </c>
      <c r="P2823" t="str">
        <f>_xlfn.XLOOKUP(Pipeline_tbl[[#This Row],[Rep_ID]],Dim_Reps!A:A,Dim_Reps!C:C)</f>
        <v>SDR / Inside Sales Rep</v>
      </c>
      <c r="Q2823" t="str">
        <f>_xlfn.XLOOKUP(Pipeline_tbl[[#This Row],[Rep_ID]],Dim_Reps!A:A,Dim_Reps!D:D)</f>
        <v>Inside Sales</v>
      </c>
      <c r="R2823" t="str">
        <f>_xlfn.XLOOKUP(Pipeline_tbl[[#This Row],[Rep_ID]],Dim_Reps!A:A,Dim_Reps!E:E)</f>
        <v>APAC</v>
      </c>
      <c r="S2823" t="str">
        <f>_xlfn.XLOOKUP(Pipeline_tbl[[#This Row],[Created_Date]],Dim_Date!A:A,Dim_Date!H:H)</f>
        <v>Mar 2025</v>
      </c>
      <c r="T2823" t="str">
        <f>IF(Pipeline_tbl[[#This Row],[Closed_Date]]=0,"",(_xlfn.XLOOKUP(Pipeline_tbl[[#This Row],[Closed_Date]],Dim_Date!A:A,Dim_Date!H:H)))</f>
        <v>Mar 2025</v>
      </c>
      <c r="U2823">
        <f>IF(Pipeline_tbl[[#This Row],[Closed_Date]]=0,"",Pipeline_tbl[[#This Row],[Closed_Date]]-Pipeline_tbl[[#This Row],[Created_Date]])</f>
        <v>8</v>
      </c>
    </row>
    <row r="2824" spans="1:21" ht="15" customHeight="1" x14ac:dyDescent="0.2">
      <c r="A2824" t="s">
        <v>3130</v>
      </c>
      <c r="B2824" t="s">
        <v>203</v>
      </c>
      <c r="C2824" t="s">
        <v>55</v>
      </c>
      <c r="D2824" s="49">
        <v>45725</v>
      </c>
      <c r="E2824" s="49">
        <v>45727</v>
      </c>
      <c r="F2824" s="49">
        <v>45730</v>
      </c>
      <c r="G2824" s="49">
        <v>45735</v>
      </c>
      <c r="H2824" s="49">
        <v>45739</v>
      </c>
      <c r="I2824" s="49">
        <v>45741</v>
      </c>
      <c r="J2824" t="s">
        <v>47</v>
      </c>
      <c r="K2824" s="33">
        <v>4400</v>
      </c>
      <c r="M2824" t="str">
        <f>_xlfn.XLOOKUP(Pipeline_tbl[[#This Row],[Rep_ID]],Dim_Reps!A:A,Dim_Reps!K:K)</f>
        <v>EUR</v>
      </c>
      <c r="N2824" s="33">
        <f>(_xlfn.XLOOKUP(Pipeline_tbl[[#This Row],[Rate_Code_Generalized]],Lookups!A:A,Lookups!B:B))*Pipeline_tbl[[#This Row],[Pipeline_Amount_USD]]</f>
        <v>4400</v>
      </c>
      <c r="O2824" t="str">
        <f>_xlfn.XLOOKUP(Pipeline_tbl[[#This Row],[Rep_ID]],Dim_Reps!A:A,Dim_Reps!B:B)</f>
        <v>Riley Haddad</v>
      </c>
      <c r="P2824" t="str">
        <f>_xlfn.XLOOKUP(Pipeline_tbl[[#This Row],[Rep_ID]],Dim_Reps!A:A,Dim_Reps!C:C)</f>
        <v>SDR / Inside Sales Rep</v>
      </c>
      <c r="Q2824" t="str">
        <f>_xlfn.XLOOKUP(Pipeline_tbl[[#This Row],[Rep_ID]],Dim_Reps!A:A,Dim_Reps!D:D)</f>
        <v>Inside Sales</v>
      </c>
      <c r="R2824" t="str">
        <f>_xlfn.XLOOKUP(Pipeline_tbl[[#This Row],[Rep_ID]],Dim_Reps!A:A,Dim_Reps!E:E)</f>
        <v>APAC</v>
      </c>
      <c r="S2824" t="str">
        <f>_xlfn.XLOOKUP(Pipeline_tbl[[#This Row],[Created_Date]],Dim_Date!A:A,Dim_Date!H:H)</f>
        <v>Mar 2025</v>
      </c>
      <c r="T2824" t="str">
        <f>IF(Pipeline_tbl[[#This Row],[Closed_Date]]=0,"",(_xlfn.XLOOKUP(Pipeline_tbl[[#This Row],[Closed_Date]],Dim_Date!A:A,Dim_Date!H:H)))</f>
        <v>Mar 2025</v>
      </c>
      <c r="U2824">
        <f>IF(Pipeline_tbl[[#This Row],[Closed_Date]]=0,"",Pipeline_tbl[[#This Row],[Closed_Date]]-Pipeline_tbl[[#This Row],[Created_Date]])</f>
        <v>16</v>
      </c>
    </row>
    <row r="2825" spans="1:21" ht="15" customHeight="1" x14ac:dyDescent="0.2">
      <c r="A2825" t="s">
        <v>3131</v>
      </c>
      <c r="B2825" t="s">
        <v>203</v>
      </c>
      <c r="C2825" t="s">
        <v>53</v>
      </c>
      <c r="D2825" s="49">
        <v>45725</v>
      </c>
      <c r="E2825" s="49">
        <v>45727</v>
      </c>
      <c r="F2825" s="49">
        <v>45730</v>
      </c>
      <c r="G2825" s="49">
        <v>45735</v>
      </c>
      <c r="H2825" s="49">
        <v>45739</v>
      </c>
      <c r="I2825" s="49">
        <v>45742</v>
      </c>
      <c r="J2825" t="s">
        <v>47</v>
      </c>
      <c r="K2825" s="33">
        <v>2200</v>
      </c>
      <c r="M2825" t="str">
        <f>_xlfn.XLOOKUP(Pipeline_tbl[[#This Row],[Rep_ID]],Dim_Reps!A:A,Dim_Reps!K:K)</f>
        <v>EUR</v>
      </c>
      <c r="N2825" s="33">
        <f>(_xlfn.XLOOKUP(Pipeline_tbl[[#This Row],[Rate_Code_Generalized]],Lookups!A:A,Lookups!B:B))*Pipeline_tbl[[#This Row],[Pipeline_Amount_USD]]</f>
        <v>2200</v>
      </c>
      <c r="O2825" t="str">
        <f>_xlfn.XLOOKUP(Pipeline_tbl[[#This Row],[Rep_ID]],Dim_Reps!A:A,Dim_Reps!B:B)</f>
        <v>Riley Haddad</v>
      </c>
      <c r="P2825" t="str">
        <f>_xlfn.XLOOKUP(Pipeline_tbl[[#This Row],[Rep_ID]],Dim_Reps!A:A,Dim_Reps!C:C)</f>
        <v>SDR / Inside Sales Rep</v>
      </c>
      <c r="Q2825" t="str">
        <f>_xlfn.XLOOKUP(Pipeline_tbl[[#This Row],[Rep_ID]],Dim_Reps!A:A,Dim_Reps!D:D)</f>
        <v>Inside Sales</v>
      </c>
      <c r="R2825" t="str">
        <f>_xlfn.XLOOKUP(Pipeline_tbl[[#This Row],[Rep_ID]],Dim_Reps!A:A,Dim_Reps!E:E)</f>
        <v>APAC</v>
      </c>
      <c r="S2825" t="str">
        <f>_xlfn.XLOOKUP(Pipeline_tbl[[#This Row],[Created_Date]],Dim_Date!A:A,Dim_Date!H:H)</f>
        <v>Mar 2025</v>
      </c>
      <c r="T2825" t="str">
        <f>IF(Pipeline_tbl[[#This Row],[Closed_Date]]=0,"",(_xlfn.XLOOKUP(Pipeline_tbl[[#This Row],[Closed_Date]],Dim_Date!A:A,Dim_Date!H:H)))</f>
        <v>Mar 2025</v>
      </c>
      <c r="U2825">
        <f>IF(Pipeline_tbl[[#This Row],[Closed_Date]]=0,"",Pipeline_tbl[[#This Row],[Closed_Date]]-Pipeline_tbl[[#This Row],[Created_Date]])</f>
        <v>17</v>
      </c>
    </row>
    <row r="2826" spans="1:21" ht="15" customHeight="1" x14ac:dyDescent="0.2">
      <c r="A2826" t="s">
        <v>3132</v>
      </c>
      <c r="B2826" t="s">
        <v>205</v>
      </c>
      <c r="C2826" t="s">
        <v>53</v>
      </c>
      <c r="D2826" s="49">
        <v>45730</v>
      </c>
      <c r="E2826" s="49">
        <v>45732</v>
      </c>
      <c r="F2826" s="49">
        <v>45735</v>
      </c>
      <c r="G2826" s="49">
        <v>45739</v>
      </c>
      <c r="H2826" s="49">
        <v>45743</v>
      </c>
      <c r="I2826" s="49">
        <v>45745</v>
      </c>
      <c r="J2826" t="s">
        <v>47</v>
      </c>
      <c r="K2826" s="33">
        <v>2700</v>
      </c>
      <c r="M2826" t="str">
        <f>_xlfn.XLOOKUP(Pipeline_tbl[[#This Row],[Rep_ID]],Dim_Reps!A:A,Dim_Reps!K:K)</f>
        <v>EUR</v>
      </c>
      <c r="N2826" s="33">
        <f>(_xlfn.XLOOKUP(Pipeline_tbl[[#This Row],[Rate_Code_Generalized]],Lookups!A:A,Lookups!B:B))*Pipeline_tbl[[#This Row],[Pipeline_Amount_USD]]</f>
        <v>2700</v>
      </c>
      <c r="O2826" t="str">
        <f>_xlfn.XLOOKUP(Pipeline_tbl[[#This Row],[Rep_ID]],Dim_Reps!A:A,Dim_Reps!B:B)</f>
        <v>Karim Alvarez</v>
      </c>
      <c r="P2826" t="str">
        <f>_xlfn.XLOOKUP(Pipeline_tbl[[#This Row],[Rep_ID]],Dim_Reps!A:A,Dim_Reps!C:C)</f>
        <v>SDR / Inside Sales Rep</v>
      </c>
      <c r="Q2826" t="str">
        <f>_xlfn.XLOOKUP(Pipeline_tbl[[#This Row],[Rep_ID]],Dim_Reps!A:A,Dim_Reps!D:D)</f>
        <v>Inside Sales</v>
      </c>
      <c r="R2826" t="str">
        <f>_xlfn.XLOOKUP(Pipeline_tbl[[#This Row],[Rep_ID]],Dim_Reps!A:A,Dim_Reps!E:E)</f>
        <v>EMEA</v>
      </c>
      <c r="S2826" t="str">
        <f>_xlfn.XLOOKUP(Pipeline_tbl[[#This Row],[Created_Date]],Dim_Date!A:A,Dim_Date!H:H)</f>
        <v>Mar 2025</v>
      </c>
      <c r="T2826" t="str">
        <f>IF(Pipeline_tbl[[#This Row],[Closed_Date]]=0,"",(_xlfn.XLOOKUP(Pipeline_tbl[[#This Row],[Closed_Date]],Dim_Date!A:A,Dim_Date!H:H)))</f>
        <v>Mar 2025</v>
      </c>
      <c r="U2826">
        <f>IF(Pipeline_tbl[[#This Row],[Closed_Date]]=0,"",Pipeline_tbl[[#This Row],[Closed_Date]]-Pipeline_tbl[[#This Row],[Created_Date]])</f>
        <v>15</v>
      </c>
    </row>
    <row r="2827" spans="1:21" ht="15" customHeight="1" x14ac:dyDescent="0.2">
      <c r="A2827" t="s">
        <v>3133</v>
      </c>
      <c r="B2827" t="s">
        <v>205</v>
      </c>
      <c r="C2827" t="s">
        <v>52</v>
      </c>
      <c r="D2827" s="49">
        <v>45718</v>
      </c>
      <c r="E2827" s="49">
        <v>45720</v>
      </c>
      <c r="F2827" s="49">
        <v>45723</v>
      </c>
      <c r="G2827" s="49">
        <v>45729</v>
      </c>
      <c r="I2827" s="49">
        <v>45736</v>
      </c>
      <c r="J2827" t="s">
        <v>49</v>
      </c>
      <c r="K2827" s="33">
        <v>4300</v>
      </c>
      <c r="L2827" t="s">
        <v>61</v>
      </c>
      <c r="M2827" t="str">
        <f>_xlfn.XLOOKUP(Pipeline_tbl[[#This Row],[Rep_ID]],Dim_Reps!A:A,Dim_Reps!K:K)</f>
        <v>EUR</v>
      </c>
      <c r="N2827" s="33">
        <f>(_xlfn.XLOOKUP(Pipeline_tbl[[#This Row],[Rate_Code_Generalized]],Lookups!A:A,Lookups!B:B))*Pipeline_tbl[[#This Row],[Pipeline_Amount_USD]]</f>
        <v>4300</v>
      </c>
      <c r="O2827" t="str">
        <f>_xlfn.XLOOKUP(Pipeline_tbl[[#This Row],[Rep_ID]],Dim_Reps!A:A,Dim_Reps!B:B)</f>
        <v>Karim Alvarez</v>
      </c>
      <c r="P2827" t="str">
        <f>_xlfn.XLOOKUP(Pipeline_tbl[[#This Row],[Rep_ID]],Dim_Reps!A:A,Dim_Reps!C:C)</f>
        <v>SDR / Inside Sales Rep</v>
      </c>
      <c r="Q2827" t="str">
        <f>_xlfn.XLOOKUP(Pipeline_tbl[[#This Row],[Rep_ID]],Dim_Reps!A:A,Dim_Reps!D:D)</f>
        <v>Inside Sales</v>
      </c>
      <c r="R2827" t="str">
        <f>_xlfn.XLOOKUP(Pipeline_tbl[[#This Row],[Rep_ID]],Dim_Reps!A:A,Dim_Reps!E:E)</f>
        <v>EMEA</v>
      </c>
      <c r="S2827" t="str">
        <f>_xlfn.XLOOKUP(Pipeline_tbl[[#This Row],[Created_Date]],Dim_Date!A:A,Dim_Date!H:H)</f>
        <v>Mar 2025</v>
      </c>
      <c r="T2827" t="str">
        <f>IF(Pipeline_tbl[[#This Row],[Closed_Date]]=0,"",(_xlfn.XLOOKUP(Pipeline_tbl[[#This Row],[Closed_Date]],Dim_Date!A:A,Dim_Date!H:H)))</f>
        <v>Mar 2025</v>
      </c>
      <c r="U2827">
        <f>IF(Pipeline_tbl[[#This Row],[Closed_Date]]=0,"",Pipeline_tbl[[#This Row],[Closed_Date]]-Pipeline_tbl[[#This Row],[Created_Date]])</f>
        <v>18</v>
      </c>
    </row>
    <row r="2828" spans="1:21" ht="15" customHeight="1" x14ac:dyDescent="0.2">
      <c r="A2828" t="s">
        <v>3134</v>
      </c>
      <c r="B2828" t="s">
        <v>207</v>
      </c>
      <c r="C2828" t="s">
        <v>52</v>
      </c>
      <c r="D2828" s="49">
        <v>45720</v>
      </c>
      <c r="E2828" s="49">
        <v>45722</v>
      </c>
      <c r="F2828" s="49">
        <v>45726</v>
      </c>
      <c r="G2828" s="49">
        <v>45733</v>
      </c>
      <c r="H2828" s="49">
        <v>45738</v>
      </c>
      <c r="I2828" s="49">
        <v>45741</v>
      </c>
      <c r="J2828" t="s">
        <v>49</v>
      </c>
      <c r="K2828" s="33">
        <v>3500</v>
      </c>
      <c r="L2828" t="s">
        <v>61</v>
      </c>
      <c r="M2828" t="str">
        <f>_xlfn.XLOOKUP(Pipeline_tbl[[#This Row],[Rep_ID]],Dim_Reps!A:A,Dim_Reps!K:K)</f>
        <v>EUR</v>
      </c>
      <c r="N2828" s="33">
        <f>(_xlfn.XLOOKUP(Pipeline_tbl[[#This Row],[Rate_Code_Generalized]],Lookups!A:A,Lookups!B:B))*Pipeline_tbl[[#This Row],[Pipeline_Amount_USD]]</f>
        <v>3500</v>
      </c>
      <c r="O2828" t="str">
        <f>_xlfn.XLOOKUP(Pipeline_tbl[[#This Row],[Rep_ID]],Dim_Reps!A:A,Dim_Reps!B:B)</f>
        <v>Sam Castro</v>
      </c>
      <c r="P2828" t="str">
        <f>_xlfn.XLOOKUP(Pipeline_tbl[[#This Row],[Rep_ID]],Dim_Reps!A:A,Dim_Reps!C:C)</f>
        <v>SDR / Inside Sales Rep</v>
      </c>
      <c r="Q2828" t="str">
        <f>_xlfn.XLOOKUP(Pipeline_tbl[[#This Row],[Rep_ID]],Dim_Reps!A:A,Dim_Reps!D:D)</f>
        <v>Inside Sales</v>
      </c>
      <c r="R2828" t="str">
        <f>_xlfn.XLOOKUP(Pipeline_tbl[[#This Row],[Rep_ID]],Dim_Reps!A:A,Dim_Reps!E:E)</f>
        <v>APAC</v>
      </c>
      <c r="S2828" t="str">
        <f>_xlfn.XLOOKUP(Pipeline_tbl[[#This Row],[Created_Date]],Dim_Date!A:A,Dim_Date!H:H)</f>
        <v>Mar 2025</v>
      </c>
      <c r="T2828" t="str">
        <f>IF(Pipeline_tbl[[#This Row],[Closed_Date]]=0,"",(_xlfn.XLOOKUP(Pipeline_tbl[[#This Row],[Closed_Date]],Dim_Date!A:A,Dim_Date!H:H)))</f>
        <v>Mar 2025</v>
      </c>
      <c r="U2828">
        <f>IF(Pipeline_tbl[[#This Row],[Closed_Date]]=0,"",Pipeline_tbl[[#This Row],[Closed_Date]]-Pipeline_tbl[[#This Row],[Created_Date]])</f>
        <v>21</v>
      </c>
    </row>
    <row r="2829" spans="1:21" ht="15" customHeight="1" x14ac:dyDescent="0.2">
      <c r="A2829" t="s">
        <v>3135</v>
      </c>
      <c r="B2829" t="s">
        <v>207</v>
      </c>
      <c r="C2829" t="s">
        <v>52</v>
      </c>
      <c r="D2829" s="49">
        <v>45724</v>
      </c>
      <c r="E2829" s="49">
        <v>45725</v>
      </c>
      <c r="F2829" s="49">
        <v>45727</v>
      </c>
      <c r="G2829" s="49">
        <v>45731</v>
      </c>
      <c r="H2829" s="49">
        <v>45733</v>
      </c>
      <c r="I2829" s="49">
        <v>45735</v>
      </c>
      <c r="J2829" t="s">
        <v>49</v>
      </c>
      <c r="K2829" s="33">
        <v>4100</v>
      </c>
      <c r="L2829" t="s">
        <v>62</v>
      </c>
      <c r="M2829" t="str">
        <f>_xlfn.XLOOKUP(Pipeline_tbl[[#This Row],[Rep_ID]],Dim_Reps!A:A,Dim_Reps!K:K)</f>
        <v>EUR</v>
      </c>
      <c r="N2829" s="33">
        <f>(_xlfn.XLOOKUP(Pipeline_tbl[[#This Row],[Rate_Code_Generalized]],Lookups!A:A,Lookups!B:B))*Pipeline_tbl[[#This Row],[Pipeline_Amount_USD]]</f>
        <v>4100</v>
      </c>
      <c r="O2829" t="str">
        <f>_xlfn.XLOOKUP(Pipeline_tbl[[#This Row],[Rep_ID]],Dim_Reps!A:A,Dim_Reps!B:B)</f>
        <v>Sam Castro</v>
      </c>
      <c r="P2829" t="str">
        <f>_xlfn.XLOOKUP(Pipeline_tbl[[#This Row],[Rep_ID]],Dim_Reps!A:A,Dim_Reps!C:C)</f>
        <v>SDR / Inside Sales Rep</v>
      </c>
      <c r="Q2829" t="str">
        <f>_xlfn.XLOOKUP(Pipeline_tbl[[#This Row],[Rep_ID]],Dim_Reps!A:A,Dim_Reps!D:D)</f>
        <v>Inside Sales</v>
      </c>
      <c r="R2829" t="str">
        <f>_xlfn.XLOOKUP(Pipeline_tbl[[#This Row],[Rep_ID]],Dim_Reps!A:A,Dim_Reps!E:E)</f>
        <v>APAC</v>
      </c>
      <c r="S2829" t="str">
        <f>_xlfn.XLOOKUP(Pipeline_tbl[[#This Row],[Created_Date]],Dim_Date!A:A,Dim_Date!H:H)</f>
        <v>Mar 2025</v>
      </c>
      <c r="T2829" t="str">
        <f>IF(Pipeline_tbl[[#This Row],[Closed_Date]]=0,"",(_xlfn.XLOOKUP(Pipeline_tbl[[#This Row],[Closed_Date]],Dim_Date!A:A,Dim_Date!H:H)))</f>
        <v>Mar 2025</v>
      </c>
      <c r="U2829">
        <f>IF(Pipeline_tbl[[#This Row],[Closed_Date]]=0,"",Pipeline_tbl[[#This Row],[Closed_Date]]-Pipeline_tbl[[#This Row],[Created_Date]])</f>
        <v>11</v>
      </c>
    </row>
    <row r="2830" spans="1:21" ht="15" customHeight="1" x14ac:dyDescent="0.2">
      <c r="A2830" t="s">
        <v>3136</v>
      </c>
      <c r="B2830" t="s">
        <v>207</v>
      </c>
      <c r="C2830" t="s">
        <v>52</v>
      </c>
      <c r="D2830" s="49">
        <v>45730</v>
      </c>
      <c r="E2830" s="49">
        <v>45731</v>
      </c>
      <c r="F2830" s="49">
        <v>45734</v>
      </c>
      <c r="I2830" s="49">
        <v>45742</v>
      </c>
      <c r="J2830" t="s">
        <v>49</v>
      </c>
      <c r="K2830" s="33">
        <v>8600</v>
      </c>
      <c r="L2830" t="s">
        <v>61</v>
      </c>
      <c r="M2830" t="str">
        <f>_xlfn.XLOOKUP(Pipeline_tbl[[#This Row],[Rep_ID]],Dim_Reps!A:A,Dim_Reps!K:K)</f>
        <v>EUR</v>
      </c>
      <c r="N2830" s="33">
        <f>(_xlfn.XLOOKUP(Pipeline_tbl[[#This Row],[Rate_Code_Generalized]],Lookups!A:A,Lookups!B:B))*Pipeline_tbl[[#This Row],[Pipeline_Amount_USD]]</f>
        <v>8600</v>
      </c>
      <c r="O2830" t="str">
        <f>_xlfn.XLOOKUP(Pipeline_tbl[[#This Row],[Rep_ID]],Dim_Reps!A:A,Dim_Reps!B:B)</f>
        <v>Sam Castro</v>
      </c>
      <c r="P2830" t="str">
        <f>_xlfn.XLOOKUP(Pipeline_tbl[[#This Row],[Rep_ID]],Dim_Reps!A:A,Dim_Reps!C:C)</f>
        <v>SDR / Inside Sales Rep</v>
      </c>
      <c r="Q2830" t="str">
        <f>_xlfn.XLOOKUP(Pipeline_tbl[[#This Row],[Rep_ID]],Dim_Reps!A:A,Dim_Reps!D:D)</f>
        <v>Inside Sales</v>
      </c>
      <c r="R2830" t="str">
        <f>_xlfn.XLOOKUP(Pipeline_tbl[[#This Row],[Rep_ID]],Dim_Reps!A:A,Dim_Reps!E:E)</f>
        <v>APAC</v>
      </c>
      <c r="S2830" t="str">
        <f>_xlfn.XLOOKUP(Pipeline_tbl[[#This Row],[Created_Date]],Dim_Date!A:A,Dim_Date!H:H)</f>
        <v>Mar 2025</v>
      </c>
      <c r="T2830" t="str">
        <f>IF(Pipeline_tbl[[#This Row],[Closed_Date]]=0,"",(_xlfn.XLOOKUP(Pipeline_tbl[[#This Row],[Closed_Date]],Dim_Date!A:A,Dim_Date!H:H)))</f>
        <v>Mar 2025</v>
      </c>
      <c r="U2830">
        <f>IF(Pipeline_tbl[[#This Row],[Closed_Date]]=0,"",Pipeline_tbl[[#This Row],[Closed_Date]]-Pipeline_tbl[[#This Row],[Created_Date]])</f>
        <v>12</v>
      </c>
    </row>
    <row r="2831" spans="1:21" ht="15" customHeight="1" x14ac:dyDescent="0.2">
      <c r="A2831" t="s">
        <v>3137</v>
      </c>
      <c r="B2831" t="s">
        <v>207</v>
      </c>
      <c r="C2831" t="s">
        <v>52</v>
      </c>
      <c r="D2831" s="49">
        <v>45729</v>
      </c>
      <c r="E2831" s="49">
        <v>45731</v>
      </c>
      <c r="F2831" s="49">
        <v>45734</v>
      </c>
      <c r="G2831" s="49">
        <v>45739</v>
      </c>
      <c r="I2831" s="49">
        <v>45746</v>
      </c>
      <c r="J2831" t="s">
        <v>49</v>
      </c>
      <c r="K2831" s="33">
        <v>3900</v>
      </c>
      <c r="L2831" t="s">
        <v>62</v>
      </c>
      <c r="M2831" t="str">
        <f>_xlfn.XLOOKUP(Pipeline_tbl[[#This Row],[Rep_ID]],Dim_Reps!A:A,Dim_Reps!K:K)</f>
        <v>EUR</v>
      </c>
      <c r="N2831" s="33">
        <f>(_xlfn.XLOOKUP(Pipeline_tbl[[#This Row],[Rate_Code_Generalized]],Lookups!A:A,Lookups!B:B))*Pipeline_tbl[[#This Row],[Pipeline_Amount_USD]]</f>
        <v>3900</v>
      </c>
      <c r="O2831" t="str">
        <f>_xlfn.XLOOKUP(Pipeline_tbl[[#This Row],[Rep_ID]],Dim_Reps!A:A,Dim_Reps!B:B)</f>
        <v>Sam Castro</v>
      </c>
      <c r="P2831" t="str">
        <f>_xlfn.XLOOKUP(Pipeline_tbl[[#This Row],[Rep_ID]],Dim_Reps!A:A,Dim_Reps!C:C)</f>
        <v>SDR / Inside Sales Rep</v>
      </c>
      <c r="Q2831" t="str">
        <f>_xlfn.XLOOKUP(Pipeline_tbl[[#This Row],[Rep_ID]],Dim_Reps!A:A,Dim_Reps!D:D)</f>
        <v>Inside Sales</v>
      </c>
      <c r="R2831" t="str">
        <f>_xlfn.XLOOKUP(Pipeline_tbl[[#This Row],[Rep_ID]],Dim_Reps!A:A,Dim_Reps!E:E)</f>
        <v>APAC</v>
      </c>
      <c r="S2831" t="str">
        <f>_xlfn.XLOOKUP(Pipeline_tbl[[#This Row],[Created_Date]],Dim_Date!A:A,Dim_Date!H:H)</f>
        <v>Mar 2025</v>
      </c>
      <c r="T2831" t="str">
        <f>IF(Pipeline_tbl[[#This Row],[Closed_Date]]=0,"",(_xlfn.XLOOKUP(Pipeline_tbl[[#This Row],[Closed_Date]],Dim_Date!A:A,Dim_Date!H:H)))</f>
        <v>Mar 2025</v>
      </c>
      <c r="U2831">
        <f>IF(Pipeline_tbl[[#This Row],[Closed_Date]]=0,"",Pipeline_tbl[[#This Row],[Closed_Date]]-Pipeline_tbl[[#This Row],[Created_Date]])</f>
        <v>17</v>
      </c>
    </row>
    <row r="2832" spans="1:21" ht="15" customHeight="1" x14ac:dyDescent="0.2">
      <c r="A2832" t="s">
        <v>3138</v>
      </c>
      <c r="B2832" t="s">
        <v>207</v>
      </c>
      <c r="C2832" t="s">
        <v>53</v>
      </c>
      <c r="D2832" s="49">
        <v>45719</v>
      </c>
      <c r="E2832" s="49">
        <v>45722</v>
      </c>
      <c r="F2832" s="49">
        <v>45727</v>
      </c>
      <c r="G2832" s="49">
        <v>45736</v>
      </c>
      <c r="H2832" s="49">
        <v>45743</v>
      </c>
      <c r="I2832" s="49">
        <v>45747</v>
      </c>
      <c r="J2832" t="s">
        <v>49</v>
      </c>
      <c r="K2832" s="33">
        <v>6700</v>
      </c>
      <c r="L2832" t="s">
        <v>63</v>
      </c>
      <c r="M2832" t="str">
        <f>_xlfn.XLOOKUP(Pipeline_tbl[[#This Row],[Rep_ID]],Dim_Reps!A:A,Dim_Reps!K:K)</f>
        <v>EUR</v>
      </c>
      <c r="N2832" s="33">
        <f>(_xlfn.XLOOKUP(Pipeline_tbl[[#This Row],[Rate_Code_Generalized]],Lookups!A:A,Lookups!B:B))*Pipeline_tbl[[#This Row],[Pipeline_Amount_USD]]</f>
        <v>6700</v>
      </c>
      <c r="O2832" t="str">
        <f>_xlfn.XLOOKUP(Pipeline_tbl[[#This Row],[Rep_ID]],Dim_Reps!A:A,Dim_Reps!B:B)</f>
        <v>Sam Castro</v>
      </c>
      <c r="P2832" t="str">
        <f>_xlfn.XLOOKUP(Pipeline_tbl[[#This Row],[Rep_ID]],Dim_Reps!A:A,Dim_Reps!C:C)</f>
        <v>SDR / Inside Sales Rep</v>
      </c>
      <c r="Q2832" t="str">
        <f>_xlfn.XLOOKUP(Pipeline_tbl[[#This Row],[Rep_ID]],Dim_Reps!A:A,Dim_Reps!D:D)</f>
        <v>Inside Sales</v>
      </c>
      <c r="R2832" t="str">
        <f>_xlfn.XLOOKUP(Pipeline_tbl[[#This Row],[Rep_ID]],Dim_Reps!A:A,Dim_Reps!E:E)</f>
        <v>APAC</v>
      </c>
      <c r="S2832" t="str">
        <f>_xlfn.XLOOKUP(Pipeline_tbl[[#This Row],[Created_Date]],Dim_Date!A:A,Dim_Date!H:H)</f>
        <v>Mar 2025</v>
      </c>
      <c r="T2832" t="str">
        <f>IF(Pipeline_tbl[[#This Row],[Closed_Date]]=0,"",(_xlfn.XLOOKUP(Pipeline_tbl[[#This Row],[Closed_Date]],Dim_Date!A:A,Dim_Date!H:H)))</f>
        <v>Mar 2025</v>
      </c>
      <c r="U2832">
        <f>IF(Pipeline_tbl[[#This Row],[Closed_Date]]=0,"",Pipeline_tbl[[#This Row],[Closed_Date]]-Pipeline_tbl[[#This Row],[Created_Date]])</f>
        <v>28</v>
      </c>
    </row>
    <row r="2833" spans="1:21" ht="15" customHeight="1" x14ac:dyDescent="0.2">
      <c r="A2833" t="s">
        <v>3139</v>
      </c>
      <c r="B2833" t="s">
        <v>207</v>
      </c>
      <c r="C2833" t="s">
        <v>53</v>
      </c>
      <c r="D2833" s="49">
        <v>45729</v>
      </c>
      <c r="E2833" s="49">
        <v>45731</v>
      </c>
      <c r="F2833" s="49">
        <v>45734</v>
      </c>
      <c r="G2833" s="49">
        <v>45739</v>
      </c>
      <c r="I2833" s="49">
        <v>45746</v>
      </c>
      <c r="J2833" t="s">
        <v>49</v>
      </c>
      <c r="K2833" s="33">
        <v>1200</v>
      </c>
      <c r="L2833" t="s">
        <v>60</v>
      </c>
      <c r="M2833" t="str">
        <f>_xlfn.XLOOKUP(Pipeline_tbl[[#This Row],[Rep_ID]],Dim_Reps!A:A,Dim_Reps!K:K)</f>
        <v>EUR</v>
      </c>
      <c r="N2833" s="33">
        <f>(_xlfn.XLOOKUP(Pipeline_tbl[[#This Row],[Rate_Code_Generalized]],Lookups!A:A,Lookups!B:B))*Pipeline_tbl[[#This Row],[Pipeline_Amount_USD]]</f>
        <v>1200</v>
      </c>
      <c r="O2833" t="str">
        <f>_xlfn.XLOOKUP(Pipeline_tbl[[#This Row],[Rep_ID]],Dim_Reps!A:A,Dim_Reps!B:B)</f>
        <v>Sam Castro</v>
      </c>
      <c r="P2833" t="str">
        <f>_xlfn.XLOOKUP(Pipeline_tbl[[#This Row],[Rep_ID]],Dim_Reps!A:A,Dim_Reps!C:C)</f>
        <v>SDR / Inside Sales Rep</v>
      </c>
      <c r="Q2833" t="str">
        <f>_xlfn.XLOOKUP(Pipeline_tbl[[#This Row],[Rep_ID]],Dim_Reps!A:A,Dim_Reps!D:D)</f>
        <v>Inside Sales</v>
      </c>
      <c r="R2833" t="str">
        <f>_xlfn.XLOOKUP(Pipeline_tbl[[#This Row],[Rep_ID]],Dim_Reps!A:A,Dim_Reps!E:E)</f>
        <v>APAC</v>
      </c>
      <c r="S2833" t="str">
        <f>_xlfn.XLOOKUP(Pipeline_tbl[[#This Row],[Created_Date]],Dim_Date!A:A,Dim_Date!H:H)</f>
        <v>Mar 2025</v>
      </c>
      <c r="T2833" t="str">
        <f>IF(Pipeline_tbl[[#This Row],[Closed_Date]]=0,"",(_xlfn.XLOOKUP(Pipeline_tbl[[#This Row],[Closed_Date]],Dim_Date!A:A,Dim_Date!H:H)))</f>
        <v>Mar 2025</v>
      </c>
      <c r="U2833">
        <f>IF(Pipeline_tbl[[#This Row],[Closed_Date]]=0,"",Pipeline_tbl[[#This Row],[Closed_Date]]-Pipeline_tbl[[#This Row],[Created_Date]])</f>
        <v>17</v>
      </c>
    </row>
    <row r="2834" spans="1:21" ht="15" customHeight="1" x14ac:dyDescent="0.2">
      <c r="A2834" t="s">
        <v>3140</v>
      </c>
      <c r="B2834" t="s">
        <v>209</v>
      </c>
      <c r="C2834" t="s">
        <v>53</v>
      </c>
      <c r="D2834" s="49">
        <v>45731</v>
      </c>
      <c r="E2834" s="49">
        <v>45732</v>
      </c>
      <c r="F2834" s="49">
        <v>45735</v>
      </c>
      <c r="G2834" s="49">
        <v>45738</v>
      </c>
      <c r="I2834" s="49">
        <v>45743</v>
      </c>
      <c r="J2834" t="s">
        <v>49</v>
      </c>
      <c r="K2834" s="33">
        <v>2800</v>
      </c>
      <c r="L2834" t="s">
        <v>62</v>
      </c>
      <c r="M2834" t="str">
        <f>_xlfn.XLOOKUP(Pipeline_tbl[[#This Row],[Rep_ID]],Dim_Reps!A:A,Dim_Reps!K:K)</f>
        <v>EUR</v>
      </c>
      <c r="N2834" s="33">
        <f>(_xlfn.XLOOKUP(Pipeline_tbl[[#This Row],[Rate_Code_Generalized]],Lookups!A:A,Lookups!B:B))*Pipeline_tbl[[#This Row],[Pipeline_Amount_USD]]</f>
        <v>2800</v>
      </c>
      <c r="O2834" t="str">
        <f>_xlfn.XLOOKUP(Pipeline_tbl[[#This Row],[Rep_ID]],Dim_Reps!A:A,Dim_Reps!B:B)</f>
        <v>Petra Larsen</v>
      </c>
      <c r="P2834" t="str">
        <f>_xlfn.XLOOKUP(Pipeline_tbl[[#This Row],[Rep_ID]],Dim_Reps!A:A,Dim_Reps!C:C)</f>
        <v>SDR / Inside Sales Rep</v>
      </c>
      <c r="Q2834" t="str">
        <f>_xlfn.XLOOKUP(Pipeline_tbl[[#This Row],[Rep_ID]],Dim_Reps!A:A,Dim_Reps!D:D)</f>
        <v>Inside Sales</v>
      </c>
      <c r="R2834" t="str">
        <f>_xlfn.XLOOKUP(Pipeline_tbl[[#This Row],[Rep_ID]],Dim_Reps!A:A,Dim_Reps!E:E)</f>
        <v>EMEA</v>
      </c>
      <c r="S2834" t="str">
        <f>_xlfn.XLOOKUP(Pipeline_tbl[[#This Row],[Created_Date]],Dim_Date!A:A,Dim_Date!H:H)</f>
        <v>Mar 2025</v>
      </c>
      <c r="T2834" t="str">
        <f>IF(Pipeline_tbl[[#This Row],[Closed_Date]]=0,"",(_xlfn.XLOOKUP(Pipeline_tbl[[#This Row],[Closed_Date]],Dim_Date!A:A,Dim_Date!H:H)))</f>
        <v>Mar 2025</v>
      </c>
      <c r="U2834">
        <f>IF(Pipeline_tbl[[#This Row],[Closed_Date]]=0,"",Pipeline_tbl[[#This Row],[Closed_Date]]-Pipeline_tbl[[#This Row],[Created_Date]])</f>
        <v>12</v>
      </c>
    </row>
    <row r="2835" spans="1:21" ht="15" customHeight="1" x14ac:dyDescent="0.2">
      <c r="A2835" t="s">
        <v>3141</v>
      </c>
      <c r="B2835" t="s">
        <v>209</v>
      </c>
      <c r="C2835" t="s">
        <v>53</v>
      </c>
      <c r="D2835" s="49">
        <v>45718</v>
      </c>
      <c r="E2835" s="49">
        <v>45720</v>
      </c>
      <c r="F2835" s="49">
        <v>45724</v>
      </c>
      <c r="G2835" s="49">
        <v>45731</v>
      </c>
      <c r="I2835" s="49">
        <v>45739</v>
      </c>
      <c r="J2835" t="s">
        <v>49</v>
      </c>
      <c r="K2835" s="33">
        <v>2800</v>
      </c>
      <c r="L2835" t="s">
        <v>60</v>
      </c>
      <c r="M2835" t="str">
        <f>_xlfn.XLOOKUP(Pipeline_tbl[[#This Row],[Rep_ID]],Dim_Reps!A:A,Dim_Reps!K:K)</f>
        <v>EUR</v>
      </c>
      <c r="N2835" s="33">
        <f>(_xlfn.XLOOKUP(Pipeline_tbl[[#This Row],[Rate_Code_Generalized]],Lookups!A:A,Lookups!B:B))*Pipeline_tbl[[#This Row],[Pipeline_Amount_USD]]</f>
        <v>2800</v>
      </c>
      <c r="O2835" t="str">
        <f>_xlfn.XLOOKUP(Pipeline_tbl[[#This Row],[Rep_ID]],Dim_Reps!A:A,Dim_Reps!B:B)</f>
        <v>Petra Larsen</v>
      </c>
      <c r="P2835" t="str">
        <f>_xlfn.XLOOKUP(Pipeline_tbl[[#This Row],[Rep_ID]],Dim_Reps!A:A,Dim_Reps!C:C)</f>
        <v>SDR / Inside Sales Rep</v>
      </c>
      <c r="Q2835" t="str">
        <f>_xlfn.XLOOKUP(Pipeline_tbl[[#This Row],[Rep_ID]],Dim_Reps!A:A,Dim_Reps!D:D)</f>
        <v>Inside Sales</v>
      </c>
      <c r="R2835" t="str">
        <f>_xlfn.XLOOKUP(Pipeline_tbl[[#This Row],[Rep_ID]],Dim_Reps!A:A,Dim_Reps!E:E)</f>
        <v>EMEA</v>
      </c>
      <c r="S2835" t="str">
        <f>_xlfn.XLOOKUP(Pipeline_tbl[[#This Row],[Created_Date]],Dim_Date!A:A,Dim_Date!H:H)</f>
        <v>Mar 2025</v>
      </c>
      <c r="T2835" t="str">
        <f>IF(Pipeline_tbl[[#This Row],[Closed_Date]]=0,"",(_xlfn.XLOOKUP(Pipeline_tbl[[#This Row],[Closed_Date]],Dim_Date!A:A,Dim_Date!H:H)))</f>
        <v>Mar 2025</v>
      </c>
      <c r="U2835">
        <f>IF(Pipeline_tbl[[#This Row],[Closed_Date]]=0,"",Pipeline_tbl[[#This Row],[Closed_Date]]-Pipeline_tbl[[#This Row],[Created_Date]])</f>
        <v>21</v>
      </c>
    </row>
    <row r="2836" spans="1:21" ht="15" customHeight="1" x14ac:dyDescent="0.2">
      <c r="A2836" t="s">
        <v>3142</v>
      </c>
      <c r="B2836" t="s">
        <v>209</v>
      </c>
      <c r="C2836" t="s">
        <v>52</v>
      </c>
      <c r="D2836" s="49">
        <v>45718</v>
      </c>
      <c r="E2836" s="49">
        <v>45719</v>
      </c>
      <c r="F2836" s="49">
        <v>45720</v>
      </c>
      <c r="G2836" s="49">
        <v>45722</v>
      </c>
      <c r="H2836" s="49">
        <v>45723</v>
      </c>
      <c r="I2836" s="49">
        <v>45724</v>
      </c>
      <c r="J2836" t="s">
        <v>47</v>
      </c>
      <c r="K2836" s="33">
        <v>3000</v>
      </c>
      <c r="M2836" t="str">
        <f>_xlfn.XLOOKUP(Pipeline_tbl[[#This Row],[Rep_ID]],Dim_Reps!A:A,Dim_Reps!K:K)</f>
        <v>EUR</v>
      </c>
      <c r="N2836" s="33">
        <f>(_xlfn.XLOOKUP(Pipeline_tbl[[#This Row],[Rate_Code_Generalized]],Lookups!A:A,Lookups!B:B))*Pipeline_tbl[[#This Row],[Pipeline_Amount_USD]]</f>
        <v>3000</v>
      </c>
      <c r="O2836" t="str">
        <f>_xlfn.XLOOKUP(Pipeline_tbl[[#This Row],[Rep_ID]],Dim_Reps!A:A,Dim_Reps!B:B)</f>
        <v>Petra Larsen</v>
      </c>
      <c r="P2836" t="str">
        <f>_xlfn.XLOOKUP(Pipeline_tbl[[#This Row],[Rep_ID]],Dim_Reps!A:A,Dim_Reps!C:C)</f>
        <v>SDR / Inside Sales Rep</v>
      </c>
      <c r="Q2836" t="str">
        <f>_xlfn.XLOOKUP(Pipeline_tbl[[#This Row],[Rep_ID]],Dim_Reps!A:A,Dim_Reps!D:D)</f>
        <v>Inside Sales</v>
      </c>
      <c r="R2836" t="str">
        <f>_xlfn.XLOOKUP(Pipeline_tbl[[#This Row],[Rep_ID]],Dim_Reps!A:A,Dim_Reps!E:E)</f>
        <v>EMEA</v>
      </c>
      <c r="S2836" t="str">
        <f>_xlfn.XLOOKUP(Pipeline_tbl[[#This Row],[Created_Date]],Dim_Date!A:A,Dim_Date!H:H)</f>
        <v>Mar 2025</v>
      </c>
      <c r="T2836" t="str">
        <f>IF(Pipeline_tbl[[#This Row],[Closed_Date]]=0,"",(_xlfn.XLOOKUP(Pipeline_tbl[[#This Row],[Closed_Date]],Dim_Date!A:A,Dim_Date!H:H)))</f>
        <v>Mar 2025</v>
      </c>
      <c r="U2836">
        <f>IF(Pipeline_tbl[[#This Row],[Closed_Date]]=0,"",Pipeline_tbl[[#This Row],[Closed_Date]]-Pipeline_tbl[[#This Row],[Created_Date]])</f>
        <v>6</v>
      </c>
    </row>
    <row r="2837" spans="1:21" ht="15" customHeight="1" x14ac:dyDescent="0.2">
      <c r="A2837" t="s">
        <v>3143</v>
      </c>
      <c r="B2837" t="s">
        <v>209</v>
      </c>
      <c r="C2837" t="s">
        <v>52</v>
      </c>
      <c r="D2837" s="49">
        <v>45726</v>
      </c>
      <c r="E2837" s="49">
        <v>45728</v>
      </c>
      <c r="F2837" s="49">
        <v>45731</v>
      </c>
      <c r="G2837" s="49">
        <v>45736</v>
      </c>
      <c r="H2837" s="49">
        <v>45740</v>
      </c>
      <c r="I2837" s="49">
        <v>45742</v>
      </c>
      <c r="J2837" t="s">
        <v>47</v>
      </c>
      <c r="K2837" s="33">
        <v>5800</v>
      </c>
      <c r="M2837" t="str">
        <f>_xlfn.XLOOKUP(Pipeline_tbl[[#This Row],[Rep_ID]],Dim_Reps!A:A,Dim_Reps!K:K)</f>
        <v>EUR</v>
      </c>
      <c r="N2837" s="33">
        <f>(_xlfn.XLOOKUP(Pipeline_tbl[[#This Row],[Rate_Code_Generalized]],Lookups!A:A,Lookups!B:B))*Pipeline_tbl[[#This Row],[Pipeline_Amount_USD]]</f>
        <v>5800</v>
      </c>
      <c r="O2837" t="str">
        <f>_xlfn.XLOOKUP(Pipeline_tbl[[#This Row],[Rep_ID]],Dim_Reps!A:A,Dim_Reps!B:B)</f>
        <v>Petra Larsen</v>
      </c>
      <c r="P2837" t="str">
        <f>_xlfn.XLOOKUP(Pipeline_tbl[[#This Row],[Rep_ID]],Dim_Reps!A:A,Dim_Reps!C:C)</f>
        <v>SDR / Inside Sales Rep</v>
      </c>
      <c r="Q2837" t="str">
        <f>_xlfn.XLOOKUP(Pipeline_tbl[[#This Row],[Rep_ID]],Dim_Reps!A:A,Dim_Reps!D:D)</f>
        <v>Inside Sales</v>
      </c>
      <c r="R2837" t="str">
        <f>_xlfn.XLOOKUP(Pipeline_tbl[[#This Row],[Rep_ID]],Dim_Reps!A:A,Dim_Reps!E:E)</f>
        <v>EMEA</v>
      </c>
      <c r="S2837" t="str">
        <f>_xlfn.XLOOKUP(Pipeline_tbl[[#This Row],[Created_Date]],Dim_Date!A:A,Dim_Date!H:H)</f>
        <v>Mar 2025</v>
      </c>
      <c r="T2837" t="str">
        <f>IF(Pipeline_tbl[[#This Row],[Closed_Date]]=0,"",(_xlfn.XLOOKUP(Pipeline_tbl[[#This Row],[Closed_Date]],Dim_Date!A:A,Dim_Date!H:H)))</f>
        <v>Mar 2025</v>
      </c>
      <c r="U2837">
        <f>IF(Pipeline_tbl[[#This Row],[Closed_Date]]=0,"",Pipeline_tbl[[#This Row],[Closed_Date]]-Pipeline_tbl[[#This Row],[Created_Date]])</f>
        <v>16</v>
      </c>
    </row>
    <row r="2838" spans="1:21" ht="15" customHeight="1" x14ac:dyDescent="0.2">
      <c r="A2838" t="s">
        <v>3144</v>
      </c>
      <c r="B2838" t="s">
        <v>209</v>
      </c>
      <c r="C2838" t="s">
        <v>52</v>
      </c>
      <c r="D2838" s="49">
        <v>45719</v>
      </c>
      <c r="E2838" s="49">
        <v>45721</v>
      </c>
      <c r="I2838" s="49">
        <v>45734</v>
      </c>
      <c r="J2838" t="s">
        <v>49</v>
      </c>
      <c r="K2838" s="33">
        <v>7700</v>
      </c>
      <c r="L2838" t="s">
        <v>64</v>
      </c>
      <c r="M2838" t="str">
        <f>_xlfn.XLOOKUP(Pipeline_tbl[[#This Row],[Rep_ID]],Dim_Reps!A:A,Dim_Reps!K:K)</f>
        <v>EUR</v>
      </c>
      <c r="N2838" s="33">
        <f>(_xlfn.XLOOKUP(Pipeline_tbl[[#This Row],[Rate_Code_Generalized]],Lookups!A:A,Lookups!B:B))*Pipeline_tbl[[#This Row],[Pipeline_Amount_USD]]</f>
        <v>7700</v>
      </c>
      <c r="O2838" t="str">
        <f>_xlfn.XLOOKUP(Pipeline_tbl[[#This Row],[Rep_ID]],Dim_Reps!A:A,Dim_Reps!B:B)</f>
        <v>Petra Larsen</v>
      </c>
      <c r="P2838" t="str">
        <f>_xlfn.XLOOKUP(Pipeline_tbl[[#This Row],[Rep_ID]],Dim_Reps!A:A,Dim_Reps!C:C)</f>
        <v>SDR / Inside Sales Rep</v>
      </c>
      <c r="Q2838" t="str">
        <f>_xlfn.XLOOKUP(Pipeline_tbl[[#This Row],[Rep_ID]],Dim_Reps!A:A,Dim_Reps!D:D)</f>
        <v>Inside Sales</v>
      </c>
      <c r="R2838" t="str">
        <f>_xlfn.XLOOKUP(Pipeline_tbl[[#This Row],[Rep_ID]],Dim_Reps!A:A,Dim_Reps!E:E)</f>
        <v>EMEA</v>
      </c>
      <c r="S2838" t="str">
        <f>_xlfn.XLOOKUP(Pipeline_tbl[[#This Row],[Created_Date]],Dim_Date!A:A,Dim_Date!H:H)</f>
        <v>Mar 2025</v>
      </c>
      <c r="T2838" t="str">
        <f>IF(Pipeline_tbl[[#This Row],[Closed_Date]]=0,"",(_xlfn.XLOOKUP(Pipeline_tbl[[#This Row],[Closed_Date]],Dim_Date!A:A,Dim_Date!H:H)))</f>
        <v>Mar 2025</v>
      </c>
      <c r="U2838">
        <f>IF(Pipeline_tbl[[#This Row],[Closed_Date]]=0,"",Pipeline_tbl[[#This Row],[Closed_Date]]-Pipeline_tbl[[#This Row],[Created_Date]])</f>
        <v>15</v>
      </c>
    </row>
    <row r="2839" spans="1:21" ht="15" customHeight="1" x14ac:dyDescent="0.2">
      <c r="A2839" t="s">
        <v>3145</v>
      </c>
      <c r="B2839" t="s">
        <v>209</v>
      </c>
      <c r="C2839" t="s">
        <v>53</v>
      </c>
      <c r="D2839" s="49">
        <v>45719</v>
      </c>
      <c r="E2839" s="49">
        <v>45721</v>
      </c>
      <c r="F2839" s="49">
        <v>45724</v>
      </c>
      <c r="G2839" s="49">
        <v>45729</v>
      </c>
      <c r="H2839" s="49">
        <v>45733</v>
      </c>
      <c r="I2839" s="49">
        <v>45735</v>
      </c>
      <c r="J2839" t="s">
        <v>49</v>
      </c>
      <c r="K2839" s="33">
        <v>2800</v>
      </c>
      <c r="L2839" t="s">
        <v>61</v>
      </c>
      <c r="M2839" t="str">
        <f>_xlfn.XLOOKUP(Pipeline_tbl[[#This Row],[Rep_ID]],Dim_Reps!A:A,Dim_Reps!K:K)</f>
        <v>EUR</v>
      </c>
      <c r="N2839" s="33">
        <f>(_xlfn.XLOOKUP(Pipeline_tbl[[#This Row],[Rate_Code_Generalized]],Lookups!A:A,Lookups!B:B))*Pipeline_tbl[[#This Row],[Pipeline_Amount_USD]]</f>
        <v>2800</v>
      </c>
      <c r="O2839" t="str">
        <f>_xlfn.XLOOKUP(Pipeline_tbl[[#This Row],[Rep_ID]],Dim_Reps!A:A,Dim_Reps!B:B)</f>
        <v>Petra Larsen</v>
      </c>
      <c r="P2839" t="str">
        <f>_xlfn.XLOOKUP(Pipeline_tbl[[#This Row],[Rep_ID]],Dim_Reps!A:A,Dim_Reps!C:C)</f>
        <v>SDR / Inside Sales Rep</v>
      </c>
      <c r="Q2839" t="str">
        <f>_xlfn.XLOOKUP(Pipeline_tbl[[#This Row],[Rep_ID]],Dim_Reps!A:A,Dim_Reps!D:D)</f>
        <v>Inside Sales</v>
      </c>
      <c r="R2839" t="str">
        <f>_xlfn.XLOOKUP(Pipeline_tbl[[#This Row],[Rep_ID]],Dim_Reps!A:A,Dim_Reps!E:E)</f>
        <v>EMEA</v>
      </c>
      <c r="S2839" t="str">
        <f>_xlfn.XLOOKUP(Pipeline_tbl[[#This Row],[Created_Date]],Dim_Date!A:A,Dim_Date!H:H)</f>
        <v>Mar 2025</v>
      </c>
      <c r="T2839" t="str">
        <f>IF(Pipeline_tbl[[#This Row],[Closed_Date]]=0,"",(_xlfn.XLOOKUP(Pipeline_tbl[[#This Row],[Closed_Date]],Dim_Date!A:A,Dim_Date!H:H)))</f>
        <v>Mar 2025</v>
      </c>
      <c r="U2839">
        <f>IF(Pipeline_tbl[[#This Row],[Closed_Date]]=0,"",Pipeline_tbl[[#This Row],[Closed_Date]]-Pipeline_tbl[[#This Row],[Created_Date]])</f>
        <v>16</v>
      </c>
    </row>
    <row r="2840" spans="1:21" ht="15" customHeight="1" x14ac:dyDescent="0.2">
      <c r="A2840" t="s">
        <v>3146</v>
      </c>
      <c r="B2840" t="s">
        <v>211</v>
      </c>
      <c r="C2840" t="s">
        <v>52</v>
      </c>
      <c r="D2840" s="49">
        <v>45725</v>
      </c>
      <c r="E2840" s="49">
        <v>45726</v>
      </c>
      <c r="F2840" s="49">
        <v>45729</v>
      </c>
      <c r="G2840" s="49">
        <v>45733</v>
      </c>
      <c r="H2840" s="49">
        <v>45736</v>
      </c>
      <c r="I2840" s="49">
        <v>45738</v>
      </c>
      <c r="J2840" t="s">
        <v>47</v>
      </c>
      <c r="K2840" s="33">
        <v>3000</v>
      </c>
      <c r="M2840" t="str">
        <f>_xlfn.XLOOKUP(Pipeline_tbl[[#This Row],[Rep_ID]],Dim_Reps!A:A,Dim_Reps!K:K)</f>
        <v>EUR</v>
      </c>
      <c r="N2840" s="33">
        <f>(_xlfn.XLOOKUP(Pipeline_tbl[[#This Row],[Rate_Code_Generalized]],Lookups!A:A,Lookups!B:B))*Pipeline_tbl[[#This Row],[Pipeline_Amount_USD]]</f>
        <v>3000</v>
      </c>
      <c r="O2840" t="str">
        <f>_xlfn.XLOOKUP(Pipeline_tbl[[#This Row],[Rep_ID]],Dim_Reps!A:A,Dim_Reps!B:B)</f>
        <v>Lea Weber</v>
      </c>
      <c r="P2840" t="str">
        <f>_xlfn.XLOOKUP(Pipeline_tbl[[#This Row],[Rep_ID]],Dim_Reps!A:A,Dim_Reps!C:C)</f>
        <v>SDR / Inside Sales Rep</v>
      </c>
      <c r="Q2840" t="str">
        <f>_xlfn.XLOOKUP(Pipeline_tbl[[#This Row],[Rep_ID]],Dim_Reps!A:A,Dim_Reps!D:D)</f>
        <v>Inside Sales</v>
      </c>
      <c r="R2840" t="str">
        <f>_xlfn.XLOOKUP(Pipeline_tbl[[#This Row],[Rep_ID]],Dim_Reps!A:A,Dim_Reps!E:E)</f>
        <v>EMEA</v>
      </c>
      <c r="S2840" t="str">
        <f>_xlfn.XLOOKUP(Pipeline_tbl[[#This Row],[Created_Date]],Dim_Date!A:A,Dim_Date!H:H)</f>
        <v>Mar 2025</v>
      </c>
      <c r="T2840" t="str">
        <f>IF(Pipeline_tbl[[#This Row],[Closed_Date]]=0,"",(_xlfn.XLOOKUP(Pipeline_tbl[[#This Row],[Closed_Date]],Dim_Date!A:A,Dim_Date!H:H)))</f>
        <v>Mar 2025</v>
      </c>
      <c r="U2840">
        <f>IF(Pipeline_tbl[[#This Row],[Closed_Date]]=0,"",Pipeline_tbl[[#This Row],[Closed_Date]]-Pipeline_tbl[[#This Row],[Created_Date]])</f>
        <v>13</v>
      </c>
    </row>
    <row r="2841" spans="1:21" ht="15" customHeight="1" x14ac:dyDescent="0.2">
      <c r="A2841" t="s">
        <v>3147</v>
      </c>
      <c r="B2841" t="s">
        <v>211</v>
      </c>
      <c r="C2841" t="s">
        <v>56</v>
      </c>
      <c r="D2841" s="49">
        <v>45731</v>
      </c>
      <c r="E2841" s="49">
        <v>45732</v>
      </c>
      <c r="F2841" s="49">
        <v>45735</v>
      </c>
      <c r="G2841" s="49">
        <v>45739</v>
      </c>
      <c r="I2841" s="49">
        <v>45745</v>
      </c>
      <c r="J2841" t="s">
        <v>49</v>
      </c>
      <c r="K2841" s="33">
        <v>3400</v>
      </c>
      <c r="L2841" t="s">
        <v>61</v>
      </c>
      <c r="M2841" t="str">
        <f>_xlfn.XLOOKUP(Pipeline_tbl[[#This Row],[Rep_ID]],Dim_Reps!A:A,Dim_Reps!K:K)</f>
        <v>EUR</v>
      </c>
      <c r="N2841" s="33">
        <f>(_xlfn.XLOOKUP(Pipeline_tbl[[#This Row],[Rate_Code_Generalized]],Lookups!A:A,Lookups!B:B))*Pipeline_tbl[[#This Row],[Pipeline_Amount_USD]]</f>
        <v>3400</v>
      </c>
      <c r="O2841" t="str">
        <f>_xlfn.XLOOKUP(Pipeline_tbl[[#This Row],[Rep_ID]],Dim_Reps!A:A,Dim_Reps!B:B)</f>
        <v>Lea Weber</v>
      </c>
      <c r="P2841" t="str">
        <f>_xlfn.XLOOKUP(Pipeline_tbl[[#This Row],[Rep_ID]],Dim_Reps!A:A,Dim_Reps!C:C)</f>
        <v>SDR / Inside Sales Rep</v>
      </c>
      <c r="Q2841" t="str">
        <f>_xlfn.XLOOKUP(Pipeline_tbl[[#This Row],[Rep_ID]],Dim_Reps!A:A,Dim_Reps!D:D)</f>
        <v>Inside Sales</v>
      </c>
      <c r="R2841" t="str">
        <f>_xlfn.XLOOKUP(Pipeline_tbl[[#This Row],[Rep_ID]],Dim_Reps!A:A,Dim_Reps!E:E)</f>
        <v>EMEA</v>
      </c>
      <c r="S2841" t="str">
        <f>_xlfn.XLOOKUP(Pipeline_tbl[[#This Row],[Created_Date]],Dim_Date!A:A,Dim_Date!H:H)</f>
        <v>Mar 2025</v>
      </c>
      <c r="T2841" t="str">
        <f>IF(Pipeline_tbl[[#This Row],[Closed_Date]]=0,"",(_xlfn.XLOOKUP(Pipeline_tbl[[#This Row],[Closed_Date]],Dim_Date!A:A,Dim_Date!H:H)))</f>
        <v>Mar 2025</v>
      </c>
      <c r="U2841">
        <f>IF(Pipeline_tbl[[#This Row],[Closed_Date]]=0,"",Pipeline_tbl[[#This Row],[Closed_Date]]-Pipeline_tbl[[#This Row],[Created_Date]])</f>
        <v>14</v>
      </c>
    </row>
    <row r="2842" spans="1:21" ht="15" customHeight="1" x14ac:dyDescent="0.2">
      <c r="A2842" t="s">
        <v>3148</v>
      </c>
      <c r="B2842" t="s">
        <v>211</v>
      </c>
      <c r="C2842" t="s">
        <v>52</v>
      </c>
      <c r="D2842" s="49">
        <v>45721</v>
      </c>
      <c r="E2842" s="49">
        <v>45723</v>
      </c>
      <c r="F2842" s="49">
        <v>45726</v>
      </c>
      <c r="G2842" s="49">
        <v>45730</v>
      </c>
      <c r="I2842" s="49">
        <v>45736</v>
      </c>
      <c r="J2842" t="s">
        <v>49</v>
      </c>
      <c r="K2842" s="33">
        <v>6300</v>
      </c>
      <c r="L2842" t="s">
        <v>61</v>
      </c>
      <c r="M2842" t="str">
        <f>_xlfn.XLOOKUP(Pipeline_tbl[[#This Row],[Rep_ID]],Dim_Reps!A:A,Dim_Reps!K:K)</f>
        <v>EUR</v>
      </c>
      <c r="N2842" s="33">
        <f>(_xlfn.XLOOKUP(Pipeline_tbl[[#This Row],[Rate_Code_Generalized]],Lookups!A:A,Lookups!B:B))*Pipeline_tbl[[#This Row],[Pipeline_Amount_USD]]</f>
        <v>6300</v>
      </c>
      <c r="O2842" t="str">
        <f>_xlfn.XLOOKUP(Pipeline_tbl[[#This Row],[Rep_ID]],Dim_Reps!A:A,Dim_Reps!B:B)</f>
        <v>Lea Weber</v>
      </c>
      <c r="P2842" t="str">
        <f>_xlfn.XLOOKUP(Pipeline_tbl[[#This Row],[Rep_ID]],Dim_Reps!A:A,Dim_Reps!C:C)</f>
        <v>SDR / Inside Sales Rep</v>
      </c>
      <c r="Q2842" t="str">
        <f>_xlfn.XLOOKUP(Pipeline_tbl[[#This Row],[Rep_ID]],Dim_Reps!A:A,Dim_Reps!D:D)</f>
        <v>Inside Sales</v>
      </c>
      <c r="R2842" t="str">
        <f>_xlfn.XLOOKUP(Pipeline_tbl[[#This Row],[Rep_ID]],Dim_Reps!A:A,Dim_Reps!E:E)</f>
        <v>EMEA</v>
      </c>
      <c r="S2842" t="str">
        <f>_xlfn.XLOOKUP(Pipeline_tbl[[#This Row],[Created_Date]],Dim_Date!A:A,Dim_Date!H:H)</f>
        <v>Mar 2025</v>
      </c>
      <c r="T2842" t="str">
        <f>IF(Pipeline_tbl[[#This Row],[Closed_Date]]=0,"",(_xlfn.XLOOKUP(Pipeline_tbl[[#This Row],[Closed_Date]],Dim_Date!A:A,Dim_Date!H:H)))</f>
        <v>Mar 2025</v>
      </c>
      <c r="U2842">
        <f>IF(Pipeline_tbl[[#This Row],[Closed_Date]]=0,"",Pipeline_tbl[[#This Row],[Closed_Date]]-Pipeline_tbl[[#This Row],[Created_Date]])</f>
        <v>15</v>
      </c>
    </row>
    <row r="2843" spans="1:21" ht="15" customHeight="1" x14ac:dyDescent="0.2">
      <c r="A2843" t="s">
        <v>3149</v>
      </c>
      <c r="B2843" t="s">
        <v>211</v>
      </c>
      <c r="C2843" t="s">
        <v>52</v>
      </c>
      <c r="D2843" s="49">
        <v>45730</v>
      </c>
      <c r="E2843" s="49">
        <v>45731</v>
      </c>
      <c r="F2843" s="49">
        <v>45734</v>
      </c>
      <c r="G2843" s="49">
        <v>45738</v>
      </c>
      <c r="I2843" s="49">
        <v>45744</v>
      </c>
      <c r="J2843" t="s">
        <v>49</v>
      </c>
      <c r="K2843" s="33">
        <v>3600</v>
      </c>
      <c r="L2843" t="s">
        <v>60</v>
      </c>
      <c r="M2843" t="str">
        <f>_xlfn.XLOOKUP(Pipeline_tbl[[#This Row],[Rep_ID]],Dim_Reps!A:A,Dim_Reps!K:K)</f>
        <v>EUR</v>
      </c>
      <c r="N2843" s="33">
        <f>(_xlfn.XLOOKUP(Pipeline_tbl[[#This Row],[Rate_Code_Generalized]],Lookups!A:A,Lookups!B:B))*Pipeline_tbl[[#This Row],[Pipeline_Amount_USD]]</f>
        <v>3600</v>
      </c>
      <c r="O2843" t="str">
        <f>_xlfn.XLOOKUP(Pipeline_tbl[[#This Row],[Rep_ID]],Dim_Reps!A:A,Dim_Reps!B:B)</f>
        <v>Lea Weber</v>
      </c>
      <c r="P2843" t="str">
        <f>_xlfn.XLOOKUP(Pipeline_tbl[[#This Row],[Rep_ID]],Dim_Reps!A:A,Dim_Reps!C:C)</f>
        <v>SDR / Inside Sales Rep</v>
      </c>
      <c r="Q2843" t="str">
        <f>_xlfn.XLOOKUP(Pipeline_tbl[[#This Row],[Rep_ID]],Dim_Reps!A:A,Dim_Reps!D:D)</f>
        <v>Inside Sales</v>
      </c>
      <c r="R2843" t="str">
        <f>_xlfn.XLOOKUP(Pipeline_tbl[[#This Row],[Rep_ID]],Dim_Reps!A:A,Dim_Reps!E:E)</f>
        <v>EMEA</v>
      </c>
      <c r="S2843" t="str">
        <f>_xlfn.XLOOKUP(Pipeline_tbl[[#This Row],[Created_Date]],Dim_Date!A:A,Dim_Date!H:H)</f>
        <v>Mar 2025</v>
      </c>
      <c r="T2843" t="str">
        <f>IF(Pipeline_tbl[[#This Row],[Closed_Date]]=0,"",(_xlfn.XLOOKUP(Pipeline_tbl[[#This Row],[Closed_Date]],Dim_Date!A:A,Dim_Date!H:H)))</f>
        <v>Mar 2025</v>
      </c>
      <c r="U2843">
        <f>IF(Pipeline_tbl[[#This Row],[Closed_Date]]=0,"",Pipeline_tbl[[#This Row],[Closed_Date]]-Pipeline_tbl[[#This Row],[Created_Date]])</f>
        <v>14</v>
      </c>
    </row>
    <row r="2844" spans="1:21" ht="15" customHeight="1" x14ac:dyDescent="0.2">
      <c r="A2844" t="s">
        <v>3150</v>
      </c>
      <c r="B2844" t="s">
        <v>211</v>
      </c>
      <c r="C2844" t="s">
        <v>54</v>
      </c>
      <c r="D2844" s="49">
        <v>45719</v>
      </c>
      <c r="E2844" s="49">
        <v>45720</v>
      </c>
      <c r="F2844" s="49">
        <v>45722</v>
      </c>
      <c r="G2844" s="49">
        <v>45726</v>
      </c>
      <c r="H2844" s="49">
        <v>45728</v>
      </c>
      <c r="I2844" s="49">
        <v>45730</v>
      </c>
      <c r="J2844" t="s">
        <v>49</v>
      </c>
      <c r="K2844" s="33">
        <v>2400</v>
      </c>
      <c r="L2844" t="s">
        <v>61</v>
      </c>
      <c r="M2844" t="str">
        <f>_xlfn.XLOOKUP(Pipeline_tbl[[#This Row],[Rep_ID]],Dim_Reps!A:A,Dim_Reps!K:K)</f>
        <v>EUR</v>
      </c>
      <c r="N2844" s="33">
        <f>(_xlfn.XLOOKUP(Pipeline_tbl[[#This Row],[Rate_Code_Generalized]],Lookups!A:A,Lookups!B:B))*Pipeline_tbl[[#This Row],[Pipeline_Amount_USD]]</f>
        <v>2400</v>
      </c>
      <c r="O2844" t="str">
        <f>_xlfn.XLOOKUP(Pipeline_tbl[[#This Row],[Rep_ID]],Dim_Reps!A:A,Dim_Reps!B:B)</f>
        <v>Lea Weber</v>
      </c>
      <c r="P2844" t="str">
        <f>_xlfn.XLOOKUP(Pipeline_tbl[[#This Row],[Rep_ID]],Dim_Reps!A:A,Dim_Reps!C:C)</f>
        <v>SDR / Inside Sales Rep</v>
      </c>
      <c r="Q2844" t="str">
        <f>_xlfn.XLOOKUP(Pipeline_tbl[[#This Row],[Rep_ID]],Dim_Reps!A:A,Dim_Reps!D:D)</f>
        <v>Inside Sales</v>
      </c>
      <c r="R2844" t="str">
        <f>_xlfn.XLOOKUP(Pipeline_tbl[[#This Row],[Rep_ID]],Dim_Reps!A:A,Dim_Reps!E:E)</f>
        <v>EMEA</v>
      </c>
      <c r="S2844" t="str">
        <f>_xlfn.XLOOKUP(Pipeline_tbl[[#This Row],[Created_Date]],Dim_Date!A:A,Dim_Date!H:H)</f>
        <v>Mar 2025</v>
      </c>
      <c r="T2844" t="str">
        <f>IF(Pipeline_tbl[[#This Row],[Closed_Date]]=0,"",(_xlfn.XLOOKUP(Pipeline_tbl[[#This Row],[Closed_Date]],Dim_Date!A:A,Dim_Date!H:H)))</f>
        <v>Mar 2025</v>
      </c>
      <c r="U2844">
        <f>IF(Pipeline_tbl[[#This Row],[Closed_Date]]=0,"",Pipeline_tbl[[#This Row],[Closed_Date]]-Pipeline_tbl[[#This Row],[Created_Date]])</f>
        <v>11</v>
      </c>
    </row>
    <row r="2845" spans="1:21" ht="15" customHeight="1" x14ac:dyDescent="0.2">
      <c r="A2845" t="s">
        <v>3151</v>
      </c>
      <c r="B2845" t="s">
        <v>211</v>
      </c>
      <c r="C2845" t="s">
        <v>52</v>
      </c>
      <c r="D2845" s="49">
        <v>45724</v>
      </c>
      <c r="E2845" s="49">
        <v>45726</v>
      </c>
      <c r="F2845" s="49">
        <v>45731</v>
      </c>
      <c r="G2845" s="49">
        <v>45737</v>
      </c>
      <c r="I2845" s="49">
        <v>45746</v>
      </c>
      <c r="J2845" t="s">
        <v>49</v>
      </c>
      <c r="K2845" s="33">
        <v>2100</v>
      </c>
      <c r="L2845" t="s">
        <v>62</v>
      </c>
      <c r="M2845" t="str">
        <f>_xlfn.XLOOKUP(Pipeline_tbl[[#This Row],[Rep_ID]],Dim_Reps!A:A,Dim_Reps!K:K)</f>
        <v>EUR</v>
      </c>
      <c r="N2845" s="33">
        <f>(_xlfn.XLOOKUP(Pipeline_tbl[[#This Row],[Rate_Code_Generalized]],Lookups!A:A,Lookups!B:B))*Pipeline_tbl[[#This Row],[Pipeline_Amount_USD]]</f>
        <v>2100</v>
      </c>
      <c r="O2845" t="str">
        <f>_xlfn.XLOOKUP(Pipeline_tbl[[#This Row],[Rep_ID]],Dim_Reps!A:A,Dim_Reps!B:B)</f>
        <v>Lea Weber</v>
      </c>
      <c r="P2845" t="str">
        <f>_xlfn.XLOOKUP(Pipeline_tbl[[#This Row],[Rep_ID]],Dim_Reps!A:A,Dim_Reps!C:C)</f>
        <v>SDR / Inside Sales Rep</v>
      </c>
      <c r="Q2845" t="str">
        <f>_xlfn.XLOOKUP(Pipeline_tbl[[#This Row],[Rep_ID]],Dim_Reps!A:A,Dim_Reps!D:D)</f>
        <v>Inside Sales</v>
      </c>
      <c r="R2845" t="str">
        <f>_xlfn.XLOOKUP(Pipeline_tbl[[#This Row],[Rep_ID]],Dim_Reps!A:A,Dim_Reps!E:E)</f>
        <v>EMEA</v>
      </c>
      <c r="S2845" t="str">
        <f>_xlfn.XLOOKUP(Pipeline_tbl[[#This Row],[Created_Date]],Dim_Date!A:A,Dim_Date!H:H)</f>
        <v>Mar 2025</v>
      </c>
      <c r="T2845" t="str">
        <f>IF(Pipeline_tbl[[#This Row],[Closed_Date]]=0,"",(_xlfn.XLOOKUP(Pipeline_tbl[[#This Row],[Closed_Date]],Dim_Date!A:A,Dim_Date!H:H)))</f>
        <v>Mar 2025</v>
      </c>
      <c r="U2845">
        <f>IF(Pipeline_tbl[[#This Row],[Closed_Date]]=0,"",Pipeline_tbl[[#This Row],[Closed_Date]]-Pipeline_tbl[[#This Row],[Created_Date]])</f>
        <v>22</v>
      </c>
    </row>
    <row r="2846" spans="1:21" ht="15" customHeight="1" x14ac:dyDescent="0.2">
      <c r="A2846" t="s">
        <v>3152</v>
      </c>
      <c r="B2846" t="s">
        <v>213</v>
      </c>
      <c r="C2846" t="s">
        <v>53</v>
      </c>
      <c r="D2846" s="49">
        <v>45730</v>
      </c>
      <c r="E2846" s="49">
        <v>45731</v>
      </c>
      <c r="I2846" s="49">
        <v>45738</v>
      </c>
      <c r="J2846" t="s">
        <v>49</v>
      </c>
      <c r="K2846" s="33">
        <v>4800</v>
      </c>
      <c r="L2846" t="s">
        <v>61</v>
      </c>
      <c r="M2846" t="str">
        <f>_xlfn.XLOOKUP(Pipeline_tbl[[#This Row],[Rep_ID]],Dim_Reps!A:A,Dim_Reps!K:K)</f>
        <v>EUR</v>
      </c>
      <c r="N2846" s="33">
        <f>(_xlfn.XLOOKUP(Pipeline_tbl[[#This Row],[Rate_Code_Generalized]],Lookups!A:A,Lookups!B:B))*Pipeline_tbl[[#This Row],[Pipeline_Amount_USD]]</f>
        <v>4800</v>
      </c>
      <c r="O2846" t="str">
        <f>_xlfn.XLOOKUP(Pipeline_tbl[[#This Row],[Rep_ID]],Dim_Reps!A:A,Dim_Reps!B:B)</f>
        <v>Jamie Silva</v>
      </c>
      <c r="P2846" t="str">
        <f>_xlfn.XLOOKUP(Pipeline_tbl[[#This Row],[Rep_ID]],Dim_Reps!A:A,Dim_Reps!C:C)</f>
        <v>SDR / Inside Sales Rep</v>
      </c>
      <c r="Q2846" t="str">
        <f>_xlfn.XLOOKUP(Pipeline_tbl[[#This Row],[Rep_ID]],Dim_Reps!A:A,Dim_Reps!D:D)</f>
        <v>Inside Sales</v>
      </c>
      <c r="R2846" t="str">
        <f>_xlfn.XLOOKUP(Pipeline_tbl[[#This Row],[Rep_ID]],Dim_Reps!A:A,Dim_Reps!E:E)</f>
        <v>EMEA</v>
      </c>
      <c r="S2846" t="str">
        <f>_xlfn.XLOOKUP(Pipeline_tbl[[#This Row],[Created_Date]],Dim_Date!A:A,Dim_Date!H:H)</f>
        <v>Mar 2025</v>
      </c>
      <c r="T2846" t="str">
        <f>IF(Pipeline_tbl[[#This Row],[Closed_Date]]=0,"",(_xlfn.XLOOKUP(Pipeline_tbl[[#This Row],[Closed_Date]],Dim_Date!A:A,Dim_Date!H:H)))</f>
        <v>Mar 2025</v>
      </c>
      <c r="U2846">
        <f>IF(Pipeline_tbl[[#This Row],[Closed_Date]]=0,"",Pipeline_tbl[[#This Row],[Closed_Date]]-Pipeline_tbl[[#This Row],[Created_Date]])</f>
        <v>8</v>
      </c>
    </row>
    <row r="2847" spans="1:21" ht="15" customHeight="1" x14ac:dyDescent="0.2">
      <c r="A2847" t="s">
        <v>3153</v>
      </c>
      <c r="B2847" t="s">
        <v>213</v>
      </c>
      <c r="C2847" t="s">
        <v>53</v>
      </c>
      <c r="D2847" s="49">
        <v>45731</v>
      </c>
      <c r="E2847" s="49">
        <v>45732</v>
      </c>
      <c r="F2847" s="49">
        <v>45734</v>
      </c>
      <c r="G2847" s="49">
        <v>45736</v>
      </c>
      <c r="H2847" s="49">
        <v>45739</v>
      </c>
      <c r="I2847" s="49">
        <v>45740</v>
      </c>
      <c r="J2847" t="s">
        <v>47</v>
      </c>
      <c r="K2847" s="33">
        <v>9200</v>
      </c>
      <c r="M2847" t="str">
        <f>_xlfn.XLOOKUP(Pipeline_tbl[[#This Row],[Rep_ID]],Dim_Reps!A:A,Dim_Reps!K:K)</f>
        <v>EUR</v>
      </c>
      <c r="N2847" s="33">
        <f>(_xlfn.XLOOKUP(Pipeline_tbl[[#This Row],[Rate_Code_Generalized]],Lookups!A:A,Lookups!B:B))*Pipeline_tbl[[#This Row],[Pipeline_Amount_USD]]</f>
        <v>9200</v>
      </c>
      <c r="O2847" t="str">
        <f>_xlfn.XLOOKUP(Pipeline_tbl[[#This Row],[Rep_ID]],Dim_Reps!A:A,Dim_Reps!B:B)</f>
        <v>Jamie Silva</v>
      </c>
      <c r="P2847" t="str">
        <f>_xlfn.XLOOKUP(Pipeline_tbl[[#This Row],[Rep_ID]],Dim_Reps!A:A,Dim_Reps!C:C)</f>
        <v>SDR / Inside Sales Rep</v>
      </c>
      <c r="Q2847" t="str">
        <f>_xlfn.XLOOKUP(Pipeline_tbl[[#This Row],[Rep_ID]],Dim_Reps!A:A,Dim_Reps!D:D)</f>
        <v>Inside Sales</v>
      </c>
      <c r="R2847" t="str">
        <f>_xlfn.XLOOKUP(Pipeline_tbl[[#This Row],[Rep_ID]],Dim_Reps!A:A,Dim_Reps!E:E)</f>
        <v>EMEA</v>
      </c>
      <c r="S2847" t="str">
        <f>_xlfn.XLOOKUP(Pipeline_tbl[[#This Row],[Created_Date]],Dim_Date!A:A,Dim_Date!H:H)</f>
        <v>Mar 2025</v>
      </c>
      <c r="T2847" t="str">
        <f>IF(Pipeline_tbl[[#This Row],[Closed_Date]]=0,"",(_xlfn.XLOOKUP(Pipeline_tbl[[#This Row],[Closed_Date]],Dim_Date!A:A,Dim_Date!H:H)))</f>
        <v>Mar 2025</v>
      </c>
      <c r="U2847">
        <f>IF(Pipeline_tbl[[#This Row],[Closed_Date]]=0,"",Pipeline_tbl[[#This Row],[Closed_Date]]-Pipeline_tbl[[#This Row],[Created_Date]])</f>
        <v>9</v>
      </c>
    </row>
    <row r="2848" spans="1:21" ht="15" customHeight="1" x14ac:dyDescent="0.2">
      <c r="A2848" t="s">
        <v>3154</v>
      </c>
      <c r="B2848" t="s">
        <v>213</v>
      </c>
      <c r="C2848" t="s">
        <v>56</v>
      </c>
      <c r="D2848" s="49">
        <v>45722</v>
      </c>
      <c r="E2848" s="49">
        <v>45723</v>
      </c>
      <c r="F2848" s="49">
        <v>45725</v>
      </c>
      <c r="G2848" s="49">
        <v>45729</v>
      </c>
      <c r="H2848" s="49">
        <v>45731</v>
      </c>
      <c r="I2848" s="49">
        <v>45733</v>
      </c>
      <c r="J2848" t="s">
        <v>47</v>
      </c>
      <c r="K2848" s="33">
        <v>5500</v>
      </c>
      <c r="M2848" t="str">
        <f>_xlfn.XLOOKUP(Pipeline_tbl[[#This Row],[Rep_ID]],Dim_Reps!A:A,Dim_Reps!K:K)</f>
        <v>EUR</v>
      </c>
      <c r="N2848" s="33">
        <f>(_xlfn.XLOOKUP(Pipeline_tbl[[#This Row],[Rate_Code_Generalized]],Lookups!A:A,Lookups!B:B))*Pipeline_tbl[[#This Row],[Pipeline_Amount_USD]]</f>
        <v>5500</v>
      </c>
      <c r="O2848" t="str">
        <f>_xlfn.XLOOKUP(Pipeline_tbl[[#This Row],[Rep_ID]],Dim_Reps!A:A,Dim_Reps!B:B)</f>
        <v>Jamie Silva</v>
      </c>
      <c r="P2848" t="str">
        <f>_xlfn.XLOOKUP(Pipeline_tbl[[#This Row],[Rep_ID]],Dim_Reps!A:A,Dim_Reps!C:C)</f>
        <v>SDR / Inside Sales Rep</v>
      </c>
      <c r="Q2848" t="str">
        <f>_xlfn.XLOOKUP(Pipeline_tbl[[#This Row],[Rep_ID]],Dim_Reps!A:A,Dim_Reps!D:D)</f>
        <v>Inside Sales</v>
      </c>
      <c r="R2848" t="str">
        <f>_xlfn.XLOOKUP(Pipeline_tbl[[#This Row],[Rep_ID]],Dim_Reps!A:A,Dim_Reps!E:E)</f>
        <v>EMEA</v>
      </c>
      <c r="S2848" t="str">
        <f>_xlfn.XLOOKUP(Pipeline_tbl[[#This Row],[Created_Date]],Dim_Date!A:A,Dim_Date!H:H)</f>
        <v>Mar 2025</v>
      </c>
      <c r="T2848" t="str">
        <f>IF(Pipeline_tbl[[#This Row],[Closed_Date]]=0,"",(_xlfn.XLOOKUP(Pipeline_tbl[[#This Row],[Closed_Date]],Dim_Date!A:A,Dim_Date!H:H)))</f>
        <v>Mar 2025</v>
      </c>
      <c r="U2848">
        <f>IF(Pipeline_tbl[[#This Row],[Closed_Date]]=0,"",Pipeline_tbl[[#This Row],[Closed_Date]]-Pipeline_tbl[[#This Row],[Created_Date]])</f>
        <v>11</v>
      </c>
    </row>
    <row r="2849" spans="1:21" ht="15" customHeight="1" x14ac:dyDescent="0.2">
      <c r="A2849" t="s">
        <v>3155</v>
      </c>
      <c r="B2849" t="s">
        <v>213</v>
      </c>
      <c r="C2849" t="s">
        <v>56</v>
      </c>
      <c r="D2849" s="49">
        <v>45732</v>
      </c>
      <c r="E2849" s="49">
        <v>45733</v>
      </c>
      <c r="F2849" s="49">
        <v>45736</v>
      </c>
      <c r="G2849" s="49">
        <v>45739</v>
      </c>
      <c r="I2849" s="49">
        <v>45744</v>
      </c>
      <c r="J2849" t="s">
        <v>49</v>
      </c>
      <c r="K2849" s="33">
        <v>3500</v>
      </c>
      <c r="L2849" t="s">
        <v>61</v>
      </c>
      <c r="M2849" t="str">
        <f>_xlfn.XLOOKUP(Pipeline_tbl[[#This Row],[Rep_ID]],Dim_Reps!A:A,Dim_Reps!K:K)</f>
        <v>EUR</v>
      </c>
      <c r="N2849" s="33">
        <f>(_xlfn.XLOOKUP(Pipeline_tbl[[#This Row],[Rate_Code_Generalized]],Lookups!A:A,Lookups!B:B))*Pipeline_tbl[[#This Row],[Pipeline_Amount_USD]]</f>
        <v>3500</v>
      </c>
      <c r="O2849" t="str">
        <f>_xlfn.XLOOKUP(Pipeline_tbl[[#This Row],[Rep_ID]],Dim_Reps!A:A,Dim_Reps!B:B)</f>
        <v>Jamie Silva</v>
      </c>
      <c r="P2849" t="str">
        <f>_xlfn.XLOOKUP(Pipeline_tbl[[#This Row],[Rep_ID]],Dim_Reps!A:A,Dim_Reps!C:C)</f>
        <v>SDR / Inside Sales Rep</v>
      </c>
      <c r="Q2849" t="str">
        <f>_xlfn.XLOOKUP(Pipeline_tbl[[#This Row],[Rep_ID]],Dim_Reps!A:A,Dim_Reps!D:D)</f>
        <v>Inside Sales</v>
      </c>
      <c r="R2849" t="str">
        <f>_xlfn.XLOOKUP(Pipeline_tbl[[#This Row],[Rep_ID]],Dim_Reps!A:A,Dim_Reps!E:E)</f>
        <v>EMEA</v>
      </c>
      <c r="S2849" t="str">
        <f>_xlfn.XLOOKUP(Pipeline_tbl[[#This Row],[Created_Date]],Dim_Date!A:A,Dim_Date!H:H)</f>
        <v>Mar 2025</v>
      </c>
      <c r="T2849" t="str">
        <f>IF(Pipeline_tbl[[#This Row],[Closed_Date]]=0,"",(_xlfn.XLOOKUP(Pipeline_tbl[[#This Row],[Closed_Date]],Dim_Date!A:A,Dim_Date!H:H)))</f>
        <v>Mar 2025</v>
      </c>
      <c r="U2849">
        <f>IF(Pipeline_tbl[[#This Row],[Closed_Date]]=0,"",Pipeline_tbl[[#This Row],[Closed_Date]]-Pipeline_tbl[[#This Row],[Created_Date]])</f>
        <v>12</v>
      </c>
    </row>
    <row r="2850" spans="1:21" ht="15" customHeight="1" x14ac:dyDescent="0.2">
      <c r="A2850" t="s">
        <v>3156</v>
      </c>
      <c r="B2850" t="s">
        <v>215</v>
      </c>
      <c r="C2850" t="s">
        <v>52</v>
      </c>
      <c r="D2850" s="49">
        <v>45717</v>
      </c>
      <c r="E2850" s="49">
        <v>45719</v>
      </c>
      <c r="I2850" s="49">
        <v>45732</v>
      </c>
      <c r="J2850" t="s">
        <v>49</v>
      </c>
      <c r="K2850" s="33">
        <v>3100</v>
      </c>
      <c r="L2850" t="s">
        <v>61</v>
      </c>
      <c r="M2850" t="str">
        <f>_xlfn.XLOOKUP(Pipeline_tbl[[#This Row],[Rep_ID]],Dim_Reps!A:A,Dim_Reps!K:K)</f>
        <v>EUR</v>
      </c>
      <c r="N2850" s="33">
        <f>(_xlfn.XLOOKUP(Pipeline_tbl[[#This Row],[Rate_Code_Generalized]],Lookups!A:A,Lookups!B:B))*Pipeline_tbl[[#This Row],[Pipeline_Amount_USD]]</f>
        <v>3100</v>
      </c>
      <c r="O2850" t="str">
        <f>_xlfn.XLOOKUP(Pipeline_tbl[[#This Row],[Rep_ID]],Dim_Reps!A:A,Dim_Reps!B:B)</f>
        <v>Jamie Schmidt</v>
      </c>
      <c r="P2850" t="str">
        <f>_xlfn.XLOOKUP(Pipeline_tbl[[#This Row],[Rep_ID]],Dim_Reps!A:A,Dim_Reps!C:C)</f>
        <v>SDR / Inside Sales Rep</v>
      </c>
      <c r="Q2850" t="str">
        <f>_xlfn.XLOOKUP(Pipeline_tbl[[#This Row],[Rep_ID]],Dim_Reps!A:A,Dim_Reps!D:D)</f>
        <v>Inside Sales</v>
      </c>
      <c r="R2850" t="str">
        <f>_xlfn.XLOOKUP(Pipeline_tbl[[#This Row],[Rep_ID]],Dim_Reps!A:A,Dim_Reps!E:E)</f>
        <v>APAC</v>
      </c>
      <c r="S2850" t="str">
        <f>_xlfn.XLOOKUP(Pipeline_tbl[[#This Row],[Created_Date]],Dim_Date!A:A,Dim_Date!H:H)</f>
        <v>Mar 2025</v>
      </c>
      <c r="T2850" t="str">
        <f>IF(Pipeline_tbl[[#This Row],[Closed_Date]]=0,"",(_xlfn.XLOOKUP(Pipeline_tbl[[#This Row],[Closed_Date]],Dim_Date!A:A,Dim_Date!H:H)))</f>
        <v>Mar 2025</v>
      </c>
      <c r="U2850">
        <f>IF(Pipeline_tbl[[#This Row],[Closed_Date]]=0,"",Pipeline_tbl[[#This Row],[Closed_Date]]-Pipeline_tbl[[#This Row],[Created_Date]])</f>
        <v>15</v>
      </c>
    </row>
    <row r="2851" spans="1:21" ht="15" customHeight="1" x14ac:dyDescent="0.2">
      <c r="A2851" t="s">
        <v>3157</v>
      </c>
      <c r="B2851" t="s">
        <v>215</v>
      </c>
      <c r="C2851" t="s">
        <v>56</v>
      </c>
      <c r="D2851" s="49">
        <v>45719</v>
      </c>
      <c r="E2851" s="49">
        <v>45722</v>
      </c>
      <c r="F2851" s="49">
        <v>45727</v>
      </c>
      <c r="G2851" s="49">
        <v>45735</v>
      </c>
      <c r="H2851" s="49">
        <v>45741</v>
      </c>
      <c r="I2851" s="49">
        <v>45745</v>
      </c>
      <c r="J2851" t="s">
        <v>47</v>
      </c>
      <c r="K2851" s="33">
        <v>4500</v>
      </c>
      <c r="M2851" t="str">
        <f>_xlfn.XLOOKUP(Pipeline_tbl[[#This Row],[Rep_ID]],Dim_Reps!A:A,Dim_Reps!K:K)</f>
        <v>EUR</v>
      </c>
      <c r="N2851" s="33">
        <f>(_xlfn.XLOOKUP(Pipeline_tbl[[#This Row],[Rate_Code_Generalized]],Lookups!A:A,Lookups!B:B))*Pipeline_tbl[[#This Row],[Pipeline_Amount_USD]]</f>
        <v>4500</v>
      </c>
      <c r="O2851" t="str">
        <f>_xlfn.XLOOKUP(Pipeline_tbl[[#This Row],[Rep_ID]],Dim_Reps!A:A,Dim_Reps!B:B)</f>
        <v>Jamie Schmidt</v>
      </c>
      <c r="P2851" t="str">
        <f>_xlfn.XLOOKUP(Pipeline_tbl[[#This Row],[Rep_ID]],Dim_Reps!A:A,Dim_Reps!C:C)</f>
        <v>SDR / Inside Sales Rep</v>
      </c>
      <c r="Q2851" t="str">
        <f>_xlfn.XLOOKUP(Pipeline_tbl[[#This Row],[Rep_ID]],Dim_Reps!A:A,Dim_Reps!D:D)</f>
        <v>Inside Sales</v>
      </c>
      <c r="R2851" t="str">
        <f>_xlfn.XLOOKUP(Pipeline_tbl[[#This Row],[Rep_ID]],Dim_Reps!A:A,Dim_Reps!E:E)</f>
        <v>APAC</v>
      </c>
      <c r="S2851" t="str">
        <f>_xlfn.XLOOKUP(Pipeline_tbl[[#This Row],[Created_Date]],Dim_Date!A:A,Dim_Date!H:H)</f>
        <v>Mar 2025</v>
      </c>
      <c r="T2851" t="str">
        <f>IF(Pipeline_tbl[[#This Row],[Closed_Date]]=0,"",(_xlfn.XLOOKUP(Pipeline_tbl[[#This Row],[Closed_Date]],Dim_Date!A:A,Dim_Date!H:H)))</f>
        <v>Mar 2025</v>
      </c>
      <c r="U2851">
        <f>IF(Pipeline_tbl[[#This Row],[Closed_Date]]=0,"",Pipeline_tbl[[#This Row],[Closed_Date]]-Pipeline_tbl[[#This Row],[Created_Date]])</f>
        <v>26</v>
      </c>
    </row>
    <row r="2852" spans="1:21" ht="15" customHeight="1" x14ac:dyDescent="0.2">
      <c r="A2852" t="s">
        <v>3158</v>
      </c>
      <c r="B2852" t="s">
        <v>215</v>
      </c>
      <c r="C2852" t="s">
        <v>52</v>
      </c>
      <c r="D2852" s="49">
        <v>45718</v>
      </c>
      <c r="E2852" s="49">
        <v>45720</v>
      </c>
      <c r="F2852" s="49">
        <v>45723</v>
      </c>
      <c r="G2852" s="49">
        <v>45728</v>
      </c>
      <c r="H2852" s="49">
        <v>45732</v>
      </c>
      <c r="I2852" s="49">
        <v>45734</v>
      </c>
      <c r="J2852" t="s">
        <v>47</v>
      </c>
      <c r="K2852" s="33">
        <v>1000</v>
      </c>
      <c r="M2852" t="str">
        <f>_xlfn.XLOOKUP(Pipeline_tbl[[#This Row],[Rep_ID]],Dim_Reps!A:A,Dim_Reps!K:K)</f>
        <v>EUR</v>
      </c>
      <c r="N2852" s="33">
        <f>(_xlfn.XLOOKUP(Pipeline_tbl[[#This Row],[Rate_Code_Generalized]],Lookups!A:A,Lookups!B:B))*Pipeline_tbl[[#This Row],[Pipeline_Amount_USD]]</f>
        <v>1000</v>
      </c>
      <c r="O2852" t="str">
        <f>_xlfn.XLOOKUP(Pipeline_tbl[[#This Row],[Rep_ID]],Dim_Reps!A:A,Dim_Reps!B:B)</f>
        <v>Jamie Schmidt</v>
      </c>
      <c r="P2852" t="str">
        <f>_xlfn.XLOOKUP(Pipeline_tbl[[#This Row],[Rep_ID]],Dim_Reps!A:A,Dim_Reps!C:C)</f>
        <v>SDR / Inside Sales Rep</v>
      </c>
      <c r="Q2852" t="str">
        <f>_xlfn.XLOOKUP(Pipeline_tbl[[#This Row],[Rep_ID]],Dim_Reps!A:A,Dim_Reps!D:D)</f>
        <v>Inside Sales</v>
      </c>
      <c r="R2852" t="str">
        <f>_xlfn.XLOOKUP(Pipeline_tbl[[#This Row],[Rep_ID]],Dim_Reps!A:A,Dim_Reps!E:E)</f>
        <v>APAC</v>
      </c>
      <c r="S2852" t="str">
        <f>_xlfn.XLOOKUP(Pipeline_tbl[[#This Row],[Created_Date]],Dim_Date!A:A,Dim_Date!H:H)</f>
        <v>Mar 2025</v>
      </c>
      <c r="T2852" t="str">
        <f>IF(Pipeline_tbl[[#This Row],[Closed_Date]]=0,"",(_xlfn.XLOOKUP(Pipeline_tbl[[#This Row],[Closed_Date]],Dim_Date!A:A,Dim_Date!H:H)))</f>
        <v>Mar 2025</v>
      </c>
      <c r="U2852">
        <f>IF(Pipeline_tbl[[#This Row],[Closed_Date]]=0,"",Pipeline_tbl[[#This Row],[Closed_Date]]-Pipeline_tbl[[#This Row],[Created_Date]])</f>
        <v>16</v>
      </c>
    </row>
    <row r="2853" spans="1:21" ht="15" customHeight="1" x14ac:dyDescent="0.2">
      <c r="A2853" t="s">
        <v>3159</v>
      </c>
      <c r="B2853" t="s">
        <v>215</v>
      </c>
      <c r="C2853" t="s">
        <v>53</v>
      </c>
      <c r="D2853" s="49">
        <v>45737</v>
      </c>
      <c r="E2853" s="49">
        <v>45738</v>
      </c>
      <c r="F2853" s="49">
        <v>45739</v>
      </c>
      <c r="I2853" s="49">
        <v>45744</v>
      </c>
      <c r="J2853" t="s">
        <v>49</v>
      </c>
      <c r="K2853" s="33">
        <v>4000</v>
      </c>
      <c r="L2853" t="s">
        <v>62</v>
      </c>
      <c r="M2853" t="str">
        <f>_xlfn.XLOOKUP(Pipeline_tbl[[#This Row],[Rep_ID]],Dim_Reps!A:A,Dim_Reps!K:K)</f>
        <v>EUR</v>
      </c>
      <c r="N2853" s="33">
        <f>(_xlfn.XLOOKUP(Pipeline_tbl[[#This Row],[Rate_Code_Generalized]],Lookups!A:A,Lookups!B:B))*Pipeline_tbl[[#This Row],[Pipeline_Amount_USD]]</f>
        <v>4000</v>
      </c>
      <c r="O2853" t="str">
        <f>_xlfn.XLOOKUP(Pipeline_tbl[[#This Row],[Rep_ID]],Dim_Reps!A:A,Dim_Reps!B:B)</f>
        <v>Jamie Schmidt</v>
      </c>
      <c r="P2853" t="str">
        <f>_xlfn.XLOOKUP(Pipeline_tbl[[#This Row],[Rep_ID]],Dim_Reps!A:A,Dim_Reps!C:C)</f>
        <v>SDR / Inside Sales Rep</v>
      </c>
      <c r="Q2853" t="str">
        <f>_xlfn.XLOOKUP(Pipeline_tbl[[#This Row],[Rep_ID]],Dim_Reps!A:A,Dim_Reps!D:D)</f>
        <v>Inside Sales</v>
      </c>
      <c r="R2853" t="str">
        <f>_xlfn.XLOOKUP(Pipeline_tbl[[#This Row],[Rep_ID]],Dim_Reps!A:A,Dim_Reps!E:E)</f>
        <v>APAC</v>
      </c>
      <c r="S2853" t="str">
        <f>_xlfn.XLOOKUP(Pipeline_tbl[[#This Row],[Created_Date]],Dim_Date!A:A,Dim_Date!H:H)</f>
        <v>Mar 2025</v>
      </c>
      <c r="T2853" t="str">
        <f>IF(Pipeline_tbl[[#This Row],[Closed_Date]]=0,"",(_xlfn.XLOOKUP(Pipeline_tbl[[#This Row],[Closed_Date]],Dim_Date!A:A,Dim_Date!H:H)))</f>
        <v>Mar 2025</v>
      </c>
      <c r="U2853">
        <f>IF(Pipeline_tbl[[#This Row],[Closed_Date]]=0,"",Pipeline_tbl[[#This Row],[Closed_Date]]-Pipeline_tbl[[#This Row],[Created_Date]])</f>
        <v>7</v>
      </c>
    </row>
    <row r="2854" spans="1:21" ht="15" customHeight="1" x14ac:dyDescent="0.2">
      <c r="A2854" t="s">
        <v>3160</v>
      </c>
      <c r="B2854" t="s">
        <v>217</v>
      </c>
      <c r="C2854" t="s">
        <v>53</v>
      </c>
      <c r="D2854" s="49">
        <v>45727</v>
      </c>
      <c r="E2854" s="49">
        <v>45729</v>
      </c>
      <c r="F2854" s="49">
        <v>45732</v>
      </c>
      <c r="G2854" s="49">
        <v>45737</v>
      </c>
      <c r="H2854" s="49">
        <v>45741</v>
      </c>
      <c r="I2854" s="49">
        <v>45743</v>
      </c>
      <c r="J2854" t="s">
        <v>47</v>
      </c>
      <c r="K2854" s="33">
        <v>3500</v>
      </c>
      <c r="M2854" t="str">
        <f>_xlfn.XLOOKUP(Pipeline_tbl[[#This Row],[Rep_ID]],Dim_Reps!A:A,Dim_Reps!K:K)</f>
        <v>USD</v>
      </c>
      <c r="N2854" s="33">
        <f>(_xlfn.XLOOKUP(Pipeline_tbl[[#This Row],[Rate_Code_Generalized]],Lookups!A:A,Lookups!B:B))*Pipeline_tbl[[#This Row],[Pipeline_Amount_USD]]</f>
        <v>4075.0499999999997</v>
      </c>
      <c r="O2854" t="str">
        <f>_xlfn.XLOOKUP(Pipeline_tbl[[#This Row],[Rep_ID]],Dim_Reps!A:A,Dim_Reps!B:B)</f>
        <v>Priya Weber</v>
      </c>
      <c r="P2854" t="str">
        <f>_xlfn.XLOOKUP(Pipeline_tbl[[#This Row],[Rep_ID]],Dim_Reps!A:A,Dim_Reps!C:C)</f>
        <v>SDR / Inside Sales Rep</v>
      </c>
      <c r="Q2854" t="str">
        <f>_xlfn.XLOOKUP(Pipeline_tbl[[#This Row],[Rep_ID]],Dim_Reps!A:A,Dim_Reps!D:D)</f>
        <v>Inside Sales</v>
      </c>
      <c r="R2854" t="str">
        <f>_xlfn.XLOOKUP(Pipeline_tbl[[#This Row],[Rep_ID]],Dim_Reps!A:A,Dim_Reps!E:E)</f>
        <v>NAMER</v>
      </c>
      <c r="S2854" t="str">
        <f>_xlfn.XLOOKUP(Pipeline_tbl[[#This Row],[Created_Date]],Dim_Date!A:A,Dim_Date!H:H)</f>
        <v>Mar 2025</v>
      </c>
      <c r="T2854" t="str">
        <f>IF(Pipeline_tbl[[#This Row],[Closed_Date]]=0,"",(_xlfn.XLOOKUP(Pipeline_tbl[[#This Row],[Closed_Date]],Dim_Date!A:A,Dim_Date!H:H)))</f>
        <v>Mar 2025</v>
      </c>
      <c r="U2854">
        <f>IF(Pipeline_tbl[[#This Row],[Closed_Date]]=0,"",Pipeline_tbl[[#This Row],[Closed_Date]]-Pipeline_tbl[[#This Row],[Created_Date]])</f>
        <v>16</v>
      </c>
    </row>
    <row r="2855" spans="1:21" ht="15" customHeight="1" x14ac:dyDescent="0.2">
      <c r="A2855" t="s">
        <v>3161</v>
      </c>
      <c r="B2855" t="s">
        <v>217</v>
      </c>
      <c r="C2855" t="s">
        <v>54</v>
      </c>
      <c r="D2855" s="49">
        <v>45730</v>
      </c>
      <c r="E2855" s="49">
        <v>45731</v>
      </c>
      <c r="F2855" s="49">
        <v>45732</v>
      </c>
      <c r="G2855" s="49">
        <v>45734</v>
      </c>
      <c r="I2855" s="49">
        <v>45737</v>
      </c>
      <c r="J2855" t="s">
        <v>49</v>
      </c>
      <c r="K2855" s="33">
        <v>2600</v>
      </c>
      <c r="L2855" t="s">
        <v>62</v>
      </c>
      <c r="M2855" t="str">
        <f>_xlfn.XLOOKUP(Pipeline_tbl[[#This Row],[Rep_ID]],Dim_Reps!A:A,Dim_Reps!K:K)</f>
        <v>USD</v>
      </c>
      <c r="N2855" s="33">
        <f>(_xlfn.XLOOKUP(Pipeline_tbl[[#This Row],[Rate_Code_Generalized]],Lookups!A:A,Lookups!B:B))*Pipeline_tbl[[#This Row],[Pipeline_Amount_USD]]</f>
        <v>3027.18</v>
      </c>
      <c r="O2855" t="str">
        <f>_xlfn.XLOOKUP(Pipeline_tbl[[#This Row],[Rep_ID]],Dim_Reps!A:A,Dim_Reps!B:B)</f>
        <v>Priya Weber</v>
      </c>
      <c r="P2855" t="str">
        <f>_xlfn.XLOOKUP(Pipeline_tbl[[#This Row],[Rep_ID]],Dim_Reps!A:A,Dim_Reps!C:C)</f>
        <v>SDR / Inside Sales Rep</v>
      </c>
      <c r="Q2855" t="str">
        <f>_xlfn.XLOOKUP(Pipeline_tbl[[#This Row],[Rep_ID]],Dim_Reps!A:A,Dim_Reps!D:D)</f>
        <v>Inside Sales</v>
      </c>
      <c r="R2855" t="str">
        <f>_xlfn.XLOOKUP(Pipeline_tbl[[#This Row],[Rep_ID]],Dim_Reps!A:A,Dim_Reps!E:E)</f>
        <v>NAMER</v>
      </c>
      <c r="S2855" t="str">
        <f>_xlfn.XLOOKUP(Pipeline_tbl[[#This Row],[Created_Date]],Dim_Date!A:A,Dim_Date!H:H)</f>
        <v>Mar 2025</v>
      </c>
      <c r="T2855" t="str">
        <f>IF(Pipeline_tbl[[#This Row],[Closed_Date]]=0,"",(_xlfn.XLOOKUP(Pipeline_tbl[[#This Row],[Closed_Date]],Dim_Date!A:A,Dim_Date!H:H)))</f>
        <v>Mar 2025</v>
      </c>
      <c r="U2855">
        <f>IF(Pipeline_tbl[[#This Row],[Closed_Date]]=0,"",Pipeline_tbl[[#This Row],[Closed_Date]]-Pipeline_tbl[[#This Row],[Created_Date]])</f>
        <v>7</v>
      </c>
    </row>
    <row r="2856" spans="1:21" ht="15" customHeight="1" x14ac:dyDescent="0.2">
      <c r="A2856" t="s">
        <v>3162</v>
      </c>
      <c r="B2856" t="s">
        <v>217</v>
      </c>
      <c r="C2856" t="s">
        <v>52</v>
      </c>
      <c r="D2856" s="49">
        <v>45721</v>
      </c>
      <c r="E2856" s="49">
        <v>45723</v>
      </c>
      <c r="F2856" s="49">
        <v>45727</v>
      </c>
      <c r="I2856" s="49">
        <v>45740</v>
      </c>
      <c r="J2856" t="s">
        <v>49</v>
      </c>
      <c r="K2856" s="33">
        <v>4700</v>
      </c>
      <c r="L2856" t="s">
        <v>62</v>
      </c>
      <c r="M2856" t="str">
        <f>_xlfn.XLOOKUP(Pipeline_tbl[[#This Row],[Rep_ID]],Dim_Reps!A:A,Dim_Reps!K:K)</f>
        <v>USD</v>
      </c>
      <c r="N2856" s="33">
        <f>(_xlfn.XLOOKUP(Pipeline_tbl[[#This Row],[Rate_Code_Generalized]],Lookups!A:A,Lookups!B:B))*Pipeline_tbl[[#This Row],[Pipeline_Amount_USD]]</f>
        <v>5472.2099999999991</v>
      </c>
      <c r="O2856" t="str">
        <f>_xlfn.XLOOKUP(Pipeline_tbl[[#This Row],[Rep_ID]],Dim_Reps!A:A,Dim_Reps!B:B)</f>
        <v>Priya Weber</v>
      </c>
      <c r="P2856" t="str">
        <f>_xlfn.XLOOKUP(Pipeline_tbl[[#This Row],[Rep_ID]],Dim_Reps!A:A,Dim_Reps!C:C)</f>
        <v>SDR / Inside Sales Rep</v>
      </c>
      <c r="Q2856" t="str">
        <f>_xlfn.XLOOKUP(Pipeline_tbl[[#This Row],[Rep_ID]],Dim_Reps!A:A,Dim_Reps!D:D)</f>
        <v>Inside Sales</v>
      </c>
      <c r="R2856" t="str">
        <f>_xlfn.XLOOKUP(Pipeline_tbl[[#This Row],[Rep_ID]],Dim_Reps!A:A,Dim_Reps!E:E)</f>
        <v>NAMER</v>
      </c>
      <c r="S2856" t="str">
        <f>_xlfn.XLOOKUP(Pipeline_tbl[[#This Row],[Created_Date]],Dim_Date!A:A,Dim_Date!H:H)</f>
        <v>Mar 2025</v>
      </c>
      <c r="T2856" t="str">
        <f>IF(Pipeline_tbl[[#This Row],[Closed_Date]]=0,"",(_xlfn.XLOOKUP(Pipeline_tbl[[#This Row],[Closed_Date]],Dim_Date!A:A,Dim_Date!H:H)))</f>
        <v>Mar 2025</v>
      </c>
      <c r="U2856">
        <f>IF(Pipeline_tbl[[#This Row],[Closed_Date]]=0,"",Pipeline_tbl[[#This Row],[Closed_Date]]-Pipeline_tbl[[#This Row],[Created_Date]])</f>
        <v>19</v>
      </c>
    </row>
    <row r="2857" spans="1:21" ht="15" customHeight="1" x14ac:dyDescent="0.2">
      <c r="A2857" t="s">
        <v>3163</v>
      </c>
      <c r="B2857" t="s">
        <v>217</v>
      </c>
      <c r="C2857" t="s">
        <v>52</v>
      </c>
      <c r="D2857" s="49">
        <v>45730</v>
      </c>
      <c r="E2857" s="49">
        <v>45731</v>
      </c>
      <c r="F2857" s="49">
        <v>45733</v>
      </c>
      <c r="I2857" s="49">
        <v>45739</v>
      </c>
      <c r="J2857" t="s">
        <v>49</v>
      </c>
      <c r="K2857" s="33">
        <v>2900</v>
      </c>
      <c r="L2857" t="s">
        <v>61</v>
      </c>
      <c r="M2857" t="str">
        <f>_xlfn.XLOOKUP(Pipeline_tbl[[#This Row],[Rep_ID]],Dim_Reps!A:A,Dim_Reps!K:K)</f>
        <v>USD</v>
      </c>
      <c r="N2857" s="33">
        <f>(_xlfn.XLOOKUP(Pipeline_tbl[[#This Row],[Rate_Code_Generalized]],Lookups!A:A,Lookups!B:B))*Pipeline_tbl[[#This Row],[Pipeline_Amount_USD]]</f>
        <v>3376.47</v>
      </c>
      <c r="O2857" t="str">
        <f>_xlfn.XLOOKUP(Pipeline_tbl[[#This Row],[Rep_ID]],Dim_Reps!A:A,Dim_Reps!B:B)</f>
        <v>Priya Weber</v>
      </c>
      <c r="P2857" t="str">
        <f>_xlfn.XLOOKUP(Pipeline_tbl[[#This Row],[Rep_ID]],Dim_Reps!A:A,Dim_Reps!C:C)</f>
        <v>SDR / Inside Sales Rep</v>
      </c>
      <c r="Q2857" t="str">
        <f>_xlfn.XLOOKUP(Pipeline_tbl[[#This Row],[Rep_ID]],Dim_Reps!A:A,Dim_Reps!D:D)</f>
        <v>Inside Sales</v>
      </c>
      <c r="R2857" t="str">
        <f>_xlfn.XLOOKUP(Pipeline_tbl[[#This Row],[Rep_ID]],Dim_Reps!A:A,Dim_Reps!E:E)</f>
        <v>NAMER</v>
      </c>
      <c r="S2857" t="str">
        <f>_xlfn.XLOOKUP(Pipeline_tbl[[#This Row],[Created_Date]],Dim_Date!A:A,Dim_Date!H:H)</f>
        <v>Mar 2025</v>
      </c>
      <c r="T2857" t="str">
        <f>IF(Pipeline_tbl[[#This Row],[Closed_Date]]=0,"",(_xlfn.XLOOKUP(Pipeline_tbl[[#This Row],[Closed_Date]],Dim_Date!A:A,Dim_Date!H:H)))</f>
        <v>Mar 2025</v>
      </c>
      <c r="U2857">
        <f>IF(Pipeline_tbl[[#This Row],[Closed_Date]]=0,"",Pipeline_tbl[[#This Row],[Closed_Date]]-Pipeline_tbl[[#This Row],[Created_Date]])</f>
        <v>9</v>
      </c>
    </row>
    <row r="2858" spans="1:21" ht="15" customHeight="1" x14ac:dyDescent="0.2">
      <c r="A2858" t="s">
        <v>3164</v>
      </c>
      <c r="B2858" t="s">
        <v>217</v>
      </c>
      <c r="C2858" t="s">
        <v>52</v>
      </c>
      <c r="D2858" s="49">
        <v>45723</v>
      </c>
      <c r="E2858" s="49">
        <v>45725</v>
      </c>
      <c r="F2858" s="49">
        <v>45728</v>
      </c>
      <c r="G2858" s="49">
        <v>45733</v>
      </c>
      <c r="H2858" s="49">
        <v>45737</v>
      </c>
      <c r="I2858" s="49">
        <v>45739</v>
      </c>
      <c r="J2858" t="s">
        <v>47</v>
      </c>
      <c r="K2858" s="33">
        <v>3000</v>
      </c>
      <c r="M2858" t="str">
        <f>_xlfn.XLOOKUP(Pipeline_tbl[[#This Row],[Rep_ID]],Dim_Reps!A:A,Dim_Reps!K:K)</f>
        <v>USD</v>
      </c>
      <c r="N2858" s="33">
        <f>(_xlfn.XLOOKUP(Pipeline_tbl[[#This Row],[Rate_Code_Generalized]],Lookups!A:A,Lookups!B:B))*Pipeline_tbl[[#This Row],[Pipeline_Amount_USD]]</f>
        <v>3492.8999999999996</v>
      </c>
      <c r="O2858" t="str">
        <f>_xlfn.XLOOKUP(Pipeline_tbl[[#This Row],[Rep_ID]],Dim_Reps!A:A,Dim_Reps!B:B)</f>
        <v>Priya Weber</v>
      </c>
      <c r="P2858" t="str">
        <f>_xlfn.XLOOKUP(Pipeline_tbl[[#This Row],[Rep_ID]],Dim_Reps!A:A,Dim_Reps!C:C)</f>
        <v>SDR / Inside Sales Rep</v>
      </c>
      <c r="Q2858" t="str">
        <f>_xlfn.XLOOKUP(Pipeline_tbl[[#This Row],[Rep_ID]],Dim_Reps!A:A,Dim_Reps!D:D)</f>
        <v>Inside Sales</v>
      </c>
      <c r="R2858" t="str">
        <f>_xlfn.XLOOKUP(Pipeline_tbl[[#This Row],[Rep_ID]],Dim_Reps!A:A,Dim_Reps!E:E)</f>
        <v>NAMER</v>
      </c>
      <c r="S2858" t="str">
        <f>_xlfn.XLOOKUP(Pipeline_tbl[[#This Row],[Created_Date]],Dim_Date!A:A,Dim_Date!H:H)</f>
        <v>Mar 2025</v>
      </c>
      <c r="T2858" t="str">
        <f>IF(Pipeline_tbl[[#This Row],[Closed_Date]]=0,"",(_xlfn.XLOOKUP(Pipeline_tbl[[#This Row],[Closed_Date]],Dim_Date!A:A,Dim_Date!H:H)))</f>
        <v>Mar 2025</v>
      </c>
      <c r="U2858">
        <f>IF(Pipeline_tbl[[#This Row],[Closed_Date]]=0,"",Pipeline_tbl[[#This Row],[Closed_Date]]-Pipeline_tbl[[#This Row],[Created_Date]])</f>
        <v>16</v>
      </c>
    </row>
    <row r="2859" spans="1:21" ht="15" customHeight="1" x14ac:dyDescent="0.2">
      <c r="A2859" t="s">
        <v>3165</v>
      </c>
      <c r="B2859" t="s">
        <v>221</v>
      </c>
      <c r="C2859" t="s">
        <v>54</v>
      </c>
      <c r="D2859" s="49">
        <v>45724</v>
      </c>
      <c r="E2859" s="49">
        <v>45725</v>
      </c>
      <c r="F2859" s="49">
        <v>45728</v>
      </c>
      <c r="G2859" s="49">
        <v>45732</v>
      </c>
      <c r="H2859" s="49">
        <v>45735</v>
      </c>
      <c r="I2859" s="49">
        <v>45737</v>
      </c>
      <c r="J2859" t="s">
        <v>47</v>
      </c>
      <c r="K2859" s="33">
        <v>5100</v>
      </c>
      <c r="M2859" t="str">
        <f>_xlfn.XLOOKUP(Pipeline_tbl[[#This Row],[Rep_ID]],Dim_Reps!A:A,Dim_Reps!K:K)</f>
        <v>MXN</v>
      </c>
      <c r="N2859" s="33">
        <f>(_xlfn.XLOOKUP(Pipeline_tbl[[#This Row],[Rate_Code_Generalized]],Lookups!A:A,Lookups!B:B))*Pipeline_tbl[[#This Row],[Pipeline_Amount_USD]]</f>
        <v>100636.77</v>
      </c>
      <c r="O2859" t="str">
        <f>_xlfn.XLOOKUP(Pipeline_tbl[[#This Row],[Rep_ID]],Dim_Reps!A:A,Dim_Reps!B:B)</f>
        <v>Casey Muller</v>
      </c>
      <c r="P2859" t="str">
        <f>_xlfn.XLOOKUP(Pipeline_tbl[[#This Row],[Rep_ID]],Dim_Reps!A:A,Dim_Reps!C:C)</f>
        <v>SDR / Inside Sales Rep</v>
      </c>
      <c r="Q2859" t="str">
        <f>_xlfn.XLOOKUP(Pipeline_tbl[[#This Row],[Rep_ID]],Dim_Reps!A:A,Dim_Reps!D:D)</f>
        <v>Inside Sales</v>
      </c>
      <c r="R2859" t="str">
        <f>_xlfn.XLOOKUP(Pipeline_tbl[[#This Row],[Rep_ID]],Dim_Reps!A:A,Dim_Reps!E:E)</f>
        <v>LATAM</v>
      </c>
      <c r="S2859" t="str">
        <f>_xlfn.XLOOKUP(Pipeline_tbl[[#This Row],[Created_Date]],Dim_Date!A:A,Dim_Date!H:H)</f>
        <v>Mar 2025</v>
      </c>
      <c r="T2859" t="str">
        <f>IF(Pipeline_tbl[[#This Row],[Closed_Date]]=0,"",(_xlfn.XLOOKUP(Pipeline_tbl[[#This Row],[Closed_Date]],Dim_Date!A:A,Dim_Date!H:H)))</f>
        <v>Mar 2025</v>
      </c>
      <c r="U2859">
        <f>IF(Pipeline_tbl[[#This Row],[Closed_Date]]=0,"",Pipeline_tbl[[#This Row],[Closed_Date]]-Pipeline_tbl[[#This Row],[Created_Date]])</f>
        <v>13</v>
      </c>
    </row>
    <row r="2860" spans="1:21" ht="15" customHeight="1" x14ac:dyDescent="0.2">
      <c r="A2860" t="s">
        <v>3166</v>
      </c>
      <c r="B2860" t="s">
        <v>221</v>
      </c>
      <c r="C2860" t="s">
        <v>53</v>
      </c>
      <c r="D2860" s="49">
        <v>45723</v>
      </c>
      <c r="E2860" s="49">
        <v>45724</v>
      </c>
      <c r="F2860" s="49">
        <v>45727</v>
      </c>
      <c r="G2860" s="49">
        <v>45731</v>
      </c>
      <c r="I2860" s="49">
        <v>45737</v>
      </c>
      <c r="J2860" t="s">
        <v>49</v>
      </c>
      <c r="K2860" s="33">
        <v>6100</v>
      </c>
      <c r="L2860" t="s">
        <v>61</v>
      </c>
      <c r="M2860" t="str">
        <f>_xlfn.XLOOKUP(Pipeline_tbl[[#This Row],[Rep_ID]],Dim_Reps!A:A,Dim_Reps!K:K)</f>
        <v>MXN</v>
      </c>
      <c r="N2860" s="33">
        <f>(_xlfn.XLOOKUP(Pipeline_tbl[[#This Row],[Rate_Code_Generalized]],Lookups!A:A,Lookups!B:B))*Pipeline_tbl[[#This Row],[Pipeline_Amount_USD]]</f>
        <v>120369.47</v>
      </c>
      <c r="O2860" t="str">
        <f>_xlfn.XLOOKUP(Pipeline_tbl[[#This Row],[Rep_ID]],Dim_Reps!A:A,Dim_Reps!B:B)</f>
        <v>Casey Muller</v>
      </c>
      <c r="P2860" t="str">
        <f>_xlfn.XLOOKUP(Pipeline_tbl[[#This Row],[Rep_ID]],Dim_Reps!A:A,Dim_Reps!C:C)</f>
        <v>SDR / Inside Sales Rep</v>
      </c>
      <c r="Q2860" t="str">
        <f>_xlfn.XLOOKUP(Pipeline_tbl[[#This Row],[Rep_ID]],Dim_Reps!A:A,Dim_Reps!D:D)</f>
        <v>Inside Sales</v>
      </c>
      <c r="R2860" t="str">
        <f>_xlfn.XLOOKUP(Pipeline_tbl[[#This Row],[Rep_ID]],Dim_Reps!A:A,Dim_Reps!E:E)</f>
        <v>LATAM</v>
      </c>
      <c r="S2860" t="str">
        <f>_xlfn.XLOOKUP(Pipeline_tbl[[#This Row],[Created_Date]],Dim_Date!A:A,Dim_Date!H:H)</f>
        <v>Mar 2025</v>
      </c>
      <c r="T2860" t="str">
        <f>IF(Pipeline_tbl[[#This Row],[Closed_Date]]=0,"",(_xlfn.XLOOKUP(Pipeline_tbl[[#This Row],[Closed_Date]],Dim_Date!A:A,Dim_Date!H:H)))</f>
        <v>Mar 2025</v>
      </c>
      <c r="U2860">
        <f>IF(Pipeline_tbl[[#This Row],[Closed_Date]]=0,"",Pipeline_tbl[[#This Row],[Closed_Date]]-Pipeline_tbl[[#This Row],[Created_Date]])</f>
        <v>14</v>
      </c>
    </row>
    <row r="2861" spans="1:21" ht="15" customHeight="1" x14ac:dyDescent="0.2">
      <c r="A2861" t="s">
        <v>3167</v>
      </c>
      <c r="B2861" t="s">
        <v>221</v>
      </c>
      <c r="C2861" t="s">
        <v>52</v>
      </c>
      <c r="D2861" s="49">
        <v>45719</v>
      </c>
      <c r="E2861" s="49">
        <v>45720</v>
      </c>
      <c r="F2861" s="49">
        <v>45723</v>
      </c>
      <c r="G2861" s="49">
        <v>45726</v>
      </c>
      <c r="H2861" s="49">
        <v>45729</v>
      </c>
      <c r="I2861" s="49">
        <v>45731</v>
      </c>
      <c r="J2861" t="s">
        <v>47</v>
      </c>
      <c r="K2861" s="33">
        <v>1500</v>
      </c>
      <c r="M2861" t="str">
        <f>_xlfn.XLOOKUP(Pipeline_tbl[[#This Row],[Rep_ID]],Dim_Reps!A:A,Dim_Reps!K:K)</f>
        <v>MXN</v>
      </c>
      <c r="N2861" s="33">
        <f>(_xlfn.XLOOKUP(Pipeline_tbl[[#This Row],[Rate_Code_Generalized]],Lookups!A:A,Lookups!B:B))*Pipeline_tbl[[#This Row],[Pipeline_Amount_USD]]</f>
        <v>29599.050000000003</v>
      </c>
      <c r="O2861" t="str">
        <f>_xlfn.XLOOKUP(Pipeline_tbl[[#This Row],[Rep_ID]],Dim_Reps!A:A,Dim_Reps!B:B)</f>
        <v>Casey Muller</v>
      </c>
      <c r="P2861" t="str">
        <f>_xlfn.XLOOKUP(Pipeline_tbl[[#This Row],[Rep_ID]],Dim_Reps!A:A,Dim_Reps!C:C)</f>
        <v>SDR / Inside Sales Rep</v>
      </c>
      <c r="Q2861" t="str">
        <f>_xlfn.XLOOKUP(Pipeline_tbl[[#This Row],[Rep_ID]],Dim_Reps!A:A,Dim_Reps!D:D)</f>
        <v>Inside Sales</v>
      </c>
      <c r="R2861" t="str">
        <f>_xlfn.XLOOKUP(Pipeline_tbl[[#This Row],[Rep_ID]],Dim_Reps!A:A,Dim_Reps!E:E)</f>
        <v>LATAM</v>
      </c>
      <c r="S2861" t="str">
        <f>_xlfn.XLOOKUP(Pipeline_tbl[[#This Row],[Created_Date]],Dim_Date!A:A,Dim_Date!H:H)</f>
        <v>Mar 2025</v>
      </c>
      <c r="T2861" t="str">
        <f>IF(Pipeline_tbl[[#This Row],[Closed_Date]]=0,"",(_xlfn.XLOOKUP(Pipeline_tbl[[#This Row],[Closed_Date]],Dim_Date!A:A,Dim_Date!H:H)))</f>
        <v>Mar 2025</v>
      </c>
      <c r="U2861">
        <f>IF(Pipeline_tbl[[#This Row],[Closed_Date]]=0,"",Pipeline_tbl[[#This Row],[Closed_Date]]-Pipeline_tbl[[#This Row],[Created_Date]])</f>
        <v>12</v>
      </c>
    </row>
    <row r="2862" spans="1:21" ht="15" customHeight="1" x14ac:dyDescent="0.2">
      <c r="A2862" t="s">
        <v>3168</v>
      </c>
      <c r="B2862" t="s">
        <v>221</v>
      </c>
      <c r="C2862" t="s">
        <v>55</v>
      </c>
      <c r="D2862" s="49">
        <v>45720</v>
      </c>
      <c r="E2862" s="49">
        <v>45721</v>
      </c>
      <c r="F2862" s="49">
        <v>45724</v>
      </c>
      <c r="G2862" s="49">
        <v>45727</v>
      </c>
      <c r="H2862" s="49">
        <v>45730</v>
      </c>
      <c r="I2862" s="49">
        <v>45732</v>
      </c>
      <c r="J2862" t="s">
        <v>49</v>
      </c>
      <c r="K2862" s="33">
        <v>4200</v>
      </c>
      <c r="L2862" t="s">
        <v>64</v>
      </c>
      <c r="M2862" t="str">
        <f>_xlfn.XLOOKUP(Pipeline_tbl[[#This Row],[Rep_ID]],Dim_Reps!A:A,Dim_Reps!K:K)</f>
        <v>MXN</v>
      </c>
      <c r="N2862" s="33">
        <f>(_xlfn.XLOOKUP(Pipeline_tbl[[#This Row],[Rate_Code_Generalized]],Lookups!A:A,Lookups!B:B))*Pipeline_tbl[[#This Row],[Pipeline_Amount_USD]]</f>
        <v>82877.340000000011</v>
      </c>
      <c r="O2862" t="str">
        <f>_xlfn.XLOOKUP(Pipeline_tbl[[#This Row],[Rep_ID]],Dim_Reps!A:A,Dim_Reps!B:B)</f>
        <v>Casey Muller</v>
      </c>
      <c r="P2862" t="str">
        <f>_xlfn.XLOOKUP(Pipeline_tbl[[#This Row],[Rep_ID]],Dim_Reps!A:A,Dim_Reps!C:C)</f>
        <v>SDR / Inside Sales Rep</v>
      </c>
      <c r="Q2862" t="str">
        <f>_xlfn.XLOOKUP(Pipeline_tbl[[#This Row],[Rep_ID]],Dim_Reps!A:A,Dim_Reps!D:D)</f>
        <v>Inside Sales</v>
      </c>
      <c r="R2862" t="str">
        <f>_xlfn.XLOOKUP(Pipeline_tbl[[#This Row],[Rep_ID]],Dim_Reps!A:A,Dim_Reps!E:E)</f>
        <v>LATAM</v>
      </c>
      <c r="S2862" t="str">
        <f>_xlfn.XLOOKUP(Pipeline_tbl[[#This Row],[Created_Date]],Dim_Date!A:A,Dim_Date!H:H)</f>
        <v>Mar 2025</v>
      </c>
      <c r="T2862" t="str">
        <f>IF(Pipeline_tbl[[#This Row],[Closed_Date]]=0,"",(_xlfn.XLOOKUP(Pipeline_tbl[[#This Row],[Closed_Date]],Dim_Date!A:A,Dim_Date!H:H)))</f>
        <v>Mar 2025</v>
      </c>
      <c r="U2862">
        <f>IF(Pipeline_tbl[[#This Row],[Closed_Date]]=0,"",Pipeline_tbl[[#This Row],[Closed_Date]]-Pipeline_tbl[[#This Row],[Created_Date]])</f>
        <v>12</v>
      </c>
    </row>
    <row r="2863" spans="1:21" ht="15" customHeight="1" x14ac:dyDescent="0.2">
      <c r="A2863" t="s">
        <v>3169</v>
      </c>
      <c r="B2863" t="s">
        <v>223</v>
      </c>
      <c r="C2863" t="s">
        <v>52</v>
      </c>
      <c r="D2863" s="49">
        <v>45722</v>
      </c>
      <c r="E2863" s="49">
        <v>45724</v>
      </c>
      <c r="I2863" s="49">
        <v>45742</v>
      </c>
      <c r="J2863" t="s">
        <v>49</v>
      </c>
      <c r="K2863" s="33">
        <v>3400</v>
      </c>
      <c r="L2863" t="s">
        <v>61</v>
      </c>
      <c r="M2863" t="str">
        <f>_xlfn.XLOOKUP(Pipeline_tbl[[#This Row],[Rep_ID]],Dim_Reps!A:A,Dim_Reps!K:K)</f>
        <v>MXN</v>
      </c>
      <c r="N2863" s="33">
        <f>(_xlfn.XLOOKUP(Pipeline_tbl[[#This Row],[Rate_Code_Generalized]],Lookups!A:A,Lookups!B:B))*Pipeline_tbl[[#This Row],[Pipeline_Amount_USD]]</f>
        <v>67091.180000000008</v>
      </c>
      <c r="O2863" t="str">
        <f>_xlfn.XLOOKUP(Pipeline_tbl[[#This Row],[Rep_ID]],Dim_Reps!A:A,Dim_Reps!B:B)</f>
        <v>Lea Petrov</v>
      </c>
      <c r="P2863" t="str">
        <f>_xlfn.XLOOKUP(Pipeline_tbl[[#This Row],[Rep_ID]],Dim_Reps!A:A,Dim_Reps!C:C)</f>
        <v>SDR / Inside Sales Rep</v>
      </c>
      <c r="Q2863" t="str">
        <f>_xlfn.XLOOKUP(Pipeline_tbl[[#This Row],[Rep_ID]],Dim_Reps!A:A,Dim_Reps!D:D)</f>
        <v>Inside Sales</v>
      </c>
      <c r="R2863" t="str">
        <f>_xlfn.XLOOKUP(Pipeline_tbl[[#This Row],[Rep_ID]],Dim_Reps!A:A,Dim_Reps!E:E)</f>
        <v>LATAM</v>
      </c>
      <c r="S2863" t="str">
        <f>_xlfn.XLOOKUP(Pipeline_tbl[[#This Row],[Created_Date]],Dim_Date!A:A,Dim_Date!H:H)</f>
        <v>Mar 2025</v>
      </c>
      <c r="T2863" t="str">
        <f>IF(Pipeline_tbl[[#This Row],[Closed_Date]]=0,"",(_xlfn.XLOOKUP(Pipeline_tbl[[#This Row],[Closed_Date]],Dim_Date!A:A,Dim_Date!H:H)))</f>
        <v>Mar 2025</v>
      </c>
      <c r="U2863">
        <f>IF(Pipeline_tbl[[#This Row],[Closed_Date]]=0,"",Pipeline_tbl[[#This Row],[Closed_Date]]-Pipeline_tbl[[#This Row],[Created_Date]])</f>
        <v>20</v>
      </c>
    </row>
    <row r="2864" spans="1:21" ht="15" customHeight="1" x14ac:dyDescent="0.2">
      <c r="A2864" t="s">
        <v>3170</v>
      </c>
      <c r="B2864" t="s">
        <v>223</v>
      </c>
      <c r="C2864" t="s">
        <v>56</v>
      </c>
      <c r="D2864" s="49">
        <v>45720</v>
      </c>
      <c r="E2864" s="49">
        <v>45722</v>
      </c>
      <c r="F2864" s="49">
        <v>45726</v>
      </c>
      <c r="G2864" s="49">
        <v>45732</v>
      </c>
      <c r="I2864" s="49">
        <v>45740</v>
      </c>
      <c r="J2864" t="s">
        <v>49</v>
      </c>
      <c r="K2864" s="33">
        <v>2800</v>
      </c>
      <c r="L2864" t="s">
        <v>62</v>
      </c>
      <c r="M2864" t="str">
        <f>_xlfn.XLOOKUP(Pipeline_tbl[[#This Row],[Rep_ID]],Dim_Reps!A:A,Dim_Reps!K:K)</f>
        <v>MXN</v>
      </c>
      <c r="N2864" s="33">
        <f>(_xlfn.XLOOKUP(Pipeline_tbl[[#This Row],[Rate_Code_Generalized]],Lookups!A:A,Lookups!B:B))*Pipeline_tbl[[#This Row],[Pipeline_Amount_USD]]</f>
        <v>55251.560000000005</v>
      </c>
      <c r="O2864" t="str">
        <f>_xlfn.XLOOKUP(Pipeline_tbl[[#This Row],[Rep_ID]],Dim_Reps!A:A,Dim_Reps!B:B)</f>
        <v>Lea Petrov</v>
      </c>
      <c r="P2864" t="str">
        <f>_xlfn.XLOOKUP(Pipeline_tbl[[#This Row],[Rep_ID]],Dim_Reps!A:A,Dim_Reps!C:C)</f>
        <v>SDR / Inside Sales Rep</v>
      </c>
      <c r="Q2864" t="str">
        <f>_xlfn.XLOOKUP(Pipeline_tbl[[#This Row],[Rep_ID]],Dim_Reps!A:A,Dim_Reps!D:D)</f>
        <v>Inside Sales</v>
      </c>
      <c r="R2864" t="str">
        <f>_xlfn.XLOOKUP(Pipeline_tbl[[#This Row],[Rep_ID]],Dim_Reps!A:A,Dim_Reps!E:E)</f>
        <v>LATAM</v>
      </c>
      <c r="S2864" t="str">
        <f>_xlfn.XLOOKUP(Pipeline_tbl[[#This Row],[Created_Date]],Dim_Date!A:A,Dim_Date!H:H)</f>
        <v>Mar 2025</v>
      </c>
      <c r="T2864" t="str">
        <f>IF(Pipeline_tbl[[#This Row],[Closed_Date]]=0,"",(_xlfn.XLOOKUP(Pipeline_tbl[[#This Row],[Closed_Date]],Dim_Date!A:A,Dim_Date!H:H)))</f>
        <v>Mar 2025</v>
      </c>
      <c r="U2864">
        <f>IF(Pipeline_tbl[[#This Row],[Closed_Date]]=0,"",Pipeline_tbl[[#This Row],[Closed_Date]]-Pipeline_tbl[[#This Row],[Created_Date]])</f>
        <v>20</v>
      </c>
    </row>
    <row r="2865" spans="1:21" ht="15" customHeight="1" x14ac:dyDescent="0.2">
      <c r="A2865" t="s">
        <v>3171</v>
      </c>
      <c r="B2865" t="s">
        <v>225</v>
      </c>
      <c r="C2865" t="s">
        <v>52</v>
      </c>
      <c r="D2865" s="49">
        <v>45721</v>
      </c>
      <c r="E2865" s="49">
        <v>45723</v>
      </c>
      <c r="F2865" s="49">
        <v>45726</v>
      </c>
      <c r="G2865" s="49">
        <v>45730</v>
      </c>
      <c r="I2865" s="49">
        <v>45736</v>
      </c>
      <c r="J2865" t="s">
        <v>49</v>
      </c>
      <c r="K2865" s="33">
        <v>4500</v>
      </c>
      <c r="L2865" t="s">
        <v>61</v>
      </c>
      <c r="M2865" t="str">
        <f>_xlfn.XLOOKUP(Pipeline_tbl[[#This Row],[Rep_ID]],Dim_Reps!A:A,Dim_Reps!K:K)</f>
        <v>USD</v>
      </c>
      <c r="N2865" s="33">
        <f>(_xlfn.XLOOKUP(Pipeline_tbl[[#This Row],[Rate_Code_Generalized]],Lookups!A:A,Lookups!B:B))*Pipeline_tbl[[#This Row],[Pipeline_Amount_USD]]</f>
        <v>5239.3499999999995</v>
      </c>
      <c r="O2865" t="str">
        <f>_xlfn.XLOOKUP(Pipeline_tbl[[#This Row],[Rep_ID]],Dim_Reps!A:A,Dim_Reps!B:B)</f>
        <v>Alex Muller</v>
      </c>
      <c r="P2865" t="str">
        <f>_xlfn.XLOOKUP(Pipeline_tbl[[#This Row],[Rep_ID]],Dim_Reps!A:A,Dim_Reps!C:C)</f>
        <v>SDR / Inside Sales Rep</v>
      </c>
      <c r="Q2865" t="str">
        <f>_xlfn.XLOOKUP(Pipeline_tbl[[#This Row],[Rep_ID]],Dim_Reps!A:A,Dim_Reps!D:D)</f>
        <v>Inside Sales</v>
      </c>
      <c r="R2865" t="str">
        <f>_xlfn.XLOOKUP(Pipeline_tbl[[#This Row],[Rep_ID]],Dim_Reps!A:A,Dim_Reps!E:E)</f>
        <v>NAMER</v>
      </c>
      <c r="S2865" t="str">
        <f>_xlfn.XLOOKUP(Pipeline_tbl[[#This Row],[Created_Date]],Dim_Date!A:A,Dim_Date!H:H)</f>
        <v>Mar 2025</v>
      </c>
      <c r="T2865" t="str">
        <f>IF(Pipeline_tbl[[#This Row],[Closed_Date]]=0,"",(_xlfn.XLOOKUP(Pipeline_tbl[[#This Row],[Closed_Date]],Dim_Date!A:A,Dim_Date!H:H)))</f>
        <v>Mar 2025</v>
      </c>
      <c r="U2865">
        <f>IF(Pipeline_tbl[[#This Row],[Closed_Date]]=0,"",Pipeline_tbl[[#This Row],[Closed_Date]]-Pipeline_tbl[[#This Row],[Created_Date]])</f>
        <v>15</v>
      </c>
    </row>
    <row r="2866" spans="1:21" ht="15" customHeight="1" x14ac:dyDescent="0.2">
      <c r="A2866" t="s">
        <v>3172</v>
      </c>
      <c r="B2866" t="s">
        <v>225</v>
      </c>
      <c r="C2866" t="s">
        <v>54</v>
      </c>
      <c r="D2866" s="49">
        <v>45726</v>
      </c>
      <c r="E2866" s="49">
        <v>45728</v>
      </c>
      <c r="F2866" s="49">
        <v>45732</v>
      </c>
      <c r="G2866" s="49">
        <v>45737</v>
      </c>
      <c r="I2866" s="49">
        <v>45745</v>
      </c>
      <c r="J2866" t="s">
        <v>49</v>
      </c>
      <c r="K2866" s="33">
        <v>1100</v>
      </c>
      <c r="L2866" t="s">
        <v>60</v>
      </c>
      <c r="M2866" t="str">
        <f>_xlfn.XLOOKUP(Pipeline_tbl[[#This Row],[Rep_ID]],Dim_Reps!A:A,Dim_Reps!K:K)</f>
        <v>USD</v>
      </c>
      <c r="N2866" s="33">
        <f>(_xlfn.XLOOKUP(Pipeline_tbl[[#This Row],[Rate_Code_Generalized]],Lookups!A:A,Lookups!B:B))*Pipeline_tbl[[#This Row],[Pipeline_Amount_USD]]</f>
        <v>1280.7299999999998</v>
      </c>
      <c r="O2866" t="str">
        <f>_xlfn.XLOOKUP(Pipeline_tbl[[#This Row],[Rep_ID]],Dim_Reps!A:A,Dim_Reps!B:B)</f>
        <v>Alex Muller</v>
      </c>
      <c r="P2866" t="str">
        <f>_xlfn.XLOOKUP(Pipeline_tbl[[#This Row],[Rep_ID]],Dim_Reps!A:A,Dim_Reps!C:C)</f>
        <v>SDR / Inside Sales Rep</v>
      </c>
      <c r="Q2866" t="str">
        <f>_xlfn.XLOOKUP(Pipeline_tbl[[#This Row],[Rep_ID]],Dim_Reps!A:A,Dim_Reps!D:D)</f>
        <v>Inside Sales</v>
      </c>
      <c r="R2866" t="str">
        <f>_xlfn.XLOOKUP(Pipeline_tbl[[#This Row],[Rep_ID]],Dim_Reps!A:A,Dim_Reps!E:E)</f>
        <v>NAMER</v>
      </c>
      <c r="S2866" t="str">
        <f>_xlfn.XLOOKUP(Pipeline_tbl[[#This Row],[Created_Date]],Dim_Date!A:A,Dim_Date!H:H)</f>
        <v>Mar 2025</v>
      </c>
      <c r="T2866" t="str">
        <f>IF(Pipeline_tbl[[#This Row],[Closed_Date]]=0,"",(_xlfn.XLOOKUP(Pipeline_tbl[[#This Row],[Closed_Date]],Dim_Date!A:A,Dim_Date!H:H)))</f>
        <v>Mar 2025</v>
      </c>
      <c r="U2866">
        <f>IF(Pipeline_tbl[[#This Row],[Closed_Date]]=0,"",Pipeline_tbl[[#This Row],[Closed_Date]]-Pipeline_tbl[[#This Row],[Created_Date]])</f>
        <v>19</v>
      </c>
    </row>
    <row r="2867" spans="1:21" ht="15" customHeight="1" x14ac:dyDescent="0.2">
      <c r="A2867" t="s">
        <v>3173</v>
      </c>
      <c r="B2867" t="s">
        <v>225</v>
      </c>
      <c r="C2867" t="s">
        <v>55</v>
      </c>
      <c r="D2867" s="49">
        <v>45717</v>
      </c>
      <c r="E2867" s="49">
        <v>45719</v>
      </c>
      <c r="F2867" s="49">
        <v>45723</v>
      </c>
      <c r="G2867" s="49">
        <v>45728</v>
      </c>
      <c r="H2867" s="49">
        <v>45733</v>
      </c>
      <c r="I2867" s="49">
        <v>45736</v>
      </c>
      <c r="J2867" t="s">
        <v>47</v>
      </c>
      <c r="K2867" s="33">
        <v>4900</v>
      </c>
      <c r="M2867" t="str">
        <f>_xlfn.XLOOKUP(Pipeline_tbl[[#This Row],[Rep_ID]],Dim_Reps!A:A,Dim_Reps!K:K)</f>
        <v>USD</v>
      </c>
      <c r="N2867" s="33">
        <f>(_xlfn.XLOOKUP(Pipeline_tbl[[#This Row],[Rate_Code_Generalized]],Lookups!A:A,Lookups!B:B))*Pipeline_tbl[[#This Row],[Pipeline_Amount_USD]]</f>
        <v>5705.07</v>
      </c>
      <c r="O2867" t="str">
        <f>_xlfn.XLOOKUP(Pipeline_tbl[[#This Row],[Rep_ID]],Dim_Reps!A:A,Dim_Reps!B:B)</f>
        <v>Alex Muller</v>
      </c>
      <c r="P2867" t="str">
        <f>_xlfn.XLOOKUP(Pipeline_tbl[[#This Row],[Rep_ID]],Dim_Reps!A:A,Dim_Reps!C:C)</f>
        <v>SDR / Inside Sales Rep</v>
      </c>
      <c r="Q2867" t="str">
        <f>_xlfn.XLOOKUP(Pipeline_tbl[[#This Row],[Rep_ID]],Dim_Reps!A:A,Dim_Reps!D:D)</f>
        <v>Inside Sales</v>
      </c>
      <c r="R2867" t="str">
        <f>_xlfn.XLOOKUP(Pipeline_tbl[[#This Row],[Rep_ID]],Dim_Reps!A:A,Dim_Reps!E:E)</f>
        <v>NAMER</v>
      </c>
      <c r="S2867" t="str">
        <f>_xlfn.XLOOKUP(Pipeline_tbl[[#This Row],[Created_Date]],Dim_Date!A:A,Dim_Date!H:H)</f>
        <v>Mar 2025</v>
      </c>
      <c r="T2867" t="str">
        <f>IF(Pipeline_tbl[[#This Row],[Closed_Date]]=0,"",(_xlfn.XLOOKUP(Pipeline_tbl[[#This Row],[Closed_Date]],Dim_Date!A:A,Dim_Date!H:H)))</f>
        <v>Mar 2025</v>
      </c>
      <c r="U2867">
        <f>IF(Pipeline_tbl[[#This Row],[Closed_Date]]=0,"",Pipeline_tbl[[#This Row],[Closed_Date]]-Pipeline_tbl[[#This Row],[Created_Date]])</f>
        <v>19</v>
      </c>
    </row>
    <row r="2868" spans="1:21" ht="15" customHeight="1" x14ac:dyDescent="0.2">
      <c r="A2868" t="s">
        <v>3174</v>
      </c>
      <c r="B2868" t="s">
        <v>225</v>
      </c>
      <c r="C2868" t="s">
        <v>53</v>
      </c>
      <c r="D2868" s="49">
        <v>45729</v>
      </c>
      <c r="E2868" s="49">
        <v>45730</v>
      </c>
      <c r="F2868" s="49">
        <v>45731</v>
      </c>
      <c r="G2868" s="49">
        <v>45734</v>
      </c>
      <c r="I2868" s="49">
        <v>45737</v>
      </c>
      <c r="J2868" t="s">
        <v>49</v>
      </c>
      <c r="K2868" s="33">
        <v>3400</v>
      </c>
      <c r="L2868" t="s">
        <v>60</v>
      </c>
      <c r="M2868" t="str">
        <f>_xlfn.XLOOKUP(Pipeline_tbl[[#This Row],[Rep_ID]],Dim_Reps!A:A,Dim_Reps!K:K)</f>
        <v>USD</v>
      </c>
      <c r="N2868" s="33">
        <f>(_xlfn.XLOOKUP(Pipeline_tbl[[#This Row],[Rate_Code_Generalized]],Lookups!A:A,Lookups!B:B))*Pipeline_tbl[[#This Row],[Pipeline_Amount_USD]]</f>
        <v>3958.6199999999994</v>
      </c>
      <c r="O2868" t="str">
        <f>_xlfn.XLOOKUP(Pipeline_tbl[[#This Row],[Rep_ID]],Dim_Reps!A:A,Dim_Reps!B:B)</f>
        <v>Alex Muller</v>
      </c>
      <c r="P2868" t="str">
        <f>_xlfn.XLOOKUP(Pipeline_tbl[[#This Row],[Rep_ID]],Dim_Reps!A:A,Dim_Reps!C:C)</f>
        <v>SDR / Inside Sales Rep</v>
      </c>
      <c r="Q2868" t="str">
        <f>_xlfn.XLOOKUP(Pipeline_tbl[[#This Row],[Rep_ID]],Dim_Reps!A:A,Dim_Reps!D:D)</f>
        <v>Inside Sales</v>
      </c>
      <c r="R2868" t="str">
        <f>_xlfn.XLOOKUP(Pipeline_tbl[[#This Row],[Rep_ID]],Dim_Reps!A:A,Dim_Reps!E:E)</f>
        <v>NAMER</v>
      </c>
      <c r="S2868" t="str">
        <f>_xlfn.XLOOKUP(Pipeline_tbl[[#This Row],[Created_Date]],Dim_Date!A:A,Dim_Date!H:H)</f>
        <v>Mar 2025</v>
      </c>
      <c r="T2868" t="str">
        <f>IF(Pipeline_tbl[[#This Row],[Closed_Date]]=0,"",(_xlfn.XLOOKUP(Pipeline_tbl[[#This Row],[Closed_Date]],Dim_Date!A:A,Dim_Date!H:H)))</f>
        <v>Mar 2025</v>
      </c>
      <c r="U2868">
        <f>IF(Pipeline_tbl[[#This Row],[Closed_Date]]=0,"",Pipeline_tbl[[#This Row],[Closed_Date]]-Pipeline_tbl[[#This Row],[Created_Date]])</f>
        <v>8</v>
      </c>
    </row>
    <row r="2869" spans="1:21" ht="15" customHeight="1" x14ac:dyDescent="0.2">
      <c r="A2869" t="s">
        <v>3175</v>
      </c>
      <c r="B2869" t="s">
        <v>225</v>
      </c>
      <c r="C2869" t="s">
        <v>53</v>
      </c>
      <c r="D2869" s="49">
        <v>45727</v>
      </c>
      <c r="E2869" s="49">
        <v>45728</v>
      </c>
      <c r="F2869" s="49">
        <v>45731</v>
      </c>
      <c r="G2869" s="49">
        <v>45735</v>
      </c>
      <c r="H2869" s="49">
        <v>45738</v>
      </c>
      <c r="I2869" s="49">
        <v>45740</v>
      </c>
      <c r="J2869" t="s">
        <v>47</v>
      </c>
      <c r="K2869" s="33">
        <v>4800</v>
      </c>
      <c r="M2869" t="str">
        <f>_xlfn.XLOOKUP(Pipeline_tbl[[#This Row],[Rep_ID]],Dim_Reps!A:A,Dim_Reps!K:K)</f>
        <v>USD</v>
      </c>
      <c r="N2869" s="33">
        <f>(_xlfn.XLOOKUP(Pipeline_tbl[[#This Row],[Rate_Code_Generalized]],Lookups!A:A,Lookups!B:B))*Pipeline_tbl[[#This Row],[Pipeline_Amount_USD]]</f>
        <v>5588.6399999999994</v>
      </c>
      <c r="O2869" t="str">
        <f>_xlfn.XLOOKUP(Pipeline_tbl[[#This Row],[Rep_ID]],Dim_Reps!A:A,Dim_Reps!B:B)</f>
        <v>Alex Muller</v>
      </c>
      <c r="P2869" t="str">
        <f>_xlfn.XLOOKUP(Pipeline_tbl[[#This Row],[Rep_ID]],Dim_Reps!A:A,Dim_Reps!C:C)</f>
        <v>SDR / Inside Sales Rep</v>
      </c>
      <c r="Q2869" t="str">
        <f>_xlfn.XLOOKUP(Pipeline_tbl[[#This Row],[Rep_ID]],Dim_Reps!A:A,Dim_Reps!D:D)</f>
        <v>Inside Sales</v>
      </c>
      <c r="R2869" t="str">
        <f>_xlfn.XLOOKUP(Pipeline_tbl[[#This Row],[Rep_ID]],Dim_Reps!A:A,Dim_Reps!E:E)</f>
        <v>NAMER</v>
      </c>
      <c r="S2869" t="str">
        <f>_xlfn.XLOOKUP(Pipeline_tbl[[#This Row],[Created_Date]],Dim_Date!A:A,Dim_Date!H:H)</f>
        <v>Mar 2025</v>
      </c>
      <c r="T2869" t="str">
        <f>IF(Pipeline_tbl[[#This Row],[Closed_Date]]=0,"",(_xlfn.XLOOKUP(Pipeline_tbl[[#This Row],[Closed_Date]],Dim_Date!A:A,Dim_Date!H:H)))</f>
        <v>Mar 2025</v>
      </c>
      <c r="U2869">
        <f>IF(Pipeline_tbl[[#This Row],[Closed_Date]]=0,"",Pipeline_tbl[[#This Row],[Closed_Date]]-Pipeline_tbl[[#This Row],[Created_Date]])</f>
        <v>13</v>
      </c>
    </row>
    <row r="2870" spans="1:21" ht="15" customHeight="1" x14ac:dyDescent="0.2">
      <c r="A2870" t="s">
        <v>3176</v>
      </c>
      <c r="B2870" t="s">
        <v>225</v>
      </c>
      <c r="C2870" t="s">
        <v>53</v>
      </c>
      <c r="D2870" s="49">
        <v>45729</v>
      </c>
      <c r="E2870" s="49">
        <v>45731</v>
      </c>
      <c r="F2870" s="49">
        <v>45734</v>
      </c>
      <c r="G2870" s="49">
        <v>45740</v>
      </c>
      <c r="H2870" s="49">
        <v>45744</v>
      </c>
      <c r="I2870" s="49">
        <v>45747</v>
      </c>
      <c r="J2870" t="s">
        <v>49</v>
      </c>
      <c r="K2870" s="33">
        <v>7100</v>
      </c>
      <c r="L2870" t="s">
        <v>60</v>
      </c>
      <c r="M2870" t="str">
        <f>_xlfn.XLOOKUP(Pipeline_tbl[[#This Row],[Rep_ID]],Dim_Reps!A:A,Dim_Reps!K:K)</f>
        <v>USD</v>
      </c>
      <c r="N2870" s="33">
        <f>(_xlfn.XLOOKUP(Pipeline_tbl[[#This Row],[Rate_Code_Generalized]],Lookups!A:A,Lookups!B:B))*Pipeline_tbl[[#This Row],[Pipeline_Amount_USD]]</f>
        <v>8266.5299999999988</v>
      </c>
      <c r="O2870" t="str">
        <f>_xlfn.XLOOKUP(Pipeline_tbl[[#This Row],[Rep_ID]],Dim_Reps!A:A,Dim_Reps!B:B)</f>
        <v>Alex Muller</v>
      </c>
      <c r="P2870" t="str">
        <f>_xlfn.XLOOKUP(Pipeline_tbl[[#This Row],[Rep_ID]],Dim_Reps!A:A,Dim_Reps!C:C)</f>
        <v>SDR / Inside Sales Rep</v>
      </c>
      <c r="Q2870" t="str">
        <f>_xlfn.XLOOKUP(Pipeline_tbl[[#This Row],[Rep_ID]],Dim_Reps!A:A,Dim_Reps!D:D)</f>
        <v>Inside Sales</v>
      </c>
      <c r="R2870" t="str">
        <f>_xlfn.XLOOKUP(Pipeline_tbl[[#This Row],[Rep_ID]],Dim_Reps!A:A,Dim_Reps!E:E)</f>
        <v>NAMER</v>
      </c>
      <c r="S2870" t="str">
        <f>_xlfn.XLOOKUP(Pipeline_tbl[[#This Row],[Created_Date]],Dim_Date!A:A,Dim_Date!H:H)</f>
        <v>Mar 2025</v>
      </c>
      <c r="T2870" t="str">
        <f>IF(Pipeline_tbl[[#This Row],[Closed_Date]]=0,"",(_xlfn.XLOOKUP(Pipeline_tbl[[#This Row],[Closed_Date]],Dim_Date!A:A,Dim_Date!H:H)))</f>
        <v>Mar 2025</v>
      </c>
      <c r="U2870">
        <f>IF(Pipeline_tbl[[#This Row],[Closed_Date]]=0,"",Pipeline_tbl[[#This Row],[Closed_Date]]-Pipeline_tbl[[#This Row],[Created_Date]])</f>
        <v>18</v>
      </c>
    </row>
    <row r="2871" spans="1:21" ht="15" customHeight="1" x14ac:dyDescent="0.2">
      <c r="A2871" t="s">
        <v>3177</v>
      </c>
      <c r="B2871" t="s">
        <v>227</v>
      </c>
      <c r="C2871" t="s">
        <v>53</v>
      </c>
      <c r="D2871" s="49">
        <v>45719</v>
      </c>
      <c r="E2871" s="49">
        <v>45720</v>
      </c>
      <c r="F2871" s="49">
        <v>45721</v>
      </c>
      <c r="I2871" s="49">
        <v>45727</v>
      </c>
      <c r="J2871" t="s">
        <v>49</v>
      </c>
      <c r="K2871" s="33">
        <v>4100</v>
      </c>
      <c r="L2871" t="s">
        <v>62</v>
      </c>
      <c r="M2871" t="str">
        <f>_xlfn.XLOOKUP(Pipeline_tbl[[#This Row],[Rep_ID]],Dim_Reps!A:A,Dim_Reps!K:K)</f>
        <v>EUR</v>
      </c>
      <c r="N2871" s="33">
        <f>(_xlfn.XLOOKUP(Pipeline_tbl[[#This Row],[Rate_Code_Generalized]],Lookups!A:A,Lookups!B:B))*Pipeline_tbl[[#This Row],[Pipeline_Amount_USD]]</f>
        <v>4100</v>
      </c>
      <c r="O2871" t="str">
        <f>_xlfn.XLOOKUP(Pipeline_tbl[[#This Row],[Rep_ID]],Dim_Reps!A:A,Dim_Reps!B:B)</f>
        <v>Liam Muller</v>
      </c>
      <c r="P2871" t="str">
        <f>_xlfn.XLOOKUP(Pipeline_tbl[[#This Row],[Rep_ID]],Dim_Reps!A:A,Dim_Reps!C:C)</f>
        <v>SDR / Inside Sales Rep</v>
      </c>
      <c r="Q2871" t="str">
        <f>_xlfn.XLOOKUP(Pipeline_tbl[[#This Row],[Rep_ID]],Dim_Reps!A:A,Dim_Reps!D:D)</f>
        <v>Inside Sales</v>
      </c>
      <c r="R2871" t="str">
        <f>_xlfn.XLOOKUP(Pipeline_tbl[[#This Row],[Rep_ID]],Dim_Reps!A:A,Dim_Reps!E:E)</f>
        <v>EMEA</v>
      </c>
      <c r="S2871" t="str">
        <f>_xlfn.XLOOKUP(Pipeline_tbl[[#This Row],[Created_Date]],Dim_Date!A:A,Dim_Date!H:H)</f>
        <v>Mar 2025</v>
      </c>
      <c r="T2871" t="str">
        <f>IF(Pipeline_tbl[[#This Row],[Closed_Date]]=0,"",(_xlfn.XLOOKUP(Pipeline_tbl[[#This Row],[Closed_Date]],Dim_Date!A:A,Dim_Date!H:H)))</f>
        <v>Mar 2025</v>
      </c>
      <c r="U2871">
        <f>IF(Pipeline_tbl[[#This Row],[Closed_Date]]=0,"",Pipeline_tbl[[#This Row],[Closed_Date]]-Pipeline_tbl[[#This Row],[Created_Date]])</f>
        <v>8</v>
      </c>
    </row>
    <row r="2872" spans="1:21" ht="15" customHeight="1" x14ac:dyDescent="0.2">
      <c r="A2872" t="s">
        <v>3178</v>
      </c>
      <c r="B2872" t="s">
        <v>227</v>
      </c>
      <c r="C2872" t="s">
        <v>52</v>
      </c>
      <c r="D2872" s="49">
        <v>45720</v>
      </c>
      <c r="E2872" s="49">
        <v>45722</v>
      </c>
      <c r="F2872" s="49">
        <v>45725</v>
      </c>
      <c r="I2872" s="49">
        <v>45738</v>
      </c>
      <c r="J2872" t="s">
        <v>49</v>
      </c>
      <c r="K2872" s="33">
        <v>4800</v>
      </c>
      <c r="L2872" t="s">
        <v>62</v>
      </c>
      <c r="M2872" t="str">
        <f>_xlfn.XLOOKUP(Pipeline_tbl[[#This Row],[Rep_ID]],Dim_Reps!A:A,Dim_Reps!K:K)</f>
        <v>EUR</v>
      </c>
      <c r="N2872" s="33">
        <f>(_xlfn.XLOOKUP(Pipeline_tbl[[#This Row],[Rate_Code_Generalized]],Lookups!A:A,Lookups!B:B))*Pipeline_tbl[[#This Row],[Pipeline_Amount_USD]]</f>
        <v>4800</v>
      </c>
      <c r="O2872" t="str">
        <f>_xlfn.XLOOKUP(Pipeline_tbl[[#This Row],[Rep_ID]],Dim_Reps!A:A,Dim_Reps!B:B)</f>
        <v>Liam Muller</v>
      </c>
      <c r="P2872" t="str">
        <f>_xlfn.XLOOKUP(Pipeline_tbl[[#This Row],[Rep_ID]],Dim_Reps!A:A,Dim_Reps!C:C)</f>
        <v>SDR / Inside Sales Rep</v>
      </c>
      <c r="Q2872" t="str">
        <f>_xlfn.XLOOKUP(Pipeline_tbl[[#This Row],[Rep_ID]],Dim_Reps!A:A,Dim_Reps!D:D)</f>
        <v>Inside Sales</v>
      </c>
      <c r="R2872" t="str">
        <f>_xlfn.XLOOKUP(Pipeline_tbl[[#This Row],[Rep_ID]],Dim_Reps!A:A,Dim_Reps!E:E)</f>
        <v>EMEA</v>
      </c>
      <c r="S2872" t="str">
        <f>_xlfn.XLOOKUP(Pipeline_tbl[[#This Row],[Created_Date]],Dim_Date!A:A,Dim_Date!H:H)</f>
        <v>Mar 2025</v>
      </c>
      <c r="T2872" t="str">
        <f>IF(Pipeline_tbl[[#This Row],[Closed_Date]]=0,"",(_xlfn.XLOOKUP(Pipeline_tbl[[#This Row],[Closed_Date]],Dim_Date!A:A,Dim_Date!H:H)))</f>
        <v>Mar 2025</v>
      </c>
      <c r="U2872">
        <f>IF(Pipeline_tbl[[#This Row],[Closed_Date]]=0,"",Pipeline_tbl[[#This Row],[Closed_Date]]-Pipeline_tbl[[#This Row],[Created_Date]])</f>
        <v>18</v>
      </c>
    </row>
    <row r="2873" spans="1:21" ht="15" customHeight="1" x14ac:dyDescent="0.2">
      <c r="A2873" t="s">
        <v>3179</v>
      </c>
      <c r="B2873" t="s">
        <v>227</v>
      </c>
      <c r="C2873" t="s">
        <v>53</v>
      </c>
      <c r="D2873" s="49">
        <v>45722</v>
      </c>
      <c r="E2873" s="49">
        <v>45724</v>
      </c>
      <c r="F2873" s="49">
        <v>45727</v>
      </c>
      <c r="G2873" s="49">
        <v>45732</v>
      </c>
      <c r="H2873" s="49">
        <v>45736</v>
      </c>
      <c r="I2873" s="49">
        <v>45738</v>
      </c>
      <c r="J2873" t="s">
        <v>49</v>
      </c>
      <c r="K2873" s="33">
        <v>1700</v>
      </c>
      <c r="L2873" t="s">
        <v>63</v>
      </c>
      <c r="M2873" t="str">
        <f>_xlfn.XLOOKUP(Pipeline_tbl[[#This Row],[Rep_ID]],Dim_Reps!A:A,Dim_Reps!K:K)</f>
        <v>EUR</v>
      </c>
      <c r="N2873" s="33">
        <f>(_xlfn.XLOOKUP(Pipeline_tbl[[#This Row],[Rate_Code_Generalized]],Lookups!A:A,Lookups!B:B))*Pipeline_tbl[[#This Row],[Pipeline_Amount_USD]]</f>
        <v>1700</v>
      </c>
      <c r="O2873" t="str">
        <f>_xlfn.XLOOKUP(Pipeline_tbl[[#This Row],[Rep_ID]],Dim_Reps!A:A,Dim_Reps!B:B)</f>
        <v>Liam Muller</v>
      </c>
      <c r="P2873" t="str">
        <f>_xlfn.XLOOKUP(Pipeline_tbl[[#This Row],[Rep_ID]],Dim_Reps!A:A,Dim_Reps!C:C)</f>
        <v>SDR / Inside Sales Rep</v>
      </c>
      <c r="Q2873" t="str">
        <f>_xlfn.XLOOKUP(Pipeline_tbl[[#This Row],[Rep_ID]],Dim_Reps!A:A,Dim_Reps!D:D)</f>
        <v>Inside Sales</v>
      </c>
      <c r="R2873" t="str">
        <f>_xlfn.XLOOKUP(Pipeline_tbl[[#This Row],[Rep_ID]],Dim_Reps!A:A,Dim_Reps!E:E)</f>
        <v>EMEA</v>
      </c>
      <c r="S2873" t="str">
        <f>_xlfn.XLOOKUP(Pipeline_tbl[[#This Row],[Created_Date]],Dim_Date!A:A,Dim_Date!H:H)</f>
        <v>Mar 2025</v>
      </c>
      <c r="T2873" t="str">
        <f>IF(Pipeline_tbl[[#This Row],[Closed_Date]]=0,"",(_xlfn.XLOOKUP(Pipeline_tbl[[#This Row],[Closed_Date]],Dim_Date!A:A,Dim_Date!H:H)))</f>
        <v>Mar 2025</v>
      </c>
      <c r="U2873">
        <f>IF(Pipeline_tbl[[#This Row],[Closed_Date]]=0,"",Pipeline_tbl[[#This Row],[Closed_Date]]-Pipeline_tbl[[#This Row],[Created_Date]])</f>
        <v>16</v>
      </c>
    </row>
    <row r="2874" spans="1:21" ht="15" customHeight="1" x14ac:dyDescent="0.2">
      <c r="A2874" t="s">
        <v>3180</v>
      </c>
      <c r="B2874" t="s">
        <v>191</v>
      </c>
      <c r="C2874" t="s">
        <v>52</v>
      </c>
      <c r="D2874" s="49">
        <v>45717</v>
      </c>
      <c r="E2874" s="49">
        <v>45720</v>
      </c>
      <c r="F2874" s="49">
        <v>45725</v>
      </c>
      <c r="G2874" s="49">
        <v>45733</v>
      </c>
      <c r="I2874" s="49">
        <v>45743</v>
      </c>
      <c r="J2874" t="s">
        <v>49</v>
      </c>
      <c r="K2874" s="33">
        <v>31100</v>
      </c>
      <c r="L2874" t="s">
        <v>61</v>
      </c>
      <c r="M2874" t="str">
        <f>_xlfn.XLOOKUP(Pipeline_tbl[[#This Row],[Rep_ID]],Dim_Reps!A:A,Dim_Reps!K:K)</f>
        <v>USD</v>
      </c>
      <c r="N2874" s="33">
        <f>(_xlfn.XLOOKUP(Pipeline_tbl[[#This Row],[Rate_Code_Generalized]],Lookups!A:A,Lookups!B:B))*Pipeline_tbl[[#This Row],[Pipeline_Amount_USD]]</f>
        <v>36209.729999999996</v>
      </c>
      <c r="O2874" t="str">
        <f>_xlfn.XLOOKUP(Pipeline_tbl[[#This Row],[Rep_ID]],Dim_Reps!A:A,Dim_Reps!B:B)</f>
        <v>Zara Duarte</v>
      </c>
      <c r="P2874" t="str">
        <f>_xlfn.XLOOKUP(Pipeline_tbl[[#This Row],[Rep_ID]],Dim_Reps!A:A,Dim_Reps!C:C)</f>
        <v>Enterprise AE</v>
      </c>
      <c r="Q2874" t="str">
        <f>_xlfn.XLOOKUP(Pipeline_tbl[[#This Row],[Rep_ID]],Dim_Reps!A:A,Dim_Reps!D:D)</f>
        <v>Enterprise</v>
      </c>
      <c r="R2874" t="str">
        <f>_xlfn.XLOOKUP(Pipeline_tbl[[#This Row],[Rep_ID]],Dim_Reps!A:A,Dim_Reps!E:E)</f>
        <v>NAMER</v>
      </c>
      <c r="S2874" t="str">
        <f>_xlfn.XLOOKUP(Pipeline_tbl[[#This Row],[Created_Date]],Dim_Date!A:A,Dim_Date!H:H)</f>
        <v>Mar 2025</v>
      </c>
      <c r="T2874" t="str">
        <f>IF(Pipeline_tbl[[#This Row],[Closed_Date]]=0,"",(_xlfn.XLOOKUP(Pipeline_tbl[[#This Row],[Closed_Date]],Dim_Date!A:A,Dim_Date!H:H)))</f>
        <v>Mar 2025</v>
      </c>
      <c r="U2874">
        <f>IF(Pipeline_tbl[[#This Row],[Closed_Date]]=0,"",Pipeline_tbl[[#This Row],[Closed_Date]]-Pipeline_tbl[[#This Row],[Created_Date]])</f>
        <v>26</v>
      </c>
    </row>
    <row r="2875" spans="1:21" ht="15" customHeight="1" x14ac:dyDescent="0.2">
      <c r="A2875" t="s">
        <v>3181</v>
      </c>
      <c r="B2875" t="s">
        <v>229</v>
      </c>
      <c r="C2875" t="s">
        <v>55</v>
      </c>
      <c r="D2875" s="49">
        <v>45729</v>
      </c>
      <c r="E2875" s="49">
        <v>45730</v>
      </c>
      <c r="F2875" s="49">
        <v>45733</v>
      </c>
      <c r="G2875" s="49">
        <v>45737</v>
      </c>
      <c r="I2875" s="49">
        <v>45743</v>
      </c>
      <c r="J2875" t="s">
        <v>49</v>
      </c>
      <c r="K2875" s="33">
        <v>2300</v>
      </c>
      <c r="L2875" t="s">
        <v>64</v>
      </c>
      <c r="M2875" t="str">
        <f>_xlfn.XLOOKUP(Pipeline_tbl[[#This Row],[Rep_ID]],Dim_Reps!A:A,Dim_Reps!K:K)</f>
        <v>USD</v>
      </c>
      <c r="N2875" s="33">
        <f>(_xlfn.XLOOKUP(Pipeline_tbl[[#This Row],[Rate_Code_Generalized]],Lookups!A:A,Lookups!B:B))*Pipeline_tbl[[#This Row],[Pipeline_Amount_USD]]</f>
        <v>2677.89</v>
      </c>
      <c r="O2875" t="str">
        <f>_xlfn.XLOOKUP(Pipeline_tbl[[#This Row],[Rep_ID]],Dim_Reps!A:A,Dim_Reps!B:B)</f>
        <v>Liam Castro</v>
      </c>
      <c r="P2875" t="str">
        <f>_xlfn.XLOOKUP(Pipeline_tbl[[#This Row],[Rep_ID]],Dim_Reps!A:A,Dim_Reps!C:C)</f>
        <v>SDR / Inside Sales Rep</v>
      </c>
      <c r="Q2875" t="str">
        <f>_xlfn.XLOOKUP(Pipeline_tbl[[#This Row],[Rep_ID]],Dim_Reps!A:A,Dim_Reps!D:D)</f>
        <v>Inside Sales</v>
      </c>
      <c r="R2875" t="str">
        <f>_xlfn.XLOOKUP(Pipeline_tbl[[#This Row],[Rep_ID]],Dim_Reps!A:A,Dim_Reps!E:E)</f>
        <v>NAMER</v>
      </c>
      <c r="S2875" t="str">
        <f>_xlfn.XLOOKUP(Pipeline_tbl[[#This Row],[Created_Date]],Dim_Date!A:A,Dim_Date!H:H)</f>
        <v>Mar 2025</v>
      </c>
      <c r="T2875" t="str">
        <f>IF(Pipeline_tbl[[#This Row],[Closed_Date]]=0,"",(_xlfn.XLOOKUP(Pipeline_tbl[[#This Row],[Closed_Date]],Dim_Date!A:A,Dim_Date!H:H)))</f>
        <v>Mar 2025</v>
      </c>
      <c r="U2875">
        <f>IF(Pipeline_tbl[[#This Row],[Closed_Date]]=0,"",Pipeline_tbl[[#This Row],[Closed_Date]]-Pipeline_tbl[[#This Row],[Created_Date]])</f>
        <v>14</v>
      </c>
    </row>
    <row r="2876" spans="1:21" ht="15" customHeight="1" x14ac:dyDescent="0.2">
      <c r="A2876" t="s">
        <v>3182</v>
      </c>
      <c r="B2876" t="s">
        <v>229</v>
      </c>
      <c r="C2876" t="s">
        <v>53</v>
      </c>
      <c r="D2876" s="49">
        <v>45719</v>
      </c>
      <c r="E2876" s="49">
        <v>45720</v>
      </c>
      <c r="F2876" s="49">
        <v>45722</v>
      </c>
      <c r="G2876" s="49">
        <v>45726</v>
      </c>
      <c r="H2876" s="49">
        <v>45728</v>
      </c>
      <c r="I2876" s="49">
        <v>45730</v>
      </c>
      <c r="J2876" t="s">
        <v>47</v>
      </c>
      <c r="K2876" s="33">
        <v>4100</v>
      </c>
      <c r="M2876" t="str">
        <f>_xlfn.XLOOKUP(Pipeline_tbl[[#This Row],[Rep_ID]],Dim_Reps!A:A,Dim_Reps!K:K)</f>
        <v>USD</v>
      </c>
      <c r="N2876" s="33">
        <f>(_xlfn.XLOOKUP(Pipeline_tbl[[#This Row],[Rate_Code_Generalized]],Lookups!A:A,Lookups!B:B))*Pipeline_tbl[[#This Row],[Pipeline_Amount_USD]]</f>
        <v>4773.6299999999992</v>
      </c>
      <c r="O2876" t="str">
        <f>_xlfn.XLOOKUP(Pipeline_tbl[[#This Row],[Rep_ID]],Dim_Reps!A:A,Dim_Reps!B:B)</f>
        <v>Liam Castro</v>
      </c>
      <c r="P2876" t="str">
        <f>_xlfn.XLOOKUP(Pipeline_tbl[[#This Row],[Rep_ID]],Dim_Reps!A:A,Dim_Reps!C:C)</f>
        <v>SDR / Inside Sales Rep</v>
      </c>
      <c r="Q2876" t="str">
        <f>_xlfn.XLOOKUP(Pipeline_tbl[[#This Row],[Rep_ID]],Dim_Reps!A:A,Dim_Reps!D:D)</f>
        <v>Inside Sales</v>
      </c>
      <c r="R2876" t="str">
        <f>_xlfn.XLOOKUP(Pipeline_tbl[[#This Row],[Rep_ID]],Dim_Reps!A:A,Dim_Reps!E:E)</f>
        <v>NAMER</v>
      </c>
      <c r="S2876" t="str">
        <f>_xlfn.XLOOKUP(Pipeline_tbl[[#This Row],[Created_Date]],Dim_Date!A:A,Dim_Date!H:H)</f>
        <v>Mar 2025</v>
      </c>
      <c r="T2876" t="str">
        <f>IF(Pipeline_tbl[[#This Row],[Closed_Date]]=0,"",(_xlfn.XLOOKUP(Pipeline_tbl[[#This Row],[Closed_Date]],Dim_Date!A:A,Dim_Date!H:H)))</f>
        <v>Mar 2025</v>
      </c>
      <c r="U2876">
        <f>IF(Pipeline_tbl[[#This Row],[Closed_Date]]=0,"",Pipeline_tbl[[#This Row],[Closed_Date]]-Pipeline_tbl[[#This Row],[Created_Date]])</f>
        <v>11</v>
      </c>
    </row>
    <row r="2877" spans="1:21" ht="15" customHeight="1" x14ac:dyDescent="0.2">
      <c r="A2877" t="s">
        <v>3183</v>
      </c>
      <c r="B2877" t="s">
        <v>229</v>
      </c>
      <c r="C2877" t="s">
        <v>55</v>
      </c>
      <c r="D2877" s="49">
        <v>45737</v>
      </c>
      <c r="E2877" s="49">
        <v>45738</v>
      </c>
      <c r="F2877" s="49">
        <v>45740</v>
      </c>
      <c r="I2877" s="49">
        <v>45747</v>
      </c>
      <c r="J2877" t="s">
        <v>49</v>
      </c>
      <c r="K2877" s="33">
        <v>3700</v>
      </c>
      <c r="L2877" t="s">
        <v>62</v>
      </c>
      <c r="M2877" t="str">
        <f>_xlfn.XLOOKUP(Pipeline_tbl[[#This Row],[Rep_ID]],Dim_Reps!A:A,Dim_Reps!K:K)</f>
        <v>USD</v>
      </c>
      <c r="N2877" s="33">
        <f>(_xlfn.XLOOKUP(Pipeline_tbl[[#This Row],[Rate_Code_Generalized]],Lookups!A:A,Lookups!B:B))*Pipeline_tbl[[#This Row],[Pipeline_Amount_USD]]</f>
        <v>4307.91</v>
      </c>
      <c r="O2877" t="str">
        <f>_xlfn.XLOOKUP(Pipeline_tbl[[#This Row],[Rep_ID]],Dim_Reps!A:A,Dim_Reps!B:B)</f>
        <v>Liam Castro</v>
      </c>
      <c r="P2877" t="str">
        <f>_xlfn.XLOOKUP(Pipeline_tbl[[#This Row],[Rep_ID]],Dim_Reps!A:A,Dim_Reps!C:C)</f>
        <v>SDR / Inside Sales Rep</v>
      </c>
      <c r="Q2877" t="str">
        <f>_xlfn.XLOOKUP(Pipeline_tbl[[#This Row],[Rep_ID]],Dim_Reps!A:A,Dim_Reps!D:D)</f>
        <v>Inside Sales</v>
      </c>
      <c r="R2877" t="str">
        <f>_xlfn.XLOOKUP(Pipeline_tbl[[#This Row],[Rep_ID]],Dim_Reps!A:A,Dim_Reps!E:E)</f>
        <v>NAMER</v>
      </c>
      <c r="S2877" t="str">
        <f>_xlfn.XLOOKUP(Pipeline_tbl[[#This Row],[Created_Date]],Dim_Date!A:A,Dim_Date!H:H)</f>
        <v>Mar 2025</v>
      </c>
      <c r="T2877" t="str">
        <f>IF(Pipeline_tbl[[#This Row],[Closed_Date]]=0,"",(_xlfn.XLOOKUP(Pipeline_tbl[[#This Row],[Closed_Date]],Dim_Date!A:A,Dim_Date!H:H)))</f>
        <v>Mar 2025</v>
      </c>
      <c r="U2877">
        <f>IF(Pipeline_tbl[[#This Row],[Closed_Date]]=0,"",Pipeline_tbl[[#This Row],[Closed_Date]]-Pipeline_tbl[[#This Row],[Created_Date]])</f>
        <v>10</v>
      </c>
    </row>
    <row r="2878" spans="1:21" ht="15" customHeight="1" x14ac:dyDescent="0.2">
      <c r="A2878" t="s">
        <v>3184</v>
      </c>
      <c r="B2878" t="s">
        <v>229</v>
      </c>
      <c r="C2878" t="s">
        <v>52</v>
      </c>
      <c r="D2878" s="49">
        <v>45721</v>
      </c>
      <c r="E2878" s="49">
        <v>45723</v>
      </c>
      <c r="F2878" s="49">
        <v>45729</v>
      </c>
      <c r="G2878" s="49">
        <v>45736</v>
      </c>
      <c r="H2878" s="49">
        <v>45742</v>
      </c>
      <c r="I2878" s="49">
        <v>45746</v>
      </c>
      <c r="J2878" t="s">
        <v>47</v>
      </c>
      <c r="K2878" s="33">
        <v>1500</v>
      </c>
      <c r="M2878" t="str">
        <f>_xlfn.XLOOKUP(Pipeline_tbl[[#This Row],[Rep_ID]],Dim_Reps!A:A,Dim_Reps!K:K)</f>
        <v>USD</v>
      </c>
      <c r="N2878" s="33">
        <f>(_xlfn.XLOOKUP(Pipeline_tbl[[#This Row],[Rate_Code_Generalized]],Lookups!A:A,Lookups!B:B))*Pipeline_tbl[[#This Row],[Pipeline_Amount_USD]]</f>
        <v>1746.4499999999998</v>
      </c>
      <c r="O2878" t="str">
        <f>_xlfn.XLOOKUP(Pipeline_tbl[[#This Row],[Rep_ID]],Dim_Reps!A:A,Dim_Reps!B:B)</f>
        <v>Liam Castro</v>
      </c>
      <c r="P2878" t="str">
        <f>_xlfn.XLOOKUP(Pipeline_tbl[[#This Row],[Rep_ID]],Dim_Reps!A:A,Dim_Reps!C:C)</f>
        <v>SDR / Inside Sales Rep</v>
      </c>
      <c r="Q2878" t="str">
        <f>_xlfn.XLOOKUP(Pipeline_tbl[[#This Row],[Rep_ID]],Dim_Reps!A:A,Dim_Reps!D:D)</f>
        <v>Inside Sales</v>
      </c>
      <c r="R2878" t="str">
        <f>_xlfn.XLOOKUP(Pipeline_tbl[[#This Row],[Rep_ID]],Dim_Reps!A:A,Dim_Reps!E:E)</f>
        <v>NAMER</v>
      </c>
      <c r="S2878" t="str">
        <f>_xlfn.XLOOKUP(Pipeline_tbl[[#This Row],[Created_Date]],Dim_Date!A:A,Dim_Date!H:H)</f>
        <v>Mar 2025</v>
      </c>
      <c r="T2878" t="str">
        <f>IF(Pipeline_tbl[[#This Row],[Closed_Date]]=0,"",(_xlfn.XLOOKUP(Pipeline_tbl[[#This Row],[Closed_Date]],Dim_Date!A:A,Dim_Date!H:H)))</f>
        <v>Mar 2025</v>
      </c>
      <c r="U2878">
        <f>IF(Pipeline_tbl[[#This Row],[Closed_Date]]=0,"",Pipeline_tbl[[#This Row],[Closed_Date]]-Pipeline_tbl[[#This Row],[Created_Date]])</f>
        <v>25</v>
      </c>
    </row>
    <row r="2879" spans="1:21" ht="15" customHeight="1" x14ac:dyDescent="0.2">
      <c r="A2879" t="s">
        <v>3185</v>
      </c>
      <c r="B2879" t="s">
        <v>229</v>
      </c>
      <c r="C2879" t="s">
        <v>52</v>
      </c>
      <c r="D2879" s="49">
        <v>45725</v>
      </c>
      <c r="E2879" s="49">
        <v>45726</v>
      </c>
      <c r="F2879" s="49">
        <v>45728</v>
      </c>
      <c r="G2879" s="49">
        <v>45731</v>
      </c>
      <c r="H2879" s="49">
        <v>45733</v>
      </c>
      <c r="I2879" s="49">
        <v>45735</v>
      </c>
      <c r="J2879" t="s">
        <v>47</v>
      </c>
      <c r="K2879" s="33">
        <v>2900</v>
      </c>
      <c r="M2879" t="str">
        <f>_xlfn.XLOOKUP(Pipeline_tbl[[#This Row],[Rep_ID]],Dim_Reps!A:A,Dim_Reps!K:K)</f>
        <v>USD</v>
      </c>
      <c r="N2879" s="33">
        <f>(_xlfn.XLOOKUP(Pipeline_tbl[[#This Row],[Rate_Code_Generalized]],Lookups!A:A,Lookups!B:B))*Pipeline_tbl[[#This Row],[Pipeline_Amount_USD]]</f>
        <v>3376.47</v>
      </c>
      <c r="O2879" t="str">
        <f>_xlfn.XLOOKUP(Pipeline_tbl[[#This Row],[Rep_ID]],Dim_Reps!A:A,Dim_Reps!B:B)</f>
        <v>Liam Castro</v>
      </c>
      <c r="P2879" t="str">
        <f>_xlfn.XLOOKUP(Pipeline_tbl[[#This Row],[Rep_ID]],Dim_Reps!A:A,Dim_Reps!C:C)</f>
        <v>SDR / Inside Sales Rep</v>
      </c>
      <c r="Q2879" t="str">
        <f>_xlfn.XLOOKUP(Pipeline_tbl[[#This Row],[Rep_ID]],Dim_Reps!A:A,Dim_Reps!D:D)</f>
        <v>Inside Sales</v>
      </c>
      <c r="R2879" t="str">
        <f>_xlfn.XLOOKUP(Pipeline_tbl[[#This Row],[Rep_ID]],Dim_Reps!A:A,Dim_Reps!E:E)</f>
        <v>NAMER</v>
      </c>
      <c r="S2879" t="str">
        <f>_xlfn.XLOOKUP(Pipeline_tbl[[#This Row],[Created_Date]],Dim_Date!A:A,Dim_Date!H:H)</f>
        <v>Mar 2025</v>
      </c>
      <c r="T2879" t="str">
        <f>IF(Pipeline_tbl[[#This Row],[Closed_Date]]=0,"",(_xlfn.XLOOKUP(Pipeline_tbl[[#This Row],[Closed_Date]],Dim_Date!A:A,Dim_Date!H:H)))</f>
        <v>Mar 2025</v>
      </c>
      <c r="U2879">
        <f>IF(Pipeline_tbl[[#This Row],[Closed_Date]]=0,"",Pipeline_tbl[[#This Row],[Closed_Date]]-Pipeline_tbl[[#This Row],[Created_Date]])</f>
        <v>10</v>
      </c>
    </row>
    <row r="2880" spans="1:21" ht="15" customHeight="1" x14ac:dyDescent="0.2">
      <c r="A2880" t="s">
        <v>3186</v>
      </c>
      <c r="B2880" t="s">
        <v>229</v>
      </c>
      <c r="C2880" t="s">
        <v>54</v>
      </c>
      <c r="D2880" s="49">
        <v>45719</v>
      </c>
      <c r="E2880" s="49">
        <v>45721</v>
      </c>
      <c r="F2880" s="49">
        <v>45726</v>
      </c>
      <c r="I2880" s="49">
        <v>45741</v>
      </c>
      <c r="J2880" t="s">
        <v>49</v>
      </c>
      <c r="K2880" s="33">
        <v>4400</v>
      </c>
      <c r="L2880" t="s">
        <v>60</v>
      </c>
      <c r="M2880" t="str">
        <f>_xlfn.XLOOKUP(Pipeline_tbl[[#This Row],[Rep_ID]],Dim_Reps!A:A,Dim_Reps!K:K)</f>
        <v>USD</v>
      </c>
      <c r="N2880" s="33">
        <f>(_xlfn.XLOOKUP(Pipeline_tbl[[#This Row],[Rate_Code_Generalized]],Lookups!A:A,Lookups!B:B))*Pipeline_tbl[[#This Row],[Pipeline_Amount_USD]]</f>
        <v>5122.9199999999992</v>
      </c>
      <c r="O2880" t="str">
        <f>_xlfn.XLOOKUP(Pipeline_tbl[[#This Row],[Rep_ID]],Dim_Reps!A:A,Dim_Reps!B:B)</f>
        <v>Liam Castro</v>
      </c>
      <c r="P2880" t="str">
        <f>_xlfn.XLOOKUP(Pipeline_tbl[[#This Row],[Rep_ID]],Dim_Reps!A:A,Dim_Reps!C:C)</f>
        <v>SDR / Inside Sales Rep</v>
      </c>
      <c r="Q2880" t="str">
        <f>_xlfn.XLOOKUP(Pipeline_tbl[[#This Row],[Rep_ID]],Dim_Reps!A:A,Dim_Reps!D:D)</f>
        <v>Inside Sales</v>
      </c>
      <c r="R2880" t="str">
        <f>_xlfn.XLOOKUP(Pipeline_tbl[[#This Row],[Rep_ID]],Dim_Reps!A:A,Dim_Reps!E:E)</f>
        <v>NAMER</v>
      </c>
      <c r="S2880" t="str">
        <f>_xlfn.XLOOKUP(Pipeline_tbl[[#This Row],[Created_Date]],Dim_Date!A:A,Dim_Date!H:H)</f>
        <v>Mar 2025</v>
      </c>
      <c r="T2880" t="str">
        <f>IF(Pipeline_tbl[[#This Row],[Closed_Date]]=0,"",(_xlfn.XLOOKUP(Pipeline_tbl[[#This Row],[Closed_Date]],Dim_Date!A:A,Dim_Date!H:H)))</f>
        <v>Mar 2025</v>
      </c>
      <c r="U2880">
        <f>IF(Pipeline_tbl[[#This Row],[Closed_Date]]=0,"",Pipeline_tbl[[#This Row],[Closed_Date]]-Pipeline_tbl[[#This Row],[Created_Date]])</f>
        <v>22</v>
      </c>
    </row>
    <row r="2881" spans="1:21" ht="15" customHeight="1" x14ac:dyDescent="0.2">
      <c r="A2881" t="s">
        <v>3187</v>
      </c>
      <c r="B2881" t="s">
        <v>229</v>
      </c>
      <c r="C2881" t="s">
        <v>52</v>
      </c>
      <c r="D2881" s="49">
        <v>45726</v>
      </c>
      <c r="E2881" s="49">
        <v>45727</v>
      </c>
      <c r="F2881" s="49">
        <v>45730</v>
      </c>
      <c r="I2881" s="49">
        <v>45738</v>
      </c>
      <c r="J2881" t="s">
        <v>49</v>
      </c>
      <c r="K2881" s="33">
        <v>2400</v>
      </c>
      <c r="L2881" t="s">
        <v>60</v>
      </c>
      <c r="M2881" t="str">
        <f>_xlfn.XLOOKUP(Pipeline_tbl[[#This Row],[Rep_ID]],Dim_Reps!A:A,Dim_Reps!K:K)</f>
        <v>USD</v>
      </c>
      <c r="N2881" s="33">
        <f>(_xlfn.XLOOKUP(Pipeline_tbl[[#This Row],[Rate_Code_Generalized]],Lookups!A:A,Lookups!B:B))*Pipeline_tbl[[#This Row],[Pipeline_Amount_USD]]</f>
        <v>2794.3199999999997</v>
      </c>
      <c r="O2881" t="str">
        <f>_xlfn.XLOOKUP(Pipeline_tbl[[#This Row],[Rep_ID]],Dim_Reps!A:A,Dim_Reps!B:B)</f>
        <v>Liam Castro</v>
      </c>
      <c r="P2881" t="str">
        <f>_xlfn.XLOOKUP(Pipeline_tbl[[#This Row],[Rep_ID]],Dim_Reps!A:A,Dim_Reps!C:C)</f>
        <v>SDR / Inside Sales Rep</v>
      </c>
      <c r="Q2881" t="str">
        <f>_xlfn.XLOOKUP(Pipeline_tbl[[#This Row],[Rep_ID]],Dim_Reps!A:A,Dim_Reps!D:D)</f>
        <v>Inside Sales</v>
      </c>
      <c r="R2881" t="str">
        <f>_xlfn.XLOOKUP(Pipeline_tbl[[#This Row],[Rep_ID]],Dim_Reps!A:A,Dim_Reps!E:E)</f>
        <v>NAMER</v>
      </c>
      <c r="S2881" t="str">
        <f>_xlfn.XLOOKUP(Pipeline_tbl[[#This Row],[Created_Date]],Dim_Date!A:A,Dim_Date!H:H)</f>
        <v>Mar 2025</v>
      </c>
      <c r="T2881" t="str">
        <f>IF(Pipeline_tbl[[#This Row],[Closed_Date]]=0,"",(_xlfn.XLOOKUP(Pipeline_tbl[[#This Row],[Closed_Date]],Dim_Date!A:A,Dim_Date!H:H)))</f>
        <v>Mar 2025</v>
      </c>
      <c r="U2881">
        <f>IF(Pipeline_tbl[[#This Row],[Closed_Date]]=0,"",Pipeline_tbl[[#This Row],[Closed_Date]]-Pipeline_tbl[[#This Row],[Created_Date]])</f>
        <v>12</v>
      </c>
    </row>
    <row r="2882" spans="1:21" ht="15" customHeight="1" x14ac:dyDescent="0.2">
      <c r="A2882" t="s">
        <v>3188</v>
      </c>
      <c r="B2882" t="s">
        <v>231</v>
      </c>
      <c r="C2882" t="s">
        <v>53</v>
      </c>
      <c r="D2882" s="49">
        <v>45724</v>
      </c>
      <c r="E2882" s="49">
        <v>45726</v>
      </c>
      <c r="F2882" s="49">
        <v>45730</v>
      </c>
      <c r="G2882" s="49">
        <v>45736</v>
      </c>
      <c r="H2882" s="49">
        <v>45741</v>
      </c>
      <c r="I2882" s="49">
        <v>45744</v>
      </c>
      <c r="J2882" t="s">
        <v>47</v>
      </c>
      <c r="K2882" s="33">
        <v>2200</v>
      </c>
      <c r="M2882" t="str">
        <f>_xlfn.XLOOKUP(Pipeline_tbl[[#This Row],[Rep_ID]],Dim_Reps!A:A,Dim_Reps!K:K)</f>
        <v>MXN</v>
      </c>
      <c r="N2882" s="33">
        <f>(_xlfn.XLOOKUP(Pipeline_tbl[[#This Row],[Rate_Code_Generalized]],Lookups!A:A,Lookups!B:B))*Pipeline_tbl[[#This Row],[Pipeline_Amount_USD]]</f>
        <v>43411.94</v>
      </c>
      <c r="O2882" t="str">
        <f>_xlfn.XLOOKUP(Pipeline_tbl[[#This Row],[Rep_ID]],Dim_Reps!A:A,Dim_Reps!B:B)</f>
        <v>Ben Silva</v>
      </c>
      <c r="P2882" t="str">
        <f>_xlfn.XLOOKUP(Pipeline_tbl[[#This Row],[Rep_ID]],Dim_Reps!A:A,Dim_Reps!C:C)</f>
        <v>SDR / Inside Sales Rep</v>
      </c>
      <c r="Q2882" t="str">
        <f>_xlfn.XLOOKUP(Pipeline_tbl[[#This Row],[Rep_ID]],Dim_Reps!A:A,Dim_Reps!D:D)</f>
        <v>Inside Sales</v>
      </c>
      <c r="R2882" t="str">
        <f>_xlfn.XLOOKUP(Pipeline_tbl[[#This Row],[Rep_ID]],Dim_Reps!A:A,Dim_Reps!E:E)</f>
        <v>LATAM</v>
      </c>
      <c r="S2882" t="str">
        <f>_xlfn.XLOOKUP(Pipeline_tbl[[#This Row],[Created_Date]],Dim_Date!A:A,Dim_Date!H:H)</f>
        <v>Mar 2025</v>
      </c>
      <c r="T2882" t="str">
        <f>IF(Pipeline_tbl[[#This Row],[Closed_Date]]=0,"",(_xlfn.XLOOKUP(Pipeline_tbl[[#This Row],[Closed_Date]],Dim_Date!A:A,Dim_Date!H:H)))</f>
        <v>Mar 2025</v>
      </c>
      <c r="U2882">
        <f>IF(Pipeline_tbl[[#This Row],[Closed_Date]]=0,"",Pipeline_tbl[[#This Row],[Closed_Date]]-Pipeline_tbl[[#This Row],[Created_Date]])</f>
        <v>20</v>
      </c>
    </row>
    <row r="2883" spans="1:21" ht="15" customHeight="1" x14ac:dyDescent="0.2">
      <c r="A2883" t="s">
        <v>3189</v>
      </c>
      <c r="B2883" t="s">
        <v>263</v>
      </c>
      <c r="C2883" t="s">
        <v>56</v>
      </c>
      <c r="D2883" s="49">
        <v>45723</v>
      </c>
      <c r="E2883" s="49">
        <v>45725</v>
      </c>
      <c r="F2883" s="49">
        <v>45729</v>
      </c>
      <c r="G2883" s="49">
        <v>45735</v>
      </c>
      <c r="H2883" s="49">
        <v>45740</v>
      </c>
      <c r="I2883" s="49">
        <v>45743</v>
      </c>
      <c r="J2883" t="s">
        <v>49</v>
      </c>
      <c r="K2883" s="33">
        <v>12000</v>
      </c>
      <c r="L2883" t="s">
        <v>62</v>
      </c>
      <c r="M2883" t="str">
        <f>_xlfn.XLOOKUP(Pipeline_tbl[[#This Row],[Rep_ID]],Dim_Reps!A:A,Dim_Reps!K:K)</f>
        <v>USD</v>
      </c>
      <c r="N2883" s="33">
        <f>(_xlfn.XLOOKUP(Pipeline_tbl[[#This Row],[Rate_Code_Generalized]],Lookups!A:A,Lookups!B:B))*Pipeline_tbl[[#This Row],[Pipeline_Amount_USD]]</f>
        <v>13971.599999999999</v>
      </c>
      <c r="O2883" t="str">
        <f>_xlfn.XLOOKUP(Pipeline_tbl[[#This Row],[Rep_ID]],Dim_Reps!A:A,Dim_Reps!B:B)</f>
        <v>Morgan Weber</v>
      </c>
      <c r="P2883" t="str">
        <f>_xlfn.XLOOKUP(Pipeline_tbl[[#This Row],[Rep_ID]],Dim_Reps!A:A,Dim_Reps!C:C)</f>
        <v>Mid-Market AE</v>
      </c>
      <c r="Q2883" t="str">
        <f>_xlfn.XLOOKUP(Pipeline_tbl[[#This Row],[Rep_ID]],Dim_Reps!A:A,Dim_Reps!D:D)</f>
        <v>Mid-Market</v>
      </c>
      <c r="R2883" t="str">
        <f>_xlfn.XLOOKUP(Pipeline_tbl[[#This Row],[Rep_ID]],Dim_Reps!A:A,Dim_Reps!E:E)</f>
        <v>NAMER</v>
      </c>
      <c r="S2883" t="str">
        <f>_xlfn.XLOOKUP(Pipeline_tbl[[#This Row],[Created_Date]],Dim_Date!A:A,Dim_Date!H:H)</f>
        <v>Mar 2025</v>
      </c>
      <c r="T2883" t="str">
        <f>IF(Pipeline_tbl[[#This Row],[Closed_Date]]=0,"",(_xlfn.XLOOKUP(Pipeline_tbl[[#This Row],[Closed_Date]],Dim_Date!A:A,Dim_Date!H:H)))</f>
        <v>Mar 2025</v>
      </c>
      <c r="U2883">
        <f>IF(Pipeline_tbl[[#This Row],[Closed_Date]]=0,"",Pipeline_tbl[[#This Row],[Closed_Date]]-Pipeline_tbl[[#This Row],[Created_Date]])</f>
        <v>20</v>
      </c>
    </row>
    <row r="2884" spans="1:21" ht="15" customHeight="1" x14ac:dyDescent="0.2">
      <c r="A2884" t="s">
        <v>3190</v>
      </c>
      <c r="B2884" t="s">
        <v>265</v>
      </c>
      <c r="C2884" t="s">
        <v>52</v>
      </c>
      <c r="D2884" s="49">
        <v>45720</v>
      </c>
      <c r="E2884" s="49">
        <v>45723</v>
      </c>
      <c r="F2884" s="49">
        <v>45728</v>
      </c>
      <c r="G2884" s="49">
        <v>45736</v>
      </c>
      <c r="I2884" s="49">
        <v>45747</v>
      </c>
      <c r="J2884" t="s">
        <v>49</v>
      </c>
      <c r="K2884" s="33">
        <v>15200</v>
      </c>
      <c r="L2884" t="s">
        <v>61</v>
      </c>
      <c r="M2884" t="str">
        <f>_xlfn.XLOOKUP(Pipeline_tbl[[#This Row],[Rep_ID]],Dim_Reps!A:A,Dim_Reps!K:K)</f>
        <v>EUR</v>
      </c>
      <c r="N2884" s="33">
        <f>(_xlfn.XLOOKUP(Pipeline_tbl[[#This Row],[Rate_Code_Generalized]],Lookups!A:A,Lookups!B:B))*Pipeline_tbl[[#This Row],[Pipeline_Amount_USD]]</f>
        <v>15200</v>
      </c>
      <c r="O2884" t="str">
        <f>_xlfn.XLOOKUP(Pipeline_tbl[[#This Row],[Rep_ID]],Dim_Reps!A:A,Dim_Reps!B:B)</f>
        <v>Erik Duarte</v>
      </c>
      <c r="P2884" t="str">
        <f>_xlfn.XLOOKUP(Pipeline_tbl[[#This Row],[Rep_ID]],Dim_Reps!A:A,Dim_Reps!C:C)</f>
        <v>Mid-Market AE</v>
      </c>
      <c r="Q2884" t="str">
        <f>_xlfn.XLOOKUP(Pipeline_tbl[[#This Row],[Rep_ID]],Dim_Reps!A:A,Dim_Reps!D:D)</f>
        <v>Mid-Market</v>
      </c>
      <c r="R2884" t="str">
        <f>_xlfn.XLOOKUP(Pipeline_tbl[[#This Row],[Rep_ID]],Dim_Reps!A:A,Dim_Reps!E:E)</f>
        <v>EMEA</v>
      </c>
      <c r="S2884" t="str">
        <f>_xlfn.XLOOKUP(Pipeline_tbl[[#This Row],[Created_Date]],Dim_Date!A:A,Dim_Date!H:H)</f>
        <v>Mar 2025</v>
      </c>
      <c r="T2884" t="str">
        <f>IF(Pipeline_tbl[[#This Row],[Closed_Date]]=0,"",(_xlfn.XLOOKUP(Pipeline_tbl[[#This Row],[Closed_Date]],Dim_Date!A:A,Dim_Date!H:H)))</f>
        <v>Mar 2025</v>
      </c>
      <c r="U2884">
        <f>IF(Pipeline_tbl[[#This Row],[Closed_Date]]=0,"",Pipeline_tbl[[#This Row],[Closed_Date]]-Pipeline_tbl[[#This Row],[Created_Date]])</f>
        <v>27</v>
      </c>
    </row>
    <row r="2885" spans="1:21" ht="15" customHeight="1" x14ac:dyDescent="0.2">
      <c r="A2885" t="s">
        <v>3191</v>
      </c>
      <c r="B2885" t="s">
        <v>265</v>
      </c>
      <c r="C2885" t="s">
        <v>53</v>
      </c>
      <c r="D2885" s="49">
        <v>45727</v>
      </c>
      <c r="E2885" s="49">
        <v>45729</v>
      </c>
      <c r="F2885" s="49">
        <v>45733</v>
      </c>
      <c r="G2885" s="49">
        <v>45739</v>
      </c>
      <c r="H2885" s="49">
        <v>45744</v>
      </c>
      <c r="I2885" s="49">
        <v>45747</v>
      </c>
      <c r="J2885" t="s">
        <v>47</v>
      </c>
      <c r="K2885" s="33">
        <v>9000</v>
      </c>
      <c r="M2885" t="str">
        <f>_xlfn.XLOOKUP(Pipeline_tbl[[#This Row],[Rep_ID]],Dim_Reps!A:A,Dim_Reps!K:K)</f>
        <v>EUR</v>
      </c>
      <c r="N2885" s="33">
        <f>(_xlfn.XLOOKUP(Pipeline_tbl[[#This Row],[Rate_Code_Generalized]],Lookups!A:A,Lookups!B:B))*Pipeline_tbl[[#This Row],[Pipeline_Amount_USD]]</f>
        <v>9000</v>
      </c>
      <c r="O2885" t="str">
        <f>_xlfn.XLOOKUP(Pipeline_tbl[[#This Row],[Rep_ID]],Dim_Reps!A:A,Dim_Reps!B:B)</f>
        <v>Erik Duarte</v>
      </c>
      <c r="P2885" t="str">
        <f>_xlfn.XLOOKUP(Pipeline_tbl[[#This Row],[Rep_ID]],Dim_Reps!A:A,Dim_Reps!C:C)</f>
        <v>Mid-Market AE</v>
      </c>
      <c r="Q2885" t="str">
        <f>_xlfn.XLOOKUP(Pipeline_tbl[[#This Row],[Rep_ID]],Dim_Reps!A:A,Dim_Reps!D:D)</f>
        <v>Mid-Market</v>
      </c>
      <c r="R2885" t="str">
        <f>_xlfn.XLOOKUP(Pipeline_tbl[[#This Row],[Rep_ID]],Dim_Reps!A:A,Dim_Reps!E:E)</f>
        <v>EMEA</v>
      </c>
      <c r="S2885" t="str">
        <f>_xlfn.XLOOKUP(Pipeline_tbl[[#This Row],[Created_Date]],Dim_Date!A:A,Dim_Date!H:H)</f>
        <v>Mar 2025</v>
      </c>
      <c r="T2885" t="str">
        <f>IF(Pipeline_tbl[[#This Row],[Closed_Date]]=0,"",(_xlfn.XLOOKUP(Pipeline_tbl[[#This Row],[Closed_Date]],Dim_Date!A:A,Dim_Date!H:H)))</f>
        <v>Mar 2025</v>
      </c>
      <c r="U2885">
        <f>IF(Pipeline_tbl[[#This Row],[Closed_Date]]=0,"",Pipeline_tbl[[#This Row],[Closed_Date]]-Pipeline_tbl[[#This Row],[Created_Date]])</f>
        <v>20</v>
      </c>
    </row>
    <row r="2886" spans="1:21" ht="15" customHeight="1" x14ac:dyDescent="0.2">
      <c r="A2886" t="s">
        <v>3192</v>
      </c>
      <c r="B2886" t="s">
        <v>265</v>
      </c>
      <c r="C2886" t="s">
        <v>52</v>
      </c>
      <c r="D2886" s="49">
        <v>45722</v>
      </c>
      <c r="E2886" s="49">
        <v>45724</v>
      </c>
      <c r="F2886" s="49">
        <v>45727</v>
      </c>
      <c r="G2886" s="49">
        <v>45732</v>
      </c>
      <c r="H2886" s="49">
        <v>45736</v>
      </c>
      <c r="I2886" s="49">
        <v>45739</v>
      </c>
      <c r="J2886" t="s">
        <v>49</v>
      </c>
      <c r="K2886" s="33">
        <v>7400</v>
      </c>
      <c r="L2886" t="s">
        <v>61</v>
      </c>
      <c r="M2886" t="str">
        <f>_xlfn.XLOOKUP(Pipeline_tbl[[#This Row],[Rep_ID]],Dim_Reps!A:A,Dim_Reps!K:K)</f>
        <v>EUR</v>
      </c>
      <c r="N2886" s="33">
        <f>(_xlfn.XLOOKUP(Pipeline_tbl[[#This Row],[Rate_Code_Generalized]],Lookups!A:A,Lookups!B:B))*Pipeline_tbl[[#This Row],[Pipeline_Amount_USD]]</f>
        <v>7400</v>
      </c>
      <c r="O2886" t="str">
        <f>_xlfn.XLOOKUP(Pipeline_tbl[[#This Row],[Rep_ID]],Dim_Reps!A:A,Dim_Reps!B:B)</f>
        <v>Erik Duarte</v>
      </c>
      <c r="P2886" t="str">
        <f>_xlfn.XLOOKUP(Pipeline_tbl[[#This Row],[Rep_ID]],Dim_Reps!A:A,Dim_Reps!C:C)</f>
        <v>Mid-Market AE</v>
      </c>
      <c r="Q2886" t="str">
        <f>_xlfn.XLOOKUP(Pipeline_tbl[[#This Row],[Rep_ID]],Dim_Reps!A:A,Dim_Reps!D:D)</f>
        <v>Mid-Market</v>
      </c>
      <c r="R2886" t="str">
        <f>_xlfn.XLOOKUP(Pipeline_tbl[[#This Row],[Rep_ID]],Dim_Reps!A:A,Dim_Reps!E:E)</f>
        <v>EMEA</v>
      </c>
      <c r="S2886" t="str">
        <f>_xlfn.XLOOKUP(Pipeline_tbl[[#This Row],[Created_Date]],Dim_Date!A:A,Dim_Date!H:H)</f>
        <v>Mar 2025</v>
      </c>
      <c r="T2886" t="str">
        <f>IF(Pipeline_tbl[[#This Row],[Closed_Date]]=0,"",(_xlfn.XLOOKUP(Pipeline_tbl[[#This Row],[Closed_Date]],Dim_Date!A:A,Dim_Date!H:H)))</f>
        <v>Mar 2025</v>
      </c>
      <c r="U2886">
        <f>IF(Pipeline_tbl[[#This Row],[Closed_Date]]=0,"",Pipeline_tbl[[#This Row],[Closed_Date]]-Pipeline_tbl[[#This Row],[Created_Date]])</f>
        <v>17</v>
      </c>
    </row>
    <row r="2887" spans="1:21" ht="15" customHeight="1" x14ac:dyDescent="0.2">
      <c r="A2887" t="s">
        <v>3193</v>
      </c>
      <c r="B2887" t="s">
        <v>233</v>
      </c>
      <c r="C2887" t="s">
        <v>53</v>
      </c>
      <c r="D2887" s="49">
        <v>45731</v>
      </c>
      <c r="E2887" s="49">
        <v>45732</v>
      </c>
      <c r="F2887" s="49">
        <v>45735</v>
      </c>
      <c r="G2887" s="49">
        <v>45739</v>
      </c>
      <c r="H2887" s="49">
        <v>45742</v>
      </c>
      <c r="I2887" s="49">
        <v>45744</v>
      </c>
      <c r="J2887" t="s">
        <v>49</v>
      </c>
      <c r="K2887" s="33">
        <v>2700</v>
      </c>
      <c r="L2887" t="s">
        <v>63</v>
      </c>
      <c r="M2887" t="str">
        <f>_xlfn.XLOOKUP(Pipeline_tbl[[#This Row],[Rep_ID]],Dim_Reps!A:A,Dim_Reps!K:K)</f>
        <v>MXN</v>
      </c>
      <c r="N2887" s="33">
        <f>(_xlfn.XLOOKUP(Pipeline_tbl[[#This Row],[Rate_Code_Generalized]],Lookups!A:A,Lookups!B:B))*Pipeline_tbl[[#This Row],[Pipeline_Amount_USD]]</f>
        <v>53278.29</v>
      </c>
      <c r="O2887" t="str">
        <f>_xlfn.XLOOKUP(Pipeline_tbl[[#This Row],[Rep_ID]],Dim_Reps!A:A,Dim_Reps!B:B)</f>
        <v>Lucas Duarte</v>
      </c>
      <c r="P2887" t="str">
        <f>_xlfn.XLOOKUP(Pipeline_tbl[[#This Row],[Rep_ID]],Dim_Reps!A:A,Dim_Reps!C:C)</f>
        <v>SDR / Inside Sales Rep</v>
      </c>
      <c r="Q2887" t="str">
        <f>_xlfn.XLOOKUP(Pipeline_tbl[[#This Row],[Rep_ID]],Dim_Reps!A:A,Dim_Reps!D:D)</f>
        <v>Inside Sales</v>
      </c>
      <c r="R2887" t="str">
        <f>_xlfn.XLOOKUP(Pipeline_tbl[[#This Row],[Rep_ID]],Dim_Reps!A:A,Dim_Reps!E:E)</f>
        <v>LATAM</v>
      </c>
      <c r="S2887" t="str">
        <f>_xlfn.XLOOKUP(Pipeline_tbl[[#This Row],[Created_Date]],Dim_Date!A:A,Dim_Date!H:H)</f>
        <v>Mar 2025</v>
      </c>
      <c r="T2887" t="str">
        <f>IF(Pipeline_tbl[[#This Row],[Closed_Date]]=0,"",(_xlfn.XLOOKUP(Pipeline_tbl[[#This Row],[Closed_Date]],Dim_Date!A:A,Dim_Date!H:H)))</f>
        <v>Mar 2025</v>
      </c>
      <c r="U2887">
        <f>IF(Pipeline_tbl[[#This Row],[Closed_Date]]=0,"",Pipeline_tbl[[#This Row],[Closed_Date]]-Pipeline_tbl[[#This Row],[Created_Date]])</f>
        <v>13</v>
      </c>
    </row>
    <row r="2888" spans="1:21" ht="15" customHeight="1" x14ac:dyDescent="0.2">
      <c r="A2888" t="s">
        <v>3194</v>
      </c>
      <c r="B2888" t="s">
        <v>233</v>
      </c>
      <c r="C2888" t="s">
        <v>54</v>
      </c>
      <c r="D2888" s="49">
        <v>45725</v>
      </c>
      <c r="E2888" s="49">
        <v>45727</v>
      </c>
      <c r="F2888" s="49">
        <v>45730</v>
      </c>
      <c r="G2888" s="49">
        <v>45735</v>
      </c>
      <c r="H2888" s="49">
        <v>45739</v>
      </c>
      <c r="I2888" s="49">
        <v>45741</v>
      </c>
      <c r="J2888" t="s">
        <v>47</v>
      </c>
      <c r="K2888" s="33">
        <v>7600</v>
      </c>
      <c r="M2888" t="str">
        <f>_xlfn.XLOOKUP(Pipeline_tbl[[#This Row],[Rep_ID]],Dim_Reps!A:A,Dim_Reps!K:K)</f>
        <v>MXN</v>
      </c>
      <c r="N2888" s="33">
        <f>(_xlfn.XLOOKUP(Pipeline_tbl[[#This Row],[Rate_Code_Generalized]],Lookups!A:A,Lookups!B:B))*Pipeline_tbl[[#This Row],[Pipeline_Amount_USD]]</f>
        <v>149968.52000000002</v>
      </c>
      <c r="O2888" t="str">
        <f>_xlfn.XLOOKUP(Pipeline_tbl[[#This Row],[Rep_ID]],Dim_Reps!A:A,Dim_Reps!B:B)</f>
        <v>Lucas Duarte</v>
      </c>
      <c r="P2888" t="str">
        <f>_xlfn.XLOOKUP(Pipeline_tbl[[#This Row],[Rep_ID]],Dim_Reps!A:A,Dim_Reps!C:C)</f>
        <v>SDR / Inside Sales Rep</v>
      </c>
      <c r="Q2888" t="str">
        <f>_xlfn.XLOOKUP(Pipeline_tbl[[#This Row],[Rep_ID]],Dim_Reps!A:A,Dim_Reps!D:D)</f>
        <v>Inside Sales</v>
      </c>
      <c r="R2888" t="str">
        <f>_xlfn.XLOOKUP(Pipeline_tbl[[#This Row],[Rep_ID]],Dim_Reps!A:A,Dim_Reps!E:E)</f>
        <v>LATAM</v>
      </c>
      <c r="S2888" t="str">
        <f>_xlfn.XLOOKUP(Pipeline_tbl[[#This Row],[Created_Date]],Dim_Date!A:A,Dim_Date!H:H)</f>
        <v>Mar 2025</v>
      </c>
      <c r="T2888" t="str">
        <f>IF(Pipeline_tbl[[#This Row],[Closed_Date]]=0,"",(_xlfn.XLOOKUP(Pipeline_tbl[[#This Row],[Closed_Date]],Dim_Date!A:A,Dim_Date!H:H)))</f>
        <v>Mar 2025</v>
      </c>
      <c r="U2888">
        <f>IF(Pipeline_tbl[[#This Row],[Closed_Date]]=0,"",Pipeline_tbl[[#This Row],[Closed_Date]]-Pipeline_tbl[[#This Row],[Created_Date]])</f>
        <v>16</v>
      </c>
    </row>
    <row r="2889" spans="1:21" ht="15" customHeight="1" x14ac:dyDescent="0.2">
      <c r="A2889" t="s">
        <v>3195</v>
      </c>
      <c r="B2889" t="s">
        <v>233</v>
      </c>
      <c r="C2889" t="s">
        <v>52</v>
      </c>
      <c r="D2889" s="49">
        <v>45724</v>
      </c>
      <c r="E2889" s="49">
        <v>45726</v>
      </c>
      <c r="F2889" s="49">
        <v>45729</v>
      </c>
      <c r="G2889" s="49">
        <v>45734</v>
      </c>
      <c r="H2889" s="49">
        <v>45738</v>
      </c>
      <c r="I2889" s="49">
        <v>45740</v>
      </c>
      <c r="J2889" t="s">
        <v>47</v>
      </c>
      <c r="K2889" s="33">
        <v>2100</v>
      </c>
      <c r="M2889" t="str">
        <f>_xlfn.XLOOKUP(Pipeline_tbl[[#This Row],[Rep_ID]],Dim_Reps!A:A,Dim_Reps!K:K)</f>
        <v>MXN</v>
      </c>
      <c r="N2889" s="33">
        <f>(_xlfn.XLOOKUP(Pipeline_tbl[[#This Row],[Rate_Code_Generalized]],Lookups!A:A,Lookups!B:B))*Pipeline_tbl[[#This Row],[Pipeline_Amount_USD]]</f>
        <v>41438.670000000006</v>
      </c>
      <c r="O2889" t="str">
        <f>_xlfn.XLOOKUP(Pipeline_tbl[[#This Row],[Rep_ID]],Dim_Reps!A:A,Dim_Reps!B:B)</f>
        <v>Lucas Duarte</v>
      </c>
      <c r="P2889" t="str">
        <f>_xlfn.XLOOKUP(Pipeline_tbl[[#This Row],[Rep_ID]],Dim_Reps!A:A,Dim_Reps!C:C)</f>
        <v>SDR / Inside Sales Rep</v>
      </c>
      <c r="Q2889" t="str">
        <f>_xlfn.XLOOKUP(Pipeline_tbl[[#This Row],[Rep_ID]],Dim_Reps!A:A,Dim_Reps!D:D)</f>
        <v>Inside Sales</v>
      </c>
      <c r="R2889" t="str">
        <f>_xlfn.XLOOKUP(Pipeline_tbl[[#This Row],[Rep_ID]],Dim_Reps!A:A,Dim_Reps!E:E)</f>
        <v>LATAM</v>
      </c>
      <c r="S2889" t="str">
        <f>_xlfn.XLOOKUP(Pipeline_tbl[[#This Row],[Created_Date]],Dim_Date!A:A,Dim_Date!H:H)</f>
        <v>Mar 2025</v>
      </c>
      <c r="T2889" t="str">
        <f>IF(Pipeline_tbl[[#This Row],[Closed_Date]]=0,"",(_xlfn.XLOOKUP(Pipeline_tbl[[#This Row],[Closed_Date]],Dim_Date!A:A,Dim_Date!H:H)))</f>
        <v>Mar 2025</v>
      </c>
      <c r="U2889">
        <f>IF(Pipeline_tbl[[#This Row],[Closed_Date]]=0,"",Pipeline_tbl[[#This Row],[Closed_Date]]-Pipeline_tbl[[#This Row],[Created_Date]])</f>
        <v>16</v>
      </c>
    </row>
    <row r="2890" spans="1:21" ht="15" customHeight="1" x14ac:dyDescent="0.2">
      <c r="A2890" t="s">
        <v>3196</v>
      </c>
      <c r="B2890" t="s">
        <v>233</v>
      </c>
      <c r="C2890" t="s">
        <v>52</v>
      </c>
      <c r="D2890" s="49">
        <v>45735</v>
      </c>
      <c r="E2890" s="49">
        <v>45736</v>
      </c>
      <c r="F2890" s="49">
        <v>45737</v>
      </c>
      <c r="I2890" s="49">
        <v>45743</v>
      </c>
      <c r="J2890" t="s">
        <v>49</v>
      </c>
      <c r="K2890" s="33">
        <v>3500</v>
      </c>
      <c r="L2890" t="s">
        <v>60</v>
      </c>
      <c r="M2890" t="str">
        <f>_xlfn.XLOOKUP(Pipeline_tbl[[#This Row],[Rep_ID]],Dim_Reps!A:A,Dim_Reps!K:K)</f>
        <v>MXN</v>
      </c>
      <c r="N2890" s="33">
        <f>(_xlfn.XLOOKUP(Pipeline_tbl[[#This Row],[Rate_Code_Generalized]],Lookups!A:A,Lookups!B:B))*Pipeline_tbl[[#This Row],[Pipeline_Amount_USD]]</f>
        <v>69064.45</v>
      </c>
      <c r="O2890" t="str">
        <f>_xlfn.XLOOKUP(Pipeline_tbl[[#This Row],[Rep_ID]],Dim_Reps!A:A,Dim_Reps!B:B)</f>
        <v>Lucas Duarte</v>
      </c>
      <c r="P2890" t="str">
        <f>_xlfn.XLOOKUP(Pipeline_tbl[[#This Row],[Rep_ID]],Dim_Reps!A:A,Dim_Reps!C:C)</f>
        <v>SDR / Inside Sales Rep</v>
      </c>
      <c r="Q2890" t="str">
        <f>_xlfn.XLOOKUP(Pipeline_tbl[[#This Row],[Rep_ID]],Dim_Reps!A:A,Dim_Reps!D:D)</f>
        <v>Inside Sales</v>
      </c>
      <c r="R2890" t="str">
        <f>_xlfn.XLOOKUP(Pipeline_tbl[[#This Row],[Rep_ID]],Dim_Reps!A:A,Dim_Reps!E:E)</f>
        <v>LATAM</v>
      </c>
      <c r="S2890" t="str">
        <f>_xlfn.XLOOKUP(Pipeline_tbl[[#This Row],[Created_Date]],Dim_Date!A:A,Dim_Date!H:H)</f>
        <v>Mar 2025</v>
      </c>
      <c r="T2890" t="str">
        <f>IF(Pipeline_tbl[[#This Row],[Closed_Date]]=0,"",(_xlfn.XLOOKUP(Pipeline_tbl[[#This Row],[Closed_Date]],Dim_Date!A:A,Dim_Date!H:H)))</f>
        <v>Mar 2025</v>
      </c>
      <c r="U2890">
        <f>IF(Pipeline_tbl[[#This Row],[Closed_Date]]=0,"",Pipeline_tbl[[#This Row],[Closed_Date]]-Pipeline_tbl[[#This Row],[Created_Date]])</f>
        <v>8</v>
      </c>
    </row>
    <row r="2891" spans="1:21" ht="15" customHeight="1" x14ac:dyDescent="0.2">
      <c r="A2891" t="s">
        <v>3197</v>
      </c>
      <c r="B2891" t="s">
        <v>233</v>
      </c>
      <c r="C2891" t="s">
        <v>52</v>
      </c>
      <c r="D2891" s="49">
        <v>45718</v>
      </c>
      <c r="E2891" s="49">
        <v>45720</v>
      </c>
      <c r="F2891" s="49">
        <v>45725</v>
      </c>
      <c r="G2891" s="49">
        <v>45731</v>
      </c>
      <c r="H2891" s="49">
        <v>45737</v>
      </c>
      <c r="I2891" s="49">
        <v>45740</v>
      </c>
      <c r="J2891" t="s">
        <v>47</v>
      </c>
      <c r="K2891" s="33">
        <v>2900</v>
      </c>
      <c r="M2891" t="str">
        <f>_xlfn.XLOOKUP(Pipeline_tbl[[#This Row],[Rep_ID]],Dim_Reps!A:A,Dim_Reps!K:K)</f>
        <v>MXN</v>
      </c>
      <c r="N2891" s="33">
        <f>(_xlfn.XLOOKUP(Pipeline_tbl[[#This Row],[Rate_Code_Generalized]],Lookups!A:A,Lookups!B:B))*Pipeline_tbl[[#This Row],[Pipeline_Amount_USD]]</f>
        <v>57224.83</v>
      </c>
      <c r="O2891" t="str">
        <f>_xlfn.XLOOKUP(Pipeline_tbl[[#This Row],[Rep_ID]],Dim_Reps!A:A,Dim_Reps!B:B)</f>
        <v>Lucas Duarte</v>
      </c>
      <c r="P2891" t="str">
        <f>_xlfn.XLOOKUP(Pipeline_tbl[[#This Row],[Rep_ID]],Dim_Reps!A:A,Dim_Reps!C:C)</f>
        <v>SDR / Inside Sales Rep</v>
      </c>
      <c r="Q2891" t="str">
        <f>_xlfn.XLOOKUP(Pipeline_tbl[[#This Row],[Rep_ID]],Dim_Reps!A:A,Dim_Reps!D:D)</f>
        <v>Inside Sales</v>
      </c>
      <c r="R2891" t="str">
        <f>_xlfn.XLOOKUP(Pipeline_tbl[[#This Row],[Rep_ID]],Dim_Reps!A:A,Dim_Reps!E:E)</f>
        <v>LATAM</v>
      </c>
      <c r="S2891" t="str">
        <f>_xlfn.XLOOKUP(Pipeline_tbl[[#This Row],[Created_Date]],Dim_Date!A:A,Dim_Date!H:H)</f>
        <v>Mar 2025</v>
      </c>
      <c r="T2891" t="str">
        <f>IF(Pipeline_tbl[[#This Row],[Closed_Date]]=0,"",(_xlfn.XLOOKUP(Pipeline_tbl[[#This Row],[Closed_Date]],Dim_Date!A:A,Dim_Date!H:H)))</f>
        <v>Mar 2025</v>
      </c>
      <c r="U2891">
        <f>IF(Pipeline_tbl[[#This Row],[Closed_Date]]=0,"",Pipeline_tbl[[#This Row],[Closed_Date]]-Pipeline_tbl[[#This Row],[Created_Date]])</f>
        <v>22</v>
      </c>
    </row>
    <row r="2892" spans="1:21" ht="15" customHeight="1" x14ac:dyDescent="0.2">
      <c r="A2892" t="s">
        <v>3198</v>
      </c>
      <c r="B2892" t="s">
        <v>233</v>
      </c>
      <c r="C2892" t="s">
        <v>55</v>
      </c>
      <c r="D2892" s="49">
        <v>45721</v>
      </c>
      <c r="E2892" s="49">
        <v>45723</v>
      </c>
      <c r="F2892" s="49">
        <v>45728</v>
      </c>
      <c r="G2892" s="49">
        <v>45734</v>
      </c>
      <c r="H2892" s="49">
        <v>45740</v>
      </c>
      <c r="I2892" s="49">
        <v>45743</v>
      </c>
      <c r="J2892" t="s">
        <v>47</v>
      </c>
      <c r="K2892" s="33">
        <v>3500</v>
      </c>
      <c r="M2892" t="str">
        <f>_xlfn.XLOOKUP(Pipeline_tbl[[#This Row],[Rep_ID]],Dim_Reps!A:A,Dim_Reps!K:K)</f>
        <v>MXN</v>
      </c>
      <c r="N2892" s="33">
        <f>(_xlfn.XLOOKUP(Pipeline_tbl[[#This Row],[Rate_Code_Generalized]],Lookups!A:A,Lookups!B:B))*Pipeline_tbl[[#This Row],[Pipeline_Amount_USD]]</f>
        <v>69064.45</v>
      </c>
      <c r="O2892" t="str">
        <f>_xlfn.XLOOKUP(Pipeline_tbl[[#This Row],[Rep_ID]],Dim_Reps!A:A,Dim_Reps!B:B)</f>
        <v>Lucas Duarte</v>
      </c>
      <c r="P2892" t="str">
        <f>_xlfn.XLOOKUP(Pipeline_tbl[[#This Row],[Rep_ID]],Dim_Reps!A:A,Dim_Reps!C:C)</f>
        <v>SDR / Inside Sales Rep</v>
      </c>
      <c r="Q2892" t="str">
        <f>_xlfn.XLOOKUP(Pipeline_tbl[[#This Row],[Rep_ID]],Dim_Reps!A:A,Dim_Reps!D:D)</f>
        <v>Inside Sales</v>
      </c>
      <c r="R2892" t="str">
        <f>_xlfn.XLOOKUP(Pipeline_tbl[[#This Row],[Rep_ID]],Dim_Reps!A:A,Dim_Reps!E:E)</f>
        <v>LATAM</v>
      </c>
      <c r="S2892" t="str">
        <f>_xlfn.XLOOKUP(Pipeline_tbl[[#This Row],[Created_Date]],Dim_Date!A:A,Dim_Date!H:H)</f>
        <v>Mar 2025</v>
      </c>
      <c r="T2892" t="str">
        <f>IF(Pipeline_tbl[[#This Row],[Closed_Date]]=0,"",(_xlfn.XLOOKUP(Pipeline_tbl[[#This Row],[Closed_Date]],Dim_Date!A:A,Dim_Date!H:H)))</f>
        <v>Mar 2025</v>
      </c>
      <c r="U2892">
        <f>IF(Pipeline_tbl[[#This Row],[Closed_Date]]=0,"",Pipeline_tbl[[#This Row],[Closed_Date]]-Pipeline_tbl[[#This Row],[Created_Date]])</f>
        <v>22</v>
      </c>
    </row>
    <row r="2893" spans="1:21" ht="15" customHeight="1" x14ac:dyDescent="0.2">
      <c r="A2893" t="s">
        <v>3199</v>
      </c>
      <c r="B2893" t="s">
        <v>235</v>
      </c>
      <c r="C2893" t="s">
        <v>55</v>
      </c>
      <c r="D2893" s="49">
        <v>45722</v>
      </c>
      <c r="E2893" s="49">
        <v>45724</v>
      </c>
      <c r="F2893" s="49">
        <v>45730</v>
      </c>
      <c r="I2893" s="49">
        <v>45747</v>
      </c>
      <c r="J2893" t="s">
        <v>49</v>
      </c>
      <c r="K2893" s="33">
        <v>4200</v>
      </c>
      <c r="L2893" t="s">
        <v>62</v>
      </c>
      <c r="M2893" t="str">
        <f>_xlfn.XLOOKUP(Pipeline_tbl[[#This Row],[Rep_ID]],Dim_Reps!A:A,Dim_Reps!K:K)</f>
        <v>MXN</v>
      </c>
      <c r="N2893" s="33">
        <f>(_xlfn.XLOOKUP(Pipeline_tbl[[#This Row],[Rate_Code_Generalized]],Lookups!A:A,Lookups!B:B))*Pipeline_tbl[[#This Row],[Pipeline_Amount_USD]]</f>
        <v>82877.340000000011</v>
      </c>
      <c r="O2893" t="str">
        <f>_xlfn.XLOOKUP(Pipeline_tbl[[#This Row],[Rep_ID]],Dim_Reps!A:A,Dim_Reps!B:B)</f>
        <v>Milo Castro</v>
      </c>
      <c r="P2893" t="str">
        <f>_xlfn.XLOOKUP(Pipeline_tbl[[#This Row],[Rep_ID]],Dim_Reps!A:A,Dim_Reps!C:C)</f>
        <v>SDR / Inside Sales Rep</v>
      </c>
      <c r="Q2893" t="str">
        <f>_xlfn.XLOOKUP(Pipeline_tbl[[#This Row],[Rep_ID]],Dim_Reps!A:A,Dim_Reps!D:D)</f>
        <v>Inside Sales</v>
      </c>
      <c r="R2893" t="str">
        <f>_xlfn.XLOOKUP(Pipeline_tbl[[#This Row],[Rep_ID]],Dim_Reps!A:A,Dim_Reps!E:E)</f>
        <v>LATAM</v>
      </c>
      <c r="S2893" t="str">
        <f>_xlfn.XLOOKUP(Pipeline_tbl[[#This Row],[Created_Date]],Dim_Date!A:A,Dim_Date!H:H)</f>
        <v>Mar 2025</v>
      </c>
      <c r="T2893" t="str">
        <f>IF(Pipeline_tbl[[#This Row],[Closed_Date]]=0,"",(_xlfn.XLOOKUP(Pipeline_tbl[[#This Row],[Closed_Date]],Dim_Date!A:A,Dim_Date!H:H)))</f>
        <v>Mar 2025</v>
      </c>
      <c r="U2893">
        <f>IF(Pipeline_tbl[[#This Row],[Closed_Date]]=0,"",Pipeline_tbl[[#This Row],[Closed_Date]]-Pipeline_tbl[[#This Row],[Created_Date]])</f>
        <v>25</v>
      </c>
    </row>
    <row r="2894" spans="1:21" ht="15" customHeight="1" x14ac:dyDescent="0.2">
      <c r="A2894" t="s">
        <v>3200</v>
      </c>
      <c r="B2894" t="s">
        <v>235</v>
      </c>
      <c r="C2894" t="s">
        <v>54</v>
      </c>
      <c r="D2894" s="49">
        <v>45727</v>
      </c>
      <c r="E2894" s="49">
        <v>45728</v>
      </c>
      <c r="F2894" s="49">
        <v>45730</v>
      </c>
      <c r="G2894" s="49">
        <v>45734</v>
      </c>
      <c r="H2894" s="49">
        <v>45736</v>
      </c>
      <c r="I2894" s="49">
        <v>45738</v>
      </c>
      <c r="J2894" t="s">
        <v>47</v>
      </c>
      <c r="K2894" s="33">
        <v>3200</v>
      </c>
      <c r="M2894" t="str">
        <f>_xlfn.XLOOKUP(Pipeline_tbl[[#This Row],[Rep_ID]],Dim_Reps!A:A,Dim_Reps!K:K)</f>
        <v>MXN</v>
      </c>
      <c r="N2894" s="33">
        <f>(_xlfn.XLOOKUP(Pipeline_tbl[[#This Row],[Rate_Code_Generalized]],Lookups!A:A,Lookups!B:B))*Pipeline_tbl[[#This Row],[Pipeline_Amount_USD]]</f>
        <v>63144.640000000007</v>
      </c>
      <c r="O2894" t="str">
        <f>_xlfn.XLOOKUP(Pipeline_tbl[[#This Row],[Rep_ID]],Dim_Reps!A:A,Dim_Reps!B:B)</f>
        <v>Milo Castro</v>
      </c>
      <c r="P2894" t="str">
        <f>_xlfn.XLOOKUP(Pipeline_tbl[[#This Row],[Rep_ID]],Dim_Reps!A:A,Dim_Reps!C:C)</f>
        <v>SDR / Inside Sales Rep</v>
      </c>
      <c r="Q2894" t="str">
        <f>_xlfn.XLOOKUP(Pipeline_tbl[[#This Row],[Rep_ID]],Dim_Reps!A:A,Dim_Reps!D:D)</f>
        <v>Inside Sales</v>
      </c>
      <c r="R2894" t="str">
        <f>_xlfn.XLOOKUP(Pipeline_tbl[[#This Row],[Rep_ID]],Dim_Reps!A:A,Dim_Reps!E:E)</f>
        <v>LATAM</v>
      </c>
      <c r="S2894" t="str">
        <f>_xlfn.XLOOKUP(Pipeline_tbl[[#This Row],[Created_Date]],Dim_Date!A:A,Dim_Date!H:H)</f>
        <v>Mar 2025</v>
      </c>
      <c r="T2894" t="str">
        <f>IF(Pipeline_tbl[[#This Row],[Closed_Date]]=0,"",(_xlfn.XLOOKUP(Pipeline_tbl[[#This Row],[Closed_Date]],Dim_Date!A:A,Dim_Date!H:H)))</f>
        <v>Mar 2025</v>
      </c>
      <c r="U2894">
        <f>IF(Pipeline_tbl[[#This Row],[Closed_Date]]=0,"",Pipeline_tbl[[#This Row],[Closed_Date]]-Pipeline_tbl[[#This Row],[Created_Date]])</f>
        <v>11</v>
      </c>
    </row>
    <row r="2895" spans="1:21" ht="15" customHeight="1" x14ac:dyDescent="0.2">
      <c r="A2895" t="s">
        <v>3201</v>
      </c>
      <c r="B2895" t="s">
        <v>235</v>
      </c>
      <c r="C2895" t="s">
        <v>53</v>
      </c>
      <c r="D2895" s="49">
        <v>45719</v>
      </c>
      <c r="E2895" s="49">
        <v>45721</v>
      </c>
      <c r="F2895" s="49">
        <v>45725</v>
      </c>
      <c r="G2895" s="49">
        <v>45730</v>
      </c>
      <c r="H2895" s="49">
        <v>45735</v>
      </c>
      <c r="I2895" s="49">
        <v>45738</v>
      </c>
      <c r="J2895" t="s">
        <v>49</v>
      </c>
      <c r="K2895" s="33">
        <v>3500</v>
      </c>
      <c r="L2895" t="s">
        <v>61</v>
      </c>
      <c r="M2895" t="str">
        <f>_xlfn.XLOOKUP(Pipeline_tbl[[#This Row],[Rep_ID]],Dim_Reps!A:A,Dim_Reps!K:K)</f>
        <v>MXN</v>
      </c>
      <c r="N2895" s="33">
        <f>(_xlfn.XLOOKUP(Pipeline_tbl[[#This Row],[Rate_Code_Generalized]],Lookups!A:A,Lookups!B:B))*Pipeline_tbl[[#This Row],[Pipeline_Amount_USD]]</f>
        <v>69064.45</v>
      </c>
      <c r="O2895" t="str">
        <f>_xlfn.XLOOKUP(Pipeline_tbl[[#This Row],[Rep_ID]],Dim_Reps!A:A,Dim_Reps!B:B)</f>
        <v>Milo Castro</v>
      </c>
      <c r="P2895" t="str">
        <f>_xlfn.XLOOKUP(Pipeline_tbl[[#This Row],[Rep_ID]],Dim_Reps!A:A,Dim_Reps!C:C)</f>
        <v>SDR / Inside Sales Rep</v>
      </c>
      <c r="Q2895" t="str">
        <f>_xlfn.XLOOKUP(Pipeline_tbl[[#This Row],[Rep_ID]],Dim_Reps!A:A,Dim_Reps!D:D)</f>
        <v>Inside Sales</v>
      </c>
      <c r="R2895" t="str">
        <f>_xlfn.XLOOKUP(Pipeline_tbl[[#This Row],[Rep_ID]],Dim_Reps!A:A,Dim_Reps!E:E)</f>
        <v>LATAM</v>
      </c>
      <c r="S2895" t="str">
        <f>_xlfn.XLOOKUP(Pipeline_tbl[[#This Row],[Created_Date]],Dim_Date!A:A,Dim_Date!H:H)</f>
        <v>Mar 2025</v>
      </c>
      <c r="T2895" t="str">
        <f>IF(Pipeline_tbl[[#This Row],[Closed_Date]]=0,"",(_xlfn.XLOOKUP(Pipeline_tbl[[#This Row],[Closed_Date]],Dim_Date!A:A,Dim_Date!H:H)))</f>
        <v>Mar 2025</v>
      </c>
      <c r="U2895">
        <f>IF(Pipeline_tbl[[#This Row],[Closed_Date]]=0,"",Pipeline_tbl[[#This Row],[Closed_Date]]-Pipeline_tbl[[#This Row],[Created_Date]])</f>
        <v>19</v>
      </c>
    </row>
    <row r="2896" spans="1:21" ht="15" customHeight="1" x14ac:dyDescent="0.2">
      <c r="A2896" t="s">
        <v>3202</v>
      </c>
      <c r="B2896" t="s">
        <v>235</v>
      </c>
      <c r="C2896" t="s">
        <v>53</v>
      </c>
      <c r="D2896" s="49">
        <v>45724</v>
      </c>
      <c r="E2896" s="49">
        <v>45726</v>
      </c>
      <c r="F2896" s="49">
        <v>45731</v>
      </c>
      <c r="G2896" s="49">
        <v>45738</v>
      </c>
      <c r="H2896" s="49">
        <v>45744</v>
      </c>
      <c r="I2896" s="49">
        <v>45747</v>
      </c>
      <c r="J2896" t="s">
        <v>49</v>
      </c>
      <c r="K2896" s="33">
        <v>6400</v>
      </c>
      <c r="L2896" t="s">
        <v>60</v>
      </c>
      <c r="M2896" t="str">
        <f>_xlfn.XLOOKUP(Pipeline_tbl[[#This Row],[Rep_ID]],Dim_Reps!A:A,Dim_Reps!K:K)</f>
        <v>MXN</v>
      </c>
      <c r="N2896" s="33">
        <f>(_xlfn.XLOOKUP(Pipeline_tbl[[#This Row],[Rate_Code_Generalized]],Lookups!A:A,Lookups!B:B))*Pipeline_tbl[[#This Row],[Pipeline_Amount_USD]]</f>
        <v>126289.28000000001</v>
      </c>
      <c r="O2896" t="str">
        <f>_xlfn.XLOOKUP(Pipeline_tbl[[#This Row],[Rep_ID]],Dim_Reps!A:A,Dim_Reps!B:B)</f>
        <v>Milo Castro</v>
      </c>
      <c r="P2896" t="str">
        <f>_xlfn.XLOOKUP(Pipeline_tbl[[#This Row],[Rep_ID]],Dim_Reps!A:A,Dim_Reps!C:C)</f>
        <v>SDR / Inside Sales Rep</v>
      </c>
      <c r="Q2896" t="str">
        <f>_xlfn.XLOOKUP(Pipeline_tbl[[#This Row],[Rep_ID]],Dim_Reps!A:A,Dim_Reps!D:D)</f>
        <v>Inside Sales</v>
      </c>
      <c r="R2896" t="str">
        <f>_xlfn.XLOOKUP(Pipeline_tbl[[#This Row],[Rep_ID]],Dim_Reps!A:A,Dim_Reps!E:E)</f>
        <v>LATAM</v>
      </c>
      <c r="S2896" t="str">
        <f>_xlfn.XLOOKUP(Pipeline_tbl[[#This Row],[Created_Date]],Dim_Date!A:A,Dim_Date!H:H)</f>
        <v>Mar 2025</v>
      </c>
      <c r="T2896" t="str">
        <f>IF(Pipeline_tbl[[#This Row],[Closed_Date]]=0,"",(_xlfn.XLOOKUP(Pipeline_tbl[[#This Row],[Closed_Date]],Dim_Date!A:A,Dim_Date!H:H)))</f>
        <v>Mar 2025</v>
      </c>
      <c r="U2896">
        <f>IF(Pipeline_tbl[[#This Row],[Closed_Date]]=0,"",Pipeline_tbl[[#This Row],[Closed_Date]]-Pipeline_tbl[[#This Row],[Created_Date]])</f>
        <v>23</v>
      </c>
    </row>
    <row r="2897" spans="1:21" ht="15" customHeight="1" x14ac:dyDescent="0.2">
      <c r="A2897" t="s">
        <v>3203</v>
      </c>
      <c r="B2897" t="s">
        <v>237</v>
      </c>
      <c r="C2897" t="s">
        <v>55</v>
      </c>
      <c r="D2897" s="49">
        <v>45720</v>
      </c>
      <c r="E2897" s="49">
        <v>45721</v>
      </c>
      <c r="F2897" s="49">
        <v>45724</v>
      </c>
      <c r="I2897" s="49">
        <v>45733</v>
      </c>
      <c r="J2897" t="s">
        <v>49</v>
      </c>
      <c r="K2897" s="33">
        <v>3400</v>
      </c>
      <c r="L2897" t="s">
        <v>63</v>
      </c>
      <c r="M2897" t="str">
        <f>_xlfn.XLOOKUP(Pipeline_tbl[[#This Row],[Rep_ID]],Dim_Reps!A:A,Dim_Reps!K:K)</f>
        <v>EUR</v>
      </c>
      <c r="N2897" s="33">
        <f>(_xlfn.XLOOKUP(Pipeline_tbl[[#This Row],[Rate_Code_Generalized]],Lookups!A:A,Lookups!B:B))*Pipeline_tbl[[#This Row],[Pipeline_Amount_USD]]</f>
        <v>3400</v>
      </c>
      <c r="O2897" t="str">
        <f>_xlfn.XLOOKUP(Pipeline_tbl[[#This Row],[Rep_ID]],Dim_Reps!A:A,Dim_Reps!B:B)</f>
        <v>Hugo Santos</v>
      </c>
      <c r="P2897" t="str">
        <f>_xlfn.XLOOKUP(Pipeline_tbl[[#This Row],[Rep_ID]],Dim_Reps!A:A,Dim_Reps!C:C)</f>
        <v>SDR / Inside Sales Rep</v>
      </c>
      <c r="Q2897" t="str">
        <f>_xlfn.XLOOKUP(Pipeline_tbl[[#This Row],[Rep_ID]],Dim_Reps!A:A,Dim_Reps!D:D)</f>
        <v>Inside Sales</v>
      </c>
      <c r="R2897" t="str">
        <f>_xlfn.XLOOKUP(Pipeline_tbl[[#This Row],[Rep_ID]],Dim_Reps!A:A,Dim_Reps!E:E)</f>
        <v>EMEA</v>
      </c>
      <c r="S2897" t="str">
        <f>_xlfn.XLOOKUP(Pipeline_tbl[[#This Row],[Created_Date]],Dim_Date!A:A,Dim_Date!H:H)</f>
        <v>Mar 2025</v>
      </c>
      <c r="T2897" t="str">
        <f>IF(Pipeline_tbl[[#This Row],[Closed_Date]]=0,"",(_xlfn.XLOOKUP(Pipeline_tbl[[#This Row],[Closed_Date]],Dim_Date!A:A,Dim_Date!H:H)))</f>
        <v>Mar 2025</v>
      </c>
      <c r="U2897">
        <f>IF(Pipeline_tbl[[#This Row],[Closed_Date]]=0,"",Pipeline_tbl[[#This Row],[Closed_Date]]-Pipeline_tbl[[#This Row],[Created_Date]])</f>
        <v>13</v>
      </c>
    </row>
    <row r="2898" spans="1:21" ht="15" customHeight="1" x14ac:dyDescent="0.2">
      <c r="A2898" t="s">
        <v>3204</v>
      </c>
      <c r="B2898" t="s">
        <v>237</v>
      </c>
      <c r="C2898" t="s">
        <v>53</v>
      </c>
      <c r="D2898" s="49">
        <v>45729</v>
      </c>
      <c r="E2898" s="49">
        <v>45730</v>
      </c>
      <c r="F2898" s="49">
        <v>45733</v>
      </c>
      <c r="G2898" s="49">
        <v>45737</v>
      </c>
      <c r="H2898" s="49">
        <v>45740</v>
      </c>
      <c r="I2898" s="49">
        <v>45742</v>
      </c>
      <c r="J2898" t="s">
        <v>47</v>
      </c>
      <c r="K2898" s="33">
        <v>2400</v>
      </c>
      <c r="M2898" t="str">
        <f>_xlfn.XLOOKUP(Pipeline_tbl[[#This Row],[Rep_ID]],Dim_Reps!A:A,Dim_Reps!K:K)</f>
        <v>EUR</v>
      </c>
      <c r="N2898" s="33">
        <f>(_xlfn.XLOOKUP(Pipeline_tbl[[#This Row],[Rate_Code_Generalized]],Lookups!A:A,Lookups!B:B))*Pipeline_tbl[[#This Row],[Pipeline_Amount_USD]]</f>
        <v>2400</v>
      </c>
      <c r="O2898" t="str">
        <f>_xlfn.XLOOKUP(Pipeline_tbl[[#This Row],[Rep_ID]],Dim_Reps!A:A,Dim_Reps!B:B)</f>
        <v>Hugo Santos</v>
      </c>
      <c r="P2898" t="str">
        <f>_xlfn.XLOOKUP(Pipeline_tbl[[#This Row],[Rep_ID]],Dim_Reps!A:A,Dim_Reps!C:C)</f>
        <v>SDR / Inside Sales Rep</v>
      </c>
      <c r="Q2898" t="str">
        <f>_xlfn.XLOOKUP(Pipeline_tbl[[#This Row],[Rep_ID]],Dim_Reps!A:A,Dim_Reps!D:D)</f>
        <v>Inside Sales</v>
      </c>
      <c r="R2898" t="str">
        <f>_xlfn.XLOOKUP(Pipeline_tbl[[#This Row],[Rep_ID]],Dim_Reps!A:A,Dim_Reps!E:E)</f>
        <v>EMEA</v>
      </c>
      <c r="S2898" t="str">
        <f>_xlfn.XLOOKUP(Pipeline_tbl[[#This Row],[Created_Date]],Dim_Date!A:A,Dim_Date!H:H)</f>
        <v>Mar 2025</v>
      </c>
      <c r="T2898" t="str">
        <f>IF(Pipeline_tbl[[#This Row],[Closed_Date]]=0,"",(_xlfn.XLOOKUP(Pipeline_tbl[[#This Row],[Closed_Date]],Dim_Date!A:A,Dim_Date!H:H)))</f>
        <v>Mar 2025</v>
      </c>
      <c r="U2898">
        <f>IF(Pipeline_tbl[[#This Row],[Closed_Date]]=0,"",Pipeline_tbl[[#This Row],[Closed_Date]]-Pipeline_tbl[[#This Row],[Created_Date]])</f>
        <v>13</v>
      </c>
    </row>
    <row r="2899" spans="1:21" ht="15" customHeight="1" x14ac:dyDescent="0.2">
      <c r="A2899" t="s">
        <v>3205</v>
      </c>
      <c r="B2899" t="s">
        <v>237</v>
      </c>
      <c r="C2899" t="s">
        <v>53</v>
      </c>
      <c r="D2899" s="49">
        <v>45729</v>
      </c>
      <c r="E2899" s="49">
        <v>45731</v>
      </c>
      <c r="F2899" s="49">
        <v>45734</v>
      </c>
      <c r="G2899" s="49">
        <v>45739</v>
      </c>
      <c r="H2899" s="49">
        <v>45743</v>
      </c>
      <c r="I2899" s="49">
        <v>45745</v>
      </c>
      <c r="J2899" t="s">
        <v>47</v>
      </c>
      <c r="K2899" s="33">
        <v>3400</v>
      </c>
      <c r="M2899" t="str">
        <f>_xlfn.XLOOKUP(Pipeline_tbl[[#This Row],[Rep_ID]],Dim_Reps!A:A,Dim_Reps!K:K)</f>
        <v>EUR</v>
      </c>
      <c r="N2899" s="33">
        <f>(_xlfn.XLOOKUP(Pipeline_tbl[[#This Row],[Rate_Code_Generalized]],Lookups!A:A,Lookups!B:B))*Pipeline_tbl[[#This Row],[Pipeline_Amount_USD]]</f>
        <v>3400</v>
      </c>
      <c r="O2899" t="str">
        <f>_xlfn.XLOOKUP(Pipeline_tbl[[#This Row],[Rep_ID]],Dim_Reps!A:A,Dim_Reps!B:B)</f>
        <v>Hugo Santos</v>
      </c>
      <c r="P2899" t="str">
        <f>_xlfn.XLOOKUP(Pipeline_tbl[[#This Row],[Rep_ID]],Dim_Reps!A:A,Dim_Reps!C:C)</f>
        <v>SDR / Inside Sales Rep</v>
      </c>
      <c r="Q2899" t="str">
        <f>_xlfn.XLOOKUP(Pipeline_tbl[[#This Row],[Rep_ID]],Dim_Reps!A:A,Dim_Reps!D:D)</f>
        <v>Inside Sales</v>
      </c>
      <c r="R2899" t="str">
        <f>_xlfn.XLOOKUP(Pipeline_tbl[[#This Row],[Rep_ID]],Dim_Reps!A:A,Dim_Reps!E:E)</f>
        <v>EMEA</v>
      </c>
      <c r="S2899" t="str">
        <f>_xlfn.XLOOKUP(Pipeline_tbl[[#This Row],[Created_Date]],Dim_Date!A:A,Dim_Date!H:H)</f>
        <v>Mar 2025</v>
      </c>
      <c r="T2899" t="str">
        <f>IF(Pipeline_tbl[[#This Row],[Closed_Date]]=0,"",(_xlfn.XLOOKUP(Pipeline_tbl[[#This Row],[Closed_Date]],Dim_Date!A:A,Dim_Date!H:H)))</f>
        <v>Mar 2025</v>
      </c>
      <c r="U2899">
        <f>IF(Pipeline_tbl[[#This Row],[Closed_Date]]=0,"",Pipeline_tbl[[#This Row],[Closed_Date]]-Pipeline_tbl[[#This Row],[Created_Date]])</f>
        <v>16</v>
      </c>
    </row>
    <row r="2900" spans="1:21" ht="15" customHeight="1" x14ac:dyDescent="0.2">
      <c r="A2900" t="s">
        <v>3206</v>
      </c>
      <c r="B2900" t="s">
        <v>271</v>
      </c>
      <c r="C2900" t="s">
        <v>52</v>
      </c>
      <c r="D2900" s="49">
        <v>45717</v>
      </c>
      <c r="E2900" s="49">
        <v>45719</v>
      </c>
      <c r="F2900" s="49">
        <v>45723</v>
      </c>
      <c r="G2900" s="49">
        <v>45730</v>
      </c>
      <c r="H2900" s="49">
        <v>45735</v>
      </c>
      <c r="I2900" s="49">
        <v>45738</v>
      </c>
      <c r="J2900" t="s">
        <v>47</v>
      </c>
      <c r="K2900" s="33">
        <v>8900</v>
      </c>
      <c r="M2900" t="str">
        <f>_xlfn.XLOOKUP(Pipeline_tbl[[#This Row],[Rep_ID]],Dim_Reps!A:A,Dim_Reps!K:K)</f>
        <v>EUR</v>
      </c>
      <c r="N2900" s="33">
        <f>(_xlfn.XLOOKUP(Pipeline_tbl[[#This Row],[Rate_Code_Generalized]],Lookups!A:A,Lookups!B:B))*Pipeline_tbl[[#This Row],[Pipeline_Amount_USD]]</f>
        <v>8900</v>
      </c>
      <c r="O2900" t="str">
        <f>_xlfn.XLOOKUP(Pipeline_tbl[[#This Row],[Rep_ID]],Dim_Reps!A:A,Dim_Reps!B:B)</f>
        <v>Ivy Adler</v>
      </c>
      <c r="P2900" t="str">
        <f>_xlfn.XLOOKUP(Pipeline_tbl[[#This Row],[Rep_ID]],Dim_Reps!A:A,Dim_Reps!C:C)</f>
        <v>Mid-Market AE</v>
      </c>
      <c r="Q2900" t="str">
        <f>_xlfn.XLOOKUP(Pipeline_tbl[[#This Row],[Rep_ID]],Dim_Reps!A:A,Dim_Reps!D:D)</f>
        <v>Mid-Market</v>
      </c>
      <c r="R2900" t="str">
        <f>_xlfn.XLOOKUP(Pipeline_tbl[[#This Row],[Rep_ID]],Dim_Reps!A:A,Dim_Reps!E:E)</f>
        <v>APAC</v>
      </c>
      <c r="S2900" t="str">
        <f>_xlfn.XLOOKUP(Pipeline_tbl[[#This Row],[Created_Date]],Dim_Date!A:A,Dim_Date!H:H)</f>
        <v>Mar 2025</v>
      </c>
      <c r="T2900" t="str">
        <f>IF(Pipeline_tbl[[#This Row],[Closed_Date]]=0,"",(_xlfn.XLOOKUP(Pipeline_tbl[[#This Row],[Closed_Date]],Dim_Date!A:A,Dim_Date!H:H)))</f>
        <v>Mar 2025</v>
      </c>
      <c r="U2900">
        <f>IF(Pipeline_tbl[[#This Row],[Closed_Date]]=0,"",Pipeline_tbl[[#This Row],[Closed_Date]]-Pipeline_tbl[[#This Row],[Created_Date]])</f>
        <v>21</v>
      </c>
    </row>
    <row r="2901" spans="1:21" ht="15" customHeight="1" x14ac:dyDescent="0.2">
      <c r="A2901" t="s">
        <v>3207</v>
      </c>
      <c r="B2901" t="s">
        <v>271</v>
      </c>
      <c r="C2901" t="s">
        <v>55</v>
      </c>
      <c r="D2901" s="49">
        <v>45717</v>
      </c>
      <c r="E2901" s="49">
        <v>45719</v>
      </c>
      <c r="F2901" s="49">
        <v>45723</v>
      </c>
      <c r="G2901" s="49">
        <v>45729</v>
      </c>
      <c r="I2901" s="49">
        <v>45737</v>
      </c>
      <c r="J2901" t="s">
        <v>49</v>
      </c>
      <c r="K2901" s="33">
        <v>9500</v>
      </c>
      <c r="L2901" t="s">
        <v>62</v>
      </c>
      <c r="M2901" t="str">
        <f>_xlfn.XLOOKUP(Pipeline_tbl[[#This Row],[Rep_ID]],Dim_Reps!A:A,Dim_Reps!K:K)</f>
        <v>EUR</v>
      </c>
      <c r="N2901" s="33">
        <f>(_xlfn.XLOOKUP(Pipeline_tbl[[#This Row],[Rate_Code_Generalized]],Lookups!A:A,Lookups!B:B))*Pipeline_tbl[[#This Row],[Pipeline_Amount_USD]]</f>
        <v>9500</v>
      </c>
      <c r="O2901" t="str">
        <f>_xlfn.XLOOKUP(Pipeline_tbl[[#This Row],[Rep_ID]],Dim_Reps!A:A,Dim_Reps!B:B)</f>
        <v>Ivy Adler</v>
      </c>
      <c r="P2901" t="str">
        <f>_xlfn.XLOOKUP(Pipeline_tbl[[#This Row],[Rep_ID]],Dim_Reps!A:A,Dim_Reps!C:C)</f>
        <v>Mid-Market AE</v>
      </c>
      <c r="Q2901" t="str">
        <f>_xlfn.XLOOKUP(Pipeline_tbl[[#This Row],[Rep_ID]],Dim_Reps!A:A,Dim_Reps!D:D)</f>
        <v>Mid-Market</v>
      </c>
      <c r="R2901" t="str">
        <f>_xlfn.XLOOKUP(Pipeline_tbl[[#This Row],[Rep_ID]],Dim_Reps!A:A,Dim_Reps!E:E)</f>
        <v>APAC</v>
      </c>
      <c r="S2901" t="str">
        <f>_xlfn.XLOOKUP(Pipeline_tbl[[#This Row],[Created_Date]],Dim_Date!A:A,Dim_Date!H:H)</f>
        <v>Mar 2025</v>
      </c>
      <c r="T2901" t="str">
        <f>IF(Pipeline_tbl[[#This Row],[Closed_Date]]=0,"",(_xlfn.XLOOKUP(Pipeline_tbl[[#This Row],[Closed_Date]],Dim_Date!A:A,Dim_Date!H:H)))</f>
        <v>Mar 2025</v>
      </c>
      <c r="U2901">
        <f>IF(Pipeline_tbl[[#This Row],[Closed_Date]]=0,"",Pipeline_tbl[[#This Row],[Closed_Date]]-Pipeline_tbl[[#This Row],[Created_Date]])</f>
        <v>20</v>
      </c>
    </row>
    <row r="2902" spans="1:21" ht="15" customHeight="1" x14ac:dyDescent="0.2">
      <c r="A2902" t="s">
        <v>3208</v>
      </c>
      <c r="B2902" t="s">
        <v>241</v>
      </c>
      <c r="C2902" t="s">
        <v>52</v>
      </c>
      <c r="D2902" s="49">
        <v>45723</v>
      </c>
      <c r="E2902" s="49">
        <v>45725</v>
      </c>
      <c r="F2902" s="49">
        <v>45730</v>
      </c>
      <c r="G2902" s="49">
        <v>45736</v>
      </c>
      <c r="H2902" s="49">
        <v>45742</v>
      </c>
      <c r="I2902" s="49">
        <v>45745</v>
      </c>
      <c r="J2902" t="s">
        <v>47</v>
      </c>
      <c r="K2902" s="33">
        <v>3900</v>
      </c>
      <c r="M2902" t="str">
        <f>_xlfn.XLOOKUP(Pipeline_tbl[[#This Row],[Rep_ID]],Dim_Reps!A:A,Dim_Reps!K:K)</f>
        <v>EUR</v>
      </c>
      <c r="N2902" s="33">
        <f>(_xlfn.XLOOKUP(Pipeline_tbl[[#This Row],[Rate_Code_Generalized]],Lookups!A:A,Lookups!B:B))*Pipeline_tbl[[#This Row],[Pipeline_Amount_USD]]</f>
        <v>3900</v>
      </c>
      <c r="O2902" t="str">
        <f>_xlfn.XLOOKUP(Pipeline_tbl[[#This Row],[Rep_ID]],Dim_Reps!A:A,Dim_Reps!B:B)</f>
        <v>Kenji Weber</v>
      </c>
      <c r="P2902" t="str">
        <f>_xlfn.XLOOKUP(Pipeline_tbl[[#This Row],[Rep_ID]],Dim_Reps!A:A,Dim_Reps!C:C)</f>
        <v>SDR / Inside Sales Rep</v>
      </c>
      <c r="Q2902" t="str">
        <f>_xlfn.XLOOKUP(Pipeline_tbl[[#This Row],[Rep_ID]],Dim_Reps!A:A,Dim_Reps!D:D)</f>
        <v>Inside Sales</v>
      </c>
      <c r="R2902" t="str">
        <f>_xlfn.XLOOKUP(Pipeline_tbl[[#This Row],[Rep_ID]],Dim_Reps!A:A,Dim_Reps!E:E)</f>
        <v>APAC</v>
      </c>
      <c r="S2902" t="str">
        <f>_xlfn.XLOOKUP(Pipeline_tbl[[#This Row],[Created_Date]],Dim_Date!A:A,Dim_Date!H:H)</f>
        <v>Mar 2025</v>
      </c>
      <c r="T2902" t="str">
        <f>IF(Pipeline_tbl[[#This Row],[Closed_Date]]=0,"",(_xlfn.XLOOKUP(Pipeline_tbl[[#This Row],[Closed_Date]],Dim_Date!A:A,Dim_Date!H:H)))</f>
        <v>Mar 2025</v>
      </c>
      <c r="U2902">
        <f>IF(Pipeline_tbl[[#This Row],[Closed_Date]]=0,"",Pipeline_tbl[[#This Row],[Closed_Date]]-Pipeline_tbl[[#This Row],[Created_Date]])</f>
        <v>22</v>
      </c>
    </row>
    <row r="2903" spans="1:21" ht="15" customHeight="1" x14ac:dyDescent="0.2">
      <c r="A2903" t="s">
        <v>3209</v>
      </c>
      <c r="B2903" t="s">
        <v>241</v>
      </c>
      <c r="C2903" t="s">
        <v>52</v>
      </c>
      <c r="D2903" s="49">
        <v>45721</v>
      </c>
      <c r="E2903" s="49">
        <v>45723</v>
      </c>
      <c r="F2903" s="49">
        <v>45726</v>
      </c>
      <c r="G2903" s="49">
        <v>45731</v>
      </c>
      <c r="H2903" s="49">
        <v>45735</v>
      </c>
      <c r="I2903" s="49">
        <v>45738</v>
      </c>
      <c r="J2903" t="s">
        <v>47</v>
      </c>
      <c r="K2903" s="33">
        <v>5100</v>
      </c>
      <c r="M2903" t="str">
        <f>_xlfn.XLOOKUP(Pipeline_tbl[[#This Row],[Rep_ID]],Dim_Reps!A:A,Dim_Reps!K:K)</f>
        <v>EUR</v>
      </c>
      <c r="N2903" s="33">
        <f>(_xlfn.XLOOKUP(Pipeline_tbl[[#This Row],[Rate_Code_Generalized]],Lookups!A:A,Lookups!B:B))*Pipeline_tbl[[#This Row],[Pipeline_Amount_USD]]</f>
        <v>5100</v>
      </c>
      <c r="O2903" t="str">
        <f>_xlfn.XLOOKUP(Pipeline_tbl[[#This Row],[Rep_ID]],Dim_Reps!A:A,Dim_Reps!B:B)</f>
        <v>Kenji Weber</v>
      </c>
      <c r="P2903" t="str">
        <f>_xlfn.XLOOKUP(Pipeline_tbl[[#This Row],[Rep_ID]],Dim_Reps!A:A,Dim_Reps!C:C)</f>
        <v>SDR / Inside Sales Rep</v>
      </c>
      <c r="Q2903" t="str">
        <f>_xlfn.XLOOKUP(Pipeline_tbl[[#This Row],[Rep_ID]],Dim_Reps!A:A,Dim_Reps!D:D)</f>
        <v>Inside Sales</v>
      </c>
      <c r="R2903" t="str">
        <f>_xlfn.XLOOKUP(Pipeline_tbl[[#This Row],[Rep_ID]],Dim_Reps!A:A,Dim_Reps!E:E)</f>
        <v>APAC</v>
      </c>
      <c r="S2903" t="str">
        <f>_xlfn.XLOOKUP(Pipeline_tbl[[#This Row],[Created_Date]],Dim_Date!A:A,Dim_Date!H:H)</f>
        <v>Mar 2025</v>
      </c>
      <c r="T2903" t="str">
        <f>IF(Pipeline_tbl[[#This Row],[Closed_Date]]=0,"",(_xlfn.XLOOKUP(Pipeline_tbl[[#This Row],[Closed_Date]],Dim_Date!A:A,Dim_Date!H:H)))</f>
        <v>Mar 2025</v>
      </c>
      <c r="U2903">
        <f>IF(Pipeline_tbl[[#This Row],[Closed_Date]]=0,"",Pipeline_tbl[[#This Row],[Closed_Date]]-Pipeline_tbl[[#This Row],[Created_Date]])</f>
        <v>17</v>
      </c>
    </row>
    <row r="2904" spans="1:21" ht="15" customHeight="1" x14ac:dyDescent="0.2">
      <c r="A2904" t="s">
        <v>3210</v>
      </c>
      <c r="B2904" t="s">
        <v>241</v>
      </c>
      <c r="C2904" t="s">
        <v>53</v>
      </c>
      <c r="D2904" s="49">
        <v>45722</v>
      </c>
      <c r="E2904" s="49">
        <v>45723</v>
      </c>
      <c r="F2904" s="49">
        <v>45726</v>
      </c>
      <c r="I2904" s="49">
        <v>45734</v>
      </c>
      <c r="J2904" t="s">
        <v>49</v>
      </c>
      <c r="K2904" s="33">
        <v>1600</v>
      </c>
      <c r="L2904" t="s">
        <v>61</v>
      </c>
      <c r="M2904" t="str">
        <f>_xlfn.XLOOKUP(Pipeline_tbl[[#This Row],[Rep_ID]],Dim_Reps!A:A,Dim_Reps!K:K)</f>
        <v>EUR</v>
      </c>
      <c r="N2904" s="33">
        <f>(_xlfn.XLOOKUP(Pipeline_tbl[[#This Row],[Rate_Code_Generalized]],Lookups!A:A,Lookups!B:B))*Pipeline_tbl[[#This Row],[Pipeline_Amount_USD]]</f>
        <v>1600</v>
      </c>
      <c r="O2904" t="str">
        <f>_xlfn.XLOOKUP(Pipeline_tbl[[#This Row],[Rep_ID]],Dim_Reps!A:A,Dim_Reps!B:B)</f>
        <v>Kenji Weber</v>
      </c>
      <c r="P2904" t="str">
        <f>_xlfn.XLOOKUP(Pipeline_tbl[[#This Row],[Rep_ID]],Dim_Reps!A:A,Dim_Reps!C:C)</f>
        <v>SDR / Inside Sales Rep</v>
      </c>
      <c r="Q2904" t="str">
        <f>_xlfn.XLOOKUP(Pipeline_tbl[[#This Row],[Rep_ID]],Dim_Reps!A:A,Dim_Reps!D:D)</f>
        <v>Inside Sales</v>
      </c>
      <c r="R2904" t="str">
        <f>_xlfn.XLOOKUP(Pipeline_tbl[[#This Row],[Rep_ID]],Dim_Reps!A:A,Dim_Reps!E:E)</f>
        <v>APAC</v>
      </c>
      <c r="S2904" t="str">
        <f>_xlfn.XLOOKUP(Pipeline_tbl[[#This Row],[Created_Date]],Dim_Date!A:A,Dim_Date!H:H)</f>
        <v>Mar 2025</v>
      </c>
      <c r="T2904" t="str">
        <f>IF(Pipeline_tbl[[#This Row],[Closed_Date]]=0,"",(_xlfn.XLOOKUP(Pipeline_tbl[[#This Row],[Closed_Date]],Dim_Date!A:A,Dim_Date!H:H)))</f>
        <v>Mar 2025</v>
      </c>
      <c r="U2904">
        <f>IF(Pipeline_tbl[[#This Row],[Closed_Date]]=0,"",Pipeline_tbl[[#This Row],[Closed_Date]]-Pipeline_tbl[[#This Row],[Created_Date]])</f>
        <v>12</v>
      </c>
    </row>
    <row r="2905" spans="1:21" ht="15" customHeight="1" x14ac:dyDescent="0.2">
      <c r="A2905" t="s">
        <v>3211</v>
      </c>
      <c r="B2905" t="s">
        <v>241</v>
      </c>
      <c r="C2905" t="s">
        <v>55</v>
      </c>
      <c r="D2905" s="49">
        <v>45722</v>
      </c>
      <c r="E2905" s="49">
        <v>45724</v>
      </c>
      <c r="I2905" s="49">
        <v>45746</v>
      </c>
      <c r="J2905" t="s">
        <v>49</v>
      </c>
      <c r="K2905" s="33">
        <v>4200</v>
      </c>
      <c r="L2905" t="s">
        <v>62</v>
      </c>
      <c r="M2905" t="str">
        <f>_xlfn.XLOOKUP(Pipeline_tbl[[#This Row],[Rep_ID]],Dim_Reps!A:A,Dim_Reps!K:K)</f>
        <v>EUR</v>
      </c>
      <c r="N2905" s="33">
        <f>(_xlfn.XLOOKUP(Pipeline_tbl[[#This Row],[Rate_Code_Generalized]],Lookups!A:A,Lookups!B:B))*Pipeline_tbl[[#This Row],[Pipeline_Amount_USD]]</f>
        <v>4200</v>
      </c>
      <c r="O2905" t="str">
        <f>_xlfn.XLOOKUP(Pipeline_tbl[[#This Row],[Rep_ID]],Dim_Reps!A:A,Dim_Reps!B:B)</f>
        <v>Kenji Weber</v>
      </c>
      <c r="P2905" t="str">
        <f>_xlfn.XLOOKUP(Pipeline_tbl[[#This Row],[Rep_ID]],Dim_Reps!A:A,Dim_Reps!C:C)</f>
        <v>SDR / Inside Sales Rep</v>
      </c>
      <c r="Q2905" t="str">
        <f>_xlfn.XLOOKUP(Pipeline_tbl[[#This Row],[Rep_ID]],Dim_Reps!A:A,Dim_Reps!D:D)</f>
        <v>Inside Sales</v>
      </c>
      <c r="R2905" t="str">
        <f>_xlfn.XLOOKUP(Pipeline_tbl[[#This Row],[Rep_ID]],Dim_Reps!A:A,Dim_Reps!E:E)</f>
        <v>APAC</v>
      </c>
      <c r="S2905" t="str">
        <f>_xlfn.XLOOKUP(Pipeline_tbl[[#This Row],[Created_Date]],Dim_Date!A:A,Dim_Date!H:H)</f>
        <v>Mar 2025</v>
      </c>
      <c r="T2905" t="str">
        <f>IF(Pipeline_tbl[[#This Row],[Closed_Date]]=0,"",(_xlfn.XLOOKUP(Pipeline_tbl[[#This Row],[Closed_Date]],Dim_Date!A:A,Dim_Date!H:H)))</f>
        <v>Mar 2025</v>
      </c>
      <c r="U2905">
        <f>IF(Pipeline_tbl[[#This Row],[Closed_Date]]=0,"",Pipeline_tbl[[#This Row],[Closed_Date]]-Pipeline_tbl[[#This Row],[Created_Date]])</f>
        <v>24</v>
      </c>
    </row>
    <row r="2906" spans="1:21" ht="15" customHeight="1" x14ac:dyDescent="0.2">
      <c r="A2906" t="s">
        <v>3212</v>
      </c>
      <c r="B2906" t="s">
        <v>181</v>
      </c>
      <c r="C2906" t="s">
        <v>53</v>
      </c>
      <c r="D2906" s="49">
        <v>45727</v>
      </c>
      <c r="E2906" s="49">
        <v>45735</v>
      </c>
      <c r="F2906" s="49">
        <v>45750</v>
      </c>
      <c r="G2906" s="49">
        <v>45774</v>
      </c>
      <c r="I2906" s="49">
        <v>45805</v>
      </c>
      <c r="J2906" t="s">
        <v>49</v>
      </c>
      <c r="K2906" s="33">
        <v>28300</v>
      </c>
      <c r="L2906" t="s">
        <v>60</v>
      </c>
      <c r="M2906" t="str">
        <f>_xlfn.XLOOKUP(Pipeline_tbl[[#This Row],[Rep_ID]],Dim_Reps!A:A,Dim_Reps!K:K)</f>
        <v>USD</v>
      </c>
      <c r="N2906" s="33">
        <f>(_xlfn.XLOOKUP(Pipeline_tbl[[#This Row],[Rate_Code_Generalized]],Lookups!A:A,Lookups!B:B))*Pipeline_tbl[[#This Row],[Pipeline_Amount_USD]]</f>
        <v>32949.689999999995</v>
      </c>
      <c r="O2906" t="str">
        <f>_xlfn.XLOOKUP(Pipeline_tbl[[#This Row],[Rep_ID]],Dim_Reps!A:A,Dim_Reps!B:B)</f>
        <v>Milo Weber</v>
      </c>
      <c r="P2906" t="str">
        <f>_xlfn.XLOOKUP(Pipeline_tbl[[#This Row],[Rep_ID]],Dim_Reps!A:A,Dim_Reps!C:C)</f>
        <v>Enterprise AE</v>
      </c>
      <c r="Q2906" t="str">
        <f>_xlfn.XLOOKUP(Pipeline_tbl[[#This Row],[Rep_ID]],Dim_Reps!A:A,Dim_Reps!D:D)</f>
        <v>Enterprise</v>
      </c>
      <c r="R2906" t="str">
        <f>_xlfn.XLOOKUP(Pipeline_tbl[[#This Row],[Rep_ID]],Dim_Reps!A:A,Dim_Reps!E:E)</f>
        <v>NAMER</v>
      </c>
      <c r="S2906" t="str">
        <f>_xlfn.XLOOKUP(Pipeline_tbl[[#This Row],[Created_Date]],Dim_Date!A:A,Dim_Date!H:H)</f>
        <v>Mar 2025</v>
      </c>
      <c r="T2906" t="str">
        <f>IF(Pipeline_tbl[[#This Row],[Closed_Date]]=0,"",(_xlfn.XLOOKUP(Pipeline_tbl[[#This Row],[Closed_Date]],Dim_Date!A:A,Dim_Date!H:H)))</f>
        <v>May 2025</v>
      </c>
      <c r="U2906">
        <f>IF(Pipeline_tbl[[#This Row],[Closed_Date]]=0,"",Pipeline_tbl[[#This Row],[Closed_Date]]-Pipeline_tbl[[#This Row],[Created_Date]])</f>
        <v>78</v>
      </c>
    </row>
    <row r="2907" spans="1:21" ht="15" customHeight="1" x14ac:dyDescent="0.2">
      <c r="A2907" t="s">
        <v>3213</v>
      </c>
      <c r="B2907" t="s">
        <v>181</v>
      </c>
      <c r="C2907" t="s">
        <v>56</v>
      </c>
      <c r="D2907" s="49">
        <v>45725</v>
      </c>
      <c r="E2907" s="49">
        <v>45732</v>
      </c>
      <c r="F2907" s="49">
        <v>45747</v>
      </c>
      <c r="G2907" s="49">
        <v>45769</v>
      </c>
      <c r="I2907" s="49">
        <v>45799</v>
      </c>
      <c r="J2907" t="s">
        <v>49</v>
      </c>
      <c r="K2907" s="33">
        <v>23300</v>
      </c>
      <c r="L2907" t="s">
        <v>60</v>
      </c>
      <c r="M2907" t="str">
        <f>_xlfn.XLOOKUP(Pipeline_tbl[[#This Row],[Rep_ID]],Dim_Reps!A:A,Dim_Reps!K:K)</f>
        <v>USD</v>
      </c>
      <c r="N2907" s="33">
        <f>(_xlfn.XLOOKUP(Pipeline_tbl[[#This Row],[Rate_Code_Generalized]],Lookups!A:A,Lookups!B:B))*Pipeline_tbl[[#This Row],[Pipeline_Amount_USD]]</f>
        <v>27128.19</v>
      </c>
      <c r="O2907" t="str">
        <f>_xlfn.XLOOKUP(Pipeline_tbl[[#This Row],[Rep_ID]],Dim_Reps!A:A,Dim_Reps!B:B)</f>
        <v>Milo Weber</v>
      </c>
      <c r="P2907" t="str">
        <f>_xlfn.XLOOKUP(Pipeline_tbl[[#This Row],[Rep_ID]],Dim_Reps!A:A,Dim_Reps!C:C)</f>
        <v>Enterprise AE</v>
      </c>
      <c r="Q2907" t="str">
        <f>_xlfn.XLOOKUP(Pipeline_tbl[[#This Row],[Rep_ID]],Dim_Reps!A:A,Dim_Reps!D:D)</f>
        <v>Enterprise</v>
      </c>
      <c r="R2907" t="str">
        <f>_xlfn.XLOOKUP(Pipeline_tbl[[#This Row],[Rep_ID]],Dim_Reps!A:A,Dim_Reps!E:E)</f>
        <v>NAMER</v>
      </c>
      <c r="S2907" t="str">
        <f>_xlfn.XLOOKUP(Pipeline_tbl[[#This Row],[Created_Date]],Dim_Date!A:A,Dim_Date!H:H)</f>
        <v>Mar 2025</v>
      </c>
      <c r="T2907" t="str">
        <f>IF(Pipeline_tbl[[#This Row],[Closed_Date]]=0,"",(_xlfn.XLOOKUP(Pipeline_tbl[[#This Row],[Closed_Date]],Dim_Date!A:A,Dim_Date!H:H)))</f>
        <v>May 2025</v>
      </c>
      <c r="U2907">
        <f>IF(Pipeline_tbl[[#This Row],[Closed_Date]]=0,"",Pipeline_tbl[[#This Row],[Closed_Date]]-Pipeline_tbl[[#This Row],[Created_Date]])</f>
        <v>74</v>
      </c>
    </row>
    <row r="2908" spans="1:21" ht="15" customHeight="1" x14ac:dyDescent="0.2">
      <c r="A2908" t="s">
        <v>3214</v>
      </c>
      <c r="B2908" t="s">
        <v>181</v>
      </c>
      <c r="C2908" t="s">
        <v>54</v>
      </c>
      <c r="D2908" s="49">
        <v>45727</v>
      </c>
      <c r="E2908" s="49">
        <v>45735</v>
      </c>
      <c r="F2908" s="49">
        <v>45750</v>
      </c>
      <c r="I2908" s="49">
        <v>45802</v>
      </c>
      <c r="J2908" t="s">
        <v>49</v>
      </c>
      <c r="K2908" s="33">
        <v>23100</v>
      </c>
      <c r="L2908" t="s">
        <v>62</v>
      </c>
      <c r="M2908" t="str">
        <f>_xlfn.XLOOKUP(Pipeline_tbl[[#This Row],[Rep_ID]],Dim_Reps!A:A,Dim_Reps!K:K)</f>
        <v>USD</v>
      </c>
      <c r="N2908" s="33">
        <f>(_xlfn.XLOOKUP(Pipeline_tbl[[#This Row],[Rate_Code_Generalized]],Lookups!A:A,Lookups!B:B))*Pipeline_tbl[[#This Row],[Pipeline_Amount_USD]]</f>
        <v>26895.329999999998</v>
      </c>
      <c r="O2908" t="str">
        <f>_xlfn.XLOOKUP(Pipeline_tbl[[#This Row],[Rep_ID]],Dim_Reps!A:A,Dim_Reps!B:B)</f>
        <v>Milo Weber</v>
      </c>
      <c r="P2908" t="str">
        <f>_xlfn.XLOOKUP(Pipeline_tbl[[#This Row],[Rep_ID]],Dim_Reps!A:A,Dim_Reps!C:C)</f>
        <v>Enterprise AE</v>
      </c>
      <c r="Q2908" t="str">
        <f>_xlfn.XLOOKUP(Pipeline_tbl[[#This Row],[Rep_ID]],Dim_Reps!A:A,Dim_Reps!D:D)</f>
        <v>Enterprise</v>
      </c>
      <c r="R2908" t="str">
        <f>_xlfn.XLOOKUP(Pipeline_tbl[[#This Row],[Rep_ID]],Dim_Reps!A:A,Dim_Reps!E:E)</f>
        <v>NAMER</v>
      </c>
      <c r="S2908" t="str">
        <f>_xlfn.XLOOKUP(Pipeline_tbl[[#This Row],[Created_Date]],Dim_Date!A:A,Dim_Date!H:H)</f>
        <v>Mar 2025</v>
      </c>
      <c r="T2908" t="str">
        <f>IF(Pipeline_tbl[[#This Row],[Closed_Date]]=0,"",(_xlfn.XLOOKUP(Pipeline_tbl[[#This Row],[Closed_Date]],Dim_Date!A:A,Dim_Date!H:H)))</f>
        <v>May 2025</v>
      </c>
      <c r="U2908">
        <f>IF(Pipeline_tbl[[#This Row],[Closed_Date]]=0,"",Pipeline_tbl[[#This Row],[Closed_Date]]-Pipeline_tbl[[#This Row],[Created_Date]])</f>
        <v>75</v>
      </c>
    </row>
    <row r="2909" spans="1:21" ht="15" customHeight="1" x14ac:dyDescent="0.2">
      <c r="A2909" t="s">
        <v>3215</v>
      </c>
      <c r="B2909" t="s">
        <v>181</v>
      </c>
      <c r="C2909" t="s">
        <v>55</v>
      </c>
      <c r="D2909" s="49">
        <v>45741</v>
      </c>
      <c r="E2909" s="49">
        <v>45747</v>
      </c>
      <c r="F2909" s="49">
        <v>45760</v>
      </c>
      <c r="G2909" s="49">
        <v>45779</v>
      </c>
      <c r="H2909" s="49">
        <v>45795</v>
      </c>
      <c r="I2909" s="49">
        <v>45805</v>
      </c>
      <c r="J2909" t="s">
        <v>49</v>
      </c>
      <c r="K2909" s="33">
        <v>19600</v>
      </c>
      <c r="L2909" t="s">
        <v>64</v>
      </c>
      <c r="M2909" t="str">
        <f>_xlfn.XLOOKUP(Pipeline_tbl[[#This Row],[Rep_ID]],Dim_Reps!A:A,Dim_Reps!K:K)</f>
        <v>USD</v>
      </c>
      <c r="N2909" s="33">
        <f>(_xlfn.XLOOKUP(Pipeline_tbl[[#This Row],[Rate_Code_Generalized]],Lookups!A:A,Lookups!B:B))*Pipeline_tbl[[#This Row],[Pipeline_Amount_USD]]</f>
        <v>22820.28</v>
      </c>
      <c r="O2909" t="str">
        <f>_xlfn.XLOOKUP(Pipeline_tbl[[#This Row],[Rep_ID]],Dim_Reps!A:A,Dim_Reps!B:B)</f>
        <v>Milo Weber</v>
      </c>
      <c r="P2909" t="str">
        <f>_xlfn.XLOOKUP(Pipeline_tbl[[#This Row],[Rep_ID]],Dim_Reps!A:A,Dim_Reps!C:C)</f>
        <v>Enterprise AE</v>
      </c>
      <c r="Q2909" t="str">
        <f>_xlfn.XLOOKUP(Pipeline_tbl[[#This Row],[Rep_ID]],Dim_Reps!A:A,Dim_Reps!D:D)</f>
        <v>Enterprise</v>
      </c>
      <c r="R2909" t="str">
        <f>_xlfn.XLOOKUP(Pipeline_tbl[[#This Row],[Rep_ID]],Dim_Reps!A:A,Dim_Reps!E:E)</f>
        <v>NAMER</v>
      </c>
      <c r="S2909" t="str">
        <f>_xlfn.XLOOKUP(Pipeline_tbl[[#This Row],[Created_Date]],Dim_Date!A:A,Dim_Date!H:H)</f>
        <v>Mar 2025</v>
      </c>
      <c r="T2909" t="str">
        <f>IF(Pipeline_tbl[[#This Row],[Closed_Date]]=0,"",(_xlfn.XLOOKUP(Pipeline_tbl[[#This Row],[Closed_Date]],Dim_Date!A:A,Dim_Date!H:H)))</f>
        <v>May 2025</v>
      </c>
      <c r="U2909">
        <f>IF(Pipeline_tbl[[#This Row],[Closed_Date]]=0,"",Pipeline_tbl[[#This Row],[Closed_Date]]-Pipeline_tbl[[#This Row],[Created_Date]])</f>
        <v>64</v>
      </c>
    </row>
    <row r="2910" spans="1:21" ht="15" customHeight="1" x14ac:dyDescent="0.2">
      <c r="A2910" t="s">
        <v>3216</v>
      </c>
      <c r="B2910" t="s">
        <v>183</v>
      </c>
      <c r="C2910" t="s">
        <v>52</v>
      </c>
      <c r="D2910" s="49">
        <v>45742</v>
      </c>
      <c r="E2910" s="49">
        <v>45749</v>
      </c>
      <c r="F2910" s="49">
        <v>45762</v>
      </c>
      <c r="G2910" s="49">
        <v>45782</v>
      </c>
      <c r="I2910" s="49">
        <v>45808</v>
      </c>
      <c r="J2910" t="s">
        <v>49</v>
      </c>
      <c r="K2910" s="33">
        <v>14000</v>
      </c>
      <c r="L2910" t="s">
        <v>60</v>
      </c>
      <c r="M2910" t="str">
        <f>_xlfn.XLOOKUP(Pipeline_tbl[[#This Row],[Rep_ID]],Dim_Reps!A:A,Dim_Reps!K:K)</f>
        <v>EUR</v>
      </c>
      <c r="N2910" s="33">
        <f>(_xlfn.XLOOKUP(Pipeline_tbl[[#This Row],[Rate_Code_Generalized]],Lookups!A:A,Lookups!B:B))*Pipeline_tbl[[#This Row],[Pipeline_Amount_USD]]</f>
        <v>14000</v>
      </c>
      <c r="O2910" t="str">
        <f>_xlfn.XLOOKUP(Pipeline_tbl[[#This Row],[Rep_ID]],Dim_Reps!A:A,Dim_Reps!B:B)</f>
        <v>Sam Schmidt</v>
      </c>
      <c r="P2910" t="str">
        <f>_xlfn.XLOOKUP(Pipeline_tbl[[#This Row],[Rep_ID]],Dim_Reps!A:A,Dim_Reps!C:C)</f>
        <v>Enterprise AE</v>
      </c>
      <c r="Q2910" t="str">
        <f>_xlfn.XLOOKUP(Pipeline_tbl[[#This Row],[Rep_ID]],Dim_Reps!A:A,Dim_Reps!D:D)</f>
        <v>Enterprise</v>
      </c>
      <c r="R2910" t="str">
        <f>_xlfn.XLOOKUP(Pipeline_tbl[[#This Row],[Rep_ID]],Dim_Reps!A:A,Dim_Reps!E:E)</f>
        <v>EMEA</v>
      </c>
      <c r="S2910" t="str">
        <f>_xlfn.XLOOKUP(Pipeline_tbl[[#This Row],[Created_Date]],Dim_Date!A:A,Dim_Date!H:H)</f>
        <v>Mar 2025</v>
      </c>
      <c r="T2910" t="str">
        <f>IF(Pipeline_tbl[[#This Row],[Closed_Date]]=0,"",(_xlfn.XLOOKUP(Pipeline_tbl[[#This Row],[Closed_Date]],Dim_Date!A:A,Dim_Date!H:H)))</f>
        <v>May 2025</v>
      </c>
      <c r="U2910">
        <f>IF(Pipeline_tbl[[#This Row],[Closed_Date]]=0,"",Pipeline_tbl[[#This Row],[Closed_Date]]-Pipeline_tbl[[#This Row],[Created_Date]])</f>
        <v>66</v>
      </c>
    </row>
    <row r="2911" spans="1:21" ht="15" customHeight="1" x14ac:dyDescent="0.2">
      <c r="A2911" t="s">
        <v>3217</v>
      </c>
      <c r="B2911" t="s">
        <v>183</v>
      </c>
      <c r="C2911" t="s">
        <v>52</v>
      </c>
      <c r="D2911" s="49">
        <v>45743</v>
      </c>
      <c r="E2911" s="49">
        <v>45748</v>
      </c>
      <c r="F2911" s="49">
        <v>45757</v>
      </c>
      <c r="I2911" s="49">
        <v>45791</v>
      </c>
      <c r="J2911" t="s">
        <v>49</v>
      </c>
      <c r="K2911" s="33">
        <v>44600</v>
      </c>
      <c r="L2911" t="s">
        <v>64</v>
      </c>
      <c r="M2911" t="str">
        <f>_xlfn.XLOOKUP(Pipeline_tbl[[#This Row],[Rep_ID]],Dim_Reps!A:A,Dim_Reps!K:K)</f>
        <v>EUR</v>
      </c>
      <c r="N2911" s="33">
        <f>(_xlfn.XLOOKUP(Pipeline_tbl[[#This Row],[Rate_Code_Generalized]],Lookups!A:A,Lookups!B:B))*Pipeline_tbl[[#This Row],[Pipeline_Amount_USD]]</f>
        <v>44600</v>
      </c>
      <c r="O2911" t="str">
        <f>_xlfn.XLOOKUP(Pipeline_tbl[[#This Row],[Rep_ID]],Dim_Reps!A:A,Dim_Reps!B:B)</f>
        <v>Sam Schmidt</v>
      </c>
      <c r="P2911" t="str">
        <f>_xlfn.XLOOKUP(Pipeline_tbl[[#This Row],[Rep_ID]],Dim_Reps!A:A,Dim_Reps!C:C)</f>
        <v>Enterprise AE</v>
      </c>
      <c r="Q2911" t="str">
        <f>_xlfn.XLOOKUP(Pipeline_tbl[[#This Row],[Rep_ID]],Dim_Reps!A:A,Dim_Reps!D:D)</f>
        <v>Enterprise</v>
      </c>
      <c r="R2911" t="str">
        <f>_xlfn.XLOOKUP(Pipeline_tbl[[#This Row],[Rep_ID]],Dim_Reps!A:A,Dim_Reps!E:E)</f>
        <v>EMEA</v>
      </c>
      <c r="S2911" t="str">
        <f>_xlfn.XLOOKUP(Pipeline_tbl[[#This Row],[Created_Date]],Dim_Date!A:A,Dim_Date!H:H)</f>
        <v>Mar 2025</v>
      </c>
      <c r="T2911" t="str">
        <f>IF(Pipeline_tbl[[#This Row],[Closed_Date]]=0,"",(_xlfn.XLOOKUP(Pipeline_tbl[[#This Row],[Closed_Date]],Dim_Date!A:A,Dim_Date!H:H)))</f>
        <v>May 2025</v>
      </c>
      <c r="U2911">
        <f>IF(Pipeline_tbl[[#This Row],[Closed_Date]]=0,"",Pipeline_tbl[[#This Row],[Closed_Date]]-Pipeline_tbl[[#This Row],[Created_Date]])</f>
        <v>48</v>
      </c>
    </row>
    <row r="2912" spans="1:21" ht="15" customHeight="1" x14ac:dyDescent="0.2">
      <c r="A2912" t="s">
        <v>3218</v>
      </c>
      <c r="B2912" t="s">
        <v>183</v>
      </c>
      <c r="C2912" t="s">
        <v>54</v>
      </c>
      <c r="D2912" s="49">
        <v>45737</v>
      </c>
      <c r="E2912" s="49">
        <v>45742</v>
      </c>
      <c r="F2912" s="49">
        <v>45752</v>
      </c>
      <c r="I2912" s="49">
        <v>45787</v>
      </c>
      <c r="J2912" t="s">
        <v>49</v>
      </c>
      <c r="K2912" s="33">
        <v>29900</v>
      </c>
      <c r="L2912" t="s">
        <v>61</v>
      </c>
      <c r="M2912" t="str">
        <f>_xlfn.XLOOKUP(Pipeline_tbl[[#This Row],[Rep_ID]],Dim_Reps!A:A,Dim_Reps!K:K)</f>
        <v>EUR</v>
      </c>
      <c r="N2912" s="33">
        <f>(_xlfn.XLOOKUP(Pipeline_tbl[[#This Row],[Rate_Code_Generalized]],Lookups!A:A,Lookups!B:B))*Pipeline_tbl[[#This Row],[Pipeline_Amount_USD]]</f>
        <v>29900</v>
      </c>
      <c r="O2912" t="str">
        <f>_xlfn.XLOOKUP(Pipeline_tbl[[#This Row],[Rep_ID]],Dim_Reps!A:A,Dim_Reps!B:B)</f>
        <v>Sam Schmidt</v>
      </c>
      <c r="P2912" t="str">
        <f>_xlfn.XLOOKUP(Pipeline_tbl[[#This Row],[Rep_ID]],Dim_Reps!A:A,Dim_Reps!C:C)</f>
        <v>Enterprise AE</v>
      </c>
      <c r="Q2912" t="str">
        <f>_xlfn.XLOOKUP(Pipeline_tbl[[#This Row],[Rep_ID]],Dim_Reps!A:A,Dim_Reps!D:D)</f>
        <v>Enterprise</v>
      </c>
      <c r="R2912" t="str">
        <f>_xlfn.XLOOKUP(Pipeline_tbl[[#This Row],[Rep_ID]],Dim_Reps!A:A,Dim_Reps!E:E)</f>
        <v>EMEA</v>
      </c>
      <c r="S2912" t="str">
        <f>_xlfn.XLOOKUP(Pipeline_tbl[[#This Row],[Created_Date]],Dim_Date!A:A,Dim_Date!H:H)</f>
        <v>Mar 2025</v>
      </c>
      <c r="T2912" t="str">
        <f>IF(Pipeline_tbl[[#This Row],[Closed_Date]]=0,"",(_xlfn.XLOOKUP(Pipeline_tbl[[#This Row],[Closed_Date]],Dim_Date!A:A,Dim_Date!H:H)))</f>
        <v>May 2025</v>
      </c>
      <c r="U2912">
        <f>IF(Pipeline_tbl[[#This Row],[Closed_Date]]=0,"",Pipeline_tbl[[#This Row],[Closed_Date]]-Pipeline_tbl[[#This Row],[Created_Date]])</f>
        <v>50</v>
      </c>
    </row>
    <row r="2913" spans="1:21" ht="15" customHeight="1" x14ac:dyDescent="0.2">
      <c r="A2913" t="s">
        <v>3219</v>
      </c>
      <c r="B2913" t="s">
        <v>183</v>
      </c>
      <c r="C2913" t="s">
        <v>52</v>
      </c>
      <c r="D2913" s="49">
        <v>45721</v>
      </c>
      <c r="E2913" s="49">
        <v>45730</v>
      </c>
      <c r="I2913" s="49">
        <v>45808</v>
      </c>
      <c r="J2913" t="s">
        <v>49</v>
      </c>
      <c r="K2913" s="33">
        <v>49400</v>
      </c>
      <c r="L2913" t="s">
        <v>64</v>
      </c>
      <c r="M2913" t="str">
        <f>_xlfn.XLOOKUP(Pipeline_tbl[[#This Row],[Rep_ID]],Dim_Reps!A:A,Dim_Reps!K:K)</f>
        <v>EUR</v>
      </c>
      <c r="N2913" s="33">
        <f>(_xlfn.XLOOKUP(Pipeline_tbl[[#This Row],[Rate_Code_Generalized]],Lookups!A:A,Lookups!B:B))*Pipeline_tbl[[#This Row],[Pipeline_Amount_USD]]</f>
        <v>49400</v>
      </c>
      <c r="O2913" t="str">
        <f>_xlfn.XLOOKUP(Pipeline_tbl[[#This Row],[Rep_ID]],Dim_Reps!A:A,Dim_Reps!B:B)</f>
        <v>Sam Schmidt</v>
      </c>
      <c r="P2913" t="str">
        <f>_xlfn.XLOOKUP(Pipeline_tbl[[#This Row],[Rep_ID]],Dim_Reps!A:A,Dim_Reps!C:C)</f>
        <v>Enterprise AE</v>
      </c>
      <c r="Q2913" t="str">
        <f>_xlfn.XLOOKUP(Pipeline_tbl[[#This Row],[Rep_ID]],Dim_Reps!A:A,Dim_Reps!D:D)</f>
        <v>Enterprise</v>
      </c>
      <c r="R2913" t="str">
        <f>_xlfn.XLOOKUP(Pipeline_tbl[[#This Row],[Rep_ID]],Dim_Reps!A:A,Dim_Reps!E:E)</f>
        <v>EMEA</v>
      </c>
      <c r="S2913" t="str">
        <f>_xlfn.XLOOKUP(Pipeline_tbl[[#This Row],[Created_Date]],Dim_Date!A:A,Dim_Date!H:H)</f>
        <v>Mar 2025</v>
      </c>
      <c r="T2913" t="str">
        <f>IF(Pipeline_tbl[[#This Row],[Closed_Date]]=0,"",(_xlfn.XLOOKUP(Pipeline_tbl[[#This Row],[Closed_Date]],Dim_Date!A:A,Dim_Date!H:H)))</f>
        <v>May 2025</v>
      </c>
      <c r="U2913">
        <f>IF(Pipeline_tbl[[#This Row],[Closed_Date]]=0,"",Pipeline_tbl[[#This Row],[Closed_Date]]-Pipeline_tbl[[#This Row],[Created_Date]])</f>
        <v>87</v>
      </c>
    </row>
    <row r="2914" spans="1:21" ht="15" customHeight="1" x14ac:dyDescent="0.2">
      <c r="A2914" t="s">
        <v>3220</v>
      </c>
      <c r="B2914" t="s">
        <v>183</v>
      </c>
      <c r="C2914" t="s">
        <v>52</v>
      </c>
      <c r="D2914" s="49">
        <v>45732</v>
      </c>
      <c r="E2914" s="49">
        <v>45739</v>
      </c>
      <c r="F2914" s="49">
        <v>45754</v>
      </c>
      <c r="G2914" s="49">
        <v>45775</v>
      </c>
      <c r="H2914" s="49">
        <v>45793</v>
      </c>
      <c r="I2914" s="49">
        <v>45804</v>
      </c>
      <c r="J2914" t="s">
        <v>47</v>
      </c>
      <c r="K2914" s="33">
        <v>28800</v>
      </c>
      <c r="M2914" t="str">
        <f>_xlfn.XLOOKUP(Pipeline_tbl[[#This Row],[Rep_ID]],Dim_Reps!A:A,Dim_Reps!K:K)</f>
        <v>EUR</v>
      </c>
      <c r="N2914" s="33">
        <f>(_xlfn.XLOOKUP(Pipeline_tbl[[#This Row],[Rate_Code_Generalized]],Lookups!A:A,Lookups!B:B))*Pipeline_tbl[[#This Row],[Pipeline_Amount_USD]]</f>
        <v>28800</v>
      </c>
      <c r="O2914" t="str">
        <f>_xlfn.XLOOKUP(Pipeline_tbl[[#This Row],[Rep_ID]],Dim_Reps!A:A,Dim_Reps!B:B)</f>
        <v>Sam Schmidt</v>
      </c>
      <c r="P2914" t="str">
        <f>_xlfn.XLOOKUP(Pipeline_tbl[[#This Row],[Rep_ID]],Dim_Reps!A:A,Dim_Reps!C:C)</f>
        <v>Enterprise AE</v>
      </c>
      <c r="Q2914" t="str">
        <f>_xlfn.XLOOKUP(Pipeline_tbl[[#This Row],[Rep_ID]],Dim_Reps!A:A,Dim_Reps!D:D)</f>
        <v>Enterprise</v>
      </c>
      <c r="R2914" t="str">
        <f>_xlfn.XLOOKUP(Pipeline_tbl[[#This Row],[Rep_ID]],Dim_Reps!A:A,Dim_Reps!E:E)</f>
        <v>EMEA</v>
      </c>
      <c r="S2914" t="str">
        <f>_xlfn.XLOOKUP(Pipeline_tbl[[#This Row],[Created_Date]],Dim_Date!A:A,Dim_Date!H:H)</f>
        <v>Mar 2025</v>
      </c>
      <c r="T2914" t="str">
        <f>IF(Pipeline_tbl[[#This Row],[Closed_Date]]=0,"",(_xlfn.XLOOKUP(Pipeline_tbl[[#This Row],[Closed_Date]],Dim_Date!A:A,Dim_Date!H:H)))</f>
        <v>May 2025</v>
      </c>
      <c r="U2914">
        <f>IF(Pipeline_tbl[[#This Row],[Closed_Date]]=0,"",Pipeline_tbl[[#This Row],[Closed_Date]]-Pipeline_tbl[[#This Row],[Created_Date]])</f>
        <v>72</v>
      </c>
    </row>
    <row r="2915" spans="1:21" ht="15" customHeight="1" x14ac:dyDescent="0.2">
      <c r="A2915" t="s">
        <v>3221</v>
      </c>
      <c r="B2915" t="s">
        <v>183</v>
      </c>
      <c r="C2915" t="s">
        <v>53</v>
      </c>
      <c r="D2915" s="49">
        <v>45747</v>
      </c>
      <c r="E2915" s="49">
        <v>45751</v>
      </c>
      <c r="F2915" s="49">
        <v>45761</v>
      </c>
      <c r="G2915" s="49">
        <v>45774</v>
      </c>
      <c r="H2915" s="49">
        <v>45785</v>
      </c>
      <c r="I2915" s="49">
        <v>45792</v>
      </c>
      <c r="J2915" t="s">
        <v>49</v>
      </c>
      <c r="K2915" s="33">
        <v>41400</v>
      </c>
      <c r="L2915" t="s">
        <v>61</v>
      </c>
      <c r="M2915" t="str">
        <f>_xlfn.XLOOKUP(Pipeline_tbl[[#This Row],[Rep_ID]],Dim_Reps!A:A,Dim_Reps!K:K)</f>
        <v>EUR</v>
      </c>
      <c r="N2915" s="33">
        <f>(_xlfn.XLOOKUP(Pipeline_tbl[[#This Row],[Rate_Code_Generalized]],Lookups!A:A,Lookups!B:B))*Pipeline_tbl[[#This Row],[Pipeline_Amount_USD]]</f>
        <v>41400</v>
      </c>
      <c r="O2915" t="str">
        <f>_xlfn.XLOOKUP(Pipeline_tbl[[#This Row],[Rep_ID]],Dim_Reps!A:A,Dim_Reps!B:B)</f>
        <v>Sam Schmidt</v>
      </c>
      <c r="P2915" t="str">
        <f>_xlfn.XLOOKUP(Pipeline_tbl[[#This Row],[Rep_ID]],Dim_Reps!A:A,Dim_Reps!C:C)</f>
        <v>Enterprise AE</v>
      </c>
      <c r="Q2915" t="str">
        <f>_xlfn.XLOOKUP(Pipeline_tbl[[#This Row],[Rep_ID]],Dim_Reps!A:A,Dim_Reps!D:D)</f>
        <v>Enterprise</v>
      </c>
      <c r="R2915" t="str">
        <f>_xlfn.XLOOKUP(Pipeline_tbl[[#This Row],[Rep_ID]],Dim_Reps!A:A,Dim_Reps!E:E)</f>
        <v>EMEA</v>
      </c>
      <c r="S2915" t="str">
        <f>_xlfn.XLOOKUP(Pipeline_tbl[[#This Row],[Created_Date]],Dim_Date!A:A,Dim_Date!H:H)</f>
        <v>Mar 2025</v>
      </c>
      <c r="T2915" t="str">
        <f>IF(Pipeline_tbl[[#This Row],[Closed_Date]]=0,"",(_xlfn.XLOOKUP(Pipeline_tbl[[#This Row],[Closed_Date]],Dim_Date!A:A,Dim_Date!H:H)))</f>
        <v>May 2025</v>
      </c>
      <c r="U2915">
        <f>IF(Pipeline_tbl[[#This Row],[Closed_Date]]=0,"",Pipeline_tbl[[#This Row],[Closed_Date]]-Pipeline_tbl[[#This Row],[Created_Date]])</f>
        <v>45</v>
      </c>
    </row>
    <row r="2916" spans="1:21" ht="15" customHeight="1" x14ac:dyDescent="0.2">
      <c r="A2916" t="s">
        <v>3222</v>
      </c>
      <c r="B2916" t="s">
        <v>278</v>
      </c>
      <c r="C2916" t="s">
        <v>53</v>
      </c>
      <c r="D2916" s="49">
        <v>45738</v>
      </c>
      <c r="E2916" s="49">
        <v>45745</v>
      </c>
      <c r="F2916" s="49">
        <v>45758</v>
      </c>
      <c r="G2916" s="49">
        <v>45778</v>
      </c>
      <c r="I2916" s="49">
        <v>45804</v>
      </c>
      <c r="J2916" t="s">
        <v>49</v>
      </c>
      <c r="K2916" s="33">
        <v>79200</v>
      </c>
      <c r="L2916" t="s">
        <v>62</v>
      </c>
      <c r="M2916" t="str">
        <f>_xlfn.XLOOKUP(Pipeline_tbl[[#This Row],[Rep_ID]],Dim_Reps!A:A,Dim_Reps!K:K)</f>
        <v>EUR</v>
      </c>
      <c r="N2916" s="33">
        <f>(_xlfn.XLOOKUP(Pipeline_tbl[[#This Row],[Rate_Code_Generalized]],Lookups!A:A,Lookups!B:B))*Pipeline_tbl[[#This Row],[Pipeline_Amount_USD]]</f>
        <v>79200</v>
      </c>
      <c r="O2916" t="str">
        <f>_xlfn.XLOOKUP(Pipeline_tbl[[#This Row],[Rep_ID]],Dim_Reps!A:A,Dim_Reps!B:B)</f>
        <v>Sara Andersson</v>
      </c>
      <c r="P2916" t="str">
        <f>_xlfn.XLOOKUP(Pipeline_tbl[[#This Row],[Rep_ID]],Dim_Reps!A:A,Dim_Reps!C:C)</f>
        <v>Senior Enterprise AE</v>
      </c>
      <c r="Q2916" t="str">
        <f>_xlfn.XLOOKUP(Pipeline_tbl[[#This Row],[Rep_ID]],Dim_Reps!A:A,Dim_Reps!D:D)</f>
        <v>Strategic</v>
      </c>
      <c r="R2916" t="str">
        <f>_xlfn.XLOOKUP(Pipeline_tbl[[#This Row],[Rep_ID]],Dim_Reps!A:A,Dim_Reps!E:E)</f>
        <v>APAC</v>
      </c>
      <c r="S2916" t="str">
        <f>_xlfn.XLOOKUP(Pipeline_tbl[[#This Row],[Created_Date]],Dim_Date!A:A,Dim_Date!H:H)</f>
        <v>Mar 2025</v>
      </c>
      <c r="T2916" t="str">
        <f>IF(Pipeline_tbl[[#This Row],[Closed_Date]]=0,"",(_xlfn.XLOOKUP(Pipeline_tbl[[#This Row],[Closed_Date]],Dim_Date!A:A,Dim_Date!H:H)))</f>
        <v>May 2025</v>
      </c>
      <c r="U2916">
        <f>IF(Pipeline_tbl[[#This Row],[Closed_Date]]=0,"",Pipeline_tbl[[#This Row],[Closed_Date]]-Pipeline_tbl[[#This Row],[Created_Date]])</f>
        <v>66</v>
      </c>
    </row>
    <row r="2917" spans="1:21" ht="15" customHeight="1" x14ac:dyDescent="0.2">
      <c r="A2917" t="s">
        <v>3223</v>
      </c>
      <c r="B2917" t="s">
        <v>185</v>
      </c>
      <c r="C2917" t="s">
        <v>55</v>
      </c>
      <c r="D2917" s="49">
        <v>45728</v>
      </c>
      <c r="E2917" s="49">
        <v>45734</v>
      </c>
      <c r="F2917" s="49">
        <v>45747</v>
      </c>
      <c r="G2917" s="49">
        <v>45766</v>
      </c>
      <c r="H2917" s="49">
        <v>45782</v>
      </c>
      <c r="I2917" s="49">
        <v>45791</v>
      </c>
      <c r="J2917" t="s">
        <v>47</v>
      </c>
      <c r="K2917" s="33">
        <v>31000</v>
      </c>
      <c r="M2917" t="str">
        <f>_xlfn.XLOOKUP(Pipeline_tbl[[#This Row],[Rep_ID]],Dim_Reps!A:A,Dim_Reps!K:K)</f>
        <v>MXN</v>
      </c>
      <c r="N2917" s="33">
        <f>(_xlfn.XLOOKUP(Pipeline_tbl[[#This Row],[Rate_Code_Generalized]],Lookups!A:A,Lookups!B:B))*Pipeline_tbl[[#This Row],[Pipeline_Amount_USD]]</f>
        <v>611713.70000000007</v>
      </c>
      <c r="O2917" t="str">
        <f>_xlfn.XLOOKUP(Pipeline_tbl[[#This Row],[Rep_ID]],Dim_Reps!A:A,Dim_Reps!B:B)</f>
        <v>Noah Kim</v>
      </c>
      <c r="P2917" t="str">
        <f>_xlfn.XLOOKUP(Pipeline_tbl[[#This Row],[Rep_ID]],Dim_Reps!A:A,Dim_Reps!C:C)</f>
        <v>Enterprise AE</v>
      </c>
      <c r="Q2917" t="str">
        <f>_xlfn.XLOOKUP(Pipeline_tbl[[#This Row],[Rep_ID]],Dim_Reps!A:A,Dim_Reps!D:D)</f>
        <v>Enterprise</v>
      </c>
      <c r="R2917" t="str">
        <f>_xlfn.XLOOKUP(Pipeline_tbl[[#This Row],[Rep_ID]],Dim_Reps!A:A,Dim_Reps!E:E)</f>
        <v>LATAM</v>
      </c>
      <c r="S2917" t="str">
        <f>_xlfn.XLOOKUP(Pipeline_tbl[[#This Row],[Created_Date]],Dim_Date!A:A,Dim_Date!H:H)</f>
        <v>Mar 2025</v>
      </c>
      <c r="T2917" t="str">
        <f>IF(Pipeline_tbl[[#This Row],[Closed_Date]]=0,"",(_xlfn.XLOOKUP(Pipeline_tbl[[#This Row],[Closed_Date]],Dim_Date!A:A,Dim_Date!H:H)))</f>
        <v>May 2025</v>
      </c>
      <c r="U2917">
        <f>IF(Pipeline_tbl[[#This Row],[Closed_Date]]=0,"",Pipeline_tbl[[#This Row],[Closed_Date]]-Pipeline_tbl[[#This Row],[Created_Date]])</f>
        <v>63</v>
      </c>
    </row>
    <row r="2918" spans="1:21" ht="15" customHeight="1" x14ac:dyDescent="0.2">
      <c r="A2918" t="s">
        <v>3224</v>
      </c>
      <c r="B2918" t="s">
        <v>185</v>
      </c>
      <c r="C2918" t="s">
        <v>54</v>
      </c>
      <c r="D2918" s="49">
        <v>45745</v>
      </c>
      <c r="E2918" s="49">
        <v>45751</v>
      </c>
      <c r="F2918" s="49">
        <v>45764</v>
      </c>
      <c r="I2918" s="49">
        <v>45808</v>
      </c>
      <c r="J2918" t="s">
        <v>49</v>
      </c>
      <c r="K2918" s="33">
        <v>86400</v>
      </c>
      <c r="L2918" t="s">
        <v>61</v>
      </c>
      <c r="M2918" t="str">
        <f>_xlfn.XLOOKUP(Pipeline_tbl[[#This Row],[Rep_ID]],Dim_Reps!A:A,Dim_Reps!K:K)</f>
        <v>MXN</v>
      </c>
      <c r="N2918" s="33">
        <f>(_xlfn.XLOOKUP(Pipeline_tbl[[#This Row],[Rate_Code_Generalized]],Lookups!A:A,Lookups!B:B))*Pipeline_tbl[[#This Row],[Pipeline_Amount_USD]]</f>
        <v>1704905.28</v>
      </c>
      <c r="O2918" t="str">
        <f>_xlfn.XLOOKUP(Pipeline_tbl[[#This Row],[Rep_ID]],Dim_Reps!A:A,Dim_Reps!B:B)</f>
        <v>Noah Kim</v>
      </c>
      <c r="P2918" t="str">
        <f>_xlfn.XLOOKUP(Pipeline_tbl[[#This Row],[Rep_ID]],Dim_Reps!A:A,Dim_Reps!C:C)</f>
        <v>Enterprise AE</v>
      </c>
      <c r="Q2918" t="str">
        <f>_xlfn.XLOOKUP(Pipeline_tbl[[#This Row],[Rep_ID]],Dim_Reps!A:A,Dim_Reps!D:D)</f>
        <v>Enterprise</v>
      </c>
      <c r="R2918" t="str">
        <f>_xlfn.XLOOKUP(Pipeline_tbl[[#This Row],[Rep_ID]],Dim_Reps!A:A,Dim_Reps!E:E)</f>
        <v>LATAM</v>
      </c>
      <c r="S2918" t="str">
        <f>_xlfn.XLOOKUP(Pipeline_tbl[[#This Row],[Created_Date]],Dim_Date!A:A,Dim_Date!H:H)</f>
        <v>Mar 2025</v>
      </c>
      <c r="T2918" t="str">
        <f>IF(Pipeline_tbl[[#This Row],[Closed_Date]]=0,"",(_xlfn.XLOOKUP(Pipeline_tbl[[#This Row],[Closed_Date]],Dim_Date!A:A,Dim_Date!H:H)))</f>
        <v>May 2025</v>
      </c>
      <c r="U2918">
        <f>IF(Pipeline_tbl[[#This Row],[Closed_Date]]=0,"",Pipeline_tbl[[#This Row],[Closed_Date]]-Pipeline_tbl[[#This Row],[Created_Date]])</f>
        <v>63</v>
      </c>
    </row>
    <row r="2919" spans="1:21" ht="15" customHeight="1" x14ac:dyDescent="0.2">
      <c r="A2919" t="s">
        <v>3225</v>
      </c>
      <c r="B2919" t="s">
        <v>185</v>
      </c>
      <c r="C2919" t="s">
        <v>52</v>
      </c>
      <c r="D2919" s="49">
        <v>45737</v>
      </c>
      <c r="E2919" s="49">
        <v>45742</v>
      </c>
      <c r="F2919" s="49">
        <v>45753</v>
      </c>
      <c r="I2919" s="49">
        <v>45790</v>
      </c>
      <c r="J2919" t="s">
        <v>49</v>
      </c>
      <c r="K2919" s="33">
        <v>26700</v>
      </c>
      <c r="L2919" t="s">
        <v>60</v>
      </c>
      <c r="M2919" t="str">
        <f>_xlfn.XLOOKUP(Pipeline_tbl[[#This Row],[Rep_ID]],Dim_Reps!A:A,Dim_Reps!K:K)</f>
        <v>MXN</v>
      </c>
      <c r="N2919" s="33">
        <f>(_xlfn.XLOOKUP(Pipeline_tbl[[#This Row],[Rate_Code_Generalized]],Lookups!A:A,Lookups!B:B))*Pipeline_tbl[[#This Row],[Pipeline_Amount_USD]]</f>
        <v>526863.09000000008</v>
      </c>
      <c r="O2919" t="str">
        <f>_xlfn.XLOOKUP(Pipeline_tbl[[#This Row],[Rep_ID]],Dim_Reps!A:A,Dim_Reps!B:B)</f>
        <v>Noah Kim</v>
      </c>
      <c r="P2919" t="str">
        <f>_xlfn.XLOOKUP(Pipeline_tbl[[#This Row],[Rep_ID]],Dim_Reps!A:A,Dim_Reps!C:C)</f>
        <v>Enterprise AE</v>
      </c>
      <c r="Q2919" t="str">
        <f>_xlfn.XLOOKUP(Pipeline_tbl[[#This Row],[Rep_ID]],Dim_Reps!A:A,Dim_Reps!D:D)</f>
        <v>Enterprise</v>
      </c>
      <c r="R2919" t="str">
        <f>_xlfn.XLOOKUP(Pipeline_tbl[[#This Row],[Rep_ID]],Dim_Reps!A:A,Dim_Reps!E:E)</f>
        <v>LATAM</v>
      </c>
      <c r="S2919" t="str">
        <f>_xlfn.XLOOKUP(Pipeline_tbl[[#This Row],[Created_Date]],Dim_Date!A:A,Dim_Date!H:H)</f>
        <v>Mar 2025</v>
      </c>
      <c r="T2919" t="str">
        <f>IF(Pipeline_tbl[[#This Row],[Closed_Date]]=0,"",(_xlfn.XLOOKUP(Pipeline_tbl[[#This Row],[Closed_Date]],Dim_Date!A:A,Dim_Date!H:H)))</f>
        <v>May 2025</v>
      </c>
      <c r="U2919">
        <f>IF(Pipeline_tbl[[#This Row],[Closed_Date]]=0,"",Pipeline_tbl[[#This Row],[Closed_Date]]-Pipeline_tbl[[#This Row],[Created_Date]])</f>
        <v>53</v>
      </c>
    </row>
    <row r="2920" spans="1:21" ht="15" customHeight="1" x14ac:dyDescent="0.2">
      <c r="A2920" t="s">
        <v>3226</v>
      </c>
      <c r="B2920" t="s">
        <v>185</v>
      </c>
      <c r="C2920" t="s">
        <v>53</v>
      </c>
      <c r="D2920" s="49">
        <v>45728</v>
      </c>
      <c r="E2920" s="49">
        <v>45735</v>
      </c>
      <c r="F2920" s="49">
        <v>45748</v>
      </c>
      <c r="I2920" s="49">
        <v>45796</v>
      </c>
      <c r="J2920" t="s">
        <v>49</v>
      </c>
      <c r="K2920" s="33">
        <v>19700</v>
      </c>
      <c r="L2920" t="s">
        <v>63</v>
      </c>
      <c r="M2920" t="str">
        <f>_xlfn.XLOOKUP(Pipeline_tbl[[#This Row],[Rep_ID]],Dim_Reps!A:A,Dim_Reps!K:K)</f>
        <v>MXN</v>
      </c>
      <c r="N2920" s="33">
        <f>(_xlfn.XLOOKUP(Pipeline_tbl[[#This Row],[Rate_Code_Generalized]],Lookups!A:A,Lookups!B:B))*Pipeline_tbl[[#This Row],[Pipeline_Amount_USD]]</f>
        <v>388734.19</v>
      </c>
      <c r="O2920" t="str">
        <f>_xlfn.XLOOKUP(Pipeline_tbl[[#This Row],[Rep_ID]],Dim_Reps!A:A,Dim_Reps!B:B)</f>
        <v>Noah Kim</v>
      </c>
      <c r="P2920" t="str">
        <f>_xlfn.XLOOKUP(Pipeline_tbl[[#This Row],[Rep_ID]],Dim_Reps!A:A,Dim_Reps!C:C)</f>
        <v>Enterprise AE</v>
      </c>
      <c r="Q2920" t="str">
        <f>_xlfn.XLOOKUP(Pipeline_tbl[[#This Row],[Rep_ID]],Dim_Reps!A:A,Dim_Reps!D:D)</f>
        <v>Enterprise</v>
      </c>
      <c r="R2920" t="str">
        <f>_xlfn.XLOOKUP(Pipeline_tbl[[#This Row],[Rep_ID]],Dim_Reps!A:A,Dim_Reps!E:E)</f>
        <v>LATAM</v>
      </c>
      <c r="S2920" t="str">
        <f>_xlfn.XLOOKUP(Pipeline_tbl[[#This Row],[Created_Date]],Dim_Date!A:A,Dim_Date!H:H)</f>
        <v>Mar 2025</v>
      </c>
      <c r="T2920" t="str">
        <f>IF(Pipeline_tbl[[#This Row],[Closed_Date]]=0,"",(_xlfn.XLOOKUP(Pipeline_tbl[[#This Row],[Closed_Date]],Dim_Date!A:A,Dim_Date!H:H)))</f>
        <v>May 2025</v>
      </c>
      <c r="U2920">
        <f>IF(Pipeline_tbl[[#This Row],[Closed_Date]]=0,"",Pipeline_tbl[[#This Row],[Closed_Date]]-Pipeline_tbl[[#This Row],[Created_Date]])</f>
        <v>68</v>
      </c>
    </row>
    <row r="2921" spans="1:21" ht="15" customHeight="1" x14ac:dyDescent="0.2">
      <c r="A2921" t="s">
        <v>3227</v>
      </c>
      <c r="B2921" t="s">
        <v>185</v>
      </c>
      <c r="C2921" t="s">
        <v>52</v>
      </c>
      <c r="D2921" s="49">
        <v>45718</v>
      </c>
      <c r="E2921" s="49">
        <v>45725</v>
      </c>
      <c r="F2921" s="49">
        <v>45738</v>
      </c>
      <c r="I2921" s="49">
        <v>45784</v>
      </c>
      <c r="J2921" t="s">
        <v>49</v>
      </c>
      <c r="K2921" s="33">
        <v>25500</v>
      </c>
      <c r="L2921" t="s">
        <v>61</v>
      </c>
      <c r="M2921" t="str">
        <f>_xlfn.XLOOKUP(Pipeline_tbl[[#This Row],[Rep_ID]],Dim_Reps!A:A,Dim_Reps!K:K)</f>
        <v>MXN</v>
      </c>
      <c r="N2921" s="33">
        <f>(_xlfn.XLOOKUP(Pipeline_tbl[[#This Row],[Rate_Code_Generalized]],Lookups!A:A,Lookups!B:B))*Pipeline_tbl[[#This Row],[Pipeline_Amount_USD]]</f>
        <v>503183.85000000003</v>
      </c>
      <c r="O2921" t="str">
        <f>_xlfn.XLOOKUP(Pipeline_tbl[[#This Row],[Rep_ID]],Dim_Reps!A:A,Dim_Reps!B:B)</f>
        <v>Noah Kim</v>
      </c>
      <c r="P2921" t="str">
        <f>_xlfn.XLOOKUP(Pipeline_tbl[[#This Row],[Rep_ID]],Dim_Reps!A:A,Dim_Reps!C:C)</f>
        <v>Enterprise AE</v>
      </c>
      <c r="Q2921" t="str">
        <f>_xlfn.XLOOKUP(Pipeline_tbl[[#This Row],[Rep_ID]],Dim_Reps!A:A,Dim_Reps!D:D)</f>
        <v>Enterprise</v>
      </c>
      <c r="R2921" t="str">
        <f>_xlfn.XLOOKUP(Pipeline_tbl[[#This Row],[Rep_ID]],Dim_Reps!A:A,Dim_Reps!E:E)</f>
        <v>LATAM</v>
      </c>
      <c r="S2921" t="str">
        <f>_xlfn.XLOOKUP(Pipeline_tbl[[#This Row],[Created_Date]],Dim_Date!A:A,Dim_Date!H:H)</f>
        <v>Mar 2025</v>
      </c>
      <c r="T2921" t="str">
        <f>IF(Pipeline_tbl[[#This Row],[Closed_Date]]=0,"",(_xlfn.XLOOKUP(Pipeline_tbl[[#This Row],[Closed_Date]],Dim_Date!A:A,Dim_Date!H:H)))</f>
        <v>May 2025</v>
      </c>
      <c r="U2921">
        <f>IF(Pipeline_tbl[[#This Row],[Closed_Date]]=0,"",Pipeline_tbl[[#This Row],[Closed_Date]]-Pipeline_tbl[[#This Row],[Created_Date]])</f>
        <v>66</v>
      </c>
    </row>
    <row r="2922" spans="1:21" ht="15" customHeight="1" x14ac:dyDescent="0.2">
      <c r="A2922" t="s">
        <v>3228</v>
      </c>
      <c r="B2922" t="s">
        <v>188</v>
      </c>
      <c r="C2922" t="s">
        <v>55</v>
      </c>
      <c r="D2922" s="49">
        <v>45727</v>
      </c>
      <c r="E2922" s="49">
        <v>45733</v>
      </c>
      <c r="F2922" s="49">
        <v>45744</v>
      </c>
      <c r="G2922" s="49">
        <v>45760</v>
      </c>
      <c r="H2922" s="49">
        <v>45774</v>
      </c>
      <c r="I2922" s="49">
        <v>45782</v>
      </c>
      <c r="J2922" t="s">
        <v>49</v>
      </c>
      <c r="K2922" s="33">
        <v>53900</v>
      </c>
      <c r="L2922" t="s">
        <v>60</v>
      </c>
      <c r="M2922" t="str">
        <f>_xlfn.XLOOKUP(Pipeline_tbl[[#This Row],[Rep_ID]],Dim_Reps!A:A,Dim_Reps!K:K)</f>
        <v>EUR</v>
      </c>
      <c r="N2922" s="33">
        <f>(_xlfn.XLOOKUP(Pipeline_tbl[[#This Row],[Rate_Code_Generalized]],Lookups!A:A,Lookups!B:B))*Pipeline_tbl[[#This Row],[Pipeline_Amount_USD]]</f>
        <v>53900</v>
      </c>
      <c r="O2922" t="str">
        <f>_xlfn.XLOOKUP(Pipeline_tbl[[#This Row],[Rep_ID]],Dim_Reps!A:A,Dim_Reps!B:B)</f>
        <v>Jamie Santos</v>
      </c>
      <c r="P2922" t="str">
        <f>_xlfn.XLOOKUP(Pipeline_tbl[[#This Row],[Rep_ID]],Dim_Reps!A:A,Dim_Reps!C:C)</f>
        <v>Enterprise AE</v>
      </c>
      <c r="Q2922" t="str">
        <f>_xlfn.XLOOKUP(Pipeline_tbl[[#This Row],[Rep_ID]],Dim_Reps!A:A,Dim_Reps!D:D)</f>
        <v>Enterprise</v>
      </c>
      <c r="R2922" t="str">
        <f>_xlfn.XLOOKUP(Pipeline_tbl[[#This Row],[Rep_ID]],Dim_Reps!A:A,Dim_Reps!E:E)</f>
        <v>APAC</v>
      </c>
      <c r="S2922" t="str">
        <f>_xlfn.XLOOKUP(Pipeline_tbl[[#This Row],[Created_Date]],Dim_Date!A:A,Dim_Date!H:H)</f>
        <v>Mar 2025</v>
      </c>
      <c r="T2922" t="str">
        <f>IF(Pipeline_tbl[[#This Row],[Closed_Date]]=0,"",(_xlfn.XLOOKUP(Pipeline_tbl[[#This Row],[Closed_Date]],Dim_Date!A:A,Dim_Date!H:H)))</f>
        <v>May 2025</v>
      </c>
      <c r="U2922">
        <f>IF(Pipeline_tbl[[#This Row],[Closed_Date]]=0,"",Pipeline_tbl[[#This Row],[Closed_Date]]-Pipeline_tbl[[#This Row],[Created_Date]])</f>
        <v>55</v>
      </c>
    </row>
    <row r="2923" spans="1:21" ht="15" customHeight="1" x14ac:dyDescent="0.2">
      <c r="A2923" t="s">
        <v>3229</v>
      </c>
      <c r="B2923" t="s">
        <v>188</v>
      </c>
      <c r="C2923" t="s">
        <v>52</v>
      </c>
      <c r="D2923" s="49">
        <v>45729</v>
      </c>
      <c r="E2923" s="49">
        <v>45735</v>
      </c>
      <c r="F2923" s="49">
        <v>45748</v>
      </c>
      <c r="G2923" s="49">
        <v>45766</v>
      </c>
      <c r="H2923" s="49">
        <v>45782</v>
      </c>
      <c r="I2923" s="49">
        <v>45791</v>
      </c>
      <c r="J2923" t="s">
        <v>47</v>
      </c>
      <c r="K2923" s="33">
        <v>57100</v>
      </c>
      <c r="M2923" t="str">
        <f>_xlfn.XLOOKUP(Pipeline_tbl[[#This Row],[Rep_ID]],Dim_Reps!A:A,Dim_Reps!K:K)</f>
        <v>EUR</v>
      </c>
      <c r="N2923" s="33">
        <f>(_xlfn.XLOOKUP(Pipeline_tbl[[#This Row],[Rate_Code_Generalized]],Lookups!A:A,Lookups!B:B))*Pipeline_tbl[[#This Row],[Pipeline_Amount_USD]]</f>
        <v>57100</v>
      </c>
      <c r="O2923" t="str">
        <f>_xlfn.XLOOKUP(Pipeline_tbl[[#This Row],[Rep_ID]],Dim_Reps!A:A,Dim_Reps!B:B)</f>
        <v>Jamie Santos</v>
      </c>
      <c r="P2923" t="str">
        <f>_xlfn.XLOOKUP(Pipeline_tbl[[#This Row],[Rep_ID]],Dim_Reps!A:A,Dim_Reps!C:C)</f>
        <v>Enterprise AE</v>
      </c>
      <c r="Q2923" t="str">
        <f>_xlfn.XLOOKUP(Pipeline_tbl[[#This Row],[Rep_ID]],Dim_Reps!A:A,Dim_Reps!D:D)</f>
        <v>Enterprise</v>
      </c>
      <c r="R2923" t="str">
        <f>_xlfn.XLOOKUP(Pipeline_tbl[[#This Row],[Rep_ID]],Dim_Reps!A:A,Dim_Reps!E:E)</f>
        <v>APAC</v>
      </c>
      <c r="S2923" t="str">
        <f>_xlfn.XLOOKUP(Pipeline_tbl[[#This Row],[Created_Date]],Dim_Date!A:A,Dim_Date!H:H)</f>
        <v>Mar 2025</v>
      </c>
      <c r="T2923" t="str">
        <f>IF(Pipeline_tbl[[#This Row],[Closed_Date]]=0,"",(_xlfn.XLOOKUP(Pipeline_tbl[[#This Row],[Closed_Date]],Dim_Date!A:A,Dim_Date!H:H)))</f>
        <v>May 2025</v>
      </c>
      <c r="U2923">
        <f>IF(Pipeline_tbl[[#This Row],[Closed_Date]]=0,"",Pipeline_tbl[[#This Row],[Closed_Date]]-Pipeline_tbl[[#This Row],[Created_Date]])</f>
        <v>62</v>
      </c>
    </row>
    <row r="2924" spans="1:21" ht="15" customHeight="1" x14ac:dyDescent="0.2">
      <c r="A2924" t="s">
        <v>3230</v>
      </c>
      <c r="B2924" t="s">
        <v>188</v>
      </c>
      <c r="C2924" t="s">
        <v>53</v>
      </c>
      <c r="D2924" s="49">
        <v>45738</v>
      </c>
      <c r="E2924" s="49">
        <v>45745</v>
      </c>
      <c r="F2924" s="49">
        <v>45759</v>
      </c>
      <c r="G2924" s="49">
        <v>45779</v>
      </c>
      <c r="I2924" s="49">
        <v>45807</v>
      </c>
      <c r="J2924" t="s">
        <v>49</v>
      </c>
      <c r="K2924" s="33">
        <v>44500</v>
      </c>
      <c r="L2924" t="s">
        <v>63</v>
      </c>
      <c r="M2924" t="str">
        <f>_xlfn.XLOOKUP(Pipeline_tbl[[#This Row],[Rep_ID]],Dim_Reps!A:A,Dim_Reps!K:K)</f>
        <v>EUR</v>
      </c>
      <c r="N2924" s="33">
        <f>(_xlfn.XLOOKUP(Pipeline_tbl[[#This Row],[Rate_Code_Generalized]],Lookups!A:A,Lookups!B:B))*Pipeline_tbl[[#This Row],[Pipeline_Amount_USD]]</f>
        <v>44500</v>
      </c>
      <c r="O2924" t="str">
        <f>_xlfn.XLOOKUP(Pipeline_tbl[[#This Row],[Rep_ID]],Dim_Reps!A:A,Dim_Reps!B:B)</f>
        <v>Jamie Santos</v>
      </c>
      <c r="P2924" t="str">
        <f>_xlfn.XLOOKUP(Pipeline_tbl[[#This Row],[Rep_ID]],Dim_Reps!A:A,Dim_Reps!C:C)</f>
        <v>Enterprise AE</v>
      </c>
      <c r="Q2924" t="str">
        <f>_xlfn.XLOOKUP(Pipeline_tbl[[#This Row],[Rep_ID]],Dim_Reps!A:A,Dim_Reps!D:D)</f>
        <v>Enterprise</v>
      </c>
      <c r="R2924" t="str">
        <f>_xlfn.XLOOKUP(Pipeline_tbl[[#This Row],[Rep_ID]],Dim_Reps!A:A,Dim_Reps!E:E)</f>
        <v>APAC</v>
      </c>
      <c r="S2924" t="str">
        <f>_xlfn.XLOOKUP(Pipeline_tbl[[#This Row],[Created_Date]],Dim_Date!A:A,Dim_Date!H:H)</f>
        <v>Mar 2025</v>
      </c>
      <c r="T2924" t="str">
        <f>IF(Pipeline_tbl[[#This Row],[Closed_Date]]=0,"",(_xlfn.XLOOKUP(Pipeline_tbl[[#This Row],[Closed_Date]],Dim_Date!A:A,Dim_Date!H:H)))</f>
        <v>May 2025</v>
      </c>
      <c r="U2924">
        <f>IF(Pipeline_tbl[[#This Row],[Closed_Date]]=0,"",Pipeline_tbl[[#This Row],[Closed_Date]]-Pipeline_tbl[[#This Row],[Created_Date]])</f>
        <v>69</v>
      </c>
    </row>
    <row r="2925" spans="1:21" ht="15" customHeight="1" x14ac:dyDescent="0.2">
      <c r="A2925" t="s">
        <v>3231</v>
      </c>
      <c r="B2925" t="s">
        <v>188</v>
      </c>
      <c r="C2925" t="s">
        <v>53</v>
      </c>
      <c r="D2925" s="49">
        <v>45722</v>
      </c>
      <c r="E2925" s="49">
        <v>45730</v>
      </c>
      <c r="F2925" s="49">
        <v>45746</v>
      </c>
      <c r="I2925" s="49">
        <v>45801</v>
      </c>
      <c r="J2925" t="s">
        <v>49</v>
      </c>
      <c r="K2925" s="33">
        <v>64100</v>
      </c>
      <c r="L2925" t="s">
        <v>61</v>
      </c>
      <c r="M2925" t="str">
        <f>_xlfn.XLOOKUP(Pipeline_tbl[[#This Row],[Rep_ID]],Dim_Reps!A:A,Dim_Reps!K:K)</f>
        <v>EUR</v>
      </c>
      <c r="N2925" s="33">
        <f>(_xlfn.XLOOKUP(Pipeline_tbl[[#This Row],[Rate_Code_Generalized]],Lookups!A:A,Lookups!B:B))*Pipeline_tbl[[#This Row],[Pipeline_Amount_USD]]</f>
        <v>64100</v>
      </c>
      <c r="O2925" t="str">
        <f>_xlfn.XLOOKUP(Pipeline_tbl[[#This Row],[Rep_ID]],Dim_Reps!A:A,Dim_Reps!B:B)</f>
        <v>Jamie Santos</v>
      </c>
      <c r="P2925" t="str">
        <f>_xlfn.XLOOKUP(Pipeline_tbl[[#This Row],[Rep_ID]],Dim_Reps!A:A,Dim_Reps!C:C)</f>
        <v>Enterprise AE</v>
      </c>
      <c r="Q2925" t="str">
        <f>_xlfn.XLOOKUP(Pipeline_tbl[[#This Row],[Rep_ID]],Dim_Reps!A:A,Dim_Reps!D:D)</f>
        <v>Enterprise</v>
      </c>
      <c r="R2925" t="str">
        <f>_xlfn.XLOOKUP(Pipeline_tbl[[#This Row],[Rep_ID]],Dim_Reps!A:A,Dim_Reps!E:E)</f>
        <v>APAC</v>
      </c>
      <c r="S2925" t="str">
        <f>_xlfn.XLOOKUP(Pipeline_tbl[[#This Row],[Created_Date]],Dim_Date!A:A,Dim_Date!H:H)</f>
        <v>Mar 2025</v>
      </c>
      <c r="T2925" t="str">
        <f>IF(Pipeline_tbl[[#This Row],[Closed_Date]]=0,"",(_xlfn.XLOOKUP(Pipeline_tbl[[#This Row],[Closed_Date]],Dim_Date!A:A,Dim_Date!H:H)))</f>
        <v>May 2025</v>
      </c>
      <c r="U2925">
        <f>IF(Pipeline_tbl[[#This Row],[Closed_Date]]=0,"",Pipeline_tbl[[#This Row],[Closed_Date]]-Pipeline_tbl[[#This Row],[Created_Date]])</f>
        <v>79</v>
      </c>
    </row>
    <row r="2926" spans="1:21" ht="15" customHeight="1" x14ac:dyDescent="0.2">
      <c r="A2926" t="s">
        <v>3232</v>
      </c>
      <c r="B2926" t="s">
        <v>282</v>
      </c>
      <c r="C2926" t="s">
        <v>55</v>
      </c>
      <c r="D2926" s="49">
        <v>45730</v>
      </c>
      <c r="E2926" s="49">
        <v>45737</v>
      </c>
      <c r="F2926" s="49">
        <v>45750</v>
      </c>
      <c r="I2926" s="49">
        <v>45797</v>
      </c>
      <c r="J2926" t="s">
        <v>49</v>
      </c>
      <c r="K2926" s="33">
        <v>60400</v>
      </c>
      <c r="L2926" t="s">
        <v>63</v>
      </c>
      <c r="M2926" t="str">
        <f>_xlfn.XLOOKUP(Pipeline_tbl[[#This Row],[Rep_ID]],Dim_Reps!A:A,Dim_Reps!K:K)</f>
        <v>USD</v>
      </c>
      <c r="N2926" s="33">
        <f>(_xlfn.XLOOKUP(Pipeline_tbl[[#This Row],[Rate_Code_Generalized]],Lookups!A:A,Lookups!B:B))*Pipeline_tbl[[#This Row],[Pipeline_Amount_USD]]</f>
        <v>70323.719999999987</v>
      </c>
      <c r="O2926" t="str">
        <f>_xlfn.XLOOKUP(Pipeline_tbl[[#This Row],[Rep_ID]],Dim_Reps!A:A,Dim_Reps!B:B)</f>
        <v>Fatima Rossi</v>
      </c>
      <c r="P2926" t="str">
        <f>_xlfn.XLOOKUP(Pipeline_tbl[[#This Row],[Rep_ID]],Dim_Reps!A:A,Dim_Reps!C:C)</f>
        <v>Senior Enterprise AE</v>
      </c>
      <c r="Q2926" t="str">
        <f>_xlfn.XLOOKUP(Pipeline_tbl[[#This Row],[Rep_ID]],Dim_Reps!A:A,Dim_Reps!D:D)</f>
        <v>Strategic</v>
      </c>
      <c r="R2926" t="str">
        <f>_xlfn.XLOOKUP(Pipeline_tbl[[#This Row],[Rep_ID]],Dim_Reps!A:A,Dim_Reps!E:E)</f>
        <v>NAMER</v>
      </c>
      <c r="S2926" t="str">
        <f>_xlfn.XLOOKUP(Pipeline_tbl[[#This Row],[Created_Date]],Dim_Date!A:A,Dim_Date!H:H)</f>
        <v>Mar 2025</v>
      </c>
      <c r="T2926" t="str">
        <f>IF(Pipeline_tbl[[#This Row],[Closed_Date]]=0,"",(_xlfn.XLOOKUP(Pipeline_tbl[[#This Row],[Closed_Date]],Dim_Date!A:A,Dim_Date!H:H)))</f>
        <v>May 2025</v>
      </c>
      <c r="U2926">
        <f>IF(Pipeline_tbl[[#This Row],[Closed_Date]]=0,"",Pipeline_tbl[[#This Row],[Closed_Date]]-Pipeline_tbl[[#This Row],[Created_Date]])</f>
        <v>67</v>
      </c>
    </row>
    <row r="2927" spans="1:21" ht="15" customHeight="1" x14ac:dyDescent="0.2">
      <c r="A2927" t="s">
        <v>3233</v>
      </c>
      <c r="B2927" t="s">
        <v>263</v>
      </c>
      <c r="C2927" t="s">
        <v>52</v>
      </c>
      <c r="D2927" s="49">
        <v>45737</v>
      </c>
      <c r="E2927" s="49">
        <v>45741</v>
      </c>
      <c r="F2927" s="49">
        <v>45750</v>
      </c>
      <c r="G2927" s="49">
        <v>45762</v>
      </c>
      <c r="H2927" s="49">
        <v>45773</v>
      </c>
      <c r="I2927" s="49">
        <v>45779</v>
      </c>
      <c r="J2927" t="s">
        <v>47</v>
      </c>
      <c r="K2927" s="33">
        <v>14300</v>
      </c>
      <c r="M2927" t="str">
        <f>_xlfn.XLOOKUP(Pipeline_tbl[[#This Row],[Rep_ID]],Dim_Reps!A:A,Dim_Reps!K:K)</f>
        <v>USD</v>
      </c>
      <c r="N2927" s="33">
        <f>(_xlfn.XLOOKUP(Pipeline_tbl[[#This Row],[Rate_Code_Generalized]],Lookups!A:A,Lookups!B:B))*Pipeline_tbl[[#This Row],[Pipeline_Amount_USD]]</f>
        <v>16649.489999999998</v>
      </c>
      <c r="O2927" t="str">
        <f>_xlfn.XLOOKUP(Pipeline_tbl[[#This Row],[Rep_ID]],Dim_Reps!A:A,Dim_Reps!B:B)</f>
        <v>Morgan Weber</v>
      </c>
      <c r="P2927" t="str">
        <f>_xlfn.XLOOKUP(Pipeline_tbl[[#This Row],[Rep_ID]],Dim_Reps!A:A,Dim_Reps!C:C)</f>
        <v>Mid-Market AE</v>
      </c>
      <c r="Q2927" t="str">
        <f>_xlfn.XLOOKUP(Pipeline_tbl[[#This Row],[Rep_ID]],Dim_Reps!A:A,Dim_Reps!D:D)</f>
        <v>Mid-Market</v>
      </c>
      <c r="R2927" t="str">
        <f>_xlfn.XLOOKUP(Pipeline_tbl[[#This Row],[Rep_ID]],Dim_Reps!A:A,Dim_Reps!E:E)</f>
        <v>NAMER</v>
      </c>
      <c r="S2927" t="str">
        <f>_xlfn.XLOOKUP(Pipeline_tbl[[#This Row],[Created_Date]],Dim_Date!A:A,Dim_Date!H:H)</f>
        <v>Mar 2025</v>
      </c>
      <c r="T2927" t="str">
        <f>IF(Pipeline_tbl[[#This Row],[Closed_Date]]=0,"",(_xlfn.XLOOKUP(Pipeline_tbl[[#This Row],[Closed_Date]],Dim_Date!A:A,Dim_Date!H:H)))</f>
        <v>May 2025</v>
      </c>
      <c r="U2927">
        <f>IF(Pipeline_tbl[[#This Row],[Closed_Date]]=0,"",Pipeline_tbl[[#This Row],[Closed_Date]]-Pipeline_tbl[[#This Row],[Created_Date]])</f>
        <v>42</v>
      </c>
    </row>
    <row r="2928" spans="1:21" ht="15" customHeight="1" x14ac:dyDescent="0.2">
      <c r="A2928" t="s">
        <v>3234</v>
      </c>
      <c r="B2928" t="s">
        <v>265</v>
      </c>
      <c r="C2928" t="s">
        <v>53</v>
      </c>
      <c r="D2928" s="49">
        <v>45747</v>
      </c>
      <c r="E2928" s="49">
        <v>45750</v>
      </c>
      <c r="F2928" s="49">
        <v>45756</v>
      </c>
      <c r="G2928" s="49">
        <v>45766</v>
      </c>
      <c r="H2928" s="49">
        <v>45773</v>
      </c>
      <c r="I2928" s="49">
        <v>45778</v>
      </c>
      <c r="J2928" t="s">
        <v>47</v>
      </c>
      <c r="K2928" s="33">
        <v>14800</v>
      </c>
      <c r="M2928" t="str">
        <f>_xlfn.XLOOKUP(Pipeline_tbl[[#This Row],[Rep_ID]],Dim_Reps!A:A,Dim_Reps!K:K)</f>
        <v>EUR</v>
      </c>
      <c r="N2928" s="33">
        <f>(_xlfn.XLOOKUP(Pipeline_tbl[[#This Row],[Rate_Code_Generalized]],Lookups!A:A,Lookups!B:B))*Pipeline_tbl[[#This Row],[Pipeline_Amount_USD]]</f>
        <v>14800</v>
      </c>
      <c r="O2928" t="str">
        <f>_xlfn.XLOOKUP(Pipeline_tbl[[#This Row],[Rep_ID]],Dim_Reps!A:A,Dim_Reps!B:B)</f>
        <v>Erik Duarte</v>
      </c>
      <c r="P2928" t="str">
        <f>_xlfn.XLOOKUP(Pipeline_tbl[[#This Row],[Rep_ID]],Dim_Reps!A:A,Dim_Reps!C:C)</f>
        <v>Mid-Market AE</v>
      </c>
      <c r="Q2928" t="str">
        <f>_xlfn.XLOOKUP(Pipeline_tbl[[#This Row],[Rep_ID]],Dim_Reps!A:A,Dim_Reps!D:D)</f>
        <v>Mid-Market</v>
      </c>
      <c r="R2928" t="str">
        <f>_xlfn.XLOOKUP(Pipeline_tbl[[#This Row],[Rep_ID]],Dim_Reps!A:A,Dim_Reps!E:E)</f>
        <v>EMEA</v>
      </c>
      <c r="S2928" t="str">
        <f>_xlfn.XLOOKUP(Pipeline_tbl[[#This Row],[Created_Date]],Dim_Date!A:A,Dim_Date!H:H)</f>
        <v>Mar 2025</v>
      </c>
      <c r="T2928" t="str">
        <f>IF(Pipeline_tbl[[#This Row],[Closed_Date]]=0,"",(_xlfn.XLOOKUP(Pipeline_tbl[[#This Row],[Closed_Date]],Dim_Date!A:A,Dim_Date!H:H)))</f>
        <v>May 2025</v>
      </c>
      <c r="U2928">
        <f>IF(Pipeline_tbl[[#This Row],[Closed_Date]]=0,"",Pipeline_tbl[[#This Row],[Closed_Date]]-Pipeline_tbl[[#This Row],[Created_Date]])</f>
        <v>31</v>
      </c>
    </row>
    <row r="2929" spans="1:21" ht="15" customHeight="1" x14ac:dyDescent="0.2">
      <c r="A2929" t="s">
        <v>3235</v>
      </c>
      <c r="B2929" t="s">
        <v>269</v>
      </c>
      <c r="C2929" t="s">
        <v>52</v>
      </c>
      <c r="D2929" s="49">
        <v>45728</v>
      </c>
      <c r="E2929" s="49">
        <v>45734</v>
      </c>
      <c r="F2929" s="49">
        <v>45747</v>
      </c>
      <c r="G2929" s="49">
        <v>45766</v>
      </c>
      <c r="H2929" s="49">
        <v>45782</v>
      </c>
      <c r="I2929" s="49">
        <v>45791</v>
      </c>
      <c r="J2929" t="s">
        <v>49</v>
      </c>
      <c r="K2929" s="33">
        <v>13800</v>
      </c>
      <c r="L2929" t="s">
        <v>61</v>
      </c>
      <c r="M2929" t="str">
        <f>_xlfn.XLOOKUP(Pipeline_tbl[[#This Row],[Rep_ID]],Dim_Reps!A:A,Dim_Reps!K:K)</f>
        <v>USD</v>
      </c>
      <c r="N2929" s="33">
        <f>(_xlfn.XLOOKUP(Pipeline_tbl[[#This Row],[Rate_Code_Generalized]],Lookups!A:A,Lookups!B:B))*Pipeline_tbl[[#This Row],[Pipeline_Amount_USD]]</f>
        <v>16067.339999999998</v>
      </c>
      <c r="O2929" t="str">
        <f>_xlfn.XLOOKUP(Pipeline_tbl[[#This Row],[Rep_ID]],Dim_Reps!A:A,Dim_Reps!B:B)</f>
        <v>Morgan Rivera</v>
      </c>
      <c r="P2929" t="str">
        <f>_xlfn.XLOOKUP(Pipeline_tbl[[#This Row],[Rep_ID]],Dim_Reps!A:A,Dim_Reps!C:C)</f>
        <v>Mid-Market AE</v>
      </c>
      <c r="Q2929" t="str">
        <f>_xlfn.XLOOKUP(Pipeline_tbl[[#This Row],[Rep_ID]],Dim_Reps!A:A,Dim_Reps!D:D)</f>
        <v>Mid-Market</v>
      </c>
      <c r="R2929" t="str">
        <f>_xlfn.XLOOKUP(Pipeline_tbl[[#This Row],[Rep_ID]],Dim_Reps!A:A,Dim_Reps!E:E)</f>
        <v>NAMER</v>
      </c>
      <c r="S2929" t="str">
        <f>_xlfn.XLOOKUP(Pipeline_tbl[[#This Row],[Created_Date]],Dim_Date!A:A,Dim_Date!H:H)</f>
        <v>Mar 2025</v>
      </c>
      <c r="T2929" t="str">
        <f>IF(Pipeline_tbl[[#This Row],[Closed_Date]]=0,"",(_xlfn.XLOOKUP(Pipeline_tbl[[#This Row],[Closed_Date]],Dim_Date!A:A,Dim_Date!H:H)))</f>
        <v>May 2025</v>
      </c>
      <c r="U2929">
        <f>IF(Pipeline_tbl[[#This Row],[Closed_Date]]=0,"",Pipeline_tbl[[#This Row],[Closed_Date]]-Pipeline_tbl[[#This Row],[Created_Date]])</f>
        <v>63</v>
      </c>
    </row>
    <row r="2930" spans="1:21" ht="15" customHeight="1" x14ac:dyDescent="0.2">
      <c r="A2930" t="s">
        <v>3236</v>
      </c>
      <c r="B2930" t="s">
        <v>269</v>
      </c>
      <c r="C2930" t="s">
        <v>52</v>
      </c>
      <c r="D2930" s="49">
        <v>45739</v>
      </c>
      <c r="E2930" s="49">
        <v>45743</v>
      </c>
      <c r="F2930" s="49">
        <v>45752</v>
      </c>
      <c r="G2930" s="49">
        <v>45764</v>
      </c>
      <c r="I2930" s="49">
        <v>45781</v>
      </c>
      <c r="J2930" t="s">
        <v>49</v>
      </c>
      <c r="K2930" s="33">
        <v>8500</v>
      </c>
      <c r="L2930" t="s">
        <v>60</v>
      </c>
      <c r="M2930" t="str">
        <f>_xlfn.XLOOKUP(Pipeline_tbl[[#This Row],[Rep_ID]],Dim_Reps!A:A,Dim_Reps!K:K)</f>
        <v>USD</v>
      </c>
      <c r="N2930" s="33">
        <f>(_xlfn.XLOOKUP(Pipeline_tbl[[#This Row],[Rate_Code_Generalized]],Lookups!A:A,Lookups!B:B))*Pipeline_tbl[[#This Row],[Pipeline_Amount_USD]]</f>
        <v>9896.5499999999993</v>
      </c>
      <c r="O2930" t="str">
        <f>_xlfn.XLOOKUP(Pipeline_tbl[[#This Row],[Rep_ID]],Dim_Reps!A:A,Dim_Reps!B:B)</f>
        <v>Morgan Rivera</v>
      </c>
      <c r="P2930" t="str">
        <f>_xlfn.XLOOKUP(Pipeline_tbl[[#This Row],[Rep_ID]],Dim_Reps!A:A,Dim_Reps!C:C)</f>
        <v>Mid-Market AE</v>
      </c>
      <c r="Q2930" t="str">
        <f>_xlfn.XLOOKUP(Pipeline_tbl[[#This Row],[Rep_ID]],Dim_Reps!A:A,Dim_Reps!D:D)</f>
        <v>Mid-Market</v>
      </c>
      <c r="R2930" t="str">
        <f>_xlfn.XLOOKUP(Pipeline_tbl[[#This Row],[Rep_ID]],Dim_Reps!A:A,Dim_Reps!E:E)</f>
        <v>NAMER</v>
      </c>
      <c r="S2930" t="str">
        <f>_xlfn.XLOOKUP(Pipeline_tbl[[#This Row],[Created_Date]],Dim_Date!A:A,Dim_Date!H:H)</f>
        <v>Mar 2025</v>
      </c>
      <c r="T2930" t="str">
        <f>IF(Pipeline_tbl[[#This Row],[Closed_Date]]=0,"",(_xlfn.XLOOKUP(Pipeline_tbl[[#This Row],[Closed_Date]],Dim_Date!A:A,Dim_Date!H:H)))</f>
        <v>May 2025</v>
      </c>
      <c r="U2930">
        <f>IF(Pipeline_tbl[[#This Row],[Closed_Date]]=0,"",Pipeline_tbl[[#This Row],[Closed_Date]]-Pipeline_tbl[[#This Row],[Created_Date]])</f>
        <v>42</v>
      </c>
    </row>
    <row r="2931" spans="1:21" ht="15" customHeight="1" x14ac:dyDescent="0.2">
      <c r="A2931" t="s">
        <v>3237</v>
      </c>
      <c r="B2931" t="s">
        <v>271</v>
      </c>
      <c r="C2931" t="s">
        <v>55</v>
      </c>
      <c r="D2931" s="49">
        <v>45742</v>
      </c>
      <c r="E2931" s="49">
        <v>45746</v>
      </c>
      <c r="F2931" s="49">
        <v>45753</v>
      </c>
      <c r="G2931" s="49">
        <v>45764</v>
      </c>
      <c r="H2931" s="49">
        <v>45773</v>
      </c>
      <c r="I2931" s="49">
        <v>45778</v>
      </c>
      <c r="J2931" t="s">
        <v>47</v>
      </c>
      <c r="K2931" s="33">
        <v>13000</v>
      </c>
      <c r="M2931" t="str">
        <f>_xlfn.XLOOKUP(Pipeline_tbl[[#This Row],[Rep_ID]],Dim_Reps!A:A,Dim_Reps!K:K)</f>
        <v>EUR</v>
      </c>
      <c r="N2931" s="33">
        <f>(_xlfn.XLOOKUP(Pipeline_tbl[[#This Row],[Rate_Code_Generalized]],Lookups!A:A,Lookups!B:B))*Pipeline_tbl[[#This Row],[Pipeline_Amount_USD]]</f>
        <v>13000</v>
      </c>
      <c r="O2931" t="str">
        <f>_xlfn.XLOOKUP(Pipeline_tbl[[#This Row],[Rep_ID]],Dim_Reps!A:A,Dim_Reps!B:B)</f>
        <v>Ivy Adler</v>
      </c>
      <c r="P2931" t="str">
        <f>_xlfn.XLOOKUP(Pipeline_tbl[[#This Row],[Rep_ID]],Dim_Reps!A:A,Dim_Reps!C:C)</f>
        <v>Mid-Market AE</v>
      </c>
      <c r="Q2931" t="str">
        <f>_xlfn.XLOOKUP(Pipeline_tbl[[#This Row],[Rep_ID]],Dim_Reps!A:A,Dim_Reps!D:D)</f>
        <v>Mid-Market</v>
      </c>
      <c r="R2931" t="str">
        <f>_xlfn.XLOOKUP(Pipeline_tbl[[#This Row],[Rep_ID]],Dim_Reps!A:A,Dim_Reps!E:E)</f>
        <v>APAC</v>
      </c>
      <c r="S2931" t="str">
        <f>_xlfn.XLOOKUP(Pipeline_tbl[[#This Row],[Created_Date]],Dim_Date!A:A,Dim_Date!H:H)</f>
        <v>Mar 2025</v>
      </c>
      <c r="T2931" t="str">
        <f>IF(Pipeline_tbl[[#This Row],[Closed_Date]]=0,"",(_xlfn.XLOOKUP(Pipeline_tbl[[#This Row],[Closed_Date]],Dim_Date!A:A,Dim_Date!H:H)))</f>
        <v>May 2025</v>
      </c>
      <c r="U2931">
        <f>IF(Pipeline_tbl[[#This Row],[Closed_Date]]=0,"",Pipeline_tbl[[#This Row],[Closed_Date]]-Pipeline_tbl[[#This Row],[Created_Date]])</f>
        <v>36</v>
      </c>
    </row>
    <row r="2932" spans="1:21" ht="15" customHeight="1" x14ac:dyDescent="0.2">
      <c r="A2932" t="s">
        <v>3238</v>
      </c>
      <c r="B2932" t="s">
        <v>271</v>
      </c>
      <c r="C2932" t="s">
        <v>52</v>
      </c>
      <c r="D2932" s="49">
        <v>45729</v>
      </c>
      <c r="E2932" s="49">
        <v>45734</v>
      </c>
      <c r="F2932" s="49">
        <v>45744</v>
      </c>
      <c r="G2932" s="49">
        <v>45759</v>
      </c>
      <c r="H2932" s="49">
        <v>45772</v>
      </c>
      <c r="I2932" s="49">
        <v>45779</v>
      </c>
      <c r="J2932" t="s">
        <v>47</v>
      </c>
      <c r="K2932" s="33">
        <v>10400</v>
      </c>
      <c r="M2932" t="str">
        <f>_xlfn.XLOOKUP(Pipeline_tbl[[#This Row],[Rep_ID]],Dim_Reps!A:A,Dim_Reps!K:K)</f>
        <v>EUR</v>
      </c>
      <c r="N2932" s="33">
        <f>(_xlfn.XLOOKUP(Pipeline_tbl[[#This Row],[Rate_Code_Generalized]],Lookups!A:A,Lookups!B:B))*Pipeline_tbl[[#This Row],[Pipeline_Amount_USD]]</f>
        <v>10400</v>
      </c>
      <c r="O2932" t="str">
        <f>_xlfn.XLOOKUP(Pipeline_tbl[[#This Row],[Rep_ID]],Dim_Reps!A:A,Dim_Reps!B:B)</f>
        <v>Ivy Adler</v>
      </c>
      <c r="P2932" t="str">
        <f>_xlfn.XLOOKUP(Pipeline_tbl[[#This Row],[Rep_ID]],Dim_Reps!A:A,Dim_Reps!C:C)</f>
        <v>Mid-Market AE</v>
      </c>
      <c r="Q2932" t="str">
        <f>_xlfn.XLOOKUP(Pipeline_tbl[[#This Row],[Rep_ID]],Dim_Reps!A:A,Dim_Reps!D:D)</f>
        <v>Mid-Market</v>
      </c>
      <c r="R2932" t="str">
        <f>_xlfn.XLOOKUP(Pipeline_tbl[[#This Row],[Rep_ID]],Dim_Reps!A:A,Dim_Reps!E:E)</f>
        <v>APAC</v>
      </c>
      <c r="S2932" t="str">
        <f>_xlfn.XLOOKUP(Pipeline_tbl[[#This Row],[Created_Date]],Dim_Date!A:A,Dim_Date!H:H)</f>
        <v>Mar 2025</v>
      </c>
      <c r="T2932" t="str">
        <f>IF(Pipeline_tbl[[#This Row],[Closed_Date]]=0,"",(_xlfn.XLOOKUP(Pipeline_tbl[[#This Row],[Closed_Date]],Dim_Date!A:A,Dim_Date!H:H)))</f>
        <v>May 2025</v>
      </c>
      <c r="U2932">
        <f>IF(Pipeline_tbl[[#This Row],[Closed_Date]]=0,"",Pipeline_tbl[[#This Row],[Closed_Date]]-Pipeline_tbl[[#This Row],[Created_Date]])</f>
        <v>50</v>
      </c>
    </row>
    <row r="2933" spans="1:21" ht="15" customHeight="1" x14ac:dyDescent="0.2">
      <c r="A2933" t="s">
        <v>3239</v>
      </c>
      <c r="B2933" t="s">
        <v>273</v>
      </c>
      <c r="C2933" t="s">
        <v>54</v>
      </c>
      <c r="D2933" s="49">
        <v>45744</v>
      </c>
      <c r="E2933" s="49">
        <v>45748</v>
      </c>
      <c r="F2933" s="49">
        <v>45757</v>
      </c>
      <c r="I2933" s="49">
        <v>45787</v>
      </c>
      <c r="J2933" t="s">
        <v>49</v>
      </c>
      <c r="K2933" s="33">
        <v>19100</v>
      </c>
      <c r="L2933" t="s">
        <v>60</v>
      </c>
      <c r="M2933" t="str">
        <f>_xlfn.XLOOKUP(Pipeline_tbl[[#This Row],[Rep_ID]],Dim_Reps!A:A,Dim_Reps!K:K)</f>
        <v>EUR</v>
      </c>
      <c r="N2933" s="33">
        <f>(_xlfn.XLOOKUP(Pipeline_tbl[[#This Row],[Rate_Code_Generalized]],Lookups!A:A,Lookups!B:B))*Pipeline_tbl[[#This Row],[Pipeline_Amount_USD]]</f>
        <v>19100</v>
      </c>
      <c r="O2933" t="str">
        <f>_xlfn.XLOOKUP(Pipeline_tbl[[#This Row],[Rep_ID]],Dim_Reps!A:A,Dim_Reps!B:B)</f>
        <v>Olivia Cohen</v>
      </c>
      <c r="P2933" t="str">
        <f>_xlfn.XLOOKUP(Pipeline_tbl[[#This Row],[Rep_ID]],Dim_Reps!A:A,Dim_Reps!C:C)</f>
        <v>Mid-Market AE</v>
      </c>
      <c r="Q2933" t="str">
        <f>_xlfn.XLOOKUP(Pipeline_tbl[[#This Row],[Rep_ID]],Dim_Reps!A:A,Dim_Reps!D:D)</f>
        <v>Mid-Market</v>
      </c>
      <c r="R2933" t="str">
        <f>_xlfn.XLOOKUP(Pipeline_tbl[[#This Row],[Rep_ID]],Dim_Reps!A:A,Dim_Reps!E:E)</f>
        <v>APAC</v>
      </c>
      <c r="S2933" t="str">
        <f>_xlfn.XLOOKUP(Pipeline_tbl[[#This Row],[Created_Date]],Dim_Date!A:A,Dim_Date!H:H)</f>
        <v>Mar 2025</v>
      </c>
      <c r="T2933" t="str">
        <f>IF(Pipeline_tbl[[#This Row],[Closed_Date]]=0,"",(_xlfn.XLOOKUP(Pipeline_tbl[[#This Row],[Closed_Date]],Dim_Date!A:A,Dim_Date!H:H)))</f>
        <v>May 2025</v>
      </c>
      <c r="U2933">
        <f>IF(Pipeline_tbl[[#This Row],[Closed_Date]]=0,"",Pipeline_tbl[[#This Row],[Closed_Date]]-Pipeline_tbl[[#This Row],[Created_Date]])</f>
        <v>43</v>
      </c>
    </row>
    <row r="2934" spans="1:21" ht="15" customHeight="1" x14ac:dyDescent="0.2">
      <c r="A2934" t="s">
        <v>3240</v>
      </c>
      <c r="B2934" t="s">
        <v>193</v>
      </c>
      <c r="C2934" t="s">
        <v>53</v>
      </c>
      <c r="D2934" s="49">
        <v>45378</v>
      </c>
      <c r="E2934" s="49">
        <v>45380</v>
      </c>
      <c r="F2934" s="49">
        <v>45383</v>
      </c>
      <c r="G2934" s="49">
        <v>45387</v>
      </c>
      <c r="H2934" s="49">
        <v>45391</v>
      </c>
      <c r="I2934" s="49">
        <v>45393</v>
      </c>
      <c r="J2934" t="s">
        <v>49</v>
      </c>
      <c r="K2934" s="33">
        <v>7500</v>
      </c>
      <c r="L2934" t="s">
        <v>63</v>
      </c>
      <c r="M2934" t="str">
        <f>_xlfn.XLOOKUP(Pipeline_tbl[[#This Row],[Rep_ID]],Dim_Reps!A:A,Dim_Reps!K:K)</f>
        <v>USD</v>
      </c>
      <c r="N2934" s="33">
        <f>(_xlfn.XLOOKUP(Pipeline_tbl[[#This Row],[Rate_Code_Generalized]],Lookups!A:A,Lookups!B:B))*Pipeline_tbl[[#This Row],[Pipeline_Amount_USD]]</f>
        <v>8732.25</v>
      </c>
      <c r="O2934" t="str">
        <f>_xlfn.XLOOKUP(Pipeline_tbl[[#This Row],[Rep_ID]],Dim_Reps!A:A,Dim_Reps!B:B)</f>
        <v>Karim Rossi</v>
      </c>
      <c r="P2934" t="str">
        <f>_xlfn.XLOOKUP(Pipeline_tbl[[#This Row],[Rep_ID]],Dim_Reps!A:A,Dim_Reps!C:C)</f>
        <v>SDR / Inside Sales Rep</v>
      </c>
      <c r="Q2934" t="str">
        <f>_xlfn.XLOOKUP(Pipeline_tbl[[#This Row],[Rep_ID]],Dim_Reps!A:A,Dim_Reps!D:D)</f>
        <v>Inside Sales</v>
      </c>
      <c r="R2934" t="str">
        <f>_xlfn.XLOOKUP(Pipeline_tbl[[#This Row],[Rep_ID]],Dim_Reps!A:A,Dim_Reps!E:E)</f>
        <v>NAMER</v>
      </c>
      <c r="S2934" t="str">
        <f>_xlfn.XLOOKUP(Pipeline_tbl[[#This Row],[Created_Date]],Dim_Date!A:A,Dim_Date!H:H)</f>
        <v>Mar 2024</v>
      </c>
      <c r="T2934" t="str">
        <f>IF(Pipeline_tbl[[#This Row],[Closed_Date]]=0,"",(_xlfn.XLOOKUP(Pipeline_tbl[[#This Row],[Closed_Date]],Dim_Date!A:A,Dim_Date!H:H)))</f>
        <v>Apr 2024</v>
      </c>
      <c r="U2934">
        <f>IF(Pipeline_tbl[[#This Row],[Closed_Date]]=0,"",Pipeline_tbl[[#This Row],[Closed_Date]]-Pipeline_tbl[[#This Row],[Created_Date]])</f>
        <v>15</v>
      </c>
    </row>
    <row r="2935" spans="1:21" ht="15" customHeight="1" x14ac:dyDescent="0.2">
      <c r="A2935" t="s">
        <v>3241</v>
      </c>
      <c r="B2935" t="s">
        <v>193</v>
      </c>
      <c r="C2935" t="s">
        <v>53</v>
      </c>
      <c r="D2935" s="49">
        <v>45374</v>
      </c>
      <c r="E2935" s="49">
        <v>45376</v>
      </c>
      <c r="F2935" s="49">
        <v>45380</v>
      </c>
      <c r="I2935" s="49">
        <v>45394</v>
      </c>
      <c r="J2935" t="s">
        <v>49</v>
      </c>
      <c r="K2935" s="33">
        <v>2600</v>
      </c>
      <c r="L2935" t="s">
        <v>64</v>
      </c>
      <c r="M2935" t="str">
        <f>_xlfn.XLOOKUP(Pipeline_tbl[[#This Row],[Rep_ID]],Dim_Reps!A:A,Dim_Reps!K:K)</f>
        <v>USD</v>
      </c>
      <c r="N2935" s="33">
        <f>(_xlfn.XLOOKUP(Pipeline_tbl[[#This Row],[Rate_Code_Generalized]],Lookups!A:A,Lookups!B:B))*Pipeline_tbl[[#This Row],[Pipeline_Amount_USD]]</f>
        <v>3027.18</v>
      </c>
      <c r="O2935" t="str">
        <f>_xlfn.XLOOKUP(Pipeline_tbl[[#This Row],[Rep_ID]],Dim_Reps!A:A,Dim_Reps!B:B)</f>
        <v>Karim Rossi</v>
      </c>
      <c r="P2935" t="str">
        <f>_xlfn.XLOOKUP(Pipeline_tbl[[#This Row],[Rep_ID]],Dim_Reps!A:A,Dim_Reps!C:C)</f>
        <v>SDR / Inside Sales Rep</v>
      </c>
      <c r="Q2935" t="str">
        <f>_xlfn.XLOOKUP(Pipeline_tbl[[#This Row],[Rep_ID]],Dim_Reps!A:A,Dim_Reps!D:D)</f>
        <v>Inside Sales</v>
      </c>
      <c r="R2935" t="str">
        <f>_xlfn.XLOOKUP(Pipeline_tbl[[#This Row],[Rep_ID]],Dim_Reps!A:A,Dim_Reps!E:E)</f>
        <v>NAMER</v>
      </c>
      <c r="S2935" t="str">
        <f>_xlfn.XLOOKUP(Pipeline_tbl[[#This Row],[Created_Date]],Dim_Date!A:A,Dim_Date!H:H)</f>
        <v>Mar 2024</v>
      </c>
      <c r="T2935" t="str">
        <f>IF(Pipeline_tbl[[#This Row],[Closed_Date]]=0,"",(_xlfn.XLOOKUP(Pipeline_tbl[[#This Row],[Closed_Date]],Dim_Date!A:A,Dim_Date!H:H)))</f>
        <v>Apr 2024</v>
      </c>
      <c r="U2935">
        <f>IF(Pipeline_tbl[[#This Row],[Closed_Date]]=0,"",Pipeline_tbl[[#This Row],[Closed_Date]]-Pipeline_tbl[[#This Row],[Created_Date]])</f>
        <v>20</v>
      </c>
    </row>
    <row r="2936" spans="1:21" ht="15" customHeight="1" x14ac:dyDescent="0.2">
      <c r="A2936" t="s">
        <v>3242</v>
      </c>
      <c r="B2936" t="s">
        <v>193</v>
      </c>
      <c r="C2936" t="s">
        <v>52</v>
      </c>
      <c r="D2936" s="49">
        <v>45361</v>
      </c>
      <c r="E2936" s="49">
        <v>45363</v>
      </c>
      <c r="F2936" s="49">
        <v>45368</v>
      </c>
      <c r="G2936" s="49">
        <v>45375</v>
      </c>
      <c r="H2936" s="49">
        <v>45381</v>
      </c>
      <c r="I2936" s="49">
        <v>45385</v>
      </c>
      <c r="J2936" t="s">
        <v>47</v>
      </c>
      <c r="K2936" s="33">
        <v>3500</v>
      </c>
      <c r="M2936" t="str">
        <f>_xlfn.XLOOKUP(Pipeline_tbl[[#This Row],[Rep_ID]],Dim_Reps!A:A,Dim_Reps!K:K)</f>
        <v>USD</v>
      </c>
      <c r="N2936" s="33">
        <f>(_xlfn.XLOOKUP(Pipeline_tbl[[#This Row],[Rate_Code_Generalized]],Lookups!A:A,Lookups!B:B))*Pipeline_tbl[[#This Row],[Pipeline_Amount_USD]]</f>
        <v>4075.0499999999997</v>
      </c>
      <c r="O2936" t="str">
        <f>_xlfn.XLOOKUP(Pipeline_tbl[[#This Row],[Rep_ID]],Dim_Reps!A:A,Dim_Reps!B:B)</f>
        <v>Karim Rossi</v>
      </c>
      <c r="P2936" t="str">
        <f>_xlfn.XLOOKUP(Pipeline_tbl[[#This Row],[Rep_ID]],Dim_Reps!A:A,Dim_Reps!C:C)</f>
        <v>SDR / Inside Sales Rep</v>
      </c>
      <c r="Q2936" t="str">
        <f>_xlfn.XLOOKUP(Pipeline_tbl[[#This Row],[Rep_ID]],Dim_Reps!A:A,Dim_Reps!D:D)</f>
        <v>Inside Sales</v>
      </c>
      <c r="R2936" t="str">
        <f>_xlfn.XLOOKUP(Pipeline_tbl[[#This Row],[Rep_ID]],Dim_Reps!A:A,Dim_Reps!E:E)</f>
        <v>NAMER</v>
      </c>
      <c r="S2936" t="str">
        <f>_xlfn.XLOOKUP(Pipeline_tbl[[#This Row],[Created_Date]],Dim_Date!A:A,Dim_Date!H:H)</f>
        <v>Mar 2024</v>
      </c>
      <c r="T2936" t="str">
        <f>IF(Pipeline_tbl[[#This Row],[Closed_Date]]=0,"",(_xlfn.XLOOKUP(Pipeline_tbl[[#This Row],[Closed_Date]],Dim_Date!A:A,Dim_Date!H:H)))</f>
        <v>Apr 2024</v>
      </c>
      <c r="U2936">
        <f>IF(Pipeline_tbl[[#This Row],[Closed_Date]]=0,"",Pipeline_tbl[[#This Row],[Closed_Date]]-Pipeline_tbl[[#This Row],[Created_Date]])</f>
        <v>24</v>
      </c>
    </row>
    <row r="2937" spans="1:21" ht="15" customHeight="1" x14ac:dyDescent="0.2">
      <c r="A2937" t="s">
        <v>3243</v>
      </c>
      <c r="B2937" t="s">
        <v>243</v>
      </c>
      <c r="C2937" t="s">
        <v>54</v>
      </c>
      <c r="D2937" s="49">
        <v>45377</v>
      </c>
      <c r="E2937" s="49">
        <v>45380</v>
      </c>
      <c r="F2937" s="49">
        <v>45385</v>
      </c>
      <c r="G2937" s="49">
        <v>45394</v>
      </c>
      <c r="H2937" s="49">
        <v>45401</v>
      </c>
      <c r="I2937" s="49">
        <v>45405</v>
      </c>
      <c r="J2937" t="s">
        <v>47</v>
      </c>
      <c r="K2937" s="33">
        <v>12400</v>
      </c>
      <c r="M2937" t="str">
        <f>_xlfn.XLOOKUP(Pipeline_tbl[[#This Row],[Rep_ID]],Dim_Reps!A:A,Dim_Reps!K:K)</f>
        <v>MXN</v>
      </c>
      <c r="N2937" s="33">
        <f>(_xlfn.XLOOKUP(Pipeline_tbl[[#This Row],[Rate_Code_Generalized]],Lookups!A:A,Lookups!B:B))*Pipeline_tbl[[#This Row],[Pipeline_Amount_USD]]</f>
        <v>244685.48</v>
      </c>
      <c r="O2937" t="str">
        <f>_xlfn.XLOOKUP(Pipeline_tbl[[#This Row],[Rep_ID]],Dim_Reps!A:A,Dim_Reps!B:B)</f>
        <v>Jonas Sato</v>
      </c>
      <c r="P2937" t="str">
        <f>_xlfn.XLOOKUP(Pipeline_tbl[[#This Row],[Rep_ID]],Dim_Reps!A:A,Dim_Reps!C:C)</f>
        <v>Mid-Market AE</v>
      </c>
      <c r="Q2937" t="str">
        <f>_xlfn.XLOOKUP(Pipeline_tbl[[#This Row],[Rep_ID]],Dim_Reps!A:A,Dim_Reps!D:D)</f>
        <v>Mid-Market</v>
      </c>
      <c r="R2937" t="str">
        <f>_xlfn.XLOOKUP(Pipeline_tbl[[#This Row],[Rep_ID]],Dim_Reps!A:A,Dim_Reps!E:E)</f>
        <v>LATAM</v>
      </c>
      <c r="S2937" t="str">
        <f>_xlfn.XLOOKUP(Pipeline_tbl[[#This Row],[Created_Date]],Dim_Date!A:A,Dim_Date!H:H)</f>
        <v>Mar 2024</v>
      </c>
      <c r="T2937" t="str">
        <f>IF(Pipeline_tbl[[#This Row],[Closed_Date]]=0,"",(_xlfn.XLOOKUP(Pipeline_tbl[[#This Row],[Closed_Date]],Dim_Date!A:A,Dim_Date!H:H)))</f>
        <v>Apr 2024</v>
      </c>
      <c r="U2937">
        <f>IF(Pipeline_tbl[[#This Row],[Closed_Date]]=0,"",Pipeline_tbl[[#This Row],[Closed_Date]]-Pipeline_tbl[[#This Row],[Created_Date]])</f>
        <v>28</v>
      </c>
    </row>
    <row r="2938" spans="1:21" ht="15" customHeight="1" x14ac:dyDescent="0.2">
      <c r="A2938" t="s">
        <v>3244</v>
      </c>
      <c r="B2938" t="s">
        <v>243</v>
      </c>
      <c r="C2938" t="s">
        <v>52</v>
      </c>
      <c r="D2938" s="49">
        <v>45380</v>
      </c>
      <c r="E2938" s="49">
        <v>45382</v>
      </c>
      <c r="F2938" s="49">
        <v>45386</v>
      </c>
      <c r="G2938" s="49">
        <v>45391</v>
      </c>
      <c r="I2938" s="49">
        <v>45399</v>
      </c>
      <c r="J2938" t="s">
        <v>49</v>
      </c>
      <c r="K2938" s="33">
        <v>21100</v>
      </c>
      <c r="L2938" t="s">
        <v>62</v>
      </c>
      <c r="M2938" t="str">
        <f>_xlfn.XLOOKUP(Pipeline_tbl[[#This Row],[Rep_ID]],Dim_Reps!A:A,Dim_Reps!K:K)</f>
        <v>MXN</v>
      </c>
      <c r="N2938" s="33">
        <f>(_xlfn.XLOOKUP(Pipeline_tbl[[#This Row],[Rate_Code_Generalized]],Lookups!A:A,Lookups!B:B))*Pipeline_tbl[[#This Row],[Pipeline_Amount_USD]]</f>
        <v>416359.97000000003</v>
      </c>
      <c r="O2938" t="str">
        <f>_xlfn.XLOOKUP(Pipeline_tbl[[#This Row],[Rep_ID]],Dim_Reps!A:A,Dim_Reps!B:B)</f>
        <v>Jonas Sato</v>
      </c>
      <c r="P2938" t="str">
        <f>_xlfn.XLOOKUP(Pipeline_tbl[[#This Row],[Rep_ID]],Dim_Reps!A:A,Dim_Reps!C:C)</f>
        <v>Mid-Market AE</v>
      </c>
      <c r="Q2938" t="str">
        <f>_xlfn.XLOOKUP(Pipeline_tbl[[#This Row],[Rep_ID]],Dim_Reps!A:A,Dim_Reps!D:D)</f>
        <v>Mid-Market</v>
      </c>
      <c r="R2938" t="str">
        <f>_xlfn.XLOOKUP(Pipeline_tbl[[#This Row],[Rep_ID]],Dim_Reps!A:A,Dim_Reps!E:E)</f>
        <v>LATAM</v>
      </c>
      <c r="S2938" t="str">
        <f>_xlfn.XLOOKUP(Pipeline_tbl[[#This Row],[Created_Date]],Dim_Date!A:A,Dim_Date!H:H)</f>
        <v>Mar 2024</v>
      </c>
      <c r="T2938" t="str">
        <f>IF(Pipeline_tbl[[#This Row],[Closed_Date]]=0,"",(_xlfn.XLOOKUP(Pipeline_tbl[[#This Row],[Closed_Date]],Dim_Date!A:A,Dim_Date!H:H)))</f>
        <v>Apr 2024</v>
      </c>
      <c r="U2938">
        <f>IF(Pipeline_tbl[[#This Row],[Closed_Date]]=0,"",Pipeline_tbl[[#This Row],[Closed_Date]]-Pipeline_tbl[[#This Row],[Created_Date]])</f>
        <v>19</v>
      </c>
    </row>
    <row r="2939" spans="1:21" ht="15" customHeight="1" x14ac:dyDescent="0.2">
      <c r="A2939" t="s">
        <v>3245</v>
      </c>
      <c r="B2939" t="s">
        <v>243</v>
      </c>
      <c r="C2939" t="s">
        <v>52</v>
      </c>
      <c r="D2939" s="49">
        <v>45377</v>
      </c>
      <c r="E2939" s="49">
        <v>45380</v>
      </c>
      <c r="F2939" s="49">
        <v>45387</v>
      </c>
      <c r="G2939" s="49">
        <v>45397</v>
      </c>
      <c r="I2939" s="49">
        <v>45410</v>
      </c>
      <c r="J2939" t="s">
        <v>49</v>
      </c>
      <c r="K2939" s="33">
        <v>15300</v>
      </c>
      <c r="L2939" t="s">
        <v>62</v>
      </c>
      <c r="M2939" t="str">
        <f>_xlfn.XLOOKUP(Pipeline_tbl[[#This Row],[Rep_ID]],Dim_Reps!A:A,Dim_Reps!K:K)</f>
        <v>MXN</v>
      </c>
      <c r="N2939" s="33">
        <f>(_xlfn.XLOOKUP(Pipeline_tbl[[#This Row],[Rate_Code_Generalized]],Lookups!A:A,Lookups!B:B))*Pipeline_tbl[[#This Row],[Pipeline_Amount_USD]]</f>
        <v>301910.31</v>
      </c>
      <c r="O2939" t="str">
        <f>_xlfn.XLOOKUP(Pipeline_tbl[[#This Row],[Rep_ID]],Dim_Reps!A:A,Dim_Reps!B:B)</f>
        <v>Jonas Sato</v>
      </c>
      <c r="P2939" t="str">
        <f>_xlfn.XLOOKUP(Pipeline_tbl[[#This Row],[Rep_ID]],Dim_Reps!A:A,Dim_Reps!C:C)</f>
        <v>Mid-Market AE</v>
      </c>
      <c r="Q2939" t="str">
        <f>_xlfn.XLOOKUP(Pipeline_tbl[[#This Row],[Rep_ID]],Dim_Reps!A:A,Dim_Reps!D:D)</f>
        <v>Mid-Market</v>
      </c>
      <c r="R2939" t="str">
        <f>_xlfn.XLOOKUP(Pipeline_tbl[[#This Row],[Rep_ID]],Dim_Reps!A:A,Dim_Reps!E:E)</f>
        <v>LATAM</v>
      </c>
      <c r="S2939" t="str">
        <f>_xlfn.XLOOKUP(Pipeline_tbl[[#This Row],[Created_Date]],Dim_Date!A:A,Dim_Date!H:H)</f>
        <v>Mar 2024</v>
      </c>
      <c r="T2939" t="str">
        <f>IF(Pipeline_tbl[[#This Row],[Closed_Date]]=0,"",(_xlfn.XLOOKUP(Pipeline_tbl[[#This Row],[Closed_Date]],Dim_Date!A:A,Dim_Date!H:H)))</f>
        <v>Apr 2024</v>
      </c>
      <c r="U2939">
        <f>IF(Pipeline_tbl[[#This Row],[Closed_Date]]=0,"",Pipeline_tbl[[#This Row],[Closed_Date]]-Pipeline_tbl[[#This Row],[Created_Date]])</f>
        <v>33</v>
      </c>
    </row>
    <row r="2940" spans="1:21" ht="15" customHeight="1" x14ac:dyDescent="0.2">
      <c r="A2940" t="s">
        <v>3246</v>
      </c>
      <c r="B2940" t="s">
        <v>243</v>
      </c>
      <c r="C2940" t="s">
        <v>52</v>
      </c>
      <c r="D2940" s="49">
        <v>45375</v>
      </c>
      <c r="E2940" s="49">
        <v>45378</v>
      </c>
      <c r="F2940" s="49">
        <v>45384</v>
      </c>
      <c r="G2940" s="49">
        <v>45392</v>
      </c>
      <c r="H2940" s="49">
        <v>45400</v>
      </c>
      <c r="I2940" s="49">
        <v>45404</v>
      </c>
      <c r="J2940" t="s">
        <v>47</v>
      </c>
      <c r="K2940" s="33">
        <v>23800</v>
      </c>
      <c r="M2940" t="str">
        <f>_xlfn.XLOOKUP(Pipeline_tbl[[#This Row],[Rep_ID]],Dim_Reps!A:A,Dim_Reps!K:K)</f>
        <v>MXN</v>
      </c>
      <c r="N2940" s="33">
        <f>(_xlfn.XLOOKUP(Pipeline_tbl[[#This Row],[Rate_Code_Generalized]],Lookups!A:A,Lookups!B:B))*Pipeline_tbl[[#This Row],[Pipeline_Amount_USD]]</f>
        <v>469638.26</v>
      </c>
      <c r="O2940" t="str">
        <f>_xlfn.XLOOKUP(Pipeline_tbl[[#This Row],[Rep_ID]],Dim_Reps!A:A,Dim_Reps!B:B)</f>
        <v>Jonas Sato</v>
      </c>
      <c r="P2940" t="str">
        <f>_xlfn.XLOOKUP(Pipeline_tbl[[#This Row],[Rep_ID]],Dim_Reps!A:A,Dim_Reps!C:C)</f>
        <v>Mid-Market AE</v>
      </c>
      <c r="Q2940" t="str">
        <f>_xlfn.XLOOKUP(Pipeline_tbl[[#This Row],[Rep_ID]],Dim_Reps!A:A,Dim_Reps!D:D)</f>
        <v>Mid-Market</v>
      </c>
      <c r="R2940" t="str">
        <f>_xlfn.XLOOKUP(Pipeline_tbl[[#This Row],[Rep_ID]],Dim_Reps!A:A,Dim_Reps!E:E)</f>
        <v>LATAM</v>
      </c>
      <c r="S2940" t="str">
        <f>_xlfn.XLOOKUP(Pipeline_tbl[[#This Row],[Created_Date]],Dim_Date!A:A,Dim_Date!H:H)</f>
        <v>Mar 2024</v>
      </c>
      <c r="T2940" t="str">
        <f>IF(Pipeline_tbl[[#This Row],[Closed_Date]]=0,"",(_xlfn.XLOOKUP(Pipeline_tbl[[#This Row],[Closed_Date]],Dim_Date!A:A,Dim_Date!H:H)))</f>
        <v>Apr 2024</v>
      </c>
      <c r="U2940">
        <f>IF(Pipeline_tbl[[#This Row],[Closed_Date]]=0,"",Pipeline_tbl[[#This Row],[Closed_Date]]-Pipeline_tbl[[#This Row],[Created_Date]])</f>
        <v>29</v>
      </c>
    </row>
    <row r="2941" spans="1:21" ht="15" customHeight="1" x14ac:dyDescent="0.2">
      <c r="A2941" t="s">
        <v>3247</v>
      </c>
      <c r="B2941" t="s">
        <v>199</v>
      </c>
      <c r="C2941" t="s">
        <v>52</v>
      </c>
      <c r="D2941" s="49">
        <v>45379</v>
      </c>
      <c r="E2941" s="49">
        <v>45381</v>
      </c>
      <c r="F2941" s="49">
        <v>45385</v>
      </c>
      <c r="G2941" s="49">
        <v>45391</v>
      </c>
      <c r="H2941" s="49">
        <v>45396</v>
      </c>
      <c r="I2941" s="49">
        <v>45399</v>
      </c>
      <c r="J2941" t="s">
        <v>47</v>
      </c>
      <c r="K2941" s="33">
        <v>4500</v>
      </c>
      <c r="M2941" t="str">
        <f>_xlfn.XLOOKUP(Pipeline_tbl[[#This Row],[Rep_ID]],Dim_Reps!A:A,Dim_Reps!K:K)</f>
        <v>EUR</v>
      </c>
      <c r="N2941" s="33">
        <f>(_xlfn.XLOOKUP(Pipeline_tbl[[#This Row],[Rate_Code_Generalized]],Lookups!A:A,Lookups!B:B))*Pipeline_tbl[[#This Row],[Pipeline_Amount_USD]]</f>
        <v>4500</v>
      </c>
      <c r="O2941" t="str">
        <f>_xlfn.XLOOKUP(Pipeline_tbl[[#This Row],[Rep_ID]],Dim_Reps!A:A,Dim_Reps!B:B)</f>
        <v>Lucas Okafor</v>
      </c>
      <c r="P2941" t="str">
        <f>_xlfn.XLOOKUP(Pipeline_tbl[[#This Row],[Rep_ID]],Dim_Reps!A:A,Dim_Reps!C:C)</f>
        <v>SDR / Inside Sales Rep</v>
      </c>
      <c r="Q2941" t="str">
        <f>_xlfn.XLOOKUP(Pipeline_tbl[[#This Row],[Rep_ID]],Dim_Reps!A:A,Dim_Reps!D:D)</f>
        <v>Inside Sales</v>
      </c>
      <c r="R2941" t="str">
        <f>_xlfn.XLOOKUP(Pipeline_tbl[[#This Row],[Rep_ID]],Dim_Reps!A:A,Dim_Reps!E:E)</f>
        <v>APAC</v>
      </c>
      <c r="S2941" t="str">
        <f>_xlfn.XLOOKUP(Pipeline_tbl[[#This Row],[Created_Date]],Dim_Date!A:A,Dim_Date!H:H)</f>
        <v>Mar 2024</v>
      </c>
      <c r="T2941" t="str">
        <f>IF(Pipeline_tbl[[#This Row],[Closed_Date]]=0,"",(_xlfn.XLOOKUP(Pipeline_tbl[[#This Row],[Closed_Date]],Dim_Date!A:A,Dim_Date!H:H)))</f>
        <v>Apr 2024</v>
      </c>
      <c r="U2941">
        <f>IF(Pipeline_tbl[[#This Row],[Closed_Date]]=0,"",Pipeline_tbl[[#This Row],[Closed_Date]]-Pipeline_tbl[[#This Row],[Created_Date]])</f>
        <v>20</v>
      </c>
    </row>
    <row r="2942" spans="1:21" ht="15" customHeight="1" x14ac:dyDescent="0.2">
      <c r="A2942" t="s">
        <v>3248</v>
      </c>
      <c r="B2942" t="s">
        <v>199</v>
      </c>
      <c r="C2942" t="s">
        <v>52</v>
      </c>
      <c r="D2942" s="49">
        <v>45378</v>
      </c>
      <c r="E2942" s="49">
        <v>45380</v>
      </c>
      <c r="F2942" s="49">
        <v>45383</v>
      </c>
      <c r="G2942" s="49">
        <v>45388</v>
      </c>
      <c r="I2942" s="49">
        <v>45394</v>
      </c>
      <c r="J2942" t="s">
        <v>49</v>
      </c>
      <c r="K2942" s="33">
        <v>3400</v>
      </c>
      <c r="L2942" t="s">
        <v>63</v>
      </c>
      <c r="M2942" t="str">
        <f>_xlfn.XLOOKUP(Pipeline_tbl[[#This Row],[Rep_ID]],Dim_Reps!A:A,Dim_Reps!K:K)</f>
        <v>EUR</v>
      </c>
      <c r="N2942" s="33">
        <f>(_xlfn.XLOOKUP(Pipeline_tbl[[#This Row],[Rate_Code_Generalized]],Lookups!A:A,Lookups!B:B))*Pipeline_tbl[[#This Row],[Pipeline_Amount_USD]]</f>
        <v>3400</v>
      </c>
      <c r="O2942" t="str">
        <f>_xlfn.XLOOKUP(Pipeline_tbl[[#This Row],[Rep_ID]],Dim_Reps!A:A,Dim_Reps!B:B)</f>
        <v>Lucas Okafor</v>
      </c>
      <c r="P2942" t="str">
        <f>_xlfn.XLOOKUP(Pipeline_tbl[[#This Row],[Rep_ID]],Dim_Reps!A:A,Dim_Reps!C:C)</f>
        <v>SDR / Inside Sales Rep</v>
      </c>
      <c r="Q2942" t="str">
        <f>_xlfn.XLOOKUP(Pipeline_tbl[[#This Row],[Rep_ID]],Dim_Reps!A:A,Dim_Reps!D:D)</f>
        <v>Inside Sales</v>
      </c>
      <c r="R2942" t="str">
        <f>_xlfn.XLOOKUP(Pipeline_tbl[[#This Row],[Rep_ID]],Dim_Reps!A:A,Dim_Reps!E:E)</f>
        <v>APAC</v>
      </c>
      <c r="S2942" t="str">
        <f>_xlfn.XLOOKUP(Pipeline_tbl[[#This Row],[Created_Date]],Dim_Date!A:A,Dim_Date!H:H)</f>
        <v>Mar 2024</v>
      </c>
      <c r="T2942" t="str">
        <f>IF(Pipeline_tbl[[#This Row],[Closed_Date]]=0,"",(_xlfn.XLOOKUP(Pipeline_tbl[[#This Row],[Closed_Date]],Dim_Date!A:A,Dim_Date!H:H)))</f>
        <v>Apr 2024</v>
      </c>
      <c r="U2942">
        <f>IF(Pipeline_tbl[[#This Row],[Closed_Date]]=0,"",Pipeline_tbl[[#This Row],[Closed_Date]]-Pipeline_tbl[[#This Row],[Created_Date]])</f>
        <v>16</v>
      </c>
    </row>
    <row r="2943" spans="1:21" ht="15" customHeight="1" x14ac:dyDescent="0.2">
      <c r="A2943" t="s">
        <v>3249</v>
      </c>
      <c r="B2943" t="s">
        <v>199</v>
      </c>
      <c r="C2943" t="s">
        <v>53</v>
      </c>
      <c r="D2943" s="49">
        <v>45367</v>
      </c>
      <c r="E2943" s="49">
        <v>45369</v>
      </c>
      <c r="F2943" s="49">
        <v>45374</v>
      </c>
      <c r="G2943" s="49">
        <v>45380</v>
      </c>
      <c r="H2943" s="49">
        <v>45386</v>
      </c>
      <c r="I2943" s="49">
        <v>45389</v>
      </c>
      <c r="J2943" t="s">
        <v>47</v>
      </c>
      <c r="K2943" s="33">
        <v>3600</v>
      </c>
      <c r="M2943" t="str">
        <f>_xlfn.XLOOKUP(Pipeline_tbl[[#This Row],[Rep_ID]],Dim_Reps!A:A,Dim_Reps!K:K)</f>
        <v>EUR</v>
      </c>
      <c r="N2943" s="33">
        <f>(_xlfn.XLOOKUP(Pipeline_tbl[[#This Row],[Rate_Code_Generalized]],Lookups!A:A,Lookups!B:B))*Pipeline_tbl[[#This Row],[Pipeline_Amount_USD]]</f>
        <v>3600</v>
      </c>
      <c r="O2943" t="str">
        <f>_xlfn.XLOOKUP(Pipeline_tbl[[#This Row],[Rep_ID]],Dim_Reps!A:A,Dim_Reps!B:B)</f>
        <v>Lucas Okafor</v>
      </c>
      <c r="P2943" t="str">
        <f>_xlfn.XLOOKUP(Pipeline_tbl[[#This Row],[Rep_ID]],Dim_Reps!A:A,Dim_Reps!C:C)</f>
        <v>SDR / Inside Sales Rep</v>
      </c>
      <c r="Q2943" t="str">
        <f>_xlfn.XLOOKUP(Pipeline_tbl[[#This Row],[Rep_ID]],Dim_Reps!A:A,Dim_Reps!D:D)</f>
        <v>Inside Sales</v>
      </c>
      <c r="R2943" t="str">
        <f>_xlfn.XLOOKUP(Pipeline_tbl[[#This Row],[Rep_ID]],Dim_Reps!A:A,Dim_Reps!E:E)</f>
        <v>APAC</v>
      </c>
      <c r="S2943" t="str">
        <f>_xlfn.XLOOKUP(Pipeline_tbl[[#This Row],[Created_Date]],Dim_Date!A:A,Dim_Date!H:H)</f>
        <v>Mar 2024</v>
      </c>
      <c r="T2943" t="str">
        <f>IF(Pipeline_tbl[[#This Row],[Closed_Date]]=0,"",(_xlfn.XLOOKUP(Pipeline_tbl[[#This Row],[Closed_Date]],Dim_Date!A:A,Dim_Date!H:H)))</f>
        <v>Apr 2024</v>
      </c>
      <c r="U2943">
        <f>IF(Pipeline_tbl[[#This Row],[Closed_Date]]=0,"",Pipeline_tbl[[#This Row],[Closed_Date]]-Pipeline_tbl[[#This Row],[Created_Date]])</f>
        <v>22</v>
      </c>
    </row>
    <row r="2944" spans="1:21" ht="15" customHeight="1" x14ac:dyDescent="0.2">
      <c r="A2944" t="s">
        <v>3250</v>
      </c>
      <c r="B2944" t="s">
        <v>199</v>
      </c>
      <c r="C2944" t="s">
        <v>53</v>
      </c>
      <c r="D2944" s="49">
        <v>45365</v>
      </c>
      <c r="E2944" s="49">
        <v>45367</v>
      </c>
      <c r="F2944" s="49">
        <v>45372</v>
      </c>
      <c r="G2944" s="49">
        <v>45379</v>
      </c>
      <c r="H2944" s="49">
        <v>45385</v>
      </c>
      <c r="I2944" s="49">
        <v>45389</v>
      </c>
      <c r="J2944" t="s">
        <v>47</v>
      </c>
      <c r="K2944" s="33">
        <v>8700</v>
      </c>
      <c r="M2944" t="str">
        <f>_xlfn.XLOOKUP(Pipeline_tbl[[#This Row],[Rep_ID]],Dim_Reps!A:A,Dim_Reps!K:K)</f>
        <v>EUR</v>
      </c>
      <c r="N2944" s="33">
        <f>(_xlfn.XLOOKUP(Pipeline_tbl[[#This Row],[Rate_Code_Generalized]],Lookups!A:A,Lookups!B:B))*Pipeline_tbl[[#This Row],[Pipeline_Amount_USD]]</f>
        <v>8700</v>
      </c>
      <c r="O2944" t="str">
        <f>_xlfn.XLOOKUP(Pipeline_tbl[[#This Row],[Rep_ID]],Dim_Reps!A:A,Dim_Reps!B:B)</f>
        <v>Lucas Okafor</v>
      </c>
      <c r="P2944" t="str">
        <f>_xlfn.XLOOKUP(Pipeline_tbl[[#This Row],[Rep_ID]],Dim_Reps!A:A,Dim_Reps!C:C)</f>
        <v>SDR / Inside Sales Rep</v>
      </c>
      <c r="Q2944" t="str">
        <f>_xlfn.XLOOKUP(Pipeline_tbl[[#This Row],[Rep_ID]],Dim_Reps!A:A,Dim_Reps!D:D)</f>
        <v>Inside Sales</v>
      </c>
      <c r="R2944" t="str">
        <f>_xlfn.XLOOKUP(Pipeline_tbl[[#This Row],[Rep_ID]],Dim_Reps!A:A,Dim_Reps!E:E)</f>
        <v>APAC</v>
      </c>
      <c r="S2944" t="str">
        <f>_xlfn.XLOOKUP(Pipeline_tbl[[#This Row],[Created_Date]],Dim_Date!A:A,Dim_Date!H:H)</f>
        <v>Mar 2024</v>
      </c>
      <c r="T2944" t="str">
        <f>IF(Pipeline_tbl[[#This Row],[Closed_Date]]=0,"",(_xlfn.XLOOKUP(Pipeline_tbl[[#This Row],[Closed_Date]],Dim_Date!A:A,Dim_Date!H:H)))</f>
        <v>Apr 2024</v>
      </c>
      <c r="U2944">
        <f>IF(Pipeline_tbl[[#This Row],[Closed_Date]]=0,"",Pipeline_tbl[[#This Row],[Closed_Date]]-Pipeline_tbl[[#This Row],[Created_Date]])</f>
        <v>24</v>
      </c>
    </row>
    <row r="2945" spans="1:21" ht="15" customHeight="1" x14ac:dyDescent="0.2">
      <c r="A2945" t="s">
        <v>3251</v>
      </c>
      <c r="B2945" t="s">
        <v>199</v>
      </c>
      <c r="C2945" t="s">
        <v>52</v>
      </c>
      <c r="D2945" s="49">
        <v>45382</v>
      </c>
      <c r="E2945" s="49">
        <v>45384</v>
      </c>
      <c r="F2945" s="49">
        <v>45387</v>
      </c>
      <c r="G2945" s="49">
        <v>45393</v>
      </c>
      <c r="H2945" s="49">
        <v>45397</v>
      </c>
      <c r="I2945" s="49">
        <v>45400</v>
      </c>
      <c r="J2945" t="s">
        <v>49</v>
      </c>
      <c r="K2945" s="33">
        <v>4100</v>
      </c>
      <c r="L2945" t="s">
        <v>64</v>
      </c>
      <c r="M2945" t="str">
        <f>_xlfn.XLOOKUP(Pipeline_tbl[[#This Row],[Rep_ID]],Dim_Reps!A:A,Dim_Reps!K:K)</f>
        <v>EUR</v>
      </c>
      <c r="N2945" s="33">
        <f>(_xlfn.XLOOKUP(Pipeline_tbl[[#This Row],[Rate_Code_Generalized]],Lookups!A:A,Lookups!B:B))*Pipeline_tbl[[#This Row],[Pipeline_Amount_USD]]</f>
        <v>4100</v>
      </c>
      <c r="O2945" t="str">
        <f>_xlfn.XLOOKUP(Pipeline_tbl[[#This Row],[Rep_ID]],Dim_Reps!A:A,Dim_Reps!B:B)</f>
        <v>Lucas Okafor</v>
      </c>
      <c r="P2945" t="str">
        <f>_xlfn.XLOOKUP(Pipeline_tbl[[#This Row],[Rep_ID]],Dim_Reps!A:A,Dim_Reps!C:C)</f>
        <v>SDR / Inside Sales Rep</v>
      </c>
      <c r="Q2945" t="str">
        <f>_xlfn.XLOOKUP(Pipeline_tbl[[#This Row],[Rep_ID]],Dim_Reps!A:A,Dim_Reps!D:D)</f>
        <v>Inside Sales</v>
      </c>
      <c r="R2945" t="str">
        <f>_xlfn.XLOOKUP(Pipeline_tbl[[#This Row],[Rep_ID]],Dim_Reps!A:A,Dim_Reps!E:E)</f>
        <v>APAC</v>
      </c>
      <c r="S2945" t="str">
        <f>_xlfn.XLOOKUP(Pipeline_tbl[[#This Row],[Created_Date]],Dim_Date!A:A,Dim_Date!H:H)</f>
        <v>Mar 2024</v>
      </c>
      <c r="T2945" t="str">
        <f>IF(Pipeline_tbl[[#This Row],[Closed_Date]]=0,"",(_xlfn.XLOOKUP(Pipeline_tbl[[#This Row],[Closed_Date]],Dim_Date!A:A,Dim_Date!H:H)))</f>
        <v>Apr 2024</v>
      </c>
      <c r="U2945">
        <f>IF(Pipeline_tbl[[#This Row],[Closed_Date]]=0,"",Pipeline_tbl[[#This Row],[Closed_Date]]-Pipeline_tbl[[#This Row],[Created_Date]])</f>
        <v>18</v>
      </c>
    </row>
    <row r="2946" spans="1:21" ht="15" customHeight="1" x14ac:dyDescent="0.2">
      <c r="A2946" t="s">
        <v>3252</v>
      </c>
      <c r="B2946" t="s">
        <v>199</v>
      </c>
      <c r="C2946" t="s">
        <v>55</v>
      </c>
      <c r="D2946" s="49">
        <v>45380</v>
      </c>
      <c r="E2946" s="49">
        <v>45381</v>
      </c>
      <c r="F2946" s="49">
        <v>45384</v>
      </c>
      <c r="G2946" s="49">
        <v>45388</v>
      </c>
      <c r="I2946" s="49">
        <v>45393</v>
      </c>
      <c r="J2946" t="s">
        <v>49</v>
      </c>
      <c r="K2946" s="33">
        <v>8300</v>
      </c>
      <c r="L2946" t="s">
        <v>60</v>
      </c>
      <c r="M2946" t="str">
        <f>_xlfn.XLOOKUP(Pipeline_tbl[[#This Row],[Rep_ID]],Dim_Reps!A:A,Dim_Reps!K:K)</f>
        <v>EUR</v>
      </c>
      <c r="N2946" s="33">
        <f>(_xlfn.XLOOKUP(Pipeline_tbl[[#This Row],[Rate_Code_Generalized]],Lookups!A:A,Lookups!B:B))*Pipeline_tbl[[#This Row],[Pipeline_Amount_USD]]</f>
        <v>8300</v>
      </c>
      <c r="O2946" t="str">
        <f>_xlfn.XLOOKUP(Pipeline_tbl[[#This Row],[Rep_ID]],Dim_Reps!A:A,Dim_Reps!B:B)</f>
        <v>Lucas Okafor</v>
      </c>
      <c r="P2946" t="str">
        <f>_xlfn.XLOOKUP(Pipeline_tbl[[#This Row],[Rep_ID]],Dim_Reps!A:A,Dim_Reps!C:C)</f>
        <v>SDR / Inside Sales Rep</v>
      </c>
      <c r="Q2946" t="str">
        <f>_xlfn.XLOOKUP(Pipeline_tbl[[#This Row],[Rep_ID]],Dim_Reps!A:A,Dim_Reps!D:D)</f>
        <v>Inside Sales</v>
      </c>
      <c r="R2946" t="str">
        <f>_xlfn.XLOOKUP(Pipeline_tbl[[#This Row],[Rep_ID]],Dim_Reps!A:A,Dim_Reps!E:E)</f>
        <v>APAC</v>
      </c>
      <c r="S2946" t="str">
        <f>_xlfn.XLOOKUP(Pipeline_tbl[[#This Row],[Created_Date]],Dim_Date!A:A,Dim_Date!H:H)</f>
        <v>Mar 2024</v>
      </c>
      <c r="T2946" t="str">
        <f>IF(Pipeline_tbl[[#This Row],[Closed_Date]]=0,"",(_xlfn.XLOOKUP(Pipeline_tbl[[#This Row],[Closed_Date]],Dim_Date!A:A,Dim_Date!H:H)))</f>
        <v>Apr 2024</v>
      </c>
      <c r="U2946">
        <f>IF(Pipeline_tbl[[#This Row],[Closed_Date]]=0,"",Pipeline_tbl[[#This Row],[Closed_Date]]-Pipeline_tbl[[#This Row],[Created_Date]])</f>
        <v>13</v>
      </c>
    </row>
    <row r="2947" spans="1:21" ht="15" customHeight="1" x14ac:dyDescent="0.2">
      <c r="A2947" t="s">
        <v>3253</v>
      </c>
      <c r="B2947" t="s">
        <v>183</v>
      </c>
      <c r="C2947" t="s">
        <v>54</v>
      </c>
      <c r="D2947" s="49">
        <v>45377</v>
      </c>
      <c r="E2947" s="49">
        <v>45380</v>
      </c>
      <c r="F2947" s="49">
        <v>45385</v>
      </c>
      <c r="G2947" s="49">
        <v>45393</v>
      </c>
      <c r="H2947" s="49">
        <v>45400</v>
      </c>
      <c r="I2947" s="49">
        <v>45404</v>
      </c>
      <c r="J2947" t="s">
        <v>49</v>
      </c>
      <c r="K2947" s="33">
        <v>27400</v>
      </c>
      <c r="L2947" t="s">
        <v>60</v>
      </c>
      <c r="M2947" t="str">
        <f>_xlfn.XLOOKUP(Pipeline_tbl[[#This Row],[Rep_ID]],Dim_Reps!A:A,Dim_Reps!K:K)</f>
        <v>EUR</v>
      </c>
      <c r="N2947" s="33">
        <f>(_xlfn.XLOOKUP(Pipeline_tbl[[#This Row],[Rate_Code_Generalized]],Lookups!A:A,Lookups!B:B))*Pipeline_tbl[[#This Row],[Pipeline_Amount_USD]]</f>
        <v>27400</v>
      </c>
      <c r="O2947" t="str">
        <f>_xlfn.XLOOKUP(Pipeline_tbl[[#This Row],[Rep_ID]],Dim_Reps!A:A,Dim_Reps!B:B)</f>
        <v>Sam Schmidt</v>
      </c>
      <c r="P2947" t="str">
        <f>_xlfn.XLOOKUP(Pipeline_tbl[[#This Row],[Rep_ID]],Dim_Reps!A:A,Dim_Reps!C:C)</f>
        <v>Enterprise AE</v>
      </c>
      <c r="Q2947" t="str">
        <f>_xlfn.XLOOKUP(Pipeline_tbl[[#This Row],[Rep_ID]],Dim_Reps!A:A,Dim_Reps!D:D)</f>
        <v>Enterprise</v>
      </c>
      <c r="R2947" t="str">
        <f>_xlfn.XLOOKUP(Pipeline_tbl[[#This Row],[Rep_ID]],Dim_Reps!A:A,Dim_Reps!E:E)</f>
        <v>EMEA</v>
      </c>
      <c r="S2947" t="str">
        <f>_xlfn.XLOOKUP(Pipeline_tbl[[#This Row],[Created_Date]],Dim_Date!A:A,Dim_Date!H:H)</f>
        <v>Mar 2024</v>
      </c>
      <c r="T2947" t="str">
        <f>IF(Pipeline_tbl[[#This Row],[Closed_Date]]=0,"",(_xlfn.XLOOKUP(Pipeline_tbl[[#This Row],[Closed_Date]],Dim_Date!A:A,Dim_Date!H:H)))</f>
        <v>Apr 2024</v>
      </c>
      <c r="U2947">
        <f>IF(Pipeline_tbl[[#This Row],[Closed_Date]]=0,"",Pipeline_tbl[[#This Row],[Closed_Date]]-Pipeline_tbl[[#This Row],[Created_Date]])</f>
        <v>27</v>
      </c>
    </row>
    <row r="2948" spans="1:21" ht="15" customHeight="1" x14ac:dyDescent="0.2">
      <c r="A2948" t="s">
        <v>3254</v>
      </c>
      <c r="B2948" t="s">
        <v>205</v>
      </c>
      <c r="C2948" t="s">
        <v>55</v>
      </c>
      <c r="D2948" s="49">
        <v>45375</v>
      </c>
      <c r="E2948" s="49">
        <v>45376</v>
      </c>
      <c r="F2948" s="49">
        <v>45377</v>
      </c>
      <c r="G2948" s="49">
        <v>45380</v>
      </c>
      <c r="H2948" s="49">
        <v>45382</v>
      </c>
      <c r="I2948" s="49">
        <v>45383</v>
      </c>
      <c r="J2948" t="s">
        <v>49</v>
      </c>
      <c r="K2948" s="33">
        <v>2800</v>
      </c>
      <c r="L2948" t="s">
        <v>60</v>
      </c>
      <c r="M2948" t="str">
        <f>_xlfn.XLOOKUP(Pipeline_tbl[[#This Row],[Rep_ID]],Dim_Reps!A:A,Dim_Reps!K:K)</f>
        <v>EUR</v>
      </c>
      <c r="N2948" s="33">
        <f>(_xlfn.XLOOKUP(Pipeline_tbl[[#This Row],[Rate_Code_Generalized]],Lookups!A:A,Lookups!B:B))*Pipeline_tbl[[#This Row],[Pipeline_Amount_USD]]</f>
        <v>2800</v>
      </c>
      <c r="O2948" t="str">
        <f>_xlfn.XLOOKUP(Pipeline_tbl[[#This Row],[Rep_ID]],Dim_Reps!A:A,Dim_Reps!B:B)</f>
        <v>Karim Alvarez</v>
      </c>
      <c r="P2948" t="str">
        <f>_xlfn.XLOOKUP(Pipeline_tbl[[#This Row],[Rep_ID]],Dim_Reps!A:A,Dim_Reps!C:C)</f>
        <v>SDR / Inside Sales Rep</v>
      </c>
      <c r="Q2948" t="str">
        <f>_xlfn.XLOOKUP(Pipeline_tbl[[#This Row],[Rep_ID]],Dim_Reps!A:A,Dim_Reps!D:D)</f>
        <v>Inside Sales</v>
      </c>
      <c r="R2948" t="str">
        <f>_xlfn.XLOOKUP(Pipeline_tbl[[#This Row],[Rep_ID]],Dim_Reps!A:A,Dim_Reps!E:E)</f>
        <v>EMEA</v>
      </c>
      <c r="S2948" t="str">
        <f>_xlfn.XLOOKUP(Pipeline_tbl[[#This Row],[Created_Date]],Dim_Date!A:A,Dim_Date!H:H)</f>
        <v>Mar 2024</v>
      </c>
      <c r="T2948" t="str">
        <f>IF(Pipeline_tbl[[#This Row],[Closed_Date]]=0,"",(_xlfn.XLOOKUP(Pipeline_tbl[[#This Row],[Closed_Date]],Dim_Date!A:A,Dim_Date!H:H)))</f>
        <v>Apr 2024</v>
      </c>
      <c r="U2948">
        <f>IF(Pipeline_tbl[[#This Row],[Closed_Date]]=0,"",Pipeline_tbl[[#This Row],[Closed_Date]]-Pipeline_tbl[[#This Row],[Created_Date]])</f>
        <v>8</v>
      </c>
    </row>
    <row r="2949" spans="1:21" ht="15" customHeight="1" x14ac:dyDescent="0.2">
      <c r="A2949" t="s">
        <v>3255</v>
      </c>
      <c r="B2949" t="s">
        <v>211</v>
      </c>
      <c r="C2949" t="s">
        <v>53</v>
      </c>
      <c r="D2949" s="49">
        <v>45373</v>
      </c>
      <c r="E2949" s="49">
        <v>45375</v>
      </c>
      <c r="F2949" s="49">
        <v>45379</v>
      </c>
      <c r="G2949" s="49">
        <v>45384</v>
      </c>
      <c r="H2949" s="49">
        <v>45389</v>
      </c>
      <c r="I2949" s="49">
        <v>45392</v>
      </c>
      <c r="J2949" t="s">
        <v>47</v>
      </c>
      <c r="K2949" s="33">
        <v>2300</v>
      </c>
      <c r="M2949" t="str">
        <f>_xlfn.XLOOKUP(Pipeline_tbl[[#This Row],[Rep_ID]],Dim_Reps!A:A,Dim_Reps!K:K)</f>
        <v>EUR</v>
      </c>
      <c r="N2949" s="33">
        <f>(_xlfn.XLOOKUP(Pipeline_tbl[[#This Row],[Rate_Code_Generalized]],Lookups!A:A,Lookups!B:B))*Pipeline_tbl[[#This Row],[Pipeline_Amount_USD]]</f>
        <v>2300</v>
      </c>
      <c r="O2949" t="str">
        <f>_xlfn.XLOOKUP(Pipeline_tbl[[#This Row],[Rep_ID]],Dim_Reps!A:A,Dim_Reps!B:B)</f>
        <v>Lea Weber</v>
      </c>
      <c r="P2949" t="str">
        <f>_xlfn.XLOOKUP(Pipeline_tbl[[#This Row],[Rep_ID]],Dim_Reps!A:A,Dim_Reps!C:C)</f>
        <v>SDR / Inside Sales Rep</v>
      </c>
      <c r="Q2949" t="str">
        <f>_xlfn.XLOOKUP(Pipeline_tbl[[#This Row],[Rep_ID]],Dim_Reps!A:A,Dim_Reps!D:D)</f>
        <v>Inside Sales</v>
      </c>
      <c r="R2949" t="str">
        <f>_xlfn.XLOOKUP(Pipeline_tbl[[#This Row],[Rep_ID]],Dim_Reps!A:A,Dim_Reps!E:E)</f>
        <v>EMEA</v>
      </c>
      <c r="S2949" t="str">
        <f>_xlfn.XLOOKUP(Pipeline_tbl[[#This Row],[Created_Date]],Dim_Date!A:A,Dim_Date!H:H)</f>
        <v>Mar 2024</v>
      </c>
      <c r="T2949" t="str">
        <f>IF(Pipeline_tbl[[#This Row],[Closed_Date]]=0,"",(_xlfn.XLOOKUP(Pipeline_tbl[[#This Row],[Closed_Date]],Dim_Date!A:A,Dim_Date!H:H)))</f>
        <v>Apr 2024</v>
      </c>
      <c r="U2949">
        <f>IF(Pipeline_tbl[[#This Row],[Closed_Date]]=0,"",Pipeline_tbl[[#This Row],[Closed_Date]]-Pipeline_tbl[[#This Row],[Created_Date]])</f>
        <v>19</v>
      </c>
    </row>
    <row r="2950" spans="1:21" ht="15" customHeight="1" x14ac:dyDescent="0.2">
      <c r="A2950" t="s">
        <v>3256</v>
      </c>
      <c r="B2950" t="s">
        <v>211</v>
      </c>
      <c r="C2950" t="s">
        <v>53</v>
      </c>
      <c r="D2950" s="49">
        <v>45371</v>
      </c>
      <c r="E2950" s="49">
        <v>45373</v>
      </c>
      <c r="F2950" s="49">
        <v>45377</v>
      </c>
      <c r="G2950" s="49">
        <v>45383</v>
      </c>
      <c r="I2950" s="49">
        <v>45391</v>
      </c>
      <c r="J2950" t="s">
        <v>49</v>
      </c>
      <c r="K2950" s="33">
        <v>3300</v>
      </c>
      <c r="L2950" t="s">
        <v>64</v>
      </c>
      <c r="M2950" t="str">
        <f>_xlfn.XLOOKUP(Pipeline_tbl[[#This Row],[Rep_ID]],Dim_Reps!A:A,Dim_Reps!K:K)</f>
        <v>EUR</v>
      </c>
      <c r="N2950" s="33">
        <f>(_xlfn.XLOOKUP(Pipeline_tbl[[#This Row],[Rate_Code_Generalized]],Lookups!A:A,Lookups!B:B))*Pipeline_tbl[[#This Row],[Pipeline_Amount_USD]]</f>
        <v>3300</v>
      </c>
      <c r="O2950" t="str">
        <f>_xlfn.XLOOKUP(Pipeline_tbl[[#This Row],[Rep_ID]],Dim_Reps!A:A,Dim_Reps!B:B)</f>
        <v>Lea Weber</v>
      </c>
      <c r="P2950" t="str">
        <f>_xlfn.XLOOKUP(Pipeline_tbl[[#This Row],[Rep_ID]],Dim_Reps!A:A,Dim_Reps!C:C)</f>
        <v>SDR / Inside Sales Rep</v>
      </c>
      <c r="Q2950" t="str">
        <f>_xlfn.XLOOKUP(Pipeline_tbl[[#This Row],[Rep_ID]],Dim_Reps!A:A,Dim_Reps!D:D)</f>
        <v>Inside Sales</v>
      </c>
      <c r="R2950" t="str">
        <f>_xlfn.XLOOKUP(Pipeline_tbl[[#This Row],[Rep_ID]],Dim_Reps!A:A,Dim_Reps!E:E)</f>
        <v>EMEA</v>
      </c>
      <c r="S2950" t="str">
        <f>_xlfn.XLOOKUP(Pipeline_tbl[[#This Row],[Created_Date]],Dim_Date!A:A,Dim_Date!H:H)</f>
        <v>Mar 2024</v>
      </c>
      <c r="T2950" t="str">
        <f>IF(Pipeline_tbl[[#This Row],[Closed_Date]]=0,"",(_xlfn.XLOOKUP(Pipeline_tbl[[#This Row],[Closed_Date]],Dim_Date!A:A,Dim_Date!H:H)))</f>
        <v>Apr 2024</v>
      </c>
      <c r="U2950">
        <f>IF(Pipeline_tbl[[#This Row],[Closed_Date]]=0,"",Pipeline_tbl[[#This Row],[Closed_Date]]-Pipeline_tbl[[#This Row],[Created_Date]])</f>
        <v>20</v>
      </c>
    </row>
    <row r="2951" spans="1:21" ht="15" customHeight="1" x14ac:dyDescent="0.2">
      <c r="A2951" t="s">
        <v>3257</v>
      </c>
      <c r="B2951" t="s">
        <v>211</v>
      </c>
      <c r="C2951" t="s">
        <v>54</v>
      </c>
      <c r="D2951" s="49">
        <v>45374</v>
      </c>
      <c r="E2951" s="49">
        <v>45376</v>
      </c>
      <c r="F2951" s="49">
        <v>45379</v>
      </c>
      <c r="G2951" s="49">
        <v>45385</v>
      </c>
      <c r="I2951" s="49">
        <v>45392</v>
      </c>
      <c r="J2951" t="s">
        <v>49</v>
      </c>
      <c r="K2951" s="33">
        <v>4200</v>
      </c>
      <c r="L2951" t="s">
        <v>63</v>
      </c>
      <c r="M2951" t="str">
        <f>_xlfn.XLOOKUP(Pipeline_tbl[[#This Row],[Rep_ID]],Dim_Reps!A:A,Dim_Reps!K:K)</f>
        <v>EUR</v>
      </c>
      <c r="N2951" s="33">
        <f>(_xlfn.XLOOKUP(Pipeline_tbl[[#This Row],[Rate_Code_Generalized]],Lookups!A:A,Lookups!B:B))*Pipeline_tbl[[#This Row],[Pipeline_Amount_USD]]</f>
        <v>4200</v>
      </c>
      <c r="O2951" t="str">
        <f>_xlfn.XLOOKUP(Pipeline_tbl[[#This Row],[Rep_ID]],Dim_Reps!A:A,Dim_Reps!B:B)</f>
        <v>Lea Weber</v>
      </c>
      <c r="P2951" t="str">
        <f>_xlfn.XLOOKUP(Pipeline_tbl[[#This Row],[Rep_ID]],Dim_Reps!A:A,Dim_Reps!C:C)</f>
        <v>SDR / Inside Sales Rep</v>
      </c>
      <c r="Q2951" t="str">
        <f>_xlfn.XLOOKUP(Pipeline_tbl[[#This Row],[Rep_ID]],Dim_Reps!A:A,Dim_Reps!D:D)</f>
        <v>Inside Sales</v>
      </c>
      <c r="R2951" t="str">
        <f>_xlfn.XLOOKUP(Pipeline_tbl[[#This Row],[Rep_ID]],Dim_Reps!A:A,Dim_Reps!E:E)</f>
        <v>EMEA</v>
      </c>
      <c r="S2951" t="str">
        <f>_xlfn.XLOOKUP(Pipeline_tbl[[#This Row],[Created_Date]],Dim_Date!A:A,Dim_Date!H:H)</f>
        <v>Mar 2024</v>
      </c>
      <c r="T2951" t="str">
        <f>IF(Pipeline_tbl[[#This Row],[Closed_Date]]=0,"",(_xlfn.XLOOKUP(Pipeline_tbl[[#This Row],[Closed_Date]],Dim_Date!A:A,Dim_Date!H:H)))</f>
        <v>Apr 2024</v>
      </c>
      <c r="U2951">
        <f>IF(Pipeline_tbl[[#This Row],[Closed_Date]]=0,"",Pipeline_tbl[[#This Row],[Closed_Date]]-Pipeline_tbl[[#This Row],[Created_Date]])</f>
        <v>18</v>
      </c>
    </row>
    <row r="2952" spans="1:21" ht="15" customHeight="1" x14ac:dyDescent="0.2">
      <c r="A2952" t="s">
        <v>3258</v>
      </c>
      <c r="B2952" t="s">
        <v>211</v>
      </c>
      <c r="C2952" t="s">
        <v>54</v>
      </c>
      <c r="D2952" s="49">
        <v>45382</v>
      </c>
      <c r="E2952" s="49">
        <v>45383</v>
      </c>
      <c r="F2952" s="49">
        <v>45386</v>
      </c>
      <c r="G2952" s="49">
        <v>45389</v>
      </c>
      <c r="I2952" s="49">
        <v>45394</v>
      </c>
      <c r="J2952" t="s">
        <v>49</v>
      </c>
      <c r="K2952" s="33">
        <v>2200</v>
      </c>
      <c r="L2952" t="s">
        <v>60</v>
      </c>
      <c r="M2952" t="str">
        <f>_xlfn.XLOOKUP(Pipeline_tbl[[#This Row],[Rep_ID]],Dim_Reps!A:A,Dim_Reps!K:K)</f>
        <v>EUR</v>
      </c>
      <c r="N2952" s="33">
        <f>(_xlfn.XLOOKUP(Pipeline_tbl[[#This Row],[Rate_Code_Generalized]],Lookups!A:A,Lookups!B:B))*Pipeline_tbl[[#This Row],[Pipeline_Amount_USD]]</f>
        <v>2200</v>
      </c>
      <c r="O2952" t="str">
        <f>_xlfn.XLOOKUP(Pipeline_tbl[[#This Row],[Rep_ID]],Dim_Reps!A:A,Dim_Reps!B:B)</f>
        <v>Lea Weber</v>
      </c>
      <c r="P2952" t="str">
        <f>_xlfn.XLOOKUP(Pipeline_tbl[[#This Row],[Rep_ID]],Dim_Reps!A:A,Dim_Reps!C:C)</f>
        <v>SDR / Inside Sales Rep</v>
      </c>
      <c r="Q2952" t="str">
        <f>_xlfn.XLOOKUP(Pipeline_tbl[[#This Row],[Rep_ID]],Dim_Reps!A:A,Dim_Reps!D:D)</f>
        <v>Inside Sales</v>
      </c>
      <c r="R2952" t="str">
        <f>_xlfn.XLOOKUP(Pipeline_tbl[[#This Row],[Rep_ID]],Dim_Reps!A:A,Dim_Reps!E:E)</f>
        <v>EMEA</v>
      </c>
      <c r="S2952" t="str">
        <f>_xlfn.XLOOKUP(Pipeline_tbl[[#This Row],[Created_Date]],Dim_Date!A:A,Dim_Date!H:H)</f>
        <v>Mar 2024</v>
      </c>
      <c r="T2952" t="str">
        <f>IF(Pipeline_tbl[[#This Row],[Closed_Date]]=0,"",(_xlfn.XLOOKUP(Pipeline_tbl[[#This Row],[Closed_Date]],Dim_Date!A:A,Dim_Date!H:H)))</f>
        <v>Apr 2024</v>
      </c>
      <c r="U2952">
        <f>IF(Pipeline_tbl[[#This Row],[Closed_Date]]=0,"",Pipeline_tbl[[#This Row],[Closed_Date]]-Pipeline_tbl[[#This Row],[Created_Date]])</f>
        <v>12</v>
      </c>
    </row>
    <row r="2953" spans="1:21" ht="15" customHeight="1" x14ac:dyDescent="0.2">
      <c r="A2953" t="s">
        <v>3259</v>
      </c>
      <c r="B2953" t="s">
        <v>211</v>
      </c>
      <c r="C2953" t="s">
        <v>52</v>
      </c>
      <c r="D2953" s="49">
        <v>45369</v>
      </c>
      <c r="E2953" s="49">
        <v>45371</v>
      </c>
      <c r="F2953" s="49">
        <v>45377</v>
      </c>
      <c r="G2953" s="49">
        <v>45384</v>
      </c>
      <c r="I2953" s="49">
        <v>45394</v>
      </c>
      <c r="J2953" t="s">
        <v>49</v>
      </c>
      <c r="K2953" s="33">
        <v>2100</v>
      </c>
      <c r="L2953" t="s">
        <v>61</v>
      </c>
      <c r="M2953" t="str">
        <f>_xlfn.XLOOKUP(Pipeline_tbl[[#This Row],[Rep_ID]],Dim_Reps!A:A,Dim_Reps!K:K)</f>
        <v>EUR</v>
      </c>
      <c r="N2953" s="33">
        <f>(_xlfn.XLOOKUP(Pipeline_tbl[[#This Row],[Rate_Code_Generalized]],Lookups!A:A,Lookups!B:B))*Pipeline_tbl[[#This Row],[Pipeline_Amount_USD]]</f>
        <v>2100</v>
      </c>
      <c r="O2953" t="str">
        <f>_xlfn.XLOOKUP(Pipeline_tbl[[#This Row],[Rep_ID]],Dim_Reps!A:A,Dim_Reps!B:B)</f>
        <v>Lea Weber</v>
      </c>
      <c r="P2953" t="str">
        <f>_xlfn.XLOOKUP(Pipeline_tbl[[#This Row],[Rep_ID]],Dim_Reps!A:A,Dim_Reps!C:C)</f>
        <v>SDR / Inside Sales Rep</v>
      </c>
      <c r="Q2953" t="str">
        <f>_xlfn.XLOOKUP(Pipeline_tbl[[#This Row],[Rep_ID]],Dim_Reps!A:A,Dim_Reps!D:D)</f>
        <v>Inside Sales</v>
      </c>
      <c r="R2953" t="str">
        <f>_xlfn.XLOOKUP(Pipeline_tbl[[#This Row],[Rep_ID]],Dim_Reps!A:A,Dim_Reps!E:E)</f>
        <v>EMEA</v>
      </c>
      <c r="S2953" t="str">
        <f>_xlfn.XLOOKUP(Pipeline_tbl[[#This Row],[Created_Date]],Dim_Date!A:A,Dim_Date!H:H)</f>
        <v>Mar 2024</v>
      </c>
      <c r="T2953" t="str">
        <f>IF(Pipeline_tbl[[#This Row],[Closed_Date]]=0,"",(_xlfn.XLOOKUP(Pipeline_tbl[[#This Row],[Closed_Date]],Dim_Date!A:A,Dim_Date!H:H)))</f>
        <v>Apr 2024</v>
      </c>
      <c r="U2953">
        <f>IF(Pipeline_tbl[[#This Row],[Closed_Date]]=0,"",Pipeline_tbl[[#This Row],[Closed_Date]]-Pipeline_tbl[[#This Row],[Created_Date]])</f>
        <v>25</v>
      </c>
    </row>
    <row r="2954" spans="1:21" ht="15" customHeight="1" x14ac:dyDescent="0.2">
      <c r="A2954" t="s">
        <v>3260</v>
      </c>
      <c r="B2954" t="s">
        <v>211</v>
      </c>
      <c r="C2954" t="s">
        <v>54</v>
      </c>
      <c r="D2954" s="49">
        <v>45364</v>
      </c>
      <c r="E2954" s="49">
        <v>45366</v>
      </c>
      <c r="I2954" s="49">
        <v>45383</v>
      </c>
      <c r="J2954" t="s">
        <v>49</v>
      </c>
      <c r="K2954" s="33">
        <v>2600</v>
      </c>
      <c r="L2954" t="s">
        <v>60</v>
      </c>
      <c r="M2954" t="str">
        <f>_xlfn.XLOOKUP(Pipeline_tbl[[#This Row],[Rep_ID]],Dim_Reps!A:A,Dim_Reps!K:K)</f>
        <v>EUR</v>
      </c>
      <c r="N2954" s="33">
        <f>(_xlfn.XLOOKUP(Pipeline_tbl[[#This Row],[Rate_Code_Generalized]],Lookups!A:A,Lookups!B:B))*Pipeline_tbl[[#This Row],[Pipeline_Amount_USD]]</f>
        <v>2600</v>
      </c>
      <c r="O2954" t="str">
        <f>_xlfn.XLOOKUP(Pipeline_tbl[[#This Row],[Rep_ID]],Dim_Reps!A:A,Dim_Reps!B:B)</f>
        <v>Lea Weber</v>
      </c>
      <c r="P2954" t="str">
        <f>_xlfn.XLOOKUP(Pipeline_tbl[[#This Row],[Rep_ID]],Dim_Reps!A:A,Dim_Reps!C:C)</f>
        <v>SDR / Inside Sales Rep</v>
      </c>
      <c r="Q2954" t="str">
        <f>_xlfn.XLOOKUP(Pipeline_tbl[[#This Row],[Rep_ID]],Dim_Reps!A:A,Dim_Reps!D:D)</f>
        <v>Inside Sales</v>
      </c>
      <c r="R2954" t="str">
        <f>_xlfn.XLOOKUP(Pipeline_tbl[[#This Row],[Rep_ID]],Dim_Reps!A:A,Dim_Reps!E:E)</f>
        <v>EMEA</v>
      </c>
      <c r="S2954" t="str">
        <f>_xlfn.XLOOKUP(Pipeline_tbl[[#This Row],[Created_Date]],Dim_Date!A:A,Dim_Date!H:H)</f>
        <v>Mar 2024</v>
      </c>
      <c r="T2954" t="str">
        <f>IF(Pipeline_tbl[[#This Row],[Closed_Date]]=0,"",(_xlfn.XLOOKUP(Pipeline_tbl[[#This Row],[Closed_Date]],Dim_Date!A:A,Dim_Date!H:H)))</f>
        <v>Apr 2024</v>
      </c>
      <c r="U2954">
        <f>IF(Pipeline_tbl[[#This Row],[Closed_Date]]=0,"",Pipeline_tbl[[#This Row],[Closed_Date]]-Pipeline_tbl[[#This Row],[Created_Date]])</f>
        <v>19</v>
      </c>
    </row>
    <row r="2955" spans="1:21" ht="15" customHeight="1" x14ac:dyDescent="0.2">
      <c r="A2955" t="s">
        <v>3261</v>
      </c>
      <c r="B2955" t="s">
        <v>211</v>
      </c>
      <c r="C2955" t="s">
        <v>52</v>
      </c>
      <c r="D2955" s="49">
        <v>45377</v>
      </c>
      <c r="E2955" s="49">
        <v>45380</v>
      </c>
      <c r="F2955" s="49">
        <v>45385</v>
      </c>
      <c r="G2955" s="49">
        <v>45393</v>
      </c>
      <c r="H2955" s="49">
        <v>45400</v>
      </c>
      <c r="I2955" s="49">
        <v>45404</v>
      </c>
      <c r="J2955" t="s">
        <v>47</v>
      </c>
      <c r="K2955" s="33">
        <v>4700</v>
      </c>
      <c r="M2955" t="str">
        <f>_xlfn.XLOOKUP(Pipeline_tbl[[#This Row],[Rep_ID]],Dim_Reps!A:A,Dim_Reps!K:K)</f>
        <v>EUR</v>
      </c>
      <c r="N2955" s="33">
        <f>(_xlfn.XLOOKUP(Pipeline_tbl[[#This Row],[Rate_Code_Generalized]],Lookups!A:A,Lookups!B:B))*Pipeline_tbl[[#This Row],[Pipeline_Amount_USD]]</f>
        <v>4700</v>
      </c>
      <c r="O2955" t="str">
        <f>_xlfn.XLOOKUP(Pipeline_tbl[[#This Row],[Rep_ID]],Dim_Reps!A:A,Dim_Reps!B:B)</f>
        <v>Lea Weber</v>
      </c>
      <c r="P2955" t="str">
        <f>_xlfn.XLOOKUP(Pipeline_tbl[[#This Row],[Rep_ID]],Dim_Reps!A:A,Dim_Reps!C:C)</f>
        <v>SDR / Inside Sales Rep</v>
      </c>
      <c r="Q2955" t="str">
        <f>_xlfn.XLOOKUP(Pipeline_tbl[[#This Row],[Rep_ID]],Dim_Reps!A:A,Dim_Reps!D:D)</f>
        <v>Inside Sales</v>
      </c>
      <c r="R2955" t="str">
        <f>_xlfn.XLOOKUP(Pipeline_tbl[[#This Row],[Rep_ID]],Dim_Reps!A:A,Dim_Reps!E:E)</f>
        <v>EMEA</v>
      </c>
      <c r="S2955" t="str">
        <f>_xlfn.XLOOKUP(Pipeline_tbl[[#This Row],[Created_Date]],Dim_Date!A:A,Dim_Date!H:H)</f>
        <v>Mar 2024</v>
      </c>
      <c r="T2955" t="str">
        <f>IF(Pipeline_tbl[[#This Row],[Closed_Date]]=0,"",(_xlfn.XLOOKUP(Pipeline_tbl[[#This Row],[Closed_Date]],Dim_Date!A:A,Dim_Date!H:H)))</f>
        <v>Apr 2024</v>
      </c>
      <c r="U2955">
        <f>IF(Pipeline_tbl[[#This Row],[Closed_Date]]=0,"",Pipeline_tbl[[#This Row],[Closed_Date]]-Pipeline_tbl[[#This Row],[Created_Date]])</f>
        <v>27</v>
      </c>
    </row>
    <row r="2956" spans="1:21" ht="15" customHeight="1" x14ac:dyDescent="0.2">
      <c r="A2956" t="s">
        <v>3262</v>
      </c>
      <c r="B2956" t="s">
        <v>211</v>
      </c>
      <c r="C2956" t="s">
        <v>54</v>
      </c>
      <c r="D2956" s="49">
        <v>45362</v>
      </c>
      <c r="E2956" s="49">
        <v>45365</v>
      </c>
      <c r="F2956" s="49">
        <v>45371</v>
      </c>
      <c r="G2956" s="49">
        <v>45380</v>
      </c>
      <c r="I2956" s="49">
        <v>45392</v>
      </c>
      <c r="J2956" t="s">
        <v>49</v>
      </c>
      <c r="K2956" s="33">
        <v>1500</v>
      </c>
      <c r="L2956" t="s">
        <v>62</v>
      </c>
      <c r="M2956" t="str">
        <f>_xlfn.XLOOKUP(Pipeline_tbl[[#This Row],[Rep_ID]],Dim_Reps!A:A,Dim_Reps!K:K)</f>
        <v>EUR</v>
      </c>
      <c r="N2956" s="33">
        <f>(_xlfn.XLOOKUP(Pipeline_tbl[[#This Row],[Rate_Code_Generalized]],Lookups!A:A,Lookups!B:B))*Pipeline_tbl[[#This Row],[Pipeline_Amount_USD]]</f>
        <v>1500</v>
      </c>
      <c r="O2956" t="str">
        <f>_xlfn.XLOOKUP(Pipeline_tbl[[#This Row],[Rep_ID]],Dim_Reps!A:A,Dim_Reps!B:B)</f>
        <v>Lea Weber</v>
      </c>
      <c r="P2956" t="str">
        <f>_xlfn.XLOOKUP(Pipeline_tbl[[#This Row],[Rep_ID]],Dim_Reps!A:A,Dim_Reps!C:C)</f>
        <v>SDR / Inside Sales Rep</v>
      </c>
      <c r="Q2956" t="str">
        <f>_xlfn.XLOOKUP(Pipeline_tbl[[#This Row],[Rep_ID]],Dim_Reps!A:A,Dim_Reps!D:D)</f>
        <v>Inside Sales</v>
      </c>
      <c r="R2956" t="str">
        <f>_xlfn.XLOOKUP(Pipeline_tbl[[#This Row],[Rep_ID]],Dim_Reps!A:A,Dim_Reps!E:E)</f>
        <v>EMEA</v>
      </c>
      <c r="S2956" t="str">
        <f>_xlfn.XLOOKUP(Pipeline_tbl[[#This Row],[Created_Date]],Dim_Date!A:A,Dim_Date!H:H)</f>
        <v>Mar 2024</v>
      </c>
      <c r="T2956" t="str">
        <f>IF(Pipeline_tbl[[#This Row],[Closed_Date]]=0,"",(_xlfn.XLOOKUP(Pipeline_tbl[[#This Row],[Closed_Date]],Dim_Date!A:A,Dim_Date!H:H)))</f>
        <v>Apr 2024</v>
      </c>
      <c r="U2956">
        <f>IF(Pipeline_tbl[[#This Row],[Closed_Date]]=0,"",Pipeline_tbl[[#This Row],[Closed_Date]]-Pipeline_tbl[[#This Row],[Created_Date]])</f>
        <v>30</v>
      </c>
    </row>
    <row r="2957" spans="1:21" ht="15" customHeight="1" x14ac:dyDescent="0.2">
      <c r="A2957" t="s">
        <v>3263</v>
      </c>
      <c r="B2957" t="s">
        <v>215</v>
      </c>
      <c r="C2957" t="s">
        <v>53</v>
      </c>
      <c r="D2957" s="49">
        <v>45377</v>
      </c>
      <c r="E2957" s="49">
        <v>45379</v>
      </c>
      <c r="F2957" s="49">
        <v>45384</v>
      </c>
      <c r="G2957" s="49">
        <v>45391</v>
      </c>
      <c r="I2957" s="49">
        <v>45401</v>
      </c>
      <c r="J2957" t="s">
        <v>49</v>
      </c>
      <c r="K2957" s="33">
        <v>2600</v>
      </c>
      <c r="L2957" t="s">
        <v>62</v>
      </c>
      <c r="M2957" t="str">
        <f>_xlfn.XLOOKUP(Pipeline_tbl[[#This Row],[Rep_ID]],Dim_Reps!A:A,Dim_Reps!K:K)</f>
        <v>EUR</v>
      </c>
      <c r="N2957" s="33">
        <f>(_xlfn.XLOOKUP(Pipeline_tbl[[#This Row],[Rate_Code_Generalized]],Lookups!A:A,Lookups!B:B))*Pipeline_tbl[[#This Row],[Pipeline_Amount_USD]]</f>
        <v>2600</v>
      </c>
      <c r="O2957" t="str">
        <f>_xlfn.XLOOKUP(Pipeline_tbl[[#This Row],[Rep_ID]],Dim_Reps!A:A,Dim_Reps!B:B)</f>
        <v>Jamie Schmidt</v>
      </c>
      <c r="P2957" t="str">
        <f>_xlfn.XLOOKUP(Pipeline_tbl[[#This Row],[Rep_ID]],Dim_Reps!A:A,Dim_Reps!C:C)</f>
        <v>SDR / Inside Sales Rep</v>
      </c>
      <c r="Q2957" t="str">
        <f>_xlfn.XLOOKUP(Pipeline_tbl[[#This Row],[Rep_ID]],Dim_Reps!A:A,Dim_Reps!D:D)</f>
        <v>Inside Sales</v>
      </c>
      <c r="R2957" t="str">
        <f>_xlfn.XLOOKUP(Pipeline_tbl[[#This Row],[Rep_ID]],Dim_Reps!A:A,Dim_Reps!E:E)</f>
        <v>APAC</v>
      </c>
      <c r="S2957" t="str">
        <f>_xlfn.XLOOKUP(Pipeline_tbl[[#This Row],[Created_Date]],Dim_Date!A:A,Dim_Date!H:H)</f>
        <v>Mar 2024</v>
      </c>
      <c r="T2957" t="str">
        <f>IF(Pipeline_tbl[[#This Row],[Closed_Date]]=0,"",(_xlfn.XLOOKUP(Pipeline_tbl[[#This Row],[Closed_Date]],Dim_Date!A:A,Dim_Date!H:H)))</f>
        <v>Apr 2024</v>
      </c>
      <c r="U2957">
        <f>IF(Pipeline_tbl[[#This Row],[Closed_Date]]=0,"",Pipeline_tbl[[#This Row],[Closed_Date]]-Pipeline_tbl[[#This Row],[Created_Date]])</f>
        <v>24</v>
      </c>
    </row>
    <row r="2958" spans="1:21" ht="15" customHeight="1" x14ac:dyDescent="0.2">
      <c r="A2958" t="s">
        <v>3264</v>
      </c>
      <c r="B2958" t="s">
        <v>215</v>
      </c>
      <c r="C2958" t="s">
        <v>52</v>
      </c>
      <c r="D2958" s="49">
        <v>45363</v>
      </c>
      <c r="E2958" s="49">
        <v>45365</v>
      </c>
      <c r="F2958" s="49">
        <v>45370</v>
      </c>
      <c r="G2958" s="49">
        <v>45376</v>
      </c>
      <c r="H2958" s="49">
        <v>45382</v>
      </c>
      <c r="I2958" s="49">
        <v>45385</v>
      </c>
      <c r="J2958" t="s">
        <v>49</v>
      </c>
      <c r="K2958" s="33">
        <v>9000</v>
      </c>
      <c r="L2958" t="s">
        <v>64</v>
      </c>
      <c r="M2958" t="str">
        <f>_xlfn.XLOOKUP(Pipeline_tbl[[#This Row],[Rep_ID]],Dim_Reps!A:A,Dim_Reps!K:K)</f>
        <v>EUR</v>
      </c>
      <c r="N2958" s="33">
        <f>(_xlfn.XLOOKUP(Pipeline_tbl[[#This Row],[Rate_Code_Generalized]],Lookups!A:A,Lookups!B:B))*Pipeline_tbl[[#This Row],[Pipeline_Amount_USD]]</f>
        <v>9000</v>
      </c>
      <c r="O2958" t="str">
        <f>_xlfn.XLOOKUP(Pipeline_tbl[[#This Row],[Rep_ID]],Dim_Reps!A:A,Dim_Reps!B:B)</f>
        <v>Jamie Schmidt</v>
      </c>
      <c r="P2958" t="str">
        <f>_xlfn.XLOOKUP(Pipeline_tbl[[#This Row],[Rep_ID]],Dim_Reps!A:A,Dim_Reps!C:C)</f>
        <v>SDR / Inside Sales Rep</v>
      </c>
      <c r="Q2958" t="str">
        <f>_xlfn.XLOOKUP(Pipeline_tbl[[#This Row],[Rep_ID]],Dim_Reps!A:A,Dim_Reps!D:D)</f>
        <v>Inside Sales</v>
      </c>
      <c r="R2958" t="str">
        <f>_xlfn.XLOOKUP(Pipeline_tbl[[#This Row],[Rep_ID]],Dim_Reps!A:A,Dim_Reps!E:E)</f>
        <v>APAC</v>
      </c>
      <c r="S2958" t="str">
        <f>_xlfn.XLOOKUP(Pipeline_tbl[[#This Row],[Created_Date]],Dim_Date!A:A,Dim_Date!H:H)</f>
        <v>Mar 2024</v>
      </c>
      <c r="T2958" t="str">
        <f>IF(Pipeline_tbl[[#This Row],[Closed_Date]]=0,"",(_xlfn.XLOOKUP(Pipeline_tbl[[#This Row],[Closed_Date]],Dim_Date!A:A,Dim_Date!H:H)))</f>
        <v>Apr 2024</v>
      </c>
      <c r="U2958">
        <f>IF(Pipeline_tbl[[#This Row],[Closed_Date]]=0,"",Pipeline_tbl[[#This Row],[Closed_Date]]-Pipeline_tbl[[#This Row],[Created_Date]])</f>
        <v>22</v>
      </c>
    </row>
    <row r="2959" spans="1:21" ht="15" customHeight="1" x14ac:dyDescent="0.2">
      <c r="A2959" t="s">
        <v>3265</v>
      </c>
      <c r="B2959" t="s">
        <v>215</v>
      </c>
      <c r="C2959" t="s">
        <v>56</v>
      </c>
      <c r="D2959" s="49">
        <v>45368</v>
      </c>
      <c r="E2959" s="49">
        <v>45370</v>
      </c>
      <c r="I2959" s="49">
        <v>45390</v>
      </c>
      <c r="J2959" t="s">
        <v>49</v>
      </c>
      <c r="K2959" s="33">
        <v>2800</v>
      </c>
      <c r="L2959" t="s">
        <v>60</v>
      </c>
      <c r="M2959" t="str">
        <f>_xlfn.XLOOKUP(Pipeline_tbl[[#This Row],[Rep_ID]],Dim_Reps!A:A,Dim_Reps!K:K)</f>
        <v>EUR</v>
      </c>
      <c r="N2959" s="33">
        <f>(_xlfn.XLOOKUP(Pipeline_tbl[[#This Row],[Rate_Code_Generalized]],Lookups!A:A,Lookups!B:B))*Pipeline_tbl[[#This Row],[Pipeline_Amount_USD]]</f>
        <v>2800</v>
      </c>
      <c r="O2959" t="str">
        <f>_xlfn.XLOOKUP(Pipeline_tbl[[#This Row],[Rep_ID]],Dim_Reps!A:A,Dim_Reps!B:B)</f>
        <v>Jamie Schmidt</v>
      </c>
      <c r="P2959" t="str">
        <f>_xlfn.XLOOKUP(Pipeline_tbl[[#This Row],[Rep_ID]],Dim_Reps!A:A,Dim_Reps!C:C)</f>
        <v>SDR / Inside Sales Rep</v>
      </c>
      <c r="Q2959" t="str">
        <f>_xlfn.XLOOKUP(Pipeline_tbl[[#This Row],[Rep_ID]],Dim_Reps!A:A,Dim_Reps!D:D)</f>
        <v>Inside Sales</v>
      </c>
      <c r="R2959" t="str">
        <f>_xlfn.XLOOKUP(Pipeline_tbl[[#This Row],[Rep_ID]],Dim_Reps!A:A,Dim_Reps!E:E)</f>
        <v>APAC</v>
      </c>
      <c r="S2959" t="str">
        <f>_xlfn.XLOOKUP(Pipeline_tbl[[#This Row],[Created_Date]],Dim_Date!A:A,Dim_Date!H:H)</f>
        <v>Mar 2024</v>
      </c>
      <c r="T2959" t="str">
        <f>IF(Pipeline_tbl[[#This Row],[Closed_Date]]=0,"",(_xlfn.XLOOKUP(Pipeline_tbl[[#This Row],[Closed_Date]],Dim_Date!A:A,Dim_Date!H:H)))</f>
        <v>Apr 2024</v>
      </c>
      <c r="U2959">
        <f>IF(Pipeline_tbl[[#This Row],[Closed_Date]]=0,"",Pipeline_tbl[[#This Row],[Closed_Date]]-Pipeline_tbl[[#This Row],[Created_Date]])</f>
        <v>22</v>
      </c>
    </row>
    <row r="2960" spans="1:21" ht="15" customHeight="1" x14ac:dyDescent="0.2">
      <c r="A2960" t="s">
        <v>3266</v>
      </c>
      <c r="B2960" t="s">
        <v>215</v>
      </c>
      <c r="C2960" t="s">
        <v>53</v>
      </c>
      <c r="D2960" s="49">
        <v>45377</v>
      </c>
      <c r="E2960" s="49">
        <v>45378</v>
      </c>
      <c r="F2960" s="49">
        <v>45381</v>
      </c>
      <c r="G2960" s="49">
        <v>45384</v>
      </c>
      <c r="H2960" s="49">
        <v>45387</v>
      </c>
      <c r="I2960" s="49">
        <v>45389</v>
      </c>
      <c r="J2960" t="s">
        <v>47</v>
      </c>
      <c r="K2960" s="33">
        <v>3600</v>
      </c>
      <c r="M2960" t="str">
        <f>_xlfn.XLOOKUP(Pipeline_tbl[[#This Row],[Rep_ID]],Dim_Reps!A:A,Dim_Reps!K:K)</f>
        <v>EUR</v>
      </c>
      <c r="N2960" s="33">
        <f>(_xlfn.XLOOKUP(Pipeline_tbl[[#This Row],[Rate_Code_Generalized]],Lookups!A:A,Lookups!B:B))*Pipeline_tbl[[#This Row],[Pipeline_Amount_USD]]</f>
        <v>3600</v>
      </c>
      <c r="O2960" t="str">
        <f>_xlfn.XLOOKUP(Pipeline_tbl[[#This Row],[Rep_ID]],Dim_Reps!A:A,Dim_Reps!B:B)</f>
        <v>Jamie Schmidt</v>
      </c>
      <c r="P2960" t="str">
        <f>_xlfn.XLOOKUP(Pipeline_tbl[[#This Row],[Rep_ID]],Dim_Reps!A:A,Dim_Reps!C:C)</f>
        <v>SDR / Inside Sales Rep</v>
      </c>
      <c r="Q2960" t="str">
        <f>_xlfn.XLOOKUP(Pipeline_tbl[[#This Row],[Rep_ID]],Dim_Reps!A:A,Dim_Reps!D:D)</f>
        <v>Inside Sales</v>
      </c>
      <c r="R2960" t="str">
        <f>_xlfn.XLOOKUP(Pipeline_tbl[[#This Row],[Rep_ID]],Dim_Reps!A:A,Dim_Reps!E:E)</f>
        <v>APAC</v>
      </c>
      <c r="S2960" t="str">
        <f>_xlfn.XLOOKUP(Pipeline_tbl[[#This Row],[Created_Date]],Dim_Date!A:A,Dim_Date!H:H)</f>
        <v>Mar 2024</v>
      </c>
      <c r="T2960" t="str">
        <f>IF(Pipeline_tbl[[#This Row],[Closed_Date]]=0,"",(_xlfn.XLOOKUP(Pipeline_tbl[[#This Row],[Closed_Date]],Dim_Date!A:A,Dim_Date!H:H)))</f>
        <v>Apr 2024</v>
      </c>
      <c r="U2960">
        <f>IF(Pipeline_tbl[[#This Row],[Closed_Date]]=0,"",Pipeline_tbl[[#This Row],[Closed_Date]]-Pipeline_tbl[[#This Row],[Created_Date]])</f>
        <v>12</v>
      </c>
    </row>
    <row r="2961" spans="1:21" ht="15" customHeight="1" x14ac:dyDescent="0.2">
      <c r="A2961" t="s">
        <v>3267</v>
      </c>
      <c r="B2961" t="s">
        <v>215</v>
      </c>
      <c r="C2961" t="s">
        <v>53</v>
      </c>
      <c r="D2961" s="49">
        <v>45359</v>
      </c>
      <c r="E2961" s="49">
        <v>45361</v>
      </c>
      <c r="F2961" s="49">
        <v>45367</v>
      </c>
      <c r="G2961" s="49">
        <v>45374</v>
      </c>
      <c r="H2961" s="49">
        <v>45380</v>
      </c>
      <c r="I2961" s="49">
        <v>45384</v>
      </c>
      <c r="J2961" t="s">
        <v>49</v>
      </c>
      <c r="K2961" s="33">
        <v>900</v>
      </c>
      <c r="L2961" t="s">
        <v>63</v>
      </c>
      <c r="M2961" t="str">
        <f>_xlfn.XLOOKUP(Pipeline_tbl[[#This Row],[Rep_ID]],Dim_Reps!A:A,Dim_Reps!K:K)</f>
        <v>EUR</v>
      </c>
      <c r="N2961" s="33">
        <f>(_xlfn.XLOOKUP(Pipeline_tbl[[#This Row],[Rate_Code_Generalized]],Lookups!A:A,Lookups!B:B))*Pipeline_tbl[[#This Row],[Pipeline_Amount_USD]]</f>
        <v>900</v>
      </c>
      <c r="O2961" t="str">
        <f>_xlfn.XLOOKUP(Pipeline_tbl[[#This Row],[Rep_ID]],Dim_Reps!A:A,Dim_Reps!B:B)</f>
        <v>Jamie Schmidt</v>
      </c>
      <c r="P2961" t="str">
        <f>_xlfn.XLOOKUP(Pipeline_tbl[[#This Row],[Rep_ID]],Dim_Reps!A:A,Dim_Reps!C:C)</f>
        <v>SDR / Inside Sales Rep</v>
      </c>
      <c r="Q2961" t="str">
        <f>_xlfn.XLOOKUP(Pipeline_tbl[[#This Row],[Rep_ID]],Dim_Reps!A:A,Dim_Reps!D:D)</f>
        <v>Inside Sales</v>
      </c>
      <c r="R2961" t="str">
        <f>_xlfn.XLOOKUP(Pipeline_tbl[[#This Row],[Rep_ID]],Dim_Reps!A:A,Dim_Reps!E:E)</f>
        <v>APAC</v>
      </c>
      <c r="S2961" t="str">
        <f>_xlfn.XLOOKUP(Pipeline_tbl[[#This Row],[Created_Date]],Dim_Date!A:A,Dim_Date!H:H)</f>
        <v>Mar 2024</v>
      </c>
      <c r="T2961" t="str">
        <f>IF(Pipeline_tbl[[#This Row],[Closed_Date]]=0,"",(_xlfn.XLOOKUP(Pipeline_tbl[[#This Row],[Closed_Date]],Dim_Date!A:A,Dim_Date!H:H)))</f>
        <v>Apr 2024</v>
      </c>
      <c r="U2961">
        <f>IF(Pipeline_tbl[[#This Row],[Closed_Date]]=0,"",Pipeline_tbl[[#This Row],[Closed_Date]]-Pipeline_tbl[[#This Row],[Created_Date]])</f>
        <v>25</v>
      </c>
    </row>
    <row r="2962" spans="1:21" ht="15" customHeight="1" x14ac:dyDescent="0.2">
      <c r="A2962" t="s">
        <v>3268</v>
      </c>
      <c r="B2962" t="s">
        <v>217</v>
      </c>
      <c r="C2962" t="s">
        <v>53</v>
      </c>
      <c r="D2962" s="49">
        <v>45364</v>
      </c>
      <c r="E2962" s="49">
        <v>45366</v>
      </c>
      <c r="F2962" s="49">
        <v>45370</v>
      </c>
      <c r="I2962" s="49">
        <v>45385</v>
      </c>
      <c r="J2962" t="s">
        <v>49</v>
      </c>
      <c r="K2962" s="33">
        <v>4300</v>
      </c>
      <c r="L2962" t="s">
        <v>64</v>
      </c>
      <c r="M2962" t="str">
        <f>_xlfn.XLOOKUP(Pipeline_tbl[[#This Row],[Rep_ID]],Dim_Reps!A:A,Dim_Reps!K:K)</f>
        <v>USD</v>
      </c>
      <c r="N2962" s="33">
        <f>(_xlfn.XLOOKUP(Pipeline_tbl[[#This Row],[Rate_Code_Generalized]],Lookups!A:A,Lookups!B:B))*Pipeline_tbl[[#This Row],[Pipeline_Amount_USD]]</f>
        <v>5006.49</v>
      </c>
      <c r="O2962" t="str">
        <f>_xlfn.XLOOKUP(Pipeline_tbl[[#This Row],[Rep_ID]],Dim_Reps!A:A,Dim_Reps!B:B)</f>
        <v>Priya Weber</v>
      </c>
      <c r="P2962" t="str">
        <f>_xlfn.XLOOKUP(Pipeline_tbl[[#This Row],[Rep_ID]],Dim_Reps!A:A,Dim_Reps!C:C)</f>
        <v>SDR / Inside Sales Rep</v>
      </c>
      <c r="Q2962" t="str">
        <f>_xlfn.XLOOKUP(Pipeline_tbl[[#This Row],[Rep_ID]],Dim_Reps!A:A,Dim_Reps!D:D)</f>
        <v>Inside Sales</v>
      </c>
      <c r="R2962" t="str">
        <f>_xlfn.XLOOKUP(Pipeline_tbl[[#This Row],[Rep_ID]],Dim_Reps!A:A,Dim_Reps!E:E)</f>
        <v>NAMER</v>
      </c>
      <c r="S2962" t="str">
        <f>_xlfn.XLOOKUP(Pipeline_tbl[[#This Row],[Created_Date]],Dim_Date!A:A,Dim_Date!H:H)</f>
        <v>Mar 2024</v>
      </c>
      <c r="T2962" t="str">
        <f>IF(Pipeline_tbl[[#This Row],[Closed_Date]]=0,"",(_xlfn.XLOOKUP(Pipeline_tbl[[#This Row],[Closed_Date]],Dim_Date!A:A,Dim_Date!H:H)))</f>
        <v>Apr 2024</v>
      </c>
      <c r="U2962">
        <f>IF(Pipeline_tbl[[#This Row],[Closed_Date]]=0,"",Pipeline_tbl[[#This Row],[Closed_Date]]-Pipeline_tbl[[#This Row],[Created_Date]])</f>
        <v>21</v>
      </c>
    </row>
    <row r="2963" spans="1:21" ht="15" customHeight="1" x14ac:dyDescent="0.2">
      <c r="A2963" t="s">
        <v>3269</v>
      </c>
      <c r="B2963" t="s">
        <v>217</v>
      </c>
      <c r="C2963" t="s">
        <v>53</v>
      </c>
      <c r="D2963" s="49">
        <v>45370</v>
      </c>
      <c r="E2963" s="49">
        <v>45372</v>
      </c>
      <c r="F2963" s="49">
        <v>45375</v>
      </c>
      <c r="G2963" s="49">
        <v>45380</v>
      </c>
      <c r="H2963" s="49">
        <v>45384</v>
      </c>
      <c r="I2963" s="49">
        <v>45387</v>
      </c>
      <c r="J2963" t="s">
        <v>47</v>
      </c>
      <c r="K2963" s="33">
        <v>5900</v>
      </c>
      <c r="M2963" t="str">
        <f>_xlfn.XLOOKUP(Pipeline_tbl[[#This Row],[Rep_ID]],Dim_Reps!A:A,Dim_Reps!K:K)</f>
        <v>USD</v>
      </c>
      <c r="N2963" s="33">
        <f>(_xlfn.XLOOKUP(Pipeline_tbl[[#This Row],[Rate_Code_Generalized]],Lookups!A:A,Lookups!B:B))*Pipeline_tbl[[#This Row],[Pipeline_Amount_USD]]</f>
        <v>6869.369999999999</v>
      </c>
      <c r="O2963" t="str">
        <f>_xlfn.XLOOKUP(Pipeline_tbl[[#This Row],[Rep_ID]],Dim_Reps!A:A,Dim_Reps!B:B)</f>
        <v>Priya Weber</v>
      </c>
      <c r="P2963" t="str">
        <f>_xlfn.XLOOKUP(Pipeline_tbl[[#This Row],[Rep_ID]],Dim_Reps!A:A,Dim_Reps!C:C)</f>
        <v>SDR / Inside Sales Rep</v>
      </c>
      <c r="Q2963" t="str">
        <f>_xlfn.XLOOKUP(Pipeline_tbl[[#This Row],[Rep_ID]],Dim_Reps!A:A,Dim_Reps!D:D)</f>
        <v>Inside Sales</v>
      </c>
      <c r="R2963" t="str">
        <f>_xlfn.XLOOKUP(Pipeline_tbl[[#This Row],[Rep_ID]],Dim_Reps!A:A,Dim_Reps!E:E)</f>
        <v>NAMER</v>
      </c>
      <c r="S2963" t="str">
        <f>_xlfn.XLOOKUP(Pipeline_tbl[[#This Row],[Created_Date]],Dim_Date!A:A,Dim_Date!H:H)</f>
        <v>Mar 2024</v>
      </c>
      <c r="T2963" t="str">
        <f>IF(Pipeline_tbl[[#This Row],[Closed_Date]]=0,"",(_xlfn.XLOOKUP(Pipeline_tbl[[#This Row],[Closed_Date]],Dim_Date!A:A,Dim_Date!H:H)))</f>
        <v>Apr 2024</v>
      </c>
      <c r="U2963">
        <f>IF(Pipeline_tbl[[#This Row],[Closed_Date]]=0,"",Pipeline_tbl[[#This Row],[Closed_Date]]-Pipeline_tbl[[#This Row],[Created_Date]])</f>
        <v>17</v>
      </c>
    </row>
    <row r="2964" spans="1:21" ht="15" customHeight="1" x14ac:dyDescent="0.2">
      <c r="A2964" t="s">
        <v>3270</v>
      </c>
      <c r="B2964" t="s">
        <v>217</v>
      </c>
      <c r="C2964" t="s">
        <v>53</v>
      </c>
      <c r="D2964" s="49">
        <v>45369</v>
      </c>
      <c r="E2964" s="49">
        <v>45371</v>
      </c>
      <c r="F2964" s="49">
        <v>45375</v>
      </c>
      <c r="G2964" s="49">
        <v>45382</v>
      </c>
      <c r="H2964" s="49">
        <v>45387</v>
      </c>
      <c r="I2964" s="49">
        <v>45390</v>
      </c>
      <c r="J2964" t="s">
        <v>47</v>
      </c>
      <c r="K2964" s="33">
        <v>5500</v>
      </c>
      <c r="M2964" t="str">
        <f>_xlfn.XLOOKUP(Pipeline_tbl[[#This Row],[Rep_ID]],Dim_Reps!A:A,Dim_Reps!K:K)</f>
        <v>USD</v>
      </c>
      <c r="N2964" s="33">
        <f>(_xlfn.XLOOKUP(Pipeline_tbl[[#This Row],[Rate_Code_Generalized]],Lookups!A:A,Lookups!B:B))*Pipeline_tbl[[#This Row],[Pipeline_Amount_USD]]</f>
        <v>6403.65</v>
      </c>
      <c r="O2964" t="str">
        <f>_xlfn.XLOOKUP(Pipeline_tbl[[#This Row],[Rep_ID]],Dim_Reps!A:A,Dim_Reps!B:B)</f>
        <v>Priya Weber</v>
      </c>
      <c r="P2964" t="str">
        <f>_xlfn.XLOOKUP(Pipeline_tbl[[#This Row],[Rep_ID]],Dim_Reps!A:A,Dim_Reps!C:C)</f>
        <v>SDR / Inside Sales Rep</v>
      </c>
      <c r="Q2964" t="str">
        <f>_xlfn.XLOOKUP(Pipeline_tbl[[#This Row],[Rep_ID]],Dim_Reps!A:A,Dim_Reps!D:D)</f>
        <v>Inside Sales</v>
      </c>
      <c r="R2964" t="str">
        <f>_xlfn.XLOOKUP(Pipeline_tbl[[#This Row],[Rep_ID]],Dim_Reps!A:A,Dim_Reps!E:E)</f>
        <v>NAMER</v>
      </c>
      <c r="S2964" t="str">
        <f>_xlfn.XLOOKUP(Pipeline_tbl[[#This Row],[Created_Date]],Dim_Date!A:A,Dim_Date!H:H)</f>
        <v>Mar 2024</v>
      </c>
      <c r="T2964" t="str">
        <f>IF(Pipeline_tbl[[#This Row],[Closed_Date]]=0,"",(_xlfn.XLOOKUP(Pipeline_tbl[[#This Row],[Closed_Date]],Dim_Date!A:A,Dim_Date!H:H)))</f>
        <v>Apr 2024</v>
      </c>
      <c r="U2964">
        <f>IF(Pipeline_tbl[[#This Row],[Closed_Date]]=0,"",Pipeline_tbl[[#This Row],[Closed_Date]]-Pipeline_tbl[[#This Row],[Created_Date]])</f>
        <v>21</v>
      </c>
    </row>
    <row r="2965" spans="1:21" ht="15" customHeight="1" x14ac:dyDescent="0.2">
      <c r="A2965" t="s">
        <v>3271</v>
      </c>
      <c r="B2965" t="s">
        <v>217</v>
      </c>
      <c r="C2965" t="s">
        <v>52</v>
      </c>
      <c r="D2965" s="49">
        <v>45363</v>
      </c>
      <c r="E2965" s="49">
        <v>45365</v>
      </c>
      <c r="F2965" s="49">
        <v>45369</v>
      </c>
      <c r="G2965" s="49">
        <v>45375</v>
      </c>
      <c r="I2965" s="49">
        <v>45383</v>
      </c>
      <c r="J2965" t="s">
        <v>49</v>
      </c>
      <c r="K2965" s="33">
        <v>2600</v>
      </c>
      <c r="L2965" t="s">
        <v>61</v>
      </c>
      <c r="M2965" t="str">
        <f>_xlfn.XLOOKUP(Pipeline_tbl[[#This Row],[Rep_ID]],Dim_Reps!A:A,Dim_Reps!K:K)</f>
        <v>USD</v>
      </c>
      <c r="N2965" s="33">
        <f>(_xlfn.XLOOKUP(Pipeline_tbl[[#This Row],[Rate_Code_Generalized]],Lookups!A:A,Lookups!B:B))*Pipeline_tbl[[#This Row],[Pipeline_Amount_USD]]</f>
        <v>3027.18</v>
      </c>
      <c r="O2965" t="str">
        <f>_xlfn.XLOOKUP(Pipeline_tbl[[#This Row],[Rep_ID]],Dim_Reps!A:A,Dim_Reps!B:B)</f>
        <v>Priya Weber</v>
      </c>
      <c r="P2965" t="str">
        <f>_xlfn.XLOOKUP(Pipeline_tbl[[#This Row],[Rep_ID]],Dim_Reps!A:A,Dim_Reps!C:C)</f>
        <v>SDR / Inside Sales Rep</v>
      </c>
      <c r="Q2965" t="str">
        <f>_xlfn.XLOOKUP(Pipeline_tbl[[#This Row],[Rep_ID]],Dim_Reps!A:A,Dim_Reps!D:D)</f>
        <v>Inside Sales</v>
      </c>
      <c r="R2965" t="str">
        <f>_xlfn.XLOOKUP(Pipeline_tbl[[#This Row],[Rep_ID]],Dim_Reps!A:A,Dim_Reps!E:E)</f>
        <v>NAMER</v>
      </c>
      <c r="S2965" t="str">
        <f>_xlfn.XLOOKUP(Pipeline_tbl[[#This Row],[Created_Date]],Dim_Date!A:A,Dim_Date!H:H)</f>
        <v>Mar 2024</v>
      </c>
      <c r="T2965" t="str">
        <f>IF(Pipeline_tbl[[#This Row],[Closed_Date]]=0,"",(_xlfn.XLOOKUP(Pipeline_tbl[[#This Row],[Closed_Date]],Dim_Date!A:A,Dim_Date!H:H)))</f>
        <v>Apr 2024</v>
      </c>
      <c r="U2965">
        <f>IF(Pipeline_tbl[[#This Row],[Closed_Date]]=0,"",Pipeline_tbl[[#This Row],[Closed_Date]]-Pipeline_tbl[[#This Row],[Created_Date]])</f>
        <v>20</v>
      </c>
    </row>
    <row r="2966" spans="1:21" ht="15" customHeight="1" x14ac:dyDescent="0.2">
      <c r="A2966" t="s">
        <v>3272</v>
      </c>
      <c r="B2966" t="s">
        <v>217</v>
      </c>
      <c r="C2966" t="s">
        <v>54</v>
      </c>
      <c r="D2966" s="49">
        <v>45369</v>
      </c>
      <c r="E2966" s="49">
        <v>45372</v>
      </c>
      <c r="F2966" s="49">
        <v>45377</v>
      </c>
      <c r="G2966" s="49">
        <v>45386</v>
      </c>
      <c r="H2966" s="49">
        <v>45393</v>
      </c>
      <c r="I2966" s="49">
        <v>45397</v>
      </c>
      <c r="J2966" t="s">
        <v>49</v>
      </c>
      <c r="K2966" s="33">
        <v>3800</v>
      </c>
      <c r="L2966" t="s">
        <v>61</v>
      </c>
      <c r="M2966" t="str">
        <f>_xlfn.XLOOKUP(Pipeline_tbl[[#This Row],[Rep_ID]],Dim_Reps!A:A,Dim_Reps!K:K)</f>
        <v>USD</v>
      </c>
      <c r="N2966" s="33">
        <f>(_xlfn.XLOOKUP(Pipeline_tbl[[#This Row],[Rate_Code_Generalized]],Lookups!A:A,Lookups!B:B))*Pipeline_tbl[[#This Row],[Pipeline_Amount_USD]]</f>
        <v>4424.3399999999992</v>
      </c>
      <c r="O2966" t="str">
        <f>_xlfn.XLOOKUP(Pipeline_tbl[[#This Row],[Rep_ID]],Dim_Reps!A:A,Dim_Reps!B:B)</f>
        <v>Priya Weber</v>
      </c>
      <c r="P2966" t="str">
        <f>_xlfn.XLOOKUP(Pipeline_tbl[[#This Row],[Rep_ID]],Dim_Reps!A:A,Dim_Reps!C:C)</f>
        <v>SDR / Inside Sales Rep</v>
      </c>
      <c r="Q2966" t="str">
        <f>_xlfn.XLOOKUP(Pipeline_tbl[[#This Row],[Rep_ID]],Dim_Reps!A:A,Dim_Reps!D:D)</f>
        <v>Inside Sales</v>
      </c>
      <c r="R2966" t="str">
        <f>_xlfn.XLOOKUP(Pipeline_tbl[[#This Row],[Rep_ID]],Dim_Reps!A:A,Dim_Reps!E:E)</f>
        <v>NAMER</v>
      </c>
      <c r="S2966" t="str">
        <f>_xlfn.XLOOKUP(Pipeline_tbl[[#This Row],[Created_Date]],Dim_Date!A:A,Dim_Date!H:H)</f>
        <v>Mar 2024</v>
      </c>
      <c r="T2966" t="str">
        <f>IF(Pipeline_tbl[[#This Row],[Closed_Date]]=0,"",(_xlfn.XLOOKUP(Pipeline_tbl[[#This Row],[Closed_Date]],Dim_Date!A:A,Dim_Date!H:H)))</f>
        <v>Apr 2024</v>
      </c>
      <c r="U2966">
        <f>IF(Pipeline_tbl[[#This Row],[Closed_Date]]=0,"",Pipeline_tbl[[#This Row],[Closed_Date]]-Pipeline_tbl[[#This Row],[Created_Date]])</f>
        <v>28</v>
      </c>
    </row>
    <row r="2967" spans="1:21" ht="15" customHeight="1" x14ac:dyDescent="0.2">
      <c r="A2967" t="s">
        <v>3273</v>
      </c>
      <c r="B2967" t="s">
        <v>217</v>
      </c>
      <c r="C2967" t="s">
        <v>55</v>
      </c>
      <c r="D2967" s="49">
        <v>45364</v>
      </c>
      <c r="E2967" s="49">
        <v>45366</v>
      </c>
      <c r="F2967" s="49">
        <v>45370</v>
      </c>
      <c r="G2967" s="49">
        <v>45376</v>
      </c>
      <c r="H2967" s="49">
        <v>45381</v>
      </c>
      <c r="I2967" s="49">
        <v>45384</v>
      </c>
      <c r="J2967" t="s">
        <v>49</v>
      </c>
      <c r="K2967" s="33">
        <v>3400</v>
      </c>
      <c r="L2967" t="s">
        <v>62</v>
      </c>
      <c r="M2967" t="str">
        <f>_xlfn.XLOOKUP(Pipeline_tbl[[#This Row],[Rep_ID]],Dim_Reps!A:A,Dim_Reps!K:K)</f>
        <v>USD</v>
      </c>
      <c r="N2967" s="33">
        <f>(_xlfn.XLOOKUP(Pipeline_tbl[[#This Row],[Rate_Code_Generalized]],Lookups!A:A,Lookups!B:B))*Pipeline_tbl[[#This Row],[Pipeline_Amount_USD]]</f>
        <v>3958.6199999999994</v>
      </c>
      <c r="O2967" t="str">
        <f>_xlfn.XLOOKUP(Pipeline_tbl[[#This Row],[Rep_ID]],Dim_Reps!A:A,Dim_Reps!B:B)</f>
        <v>Priya Weber</v>
      </c>
      <c r="P2967" t="str">
        <f>_xlfn.XLOOKUP(Pipeline_tbl[[#This Row],[Rep_ID]],Dim_Reps!A:A,Dim_Reps!C:C)</f>
        <v>SDR / Inside Sales Rep</v>
      </c>
      <c r="Q2967" t="str">
        <f>_xlfn.XLOOKUP(Pipeline_tbl[[#This Row],[Rep_ID]],Dim_Reps!A:A,Dim_Reps!D:D)</f>
        <v>Inside Sales</v>
      </c>
      <c r="R2967" t="str">
        <f>_xlfn.XLOOKUP(Pipeline_tbl[[#This Row],[Rep_ID]],Dim_Reps!A:A,Dim_Reps!E:E)</f>
        <v>NAMER</v>
      </c>
      <c r="S2967" t="str">
        <f>_xlfn.XLOOKUP(Pipeline_tbl[[#This Row],[Created_Date]],Dim_Date!A:A,Dim_Date!H:H)</f>
        <v>Mar 2024</v>
      </c>
      <c r="T2967" t="str">
        <f>IF(Pipeline_tbl[[#This Row],[Closed_Date]]=0,"",(_xlfn.XLOOKUP(Pipeline_tbl[[#This Row],[Closed_Date]],Dim_Date!A:A,Dim_Date!H:H)))</f>
        <v>Apr 2024</v>
      </c>
      <c r="U2967">
        <f>IF(Pipeline_tbl[[#This Row],[Closed_Date]]=0,"",Pipeline_tbl[[#This Row],[Closed_Date]]-Pipeline_tbl[[#This Row],[Created_Date]])</f>
        <v>20</v>
      </c>
    </row>
    <row r="2968" spans="1:21" ht="15" customHeight="1" x14ac:dyDescent="0.2">
      <c r="A2968" t="s">
        <v>3274</v>
      </c>
      <c r="B2968" t="s">
        <v>217</v>
      </c>
      <c r="C2968" t="s">
        <v>55</v>
      </c>
      <c r="D2968" s="49">
        <v>45368</v>
      </c>
      <c r="E2968" s="49">
        <v>45370</v>
      </c>
      <c r="F2968" s="49">
        <v>45373</v>
      </c>
      <c r="I2968" s="49">
        <v>45383</v>
      </c>
      <c r="J2968" t="s">
        <v>49</v>
      </c>
      <c r="K2968" s="33">
        <v>3800</v>
      </c>
      <c r="L2968" t="s">
        <v>60</v>
      </c>
      <c r="M2968" t="str">
        <f>_xlfn.XLOOKUP(Pipeline_tbl[[#This Row],[Rep_ID]],Dim_Reps!A:A,Dim_Reps!K:K)</f>
        <v>USD</v>
      </c>
      <c r="N2968" s="33">
        <f>(_xlfn.XLOOKUP(Pipeline_tbl[[#This Row],[Rate_Code_Generalized]],Lookups!A:A,Lookups!B:B))*Pipeline_tbl[[#This Row],[Pipeline_Amount_USD]]</f>
        <v>4424.3399999999992</v>
      </c>
      <c r="O2968" t="str">
        <f>_xlfn.XLOOKUP(Pipeline_tbl[[#This Row],[Rep_ID]],Dim_Reps!A:A,Dim_Reps!B:B)</f>
        <v>Priya Weber</v>
      </c>
      <c r="P2968" t="str">
        <f>_xlfn.XLOOKUP(Pipeline_tbl[[#This Row],[Rep_ID]],Dim_Reps!A:A,Dim_Reps!C:C)</f>
        <v>SDR / Inside Sales Rep</v>
      </c>
      <c r="Q2968" t="str">
        <f>_xlfn.XLOOKUP(Pipeline_tbl[[#This Row],[Rep_ID]],Dim_Reps!A:A,Dim_Reps!D:D)</f>
        <v>Inside Sales</v>
      </c>
      <c r="R2968" t="str">
        <f>_xlfn.XLOOKUP(Pipeline_tbl[[#This Row],[Rep_ID]],Dim_Reps!A:A,Dim_Reps!E:E)</f>
        <v>NAMER</v>
      </c>
      <c r="S2968" t="str">
        <f>_xlfn.XLOOKUP(Pipeline_tbl[[#This Row],[Created_Date]],Dim_Date!A:A,Dim_Date!H:H)</f>
        <v>Mar 2024</v>
      </c>
      <c r="T2968" t="str">
        <f>IF(Pipeline_tbl[[#This Row],[Closed_Date]]=0,"",(_xlfn.XLOOKUP(Pipeline_tbl[[#This Row],[Closed_Date]],Dim_Date!A:A,Dim_Date!H:H)))</f>
        <v>Apr 2024</v>
      </c>
      <c r="U2968">
        <f>IF(Pipeline_tbl[[#This Row],[Closed_Date]]=0,"",Pipeline_tbl[[#This Row],[Closed_Date]]-Pipeline_tbl[[#This Row],[Created_Date]])</f>
        <v>15</v>
      </c>
    </row>
    <row r="2969" spans="1:21" ht="15" customHeight="1" x14ac:dyDescent="0.2">
      <c r="A2969" t="s">
        <v>3275</v>
      </c>
      <c r="B2969" t="s">
        <v>217</v>
      </c>
      <c r="C2969" t="s">
        <v>56</v>
      </c>
      <c r="D2969" s="49">
        <v>45376</v>
      </c>
      <c r="E2969" s="49">
        <v>45378</v>
      </c>
      <c r="F2969" s="49">
        <v>45381</v>
      </c>
      <c r="G2969" s="49">
        <v>45387</v>
      </c>
      <c r="H2969" s="49">
        <v>45391</v>
      </c>
      <c r="I2969" s="49">
        <v>45394</v>
      </c>
      <c r="J2969" t="s">
        <v>49</v>
      </c>
      <c r="K2969" s="33">
        <v>5500</v>
      </c>
      <c r="L2969" t="s">
        <v>60</v>
      </c>
      <c r="M2969" t="str">
        <f>_xlfn.XLOOKUP(Pipeline_tbl[[#This Row],[Rep_ID]],Dim_Reps!A:A,Dim_Reps!K:K)</f>
        <v>USD</v>
      </c>
      <c r="N2969" s="33">
        <f>(_xlfn.XLOOKUP(Pipeline_tbl[[#This Row],[Rate_Code_Generalized]],Lookups!A:A,Lookups!B:B))*Pipeline_tbl[[#This Row],[Pipeline_Amount_USD]]</f>
        <v>6403.65</v>
      </c>
      <c r="O2969" t="str">
        <f>_xlfn.XLOOKUP(Pipeline_tbl[[#This Row],[Rep_ID]],Dim_Reps!A:A,Dim_Reps!B:B)</f>
        <v>Priya Weber</v>
      </c>
      <c r="P2969" t="str">
        <f>_xlfn.XLOOKUP(Pipeline_tbl[[#This Row],[Rep_ID]],Dim_Reps!A:A,Dim_Reps!C:C)</f>
        <v>SDR / Inside Sales Rep</v>
      </c>
      <c r="Q2969" t="str">
        <f>_xlfn.XLOOKUP(Pipeline_tbl[[#This Row],[Rep_ID]],Dim_Reps!A:A,Dim_Reps!D:D)</f>
        <v>Inside Sales</v>
      </c>
      <c r="R2969" t="str">
        <f>_xlfn.XLOOKUP(Pipeline_tbl[[#This Row],[Rep_ID]],Dim_Reps!A:A,Dim_Reps!E:E)</f>
        <v>NAMER</v>
      </c>
      <c r="S2969" t="str">
        <f>_xlfn.XLOOKUP(Pipeline_tbl[[#This Row],[Created_Date]],Dim_Date!A:A,Dim_Date!H:H)</f>
        <v>Mar 2024</v>
      </c>
      <c r="T2969" t="str">
        <f>IF(Pipeline_tbl[[#This Row],[Closed_Date]]=0,"",(_xlfn.XLOOKUP(Pipeline_tbl[[#This Row],[Closed_Date]],Dim_Date!A:A,Dim_Date!H:H)))</f>
        <v>Apr 2024</v>
      </c>
      <c r="U2969">
        <f>IF(Pipeline_tbl[[#This Row],[Closed_Date]]=0,"",Pipeline_tbl[[#This Row],[Closed_Date]]-Pipeline_tbl[[#This Row],[Created_Date]])</f>
        <v>18</v>
      </c>
    </row>
    <row r="2970" spans="1:21" ht="15" customHeight="1" x14ac:dyDescent="0.2">
      <c r="A2970" t="s">
        <v>3276</v>
      </c>
      <c r="B2970" t="s">
        <v>217</v>
      </c>
      <c r="C2970" t="s">
        <v>52</v>
      </c>
      <c r="D2970" s="49">
        <v>45369</v>
      </c>
      <c r="E2970" s="49">
        <v>45371</v>
      </c>
      <c r="I2970" s="49">
        <v>45387</v>
      </c>
      <c r="J2970" t="s">
        <v>49</v>
      </c>
      <c r="K2970" s="33">
        <v>1400</v>
      </c>
      <c r="L2970" t="s">
        <v>64</v>
      </c>
      <c r="M2970" t="str">
        <f>_xlfn.XLOOKUP(Pipeline_tbl[[#This Row],[Rep_ID]],Dim_Reps!A:A,Dim_Reps!K:K)</f>
        <v>USD</v>
      </c>
      <c r="N2970" s="33">
        <f>(_xlfn.XLOOKUP(Pipeline_tbl[[#This Row],[Rate_Code_Generalized]],Lookups!A:A,Lookups!B:B))*Pipeline_tbl[[#This Row],[Pipeline_Amount_USD]]</f>
        <v>1630.0199999999998</v>
      </c>
      <c r="O2970" t="str">
        <f>_xlfn.XLOOKUP(Pipeline_tbl[[#This Row],[Rep_ID]],Dim_Reps!A:A,Dim_Reps!B:B)</f>
        <v>Priya Weber</v>
      </c>
      <c r="P2970" t="str">
        <f>_xlfn.XLOOKUP(Pipeline_tbl[[#This Row],[Rep_ID]],Dim_Reps!A:A,Dim_Reps!C:C)</f>
        <v>SDR / Inside Sales Rep</v>
      </c>
      <c r="Q2970" t="str">
        <f>_xlfn.XLOOKUP(Pipeline_tbl[[#This Row],[Rep_ID]],Dim_Reps!A:A,Dim_Reps!D:D)</f>
        <v>Inside Sales</v>
      </c>
      <c r="R2970" t="str">
        <f>_xlfn.XLOOKUP(Pipeline_tbl[[#This Row],[Rep_ID]],Dim_Reps!A:A,Dim_Reps!E:E)</f>
        <v>NAMER</v>
      </c>
      <c r="S2970" t="str">
        <f>_xlfn.XLOOKUP(Pipeline_tbl[[#This Row],[Created_Date]],Dim_Date!A:A,Dim_Date!H:H)</f>
        <v>Mar 2024</v>
      </c>
      <c r="T2970" t="str">
        <f>IF(Pipeline_tbl[[#This Row],[Closed_Date]]=0,"",(_xlfn.XLOOKUP(Pipeline_tbl[[#This Row],[Closed_Date]],Dim_Date!A:A,Dim_Date!H:H)))</f>
        <v>Apr 2024</v>
      </c>
      <c r="U2970">
        <f>IF(Pipeline_tbl[[#This Row],[Closed_Date]]=0,"",Pipeline_tbl[[#This Row],[Closed_Date]]-Pipeline_tbl[[#This Row],[Created_Date]])</f>
        <v>18</v>
      </c>
    </row>
    <row r="2971" spans="1:21" ht="15" customHeight="1" x14ac:dyDescent="0.2">
      <c r="A2971" t="s">
        <v>3277</v>
      </c>
      <c r="B2971" t="s">
        <v>188</v>
      </c>
      <c r="C2971" t="s">
        <v>53</v>
      </c>
      <c r="D2971" s="49">
        <v>45361</v>
      </c>
      <c r="E2971" s="49">
        <v>45366</v>
      </c>
      <c r="F2971" s="49">
        <v>45375</v>
      </c>
      <c r="G2971" s="49">
        <v>45390</v>
      </c>
      <c r="I2971" s="49">
        <v>45409</v>
      </c>
      <c r="J2971" t="s">
        <v>49</v>
      </c>
      <c r="K2971" s="33">
        <v>31700</v>
      </c>
      <c r="L2971" t="s">
        <v>62</v>
      </c>
      <c r="M2971" t="str">
        <f>_xlfn.XLOOKUP(Pipeline_tbl[[#This Row],[Rep_ID]],Dim_Reps!A:A,Dim_Reps!K:K)</f>
        <v>EUR</v>
      </c>
      <c r="N2971" s="33">
        <f>(_xlfn.XLOOKUP(Pipeline_tbl[[#This Row],[Rate_Code_Generalized]],Lookups!A:A,Lookups!B:B))*Pipeline_tbl[[#This Row],[Pipeline_Amount_USD]]</f>
        <v>31700</v>
      </c>
      <c r="O2971" t="str">
        <f>_xlfn.XLOOKUP(Pipeline_tbl[[#This Row],[Rep_ID]],Dim_Reps!A:A,Dim_Reps!B:B)</f>
        <v>Jamie Santos</v>
      </c>
      <c r="P2971" t="str">
        <f>_xlfn.XLOOKUP(Pipeline_tbl[[#This Row],[Rep_ID]],Dim_Reps!A:A,Dim_Reps!C:C)</f>
        <v>Enterprise AE</v>
      </c>
      <c r="Q2971" t="str">
        <f>_xlfn.XLOOKUP(Pipeline_tbl[[#This Row],[Rep_ID]],Dim_Reps!A:A,Dim_Reps!D:D)</f>
        <v>Enterprise</v>
      </c>
      <c r="R2971" t="str">
        <f>_xlfn.XLOOKUP(Pipeline_tbl[[#This Row],[Rep_ID]],Dim_Reps!A:A,Dim_Reps!E:E)</f>
        <v>APAC</v>
      </c>
      <c r="S2971" t="str">
        <f>_xlfn.XLOOKUP(Pipeline_tbl[[#This Row],[Created_Date]],Dim_Date!A:A,Dim_Date!H:H)</f>
        <v>Mar 2024</v>
      </c>
      <c r="T2971" t="str">
        <f>IF(Pipeline_tbl[[#This Row],[Closed_Date]]=0,"",(_xlfn.XLOOKUP(Pipeline_tbl[[#This Row],[Closed_Date]],Dim_Date!A:A,Dim_Date!H:H)))</f>
        <v>Apr 2024</v>
      </c>
      <c r="U2971">
        <f>IF(Pipeline_tbl[[#This Row],[Closed_Date]]=0,"",Pipeline_tbl[[#This Row],[Closed_Date]]-Pipeline_tbl[[#This Row],[Created_Date]])</f>
        <v>48</v>
      </c>
    </row>
    <row r="2972" spans="1:21" ht="15" customHeight="1" x14ac:dyDescent="0.2">
      <c r="A2972" t="s">
        <v>3278</v>
      </c>
      <c r="B2972" t="s">
        <v>221</v>
      </c>
      <c r="C2972" t="s">
        <v>52</v>
      </c>
      <c r="D2972" s="49">
        <v>45376</v>
      </c>
      <c r="E2972" s="49">
        <v>45379</v>
      </c>
      <c r="I2972" s="49">
        <v>45405</v>
      </c>
      <c r="J2972" t="s">
        <v>49</v>
      </c>
      <c r="K2972" s="33">
        <v>3500</v>
      </c>
      <c r="L2972" t="s">
        <v>62</v>
      </c>
      <c r="M2972" t="str">
        <f>_xlfn.XLOOKUP(Pipeline_tbl[[#This Row],[Rep_ID]],Dim_Reps!A:A,Dim_Reps!K:K)</f>
        <v>MXN</v>
      </c>
      <c r="N2972" s="33">
        <f>(_xlfn.XLOOKUP(Pipeline_tbl[[#This Row],[Rate_Code_Generalized]],Lookups!A:A,Lookups!B:B))*Pipeline_tbl[[#This Row],[Pipeline_Amount_USD]]</f>
        <v>69064.45</v>
      </c>
      <c r="O2972" t="str">
        <f>_xlfn.XLOOKUP(Pipeline_tbl[[#This Row],[Rep_ID]],Dim_Reps!A:A,Dim_Reps!B:B)</f>
        <v>Casey Muller</v>
      </c>
      <c r="P2972" t="str">
        <f>_xlfn.XLOOKUP(Pipeline_tbl[[#This Row],[Rep_ID]],Dim_Reps!A:A,Dim_Reps!C:C)</f>
        <v>SDR / Inside Sales Rep</v>
      </c>
      <c r="Q2972" t="str">
        <f>_xlfn.XLOOKUP(Pipeline_tbl[[#This Row],[Rep_ID]],Dim_Reps!A:A,Dim_Reps!D:D)</f>
        <v>Inside Sales</v>
      </c>
      <c r="R2972" t="str">
        <f>_xlfn.XLOOKUP(Pipeline_tbl[[#This Row],[Rep_ID]],Dim_Reps!A:A,Dim_Reps!E:E)</f>
        <v>LATAM</v>
      </c>
      <c r="S2972" t="str">
        <f>_xlfn.XLOOKUP(Pipeline_tbl[[#This Row],[Created_Date]],Dim_Date!A:A,Dim_Date!H:H)</f>
        <v>Mar 2024</v>
      </c>
      <c r="T2972" t="str">
        <f>IF(Pipeline_tbl[[#This Row],[Closed_Date]]=0,"",(_xlfn.XLOOKUP(Pipeline_tbl[[#This Row],[Closed_Date]],Dim_Date!A:A,Dim_Date!H:H)))</f>
        <v>Apr 2024</v>
      </c>
      <c r="U2972">
        <f>IF(Pipeline_tbl[[#This Row],[Closed_Date]]=0,"",Pipeline_tbl[[#This Row],[Closed_Date]]-Pipeline_tbl[[#This Row],[Created_Date]])</f>
        <v>29</v>
      </c>
    </row>
    <row r="2973" spans="1:21" ht="15" customHeight="1" x14ac:dyDescent="0.2">
      <c r="A2973" t="s">
        <v>3279</v>
      </c>
      <c r="B2973" t="s">
        <v>221</v>
      </c>
      <c r="C2973" t="s">
        <v>52</v>
      </c>
      <c r="D2973" s="49">
        <v>45371</v>
      </c>
      <c r="E2973" s="49">
        <v>45373</v>
      </c>
      <c r="F2973" s="49">
        <v>45376</v>
      </c>
      <c r="G2973" s="49">
        <v>45382</v>
      </c>
      <c r="I2973" s="49">
        <v>45389</v>
      </c>
      <c r="J2973" t="s">
        <v>49</v>
      </c>
      <c r="K2973" s="33">
        <v>1900</v>
      </c>
      <c r="L2973" t="s">
        <v>61</v>
      </c>
      <c r="M2973" t="str">
        <f>_xlfn.XLOOKUP(Pipeline_tbl[[#This Row],[Rep_ID]],Dim_Reps!A:A,Dim_Reps!K:K)</f>
        <v>MXN</v>
      </c>
      <c r="N2973" s="33">
        <f>(_xlfn.XLOOKUP(Pipeline_tbl[[#This Row],[Rate_Code_Generalized]],Lookups!A:A,Lookups!B:B))*Pipeline_tbl[[#This Row],[Pipeline_Amount_USD]]</f>
        <v>37492.130000000005</v>
      </c>
      <c r="O2973" t="str">
        <f>_xlfn.XLOOKUP(Pipeline_tbl[[#This Row],[Rep_ID]],Dim_Reps!A:A,Dim_Reps!B:B)</f>
        <v>Casey Muller</v>
      </c>
      <c r="P2973" t="str">
        <f>_xlfn.XLOOKUP(Pipeline_tbl[[#This Row],[Rep_ID]],Dim_Reps!A:A,Dim_Reps!C:C)</f>
        <v>SDR / Inside Sales Rep</v>
      </c>
      <c r="Q2973" t="str">
        <f>_xlfn.XLOOKUP(Pipeline_tbl[[#This Row],[Rep_ID]],Dim_Reps!A:A,Dim_Reps!D:D)</f>
        <v>Inside Sales</v>
      </c>
      <c r="R2973" t="str">
        <f>_xlfn.XLOOKUP(Pipeline_tbl[[#This Row],[Rep_ID]],Dim_Reps!A:A,Dim_Reps!E:E)</f>
        <v>LATAM</v>
      </c>
      <c r="S2973" t="str">
        <f>_xlfn.XLOOKUP(Pipeline_tbl[[#This Row],[Created_Date]],Dim_Date!A:A,Dim_Date!H:H)</f>
        <v>Mar 2024</v>
      </c>
      <c r="T2973" t="str">
        <f>IF(Pipeline_tbl[[#This Row],[Closed_Date]]=0,"",(_xlfn.XLOOKUP(Pipeline_tbl[[#This Row],[Closed_Date]],Dim_Date!A:A,Dim_Date!H:H)))</f>
        <v>Apr 2024</v>
      </c>
      <c r="U2973">
        <f>IF(Pipeline_tbl[[#This Row],[Closed_Date]]=0,"",Pipeline_tbl[[#This Row],[Closed_Date]]-Pipeline_tbl[[#This Row],[Created_Date]])</f>
        <v>18</v>
      </c>
    </row>
    <row r="2974" spans="1:21" ht="15" customHeight="1" x14ac:dyDescent="0.2">
      <c r="A2974" t="s">
        <v>3280</v>
      </c>
      <c r="B2974" t="s">
        <v>221</v>
      </c>
      <c r="C2974" t="s">
        <v>52</v>
      </c>
      <c r="D2974" s="49">
        <v>45379</v>
      </c>
      <c r="E2974" s="49">
        <v>45381</v>
      </c>
      <c r="F2974" s="49">
        <v>45385</v>
      </c>
      <c r="G2974" s="49">
        <v>45391</v>
      </c>
      <c r="I2974" s="49">
        <v>45399</v>
      </c>
      <c r="J2974" t="s">
        <v>49</v>
      </c>
      <c r="K2974" s="33">
        <v>5700</v>
      </c>
      <c r="L2974" t="s">
        <v>63</v>
      </c>
      <c r="M2974" t="str">
        <f>_xlfn.XLOOKUP(Pipeline_tbl[[#This Row],[Rep_ID]],Dim_Reps!A:A,Dim_Reps!K:K)</f>
        <v>MXN</v>
      </c>
      <c r="N2974" s="33">
        <f>(_xlfn.XLOOKUP(Pipeline_tbl[[#This Row],[Rate_Code_Generalized]],Lookups!A:A,Lookups!B:B))*Pipeline_tbl[[#This Row],[Pipeline_Amount_USD]]</f>
        <v>112476.39000000001</v>
      </c>
      <c r="O2974" t="str">
        <f>_xlfn.XLOOKUP(Pipeline_tbl[[#This Row],[Rep_ID]],Dim_Reps!A:A,Dim_Reps!B:B)</f>
        <v>Casey Muller</v>
      </c>
      <c r="P2974" t="str">
        <f>_xlfn.XLOOKUP(Pipeline_tbl[[#This Row],[Rep_ID]],Dim_Reps!A:A,Dim_Reps!C:C)</f>
        <v>SDR / Inside Sales Rep</v>
      </c>
      <c r="Q2974" t="str">
        <f>_xlfn.XLOOKUP(Pipeline_tbl[[#This Row],[Rep_ID]],Dim_Reps!A:A,Dim_Reps!D:D)</f>
        <v>Inside Sales</v>
      </c>
      <c r="R2974" t="str">
        <f>_xlfn.XLOOKUP(Pipeline_tbl[[#This Row],[Rep_ID]],Dim_Reps!A:A,Dim_Reps!E:E)</f>
        <v>LATAM</v>
      </c>
      <c r="S2974" t="str">
        <f>_xlfn.XLOOKUP(Pipeline_tbl[[#This Row],[Created_Date]],Dim_Date!A:A,Dim_Date!H:H)</f>
        <v>Mar 2024</v>
      </c>
      <c r="T2974" t="str">
        <f>IF(Pipeline_tbl[[#This Row],[Closed_Date]]=0,"",(_xlfn.XLOOKUP(Pipeline_tbl[[#This Row],[Closed_Date]],Dim_Date!A:A,Dim_Date!H:H)))</f>
        <v>Apr 2024</v>
      </c>
      <c r="U2974">
        <f>IF(Pipeline_tbl[[#This Row],[Closed_Date]]=0,"",Pipeline_tbl[[#This Row],[Closed_Date]]-Pipeline_tbl[[#This Row],[Created_Date]])</f>
        <v>20</v>
      </c>
    </row>
    <row r="2975" spans="1:21" ht="15" customHeight="1" x14ac:dyDescent="0.2">
      <c r="A2975" t="s">
        <v>3281</v>
      </c>
      <c r="B2975" t="s">
        <v>221</v>
      </c>
      <c r="C2975" t="s">
        <v>52</v>
      </c>
      <c r="D2975" s="49">
        <v>45377</v>
      </c>
      <c r="E2975" s="49">
        <v>45379</v>
      </c>
      <c r="F2975" s="49">
        <v>45382</v>
      </c>
      <c r="G2975" s="49">
        <v>45388</v>
      </c>
      <c r="H2975" s="49">
        <v>45392</v>
      </c>
      <c r="I2975" s="49">
        <v>45395</v>
      </c>
      <c r="J2975" t="s">
        <v>47</v>
      </c>
      <c r="K2975" s="33">
        <v>4200</v>
      </c>
      <c r="M2975" t="str">
        <f>_xlfn.XLOOKUP(Pipeline_tbl[[#This Row],[Rep_ID]],Dim_Reps!A:A,Dim_Reps!K:K)</f>
        <v>MXN</v>
      </c>
      <c r="N2975" s="33">
        <f>(_xlfn.XLOOKUP(Pipeline_tbl[[#This Row],[Rate_Code_Generalized]],Lookups!A:A,Lookups!B:B))*Pipeline_tbl[[#This Row],[Pipeline_Amount_USD]]</f>
        <v>82877.340000000011</v>
      </c>
      <c r="O2975" t="str">
        <f>_xlfn.XLOOKUP(Pipeline_tbl[[#This Row],[Rep_ID]],Dim_Reps!A:A,Dim_Reps!B:B)</f>
        <v>Casey Muller</v>
      </c>
      <c r="P2975" t="str">
        <f>_xlfn.XLOOKUP(Pipeline_tbl[[#This Row],[Rep_ID]],Dim_Reps!A:A,Dim_Reps!C:C)</f>
        <v>SDR / Inside Sales Rep</v>
      </c>
      <c r="Q2975" t="str">
        <f>_xlfn.XLOOKUP(Pipeline_tbl[[#This Row],[Rep_ID]],Dim_Reps!A:A,Dim_Reps!D:D)</f>
        <v>Inside Sales</v>
      </c>
      <c r="R2975" t="str">
        <f>_xlfn.XLOOKUP(Pipeline_tbl[[#This Row],[Rep_ID]],Dim_Reps!A:A,Dim_Reps!E:E)</f>
        <v>LATAM</v>
      </c>
      <c r="S2975" t="str">
        <f>_xlfn.XLOOKUP(Pipeline_tbl[[#This Row],[Created_Date]],Dim_Date!A:A,Dim_Date!H:H)</f>
        <v>Mar 2024</v>
      </c>
      <c r="T2975" t="str">
        <f>IF(Pipeline_tbl[[#This Row],[Closed_Date]]=0,"",(_xlfn.XLOOKUP(Pipeline_tbl[[#This Row],[Closed_Date]],Dim_Date!A:A,Dim_Date!H:H)))</f>
        <v>Apr 2024</v>
      </c>
      <c r="U2975">
        <f>IF(Pipeline_tbl[[#This Row],[Closed_Date]]=0,"",Pipeline_tbl[[#This Row],[Closed_Date]]-Pipeline_tbl[[#This Row],[Created_Date]])</f>
        <v>18</v>
      </c>
    </row>
    <row r="2976" spans="1:21" ht="15" customHeight="1" x14ac:dyDescent="0.2">
      <c r="A2976" t="s">
        <v>3282</v>
      </c>
      <c r="B2976" t="s">
        <v>221</v>
      </c>
      <c r="C2976" t="s">
        <v>52</v>
      </c>
      <c r="D2976" s="49">
        <v>45368</v>
      </c>
      <c r="E2976" s="49">
        <v>45370</v>
      </c>
      <c r="F2976" s="49">
        <v>45375</v>
      </c>
      <c r="G2976" s="49">
        <v>45382</v>
      </c>
      <c r="H2976" s="49">
        <v>45388</v>
      </c>
      <c r="I2976" s="49">
        <v>45391</v>
      </c>
      <c r="J2976" t="s">
        <v>47</v>
      </c>
      <c r="K2976" s="33">
        <v>3800</v>
      </c>
      <c r="M2976" t="str">
        <f>_xlfn.XLOOKUP(Pipeline_tbl[[#This Row],[Rep_ID]],Dim_Reps!A:A,Dim_Reps!K:K)</f>
        <v>MXN</v>
      </c>
      <c r="N2976" s="33">
        <f>(_xlfn.XLOOKUP(Pipeline_tbl[[#This Row],[Rate_Code_Generalized]],Lookups!A:A,Lookups!B:B))*Pipeline_tbl[[#This Row],[Pipeline_Amount_USD]]</f>
        <v>74984.260000000009</v>
      </c>
      <c r="O2976" t="str">
        <f>_xlfn.XLOOKUP(Pipeline_tbl[[#This Row],[Rep_ID]],Dim_Reps!A:A,Dim_Reps!B:B)</f>
        <v>Casey Muller</v>
      </c>
      <c r="P2976" t="str">
        <f>_xlfn.XLOOKUP(Pipeline_tbl[[#This Row],[Rep_ID]],Dim_Reps!A:A,Dim_Reps!C:C)</f>
        <v>SDR / Inside Sales Rep</v>
      </c>
      <c r="Q2976" t="str">
        <f>_xlfn.XLOOKUP(Pipeline_tbl[[#This Row],[Rep_ID]],Dim_Reps!A:A,Dim_Reps!D:D)</f>
        <v>Inside Sales</v>
      </c>
      <c r="R2976" t="str">
        <f>_xlfn.XLOOKUP(Pipeline_tbl[[#This Row],[Rep_ID]],Dim_Reps!A:A,Dim_Reps!E:E)</f>
        <v>LATAM</v>
      </c>
      <c r="S2976" t="str">
        <f>_xlfn.XLOOKUP(Pipeline_tbl[[#This Row],[Created_Date]],Dim_Date!A:A,Dim_Date!H:H)</f>
        <v>Mar 2024</v>
      </c>
      <c r="T2976" t="str">
        <f>IF(Pipeline_tbl[[#This Row],[Closed_Date]]=0,"",(_xlfn.XLOOKUP(Pipeline_tbl[[#This Row],[Closed_Date]],Dim_Date!A:A,Dim_Date!H:H)))</f>
        <v>Apr 2024</v>
      </c>
      <c r="U2976">
        <f>IF(Pipeline_tbl[[#This Row],[Closed_Date]]=0,"",Pipeline_tbl[[#This Row],[Closed_Date]]-Pipeline_tbl[[#This Row],[Created_Date]])</f>
        <v>23</v>
      </c>
    </row>
    <row r="2977" spans="1:21" ht="15" customHeight="1" x14ac:dyDescent="0.2">
      <c r="A2977" t="s">
        <v>3283</v>
      </c>
      <c r="B2977" t="s">
        <v>221</v>
      </c>
      <c r="C2977" t="s">
        <v>53</v>
      </c>
      <c r="D2977" s="49">
        <v>45368</v>
      </c>
      <c r="E2977" s="49">
        <v>45370</v>
      </c>
      <c r="F2977" s="49">
        <v>45375</v>
      </c>
      <c r="G2977" s="49">
        <v>45382</v>
      </c>
      <c r="H2977" s="49">
        <v>45388</v>
      </c>
      <c r="I2977" s="49">
        <v>45391</v>
      </c>
      <c r="J2977" t="s">
        <v>47</v>
      </c>
      <c r="K2977" s="33">
        <v>4800</v>
      </c>
      <c r="M2977" t="str">
        <f>_xlfn.XLOOKUP(Pipeline_tbl[[#This Row],[Rep_ID]],Dim_Reps!A:A,Dim_Reps!K:K)</f>
        <v>MXN</v>
      </c>
      <c r="N2977" s="33">
        <f>(_xlfn.XLOOKUP(Pipeline_tbl[[#This Row],[Rate_Code_Generalized]],Lookups!A:A,Lookups!B:B))*Pipeline_tbl[[#This Row],[Pipeline_Amount_USD]]</f>
        <v>94716.96</v>
      </c>
      <c r="O2977" t="str">
        <f>_xlfn.XLOOKUP(Pipeline_tbl[[#This Row],[Rep_ID]],Dim_Reps!A:A,Dim_Reps!B:B)</f>
        <v>Casey Muller</v>
      </c>
      <c r="P2977" t="str">
        <f>_xlfn.XLOOKUP(Pipeline_tbl[[#This Row],[Rep_ID]],Dim_Reps!A:A,Dim_Reps!C:C)</f>
        <v>SDR / Inside Sales Rep</v>
      </c>
      <c r="Q2977" t="str">
        <f>_xlfn.XLOOKUP(Pipeline_tbl[[#This Row],[Rep_ID]],Dim_Reps!A:A,Dim_Reps!D:D)</f>
        <v>Inside Sales</v>
      </c>
      <c r="R2977" t="str">
        <f>_xlfn.XLOOKUP(Pipeline_tbl[[#This Row],[Rep_ID]],Dim_Reps!A:A,Dim_Reps!E:E)</f>
        <v>LATAM</v>
      </c>
      <c r="S2977" t="str">
        <f>_xlfn.XLOOKUP(Pipeline_tbl[[#This Row],[Created_Date]],Dim_Date!A:A,Dim_Date!H:H)</f>
        <v>Mar 2024</v>
      </c>
      <c r="T2977" t="str">
        <f>IF(Pipeline_tbl[[#This Row],[Closed_Date]]=0,"",(_xlfn.XLOOKUP(Pipeline_tbl[[#This Row],[Closed_Date]],Dim_Date!A:A,Dim_Date!H:H)))</f>
        <v>Apr 2024</v>
      </c>
      <c r="U2977">
        <f>IF(Pipeline_tbl[[#This Row],[Closed_Date]]=0,"",Pipeline_tbl[[#This Row],[Closed_Date]]-Pipeline_tbl[[#This Row],[Created_Date]])</f>
        <v>23</v>
      </c>
    </row>
    <row r="2978" spans="1:21" ht="15" customHeight="1" x14ac:dyDescent="0.2">
      <c r="A2978" t="s">
        <v>3284</v>
      </c>
      <c r="B2978" t="s">
        <v>221</v>
      </c>
      <c r="C2978" t="s">
        <v>53</v>
      </c>
      <c r="D2978" s="49">
        <v>45374</v>
      </c>
      <c r="E2978" s="49">
        <v>45375</v>
      </c>
      <c r="F2978" s="49">
        <v>45378</v>
      </c>
      <c r="G2978" s="49">
        <v>45382</v>
      </c>
      <c r="H2978" s="49">
        <v>45385</v>
      </c>
      <c r="I2978" s="49">
        <v>45387</v>
      </c>
      <c r="J2978" t="s">
        <v>49</v>
      </c>
      <c r="K2978" s="33">
        <v>3700</v>
      </c>
      <c r="L2978" t="s">
        <v>60</v>
      </c>
      <c r="M2978" t="str">
        <f>_xlfn.XLOOKUP(Pipeline_tbl[[#This Row],[Rep_ID]],Dim_Reps!A:A,Dim_Reps!K:K)</f>
        <v>MXN</v>
      </c>
      <c r="N2978" s="33">
        <f>(_xlfn.XLOOKUP(Pipeline_tbl[[#This Row],[Rate_Code_Generalized]],Lookups!A:A,Lookups!B:B))*Pipeline_tbl[[#This Row],[Pipeline_Amount_USD]]</f>
        <v>73010.990000000005</v>
      </c>
      <c r="O2978" t="str">
        <f>_xlfn.XLOOKUP(Pipeline_tbl[[#This Row],[Rep_ID]],Dim_Reps!A:A,Dim_Reps!B:B)</f>
        <v>Casey Muller</v>
      </c>
      <c r="P2978" t="str">
        <f>_xlfn.XLOOKUP(Pipeline_tbl[[#This Row],[Rep_ID]],Dim_Reps!A:A,Dim_Reps!C:C)</f>
        <v>SDR / Inside Sales Rep</v>
      </c>
      <c r="Q2978" t="str">
        <f>_xlfn.XLOOKUP(Pipeline_tbl[[#This Row],[Rep_ID]],Dim_Reps!A:A,Dim_Reps!D:D)</f>
        <v>Inside Sales</v>
      </c>
      <c r="R2978" t="str">
        <f>_xlfn.XLOOKUP(Pipeline_tbl[[#This Row],[Rep_ID]],Dim_Reps!A:A,Dim_Reps!E:E)</f>
        <v>LATAM</v>
      </c>
      <c r="S2978" t="str">
        <f>_xlfn.XLOOKUP(Pipeline_tbl[[#This Row],[Created_Date]],Dim_Date!A:A,Dim_Date!H:H)</f>
        <v>Mar 2024</v>
      </c>
      <c r="T2978" t="str">
        <f>IF(Pipeline_tbl[[#This Row],[Closed_Date]]=0,"",(_xlfn.XLOOKUP(Pipeline_tbl[[#This Row],[Closed_Date]],Dim_Date!A:A,Dim_Date!H:H)))</f>
        <v>Apr 2024</v>
      </c>
      <c r="U2978">
        <f>IF(Pipeline_tbl[[#This Row],[Closed_Date]]=0,"",Pipeline_tbl[[#This Row],[Closed_Date]]-Pipeline_tbl[[#This Row],[Created_Date]])</f>
        <v>13</v>
      </c>
    </row>
    <row r="2979" spans="1:21" ht="15" customHeight="1" x14ac:dyDescent="0.2">
      <c r="A2979" t="s">
        <v>3285</v>
      </c>
      <c r="B2979" t="s">
        <v>259</v>
      </c>
      <c r="C2979" t="s">
        <v>56</v>
      </c>
      <c r="D2979" s="49">
        <v>45382</v>
      </c>
      <c r="E2979" s="49">
        <v>45385</v>
      </c>
      <c r="F2979" s="49">
        <v>45390</v>
      </c>
      <c r="G2979" s="49">
        <v>45399</v>
      </c>
      <c r="H2979" s="49">
        <v>45406</v>
      </c>
      <c r="I2979" s="49">
        <v>45410</v>
      </c>
      <c r="J2979" t="s">
        <v>49</v>
      </c>
      <c r="K2979" s="33">
        <v>18900</v>
      </c>
      <c r="L2979" t="s">
        <v>63</v>
      </c>
      <c r="M2979" t="str">
        <f>_xlfn.XLOOKUP(Pipeline_tbl[[#This Row],[Rep_ID]],Dim_Reps!A:A,Dim_Reps!K:K)</f>
        <v>EUR</v>
      </c>
      <c r="N2979" s="33">
        <f>(_xlfn.XLOOKUP(Pipeline_tbl[[#This Row],[Rate_Code_Generalized]],Lookups!A:A,Lookups!B:B))*Pipeline_tbl[[#This Row],[Pipeline_Amount_USD]]</f>
        <v>18900</v>
      </c>
      <c r="O2979" t="str">
        <f>_xlfn.XLOOKUP(Pipeline_tbl[[#This Row],[Rep_ID]],Dim_Reps!A:A,Dim_Reps!B:B)</f>
        <v>Felix Okafor</v>
      </c>
      <c r="P2979" t="str">
        <f>_xlfn.XLOOKUP(Pipeline_tbl[[#This Row],[Rep_ID]],Dim_Reps!A:A,Dim_Reps!C:C)</f>
        <v>Mid-Market AE</v>
      </c>
      <c r="Q2979" t="str">
        <f>_xlfn.XLOOKUP(Pipeline_tbl[[#This Row],[Rep_ID]],Dim_Reps!A:A,Dim_Reps!D:D)</f>
        <v>Mid-Market</v>
      </c>
      <c r="R2979" t="str">
        <f>_xlfn.XLOOKUP(Pipeline_tbl[[#This Row],[Rep_ID]],Dim_Reps!A:A,Dim_Reps!E:E)</f>
        <v>EMEA</v>
      </c>
      <c r="S2979" t="str">
        <f>_xlfn.XLOOKUP(Pipeline_tbl[[#This Row],[Created_Date]],Dim_Date!A:A,Dim_Date!H:H)</f>
        <v>Mar 2024</v>
      </c>
      <c r="T2979" t="str">
        <f>IF(Pipeline_tbl[[#This Row],[Closed_Date]]=0,"",(_xlfn.XLOOKUP(Pipeline_tbl[[#This Row],[Closed_Date]],Dim_Date!A:A,Dim_Date!H:H)))</f>
        <v>Apr 2024</v>
      </c>
      <c r="U2979">
        <f>IF(Pipeline_tbl[[#This Row],[Closed_Date]]=0,"",Pipeline_tbl[[#This Row],[Closed_Date]]-Pipeline_tbl[[#This Row],[Created_Date]])</f>
        <v>28</v>
      </c>
    </row>
    <row r="2980" spans="1:21" ht="15" customHeight="1" x14ac:dyDescent="0.2">
      <c r="A2980" t="s">
        <v>3286</v>
      </c>
      <c r="B2980" t="s">
        <v>259</v>
      </c>
      <c r="C2980" t="s">
        <v>54</v>
      </c>
      <c r="D2980" s="49">
        <v>45355</v>
      </c>
      <c r="E2980" s="49">
        <v>45359</v>
      </c>
      <c r="F2980" s="49">
        <v>45367</v>
      </c>
      <c r="I2980" s="49">
        <v>45395</v>
      </c>
      <c r="J2980" t="s">
        <v>49</v>
      </c>
      <c r="K2980" s="33">
        <v>15600</v>
      </c>
      <c r="L2980" t="s">
        <v>62</v>
      </c>
      <c r="M2980" t="str">
        <f>_xlfn.XLOOKUP(Pipeline_tbl[[#This Row],[Rep_ID]],Dim_Reps!A:A,Dim_Reps!K:K)</f>
        <v>EUR</v>
      </c>
      <c r="N2980" s="33">
        <f>(_xlfn.XLOOKUP(Pipeline_tbl[[#This Row],[Rate_Code_Generalized]],Lookups!A:A,Lookups!B:B))*Pipeline_tbl[[#This Row],[Pipeline_Amount_USD]]</f>
        <v>15600</v>
      </c>
      <c r="O2980" t="str">
        <f>_xlfn.XLOOKUP(Pipeline_tbl[[#This Row],[Rep_ID]],Dim_Reps!A:A,Dim_Reps!B:B)</f>
        <v>Felix Okafor</v>
      </c>
      <c r="P2980" t="str">
        <f>_xlfn.XLOOKUP(Pipeline_tbl[[#This Row],[Rep_ID]],Dim_Reps!A:A,Dim_Reps!C:C)</f>
        <v>Mid-Market AE</v>
      </c>
      <c r="Q2980" t="str">
        <f>_xlfn.XLOOKUP(Pipeline_tbl[[#This Row],[Rep_ID]],Dim_Reps!A:A,Dim_Reps!D:D)</f>
        <v>Mid-Market</v>
      </c>
      <c r="R2980" t="str">
        <f>_xlfn.XLOOKUP(Pipeline_tbl[[#This Row],[Rep_ID]],Dim_Reps!A:A,Dim_Reps!E:E)</f>
        <v>EMEA</v>
      </c>
      <c r="S2980" t="str">
        <f>_xlfn.XLOOKUP(Pipeline_tbl[[#This Row],[Created_Date]],Dim_Date!A:A,Dim_Date!H:H)</f>
        <v>Mar 2024</v>
      </c>
      <c r="T2980" t="str">
        <f>IF(Pipeline_tbl[[#This Row],[Closed_Date]]=0,"",(_xlfn.XLOOKUP(Pipeline_tbl[[#This Row],[Closed_Date]],Dim_Date!A:A,Dim_Date!H:H)))</f>
        <v>Apr 2024</v>
      </c>
      <c r="U2980">
        <f>IF(Pipeline_tbl[[#This Row],[Closed_Date]]=0,"",Pipeline_tbl[[#This Row],[Closed_Date]]-Pipeline_tbl[[#This Row],[Created_Date]])</f>
        <v>40</v>
      </c>
    </row>
    <row r="2981" spans="1:21" ht="15" customHeight="1" x14ac:dyDescent="0.2">
      <c r="A2981" t="s">
        <v>3287</v>
      </c>
      <c r="B2981" t="s">
        <v>259</v>
      </c>
      <c r="C2981" t="s">
        <v>54</v>
      </c>
      <c r="D2981" s="49">
        <v>45375</v>
      </c>
      <c r="E2981" s="49">
        <v>45377</v>
      </c>
      <c r="F2981" s="49">
        <v>45383</v>
      </c>
      <c r="I2981" s="49">
        <v>45400</v>
      </c>
      <c r="J2981" t="s">
        <v>49</v>
      </c>
      <c r="K2981" s="33">
        <v>34400</v>
      </c>
      <c r="L2981" t="s">
        <v>60</v>
      </c>
      <c r="M2981" t="str">
        <f>_xlfn.XLOOKUP(Pipeline_tbl[[#This Row],[Rep_ID]],Dim_Reps!A:A,Dim_Reps!K:K)</f>
        <v>EUR</v>
      </c>
      <c r="N2981" s="33">
        <f>(_xlfn.XLOOKUP(Pipeline_tbl[[#This Row],[Rate_Code_Generalized]],Lookups!A:A,Lookups!B:B))*Pipeline_tbl[[#This Row],[Pipeline_Amount_USD]]</f>
        <v>34400</v>
      </c>
      <c r="O2981" t="str">
        <f>_xlfn.XLOOKUP(Pipeline_tbl[[#This Row],[Rep_ID]],Dim_Reps!A:A,Dim_Reps!B:B)</f>
        <v>Felix Okafor</v>
      </c>
      <c r="P2981" t="str">
        <f>_xlfn.XLOOKUP(Pipeline_tbl[[#This Row],[Rep_ID]],Dim_Reps!A:A,Dim_Reps!C:C)</f>
        <v>Mid-Market AE</v>
      </c>
      <c r="Q2981" t="str">
        <f>_xlfn.XLOOKUP(Pipeline_tbl[[#This Row],[Rep_ID]],Dim_Reps!A:A,Dim_Reps!D:D)</f>
        <v>Mid-Market</v>
      </c>
      <c r="R2981" t="str">
        <f>_xlfn.XLOOKUP(Pipeline_tbl[[#This Row],[Rep_ID]],Dim_Reps!A:A,Dim_Reps!E:E)</f>
        <v>EMEA</v>
      </c>
      <c r="S2981" t="str">
        <f>_xlfn.XLOOKUP(Pipeline_tbl[[#This Row],[Created_Date]],Dim_Date!A:A,Dim_Date!H:H)</f>
        <v>Mar 2024</v>
      </c>
      <c r="T2981" t="str">
        <f>IF(Pipeline_tbl[[#This Row],[Closed_Date]]=0,"",(_xlfn.XLOOKUP(Pipeline_tbl[[#This Row],[Closed_Date]],Dim_Date!A:A,Dim_Date!H:H)))</f>
        <v>Apr 2024</v>
      </c>
      <c r="U2981">
        <f>IF(Pipeline_tbl[[#This Row],[Closed_Date]]=0,"",Pipeline_tbl[[#This Row],[Closed_Date]]-Pipeline_tbl[[#This Row],[Created_Date]])</f>
        <v>25</v>
      </c>
    </row>
    <row r="2982" spans="1:21" ht="15" customHeight="1" x14ac:dyDescent="0.2">
      <c r="A2982" t="s">
        <v>3288</v>
      </c>
      <c r="B2982" t="s">
        <v>259</v>
      </c>
      <c r="C2982" t="s">
        <v>52</v>
      </c>
      <c r="D2982" s="49">
        <v>45367</v>
      </c>
      <c r="E2982" s="49">
        <v>45370</v>
      </c>
      <c r="F2982" s="49">
        <v>45376</v>
      </c>
      <c r="G2982" s="49">
        <v>45386</v>
      </c>
      <c r="H2982" s="49">
        <v>45393</v>
      </c>
      <c r="I2982" s="49">
        <v>45398</v>
      </c>
      <c r="J2982" t="s">
        <v>47</v>
      </c>
      <c r="K2982" s="33">
        <v>25600</v>
      </c>
      <c r="M2982" t="str">
        <f>_xlfn.XLOOKUP(Pipeline_tbl[[#This Row],[Rep_ID]],Dim_Reps!A:A,Dim_Reps!K:K)</f>
        <v>EUR</v>
      </c>
      <c r="N2982" s="33">
        <f>(_xlfn.XLOOKUP(Pipeline_tbl[[#This Row],[Rate_Code_Generalized]],Lookups!A:A,Lookups!B:B))*Pipeline_tbl[[#This Row],[Pipeline_Amount_USD]]</f>
        <v>25600</v>
      </c>
      <c r="O2982" t="str">
        <f>_xlfn.XLOOKUP(Pipeline_tbl[[#This Row],[Rep_ID]],Dim_Reps!A:A,Dim_Reps!B:B)</f>
        <v>Felix Okafor</v>
      </c>
      <c r="P2982" t="str">
        <f>_xlfn.XLOOKUP(Pipeline_tbl[[#This Row],[Rep_ID]],Dim_Reps!A:A,Dim_Reps!C:C)</f>
        <v>Mid-Market AE</v>
      </c>
      <c r="Q2982" t="str">
        <f>_xlfn.XLOOKUP(Pipeline_tbl[[#This Row],[Rep_ID]],Dim_Reps!A:A,Dim_Reps!D:D)</f>
        <v>Mid-Market</v>
      </c>
      <c r="R2982" t="str">
        <f>_xlfn.XLOOKUP(Pipeline_tbl[[#This Row],[Rep_ID]],Dim_Reps!A:A,Dim_Reps!E:E)</f>
        <v>EMEA</v>
      </c>
      <c r="S2982" t="str">
        <f>_xlfn.XLOOKUP(Pipeline_tbl[[#This Row],[Created_Date]],Dim_Date!A:A,Dim_Date!H:H)</f>
        <v>Mar 2024</v>
      </c>
      <c r="T2982" t="str">
        <f>IF(Pipeline_tbl[[#This Row],[Closed_Date]]=0,"",(_xlfn.XLOOKUP(Pipeline_tbl[[#This Row],[Closed_Date]],Dim_Date!A:A,Dim_Date!H:H)))</f>
        <v>Apr 2024</v>
      </c>
      <c r="U2982">
        <f>IF(Pipeline_tbl[[#This Row],[Closed_Date]]=0,"",Pipeline_tbl[[#This Row],[Closed_Date]]-Pipeline_tbl[[#This Row],[Created_Date]])</f>
        <v>31</v>
      </c>
    </row>
    <row r="2983" spans="1:21" ht="15" customHeight="1" x14ac:dyDescent="0.2">
      <c r="A2983" t="s">
        <v>3289</v>
      </c>
      <c r="B2983" t="s">
        <v>259</v>
      </c>
      <c r="C2983" t="s">
        <v>52</v>
      </c>
      <c r="D2983" s="49">
        <v>45381</v>
      </c>
      <c r="E2983" s="49">
        <v>45383</v>
      </c>
      <c r="F2983" s="49">
        <v>45387</v>
      </c>
      <c r="G2983" s="49">
        <v>45393</v>
      </c>
      <c r="H2983" s="49">
        <v>45398</v>
      </c>
      <c r="I2983" s="49">
        <v>45401</v>
      </c>
      <c r="J2983" t="s">
        <v>47</v>
      </c>
      <c r="K2983" s="33">
        <v>9500</v>
      </c>
      <c r="M2983" t="str">
        <f>_xlfn.XLOOKUP(Pipeline_tbl[[#This Row],[Rep_ID]],Dim_Reps!A:A,Dim_Reps!K:K)</f>
        <v>EUR</v>
      </c>
      <c r="N2983" s="33">
        <f>(_xlfn.XLOOKUP(Pipeline_tbl[[#This Row],[Rate_Code_Generalized]],Lookups!A:A,Lookups!B:B))*Pipeline_tbl[[#This Row],[Pipeline_Amount_USD]]</f>
        <v>9500</v>
      </c>
      <c r="O2983" t="str">
        <f>_xlfn.XLOOKUP(Pipeline_tbl[[#This Row],[Rep_ID]],Dim_Reps!A:A,Dim_Reps!B:B)</f>
        <v>Felix Okafor</v>
      </c>
      <c r="P2983" t="str">
        <f>_xlfn.XLOOKUP(Pipeline_tbl[[#This Row],[Rep_ID]],Dim_Reps!A:A,Dim_Reps!C:C)</f>
        <v>Mid-Market AE</v>
      </c>
      <c r="Q2983" t="str">
        <f>_xlfn.XLOOKUP(Pipeline_tbl[[#This Row],[Rep_ID]],Dim_Reps!A:A,Dim_Reps!D:D)</f>
        <v>Mid-Market</v>
      </c>
      <c r="R2983" t="str">
        <f>_xlfn.XLOOKUP(Pipeline_tbl[[#This Row],[Rep_ID]],Dim_Reps!A:A,Dim_Reps!E:E)</f>
        <v>EMEA</v>
      </c>
      <c r="S2983" t="str">
        <f>_xlfn.XLOOKUP(Pipeline_tbl[[#This Row],[Created_Date]],Dim_Date!A:A,Dim_Date!H:H)</f>
        <v>Mar 2024</v>
      </c>
      <c r="T2983" t="str">
        <f>IF(Pipeline_tbl[[#This Row],[Closed_Date]]=0,"",(_xlfn.XLOOKUP(Pipeline_tbl[[#This Row],[Closed_Date]],Dim_Date!A:A,Dim_Date!H:H)))</f>
        <v>Apr 2024</v>
      </c>
      <c r="U2983">
        <f>IF(Pipeline_tbl[[#This Row],[Closed_Date]]=0,"",Pipeline_tbl[[#This Row],[Closed_Date]]-Pipeline_tbl[[#This Row],[Created_Date]])</f>
        <v>20</v>
      </c>
    </row>
    <row r="2984" spans="1:21" ht="15" customHeight="1" x14ac:dyDescent="0.2">
      <c r="A2984" t="s">
        <v>3290</v>
      </c>
      <c r="B2984" t="s">
        <v>225</v>
      </c>
      <c r="C2984" t="s">
        <v>52</v>
      </c>
      <c r="D2984" s="49">
        <v>45362</v>
      </c>
      <c r="E2984" s="49">
        <v>45364</v>
      </c>
      <c r="I2984" s="49">
        <v>45384</v>
      </c>
      <c r="J2984" t="s">
        <v>49</v>
      </c>
      <c r="K2984" s="33">
        <v>4500</v>
      </c>
      <c r="L2984" t="s">
        <v>60</v>
      </c>
      <c r="M2984" t="str">
        <f>_xlfn.XLOOKUP(Pipeline_tbl[[#This Row],[Rep_ID]],Dim_Reps!A:A,Dim_Reps!K:K)</f>
        <v>USD</v>
      </c>
      <c r="N2984" s="33">
        <f>(_xlfn.XLOOKUP(Pipeline_tbl[[#This Row],[Rate_Code_Generalized]],Lookups!A:A,Lookups!B:B))*Pipeline_tbl[[#This Row],[Pipeline_Amount_USD]]</f>
        <v>5239.3499999999995</v>
      </c>
      <c r="O2984" t="str">
        <f>_xlfn.XLOOKUP(Pipeline_tbl[[#This Row],[Rep_ID]],Dim_Reps!A:A,Dim_Reps!B:B)</f>
        <v>Alex Muller</v>
      </c>
      <c r="P2984" t="str">
        <f>_xlfn.XLOOKUP(Pipeline_tbl[[#This Row],[Rep_ID]],Dim_Reps!A:A,Dim_Reps!C:C)</f>
        <v>SDR / Inside Sales Rep</v>
      </c>
      <c r="Q2984" t="str">
        <f>_xlfn.XLOOKUP(Pipeline_tbl[[#This Row],[Rep_ID]],Dim_Reps!A:A,Dim_Reps!D:D)</f>
        <v>Inside Sales</v>
      </c>
      <c r="R2984" t="str">
        <f>_xlfn.XLOOKUP(Pipeline_tbl[[#This Row],[Rep_ID]],Dim_Reps!A:A,Dim_Reps!E:E)</f>
        <v>NAMER</v>
      </c>
      <c r="S2984" t="str">
        <f>_xlfn.XLOOKUP(Pipeline_tbl[[#This Row],[Created_Date]],Dim_Date!A:A,Dim_Date!H:H)</f>
        <v>Mar 2024</v>
      </c>
      <c r="T2984" t="str">
        <f>IF(Pipeline_tbl[[#This Row],[Closed_Date]]=0,"",(_xlfn.XLOOKUP(Pipeline_tbl[[#This Row],[Closed_Date]],Dim_Date!A:A,Dim_Date!H:H)))</f>
        <v>Apr 2024</v>
      </c>
      <c r="U2984">
        <f>IF(Pipeline_tbl[[#This Row],[Closed_Date]]=0,"",Pipeline_tbl[[#This Row],[Closed_Date]]-Pipeline_tbl[[#This Row],[Created_Date]])</f>
        <v>22</v>
      </c>
    </row>
    <row r="2985" spans="1:21" ht="15" customHeight="1" x14ac:dyDescent="0.2">
      <c r="A2985" t="s">
        <v>3291</v>
      </c>
      <c r="B2985" t="s">
        <v>225</v>
      </c>
      <c r="C2985" t="s">
        <v>52</v>
      </c>
      <c r="D2985" s="49">
        <v>45376</v>
      </c>
      <c r="E2985" s="49">
        <v>45377</v>
      </c>
      <c r="F2985" s="49">
        <v>45378</v>
      </c>
      <c r="G2985" s="49">
        <v>45380</v>
      </c>
      <c r="H2985" s="49">
        <v>45382</v>
      </c>
      <c r="I2985" s="49">
        <v>45383</v>
      </c>
      <c r="J2985" t="s">
        <v>49</v>
      </c>
      <c r="K2985" s="33">
        <v>3400</v>
      </c>
      <c r="L2985" t="s">
        <v>62</v>
      </c>
      <c r="M2985" t="str">
        <f>_xlfn.XLOOKUP(Pipeline_tbl[[#This Row],[Rep_ID]],Dim_Reps!A:A,Dim_Reps!K:K)</f>
        <v>USD</v>
      </c>
      <c r="N2985" s="33">
        <f>(_xlfn.XLOOKUP(Pipeline_tbl[[#This Row],[Rate_Code_Generalized]],Lookups!A:A,Lookups!B:B))*Pipeline_tbl[[#This Row],[Pipeline_Amount_USD]]</f>
        <v>3958.6199999999994</v>
      </c>
      <c r="O2985" t="str">
        <f>_xlfn.XLOOKUP(Pipeline_tbl[[#This Row],[Rep_ID]],Dim_Reps!A:A,Dim_Reps!B:B)</f>
        <v>Alex Muller</v>
      </c>
      <c r="P2985" t="str">
        <f>_xlfn.XLOOKUP(Pipeline_tbl[[#This Row],[Rep_ID]],Dim_Reps!A:A,Dim_Reps!C:C)</f>
        <v>SDR / Inside Sales Rep</v>
      </c>
      <c r="Q2985" t="str">
        <f>_xlfn.XLOOKUP(Pipeline_tbl[[#This Row],[Rep_ID]],Dim_Reps!A:A,Dim_Reps!D:D)</f>
        <v>Inside Sales</v>
      </c>
      <c r="R2985" t="str">
        <f>_xlfn.XLOOKUP(Pipeline_tbl[[#This Row],[Rep_ID]],Dim_Reps!A:A,Dim_Reps!E:E)</f>
        <v>NAMER</v>
      </c>
      <c r="S2985" t="str">
        <f>_xlfn.XLOOKUP(Pipeline_tbl[[#This Row],[Created_Date]],Dim_Date!A:A,Dim_Date!H:H)</f>
        <v>Mar 2024</v>
      </c>
      <c r="T2985" t="str">
        <f>IF(Pipeline_tbl[[#This Row],[Closed_Date]]=0,"",(_xlfn.XLOOKUP(Pipeline_tbl[[#This Row],[Closed_Date]],Dim_Date!A:A,Dim_Date!H:H)))</f>
        <v>Apr 2024</v>
      </c>
      <c r="U2985">
        <f>IF(Pipeline_tbl[[#This Row],[Closed_Date]]=0,"",Pipeline_tbl[[#This Row],[Closed_Date]]-Pipeline_tbl[[#This Row],[Created_Date]])</f>
        <v>7</v>
      </c>
    </row>
    <row r="2986" spans="1:21" ht="15" customHeight="1" x14ac:dyDescent="0.2">
      <c r="A2986" t="s">
        <v>3292</v>
      </c>
      <c r="B2986" t="s">
        <v>225</v>
      </c>
      <c r="C2986" t="s">
        <v>53</v>
      </c>
      <c r="D2986" s="49">
        <v>45375</v>
      </c>
      <c r="E2986" s="49">
        <v>45377</v>
      </c>
      <c r="F2986" s="49">
        <v>45381</v>
      </c>
      <c r="G2986" s="49">
        <v>45386</v>
      </c>
      <c r="H2986" s="49">
        <v>45391</v>
      </c>
      <c r="I2986" s="49">
        <v>45394</v>
      </c>
      <c r="J2986" t="s">
        <v>49</v>
      </c>
      <c r="K2986" s="33">
        <v>2900</v>
      </c>
      <c r="L2986" t="s">
        <v>61</v>
      </c>
      <c r="M2986" t="str">
        <f>_xlfn.XLOOKUP(Pipeline_tbl[[#This Row],[Rep_ID]],Dim_Reps!A:A,Dim_Reps!K:K)</f>
        <v>USD</v>
      </c>
      <c r="N2986" s="33">
        <f>(_xlfn.XLOOKUP(Pipeline_tbl[[#This Row],[Rate_Code_Generalized]],Lookups!A:A,Lookups!B:B))*Pipeline_tbl[[#This Row],[Pipeline_Amount_USD]]</f>
        <v>3376.47</v>
      </c>
      <c r="O2986" t="str">
        <f>_xlfn.XLOOKUP(Pipeline_tbl[[#This Row],[Rep_ID]],Dim_Reps!A:A,Dim_Reps!B:B)</f>
        <v>Alex Muller</v>
      </c>
      <c r="P2986" t="str">
        <f>_xlfn.XLOOKUP(Pipeline_tbl[[#This Row],[Rep_ID]],Dim_Reps!A:A,Dim_Reps!C:C)</f>
        <v>SDR / Inside Sales Rep</v>
      </c>
      <c r="Q2986" t="str">
        <f>_xlfn.XLOOKUP(Pipeline_tbl[[#This Row],[Rep_ID]],Dim_Reps!A:A,Dim_Reps!D:D)</f>
        <v>Inside Sales</v>
      </c>
      <c r="R2986" t="str">
        <f>_xlfn.XLOOKUP(Pipeline_tbl[[#This Row],[Rep_ID]],Dim_Reps!A:A,Dim_Reps!E:E)</f>
        <v>NAMER</v>
      </c>
      <c r="S2986" t="str">
        <f>_xlfn.XLOOKUP(Pipeline_tbl[[#This Row],[Created_Date]],Dim_Date!A:A,Dim_Date!H:H)</f>
        <v>Mar 2024</v>
      </c>
      <c r="T2986" t="str">
        <f>IF(Pipeline_tbl[[#This Row],[Closed_Date]]=0,"",(_xlfn.XLOOKUP(Pipeline_tbl[[#This Row],[Closed_Date]],Dim_Date!A:A,Dim_Date!H:H)))</f>
        <v>Apr 2024</v>
      </c>
      <c r="U2986">
        <f>IF(Pipeline_tbl[[#This Row],[Closed_Date]]=0,"",Pipeline_tbl[[#This Row],[Closed_Date]]-Pipeline_tbl[[#This Row],[Created_Date]])</f>
        <v>19</v>
      </c>
    </row>
    <row r="2987" spans="1:21" ht="15" customHeight="1" x14ac:dyDescent="0.2">
      <c r="A2987" t="s">
        <v>3293</v>
      </c>
      <c r="B2987" t="s">
        <v>225</v>
      </c>
      <c r="C2987" t="s">
        <v>52</v>
      </c>
      <c r="D2987" s="49">
        <v>45377</v>
      </c>
      <c r="E2987" s="49">
        <v>45378</v>
      </c>
      <c r="F2987" s="49">
        <v>45381</v>
      </c>
      <c r="G2987" s="49">
        <v>45385</v>
      </c>
      <c r="H2987" s="49">
        <v>45388</v>
      </c>
      <c r="I2987" s="49">
        <v>45390</v>
      </c>
      <c r="J2987" t="s">
        <v>47</v>
      </c>
      <c r="K2987" s="33">
        <v>2200</v>
      </c>
      <c r="M2987" t="str">
        <f>_xlfn.XLOOKUP(Pipeline_tbl[[#This Row],[Rep_ID]],Dim_Reps!A:A,Dim_Reps!K:K)</f>
        <v>USD</v>
      </c>
      <c r="N2987" s="33">
        <f>(_xlfn.XLOOKUP(Pipeline_tbl[[#This Row],[Rate_Code_Generalized]],Lookups!A:A,Lookups!B:B))*Pipeline_tbl[[#This Row],[Pipeline_Amount_USD]]</f>
        <v>2561.4599999999996</v>
      </c>
      <c r="O2987" t="str">
        <f>_xlfn.XLOOKUP(Pipeline_tbl[[#This Row],[Rep_ID]],Dim_Reps!A:A,Dim_Reps!B:B)</f>
        <v>Alex Muller</v>
      </c>
      <c r="P2987" t="str">
        <f>_xlfn.XLOOKUP(Pipeline_tbl[[#This Row],[Rep_ID]],Dim_Reps!A:A,Dim_Reps!C:C)</f>
        <v>SDR / Inside Sales Rep</v>
      </c>
      <c r="Q2987" t="str">
        <f>_xlfn.XLOOKUP(Pipeline_tbl[[#This Row],[Rep_ID]],Dim_Reps!A:A,Dim_Reps!D:D)</f>
        <v>Inside Sales</v>
      </c>
      <c r="R2987" t="str">
        <f>_xlfn.XLOOKUP(Pipeline_tbl[[#This Row],[Rep_ID]],Dim_Reps!A:A,Dim_Reps!E:E)</f>
        <v>NAMER</v>
      </c>
      <c r="S2987" t="str">
        <f>_xlfn.XLOOKUP(Pipeline_tbl[[#This Row],[Created_Date]],Dim_Date!A:A,Dim_Date!H:H)</f>
        <v>Mar 2024</v>
      </c>
      <c r="T2987" t="str">
        <f>IF(Pipeline_tbl[[#This Row],[Closed_Date]]=0,"",(_xlfn.XLOOKUP(Pipeline_tbl[[#This Row],[Closed_Date]],Dim_Date!A:A,Dim_Date!H:H)))</f>
        <v>Apr 2024</v>
      </c>
      <c r="U2987">
        <f>IF(Pipeline_tbl[[#This Row],[Closed_Date]]=0,"",Pipeline_tbl[[#This Row],[Closed_Date]]-Pipeline_tbl[[#This Row],[Created_Date]])</f>
        <v>13</v>
      </c>
    </row>
    <row r="2988" spans="1:21" ht="15" customHeight="1" x14ac:dyDescent="0.2">
      <c r="A2988" t="s">
        <v>3294</v>
      </c>
      <c r="B2988" t="s">
        <v>225</v>
      </c>
      <c r="C2988" t="s">
        <v>55</v>
      </c>
      <c r="D2988" s="49">
        <v>45374</v>
      </c>
      <c r="E2988" s="49">
        <v>45377</v>
      </c>
      <c r="F2988" s="49">
        <v>45384</v>
      </c>
      <c r="I2988" s="49">
        <v>45407</v>
      </c>
      <c r="J2988" t="s">
        <v>49</v>
      </c>
      <c r="K2988" s="33">
        <v>3700</v>
      </c>
      <c r="L2988" t="s">
        <v>61</v>
      </c>
      <c r="M2988" t="str">
        <f>_xlfn.XLOOKUP(Pipeline_tbl[[#This Row],[Rep_ID]],Dim_Reps!A:A,Dim_Reps!K:K)</f>
        <v>USD</v>
      </c>
      <c r="N2988" s="33">
        <f>(_xlfn.XLOOKUP(Pipeline_tbl[[#This Row],[Rate_Code_Generalized]],Lookups!A:A,Lookups!B:B))*Pipeline_tbl[[#This Row],[Pipeline_Amount_USD]]</f>
        <v>4307.91</v>
      </c>
      <c r="O2988" t="str">
        <f>_xlfn.XLOOKUP(Pipeline_tbl[[#This Row],[Rep_ID]],Dim_Reps!A:A,Dim_Reps!B:B)</f>
        <v>Alex Muller</v>
      </c>
      <c r="P2988" t="str">
        <f>_xlfn.XLOOKUP(Pipeline_tbl[[#This Row],[Rep_ID]],Dim_Reps!A:A,Dim_Reps!C:C)</f>
        <v>SDR / Inside Sales Rep</v>
      </c>
      <c r="Q2988" t="str">
        <f>_xlfn.XLOOKUP(Pipeline_tbl[[#This Row],[Rep_ID]],Dim_Reps!A:A,Dim_Reps!D:D)</f>
        <v>Inside Sales</v>
      </c>
      <c r="R2988" t="str">
        <f>_xlfn.XLOOKUP(Pipeline_tbl[[#This Row],[Rep_ID]],Dim_Reps!A:A,Dim_Reps!E:E)</f>
        <v>NAMER</v>
      </c>
      <c r="S2988" t="str">
        <f>_xlfn.XLOOKUP(Pipeline_tbl[[#This Row],[Created_Date]],Dim_Date!A:A,Dim_Date!H:H)</f>
        <v>Mar 2024</v>
      </c>
      <c r="T2988" t="str">
        <f>IF(Pipeline_tbl[[#This Row],[Closed_Date]]=0,"",(_xlfn.XLOOKUP(Pipeline_tbl[[#This Row],[Closed_Date]],Dim_Date!A:A,Dim_Date!H:H)))</f>
        <v>Apr 2024</v>
      </c>
      <c r="U2988">
        <f>IF(Pipeline_tbl[[#This Row],[Closed_Date]]=0,"",Pipeline_tbl[[#This Row],[Closed_Date]]-Pipeline_tbl[[#This Row],[Created_Date]])</f>
        <v>33</v>
      </c>
    </row>
    <row r="2989" spans="1:21" ht="15" customHeight="1" x14ac:dyDescent="0.2">
      <c r="A2989" t="s">
        <v>3295</v>
      </c>
      <c r="B2989" t="s">
        <v>225</v>
      </c>
      <c r="C2989" t="s">
        <v>54</v>
      </c>
      <c r="D2989" s="49">
        <v>45375</v>
      </c>
      <c r="E2989" s="49">
        <v>45377</v>
      </c>
      <c r="F2989" s="49">
        <v>45380</v>
      </c>
      <c r="I2989" s="49">
        <v>45393</v>
      </c>
      <c r="J2989" t="s">
        <v>49</v>
      </c>
      <c r="K2989" s="33">
        <v>1400</v>
      </c>
      <c r="L2989" t="s">
        <v>62</v>
      </c>
      <c r="M2989" t="str">
        <f>_xlfn.XLOOKUP(Pipeline_tbl[[#This Row],[Rep_ID]],Dim_Reps!A:A,Dim_Reps!K:K)</f>
        <v>USD</v>
      </c>
      <c r="N2989" s="33">
        <f>(_xlfn.XLOOKUP(Pipeline_tbl[[#This Row],[Rate_Code_Generalized]],Lookups!A:A,Lookups!B:B))*Pipeline_tbl[[#This Row],[Pipeline_Amount_USD]]</f>
        <v>1630.0199999999998</v>
      </c>
      <c r="O2989" t="str">
        <f>_xlfn.XLOOKUP(Pipeline_tbl[[#This Row],[Rep_ID]],Dim_Reps!A:A,Dim_Reps!B:B)</f>
        <v>Alex Muller</v>
      </c>
      <c r="P2989" t="str">
        <f>_xlfn.XLOOKUP(Pipeline_tbl[[#This Row],[Rep_ID]],Dim_Reps!A:A,Dim_Reps!C:C)</f>
        <v>SDR / Inside Sales Rep</v>
      </c>
      <c r="Q2989" t="str">
        <f>_xlfn.XLOOKUP(Pipeline_tbl[[#This Row],[Rep_ID]],Dim_Reps!A:A,Dim_Reps!D:D)</f>
        <v>Inside Sales</v>
      </c>
      <c r="R2989" t="str">
        <f>_xlfn.XLOOKUP(Pipeline_tbl[[#This Row],[Rep_ID]],Dim_Reps!A:A,Dim_Reps!E:E)</f>
        <v>NAMER</v>
      </c>
      <c r="S2989" t="str">
        <f>_xlfn.XLOOKUP(Pipeline_tbl[[#This Row],[Created_Date]],Dim_Date!A:A,Dim_Date!H:H)</f>
        <v>Mar 2024</v>
      </c>
      <c r="T2989" t="str">
        <f>IF(Pipeline_tbl[[#This Row],[Closed_Date]]=0,"",(_xlfn.XLOOKUP(Pipeline_tbl[[#This Row],[Closed_Date]],Dim_Date!A:A,Dim_Date!H:H)))</f>
        <v>Apr 2024</v>
      </c>
      <c r="U2989">
        <f>IF(Pipeline_tbl[[#This Row],[Closed_Date]]=0,"",Pipeline_tbl[[#This Row],[Closed_Date]]-Pipeline_tbl[[#This Row],[Created_Date]])</f>
        <v>18</v>
      </c>
    </row>
    <row r="2990" spans="1:21" ht="15" customHeight="1" x14ac:dyDescent="0.2">
      <c r="A2990" t="s">
        <v>3296</v>
      </c>
      <c r="B2990" t="s">
        <v>227</v>
      </c>
      <c r="C2990" t="s">
        <v>52</v>
      </c>
      <c r="D2990" s="49">
        <v>45382</v>
      </c>
      <c r="E2990" s="49">
        <v>45383</v>
      </c>
      <c r="I2990" s="49">
        <v>45394</v>
      </c>
      <c r="J2990" t="s">
        <v>49</v>
      </c>
      <c r="K2990" s="33">
        <v>5600</v>
      </c>
      <c r="L2990" t="s">
        <v>64</v>
      </c>
      <c r="M2990" t="str">
        <f>_xlfn.XLOOKUP(Pipeline_tbl[[#This Row],[Rep_ID]],Dim_Reps!A:A,Dim_Reps!K:K)</f>
        <v>EUR</v>
      </c>
      <c r="N2990" s="33">
        <f>(_xlfn.XLOOKUP(Pipeline_tbl[[#This Row],[Rate_Code_Generalized]],Lookups!A:A,Lookups!B:B))*Pipeline_tbl[[#This Row],[Pipeline_Amount_USD]]</f>
        <v>5600</v>
      </c>
      <c r="O2990" t="str">
        <f>_xlfn.XLOOKUP(Pipeline_tbl[[#This Row],[Rep_ID]],Dim_Reps!A:A,Dim_Reps!B:B)</f>
        <v>Liam Muller</v>
      </c>
      <c r="P2990" t="str">
        <f>_xlfn.XLOOKUP(Pipeline_tbl[[#This Row],[Rep_ID]],Dim_Reps!A:A,Dim_Reps!C:C)</f>
        <v>SDR / Inside Sales Rep</v>
      </c>
      <c r="Q2990" t="str">
        <f>_xlfn.XLOOKUP(Pipeline_tbl[[#This Row],[Rep_ID]],Dim_Reps!A:A,Dim_Reps!D:D)</f>
        <v>Inside Sales</v>
      </c>
      <c r="R2990" t="str">
        <f>_xlfn.XLOOKUP(Pipeline_tbl[[#This Row],[Rep_ID]],Dim_Reps!A:A,Dim_Reps!E:E)</f>
        <v>EMEA</v>
      </c>
      <c r="S2990" t="str">
        <f>_xlfn.XLOOKUP(Pipeline_tbl[[#This Row],[Created_Date]],Dim_Date!A:A,Dim_Date!H:H)</f>
        <v>Mar 2024</v>
      </c>
      <c r="T2990" t="str">
        <f>IF(Pipeline_tbl[[#This Row],[Closed_Date]]=0,"",(_xlfn.XLOOKUP(Pipeline_tbl[[#This Row],[Closed_Date]],Dim_Date!A:A,Dim_Date!H:H)))</f>
        <v>Apr 2024</v>
      </c>
      <c r="U2990">
        <f>IF(Pipeline_tbl[[#This Row],[Closed_Date]]=0,"",Pipeline_tbl[[#This Row],[Closed_Date]]-Pipeline_tbl[[#This Row],[Created_Date]])</f>
        <v>12</v>
      </c>
    </row>
    <row r="2991" spans="1:21" ht="15" customHeight="1" x14ac:dyDescent="0.2">
      <c r="A2991" t="s">
        <v>3297</v>
      </c>
      <c r="B2991" t="s">
        <v>227</v>
      </c>
      <c r="C2991" t="s">
        <v>55</v>
      </c>
      <c r="D2991" s="49">
        <v>45376</v>
      </c>
      <c r="E2991" s="49">
        <v>45377</v>
      </c>
      <c r="F2991" s="49">
        <v>45380</v>
      </c>
      <c r="I2991" s="49">
        <v>45389</v>
      </c>
      <c r="J2991" t="s">
        <v>49</v>
      </c>
      <c r="K2991" s="33">
        <v>4700</v>
      </c>
      <c r="L2991" t="s">
        <v>60</v>
      </c>
      <c r="M2991" t="str">
        <f>_xlfn.XLOOKUP(Pipeline_tbl[[#This Row],[Rep_ID]],Dim_Reps!A:A,Dim_Reps!K:K)</f>
        <v>EUR</v>
      </c>
      <c r="N2991" s="33">
        <f>(_xlfn.XLOOKUP(Pipeline_tbl[[#This Row],[Rate_Code_Generalized]],Lookups!A:A,Lookups!B:B))*Pipeline_tbl[[#This Row],[Pipeline_Amount_USD]]</f>
        <v>4700</v>
      </c>
      <c r="O2991" t="str">
        <f>_xlfn.XLOOKUP(Pipeline_tbl[[#This Row],[Rep_ID]],Dim_Reps!A:A,Dim_Reps!B:B)</f>
        <v>Liam Muller</v>
      </c>
      <c r="P2991" t="str">
        <f>_xlfn.XLOOKUP(Pipeline_tbl[[#This Row],[Rep_ID]],Dim_Reps!A:A,Dim_Reps!C:C)</f>
        <v>SDR / Inside Sales Rep</v>
      </c>
      <c r="Q2991" t="str">
        <f>_xlfn.XLOOKUP(Pipeline_tbl[[#This Row],[Rep_ID]],Dim_Reps!A:A,Dim_Reps!D:D)</f>
        <v>Inside Sales</v>
      </c>
      <c r="R2991" t="str">
        <f>_xlfn.XLOOKUP(Pipeline_tbl[[#This Row],[Rep_ID]],Dim_Reps!A:A,Dim_Reps!E:E)</f>
        <v>EMEA</v>
      </c>
      <c r="S2991" t="str">
        <f>_xlfn.XLOOKUP(Pipeline_tbl[[#This Row],[Created_Date]],Dim_Date!A:A,Dim_Date!H:H)</f>
        <v>Mar 2024</v>
      </c>
      <c r="T2991" t="str">
        <f>IF(Pipeline_tbl[[#This Row],[Closed_Date]]=0,"",(_xlfn.XLOOKUP(Pipeline_tbl[[#This Row],[Closed_Date]],Dim_Date!A:A,Dim_Date!H:H)))</f>
        <v>Apr 2024</v>
      </c>
      <c r="U2991">
        <f>IF(Pipeline_tbl[[#This Row],[Closed_Date]]=0,"",Pipeline_tbl[[#This Row],[Closed_Date]]-Pipeline_tbl[[#This Row],[Created_Date]])</f>
        <v>13</v>
      </c>
    </row>
    <row r="2992" spans="1:21" ht="15" customHeight="1" x14ac:dyDescent="0.2">
      <c r="A2992" t="s">
        <v>3298</v>
      </c>
      <c r="B2992" t="s">
        <v>227</v>
      </c>
      <c r="C2992" t="s">
        <v>56</v>
      </c>
      <c r="D2992" s="49">
        <v>45382</v>
      </c>
      <c r="E2992" s="49">
        <v>45384</v>
      </c>
      <c r="F2992" s="49">
        <v>45388</v>
      </c>
      <c r="G2992" s="49">
        <v>45394</v>
      </c>
      <c r="H2992" s="49">
        <v>45399</v>
      </c>
      <c r="I2992" s="49">
        <v>45402</v>
      </c>
      <c r="J2992" t="s">
        <v>47</v>
      </c>
      <c r="K2992" s="33">
        <v>4900</v>
      </c>
      <c r="M2992" t="str">
        <f>_xlfn.XLOOKUP(Pipeline_tbl[[#This Row],[Rep_ID]],Dim_Reps!A:A,Dim_Reps!K:K)</f>
        <v>EUR</v>
      </c>
      <c r="N2992" s="33">
        <f>(_xlfn.XLOOKUP(Pipeline_tbl[[#This Row],[Rate_Code_Generalized]],Lookups!A:A,Lookups!B:B))*Pipeline_tbl[[#This Row],[Pipeline_Amount_USD]]</f>
        <v>4900</v>
      </c>
      <c r="O2992" t="str">
        <f>_xlfn.XLOOKUP(Pipeline_tbl[[#This Row],[Rep_ID]],Dim_Reps!A:A,Dim_Reps!B:B)</f>
        <v>Liam Muller</v>
      </c>
      <c r="P2992" t="str">
        <f>_xlfn.XLOOKUP(Pipeline_tbl[[#This Row],[Rep_ID]],Dim_Reps!A:A,Dim_Reps!C:C)</f>
        <v>SDR / Inside Sales Rep</v>
      </c>
      <c r="Q2992" t="str">
        <f>_xlfn.XLOOKUP(Pipeline_tbl[[#This Row],[Rep_ID]],Dim_Reps!A:A,Dim_Reps!D:D)</f>
        <v>Inside Sales</v>
      </c>
      <c r="R2992" t="str">
        <f>_xlfn.XLOOKUP(Pipeline_tbl[[#This Row],[Rep_ID]],Dim_Reps!A:A,Dim_Reps!E:E)</f>
        <v>EMEA</v>
      </c>
      <c r="S2992" t="str">
        <f>_xlfn.XLOOKUP(Pipeline_tbl[[#This Row],[Created_Date]],Dim_Date!A:A,Dim_Date!H:H)</f>
        <v>Mar 2024</v>
      </c>
      <c r="T2992" t="str">
        <f>IF(Pipeline_tbl[[#This Row],[Closed_Date]]=0,"",(_xlfn.XLOOKUP(Pipeline_tbl[[#This Row],[Closed_Date]],Dim_Date!A:A,Dim_Date!H:H)))</f>
        <v>Apr 2024</v>
      </c>
      <c r="U2992">
        <f>IF(Pipeline_tbl[[#This Row],[Closed_Date]]=0,"",Pipeline_tbl[[#This Row],[Closed_Date]]-Pipeline_tbl[[#This Row],[Created_Date]])</f>
        <v>20</v>
      </c>
    </row>
    <row r="2993" spans="1:21" ht="15" customHeight="1" x14ac:dyDescent="0.2">
      <c r="A2993" t="s">
        <v>3299</v>
      </c>
      <c r="B2993" t="s">
        <v>227</v>
      </c>
      <c r="C2993" t="s">
        <v>53</v>
      </c>
      <c r="D2993" s="49">
        <v>45377</v>
      </c>
      <c r="E2993" s="49">
        <v>45378</v>
      </c>
      <c r="I2993" s="49">
        <v>45390</v>
      </c>
      <c r="J2993" t="s">
        <v>49</v>
      </c>
      <c r="K2993" s="33">
        <v>2900</v>
      </c>
      <c r="L2993" t="s">
        <v>62</v>
      </c>
      <c r="M2993" t="str">
        <f>_xlfn.XLOOKUP(Pipeline_tbl[[#This Row],[Rep_ID]],Dim_Reps!A:A,Dim_Reps!K:K)</f>
        <v>EUR</v>
      </c>
      <c r="N2993" s="33">
        <f>(_xlfn.XLOOKUP(Pipeline_tbl[[#This Row],[Rate_Code_Generalized]],Lookups!A:A,Lookups!B:B))*Pipeline_tbl[[#This Row],[Pipeline_Amount_USD]]</f>
        <v>2900</v>
      </c>
      <c r="O2993" t="str">
        <f>_xlfn.XLOOKUP(Pipeline_tbl[[#This Row],[Rep_ID]],Dim_Reps!A:A,Dim_Reps!B:B)</f>
        <v>Liam Muller</v>
      </c>
      <c r="P2993" t="str">
        <f>_xlfn.XLOOKUP(Pipeline_tbl[[#This Row],[Rep_ID]],Dim_Reps!A:A,Dim_Reps!C:C)</f>
        <v>SDR / Inside Sales Rep</v>
      </c>
      <c r="Q2993" t="str">
        <f>_xlfn.XLOOKUP(Pipeline_tbl[[#This Row],[Rep_ID]],Dim_Reps!A:A,Dim_Reps!D:D)</f>
        <v>Inside Sales</v>
      </c>
      <c r="R2993" t="str">
        <f>_xlfn.XLOOKUP(Pipeline_tbl[[#This Row],[Rep_ID]],Dim_Reps!A:A,Dim_Reps!E:E)</f>
        <v>EMEA</v>
      </c>
      <c r="S2993" t="str">
        <f>_xlfn.XLOOKUP(Pipeline_tbl[[#This Row],[Created_Date]],Dim_Date!A:A,Dim_Date!H:H)</f>
        <v>Mar 2024</v>
      </c>
      <c r="T2993" t="str">
        <f>IF(Pipeline_tbl[[#This Row],[Closed_Date]]=0,"",(_xlfn.XLOOKUP(Pipeline_tbl[[#This Row],[Closed_Date]],Dim_Date!A:A,Dim_Date!H:H)))</f>
        <v>Apr 2024</v>
      </c>
      <c r="U2993">
        <f>IF(Pipeline_tbl[[#This Row],[Closed_Date]]=0,"",Pipeline_tbl[[#This Row],[Closed_Date]]-Pipeline_tbl[[#This Row],[Created_Date]])</f>
        <v>13</v>
      </c>
    </row>
    <row r="2994" spans="1:21" ht="15" customHeight="1" x14ac:dyDescent="0.2">
      <c r="A2994" t="s">
        <v>3300</v>
      </c>
      <c r="B2994" t="s">
        <v>227</v>
      </c>
      <c r="C2994" t="s">
        <v>53</v>
      </c>
      <c r="D2994" s="49">
        <v>45365</v>
      </c>
      <c r="E2994" s="49">
        <v>45367</v>
      </c>
      <c r="I2994" s="49">
        <v>45383</v>
      </c>
      <c r="J2994" t="s">
        <v>49</v>
      </c>
      <c r="K2994" s="33">
        <v>2500</v>
      </c>
      <c r="L2994" t="s">
        <v>62</v>
      </c>
      <c r="M2994" t="str">
        <f>_xlfn.XLOOKUP(Pipeline_tbl[[#This Row],[Rep_ID]],Dim_Reps!A:A,Dim_Reps!K:K)</f>
        <v>EUR</v>
      </c>
      <c r="N2994" s="33">
        <f>(_xlfn.XLOOKUP(Pipeline_tbl[[#This Row],[Rate_Code_Generalized]],Lookups!A:A,Lookups!B:B))*Pipeline_tbl[[#This Row],[Pipeline_Amount_USD]]</f>
        <v>2500</v>
      </c>
      <c r="O2994" t="str">
        <f>_xlfn.XLOOKUP(Pipeline_tbl[[#This Row],[Rep_ID]],Dim_Reps!A:A,Dim_Reps!B:B)</f>
        <v>Liam Muller</v>
      </c>
      <c r="P2994" t="str">
        <f>_xlfn.XLOOKUP(Pipeline_tbl[[#This Row],[Rep_ID]],Dim_Reps!A:A,Dim_Reps!C:C)</f>
        <v>SDR / Inside Sales Rep</v>
      </c>
      <c r="Q2994" t="str">
        <f>_xlfn.XLOOKUP(Pipeline_tbl[[#This Row],[Rep_ID]],Dim_Reps!A:A,Dim_Reps!D:D)</f>
        <v>Inside Sales</v>
      </c>
      <c r="R2994" t="str">
        <f>_xlfn.XLOOKUP(Pipeline_tbl[[#This Row],[Rep_ID]],Dim_Reps!A:A,Dim_Reps!E:E)</f>
        <v>EMEA</v>
      </c>
      <c r="S2994" t="str">
        <f>_xlfn.XLOOKUP(Pipeline_tbl[[#This Row],[Created_Date]],Dim_Date!A:A,Dim_Date!H:H)</f>
        <v>Mar 2024</v>
      </c>
      <c r="T2994" t="str">
        <f>IF(Pipeline_tbl[[#This Row],[Closed_Date]]=0,"",(_xlfn.XLOOKUP(Pipeline_tbl[[#This Row],[Closed_Date]],Dim_Date!A:A,Dim_Date!H:H)))</f>
        <v>Apr 2024</v>
      </c>
      <c r="U2994">
        <f>IF(Pipeline_tbl[[#This Row],[Closed_Date]]=0,"",Pipeline_tbl[[#This Row],[Closed_Date]]-Pipeline_tbl[[#This Row],[Created_Date]])</f>
        <v>18</v>
      </c>
    </row>
    <row r="2995" spans="1:21" ht="15" customHeight="1" x14ac:dyDescent="0.2">
      <c r="A2995" t="s">
        <v>3301</v>
      </c>
      <c r="B2995" t="s">
        <v>227</v>
      </c>
      <c r="C2995" t="s">
        <v>54</v>
      </c>
      <c r="D2995" s="49">
        <v>45360</v>
      </c>
      <c r="E2995" s="49">
        <v>45364</v>
      </c>
      <c r="F2995" s="49">
        <v>45371</v>
      </c>
      <c r="G2995" s="49">
        <v>45383</v>
      </c>
      <c r="H2995" s="49">
        <v>45392</v>
      </c>
      <c r="I2995" s="49">
        <v>45398</v>
      </c>
      <c r="J2995" t="s">
        <v>49</v>
      </c>
      <c r="K2995" s="33">
        <v>3100</v>
      </c>
      <c r="L2995" t="s">
        <v>64</v>
      </c>
      <c r="M2995" t="str">
        <f>_xlfn.XLOOKUP(Pipeline_tbl[[#This Row],[Rep_ID]],Dim_Reps!A:A,Dim_Reps!K:K)</f>
        <v>EUR</v>
      </c>
      <c r="N2995" s="33">
        <f>(_xlfn.XLOOKUP(Pipeline_tbl[[#This Row],[Rate_Code_Generalized]],Lookups!A:A,Lookups!B:B))*Pipeline_tbl[[#This Row],[Pipeline_Amount_USD]]</f>
        <v>3100</v>
      </c>
      <c r="O2995" t="str">
        <f>_xlfn.XLOOKUP(Pipeline_tbl[[#This Row],[Rep_ID]],Dim_Reps!A:A,Dim_Reps!B:B)</f>
        <v>Liam Muller</v>
      </c>
      <c r="P2995" t="str">
        <f>_xlfn.XLOOKUP(Pipeline_tbl[[#This Row],[Rep_ID]],Dim_Reps!A:A,Dim_Reps!C:C)</f>
        <v>SDR / Inside Sales Rep</v>
      </c>
      <c r="Q2995" t="str">
        <f>_xlfn.XLOOKUP(Pipeline_tbl[[#This Row],[Rep_ID]],Dim_Reps!A:A,Dim_Reps!D:D)</f>
        <v>Inside Sales</v>
      </c>
      <c r="R2995" t="str">
        <f>_xlfn.XLOOKUP(Pipeline_tbl[[#This Row],[Rep_ID]],Dim_Reps!A:A,Dim_Reps!E:E)</f>
        <v>EMEA</v>
      </c>
      <c r="S2995" t="str">
        <f>_xlfn.XLOOKUP(Pipeline_tbl[[#This Row],[Created_Date]],Dim_Date!A:A,Dim_Date!H:H)</f>
        <v>Mar 2024</v>
      </c>
      <c r="T2995" t="str">
        <f>IF(Pipeline_tbl[[#This Row],[Closed_Date]]=0,"",(_xlfn.XLOOKUP(Pipeline_tbl[[#This Row],[Closed_Date]],Dim_Date!A:A,Dim_Date!H:H)))</f>
        <v>Apr 2024</v>
      </c>
      <c r="U2995">
        <f>IF(Pipeline_tbl[[#This Row],[Closed_Date]]=0,"",Pipeline_tbl[[#This Row],[Closed_Date]]-Pipeline_tbl[[#This Row],[Created_Date]])</f>
        <v>38</v>
      </c>
    </row>
    <row r="2996" spans="1:21" ht="15" customHeight="1" x14ac:dyDescent="0.2">
      <c r="A2996" t="s">
        <v>3302</v>
      </c>
      <c r="B2996" t="s">
        <v>191</v>
      </c>
      <c r="C2996" t="s">
        <v>52</v>
      </c>
      <c r="D2996" s="49">
        <v>45368</v>
      </c>
      <c r="E2996" s="49">
        <v>45372</v>
      </c>
      <c r="F2996" s="49">
        <v>45380</v>
      </c>
      <c r="I2996" s="49">
        <v>45408</v>
      </c>
      <c r="J2996" t="s">
        <v>49</v>
      </c>
      <c r="K2996" s="33">
        <v>21400</v>
      </c>
      <c r="L2996" t="s">
        <v>62</v>
      </c>
      <c r="M2996" t="str">
        <f>_xlfn.XLOOKUP(Pipeline_tbl[[#This Row],[Rep_ID]],Dim_Reps!A:A,Dim_Reps!K:K)</f>
        <v>USD</v>
      </c>
      <c r="N2996" s="33">
        <f>(_xlfn.XLOOKUP(Pipeline_tbl[[#This Row],[Rate_Code_Generalized]],Lookups!A:A,Lookups!B:B))*Pipeline_tbl[[#This Row],[Pipeline_Amount_USD]]</f>
        <v>24916.019999999997</v>
      </c>
      <c r="O2996" t="str">
        <f>_xlfn.XLOOKUP(Pipeline_tbl[[#This Row],[Rep_ID]],Dim_Reps!A:A,Dim_Reps!B:B)</f>
        <v>Zara Duarte</v>
      </c>
      <c r="P2996" t="str">
        <f>_xlfn.XLOOKUP(Pipeline_tbl[[#This Row],[Rep_ID]],Dim_Reps!A:A,Dim_Reps!C:C)</f>
        <v>Enterprise AE</v>
      </c>
      <c r="Q2996" t="str">
        <f>_xlfn.XLOOKUP(Pipeline_tbl[[#This Row],[Rep_ID]],Dim_Reps!A:A,Dim_Reps!D:D)</f>
        <v>Enterprise</v>
      </c>
      <c r="R2996" t="str">
        <f>_xlfn.XLOOKUP(Pipeline_tbl[[#This Row],[Rep_ID]],Dim_Reps!A:A,Dim_Reps!E:E)</f>
        <v>NAMER</v>
      </c>
      <c r="S2996" t="str">
        <f>_xlfn.XLOOKUP(Pipeline_tbl[[#This Row],[Created_Date]],Dim_Date!A:A,Dim_Date!H:H)</f>
        <v>Mar 2024</v>
      </c>
      <c r="T2996" t="str">
        <f>IF(Pipeline_tbl[[#This Row],[Closed_Date]]=0,"",(_xlfn.XLOOKUP(Pipeline_tbl[[#This Row],[Closed_Date]],Dim_Date!A:A,Dim_Date!H:H)))</f>
        <v>Apr 2024</v>
      </c>
      <c r="U2996">
        <f>IF(Pipeline_tbl[[#This Row],[Closed_Date]]=0,"",Pipeline_tbl[[#This Row],[Closed_Date]]-Pipeline_tbl[[#This Row],[Created_Date]])</f>
        <v>40</v>
      </c>
    </row>
    <row r="2997" spans="1:21" ht="15" customHeight="1" x14ac:dyDescent="0.2">
      <c r="A2997" t="s">
        <v>3303</v>
      </c>
      <c r="B2997" t="s">
        <v>229</v>
      </c>
      <c r="C2997" t="s">
        <v>52</v>
      </c>
      <c r="D2997" s="49">
        <v>45379</v>
      </c>
      <c r="E2997" s="49">
        <v>45381</v>
      </c>
      <c r="F2997" s="49">
        <v>45386</v>
      </c>
      <c r="G2997" s="49">
        <v>45392</v>
      </c>
      <c r="H2997" s="49">
        <v>45398</v>
      </c>
      <c r="I2997" s="49">
        <v>45401</v>
      </c>
      <c r="J2997" t="s">
        <v>47</v>
      </c>
      <c r="K2997" s="33">
        <v>4100</v>
      </c>
      <c r="M2997" t="str">
        <f>_xlfn.XLOOKUP(Pipeline_tbl[[#This Row],[Rep_ID]],Dim_Reps!A:A,Dim_Reps!K:K)</f>
        <v>USD</v>
      </c>
      <c r="N2997" s="33">
        <f>(_xlfn.XLOOKUP(Pipeline_tbl[[#This Row],[Rate_Code_Generalized]],Lookups!A:A,Lookups!B:B))*Pipeline_tbl[[#This Row],[Pipeline_Amount_USD]]</f>
        <v>4773.6299999999992</v>
      </c>
      <c r="O2997" t="str">
        <f>_xlfn.XLOOKUP(Pipeline_tbl[[#This Row],[Rep_ID]],Dim_Reps!A:A,Dim_Reps!B:B)</f>
        <v>Liam Castro</v>
      </c>
      <c r="P2997" t="str">
        <f>_xlfn.XLOOKUP(Pipeline_tbl[[#This Row],[Rep_ID]],Dim_Reps!A:A,Dim_Reps!C:C)</f>
        <v>SDR / Inside Sales Rep</v>
      </c>
      <c r="Q2997" t="str">
        <f>_xlfn.XLOOKUP(Pipeline_tbl[[#This Row],[Rep_ID]],Dim_Reps!A:A,Dim_Reps!D:D)</f>
        <v>Inside Sales</v>
      </c>
      <c r="R2997" t="str">
        <f>_xlfn.XLOOKUP(Pipeline_tbl[[#This Row],[Rep_ID]],Dim_Reps!A:A,Dim_Reps!E:E)</f>
        <v>NAMER</v>
      </c>
      <c r="S2997" t="str">
        <f>_xlfn.XLOOKUP(Pipeline_tbl[[#This Row],[Created_Date]],Dim_Date!A:A,Dim_Date!H:H)</f>
        <v>Mar 2024</v>
      </c>
      <c r="T2997" t="str">
        <f>IF(Pipeline_tbl[[#This Row],[Closed_Date]]=0,"",(_xlfn.XLOOKUP(Pipeline_tbl[[#This Row],[Closed_Date]],Dim_Date!A:A,Dim_Date!H:H)))</f>
        <v>Apr 2024</v>
      </c>
      <c r="U2997">
        <f>IF(Pipeline_tbl[[#This Row],[Closed_Date]]=0,"",Pipeline_tbl[[#This Row],[Closed_Date]]-Pipeline_tbl[[#This Row],[Created_Date]])</f>
        <v>22</v>
      </c>
    </row>
    <row r="2998" spans="1:21" ht="15" customHeight="1" x14ac:dyDescent="0.2">
      <c r="A2998" t="s">
        <v>3304</v>
      </c>
      <c r="B2998" t="s">
        <v>229</v>
      </c>
      <c r="C2998" t="s">
        <v>52</v>
      </c>
      <c r="D2998" s="49">
        <v>45373</v>
      </c>
      <c r="E2998" s="49">
        <v>45375</v>
      </c>
      <c r="F2998" s="49">
        <v>45379</v>
      </c>
      <c r="G2998" s="49">
        <v>45385</v>
      </c>
      <c r="I2998" s="49">
        <v>45393</v>
      </c>
      <c r="J2998" t="s">
        <v>49</v>
      </c>
      <c r="K2998" s="33">
        <v>4100</v>
      </c>
      <c r="L2998" t="s">
        <v>61</v>
      </c>
      <c r="M2998" t="str">
        <f>_xlfn.XLOOKUP(Pipeline_tbl[[#This Row],[Rep_ID]],Dim_Reps!A:A,Dim_Reps!K:K)</f>
        <v>USD</v>
      </c>
      <c r="N2998" s="33">
        <f>(_xlfn.XLOOKUP(Pipeline_tbl[[#This Row],[Rate_Code_Generalized]],Lookups!A:A,Lookups!B:B))*Pipeline_tbl[[#This Row],[Pipeline_Amount_USD]]</f>
        <v>4773.6299999999992</v>
      </c>
      <c r="O2998" t="str">
        <f>_xlfn.XLOOKUP(Pipeline_tbl[[#This Row],[Rep_ID]],Dim_Reps!A:A,Dim_Reps!B:B)</f>
        <v>Liam Castro</v>
      </c>
      <c r="P2998" t="str">
        <f>_xlfn.XLOOKUP(Pipeline_tbl[[#This Row],[Rep_ID]],Dim_Reps!A:A,Dim_Reps!C:C)</f>
        <v>SDR / Inside Sales Rep</v>
      </c>
      <c r="Q2998" t="str">
        <f>_xlfn.XLOOKUP(Pipeline_tbl[[#This Row],[Rep_ID]],Dim_Reps!A:A,Dim_Reps!D:D)</f>
        <v>Inside Sales</v>
      </c>
      <c r="R2998" t="str">
        <f>_xlfn.XLOOKUP(Pipeline_tbl[[#This Row],[Rep_ID]],Dim_Reps!A:A,Dim_Reps!E:E)</f>
        <v>NAMER</v>
      </c>
      <c r="S2998" t="str">
        <f>_xlfn.XLOOKUP(Pipeline_tbl[[#This Row],[Created_Date]],Dim_Date!A:A,Dim_Date!H:H)</f>
        <v>Mar 2024</v>
      </c>
      <c r="T2998" t="str">
        <f>IF(Pipeline_tbl[[#This Row],[Closed_Date]]=0,"",(_xlfn.XLOOKUP(Pipeline_tbl[[#This Row],[Closed_Date]],Dim_Date!A:A,Dim_Date!H:H)))</f>
        <v>Apr 2024</v>
      </c>
      <c r="U2998">
        <f>IF(Pipeline_tbl[[#This Row],[Closed_Date]]=0,"",Pipeline_tbl[[#This Row],[Closed_Date]]-Pipeline_tbl[[#This Row],[Created_Date]])</f>
        <v>20</v>
      </c>
    </row>
    <row r="2999" spans="1:21" ht="15" customHeight="1" x14ac:dyDescent="0.2">
      <c r="A2999" t="s">
        <v>3305</v>
      </c>
      <c r="B2999" t="s">
        <v>229</v>
      </c>
      <c r="C2999" t="s">
        <v>52</v>
      </c>
      <c r="D2999" s="49">
        <v>45368</v>
      </c>
      <c r="E2999" s="49">
        <v>45370</v>
      </c>
      <c r="F2999" s="49">
        <v>45373</v>
      </c>
      <c r="G2999" s="49">
        <v>45378</v>
      </c>
      <c r="H2999" s="49">
        <v>45382</v>
      </c>
      <c r="I2999" s="49">
        <v>45385</v>
      </c>
      <c r="J2999" t="s">
        <v>47</v>
      </c>
      <c r="K2999" s="33">
        <v>3200</v>
      </c>
      <c r="M2999" t="str">
        <f>_xlfn.XLOOKUP(Pipeline_tbl[[#This Row],[Rep_ID]],Dim_Reps!A:A,Dim_Reps!K:K)</f>
        <v>USD</v>
      </c>
      <c r="N2999" s="33">
        <f>(_xlfn.XLOOKUP(Pipeline_tbl[[#This Row],[Rate_Code_Generalized]],Lookups!A:A,Lookups!B:B))*Pipeline_tbl[[#This Row],[Pipeline_Amount_USD]]</f>
        <v>3725.7599999999998</v>
      </c>
      <c r="O2999" t="str">
        <f>_xlfn.XLOOKUP(Pipeline_tbl[[#This Row],[Rep_ID]],Dim_Reps!A:A,Dim_Reps!B:B)</f>
        <v>Liam Castro</v>
      </c>
      <c r="P2999" t="str">
        <f>_xlfn.XLOOKUP(Pipeline_tbl[[#This Row],[Rep_ID]],Dim_Reps!A:A,Dim_Reps!C:C)</f>
        <v>SDR / Inside Sales Rep</v>
      </c>
      <c r="Q2999" t="str">
        <f>_xlfn.XLOOKUP(Pipeline_tbl[[#This Row],[Rep_ID]],Dim_Reps!A:A,Dim_Reps!D:D)</f>
        <v>Inside Sales</v>
      </c>
      <c r="R2999" t="str">
        <f>_xlfn.XLOOKUP(Pipeline_tbl[[#This Row],[Rep_ID]],Dim_Reps!A:A,Dim_Reps!E:E)</f>
        <v>NAMER</v>
      </c>
      <c r="S2999" t="str">
        <f>_xlfn.XLOOKUP(Pipeline_tbl[[#This Row],[Created_Date]],Dim_Date!A:A,Dim_Date!H:H)</f>
        <v>Mar 2024</v>
      </c>
      <c r="T2999" t="str">
        <f>IF(Pipeline_tbl[[#This Row],[Closed_Date]]=0,"",(_xlfn.XLOOKUP(Pipeline_tbl[[#This Row],[Closed_Date]],Dim_Date!A:A,Dim_Date!H:H)))</f>
        <v>Apr 2024</v>
      </c>
      <c r="U2999">
        <f>IF(Pipeline_tbl[[#This Row],[Closed_Date]]=0,"",Pipeline_tbl[[#This Row],[Closed_Date]]-Pipeline_tbl[[#This Row],[Created_Date]])</f>
        <v>17</v>
      </c>
    </row>
    <row r="3000" spans="1:21" ht="15" customHeight="1" x14ac:dyDescent="0.2">
      <c r="A3000" t="s">
        <v>3306</v>
      </c>
      <c r="B3000" t="s">
        <v>229</v>
      </c>
      <c r="C3000" t="s">
        <v>52</v>
      </c>
      <c r="D3000" s="49">
        <v>45370</v>
      </c>
      <c r="E3000" s="49">
        <v>45373</v>
      </c>
      <c r="F3000" s="49">
        <v>45378</v>
      </c>
      <c r="G3000" s="49">
        <v>45386</v>
      </c>
      <c r="H3000" s="49">
        <v>45392</v>
      </c>
      <c r="I3000" s="49">
        <v>45396</v>
      </c>
      <c r="J3000" t="s">
        <v>47</v>
      </c>
      <c r="K3000" s="33">
        <v>2400</v>
      </c>
      <c r="M3000" t="str">
        <f>_xlfn.XLOOKUP(Pipeline_tbl[[#This Row],[Rep_ID]],Dim_Reps!A:A,Dim_Reps!K:K)</f>
        <v>USD</v>
      </c>
      <c r="N3000" s="33">
        <f>(_xlfn.XLOOKUP(Pipeline_tbl[[#This Row],[Rate_Code_Generalized]],Lookups!A:A,Lookups!B:B))*Pipeline_tbl[[#This Row],[Pipeline_Amount_USD]]</f>
        <v>2794.3199999999997</v>
      </c>
      <c r="O3000" t="str">
        <f>_xlfn.XLOOKUP(Pipeline_tbl[[#This Row],[Rep_ID]],Dim_Reps!A:A,Dim_Reps!B:B)</f>
        <v>Liam Castro</v>
      </c>
      <c r="P3000" t="str">
        <f>_xlfn.XLOOKUP(Pipeline_tbl[[#This Row],[Rep_ID]],Dim_Reps!A:A,Dim_Reps!C:C)</f>
        <v>SDR / Inside Sales Rep</v>
      </c>
      <c r="Q3000" t="str">
        <f>_xlfn.XLOOKUP(Pipeline_tbl[[#This Row],[Rep_ID]],Dim_Reps!A:A,Dim_Reps!D:D)</f>
        <v>Inside Sales</v>
      </c>
      <c r="R3000" t="str">
        <f>_xlfn.XLOOKUP(Pipeline_tbl[[#This Row],[Rep_ID]],Dim_Reps!A:A,Dim_Reps!E:E)</f>
        <v>NAMER</v>
      </c>
      <c r="S3000" t="str">
        <f>_xlfn.XLOOKUP(Pipeline_tbl[[#This Row],[Created_Date]],Dim_Date!A:A,Dim_Date!H:H)</f>
        <v>Mar 2024</v>
      </c>
      <c r="T3000" t="str">
        <f>IF(Pipeline_tbl[[#This Row],[Closed_Date]]=0,"",(_xlfn.XLOOKUP(Pipeline_tbl[[#This Row],[Closed_Date]],Dim_Date!A:A,Dim_Date!H:H)))</f>
        <v>Apr 2024</v>
      </c>
      <c r="U3000">
        <f>IF(Pipeline_tbl[[#This Row],[Closed_Date]]=0,"",Pipeline_tbl[[#This Row],[Closed_Date]]-Pipeline_tbl[[#This Row],[Created_Date]])</f>
        <v>26</v>
      </c>
    </row>
    <row r="3001" spans="1:21" ht="15" customHeight="1" x14ac:dyDescent="0.2">
      <c r="A3001" t="s">
        <v>3307</v>
      </c>
      <c r="B3001" t="s">
        <v>229</v>
      </c>
      <c r="C3001" t="s">
        <v>53</v>
      </c>
      <c r="D3001" s="49">
        <v>45371</v>
      </c>
      <c r="E3001" s="49">
        <v>45373</v>
      </c>
      <c r="F3001" s="49">
        <v>45376</v>
      </c>
      <c r="G3001" s="49">
        <v>45381</v>
      </c>
      <c r="I3001" s="49">
        <v>45387</v>
      </c>
      <c r="J3001" t="s">
        <v>49</v>
      </c>
      <c r="K3001" s="33">
        <v>2800</v>
      </c>
      <c r="L3001" t="s">
        <v>60</v>
      </c>
      <c r="M3001" t="str">
        <f>_xlfn.XLOOKUP(Pipeline_tbl[[#This Row],[Rep_ID]],Dim_Reps!A:A,Dim_Reps!K:K)</f>
        <v>USD</v>
      </c>
      <c r="N3001" s="33">
        <f>(_xlfn.XLOOKUP(Pipeline_tbl[[#This Row],[Rate_Code_Generalized]],Lookups!A:A,Lookups!B:B))*Pipeline_tbl[[#This Row],[Pipeline_Amount_USD]]</f>
        <v>3260.0399999999995</v>
      </c>
      <c r="O3001" t="str">
        <f>_xlfn.XLOOKUP(Pipeline_tbl[[#This Row],[Rep_ID]],Dim_Reps!A:A,Dim_Reps!B:B)</f>
        <v>Liam Castro</v>
      </c>
      <c r="P3001" t="str">
        <f>_xlfn.XLOOKUP(Pipeline_tbl[[#This Row],[Rep_ID]],Dim_Reps!A:A,Dim_Reps!C:C)</f>
        <v>SDR / Inside Sales Rep</v>
      </c>
      <c r="Q3001" t="str">
        <f>_xlfn.XLOOKUP(Pipeline_tbl[[#This Row],[Rep_ID]],Dim_Reps!A:A,Dim_Reps!D:D)</f>
        <v>Inside Sales</v>
      </c>
      <c r="R3001" t="str">
        <f>_xlfn.XLOOKUP(Pipeline_tbl[[#This Row],[Rep_ID]],Dim_Reps!A:A,Dim_Reps!E:E)</f>
        <v>NAMER</v>
      </c>
      <c r="S3001" t="str">
        <f>_xlfn.XLOOKUP(Pipeline_tbl[[#This Row],[Created_Date]],Dim_Date!A:A,Dim_Date!H:H)</f>
        <v>Mar 2024</v>
      </c>
      <c r="T3001" t="str">
        <f>IF(Pipeline_tbl[[#This Row],[Closed_Date]]=0,"",(_xlfn.XLOOKUP(Pipeline_tbl[[#This Row],[Closed_Date]],Dim_Date!A:A,Dim_Date!H:H)))</f>
        <v>Apr 2024</v>
      </c>
      <c r="U3001">
        <f>IF(Pipeline_tbl[[#This Row],[Closed_Date]]=0,"",Pipeline_tbl[[#This Row],[Closed_Date]]-Pipeline_tbl[[#This Row],[Created_Date]])</f>
        <v>16</v>
      </c>
    </row>
    <row r="3002" spans="1:21" ht="15" customHeight="1" x14ac:dyDescent="0.2">
      <c r="A3002" t="s">
        <v>3308</v>
      </c>
      <c r="B3002" t="s">
        <v>231</v>
      </c>
      <c r="C3002" t="s">
        <v>52</v>
      </c>
      <c r="D3002" s="49">
        <v>45363</v>
      </c>
      <c r="E3002" s="49">
        <v>45365</v>
      </c>
      <c r="F3002" s="49">
        <v>45370</v>
      </c>
      <c r="I3002" s="49">
        <v>45385</v>
      </c>
      <c r="J3002" t="s">
        <v>49</v>
      </c>
      <c r="K3002" s="33">
        <v>2400</v>
      </c>
      <c r="L3002" t="s">
        <v>61</v>
      </c>
      <c r="M3002" t="str">
        <f>_xlfn.XLOOKUP(Pipeline_tbl[[#This Row],[Rep_ID]],Dim_Reps!A:A,Dim_Reps!K:K)</f>
        <v>MXN</v>
      </c>
      <c r="N3002" s="33">
        <f>(_xlfn.XLOOKUP(Pipeline_tbl[[#This Row],[Rate_Code_Generalized]],Lookups!A:A,Lookups!B:B))*Pipeline_tbl[[#This Row],[Pipeline_Amount_USD]]</f>
        <v>47358.48</v>
      </c>
      <c r="O3002" t="str">
        <f>_xlfn.XLOOKUP(Pipeline_tbl[[#This Row],[Rep_ID]],Dim_Reps!A:A,Dim_Reps!B:B)</f>
        <v>Ben Silva</v>
      </c>
      <c r="P3002" t="str">
        <f>_xlfn.XLOOKUP(Pipeline_tbl[[#This Row],[Rep_ID]],Dim_Reps!A:A,Dim_Reps!C:C)</f>
        <v>SDR / Inside Sales Rep</v>
      </c>
      <c r="Q3002" t="str">
        <f>_xlfn.XLOOKUP(Pipeline_tbl[[#This Row],[Rep_ID]],Dim_Reps!A:A,Dim_Reps!D:D)</f>
        <v>Inside Sales</v>
      </c>
      <c r="R3002" t="str">
        <f>_xlfn.XLOOKUP(Pipeline_tbl[[#This Row],[Rep_ID]],Dim_Reps!A:A,Dim_Reps!E:E)</f>
        <v>LATAM</v>
      </c>
      <c r="S3002" t="str">
        <f>_xlfn.XLOOKUP(Pipeline_tbl[[#This Row],[Created_Date]],Dim_Date!A:A,Dim_Date!H:H)</f>
        <v>Mar 2024</v>
      </c>
      <c r="T3002" t="str">
        <f>IF(Pipeline_tbl[[#This Row],[Closed_Date]]=0,"",(_xlfn.XLOOKUP(Pipeline_tbl[[#This Row],[Closed_Date]],Dim_Date!A:A,Dim_Date!H:H)))</f>
        <v>Apr 2024</v>
      </c>
      <c r="U3002">
        <f>IF(Pipeline_tbl[[#This Row],[Closed_Date]]=0,"",Pipeline_tbl[[#This Row],[Closed_Date]]-Pipeline_tbl[[#This Row],[Created_Date]])</f>
        <v>22</v>
      </c>
    </row>
    <row r="3003" spans="1:21" ht="15" customHeight="1" x14ac:dyDescent="0.2">
      <c r="A3003" t="s">
        <v>3309</v>
      </c>
      <c r="B3003" t="s">
        <v>231</v>
      </c>
      <c r="C3003" t="s">
        <v>52</v>
      </c>
      <c r="D3003" s="49">
        <v>45381</v>
      </c>
      <c r="E3003" s="49">
        <v>45383</v>
      </c>
      <c r="F3003" s="49">
        <v>45386</v>
      </c>
      <c r="G3003" s="49">
        <v>45392</v>
      </c>
      <c r="H3003" s="49">
        <v>45396</v>
      </c>
      <c r="I3003" s="49">
        <v>45399</v>
      </c>
      <c r="J3003" t="s">
        <v>47</v>
      </c>
      <c r="K3003" s="33">
        <v>6000</v>
      </c>
      <c r="M3003" t="str">
        <f>_xlfn.XLOOKUP(Pipeline_tbl[[#This Row],[Rep_ID]],Dim_Reps!A:A,Dim_Reps!K:K)</f>
        <v>MXN</v>
      </c>
      <c r="N3003" s="33">
        <f>(_xlfn.XLOOKUP(Pipeline_tbl[[#This Row],[Rate_Code_Generalized]],Lookups!A:A,Lookups!B:B))*Pipeline_tbl[[#This Row],[Pipeline_Amount_USD]]</f>
        <v>118396.20000000001</v>
      </c>
      <c r="O3003" t="str">
        <f>_xlfn.XLOOKUP(Pipeline_tbl[[#This Row],[Rep_ID]],Dim_Reps!A:A,Dim_Reps!B:B)</f>
        <v>Ben Silva</v>
      </c>
      <c r="P3003" t="str">
        <f>_xlfn.XLOOKUP(Pipeline_tbl[[#This Row],[Rep_ID]],Dim_Reps!A:A,Dim_Reps!C:C)</f>
        <v>SDR / Inside Sales Rep</v>
      </c>
      <c r="Q3003" t="str">
        <f>_xlfn.XLOOKUP(Pipeline_tbl[[#This Row],[Rep_ID]],Dim_Reps!A:A,Dim_Reps!D:D)</f>
        <v>Inside Sales</v>
      </c>
      <c r="R3003" t="str">
        <f>_xlfn.XLOOKUP(Pipeline_tbl[[#This Row],[Rep_ID]],Dim_Reps!A:A,Dim_Reps!E:E)</f>
        <v>LATAM</v>
      </c>
      <c r="S3003" t="str">
        <f>_xlfn.XLOOKUP(Pipeline_tbl[[#This Row],[Created_Date]],Dim_Date!A:A,Dim_Date!H:H)</f>
        <v>Mar 2024</v>
      </c>
      <c r="T3003" t="str">
        <f>IF(Pipeline_tbl[[#This Row],[Closed_Date]]=0,"",(_xlfn.XLOOKUP(Pipeline_tbl[[#This Row],[Closed_Date]],Dim_Date!A:A,Dim_Date!H:H)))</f>
        <v>Apr 2024</v>
      </c>
      <c r="U3003">
        <f>IF(Pipeline_tbl[[#This Row],[Closed_Date]]=0,"",Pipeline_tbl[[#This Row],[Closed_Date]]-Pipeline_tbl[[#This Row],[Created_Date]])</f>
        <v>18</v>
      </c>
    </row>
    <row r="3004" spans="1:21" ht="15" customHeight="1" x14ac:dyDescent="0.2">
      <c r="A3004" t="s">
        <v>3310</v>
      </c>
      <c r="B3004" t="s">
        <v>231</v>
      </c>
      <c r="C3004" t="s">
        <v>56</v>
      </c>
      <c r="D3004" s="49">
        <v>45381</v>
      </c>
      <c r="E3004" s="49">
        <v>45383</v>
      </c>
      <c r="F3004" s="49">
        <v>45386</v>
      </c>
      <c r="G3004" s="49">
        <v>45392</v>
      </c>
      <c r="I3004" s="49">
        <v>45399</v>
      </c>
      <c r="J3004" t="s">
        <v>49</v>
      </c>
      <c r="K3004" s="33">
        <v>3500</v>
      </c>
      <c r="L3004" t="s">
        <v>64</v>
      </c>
      <c r="M3004" t="str">
        <f>_xlfn.XLOOKUP(Pipeline_tbl[[#This Row],[Rep_ID]],Dim_Reps!A:A,Dim_Reps!K:K)</f>
        <v>MXN</v>
      </c>
      <c r="N3004" s="33">
        <f>(_xlfn.XLOOKUP(Pipeline_tbl[[#This Row],[Rate_Code_Generalized]],Lookups!A:A,Lookups!B:B))*Pipeline_tbl[[#This Row],[Pipeline_Amount_USD]]</f>
        <v>69064.45</v>
      </c>
      <c r="O3004" t="str">
        <f>_xlfn.XLOOKUP(Pipeline_tbl[[#This Row],[Rep_ID]],Dim_Reps!A:A,Dim_Reps!B:B)</f>
        <v>Ben Silva</v>
      </c>
      <c r="P3004" t="str">
        <f>_xlfn.XLOOKUP(Pipeline_tbl[[#This Row],[Rep_ID]],Dim_Reps!A:A,Dim_Reps!C:C)</f>
        <v>SDR / Inside Sales Rep</v>
      </c>
      <c r="Q3004" t="str">
        <f>_xlfn.XLOOKUP(Pipeline_tbl[[#This Row],[Rep_ID]],Dim_Reps!A:A,Dim_Reps!D:D)</f>
        <v>Inside Sales</v>
      </c>
      <c r="R3004" t="str">
        <f>_xlfn.XLOOKUP(Pipeline_tbl[[#This Row],[Rep_ID]],Dim_Reps!A:A,Dim_Reps!E:E)</f>
        <v>LATAM</v>
      </c>
      <c r="S3004" t="str">
        <f>_xlfn.XLOOKUP(Pipeline_tbl[[#This Row],[Created_Date]],Dim_Date!A:A,Dim_Date!H:H)</f>
        <v>Mar 2024</v>
      </c>
      <c r="T3004" t="str">
        <f>IF(Pipeline_tbl[[#This Row],[Closed_Date]]=0,"",(_xlfn.XLOOKUP(Pipeline_tbl[[#This Row],[Closed_Date]],Dim_Date!A:A,Dim_Date!H:H)))</f>
        <v>Apr 2024</v>
      </c>
      <c r="U3004">
        <f>IF(Pipeline_tbl[[#This Row],[Closed_Date]]=0,"",Pipeline_tbl[[#This Row],[Closed_Date]]-Pipeline_tbl[[#This Row],[Created_Date]])</f>
        <v>18</v>
      </c>
    </row>
    <row r="3005" spans="1:21" ht="15" customHeight="1" x14ac:dyDescent="0.2">
      <c r="A3005" t="s">
        <v>3311</v>
      </c>
      <c r="B3005" t="s">
        <v>231</v>
      </c>
      <c r="C3005" t="s">
        <v>52</v>
      </c>
      <c r="D3005" s="49">
        <v>45382</v>
      </c>
      <c r="E3005" s="49">
        <v>45384</v>
      </c>
      <c r="F3005" s="49">
        <v>45387</v>
      </c>
      <c r="G3005" s="49">
        <v>45393</v>
      </c>
      <c r="I3005" s="49">
        <v>45400</v>
      </c>
      <c r="J3005" t="s">
        <v>49</v>
      </c>
      <c r="K3005" s="33">
        <v>3900</v>
      </c>
      <c r="L3005" t="s">
        <v>63</v>
      </c>
      <c r="M3005" t="str">
        <f>_xlfn.XLOOKUP(Pipeline_tbl[[#This Row],[Rep_ID]],Dim_Reps!A:A,Dim_Reps!K:K)</f>
        <v>MXN</v>
      </c>
      <c r="N3005" s="33">
        <f>(_xlfn.XLOOKUP(Pipeline_tbl[[#This Row],[Rate_Code_Generalized]],Lookups!A:A,Lookups!B:B))*Pipeline_tbl[[#This Row],[Pipeline_Amount_USD]]</f>
        <v>76957.53</v>
      </c>
      <c r="O3005" t="str">
        <f>_xlfn.XLOOKUP(Pipeline_tbl[[#This Row],[Rep_ID]],Dim_Reps!A:A,Dim_Reps!B:B)</f>
        <v>Ben Silva</v>
      </c>
      <c r="P3005" t="str">
        <f>_xlfn.XLOOKUP(Pipeline_tbl[[#This Row],[Rep_ID]],Dim_Reps!A:A,Dim_Reps!C:C)</f>
        <v>SDR / Inside Sales Rep</v>
      </c>
      <c r="Q3005" t="str">
        <f>_xlfn.XLOOKUP(Pipeline_tbl[[#This Row],[Rep_ID]],Dim_Reps!A:A,Dim_Reps!D:D)</f>
        <v>Inside Sales</v>
      </c>
      <c r="R3005" t="str">
        <f>_xlfn.XLOOKUP(Pipeline_tbl[[#This Row],[Rep_ID]],Dim_Reps!A:A,Dim_Reps!E:E)</f>
        <v>LATAM</v>
      </c>
      <c r="S3005" t="str">
        <f>_xlfn.XLOOKUP(Pipeline_tbl[[#This Row],[Created_Date]],Dim_Date!A:A,Dim_Date!H:H)</f>
        <v>Mar 2024</v>
      </c>
      <c r="T3005" t="str">
        <f>IF(Pipeline_tbl[[#This Row],[Closed_Date]]=0,"",(_xlfn.XLOOKUP(Pipeline_tbl[[#This Row],[Closed_Date]],Dim_Date!A:A,Dim_Date!H:H)))</f>
        <v>Apr 2024</v>
      </c>
      <c r="U3005">
        <f>IF(Pipeline_tbl[[#This Row],[Closed_Date]]=0,"",Pipeline_tbl[[#This Row],[Closed_Date]]-Pipeline_tbl[[#This Row],[Created_Date]])</f>
        <v>18</v>
      </c>
    </row>
    <row r="3006" spans="1:21" ht="15" customHeight="1" x14ac:dyDescent="0.2">
      <c r="A3006" t="s">
        <v>3312</v>
      </c>
      <c r="B3006" t="s">
        <v>231</v>
      </c>
      <c r="C3006" t="s">
        <v>52</v>
      </c>
      <c r="D3006" s="49">
        <v>45379</v>
      </c>
      <c r="E3006" s="49">
        <v>45381</v>
      </c>
      <c r="F3006" s="49">
        <v>45384</v>
      </c>
      <c r="G3006" s="49">
        <v>45389</v>
      </c>
      <c r="H3006" s="49">
        <v>45393</v>
      </c>
      <c r="I3006" s="49">
        <v>45396</v>
      </c>
      <c r="J3006" t="s">
        <v>49</v>
      </c>
      <c r="K3006" s="33">
        <v>3000</v>
      </c>
      <c r="L3006" t="s">
        <v>61</v>
      </c>
      <c r="M3006" t="str">
        <f>_xlfn.XLOOKUP(Pipeline_tbl[[#This Row],[Rep_ID]],Dim_Reps!A:A,Dim_Reps!K:K)</f>
        <v>MXN</v>
      </c>
      <c r="N3006" s="33">
        <f>(_xlfn.XLOOKUP(Pipeline_tbl[[#This Row],[Rate_Code_Generalized]],Lookups!A:A,Lookups!B:B))*Pipeline_tbl[[#This Row],[Pipeline_Amount_USD]]</f>
        <v>59198.100000000006</v>
      </c>
      <c r="O3006" t="str">
        <f>_xlfn.XLOOKUP(Pipeline_tbl[[#This Row],[Rep_ID]],Dim_Reps!A:A,Dim_Reps!B:B)</f>
        <v>Ben Silva</v>
      </c>
      <c r="P3006" t="str">
        <f>_xlfn.XLOOKUP(Pipeline_tbl[[#This Row],[Rep_ID]],Dim_Reps!A:A,Dim_Reps!C:C)</f>
        <v>SDR / Inside Sales Rep</v>
      </c>
      <c r="Q3006" t="str">
        <f>_xlfn.XLOOKUP(Pipeline_tbl[[#This Row],[Rep_ID]],Dim_Reps!A:A,Dim_Reps!D:D)</f>
        <v>Inside Sales</v>
      </c>
      <c r="R3006" t="str">
        <f>_xlfn.XLOOKUP(Pipeline_tbl[[#This Row],[Rep_ID]],Dim_Reps!A:A,Dim_Reps!E:E)</f>
        <v>LATAM</v>
      </c>
      <c r="S3006" t="str">
        <f>_xlfn.XLOOKUP(Pipeline_tbl[[#This Row],[Created_Date]],Dim_Date!A:A,Dim_Date!H:H)</f>
        <v>Mar 2024</v>
      </c>
      <c r="T3006" t="str">
        <f>IF(Pipeline_tbl[[#This Row],[Closed_Date]]=0,"",(_xlfn.XLOOKUP(Pipeline_tbl[[#This Row],[Closed_Date]],Dim_Date!A:A,Dim_Date!H:H)))</f>
        <v>Apr 2024</v>
      </c>
      <c r="U3006">
        <f>IF(Pipeline_tbl[[#This Row],[Closed_Date]]=0,"",Pipeline_tbl[[#This Row],[Closed_Date]]-Pipeline_tbl[[#This Row],[Created_Date]])</f>
        <v>17</v>
      </c>
    </row>
    <row r="3007" spans="1:21" ht="15" customHeight="1" x14ac:dyDescent="0.2">
      <c r="A3007" t="s">
        <v>3313</v>
      </c>
      <c r="B3007" t="s">
        <v>231</v>
      </c>
      <c r="C3007" t="s">
        <v>55</v>
      </c>
      <c r="D3007" s="49">
        <v>45377</v>
      </c>
      <c r="E3007" s="49">
        <v>45379</v>
      </c>
      <c r="F3007" s="49">
        <v>45382</v>
      </c>
      <c r="G3007" s="49">
        <v>45388</v>
      </c>
      <c r="H3007" s="49">
        <v>45392</v>
      </c>
      <c r="I3007" s="49">
        <v>45395</v>
      </c>
      <c r="J3007" t="s">
        <v>49</v>
      </c>
      <c r="K3007" s="33">
        <v>5600</v>
      </c>
      <c r="L3007" t="s">
        <v>60</v>
      </c>
      <c r="M3007" t="str">
        <f>_xlfn.XLOOKUP(Pipeline_tbl[[#This Row],[Rep_ID]],Dim_Reps!A:A,Dim_Reps!K:K)</f>
        <v>MXN</v>
      </c>
      <c r="N3007" s="33">
        <f>(_xlfn.XLOOKUP(Pipeline_tbl[[#This Row],[Rate_Code_Generalized]],Lookups!A:A,Lookups!B:B))*Pipeline_tbl[[#This Row],[Pipeline_Amount_USD]]</f>
        <v>110503.12000000001</v>
      </c>
      <c r="O3007" t="str">
        <f>_xlfn.XLOOKUP(Pipeline_tbl[[#This Row],[Rep_ID]],Dim_Reps!A:A,Dim_Reps!B:B)</f>
        <v>Ben Silva</v>
      </c>
      <c r="P3007" t="str">
        <f>_xlfn.XLOOKUP(Pipeline_tbl[[#This Row],[Rep_ID]],Dim_Reps!A:A,Dim_Reps!C:C)</f>
        <v>SDR / Inside Sales Rep</v>
      </c>
      <c r="Q3007" t="str">
        <f>_xlfn.XLOOKUP(Pipeline_tbl[[#This Row],[Rep_ID]],Dim_Reps!A:A,Dim_Reps!D:D)</f>
        <v>Inside Sales</v>
      </c>
      <c r="R3007" t="str">
        <f>_xlfn.XLOOKUP(Pipeline_tbl[[#This Row],[Rep_ID]],Dim_Reps!A:A,Dim_Reps!E:E)</f>
        <v>LATAM</v>
      </c>
      <c r="S3007" t="str">
        <f>_xlfn.XLOOKUP(Pipeline_tbl[[#This Row],[Created_Date]],Dim_Date!A:A,Dim_Date!H:H)</f>
        <v>Mar 2024</v>
      </c>
      <c r="T3007" t="str">
        <f>IF(Pipeline_tbl[[#This Row],[Closed_Date]]=0,"",(_xlfn.XLOOKUP(Pipeline_tbl[[#This Row],[Closed_Date]],Dim_Date!A:A,Dim_Date!H:H)))</f>
        <v>Apr 2024</v>
      </c>
      <c r="U3007">
        <f>IF(Pipeline_tbl[[#This Row],[Closed_Date]]=0,"",Pipeline_tbl[[#This Row],[Closed_Date]]-Pipeline_tbl[[#This Row],[Created_Date]])</f>
        <v>18</v>
      </c>
    </row>
    <row r="3008" spans="1:21" ht="15" customHeight="1" x14ac:dyDescent="0.2">
      <c r="A3008" t="s">
        <v>3314</v>
      </c>
      <c r="B3008" t="s">
        <v>231</v>
      </c>
      <c r="C3008" t="s">
        <v>52</v>
      </c>
      <c r="D3008" s="49">
        <v>45381</v>
      </c>
      <c r="E3008" s="49">
        <v>45382</v>
      </c>
      <c r="F3008" s="49">
        <v>45384</v>
      </c>
      <c r="G3008" s="49">
        <v>45388</v>
      </c>
      <c r="H3008" s="49">
        <v>45390</v>
      </c>
      <c r="I3008" s="49">
        <v>45392</v>
      </c>
      <c r="J3008" t="s">
        <v>47</v>
      </c>
      <c r="K3008" s="33">
        <v>3500</v>
      </c>
      <c r="M3008" t="str">
        <f>_xlfn.XLOOKUP(Pipeline_tbl[[#This Row],[Rep_ID]],Dim_Reps!A:A,Dim_Reps!K:K)</f>
        <v>MXN</v>
      </c>
      <c r="N3008" s="33">
        <f>(_xlfn.XLOOKUP(Pipeline_tbl[[#This Row],[Rate_Code_Generalized]],Lookups!A:A,Lookups!B:B))*Pipeline_tbl[[#This Row],[Pipeline_Amount_USD]]</f>
        <v>69064.45</v>
      </c>
      <c r="O3008" t="str">
        <f>_xlfn.XLOOKUP(Pipeline_tbl[[#This Row],[Rep_ID]],Dim_Reps!A:A,Dim_Reps!B:B)</f>
        <v>Ben Silva</v>
      </c>
      <c r="P3008" t="str">
        <f>_xlfn.XLOOKUP(Pipeline_tbl[[#This Row],[Rep_ID]],Dim_Reps!A:A,Dim_Reps!C:C)</f>
        <v>SDR / Inside Sales Rep</v>
      </c>
      <c r="Q3008" t="str">
        <f>_xlfn.XLOOKUP(Pipeline_tbl[[#This Row],[Rep_ID]],Dim_Reps!A:A,Dim_Reps!D:D)</f>
        <v>Inside Sales</v>
      </c>
      <c r="R3008" t="str">
        <f>_xlfn.XLOOKUP(Pipeline_tbl[[#This Row],[Rep_ID]],Dim_Reps!A:A,Dim_Reps!E:E)</f>
        <v>LATAM</v>
      </c>
      <c r="S3008" t="str">
        <f>_xlfn.XLOOKUP(Pipeline_tbl[[#This Row],[Created_Date]],Dim_Date!A:A,Dim_Date!H:H)</f>
        <v>Mar 2024</v>
      </c>
      <c r="T3008" t="str">
        <f>IF(Pipeline_tbl[[#This Row],[Closed_Date]]=0,"",(_xlfn.XLOOKUP(Pipeline_tbl[[#This Row],[Closed_Date]],Dim_Date!A:A,Dim_Date!H:H)))</f>
        <v>Apr 2024</v>
      </c>
      <c r="U3008">
        <f>IF(Pipeline_tbl[[#This Row],[Closed_Date]]=0,"",Pipeline_tbl[[#This Row],[Closed_Date]]-Pipeline_tbl[[#This Row],[Created_Date]])</f>
        <v>11</v>
      </c>
    </row>
    <row r="3009" spans="1:21" ht="15" customHeight="1" x14ac:dyDescent="0.2">
      <c r="A3009" t="s">
        <v>3315</v>
      </c>
      <c r="B3009" t="s">
        <v>231</v>
      </c>
      <c r="C3009" t="s">
        <v>52</v>
      </c>
      <c r="D3009" s="49">
        <v>45374</v>
      </c>
      <c r="E3009" s="49">
        <v>45376</v>
      </c>
      <c r="F3009" s="49">
        <v>45379</v>
      </c>
      <c r="G3009" s="49">
        <v>45384</v>
      </c>
      <c r="H3009" s="49">
        <v>45388</v>
      </c>
      <c r="I3009" s="49">
        <v>45391</v>
      </c>
      <c r="J3009" t="s">
        <v>47</v>
      </c>
      <c r="K3009" s="33">
        <v>1800</v>
      </c>
      <c r="M3009" t="str">
        <f>_xlfn.XLOOKUP(Pipeline_tbl[[#This Row],[Rep_ID]],Dim_Reps!A:A,Dim_Reps!K:K)</f>
        <v>MXN</v>
      </c>
      <c r="N3009" s="33">
        <f>(_xlfn.XLOOKUP(Pipeline_tbl[[#This Row],[Rate_Code_Generalized]],Lookups!A:A,Lookups!B:B))*Pipeline_tbl[[#This Row],[Pipeline_Amount_USD]]</f>
        <v>35518.86</v>
      </c>
      <c r="O3009" t="str">
        <f>_xlfn.XLOOKUP(Pipeline_tbl[[#This Row],[Rep_ID]],Dim_Reps!A:A,Dim_Reps!B:B)</f>
        <v>Ben Silva</v>
      </c>
      <c r="P3009" t="str">
        <f>_xlfn.XLOOKUP(Pipeline_tbl[[#This Row],[Rep_ID]],Dim_Reps!A:A,Dim_Reps!C:C)</f>
        <v>SDR / Inside Sales Rep</v>
      </c>
      <c r="Q3009" t="str">
        <f>_xlfn.XLOOKUP(Pipeline_tbl[[#This Row],[Rep_ID]],Dim_Reps!A:A,Dim_Reps!D:D)</f>
        <v>Inside Sales</v>
      </c>
      <c r="R3009" t="str">
        <f>_xlfn.XLOOKUP(Pipeline_tbl[[#This Row],[Rep_ID]],Dim_Reps!A:A,Dim_Reps!E:E)</f>
        <v>LATAM</v>
      </c>
      <c r="S3009" t="str">
        <f>_xlfn.XLOOKUP(Pipeline_tbl[[#This Row],[Created_Date]],Dim_Date!A:A,Dim_Date!H:H)</f>
        <v>Mar 2024</v>
      </c>
      <c r="T3009" t="str">
        <f>IF(Pipeline_tbl[[#This Row],[Closed_Date]]=0,"",(_xlfn.XLOOKUP(Pipeline_tbl[[#This Row],[Closed_Date]],Dim_Date!A:A,Dim_Date!H:H)))</f>
        <v>Apr 2024</v>
      </c>
      <c r="U3009">
        <f>IF(Pipeline_tbl[[#This Row],[Closed_Date]]=0,"",Pipeline_tbl[[#This Row],[Closed_Date]]-Pipeline_tbl[[#This Row],[Created_Date]])</f>
        <v>17</v>
      </c>
    </row>
    <row r="3010" spans="1:21" ht="15" customHeight="1" x14ac:dyDescent="0.2">
      <c r="A3010" t="s">
        <v>3316</v>
      </c>
      <c r="B3010" t="s">
        <v>263</v>
      </c>
      <c r="C3010" t="s">
        <v>53</v>
      </c>
      <c r="D3010" s="49">
        <v>45378</v>
      </c>
      <c r="E3010" s="49">
        <v>45380</v>
      </c>
      <c r="F3010" s="49">
        <v>45384</v>
      </c>
      <c r="G3010" s="49">
        <v>45389</v>
      </c>
      <c r="I3010" s="49">
        <v>45397</v>
      </c>
      <c r="J3010" t="s">
        <v>49</v>
      </c>
      <c r="K3010" s="33">
        <v>13900</v>
      </c>
      <c r="L3010" t="s">
        <v>61</v>
      </c>
      <c r="M3010" t="str">
        <f>_xlfn.XLOOKUP(Pipeline_tbl[[#This Row],[Rep_ID]],Dim_Reps!A:A,Dim_Reps!K:K)</f>
        <v>USD</v>
      </c>
      <c r="N3010" s="33">
        <f>(_xlfn.XLOOKUP(Pipeline_tbl[[#This Row],[Rate_Code_Generalized]],Lookups!A:A,Lookups!B:B))*Pipeline_tbl[[#This Row],[Pipeline_Amount_USD]]</f>
        <v>16183.769999999999</v>
      </c>
      <c r="O3010" t="str">
        <f>_xlfn.XLOOKUP(Pipeline_tbl[[#This Row],[Rep_ID]],Dim_Reps!A:A,Dim_Reps!B:B)</f>
        <v>Morgan Weber</v>
      </c>
      <c r="P3010" t="str">
        <f>_xlfn.XLOOKUP(Pipeline_tbl[[#This Row],[Rep_ID]],Dim_Reps!A:A,Dim_Reps!C:C)</f>
        <v>Mid-Market AE</v>
      </c>
      <c r="Q3010" t="str">
        <f>_xlfn.XLOOKUP(Pipeline_tbl[[#This Row],[Rep_ID]],Dim_Reps!A:A,Dim_Reps!D:D)</f>
        <v>Mid-Market</v>
      </c>
      <c r="R3010" t="str">
        <f>_xlfn.XLOOKUP(Pipeline_tbl[[#This Row],[Rep_ID]],Dim_Reps!A:A,Dim_Reps!E:E)</f>
        <v>NAMER</v>
      </c>
      <c r="S3010" t="str">
        <f>_xlfn.XLOOKUP(Pipeline_tbl[[#This Row],[Created_Date]],Dim_Date!A:A,Dim_Date!H:H)</f>
        <v>Mar 2024</v>
      </c>
      <c r="T3010" t="str">
        <f>IF(Pipeline_tbl[[#This Row],[Closed_Date]]=0,"",(_xlfn.XLOOKUP(Pipeline_tbl[[#This Row],[Closed_Date]],Dim_Date!A:A,Dim_Date!H:H)))</f>
        <v>Apr 2024</v>
      </c>
      <c r="U3010">
        <f>IF(Pipeline_tbl[[#This Row],[Closed_Date]]=0,"",Pipeline_tbl[[#This Row],[Closed_Date]]-Pipeline_tbl[[#This Row],[Created_Date]])</f>
        <v>19</v>
      </c>
    </row>
    <row r="3011" spans="1:21" ht="15" customHeight="1" x14ac:dyDescent="0.2">
      <c r="A3011" t="s">
        <v>3317</v>
      </c>
      <c r="B3011" t="s">
        <v>265</v>
      </c>
      <c r="C3011" t="s">
        <v>54</v>
      </c>
      <c r="D3011" s="49">
        <v>45364</v>
      </c>
      <c r="E3011" s="49">
        <v>45368</v>
      </c>
      <c r="F3011" s="49">
        <v>45376</v>
      </c>
      <c r="G3011" s="49">
        <v>45388</v>
      </c>
      <c r="H3011" s="49">
        <v>45398</v>
      </c>
      <c r="I3011" s="49">
        <v>45404</v>
      </c>
      <c r="J3011" t="s">
        <v>47</v>
      </c>
      <c r="K3011" s="33">
        <v>16100</v>
      </c>
      <c r="M3011" t="str">
        <f>_xlfn.XLOOKUP(Pipeline_tbl[[#This Row],[Rep_ID]],Dim_Reps!A:A,Dim_Reps!K:K)</f>
        <v>EUR</v>
      </c>
      <c r="N3011" s="33">
        <f>(_xlfn.XLOOKUP(Pipeline_tbl[[#This Row],[Rate_Code_Generalized]],Lookups!A:A,Lookups!B:B))*Pipeline_tbl[[#This Row],[Pipeline_Amount_USD]]</f>
        <v>16100</v>
      </c>
      <c r="O3011" t="str">
        <f>_xlfn.XLOOKUP(Pipeline_tbl[[#This Row],[Rep_ID]],Dim_Reps!A:A,Dim_Reps!B:B)</f>
        <v>Erik Duarte</v>
      </c>
      <c r="P3011" t="str">
        <f>_xlfn.XLOOKUP(Pipeline_tbl[[#This Row],[Rep_ID]],Dim_Reps!A:A,Dim_Reps!C:C)</f>
        <v>Mid-Market AE</v>
      </c>
      <c r="Q3011" t="str">
        <f>_xlfn.XLOOKUP(Pipeline_tbl[[#This Row],[Rep_ID]],Dim_Reps!A:A,Dim_Reps!D:D)</f>
        <v>Mid-Market</v>
      </c>
      <c r="R3011" t="str">
        <f>_xlfn.XLOOKUP(Pipeline_tbl[[#This Row],[Rep_ID]],Dim_Reps!A:A,Dim_Reps!E:E)</f>
        <v>EMEA</v>
      </c>
      <c r="S3011" t="str">
        <f>_xlfn.XLOOKUP(Pipeline_tbl[[#This Row],[Created_Date]],Dim_Date!A:A,Dim_Date!H:H)</f>
        <v>Mar 2024</v>
      </c>
      <c r="T3011" t="str">
        <f>IF(Pipeline_tbl[[#This Row],[Closed_Date]]=0,"",(_xlfn.XLOOKUP(Pipeline_tbl[[#This Row],[Closed_Date]],Dim_Date!A:A,Dim_Date!H:H)))</f>
        <v>Apr 2024</v>
      </c>
      <c r="U3011">
        <f>IF(Pipeline_tbl[[#This Row],[Closed_Date]]=0,"",Pipeline_tbl[[#This Row],[Closed_Date]]-Pipeline_tbl[[#This Row],[Created_Date]])</f>
        <v>40</v>
      </c>
    </row>
    <row r="3012" spans="1:21" ht="15" customHeight="1" x14ac:dyDescent="0.2">
      <c r="A3012" t="s">
        <v>3318</v>
      </c>
      <c r="B3012" t="s">
        <v>265</v>
      </c>
      <c r="C3012" t="s">
        <v>52</v>
      </c>
      <c r="D3012" s="49">
        <v>45363</v>
      </c>
      <c r="E3012" s="49">
        <v>45367</v>
      </c>
      <c r="F3012" s="49">
        <v>45376</v>
      </c>
      <c r="G3012" s="49">
        <v>45389</v>
      </c>
      <c r="H3012" s="49">
        <v>45400</v>
      </c>
      <c r="I3012" s="49">
        <v>45406</v>
      </c>
      <c r="J3012" t="s">
        <v>49</v>
      </c>
      <c r="K3012" s="33">
        <v>15200</v>
      </c>
      <c r="L3012" t="s">
        <v>64</v>
      </c>
      <c r="M3012" t="str">
        <f>_xlfn.XLOOKUP(Pipeline_tbl[[#This Row],[Rep_ID]],Dim_Reps!A:A,Dim_Reps!K:K)</f>
        <v>EUR</v>
      </c>
      <c r="N3012" s="33">
        <f>(_xlfn.XLOOKUP(Pipeline_tbl[[#This Row],[Rate_Code_Generalized]],Lookups!A:A,Lookups!B:B))*Pipeline_tbl[[#This Row],[Pipeline_Amount_USD]]</f>
        <v>15200</v>
      </c>
      <c r="O3012" t="str">
        <f>_xlfn.XLOOKUP(Pipeline_tbl[[#This Row],[Rep_ID]],Dim_Reps!A:A,Dim_Reps!B:B)</f>
        <v>Erik Duarte</v>
      </c>
      <c r="P3012" t="str">
        <f>_xlfn.XLOOKUP(Pipeline_tbl[[#This Row],[Rep_ID]],Dim_Reps!A:A,Dim_Reps!C:C)</f>
        <v>Mid-Market AE</v>
      </c>
      <c r="Q3012" t="str">
        <f>_xlfn.XLOOKUP(Pipeline_tbl[[#This Row],[Rep_ID]],Dim_Reps!A:A,Dim_Reps!D:D)</f>
        <v>Mid-Market</v>
      </c>
      <c r="R3012" t="str">
        <f>_xlfn.XLOOKUP(Pipeline_tbl[[#This Row],[Rep_ID]],Dim_Reps!A:A,Dim_Reps!E:E)</f>
        <v>EMEA</v>
      </c>
      <c r="S3012" t="str">
        <f>_xlfn.XLOOKUP(Pipeline_tbl[[#This Row],[Created_Date]],Dim_Date!A:A,Dim_Date!H:H)</f>
        <v>Mar 2024</v>
      </c>
      <c r="T3012" t="str">
        <f>IF(Pipeline_tbl[[#This Row],[Closed_Date]]=0,"",(_xlfn.XLOOKUP(Pipeline_tbl[[#This Row],[Closed_Date]],Dim_Date!A:A,Dim_Date!H:H)))</f>
        <v>Apr 2024</v>
      </c>
      <c r="U3012">
        <f>IF(Pipeline_tbl[[#This Row],[Closed_Date]]=0,"",Pipeline_tbl[[#This Row],[Closed_Date]]-Pipeline_tbl[[#This Row],[Created_Date]])</f>
        <v>43</v>
      </c>
    </row>
    <row r="3013" spans="1:21" ht="15" customHeight="1" x14ac:dyDescent="0.2">
      <c r="A3013" t="s">
        <v>3319</v>
      </c>
      <c r="B3013" t="s">
        <v>265</v>
      </c>
      <c r="C3013" t="s">
        <v>53</v>
      </c>
      <c r="D3013" s="49">
        <v>45381</v>
      </c>
      <c r="E3013" s="49">
        <v>45383</v>
      </c>
      <c r="F3013" s="49">
        <v>45386</v>
      </c>
      <c r="G3013" s="49">
        <v>45391</v>
      </c>
      <c r="H3013" s="49">
        <v>45395</v>
      </c>
      <c r="I3013" s="49">
        <v>45397</v>
      </c>
      <c r="J3013" t="s">
        <v>49</v>
      </c>
      <c r="K3013" s="33">
        <v>16100</v>
      </c>
      <c r="L3013" t="s">
        <v>61</v>
      </c>
      <c r="M3013" t="str">
        <f>_xlfn.XLOOKUP(Pipeline_tbl[[#This Row],[Rep_ID]],Dim_Reps!A:A,Dim_Reps!K:K)</f>
        <v>EUR</v>
      </c>
      <c r="N3013" s="33">
        <f>(_xlfn.XLOOKUP(Pipeline_tbl[[#This Row],[Rate_Code_Generalized]],Lookups!A:A,Lookups!B:B))*Pipeline_tbl[[#This Row],[Pipeline_Amount_USD]]</f>
        <v>16100</v>
      </c>
      <c r="O3013" t="str">
        <f>_xlfn.XLOOKUP(Pipeline_tbl[[#This Row],[Rep_ID]],Dim_Reps!A:A,Dim_Reps!B:B)</f>
        <v>Erik Duarte</v>
      </c>
      <c r="P3013" t="str">
        <f>_xlfn.XLOOKUP(Pipeline_tbl[[#This Row],[Rep_ID]],Dim_Reps!A:A,Dim_Reps!C:C)</f>
        <v>Mid-Market AE</v>
      </c>
      <c r="Q3013" t="str">
        <f>_xlfn.XLOOKUP(Pipeline_tbl[[#This Row],[Rep_ID]],Dim_Reps!A:A,Dim_Reps!D:D)</f>
        <v>Mid-Market</v>
      </c>
      <c r="R3013" t="str">
        <f>_xlfn.XLOOKUP(Pipeline_tbl[[#This Row],[Rep_ID]],Dim_Reps!A:A,Dim_Reps!E:E)</f>
        <v>EMEA</v>
      </c>
      <c r="S3013" t="str">
        <f>_xlfn.XLOOKUP(Pipeline_tbl[[#This Row],[Created_Date]],Dim_Date!A:A,Dim_Date!H:H)</f>
        <v>Mar 2024</v>
      </c>
      <c r="T3013" t="str">
        <f>IF(Pipeline_tbl[[#This Row],[Closed_Date]]=0,"",(_xlfn.XLOOKUP(Pipeline_tbl[[#This Row],[Closed_Date]],Dim_Date!A:A,Dim_Date!H:H)))</f>
        <v>Apr 2024</v>
      </c>
      <c r="U3013">
        <f>IF(Pipeline_tbl[[#This Row],[Closed_Date]]=0,"",Pipeline_tbl[[#This Row],[Closed_Date]]-Pipeline_tbl[[#This Row],[Created_Date]])</f>
        <v>16</v>
      </c>
    </row>
    <row r="3014" spans="1:21" ht="15" customHeight="1" x14ac:dyDescent="0.2">
      <c r="A3014" t="s">
        <v>3320</v>
      </c>
      <c r="B3014" t="s">
        <v>265</v>
      </c>
      <c r="C3014" t="s">
        <v>52</v>
      </c>
      <c r="D3014" s="49">
        <v>45378</v>
      </c>
      <c r="E3014" s="49">
        <v>45381</v>
      </c>
      <c r="F3014" s="49">
        <v>45388</v>
      </c>
      <c r="G3014" s="49">
        <v>45398</v>
      </c>
      <c r="H3014" s="49">
        <v>45407</v>
      </c>
      <c r="I3014" s="49">
        <v>45412</v>
      </c>
      <c r="J3014" t="s">
        <v>47</v>
      </c>
      <c r="K3014" s="33">
        <v>20000</v>
      </c>
      <c r="M3014" t="str">
        <f>_xlfn.XLOOKUP(Pipeline_tbl[[#This Row],[Rep_ID]],Dim_Reps!A:A,Dim_Reps!K:K)</f>
        <v>EUR</v>
      </c>
      <c r="N3014" s="33">
        <f>(_xlfn.XLOOKUP(Pipeline_tbl[[#This Row],[Rate_Code_Generalized]],Lookups!A:A,Lookups!B:B))*Pipeline_tbl[[#This Row],[Pipeline_Amount_USD]]</f>
        <v>20000</v>
      </c>
      <c r="O3014" t="str">
        <f>_xlfn.XLOOKUP(Pipeline_tbl[[#This Row],[Rep_ID]],Dim_Reps!A:A,Dim_Reps!B:B)</f>
        <v>Erik Duarte</v>
      </c>
      <c r="P3014" t="str">
        <f>_xlfn.XLOOKUP(Pipeline_tbl[[#This Row],[Rep_ID]],Dim_Reps!A:A,Dim_Reps!C:C)</f>
        <v>Mid-Market AE</v>
      </c>
      <c r="Q3014" t="str">
        <f>_xlfn.XLOOKUP(Pipeline_tbl[[#This Row],[Rep_ID]],Dim_Reps!A:A,Dim_Reps!D:D)</f>
        <v>Mid-Market</v>
      </c>
      <c r="R3014" t="str">
        <f>_xlfn.XLOOKUP(Pipeline_tbl[[#This Row],[Rep_ID]],Dim_Reps!A:A,Dim_Reps!E:E)</f>
        <v>EMEA</v>
      </c>
      <c r="S3014" t="str">
        <f>_xlfn.XLOOKUP(Pipeline_tbl[[#This Row],[Created_Date]],Dim_Date!A:A,Dim_Date!H:H)</f>
        <v>Mar 2024</v>
      </c>
      <c r="T3014" t="str">
        <f>IF(Pipeline_tbl[[#This Row],[Closed_Date]]=0,"",(_xlfn.XLOOKUP(Pipeline_tbl[[#This Row],[Closed_Date]],Dim_Date!A:A,Dim_Date!H:H)))</f>
        <v>Apr 2024</v>
      </c>
      <c r="U3014">
        <f>IF(Pipeline_tbl[[#This Row],[Closed_Date]]=0,"",Pipeline_tbl[[#This Row],[Closed_Date]]-Pipeline_tbl[[#This Row],[Created_Date]])</f>
        <v>34</v>
      </c>
    </row>
    <row r="3015" spans="1:21" ht="15" customHeight="1" x14ac:dyDescent="0.2">
      <c r="A3015" t="s">
        <v>3321</v>
      </c>
      <c r="B3015" t="s">
        <v>265</v>
      </c>
      <c r="C3015" t="s">
        <v>52</v>
      </c>
      <c r="D3015" s="49">
        <v>45357</v>
      </c>
      <c r="E3015" s="49">
        <v>45360</v>
      </c>
      <c r="I3015" s="49">
        <v>45391</v>
      </c>
      <c r="J3015" t="s">
        <v>49</v>
      </c>
      <c r="K3015" s="33">
        <v>39100</v>
      </c>
      <c r="L3015" t="s">
        <v>60</v>
      </c>
      <c r="M3015" t="str">
        <f>_xlfn.XLOOKUP(Pipeline_tbl[[#This Row],[Rep_ID]],Dim_Reps!A:A,Dim_Reps!K:K)</f>
        <v>EUR</v>
      </c>
      <c r="N3015" s="33">
        <f>(_xlfn.XLOOKUP(Pipeline_tbl[[#This Row],[Rate_Code_Generalized]],Lookups!A:A,Lookups!B:B))*Pipeline_tbl[[#This Row],[Pipeline_Amount_USD]]</f>
        <v>39100</v>
      </c>
      <c r="O3015" t="str">
        <f>_xlfn.XLOOKUP(Pipeline_tbl[[#This Row],[Rep_ID]],Dim_Reps!A:A,Dim_Reps!B:B)</f>
        <v>Erik Duarte</v>
      </c>
      <c r="P3015" t="str">
        <f>_xlfn.XLOOKUP(Pipeline_tbl[[#This Row],[Rep_ID]],Dim_Reps!A:A,Dim_Reps!C:C)</f>
        <v>Mid-Market AE</v>
      </c>
      <c r="Q3015" t="str">
        <f>_xlfn.XLOOKUP(Pipeline_tbl[[#This Row],[Rep_ID]],Dim_Reps!A:A,Dim_Reps!D:D)</f>
        <v>Mid-Market</v>
      </c>
      <c r="R3015" t="str">
        <f>_xlfn.XLOOKUP(Pipeline_tbl[[#This Row],[Rep_ID]],Dim_Reps!A:A,Dim_Reps!E:E)</f>
        <v>EMEA</v>
      </c>
      <c r="S3015" t="str">
        <f>_xlfn.XLOOKUP(Pipeline_tbl[[#This Row],[Created_Date]],Dim_Date!A:A,Dim_Date!H:H)</f>
        <v>Mar 2024</v>
      </c>
      <c r="T3015" t="str">
        <f>IF(Pipeline_tbl[[#This Row],[Closed_Date]]=0,"",(_xlfn.XLOOKUP(Pipeline_tbl[[#This Row],[Closed_Date]],Dim_Date!A:A,Dim_Date!H:H)))</f>
        <v>Apr 2024</v>
      </c>
      <c r="U3015">
        <f>IF(Pipeline_tbl[[#This Row],[Closed_Date]]=0,"",Pipeline_tbl[[#This Row],[Closed_Date]]-Pipeline_tbl[[#This Row],[Created_Date]])</f>
        <v>34</v>
      </c>
    </row>
    <row r="3016" spans="1:21" ht="15" customHeight="1" x14ac:dyDescent="0.2">
      <c r="A3016" t="s">
        <v>3322</v>
      </c>
      <c r="B3016" t="s">
        <v>265</v>
      </c>
      <c r="C3016" t="s">
        <v>53</v>
      </c>
      <c r="D3016" s="49">
        <v>45357</v>
      </c>
      <c r="E3016" s="49">
        <v>45360</v>
      </c>
      <c r="I3016" s="49">
        <v>45383</v>
      </c>
      <c r="J3016" t="s">
        <v>49</v>
      </c>
      <c r="K3016" s="33">
        <v>14900</v>
      </c>
      <c r="L3016" t="s">
        <v>62</v>
      </c>
      <c r="M3016" t="str">
        <f>_xlfn.XLOOKUP(Pipeline_tbl[[#This Row],[Rep_ID]],Dim_Reps!A:A,Dim_Reps!K:K)</f>
        <v>EUR</v>
      </c>
      <c r="N3016" s="33">
        <f>(_xlfn.XLOOKUP(Pipeline_tbl[[#This Row],[Rate_Code_Generalized]],Lookups!A:A,Lookups!B:B))*Pipeline_tbl[[#This Row],[Pipeline_Amount_USD]]</f>
        <v>14900</v>
      </c>
      <c r="O3016" t="str">
        <f>_xlfn.XLOOKUP(Pipeline_tbl[[#This Row],[Rep_ID]],Dim_Reps!A:A,Dim_Reps!B:B)</f>
        <v>Erik Duarte</v>
      </c>
      <c r="P3016" t="str">
        <f>_xlfn.XLOOKUP(Pipeline_tbl[[#This Row],[Rep_ID]],Dim_Reps!A:A,Dim_Reps!C:C)</f>
        <v>Mid-Market AE</v>
      </c>
      <c r="Q3016" t="str">
        <f>_xlfn.XLOOKUP(Pipeline_tbl[[#This Row],[Rep_ID]],Dim_Reps!A:A,Dim_Reps!D:D)</f>
        <v>Mid-Market</v>
      </c>
      <c r="R3016" t="str">
        <f>_xlfn.XLOOKUP(Pipeline_tbl[[#This Row],[Rep_ID]],Dim_Reps!A:A,Dim_Reps!E:E)</f>
        <v>EMEA</v>
      </c>
      <c r="S3016" t="str">
        <f>_xlfn.XLOOKUP(Pipeline_tbl[[#This Row],[Created_Date]],Dim_Date!A:A,Dim_Date!H:H)</f>
        <v>Mar 2024</v>
      </c>
      <c r="T3016" t="str">
        <f>IF(Pipeline_tbl[[#This Row],[Closed_Date]]=0,"",(_xlfn.XLOOKUP(Pipeline_tbl[[#This Row],[Closed_Date]],Dim_Date!A:A,Dim_Date!H:H)))</f>
        <v>Apr 2024</v>
      </c>
      <c r="U3016">
        <f>IF(Pipeline_tbl[[#This Row],[Closed_Date]]=0,"",Pipeline_tbl[[#This Row],[Closed_Date]]-Pipeline_tbl[[#This Row],[Created_Date]])</f>
        <v>26</v>
      </c>
    </row>
    <row r="3017" spans="1:21" ht="15" customHeight="1" x14ac:dyDescent="0.2">
      <c r="A3017" t="s">
        <v>3323</v>
      </c>
      <c r="B3017" t="s">
        <v>233</v>
      </c>
      <c r="C3017" t="s">
        <v>54</v>
      </c>
      <c r="D3017" s="49">
        <v>45375</v>
      </c>
      <c r="E3017" s="49">
        <v>45377</v>
      </c>
      <c r="F3017" s="49">
        <v>45380</v>
      </c>
      <c r="G3017" s="49">
        <v>45385</v>
      </c>
      <c r="H3017" s="49">
        <v>45389</v>
      </c>
      <c r="I3017" s="49">
        <v>45391</v>
      </c>
      <c r="J3017" t="s">
        <v>47</v>
      </c>
      <c r="K3017" s="33">
        <v>2800</v>
      </c>
      <c r="M3017" t="str">
        <f>_xlfn.XLOOKUP(Pipeline_tbl[[#This Row],[Rep_ID]],Dim_Reps!A:A,Dim_Reps!K:K)</f>
        <v>MXN</v>
      </c>
      <c r="N3017" s="33">
        <f>(_xlfn.XLOOKUP(Pipeline_tbl[[#This Row],[Rate_Code_Generalized]],Lookups!A:A,Lookups!B:B))*Pipeline_tbl[[#This Row],[Pipeline_Amount_USD]]</f>
        <v>55251.560000000005</v>
      </c>
      <c r="O3017" t="str">
        <f>_xlfn.XLOOKUP(Pipeline_tbl[[#This Row],[Rep_ID]],Dim_Reps!A:A,Dim_Reps!B:B)</f>
        <v>Lucas Duarte</v>
      </c>
      <c r="P3017" t="str">
        <f>_xlfn.XLOOKUP(Pipeline_tbl[[#This Row],[Rep_ID]],Dim_Reps!A:A,Dim_Reps!C:C)</f>
        <v>SDR / Inside Sales Rep</v>
      </c>
      <c r="Q3017" t="str">
        <f>_xlfn.XLOOKUP(Pipeline_tbl[[#This Row],[Rep_ID]],Dim_Reps!A:A,Dim_Reps!D:D)</f>
        <v>Inside Sales</v>
      </c>
      <c r="R3017" t="str">
        <f>_xlfn.XLOOKUP(Pipeline_tbl[[#This Row],[Rep_ID]],Dim_Reps!A:A,Dim_Reps!E:E)</f>
        <v>LATAM</v>
      </c>
      <c r="S3017" t="str">
        <f>_xlfn.XLOOKUP(Pipeline_tbl[[#This Row],[Created_Date]],Dim_Date!A:A,Dim_Date!H:H)</f>
        <v>Mar 2024</v>
      </c>
      <c r="T3017" t="str">
        <f>IF(Pipeline_tbl[[#This Row],[Closed_Date]]=0,"",(_xlfn.XLOOKUP(Pipeline_tbl[[#This Row],[Closed_Date]],Dim_Date!A:A,Dim_Date!H:H)))</f>
        <v>Apr 2024</v>
      </c>
      <c r="U3017">
        <f>IF(Pipeline_tbl[[#This Row],[Closed_Date]]=0,"",Pipeline_tbl[[#This Row],[Closed_Date]]-Pipeline_tbl[[#This Row],[Created_Date]])</f>
        <v>16</v>
      </c>
    </row>
    <row r="3018" spans="1:21" ht="15" customHeight="1" x14ac:dyDescent="0.2">
      <c r="A3018" t="s">
        <v>3324</v>
      </c>
      <c r="B3018" t="s">
        <v>233</v>
      </c>
      <c r="C3018" t="s">
        <v>52</v>
      </c>
      <c r="D3018" s="49">
        <v>45380</v>
      </c>
      <c r="E3018" s="49">
        <v>45381</v>
      </c>
      <c r="F3018" s="49">
        <v>45384</v>
      </c>
      <c r="I3018" s="49">
        <v>45392</v>
      </c>
      <c r="J3018" t="s">
        <v>49</v>
      </c>
      <c r="K3018" s="33">
        <v>2000</v>
      </c>
      <c r="L3018" t="s">
        <v>63</v>
      </c>
      <c r="M3018" t="str">
        <f>_xlfn.XLOOKUP(Pipeline_tbl[[#This Row],[Rep_ID]],Dim_Reps!A:A,Dim_Reps!K:K)</f>
        <v>MXN</v>
      </c>
      <c r="N3018" s="33">
        <f>(_xlfn.XLOOKUP(Pipeline_tbl[[#This Row],[Rate_Code_Generalized]],Lookups!A:A,Lookups!B:B))*Pipeline_tbl[[#This Row],[Pipeline_Amount_USD]]</f>
        <v>39465.4</v>
      </c>
      <c r="O3018" t="str">
        <f>_xlfn.XLOOKUP(Pipeline_tbl[[#This Row],[Rep_ID]],Dim_Reps!A:A,Dim_Reps!B:B)</f>
        <v>Lucas Duarte</v>
      </c>
      <c r="P3018" t="str">
        <f>_xlfn.XLOOKUP(Pipeline_tbl[[#This Row],[Rep_ID]],Dim_Reps!A:A,Dim_Reps!C:C)</f>
        <v>SDR / Inside Sales Rep</v>
      </c>
      <c r="Q3018" t="str">
        <f>_xlfn.XLOOKUP(Pipeline_tbl[[#This Row],[Rep_ID]],Dim_Reps!A:A,Dim_Reps!D:D)</f>
        <v>Inside Sales</v>
      </c>
      <c r="R3018" t="str">
        <f>_xlfn.XLOOKUP(Pipeline_tbl[[#This Row],[Rep_ID]],Dim_Reps!A:A,Dim_Reps!E:E)</f>
        <v>LATAM</v>
      </c>
      <c r="S3018" t="str">
        <f>_xlfn.XLOOKUP(Pipeline_tbl[[#This Row],[Created_Date]],Dim_Date!A:A,Dim_Date!H:H)</f>
        <v>Mar 2024</v>
      </c>
      <c r="T3018" t="str">
        <f>IF(Pipeline_tbl[[#This Row],[Closed_Date]]=0,"",(_xlfn.XLOOKUP(Pipeline_tbl[[#This Row],[Closed_Date]],Dim_Date!A:A,Dim_Date!H:H)))</f>
        <v>Apr 2024</v>
      </c>
      <c r="U3018">
        <f>IF(Pipeline_tbl[[#This Row],[Closed_Date]]=0,"",Pipeline_tbl[[#This Row],[Closed_Date]]-Pipeline_tbl[[#This Row],[Created_Date]])</f>
        <v>12</v>
      </c>
    </row>
    <row r="3019" spans="1:21" ht="15" customHeight="1" x14ac:dyDescent="0.2">
      <c r="A3019" t="s">
        <v>3325</v>
      </c>
      <c r="B3019" t="s">
        <v>233</v>
      </c>
      <c r="C3019" t="s">
        <v>54</v>
      </c>
      <c r="D3019" s="49">
        <v>45366</v>
      </c>
      <c r="E3019" s="49">
        <v>45368</v>
      </c>
      <c r="F3019" s="49">
        <v>45373</v>
      </c>
      <c r="G3019" s="49">
        <v>45380</v>
      </c>
      <c r="H3019" s="49">
        <v>45386</v>
      </c>
      <c r="I3019" s="49">
        <v>45389</v>
      </c>
      <c r="J3019" t="s">
        <v>47</v>
      </c>
      <c r="K3019" s="33">
        <v>2100</v>
      </c>
      <c r="M3019" t="str">
        <f>_xlfn.XLOOKUP(Pipeline_tbl[[#This Row],[Rep_ID]],Dim_Reps!A:A,Dim_Reps!K:K)</f>
        <v>MXN</v>
      </c>
      <c r="N3019" s="33">
        <f>(_xlfn.XLOOKUP(Pipeline_tbl[[#This Row],[Rate_Code_Generalized]],Lookups!A:A,Lookups!B:B))*Pipeline_tbl[[#This Row],[Pipeline_Amount_USD]]</f>
        <v>41438.670000000006</v>
      </c>
      <c r="O3019" t="str">
        <f>_xlfn.XLOOKUP(Pipeline_tbl[[#This Row],[Rep_ID]],Dim_Reps!A:A,Dim_Reps!B:B)</f>
        <v>Lucas Duarte</v>
      </c>
      <c r="P3019" t="str">
        <f>_xlfn.XLOOKUP(Pipeline_tbl[[#This Row],[Rep_ID]],Dim_Reps!A:A,Dim_Reps!C:C)</f>
        <v>SDR / Inside Sales Rep</v>
      </c>
      <c r="Q3019" t="str">
        <f>_xlfn.XLOOKUP(Pipeline_tbl[[#This Row],[Rep_ID]],Dim_Reps!A:A,Dim_Reps!D:D)</f>
        <v>Inside Sales</v>
      </c>
      <c r="R3019" t="str">
        <f>_xlfn.XLOOKUP(Pipeline_tbl[[#This Row],[Rep_ID]],Dim_Reps!A:A,Dim_Reps!E:E)</f>
        <v>LATAM</v>
      </c>
      <c r="S3019" t="str">
        <f>_xlfn.XLOOKUP(Pipeline_tbl[[#This Row],[Created_Date]],Dim_Date!A:A,Dim_Date!H:H)</f>
        <v>Mar 2024</v>
      </c>
      <c r="T3019" t="str">
        <f>IF(Pipeline_tbl[[#This Row],[Closed_Date]]=0,"",(_xlfn.XLOOKUP(Pipeline_tbl[[#This Row],[Closed_Date]],Dim_Date!A:A,Dim_Date!H:H)))</f>
        <v>Apr 2024</v>
      </c>
      <c r="U3019">
        <f>IF(Pipeline_tbl[[#This Row],[Closed_Date]]=0,"",Pipeline_tbl[[#This Row],[Closed_Date]]-Pipeline_tbl[[#This Row],[Created_Date]])</f>
        <v>23</v>
      </c>
    </row>
    <row r="3020" spans="1:21" ht="15" customHeight="1" x14ac:dyDescent="0.2">
      <c r="A3020" t="s">
        <v>3326</v>
      </c>
      <c r="B3020" t="s">
        <v>233</v>
      </c>
      <c r="C3020" t="s">
        <v>54</v>
      </c>
      <c r="D3020" s="49">
        <v>45374</v>
      </c>
      <c r="E3020" s="49">
        <v>45375</v>
      </c>
      <c r="F3020" s="49">
        <v>45377</v>
      </c>
      <c r="G3020" s="49">
        <v>45379</v>
      </c>
      <c r="I3020" s="49">
        <v>45383</v>
      </c>
      <c r="J3020" t="s">
        <v>49</v>
      </c>
      <c r="K3020" s="33">
        <v>3500</v>
      </c>
      <c r="L3020" t="s">
        <v>61</v>
      </c>
      <c r="M3020" t="str">
        <f>_xlfn.XLOOKUP(Pipeline_tbl[[#This Row],[Rep_ID]],Dim_Reps!A:A,Dim_Reps!K:K)</f>
        <v>MXN</v>
      </c>
      <c r="N3020" s="33">
        <f>(_xlfn.XLOOKUP(Pipeline_tbl[[#This Row],[Rate_Code_Generalized]],Lookups!A:A,Lookups!B:B))*Pipeline_tbl[[#This Row],[Pipeline_Amount_USD]]</f>
        <v>69064.45</v>
      </c>
      <c r="O3020" t="str">
        <f>_xlfn.XLOOKUP(Pipeline_tbl[[#This Row],[Rep_ID]],Dim_Reps!A:A,Dim_Reps!B:B)</f>
        <v>Lucas Duarte</v>
      </c>
      <c r="P3020" t="str">
        <f>_xlfn.XLOOKUP(Pipeline_tbl[[#This Row],[Rep_ID]],Dim_Reps!A:A,Dim_Reps!C:C)</f>
        <v>SDR / Inside Sales Rep</v>
      </c>
      <c r="Q3020" t="str">
        <f>_xlfn.XLOOKUP(Pipeline_tbl[[#This Row],[Rep_ID]],Dim_Reps!A:A,Dim_Reps!D:D)</f>
        <v>Inside Sales</v>
      </c>
      <c r="R3020" t="str">
        <f>_xlfn.XLOOKUP(Pipeline_tbl[[#This Row],[Rep_ID]],Dim_Reps!A:A,Dim_Reps!E:E)</f>
        <v>LATAM</v>
      </c>
      <c r="S3020" t="str">
        <f>_xlfn.XLOOKUP(Pipeline_tbl[[#This Row],[Created_Date]],Dim_Date!A:A,Dim_Date!H:H)</f>
        <v>Mar 2024</v>
      </c>
      <c r="T3020" t="str">
        <f>IF(Pipeline_tbl[[#This Row],[Closed_Date]]=0,"",(_xlfn.XLOOKUP(Pipeline_tbl[[#This Row],[Closed_Date]],Dim_Date!A:A,Dim_Date!H:H)))</f>
        <v>Apr 2024</v>
      </c>
      <c r="U3020">
        <f>IF(Pipeline_tbl[[#This Row],[Closed_Date]]=0,"",Pipeline_tbl[[#This Row],[Closed_Date]]-Pipeline_tbl[[#This Row],[Created_Date]])</f>
        <v>9</v>
      </c>
    </row>
    <row r="3021" spans="1:21" ht="15" customHeight="1" x14ac:dyDescent="0.2">
      <c r="A3021" t="s">
        <v>3327</v>
      </c>
      <c r="B3021" t="s">
        <v>233</v>
      </c>
      <c r="C3021" t="s">
        <v>52</v>
      </c>
      <c r="D3021" s="49">
        <v>45363</v>
      </c>
      <c r="E3021" s="49">
        <v>45365</v>
      </c>
      <c r="F3021" s="49">
        <v>45370</v>
      </c>
      <c r="I3021" s="49">
        <v>45387</v>
      </c>
      <c r="J3021" t="s">
        <v>49</v>
      </c>
      <c r="K3021" s="33">
        <v>10300</v>
      </c>
      <c r="L3021" t="s">
        <v>61</v>
      </c>
      <c r="M3021" t="str">
        <f>_xlfn.XLOOKUP(Pipeline_tbl[[#This Row],[Rep_ID]],Dim_Reps!A:A,Dim_Reps!K:K)</f>
        <v>MXN</v>
      </c>
      <c r="N3021" s="33">
        <f>(_xlfn.XLOOKUP(Pipeline_tbl[[#This Row],[Rate_Code_Generalized]],Lookups!A:A,Lookups!B:B))*Pipeline_tbl[[#This Row],[Pipeline_Amount_USD]]</f>
        <v>203246.81000000003</v>
      </c>
      <c r="O3021" t="str">
        <f>_xlfn.XLOOKUP(Pipeline_tbl[[#This Row],[Rep_ID]],Dim_Reps!A:A,Dim_Reps!B:B)</f>
        <v>Lucas Duarte</v>
      </c>
      <c r="P3021" t="str">
        <f>_xlfn.XLOOKUP(Pipeline_tbl[[#This Row],[Rep_ID]],Dim_Reps!A:A,Dim_Reps!C:C)</f>
        <v>SDR / Inside Sales Rep</v>
      </c>
      <c r="Q3021" t="str">
        <f>_xlfn.XLOOKUP(Pipeline_tbl[[#This Row],[Rep_ID]],Dim_Reps!A:A,Dim_Reps!D:D)</f>
        <v>Inside Sales</v>
      </c>
      <c r="R3021" t="str">
        <f>_xlfn.XLOOKUP(Pipeline_tbl[[#This Row],[Rep_ID]],Dim_Reps!A:A,Dim_Reps!E:E)</f>
        <v>LATAM</v>
      </c>
      <c r="S3021" t="str">
        <f>_xlfn.XLOOKUP(Pipeline_tbl[[#This Row],[Created_Date]],Dim_Date!A:A,Dim_Date!H:H)</f>
        <v>Mar 2024</v>
      </c>
      <c r="T3021" t="str">
        <f>IF(Pipeline_tbl[[#This Row],[Closed_Date]]=0,"",(_xlfn.XLOOKUP(Pipeline_tbl[[#This Row],[Closed_Date]],Dim_Date!A:A,Dim_Date!H:H)))</f>
        <v>Apr 2024</v>
      </c>
      <c r="U3021">
        <f>IF(Pipeline_tbl[[#This Row],[Closed_Date]]=0,"",Pipeline_tbl[[#This Row],[Closed_Date]]-Pipeline_tbl[[#This Row],[Created_Date]])</f>
        <v>24</v>
      </c>
    </row>
    <row r="3022" spans="1:21" ht="15" customHeight="1" x14ac:dyDescent="0.2">
      <c r="A3022" t="s">
        <v>3328</v>
      </c>
      <c r="B3022" t="s">
        <v>267</v>
      </c>
      <c r="C3022" t="s">
        <v>52</v>
      </c>
      <c r="D3022" s="49">
        <v>45364</v>
      </c>
      <c r="E3022" s="49">
        <v>45366</v>
      </c>
      <c r="F3022" s="49">
        <v>45371</v>
      </c>
      <c r="G3022" s="49">
        <v>45377</v>
      </c>
      <c r="I3022" s="49">
        <v>45386</v>
      </c>
      <c r="J3022" t="s">
        <v>49</v>
      </c>
      <c r="K3022" s="33">
        <v>10100</v>
      </c>
      <c r="L3022" t="s">
        <v>63</v>
      </c>
      <c r="M3022" t="str">
        <f>_xlfn.XLOOKUP(Pipeline_tbl[[#This Row],[Rep_ID]],Dim_Reps!A:A,Dim_Reps!K:K)</f>
        <v>MXN</v>
      </c>
      <c r="N3022" s="33">
        <f>(_xlfn.XLOOKUP(Pipeline_tbl[[#This Row],[Rate_Code_Generalized]],Lookups!A:A,Lookups!B:B))*Pipeline_tbl[[#This Row],[Pipeline_Amount_USD]]</f>
        <v>199300.27000000002</v>
      </c>
      <c r="O3022" t="str">
        <f>_xlfn.XLOOKUP(Pipeline_tbl[[#This Row],[Rep_ID]],Dim_Reps!A:A,Dim_Reps!B:B)</f>
        <v>Yuki Dubois</v>
      </c>
      <c r="P3022" t="str">
        <f>_xlfn.XLOOKUP(Pipeline_tbl[[#This Row],[Rep_ID]],Dim_Reps!A:A,Dim_Reps!C:C)</f>
        <v>Mid-Market AE</v>
      </c>
      <c r="Q3022" t="str">
        <f>_xlfn.XLOOKUP(Pipeline_tbl[[#This Row],[Rep_ID]],Dim_Reps!A:A,Dim_Reps!D:D)</f>
        <v>Mid-Market</v>
      </c>
      <c r="R3022" t="str">
        <f>_xlfn.XLOOKUP(Pipeline_tbl[[#This Row],[Rep_ID]],Dim_Reps!A:A,Dim_Reps!E:E)</f>
        <v>LATAM</v>
      </c>
      <c r="S3022" t="str">
        <f>_xlfn.XLOOKUP(Pipeline_tbl[[#This Row],[Created_Date]],Dim_Date!A:A,Dim_Date!H:H)</f>
        <v>Mar 2024</v>
      </c>
      <c r="T3022" t="str">
        <f>IF(Pipeline_tbl[[#This Row],[Closed_Date]]=0,"",(_xlfn.XLOOKUP(Pipeline_tbl[[#This Row],[Closed_Date]],Dim_Date!A:A,Dim_Date!H:H)))</f>
        <v>Apr 2024</v>
      </c>
      <c r="U3022">
        <f>IF(Pipeline_tbl[[#This Row],[Closed_Date]]=0,"",Pipeline_tbl[[#This Row],[Closed_Date]]-Pipeline_tbl[[#This Row],[Created_Date]])</f>
        <v>22</v>
      </c>
    </row>
    <row r="3023" spans="1:21" ht="15" customHeight="1" x14ac:dyDescent="0.2">
      <c r="A3023" t="s">
        <v>3329</v>
      </c>
      <c r="B3023" t="s">
        <v>267</v>
      </c>
      <c r="C3023" t="s">
        <v>55</v>
      </c>
      <c r="D3023" s="49">
        <v>45364</v>
      </c>
      <c r="E3023" s="49">
        <v>45367</v>
      </c>
      <c r="F3023" s="49">
        <v>45373</v>
      </c>
      <c r="I3023" s="49">
        <v>45394</v>
      </c>
      <c r="J3023" t="s">
        <v>49</v>
      </c>
      <c r="K3023" s="33">
        <v>11700</v>
      </c>
      <c r="L3023" t="s">
        <v>62</v>
      </c>
      <c r="M3023" t="str">
        <f>_xlfn.XLOOKUP(Pipeline_tbl[[#This Row],[Rep_ID]],Dim_Reps!A:A,Dim_Reps!K:K)</f>
        <v>MXN</v>
      </c>
      <c r="N3023" s="33">
        <f>(_xlfn.XLOOKUP(Pipeline_tbl[[#This Row],[Rate_Code_Generalized]],Lookups!A:A,Lookups!B:B))*Pipeline_tbl[[#This Row],[Pipeline_Amount_USD]]</f>
        <v>230872.59000000003</v>
      </c>
      <c r="O3023" t="str">
        <f>_xlfn.XLOOKUP(Pipeline_tbl[[#This Row],[Rep_ID]],Dim_Reps!A:A,Dim_Reps!B:B)</f>
        <v>Yuki Dubois</v>
      </c>
      <c r="P3023" t="str">
        <f>_xlfn.XLOOKUP(Pipeline_tbl[[#This Row],[Rep_ID]],Dim_Reps!A:A,Dim_Reps!C:C)</f>
        <v>Mid-Market AE</v>
      </c>
      <c r="Q3023" t="str">
        <f>_xlfn.XLOOKUP(Pipeline_tbl[[#This Row],[Rep_ID]],Dim_Reps!A:A,Dim_Reps!D:D)</f>
        <v>Mid-Market</v>
      </c>
      <c r="R3023" t="str">
        <f>_xlfn.XLOOKUP(Pipeline_tbl[[#This Row],[Rep_ID]],Dim_Reps!A:A,Dim_Reps!E:E)</f>
        <v>LATAM</v>
      </c>
      <c r="S3023" t="str">
        <f>_xlfn.XLOOKUP(Pipeline_tbl[[#This Row],[Created_Date]],Dim_Date!A:A,Dim_Date!H:H)</f>
        <v>Mar 2024</v>
      </c>
      <c r="T3023" t="str">
        <f>IF(Pipeline_tbl[[#This Row],[Closed_Date]]=0,"",(_xlfn.XLOOKUP(Pipeline_tbl[[#This Row],[Closed_Date]],Dim_Date!A:A,Dim_Date!H:H)))</f>
        <v>Apr 2024</v>
      </c>
      <c r="U3023">
        <f>IF(Pipeline_tbl[[#This Row],[Closed_Date]]=0,"",Pipeline_tbl[[#This Row],[Closed_Date]]-Pipeline_tbl[[#This Row],[Created_Date]])</f>
        <v>30</v>
      </c>
    </row>
    <row r="3024" spans="1:21" ht="15" customHeight="1" x14ac:dyDescent="0.2">
      <c r="A3024" t="s">
        <v>3330</v>
      </c>
      <c r="B3024" t="s">
        <v>235</v>
      </c>
      <c r="C3024" t="s">
        <v>52</v>
      </c>
      <c r="D3024" s="49">
        <v>45372</v>
      </c>
      <c r="E3024" s="49">
        <v>45374</v>
      </c>
      <c r="F3024" s="49">
        <v>45377</v>
      </c>
      <c r="G3024" s="49">
        <v>45382</v>
      </c>
      <c r="I3024" s="49">
        <v>45388</v>
      </c>
      <c r="J3024" t="s">
        <v>49</v>
      </c>
      <c r="K3024" s="33">
        <v>2100</v>
      </c>
      <c r="L3024" t="s">
        <v>63</v>
      </c>
      <c r="M3024" t="str">
        <f>_xlfn.XLOOKUP(Pipeline_tbl[[#This Row],[Rep_ID]],Dim_Reps!A:A,Dim_Reps!K:K)</f>
        <v>MXN</v>
      </c>
      <c r="N3024" s="33">
        <f>(_xlfn.XLOOKUP(Pipeline_tbl[[#This Row],[Rate_Code_Generalized]],Lookups!A:A,Lookups!B:B))*Pipeline_tbl[[#This Row],[Pipeline_Amount_USD]]</f>
        <v>41438.670000000006</v>
      </c>
      <c r="O3024" t="str">
        <f>_xlfn.XLOOKUP(Pipeline_tbl[[#This Row],[Rep_ID]],Dim_Reps!A:A,Dim_Reps!B:B)</f>
        <v>Milo Castro</v>
      </c>
      <c r="P3024" t="str">
        <f>_xlfn.XLOOKUP(Pipeline_tbl[[#This Row],[Rep_ID]],Dim_Reps!A:A,Dim_Reps!C:C)</f>
        <v>SDR / Inside Sales Rep</v>
      </c>
      <c r="Q3024" t="str">
        <f>_xlfn.XLOOKUP(Pipeline_tbl[[#This Row],[Rep_ID]],Dim_Reps!A:A,Dim_Reps!D:D)</f>
        <v>Inside Sales</v>
      </c>
      <c r="R3024" t="str">
        <f>_xlfn.XLOOKUP(Pipeline_tbl[[#This Row],[Rep_ID]],Dim_Reps!A:A,Dim_Reps!E:E)</f>
        <v>LATAM</v>
      </c>
      <c r="S3024" t="str">
        <f>_xlfn.XLOOKUP(Pipeline_tbl[[#This Row],[Created_Date]],Dim_Date!A:A,Dim_Date!H:H)</f>
        <v>Mar 2024</v>
      </c>
      <c r="T3024" t="str">
        <f>IF(Pipeline_tbl[[#This Row],[Closed_Date]]=0,"",(_xlfn.XLOOKUP(Pipeline_tbl[[#This Row],[Closed_Date]],Dim_Date!A:A,Dim_Date!H:H)))</f>
        <v>Apr 2024</v>
      </c>
      <c r="U3024">
        <f>IF(Pipeline_tbl[[#This Row],[Closed_Date]]=0,"",Pipeline_tbl[[#This Row],[Closed_Date]]-Pipeline_tbl[[#This Row],[Created_Date]])</f>
        <v>16</v>
      </c>
    </row>
    <row r="3025" spans="1:21" ht="15" customHeight="1" x14ac:dyDescent="0.2">
      <c r="A3025" t="s">
        <v>3331</v>
      </c>
      <c r="B3025" t="s">
        <v>235</v>
      </c>
      <c r="C3025" t="s">
        <v>55</v>
      </c>
      <c r="D3025" s="49">
        <v>45371</v>
      </c>
      <c r="E3025" s="49">
        <v>45373</v>
      </c>
      <c r="F3025" s="49">
        <v>45376</v>
      </c>
      <c r="G3025" s="49">
        <v>45382</v>
      </c>
      <c r="H3025" s="49">
        <v>45386</v>
      </c>
      <c r="I3025" s="49">
        <v>45389</v>
      </c>
      <c r="J3025" t="s">
        <v>47</v>
      </c>
      <c r="K3025" s="33">
        <v>1700</v>
      </c>
      <c r="M3025" t="str">
        <f>_xlfn.XLOOKUP(Pipeline_tbl[[#This Row],[Rep_ID]],Dim_Reps!A:A,Dim_Reps!K:K)</f>
        <v>MXN</v>
      </c>
      <c r="N3025" s="33">
        <f>(_xlfn.XLOOKUP(Pipeline_tbl[[#This Row],[Rate_Code_Generalized]],Lookups!A:A,Lookups!B:B))*Pipeline_tbl[[#This Row],[Pipeline_Amount_USD]]</f>
        <v>33545.590000000004</v>
      </c>
      <c r="O3025" t="str">
        <f>_xlfn.XLOOKUP(Pipeline_tbl[[#This Row],[Rep_ID]],Dim_Reps!A:A,Dim_Reps!B:B)</f>
        <v>Milo Castro</v>
      </c>
      <c r="P3025" t="str">
        <f>_xlfn.XLOOKUP(Pipeline_tbl[[#This Row],[Rep_ID]],Dim_Reps!A:A,Dim_Reps!C:C)</f>
        <v>SDR / Inside Sales Rep</v>
      </c>
      <c r="Q3025" t="str">
        <f>_xlfn.XLOOKUP(Pipeline_tbl[[#This Row],[Rep_ID]],Dim_Reps!A:A,Dim_Reps!D:D)</f>
        <v>Inside Sales</v>
      </c>
      <c r="R3025" t="str">
        <f>_xlfn.XLOOKUP(Pipeline_tbl[[#This Row],[Rep_ID]],Dim_Reps!A:A,Dim_Reps!E:E)</f>
        <v>LATAM</v>
      </c>
      <c r="S3025" t="str">
        <f>_xlfn.XLOOKUP(Pipeline_tbl[[#This Row],[Created_Date]],Dim_Date!A:A,Dim_Date!H:H)</f>
        <v>Mar 2024</v>
      </c>
      <c r="T3025" t="str">
        <f>IF(Pipeline_tbl[[#This Row],[Closed_Date]]=0,"",(_xlfn.XLOOKUP(Pipeline_tbl[[#This Row],[Closed_Date]],Dim_Date!A:A,Dim_Date!H:H)))</f>
        <v>Apr 2024</v>
      </c>
      <c r="U3025">
        <f>IF(Pipeline_tbl[[#This Row],[Closed_Date]]=0,"",Pipeline_tbl[[#This Row],[Closed_Date]]-Pipeline_tbl[[#This Row],[Created_Date]])</f>
        <v>18</v>
      </c>
    </row>
    <row r="3026" spans="1:21" ht="15" customHeight="1" x14ac:dyDescent="0.2">
      <c r="A3026" t="s">
        <v>3332</v>
      </c>
      <c r="B3026" t="s">
        <v>235</v>
      </c>
      <c r="C3026" t="s">
        <v>53</v>
      </c>
      <c r="D3026" s="49">
        <v>45377</v>
      </c>
      <c r="E3026" s="49">
        <v>45378</v>
      </c>
      <c r="F3026" s="49">
        <v>45380</v>
      </c>
      <c r="G3026" s="49">
        <v>45383</v>
      </c>
      <c r="H3026" s="49">
        <v>45385</v>
      </c>
      <c r="I3026" s="49">
        <v>45387</v>
      </c>
      <c r="J3026" t="s">
        <v>47</v>
      </c>
      <c r="K3026" s="33">
        <v>4800</v>
      </c>
      <c r="M3026" t="str">
        <f>_xlfn.XLOOKUP(Pipeline_tbl[[#This Row],[Rep_ID]],Dim_Reps!A:A,Dim_Reps!K:K)</f>
        <v>MXN</v>
      </c>
      <c r="N3026" s="33">
        <f>(_xlfn.XLOOKUP(Pipeline_tbl[[#This Row],[Rate_Code_Generalized]],Lookups!A:A,Lookups!B:B))*Pipeline_tbl[[#This Row],[Pipeline_Amount_USD]]</f>
        <v>94716.96</v>
      </c>
      <c r="O3026" t="str">
        <f>_xlfn.XLOOKUP(Pipeline_tbl[[#This Row],[Rep_ID]],Dim_Reps!A:A,Dim_Reps!B:B)</f>
        <v>Milo Castro</v>
      </c>
      <c r="P3026" t="str">
        <f>_xlfn.XLOOKUP(Pipeline_tbl[[#This Row],[Rep_ID]],Dim_Reps!A:A,Dim_Reps!C:C)</f>
        <v>SDR / Inside Sales Rep</v>
      </c>
      <c r="Q3026" t="str">
        <f>_xlfn.XLOOKUP(Pipeline_tbl[[#This Row],[Rep_ID]],Dim_Reps!A:A,Dim_Reps!D:D)</f>
        <v>Inside Sales</v>
      </c>
      <c r="R3026" t="str">
        <f>_xlfn.XLOOKUP(Pipeline_tbl[[#This Row],[Rep_ID]],Dim_Reps!A:A,Dim_Reps!E:E)</f>
        <v>LATAM</v>
      </c>
      <c r="S3026" t="str">
        <f>_xlfn.XLOOKUP(Pipeline_tbl[[#This Row],[Created_Date]],Dim_Date!A:A,Dim_Date!H:H)</f>
        <v>Mar 2024</v>
      </c>
      <c r="T3026" t="str">
        <f>IF(Pipeline_tbl[[#This Row],[Closed_Date]]=0,"",(_xlfn.XLOOKUP(Pipeline_tbl[[#This Row],[Closed_Date]],Dim_Date!A:A,Dim_Date!H:H)))</f>
        <v>Apr 2024</v>
      </c>
      <c r="U3026">
        <f>IF(Pipeline_tbl[[#This Row],[Closed_Date]]=0,"",Pipeline_tbl[[#This Row],[Closed_Date]]-Pipeline_tbl[[#This Row],[Created_Date]])</f>
        <v>10</v>
      </c>
    </row>
    <row r="3027" spans="1:21" ht="15" customHeight="1" x14ac:dyDescent="0.2">
      <c r="A3027" t="s">
        <v>3333</v>
      </c>
      <c r="B3027" t="s">
        <v>237</v>
      </c>
      <c r="C3027" t="s">
        <v>54</v>
      </c>
      <c r="D3027" s="49">
        <v>45373</v>
      </c>
      <c r="E3027" s="49">
        <v>45375</v>
      </c>
      <c r="F3027" s="49">
        <v>45380</v>
      </c>
      <c r="G3027" s="49">
        <v>45387</v>
      </c>
      <c r="H3027" s="49">
        <v>45393</v>
      </c>
      <c r="I3027" s="49">
        <v>45397</v>
      </c>
      <c r="J3027" t="s">
        <v>47</v>
      </c>
      <c r="K3027" s="33">
        <v>2500</v>
      </c>
      <c r="M3027" t="str">
        <f>_xlfn.XLOOKUP(Pipeline_tbl[[#This Row],[Rep_ID]],Dim_Reps!A:A,Dim_Reps!K:K)</f>
        <v>EUR</v>
      </c>
      <c r="N3027" s="33">
        <f>(_xlfn.XLOOKUP(Pipeline_tbl[[#This Row],[Rate_Code_Generalized]],Lookups!A:A,Lookups!B:B))*Pipeline_tbl[[#This Row],[Pipeline_Amount_USD]]</f>
        <v>2500</v>
      </c>
      <c r="O3027" t="str">
        <f>_xlfn.XLOOKUP(Pipeline_tbl[[#This Row],[Rep_ID]],Dim_Reps!A:A,Dim_Reps!B:B)</f>
        <v>Hugo Santos</v>
      </c>
      <c r="P3027" t="str">
        <f>_xlfn.XLOOKUP(Pipeline_tbl[[#This Row],[Rep_ID]],Dim_Reps!A:A,Dim_Reps!C:C)</f>
        <v>SDR / Inside Sales Rep</v>
      </c>
      <c r="Q3027" t="str">
        <f>_xlfn.XLOOKUP(Pipeline_tbl[[#This Row],[Rep_ID]],Dim_Reps!A:A,Dim_Reps!D:D)</f>
        <v>Inside Sales</v>
      </c>
      <c r="R3027" t="str">
        <f>_xlfn.XLOOKUP(Pipeline_tbl[[#This Row],[Rep_ID]],Dim_Reps!A:A,Dim_Reps!E:E)</f>
        <v>EMEA</v>
      </c>
      <c r="S3027" t="str">
        <f>_xlfn.XLOOKUP(Pipeline_tbl[[#This Row],[Created_Date]],Dim_Date!A:A,Dim_Date!H:H)</f>
        <v>Mar 2024</v>
      </c>
      <c r="T3027" t="str">
        <f>IF(Pipeline_tbl[[#This Row],[Closed_Date]]=0,"",(_xlfn.XLOOKUP(Pipeline_tbl[[#This Row],[Closed_Date]],Dim_Date!A:A,Dim_Date!H:H)))</f>
        <v>Apr 2024</v>
      </c>
      <c r="U3027">
        <f>IF(Pipeline_tbl[[#This Row],[Closed_Date]]=0,"",Pipeline_tbl[[#This Row],[Closed_Date]]-Pipeline_tbl[[#This Row],[Created_Date]])</f>
        <v>24</v>
      </c>
    </row>
    <row r="3028" spans="1:21" ht="15" customHeight="1" x14ac:dyDescent="0.2">
      <c r="A3028" t="s">
        <v>3334</v>
      </c>
      <c r="B3028" t="s">
        <v>237</v>
      </c>
      <c r="C3028" t="s">
        <v>53</v>
      </c>
      <c r="D3028" s="49">
        <v>45372</v>
      </c>
      <c r="E3028" s="49">
        <v>45374</v>
      </c>
      <c r="F3028" s="49">
        <v>45377</v>
      </c>
      <c r="G3028" s="49">
        <v>45382</v>
      </c>
      <c r="I3028" s="49">
        <v>45389</v>
      </c>
      <c r="J3028" t="s">
        <v>49</v>
      </c>
      <c r="K3028" s="33">
        <v>6000</v>
      </c>
      <c r="L3028" t="s">
        <v>61</v>
      </c>
      <c r="M3028" t="str">
        <f>_xlfn.XLOOKUP(Pipeline_tbl[[#This Row],[Rep_ID]],Dim_Reps!A:A,Dim_Reps!K:K)</f>
        <v>EUR</v>
      </c>
      <c r="N3028" s="33">
        <f>(_xlfn.XLOOKUP(Pipeline_tbl[[#This Row],[Rate_Code_Generalized]],Lookups!A:A,Lookups!B:B))*Pipeline_tbl[[#This Row],[Pipeline_Amount_USD]]</f>
        <v>6000</v>
      </c>
      <c r="O3028" t="str">
        <f>_xlfn.XLOOKUP(Pipeline_tbl[[#This Row],[Rep_ID]],Dim_Reps!A:A,Dim_Reps!B:B)</f>
        <v>Hugo Santos</v>
      </c>
      <c r="P3028" t="str">
        <f>_xlfn.XLOOKUP(Pipeline_tbl[[#This Row],[Rep_ID]],Dim_Reps!A:A,Dim_Reps!C:C)</f>
        <v>SDR / Inside Sales Rep</v>
      </c>
      <c r="Q3028" t="str">
        <f>_xlfn.XLOOKUP(Pipeline_tbl[[#This Row],[Rep_ID]],Dim_Reps!A:A,Dim_Reps!D:D)</f>
        <v>Inside Sales</v>
      </c>
      <c r="R3028" t="str">
        <f>_xlfn.XLOOKUP(Pipeline_tbl[[#This Row],[Rep_ID]],Dim_Reps!A:A,Dim_Reps!E:E)</f>
        <v>EMEA</v>
      </c>
      <c r="S3028" t="str">
        <f>_xlfn.XLOOKUP(Pipeline_tbl[[#This Row],[Created_Date]],Dim_Date!A:A,Dim_Date!H:H)</f>
        <v>Mar 2024</v>
      </c>
      <c r="T3028" t="str">
        <f>IF(Pipeline_tbl[[#This Row],[Closed_Date]]=0,"",(_xlfn.XLOOKUP(Pipeline_tbl[[#This Row],[Closed_Date]],Dim_Date!A:A,Dim_Date!H:H)))</f>
        <v>Apr 2024</v>
      </c>
      <c r="U3028">
        <f>IF(Pipeline_tbl[[#This Row],[Closed_Date]]=0,"",Pipeline_tbl[[#This Row],[Closed_Date]]-Pipeline_tbl[[#This Row],[Created_Date]])</f>
        <v>17</v>
      </c>
    </row>
    <row r="3029" spans="1:21" ht="15" customHeight="1" x14ac:dyDescent="0.2">
      <c r="A3029" t="s">
        <v>3335</v>
      </c>
      <c r="B3029" t="s">
        <v>237</v>
      </c>
      <c r="C3029" t="s">
        <v>52</v>
      </c>
      <c r="D3029" s="49">
        <v>45378</v>
      </c>
      <c r="E3029" s="49">
        <v>45380</v>
      </c>
      <c r="F3029" s="49">
        <v>45383</v>
      </c>
      <c r="G3029" s="49">
        <v>45388</v>
      </c>
      <c r="H3029" s="49">
        <v>45392</v>
      </c>
      <c r="I3029" s="49">
        <v>45394</v>
      </c>
      <c r="J3029" t="s">
        <v>47</v>
      </c>
      <c r="K3029" s="33">
        <v>1300</v>
      </c>
      <c r="M3029" t="str">
        <f>_xlfn.XLOOKUP(Pipeline_tbl[[#This Row],[Rep_ID]],Dim_Reps!A:A,Dim_Reps!K:K)</f>
        <v>EUR</v>
      </c>
      <c r="N3029" s="33">
        <f>(_xlfn.XLOOKUP(Pipeline_tbl[[#This Row],[Rate_Code_Generalized]],Lookups!A:A,Lookups!B:B))*Pipeline_tbl[[#This Row],[Pipeline_Amount_USD]]</f>
        <v>1300</v>
      </c>
      <c r="O3029" t="str">
        <f>_xlfn.XLOOKUP(Pipeline_tbl[[#This Row],[Rep_ID]],Dim_Reps!A:A,Dim_Reps!B:B)</f>
        <v>Hugo Santos</v>
      </c>
      <c r="P3029" t="str">
        <f>_xlfn.XLOOKUP(Pipeline_tbl[[#This Row],[Rep_ID]],Dim_Reps!A:A,Dim_Reps!C:C)</f>
        <v>SDR / Inside Sales Rep</v>
      </c>
      <c r="Q3029" t="str">
        <f>_xlfn.XLOOKUP(Pipeline_tbl[[#This Row],[Rep_ID]],Dim_Reps!A:A,Dim_Reps!D:D)</f>
        <v>Inside Sales</v>
      </c>
      <c r="R3029" t="str">
        <f>_xlfn.XLOOKUP(Pipeline_tbl[[#This Row],[Rep_ID]],Dim_Reps!A:A,Dim_Reps!E:E)</f>
        <v>EMEA</v>
      </c>
      <c r="S3029" t="str">
        <f>_xlfn.XLOOKUP(Pipeline_tbl[[#This Row],[Created_Date]],Dim_Date!A:A,Dim_Date!H:H)</f>
        <v>Mar 2024</v>
      </c>
      <c r="T3029" t="str">
        <f>IF(Pipeline_tbl[[#This Row],[Closed_Date]]=0,"",(_xlfn.XLOOKUP(Pipeline_tbl[[#This Row],[Closed_Date]],Dim_Date!A:A,Dim_Date!H:H)))</f>
        <v>Apr 2024</v>
      </c>
      <c r="U3029">
        <f>IF(Pipeline_tbl[[#This Row],[Closed_Date]]=0,"",Pipeline_tbl[[#This Row],[Closed_Date]]-Pipeline_tbl[[#This Row],[Created_Date]])</f>
        <v>16</v>
      </c>
    </row>
    <row r="3030" spans="1:21" ht="15" customHeight="1" x14ac:dyDescent="0.2">
      <c r="A3030" t="s">
        <v>3336</v>
      </c>
      <c r="B3030" t="s">
        <v>237</v>
      </c>
      <c r="C3030" t="s">
        <v>52</v>
      </c>
      <c r="D3030" s="49">
        <v>45374</v>
      </c>
      <c r="E3030" s="49">
        <v>45375</v>
      </c>
      <c r="F3030" s="49">
        <v>45377</v>
      </c>
      <c r="G3030" s="49">
        <v>45381</v>
      </c>
      <c r="H3030" s="49">
        <v>45383</v>
      </c>
      <c r="I3030" s="49">
        <v>45385</v>
      </c>
      <c r="J3030" t="s">
        <v>47</v>
      </c>
      <c r="K3030" s="33">
        <v>7000</v>
      </c>
      <c r="M3030" t="str">
        <f>_xlfn.XLOOKUP(Pipeline_tbl[[#This Row],[Rep_ID]],Dim_Reps!A:A,Dim_Reps!K:K)</f>
        <v>EUR</v>
      </c>
      <c r="N3030" s="33">
        <f>(_xlfn.XLOOKUP(Pipeline_tbl[[#This Row],[Rate_Code_Generalized]],Lookups!A:A,Lookups!B:B))*Pipeline_tbl[[#This Row],[Pipeline_Amount_USD]]</f>
        <v>7000</v>
      </c>
      <c r="O3030" t="str">
        <f>_xlfn.XLOOKUP(Pipeline_tbl[[#This Row],[Rep_ID]],Dim_Reps!A:A,Dim_Reps!B:B)</f>
        <v>Hugo Santos</v>
      </c>
      <c r="P3030" t="str">
        <f>_xlfn.XLOOKUP(Pipeline_tbl[[#This Row],[Rep_ID]],Dim_Reps!A:A,Dim_Reps!C:C)</f>
        <v>SDR / Inside Sales Rep</v>
      </c>
      <c r="Q3030" t="str">
        <f>_xlfn.XLOOKUP(Pipeline_tbl[[#This Row],[Rep_ID]],Dim_Reps!A:A,Dim_Reps!D:D)</f>
        <v>Inside Sales</v>
      </c>
      <c r="R3030" t="str">
        <f>_xlfn.XLOOKUP(Pipeline_tbl[[#This Row],[Rep_ID]],Dim_Reps!A:A,Dim_Reps!E:E)</f>
        <v>EMEA</v>
      </c>
      <c r="S3030" t="str">
        <f>_xlfn.XLOOKUP(Pipeline_tbl[[#This Row],[Created_Date]],Dim_Date!A:A,Dim_Date!H:H)</f>
        <v>Mar 2024</v>
      </c>
      <c r="T3030" t="str">
        <f>IF(Pipeline_tbl[[#This Row],[Closed_Date]]=0,"",(_xlfn.XLOOKUP(Pipeline_tbl[[#This Row],[Closed_Date]],Dim_Date!A:A,Dim_Date!H:H)))</f>
        <v>Apr 2024</v>
      </c>
      <c r="U3030">
        <f>IF(Pipeline_tbl[[#This Row],[Closed_Date]]=0,"",Pipeline_tbl[[#This Row],[Closed_Date]]-Pipeline_tbl[[#This Row],[Created_Date]])</f>
        <v>11</v>
      </c>
    </row>
    <row r="3031" spans="1:21" ht="15" customHeight="1" x14ac:dyDescent="0.2">
      <c r="A3031" t="s">
        <v>3337</v>
      </c>
      <c r="B3031" t="s">
        <v>237</v>
      </c>
      <c r="C3031" t="s">
        <v>55</v>
      </c>
      <c r="D3031" s="49">
        <v>45365</v>
      </c>
      <c r="E3031" s="49">
        <v>45367</v>
      </c>
      <c r="F3031" s="49">
        <v>45370</v>
      </c>
      <c r="I3031" s="49">
        <v>45383</v>
      </c>
      <c r="J3031" t="s">
        <v>49</v>
      </c>
      <c r="K3031" s="33">
        <v>4100</v>
      </c>
      <c r="L3031" t="s">
        <v>61</v>
      </c>
      <c r="M3031" t="str">
        <f>_xlfn.XLOOKUP(Pipeline_tbl[[#This Row],[Rep_ID]],Dim_Reps!A:A,Dim_Reps!K:K)</f>
        <v>EUR</v>
      </c>
      <c r="N3031" s="33">
        <f>(_xlfn.XLOOKUP(Pipeline_tbl[[#This Row],[Rate_Code_Generalized]],Lookups!A:A,Lookups!B:B))*Pipeline_tbl[[#This Row],[Pipeline_Amount_USD]]</f>
        <v>4100</v>
      </c>
      <c r="O3031" t="str">
        <f>_xlfn.XLOOKUP(Pipeline_tbl[[#This Row],[Rep_ID]],Dim_Reps!A:A,Dim_Reps!B:B)</f>
        <v>Hugo Santos</v>
      </c>
      <c r="P3031" t="str">
        <f>_xlfn.XLOOKUP(Pipeline_tbl[[#This Row],[Rep_ID]],Dim_Reps!A:A,Dim_Reps!C:C)</f>
        <v>SDR / Inside Sales Rep</v>
      </c>
      <c r="Q3031" t="str">
        <f>_xlfn.XLOOKUP(Pipeline_tbl[[#This Row],[Rep_ID]],Dim_Reps!A:A,Dim_Reps!D:D)</f>
        <v>Inside Sales</v>
      </c>
      <c r="R3031" t="str">
        <f>_xlfn.XLOOKUP(Pipeline_tbl[[#This Row],[Rep_ID]],Dim_Reps!A:A,Dim_Reps!E:E)</f>
        <v>EMEA</v>
      </c>
      <c r="S3031" t="str">
        <f>_xlfn.XLOOKUP(Pipeline_tbl[[#This Row],[Created_Date]],Dim_Date!A:A,Dim_Date!H:H)</f>
        <v>Mar 2024</v>
      </c>
      <c r="T3031" t="str">
        <f>IF(Pipeline_tbl[[#This Row],[Closed_Date]]=0,"",(_xlfn.XLOOKUP(Pipeline_tbl[[#This Row],[Closed_Date]],Dim_Date!A:A,Dim_Date!H:H)))</f>
        <v>Apr 2024</v>
      </c>
      <c r="U3031">
        <f>IF(Pipeline_tbl[[#This Row],[Closed_Date]]=0,"",Pipeline_tbl[[#This Row],[Closed_Date]]-Pipeline_tbl[[#This Row],[Created_Date]])</f>
        <v>18</v>
      </c>
    </row>
    <row r="3032" spans="1:21" ht="15" customHeight="1" x14ac:dyDescent="0.2">
      <c r="A3032" t="s">
        <v>3338</v>
      </c>
      <c r="B3032" t="s">
        <v>237</v>
      </c>
      <c r="C3032" t="s">
        <v>54</v>
      </c>
      <c r="D3032" s="49">
        <v>45366</v>
      </c>
      <c r="E3032" s="49">
        <v>45369</v>
      </c>
      <c r="F3032" s="49">
        <v>45374</v>
      </c>
      <c r="G3032" s="49">
        <v>45382</v>
      </c>
      <c r="H3032" s="49">
        <v>45389</v>
      </c>
      <c r="I3032" s="49">
        <v>45393</v>
      </c>
      <c r="J3032" t="s">
        <v>47</v>
      </c>
      <c r="K3032" s="33">
        <v>3100</v>
      </c>
      <c r="M3032" t="str">
        <f>_xlfn.XLOOKUP(Pipeline_tbl[[#This Row],[Rep_ID]],Dim_Reps!A:A,Dim_Reps!K:K)</f>
        <v>EUR</v>
      </c>
      <c r="N3032" s="33">
        <f>(_xlfn.XLOOKUP(Pipeline_tbl[[#This Row],[Rate_Code_Generalized]],Lookups!A:A,Lookups!B:B))*Pipeline_tbl[[#This Row],[Pipeline_Amount_USD]]</f>
        <v>3100</v>
      </c>
      <c r="O3032" t="str">
        <f>_xlfn.XLOOKUP(Pipeline_tbl[[#This Row],[Rep_ID]],Dim_Reps!A:A,Dim_Reps!B:B)</f>
        <v>Hugo Santos</v>
      </c>
      <c r="P3032" t="str">
        <f>_xlfn.XLOOKUP(Pipeline_tbl[[#This Row],[Rep_ID]],Dim_Reps!A:A,Dim_Reps!C:C)</f>
        <v>SDR / Inside Sales Rep</v>
      </c>
      <c r="Q3032" t="str">
        <f>_xlfn.XLOOKUP(Pipeline_tbl[[#This Row],[Rep_ID]],Dim_Reps!A:A,Dim_Reps!D:D)</f>
        <v>Inside Sales</v>
      </c>
      <c r="R3032" t="str">
        <f>_xlfn.XLOOKUP(Pipeline_tbl[[#This Row],[Rep_ID]],Dim_Reps!A:A,Dim_Reps!E:E)</f>
        <v>EMEA</v>
      </c>
      <c r="S3032" t="str">
        <f>_xlfn.XLOOKUP(Pipeline_tbl[[#This Row],[Created_Date]],Dim_Date!A:A,Dim_Date!H:H)</f>
        <v>Mar 2024</v>
      </c>
      <c r="T3032" t="str">
        <f>IF(Pipeline_tbl[[#This Row],[Closed_Date]]=0,"",(_xlfn.XLOOKUP(Pipeline_tbl[[#This Row],[Closed_Date]],Dim_Date!A:A,Dim_Date!H:H)))</f>
        <v>Apr 2024</v>
      </c>
      <c r="U3032">
        <f>IF(Pipeline_tbl[[#This Row],[Closed_Date]]=0,"",Pipeline_tbl[[#This Row],[Closed_Date]]-Pipeline_tbl[[#This Row],[Created_Date]])</f>
        <v>27</v>
      </c>
    </row>
    <row r="3033" spans="1:21" ht="15" customHeight="1" x14ac:dyDescent="0.2">
      <c r="A3033" t="s">
        <v>3339</v>
      </c>
      <c r="B3033" t="s">
        <v>269</v>
      </c>
      <c r="C3033" t="s">
        <v>52</v>
      </c>
      <c r="D3033" s="49">
        <v>45378</v>
      </c>
      <c r="E3033" s="49">
        <v>45381</v>
      </c>
      <c r="F3033" s="49">
        <v>45387</v>
      </c>
      <c r="G3033" s="49">
        <v>45395</v>
      </c>
      <c r="I3033" s="49">
        <v>45407</v>
      </c>
      <c r="J3033" t="s">
        <v>49</v>
      </c>
      <c r="K3033" s="33">
        <v>4100</v>
      </c>
      <c r="L3033" t="s">
        <v>63</v>
      </c>
      <c r="M3033" t="str">
        <f>_xlfn.XLOOKUP(Pipeline_tbl[[#This Row],[Rep_ID]],Dim_Reps!A:A,Dim_Reps!K:K)</f>
        <v>USD</v>
      </c>
      <c r="N3033" s="33">
        <f>(_xlfn.XLOOKUP(Pipeline_tbl[[#This Row],[Rate_Code_Generalized]],Lookups!A:A,Lookups!B:B))*Pipeline_tbl[[#This Row],[Pipeline_Amount_USD]]</f>
        <v>4773.6299999999992</v>
      </c>
      <c r="O3033" t="str">
        <f>_xlfn.XLOOKUP(Pipeline_tbl[[#This Row],[Rep_ID]],Dim_Reps!A:A,Dim_Reps!B:B)</f>
        <v>Morgan Rivera</v>
      </c>
      <c r="P3033" t="str">
        <f>_xlfn.XLOOKUP(Pipeline_tbl[[#This Row],[Rep_ID]],Dim_Reps!A:A,Dim_Reps!C:C)</f>
        <v>Mid-Market AE</v>
      </c>
      <c r="Q3033" t="str">
        <f>_xlfn.XLOOKUP(Pipeline_tbl[[#This Row],[Rep_ID]],Dim_Reps!A:A,Dim_Reps!D:D)</f>
        <v>Mid-Market</v>
      </c>
      <c r="R3033" t="str">
        <f>_xlfn.XLOOKUP(Pipeline_tbl[[#This Row],[Rep_ID]],Dim_Reps!A:A,Dim_Reps!E:E)</f>
        <v>NAMER</v>
      </c>
      <c r="S3033" t="str">
        <f>_xlfn.XLOOKUP(Pipeline_tbl[[#This Row],[Created_Date]],Dim_Date!A:A,Dim_Date!H:H)</f>
        <v>Mar 2024</v>
      </c>
      <c r="T3033" t="str">
        <f>IF(Pipeline_tbl[[#This Row],[Closed_Date]]=0,"",(_xlfn.XLOOKUP(Pipeline_tbl[[#This Row],[Closed_Date]],Dim_Date!A:A,Dim_Date!H:H)))</f>
        <v>Apr 2024</v>
      </c>
      <c r="U3033">
        <f>IF(Pipeline_tbl[[#This Row],[Closed_Date]]=0,"",Pipeline_tbl[[#This Row],[Closed_Date]]-Pipeline_tbl[[#This Row],[Created_Date]])</f>
        <v>29</v>
      </c>
    </row>
    <row r="3034" spans="1:21" ht="15" customHeight="1" x14ac:dyDescent="0.2">
      <c r="A3034" t="s">
        <v>3340</v>
      </c>
      <c r="B3034" t="s">
        <v>269</v>
      </c>
      <c r="C3034" t="s">
        <v>56</v>
      </c>
      <c r="D3034" s="49">
        <v>45359</v>
      </c>
      <c r="E3034" s="49">
        <v>45362</v>
      </c>
      <c r="F3034" s="49">
        <v>45368</v>
      </c>
      <c r="G3034" s="49">
        <v>45377</v>
      </c>
      <c r="H3034" s="49">
        <v>45385</v>
      </c>
      <c r="I3034" s="49">
        <v>45389</v>
      </c>
      <c r="J3034" t="s">
        <v>47</v>
      </c>
      <c r="K3034" s="33">
        <v>5600</v>
      </c>
      <c r="M3034" t="str">
        <f>_xlfn.XLOOKUP(Pipeline_tbl[[#This Row],[Rep_ID]],Dim_Reps!A:A,Dim_Reps!K:K)</f>
        <v>USD</v>
      </c>
      <c r="N3034" s="33">
        <f>(_xlfn.XLOOKUP(Pipeline_tbl[[#This Row],[Rate_Code_Generalized]],Lookups!A:A,Lookups!B:B))*Pipeline_tbl[[#This Row],[Pipeline_Amount_USD]]</f>
        <v>6520.079999999999</v>
      </c>
      <c r="O3034" t="str">
        <f>_xlfn.XLOOKUP(Pipeline_tbl[[#This Row],[Rep_ID]],Dim_Reps!A:A,Dim_Reps!B:B)</f>
        <v>Morgan Rivera</v>
      </c>
      <c r="P3034" t="str">
        <f>_xlfn.XLOOKUP(Pipeline_tbl[[#This Row],[Rep_ID]],Dim_Reps!A:A,Dim_Reps!C:C)</f>
        <v>Mid-Market AE</v>
      </c>
      <c r="Q3034" t="str">
        <f>_xlfn.XLOOKUP(Pipeline_tbl[[#This Row],[Rep_ID]],Dim_Reps!A:A,Dim_Reps!D:D)</f>
        <v>Mid-Market</v>
      </c>
      <c r="R3034" t="str">
        <f>_xlfn.XLOOKUP(Pipeline_tbl[[#This Row],[Rep_ID]],Dim_Reps!A:A,Dim_Reps!E:E)</f>
        <v>NAMER</v>
      </c>
      <c r="S3034" t="str">
        <f>_xlfn.XLOOKUP(Pipeline_tbl[[#This Row],[Created_Date]],Dim_Date!A:A,Dim_Date!H:H)</f>
        <v>Mar 2024</v>
      </c>
      <c r="T3034" t="str">
        <f>IF(Pipeline_tbl[[#This Row],[Closed_Date]]=0,"",(_xlfn.XLOOKUP(Pipeline_tbl[[#This Row],[Closed_Date]],Dim_Date!A:A,Dim_Date!H:H)))</f>
        <v>Apr 2024</v>
      </c>
      <c r="U3034">
        <f>IF(Pipeline_tbl[[#This Row],[Closed_Date]]=0,"",Pipeline_tbl[[#This Row],[Closed_Date]]-Pipeline_tbl[[#This Row],[Created_Date]])</f>
        <v>30</v>
      </c>
    </row>
    <row r="3035" spans="1:21" ht="15" customHeight="1" x14ac:dyDescent="0.2">
      <c r="A3035" t="s">
        <v>3341</v>
      </c>
      <c r="B3035" t="s">
        <v>269</v>
      </c>
      <c r="C3035" t="s">
        <v>54</v>
      </c>
      <c r="D3035" s="49">
        <v>45354</v>
      </c>
      <c r="E3035" s="49">
        <v>45358</v>
      </c>
      <c r="I3035" s="49">
        <v>45393</v>
      </c>
      <c r="J3035" t="s">
        <v>49</v>
      </c>
      <c r="K3035" s="33">
        <v>10200</v>
      </c>
      <c r="L3035" t="s">
        <v>61</v>
      </c>
      <c r="M3035" t="str">
        <f>_xlfn.XLOOKUP(Pipeline_tbl[[#This Row],[Rep_ID]],Dim_Reps!A:A,Dim_Reps!K:K)</f>
        <v>USD</v>
      </c>
      <c r="N3035" s="33">
        <f>(_xlfn.XLOOKUP(Pipeline_tbl[[#This Row],[Rate_Code_Generalized]],Lookups!A:A,Lookups!B:B))*Pipeline_tbl[[#This Row],[Pipeline_Amount_USD]]</f>
        <v>11875.859999999999</v>
      </c>
      <c r="O3035" t="str">
        <f>_xlfn.XLOOKUP(Pipeline_tbl[[#This Row],[Rep_ID]],Dim_Reps!A:A,Dim_Reps!B:B)</f>
        <v>Morgan Rivera</v>
      </c>
      <c r="P3035" t="str">
        <f>_xlfn.XLOOKUP(Pipeline_tbl[[#This Row],[Rep_ID]],Dim_Reps!A:A,Dim_Reps!C:C)</f>
        <v>Mid-Market AE</v>
      </c>
      <c r="Q3035" t="str">
        <f>_xlfn.XLOOKUP(Pipeline_tbl[[#This Row],[Rep_ID]],Dim_Reps!A:A,Dim_Reps!D:D)</f>
        <v>Mid-Market</v>
      </c>
      <c r="R3035" t="str">
        <f>_xlfn.XLOOKUP(Pipeline_tbl[[#This Row],[Rep_ID]],Dim_Reps!A:A,Dim_Reps!E:E)</f>
        <v>NAMER</v>
      </c>
      <c r="S3035" t="str">
        <f>_xlfn.XLOOKUP(Pipeline_tbl[[#This Row],[Created_Date]],Dim_Date!A:A,Dim_Date!H:H)</f>
        <v>Mar 2024</v>
      </c>
      <c r="T3035" t="str">
        <f>IF(Pipeline_tbl[[#This Row],[Closed_Date]]=0,"",(_xlfn.XLOOKUP(Pipeline_tbl[[#This Row],[Closed_Date]],Dim_Date!A:A,Dim_Date!H:H)))</f>
        <v>Apr 2024</v>
      </c>
      <c r="U3035">
        <f>IF(Pipeline_tbl[[#This Row],[Closed_Date]]=0,"",Pipeline_tbl[[#This Row],[Closed_Date]]-Pipeline_tbl[[#This Row],[Created_Date]])</f>
        <v>39</v>
      </c>
    </row>
    <row r="3036" spans="1:21" ht="15" customHeight="1" x14ac:dyDescent="0.2">
      <c r="A3036" t="s">
        <v>3342</v>
      </c>
      <c r="B3036" t="s">
        <v>269</v>
      </c>
      <c r="C3036" t="s">
        <v>53</v>
      </c>
      <c r="D3036" s="49">
        <v>45366</v>
      </c>
      <c r="E3036" s="49">
        <v>45370</v>
      </c>
      <c r="F3036" s="49">
        <v>45377</v>
      </c>
      <c r="G3036" s="49">
        <v>45387</v>
      </c>
      <c r="I3036" s="49">
        <v>45401</v>
      </c>
      <c r="J3036" t="s">
        <v>49</v>
      </c>
      <c r="K3036" s="33">
        <v>9700</v>
      </c>
      <c r="L3036" t="s">
        <v>63</v>
      </c>
      <c r="M3036" t="str">
        <f>_xlfn.XLOOKUP(Pipeline_tbl[[#This Row],[Rep_ID]],Dim_Reps!A:A,Dim_Reps!K:K)</f>
        <v>USD</v>
      </c>
      <c r="N3036" s="33">
        <f>(_xlfn.XLOOKUP(Pipeline_tbl[[#This Row],[Rate_Code_Generalized]],Lookups!A:A,Lookups!B:B))*Pipeline_tbl[[#This Row],[Pipeline_Amount_USD]]</f>
        <v>11293.71</v>
      </c>
      <c r="O3036" t="str">
        <f>_xlfn.XLOOKUP(Pipeline_tbl[[#This Row],[Rep_ID]],Dim_Reps!A:A,Dim_Reps!B:B)</f>
        <v>Morgan Rivera</v>
      </c>
      <c r="P3036" t="str">
        <f>_xlfn.XLOOKUP(Pipeline_tbl[[#This Row],[Rep_ID]],Dim_Reps!A:A,Dim_Reps!C:C)</f>
        <v>Mid-Market AE</v>
      </c>
      <c r="Q3036" t="str">
        <f>_xlfn.XLOOKUP(Pipeline_tbl[[#This Row],[Rep_ID]],Dim_Reps!A:A,Dim_Reps!D:D)</f>
        <v>Mid-Market</v>
      </c>
      <c r="R3036" t="str">
        <f>_xlfn.XLOOKUP(Pipeline_tbl[[#This Row],[Rep_ID]],Dim_Reps!A:A,Dim_Reps!E:E)</f>
        <v>NAMER</v>
      </c>
      <c r="S3036" t="str">
        <f>_xlfn.XLOOKUP(Pipeline_tbl[[#This Row],[Created_Date]],Dim_Date!A:A,Dim_Date!H:H)</f>
        <v>Mar 2024</v>
      </c>
      <c r="T3036" t="str">
        <f>IF(Pipeline_tbl[[#This Row],[Closed_Date]]=0,"",(_xlfn.XLOOKUP(Pipeline_tbl[[#This Row],[Closed_Date]],Dim_Date!A:A,Dim_Date!H:H)))</f>
        <v>Apr 2024</v>
      </c>
      <c r="U3036">
        <f>IF(Pipeline_tbl[[#This Row],[Closed_Date]]=0,"",Pipeline_tbl[[#This Row],[Closed_Date]]-Pipeline_tbl[[#This Row],[Created_Date]])</f>
        <v>35</v>
      </c>
    </row>
    <row r="3037" spans="1:21" ht="15" customHeight="1" x14ac:dyDescent="0.2">
      <c r="A3037" t="s">
        <v>3343</v>
      </c>
      <c r="B3037" t="s">
        <v>271</v>
      </c>
      <c r="C3037" t="s">
        <v>52</v>
      </c>
      <c r="D3037" s="49">
        <v>45371</v>
      </c>
      <c r="E3037" s="49">
        <v>45375</v>
      </c>
      <c r="F3037" s="49">
        <v>45383</v>
      </c>
      <c r="G3037" s="49">
        <v>45396</v>
      </c>
      <c r="I3037" s="49">
        <v>45412</v>
      </c>
      <c r="J3037" t="s">
        <v>49</v>
      </c>
      <c r="K3037" s="33">
        <v>8300</v>
      </c>
      <c r="L3037" t="s">
        <v>61</v>
      </c>
      <c r="M3037" t="str">
        <f>_xlfn.XLOOKUP(Pipeline_tbl[[#This Row],[Rep_ID]],Dim_Reps!A:A,Dim_Reps!K:K)</f>
        <v>EUR</v>
      </c>
      <c r="N3037" s="33">
        <f>(_xlfn.XLOOKUP(Pipeline_tbl[[#This Row],[Rate_Code_Generalized]],Lookups!A:A,Lookups!B:B))*Pipeline_tbl[[#This Row],[Pipeline_Amount_USD]]</f>
        <v>8300</v>
      </c>
      <c r="O3037" t="str">
        <f>_xlfn.XLOOKUP(Pipeline_tbl[[#This Row],[Rep_ID]],Dim_Reps!A:A,Dim_Reps!B:B)</f>
        <v>Ivy Adler</v>
      </c>
      <c r="P3037" t="str">
        <f>_xlfn.XLOOKUP(Pipeline_tbl[[#This Row],[Rep_ID]],Dim_Reps!A:A,Dim_Reps!C:C)</f>
        <v>Mid-Market AE</v>
      </c>
      <c r="Q3037" t="str">
        <f>_xlfn.XLOOKUP(Pipeline_tbl[[#This Row],[Rep_ID]],Dim_Reps!A:A,Dim_Reps!D:D)</f>
        <v>Mid-Market</v>
      </c>
      <c r="R3037" t="str">
        <f>_xlfn.XLOOKUP(Pipeline_tbl[[#This Row],[Rep_ID]],Dim_Reps!A:A,Dim_Reps!E:E)</f>
        <v>APAC</v>
      </c>
      <c r="S3037" t="str">
        <f>_xlfn.XLOOKUP(Pipeline_tbl[[#This Row],[Created_Date]],Dim_Date!A:A,Dim_Date!H:H)</f>
        <v>Mar 2024</v>
      </c>
      <c r="T3037" t="str">
        <f>IF(Pipeline_tbl[[#This Row],[Closed_Date]]=0,"",(_xlfn.XLOOKUP(Pipeline_tbl[[#This Row],[Closed_Date]],Dim_Date!A:A,Dim_Date!H:H)))</f>
        <v>Apr 2024</v>
      </c>
      <c r="U3037">
        <f>IF(Pipeline_tbl[[#This Row],[Closed_Date]]=0,"",Pipeline_tbl[[#This Row],[Closed_Date]]-Pipeline_tbl[[#This Row],[Created_Date]])</f>
        <v>41</v>
      </c>
    </row>
    <row r="3038" spans="1:21" ht="15" customHeight="1" x14ac:dyDescent="0.2">
      <c r="A3038" t="s">
        <v>3344</v>
      </c>
      <c r="B3038" t="s">
        <v>271</v>
      </c>
      <c r="C3038" t="s">
        <v>53</v>
      </c>
      <c r="D3038" s="49">
        <v>45359</v>
      </c>
      <c r="E3038" s="49">
        <v>45363</v>
      </c>
      <c r="F3038" s="49">
        <v>45370</v>
      </c>
      <c r="I3038" s="49">
        <v>45394</v>
      </c>
      <c r="J3038" t="s">
        <v>49</v>
      </c>
      <c r="K3038" s="33">
        <v>15900</v>
      </c>
      <c r="L3038" t="s">
        <v>60</v>
      </c>
      <c r="M3038" t="str">
        <f>_xlfn.XLOOKUP(Pipeline_tbl[[#This Row],[Rep_ID]],Dim_Reps!A:A,Dim_Reps!K:K)</f>
        <v>EUR</v>
      </c>
      <c r="N3038" s="33">
        <f>(_xlfn.XLOOKUP(Pipeline_tbl[[#This Row],[Rate_Code_Generalized]],Lookups!A:A,Lookups!B:B))*Pipeline_tbl[[#This Row],[Pipeline_Amount_USD]]</f>
        <v>15900</v>
      </c>
      <c r="O3038" t="str">
        <f>_xlfn.XLOOKUP(Pipeline_tbl[[#This Row],[Rep_ID]],Dim_Reps!A:A,Dim_Reps!B:B)</f>
        <v>Ivy Adler</v>
      </c>
      <c r="P3038" t="str">
        <f>_xlfn.XLOOKUP(Pipeline_tbl[[#This Row],[Rep_ID]],Dim_Reps!A:A,Dim_Reps!C:C)</f>
        <v>Mid-Market AE</v>
      </c>
      <c r="Q3038" t="str">
        <f>_xlfn.XLOOKUP(Pipeline_tbl[[#This Row],[Rep_ID]],Dim_Reps!A:A,Dim_Reps!D:D)</f>
        <v>Mid-Market</v>
      </c>
      <c r="R3038" t="str">
        <f>_xlfn.XLOOKUP(Pipeline_tbl[[#This Row],[Rep_ID]],Dim_Reps!A:A,Dim_Reps!E:E)</f>
        <v>APAC</v>
      </c>
      <c r="S3038" t="str">
        <f>_xlfn.XLOOKUP(Pipeline_tbl[[#This Row],[Created_Date]],Dim_Date!A:A,Dim_Date!H:H)</f>
        <v>Mar 2024</v>
      </c>
      <c r="T3038" t="str">
        <f>IF(Pipeline_tbl[[#This Row],[Closed_Date]]=0,"",(_xlfn.XLOOKUP(Pipeline_tbl[[#This Row],[Closed_Date]],Dim_Date!A:A,Dim_Date!H:H)))</f>
        <v>Apr 2024</v>
      </c>
      <c r="U3038">
        <f>IF(Pipeline_tbl[[#This Row],[Closed_Date]]=0,"",Pipeline_tbl[[#This Row],[Closed_Date]]-Pipeline_tbl[[#This Row],[Created_Date]])</f>
        <v>35</v>
      </c>
    </row>
    <row r="3039" spans="1:21" ht="15" customHeight="1" x14ac:dyDescent="0.2">
      <c r="A3039" t="s">
        <v>3345</v>
      </c>
      <c r="B3039" t="s">
        <v>241</v>
      </c>
      <c r="C3039" t="s">
        <v>52</v>
      </c>
      <c r="D3039" s="49">
        <v>45375</v>
      </c>
      <c r="E3039" s="49">
        <v>45377</v>
      </c>
      <c r="F3039" s="49">
        <v>45381</v>
      </c>
      <c r="I3039" s="49">
        <v>45395</v>
      </c>
      <c r="J3039" t="s">
        <v>49</v>
      </c>
      <c r="K3039" s="33">
        <v>2800</v>
      </c>
      <c r="L3039" t="s">
        <v>61</v>
      </c>
      <c r="M3039" t="str">
        <f>_xlfn.XLOOKUP(Pipeline_tbl[[#This Row],[Rep_ID]],Dim_Reps!A:A,Dim_Reps!K:K)</f>
        <v>EUR</v>
      </c>
      <c r="N3039" s="33">
        <f>(_xlfn.XLOOKUP(Pipeline_tbl[[#This Row],[Rate_Code_Generalized]],Lookups!A:A,Lookups!B:B))*Pipeline_tbl[[#This Row],[Pipeline_Amount_USD]]</f>
        <v>2800</v>
      </c>
      <c r="O3039" t="str">
        <f>_xlfn.XLOOKUP(Pipeline_tbl[[#This Row],[Rep_ID]],Dim_Reps!A:A,Dim_Reps!B:B)</f>
        <v>Kenji Weber</v>
      </c>
      <c r="P3039" t="str">
        <f>_xlfn.XLOOKUP(Pipeline_tbl[[#This Row],[Rep_ID]],Dim_Reps!A:A,Dim_Reps!C:C)</f>
        <v>SDR / Inside Sales Rep</v>
      </c>
      <c r="Q3039" t="str">
        <f>_xlfn.XLOOKUP(Pipeline_tbl[[#This Row],[Rep_ID]],Dim_Reps!A:A,Dim_Reps!D:D)</f>
        <v>Inside Sales</v>
      </c>
      <c r="R3039" t="str">
        <f>_xlfn.XLOOKUP(Pipeline_tbl[[#This Row],[Rep_ID]],Dim_Reps!A:A,Dim_Reps!E:E)</f>
        <v>APAC</v>
      </c>
      <c r="S3039" t="str">
        <f>_xlfn.XLOOKUP(Pipeline_tbl[[#This Row],[Created_Date]],Dim_Date!A:A,Dim_Date!H:H)</f>
        <v>Mar 2024</v>
      </c>
      <c r="T3039" t="str">
        <f>IF(Pipeline_tbl[[#This Row],[Closed_Date]]=0,"",(_xlfn.XLOOKUP(Pipeline_tbl[[#This Row],[Closed_Date]],Dim_Date!A:A,Dim_Date!H:H)))</f>
        <v>Apr 2024</v>
      </c>
      <c r="U3039">
        <f>IF(Pipeline_tbl[[#This Row],[Closed_Date]]=0,"",Pipeline_tbl[[#This Row],[Closed_Date]]-Pipeline_tbl[[#This Row],[Created_Date]])</f>
        <v>20</v>
      </c>
    </row>
    <row r="3040" spans="1:21" ht="15" customHeight="1" x14ac:dyDescent="0.2">
      <c r="A3040" t="s">
        <v>3346</v>
      </c>
      <c r="B3040" t="s">
        <v>241</v>
      </c>
      <c r="C3040" t="s">
        <v>54</v>
      </c>
      <c r="D3040" s="49">
        <v>45381</v>
      </c>
      <c r="E3040" s="49">
        <v>45383</v>
      </c>
      <c r="F3040" s="49">
        <v>45386</v>
      </c>
      <c r="G3040" s="49">
        <v>45391</v>
      </c>
      <c r="H3040" s="49">
        <v>45395</v>
      </c>
      <c r="I3040" s="49">
        <v>45397</v>
      </c>
      <c r="J3040" t="s">
        <v>47</v>
      </c>
      <c r="K3040" s="33">
        <v>6200</v>
      </c>
      <c r="M3040" t="str">
        <f>_xlfn.XLOOKUP(Pipeline_tbl[[#This Row],[Rep_ID]],Dim_Reps!A:A,Dim_Reps!K:K)</f>
        <v>EUR</v>
      </c>
      <c r="N3040" s="33">
        <f>(_xlfn.XLOOKUP(Pipeline_tbl[[#This Row],[Rate_Code_Generalized]],Lookups!A:A,Lookups!B:B))*Pipeline_tbl[[#This Row],[Pipeline_Amount_USD]]</f>
        <v>6200</v>
      </c>
      <c r="O3040" t="str">
        <f>_xlfn.XLOOKUP(Pipeline_tbl[[#This Row],[Rep_ID]],Dim_Reps!A:A,Dim_Reps!B:B)</f>
        <v>Kenji Weber</v>
      </c>
      <c r="P3040" t="str">
        <f>_xlfn.XLOOKUP(Pipeline_tbl[[#This Row],[Rep_ID]],Dim_Reps!A:A,Dim_Reps!C:C)</f>
        <v>SDR / Inside Sales Rep</v>
      </c>
      <c r="Q3040" t="str">
        <f>_xlfn.XLOOKUP(Pipeline_tbl[[#This Row],[Rep_ID]],Dim_Reps!A:A,Dim_Reps!D:D)</f>
        <v>Inside Sales</v>
      </c>
      <c r="R3040" t="str">
        <f>_xlfn.XLOOKUP(Pipeline_tbl[[#This Row],[Rep_ID]],Dim_Reps!A:A,Dim_Reps!E:E)</f>
        <v>APAC</v>
      </c>
      <c r="S3040" t="str">
        <f>_xlfn.XLOOKUP(Pipeline_tbl[[#This Row],[Created_Date]],Dim_Date!A:A,Dim_Date!H:H)</f>
        <v>Mar 2024</v>
      </c>
      <c r="T3040" t="str">
        <f>IF(Pipeline_tbl[[#This Row],[Closed_Date]]=0,"",(_xlfn.XLOOKUP(Pipeline_tbl[[#This Row],[Closed_Date]],Dim_Date!A:A,Dim_Date!H:H)))</f>
        <v>Apr 2024</v>
      </c>
      <c r="U3040">
        <f>IF(Pipeline_tbl[[#This Row],[Closed_Date]]=0,"",Pipeline_tbl[[#This Row],[Closed_Date]]-Pipeline_tbl[[#This Row],[Created_Date]])</f>
        <v>16</v>
      </c>
    </row>
    <row r="3041" spans="1:21" ht="15" customHeight="1" x14ac:dyDescent="0.2">
      <c r="A3041" t="s">
        <v>3347</v>
      </c>
      <c r="B3041" t="s">
        <v>241</v>
      </c>
      <c r="C3041" t="s">
        <v>56</v>
      </c>
      <c r="D3041" s="49">
        <v>45368</v>
      </c>
      <c r="E3041" s="49">
        <v>45370</v>
      </c>
      <c r="I3041" s="49">
        <v>45391</v>
      </c>
      <c r="J3041" t="s">
        <v>49</v>
      </c>
      <c r="K3041" s="33">
        <v>1500</v>
      </c>
      <c r="L3041" t="s">
        <v>61</v>
      </c>
      <c r="M3041" t="str">
        <f>_xlfn.XLOOKUP(Pipeline_tbl[[#This Row],[Rep_ID]],Dim_Reps!A:A,Dim_Reps!K:K)</f>
        <v>EUR</v>
      </c>
      <c r="N3041" s="33">
        <f>(_xlfn.XLOOKUP(Pipeline_tbl[[#This Row],[Rate_Code_Generalized]],Lookups!A:A,Lookups!B:B))*Pipeline_tbl[[#This Row],[Pipeline_Amount_USD]]</f>
        <v>1500</v>
      </c>
      <c r="O3041" t="str">
        <f>_xlfn.XLOOKUP(Pipeline_tbl[[#This Row],[Rep_ID]],Dim_Reps!A:A,Dim_Reps!B:B)</f>
        <v>Kenji Weber</v>
      </c>
      <c r="P3041" t="str">
        <f>_xlfn.XLOOKUP(Pipeline_tbl[[#This Row],[Rep_ID]],Dim_Reps!A:A,Dim_Reps!C:C)</f>
        <v>SDR / Inside Sales Rep</v>
      </c>
      <c r="Q3041" t="str">
        <f>_xlfn.XLOOKUP(Pipeline_tbl[[#This Row],[Rep_ID]],Dim_Reps!A:A,Dim_Reps!D:D)</f>
        <v>Inside Sales</v>
      </c>
      <c r="R3041" t="str">
        <f>_xlfn.XLOOKUP(Pipeline_tbl[[#This Row],[Rep_ID]],Dim_Reps!A:A,Dim_Reps!E:E)</f>
        <v>APAC</v>
      </c>
      <c r="S3041" t="str">
        <f>_xlfn.XLOOKUP(Pipeline_tbl[[#This Row],[Created_Date]],Dim_Date!A:A,Dim_Date!H:H)</f>
        <v>Mar 2024</v>
      </c>
      <c r="T3041" t="str">
        <f>IF(Pipeline_tbl[[#This Row],[Closed_Date]]=0,"",(_xlfn.XLOOKUP(Pipeline_tbl[[#This Row],[Closed_Date]],Dim_Date!A:A,Dim_Date!H:H)))</f>
        <v>Apr 2024</v>
      </c>
      <c r="U3041">
        <f>IF(Pipeline_tbl[[#This Row],[Closed_Date]]=0,"",Pipeline_tbl[[#This Row],[Closed_Date]]-Pipeline_tbl[[#This Row],[Created_Date]])</f>
        <v>23</v>
      </c>
    </row>
    <row r="3042" spans="1:21" ht="15" customHeight="1" x14ac:dyDescent="0.2">
      <c r="A3042" t="s">
        <v>3348</v>
      </c>
      <c r="B3042" t="s">
        <v>241</v>
      </c>
      <c r="C3042" t="s">
        <v>52</v>
      </c>
      <c r="D3042" s="49">
        <v>45378</v>
      </c>
      <c r="E3042" s="49">
        <v>45379</v>
      </c>
      <c r="F3042" s="49">
        <v>45380</v>
      </c>
      <c r="G3042" s="49">
        <v>45382</v>
      </c>
      <c r="H3042" s="49">
        <v>45384</v>
      </c>
      <c r="I3042" s="49">
        <v>45385</v>
      </c>
      <c r="J3042" t="s">
        <v>47</v>
      </c>
      <c r="K3042" s="33">
        <v>2900</v>
      </c>
      <c r="M3042" t="str">
        <f>_xlfn.XLOOKUP(Pipeline_tbl[[#This Row],[Rep_ID]],Dim_Reps!A:A,Dim_Reps!K:K)</f>
        <v>EUR</v>
      </c>
      <c r="N3042" s="33">
        <f>(_xlfn.XLOOKUP(Pipeline_tbl[[#This Row],[Rate_Code_Generalized]],Lookups!A:A,Lookups!B:B))*Pipeline_tbl[[#This Row],[Pipeline_Amount_USD]]</f>
        <v>2900</v>
      </c>
      <c r="O3042" t="str">
        <f>_xlfn.XLOOKUP(Pipeline_tbl[[#This Row],[Rep_ID]],Dim_Reps!A:A,Dim_Reps!B:B)</f>
        <v>Kenji Weber</v>
      </c>
      <c r="P3042" t="str">
        <f>_xlfn.XLOOKUP(Pipeline_tbl[[#This Row],[Rep_ID]],Dim_Reps!A:A,Dim_Reps!C:C)</f>
        <v>SDR / Inside Sales Rep</v>
      </c>
      <c r="Q3042" t="str">
        <f>_xlfn.XLOOKUP(Pipeline_tbl[[#This Row],[Rep_ID]],Dim_Reps!A:A,Dim_Reps!D:D)</f>
        <v>Inside Sales</v>
      </c>
      <c r="R3042" t="str">
        <f>_xlfn.XLOOKUP(Pipeline_tbl[[#This Row],[Rep_ID]],Dim_Reps!A:A,Dim_Reps!E:E)</f>
        <v>APAC</v>
      </c>
      <c r="S3042" t="str">
        <f>_xlfn.XLOOKUP(Pipeline_tbl[[#This Row],[Created_Date]],Dim_Date!A:A,Dim_Date!H:H)</f>
        <v>Mar 2024</v>
      </c>
      <c r="T3042" t="str">
        <f>IF(Pipeline_tbl[[#This Row],[Closed_Date]]=0,"",(_xlfn.XLOOKUP(Pipeline_tbl[[#This Row],[Closed_Date]],Dim_Date!A:A,Dim_Date!H:H)))</f>
        <v>Apr 2024</v>
      </c>
      <c r="U3042">
        <f>IF(Pipeline_tbl[[#This Row],[Closed_Date]]=0,"",Pipeline_tbl[[#This Row],[Closed_Date]]-Pipeline_tbl[[#This Row],[Created_Date]])</f>
        <v>7</v>
      </c>
    </row>
    <row r="3043" spans="1:21" ht="15" customHeight="1" x14ac:dyDescent="0.2">
      <c r="A3043" t="s">
        <v>3349</v>
      </c>
      <c r="B3043" t="s">
        <v>241</v>
      </c>
      <c r="C3043" t="s">
        <v>52</v>
      </c>
      <c r="D3043" s="49">
        <v>45376</v>
      </c>
      <c r="E3043" s="49">
        <v>45378</v>
      </c>
      <c r="F3043" s="49">
        <v>45382</v>
      </c>
      <c r="G3043" s="49">
        <v>45387</v>
      </c>
      <c r="H3043" s="49">
        <v>45392</v>
      </c>
      <c r="I3043" s="49">
        <v>45395</v>
      </c>
      <c r="J3043" t="s">
        <v>47</v>
      </c>
      <c r="K3043" s="33">
        <v>2100</v>
      </c>
      <c r="M3043" t="str">
        <f>_xlfn.XLOOKUP(Pipeline_tbl[[#This Row],[Rep_ID]],Dim_Reps!A:A,Dim_Reps!K:K)</f>
        <v>EUR</v>
      </c>
      <c r="N3043" s="33">
        <f>(_xlfn.XLOOKUP(Pipeline_tbl[[#This Row],[Rate_Code_Generalized]],Lookups!A:A,Lookups!B:B))*Pipeline_tbl[[#This Row],[Pipeline_Amount_USD]]</f>
        <v>2100</v>
      </c>
      <c r="O3043" t="str">
        <f>_xlfn.XLOOKUP(Pipeline_tbl[[#This Row],[Rep_ID]],Dim_Reps!A:A,Dim_Reps!B:B)</f>
        <v>Kenji Weber</v>
      </c>
      <c r="P3043" t="str">
        <f>_xlfn.XLOOKUP(Pipeline_tbl[[#This Row],[Rep_ID]],Dim_Reps!A:A,Dim_Reps!C:C)</f>
        <v>SDR / Inside Sales Rep</v>
      </c>
      <c r="Q3043" t="str">
        <f>_xlfn.XLOOKUP(Pipeline_tbl[[#This Row],[Rep_ID]],Dim_Reps!A:A,Dim_Reps!D:D)</f>
        <v>Inside Sales</v>
      </c>
      <c r="R3043" t="str">
        <f>_xlfn.XLOOKUP(Pipeline_tbl[[#This Row],[Rep_ID]],Dim_Reps!A:A,Dim_Reps!E:E)</f>
        <v>APAC</v>
      </c>
      <c r="S3043" t="str">
        <f>_xlfn.XLOOKUP(Pipeline_tbl[[#This Row],[Created_Date]],Dim_Date!A:A,Dim_Date!H:H)</f>
        <v>Mar 2024</v>
      </c>
      <c r="T3043" t="str">
        <f>IF(Pipeline_tbl[[#This Row],[Closed_Date]]=0,"",(_xlfn.XLOOKUP(Pipeline_tbl[[#This Row],[Closed_Date]],Dim_Date!A:A,Dim_Date!H:H)))</f>
        <v>Apr 2024</v>
      </c>
      <c r="U3043">
        <f>IF(Pipeline_tbl[[#This Row],[Closed_Date]]=0,"",Pipeline_tbl[[#This Row],[Closed_Date]]-Pipeline_tbl[[#This Row],[Created_Date]])</f>
        <v>19</v>
      </c>
    </row>
    <row r="3044" spans="1:21" ht="15" customHeight="1" x14ac:dyDescent="0.2">
      <c r="A3044" t="s">
        <v>3350</v>
      </c>
      <c r="B3044" t="s">
        <v>241</v>
      </c>
      <c r="C3044" t="s">
        <v>55</v>
      </c>
      <c r="D3044" s="49">
        <v>45377</v>
      </c>
      <c r="E3044" s="49">
        <v>45379</v>
      </c>
      <c r="F3044" s="49">
        <v>45384</v>
      </c>
      <c r="G3044" s="49">
        <v>45391</v>
      </c>
      <c r="I3044" s="49">
        <v>45400</v>
      </c>
      <c r="J3044" t="s">
        <v>49</v>
      </c>
      <c r="K3044" s="33">
        <v>10900</v>
      </c>
      <c r="L3044" t="s">
        <v>61</v>
      </c>
      <c r="M3044" t="str">
        <f>_xlfn.XLOOKUP(Pipeline_tbl[[#This Row],[Rep_ID]],Dim_Reps!A:A,Dim_Reps!K:K)</f>
        <v>EUR</v>
      </c>
      <c r="N3044" s="33">
        <f>(_xlfn.XLOOKUP(Pipeline_tbl[[#This Row],[Rate_Code_Generalized]],Lookups!A:A,Lookups!B:B))*Pipeline_tbl[[#This Row],[Pipeline_Amount_USD]]</f>
        <v>10900</v>
      </c>
      <c r="O3044" t="str">
        <f>_xlfn.XLOOKUP(Pipeline_tbl[[#This Row],[Rep_ID]],Dim_Reps!A:A,Dim_Reps!B:B)</f>
        <v>Kenji Weber</v>
      </c>
      <c r="P3044" t="str">
        <f>_xlfn.XLOOKUP(Pipeline_tbl[[#This Row],[Rep_ID]],Dim_Reps!A:A,Dim_Reps!C:C)</f>
        <v>SDR / Inside Sales Rep</v>
      </c>
      <c r="Q3044" t="str">
        <f>_xlfn.XLOOKUP(Pipeline_tbl[[#This Row],[Rep_ID]],Dim_Reps!A:A,Dim_Reps!D:D)</f>
        <v>Inside Sales</v>
      </c>
      <c r="R3044" t="str">
        <f>_xlfn.XLOOKUP(Pipeline_tbl[[#This Row],[Rep_ID]],Dim_Reps!A:A,Dim_Reps!E:E)</f>
        <v>APAC</v>
      </c>
      <c r="S3044" t="str">
        <f>_xlfn.XLOOKUP(Pipeline_tbl[[#This Row],[Created_Date]],Dim_Date!A:A,Dim_Date!H:H)</f>
        <v>Mar 2024</v>
      </c>
      <c r="T3044" t="str">
        <f>IF(Pipeline_tbl[[#This Row],[Closed_Date]]=0,"",(_xlfn.XLOOKUP(Pipeline_tbl[[#This Row],[Closed_Date]],Dim_Date!A:A,Dim_Date!H:H)))</f>
        <v>Apr 2024</v>
      </c>
      <c r="U3044">
        <f>IF(Pipeline_tbl[[#This Row],[Closed_Date]]=0,"",Pipeline_tbl[[#This Row],[Closed_Date]]-Pipeline_tbl[[#This Row],[Created_Date]])</f>
        <v>23</v>
      </c>
    </row>
    <row r="3045" spans="1:21" ht="15" customHeight="1" x14ac:dyDescent="0.2">
      <c r="A3045" t="s">
        <v>3351</v>
      </c>
      <c r="B3045" t="s">
        <v>241</v>
      </c>
      <c r="C3045" t="s">
        <v>52</v>
      </c>
      <c r="D3045" s="49">
        <v>45368</v>
      </c>
      <c r="E3045" s="49">
        <v>45370</v>
      </c>
      <c r="I3045" s="49">
        <v>45386</v>
      </c>
      <c r="J3045" t="s">
        <v>49</v>
      </c>
      <c r="K3045" s="33">
        <v>2400</v>
      </c>
      <c r="L3045" t="s">
        <v>64</v>
      </c>
      <c r="M3045" t="str">
        <f>_xlfn.XLOOKUP(Pipeline_tbl[[#This Row],[Rep_ID]],Dim_Reps!A:A,Dim_Reps!K:K)</f>
        <v>EUR</v>
      </c>
      <c r="N3045" s="33">
        <f>(_xlfn.XLOOKUP(Pipeline_tbl[[#This Row],[Rate_Code_Generalized]],Lookups!A:A,Lookups!B:B))*Pipeline_tbl[[#This Row],[Pipeline_Amount_USD]]</f>
        <v>2400</v>
      </c>
      <c r="O3045" t="str">
        <f>_xlfn.XLOOKUP(Pipeline_tbl[[#This Row],[Rep_ID]],Dim_Reps!A:A,Dim_Reps!B:B)</f>
        <v>Kenji Weber</v>
      </c>
      <c r="P3045" t="str">
        <f>_xlfn.XLOOKUP(Pipeline_tbl[[#This Row],[Rep_ID]],Dim_Reps!A:A,Dim_Reps!C:C)</f>
        <v>SDR / Inside Sales Rep</v>
      </c>
      <c r="Q3045" t="str">
        <f>_xlfn.XLOOKUP(Pipeline_tbl[[#This Row],[Rep_ID]],Dim_Reps!A:A,Dim_Reps!D:D)</f>
        <v>Inside Sales</v>
      </c>
      <c r="R3045" t="str">
        <f>_xlfn.XLOOKUP(Pipeline_tbl[[#This Row],[Rep_ID]],Dim_Reps!A:A,Dim_Reps!E:E)</f>
        <v>APAC</v>
      </c>
      <c r="S3045" t="str">
        <f>_xlfn.XLOOKUP(Pipeline_tbl[[#This Row],[Created_Date]],Dim_Date!A:A,Dim_Date!H:H)</f>
        <v>Mar 2024</v>
      </c>
      <c r="T3045" t="str">
        <f>IF(Pipeline_tbl[[#This Row],[Closed_Date]]=0,"",(_xlfn.XLOOKUP(Pipeline_tbl[[#This Row],[Closed_Date]],Dim_Date!A:A,Dim_Date!H:H)))</f>
        <v>Apr 2024</v>
      </c>
      <c r="U3045">
        <f>IF(Pipeline_tbl[[#This Row],[Closed_Date]]=0,"",Pipeline_tbl[[#This Row],[Closed_Date]]-Pipeline_tbl[[#This Row],[Created_Date]])</f>
        <v>18</v>
      </c>
    </row>
    <row r="3046" spans="1:21" ht="15" customHeight="1" x14ac:dyDescent="0.2">
      <c r="A3046" t="s">
        <v>3352</v>
      </c>
      <c r="B3046" t="s">
        <v>241</v>
      </c>
      <c r="C3046" t="s">
        <v>52</v>
      </c>
      <c r="D3046" s="49">
        <v>45367</v>
      </c>
      <c r="E3046" s="49">
        <v>45370</v>
      </c>
      <c r="I3046" s="49">
        <v>45397</v>
      </c>
      <c r="J3046" t="s">
        <v>49</v>
      </c>
      <c r="K3046" s="33">
        <v>1700</v>
      </c>
      <c r="L3046" t="s">
        <v>62</v>
      </c>
      <c r="M3046" t="str">
        <f>_xlfn.XLOOKUP(Pipeline_tbl[[#This Row],[Rep_ID]],Dim_Reps!A:A,Dim_Reps!K:K)</f>
        <v>EUR</v>
      </c>
      <c r="N3046" s="33">
        <f>(_xlfn.XLOOKUP(Pipeline_tbl[[#This Row],[Rate_Code_Generalized]],Lookups!A:A,Lookups!B:B))*Pipeline_tbl[[#This Row],[Pipeline_Amount_USD]]</f>
        <v>1700</v>
      </c>
      <c r="O3046" t="str">
        <f>_xlfn.XLOOKUP(Pipeline_tbl[[#This Row],[Rep_ID]],Dim_Reps!A:A,Dim_Reps!B:B)</f>
        <v>Kenji Weber</v>
      </c>
      <c r="P3046" t="str">
        <f>_xlfn.XLOOKUP(Pipeline_tbl[[#This Row],[Rep_ID]],Dim_Reps!A:A,Dim_Reps!C:C)</f>
        <v>SDR / Inside Sales Rep</v>
      </c>
      <c r="Q3046" t="str">
        <f>_xlfn.XLOOKUP(Pipeline_tbl[[#This Row],[Rep_ID]],Dim_Reps!A:A,Dim_Reps!D:D)</f>
        <v>Inside Sales</v>
      </c>
      <c r="R3046" t="str">
        <f>_xlfn.XLOOKUP(Pipeline_tbl[[#This Row],[Rep_ID]],Dim_Reps!A:A,Dim_Reps!E:E)</f>
        <v>APAC</v>
      </c>
      <c r="S3046" t="str">
        <f>_xlfn.XLOOKUP(Pipeline_tbl[[#This Row],[Created_Date]],Dim_Date!A:A,Dim_Date!H:H)</f>
        <v>Mar 2024</v>
      </c>
      <c r="T3046" t="str">
        <f>IF(Pipeline_tbl[[#This Row],[Closed_Date]]=0,"",(_xlfn.XLOOKUP(Pipeline_tbl[[#This Row],[Closed_Date]],Dim_Date!A:A,Dim_Date!H:H)))</f>
        <v>Apr 2024</v>
      </c>
      <c r="U3046">
        <f>IF(Pipeline_tbl[[#This Row],[Closed_Date]]=0,"",Pipeline_tbl[[#This Row],[Closed_Date]]-Pipeline_tbl[[#This Row],[Created_Date]])</f>
        <v>30</v>
      </c>
    </row>
    <row r="3047" spans="1:21" ht="15" customHeight="1" x14ac:dyDescent="0.2">
      <c r="A3047" t="s">
        <v>3353</v>
      </c>
      <c r="B3047" t="s">
        <v>241</v>
      </c>
      <c r="C3047" t="s">
        <v>52</v>
      </c>
      <c r="D3047" s="49">
        <v>45380</v>
      </c>
      <c r="E3047" s="49">
        <v>45382</v>
      </c>
      <c r="F3047" s="49">
        <v>45387</v>
      </c>
      <c r="G3047" s="49">
        <v>45393</v>
      </c>
      <c r="H3047" s="49">
        <v>45399</v>
      </c>
      <c r="I3047" s="49">
        <v>45402</v>
      </c>
      <c r="J3047" t="s">
        <v>47</v>
      </c>
      <c r="K3047" s="33">
        <v>1300</v>
      </c>
      <c r="M3047" t="str">
        <f>_xlfn.XLOOKUP(Pipeline_tbl[[#This Row],[Rep_ID]],Dim_Reps!A:A,Dim_Reps!K:K)</f>
        <v>EUR</v>
      </c>
      <c r="N3047" s="33">
        <f>(_xlfn.XLOOKUP(Pipeline_tbl[[#This Row],[Rate_Code_Generalized]],Lookups!A:A,Lookups!B:B))*Pipeline_tbl[[#This Row],[Pipeline_Amount_USD]]</f>
        <v>1300</v>
      </c>
      <c r="O3047" t="str">
        <f>_xlfn.XLOOKUP(Pipeline_tbl[[#This Row],[Rep_ID]],Dim_Reps!A:A,Dim_Reps!B:B)</f>
        <v>Kenji Weber</v>
      </c>
      <c r="P3047" t="str">
        <f>_xlfn.XLOOKUP(Pipeline_tbl[[#This Row],[Rep_ID]],Dim_Reps!A:A,Dim_Reps!C:C)</f>
        <v>SDR / Inside Sales Rep</v>
      </c>
      <c r="Q3047" t="str">
        <f>_xlfn.XLOOKUP(Pipeline_tbl[[#This Row],[Rep_ID]],Dim_Reps!A:A,Dim_Reps!D:D)</f>
        <v>Inside Sales</v>
      </c>
      <c r="R3047" t="str">
        <f>_xlfn.XLOOKUP(Pipeline_tbl[[#This Row],[Rep_ID]],Dim_Reps!A:A,Dim_Reps!E:E)</f>
        <v>APAC</v>
      </c>
      <c r="S3047" t="str">
        <f>_xlfn.XLOOKUP(Pipeline_tbl[[#This Row],[Created_Date]],Dim_Date!A:A,Dim_Date!H:H)</f>
        <v>Mar 2024</v>
      </c>
      <c r="T3047" t="str">
        <f>IF(Pipeline_tbl[[#This Row],[Closed_Date]]=0,"",(_xlfn.XLOOKUP(Pipeline_tbl[[#This Row],[Closed_Date]],Dim_Date!A:A,Dim_Date!H:H)))</f>
        <v>Apr 2024</v>
      </c>
      <c r="U3047">
        <f>IF(Pipeline_tbl[[#This Row],[Closed_Date]]=0,"",Pipeline_tbl[[#This Row],[Closed_Date]]-Pipeline_tbl[[#This Row],[Created_Date]])</f>
        <v>22</v>
      </c>
    </row>
    <row r="3048" spans="1:21" ht="15" customHeight="1" x14ac:dyDescent="0.2">
      <c r="A3048" t="s">
        <v>3354</v>
      </c>
      <c r="B3048" t="s">
        <v>241</v>
      </c>
      <c r="C3048" t="s">
        <v>52</v>
      </c>
      <c r="D3048" s="49">
        <v>45368</v>
      </c>
      <c r="E3048" s="49">
        <v>45370</v>
      </c>
      <c r="F3048" s="49">
        <v>45373</v>
      </c>
      <c r="G3048" s="49">
        <v>45378</v>
      </c>
      <c r="H3048" s="49">
        <v>45382</v>
      </c>
      <c r="I3048" s="49">
        <v>45384</v>
      </c>
      <c r="J3048" t="s">
        <v>47</v>
      </c>
      <c r="K3048" s="33">
        <v>2900</v>
      </c>
      <c r="M3048" t="str">
        <f>_xlfn.XLOOKUP(Pipeline_tbl[[#This Row],[Rep_ID]],Dim_Reps!A:A,Dim_Reps!K:K)</f>
        <v>EUR</v>
      </c>
      <c r="N3048" s="33">
        <f>(_xlfn.XLOOKUP(Pipeline_tbl[[#This Row],[Rate_Code_Generalized]],Lookups!A:A,Lookups!B:B))*Pipeline_tbl[[#This Row],[Pipeline_Amount_USD]]</f>
        <v>2900</v>
      </c>
      <c r="O3048" t="str">
        <f>_xlfn.XLOOKUP(Pipeline_tbl[[#This Row],[Rep_ID]],Dim_Reps!A:A,Dim_Reps!B:B)</f>
        <v>Kenji Weber</v>
      </c>
      <c r="P3048" t="str">
        <f>_xlfn.XLOOKUP(Pipeline_tbl[[#This Row],[Rep_ID]],Dim_Reps!A:A,Dim_Reps!C:C)</f>
        <v>SDR / Inside Sales Rep</v>
      </c>
      <c r="Q3048" t="str">
        <f>_xlfn.XLOOKUP(Pipeline_tbl[[#This Row],[Rep_ID]],Dim_Reps!A:A,Dim_Reps!D:D)</f>
        <v>Inside Sales</v>
      </c>
      <c r="R3048" t="str">
        <f>_xlfn.XLOOKUP(Pipeline_tbl[[#This Row],[Rep_ID]],Dim_Reps!A:A,Dim_Reps!E:E)</f>
        <v>APAC</v>
      </c>
      <c r="S3048" t="str">
        <f>_xlfn.XLOOKUP(Pipeline_tbl[[#This Row],[Created_Date]],Dim_Date!A:A,Dim_Date!H:H)</f>
        <v>Mar 2024</v>
      </c>
      <c r="T3048" t="str">
        <f>IF(Pipeline_tbl[[#This Row],[Closed_Date]]=0,"",(_xlfn.XLOOKUP(Pipeline_tbl[[#This Row],[Closed_Date]],Dim_Date!A:A,Dim_Date!H:H)))</f>
        <v>Apr 2024</v>
      </c>
      <c r="U3048">
        <f>IF(Pipeline_tbl[[#This Row],[Closed_Date]]=0,"",Pipeline_tbl[[#This Row],[Closed_Date]]-Pipeline_tbl[[#This Row],[Created_Date]])</f>
        <v>16</v>
      </c>
    </row>
    <row r="3049" spans="1:21" ht="15" customHeight="1" x14ac:dyDescent="0.2">
      <c r="A3049" t="s">
        <v>3355</v>
      </c>
      <c r="B3049" t="s">
        <v>241</v>
      </c>
      <c r="C3049" t="s">
        <v>53</v>
      </c>
      <c r="D3049" s="49">
        <v>45382</v>
      </c>
      <c r="E3049" s="49">
        <v>45383</v>
      </c>
      <c r="F3049" s="49">
        <v>45385</v>
      </c>
      <c r="G3049" s="49">
        <v>45388</v>
      </c>
      <c r="H3049" s="49">
        <v>45390</v>
      </c>
      <c r="I3049" s="49">
        <v>45392</v>
      </c>
      <c r="J3049" t="s">
        <v>47</v>
      </c>
      <c r="K3049" s="33">
        <v>6400</v>
      </c>
      <c r="M3049" t="str">
        <f>_xlfn.XLOOKUP(Pipeline_tbl[[#This Row],[Rep_ID]],Dim_Reps!A:A,Dim_Reps!K:K)</f>
        <v>EUR</v>
      </c>
      <c r="N3049" s="33">
        <f>(_xlfn.XLOOKUP(Pipeline_tbl[[#This Row],[Rate_Code_Generalized]],Lookups!A:A,Lookups!B:B))*Pipeline_tbl[[#This Row],[Pipeline_Amount_USD]]</f>
        <v>6400</v>
      </c>
      <c r="O3049" t="str">
        <f>_xlfn.XLOOKUP(Pipeline_tbl[[#This Row],[Rep_ID]],Dim_Reps!A:A,Dim_Reps!B:B)</f>
        <v>Kenji Weber</v>
      </c>
      <c r="P3049" t="str">
        <f>_xlfn.XLOOKUP(Pipeline_tbl[[#This Row],[Rep_ID]],Dim_Reps!A:A,Dim_Reps!C:C)</f>
        <v>SDR / Inside Sales Rep</v>
      </c>
      <c r="Q3049" t="str">
        <f>_xlfn.XLOOKUP(Pipeline_tbl[[#This Row],[Rep_ID]],Dim_Reps!A:A,Dim_Reps!D:D)</f>
        <v>Inside Sales</v>
      </c>
      <c r="R3049" t="str">
        <f>_xlfn.XLOOKUP(Pipeline_tbl[[#This Row],[Rep_ID]],Dim_Reps!A:A,Dim_Reps!E:E)</f>
        <v>APAC</v>
      </c>
      <c r="S3049" t="str">
        <f>_xlfn.XLOOKUP(Pipeline_tbl[[#This Row],[Created_Date]],Dim_Date!A:A,Dim_Date!H:H)</f>
        <v>Mar 2024</v>
      </c>
      <c r="T3049" t="str">
        <f>IF(Pipeline_tbl[[#This Row],[Closed_Date]]=0,"",(_xlfn.XLOOKUP(Pipeline_tbl[[#This Row],[Closed_Date]],Dim_Date!A:A,Dim_Date!H:H)))</f>
        <v>Apr 2024</v>
      </c>
      <c r="U3049">
        <f>IF(Pipeline_tbl[[#This Row],[Closed_Date]]=0,"",Pipeline_tbl[[#This Row],[Closed_Date]]-Pipeline_tbl[[#This Row],[Created_Date]])</f>
        <v>10</v>
      </c>
    </row>
    <row r="3050" spans="1:21" ht="15" customHeight="1" x14ac:dyDescent="0.2">
      <c r="A3050" t="s">
        <v>3356</v>
      </c>
      <c r="B3050" t="s">
        <v>191</v>
      </c>
      <c r="C3050" t="s">
        <v>54</v>
      </c>
      <c r="D3050" s="49">
        <v>45381</v>
      </c>
      <c r="E3050" s="49">
        <v>45391</v>
      </c>
      <c r="F3050" s="49">
        <v>45410</v>
      </c>
      <c r="I3050" s="49">
        <v>45476</v>
      </c>
      <c r="J3050" t="s">
        <v>49</v>
      </c>
      <c r="K3050" s="33">
        <v>19600</v>
      </c>
      <c r="L3050" t="s">
        <v>61</v>
      </c>
      <c r="M3050" t="str">
        <f>_xlfn.XLOOKUP(Pipeline_tbl[[#This Row],[Rep_ID]],Dim_Reps!A:A,Dim_Reps!K:K)</f>
        <v>USD</v>
      </c>
      <c r="N3050" s="33">
        <f>(_xlfn.XLOOKUP(Pipeline_tbl[[#This Row],[Rate_Code_Generalized]],Lookups!A:A,Lookups!B:B))*Pipeline_tbl[[#This Row],[Pipeline_Amount_USD]]</f>
        <v>22820.28</v>
      </c>
      <c r="O3050" t="str">
        <f>_xlfn.XLOOKUP(Pipeline_tbl[[#This Row],[Rep_ID]],Dim_Reps!A:A,Dim_Reps!B:B)</f>
        <v>Zara Duarte</v>
      </c>
      <c r="P3050" t="str">
        <f>_xlfn.XLOOKUP(Pipeline_tbl[[#This Row],[Rep_ID]],Dim_Reps!A:A,Dim_Reps!C:C)</f>
        <v>Enterprise AE</v>
      </c>
      <c r="Q3050" t="str">
        <f>_xlfn.XLOOKUP(Pipeline_tbl[[#This Row],[Rep_ID]],Dim_Reps!A:A,Dim_Reps!D:D)</f>
        <v>Enterprise</v>
      </c>
      <c r="R3050" t="str">
        <f>_xlfn.XLOOKUP(Pipeline_tbl[[#This Row],[Rep_ID]],Dim_Reps!A:A,Dim_Reps!E:E)</f>
        <v>NAMER</v>
      </c>
      <c r="S3050" t="str">
        <f>_xlfn.XLOOKUP(Pipeline_tbl[[#This Row],[Created_Date]],Dim_Date!A:A,Dim_Date!H:H)</f>
        <v>Mar 2024</v>
      </c>
      <c r="T3050" t="str">
        <f>IF(Pipeline_tbl[[#This Row],[Closed_Date]]=0,"",(_xlfn.XLOOKUP(Pipeline_tbl[[#This Row],[Closed_Date]],Dim_Date!A:A,Dim_Date!H:H)))</f>
        <v>Jul 2024</v>
      </c>
      <c r="U3050">
        <f>IF(Pipeline_tbl[[#This Row],[Closed_Date]]=0,"",Pipeline_tbl[[#This Row],[Closed_Date]]-Pipeline_tbl[[#This Row],[Created_Date]])</f>
        <v>95</v>
      </c>
    </row>
    <row r="3051" spans="1:21" ht="15" customHeight="1" x14ac:dyDescent="0.2">
      <c r="A3051" t="s">
        <v>3357</v>
      </c>
      <c r="B3051" t="s">
        <v>183</v>
      </c>
      <c r="C3051" t="s">
        <v>52</v>
      </c>
      <c r="D3051" s="49">
        <v>45379</v>
      </c>
      <c r="E3051" s="49">
        <v>45386</v>
      </c>
      <c r="F3051" s="49">
        <v>45400</v>
      </c>
      <c r="G3051" s="49">
        <v>45421</v>
      </c>
      <c r="I3051" s="49">
        <v>45449</v>
      </c>
      <c r="J3051" t="s">
        <v>49</v>
      </c>
      <c r="K3051" s="33">
        <v>20800</v>
      </c>
      <c r="L3051" t="s">
        <v>60</v>
      </c>
      <c r="M3051" t="str">
        <f>_xlfn.XLOOKUP(Pipeline_tbl[[#This Row],[Rep_ID]],Dim_Reps!A:A,Dim_Reps!K:K)</f>
        <v>EUR</v>
      </c>
      <c r="N3051" s="33">
        <f>(_xlfn.XLOOKUP(Pipeline_tbl[[#This Row],[Rate_Code_Generalized]],Lookups!A:A,Lookups!B:B))*Pipeline_tbl[[#This Row],[Pipeline_Amount_USD]]</f>
        <v>20800</v>
      </c>
      <c r="O3051" t="str">
        <f>_xlfn.XLOOKUP(Pipeline_tbl[[#This Row],[Rep_ID]],Dim_Reps!A:A,Dim_Reps!B:B)</f>
        <v>Sam Schmidt</v>
      </c>
      <c r="P3051" t="str">
        <f>_xlfn.XLOOKUP(Pipeline_tbl[[#This Row],[Rep_ID]],Dim_Reps!A:A,Dim_Reps!C:C)</f>
        <v>Enterprise AE</v>
      </c>
      <c r="Q3051" t="str">
        <f>_xlfn.XLOOKUP(Pipeline_tbl[[#This Row],[Rep_ID]],Dim_Reps!A:A,Dim_Reps!D:D)</f>
        <v>Enterprise</v>
      </c>
      <c r="R3051" t="str">
        <f>_xlfn.XLOOKUP(Pipeline_tbl[[#This Row],[Rep_ID]],Dim_Reps!A:A,Dim_Reps!E:E)</f>
        <v>EMEA</v>
      </c>
      <c r="S3051" t="str">
        <f>_xlfn.XLOOKUP(Pipeline_tbl[[#This Row],[Created_Date]],Dim_Date!A:A,Dim_Date!H:H)</f>
        <v>Mar 2024</v>
      </c>
      <c r="T3051" t="str">
        <f>IF(Pipeline_tbl[[#This Row],[Closed_Date]]=0,"",(_xlfn.XLOOKUP(Pipeline_tbl[[#This Row],[Closed_Date]],Dim_Date!A:A,Dim_Date!H:H)))</f>
        <v>Jun 2024</v>
      </c>
      <c r="U3051">
        <f>IF(Pipeline_tbl[[#This Row],[Closed_Date]]=0,"",Pipeline_tbl[[#This Row],[Closed_Date]]-Pipeline_tbl[[#This Row],[Created_Date]])</f>
        <v>70</v>
      </c>
    </row>
    <row r="3052" spans="1:21" ht="15" customHeight="1" x14ac:dyDescent="0.2">
      <c r="A3052" t="s">
        <v>3358</v>
      </c>
      <c r="B3052" t="s">
        <v>188</v>
      </c>
      <c r="C3052" t="s">
        <v>54</v>
      </c>
      <c r="D3052" s="49">
        <v>45353</v>
      </c>
      <c r="E3052" s="49">
        <v>45362</v>
      </c>
      <c r="F3052" s="49">
        <v>45381</v>
      </c>
      <c r="G3052" s="49">
        <v>45409</v>
      </c>
      <c r="H3052" s="49">
        <v>45433</v>
      </c>
      <c r="I3052" s="49">
        <v>45447</v>
      </c>
      <c r="J3052" t="s">
        <v>49</v>
      </c>
      <c r="K3052" s="33">
        <v>16600</v>
      </c>
      <c r="L3052" t="s">
        <v>64</v>
      </c>
      <c r="M3052" t="str">
        <f>_xlfn.XLOOKUP(Pipeline_tbl[[#This Row],[Rep_ID]],Dim_Reps!A:A,Dim_Reps!K:K)</f>
        <v>EUR</v>
      </c>
      <c r="N3052" s="33">
        <f>(_xlfn.XLOOKUP(Pipeline_tbl[[#This Row],[Rate_Code_Generalized]],Lookups!A:A,Lookups!B:B))*Pipeline_tbl[[#This Row],[Pipeline_Amount_USD]]</f>
        <v>16600</v>
      </c>
      <c r="O3052" t="str">
        <f>_xlfn.XLOOKUP(Pipeline_tbl[[#This Row],[Rep_ID]],Dim_Reps!A:A,Dim_Reps!B:B)</f>
        <v>Jamie Santos</v>
      </c>
      <c r="P3052" t="str">
        <f>_xlfn.XLOOKUP(Pipeline_tbl[[#This Row],[Rep_ID]],Dim_Reps!A:A,Dim_Reps!C:C)</f>
        <v>Enterprise AE</v>
      </c>
      <c r="Q3052" t="str">
        <f>_xlfn.XLOOKUP(Pipeline_tbl[[#This Row],[Rep_ID]],Dim_Reps!A:A,Dim_Reps!D:D)</f>
        <v>Enterprise</v>
      </c>
      <c r="R3052" t="str">
        <f>_xlfn.XLOOKUP(Pipeline_tbl[[#This Row],[Rep_ID]],Dim_Reps!A:A,Dim_Reps!E:E)</f>
        <v>APAC</v>
      </c>
      <c r="S3052" t="str">
        <f>_xlfn.XLOOKUP(Pipeline_tbl[[#This Row],[Created_Date]],Dim_Date!A:A,Dim_Date!H:H)</f>
        <v>Mar 2024</v>
      </c>
      <c r="T3052" t="str">
        <f>IF(Pipeline_tbl[[#This Row],[Closed_Date]]=0,"",(_xlfn.XLOOKUP(Pipeline_tbl[[#This Row],[Closed_Date]],Dim_Date!A:A,Dim_Date!H:H)))</f>
        <v>Jun 2024</v>
      </c>
      <c r="U3052">
        <f>IF(Pipeline_tbl[[#This Row],[Closed_Date]]=0,"",Pipeline_tbl[[#This Row],[Closed_Date]]-Pipeline_tbl[[#This Row],[Created_Date]])</f>
        <v>94</v>
      </c>
    </row>
    <row r="3053" spans="1:21" ht="15" customHeight="1" x14ac:dyDescent="0.2">
      <c r="A3053" t="s">
        <v>3359</v>
      </c>
      <c r="B3053" t="s">
        <v>280</v>
      </c>
      <c r="C3053" t="s">
        <v>54</v>
      </c>
      <c r="D3053" s="49">
        <v>45376</v>
      </c>
      <c r="E3053" s="49">
        <v>45384</v>
      </c>
      <c r="F3053" s="49">
        <v>45399</v>
      </c>
      <c r="I3053" s="49">
        <v>45451</v>
      </c>
      <c r="J3053" t="s">
        <v>49</v>
      </c>
      <c r="K3053" s="33">
        <v>43200</v>
      </c>
      <c r="L3053" t="s">
        <v>63</v>
      </c>
      <c r="M3053" t="str">
        <f>_xlfn.XLOOKUP(Pipeline_tbl[[#This Row],[Rep_ID]],Dim_Reps!A:A,Dim_Reps!K:K)</f>
        <v>MXN</v>
      </c>
      <c r="N3053" s="33">
        <f>(_xlfn.XLOOKUP(Pipeline_tbl[[#This Row],[Rate_Code_Generalized]],Lookups!A:A,Lookups!B:B))*Pipeline_tbl[[#This Row],[Pipeline_Amount_USD]]</f>
        <v>852452.64</v>
      </c>
      <c r="O3053" t="str">
        <f>_xlfn.XLOOKUP(Pipeline_tbl[[#This Row],[Rep_ID]],Dim_Reps!A:A,Dim_Reps!B:B)</f>
        <v>Cameron Lund</v>
      </c>
      <c r="P3053" t="str">
        <f>_xlfn.XLOOKUP(Pipeline_tbl[[#This Row],[Rep_ID]],Dim_Reps!A:A,Dim_Reps!C:C)</f>
        <v>Senior Enterprise AE</v>
      </c>
      <c r="Q3053" t="str">
        <f>_xlfn.XLOOKUP(Pipeline_tbl[[#This Row],[Rep_ID]],Dim_Reps!A:A,Dim_Reps!D:D)</f>
        <v>Strategic</v>
      </c>
      <c r="R3053" t="str">
        <f>_xlfn.XLOOKUP(Pipeline_tbl[[#This Row],[Rep_ID]],Dim_Reps!A:A,Dim_Reps!E:E)</f>
        <v>LATAM</v>
      </c>
      <c r="S3053" t="str">
        <f>_xlfn.XLOOKUP(Pipeline_tbl[[#This Row],[Created_Date]],Dim_Date!A:A,Dim_Date!H:H)</f>
        <v>Mar 2024</v>
      </c>
      <c r="T3053" t="str">
        <f>IF(Pipeline_tbl[[#This Row],[Closed_Date]]=0,"",(_xlfn.XLOOKUP(Pipeline_tbl[[#This Row],[Closed_Date]],Dim_Date!A:A,Dim_Date!H:H)))</f>
        <v>Jun 2024</v>
      </c>
      <c r="U3053">
        <f>IF(Pipeline_tbl[[#This Row],[Closed_Date]]=0,"",Pipeline_tbl[[#This Row],[Closed_Date]]-Pipeline_tbl[[#This Row],[Created_Date]])</f>
        <v>75</v>
      </c>
    </row>
    <row r="3054" spans="1:21" ht="15" customHeight="1" x14ac:dyDescent="0.2">
      <c r="A3054" t="s">
        <v>3360</v>
      </c>
      <c r="B3054" t="s">
        <v>191</v>
      </c>
      <c r="C3054" t="s">
        <v>56</v>
      </c>
      <c r="D3054" s="49">
        <v>45375</v>
      </c>
      <c r="E3054" s="49">
        <v>45383</v>
      </c>
      <c r="F3054" s="49">
        <v>45399</v>
      </c>
      <c r="G3054" s="49">
        <v>45422</v>
      </c>
      <c r="H3054" s="49">
        <v>45442</v>
      </c>
      <c r="I3054" s="49">
        <v>45454</v>
      </c>
      <c r="J3054" t="s">
        <v>49</v>
      </c>
      <c r="K3054" s="33">
        <v>36500</v>
      </c>
      <c r="L3054" t="s">
        <v>60</v>
      </c>
      <c r="M3054" t="str">
        <f>_xlfn.XLOOKUP(Pipeline_tbl[[#This Row],[Rep_ID]],Dim_Reps!A:A,Dim_Reps!K:K)</f>
        <v>USD</v>
      </c>
      <c r="N3054" s="33">
        <f>(_xlfn.XLOOKUP(Pipeline_tbl[[#This Row],[Rate_Code_Generalized]],Lookups!A:A,Lookups!B:B))*Pipeline_tbl[[#This Row],[Pipeline_Amount_USD]]</f>
        <v>42496.95</v>
      </c>
      <c r="O3054" t="str">
        <f>_xlfn.XLOOKUP(Pipeline_tbl[[#This Row],[Rep_ID]],Dim_Reps!A:A,Dim_Reps!B:B)</f>
        <v>Zara Duarte</v>
      </c>
      <c r="P3054" t="str">
        <f>_xlfn.XLOOKUP(Pipeline_tbl[[#This Row],[Rep_ID]],Dim_Reps!A:A,Dim_Reps!C:C)</f>
        <v>Enterprise AE</v>
      </c>
      <c r="Q3054" t="str">
        <f>_xlfn.XLOOKUP(Pipeline_tbl[[#This Row],[Rep_ID]],Dim_Reps!A:A,Dim_Reps!D:D)</f>
        <v>Enterprise</v>
      </c>
      <c r="R3054" t="str">
        <f>_xlfn.XLOOKUP(Pipeline_tbl[[#This Row],[Rep_ID]],Dim_Reps!A:A,Dim_Reps!E:E)</f>
        <v>NAMER</v>
      </c>
      <c r="S3054" t="str">
        <f>_xlfn.XLOOKUP(Pipeline_tbl[[#This Row],[Created_Date]],Dim_Date!A:A,Dim_Date!H:H)</f>
        <v>Mar 2024</v>
      </c>
      <c r="T3054" t="str">
        <f>IF(Pipeline_tbl[[#This Row],[Closed_Date]]=0,"",(_xlfn.XLOOKUP(Pipeline_tbl[[#This Row],[Closed_Date]],Dim_Date!A:A,Dim_Date!H:H)))</f>
        <v>Jun 2024</v>
      </c>
      <c r="U3054">
        <f>IF(Pipeline_tbl[[#This Row],[Closed_Date]]=0,"",Pipeline_tbl[[#This Row],[Closed_Date]]-Pipeline_tbl[[#This Row],[Created_Date]])</f>
        <v>79</v>
      </c>
    </row>
    <row r="3055" spans="1:21" ht="15" customHeight="1" x14ac:dyDescent="0.2">
      <c r="A3055" t="s">
        <v>3361</v>
      </c>
      <c r="B3055" t="s">
        <v>191</v>
      </c>
      <c r="C3055" t="s">
        <v>54</v>
      </c>
      <c r="D3055" s="49">
        <v>45374</v>
      </c>
      <c r="E3055" s="49">
        <v>45381</v>
      </c>
      <c r="F3055" s="49">
        <v>45395</v>
      </c>
      <c r="G3055" s="49">
        <v>45416</v>
      </c>
      <c r="I3055" s="49">
        <v>45444</v>
      </c>
      <c r="J3055" t="s">
        <v>49</v>
      </c>
      <c r="K3055" s="33">
        <v>28700</v>
      </c>
      <c r="L3055" t="s">
        <v>60</v>
      </c>
      <c r="M3055" t="str">
        <f>_xlfn.XLOOKUP(Pipeline_tbl[[#This Row],[Rep_ID]],Dim_Reps!A:A,Dim_Reps!K:K)</f>
        <v>USD</v>
      </c>
      <c r="N3055" s="33">
        <f>(_xlfn.XLOOKUP(Pipeline_tbl[[#This Row],[Rate_Code_Generalized]],Lookups!A:A,Lookups!B:B))*Pipeline_tbl[[#This Row],[Pipeline_Amount_USD]]</f>
        <v>33415.409999999996</v>
      </c>
      <c r="O3055" t="str">
        <f>_xlfn.XLOOKUP(Pipeline_tbl[[#This Row],[Rep_ID]],Dim_Reps!A:A,Dim_Reps!B:B)</f>
        <v>Zara Duarte</v>
      </c>
      <c r="P3055" t="str">
        <f>_xlfn.XLOOKUP(Pipeline_tbl[[#This Row],[Rep_ID]],Dim_Reps!A:A,Dim_Reps!C:C)</f>
        <v>Enterprise AE</v>
      </c>
      <c r="Q3055" t="str">
        <f>_xlfn.XLOOKUP(Pipeline_tbl[[#This Row],[Rep_ID]],Dim_Reps!A:A,Dim_Reps!D:D)</f>
        <v>Enterprise</v>
      </c>
      <c r="R3055" t="str">
        <f>_xlfn.XLOOKUP(Pipeline_tbl[[#This Row],[Rep_ID]],Dim_Reps!A:A,Dim_Reps!E:E)</f>
        <v>NAMER</v>
      </c>
      <c r="S3055" t="str">
        <f>_xlfn.XLOOKUP(Pipeline_tbl[[#This Row],[Created_Date]],Dim_Date!A:A,Dim_Date!H:H)</f>
        <v>Mar 2024</v>
      </c>
      <c r="T3055" t="str">
        <f>IF(Pipeline_tbl[[#This Row],[Closed_Date]]=0,"",(_xlfn.XLOOKUP(Pipeline_tbl[[#This Row],[Closed_Date]],Dim_Date!A:A,Dim_Date!H:H)))</f>
        <v>Jun 2024</v>
      </c>
      <c r="U3055">
        <f>IF(Pipeline_tbl[[#This Row],[Closed_Date]]=0,"",Pipeline_tbl[[#This Row],[Closed_Date]]-Pipeline_tbl[[#This Row],[Created_Date]])</f>
        <v>70</v>
      </c>
    </row>
    <row r="3056" spans="1:21" ht="15" customHeight="1" x14ac:dyDescent="0.2">
      <c r="A3056" t="s">
        <v>3362</v>
      </c>
      <c r="B3056" t="s">
        <v>193</v>
      </c>
      <c r="C3056" t="s">
        <v>52</v>
      </c>
      <c r="D3056" s="49">
        <v>45359</v>
      </c>
      <c r="E3056" s="49">
        <v>45361</v>
      </c>
      <c r="F3056" s="49">
        <v>45364</v>
      </c>
      <c r="G3056" s="49">
        <v>45368</v>
      </c>
      <c r="H3056" s="49">
        <v>45372</v>
      </c>
      <c r="I3056" s="49">
        <v>45374</v>
      </c>
      <c r="J3056" t="s">
        <v>49</v>
      </c>
      <c r="K3056" s="33">
        <v>2600</v>
      </c>
      <c r="L3056" t="s">
        <v>60</v>
      </c>
      <c r="M3056" t="str">
        <f>_xlfn.XLOOKUP(Pipeline_tbl[[#This Row],[Rep_ID]],Dim_Reps!A:A,Dim_Reps!K:K)</f>
        <v>USD</v>
      </c>
      <c r="N3056" s="33">
        <f>(_xlfn.XLOOKUP(Pipeline_tbl[[#This Row],[Rate_Code_Generalized]],Lookups!A:A,Lookups!B:B))*Pipeline_tbl[[#This Row],[Pipeline_Amount_USD]]</f>
        <v>3027.18</v>
      </c>
      <c r="O3056" t="str">
        <f>_xlfn.XLOOKUP(Pipeline_tbl[[#This Row],[Rep_ID]],Dim_Reps!A:A,Dim_Reps!B:B)</f>
        <v>Karim Rossi</v>
      </c>
      <c r="P3056" t="str">
        <f>_xlfn.XLOOKUP(Pipeline_tbl[[#This Row],[Rep_ID]],Dim_Reps!A:A,Dim_Reps!C:C)</f>
        <v>SDR / Inside Sales Rep</v>
      </c>
      <c r="Q3056" t="str">
        <f>_xlfn.XLOOKUP(Pipeline_tbl[[#This Row],[Rep_ID]],Dim_Reps!A:A,Dim_Reps!D:D)</f>
        <v>Inside Sales</v>
      </c>
      <c r="R3056" t="str">
        <f>_xlfn.XLOOKUP(Pipeline_tbl[[#This Row],[Rep_ID]],Dim_Reps!A:A,Dim_Reps!E:E)</f>
        <v>NAMER</v>
      </c>
      <c r="S3056" t="str">
        <f>_xlfn.XLOOKUP(Pipeline_tbl[[#This Row],[Created_Date]],Dim_Date!A:A,Dim_Date!H:H)</f>
        <v>Mar 2024</v>
      </c>
      <c r="T3056" t="str">
        <f>IF(Pipeline_tbl[[#This Row],[Closed_Date]]=0,"",(_xlfn.XLOOKUP(Pipeline_tbl[[#This Row],[Closed_Date]],Dim_Date!A:A,Dim_Date!H:H)))</f>
        <v>Mar 2024</v>
      </c>
      <c r="U3056">
        <f>IF(Pipeline_tbl[[#This Row],[Closed_Date]]=0,"",Pipeline_tbl[[#This Row],[Closed_Date]]-Pipeline_tbl[[#This Row],[Created_Date]])</f>
        <v>15</v>
      </c>
    </row>
    <row r="3057" spans="1:21" ht="15" customHeight="1" x14ac:dyDescent="0.2">
      <c r="A3057" t="s">
        <v>3363</v>
      </c>
      <c r="B3057" t="s">
        <v>193</v>
      </c>
      <c r="C3057" t="s">
        <v>52</v>
      </c>
      <c r="D3057" s="49">
        <v>45363</v>
      </c>
      <c r="E3057" s="49">
        <v>45364</v>
      </c>
      <c r="F3057" s="49">
        <v>45367</v>
      </c>
      <c r="G3057" s="49">
        <v>45371</v>
      </c>
      <c r="I3057" s="49">
        <v>45377</v>
      </c>
      <c r="J3057" t="s">
        <v>49</v>
      </c>
      <c r="K3057" s="33">
        <v>4400</v>
      </c>
      <c r="L3057" t="s">
        <v>61</v>
      </c>
      <c r="M3057" t="str">
        <f>_xlfn.XLOOKUP(Pipeline_tbl[[#This Row],[Rep_ID]],Dim_Reps!A:A,Dim_Reps!K:K)</f>
        <v>USD</v>
      </c>
      <c r="N3057" s="33">
        <f>(_xlfn.XLOOKUP(Pipeline_tbl[[#This Row],[Rate_Code_Generalized]],Lookups!A:A,Lookups!B:B))*Pipeline_tbl[[#This Row],[Pipeline_Amount_USD]]</f>
        <v>5122.9199999999992</v>
      </c>
      <c r="O3057" t="str">
        <f>_xlfn.XLOOKUP(Pipeline_tbl[[#This Row],[Rep_ID]],Dim_Reps!A:A,Dim_Reps!B:B)</f>
        <v>Karim Rossi</v>
      </c>
      <c r="P3057" t="str">
        <f>_xlfn.XLOOKUP(Pipeline_tbl[[#This Row],[Rep_ID]],Dim_Reps!A:A,Dim_Reps!C:C)</f>
        <v>SDR / Inside Sales Rep</v>
      </c>
      <c r="Q3057" t="str">
        <f>_xlfn.XLOOKUP(Pipeline_tbl[[#This Row],[Rep_ID]],Dim_Reps!A:A,Dim_Reps!D:D)</f>
        <v>Inside Sales</v>
      </c>
      <c r="R3057" t="str">
        <f>_xlfn.XLOOKUP(Pipeline_tbl[[#This Row],[Rep_ID]],Dim_Reps!A:A,Dim_Reps!E:E)</f>
        <v>NAMER</v>
      </c>
      <c r="S3057" t="str">
        <f>_xlfn.XLOOKUP(Pipeline_tbl[[#This Row],[Created_Date]],Dim_Date!A:A,Dim_Date!H:H)</f>
        <v>Mar 2024</v>
      </c>
      <c r="T3057" t="str">
        <f>IF(Pipeline_tbl[[#This Row],[Closed_Date]]=0,"",(_xlfn.XLOOKUP(Pipeline_tbl[[#This Row],[Closed_Date]],Dim_Date!A:A,Dim_Date!H:H)))</f>
        <v>Mar 2024</v>
      </c>
      <c r="U3057">
        <f>IF(Pipeline_tbl[[#This Row],[Closed_Date]]=0,"",Pipeline_tbl[[#This Row],[Closed_Date]]-Pipeline_tbl[[#This Row],[Created_Date]])</f>
        <v>14</v>
      </c>
    </row>
    <row r="3058" spans="1:21" ht="15" customHeight="1" x14ac:dyDescent="0.2">
      <c r="A3058" t="s">
        <v>3364</v>
      </c>
      <c r="B3058" t="s">
        <v>193</v>
      </c>
      <c r="C3058" t="s">
        <v>54</v>
      </c>
      <c r="D3058" s="49">
        <v>45361</v>
      </c>
      <c r="E3058" s="49">
        <v>45363</v>
      </c>
      <c r="F3058" s="49">
        <v>45366</v>
      </c>
      <c r="G3058" s="49">
        <v>45372</v>
      </c>
      <c r="H3058" s="49">
        <v>45376</v>
      </c>
      <c r="I3058" s="49">
        <v>45379</v>
      </c>
      <c r="J3058" t="s">
        <v>47</v>
      </c>
      <c r="K3058" s="33">
        <v>3600</v>
      </c>
      <c r="M3058" t="str">
        <f>_xlfn.XLOOKUP(Pipeline_tbl[[#This Row],[Rep_ID]],Dim_Reps!A:A,Dim_Reps!K:K)</f>
        <v>USD</v>
      </c>
      <c r="N3058" s="33">
        <f>(_xlfn.XLOOKUP(Pipeline_tbl[[#This Row],[Rate_Code_Generalized]],Lookups!A:A,Lookups!B:B))*Pipeline_tbl[[#This Row],[Pipeline_Amount_USD]]</f>
        <v>4191.4799999999996</v>
      </c>
      <c r="O3058" t="str">
        <f>_xlfn.XLOOKUP(Pipeline_tbl[[#This Row],[Rep_ID]],Dim_Reps!A:A,Dim_Reps!B:B)</f>
        <v>Karim Rossi</v>
      </c>
      <c r="P3058" t="str">
        <f>_xlfn.XLOOKUP(Pipeline_tbl[[#This Row],[Rep_ID]],Dim_Reps!A:A,Dim_Reps!C:C)</f>
        <v>SDR / Inside Sales Rep</v>
      </c>
      <c r="Q3058" t="str">
        <f>_xlfn.XLOOKUP(Pipeline_tbl[[#This Row],[Rep_ID]],Dim_Reps!A:A,Dim_Reps!D:D)</f>
        <v>Inside Sales</v>
      </c>
      <c r="R3058" t="str">
        <f>_xlfn.XLOOKUP(Pipeline_tbl[[#This Row],[Rep_ID]],Dim_Reps!A:A,Dim_Reps!E:E)</f>
        <v>NAMER</v>
      </c>
      <c r="S3058" t="str">
        <f>_xlfn.XLOOKUP(Pipeline_tbl[[#This Row],[Created_Date]],Dim_Date!A:A,Dim_Date!H:H)</f>
        <v>Mar 2024</v>
      </c>
      <c r="T3058" t="str">
        <f>IF(Pipeline_tbl[[#This Row],[Closed_Date]]=0,"",(_xlfn.XLOOKUP(Pipeline_tbl[[#This Row],[Closed_Date]],Dim_Date!A:A,Dim_Date!H:H)))</f>
        <v>Mar 2024</v>
      </c>
      <c r="U3058">
        <f>IF(Pipeline_tbl[[#This Row],[Closed_Date]]=0,"",Pipeline_tbl[[#This Row],[Closed_Date]]-Pipeline_tbl[[#This Row],[Created_Date]])</f>
        <v>18</v>
      </c>
    </row>
    <row r="3059" spans="1:21" ht="15" customHeight="1" x14ac:dyDescent="0.2">
      <c r="A3059" t="s">
        <v>3365</v>
      </c>
      <c r="B3059" t="s">
        <v>193</v>
      </c>
      <c r="C3059" t="s">
        <v>54</v>
      </c>
      <c r="D3059" s="49">
        <v>45357</v>
      </c>
      <c r="E3059" s="49">
        <v>45358</v>
      </c>
      <c r="F3059" s="49">
        <v>45359</v>
      </c>
      <c r="G3059" s="49">
        <v>45362</v>
      </c>
      <c r="H3059" s="49">
        <v>45364</v>
      </c>
      <c r="I3059" s="49">
        <v>45365</v>
      </c>
      <c r="J3059" t="s">
        <v>49</v>
      </c>
      <c r="K3059" s="33">
        <v>3100</v>
      </c>
      <c r="L3059" t="s">
        <v>62</v>
      </c>
      <c r="M3059" t="str">
        <f>_xlfn.XLOOKUP(Pipeline_tbl[[#This Row],[Rep_ID]],Dim_Reps!A:A,Dim_Reps!K:K)</f>
        <v>USD</v>
      </c>
      <c r="N3059" s="33">
        <f>(_xlfn.XLOOKUP(Pipeline_tbl[[#This Row],[Rate_Code_Generalized]],Lookups!A:A,Lookups!B:B))*Pipeline_tbl[[#This Row],[Pipeline_Amount_USD]]</f>
        <v>3609.3299999999995</v>
      </c>
      <c r="O3059" t="str">
        <f>_xlfn.XLOOKUP(Pipeline_tbl[[#This Row],[Rep_ID]],Dim_Reps!A:A,Dim_Reps!B:B)</f>
        <v>Karim Rossi</v>
      </c>
      <c r="P3059" t="str">
        <f>_xlfn.XLOOKUP(Pipeline_tbl[[#This Row],[Rep_ID]],Dim_Reps!A:A,Dim_Reps!C:C)</f>
        <v>SDR / Inside Sales Rep</v>
      </c>
      <c r="Q3059" t="str">
        <f>_xlfn.XLOOKUP(Pipeline_tbl[[#This Row],[Rep_ID]],Dim_Reps!A:A,Dim_Reps!D:D)</f>
        <v>Inside Sales</v>
      </c>
      <c r="R3059" t="str">
        <f>_xlfn.XLOOKUP(Pipeline_tbl[[#This Row],[Rep_ID]],Dim_Reps!A:A,Dim_Reps!E:E)</f>
        <v>NAMER</v>
      </c>
      <c r="S3059" t="str">
        <f>_xlfn.XLOOKUP(Pipeline_tbl[[#This Row],[Created_Date]],Dim_Date!A:A,Dim_Date!H:H)</f>
        <v>Mar 2024</v>
      </c>
      <c r="T3059" t="str">
        <f>IF(Pipeline_tbl[[#This Row],[Closed_Date]]=0,"",(_xlfn.XLOOKUP(Pipeline_tbl[[#This Row],[Closed_Date]],Dim_Date!A:A,Dim_Date!H:H)))</f>
        <v>Mar 2024</v>
      </c>
      <c r="U3059">
        <f>IF(Pipeline_tbl[[#This Row],[Closed_Date]]=0,"",Pipeline_tbl[[#This Row],[Closed_Date]]-Pipeline_tbl[[#This Row],[Created_Date]])</f>
        <v>8</v>
      </c>
    </row>
    <row r="3060" spans="1:21" ht="15" customHeight="1" x14ac:dyDescent="0.2">
      <c r="A3060" t="s">
        <v>3366</v>
      </c>
      <c r="B3060" t="s">
        <v>193</v>
      </c>
      <c r="C3060" t="s">
        <v>53</v>
      </c>
      <c r="D3060" s="49">
        <v>45366</v>
      </c>
      <c r="E3060" s="49">
        <v>45367</v>
      </c>
      <c r="F3060" s="49">
        <v>45369</v>
      </c>
      <c r="G3060" s="49">
        <v>45372</v>
      </c>
      <c r="H3060" s="49">
        <v>45374</v>
      </c>
      <c r="I3060" s="49">
        <v>45376</v>
      </c>
      <c r="J3060" t="s">
        <v>49</v>
      </c>
      <c r="K3060" s="33">
        <v>2000</v>
      </c>
      <c r="L3060" t="s">
        <v>60</v>
      </c>
      <c r="M3060" t="str">
        <f>_xlfn.XLOOKUP(Pipeline_tbl[[#This Row],[Rep_ID]],Dim_Reps!A:A,Dim_Reps!K:K)</f>
        <v>USD</v>
      </c>
      <c r="N3060" s="33">
        <f>(_xlfn.XLOOKUP(Pipeline_tbl[[#This Row],[Rate_Code_Generalized]],Lookups!A:A,Lookups!B:B))*Pipeline_tbl[[#This Row],[Pipeline_Amount_USD]]</f>
        <v>2328.6</v>
      </c>
      <c r="O3060" t="str">
        <f>_xlfn.XLOOKUP(Pipeline_tbl[[#This Row],[Rep_ID]],Dim_Reps!A:A,Dim_Reps!B:B)</f>
        <v>Karim Rossi</v>
      </c>
      <c r="P3060" t="str">
        <f>_xlfn.XLOOKUP(Pipeline_tbl[[#This Row],[Rep_ID]],Dim_Reps!A:A,Dim_Reps!C:C)</f>
        <v>SDR / Inside Sales Rep</v>
      </c>
      <c r="Q3060" t="str">
        <f>_xlfn.XLOOKUP(Pipeline_tbl[[#This Row],[Rep_ID]],Dim_Reps!A:A,Dim_Reps!D:D)</f>
        <v>Inside Sales</v>
      </c>
      <c r="R3060" t="str">
        <f>_xlfn.XLOOKUP(Pipeline_tbl[[#This Row],[Rep_ID]],Dim_Reps!A:A,Dim_Reps!E:E)</f>
        <v>NAMER</v>
      </c>
      <c r="S3060" t="str">
        <f>_xlfn.XLOOKUP(Pipeline_tbl[[#This Row],[Created_Date]],Dim_Date!A:A,Dim_Date!H:H)</f>
        <v>Mar 2024</v>
      </c>
      <c r="T3060" t="str">
        <f>IF(Pipeline_tbl[[#This Row],[Closed_Date]]=0,"",(_xlfn.XLOOKUP(Pipeline_tbl[[#This Row],[Closed_Date]],Dim_Date!A:A,Dim_Date!H:H)))</f>
        <v>Mar 2024</v>
      </c>
      <c r="U3060">
        <f>IF(Pipeline_tbl[[#This Row],[Closed_Date]]=0,"",Pipeline_tbl[[#This Row],[Closed_Date]]-Pipeline_tbl[[#This Row],[Created_Date]])</f>
        <v>10</v>
      </c>
    </row>
    <row r="3061" spans="1:21" ht="15" customHeight="1" x14ac:dyDescent="0.2">
      <c r="A3061" t="s">
        <v>3367</v>
      </c>
      <c r="B3061" t="s">
        <v>193</v>
      </c>
      <c r="C3061" t="s">
        <v>53</v>
      </c>
      <c r="D3061" s="49">
        <v>45369</v>
      </c>
      <c r="E3061" s="49">
        <v>45370</v>
      </c>
      <c r="F3061" s="49">
        <v>45372</v>
      </c>
      <c r="G3061" s="49">
        <v>45374</v>
      </c>
      <c r="I3061" s="49">
        <v>45378</v>
      </c>
      <c r="J3061" t="s">
        <v>49</v>
      </c>
      <c r="K3061" s="33">
        <v>4700</v>
      </c>
      <c r="L3061" t="s">
        <v>60</v>
      </c>
      <c r="M3061" t="str">
        <f>_xlfn.XLOOKUP(Pipeline_tbl[[#This Row],[Rep_ID]],Dim_Reps!A:A,Dim_Reps!K:K)</f>
        <v>USD</v>
      </c>
      <c r="N3061" s="33">
        <f>(_xlfn.XLOOKUP(Pipeline_tbl[[#This Row],[Rate_Code_Generalized]],Lookups!A:A,Lookups!B:B))*Pipeline_tbl[[#This Row],[Pipeline_Amount_USD]]</f>
        <v>5472.2099999999991</v>
      </c>
      <c r="O3061" t="str">
        <f>_xlfn.XLOOKUP(Pipeline_tbl[[#This Row],[Rep_ID]],Dim_Reps!A:A,Dim_Reps!B:B)</f>
        <v>Karim Rossi</v>
      </c>
      <c r="P3061" t="str">
        <f>_xlfn.XLOOKUP(Pipeline_tbl[[#This Row],[Rep_ID]],Dim_Reps!A:A,Dim_Reps!C:C)</f>
        <v>SDR / Inside Sales Rep</v>
      </c>
      <c r="Q3061" t="str">
        <f>_xlfn.XLOOKUP(Pipeline_tbl[[#This Row],[Rep_ID]],Dim_Reps!A:A,Dim_Reps!D:D)</f>
        <v>Inside Sales</v>
      </c>
      <c r="R3061" t="str">
        <f>_xlfn.XLOOKUP(Pipeline_tbl[[#This Row],[Rep_ID]],Dim_Reps!A:A,Dim_Reps!E:E)</f>
        <v>NAMER</v>
      </c>
      <c r="S3061" t="str">
        <f>_xlfn.XLOOKUP(Pipeline_tbl[[#This Row],[Created_Date]],Dim_Date!A:A,Dim_Date!H:H)</f>
        <v>Mar 2024</v>
      </c>
      <c r="T3061" t="str">
        <f>IF(Pipeline_tbl[[#This Row],[Closed_Date]]=0,"",(_xlfn.XLOOKUP(Pipeline_tbl[[#This Row],[Closed_Date]],Dim_Date!A:A,Dim_Date!H:H)))</f>
        <v>Mar 2024</v>
      </c>
      <c r="U3061">
        <f>IF(Pipeline_tbl[[#This Row],[Closed_Date]]=0,"",Pipeline_tbl[[#This Row],[Closed_Date]]-Pipeline_tbl[[#This Row],[Created_Date]])</f>
        <v>9</v>
      </c>
    </row>
    <row r="3062" spans="1:21" ht="15" customHeight="1" x14ac:dyDescent="0.2">
      <c r="A3062" t="s">
        <v>3368</v>
      </c>
      <c r="B3062" t="s">
        <v>193</v>
      </c>
      <c r="C3062" t="s">
        <v>55</v>
      </c>
      <c r="D3062" s="49">
        <v>45371</v>
      </c>
      <c r="E3062" s="49">
        <v>45371</v>
      </c>
      <c r="F3062" s="49">
        <v>45373</v>
      </c>
      <c r="I3062" s="49">
        <v>45376</v>
      </c>
      <c r="J3062" t="s">
        <v>49</v>
      </c>
      <c r="K3062" s="33">
        <v>5000</v>
      </c>
      <c r="L3062" t="s">
        <v>62</v>
      </c>
      <c r="M3062" t="str">
        <f>_xlfn.XLOOKUP(Pipeline_tbl[[#This Row],[Rep_ID]],Dim_Reps!A:A,Dim_Reps!K:K)</f>
        <v>USD</v>
      </c>
      <c r="N3062" s="33">
        <f>(_xlfn.XLOOKUP(Pipeline_tbl[[#This Row],[Rate_Code_Generalized]],Lookups!A:A,Lookups!B:B))*Pipeline_tbl[[#This Row],[Pipeline_Amount_USD]]</f>
        <v>5821.4999999999991</v>
      </c>
      <c r="O3062" t="str">
        <f>_xlfn.XLOOKUP(Pipeline_tbl[[#This Row],[Rep_ID]],Dim_Reps!A:A,Dim_Reps!B:B)</f>
        <v>Karim Rossi</v>
      </c>
      <c r="P3062" t="str">
        <f>_xlfn.XLOOKUP(Pipeline_tbl[[#This Row],[Rep_ID]],Dim_Reps!A:A,Dim_Reps!C:C)</f>
        <v>SDR / Inside Sales Rep</v>
      </c>
      <c r="Q3062" t="str">
        <f>_xlfn.XLOOKUP(Pipeline_tbl[[#This Row],[Rep_ID]],Dim_Reps!A:A,Dim_Reps!D:D)</f>
        <v>Inside Sales</v>
      </c>
      <c r="R3062" t="str">
        <f>_xlfn.XLOOKUP(Pipeline_tbl[[#This Row],[Rep_ID]],Dim_Reps!A:A,Dim_Reps!E:E)</f>
        <v>NAMER</v>
      </c>
      <c r="S3062" t="str">
        <f>_xlfn.XLOOKUP(Pipeline_tbl[[#This Row],[Created_Date]],Dim_Date!A:A,Dim_Date!H:H)</f>
        <v>Mar 2024</v>
      </c>
      <c r="T3062" t="str">
        <f>IF(Pipeline_tbl[[#This Row],[Closed_Date]]=0,"",(_xlfn.XLOOKUP(Pipeline_tbl[[#This Row],[Closed_Date]],Dim_Date!A:A,Dim_Date!H:H)))</f>
        <v>Mar 2024</v>
      </c>
      <c r="U3062">
        <f>IF(Pipeline_tbl[[#This Row],[Closed_Date]]=0,"",Pipeline_tbl[[#This Row],[Closed_Date]]-Pipeline_tbl[[#This Row],[Created_Date]])</f>
        <v>5</v>
      </c>
    </row>
    <row r="3063" spans="1:21" ht="15" customHeight="1" x14ac:dyDescent="0.2">
      <c r="A3063" t="s">
        <v>3369</v>
      </c>
      <c r="B3063" t="s">
        <v>243</v>
      </c>
      <c r="C3063" t="s">
        <v>52</v>
      </c>
      <c r="D3063" s="49">
        <v>45357</v>
      </c>
      <c r="E3063" s="49">
        <v>45359</v>
      </c>
      <c r="F3063" s="49">
        <v>45362</v>
      </c>
      <c r="G3063" s="49">
        <v>45367</v>
      </c>
      <c r="I3063" s="49">
        <v>45374</v>
      </c>
      <c r="J3063" t="s">
        <v>49</v>
      </c>
      <c r="K3063" s="33">
        <v>9600</v>
      </c>
      <c r="L3063" t="s">
        <v>60</v>
      </c>
      <c r="M3063" t="str">
        <f>_xlfn.XLOOKUP(Pipeline_tbl[[#This Row],[Rep_ID]],Dim_Reps!A:A,Dim_Reps!K:K)</f>
        <v>MXN</v>
      </c>
      <c r="N3063" s="33">
        <f>(_xlfn.XLOOKUP(Pipeline_tbl[[#This Row],[Rate_Code_Generalized]],Lookups!A:A,Lookups!B:B))*Pipeline_tbl[[#This Row],[Pipeline_Amount_USD]]</f>
        <v>189433.92</v>
      </c>
      <c r="O3063" t="str">
        <f>_xlfn.XLOOKUP(Pipeline_tbl[[#This Row],[Rep_ID]],Dim_Reps!A:A,Dim_Reps!B:B)</f>
        <v>Jonas Sato</v>
      </c>
      <c r="P3063" t="str">
        <f>_xlfn.XLOOKUP(Pipeline_tbl[[#This Row],[Rep_ID]],Dim_Reps!A:A,Dim_Reps!C:C)</f>
        <v>Mid-Market AE</v>
      </c>
      <c r="Q3063" t="str">
        <f>_xlfn.XLOOKUP(Pipeline_tbl[[#This Row],[Rep_ID]],Dim_Reps!A:A,Dim_Reps!D:D)</f>
        <v>Mid-Market</v>
      </c>
      <c r="R3063" t="str">
        <f>_xlfn.XLOOKUP(Pipeline_tbl[[#This Row],[Rep_ID]],Dim_Reps!A:A,Dim_Reps!E:E)</f>
        <v>LATAM</v>
      </c>
      <c r="S3063" t="str">
        <f>_xlfn.XLOOKUP(Pipeline_tbl[[#This Row],[Created_Date]],Dim_Date!A:A,Dim_Date!H:H)</f>
        <v>Mar 2024</v>
      </c>
      <c r="T3063" t="str">
        <f>IF(Pipeline_tbl[[#This Row],[Closed_Date]]=0,"",(_xlfn.XLOOKUP(Pipeline_tbl[[#This Row],[Closed_Date]],Dim_Date!A:A,Dim_Date!H:H)))</f>
        <v>Mar 2024</v>
      </c>
      <c r="U3063">
        <f>IF(Pipeline_tbl[[#This Row],[Closed_Date]]=0,"",Pipeline_tbl[[#This Row],[Closed_Date]]-Pipeline_tbl[[#This Row],[Created_Date]])</f>
        <v>17</v>
      </c>
    </row>
    <row r="3064" spans="1:21" ht="15" customHeight="1" x14ac:dyDescent="0.2">
      <c r="A3064" t="s">
        <v>3370</v>
      </c>
      <c r="B3064" t="s">
        <v>199</v>
      </c>
      <c r="C3064" t="s">
        <v>53</v>
      </c>
      <c r="D3064" s="49">
        <v>45365</v>
      </c>
      <c r="E3064" s="49">
        <v>45366</v>
      </c>
      <c r="F3064" s="49">
        <v>45369</v>
      </c>
      <c r="I3064" s="49">
        <v>45378</v>
      </c>
      <c r="J3064" t="s">
        <v>49</v>
      </c>
      <c r="K3064" s="33">
        <v>4400</v>
      </c>
      <c r="L3064" t="s">
        <v>62</v>
      </c>
      <c r="M3064" t="str">
        <f>_xlfn.XLOOKUP(Pipeline_tbl[[#This Row],[Rep_ID]],Dim_Reps!A:A,Dim_Reps!K:K)</f>
        <v>EUR</v>
      </c>
      <c r="N3064" s="33">
        <f>(_xlfn.XLOOKUP(Pipeline_tbl[[#This Row],[Rate_Code_Generalized]],Lookups!A:A,Lookups!B:B))*Pipeline_tbl[[#This Row],[Pipeline_Amount_USD]]</f>
        <v>4400</v>
      </c>
      <c r="O3064" t="str">
        <f>_xlfn.XLOOKUP(Pipeline_tbl[[#This Row],[Rep_ID]],Dim_Reps!A:A,Dim_Reps!B:B)</f>
        <v>Lucas Okafor</v>
      </c>
      <c r="P3064" t="str">
        <f>_xlfn.XLOOKUP(Pipeline_tbl[[#This Row],[Rep_ID]],Dim_Reps!A:A,Dim_Reps!C:C)</f>
        <v>SDR / Inside Sales Rep</v>
      </c>
      <c r="Q3064" t="str">
        <f>_xlfn.XLOOKUP(Pipeline_tbl[[#This Row],[Rep_ID]],Dim_Reps!A:A,Dim_Reps!D:D)</f>
        <v>Inside Sales</v>
      </c>
      <c r="R3064" t="str">
        <f>_xlfn.XLOOKUP(Pipeline_tbl[[#This Row],[Rep_ID]],Dim_Reps!A:A,Dim_Reps!E:E)</f>
        <v>APAC</v>
      </c>
      <c r="S3064" t="str">
        <f>_xlfn.XLOOKUP(Pipeline_tbl[[#This Row],[Created_Date]],Dim_Date!A:A,Dim_Date!H:H)</f>
        <v>Mar 2024</v>
      </c>
      <c r="T3064" t="str">
        <f>IF(Pipeline_tbl[[#This Row],[Closed_Date]]=0,"",(_xlfn.XLOOKUP(Pipeline_tbl[[#This Row],[Closed_Date]],Dim_Date!A:A,Dim_Date!H:H)))</f>
        <v>Mar 2024</v>
      </c>
      <c r="U3064">
        <f>IF(Pipeline_tbl[[#This Row],[Closed_Date]]=0,"",Pipeline_tbl[[#This Row],[Closed_Date]]-Pipeline_tbl[[#This Row],[Created_Date]])</f>
        <v>13</v>
      </c>
    </row>
    <row r="3065" spans="1:21" ht="15" customHeight="1" x14ac:dyDescent="0.2">
      <c r="A3065" t="s">
        <v>3371</v>
      </c>
      <c r="B3065" t="s">
        <v>199</v>
      </c>
      <c r="C3065" t="s">
        <v>52</v>
      </c>
      <c r="D3065" s="49">
        <v>45355</v>
      </c>
      <c r="E3065" s="49">
        <v>45357</v>
      </c>
      <c r="F3065" s="49">
        <v>45361</v>
      </c>
      <c r="G3065" s="49">
        <v>45366</v>
      </c>
      <c r="H3065" s="49">
        <v>45371</v>
      </c>
      <c r="I3065" s="49">
        <v>45374</v>
      </c>
      <c r="J3065" t="s">
        <v>47</v>
      </c>
      <c r="K3065" s="33">
        <v>2700</v>
      </c>
      <c r="M3065" t="str">
        <f>_xlfn.XLOOKUP(Pipeline_tbl[[#This Row],[Rep_ID]],Dim_Reps!A:A,Dim_Reps!K:K)</f>
        <v>EUR</v>
      </c>
      <c r="N3065" s="33">
        <f>(_xlfn.XLOOKUP(Pipeline_tbl[[#This Row],[Rate_Code_Generalized]],Lookups!A:A,Lookups!B:B))*Pipeline_tbl[[#This Row],[Pipeline_Amount_USD]]</f>
        <v>2700</v>
      </c>
      <c r="O3065" t="str">
        <f>_xlfn.XLOOKUP(Pipeline_tbl[[#This Row],[Rep_ID]],Dim_Reps!A:A,Dim_Reps!B:B)</f>
        <v>Lucas Okafor</v>
      </c>
      <c r="P3065" t="str">
        <f>_xlfn.XLOOKUP(Pipeline_tbl[[#This Row],[Rep_ID]],Dim_Reps!A:A,Dim_Reps!C:C)</f>
        <v>SDR / Inside Sales Rep</v>
      </c>
      <c r="Q3065" t="str">
        <f>_xlfn.XLOOKUP(Pipeline_tbl[[#This Row],[Rep_ID]],Dim_Reps!A:A,Dim_Reps!D:D)</f>
        <v>Inside Sales</v>
      </c>
      <c r="R3065" t="str">
        <f>_xlfn.XLOOKUP(Pipeline_tbl[[#This Row],[Rep_ID]],Dim_Reps!A:A,Dim_Reps!E:E)</f>
        <v>APAC</v>
      </c>
      <c r="S3065" t="str">
        <f>_xlfn.XLOOKUP(Pipeline_tbl[[#This Row],[Created_Date]],Dim_Date!A:A,Dim_Date!H:H)</f>
        <v>Mar 2024</v>
      </c>
      <c r="T3065" t="str">
        <f>IF(Pipeline_tbl[[#This Row],[Closed_Date]]=0,"",(_xlfn.XLOOKUP(Pipeline_tbl[[#This Row],[Closed_Date]],Dim_Date!A:A,Dim_Date!H:H)))</f>
        <v>Mar 2024</v>
      </c>
      <c r="U3065">
        <f>IF(Pipeline_tbl[[#This Row],[Closed_Date]]=0,"",Pipeline_tbl[[#This Row],[Closed_Date]]-Pipeline_tbl[[#This Row],[Created_Date]])</f>
        <v>19</v>
      </c>
    </row>
    <row r="3066" spans="1:21" ht="15" customHeight="1" x14ac:dyDescent="0.2">
      <c r="A3066" t="s">
        <v>3372</v>
      </c>
      <c r="B3066" t="s">
        <v>199</v>
      </c>
      <c r="C3066" t="s">
        <v>53</v>
      </c>
      <c r="D3066" s="49">
        <v>45363</v>
      </c>
      <c r="E3066" s="49">
        <v>45364</v>
      </c>
      <c r="F3066" s="49">
        <v>45367</v>
      </c>
      <c r="G3066" s="49">
        <v>45370</v>
      </c>
      <c r="I3066" s="49">
        <v>45375</v>
      </c>
      <c r="J3066" t="s">
        <v>49</v>
      </c>
      <c r="K3066" s="33">
        <v>4500</v>
      </c>
      <c r="L3066" t="s">
        <v>62</v>
      </c>
      <c r="M3066" t="str">
        <f>_xlfn.XLOOKUP(Pipeline_tbl[[#This Row],[Rep_ID]],Dim_Reps!A:A,Dim_Reps!K:K)</f>
        <v>EUR</v>
      </c>
      <c r="N3066" s="33">
        <f>(_xlfn.XLOOKUP(Pipeline_tbl[[#This Row],[Rate_Code_Generalized]],Lookups!A:A,Lookups!B:B))*Pipeline_tbl[[#This Row],[Pipeline_Amount_USD]]</f>
        <v>4500</v>
      </c>
      <c r="O3066" t="str">
        <f>_xlfn.XLOOKUP(Pipeline_tbl[[#This Row],[Rep_ID]],Dim_Reps!A:A,Dim_Reps!B:B)</f>
        <v>Lucas Okafor</v>
      </c>
      <c r="P3066" t="str">
        <f>_xlfn.XLOOKUP(Pipeline_tbl[[#This Row],[Rep_ID]],Dim_Reps!A:A,Dim_Reps!C:C)</f>
        <v>SDR / Inside Sales Rep</v>
      </c>
      <c r="Q3066" t="str">
        <f>_xlfn.XLOOKUP(Pipeline_tbl[[#This Row],[Rep_ID]],Dim_Reps!A:A,Dim_Reps!D:D)</f>
        <v>Inside Sales</v>
      </c>
      <c r="R3066" t="str">
        <f>_xlfn.XLOOKUP(Pipeline_tbl[[#This Row],[Rep_ID]],Dim_Reps!A:A,Dim_Reps!E:E)</f>
        <v>APAC</v>
      </c>
      <c r="S3066" t="str">
        <f>_xlfn.XLOOKUP(Pipeline_tbl[[#This Row],[Created_Date]],Dim_Date!A:A,Dim_Date!H:H)</f>
        <v>Mar 2024</v>
      </c>
      <c r="T3066" t="str">
        <f>IF(Pipeline_tbl[[#This Row],[Closed_Date]]=0,"",(_xlfn.XLOOKUP(Pipeline_tbl[[#This Row],[Closed_Date]],Dim_Date!A:A,Dim_Date!H:H)))</f>
        <v>Mar 2024</v>
      </c>
      <c r="U3066">
        <f>IF(Pipeline_tbl[[#This Row],[Closed_Date]]=0,"",Pipeline_tbl[[#This Row],[Closed_Date]]-Pipeline_tbl[[#This Row],[Created_Date]])</f>
        <v>12</v>
      </c>
    </row>
    <row r="3067" spans="1:21" ht="15" customHeight="1" x14ac:dyDescent="0.2">
      <c r="A3067" t="s">
        <v>3373</v>
      </c>
      <c r="B3067" t="s">
        <v>199</v>
      </c>
      <c r="C3067" t="s">
        <v>53</v>
      </c>
      <c r="D3067" s="49">
        <v>45372</v>
      </c>
      <c r="E3067" s="49">
        <v>45373</v>
      </c>
      <c r="F3067" s="49">
        <v>45374</v>
      </c>
      <c r="G3067" s="49">
        <v>45376</v>
      </c>
      <c r="H3067" s="49">
        <v>45377</v>
      </c>
      <c r="I3067" s="49">
        <v>45378</v>
      </c>
      <c r="J3067" t="s">
        <v>47</v>
      </c>
      <c r="K3067" s="33">
        <v>3900</v>
      </c>
      <c r="M3067" t="str">
        <f>_xlfn.XLOOKUP(Pipeline_tbl[[#This Row],[Rep_ID]],Dim_Reps!A:A,Dim_Reps!K:K)</f>
        <v>EUR</v>
      </c>
      <c r="N3067" s="33">
        <f>(_xlfn.XLOOKUP(Pipeline_tbl[[#This Row],[Rate_Code_Generalized]],Lookups!A:A,Lookups!B:B))*Pipeline_tbl[[#This Row],[Pipeline_Amount_USD]]</f>
        <v>3900</v>
      </c>
      <c r="O3067" t="str">
        <f>_xlfn.XLOOKUP(Pipeline_tbl[[#This Row],[Rep_ID]],Dim_Reps!A:A,Dim_Reps!B:B)</f>
        <v>Lucas Okafor</v>
      </c>
      <c r="P3067" t="str">
        <f>_xlfn.XLOOKUP(Pipeline_tbl[[#This Row],[Rep_ID]],Dim_Reps!A:A,Dim_Reps!C:C)</f>
        <v>SDR / Inside Sales Rep</v>
      </c>
      <c r="Q3067" t="str">
        <f>_xlfn.XLOOKUP(Pipeline_tbl[[#This Row],[Rep_ID]],Dim_Reps!A:A,Dim_Reps!D:D)</f>
        <v>Inside Sales</v>
      </c>
      <c r="R3067" t="str">
        <f>_xlfn.XLOOKUP(Pipeline_tbl[[#This Row],[Rep_ID]],Dim_Reps!A:A,Dim_Reps!E:E)</f>
        <v>APAC</v>
      </c>
      <c r="S3067" t="str">
        <f>_xlfn.XLOOKUP(Pipeline_tbl[[#This Row],[Created_Date]],Dim_Date!A:A,Dim_Date!H:H)</f>
        <v>Mar 2024</v>
      </c>
      <c r="T3067" t="str">
        <f>IF(Pipeline_tbl[[#This Row],[Closed_Date]]=0,"",(_xlfn.XLOOKUP(Pipeline_tbl[[#This Row],[Closed_Date]],Dim_Date!A:A,Dim_Date!H:H)))</f>
        <v>Mar 2024</v>
      </c>
      <c r="U3067">
        <f>IF(Pipeline_tbl[[#This Row],[Closed_Date]]=0,"",Pipeline_tbl[[#This Row],[Closed_Date]]-Pipeline_tbl[[#This Row],[Created_Date]])</f>
        <v>6</v>
      </c>
    </row>
    <row r="3068" spans="1:21" ht="15" customHeight="1" x14ac:dyDescent="0.2">
      <c r="A3068" t="s">
        <v>3374</v>
      </c>
      <c r="B3068" t="s">
        <v>205</v>
      </c>
      <c r="C3068" t="s">
        <v>52</v>
      </c>
      <c r="D3068" s="49">
        <v>45359</v>
      </c>
      <c r="E3068" s="49">
        <v>45361</v>
      </c>
      <c r="F3068" s="49">
        <v>45364</v>
      </c>
      <c r="G3068" s="49">
        <v>45370</v>
      </c>
      <c r="H3068" s="49">
        <v>45374</v>
      </c>
      <c r="I3068" s="49">
        <v>45377</v>
      </c>
      <c r="J3068" t="s">
        <v>47</v>
      </c>
      <c r="K3068" s="33">
        <v>1700</v>
      </c>
      <c r="M3068" t="str">
        <f>_xlfn.XLOOKUP(Pipeline_tbl[[#This Row],[Rep_ID]],Dim_Reps!A:A,Dim_Reps!K:K)</f>
        <v>EUR</v>
      </c>
      <c r="N3068" s="33">
        <f>(_xlfn.XLOOKUP(Pipeline_tbl[[#This Row],[Rate_Code_Generalized]],Lookups!A:A,Lookups!B:B))*Pipeline_tbl[[#This Row],[Pipeline_Amount_USD]]</f>
        <v>1700</v>
      </c>
      <c r="O3068" t="str">
        <f>_xlfn.XLOOKUP(Pipeline_tbl[[#This Row],[Rep_ID]],Dim_Reps!A:A,Dim_Reps!B:B)</f>
        <v>Karim Alvarez</v>
      </c>
      <c r="P3068" t="str">
        <f>_xlfn.XLOOKUP(Pipeline_tbl[[#This Row],[Rep_ID]],Dim_Reps!A:A,Dim_Reps!C:C)</f>
        <v>SDR / Inside Sales Rep</v>
      </c>
      <c r="Q3068" t="str">
        <f>_xlfn.XLOOKUP(Pipeline_tbl[[#This Row],[Rep_ID]],Dim_Reps!A:A,Dim_Reps!D:D)</f>
        <v>Inside Sales</v>
      </c>
      <c r="R3068" t="str">
        <f>_xlfn.XLOOKUP(Pipeline_tbl[[#This Row],[Rep_ID]],Dim_Reps!A:A,Dim_Reps!E:E)</f>
        <v>EMEA</v>
      </c>
      <c r="S3068" t="str">
        <f>_xlfn.XLOOKUP(Pipeline_tbl[[#This Row],[Created_Date]],Dim_Date!A:A,Dim_Date!H:H)</f>
        <v>Mar 2024</v>
      </c>
      <c r="T3068" t="str">
        <f>IF(Pipeline_tbl[[#This Row],[Closed_Date]]=0,"",(_xlfn.XLOOKUP(Pipeline_tbl[[#This Row],[Closed_Date]],Dim_Date!A:A,Dim_Date!H:H)))</f>
        <v>Mar 2024</v>
      </c>
      <c r="U3068">
        <f>IF(Pipeline_tbl[[#This Row],[Closed_Date]]=0,"",Pipeline_tbl[[#This Row],[Closed_Date]]-Pipeline_tbl[[#This Row],[Created_Date]])</f>
        <v>18</v>
      </c>
    </row>
    <row r="3069" spans="1:21" ht="15" customHeight="1" x14ac:dyDescent="0.2">
      <c r="A3069" t="s">
        <v>3375</v>
      </c>
      <c r="B3069" t="s">
        <v>205</v>
      </c>
      <c r="C3069" t="s">
        <v>52</v>
      </c>
      <c r="D3069" s="49">
        <v>45370</v>
      </c>
      <c r="E3069" s="49">
        <v>45371</v>
      </c>
      <c r="F3069" s="49">
        <v>45372</v>
      </c>
      <c r="G3069" s="49">
        <v>45375</v>
      </c>
      <c r="H3069" s="49">
        <v>45377</v>
      </c>
      <c r="I3069" s="49">
        <v>45378</v>
      </c>
      <c r="J3069" t="s">
        <v>49</v>
      </c>
      <c r="K3069" s="33">
        <v>3600</v>
      </c>
      <c r="L3069" t="s">
        <v>61</v>
      </c>
      <c r="M3069" t="str">
        <f>_xlfn.XLOOKUP(Pipeline_tbl[[#This Row],[Rep_ID]],Dim_Reps!A:A,Dim_Reps!K:K)</f>
        <v>EUR</v>
      </c>
      <c r="N3069" s="33">
        <f>(_xlfn.XLOOKUP(Pipeline_tbl[[#This Row],[Rate_Code_Generalized]],Lookups!A:A,Lookups!B:B))*Pipeline_tbl[[#This Row],[Pipeline_Amount_USD]]</f>
        <v>3600</v>
      </c>
      <c r="O3069" t="str">
        <f>_xlfn.XLOOKUP(Pipeline_tbl[[#This Row],[Rep_ID]],Dim_Reps!A:A,Dim_Reps!B:B)</f>
        <v>Karim Alvarez</v>
      </c>
      <c r="P3069" t="str">
        <f>_xlfn.XLOOKUP(Pipeline_tbl[[#This Row],[Rep_ID]],Dim_Reps!A:A,Dim_Reps!C:C)</f>
        <v>SDR / Inside Sales Rep</v>
      </c>
      <c r="Q3069" t="str">
        <f>_xlfn.XLOOKUP(Pipeline_tbl[[#This Row],[Rep_ID]],Dim_Reps!A:A,Dim_Reps!D:D)</f>
        <v>Inside Sales</v>
      </c>
      <c r="R3069" t="str">
        <f>_xlfn.XLOOKUP(Pipeline_tbl[[#This Row],[Rep_ID]],Dim_Reps!A:A,Dim_Reps!E:E)</f>
        <v>EMEA</v>
      </c>
      <c r="S3069" t="str">
        <f>_xlfn.XLOOKUP(Pipeline_tbl[[#This Row],[Created_Date]],Dim_Date!A:A,Dim_Date!H:H)</f>
        <v>Mar 2024</v>
      </c>
      <c r="T3069" t="str">
        <f>IF(Pipeline_tbl[[#This Row],[Closed_Date]]=0,"",(_xlfn.XLOOKUP(Pipeline_tbl[[#This Row],[Closed_Date]],Dim_Date!A:A,Dim_Date!H:H)))</f>
        <v>Mar 2024</v>
      </c>
      <c r="U3069">
        <f>IF(Pipeline_tbl[[#This Row],[Closed_Date]]=0,"",Pipeline_tbl[[#This Row],[Closed_Date]]-Pipeline_tbl[[#This Row],[Created_Date]])</f>
        <v>8</v>
      </c>
    </row>
    <row r="3070" spans="1:21" ht="15" customHeight="1" x14ac:dyDescent="0.2">
      <c r="A3070" t="s">
        <v>3376</v>
      </c>
      <c r="B3070" t="s">
        <v>205</v>
      </c>
      <c r="C3070" t="s">
        <v>54</v>
      </c>
      <c r="D3070" s="49">
        <v>45362</v>
      </c>
      <c r="E3070" s="49">
        <v>45364</v>
      </c>
      <c r="F3070" s="49">
        <v>45367</v>
      </c>
      <c r="I3070" s="49">
        <v>45379</v>
      </c>
      <c r="J3070" t="s">
        <v>49</v>
      </c>
      <c r="K3070" s="33">
        <v>5900</v>
      </c>
      <c r="L3070" t="s">
        <v>63</v>
      </c>
      <c r="M3070" t="str">
        <f>_xlfn.XLOOKUP(Pipeline_tbl[[#This Row],[Rep_ID]],Dim_Reps!A:A,Dim_Reps!K:K)</f>
        <v>EUR</v>
      </c>
      <c r="N3070" s="33">
        <f>(_xlfn.XLOOKUP(Pipeline_tbl[[#This Row],[Rate_Code_Generalized]],Lookups!A:A,Lookups!B:B))*Pipeline_tbl[[#This Row],[Pipeline_Amount_USD]]</f>
        <v>5900</v>
      </c>
      <c r="O3070" t="str">
        <f>_xlfn.XLOOKUP(Pipeline_tbl[[#This Row],[Rep_ID]],Dim_Reps!A:A,Dim_Reps!B:B)</f>
        <v>Karim Alvarez</v>
      </c>
      <c r="P3070" t="str">
        <f>_xlfn.XLOOKUP(Pipeline_tbl[[#This Row],[Rep_ID]],Dim_Reps!A:A,Dim_Reps!C:C)</f>
        <v>SDR / Inside Sales Rep</v>
      </c>
      <c r="Q3070" t="str">
        <f>_xlfn.XLOOKUP(Pipeline_tbl[[#This Row],[Rep_ID]],Dim_Reps!A:A,Dim_Reps!D:D)</f>
        <v>Inside Sales</v>
      </c>
      <c r="R3070" t="str">
        <f>_xlfn.XLOOKUP(Pipeline_tbl[[#This Row],[Rep_ID]],Dim_Reps!A:A,Dim_Reps!E:E)</f>
        <v>EMEA</v>
      </c>
      <c r="S3070" t="str">
        <f>_xlfn.XLOOKUP(Pipeline_tbl[[#This Row],[Created_Date]],Dim_Date!A:A,Dim_Date!H:H)</f>
        <v>Mar 2024</v>
      </c>
      <c r="T3070" t="str">
        <f>IF(Pipeline_tbl[[#This Row],[Closed_Date]]=0,"",(_xlfn.XLOOKUP(Pipeline_tbl[[#This Row],[Closed_Date]],Dim_Date!A:A,Dim_Date!H:H)))</f>
        <v>Mar 2024</v>
      </c>
      <c r="U3070">
        <f>IF(Pipeline_tbl[[#This Row],[Closed_Date]]=0,"",Pipeline_tbl[[#This Row],[Closed_Date]]-Pipeline_tbl[[#This Row],[Created_Date]])</f>
        <v>17</v>
      </c>
    </row>
    <row r="3071" spans="1:21" ht="15" customHeight="1" x14ac:dyDescent="0.2">
      <c r="A3071" t="s">
        <v>3377</v>
      </c>
      <c r="B3071" t="s">
        <v>205</v>
      </c>
      <c r="C3071" t="s">
        <v>52</v>
      </c>
      <c r="D3071" s="49">
        <v>45352</v>
      </c>
      <c r="E3071" s="49">
        <v>45354</v>
      </c>
      <c r="I3071" s="49">
        <v>45375</v>
      </c>
      <c r="J3071" t="s">
        <v>49</v>
      </c>
      <c r="K3071" s="33">
        <v>3900</v>
      </c>
      <c r="L3071" t="s">
        <v>64</v>
      </c>
      <c r="M3071" t="str">
        <f>_xlfn.XLOOKUP(Pipeline_tbl[[#This Row],[Rep_ID]],Dim_Reps!A:A,Dim_Reps!K:K)</f>
        <v>EUR</v>
      </c>
      <c r="N3071" s="33">
        <f>(_xlfn.XLOOKUP(Pipeline_tbl[[#This Row],[Rate_Code_Generalized]],Lookups!A:A,Lookups!B:B))*Pipeline_tbl[[#This Row],[Pipeline_Amount_USD]]</f>
        <v>3900</v>
      </c>
      <c r="O3071" t="str">
        <f>_xlfn.XLOOKUP(Pipeline_tbl[[#This Row],[Rep_ID]],Dim_Reps!A:A,Dim_Reps!B:B)</f>
        <v>Karim Alvarez</v>
      </c>
      <c r="P3071" t="str">
        <f>_xlfn.XLOOKUP(Pipeline_tbl[[#This Row],[Rep_ID]],Dim_Reps!A:A,Dim_Reps!C:C)</f>
        <v>SDR / Inside Sales Rep</v>
      </c>
      <c r="Q3071" t="str">
        <f>_xlfn.XLOOKUP(Pipeline_tbl[[#This Row],[Rep_ID]],Dim_Reps!A:A,Dim_Reps!D:D)</f>
        <v>Inside Sales</v>
      </c>
      <c r="R3071" t="str">
        <f>_xlfn.XLOOKUP(Pipeline_tbl[[#This Row],[Rep_ID]],Dim_Reps!A:A,Dim_Reps!E:E)</f>
        <v>EMEA</v>
      </c>
      <c r="S3071" t="str">
        <f>_xlfn.XLOOKUP(Pipeline_tbl[[#This Row],[Created_Date]],Dim_Date!A:A,Dim_Date!H:H)</f>
        <v>Mar 2024</v>
      </c>
      <c r="T3071" t="str">
        <f>IF(Pipeline_tbl[[#This Row],[Closed_Date]]=0,"",(_xlfn.XLOOKUP(Pipeline_tbl[[#This Row],[Closed_Date]],Dim_Date!A:A,Dim_Date!H:H)))</f>
        <v>Mar 2024</v>
      </c>
      <c r="U3071">
        <f>IF(Pipeline_tbl[[#This Row],[Closed_Date]]=0,"",Pipeline_tbl[[#This Row],[Closed_Date]]-Pipeline_tbl[[#This Row],[Created_Date]])</f>
        <v>23</v>
      </c>
    </row>
    <row r="3072" spans="1:21" ht="15" customHeight="1" x14ac:dyDescent="0.2">
      <c r="A3072" t="s">
        <v>3378</v>
      </c>
      <c r="B3072" t="s">
        <v>205</v>
      </c>
      <c r="C3072" t="s">
        <v>53</v>
      </c>
      <c r="D3072" s="49">
        <v>45357</v>
      </c>
      <c r="E3072" s="49">
        <v>45358</v>
      </c>
      <c r="F3072" s="49">
        <v>45360</v>
      </c>
      <c r="G3072" s="49">
        <v>45363</v>
      </c>
      <c r="I3072" s="49">
        <v>45367</v>
      </c>
      <c r="J3072" t="s">
        <v>49</v>
      </c>
      <c r="K3072" s="33">
        <v>6700</v>
      </c>
      <c r="L3072" t="s">
        <v>60</v>
      </c>
      <c r="M3072" t="str">
        <f>_xlfn.XLOOKUP(Pipeline_tbl[[#This Row],[Rep_ID]],Dim_Reps!A:A,Dim_Reps!K:K)</f>
        <v>EUR</v>
      </c>
      <c r="N3072" s="33">
        <f>(_xlfn.XLOOKUP(Pipeline_tbl[[#This Row],[Rate_Code_Generalized]],Lookups!A:A,Lookups!B:B))*Pipeline_tbl[[#This Row],[Pipeline_Amount_USD]]</f>
        <v>6700</v>
      </c>
      <c r="O3072" t="str">
        <f>_xlfn.XLOOKUP(Pipeline_tbl[[#This Row],[Rep_ID]],Dim_Reps!A:A,Dim_Reps!B:B)</f>
        <v>Karim Alvarez</v>
      </c>
      <c r="P3072" t="str">
        <f>_xlfn.XLOOKUP(Pipeline_tbl[[#This Row],[Rep_ID]],Dim_Reps!A:A,Dim_Reps!C:C)</f>
        <v>SDR / Inside Sales Rep</v>
      </c>
      <c r="Q3072" t="str">
        <f>_xlfn.XLOOKUP(Pipeline_tbl[[#This Row],[Rep_ID]],Dim_Reps!A:A,Dim_Reps!D:D)</f>
        <v>Inside Sales</v>
      </c>
      <c r="R3072" t="str">
        <f>_xlfn.XLOOKUP(Pipeline_tbl[[#This Row],[Rep_ID]],Dim_Reps!A:A,Dim_Reps!E:E)</f>
        <v>EMEA</v>
      </c>
      <c r="S3072" t="str">
        <f>_xlfn.XLOOKUP(Pipeline_tbl[[#This Row],[Created_Date]],Dim_Date!A:A,Dim_Date!H:H)</f>
        <v>Mar 2024</v>
      </c>
      <c r="T3072" t="str">
        <f>IF(Pipeline_tbl[[#This Row],[Closed_Date]]=0,"",(_xlfn.XLOOKUP(Pipeline_tbl[[#This Row],[Closed_Date]],Dim_Date!A:A,Dim_Date!H:H)))</f>
        <v>Mar 2024</v>
      </c>
      <c r="U3072">
        <f>IF(Pipeline_tbl[[#This Row],[Closed_Date]]=0,"",Pipeline_tbl[[#This Row],[Closed_Date]]-Pipeline_tbl[[#This Row],[Created_Date]])</f>
        <v>10</v>
      </c>
    </row>
    <row r="3073" spans="1:21" ht="15" customHeight="1" x14ac:dyDescent="0.2">
      <c r="A3073" t="s">
        <v>3379</v>
      </c>
      <c r="B3073" t="s">
        <v>205</v>
      </c>
      <c r="C3073" t="s">
        <v>54</v>
      </c>
      <c r="D3073" s="49">
        <v>45360</v>
      </c>
      <c r="E3073" s="49">
        <v>45362</v>
      </c>
      <c r="F3073" s="49">
        <v>45365</v>
      </c>
      <c r="I3073" s="49">
        <v>45376</v>
      </c>
      <c r="J3073" t="s">
        <v>49</v>
      </c>
      <c r="K3073" s="33">
        <v>3900</v>
      </c>
      <c r="L3073" t="s">
        <v>64</v>
      </c>
      <c r="M3073" t="str">
        <f>_xlfn.XLOOKUP(Pipeline_tbl[[#This Row],[Rep_ID]],Dim_Reps!A:A,Dim_Reps!K:K)</f>
        <v>EUR</v>
      </c>
      <c r="N3073" s="33">
        <f>(_xlfn.XLOOKUP(Pipeline_tbl[[#This Row],[Rate_Code_Generalized]],Lookups!A:A,Lookups!B:B))*Pipeline_tbl[[#This Row],[Pipeline_Amount_USD]]</f>
        <v>3900</v>
      </c>
      <c r="O3073" t="str">
        <f>_xlfn.XLOOKUP(Pipeline_tbl[[#This Row],[Rep_ID]],Dim_Reps!A:A,Dim_Reps!B:B)</f>
        <v>Karim Alvarez</v>
      </c>
      <c r="P3073" t="str">
        <f>_xlfn.XLOOKUP(Pipeline_tbl[[#This Row],[Rep_ID]],Dim_Reps!A:A,Dim_Reps!C:C)</f>
        <v>SDR / Inside Sales Rep</v>
      </c>
      <c r="Q3073" t="str">
        <f>_xlfn.XLOOKUP(Pipeline_tbl[[#This Row],[Rep_ID]],Dim_Reps!A:A,Dim_Reps!D:D)</f>
        <v>Inside Sales</v>
      </c>
      <c r="R3073" t="str">
        <f>_xlfn.XLOOKUP(Pipeline_tbl[[#This Row],[Rep_ID]],Dim_Reps!A:A,Dim_Reps!E:E)</f>
        <v>EMEA</v>
      </c>
      <c r="S3073" t="str">
        <f>_xlfn.XLOOKUP(Pipeline_tbl[[#This Row],[Created_Date]],Dim_Date!A:A,Dim_Date!H:H)</f>
        <v>Mar 2024</v>
      </c>
      <c r="T3073" t="str">
        <f>IF(Pipeline_tbl[[#This Row],[Closed_Date]]=0,"",(_xlfn.XLOOKUP(Pipeline_tbl[[#This Row],[Closed_Date]],Dim_Date!A:A,Dim_Date!H:H)))</f>
        <v>Mar 2024</v>
      </c>
      <c r="U3073">
        <f>IF(Pipeline_tbl[[#This Row],[Closed_Date]]=0,"",Pipeline_tbl[[#This Row],[Closed_Date]]-Pipeline_tbl[[#This Row],[Created_Date]])</f>
        <v>16</v>
      </c>
    </row>
    <row r="3074" spans="1:21" ht="15" customHeight="1" x14ac:dyDescent="0.2">
      <c r="A3074" t="s">
        <v>3380</v>
      </c>
      <c r="B3074" t="s">
        <v>205</v>
      </c>
      <c r="C3074" t="s">
        <v>52</v>
      </c>
      <c r="D3074" s="49">
        <v>45353</v>
      </c>
      <c r="E3074" s="49">
        <v>45355</v>
      </c>
      <c r="F3074" s="49">
        <v>45358</v>
      </c>
      <c r="G3074" s="49">
        <v>45364</v>
      </c>
      <c r="H3074" s="49">
        <v>45368</v>
      </c>
      <c r="I3074" s="49">
        <v>45371</v>
      </c>
      <c r="J3074" t="s">
        <v>49</v>
      </c>
      <c r="K3074" s="33">
        <v>2400</v>
      </c>
      <c r="L3074" t="s">
        <v>60</v>
      </c>
      <c r="M3074" t="str">
        <f>_xlfn.XLOOKUP(Pipeline_tbl[[#This Row],[Rep_ID]],Dim_Reps!A:A,Dim_Reps!K:K)</f>
        <v>EUR</v>
      </c>
      <c r="N3074" s="33">
        <f>(_xlfn.XLOOKUP(Pipeline_tbl[[#This Row],[Rate_Code_Generalized]],Lookups!A:A,Lookups!B:B))*Pipeline_tbl[[#This Row],[Pipeline_Amount_USD]]</f>
        <v>2400</v>
      </c>
      <c r="O3074" t="str">
        <f>_xlfn.XLOOKUP(Pipeline_tbl[[#This Row],[Rep_ID]],Dim_Reps!A:A,Dim_Reps!B:B)</f>
        <v>Karim Alvarez</v>
      </c>
      <c r="P3074" t="str">
        <f>_xlfn.XLOOKUP(Pipeline_tbl[[#This Row],[Rep_ID]],Dim_Reps!A:A,Dim_Reps!C:C)</f>
        <v>SDR / Inside Sales Rep</v>
      </c>
      <c r="Q3074" t="str">
        <f>_xlfn.XLOOKUP(Pipeline_tbl[[#This Row],[Rep_ID]],Dim_Reps!A:A,Dim_Reps!D:D)</f>
        <v>Inside Sales</v>
      </c>
      <c r="R3074" t="str">
        <f>_xlfn.XLOOKUP(Pipeline_tbl[[#This Row],[Rep_ID]],Dim_Reps!A:A,Dim_Reps!E:E)</f>
        <v>EMEA</v>
      </c>
      <c r="S3074" t="str">
        <f>_xlfn.XLOOKUP(Pipeline_tbl[[#This Row],[Created_Date]],Dim_Date!A:A,Dim_Date!H:H)</f>
        <v>Mar 2024</v>
      </c>
      <c r="T3074" t="str">
        <f>IF(Pipeline_tbl[[#This Row],[Closed_Date]]=0,"",(_xlfn.XLOOKUP(Pipeline_tbl[[#This Row],[Closed_Date]],Dim_Date!A:A,Dim_Date!H:H)))</f>
        <v>Mar 2024</v>
      </c>
      <c r="U3074">
        <f>IF(Pipeline_tbl[[#This Row],[Closed_Date]]=0,"",Pipeline_tbl[[#This Row],[Closed_Date]]-Pipeline_tbl[[#This Row],[Created_Date]])</f>
        <v>18</v>
      </c>
    </row>
    <row r="3075" spans="1:21" ht="15" customHeight="1" x14ac:dyDescent="0.2">
      <c r="A3075" t="s">
        <v>3381</v>
      </c>
      <c r="B3075" t="s">
        <v>205</v>
      </c>
      <c r="C3075" t="s">
        <v>53</v>
      </c>
      <c r="D3075" s="49">
        <v>45356</v>
      </c>
      <c r="E3075" s="49">
        <v>45358</v>
      </c>
      <c r="F3075" s="49">
        <v>45361</v>
      </c>
      <c r="I3075" s="49">
        <v>45373</v>
      </c>
      <c r="J3075" t="s">
        <v>49</v>
      </c>
      <c r="K3075" s="33">
        <v>2700</v>
      </c>
      <c r="L3075" t="s">
        <v>62</v>
      </c>
      <c r="M3075" t="str">
        <f>_xlfn.XLOOKUP(Pipeline_tbl[[#This Row],[Rep_ID]],Dim_Reps!A:A,Dim_Reps!K:K)</f>
        <v>EUR</v>
      </c>
      <c r="N3075" s="33">
        <f>(_xlfn.XLOOKUP(Pipeline_tbl[[#This Row],[Rate_Code_Generalized]],Lookups!A:A,Lookups!B:B))*Pipeline_tbl[[#This Row],[Pipeline_Amount_USD]]</f>
        <v>2700</v>
      </c>
      <c r="O3075" t="str">
        <f>_xlfn.XLOOKUP(Pipeline_tbl[[#This Row],[Rep_ID]],Dim_Reps!A:A,Dim_Reps!B:B)</f>
        <v>Karim Alvarez</v>
      </c>
      <c r="P3075" t="str">
        <f>_xlfn.XLOOKUP(Pipeline_tbl[[#This Row],[Rep_ID]],Dim_Reps!A:A,Dim_Reps!C:C)</f>
        <v>SDR / Inside Sales Rep</v>
      </c>
      <c r="Q3075" t="str">
        <f>_xlfn.XLOOKUP(Pipeline_tbl[[#This Row],[Rep_ID]],Dim_Reps!A:A,Dim_Reps!D:D)</f>
        <v>Inside Sales</v>
      </c>
      <c r="R3075" t="str">
        <f>_xlfn.XLOOKUP(Pipeline_tbl[[#This Row],[Rep_ID]],Dim_Reps!A:A,Dim_Reps!E:E)</f>
        <v>EMEA</v>
      </c>
      <c r="S3075" t="str">
        <f>_xlfn.XLOOKUP(Pipeline_tbl[[#This Row],[Created_Date]],Dim_Date!A:A,Dim_Date!H:H)</f>
        <v>Mar 2024</v>
      </c>
      <c r="T3075" t="str">
        <f>IF(Pipeline_tbl[[#This Row],[Closed_Date]]=0,"",(_xlfn.XLOOKUP(Pipeline_tbl[[#This Row],[Closed_Date]],Dim_Date!A:A,Dim_Date!H:H)))</f>
        <v>Mar 2024</v>
      </c>
      <c r="U3075">
        <f>IF(Pipeline_tbl[[#This Row],[Closed_Date]]=0,"",Pipeline_tbl[[#This Row],[Closed_Date]]-Pipeline_tbl[[#This Row],[Created_Date]])</f>
        <v>17</v>
      </c>
    </row>
    <row r="3076" spans="1:21" ht="15" customHeight="1" x14ac:dyDescent="0.2">
      <c r="A3076" t="s">
        <v>3382</v>
      </c>
      <c r="B3076" t="s">
        <v>211</v>
      </c>
      <c r="C3076" t="s">
        <v>53</v>
      </c>
      <c r="D3076" s="49">
        <v>45364</v>
      </c>
      <c r="E3076" s="49">
        <v>45366</v>
      </c>
      <c r="F3076" s="49">
        <v>45369</v>
      </c>
      <c r="I3076" s="49">
        <v>45379</v>
      </c>
      <c r="J3076" t="s">
        <v>49</v>
      </c>
      <c r="K3076" s="33">
        <v>4400</v>
      </c>
      <c r="L3076" t="s">
        <v>60</v>
      </c>
      <c r="M3076" t="str">
        <f>_xlfn.XLOOKUP(Pipeline_tbl[[#This Row],[Rep_ID]],Dim_Reps!A:A,Dim_Reps!K:K)</f>
        <v>EUR</v>
      </c>
      <c r="N3076" s="33">
        <f>(_xlfn.XLOOKUP(Pipeline_tbl[[#This Row],[Rate_Code_Generalized]],Lookups!A:A,Lookups!B:B))*Pipeline_tbl[[#This Row],[Pipeline_Amount_USD]]</f>
        <v>4400</v>
      </c>
      <c r="O3076" t="str">
        <f>_xlfn.XLOOKUP(Pipeline_tbl[[#This Row],[Rep_ID]],Dim_Reps!A:A,Dim_Reps!B:B)</f>
        <v>Lea Weber</v>
      </c>
      <c r="P3076" t="str">
        <f>_xlfn.XLOOKUP(Pipeline_tbl[[#This Row],[Rep_ID]],Dim_Reps!A:A,Dim_Reps!C:C)</f>
        <v>SDR / Inside Sales Rep</v>
      </c>
      <c r="Q3076" t="str">
        <f>_xlfn.XLOOKUP(Pipeline_tbl[[#This Row],[Rep_ID]],Dim_Reps!A:A,Dim_Reps!D:D)</f>
        <v>Inside Sales</v>
      </c>
      <c r="R3076" t="str">
        <f>_xlfn.XLOOKUP(Pipeline_tbl[[#This Row],[Rep_ID]],Dim_Reps!A:A,Dim_Reps!E:E)</f>
        <v>EMEA</v>
      </c>
      <c r="S3076" t="str">
        <f>_xlfn.XLOOKUP(Pipeline_tbl[[#This Row],[Created_Date]],Dim_Date!A:A,Dim_Date!H:H)</f>
        <v>Mar 2024</v>
      </c>
      <c r="T3076" t="str">
        <f>IF(Pipeline_tbl[[#This Row],[Closed_Date]]=0,"",(_xlfn.XLOOKUP(Pipeline_tbl[[#This Row],[Closed_Date]],Dim_Date!A:A,Dim_Date!H:H)))</f>
        <v>Mar 2024</v>
      </c>
      <c r="U3076">
        <f>IF(Pipeline_tbl[[#This Row],[Closed_Date]]=0,"",Pipeline_tbl[[#This Row],[Closed_Date]]-Pipeline_tbl[[#This Row],[Created_Date]])</f>
        <v>15</v>
      </c>
    </row>
    <row r="3077" spans="1:21" ht="15" customHeight="1" x14ac:dyDescent="0.2">
      <c r="A3077" t="s">
        <v>3383</v>
      </c>
      <c r="B3077" t="s">
        <v>211</v>
      </c>
      <c r="C3077" t="s">
        <v>53</v>
      </c>
      <c r="D3077" s="49">
        <v>45356</v>
      </c>
      <c r="E3077" s="49">
        <v>45358</v>
      </c>
      <c r="F3077" s="49">
        <v>45363</v>
      </c>
      <c r="G3077" s="49">
        <v>45370</v>
      </c>
      <c r="H3077" s="49">
        <v>45376</v>
      </c>
      <c r="I3077" s="49">
        <v>45379</v>
      </c>
      <c r="J3077" t="s">
        <v>47</v>
      </c>
      <c r="K3077" s="33">
        <v>2400</v>
      </c>
      <c r="M3077" t="str">
        <f>_xlfn.XLOOKUP(Pipeline_tbl[[#This Row],[Rep_ID]],Dim_Reps!A:A,Dim_Reps!K:K)</f>
        <v>EUR</v>
      </c>
      <c r="N3077" s="33">
        <f>(_xlfn.XLOOKUP(Pipeline_tbl[[#This Row],[Rate_Code_Generalized]],Lookups!A:A,Lookups!B:B))*Pipeline_tbl[[#This Row],[Pipeline_Amount_USD]]</f>
        <v>2400</v>
      </c>
      <c r="O3077" t="str">
        <f>_xlfn.XLOOKUP(Pipeline_tbl[[#This Row],[Rep_ID]],Dim_Reps!A:A,Dim_Reps!B:B)</f>
        <v>Lea Weber</v>
      </c>
      <c r="P3077" t="str">
        <f>_xlfn.XLOOKUP(Pipeline_tbl[[#This Row],[Rep_ID]],Dim_Reps!A:A,Dim_Reps!C:C)</f>
        <v>SDR / Inside Sales Rep</v>
      </c>
      <c r="Q3077" t="str">
        <f>_xlfn.XLOOKUP(Pipeline_tbl[[#This Row],[Rep_ID]],Dim_Reps!A:A,Dim_Reps!D:D)</f>
        <v>Inside Sales</v>
      </c>
      <c r="R3077" t="str">
        <f>_xlfn.XLOOKUP(Pipeline_tbl[[#This Row],[Rep_ID]],Dim_Reps!A:A,Dim_Reps!E:E)</f>
        <v>EMEA</v>
      </c>
      <c r="S3077" t="str">
        <f>_xlfn.XLOOKUP(Pipeline_tbl[[#This Row],[Created_Date]],Dim_Date!A:A,Dim_Date!H:H)</f>
        <v>Mar 2024</v>
      </c>
      <c r="T3077" t="str">
        <f>IF(Pipeline_tbl[[#This Row],[Closed_Date]]=0,"",(_xlfn.XLOOKUP(Pipeline_tbl[[#This Row],[Closed_Date]],Dim_Date!A:A,Dim_Date!H:H)))</f>
        <v>Mar 2024</v>
      </c>
      <c r="U3077">
        <f>IF(Pipeline_tbl[[#This Row],[Closed_Date]]=0,"",Pipeline_tbl[[#This Row],[Closed_Date]]-Pipeline_tbl[[#This Row],[Created_Date]])</f>
        <v>23</v>
      </c>
    </row>
    <row r="3078" spans="1:21" ht="15" customHeight="1" x14ac:dyDescent="0.2">
      <c r="A3078" t="s">
        <v>3384</v>
      </c>
      <c r="B3078" t="s">
        <v>211</v>
      </c>
      <c r="C3078" t="s">
        <v>52</v>
      </c>
      <c r="D3078" s="49">
        <v>45354</v>
      </c>
      <c r="E3078" s="49">
        <v>45356</v>
      </c>
      <c r="F3078" s="49">
        <v>45361</v>
      </c>
      <c r="G3078" s="49">
        <v>45368</v>
      </c>
      <c r="H3078" s="49">
        <v>45374</v>
      </c>
      <c r="I3078" s="49">
        <v>45378</v>
      </c>
      <c r="J3078" t="s">
        <v>47</v>
      </c>
      <c r="K3078" s="33">
        <v>4100</v>
      </c>
      <c r="M3078" t="str">
        <f>_xlfn.XLOOKUP(Pipeline_tbl[[#This Row],[Rep_ID]],Dim_Reps!A:A,Dim_Reps!K:K)</f>
        <v>EUR</v>
      </c>
      <c r="N3078" s="33">
        <f>(_xlfn.XLOOKUP(Pipeline_tbl[[#This Row],[Rate_Code_Generalized]],Lookups!A:A,Lookups!B:B))*Pipeline_tbl[[#This Row],[Pipeline_Amount_USD]]</f>
        <v>4100</v>
      </c>
      <c r="O3078" t="str">
        <f>_xlfn.XLOOKUP(Pipeline_tbl[[#This Row],[Rep_ID]],Dim_Reps!A:A,Dim_Reps!B:B)</f>
        <v>Lea Weber</v>
      </c>
      <c r="P3078" t="str">
        <f>_xlfn.XLOOKUP(Pipeline_tbl[[#This Row],[Rep_ID]],Dim_Reps!A:A,Dim_Reps!C:C)</f>
        <v>SDR / Inside Sales Rep</v>
      </c>
      <c r="Q3078" t="str">
        <f>_xlfn.XLOOKUP(Pipeline_tbl[[#This Row],[Rep_ID]],Dim_Reps!A:A,Dim_Reps!D:D)</f>
        <v>Inside Sales</v>
      </c>
      <c r="R3078" t="str">
        <f>_xlfn.XLOOKUP(Pipeline_tbl[[#This Row],[Rep_ID]],Dim_Reps!A:A,Dim_Reps!E:E)</f>
        <v>EMEA</v>
      </c>
      <c r="S3078" t="str">
        <f>_xlfn.XLOOKUP(Pipeline_tbl[[#This Row],[Created_Date]],Dim_Date!A:A,Dim_Date!H:H)</f>
        <v>Mar 2024</v>
      </c>
      <c r="T3078" t="str">
        <f>IF(Pipeline_tbl[[#This Row],[Closed_Date]]=0,"",(_xlfn.XLOOKUP(Pipeline_tbl[[#This Row],[Closed_Date]],Dim_Date!A:A,Dim_Date!H:H)))</f>
        <v>Mar 2024</v>
      </c>
      <c r="U3078">
        <f>IF(Pipeline_tbl[[#This Row],[Closed_Date]]=0,"",Pipeline_tbl[[#This Row],[Closed_Date]]-Pipeline_tbl[[#This Row],[Created_Date]])</f>
        <v>24</v>
      </c>
    </row>
    <row r="3079" spans="1:21" ht="15" customHeight="1" x14ac:dyDescent="0.2">
      <c r="A3079" t="s">
        <v>3385</v>
      </c>
      <c r="B3079" t="s">
        <v>211</v>
      </c>
      <c r="C3079" t="s">
        <v>53</v>
      </c>
      <c r="D3079" s="49">
        <v>45361</v>
      </c>
      <c r="E3079" s="49">
        <v>45362</v>
      </c>
      <c r="F3079" s="49">
        <v>45364</v>
      </c>
      <c r="G3079" s="49">
        <v>45368</v>
      </c>
      <c r="H3079" s="49">
        <v>45370</v>
      </c>
      <c r="I3079" s="49">
        <v>45372</v>
      </c>
      <c r="J3079" t="s">
        <v>47</v>
      </c>
      <c r="K3079" s="33">
        <v>2300</v>
      </c>
      <c r="M3079" t="str">
        <f>_xlfn.XLOOKUP(Pipeline_tbl[[#This Row],[Rep_ID]],Dim_Reps!A:A,Dim_Reps!K:K)</f>
        <v>EUR</v>
      </c>
      <c r="N3079" s="33">
        <f>(_xlfn.XLOOKUP(Pipeline_tbl[[#This Row],[Rate_Code_Generalized]],Lookups!A:A,Lookups!B:B))*Pipeline_tbl[[#This Row],[Pipeline_Amount_USD]]</f>
        <v>2300</v>
      </c>
      <c r="O3079" t="str">
        <f>_xlfn.XLOOKUP(Pipeline_tbl[[#This Row],[Rep_ID]],Dim_Reps!A:A,Dim_Reps!B:B)</f>
        <v>Lea Weber</v>
      </c>
      <c r="P3079" t="str">
        <f>_xlfn.XLOOKUP(Pipeline_tbl[[#This Row],[Rep_ID]],Dim_Reps!A:A,Dim_Reps!C:C)</f>
        <v>SDR / Inside Sales Rep</v>
      </c>
      <c r="Q3079" t="str">
        <f>_xlfn.XLOOKUP(Pipeline_tbl[[#This Row],[Rep_ID]],Dim_Reps!A:A,Dim_Reps!D:D)</f>
        <v>Inside Sales</v>
      </c>
      <c r="R3079" t="str">
        <f>_xlfn.XLOOKUP(Pipeline_tbl[[#This Row],[Rep_ID]],Dim_Reps!A:A,Dim_Reps!E:E)</f>
        <v>EMEA</v>
      </c>
      <c r="S3079" t="str">
        <f>_xlfn.XLOOKUP(Pipeline_tbl[[#This Row],[Created_Date]],Dim_Date!A:A,Dim_Date!H:H)</f>
        <v>Mar 2024</v>
      </c>
      <c r="T3079" t="str">
        <f>IF(Pipeline_tbl[[#This Row],[Closed_Date]]=0,"",(_xlfn.XLOOKUP(Pipeline_tbl[[#This Row],[Closed_Date]],Dim_Date!A:A,Dim_Date!H:H)))</f>
        <v>Mar 2024</v>
      </c>
      <c r="U3079">
        <f>IF(Pipeline_tbl[[#This Row],[Closed_Date]]=0,"",Pipeline_tbl[[#This Row],[Closed_Date]]-Pipeline_tbl[[#This Row],[Created_Date]])</f>
        <v>11</v>
      </c>
    </row>
    <row r="3080" spans="1:21" ht="15" customHeight="1" x14ac:dyDescent="0.2">
      <c r="A3080" t="s">
        <v>3386</v>
      </c>
      <c r="B3080" t="s">
        <v>211</v>
      </c>
      <c r="C3080" t="s">
        <v>53</v>
      </c>
      <c r="D3080" s="49">
        <v>45372</v>
      </c>
      <c r="E3080" s="49">
        <v>45372</v>
      </c>
      <c r="F3080" s="49">
        <v>45374</v>
      </c>
      <c r="I3080" s="49">
        <v>45377</v>
      </c>
      <c r="J3080" t="s">
        <v>49</v>
      </c>
      <c r="K3080" s="33">
        <v>2000</v>
      </c>
      <c r="L3080" t="s">
        <v>61</v>
      </c>
      <c r="M3080" t="str">
        <f>_xlfn.XLOOKUP(Pipeline_tbl[[#This Row],[Rep_ID]],Dim_Reps!A:A,Dim_Reps!K:K)</f>
        <v>EUR</v>
      </c>
      <c r="N3080" s="33">
        <f>(_xlfn.XLOOKUP(Pipeline_tbl[[#This Row],[Rate_Code_Generalized]],Lookups!A:A,Lookups!B:B))*Pipeline_tbl[[#This Row],[Pipeline_Amount_USD]]</f>
        <v>2000</v>
      </c>
      <c r="O3080" t="str">
        <f>_xlfn.XLOOKUP(Pipeline_tbl[[#This Row],[Rep_ID]],Dim_Reps!A:A,Dim_Reps!B:B)</f>
        <v>Lea Weber</v>
      </c>
      <c r="P3080" t="str">
        <f>_xlfn.XLOOKUP(Pipeline_tbl[[#This Row],[Rep_ID]],Dim_Reps!A:A,Dim_Reps!C:C)</f>
        <v>SDR / Inside Sales Rep</v>
      </c>
      <c r="Q3080" t="str">
        <f>_xlfn.XLOOKUP(Pipeline_tbl[[#This Row],[Rep_ID]],Dim_Reps!A:A,Dim_Reps!D:D)</f>
        <v>Inside Sales</v>
      </c>
      <c r="R3080" t="str">
        <f>_xlfn.XLOOKUP(Pipeline_tbl[[#This Row],[Rep_ID]],Dim_Reps!A:A,Dim_Reps!E:E)</f>
        <v>EMEA</v>
      </c>
      <c r="S3080" t="str">
        <f>_xlfn.XLOOKUP(Pipeline_tbl[[#This Row],[Created_Date]],Dim_Date!A:A,Dim_Date!H:H)</f>
        <v>Mar 2024</v>
      </c>
      <c r="T3080" t="str">
        <f>IF(Pipeline_tbl[[#This Row],[Closed_Date]]=0,"",(_xlfn.XLOOKUP(Pipeline_tbl[[#This Row],[Closed_Date]],Dim_Date!A:A,Dim_Date!H:H)))</f>
        <v>Mar 2024</v>
      </c>
      <c r="U3080">
        <f>IF(Pipeline_tbl[[#This Row],[Closed_Date]]=0,"",Pipeline_tbl[[#This Row],[Closed_Date]]-Pipeline_tbl[[#This Row],[Created_Date]])</f>
        <v>5</v>
      </c>
    </row>
    <row r="3081" spans="1:21" ht="15" customHeight="1" x14ac:dyDescent="0.2">
      <c r="A3081" t="s">
        <v>3387</v>
      </c>
      <c r="B3081" t="s">
        <v>215</v>
      </c>
      <c r="C3081" t="s">
        <v>52</v>
      </c>
      <c r="D3081" s="49">
        <v>45359</v>
      </c>
      <c r="E3081" s="49">
        <v>45360</v>
      </c>
      <c r="F3081" s="49">
        <v>45363</v>
      </c>
      <c r="G3081" s="49">
        <v>45367</v>
      </c>
      <c r="H3081" s="49">
        <v>45371</v>
      </c>
      <c r="I3081" s="49">
        <v>45373</v>
      </c>
      <c r="J3081" t="s">
        <v>49</v>
      </c>
      <c r="K3081" s="33">
        <v>1600</v>
      </c>
      <c r="L3081" t="s">
        <v>63</v>
      </c>
      <c r="M3081" t="str">
        <f>_xlfn.XLOOKUP(Pipeline_tbl[[#This Row],[Rep_ID]],Dim_Reps!A:A,Dim_Reps!K:K)</f>
        <v>EUR</v>
      </c>
      <c r="N3081" s="33">
        <f>(_xlfn.XLOOKUP(Pipeline_tbl[[#This Row],[Rate_Code_Generalized]],Lookups!A:A,Lookups!B:B))*Pipeline_tbl[[#This Row],[Pipeline_Amount_USD]]</f>
        <v>1600</v>
      </c>
      <c r="O3081" t="str">
        <f>_xlfn.XLOOKUP(Pipeline_tbl[[#This Row],[Rep_ID]],Dim_Reps!A:A,Dim_Reps!B:B)</f>
        <v>Jamie Schmidt</v>
      </c>
      <c r="P3081" t="str">
        <f>_xlfn.XLOOKUP(Pipeline_tbl[[#This Row],[Rep_ID]],Dim_Reps!A:A,Dim_Reps!C:C)</f>
        <v>SDR / Inside Sales Rep</v>
      </c>
      <c r="Q3081" t="str">
        <f>_xlfn.XLOOKUP(Pipeline_tbl[[#This Row],[Rep_ID]],Dim_Reps!A:A,Dim_Reps!D:D)</f>
        <v>Inside Sales</v>
      </c>
      <c r="R3081" t="str">
        <f>_xlfn.XLOOKUP(Pipeline_tbl[[#This Row],[Rep_ID]],Dim_Reps!A:A,Dim_Reps!E:E)</f>
        <v>APAC</v>
      </c>
      <c r="S3081" t="str">
        <f>_xlfn.XLOOKUP(Pipeline_tbl[[#This Row],[Created_Date]],Dim_Date!A:A,Dim_Date!H:H)</f>
        <v>Mar 2024</v>
      </c>
      <c r="T3081" t="str">
        <f>IF(Pipeline_tbl[[#This Row],[Closed_Date]]=0,"",(_xlfn.XLOOKUP(Pipeline_tbl[[#This Row],[Closed_Date]],Dim_Date!A:A,Dim_Date!H:H)))</f>
        <v>Mar 2024</v>
      </c>
      <c r="U3081">
        <f>IF(Pipeline_tbl[[#This Row],[Closed_Date]]=0,"",Pipeline_tbl[[#This Row],[Closed_Date]]-Pipeline_tbl[[#This Row],[Created_Date]])</f>
        <v>14</v>
      </c>
    </row>
    <row r="3082" spans="1:21" ht="15" customHeight="1" x14ac:dyDescent="0.2">
      <c r="A3082" t="s">
        <v>3388</v>
      </c>
      <c r="B3082" t="s">
        <v>215</v>
      </c>
      <c r="C3082" t="s">
        <v>53</v>
      </c>
      <c r="D3082" s="49">
        <v>45355</v>
      </c>
      <c r="E3082" s="49">
        <v>45357</v>
      </c>
      <c r="F3082" s="49">
        <v>45360</v>
      </c>
      <c r="G3082" s="49">
        <v>45364</v>
      </c>
      <c r="H3082" s="49">
        <v>45368</v>
      </c>
      <c r="I3082" s="49">
        <v>45370</v>
      </c>
      <c r="J3082" t="s">
        <v>47</v>
      </c>
      <c r="K3082" s="33">
        <v>1500</v>
      </c>
      <c r="M3082" t="str">
        <f>_xlfn.XLOOKUP(Pipeline_tbl[[#This Row],[Rep_ID]],Dim_Reps!A:A,Dim_Reps!K:K)</f>
        <v>EUR</v>
      </c>
      <c r="N3082" s="33">
        <f>(_xlfn.XLOOKUP(Pipeline_tbl[[#This Row],[Rate_Code_Generalized]],Lookups!A:A,Lookups!B:B))*Pipeline_tbl[[#This Row],[Pipeline_Amount_USD]]</f>
        <v>1500</v>
      </c>
      <c r="O3082" t="str">
        <f>_xlfn.XLOOKUP(Pipeline_tbl[[#This Row],[Rep_ID]],Dim_Reps!A:A,Dim_Reps!B:B)</f>
        <v>Jamie Schmidt</v>
      </c>
      <c r="P3082" t="str">
        <f>_xlfn.XLOOKUP(Pipeline_tbl[[#This Row],[Rep_ID]],Dim_Reps!A:A,Dim_Reps!C:C)</f>
        <v>SDR / Inside Sales Rep</v>
      </c>
      <c r="Q3082" t="str">
        <f>_xlfn.XLOOKUP(Pipeline_tbl[[#This Row],[Rep_ID]],Dim_Reps!A:A,Dim_Reps!D:D)</f>
        <v>Inside Sales</v>
      </c>
      <c r="R3082" t="str">
        <f>_xlfn.XLOOKUP(Pipeline_tbl[[#This Row],[Rep_ID]],Dim_Reps!A:A,Dim_Reps!E:E)</f>
        <v>APAC</v>
      </c>
      <c r="S3082" t="str">
        <f>_xlfn.XLOOKUP(Pipeline_tbl[[#This Row],[Created_Date]],Dim_Date!A:A,Dim_Date!H:H)</f>
        <v>Mar 2024</v>
      </c>
      <c r="T3082" t="str">
        <f>IF(Pipeline_tbl[[#This Row],[Closed_Date]]=0,"",(_xlfn.XLOOKUP(Pipeline_tbl[[#This Row],[Closed_Date]],Dim_Date!A:A,Dim_Date!H:H)))</f>
        <v>Mar 2024</v>
      </c>
      <c r="U3082">
        <f>IF(Pipeline_tbl[[#This Row],[Closed_Date]]=0,"",Pipeline_tbl[[#This Row],[Closed_Date]]-Pipeline_tbl[[#This Row],[Created_Date]])</f>
        <v>15</v>
      </c>
    </row>
    <row r="3083" spans="1:21" ht="15" customHeight="1" x14ac:dyDescent="0.2">
      <c r="A3083" t="s">
        <v>3389</v>
      </c>
      <c r="B3083" t="s">
        <v>215</v>
      </c>
      <c r="C3083" t="s">
        <v>52</v>
      </c>
      <c r="D3083" s="49">
        <v>45358</v>
      </c>
      <c r="E3083" s="49">
        <v>45359</v>
      </c>
      <c r="I3083" s="49">
        <v>45371</v>
      </c>
      <c r="J3083" t="s">
        <v>49</v>
      </c>
      <c r="K3083" s="33">
        <v>4600</v>
      </c>
      <c r="L3083" t="s">
        <v>61</v>
      </c>
      <c r="M3083" t="str">
        <f>_xlfn.XLOOKUP(Pipeline_tbl[[#This Row],[Rep_ID]],Dim_Reps!A:A,Dim_Reps!K:K)</f>
        <v>EUR</v>
      </c>
      <c r="N3083" s="33">
        <f>(_xlfn.XLOOKUP(Pipeline_tbl[[#This Row],[Rate_Code_Generalized]],Lookups!A:A,Lookups!B:B))*Pipeline_tbl[[#This Row],[Pipeline_Amount_USD]]</f>
        <v>4600</v>
      </c>
      <c r="O3083" t="str">
        <f>_xlfn.XLOOKUP(Pipeline_tbl[[#This Row],[Rep_ID]],Dim_Reps!A:A,Dim_Reps!B:B)</f>
        <v>Jamie Schmidt</v>
      </c>
      <c r="P3083" t="str">
        <f>_xlfn.XLOOKUP(Pipeline_tbl[[#This Row],[Rep_ID]],Dim_Reps!A:A,Dim_Reps!C:C)</f>
        <v>SDR / Inside Sales Rep</v>
      </c>
      <c r="Q3083" t="str">
        <f>_xlfn.XLOOKUP(Pipeline_tbl[[#This Row],[Rep_ID]],Dim_Reps!A:A,Dim_Reps!D:D)</f>
        <v>Inside Sales</v>
      </c>
      <c r="R3083" t="str">
        <f>_xlfn.XLOOKUP(Pipeline_tbl[[#This Row],[Rep_ID]],Dim_Reps!A:A,Dim_Reps!E:E)</f>
        <v>APAC</v>
      </c>
      <c r="S3083" t="str">
        <f>_xlfn.XLOOKUP(Pipeline_tbl[[#This Row],[Created_Date]],Dim_Date!A:A,Dim_Date!H:H)</f>
        <v>Mar 2024</v>
      </c>
      <c r="T3083" t="str">
        <f>IF(Pipeline_tbl[[#This Row],[Closed_Date]]=0,"",(_xlfn.XLOOKUP(Pipeline_tbl[[#This Row],[Closed_Date]],Dim_Date!A:A,Dim_Date!H:H)))</f>
        <v>Mar 2024</v>
      </c>
      <c r="U3083">
        <f>IF(Pipeline_tbl[[#This Row],[Closed_Date]]=0,"",Pipeline_tbl[[#This Row],[Closed_Date]]-Pipeline_tbl[[#This Row],[Created_Date]])</f>
        <v>13</v>
      </c>
    </row>
    <row r="3084" spans="1:21" ht="15" customHeight="1" x14ac:dyDescent="0.2">
      <c r="A3084" t="s">
        <v>3390</v>
      </c>
      <c r="B3084" t="s">
        <v>215</v>
      </c>
      <c r="C3084" t="s">
        <v>54</v>
      </c>
      <c r="D3084" s="49">
        <v>45356</v>
      </c>
      <c r="E3084" s="49">
        <v>45358</v>
      </c>
      <c r="I3084" s="49">
        <v>45376</v>
      </c>
      <c r="J3084" t="s">
        <v>49</v>
      </c>
      <c r="K3084" s="33">
        <v>7400</v>
      </c>
      <c r="L3084" t="s">
        <v>61</v>
      </c>
      <c r="M3084" t="str">
        <f>_xlfn.XLOOKUP(Pipeline_tbl[[#This Row],[Rep_ID]],Dim_Reps!A:A,Dim_Reps!K:K)</f>
        <v>EUR</v>
      </c>
      <c r="N3084" s="33">
        <f>(_xlfn.XLOOKUP(Pipeline_tbl[[#This Row],[Rate_Code_Generalized]],Lookups!A:A,Lookups!B:B))*Pipeline_tbl[[#This Row],[Pipeline_Amount_USD]]</f>
        <v>7400</v>
      </c>
      <c r="O3084" t="str">
        <f>_xlfn.XLOOKUP(Pipeline_tbl[[#This Row],[Rep_ID]],Dim_Reps!A:A,Dim_Reps!B:B)</f>
        <v>Jamie Schmidt</v>
      </c>
      <c r="P3084" t="str">
        <f>_xlfn.XLOOKUP(Pipeline_tbl[[#This Row],[Rep_ID]],Dim_Reps!A:A,Dim_Reps!C:C)</f>
        <v>SDR / Inside Sales Rep</v>
      </c>
      <c r="Q3084" t="str">
        <f>_xlfn.XLOOKUP(Pipeline_tbl[[#This Row],[Rep_ID]],Dim_Reps!A:A,Dim_Reps!D:D)</f>
        <v>Inside Sales</v>
      </c>
      <c r="R3084" t="str">
        <f>_xlfn.XLOOKUP(Pipeline_tbl[[#This Row],[Rep_ID]],Dim_Reps!A:A,Dim_Reps!E:E)</f>
        <v>APAC</v>
      </c>
      <c r="S3084" t="str">
        <f>_xlfn.XLOOKUP(Pipeline_tbl[[#This Row],[Created_Date]],Dim_Date!A:A,Dim_Date!H:H)</f>
        <v>Mar 2024</v>
      </c>
      <c r="T3084" t="str">
        <f>IF(Pipeline_tbl[[#This Row],[Closed_Date]]=0,"",(_xlfn.XLOOKUP(Pipeline_tbl[[#This Row],[Closed_Date]],Dim_Date!A:A,Dim_Date!H:H)))</f>
        <v>Mar 2024</v>
      </c>
      <c r="U3084">
        <f>IF(Pipeline_tbl[[#This Row],[Closed_Date]]=0,"",Pipeline_tbl[[#This Row],[Closed_Date]]-Pipeline_tbl[[#This Row],[Created_Date]])</f>
        <v>20</v>
      </c>
    </row>
    <row r="3085" spans="1:21" ht="15" customHeight="1" x14ac:dyDescent="0.2">
      <c r="A3085" t="s">
        <v>3391</v>
      </c>
      <c r="B3085" t="s">
        <v>217</v>
      </c>
      <c r="C3085" t="s">
        <v>54</v>
      </c>
      <c r="D3085" s="49">
        <v>45353</v>
      </c>
      <c r="E3085" s="49">
        <v>45354</v>
      </c>
      <c r="F3085" s="49">
        <v>45357</v>
      </c>
      <c r="G3085" s="49">
        <v>45361</v>
      </c>
      <c r="H3085" s="49">
        <v>45364</v>
      </c>
      <c r="I3085" s="49">
        <v>45366</v>
      </c>
      <c r="J3085" t="s">
        <v>49</v>
      </c>
      <c r="K3085" s="33">
        <v>2000</v>
      </c>
      <c r="L3085" t="s">
        <v>62</v>
      </c>
      <c r="M3085" t="str">
        <f>_xlfn.XLOOKUP(Pipeline_tbl[[#This Row],[Rep_ID]],Dim_Reps!A:A,Dim_Reps!K:K)</f>
        <v>USD</v>
      </c>
      <c r="N3085" s="33">
        <f>(_xlfn.XLOOKUP(Pipeline_tbl[[#This Row],[Rate_Code_Generalized]],Lookups!A:A,Lookups!B:B))*Pipeline_tbl[[#This Row],[Pipeline_Amount_USD]]</f>
        <v>2328.6</v>
      </c>
      <c r="O3085" t="str">
        <f>_xlfn.XLOOKUP(Pipeline_tbl[[#This Row],[Rep_ID]],Dim_Reps!A:A,Dim_Reps!B:B)</f>
        <v>Priya Weber</v>
      </c>
      <c r="P3085" t="str">
        <f>_xlfn.XLOOKUP(Pipeline_tbl[[#This Row],[Rep_ID]],Dim_Reps!A:A,Dim_Reps!C:C)</f>
        <v>SDR / Inside Sales Rep</v>
      </c>
      <c r="Q3085" t="str">
        <f>_xlfn.XLOOKUP(Pipeline_tbl[[#This Row],[Rep_ID]],Dim_Reps!A:A,Dim_Reps!D:D)</f>
        <v>Inside Sales</v>
      </c>
      <c r="R3085" t="str">
        <f>_xlfn.XLOOKUP(Pipeline_tbl[[#This Row],[Rep_ID]],Dim_Reps!A:A,Dim_Reps!E:E)</f>
        <v>NAMER</v>
      </c>
      <c r="S3085" t="str">
        <f>_xlfn.XLOOKUP(Pipeline_tbl[[#This Row],[Created_Date]],Dim_Date!A:A,Dim_Date!H:H)</f>
        <v>Mar 2024</v>
      </c>
      <c r="T3085" t="str">
        <f>IF(Pipeline_tbl[[#This Row],[Closed_Date]]=0,"",(_xlfn.XLOOKUP(Pipeline_tbl[[#This Row],[Closed_Date]],Dim_Date!A:A,Dim_Date!H:H)))</f>
        <v>Mar 2024</v>
      </c>
      <c r="U3085">
        <f>IF(Pipeline_tbl[[#This Row],[Closed_Date]]=0,"",Pipeline_tbl[[#This Row],[Closed_Date]]-Pipeline_tbl[[#This Row],[Created_Date]])</f>
        <v>13</v>
      </c>
    </row>
    <row r="3086" spans="1:21" ht="15" customHeight="1" x14ac:dyDescent="0.2">
      <c r="A3086" t="s">
        <v>3392</v>
      </c>
      <c r="B3086" t="s">
        <v>217</v>
      </c>
      <c r="C3086" t="s">
        <v>56</v>
      </c>
      <c r="D3086" s="49">
        <v>45353</v>
      </c>
      <c r="E3086" s="49">
        <v>45353</v>
      </c>
      <c r="F3086" s="49">
        <v>45355</v>
      </c>
      <c r="G3086" s="49">
        <v>45356</v>
      </c>
      <c r="H3086" s="49">
        <v>45357</v>
      </c>
      <c r="I3086" s="49">
        <v>45358</v>
      </c>
      <c r="J3086" t="s">
        <v>47</v>
      </c>
      <c r="K3086" s="33">
        <v>4800</v>
      </c>
      <c r="M3086" t="str">
        <f>_xlfn.XLOOKUP(Pipeline_tbl[[#This Row],[Rep_ID]],Dim_Reps!A:A,Dim_Reps!K:K)</f>
        <v>USD</v>
      </c>
      <c r="N3086" s="33">
        <f>(_xlfn.XLOOKUP(Pipeline_tbl[[#This Row],[Rate_Code_Generalized]],Lookups!A:A,Lookups!B:B))*Pipeline_tbl[[#This Row],[Pipeline_Amount_USD]]</f>
        <v>5588.6399999999994</v>
      </c>
      <c r="O3086" t="str">
        <f>_xlfn.XLOOKUP(Pipeline_tbl[[#This Row],[Rep_ID]],Dim_Reps!A:A,Dim_Reps!B:B)</f>
        <v>Priya Weber</v>
      </c>
      <c r="P3086" t="str">
        <f>_xlfn.XLOOKUP(Pipeline_tbl[[#This Row],[Rep_ID]],Dim_Reps!A:A,Dim_Reps!C:C)</f>
        <v>SDR / Inside Sales Rep</v>
      </c>
      <c r="Q3086" t="str">
        <f>_xlfn.XLOOKUP(Pipeline_tbl[[#This Row],[Rep_ID]],Dim_Reps!A:A,Dim_Reps!D:D)</f>
        <v>Inside Sales</v>
      </c>
      <c r="R3086" t="str">
        <f>_xlfn.XLOOKUP(Pipeline_tbl[[#This Row],[Rep_ID]],Dim_Reps!A:A,Dim_Reps!E:E)</f>
        <v>NAMER</v>
      </c>
      <c r="S3086" t="str">
        <f>_xlfn.XLOOKUP(Pipeline_tbl[[#This Row],[Created_Date]],Dim_Date!A:A,Dim_Date!H:H)</f>
        <v>Mar 2024</v>
      </c>
      <c r="T3086" t="str">
        <f>IF(Pipeline_tbl[[#This Row],[Closed_Date]]=0,"",(_xlfn.XLOOKUP(Pipeline_tbl[[#This Row],[Closed_Date]],Dim_Date!A:A,Dim_Date!H:H)))</f>
        <v>Mar 2024</v>
      </c>
      <c r="U3086">
        <f>IF(Pipeline_tbl[[#This Row],[Closed_Date]]=0,"",Pipeline_tbl[[#This Row],[Closed_Date]]-Pipeline_tbl[[#This Row],[Created_Date]])</f>
        <v>5</v>
      </c>
    </row>
    <row r="3087" spans="1:21" ht="15" customHeight="1" x14ac:dyDescent="0.2">
      <c r="A3087" t="s">
        <v>3393</v>
      </c>
      <c r="B3087" t="s">
        <v>217</v>
      </c>
      <c r="C3087" t="s">
        <v>54</v>
      </c>
      <c r="D3087" s="49">
        <v>45358</v>
      </c>
      <c r="E3087" s="49">
        <v>45360</v>
      </c>
      <c r="F3087" s="49">
        <v>45364</v>
      </c>
      <c r="G3087" s="49">
        <v>45369</v>
      </c>
      <c r="H3087" s="49">
        <v>45374</v>
      </c>
      <c r="I3087" s="49">
        <v>45377</v>
      </c>
      <c r="J3087" t="s">
        <v>47</v>
      </c>
      <c r="K3087" s="33">
        <v>2500</v>
      </c>
      <c r="M3087" t="str">
        <f>_xlfn.XLOOKUP(Pipeline_tbl[[#This Row],[Rep_ID]],Dim_Reps!A:A,Dim_Reps!K:K)</f>
        <v>USD</v>
      </c>
      <c r="N3087" s="33">
        <f>(_xlfn.XLOOKUP(Pipeline_tbl[[#This Row],[Rate_Code_Generalized]],Lookups!A:A,Lookups!B:B))*Pipeline_tbl[[#This Row],[Pipeline_Amount_USD]]</f>
        <v>2910.7499999999995</v>
      </c>
      <c r="O3087" t="str">
        <f>_xlfn.XLOOKUP(Pipeline_tbl[[#This Row],[Rep_ID]],Dim_Reps!A:A,Dim_Reps!B:B)</f>
        <v>Priya Weber</v>
      </c>
      <c r="P3087" t="str">
        <f>_xlfn.XLOOKUP(Pipeline_tbl[[#This Row],[Rep_ID]],Dim_Reps!A:A,Dim_Reps!C:C)</f>
        <v>SDR / Inside Sales Rep</v>
      </c>
      <c r="Q3087" t="str">
        <f>_xlfn.XLOOKUP(Pipeline_tbl[[#This Row],[Rep_ID]],Dim_Reps!A:A,Dim_Reps!D:D)</f>
        <v>Inside Sales</v>
      </c>
      <c r="R3087" t="str">
        <f>_xlfn.XLOOKUP(Pipeline_tbl[[#This Row],[Rep_ID]],Dim_Reps!A:A,Dim_Reps!E:E)</f>
        <v>NAMER</v>
      </c>
      <c r="S3087" t="str">
        <f>_xlfn.XLOOKUP(Pipeline_tbl[[#This Row],[Created_Date]],Dim_Date!A:A,Dim_Date!H:H)</f>
        <v>Mar 2024</v>
      </c>
      <c r="T3087" t="str">
        <f>IF(Pipeline_tbl[[#This Row],[Closed_Date]]=0,"",(_xlfn.XLOOKUP(Pipeline_tbl[[#This Row],[Closed_Date]],Dim_Date!A:A,Dim_Date!H:H)))</f>
        <v>Mar 2024</v>
      </c>
      <c r="U3087">
        <f>IF(Pipeline_tbl[[#This Row],[Closed_Date]]=0,"",Pipeline_tbl[[#This Row],[Closed_Date]]-Pipeline_tbl[[#This Row],[Created_Date]])</f>
        <v>19</v>
      </c>
    </row>
    <row r="3088" spans="1:21" ht="15" customHeight="1" x14ac:dyDescent="0.2">
      <c r="A3088" t="s">
        <v>3394</v>
      </c>
      <c r="B3088" t="s">
        <v>217</v>
      </c>
      <c r="C3088" t="s">
        <v>52</v>
      </c>
      <c r="D3088" s="49">
        <v>45361</v>
      </c>
      <c r="E3088" s="49">
        <v>45362</v>
      </c>
      <c r="F3088" s="49">
        <v>45365</v>
      </c>
      <c r="I3088" s="49">
        <v>45374</v>
      </c>
      <c r="J3088" t="s">
        <v>49</v>
      </c>
      <c r="K3088" s="33">
        <v>5200</v>
      </c>
      <c r="L3088" t="s">
        <v>63</v>
      </c>
      <c r="M3088" t="str">
        <f>_xlfn.XLOOKUP(Pipeline_tbl[[#This Row],[Rep_ID]],Dim_Reps!A:A,Dim_Reps!K:K)</f>
        <v>USD</v>
      </c>
      <c r="N3088" s="33">
        <f>(_xlfn.XLOOKUP(Pipeline_tbl[[#This Row],[Rate_Code_Generalized]],Lookups!A:A,Lookups!B:B))*Pipeline_tbl[[#This Row],[Pipeline_Amount_USD]]</f>
        <v>6054.36</v>
      </c>
      <c r="O3088" t="str">
        <f>_xlfn.XLOOKUP(Pipeline_tbl[[#This Row],[Rep_ID]],Dim_Reps!A:A,Dim_Reps!B:B)</f>
        <v>Priya Weber</v>
      </c>
      <c r="P3088" t="str">
        <f>_xlfn.XLOOKUP(Pipeline_tbl[[#This Row],[Rep_ID]],Dim_Reps!A:A,Dim_Reps!C:C)</f>
        <v>SDR / Inside Sales Rep</v>
      </c>
      <c r="Q3088" t="str">
        <f>_xlfn.XLOOKUP(Pipeline_tbl[[#This Row],[Rep_ID]],Dim_Reps!A:A,Dim_Reps!D:D)</f>
        <v>Inside Sales</v>
      </c>
      <c r="R3088" t="str">
        <f>_xlfn.XLOOKUP(Pipeline_tbl[[#This Row],[Rep_ID]],Dim_Reps!A:A,Dim_Reps!E:E)</f>
        <v>NAMER</v>
      </c>
      <c r="S3088" t="str">
        <f>_xlfn.XLOOKUP(Pipeline_tbl[[#This Row],[Created_Date]],Dim_Date!A:A,Dim_Date!H:H)</f>
        <v>Mar 2024</v>
      </c>
      <c r="T3088" t="str">
        <f>IF(Pipeline_tbl[[#This Row],[Closed_Date]]=0,"",(_xlfn.XLOOKUP(Pipeline_tbl[[#This Row],[Closed_Date]],Dim_Date!A:A,Dim_Date!H:H)))</f>
        <v>Mar 2024</v>
      </c>
      <c r="U3088">
        <f>IF(Pipeline_tbl[[#This Row],[Closed_Date]]=0,"",Pipeline_tbl[[#This Row],[Closed_Date]]-Pipeline_tbl[[#This Row],[Created_Date]])</f>
        <v>13</v>
      </c>
    </row>
    <row r="3089" spans="1:21" ht="15" customHeight="1" x14ac:dyDescent="0.2">
      <c r="A3089" t="s">
        <v>3395</v>
      </c>
      <c r="B3089" t="s">
        <v>217</v>
      </c>
      <c r="C3089" t="s">
        <v>54</v>
      </c>
      <c r="D3089" s="49">
        <v>45354</v>
      </c>
      <c r="E3089" s="49">
        <v>45356</v>
      </c>
      <c r="F3089" s="49">
        <v>45359</v>
      </c>
      <c r="G3089" s="49">
        <v>45363</v>
      </c>
      <c r="H3089" s="49">
        <v>45367</v>
      </c>
      <c r="I3089" s="49">
        <v>45369</v>
      </c>
      <c r="J3089" t="s">
        <v>47</v>
      </c>
      <c r="K3089" s="33">
        <v>3300</v>
      </c>
      <c r="M3089" t="str">
        <f>_xlfn.XLOOKUP(Pipeline_tbl[[#This Row],[Rep_ID]],Dim_Reps!A:A,Dim_Reps!K:K)</f>
        <v>USD</v>
      </c>
      <c r="N3089" s="33">
        <f>(_xlfn.XLOOKUP(Pipeline_tbl[[#This Row],[Rate_Code_Generalized]],Lookups!A:A,Lookups!B:B))*Pipeline_tbl[[#This Row],[Pipeline_Amount_USD]]</f>
        <v>3842.1899999999996</v>
      </c>
      <c r="O3089" t="str">
        <f>_xlfn.XLOOKUP(Pipeline_tbl[[#This Row],[Rep_ID]],Dim_Reps!A:A,Dim_Reps!B:B)</f>
        <v>Priya Weber</v>
      </c>
      <c r="P3089" t="str">
        <f>_xlfn.XLOOKUP(Pipeline_tbl[[#This Row],[Rep_ID]],Dim_Reps!A:A,Dim_Reps!C:C)</f>
        <v>SDR / Inside Sales Rep</v>
      </c>
      <c r="Q3089" t="str">
        <f>_xlfn.XLOOKUP(Pipeline_tbl[[#This Row],[Rep_ID]],Dim_Reps!A:A,Dim_Reps!D:D)</f>
        <v>Inside Sales</v>
      </c>
      <c r="R3089" t="str">
        <f>_xlfn.XLOOKUP(Pipeline_tbl[[#This Row],[Rep_ID]],Dim_Reps!A:A,Dim_Reps!E:E)</f>
        <v>NAMER</v>
      </c>
      <c r="S3089" t="str">
        <f>_xlfn.XLOOKUP(Pipeline_tbl[[#This Row],[Created_Date]],Dim_Date!A:A,Dim_Date!H:H)</f>
        <v>Mar 2024</v>
      </c>
      <c r="T3089" t="str">
        <f>IF(Pipeline_tbl[[#This Row],[Closed_Date]]=0,"",(_xlfn.XLOOKUP(Pipeline_tbl[[#This Row],[Closed_Date]],Dim_Date!A:A,Dim_Date!H:H)))</f>
        <v>Mar 2024</v>
      </c>
      <c r="U3089">
        <f>IF(Pipeline_tbl[[#This Row],[Closed_Date]]=0,"",Pipeline_tbl[[#This Row],[Closed_Date]]-Pipeline_tbl[[#This Row],[Created_Date]])</f>
        <v>15</v>
      </c>
    </row>
    <row r="3090" spans="1:21" ht="15" customHeight="1" x14ac:dyDescent="0.2">
      <c r="A3090" t="s">
        <v>3396</v>
      </c>
      <c r="B3090" t="s">
        <v>217</v>
      </c>
      <c r="C3090" t="s">
        <v>56</v>
      </c>
      <c r="D3090" s="49">
        <v>45366</v>
      </c>
      <c r="E3090" s="49">
        <v>45367</v>
      </c>
      <c r="F3090" s="49">
        <v>45369</v>
      </c>
      <c r="G3090" s="49">
        <v>45371</v>
      </c>
      <c r="I3090" s="49">
        <v>45375</v>
      </c>
      <c r="J3090" t="s">
        <v>49</v>
      </c>
      <c r="K3090" s="33">
        <v>3500</v>
      </c>
      <c r="L3090" t="s">
        <v>63</v>
      </c>
      <c r="M3090" t="str">
        <f>_xlfn.XLOOKUP(Pipeline_tbl[[#This Row],[Rep_ID]],Dim_Reps!A:A,Dim_Reps!K:K)</f>
        <v>USD</v>
      </c>
      <c r="N3090" s="33">
        <f>(_xlfn.XLOOKUP(Pipeline_tbl[[#This Row],[Rate_Code_Generalized]],Lookups!A:A,Lookups!B:B))*Pipeline_tbl[[#This Row],[Pipeline_Amount_USD]]</f>
        <v>4075.0499999999997</v>
      </c>
      <c r="O3090" t="str">
        <f>_xlfn.XLOOKUP(Pipeline_tbl[[#This Row],[Rep_ID]],Dim_Reps!A:A,Dim_Reps!B:B)</f>
        <v>Priya Weber</v>
      </c>
      <c r="P3090" t="str">
        <f>_xlfn.XLOOKUP(Pipeline_tbl[[#This Row],[Rep_ID]],Dim_Reps!A:A,Dim_Reps!C:C)</f>
        <v>SDR / Inside Sales Rep</v>
      </c>
      <c r="Q3090" t="str">
        <f>_xlfn.XLOOKUP(Pipeline_tbl[[#This Row],[Rep_ID]],Dim_Reps!A:A,Dim_Reps!D:D)</f>
        <v>Inside Sales</v>
      </c>
      <c r="R3090" t="str">
        <f>_xlfn.XLOOKUP(Pipeline_tbl[[#This Row],[Rep_ID]],Dim_Reps!A:A,Dim_Reps!E:E)</f>
        <v>NAMER</v>
      </c>
      <c r="S3090" t="str">
        <f>_xlfn.XLOOKUP(Pipeline_tbl[[#This Row],[Created_Date]],Dim_Date!A:A,Dim_Date!H:H)</f>
        <v>Mar 2024</v>
      </c>
      <c r="T3090" t="str">
        <f>IF(Pipeline_tbl[[#This Row],[Closed_Date]]=0,"",(_xlfn.XLOOKUP(Pipeline_tbl[[#This Row],[Closed_Date]],Dim_Date!A:A,Dim_Date!H:H)))</f>
        <v>Mar 2024</v>
      </c>
      <c r="U3090">
        <f>IF(Pipeline_tbl[[#This Row],[Closed_Date]]=0,"",Pipeline_tbl[[#This Row],[Closed_Date]]-Pipeline_tbl[[#This Row],[Created_Date]])</f>
        <v>9</v>
      </c>
    </row>
    <row r="3091" spans="1:21" ht="15" customHeight="1" x14ac:dyDescent="0.2">
      <c r="A3091" t="s">
        <v>3397</v>
      </c>
      <c r="B3091" t="s">
        <v>217</v>
      </c>
      <c r="C3091" t="s">
        <v>55</v>
      </c>
      <c r="D3091" s="49">
        <v>45360</v>
      </c>
      <c r="E3091" s="49">
        <v>45361</v>
      </c>
      <c r="F3091" s="49">
        <v>45364</v>
      </c>
      <c r="G3091" s="49">
        <v>45368</v>
      </c>
      <c r="H3091" s="49">
        <v>45372</v>
      </c>
      <c r="I3091" s="49">
        <v>45374</v>
      </c>
      <c r="J3091" t="s">
        <v>47</v>
      </c>
      <c r="K3091" s="33">
        <v>4400</v>
      </c>
      <c r="M3091" t="str">
        <f>_xlfn.XLOOKUP(Pipeline_tbl[[#This Row],[Rep_ID]],Dim_Reps!A:A,Dim_Reps!K:K)</f>
        <v>USD</v>
      </c>
      <c r="N3091" s="33">
        <f>(_xlfn.XLOOKUP(Pipeline_tbl[[#This Row],[Rate_Code_Generalized]],Lookups!A:A,Lookups!B:B))*Pipeline_tbl[[#This Row],[Pipeline_Amount_USD]]</f>
        <v>5122.9199999999992</v>
      </c>
      <c r="O3091" t="str">
        <f>_xlfn.XLOOKUP(Pipeline_tbl[[#This Row],[Rep_ID]],Dim_Reps!A:A,Dim_Reps!B:B)</f>
        <v>Priya Weber</v>
      </c>
      <c r="P3091" t="str">
        <f>_xlfn.XLOOKUP(Pipeline_tbl[[#This Row],[Rep_ID]],Dim_Reps!A:A,Dim_Reps!C:C)</f>
        <v>SDR / Inside Sales Rep</v>
      </c>
      <c r="Q3091" t="str">
        <f>_xlfn.XLOOKUP(Pipeline_tbl[[#This Row],[Rep_ID]],Dim_Reps!A:A,Dim_Reps!D:D)</f>
        <v>Inside Sales</v>
      </c>
      <c r="R3091" t="str">
        <f>_xlfn.XLOOKUP(Pipeline_tbl[[#This Row],[Rep_ID]],Dim_Reps!A:A,Dim_Reps!E:E)</f>
        <v>NAMER</v>
      </c>
      <c r="S3091" t="str">
        <f>_xlfn.XLOOKUP(Pipeline_tbl[[#This Row],[Created_Date]],Dim_Date!A:A,Dim_Date!H:H)</f>
        <v>Mar 2024</v>
      </c>
      <c r="T3091" t="str">
        <f>IF(Pipeline_tbl[[#This Row],[Closed_Date]]=0,"",(_xlfn.XLOOKUP(Pipeline_tbl[[#This Row],[Closed_Date]],Dim_Date!A:A,Dim_Date!H:H)))</f>
        <v>Mar 2024</v>
      </c>
      <c r="U3091">
        <f>IF(Pipeline_tbl[[#This Row],[Closed_Date]]=0,"",Pipeline_tbl[[#This Row],[Closed_Date]]-Pipeline_tbl[[#This Row],[Created_Date]])</f>
        <v>14</v>
      </c>
    </row>
    <row r="3092" spans="1:21" ht="15" customHeight="1" x14ac:dyDescent="0.2">
      <c r="A3092" t="s">
        <v>3398</v>
      </c>
      <c r="B3092" t="s">
        <v>221</v>
      </c>
      <c r="C3092" t="s">
        <v>52</v>
      </c>
      <c r="D3092" s="49">
        <v>45354</v>
      </c>
      <c r="E3092" s="49">
        <v>45355</v>
      </c>
      <c r="F3092" s="49">
        <v>45358</v>
      </c>
      <c r="G3092" s="49">
        <v>45362</v>
      </c>
      <c r="H3092" s="49">
        <v>45366</v>
      </c>
      <c r="I3092" s="49">
        <v>45368</v>
      </c>
      <c r="J3092" t="s">
        <v>47</v>
      </c>
      <c r="K3092" s="33">
        <v>4300</v>
      </c>
      <c r="M3092" t="str">
        <f>_xlfn.XLOOKUP(Pipeline_tbl[[#This Row],[Rep_ID]],Dim_Reps!A:A,Dim_Reps!K:K)</f>
        <v>MXN</v>
      </c>
      <c r="N3092" s="33">
        <f>(_xlfn.XLOOKUP(Pipeline_tbl[[#This Row],[Rate_Code_Generalized]],Lookups!A:A,Lookups!B:B))*Pipeline_tbl[[#This Row],[Pipeline_Amount_USD]]</f>
        <v>84850.61</v>
      </c>
      <c r="O3092" t="str">
        <f>_xlfn.XLOOKUP(Pipeline_tbl[[#This Row],[Rep_ID]],Dim_Reps!A:A,Dim_Reps!B:B)</f>
        <v>Casey Muller</v>
      </c>
      <c r="P3092" t="str">
        <f>_xlfn.XLOOKUP(Pipeline_tbl[[#This Row],[Rep_ID]],Dim_Reps!A:A,Dim_Reps!C:C)</f>
        <v>SDR / Inside Sales Rep</v>
      </c>
      <c r="Q3092" t="str">
        <f>_xlfn.XLOOKUP(Pipeline_tbl[[#This Row],[Rep_ID]],Dim_Reps!A:A,Dim_Reps!D:D)</f>
        <v>Inside Sales</v>
      </c>
      <c r="R3092" t="str">
        <f>_xlfn.XLOOKUP(Pipeline_tbl[[#This Row],[Rep_ID]],Dim_Reps!A:A,Dim_Reps!E:E)</f>
        <v>LATAM</v>
      </c>
      <c r="S3092" t="str">
        <f>_xlfn.XLOOKUP(Pipeline_tbl[[#This Row],[Created_Date]],Dim_Date!A:A,Dim_Date!H:H)</f>
        <v>Mar 2024</v>
      </c>
      <c r="T3092" t="str">
        <f>IF(Pipeline_tbl[[#This Row],[Closed_Date]]=0,"",(_xlfn.XLOOKUP(Pipeline_tbl[[#This Row],[Closed_Date]],Dim_Date!A:A,Dim_Date!H:H)))</f>
        <v>Mar 2024</v>
      </c>
      <c r="U3092">
        <f>IF(Pipeline_tbl[[#This Row],[Closed_Date]]=0,"",Pipeline_tbl[[#This Row],[Closed_Date]]-Pipeline_tbl[[#This Row],[Created_Date]])</f>
        <v>14</v>
      </c>
    </row>
    <row r="3093" spans="1:21" ht="15" customHeight="1" x14ac:dyDescent="0.2">
      <c r="A3093" t="s">
        <v>3399</v>
      </c>
      <c r="B3093" t="s">
        <v>221</v>
      </c>
      <c r="C3093" t="s">
        <v>52</v>
      </c>
      <c r="D3093" s="49">
        <v>45366</v>
      </c>
      <c r="E3093" s="49">
        <v>45367</v>
      </c>
      <c r="F3093" s="49">
        <v>45368</v>
      </c>
      <c r="G3093" s="49">
        <v>45371</v>
      </c>
      <c r="H3093" s="49">
        <v>45373</v>
      </c>
      <c r="I3093" s="49">
        <v>45374</v>
      </c>
      <c r="J3093" t="s">
        <v>47</v>
      </c>
      <c r="K3093" s="33">
        <v>2900</v>
      </c>
      <c r="M3093" t="str">
        <f>_xlfn.XLOOKUP(Pipeline_tbl[[#This Row],[Rep_ID]],Dim_Reps!A:A,Dim_Reps!K:K)</f>
        <v>MXN</v>
      </c>
      <c r="N3093" s="33">
        <f>(_xlfn.XLOOKUP(Pipeline_tbl[[#This Row],[Rate_Code_Generalized]],Lookups!A:A,Lookups!B:B))*Pipeline_tbl[[#This Row],[Pipeline_Amount_USD]]</f>
        <v>57224.83</v>
      </c>
      <c r="O3093" t="str">
        <f>_xlfn.XLOOKUP(Pipeline_tbl[[#This Row],[Rep_ID]],Dim_Reps!A:A,Dim_Reps!B:B)</f>
        <v>Casey Muller</v>
      </c>
      <c r="P3093" t="str">
        <f>_xlfn.XLOOKUP(Pipeline_tbl[[#This Row],[Rep_ID]],Dim_Reps!A:A,Dim_Reps!C:C)</f>
        <v>SDR / Inside Sales Rep</v>
      </c>
      <c r="Q3093" t="str">
        <f>_xlfn.XLOOKUP(Pipeline_tbl[[#This Row],[Rep_ID]],Dim_Reps!A:A,Dim_Reps!D:D)</f>
        <v>Inside Sales</v>
      </c>
      <c r="R3093" t="str">
        <f>_xlfn.XLOOKUP(Pipeline_tbl[[#This Row],[Rep_ID]],Dim_Reps!A:A,Dim_Reps!E:E)</f>
        <v>LATAM</v>
      </c>
      <c r="S3093" t="str">
        <f>_xlfn.XLOOKUP(Pipeline_tbl[[#This Row],[Created_Date]],Dim_Date!A:A,Dim_Date!H:H)</f>
        <v>Mar 2024</v>
      </c>
      <c r="T3093" t="str">
        <f>IF(Pipeline_tbl[[#This Row],[Closed_Date]]=0,"",(_xlfn.XLOOKUP(Pipeline_tbl[[#This Row],[Closed_Date]],Dim_Date!A:A,Dim_Date!H:H)))</f>
        <v>Mar 2024</v>
      </c>
      <c r="U3093">
        <f>IF(Pipeline_tbl[[#This Row],[Closed_Date]]=0,"",Pipeline_tbl[[#This Row],[Closed_Date]]-Pipeline_tbl[[#This Row],[Created_Date]])</f>
        <v>8</v>
      </c>
    </row>
    <row r="3094" spans="1:21" ht="15" customHeight="1" x14ac:dyDescent="0.2">
      <c r="A3094" t="s">
        <v>3400</v>
      </c>
      <c r="B3094" t="s">
        <v>221</v>
      </c>
      <c r="C3094" t="s">
        <v>53</v>
      </c>
      <c r="D3094" s="49">
        <v>45363</v>
      </c>
      <c r="E3094" s="49">
        <v>45365</v>
      </c>
      <c r="F3094" s="49">
        <v>45368</v>
      </c>
      <c r="I3094" s="49">
        <v>45381</v>
      </c>
      <c r="J3094" t="s">
        <v>49</v>
      </c>
      <c r="K3094" s="33">
        <v>3100</v>
      </c>
      <c r="L3094" t="s">
        <v>61</v>
      </c>
      <c r="M3094" t="str">
        <f>_xlfn.XLOOKUP(Pipeline_tbl[[#This Row],[Rep_ID]],Dim_Reps!A:A,Dim_Reps!K:K)</f>
        <v>MXN</v>
      </c>
      <c r="N3094" s="33">
        <f>(_xlfn.XLOOKUP(Pipeline_tbl[[#This Row],[Rate_Code_Generalized]],Lookups!A:A,Lookups!B:B))*Pipeline_tbl[[#This Row],[Pipeline_Amount_USD]]</f>
        <v>61171.37</v>
      </c>
      <c r="O3094" t="str">
        <f>_xlfn.XLOOKUP(Pipeline_tbl[[#This Row],[Rep_ID]],Dim_Reps!A:A,Dim_Reps!B:B)</f>
        <v>Casey Muller</v>
      </c>
      <c r="P3094" t="str">
        <f>_xlfn.XLOOKUP(Pipeline_tbl[[#This Row],[Rep_ID]],Dim_Reps!A:A,Dim_Reps!C:C)</f>
        <v>SDR / Inside Sales Rep</v>
      </c>
      <c r="Q3094" t="str">
        <f>_xlfn.XLOOKUP(Pipeline_tbl[[#This Row],[Rep_ID]],Dim_Reps!A:A,Dim_Reps!D:D)</f>
        <v>Inside Sales</v>
      </c>
      <c r="R3094" t="str">
        <f>_xlfn.XLOOKUP(Pipeline_tbl[[#This Row],[Rep_ID]],Dim_Reps!A:A,Dim_Reps!E:E)</f>
        <v>LATAM</v>
      </c>
      <c r="S3094" t="str">
        <f>_xlfn.XLOOKUP(Pipeline_tbl[[#This Row],[Created_Date]],Dim_Date!A:A,Dim_Date!H:H)</f>
        <v>Mar 2024</v>
      </c>
      <c r="T3094" t="str">
        <f>IF(Pipeline_tbl[[#This Row],[Closed_Date]]=0,"",(_xlfn.XLOOKUP(Pipeline_tbl[[#This Row],[Closed_Date]],Dim_Date!A:A,Dim_Date!H:H)))</f>
        <v>Mar 2024</v>
      </c>
      <c r="U3094">
        <f>IF(Pipeline_tbl[[#This Row],[Closed_Date]]=0,"",Pipeline_tbl[[#This Row],[Closed_Date]]-Pipeline_tbl[[#This Row],[Created_Date]])</f>
        <v>18</v>
      </c>
    </row>
    <row r="3095" spans="1:21" ht="15" customHeight="1" x14ac:dyDescent="0.2">
      <c r="A3095" t="s">
        <v>3401</v>
      </c>
      <c r="B3095" t="s">
        <v>225</v>
      </c>
      <c r="C3095" t="s">
        <v>53</v>
      </c>
      <c r="D3095" s="49">
        <v>45369</v>
      </c>
      <c r="E3095" s="49">
        <v>45370</v>
      </c>
      <c r="F3095" s="49">
        <v>45372</v>
      </c>
      <c r="I3095" s="49">
        <v>45378</v>
      </c>
      <c r="J3095" t="s">
        <v>49</v>
      </c>
      <c r="K3095" s="33">
        <v>4100</v>
      </c>
      <c r="L3095" t="s">
        <v>60</v>
      </c>
      <c r="M3095" t="str">
        <f>_xlfn.XLOOKUP(Pipeline_tbl[[#This Row],[Rep_ID]],Dim_Reps!A:A,Dim_Reps!K:K)</f>
        <v>USD</v>
      </c>
      <c r="N3095" s="33">
        <f>(_xlfn.XLOOKUP(Pipeline_tbl[[#This Row],[Rate_Code_Generalized]],Lookups!A:A,Lookups!B:B))*Pipeline_tbl[[#This Row],[Pipeline_Amount_USD]]</f>
        <v>4773.6299999999992</v>
      </c>
      <c r="O3095" t="str">
        <f>_xlfn.XLOOKUP(Pipeline_tbl[[#This Row],[Rep_ID]],Dim_Reps!A:A,Dim_Reps!B:B)</f>
        <v>Alex Muller</v>
      </c>
      <c r="P3095" t="str">
        <f>_xlfn.XLOOKUP(Pipeline_tbl[[#This Row],[Rep_ID]],Dim_Reps!A:A,Dim_Reps!C:C)</f>
        <v>SDR / Inside Sales Rep</v>
      </c>
      <c r="Q3095" t="str">
        <f>_xlfn.XLOOKUP(Pipeline_tbl[[#This Row],[Rep_ID]],Dim_Reps!A:A,Dim_Reps!D:D)</f>
        <v>Inside Sales</v>
      </c>
      <c r="R3095" t="str">
        <f>_xlfn.XLOOKUP(Pipeline_tbl[[#This Row],[Rep_ID]],Dim_Reps!A:A,Dim_Reps!E:E)</f>
        <v>NAMER</v>
      </c>
      <c r="S3095" t="str">
        <f>_xlfn.XLOOKUP(Pipeline_tbl[[#This Row],[Created_Date]],Dim_Date!A:A,Dim_Date!H:H)</f>
        <v>Mar 2024</v>
      </c>
      <c r="T3095" t="str">
        <f>IF(Pipeline_tbl[[#This Row],[Closed_Date]]=0,"",(_xlfn.XLOOKUP(Pipeline_tbl[[#This Row],[Closed_Date]],Dim_Date!A:A,Dim_Date!H:H)))</f>
        <v>Mar 2024</v>
      </c>
      <c r="U3095">
        <f>IF(Pipeline_tbl[[#This Row],[Closed_Date]]=0,"",Pipeline_tbl[[#This Row],[Closed_Date]]-Pipeline_tbl[[#This Row],[Created_Date]])</f>
        <v>9</v>
      </c>
    </row>
    <row r="3096" spans="1:21" ht="15" customHeight="1" x14ac:dyDescent="0.2">
      <c r="A3096" t="s">
        <v>3402</v>
      </c>
      <c r="B3096" t="s">
        <v>225</v>
      </c>
      <c r="C3096" t="s">
        <v>52</v>
      </c>
      <c r="D3096" s="49">
        <v>45364</v>
      </c>
      <c r="E3096" s="49">
        <v>45365</v>
      </c>
      <c r="F3096" s="49">
        <v>45367</v>
      </c>
      <c r="G3096" s="49">
        <v>45371</v>
      </c>
      <c r="H3096" s="49">
        <v>45373</v>
      </c>
      <c r="I3096" s="49">
        <v>45375</v>
      </c>
      <c r="J3096" t="s">
        <v>49</v>
      </c>
      <c r="K3096" s="33">
        <v>3700</v>
      </c>
      <c r="L3096" t="s">
        <v>61</v>
      </c>
      <c r="M3096" t="str">
        <f>_xlfn.XLOOKUP(Pipeline_tbl[[#This Row],[Rep_ID]],Dim_Reps!A:A,Dim_Reps!K:K)</f>
        <v>USD</v>
      </c>
      <c r="N3096" s="33">
        <f>(_xlfn.XLOOKUP(Pipeline_tbl[[#This Row],[Rate_Code_Generalized]],Lookups!A:A,Lookups!B:B))*Pipeline_tbl[[#This Row],[Pipeline_Amount_USD]]</f>
        <v>4307.91</v>
      </c>
      <c r="O3096" t="str">
        <f>_xlfn.XLOOKUP(Pipeline_tbl[[#This Row],[Rep_ID]],Dim_Reps!A:A,Dim_Reps!B:B)</f>
        <v>Alex Muller</v>
      </c>
      <c r="P3096" t="str">
        <f>_xlfn.XLOOKUP(Pipeline_tbl[[#This Row],[Rep_ID]],Dim_Reps!A:A,Dim_Reps!C:C)</f>
        <v>SDR / Inside Sales Rep</v>
      </c>
      <c r="Q3096" t="str">
        <f>_xlfn.XLOOKUP(Pipeline_tbl[[#This Row],[Rep_ID]],Dim_Reps!A:A,Dim_Reps!D:D)</f>
        <v>Inside Sales</v>
      </c>
      <c r="R3096" t="str">
        <f>_xlfn.XLOOKUP(Pipeline_tbl[[#This Row],[Rep_ID]],Dim_Reps!A:A,Dim_Reps!E:E)</f>
        <v>NAMER</v>
      </c>
      <c r="S3096" t="str">
        <f>_xlfn.XLOOKUP(Pipeline_tbl[[#This Row],[Created_Date]],Dim_Date!A:A,Dim_Date!H:H)</f>
        <v>Mar 2024</v>
      </c>
      <c r="T3096" t="str">
        <f>IF(Pipeline_tbl[[#This Row],[Closed_Date]]=0,"",(_xlfn.XLOOKUP(Pipeline_tbl[[#This Row],[Closed_Date]],Dim_Date!A:A,Dim_Date!H:H)))</f>
        <v>Mar 2024</v>
      </c>
      <c r="U3096">
        <f>IF(Pipeline_tbl[[#This Row],[Closed_Date]]=0,"",Pipeline_tbl[[#This Row],[Closed_Date]]-Pipeline_tbl[[#This Row],[Created_Date]])</f>
        <v>11</v>
      </c>
    </row>
    <row r="3097" spans="1:21" ht="15" customHeight="1" x14ac:dyDescent="0.2">
      <c r="A3097" t="s">
        <v>3403</v>
      </c>
      <c r="B3097" t="s">
        <v>225</v>
      </c>
      <c r="C3097" t="s">
        <v>52</v>
      </c>
      <c r="D3097" s="49">
        <v>45356</v>
      </c>
      <c r="E3097" s="49">
        <v>45358</v>
      </c>
      <c r="F3097" s="49">
        <v>45362</v>
      </c>
      <c r="G3097" s="49">
        <v>45369</v>
      </c>
      <c r="H3097" s="49">
        <v>45374</v>
      </c>
      <c r="I3097" s="49">
        <v>45377</v>
      </c>
      <c r="J3097" t="s">
        <v>47</v>
      </c>
      <c r="K3097" s="33">
        <v>2100</v>
      </c>
      <c r="M3097" t="str">
        <f>_xlfn.XLOOKUP(Pipeline_tbl[[#This Row],[Rep_ID]],Dim_Reps!A:A,Dim_Reps!K:K)</f>
        <v>USD</v>
      </c>
      <c r="N3097" s="33">
        <f>(_xlfn.XLOOKUP(Pipeline_tbl[[#This Row],[Rate_Code_Generalized]],Lookups!A:A,Lookups!B:B))*Pipeline_tbl[[#This Row],[Pipeline_Amount_USD]]</f>
        <v>2445.0299999999997</v>
      </c>
      <c r="O3097" t="str">
        <f>_xlfn.XLOOKUP(Pipeline_tbl[[#This Row],[Rep_ID]],Dim_Reps!A:A,Dim_Reps!B:B)</f>
        <v>Alex Muller</v>
      </c>
      <c r="P3097" t="str">
        <f>_xlfn.XLOOKUP(Pipeline_tbl[[#This Row],[Rep_ID]],Dim_Reps!A:A,Dim_Reps!C:C)</f>
        <v>SDR / Inside Sales Rep</v>
      </c>
      <c r="Q3097" t="str">
        <f>_xlfn.XLOOKUP(Pipeline_tbl[[#This Row],[Rep_ID]],Dim_Reps!A:A,Dim_Reps!D:D)</f>
        <v>Inside Sales</v>
      </c>
      <c r="R3097" t="str">
        <f>_xlfn.XLOOKUP(Pipeline_tbl[[#This Row],[Rep_ID]],Dim_Reps!A:A,Dim_Reps!E:E)</f>
        <v>NAMER</v>
      </c>
      <c r="S3097" t="str">
        <f>_xlfn.XLOOKUP(Pipeline_tbl[[#This Row],[Created_Date]],Dim_Date!A:A,Dim_Date!H:H)</f>
        <v>Mar 2024</v>
      </c>
      <c r="T3097" t="str">
        <f>IF(Pipeline_tbl[[#This Row],[Closed_Date]]=0,"",(_xlfn.XLOOKUP(Pipeline_tbl[[#This Row],[Closed_Date]],Dim_Date!A:A,Dim_Date!H:H)))</f>
        <v>Mar 2024</v>
      </c>
      <c r="U3097">
        <f>IF(Pipeline_tbl[[#This Row],[Closed_Date]]=0,"",Pipeline_tbl[[#This Row],[Closed_Date]]-Pipeline_tbl[[#This Row],[Created_Date]])</f>
        <v>21</v>
      </c>
    </row>
    <row r="3098" spans="1:21" ht="15" customHeight="1" x14ac:dyDescent="0.2">
      <c r="A3098" t="s">
        <v>3404</v>
      </c>
      <c r="B3098" t="s">
        <v>227</v>
      </c>
      <c r="C3098" t="s">
        <v>54</v>
      </c>
      <c r="D3098" s="49">
        <v>45364</v>
      </c>
      <c r="E3098" s="49">
        <v>45366</v>
      </c>
      <c r="F3098" s="49">
        <v>45369</v>
      </c>
      <c r="G3098" s="49">
        <v>45374</v>
      </c>
      <c r="H3098" s="49">
        <v>45378</v>
      </c>
      <c r="I3098" s="49">
        <v>45380</v>
      </c>
      <c r="J3098" t="s">
        <v>47</v>
      </c>
      <c r="K3098" s="33">
        <v>7500</v>
      </c>
      <c r="M3098" t="str">
        <f>_xlfn.XLOOKUP(Pipeline_tbl[[#This Row],[Rep_ID]],Dim_Reps!A:A,Dim_Reps!K:K)</f>
        <v>EUR</v>
      </c>
      <c r="N3098" s="33">
        <f>(_xlfn.XLOOKUP(Pipeline_tbl[[#This Row],[Rate_Code_Generalized]],Lookups!A:A,Lookups!B:B))*Pipeline_tbl[[#This Row],[Pipeline_Amount_USD]]</f>
        <v>7500</v>
      </c>
      <c r="O3098" t="str">
        <f>_xlfn.XLOOKUP(Pipeline_tbl[[#This Row],[Rep_ID]],Dim_Reps!A:A,Dim_Reps!B:B)</f>
        <v>Liam Muller</v>
      </c>
      <c r="P3098" t="str">
        <f>_xlfn.XLOOKUP(Pipeline_tbl[[#This Row],[Rep_ID]],Dim_Reps!A:A,Dim_Reps!C:C)</f>
        <v>SDR / Inside Sales Rep</v>
      </c>
      <c r="Q3098" t="str">
        <f>_xlfn.XLOOKUP(Pipeline_tbl[[#This Row],[Rep_ID]],Dim_Reps!A:A,Dim_Reps!D:D)</f>
        <v>Inside Sales</v>
      </c>
      <c r="R3098" t="str">
        <f>_xlfn.XLOOKUP(Pipeline_tbl[[#This Row],[Rep_ID]],Dim_Reps!A:A,Dim_Reps!E:E)</f>
        <v>EMEA</v>
      </c>
      <c r="S3098" t="str">
        <f>_xlfn.XLOOKUP(Pipeline_tbl[[#This Row],[Created_Date]],Dim_Date!A:A,Dim_Date!H:H)</f>
        <v>Mar 2024</v>
      </c>
      <c r="T3098" t="str">
        <f>IF(Pipeline_tbl[[#This Row],[Closed_Date]]=0,"",(_xlfn.XLOOKUP(Pipeline_tbl[[#This Row],[Closed_Date]],Dim_Date!A:A,Dim_Date!H:H)))</f>
        <v>Mar 2024</v>
      </c>
      <c r="U3098">
        <f>IF(Pipeline_tbl[[#This Row],[Closed_Date]]=0,"",Pipeline_tbl[[#This Row],[Closed_Date]]-Pipeline_tbl[[#This Row],[Created_Date]])</f>
        <v>16</v>
      </c>
    </row>
    <row r="3099" spans="1:21" ht="15" customHeight="1" x14ac:dyDescent="0.2">
      <c r="A3099" t="s">
        <v>3405</v>
      </c>
      <c r="B3099" t="s">
        <v>227</v>
      </c>
      <c r="C3099" t="s">
        <v>53</v>
      </c>
      <c r="D3099" s="49">
        <v>45362</v>
      </c>
      <c r="E3099" s="49">
        <v>45364</v>
      </c>
      <c r="F3099" s="49">
        <v>45367</v>
      </c>
      <c r="G3099" s="49">
        <v>45372</v>
      </c>
      <c r="I3099" s="49">
        <v>45379</v>
      </c>
      <c r="J3099" t="s">
        <v>49</v>
      </c>
      <c r="K3099" s="33">
        <v>5000</v>
      </c>
      <c r="L3099" t="s">
        <v>64</v>
      </c>
      <c r="M3099" t="str">
        <f>_xlfn.XLOOKUP(Pipeline_tbl[[#This Row],[Rep_ID]],Dim_Reps!A:A,Dim_Reps!K:K)</f>
        <v>EUR</v>
      </c>
      <c r="N3099" s="33">
        <f>(_xlfn.XLOOKUP(Pipeline_tbl[[#This Row],[Rate_Code_Generalized]],Lookups!A:A,Lookups!B:B))*Pipeline_tbl[[#This Row],[Pipeline_Amount_USD]]</f>
        <v>5000</v>
      </c>
      <c r="O3099" t="str">
        <f>_xlfn.XLOOKUP(Pipeline_tbl[[#This Row],[Rep_ID]],Dim_Reps!A:A,Dim_Reps!B:B)</f>
        <v>Liam Muller</v>
      </c>
      <c r="P3099" t="str">
        <f>_xlfn.XLOOKUP(Pipeline_tbl[[#This Row],[Rep_ID]],Dim_Reps!A:A,Dim_Reps!C:C)</f>
        <v>SDR / Inside Sales Rep</v>
      </c>
      <c r="Q3099" t="str">
        <f>_xlfn.XLOOKUP(Pipeline_tbl[[#This Row],[Rep_ID]],Dim_Reps!A:A,Dim_Reps!D:D)</f>
        <v>Inside Sales</v>
      </c>
      <c r="R3099" t="str">
        <f>_xlfn.XLOOKUP(Pipeline_tbl[[#This Row],[Rep_ID]],Dim_Reps!A:A,Dim_Reps!E:E)</f>
        <v>EMEA</v>
      </c>
      <c r="S3099" t="str">
        <f>_xlfn.XLOOKUP(Pipeline_tbl[[#This Row],[Created_Date]],Dim_Date!A:A,Dim_Date!H:H)</f>
        <v>Mar 2024</v>
      </c>
      <c r="T3099" t="str">
        <f>IF(Pipeline_tbl[[#This Row],[Closed_Date]]=0,"",(_xlfn.XLOOKUP(Pipeline_tbl[[#This Row],[Closed_Date]],Dim_Date!A:A,Dim_Date!H:H)))</f>
        <v>Mar 2024</v>
      </c>
      <c r="U3099">
        <f>IF(Pipeline_tbl[[#This Row],[Closed_Date]]=0,"",Pipeline_tbl[[#This Row],[Closed_Date]]-Pipeline_tbl[[#This Row],[Created_Date]])</f>
        <v>17</v>
      </c>
    </row>
    <row r="3100" spans="1:21" ht="15" customHeight="1" x14ac:dyDescent="0.2">
      <c r="A3100" t="s">
        <v>3406</v>
      </c>
      <c r="B3100" t="s">
        <v>227</v>
      </c>
      <c r="C3100" t="s">
        <v>54</v>
      </c>
      <c r="D3100" s="49">
        <v>45355</v>
      </c>
      <c r="E3100" s="49">
        <v>45357</v>
      </c>
      <c r="F3100" s="49">
        <v>45361</v>
      </c>
      <c r="G3100" s="49">
        <v>45366</v>
      </c>
      <c r="H3100" s="49">
        <v>45371</v>
      </c>
      <c r="I3100" s="49">
        <v>45374</v>
      </c>
      <c r="J3100" t="s">
        <v>47</v>
      </c>
      <c r="K3100" s="33">
        <v>6000</v>
      </c>
      <c r="M3100" t="str">
        <f>_xlfn.XLOOKUP(Pipeline_tbl[[#This Row],[Rep_ID]],Dim_Reps!A:A,Dim_Reps!K:K)</f>
        <v>EUR</v>
      </c>
      <c r="N3100" s="33">
        <f>(_xlfn.XLOOKUP(Pipeline_tbl[[#This Row],[Rate_Code_Generalized]],Lookups!A:A,Lookups!B:B))*Pipeline_tbl[[#This Row],[Pipeline_Amount_USD]]</f>
        <v>6000</v>
      </c>
      <c r="O3100" t="str">
        <f>_xlfn.XLOOKUP(Pipeline_tbl[[#This Row],[Rep_ID]],Dim_Reps!A:A,Dim_Reps!B:B)</f>
        <v>Liam Muller</v>
      </c>
      <c r="P3100" t="str">
        <f>_xlfn.XLOOKUP(Pipeline_tbl[[#This Row],[Rep_ID]],Dim_Reps!A:A,Dim_Reps!C:C)</f>
        <v>SDR / Inside Sales Rep</v>
      </c>
      <c r="Q3100" t="str">
        <f>_xlfn.XLOOKUP(Pipeline_tbl[[#This Row],[Rep_ID]],Dim_Reps!A:A,Dim_Reps!D:D)</f>
        <v>Inside Sales</v>
      </c>
      <c r="R3100" t="str">
        <f>_xlfn.XLOOKUP(Pipeline_tbl[[#This Row],[Rep_ID]],Dim_Reps!A:A,Dim_Reps!E:E)</f>
        <v>EMEA</v>
      </c>
      <c r="S3100" t="str">
        <f>_xlfn.XLOOKUP(Pipeline_tbl[[#This Row],[Created_Date]],Dim_Date!A:A,Dim_Date!H:H)</f>
        <v>Mar 2024</v>
      </c>
      <c r="T3100" t="str">
        <f>IF(Pipeline_tbl[[#This Row],[Closed_Date]]=0,"",(_xlfn.XLOOKUP(Pipeline_tbl[[#This Row],[Closed_Date]],Dim_Date!A:A,Dim_Date!H:H)))</f>
        <v>Mar 2024</v>
      </c>
      <c r="U3100">
        <f>IF(Pipeline_tbl[[#This Row],[Closed_Date]]=0,"",Pipeline_tbl[[#This Row],[Closed_Date]]-Pipeline_tbl[[#This Row],[Created_Date]])</f>
        <v>19</v>
      </c>
    </row>
    <row r="3101" spans="1:21" ht="15" customHeight="1" x14ac:dyDescent="0.2">
      <c r="A3101" t="s">
        <v>3407</v>
      </c>
      <c r="B3101" t="s">
        <v>227</v>
      </c>
      <c r="C3101" t="s">
        <v>55</v>
      </c>
      <c r="D3101" s="49">
        <v>45352</v>
      </c>
      <c r="E3101" s="49">
        <v>45353</v>
      </c>
      <c r="F3101" s="49">
        <v>45356</v>
      </c>
      <c r="G3101" s="49">
        <v>45360</v>
      </c>
      <c r="H3101" s="49">
        <v>45363</v>
      </c>
      <c r="I3101" s="49">
        <v>45365</v>
      </c>
      <c r="J3101" t="s">
        <v>47</v>
      </c>
      <c r="K3101" s="33">
        <v>3200</v>
      </c>
      <c r="M3101" t="str">
        <f>_xlfn.XLOOKUP(Pipeline_tbl[[#This Row],[Rep_ID]],Dim_Reps!A:A,Dim_Reps!K:K)</f>
        <v>EUR</v>
      </c>
      <c r="N3101" s="33">
        <f>(_xlfn.XLOOKUP(Pipeline_tbl[[#This Row],[Rate_Code_Generalized]],Lookups!A:A,Lookups!B:B))*Pipeline_tbl[[#This Row],[Pipeline_Amount_USD]]</f>
        <v>3200</v>
      </c>
      <c r="O3101" t="str">
        <f>_xlfn.XLOOKUP(Pipeline_tbl[[#This Row],[Rep_ID]],Dim_Reps!A:A,Dim_Reps!B:B)</f>
        <v>Liam Muller</v>
      </c>
      <c r="P3101" t="str">
        <f>_xlfn.XLOOKUP(Pipeline_tbl[[#This Row],[Rep_ID]],Dim_Reps!A:A,Dim_Reps!C:C)</f>
        <v>SDR / Inside Sales Rep</v>
      </c>
      <c r="Q3101" t="str">
        <f>_xlfn.XLOOKUP(Pipeline_tbl[[#This Row],[Rep_ID]],Dim_Reps!A:A,Dim_Reps!D:D)</f>
        <v>Inside Sales</v>
      </c>
      <c r="R3101" t="str">
        <f>_xlfn.XLOOKUP(Pipeline_tbl[[#This Row],[Rep_ID]],Dim_Reps!A:A,Dim_Reps!E:E)</f>
        <v>EMEA</v>
      </c>
      <c r="S3101" t="str">
        <f>_xlfn.XLOOKUP(Pipeline_tbl[[#This Row],[Created_Date]],Dim_Date!A:A,Dim_Date!H:H)</f>
        <v>Mar 2024</v>
      </c>
      <c r="T3101" t="str">
        <f>IF(Pipeline_tbl[[#This Row],[Closed_Date]]=0,"",(_xlfn.XLOOKUP(Pipeline_tbl[[#This Row],[Closed_Date]],Dim_Date!A:A,Dim_Date!H:H)))</f>
        <v>Mar 2024</v>
      </c>
      <c r="U3101">
        <f>IF(Pipeline_tbl[[#This Row],[Closed_Date]]=0,"",Pipeline_tbl[[#This Row],[Closed_Date]]-Pipeline_tbl[[#This Row],[Created_Date]])</f>
        <v>13</v>
      </c>
    </row>
    <row r="3102" spans="1:21" ht="15" customHeight="1" x14ac:dyDescent="0.2">
      <c r="A3102" t="s">
        <v>3408</v>
      </c>
      <c r="B3102" t="s">
        <v>227</v>
      </c>
      <c r="C3102" t="s">
        <v>55</v>
      </c>
      <c r="D3102" s="49">
        <v>45355</v>
      </c>
      <c r="E3102" s="49">
        <v>45356</v>
      </c>
      <c r="F3102" s="49">
        <v>45359</v>
      </c>
      <c r="G3102" s="49">
        <v>45362</v>
      </c>
      <c r="H3102" s="49">
        <v>45365</v>
      </c>
      <c r="I3102" s="49">
        <v>45367</v>
      </c>
      <c r="J3102" t="s">
        <v>49</v>
      </c>
      <c r="K3102" s="33">
        <v>4100</v>
      </c>
      <c r="L3102" t="s">
        <v>64</v>
      </c>
      <c r="M3102" t="str">
        <f>_xlfn.XLOOKUP(Pipeline_tbl[[#This Row],[Rep_ID]],Dim_Reps!A:A,Dim_Reps!K:K)</f>
        <v>EUR</v>
      </c>
      <c r="N3102" s="33">
        <f>(_xlfn.XLOOKUP(Pipeline_tbl[[#This Row],[Rate_Code_Generalized]],Lookups!A:A,Lookups!B:B))*Pipeline_tbl[[#This Row],[Pipeline_Amount_USD]]</f>
        <v>4100</v>
      </c>
      <c r="O3102" t="str">
        <f>_xlfn.XLOOKUP(Pipeline_tbl[[#This Row],[Rep_ID]],Dim_Reps!A:A,Dim_Reps!B:B)</f>
        <v>Liam Muller</v>
      </c>
      <c r="P3102" t="str">
        <f>_xlfn.XLOOKUP(Pipeline_tbl[[#This Row],[Rep_ID]],Dim_Reps!A:A,Dim_Reps!C:C)</f>
        <v>SDR / Inside Sales Rep</v>
      </c>
      <c r="Q3102" t="str">
        <f>_xlfn.XLOOKUP(Pipeline_tbl[[#This Row],[Rep_ID]],Dim_Reps!A:A,Dim_Reps!D:D)</f>
        <v>Inside Sales</v>
      </c>
      <c r="R3102" t="str">
        <f>_xlfn.XLOOKUP(Pipeline_tbl[[#This Row],[Rep_ID]],Dim_Reps!A:A,Dim_Reps!E:E)</f>
        <v>EMEA</v>
      </c>
      <c r="S3102" t="str">
        <f>_xlfn.XLOOKUP(Pipeline_tbl[[#This Row],[Created_Date]],Dim_Date!A:A,Dim_Date!H:H)</f>
        <v>Mar 2024</v>
      </c>
      <c r="T3102" t="str">
        <f>IF(Pipeline_tbl[[#This Row],[Closed_Date]]=0,"",(_xlfn.XLOOKUP(Pipeline_tbl[[#This Row],[Closed_Date]],Dim_Date!A:A,Dim_Date!H:H)))</f>
        <v>Mar 2024</v>
      </c>
      <c r="U3102">
        <f>IF(Pipeline_tbl[[#This Row],[Closed_Date]]=0,"",Pipeline_tbl[[#This Row],[Closed_Date]]-Pipeline_tbl[[#This Row],[Created_Date]])</f>
        <v>12</v>
      </c>
    </row>
    <row r="3103" spans="1:21" ht="15" customHeight="1" x14ac:dyDescent="0.2">
      <c r="A3103" t="s">
        <v>3409</v>
      </c>
      <c r="B3103" t="s">
        <v>229</v>
      </c>
      <c r="C3103" t="s">
        <v>52</v>
      </c>
      <c r="D3103" s="49">
        <v>45356</v>
      </c>
      <c r="E3103" s="49">
        <v>45358</v>
      </c>
      <c r="F3103" s="49">
        <v>45362</v>
      </c>
      <c r="I3103" s="49">
        <v>45375</v>
      </c>
      <c r="J3103" t="s">
        <v>49</v>
      </c>
      <c r="K3103" s="33">
        <v>1600</v>
      </c>
      <c r="L3103" t="s">
        <v>61</v>
      </c>
      <c r="M3103" t="str">
        <f>_xlfn.XLOOKUP(Pipeline_tbl[[#This Row],[Rep_ID]],Dim_Reps!A:A,Dim_Reps!K:K)</f>
        <v>USD</v>
      </c>
      <c r="N3103" s="33">
        <f>(_xlfn.XLOOKUP(Pipeline_tbl[[#This Row],[Rate_Code_Generalized]],Lookups!A:A,Lookups!B:B))*Pipeline_tbl[[#This Row],[Pipeline_Amount_USD]]</f>
        <v>1862.8799999999999</v>
      </c>
      <c r="O3103" t="str">
        <f>_xlfn.XLOOKUP(Pipeline_tbl[[#This Row],[Rep_ID]],Dim_Reps!A:A,Dim_Reps!B:B)</f>
        <v>Liam Castro</v>
      </c>
      <c r="P3103" t="str">
        <f>_xlfn.XLOOKUP(Pipeline_tbl[[#This Row],[Rep_ID]],Dim_Reps!A:A,Dim_Reps!C:C)</f>
        <v>SDR / Inside Sales Rep</v>
      </c>
      <c r="Q3103" t="str">
        <f>_xlfn.XLOOKUP(Pipeline_tbl[[#This Row],[Rep_ID]],Dim_Reps!A:A,Dim_Reps!D:D)</f>
        <v>Inside Sales</v>
      </c>
      <c r="R3103" t="str">
        <f>_xlfn.XLOOKUP(Pipeline_tbl[[#This Row],[Rep_ID]],Dim_Reps!A:A,Dim_Reps!E:E)</f>
        <v>NAMER</v>
      </c>
      <c r="S3103" t="str">
        <f>_xlfn.XLOOKUP(Pipeline_tbl[[#This Row],[Created_Date]],Dim_Date!A:A,Dim_Date!H:H)</f>
        <v>Mar 2024</v>
      </c>
      <c r="T3103" t="str">
        <f>IF(Pipeline_tbl[[#This Row],[Closed_Date]]=0,"",(_xlfn.XLOOKUP(Pipeline_tbl[[#This Row],[Closed_Date]],Dim_Date!A:A,Dim_Date!H:H)))</f>
        <v>Mar 2024</v>
      </c>
      <c r="U3103">
        <f>IF(Pipeline_tbl[[#This Row],[Closed_Date]]=0,"",Pipeline_tbl[[#This Row],[Closed_Date]]-Pipeline_tbl[[#This Row],[Created_Date]])</f>
        <v>19</v>
      </c>
    </row>
    <row r="3104" spans="1:21" ht="15" customHeight="1" x14ac:dyDescent="0.2">
      <c r="A3104" t="s">
        <v>3410</v>
      </c>
      <c r="B3104" t="s">
        <v>229</v>
      </c>
      <c r="C3104" t="s">
        <v>56</v>
      </c>
      <c r="D3104" s="49">
        <v>45372</v>
      </c>
      <c r="E3104" s="49">
        <v>45373</v>
      </c>
      <c r="F3104" s="49">
        <v>45375</v>
      </c>
      <c r="I3104" s="49">
        <v>45381</v>
      </c>
      <c r="J3104" t="s">
        <v>49</v>
      </c>
      <c r="K3104" s="33">
        <v>2600</v>
      </c>
      <c r="L3104" t="s">
        <v>60</v>
      </c>
      <c r="M3104" t="str">
        <f>_xlfn.XLOOKUP(Pipeline_tbl[[#This Row],[Rep_ID]],Dim_Reps!A:A,Dim_Reps!K:K)</f>
        <v>USD</v>
      </c>
      <c r="N3104" s="33">
        <f>(_xlfn.XLOOKUP(Pipeline_tbl[[#This Row],[Rate_Code_Generalized]],Lookups!A:A,Lookups!B:B))*Pipeline_tbl[[#This Row],[Pipeline_Amount_USD]]</f>
        <v>3027.18</v>
      </c>
      <c r="O3104" t="str">
        <f>_xlfn.XLOOKUP(Pipeline_tbl[[#This Row],[Rep_ID]],Dim_Reps!A:A,Dim_Reps!B:B)</f>
        <v>Liam Castro</v>
      </c>
      <c r="P3104" t="str">
        <f>_xlfn.XLOOKUP(Pipeline_tbl[[#This Row],[Rep_ID]],Dim_Reps!A:A,Dim_Reps!C:C)</f>
        <v>SDR / Inside Sales Rep</v>
      </c>
      <c r="Q3104" t="str">
        <f>_xlfn.XLOOKUP(Pipeline_tbl[[#This Row],[Rep_ID]],Dim_Reps!A:A,Dim_Reps!D:D)</f>
        <v>Inside Sales</v>
      </c>
      <c r="R3104" t="str">
        <f>_xlfn.XLOOKUP(Pipeline_tbl[[#This Row],[Rep_ID]],Dim_Reps!A:A,Dim_Reps!E:E)</f>
        <v>NAMER</v>
      </c>
      <c r="S3104" t="str">
        <f>_xlfn.XLOOKUP(Pipeline_tbl[[#This Row],[Created_Date]],Dim_Date!A:A,Dim_Date!H:H)</f>
        <v>Mar 2024</v>
      </c>
      <c r="T3104" t="str">
        <f>IF(Pipeline_tbl[[#This Row],[Closed_Date]]=0,"",(_xlfn.XLOOKUP(Pipeline_tbl[[#This Row],[Closed_Date]],Dim_Date!A:A,Dim_Date!H:H)))</f>
        <v>Mar 2024</v>
      </c>
      <c r="U3104">
        <f>IF(Pipeline_tbl[[#This Row],[Closed_Date]]=0,"",Pipeline_tbl[[#This Row],[Closed_Date]]-Pipeline_tbl[[#This Row],[Created_Date]])</f>
        <v>9</v>
      </c>
    </row>
    <row r="3105" spans="1:21" ht="15" customHeight="1" x14ac:dyDescent="0.2">
      <c r="A3105" t="s">
        <v>3411</v>
      </c>
      <c r="B3105" t="s">
        <v>229</v>
      </c>
      <c r="C3105" t="s">
        <v>52</v>
      </c>
      <c r="D3105" s="49">
        <v>45356</v>
      </c>
      <c r="E3105" s="49">
        <v>45358</v>
      </c>
      <c r="I3105" s="49">
        <v>45371</v>
      </c>
      <c r="J3105" t="s">
        <v>49</v>
      </c>
      <c r="K3105" s="33">
        <v>3200</v>
      </c>
      <c r="L3105" t="s">
        <v>60</v>
      </c>
      <c r="M3105" t="str">
        <f>_xlfn.XLOOKUP(Pipeline_tbl[[#This Row],[Rep_ID]],Dim_Reps!A:A,Dim_Reps!K:K)</f>
        <v>USD</v>
      </c>
      <c r="N3105" s="33">
        <f>(_xlfn.XLOOKUP(Pipeline_tbl[[#This Row],[Rate_Code_Generalized]],Lookups!A:A,Lookups!B:B))*Pipeline_tbl[[#This Row],[Pipeline_Amount_USD]]</f>
        <v>3725.7599999999998</v>
      </c>
      <c r="O3105" t="str">
        <f>_xlfn.XLOOKUP(Pipeline_tbl[[#This Row],[Rep_ID]],Dim_Reps!A:A,Dim_Reps!B:B)</f>
        <v>Liam Castro</v>
      </c>
      <c r="P3105" t="str">
        <f>_xlfn.XLOOKUP(Pipeline_tbl[[#This Row],[Rep_ID]],Dim_Reps!A:A,Dim_Reps!C:C)</f>
        <v>SDR / Inside Sales Rep</v>
      </c>
      <c r="Q3105" t="str">
        <f>_xlfn.XLOOKUP(Pipeline_tbl[[#This Row],[Rep_ID]],Dim_Reps!A:A,Dim_Reps!D:D)</f>
        <v>Inside Sales</v>
      </c>
      <c r="R3105" t="str">
        <f>_xlfn.XLOOKUP(Pipeline_tbl[[#This Row],[Rep_ID]],Dim_Reps!A:A,Dim_Reps!E:E)</f>
        <v>NAMER</v>
      </c>
      <c r="S3105" t="str">
        <f>_xlfn.XLOOKUP(Pipeline_tbl[[#This Row],[Created_Date]],Dim_Date!A:A,Dim_Date!H:H)</f>
        <v>Mar 2024</v>
      </c>
      <c r="T3105" t="str">
        <f>IF(Pipeline_tbl[[#This Row],[Closed_Date]]=0,"",(_xlfn.XLOOKUP(Pipeline_tbl[[#This Row],[Closed_Date]],Dim_Date!A:A,Dim_Date!H:H)))</f>
        <v>Mar 2024</v>
      </c>
      <c r="U3105">
        <f>IF(Pipeline_tbl[[#This Row],[Closed_Date]]=0,"",Pipeline_tbl[[#This Row],[Closed_Date]]-Pipeline_tbl[[#This Row],[Created_Date]])</f>
        <v>15</v>
      </c>
    </row>
    <row r="3106" spans="1:21" ht="15" customHeight="1" x14ac:dyDescent="0.2">
      <c r="A3106" t="s">
        <v>3412</v>
      </c>
      <c r="B3106" t="s">
        <v>229</v>
      </c>
      <c r="C3106" t="s">
        <v>52</v>
      </c>
      <c r="D3106" s="49">
        <v>45354</v>
      </c>
      <c r="E3106" s="49">
        <v>45355</v>
      </c>
      <c r="F3106" s="49">
        <v>45357</v>
      </c>
      <c r="G3106" s="49">
        <v>45359</v>
      </c>
      <c r="H3106" s="49">
        <v>45362</v>
      </c>
      <c r="I3106" s="49">
        <v>45363</v>
      </c>
      <c r="J3106" t="s">
        <v>47</v>
      </c>
      <c r="K3106" s="33">
        <v>2000</v>
      </c>
      <c r="M3106" t="str">
        <f>_xlfn.XLOOKUP(Pipeline_tbl[[#This Row],[Rep_ID]],Dim_Reps!A:A,Dim_Reps!K:K)</f>
        <v>USD</v>
      </c>
      <c r="N3106" s="33">
        <f>(_xlfn.XLOOKUP(Pipeline_tbl[[#This Row],[Rate_Code_Generalized]],Lookups!A:A,Lookups!B:B))*Pipeline_tbl[[#This Row],[Pipeline_Amount_USD]]</f>
        <v>2328.6</v>
      </c>
      <c r="O3106" t="str">
        <f>_xlfn.XLOOKUP(Pipeline_tbl[[#This Row],[Rep_ID]],Dim_Reps!A:A,Dim_Reps!B:B)</f>
        <v>Liam Castro</v>
      </c>
      <c r="P3106" t="str">
        <f>_xlfn.XLOOKUP(Pipeline_tbl[[#This Row],[Rep_ID]],Dim_Reps!A:A,Dim_Reps!C:C)</f>
        <v>SDR / Inside Sales Rep</v>
      </c>
      <c r="Q3106" t="str">
        <f>_xlfn.XLOOKUP(Pipeline_tbl[[#This Row],[Rep_ID]],Dim_Reps!A:A,Dim_Reps!D:D)</f>
        <v>Inside Sales</v>
      </c>
      <c r="R3106" t="str">
        <f>_xlfn.XLOOKUP(Pipeline_tbl[[#This Row],[Rep_ID]],Dim_Reps!A:A,Dim_Reps!E:E)</f>
        <v>NAMER</v>
      </c>
      <c r="S3106" t="str">
        <f>_xlfn.XLOOKUP(Pipeline_tbl[[#This Row],[Created_Date]],Dim_Date!A:A,Dim_Date!H:H)</f>
        <v>Mar 2024</v>
      </c>
      <c r="T3106" t="str">
        <f>IF(Pipeline_tbl[[#This Row],[Closed_Date]]=0,"",(_xlfn.XLOOKUP(Pipeline_tbl[[#This Row],[Closed_Date]],Dim_Date!A:A,Dim_Date!H:H)))</f>
        <v>Mar 2024</v>
      </c>
      <c r="U3106">
        <f>IF(Pipeline_tbl[[#This Row],[Closed_Date]]=0,"",Pipeline_tbl[[#This Row],[Closed_Date]]-Pipeline_tbl[[#This Row],[Created_Date]])</f>
        <v>9</v>
      </c>
    </row>
    <row r="3107" spans="1:21" ht="15" customHeight="1" x14ac:dyDescent="0.2">
      <c r="A3107" t="s">
        <v>3413</v>
      </c>
      <c r="B3107" t="s">
        <v>229</v>
      </c>
      <c r="C3107" t="s">
        <v>52</v>
      </c>
      <c r="D3107" s="49">
        <v>45352</v>
      </c>
      <c r="E3107" s="49">
        <v>45353</v>
      </c>
      <c r="I3107" s="49">
        <v>45366</v>
      </c>
      <c r="J3107" t="s">
        <v>49</v>
      </c>
      <c r="K3107" s="33">
        <v>2500</v>
      </c>
      <c r="L3107" t="s">
        <v>63</v>
      </c>
      <c r="M3107" t="str">
        <f>_xlfn.XLOOKUP(Pipeline_tbl[[#This Row],[Rep_ID]],Dim_Reps!A:A,Dim_Reps!K:K)</f>
        <v>USD</v>
      </c>
      <c r="N3107" s="33">
        <f>(_xlfn.XLOOKUP(Pipeline_tbl[[#This Row],[Rate_Code_Generalized]],Lookups!A:A,Lookups!B:B))*Pipeline_tbl[[#This Row],[Pipeline_Amount_USD]]</f>
        <v>2910.7499999999995</v>
      </c>
      <c r="O3107" t="str">
        <f>_xlfn.XLOOKUP(Pipeline_tbl[[#This Row],[Rep_ID]],Dim_Reps!A:A,Dim_Reps!B:B)</f>
        <v>Liam Castro</v>
      </c>
      <c r="P3107" t="str">
        <f>_xlfn.XLOOKUP(Pipeline_tbl[[#This Row],[Rep_ID]],Dim_Reps!A:A,Dim_Reps!C:C)</f>
        <v>SDR / Inside Sales Rep</v>
      </c>
      <c r="Q3107" t="str">
        <f>_xlfn.XLOOKUP(Pipeline_tbl[[#This Row],[Rep_ID]],Dim_Reps!A:A,Dim_Reps!D:D)</f>
        <v>Inside Sales</v>
      </c>
      <c r="R3107" t="str">
        <f>_xlfn.XLOOKUP(Pipeline_tbl[[#This Row],[Rep_ID]],Dim_Reps!A:A,Dim_Reps!E:E)</f>
        <v>NAMER</v>
      </c>
      <c r="S3107" t="str">
        <f>_xlfn.XLOOKUP(Pipeline_tbl[[#This Row],[Created_Date]],Dim_Date!A:A,Dim_Date!H:H)</f>
        <v>Mar 2024</v>
      </c>
      <c r="T3107" t="str">
        <f>IF(Pipeline_tbl[[#This Row],[Closed_Date]]=0,"",(_xlfn.XLOOKUP(Pipeline_tbl[[#This Row],[Closed_Date]],Dim_Date!A:A,Dim_Date!H:H)))</f>
        <v>Mar 2024</v>
      </c>
      <c r="U3107">
        <f>IF(Pipeline_tbl[[#This Row],[Closed_Date]]=0,"",Pipeline_tbl[[#This Row],[Closed_Date]]-Pipeline_tbl[[#This Row],[Created_Date]])</f>
        <v>14</v>
      </c>
    </row>
    <row r="3108" spans="1:21" ht="15" customHeight="1" x14ac:dyDescent="0.2">
      <c r="A3108" t="s">
        <v>3414</v>
      </c>
      <c r="B3108" t="s">
        <v>231</v>
      </c>
      <c r="C3108" t="s">
        <v>54</v>
      </c>
      <c r="D3108" s="49">
        <v>45364</v>
      </c>
      <c r="E3108" s="49">
        <v>45366</v>
      </c>
      <c r="I3108" s="49">
        <v>45381</v>
      </c>
      <c r="J3108" t="s">
        <v>49</v>
      </c>
      <c r="K3108" s="33">
        <v>3600</v>
      </c>
      <c r="L3108" t="s">
        <v>62</v>
      </c>
      <c r="M3108" t="str">
        <f>_xlfn.XLOOKUP(Pipeline_tbl[[#This Row],[Rep_ID]],Dim_Reps!A:A,Dim_Reps!K:K)</f>
        <v>MXN</v>
      </c>
      <c r="N3108" s="33">
        <f>(_xlfn.XLOOKUP(Pipeline_tbl[[#This Row],[Rate_Code_Generalized]],Lookups!A:A,Lookups!B:B))*Pipeline_tbl[[#This Row],[Pipeline_Amount_USD]]</f>
        <v>71037.72</v>
      </c>
      <c r="O3108" t="str">
        <f>_xlfn.XLOOKUP(Pipeline_tbl[[#This Row],[Rep_ID]],Dim_Reps!A:A,Dim_Reps!B:B)</f>
        <v>Ben Silva</v>
      </c>
      <c r="P3108" t="str">
        <f>_xlfn.XLOOKUP(Pipeline_tbl[[#This Row],[Rep_ID]],Dim_Reps!A:A,Dim_Reps!C:C)</f>
        <v>SDR / Inside Sales Rep</v>
      </c>
      <c r="Q3108" t="str">
        <f>_xlfn.XLOOKUP(Pipeline_tbl[[#This Row],[Rep_ID]],Dim_Reps!A:A,Dim_Reps!D:D)</f>
        <v>Inside Sales</v>
      </c>
      <c r="R3108" t="str">
        <f>_xlfn.XLOOKUP(Pipeline_tbl[[#This Row],[Rep_ID]],Dim_Reps!A:A,Dim_Reps!E:E)</f>
        <v>LATAM</v>
      </c>
      <c r="S3108" t="str">
        <f>_xlfn.XLOOKUP(Pipeline_tbl[[#This Row],[Created_Date]],Dim_Date!A:A,Dim_Date!H:H)</f>
        <v>Mar 2024</v>
      </c>
      <c r="T3108" t="str">
        <f>IF(Pipeline_tbl[[#This Row],[Closed_Date]]=0,"",(_xlfn.XLOOKUP(Pipeline_tbl[[#This Row],[Closed_Date]],Dim_Date!A:A,Dim_Date!H:H)))</f>
        <v>Mar 2024</v>
      </c>
      <c r="U3108">
        <f>IF(Pipeline_tbl[[#This Row],[Closed_Date]]=0,"",Pipeline_tbl[[#This Row],[Closed_Date]]-Pipeline_tbl[[#This Row],[Created_Date]])</f>
        <v>17</v>
      </c>
    </row>
    <row r="3109" spans="1:21" ht="15" customHeight="1" x14ac:dyDescent="0.2">
      <c r="A3109" t="s">
        <v>3415</v>
      </c>
      <c r="B3109" t="s">
        <v>231</v>
      </c>
      <c r="C3109" t="s">
        <v>52</v>
      </c>
      <c r="D3109" s="49">
        <v>45356</v>
      </c>
      <c r="E3109" s="49">
        <v>45357</v>
      </c>
      <c r="F3109" s="49">
        <v>45360</v>
      </c>
      <c r="I3109" s="49">
        <v>45369</v>
      </c>
      <c r="J3109" t="s">
        <v>49</v>
      </c>
      <c r="K3109" s="33">
        <v>3500</v>
      </c>
      <c r="L3109" t="s">
        <v>60</v>
      </c>
      <c r="M3109" t="str">
        <f>_xlfn.XLOOKUP(Pipeline_tbl[[#This Row],[Rep_ID]],Dim_Reps!A:A,Dim_Reps!K:K)</f>
        <v>MXN</v>
      </c>
      <c r="N3109" s="33">
        <f>(_xlfn.XLOOKUP(Pipeline_tbl[[#This Row],[Rate_Code_Generalized]],Lookups!A:A,Lookups!B:B))*Pipeline_tbl[[#This Row],[Pipeline_Amount_USD]]</f>
        <v>69064.45</v>
      </c>
      <c r="O3109" t="str">
        <f>_xlfn.XLOOKUP(Pipeline_tbl[[#This Row],[Rep_ID]],Dim_Reps!A:A,Dim_Reps!B:B)</f>
        <v>Ben Silva</v>
      </c>
      <c r="P3109" t="str">
        <f>_xlfn.XLOOKUP(Pipeline_tbl[[#This Row],[Rep_ID]],Dim_Reps!A:A,Dim_Reps!C:C)</f>
        <v>SDR / Inside Sales Rep</v>
      </c>
      <c r="Q3109" t="str">
        <f>_xlfn.XLOOKUP(Pipeline_tbl[[#This Row],[Rep_ID]],Dim_Reps!A:A,Dim_Reps!D:D)</f>
        <v>Inside Sales</v>
      </c>
      <c r="R3109" t="str">
        <f>_xlfn.XLOOKUP(Pipeline_tbl[[#This Row],[Rep_ID]],Dim_Reps!A:A,Dim_Reps!E:E)</f>
        <v>LATAM</v>
      </c>
      <c r="S3109" t="str">
        <f>_xlfn.XLOOKUP(Pipeline_tbl[[#This Row],[Created_Date]],Dim_Date!A:A,Dim_Date!H:H)</f>
        <v>Mar 2024</v>
      </c>
      <c r="T3109" t="str">
        <f>IF(Pipeline_tbl[[#This Row],[Closed_Date]]=0,"",(_xlfn.XLOOKUP(Pipeline_tbl[[#This Row],[Closed_Date]],Dim_Date!A:A,Dim_Date!H:H)))</f>
        <v>Mar 2024</v>
      </c>
      <c r="U3109">
        <f>IF(Pipeline_tbl[[#This Row],[Closed_Date]]=0,"",Pipeline_tbl[[#This Row],[Closed_Date]]-Pipeline_tbl[[#This Row],[Created_Date]])</f>
        <v>13</v>
      </c>
    </row>
    <row r="3110" spans="1:21" ht="15" customHeight="1" x14ac:dyDescent="0.2">
      <c r="A3110" t="s">
        <v>3416</v>
      </c>
      <c r="B3110" t="s">
        <v>231</v>
      </c>
      <c r="C3110" t="s">
        <v>54</v>
      </c>
      <c r="D3110" s="49">
        <v>45357</v>
      </c>
      <c r="E3110" s="49">
        <v>45359</v>
      </c>
      <c r="F3110" s="49">
        <v>45363</v>
      </c>
      <c r="I3110" s="49">
        <v>45377</v>
      </c>
      <c r="J3110" t="s">
        <v>49</v>
      </c>
      <c r="K3110" s="33">
        <v>4300</v>
      </c>
      <c r="L3110" t="s">
        <v>60</v>
      </c>
      <c r="M3110" t="str">
        <f>_xlfn.XLOOKUP(Pipeline_tbl[[#This Row],[Rep_ID]],Dim_Reps!A:A,Dim_Reps!K:K)</f>
        <v>MXN</v>
      </c>
      <c r="N3110" s="33">
        <f>(_xlfn.XLOOKUP(Pipeline_tbl[[#This Row],[Rate_Code_Generalized]],Lookups!A:A,Lookups!B:B))*Pipeline_tbl[[#This Row],[Pipeline_Amount_USD]]</f>
        <v>84850.61</v>
      </c>
      <c r="O3110" t="str">
        <f>_xlfn.XLOOKUP(Pipeline_tbl[[#This Row],[Rep_ID]],Dim_Reps!A:A,Dim_Reps!B:B)</f>
        <v>Ben Silva</v>
      </c>
      <c r="P3110" t="str">
        <f>_xlfn.XLOOKUP(Pipeline_tbl[[#This Row],[Rep_ID]],Dim_Reps!A:A,Dim_Reps!C:C)</f>
        <v>SDR / Inside Sales Rep</v>
      </c>
      <c r="Q3110" t="str">
        <f>_xlfn.XLOOKUP(Pipeline_tbl[[#This Row],[Rep_ID]],Dim_Reps!A:A,Dim_Reps!D:D)</f>
        <v>Inside Sales</v>
      </c>
      <c r="R3110" t="str">
        <f>_xlfn.XLOOKUP(Pipeline_tbl[[#This Row],[Rep_ID]],Dim_Reps!A:A,Dim_Reps!E:E)</f>
        <v>LATAM</v>
      </c>
      <c r="S3110" t="str">
        <f>_xlfn.XLOOKUP(Pipeline_tbl[[#This Row],[Created_Date]],Dim_Date!A:A,Dim_Date!H:H)</f>
        <v>Mar 2024</v>
      </c>
      <c r="T3110" t="str">
        <f>IF(Pipeline_tbl[[#This Row],[Closed_Date]]=0,"",(_xlfn.XLOOKUP(Pipeline_tbl[[#This Row],[Closed_Date]],Dim_Date!A:A,Dim_Date!H:H)))</f>
        <v>Mar 2024</v>
      </c>
      <c r="U3110">
        <f>IF(Pipeline_tbl[[#This Row],[Closed_Date]]=0,"",Pipeline_tbl[[#This Row],[Closed_Date]]-Pipeline_tbl[[#This Row],[Created_Date]])</f>
        <v>20</v>
      </c>
    </row>
    <row r="3111" spans="1:21" ht="15" customHeight="1" x14ac:dyDescent="0.2">
      <c r="A3111" t="s">
        <v>3417</v>
      </c>
      <c r="B3111" t="s">
        <v>231</v>
      </c>
      <c r="C3111" t="s">
        <v>53</v>
      </c>
      <c r="D3111" s="49">
        <v>45353</v>
      </c>
      <c r="E3111" s="49">
        <v>45354</v>
      </c>
      <c r="F3111" s="49">
        <v>45357</v>
      </c>
      <c r="G3111" s="49">
        <v>45361</v>
      </c>
      <c r="H3111" s="49">
        <v>45364</v>
      </c>
      <c r="I3111" s="49">
        <v>45366</v>
      </c>
      <c r="J3111" t="s">
        <v>49</v>
      </c>
      <c r="K3111" s="33">
        <v>3900</v>
      </c>
      <c r="L3111" t="s">
        <v>60</v>
      </c>
      <c r="M3111" t="str">
        <f>_xlfn.XLOOKUP(Pipeline_tbl[[#This Row],[Rep_ID]],Dim_Reps!A:A,Dim_Reps!K:K)</f>
        <v>MXN</v>
      </c>
      <c r="N3111" s="33">
        <f>(_xlfn.XLOOKUP(Pipeline_tbl[[#This Row],[Rate_Code_Generalized]],Lookups!A:A,Lookups!B:B))*Pipeline_tbl[[#This Row],[Pipeline_Amount_USD]]</f>
        <v>76957.53</v>
      </c>
      <c r="O3111" t="str">
        <f>_xlfn.XLOOKUP(Pipeline_tbl[[#This Row],[Rep_ID]],Dim_Reps!A:A,Dim_Reps!B:B)</f>
        <v>Ben Silva</v>
      </c>
      <c r="P3111" t="str">
        <f>_xlfn.XLOOKUP(Pipeline_tbl[[#This Row],[Rep_ID]],Dim_Reps!A:A,Dim_Reps!C:C)</f>
        <v>SDR / Inside Sales Rep</v>
      </c>
      <c r="Q3111" t="str">
        <f>_xlfn.XLOOKUP(Pipeline_tbl[[#This Row],[Rep_ID]],Dim_Reps!A:A,Dim_Reps!D:D)</f>
        <v>Inside Sales</v>
      </c>
      <c r="R3111" t="str">
        <f>_xlfn.XLOOKUP(Pipeline_tbl[[#This Row],[Rep_ID]],Dim_Reps!A:A,Dim_Reps!E:E)</f>
        <v>LATAM</v>
      </c>
      <c r="S3111" t="str">
        <f>_xlfn.XLOOKUP(Pipeline_tbl[[#This Row],[Created_Date]],Dim_Date!A:A,Dim_Date!H:H)</f>
        <v>Mar 2024</v>
      </c>
      <c r="T3111" t="str">
        <f>IF(Pipeline_tbl[[#This Row],[Closed_Date]]=0,"",(_xlfn.XLOOKUP(Pipeline_tbl[[#This Row],[Closed_Date]],Dim_Date!A:A,Dim_Date!H:H)))</f>
        <v>Mar 2024</v>
      </c>
      <c r="U3111">
        <f>IF(Pipeline_tbl[[#This Row],[Closed_Date]]=0,"",Pipeline_tbl[[#This Row],[Closed_Date]]-Pipeline_tbl[[#This Row],[Created_Date]])</f>
        <v>13</v>
      </c>
    </row>
    <row r="3112" spans="1:21" ht="15" customHeight="1" x14ac:dyDescent="0.2">
      <c r="A3112" t="s">
        <v>3418</v>
      </c>
      <c r="B3112" t="s">
        <v>231</v>
      </c>
      <c r="C3112" t="s">
        <v>52</v>
      </c>
      <c r="D3112" s="49">
        <v>45369</v>
      </c>
      <c r="E3112" s="49">
        <v>45370</v>
      </c>
      <c r="F3112" s="49">
        <v>45372</v>
      </c>
      <c r="G3112" s="49">
        <v>45375</v>
      </c>
      <c r="I3112" s="49">
        <v>45379</v>
      </c>
      <c r="J3112" t="s">
        <v>49</v>
      </c>
      <c r="K3112" s="33">
        <v>1700</v>
      </c>
      <c r="L3112" t="s">
        <v>61</v>
      </c>
      <c r="M3112" t="str">
        <f>_xlfn.XLOOKUP(Pipeline_tbl[[#This Row],[Rep_ID]],Dim_Reps!A:A,Dim_Reps!K:K)</f>
        <v>MXN</v>
      </c>
      <c r="N3112" s="33">
        <f>(_xlfn.XLOOKUP(Pipeline_tbl[[#This Row],[Rate_Code_Generalized]],Lookups!A:A,Lookups!B:B))*Pipeline_tbl[[#This Row],[Pipeline_Amount_USD]]</f>
        <v>33545.590000000004</v>
      </c>
      <c r="O3112" t="str">
        <f>_xlfn.XLOOKUP(Pipeline_tbl[[#This Row],[Rep_ID]],Dim_Reps!A:A,Dim_Reps!B:B)</f>
        <v>Ben Silva</v>
      </c>
      <c r="P3112" t="str">
        <f>_xlfn.XLOOKUP(Pipeline_tbl[[#This Row],[Rep_ID]],Dim_Reps!A:A,Dim_Reps!C:C)</f>
        <v>SDR / Inside Sales Rep</v>
      </c>
      <c r="Q3112" t="str">
        <f>_xlfn.XLOOKUP(Pipeline_tbl[[#This Row],[Rep_ID]],Dim_Reps!A:A,Dim_Reps!D:D)</f>
        <v>Inside Sales</v>
      </c>
      <c r="R3112" t="str">
        <f>_xlfn.XLOOKUP(Pipeline_tbl[[#This Row],[Rep_ID]],Dim_Reps!A:A,Dim_Reps!E:E)</f>
        <v>LATAM</v>
      </c>
      <c r="S3112" t="str">
        <f>_xlfn.XLOOKUP(Pipeline_tbl[[#This Row],[Created_Date]],Dim_Date!A:A,Dim_Date!H:H)</f>
        <v>Mar 2024</v>
      </c>
      <c r="T3112" t="str">
        <f>IF(Pipeline_tbl[[#This Row],[Closed_Date]]=0,"",(_xlfn.XLOOKUP(Pipeline_tbl[[#This Row],[Closed_Date]],Dim_Date!A:A,Dim_Date!H:H)))</f>
        <v>Mar 2024</v>
      </c>
      <c r="U3112">
        <f>IF(Pipeline_tbl[[#This Row],[Closed_Date]]=0,"",Pipeline_tbl[[#This Row],[Closed_Date]]-Pipeline_tbl[[#This Row],[Created_Date]])</f>
        <v>10</v>
      </c>
    </row>
    <row r="3113" spans="1:21" ht="15" customHeight="1" x14ac:dyDescent="0.2">
      <c r="A3113" t="s">
        <v>3419</v>
      </c>
      <c r="B3113" t="s">
        <v>263</v>
      </c>
      <c r="C3113" t="s">
        <v>52</v>
      </c>
      <c r="D3113" s="49">
        <v>45354</v>
      </c>
      <c r="E3113" s="49">
        <v>45356</v>
      </c>
      <c r="I3113" s="49">
        <v>45375</v>
      </c>
      <c r="J3113" t="s">
        <v>49</v>
      </c>
      <c r="K3113" s="33">
        <v>5200</v>
      </c>
      <c r="L3113" t="s">
        <v>63</v>
      </c>
      <c r="M3113" t="str">
        <f>_xlfn.XLOOKUP(Pipeline_tbl[[#This Row],[Rep_ID]],Dim_Reps!A:A,Dim_Reps!K:K)</f>
        <v>USD</v>
      </c>
      <c r="N3113" s="33">
        <f>(_xlfn.XLOOKUP(Pipeline_tbl[[#This Row],[Rate_Code_Generalized]],Lookups!A:A,Lookups!B:B))*Pipeline_tbl[[#This Row],[Pipeline_Amount_USD]]</f>
        <v>6054.36</v>
      </c>
      <c r="O3113" t="str">
        <f>_xlfn.XLOOKUP(Pipeline_tbl[[#This Row],[Rep_ID]],Dim_Reps!A:A,Dim_Reps!B:B)</f>
        <v>Morgan Weber</v>
      </c>
      <c r="P3113" t="str">
        <f>_xlfn.XLOOKUP(Pipeline_tbl[[#This Row],[Rep_ID]],Dim_Reps!A:A,Dim_Reps!C:C)</f>
        <v>Mid-Market AE</v>
      </c>
      <c r="Q3113" t="str">
        <f>_xlfn.XLOOKUP(Pipeline_tbl[[#This Row],[Rep_ID]],Dim_Reps!A:A,Dim_Reps!D:D)</f>
        <v>Mid-Market</v>
      </c>
      <c r="R3113" t="str">
        <f>_xlfn.XLOOKUP(Pipeline_tbl[[#This Row],[Rep_ID]],Dim_Reps!A:A,Dim_Reps!E:E)</f>
        <v>NAMER</v>
      </c>
      <c r="S3113" t="str">
        <f>_xlfn.XLOOKUP(Pipeline_tbl[[#This Row],[Created_Date]],Dim_Date!A:A,Dim_Date!H:H)</f>
        <v>Mar 2024</v>
      </c>
      <c r="T3113" t="str">
        <f>IF(Pipeline_tbl[[#This Row],[Closed_Date]]=0,"",(_xlfn.XLOOKUP(Pipeline_tbl[[#This Row],[Closed_Date]],Dim_Date!A:A,Dim_Date!H:H)))</f>
        <v>Mar 2024</v>
      </c>
      <c r="U3113">
        <f>IF(Pipeline_tbl[[#This Row],[Closed_Date]]=0,"",Pipeline_tbl[[#This Row],[Closed_Date]]-Pipeline_tbl[[#This Row],[Created_Date]])</f>
        <v>21</v>
      </c>
    </row>
    <row r="3114" spans="1:21" ht="15" customHeight="1" x14ac:dyDescent="0.2">
      <c r="A3114" t="s">
        <v>3420</v>
      </c>
      <c r="B3114" t="s">
        <v>233</v>
      </c>
      <c r="C3114" t="s">
        <v>52</v>
      </c>
      <c r="D3114" s="49">
        <v>45362</v>
      </c>
      <c r="E3114" s="49">
        <v>45364</v>
      </c>
      <c r="F3114" s="49">
        <v>45368</v>
      </c>
      <c r="G3114" s="49">
        <v>45374</v>
      </c>
      <c r="I3114" s="49">
        <v>45382</v>
      </c>
      <c r="J3114" t="s">
        <v>49</v>
      </c>
      <c r="K3114" s="33">
        <v>5900</v>
      </c>
      <c r="L3114" t="s">
        <v>60</v>
      </c>
      <c r="M3114" t="str">
        <f>_xlfn.XLOOKUP(Pipeline_tbl[[#This Row],[Rep_ID]],Dim_Reps!A:A,Dim_Reps!K:K)</f>
        <v>MXN</v>
      </c>
      <c r="N3114" s="33">
        <f>(_xlfn.XLOOKUP(Pipeline_tbl[[#This Row],[Rate_Code_Generalized]],Lookups!A:A,Lookups!B:B))*Pipeline_tbl[[#This Row],[Pipeline_Amount_USD]]</f>
        <v>116422.93000000001</v>
      </c>
      <c r="O3114" t="str">
        <f>_xlfn.XLOOKUP(Pipeline_tbl[[#This Row],[Rep_ID]],Dim_Reps!A:A,Dim_Reps!B:B)</f>
        <v>Lucas Duarte</v>
      </c>
      <c r="P3114" t="str">
        <f>_xlfn.XLOOKUP(Pipeline_tbl[[#This Row],[Rep_ID]],Dim_Reps!A:A,Dim_Reps!C:C)</f>
        <v>SDR / Inside Sales Rep</v>
      </c>
      <c r="Q3114" t="str">
        <f>_xlfn.XLOOKUP(Pipeline_tbl[[#This Row],[Rep_ID]],Dim_Reps!A:A,Dim_Reps!D:D)</f>
        <v>Inside Sales</v>
      </c>
      <c r="R3114" t="str">
        <f>_xlfn.XLOOKUP(Pipeline_tbl[[#This Row],[Rep_ID]],Dim_Reps!A:A,Dim_Reps!E:E)</f>
        <v>LATAM</v>
      </c>
      <c r="S3114" t="str">
        <f>_xlfn.XLOOKUP(Pipeline_tbl[[#This Row],[Created_Date]],Dim_Date!A:A,Dim_Date!H:H)</f>
        <v>Mar 2024</v>
      </c>
      <c r="T3114" t="str">
        <f>IF(Pipeline_tbl[[#This Row],[Closed_Date]]=0,"",(_xlfn.XLOOKUP(Pipeline_tbl[[#This Row],[Closed_Date]],Dim_Date!A:A,Dim_Date!H:H)))</f>
        <v>Mar 2024</v>
      </c>
      <c r="U3114">
        <f>IF(Pipeline_tbl[[#This Row],[Closed_Date]]=0,"",Pipeline_tbl[[#This Row],[Closed_Date]]-Pipeline_tbl[[#This Row],[Created_Date]])</f>
        <v>20</v>
      </c>
    </row>
    <row r="3115" spans="1:21" ht="15" customHeight="1" x14ac:dyDescent="0.2">
      <c r="A3115" t="s">
        <v>3421</v>
      </c>
      <c r="B3115" t="s">
        <v>233</v>
      </c>
      <c r="C3115" t="s">
        <v>53</v>
      </c>
      <c r="D3115" s="49">
        <v>45352</v>
      </c>
      <c r="E3115" s="49">
        <v>45353</v>
      </c>
      <c r="F3115" s="49">
        <v>45356</v>
      </c>
      <c r="I3115" s="49">
        <v>45366</v>
      </c>
      <c r="J3115" t="s">
        <v>49</v>
      </c>
      <c r="K3115" s="33">
        <v>4400</v>
      </c>
      <c r="L3115" t="s">
        <v>63</v>
      </c>
      <c r="M3115" t="str">
        <f>_xlfn.XLOOKUP(Pipeline_tbl[[#This Row],[Rep_ID]],Dim_Reps!A:A,Dim_Reps!K:K)</f>
        <v>MXN</v>
      </c>
      <c r="N3115" s="33">
        <f>(_xlfn.XLOOKUP(Pipeline_tbl[[#This Row],[Rate_Code_Generalized]],Lookups!A:A,Lookups!B:B))*Pipeline_tbl[[#This Row],[Pipeline_Amount_USD]]</f>
        <v>86823.88</v>
      </c>
      <c r="O3115" t="str">
        <f>_xlfn.XLOOKUP(Pipeline_tbl[[#This Row],[Rep_ID]],Dim_Reps!A:A,Dim_Reps!B:B)</f>
        <v>Lucas Duarte</v>
      </c>
      <c r="P3115" t="str">
        <f>_xlfn.XLOOKUP(Pipeline_tbl[[#This Row],[Rep_ID]],Dim_Reps!A:A,Dim_Reps!C:C)</f>
        <v>SDR / Inside Sales Rep</v>
      </c>
      <c r="Q3115" t="str">
        <f>_xlfn.XLOOKUP(Pipeline_tbl[[#This Row],[Rep_ID]],Dim_Reps!A:A,Dim_Reps!D:D)</f>
        <v>Inside Sales</v>
      </c>
      <c r="R3115" t="str">
        <f>_xlfn.XLOOKUP(Pipeline_tbl[[#This Row],[Rep_ID]],Dim_Reps!A:A,Dim_Reps!E:E)</f>
        <v>LATAM</v>
      </c>
      <c r="S3115" t="str">
        <f>_xlfn.XLOOKUP(Pipeline_tbl[[#This Row],[Created_Date]],Dim_Date!A:A,Dim_Date!H:H)</f>
        <v>Mar 2024</v>
      </c>
      <c r="T3115" t="str">
        <f>IF(Pipeline_tbl[[#This Row],[Closed_Date]]=0,"",(_xlfn.XLOOKUP(Pipeline_tbl[[#This Row],[Closed_Date]],Dim_Date!A:A,Dim_Date!H:H)))</f>
        <v>Mar 2024</v>
      </c>
      <c r="U3115">
        <f>IF(Pipeline_tbl[[#This Row],[Closed_Date]]=0,"",Pipeline_tbl[[#This Row],[Closed_Date]]-Pipeline_tbl[[#This Row],[Created_Date]])</f>
        <v>14</v>
      </c>
    </row>
    <row r="3116" spans="1:21" ht="15" customHeight="1" x14ac:dyDescent="0.2">
      <c r="A3116" t="s">
        <v>3422</v>
      </c>
      <c r="B3116" t="s">
        <v>233</v>
      </c>
      <c r="C3116" t="s">
        <v>52</v>
      </c>
      <c r="D3116" s="49">
        <v>45360</v>
      </c>
      <c r="E3116" s="49">
        <v>45361</v>
      </c>
      <c r="F3116" s="49">
        <v>45362</v>
      </c>
      <c r="G3116" s="49">
        <v>45365</v>
      </c>
      <c r="I3116" s="49">
        <v>45368</v>
      </c>
      <c r="J3116" t="s">
        <v>49</v>
      </c>
      <c r="K3116" s="33">
        <v>3200</v>
      </c>
      <c r="L3116" t="s">
        <v>61</v>
      </c>
      <c r="M3116" t="str">
        <f>_xlfn.XLOOKUP(Pipeline_tbl[[#This Row],[Rep_ID]],Dim_Reps!A:A,Dim_Reps!K:K)</f>
        <v>MXN</v>
      </c>
      <c r="N3116" s="33">
        <f>(_xlfn.XLOOKUP(Pipeline_tbl[[#This Row],[Rate_Code_Generalized]],Lookups!A:A,Lookups!B:B))*Pipeline_tbl[[#This Row],[Pipeline_Amount_USD]]</f>
        <v>63144.640000000007</v>
      </c>
      <c r="O3116" t="str">
        <f>_xlfn.XLOOKUP(Pipeline_tbl[[#This Row],[Rep_ID]],Dim_Reps!A:A,Dim_Reps!B:B)</f>
        <v>Lucas Duarte</v>
      </c>
      <c r="P3116" t="str">
        <f>_xlfn.XLOOKUP(Pipeline_tbl[[#This Row],[Rep_ID]],Dim_Reps!A:A,Dim_Reps!C:C)</f>
        <v>SDR / Inside Sales Rep</v>
      </c>
      <c r="Q3116" t="str">
        <f>_xlfn.XLOOKUP(Pipeline_tbl[[#This Row],[Rep_ID]],Dim_Reps!A:A,Dim_Reps!D:D)</f>
        <v>Inside Sales</v>
      </c>
      <c r="R3116" t="str">
        <f>_xlfn.XLOOKUP(Pipeline_tbl[[#This Row],[Rep_ID]],Dim_Reps!A:A,Dim_Reps!E:E)</f>
        <v>LATAM</v>
      </c>
      <c r="S3116" t="str">
        <f>_xlfn.XLOOKUP(Pipeline_tbl[[#This Row],[Created_Date]],Dim_Date!A:A,Dim_Date!H:H)</f>
        <v>Mar 2024</v>
      </c>
      <c r="T3116" t="str">
        <f>IF(Pipeline_tbl[[#This Row],[Closed_Date]]=0,"",(_xlfn.XLOOKUP(Pipeline_tbl[[#This Row],[Closed_Date]],Dim_Date!A:A,Dim_Date!H:H)))</f>
        <v>Mar 2024</v>
      </c>
      <c r="U3116">
        <f>IF(Pipeline_tbl[[#This Row],[Closed_Date]]=0,"",Pipeline_tbl[[#This Row],[Closed_Date]]-Pipeline_tbl[[#This Row],[Created_Date]])</f>
        <v>8</v>
      </c>
    </row>
    <row r="3117" spans="1:21" ht="15" customHeight="1" x14ac:dyDescent="0.2">
      <c r="A3117" t="s">
        <v>3423</v>
      </c>
      <c r="B3117" t="s">
        <v>233</v>
      </c>
      <c r="C3117" t="s">
        <v>53</v>
      </c>
      <c r="D3117" s="49">
        <v>45358</v>
      </c>
      <c r="E3117" s="49">
        <v>45359</v>
      </c>
      <c r="F3117" s="49">
        <v>45362</v>
      </c>
      <c r="G3117" s="49">
        <v>45365</v>
      </c>
      <c r="I3117" s="49">
        <v>45370</v>
      </c>
      <c r="J3117" t="s">
        <v>49</v>
      </c>
      <c r="K3117" s="33">
        <v>4200</v>
      </c>
      <c r="L3117" t="s">
        <v>63</v>
      </c>
      <c r="M3117" t="str">
        <f>_xlfn.XLOOKUP(Pipeline_tbl[[#This Row],[Rep_ID]],Dim_Reps!A:A,Dim_Reps!K:K)</f>
        <v>MXN</v>
      </c>
      <c r="N3117" s="33">
        <f>(_xlfn.XLOOKUP(Pipeline_tbl[[#This Row],[Rate_Code_Generalized]],Lookups!A:A,Lookups!B:B))*Pipeline_tbl[[#This Row],[Pipeline_Amount_USD]]</f>
        <v>82877.340000000011</v>
      </c>
      <c r="O3117" t="str">
        <f>_xlfn.XLOOKUP(Pipeline_tbl[[#This Row],[Rep_ID]],Dim_Reps!A:A,Dim_Reps!B:B)</f>
        <v>Lucas Duarte</v>
      </c>
      <c r="P3117" t="str">
        <f>_xlfn.XLOOKUP(Pipeline_tbl[[#This Row],[Rep_ID]],Dim_Reps!A:A,Dim_Reps!C:C)</f>
        <v>SDR / Inside Sales Rep</v>
      </c>
      <c r="Q3117" t="str">
        <f>_xlfn.XLOOKUP(Pipeline_tbl[[#This Row],[Rep_ID]],Dim_Reps!A:A,Dim_Reps!D:D)</f>
        <v>Inside Sales</v>
      </c>
      <c r="R3117" t="str">
        <f>_xlfn.XLOOKUP(Pipeline_tbl[[#This Row],[Rep_ID]],Dim_Reps!A:A,Dim_Reps!E:E)</f>
        <v>LATAM</v>
      </c>
      <c r="S3117" t="str">
        <f>_xlfn.XLOOKUP(Pipeline_tbl[[#This Row],[Created_Date]],Dim_Date!A:A,Dim_Date!H:H)</f>
        <v>Mar 2024</v>
      </c>
      <c r="T3117" t="str">
        <f>IF(Pipeline_tbl[[#This Row],[Closed_Date]]=0,"",(_xlfn.XLOOKUP(Pipeline_tbl[[#This Row],[Closed_Date]],Dim_Date!A:A,Dim_Date!H:H)))</f>
        <v>Mar 2024</v>
      </c>
      <c r="U3117">
        <f>IF(Pipeline_tbl[[#This Row],[Closed_Date]]=0,"",Pipeline_tbl[[#This Row],[Closed_Date]]-Pipeline_tbl[[#This Row],[Created_Date]])</f>
        <v>12</v>
      </c>
    </row>
    <row r="3118" spans="1:21" ht="15" customHeight="1" x14ac:dyDescent="0.2">
      <c r="A3118" t="s">
        <v>3424</v>
      </c>
      <c r="B3118" t="s">
        <v>233</v>
      </c>
      <c r="C3118" t="s">
        <v>52</v>
      </c>
      <c r="D3118" s="49">
        <v>45359</v>
      </c>
      <c r="E3118" s="49">
        <v>45361</v>
      </c>
      <c r="F3118" s="49">
        <v>45364</v>
      </c>
      <c r="G3118" s="49">
        <v>45369</v>
      </c>
      <c r="H3118" s="49">
        <v>45373</v>
      </c>
      <c r="I3118" s="49">
        <v>45376</v>
      </c>
      <c r="J3118" t="s">
        <v>47</v>
      </c>
      <c r="K3118" s="33">
        <v>8200</v>
      </c>
      <c r="M3118" t="str">
        <f>_xlfn.XLOOKUP(Pipeline_tbl[[#This Row],[Rep_ID]],Dim_Reps!A:A,Dim_Reps!K:K)</f>
        <v>MXN</v>
      </c>
      <c r="N3118" s="33">
        <f>(_xlfn.XLOOKUP(Pipeline_tbl[[#This Row],[Rate_Code_Generalized]],Lookups!A:A,Lookups!B:B))*Pipeline_tbl[[#This Row],[Pipeline_Amount_USD]]</f>
        <v>161808.14000000001</v>
      </c>
      <c r="O3118" t="str">
        <f>_xlfn.XLOOKUP(Pipeline_tbl[[#This Row],[Rep_ID]],Dim_Reps!A:A,Dim_Reps!B:B)</f>
        <v>Lucas Duarte</v>
      </c>
      <c r="P3118" t="str">
        <f>_xlfn.XLOOKUP(Pipeline_tbl[[#This Row],[Rep_ID]],Dim_Reps!A:A,Dim_Reps!C:C)</f>
        <v>SDR / Inside Sales Rep</v>
      </c>
      <c r="Q3118" t="str">
        <f>_xlfn.XLOOKUP(Pipeline_tbl[[#This Row],[Rep_ID]],Dim_Reps!A:A,Dim_Reps!D:D)</f>
        <v>Inside Sales</v>
      </c>
      <c r="R3118" t="str">
        <f>_xlfn.XLOOKUP(Pipeline_tbl[[#This Row],[Rep_ID]],Dim_Reps!A:A,Dim_Reps!E:E)</f>
        <v>LATAM</v>
      </c>
      <c r="S3118" t="str">
        <f>_xlfn.XLOOKUP(Pipeline_tbl[[#This Row],[Created_Date]],Dim_Date!A:A,Dim_Date!H:H)</f>
        <v>Mar 2024</v>
      </c>
      <c r="T3118" t="str">
        <f>IF(Pipeline_tbl[[#This Row],[Closed_Date]]=0,"",(_xlfn.XLOOKUP(Pipeline_tbl[[#This Row],[Closed_Date]],Dim_Date!A:A,Dim_Date!H:H)))</f>
        <v>Mar 2024</v>
      </c>
      <c r="U3118">
        <f>IF(Pipeline_tbl[[#This Row],[Closed_Date]]=0,"",Pipeline_tbl[[#This Row],[Closed_Date]]-Pipeline_tbl[[#This Row],[Created_Date]])</f>
        <v>17</v>
      </c>
    </row>
    <row r="3119" spans="1:21" ht="15" customHeight="1" x14ac:dyDescent="0.2">
      <c r="A3119" t="s">
        <v>3425</v>
      </c>
      <c r="B3119" t="s">
        <v>233</v>
      </c>
      <c r="C3119" t="s">
        <v>52</v>
      </c>
      <c r="D3119" s="49">
        <v>45354</v>
      </c>
      <c r="E3119" s="49">
        <v>45355</v>
      </c>
      <c r="F3119" s="49">
        <v>45358</v>
      </c>
      <c r="G3119" s="49">
        <v>45361</v>
      </c>
      <c r="H3119" s="49">
        <v>45364</v>
      </c>
      <c r="I3119" s="49">
        <v>45366</v>
      </c>
      <c r="J3119" t="s">
        <v>49</v>
      </c>
      <c r="K3119" s="33">
        <v>3900</v>
      </c>
      <c r="L3119" t="s">
        <v>61</v>
      </c>
      <c r="M3119" t="str">
        <f>_xlfn.XLOOKUP(Pipeline_tbl[[#This Row],[Rep_ID]],Dim_Reps!A:A,Dim_Reps!K:K)</f>
        <v>MXN</v>
      </c>
      <c r="N3119" s="33">
        <f>(_xlfn.XLOOKUP(Pipeline_tbl[[#This Row],[Rate_Code_Generalized]],Lookups!A:A,Lookups!B:B))*Pipeline_tbl[[#This Row],[Pipeline_Amount_USD]]</f>
        <v>76957.53</v>
      </c>
      <c r="O3119" t="str">
        <f>_xlfn.XLOOKUP(Pipeline_tbl[[#This Row],[Rep_ID]],Dim_Reps!A:A,Dim_Reps!B:B)</f>
        <v>Lucas Duarte</v>
      </c>
      <c r="P3119" t="str">
        <f>_xlfn.XLOOKUP(Pipeline_tbl[[#This Row],[Rep_ID]],Dim_Reps!A:A,Dim_Reps!C:C)</f>
        <v>SDR / Inside Sales Rep</v>
      </c>
      <c r="Q3119" t="str">
        <f>_xlfn.XLOOKUP(Pipeline_tbl[[#This Row],[Rep_ID]],Dim_Reps!A:A,Dim_Reps!D:D)</f>
        <v>Inside Sales</v>
      </c>
      <c r="R3119" t="str">
        <f>_xlfn.XLOOKUP(Pipeline_tbl[[#This Row],[Rep_ID]],Dim_Reps!A:A,Dim_Reps!E:E)</f>
        <v>LATAM</v>
      </c>
      <c r="S3119" t="str">
        <f>_xlfn.XLOOKUP(Pipeline_tbl[[#This Row],[Created_Date]],Dim_Date!A:A,Dim_Date!H:H)</f>
        <v>Mar 2024</v>
      </c>
      <c r="T3119" t="str">
        <f>IF(Pipeline_tbl[[#This Row],[Closed_Date]]=0,"",(_xlfn.XLOOKUP(Pipeline_tbl[[#This Row],[Closed_Date]],Dim_Date!A:A,Dim_Date!H:H)))</f>
        <v>Mar 2024</v>
      </c>
      <c r="U3119">
        <f>IF(Pipeline_tbl[[#This Row],[Closed_Date]]=0,"",Pipeline_tbl[[#This Row],[Closed_Date]]-Pipeline_tbl[[#This Row],[Created_Date]])</f>
        <v>12</v>
      </c>
    </row>
    <row r="3120" spans="1:21" ht="15" customHeight="1" x14ac:dyDescent="0.2">
      <c r="A3120" t="s">
        <v>3426</v>
      </c>
      <c r="B3120" t="s">
        <v>267</v>
      </c>
      <c r="C3120" t="s">
        <v>52</v>
      </c>
      <c r="D3120" s="49">
        <v>45353</v>
      </c>
      <c r="E3120" s="49">
        <v>45355</v>
      </c>
      <c r="I3120" s="49">
        <v>45371</v>
      </c>
      <c r="J3120" t="s">
        <v>49</v>
      </c>
      <c r="K3120" s="33">
        <v>9300</v>
      </c>
      <c r="L3120" t="s">
        <v>61</v>
      </c>
      <c r="M3120" t="str">
        <f>_xlfn.XLOOKUP(Pipeline_tbl[[#This Row],[Rep_ID]],Dim_Reps!A:A,Dim_Reps!K:K)</f>
        <v>MXN</v>
      </c>
      <c r="N3120" s="33">
        <f>(_xlfn.XLOOKUP(Pipeline_tbl[[#This Row],[Rate_Code_Generalized]],Lookups!A:A,Lookups!B:B))*Pipeline_tbl[[#This Row],[Pipeline_Amount_USD]]</f>
        <v>183514.11000000002</v>
      </c>
      <c r="O3120" t="str">
        <f>_xlfn.XLOOKUP(Pipeline_tbl[[#This Row],[Rep_ID]],Dim_Reps!A:A,Dim_Reps!B:B)</f>
        <v>Yuki Dubois</v>
      </c>
      <c r="P3120" t="str">
        <f>_xlfn.XLOOKUP(Pipeline_tbl[[#This Row],[Rep_ID]],Dim_Reps!A:A,Dim_Reps!C:C)</f>
        <v>Mid-Market AE</v>
      </c>
      <c r="Q3120" t="str">
        <f>_xlfn.XLOOKUP(Pipeline_tbl[[#This Row],[Rep_ID]],Dim_Reps!A:A,Dim_Reps!D:D)</f>
        <v>Mid-Market</v>
      </c>
      <c r="R3120" t="str">
        <f>_xlfn.XLOOKUP(Pipeline_tbl[[#This Row],[Rep_ID]],Dim_Reps!A:A,Dim_Reps!E:E)</f>
        <v>LATAM</v>
      </c>
      <c r="S3120" t="str">
        <f>_xlfn.XLOOKUP(Pipeline_tbl[[#This Row],[Created_Date]],Dim_Date!A:A,Dim_Date!H:H)</f>
        <v>Mar 2024</v>
      </c>
      <c r="T3120" t="str">
        <f>IF(Pipeline_tbl[[#This Row],[Closed_Date]]=0,"",(_xlfn.XLOOKUP(Pipeline_tbl[[#This Row],[Closed_Date]],Dim_Date!A:A,Dim_Date!H:H)))</f>
        <v>Mar 2024</v>
      </c>
      <c r="U3120">
        <f>IF(Pipeline_tbl[[#This Row],[Closed_Date]]=0,"",Pipeline_tbl[[#This Row],[Closed_Date]]-Pipeline_tbl[[#This Row],[Created_Date]])</f>
        <v>18</v>
      </c>
    </row>
    <row r="3121" spans="1:21" ht="15" customHeight="1" x14ac:dyDescent="0.2">
      <c r="A3121" t="s">
        <v>3427</v>
      </c>
      <c r="B3121" t="s">
        <v>235</v>
      </c>
      <c r="C3121" t="s">
        <v>52</v>
      </c>
      <c r="D3121" s="49">
        <v>45357</v>
      </c>
      <c r="E3121" s="49">
        <v>45359</v>
      </c>
      <c r="F3121" s="49">
        <v>45362</v>
      </c>
      <c r="G3121" s="49">
        <v>45367</v>
      </c>
      <c r="H3121" s="49">
        <v>45371</v>
      </c>
      <c r="I3121" s="49">
        <v>45374</v>
      </c>
      <c r="J3121" t="s">
        <v>47</v>
      </c>
      <c r="K3121" s="33">
        <v>5300</v>
      </c>
      <c r="M3121" t="str">
        <f>_xlfn.XLOOKUP(Pipeline_tbl[[#This Row],[Rep_ID]],Dim_Reps!A:A,Dim_Reps!K:K)</f>
        <v>MXN</v>
      </c>
      <c r="N3121" s="33">
        <f>(_xlfn.XLOOKUP(Pipeline_tbl[[#This Row],[Rate_Code_Generalized]],Lookups!A:A,Lookups!B:B))*Pipeline_tbl[[#This Row],[Pipeline_Amount_USD]]</f>
        <v>104583.31000000001</v>
      </c>
      <c r="O3121" t="str">
        <f>_xlfn.XLOOKUP(Pipeline_tbl[[#This Row],[Rep_ID]],Dim_Reps!A:A,Dim_Reps!B:B)</f>
        <v>Milo Castro</v>
      </c>
      <c r="P3121" t="str">
        <f>_xlfn.XLOOKUP(Pipeline_tbl[[#This Row],[Rep_ID]],Dim_Reps!A:A,Dim_Reps!C:C)</f>
        <v>SDR / Inside Sales Rep</v>
      </c>
      <c r="Q3121" t="str">
        <f>_xlfn.XLOOKUP(Pipeline_tbl[[#This Row],[Rep_ID]],Dim_Reps!A:A,Dim_Reps!D:D)</f>
        <v>Inside Sales</v>
      </c>
      <c r="R3121" t="str">
        <f>_xlfn.XLOOKUP(Pipeline_tbl[[#This Row],[Rep_ID]],Dim_Reps!A:A,Dim_Reps!E:E)</f>
        <v>LATAM</v>
      </c>
      <c r="S3121" t="str">
        <f>_xlfn.XLOOKUP(Pipeline_tbl[[#This Row],[Created_Date]],Dim_Date!A:A,Dim_Date!H:H)</f>
        <v>Mar 2024</v>
      </c>
      <c r="T3121" t="str">
        <f>IF(Pipeline_tbl[[#This Row],[Closed_Date]]=0,"",(_xlfn.XLOOKUP(Pipeline_tbl[[#This Row],[Closed_Date]],Dim_Date!A:A,Dim_Date!H:H)))</f>
        <v>Mar 2024</v>
      </c>
      <c r="U3121">
        <f>IF(Pipeline_tbl[[#This Row],[Closed_Date]]=0,"",Pipeline_tbl[[#This Row],[Closed_Date]]-Pipeline_tbl[[#This Row],[Created_Date]])</f>
        <v>17</v>
      </c>
    </row>
    <row r="3122" spans="1:21" ht="15" customHeight="1" x14ac:dyDescent="0.2">
      <c r="A3122" t="s">
        <v>3428</v>
      </c>
      <c r="B3122" t="s">
        <v>235</v>
      </c>
      <c r="C3122" t="s">
        <v>52</v>
      </c>
      <c r="D3122" s="49">
        <v>45352</v>
      </c>
      <c r="E3122" s="49">
        <v>45354</v>
      </c>
      <c r="F3122" s="49">
        <v>45358</v>
      </c>
      <c r="G3122" s="49">
        <v>45363</v>
      </c>
      <c r="I3122" s="49">
        <v>45371</v>
      </c>
      <c r="J3122" t="s">
        <v>49</v>
      </c>
      <c r="K3122" s="33">
        <v>12600</v>
      </c>
      <c r="L3122" t="s">
        <v>61</v>
      </c>
      <c r="M3122" t="str">
        <f>_xlfn.XLOOKUP(Pipeline_tbl[[#This Row],[Rep_ID]],Dim_Reps!A:A,Dim_Reps!K:K)</f>
        <v>MXN</v>
      </c>
      <c r="N3122" s="33">
        <f>(_xlfn.XLOOKUP(Pipeline_tbl[[#This Row],[Rate_Code_Generalized]],Lookups!A:A,Lookups!B:B))*Pipeline_tbl[[#This Row],[Pipeline_Amount_USD]]</f>
        <v>248632.02000000002</v>
      </c>
      <c r="O3122" t="str">
        <f>_xlfn.XLOOKUP(Pipeline_tbl[[#This Row],[Rep_ID]],Dim_Reps!A:A,Dim_Reps!B:B)</f>
        <v>Milo Castro</v>
      </c>
      <c r="P3122" t="str">
        <f>_xlfn.XLOOKUP(Pipeline_tbl[[#This Row],[Rep_ID]],Dim_Reps!A:A,Dim_Reps!C:C)</f>
        <v>SDR / Inside Sales Rep</v>
      </c>
      <c r="Q3122" t="str">
        <f>_xlfn.XLOOKUP(Pipeline_tbl[[#This Row],[Rep_ID]],Dim_Reps!A:A,Dim_Reps!D:D)</f>
        <v>Inside Sales</v>
      </c>
      <c r="R3122" t="str">
        <f>_xlfn.XLOOKUP(Pipeline_tbl[[#This Row],[Rep_ID]],Dim_Reps!A:A,Dim_Reps!E:E)</f>
        <v>LATAM</v>
      </c>
      <c r="S3122" t="str">
        <f>_xlfn.XLOOKUP(Pipeline_tbl[[#This Row],[Created_Date]],Dim_Date!A:A,Dim_Date!H:H)</f>
        <v>Mar 2024</v>
      </c>
      <c r="T3122" t="str">
        <f>IF(Pipeline_tbl[[#This Row],[Closed_Date]]=0,"",(_xlfn.XLOOKUP(Pipeline_tbl[[#This Row],[Closed_Date]],Dim_Date!A:A,Dim_Date!H:H)))</f>
        <v>Mar 2024</v>
      </c>
      <c r="U3122">
        <f>IF(Pipeline_tbl[[#This Row],[Closed_Date]]=0,"",Pipeline_tbl[[#This Row],[Closed_Date]]-Pipeline_tbl[[#This Row],[Created_Date]])</f>
        <v>19</v>
      </c>
    </row>
    <row r="3123" spans="1:21" ht="15" customHeight="1" x14ac:dyDescent="0.2">
      <c r="A3123" t="s">
        <v>3429</v>
      </c>
      <c r="B3123" t="s">
        <v>235</v>
      </c>
      <c r="C3123" t="s">
        <v>53</v>
      </c>
      <c r="D3123" s="49">
        <v>45359</v>
      </c>
      <c r="E3123" s="49">
        <v>45361</v>
      </c>
      <c r="F3123" s="49">
        <v>45364</v>
      </c>
      <c r="G3123" s="49">
        <v>45369</v>
      </c>
      <c r="H3123" s="49">
        <v>45373</v>
      </c>
      <c r="I3123" s="49">
        <v>45375</v>
      </c>
      <c r="J3123" t="s">
        <v>47</v>
      </c>
      <c r="K3123" s="33">
        <v>3100</v>
      </c>
      <c r="M3123" t="str">
        <f>_xlfn.XLOOKUP(Pipeline_tbl[[#This Row],[Rep_ID]],Dim_Reps!A:A,Dim_Reps!K:K)</f>
        <v>MXN</v>
      </c>
      <c r="N3123" s="33">
        <f>(_xlfn.XLOOKUP(Pipeline_tbl[[#This Row],[Rate_Code_Generalized]],Lookups!A:A,Lookups!B:B))*Pipeline_tbl[[#This Row],[Pipeline_Amount_USD]]</f>
        <v>61171.37</v>
      </c>
      <c r="O3123" t="str">
        <f>_xlfn.XLOOKUP(Pipeline_tbl[[#This Row],[Rep_ID]],Dim_Reps!A:A,Dim_Reps!B:B)</f>
        <v>Milo Castro</v>
      </c>
      <c r="P3123" t="str">
        <f>_xlfn.XLOOKUP(Pipeline_tbl[[#This Row],[Rep_ID]],Dim_Reps!A:A,Dim_Reps!C:C)</f>
        <v>SDR / Inside Sales Rep</v>
      </c>
      <c r="Q3123" t="str">
        <f>_xlfn.XLOOKUP(Pipeline_tbl[[#This Row],[Rep_ID]],Dim_Reps!A:A,Dim_Reps!D:D)</f>
        <v>Inside Sales</v>
      </c>
      <c r="R3123" t="str">
        <f>_xlfn.XLOOKUP(Pipeline_tbl[[#This Row],[Rep_ID]],Dim_Reps!A:A,Dim_Reps!E:E)</f>
        <v>LATAM</v>
      </c>
      <c r="S3123" t="str">
        <f>_xlfn.XLOOKUP(Pipeline_tbl[[#This Row],[Created_Date]],Dim_Date!A:A,Dim_Date!H:H)</f>
        <v>Mar 2024</v>
      </c>
      <c r="T3123" t="str">
        <f>IF(Pipeline_tbl[[#This Row],[Closed_Date]]=0,"",(_xlfn.XLOOKUP(Pipeline_tbl[[#This Row],[Closed_Date]],Dim_Date!A:A,Dim_Date!H:H)))</f>
        <v>Mar 2024</v>
      </c>
      <c r="U3123">
        <f>IF(Pipeline_tbl[[#This Row],[Closed_Date]]=0,"",Pipeline_tbl[[#This Row],[Closed_Date]]-Pipeline_tbl[[#This Row],[Created_Date]])</f>
        <v>16</v>
      </c>
    </row>
    <row r="3124" spans="1:21" ht="15" customHeight="1" x14ac:dyDescent="0.2">
      <c r="A3124" t="s">
        <v>3430</v>
      </c>
      <c r="B3124" t="s">
        <v>237</v>
      </c>
      <c r="C3124" t="s">
        <v>54</v>
      </c>
      <c r="D3124" s="49">
        <v>45353</v>
      </c>
      <c r="E3124" s="49">
        <v>45355</v>
      </c>
      <c r="F3124" s="49">
        <v>45360</v>
      </c>
      <c r="I3124" s="49">
        <v>45375</v>
      </c>
      <c r="J3124" t="s">
        <v>49</v>
      </c>
      <c r="K3124" s="33">
        <v>4100</v>
      </c>
      <c r="L3124" t="s">
        <v>60</v>
      </c>
      <c r="M3124" t="str">
        <f>_xlfn.XLOOKUP(Pipeline_tbl[[#This Row],[Rep_ID]],Dim_Reps!A:A,Dim_Reps!K:K)</f>
        <v>EUR</v>
      </c>
      <c r="N3124" s="33">
        <f>(_xlfn.XLOOKUP(Pipeline_tbl[[#This Row],[Rate_Code_Generalized]],Lookups!A:A,Lookups!B:B))*Pipeline_tbl[[#This Row],[Pipeline_Amount_USD]]</f>
        <v>4100</v>
      </c>
      <c r="O3124" t="str">
        <f>_xlfn.XLOOKUP(Pipeline_tbl[[#This Row],[Rep_ID]],Dim_Reps!A:A,Dim_Reps!B:B)</f>
        <v>Hugo Santos</v>
      </c>
      <c r="P3124" t="str">
        <f>_xlfn.XLOOKUP(Pipeline_tbl[[#This Row],[Rep_ID]],Dim_Reps!A:A,Dim_Reps!C:C)</f>
        <v>SDR / Inside Sales Rep</v>
      </c>
      <c r="Q3124" t="str">
        <f>_xlfn.XLOOKUP(Pipeline_tbl[[#This Row],[Rep_ID]],Dim_Reps!A:A,Dim_Reps!D:D)</f>
        <v>Inside Sales</v>
      </c>
      <c r="R3124" t="str">
        <f>_xlfn.XLOOKUP(Pipeline_tbl[[#This Row],[Rep_ID]],Dim_Reps!A:A,Dim_Reps!E:E)</f>
        <v>EMEA</v>
      </c>
      <c r="S3124" t="str">
        <f>_xlfn.XLOOKUP(Pipeline_tbl[[#This Row],[Created_Date]],Dim_Date!A:A,Dim_Date!H:H)</f>
        <v>Mar 2024</v>
      </c>
      <c r="T3124" t="str">
        <f>IF(Pipeline_tbl[[#This Row],[Closed_Date]]=0,"",(_xlfn.XLOOKUP(Pipeline_tbl[[#This Row],[Closed_Date]],Dim_Date!A:A,Dim_Date!H:H)))</f>
        <v>Mar 2024</v>
      </c>
      <c r="U3124">
        <f>IF(Pipeline_tbl[[#This Row],[Closed_Date]]=0,"",Pipeline_tbl[[#This Row],[Closed_Date]]-Pipeline_tbl[[#This Row],[Created_Date]])</f>
        <v>22</v>
      </c>
    </row>
    <row r="3125" spans="1:21" ht="15" customHeight="1" x14ac:dyDescent="0.2">
      <c r="A3125" t="s">
        <v>3431</v>
      </c>
      <c r="B3125" t="s">
        <v>237</v>
      </c>
      <c r="C3125" t="s">
        <v>55</v>
      </c>
      <c r="D3125" s="49">
        <v>45355</v>
      </c>
      <c r="E3125" s="49">
        <v>45356</v>
      </c>
      <c r="F3125" s="49">
        <v>45359</v>
      </c>
      <c r="G3125" s="49">
        <v>45362</v>
      </c>
      <c r="H3125" s="49">
        <v>45365</v>
      </c>
      <c r="I3125" s="49">
        <v>45367</v>
      </c>
      <c r="J3125" t="s">
        <v>49</v>
      </c>
      <c r="K3125" s="33">
        <v>3000</v>
      </c>
      <c r="L3125" t="s">
        <v>63</v>
      </c>
      <c r="M3125" t="str">
        <f>_xlfn.XLOOKUP(Pipeline_tbl[[#This Row],[Rep_ID]],Dim_Reps!A:A,Dim_Reps!K:K)</f>
        <v>EUR</v>
      </c>
      <c r="N3125" s="33">
        <f>(_xlfn.XLOOKUP(Pipeline_tbl[[#This Row],[Rate_Code_Generalized]],Lookups!A:A,Lookups!B:B))*Pipeline_tbl[[#This Row],[Pipeline_Amount_USD]]</f>
        <v>3000</v>
      </c>
      <c r="O3125" t="str">
        <f>_xlfn.XLOOKUP(Pipeline_tbl[[#This Row],[Rep_ID]],Dim_Reps!A:A,Dim_Reps!B:B)</f>
        <v>Hugo Santos</v>
      </c>
      <c r="P3125" t="str">
        <f>_xlfn.XLOOKUP(Pipeline_tbl[[#This Row],[Rep_ID]],Dim_Reps!A:A,Dim_Reps!C:C)</f>
        <v>SDR / Inside Sales Rep</v>
      </c>
      <c r="Q3125" t="str">
        <f>_xlfn.XLOOKUP(Pipeline_tbl[[#This Row],[Rep_ID]],Dim_Reps!A:A,Dim_Reps!D:D)</f>
        <v>Inside Sales</v>
      </c>
      <c r="R3125" t="str">
        <f>_xlfn.XLOOKUP(Pipeline_tbl[[#This Row],[Rep_ID]],Dim_Reps!A:A,Dim_Reps!E:E)</f>
        <v>EMEA</v>
      </c>
      <c r="S3125" t="str">
        <f>_xlfn.XLOOKUP(Pipeline_tbl[[#This Row],[Created_Date]],Dim_Date!A:A,Dim_Date!H:H)</f>
        <v>Mar 2024</v>
      </c>
      <c r="T3125" t="str">
        <f>IF(Pipeline_tbl[[#This Row],[Closed_Date]]=0,"",(_xlfn.XLOOKUP(Pipeline_tbl[[#This Row],[Closed_Date]],Dim_Date!A:A,Dim_Date!H:H)))</f>
        <v>Mar 2024</v>
      </c>
      <c r="U3125">
        <f>IF(Pipeline_tbl[[#This Row],[Closed_Date]]=0,"",Pipeline_tbl[[#This Row],[Closed_Date]]-Pipeline_tbl[[#This Row],[Created_Date]])</f>
        <v>12</v>
      </c>
    </row>
    <row r="3126" spans="1:21" ht="15" customHeight="1" x14ac:dyDescent="0.2">
      <c r="A3126" t="s">
        <v>3432</v>
      </c>
      <c r="B3126" t="s">
        <v>237</v>
      </c>
      <c r="C3126" t="s">
        <v>56</v>
      </c>
      <c r="D3126" s="49">
        <v>45352</v>
      </c>
      <c r="E3126" s="49">
        <v>45353</v>
      </c>
      <c r="F3126" s="49">
        <v>45356</v>
      </c>
      <c r="G3126" s="49">
        <v>45360</v>
      </c>
      <c r="H3126" s="49">
        <v>45363</v>
      </c>
      <c r="I3126" s="49">
        <v>45365</v>
      </c>
      <c r="J3126" t="s">
        <v>47</v>
      </c>
      <c r="K3126" s="33">
        <v>2000</v>
      </c>
      <c r="M3126" t="str">
        <f>_xlfn.XLOOKUP(Pipeline_tbl[[#This Row],[Rep_ID]],Dim_Reps!A:A,Dim_Reps!K:K)</f>
        <v>EUR</v>
      </c>
      <c r="N3126" s="33">
        <f>(_xlfn.XLOOKUP(Pipeline_tbl[[#This Row],[Rate_Code_Generalized]],Lookups!A:A,Lookups!B:B))*Pipeline_tbl[[#This Row],[Pipeline_Amount_USD]]</f>
        <v>2000</v>
      </c>
      <c r="O3126" t="str">
        <f>_xlfn.XLOOKUP(Pipeline_tbl[[#This Row],[Rep_ID]],Dim_Reps!A:A,Dim_Reps!B:B)</f>
        <v>Hugo Santos</v>
      </c>
      <c r="P3126" t="str">
        <f>_xlfn.XLOOKUP(Pipeline_tbl[[#This Row],[Rep_ID]],Dim_Reps!A:A,Dim_Reps!C:C)</f>
        <v>SDR / Inside Sales Rep</v>
      </c>
      <c r="Q3126" t="str">
        <f>_xlfn.XLOOKUP(Pipeline_tbl[[#This Row],[Rep_ID]],Dim_Reps!A:A,Dim_Reps!D:D)</f>
        <v>Inside Sales</v>
      </c>
      <c r="R3126" t="str">
        <f>_xlfn.XLOOKUP(Pipeline_tbl[[#This Row],[Rep_ID]],Dim_Reps!A:A,Dim_Reps!E:E)</f>
        <v>EMEA</v>
      </c>
      <c r="S3126" t="str">
        <f>_xlfn.XLOOKUP(Pipeline_tbl[[#This Row],[Created_Date]],Dim_Date!A:A,Dim_Date!H:H)</f>
        <v>Mar 2024</v>
      </c>
      <c r="T3126" t="str">
        <f>IF(Pipeline_tbl[[#This Row],[Closed_Date]]=0,"",(_xlfn.XLOOKUP(Pipeline_tbl[[#This Row],[Closed_Date]],Dim_Date!A:A,Dim_Date!H:H)))</f>
        <v>Mar 2024</v>
      </c>
      <c r="U3126">
        <f>IF(Pipeline_tbl[[#This Row],[Closed_Date]]=0,"",Pipeline_tbl[[#This Row],[Closed_Date]]-Pipeline_tbl[[#This Row],[Created_Date]])</f>
        <v>13</v>
      </c>
    </row>
    <row r="3127" spans="1:21" ht="15" customHeight="1" x14ac:dyDescent="0.2">
      <c r="A3127" t="s">
        <v>3433</v>
      </c>
      <c r="B3127" t="s">
        <v>237</v>
      </c>
      <c r="C3127" t="s">
        <v>53</v>
      </c>
      <c r="D3127" s="49">
        <v>45353</v>
      </c>
      <c r="E3127" s="49">
        <v>45355</v>
      </c>
      <c r="F3127" s="49">
        <v>45358</v>
      </c>
      <c r="G3127" s="49">
        <v>45364</v>
      </c>
      <c r="I3127" s="49">
        <v>45371</v>
      </c>
      <c r="J3127" t="s">
        <v>49</v>
      </c>
      <c r="K3127" s="33">
        <v>3700</v>
      </c>
      <c r="L3127" t="s">
        <v>60</v>
      </c>
      <c r="M3127" t="str">
        <f>_xlfn.XLOOKUP(Pipeline_tbl[[#This Row],[Rep_ID]],Dim_Reps!A:A,Dim_Reps!K:K)</f>
        <v>EUR</v>
      </c>
      <c r="N3127" s="33">
        <f>(_xlfn.XLOOKUP(Pipeline_tbl[[#This Row],[Rate_Code_Generalized]],Lookups!A:A,Lookups!B:B))*Pipeline_tbl[[#This Row],[Pipeline_Amount_USD]]</f>
        <v>3700</v>
      </c>
      <c r="O3127" t="str">
        <f>_xlfn.XLOOKUP(Pipeline_tbl[[#This Row],[Rep_ID]],Dim_Reps!A:A,Dim_Reps!B:B)</f>
        <v>Hugo Santos</v>
      </c>
      <c r="P3127" t="str">
        <f>_xlfn.XLOOKUP(Pipeline_tbl[[#This Row],[Rep_ID]],Dim_Reps!A:A,Dim_Reps!C:C)</f>
        <v>SDR / Inside Sales Rep</v>
      </c>
      <c r="Q3127" t="str">
        <f>_xlfn.XLOOKUP(Pipeline_tbl[[#This Row],[Rep_ID]],Dim_Reps!A:A,Dim_Reps!D:D)</f>
        <v>Inside Sales</v>
      </c>
      <c r="R3127" t="str">
        <f>_xlfn.XLOOKUP(Pipeline_tbl[[#This Row],[Rep_ID]],Dim_Reps!A:A,Dim_Reps!E:E)</f>
        <v>EMEA</v>
      </c>
      <c r="S3127" t="str">
        <f>_xlfn.XLOOKUP(Pipeline_tbl[[#This Row],[Created_Date]],Dim_Date!A:A,Dim_Date!H:H)</f>
        <v>Mar 2024</v>
      </c>
      <c r="T3127" t="str">
        <f>IF(Pipeline_tbl[[#This Row],[Closed_Date]]=0,"",(_xlfn.XLOOKUP(Pipeline_tbl[[#This Row],[Closed_Date]],Dim_Date!A:A,Dim_Date!H:H)))</f>
        <v>Mar 2024</v>
      </c>
      <c r="U3127">
        <f>IF(Pipeline_tbl[[#This Row],[Closed_Date]]=0,"",Pipeline_tbl[[#This Row],[Closed_Date]]-Pipeline_tbl[[#This Row],[Created_Date]])</f>
        <v>18</v>
      </c>
    </row>
    <row r="3128" spans="1:21" ht="15" customHeight="1" x14ac:dyDescent="0.2">
      <c r="A3128" t="s">
        <v>3434</v>
      </c>
      <c r="B3128" t="s">
        <v>237</v>
      </c>
      <c r="C3128" t="s">
        <v>53</v>
      </c>
      <c r="D3128" s="49">
        <v>45355</v>
      </c>
      <c r="E3128" s="49">
        <v>45356</v>
      </c>
      <c r="F3128" s="49">
        <v>45359</v>
      </c>
      <c r="G3128" s="49">
        <v>45362</v>
      </c>
      <c r="H3128" s="49">
        <v>45365</v>
      </c>
      <c r="I3128" s="49">
        <v>45367</v>
      </c>
      <c r="J3128" t="s">
        <v>47</v>
      </c>
      <c r="K3128" s="33">
        <v>1800</v>
      </c>
      <c r="M3128" t="str">
        <f>_xlfn.XLOOKUP(Pipeline_tbl[[#This Row],[Rep_ID]],Dim_Reps!A:A,Dim_Reps!K:K)</f>
        <v>EUR</v>
      </c>
      <c r="N3128" s="33">
        <f>(_xlfn.XLOOKUP(Pipeline_tbl[[#This Row],[Rate_Code_Generalized]],Lookups!A:A,Lookups!B:B))*Pipeline_tbl[[#This Row],[Pipeline_Amount_USD]]</f>
        <v>1800</v>
      </c>
      <c r="O3128" t="str">
        <f>_xlfn.XLOOKUP(Pipeline_tbl[[#This Row],[Rep_ID]],Dim_Reps!A:A,Dim_Reps!B:B)</f>
        <v>Hugo Santos</v>
      </c>
      <c r="P3128" t="str">
        <f>_xlfn.XLOOKUP(Pipeline_tbl[[#This Row],[Rep_ID]],Dim_Reps!A:A,Dim_Reps!C:C)</f>
        <v>SDR / Inside Sales Rep</v>
      </c>
      <c r="Q3128" t="str">
        <f>_xlfn.XLOOKUP(Pipeline_tbl[[#This Row],[Rep_ID]],Dim_Reps!A:A,Dim_Reps!D:D)</f>
        <v>Inside Sales</v>
      </c>
      <c r="R3128" t="str">
        <f>_xlfn.XLOOKUP(Pipeline_tbl[[#This Row],[Rep_ID]],Dim_Reps!A:A,Dim_Reps!E:E)</f>
        <v>EMEA</v>
      </c>
      <c r="S3128" t="str">
        <f>_xlfn.XLOOKUP(Pipeline_tbl[[#This Row],[Created_Date]],Dim_Date!A:A,Dim_Date!H:H)</f>
        <v>Mar 2024</v>
      </c>
      <c r="T3128" t="str">
        <f>IF(Pipeline_tbl[[#This Row],[Closed_Date]]=0,"",(_xlfn.XLOOKUP(Pipeline_tbl[[#This Row],[Closed_Date]],Dim_Date!A:A,Dim_Date!H:H)))</f>
        <v>Mar 2024</v>
      </c>
      <c r="U3128">
        <f>IF(Pipeline_tbl[[#This Row],[Closed_Date]]=0,"",Pipeline_tbl[[#This Row],[Closed_Date]]-Pipeline_tbl[[#This Row],[Created_Date]])</f>
        <v>12</v>
      </c>
    </row>
    <row r="3129" spans="1:21" ht="15" customHeight="1" x14ac:dyDescent="0.2">
      <c r="A3129" t="s">
        <v>3435</v>
      </c>
      <c r="B3129" t="s">
        <v>241</v>
      </c>
      <c r="C3129" t="s">
        <v>53</v>
      </c>
      <c r="D3129" s="49">
        <v>45361</v>
      </c>
      <c r="E3129" s="49">
        <v>45363</v>
      </c>
      <c r="F3129" s="49">
        <v>45366</v>
      </c>
      <c r="G3129" s="49">
        <v>45372</v>
      </c>
      <c r="I3129" s="49">
        <v>45379</v>
      </c>
      <c r="J3129" t="s">
        <v>49</v>
      </c>
      <c r="K3129" s="33">
        <v>1400</v>
      </c>
      <c r="L3129" t="s">
        <v>60</v>
      </c>
      <c r="M3129" t="str">
        <f>_xlfn.XLOOKUP(Pipeline_tbl[[#This Row],[Rep_ID]],Dim_Reps!A:A,Dim_Reps!K:K)</f>
        <v>EUR</v>
      </c>
      <c r="N3129" s="33">
        <f>(_xlfn.XLOOKUP(Pipeline_tbl[[#This Row],[Rate_Code_Generalized]],Lookups!A:A,Lookups!B:B))*Pipeline_tbl[[#This Row],[Pipeline_Amount_USD]]</f>
        <v>1400</v>
      </c>
      <c r="O3129" t="str">
        <f>_xlfn.XLOOKUP(Pipeline_tbl[[#This Row],[Rep_ID]],Dim_Reps!A:A,Dim_Reps!B:B)</f>
        <v>Kenji Weber</v>
      </c>
      <c r="P3129" t="str">
        <f>_xlfn.XLOOKUP(Pipeline_tbl[[#This Row],[Rep_ID]],Dim_Reps!A:A,Dim_Reps!C:C)</f>
        <v>SDR / Inside Sales Rep</v>
      </c>
      <c r="Q3129" t="str">
        <f>_xlfn.XLOOKUP(Pipeline_tbl[[#This Row],[Rep_ID]],Dim_Reps!A:A,Dim_Reps!D:D)</f>
        <v>Inside Sales</v>
      </c>
      <c r="R3129" t="str">
        <f>_xlfn.XLOOKUP(Pipeline_tbl[[#This Row],[Rep_ID]],Dim_Reps!A:A,Dim_Reps!E:E)</f>
        <v>APAC</v>
      </c>
      <c r="S3129" t="str">
        <f>_xlfn.XLOOKUP(Pipeline_tbl[[#This Row],[Created_Date]],Dim_Date!A:A,Dim_Date!H:H)</f>
        <v>Mar 2024</v>
      </c>
      <c r="T3129" t="str">
        <f>IF(Pipeline_tbl[[#This Row],[Closed_Date]]=0,"",(_xlfn.XLOOKUP(Pipeline_tbl[[#This Row],[Closed_Date]],Dim_Date!A:A,Dim_Date!H:H)))</f>
        <v>Mar 2024</v>
      </c>
      <c r="U3129">
        <f>IF(Pipeline_tbl[[#This Row],[Closed_Date]]=0,"",Pipeline_tbl[[#This Row],[Closed_Date]]-Pipeline_tbl[[#This Row],[Created_Date]])</f>
        <v>18</v>
      </c>
    </row>
    <row r="3130" spans="1:21" ht="15" customHeight="1" x14ac:dyDescent="0.2">
      <c r="A3130" t="s">
        <v>3436</v>
      </c>
      <c r="B3130" t="s">
        <v>241</v>
      </c>
      <c r="C3130" t="s">
        <v>56</v>
      </c>
      <c r="D3130" s="49">
        <v>45352</v>
      </c>
      <c r="E3130" s="49">
        <v>45355</v>
      </c>
      <c r="F3130" s="49">
        <v>45360</v>
      </c>
      <c r="I3130" s="49">
        <v>45378</v>
      </c>
      <c r="J3130" t="s">
        <v>49</v>
      </c>
      <c r="K3130" s="33">
        <v>2700</v>
      </c>
      <c r="L3130" t="s">
        <v>63</v>
      </c>
      <c r="M3130" t="str">
        <f>_xlfn.XLOOKUP(Pipeline_tbl[[#This Row],[Rep_ID]],Dim_Reps!A:A,Dim_Reps!K:K)</f>
        <v>EUR</v>
      </c>
      <c r="N3130" s="33">
        <f>(_xlfn.XLOOKUP(Pipeline_tbl[[#This Row],[Rate_Code_Generalized]],Lookups!A:A,Lookups!B:B))*Pipeline_tbl[[#This Row],[Pipeline_Amount_USD]]</f>
        <v>2700</v>
      </c>
      <c r="O3130" t="str">
        <f>_xlfn.XLOOKUP(Pipeline_tbl[[#This Row],[Rep_ID]],Dim_Reps!A:A,Dim_Reps!B:B)</f>
        <v>Kenji Weber</v>
      </c>
      <c r="P3130" t="str">
        <f>_xlfn.XLOOKUP(Pipeline_tbl[[#This Row],[Rep_ID]],Dim_Reps!A:A,Dim_Reps!C:C)</f>
        <v>SDR / Inside Sales Rep</v>
      </c>
      <c r="Q3130" t="str">
        <f>_xlfn.XLOOKUP(Pipeline_tbl[[#This Row],[Rep_ID]],Dim_Reps!A:A,Dim_Reps!D:D)</f>
        <v>Inside Sales</v>
      </c>
      <c r="R3130" t="str">
        <f>_xlfn.XLOOKUP(Pipeline_tbl[[#This Row],[Rep_ID]],Dim_Reps!A:A,Dim_Reps!E:E)</f>
        <v>APAC</v>
      </c>
      <c r="S3130" t="str">
        <f>_xlfn.XLOOKUP(Pipeline_tbl[[#This Row],[Created_Date]],Dim_Date!A:A,Dim_Date!H:H)</f>
        <v>Mar 2024</v>
      </c>
      <c r="T3130" t="str">
        <f>IF(Pipeline_tbl[[#This Row],[Closed_Date]]=0,"",(_xlfn.XLOOKUP(Pipeline_tbl[[#This Row],[Closed_Date]],Dim_Date!A:A,Dim_Date!H:H)))</f>
        <v>Mar 2024</v>
      </c>
      <c r="U3130">
        <f>IF(Pipeline_tbl[[#This Row],[Closed_Date]]=0,"",Pipeline_tbl[[#This Row],[Closed_Date]]-Pipeline_tbl[[#This Row],[Created_Date]])</f>
        <v>26</v>
      </c>
    </row>
    <row r="3131" spans="1:21" ht="15" customHeight="1" x14ac:dyDescent="0.2">
      <c r="A3131" t="s">
        <v>3437</v>
      </c>
      <c r="B3131" t="s">
        <v>241</v>
      </c>
      <c r="C3131" t="s">
        <v>52</v>
      </c>
      <c r="D3131" s="49">
        <v>45363</v>
      </c>
      <c r="E3131" s="49">
        <v>45365</v>
      </c>
      <c r="F3131" s="49">
        <v>45368</v>
      </c>
      <c r="G3131" s="49">
        <v>45374</v>
      </c>
      <c r="H3131" s="49">
        <v>45378</v>
      </c>
      <c r="I3131" s="49">
        <v>45381</v>
      </c>
      <c r="J3131" t="s">
        <v>47</v>
      </c>
      <c r="K3131" s="33">
        <v>2300</v>
      </c>
      <c r="M3131" t="str">
        <f>_xlfn.XLOOKUP(Pipeline_tbl[[#This Row],[Rep_ID]],Dim_Reps!A:A,Dim_Reps!K:K)</f>
        <v>EUR</v>
      </c>
      <c r="N3131" s="33">
        <f>(_xlfn.XLOOKUP(Pipeline_tbl[[#This Row],[Rate_Code_Generalized]],Lookups!A:A,Lookups!B:B))*Pipeline_tbl[[#This Row],[Pipeline_Amount_USD]]</f>
        <v>2300</v>
      </c>
      <c r="O3131" t="str">
        <f>_xlfn.XLOOKUP(Pipeline_tbl[[#This Row],[Rep_ID]],Dim_Reps!A:A,Dim_Reps!B:B)</f>
        <v>Kenji Weber</v>
      </c>
      <c r="P3131" t="str">
        <f>_xlfn.XLOOKUP(Pipeline_tbl[[#This Row],[Rep_ID]],Dim_Reps!A:A,Dim_Reps!C:C)</f>
        <v>SDR / Inside Sales Rep</v>
      </c>
      <c r="Q3131" t="str">
        <f>_xlfn.XLOOKUP(Pipeline_tbl[[#This Row],[Rep_ID]],Dim_Reps!A:A,Dim_Reps!D:D)</f>
        <v>Inside Sales</v>
      </c>
      <c r="R3131" t="str">
        <f>_xlfn.XLOOKUP(Pipeline_tbl[[#This Row],[Rep_ID]],Dim_Reps!A:A,Dim_Reps!E:E)</f>
        <v>APAC</v>
      </c>
      <c r="S3131" t="str">
        <f>_xlfn.XLOOKUP(Pipeline_tbl[[#This Row],[Created_Date]],Dim_Date!A:A,Dim_Date!H:H)</f>
        <v>Mar 2024</v>
      </c>
      <c r="T3131" t="str">
        <f>IF(Pipeline_tbl[[#This Row],[Closed_Date]]=0,"",(_xlfn.XLOOKUP(Pipeline_tbl[[#This Row],[Closed_Date]],Dim_Date!A:A,Dim_Date!H:H)))</f>
        <v>Mar 2024</v>
      </c>
      <c r="U3131">
        <f>IF(Pipeline_tbl[[#This Row],[Closed_Date]]=0,"",Pipeline_tbl[[#This Row],[Closed_Date]]-Pipeline_tbl[[#This Row],[Created_Date]])</f>
        <v>18</v>
      </c>
    </row>
    <row r="3132" spans="1:21" ht="15" customHeight="1" x14ac:dyDescent="0.2">
      <c r="A3132" t="s">
        <v>3438</v>
      </c>
      <c r="B3132" t="s">
        <v>241</v>
      </c>
      <c r="C3132" t="s">
        <v>53</v>
      </c>
      <c r="D3132" s="49">
        <v>45368</v>
      </c>
      <c r="E3132" s="49">
        <v>45369</v>
      </c>
      <c r="F3132" s="49">
        <v>45371</v>
      </c>
      <c r="G3132" s="49">
        <v>45375</v>
      </c>
      <c r="H3132" s="49">
        <v>45377</v>
      </c>
      <c r="I3132" s="49">
        <v>45379</v>
      </c>
      <c r="J3132" t="s">
        <v>47</v>
      </c>
      <c r="K3132" s="33">
        <v>3200</v>
      </c>
      <c r="M3132" t="str">
        <f>_xlfn.XLOOKUP(Pipeline_tbl[[#This Row],[Rep_ID]],Dim_Reps!A:A,Dim_Reps!K:K)</f>
        <v>EUR</v>
      </c>
      <c r="N3132" s="33">
        <f>(_xlfn.XLOOKUP(Pipeline_tbl[[#This Row],[Rate_Code_Generalized]],Lookups!A:A,Lookups!B:B))*Pipeline_tbl[[#This Row],[Pipeline_Amount_USD]]</f>
        <v>3200</v>
      </c>
      <c r="O3132" t="str">
        <f>_xlfn.XLOOKUP(Pipeline_tbl[[#This Row],[Rep_ID]],Dim_Reps!A:A,Dim_Reps!B:B)</f>
        <v>Kenji Weber</v>
      </c>
      <c r="P3132" t="str">
        <f>_xlfn.XLOOKUP(Pipeline_tbl[[#This Row],[Rep_ID]],Dim_Reps!A:A,Dim_Reps!C:C)</f>
        <v>SDR / Inside Sales Rep</v>
      </c>
      <c r="Q3132" t="str">
        <f>_xlfn.XLOOKUP(Pipeline_tbl[[#This Row],[Rep_ID]],Dim_Reps!A:A,Dim_Reps!D:D)</f>
        <v>Inside Sales</v>
      </c>
      <c r="R3132" t="str">
        <f>_xlfn.XLOOKUP(Pipeline_tbl[[#This Row],[Rep_ID]],Dim_Reps!A:A,Dim_Reps!E:E)</f>
        <v>APAC</v>
      </c>
      <c r="S3132" t="str">
        <f>_xlfn.XLOOKUP(Pipeline_tbl[[#This Row],[Created_Date]],Dim_Date!A:A,Dim_Date!H:H)</f>
        <v>Mar 2024</v>
      </c>
      <c r="T3132" t="str">
        <f>IF(Pipeline_tbl[[#This Row],[Closed_Date]]=0,"",(_xlfn.XLOOKUP(Pipeline_tbl[[#This Row],[Closed_Date]],Dim_Date!A:A,Dim_Date!H:H)))</f>
        <v>Mar 2024</v>
      </c>
      <c r="U3132">
        <f>IF(Pipeline_tbl[[#This Row],[Closed_Date]]=0,"",Pipeline_tbl[[#This Row],[Closed_Date]]-Pipeline_tbl[[#This Row],[Created_Date]])</f>
        <v>11</v>
      </c>
    </row>
    <row r="3133" spans="1:21" ht="15" customHeight="1" x14ac:dyDescent="0.2">
      <c r="A3133" t="s">
        <v>3439</v>
      </c>
      <c r="B3133" t="s">
        <v>241</v>
      </c>
      <c r="C3133" t="s">
        <v>55</v>
      </c>
      <c r="D3133" s="49">
        <v>45366</v>
      </c>
      <c r="E3133" s="49">
        <v>45367</v>
      </c>
      <c r="F3133" s="49">
        <v>45370</v>
      </c>
      <c r="G3133" s="49">
        <v>45374</v>
      </c>
      <c r="I3133" s="49">
        <v>45380</v>
      </c>
      <c r="J3133" t="s">
        <v>49</v>
      </c>
      <c r="K3133" s="33">
        <v>2500</v>
      </c>
      <c r="L3133" t="s">
        <v>60</v>
      </c>
      <c r="M3133" t="str">
        <f>_xlfn.XLOOKUP(Pipeline_tbl[[#This Row],[Rep_ID]],Dim_Reps!A:A,Dim_Reps!K:K)</f>
        <v>EUR</v>
      </c>
      <c r="N3133" s="33">
        <f>(_xlfn.XLOOKUP(Pipeline_tbl[[#This Row],[Rate_Code_Generalized]],Lookups!A:A,Lookups!B:B))*Pipeline_tbl[[#This Row],[Pipeline_Amount_USD]]</f>
        <v>2500</v>
      </c>
      <c r="O3133" t="str">
        <f>_xlfn.XLOOKUP(Pipeline_tbl[[#This Row],[Rep_ID]],Dim_Reps!A:A,Dim_Reps!B:B)</f>
        <v>Kenji Weber</v>
      </c>
      <c r="P3133" t="str">
        <f>_xlfn.XLOOKUP(Pipeline_tbl[[#This Row],[Rep_ID]],Dim_Reps!A:A,Dim_Reps!C:C)</f>
        <v>SDR / Inside Sales Rep</v>
      </c>
      <c r="Q3133" t="str">
        <f>_xlfn.XLOOKUP(Pipeline_tbl[[#This Row],[Rep_ID]],Dim_Reps!A:A,Dim_Reps!D:D)</f>
        <v>Inside Sales</v>
      </c>
      <c r="R3133" t="str">
        <f>_xlfn.XLOOKUP(Pipeline_tbl[[#This Row],[Rep_ID]],Dim_Reps!A:A,Dim_Reps!E:E)</f>
        <v>APAC</v>
      </c>
      <c r="S3133" t="str">
        <f>_xlfn.XLOOKUP(Pipeline_tbl[[#This Row],[Created_Date]],Dim_Date!A:A,Dim_Date!H:H)</f>
        <v>Mar 2024</v>
      </c>
      <c r="T3133" t="str">
        <f>IF(Pipeline_tbl[[#This Row],[Closed_Date]]=0,"",(_xlfn.XLOOKUP(Pipeline_tbl[[#This Row],[Closed_Date]],Dim_Date!A:A,Dim_Date!H:H)))</f>
        <v>Mar 2024</v>
      </c>
      <c r="U3133">
        <f>IF(Pipeline_tbl[[#This Row],[Closed_Date]]=0,"",Pipeline_tbl[[#This Row],[Closed_Date]]-Pipeline_tbl[[#This Row],[Created_Date]])</f>
        <v>14</v>
      </c>
    </row>
    <row r="3134" spans="1:21" ht="15" customHeight="1" x14ac:dyDescent="0.2">
      <c r="A3134" t="s">
        <v>3440</v>
      </c>
      <c r="B3134" t="s">
        <v>241</v>
      </c>
      <c r="C3134" t="s">
        <v>52</v>
      </c>
      <c r="D3134" s="49">
        <v>45353</v>
      </c>
      <c r="E3134" s="49">
        <v>45355</v>
      </c>
      <c r="F3134" s="49">
        <v>45359</v>
      </c>
      <c r="I3134" s="49">
        <v>45372</v>
      </c>
      <c r="J3134" t="s">
        <v>49</v>
      </c>
      <c r="K3134" s="33">
        <v>3700</v>
      </c>
      <c r="L3134" t="s">
        <v>61</v>
      </c>
      <c r="M3134" t="str">
        <f>_xlfn.XLOOKUP(Pipeline_tbl[[#This Row],[Rep_ID]],Dim_Reps!A:A,Dim_Reps!K:K)</f>
        <v>EUR</v>
      </c>
      <c r="N3134" s="33">
        <f>(_xlfn.XLOOKUP(Pipeline_tbl[[#This Row],[Rate_Code_Generalized]],Lookups!A:A,Lookups!B:B))*Pipeline_tbl[[#This Row],[Pipeline_Amount_USD]]</f>
        <v>3700</v>
      </c>
      <c r="O3134" t="str">
        <f>_xlfn.XLOOKUP(Pipeline_tbl[[#This Row],[Rep_ID]],Dim_Reps!A:A,Dim_Reps!B:B)</f>
        <v>Kenji Weber</v>
      </c>
      <c r="P3134" t="str">
        <f>_xlfn.XLOOKUP(Pipeline_tbl[[#This Row],[Rep_ID]],Dim_Reps!A:A,Dim_Reps!C:C)</f>
        <v>SDR / Inside Sales Rep</v>
      </c>
      <c r="Q3134" t="str">
        <f>_xlfn.XLOOKUP(Pipeline_tbl[[#This Row],[Rep_ID]],Dim_Reps!A:A,Dim_Reps!D:D)</f>
        <v>Inside Sales</v>
      </c>
      <c r="R3134" t="str">
        <f>_xlfn.XLOOKUP(Pipeline_tbl[[#This Row],[Rep_ID]],Dim_Reps!A:A,Dim_Reps!E:E)</f>
        <v>APAC</v>
      </c>
      <c r="S3134" t="str">
        <f>_xlfn.XLOOKUP(Pipeline_tbl[[#This Row],[Created_Date]],Dim_Date!A:A,Dim_Date!H:H)</f>
        <v>Mar 2024</v>
      </c>
      <c r="T3134" t="str">
        <f>IF(Pipeline_tbl[[#This Row],[Closed_Date]]=0,"",(_xlfn.XLOOKUP(Pipeline_tbl[[#This Row],[Closed_Date]],Dim_Date!A:A,Dim_Date!H:H)))</f>
        <v>Mar 2024</v>
      </c>
      <c r="U3134">
        <f>IF(Pipeline_tbl[[#This Row],[Closed_Date]]=0,"",Pipeline_tbl[[#This Row],[Closed_Date]]-Pipeline_tbl[[#This Row],[Created_Date]])</f>
        <v>19</v>
      </c>
    </row>
    <row r="3135" spans="1:21" ht="15" customHeight="1" x14ac:dyDescent="0.2">
      <c r="A3135" t="s">
        <v>3441</v>
      </c>
      <c r="B3135" t="s">
        <v>241</v>
      </c>
      <c r="C3135" t="s">
        <v>53</v>
      </c>
      <c r="D3135" s="49">
        <v>45361</v>
      </c>
      <c r="E3135" s="49">
        <v>45363</v>
      </c>
      <c r="F3135" s="49">
        <v>45367</v>
      </c>
      <c r="G3135" s="49">
        <v>45372</v>
      </c>
      <c r="I3135" s="49">
        <v>45380</v>
      </c>
      <c r="J3135" t="s">
        <v>49</v>
      </c>
      <c r="K3135" s="33">
        <v>2800</v>
      </c>
      <c r="L3135" t="s">
        <v>60</v>
      </c>
      <c r="M3135" t="str">
        <f>_xlfn.XLOOKUP(Pipeline_tbl[[#This Row],[Rep_ID]],Dim_Reps!A:A,Dim_Reps!K:K)</f>
        <v>EUR</v>
      </c>
      <c r="N3135" s="33">
        <f>(_xlfn.XLOOKUP(Pipeline_tbl[[#This Row],[Rate_Code_Generalized]],Lookups!A:A,Lookups!B:B))*Pipeline_tbl[[#This Row],[Pipeline_Amount_USD]]</f>
        <v>2800</v>
      </c>
      <c r="O3135" t="str">
        <f>_xlfn.XLOOKUP(Pipeline_tbl[[#This Row],[Rep_ID]],Dim_Reps!A:A,Dim_Reps!B:B)</f>
        <v>Kenji Weber</v>
      </c>
      <c r="P3135" t="str">
        <f>_xlfn.XLOOKUP(Pipeline_tbl[[#This Row],[Rep_ID]],Dim_Reps!A:A,Dim_Reps!C:C)</f>
        <v>SDR / Inside Sales Rep</v>
      </c>
      <c r="Q3135" t="str">
        <f>_xlfn.XLOOKUP(Pipeline_tbl[[#This Row],[Rep_ID]],Dim_Reps!A:A,Dim_Reps!D:D)</f>
        <v>Inside Sales</v>
      </c>
      <c r="R3135" t="str">
        <f>_xlfn.XLOOKUP(Pipeline_tbl[[#This Row],[Rep_ID]],Dim_Reps!A:A,Dim_Reps!E:E)</f>
        <v>APAC</v>
      </c>
      <c r="S3135" t="str">
        <f>_xlfn.XLOOKUP(Pipeline_tbl[[#This Row],[Created_Date]],Dim_Date!A:A,Dim_Date!H:H)</f>
        <v>Mar 2024</v>
      </c>
      <c r="T3135" t="str">
        <f>IF(Pipeline_tbl[[#This Row],[Closed_Date]]=0,"",(_xlfn.XLOOKUP(Pipeline_tbl[[#This Row],[Closed_Date]],Dim_Date!A:A,Dim_Date!H:H)))</f>
        <v>Mar 2024</v>
      </c>
      <c r="U3135">
        <f>IF(Pipeline_tbl[[#This Row],[Closed_Date]]=0,"",Pipeline_tbl[[#This Row],[Closed_Date]]-Pipeline_tbl[[#This Row],[Created_Date]])</f>
        <v>19</v>
      </c>
    </row>
    <row r="3136" spans="1:21" ht="15" customHeight="1" x14ac:dyDescent="0.2">
      <c r="A3136" t="s">
        <v>3442</v>
      </c>
      <c r="B3136" t="s">
        <v>241</v>
      </c>
      <c r="C3136" t="s">
        <v>56</v>
      </c>
      <c r="D3136" s="49">
        <v>45372</v>
      </c>
      <c r="E3136" s="49">
        <v>45373</v>
      </c>
      <c r="F3136" s="49">
        <v>45375</v>
      </c>
      <c r="I3136" s="49">
        <v>45381</v>
      </c>
      <c r="J3136" t="s">
        <v>49</v>
      </c>
      <c r="K3136" s="33">
        <v>1500</v>
      </c>
      <c r="L3136" t="s">
        <v>60</v>
      </c>
      <c r="M3136" t="str">
        <f>_xlfn.XLOOKUP(Pipeline_tbl[[#This Row],[Rep_ID]],Dim_Reps!A:A,Dim_Reps!K:K)</f>
        <v>EUR</v>
      </c>
      <c r="N3136" s="33">
        <f>(_xlfn.XLOOKUP(Pipeline_tbl[[#This Row],[Rate_Code_Generalized]],Lookups!A:A,Lookups!B:B))*Pipeline_tbl[[#This Row],[Pipeline_Amount_USD]]</f>
        <v>1500</v>
      </c>
      <c r="O3136" t="str">
        <f>_xlfn.XLOOKUP(Pipeline_tbl[[#This Row],[Rep_ID]],Dim_Reps!A:A,Dim_Reps!B:B)</f>
        <v>Kenji Weber</v>
      </c>
      <c r="P3136" t="str">
        <f>_xlfn.XLOOKUP(Pipeline_tbl[[#This Row],[Rep_ID]],Dim_Reps!A:A,Dim_Reps!C:C)</f>
        <v>SDR / Inside Sales Rep</v>
      </c>
      <c r="Q3136" t="str">
        <f>_xlfn.XLOOKUP(Pipeline_tbl[[#This Row],[Rep_ID]],Dim_Reps!A:A,Dim_Reps!D:D)</f>
        <v>Inside Sales</v>
      </c>
      <c r="R3136" t="str">
        <f>_xlfn.XLOOKUP(Pipeline_tbl[[#This Row],[Rep_ID]],Dim_Reps!A:A,Dim_Reps!E:E)</f>
        <v>APAC</v>
      </c>
      <c r="S3136" t="str">
        <f>_xlfn.XLOOKUP(Pipeline_tbl[[#This Row],[Created_Date]],Dim_Date!A:A,Dim_Date!H:H)</f>
        <v>Mar 2024</v>
      </c>
      <c r="T3136" t="str">
        <f>IF(Pipeline_tbl[[#This Row],[Closed_Date]]=0,"",(_xlfn.XLOOKUP(Pipeline_tbl[[#This Row],[Closed_Date]],Dim_Date!A:A,Dim_Date!H:H)))</f>
        <v>Mar 2024</v>
      </c>
      <c r="U3136">
        <f>IF(Pipeline_tbl[[#This Row],[Closed_Date]]=0,"",Pipeline_tbl[[#This Row],[Closed_Date]]-Pipeline_tbl[[#This Row],[Created_Date]])</f>
        <v>9</v>
      </c>
    </row>
    <row r="3137" spans="1:21" ht="15" customHeight="1" x14ac:dyDescent="0.2">
      <c r="A3137" t="s">
        <v>3443</v>
      </c>
      <c r="B3137" t="s">
        <v>241</v>
      </c>
      <c r="C3137" t="s">
        <v>52</v>
      </c>
      <c r="D3137" s="49">
        <v>45358</v>
      </c>
      <c r="E3137" s="49">
        <v>45360</v>
      </c>
      <c r="F3137" s="49">
        <v>45363</v>
      </c>
      <c r="G3137" s="49">
        <v>45368</v>
      </c>
      <c r="H3137" s="49">
        <v>45372</v>
      </c>
      <c r="I3137" s="49">
        <v>45375</v>
      </c>
      <c r="J3137" t="s">
        <v>47</v>
      </c>
      <c r="K3137" s="33">
        <v>5900</v>
      </c>
      <c r="M3137" t="str">
        <f>_xlfn.XLOOKUP(Pipeline_tbl[[#This Row],[Rep_ID]],Dim_Reps!A:A,Dim_Reps!K:K)</f>
        <v>EUR</v>
      </c>
      <c r="N3137" s="33">
        <f>(_xlfn.XLOOKUP(Pipeline_tbl[[#This Row],[Rate_Code_Generalized]],Lookups!A:A,Lookups!B:B))*Pipeline_tbl[[#This Row],[Pipeline_Amount_USD]]</f>
        <v>5900</v>
      </c>
      <c r="O3137" t="str">
        <f>_xlfn.XLOOKUP(Pipeline_tbl[[#This Row],[Rep_ID]],Dim_Reps!A:A,Dim_Reps!B:B)</f>
        <v>Kenji Weber</v>
      </c>
      <c r="P3137" t="str">
        <f>_xlfn.XLOOKUP(Pipeline_tbl[[#This Row],[Rep_ID]],Dim_Reps!A:A,Dim_Reps!C:C)</f>
        <v>SDR / Inside Sales Rep</v>
      </c>
      <c r="Q3137" t="str">
        <f>_xlfn.XLOOKUP(Pipeline_tbl[[#This Row],[Rep_ID]],Dim_Reps!A:A,Dim_Reps!D:D)</f>
        <v>Inside Sales</v>
      </c>
      <c r="R3137" t="str">
        <f>_xlfn.XLOOKUP(Pipeline_tbl[[#This Row],[Rep_ID]],Dim_Reps!A:A,Dim_Reps!E:E)</f>
        <v>APAC</v>
      </c>
      <c r="S3137" t="str">
        <f>_xlfn.XLOOKUP(Pipeline_tbl[[#This Row],[Created_Date]],Dim_Date!A:A,Dim_Date!H:H)</f>
        <v>Mar 2024</v>
      </c>
      <c r="T3137" t="str">
        <f>IF(Pipeline_tbl[[#This Row],[Closed_Date]]=0,"",(_xlfn.XLOOKUP(Pipeline_tbl[[#This Row],[Closed_Date]],Dim_Date!A:A,Dim_Date!H:H)))</f>
        <v>Mar 2024</v>
      </c>
      <c r="U3137">
        <f>IF(Pipeline_tbl[[#This Row],[Closed_Date]]=0,"",Pipeline_tbl[[#This Row],[Closed_Date]]-Pipeline_tbl[[#This Row],[Created_Date]])</f>
        <v>17</v>
      </c>
    </row>
    <row r="3138" spans="1:21" ht="15" customHeight="1" x14ac:dyDescent="0.2">
      <c r="A3138" t="s">
        <v>3444</v>
      </c>
      <c r="B3138" t="s">
        <v>241</v>
      </c>
      <c r="C3138" t="s">
        <v>53</v>
      </c>
      <c r="D3138" s="49">
        <v>45362</v>
      </c>
      <c r="E3138" s="49">
        <v>45364</v>
      </c>
      <c r="F3138" s="49">
        <v>45367</v>
      </c>
      <c r="G3138" s="49">
        <v>45372</v>
      </c>
      <c r="I3138" s="49">
        <v>45379</v>
      </c>
      <c r="J3138" t="s">
        <v>49</v>
      </c>
      <c r="K3138" s="33">
        <v>3400</v>
      </c>
      <c r="L3138" t="s">
        <v>60</v>
      </c>
      <c r="M3138" t="str">
        <f>_xlfn.XLOOKUP(Pipeline_tbl[[#This Row],[Rep_ID]],Dim_Reps!A:A,Dim_Reps!K:K)</f>
        <v>EUR</v>
      </c>
      <c r="N3138" s="33">
        <f>(_xlfn.XLOOKUP(Pipeline_tbl[[#This Row],[Rate_Code_Generalized]],Lookups!A:A,Lookups!B:B))*Pipeline_tbl[[#This Row],[Pipeline_Amount_USD]]</f>
        <v>3400</v>
      </c>
      <c r="O3138" t="str">
        <f>_xlfn.XLOOKUP(Pipeline_tbl[[#This Row],[Rep_ID]],Dim_Reps!A:A,Dim_Reps!B:B)</f>
        <v>Kenji Weber</v>
      </c>
      <c r="P3138" t="str">
        <f>_xlfn.XLOOKUP(Pipeline_tbl[[#This Row],[Rep_ID]],Dim_Reps!A:A,Dim_Reps!C:C)</f>
        <v>SDR / Inside Sales Rep</v>
      </c>
      <c r="Q3138" t="str">
        <f>_xlfn.XLOOKUP(Pipeline_tbl[[#This Row],[Rep_ID]],Dim_Reps!A:A,Dim_Reps!D:D)</f>
        <v>Inside Sales</v>
      </c>
      <c r="R3138" t="str">
        <f>_xlfn.XLOOKUP(Pipeline_tbl[[#This Row],[Rep_ID]],Dim_Reps!A:A,Dim_Reps!E:E)</f>
        <v>APAC</v>
      </c>
      <c r="S3138" t="str">
        <f>_xlfn.XLOOKUP(Pipeline_tbl[[#This Row],[Created_Date]],Dim_Date!A:A,Dim_Date!H:H)</f>
        <v>Mar 2024</v>
      </c>
      <c r="T3138" t="str">
        <f>IF(Pipeline_tbl[[#This Row],[Closed_Date]]=0,"",(_xlfn.XLOOKUP(Pipeline_tbl[[#This Row],[Closed_Date]],Dim_Date!A:A,Dim_Date!H:H)))</f>
        <v>Mar 2024</v>
      </c>
      <c r="U3138">
        <f>IF(Pipeline_tbl[[#This Row],[Closed_Date]]=0,"",Pipeline_tbl[[#This Row],[Closed_Date]]-Pipeline_tbl[[#This Row],[Created_Date]])</f>
        <v>17</v>
      </c>
    </row>
    <row r="3139" spans="1:21" ht="15" customHeight="1" x14ac:dyDescent="0.2">
      <c r="A3139" t="s">
        <v>3445</v>
      </c>
      <c r="B3139" t="s">
        <v>241</v>
      </c>
      <c r="C3139" t="s">
        <v>52</v>
      </c>
      <c r="D3139" s="49">
        <v>45354</v>
      </c>
      <c r="E3139" s="49">
        <v>45356</v>
      </c>
      <c r="F3139" s="49">
        <v>45360</v>
      </c>
      <c r="G3139" s="49">
        <v>45366</v>
      </c>
      <c r="H3139" s="49">
        <v>45371</v>
      </c>
      <c r="I3139" s="49">
        <v>45374</v>
      </c>
      <c r="J3139" t="s">
        <v>47</v>
      </c>
      <c r="K3139" s="33">
        <v>5100</v>
      </c>
      <c r="M3139" t="str">
        <f>_xlfn.XLOOKUP(Pipeline_tbl[[#This Row],[Rep_ID]],Dim_Reps!A:A,Dim_Reps!K:K)</f>
        <v>EUR</v>
      </c>
      <c r="N3139" s="33">
        <f>(_xlfn.XLOOKUP(Pipeline_tbl[[#This Row],[Rate_Code_Generalized]],Lookups!A:A,Lookups!B:B))*Pipeline_tbl[[#This Row],[Pipeline_Amount_USD]]</f>
        <v>5100</v>
      </c>
      <c r="O3139" t="str">
        <f>_xlfn.XLOOKUP(Pipeline_tbl[[#This Row],[Rep_ID]],Dim_Reps!A:A,Dim_Reps!B:B)</f>
        <v>Kenji Weber</v>
      </c>
      <c r="P3139" t="str">
        <f>_xlfn.XLOOKUP(Pipeline_tbl[[#This Row],[Rep_ID]],Dim_Reps!A:A,Dim_Reps!C:C)</f>
        <v>SDR / Inside Sales Rep</v>
      </c>
      <c r="Q3139" t="str">
        <f>_xlfn.XLOOKUP(Pipeline_tbl[[#This Row],[Rep_ID]],Dim_Reps!A:A,Dim_Reps!D:D)</f>
        <v>Inside Sales</v>
      </c>
      <c r="R3139" t="str">
        <f>_xlfn.XLOOKUP(Pipeline_tbl[[#This Row],[Rep_ID]],Dim_Reps!A:A,Dim_Reps!E:E)</f>
        <v>APAC</v>
      </c>
      <c r="S3139" t="str">
        <f>_xlfn.XLOOKUP(Pipeline_tbl[[#This Row],[Created_Date]],Dim_Date!A:A,Dim_Date!H:H)</f>
        <v>Mar 2024</v>
      </c>
      <c r="T3139" t="str">
        <f>IF(Pipeline_tbl[[#This Row],[Closed_Date]]=0,"",(_xlfn.XLOOKUP(Pipeline_tbl[[#This Row],[Closed_Date]],Dim_Date!A:A,Dim_Date!H:H)))</f>
        <v>Mar 2024</v>
      </c>
      <c r="U3139">
        <f>IF(Pipeline_tbl[[#This Row],[Closed_Date]]=0,"",Pipeline_tbl[[#This Row],[Closed_Date]]-Pipeline_tbl[[#This Row],[Created_Date]])</f>
        <v>20</v>
      </c>
    </row>
    <row r="3140" spans="1:21" ht="15" customHeight="1" x14ac:dyDescent="0.2">
      <c r="A3140" t="s">
        <v>3446</v>
      </c>
      <c r="B3140" t="s">
        <v>241</v>
      </c>
      <c r="C3140" t="s">
        <v>56</v>
      </c>
      <c r="D3140" s="49">
        <v>45355</v>
      </c>
      <c r="E3140" s="49">
        <v>45356</v>
      </c>
      <c r="I3140" s="49">
        <v>45364</v>
      </c>
      <c r="J3140" t="s">
        <v>49</v>
      </c>
      <c r="K3140" s="33">
        <v>4600</v>
      </c>
      <c r="L3140" t="s">
        <v>62</v>
      </c>
      <c r="M3140" t="str">
        <f>_xlfn.XLOOKUP(Pipeline_tbl[[#This Row],[Rep_ID]],Dim_Reps!A:A,Dim_Reps!K:K)</f>
        <v>EUR</v>
      </c>
      <c r="N3140" s="33">
        <f>(_xlfn.XLOOKUP(Pipeline_tbl[[#This Row],[Rate_Code_Generalized]],Lookups!A:A,Lookups!B:B))*Pipeline_tbl[[#This Row],[Pipeline_Amount_USD]]</f>
        <v>4600</v>
      </c>
      <c r="O3140" t="str">
        <f>_xlfn.XLOOKUP(Pipeline_tbl[[#This Row],[Rep_ID]],Dim_Reps!A:A,Dim_Reps!B:B)</f>
        <v>Kenji Weber</v>
      </c>
      <c r="P3140" t="str">
        <f>_xlfn.XLOOKUP(Pipeline_tbl[[#This Row],[Rep_ID]],Dim_Reps!A:A,Dim_Reps!C:C)</f>
        <v>SDR / Inside Sales Rep</v>
      </c>
      <c r="Q3140" t="str">
        <f>_xlfn.XLOOKUP(Pipeline_tbl[[#This Row],[Rep_ID]],Dim_Reps!A:A,Dim_Reps!D:D)</f>
        <v>Inside Sales</v>
      </c>
      <c r="R3140" t="str">
        <f>_xlfn.XLOOKUP(Pipeline_tbl[[#This Row],[Rep_ID]],Dim_Reps!A:A,Dim_Reps!E:E)</f>
        <v>APAC</v>
      </c>
      <c r="S3140" t="str">
        <f>_xlfn.XLOOKUP(Pipeline_tbl[[#This Row],[Created_Date]],Dim_Date!A:A,Dim_Date!H:H)</f>
        <v>Mar 2024</v>
      </c>
      <c r="T3140" t="str">
        <f>IF(Pipeline_tbl[[#This Row],[Closed_Date]]=0,"",(_xlfn.XLOOKUP(Pipeline_tbl[[#This Row],[Closed_Date]],Dim_Date!A:A,Dim_Date!H:H)))</f>
        <v>Mar 2024</v>
      </c>
      <c r="U3140">
        <f>IF(Pipeline_tbl[[#This Row],[Closed_Date]]=0,"",Pipeline_tbl[[#This Row],[Closed_Date]]-Pipeline_tbl[[#This Row],[Created_Date]])</f>
        <v>9</v>
      </c>
    </row>
    <row r="3141" spans="1:21" ht="15" customHeight="1" x14ac:dyDescent="0.2">
      <c r="A3141" t="s">
        <v>3447</v>
      </c>
      <c r="B3141" t="s">
        <v>243</v>
      </c>
      <c r="C3141" t="s">
        <v>52</v>
      </c>
      <c r="D3141" s="49">
        <v>45382</v>
      </c>
      <c r="E3141" s="49">
        <v>45386</v>
      </c>
      <c r="F3141" s="49">
        <v>45395</v>
      </c>
      <c r="I3141" s="49">
        <v>45426</v>
      </c>
      <c r="J3141" t="s">
        <v>49</v>
      </c>
      <c r="K3141" s="33">
        <v>8700</v>
      </c>
      <c r="L3141" t="s">
        <v>62</v>
      </c>
      <c r="M3141" t="str">
        <f>_xlfn.XLOOKUP(Pipeline_tbl[[#This Row],[Rep_ID]],Dim_Reps!A:A,Dim_Reps!K:K)</f>
        <v>MXN</v>
      </c>
      <c r="N3141" s="33">
        <f>(_xlfn.XLOOKUP(Pipeline_tbl[[#This Row],[Rate_Code_Generalized]],Lookups!A:A,Lookups!B:B))*Pipeline_tbl[[#This Row],[Pipeline_Amount_USD]]</f>
        <v>171674.49000000002</v>
      </c>
      <c r="O3141" t="str">
        <f>_xlfn.XLOOKUP(Pipeline_tbl[[#This Row],[Rep_ID]],Dim_Reps!A:A,Dim_Reps!B:B)</f>
        <v>Jonas Sato</v>
      </c>
      <c r="P3141" t="str">
        <f>_xlfn.XLOOKUP(Pipeline_tbl[[#This Row],[Rep_ID]],Dim_Reps!A:A,Dim_Reps!C:C)</f>
        <v>Mid-Market AE</v>
      </c>
      <c r="Q3141" t="str">
        <f>_xlfn.XLOOKUP(Pipeline_tbl[[#This Row],[Rep_ID]],Dim_Reps!A:A,Dim_Reps!D:D)</f>
        <v>Mid-Market</v>
      </c>
      <c r="R3141" t="str">
        <f>_xlfn.XLOOKUP(Pipeline_tbl[[#This Row],[Rep_ID]],Dim_Reps!A:A,Dim_Reps!E:E)</f>
        <v>LATAM</v>
      </c>
      <c r="S3141" t="str">
        <f>_xlfn.XLOOKUP(Pipeline_tbl[[#This Row],[Created_Date]],Dim_Date!A:A,Dim_Date!H:H)</f>
        <v>Mar 2024</v>
      </c>
      <c r="T3141" t="str">
        <f>IF(Pipeline_tbl[[#This Row],[Closed_Date]]=0,"",(_xlfn.XLOOKUP(Pipeline_tbl[[#This Row],[Closed_Date]],Dim_Date!A:A,Dim_Date!H:H)))</f>
        <v>May 2024</v>
      </c>
      <c r="U3141">
        <f>IF(Pipeline_tbl[[#This Row],[Closed_Date]]=0,"",Pipeline_tbl[[#This Row],[Closed_Date]]-Pipeline_tbl[[#This Row],[Created_Date]])</f>
        <v>44</v>
      </c>
    </row>
    <row r="3142" spans="1:21" ht="15" customHeight="1" x14ac:dyDescent="0.2">
      <c r="A3142" t="s">
        <v>3448</v>
      </c>
      <c r="B3142" t="s">
        <v>278</v>
      </c>
      <c r="C3142" t="s">
        <v>52</v>
      </c>
      <c r="D3142" s="49">
        <v>45360</v>
      </c>
      <c r="E3142" s="49">
        <v>45367</v>
      </c>
      <c r="F3142" s="49">
        <v>45381</v>
      </c>
      <c r="G3142" s="49">
        <v>45403</v>
      </c>
      <c r="H3142" s="49">
        <v>45420</v>
      </c>
      <c r="I3142" s="49">
        <v>45431</v>
      </c>
      <c r="J3142" t="s">
        <v>49</v>
      </c>
      <c r="K3142" s="33">
        <v>54200</v>
      </c>
      <c r="L3142" t="s">
        <v>60</v>
      </c>
      <c r="M3142" t="str">
        <f>_xlfn.XLOOKUP(Pipeline_tbl[[#This Row],[Rep_ID]],Dim_Reps!A:A,Dim_Reps!K:K)</f>
        <v>EUR</v>
      </c>
      <c r="N3142" s="33">
        <f>(_xlfn.XLOOKUP(Pipeline_tbl[[#This Row],[Rate_Code_Generalized]],Lookups!A:A,Lookups!B:B))*Pipeline_tbl[[#This Row],[Pipeline_Amount_USD]]</f>
        <v>54200</v>
      </c>
      <c r="O3142" t="str">
        <f>_xlfn.XLOOKUP(Pipeline_tbl[[#This Row],[Rep_ID]],Dim_Reps!A:A,Dim_Reps!B:B)</f>
        <v>Sara Andersson</v>
      </c>
      <c r="P3142" t="str">
        <f>_xlfn.XLOOKUP(Pipeline_tbl[[#This Row],[Rep_ID]],Dim_Reps!A:A,Dim_Reps!C:C)</f>
        <v>Senior Enterprise AE</v>
      </c>
      <c r="Q3142" t="str">
        <f>_xlfn.XLOOKUP(Pipeline_tbl[[#This Row],[Rep_ID]],Dim_Reps!A:A,Dim_Reps!D:D)</f>
        <v>Strategic</v>
      </c>
      <c r="R3142" t="str">
        <f>_xlfn.XLOOKUP(Pipeline_tbl[[#This Row],[Rep_ID]],Dim_Reps!A:A,Dim_Reps!E:E)</f>
        <v>APAC</v>
      </c>
      <c r="S3142" t="str">
        <f>_xlfn.XLOOKUP(Pipeline_tbl[[#This Row],[Created_Date]],Dim_Date!A:A,Dim_Date!H:H)</f>
        <v>Mar 2024</v>
      </c>
      <c r="T3142" t="str">
        <f>IF(Pipeline_tbl[[#This Row],[Closed_Date]]=0,"",(_xlfn.XLOOKUP(Pipeline_tbl[[#This Row],[Closed_Date]],Dim_Date!A:A,Dim_Date!H:H)))</f>
        <v>May 2024</v>
      </c>
      <c r="U3142">
        <f>IF(Pipeline_tbl[[#This Row],[Closed_Date]]=0,"",Pipeline_tbl[[#This Row],[Closed_Date]]-Pipeline_tbl[[#This Row],[Created_Date]])</f>
        <v>71</v>
      </c>
    </row>
    <row r="3143" spans="1:21" ht="15" customHeight="1" x14ac:dyDescent="0.2">
      <c r="A3143" t="s">
        <v>3449</v>
      </c>
      <c r="B3143" t="s">
        <v>188</v>
      </c>
      <c r="C3143" t="s">
        <v>53</v>
      </c>
      <c r="D3143" s="49">
        <v>45381</v>
      </c>
      <c r="E3143" s="49">
        <v>45387</v>
      </c>
      <c r="F3143" s="49">
        <v>45399</v>
      </c>
      <c r="G3143" s="49">
        <v>45417</v>
      </c>
      <c r="I3143" s="49">
        <v>45441</v>
      </c>
      <c r="J3143" t="s">
        <v>49</v>
      </c>
      <c r="K3143" s="33">
        <v>27300</v>
      </c>
      <c r="L3143" t="s">
        <v>60</v>
      </c>
      <c r="M3143" t="str">
        <f>_xlfn.XLOOKUP(Pipeline_tbl[[#This Row],[Rep_ID]],Dim_Reps!A:A,Dim_Reps!K:K)</f>
        <v>EUR</v>
      </c>
      <c r="N3143" s="33">
        <f>(_xlfn.XLOOKUP(Pipeline_tbl[[#This Row],[Rate_Code_Generalized]],Lookups!A:A,Lookups!B:B))*Pipeline_tbl[[#This Row],[Pipeline_Amount_USD]]</f>
        <v>27300</v>
      </c>
      <c r="O3143" t="str">
        <f>_xlfn.XLOOKUP(Pipeline_tbl[[#This Row],[Rep_ID]],Dim_Reps!A:A,Dim_Reps!B:B)</f>
        <v>Jamie Santos</v>
      </c>
      <c r="P3143" t="str">
        <f>_xlfn.XLOOKUP(Pipeline_tbl[[#This Row],[Rep_ID]],Dim_Reps!A:A,Dim_Reps!C:C)</f>
        <v>Enterprise AE</v>
      </c>
      <c r="Q3143" t="str">
        <f>_xlfn.XLOOKUP(Pipeline_tbl[[#This Row],[Rep_ID]],Dim_Reps!A:A,Dim_Reps!D:D)</f>
        <v>Enterprise</v>
      </c>
      <c r="R3143" t="str">
        <f>_xlfn.XLOOKUP(Pipeline_tbl[[#This Row],[Rep_ID]],Dim_Reps!A:A,Dim_Reps!E:E)</f>
        <v>APAC</v>
      </c>
      <c r="S3143" t="str">
        <f>_xlfn.XLOOKUP(Pipeline_tbl[[#This Row],[Created_Date]],Dim_Date!A:A,Dim_Date!H:H)</f>
        <v>Mar 2024</v>
      </c>
      <c r="T3143" t="str">
        <f>IF(Pipeline_tbl[[#This Row],[Closed_Date]]=0,"",(_xlfn.XLOOKUP(Pipeline_tbl[[#This Row],[Closed_Date]],Dim_Date!A:A,Dim_Date!H:H)))</f>
        <v>May 2024</v>
      </c>
      <c r="U3143">
        <f>IF(Pipeline_tbl[[#This Row],[Closed_Date]]=0,"",Pipeline_tbl[[#This Row],[Closed_Date]]-Pipeline_tbl[[#This Row],[Created_Date]])</f>
        <v>60</v>
      </c>
    </row>
    <row r="3144" spans="1:21" ht="15" customHeight="1" x14ac:dyDescent="0.2">
      <c r="A3144" t="s">
        <v>3450</v>
      </c>
      <c r="B3144" t="s">
        <v>188</v>
      </c>
      <c r="C3144" t="s">
        <v>52</v>
      </c>
      <c r="D3144" s="49">
        <v>45380</v>
      </c>
      <c r="E3144" s="49">
        <v>45385</v>
      </c>
      <c r="F3144" s="49">
        <v>45394</v>
      </c>
      <c r="G3144" s="49">
        <v>45408</v>
      </c>
      <c r="H3144" s="49">
        <v>45420</v>
      </c>
      <c r="I3144" s="49">
        <v>45427</v>
      </c>
      <c r="J3144" t="s">
        <v>47</v>
      </c>
      <c r="K3144" s="33">
        <v>23800</v>
      </c>
      <c r="M3144" t="str">
        <f>_xlfn.XLOOKUP(Pipeline_tbl[[#This Row],[Rep_ID]],Dim_Reps!A:A,Dim_Reps!K:K)</f>
        <v>EUR</v>
      </c>
      <c r="N3144" s="33">
        <f>(_xlfn.XLOOKUP(Pipeline_tbl[[#This Row],[Rate_Code_Generalized]],Lookups!A:A,Lookups!B:B))*Pipeline_tbl[[#This Row],[Pipeline_Amount_USD]]</f>
        <v>23800</v>
      </c>
      <c r="O3144" t="str">
        <f>_xlfn.XLOOKUP(Pipeline_tbl[[#This Row],[Rep_ID]],Dim_Reps!A:A,Dim_Reps!B:B)</f>
        <v>Jamie Santos</v>
      </c>
      <c r="P3144" t="str">
        <f>_xlfn.XLOOKUP(Pipeline_tbl[[#This Row],[Rep_ID]],Dim_Reps!A:A,Dim_Reps!C:C)</f>
        <v>Enterprise AE</v>
      </c>
      <c r="Q3144" t="str">
        <f>_xlfn.XLOOKUP(Pipeline_tbl[[#This Row],[Rep_ID]],Dim_Reps!A:A,Dim_Reps!D:D)</f>
        <v>Enterprise</v>
      </c>
      <c r="R3144" t="str">
        <f>_xlfn.XLOOKUP(Pipeline_tbl[[#This Row],[Rep_ID]],Dim_Reps!A:A,Dim_Reps!E:E)</f>
        <v>APAC</v>
      </c>
      <c r="S3144" t="str">
        <f>_xlfn.XLOOKUP(Pipeline_tbl[[#This Row],[Created_Date]],Dim_Date!A:A,Dim_Date!H:H)</f>
        <v>Mar 2024</v>
      </c>
      <c r="T3144" t="str">
        <f>IF(Pipeline_tbl[[#This Row],[Closed_Date]]=0,"",(_xlfn.XLOOKUP(Pipeline_tbl[[#This Row],[Closed_Date]],Dim_Date!A:A,Dim_Date!H:H)))</f>
        <v>May 2024</v>
      </c>
      <c r="U3144">
        <f>IF(Pipeline_tbl[[#This Row],[Closed_Date]]=0,"",Pipeline_tbl[[#This Row],[Closed_Date]]-Pipeline_tbl[[#This Row],[Created_Date]])</f>
        <v>47</v>
      </c>
    </row>
    <row r="3145" spans="1:21" ht="15" customHeight="1" x14ac:dyDescent="0.2">
      <c r="A3145" t="s">
        <v>3451</v>
      </c>
      <c r="B3145" t="s">
        <v>259</v>
      </c>
      <c r="C3145" t="s">
        <v>53</v>
      </c>
      <c r="D3145" s="49">
        <v>45375</v>
      </c>
      <c r="E3145" s="49">
        <v>45379</v>
      </c>
      <c r="F3145" s="49">
        <v>45387</v>
      </c>
      <c r="G3145" s="49">
        <v>45400</v>
      </c>
      <c r="H3145" s="49">
        <v>45410</v>
      </c>
      <c r="I3145" s="49">
        <v>45416</v>
      </c>
      <c r="J3145" t="s">
        <v>47</v>
      </c>
      <c r="K3145" s="33">
        <v>21500</v>
      </c>
      <c r="M3145" t="str">
        <f>_xlfn.XLOOKUP(Pipeline_tbl[[#This Row],[Rep_ID]],Dim_Reps!A:A,Dim_Reps!K:K)</f>
        <v>EUR</v>
      </c>
      <c r="N3145" s="33">
        <f>(_xlfn.XLOOKUP(Pipeline_tbl[[#This Row],[Rate_Code_Generalized]],Lookups!A:A,Lookups!B:B))*Pipeline_tbl[[#This Row],[Pipeline_Amount_USD]]</f>
        <v>21500</v>
      </c>
      <c r="O3145" t="str">
        <f>_xlfn.XLOOKUP(Pipeline_tbl[[#This Row],[Rep_ID]],Dim_Reps!A:A,Dim_Reps!B:B)</f>
        <v>Felix Okafor</v>
      </c>
      <c r="P3145" t="str">
        <f>_xlfn.XLOOKUP(Pipeline_tbl[[#This Row],[Rep_ID]],Dim_Reps!A:A,Dim_Reps!C:C)</f>
        <v>Mid-Market AE</v>
      </c>
      <c r="Q3145" t="str">
        <f>_xlfn.XLOOKUP(Pipeline_tbl[[#This Row],[Rep_ID]],Dim_Reps!A:A,Dim_Reps!D:D)</f>
        <v>Mid-Market</v>
      </c>
      <c r="R3145" t="str">
        <f>_xlfn.XLOOKUP(Pipeline_tbl[[#This Row],[Rep_ID]],Dim_Reps!A:A,Dim_Reps!E:E)</f>
        <v>EMEA</v>
      </c>
      <c r="S3145" t="str">
        <f>_xlfn.XLOOKUP(Pipeline_tbl[[#This Row],[Created_Date]],Dim_Date!A:A,Dim_Date!H:H)</f>
        <v>Mar 2024</v>
      </c>
      <c r="T3145" t="str">
        <f>IF(Pipeline_tbl[[#This Row],[Closed_Date]]=0,"",(_xlfn.XLOOKUP(Pipeline_tbl[[#This Row],[Closed_Date]],Dim_Date!A:A,Dim_Date!H:H)))</f>
        <v>May 2024</v>
      </c>
      <c r="U3145">
        <f>IF(Pipeline_tbl[[#This Row],[Closed_Date]]=0,"",Pipeline_tbl[[#This Row],[Closed_Date]]-Pipeline_tbl[[#This Row],[Created_Date]])</f>
        <v>41</v>
      </c>
    </row>
    <row r="3146" spans="1:21" ht="15" customHeight="1" x14ac:dyDescent="0.2">
      <c r="A3146" t="s">
        <v>3452</v>
      </c>
      <c r="B3146" t="s">
        <v>259</v>
      </c>
      <c r="C3146" t="s">
        <v>52</v>
      </c>
      <c r="D3146" s="49">
        <v>45376</v>
      </c>
      <c r="E3146" s="49">
        <v>45380</v>
      </c>
      <c r="F3146" s="49">
        <v>45387</v>
      </c>
      <c r="G3146" s="49">
        <v>45399</v>
      </c>
      <c r="H3146" s="49">
        <v>45408</v>
      </c>
      <c r="I3146" s="49">
        <v>45414</v>
      </c>
      <c r="J3146" t="s">
        <v>47</v>
      </c>
      <c r="K3146" s="33">
        <v>19200</v>
      </c>
      <c r="M3146" t="str">
        <f>_xlfn.XLOOKUP(Pipeline_tbl[[#This Row],[Rep_ID]],Dim_Reps!A:A,Dim_Reps!K:K)</f>
        <v>EUR</v>
      </c>
      <c r="N3146" s="33">
        <f>(_xlfn.XLOOKUP(Pipeline_tbl[[#This Row],[Rate_Code_Generalized]],Lookups!A:A,Lookups!B:B))*Pipeline_tbl[[#This Row],[Pipeline_Amount_USD]]</f>
        <v>19200</v>
      </c>
      <c r="O3146" t="str">
        <f>_xlfn.XLOOKUP(Pipeline_tbl[[#This Row],[Rep_ID]],Dim_Reps!A:A,Dim_Reps!B:B)</f>
        <v>Felix Okafor</v>
      </c>
      <c r="P3146" t="str">
        <f>_xlfn.XLOOKUP(Pipeline_tbl[[#This Row],[Rep_ID]],Dim_Reps!A:A,Dim_Reps!C:C)</f>
        <v>Mid-Market AE</v>
      </c>
      <c r="Q3146" t="str">
        <f>_xlfn.XLOOKUP(Pipeline_tbl[[#This Row],[Rep_ID]],Dim_Reps!A:A,Dim_Reps!D:D)</f>
        <v>Mid-Market</v>
      </c>
      <c r="R3146" t="str">
        <f>_xlfn.XLOOKUP(Pipeline_tbl[[#This Row],[Rep_ID]],Dim_Reps!A:A,Dim_Reps!E:E)</f>
        <v>EMEA</v>
      </c>
      <c r="S3146" t="str">
        <f>_xlfn.XLOOKUP(Pipeline_tbl[[#This Row],[Created_Date]],Dim_Date!A:A,Dim_Date!H:H)</f>
        <v>Mar 2024</v>
      </c>
      <c r="T3146" t="str">
        <f>IF(Pipeline_tbl[[#This Row],[Closed_Date]]=0,"",(_xlfn.XLOOKUP(Pipeline_tbl[[#This Row],[Closed_Date]],Dim_Date!A:A,Dim_Date!H:H)))</f>
        <v>May 2024</v>
      </c>
      <c r="U3146">
        <f>IF(Pipeline_tbl[[#This Row],[Closed_Date]]=0,"",Pipeline_tbl[[#This Row],[Closed_Date]]-Pipeline_tbl[[#This Row],[Created_Date]])</f>
        <v>38</v>
      </c>
    </row>
    <row r="3147" spans="1:21" ht="15" customHeight="1" x14ac:dyDescent="0.2">
      <c r="A3147" t="s">
        <v>3453</v>
      </c>
      <c r="B3147" t="s">
        <v>191</v>
      </c>
      <c r="C3147" t="s">
        <v>53</v>
      </c>
      <c r="D3147" s="49">
        <v>45360</v>
      </c>
      <c r="E3147" s="49">
        <v>45366</v>
      </c>
      <c r="F3147" s="49">
        <v>45379</v>
      </c>
      <c r="I3147" s="49">
        <v>45423</v>
      </c>
      <c r="J3147" t="s">
        <v>49</v>
      </c>
      <c r="K3147" s="33">
        <v>76900</v>
      </c>
      <c r="L3147" t="s">
        <v>61</v>
      </c>
      <c r="M3147" t="str">
        <f>_xlfn.XLOOKUP(Pipeline_tbl[[#This Row],[Rep_ID]],Dim_Reps!A:A,Dim_Reps!K:K)</f>
        <v>USD</v>
      </c>
      <c r="N3147" s="33">
        <f>(_xlfn.XLOOKUP(Pipeline_tbl[[#This Row],[Rate_Code_Generalized]],Lookups!A:A,Lookups!B:B))*Pipeline_tbl[[#This Row],[Pipeline_Amount_USD]]</f>
        <v>89534.67</v>
      </c>
      <c r="O3147" t="str">
        <f>_xlfn.XLOOKUP(Pipeline_tbl[[#This Row],[Rep_ID]],Dim_Reps!A:A,Dim_Reps!B:B)</f>
        <v>Zara Duarte</v>
      </c>
      <c r="P3147" t="str">
        <f>_xlfn.XLOOKUP(Pipeline_tbl[[#This Row],[Rep_ID]],Dim_Reps!A:A,Dim_Reps!C:C)</f>
        <v>Enterprise AE</v>
      </c>
      <c r="Q3147" t="str">
        <f>_xlfn.XLOOKUP(Pipeline_tbl[[#This Row],[Rep_ID]],Dim_Reps!A:A,Dim_Reps!D:D)</f>
        <v>Enterprise</v>
      </c>
      <c r="R3147" t="str">
        <f>_xlfn.XLOOKUP(Pipeline_tbl[[#This Row],[Rep_ID]],Dim_Reps!A:A,Dim_Reps!E:E)</f>
        <v>NAMER</v>
      </c>
      <c r="S3147" t="str">
        <f>_xlfn.XLOOKUP(Pipeline_tbl[[#This Row],[Created_Date]],Dim_Date!A:A,Dim_Date!H:H)</f>
        <v>Mar 2024</v>
      </c>
      <c r="T3147" t="str">
        <f>IF(Pipeline_tbl[[#This Row],[Closed_Date]]=0,"",(_xlfn.XLOOKUP(Pipeline_tbl[[#This Row],[Closed_Date]],Dim_Date!A:A,Dim_Date!H:H)))</f>
        <v>May 2024</v>
      </c>
      <c r="U3147">
        <f>IF(Pipeline_tbl[[#This Row],[Closed_Date]]=0,"",Pipeline_tbl[[#This Row],[Closed_Date]]-Pipeline_tbl[[#This Row],[Created_Date]])</f>
        <v>63</v>
      </c>
    </row>
    <row r="3148" spans="1:21" ht="15" customHeight="1" x14ac:dyDescent="0.2">
      <c r="A3148" t="s">
        <v>3454</v>
      </c>
      <c r="B3148" t="s">
        <v>191</v>
      </c>
      <c r="C3148" t="s">
        <v>53</v>
      </c>
      <c r="D3148" s="49">
        <v>45380</v>
      </c>
      <c r="E3148" s="49">
        <v>45384</v>
      </c>
      <c r="F3148" s="49">
        <v>45393</v>
      </c>
      <c r="G3148" s="49">
        <v>45406</v>
      </c>
      <c r="H3148" s="49">
        <v>45417</v>
      </c>
      <c r="I3148" s="49">
        <v>45423</v>
      </c>
      <c r="J3148" t="s">
        <v>47</v>
      </c>
      <c r="K3148" s="33">
        <v>42800</v>
      </c>
      <c r="M3148" t="str">
        <f>_xlfn.XLOOKUP(Pipeline_tbl[[#This Row],[Rep_ID]],Dim_Reps!A:A,Dim_Reps!K:K)</f>
        <v>USD</v>
      </c>
      <c r="N3148" s="33">
        <f>(_xlfn.XLOOKUP(Pipeline_tbl[[#This Row],[Rate_Code_Generalized]],Lookups!A:A,Lookups!B:B))*Pipeline_tbl[[#This Row],[Pipeline_Amount_USD]]</f>
        <v>49832.039999999994</v>
      </c>
      <c r="O3148" t="str">
        <f>_xlfn.XLOOKUP(Pipeline_tbl[[#This Row],[Rep_ID]],Dim_Reps!A:A,Dim_Reps!B:B)</f>
        <v>Zara Duarte</v>
      </c>
      <c r="P3148" t="str">
        <f>_xlfn.XLOOKUP(Pipeline_tbl[[#This Row],[Rep_ID]],Dim_Reps!A:A,Dim_Reps!C:C)</f>
        <v>Enterprise AE</v>
      </c>
      <c r="Q3148" t="str">
        <f>_xlfn.XLOOKUP(Pipeline_tbl[[#This Row],[Rep_ID]],Dim_Reps!A:A,Dim_Reps!D:D)</f>
        <v>Enterprise</v>
      </c>
      <c r="R3148" t="str">
        <f>_xlfn.XLOOKUP(Pipeline_tbl[[#This Row],[Rep_ID]],Dim_Reps!A:A,Dim_Reps!E:E)</f>
        <v>NAMER</v>
      </c>
      <c r="S3148" t="str">
        <f>_xlfn.XLOOKUP(Pipeline_tbl[[#This Row],[Created_Date]],Dim_Date!A:A,Dim_Date!H:H)</f>
        <v>Mar 2024</v>
      </c>
      <c r="T3148" t="str">
        <f>IF(Pipeline_tbl[[#This Row],[Closed_Date]]=0,"",(_xlfn.XLOOKUP(Pipeline_tbl[[#This Row],[Closed_Date]],Dim_Date!A:A,Dim_Date!H:H)))</f>
        <v>May 2024</v>
      </c>
      <c r="U3148">
        <f>IF(Pipeline_tbl[[#This Row],[Closed_Date]]=0,"",Pipeline_tbl[[#This Row],[Closed_Date]]-Pipeline_tbl[[#This Row],[Created_Date]])</f>
        <v>43</v>
      </c>
    </row>
    <row r="3149" spans="1:21" ht="15" customHeight="1" x14ac:dyDescent="0.2">
      <c r="A3149" t="s">
        <v>3455</v>
      </c>
      <c r="B3149" t="s">
        <v>263</v>
      </c>
      <c r="C3149" t="s">
        <v>52</v>
      </c>
      <c r="D3149" s="49">
        <v>45381</v>
      </c>
      <c r="E3149" s="49">
        <v>45384</v>
      </c>
      <c r="F3149" s="49">
        <v>45391</v>
      </c>
      <c r="G3149" s="49">
        <v>45401</v>
      </c>
      <c r="H3149" s="49">
        <v>45409</v>
      </c>
      <c r="I3149" s="49">
        <v>45414</v>
      </c>
      <c r="J3149" t="s">
        <v>49</v>
      </c>
      <c r="K3149" s="33">
        <v>14600</v>
      </c>
      <c r="L3149" t="s">
        <v>64</v>
      </c>
      <c r="M3149" t="str">
        <f>_xlfn.XLOOKUP(Pipeline_tbl[[#This Row],[Rep_ID]],Dim_Reps!A:A,Dim_Reps!K:K)</f>
        <v>USD</v>
      </c>
      <c r="N3149" s="33">
        <f>(_xlfn.XLOOKUP(Pipeline_tbl[[#This Row],[Rate_Code_Generalized]],Lookups!A:A,Lookups!B:B))*Pipeline_tbl[[#This Row],[Pipeline_Amount_USD]]</f>
        <v>16998.78</v>
      </c>
      <c r="O3149" t="str">
        <f>_xlfn.XLOOKUP(Pipeline_tbl[[#This Row],[Rep_ID]],Dim_Reps!A:A,Dim_Reps!B:B)</f>
        <v>Morgan Weber</v>
      </c>
      <c r="P3149" t="str">
        <f>_xlfn.XLOOKUP(Pipeline_tbl[[#This Row],[Rep_ID]],Dim_Reps!A:A,Dim_Reps!C:C)</f>
        <v>Mid-Market AE</v>
      </c>
      <c r="Q3149" t="str">
        <f>_xlfn.XLOOKUP(Pipeline_tbl[[#This Row],[Rep_ID]],Dim_Reps!A:A,Dim_Reps!D:D)</f>
        <v>Mid-Market</v>
      </c>
      <c r="R3149" t="str">
        <f>_xlfn.XLOOKUP(Pipeline_tbl[[#This Row],[Rep_ID]],Dim_Reps!A:A,Dim_Reps!E:E)</f>
        <v>NAMER</v>
      </c>
      <c r="S3149" t="str">
        <f>_xlfn.XLOOKUP(Pipeline_tbl[[#This Row],[Created_Date]],Dim_Date!A:A,Dim_Date!H:H)</f>
        <v>Mar 2024</v>
      </c>
      <c r="T3149" t="str">
        <f>IF(Pipeline_tbl[[#This Row],[Closed_Date]]=0,"",(_xlfn.XLOOKUP(Pipeline_tbl[[#This Row],[Closed_Date]],Dim_Date!A:A,Dim_Date!H:H)))</f>
        <v>May 2024</v>
      </c>
      <c r="U3149">
        <f>IF(Pipeline_tbl[[#This Row],[Closed_Date]]=0,"",Pipeline_tbl[[#This Row],[Closed_Date]]-Pipeline_tbl[[#This Row],[Created_Date]])</f>
        <v>33</v>
      </c>
    </row>
    <row r="3150" spans="1:21" ht="15" customHeight="1" x14ac:dyDescent="0.2">
      <c r="A3150" t="s">
        <v>3456</v>
      </c>
      <c r="B3150" t="s">
        <v>265</v>
      </c>
      <c r="C3150" t="s">
        <v>53</v>
      </c>
      <c r="D3150" s="49">
        <v>45379</v>
      </c>
      <c r="E3150" s="49">
        <v>45382</v>
      </c>
      <c r="I3150" s="49">
        <v>45413</v>
      </c>
      <c r="J3150" t="s">
        <v>49</v>
      </c>
      <c r="K3150" s="33">
        <v>19900</v>
      </c>
      <c r="L3150" t="s">
        <v>61</v>
      </c>
      <c r="M3150" t="str">
        <f>_xlfn.XLOOKUP(Pipeline_tbl[[#This Row],[Rep_ID]],Dim_Reps!A:A,Dim_Reps!K:K)</f>
        <v>EUR</v>
      </c>
      <c r="N3150" s="33">
        <f>(_xlfn.XLOOKUP(Pipeline_tbl[[#This Row],[Rate_Code_Generalized]],Lookups!A:A,Lookups!B:B))*Pipeline_tbl[[#This Row],[Pipeline_Amount_USD]]</f>
        <v>19900</v>
      </c>
      <c r="O3150" t="str">
        <f>_xlfn.XLOOKUP(Pipeline_tbl[[#This Row],[Rep_ID]],Dim_Reps!A:A,Dim_Reps!B:B)</f>
        <v>Erik Duarte</v>
      </c>
      <c r="P3150" t="str">
        <f>_xlfn.XLOOKUP(Pipeline_tbl[[#This Row],[Rep_ID]],Dim_Reps!A:A,Dim_Reps!C:C)</f>
        <v>Mid-Market AE</v>
      </c>
      <c r="Q3150" t="str">
        <f>_xlfn.XLOOKUP(Pipeline_tbl[[#This Row],[Rep_ID]],Dim_Reps!A:A,Dim_Reps!D:D)</f>
        <v>Mid-Market</v>
      </c>
      <c r="R3150" t="str">
        <f>_xlfn.XLOOKUP(Pipeline_tbl[[#This Row],[Rep_ID]],Dim_Reps!A:A,Dim_Reps!E:E)</f>
        <v>EMEA</v>
      </c>
      <c r="S3150" t="str">
        <f>_xlfn.XLOOKUP(Pipeline_tbl[[#This Row],[Created_Date]],Dim_Date!A:A,Dim_Date!H:H)</f>
        <v>Mar 2024</v>
      </c>
      <c r="T3150" t="str">
        <f>IF(Pipeline_tbl[[#This Row],[Closed_Date]]=0,"",(_xlfn.XLOOKUP(Pipeline_tbl[[#This Row],[Closed_Date]],Dim_Date!A:A,Dim_Date!H:H)))</f>
        <v>May 2024</v>
      </c>
      <c r="U3150">
        <f>IF(Pipeline_tbl[[#This Row],[Closed_Date]]=0,"",Pipeline_tbl[[#This Row],[Closed_Date]]-Pipeline_tbl[[#This Row],[Created_Date]])</f>
        <v>34</v>
      </c>
    </row>
    <row r="3151" spans="1:21" ht="15" customHeight="1" x14ac:dyDescent="0.2">
      <c r="A3151" t="s">
        <v>3457</v>
      </c>
      <c r="B3151" t="s">
        <v>265</v>
      </c>
      <c r="C3151" t="s">
        <v>52</v>
      </c>
      <c r="D3151" s="49">
        <v>45377</v>
      </c>
      <c r="E3151" s="49">
        <v>45381</v>
      </c>
      <c r="F3151" s="49">
        <v>45388</v>
      </c>
      <c r="G3151" s="49">
        <v>45399</v>
      </c>
      <c r="H3151" s="49">
        <v>45408</v>
      </c>
      <c r="I3151" s="49">
        <v>45414</v>
      </c>
      <c r="J3151" t="s">
        <v>47</v>
      </c>
      <c r="K3151" s="33">
        <v>7700</v>
      </c>
      <c r="M3151" t="str">
        <f>_xlfn.XLOOKUP(Pipeline_tbl[[#This Row],[Rep_ID]],Dim_Reps!A:A,Dim_Reps!K:K)</f>
        <v>EUR</v>
      </c>
      <c r="N3151" s="33">
        <f>(_xlfn.XLOOKUP(Pipeline_tbl[[#This Row],[Rate_Code_Generalized]],Lookups!A:A,Lookups!B:B))*Pipeline_tbl[[#This Row],[Pipeline_Amount_USD]]</f>
        <v>7700</v>
      </c>
      <c r="O3151" t="str">
        <f>_xlfn.XLOOKUP(Pipeline_tbl[[#This Row],[Rep_ID]],Dim_Reps!A:A,Dim_Reps!B:B)</f>
        <v>Erik Duarte</v>
      </c>
      <c r="P3151" t="str">
        <f>_xlfn.XLOOKUP(Pipeline_tbl[[#This Row],[Rep_ID]],Dim_Reps!A:A,Dim_Reps!C:C)</f>
        <v>Mid-Market AE</v>
      </c>
      <c r="Q3151" t="str">
        <f>_xlfn.XLOOKUP(Pipeline_tbl[[#This Row],[Rep_ID]],Dim_Reps!A:A,Dim_Reps!D:D)</f>
        <v>Mid-Market</v>
      </c>
      <c r="R3151" t="str">
        <f>_xlfn.XLOOKUP(Pipeline_tbl[[#This Row],[Rep_ID]],Dim_Reps!A:A,Dim_Reps!E:E)</f>
        <v>EMEA</v>
      </c>
      <c r="S3151" t="str">
        <f>_xlfn.XLOOKUP(Pipeline_tbl[[#This Row],[Created_Date]],Dim_Date!A:A,Dim_Date!H:H)</f>
        <v>Mar 2024</v>
      </c>
      <c r="T3151" t="str">
        <f>IF(Pipeline_tbl[[#This Row],[Closed_Date]]=0,"",(_xlfn.XLOOKUP(Pipeline_tbl[[#This Row],[Closed_Date]],Dim_Date!A:A,Dim_Date!H:H)))</f>
        <v>May 2024</v>
      </c>
      <c r="U3151">
        <f>IF(Pipeline_tbl[[#This Row],[Closed_Date]]=0,"",Pipeline_tbl[[#This Row],[Closed_Date]]-Pipeline_tbl[[#This Row],[Created_Date]])</f>
        <v>37</v>
      </c>
    </row>
    <row r="3152" spans="1:21" ht="15" customHeight="1" x14ac:dyDescent="0.2">
      <c r="A3152" t="s">
        <v>3458</v>
      </c>
      <c r="B3152" t="s">
        <v>265</v>
      </c>
      <c r="C3152" t="s">
        <v>53</v>
      </c>
      <c r="D3152" s="49">
        <v>45379</v>
      </c>
      <c r="E3152" s="49">
        <v>45383</v>
      </c>
      <c r="F3152" s="49">
        <v>45391</v>
      </c>
      <c r="G3152" s="49">
        <v>45404</v>
      </c>
      <c r="H3152" s="49">
        <v>45414</v>
      </c>
      <c r="I3152" s="49">
        <v>45420</v>
      </c>
      <c r="J3152" t="s">
        <v>47</v>
      </c>
      <c r="K3152" s="33">
        <v>14200</v>
      </c>
      <c r="M3152" t="str">
        <f>_xlfn.XLOOKUP(Pipeline_tbl[[#This Row],[Rep_ID]],Dim_Reps!A:A,Dim_Reps!K:K)</f>
        <v>EUR</v>
      </c>
      <c r="N3152" s="33">
        <f>(_xlfn.XLOOKUP(Pipeline_tbl[[#This Row],[Rate_Code_Generalized]],Lookups!A:A,Lookups!B:B))*Pipeline_tbl[[#This Row],[Pipeline_Amount_USD]]</f>
        <v>14200</v>
      </c>
      <c r="O3152" t="str">
        <f>_xlfn.XLOOKUP(Pipeline_tbl[[#This Row],[Rep_ID]],Dim_Reps!A:A,Dim_Reps!B:B)</f>
        <v>Erik Duarte</v>
      </c>
      <c r="P3152" t="str">
        <f>_xlfn.XLOOKUP(Pipeline_tbl[[#This Row],[Rep_ID]],Dim_Reps!A:A,Dim_Reps!C:C)</f>
        <v>Mid-Market AE</v>
      </c>
      <c r="Q3152" t="str">
        <f>_xlfn.XLOOKUP(Pipeline_tbl[[#This Row],[Rep_ID]],Dim_Reps!A:A,Dim_Reps!D:D)</f>
        <v>Mid-Market</v>
      </c>
      <c r="R3152" t="str">
        <f>_xlfn.XLOOKUP(Pipeline_tbl[[#This Row],[Rep_ID]],Dim_Reps!A:A,Dim_Reps!E:E)</f>
        <v>EMEA</v>
      </c>
      <c r="S3152" t="str">
        <f>_xlfn.XLOOKUP(Pipeline_tbl[[#This Row],[Created_Date]],Dim_Date!A:A,Dim_Date!H:H)</f>
        <v>Mar 2024</v>
      </c>
      <c r="T3152" t="str">
        <f>IF(Pipeline_tbl[[#This Row],[Closed_Date]]=0,"",(_xlfn.XLOOKUP(Pipeline_tbl[[#This Row],[Closed_Date]],Dim_Date!A:A,Dim_Date!H:H)))</f>
        <v>May 2024</v>
      </c>
      <c r="U3152">
        <f>IF(Pipeline_tbl[[#This Row],[Closed_Date]]=0,"",Pipeline_tbl[[#This Row],[Closed_Date]]-Pipeline_tbl[[#This Row],[Created_Date]])</f>
        <v>41</v>
      </c>
    </row>
    <row r="3153" spans="1:21" ht="15" customHeight="1" x14ac:dyDescent="0.2">
      <c r="A3153" t="s">
        <v>3459</v>
      </c>
      <c r="B3153" t="s">
        <v>267</v>
      </c>
      <c r="C3153" t="s">
        <v>52</v>
      </c>
      <c r="D3153" s="49">
        <v>45380</v>
      </c>
      <c r="E3153" s="49">
        <v>45384</v>
      </c>
      <c r="F3153" s="49">
        <v>45391</v>
      </c>
      <c r="G3153" s="49">
        <v>45403</v>
      </c>
      <c r="H3153" s="49">
        <v>45412</v>
      </c>
      <c r="I3153" s="49">
        <v>45418</v>
      </c>
      <c r="J3153" t="s">
        <v>47</v>
      </c>
      <c r="K3153" s="33">
        <v>16800</v>
      </c>
      <c r="M3153" t="str">
        <f>_xlfn.XLOOKUP(Pipeline_tbl[[#This Row],[Rep_ID]],Dim_Reps!A:A,Dim_Reps!K:K)</f>
        <v>MXN</v>
      </c>
      <c r="N3153" s="33">
        <f>(_xlfn.XLOOKUP(Pipeline_tbl[[#This Row],[Rate_Code_Generalized]],Lookups!A:A,Lookups!B:B))*Pipeline_tbl[[#This Row],[Pipeline_Amount_USD]]</f>
        <v>331509.36000000004</v>
      </c>
      <c r="O3153" t="str">
        <f>_xlfn.XLOOKUP(Pipeline_tbl[[#This Row],[Rep_ID]],Dim_Reps!A:A,Dim_Reps!B:B)</f>
        <v>Yuki Dubois</v>
      </c>
      <c r="P3153" t="str">
        <f>_xlfn.XLOOKUP(Pipeline_tbl[[#This Row],[Rep_ID]],Dim_Reps!A:A,Dim_Reps!C:C)</f>
        <v>Mid-Market AE</v>
      </c>
      <c r="Q3153" t="str">
        <f>_xlfn.XLOOKUP(Pipeline_tbl[[#This Row],[Rep_ID]],Dim_Reps!A:A,Dim_Reps!D:D)</f>
        <v>Mid-Market</v>
      </c>
      <c r="R3153" t="str">
        <f>_xlfn.XLOOKUP(Pipeline_tbl[[#This Row],[Rep_ID]],Dim_Reps!A:A,Dim_Reps!E:E)</f>
        <v>LATAM</v>
      </c>
      <c r="S3153" t="str">
        <f>_xlfn.XLOOKUP(Pipeline_tbl[[#This Row],[Created_Date]],Dim_Date!A:A,Dim_Date!H:H)</f>
        <v>Mar 2024</v>
      </c>
      <c r="T3153" t="str">
        <f>IF(Pipeline_tbl[[#This Row],[Closed_Date]]=0,"",(_xlfn.XLOOKUP(Pipeline_tbl[[#This Row],[Closed_Date]],Dim_Date!A:A,Dim_Date!H:H)))</f>
        <v>May 2024</v>
      </c>
      <c r="U3153">
        <f>IF(Pipeline_tbl[[#This Row],[Closed_Date]]=0,"",Pipeline_tbl[[#This Row],[Closed_Date]]-Pipeline_tbl[[#This Row],[Created_Date]])</f>
        <v>38</v>
      </c>
    </row>
    <row r="3154" spans="1:21" ht="15" customHeight="1" x14ac:dyDescent="0.2">
      <c r="A3154" t="s">
        <v>3460</v>
      </c>
      <c r="B3154" t="s">
        <v>284</v>
      </c>
      <c r="C3154" t="s">
        <v>53</v>
      </c>
      <c r="D3154" s="49">
        <v>45372</v>
      </c>
      <c r="E3154" s="49">
        <v>45378</v>
      </c>
      <c r="F3154" s="49">
        <v>45389</v>
      </c>
      <c r="G3154" s="49">
        <v>45406</v>
      </c>
      <c r="H3154" s="49">
        <v>45420</v>
      </c>
      <c r="I3154" s="49">
        <v>45428</v>
      </c>
      <c r="J3154" t="s">
        <v>49</v>
      </c>
      <c r="K3154" s="33">
        <v>45400</v>
      </c>
      <c r="L3154" t="s">
        <v>62</v>
      </c>
      <c r="M3154" t="str">
        <f>_xlfn.XLOOKUP(Pipeline_tbl[[#This Row],[Rep_ID]],Dim_Reps!A:A,Dim_Reps!K:K)</f>
        <v>USD</v>
      </c>
      <c r="N3154" s="33">
        <f>(_xlfn.XLOOKUP(Pipeline_tbl[[#This Row],[Rate_Code_Generalized]],Lookups!A:A,Lookups!B:B))*Pipeline_tbl[[#This Row],[Pipeline_Amount_USD]]</f>
        <v>52859.219999999994</v>
      </c>
      <c r="O3154" t="str">
        <f>_xlfn.XLOOKUP(Pipeline_tbl[[#This Row],[Rep_ID]],Dim_Reps!A:A,Dim_Reps!B:B)</f>
        <v>Taylor Adler</v>
      </c>
      <c r="P3154" t="str">
        <f>_xlfn.XLOOKUP(Pipeline_tbl[[#This Row],[Rep_ID]],Dim_Reps!A:A,Dim_Reps!C:C)</f>
        <v>Senior Enterprise AE</v>
      </c>
      <c r="Q3154" t="str">
        <f>_xlfn.XLOOKUP(Pipeline_tbl[[#This Row],[Rep_ID]],Dim_Reps!A:A,Dim_Reps!D:D)</f>
        <v>Strategic</v>
      </c>
      <c r="R3154" t="str">
        <f>_xlfn.XLOOKUP(Pipeline_tbl[[#This Row],[Rep_ID]],Dim_Reps!A:A,Dim_Reps!E:E)</f>
        <v>NAMER</v>
      </c>
      <c r="S3154" t="str">
        <f>_xlfn.XLOOKUP(Pipeline_tbl[[#This Row],[Created_Date]],Dim_Date!A:A,Dim_Date!H:H)</f>
        <v>Mar 2024</v>
      </c>
      <c r="T3154" t="str">
        <f>IF(Pipeline_tbl[[#This Row],[Closed_Date]]=0,"",(_xlfn.XLOOKUP(Pipeline_tbl[[#This Row],[Closed_Date]],Dim_Date!A:A,Dim_Date!H:H)))</f>
        <v>May 2024</v>
      </c>
      <c r="U3154">
        <f>IF(Pipeline_tbl[[#This Row],[Closed_Date]]=0,"",Pipeline_tbl[[#This Row],[Closed_Date]]-Pipeline_tbl[[#This Row],[Created_Date]])</f>
        <v>56</v>
      </c>
    </row>
    <row r="3155" spans="1:21" ht="15" customHeight="1" x14ac:dyDescent="0.2">
      <c r="A3155" t="s">
        <v>3461</v>
      </c>
      <c r="B3155" t="s">
        <v>271</v>
      </c>
      <c r="C3155" t="s">
        <v>53</v>
      </c>
      <c r="D3155" s="49">
        <v>45381</v>
      </c>
      <c r="E3155" s="49">
        <v>45385</v>
      </c>
      <c r="F3155" s="49">
        <v>45393</v>
      </c>
      <c r="I3155" s="49">
        <v>45422</v>
      </c>
      <c r="J3155" t="s">
        <v>49</v>
      </c>
      <c r="K3155" s="33">
        <v>9400</v>
      </c>
      <c r="L3155" t="s">
        <v>62</v>
      </c>
      <c r="M3155" t="str">
        <f>_xlfn.XLOOKUP(Pipeline_tbl[[#This Row],[Rep_ID]],Dim_Reps!A:A,Dim_Reps!K:K)</f>
        <v>EUR</v>
      </c>
      <c r="N3155" s="33">
        <f>(_xlfn.XLOOKUP(Pipeline_tbl[[#This Row],[Rate_Code_Generalized]],Lookups!A:A,Lookups!B:B))*Pipeline_tbl[[#This Row],[Pipeline_Amount_USD]]</f>
        <v>9400</v>
      </c>
      <c r="O3155" t="str">
        <f>_xlfn.XLOOKUP(Pipeline_tbl[[#This Row],[Rep_ID]],Dim_Reps!A:A,Dim_Reps!B:B)</f>
        <v>Ivy Adler</v>
      </c>
      <c r="P3155" t="str">
        <f>_xlfn.XLOOKUP(Pipeline_tbl[[#This Row],[Rep_ID]],Dim_Reps!A:A,Dim_Reps!C:C)</f>
        <v>Mid-Market AE</v>
      </c>
      <c r="Q3155" t="str">
        <f>_xlfn.XLOOKUP(Pipeline_tbl[[#This Row],[Rep_ID]],Dim_Reps!A:A,Dim_Reps!D:D)</f>
        <v>Mid-Market</v>
      </c>
      <c r="R3155" t="str">
        <f>_xlfn.XLOOKUP(Pipeline_tbl[[#This Row],[Rep_ID]],Dim_Reps!A:A,Dim_Reps!E:E)</f>
        <v>APAC</v>
      </c>
      <c r="S3155" t="str">
        <f>_xlfn.XLOOKUP(Pipeline_tbl[[#This Row],[Created_Date]],Dim_Date!A:A,Dim_Date!H:H)</f>
        <v>Mar 2024</v>
      </c>
      <c r="T3155" t="str">
        <f>IF(Pipeline_tbl[[#This Row],[Closed_Date]]=0,"",(_xlfn.XLOOKUP(Pipeline_tbl[[#This Row],[Closed_Date]],Dim_Date!A:A,Dim_Date!H:H)))</f>
        <v>May 2024</v>
      </c>
      <c r="U3155">
        <f>IF(Pipeline_tbl[[#This Row],[Closed_Date]]=0,"",Pipeline_tbl[[#This Row],[Closed_Date]]-Pipeline_tbl[[#This Row],[Created_Date]])</f>
        <v>41</v>
      </c>
    </row>
    <row r="3156" spans="1:21" ht="15" customHeight="1" x14ac:dyDescent="0.2">
      <c r="A3156" t="s">
        <v>3462</v>
      </c>
      <c r="B3156" t="s">
        <v>271</v>
      </c>
      <c r="C3156" t="s">
        <v>52</v>
      </c>
      <c r="D3156" s="49">
        <v>45374</v>
      </c>
      <c r="E3156" s="49">
        <v>45378</v>
      </c>
      <c r="F3156" s="49">
        <v>45387</v>
      </c>
      <c r="G3156" s="49">
        <v>45399</v>
      </c>
      <c r="I3156" s="49">
        <v>45416</v>
      </c>
      <c r="J3156" t="s">
        <v>49</v>
      </c>
      <c r="K3156" s="33">
        <v>8800</v>
      </c>
      <c r="L3156" t="s">
        <v>60</v>
      </c>
      <c r="M3156" t="str">
        <f>_xlfn.XLOOKUP(Pipeline_tbl[[#This Row],[Rep_ID]],Dim_Reps!A:A,Dim_Reps!K:K)</f>
        <v>EUR</v>
      </c>
      <c r="N3156" s="33">
        <f>(_xlfn.XLOOKUP(Pipeline_tbl[[#This Row],[Rate_Code_Generalized]],Lookups!A:A,Lookups!B:B))*Pipeline_tbl[[#This Row],[Pipeline_Amount_USD]]</f>
        <v>8800</v>
      </c>
      <c r="O3156" t="str">
        <f>_xlfn.XLOOKUP(Pipeline_tbl[[#This Row],[Rep_ID]],Dim_Reps!A:A,Dim_Reps!B:B)</f>
        <v>Ivy Adler</v>
      </c>
      <c r="P3156" t="str">
        <f>_xlfn.XLOOKUP(Pipeline_tbl[[#This Row],[Rep_ID]],Dim_Reps!A:A,Dim_Reps!C:C)</f>
        <v>Mid-Market AE</v>
      </c>
      <c r="Q3156" t="str">
        <f>_xlfn.XLOOKUP(Pipeline_tbl[[#This Row],[Rep_ID]],Dim_Reps!A:A,Dim_Reps!D:D)</f>
        <v>Mid-Market</v>
      </c>
      <c r="R3156" t="str">
        <f>_xlfn.XLOOKUP(Pipeline_tbl[[#This Row],[Rep_ID]],Dim_Reps!A:A,Dim_Reps!E:E)</f>
        <v>APAC</v>
      </c>
      <c r="S3156" t="str">
        <f>_xlfn.XLOOKUP(Pipeline_tbl[[#This Row],[Created_Date]],Dim_Date!A:A,Dim_Date!H:H)</f>
        <v>Mar 2024</v>
      </c>
      <c r="T3156" t="str">
        <f>IF(Pipeline_tbl[[#This Row],[Closed_Date]]=0,"",(_xlfn.XLOOKUP(Pipeline_tbl[[#This Row],[Closed_Date]],Dim_Date!A:A,Dim_Date!H:H)))</f>
        <v>May 2024</v>
      </c>
      <c r="U3156">
        <f>IF(Pipeline_tbl[[#This Row],[Closed_Date]]=0,"",Pipeline_tbl[[#This Row],[Closed_Date]]-Pipeline_tbl[[#This Row],[Created_Date]])</f>
        <v>42</v>
      </c>
    </row>
    <row r="3157" spans="1:21" ht="15" customHeight="1" x14ac:dyDescent="0.2">
      <c r="A3157" t="s">
        <v>3463</v>
      </c>
      <c r="B3157" t="s">
        <v>271</v>
      </c>
      <c r="C3157" t="s">
        <v>54</v>
      </c>
      <c r="D3157" s="49">
        <v>45376</v>
      </c>
      <c r="E3157" s="49">
        <v>45381</v>
      </c>
      <c r="F3157" s="49">
        <v>45390</v>
      </c>
      <c r="G3157" s="49">
        <v>45404</v>
      </c>
      <c r="I3157" s="49">
        <v>45422</v>
      </c>
      <c r="J3157" t="s">
        <v>49</v>
      </c>
      <c r="K3157" s="33">
        <v>6700</v>
      </c>
      <c r="L3157" t="s">
        <v>62</v>
      </c>
      <c r="M3157" t="str">
        <f>_xlfn.XLOOKUP(Pipeline_tbl[[#This Row],[Rep_ID]],Dim_Reps!A:A,Dim_Reps!K:K)</f>
        <v>EUR</v>
      </c>
      <c r="N3157" s="33">
        <f>(_xlfn.XLOOKUP(Pipeline_tbl[[#This Row],[Rate_Code_Generalized]],Lookups!A:A,Lookups!B:B))*Pipeline_tbl[[#This Row],[Pipeline_Amount_USD]]</f>
        <v>6700</v>
      </c>
      <c r="O3157" t="str">
        <f>_xlfn.XLOOKUP(Pipeline_tbl[[#This Row],[Rep_ID]],Dim_Reps!A:A,Dim_Reps!B:B)</f>
        <v>Ivy Adler</v>
      </c>
      <c r="P3157" t="str">
        <f>_xlfn.XLOOKUP(Pipeline_tbl[[#This Row],[Rep_ID]],Dim_Reps!A:A,Dim_Reps!C:C)</f>
        <v>Mid-Market AE</v>
      </c>
      <c r="Q3157" t="str">
        <f>_xlfn.XLOOKUP(Pipeline_tbl[[#This Row],[Rep_ID]],Dim_Reps!A:A,Dim_Reps!D:D)</f>
        <v>Mid-Market</v>
      </c>
      <c r="R3157" t="str">
        <f>_xlfn.XLOOKUP(Pipeline_tbl[[#This Row],[Rep_ID]],Dim_Reps!A:A,Dim_Reps!E:E)</f>
        <v>APAC</v>
      </c>
      <c r="S3157" t="str">
        <f>_xlfn.XLOOKUP(Pipeline_tbl[[#This Row],[Created_Date]],Dim_Date!A:A,Dim_Date!H:H)</f>
        <v>Mar 2024</v>
      </c>
      <c r="T3157" t="str">
        <f>IF(Pipeline_tbl[[#This Row],[Closed_Date]]=0,"",(_xlfn.XLOOKUP(Pipeline_tbl[[#This Row],[Closed_Date]],Dim_Date!A:A,Dim_Date!H:H)))</f>
        <v>May 2024</v>
      </c>
      <c r="U3157">
        <f>IF(Pipeline_tbl[[#This Row],[Closed_Date]]=0,"",Pipeline_tbl[[#This Row],[Closed_Date]]-Pipeline_tbl[[#This Row],[Created_Date]])</f>
        <v>46</v>
      </c>
    </row>
    <row r="3158" spans="1:21" ht="15" customHeight="1" x14ac:dyDescent="0.2">
      <c r="A3158" t="s">
        <v>3464</v>
      </c>
      <c r="B3158" t="s">
        <v>177</v>
      </c>
      <c r="C3158" t="s">
        <v>52</v>
      </c>
      <c r="D3158" s="49">
        <v>45818</v>
      </c>
      <c r="E3158" s="49">
        <v>45825</v>
      </c>
      <c r="F3158" s="49">
        <v>45838</v>
      </c>
      <c r="I3158" s="49">
        <v>45886</v>
      </c>
      <c r="J3158" t="s">
        <v>49</v>
      </c>
      <c r="K3158" s="33">
        <v>39100</v>
      </c>
      <c r="L3158" t="s">
        <v>64</v>
      </c>
      <c r="M3158" t="str">
        <f>_xlfn.XLOOKUP(Pipeline_tbl[[#This Row],[Rep_ID]],Dim_Reps!A:A,Dim_Reps!K:K)</f>
        <v>USD</v>
      </c>
      <c r="N3158" s="33">
        <f>(_xlfn.XLOOKUP(Pipeline_tbl[[#This Row],[Rate_Code_Generalized]],Lookups!A:A,Lookups!B:B))*Pipeline_tbl[[#This Row],[Pipeline_Amount_USD]]</f>
        <v>45524.13</v>
      </c>
      <c r="O3158" t="str">
        <f>_xlfn.XLOOKUP(Pipeline_tbl[[#This Row],[Rep_ID]],Dim_Reps!A:A,Dim_Reps!B:B)</f>
        <v>Lucas Cohen</v>
      </c>
      <c r="P3158" t="str">
        <f>_xlfn.XLOOKUP(Pipeline_tbl[[#This Row],[Rep_ID]],Dim_Reps!A:A,Dim_Reps!C:C)</f>
        <v>Enterprise AE</v>
      </c>
      <c r="Q3158" t="str">
        <f>_xlfn.XLOOKUP(Pipeline_tbl[[#This Row],[Rep_ID]],Dim_Reps!A:A,Dim_Reps!D:D)</f>
        <v>Enterprise</v>
      </c>
      <c r="R3158" t="str">
        <f>_xlfn.XLOOKUP(Pipeline_tbl[[#This Row],[Rep_ID]],Dim_Reps!A:A,Dim_Reps!E:E)</f>
        <v>NAMER</v>
      </c>
      <c r="S3158" t="str">
        <f>_xlfn.XLOOKUP(Pipeline_tbl[[#This Row],[Created_Date]],Dim_Date!A:A,Dim_Date!H:H)</f>
        <v>Jun 2025</v>
      </c>
      <c r="T3158" t="str">
        <f>IF(Pipeline_tbl[[#This Row],[Closed_Date]]=0,"",(_xlfn.XLOOKUP(Pipeline_tbl[[#This Row],[Closed_Date]],Dim_Date!A:A,Dim_Date!H:H)))</f>
        <v>Aug 2025</v>
      </c>
      <c r="U3158">
        <f>IF(Pipeline_tbl[[#This Row],[Closed_Date]]=0,"",Pipeline_tbl[[#This Row],[Closed_Date]]-Pipeline_tbl[[#This Row],[Created_Date]])</f>
        <v>68</v>
      </c>
    </row>
    <row r="3159" spans="1:21" ht="15" customHeight="1" x14ac:dyDescent="0.2">
      <c r="A3159" t="s">
        <v>3465</v>
      </c>
      <c r="B3159" t="s">
        <v>177</v>
      </c>
      <c r="C3159" t="s">
        <v>56</v>
      </c>
      <c r="D3159" s="49">
        <v>45826</v>
      </c>
      <c r="E3159" s="49">
        <v>45833</v>
      </c>
      <c r="F3159" s="49">
        <v>45846</v>
      </c>
      <c r="G3159" s="49">
        <v>45867</v>
      </c>
      <c r="I3159" s="49">
        <v>45894</v>
      </c>
      <c r="J3159" t="s">
        <v>49</v>
      </c>
      <c r="K3159" s="33">
        <v>32700</v>
      </c>
      <c r="L3159" t="s">
        <v>61</v>
      </c>
      <c r="M3159" t="str">
        <f>_xlfn.XLOOKUP(Pipeline_tbl[[#This Row],[Rep_ID]],Dim_Reps!A:A,Dim_Reps!K:K)</f>
        <v>USD</v>
      </c>
      <c r="N3159" s="33">
        <f>(_xlfn.XLOOKUP(Pipeline_tbl[[#This Row],[Rate_Code_Generalized]],Lookups!A:A,Lookups!B:B))*Pipeline_tbl[[#This Row],[Pipeline_Amount_USD]]</f>
        <v>38072.609999999993</v>
      </c>
      <c r="O3159" t="str">
        <f>_xlfn.XLOOKUP(Pipeline_tbl[[#This Row],[Rep_ID]],Dim_Reps!A:A,Dim_Reps!B:B)</f>
        <v>Lucas Cohen</v>
      </c>
      <c r="P3159" t="str">
        <f>_xlfn.XLOOKUP(Pipeline_tbl[[#This Row],[Rep_ID]],Dim_Reps!A:A,Dim_Reps!C:C)</f>
        <v>Enterprise AE</v>
      </c>
      <c r="Q3159" t="str">
        <f>_xlfn.XLOOKUP(Pipeline_tbl[[#This Row],[Rep_ID]],Dim_Reps!A:A,Dim_Reps!D:D)</f>
        <v>Enterprise</v>
      </c>
      <c r="R3159" t="str">
        <f>_xlfn.XLOOKUP(Pipeline_tbl[[#This Row],[Rep_ID]],Dim_Reps!A:A,Dim_Reps!E:E)</f>
        <v>NAMER</v>
      </c>
      <c r="S3159" t="str">
        <f>_xlfn.XLOOKUP(Pipeline_tbl[[#This Row],[Created_Date]],Dim_Date!A:A,Dim_Date!H:H)</f>
        <v>Jun 2025</v>
      </c>
      <c r="T3159" t="str">
        <f>IF(Pipeline_tbl[[#This Row],[Closed_Date]]=0,"",(_xlfn.XLOOKUP(Pipeline_tbl[[#This Row],[Closed_Date]],Dim_Date!A:A,Dim_Date!H:H)))</f>
        <v>Aug 2025</v>
      </c>
      <c r="U3159">
        <f>IF(Pipeline_tbl[[#This Row],[Closed_Date]]=0,"",Pipeline_tbl[[#This Row],[Closed_Date]]-Pipeline_tbl[[#This Row],[Created_Date]])</f>
        <v>68</v>
      </c>
    </row>
    <row r="3160" spans="1:21" ht="15" customHeight="1" x14ac:dyDescent="0.2">
      <c r="A3160" t="s">
        <v>3466</v>
      </c>
      <c r="B3160" t="s">
        <v>181</v>
      </c>
      <c r="C3160" t="s">
        <v>53</v>
      </c>
      <c r="D3160" s="49">
        <v>45822</v>
      </c>
      <c r="E3160" s="49">
        <v>45827</v>
      </c>
      <c r="I3160" s="49">
        <v>45876</v>
      </c>
      <c r="J3160" t="s">
        <v>49</v>
      </c>
      <c r="K3160" s="33">
        <v>31200</v>
      </c>
      <c r="L3160" t="s">
        <v>61</v>
      </c>
      <c r="M3160" t="str">
        <f>_xlfn.XLOOKUP(Pipeline_tbl[[#This Row],[Rep_ID]],Dim_Reps!A:A,Dim_Reps!K:K)</f>
        <v>USD</v>
      </c>
      <c r="N3160" s="33">
        <f>(_xlfn.XLOOKUP(Pipeline_tbl[[#This Row],[Rate_Code_Generalized]],Lookups!A:A,Lookups!B:B))*Pipeline_tbl[[#This Row],[Pipeline_Amount_USD]]</f>
        <v>36326.159999999996</v>
      </c>
      <c r="O3160" t="str">
        <f>_xlfn.XLOOKUP(Pipeline_tbl[[#This Row],[Rep_ID]],Dim_Reps!A:A,Dim_Reps!B:B)</f>
        <v>Milo Weber</v>
      </c>
      <c r="P3160" t="str">
        <f>_xlfn.XLOOKUP(Pipeline_tbl[[#This Row],[Rep_ID]],Dim_Reps!A:A,Dim_Reps!C:C)</f>
        <v>Enterprise AE</v>
      </c>
      <c r="Q3160" t="str">
        <f>_xlfn.XLOOKUP(Pipeline_tbl[[#This Row],[Rep_ID]],Dim_Reps!A:A,Dim_Reps!D:D)</f>
        <v>Enterprise</v>
      </c>
      <c r="R3160" t="str">
        <f>_xlfn.XLOOKUP(Pipeline_tbl[[#This Row],[Rep_ID]],Dim_Reps!A:A,Dim_Reps!E:E)</f>
        <v>NAMER</v>
      </c>
      <c r="S3160" t="str">
        <f>_xlfn.XLOOKUP(Pipeline_tbl[[#This Row],[Created_Date]],Dim_Date!A:A,Dim_Date!H:H)</f>
        <v>Jun 2025</v>
      </c>
      <c r="T3160" t="str">
        <f>IF(Pipeline_tbl[[#This Row],[Closed_Date]]=0,"",(_xlfn.XLOOKUP(Pipeline_tbl[[#This Row],[Closed_Date]],Dim_Date!A:A,Dim_Date!H:H)))</f>
        <v>Aug 2025</v>
      </c>
      <c r="U3160">
        <f>IF(Pipeline_tbl[[#This Row],[Closed_Date]]=0,"",Pipeline_tbl[[#This Row],[Closed_Date]]-Pipeline_tbl[[#This Row],[Created_Date]])</f>
        <v>54</v>
      </c>
    </row>
    <row r="3161" spans="1:21" ht="15" customHeight="1" x14ac:dyDescent="0.2">
      <c r="A3161" t="s">
        <v>3467</v>
      </c>
      <c r="B3161" t="s">
        <v>181</v>
      </c>
      <c r="C3161" t="s">
        <v>52</v>
      </c>
      <c r="D3161" s="49">
        <v>45815</v>
      </c>
      <c r="E3161" s="49">
        <v>45822</v>
      </c>
      <c r="F3161" s="49">
        <v>45836</v>
      </c>
      <c r="I3161" s="49">
        <v>45886</v>
      </c>
      <c r="J3161" t="s">
        <v>49</v>
      </c>
      <c r="K3161" s="33">
        <v>18300</v>
      </c>
      <c r="L3161" t="s">
        <v>61</v>
      </c>
      <c r="M3161" t="str">
        <f>_xlfn.XLOOKUP(Pipeline_tbl[[#This Row],[Rep_ID]],Dim_Reps!A:A,Dim_Reps!K:K)</f>
        <v>USD</v>
      </c>
      <c r="N3161" s="33">
        <f>(_xlfn.XLOOKUP(Pipeline_tbl[[#This Row],[Rate_Code_Generalized]],Lookups!A:A,Lookups!B:B))*Pipeline_tbl[[#This Row],[Pipeline_Amount_USD]]</f>
        <v>21306.69</v>
      </c>
      <c r="O3161" t="str">
        <f>_xlfn.XLOOKUP(Pipeline_tbl[[#This Row],[Rep_ID]],Dim_Reps!A:A,Dim_Reps!B:B)</f>
        <v>Milo Weber</v>
      </c>
      <c r="P3161" t="str">
        <f>_xlfn.XLOOKUP(Pipeline_tbl[[#This Row],[Rep_ID]],Dim_Reps!A:A,Dim_Reps!C:C)</f>
        <v>Enterprise AE</v>
      </c>
      <c r="Q3161" t="str">
        <f>_xlfn.XLOOKUP(Pipeline_tbl[[#This Row],[Rep_ID]],Dim_Reps!A:A,Dim_Reps!D:D)</f>
        <v>Enterprise</v>
      </c>
      <c r="R3161" t="str">
        <f>_xlfn.XLOOKUP(Pipeline_tbl[[#This Row],[Rep_ID]],Dim_Reps!A:A,Dim_Reps!E:E)</f>
        <v>NAMER</v>
      </c>
      <c r="S3161" t="str">
        <f>_xlfn.XLOOKUP(Pipeline_tbl[[#This Row],[Created_Date]],Dim_Date!A:A,Dim_Date!H:H)</f>
        <v>Jun 2025</v>
      </c>
      <c r="T3161" t="str">
        <f>IF(Pipeline_tbl[[#This Row],[Closed_Date]]=0,"",(_xlfn.XLOOKUP(Pipeline_tbl[[#This Row],[Closed_Date]],Dim_Date!A:A,Dim_Date!H:H)))</f>
        <v>Aug 2025</v>
      </c>
      <c r="U3161">
        <f>IF(Pipeline_tbl[[#This Row],[Closed_Date]]=0,"",Pipeline_tbl[[#This Row],[Closed_Date]]-Pipeline_tbl[[#This Row],[Created_Date]])</f>
        <v>71</v>
      </c>
    </row>
    <row r="3162" spans="1:21" ht="15" customHeight="1" x14ac:dyDescent="0.2">
      <c r="A3162" t="s">
        <v>3468</v>
      </c>
      <c r="B3162" t="s">
        <v>246</v>
      </c>
      <c r="C3162" t="s">
        <v>55</v>
      </c>
      <c r="D3162" s="49">
        <v>45835</v>
      </c>
      <c r="E3162" s="49">
        <v>45839</v>
      </c>
      <c r="F3162" s="49">
        <v>45847</v>
      </c>
      <c r="G3162" s="49">
        <v>45859</v>
      </c>
      <c r="H3162" s="49">
        <v>45869</v>
      </c>
      <c r="I3162" s="49">
        <v>45875</v>
      </c>
      <c r="J3162" t="s">
        <v>49</v>
      </c>
      <c r="K3162" s="33">
        <v>10000</v>
      </c>
      <c r="L3162" t="s">
        <v>61</v>
      </c>
      <c r="M3162" t="str">
        <f>_xlfn.XLOOKUP(Pipeline_tbl[[#This Row],[Rep_ID]],Dim_Reps!A:A,Dim_Reps!K:K)</f>
        <v>EUR</v>
      </c>
      <c r="N3162" s="33">
        <f>(_xlfn.XLOOKUP(Pipeline_tbl[[#This Row],[Rate_Code_Generalized]],Lookups!A:A,Lookups!B:B))*Pipeline_tbl[[#This Row],[Pipeline_Amount_USD]]</f>
        <v>10000</v>
      </c>
      <c r="O3162" t="str">
        <f>_xlfn.XLOOKUP(Pipeline_tbl[[#This Row],[Rep_ID]],Dim_Reps!A:A,Dim_Reps!B:B)</f>
        <v>Karim Rivera</v>
      </c>
      <c r="P3162" t="str">
        <f>_xlfn.XLOOKUP(Pipeline_tbl[[#This Row],[Rep_ID]],Dim_Reps!A:A,Dim_Reps!C:C)</f>
        <v>Mid-Market AE</v>
      </c>
      <c r="Q3162" t="str">
        <f>_xlfn.XLOOKUP(Pipeline_tbl[[#This Row],[Rep_ID]],Dim_Reps!A:A,Dim_Reps!D:D)</f>
        <v>Mid-Market</v>
      </c>
      <c r="R3162" t="str">
        <f>_xlfn.XLOOKUP(Pipeline_tbl[[#This Row],[Rep_ID]],Dim_Reps!A:A,Dim_Reps!E:E)</f>
        <v>APAC</v>
      </c>
      <c r="S3162" t="str">
        <f>_xlfn.XLOOKUP(Pipeline_tbl[[#This Row],[Created_Date]],Dim_Date!A:A,Dim_Date!H:H)</f>
        <v>Jun 2025</v>
      </c>
      <c r="T3162" t="str">
        <f>IF(Pipeline_tbl[[#This Row],[Closed_Date]]=0,"",(_xlfn.XLOOKUP(Pipeline_tbl[[#This Row],[Closed_Date]],Dim_Date!A:A,Dim_Date!H:H)))</f>
        <v>Aug 2025</v>
      </c>
      <c r="U3162">
        <f>IF(Pipeline_tbl[[#This Row],[Closed_Date]]=0,"",Pipeline_tbl[[#This Row],[Closed_Date]]-Pipeline_tbl[[#This Row],[Created_Date]])</f>
        <v>40</v>
      </c>
    </row>
    <row r="3163" spans="1:21" ht="15" customHeight="1" x14ac:dyDescent="0.2">
      <c r="A3163" t="s">
        <v>3469</v>
      </c>
      <c r="B3163" t="s">
        <v>183</v>
      </c>
      <c r="C3163" t="s">
        <v>53</v>
      </c>
      <c r="D3163" s="49">
        <v>45823</v>
      </c>
      <c r="E3163" s="49">
        <v>45830</v>
      </c>
      <c r="F3163" s="49">
        <v>45845</v>
      </c>
      <c r="G3163" s="49">
        <v>45867</v>
      </c>
      <c r="H3163" s="49">
        <v>45886</v>
      </c>
      <c r="I3163" s="49">
        <v>45897</v>
      </c>
      <c r="J3163" t="s">
        <v>49</v>
      </c>
      <c r="K3163" s="33">
        <v>49200</v>
      </c>
      <c r="L3163" t="s">
        <v>60</v>
      </c>
      <c r="M3163" t="str">
        <f>_xlfn.XLOOKUP(Pipeline_tbl[[#This Row],[Rep_ID]],Dim_Reps!A:A,Dim_Reps!K:K)</f>
        <v>EUR</v>
      </c>
      <c r="N3163" s="33">
        <f>(_xlfn.XLOOKUP(Pipeline_tbl[[#This Row],[Rate_Code_Generalized]],Lookups!A:A,Lookups!B:B))*Pipeline_tbl[[#This Row],[Pipeline_Amount_USD]]</f>
        <v>49200</v>
      </c>
      <c r="O3163" t="str">
        <f>_xlfn.XLOOKUP(Pipeline_tbl[[#This Row],[Rep_ID]],Dim_Reps!A:A,Dim_Reps!B:B)</f>
        <v>Sam Schmidt</v>
      </c>
      <c r="P3163" t="str">
        <f>_xlfn.XLOOKUP(Pipeline_tbl[[#This Row],[Rep_ID]],Dim_Reps!A:A,Dim_Reps!C:C)</f>
        <v>Enterprise AE</v>
      </c>
      <c r="Q3163" t="str">
        <f>_xlfn.XLOOKUP(Pipeline_tbl[[#This Row],[Rep_ID]],Dim_Reps!A:A,Dim_Reps!D:D)</f>
        <v>Enterprise</v>
      </c>
      <c r="R3163" t="str">
        <f>_xlfn.XLOOKUP(Pipeline_tbl[[#This Row],[Rep_ID]],Dim_Reps!A:A,Dim_Reps!E:E)</f>
        <v>EMEA</v>
      </c>
      <c r="S3163" t="str">
        <f>_xlfn.XLOOKUP(Pipeline_tbl[[#This Row],[Created_Date]],Dim_Date!A:A,Dim_Date!H:H)</f>
        <v>Jun 2025</v>
      </c>
      <c r="T3163" t="str">
        <f>IF(Pipeline_tbl[[#This Row],[Closed_Date]]=0,"",(_xlfn.XLOOKUP(Pipeline_tbl[[#This Row],[Closed_Date]],Dim_Date!A:A,Dim_Date!H:H)))</f>
        <v>Aug 2025</v>
      </c>
      <c r="U3163">
        <f>IF(Pipeline_tbl[[#This Row],[Closed_Date]]=0,"",Pipeline_tbl[[#This Row],[Closed_Date]]-Pipeline_tbl[[#This Row],[Created_Date]])</f>
        <v>74</v>
      </c>
    </row>
    <row r="3164" spans="1:21" ht="15" customHeight="1" x14ac:dyDescent="0.2">
      <c r="A3164" t="s">
        <v>3470</v>
      </c>
      <c r="B3164" t="s">
        <v>183</v>
      </c>
      <c r="C3164" t="s">
        <v>53</v>
      </c>
      <c r="D3164" s="49">
        <v>45825</v>
      </c>
      <c r="E3164" s="49">
        <v>45831</v>
      </c>
      <c r="F3164" s="49">
        <v>45842</v>
      </c>
      <c r="G3164" s="49">
        <v>45859</v>
      </c>
      <c r="H3164" s="49">
        <v>45873</v>
      </c>
      <c r="I3164" s="49">
        <v>45882</v>
      </c>
      <c r="J3164" t="s">
        <v>47</v>
      </c>
      <c r="K3164" s="33">
        <v>51700</v>
      </c>
      <c r="M3164" t="str">
        <f>_xlfn.XLOOKUP(Pipeline_tbl[[#This Row],[Rep_ID]],Dim_Reps!A:A,Dim_Reps!K:K)</f>
        <v>EUR</v>
      </c>
      <c r="N3164" s="33">
        <f>(_xlfn.XLOOKUP(Pipeline_tbl[[#This Row],[Rate_Code_Generalized]],Lookups!A:A,Lookups!B:B))*Pipeline_tbl[[#This Row],[Pipeline_Amount_USD]]</f>
        <v>51700</v>
      </c>
      <c r="O3164" t="str">
        <f>_xlfn.XLOOKUP(Pipeline_tbl[[#This Row],[Rep_ID]],Dim_Reps!A:A,Dim_Reps!B:B)</f>
        <v>Sam Schmidt</v>
      </c>
      <c r="P3164" t="str">
        <f>_xlfn.XLOOKUP(Pipeline_tbl[[#This Row],[Rep_ID]],Dim_Reps!A:A,Dim_Reps!C:C)</f>
        <v>Enterprise AE</v>
      </c>
      <c r="Q3164" t="str">
        <f>_xlfn.XLOOKUP(Pipeline_tbl[[#This Row],[Rep_ID]],Dim_Reps!A:A,Dim_Reps!D:D)</f>
        <v>Enterprise</v>
      </c>
      <c r="R3164" t="str">
        <f>_xlfn.XLOOKUP(Pipeline_tbl[[#This Row],[Rep_ID]],Dim_Reps!A:A,Dim_Reps!E:E)</f>
        <v>EMEA</v>
      </c>
      <c r="S3164" t="str">
        <f>_xlfn.XLOOKUP(Pipeline_tbl[[#This Row],[Created_Date]],Dim_Date!A:A,Dim_Date!H:H)</f>
        <v>Jun 2025</v>
      </c>
      <c r="T3164" t="str">
        <f>IF(Pipeline_tbl[[#This Row],[Closed_Date]]=0,"",(_xlfn.XLOOKUP(Pipeline_tbl[[#This Row],[Closed_Date]],Dim_Date!A:A,Dim_Date!H:H)))</f>
        <v>Aug 2025</v>
      </c>
      <c r="U3164">
        <f>IF(Pipeline_tbl[[#This Row],[Closed_Date]]=0,"",Pipeline_tbl[[#This Row],[Closed_Date]]-Pipeline_tbl[[#This Row],[Created_Date]])</f>
        <v>57</v>
      </c>
    </row>
    <row r="3165" spans="1:21" ht="15" customHeight="1" x14ac:dyDescent="0.2">
      <c r="A3165" t="s">
        <v>3471</v>
      </c>
      <c r="B3165" t="s">
        <v>278</v>
      </c>
      <c r="C3165" t="s">
        <v>53</v>
      </c>
      <c r="D3165" s="49">
        <v>45829</v>
      </c>
      <c r="E3165" s="49">
        <v>45835</v>
      </c>
      <c r="F3165" s="49">
        <v>45848</v>
      </c>
      <c r="I3165" s="49">
        <v>45892</v>
      </c>
      <c r="J3165" t="s">
        <v>49</v>
      </c>
      <c r="K3165" s="33">
        <v>43000</v>
      </c>
      <c r="L3165" t="s">
        <v>60</v>
      </c>
      <c r="M3165" t="str">
        <f>_xlfn.XLOOKUP(Pipeline_tbl[[#This Row],[Rep_ID]],Dim_Reps!A:A,Dim_Reps!K:K)</f>
        <v>EUR</v>
      </c>
      <c r="N3165" s="33">
        <f>(_xlfn.XLOOKUP(Pipeline_tbl[[#This Row],[Rate_Code_Generalized]],Lookups!A:A,Lookups!B:B))*Pipeline_tbl[[#This Row],[Pipeline_Amount_USD]]</f>
        <v>43000</v>
      </c>
      <c r="O3165" t="str">
        <f>_xlfn.XLOOKUP(Pipeline_tbl[[#This Row],[Rep_ID]],Dim_Reps!A:A,Dim_Reps!B:B)</f>
        <v>Sara Andersson</v>
      </c>
      <c r="P3165" t="str">
        <f>_xlfn.XLOOKUP(Pipeline_tbl[[#This Row],[Rep_ID]],Dim_Reps!A:A,Dim_Reps!C:C)</f>
        <v>Senior Enterprise AE</v>
      </c>
      <c r="Q3165" t="str">
        <f>_xlfn.XLOOKUP(Pipeline_tbl[[#This Row],[Rep_ID]],Dim_Reps!A:A,Dim_Reps!D:D)</f>
        <v>Strategic</v>
      </c>
      <c r="R3165" t="str">
        <f>_xlfn.XLOOKUP(Pipeline_tbl[[#This Row],[Rep_ID]],Dim_Reps!A:A,Dim_Reps!E:E)</f>
        <v>APAC</v>
      </c>
      <c r="S3165" t="str">
        <f>_xlfn.XLOOKUP(Pipeline_tbl[[#This Row],[Created_Date]],Dim_Date!A:A,Dim_Date!H:H)</f>
        <v>Jun 2025</v>
      </c>
      <c r="T3165" t="str">
        <f>IF(Pipeline_tbl[[#This Row],[Closed_Date]]=0,"",(_xlfn.XLOOKUP(Pipeline_tbl[[#This Row],[Closed_Date]],Dim_Date!A:A,Dim_Date!H:H)))</f>
        <v>Aug 2025</v>
      </c>
      <c r="U3165">
        <f>IF(Pipeline_tbl[[#This Row],[Closed_Date]]=0,"",Pipeline_tbl[[#This Row],[Closed_Date]]-Pipeline_tbl[[#This Row],[Created_Date]])</f>
        <v>63</v>
      </c>
    </row>
    <row r="3166" spans="1:21" ht="15" customHeight="1" x14ac:dyDescent="0.2">
      <c r="A3166" t="s">
        <v>3472</v>
      </c>
      <c r="B3166" t="s">
        <v>278</v>
      </c>
      <c r="C3166" t="s">
        <v>53</v>
      </c>
      <c r="D3166" s="49">
        <v>45820</v>
      </c>
      <c r="E3166" s="49">
        <v>45826</v>
      </c>
      <c r="F3166" s="49">
        <v>45839</v>
      </c>
      <c r="G3166" s="49">
        <v>45858</v>
      </c>
      <c r="I3166" s="49">
        <v>45884</v>
      </c>
      <c r="J3166" t="s">
        <v>49</v>
      </c>
      <c r="K3166" s="33">
        <v>104200</v>
      </c>
      <c r="L3166" t="s">
        <v>61</v>
      </c>
      <c r="M3166" t="str">
        <f>_xlfn.XLOOKUP(Pipeline_tbl[[#This Row],[Rep_ID]],Dim_Reps!A:A,Dim_Reps!K:K)</f>
        <v>EUR</v>
      </c>
      <c r="N3166" s="33">
        <f>(_xlfn.XLOOKUP(Pipeline_tbl[[#This Row],[Rate_Code_Generalized]],Lookups!A:A,Lookups!B:B))*Pipeline_tbl[[#This Row],[Pipeline_Amount_USD]]</f>
        <v>104200</v>
      </c>
      <c r="O3166" t="str">
        <f>_xlfn.XLOOKUP(Pipeline_tbl[[#This Row],[Rep_ID]],Dim_Reps!A:A,Dim_Reps!B:B)</f>
        <v>Sara Andersson</v>
      </c>
      <c r="P3166" t="str">
        <f>_xlfn.XLOOKUP(Pipeline_tbl[[#This Row],[Rep_ID]],Dim_Reps!A:A,Dim_Reps!C:C)</f>
        <v>Senior Enterprise AE</v>
      </c>
      <c r="Q3166" t="str">
        <f>_xlfn.XLOOKUP(Pipeline_tbl[[#This Row],[Rep_ID]],Dim_Reps!A:A,Dim_Reps!D:D)</f>
        <v>Strategic</v>
      </c>
      <c r="R3166" t="str">
        <f>_xlfn.XLOOKUP(Pipeline_tbl[[#This Row],[Rep_ID]],Dim_Reps!A:A,Dim_Reps!E:E)</f>
        <v>APAC</v>
      </c>
      <c r="S3166" t="str">
        <f>_xlfn.XLOOKUP(Pipeline_tbl[[#This Row],[Created_Date]],Dim_Date!A:A,Dim_Date!H:H)</f>
        <v>Jun 2025</v>
      </c>
      <c r="T3166" t="str">
        <f>IF(Pipeline_tbl[[#This Row],[Closed_Date]]=0,"",(_xlfn.XLOOKUP(Pipeline_tbl[[#This Row],[Closed_Date]],Dim_Date!A:A,Dim_Date!H:H)))</f>
        <v>Aug 2025</v>
      </c>
      <c r="U3166">
        <f>IF(Pipeline_tbl[[#This Row],[Closed_Date]]=0,"",Pipeline_tbl[[#This Row],[Closed_Date]]-Pipeline_tbl[[#This Row],[Created_Date]])</f>
        <v>64</v>
      </c>
    </row>
    <row r="3167" spans="1:21" ht="15" customHeight="1" x14ac:dyDescent="0.2">
      <c r="A3167" t="s">
        <v>3473</v>
      </c>
      <c r="B3167" t="s">
        <v>185</v>
      </c>
      <c r="C3167" t="s">
        <v>53</v>
      </c>
      <c r="D3167" s="49">
        <v>45815</v>
      </c>
      <c r="E3167" s="49">
        <v>45823</v>
      </c>
      <c r="F3167" s="49">
        <v>45838</v>
      </c>
      <c r="G3167" s="49">
        <v>45860</v>
      </c>
      <c r="H3167" s="49">
        <v>45879</v>
      </c>
      <c r="I3167" s="49">
        <v>45890</v>
      </c>
      <c r="J3167" t="s">
        <v>47</v>
      </c>
      <c r="K3167" s="33">
        <v>15200</v>
      </c>
      <c r="M3167" t="str">
        <f>_xlfn.XLOOKUP(Pipeline_tbl[[#This Row],[Rep_ID]],Dim_Reps!A:A,Dim_Reps!K:K)</f>
        <v>MXN</v>
      </c>
      <c r="N3167" s="33">
        <f>(_xlfn.XLOOKUP(Pipeline_tbl[[#This Row],[Rate_Code_Generalized]],Lookups!A:A,Lookups!B:B))*Pipeline_tbl[[#This Row],[Pipeline_Amount_USD]]</f>
        <v>299937.04000000004</v>
      </c>
      <c r="O3167" t="str">
        <f>_xlfn.XLOOKUP(Pipeline_tbl[[#This Row],[Rep_ID]],Dim_Reps!A:A,Dim_Reps!B:B)</f>
        <v>Noah Kim</v>
      </c>
      <c r="P3167" t="str">
        <f>_xlfn.XLOOKUP(Pipeline_tbl[[#This Row],[Rep_ID]],Dim_Reps!A:A,Dim_Reps!C:C)</f>
        <v>Enterprise AE</v>
      </c>
      <c r="Q3167" t="str">
        <f>_xlfn.XLOOKUP(Pipeline_tbl[[#This Row],[Rep_ID]],Dim_Reps!A:A,Dim_Reps!D:D)</f>
        <v>Enterprise</v>
      </c>
      <c r="R3167" t="str">
        <f>_xlfn.XLOOKUP(Pipeline_tbl[[#This Row],[Rep_ID]],Dim_Reps!A:A,Dim_Reps!E:E)</f>
        <v>LATAM</v>
      </c>
      <c r="S3167" t="str">
        <f>_xlfn.XLOOKUP(Pipeline_tbl[[#This Row],[Created_Date]],Dim_Date!A:A,Dim_Date!H:H)</f>
        <v>Jun 2025</v>
      </c>
      <c r="T3167" t="str">
        <f>IF(Pipeline_tbl[[#This Row],[Closed_Date]]=0,"",(_xlfn.XLOOKUP(Pipeline_tbl[[#This Row],[Closed_Date]],Dim_Date!A:A,Dim_Date!H:H)))</f>
        <v>Aug 2025</v>
      </c>
      <c r="U3167">
        <f>IF(Pipeline_tbl[[#This Row],[Closed_Date]]=0,"",Pipeline_tbl[[#This Row],[Closed_Date]]-Pipeline_tbl[[#This Row],[Created_Date]])</f>
        <v>75</v>
      </c>
    </row>
    <row r="3168" spans="1:21" ht="15" customHeight="1" x14ac:dyDescent="0.2">
      <c r="A3168" t="s">
        <v>3474</v>
      </c>
      <c r="B3168" t="s">
        <v>185</v>
      </c>
      <c r="C3168" t="s">
        <v>52</v>
      </c>
      <c r="D3168" s="49">
        <v>45829</v>
      </c>
      <c r="E3168" s="49">
        <v>45834</v>
      </c>
      <c r="F3168" s="49">
        <v>45844</v>
      </c>
      <c r="G3168" s="49">
        <v>45859</v>
      </c>
      <c r="I3168" s="49">
        <v>45879</v>
      </c>
      <c r="J3168" t="s">
        <v>49</v>
      </c>
      <c r="K3168" s="33">
        <v>50800</v>
      </c>
      <c r="L3168" t="s">
        <v>61</v>
      </c>
      <c r="M3168" t="str">
        <f>_xlfn.XLOOKUP(Pipeline_tbl[[#This Row],[Rep_ID]],Dim_Reps!A:A,Dim_Reps!K:K)</f>
        <v>MXN</v>
      </c>
      <c r="N3168" s="33">
        <f>(_xlfn.XLOOKUP(Pipeline_tbl[[#This Row],[Rate_Code_Generalized]],Lookups!A:A,Lookups!B:B))*Pipeline_tbl[[#This Row],[Pipeline_Amount_USD]]</f>
        <v>1002421.16</v>
      </c>
      <c r="O3168" t="str">
        <f>_xlfn.XLOOKUP(Pipeline_tbl[[#This Row],[Rep_ID]],Dim_Reps!A:A,Dim_Reps!B:B)</f>
        <v>Noah Kim</v>
      </c>
      <c r="P3168" t="str">
        <f>_xlfn.XLOOKUP(Pipeline_tbl[[#This Row],[Rep_ID]],Dim_Reps!A:A,Dim_Reps!C:C)</f>
        <v>Enterprise AE</v>
      </c>
      <c r="Q3168" t="str">
        <f>_xlfn.XLOOKUP(Pipeline_tbl[[#This Row],[Rep_ID]],Dim_Reps!A:A,Dim_Reps!D:D)</f>
        <v>Enterprise</v>
      </c>
      <c r="R3168" t="str">
        <f>_xlfn.XLOOKUP(Pipeline_tbl[[#This Row],[Rep_ID]],Dim_Reps!A:A,Dim_Reps!E:E)</f>
        <v>LATAM</v>
      </c>
      <c r="S3168" t="str">
        <f>_xlfn.XLOOKUP(Pipeline_tbl[[#This Row],[Created_Date]],Dim_Date!A:A,Dim_Date!H:H)</f>
        <v>Jun 2025</v>
      </c>
      <c r="T3168" t="str">
        <f>IF(Pipeline_tbl[[#This Row],[Closed_Date]]=0,"",(_xlfn.XLOOKUP(Pipeline_tbl[[#This Row],[Closed_Date]],Dim_Date!A:A,Dim_Date!H:H)))</f>
        <v>Aug 2025</v>
      </c>
      <c r="U3168">
        <f>IF(Pipeline_tbl[[#This Row],[Closed_Date]]=0,"",Pipeline_tbl[[#This Row],[Closed_Date]]-Pipeline_tbl[[#This Row],[Created_Date]])</f>
        <v>50</v>
      </c>
    </row>
    <row r="3169" spans="1:21" ht="15" customHeight="1" x14ac:dyDescent="0.2">
      <c r="A3169" t="s">
        <v>3475</v>
      </c>
      <c r="B3169" t="s">
        <v>185</v>
      </c>
      <c r="C3169" t="s">
        <v>54</v>
      </c>
      <c r="D3169" s="49">
        <v>45829</v>
      </c>
      <c r="E3169" s="49">
        <v>45835</v>
      </c>
      <c r="F3169" s="49">
        <v>45846</v>
      </c>
      <c r="G3169" s="49">
        <v>45862</v>
      </c>
      <c r="I3169" s="49">
        <v>45884</v>
      </c>
      <c r="J3169" t="s">
        <v>49</v>
      </c>
      <c r="K3169" s="33">
        <v>24300</v>
      </c>
      <c r="L3169" t="s">
        <v>61</v>
      </c>
      <c r="M3169" t="str">
        <f>_xlfn.XLOOKUP(Pipeline_tbl[[#This Row],[Rep_ID]],Dim_Reps!A:A,Dim_Reps!K:K)</f>
        <v>MXN</v>
      </c>
      <c r="N3169" s="33">
        <f>(_xlfn.XLOOKUP(Pipeline_tbl[[#This Row],[Rate_Code_Generalized]],Lookups!A:A,Lookups!B:B))*Pipeline_tbl[[#This Row],[Pipeline_Amount_USD]]</f>
        <v>479504.61000000004</v>
      </c>
      <c r="O3169" t="str">
        <f>_xlfn.XLOOKUP(Pipeline_tbl[[#This Row],[Rep_ID]],Dim_Reps!A:A,Dim_Reps!B:B)</f>
        <v>Noah Kim</v>
      </c>
      <c r="P3169" t="str">
        <f>_xlfn.XLOOKUP(Pipeline_tbl[[#This Row],[Rep_ID]],Dim_Reps!A:A,Dim_Reps!C:C)</f>
        <v>Enterprise AE</v>
      </c>
      <c r="Q3169" t="str">
        <f>_xlfn.XLOOKUP(Pipeline_tbl[[#This Row],[Rep_ID]],Dim_Reps!A:A,Dim_Reps!D:D)</f>
        <v>Enterprise</v>
      </c>
      <c r="R3169" t="str">
        <f>_xlfn.XLOOKUP(Pipeline_tbl[[#This Row],[Rep_ID]],Dim_Reps!A:A,Dim_Reps!E:E)</f>
        <v>LATAM</v>
      </c>
      <c r="S3169" t="str">
        <f>_xlfn.XLOOKUP(Pipeline_tbl[[#This Row],[Created_Date]],Dim_Date!A:A,Dim_Date!H:H)</f>
        <v>Jun 2025</v>
      </c>
      <c r="T3169" t="str">
        <f>IF(Pipeline_tbl[[#This Row],[Closed_Date]]=0,"",(_xlfn.XLOOKUP(Pipeline_tbl[[#This Row],[Closed_Date]],Dim_Date!A:A,Dim_Date!H:H)))</f>
        <v>Aug 2025</v>
      </c>
      <c r="U3169">
        <f>IF(Pipeline_tbl[[#This Row],[Closed_Date]]=0,"",Pipeline_tbl[[#This Row],[Closed_Date]]-Pipeline_tbl[[#This Row],[Created_Date]])</f>
        <v>55</v>
      </c>
    </row>
    <row r="3170" spans="1:21" ht="15" customHeight="1" x14ac:dyDescent="0.2">
      <c r="A3170" t="s">
        <v>3476</v>
      </c>
      <c r="B3170" t="s">
        <v>249</v>
      </c>
      <c r="C3170" t="s">
        <v>52</v>
      </c>
      <c r="D3170" s="49">
        <v>45822</v>
      </c>
      <c r="E3170" s="49">
        <v>45827</v>
      </c>
      <c r="I3170" s="49">
        <v>45871</v>
      </c>
      <c r="J3170" t="s">
        <v>49</v>
      </c>
      <c r="K3170" s="33">
        <v>11800</v>
      </c>
      <c r="L3170" t="s">
        <v>60</v>
      </c>
      <c r="M3170" t="str">
        <f>_xlfn.XLOOKUP(Pipeline_tbl[[#This Row],[Rep_ID]],Dim_Reps!A:A,Dim_Reps!K:K)</f>
        <v>EUR</v>
      </c>
      <c r="N3170" s="33">
        <f>(_xlfn.XLOOKUP(Pipeline_tbl[[#This Row],[Rate_Code_Generalized]],Lookups!A:A,Lookups!B:B))*Pipeline_tbl[[#This Row],[Pipeline_Amount_USD]]</f>
        <v>11800</v>
      </c>
      <c r="O3170" t="str">
        <f>_xlfn.XLOOKUP(Pipeline_tbl[[#This Row],[Rep_ID]],Dim_Reps!A:A,Dim_Reps!B:B)</f>
        <v>Ana Sato</v>
      </c>
      <c r="P3170" t="str">
        <f>_xlfn.XLOOKUP(Pipeline_tbl[[#This Row],[Rep_ID]],Dim_Reps!A:A,Dim_Reps!C:C)</f>
        <v>Mid-Market AE</v>
      </c>
      <c r="Q3170" t="str">
        <f>_xlfn.XLOOKUP(Pipeline_tbl[[#This Row],[Rep_ID]],Dim_Reps!A:A,Dim_Reps!D:D)</f>
        <v>Mid-Market</v>
      </c>
      <c r="R3170" t="str">
        <f>_xlfn.XLOOKUP(Pipeline_tbl[[#This Row],[Rep_ID]],Dim_Reps!A:A,Dim_Reps!E:E)</f>
        <v>APAC</v>
      </c>
      <c r="S3170" t="str">
        <f>_xlfn.XLOOKUP(Pipeline_tbl[[#This Row],[Created_Date]],Dim_Date!A:A,Dim_Date!H:H)</f>
        <v>Jun 2025</v>
      </c>
      <c r="T3170" t="str">
        <f>IF(Pipeline_tbl[[#This Row],[Closed_Date]]=0,"",(_xlfn.XLOOKUP(Pipeline_tbl[[#This Row],[Closed_Date]],Dim_Date!A:A,Dim_Date!H:H)))</f>
        <v>Aug 2025</v>
      </c>
      <c r="U3170">
        <f>IF(Pipeline_tbl[[#This Row],[Closed_Date]]=0,"",Pipeline_tbl[[#This Row],[Closed_Date]]-Pipeline_tbl[[#This Row],[Created_Date]])</f>
        <v>49</v>
      </c>
    </row>
    <row r="3171" spans="1:21" ht="15" customHeight="1" x14ac:dyDescent="0.2">
      <c r="A3171" t="s">
        <v>3477</v>
      </c>
      <c r="B3171" t="s">
        <v>253</v>
      </c>
      <c r="C3171" t="s">
        <v>53</v>
      </c>
      <c r="D3171" s="49">
        <v>45838</v>
      </c>
      <c r="E3171" s="49">
        <v>45842</v>
      </c>
      <c r="F3171" s="49">
        <v>45851</v>
      </c>
      <c r="G3171" s="49">
        <v>45864</v>
      </c>
      <c r="H3171" s="49">
        <v>45875</v>
      </c>
      <c r="I3171" s="49">
        <v>45881</v>
      </c>
      <c r="J3171" t="s">
        <v>47</v>
      </c>
      <c r="K3171" s="33">
        <v>15100</v>
      </c>
      <c r="M3171" t="str">
        <f>_xlfn.XLOOKUP(Pipeline_tbl[[#This Row],[Rep_ID]],Dim_Reps!A:A,Dim_Reps!K:K)</f>
        <v>EUR</v>
      </c>
      <c r="N3171" s="33">
        <f>(_xlfn.XLOOKUP(Pipeline_tbl[[#This Row],[Rate_Code_Generalized]],Lookups!A:A,Lookups!B:B))*Pipeline_tbl[[#This Row],[Pipeline_Amount_USD]]</f>
        <v>15100</v>
      </c>
      <c r="O3171" t="str">
        <f>_xlfn.XLOOKUP(Pipeline_tbl[[#This Row],[Rep_ID]],Dim_Reps!A:A,Dim_Reps!B:B)</f>
        <v>Rafael Weber</v>
      </c>
      <c r="P3171" t="str">
        <f>_xlfn.XLOOKUP(Pipeline_tbl[[#This Row],[Rep_ID]],Dim_Reps!A:A,Dim_Reps!C:C)</f>
        <v>Mid-Market AE</v>
      </c>
      <c r="Q3171" t="str">
        <f>_xlfn.XLOOKUP(Pipeline_tbl[[#This Row],[Rep_ID]],Dim_Reps!A:A,Dim_Reps!D:D)</f>
        <v>Mid-Market</v>
      </c>
      <c r="R3171" t="str">
        <f>_xlfn.XLOOKUP(Pipeline_tbl[[#This Row],[Rep_ID]],Dim_Reps!A:A,Dim_Reps!E:E)</f>
        <v>APAC</v>
      </c>
      <c r="S3171" t="str">
        <f>_xlfn.XLOOKUP(Pipeline_tbl[[#This Row],[Created_Date]],Dim_Date!A:A,Dim_Date!H:H)</f>
        <v>Jun 2025</v>
      </c>
      <c r="T3171" t="str">
        <f>IF(Pipeline_tbl[[#This Row],[Closed_Date]]=0,"",(_xlfn.XLOOKUP(Pipeline_tbl[[#This Row],[Closed_Date]],Dim_Date!A:A,Dim_Date!H:H)))</f>
        <v>Aug 2025</v>
      </c>
      <c r="U3171">
        <f>IF(Pipeline_tbl[[#This Row],[Closed_Date]]=0,"",Pipeline_tbl[[#This Row],[Closed_Date]]-Pipeline_tbl[[#This Row],[Created_Date]])</f>
        <v>43</v>
      </c>
    </row>
    <row r="3172" spans="1:21" ht="15" customHeight="1" x14ac:dyDescent="0.2">
      <c r="A3172" t="s">
        <v>3478</v>
      </c>
      <c r="B3172" t="s">
        <v>188</v>
      </c>
      <c r="C3172" t="s">
        <v>54</v>
      </c>
      <c r="D3172" s="49">
        <v>45832</v>
      </c>
      <c r="E3172" s="49">
        <v>45837</v>
      </c>
      <c r="F3172" s="49">
        <v>45848</v>
      </c>
      <c r="G3172" s="49">
        <v>45864</v>
      </c>
      <c r="H3172" s="49">
        <v>45877</v>
      </c>
      <c r="I3172" s="49">
        <v>45885</v>
      </c>
      <c r="J3172" t="s">
        <v>47</v>
      </c>
      <c r="K3172" s="33">
        <v>47000</v>
      </c>
      <c r="M3172" t="str">
        <f>_xlfn.XLOOKUP(Pipeline_tbl[[#This Row],[Rep_ID]],Dim_Reps!A:A,Dim_Reps!K:K)</f>
        <v>EUR</v>
      </c>
      <c r="N3172" s="33">
        <f>(_xlfn.XLOOKUP(Pipeline_tbl[[#This Row],[Rate_Code_Generalized]],Lookups!A:A,Lookups!B:B))*Pipeline_tbl[[#This Row],[Pipeline_Amount_USD]]</f>
        <v>47000</v>
      </c>
      <c r="O3172" t="str">
        <f>_xlfn.XLOOKUP(Pipeline_tbl[[#This Row],[Rep_ID]],Dim_Reps!A:A,Dim_Reps!B:B)</f>
        <v>Jamie Santos</v>
      </c>
      <c r="P3172" t="str">
        <f>_xlfn.XLOOKUP(Pipeline_tbl[[#This Row],[Rep_ID]],Dim_Reps!A:A,Dim_Reps!C:C)</f>
        <v>Enterprise AE</v>
      </c>
      <c r="Q3172" t="str">
        <f>_xlfn.XLOOKUP(Pipeline_tbl[[#This Row],[Rep_ID]],Dim_Reps!A:A,Dim_Reps!D:D)</f>
        <v>Enterprise</v>
      </c>
      <c r="R3172" t="str">
        <f>_xlfn.XLOOKUP(Pipeline_tbl[[#This Row],[Rep_ID]],Dim_Reps!A:A,Dim_Reps!E:E)</f>
        <v>APAC</v>
      </c>
      <c r="S3172" t="str">
        <f>_xlfn.XLOOKUP(Pipeline_tbl[[#This Row],[Created_Date]],Dim_Date!A:A,Dim_Date!H:H)</f>
        <v>Jun 2025</v>
      </c>
      <c r="T3172" t="str">
        <f>IF(Pipeline_tbl[[#This Row],[Closed_Date]]=0,"",(_xlfn.XLOOKUP(Pipeline_tbl[[#This Row],[Closed_Date]],Dim_Date!A:A,Dim_Date!H:H)))</f>
        <v>Aug 2025</v>
      </c>
      <c r="U3172">
        <f>IF(Pipeline_tbl[[#This Row],[Closed_Date]]=0,"",Pipeline_tbl[[#This Row],[Closed_Date]]-Pipeline_tbl[[#This Row],[Created_Date]])</f>
        <v>53</v>
      </c>
    </row>
    <row r="3173" spans="1:21" ht="15" customHeight="1" x14ac:dyDescent="0.2">
      <c r="A3173" t="s">
        <v>3479</v>
      </c>
      <c r="B3173" t="s">
        <v>188</v>
      </c>
      <c r="C3173" t="s">
        <v>52</v>
      </c>
      <c r="D3173" s="49">
        <v>45827</v>
      </c>
      <c r="E3173" s="49">
        <v>45832</v>
      </c>
      <c r="F3173" s="49">
        <v>45842</v>
      </c>
      <c r="G3173" s="49">
        <v>45857</v>
      </c>
      <c r="H3173" s="49">
        <v>45870</v>
      </c>
      <c r="I3173" s="49">
        <v>45877</v>
      </c>
      <c r="J3173" t="s">
        <v>49</v>
      </c>
      <c r="K3173" s="33">
        <v>22200</v>
      </c>
      <c r="L3173" t="s">
        <v>60</v>
      </c>
      <c r="M3173" t="str">
        <f>_xlfn.XLOOKUP(Pipeline_tbl[[#This Row],[Rep_ID]],Dim_Reps!A:A,Dim_Reps!K:K)</f>
        <v>EUR</v>
      </c>
      <c r="N3173" s="33">
        <f>(_xlfn.XLOOKUP(Pipeline_tbl[[#This Row],[Rate_Code_Generalized]],Lookups!A:A,Lookups!B:B))*Pipeline_tbl[[#This Row],[Pipeline_Amount_USD]]</f>
        <v>22200</v>
      </c>
      <c r="O3173" t="str">
        <f>_xlfn.XLOOKUP(Pipeline_tbl[[#This Row],[Rep_ID]],Dim_Reps!A:A,Dim_Reps!B:B)</f>
        <v>Jamie Santos</v>
      </c>
      <c r="P3173" t="str">
        <f>_xlfn.XLOOKUP(Pipeline_tbl[[#This Row],[Rep_ID]],Dim_Reps!A:A,Dim_Reps!C:C)</f>
        <v>Enterprise AE</v>
      </c>
      <c r="Q3173" t="str">
        <f>_xlfn.XLOOKUP(Pipeline_tbl[[#This Row],[Rep_ID]],Dim_Reps!A:A,Dim_Reps!D:D)</f>
        <v>Enterprise</v>
      </c>
      <c r="R3173" t="str">
        <f>_xlfn.XLOOKUP(Pipeline_tbl[[#This Row],[Rep_ID]],Dim_Reps!A:A,Dim_Reps!E:E)</f>
        <v>APAC</v>
      </c>
      <c r="S3173" t="str">
        <f>_xlfn.XLOOKUP(Pipeline_tbl[[#This Row],[Created_Date]],Dim_Date!A:A,Dim_Date!H:H)</f>
        <v>Jun 2025</v>
      </c>
      <c r="T3173" t="str">
        <f>IF(Pipeline_tbl[[#This Row],[Closed_Date]]=0,"",(_xlfn.XLOOKUP(Pipeline_tbl[[#This Row],[Closed_Date]],Dim_Date!A:A,Dim_Date!H:H)))</f>
        <v>Aug 2025</v>
      </c>
      <c r="U3173">
        <f>IF(Pipeline_tbl[[#This Row],[Closed_Date]]=0,"",Pipeline_tbl[[#This Row],[Closed_Date]]-Pipeline_tbl[[#This Row],[Created_Date]])</f>
        <v>50</v>
      </c>
    </row>
    <row r="3174" spans="1:21" ht="15" customHeight="1" x14ac:dyDescent="0.2">
      <c r="A3174" t="s">
        <v>3480</v>
      </c>
      <c r="B3174" t="s">
        <v>257</v>
      </c>
      <c r="C3174" t="s">
        <v>53</v>
      </c>
      <c r="D3174" s="49">
        <v>45836</v>
      </c>
      <c r="E3174" s="49">
        <v>45840</v>
      </c>
      <c r="F3174" s="49">
        <v>45849</v>
      </c>
      <c r="G3174" s="49">
        <v>45862</v>
      </c>
      <c r="H3174" s="49">
        <v>45873</v>
      </c>
      <c r="I3174" s="49">
        <v>45879</v>
      </c>
      <c r="J3174" t="s">
        <v>47</v>
      </c>
      <c r="K3174" s="33">
        <v>14300</v>
      </c>
      <c r="M3174" t="str">
        <f>_xlfn.XLOOKUP(Pipeline_tbl[[#This Row],[Rep_ID]],Dim_Reps!A:A,Dim_Reps!K:K)</f>
        <v>EUR</v>
      </c>
      <c r="N3174" s="33">
        <f>(_xlfn.XLOOKUP(Pipeline_tbl[[#This Row],[Rate_Code_Generalized]],Lookups!A:A,Lookups!B:B))*Pipeline_tbl[[#This Row],[Pipeline_Amount_USD]]</f>
        <v>14300</v>
      </c>
      <c r="O3174" t="str">
        <f>_xlfn.XLOOKUP(Pipeline_tbl[[#This Row],[Rep_ID]],Dim_Reps!A:A,Dim_Reps!B:B)</f>
        <v>Ana Kim</v>
      </c>
      <c r="P3174" t="str">
        <f>_xlfn.XLOOKUP(Pipeline_tbl[[#This Row],[Rep_ID]],Dim_Reps!A:A,Dim_Reps!C:C)</f>
        <v>Mid-Market AE</v>
      </c>
      <c r="Q3174" t="str">
        <f>_xlfn.XLOOKUP(Pipeline_tbl[[#This Row],[Rep_ID]],Dim_Reps!A:A,Dim_Reps!D:D)</f>
        <v>Mid-Market</v>
      </c>
      <c r="R3174" t="str">
        <f>_xlfn.XLOOKUP(Pipeline_tbl[[#This Row],[Rep_ID]],Dim_Reps!A:A,Dim_Reps!E:E)</f>
        <v>APAC</v>
      </c>
      <c r="S3174" t="str">
        <f>_xlfn.XLOOKUP(Pipeline_tbl[[#This Row],[Created_Date]],Dim_Date!A:A,Dim_Date!H:H)</f>
        <v>Jun 2025</v>
      </c>
      <c r="T3174" t="str">
        <f>IF(Pipeline_tbl[[#This Row],[Closed_Date]]=0,"",(_xlfn.XLOOKUP(Pipeline_tbl[[#This Row],[Closed_Date]],Dim_Date!A:A,Dim_Date!H:H)))</f>
        <v>Aug 2025</v>
      </c>
      <c r="U3174">
        <f>IF(Pipeline_tbl[[#This Row],[Closed_Date]]=0,"",Pipeline_tbl[[#This Row],[Closed_Date]]-Pipeline_tbl[[#This Row],[Created_Date]])</f>
        <v>43</v>
      </c>
    </row>
    <row r="3175" spans="1:21" ht="15" customHeight="1" x14ac:dyDescent="0.2">
      <c r="A3175" t="s">
        <v>3481</v>
      </c>
      <c r="B3175" t="s">
        <v>257</v>
      </c>
      <c r="C3175" t="s">
        <v>54</v>
      </c>
      <c r="D3175" s="49">
        <v>45816</v>
      </c>
      <c r="E3175" s="49">
        <v>45822</v>
      </c>
      <c r="F3175" s="49">
        <v>45834</v>
      </c>
      <c r="I3175" s="49">
        <v>45875</v>
      </c>
      <c r="J3175" t="s">
        <v>49</v>
      </c>
      <c r="K3175" s="33">
        <v>9300</v>
      </c>
      <c r="L3175" t="s">
        <v>63</v>
      </c>
      <c r="M3175" t="str">
        <f>_xlfn.XLOOKUP(Pipeline_tbl[[#This Row],[Rep_ID]],Dim_Reps!A:A,Dim_Reps!K:K)</f>
        <v>EUR</v>
      </c>
      <c r="N3175" s="33">
        <f>(_xlfn.XLOOKUP(Pipeline_tbl[[#This Row],[Rate_Code_Generalized]],Lookups!A:A,Lookups!B:B))*Pipeline_tbl[[#This Row],[Pipeline_Amount_USD]]</f>
        <v>9300</v>
      </c>
      <c r="O3175" t="str">
        <f>_xlfn.XLOOKUP(Pipeline_tbl[[#This Row],[Rep_ID]],Dim_Reps!A:A,Dim_Reps!B:B)</f>
        <v>Ana Kim</v>
      </c>
      <c r="P3175" t="str">
        <f>_xlfn.XLOOKUP(Pipeline_tbl[[#This Row],[Rep_ID]],Dim_Reps!A:A,Dim_Reps!C:C)</f>
        <v>Mid-Market AE</v>
      </c>
      <c r="Q3175" t="str">
        <f>_xlfn.XLOOKUP(Pipeline_tbl[[#This Row],[Rep_ID]],Dim_Reps!A:A,Dim_Reps!D:D)</f>
        <v>Mid-Market</v>
      </c>
      <c r="R3175" t="str">
        <f>_xlfn.XLOOKUP(Pipeline_tbl[[#This Row],[Rep_ID]],Dim_Reps!A:A,Dim_Reps!E:E)</f>
        <v>APAC</v>
      </c>
      <c r="S3175" t="str">
        <f>_xlfn.XLOOKUP(Pipeline_tbl[[#This Row],[Created_Date]],Dim_Date!A:A,Dim_Date!H:H)</f>
        <v>Jun 2025</v>
      </c>
      <c r="T3175" t="str">
        <f>IF(Pipeline_tbl[[#This Row],[Closed_Date]]=0,"",(_xlfn.XLOOKUP(Pipeline_tbl[[#This Row],[Closed_Date]],Dim_Date!A:A,Dim_Date!H:H)))</f>
        <v>Aug 2025</v>
      </c>
      <c r="U3175">
        <f>IF(Pipeline_tbl[[#This Row],[Closed_Date]]=0,"",Pipeline_tbl[[#This Row],[Closed_Date]]-Pipeline_tbl[[#This Row],[Created_Date]])</f>
        <v>59</v>
      </c>
    </row>
    <row r="3176" spans="1:21" ht="15" customHeight="1" x14ac:dyDescent="0.2">
      <c r="A3176" t="s">
        <v>3482</v>
      </c>
      <c r="B3176" t="s">
        <v>261</v>
      </c>
      <c r="C3176" t="s">
        <v>52</v>
      </c>
      <c r="D3176" s="49">
        <v>45837</v>
      </c>
      <c r="E3176" s="49">
        <v>45841</v>
      </c>
      <c r="I3176" s="49">
        <v>45876</v>
      </c>
      <c r="J3176" t="s">
        <v>49</v>
      </c>
      <c r="K3176" s="33">
        <v>10700</v>
      </c>
      <c r="L3176" t="s">
        <v>61</v>
      </c>
      <c r="M3176" t="str">
        <f>_xlfn.XLOOKUP(Pipeline_tbl[[#This Row],[Rep_ID]],Dim_Reps!A:A,Dim_Reps!K:K)</f>
        <v>USD</v>
      </c>
      <c r="N3176" s="33">
        <f>(_xlfn.XLOOKUP(Pipeline_tbl[[#This Row],[Rate_Code_Generalized]],Lookups!A:A,Lookups!B:B))*Pipeline_tbl[[#This Row],[Pipeline_Amount_USD]]</f>
        <v>12458.009999999998</v>
      </c>
      <c r="O3176" t="str">
        <f>_xlfn.XLOOKUP(Pipeline_tbl[[#This Row],[Rep_ID]],Dim_Reps!A:A,Dim_Reps!B:B)</f>
        <v>Morgan Larsen</v>
      </c>
      <c r="P3176" t="str">
        <f>_xlfn.XLOOKUP(Pipeline_tbl[[#This Row],[Rep_ID]],Dim_Reps!A:A,Dim_Reps!C:C)</f>
        <v>Mid-Market AE</v>
      </c>
      <c r="Q3176" t="str">
        <f>_xlfn.XLOOKUP(Pipeline_tbl[[#This Row],[Rep_ID]],Dim_Reps!A:A,Dim_Reps!D:D)</f>
        <v>Mid-Market</v>
      </c>
      <c r="R3176" t="str">
        <f>_xlfn.XLOOKUP(Pipeline_tbl[[#This Row],[Rep_ID]],Dim_Reps!A:A,Dim_Reps!E:E)</f>
        <v>NAMER</v>
      </c>
      <c r="S3176" t="str">
        <f>_xlfn.XLOOKUP(Pipeline_tbl[[#This Row],[Created_Date]],Dim_Date!A:A,Dim_Date!H:H)</f>
        <v>Jun 2025</v>
      </c>
      <c r="T3176" t="str">
        <f>IF(Pipeline_tbl[[#This Row],[Closed_Date]]=0,"",(_xlfn.XLOOKUP(Pipeline_tbl[[#This Row],[Closed_Date]],Dim_Date!A:A,Dim_Date!H:H)))</f>
        <v>Aug 2025</v>
      </c>
      <c r="U3176">
        <f>IF(Pipeline_tbl[[#This Row],[Closed_Date]]=0,"",Pipeline_tbl[[#This Row],[Closed_Date]]-Pipeline_tbl[[#This Row],[Created_Date]])</f>
        <v>39</v>
      </c>
    </row>
    <row r="3177" spans="1:21" ht="15" customHeight="1" x14ac:dyDescent="0.2">
      <c r="A3177" t="s">
        <v>3483</v>
      </c>
      <c r="B3177" t="s">
        <v>280</v>
      </c>
      <c r="C3177" t="s">
        <v>53</v>
      </c>
      <c r="D3177" s="49">
        <v>45831</v>
      </c>
      <c r="E3177" s="49">
        <v>45837</v>
      </c>
      <c r="F3177" s="49">
        <v>45849</v>
      </c>
      <c r="I3177" s="49">
        <v>45892</v>
      </c>
      <c r="J3177" t="s">
        <v>49</v>
      </c>
      <c r="K3177" s="33">
        <v>51600</v>
      </c>
      <c r="L3177" t="s">
        <v>60</v>
      </c>
      <c r="M3177" t="str">
        <f>_xlfn.XLOOKUP(Pipeline_tbl[[#This Row],[Rep_ID]],Dim_Reps!A:A,Dim_Reps!K:K)</f>
        <v>MXN</v>
      </c>
      <c r="N3177" s="33">
        <f>(_xlfn.XLOOKUP(Pipeline_tbl[[#This Row],[Rate_Code_Generalized]],Lookups!A:A,Lookups!B:B))*Pipeline_tbl[[#This Row],[Pipeline_Amount_USD]]</f>
        <v>1018207.3200000001</v>
      </c>
      <c r="O3177" t="str">
        <f>_xlfn.XLOOKUP(Pipeline_tbl[[#This Row],[Rep_ID]],Dim_Reps!A:A,Dim_Reps!B:B)</f>
        <v>Cameron Lund</v>
      </c>
      <c r="P3177" t="str">
        <f>_xlfn.XLOOKUP(Pipeline_tbl[[#This Row],[Rep_ID]],Dim_Reps!A:A,Dim_Reps!C:C)</f>
        <v>Senior Enterprise AE</v>
      </c>
      <c r="Q3177" t="str">
        <f>_xlfn.XLOOKUP(Pipeline_tbl[[#This Row],[Rep_ID]],Dim_Reps!A:A,Dim_Reps!D:D)</f>
        <v>Strategic</v>
      </c>
      <c r="R3177" t="str">
        <f>_xlfn.XLOOKUP(Pipeline_tbl[[#This Row],[Rep_ID]],Dim_Reps!A:A,Dim_Reps!E:E)</f>
        <v>LATAM</v>
      </c>
      <c r="S3177" t="str">
        <f>_xlfn.XLOOKUP(Pipeline_tbl[[#This Row],[Created_Date]],Dim_Date!A:A,Dim_Date!H:H)</f>
        <v>Jun 2025</v>
      </c>
      <c r="T3177" t="str">
        <f>IF(Pipeline_tbl[[#This Row],[Closed_Date]]=0,"",(_xlfn.XLOOKUP(Pipeline_tbl[[#This Row],[Closed_Date]],Dim_Date!A:A,Dim_Date!H:H)))</f>
        <v>Aug 2025</v>
      </c>
      <c r="U3177">
        <f>IF(Pipeline_tbl[[#This Row],[Closed_Date]]=0,"",Pipeline_tbl[[#This Row],[Closed_Date]]-Pipeline_tbl[[#This Row],[Created_Date]])</f>
        <v>61</v>
      </c>
    </row>
    <row r="3178" spans="1:21" ht="15" customHeight="1" x14ac:dyDescent="0.2">
      <c r="A3178" t="s">
        <v>3484</v>
      </c>
      <c r="B3178" t="s">
        <v>191</v>
      </c>
      <c r="C3178" t="s">
        <v>55</v>
      </c>
      <c r="D3178" s="49">
        <v>45815</v>
      </c>
      <c r="E3178" s="49">
        <v>45823</v>
      </c>
      <c r="I3178" s="49">
        <v>45899</v>
      </c>
      <c r="J3178" t="s">
        <v>49</v>
      </c>
      <c r="K3178" s="33">
        <v>21900</v>
      </c>
      <c r="L3178" t="s">
        <v>60</v>
      </c>
      <c r="M3178" t="str">
        <f>_xlfn.XLOOKUP(Pipeline_tbl[[#This Row],[Rep_ID]],Dim_Reps!A:A,Dim_Reps!K:K)</f>
        <v>USD</v>
      </c>
      <c r="N3178" s="33">
        <f>(_xlfn.XLOOKUP(Pipeline_tbl[[#This Row],[Rate_Code_Generalized]],Lookups!A:A,Lookups!B:B))*Pipeline_tbl[[#This Row],[Pipeline_Amount_USD]]</f>
        <v>25498.17</v>
      </c>
      <c r="O3178" t="str">
        <f>_xlfn.XLOOKUP(Pipeline_tbl[[#This Row],[Rep_ID]],Dim_Reps!A:A,Dim_Reps!B:B)</f>
        <v>Zara Duarte</v>
      </c>
      <c r="P3178" t="str">
        <f>_xlfn.XLOOKUP(Pipeline_tbl[[#This Row],[Rep_ID]],Dim_Reps!A:A,Dim_Reps!C:C)</f>
        <v>Enterprise AE</v>
      </c>
      <c r="Q3178" t="str">
        <f>_xlfn.XLOOKUP(Pipeline_tbl[[#This Row],[Rep_ID]],Dim_Reps!A:A,Dim_Reps!D:D)</f>
        <v>Enterprise</v>
      </c>
      <c r="R3178" t="str">
        <f>_xlfn.XLOOKUP(Pipeline_tbl[[#This Row],[Rep_ID]],Dim_Reps!A:A,Dim_Reps!E:E)</f>
        <v>NAMER</v>
      </c>
      <c r="S3178" t="str">
        <f>_xlfn.XLOOKUP(Pipeline_tbl[[#This Row],[Created_Date]],Dim_Date!A:A,Dim_Date!H:H)</f>
        <v>Jun 2025</v>
      </c>
      <c r="T3178" t="str">
        <f>IF(Pipeline_tbl[[#This Row],[Closed_Date]]=0,"",(_xlfn.XLOOKUP(Pipeline_tbl[[#This Row],[Closed_Date]],Dim_Date!A:A,Dim_Date!H:H)))</f>
        <v>Aug 2025</v>
      </c>
      <c r="U3178">
        <f>IF(Pipeline_tbl[[#This Row],[Closed_Date]]=0,"",Pipeline_tbl[[#This Row],[Closed_Date]]-Pipeline_tbl[[#This Row],[Created_Date]])</f>
        <v>84</v>
      </c>
    </row>
    <row r="3179" spans="1:21" ht="15" customHeight="1" x14ac:dyDescent="0.2">
      <c r="A3179" t="s">
        <v>3485</v>
      </c>
      <c r="B3179" t="s">
        <v>191</v>
      </c>
      <c r="C3179" t="s">
        <v>54</v>
      </c>
      <c r="D3179" s="49">
        <v>45813</v>
      </c>
      <c r="E3179" s="49">
        <v>45821</v>
      </c>
      <c r="F3179" s="49">
        <v>45837</v>
      </c>
      <c r="G3179" s="49">
        <v>45861</v>
      </c>
      <c r="H3179" s="49">
        <v>45881</v>
      </c>
      <c r="I3179" s="49">
        <v>45893</v>
      </c>
      <c r="J3179" t="s">
        <v>49</v>
      </c>
      <c r="K3179" s="33">
        <v>21500</v>
      </c>
      <c r="L3179" t="s">
        <v>60</v>
      </c>
      <c r="M3179" t="str">
        <f>_xlfn.XLOOKUP(Pipeline_tbl[[#This Row],[Rep_ID]],Dim_Reps!A:A,Dim_Reps!K:K)</f>
        <v>USD</v>
      </c>
      <c r="N3179" s="33">
        <f>(_xlfn.XLOOKUP(Pipeline_tbl[[#This Row],[Rate_Code_Generalized]],Lookups!A:A,Lookups!B:B))*Pipeline_tbl[[#This Row],[Pipeline_Amount_USD]]</f>
        <v>25032.449999999997</v>
      </c>
      <c r="O3179" t="str">
        <f>_xlfn.XLOOKUP(Pipeline_tbl[[#This Row],[Rep_ID]],Dim_Reps!A:A,Dim_Reps!B:B)</f>
        <v>Zara Duarte</v>
      </c>
      <c r="P3179" t="str">
        <f>_xlfn.XLOOKUP(Pipeline_tbl[[#This Row],[Rep_ID]],Dim_Reps!A:A,Dim_Reps!C:C)</f>
        <v>Enterprise AE</v>
      </c>
      <c r="Q3179" t="str">
        <f>_xlfn.XLOOKUP(Pipeline_tbl[[#This Row],[Rep_ID]],Dim_Reps!A:A,Dim_Reps!D:D)</f>
        <v>Enterprise</v>
      </c>
      <c r="R3179" t="str">
        <f>_xlfn.XLOOKUP(Pipeline_tbl[[#This Row],[Rep_ID]],Dim_Reps!A:A,Dim_Reps!E:E)</f>
        <v>NAMER</v>
      </c>
      <c r="S3179" t="str">
        <f>_xlfn.XLOOKUP(Pipeline_tbl[[#This Row],[Created_Date]],Dim_Date!A:A,Dim_Date!H:H)</f>
        <v>Jun 2025</v>
      </c>
      <c r="T3179" t="str">
        <f>IF(Pipeline_tbl[[#This Row],[Closed_Date]]=0,"",(_xlfn.XLOOKUP(Pipeline_tbl[[#This Row],[Closed_Date]],Dim_Date!A:A,Dim_Date!H:H)))</f>
        <v>Aug 2025</v>
      </c>
      <c r="U3179">
        <f>IF(Pipeline_tbl[[#This Row],[Closed_Date]]=0,"",Pipeline_tbl[[#This Row],[Closed_Date]]-Pipeline_tbl[[#This Row],[Created_Date]])</f>
        <v>80</v>
      </c>
    </row>
    <row r="3180" spans="1:21" ht="15" customHeight="1" x14ac:dyDescent="0.2">
      <c r="A3180" t="s">
        <v>3486</v>
      </c>
      <c r="B3180" t="s">
        <v>191</v>
      </c>
      <c r="C3180" t="s">
        <v>52</v>
      </c>
      <c r="D3180" s="49">
        <v>45837</v>
      </c>
      <c r="E3180" s="49">
        <v>45843</v>
      </c>
      <c r="F3180" s="49">
        <v>45855</v>
      </c>
      <c r="I3180" s="49">
        <v>45896</v>
      </c>
      <c r="J3180" t="s">
        <v>49</v>
      </c>
      <c r="K3180" s="33">
        <v>21500</v>
      </c>
      <c r="L3180" t="s">
        <v>63</v>
      </c>
      <c r="M3180" t="str">
        <f>_xlfn.XLOOKUP(Pipeline_tbl[[#This Row],[Rep_ID]],Dim_Reps!A:A,Dim_Reps!K:K)</f>
        <v>USD</v>
      </c>
      <c r="N3180" s="33">
        <f>(_xlfn.XLOOKUP(Pipeline_tbl[[#This Row],[Rate_Code_Generalized]],Lookups!A:A,Lookups!B:B))*Pipeline_tbl[[#This Row],[Pipeline_Amount_USD]]</f>
        <v>25032.449999999997</v>
      </c>
      <c r="O3180" t="str">
        <f>_xlfn.XLOOKUP(Pipeline_tbl[[#This Row],[Rep_ID]],Dim_Reps!A:A,Dim_Reps!B:B)</f>
        <v>Zara Duarte</v>
      </c>
      <c r="P3180" t="str">
        <f>_xlfn.XLOOKUP(Pipeline_tbl[[#This Row],[Rep_ID]],Dim_Reps!A:A,Dim_Reps!C:C)</f>
        <v>Enterprise AE</v>
      </c>
      <c r="Q3180" t="str">
        <f>_xlfn.XLOOKUP(Pipeline_tbl[[#This Row],[Rep_ID]],Dim_Reps!A:A,Dim_Reps!D:D)</f>
        <v>Enterprise</v>
      </c>
      <c r="R3180" t="str">
        <f>_xlfn.XLOOKUP(Pipeline_tbl[[#This Row],[Rep_ID]],Dim_Reps!A:A,Dim_Reps!E:E)</f>
        <v>NAMER</v>
      </c>
      <c r="S3180" t="str">
        <f>_xlfn.XLOOKUP(Pipeline_tbl[[#This Row],[Created_Date]],Dim_Date!A:A,Dim_Date!H:H)</f>
        <v>Jun 2025</v>
      </c>
      <c r="T3180" t="str">
        <f>IF(Pipeline_tbl[[#This Row],[Closed_Date]]=0,"",(_xlfn.XLOOKUP(Pipeline_tbl[[#This Row],[Closed_Date]],Dim_Date!A:A,Dim_Date!H:H)))</f>
        <v>Aug 2025</v>
      </c>
      <c r="U3180">
        <f>IF(Pipeline_tbl[[#This Row],[Closed_Date]]=0,"",Pipeline_tbl[[#This Row],[Closed_Date]]-Pipeline_tbl[[#This Row],[Created_Date]])</f>
        <v>59</v>
      </c>
    </row>
    <row r="3181" spans="1:21" ht="15" customHeight="1" x14ac:dyDescent="0.2">
      <c r="A3181" t="s">
        <v>3487</v>
      </c>
      <c r="B3181" t="s">
        <v>191</v>
      </c>
      <c r="C3181" t="s">
        <v>53</v>
      </c>
      <c r="D3181" s="49">
        <v>45829</v>
      </c>
      <c r="E3181" s="49">
        <v>45834</v>
      </c>
      <c r="F3181" s="49">
        <v>45845</v>
      </c>
      <c r="G3181" s="49">
        <v>45861</v>
      </c>
      <c r="I3181" s="49">
        <v>45882</v>
      </c>
      <c r="J3181" t="s">
        <v>49</v>
      </c>
      <c r="K3181" s="33">
        <v>30400</v>
      </c>
      <c r="L3181" t="s">
        <v>60</v>
      </c>
      <c r="M3181" t="str">
        <f>_xlfn.XLOOKUP(Pipeline_tbl[[#This Row],[Rep_ID]],Dim_Reps!A:A,Dim_Reps!K:K)</f>
        <v>USD</v>
      </c>
      <c r="N3181" s="33">
        <f>(_xlfn.XLOOKUP(Pipeline_tbl[[#This Row],[Rate_Code_Generalized]],Lookups!A:A,Lookups!B:B))*Pipeline_tbl[[#This Row],[Pipeline_Amount_USD]]</f>
        <v>35394.719999999994</v>
      </c>
      <c r="O3181" t="str">
        <f>_xlfn.XLOOKUP(Pipeline_tbl[[#This Row],[Rep_ID]],Dim_Reps!A:A,Dim_Reps!B:B)</f>
        <v>Zara Duarte</v>
      </c>
      <c r="P3181" t="str">
        <f>_xlfn.XLOOKUP(Pipeline_tbl[[#This Row],[Rep_ID]],Dim_Reps!A:A,Dim_Reps!C:C)</f>
        <v>Enterprise AE</v>
      </c>
      <c r="Q3181" t="str">
        <f>_xlfn.XLOOKUP(Pipeline_tbl[[#This Row],[Rep_ID]],Dim_Reps!A:A,Dim_Reps!D:D)</f>
        <v>Enterprise</v>
      </c>
      <c r="R3181" t="str">
        <f>_xlfn.XLOOKUP(Pipeline_tbl[[#This Row],[Rep_ID]],Dim_Reps!A:A,Dim_Reps!E:E)</f>
        <v>NAMER</v>
      </c>
      <c r="S3181" t="str">
        <f>_xlfn.XLOOKUP(Pipeline_tbl[[#This Row],[Created_Date]],Dim_Date!A:A,Dim_Date!H:H)</f>
        <v>Jun 2025</v>
      </c>
      <c r="T3181" t="str">
        <f>IF(Pipeline_tbl[[#This Row],[Closed_Date]]=0,"",(_xlfn.XLOOKUP(Pipeline_tbl[[#This Row],[Closed_Date]],Dim_Date!A:A,Dim_Date!H:H)))</f>
        <v>Aug 2025</v>
      </c>
      <c r="U3181">
        <f>IF(Pipeline_tbl[[#This Row],[Closed_Date]]=0,"",Pipeline_tbl[[#This Row],[Closed_Date]]-Pipeline_tbl[[#This Row],[Created_Date]])</f>
        <v>53</v>
      </c>
    </row>
    <row r="3182" spans="1:21" ht="15" customHeight="1" x14ac:dyDescent="0.2">
      <c r="A3182" t="s">
        <v>3488</v>
      </c>
      <c r="B3182" t="s">
        <v>191</v>
      </c>
      <c r="C3182" t="s">
        <v>52</v>
      </c>
      <c r="D3182" s="49">
        <v>45818</v>
      </c>
      <c r="E3182" s="49">
        <v>45826</v>
      </c>
      <c r="F3182" s="49">
        <v>45841</v>
      </c>
      <c r="G3182" s="49">
        <v>45865</v>
      </c>
      <c r="H3182" s="49">
        <v>45884</v>
      </c>
      <c r="I3182" s="49">
        <v>45896</v>
      </c>
      <c r="J3182" t="s">
        <v>49</v>
      </c>
      <c r="K3182" s="33">
        <v>38300</v>
      </c>
      <c r="L3182" t="s">
        <v>64</v>
      </c>
      <c r="M3182" t="str">
        <f>_xlfn.XLOOKUP(Pipeline_tbl[[#This Row],[Rep_ID]],Dim_Reps!A:A,Dim_Reps!K:K)</f>
        <v>USD</v>
      </c>
      <c r="N3182" s="33">
        <f>(_xlfn.XLOOKUP(Pipeline_tbl[[#This Row],[Rate_Code_Generalized]],Lookups!A:A,Lookups!B:B))*Pipeline_tbl[[#This Row],[Pipeline_Amount_USD]]</f>
        <v>44592.689999999995</v>
      </c>
      <c r="O3182" t="str">
        <f>_xlfn.XLOOKUP(Pipeline_tbl[[#This Row],[Rep_ID]],Dim_Reps!A:A,Dim_Reps!B:B)</f>
        <v>Zara Duarte</v>
      </c>
      <c r="P3182" t="str">
        <f>_xlfn.XLOOKUP(Pipeline_tbl[[#This Row],[Rep_ID]],Dim_Reps!A:A,Dim_Reps!C:C)</f>
        <v>Enterprise AE</v>
      </c>
      <c r="Q3182" t="str">
        <f>_xlfn.XLOOKUP(Pipeline_tbl[[#This Row],[Rep_ID]],Dim_Reps!A:A,Dim_Reps!D:D)</f>
        <v>Enterprise</v>
      </c>
      <c r="R3182" t="str">
        <f>_xlfn.XLOOKUP(Pipeline_tbl[[#This Row],[Rep_ID]],Dim_Reps!A:A,Dim_Reps!E:E)</f>
        <v>NAMER</v>
      </c>
      <c r="S3182" t="str">
        <f>_xlfn.XLOOKUP(Pipeline_tbl[[#This Row],[Created_Date]],Dim_Date!A:A,Dim_Date!H:H)</f>
        <v>Jun 2025</v>
      </c>
      <c r="T3182" t="str">
        <f>IF(Pipeline_tbl[[#This Row],[Closed_Date]]=0,"",(_xlfn.XLOOKUP(Pipeline_tbl[[#This Row],[Closed_Date]],Dim_Date!A:A,Dim_Date!H:H)))</f>
        <v>Aug 2025</v>
      </c>
      <c r="U3182">
        <f>IF(Pipeline_tbl[[#This Row],[Closed_Date]]=0,"",Pipeline_tbl[[#This Row],[Closed_Date]]-Pipeline_tbl[[#This Row],[Created_Date]])</f>
        <v>78</v>
      </c>
    </row>
    <row r="3183" spans="1:21" ht="15" customHeight="1" x14ac:dyDescent="0.2">
      <c r="A3183" t="s">
        <v>3489</v>
      </c>
      <c r="B3183" t="s">
        <v>263</v>
      </c>
      <c r="C3183" t="s">
        <v>55</v>
      </c>
      <c r="D3183" s="49">
        <v>45831</v>
      </c>
      <c r="E3183" s="49">
        <v>45835</v>
      </c>
      <c r="F3183" s="49">
        <v>45844</v>
      </c>
      <c r="G3183" s="49">
        <v>45857</v>
      </c>
      <c r="H3183" s="49">
        <v>45868</v>
      </c>
      <c r="I3183" s="49">
        <v>45874</v>
      </c>
      <c r="J3183" t="s">
        <v>47</v>
      </c>
      <c r="K3183" s="33">
        <v>8300</v>
      </c>
      <c r="M3183" t="str">
        <f>_xlfn.XLOOKUP(Pipeline_tbl[[#This Row],[Rep_ID]],Dim_Reps!A:A,Dim_Reps!K:K)</f>
        <v>USD</v>
      </c>
      <c r="N3183" s="33">
        <f>(_xlfn.XLOOKUP(Pipeline_tbl[[#This Row],[Rate_Code_Generalized]],Lookups!A:A,Lookups!B:B))*Pipeline_tbl[[#This Row],[Pipeline_Amount_USD]]</f>
        <v>9663.6899999999987</v>
      </c>
      <c r="O3183" t="str">
        <f>_xlfn.XLOOKUP(Pipeline_tbl[[#This Row],[Rep_ID]],Dim_Reps!A:A,Dim_Reps!B:B)</f>
        <v>Morgan Weber</v>
      </c>
      <c r="P3183" t="str">
        <f>_xlfn.XLOOKUP(Pipeline_tbl[[#This Row],[Rep_ID]],Dim_Reps!A:A,Dim_Reps!C:C)</f>
        <v>Mid-Market AE</v>
      </c>
      <c r="Q3183" t="str">
        <f>_xlfn.XLOOKUP(Pipeline_tbl[[#This Row],[Rep_ID]],Dim_Reps!A:A,Dim_Reps!D:D)</f>
        <v>Mid-Market</v>
      </c>
      <c r="R3183" t="str">
        <f>_xlfn.XLOOKUP(Pipeline_tbl[[#This Row],[Rep_ID]],Dim_Reps!A:A,Dim_Reps!E:E)</f>
        <v>NAMER</v>
      </c>
      <c r="S3183" t="str">
        <f>_xlfn.XLOOKUP(Pipeline_tbl[[#This Row],[Created_Date]],Dim_Date!A:A,Dim_Date!H:H)</f>
        <v>Jun 2025</v>
      </c>
      <c r="T3183" t="str">
        <f>IF(Pipeline_tbl[[#This Row],[Closed_Date]]=0,"",(_xlfn.XLOOKUP(Pipeline_tbl[[#This Row],[Closed_Date]],Dim_Date!A:A,Dim_Date!H:H)))</f>
        <v>Aug 2025</v>
      </c>
      <c r="U3183">
        <f>IF(Pipeline_tbl[[#This Row],[Closed_Date]]=0,"",Pipeline_tbl[[#This Row],[Closed_Date]]-Pipeline_tbl[[#This Row],[Created_Date]])</f>
        <v>43</v>
      </c>
    </row>
    <row r="3184" spans="1:21" ht="15" customHeight="1" x14ac:dyDescent="0.2">
      <c r="A3184" t="s">
        <v>3490</v>
      </c>
      <c r="B3184" t="s">
        <v>263</v>
      </c>
      <c r="C3184" t="s">
        <v>53</v>
      </c>
      <c r="D3184" s="49">
        <v>45826</v>
      </c>
      <c r="E3184" s="49">
        <v>45830</v>
      </c>
      <c r="F3184" s="49">
        <v>45840</v>
      </c>
      <c r="I3184" s="49">
        <v>45871</v>
      </c>
      <c r="J3184" t="s">
        <v>49</v>
      </c>
      <c r="K3184" s="33">
        <v>18500</v>
      </c>
      <c r="L3184" t="s">
        <v>60</v>
      </c>
      <c r="M3184" t="str">
        <f>_xlfn.XLOOKUP(Pipeline_tbl[[#This Row],[Rep_ID]],Dim_Reps!A:A,Dim_Reps!K:K)</f>
        <v>USD</v>
      </c>
      <c r="N3184" s="33">
        <f>(_xlfn.XLOOKUP(Pipeline_tbl[[#This Row],[Rate_Code_Generalized]],Lookups!A:A,Lookups!B:B))*Pipeline_tbl[[#This Row],[Pipeline_Amount_USD]]</f>
        <v>21539.55</v>
      </c>
      <c r="O3184" t="str">
        <f>_xlfn.XLOOKUP(Pipeline_tbl[[#This Row],[Rep_ID]],Dim_Reps!A:A,Dim_Reps!B:B)</f>
        <v>Morgan Weber</v>
      </c>
      <c r="P3184" t="str">
        <f>_xlfn.XLOOKUP(Pipeline_tbl[[#This Row],[Rep_ID]],Dim_Reps!A:A,Dim_Reps!C:C)</f>
        <v>Mid-Market AE</v>
      </c>
      <c r="Q3184" t="str">
        <f>_xlfn.XLOOKUP(Pipeline_tbl[[#This Row],[Rep_ID]],Dim_Reps!A:A,Dim_Reps!D:D)</f>
        <v>Mid-Market</v>
      </c>
      <c r="R3184" t="str">
        <f>_xlfn.XLOOKUP(Pipeline_tbl[[#This Row],[Rep_ID]],Dim_Reps!A:A,Dim_Reps!E:E)</f>
        <v>NAMER</v>
      </c>
      <c r="S3184" t="str">
        <f>_xlfn.XLOOKUP(Pipeline_tbl[[#This Row],[Created_Date]],Dim_Date!A:A,Dim_Date!H:H)</f>
        <v>Jun 2025</v>
      </c>
      <c r="T3184" t="str">
        <f>IF(Pipeline_tbl[[#This Row],[Closed_Date]]=0,"",(_xlfn.XLOOKUP(Pipeline_tbl[[#This Row],[Closed_Date]],Dim_Date!A:A,Dim_Date!H:H)))</f>
        <v>Aug 2025</v>
      </c>
      <c r="U3184">
        <f>IF(Pipeline_tbl[[#This Row],[Closed_Date]]=0,"",Pipeline_tbl[[#This Row],[Closed_Date]]-Pipeline_tbl[[#This Row],[Created_Date]])</f>
        <v>45</v>
      </c>
    </row>
    <row r="3185" spans="1:21" ht="15" customHeight="1" x14ac:dyDescent="0.2">
      <c r="A3185" t="s">
        <v>3491</v>
      </c>
      <c r="B3185" t="s">
        <v>265</v>
      </c>
      <c r="C3185" t="s">
        <v>54</v>
      </c>
      <c r="D3185" s="49">
        <v>45837</v>
      </c>
      <c r="E3185" s="49">
        <v>45841</v>
      </c>
      <c r="F3185" s="49">
        <v>45848</v>
      </c>
      <c r="G3185" s="49">
        <v>45859</v>
      </c>
      <c r="I3185" s="49">
        <v>45873</v>
      </c>
      <c r="J3185" t="s">
        <v>49</v>
      </c>
      <c r="K3185" s="33">
        <v>5900</v>
      </c>
      <c r="L3185" t="s">
        <v>61</v>
      </c>
      <c r="M3185" t="str">
        <f>_xlfn.XLOOKUP(Pipeline_tbl[[#This Row],[Rep_ID]],Dim_Reps!A:A,Dim_Reps!K:K)</f>
        <v>EUR</v>
      </c>
      <c r="N3185" s="33">
        <f>(_xlfn.XLOOKUP(Pipeline_tbl[[#This Row],[Rate_Code_Generalized]],Lookups!A:A,Lookups!B:B))*Pipeline_tbl[[#This Row],[Pipeline_Amount_USD]]</f>
        <v>5900</v>
      </c>
      <c r="O3185" t="str">
        <f>_xlfn.XLOOKUP(Pipeline_tbl[[#This Row],[Rep_ID]],Dim_Reps!A:A,Dim_Reps!B:B)</f>
        <v>Erik Duarte</v>
      </c>
      <c r="P3185" t="str">
        <f>_xlfn.XLOOKUP(Pipeline_tbl[[#This Row],[Rep_ID]],Dim_Reps!A:A,Dim_Reps!C:C)</f>
        <v>Mid-Market AE</v>
      </c>
      <c r="Q3185" t="str">
        <f>_xlfn.XLOOKUP(Pipeline_tbl[[#This Row],[Rep_ID]],Dim_Reps!A:A,Dim_Reps!D:D)</f>
        <v>Mid-Market</v>
      </c>
      <c r="R3185" t="str">
        <f>_xlfn.XLOOKUP(Pipeline_tbl[[#This Row],[Rep_ID]],Dim_Reps!A:A,Dim_Reps!E:E)</f>
        <v>EMEA</v>
      </c>
      <c r="S3185" t="str">
        <f>_xlfn.XLOOKUP(Pipeline_tbl[[#This Row],[Created_Date]],Dim_Date!A:A,Dim_Date!H:H)</f>
        <v>Jun 2025</v>
      </c>
      <c r="T3185" t="str">
        <f>IF(Pipeline_tbl[[#This Row],[Closed_Date]]=0,"",(_xlfn.XLOOKUP(Pipeline_tbl[[#This Row],[Closed_Date]],Dim_Date!A:A,Dim_Date!H:H)))</f>
        <v>Aug 2025</v>
      </c>
      <c r="U3185">
        <f>IF(Pipeline_tbl[[#This Row],[Closed_Date]]=0,"",Pipeline_tbl[[#This Row],[Closed_Date]]-Pipeline_tbl[[#This Row],[Created_Date]])</f>
        <v>36</v>
      </c>
    </row>
    <row r="3186" spans="1:21" ht="15" customHeight="1" x14ac:dyDescent="0.2">
      <c r="A3186" t="s">
        <v>3492</v>
      </c>
      <c r="B3186" t="s">
        <v>265</v>
      </c>
      <c r="C3186" t="s">
        <v>52</v>
      </c>
      <c r="D3186" s="49">
        <v>45838</v>
      </c>
      <c r="E3186" s="49">
        <v>45843</v>
      </c>
      <c r="F3186" s="49">
        <v>45853</v>
      </c>
      <c r="G3186" s="49">
        <v>45868</v>
      </c>
      <c r="I3186" s="49">
        <v>45888</v>
      </c>
      <c r="J3186" t="s">
        <v>49</v>
      </c>
      <c r="K3186" s="33">
        <v>26500</v>
      </c>
      <c r="L3186" t="s">
        <v>63</v>
      </c>
      <c r="M3186" t="str">
        <f>_xlfn.XLOOKUP(Pipeline_tbl[[#This Row],[Rep_ID]],Dim_Reps!A:A,Dim_Reps!K:K)</f>
        <v>EUR</v>
      </c>
      <c r="N3186" s="33">
        <f>(_xlfn.XLOOKUP(Pipeline_tbl[[#This Row],[Rate_Code_Generalized]],Lookups!A:A,Lookups!B:B))*Pipeline_tbl[[#This Row],[Pipeline_Amount_USD]]</f>
        <v>26500</v>
      </c>
      <c r="O3186" t="str">
        <f>_xlfn.XLOOKUP(Pipeline_tbl[[#This Row],[Rep_ID]],Dim_Reps!A:A,Dim_Reps!B:B)</f>
        <v>Erik Duarte</v>
      </c>
      <c r="P3186" t="str">
        <f>_xlfn.XLOOKUP(Pipeline_tbl[[#This Row],[Rep_ID]],Dim_Reps!A:A,Dim_Reps!C:C)</f>
        <v>Mid-Market AE</v>
      </c>
      <c r="Q3186" t="str">
        <f>_xlfn.XLOOKUP(Pipeline_tbl[[#This Row],[Rep_ID]],Dim_Reps!A:A,Dim_Reps!D:D)</f>
        <v>Mid-Market</v>
      </c>
      <c r="R3186" t="str">
        <f>_xlfn.XLOOKUP(Pipeline_tbl[[#This Row],[Rep_ID]],Dim_Reps!A:A,Dim_Reps!E:E)</f>
        <v>EMEA</v>
      </c>
      <c r="S3186" t="str">
        <f>_xlfn.XLOOKUP(Pipeline_tbl[[#This Row],[Created_Date]],Dim_Date!A:A,Dim_Date!H:H)</f>
        <v>Jun 2025</v>
      </c>
      <c r="T3186" t="str">
        <f>IF(Pipeline_tbl[[#This Row],[Closed_Date]]=0,"",(_xlfn.XLOOKUP(Pipeline_tbl[[#This Row],[Closed_Date]],Dim_Date!A:A,Dim_Date!H:H)))</f>
        <v>Aug 2025</v>
      </c>
      <c r="U3186">
        <f>IF(Pipeline_tbl[[#This Row],[Closed_Date]]=0,"",Pipeline_tbl[[#This Row],[Closed_Date]]-Pipeline_tbl[[#This Row],[Created_Date]])</f>
        <v>50</v>
      </c>
    </row>
    <row r="3187" spans="1:21" ht="15" customHeight="1" x14ac:dyDescent="0.2">
      <c r="A3187" t="s">
        <v>3493</v>
      </c>
      <c r="B3187" t="s">
        <v>265</v>
      </c>
      <c r="C3187" t="s">
        <v>55</v>
      </c>
      <c r="D3187" s="49">
        <v>45834</v>
      </c>
      <c r="E3187" s="49">
        <v>45839</v>
      </c>
      <c r="F3187" s="49">
        <v>45848</v>
      </c>
      <c r="G3187" s="49">
        <v>45863</v>
      </c>
      <c r="H3187" s="49">
        <v>45875</v>
      </c>
      <c r="I3187" s="49">
        <v>45882</v>
      </c>
      <c r="J3187" t="s">
        <v>47</v>
      </c>
      <c r="K3187" s="33">
        <v>10300</v>
      </c>
      <c r="M3187" t="str">
        <f>_xlfn.XLOOKUP(Pipeline_tbl[[#This Row],[Rep_ID]],Dim_Reps!A:A,Dim_Reps!K:K)</f>
        <v>EUR</v>
      </c>
      <c r="N3187" s="33">
        <f>(_xlfn.XLOOKUP(Pipeline_tbl[[#This Row],[Rate_Code_Generalized]],Lookups!A:A,Lookups!B:B))*Pipeline_tbl[[#This Row],[Pipeline_Amount_USD]]</f>
        <v>10300</v>
      </c>
      <c r="O3187" t="str">
        <f>_xlfn.XLOOKUP(Pipeline_tbl[[#This Row],[Rep_ID]],Dim_Reps!A:A,Dim_Reps!B:B)</f>
        <v>Erik Duarte</v>
      </c>
      <c r="P3187" t="str">
        <f>_xlfn.XLOOKUP(Pipeline_tbl[[#This Row],[Rep_ID]],Dim_Reps!A:A,Dim_Reps!C:C)</f>
        <v>Mid-Market AE</v>
      </c>
      <c r="Q3187" t="str">
        <f>_xlfn.XLOOKUP(Pipeline_tbl[[#This Row],[Rep_ID]],Dim_Reps!A:A,Dim_Reps!D:D)</f>
        <v>Mid-Market</v>
      </c>
      <c r="R3187" t="str">
        <f>_xlfn.XLOOKUP(Pipeline_tbl[[#This Row],[Rep_ID]],Dim_Reps!A:A,Dim_Reps!E:E)</f>
        <v>EMEA</v>
      </c>
      <c r="S3187" t="str">
        <f>_xlfn.XLOOKUP(Pipeline_tbl[[#This Row],[Created_Date]],Dim_Date!A:A,Dim_Date!H:H)</f>
        <v>Jun 2025</v>
      </c>
      <c r="T3187" t="str">
        <f>IF(Pipeline_tbl[[#This Row],[Closed_Date]]=0,"",(_xlfn.XLOOKUP(Pipeline_tbl[[#This Row],[Closed_Date]],Dim_Date!A:A,Dim_Date!H:H)))</f>
        <v>Aug 2025</v>
      </c>
      <c r="U3187">
        <f>IF(Pipeline_tbl[[#This Row],[Closed_Date]]=0,"",Pipeline_tbl[[#This Row],[Closed_Date]]-Pipeline_tbl[[#This Row],[Created_Date]])</f>
        <v>48</v>
      </c>
    </row>
    <row r="3188" spans="1:21" ht="15" customHeight="1" x14ac:dyDescent="0.2">
      <c r="A3188" t="s">
        <v>3494</v>
      </c>
      <c r="B3188" t="s">
        <v>267</v>
      </c>
      <c r="C3188" t="s">
        <v>53</v>
      </c>
      <c r="D3188" s="49">
        <v>45838</v>
      </c>
      <c r="E3188" s="49">
        <v>45842</v>
      </c>
      <c r="F3188" s="49">
        <v>45850</v>
      </c>
      <c r="I3188" s="49">
        <v>45879</v>
      </c>
      <c r="J3188" t="s">
        <v>49</v>
      </c>
      <c r="K3188" s="33">
        <v>6600</v>
      </c>
      <c r="L3188" t="s">
        <v>62</v>
      </c>
      <c r="M3188" t="str">
        <f>_xlfn.XLOOKUP(Pipeline_tbl[[#This Row],[Rep_ID]],Dim_Reps!A:A,Dim_Reps!K:K)</f>
        <v>MXN</v>
      </c>
      <c r="N3188" s="33">
        <f>(_xlfn.XLOOKUP(Pipeline_tbl[[#This Row],[Rate_Code_Generalized]],Lookups!A:A,Lookups!B:B))*Pipeline_tbl[[#This Row],[Pipeline_Amount_USD]]</f>
        <v>130235.82</v>
      </c>
      <c r="O3188" t="str">
        <f>_xlfn.XLOOKUP(Pipeline_tbl[[#This Row],[Rep_ID]],Dim_Reps!A:A,Dim_Reps!B:B)</f>
        <v>Yuki Dubois</v>
      </c>
      <c r="P3188" t="str">
        <f>_xlfn.XLOOKUP(Pipeline_tbl[[#This Row],[Rep_ID]],Dim_Reps!A:A,Dim_Reps!C:C)</f>
        <v>Mid-Market AE</v>
      </c>
      <c r="Q3188" t="str">
        <f>_xlfn.XLOOKUP(Pipeline_tbl[[#This Row],[Rep_ID]],Dim_Reps!A:A,Dim_Reps!D:D)</f>
        <v>Mid-Market</v>
      </c>
      <c r="R3188" t="str">
        <f>_xlfn.XLOOKUP(Pipeline_tbl[[#This Row],[Rep_ID]],Dim_Reps!A:A,Dim_Reps!E:E)</f>
        <v>LATAM</v>
      </c>
      <c r="S3188" t="str">
        <f>_xlfn.XLOOKUP(Pipeline_tbl[[#This Row],[Created_Date]],Dim_Date!A:A,Dim_Date!H:H)</f>
        <v>Jun 2025</v>
      </c>
      <c r="T3188" t="str">
        <f>IF(Pipeline_tbl[[#This Row],[Closed_Date]]=0,"",(_xlfn.XLOOKUP(Pipeline_tbl[[#This Row],[Closed_Date]],Dim_Date!A:A,Dim_Date!H:H)))</f>
        <v>Aug 2025</v>
      </c>
      <c r="U3188">
        <f>IF(Pipeline_tbl[[#This Row],[Closed_Date]]=0,"",Pipeline_tbl[[#This Row],[Closed_Date]]-Pipeline_tbl[[#This Row],[Created_Date]])</f>
        <v>41</v>
      </c>
    </row>
    <row r="3189" spans="1:21" ht="15" customHeight="1" x14ac:dyDescent="0.2">
      <c r="A3189" t="s">
        <v>3495</v>
      </c>
      <c r="B3189" t="s">
        <v>269</v>
      </c>
      <c r="C3189" t="s">
        <v>54</v>
      </c>
      <c r="D3189" s="49">
        <v>45835</v>
      </c>
      <c r="E3189" s="49">
        <v>45839</v>
      </c>
      <c r="F3189" s="49">
        <v>45846</v>
      </c>
      <c r="G3189" s="49">
        <v>45857</v>
      </c>
      <c r="H3189" s="49">
        <v>45866</v>
      </c>
      <c r="I3189" s="49">
        <v>45872</v>
      </c>
      <c r="J3189" t="s">
        <v>49</v>
      </c>
      <c r="K3189" s="33">
        <v>14600</v>
      </c>
      <c r="L3189" t="s">
        <v>60</v>
      </c>
      <c r="M3189" t="str">
        <f>_xlfn.XLOOKUP(Pipeline_tbl[[#This Row],[Rep_ID]],Dim_Reps!A:A,Dim_Reps!K:K)</f>
        <v>USD</v>
      </c>
      <c r="N3189" s="33">
        <f>(_xlfn.XLOOKUP(Pipeline_tbl[[#This Row],[Rate_Code_Generalized]],Lookups!A:A,Lookups!B:B))*Pipeline_tbl[[#This Row],[Pipeline_Amount_USD]]</f>
        <v>16998.78</v>
      </c>
      <c r="O3189" t="str">
        <f>_xlfn.XLOOKUP(Pipeline_tbl[[#This Row],[Rep_ID]],Dim_Reps!A:A,Dim_Reps!B:B)</f>
        <v>Morgan Rivera</v>
      </c>
      <c r="P3189" t="str">
        <f>_xlfn.XLOOKUP(Pipeline_tbl[[#This Row],[Rep_ID]],Dim_Reps!A:A,Dim_Reps!C:C)</f>
        <v>Mid-Market AE</v>
      </c>
      <c r="Q3189" t="str">
        <f>_xlfn.XLOOKUP(Pipeline_tbl[[#This Row],[Rep_ID]],Dim_Reps!A:A,Dim_Reps!D:D)</f>
        <v>Mid-Market</v>
      </c>
      <c r="R3189" t="str">
        <f>_xlfn.XLOOKUP(Pipeline_tbl[[#This Row],[Rep_ID]],Dim_Reps!A:A,Dim_Reps!E:E)</f>
        <v>NAMER</v>
      </c>
      <c r="S3189" t="str">
        <f>_xlfn.XLOOKUP(Pipeline_tbl[[#This Row],[Created_Date]],Dim_Date!A:A,Dim_Date!H:H)</f>
        <v>Jun 2025</v>
      </c>
      <c r="T3189" t="str">
        <f>IF(Pipeline_tbl[[#This Row],[Closed_Date]]=0,"",(_xlfn.XLOOKUP(Pipeline_tbl[[#This Row],[Closed_Date]],Dim_Date!A:A,Dim_Date!H:H)))</f>
        <v>Aug 2025</v>
      </c>
      <c r="U3189">
        <f>IF(Pipeline_tbl[[#This Row],[Closed_Date]]=0,"",Pipeline_tbl[[#This Row],[Closed_Date]]-Pipeline_tbl[[#This Row],[Created_Date]])</f>
        <v>37</v>
      </c>
    </row>
    <row r="3190" spans="1:21" ht="15" customHeight="1" x14ac:dyDescent="0.2">
      <c r="A3190" t="s">
        <v>3496</v>
      </c>
      <c r="B3190" t="s">
        <v>269</v>
      </c>
      <c r="C3190" t="s">
        <v>53</v>
      </c>
      <c r="D3190" s="49">
        <v>45834</v>
      </c>
      <c r="E3190" s="49">
        <v>45838</v>
      </c>
      <c r="F3190" s="49">
        <v>45846</v>
      </c>
      <c r="G3190" s="49">
        <v>45858</v>
      </c>
      <c r="I3190" s="49">
        <v>45874</v>
      </c>
      <c r="J3190" t="s">
        <v>49</v>
      </c>
      <c r="K3190" s="33">
        <v>15700</v>
      </c>
      <c r="L3190" t="s">
        <v>61</v>
      </c>
      <c r="M3190" t="str">
        <f>_xlfn.XLOOKUP(Pipeline_tbl[[#This Row],[Rep_ID]],Dim_Reps!A:A,Dim_Reps!K:K)</f>
        <v>USD</v>
      </c>
      <c r="N3190" s="33">
        <f>(_xlfn.XLOOKUP(Pipeline_tbl[[#This Row],[Rate_Code_Generalized]],Lookups!A:A,Lookups!B:B))*Pipeline_tbl[[#This Row],[Pipeline_Amount_USD]]</f>
        <v>18279.509999999998</v>
      </c>
      <c r="O3190" t="str">
        <f>_xlfn.XLOOKUP(Pipeline_tbl[[#This Row],[Rep_ID]],Dim_Reps!A:A,Dim_Reps!B:B)</f>
        <v>Morgan Rivera</v>
      </c>
      <c r="P3190" t="str">
        <f>_xlfn.XLOOKUP(Pipeline_tbl[[#This Row],[Rep_ID]],Dim_Reps!A:A,Dim_Reps!C:C)</f>
        <v>Mid-Market AE</v>
      </c>
      <c r="Q3190" t="str">
        <f>_xlfn.XLOOKUP(Pipeline_tbl[[#This Row],[Rep_ID]],Dim_Reps!A:A,Dim_Reps!D:D)</f>
        <v>Mid-Market</v>
      </c>
      <c r="R3190" t="str">
        <f>_xlfn.XLOOKUP(Pipeline_tbl[[#This Row],[Rep_ID]],Dim_Reps!A:A,Dim_Reps!E:E)</f>
        <v>NAMER</v>
      </c>
      <c r="S3190" t="str">
        <f>_xlfn.XLOOKUP(Pipeline_tbl[[#This Row],[Created_Date]],Dim_Date!A:A,Dim_Date!H:H)</f>
        <v>Jun 2025</v>
      </c>
      <c r="T3190" t="str">
        <f>IF(Pipeline_tbl[[#This Row],[Closed_Date]]=0,"",(_xlfn.XLOOKUP(Pipeline_tbl[[#This Row],[Closed_Date]],Dim_Date!A:A,Dim_Date!H:H)))</f>
        <v>Aug 2025</v>
      </c>
      <c r="U3190">
        <f>IF(Pipeline_tbl[[#This Row],[Closed_Date]]=0,"",Pipeline_tbl[[#This Row],[Closed_Date]]-Pipeline_tbl[[#This Row],[Created_Date]])</f>
        <v>40</v>
      </c>
    </row>
    <row r="3191" spans="1:21" ht="15" customHeight="1" x14ac:dyDescent="0.2">
      <c r="A3191" t="s">
        <v>3497</v>
      </c>
      <c r="B3191" t="s">
        <v>269</v>
      </c>
      <c r="C3191" t="s">
        <v>52</v>
      </c>
      <c r="D3191" s="49">
        <v>45833</v>
      </c>
      <c r="E3191" s="49">
        <v>45838</v>
      </c>
      <c r="F3191" s="49">
        <v>45848</v>
      </c>
      <c r="G3191" s="49">
        <v>45862</v>
      </c>
      <c r="H3191" s="49">
        <v>45875</v>
      </c>
      <c r="I3191" s="49">
        <v>45882</v>
      </c>
      <c r="J3191" t="s">
        <v>47</v>
      </c>
      <c r="K3191" s="33">
        <v>11400</v>
      </c>
      <c r="M3191" t="str">
        <f>_xlfn.XLOOKUP(Pipeline_tbl[[#This Row],[Rep_ID]],Dim_Reps!A:A,Dim_Reps!K:K)</f>
        <v>USD</v>
      </c>
      <c r="N3191" s="33">
        <f>(_xlfn.XLOOKUP(Pipeline_tbl[[#This Row],[Rate_Code_Generalized]],Lookups!A:A,Lookups!B:B))*Pipeline_tbl[[#This Row],[Pipeline_Amount_USD]]</f>
        <v>13273.019999999999</v>
      </c>
      <c r="O3191" t="str">
        <f>_xlfn.XLOOKUP(Pipeline_tbl[[#This Row],[Rep_ID]],Dim_Reps!A:A,Dim_Reps!B:B)</f>
        <v>Morgan Rivera</v>
      </c>
      <c r="P3191" t="str">
        <f>_xlfn.XLOOKUP(Pipeline_tbl[[#This Row],[Rep_ID]],Dim_Reps!A:A,Dim_Reps!C:C)</f>
        <v>Mid-Market AE</v>
      </c>
      <c r="Q3191" t="str">
        <f>_xlfn.XLOOKUP(Pipeline_tbl[[#This Row],[Rep_ID]],Dim_Reps!A:A,Dim_Reps!D:D)</f>
        <v>Mid-Market</v>
      </c>
      <c r="R3191" t="str">
        <f>_xlfn.XLOOKUP(Pipeline_tbl[[#This Row],[Rep_ID]],Dim_Reps!A:A,Dim_Reps!E:E)</f>
        <v>NAMER</v>
      </c>
      <c r="S3191" t="str">
        <f>_xlfn.XLOOKUP(Pipeline_tbl[[#This Row],[Created_Date]],Dim_Date!A:A,Dim_Date!H:H)</f>
        <v>Jun 2025</v>
      </c>
      <c r="T3191" t="str">
        <f>IF(Pipeline_tbl[[#This Row],[Closed_Date]]=0,"",(_xlfn.XLOOKUP(Pipeline_tbl[[#This Row],[Closed_Date]],Dim_Date!A:A,Dim_Date!H:H)))</f>
        <v>Aug 2025</v>
      </c>
      <c r="U3191">
        <f>IF(Pipeline_tbl[[#This Row],[Closed_Date]]=0,"",Pipeline_tbl[[#This Row],[Closed_Date]]-Pipeline_tbl[[#This Row],[Created_Date]])</f>
        <v>49</v>
      </c>
    </row>
    <row r="3192" spans="1:21" ht="15" customHeight="1" x14ac:dyDescent="0.2">
      <c r="A3192" t="s">
        <v>3498</v>
      </c>
      <c r="B3192" t="s">
        <v>271</v>
      </c>
      <c r="C3192" t="s">
        <v>52</v>
      </c>
      <c r="D3192" s="49">
        <v>45834</v>
      </c>
      <c r="E3192" s="49">
        <v>45838</v>
      </c>
      <c r="F3192" s="49">
        <v>45845</v>
      </c>
      <c r="G3192" s="49">
        <v>45856</v>
      </c>
      <c r="I3192" s="49">
        <v>45871</v>
      </c>
      <c r="J3192" t="s">
        <v>49</v>
      </c>
      <c r="K3192" s="33">
        <v>31100</v>
      </c>
      <c r="L3192" t="s">
        <v>60</v>
      </c>
      <c r="M3192" t="str">
        <f>_xlfn.XLOOKUP(Pipeline_tbl[[#This Row],[Rep_ID]],Dim_Reps!A:A,Dim_Reps!K:K)</f>
        <v>EUR</v>
      </c>
      <c r="N3192" s="33">
        <f>(_xlfn.XLOOKUP(Pipeline_tbl[[#This Row],[Rate_Code_Generalized]],Lookups!A:A,Lookups!B:B))*Pipeline_tbl[[#This Row],[Pipeline_Amount_USD]]</f>
        <v>31100</v>
      </c>
      <c r="O3192" t="str">
        <f>_xlfn.XLOOKUP(Pipeline_tbl[[#This Row],[Rep_ID]],Dim_Reps!A:A,Dim_Reps!B:B)</f>
        <v>Ivy Adler</v>
      </c>
      <c r="P3192" t="str">
        <f>_xlfn.XLOOKUP(Pipeline_tbl[[#This Row],[Rep_ID]],Dim_Reps!A:A,Dim_Reps!C:C)</f>
        <v>Mid-Market AE</v>
      </c>
      <c r="Q3192" t="str">
        <f>_xlfn.XLOOKUP(Pipeline_tbl[[#This Row],[Rep_ID]],Dim_Reps!A:A,Dim_Reps!D:D)</f>
        <v>Mid-Market</v>
      </c>
      <c r="R3192" t="str">
        <f>_xlfn.XLOOKUP(Pipeline_tbl[[#This Row],[Rep_ID]],Dim_Reps!A:A,Dim_Reps!E:E)</f>
        <v>APAC</v>
      </c>
      <c r="S3192" t="str">
        <f>_xlfn.XLOOKUP(Pipeline_tbl[[#This Row],[Created_Date]],Dim_Date!A:A,Dim_Date!H:H)</f>
        <v>Jun 2025</v>
      </c>
      <c r="T3192" t="str">
        <f>IF(Pipeline_tbl[[#This Row],[Closed_Date]]=0,"",(_xlfn.XLOOKUP(Pipeline_tbl[[#This Row],[Closed_Date]],Dim_Date!A:A,Dim_Date!H:H)))</f>
        <v>Aug 2025</v>
      </c>
      <c r="U3192">
        <f>IF(Pipeline_tbl[[#This Row],[Closed_Date]]=0,"",Pipeline_tbl[[#This Row],[Closed_Date]]-Pipeline_tbl[[#This Row],[Created_Date]])</f>
        <v>37</v>
      </c>
    </row>
    <row r="3193" spans="1:21" ht="15" customHeight="1" x14ac:dyDescent="0.2">
      <c r="A3193" t="s">
        <v>3499</v>
      </c>
      <c r="B3193" t="s">
        <v>271</v>
      </c>
      <c r="C3193" t="s">
        <v>53</v>
      </c>
      <c r="D3193" s="49">
        <v>45833</v>
      </c>
      <c r="E3193" s="49">
        <v>45838</v>
      </c>
      <c r="F3193" s="49">
        <v>45849</v>
      </c>
      <c r="G3193" s="49">
        <v>45865</v>
      </c>
      <c r="I3193" s="49">
        <v>45887</v>
      </c>
      <c r="J3193" t="s">
        <v>49</v>
      </c>
      <c r="K3193" s="33">
        <v>15800</v>
      </c>
      <c r="L3193" t="s">
        <v>62</v>
      </c>
      <c r="M3193" t="str">
        <f>_xlfn.XLOOKUP(Pipeline_tbl[[#This Row],[Rep_ID]],Dim_Reps!A:A,Dim_Reps!K:K)</f>
        <v>EUR</v>
      </c>
      <c r="N3193" s="33">
        <f>(_xlfn.XLOOKUP(Pipeline_tbl[[#This Row],[Rate_Code_Generalized]],Lookups!A:A,Lookups!B:B))*Pipeline_tbl[[#This Row],[Pipeline_Amount_USD]]</f>
        <v>15800</v>
      </c>
      <c r="O3193" t="str">
        <f>_xlfn.XLOOKUP(Pipeline_tbl[[#This Row],[Rep_ID]],Dim_Reps!A:A,Dim_Reps!B:B)</f>
        <v>Ivy Adler</v>
      </c>
      <c r="P3193" t="str">
        <f>_xlfn.XLOOKUP(Pipeline_tbl[[#This Row],[Rep_ID]],Dim_Reps!A:A,Dim_Reps!C:C)</f>
        <v>Mid-Market AE</v>
      </c>
      <c r="Q3193" t="str">
        <f>_xlfn.XLOOKUP(Pipeline_tbl[[#This Row],[Rep_ID]],Dim_Reps!A:A,Dim_Reps!D:D)</f>
        <v>Mid-Market</v>
      </c>
      <c r="R3193" t="str">
        <f>_xlfn.XLOOKUP(Pipeline_tbl[[#This Row],[Rep_ID]],Dim_Reps!A:A,Dim_Reps!E:E)</f>
        <v>APAC</v>
      </c>
      <c r="S3193" t="str">
        <f>_xlfn.XLOOKUP(Pipeline_tbl[[#This Row],[Created_Date]],Dim_Date!A:A,Dim_Date!H:H)</f>
        <v>Jun 2025</v>
      </c>
      <c r="T3193" t="str">
        <f>IF(Pipeline_tbl[[#This Row],[Closed_Date]]=0,"",(_xlfn.XLOOKUP(Pipeline_tbl[[#This Row],[Closed_Date]],Dim_Date!A:A,Dim_Date!H:H)))</f>
        <v>Aug 2025</v>
      </c>
      <c r="U3193">
        <f>IF(Pipeline_tbl[[#This Row],[Closed_Date]]=0,"",Pipeline_tbl[[#This Row],[Closed_Date]]-Pipeline_tbl[[#This Row],[Created_Date]])</f>
        <v>54</v>
      </c>
    </row>
    <row r="3194" spans="1:21" ht="15" customHeight="1" x14ac:dyDescent="0.2">
      <c r="A3194" t="s">
        <v>3500</v>
      </c>
      <c r="B3194" t="s">
        <v>273</v>
      </c>
      <c r="C3194" t="s">
        <v>52</v>
      </c>
      <c r="D3194" s="49">
        <v>45830</v>
      </c>
      <c r="E3194" s="49">
        <v>45835</v>
      </c>
      <c r="F3194" s="49">
        <v>45846</v>
      </c>
      <c r="G3194" s="49">
        <v>45862</v>
      </c>
      <c r="I3194" s="49">
        <v>45883</v>
      </c>
      <c r="J3194" t="s">
        <v>49</v>
      </c>
      <c r="K3194" s="33">
        <v>6200</v>
      </c>
      <c r="L3194" t="s">
        <v>61</v>
      </c>
      <c r="M3194" t="str">
        <f>_xlfn.XLOOKUP(Pipeline_tbl[[#This Row],[Rep_ID]],Dim_Reps!A:A,Dim_Reps!K:K)</f>
        <v>EUR</v>
      </c>
      <c r="N3194" s="33">
        <f>(_xlfn.XLOOKUP(Pipeline_tbl[[#This Row],[Rate_Code_Generalized]],Lookups!A:A,Lookups!B:B))*Pipeline_tbl[[#This Row],[Pipeline_Amount_USD]]</f>
        <v>6200</v>
      </c>
      <c r="O3194" t="str">
        <f>_xlfn.XLOOKUP(Pipeline_tbl[[#This Row],[Rep_ID]],Dim_Reps!A:A,Dim_Reps!B:B)</f>
        <v>Olivia Cohen</v>
      </c>
      <c r="P3194" t="str">
        <f>_xlfn.XLOOKUP(Pipeline_tbl[[#This Row],[Rep_ID]],Dim_Reps!A:A,Dim_Reps!C:C)</f>
        <v>Mid-Market AE</v>
      </c>
      <c r="Q3194" t="str">
        <f>_xlfn.XLOOKUP(Pipeline_tbl[[#This Row],[Rep_ID]],Dim_Reps!A:A,Dim_Reps!D:D)</f>
        <v>Mid-Market</v>
      </c>
      <c r="R3194" t="str">
        <f>_xlfn.XLOOKUP(Pipeline_tbl[[#This Row],[Rep_ID]],Dim_Reps!A:A,Dim_Reps!E:E)</f>
        <v>APAC</v>
      </c>
      <c r="S3194" t="str">
        <f>_xlfn.XLOOKUP(Pipeline_tbl[[#This Row],[Created_Date]],Dim_Date!A:A,Dim_Date!H:H)</f>
        <v>Jun 2025</v>
      </c>
      <c r="T3194" t="str">
        <f>IF(Pipeline_tbl[[#This Row],[Closed_Date]]=0,"",(_xlfn.XLOOKUP(Pipeline_tbl[[#This Row],[Closed_Date]],Dim_Date!A:A,Dim_Date!H:H)))</f>
        <v>Aug 2025</v>
      </c>
      <c r="U3194">
        <f>IF(Pipeline_tbl[[#This Row],[Closed_Date]]=0,"",Pipeline_tbl[[#This Row],[Closed_Date]]-Pipeline_tbl[[#This Row],[Created_Date]])</f>
        <v>53</v>
      </c>
    </row>
    <row r="3195" spans="1:21" ht="15" customHeight="1" x14ac:dyDescent="0.2">
      <c r="A3195" t="s">
        <v>3501</v>
      </c>
      <c r="B3195" t="s">
        <v>273</v>
      </c>
      <c r="C3195" t="s">
        <v>53</v>
      </c>
      <c r="D3195" s="49">
        <v>45824</v>
      </c>
      <c r="E3195" s="49">
        <v>45829</v>
      </c>
      <c r="F3195" s="49">
        <v>45839</v>
      </c>
      <c r="G3195" s="49">
        <v>45853</v>
      </c>
      <c r="H3195" s="49">
        <v>45866</v>
      </c>
      <c r="I3195" s="49">
        <v>45873</v>
      </c>
      <c r="J3195" t="s">
        <v>49</v>
      </c>
      <c r="K3195" s="33">
        <v>12600</v>
      </c>
      <c r="L3195" t="s">
        <v>60</v>
      </c>
      <c r="M3195" t="str">
        <f>_xlfn.XLOOKUP(Pipeline_tbl[[#This Row],[Rep_ID]],Dim_Reps!A:A,Dim_Reps!K:K)</f>
        <v>EUR</v>
      </c>
      <c r="N3195" s="33">
        <f>(_xlfn.XLOOKUP(Pipeline_tbl[[#This Row],[Rate_Code_Generalized]],Lookups!A:A,Lookups!B:B))*Pipeline_tbl[[#This Row],[Pipeline_Amount_USD]]</f>
        <v>12600</v>
      </c>
      <c r="O3195" t="str">
        <f>_xlfn.XLOOKUP(Pipeline_tbl[[#This Row],[Rep_ID]],Dim_Reps!A:A,Dim_Reps!B:B)</f>
        <v>Olivia Cohen</v>
      </c>
      <c r="P3195" t="str">
        <f>_xlfn.XLOOKUP(Pipeline_tbl[[#This Row],[Rep_ID]],Dim_Reps!A:A,Dim_Reps!C:C)</f>
        <v>Mid-Market AE</v>
      </c>
      <c r="Q3195" t="str">
        <f>_xlfn.XLOOKUP(Pipeline_tbl[[#This Row],[Rep_ID]],Dim_Reps!A:A,Dim_Reps!D:D)</f>
        <v>Mid-Market</v>
      </c>
      <c r="R3195" t="str">
        <f>_xlfn.XLOOKUP(Pipeline_tbl[[#This Row],[Rep_ID]],Dim_Reps!A:A,Dim_Reps!E:E)</f>
        <v>APAC</v>
      </c>
      <c r="S3195" t="str">
        <f>_xlfn.XLOOKUP(Pipeline_tbl[[#This Row],[Created_Date]],Dim_Date!A:A,Dim_Date!H:H)</f>
        <v>Jun 2025</v>
      </c>
      <c r="T3195" t="str">
        <f>IF(Pipeline_tbl[[#This Row],[Closed_Date]]=0,"",(_xlfn.XLOOKUP(Pipeline_tbl[[#This Row],[Closed_Date]],Dim_Date!A:A,Dim_Date!H:H)))</f>
        <v>Aug 2025</v>
      </c>
      <c r="U3195">
        <f>IF(Pipeline_tbl[[#This Row],[Closed_Date]]=0,"",Pipeline_tbl[[#This Row],[Closed_Date]]-Pipeline_tbl[[#This Row],[Created_Date]])</f>
        <v>49</v>
      </c>
    </row>
    <row r="3196" spans="1:21" ht="15" customHeight="1" x14ac:dyDescent="0.2">
      <c r="A3196" t="s">
        <v>3502</v>
      </c>
      <c r="B3196" t="s">
        <v>273</v>
      </c>
      <c r="C3196" t="s">
        <v>52</v>
      </c>
      <c r="D3196" s="49">
        <v>45820</v>
      </c>
      <c r="E3196" s="49">
        <v>45825</v>
      </c>
      <c r="F3196" s="49">
        <v>45835</v>
      </c>
      <c r="G3196" s="49">
        <v>45851</v>
      </c>
      <c r="H3196" s="49">
        <v>45863</v>
      </c>
      <c r="I3196" s="49">
        <v>45871</v>
      </c>
      <c r="J3196" t="s">
        <v>47</v>
      </c>
      <c r="K3196" s="33">
        <v>8900</v>
      </c>
      <c r="M3196" t="str">
        <f>_xlfn.XLOOKUP(Pipeline_tbl[[#This Row],[Rep_ID]],Dim_Reps!A:A,Dim_Reps!K:K)</f>
        <v>EUR</v>
      </c>
      <c r="N3196" s="33">
        <f>(_xlfn.XLOOKUP(Pipeline_tbl[[#This Row],[Rate_Code_Generalized]],Lookups!A:A,Lookups!B:B))*Pipeline_tbl[[#This Row],[Pipeline_Amount_USD]]</f>
        <v>8900</v>
      </c>
      <c r="O3196" t="str">
        <f>_xlfn.XLOOKUP(Pipeline_tbl[[#This Row],[Rep_ID]],Dim_Reps!A:A,Dim_Reps!B:B)</f>
        <v>Olivia Cohen</v>
      </c>
      <c r="P3196" t="str">
        <f>_xlfn.XLOOKUP(Pipeline_tbl[[#This Row],[Rep_ID]],Dim_Reps!A:A,Dim_Reps!C:C)</f>
        <v>Mid-Market AE</v>
      </c>
      <c r="Q3196" t="str">
        <f>_xlfn.XLOOKUP(Pipeline_tbl[[#This Row],[Rep_ID]],Dim_Reps!A:A,Dim_Reps!D:D)</f>
        <v>Mid-Market</v>
      </c>
      <c r="R3196" t="str">
        <f>_xlfn.XLOOKUP(Pipeline_tbl[[#This Row],[Rep_ID]],Dim_Reps!A:A,Dim_Reps!E:E)</f>
        <v>APAC</v>
      </c>
      <c r="S3196" t="str">
        <f>_xlfn.XLOOKUP(Pipeline_tbl[[#This Row],[Created_Date]],Dim_Date!A:A,Dim_Date!H:H)</f>
        <v>Jun 2025</v>
      </c>
      <c r="T3196" t="str">
        <f>IF(Pipeline_tbl[[#This Row],[Closed_Date]]=0,"",(_xlfn.XLOOKUP(Pipeline_tbl[[#This Row],[Closed_Date]],Dim_Date!A:A,Dim_Date!H:H)))</f>
        <v>Aug 2025</v>
      </c>
      <c r="U3196">
        <f>IF(Pipeline_tbl[[#This Row],[Closed_Date]]=0,"",Pipeline_tbl[[#This Row],[Closed_Date]]-Pipeline_tbl[[#This Row],[Created_Date]])</f>
        <v>51</v>
      </c>
    </row>
    <row r="3197" spans="1:21" ht="15" customHeight="1" x14ac:dyDescent="0.2">
      <c r="A3197" t="s">
        <v>3503</v>
      </c>
      <c r="B3197" t="s">
        <v>193</v>
      </c>
      <c r="C3197" t="s">
        <v>55</v>
      </c>
      <c r="D3197" s="49">
        <v>45835</v>
      </c>
      <c r="E3197" s="49">
        <v>45837</v>
      </c>
      <c r="F3197" s="49">
        <v>45842</v>
      </c>
      <c r="I3197" s="49">
        <v>45857</v>
      </c>
      <c r="J3197" t="s">
        <v>49</v>
      </c>
      <c r="K3197" s="33">
        <v>4200</v>
      </c>
      <c r="L3197" t="s">
        <v>63</v>
      </c>
      <c r="M3197" t="str">
        <f>_xlfn.XLOOKUP(Pipeline_tbl[[#This Row],[Rep_ID]],Dim_Reps!A:A,Dim_Reps!K:K)</f>
        <v>USD</v>
      </c>
      <c r="N3197" s="33">
        <f>(_xlfn.XLOOKUP(Pipeline_tbl[[#This Row],[Rate_Code_Generalized]],Lookups!A:A,Lookups!B:B))*Pipeline_tbl[[#This Row],[Pipeline_Amount_USD]]</f>
        <v>4890.0599999999995</v>
      </c>
      <c r="O3197" t="str">
        <f>_xlfn.XLOOKUP(Pipeline_tbl[[#This Row],[Rep_ID]],Dim_Reps!A:A,Dim_Reps!B:B)</f>
        <v>Karim Rossi</v>
      </c>
      <c r="P3197" t="str">
        <f>_xlfn.XLOOKUP(Pipeline_tbl[[#This Row],[Rep_ID]],Dim_Reps!A:A,Dim_Reps!C:C)</f>
        <v>SDR / Inside Sales Rep</v>
      </c>
      <c r="Q3197" t="str">
        <f>_xlfn.XLOOKUP(Pipeline_tbl[[#This Row],[Rep_ID]],Dim_Reps!A:A,Dim_Reps!D:D)</f>
        <v>Inside Sales</v>
      </c>
      <c r="R3197" t="str">
        <f>_xlfn.XLOOKUP(Pipeline_tbl[[#This Row],[Rep_ID]],Dim_Reps!A:A,Dim_Reps!E:E)</f>
        <v>NAMER</v>
      </c>
      <c r="S3197" t="str">
        <f>_xlfn.XLOOKUP(Pipeline_tbl[[#This Row],[Created_Date]],Dim_Date!A:A,Dim_Date!H:H)</f>
        <v>Jun 2025</v>
      </c>
      <c r="T3197" t="str">
        <f>IF(Pipeline_tbl[[#This Row],[Closed_Date]]=0,"",(_xlfn.XLOOKUP(Pipeline_tbl[[#This Row],[Closed_Date]],Dim_Date!A:A,Dim_Date!H:H)))</f>
        <v>Jul 2025</v>
      </c>
      <c r="U3197">
        <f>IF(Pipeline_tbl[[#This Row],[Closed_Date]]=0,"",Pipeline_tbl[[#This Row],[Closed_Date]]-Pipeline_tbl[[#This Row],[Created_Date]])</f>
        <v>22</v>
      </c>
    </row>
    <row r="3198" spans="1:21" ht="15" customHeight="1" x14ac:dyDescent="0.2">
      <c r="A3198" t="s">
        <v>3504</v>
      </c>
      <c r="B3198" t="s">
        <v>193</v>
      </c>
      <c r="C3198" t="s">
        <v>52</v>
      </c>
      <c r="D3198" s="49">
        <v>45838</v>
      </c>
      <c r="E3198" s="49">
        <v>45839</v>
      </c>
      <c r="F3198" s="49">
        <v>45842</v>
      </c>
      <c r="G3198" s="49">
        <v>45846</v>
      </c>
      <c r="H3198" s="49">
        <v>45850</v>
      </c>
      <c r="I3198" s="49">
        <v>45852</v>
      </c>
      <c r="J3198" t="s">
        <v>47</v>
      </c>
      <c r="K3198" s="33">
        <v>4900</v>
      </c>
      <c r="M3198" t="str">
        <f>_xlfn.XLOOKUP(Pipeline_tbl[[#This Row],[Rep_ID]],Dim_Reps!A:A,Dim_Reps!K:K)</f>
        <v>USD</v>
      </c>
      <c r="N3198" s="33">
        <f>(_xlfn.XLOOKUP(Pipeline_tbl[[#This Row],[Rate_Code_Generalized]],Lookups!A:A,Lookups!B:B))*Pipeline_tbl[[#This Row],[Pipeline_Amount_USD]]</f>
        <v>5705.07</v>
      </c>
      <c r="O3198" t="str">
        <f>_xlfn.XLOOKUP(Pipeline_tbl[[#This Row],[Rep_ID]],Dim_Reps!A:A,Dim_Reps!B:B)</f>
        <v>Karim Rossi</v>
      </c>
      <c r="P3198" t="str">
        <f>_xlfn.XLOOKUP(Pipeline_tbl[[#This Row],[Rep_ID]],Dim_Reps!A:A,Dim_Reps!C:C)</f>
        <v>SDR / Inside Sales Rep</v>
      </c>
      <c r="Q3198" t="str">
        <f>_xlfn.XLOOKUP(Pipeline_tbl[[#This Row],[Rep_ID]],Dim_Reps!A:A,Dim_Reps!D:D)</f>
        <v>Inside Sales</v>
      </c>
      <c r="R3198" t="str">
        <f>_xlfn.XLOOKUP(Pipeline_tbl[[#This Row],[Rep_ID]],Dim_Reps!A:A,Dim_Reps!E:E)</f>
        <v>NAMER</v>
      </c>
      <c r="S3198" t="str">
        <f>_xlfn.XLOOKUP(Pipeline_tbl[[#This Row],[Created_Date]],Dim_Date!A:A,Dim_Date!H:H)</f>
        <v>Jun 2025</v>
      </c>
      <c r="T3198" t="str">
        <f>IF(Pipeline_tbl[[#This Row],[Closed_Date]]=0,"",(_xlfn.XLOOKUP(Pipeline_tbl[[#This Row],[Closed_Date]],Dim_Date!A:A,Dim_Date!H:H)))</f>
        <v>Jul 2025</v>
      </c>
      <c r="U3198">
        <f>IF(Pipeline_tbl[[#This Row],[Closed_Date]]=0,"",Pipeline_tbl[[#This Row],[Closed_Date]]-Pipeline_tbl[[#This Row],[Created_Date]])</f>
        <v>14</v>
      </c>
    </row>
    <row r="3199" spans="1:21" ht="15" customHeight="1" x14ac:dyDescent="0.2">
      <c r="A3199" t="s">
        <v>3505</v>
      </c>
      <c r="B3199" t="s">
        <v>193</v>
      </c>
      <c r="C3199" t="s">
        <v>53</v>
      </c>
      <c r="D3199" s="49">
        <v>45823</v>
      </c>
      <c r="E3199" s="49">
        <v>45825</v>
      </c>
      <c r="I3199" s="49">
        <v>45841</v>
      </c>
      <c r="J3199" t="s">
        <v>49</v>
      </c>
      <c r="K3199" s="33">
        <v>2500</v>
      </c>
      <c r="L3199" t="s">
        <v>62</v>
      </c>
      <c r="M3199" t="str">
        <f>_xlfn.XLOOKUP(Pipeline_tbl[[#This Row],[Rep_ID]],Dim_Reps!A:A,Dim_Reps!K:K)</f>
        <v>USD</v>
      </c>
      <c r="N3199" s="33">
        <f>(_xlfn.XLOOKUP(Pipeline_tbl[[#This Row],[Rate_Code_Generalized]],Lookups!A:A,Lookups!B:B))*Pipeline_tbl[[#This Row],[Pipeline_Amount_USD]]</f>
        <v>2910.7499999999995</v>
      </c>
      <c r="O3199" t="str">
        <f>_xlfn.XLOOKUP(Pipeline_tbl[[#This Row],[Rep_ID]],Dim_Reps!A:A,Dim_Reps!B:B)</f>
        <v>Karim Rossi</v>
      </c>
      <c r="P3199" t="str">
        <f>_xlfn.XLOOKUP(Pipeline_tbl[[#This Row],[Rep_ID]],Dim_Reps!A:A,Dim_Reps!C:C)</f>
        <v>SDR / Inside Sales Rep</v>
      </c>
      <c r="Q3199" t="str">
        <f>_xlfn.XLOOKUP(Pipeline_tbl[[#This Row],[Rep_ID]],Dim_Reps!A:A,Dim_Reps!D:D)</f>
        <v>Inside Sales</v>
      </c>
      <c r="R3199" t="str">
        <f>_xlfn.XLOOKUP(Pipeline_tbl[[#This Row],[Rep_ID]],Dim_Reps!A:A,Dim_Reps!E:E)</f>
        <v>NAMER</v>
      </c>
      <c r="S3199" t="str">
        <f>_xlfn.XLOOKUP(Pipeline_tbl[[#This Row],[Created_Date]],Dim_Date!A:A,Dim_Date!H:H)</f>
        <v>Jun 2025</v>
      </c>
      <c r="T3199" t="str">
        <f>IF(Pipeline_tbl[[#This Row],[Closed_Date]]=0,"",(_xlfn.XLOOKUP(Pipeline_tbl[[#This Row],[Closed_Date]],Dim_Date!A:A,Dim_Date!H:H)))</f>
        <v>Jul 2025</v>
      </c>
      <c r="U3199">
        <f>IF(Pipeline_tbl[[#This Row],[Closed_Date]]=0,"",Pipeline_tbl[[#This Row],[Closed_Date]]-Pipeline_tbl[[#This Row],[Created_Date]])</f>
        <v>18</v>
      </c>
    </row>
    <row r="3200" spans="1:21" ht="15" customHeight="1" x14ac:dyDescent="0.2">
      <c r="A3200" t="s">
        <v>3506</v>
      </c>
      <c r="B3200" t="s">
        <v>193</v>
      </c>
      <c r="C3200" t="s">
        <v>52</v>
      </c>
      <c r="D3200" s="49">
        <v>45820</v>
      </c>
      <c r="E3200" s="49">
        <v>45822</v>
      </c>
      <c r="F3200" s="49">
        <v>45826</v>
      </c>
      <c r="G3200" s="49">
        <v>45833</v>
      </c>
      <c r="I3200" s="49">
        <v>45841</v>
      </c>
      <c r="J3200" t="s">
        <v>49</v>
      </c>
      <c r="K3200" s="33">
        <v>3900</v>
      </c>
      <c r="L3200" t="s">
        <v>63</v>
      </c>
      <c r="M3200" t="str">
        <f>_xlfn.XLOOKUP(Pipeline_tbl[[#This Row],[Rep_ID]],Dim_Reps!A:A,Dim_Reps!K:K)</f>
        <v>USD</v>
      </c>
      <c r="N3200" s="33">
        <f>(_xlfn.XLOOKUP(Pipeline_tbl[[#This Row],[Rate_Code_Generalized]],Lookups!A:A,Lookups!B:B))*Pipeline_tbl[[#This Row],[Pipeline_Amount_USD]]</f>
        <v>4540.7699999999995</v>
      </c>
      <c r="O3200" t="str">
        <f>_xlfn.XLOOKUP(Pipeline_tbl[[#This Row],[Rep_ID]],Dim_Reps!A:A,Dim_Reps!B:B)</f>
        <v>Karim Rossi</v>
      </c>
      <c r="P3200" t="str">
        <f>_xlfn.XLOOKUP(Pipeline_tbl[[#This Row],[Rep_ID]],Dim_Reps!A:A,Dim_Reps!C:C)</f>
        <v>SDR / Inside Sales Rep</v>
      </c>
      <c r="Q3200" t="str">
        <f>_xlfn.XLOOKUP(Pipeline_tbl[[#This Row],[Rep_ID]],Dim_Reps!A:A,Dim_Reps!D:D)</f>
        <v>Inside Sales</v>
      </c>
      <c r="R3200" t="str">
        <f>_xlfn.XLOOKUP(Pipeline_tbl[[#This Row],[Rep_ID]],Dim_Reps!A:A,Dim_Reps!E:E)</f>
        <v>NAMER</v>
      </c>
      <c r="S3200" t="str">
        <f>_xlfn.XLOOKUP(Pipeline_tbl[[#This Row],[Created_Date]],Dim_Date!A:A,Dim_Date!H:H)</f>
        <v>Jun 2025</v>
      </c>
      <c r="T3200" t="str">
        <f>IF(Pipeline_tbl[[#This Row],[Closed_Date]]=0,"",(_xlfn.XLOOKUP(Pipeline_tbl[[#This Row],[Closed_Date]],Dim_Date!A:A,Dim_Date!H:H)))</f>
        <v>Jul 2025</v>
      </c>
      <c r="U3200">
        <f>IF(Pipeline_tbl[[#This Row],[Closed_Date]]=0,"",Pipeline_tbl[[#This Row],[Closed_Date]]-Pipeline_tbl[[#This Row],[Created_Date]])</f>
        <v>21</v>
      </c>
    </row>
    <row r="3201" spans="1:21" ht="15" customHeight="1" x14ac:dyDescent="0.2">
      <c r="A3201" t="s">
        <v>3507</v>
      </c>
      <c r="B3201" t="s">
        <v>193</v>
      </c>
      <c r="C3201" t="s">
        <v>55</v>
      </c>
      <c r="D3201" s="49">
        <v>45835</v>
      </c>
      <c r="E3201" s="49">
        <v>45836</v>
      </c>
      <c r="F3201" s="49">
        <v>45838</v>
      </c>
      <c r="G3201" s="49">
        <v>45842</v>
      </c>
      <c r="H3201" s="49">
        <v>45844</v>
      </c>
      <c r="I3201" s="49">
        <v>45846</v>
      </c>
      <c r="J3201" t="s">
        <v>49</v>
      </c>
      <c r="K3201" s="33">
        <v>9000</v>
      </c>
      <c r="L3201" t="s">
        <v>62</v>
      </c>
      <c r="M3201" t="str">
        <f>_xlfn.XLOOKUP(Pipeline_tbl[[#This Row],[Rep_ID]],Dim_Reps!A:A,Dim_Reps!K:K)</f>
        <v>USD</v>
      </c>
      <c r="N3201" s="33">
        <f>(_xlfn.XLOOKUP(Pipeline_tbl[[#This Row],[Rate_Code_Generalized]],Lookups!A:A,Lookups!B:B))*Pipeline_tbl[[#This Row],[Pipeline_Amount_USD]]</f>
        <v>10478.699999999999</v>
      </c>
      <c r="O3201" t="str">
        <f>_xlfn.XLOOKUP(Pipeline_tbl[[#This Row],[Rep_ID]],Dim_Reps!A:A,Dim_Reps!B:B)</f>
        <v>Karim Rossi</v>
      </c>
      <c r="P3201" t="str">
        <f>_xlfn.XLOOKUP(Pipeline_tbl[[#This Row],[Rep_ID]],Dim_Reps!A:A,Dim_Reps!C:C)</f>
        <v>SDR / Inside Sales Rep</v>
      </c>
      <c r="Q3201" t="str">
        <f>_xlfn.XLOOKUP(Pipeline_tbl[[#This Row],[Rep_ID]],Dim_Reps!A:A,Dim_Reps!D:D)</f>
        <v>Inside Sales</v>
      </c>
      <c r="R3201" t="str">
        <f>_xlfn.XLOOKUP(Pipeline_tbl[[#This Row],[Rep_ID]],Dim_Reps!A:A,Dim_Reps!E:E)</f>
        <v>NAMER</v>
      </c>
      <c r="S3201" t="str">
        <f>_xlfn.XLOOKUP(Pipeline_tbl[[#This Row],[Created_Date]],Dim_Date!A:A,Dim_Date!H:H)</f>
        <v>Jun 2025</v>
      </c>
      <c r="T3201" t="str">
        <f>IF(Pipeline_tbl[[#This Row],[Closed_Date]]=0,"",(_xlfn.XLOOKUP(Pipeline_tbl[[#This Row],[Closed_Date]],Dim_Date!A:A,Dim_Date!H:H)))</f>
        <v>Jul 2025</v>
      </c>
      <c r="U3201">
        <f>IF(Pipeline_tbl[[#This Row],[Closed_Date]]=0,"",Pipeline_tbl[[#This Row],[Closed_Date]]-Pipeline_tbl[[#This Row],[Created_Date]])</f>
        <v>11</v>
      </c>
    </row>
    <row r="3202" spans="1:21" ht="15" customHeight="1" x14ac:dyDescent="0.2">
      <c r="A3202" t="s">
        <v>3508</v>
      </c>
      <c r="B3202" t="s">
        <v>193</v>
      </c>
      <c r="C3202" t="s">
        <v>52</v>
      </c>
      <c r="D3202" s="49">
        <v>45834</v>
      </c>
      <c r="E3202" s="49">
        <v>45836</v>
      </c>
      <c r="F3202" s="49">
        <v>45839</v>
      </c>
      <c r="G3202" s="49">
        <v>45845</v>
      </c>
      <c r="H3202" s="49">
        <v>45849</v>
      </c>
      <c r="I3202" s="49">
        <v>45852</v>
      </c>
      <c r="J3202" t="s">
        <v>47</v>
      </c>
      <c r="K3202" s="33">
        <v>2300</v>
      </c>
      <c r="M3202" t="str">
        <f>_xlfn.XLOOKUP(Pipeline_tbl[[#This Row],[Rep_ID]],Dim_Reps!A:A,Dim_Reps!K:K)</f>
        <v>USD</v>
      </c>
      <c r="N3202" s="33">
        <f>(_xlfn.XLOOKUP(Pipeline_tbl[[#This Row],[Rate_Code_Generalized]],Lookups!A:A,Lookups!B:B))*Pipeline_tbl[[#This Row],[Pipeline_Amount_USD]]</f>
        <v>2677.89</v>
      </c>
      <c r="O3202" t="str">
        <f>_xlfn.XLOOKUP(Pipeline_tbl[[#This Row],[Rep_ID]],Dim_Reps!A:A,Dim_Reps!B:B)</f>
        <v>Karim Rossi</v>
      </c>
      <c r="P3202" t="str">
        <f>_xlfn.XLOOKUP(Pipeline_tbl[[#This Row],[Rep_ID]],Dim_Reps!A:A,Dim_Reps!C:C)</f>
        <v>SDR / Inside Sales Rep</v>
      </c>
      <c r="Q3202" t="str">
        <f>_xlfn.XLOOKUP(Pipeline_tbl[[#This Row],[Rep_ID]],Dim_Reps!A:A,Dim_Reps!D:D)</f>
        <v>Inside Sales</v>
      </c>
      <c r="R3202" t="str">
        <f>_xlfn.XLOOKUP(Pipeline_tbl[[#This Row],[Rep_ID]],Dim_Reps!A:A,Dim_Reps!E:E)</f>
        <v>NAMER</v>
      </c>
      <c r="S3202" t="str">
        <f>_xlfn.XLOOKUP(Pipeline_tbl[[#This Row],[Created_Date]],Dim_Date!A:A,Dim_Date!H:H)</f>
        <v>Jun 2025</v>
      </c>
      <c r="T3202" t="str">
        <f>IF(Pipeline_tbl[[#This Row],[Closed_Date]]=0,"",(_xlfn.XLOOKUP(Pipeline_tbl[[#This Row],[Closed_Date]],Dim_Date!A:A,Dim_Date!H:H)))</f>
        <v>Jul 2025</v>
      </c>
      <c r="U3202">
        <f>IF(Pipeline_tbl[[#This Row],[Closed_Date]]=0,"",Pipeline_tbl[[#This Row],[Closed_Date]]-Pipeline_tbl[[#This Row],[Created_Date]])</f>
        <v>18</v>
      </c>
    </row>
    <row r="3203" spans="1:21" ht="15" customHeight="1" x14ac:dyDescent="0.2">
      <c r="A3203" t="s">
        <v>3509</v>
      </c>
      <c r="B3203" t="s">
        <v>193</v>
      </c>
      <c r="C3203" t="s">
        <v>53</v>
      </c>
      <c r="D3203" s="49">
        <v>45836</v>
      </c>
      <c r="E3203" s="49">
        <v>45838</v>
      </c>
      <c r="F3203" s="49">
        <v>45841</v>
      </c>
      <c r="G3203" s="49">
        <v>45847</v>
      </c>
      <c r="I3203" s="49">
        <v>45854</v>
      </c>
      <c r="J3203" t="s">
        <v>49</v>
      </c>
      <c r="K3203" s="33">
        <v>4200</v>
      </c>
      <c r="L3203" t="s">
        <v>62</v>
      </c>
      <c r="M3203" t="str">
        <f>_xlfn.XLOOKUP(Pipeline_tbl[[#This Row],[Rep_ID]],Dim_Reps!A:A,Dim_Reps!K:K)</f>
        <v>USD</v>
      </c>
      <c r="N3203" s="33">
        <f>(_xlfn.XLOOKUP(Pipeline_tbl[[#This Row],[Rate_Code_Generalized]],Lookups!A:A,Lookups!B:B))*Pipeline_tbl[[#This Row],[Pipeline_Amount_USD]]</f>
        <v>4890.0599999999995</v>
      </c>
      <c r="O3203" t="str">
        <f>_xlfn.XLOOKUP(Pipeline_tbl[[#This Row],[Rep_ID]],Dim_Reps!A:A,Dim_Reps!B:B)</f>
        <v>Karim Rossi</v>
      </c>
      <c r="P3203" t="str">
        <f>_xlfn.XLOOKUP(Pipeline_tbl[[#This Row],[Rep_ID]],Dim_Reps!A:A,Dim_Reps!C:C)</f>
        <v>SDR / Inside Sales Rep</v>
      </c>
      <c r="Q3203" t="str">
        <f>_xlfn.XLOOKUP(Pipeline_tbl[[#This Row],[Rep_ID]],Dim_Reps!A:A,Dim_Reps!D:D)</f>
        <v>Inside Sales</v>
      </c>
      <c r="R3203" t="str">
        <f>_xlfn.XLOOKUP(Pipeline_tbl[[#This Row],[Rep_ID]],Dim_Reps!A:A,Dim_Reps!E:E)</f>
        <v>NAMER</v>
      </c>
      <c r="S3203" t="str">
        <f>_xlfn.XLOOKUP(Pipeline_tbl[[#This Row],[Created_Date]],Dim_Date!A:A,Dim_Date!H:H)</f>
        <v>Jun 2025</v>
      </c>
      <c r="T3203" t="str">
        <f>IF(Pipeline_tbl[[#This Row],[Closed_Date]]=0,"",(_xlfn.XLOOKUP(Pipeline_tbl[[#This Row],[Closed_Date]],Dim_Date!A:A,Dim_Date!H:H)))</f>
        <v>Jul 2025</v>
      </c>
      <c r="U3203">
        <f>IF(Pipeline_tbl[[#This Row],[Closed_Date]]=0,"",Pipeline_tbl[[#This Row],[Closed_Date]]-Pipeline_tbl[[#This Row],[Created_Date]])</f>
        <v>18</v>
      </c>
    </row>
    <row r="3204" spans="1:21" ht="15" customHeight="1" x14ac:dyDescent="0.2">
      <c r="A3204" t="s">
        <v>3510</v>
      </c>
      <c r="B3204" t="s">
        <v>193</v>
      </c>
      <c r="C3204" t="s">
        <v>52</v>
      </c>
      <c r="D3204" s="49">
        <v>45830</v>
      </c>
      <c r="E3204" s="49">
        <v>45831</v>
      </c>
      <c r="F3204" s="49">
        <v>45834</v>
      </c>
      <c r="I3204" s="49">
        <v>45844</v>
      </c>
      <c r="J3204" t="s">
        <v>49</v>
      </c>
      <c r="K3204" s="33">
        <v>5700</v>
      </c>
      <c r="L3204" t="s">
        <v>61</v>
      </c>
      <c r="M3204" t="str">
        <f>_xlfn.XLOOKUP(Pipeline_tbl[[#This Row],[Rep_ID]],Dim_Reps!A:A,Dim_Reps!K:K)</f>
        <v>USD</v>
      </c>
      <c r="N3204" s="33">
        <f>(_xlfn.XLOOKUP(Pipeline_tbl[[#This Row],[Rate_Code_Generalized]],Lookups!A:A,Lookups!B:B))*Pipeline_tbl[[#This Row],[Pipeline_Amount_USD]]</f>
        <v>6636.5099999999993</v>
      </c>
      <c r="O3204" t="str">
        <f>_xlfn.XLOOKUP(Pipeline_tbl[[#This Row],[Rep_ID]],Dim_Reps!A:A,Dim_Reps!B:B)</f>
        <v>Karim Rossi</v>
      </c>
      <c r="P3204" t="str">
        <f>_xlfn.XLOOKUP(Pipeline_tbl[[#This Row],[Rep_ID]],Dim_Reps!A:A,Dim_Reps!C:C)</f>
        <v>SDR / Inside Sales Rep</v>
      </c>
      <c r="Q3204" t="str">
        <f>_xlfn.XLOOKUP(Pipeline_tbl[[#This Row],[Rep_ID]],Dim_Reps!A:A,Dim_Reps!D:D)</f>
        <v>Inside Sales</v>
      </c>
      <c r="R3204" t="str">
        <f>_xlfn.XLOOKUP(Pipeline_tbl[[#This Row],[Rep_ID]],Dim_Reps!A:A,Dim_Reps!E:E)</f>
        <v>NAMER</v>
      </c>
      <c r="S3204" t="str">
        <f>_xlfn.XLOOKUP(Pipeline_tbl[[#This Row],[Created_Date]],Dim_Date!A:A,Dim_Date!H:H)</f>
        <v>Jun 2025</v>
      </c>
      <c r="T3204" t="str">
        <f>IF(Pipeline_tbl[[#This Row],[Closed_Date]]=0,"",(_xlfn.XLOOKUP(Pipeline_tbl[[#This Row],[Closed_Date]],Dim_Date!A:A,Dim_Date!H:H)))</f>
        <v>Jul 2025</v>
      </c>
      <c r="U3204">
        <f>IF(Pipeline_tbl[[#This Row],[Closed_Date]]=0,"",Pipeline_tbl[[#This Row],[Closed_Date]]-Pipeline_tbl[[#This Row],[Created_Date]])</f>
        <v>14</v>
      </c>
    </row>
    <row r="3205" spans="1:21" ht="15" customHeight="1" x14ac:dyDescent="0.2">
      <c r="A3205" t="s">
        <v>3511</v>
      </c>
      <c r="B3205" t="s">
        <v>243</v>
      </c>
      <c r="C3205" t="s">
        <v>53</v>
      </c>
      <c r="D3205" s="49">
        <v>45835</v>
      </c>
      <c r="E3205" s="49">
        <v>45838</v>
      </c>
      <c r="F3205" s="49">
        <v>45845</v>
      </c>
      <c r="G3205" s="49">
        <v>45855</v>
      </c>
      <c r="H3205" s="49">
        <v>45863</v>
      </c>
      <c r="I3205" s="49">
        <v>45868</v>
      </c>
      <c r="J3205" t="s">
        <v>47</v>
      </c>
      <c r="K3205" s="33">
        <v>32600</v>
      </c>
      <c r="M3205" t="str">
        <f>_xlfn.XLOOKUP(Pipeline_tbl[[#This Row],[Rep_ID]],Dim_Reps!A:A,Dim_Reps!K:K)</f>
        <v>MXN</v>
      </c>
      <c r="N3205" s="33">
        <f>(_xlfn.XLOOKUP(Pipeline_tbl[[#This Row],[Rate_Code_Generalized]],Lookups!A:A,Lookups!B:B))*Pipeline_tbl[[#This Row],[Pipeline_Amount_USD]]</f>
        <v>643286.02</v>
      </c>
      <c r="O3205" t="str">
        <f>_xlfn.XLOOKUP(Pipeline_tbl[[#This Row],[Rep_ID]],Dim_Reps!A:A,Dim_Reps!B:B)</f>
        <v>Jonas Sato</v>
      </c>
      <c r="P3205" t="str">
        <f>_xlfn.XLOOKUP(Pipeline_tbl[[#This Row],[Rep_ID]],Dim_Reps!A:A,Dim_Reps!C:C)</f>
        <v>Mid-Market AE</v>
      </c>
      <c r="Q3205" t="str">
        <f>_xlfn.XLOOKUP(Pipeline_tbl[[#This Row],[Rep_ID]],Dim_Reps!A:A,Dim_Reps!D:D)</f>
        <v>Mid-Market</v>
      </c>
      <c r="R3205" t="str">
        <f>_xlfn.XLOOKUP(Pipeline_tbl[[#This Row],[Rep_ID]],Dim_Reps!A:A,Dim_Reps!E:E)</f>
        <v>LATAM</v>
      </c>
      <c r="S3205" t="str">
        <f>_xlfn.XLOOKUP(Pipeline_tbl[[#This Row],[Created_Date]],Dim_Date!A:A,Dim_Date!H:H)</f>
        <v>Jun 2025</v>
      </c>
      <c r="T3205" t="str">
        <f>IF(Pipeline_tbl[[#This Row],[Closed_Date]]=0,"",(_xlfn.XLOOKUP(Pipeline_tbl[[#This Row],[Closed_Date]],Dim_Date!A:A,Dim_Date!H:H)))</f>
        <v>Jul 2025</v>
      </c>
      <c r="U3205">
        <f>IF(Pipeline_tbl[[#This Row],[Closed_Date]]=0,"",Pipeline_tbl[[#This Row],[Closed_Date]]-Pipeline_tbl[[#This Row],[Created_Date]])</f>
        <v>33</v>
      </c>
    </row>
    <row r="3206" spans="1:21" ht="15" customHeight="1" x14ac:dyDescent="0.2">
      <c r="A3206" t="s">
        <v>3512</v>
      </c>
      <c r="B3206" t="s">
        <v>243</v>
      </c>
      <c r="C3206" t="s">
        <v>53</v>
      </c>
      <c r="D3206" s="49">
        <v>45838</v>
      </c>
      <c r="E3206" s="49">
        <v>45840</v>
      </c>
      <c r="F3206" s="49">
        <v>45845</v>
      </c>
      <c r="G3206" s="49">
        <v>45851</v>
      </c>
      <c r="H3206" s="49">
        <v>45857</v>
      </c>
      <c r="I3206" s="49">
        <v>45860</v>
      </c>
      <c r="J3206" t="s">
        <v>47</v>
      </c>
      <c r="K3206" s="33">
        <v>23300</v>
      </c>
      <c r="M3206" t="str">
        <f>_xlfn.XLOOKUP(Pipeline_tbl[[#This Row],[Rep_ID]],Dim_Reps!A:A,Dim_Reps!K:K)</f>
        <v>MXN</v>
      </c>
      <c r="N3206" s="33">
        <f>(_xlfn.XLOOKUP(Pipeline_tbl[[#This Row],[Rate_Code_Generalized]],Lookups!A:A,Lookups!B:B))*Pipeline_tbl[[#This Row],[Pipeline_Amount_USD]]</f>
        <v>459771.91000000003</v>
      </c>
      <c r="O3206" t="str">
        <f>_xlfn.XLOOKUP(Pipeline_tbl[[#This Row],[Rep_ID]],Dim_Reps!A:A,Dim_Reps!B:B)</f>
        <v>Jonas Sato</v>
      </c>
      <c r="P3206" t="str">
        <f>_xlfn.XLOOKUP(Pipeline_tbl[[#This Row],[Rep_ID]],Dim_Reps!A:A,Dim_Reps!C:C)</f>
        <v>Mid-Market AE</v>
      </c>
      <c r="Q3206" t="str">
        <f>_xlfn.XLOOKUP(Pipeline_tbl[[#This Row],[Rep_ID]],Dim_Reps!A:A,Dim_Reps!D:D)</f>
        <v>Mid-Market</v>
      </c>
      <c r="R3206" t="str">
        <f>_xlfn.XLOOKUP(Pipeline_tbl[[#This Row],[Rep_ID]],Dim_Reps!A:A,Dim_Reps!E:E)</f>
        <v>LATAM</v>
      </c>
      <c r="S3206" t="str">
        <f>_xlfn.XLOOKUP(Pipeline_tbl[[#This Row],[Created_Date]],Dim_Date!A:A,Dim_Date!H:H)</f>
        <v>Jun 2025</v>
      </c>
      <c r="T3206" t="str">
        <f>IF(Pipeline_tbl[[#This Row],[Closed_Date]]=0,"",(_xlfn.XLOOKUP(Pipeline_tbl[[#This Row],[Closed_Date]],Dim_Date!A:A,Dim_Date!H:H)))</f>
        <v>Jul 2025</v>
      </c>
      <c r="U3206">
        <f>IF(Pipeline_tbl[[#This Row],[Closed_Date]]=0,"",Pipeline_tbl[[#This Row],[Closed_Date]]-Pipeline_tbl[[#This Row],[Created_Date]])</f>
        <v>22</v>
      </c>
    </row>
    <row r="3207" spans="1:21" ht="15" customHeight="1" x14ac:dyDescent="0.2">
      <c r="A3207" t="s">
        <v>3513</v>
      </c>
      <c r="B3207" t="s">
        <v>243</v>
      </c>
      <c r="C3207" t="s">
        <v>53</v>
      </c>
      <c r="D3207" s="49">
        <v>45826</v>
      </c>
      <c r="E3207" s="49">
        <v>45829</v>
      </c>
      <c r="F3207" s="49">
        <v>45834</v>
      </c>
      <c r="G3207" s="49">
        <v>45842</v>
      </c>
      <c r="H3207" s="49">
        <v>45848</v>
      </c>
      <c r="I3207" s="49">
        <v>45852</v>
      </c>
      <c r="J3207" t="s">
        <v>47</v>
      </c>
      <c r="K3207" s="33">
        <v>9200</v>
      </c>
      <c r="M3207" t="str">
        <f>_xlfn.XLOOKUP(Pipeline_tbl[[#This Row],[Rep_ID]],Dim_Reps!A:A,Dim_Reps!K:K)</f>
        <v>MXN</v>
      </c>
      <c r="N3207" s="33">
        <f>(_xlfn.XLOOKUP(Pipeline_tbl[[#This Row],[Rate_Code_Generalized]],Lookups!A:A,Lookups!B:B))*Pipeline_tbl[[#This Row],[Pipeline_Amount_USD]]</f>
        <v>181540.84000000003</v>
      </c>
      <c r="O3207" t="str">
        <f>_xlfn.XLOOKUP(Pipeline_tbl[[#This Row],[Rep_ID]],Dim_Reps!A:A,Dim_Reps!B:B)</f>
        <v>Jonas Sato</v>
      </c>
      <c r="P3207" t="str">
        <f>_xlfn.XLOOKUP(Pipeline_tbl[[#This Row],[Rep_ID]],Dim_Reps!A:A,Dim_Reps!C:C)</f>
        <v>Mid-Market AE</v>
      </c>
      <c r="Q3207" t="str">
        <f>_xlfn.XLOOKUP(Pipeline_tbl[[#This Row],[Rep_ID]],Dim_Reps!A:A,Dim_Reps!D:D)</f>
        <v>Mid-Market</v>
      </c>
      <c r="R3207" t="str">
        <f>_xlfn.XLOOKUP(Pipeline_tbl[[#This Row],[Rep_ID]],Dim_Reps!A:A,Dim_Reps!E:E)</f>
        <v>LATAM</v>
      </c>
      <c r="S3207" t="str">
        <f>_xlfn.XLOOKUP(Pipeline_tbl[[#This Row],[Created_Date]],Dim_Date!A:A,Dim_Date!H:H)</f>
        <v>Jun 2025</v>
      </c>
      <c r="T3207" t="str">
        <f>IF(Pipeline_tbl[[#This Row],[Closed_Date]]=0,"",(_xlfn.XLOOKUP(Pipeline_tbl[[#This Row],[Closed_Date]],Dim_Date!A:A,Dim_Date!H:H)))</f>
        <v>Jul 2025</v>
      </c>
      <c r="U3207">
        <f>IF(Pipeline_tbl[[#This Row],[Closed_Date]]=0,"",Pipeline_tbl[[#This Row],[Closed_Date]]-Pipeline_tbl[[#This Row],[Created_Date]])</f>
        <v>26</v>
      </c>
    </row>
    <row r="3208" spans="1:21" ht="15" customHeight="1" x14ac:dyDescent="0.2">
      <c r="A3208" t="s">
        <v>3514</v>
      </c>
      <c r="B3208" t="s">
        <v>243</v>
      </c>
      <c r="C3208" t="s">
        <v>52</v>
      </c>
      <c r="D3208" s="49">
        <v>45823</v>
      </c>
      <c r="E3208" s="49">
        <v>45827</v>
      </c>
      <c r="F3208" s="49">
        <v>45836</v>
      </c>
      <c r="G3208" s="49">
        <v>45849</v>
      </c>
      <c r="I3208" s="49">
        <v>45866</v>
      </c>
      <c r="J3208" t="s">
        <v>49</v>
      </c>
      <c r="K3208" s="33">
        <v>9400</v>
      </c>
      <c r="L3208" t="s">
        <v>64</v>
      </c>
      <c r="M3208" t="str">
        <f>_xlfn.XLOOKUP(Pipeline_tbl[[#This Row],[Rep_ID]],Dim_Reps!A:A,Dim_Reps!K:K)</f>
        <v>MXN</v>
      </c>
      <c r="N3208" s="33">
        <f>(_xlfn.XLOOKUP(Pipeline_tbl[[#This Row],[Rate_Code_Generalized]],Lookups!A:A,Lookups!B:B))*Pipeline_tbl[[#This Row],[Pipeline_Amount_USD]]</f>
        <v>185487.38</v>
      </c>
      <c r="O3208" t="str">
        <f>_xlfn.XLOOKUP(Pipeline_tbl[[#This Row],[Rep_ID]],Dim_Reps!A:A,Dim_Reps!B:B)</f>
        <v>Jonas Sato</v>
      </c>
      <c r="P3208" t="str">
        <f>_xlfn.XLOOKUP(Pipeline_tbl[[#This Row],[Rep_ID]],Dim_Reps!A:A,Dim_Reps!C:C)</f>
        <v>Mid-Market AE</v>
      </c>
      <c r="Q3208" t="str">
        <f>_xlfn.XLOOKUP(Pipeline_tbl[[#This Row],[Rep_ID]],Dim_Reps!A:A,Dim_Reps!D:D)</f>
        <v>Mid-Market</v>
      </c>
      <c r="R3208" t="str">
        <f>_xlfn.XLOOKUP(Pipeline_tbl[[#This Row],[Rep_ID]],Dim_Reps!A:A,Dim_Reps!E:E)</f>
        <v>LATAM</v>
      </c>
      <c r="S3208" t="str">
        <f>_xlfn.XLOOKUP(Pipeline_tbl[[#This Row],[Created_Date]],Dim_Date!A:A,Dim_Date!H:H)</f>
        <v>Jun 2025</v>
      </c>
      <c r="T3208" t="str">
        <f>IF(Pipeline_tbl[[#This Row],[Closed_Date]]=0,"",(_xlfn.XLOOKUP(Pipeline_tbl[[#This Row],[Closed_Date]],Dim_Date!A:A,Dim_Date!H:H)))</f>
        <v>Jul 2025</v>
      </c>
      <c r="U3208">
        <f>IF(Pipeline_tbl[[#This Row],[Closed_Date]]=0,"",Pipeline_tbl[[#This Row],[Closed_Date]]-Pipeline_tbl[[#This Row],[Created_Date]])</f>
        <v>43</v>
      </c>
    </row>
    <row r="3209" spans="1:21" ht="15" customHeight="1" x14ac:dyDescent="0.2">
      <c r="A3209" t="s">
        <v>3515</v>
      </c>
      <c r="B3209" t="s">
        <v>243</v>
      </c>
      <c r="C3209" t="s">
        <v>52</v>
      </c>
      <c r="D3209" s="49">
        <v>45837</v>
      </c>
      <c r="E3209" s="49">
        <v>45840</v>
      </c>
      <c r="F3209" s="49">
        <v>45846</v>
      </c>
      <c r="G3209" s="49">
        <v>45854</v>
      </c>
      <c r="I3209" s="49">
        <v>45866</v>
      </c>
      <c r="J3209" t="s">
        <v>49</v>
      </c>
      <c r="K3209" s="33">
        <v>20800</v>
      </c>
      <c r="L3209" t="s">
        <v>60</v>
      </c>
      <c r="M3209" t="str">
        <f>_xlfn.XLOOKUP(Pipeline_tbl[[#This Row],[Rep_ID]],Dim_Reps!A:A,Dim_Reps!K:K)</f>
        <v>MXN</v>
      </c>
      <c r="N3209" s="33">
        <f>(_xlfn.XLOOKUP(Pipeline_tbl[[#This Row],[Rate_Code_Generalized]],Lookups!A:A,Lookups!B:B))*Pipeline_tbl[[#This Row],[Pipeline_Amount_USD]]</f>
        <v>410440.16000000003</v>
      </c>
      <c r="O3209" t="str">
        <f>_xlfn.XLOOKUP(Pipeline_tbl[[#This Row],[Rep_ID]],Dim_Reps!A:A,Dim_Reps!B:B)</f>
        <v>Jonas Sato</v>
      </c>
      <c r="P3209" t="str">
        <f>_xlfn.XLOOKUP(Pipeline_tbl[[#This Row],[Rep_ID]],Dim_Reps!A:A,Dim_Reps!C:C)</f>
        <v>Mid-Market AE</v>
      </c>
      <c r="Q3209" t="str">
        <f>_xlfn.XLOOKUP(Pipeline_tbl[[#This Row],[Rep_ID]],Dim_Reps!A:A,Dim_Reps!D:D)</f>
        <v>Mid-Market</v>
      </c>
      <c r="R3209" t="str">
        <f>_xlfn.XLOOKUP(Pipeline_tbl[[#This Row],[Rep_ID]],Dim_Reps!A:A,Dim_Reps!E:E)</f>
        <v>LATAM</v>
      </c>
      <c r="S3209" t="str">
        <f>_xlfn.XLOOKUP(Pipeline_tbl[[#This Row],[Created_Date]],Dim_Date!A:A,Dim_Date!H:H)</f>
        <v>Jun 2025</v>
      </c>
      <c r="T3209" t="str">
        <f>IF(Pipeline_tbl[[#This Row],[Closed_Date]]=0,"",(_xlfn.XLOOKUP(Pipeline_tbl[[#This Row],[Closed_Date]],Dim_Date!A:A,Dim_Date!H:H)))</f>
        <v>Jul 2025</v>
      </c>
      <c r="U3209">
        <f>IF(Pipeline_tbl[[#This Row],[Closed_Date]]=0,"",Pipeline_tbl[[#This Row],[Closed_Date]]-Pipeline_tbl[[#This Row],[Created_Date]])</f>
        <v>29</v>
      </c>
    </row>
    <row r="3210" spans="1:21" ht="15" customHeight="1" x14ac:dyDescent="0.2">
      <c r="A3210" t="s">
        <v>3516</v>
      </c>
      <c r="B3210" t="s">
        <v>196</v>
      </c>
      <c r="C3210" t="s">
        <v>52</v>
      </c>
      <c r="D3210" s="49">
        <v>45817</v>
      </c>
      <c r="E3210" s="49">
        <v>45820</v>
      </c>
      <c r="F3210" s="49">
        <v>45825</v>
      </c>
      <c r="G3210" s="49">
        <v>45834</v>
      </c>
      <c r="H3210" s="49">
        <v>45841</v>
      </c>
      <c r="I3210" s="49">
        <v>45845</v>
      </c>
      <c r="J3210" t="s">
        <v>47</v>
      </c>
      <c r="K3210" s="33">
        <v>6900</v>
      </c>
      <c r="M3210" t="str">
        <f>_xlfn.XLOOKUP(Pipeline_tbl[[#This Row],[Rep_ID]],Dim_Reps!A:A,Dim_Reps!K:K)</f>
        <v>EUR</v>
      </c>
      <c r="N3210" s="33">
        <f>(_xlfn.XLOOKUP(Pipeline_tbl[[#This Row],[Rate_Code_Generalized]],Lookups!A:A,Lookups!B:B))*Pipeline_tbl[[#This Row],[Pipeline_Amount_USD]]</f>
        <v>6900</v>
      </c>
      <c r="O3210" t="str">
        <f>_xlfn.XLOOKUP(Pipeline_tbl[[#This Row],[Rep_ID]],Dim_Reps!A:A,Dim_Reps!B:B)</f>
        <v>Alex Okafor</v>
      </c>
      <c r="P3210" t="str">
        <f>_xlfn.XLOOKUP(Pipeline_tbl[[#This Row],[Rep_ID]],Dim_Reps!A:A,Dim_Reps!C:C)</f>
        <v>SDR / Inside Sales Rep</v>
      </c>
      <c r="Q3210" t="str">
        <f>_xlfn.XLOOKUP(Pipeline_tbl[[#This Row],[Rep_ID]],Dim_Reps!A:A,Dim_Reps!D:D)</f>
        <v>Inside Sales</v>
      </c>
      <c r="R3210" t="str">
        <f>_xlfn.XLOOKUP(Pipeline_tbl[[#This Row],[Rep_ID]],Dim_Reps!A:A,Dim_Reps!E:E)</f>
        <v>EMEA</v>
      </c>
      <c r="S3210" t="str">
        <f>_xlfn.XLOOKUP(Pipeline_tbl[[#This Row],[Created_Date]],Dim_Date!A:A,Dim_Date!H:H)</f>
        <v>Jun 2025</v>
      </c>
      <c r="T3210" t="str">
        <f>IF(Pipeline_tbl[[#This Row],[Closed_Date]]=0,"",(_xlfn.XLOOKUP(Pipeline_tbl[[#This Row],[Closed_Date]],Dim_Date!A:A,Dim_Date!H:H)))</f>
        <v>Jul 2025</v>
      </c>
      <c r="U3210">
        <f>IF(Pipeline_tbl[[#This Row],[Closed_Date]]=0,"",Pipeline_tbl[[#This Row],[Closed_Date]]-Pipeline_tbl[[#This Row],[Created_Date]])</f>
        <v>28</v>
      </c>
    </row>
    <row r="3211" spans="1:21" ht="15" customHeight="1" x14ac:dyDescent="0.2">
      <c r="A3211" t="s">
        <v>3517</v>
      </c>
      <c r="B3211" t="s">
        <v>196</v>
      </c>
      <c r="C3211" t="s">
        <v>53</v>
      </c>
      <c r="D3211" s="49">
        <v>45835</v>
      </c>
      <c r="E3211" s="49">
        <v>45838</v>
      </c>
      <c r="F3211" s="49">
        <v>45843</v>
      </c>
      <c r="G3211" s="49">
        <v>45851</v>
      </c>
      <c r="H3211" s="49">
        <v>45857</v>
      </c>
      <c r="I3211" s="49">
        <v>45861</v>
      </c>
      <c r="J3211" t="s">
        <v>47</v>
      </c>
      <c r="K3211" s="33">
        <v>9000</v>
      </c>
      <c r="M3211" t="str">
        <f>_xlfn.XLOOKUP(Pipeline_tbl[[#This Row],[Rep_ID]],Dim_Reps!A:A,Dim_Reps!K:K)</f>
        <v>EUR</v>
      </c>
      <c r="N3211" s="33">
        <f>(_xlfn.XLOOKUP(Pipeline_tbl[[#This Row],[Rate_Code_Generalized]],Lookups!A:A,Lookups!B:B))*Pipeline_tbl[[#This Row],[Pipeline_Amount_USD]]</f>
        <v>9000</v>
      </c>
      <c r="O3211" t="str">
        <f>_xlfn.XLOOKUP(Pipeline_tbl[[#This Row],[Rep_ID]],Dim_Reps!A:A,Dim_Reps!B:B)</f>
        <v>Alex Okafor</v>
      </c>
      <c r="P3211" t="str">
        <f>_xlfn.XLOOKUP(Pipeline_tbl[[#This Row],[Rep_ID]],Dim_Reps!A:A,Dim_Reps!C:C)</f>
        <v>SDR / Inside Sales Rep</v>
      </c>
      <c r="Q3211" t="str">
        <f>_xlfn.XLOOKUP(Pipeline_tbl[[#This Row],[Rep_ID]],Dim_Reps!A:A,Dim_Reps!D:D)</f>
        <v>Inside Sales</v>
      </c>
      <c r="R3211" t="str">
        <f>_xlfn.XLOOKUP(Pipeline_tbl[[#This Row],[Rep_ID]],Dim_Reps!A:A,Dim_Reps!E:E)</f>
        <v>EMEA</v>
      </c>
      <c r="S3211" t="str">
        <f>_xlfn.XLOOKUP(Pipeline_tbl[[#This Row],[Created_Date]],Dim_Date!A:A,Dim_Date!H:H)</f>
        <v>Jun 2025</v>
      </c>
      <c r="T3211" t="str">
        <f>IF(Pipeline_tbl[[#This Row],[Closed_Date]]=0,"",(_xlfn.XLOOKUP(Pipeline_tbl[[#This Row],[Closed_Date]],Dim_Date!A:A,Dim_Date!H:H)))</f>
        <v>Jul 2025</v>
      </c>
      <c r="U3211">
        <f>IF(Pipeline_tbl[[#This Row],[Closed_Date]]=0,"",Pipeline_tbl[[#This Row],[Closed_Date]]-Pipeline_tbl[[#This Row],[Created_Date]])</f>
        <v>26</v>
      </c>
    </row>
    <row r="3212" spans="1:21" ht="15" customHeight="1" x14ac:dyDescent="0.2">
      <c r="A3212" t="s">
        <v>3518</v>
      </c>
      <c r="B3212" t="s">
        <v>196</v>
      </c>
      <c r="C3212" t="s">
        <v>54</v>
      </c>
      <c r="D3212" s="49">
        <v>45824</v>
      </c>
      <c r="E3212" s="49">
        <v>45826</v>
      </c>
      <c r="F3212" s="49">
        <v>45830</v>
      </c>
      <c r="G3212" s="49">
        <v>45835</v>
      </c>
      <c r="I3212" s="49">
        <v>45843</v>
      </c>
      <c r="J3212" t="s">
        <v>49</v>
      </c>
      <c r="K3212" s="33">
        <v>6500</v>
      </c>
      <c r="L3212" t="s">
        <v>62</v>
      </c>
      <c r="M3212" t="str">
        <f>_xlfn.XLOOKUP(Pipeline_tbl[[#This Row],[Rep_ID]],Dim_Reps!A:A,Dim_Reps!K:K)</f>
        <v>EUR</v>
      </c>
      <c r="N3212" s="33">
        <f>(_xlfn.XLOOKUP(Pipeline_tbl[[#This Row],[Rate_Code_Generalized]],Lookups!A:A,Lookups!B:B))*Pipeline_tbl[[#This Row],[Pipeline_Amount_USD]]</f>
        <v>6500</v>
      </c>
      <c r="O3212" t="str">
        <f>_xlfn.XLOOKUP(Pipeline_tbl[[#This Row],[Rep_ID]],Dim_Reps!A:A,Dim_Reps!B:B)</f>
        <v>Alex Okafor</v>
      </c>
      <c r="P3212" t="str">
        <f>_xlfn.XLOOKUP(Pipeline_tbl[[#This Row],[Rep_ID]],Dim_Reps!A:A,Dim_Reps!C:C)</f>
        <v>SDR / Inside Sales Rep</v>
      </c>
      <c r="Q3212" t="str">
        <f>_xlfn.XLOOKUP(Pipeline_tbl[[#This Row],[Rep_ID]],Dim_Reps!A:A,Dim_Reps!D:D)</f>
        <v>Inside Sales</v>
      </c>
      <c r="R3212" t="str">
        <f>_xlfn.XLOOKUP(Pipeline_tbl[[#This Row],[Rep_ID]],Dim_Reps!A:A,Dim_Reps!E:E)</f>
        <v>EMEA</v>
      </c>
      <c r="S3212" t="str">
        <f>_xlfn.XLOOKUP(Pipeline_tbl[[#This Row],[Created_Date]],Dim_Date!A:A,Dim_Date!H:H)</f>
        <v>Jun 2025</v>
      </c>
      <c r="T3212" t="str">
        <f>IF(Pipeline_tbl[[#This Row],[Closed_Date]]=0,"",(_xlfn.XLOOKUP(Pipeline_tbl[[#This Row],[Closed_Date]],Dim_Date!A:A,Dim_Date!H:H)))</f>
        <v>Jul 2025</v>
      </c>
      <c r="U3212">
        <f>IF(Pipeline_tbl[[#This Row],[Closed_Date]]=0,"",Pipeline_tbl[[#This Row],[Closed_Date]]-Pipeline_tbl[[#This Row],[Created_Date]])</f>
        <v>19</v>
      </c>
    </row>
    <row r="3213" spans="1:21" ht="15" customHeight="1" x14ac:dyDescent="0.2">
      <c r="A3213" t="s">
        <v>3519</v>
      </c>
      <c r="B3213" t="s">
        <v>196</v>
      </c>
      <c r="C3213" t="s">
        <v>52</v>
      </c>
      <c r="D3213" s="49">
        <v>45832</v>
      </c>
      <c r="E3213" s="49">
        <v>45834</v>
      </c>
      <c r="F3213" s="49">
        <v>45837</v>
      </c>
      <c r="G3213" s="49">
        <v>45842</v>
      </c>
      <c r="I3213" s="49">
        <v>45849</v>
      </c>
      <c r="J3213" t="s">
        <v>49</v>
      </c>
      <c r="K3213" s="33">
        <v>1500</v>
      </c>
      <c r="L3213" t="s">
        <v>60</v>
      </c>
      <c r="M3213" t="str">
        <f>_xlfn.XLOOKUP(Pipeline_tbl[[#This Row],[Rep_ID]],Dim_Reps!A:A,Dim_Reps!K:K)</f>
        <v>EUR</v>
      </c>
      <c r="N3213" s="33">
        <f>(_xlfn.XLOOKUP(Pipeline_tbl[[#This Row],[Rate_Code_Generalized]],Lookups!A:A,Lookups!B:B))*Pipeline_tbl[[#This Row],[Pipeline_Amount_USD]]</f>
        <v>1500</v>
      </c>
      <c r="O3213" t="str">
        <f>_xlfn.XLOOKUP(Pipeline_tbl[[#This Row],[Rep_ID]],Dim_Reps!A:A,Dim_Reps!B:B)</f>
        <v>Alex Okafor</v>
      </c>
      <c r="P3213" t="str">
        <f>_xlfn.XLOOKUP(Pipeline_tbl[[#This Row],[Rep_ID]],Dim_Reps!A:A,Dim_Reps!C:C)</f>
        <v>SDR / Inside Sales Rep</v>
      </c>
      <c r="Q3213" t="str">
        <f>_xlfn.XLOOKUP(Pipeline_tbl[[#This Row],[Rep_ID]],Dim_Reps!A:A,Dim_Reps!D:D)</f>
        <v>Inside Sales</v>
      </c>
      <c r="R3213" t="str">
        <f>_xlfn.XLOOKUP(Pipeline_tbl[[#This Row],[Rep_ID]],Dim_Reps!A:A,Dim_Reps!E:E)</f>
        <v>EMEA</v>
      </c>
      <c r="S3213" t="str">
        <f>_xlfn.XLOOKUP(Pipeline_tbl[[#This Row],[Created_Date]],Dim_Date!A:A,Dim_Date!H:H)</f>
        <v>Jun 2025</v>
      </c>
      <c r="T3213" t="str">
        <f>IF(Pipeline_tbl[[#This Row],[Closed_Date]]=0,"",(_xlfn.XLOOKUP(Pipeline_tbl[[#This Row],[Closed_Date]],Dim_Date!A:A,Dim_Date!H:H)))</f>
        <v>Jul 2025</v>
      </c>
      <c r="U3213">
        <f>IF(Pipeline_tbl[[#This Row],[Closed_Date]]=0,"",Pipeline_tbl[[#This Row],[Closed_Date]]-Pipeline_tbl[[#This Row],[Created_Date]])</f>
        <v>17</v>
      </c>
    </row>
    <row r="3214" spans="1:21" ht="15" customHeight="1" x14ac:dyDescent="0.2">
      <c r="A3214" t="s">
        <v>3520</v>
      </c>
      <c r="B3214" t="s">
        <v>196</v>
      </c>
      <c r="C3214" t="s">
        <v>52</v>
      </c>
      <c r="D3214" s="49">
        <v>45820</v>
      </c>
      <c r="E3214" s="49">
        <v>45822</v>
      </c>
      <c r="F3214" s="49">
        <v>45827</v>
      </c>
      <c r="G3214" s="49">
        <v>45834</v>
      </c>
      <c r="H3214" s="49">
        <v>45840</v>
      </c>
      <c r="I3214" s="49">
        <v>45843</v>
      </c>
      <c r="J3214" t="s">
        <v>49</v>
      </c>
      <c r="K3214" s="33">
        <v>3900</v>
      </c>
      <c r="L3214" t="s">
        <v>62</v>
      </c>
      <c r="M3214" t="str">
        <f>_xlfn.XLOOKUP(Pipeline_tbl[[#This Row],[Rep_ID]],Dim_Reps!A:A,Dim_Reps!K:K)</f>
        <v>EUR</v>
      </c>
      <c r="N3214" s="33">
        <f>(_xlfn.XLOOKUP(Pipeline_tbl[[#This Row],[Rate_Code_Generalized]],Lookups!A:A,Lookups!B:B))*Pipeline_tbl[[#This Row],[Pipeline_Amount_USD]]</f>
        <v>3900</v>
      </c>
      <c r="O3214" t="str">
        <f>_xlfn.XLOOKUP(Pipeline_tbl[[#This Row],[Rep_ID]],Dim_Reps!A:A,Dim_Reps!B:B)</f>
        <v>Alex Okafor</v>
      </c>
      <c r="P3214" t="str">
        <f>_xlfn.XLOOKUP(Pipeline_tbl[[#This Row],[Rep_ID]],Dim_Reps!A:A,Dim_Reps!C:C)</f>
        <v>SDR / Inside Sales Rep</v>
      </c>
      <c r="Q3214" t="str">
        <f>_xlfn.XLOOKUP(Pipeline_tbl[[#This Row],[Rep_ID]],Dim_Reps!A:A,Dim_Reps!D:D)</f>
        <v>Inside Sales</v>
      </c>
      <c r="R3214" t="str">
        <f>_xlfn.XLOOKUP(Pipeline_tbl[[#This Row],[Rep_ID]],Dim_Reps!A:A,Dim_Reps!E:E)</f>
        <v>EMEA</v>
      </c>
      <c r="S3214" t="str">
        <f>_xlfn.XLOOKUP(Pipeline_tbl[[#This Row],[Created_Date]],Dim_Date!A:A,Dim_Date!H:H)</f>
        <v>Jun 2025</v>
      </c>
      <c r="T3214" t="str">
        <f>IF(Pipeline_tbl[[#This Row],[Closed_Date]]=0,"",(_xlfn.XLOOKUP(Pipeline_tbl[[#This Row],[Closed_Date]],Dim_Date!A:A,Dim_Date!H:H)))</f>
        <v>Jul 2025</v>
      </c>
      <c r="U3214">
        <f>IF(Pipeline_tbl[[#This Row],[Closed_Date]]=0,"",Pipeline_tbl[[#This Row],[Closed_Date]]-Pipeline_tbl[[#This Row],[Created_Date]])</f>
        <v>23</v>
      </c>
    </row>
    <row r="3215" spans="1:21" ht="15" customHeight="1" x14ac:dyDescent="0.2">
      <c r="A3215" t="s">
        <v>3521</v>
      </c>
      <c r="B3215" t="s">
        <v>199</v>
      </c>
      <c r="C3215" t="s">
        <v>53</v>
      </c>
      <c r="D3215" s="49">
        <v>45827</v>
      </c>
      <c r="E3215" s="49">
        <v>45829</v>
      </c>
      <c r="F3215" s="49">
        <v>45833</v>
      </c>
      <c r="G3215" s="49">
        <v>45840</v>
      </c>
      <c r="I3215" s="49">
        <v>45848</v>
      </c>
      <c r="J3215" t="s">
        <v>49</v>
      </c>
      <c r="K3215" s="33">
        <v>2500</v>
      </c>
      <c r="L3215" t="s">
        <v>60</v>
      </c>
      <c r="M3215" t="str">
        <f>_xlfn.XLOOKUP(Pipeline_tbl[[#This Row],[Rep_ID]],Dim_Reps!A:A,Dim_Reps!K:K)</f>
        <v>EUR</v>
      </c>
      <c r="N3215" s="33">
        <f>(_xlfn.XLOOKUP(Pipeline_tbl[[#This Row],[Rate_Code_Generalized]],Lookups!A:A,Lookups!B:B))*Pipeline_tbl[[#This Row],[Pipeline_Amount_USD]]</f>
        <v>2500</v>
      </c>
      <c r="O3215" t="str">
        <f>_xlfn.XLOOKUP(Pipeline_tbl[[#This Row],[Rep_ID]],Dim_Reps!A:A,Dim_Reps!B:B)</f>
        <v>Lucas Okafor</v>
      </c>
      <c r="P3215" t="str">
        <f>_xlfn.XLOOKUP(Pipeline_tbl[[#This Row],[Rep_ID]],Dim_Reps!A:A,Dim_Reps!C:C)</f>
        <v>SDR / Inside Sales Rep</v>
      </c>
      <c r="Q3215" t="str">
        <f>_xlfn.XLOOKUP(Pipeline_tbl[[#This Row],[Rep_ID]],Dim_Reps!A:A,Dim_Reps!D:D)</f>
        <v>Inside Sales</v>
      </c>
      <c r="R3215" t="str">
        <f>_xlfn.XLOOKUP(Pipeline_tbl[[#This Row],[Rep_ID]],Dim_Reps!A:A,Dim_Reps!E:E)</f>
        <v>APAC</v>
      </c>
      <c r="S3215" t="str">
        <f>_xlfn.XLOOKUP(Pipeline_tbl[[#This Row],[Created_Date]],Dim_Date!A:A,Dim_Date!H:H)</f>
        <v>Jun 2025</v>
      </c>
      <c r="T3215" t="str">
        <f>IF(Pipeline_tbl[[#This Row],[Closed_Date]]=0,"",(_xlfn.XLOOKUP(Pipeline_tbl[[#This Row],[Closed_Date]],Dim_Date!A:A,Dim_Date!H:H)))</f>
        <v>Jul 2025</v>
      </c>
      <c r="U3215">
        <f>IF(Pipeline_tbl[[#This Row],[Closed_Date]]=0,"",Pipeline_tbl[[#This Row],[Closed_Date]]-Pipeline_tbl[[#This Row],[Created_Date]])</f>
        <v>21</v>
      </c>
    </row>
    <row r="3216" spans="1:21" ht="15" customHeight="1" x14ac:dyDescent="0.2">
      <c r="A3216" t="s">
        <v>3522</v>
      </c>
      <c r="B3216" t="s">
        <v>199</v>
      </c>
      <c r="C3216" t="s">
        <v>54</v>
      </c>
      <c r="D3216" s="49">
        <v>45830</v>
      </c>
      <c r="E3216" s="49">
        <v>45832</v>
      </c>
      <c r="F3216" s="49">
        <v>45835</v>
      </c>
      <c r="G3216" s="49">
        <v>45840</v>
      </c>
      <c r="H3216" s="49">
        <v>45844</v>
      </c>
      <c r="I3216" s="49">
        <v>45846</v>
      </c>
      <c r="J3216" t="s">
        <v>47</v>
      </c>
      <c r="K3216" s="33">
        <v>4000</v>
      </c>
      <c r="M3216" t="str">
        <f>_xlfn.XLOOKUP(Pipeline_tbl[[#This Row],[Rep_ID]],Dim_Reps!A:A,Dim_Reps!K:K)</f>
        <v>EUR</v>
      </c>
      <c r="N3216" s="33">
        <f>(_xlfn.XLOOKUP(Pipeline_tbl[[#This Row],[Rate_Code_Generalized]],Lookups!A:A,Lookups!B:B))*Pipeline_tbl[[#This Row],[Pipeline_Amount_USD]]</f>
        <v>4000</v>
      </c>
      <c r="O3216" t="str">
        <f>_xlfn.XLOOKUP(Pipeline_tbl[[#This Row],[Rep_ID]],Dim_Reps!A:A,Dim_Reps!B:B)</f>
        <v>Lucas Okafor</v>
      </c>
      <c r="P3216" t="str">
        <f>_xlfn.XLOOKUP(Pipeline_tbl[[#This Row],[Rep_ID]],Dim_Reps!A:A,Dim_Reps!C:C)</f>
        <v>SDR / Inside Sales Rep</v>
      </c>
      <c r="Q3216" t="str">
        <f>_xlfn.XLOOKUP(Pipeline_tbl[[#This Row],[Rep_ID]],Dim_Reps!A:A,Dim_Reps!D:D)</f>
        <v>Inside Sales</v>
      </c>
      <c r="R3216" t="str">
        <f>_xlfn.XLOOKUP(Pipeline_tbl[[#This Row],[Rep_ID]],Dim_Reps!A:A,Dim_Reps!E:E)</f>
        <v>APAC</v>
      </c>
      <c r="S3216" t="str">
        <f>_xlfn.XLOOKUP(Pipeline_tbl[[#This Row],[Created_Date]],Dim_Date!A:A,Dim_Date!H:H)</f>
        <v>Jun 2025</v>
      </c>
      <c r="T3216" t="str">
        <f>IF(Pipeline_tbl[[#This Row],[Closed_Date]]=0,"",(_xlfn.XLOOKUP(Pipeline_tbl[[#This Row],[Closed_Date]],Dim_Date!A:A,Dim_Date!H:H)))</f>
        <v>Jul 2025</v>
      </c>
      <c r="U3216">
        <f>IF(Pipeline_tbl[[#This Row],[Closed_Date]]=0,"",Pipeline_tbl[[#This Row],[Closed_Date]]-Pipeline_tbl[[#This Row],[Created_Date]])</f>
        <v>16</v>
      </c>
    </row>
    <row r="3217" spans="1:21" ht="15" customHeight="1" x14ac:dyDescent="0.2">
      <c r="A3217" t="s">
        <v>3523</v>
      </c>
      <c r="B3217" t="s">
        <v>199</v>
      </c>
      <c r="C3217" t="s">
        <v>54</v>
      </c>
      <c r="D3217" s="49">
        <v>45834</v>
      </c>
      <c r="E3217" s="49">
        <v>45835</v>
      </c>
      <c r="F3217" s="49">
        <v>45837</v>
      </c>
      <c r="G3217" s="49">
        <v>45841</v>
      </c>
      <c r="H3217" s="49">
        <v>45843</v>
      </c>
      <c r="I3217" s="49">
        <v>45845</v>
      </c>
      <c r="J3217" t="s">
        <v>47</v>
      </c>
      <c r="K3217" s="33">
        <v>5200</v>
      </c>
      <c r="M3217" t="str">
        <f>_xlfn.XLOOKUP(Pipeline_tbl[[#This Row],[Rep_ID]],Dim_Reps!A:A,Dim_Reps!K:K)</f>
        <v>EUR</v>
      </c>
      <c r="N3217" s="33">
        <f>(_xlfn.XLOOKUP(Pipeline_tbl[[#This Row],[Rate_Code_Generalized]],Lookups!A:A,Lookups!B:B))*Pipeline_tbl[[#This Row],[Pipeline_Amount_USD]]</f>
        <v>5200</v>
      </c>
      <c r="O3217" t="str">
        <f>_xlfn.XLOOKUP(Pipeline_tbl[[#This Row],[Rep_ID]],Dim_Reps!A:A,Dim_Reps!B:B)</f>
        <v>Lucas Okafor</v>
      </c>
      <c r="P3217" t="str">
        <f>_xlfn.XLOOKUP(Pipeline_tbl[[#This Row],[Rep_ID]],Dim_Reps!A:A,Dim_Reps!C:C)</f>
        <v>SDR / Inside Sales Rep</v>
      </c>
      <c r="Q3217" t="str">
        <f>_xlfn.XLOOKUP(Pipeline_tbl[[#This Row],[Rep_ID]],Dim_Reps!A:A,Dim_Reps!D:D)</f>
        <v>Inside Sales</v>
      </c>
      <c r="R3217" t="str">
        <f>_xlfn.XLOOKUP(Pipeline_tbl[[#This Row],[Rep_ID]],Dim_Reps!A:A,Dim_Reps!E:E)</f>
        <v>APAC</v>
      </c>
      <c r="S3217" t="str">
        <f>_xlfn.XLOOKUP(Pipeline_tbl[[#This Row],[Created_Date]],Dim_Date!A:A,Dim_Date!H:H)</f>
        <v>Jun 2025</v>
      </c>
      <c r="T3217" t="str">
        <f>IF(Pipeline_tbl[[#This Row],[Closed_Date]]=0,"",(_xlfn.XLOOKUP(Pipeline_tbl[[#This Row],[Closed_Date]],Dim_Date!A:A,Dim_Date!H:H)))</f>
        <v>Jul 2025</v>
      </c>
      <c r="U3217">
        <f>IF(Pipeline_tbl[[#This Row],[Closed_Date]]=0,"",Pipeline_tbl[[#This Row],[Closed_Date]]-Pipeline_tbl[[#This Row],[Created_Date]])</f>
        <v>11</v>
      </c>
    </row>
    <row r="3218" spans="1:21" ht="15" customHeight="1" x14ac:dyDescent="0.2">
      <c r="A3218" t="s">
        <v>3524</v>
      </c>
      <c r="B3218" t="s">
        <v>181</v>
      </c>
      <c r="C3218" t="s">
        <v>55</v>
      </c>
      <c r="D3218" s="49">
        <v>45823</v>
      </c>
      <c r="E3218" s="49">
        <v>45825</v>
      </c>
      <c r="F3218" s="49">
        <v>45828</v>
      </c>
      <c r="G3218" s="49">
        <v>45833</v>
      </c>
      <c r="H3218" s="49">
        <v>45837</v>
      </c>
      <c r="I3218" s="49">
        <v>45840</v>
      </c>
      <c r="J3218" t="s">
        <v>49</v>
      </c>
      <c r="K3218" s="33">
        <v>27700</v>
      </c>
      <c r="L3218" t="s">
        <v>61</v>
      </c>
      <c r="M3218" t="str">
        <f>_xlfn.XLOOKUP(Pipeline_tbl[[#This Row],[Rep_ID]],Dim_Reps!A:A,Dim_Reps!K:K)</f>
        <v>USD</v>
      </c>
      <c r="N3218" s="33">
        <f>(_xlfn.XLOOKUP(Pipeline_tbl[[#This Row],[Rate_Code_Generalized]],Lookups!A:A,Lookups!B:B))*Pipeline_tbl[[#This Row],[Pipeline_Amount_USD]]</f>
        <v>32251.109999999997</v>
      </c>
      <c r="O3218" t="str">
        <f>_xlfn.XLOOKUP(Pipeline_tbl[[#This Row],[Rep_ID]],Dim_Reps!A:A,Dim_Reps!B:B)</f>
        <v>Milo Weber</v>
      </c>
      <c r="P3218" t="str">
        <f>_xlfn.XLOOKUP(Pipeline_tbl[[#This Row],[Rep_ID]],Dim_Reps!A:A,Dim_Reps!C:C)</f>
        <v>Enterprise AE</v>
      </c>
      <c r="Q3218" t="str">
        <f>_xlfn.XLOOKUP(Pipeline_tbl[[#This Row],[Rep_ID]],Dim_Reps!A:A,Dim_Reps!D:D)</f>
        <v>Enterprise</v>
      </c>
      <c r="R3218" t="str">
        <f>_xlfn.XLOOKUP(Pipeline_tbl[[#This Row],[Rep_ID]],Dim_Reps!A:A,Dim_Reps!E:E)</f>
        <v>NAMER</v>
      </c>
      <c r="S3218" t="str">
        <f>_xlfn.XLOOKUP(Pipeline_tbl[[#This Row],[Created_Date]],Dim_Date!A:A,Dim_Date!H:H)</f>
        <v>Jun 2025</v>
      </c>
      <c r="T3218" t="str">
        <f>IF(Pipeline_tbl[[#This Row],[Closed_Date]]=0,"",(_xlfn.XLOOKUP(Pipeline_tbl[[#This Row],[Closed_Date]],Dim_Date!A:A,Dim_Date!H:H)))</f>
        <v>Jul 2025</v>
      </c>
      <c r="U3218">
        <f>IF(Pipeline_tbl[[#This Row],[Closed_Date]]=0,"",Pipeline_tbl[[#This Row],[Closed_Date]]-Pipeline_tbl[[#This Row],[Created_Date]])</f>
        <v>17</v>
      </c>
    </row>
    <row r="3219" spans="1:21" ht="15" customHeight="1" x14ac:dyDescent="0.2">
      <c r="A3219" t="s">
        <v>3525</v>
      </c>
      <c r="B3219" t="s">
        <v>246</v>
      </c>
      <c r="C3219" t="s">
        <v>53</v>
      </c>
      <c r="D3219" s="49">
        <v>45811</v>
      </c>
      <c r="E3219" s="49">
        <v>45814</v>
      </c>
      <c r="F3219" s="49">
        <v>45821</v>
      </c>
      <c r="G3219" s="49">
        <v>45831</v>
      </c>
      <c r="H3219" s="49">
        <v>45839</v>
      </c>
      <c r="I3219" s="49">
        <v>45844</v>
      </c>
      <c r="J3219" t="s">
        <v>49</v>
      </c>
      <c r="K3219" s="33">
        <v>3800</v>
      </c>
      <c r="L3219" t="s">
        <v>61</v>
      </c>
      <c r="M3219" t="str">
        <f>_xlfn.XLOOKUP(Pipeline_tbl[[#This Row],[Rep_ID]],Dim_Reps!A:A,Dim_Reps!K:K)</f>
        <v>EUR</v>
      </c>
      <c r="N3219" s="33">
        <f>(_xlfn.XLOOKUP(Pipeline_tbl[[#This Row],[Rate_Code_Generalized]],Lookups!A:A,Lookups!B:B))*Pipeline_tbl[[#This Row],[Pipeline_Amount_USD]]</f>
        <v>3800</v>
      </c>
      <c r="O3219" t="str">
        <f>_xlfn.XLOOKUP(Pipeline_tbl[[#This Row],[Rep_ID]],Dim_Reps!A:A,Dim_Reps!B:B)</f>
        <v>Karim Rivera</v>
      </c>
      <c r="P3219" t="str">
        <f>_xlfn.XLOOKUP(Pipeline_tbl[[#This Row],[Rep_ID]],Dim_Reps!A:A,Dim_Reps!C:C)</f>
        <v>Mid-Market AE</v>
      </c>
      <c r="Q3219" t="str">
        <f>_xlfn.XLOOKUP(Pipeline_tbl[[#This Row],[Rep_ID]],Dim_Reps!A:A,Dim_Reps!D:D)</f>
        <v>Mid-Market</v>
      </c>
      <c r="R3219" t="str">
        <f>_xlfn.XLOOKUP(Pipeline_tbl[[#This Row],[Rep_ID]],Dim_Reps!A:A,Dim_Reps!E:E)</f>
        <v>APAC</v>
      </c>
      <c r="S3219" t="str">
        <f>_xlfn.XLOOKUP(Pipeline_tbl[[#This Row],[Created_Date]],Dim_Date!A:A,Dim_Date!H:H)</f>
        <v>Jun 2025</v>
      </c>
      <c r="T3219" t="str">
        <f>IF(Pipeline_tbl[[#This Row],[Closed_Date]]=0,"",(_xlfn.XLOOKUP(Pipeline_tbl[[#This Row],[Closed_Date]],Dim_Date!A:A,Dim_Date!H:H)))</f>
        <v>Jul 2025</v>
      </c>
      <c r="U3219">
        <f>IF(Pipeline_tbl[[#This Row],[Closed_Date]]=0,"",Pipeline_tbl[[#This Row],[Closed_Date]]-Pipeline_tbl[[#This Row],[Created_Date]])</f>
        <v>33</v>
      </c>
    </row>
    <row r="3220" spans="1:21" ht="15" customHeight="1" x14ac:dyDescent="0.2">
      <c r="A3220" t="s">
        <v>3526</v>
      </c>
      <c r="B3220" t="s">
        <v>246</v>
      </c>
      <c r="C3220" t="s">
        <v>53</v>
      </c>
      <c r="D3220" s="49">
        <v>45816</v>
      </c>
      <c r="E3220" s="49">
        <v>45820</v>
      </c>
      <c r="F3220" s="49">
        <v>45827</v>
      </c>
      <c r="G3220" s="49">
        <v>45837</v>
      </c>
      <c r="I3220" s="49">
        <v>45851</v>
      </c>
      <c r="J3220" t="s">
        <v>49</v>
      </c>
      <c r="K3220" s="33">
        <v>11400</v>
      </c>
      <c r="L3220" t="s">
        <v>61</v>
      </c>
      <c r="M3220" t="str">
        <f>_xlfn.XLOOKUP(Pipeline_tbl[[#This Row],[Rep_ID]],Dim_Reps!A:A,Dim_Reps!K:K)</f>
        <v>EUR</v>
      </c>
      <c r="N3220" s="33">
        <f>(_xlfn.XLOOKUP(Pipeline_tbl[[#This Row],[Rate_Code_Generalized]],Lookups!A:A,Lookups!B:B))*Pipeline_tbl[[#This Row],[Pipeline_Amount_USD]]</f>
        <v>11400</v>
      </c>
      <c r="O3220" t="str">
        <f>_xlfn.XLOOKUP(Pipeline_tbl[[#This Row],[Rep_ID]],Dim_Reps!A:A,Dim_Reps!B:B)</f>
        <v>Karim Rivera</v>
      </c>
      <c r="P3220" t="str">
        <f>_xlfn.XLOOKUP(Pipeline_tbl[[#This Row],[Rep_ID]],Dim_Reps!A:A,Dim_Reps!C:C)</f>
        <v>Mid-Market AE</v>
      </c>
      <c r="Q3220" t="str">
        <f>_xlfn.XLOOKUP(Pipeline_tbl[[#This Row],[Rep_ID]],Dim_Reps!A:A,Dim_Reps!D:D)</f>
        <v>Mid-Market</v>
      </c>
      <c r="R3220" t="str">
        <f>_xlfn.XLOOKUP(Pipeline_tbl[[#This Row],[Rep_ID]],Dim_Reps!A:A,Dim_Reps!E:E)</f>
        <v>APAC</v>
      </c>
      <c r="S3220" t="str">
        <f>_xlfn.XLOOKUP(Pipeline_tbl[[#This Row],[Created_Date]],Dim_Date!A:A,Dim_Date!H:H)</f>
        <v>Jun 2025</v>
      </c>
      <c r="T3220" t="str">
        <f>IF(Pipeline_tbl[[#This Row],[Closed_Date]]=0,"",(_xlfn.XLOOKUP(Pipeline_tbl[[#This Row],[Closed_Date]],Dim_Date!A:A,Dim_Date!H:H)))</f>
        <v>Jul 2025</v>
      </c>
      <c r="U3220">
        <f>IF(Pipeline_tbl[[#This Row],[Closed_Date]]=0,"",Pipeline_tbl[[#This Row],[Closed_Date]]-Pipeline_tbl[[#This Row],[Created_Date]])</f>
        <v>35</v>
      </c>
    </row>
    <row r="3221" spans="1:21" ht="15" customHeight="1" x14ac:dyDescent="0.2">
      <c r="A3221" t="s">
        <v>3527</v>
      </c>
      <c r="B3221" t="s">
        <v>183</v>
      </c>
      <c r="C3221" t="s">
        <v>54</v>
      </c>
      <c r="D3221" s="49">
        <v>45812</v>
      </c>
      <c r="E3221" s="49">
        <v>45818</v>
      </c>
      <c r="F3221" s="49">
        <v>45829</v>
      </c>
      <c r="I3221" s="49">
        <v>45867</v>
      </c>
      <c r="J3221" t="s">
        <v>49</v>
      </c>
      <c r="K3221" s="33">
        <v>31100</v>
      </c>
      <c r="L3221" t="s">
        <v>62</v>
      </c>
      <c r="M3221" t="str">
        <f>_xlfn.XLOOKUP(Pipeline_tbl[[#This Row],[Rep_ID]],Dim_Reps!A:A,Dim_Reps!K:K)</f>
        <v>EUR</v>
      </c>
      <c r="N3221" s="33">
        <f>(_xlfn.XLOOKUP(Pipeline_tbl[[#This Row],[Rate_Code_Generalized]],Lookups!A:A,Lookups!B:B))*Pipeline_tbl[[#This Row],[Pipeline_Amount_USD]]</f>
        <v>31100</v>
      </c>
      <c r="O3221" t="str">
        <f>_xlfn.XLOOKUP(Pipeline_tbl[[#This Row],[Rep_ID]],Dim_Reps!A:A,Dim_Reps!B:B)</f>
        <v>Sam Schmidt</v>
      </c>
      <c r="P3221" t="str">
        <f>_xlfn.XLOOKUP(Pipeline_tbl[[#This Row],[Rep_ID]],Dim_Reps!A:A,Dim_Reps!C:C)</f>
        <v>Enterprise AE</v>
      </c>
      <c r="Q3221" t="str">
        <f>_xlfn.XLOOKUP(Pipeline_tbl[[#This Row],[Rep_ID]],Dim_Reps!A:A,Dim_Reps!D:D)</f>
        <v>Enterprise</v>
      </c>
      <c r="R3221" t="str">
        <f>_xlfn.XLOOKUP(Pipeline_tbl[[#This Row],[Rep_ID]],Dim_Reps!A:A,Dim_Reps!E:E)</f>
        <v>EMEA</v>
      </c>
      <c r="S3221" t="str">
        <f>_xlfn.XLOOKUP(Pipeline_tbl[[#This Row],[Created_Date]],Dim_Date!A:A,Dim_Date!H:H)</f>
        <v>Jun 2025</v>
      </c>
      <c r="T3221" t="str">
        <f>IF(Pipeline_tbl[[#This Row],[Closed_Date]]=0,"",(_xlfn.XLOOKUP(Pipeline_tbl[[#This Row],[Closed_Date]],Dim_Date!A:A,Dim_Date!H:H)))</f>
        <v>Jul 2025</v>
      </c>
      <c r="U3221">
        <f>IF(Pipeline_tbl[[#This Row],[Closed_Date]]=0,"",Pipeline_tbl[[#This Row],[Closed_Date]]-Pipeline_tbl[[#This Row],[Created_Date]])</f>
        <v>55</v>
      </c>
    </row>
    <row r="3222" spans="1:21" ht="15" customHeight="1" x14ac:dyDescent="0.2">
      <c r="A3222" t="s">
        <v>3528</v>
      </c>
      <c r="B3222" t="s">
        <v>183</v>
      </c>
      <c r="C3222" t="s">
        <v>52</v>
      </c>
      <c r="D3222" s="49">
        <v>45809</v>
      </c>
      <c r="E3222" s="49">
        <v>45814</v>
      </c>
      <c r="F3222" s="49">
        <v>45823</v>
      </c>
      <c r="G3222" s="49">
        <v>45838</v>
      </c>
      <c r="I3222" s="49">
        <v>45857</v>
      </c>
      <c r="J3222" t="s">
        <v>49</v>
      </c>
      <c r="K3222" s="33">
        <v>34200</v>
      </c>
      <c r="L3222" t="s">
        <v>62</v>
      </c>
      <c r="M3222" t="str">
        <f>_xlfn.XLOOKUP(Pipeline_tbl[[#This Row],[Rep_ID]],Dim_Reps!A:A,Dim_Reps!K:K)</f>
        <v>EUR</v>
      </c>
      <c r="N3222" s="33">
        <f>(_xlfn.XLOOKUP(Pipeline_tbl[[#This Row],[Rate_Code_Generalized]],Lookups!A:A,Lookups!B:B))*Pipeline_tbl[[#This Row],[Pipeline_Amount_USD]]</f>
        <v>34200</v>
      </c>
      <c r="O3222" t="str">
        <f>_xlfn.XLOOKUP(Pipeline_tbl[[#This Row],[Rep_ID]],Dim_Reps!A:A,Dim_Reps!B:B)</f>
        <v>Sam Schmidt</v>
      </c>
      <c r="P3222" t="str">
        <f>_xlfn.XLOOKUP(Pipeline_tbl[[#This Row],[Rep_ID]],Dim_Reps!A:A,Dim_Reps!C:C)</f>
        <v>Enterprise AE</v>
      </c>
      <c r="Q3222" t="str">
        <f>_xlfn.XLOOKUP(Pipeline_tbl[[#This Row],[Rep_ID]],Dim_Reps!A:A,Dim_Reps!D:D)</f>
        <v>Enterprise</v>
      </c>
      <c r="R3222" t="str">
        <f>_xlfn.XLOOKUP(Pipeline_tbl[[#This Row],[Rep_ID]],Dim_Reps!A:A,Dim_Reps!E:E)</f>
        <v>EMEA</v>
      </c>
      <c r="S3222" t="str">
        <f>_xlfn.XLOOKUP(Pipeline_tbl[[#This Row],[Created_Date]],Dim_Date!A:A,Dim_Date!H:H)</f>
        <v>Jun 2025</v>
      </c>
      <c r="T3222" t="str">
        <f>IF(Pipeline_tbl[[#This Row],[Closed_Date]]=0,"",(_xlfn.XLOOKUP(Pipeline_tbl[[#This Row],[Closed_Date]],Dim_Date!A:A,Dim_Date!H:H)))</f>
        <v>Jul 2025</v>
      </c>
      <c r="U3222">
        <f>IF(Pipeline_tbl[[#This Row],[Closed_Date]]=0,"",Pipeline_tbl[[#This Row],[Closed_Date]]-Pipeline_tbl[[#This Row],[Created_Date]])</f>
        <v>48</v>
      </c>
    </row>
    <row r="3223" spans="1:21" ht="15" customHeight="1" x14ac:dyDescent="0.2">
      <c r="A3223" t="s">
        <v>3529</v>
      </c>
      <c r="B3223" t="s">
        <v>203</v>
      </c>
      <c r="C3223" t="s">
        <v>52</v>
      </c>
      <c r="D3223" s="49">
        <v>45823</v>
      </c>
      <c r="E3223" s="49">
        <v>45825</v>
      </c>
      <c r="F3223" s="49">
        <v>45830</v>
      </c>
      <c r="I3223" s="49">
        <v>45845</v>
      </c>
      <c r="J3223" t="s">
        <v>49</v>
      </c>
      <c r="K3223" s="33">
        <v>2000</v>
      </c>
      <c r="L3223" t="s">
        <v>61</v>
      </c>
      <c r="M3223" t="str">
        <f>_xlfn.XLOOKUP(Pipeline_tbl[[#This Row],[Rep_ID]],Dim_Reps!A:A,Dim_Reps!K:K)</f>
        <v>EUR</v>
      </c>
      <c r="N3223" s="33">
        <f>(_xlfn.XLOOKUP(Pipeline_tbl[[#This Row],[Rate_Code_Generalized]],Lookups!A:A,Lookups!B:B))*Pipeline_tbl[[#This Row],[Pipeline_Amount_USD]]</f>
        <v>2000</v>
      </c>
      <c r="O3223" t="str">
        <f>_xlfn.XLOOKUP(Pipeline_tbl[[#This Row],[Rep_ID]],Dim_Reps!A:A,Dim_Reps!B:B)</f>
        <v>Riley Haddad</v>
      </c>
      <c r="P3223" t="str">
        <f>_xlfn.XLOOKUP(Pipeline_tbl[[#This Row],[Rep_ID]],Dim_Reps!A:A,Dim_Reps!C:C)</f>
        <v>SDR / Inside Sales Rep</v>
      </c>
      <c r="Q3223" t="str">
        <f>_xlfn.XLOOKUP(Pipeline_tbl[[#This Row],[Rep_ID]],Dim_Reps!A:A,Dim_Reps!D:D)</f>
        <v>Inside Sales</v>
      </c>
      <c r="R3223" t="str">
        <f>_xlfn.XLOOKUP(Pipeline_tbl[[#This Row],[Rep_ID]],Dim_Reps!A:A,Dim_Reps!E:E)</f>
        <v>APAC</v>
      </c>
      <c r="S3223" t="str">
        <f>_xlfn.XLOOKUP(Pipeline_tbl[[#This Row],[Created_Date]],Dim_Date!A:A,Dim_Date!H:H)</f>
        <v>Jun 2025</v>
      </c>
      <c r="T3223" t="str">
        <f>IF(Pipeline_tbl[[#This Row],[Closed_Date]]=0,"",(_xlfn.XLOOKUP(Pipeline_tbl[[#This Row],[Closed_Date]],Dim_Date!A:A,Dim_Date!H:H)))</f>
        <v>Jul 2025</v>
      </c>
      <c r="U3223">
        <f>IF(Pipeline_tbl[[#This Row],[Closed_Date]]=0,"",Pipeline_tbl[[#This Row],[Closed_Date]]-Pipeline_tbl[[#This Row],[Created_Date]])</f>
        <v>22</v>
      </c>
    </row>
    <row r="3224" spans="1:21" ht="15" customHeight="1" x14ac:dyDescent="0.2">
      <c r="A3224" t="s">
        <v>3530</v>
      </c>
      <c r="B3224" t="s">
        <v>203</v>
      </c>
      <c r="C3224" t="s">
        <v>53</v>
      </c>
      <c r="D3224" s="49">
        <v>45836</v>
      </c>
      <c r="E3224" s="49">
        <v>45837</v>
      </c>
      <c r="F3224" s="49">
        <v>45838</v>
      </c>
      <c r="G3224" s="49">
        <v>45840</v>
      </c>
      <c r="H3224" s="49">
        <v>45842</v>
      </c>
      <c r="I3224" s="49">
        <v>45843</v>
      </c>
      <c r="J3224" t="s">
        <v>47</v>
      </c>
      <c r="K3224" s="33">
        <v>5700</v>
      </c>
      <c r="M3224" t="str">
        <f>_xlfn.XLOOKUP(Pipeline_tbl[[#This Row],[Rep_ID]],Dim_Reps!A:A,Dim_Reps!K:K)</f>
        <v>EUR</v>
      </c>
      <c r="N3224" s="33">
        <f>(_xlfn.XLOOKUP(Pipeline_tbl[[#This Row],[Rate_Code_Generalized]],Lookups!A:A,Lookups!B:B))*Pipeline_tbl[[#This Row],[Pipeline_Amount_USD]]</f>
        <v>5700</v>
      </c>
      <c r="O3224" t="str">
        <f>_xlfn.XLOOKUP(Pipeline_tbl[[#This Row],[Rep_ID]],Dim_Reps!A:A,Dim_Reps!B:B)</f>
        <v>Riley Haddad</v>
      </c>
      <c r="P3224" t="str">
        <f>_xlfn.XLOOKUP(Pipeline_tbl[[#This Row],[Rep_ID]],Dim_Reps!A:A,Dim_Reps!C:C)</f>
        <v>SDR / Inside Sales Rep</v>
      </c>
      <c r="Q3224" t="str">
        <f>_xlfn.XLOOKUP(Pipeline_tbl[[#This Row],[Rep_ID]],Dim_Reps!A:A,Dim_Reps!D:D)</f>
        <v>Inside Sales</v>
      </c>
      <c r="R3224" t="str">
        <f>_xlfn.XLOOKUP(Pipeline_tbl[[#This Row],[Rep_ID]],Dim_Reps!A:A,Dim_Reps!E:E)</f>
        <v>APAC</v>
      </c>
      <c r="S3224" t="str">
        <f>_xlfn.XLOOKUP(Pipeline_tbl[[#This Row],[Created_Date]],Dim_Date!A:A,Dim_Date!H:H)</f>
        <v>Jun 2025</v>
      </c>
      <c r="T3224" t="str">
        <f>IF(Pipeline_tbl[[#This Row],[Closed_Date]]=0,"",(_xlfn.XLOOKUP(Pipeline_tbl[[#This Row],[Closed_Date]],Dim_Date!A:A,Dim_Date!H:H)))</f>
        <v>Jul 2025</v>
      </c>
      <c r="U3224">
        <f>IF(Pipeline_tbl[[#This Row],[Closed_Date]]=0,"",Pipeline_tbl[[#This Row],[Closed_Date]]-Pipeline_tbl[[#This Row],[Created_Date]])</f>
        <v>7</v>
      </c>
    </row>
    <row r="3225" spans="1:21" ht="15" customHeight="1" x14ac:dyDescent="0.2">
      <c r="A3225" t="s">
        <v>3531</v>
      </c>
      <c r="B3225" t="s">
        <v>203</v>
      </c>
      <c r="C3225" t="s">
        <v>52</v>
      </c>
      <c r="D3225" s="49">
        <v>45836</v>
      </c>
      <c r="E3225" s="49">
        <v>45838</v>
      </c>
      <c r="F3225" s="49">
        <v>45841</v>
      </c>
      <c r="G3225" s="49">
        <v>45847</v>
      </c>
      <c r="I3225" s="49">
        <v>45854</v>
      </c>
      <c r="J3225" t="s">
        <v>49</v>
      </c>
      <c r="K3225" s="33">
        <v>4500</v>
      </c>
      <c r="L3225" t="s">
        <v>63</v>
      </c>
      <c r="M3225" t="str">
        <f>_xlfn.XLOOKUP(Pipeline_tbl[[#This Row],[Rep_ID]],Dim_Reps!A:A,Dim_Reps!K:K)</f>
        <v>EUR</v>
      </c>
      <c r="N3225" s="33">
        <f>(_xlfn.XLOOKUP(Pipeline_tbl[[#This Row],[Rate_Code_Generalized]],Lookups!A:A,Lookups!B:B))*Pipeline_tbl[[#This Row],[Pipeline_Amount_USD]]</f>
        <v>4500</v>
      </c>
      <c r="O3225" t="str">
        <f>_xlfn.XLOOKUP(Pipeline_tbl[[#This Row],[Rep_ID]],Dim_Reps!A:A,Dim_Reps!B:B)</f>
        <v>Riley Haddad</v>
      </c>
      <c r="P3225" t="str">
        <f>_xlfn.XLOOKUP(Pipeline_tbl[[#This Row],[Rep_ID]],Dim_Reps!A:A,Dim_Reps!C:C)</f>
        <v>SDR / Inside Sales Rep</v>
      </c>
      <c r="Q3225" t="str">
        <f>_xlfn.XLOOKUP(Pipeline_tbl[[#This Row],[Rep_ID]],Dim_Reps!A:A,Dim_Reps!D:D)</f>
        <v>Inside Sales</v>
      </c>
      <c r="R3225" t="str">
        <f>_xlfn.XLOOKUP(Pipeline_tbl[[#This Row],[Rep_ID]],Dim_Reps!A:A,Dim_Reps!E:E)</f>
        <v>APAC</v>
      </c>
      <c r="S3225" t="str">
        <f>_xlfn.XLOOKUP(Pipeline_tbl[[#This Row],[Created_Date]],Dim_Date!A:A,Dim_Date!H:H)</f>
        <v>Jun 2025</v>
      </c>
      <c r="T3225" t="str">
        <f>IF(Pipeline_tbl[[#This Row],[Closed_Date]]=0,"",(_xlfn.XLOOKUP(Pipeline_tbl[[#This Row],[Closed_Date]],Dim_Date!A:A,Dim_Date!H:H)))</f>
        <v>Jul 2025</v>
      </c>
      <c r="U3225">
        <f>IF(Pipeline_tbl[[#This Row],[Closed_Date]]=0,"",Pipeline_tbl[[#This Row],[Closed_Date]]-Pipeline_tbl[[#This Row],[Created_Date]])</f>
        <v>18</v>
      </c>
    </row>
    <row r="3226" spans="1:21" ht="15" customHeight="1" x14ac:dyDescent="0.2">
      <c r="A3226" t="s">
        <v>3532</v>
      </c>
      <c r="B3226" t="s">
        <v>205</v>
      </c>
      <c r="C3226" t="s">
        <v>52</v>
      </c>
      <c r="D3226" s="49">
        <v>45833</v>
      </c>
      <c r="E3226" s="49">
        <v>45835</v>
      </c>
      <c r="I3226" s="49">
        <v>45852</v>
      </c>
      <c r="J3226" t="s">
        <v>49</v>
      </c>
      <c r="K3226" s="33">
        <v>5300</v>
      </c>
      <c r="L3226" t="s">
        <v>64</v>
      </c>
      <c r="M3226" t="str">
        <f>_xlfn.XLOOKUP(Pipeline_tbl[[#This Row],[Rep_ID]],Dim_Reps!A:A,Dim_Reps!K:K)</f>
        <v>EUR</v>
      </c>
      <c r="N3226" s="33">
        <f>(_xlfn.XLOOKUP(Pipeline_tbl[[#This Row],[Rate_Code_Generalized]],Lookups!A:A,Lookups!B:B))*Pipeline_tbl[[#This Row],[Pipeline_Amount_USD]]</f>
        <v>5300</v>
      </c>
      <c r="O3226" t="str">
        <f>_xlfn.XLOOKUP(Pipeline_tbl[[#This Row],[Rep_ID]],Dim_Reps!A:A,Dim_Reps!B:B)</f>
        <v>Karim Alvarez</v>
      </c>
      <c r="P3226" t="str">
        <f>_xlfn.XLOOKUP(Pipeline_tbl[[#This Row],[Rep_ID]],Dim_Reps!A:A,Dim_Reps!C:C)</f>
        <v>SDR / Inside Sales Rep</v>
      </c>
      <c r="Q3226" t="str">
        <f>_xlfn.XLOOKUP(Pipeline_tbl[[#This Row],[Rep_ID]],Dim_Reps!A:A,Dim_Reps!D:D)</f>
        <v>Inside Sales</v>
      </c>
      <c r="R3226" t="str">
        <f>_xlfn.XLOOKUP(Pipeline_tbl[[#This Row],[Rep_ID]],Dim_Reps!A:A,Dim_Reps!E:E)</f>
        <v>EMEA</v>
      </c>
      <c r="S3226" t="str">
        <f>_xlfn.XLOOKUP(Pipeline_tbl[[#This Row],[Created_Date]],Dim_Date!A:A,Dim_Date!H:H)</f>
        <v>Jun 2025</v>
      </c>
      <c r="T3226" t="str">
        <f>IF(Pipeline_tbl[[#This Row],[Closed_Date]]=0,"",(_xlfn.XLOOKUP(Pipeline_tbl[[#This Row],[Closed_Date]],Dim_Date!A:A,Dim_Date!H:H)))</f>
        <v>Jul 2025</v>
      </c>
      <c r="U3226">
        <f>IF(Pipeline_tbl[[#This Row],[Closed_Date]]=0,"",Pipeline_tbl[[#This Row],[Closed_Date]]-Pipeline_tbl[[#This Row],[Created_Date]])</f>
        <v>19</v>
      </c>
    </row>
    <row r="3227" spans="1:21" ht="15" customHeight="1" x14ac:dyDescent="0.2">
      <c r="A3227" t="s">
        <v>3533</v>
      </c>
      <c r="B3227" t="s">
        <v>205</v>
      </c>
      <c r="C3227" t="s">
        <v>55</v>
      </c>
      <c r="D3227" s="49">
        <v>45817</v>
      </c>
      <c r="E3227" s="49">
        <v>45819</v>
      </c>
      <c r="F3227" s="49">
        <v>45824</v>
      </c>
      <c r="G3227" s="49">
        <v>45831</v>
      </c>
      <c r="H3227" s="49">
        <v>45837</v>
      </c>
      <c r="I3227" s="49">
        <v>45840</v>
      </c>
      <c r="J3227" t="s">
        <v>49</v>
      </c>
      <c r="K3227" s="33">
        <v>2700</v>
      </c>
      <c r="L3227" t="s">
        <v>60</v>
      </c>
      <c r="M3227" t="str">
        <f>_xlfn.XLOOKUP(Pipeline_tbl[[#This Row],[Rep_ID]],Dim_Reps!A:A,Dim_Reps!K:K)</f>
        <v>EUR</v>
      </c>
      <c r="N3227" s="33">
        <f>(_xlfn.XLOOKUP(Pipeline_tbl[[#This Row],[Rate_Code_Generalized]],Lookups!A:A,Lookups!B:B))*Pipeline_tbl[[#This Row],[Pipeline_Amount_USD]]</f>
        <v>2700</v>
      </c>
      <c r="O3227" t="str">
        <f>_xlfn.XLOOKUP(Pipeline_tbl[[#This Row],[Rep_ID]],Dim_Reps!A:A,Dim_Reps!B:B)</f>
        <v>Karim Alvarez</v>
      </c>
      <c r="P3227" t="str">
        <f>_xlfn.XLOOKUP(Pipeline_tbl[[#This Row],[Rep_ID]],Dim_Reps!A:A,Dim_Reps!C:C)</f>
        <v>SDR / Inside Sales Rep</v>
      </c>
      <c r="Q3227" t="str">
        <f>_xlfn.XLOOKUP(Pipeline_tbl[[#This Row],[Rep_ID]],Dim_Reps!A:A,Dim_Reps!D:D)</f>
        <v>Inside Sales</v>
      </c>
      <c r="R3227" t="str">
        <f>_xlfn.XLOOKUP(Pipeline_tbl[[#This Row],[Rep_ID]],Dim_Reps!A:A,Dim_Reps!E:E)</f>
        <v>EMEA</v>
      </c>
      <c r="S3227" t="str">
        <f>_xlfn.XLOOKUP(Pipeline_tbl[[#This Row],[Created_Date]],Dim_Date!A:A,Dim_Date!H:H)</f>
        <v>Jun 2025</v>
      </c>
      <c r="T3227" t="str">
        <f>IF(Pipeline_tbl[[#This Row],[Closed_Date]]=0,"",(_xlfn.XLOOKUP(Pipeline_tbl[[#This Row],[Closed_Date]],Dim_Date!A:A,Dim_Date!H:H)))</f>
        <v>Jul 2025</v>
      </c>
      <c r="U3227">
        <f>IF(Pipeline_tbl[[#This Row],[Closed_Date]]=0,"",Pipeline_tbl[[#This Row],[Closed_Date]]-Pipeline_tbl[[#This Row],[Created_Date]])</f>
        <v>23</v>
      </c>
    </row>
    <row r="3228" spans="1:21" ht="15" customHeight="1" x14ac:dyDescent="0.2">
      <c r="A3228" t="s">
        <v>3534</v>
      </c>
      <c r="B3228" t="s">
        <v>205</v>
      </c>
      <c r="C3228" t="s">
        <v>55</v>
      </c>
      <c r="D3228" s="49">
        <v>45827</v>
      </c>
      <c r="E3228" s="49">
        <v>45830</v>
      </c>
      <c r="F3228" s="49">
        <v>45835</v>
      </c>
      <c r="G3228" s="49">
        <v>45843</v>
      </c>
      <c r="H3228" s="49">
        <v>45849</v>
      </c>
      <c r="I3228" s="49">
        <v>45853</v>
      </c>
      <c r="J3228" t="s">
        <v>47</v>
      </c>
      <c r="K3228" s="33">
        <v>4200</v>
      </c>
      <c r="M3228" t="str">
        <f>_xlfn.XLOOKUP(Pipeline_tbl[[#This Row],[Rep_ID]],Dim_Reps!A:A,Dim_Reps!K:K)</f>
        <v>EUR</v>
      </c>
      <c r="N3228" s="33">
        <f>(_xlfn.XLOOKUP(Pipeline_tbl[[#This Row],[Rate_Code_Generalized]],Lookups!A:A,Lookups!B:B))*Pipeline_tbl[[#This Row],[Pipeline_Amount_USD]]</f>
        <v>4200</v>
      </c>
      <c r="O3228" t="str">
        <f>_xlfn.XLOOKUP(Pipeline_tbl[[#This Row],[Rep_ID]],Dim_Reps!A:A,Dim_Reps!B:B)</f>
        <v>Karim Alvarez</v>
      </c>
      <c r="P3228" t="str">
        <f>_xlfn.XLOOKUP(Pipeline_tbl[[#This Row],[Rep_ID]],Dim_Reps!A:A,Dim_Reps!C:C)</f>
        <v>SDR / Inside Sales Rep</v>
      </c>
      <c r="Q3228" t="str">
        <f>_xlfn.XLOOKUP(Pipeline_tbl[[#This Row],[Rep_ID]],Dim_Reps!A:A,Dim_Reps!D:D)</f>
        <v>Inside Sales</v>
      </c>
      <c r="R3228" t="str">
        <f>_xlfn.XLOOKUP(Pipeline_tbl[[#This Row],[Rep_ID]],Dim_Reps!A:A,Dim_Reps!E:E)</f>
        <v>EMEA</v>
      </c>
      <c r="S3228" t="str">
        <f>_xlfn.XLOOKUP(Pipeline_tbl[[#This Row],[Created_Date]],Dim_Date!A:A,Dim_Date!H:H)</f>
        <v>Jun 2025</v>
      </c>
      <c r="T3228" t="str">
        <f>IF(Pipeline_tbl[[#This Row],[Closed_Date]]=0,"",(_xlfn.XLOOKUP(Pipeline_tbl[[#This Row],[Closed_Date]],Dim_Date!A:A,Dim_Date!H:H)))</f>
        <v>Jul 2025</v>
      </c>
      <c r="U3228">
        <f>IF(Pipeline_tbl[[#This Row],[Closed_Date]]=0,"",Pipeline_tbl[[#This Row],[Closed_Date]]-Pipeline_tbl[[#This Row],[Created_Date]])</f>
        <v>26</v>
      </c>
    </row>
    <row r="3229" spans="1:21" ht="15" customHeight="1" x14ac:dyDescent="0.2">
      <c r="A3229" t="s">
        <v>3535</v>
      </c>
      <c r="B3229" t="s">
        <v>205</v>
      </c>
      <c r="C3229" t="s">
        <v>55</v>
      </c>
      <c r="D3229" s="49">
        <v>45834</v>
      </c>
      <c r="E3229" s="49">
        <v>45836</v>
      </c>
      <c r="F3229" s="49">
        <v>45839</v>
      </c>
      <c r="I3229" s="49">
        <v>45851</v>
      </c>
      <c r="J3229" t="s">
        <v>49</v>
      </c>
      <c r="K3229" s="33">
        <v>3600</v>
      </c>
      <c r="L3229" t="s">
        <v>64</v>
      </c>
      <c r="M3229" t="str">
        <f>_xlfn.XLOOKUP(Pipeline_tbl[[#This Row],[Rep_ID]],Dim_Reps!A:A,Dim_Reps!K:K)</f>
        <v>EUR</v>
      </c>
      <c r="N3229" s="33">
        <f>(_xlfn.XLOOKUP(Pipeline_tbl[[#This Row],[Rate_Code_Generalized]],Lookups!A:A,Lookups!B:B))*Pipeline_tbl[[#This Row],[Pipeline_Amount_USD]]</f>
        <v>3600</v>
      </c>
      <c r="O3229" t="str">
        <f>_xlfn.XLOOKUP(Pipeline_tbl[[#This Row],[Rep_ID]],Dim_Reps!A:A,Dim_Reps!B:B)</f>
        <v>Karim Alvarez</v>
      </c>
      <c r="P3229" t="str">
        <f>_xlfn.XLOOKUP(Pipeline_tbl[[#This Row],[Rep_ID]],Dim_Reps!A:A,Dim_Reps!C:C)</f>
        <v>SDR / Inside Sales Rep</v>
      </c>
      <c r="Q3229" t="str">
        <f>_xlfn.XLOOKUP(Pipeline_tbl[[#This Row],[Rep_ID]],Dim_Reps!A:A,Dim_Reps!D:D)</f>
        <v>Inside Sales</v>
      </c>
      <c r="R3229" t="str">
        <f>_xlfn.XLOOKUP(Pipeline_tbl[[#This Row],[Rep_ID]],Dim_Reps!A:A,Dim_Reps!E:E)</f>
        <v>EMEA</v>
      </c>
      <c r="S3229" t="str">
        <f>_xlfn.XLOOKUP(Pipeline_tbl[[#This Row],[Created_Date]],Dim_Date!A:A,Dim_Date!H:H)</f>
        <v>Jun 2025</v>
      </c>
      <c r="T3229" t="str">
        <f>IF(Pipeline_tbl[[#This Row],[Closed_Date]]=0,"",(_xlfn.XLOOKUP(Pipeline_tbl[[#This Row],[Closed_Date]],Dim_Date!A:A,Dim_Date!H:H)))</f>
        <v>Jul 2025</v>
      </c>
      <c r="U3229">
        <f>IF(Pipeline_tbl[[#This Row],[Closed_Date]]=0,"",Pipeline_tbl[[#This Row],[Closed_Date]]-Pipeline_tbl[[#This Row],[Created_Date]])</f>
        <v>17</v>
      </c>
    </row>
    <row r="3230" spans="1:21" ht="15" customHeight="1" x14ac:dyDescent="0.2">
      <c r="A3230" t="s">
        <v>3536</v>
      </c>
      <c r="B3230" t="s">
        <v>205</v>
      </c>
      <c r="C3230" t="s">
        <v>52</v>
      </c>
      <c r="D3230" s="49">
        <v>45822</v>
      </c>
      <c r="E3230" s="49">
        <v>45824</v>
      </c>
      <c r="F3230" s="49">
        <v>45828</v>
      </c>
      <c r="G3230" s="49">
        <v>45834</v>
      </c>
      <c r="I3230" s="49">
        <v>45842</v>
      </c>
      <c r="J3230" t="s">
        <v>49</v>
      </c>
      <c r="K3230" s="33">
        <v>5800</v>
      </c>
      <c r="L3230" t="s">
        <v>63</v>
      </c>
      <c r="M3230" t="str">
        <f>_xlfn.XLOOKUP(Pipeline_tbl[[#This Row],[Rep_ID]],Dim_Reps!A:A,Dim_Reps!K:K)</f>
        <v>EUR</v>
      </c>
      <c r="N3230" s="33">
        <f>(_xlfn.XLOOKUP(Pipeline_tbl[[#This Row],[Rate_Code_Generalized]],Lookups!A:A,Lookups!B:B))*Pipeline_tbl[[#This Row],[Pipeline_Amount_USD]]</f>
        <v>5800</v>
      </c>
      <c r="O3230" t="str">
        <f>_xlfn.XLOOKUP(Pipeline_tbl[[#This Row],[Rep_ID]],Dim_Reps!A:A,Dim_Reps!B:B)</f>
        <v>Karim Alvarez</v>
      </c>
      <c r="P3230" t="str">
        <f>_xlfn.XLOOKUP(Pipeline_tbl[[#This Row],[Rep_ID]],Dim_Reps!A:A,Dim_Reps!C:C)</f>
        <v>SDR / Inside Sales Rep</v>
      </c>
      <c r="Q3230" t="str">
        <f>_xlfn.XLOOKUP(Pipeline_tbl[[#This Row],[Rep_ID]],Dim_Reps!A:A,Dim_Reps!D:D)</f>
        <v>Inside Sales</v>
      </c>
      <c r="R3230" t="str">
        <f>_xlfn.XLOOKUP(Pipeline_tbl[[#This Row],[Rep_ID]],Dim_Reps!A:A,Dim_Reps!E:E)</f>
        <v>EMEA</v>
      </c>
      <c r="S3230" t="str">
        <f>_xlfn.XLOOKUP(Pipeline_tbl[[#This Row],[Created_Date]],Dim_Date!A:A,Dim_Date!H:H)</f>
        <v>Jun 2025</v>
      </c>
      <c r="T3230" t="str">
        <f>IF(Pipeline_tbl[[#This Row],[Closed_Date]]=0,"",(_xlfn.XLOOKUP(Pipeline_tbl[[#This Row],[Closed_Date]],Dim_Date!A:A,Dim_Date!H:H)))</f>
        <v>Jul 2025</v>
      </c>
      <c r="U3230">
        <f>IF(Pipeline_tbl[[#This Row],[Closed_Date]]=0,"",Pipeline_tbl[[#This Row],[Closed_Date]]-Pipeline_tbl[[#This Row],[Created_Date]])</f>
        <v>20</v>
      </c>
    </row>
    <row r="3231" spans="1:21" ht="15" customHeight="1" x14ac:dyDescent="0.2">
      <c r="A3231" t="s">
        <v>3537</v>
      </c>
      <c r="B3231" t="s">
        <v>205</v>
      </c>
      <c r="C3231" t="s">
        <v>53</v>
      </c>
      <c r="D3231" s="49">
        <v>45836</v>
      </c>
      <c r="E3231" s="49">
        <v>45838</v>
      </c>
      <c r="F3231" s="49">
        <v>45843</v>
      </c>
      <c r="G3231" s="49">
        <v>45850</v>
      </c>
      <c r="H3231" s="49">
        <v>45856</v>
      </c>
      <c r="I3231" s="49">
        <v>45860</v>
      </c>
      <c r="J3231" t="s">
        <v>47</v>
      </c>
      <c r="K3231" s="33">
        <v>3500</v>
      </c>
      <c r="M3231" t="str">
        <f>_xlfn.XLOOKUP(Pipeline_tbl[[#This Row],[Rep_ID]],Dim_Reps!A:A,Dim_Reps!K:K)</f>
        <v>EUR</v>
      </c>
      <c r="N3231" s="33">
        <f>(_xlfn.XLOOKUP(Pipeline_tbl[[#This Row],[Rate_Code_Generalized]],Lookups!A:A,Lookups!B:B))*Pipeline_tbl[[#This Row],[Pipeline_Amount_USD]]</f>
        <v>3500</v>
      </c>
      <c r="O3231" t="str">
        <f>_xlfn.XLOOKUP(Pipeline_tbl[[#This Row],[Rep_ID]],Dim_Reps!A:A,Dim_Reps!B:B)</f>
        <v>Karim Alvarez</v>
      </c>
      <c r="P3231" t="str">
        <f>_xlfn.XLOOKUP(Pipeline_tbl[[#This Row],[Rep_ID]],Dim_Reps!A:A,Dim_Reps!C:C)</f>
        <v>SDR / Inside Sales Rep</v>
      </c>
      <c r="Q3231" t="str">
        <f>_xlfn.XLOOKUP(Pipeline_tbl[[#This Row],[Rep_ID]],Dim_Reps!A:A,Dim_Reps!D:D)</f>
        <v>Inside Sales</v>
      </c>
      <c r="R3231" t="str">
        <f>_xlfn.XLOOKUP(Pipeline_tbl[[#This Row],[Rep_ID]],Dim_Reps!A:A,Dim_Reps!E:E)</f>
        <v>EMEA</v>
      </c>
      <c r="S3231" t="str">
        <f>_xlfn.XLOOKUP(Pipeline_tbl[[#This Row],[Created_Date]],Dim_Date!A:A,Dim_Date!H:H)</f>
        <v>Jun 2025</v>
      </c>
      <c r="T3231" t="str">
        <f>IF(Pipeline_tbl[[#This Row],[Closed_Date]]=0,"",(_xlfn.XLOOKUP(Pipeline_tbl[[#This Row],[Closed_Date]],Dim_Date!A:A,Dim_Date!H:H)))</f>
        <v>Jul 2025</v>
      </c>
      <c r="U3231">
        <f>IF(Pipeline_tbl[[#This Row],[Closed_Date]]=0,"",Pipeline_tbl[[#This Row],[Closed_Date]]-Pipeline_tbl[[#This Row],[Created_Date]])</f>
        <v>24</v>
      </c>
    </row>
    <row r="3232" spans="1:21" ht="15" customHeight="1" x14ac:dyDescent="0.2">
      <c r="A3232" t="s">
        <v>3538</v>
      </c>
      <c r="B3232" t="s">
        <v>205</v>
      </c>
      <c r="C3232" t="s">
        <v>52</v>
      </c>
      <c r="D3232" s="49">
        <v>45826</v>
      </c>
      <c r="E3232" s="49">
        <v>45828</v>
      </c>
      <c r="F3232" s="49">
        <v>45831</v>
      </c>
      <c r="G3232" s="49">
        <v>45835</v>
      </c>
      <c r="H3232" s="49">
        <v>45839</v>
      </c>
      <c r="I3232" s="49">
        <v>45841</v>
      </c>
      <c r="J3232" t="s">
        <v>47</v>
      </c>
      <c r="K3232" s="33">
        <v>3100</v>
      </c>
      <c r="M3232" t="str">
        <f>_xlfn.XLOOKUP(Pipeline_tbl[[#This Row],[Rep_ID]],Dim_Reps!A:A,Dim_Reps!K:K)</f>
        <v>EUR</v>
      </c>
      <c r="N3232" s="33">
        <f>(_xlfn.XLOOKUP(Pipeline_tbl[[#This Row],[Rate_Code_Generalized]],Lookups!A:A,Lookups!B:B))*Pipeline_tbl[[#This Row],[Pipeline_Amount_USD]]</f>
        <v>3100</v>
      </c>
      <c r="O3232" t="str">
        <f>_xlfn.XLOOKUP(Pipeline_tbl[[#This Row],[Rep_ID]],Dim_Reps!A:A,Dim_Reps!B:B)</f>
        <v>Karim Alvarez</v>
      </c>
      <c r="P3232" t="str">
        <f>_xlfn.XLOOKUP(Pipeline_tbl[[#This Row],[Rep_ID]],Dim_Reps!A:A,Dim_Reps!C:C)</f>
        <v>SDR / Inside Sales Rep</v>
      </c>
      <c r="Q3232" t="str">
        <f>_xlfn.XLOOKUP(Pipeline_tbl[[#This Row],[Rep_ID]],Dim_Reps!A:A,Dim_Reps!D:D)</f>
        <v>Inside Sales</v>
      </c>
      <c r="R3232" t="str">
        <f>_xlfn.XLOOKUP(Pipeline_tbl[[#This Row],[Rep_ID]],Dim_Reps!A:A,Dim_Reps!E:E)</f>
        <v>EMEA</v>
      </c>
      <c r="S3232" t="str">
        <f>_xlfn.XLOOKUP(Pipeline_tbl[[#This Row],[Created_Date]],Dim_Date!A:A,Dim_Date!H:H)</f>
        <v>Jun 2025</v>
      </c>
      <c r="T3232" t="str">
        <f>IF(Pipeline_tbl[[#This Row],[Closed_Date]]=0,"",(_xlfn.XLOOKUP(Pipeline_tbl[[#This Row],[Closed_Date]],Dim_Date!A:A,Dim_Date!H:H)))</f>
        <v>Jul 2025</v>
      </c>
      <c r="U3232">
        <f>IF(Pipeline_tbl[[#This Row],[Closed_Date]]=0,"",Pipeline_tbl[[#This Row],[Closed_Date]]-Pipeline_tbl[[#This Row],[Created_Date]])</f>
        <v>15</v>
      </c>
    </row>
    <row r="3233" spans="1:21" ht="15" customHeight="1" x14ac:dyDescent="0.2">
      <c r="A3233" t="s">
        <v>3539</v>
      </c>
      <c r="B3233" t="s">
        <v>205</v>
      </c>
      <c r="C3233" t="s">
        <v>53</v>
      </c>
      <c r="D3233" s="49">
        <v>45833</v>
      </c>
      <c r="E3233" s="49">
        <v>45834</v>
      </c>
      <c r="F3233" s="49">
        <v>45837</v>
      </c>
      <c r="G3233" s="49">
        <v>45840</v>
      </c>
      <c r="H3233" s="49">
        <v>45843</v>
      </c>
      <c r="I3233" s="49">
        <v>45845</v>
      </c>
      <c r="J3233" t="s">
        <v>47</v>
      </c>
      <c r="K3233" s="33">
        <v>7300</v>
      </c>
      <c r="M3233" t="str">
        <f>_xlfn.XLOOKUP(Pipeline_tbl[[#This Row],[Rep_ID]],Dim_Reps!A:A,Dim_Reps!K:K)</f>
        <v>EUR</v>
      </c>
      <c r="N3233" s="33">
        <f>(_xlfn.XLOOKUP(Pipeline_tbl[[#This Row],[Rate_Code_Generalized]],Lookups!A:A,Lookups!B:B))*Pipeline_tbl[[#This Row],[Pipeline_Amount_USD]]</f>
        <v>7300</v>
      </c>
      <c r="O3233" t="str">
        <f>_xlfn.XLOOKUP(Pipeline_tbl[[#This Row],[Rep_ID]],Dim_Reps!A:A,Dim_Reps!B:B)</f>
        <v>Karim Alvarez</v>
      </c>
      <c r="P3233" t="str">
        <f>_xlfn.XLOOKUP(Pipeline_tbl[[#This Row],[Rep_ID]],Dim_Reps!A:A,Dim_Reps!C:C)</f>
        <v>SDR / Inside Sales Rep</v>
      </c>
      <c r="Q3233" t="str">
        <f>_xlfn.XLOOKUP(Pipeline_tbl[[#This Row],[Rep_ID]],Dim_Reps!A:A,Dim_Reps!D:D)</f>
        <v>Inside Sales</v>
      </c>
      <c r="R3233" t="str">
        <f>_xlfn.XLOOKUP(Pipeline_tbl[[#This Row],[Rep_ID]],Dim_Reps!A:A,Dim_Reps!E:E)</f>
        <v>EMEA</v>
      </c>
      <c r="S3233" t="str">
        <f>_xlfn.XLOOKUP(Pipeline_tbl[[#This Row],[Created_Date]],Dim_Date!A:A,Dim_Date!H:H)</f>
        <v>Jun 2025</v>
      </c>
      <c r="T3233" t="str">
        <f>IF(Pipeline_tbl[[#This Row],[Closed_Date]]=0,"",(_xlfn.XLOOKUP(Pipeline_tbl[[#This Row],[Closed_Date]],Dim_Date!A:A,Dim_Date!H:H)))</f>
        <v>Jul 2025</v>
      </c>
      <c r="U3233">
        <f>IF(Pipeline_tbl[[#This Row],[Closed_Date]]=0,"",Pipeline_tbl[[#This Row],[Closed_Date]]-Pipeline_tbl[[#This Row],[Created_Date]])</f>
        <v>12</v>
      </c>
    </row>
    <row r="3234" spans="1:21" ht="15" customHeight="1" x14ac:dyDescent="0.2">
      <c r="A3234" t="s">
        <v>3540</v>
      </c>
      <c r="B3234" t="s">
        <v>205</v>
      </c>
      <c r="C3234" t="s">
        <v>52</v>
      </c>
      <c r="D3234" s="49">
        <v>45835</v>
      </c>
      <c r="E3234" s="49">
        <v>45837</v>
      </c>
      <c r="F3234" s="49">
        <v>45840</v>
      </c>
      <c r="G3234" s="49">
        <v>45845</v>
      </c>
      <c r="H3234" s="49">
        <v>45849</v>
      </c>
      <c r="I3234" s="49">
        <v>45852</v>
      </c>
      <c r="J3234" t="s">
        <v>47</v>
      </c>
      <c r="K3234" s="33">
        <v>1300</v>
      </c>
      <c r="M3234" t="str">
        <f>_xlfn.XLOOKUP(Pipeline_tbl[[#This Row],[Rep_ID]],Dim_Reps!A:A,Dim_Reps!K:K)</f>
        <v>EUR</v>
      </c>
      <c r="N3234" s="33">
        <f>(_xlfn.XLOOKUP(Pipeline_tbl[[#This Row],[Rate_Code_Generalized]],Lookups!A:A,Lookups!B:B))*Pipeline_tbl[[#This Row],[Pipeline_Amount_USD]]</f>
        <v>1300</v>
      </c>
      <c r="O3234" t="str">
        <f>_xlfn.XLOOKUP(Pipeline_tbl[[#This Row],[Rep_ID]],Dim_Reps!A:A,Dim_Reps!B:B)</f>
        <v>Karim Alvarez</v>
      </c>
      <c r="P3234" t="str">
        <f>_xlfn.XLOOKUP(Pipeline_tbl[[#This Row],[Rep_ID]],Dim_Reps!A:A,Dim_Reps!C:C)</f>
        <v>SDR / Inside Sales Rep</v>
      </c>
      <c r="Q3234" t="str">
        <f>_xlfn.XLOOKUP(Pipeline_tbl[[#This Row],[Rep_ID]],Dim_Reps!A:A,Dim_Reps!D:D)</f>
        <v>Inside Sales</v>
      </c>
      <c r="R3234" t="str">
        <f>_xlfn.XLOOKUP(Pipeline_tbl[[#This Row],[Rep_ID]],Dim_Reps!A:A,Dim_Reps!E:E)</f>
        <v>EMEA</v>
      </c>
      <c r="S3234" t="str">
        <f>_xlfn.XLOOKUP(Pipeline_tbl[[#This Row],[Created_Date]],Dim_Date!A:A,Dim_Date!H:H)</f>
        <v>Jun 2025</v>
      </c>
      <c r="T3234" t="str">
        <f>IF(Pipeline_tbl[[#This Row],[Closed_Date]]=0,"",(_xlfn.XLOOKUP(Pipeline_tbl[[#This Row],[Closed_Date]],Dim_Date!A:A,Dim_Date!H:H)))</f>
        <v>Jul 2025</v>
      </c>
      <c r="U3234">
        <f>IF(Pipeline_tbl[[#This Row],[Closed_Date]]=0,"",Pipeline_tbl[[#This Row],[Closed_Date]]-Pipeline_tbl[[#This Row],[Created_Date]])</f>
        <v>17</v>
      </c>
    </row>
    <row r="3235" spans="1:21" ht="15" customHeight="1" x14ac:dyDescent="0.2">
      <c r="A3235" t="s">
        <v>3541</v>
      </c>
      <c r="B3235" t="s">
        <v>205</v>
      </c>
      <c r="C3235" t="s">
        <v>52</v>
      </c>
      <c r="D3235" s="49">
        <v>45828</v>
      </c>
      <c r="E3235" s="49">
        <v>45830</v>
      </c>
      <c r="F3235" s="49">
        <v>45834</v>
      </c>
      <c r="G3235" s="49">
        <v>45841</v>
      </c>
      <c r="H3235" s="49">
        <v>45846</v>
      </c>
      <c r="I3235" s="49">
        <v>45849</v>
      </c>
      <c r="J3235" t="s">
        <v>47</v>
      </c>
      <c r="K3235" s="33">
        <v>4000</v>
      </c>
      <c r="M3235" t="str">
        <f>_xlfn.XLOOKUP(Pipeline_tbl[[#This Row],[Rep_ID]],Dim_Reps!A:A,Dim_Reps!K:K)</f>
        <v>EUR</v>
      </c>
      <c r="N3235" s="33">
        <f>(_xlfn.XLOOKUP(Pipeline_tbl[[#This Row],[Rate_Code_Generalized]],Lookups!A:A,Lookups!B:B))*Pipeline_tbl[[#This Row],[Pipeline_Amount_USD]]</f>
        <v>4000</v>
      </c>
      <c r="O3235" t="str">
        <f>_xlfn.XLOOKUP(Pipeline_tbl[[#This Row],[Rep_ID]],Dim_Reps!A:A,Dim_Reps!B:B)</f>
        <v>Karim Alvarez</v>
      </c>
      <c r="P3235" t="str">
        <f>_xlfn.XLOOKUP(Pipeline_tbl[[#This Row],[Rep_ID]],Dim_Reps!A:A,Dim_Reps!C:C)</f>
        <v>SDR / Inside Sales Rep</v>
      </c>
      <c r="Q3235" t="str">
        <f>_xlfn.XLOOKUP(Pipeline_tbl[[#This Row],[Rep_ID]],Dim_Reps!A:A,Dim_Reps!D:D)</f>
        <v>Inside Sales</v>
      </c>
      <c r="R3235" t="str">
        <f>_xlfn.XLOOKUP(Pipeline_tbl[[#This Row],[Rep_ID]],Dim_Reps!A:A,Dim_Reps!E:E)</f>
        <v>EMEA</v>
      </c>
      <c r="S3235" t="str">
        <f>_xlfn.XLOOKUP(Pipeline_tbl[[#This Row],[Created_Date]],Dim_Date!A:A,Dim_Date!H:H)</f>
        <v>Jun 2025</v>
      </c>
      <c r="T3235" t="str">
        <f>IF(Pipeline_tbl[[#This Row],[Closed_Date]]=0,"",(_xlfn.XLOOKUP(Pipeline_tbl[[#This Row],[Closed_Date]],Dim_Date!A:A,Dim_Date!H:H)))</f>
        <v>Jul 2025</v>
      </c>
      <c r="U3235">
        <f>IF(Pipeline_tbl[[#This Row],[Closed_Date]]=0,"",Pipeline_tbl[[#This Row],[Closed_Date]]-Pipeline_tbl[[#This Row],[Created_Date]])</f>
        <v>21</v>
      </c>
    </row>
    <row r="3236" spans="1:21" ht="15" customHeight="1" x14ac:dyDescent="0.2">
      <c r="A3236" t="s">
        <v>3542</v>
      </c>
      <c r="B3236" t="s">
        <v>205</v>
      </c>
      <c r="C3236" t="s">
        <v>52</v>
      </c>
      <c r="D3236" s="49">
        <v>45828</v>
      </c>
      <c r="E3236" s="49">
        <v>45829</v>
      </c>
      <c r="F3236" s="49">
        <v>45832</v>
      </c>
      <c r="G3236" s="49">
        <v>45836</v>
      </c>
      <c r="I3236" s="49">
        <v>45842</v>
      </c>
      <c r="J3236" t="s">
        <v>49</v>
      </c>
      <c r="K3236" s="33">
        <v>7500</v>
      </c>
      <c r="L3236" t="s">
        <v>62</v>
      </c>
      <c r="M3236" t="str">
        <f>_xlfn.XLOOKUP(Pipeline_tbl[[#This Row],[Rep_ID]],Dim_Reps!A:A,Dim_Reps!K:K)</f>
        <v>EUR</v>
      </c>
      <c r="N3236" s="33">
        <f>(_xlfn.XLOOKUP(Pipeline_tbl[[#This Row],[Rate_Code_Generalized]],Lookups!A:A,Lookups!B:B))*Pipeline_tbl[[#This Row],[Pipeline_Amount_USD]]</f>
        <v>7500</v>
      </c>
      <c r="O3236" t="str">
        <f>_xlfn.XLOOKUP(Pipeline_tbl[[#This Row],[Rep_ID]],Dim_Reps!A:A,Dim_Reps!B:B)</f>
        <v>Karim Alvarez</v>
      </c>
      <c r="P3236" t="str">
        <f>_xlfn.XLOOKUP(Pipeline_tbl[[#This Row],[Rep_ID]],Dim_Reps!A:A,Dim_Reps!C:C)</f>
        <v>SDR / Inside Sales Rep</v>
      </c>
      <c r="Q3236" t="str">
        <f>_xlfn.XLOOKUP(Pipeline_tbl[[#This Row],[Rep_ID]],Dim_Reps!A:A,Dim_Reps!D:D)</f>
        <v>Inside Sales</v>
      </c>
      <c r="R3236" t="str">
        <f>_xlfn.XLOOKUP(Pipeline_tbl[[#This Row],[Rep_ID]],Dim_Reps!A:A,Dim_Reps!E:E)</f>
        <v>EMEA</v>
      </c>
      <c r="S3236" t="str">
        <f>_xlfn.XLOOKUP(Pipeline_tbl[[#This Row],[Created_Date]],Dim_Date!A:A,Dim_Date!H:H)</f>
        <v>Jun 2025</v>
      </c>
      <c r="T3236" t="str">
        <f>IF(Pipeline_tbl[[#This Row],[Closed_Date]]=0,"",(_xlfn.XLOOKUP(Pipeline_tbl[[#This Row],[Closed_Date]],Dim_Date!A:A,Dim_Date!H:H)))</f>
        <v>Jul 2025</v>
      </c>
      <c r="U3236">
        <f>IF(Pipeline_tbl[[#This Row],[Closed_Date]]=0,"",Pipeline_tbl[[#This Row],[Closed_Date]]-Pipeline_tbl[[#This Row],[Created_Date]])</f>
        <v>14</v>
      </c>
    </row>
    <row r="3237" spans="1:21" ht="15" customHeight="1" x14ac:dyDescent="0.2">
      <c r="A3237" t="s">
        <v>3543</v>
      </c>
      <c r="B3237" t="s">
        <v>207</v>
      </c>
      <c r="C3237" t="s">
        <v>52</v>
      </c>
      <c r="D3237" s="49">
        <v>45815</v>
      </c>
      <c r="E3237" s="49">
        <v>45818</v>
      </c>
      <c r="F3237" s="49">
        <v>45823</v>
      </c>
      <c r="G3237" s="49">
        <v>45831</v>
      </c>
      <c r="H3237" s="49">
        <v>45838</v>
      </c>
      <c r="I3237" s="49">
        <v>45842</v>
      </c>
      <c r="J3237" t="s">
        <v>49</v>
      </c>
      <c r="K3237" s="33">
        <v>1900</v>
      </c>
      <c r="L3237" t="s">
        <v>64</v>
      </c>
      <c r="M3237" t="str">
        <f>_xlfn.XLOOKUP(Pipeline_tbl[[#This Row],[Rep_ID]],Dim_Reps!A:A,Dim_Reps!K:K)</f>
        <v>EUR</v>
      </c>
      <c r="N3237" s="33">
        <f>(_xlfn.XLOOKUP(Pipeline_tbl[[#This Row],[Rate_Code_Generalized]],Lookups!A:A,Lookups!B:B))*Pipeline_tbl[[#This Row],[Pipeline_Amount_USD]]</f>
        <v>1900</v>
      </c>
      <c r="O3237" t="str">
        <f>_xlfn.XLOOKUP(Pipeline_tbl[[#This Row],[Rep_ID]],Dim_Reps!A:A,Dim_Reps!B:B)</f>
        <v>Sam Castro</v>
      </c>
      <c r="P3237" t="str">
        <f>_xlfn.XLOOKUP(Pipeline_tbl[[#This Row],[Rep_ID]],Dim_Reps!A:A,Dim_Reps!C:C)</f>
        <v>SDR / Inside Sales Rep</v>
      </c>
      <c r="Q3237" t="str">
        <f>_xlfn.XLOOKUP(Pipeline_tbl[[#This Row],[Rep_ID]],Dim_Reps!A:A,Dim_Reps!D:D)</f>
        <v>Inside Sales</v>
      </c>
      <c r="R3237" t="str">
        <f>_xlfn.XLOOKUP(Pipeline_tbl[[#This Row],[Rep_ID]],Dim_Reps!A:A,Dim_Reps!E:E)</f>
        <v>APAC</v>
      </c>
      <c r="S3237" t="str">
        <f>_xlfn.XLOOKUP(Pipeline_tbl[[#This Row],[Created_Date]],Dim_Date!A:A,Dim_Date!H:H)</f>
        <v>Jun 2025</v>
      </c>
      <c r="T3237" t="str">
        <f>IF(Pipeline_tbl[[#This Row],[Closed_Date]]=0,"",(_xlfn.XLOOKUP(Pipeline_tbl[[#This Row],[Closed_Date]],Dim_Date!A:A,Dim_Date!H:H)))</f>
        <v>Jul 2025</v>
      </c>
      <c r="U3237">
        <f>IF(Pipeline_tbl[[#This Row],[Closed_Date]]=0,"",Pipeline_tbl[[#This Row],[Closed_Date]]-Pipeline_tbl[[#This Row],[Created_Date]])</f>
        <v>27</v>
      </c>
    </row>
    <row r="3238" spans="1:21" ht="15" customHeight="1" x14ac:dyDescent="0.2">
      <c r="A3238" t="s">
        <v>3544</v>
      </c>
      <c r="B3238" t="s">
        <v>207</v>
      </c>
      <c r="C3238" t="s">
        <v>54</v>
      </c>
      <c r="D3238" s="49">
        <v>45828</v>
      </c>
      <c r="E3238" s="49">
        <v>45830</v>
      </c>
      <c r="F3238" s="49">
        <v>45834</v>
      </c>
      <c r="I3238" s="49">
        <v>45849</v>
      </c>
      <c r="J3238" t="s">
        <v>49</v>
      </c>
      <c r="K3238" s="33">
        <v>3700</v>
      </c>
      <c r="L3238" t="s">
        <v>62</v>
      </c>
      <c r="M3238" t="str">
        <f>_xlfn.XLOOKUP(Pipeline_tbl[[#This Row],[Rep_ID]],Dim_Reps!A:A,Dim_Reps!K:K)</f>
        <v>EUR</v>
      </c>
      <c r="N3238" s="33">
        <f>(_xlfn.XLOOKUP(Pipeline_tbl[[#This Row],[Rate_Code_Generalized]],Lookups!A:A,Lookups!B:B))*Pipeline_tbl[[#This Row],[Pipeline_Amount_USD]]</f>
        <v>3700</v>
      </c>
      <c r="O3238" t="str">
        <f>_xlfn.XLOOKUP(Pipeline_tbl[[#This Row],[Rep_ID]],Dim_Reps!A:A,Dim_Reps!B:B)</f>
        <v>Sam Castro</v>
      </c>
      <c r="P3238" t="str">
        <f>_xlfn.XLOOKUP(Pipeline_tbl[[#This Row],[Rep_ID]],Dim_Reps!A:A,Dim_Reps!C:C)</f>
        <v>SDR / Inside Sales Rep</v>
      </c>
      <c r="Q3238" t="str">
        <f>_xlfn.XLOOKUP(Pipeline_tbl[[#This Row],[Rep_ID]],Dim_Reps!A:A,Dim_Reps!D:D)</f>
        <v>Inside Sales</v>
      </c>
      <c r="R3238" t="str">
        <f>_xlfn.XLOOKUP(Pipeline_tbl[[#This Row],[Rep_ID]],Dim_Reps!A:A,Dim_Reps!E:E)</f>
        <v>APAC</v>
      </c>
      <c r="S3238" t="str">
        <f>_xlfn.XLOOKUP(Pipeline_tbl[[#This Row],[Created_Date]],Dim_Date!A:A,Dim_Date!H:H)</f>
        <v>Jun 2025</v>
      </c>
      <c r="T3238" t="str">
        <f>IF(Pipeline_tbl[[#This Row],[Closed_Date]]=0,"",(_xlfn.XLOOKUP(Pipeline_tbl[[#This Row],[Closed_Date]],Dim_Date!A:A,Dim_Date!H:H)))</f>
        <v>Jul 2025</v>
      </c>
      <c r="U3238">
        <f>IF(Pipeline_tbl[[#This Row],[Closed_Date]]=0,"",Pipeline_tbl[[#This Row],[Closed_Date]]-Pipeline_tbl[[#This Row],[Created_Date]])</f>
        <v>21</v>
      </c>
    </row>
    <row r="3239" spans="1:21" ht="15" customHeight="1" x14ac:dyDescent="0.2">
      <c r="A3239" t="s">
        <v>3545</v>
      </c>
      <c r="B3239" t="s">
        <v>207</v>
      </c>
      <c r="C3239" t="s">
        <v>53</v>
      </c>
      <c r="D3239" s="49">
        <v>45833</v>
      </c>
      <c r="E3239" s="49">
        <v>45835</v>
      </c>
      <c r="F3239" s="49">
        <v>45838</v>
      </c>
      <c r="G3239" s="49">
        <v>45844</v>
      </c>
      <c r="H3239" s="49">
        <v>45848</v>
      </c>
      <c r="I3239" s="49">
        <v>45851</v>
      </c>
      <c r="J3239" t="s">
        <v>47</v>
      </c>
      <c r="K3239" s="33">
        <v>2300</v>
      </c>
      <c r="M3239" t="str">
        <f>_xlfn.XLOOKUP(Pipeline_tbl[[#This Row],[Rep_ID]],Dim_Reps!A:A,Dim_Reps!K:K)</f>
        <v>EUR</v>
      </c>
      <c r="N3239" s="33">
        <f>(_xlfn.XLOOKUP(Pipeline_tbl[[#This Row],[Rate_Code_Generalized]],Lookups!A:A,Lookups!B:B))*Pipeline_tbl[[#This Row],[Pipeline_Amount_USD]]</f>
        <v>2300</v>
      </c>
      <c r="O3239" t="str">
        <f>_xlfn.XLOOKUP(Pipeline_tbl[[#This Row],[Rep_ID]],Dim_Reps!A:A,Dim_Reps!B:B)</f>
        <v>Sam Castro</v>
      </c>
      <c r="P3239" t="str">
        <f>_xlfn.XLOOKUP(Pipeline_tbl[[#This Row],[Rep_ID]],Dim_Reps!A:A,Dim_Reps!C:C)</f>
        <v>SDR / Inside Sales Rep</v>
      </c>
      <c r="Q3239" t="str">
        <f>_xlfn.XLOOKUP(Pipeline_tbl[[#This Row],[Rep_ID]],Dim_Reps!A:A,Dim_Reps!D:D)</f>
        <v>Inside Sales</v>
      </c>
      <c r="R3239" t="str">
        <f>_xlfn.XLOOKUP(Pipeline_tbl[[#This Row],[Rep_ID]],Dim_Reps!A:A,Dim_Reps!E:E)</f>
        <v>APAC</v>
      </c>
      <c r="S3239" t="str">
        <f>_xlfn.XLOOKUP(Pipeline_tbl[[#This Row],[Created_Date]],Dim_Date!A:A,Dim_Date!H:H)</f>
        <v>Jun 2025</v>
      </c>
      <c r="T3239" t="str">
        <f>IF(Pipeline_tbl[[#This Row],[Closed_Date]]=0,"",(_xlfn.XLOOKUP(Pipeline_tbl[[#This Row],[Closed_Date]],Dim_Date!A:A,Dim_Date!H:H)))</f>
        <v>Jul 2025</v>
      </c>
      <c r="U3239">
        <f>IF(Pipeline_tbl[[#This Row],[Closed_Date]]=0,"",Pipeline_tbl[[#This Row],[Closed_Date]]-Pipeline_tbl[[#This Row],[Created_Date]])</f>
        <v>18</v>
      </c>
    </row>
    <row r="3240" spans="1:21" ht="15" customHeight="1" x14ac:dyDescent="0.2">
      <c r="A3240" t="s">
        <v>3546</v>
      </c>
      <c r="B3240" t="s">
        <v>209</v>
      </c>
      <c r="C3240" t="s">
        <v>52</v>
      </c>
      <c r="D3240" s="49">
        <v>45834</v>
      </c>
      <c r="E3240" s="49">
        <v>45836</v>
      </c>
      <c r="F3240" s="49">
        <v>45839</v>
      </c>
      <c r="G3240" s="49">
        <v>45844</v>
      </c>
      <c r="I3240" s="49">
        <v>45851</v>
      </c>
      <c r="J3240" t="s">
        <v>49</v>
      </c>
      <c r="K3240" s="33">
        <v>1500</v>
      </c>
      <c r="L3240" t="s">
        <v>62</v>
      </c>
      <c r="M3240" t="str">
        <f>_xlfn.XLOOKUP(Pipeline_tbl[[#This Row],[Rep_ID]],Dim_Reps!A:A,Dim_Reps!K:K)</f>
        <v>EUR</v>
      </c>
      <c r="N3240" s="33">
        <f>(_xlfn.XLOOKUP(Pipeline_tbl[[#This Row],[Rate_Code_Generalized]],Lookups!A:A,Lookups!B:B))*Pipeline_tbl[[#This Row],[Pipeline_Amount_USD]]</f>
        <v>1500</v>
      </c>
      <c r="O3240" t="str">
        <f>_xlfn.XLOOKUP(Pipeline_tbl[[#This Row],[Rep_ID]],Dim_Reps!A:A,Dim_Reps!B:B)</f>
        <v>Petra Larsen</v>
      </c>
      <c r="P3240" t="str">
        <f>_xlfn.XLOOKUP(Pipeline_tbl[[#This Row],[Rep_ID]],Dim_Reps!A:A,Dim_Reps!C:C)</f>
        <v>SDR / Inside Sales Rep</v>
      </c>
      <c r="Q3240" t="str">
        <f>_xlfn.XLOOKUP(Pipeline_tbl[[#This Row],[Rep_ID]],Dim_Reps!A:A,Dim_Reps!D:D)</f>
        <v>Inside Sales</v>
      </c>
      <c r="R3240" t="str">
        <f>_xlfn.XLOOKUP(Pipeline_tbl[[#This Row],[Rep_ID]],Dim_Reps!A:A,Dim_Reps!E:E)</f>
        <v>EMEA</v>
      </c>
      <c r="S3240" t="str">
        <f>_xlfn.XLOOKUP(Pipeline_tbl[[#This Row],[Created_Date]],Dim_Date!A:A,Dim_Date!H:H)</f>
        <v>Jun 2025</v>
      </c>
      <c r="T3240" t="str">
        <f>IF(Pipeline_tbl[[#This Row],[Closed_Date]]=0,"",(_xlfn.XLOOKUP(Pipeline_tbl[[#This Row],[Closed_Date]],Dim_Date!A:A,Dim_Date!H:H)))</f>
        <v>Jul 2025</v>
      </c>
      <c r="U3240">
        <f>IF(Pipeline_tbl[[#This Row],[Closed_Date]]=0,"",Pipeline_tbl[[#This Row],[Closed_Date]]-Pipeline_tbl[[#This Row],[Created_Date]])</f>
        <v>17</v>
      </c>
    </row>
    <row r="3241" spans="1:21" ht="15" customHeight="1" x14ac:dyDescent="0.2">
      <c r="A3241" t="s">
        <v>3547</v>
      </c>
      <c r="B3241" t="s">
        <v>209</v>
      </c>
      <c r="C3241" t="s">
        <v>53</v>
      </c>
      <c r="D3241" s="49">
        <v>45827</v>
      </c>
      <c r="E3241" s="49">
        <v>45829</v>
      </c>
      <c r="F3241" s="49">
        <v>45832</v>
      </c>
      <c r="I3241" s="49">
        <v>45844</v>
      </c>
      <c r="J3241" t="s">
        <v>49</v>
      </c>
      <c r="K3241" s="33">
        <v>2700</v>
      </c>
      <c r="L3241" t="s">
        <v>64</v>
      </c>
      <c r="M3241" t="str">
        <f>_xlfn.XLOOKUP(Pipeline_tbl[[#This Row],[Rep_ID]],Dim_Reps!A:A,Dim_Reps!K:K)</f>
        <v>EUR</v>
      </c>
      <c r="N3241" s="33">
        <f>(_xlfn.XLOOKUP(Pipeline_tbl[[#This Row],[Rate_Code_Generalized]],Lookups!A:A,Lookups!B:B))*Pipeline_tbl[[#This Row],[Pipeline_Amount_USD]]</f>
        <v>2700</v>
      </c>
      <c r="O3241" t="str">
        <f>_xlfn.XLOOKUP(Pipeline_tbl[[#This Row],[Rep_ID]],Dim_Reps!A:A,Dim_Reps!B:B)</f>
        <v>Petra Larsen</v>
      </c>
      <c r="P3241" t="str">
        <f>_xlfn.XLOOKUP(Pipeline_tbl[[#This Row],[Rep_ID]],Dim_Reps!A:A,Dim_Reps!C:C)</f>
        <v>SDR / Inside Sales Rep</v>
      </c>
      <c r="Q3241" t="str">
        <f>_xlfn.XLOOKUP(Pipeline_tbl[[#This Row],[Rep_ID]],Dim_Reps!A:A,Dim_Reps!D:D)</f>
        <v>Inside Sales</v>
      </c>
      <c r="R3241" t="str">
        <f>_xlfn.XLOOKUP(Pipeline_tbl[[#This Row],[Rep_ID]],Dim_Reps!A:A,Dim_Reps!E:E)</f>
        <v>EMEA</v>
      </c>
      <c r="S3241" t="str">
        <f>_xlfn.XLOOKUP(Pipeline_tbl[[#This Row],[Created_Date]],Dim_Date!A:A,Dim_Date!H:H)</f>
        <v>Jun 2025</v>
      </c>
      <c r="T3241" t="str">
        <f>IF(Pipeline_tbl[[#This Row],[Closed_Date]]=0,"",(_xlfn.XLOOKUP(Pipeline_tbl[[#This Row],[Closed_Date]],Dim_Date!A:A,Dim_Date!H:H)))</f>
        <v>Jul 2025</v>
      </c>
      <c r="U3241">
        <f>IF(Pipeline_tbl[[#This Row],[Closed_Date]]=0,"",Pipeline_tbl[[#This Row],[Closed_Date]]-Pipeline_tbl[[#This Row],[Created_Date]])</f>
        <v>17</v>
      </c>
    </row>
    <row r="3242" spans="1:21" ht="15" customHeight="1" x14ac:dyDescent="0.2">
      <c r="A3242" t="s">
        <v>3548</v>
      </c>
      <c r="B3242" t="s">
        <v>209</v>
      </c>
      <c r="C3242" t="s">
        <v>52</v>
      </c>
      <c r="D3242" s="49">
        <v>45829</v>
      </c>
      <c r="E3242" s="49">
        <v>45830</v>
      </c>
      <c r="F3242" s="49">
        <v>45833</v>
      </c>
      <c r="G3242" s="49">
        <v>45837</v>
      </c>
      <c r="H3242" s="49">
        <v>45840</v>
      </c>
      <c r="I3242" s="49">
        <v>45842</v>
      </c>
      <c r="J3242" t="s">
        <v>49</v>
      </c>
      <c r="K3242" s="33">
        <v>4200</v>
      </c>
      <c r="L3242" t="s">
        <v>63</v>
      </c>
      <c r="M3242" t="str">
        <f>_xlfn.XLOOKUP(Pipeline_tbl[[#This Row],[Rep_ID]],Dim_Reps!A:A,Dim_Reps!K:K)</f>
        <v>EUR</v>
      </c>
      <c r="N3242" s="33">
        <f>(_xlfn.XLOOKUP(Pipeline_tbl[[#This Row],[Rate_Code_Generalized]],Lookups!A:A,Lookups!B:B))*Pipeline_tbl[[#This Row],[Pipeline_Amount_USD]]</f>
        <v>4200</v>
      </c>
      <c r="O3242" t="str">
        <f>_xlfn.XLOOKUP(Pipeline_tbl[[#This Row],[Rep_ID]],Dim_Reps!A:A,Dim_Reps!B:B)</f>
        <v>Petra Larsen</v>
      </c>
      <c r="P3242" t="str">
        <f>_xlfn.XLOOKUP(Pipeline_tbl[[#This Row],[Rep_ID]],Dim_Reps!A:A,Dim_Reps!C:C)</f>
        <v>SDR / Inside Sales Rep</v>
      </c>
      <c r="Q3242" t="str">
        <f>_xlfn.XLOOKUP(Pipeline_tbl[[#This Row],[Rep_ID]],Dim_Reps!A:A,Dim_Reps!D:D)</f>
        <v>Inside Sales</v>
      </c>
      <c r="R3242" t="str">
        <f>_xlfn.XLOOKUP(Pipeline_tbl[[#This Row],[Rep_ID]],Dim_Reps!A:A,Dim_Reps!E:E)</f>
        <v>EMEA</v>
      </c>
      <c r="S3242" t="str">
        <f>_xlfn.XLOOKUP(Pipeline_tbl[[#This Row],[Created_Date]],Dim_Date!A:A,Dim_Date!H:H)</f>
        <v>Jun 2025</v>
      </c>
      <c r="T3242" t="str">
        <f>IF(Pipeline_tbl[[#This Row],[Closed_Date]]=0,"",(_xlfn.XLOOKUP(Pipeline_tbl[[#This Row],[Closed_Date]],Dim_Date!A:A,Dim_Date!H:H)))</f>
        <v>Jul 2025</v>
      </c>
      <c r="U3242">
        <f>IF(Pipeline_tbl[[#This Row],[Closed_Date]]=0,"",Pipeline_tbl[[#This Row],[Closed_Date]]-Pipeline_tbl[[#This Row],[Created_Date]])</f>
        <v>13</v>
      </c>
    </row>
    <row r="3243" spans="1:21" ht="15" customHeight="1" x14ac:dyDescent="0.2">
      <c r="A3243" t="s">
        <v>3549</v>
      </c>
      <c r="B3243" t="s">
        <v>209</v>
      </c>
      <c r="C3243" t="s">
        <v>53</v>
      </c>
      <c r="D3243" s="49">
        <v>45819</v>
      </c>
      <c r="E3243" s="49">
        <v>45822</v>
      </c>
      <c r="F3243" s="49">
        <v>45827</v>
      </c>
      <c r="G3243" s="49">
        <v>45835</v>
      </c>
      <c r="I3243" s="49">
        <v>45845</v>
      </c>
      <c r="J3243" t="s">
        <v>49</v>
      </c>
      <c r="K3243" s="33">
        <v>6100</v>
      </c>
      <c r="L3243" t="s">
        <v>62</v>
      </c>
      <c r="M3243" t="str">
        <f>_xlfn.XLOOKUP(Pipeline_tbl[[#This Row],[Rep_ID]],Dim_Reps!A:A,Dim_Reps!K:K)</f>
        <v>EUR</v>
      </c>
      <c r="N3243" s="33">
        <f>(_xlfn.XLOOKUP(Pipeline_tbl[[#This Row],[Rate_Code_Generalized]],Lookups!A:A,Lookups!B:B))*Pipeline_tbl[[#This Row],[Pipeline_Amount_USD]]</f>
        <v>6100</v>
      </c>
      <c r="O3243" t="str">
        <f>_xlfn.XLOOKUP(Pipeline_tbl[[#This Row],[Rep_ID]],Dim_Reps!A:A,Dim_Reps!B:B)</f>
        <v>Petra Larsen</v>
      </c>
      <c r="P3243" t="str">
        <f>_xlfn.XLOOKUP(Pipeline_tbl[[#This Row],[Rep_ID]],Dim_Reps!A:A,Dim_Reps!C:C)</f>
        <v>SDR / Inside Sales Rep</v>
      </c>
      <c r="Q3243" t="str">
        <f>_xlfn.XLOOKUP(Pipeline_tbl[[#This Row],[Rep_ID]],Dim_Reps!A:A,Dim_Reps!D:D)</f>
        <v>Inside Sales</v>
      </c>
      <c r="R3243" t="str">
        <f>_xlfn.XLOOKUP(Pipeline_tbl[[#This Row],[Rep_ID]],Dim_Reps!A:A,Dim_Reps!E:E)</f>
        <v>EMEA</v>
      </c>
      <c r="S3243" t="str">
        <f>_xlfn.XLOOKUP(Pipeline_tbl[[#This Row],[Created_Date]],Dim_Date!A:A,Dim_Date!H:H)</f>
        <v>Jun 2025</v>
      </c>
      <c r="T3243" t="str">
        <f>IF(Pipeline_tbl[[#This Row],[Closed_Date]]=0,"",(_xlfn.XLOOKUP(Pipeline_tbl[[#This Row],[Closed_Date]],Dim_Date!A:A,Dim_Date!H:H)))</f>
        <v>Jul 2025</v>
      </c>
      <c r="U3243">
        <f>IF(Pipeline_tbl[[#This Row],[Closed_Date]]=0,"",Pipeline_tbl[[#This Row],[Closed_Date]]-Pipeline_tbl[[#This Row],[Created_Date]])</f>
        <v>26</v>
      </c>
    </row>
    <row r="3244" spans="1:21" ht="15" customHeight="1" x14ac:dyDescent="0.2">
      <c r="A3244" t="s">
        <v>3550</v>
      </c>
      <c r="B3244" t="s">
        <v>211</v>
      </c>
      <c r="C3244" t="s">
        <v>52</v>
      </c>
      <c r="D3244" s="49">
        <v>45818</v>
      </c>
      <c r="E3244" s="49">
        <v>45820</v>
      </c>
      <c r="F3244" s="49">
        <v>45825</v>
      </c>
      <c r="I3244" s="49">
        <v>45841</v>
      </c>
      <c r="J3244" t="s">
        <v>49</v>
      </c>
      <c r="K3244" s="33">
        <v>2400</v>
      </c>
      <c r="L3244" t="s">
        <v>62</v>
      </c>
      <c r="M3244" t="str">
        <f>_xlfn.XLOOKUP(Pipeline_tbl[[#This Row],[Rep_ID]],Dim_Reps!A:A,Dim_Reps!K:K)</f>
        <v>EUR</v>
      </c>
      <c r="N3244" s="33">
        <f>(_xlfn.XLOOKUP(Pipeline_tbl[[#This Row],[Rate_Code_Generalized]],Lookups!A:A,Lookups!B:B))*Pipeline_tbl[[#This Row],[Pipeline_Amount_USD]]</f>
        <v>2400</v>
      </c>
      <c r="O3244" t="str">
        <f>_xlfn.XLOOKUP(Pipeline_tbl[[#This Row],[Rep_ID]],Dim_Reps!A:A,Dim_Reps!B:B)</f>
        <v>Lea Weber</v>
      </c>
      <c r="P3244" t="str">
        <f>_xlfn.XLOOKUP(Pipeline_tbl[[#This Row],[Rep_ID]],Dim_Reps!A:A,Dim_Reps!C:C)</f>
        <v>SDR / Inside Sales Rep</v>
      </c>
      <c r="Q3244" t="str">
        <f>_xlfn.XLOOKUP(Pipeline_tbl[[#This Row],[Rep_ID]],Dim_Reps!A:A,Dim_Reps!D:D)</f>
        <v>Inside Sales</v>
      </c>
      <c r="R3244" t="str">
        <f>_xlfn.XLOOKUP(Pipeline_tbl[[#This Row],[Rep_ID]],Dim_Reps!A:A,Dim_Reps!E:E)</f>
        <v>EMEA</v>
      </c>
      <c r="S3244" t="str">
        <f>_xlfn.XLOOKUP(Pipeline_tbl[[#This Row],[Created_Date]],Dim_Date!A:A,Dim_Date!H:H)</f>
        <v>Jun 2025</v>
      </c>
      <c r="T3244" t="str">
        <f>IF(Pipeline_tbl[[#This Row],[Closed_Date]]=0,"",(_xlfn.XLOOKUP(Pipeline_tbl[[#This Row],[Closed_Date]],Dim_Date!A:A,Dim_Date!H:H)))</f>
        <v>Jul 2025</v>
      </c>
      <c r="U3244">
        <f>IF(Pipeline_tbl[[#This Row],[Closed_Date]]=0,"",Pipeline_tbl[[#This Row],[Closed_Date]]-Pipeline_tbl[[#This Row],[Created_Date]])</f>
        <v>23</v>
      </c>
    </row>
    <row r="3245" spans="1:21" ht="15" customHeight="1" x14ac:dyDescent="0.2">
      <c r="A3245" t="s">
        <v>3551</v>
      </c>
      <c r="B3245" t="s">
        <v>211</v>
      </c>
      <c r="C3245" t="s">
        <v>52</v>
      </c>
      <c r="D3245" s="49">
        <v>45838</v>
      </c>
      <c r="E3245" s="49">
        <v>45840</v>
      </c>
      <c r="F3245" s="49">
        <v>45843</v>
      </c>
      <c r="G3245" s="49">
        <v>45849</v>
      </c>
      <c r="H3245" s="49">
        <v>45853</v>
      </c>
      <c r="I3245" s="49">
        <v>45856</v>
      </c>
      <c r="J3245" t="s">
        <v>47</v>
      </c>
      <c r="K3245" s="33">
        <v>2400</v>
      </c>
      <c r="M3245" t="str">
        <f>_xlfn.XLOOKUP(Pipeline_tbl[[#This Row],[Rep_ID]],Dim_Reps!A:A,Dim_Reps!K:K)</f>
        <v>EUR</v>
      </c>
      <c r="N3245" s="33">
        <f>(_xlfn.XLOOKUP(Pipeline_tbl[[#This Row],[Rate_Code_Generalized]],Lookups!A:A,Lookups!B:B))*Pipeline_tbl[[#This Row],[Pipeline_Amount_USD]]</f>
        <v>2400</v>
      </c>
      <c r="O3245" t="str">
        <f>_xlfn.XLOOKUP(Pipeline_tbl[[#This Row],[Rep_ID]],Dim_Reps!A:A,Dim_Reps!B:B)</f>
        <v>Lea Weber</v>
      </c>
      <c r="P3245" t="str">
        <f>_xlfn.XLOOKUP(Pipeline_tbl[[#This Row],[Rep_ID]],Dim_Reps!A:A,Dim_Reps!C:C)</f>
        <v>SDR / Inside Sales Rep</v>
      </c>
      <c r="Q3245" t="str">
        <f>_xlfn.XLOOKUP(Pipeline_tbl[[#This Row],[Rep_ID]],Dim_Reps!A:A,Dim_Reps!D:D)</f>
        <v>Inside Sales</v>
      </c>
      <c r="R3245" t="str">
        <f>_xlfn.XLOOKUP(Pipeline_tbl[[#This Row],[Rep_ID]],Dim_Reps!A:A,Dim_Reps!E:E)</f>
        <v>EMEA</v>
      </c>
      <c r="S3245" t="str">
        <f>_xlfn.XLOOKUP(Pipeline_tbl[[#This Row],[Created_Date]],Dim_Date!A:A,Dim_Date!H:H)</f>
        <v>Jun 2025</v>
      </c>
      <c r="T3245" t="str">
        <f>IF(Pipeline_tbl[[#This Row],[Closed_Date]]=0,"",(_xlfn.XLOOKUP(Pipeline_tbl[[#This Row],[Closed_Date]],Dim_Date!A:A,Dim_Date!H:H)))</f>
        <v>Jul 2025</v>
      </c>
      <c r="U3245">
        <f>IF(Pipeline_tbl[[#This Row],[Closed_Date]]=0,"",Pipeline_tbl[[#This Row],[Closed_Date]]-Pipeline_tbl[[#This Row],[Created_Date]])</f>
        <v>18</v>
      </c>
    </row>
    <row r="3246" spans="1:21" ht="15" customHeight="1" x14ac:dyDescent="0.2">
      <c r="A3246" t="s">
        <v>3552</v>
      </c>
      <c r="B3246" t="s">
        <v>211</v>
      </c>
      <c r="C3246" t="s">
        <v>52</v>
      </c>
      <c r="D3246" s="49">
        <v>45835</v>
      </c>
      <c r="E3246" s="49">
        <v>45838</v>
      </c>
      <c r="F3246" s="49">
        <v>45843</v>
      </c>
      <c r="G3246" s="49">
        <v>45851</v>
      </c>
      <c r="H3246" s="49">
        <v>45857</v>
      </c>
      <c r="I3246" s="49">
        <v>45861</v>
      </c>
      <c r="J3246" t="s">
        <v>47</v>
      </c>
      <c r="K3246" s="33">
        <v>3600</v>
      </c>
      <c r="M3246" t="str">
        <f>_xlfn.XLOOKUP(Pipeline_tbl[[#This Row],[Rep_ID]],Dim_Reps!A:A,Dim_Reps!K:K)</f>
        <v>EUR</v>
      </c>
      <c r="N3246" s="33">
        <f>(_xlfn.XLOOKUP(Pipeline_tbl[[#This Row],[Rate_Code_Generalized]],Lookups!A:A,Lookups!B:B))*Pipeline_tbl[[#This Row],[Pipeline_Amount_USD]]</f>
        <v>3600</v>
      </c>
      <c r="O3246" t="str">
        <f>_xlfn.XLOOKUP(Pipeline_tbl[[#This Row],[Rep_ID]],Dim_Reps!A:A,Dim_Reps!B:B)</f>
        <v>Lea Weber</v>
      </c>
      <c r="P3246" t="str">
        <f>_xlfn.XLOOKUP(Pipeline_tbl[[#This Row],[Rep_ID]],Dim_Reps!A:A,Dim_Reps!C:C)</f>
        <v>SDR / Inside Sales Rep</v>
      </c>
      <c r="Q3246" t="str">
        <f>_xlfn.XLOOKUP(Pipeline_tbl[[#This Row],[Rep_ID]],Dim_Reps!A:A,Dim_Reps!D:D)</f>
        <v>Inside Sales</v>
      </c>
      <c r="R3246" t="str">
        <f>_xlfn.XLOOKUP(Pipeline_tbl[[#This Row],[Rep_ID]],Dim_Reps!A:A,Dim_Reps!E:E)</f>
        <v>EMEA</v>
      </c>
      <c r="S3246" t="str">
        <f>_xlfn.XLOOKUP(Pipeline_tbl[[#This Row],[Created_Date]],Dim_Date!A:A,Dim_Date!H:H)</f>
        <v>Jun 2025</v>
      </c>
      <c r="T3246" t="str">
        <f>IF(Pipeline_tbl[[#This Row],[Closed_Date]]=0,"",(_xlfn.XLOOKUP(Pipeline_tbl[[#This Row],[Closed_Date]],Dim_Date!A:A,Dim_Date!H:H)))</f>
        <v>Jul 2025</v>
      </c>
      <c r="U3246">
        <f>IF(Pipeline_tbl[[#This Row],[Closed_Date]]=0,"",Pipeline_tbl[[#This Row],[Closed_Date]]-Pipeline_tbl[[#This Row],[Created_Date]])</f>
        <v>26</v>
      </c>
    </row>
    <row r="3247" spans="1:21" ht="15" customHeight="1" x14ac:dyDescent="0.2">
      <c r="A3247" t="s">
        <v>3553</v>
      </c>
      <c r="B3247" t="s">
        <v>211</v>
      </c>
      <c r="C3247" t="s">
        <v>53</v>
      </c>
      <c r="D3247" s="49">
        <v>45831</v>
      </c>
      <c r="E3247" s="49">
        <v>45832</v>
      </c>
      <c r="F3247" s="49">
        <v>45835</v>
      </c>
      <c r="G3247" s="49">
        <v>45839</v>
      </c>
      <c r="H3247" s="49">
        <v>45842</v>
      </c>
      <c r="I3247" s="49">
        <v>45844</v>
      </c>
      <c r="J3247" t="s">
        <v>47</v>
      </c>
      <c r="K3247" s="33">
        <v>2300</v>
      </c>
      <c r="M3247" t="str">
        <f>_xlfn.XLOOKUP(Pipeline_tbl[[#This Row],[Rep_ID]],Dim_Reps!A:A,Dim_Reps!K:K)</f>
        <v>EUR</v>
      </c>
      <c r="N3247" s="33">
        <f>(_xlfn.XLOOKUP(Pipeline_tbl[[#This Row],[Rate_Code_Generalized]],Lookups!A:A,Lookups!B:B))*Pipeline_tbl[[#This Row],[Pipeline_Amount_USD]]</f>
        <v>2300</v>
      </c>
      <c r="O3247" t="str">
        <f>_xlfn.XLOOKUP(Pipeline_tbl[[#This Row],[Rep_ID]],Dim_Reps!A:A,Dim_Reps!B:B)</f>
        <v>Lea Weber</v>
      </c>
      <c r="P3247" t="str">
        <f>_xlfn.XLOOKUP(Pipeline_tbl[[#This Row],[Rep_ID]],Dim_Reps!A:A,Dim_Reps!C:C)</f>
        <v>SDR / Inside Sales Rep</v>
      </c>
      <c r="Q3247" t="str">
        <f>_xlfn.XLOOKUP(Pipeline_tbl[[#This Row],[Rep_ID]],Dim_Reps!A:A,Dim_Reps!D:D)</f>
        <v>Inside Sales</v>
      </c>
      <c r="R3247" t="str">
        <f>_xlfn.XLOOKUP(Pipeline_tbl[[#This Row],[Rep_ID]],Dim_Reps!A:A,Dim_Reps!E:E)</f>
        <v>EMEA</v>
      </c>
      <c r="S3247" t="str">
        <f>_xlfn.XLOOKUP(Pipeline_tbl[[#This Row],[Created_Date]],Dim_Date!A:A,Dim_Date!H:H)</f>
        <v>Jun 2025</v>
      </c>
      <c r="T3247" t="str">
        <f>IF(Pipeline_tbl[[#This Row],[Closed_Date]]=0,"",(_xlfn.XLOOKUP(Pipeline_tbl[[#This Row],[Closed_Date]],Dim_Date!A:A,Dim_Date!H:H)))</f>
        <v>Jul 2025</v>
      </c>
      <c r="U3247">
        <f>IF(Pipeline_tbl[[#This Row],[Closed_Date]]=0,"",Pipeline_tbl[[#This Row],[Closed_Date]]-Pipeline_tbl[[#This Row],[Created_Date]])</f>
        <v>13</v>
      </c>
    </row>
    <row r="3248" spans="1:21" ht="15" customHeight="1" x14ac:dyDescent="0.2">
      <c r="A3248" t="s">
        <v>3554</v>
      </c>
      <c r="B3248" t="s">
        <v>213</v>
      </c>
      <c r="C3248" t="s">
        <v>54</v>
      </c>
      <c r="D3248" s="49">
        <v>45818</v>
      </c>
      <c r="E3248" s="49">
        <v>45820</v>
      </c>
      <c r="F3248" s="49">
        <v>45825</v>
      </c>
      <c r="G3248" s="49">
        <v>45831</v>
      </c>
      <c r="H3248" s="49">
        <v>45837</v>
      </c>
      <c r="I3248" s="49">
        <v>45840</v>
      </c>
      <c r="J3248" t="s">
        <v>47</v>
      </c>
      <c r="K3248" s="33">
        <v>5100</v>
      </c>
      <c r="M3248" t="str">
        <f>_xlfn.XLOOKUP(Pipeline_tbl[[#This Row],[Rep_ID]],Dim_Reps!A:A,Dim_Reps!K:K)</f>
        <v>EUR</v>
      </c>
      <c r="N3248" s="33">
        <f>(_xlfn.XLOOKUP(Pipeline_tbl[[#This Row],[Rate_Code_Generalized]],Lookups!A:A,Lookups!B:B))*Pipeline_tbl[[#This Row],[Pipeline_Amount_USD]]</f>
        <v>5100</v>
      </c>
      <c r="O3248" t="str">
        <f>_xlfn.XLOOKUP(Pipeline_tbl[[#This Row],[Rep_ID]],Dim_Reps!A:A,Dim_Reps!B:B)</f>
        <v>Jamie Silva</v>
      </c>
      <c r="P3248" t="str">
        <f>_xlfn.XLOOKUP(Pipeline_tbl[[#This Row],[Rep_ID]],Dim_Reps!A:A,Dim_Reps!C:C)</f>
        <v>SDR / Inside Sales Rep</v>
      </c>
      <c r="Q3248" t="str">
        <f>_xlfn.XLOOKUP(Pipeline_tbl[[#This Row],[Rep_ID]],Dim_Reps!A:A,Dim_Reps!D:D)</f>
        <v>Inside Sales</v>
      </c>
      <c r="R3248" t="str">
        <f>_xlfn.XLOOKUP(Pipeline_tbl[[#This Row],[Rep_ID]],Dim_Reps!A:A,Dim_Reps!E:E)</f>
        <v>EMEA</v>
      </c>
      <c r="S3248" t="str">
        <f>_xlfn.XLOOKUP(Pipeline_tbl[[#This Row],[Created_Date]],Dim_Date!A:A,Dim_Date!H:H)</f>
        <v>Jun 2025</v>
      </c>
      <c r="T3248" t="str">
        <f>IF(Pipeline_tbl[[#This Row],[Closed_Date]]=0,"",(_xlfn.XLOOKUP(Pipeline_tbl[[#This Row],[Closed_Date]],Dim_Date!A:A,Dim_Date!H:H)))</f>
        <v>Jul 2025</v>
      </c>
      <c r="U3248">
        <f>IF(Pipeline_tbl[[#This Row],[Closed_Date]]=0,"",Pipeline_tbl[[#This Row],[Closed_Date]]-Pipeline_tbl[[#This Row],[Created_Date]])</f>
        <v>22</v>
      </c>
    </row>
    <row r="3249" spans="1:21" ht="15" customHeight="1" x14ac:dyDescent="0.2">
      <c r="A3249" t="s">
        <v>3555</v>
      </c>
      <c r="B3249" t="s">
        <v>213</v>
      </c>
      <c r="C3249" t="s">
        <v>52</v>
      </c>
      <c r="D3249" s="49">
        <v>45819</v>
      </c>
      <c r="E3249" s="49">
        <v>45821</v>
      </c>
      <c r="F3249" s="49">
        <v>45826</v>
      </c>
      <c r="G3249" s="49">
        <v>45833</v>
      </c>
      <c r="H3249" s="49">
        <v>45839</v>
      </c>
      <c r="I3249" s="49">
        <v>45842</v>
      </c>
      <c r="J3249" t="s">
        <v>47</v>
      </c>
      <c r="K3249" s="33">
        <v>3000</v>
      </c>
      <c r="M3249" t="str">
        <f>_xlfn.XLOOKUP(Pipeline_tbl[[#This Row],[Rep_ID]],Dim_Reps!A:A,Dim_Reps!K:K)</f>
        <v>EUR</v>
      </c>
      <c r="N3249" s="33">
        <f>(_xlfn.XLOOKUP(Pipeline_tbl[[#This Row],[Rate_Code_Generalized]],Lookups!A:A,Lookups!B:B))*Pipeline_tbl[[#This Row],[Pipeline_Amount_USD]]</f>
        <v>3000</v>
      </c>
      <c r="O3249" t="str">
        <f>_xlfn.XLOOKUP(Pipeline_tbl[[#This Row],[Rep_ID]],Dim_Reps!A:A,Dim_Reps!B:B)</f>
        <v>Jamie Silva</v>
      </c>
      <c r="P3249" t="str">
        <f>_xlfn.XLOOKUP(Pipeline_tbl[[#This Row],[Rep_ID]],Dim_Reps!A:A,Dim_Reps!C:C)</f>
        <v>SDR / Inside Sales Rep</v>
      </c>
      <c r="Q3249" t="str">
        <f>_xlfn.XLOOKUP(Pipeline_tbl[[#This Row],[Rep_ID]],Dim_Reps!A:A,Dim_Reps!D:D)</f>
        <v>Inside Sales</v>
      </c>
      <c r="R3249" t="str">
        <f>_xlfn.XLOOKUP(Pipeline_tbl[[#This Row],[Rep_ID]],Dim_Reps!A:A,Dim_Reps!E:E)</f>
        <v>EMEA</v>
      </c>
      <c r="S3249" t="str">
        <f>_xlfn.XLOOKUP(Pipeline_tbl[[#This Row],[Created_Date]],Dim_Date!A:A,Dim_Date!H:H)</f>
        <v>Jun 2025</v>
      </c>
      <c r="T3249" t="str">
        <f>IF(Pipeline_tbl[[#This Row],[Closed_Date]]=0,"",(_xlfn.XLOOKUP(Pipeline_tbl[[#This Row],[Closed_Date]],Dim_Date!A:A,Dim_Date!H:H)))</f>
        <v>Jul 2025</v>
      </c>
      <c r="U3249">
        <f>IF(Pipeline_tbl[[#This Row],[Closed_Date]]=0,"",Pipeline_tbl[[#This Row],[Closed_Date]]-Pipeline_tbl[[#This Row],[Created_Date]])</f>
        <v>23</v>
      </c>
    </row>
    <row r="3250" spans="1:21" ht="15" customHeight="1" x14ac:dyDescent="0.2">
      <c r="A3250" t="s">
        <v>3556</v>
      </c>
      <c r="B3250" t="s">
        <v>213</v>
      </c>
      <c r="C3250" t="s">
        <v>52</v>
      </c>
      <c r="D3250" s="49">
        <v>45830</v>
      </c>
      <c r="E3250" s="49">
        <v>45832</v>
      </c>
      <c r="F3250" s="49">
        <v>45837</v>
      </c>
      <c r="G3250" s="49">
        <v>45843</v>
      </c>
      <c r="I3250" s="49">
        <v>45852</v>
      </c>
      <c r="J3250" t="s">
        <v>49</v>
      </c>
      <c r="K3250" s="33">
        <v>2000</v>
      </c>
      <c r="L3250" t="s">
        <v>60</v>
      </c>
      <c r="M3250" t="str">
        <f>_xlfn.XLOOKUP(Pipeline_tbl[[#This Row],[Rep_ID]],Dim_Reps!A:A,Dim_Reps!K:K)</f>
        <v>EUR</v>
      </c>
      <c r="N3250" s="33">
        <f>(_xlfn.XLOOKUP(Pipeline_tbl[[#This Row],[Rate_Code_Generalized]],Lookups!A:A,Lookups!B:B))*Pipeline_tbl[[#This Row],[Pipeline_Amount_USD]]</f>
        <v>2000</v>
      </c>
      <c r="O3250" t="str">
        <f>_xlfn.XLOOKUP(Pipeline_tbl[[#This Row],[Rep_ID]],Dim_Reps!A:A,Dim_Reps!B:B)</f>
        <v>Jamie Silva</v>
      </c>
      <c r="P3250" t="str">
        <f>_xlfn.XLOOKUP(Pipeline_tbl[[#This Row],[Rep_ID]],Dim_Reps!A:A,Dim_Reps!C:C)</f>
        <v>SDR / Inside Sales Rep</v>
      </c>
      <c r="Q3250" t="str">
        <f>_xlfn.XLOOKUP(Pipeline_tbl[[#This Row],[Rep_ID]],Dim_Reps!A:A,Dim_Reps!D:D)</f>
        <v>Inside Sales</v>
      </c>
      <c r="R3250" t="str">
        <f>_xlfn.XLOOKUP(Pipeline_tbl[[#This Row],[Rep_ID]],Dim_Reps!A:A,Dim_Reps!E:E)</f>
        <v>EMEA</v>
      </c>
      <c r="S3250" t="str">
        <f>_xlfn.XLOOKUP(Pipeline_tbl[[#This Row],[Created_Date]],Dim_Date!A:A,Dim_Date!H:H)</f>
        <v>Jun 2025</v>
      </c>
      <c r="T3250" t="str">
        <f>IF(Pipeline_tbl[[#This Row],[Closed_Date]]=0,"",(_xlfn.XLOOKUP(Pipeline_tbl[[#This Row],[Closed_Date]],Dim_Date!A:A,Dim_Date!H:H)))</f>
        <v>Jul 2025</v>
      </c>
      <c r="U3250">
        <f>IF(Pipeline_tbl[[#This Row],[Closed_Date]]=0,"",Pipeline_tbl[[#This Row],[Closed_Date]]-Pipeline_tbl[[#This Row],[Created_Date]])</f>
        <v>22</v>
      </c>
    </row>
    <row r="3251" spans="1:21" ht="15" customHeight="1" x14ac:dyDescent="0.2">
      <c r="A3251" t="s">
        <v>3557</v>
      </c>
      <c r="B3251" t="s">
        <v>253</v>
      </c>
      <c r="C3251" t="s">
        <v>53</v>
      </c>
      <c r="D3251" s="49">
        <v>45826</v>
      </c>
      <c r="E3251" s="49">
        <v>45830</v>
      </c>
      <c r="F3251" s="49">
        <v>45837</v>
      </c>
      <c r="G3251" s="49">
        <v>45847</v>
      </c>
      <c r="H3251" s="49">
        <v>45856</v>
      </c>
      <c r="I3251" s="49">
        <v>45861</v>
      </c>
      <c r="J3251" t="s">
        <v>49</v>
      </c>
      <c r="K3251" s="33">
        <v>10900</v>
      </c>
      <c r="L3251" t="s">
        <v>64</v>
      </c>
      <c r="M3251" t="str">
        <f>_xlfn.XLOOKUP(Pipeline_tbl[[#This Row],[Rep_ID]],Dim_Reps!A:A,Dim_Reps!K:K)</f>
        <v>EUR</v>
      </c>
      <c r="N3251" s="33">
        <f>(_xlfn.XLOOKUP(Pipeline_tbl[[#This Row],[Rate_Code_Generalized]],Lookups!A:A,Lookups!B:B))*Pipeline_tbl[[#This Row],[Pipeline_Amount_USD]]</f>
        <v>10900</v>
      </c>
      <c r="O3251" t="str">
        <f>_xlfn.XLOOKUP(Pipeline_tbl[[#This Row],[Rep_ID]],Dim_Reps!A:A,Dim_Reps!B:B)</f>
        <v>Rafael Weber</v>
      </c>
      <c r="P3251" t="str">
        <f>_xlfn.XLOOKUP(Pipeline_tbl[[#This Row],[Rep_ID]],Dim_Reps!A:A,Dim_Reps!C:C)</f>
        <v>Mid-Market AE</v>
      </c>
      <c r="Q3251" t="str">
        <f>_xlfn.XLOOKUP(Pipeline_tbl[[#This Row],[Rep_ID]],Dim_Reps!A:A,Dim_Reps!D:D)</f>
        <v>Mid-Market</v>
      </c>
      <c r="R3251" t="str">
        <f>_xlfn.XLOOKUP(Pipeline_tbl[[#This Row],[Rep_ID]],Dim_Reps!A:A,Dim_Reps!E:E)</f>
        <v>APAC</v>
      </c>
      <c r="S3251" t="str">
        <f>_xlfn.XLOOKUP(Pipeline_tbl[[#This Row],[Created_Date]],Dim_Date!A:A,Dim_Date!H:H)</f>
        <v>Jun 2025</v>
      </c>
      <c r="T3251" t="str">
        <f>IF(Pipeline_tbl[[#This Row],[Closed_Date]]=0,"",(_xlfn.XLOOKUP(Pipeline_tbl[[#This Row],[Closed_Date]],Dim_Date!A:A,Dim_Date!H:H)))</f>
        <v>Jul 2025</v>
      </c>
      <c r="U3251">
        <f>IF(Pipeline_tbl[[#This Row],[Closed_Date]]=0,"",Pipeline_tbl[[#This Row],[Closed_Date]]-Pipeline_tbl[[#This Row],[Created_Date]])</f>
        <v>35</v>
      </c>
    </row>
    <row r="3252" spans="1:21" ht="15" customHeight="1" x14ac:dyDescent="0.2">
      <c r="A3252" t="s">
        <v>3558</v>
      </c>
      <c r="B3252" t="s">
        <v>253</v>
      </c>
      <c r="C3252" t="s">
        <v>55</v>
      </c>
      <c r="D3252" s="49">
        <v>45812</v>
      </c>
      <c r="E3252" s="49">
        <v>45817</v>
      </c>
      <c r="F3252" s="49">
        <v>45827</v>
      </c>
      <c r="G3252" s="49">
        <v>45841</v>
      </c>
      <c r="I3252" s="49">
        <v>45861</v>
      </c>
      <c r="J3252" t="s">
        <v>49</v>
      </c>
      <c r="K3252" s="33">
        <v>16700</v>
      </c>
      <c r="L3252" t="s">
        <v>63</v>
      </c>
      <c r="M3252" t="str">
        <f>_xlfn.XLOOKUP(Pipeline_tbl[[#This Row],[Rep_ID]],Dim_Reps!A:A,Dim_Reps!K:K)</f>
        <v>EUR</v>
      </c>
      <c r="N3252" s="33">
        <f>(_xlfn.XLOOKUP(Pipeline_tbl[[#This Row],[Rate_Code_Generalized]],Lookups!A:A,Lookups!B:B))*Pipeline_tbl[[#This Row],[Pipeline_Amount_USD]]</f>
        <v>16700</v>
      </c>
      <c r="O3252" t="str">
        <f>_xlfn.XLOOKUP(Pipeline_tbl[[#This Row],[Rep_ID]],Dim_Reps!A:A,Dim_Reps!B:B)</f>
        <v>Rafael Weber</v>
      </c>
      <c r="P3252" t="str">
        <f>_xlfn.XLOOKUP(Pipeline_tbl[[#This Row],[Rep_ID]],Dim_Reps!A:A,Dim_Reps!C:C)</f>
        <v>Mid-Market AE</v>
      </c>
      <c r="Q3252" t="str">
        <f>_xlfn.XLOOKUP(Pipeline_tbl[[#This Row],[Rep_ID]],Dim_Reps!A:A,Dim_Reps!D:D)</f>
        <v>Mid-Market</v>
      </c>
      <c r="R3252" t="str">
        <f>_xlfn.XLOOKUP(Pipeline_tbl[[#This Row],[Rep_ID]],Dim_Reps!A:A,Dim_Reps!E:E)</f>
        <v>APAC</v>
      </c>
      <c r="S3252" t="str">
        <f>_xlfn.XLOOKUP(Pipeline_tbl[[#This Row],[Created_Date]],Dim_Date!A:A,Dim_Date!H:H)</f>
        <v>Jun 2025</v>
      </c>
      <c r="T3252" t="str">
        <f>IF(Pipeline_tbl[[#This Row],[Closed_Date]]=0,"",(_xlfn.XLOOKUP(Pipeline_tbl[[#This Row],[Closed_Date]],Dim_Date!A:A,Dim_Date!H:H)))</f>
        <v>Jul 2025</v>
      </c>
      <c r="U3252">
        <f>IF(Pipeline_tbl[[#This Row],[Closed_Date]]=0,"",Pipeline_tbl[[#This Row],[Closed_Date]]-Pipeline_tbl[[#This Row],[Created_Date]])</f>
        <v>49</v>
      </c>
    </row>
    <row r="3253" spans="1:21" ht="15" customHeight="1" x14ac:dyDescent="0.2">
      <c r="A3253" t="s">
        <v>3559</v>
      </c>
      <c r="B3253" t="s">
        <v>215</v>
      </c>
      <c r="C3253" t="s">
        <v>54</v>
      </c>
      <c r="D3253" s="49">
        <v>45823</v>
      </c>
      <c r="E3253" s="49">
        <v>45825</v>
      </c>
      <c r="I3253" s="49">
        <v>45846</v>
      </c>
      <c r="J3253" t="s">
        <v>49</v>
      </c>
      <c r="K3253" s="33">
        <v>3200</v>
      </c>
      <c r="L3253" t="s">
        <v>61</v>
      </c>
      <c r="M3253" t="str">
        <f>_xlfn.XLOOKUP(Pipeline_tbl[[#This Row],[Rep_ID]],Dim_Reps!A:A,Dim_Reps!K:K)</f>
        <v>EUR</v>
      </c>
      <c r="N3253" s="33">
        <f>(_xlfn.XLOOKUP(Pipeline_tbl[[#This Row],[Rate_Code_Generalized]],Lookups!A:A,Lookups!B:B))*Pipeline_tbl[[#This Row],[Pipeline_Amount_USD]]</f>
        <v>3200</v>
      </c>
      <c r="O3253" t="str">
        <f>_xlfn.XLOOKUP(Pipeline_tbl[[#This Row],[Rep_ID]],Dim_Reps!A:A,Dim_Reps!B:B)</f>
        <v>Jamie Schmidt</v>
      </c>
      <c r="P3253" t="str">
        <f>_xlfn.XLOOKUP(Pipeline_tbl[[#This Row],[Rep_ID]],Dim_Reps!A:A,Dim_Reps!C:C)</f>
        <v>SDR / Inside Sales Rep</v>
      </c>
      <c r="Q3253" t="str">
        <f>_xlfn.XLOOKUP(Pipeline_tbl[[#This Row],[Rep_ID]],Dim_Reps!A:A,Dim_Reps!D:D)</f>
        <v>Inside Sales</v>
      </c>
      <c r="R3253" t="str">
        <f>_xlfn.XLOOKUP(Pipeline_tbl[[#This Row],[Rep_ID]],Dim_Reps!A:A,Dim_Reps!E:E)</f>
        <v>APAC</v>
      </c>
      <c r="S3253" t="str">
        <f>_xlfn.XLOOKUP(Pipeline_tbl[[#This Row],[Created_Date]],Dim_Date!A:A,Dim_Date!H:H)</f>
        <v>Jun 2025</v>
      </c>
      <c r="T3253" t="str">
        <f>IF(Pipeline_tbl[[#This Row],[Closed_Date]]=0,"",(_xlfn.XLOOKUP(Pipeline_tbl[[#This Row],[Closed_Date]],Dim_Date!A:A,Dim_Date!H:H)))</f>
        <v>Jul 2025</v>
      </c>
      <c r="U3253">
        <f>IF(Pipeline_tbl[[#This Row],[Closed_Date]]=0,"",Pipeline_tbl[[#This Row],[Closed_Date]]-Pipeline_tbl[[#This Row],[Created_Date]])</f>
        <v>23</v>
      </c>
    </row>
    <row r="3254" spans="1:21" ht="15" customHeight="1" x14ac:dyDescent="0.2">
      <c r="A3254" t="s">
        <v>3560</v>
      </c>
      <c r="B3254" t="s">
        <v>215</v>
      </c>
      <c r="C3254" t="s">
        <v>54</v>
      </c>
      <c r="D3254" s="49">
        <v>45831</v>
      </c>
      <c r="E3254" s="49">
        <v>45833</v>
      </c>
      <c r="F3254" s="49">
        <v>45837</v>
      </c>
      <c r="G3254" s="49">
        <v>45842</v>
      </c>
      <c r="H3254" s="49">
        <v>45847</v>
      </c>
      <c r="I3254" s="49">
        <v>45850</v>
      </c>
      <c r="J3254" t="s">
        <v>49</v>
      </c>
      <c r="K3254" s="33">
        <v>4900</v>
      </c>
      <c r="L3254" t="s">
        <v>64</v>
      </c>
      <c r="M3254" t="str">
        <f>_xlfn.XLOOKUP(Pipeline_tbl[[#This Row],[Rep_ID]],Dim_Reps!A:A,Dim_Reps!K:K)</f>
        <v>EUR</v>
      </c>
      <c r="N3254" s="33">
        <f>(_xlfn.XLOOKUP(Pipeline_tbl[[#This Row],[Rate_Code_Generalized]],Lookups!A:A,Lookups!B:B))*Pipeline_tbl[[#This Row],[Pipeline_Amount_USD]]</f>
        <v>4900</v>
      </c>
      <c r="O3254" t="str">
        <f>_xlfn.XLOOKUP(Pipeline_tbl[[#This Row],[Rep_ID]],Dim_Reps!A:A,Dim_Reps!B:B)</f>
        <v>Jamie Schmidt</v>
      </c>
      <c r="P3254" t="str">
        <f>_xlfn.XLOOKUP(Pipeline_tbl[[#This Row],[Rep_ID]],Dim_Reps!A:A,Dim_Reps!C:C)</f>
        <v>SDR / Inside Sales Rep</v>
      </c>
      <c r="Q3254" t="str">
        <f>_xlfn.XLOOKUP(Pipeline_tbl[[#This Row],[Rep_ID]],Dim_Reps!A:A,Dim_Reps!D:D)</f>
        <v>Inside Sales</v>
      </c>
      <c r="R3254" t="str">
        <f>_xlfn.XLOOKUP(Pipeline_tbl[[#This Row],[Rep_ID]],Dim_Reps!A:A,Dim_Reps!E:E)</f>
        <v>APAC</v>
      </c>
      <c r="S3254" t="str">
        <f>_xlfn.XLOOKUP(Pipeline_tbl[[#This Row],[Created_Date]],Dim_Date!A:A,Dim_Date!H:H)</f>
        <v>Jun 2025</v>
      </c>
      <c r="T3254" t="str">
        <f>IF(Pipeline_tbl[[#This Row],[Closed_Date]]=0,"",(_xlfn.XLOOKUP(Pipeline_tbl[[#This Row],[Closed_Date]],Dim_Date!A:A,Dim_Date!H:H)))</f>
        <v>Jul 2025</v>
      </c>
      <c r="U3254">
        <f>IF(Pipeline_tbl[[#This Row],[Closed_Date]]=0,"",Pipeline_tbl[[#This Row],[Closed_Date]]-Pipeline_tbl[[#This Row],[Created_Date]])</f>
        <v>19</v>
      </c>
    </row>
    <row r="3255" spans="1:21" ht="15" customHeight="1" x14ac:dyDescent="0.2">
      <c r="A3255" t="s">
        <v>3561</v>
      </c>
      <c r="B3255" t="s">
        <v>217</v>
      </c>
      <c r="C3255" t="s">
        <v>53</v>
      </c>
      <c r="D3255" s="49">
        <v>45825</v>
      </c>
      <c r="E3255" s="49">
        <v>45827</v>
      </c>
      <c r="F3255" s="49">
        <v>45830</v>
      </c>
      <c r="G3255" s="49">
        <v>45834</v>
      </c>
      <c r="I3255" s="49">
        <v>45840</v>
      </c>
      <c r="J3255" t="s">
        <v>49</v>
      </c>
      <c r="K3255" s="33">
        <v>3900</v>
      </c>
      <c r="L3255" t="s">
        <v>64</v>
      </c>
      <c r="M3255" t="str">
        <f>_xlfn.XLOOKUP(Pipeline_tbl[[#This Row],[Rep_ID]],Dim_Reps!A:A,Dim_Reps!K:K)</f>
        <v>USD</v>
      </c>
      <c r="N3255" s="33">
        <f>(_xlfn.XLOOKUP(Pipeline_tbl[[#This Row],[Rate_Code_Generalized]],Lookups!A:A,Lookups!B:B))*Pipeline_tbl[[#This Row],[Pipeline_Amount_USD]]</f>
        <v>4540.7699999999995</v>
      </c>
      <c r="O3255" t="str">
        <f>_xlfn.XLOOKUP(Pipeline_tbl[[#This Row],[Rep_ID]],Dim_Reps!A:A,Dim_Reps!B:B)</f>
        <v>Priya Weber</v>
      </c>
      <c r="P3255" t="str">
        <f>_xlfn.XLOOKUP(Pipeline_tbl[[#This Row],[Rep_ID]],Dim_Reps!A:A,Dim_Reps!C:C)</f>
        <v>SDR / Inside Sales Rep</v>
      </c>
      <c r="Q3255" t="str">
        <f>_xlfn.XLOOKUP(Pipeline_tbl[[#This Row],[Rep_ID]],Dim_Reps!A:A,Dim_Reps!D:D)</f>
        <v>Inside Sales</v>
      </c>
      <c r="R3255" t="str">
        <f>_xlfn.XLOOKUP(Pipeline_tbl[[#This Row],[Rep_ID]],Dim_Reps!A:A,Dim_Reps!E:E)</f>
        <v>NAMER</v>
      </c>
      <c r="S3255" t="str">
        <f>_xlfn.XLOOKUP(Pipeline_tbl[[#This Row],[Created_Date]],Dim_Date!A:A,Dim_Date!H:H)</f>
        <v>Jun 2025</v>
      </c>
      <c r="T3255" t="str">
        <f>IF(Pipeline_tbl[[#This Row],[Closed_Date]]=0,"",(_xlfn.XLOOKUP(Pipeline_tbl[[#This Row],[Closed_Date]],Dim_Date!A:A,Dim_Date!H:H)))</f>
        <v>Jul 2025</v>
      </c>
      <c r="U3255">
        <f>IF(Pipeline_tbl[[#This Row],[Closed_Date]]=0,"",Pipeline_tbl[[#This Row],[Closed_Date]]-Pipeline_tbl[[#This Row],[Created_Date]])</f>
        <v>15</v>
      </c>
    </row>
    <row r="3256" spans="1:21" ht="15" customHeight="1" x14ac:dyDescent="0.2">
      <c r="A3256" t="s">
        <v>3562</v>
      </c>
      <c r="B3256" t="s">
        <v>217</v>
      </c>
      <c r="C3256" t="s">
        <v>54</v>
      </c>
      <c r="D3256" s="49">
        <v>45821</v>
      </c>
      <c r="E3256" s="49">
        <v>45823</v>
      </c>
      <c r="F3256" s="49">
        <v>45827</v>
      </c>
      <c r="G3256" s="49">
        <v>45833</v>
      </c>
      <c r="H3256" s="49">
        <v>45838</v>
      </c>
      <c r="I3256" s="49">
        <v>45841</v>
      </c>
      <c r="J3256" t="s">
        <v>47</v>
      </c>
      <c r="K3256" s="33">
        <v>2600</v>
      </c>
      <c r="M3256" t="str">
        <f>_xlfn.XLOOKUP(Pipeline_tbl[[#This Row],[Rep_ID]],Dim_Reps!A:A,Dim_Reps!K:K)</f>
        <v>USD</v>
      </c>
      <c r="N3256" s="33">
        <f>(_xlfn.XLOOKUP(Pipeline_tbl[[#This Row],[Rate_Code_Generalized]],Lookups!A:A,Lookups!B:B))*Pipeline_tbl[[#This Row],[Pipeline_Amount_USD]]</f>
        <v>3027.18</v>
      </c>
      <c r="O3256" t="str">
        <f>_xlfn.XLOOKUP(Pipeline_tbl[[#This Row],[Rep_ID]],Dim_Reps!A:A,Dim_Reps!B:B)</f>
        <v>Priya Weber</v>
      </c>
      <c r="P3256" t="str">
        <f>_xlfn.XLOOKUP(Pipeline_tbl[[#This Row],[Rep_ID]],Dim_Reps!A:A,Dim_Reps!C:C)</f>
        <v>SDR / Inside Sales Rep</v>
      </c>
      <c r="Q3256" t="str">
        <f>_xlfn.XLOOKUP(Pipeline_tbl[[#This Row],[Rep_ID]],Dim_Reps!A:A,Dim_Reps!D:D)</f>
        <v>Inside Sales</v>
      </c>
      <c r="R3256" t="str">
        <f>_xlfn.XLOOKUP(Pipeline_tbl[[#This Row],[Rep_ID]],Dim_Reps!A:A,Dim_Reps!E:E)</f>
        <v>NAMER</v>
      </c>
      <c r="S3256" t="str">
        <f>_xlfn.XLOOKUP(Pipeline_tbl[[#This Row],[Created_Date]],Dim_Date!A:A,Dim_Date!H:H)</f>
        <v>Jun 2025</v>
      </c>
      <c r="T3256" t="str">
        <f>IF(Pipeline_tbl[[#This Row],[Closed_Date]]=0,"",(_xlfn.XLOOKUP(Pipeline_tbl[[#This Row],[Closed_Date]],Dim_Date!A:A,Dim_Date!H:H)))</f>
        <v>Jul 2025</v>
      </c>
      <c r="U3256">
        <f>IF(Pipeline_tbl[[#This Row],[Closed_Date]]=0,"",Pipeline_tbl[[#This Row],[Closed_Date]]-Pipeline_tbl[[#This Row],[Created_Date]])</f>
        <v>20</v>
      </c>
    </row>
    <row r="3257" spans="1:21" ht="15" customHeight="1" x14ac:dyDescent="0.2">
      <c r="A3257" t="s">
        <v>3563</v>
      </c>
      <c r="B3257" t="s">
        <v>217</v>
      </c>
      <c r="C3257" t="s">
        <v>52</v>
      </c>
      <c r="D3257" s="49">
        <v>45823</v>
      </c>
      <c r="E3257" s="49">
        <v>45826</v>
      </c>
      <c r="F3257" s="49">
        <v>45831</v>
      </c>
      <c r="G3257" s="49">
        <v>45839</v>
      </c>
      <c r="H3257" s="49">
        <v>45845</v>
      </c>
      <c r="I3257" s="49">
        <v>45849</v>
      </c>
      <c r="J3257" t="s">
        <v>47</v>
      </c>
      <c r="K3257" s="33">
        <v>5100</v>
      </c>
      <c r="M3257" t="str">
        <f>_xlfn.XLOOKUP(Pipeline_tbl[[#This Row],[Rep_ID]],Dim_Reps!A:A,Dim_Reps!K:K)</f>
        <v>USD</v>
      </c>
      <c r="N3257" s="33">
        <f>(_xlfn.XLOOKUP(Pipeline_tbl[[#This Row],[Rate_Code_Generalized]],Lookups!A:A,Lookups!B:B))*Pipeline_tbl[[#This Row],[Pipeline_Amount_USD]]</f>
        <v>5937.9299999999994</v>
      </c>
      <c r="O3257" t="str">
        <f>_xlfn.XLOOKUP(Pipeline_tbl[[#This Row],[Rep_ID]],Dim_Reps!A:A,Dim_Reps!B:B)</f>
        <v>Priya Weber</v>
      </c>
      <c r="P3257" t="str">
        <f>_xlfn.XLOOKUP(Pipeline_tbl[[#This Row],[Rep_ID]],Dim_Reps!A:A,Dim_Reps!C:C)</f>
        <v>SDR / Inside Sales Rep</v>
      </c>
      <c r="Q3257" t="str">
        <f>_xlfn.XLOOKUP(Pipeline_tbl[[#This Row],[Rep_ID]],Dim_Reps!A:A,Dim_Reps!D:D)</f>
        <v>Inside Sales</v>
      </c>
      <c r="R3257" t="str">
        <f>_xlfn.XLOOKUP(Pipeline_tbl[[#This Row],[Rep_ID]],Dim_Reps!A:A,Dim_Reps!E:E)</f>
        <v>NAMER</v>
      </c>
      <c r="S3257" t="str">
        <f>_xlfn.XLOOKUP(Pipeline_tbl[[#This Row],[Created_Date]],Dim_Date!A:A,Dim_Date!H:H)</f>
        <v>Jun 2025</v>
      </c>
      <c r="T3257" t="str">
        <f>IF(Pipeline_tbl[[#This Row],[Closed_Date]]=0,"",(_xlfn.XLOOKUP(Pipeline_tbl[[#This Row],[Closed_Date]],Dim_Date!A:A,Dim_Date!H:H)))</f>
        <v>Jul 2025</v>
      </c>
      <c r="U3257">
        <f>IF(Pipeline_tbl[[#This Row],[Closed_Date]]=0,"",Pipeline_tbl[[#This Row],[Closed_Date]]-Pipeline_tbl[[#This Row],[Created_Date]])</f>
        <v>26</v>
      </c>
    </row>
    <row r="3258" spans="1:21" ht="15" customHeight="1" x14ac:dyDescent="0.2">
      <c r="A3258" t="s">
        <v>3564</v>
      </c>
      <c r="B3258" t="s">
        <v>217</v>
      </c>
      <c r="C3258" t="s">
        <v>52</v>
      </c>
      <c r="D3258" s="49">
        <v>45838</v>
      </c>
      <c r="E3258" s="49">
        <v>45840</v>
      </c>
      <c r="F3258" s="49">
        <v>45843</v>
      </c>
      <c r="G3258" s="49">
        <v>45848</v>
      </c>
      <c r="I3258" s="49">
        <v>45855</v>
      </c>
      <c r="J3258" t="s">
        <v>49</v>
      </c>
      <c r="K3258" s="33">
        <v>3400</v>
      </c>
      <c r="L3258" t="s">
        <v>60</v>
      </c>
      <c r="M3258" t="str">
        <f>_xlfn.XLOOKUP(Pipeline_tbl[[#This Row],[Rep_ID]],Dim_Reps!A:A,Dim_Reps!K:K)</f>
        <v>USD</v>
      </c>
      <c r="N3258" s="33">
        <f>(_xlfn.XLOOKUP(Pipeline_tbl[[#This Row],[Rate_Code_Generalized]],Lookups!A:A,Lookups!B:B))*Pipeline_tbl[[#This Row],[Pipeline_Amount_USD]]</f>
        <v>3958.6199999999994</v>
      </c>
      <c r="O3258" t="str">
        <f>_xlfn.XLOOKUP(Pipeline_tbl[[#This Row],[Rep_ID]],Dim_Reps!A:A,Dim_Reps!B:B)</f>
        <v>Priya Weber</v>
      </c>
      <c r="P3258" t="str">
        <f>_xlfn.XLOOKUP(Pipeline_tbl[[#This Row],[Rep_ID]],Dim_Reps!A:A,Dim_Reps!C:C)</f>
        <v>SDR / Inside Sales Rep</v>
      </c>
      <c r="Q3258" t="str">
        <f>_xlfn.XLOOKUP(Pipeline_tbl[[#This Row],[Rep_ID]],Dim_Reps!A:A,Dim_Reps!D:D)</f>
        <v>Inside Sales</v>
      </c>
      <c r="R3258" t="str">
        <f>_xlfn.XLOOKUP(Pipeline_tbl[[#This Row],[Rep_ID]],Dim_Reps!A:A,Dim_Reps!E:E)</f>
        <v>NAMER</v>
      </c>
      <c r="S3258" t="str">
        <f>_xlfn.XLOOKUP(Pipeline_tbl[[#This Row],[Created_Date]],Dim_Date!A:A,Dim_Date!H:H)</f>
        <v>Jun 2025</v>
      </c>
      <c r="T3258" t="str">
        <f>IF(Pipeline_tbl[[#This Row],[Closed_Date]]=0,"",(_xlfn.XLOOKUP(Pipeline_tbl[[#This Row],[Closed_Date]],Dim_Date!A:A,Dim_Date!H:H)))</f>
        <v>Jul 2025</v>
      </c>
      <c r="U3258">
        <f>IF(Pipeline_tbl[[#This Row],[Closed_Date]]=0,"",Pipeline_tbl[[#This Row],[Closed_Date]]-Pipeline_tbl[[#This Row],[Created_Date]])</f>
        <v>17</v>
      </c>
    </row>
    <row r="3259" spans="1:21" ht="15" customHeight="1" x14ac:dyDescent="0.2">
      <c r="A3259" t="s">
        <v>3565</v>
      </c>
      <c r="B3259" t="s">
        <v>188</v>
      </c>
      <c r="C3259" t="s">
        <v>56</v>
      </c>
      <c r="D3259" s="49">
        <v>45818</v>
      </c>
      <c r="E3259" s="49">
        <v>45822</v>
      </c>
      <c r="F3259" s="49">
        <v>45831</v>
      </c>
      <c r="G3259" s="49">
        <v>45844</v>
      </c>
      <c r="H3259" s="49">
        <v>45855</v>
      </c>
      <c r="I3259" s="49">
        <v>45862</v>
      </c>
      <c r="J3259" t="s">
        <v>49</v>
      </c>
      <c r="K3259" s="33">
        <v>56800</v>
      </c>
      <c r="L3259" t="s">
        <v>60</v>
      </c>
      <c r="M3259" t="str">
        <f>_xlfn.XLOOKUP(Pipeline_tbl[[#This Row],[Rep_ID]],Dim_Reps!A:A,Dim_Reps!K:K)</f>
        <v>EUR</v>
      </c>
      <c r="N3259" s="33">
        <f>(_xlfn.XLOOKUP(Pipeline_tbl[[#This Row],[Rate_Code_Generalized]],Lookups!A:A,Lookups!B:B))*Pipeline_tbl[[#This Row],[Pipeline_Amount_USD]]</f>
        <v>56800</v>
      </c>
      <c r="O3259" t="str">
        <f>_xlfn.XLOOKUP(Pipeline_tbl[[#This Row],[Rep_ID]],Dim_Reps!A:A,Dim_Reps!B:B)</f>
        <v>Jamie Santos</v>
      </c>
      <c r="P3259" t="str">
        <f>_xlfn.XLOOKUP(Pipeline_tbl[[#This Row],[Rep_ID]],Dim_Reps!A:A,Dim_Reps!C:C)</f>
        <v>Enterprise AE</v>
      </c>
      <c r="Q3259" t="str">
        <f>_xlfn.XLOOKUP(Pipeline_tbl[[#This Row],[Rep_ID]],Dim_Reps!A:A,Dim_Reps!D:D)</f>
        <v>Enterprise</v>
      </c>
      <c r="R3259" t="str">
        <f>_xlfn.XLOOKUP(Pipeline_tbl[[#This Row],[Rep_ID]],Dim_Reps!A:A,Dim_Reps!E:E)</f>
        <v>APAC</v>
      </c>
      <c r="S3259" t="str">
        <f>_xlfn.XLOOKUP(Pipeline_tbl[[#This Row],[Created_Date]],Dim_Date!A:A,Dim_Date!H:H)</f>
        <v>Jun 2025</v>
      </c>
      <c r="T3259" t="str">
        <f>IF(Pipeline_tbl[[#This Row],[Closed_Date]]=0,"",(_xlfn.XLOOKUP(Pipeline_tbl[[#This Row],[Closed_Date]],Dim_Date!A:A,Dim_Date!H:H)))</f>
        <v>Jul 2025</v>
      </c>
      <c r="U3259">
        <f>IF(Pipeline_tbl[[#This Row],[Closed_Date]]=0,"",Pipeline_tbl[[#This Row],[Closed_Date]]-Pipeline_tbl[[#This Row],[Created_Date]])</f>
        <v>44</v>
      </c>
    </row>
    <row r="3260" spans="1:21" ht="15" customHeight="1" x14ac:dyDescent="0.2">
      <c r="A3260" t="s">
        <v>3566</v>
      </c>
      <c r="B3260" t="s">
        <v>188</v>
      </c>
      <c r="C3260" t="s">
        <v>55</v>
      </c>
      <c r="D3260" s="49">
        <v>45827</v>
      </c>
      <c r="E3260" s="49">
        <v>45830</v>
      </c>
      <c r="F3260" s="49">
        <v>45836</v>
      </c>
      <c r="G3260" s="49">
        <v>45844</v>
      </c>
      <c r="H3260" s="49">
        <v>45852</v>
      </c>
      <c r="I3260" s="49">
        <v>45856</v>
      </c>
      <c r="J3260" t="s">
        <v>47</v>
      </c>
      <c r="K3260" s="33">
        <v>62200</v>
      </c>
      <c r="M3260" t="str">
        <f>_xlfn.XLOOKUP(Pipeline_tbl[[#This Row],[Rep_ID]],Dim_Reps!A:A,Dim_Reps!K:K)</f>
        <v>EUR</v>
      </c>
      <c r="N3260" s="33">
        <f>(_xlfn.XLOOKUP(Pipeline_tbl[[#This Row],[Rate_Code_Generalized]],Lookups!A:A,Lookups!B:B))*Pipeline_tbl[[#This Row],[Pipeline_Amount_USD]]</f>
        <v>62200</v>
      </c>
      <c r="O3260" t="str">
        <f>_xlfn.XLOOKUP(Pipeline_tbl[[#This Row],[Rep_ID]],Dim_Reps!A:A,Dim_Reps!B:B)</f>
        <v>Jamie Santos</v>
      </c>
      <c r="P3260" t="str">
        <f>_xlfn.XLOOKUP(Pipeline_tbl[[#This Row],[Rep_ID]],Dim_Reps!A:A,Dim_Reps!C:C)</f>
        <v>Enterprise AE</v>
      </c>
      <c r="Q3260" t="str">
        <f>_xlfn.XLOOKUP(Pipeline_tbl[[#This Row],[Rep_ID]],Dim_Reps!A:A,Dim_Reps!D:D)</f>
        <v>Enterprise</v>
      </c>
      <c r="R3260" t="str">
        <f>_xlfn.XLOOKUP(Pipeline_tbl[[#This Row],[Rep_ID]],Dim_Reps!A:A,Dim_Reps!E:E)</f>
        <v>APAC</v>
      </c>
      <c r="S3260" t="str">
        <f>_xlfn.XLOOKUP(Pipeline_tbl[[#This Row],[Created_Date]],Dim_Date!A:A,Dim_Date!H:H)</f>
        <v>Jun 2025</v>
      </c>
      <c r="T3260" t="str">
        <f>IF(Pipeline_tbl[[#This Row],[Closed_Date]]=0,"",(_xlfn.XLOOKUP(Pipeline_tbl[[#This Row],[Closed_Date]],Dim_Date!A:A,Dim_Date!H:H)))</f>
        <v>Jul 2025</v>
      </c>
      <c r="U3260">
        <f>IF(Pipeline_tbl[[#This Row],[Closed_Date]]=0,"",Pipeline_tbl[[#This Row],[Closed_Date]]-Pipeline_tbl[[#This Row],[Created_Date]])</f>
        <v>29</v>
      </c>
    </row>
    <row r="3261" spans="1:21" ht="15" customHeight="1" x14ac:dyDescent="0.2">
      <c r="A3261" t="s">
        <v>3567</v>
      </c>
      <c r="B3261" t="s">
        <v>221</v>
      </c>
      <c r="C3261" t="s">
        <v>55</v>
      </c>
      <c r="D3261" s="49">
        <v>45833</v>
      </c>
      <c r="E3261" s="49">
        <v>45835</v>
      </c>
      <c r="F3261" s="49">
        <v>45839</v>
      </c>
      <c r="G3261" s="49">
        <v>45844</v>
      </c>
      <c r="H3261" s="49">
        <v>45849</v>
      </c>
      <c r="I3261" s="49">
        <v>45852</v>
      </c>
      <c r="J3261" t="s">
        <v>49</v>
      </c>
      <c r="K3261" s="33">
        <v>2800</v>
      </c>
      <c r="L3261" t="s">
        <v>60</v>
      </c>
      <c r="M3261" t="str">
        <f>_xlfn.XLOOKUP(Pipeline_tbl[[#This Row],[Rep_ID]],Dim_Reps!A:A,Dim_Reps!K:K)</f>
        <v>MXN</v>
      </c>
      <c r="N3261" s="33">
        <f>(_xlfn.XLOOKUP(Pipeline_tbl[[#This Row],[Rate_Code_Generalized]],Lookups!A:A,Lookups!B:B))*Pipeline_tbl[[#This Row],[Pipeline_Amount_USD]]</f>
        <v>55251.560000000005</v>
      </c>
      <c r="O3261" t="str">
        <f>_xlfn.XLOOKUP(Pipeline_tbl[[#This Row],[Rep_ID]],Dim_Reps!A:A,Dim_Reps!B:B)</f>
        <v>Casey Muller</v>
      </c>
      <c r="P3261" t="str">
        <f>_xlfn.XLOOKUP(Pipeline_tbl[[#This Row],[Rep_ID]],Dim_Reps!A:A,Dim_Reps!C:C)</f>
        <v>SDR / Inside Sales Rep</v>
      </c>
      <c r="Q3261" t="str">
        <f>_xlfn.XLOOKUP(Pipeline_tbl[[#This Row],[Rep_ID]],Dim_Reps!A:A,Dim_Reps!D:D)</f>
        <v>Inside Sales</v>
      </c>
      <c r="R3261" t="str">
        <f>_xlfn.XLOOKUP(Pipeline_tbl[[#This Row],[Rep_ID]],Dim_Reps!A:A,Dim_Reps!E:E)</f>
        <v>LATAM</v>
      </c>
      <c r="S3261" t="str">
        <f>_xlfn.XLOOKUP(Pipeline_tbl[[#This Row],[Created_Date]],Dim_Date!A:A,Dim_Date!H:H)</f>
        <v>Jun 2025</v>
      </c>
      <c r="T3261" t="str">
        <f>IF(Pipeline_tbl[[#This Row],[Closed_Date]]=0,"",(_xlfn.XLOOKUP(Pipeline_tbl[[#This Row],[Closed_Date]],Dim_Date!A:A,Dim_Date!H:H)))</f>
        <v>Jul 2025</v>
      </c>
      <c r="U3261">
        <f>IF(Pipeline_tbl[[#This Row],[Closed_Date]]=0,"",Pipeline_tbl[[#This Row],[Closed_Date]]-Pipeline_tbl[[#This Row],[Created_Date]])</f>
        <v>19</v>
      </c>
    </row>
    <row r="3262" spans="1:21" ht="15" customHeight="1" x14ac:dyDescent="0.2">
      <c r="A3262" t="s">
        <v>3568</v>
      </c>
      <c r="B3262" t="s">
        <v>221</v>
      </c>
      <c r="C3262" t="s">
        <v>52</v>
      </c>
      <c r="D3262" s="49">
        <v>45836</v>
      </c>
      <c r="E3262" s="49">
        <v>45838</v>
      </c>
      <c r="F3262" s="49">
        <v>45842</v>
      </c>
      <c r="G3262" s="49">
        <v>45848</v>
      </c>
      <c r="I3262" s="49">
        <v>45856</v>
      </c>
      <c r="J3262" t="s">
        <v>49</v>
      </c>
      <c r="K3262" s="33">
        <v>6600</v>
      </c>
      <c r="L3262" t="s">
        <v>62</v>
      </c>
      <c r="M3262" t="str">
        <f>_xlfn.XLOOKUP(Pipeline_tbl[[#This Row],[Rep_ID]],Dim_Reps!A:A,Dim_Reps!K:K)</f>
        <v>MXN</v>
      </c>
      <c r="N3262" s="33">
        <f>(_xlfn.XLOOKUP(Pipeline_tbl[[#This Row],[Rate_Code_Generalized]],Lookups!A:A,Lookups!B:B))*Pipeline_tbl[[#This Row],[Pipeline_Amount_USD]]</f>
        <v>130235.82</v>
      </c>
      <c r="O3262" t="str">
        <f>_xlfn.XLOOKUP(Pipeline_tbl[[#This Row],[Rep_ID]],Dim_Reps!A:A,Dim_Reps!B:B)</f>
        <v>Casey Muller</v>
      </c>
      <c r="P3262" t="str">
        <f>_xlfn.XLOOKUP(Pipeline_tbl[[#This Row],[Rep_ID]],Dim_Reps!A:A,Dim_Reps!C:C)</f>
        <v>SDR / Inside Sales Rep</v>
      </c>
      <c r="Q3262" t="str">
        <f>_xlfn.XLOOKUP(Pipeline_tbl[[#This Row],[Rep_ID]],Dim_Reps!A:A,Dim_Reps!D:D)</f>
        <v>Inside Sales</v>
      </c>
      <c r="R3262" t="str">
        <f>_xlfn.XLOOKUP(Pipeline_tbl[[#This Row],[Rep_ID]],Dim_Reps!A:A,Dim_Reps!E:E)</f>
        <v>LATAM</v>
      </c>
      <c r="S3262" t="str">
        <f>_xlfn.XLOOKUP(Pipeline_tbl[[#This Row],[Created_Date]],Dim_Date!A:A,Dim_Date!H:H)</f>
        <v>Jun 2025</v>
      </c>
      <c r="T3262" t="str">
        <f>IF(Pipeline_tbl[[#This Row],[Closed_Date]]=0,"",(_xlfn.XLOOKUP(Pipeline_tbl[[#This Row],[Closed_Date]],Dim_Date!A:A,Dim_Date!H:H)))</f>
        <v>Jul 2025</v>
      </c>
      <c r="U3262">
        <f>IF(Pipeline_tbl[[#This Row],[Closed_Date]]=0,"",Pipeline_tbl[[#This Row],[Closed_Date]]-Pipeline_tbl[[#This Row],[Created_Date]])</f>
        <v>20</v>
      </c>
    </row>
    <row r="3263" spans="1:21" ht="15" customHeight="1" x14ac:dyDescent="0.2">
      <c r="A3263" t="s">
        <v>3569</v>
      </c>
      <c r="B3263" t="s">
        <v>221</v>
      </c>
      <c r="C3263" t="s">
        <v>53</v>
      </c>
      <c r="D3263" s="49">
        <v>45833</v>
      </c>
      <c r="E3263" s="49">
        <v>45835</v>
      </c>
      <c r="I3263" s="49">
        <v>45852</v>
      </c>
      <c r="J3263" t="s">
        <v>49</v>
      </c>
      <c r="K3263" s="33">
        <v>2400</v>
      </c>
      <c r="L3263" t="s">
        <v>61</v>
      </c>
      <c r="M3263" t="str">
        <f>_xlfn.XLOOKUP(Pipeline_tbl[[#This Row],[Rep_ID]],Dim_Reps!A:A,Dim_Reps!K:K)</f>
        <v>MXN</v>
      </c>
      <c r="N3263" s="33">
        <f>(_xlfn.XLOOKUP(Pipeline_tbl[[#This Row],[Rate_Code_Generalized]],Lookups!A:A,Lookups!B:B))*Pipeline_tbl[[#This Row],[Pipeline_Amount_USD]]</f>
        <v>47358.48</v>
      </c>
      <c r="O3263" t="str">
        <f>_xlfn.XLOOKUP(Pipeline_tbl[[#This Row],[Rep_ID]],Dim_Reps!A:A,Dim_Reps!B:B)</f>
        <v>Casey Muller</v>
      </c>
      <c r="P3263" t="str">
        <f>_xlfn.XLOOKUP(Pipeline_tbl[[#This Row],[Rep_ID]],Dim_Reps!A:A,Dim_Reps!C:C)</f>
        <v>SDR / Inside Sales Rep</v>
      </c>
      <c r="Q3263" t="str">
        <f>_xlfn.XLOOKUP(Pipeline_tbl[[#This Row],[Rep_ID]],Dim_Reps!A:A,Dim_Reps!D:D)</f>
        <v>Inside Sales</v>
      </c>
      <c r="R3263" t="str">
        <f>_xlfn.XLOOKUP(Pipeline_tbl[[#This Row],[Rep_ID]],Dim_Reps!A:A,Dim_Reps!E:E)</f>
        <v>LATAM</v>
      </c>
      <c r="S3263" t="str">
        <f>_xlfn.XLOOKUP(Pipeline_tbl[[#This Row],[Created_Date]],Dim_Date!A:A,Dim_Date!H:H)</f>
        <v>Jun 2025</v>
      </c>
      <c r="T3263" t="str">
        <f>IF(Pipeline_tbl[[#This Row],[Closed_Date]]=0,"",(_xlfn.XLOOKUP(Pipeline_tbl[[#This Row],[Closed_Date]],Dim_Date!A:A,Dim_Date!H:H)))</f>
        <v>Jul 2025</v>
      </c>
      <c r="U3263">
        <f>IF(Pipeline_tbl[[#This Row],[Closed_Date]]=0,"",Pipeline_tbl[[#This Row],[Closed_Date]]-Pipeline_tbl[[#This Row],[Created_Date]])</f>
        <v>19</v>
      </c>
    </row>
    <row r="3264" spans="1:21" ht="15" customHeight="1" x14ac:dyDescent="0.2">
      <c r="A3264" t="s">
        <v>3570</v>
      </c>
      <c r="B3264" t="s">
        <v>221</v>
      </c>
      <c r="C3264" t="s">
        <v>56</v>
      </c>
      <c r="D3264" s="49">
        <v>45825</v>
      </c>
      <c r="E3264" s="49">
        <v>45826</v>
      </c>
      <c r="F3264" s="49">
        <v>45829</v>
      </c>
      <c r="G3264" s="49">
        <v>45833</v>
      </c>
      <c r="H3264" s="49">
        <v>45837</v>
      </c>
      <c r="I3264" s="49">
        <v>45839</v>
      </c>
      <c r="J3264" t="s">
        <v>49</v>
      </c>
      <c r="K3264" s="33">
        <v>2700</v>
      </c>
      <c r="L3264" t="s">
        <v>60</v>
      </c>
      <c r="M3264" t="str">
        <f>_xlfn.XLOOKUP(Pipeline_tbl[[#This Row],[Rep_ID]],Dim_Reps!A:A,Dim_Reps!K:K)</f>
        <v>MXN</v>
      </c>
      <c r="N3264" s="33">
        <f>(_xlfn.XLOOKUP(Pipeline_tbl[[#This Row],[Rate_Code_Generalized]],Lookups!A:A,Lookups!B:B))*Pipeline_tbl[[#This Row],[Pipeline_Amount_USD]]</f>
        <v>53278.29</v>
      </c>
      <c r="O3264" t="str">
        <f>_xlfn.XLOOKUP(Pipeline_tbl[[#This Row],[Rep_ID]],Dim_Reps!A:A,Dim_Reps!B:B)</f>
        <v>Casey Muller</v>
      </c>
      <c r="P3264" t="str">
        <f>_xlfn.XLOOKUP(Pipeline_tbl[[#This Row],[Rep_ID]],Dim_Reps!A:A,Dim_Reps!C:C)</f>
        <v>SDR / Inside Sales Rep</v>
      </c>
      <c r="Q3264" t="str">
        <f>_xlfn.XLOOKUP(Pipeline_tbl[[#This Row],[Rep_ID]],Dim_Reps!A:A,Dim_Reps!D:D)</f>
        <v>Inside Sales</v>
      </c>
      <c r="R3264" t="str">
        <f>_xlfn.XLOOKUP(Pipeline_tbl[[#This Row],[Rep_ID]],Dim_Reps!A:A,Dim_Reps!E:E)</f>
        <v>LATAM</v>
      </c>
      <c r="S3264" t="str">
        <f>_xlfn.XLOOKUP(Pipeline_tbl[[#This Row],[Created_Date]],Dim_Date!A:A,Dim_Date!H:H)</f>
        <v>Jun 2025</v>
      </c>
      <c r="T3264" t="str">
        <f>IF(Pipeline_tbl[[#This Row],[Closed_Date]]=0,"",(_xlfn.XLOOKUP(Pipeline_tbl[[#This Row],[Closed_Date]],Dim_Date!A:A,Dim_Date!H:H)))</f>
        <v>Jul 2025</v>
      </c>
      <c r="U3264">
        <f>IF(Pipeline_tbl[[#This Row],[Closed_Date]]=0,"",Pipeline_tbl[[#This Row],[Closed_Date]]-Pipeline_tbl[[#This Row],[Created_Date]])</f>
        <v>14</v>
      </c>
    </row>
    <row r="3265" spans="1:21" ht="15" customHeight="1" x14ac:dyDescent="0.2">
      <c r="A3265" t="s">
        <v>3571</v>
      </c>
      <c r="B3265" t="s">
        <v>221</v>
      </c>
      <c r="C3265" t="s">
        <v>52</v>
      </c>
      <c r="D3265" s="49">
        <v>45835</v>
      </c>
      <c r="E3265" s="49">
        <v>45837</v>
      </c>
      <c r="F3265" s="49">
        <v>45841</v>
      </c>
      <c r="G3265" s="49">
        <v>45846</v>
      </c>
      <c r="H3265" s="49">
        <v>45851</v>
      </c>
      <c r="I3265" s="49">
        <v>45854</v>
      </c>
      <c r="J3265" t="s">
        <v>47</v>
      </c>
      <c r="K3265" s="33">
        <v>1700</v>
      </c>
      <c r="M3265" t="str">
        <f>_xlfn.XLOOKUP(Pipeline_tbl[[#This Row],[Rep_ID]],Dim_Reps!A:A,Dim_Reps!K:K)</f>
        <v>MXN</v>
      </c>
      <c r="N3265" s="33">
        <f>(_xlfn.XLOOKUP(Pipeline_tbl[[#This Row],[Rate_Code_Generalized]],Lookups!A:A,Lookups!B:B))*Pipeline_tbl[[#This Row],[Pipeline_Amount_USD]]</f>
        <v>33545.590000000004</v>
      </c>
      <c r="O3265" t="str">
        <f>_xlfn.XLOOKUP(Pipeline_tbl[[#This Row],[Rep_ID]],Dim_Reps!A:A,Dim_Reps!B:B)</f>
        <v>Casey Muller</v>
      </c>
      <c r="P3265" t="str">
        <f>_xlfn.XLOOKUP(Pipeline_tbl[[#This Row],[Rep_ID]],Dim_Reps!A:A,Dim_Reps!C:C)</f>
        <v>SDR / Inside Sales Rep</v>
      </c>
      <c r="Q3265" t="str">
        <f>_xlfn.XLOOKUP(Pipeline_tbl[[#This Row],[Rep_ID]],Dim_Reps!A:A,Dim_Reps!D:D)</f>
        <v>Inside Sales</v>
      </c>
      <c r="R3265" t="str">
        <f>_xlfn.XLOOKUP(Pipeline_tbl[[#This Row],[Rep_ID]],Dim_Reps!A:A,Dim_Reps!E:E)</f>
        <v>LATAM</v>
      </c>
      <c r="S3265" t="str">
        <f>_xlfn.XLOOKUP(Pipeline_tbl[[#This Row],[Created_Date]],Dim_Date!A:A,Dim_Date!H:H)</f>
        <v>Jun 2025</v>
      </c>
      <c r="T3265" t="str">
        <f>IF(Pipeline_tbl[[#This Row],[Closed_Date]]=0,"",(_xlfn.XLOOKUP(Pipeline_tbl[[#This Row],[Closed_Date]],Dim_Date!A:A,Dim_Date!H:H)))</f>
        <v>Jul 2025</v>
      </c>
      <c r="U3265">
        <f>IF(Pipeline_tbl[[#This Row],[Closed_Date]]=0,"",Pipeline_tbl[[#This Row],[Closed_Date]]-Pipeline_tbl[[#This Row],[Created_Date]])</f>
        <v>19</v>
      </c>
    </row>
    <row r="3266" spans="1:21" ht="15" customHeight="1" x14ac:dyDescent="0.2">
      <c r="A3266" t="s">
        <v>3572</v>
      </c>
      <c r="B3266" t="s">
        <v>221</v>
      </c>
      <c r="C3266" t="s">
        <v>52</v>
      </c>
      <c r="D3266" s="49">
        <v>45838</v>
      </c>
      <c r="E3266" s="49">
        <v>45841</v>
      </c>
      <c r="F3266" s="49">
        <v>45846</v>
      </c>
      <c r="G3266" s="49">
        <v>45855</v>
      </c>
      <c r="H3266" s="49">
        <v>45862</v>
      </c>
      <c r="I3266" s="49">
        <v>45866</v>
      </c>
      <c r="J3266" t="s">
        <v>47</v>
      </c>
      <c r="K3266" s="33">
        <v>4800</v>
      </c>
      <c r="M3266" t="str">
        <f>_xlfn.XLOOKUP(Pipeline_tbl[[#This Row],[Rep_ID]],Dim_Reps!A:A,Dim_Reps!K:K)</f>
        <v>MXN</v>
      </c>
      <c r="N3266" s="33">
        <f>(_xlfn.XLOOKUP(Pipeline_tbl[[#This Row],[Rate_Code_Generalized]],Lookups!A:A,Lookups!B:B))*Pipeline_tbl[[#This Row],[Pipeline_Amount_USD]]</f>
        <v>94716.96</v>
      </c>
      <c r="O3266" t="str">
        <f>_xlfn.XLOOKUP(Pipeline_tbl[[#This Row],[Rep_ID]],Dim_Reps!A:A,Dim_Reps!B:B)</f>
        <v>Casey Muller</v>
      </c>
      <c r="P3266" t="str">
        <f>_xlfn.XLOOKUP(Pipeline_tbl[[#This Row],[Rep_ID]],Dim_Reps!A:A,Dim_Reps!C:C)</f>
        <v>SDR / Inside Sales Rep</v>
      </c>
      <c r="Q3266" t="str">
        <f>_xlfn.XLOOKUP(Pipeline_tbl[[#This Row],[Rep_ID]],Dim_Reps!A:A,Dim_Reps!D:D)</f>
        <v>Inside Sales</v>
      </c>
      <c r="R3266" t="str">
        <f>_xlfn.XLOOKUP(Pipeline_tbl[[#This Row],[Rep_ID]],Dim_Reps!A:A,Dim_Reps!E:E)</f>
        <v>LATAM</v>
      </c>
      <c r="S3266" t="str">
        <f>_xlfn.XLOOKUP(Pipeline_tbl[[#This Row],[Created_Date]],Dim_Date!A:A,Dim_Date!H:H)</f>
        <v>Jun 2025</v>
      </c>
      <c r="T3266" t="str">
        <f>IF(Pipeline_tbl[[#This Row],[Closed_Date]]=0,"",(_xlfn.XLOOKUP(Pipeline_tbl[[#This Row],[Closed_Date]],Dim_Date!A:A,Dim_Date!H:H)))</f>
        <v>Jul 2025</v>
      </c>
      <c r="U3266">
        <f>IF(Pipeline_tbl[[#This Row],[Closed_Date]]=0,"",Pipeline_tbl[[#This Row],[Closed_Date]]-Pipeline_tbl[[#This Row],[Created_Date]])</f>
        <v>28</v>
      </c>
    </row>
    <row r="3267" spans="1:21" ht="15" customHeight="1" x14ac:dyDescent="0.2">
      <c r="A3267" t="s">
        <v>3573</v>
      </c>
      <c r="B3267" t="s">
        <v>221</v>
      </c>
      <c r="C3267" t="s">
        <v>53</v>
      </c>
      <c r="D3267" s="49">
        <v>45832</v>
      </c>
      <c r="E3267" s="49">
        <v>45834</v>
      </c>
      <c r="F3267" s="49">
        <v>45839</v>
      </c>
      <c r="G3267" s="49">
        <v>45846</v>
      </c>
      <c r="H3267" s="49">
        <v>45852</v>
      </c>
      <c r="I3267" s="49">
        <v>45855</v>
      </c>
      <c r="J3267" t="s">
        <v>49</v>
      </c>
      <c r="K3267" s="33">
        <v>3800</v>
      </c>
      <c r="L3267" t="s">
        <v>60</v>
      </c>
      <c r="M3267" t="str">
        <f>_xlfn.XLOOKUP(Pipeline_tbl[[#This Row],[Rep_ID]],Dim_Reps!A:A,Dim_Reps!K:K)</f>
        <v>MXN</v>
      </c>
      <c r="N3267" s="33">
        <f>(_xlfn.XLOOKUP(Pipeline_tbl[[#This Row],[Rate_Code_Generalized]],Lookups!A:A,Lookups!B:B))*Pipeline_tbl[[#This Row],[Pipeline_Amount_USD]]</f>
        <v>74984.260000000009</v>
      </c>
      <c r="O3267" t="str">
        <f>_xlfn.XLOOKUP(Pipeline_tbl[[#This Row],[Rep_ID]],Dim_Reps!A:A,Dim_Reps!B:B)</f>
        <v>Casey Muller</v>
      </c>
      <c r="P3267" t="str">
        <f>_xlfn.XLOOKUP(Pipeline_tbl[[#This Row],[Rep_ID]],Dim_Reps!A:A,Dim_Reps!C:C)</f>
        <v>SDR / Inside Sales Rep</v>
      </c>
      <c r="Q3267" t="str">
        <f>_xlfn.XLOOKUP(Pipeline_tbl[[#This Row],[Rep_ID]],Dim_Reps!A:A,Dim_Reps!D:D)</f>
        <v>Inside Sales</v>
      </c>
      <c r="R3267" t="str">
        <f>_xlfn.XLOOKUP(Pipeline_tbl[[#This Row],[Rep_ID]],Dim_Reps!A:A,Dim_Reps!E:E)</f>
        <v>LATAM</v>
      </c>
      <c r="S3267" t="str">
        <f>_xlfn.XLOOKUP(Pipeline_tbl[[#This Row],[Created_Date]],Dim_Date!A:A,Dim_Date!H:H)</f>
        <v>Jun 2025</v>
      </c>
      <c r="T3267" t="str">
        <f>IF(Pipeline_tbl[[#This Row],[Closed_Date]]=0,"",(_xlfn.XLOOKUP(Pipeline_tbl[[#This Row],[Closed_Date]],Dim_Date!A:A,Dim_Date!H:H)))</f>
        <v>Jul 2025</v>
      </c>
      <c r="U3267">
        <f>IF(Pipeline_tbl[[#This Row],[Closed_Date]]=0,"",Pipeline_tbl[[#This Row],[Closed_Date]]-Pipeline_tbl[[#This Row],[Created_Date]])</f>
        <v>23</v>
      </c>
    </row>
    <row r="3268" spans="1:21" ht="15" customHeight="1" x14ac:dyDescent="0.2">
      <c r="A3268" t="s">
        <v>3574</v>
      </c>
      <c r="B3268" t="s">
        <v>221</v>
      </c>
      <c r="C3268" t="s">
        <v>53</v>
      </c>
      <c r="D3268" s="49">
        <v>45827</v>
      </c>
      <c r="E3268" s="49">
        <v>45830</v>
      </c>
      <c r="F3268" s="49">
        <v>45837</v>
      </c>
      <c r="G3268" s="49">
        <v>45846</v>
      </c>
      <c r="H3268" s="49">
        <v>45854</v>
      </c>
      <c r="I3268" s="49">
        <v>45859</v>
      </c>
      <c r="J3268" t="s">
        <v>47</v>
      </c>
      <c r="K3268" s="33">
        <v>4600</v>
      </c>
      <c r="M3268" t="str">
        <f>_xlfn.XLOOKUP(Pipeline_tbl[[#This Row],[Rep_ID]],Dim_Reps!A:A,Dim_Reps!K:K)</f>
        <v>MXN</v>
      </c>
      <c r="N3268" s="33">
        <f>(_xlfn.XLOOKUP(Pipeline_tbl[[#This Row],[Rate_Code_Generalized]],Lookups!A:A,Lookups!B:B))*Pipeline_tbl[[#This Row],[Pipeline_Amount_USD]]</f>
        <v>90770.420000000013</v>
      </c>
      <c r="O3268" t="str">
        <f>_xlfn.XLOOKUP(Pipeline_tbl[[#This Row],[Rep_ID]],Dim_Reps!A:A,Dim_Reps!B:B)</f>
        <v>Casey Muller</v>
      </c>
      <c r="P3268" t="str">
        <f>_xlfn.XLOOKUP(Pipeline_tbl[[#This Row],[Rep_ID]],Dim_Reps!A:A,Dim_Reps!C:C)</f>
        <v>SDR / Inside Sales Rep</v>
      </c>
      <c r="Q3268" t="str">
        <f>_xlfn.XLOOKUP(Pipeline_tbl[[#This Row],[Rep_ID]],Dim_Reps!A:A,Dim_Reps!D:D)</f>
        <v>Inside Sales</v>
      </c>
      <c r="R3268" t="str">
        <f>_xlfn.XLOOKUP(Pipeline_tbl[[#This Row],[Rep_ID]],Dim_Reps!A:A,Dim_Reps!E:E)</f>
        <v>LATAM</v>
      </c>
      <c r="S3268" t="str">
        <f>_xlfn.XLOOKUP(Pipeline_tbl[[#This Row],[Created_Date]],Dim_Date!A:A,Dim_Date!H:H)</f>
        <v>Jun 2025</v>
      </c>
      <c r="T3268" t="str">
        <f>IF(Pipeline_tbl[[#This Row],[Closed_Date]]=0,"",(_xlfn.XLOOKUP(Pipeline_tbl[[#This Row],[Closed_Date]],Dim_Date!A:A,Dim_Date!H:H)))</f>
        <v>Jul 2025</v>
      </c>
      <c r="U3268">
        <f>IF(Pipeline_tbl[[#This Row],[Closed_Date]]=0,"",Pipeline_tbl[[#This Row],[Closed_Date]]-Pipeline_tbl[[#This Row],[Created_Date]])</f>
        <v>32</v>
      </c>
    </row>
    <row r="3269" spans="1:21" ht="15" customHeight="1" x14ac:dyDescent="0.2">
      <c r="A3269" t="s">
        <v>3575</v>
      </c>
      <c r="B3269" t="s">
        <v>221</v>
      </c>
      <c r="C3269" t="s">
        <v>52</v>
      </c>
      <c r="D3269" s="49">
        <v>45827</v>
      </c>
      <c r="E3269" s="49">
        <v>45830</v>
      </c>
      <c r="F3269" s="49">
        <v>45835</v>
      </c>
      <c r="G3269" s="49">
        <v>45843</v>
      </c>
      <c r="I3269" s="49">
        <v>45853</v>
      </c>
      <c r="J3269" t="s">
        <v>49</v>
      </c>
      <c r="K3269" s="33">
        <v>7000</v>
      </c>
      <c r="L3269" t="s">
        <v>61</v>
      </c>
      <c r="M3269" t="str">
        <f>_xlfn.XLOOKUP(Pipeline_tbl[[#This Row],[Rep_ID]],Dim_Reps!A:A,Dim_Reps!K:K)</f>
        <v>MXN</v>
      </c>
      <c r="N3269" s="33">
        <f>(_xlfn.XLOOKUP(Pipeline_tbl[[#This Row],[Rate_Code_Generalized]],Lookups!A:A,Lookups!B:B))*Pipeline_tbl[[#This Row],[Pipeline_Amount_USD]]</f>
        <v>138128.9</v>
      </c>
      <c r="O3269" t="str">
        <f>_xlfn.XLOOKUP(Pipeline_tbl[[#This Row],[Rep_ID]],Dim_Reps!A:A,Dim_Reps!B:B)</f>
        <v>Casey Muller</v>
      </c>
      <c r="P3269" t="str">
        <f>_xlfn.XLOOKUP(Pipeline_tbl[[#This Row],[Rep_ID]],Dim_Reps!A:A,Dim_Reps!C:C)</f>
        <v>SDR / Inside Sales Rep</v>
      </c>
      <c r="Q3269" t="str">
        <f>_xlfn.XLOOKUP(Pipeline_tbl[[#This Row],[Rep_ID]],Dim_Reps!A:A,Dim_Reps!D:D)</f>
        <v>Inside Sales</v>
      </c>
      <c r="R3269" t="str">
        <f>_xlfn.XLOOKUP(Pipeline_tbl[[#This Row],[Rep_ID]],Dim_Reps!A:A,Dim_Reps!E:E)</f>
        <v>LATAM</v>
      </c>
      <c r="S3269" t="str">
        <f>_xlfn.XLOOKUP(Pipeline_tbl[[#This Row],[Created_Date]],Dim_Date!A:A,Dim_Date!H:H)</f>
        <v>Jun 2025</v>
      </c>
      <c r="T3269" t="str">
        <f>IF(Pipeline_tbl[[#This Row],[Closed_Date]]=0,"",(_xlfn.XLOOKUP(Pipeline_tbl[[#This Row],[Closed_Date]],Dim_Date!A:A,Dim_Date!H:H)))</f>
        <v>Jul 2025</v>
      </c>
      <c r="U3269">
        <f>IF(Pipeline_tbl[[#This Row],[Closed_Date]]=0,"",Pipeline_tbl[[#This Row],[Closed_Date]]-Pipeline_tbl[[#This Row],[Created_Date]])</f>
        <v>26</v>
      </c>
    </row>
    <row r="3270" spans="1:21" ht="15" customHeight="1" x14ac:dyDescent="0.2">
      <c r="A3270" t="s">
        <v>3576</v>
      </c>
      <c r="B3270" t="s">
        <v>257</v>
      </c>
      <c r="C3270" t="s">
        <v>53</v>
      </c>
      <c r="D3270" s="49">
        <v>45816</v>
      </c>
      <c r="E3270" s="49">
        <v>45819</v>
      </c>
      <c r="F3270" s="49">
        <v>45824</v>
      </c>
      <c r="G3270" s="49">
        <v>45832</v>
      </c>
      <c r="H3270" s="49">
        <v>45838</v>
      </c>
      <c r="I3270" s="49">
        <v>45842</v>
      </c>
      <c r="J3270" t="s">
        <v>47</v>
      </c>
      <c r="K3270" s="33">
        <v>16600</v>
      </c>
      <c r="M3270" t="str">
        <f>_xlfn.XLOOKUP(Pipeline_tbl[[#This Row],[Rep_ID]],Dim_Reps!A:A,Dim_Reps!K:K)</f>
        <v>EUR</v>
      </c>
      <c r="N3270" s="33">
        <f>(_xlfn.XLOOKUP(Pipeline_tbl[[#This Row],[Rate_Code_Generalized]],Lookups!A:A,Lookups!B:B))*Pipeline_tbl[[#This Row],[Pipeline_Amount_USD]]</f>
        <v>16600</v>
      </c>
      <c r="O3270" t="str">
        <f>_xlfn.XLOOKUP(Pipeline_tbl[[#This Row],[Rep_ID]],Dim_Reps!A:A,Dim_Reps!B:B)</f>
        <v>Ana Kim</v>
      </c>
      <c r="P3270" t="str">
        <f>_xlfn.XLOOKUP(Pipeline_tbl[[#This Row],[Rep_ID]],Dim_Reps!A:A,Dim_Reps!C:C)</f>
        <v>Mid-Market AE</v>
      </c>
      <c r="Q3270" t="str">
        <f>_xlfn.XLOOKUP(Pipeline_tbl[[#This Row],[Rep_ID]],Dim_Reps!A:A,Dim_Reps!D:D)</f>
        <v>Mid-Market</v>
      </c>
      <c r="R3270" t="str">
        <f>_xlfn.XLOOKUP(Pipeline_tbl[[#This Row],[Rep_ID]],Dim_Reps!A:A,Dim_Reps!E:E)</f>
        <v>APAC</v>
      </c>
      <c r="S3270" t="str">
        <f>_xlfn.XLOOKUP(Pipeline_tbl[[#This Row],[Created_Date]],Dim_Date!A:A,Dim_Date!H:H)</f>
        <v>Jun 2025</v>
      </c>
      <c r="T3270" t="str">
        <f>IF(Pipeline_tbl[[#This Row],[Closed_Date]]=0,"",(_xlfn.XLOOKUP(Pipeline_tbl[[#This Row],[Closed_Date]],Dim_Date!A:A,Dim_Date!H:H)))</f>
        <v>Jul 2025</v>
      </c>
      <c r="U3270">
        <f>IF(Pipeline_tbl[[#This Row],[Closed_Date]]=0,"",Pipeline_tbl[[#This Row],[Closed_Date]]-Pipeline_tbl[[#This Row],[Created_Date]])</f>
        <v>26</v>
      </c>
    </row>
    <row r="3271" spans="1:21" ht="15" customHeight="1" x14ac:dyDescent="0.2">
      <c r="A3271" t="s">
        <v>3577</v>
      </c>
      <c r="B3271" t="s">
        <v>259</v>
      </c>
      <c r="C3271" t="s">
        <v>53</v>
      </c>
      <c r="D3271" s="49">
        <v>45824</v>
      </c>
      <c r="E3271" s="49">
        <v>45826</v>
      </c>
      <c r="F3271" s="49">
        <v>45831</v>
      </c>
      <c r="I3271" s="49">
        <v>45846</v>
      </c>
      <c r="J3271" t="s">
        <v>49</v>
      </c>
      <c r="K3271" s="33">
        <v>10700</v>
      </c>
      <c r="L3271" t="s">
        <v>62</v>
      </c>
      <c r="M3271" t="str">
        <f>_xlfn.XLOOKUP(Pipeline_tbl[[#This Row],[Rep_ID]],Dim_Reps!A:A,Dim_Reps!K:K)</f>
        <v>EUR</v>
      </c>
      <c r="N3271" s="33">
        <f>(_xlfn.XLOOKUP(Pipeline_tbl[[#This Row],[Rate_Code_Generalized]],Lookups!A:A,Lookups!B:B))*Pipeline_tbl[[#This Row],[Pipeline_Amount_USD]]</f>
        <v>10700</v>
      </c>
      <c r="O3271" t="str">
        <f>_xlfn.XLOOKUP(Pipeline_tbl[[#This Row],[Rep_ID]],Dim_Reps!A:A,Dim_Reps!B:B)</f>
        <v>Felix Okafor</v>
      </c>
      <c r="P3271" t="str">
        <f>_xlfn.XLOOKUP(Pipeline_tbl[[#This Row],[Rep_ID]],Dim_Reps!A:A,Dim_Reps!C:C)</f>
        <v>Mid-Market AE</v>
      </c>
      <c r="Q3271" t="str">
        <f>_xlfn.XLOOKUP(Pipeline_tbl[[#This Row],[Rep_ID]],Dim_Reps!A:A,Dim_Reps!D:D)</f>
        <v>Mid-Market</v>
      </c>
      <c r="R3271" t="str">
        <f>_xlfn.XLOOKUP(Pipeline_tbl[[#This Row],[Rep_ID]],Dim_Reps!A:A,Dim_Reps!E:E)</f>
        <v>EMEA</v>
      </c>
      <c r="S3271" t="str">
        <f>_xlfn.XLOOKUP(Pipeline_tbl[[#This Row],[Created_Date]],Dim_Date!A:A,Dim_Date!H:H)</f>
        <v>Jun 2025</v>
      </c>
      <c r="T3271" t="str">
        <f>IF(Pipeline_tbl[[#This Row],[Closed_Date]]=0,"",(_xlfn.XLOOKUP(Pipeline_tbl[[#This Row],[Closed_Date]],Dim_Date!A:A,Dim_Date!H:H)))</f>
        <v>Jul 2025</v>
      </c>
      <c r="U3271">
        <f>IF(Pipeline_tbl[[#This Row],[Closed_Date]]=0,"",Pipeline_tbl[[#This Row],[Closed_Date]]-Pipeline_tbl[[#This Row],[Created_Date]])</f>
        <v>22</v>
      </c>
    </row>
    <row r="3272" spans="1:21" ht="15" customHeight="1" x14ac:dyDescent="0.2">
      <c r="A3272" t="s">
        <v>3578</v>
      </c>
      <c r="B3272" t="s">
        <v>259</v>
      </c>
      <c r="C3272" t="s">
        <v>52</v>
      </c>
      <c r="D3272" s="49">
        <v>45838</v>
      </c>
      <c r="E3272" s="49">
        <v>45840</v>
      </c>
      <c r="F3272" s="49">
        <v>45843</v>
      </c>
      <c r="G3272" s="49">
        <v>45848</v>
      </c>
      <c r="I3272" s="49">
        <v>45855</v>
      </c>
      <c r="J3272" t="s">
        <v>49</v>
      </c>
      <c r="K3272" s="33">
        <v>17200</v>
      </c>
      <c r="L3272" t="s">
        <v>62</v>
      </c>
      <c r="M3272" t="str">
        <f>_xlfn.XLOOKUP(Pipeline_tbl[[#This Row],[Rep_ID]],Dim_Reps!A:A,Dim_Reps!K:K)</f>
        <v>EUR</v>
      </c>
      <c r="N3272" s="33">
        <f>(_xlfn.XLOOKUP(Pipeline_tbl[[#This Row],[Rate_Code_Generalized]],Lookups!A:A,Lookups!B:B))*Pipeline_tbl[[#This Row],[Pipeline_Amount_USD]]</f>
        <v>17200</v>
      </c>
      <c r="O3272" t="str">
        <f>_xlfn.XLOOKUP(Pipeline_tbl[[#This Row],[Rep_ID]],Dim_Reps!A:A,Dim_Reps!B:B)</f>
        <v>Felix Okafor</v>
      </c>
      <c r="P3272" t="str">
        <f>_xlfn.XLOOKUP(Pipeline_tbl[[#This Row],[Rep_ID]],Dim_Reps!A:A,Dim_Reps!C:C)</f>
        <v>Mid-Market AE</v>
      </c>
      <c r="Q3272" t="str">
        <f>_xlfn.XLOOKUP(Pipeline_tbl[[#This Row],[Rep_ID]],Dim_Reps!A:A,Dim_Reps!D:D)</f>
        <v>Mid-Market</v>
      </c>
      <c r="R3272" t="str">
        <f>_xlfn.XLOOKUP(Pipeline_tbl[[#This Row],[Rep_ID]],Dim_Reps!A:A,Dim_Reps!E:E)</f>
        <v>EMEA</v>
      </c>
      <c r="S3272" t="str">
        <f>_xlfn.XLOOKUP(Pipeline_tbl[[#This Row],[Created_Date]],Dim_Date!A:A,Dim_Date!H:H)</f>
        <v>Jun 2025</v>
      </c>
      <c r="T3272" t="str">
        <f>IF(Pipeline_tbl[[#This Row],[Closed_Date]]=0,"",(_xlfn.XLOOKUP(Pipeline_tbl[[#This Row],[Closed_Date]],Dim_Date!A:A,Dim_Date!H:H)))</f>
        <v>Jul 2025</v>
      </c>
      <c r="U3272">
        <f>IF(Pipeline_tbl[[#This Row],[Closed_Date]]=0,"",Pipeline_tbl[[#This Row],[Closed_Date]]-Pipeline_tbl[[#This Row],[Created_Date]])</f>
        <v>17</v>
      </c>
    </row>
    <row r="3273" spans="1:21" ht="15" customHeight="1" x14ac:dyDescent="0.2">
      <c r="A3273" t="s">
        <v>3579</v>
      </c>
      <c r="B3273" t="s">
        <v>259</v>
      </c>
      <c r="C3273" t="s">
        <v>52</v>
      </c>
      <c r="D3273" s="49">
        <v>45837</v>
      </c>
      <c r="E3273" s="49">
        <v>45840</v>
      </c>
      <c r="F3273" s="49">
        <v>45845</v>
      </c>
      <c r="G3273" s="49">
        <v>45853</v>
      </c>
      <c r="I3273" s="49">
        <v>45864</v>
      </c>
      <c r="J3273" t="s">
        <v>49</v>
      </c>
      <c r="K3273" s="33">
        <v>7500</v>
      </c>
      <c r="L3273" t="s">
        <v>61</v>
      </c>
      <c r="M3273" t="str">
        <f>_xlfn.XLOOKUP(Pipeline_tbl[[#This Row],[Rep_ID]],Dim_Reps!A:A,Dim_Reps!K:K)</f>
        <v>EUR</v>
      </c>
      <c r="N3273" s="33">
        <f>(_xlfn.XLOOKUP(Pipeline_tbl[[#This Row],[Rate_Code_Generalized]],Lookups!A:A,Lookups!B:B))*Pipeline_tbl[[#This Row],[Pipeline_Amount_USD]]</f>
        <v>7500</v>
      </c>
      <c r="O3273" t="str">
        <f>_xlfn.XLOOKUP(Pipeline_tbl[[#This Row],[Rep_ID]],Dim_Reps!A:A,Dim_Reps!B:B)</f>
        <v>Felix Okafor</v>
      </c>
      <c r="P3273" t="str">
        <f>_xlfn.XLOOKUP(Pipeline_tbl[[#This Row],[Rep_ID]],Dim_Reps!A:A,Dim_Reps!C:C)</f>
        <v>Mid-Market AE</v>
      </c>
      <c r="Q3273" t="str">
        <f>_xlfn.XLOOKUP(Pipeline_tbl[[#This Row],[Rep_ID]],Dim_Reps!A:A,Dim_Reps!D:D)</f>
        <v>Mid-Market</v>
      </c>
      <c r="R3273" t="str">
        <f>_xlfn.XLOOKUP(Pipeline_tbl[[#This Row],[Rep_ID]],Dim_Reps!A:A,Dim_Reps!E:E)</f>
        <v>EMEA</v>
      </c>
      <c r="S3273" t="str">
        <f>_xlfn.XLOOKUP(Pipeline_tbl[[#This Row],[Created_Date]],Dim_Date!A:A,Dim_Date!H:H)</f>
        <v>Jun 2025</v>
      </c>
      <c r="T3273" t="str">
        <f>IF(Pipeline_tbl[[#This Row],[Closed_Date]]=0,"",(_xlfn.XLOOKUP(Pipeline_tbl[[#This Row],[Closed_Date]],Dim_Date!A:A,Dim_Date!H:H)))</f>
        <v>Jul 2025</v>
      </c>
      <c r="U3273">
        <f>IF(Pipeline_tbl[[#This Row],[Closed_Date]]=0,"",Pipeline_tbl[[#This Row],[Closed_Date]]-Pipeline_tbl[[#This Row],[Created_Date]])</f>
        <v>27</v>
      </c>
    </row>
    <row r="3274" spans="1:21" ht="15" customHeight="1" x14ac:dyDescent="0.2">
      <c r="A3274" t="s">
        <v>3580</v>
      </c>
      <c r="B3274" t="s">
        <v>259</v>
      </c>
      <c r="C3274" t="s">
        <v>54</v>
      </c>
      <c r="D3274" s="49">
        <v>45826</v>
      </c>
      <c r="E3274" s="49">
        <v>45828</v>
      </c>
      <c r="F3274" s="49">
        <v>45833</v>
      </c>
      <c r="I3274" s="49">
        <v>45850</v>
      </c>
      <c r="J3274" t="s">
        <v>49</v>
      </c>
      <c r="K3274" s="33">
        <v>6700</v>
      </c>
      <c r="L3274" t="s">
        <v>63</v>
      </c>
      <c r="M3274" t="str">
        <f>_xlfn.XLOOKUP(Pipeline_tbl[[#This Row],[Rep_ID]],Dim_Reps!A:A,Dim_Reps!K:K)</f>
        <v>EUR</v>
      </c>
      <c r="N3274" s="33">
        <f>(_xlfn.XLOOKUP(Pipeline_tbl[[#This Row],[Rate_Code_Generalized]],Lookups!A:A,Lookups!B:B))*Pipeline_tbl[[#This Row],[Pipeline_Amount_USD]]</f>
        <v>6700</v>
      </c>
      <c r="O3274" t="str">
        <f>_xlfn.XLOOKUP(Pipeline_tbl[[#This Row],[Rep_ID]],Dim_Reps!A:A,Dim_Reps!B:B)</f>
        <v>Felix Okafor</v>
      </c>
      <c r="P3274" t="str">
        <f>_xlfn.XLOOKUP(Pipeline_tbl[[#This Row],[Rep_ID]],Dim_Reps!A:A,Dim_Reps!C:C)</f>
        <v>Mid-Market AE</v>
      </c>
      <c r="Q3274" t="str">
        <f>_xlfn.XLOOKUP(Pipeline_tbl[[#This Row],[Rep_ID]],Dim_Reps!A:A,Dim_Reps!D:D)</f>
        <v>Mid-Market</v>
      </c>
      <c r="R3274" t="str">
        <f>_xlfn.XLOOKUP(Pipeline_tbl[[#This Row],[Rep_ID]],Dim_Reps!A:A,Dim_Reps!E:E)</f>
        <v>EMEA</v>
      </c>
      <c r="S3274" t="str">
        <f>_xlfn.XLOOKUP(Pipeline_tbl[[#This Row],[Created_Date]],Dim_Date!A:A,Dim_Date!H:H)</f>
        <v>Jun 2025</v>
      </c>
      <c r="T3274" t="str">
        <f>IF(Pipeline_tbl[[#This Row],[Closed_Date]]=0,"",(_xlfn.XLOOKUP(Pipeline_tbl[[#This Row],[Closed_Date]],Dim_Date!A:A,Dim_Date!H:H)))</f>
        <v>Jul 2025</v>
      </c>
      <c r="U3274">
        <f>IF(Pipeline_tbl[[#This Row],[Closed_Date]]=0,"",Pipeline_tbl[[#This Row],[Closed_Date]]-Pipeline_tbl[[#This Row],[Created_Date]])</f>
        <v>24</v>
      </c>
    </row>
    <row r="3275" spans="1:21" ht="15" customHeight="1" x14ac:dyDescent="0.2">
      <c r="A3275" t="s">
        <v>3581</v>
      </c>
      <c r="B3275" t="s">
        <v>259</v>
      </c>
      <c r="C3275" t="s">
        <v>54</v>
      </c>
      <c r="D3275" s="49">
        <v>45829</v>
      </c>
      <c r="E3275" s="49">
        <v>45833</v>
      </c>
      <c r="F3275" s="49">
        <v>45841</v>
      </c>
      <c r="G3275" s="49">
        <v>45852</v>
      </c>
      <c r="H3275" s="49">
        <v>45862</v>
      </c>
      <c r="I3275" s="49">
        <v>45868</v>
      </c>
      <c r="J3275" t="s">
        <v>47</v>
      </c>
      <c r="K3275" s="33">
        <v>13700</v>
      </c>
      <c r="M3275" t="str">
        <f>_xlfn.XLOOKUP(Pipeline_tbl[[#This Row],[Rep_ID]],Dim_Reps!A:A,Dim_Reps!K:K)</f>
        <v>EUR</v>
      </c>
      <c r="N3275" s="33">
        <f>(_xlfn.XLOOKUP(Pipeline_tbl[[#This Row],[Rate_Code_Generalized]],Lookups!A:A,Lookups!B:B))*Pipeline_tbl[[#This Row],[Pipeline_Amount_USD]]</f>
        <v>13700</v>
      </c>
      <c r="O3275" t="str">
        <f>_xlfn.XLOOKUP(Pipeline_tbl[[#This Row],[Rep_ID]],Dim_Reps!A:A,Dim_Reps!B:B)</f>
        <v>Felix Okafor</v>
      </c>
      <c r="P3275" t="str">
        <f>_xlfn.XLOOKUP(Pipeline_tbl[[#This Row],[Rep_ID]],Dim_Reps!A:A,Dim_Reps!C:C)</f>
        <v>Mid-Market AE</v>
      </c>
      <c r="Q3275" t="str">
        <f>_xlfn.XLOOKUP(Pipeline_tbl[[#This Row],[Rep_ID]],Dim_Reps!A:A,Dim_Reps!D:D)</f>
        <v>Mid-Market</v>
      </c>
      <c r="R3275" t="str">
        <f>_xlfn.XLOOKUP(Pipeline_tbl[[#This Row],[Rep_ID]],Dim_Reps!A:A,Dim_Reps!E:E)</f>
        <v>EMEA</v>
      </c>
      <c r="S3275" t="str">
        <f>_xlfn.XLOOKUP(Pipeline_tbl[[#This Row],[Created_Date]],Dim_Date!A:A,Dim_Date!H:H)</f>
        <v>Jun 2025</v>
      </c>
      <c r="T3275" t="str">
        <f>IF(Pipeline_tbl[[#This Row],[Closed_Date]]=0,"",(_xlfn.XLOOKUP(Pipeline_tbl[[#This Row],[Closed_Date]],Dim_Date!A:A,Dim_Date!H:H)))</f>
        <v>Jul 2025</v>
      </c>
      <c r="U3275">
        <f>IF(Pipeline_tbl[[#This Row],[Closed_Date]]=0,"",Pipeline_tbl[[#This Row],[Closed_Date]]-Pipeline_tbl[[#This Row],[Created_Date]])</f>
        <v>39</v>
      </c>
    </row>
    <row r="3276" spans="1:21" ht="15" customHeight="1" x14ac:dyDescent="0.2">
      <c r="A3276" t="s">
        <v>3582</v>
      </c>
      <c r="B3276" t="s">
        <v>259</v>
      </c>
      <c r="C3276" t="s">
        <v>55</v>
      </c>
      <c r="D3276" s="49">
        <v>45810</v>
      </c>
      <c r="E3276" s="49">
        <v>45815</v>
      </c>
      <c r="F3276" s="49">
        <v>45824</v>
      </c>
      <c r="G3276" s="49">
        <v>45838</v>
      </c>
      <c r="I3276" s="49">
        <v>45856</v>
      </c>
      <c r="J3276" t="s">
        <v>49</v>
      </c>
      <c r="K3276" s="33">
        <v>16400</v>
      </c>
      <c r="L3276" t="s">
        <v>64</v>
      </c>
      <c r="M3276" t="str">
        <f>_xlfn.XLOOKUP(Pipeline_tbl[[#This Row],[Rep_ID]],Dim_Reps!A:A,Dim_Reps!K:K)</f>
        <v>EUR</v>
      </c>
      <c r="N3276" s="33">
        <f>(_xlfn.XLOOKUP(Pipeline_tbl[[#This Row],[Rate_Code_Generalized]],Lookups!A:A,Lookups!B:B))*Pipeline_tbl[[#This Row],[Pipeline_Amount_USD]]</f>
        <v>16400</v>
      </c>
      <c r="O3276" t="str">
        <f>_xlfn.XLOOKUP(Pipeline_tbl[[#This Row],[Rep_ID]],Dim_Reps!A:A,Dim_Reps!B:B)</f>
        <v>Felix Okafor</v>
      </c>
      <c r="P3276" t="str">
        <f>_xlfn.XLOOKUP(Pipeline_tbl[[#This Row],[Rep_ID]],Dim_Reps!A:A,Dim_Reps!C:C)</f>
        <v>Mid-Market AE</v>
      </c>
      <c r="Q3276" t="str">
        <f>_xlfn.XLOOKUP(Pipeline_tbl[[#This Row],[Rep_ID]],Dim_Reps!A:A,Dim_Reps!D:D)</f>
        <v>Mid-Market</v>
      </c>
      <c r="R3276" t="str">
        <f>_xlfn.XLOOKUP(Pipeline_tbl[[#This Row],[Rep_ID]],Dim_Reps!A:A,Dim_Reps!E:E)</f>
        <v>EMEA</v>
      </c>
      <c r="S3276" t="str">
        <f>_xlfn.XLOOKUP(Pipeline_tbl[[#This Row],[Created_Date]],Dim_Date!A:A,Dim_Date!H:H)</f>
        <v>Jun 2025</v>
      </c>
      <c r="T3276" t="str">
        <f>IF(Pipeline_tbl[[#This Row],[Closed_Date]]=0,"",(_xlfn.XLOOKUP(Pipeline_tbl[[#This Row],[Closed_Date]],Dim_Date!A:A,Dim_Date!H:H)))</f>
        <v>Jul 2025</v>
      </c>
      <c r="U3276">
        <f>IF(Pipeline_tbl[[#This Row],[Closed_Date]]=0,"",Pipeline_tbl[[#This Row],[Closed_Date]]-Pipeline_tbl[[#This Row],[Created_Date]])</f>
        <v>46</v>
      </c>
    </row>
    <row r="3277" spans="1:21" ht="15" customHeight="1" x14ac:dyDescent="0.2">
      <c r="A3277" t="s">
        <v>3583</v>
      </c>
      <c r="B3277" t="s">
        <v>259</v>
      </c>
      <c r="C3277" t="s">
        <v>52</v>
      </c>
      <c r="D3277" s="49">
        <v>45825</v>
      </c>
      <c r="E3277" s="49">
        <v>45828</v>
      </c>
      <c r="F3277" s="49">
        <v>45835</v>
      </c>
      <c r="G3277" s="49">
        <v>45845</v>
      </c>
      <c r="H3277" s="49">
        <v>45854</v>
      </c>
      <c r="I3277" s="49">
        <v>45859</v>
      </c>
      <c r="J3277" t="s">
        <v>47</v>
      </c>
      <c r="K3277" s="33">
        <v>9100</v>
      </c>
      <c r="M3277" t="str">
        <f>_xlfn.XLOOKUP(Pipeline_tbl[[#This Row],[Rep_ID]],Dim_Reps!A:A,Dim_Reps!K:K)</f>
        <v>EUR</v>
      </c>
      <c r="N3277" s="33">
        <f>(_xlfn.XLOOKUP(Pipeline_tbl[[#This Row],[Rate_Code_Generalized]],Lookups!A:A,Lookups!B:B))*Pipeline_tbl[[#This Row],[Pipeline_Amount_USD]]</f>
        <v>9100</v>
      </c>
      <c r="O3277" t="str">
        <f>_xlfn.XLOOKUP(Pipeline_tbl[[#This Row],[Rep_ID]],Dim_Reps!A:A,Dim_Reps!B:B)</f>
        <v>Felix Okafor</v>
      </c>
      <c r="P3277" t="str">
        <f>_xlfn.XLOOKUP(Pipeline_tbl[[#This Row],[Rep_ID]],Dim_Reps!A:A,Dim_Reps!C:C)</f>
        <v>Mid-Market AE</v>
      </c>
      <c r="Q3277" t="str">
        <f>_xlfn.XLOOKUP(Pipeline_tbl[[#This Row],[Rep_ID]],Dim_Reps!A:A,Dim_Reps!D:D)</f>
        <v>Mid-Market</v>
      </c>
      <c r="R3277" t="str">
        <f>_xlfn.XLOOKUP(Pipeline_tbl[[#This Row],[Rep_ID]],Dim_Reps!A:A,Dim_Reps!E:E)</f>
        <v>EMEA</v>
      </c>
      <c r="S3277" t="str">
        <f>_xlfn.XLOOKUP(Pipeline_tbl[[#This Row],[Created_Date]],Dim_Date!A:A,Dim_Date!H:H)</f>
        <v>Jun 2025</v>
      </c>
      <c r="T3277" t="str">
        <f>IF(Pipeline_tbl[[#This Row],[Closed_Date]]=0,"",(_xlfn.XLOOKUP(Pipeline_tbl[[#This Row],[Closed_Date]],Dim_Date!A:A,Dim_Date!H:H)))</f>
        <v>Jul 2025</v>
      </c>
      <c r="U3277">
        <f>IF(Pipeline_tbl[[#This Row],[Closed_Date]]=0,"",Pipeline_tbl[[#This Row],[Closed_Date]]-Pipeline_tbl[[#This Row],[Created_Date]])</f>
        <v>34</v>
      </c>
    </row>
    <row r="3278" spans="1:21" ht="15" customHeight="1" x14ac:dyDescent="0.2">
      <c r="A3278" t="s">
        <v>3584</v>
      </c>
      <c r="B3278" t="s">
        <v>223</v>
      </c>
      <c r="C3278" t="s">
        <v>55</v>
      </c>
      <c r="D3278" s="49">
        <v>45821</v>
      </c>
      <c r="E3278" s="49">
        <v>45823</v>
      </c>
      <c r="F3278" s="49">
        <v>45826</v>
      </c>
      <c r="I3278" s="49">
        <v>45839</v>
      </c>
      <c r="J3278" t="s">
        <v>49</v>
      </c>
      <c r="K3278" s="33">
        <v>3000</v>
      </c>
      <c r="L3278" t="s">
        <v>60</v>
      </c>
      <c r="M3278" t="str">
        <f>_xlfn.XLOOKUP(Pipeline_tbl[[#This Row],[Rep_ID]],Dim_Reps!A:A,Dim_Reps!K:K)</f>
        <v>MXN</v>
      </c>
      <c r="N3278" s="33">
        <f>(_xlfn.XLOOKUP(Pipeline_tbl[[#This Row],[Rate_Code_Generalized]],Lookups!A:A,Lookups!B:B))*Pipeline_tbl[[#This Row],[Pipeline_Amount_USD]]</f>
        <v>59198.100000000006</v>
      </c>
      <c r="O3278" t="str">
        <f>_xlfn.XLOOKUP(Pipeline_tbl[[#This Row],[Rep_ID]],Dim_Reps!A:A,Dim_Reps!B:B)</f>
        <v>Lea Petrov</v>
      </c>
      <c r="P3278" t="str">
        <f>_xlfn.XLOOKUP(Pipeline_tbl[[#This Row],[Rep_ID]],Dim_Reps!A:A,Dim_Reps!C:C)</f>
        <v>SDR / Inside Sales Rep</v>
      </c>
      <c r="Q3278" t="str">
        <f>_xlfn.XLOOKUP(Pipeline_tbl[[#This Row],[Rep_ID]],Dim_Reps!A:A,Dim_Reps!D:D)</f>
        <v>Inside Sales</v>
      </c>
      <c r="R3278" t="str">
        <f>_xlfn.XLOOKUP(Pipeline_tbl[[#This Row],[Rep_ID]],Dim_Reps!A:A,Dim_Reps!E:E)</f>
        <v>LATAM</v>
      </c>
      <c r="S3278" t="str">
        <f>_xlfn.XLOOKUP(Pipeline_tbl[[#This Row],[Created_Date]],Dim_Date!A:A,Dim_Date!H:H)</f>
        <v>Jun 2025</v>
      </c>
      <c r="T3278" t="str">
        <f>IF(Pipeline_tbl[[#This Row],[Closed_Date]]=0,"",(_xlfn.XLOOKUP(Pipeline_tbl[[#This Row],[Closed_Date]],Dim_Date!A:A,Dim_Date!H:H)))</f>
        <v>Jul 2025</v>
      </c>
      <c r="U3278">
        <f>IF(Pipeline_tbl[[#This Row],[Closed_Date]]=0,"",Pipeline_tbl[[#This Row],[Closed_Date]]-Pipeline_tbl[[#This Row],[Created_Date]])</f>
        <v>18</v>
      </c>
    </row>
    <row r="3279" spans="1:21" ht="15" customHeight="1" x14ac:dyDescent="0.2">
      <c r="A3279" t="s">
        <v>3585</v>
      </c>
      <c r="B3279" t="s">
        <v>223</v>
      </c>
      <c r="C3279" t="s">
        <v>52</v>
      </c>
      <c r="D3279" s="49">
        <v>45823</v>
      </c>
      <c r="E3279" s="49">
        <v>45825</v>
      </c>
      <c r="F3279" s="49">
        <v>45830</v>
      </c>
      <c r="I3279" s="49">
        <v>45847</v>
      </c>
      <c r="J3279" t="s">
        <v>49</v>
      </c>
      <c r="K3279" s="33">
        <v>4700</v>
      </c>
      <c r="L3279" t="s">
        <v>62</v>
      </c>
      <c r="M3279" t="str">
        <f>_xlfn.XLOOKUP(Pipeline_tbl[[#This Row],[Rep_ID]],Dim_Reps!A:A,Dim_Reps!K:K)</f>
        <v>MXN</v>
      </c>
      <c r="N3279" s="33">
        <f>(_xlfn.XLOOKUP(Pipeline_tbl[[#This Row],[Rate_Code_Generalized]],Lookups!A:A,Lookups!B:B))*Pipeline_tbl[[#This Row],[Pipeline_Amount_USD]]</f>
        <v>92743.69</v>
      </c>
      <c r="O3279" t="str">
        <f>_xlfn.XLOOKUP(Pipeline_tbl[[#This Row],[Rep_ID]],Dim_Reps!A:A,Dim_Reps!B:B)</f>
        <v>Lea Petrov</v>
      </c>
      <c r="P3279" t="str">
        <f>_xlfn.XLOOKUP(Pipeline_tbl[[#This Row],[Rep_ID]],Dim_Reps!A:A,Dim_Reps!C:C)</f>
        <v>SDR / Inside Sales Rep</v>
      </c>
      <c r="Q3279" t="str">
        <f>_xlfn.XLOOKUP(Pipeline_tbl[[#This Row],[Rep_ID]],Dim_Reps!A:A,Dim_Reps!D:D)</f>
        <v>Inside Sales</v>
      </c>
      <c r="R3279" t="str">
        <f>_xlfn.XLOOKUP(Pipeline_tbl[[#This Row],[Rep_ID]],Dim_Reps!A:A,Dim_Reps!E:E)</f>
        <v>LATAM</v>
      </c>
      <c r="S3279" t="str">
        <f>_xlfn.XLOOKUP(Pipeline_tbl[[#This Row],[Created_Date]],Dim_Date!A:A,Dim_Date!H:H)</f>
        <v>Jun 2025</v>
      </c>
      <c r="T3279" t="str">
        <f>IF(Pipeline_tbl[[#This Row],[Closed_Date]]=0,"",(_xlfn.XLOOKUP(Pipeline_tbl[[#This Row],[Closed_Date]],Dim_Date!A:A,Dim_Date!H:H)))</f>
        <v>Jul 2025</v>
      </c>
      <c r="U3279">
        <f>IF(Pipeline_tbl[[#This Row],[Closed_Date]]=0,"",Pipeline_tbl[[#This Row],[Closed_Date]]-Pipeline_tbl[[#This Row],[Created_Date]])</f>
        <v>24</v>
      </c>
    </row>
    <row r="3280" spans="1:21" ht="15" customHeight="1" x14ac:dyDescent="0.2">
      <c r="A3280" t="s">
        <v>3586</v>
      </c>
      <c r="B3280" t="s">
        <v>223</v>
      </c>
      <c r="C3280" t="s">
        <v>53</v>
      </c>
      <c r="D3280" s="49">
        <v>45827</v>
      </c>
      <c r="E3280" s="49">
        <v>45829</v>
      </c>
      <c r="F3280" s="49">
        <v>45835</v>
      </c>
      <c r="G3280" s="49">
        <v>45842</v>
      </c>
      <c r="H3280" s="49">
        <v>45848</v>
      </c>
      <c r="I3280" s="49">
        <v>45852</v>
      </c>
      <c r="J3280" t="s">
        <v>49</v>
      </c>
      <c r="K3280" s="33">
        <v>6600</v>
      </c>
      <c r="L3280" t="s">
        <v>60</v>
      </c>
      <c r="M3280" t="str">
        <f>_xlfn.XLOOKUP(Pipeline_tbl[[#This Row],[Rep_ID]],Dim_Reps!A:A,Dim_Reps!K:K)</f>
        <v>MXN</v>
      </c>
      <c r="N3280" s="33">
        <f>(_xlfn.XLOOKUP(Pipeline_tbl[[#This Row],[Rate_Code_Generalized]],Lookups!A:A,Lookups!B:B))*Pipeline_tbl[[#This Row],[Pipeline_Amount_USD]]</f>
        <v>130235.82</v>
      </c>
      <c r="O3280" t="str">
        <f>_xlfn.XLOOKUP(Pipeline_tbl[[#This Row],[Rep_ID]],Dim_Reps!A:A,Dim_Reps!B:B)</f>
        <v>Lea Petrov</v>
      </c>
      <c r="P3280" t="str">
        <f>_xlfn.XLOOKUP(Pipeline_tbl[[#This Row],[Rep_ID]],Dim_Reps!A:A,Dim_Reps!C:C)</f>
        <v>SDR / Inside Sales Rep</v>
      </c>
      <c r="Q3280" t="str">
        <f>_xlfn.XLOOKUP(Pipeline_tbl[[#This Row],[Rep_ID]],Dim_Reps!A:A,Dim_Reps!D:D)</f>
        <v>Inside Sales</v>
      </c>
      <c r="R3280" t="str">
        <f>_xlfn.XLOOKUP(Pipeline_tbl[[#This Row],[Rep_ID]],Dim_Reps!A:A,Dim_Reps!E:E)</f>
        <v>LATAM</v>
      </c>
      <c r="S3280" t="str">
        <f>_xlfn.XLOOKUP(Pipeline_tbl[[#This Row],[Created_Date]],Dim_Date!A:A,Dim_Date!H:H)</f>
        <v>Jun 2025</v>
      </c>
      <c r="T3280" t="str">
        <f>IF(Pipeline_tbl[[#This Row],[Closed_Date]]=0,"",(_xlfn.XLOOKUP(Pipeline_tbl[[#This Row],[Closed_Date]],Dim_Date!A:A,Dim_Date!H:H)))</f>
        <v>Jul 2025</v>
      </c>
      <c r="U3280">
        <f>IF(Pipeline_tbl[[#This Row],[Closed_Date]]=0,"",Pipeline_tbl[[#This Row],[Closed_Date]]-Pipeline_tbl[[#This Row],[Created_Date]])</f>
        <v>25</v>
      </c>
    </row>
    <row r="3281" spans="1:21" ht="15" customHeight="1" x14ac:dyDescent="0.2">
      <c r="A3281" t="s">
        <v>3587</v>
      </c>
      <c r="B3281" t="s">
        <v>223</v>
      </c>
      <c r="C3281" t="s">
        <v>53</v>
      </c>
      <c r="D3281" s="49">
        <v>45816</v>
      </c>
      <c r="E3281" s="49">
        <v>45819</v>
      </c>
      <c r="F3281" s="49">
        <v>45824</v>
      </c>
      <c r="G3281" s="49">
        <v>45833</v>
      </c>
      <c r="I3281" s="49">
        <v>45844</v>
      </c>
      <c r="J3281" t="s">
        <v>49</v>
      </c>
      <c r="K3281" s="33">
        <v>2800</v>
      </c>
      <c r="L3281" t="s">
        <v>60</v>
      </c>
      <c r="M3281" t="str">
        <f>_xlfn.XLOOKUP(Pipeline_tbl[[#This Row],[Rep_ID]],Dim_Reps!A:A,Dim_Reps!K:K)</f>
        <v>MXN</v>
      </c>
      <c r="N3281" s="33">
        <f>(_xlfn.XLOOKUP(Pipeline_tbl[[#This Row],[Rate_Code_Generalized]],Lookups!A:A,Lookups!B:B))*Pipeline_tbl[[#This Row],[Pipeline_Amount_USD]]</f>
        <v>55251.560000000005</v>
      </c>
      <c r="O3281" t="str">
        <f>_xlfn.XLOOKUP(Pipeline_tbl[[#This Row],[Rep_ID]],Dim_Reps!A:A,Dim_Reps!B:B)</f>
        <v>Lea Petrov</v>
      </c>
      <c r="P3281" t="str">
        <f>_xlfn.XLOOKUP(Pipeline_tbl[[#This Row],[Rep_ID]],Dim_Reps!A:A,Dim_Reps!C:C)</f>
        <v>SDR / Inside Sales Rep</v>
      </c>
      <c r="Q3281" t="str">
        <f>_xlfn.XLOOKUP(Pipeline_tbl[[#This Row],[Rep_ID]],Dim_Reps!A:A,Dim_Reps!D:D)</f>
        <v>Inside Sales</v>
      </c>
      <c r="R3281" t="str">
        <f>_xlfn.XLOOKUP(Pipeline_tbl[[#This Row],[Rep_ID]],Dim_Reps!A:A,Dim_Reps!E:E)</f>
        <v>LATAM</v>
      </c>
      <c r="S3281" t="str">
        <f>_xlfn.XLOOKUP(Pipeline_tbl[[#This Row],[Created_Date]],Dim_Date!A:A,Dim_Date!H:H)</f>
        <v>Jun 2025</v>
      </c>
      <c r="T3281" t="str">
        <f>IF(Pipeline_tbl[[#This Row],[Closed_Date]]=0,"",(_xlfn.XLOOKUP(Pipeline_tbl[[#This Row],[Closed_Date]],Dim_Date!A:A,Dim_Date!H:H)))</f>
        <v>Jul 2025</v>
      </c>
      <c r="U3281">
        <f>IF(Pipeline_tbl[[#This Row],[Closed_Date]]=0,"",Pipeline_tbl[[#This Row],[Closed_Date]]-Pipeline_tbl[[#This Row],[Created_Date]])</f>
        <v>28</v>
      </c>
    </row>
    <row r="3282" spans="1:21" ht="15" customHeight="1" x14ac:dyDescent="0.2">
      <c r="A3282" t="s">
        <v>3588</v>
      </c>
      <c r="B3282" t="s">
        <v>223</v>
      </c>
      <c r="C3282" t="s">
        <v>53</v>
      </c>
      <c r="D3282" s="49">
        <v>45831</v>
      </c>
      <c r="E3282" s="49">
        <v>45833</v>
      </c>
      <c r="F3282" s="49">
        <v>45837</v>
      </c>
      <c r="G3282" s="49">
        <v>45843</v>
      </c>
      <c r="H3282" s="49">
        <v>45848</v>
      </c>
      <c r="I3282" s="49">
        <v>45851</v>
      </c>
      <c r="J3282" t="s">
        <v>47</v>
      </c>
      <c r="K3282" s="33">
        <v>2800</v>
      </c>
      <c r="M3282" t="str">
        <f>_xlfn.XLOOKUP(Pipeline_tbl[[#This Row],[Rep_ID]],Dim_Reps!A:A,Dim_Reps!K:K)</f>
        <v>MXN</v>
      </c>
      <c r="N3282" s="33">
        <f>(_xlfn.XLOOKUP(Pipeline_tbl[[#This Row],[Rate_Code_Generalized]],Lookups!A:A,Lookups!B:B))*Pipeline_tbl[[#This Row],[Pipeline_Amount_USD]]</f>
        <v>55251.560000000005</v>
      </c>
      <c r="O3282" t="str">
        <f>_xlfn.XLOOKUP(Pipeline_tbl[[#This Row],[Rep_ID]],Dim_Reps!A:A,Dim_Reps!B:B)</f>
        <v>Lea Petrov</v>
      </c>
      <c r="P3282" t="str">
        <f>_xlfn.XLOOKUP(Pipeline_tbl[[#This Row],[Rep_ID]],Dim_Reps!A:A,Dim_Reps!C:C)</f>
        <v>SDR / Inside Sales Rep</v>
      </c>
      <c r="Q3282" t="str">
        <f>_xlfn.XLOOKUP(Pipeline_tbl[[#This Row],[Rep_ID]],Dim_Reps!A:A,Dim_Reps!D:D)</f>
        <v>Inside Sales</v>
      </c>
      <c r="R3282" t="str">
        <f>_xlfn.XLOOKUP(Pipeline_tbl[[#This Row],[Rep_ID]],Dim_Reps!A:A,Dim_Reps!E:E)</f>
        <v>LATAM</v>
      </c>
      <c r="S3282" t="str">
        <f>_xlfn.XLOOKUP(Pipeline_tbl[[#This Row],[Created_Date]],Dim_Date!A:A,Dim_Date!H:H)</f>
        <v>Jun 2025</v>
      </c>
      <c r="T3282" t="str">
        <f>IF(Pipeline_tbl[[#This Row],[Closed_Date]]=0,"",(_xlfn.XLOOKUP(Pipeline_tbl[[#This Row],[Closed_Date]],Dim_Date!A:A,Dim_Date!H:H)))</f>
        <v>Jul 2025</v>
      </c>
      <c r="U3282">
        <f>IF(Pipeline_tbl[[#This Row],[Closed_Date]]=0,"",Pipeline_tbl[[#This Row],[Closed_Date]]-Pipeline_tbl[[#This Row],[Created_Date]])</f>
        <v>20</v>
      </c>
    </row>
    <row r="3283" spans="1:21" ht="15" customHeight="1" x14ac:dyDescent="0.2">
      <c r="A3283" t="s">
        <v>3589</v>
      </c>
      <c r="B3283" t="s">
        <v>261</v>
      </c>
      <c r="C3283" t="s">
        <v>52</v>
      </c>
      <c r="D3283" s="49">
        <v>45836</v>
      </c>
      <c r="E3283" s="49">
        <v>45838</v>
      </c>
      <c r="F3283" s="49">
        <v>45842</v>
      </c>
      <c r="G3283" s="49">
        <v>45847</v>
      </c>
      <c r="H3283" s="49">
        <v>45852</v>
      </c>
      <c r="I3283" s="49">
        <v>45855</v>
      </c>
      <c r="J3283" t="s">
        <v>49</v>
      </c>
      <c r="K3283" s="33">
        <v>8800</v>
      </c>
      <c r="L3283" t="s">
        <v>62</v>
      </c>
      <c r="M3283" t="str">
        <f>_xlfn.XLOOKUP(Pipeline_tbl[[#This Row],[Rep_ID]],Dim_Reps!A:A,Dim_Reps!K:K)</f>
        <v>USD</v>
      </c>
      <c r="N3283" s="33">
        <f>(_xlfn.XLOOKUP(Pipeline_tbl[[#This Row],[Rate_Code_Generalized]],Lookups!A:A,Lookups!B:B))*Pipeline_tbl[[#This Row],[Pipeline_Amount_USD]]</f>
        <v>10245.839999999998</v>
      </c>
      <c r="O3283" t="str">
        <f>_xlfn.XLOOKUP(Pipeline_tbl[[#This Row],[Rep_ID]],Dim_Reps!A:A,Dim_Reps!B:B)</f>
        <v>Morgan Larsen</v>
      </c>
      <c r="P3283" t="str">
        <f>_xlfn.XLOOKUP(Pipeline_tbl[[#This Row],[Rep_ID]],Dim_Reps!A:A,Dim_Reps!C:C)</f>
        <v>Mid-Market AE</v>
      </c>
      <c r="Q3283" t="str">
        <f>_xlfn.XLOOKUP(Pipeline_tbl[[#This Row],[Rep_ID]],Dim_Reps!A:A,Dim_Reps!D:D)</f>
        <v>Mid-Market</v>
      </c>
      <c r="R3283" t="str">
        <f>_xlfn.XLOOKUP(Pipeline_tbl[[#This Row],[Rep_ID]],Dim_Reps!A:A,Dim_Reps!E:E)</f>
        <v>NAMER</v>
      </c>
      <c r="S3283" t="str">
        <f>_xlfn.XLOOKUP(Pipeline_tbl[[#This Row],[Created_Date]],Dim_Date!A:A,Dim_Date!H:H)</f>
        <v>Jun 2025</v>
      </c>
      <c r="T3283" t="str">
        <f>IF(Pipeline_tbl[[#This Row],[Closed_Date]]=0,"",(_xlfn.XLOOKUP(Pipeline_tbl[[#This Row],[Closed_Date]],Dim_Date!A:A,Dim_Date!H:H)))</f>
        <v>Jul 2025</v>
      </c>
      <c r="U3283">
        <f>IF(Pipeline_tbl[[#This Row],[Closed_Date]]=0,"",Pipeline_tbl[[#This Row],[Closed_Date]]-Pipeline_tbl[[#This Row],[Created_Date]])</f>
        <v>19</v>
      </c>
    </row>
    <row r="3284" spans="1:21" ht="15" customHeight="1" x14ac:dyDescent="0.2">
      <c r="A3284" t="s">
        <v>3590</v>
      </c>
      <c r="B3284" t="s">
        <v>261</v>
      </c>
      <c r="C3284" t="s">
        <v>52</v>
      </c>
      <c r="D3284" s="49">
        <v>45812</v>
      </c>
      <c r="E3284" s="49">
        <v>45815</v>
      </c>
      <c r="F3284" s="49">
        <v>45820</v>
      </c>
      <c r="G3284" s="49">
        <v>45829</v>
      </c>
      <c r="H3284" s="49">
        <v>45836</v>
      </c>
      <c r="I3284" s="49">
        <v>45840</v>
      </c>
      <c r="J3284" t="s">
        <v>47</v>
      </c>
      <c r="K3284" s="33">
        <v>12000</v>
      </c>
      <c r="M3284" t="str">
        <f>_xlfn.XLOOKUP(Pipeline_tbl[[#This Row],[Rep_ID]],Dim_Reps!A:A,Dim_Reps!K:K)</f>
        <v>USD</v>
      </c>
      <c r="N3284" s="33">
        <f>(_xlfn.XLOOKUP(Pipeline_tbl[[#This Row],[Rate_Code_Generalized]],Lookups!A:A,Lookups!B:B))*Pipeline_tbl[[#This Row],[Pipeline_Amount_USD]]</f>
        <v>13971.599999999999</v>
      </c>
      <c r="O3284" t="str">
        <f>_xlfn.XLOOKUP(Pipeline_tbl[[#This Row],[Rep_ID]],Dim_Reps!A:A,Dim_Reps!B:B)</f>
        <v>Morgan Larsen</v>
      </c>
      <c r="P3284" t="str">
        <f>_xlfn.XLOOKUP(Pipeline_tbl[[#This Row],[Rep_ID]],Dim_Reps!A:A,Dim_Reps!C:C)</f>
        <v>Mid-Market AE</v>
      </c>
      <c r="Q3284" t="str">
        <f>_xlfn.XLOOKUP(Pipeline_tbl[[#This Row],[Rep_ID]],Dim_Reps!A:A,Dim_Reps!D:D)</f>
        <v>Mid-Market</v>
      </c>
      <c r="R3284" t="str">
        <f>_xlfn.XLOOKUP(Pipeline_tbl[[#This Row],[Rep_ID]],Dim_Reps!A:A,Dim_Reps!E:E)</f>
        <v>NAMER</v>
      </c>
      <c r="S3284" t="str">
        <f>_xlfn.XLOOKUP(Pipeline_tbl[[#This Row],[Created_Date]],Dim_Date!A:A,Dim_Date!H:H)</f>
        <v>Jun 2025</v>
      </c>
      <c r="T3284" t="str">
        <f>IF(Pipeline_tbl[[#This Row],[Closed_Date]]=0,"",(_xlfn.XLOOKUP(Pipeline_tbl[[#This Row],[Closed_Date]],Dim_Date!A:A,Dim_Date!H:H)))</f>
        <v>Jul 2025</v>
      </c>
      <c r="U3284">
        <f>IF(Pipeline_tbl[[#This Row],[Closed_Date]]=0,"",Pipeline_tbl[[#This Row],[Closed_Date]]-Pipeline_tbl[[#This Row],[Created_Date]])</f>
        <v>28</v>
      </c>
    </row>
    <row r="3285" spans="1:21" ht="15" customHeight="1" x14ac:dyDescent="0.2">
      <c r="A3285" t="s">
        <v>3591</v>
      </c>
      <c r="B3285" t="s">
        <v>225</v>
      </c>
      <c r="C3285" t="s">
        <v>53</v>
      </c>
      <c r="D3285" s="49">
        <v>45831</v>
      </c>
      <c r="E3285" s="49">
        <v>45834</v>
      </c>
      <c r="F3285" s="49">
        <v>45839</v>
      </c>
      <c r="G3285" s="49">
        <v>45847</v>
      </c>
      <c r="H3285" s="49">
        <v>45853</v>
      </c>
      <c r="I3285" s="49">
        <v>45857</v>
      </c>
      <c r="J3285" t="s">
        <v>47</v>
      </c>
      <c r="K3285" s="33">
        <v>4400</v>
      </c>
      <c r="M3285" t="str">
        <f>_xlfn.XLOOKUP(Pipeline_tbl[[#This Row],[Rep_ID]],Dim_Reps!A:A,Dim_Reps!K:K)</f>
        <v>USD</v>
      </c>
      <c r="N3285" s="33">
        <f>(_xlfn.XLOOKUP(Pipeline_tbl[[#This Row],[Rate_Code_Generalized]],Lookups!A:A,Lookups!B:B))*Pipeline_tbl[[#This Row],[Pipeline_Amount_USD]]</f>
        <v>5122.9199999999992</v>
      </c>
      <c r="O3285" t="str">
        <f>_xlfn.XLOOKUP(Pipeline_tbl[[#This Row],[Rep_ID]],Dim_Reps!A:A,Dim_Reps!B:B)</f>
        <v>Alex Muller</v>
      </c>
      <c r="P3285" t="str">
        <f>_xlfn.XLOOKUP(Pipeline_tbl[[#This Row],[Rep_ID]],Dim_Reps!A:A,Dim_Reps!C:C)</f>
        <v>SDR / Inside Sales Rep</v>
      </c>
      <c r="Q3285" t="str">
        <f>_xlfn.XLOOKUP(Pipeline_tbl[[#This Row],[Rep_ID]],Dim_Reps!A:A,Dim_Reps!D:D)</f>
        <v>Inside Sales</v>
      </c>
      <c r="R3285" t="str">
        <f>_xlfn.XLOOKUP(Pipeline_tbl[[#This Row],[Rep_ID]],Dim_Reps!A:A,Dim_Reps!E:E)</f>
        <v>NAMER</v>
      </c>
      <c r="S3285" t="str">
        <f>_xlfn.XLOOKUP(Pipeline_tbl[[#This Row],[Created_Date]],Dim_Date!A:A,Dim_Date!H:H)</f>
        <v>Jun 2025</v>
      </c>
      <c r="T3285" t="str">
        <f>IF(Pipeline_tbl[[#This Row],[Closed_Date]]=0,"",(_xlfn.XLOOKUP(Pipeline_tbl[[#This Row],[Closed_Date]],Dim_Date!A:A,Dim_Date!H:H)))</f>
        <v>Jul 2025</v>
      </c>
      <c r="U3285">
        <f>IF(Pipeline_tbl[[#This Row],[Closed_Date]]=0,"",Pipeline_tbl[[#This Row],[Closed_Date]]-Pipeline_tbl[[#This Row],[Created_Date]])</f>
        <v>26</v>
      </c>
    </row>
    <row r="3286" spans="1:21" ht="15" customHeight="1" x14ac:dyDescent="0.2">
      <c r="A3286" t="s">
        <v>3592</v>
      </c>
      <c r="B3286" t="s">
        <v>225</v>
      </c>
      <c r="C3286" t="s">
        <v>53</v>
      </c>
      <c r="D3286" s="49">
        <v>45824</v>
      </c>
      <c r="E3286" s="49">
        <v>45826</v>
      </c>
      <c r="F3286" s="49">
        <v>45830</v>
      </c>
      <c r="G3286" s="49">
        <v>45837</v>
      </c>
      <c r="I3286" s="49">
        <v>45845</v>
      </c>
      <c r="J3286" t="s">
        <v>49</v>
      </c>
      <c r="K3286" s="33">
        <v>4300</v>
      </c>
      <c r="L3286" t="s">
        <v>63</v>
      </c>
      <c r="M3286" t="str">
        <f>_xlfn.XLOOKUP(Pipeline_tbl[[#This Row],[Rep_ID]],Dim_Reps!A:A,Dim_Reps!K:K)</f>
        <v>USD</v>
      </c>
      <c r="N3286" s="33">
        <f>(_xlfn.XLOOKUP(Pipeline_tbl[[#This Row],[Rate_Code_Generalized]],Lookups!A:A,Lookups!B:B))*Pipeline_tbl[[#This Row],[Pipeline_Amount_USD]]</f>
        <v>5006.49</v>
      </c>
      <c r="O3286" t="str">
        <f>_xlfn.XLOOKUP(Pipeline_tbl[[#This Row],[Rep_ID]],Dim_Reps!A:A,Dim_Reps!B:B)</f>
        <v>Alex Muller</v>
      </c>
      <c r="P3286" t="str">
        <f>_xlfn.XLOOKUP(Pipeline_tbl[[#This Row],[Rep_ID]],Dim_Reps!A:A,Dim_Reps!C:C)</f>
        <v>SDR / Inside Sales Rep</v>
      </c>
      <c r="Q3286" t="str">
        <f>_xlfn.XLOOKUP(Pipeline_tbl[[#This Row],[Rep_ID]],Dim_Reps!A:A,Dim_Reps!D:D)</f>
        <v>Inside Sales</v>
      </c>
      <c r="R3286" t="str">
        <f>_xlfn.XLOOKUP(Pipeline_tbl[[#This Row],[Rep_ID]],Dim_Reps!A:A,Dim_Reps!E:E)</f>
        <v>NAMER</v>
      </c>
      <c r="S3286" t="str">
        <f>_xlfn.XLOOKUP(Pipeline_tbl[[#This Row],[Created_Date]],Dim_Date!A:A,Dim_Date!H:H)</f>
        <v>Jun 2025</v>
      </c>
      <c r="T3286" t="str">
        <f>IF(Pipeline_tbl[[#This Row],[Closed_Date]]=0,"",(_xlfn.XLOOKUP(Pipeline_tbl[[#This Row],[Closed_Date]],Dim_Date!A:A,Dim_Date!H:H)))</f>
        <v>Jul 2025</v>
      </c>
      <c r="U3286">
        <f>IF(Pipeline_tbl[[#This Row],[Closed_Date]]=0,"",Pipeline_tbl[[#This Row],[Closed_Date]]-Pipeline_tbl[[#This Row],[Created_Date]])</f>
        <v>21</v>
      </c>
    </row>
    <row r="3287" spans="1:21" ht="15" customHeight="1" x14ac:dyDescent="0.2">
      <c r="A3287" t="s">
        <v>3593</v>
      </c>
      <c r="B3287" t="s">
        <v>225</v>
      </c>
      <c r="C3287" t="s">
        <v>52</v>
      </c>
      <c r="D3287" s="49">
        <v>45821</v>
      </c>
      <c r="E3287" s="49">
        <v>45823</v>
      </c>
      <c r="F3287" s="49">
        <v>45826</v>
      </c>
      <c r="G3287" s="49">
        <v>45832</v>
      </c>
      <c r="I3287" s="49">
        <v>45839</v>
      </c>
      <c r="J3287" t="s">
        <v>49</v>
      </c>
      <c r="K3287" s="33">
        <v>4900</v>
      </c>
      <c r="L3287" t="s">
        <v>63</v>
      </c>
      <c r="M3287" t="str">
        <f>_xlfn.XLOOKUP(Pipeline_tbl[[#This Row],[Rep_ID]],Dim_Reps!A:A,Dim_Reps!K:K)</f>
        <v>USD</v>
      </c>
      <c r="N3287" s="33">
        <f>(_xlfn.XLOOKUP(Pipeline_tbl[[#This Row],[Rate_Code_Generalized]],Lookups!A:A,Lookups!B:B))*Pipeline_tbl[[#This Row],[Pipeline_Amount_USD]]</f>
        <v>5705.07</v>
      </c>
      <c r="O3287" t="str">
        <f>_xlfn.XLOOKUP(Pipeline_tbl[[#This Row],[Rep_ID]],Dim_Reps!A:A,Dim_Reps!B:B)</f>
        <v>Alex Muller</v>
      </c>
      <c r="P3287" t="str">
        <f>_xlfn.XLOOKUP(Pipeline_tbl[[#This Row],[Rep_ID]],Dim_Reps!A:A,Dim_Reps!C:C)</f>
        <v>SDR / Inside Sales Rep</v>
      </c>
      <c r="Q3287" t="str">
        <f>_xlfn.XLOOKUP(Pipeline_tbl[[#This Row],[Rep_ID]],Dim_Reps!A:A,Dim_Reps!D:D)</f>
        <v>Inside Sales</v>
      </c>
      <c r="R3287" t="str">
        <f>_xlfn.XLOOKUP(Pipeline_tbl[[#This Row],[Rep_ID]],Dim_Reps!A:A,Dim_Reps!E:E)</f>
        <v>NAMER</v>
      </c>
      <c r="S3287" t="str">
        <f>_xlfn.XLOOKUP(Pipeline_tbl[[#This Row],[Created_Date]],Dim_Date!A:A,Dim_Date!H:H)</f>
        <v>Jun 2025</v>
      </c>
      <c r="T3287" t="str">
        <f>IF(Pipeline_tbl[[#This Row],[Closed_Date]]=0,"",(_xlfn.XLOOKUP(Pipeline_tbl[[#This Row],[Closed_Date]],Dim_Date!A:A,Dim_Date!H:H)))</f>
        <v>Jul 2025</v>
      </c>
      <c r="U3287">
        <f>IF(Pipeline_tbl[[#This Row],[Closed_Date]]=0,"",Pipeline_tbl[[#This Row],[Closed_Date]]-Pipeline_tbl[[#This Row],[Created_Date]])</f>
        <v>18</v>
      </c>
    </row>
    <row r="3288" spans="1:21" ht="15" customHeight="1" x14ac:dyDescent="0.2">
      <c r="A3288" t="s">
        <v>3594</v>
      </c>
      <c r="B3288" t="s">
        <v>225</v>
      </c>
      <c r="C3288" t="s">
        <v>52</v>
      </c>
      <c r="D3288" s="49">
        <v>45832</v>
      </c>
      <c r="E3288" s="49">
        <v>45834</v>
      </c>
      <c r="I3288" s="49">
        <v>45851</v>
      </c>
      <c r="J3288" t="s">
        <v>49</v>
      </c>
      <c r="K3288" s="33">
        <v>3600</v>
      </c>
      <c r="L3288" t="s">
        <v>62</v>
      </c>
      <c r="M3288" t="str">
        <f>_xlfn.XLOOKUP(Pipeline_tbl[[#This Row],[Rep_ID]],Dim_Reps!A:A,Dim_Reps!K:K)</f>
        <v>USD</v>
      </c>
      <c r="N3288" s="33">
        <f>(_xlfn.XLOOKUP(Pipeline_tbl[[#This Row],[Rate_Code_Generalized]],Lookups!A:A,Lookups!B:B))*Pipeline_tbl[[#This Row],[Pipeline_Amount_USD]]</f>
        <v>4191.4799999999996</v>
      </c>
      <c r="O3288" t="str">
        <f>_xlfn.XLOOKUP(Pipeline_tbl[[#This Row],[Rep_ID]],Dim_Reps!A:A,Dim_Reps!B:B)</f>
        <v>Alex Muller</v>
      </c>
      <c r="P3288" t="str">
        <f>_xlfn.XLOOKUP(Pipeline_tbl[[#This Row],[Rep_ID]],Dim_Reps!A:A,Dim_Reps!C:C)</f>
        <v>SDR / Inside Sales Rep</v>
      </c>
      <c r="Q3288" t="str">
        <f>_xlfn.XLOOKUP(Pipeline_tbl[[#This Row],[Rep_ID]],Dim_Reps!A:A,Dim_Reps!D:D)</f>
        <v>Inside Sales</v>
      </c>
      <c r="R3288" t="str">
        <f>_xlfn.XLOOKUP(Pipeline_tbl[[#This Row],[Rep_ID]],Dim_Reps!A:A,Dim_Reps!E:E)</f>
        <v>NAMER</v>
      </c>
      <c r="S3288" t="str">
        <f>_xlfn.XLOOKUP(Pipeline_tbl[[#This Row],[Created_Date]],Dim_Date!A:A,Dim_Date!H:H)</f>
        <v>Jun 2025</v>
      </c>
      <c r="T3288" t="str">
        <f>IF(Pipeline_tbl[[#This Row],[Closed_Date]]=0,"",(_xlfn.XLOOKUP(Pipeline_tbl[[#This Row],[Closed_Date]],Dim_Date!A:A,Dim_Date!H:H)))</f>
        <v>Jul 2025</v>
      </c>
      <c r="U3288">
        <f>IF(Pipeline_tbl[[#This Row],[Closed_Date]]=0,"",Pipeline_tbl[[#This Row],[Closed_Date]]-Pipeline_tbl[[#This Row],[Created_Date]])</f>
        <v>19</v>
      </c>
    </row>
    <row r="3289" spans="1:21" ht="15" customHeight="1" x14ac:dyDescent="0.2">
      <c r="A3289" t="s">
        <v>3595</v>
      </c>
      <c r="B3289" t="s">
        <v>225</v>
      </c>
      <c r="C3289" t="s">
        <v>52</v>
      </c>
      <c r="D3289" s="49">
        <v>45831</v>
      </c>
      <c r="E3289" s="49">
        <v>45833</v>
      </c>
      <c r="I3289" s="49">
        <v>45848</v>
      </c>
      <c r="J3289" t="s">
        <v>49</v>
      </c>
      <c r="K3289" s="33">
        <v>1200</v>
      </c>
      <c r="L3289" t="s">
        <v>63</v>
      </c>
      <c r="M3289" t="str">
        <f>_xlfn.XLOOKUP(Pipeline_tbl[[#This Row],[Rep_ID]],Dim_Reps!A:A,Dim_Reps!K:K)</f>
        <v>USD</v>
      </c>
      <c r="N3289" s="33">
        <f>(_xlfn.XLOOKUP(Pipeline_tbl[[#This Row],[Rate_Code_Generalized]],Lookups!A:A,Lookups!B:B))*Pipeline_tbl[[#This Row],[Pipeline_Amount_USD]]</f>
        <v>1397.1599999999999</v>
      </c>
      <c r="O3289" t="str">
        <f>_xlfn.XLOOKUP(Pipeline_tbl[[#This Row],[Rep_ID]],Dim_Reps!A:A,Dim_Reps!B:B)</f>
        <v>Alex Muller</v>
      </c>
      <c r="P3289" t="str">
        <f>_xlfn.XLOOKUP(Pipeline_tbl[[#This Row],[Rep_ID]],Dim_Reps!A:A,Dim_Reps!C:C)</f>
        <v>SDR / Inside Sales Rep</v>
      </c>
      <c r="Q3289" t="str">
        <f>_xlfn.XLOOKUP(Pipeline_tbl[[#This Row],[Rep_ID]],Dim_Reps!A:A,Dim_Reps!D:D)</f>
        <v>Inside Sales</v>
      </c>
      <c r="R3289" t="str">
        <f>_xlfn.XLOOKUP(Pipeline_tbl[[#This Row],[Rep_ID]],Dim_Reps!A:A,Dim_Reps!E:E)</f>
        <v>NAMER</v>
      </c>
      <c r="S3289" t="str">
        <f>_xlfn.XLOOKUP(Pipeline_tbl[[#This Row],[Created_Date]],Dim_Date!A:A,Dim_Date!H:H)</f>
        <v>Jun 2025</v>
      </c>
      <c r="T3289" t="str">
        <f>IF(Pipeline_tbl[[#This Row],[Closed_Date]]=0,"",(_xlfn.XLOOKUP(Pipeline_tbl[[#This Row],[Closed_Date]],Dim_Date!A:A,Dim_Date!H:H)))</f>
        <v>Jul 2025</v>
      </c>
      <c r="U3289">
        <f>IF(Pipeline_tbl[[#This Row],[Closed_Date]]=0,"",Pipeline_tbl[[#This Row],[Closed_Date]]-Pipeline_tbl[[#This Row],[Created_Date]])</f>
        <v>17</v>
      </c>
    </row>
    <row r="3290" spans="1:21" ht="15" customHeight="1" x14ac:dyDescent="0.2">
      <c r="A3290" t="s">
        <v>3596</v>
      </c>
      <c r="B3290" t="s">
        <v>225</v>
      </c>
      <c r="C3290" t="s">
        <v>54</v>
      </c>
      <c r="D3290" s="49">
        <v>45829</v>
      </c>
      <c r="E3290" s="49">
        <v>45831</v>
      </c>
      <c r="F3290" s="49">
        <v>45834</v>
      </c>
      <c r="G3290" s="49">
        <v>45839</v>
      </c>
      <c r="H3290" s="49">
        <v>45843</v>
      </c>
      <c r="I3290" s="49">
        <v>45845</v>
      </c>
      <c r="J3290" t="s">
        <v>47</v>
      </c>
      <c r="K3290" s="33">
        <v>5800</v>
      </c>
      <c r="M3290" t="str">
        <f>_xlfn.XLOOKUP(Pipeline_tbl[[#This Row],[Rep_ID]],Dim_Reps!A:A,Dim_Reps!K:K)</f>
        <v>USD</v>
      </c>
      <c r="N3290" s="33">
        <f>(_xlfn.XLOOKUP(Pipeline_tbl[[#This Row],[Rate_Code_Generalized]],Lookups!A:A,Lookups!B:B))*Pipeline_tbl[[#This Row],[Pipeline_Amount_USD]]</f>
        <v>6752.94</v>
      </c>
      <c r="O3290" t="str">
        <f>_xlfn.XLOOKUP(Pipeline_tbl[[#This Row],[Rep_ID]],Dim_Reps!A:A,Dim_Reps!B:B)</f>
        <v>Alex Muller</v>
      </c>
      <c r="P3290" t="str">
        <f>_xlfn.XLOOKUP(Pipeline_tbl[[#This Row],[Rep_ID]],Dim_Reps!A:A,Dim_Reps!C:C)</f>
        <v>SDR / Inside Sales Rep</v>
      </c>
      <c r="Q3290" t="str">
        <f>_xlfn.XLOOKUP(Pipeline_tbl[[#This Row],[Rep_ID]],Dim_Reps!A:A,Dim_Reps!D:D)</f>
        <v>Inside Sales</v>
      </c>
      <c r="R3290" t="str">
        <f>_xlfn.XLOOKUP(Pipeline_tbl[[#This Row],[Rep_ID]],Dim_Reps!A:A,Dim_Reps!E:E)</f>
        <v>NAMER</v>
      </c>
      <c r="S3290" t="str">
        <f>_xlfn.XLOOKUP(Pipeline_tbl[[#This Row],[Created_Date]],Dim_Date!A:A,Dim_Date!H:H)</f>
        <v>Jun 2025</v>
      </c>
      <c r="T3290" t="str">
        <f>IF(Pipeline_tbl[[#This Row],[Closed_Date]]=0,"",(_xlfn.XLOOKUP(Pipeline_tbl[[#This Row],[Closed_Date]],Dim_Date!A:A,Dim_Date!H:H)))</f>
        <v>Jul 2025</v>
      </c>
      <c r="U3290">
        <f>IF(Pipeline_tbl[[#This Row],[Closed_Date]]=0,"",Pipeline_tbl[[#This Row],[Closed_Date]]-Pipeline_tbl[[#This Row],[Created_Date]])</f>
        <v>16</v>
      </c>
    </row>
    <row r="3291" spans="1:21" ht="15" customHeight="1" x14ac:dyDescent="0.2">
      <c r="A3291" t="s">
        <v>3597</v>
      </c>
      <c r="B3291" t="s">
        <v>225</v>
      </c>
      <c r="C3291" t="s">
        <v>53</v>
      </c>
      <c r="D3291" s="49">
        <v>45824</v>
      </c>
      <c r="E3291" s="49">
        <v>45826</v>
      </c>
      <c r="F3291" s="49">
        <v>45830</v>
      </c>
      <c r="G3291" s="49">
        <v>45837</v>
      </c>
      <c r="I3291" s="49">
        <v>45845</v>
      </c>
      <c r="J3291" t="s">
        <v>49</v>
      </c>
      <c r="K3291" s="33">
        <v>2100</v>
      </c>
      <c r="L3291" t="s">
        <v>64</v>
      </c>
      <c r="M3291" t="str">
        <f>_xlfn.XLOOKUP(Pipeline_tbl[[#This Row],[Rep_ID]],Dim_Reps!A:A,Dim_Reps!K:K)</f>
        <v>USD</v>
      </c>
      <c r="N3291" s="33">
        <f>(_xlfn.XLOOKUP(Pipeline_tbl[[#This Row],[Rate_Code_Generalized]],Lookups!A:A,Lookups!B:B))*Pipeline_tbl[[#This Row],[Pipeline_Amount_USD]]</f>
        <v>2445.0299999999997</v>
      </c>
      <c r="O3291" t="str">
        <f>_xlfn.XLOOKUP(Pipeline_tbl[[#This Row],[Rep_ID]],Dim_Reps!A:A,Dim_Reps!B:B)</f>
        <v>Alex Muller</v>
      </c>
      <c r="P3291" t="str">
        <f>_xlfn.XLOOKUP(Pipeline_tbl[[#This Row],[Rep_ID]],Dim_Reps!A:A,Dim_Reps!C:C)</f>
        <v>SDR / Inside Sales Rep</v>
      </c>
      <c r="Q3291" t="str">
        <f>_xlfn.XLOOKUP(Pipeline_tbl[[#This Row],[Rep_ID]],Dim_Reps!A:A,Dim_Reps!D:D)</f>
        <v>Inside Sales</v>
      </c>
      <c r="R3291" t="str">
        <f>_xlfn.XLOOKUP(Pipeline_tbl[[#This Row],[Rep_ID]],Dim_Reps!A:A,Dim_Reps!E:E)</f>
        <v>NAMER</v>
      </c>
      <c r="S3291" t="str">
        <f>_xlfn.XLOOKUP(Pipeline_tbl[[#This Row],[Created_Date]],Dim_Date!A:A,Dim_Date!H:H)</f>
        <v>Jun 2025</v>
      </c>
      <c r="T3291" t="str">
        <f>IF(Pipeline_tbl[[#This Row],[Closed_Date]]=0,"",(_xlfn.XLOOKUP(Pipeline_tbl[[#This Row],[Closed_Date]],Dim_Date!A:A,Dim_Date!H:H)))</f>
        <v>Jul 2025</v>
      </c>
      <c r="U3291">
        <f>IF(Pipeline_tbl[[#This Row],[Closed_Date]]=0,"",Pipeline_tbl[[#This Row],[Closed_Date]]-Pipeline_tbl[[#This Row],[Created_Date]])</f>
        <v>21</v>
      </c>
    </row>
    <row r="3292" spans="1:21" ht="15" customHeight="1" x14ac:dyDescent="0.2">
      <c r="A3292" t="s">
        <v>3598</v>
      </c>
      <c r="B3292" t="s">
        <v>225</v>
      </c>
      <c r="C3292" t="s">
        <v>52</v>
      </c>
      <c r="D3292" s="49">
        <v>45827</v>
      </c>
      <c r="E3292" s="49">
        <v>45830</v>
      </c>
      <c r="F3292" s="49">
        <v>45835</v>
      </c>
      <c r="G3292" s="49">
        <v>45843</v>
      </c>
      <c r="H3292" s="49">
        <v>45850</v>
      </c>
      <c r="I3292" s="49">
        <v>45854</v>
      </c>
      <c r="J3292" t="s">
        <v>47</v>
      </c>
      <c r="K3292" s="33">
        <v>6200</v>
      </c>
      <c r="M3292" t="str">
        <f>_xlfn.XLOOKUP(Pipeline_tbl[[#This Row],[Rep_ID]],Dim_Reps!A:A,Dim_Reps!K:K)</f>
        <v>USD</v>
      </c>
      <c r="N3292" s="33">
        <f>(_xlfn.XLOOKUP(Pipeline_tbl[[#This Row],[Rate_Code_Generalized]],Lookups!A:A,Lookups!B:B))*Pipeline_tbl[[#This Row],[Pipeline_Amount_USD]]</f>
        <v>7218.6599999999989</v>
      </c>
      <c r="O3292" t="str">
        <f>_xlfn.XLOOKUP(Pipeline_tbl[[#This Row],[Rep_ID]],Dim_Reps!A:A,Dim_Reps!B:B)</f>
        <v>Alex Muller</v>
      </c>
      <c r="P3292" t="str">
        <f>_xlfn.XLOOKUP(Pipeline_tbl[[#This Row],[Rep_ID]],Dim_Reps!A:A,Dim_Reps!C:C)</f>
        <v>SDR / Inside Sales Rep</v>
      </c>
      <c r="Q3292" t="str">
        <f>_xlfn.XLOOKUP(Pipeline_tbl[[#This Row],[Rep_ID]],Dim_Reps!A:A,Dim_Reps!D:D)</f>
        <v>Inside Sales</v>
      </c>
      <c r="R3292" t="str">
        <f>_xlfn.XLOOKUP(Pipeline_tbl[[#This Row],[Rep_ID]],Dim_Reps!A:A,Dim_Reps!E:E)</f>
        <v>NAMER</v>
      </c>
      <c r="S3292" t="str">
        <f>_xlfn.XLOOKUP(Pipeline_tbl[[#This Row],[Created_Date]],Dim_Date!A:A,Dim_Date!H:H)</f>
        <v>Jun 2025</v>
      </c>
      <c r="T3292" t="str">
        <f>IF(Pipeline_tbl[[#This Row],[Closed_Date]]=0,"",(_xlfn.XLOOKUP(Pipeline_tbl[[#This Row],[Closed_Date]],Dim_Date!A:A,Dim_Date!H:H)))</f>
        <v>Jul 2025</v>
      </c>
      <c r="U3292">
        <f>IF(Pipeline_tbl[[#This Row],[Closed_Date]]=0,"",Pipeline_tbl[[#This Row],[Closed_Date]]-Pipeline_tbl[[#This Row],[Created_Date]])</f>
        <v>27</v>
      </c>
    </row>
    <row r="3293" spans="1:21" ht="15" customHeight="1" x14ac:dyDescent="0.2">
      <c r="A3293" t="s">
        <v>3599</v>
      </c>
      <c r="B3293" t="s">
        <v>225</v>
      </c>
      <c r="C3293" t="s">
        <v>52</v>
      </c>
      <c r="D3293" s="49">
        <v>45834</v>
      </c>
      <c r="E3293" s="49">
        <v>45835</v>
      </c>
      <c r="F3293" s="49">
        <v>45837</v>
      </c>
      <c r="G3293" s="49">
        <v>45839</v>
      </c>
      <c r="H3293" s="49">
        <v>45842</v>
      </c>
      <c r="I3293" s="49">
        <v>45843</v>
      </c>
      <c r="J3293" t="s">
        <v>47</v>
      </c>
      <c r="K3293" s="33">
        <v>3000</v>
      </c>
      <c r="M3293" t="str">
        <f>_xlfn.XLOOKUP(Pipeline_tbl[[#This Row],[Rep_ID]],Dim_Reps!A:A,Dim_Reps!K:K)</f>
        <v>USD</v>
      </c>
      <c r="N3293" s="33">
        <f>(_xlfn.XLOOKUP(Pipeline_tbl[[#This Row],[Rate_Code_Generalized]],Lookups!A:A,Lookups!B:B))*Pipeline_tbl[[#This Row],[Pipeline_Amount_USD]]</f>
        <v>3492.8999999999996</v>
      </c>
      <c r="O3293" t="str">
        <f>_xlfn.XLOOKUP(Pipeline_tbl[[#This Row],[Rep_ID]],Dim_Reps!A:A,Dim_Reps!B:B)</f>
        <v>Alex Muller</v>
      </c>
      <c r="P3293" t="str">
        <f>_xlfn.XLOOKUP(Pipeline_tbl[[#This Row],[Rep_ID]],Dim_Reps!A:A,Dim_Reps!C:C)</f>
        <v>SDR / Inside Sales Rep</v>
      </c>
      <c r="Q3293" t="str">
        <f>_xlfn.XLOOKUP(Pipeline_tbl[[#This Row],[Rep_ID]],Dim_Reps!A:A,Dim_Reps!D:D)</f>
        <v>Inside Sales</v>
      </c>
      <c r="R3293" t="str">
        <f>_xlfn.XLOOKUP(Pipeline_tbl[[#This Row],[Rep_ID]],Dim_Reps!A:A,Dim_Reps!E:E)</f>
        <v>NAMER</v>
      </c>
      <c r="S3293" t="str">
        <f>_xlfn.XLOOKUP(Pipeline_tbl[[#This Row],[Created_Date]],Dim_Date!A:A,Dim_Date!H:H)</f>
        <v>Jun 2025</v>
      </c>
      <c r="T3293" t="str">
        <f>IF(Pipeline_tbl[[#This Row],[Closed_Date]]=0,"",(_xlfn.XLOOKUP(Pipeline_tbl[[#This Row],[Closed_Date]],Dim_Date!A:A,Dim_Date!H:H)))</f>
        <v>Jul 2025</v>
      </c>
      <c r="U3293">
        <f>IF(Pipeline_tbl[[#This Row],[Closed_Date]]=0,"",Pipeline_tbl[[#This Row],[Closed_Date]]-Pipeline_tbl[[#This Row],[Created_Date]])</f>
        <v>9</v>
      </c>
    </row>
    <row r="3294" spans="1:21" ht="15" customHeight="1" x14ac:dyDescent="0.2">
      <c r="A3294" t="s">
        <v>3600</v>
      </c>
      <c r="B3294" t="s">
        <v>227</v>
      </c>
      <c r="C3294" t="s">
        <v>52</v>
      </c>
      <c r="D3294" s="49">
        <v>45827</v>
      </c>
      <c r="E3294" s="49">
        <v>45829</v>
      </c>
      <c r="F3294" s="49">
        <v>45832</v>
      </c>
      <c r="I3294" s="49">
        <v>45845</v>
      </c>
      <c r="J3294" t="s">
        <v>49</v>
      </c>
      <c r="K3294" s="33">
        <v>2900</v>
      </c>
      <c r="L3294" t="s">
        <v>63</v>
      </c>
      <c r="M3294" t="str">
        <f>_xlfn.XLOOKUP(Pipeline_tbl[[#This Row],[Rep_ID]],Dim_Reps!A:A,Dim_Reps!K:K)</f>
        <v>EUR</v>
      </c>
      <c r="N3294" s="33">
        <f>(_xlfn.XLOOKUP(Pipeline_tbl[[#This Row],[Rate_Code_Generalized]],Lookups!A:A,Lookups!B:B))*Pipeline_tbl[[#This Row],[Pipeline_Amount_USD]]</f>
        <v>2900</v>
      </c>
      <c r="O3294" t="str">
        <f>_xlfn.XLOOKUP(Pipeline_tbl[[#This Row],[Rep_ID]],Dim_Reps!A:A,Dim_Reps!B:B)</f>
        <v>Liam Muller</v>
      </c>
      <c r="P3294" t="str">
        <f>_xlfn.XLOOKUP(Pipeline_tbl[[#This Row],[Rep_ID]],Dim_Reps!A:A,Dim_Reps!C:C)</f>
        <v>SDR / Inside Sales Rep</v>
      </c>
      <c r="Q3294" t="str">
        <f>_xlfn.XLOOKUP(Pipeline_tbl[[#This Row],[Rep_ID]],Dim_Reps!A:A,Dim_Reps!D:D)</f>
        <v>Inside Sales</v>
      </c>
      <c r="R3294" t="str">
        <f>_xlfn.XLOOKUP(Pipeline_tbl[[#This Row],[Rep_ID]],Dim_Reps!A:A,Dim_Reps!E:E)</f>
        <v>EMEA</v>
      </c>
      <c r="S3294" t="str">
        <f>_xlfn.XLOOKUP(Pipeline_tbl[[#This Row],[Created_Date]],Dim_Date!A:A,Dim_Date!H:H)</f>
        <v>Jun 2025</v>
      </c>
      <c r="T3294" t="str">
        <f>IF(Pipeline_tbl[[#This Row],[Closed_Date]]=0,"",(_xlfn.XLOOKUP(Pipeline_tbl[[#This Row],[Closed_Date]],Dim_Date!A:A,Dim_Date!H:H)))</f>
        <v>Jul 2025</v>
      </c>
      <c r="U3294">
        <f>IF(Pipeline_tbl[[#This Row],[Closed_Date]]=0,"",Pipeline_tbl[[#This Row],[Closed_Date]]-Pipeline_tbl[[#This Row],[Created_Date]])</f>
        <v>18</v>
      </c>
    </row>
    <row r="3295" spans="1:21" ht="15" customHeight="1" x14ac:dyDescent="0.2">
      <c r="A3295" t="s">
        <v>3601</v>
      </c>
      <c r="B3295" t="s">
        <v>227</v>
      </c>
      <c r="C3295" t="s">
        <v>55</v>
      </c>
      <c r="D3295" s="49">
        <v>45830</v>
      </c>
      <c r="E3295" s="49">
        <v>45831</v>
      </c>
      <c r="I3295" s="49">
        <v>45840</v>
      </c>
      <c r="J3295" t="s">
        <v>49</v>
      </c>
      <c r="K3295" s="33">
        <v>5500</v>
      </c>
      <c r="L3295" t="s">
        <v>61</v>
      </c>
      <c r="M3295" t="str">
        <f>_xlfn.XLOOKUP(Pipeline_tbl[[#This Row],[Rep_ID]],Dim_Reps!A:A,Dim_Reps!K:K)</f>
        <v>EUR</v>
      </c>
      <c r="N3295" s="33">
        <f>(_xlfn.XLOOKUP(Pipeline_tbl[[#This Row],[Rate_Code_Generalized]],Lookups!A:A,Lookups!B:B))*Pipeline_tbl[[#This Row],[Pipeline_Amount_USD]]</f>
        <v>5500</v>
      </c>
      <c r="O3295" t="str">
        <f>_xlfn.XLOOKUP(Pipeline_tbl[[#This Row],[Rep_ID]],Dim_Reps!A:A,Dim_Reps!B:B)</f>
        <v>Liam Muller</v>
      </c>
      <c r="P3295" t="str">
        <f>_xlfn.XLOOKUP(Pipeline_tbl[[#This Row],[Rep_ID]],Dim_Reps!A:A,Dim_Reps!C:C)</f>
        <v>SDR / Inside Sales Rep</v>
      </c>
      <c r="Q3295" t="str">
        <f>_xlfn.XLOOKUP(Pipeline_tbl[[#This Row],[Rep_ID]],Dim_Reps!A:A,Dim_Reps!D:D)</f>
        <v>Inside Sales</v>
      </c>
      <c r="R3295" t="str">
        <f>_xlfn.XLOOKUP(Pipeline_tbl[[#This Row],[Rep_ID]],Dim_Reps!A:A,Dim_Reps!E:E)</f>
        <v>EMEA</v>
      </c>
      <c r="S3295" t="str">
        <f>_xlfn.XLOOKUP(Pipeline_tbl[[#This Row],[Created_Date]],Dim_Date!A:A,Dim_Date!H:H)</f>
        <v>Jun 2025</v>
      </c>
      <c r="T3295" t="str">
        <f>IF(Pipeline_tbl[[#This Row],[Closed_Date]]=0,"",(_xlfn.XLOOKUP(Pipeline_tbl[[#This Row],[Closed_Date]],Dim_Date!A:A,Dim_Date!H:H)))</f>
        <v>Jul 2025</v>
      </c>
      <c r="U3295">
        <f>IF(Pipeline_tbl[[#This Row],[Closed_Date]]=0,"",Pipeline_tbl[[#This Row],[Closed_Date]]-Pipeline_tbl[[#This Row],[Created_Date]])</f>
        <v>10</v>
      </c>
    </row>
    <row r="3296" spans="1:21" ht="15" customHeight="1" x14ac:dyDescent="0.2">
      <c r="A3296" t="s">
        <v>3602</v>
      </c>
      <c r="B3296" t="s">
        <v>227</v>
      </c>
      <c r="C3296" t="s">
        <v>52</v>
      </c>
      <c r="D3296" s="49">
        <v>45818</v>
      </c>
      <c r="E3296" s="49">
        <v>45820</v>
      </c>
      <c r="F3296" s="49">
        <v>45826</v>
      </c>
      <c r="G3296" s="49">
        <v>45833</v>
      </c>
      <c r="H3296" s="49">
        <v>45839</v>
      </c>
      <c r="I3296" s="49">
        <v>45843</v>
      </c>
      <c r="J3296" t="s">
        <v>47</v>
      </c>
      <c r="K3296" s="33">
        <v>6300</v>
      </c>
      <c r="M3296" t="str">
        <f>_xlfn.XLOOKUP(Pipeline_tbl[[#This Row],[Rep_ID]],Dim_Reps!A:A,Dim_Reps!K:K)</f>
        <v>EUR</v>
      </c>
      <c r="N3296" s="33">
        <f>(_xlfn.XLOOKUP(Pipeline_tbl[[#This Row],[Rate_Code_Generalized]],Lookups!A:A,Lookups!B:B))*Pipeline_tbl[[#This Row],[Pipeline_Amount_USD]]</f>
        <v>6300</v>
      </c>
      <c r="O3296" t="str">
        <f>_xlfn.XLOOKUP(Pipeline_tbl[[#This Row],[Rep_ID]],Dim_Reps!A:A,Dim_Reps!B:B)</f>
        <v>Liam Muller</v>
      </c>
      <c r="P3296" t="str">
        <f>_xlfn.XLOOKUP(Pipeline_tbl[[#This Row],[Rep_ID]],Dim_Reps!A:A,Dim_Reps!C:C)</f>
        <v>SDR / Inside Sales Rep</v>
      </c>
      <c r="Q3296" t="str">
        <f>_xlfn.XLOOKUP(Pipeline_tbl[[#This Row],[Rep_ID]],Dim_Reps!A:A,Dim_Reps!D:D)</f>
        <v>Inside Sales</v>
      </c>
      <c r="R3296" t="str">
        <f>_xlfn.XLOOKUP(Pipeline_tbl[[#This Row],[Rep_ID]],Dim_Reps!A:A,Dim_Reps!E:E)</f>
        <v>EMEA</v>
      </c>
      <c r="S3296" t="str">
        <f>_xlfn.XLOOKUP(Pipeline_tbl[[#This Row],[Created_Date]],Dim_Date!A:A,Dim_Date!H:H)</f>
        <v>Jun 2025</v>
      </c>
      <c r="T3296" t="str">
        <f>IF(Pipeline_tbl[[#This Row],[Closed_Date]]=0,"",(_xlfn.XLOOKUP(Pipeline_tbl[[#This Row],[Closed_Date]],Dim_Date!A:A,Dim_Date!H:H)))</f>
        <v>Jul 2025</v>
      </c>
      <c r="U3296">
        <f>IF(Pipeline_tbl[[#This Row],[Closed_Date]]=0,"",Pipeline_tbl[[#This Row],[Closed_Date]]-Pipeline_tbl[[#This Row],[Created_Date]])</f>
        <v>25</v>
      </c>
    </row>
    <row r="3297" spans="1:21" ht="15" customHeight="1" x14ac:dyDescent="0.2">
      <c r="A3297" t="s">
        <v>3603</v>
      </c>
      <c r="B3297" t="s">
        <v>191</v>
      </c>
      <c r="C3297" t="s">
        <v>52</v>
      </c>
      <c r="D3297" s="49">
        <v>45822</v>
      </c>
      <c r="E3297" s="49">
        <v>45826</v>
      </c>
      <c r="F3297" s="49">
        <v>45835</v>
      </c>
      <c r="I3297" s="49">
        <v>45864</v>
      </c>
      <c r="J3297" t="s">
        <v>49</v>
      </c>
      <c r="K3297" s="33">
        <v>50200</v>
      </c>
      <c r="L3297" t="s">
        <v>60</v>
      </c>
      <c r="M3297" t="str">
        <f>_xlfn.XLOOKUP(Pipeline_tbl[[#This Row],[Rep_ID]],Dim_Reps!A:A,Dim_Reps!K:K)</f>
        <v>USD</v>
      </c>
      <c r="N3297" s="33">
        <f>(_xlfn.XLOOKUP(Pipeline_tbl[[#This Row],[Rate_Code_Generalized]],Lookups!A:A,Lookups!B:B))*Pipeline_tbl[[#This Row],[Pipeline_Amount_USD]]</f>
        <v>58447.859999999993</v>
      </c>
      <c r="O3297" t="str">
        <f>_xlfn.XLOOKUP(Pipeline_tbl[[#This Row],[Rep_ID]],Dim_Reps!A:A,Dim_Reps!B:B)</f>
        <v>Zara Duarte</v>
      </c>
      <c r="P3297" t="str">
        <f>_xlfn.XLOOKUP(Pipeline_tbl[[#This Row],[Rep_ID]],Dim_Reps!A:A,Dim_Reps!C:C)</f>
        <v>Enterprise AE</v>
      </c>
      <c r="Q3297" t="str">
        <f>_xlfn.XLOOKUP(Pipeline_tbl[[#This Row],[Rep_ID]],Dim_Reps!A:A,Dim_Reps!D:D)</f>
        <v>Enterprise</v>
      </c>
      <c r="R3297" t="str">
        <f>_xlfn.XLOOKUP(Pipeline_tbl[[#This Row],[Rep_ID]],Dim_Reps!A:A,Dim_Reps!E:E)</f>
        <v>NAMER</v>
      </c>
      <c r="S3297" t="str">
        <f>_xlfn.XLOOKUP(Pipeline_tbl[[#This Row],[Created_Date]],Dim_Date!A:A,Dim_Date!H:H)</f>
        <v>Jun 2025</v>
      </c>
      <c r="T3297" t="str">
        <f>IF(Pipeline_tbl[[#This Row],[Closed_Date]]=0,"",(_xlfn.XLOOKUP(Pipeline_tbl[[#This Row],[Closed_Date]],Dim_Date!A:A,Dim_Date!H:H)))</f>
        <v>Jul 2025</v>
      </c>
      <c r="U3297">
        <f>IF(Pipeline_tbl[[#This Row],[Closed_Date]]=0,"",Pipeline_tbl[[#This Row],[Closed_Date]]-Pipeline_tbl[[#This Row],[Created_Date]])</f>
        <v>42</v>
      </c>
    </row>
    <row r="3298" spans="1:21" ht="15" customHeight="1" x14ac:dyDescent="0.2">
      <c r="A3298" t="s">
        <v>3604</v>
      </c>
      <c r="B3298" t="s">
        <v>229</v>
      </c>
      <c r="C3298" t="s">
        <v>52</v>
      </c>
      <c r="D3298" s="49">
        <v>45831</v>
      </c>
      <c r="E3298" s="49">
        <v>45833</v>
      </c>
      <c r="F3298" s="49">
        <v>45839</v>
      </c>
      <c r="G3298" s="49">
        <v>45846</v>
      </c>
      <c r="H3298" s="49">
        <v>45852</v>
      </c>
      <c r="I3298" s="49">
        <v>45856</v>
      </c>
      <c r="J3298" t="s">
        <v>47</v>
      </c>
      <c r="K3298" s="33">
        <v>3500</v>
      </c>
      <c r="M3298" t="str">
        <f>_xlfn.XLOOKUP(Pipeline_tbl[[#This Row],[Rep_ID]],Dim_Reps!A:A,Dim_Reps!K:K)</f>
        <v>USD</v>
      </c>
      <c r="N3298" s="33">
        <f>(_xlfn.XLOOKUP(Pipeline_tbl[[#This Row],[Rate_Code_Generalized]],Lookups!A:A,Lookups!B:B))*Pipeline_tbl[[#This Row],[Pipeline_Amount_USD]]</f>
        <v>4075.0499999999997</v>
      </c>
      <c r="O3298" t="str">
        <f>_xlfn.XLOOKUP(Pipeline_tbl[[#This Row],[Rep_ID]],Dim_Reps!A:A,Dim_Reps!B:B)</f>
        <v>Liam Castro</v>
      </c>
      <c r="P3298" t="str">
        <f>_xlfn.XLOOKUP(Pipeline_tbl[[#This Row],[Rep_ID]],Dim_Reps!A:A,Dim_Reps!C:C)</f>
        <v>SDR / Inside Sales Rep</v>
      </c>
      <c r="Q3298" t="str">
        <f>_xlfn.XLOOKUP(Pipeline_tbl[[#This Row],[Rep_ID]],Dim_Reps!A:A,Dim_Reps!D:D)</f>
        <v>Inside Sales</v>
      </c>
      <c r="R3298" t="str">
        <f>_xlfn.XLOOKUP(Pipeline_tbl[[#This Row],[Rep_ID]],Dim_Reps!A:A,Dim_Reps!E:E)</f>
        <v>NAMER</v>
      </c>
      <c r="S3298" t="str">
        <f>_xlfn.XLOOKUP(Pipeline_tbl[[#This Row],[Created_Date]],Dim_Date!A:A,Dim_Date!H:H)</f>
        <v>Jun 2025</v>
      </c>
      <c r="T3298" t="str">
        <f>IF(Pipeline_tbl[[#This Row],[Closed_Date]]=0,"",(_xlfn.XLOOKUP(Pipeline_tbl[[#This Row],[Closed_Date]],Dim_Date!A:A,Dim_Date!H:H)))</f>
        <v>Jul 2025</v>
      </c>
      <c r="U3298">
        <f>IF(Pipeline_tbl[[#This Row],[Closed_Date]]=0,"",Pipeline_tbl[[#This Row],[Closed_Date]]-Pipeline_tbl[[#This Row],[Created_Date]])</f>
        <v>25</v>
      </c>
    </row>
    <row r="3299" spans="1:21" ht="15" customHeight="1" x14ac:dyDescent="0.2">
      <c r="A3299" t="s">
        <v>3605</v>
      </c>
      <c r="B3299" t="s">
        <v>229</v>
      </c>
      <c r="C3299" t="s">
        <v>54</v>
      </c>
      <c r="D3299" s="49">
        <v>45822</v>
      </c>
      <c r="E3299" s="49">
        <v>45825</v>
      </c>
      <c r="I3299" s="49">
        <v>45849</v>
      </c>
      <c r="J3299" t="s">
        <v>49</v>
      </c>
      <c r="K3299" s="33">
        <v>2900</v>
      </c>
      <c r="L3299" t="s">
        <v>62</v>
      </c>
      <c r="M3299" t="str">
        <f>_xlfn.XLOOKUP(Pipeline_tbl[[#This Row],[Rep_ID]],Dim_Reps!A:A,Dim_Reps!K:K)</f>
        <v>USD</v>
      </c>
      <c r="N3299" s="33">
        <f>(_xlfn.XLOOKUP(Pipeline_tbl[[#This Row],[Rate_Code_Generalized]],Lookups!A:A,Lookups!B:B))*Pipeline_tbl[[#This Row],[Pipeline_Amount_USD]]</f>
        <v>3376.47</v>
      </c>
      <c r="O3299" t="str">
        <f>_xlfn.XLOOKUP(Pipeline_tbl[[#This Row],[Rep_ID]],Dim_Reps!A:A,Dim_Reps!B:B)</f>
        <v>Liam Castro</v>
      </c>
      <c r="P3299" t="str">
        <f>_xlfn.XLOOKUP(Pipeline_tbl[[#This Row],[Rep_ID]],Dim_Reps!A:A,Dim_Reps!C:C)</f>
        <v>SDR / Inside Sales Rep</v>
      </c>
      <c r="Q3299" t="str">
        <f>_xlfn.XLOOKUP(Pipeline_tbl[[#This Row],[Rep_ID]],Dim_Reps!A:A,Dim_Reps!D:D)</f>
        <v>Inside Sales</v>
      </c>
      <c r="R3299" t="str">
        <f>_xlfn.XLOOKUP(Pipeline_tbl[[#This Row],[Rep_ID]],Dim_Reps!A:A,Dim_Reps!E:E)</f>
        <v>NAMER</v>
      </c>
      <c r="S3299" t="str">
        <f>_xlfn.XLOOKUP(Pipeline_tbl[[#This Row],[Created_Date]],Dim_Date!A:A,Dim_Date!H:H)</f>
        <v>Jun 2025</v>
      </c>
      <c r="T3299" t="str">
        <f>IF(Pipeline_tbl[[#This Row],[Closed_Date]]=0,"",(_xlfn.XLOOKUP(Pipeline_tbl[[#This Row],[Closed_Date]],Dim_Date!A:A,Dim_Date!H:H)))</f>
        <v>Jul 2025</v>
      </c>
      <c r="U3299">
        <f>IF(Pipeline_tbl[[#This Row],[Closed_Date]]=0,"",Pipeline_tbl[[#This Row],[Closed_Date]]-Pipeline_tbl[[#This Row],[Created_Date]])</f>
        <v>27</v>
      </c>
    </row>
    <row r="3300" spans="1:21" ht="15" customHeight="1" x14ac:dyDescent="0.2">
      <c r="A3300" t="s">
        <v>3606</v>
      </c>
      <c r="B3300" t="s">
        <v>229</v>
      </c>
      <c r="C3300" t="s">
        <v>52</v>
      </c>
      <c r="D3300" s="49">
        <v>45832</v>
      </c>
      <c r="E3300" s="49">
        <v>45834</v>
      </c>
      <c r="F3300" s="49">
        <v>45837</v>
      </c>
      <c r="G3300" s="49">
        <v>45842</v>
      </c>
      <c r="H3300" s="49">
        <v>45846</v>
      </c>
      <c r="I3300" s="49">
        <v>45849</v>
      </c>
      <c r="J3300" t="s">
        <v>47</v>
      </c>
      <c r="K3300" s="33">
        <v>4900</v>
      </c>
      <c r="M3300" t="str">
        <f>_xlfn.XLOOKUP(Pipeline_tbl[[#This Row],[Rep_ID]],Dim_Reps!A:A,Dim_Reps!K:K)</f>
        <v>USD</v>
      </c>
      <c r="N3300" s="33">
        <f>(_xlfn.XLOOKUP(Pipeline_tbl[[#This Row],[Rate_Code_Generalized]],Lookups!A:A,Lookups!B:B))*Pipeline_tbl[[#This Row],[Pipeline_Amount_USD]]</f>
        <v>5705.07</v>
      </c>
      <c r="O3300" t="str">
        <f>_xlfn.XLOOKUP(Pipeline_tbl[[#This Row],[Rep_ID]],Dim_Reps!A:A,Dim_Reps!B:B)</f>
        <v>Liam Castro</v>
      </c>
      <c r="P3300" t="str">
        <f>_xlfn.XLOOKUP(Pipeline_tbl[[#This Row],[Rep_ID]],Dim_Reps!A:A,Dim_Reps!C:C)</f>
        <v>SDR / Inside Sales Rep</v>
      </c>
      <c r="Q3300" t="str">
        <f>_xlfn.XLOOKUP(Pipeline_tbl[[#This Row],[Rep_ID]],Dim_Reps!A:A,Dim_Reps!D:D)</f>
        <v>Inside Sales</v>
      </c>
      <c r="R3300" t="str">
        <f>_xlfn.XLOOKUP(Pipeline_tbl[[#This Row],[Rep_ID]],Dim_Reps!A:A,Dim_Reps!E:E)</f>
        <v>NAMER</v>
      </c>
      <c r="S3300" t="str">
        <f>_xlfn.XLOOKUP(Pipeline_tbl[[#This Row],[Created_Date]],Dim_Date!A:A,Dim_Date!H:H)</f>
        <v>Jun 2025</v>
      </c>
      <c r="T3300" t="str">
        <f>IF(Pipeline_tbl[[#This Row],[Closed_Date]]=0,"",(_xlfn.XLOOKUP(Pipeline_tbl[[#This Row],[Closed_Date]],Dim_Date!A:A,Dim_Date!H:H)))</f>
        <v>Jul 2025</v>
      </c>
      <c r="U3300">
        <f>IF(Pipeline_tbl[[#This Row],[Closed_Date]]=0,"",Pipeline_tbl[[#This Row],[Closed_Date]]-Pipeline_tbl[[#This Row],[Created_Date]])</f>
        <v>17</v>
      </c>
    </row>
    <row r="3301" spans="1:21" ht="15" customHeight="1" x14ac:dyDescent="0.2">
      <c r="A3301" t="s">
        <v>3607</v>
      </c>
      <c r="B3301" t="s">
        <v>229</v>
      </c>
      <c r="C3301" t="s">
        <v>53</v>
      </c>
      <c r="D3301" s="49">
        <v>45836</v>
      </c>
      <c r="E3301" s="49">
        <v>45838</v>
      </c>
      <c r="F3301" s="49">
        <v>45843</v>
      </c>
      <c r="I3301" s="49">
        <v>45858</v>
      </c>
      <c r="J3301" t="s">
        <v>49</v>
      </c>
      <c r="K3301" s="33">
        <v>7000</v>
      </c>
      <c r="L3301" t="s">
        <v>60</v>
      </c>
      <c r="M3301" t="str">
        <f>_xlfn.XLOOKUP(Pipeline_tbl[[#This Row],[Rep_ID]],Dim_Reps!A:A,Dim_Reps!K:K)</f>
        <v>USD</v>
      </c>
      <c r="N3301" s="33">
        <f>(_xlfn.XLOOKUP(Pipeline_tbl[[#This Row],[Rate_Code_Generalized]],Lookups!A:A,Lookups!B:B))*Pipeline_tbl[[#This Row],[Pipeline_Amount_USD]]</f>
        <v>8150.0999999999995</v>
      </c>
      <c r="O3301" t="str">
        <f>_xlfn.XLOOKUP(Pipeline_tbl[[#This Row],[Rep_ID]],Dim_Reps!A:A,Dim_Reps!B:B)</f>
        <v>Liam Castro</v>
      </c>
      <c r="P3301" t="str">
        <f>_xlfn.XLOOKUP(Pipeline_tbl[[#This Row],[Rep_ID]],Dim_Reps!A:A,Dim_Reps!C:C)</f>
        <v>SDR / Inside Sales Rep</v>
      </c>
      <c r="Q3301" t="str">
        <f>_xlfn.XLOOKUP(Pipeline_tbl[[#This Row],[Rep_ID]],Dim_Reps!A:A,Dim_Reps!D:D)</f>
        <v>Inside Sales</v>
      </c>
      <c r="R3301" t="str">
        <f>_xlfn.XLOOKUP(Pipeline_tbl[[#This Row],[Rep_ID]],Dim_Reps!A:A,Dim_Reps!E:E)</f>
        <v>NAMER</v>
      </c>
      <c r="S3301" t="str">
        <f>_xlfn.XLOOKUP(Pipeline_tbl[[#This Row],[Created_Date]],Dim_Date!A:A,Dim_Date!H:H)</f>
        <v>Jun 2025</v>
      </c>
      <c r="T3301" t="str">
        <f>IF(Pipeline_tbl[[#This Row],[Closed_Date]]=0,"",(_xlfn.XLOOKUP(Pipeline_tbl[[#This Row],[Closed_Date]],Dim_Date!A:A,Dim_Date!H:H)))</f>
        <v>Jul 2025</v>
      </c>
      <c r="U3301">
        <f>IF(Pipeline_tbl[[#This Row],[Closed_Date]]=0,"",Pipeline_tbl[[#This Row],[Closed_Date]]-Pipeline_tbl[[#This Row],[Created_Date]])</f>
        <v>22</v>
      </c>
    </row>
    <row r="3302" spans="1:21" ht="15" customHeight="1" x14ac:dyDescent="0.2">
      <c r="A3302" t="s">
        <v>3608</v>
      </c>
      <c r="B3302" t="s">
        <v>229</v>
      </c>
      <c r="C3302" t="s">
        <v>54</v>
      </c>
      <c r="D3302" s="49">
        <v>45838</v>
      </c>
      <c r="E3302" s="49">
        <v>45840</v>
      </c>
      <c r="F3302" s="49">
        <v>45843</v>
      </c>
      <c r="G3302" s="49">
        <v>45847</v>
      </c>
      <c r="H3302" s="49">
        <v>45851</v>
      </c>
      <c r="I3302" s="49">
        <v>45853</v>
      </c>
      <c r="J3302" t="s">
        <v>47</v>
      </c>
      <c r="K3302" s="33">
        <v>3900</v>
      </c>
      <c r="M3302" t="str">
        <f>_xlfn.XLOOKUP(Pipeline_tbl[[#This Row],[Rep_ID]],Dim_Reps!A:A,Dim_Reps!K:K)</f>
        <v>USD</v>
      </c>
      <c r="N3302" s="33">
        <f>(_xlfn.XLOOKUP(Pipeline_tbl[[#This Row],[Rate_Code_Generalized]],Lookups!A:A,Lookups!B:B))*Pipeline_tbl[[#This Row],[Pipeline_Amount_USD]]</f>
        <v>4540.7699999999995</v>
      </c>
      <c r="O3302" t="str">
        <f>_xlfn.XLOOKUP(Pipeline_tbl[[#This Row],[Rep_ID]],Dim_Reps!A:A,Dim_Reps!B:B)</f>
        <v>Liam Castro</v>
      </c>
      <c r="P3302" t="str">
        <f>_xlfn.XLOOKUP(Pipeline_tbl[[#This Row],[Rep_ID]],Dim_Reps!A:A,Dim_Reps!C:C)</f>
        <v>SDR / Inside Sales Rep</v>
      </c>
      <c r="Q3302" t="str">
        <f>_xlfn.XLOOKUP(Pipeline_tbl[[#This Row],[Rep_ID]],Dim_Reps!A:A,Dim_Reps!D:D)</f>
        <v>Inside Sales</v>
      </c>
      <c r="R3302" t="str">
        <f>_xlfn.XLOOKUP(Pipeline_tbl[[#This Row],[Rep_ID]],Dim_Reps!A:A,Dim_Reps!E:E)</f>
        <v>NAMER</v>
      </c>
      <c r="S3302" t="str">
        <f>_xlfn.XLOOKUP(Pipeline_tbl[[#This Row],[Created_Date]],Dim_Date!A:A,Dim_Date!H:H)</f>
        <v>Jun 2025</v>
      </c>
      <c r="T3302" t="str">
        <f>IF(Pipeline_tbl[[#This Row],[Closed_Date]]=0,"",(_xlfn.XLOOKUP(Pipeline_tbl[[#This Row],[Closed_Date]],Dim_Date!A:A,Dim_Date!H:H)))</f>
        <v>Jul 2025</v>
      </c>
      <c r="U3302">
        <f>IF(Pipeline_tbl[[#This Row],[Closed_Date]]=0,"",Pipeline_tbl[[#This Row],[Closed_Date]]-Pipeline_tbl[[#This Row],[Created_Date]])</f>
        <v>15</v>
      </c>
    </row>
    <row r="3303" spans="1:21" ht="15" customHeight="1" x14ac:dyDescent="0.2">
      <c r="A3303" t="s">
        <v>3609</v>
      </c>
      <c r="B3303" t="s">
        <v>231</v>
      </c>
      <c r="C3303" t="s">
        <v>52</v>
      </c>
      <c r="D3303" s="49">
        <v>45830</v>
      </c>
      <c r="E3303" s="49">
        <v>45831</v>
      </c>
      <c r="F3303" s="49">
        <v>45834</v>
      </c>
      <c r="G3303" s="49">
        <v>45837</v>
      </c>
      <c r="H3303" s="49">
        <v>45840</v>
      </c>
      <c r="I3303" s="49">
        <v>45842</v>
      </c>
      <c r="J3303" t="s">
        <v>47</v>
      </c>
      <c r="K3303" s="33">
        <v>9600</v>
      </c>
      <c r="M3303" t="str">
        <f>_xlfn.XLOOKUP(Pipeline_tbl[[#This Row],[Rep_ID]],Dim_Reps!A:A,Dim_Reps!K:K)</f>
        <v>MXN</v>
      </c>
      <c r="N3303" s="33">
        <f>(_xlfn.XLOOKUP(Pipeline_tbl[[#This Row],[Rate_Code_Generalized]],Lookups!A:A,Lookups!B:B))*Pipeline_tbl[[#This Row],[Pipeline_Amount_USD]]</f>
        <v>189433.92</v>
      </c>
      <c r="O3303" t="str">
        <f>_xlfn.XLOOKUP(Pipeline_tbl[[#This Row],[Rep_ID]],Dim_Reps!A:A,Dim_Reps!B:B)</f>
        <v>Ben Silva</v>
      </c>
      <c r="P3303" t="str">
        <f>_xlfn.XLOOKUP(Pipeline_tbl[[#This Row],[Rep_ID]],Dim_Reps!A:A,Dim_Reps!C:C)</f>
        <v>SDR / Inside Sales Rep</v>
      </c>
      <c r="Q3303" t="str">
        <f>_xlfn.XLOOKUP(Pipeline_tbl[[#This Row],[Rep_ID]],Dim_Reps!A:A,Dim_Reps!D:D)</f>
        <v>Inside Sales</v>
      </c>
      <c r="R3303" t="str">
        <f>_xlfn.XLOOKUP(Pipeline_tbl[[#This Row],[Rep_ID]],Dim_Reps!A:A,Dim_Reps!E:E)</f>
        <v>LATAM</v>
      </c>
      <c r="S3303" t="str">
        <f>_xlfn.XLOOKUP(Pipeline_tbl[[#This Row],[Created_Date]],Dim_Date!A:A,Dim_Date!H:H)</f>
        <v>Jun 2025</v>
      </c>
      <c r="T3303" t="str">
        <f>IF(Pipeline_tbl[[#This Row],[Closed_Date]]=0,"",(_xlfn.XLOOKUP(Pipeline_tbl[[#This Row],[Closed_Date]],Dim_Date!A:A,Dim_Date!H:H)))</f>
        <v>Jul 2025</v>
      </c>
      <c r="U3303">
        <f>IF(Pipeline_tbl[[#This Row],[Closed_Date]]=0,"",Pipeline_tbl[[#This Row],[Closed_Date]]-Pipeline_tbl[[#This Row],[Created_Date]])</f>
        <v>12</v>
      </c>
    </row>
    <row r="3304" spans="1:21" ht="15" customHeight="1" x14ac:dyDescent="0.2">
      <c r="A3304" t="s">
        <v>3610</v>
      </c>
      <c r="B3304" t="s">
        <v>231</v>
      </c>
      <c r="C3304" t="s">
        <v>54</v>
      </c>
      <c r="D3304" s="49">
        <v>45836</v>
      </c>
      <c r="E3304" s="49">
        <v>45839</v>
      </c>
      <c r="F3304" s="49">
        <v>45845</v>
      </c>
      <c r="G3304" s="49">
        <v>45855</v>
      </c>
      <c r="I3304" s="49">
        <v>45867</v>
      </c>
      <c r="J3304" t="s">
        <v>49</v>
      </c>
      <c r="K3304" s="33">
        <v>3600</v>
      </c>
      <c r="L3304" t="s">
        <v>60</v>
      </c>
      <c r="M3304" t="str">
        <f>_xlfn.XLOOKUP(Pipeline_tbl[[#This Row],[Rep_ID]],Dim_Reps!A:A,Dim_Reps!K:K)</f>
        <v>MXN</v>
      </c>
      <c r="N3304" s="33">
        <f>(_xlfn.XLOOKUP(Pipeline_tbl[[#This Row],[Rate_Code_Generalized]],Lookups!A:A,Lookups!B:B))*Pipeline_tbl[[#This Row],[Pipeline_Amount_USD]]</f>
        <v>71037.72</v>
      </c>
      <c r="O3304" t="str">
        <f>_xlfn.XLOOKUP(Pipeline_tbl[[#This Row],[Rep_ID]],Dim_Reps!A:A,Dim_Reps!B:B)</f>
        <v>Ben Silva</v>
      </c>
      <c r="P3304" t="str">
        <f>_xlfn.XLOOKUP(Pipeline_tbl[[#This Row],[Rep_ID]],Dim_Reps!A:A,Dim_Reps!C:C)</f>
        <v>SDR / Inside Sales Rep</v>
      </c>
      <c r="Q3304" t="str">
        <f>_xlfn.XLOOKUP(Pipeline_tbl[[#This Row],[Rep_ID]],Dim_Reps!A:A,Dim_Reps!D:D)</f>
        <v>Inside Sales</v>
      </c>
      <c r="R3304" t="str">
        <f>_xlfn.XLOOKUP(Pipeline_tbl[[#This Row],[Rep_ID]],Dim_Reps!A:A,Dim_Reps!E:E)</f>
        <v>LATAM</v>
      </c>
      <c r="S3304" t="str">
        <f>_xlfn.XLOOKUP(Pipeline_tbl[[#This Row],[Created_Date]],Dim_Date!A:A,Dim_Date!H:H)</f>
        <v>Jun 2025</v>
      </c>
      <c r="T3304" t="str">
        <f>IF(Pipeline_tbl[[#This Row],[Closed_Date]]=0,"",(_xlfn.XLOOKUP(Pipeline_tbl[[#This Row],[Closed_Date]],Dim_Date!A:A,Dim_Date!H:H)))</f>
        <v>Jul 2025</v>
      </c>
      <c r="U3304">
        <f>IF(Pipeline_tbl[[#This Row],[Closed_Date]]=0,"",Pipeline_tbl[[#This Row],[Closed_Date]]-Pipeline_tbl[[#This Row],[Created_Date]])</f>
        <v>31</v>
      </c>
    </row>
    <row r="3305" spans="1:21" ht="15" customHeight="1" x14ac:dyDescent="0.2">
      <c r="A3305" t="s">
        <v>3611</v>
      </c>
      <c r="B3305" t="s">
        <v>231</v>
      </c>
      <c r="C3305" t="s">
        <v>52</v>
      </c>
      <c r="D3305" s="49">
        <v>45838</v>
      </c>
      <c r="E3305" s="49">
        <v>45840</v>
      </c>
      <c r="F3305" s="49">
        <v>45843</v>
      </c>
      <c r="G3305" s="49">
        <v>45848</v>
      </c>
      <c r="I3305" s="49">
        <v>45854</v>
      </c>
      <c r="J3305" t="s">
        <v>49</v>
      </c>
      <c r="K3305" s="33">
        <v>3200</v>
      </c>
      <c r="L3305" t="s">
        <v>62</v>
      </c>
      <c r="M3305" t="str">
        <f>_xlfn.XLOOKUP(Pipeline_tbl[[#This Row],[Rep_ID]],Dim_Reps!A:A,Dim_Reps!K:K)</f>
        <v>MXN</v>
      </c>
      <c r="N3305" s="33">
        <f>(_xlfn.XLOOKUP(Pipeline_tbl[[#This Row],[Rate_Code_Generalized]],Lookups!A:A,Lookups!B:B))*Pipeline_tbl[[#This Row],[Pipeline_Amount_USD]]</f>
        <v>63144.640000000007</v>
      </c>
      <c r="O3305" t="str">
        <f>_xlfn.XLOOKUP(Pipeline_tbl[[#This Row],[Rep_ID]],Dim_Reps!A:A,Dim_Reps!B:B)</f>
        <v>Ben Silva</v>
      </c>
      <c r="P3305" t="str">
        <f>_xlfn.XLOOKUP(Pipeline_tbl[[#This Row],[Rep_ID]],Dim_Reps!A:A,Dim_Reps!C:C)</f>
        <v>SDR / Inside Sales Rep</v>
      </c>
      <c r="Q3305" t="str">
        <f>_xlfn.XLOOKUP(Pipeline_tbl[[#This Row],[Rep_ID]],Dim_Reps!A:A,Dim_Reps!D:D)</f>
        <v>Inside Sales</v>
      </c>
      <c r="R3305" t="str">
        <f>_xlfn.XLOOKUP(Pipeline_tbl[[#This Row],[Rep_ID]],Dim_Reps!A:A,Dim_Reps!E:E)</f>
        <v>LATAM</v>
      </c>
      <c r="S3305" t="str">
        <f>_xlfn.XLOOKUP(Pipeline_tbl[[#This Row],[Created_Date]],Dim_Date!A:A,Dim_Date!H:H)</f>
        <v>Jun 2025</v>
      </c>
      <c r="T3305" t="str">
        <f>IF(Pipeline_tbl[[#This Row],[Closed_Date]]=0,"",(_xlfn.XLOOKUP(Pipeline_tbl[[#This Row],[Closed_Date]],Dim_Date!A:A,Dim_Date!H:H)))</f>
        <v>Jul 2025</v>
      </c>
      <c r="U3305">
        <f>IF(Pipeline_tbl[[#This Row],[Closed_Date]]=0,"",Pipeline_tbl[[#This Row],[Closed_Date]]-Pipeline_tbl[[#This Row],[Created_Date]])</f>
        <v>16</v>
      </c>
    </row>
    <row r="3306" spans="1:21" ht="15" customHeight="1" x14ac:dyDescent="0.2">
      <c r="A3306" t="s">
        <v>3612</v>
      </c>
      <c r="B3306" t="s">
        <v>231</v>
      </c>
      <c r="C3306" t="s">
        <v>53</v>
      </c>
      <c r="D3306" s="49">
        <v>45834</v>
      </c>
      <c r="E3306" s="49">
        <v>45835</v>
      </c>
      <c r="F3306" s="49">
        <v>45838</v>
      </c>
      <c r="I3306" s="49">
        <v>45846</v>
      </c>
      <c r="J3306" t="s">
        <v>49</v>
      </c>
      <c r="K3306" s="33">
        <v>4400</v>
      </c>
      <c r="L3306" t="s">
        <v>62</v>
      </c>
      <c r="M3306" t="str">
        <f>_xlfn.XLOOKUP(Pipeline_tbl[[#This Row],[Rep_ID]],Dim_Reps!A:A,Dim_Reps!K:K)</f>
        <v>MXN</v>
      </c>
      <c r="N3306" s="33">
        <f>(_xlfn.XLOOKUP(Pipeline_tbl[[#This Row],[Rate_Code_Generalized]],Lookups!A:A,Lookups!B:B))*Pipeline_tbl[[#This Row],[Pipeline_Amount_USD]]</f>
        <v>86823.88</v>
      </c>
      <c r="O3306" t="str">
        <f>_xlfn.XLOOKUP(Pipeline_tbl[[#This Row],[Rep_ID]],Dim_Reps!A:A,Dim_Reps!B:B)</f>
        <v>Ben Silva</v>
      </c>
      <c r="P3306" t="str">
        <f>_xlfn.XLOOKUP(Pipeline_tbl[[#This Row],[Rep_ID]],Dim_Reps!A:A,Dim_Reps!C:C)</f>
        <v>SDR / Inside Sales Rep</v>
      </c>
      <c r="Q3306" t="str">
        <f>_xlfn.XLOOKUP(Pipeline_tbl[[#This Row],[Rep_ID]],Dim_Reps!A:A,Dim_Reps!D:D)</f>
        <v>Inside Sales</v>
      </c>
      <c r="R3306" t="str">
        <f>_xlfn.XLOOKUP(Pipeline_tbl[[#This Row],[Rep_ID]],Dim_Reps!A:A,Dim_Reps!E:E)</f>
        <v>LATAM</v>
      </c>
      <c r="S3306" t="str">
        <f>_xlfn.XLOOKUP(Pipeline_tbl[[#This Row],[Created_Date]],Dim_Date!A:A,Dim_Date!H:H)</f>
        <v>Jun 2025</v>
      </c>
      <c r="T3306" t="str">
        <f>IF(Pipeline_tbl[[#This Row],[Closed_Date]]=0,"",(_xlfn.XLOOKUP(Pipeline_tbl[[#This Row],[Closed_Date]],Dim_Date!A:A,Dim_Date!H:H)))</f>
        <v>Jul 2025</v>
      </c>
      <c r="U3306">
        <f>IF(Pipeline_tbl[[#This Row],[Closed_Date]]=0,"",Pipeline_tbl[[#This Row],[Closed_Date]]-Pipeline_tbl[[#This Row],[Created_Date]])</f>
        <v>12</v>
      </c>
    </row>
    <row r="3307" spans="1:21" ht="15" customHeight="1" x14ac:dyDescent="0.2">
      <c r="A3307" t="s">
        <v>3613</v>
      </c>
      <c r="B3307" t="s">
        <v>231</v>
      </c>
      <c r="C3307" t="s">
        <v>55</v>
      </c>
      <c r="D3307" s="49">
        <v>45831</v>
      </c>
      <c r="E3307" s="49">
        <v>45833</v>
      </c>
      <c r="F3307" s="49">
        <v>45837</v>
      </c>
      <c r="G3307" s="49">
        <v>45843</v>
      </c>
      <c r="H3307" s="49">
        <v>45848</v>
      </c>
      <c r="I3307" s="49">
        <v>45851</v>
      </c>
      <c r="J3307" t="s">
        <v>47</v>
      </c>
      <c r="K3307" s="33">
        <v>2600</v>
      </c>
      <c r="M3307" t="str">
        <f>_xlfn.XLOOKUP(Pipeline_tbl[[#This Row],[Rep_ID]],Dim_Reps!A:A,Dim_Reps!K:K)</f>
        <v>MXN</v>
      </c>
      <c r="N3307" s="33">
        <f>(_xlfn.XLOOKUP(Pipeline_tbl[[#This Row],[Rate_Code_Generalized]],Lookups!A:A,Lookups!B:B))*Pipeline_tbl[[#This Row],[Pipeline_Amount_USD]]</f>
        <v>51305.020000000004</v>
      </c>
      <c r="O3307" t="str">
        <f>_xlfn.XLOOKUP(Pipeline_tbl[[#This Row],[Rep_ID]],Dim_Reps!A:A,Dim_Reps!B:B)</f>
        <v>Ben Silva</v>
      </c>
      <c r="P3307" t="str">
        <f>_xlfn.XLOOKUP(Pipeline_tbl[[#This Row],[Rep_ID]],Dim_Reps!A:A,Dim_Reps!C:C)</f>
        <v>SDR / Inside Sales Rep</v>
      </c>
      <c r="Q3307" t="str">
        <f>_xlfn.XLOOKUP(Pipeline_tbl[[#This Row],[Rep_ID]],Dim_Reps!A:A,Dim_Reps!D:D)</f>
        <v>Inside Sales</v>
      </c>
      <c r="R3307" t="str">
        <f>_xlfn.XLOOKUP(Pipeline_tbl[[#This Row],[Rep_ID]],Dim_Reps!A:A,Dim_Reps!E:E)</f>
        <v>LATAM</v>
      </c>
      <c r="S3307" t="str">
        <f>_xlfn.XLOOKUP(Pipeline_tbl[[#This Row],[Created_Date]],Dim_Date!A:A,Dim_Date!H:H)</f>
        <v>Jun 2025</v>
      </c>
      <c r="T3307" t="str">
        <f>IF(Pipeline_tbl[[#This Row],[Closed_Date]]=0,"",(_xlfn.XLOOKUP(Pipeline_tbl[[#This Row],[Closed_Date]],Dim_Date!A:A,Dim_Date!H:H)))</f>
        <v>Jul 2025</v>
      </c>
      <c r="U3307">
        <f>IF(Pipeline_tbl[[#This Row],[Closed_Date]]=0,"",Pipeline_tbl[[#This Row],[Closed_Date]]-Pipeline_tbl[[#This Row],[Created_Date]])</f>
        <v>20</v>
      </c>
    </row>
    <row r="3308" spans="1:21" ht="15" customHeight="1" x14ac:dyDescent="0.2">
      <c r="A3308" t="s">
        <v>3614</v>
      </c>
      <c r="B3308" t="s">
        <v>231</v>
      </c>
      <c r="C3308" t="s">
        <v>53</v>
      </c>
      <c r="D3308" s="49">
        <v>45835</v>
      </c>
      <c r="E3308" s="49">
        <v>45837</v>
      </c>
      <c r="F3308" s="49">
        <v>45840</v>
      </c>
      <c r="G3308" s="49">
        <v>45845</v>
      </c>
      <c r="H3308" s="49">
        <v>45849</v>
      </c>
      <c r="I3308" s="49">
        <v>45852</v>
      </c>
      <c r="J3308" t="s">
        <v>47</v>
      </c>
      <c r="K3308" s="33">
        <v>2200</v>
      </c>
      <c r="M3308" t="str">
        <f>_xlfn.XLOOKUP(Pipeline_tbl[[#This Row],[Rep_ID]],Dim_Reps!A:A,Dim_Reps!K:K)</f>
        <v>MXN</v>
      </c>
      <c r="N3308" s="33">
        <f>(_xlfn.XLOOKUP(Pipeline_tbl[[#This Row],[Rate_Code_Generalized]],Lookups!A:A,Lookups!B:B))*Pipeline_tbl[[#This Row],[Pipeline_Amount_USD]]</f>
        <v>43411.94</v>
      </c>
      <c r="O3308" t="str">
        <f>_xlfn.XLOOKUP(Pipeline_tbl[[#This Row],[Rep_ID]],Dim_Reps!A:A,Dim_Reps!B:B)</f>
        <v>Ben Silva</v>
      </c>
      <c r="P3308" t="str">
        <f>_xlfn.XLOOKUP(Pipeline_tbl[[#This Row],[Rep_ID]],Dim_Reps!A:A,Dim_Reps!C:C)</f>
        <v>SDR / Inside Sales Rep</v>
      </c>
      <c r="Q3308" t="str">
        <f>_xlfn.XLOOKUP(Pipeline_tbl[[#This Row],[Rep_ID]],Dim_Reps!A:A,Dim_Reps!D:D)</f>
        <v>Inside Sales</v>
      </c>
      <c r="R3308" t="str">
        <f>_xlfn.XLOOKUP(Pipeline_tbl[[#This Row],[Rep_ID]],Dim_Reps!A:A,Dim_Reps!E:E)</f>
        <v>LATAM</v>
      </c>
      <c r="S3308" t="str">
        <f>_xlfn.XLOOKUP(Pipeline_tbl[[#This Row],[Created_Date]],Dim_Date!A:A,Dim_Date!H:H)</f>
        <v>Jun 2025</v>
      </c>
      <c r="T3308" t="str">
        <f>IF(Pipeline_tbl[[#This Row],[Closed_Date]]=0,"",(_xlfn.XLOOKUP(Pipeline_tbl[[#This Row],[Closed_Date]],Dim_Date!A:A,Dim_Date!H:H)))</f>
        <v>Jul 2025</v>
      </c>
      <c r="U3308">
        <f>IF(Pipeline_tbl[[#This Row],[Closed_Date]]=0,"",Pipeline_tbl[[#This Row],[Closed_Date]]-Pipeline_tbl[[#This Row],[Created_Date]])</f>
        <v>17</v>
      </c>
    </row>
    <row r="3309" spans="1:21" ht="15" customHeight="1" x14ac:dyDescent="0.2">
      <c r="A3309" t="s">
        <v>3615</v>
      </c>
      <c r="B3309" t="s">
        <v>263</v>
      </c>
      <c r="C3309" t="s">
        <v>56</v>
      </c>
      <c r="D3309" s="49">
        <v>45820</v>
      </c>
      <c r="E3309" s="49">
        <v>45824</v>
      </c>
      <c r="F3309" s="49">
        <v>45833</v>
      </c>
      <c r="I3309" s="49">
        <v>45862</v>
      </c>
      <c r="J3309" t="s">
        <v>49</v>
      </c>
      <c r="K3309" s="33">
        <v>10300</v>
      </c>
      <c r="L3309" t="s">
        <v>60</v>
      </c>
      <c r="M3309" t="str">
        <f>_xlfn.XLOOKUP(Pipeline_tbl[[#This Row],[Rep_ID]],Dim_Reps!A:A,Dim_Reps!K:K)</f>
        <v>USD</v>
      </c>
      <c r="N3309" s="33">
        <f>(_xlfn.XLOOKUP(Pipeline_tbl[[#This Row],[Rate_Code_Generalized]],Lookups!A:A,Lookups!B:B))*Pipeline_tbl[[#This Row],[Pipeline_Amount_USD]]</f>
        <v>11992.289999999999</v>
      </c>
      <c r="O3309" t="str">
        <f>_xlfn.XLOOKUP(Pipeline_tbl[[#This Row],[Rep_ID]],Dim_Reps!A:A,Dim_Reps!B:B)</f>
        <v>Morgan Weber</v>
      </c>
      <c r="P3309" t="str">
        <f>_xlfn.XLOOKUP(Pipeline_tbl[[#This Row],[Rep_ID]],Dim_Reps!A:A,Dim_Reps!C:C)</f>
        <v>Mid-Market AE</v>
      </c>
      <c r="Q3309" t="str">
        <f>_xlfn.XLOOKUP(Pipeline_tbl[[#This Row],[Rep_ID]],Dim_Reps!A:A,Dim_Reps!D:D)</f>
        <v>Mid-Market</v>
      </c>
      <c r="R3309" t="str">
        <f>_xlfn.XLOOKUP(Pipeline_tbl[[#This Row],[Rep_ID]],Dim_Reps!A:A,Dim_Reps!E:E)</f>
        <v>NAMER</v>
      </c>
      <c r="S3309" t="str">
        <f>_xlfn.XLOOKUP(Pipeline_tbl[[#This Row],[Created_Date]],Dim_Date!A:A,Dim_Date!H:H)</f>
        <v>Jun 2025</v>
      </c>
      <c r="T3309" t="str">
        <f>IF(Pipeline_tbl[[#This Row],[Closed_Date]]=0,"",(_xlfn.XLOOKUP(Pipeline_tbl[[#This Row],[Closed_Date]],Dim_Date!A:A,Dim_Date!H:H)))</f>
        <v>Jul 2025</v>
      </c>
      <c r="U3309">
        <f>IF(Pipeline_tbl[[#This Row],[Closed_Date]]=0,"",Pipeline_tbl[[#This Row],[Closed_Date]]-Pipeline_tbl[[#This Row],[Created_Date]])</f>
        <v>42</v>
      </c>
    </row>
    <row r="3310" spans="1:21" ht="15" customHeight="1" x14ac:dyDescent="0.2">
      <c r="A3310" t="s">
        <v>3616</v>
      </c>
      <c r="B3310" t="s">
        <v>263</v>
      </c>
      <c r="C3310" t="s">
        <v>52</v>
      </c>
      <c r="D3310" s="49">
        <v>45824</v>
      </c>
      <c r="E3310" s="49">
        <v>45828</v>
      </c>
      <c r="I3310" s="49">
        <v>45864</v>
      </c>
      <c r="J3310" t="s">
        <v>49</v>
      </c>
      <c r="K3310" s="33">
        <v>5900</v>
      </c>
      <c r="L3310" t="s">
        <v>63</v>
      </c>
      <c r="M3310" t="str">
        <f>_xlfn.XLOOKUP(Pipeline_tbl[[#This Row],[Rep_ID]],Dim_Reps!A:A,Dim_Reps!K:K)</f>
        <v>USD</v>
      </c>
      <c r="N3310" s="33">
        <f>(_xlfn.XLOOKUP(Pipeline_tbl[[#This Row],[Rate_Code_Generalized]],Lookups!A:A,Lookups!B:B))*Pipeline_tbl[[#This Row],[Pipeline_Amount_USD]]</f>
        <v>6869.369999999999</v>
      </c>
      <c r="O3310" t="str">
        <f>_xlfn.XLOOKUP(Pipeline_tbl[[#This Row],[Rep_ID]],Dim_Reps!A:A,Dim_Reps!B:B)</f>
        <v>Morgan Weber</v>
      </c>
      <c r="P3310" t="str">
        <f>_xlfn.XLOOKUP(Pipeline_tbl[[#This Row],[Rep_ID]],Dim_Reps!A:A,Dim_Reps!C:C)</f>
        <v>Mid-Market AE</v>
      </c>
      <c r="Q3310" t="str">
        <f>_xlfn.XLOOKUP(Pipeline_tbl[[#This Row],[Rep_ID]],Dim_Reps!A:A,Dim_Reps!D:D)</f>
        <v>Mid-Market</v>
      </c>
      <c r="R3310" t="str">
        <f>_xlfn.XLOOKUP(Pipeline_tbl[[#This Row],[Rep_ID]],Dim_Reps!A:A,Dim_Reps!E:E)</f>
        <v>NAMER</v>
      </c>
      <c r="S3310" t="str">
        <f>_xlfn.XLOOKUP(Pipeline_tbl[[#This Row],[Created_Date]],Dim_Date!A:A,Dim_Date!H:H)</f>
        <v>Jun 2025</v>
      </c>
      <c r="T3310" t="str">
        <f>IF(Pipeline_tbl[[#This Row],[Closed_Date]]=0,"",(_xlfn.XLOOKUP(Pipeline_tbl[[#This Row],[Closed_Date]],Dim_Date!A:A,Dim_Date!H:H)))</f>
        <v>Jul 2025</v>
      </c>
      <c r="U3310">
        <f>IF(Pipeline_tbl[[#This Row],[Closed_Date]]=0,"",Pipeline_tbl[[#This Row],[Closed_Date]]-Pipeline_tbl[[#This Row],[Created_Date]])</f>
        <v>40</v>
      </c>
    </row>
    <row r="3311" spans="1:21" ht="15" customHeight="1" x14ac:dyDescent="0.2">
      <c r="A3311" t="s">
        <v>3617</v>
      </c>
      <c r="B3311" t="s">
        <v>265</v>
      </c>
      <c r="C3311" t="s">
        <v>53</v>
      </c>
      <c r="D3311" s="49">
        <v>45826</v>
      </c>
      <c r="E3311" s="49">
        <v>45829</v>
      </c>
      <c r="I3311" s="49">
        <v>45859</v>
      </c>
      <c r="J3311" t="s">
        <v>49</v>
      </c>
      <c r="K3311" s="33">
        <v>13000</v>
      </c>
      <c r="L3311" t="s">
        <v>64</v>
      </c>
      <c r="M3311" t="str">
        <f>_xlfn.XLOOKUP(Pipeline_tbl[[#This Row],[Rep_ID]],Dim_Reps!A:A,Dim_Reps!K:K)</f>
        <v>EUR</v>
      </c>
      <c r="N3311" s="33">
        <f>(_xlfn.XLOOKUP(Pipeline_tbl[[#This Row],[Rate_Code_Generalized]],Lookups!A:A,Lookups!B:B))*Pipeline_tbl[[#This Row],[Pipeline_Amount_USD]]</f>
        <v>13000</v>
      </c>
      <c r="O3311" t="str">
        <f>_xlfn.XLOOKUP(Pipeline_tbl[[#This Row],[Rep_ID]],Dim_Reps!A:A,Dim_Reps!B:B)</f>
        <v>Erik Duarte</v>
      </c>
      <c r="P3311" t="str">
        <f>_xlfn.XLOOKUP(Pipeline_tbl[[#This Row],[Rep_ID]],Dim_Reps!A:A,Dim_Reps!C:C)</f>
        <v>Mid-Market AE</v>
      </c>
      <c r="Q3311" t="str">
        <f>_xlfn.XLOOKUP(Pipeline_tbl[[#This Row],[Rep_ID]],Dim_Reps!A:A,Dim_Reps!D:D)</f>
        <v>Mid-Market</v>
      </c>
      <c r="R3311" t="str">
        <f>_xlfn.XLOOKUP(Pipeline_tbl[[#This Row],[Rep_ID]],Dim_Reps!A:A,Dim_Reps!E:E)</f>
        <v>EMEA</v>
      </c>
      <c r="S3311" t="str">
        <f>_xlfn.XLOOKUP(Pipeline_tbl[[#This Row],[Created_Date]],Dim_Date!A:A,Dim_Date!H:H)</f>
        <v>Jun 2025</v>
      </c>
      <c r="T3311" t="str">
        <f>IF(Pipeline_tbl[[#This Row],[Closed_Date]]=0,"",(_xlfn.XLOOKUP(Pipeline_tbl[[#This Row],[Closed_Date]],Dim_Date!A:A,Dim_Date!H:H)))</f>
        <v>Jul 2025</v>
      </c>
      <c r="U3311">
        <f>IF(Pipeline_tbl[[#This Row],[Closed_Date]]=0,"",Pipeline_tbl[[#This Row],[Closed_Date]]-Pipeline_tbl[[#This Row],[Created_Date]])</f>
        <v>33</v>
      </c>
    </row>
    <row r="3312" spans="1:21" ht="15" customHeight="1" x14ac:dyDescent="0.2">
      <c r="A3312" t="s">
        <v>3618</v>
      </c>
      <c r="B3312" t="s">
        <v>265</v>
      </c>
      <c r="C3312" t="s">
        <v>52</v>
      </c>
      <c r="D3312" s="49">
        <v>45828</v>
      </c>
      <c r="E3312" s="49">
        <v>45831</v>
      </c>
      <c r="F3312" s="49">
        <v>45836</v>
      </c>
      <c r="G3312" s="49">
        <v>45844</v>
      </c>
      <c r="H3312" s="49">
        <v>45851</v>
      </c>
      <c r="I3312" s="49">
        <v>45855</v>
      </c>
      <c r="J3312" t="s">
        <v>47</v>
      </c>
      <c r="K3312" s="33">
        <v>10500</v>
      </c>
      <c r="M3312" t="str">
        <f>_xlfn.XLOOKUP(Pipeline_tbl[[#This Row],[Rep_ID]],Dim_Reps!A:A,Dim_Reps!K:K)</f>
        <v>EUR</v>
      </c>
      <c r="N3312" s="33">
        <f>(_xlfn.XLOOKUP(Pipeline_tbl[[#This Row],[Rate_Code_Generalized]],Lookups!A:A,Lookups!B:B))*Pipeline_tbl[[#This Row],[Pipeline_Amount_USD]]</f>
        <v>10500</v>
      </c>
      <c r="O3312" t="str">
        <f>_xlfn.XLOOKUP(Pipeline_tbl[[#This Row],[Rep_ID]],Dim_Reps!A:A,Dim_Reps!B:B)</f>
        <v>Erik Duarte</v>
      </c>
      <c r="P3312" t="str">
        <f>_xlfn.XLOOKUP(Pipeline_tbl[[#This Row],[Rep_ID]],Dim_Reps!A:A,Dim_Reps!C:C)</f>
        <v>Mid-Market AE</v>
      </c>
      <c r="Q3312" t="str">
        <f>_xlfn.XLOOKUP(Pipeline_tbl[[#This Row],[Rep_ID]],Dim_Reps!A:A,Dim_Reps!D:D)</f>
        <v>Mid-Market</v>
      </c>
      <c r="R3312" t="str">
        <f>_xlfn.XLOOKUP(Pipeline_tbl[[#This Row],[Rep_ID]],Dim_Reps!A:A,Dim_Reps!E:E)</f>
        <v>EMEA</v>
      </c>
      <c r="S3312" t="str">
        <f>_xlfn.XLOOKUP(Pipeline_tbl[[#This Row],[Created_Date]],Dim_Date!A:A,Dim_Date!H:H)</f>
        <v>Jun 2025</v>
      </c>
      <c r="T3312" t="str">
        <f>IF(Pipeline_tbl[[#This Row],[Closed_Date]]=0,"",(_xlfn.XLOOKUP(Pipeline_tbl[[#This Row],[Closed_Date]],Dim_Date!A:A,Dim_Date!H:H)))</f>
        <v>Jul 2025</v>
      </c>
      <c r="U3312">
        <f>IF(Pipeline_tbl[[#This Row],[Closed_Date]]=0,"",Pipeline_tbl[[#This Row],[Closed_Date]]-Pipeline_tbl[[#This Row],[Created_Date]])</f>
        <v>27</v>
      </c>
    </row>
    <row r="3313" spans="1:21" ht="15" customHeight="1" x14ac:dyDescent="0.2">
      <c r="A3313" t="s">
        <v>3619</v>
      </c>
      <c r="B3313" t="s">
        <v>233</v>
      </c>
      <c r="C3313" t="s">
        <v>54</v>
      </c>
      <c r="D3313" s="49">
        <v>45837</v>
      </c>
      <c r="E3313" s="49">
        <v>45839</v>
      </c>
      <c r="F3313" s="49">
        <v>45844</v>
      </c>
      <c r="G3313" s="49">
        <v>45850</v>
      </c>
      <c r="H3313" s="49">
        <v>45856</v>
      </c>
      <c r="I3313" s="49">
        <v>45859</v>
      </c>
      <c r="J3313" t="s">
        <v>49</v>
      </c>
      <c r="K3313" s="33">
        <v>2700</v>
      </c>
      <c r="L3313" t="s">
        <v>61</v>
      </c>
      <c r="M3313" t="str">
        <f>_xlfn.XLOOKUP(Pipeline_tbl[[#This Row],[Rep_ID]],Dim_Reps!A:A,Dim_Reps!K:K)</f>
        <v>MXN</v>
      </c>
      <c r="N3313" s="33">
        <f>(_xlfn.XLOOKUP(Pipeline_tbl[[#This Row],[Rate_Code_Generalized]],Lookups!A:A,Lookups!B:B))*Pipeline_tbl[[#This Row],[Pipeline_Amount_USD]]</f>
        <v>53278.29</v>
      </c>
      <c r="O3313" t="str">
        <f>_xlfn.XLOOKUP(Pipeline_tbl[[#This Row],[Rep_ID]],Dim_Reps!A:A,Dim_Reps!B:B)</f>
        <v>Lucas Duarte</v>
      </c>
      <c r="P3313" t="str">
        <f>_xlfn.XLOOKUP(Pipeline_tbl[[#This Row],[Rep_ID]],Dim_Reps!A:A,Dim_Reps!C:C)</f>
        <v>SDR / Inside Sales Rep</v>
      </c>
      <c r="Q3313" t="str">
        <f>_xlfn.XLOOKUP(Pipeline_tbl[[#This Row],[Rep_ID]],Dim_Reps!A:A,Dim_Reps!D:D)</f>
        <v>Inside Sales</v>
      </c>
      <c r="R3313" t="str">
        <f>_xlfn.XLOOKUP(Pipeline_tbl[[#This Row],[Rep_ID]],Dim_Reps!A:A,Dim_Reps!E:E)</f>
        <v>LATAM</v>
      </c>
      <c r="S3313" t="str">
        <f>_xlfn.XLOOKUP(Pipeline_tbl[[#This Row],[Created_Date]],Dim_Date!A:A,Dim_Date!H:H)</f>
        <v>Jun 2025</v>
      </c>
      <c r="T3313" t="str">
        <f>IF(Pipeline_tbl[[#This Row],[Closed_Date]]=0,"",(_xlfn.XLOOKUP(Pipeline_tbl[[#This Row],[Closed_Date]],Dim_Date!A:A,Dim_Date!H:H)))</f>
        <v>Jul 2025</v>
      </c>
      <c r="U3313">
        <f>IF(Pipeline_tbl[[#This Row],[Closed_Date]]=0,"",Pipeline_tbl[[#This Row],[Closed_Date]]-Pipeline_tbl[[#This Row],[Created_Date]])</f>
        <v>22</v>
      </c>
    </row>
    <row r="3314" spans="1:21" ht="15" customHeight="1" x14ac:dyDescent="0.2">
      <c r="A3314" t="s">
        <v>3620</v>
      </c>
      <c r="B3314" t="s">
        <v>233</v>
      </c>
      <c r="C3314" t="s">
        <v>53</v>
      </c>
      <c r="D3314" s="49">
        <v>45836</v>
      </c>
      <c r="E3314" s="49">
        <v>45837</v>
      </c>
      <c r="F3314" s="49">
        <v>45840</v>
      </c>
      <c r="G3314" s="49">
        <v>45844</v>
      </c>
      <c r="H3314" s="49">
        <v>45847</v>
      </c>
      <c r="I3314" s="49">
        <v>45849</v>
      </c>
      <c r="J3314" t="s">
        <v>49</v>
      </c>
      <c r="K3314" s="33">
        <v>2300</v>
      </c>
      <c r="L3314" t="s">
        <v>60</v>
      </c>
      <c r="M3314" t="str">
        <f>_xlfn.XLOOKUP(Pipeline_tbl[[#This Row],[Rep_ID]],Dim_Reps!A:A,Dim_Reps!K:K)</f>
        <v>MXN</v>
      </c>
      <c r="N3314" s="33">
        <f>(_xlfn.XLOOKUP(Pipeline_tbl[[#This Row],[Rate_Code_Generalized]],Lookups!A:A,Lookups!B:B))*Pipeline_tbl[[#This Row],[Pipeline_Amount_USD]]</f>
        <v>45385.210000000006</v>
      </c>
      <c r="O3314" t="str">
        <f>_xlfn.XLOOKUP(Pipeline_tbl[[#This Row],[Rep_ID]],Dim_Reps!A:A,Dim_Reps!B:B)</f>
        <v>Lucas Duarte</v>
      </c>
      <c r="P3314" t="str">
        <f>_xlfn.XLOOKUP(Pipeline_tbl[[#This Row],[Rep_ID]],Dim_Reps!A:A,Dim_Reps!C:C)</f>
        <v>SDR / Inside Sales Rep</v>
      </c>
      <c r="Q3314" t="str">
        <f>_xlfn.XLOOKUP(Pipeline_tbl[[#This Row],[Rep_ID]],Dim_Reps!A:A,Dim_Reps!D:D)</f>
        <v>Inside Sales</v>
      </c>
      <c r="R3314" t="str">
        <f>_xlfn.XLOOKUP(Pipeline_tbl[[#This Row],[Rep_ID]],Dim_Reps!A:A,Dim_Reps!E:E)</f>
        <v>LATAM</v>
      </c>
      <c r="S3314" t="str">
        <f>_xlfn.XLOOKUP(Pipeline_tbl[[#This Row],[Created_Date]],Dim_Date!A:A,Dim_Date!H:H)</f>
        <v>Jun 2025</v>
      </c>
      <c r="T3314" t="str">
        <f>IF(Pipeline_tbl[[#This Row],[Closed_Date]]=0,"",(_xlfn.XLOOKUP(Pipeline_tbl[[#This Row],[Closed_Date]],Dim_Date!A:A,Dim_Date!H:H)))</f>
        <v>Jul 2025</v>
      </c>
      <c r="U3314">
        <f>IF(Pipeline_tbl[[#This Row],[Closed_Date]]=0,"",Pipeline_tbl[[#This Row],[Closed_Date]]-Pipeline_tbl[[#This Row],[Created_Date]])</f>
        <v>13</v>
      </c>
    </row>
    <row r="3315" spans="1:21" ht="15" customHeight="1" x14ac:dyDescent="0.2">
      <c r="A3315" t="s">
        <v>3621</v>
      </c>
      <c r="B3315" t="s">
        <v>233</v>
      </c>
      <c r="C3315" t="s">
        <v>52</v>
      </c>
      <c r="D3315" s="49">
        <v>45831</v>
      </c>
      <c r="E3315" s="49">
        <v>45832</v>
      </c>
      <c r="F3315" s="49">
        <v>45835</v>
      </c>
      <c r="G3315" s="49">
        <v>45839</v>
      </c>
      <c r="H3315" s="49">
        <v>45843</v>
      </c>
      <c r="I3315" s="49">
        <v>45845</v>
      </c>
      <c r="J3315" t="s">
        <v>47</v>
      </c>
      <c r="K3315" s="33">
        <v>2100</v>
      </c>
      <c r="M3315" t="str">
        <f>_xlfn.XLOOKUP(Pipeline_tbl[[#This Row],[Rep_ID]],Dim_Reps!A:A,Dim_Reps!K:K)</f>
        <v>MXN</v>
      </c>
      <c r="N3315" s="33">
        <f>(_xlfn.XLOOKUP(Pipeline_tbl[[#This Row],[Rate_Code_Generalized]],Lookups!A:A,Lookups!B:B))*Pipeline_tbl[[#This Row],[Pipeline_Amount_USD]]</f>
        <v>41438.670000000006</v>
      </c>
      <c r="O3315" t="str">
        <f>_xlfn.XLOOKUP(Pipeline_tbl[[#This Row],[Rep_ID]],Dim_Reps!A:A,Dim_Reps!B:B)</f>
        <v>Lucas Duarte</v>
      </c>
      <c r="P3315" t="str">
        <f>_xlfn.XLOOKUP(Pipeline_tbl[[#This Row],[Rep_ID]],Dim_Reps!A:A,Dim_Reps!C:C)</f>
        <v>SDR / Inside Sales Rep</v>
      </c>
      <c r="Q3315" t="str">
        <f>_xlfn.XLOOKUP(Pipeline_tbl[[#This Row],[Rep_ID]],Dim_Reps!A:A,Dim_Reps!D:D)</f>
        <v>Inside Sales</v>
      </c>
      <c r="R3315" t="str">
        <f>_xlfn.XLOOKUP(Pipeline_tbl[[#This Row],[Rep_ID]],Dim_Reps!A:A,Dim_Reps!E:E)</f>
        <v>LATAM</v>
      </c>
      <c r="S3315" t="str">
        <f>_xlfn.XLOOKUP(Pipeline_tbl[[#This Row],[Created_Date]],Dim_Date!A:A,Dim_Date!H:H)</f>
        <v>Jun 2025</v>
      </c>
      <c r="T3315" t="str">
        <f>IF(Pipeline_tbl[[#This Row],[Closed_Date]]=0,"",(_xlfn.XLOOKUP(Pipeline_tbl[[#This Row],[Closed_Date]],Dim_Date!A:A,Dim_Date!H:H)))</f>
        <v>Jul 2025</v>
      </c>
      <c r="U3315">
        <f>IF(Pipeline_tbl[[#This Row],[Closed_Date]]=0,"",Pipeline_tbl[[#This Row],[Closed_Date]]-Pipeline_tbl[[#This Row],[Created_Date]])</f>
        <v>14</v>
      </c>
    </row>
    <row r="3316" spans="1:21" ht="15" customHeight="1" x14ac:dyDescent="0.2">
      <c r="A3316" t="s">
        <v>3622</v>
      </c>
      <c r="B3316" t="s">
        <v>233</v>
      </c>
      <c r="C3316" t="s">
        <v>56</v>
      </c>
      <c r="D3316" s="49">
        <v>45825</v>
      </c>
      <c r="E3316" s="49">
        <v>45827</v>
      </c>
      <c r="F3316" s="49">
        <v>45830</v>
      </c>
      <c r="G3316" s="49">
        <v>45835</v>
      </c>
      <c r="H3316" s="49">
        <v>45839</v>
      </c>
      <c r="I3316" s="49">
        <v>45841</v>
      </c>
      <c r="J3316" t="s">
        <v>47</v>
      </c>
      <c r="K3316" s="33">
        <v>4600</v>
      </c>
      <c r="M3316" t="str">
        <f>_xlfn.XLOOKUP(Pipeline_tbl[[#This Row],[Rep_ID]],Dim_Reps!A:A,Dim_Reps!K:K)</f>
        <v>MXN</v>
      </c>
      <c r="N3316" s="33">
        <f>(_xlfn.XLOOKUP(Pipeline_tbl[[#This Row],[Rate_Code_Generalized]],Lookups!A:A,Lookups!B:B))*Pipeline_tbl[[#This Row],[Pipeline_Amount_USD]]</f>
        <v>90770.420000000013</v>
      </c>
      <c r="O3316" t="str">
        <f>_xlfn.XLOOKUP(Pipeline_tbl[[#This Row],[Rep_ID]],Dim_Reps!A:A,Dim_Reps!B:B)</f>
        <v>Lucas Duarte</v>
      </c>
      <c r="P3316" t="str">
        <f>_xlfn.XLOOKUP(Pipeline_tbl[[#This Row],[Rep_ID]],Dim_Reps!A:A,Dim_Reps!C:C)</f>
        <v>SDR / Inside Sales Rep</v>
      </c>
      <c r="Q3316" t="str">
        <f>_xlfn.XLOOKUP(Pipeline_tbl[[#This Row],[Rep_ID]],Dim_Reps!A:A,Dim_Reps!D:D)</f>
        <v>Inside Sales</v>
      </c>
      <c r="R3316" t="str">
        <f>_xlfn.XLOOKUP(Pipeline_tbl[[#This Row],[Rep_ID]],Dim_Reps!A:A,Dim_Reps!E:E)</f>
        <v>LATAM</v>
      </c>
      <c r="S3316" t="str">
        <f>_xlfn.XLOOKUP(Pipeline_tbl[[#This Row],[Created_Date]],Dim_Date!A:A,Dim_Date!H:H)</f>
        <v>Jun 2025</v>
      </c>
      <c r="T3316" t="str">
        <f>IF(Pipeline_tbl[[#This Row],[Closed_Date]]=0,"",(_xlfn.XLOOKUP(Pipeline_tbl[[#This Row],[Closed_Date]],Dim_Date!A:A,Dim_Date!H:H)))</f>
        <v>Jul 2025</v>
      </c>
      <c r="U3316">
        <f>IF(Pipeline_tbl[[#This Row],[Closed_Date]]=0,"",Pipeline_tbl[[#This Row],[Closed_Date]]-Pipeline_tbl[[#This Row],[Created_Date]])</f>
        <v>16</v>
      </c>
    </row>
    <row r="3317" spans="1:21" ht="15" customHeight="1" x14ac:dyDescent="0.2">
      <c r="A3317" t="s">
        <v>3623</v>
      </c>
      <c r="B3317" t="s">
        <v>233</v>
      </c>
      <c r="C3317" t="s">
        <v>54</v>
      </c>
      <c r="D3317" s="49">
        <v>45827</v>
      </c>
      <c r="E3317" s="49">
        <v>45829</v>
      </c>
      <c r="F3317" s="49">
        <v>45834</v>
      </c>
      <c r="G3317" s="49">
        <v>45841</v>
      </c>
      <c r="H3317" s="49">
        <v>45847</v>
      </c>
      <c r="I3317" s="49">
        <v>45850</v>
      </c>
      <c r="J3317" t="s">
        <v>47</v>
      </c>
      <c r="K3317" s="33">
        <v>1500</v>
      </c>
      <c r="M3317" t="str">
        <f>_xlfn.XLOOKUP(Pipeline_tbl[[#This Row],[Rep_ID]],Dim_Reps!A:A,Dim_Reps!K:K)</f>
        <v>MXN</v>
      </c>
      <c r="N3317" s="33">
        <f>(_xlfn.XLOOKUP(Pipeline_tbl[[#This Row],[Rate_Code_Generalized]],Lookups!A:A,Lookups!B:B))*Pipeline_tbl[[#This Row],[Pipeline_Amount_USD]]</f>
        <v>29599.050000000003</v>
      </c>
      <c r="O3317" t="str">
        <f>_xlfn.XLOOKUP(Pipeline_tbl[[#This Row],[Rep_ID]],Dim_Reps!A:A,Dim_Reps!B:B)</f>
        <v>Lucas Duarte</v>
      </c>
      <c r="P3317" t="str">
        <f>_xlfn.XLOOKUP(Pipeline_tbl[[#This Row],[Rep_ID]],Dim_Reps!A:A,Dim_Reps!C:C)</f>
        <v>SDR / Inside Sales Rep</v>
      </c>
      <c r="Q3317" t="str">
        <f>_xlfn.XLOOKUP(Pipeline_tbl[[#This Row],[Rep_ID]],Dim_Reps!A:A,Dim_Reps!D:D)</f>
        <v>Inside Sales</v>
      </c>
      <c r="R3317" t="str">
        <f>_xlfn.XLOOKUP(Pipeline_tbl[[#This Row],[Rep_ID]],Dim_Reps!A:A,Dim_Reps!E:E)</f>
        <v>LATAM</v>
      </c>
      <c r="S3317" t="str">
        <f>_xlfn.XLOOKUP(Pipeline_tbl[[#This Row],[Created_Date]],Dim_Date!A:A,Dim_Date!H:H)</f>
        <v>Jun 2025</v>
      </c>
      <c r="T3317" t="str">
        <f>IF(Pipeline_tbl[[#This Row],[Closed_Date]]=0,"",(_xlfn.XLOOKUP(Pipeline_tbl[[#This Row],[Closed_Date]],Dim_Date!A:A,Dim_Date!H:H)))</f>
        <v>Jul 2025</v>
      </c>
      <c r="U3317">
        <f>IF(Pipeline_tbl[[#This Row],[Closed_Date]]=0,"",Pipeline_tbl[[#This Row],[Closed_Date]]-Pipeline_tbl[[#This Row],[Created_Date]])</f>
        <v>23</v>
      </c>
    </row>
    <row r="3318" spans="1:21" ht="15" customHeight="1" x14ac:dyDescent="0.2">
      <c r="A3318" t="s">
        <v>3624</v>
      </c>
      <c r="B3318" t="s">
        <v>233</v>
      </c>
      <c r="C3318" t="s">
        <v>53</v>
      </c>
      <c r="D3318" s="49">
        <v>45837</v>
      </c>
      <c r="E3318" s="49">
        <v>45839</v>
      </c>
      <c r="F3318" s="49">
        <v>45842</v>
      </c>
      <c r="G3318" s="49">
        <v>45846</v>
      </c>
      <c r="H3318" s="49">
        <v>45850</v>
      </c>
      <c r="I3318" s="49">
        <v>45852</v>
      </c>
      <c r="J3318" t="s">
        <v>49</v>
      </c>
      <c r="K3318" s="33">
        <v>3500</v>
      </c>
      <c r="L3318" t="s">
        <v>62</v>
      </c>
      <c r="M3318" t="str">
        <f>_xlfn.XLOOKUP(Pipeline_tbl[[#This Row],[Rep_ID]],Dim_Reps!A:A,Dim_Reps!K:K)</f>
        <v>MXN</v>
      </c>
      <c r="N3318" s="33">
        <f>(_xlfn.XLOOKUP(Pipeline_tbl[[#This Row],[Rate_Code_Generalized]],Lookups!A:A,Lookups!B:B))*Pipeline_tbl[[#This Row],[Pipeline_Amount_USD]]</f>
        <v>69064.45</v>
      </c>
      <c r="O3318" t="str">
        <f>_xlfn.XLOOKUP(Pipeline_tbl[[#This Row],[Rep_ID]],Dim_Reps!A:A,Dim_Reps!B:B)</f>
        <v>Lucas Duarte</v>
      </c>
      <c r="P3318" t="str">
        <f>_xlfn.XLOOKUP(Pipeline_tbl[[#This Row],[Rep_ID]],Dim_Reps!A:A,Dim_Reps!C:C)</f>
        <v>SDR / Inside Sales Rep</v>
      </c>
      <c r="Q3318" t="str">
        <f>_xlfn.XLOOKUP(Pipeline_tbl[[#This Row],[Rep_ID]],Dim_Reps!A:A,Dim_Reps!D:D)</f>
        <v>Inside Sales</v>
      </c>
      <c r="R3318" t="str">
        <f>_xlfn.XLOOKUP(Pipeline_tbl[[#This Row],[Rep_ID]],Dim_Reps!A:A,Dim_Reps!E:E)</f>
        <v>LATAM</v>
      </c>
      <c r="S3318" t="str">
        <f>_xlfn.XLOOKUP(Pipeline_tbl[[#This Row],[Created_Date]],Dim_Date!A:A,Dim_Date!H:H)</f>
        <v>Jun 2025</v>
      </c>
      <c r="T3318" t="str">
        <f>IF(Pipeline_tbl[[#This Row],[Closed_Date]]=0,"",(_xlfn.XLOOKUP(Pipeline_tbl[[#This Row],[Closed_Date]],Dim_Date!A:A,Dim_Date!H:H)))</f>
        <v>Jul 2025</v>
      </c>
      <c r="U3318">
        <f>IF(Pipeline_tbl[[#This Row],[Closed_Date]]=0,"",Pipeline_tbl[[#This Row],[Closed_Date]]-Pipeline_tbl[[#This Row],[Created_Date]])</f>
        <v>15</v>
      </c>
    </row>
    <row r="3319" spans="1:21" ht="15" customHeight="1" x14ac:dyDescent="0.2">
      <c r="A3319" t="s">
        <v>3625</v>
      </c>
      <c r="B3319" t="s">
        <v>233</v>
      </c>
      <c r="C3319" t="s">
        <v>56</v>
      </c>
      <c r="D3319" s="49">
        <v>45834</v>
      </c>
      <c r="E3319" s="49">
        <v>45836</v>
      </c>
      <c r="I3319" s="49">
        <v>45851</v>
      </c>
      <c r="J3319" t="s">
        <v>49</v>
      </c>
      <c r="K3319" s="33">
        <v>4400</v>
      </c>
      <c r="L3319" t="s">
        <v>60</v>
      </c>
      <c r="M3319" t="str">
        <f>_xlfn.XLOOKUP(Pipeline_tbl[[#This Row],[Rep_ID]],Dim_Reps!A:A,Dim_Reps!K:K)</f>
        <v>MXN</v>
      </c>
      <c r="N3319" s="33">
        <f>(_xlfn.XLOOKUP(Pipeline_tbl[[#This Row],[Rate_Code_Generalized]],Lookups!A:A,Lookups!B:B))*Pipeline_tbl[[#This Row],[Pipeline_Amount_USD]]</f>
        <v>86823.88</v>
      </c>
      <c r="O3319" t="str">
        <f>_xlfn.XLOOKUP(Pipeline_tbl[[#This Row],[Rep_ID]],Dim_Reps!A:A,Dim_Reps!B:B)</f>
        <v>Lucas Duarte</v>
      </c>
      <c r="P3319" t="str">
        <f>_xlfn.XLOOKUP(Pipeline_tbl[[#This Row],[Rep_ID]],Dim_Reps!A:A,Dim_Reps!C:C)</f>
        <v>SDR / Inside Sales Rep</v>
      </c>
      <c r="Q3319" t="str">
        <f>_xlfn.XLOOKUP(Pipeline_tbl[[#This Row],[Rep_ID]],Dim_Reps!A:A,Dim_Reps!D:D)</f>
        <v>Inside Sales</v>
      </c>
      <c r="R3319" t="str">
        <f>_xlfn.XLOOKUP(Pipeline_tbl[[#This Row],[Rep_ID]],Dim_Reps!A:A,Dim_Reps!E:E)</f>
        <v>LATAM</v>
      </c>
      <c r="S3319" t="str">
        <f>_xlfn.XLOOKUP(Pipeline_tbl[[#This Row],[Created_Date]],Dim_Date!A:A,Dim_Date!H:H)</f>
        <v>Jun 2025</v>
      </c>
      <c r="T3319" t="str">
        <f>IF(Pipeline_tbl[[#This Row],[Closed_Date]]=0,"",(_xlfn.XLOOKUP(Pipeline_tbl[[#This Row],[Closed_Date]],Dim_Date!A:A,Dim_Date!H:H)))</f>
        <v>Jul 2025</v>
      </c>
      <c r="U3319">
        <f>IF(Pipeline_tbl[[#This Row],[Closed_Date]]=0,"",Pipeline_tbl[[#This Row],[Closed_Date]]-Pipeline_tbl[[#This Row],[Created_Date]])</f>
        <v>17</v>
      </c>
    </row>
    <row r="3320" spans="1:21" ht="15" customHeight="1" x14ac:dyDescent="0.2">
      <c r="A3320" t="s">
        <v>3626</v>
      </c>
      <c r="B3320" t="s">
        <v>233</v>
      </c>
      <c r="C3320" t="s">
        <v>52</v>
      </c>
      <c r="D3320" s="49">
        <v>45827</v>
      </c>
      <c r="E3320" s="49">
        <v>45829</v>
      </c>
      <c r="F3320" s="49">
        <v>45834</v>
      </c>
      <c r="G3320" s="49">
        <v>45841</v>
      </c>
      <c r="H3320" s="49">
        <v>45847</v>
      </c>
      <c r="I3320" s="49">
        <v>45851</v>
      </c>
      <c r="J3320" t="s">
        <v>47</v>
      </c>
      <c r="K3320" s="33">
        <v>4600</v>
      </c>
      <c r="M3320" t="str">
        <f>_xlfn.XLOOKUP(Pipeline_tbl[[#This Row],[Rep_ID]],Dim_Reps!A:A,Dim_Reps!K:K)</f>
        <v>MXN</v>
      </c>
      <c r="N3320" s="33">
        <f>(_xlfn.XLOOKUP(Pipeline_tbl[[#This Row],[Rate_Code_Generalized]],Lookups!A:A,Lookups!B:B))*Pipeline_tbl[[#This Row],[Pipeline_Amount_USD]]</f>
        <v>90770.420000000013</v>
      </c>
      <c r="O3320" t="str">
        <f>_xlfn.XLOOKUP(Pipeline_tbl[[#This Row],[Rep_ID]],Dim_Reps!A:A,Dim_Reps!B:B)</f>
        <v>Lucas Duarte</v>
      </c>
      <c r="P3320" t="str">
        <f>_xlfn.XLOOKUP(Pipeline_tbl[[#This Row],[Rep_ID]],Dim_Reps!A:A,Dim_Reps!C:C)</f>
        <v>SDR / Inside Sales Rep</v>
      </c>
      <c r="Q3320" t="str">
        <f>_xlfn.XLOOKUP(Pipeline_tbl[[#This Row],[Rep_ID]],Dim_Reps!A:A,Dim_Reps!D:D)</f>
        <v>Inside Sales</v>
      </c>
      <c r="R3320" t="str">
        <f>_xlfn.XLOOKUP(Pipeline_tbl[[#This Row],[Rep_ID]],Dim_Reps!A:A,Dim_Reps!E:E)</f>
        <v>LATAM</v>
      </c>
      <c r="S3320" t="str">
        <f>_xlfn.XLOOKUP(Pipeline_tbl[[#This Row],[Created_Date]],Dim_Date!A:A,Dim_Date!H:H)</f>
        <v>Jun 2025</v>
      </c>
      <c r="T3320" t="str">
        <f>IF(Pipeline_tbl[[#This Row],[Closed_Date]]=0,"",(_xlfn.XLOOKUP(Pipeline_tbl[[#This Row],[Closed_Date]],Dim_Date!A:A,Dim_Date!H:H)))</f>
        <v>Jul 2025</v>
      </c>
      <c r="U3320">
        <f>IF(Pipeline_tbl[[#This Row],[Closed_Date]]=0,"",Pipeline_tbl[[#This Row],[Closed_Date]]-Pipeline_tbl[[#This Row],[Created_Date]])</f>
        <v>24</v>
      </c>
    </row>
    <row r="3321" spans="1:21" ht="15" customHeight="1" x14ac:dyDescent="0.2">
      <c r="A3321" t="s">
        <v>3627</v>
      </c>
      <c r="B3321" t="s">
        <v>233</v>
      </c>
      <c r="C3321" t="s">
        <v>54</v>
      </c>
      <c r="D3321" s="49">
        <v>45830</v>
      </c>
      <c r="E3321" s="49">
        <v>45832</v>
      </c>
      <c r="F3321" s="49">
        <v>45835</v>
      </c>
      <c r="I3321" s="49">
        <v>45846</v>
      </c>
      <c r="J3321" t="s">
        <v>49</v>
      </c>
      <c r="K3321" s="33">
        <v>3900</v>
      </c>
      <c r="L3321" t="s">
        <v>64</v>
      </c>
      <c r="M3321" t="str">
        <f>_xlfn.XLOOKUP(Pipeline_tbl[[#This Row],[Rep_ID]],Dim_Reps!A:A,Dim_Reps!K:K)</f>
        <v>MXN</v>
      </c>
      <c r="N3321" s="33">
        <f>(_xlfn.XLOOKUP(Pipeline_tbl[[#This Row],[Rate_Code_Generalized]],Lookups!A:A,Lookups!B:B))*Pipeline_tbl[[#This Row],[Pipeline_Amount_USD]]</f>
        <v>76957.53</v>
      </c>
      <c r="O3321" t="str">
        <f>_xlfn.XLOOKUP(Pipeline_tbl[[#This Row],[Rep_ID]],Dim_Reps!A:A,Dim_Reps!B:B)</f>
        <v>Lucas Duarte</v>
      </c>
      <c r="P3321" t="str">
        <f>_xlfn.XLOOKUP(Pipeline_tbl[[#This Row],[Rep_ID]],Dim_Reps!A:A,Dim_Reps!C:C)</f>
        <v>SDR / Inside Sales Rep</v>
      </c>
      <c r="Q3321" t="str">
        <f>_xlfn.XLOOKUP(Pipeline_tbl[[#This Row],[Rep_ID]],Dim_Reps!A:A,Dim_Reps!D:D)</f>
        <v>Inside Sales</v>
      </c>
      <c r="R3321" t="str">
        <f>_xlfn.XLOOKUP(Pipeline_tbl[[#This Row],[Rep_ID]],Dim_Reps!A:A,Dim_Reps!E:E)</f>
        <v>LATAM</v>
      </c>
      <c r="S3321" t="str">
        <f>_xlfn.XLOOKUP(Pipeline_tbl[[#This Row],[Created_Date]],Dim_Date!A:A,Dim_Date!H:H)</f>
        <v>Jun 2025</v>
      </c>
      <c r="T3321" t="str">
        <f>IF(Pipeline_tbl[[#This Row],[Closed_Date]]=0,"",(_xlfn.XLOOKUP(Pipeline_tbl[[#This Row],[Closed_Date]],Dim_Date!A:A,Dim_Date!H:H)))</f>
        <v>Jul 2025</v>
      </c>
      <c r="U3321">
        <f>IF(Pipeline_tbl[[#This Row],[Closed_Date]]=0,"",Pipeline_tbl[[#This Row],[Closed_Date]]-Pipeline_tbl[[#This Row],[Created_Date]])</f>
        <v>16</v>
      </c>
    </row>
    <row r="3322" spans="1:21" ht="15" customHeight="1" x14ac:dyDescent="0.2">
      <c r="A3322" t="s">
        <v>3628</v>
      </c>
      <c r="B3322" t="s">
        <v>267</v>
      </c>
      <c r="C3322" t="s">
        <v>52</v>
      </c>
      <c r="D3322" s="49">
        <v>45816</v>
      </c>
      <c r="E3322" s="49">
        <v>45820</v>
      </c>
      <c r="F3322" s="49">
        <v>45828</v>
      </c>
      <c r="G3322" s="49">
        <v>45841</v>
      </c>
      <c r="I3322" s="49">
        <v>45857</v>
      </c>
      <c r="J3322" t="s">
        <v>49</v>
      </c>
      <c r="K3322" s="33">
        <v>21500</v>
      </c>
      <c r="L3322" t="s">
        <v>62</v>
      </c>
      <c r="M3322" t="str">
        <f>_xlfn.XLOOKUP(Pipeline_tbl[[#This Row],[Rep_ID]],Dim_Reps!A:A,Dim_Reps!K:K)</f>
        <v>MXN</v>
      </c>
      <c r="N3322" s="33">
        <f>(_xlfn.XLOOKUP(Pipeline_tbl[[#This Row],[Rate_Code_Generalized]],Lookups!A:A,Lookups!B:B))*Pipeline_tbl[[#This Row],[Pipeline_Amount_USD]]</f>
        <v>424253.05000000005</v>
      </c>
      <c r="O3322" t="str">
        <f>_xlfn.XLOOKUP(Pipeline_tbl[[#This Row],[Rep_ID]],Dim_Reps!A:A,Dim_Reps!B:B)</f>
        <v>Yuki Dubois</v>
      </c>
      <c r="P3322" t="str">
        <f>_xlfn.XLOOKUP(Pipeline_tbl[[#This Row],[Rep_ID]],Dim_Reps!A:A,Dim_Reps!C:C)</f>
        <v>Mid-Market AE</v>
      </c>
      <c r="Q3322" t="str">
        <f>_xlfn.XLOOKUP(Pipeline_tbl[[#This Row],[Rep_ID]],Dim_Reps!A:A,Dim_Reps!D:D)</f>
        <v>Mid-Market</v>
      </c>
      <c r="R3322" t="str">
        <f>_xlfn.XLOOKUP(Pipeline_tbl[[#This Row],[Rep_ID]],Dim_Reps!A:A,Dim_Reps!E:E)</f>
        <v>LATAM</v>
      </c>
      <c r="S3322" t="str">
        <f>_xlfn.XLOOKUP(Pipeline_tbl[[#This Row],[Created_Date]],Dim_Date!A:A,Dim_Date!H:H)</f>
        <v>Jun 2025</v>
      </c>
      <c r="T3322" t="str">
        <f>IF(Pipeline_tbl[[#This Row],[Closed_Date]]=0,"",(_xlfn.XLOOKUP(Pipeline_tbl[[#This Row],[Closed_Date]],Dim_Date!A:A,Dim_Date!H:H)))</f>
        <v>Jul 2025</v>
      </c>
      <c r="U3322">
        <f>IF(Pipeline_tbl[[#This Row],[Closed_Date]]=0,"",Pipeline_tbl[[#This Row],[Closed_Date]]-Pipeline_tbl[[#This Row],[Created_Date]])</f>
        <v>41</v>
      </c>
    </row>
    <row r="3323" spans="1:21" ht="15" customHeight="1" x14ac:dyDescent="0.2">
      <c r="A3323" t="s">
        <v>3629</v>
      </c>
      <c r="B3323" t="s">
        <v>267</v>
      </c>
      <c r="C3323" t="s">
        <v>54</v>
      </c>
      <c r="D3323" s="49">
        <v>45810</v>
      </c>
      <c r="E3323" s="49">
        <v>45813</v>
      </c>
      <c r="F3323" s="49">
        <v>45820</v>
      </c>
      <c r="G3323" s="49">
        <v>45830</v>
      </c>
      <c r="I3323" s="49">
        <v>45844</v>
      </c>
      <c r="J3323" t="s">
        <v>49</v>
      </c>
      <c r="K3323" s="33">
        <v>6000</v>
      </c>
      <c r="L3323" t="s">
        <v>61</v>
      </c>
      <c r="M3323" t="str">
        <f>_xlfn.XLOOKUP(Pipeline_tbl[[#This Row],[Rep_ID]],Dim_Reps!A:A,Dim_Reps!K:K)</f>
        <v>MXN</v>
      </c>
      <c r="N3323" s="33">
        <f>(_xlfn.XLOOKUP(Pipeline_tbl[[#This Row],[Rate_Code_Generalized]],Lookups!A:A,Lookups!B:B))*Pipeline_tbl[[#This Row],[Pipeline_Amount_USD]]</f>
        <v>118396.20000000001</v>
      </c>
      <c r="O3323" t="str">
        <f>_xlfn.XLOOKUP(Pipeline_tbl[[#This Row],[Rep_ID]],Dim_Reps!A:A,Dim_Reps!B:B)</f>
        <v>Yuki Dubois</v>
      </c>
      <c r="P3323" t="str">
        <f>_xlfn.XLOOKUP(Pipeline_tbl[[#This Row],[Rep_ID]],Dim_Reps!A:A,Dim_Reps!C:C)</f>
        <v>Mid-Market AE</v>
      </c>
      <c r="Q3323" t="str">
        <f>_xlfn.XLOOKUP(Pipeline_tbl[[#This Row],[Rep_ID]],Dim_Reps!A:A,Dim_Reps!D:D)</f>
        <v>Mid-Market</v>
      </c>
      <c r="R3323" t="str">
        <f>_xlfn.XLOOKUP(Pipeline_tbl[[#This Row],[Rep_ID]],Dim_Reps!A:A,Dim_Reps!E:E)</f>
        <v>LATAM</v>
      </c>
      <c r="S3323" t="str">
        <f>_xlfn.XLOOKUP(Pipeline_tbl[[#This Row],[Created_Date]],Dim_Date!A:A,Dim_Date!H:H)</f>
        <v>Jun 2025</v>
      </c>
      <c r="T3323" t="str">
        <f>IF(Pipeline_tbl[[#This Row],[Closed_Date]]=0,"",(_xlfn.XLOOKUP(Pipeline_tbl[[#This Row],[Closed_Date]],Dim_Date!A:A,Dim_Date!H:H)))</f>
        <v>Jul 2025</v>
      </c>
      <c r="U3323">
        <f>IF(Pipeline_tbl[[#This Row],[Closed_Date]]=0,"",Pipeline_tbl[[#This Row],[Closed_Date]]-Pipeline_tbl[[#This Row],[Created_Date]])</f>
        <v>34</v>
      </c>
    </row>
    <row r="3324" spans="1:21" ht="15" customHeight="1" x14ac:dyDescent="0.2">
      <c r="A3324" t="s">
        <v>3630</v>
      </c>
      <c r="B3324" t="s">
        <v>267</v>
      </c>
      <c r="C3324" t="s">
        <v>56</v>
      </c>
      <c r="D3324" s="49">
        <v>45823</v>
      </c>
      <c r="E3324" s="49">
        <v>45827</v>
      </c>
      <c r="F3324" s="49">
        <v>45834</v>
      </c>
      <c r="G3324" s="49">
        <v>45845</v>
      </c>
      <c r="H3324" s="49">
        <v>45854</v>
      </c>
      <c r="I3324" s="49">
        <v>45860</v>
      </c>
      <c r="J3324" t="s">
        <v>47</v>
      </c>
      <c r="K3324" s="33">
        <v>12200</v>
      </c>
      <c r="M3324" t="str">
        <f>_xlfn.XLOOKUP(Pipeline_tbl[[#This Row],[Rep_ID]],Dim_Reps!A:A,Dim_Reps!K:K)</f>
        <v>MXN</v>
      </c>
      <c r="N3324" s="33">
        <f>(_xlfn.XLOOKUP(Pipeline_tbl[[#This Row],[Rate_Code_Generalized]],Lookups!A:A,Lookups!B:B))*Pipeline_tbl[[#This Row],[Pipeline_Amount_USD]]</f>
        <v>240738.94</v>
      </c>
      <c r="O3324" t="str">
        <f>_xlfn.XLOOKUP(Pipeline_tbl[[#This Row],[Rep_ID]],Dim_Reps!A:A,Dim_Reps!B:B)</f>
        <v>Yuki Dubois</v>
      </c>
      <c r="P3324" t="str">
        <f>_xlfn.XLOOKUP(Pipeline_tbl[[#This Row],[Rep_ID]],Dim_Reps!A:A,Dim_Reps!C:C)</f>
        <v>Mid-Market AE</v>
      </c>
      <c r="Q3324" t="str">
        <f>_xlfn.XLOOKUP(Pipeline_tbl[[#This Row],[Rep_ID]],Dim_Reps!A:A,Dim_Reps!D:D)</f>
        <v>Mid-Market</v>
      </c>
      <c r="R3324" t="str">
        <f>_xlfn.XLOOKUP(Pipeline_tbl[[#This Row],[Rep_ID]],Dim_Reps!A:A,Dim_Reps!E:E)</f>
        <v>LATAM</v>
      </c>
      <c r="S3324" t="str">
        <f>_xlfn.XLOOKUP(Pipeline_tbl[[#This Row],[Created_Date]],Dim_Date!A:A,Dim_Date!H:H)</f>
        <v>Jun 2025</v>
      </c>
      <c r="T3324" t="str">
        <f>IF(Pipeline_tbl[[#This Row],[Closed_Date]]=0,"",(_xlfn.XLOOKUP(Pipeline_tbl[[#This Row],[Closed_Date]],Dim_Date!A:A,Dim_Date!H:H)))</f>
        <v>Jul 2025</v>
      </c>
      <c r="U3324">
        <f>IF(Pipeline_tbl[[#This Row],[Closed_Date]]=0,"",Pipeline_tbl[[#This Row],[Closed_Date]]-Pipeline_tbl[[#This Row],[Created_Date]])</f>
        <v>37</v>
      </c>
    </row>
    <row r="3325" spans="1:21" ht="15" customHeight="1" x14ac:dyDescent="0.2">
      <c r="A3325" t="s">
        <v>3631</v>
      </c>
      <c r="B3325" t="s">
        <v>267</v>
      </c>
      <c r="C3325" t="s">
        <v>52</v>
      </c>
      <c r="D3325" s="49">
        <v>45810</v>
      </c>
      <c r="E3325" s="49">
        <v>45814</v>
      </c>
      <c r="F3325" s="49">
        <v>45821</v>
      </c>
      <c r="G3325" s="49">
        <v>45833</v>
      </c>
      <c r="I3325" s="49">
        <v>45848</v>
      </c>
      <c r="J3325" t="s">
        <v>49</v>
      </c>
      <c r="K3325" s="33">
        <v>11200</v>
      </c>
      <c r="L3325" t="s">
        <v>60</v>
      </c>
      <c r="M3325" t="str">
        <f>_xlfn.XLOOKUP(Pipeline_tbl[[#This Row],[Rep_ID]],Dim_Reps!A:A,Dim_Reps!K:K)</f>
        <v>MXN</v>
      </c>
      <c r="N3325" s="33">
        <f>(_xlfn.XLOOKUP(Pipeline_tbl[[#This Row],[Rate_Code_Generalized]],Lookups!A:A,Lookups!B:B))*Pipeline_tbl[[#This Row],[Pipeline_Amount_USD]]</f>
        <v>221006.24000000002</v>
      </c>
      <c r="O3325" t="str">
        <f>_xlfn.XLOOKUP(Pipeline_tbl[[#This Row],[Rep_ID]],Dim_Reps!A:A,Dim_Reps!B:B)</f>
        <v>Yuki Dubois</v>
      </c>
      <c r="P3325" t="str">
        <f>_xlfn.XLOOKUP(Pipeline_tbl[[#This Row],[Rep_ID]],Dim_Reps!A:A,Dim_Reps!C:C)</f>
        <v>Mid-Market AE</v>
      </c>
      <c r="Q3325" t="str">
        <f>_xlfn.XLOOKUP(Pipeline_tbl[[#This Row],[Rep_ID]],Dim_Reps!A:A,Dim_Reps!D:D)</f>
        <v>Mid-Market</v>
      </c>
      <c r="R3325" t="str">
        <f>_xlfn.XLOOKUP(Pipeline_tbl[[#This Row],[Rep_ID]],Dim_Reps!A:A,Dim_Reps!E:E)</f>
        <v>LATAM</v>
      </c>
      <c r="S3325" t="str">
        <f>_xlfn.XLOOKUP(Pipeline_tbl[[#This Row],[Created_Date]],Dim_Date!A:A,Dim_Date!H:H)</f>
        <v>Jun 2025</v>
      </c>
      <c r="T3325" t="str">
        <f>IF(Pipeline_tbl[[#This Row],[Closed_Date]]=0,"",(_xlfn.XLOOKUP(Pipeline_tbl[[#This Row],[Closed_Date]],Dim_Date!A:A,Dim_Date!H:H)))</f>
        <v>Jul 2025</v>
      </c>
      <c r="U3325">
        <f>IF(Pipeline_tbl[[#This Row],[Closed_Date]]=0,"",Pipeline_tbl[[#This Row],[Closed_Date]]-Pipeline_tbl[[#This Row],[Created_Date]])</f>
        <v>38</v>
      </c>
    </row>
    <row r="3326" spans="1:21" ht="15" customHeight="1" x14ac:dyDescent="0.2">
      <c r="A3326" t="s">
        <v>3632</v>
      </c>
      <c r="B3326" t="s">
        <v>235</v>
      </c>
      <c r="C3326" t="s">
        <v>53</v>
      </c>
      <c r="D3326" s="49">
        <v>45824</v>
      </c>
      <c r="E3326" s="49">
        <v>45826</v>
      </c>
      <c r="F3326" s="49">
        <v>45830</v>
      </c>
      <c r="G3326" s="49">
        <v>45836</v>
      </c>
      <c r="H3326" s="49">
        <v>45841</v>
      </c>
      <c r="I3326" s="49">
        <v>45844</v>
      </c>
      <c r="J3326" t="s">
        <v>47</v>
      </c>
      <c r="K3326" s="33">
        <v>5000</v>
      </c>
      <c r="M3326" t="str">
        <f>_xlfn.XLOOKUP(Pipeline_tbl[[#This Row],[Rep_ID]],Dim_Reps!A:A,Dim_Reps!K:K)</f>
        <v>MXN</v>
      </c>
      <c r="N3326" s="33">
        <f>(_xlfn.XLOOKUP(Pipeline_tbl[[#This Row],[Rate_Code_Generalized]],Lookups!A:A,Lookups!B:B))*Pipeline_tbl[[#This Row],[Pipeline_Amount_USD]]</f>
        <v>98663.5</v>
      </c>
      <c r="O3326" t="str">
        <f>_xlfn.XLOOKUP(Pipeline_tbl[[#This Row],[Rep_ID]],Dim_Reps!A:A,Dim_Reps!B:B)</f>
        <v>Milo Castro</v>
      </c>
      <c r="P3326" t="str">
        <f>_xlfn.XLOOKUP(Pipeline_tbl[[#This Row],[Rep_ID]],Dim_Reps!A:A,Dim_Reps!C:C)</f>
        <v>SDR / Inside Sales Rep</v>
      </c>
      <c r="Q3326" t="str">
        <f>_xlfn.XLOOKUP(Pipeline_tbl[[#This Row],[Rep_ID]],Dim_Reps!A:A,Dim_Reps!D:D)</f>
        <v>Inside Sales</v>
      </c>
      <c r="R3326" t="str">
        <f>_xlfn.XLOOKUP(Pipeline_tbl[[#This Row],[Rep_ID]],Dim_Reps!A:A,Dim_Reps!E:E)</f>
        <v>LATAM</v>
      </c>
      <c r="S3326" t="str">
        <f>_xlfn.XLOOKUP(Pipeline_tbl[[#This Row],[Created_Date]],Dim_Date!A:A,Dim_Date!H:H)</f>
        <v>Jun 2025</v>
      </c>
      <c r="T3326" t="str">
        <f>IF(Pipeline_tbl[[#This Row],[Closed_Date]]=0,"",(_xlfn.XLOOKUP(Pipeline_tbl[[#This Row],[Closed_Date]],Dim_Date!A:A,Dim_Date!H:H)))</f>
        <v>Jul 2025</v>
      </c>
      <c r="U3326">
        <f>IF(Pipeline_tbl[[#This Row],[Closed_Date]]=0,"",Pipeline_tbl[[#This Row],[Closed_Date]]-Pipeline_tbl[[#This Row],[Created_Date]])</f>
        <v>20</v>
      </c>
    </row>
    <row r="3327" spans="1:21" ht="15" customHeight="1" x14ac:dyDescent="0.2">
      <c r="A3327" t="s">
        <v>3633</v>
      </c>
      <c r="B3327" t="s">
        <v>235</v>
      </c>
      <c r="C3327" t="s">
        <v>53</v>
      </c>
      <c r="D3327" s="49">
        <v>45837</v>
      </c>
      <c r="E3327" s="49">
        <v>45838</v>
      </c>
      <c r="F3327" s="49">
        <v>45841</v>
      </c>
      <c r="G3327" s="49">
        <v>45845</v>
      </c>
      <c r="H3327" s="49">
        <v>45849</v>
      </c>
      <c r="I3327" s="49">
        <v>45851</v>
      </c>
      <c r="J3327" t="s">
        <v>47</v>
      </c>
      <c r="K3327" s="33">
        <v>2400</v>
      </c>
      <c r="M3327" t="str">
        <f>_xlfn.XLOOKUP(Pipeline_tbl[[#This Row],[Rep_ID]],Dim_Reps!A:A,Dim_Reps!K:K)</f>
        <v>MXN</v>
      </c>
      <c r="N3327" s="33">
        <f>(_xlfn.XLOOKUP(Pipeline_tbl[[#This Row],[Rate_Code_Generalized]],Lookups!A:A,Lookups!B:B))*Pipeline_tbl[[#This Row],[Pipeline_Amount_USD]]</f>
        <v>47358.48</v>
      </c>
      <c r="O3327" t="str">
        <f>_xlfn.XLOOKUP(Pipeline_tbl[[#This Row],[Rep_ID]],Dim_Reps!A:A,Dim_Reps!B:B)</f>
        <v>Milo Castro</v>
      </c>
      <c r="P3327" t="str">
        <f>_xlfn.XLOOKUP(Pipeline_tbl[[#This Row],[Rep_ID]],Dim_Reps!A:A,Dim_Reps!C:C)</f>
        <v>SDR / Inside Sales Rep</v>
      </c>
      <c r="Q3327" t="str">
        <f>_xlfn.XLOOKUP(Pipeline_tbl[[#This Row],[Rep_ID]],Dim_Reps!A:A,Dim_Reps!D:D)</f>
        <v>Inside Sales</v>
      </c>
      <c r="R3327" t="str">
        <f>_xlfn.XLOOKUP(Pipeline_tbl[[#This Row],[Rep_ID]],Dim_Reps!A:A,Dim_Reps!E:E)</f>
        <v>LATAM</v>
      </c>
      <c r="S3327" t="str">
        <f>_xlfn.XLOOKUP(Pipeline_tbl[[#This Row],[Created_Date]],Dim_Date!A:A,Dim_Date!H:H)</f>
        <v>Jun 2025</v>
      </c>
      <c r="T3327" t="str">
        <f>IF(Pipeline_tbl[[#This Row],[Closed_Date]]=0,"",(_xlfn.XLOOKUP(Pipeline_tbl[[#This Row],[Closed_Date]],Dim_Date!A:A,Dim_Date!H:H)))</f>
        <v>Jul 2025</v>
      </c>
      <c r="U3327">
        <f>IF(Pipeline_tbl[[#This Row],[Closed_Date]]=0,"",Pipeline_tbl[[#This Row],[Closed_Date]]-Pipeline_tbl[[#This Row],[Created_Date]])</f>
        <v>14</v>
      </c>
    </row>
    <row r="3328" spans="1:21" ht="15" customHeight="1" x14ac:dyDescent="0.2">
      <c r="A3328" t="s">
        <v>3634</v>
      </c>
      <c r="B3328" t="s">
        <v>235</v>
      </c>
      <c r="C3328" t="s">
        <v>52</v>
      </c>
      <c r="D3328" s="49">
        <v>45825</v>
      </c>
      <c r="E3328" s="49">
        <v>45827</v>
      </c>
      <c r="I3328" s="49">
        <v>45844</v>
      </c>
      <c r="J3328" t="s">
        <v>49</v>
      </c>
      <c r="K3328" s="33">
        <v>4700</v>
      </c>
      <c r="L3328" t="s">
        <v>63</v>
      </c>
      <c r="M3328" t="str">
        <f>_xlfn.XLOOKUP(Pipeline_tbl[[#This Row],[Rep_ID]],Dim_Reps!A:A,Dim_Reps!K:K)</f>
        <v>MXN</v>
      </c>
      <c r="N3328" s="33">
        <f>(_xlfn.XLOOKUP(Pipeline_tbl[[#This Row],[Rate_Code_Generalized]],Lookups!A:A,Lookups!B:B))*Pipeline_tbl[[#This Row],[Pipeline_Amount_USD]]</f>
        <v>92743.69</v>
      </c>
      <c r="O3328" t="str">
        <f>_xlfn.XLOOKUP(Pipeline_tbl[[#This Row],[Rep_ID]],Dim_Reps!A:A,Dim_Reps!B:B)</f>
        <v>Milo Castro</v>
      </c>
      <c r="P3328" t="str">
        <f>_xlfn.XLOOKUP(Pipeline_tbl[[#This Row],[Rep_ID]],Dim_Reps!A:A,Dim_Reps!C:C)</f>
        <v>SDR / Inside Sales Rep</v>
      </c>
      <c r="Q3328" t="str">
        <f>_xlfn.XLOOKUP(Pipeline_tbl[[#This Row],[Rep_ID]],Dim_Reps!A:A,Dim_Reps!D:D)</f>
        <v>Inside Sales</v>
      </c>
      <c r="R3328" t="str">
        <f>_xlfn.XLOOKUP(Pipeline_tbl[[#This Row],[Rep_ID]],Dim_Reps!A:A,Dim_Reps!E:E)</f>
        <v>LATAM</v>
      </c>
      <c r="S3328" t="str">
        <f>_xlfn.XLOOKUP(Pipeline_tbl[[#This Row],[Created_Date]],Dim_Date!A:A,Dim_Date!H:H)</f>
        <v>Jun 2025</v>
      </c>
      <c r="T3328" t="str">
        <f>IF(Pipeline_tbl[[#This Row],[Closed_Date]]=0,"",(_xlfn.XLOOKUP(Pipeline_tbl[[#This Row],[Closed_Date]],Dim_Date!A:A,Dim_Date!H:H)))</f>
        <v>Jul 2025</v>
      </c>
      <c r="U3328">
        <f>IF(Pipeline_tbl[[#This Row],[Closed_Date]]=0,"",Pipeline_tbl[[#This Row],[Closed_Date]]-Pipeline_tbl[[#This Row],[Created_Date]])</f>
        <v>19</v>
      </c>
    </row>
    <row r="3329" spans="1:21" ht="15" customHeight="1" x14ac:dyDescent="0.2">
      <c r="A3329" t="s">
        <v>3635</v>
      </c>
      <c r="B3329" t="s">
        <v>235</v>
      </c>
      <c r="C3329" t="s">
        <v>53</v>
      </c>
      <c r="D3329" s="49">
        <v>45836</v>
      </c>
      <c r="E3329" s="49">
        <v>45838</v>
      </c>
      <c r="I3329" s="49">
        <v>45853</v>
      </c>
      <c r="J3329" t="s">
        <v>49</v>
      </c>
      <c r="K3329" s="33">
        <v>3300</v>
      </c>
      <c r="L3329" t="s">
        <v>62</v>
      </c>
      <c r="M3329" t="str">
        <f>_xlfn.XLOOKUP(Pipeline_tbl[[#This Row],[Rep_ID]],Dim_Reps!A:A,Dim_Reps!K:K)</f>
        <v>MXN</v>
      </c>
      <c r="N3329" s="33">
        <f>(_xlfn.XLOOKUP(Pipeline_tbl[[#This Row],[Rate_Code_Generalized]],Lookups!A:A,Lookups!B:B))*Pipeline_tbl[[#This Row],[Pipeline_Amount_USD]]</f>
        <v>65117.91</v>
      </c>
      <c r="O3329" t="str">
        <f>_xlfn.XLOOKUP(Pipeline_tbl[[#This Row],[Rep_ID]],Dim_Reps!A:A,Dim_Reps!B:B)</f>
        <v>Milo Castro</v>
      </c>
      <c r="P3329" t="str">
        <f>_xlfn.XLOOKUP(Pipeline_tbl[[#This Row],[Rep_ID]],Dim_Reps!A:A,Dim_Reps!C:C)</f>
        <v>SDR / Inside Sales Rep</v>
      </c>
      <c r="Q3329" t="str">
        <f>_xlfn.XLOOKUP(Pipeline_tbl[[#This Row],[Rep_ID]],Dim_Reps!A:A,Dim_Reps!D:D)</f>
        <v>Inside Sales</v>
      </c>
      <c r="R3329" t="str">
        <f>_xlfn.XLOOKUP(Pipeline_tbl[[#This Row],[Rep_ID]],Dim_Reps!A:A,Dim_Reps!E:E)</f>
        <v>LATAM</v>
      </c>
      <c r="S3329" t="str">
        <f>_xlfn.XLOOKUP(Pipeline_tbl[[#This Row],[Created_Date]],Dim_Date!A:A,Dim_Date!H:H)</f>
        <v>Jun 2025</v>
      </c>
      <c r="T3329" t="str">
        <f>IF(Pipeline_tbl[[#This Row],[Closed_Date]]=0,"",(_xlfn.XLOOKUP(Pipeline_tbl[[#This Row],[Closed_Date]],Dim_Date!A:A,Dim_Date!H:H)))</f>
        <v>Jul 2025</v>
      </c>
      <c r="U3329">
        <f>IF(Pipeline_tbl[[#This Row],[Closed_Date]]=0,"",Pipeline_tbl[[#This Row],[Closed_Date]]-Pipeline_tbl[[#This Row],[Created_Date]])</f>
        <v>17</v>
      </c>
    </row>
    <row r="3330" spans="1:21" ht="15" customHeight="1" x14ac:dyDescent="0.2">
      <c r="A3330" t="s">
        <v>3636</v>
      </c>
      <c r="B3330" t="s">
        <v>235</v>
      </c>
      <c r="C3330" t="s">
        <v>53</v>
      </c>
      <c r="D3330" s="49">
        <v>45830</v>
      </c>
      <c r="E3330" s="49">
        <v>45832</v>
      </c>
      <c r="F3330" s="49">
        <v>45836</v>
      </c>
      <c r="G3330" s="49">
        <v>45842</v>
      </c>
      <c r="H3330" s="49">
        <v>45847</v>
      </c>
      <c r="I3330" s="49">
        <v>45850</v>
      </c>
      <c r="J3330" t="s">
        <v>49</v>
      </c>
      <c r="K3330" s="33">
        <v>2200</v>
      </c>
      <c r="L3330" t="s">
        <v>64</v>
      </c>
      <c r="M3330" t="str">
        <f>_xlfn.XLOOKUP(Pipeline_tbl[[#This Row],[Rep_ID]],Dim_Reps!A:A,Dim_Reps!K:K)</f>
        <v>MXN</v>
      </c>
      <c r="N3330" s="33">
        <f>(_xlfn.XLOOKUP(Pipeline_tbl[[#This Row],[Rate_Code_Generalized]],Lookups!A:A,Lookups!B:B))*Pipeline_tbl[[#This Row],[Pipeline_Amount_USD]]</f>
        <v>43411.94</v>
      </c>
      <c r="O3330" t="str">
        <f>_xlfn.XLOOKUP(Pipeline_tbl[[#This Row],[Rep_ID]],Dim_Reps!A:A,Dim_Reps!B:B)</f>
        <v>Milo Castro</v>
      </c>
      <c r="P3330" t="str">
        <f>_xlfn.XLOOKUP(Pipeline_tbl[[#This Row],[Rep_ID]],Dim_Reps!A:A,Dim_Reps!C:C)</f>
        <v>SDR / Inside Sales Rep</v>
      </c>
      <c r="Q3330" t="str">
        <f>_xlfn.XLOOKUP(Pipeline_tbl[[#This Row],[Rep_ID]],Dim_Reps!A:A,Dim_Reps!D:D)</f>
        <v>Inside Sales</v>
      </c>
      <c r="R3330" t="str">
        <f>_xlfn.XLOOKUP(Pipeline_tbl[[#This Row],[Rep_ID]],Dim_Reps!A:A,Dim_Reps!E:E)</f>
        <v>LATAM</v>
      </c>
      <c r="S3330" t="str">
        <f>_xlfn.XLOOKUP(Pipeline_tbl[[#This Row],[Created_Date]],Dim_Date!A:A,Dim_Date!H:H)</f>
        <v>Jun 2025</v>
      </c>
      <c r="T3330" t="str">
        <f>IF(Pipeline_tbl[[#This Row],[Closed_Date]]=0,"",(_xlfn.XLOOKUP(Pipeline_tbl[[#This Row],[Closed_Date]],Dim_Date!A:A,Dim_Date!H:H)))</f>
        <v>Jul 2025</v>
      </c>
      <c r="U3330">
        <f>IF(Pipeline_tbl[[#This Row],[Closed_Date]]=0,"",Pipeline_tbl[[#This Row],[Closed_Date]]-Pipeline_tbl[[#This Row],[Created_Date]])</f>
        <v>20</v>
      </c>
    </row>
    <row r="3331" spans="1:21" ht="15" customHeight="1" x14ac:dyDescent="0.2">
      <c r="A3331" t="s">
        <v>3637</v>
      </c>
      <c r="B3331" t="s">
        <v>235</v>
      </c>
      <c r="C3331" t="s">
        <v>52</v>
      </c>
      <c r="D3331" s="49">
        <v>45825</v>
      </c>
      <c r="E3331" s="49">
        <v>45827</v>
      </c>
      <c r="F3331" s="49">
        <v>45832</v>
      </c>
      <c r="G3331" s="49">
        <v>45839</v>
      </c>
      <c r="H3331" s="49">
        <v>45845</v>
      </c>
      <c r="I3331" s="49">
        <v>45848</v>
      </c>
      <c r="J3331" t="s">
        <v>47</v>
      </c>
      <c r="K3331" s="33">
        <v>2800</v>
      </c>
      <c r="M3331" t="str">
        <f>_xlfn.XLOOKUP(Pipeline_tbl[[#This Row],[Rep_ID]],Dim_Reps!A:A,Dim_Reps!K:K)</f>
        <v>MXN</v>
      </c>
      <c r="N3331" s="33">
        <f>(_xlfn.XLOOKUP(Pipeline_tbl[[#This Row],[Rate_Code_Generalized]],Lookups!A:A,Lookups!B:B))*Pipeline_tbl[[#This Row],[Pipeline_Amount_USD]]</f>
        <v>55251.560000000005</v>
      </c>
      <c r="O3331" t="str">
        <f>_xlfn.XLOOKUP(Pipeline_tbl[[#This Row],[Rep_ID]],Dim_Reps!A:A,Dim_Reps!B:B)</f>
        <v>Milo Castro</v>
      </c>
      <c r="P3331" t="str">
        <f>_xlfn.XLOOKUP(Pipeline_tbl[[#This Row],[Rep_ID]],Dim_Reps!A:A,Dim_Reps!C:C)</f>
        <v>SDR / Inside Sales Rep</v>
      </c>
      <c r="Q3331" t="str">
        <f>_xlfn.XLOOKUP(Pipeline_tbl[[#This Row],[Rep_ID]],Dim_Reps!A:A,Dim_Reps!D:D)</f>
        <v>Inside Sales</v>
      </c>
      <c r="R3331" t="str">
        <f>_xlfn.XLOOKUP(Pipeline_tbl[[#This Row],[Rep_ID]],Dim_Reps!A:A,Dim_Reps!E:E)</f>
        <v>LATAM</v>
      </c>
      <c r="S3331" t="str">
        <f>_xlfn.XLOOKUP(Pipeline_tbl[[#This Row],[Created_Date]],Dim_Date!A:A,Dim_Date!H:H)</f>
        <v>Jun 2025</v>
      </c>
      <c r="T3331" t="str">
        <f>IF(Pipeline_tbl[[#This Row],[Closed_Date]]=0,"",(_xlfn.XLOOKUP(Pipeline_tbl[[#This Row],[Closed_Date]],Dim_Date!A:A,Dim_Date!H:H)))</f>
        <v>Jul 2025</v>
      </c>
      <c r="U3331">
        <f>IF(Pipeline_tbl[[#This Row],[Closed_Date]]=0,"",Pipeline_tbl[[#This Row],[Closed_Date]]-Pipeline_tbl[[#This Row],[Created_Date]])</f>
        <v>23</v>
      </c>
    </row>
    <row r="3332" spans="1:21" ht="15" customHeight="1" x14ac:dyDescent="0.2">
      <c r="A3332" t="s">
        <v>3638</v>
      </c>
      <c r="B3332" t="s">
        <v>237</v>
      </c>
      <c r="C3332" t="s">
        <v>53</v>
      </c>
      <c r="D3332" s="49">
        <v>45822</v>
      </c>
      <c r="E3332" s="49">
        <v>45824</v>
      </c>
      <c r="F3332" s="49">
        <v>45828</v>
      </c>
      <c r="I3332" s="49">
        <v>45842</v>
      </c>
      <c r="J3332" t="s">
        <v>49</v>
      </c>
      <c r="K3332" s="33">
        <v>5800</v>
      </c>
      <c r="L3332" t="s">
        <v>64</v>
      </c>
      <c r="M3332" t="str">
        <f>_xlfn.XLOOKUP(Pipeline_tbl[[#This Row],[Rep_ID]],Dim_Reps!A:A,Dim_Reps!K:K)</f>
        <v>EUR</v>
      </c>
      <c r="N3332" s="33">
        <f>(_xlfn.XLOOKUP(Pipeline_tbl[[#This Row],[Rate_Code_Generalized]],Lookups!A:A,Lookups!B:B))*Pipeline_tbl[[#This Row],[Pipeline_Amount_USD]]</f>
        <v>5800</v>
      </c>
      <c r="O3332" t="str">
        <f>_xlfn.XLOOKUP(Pipeline_tbl[[#This Row],[Rep_ID]],Dim_Reps!A:A,Dim_Reps!B:B)</f>
        <v>Hugo Santos</v>
      </c>
      <c r="P3332" t="str">
        <f>_xlfn.XLOOKUP(Pipeline_tbl[[#This Row],[Rep_ID]],Dim_Reps!A:A,Dim_Reps!C:C)</f>
        <v>SDR / Inside Sales Rep</v>
      </c>
      <c r="Q3332" t="str">
        <f>_xlfn.XLOOKUP(Pipeline_tbl[[#This Row],[Rep_ID]],Dim_Reps!A:A,Dim_Reps!D:D)</f>
        <v>Inside Sales</v>
      </c>
      <c r="R3332" t="str">
        <f>_xlfn.XLOOKUP(Pipeline_tbl[[#This Row],[Rep_ID]],Dim_Reps!A:A,Dim_Reps!E:E)</f>
        <v>EMEA</v>
      </c>
      <c r="S3332" t="str">
        <f>_xlfn.XLOOKUP(Pipeline_tbl[[#This Row],[Created_Date]],Dim_Date!A:A,Dim_Date!H:H)</f>
        <v>Jun 2025</v>
      </c>
      <c r="T3332" t="str">
        <f>IF(Pipeline_tbl[[#This Row],[Closed_Date]]=0,"",(_xlfn.XLOOKUP(Pipeline_tbl[[#This Row],[Closed_Date]],Dim_Date!A:A,Dim_Date!H:H)))</f>
        <v>Jul 2025</v>
      </c>
      <c r="U3332">
        <f>IF(Pipeline_tbl[[#This Row],[Closed_Date]]=0,"",Pipeline_tbl[[#This Row],[Closed_Date]]-Pipeline_tbl[[#This Row],[Created_Date]])</f>
        <v>20</v>
      </c>
    </row>
    <row r="3333" spans="1:21" ht="15" customHeight="1" x14ac:dyDescent="0.2">
      <c r="A3333" t="s">
        <v>3639</v>
      </c>
      <c r="B3333" t="s">
        <v>237</v>
      </c>
      <c r="C3333" t="s">
        <v>53</v>
      </c>
      <c r="D3333" s="49">
        <v>45838</v>
      </c>
      <c r="E3333" s="49">
        <v>45838</v>
      </c>
      <c r="F3333" s="49">
        <v>45840</v>
      </c>
      <c r="G3333" s="49">
        <v>45841</v>
      </c>
      <c r="I3333" s="49">
        <v>45843</v>
      </c>
      <c r="J3333" t="s">
        <v>49</v>
      </c>
      <c r="K3333" s="33">
        <v>3200</v>
      </c>
      <c r="L3333" t="s">
        <v>60</v>
      </c>
      <c r="M3333" t="str">
        <f>_xlfn.XLOOKUP(Pipeline_tbl[[#This Row],[Rep_ID]],Dim_Reps!A:A,Dim_Reps!K:K)</f>
        <v>EUR</v>
      </c>
      <c r="N3333" s="33">
        <f>(_xlfn.XLOOKUP(Pipeline_tbl[[#This Row],[Rate_Code_Generalized]],Lookups!A:A,Lookups!B:B))*Pipeline_tbl[[#This Row],[Pipeline_Amount_USD]]</f>
        <v>3200</v>
      </c>
      <c r="O3333" t="str">
        <f>_xlfn.XLOOKUP(Pipeline_tbl[[#This Row],[Rep_ID]],Dim_Reps!A:A,Dim_Reps!B:B)</f>
        <v>Hugo Santos</v>
      </c>
      <c r="P3333" t="str">
        <f>_xlfn.XLOOKUP(Pipeline_tbl[[#This Row],[Rep_ID]],Dim_Reps!A:A,Dim_Reps!C:C)</f>
        <v>SDR / Inside Sales Rep</v>
      </c>
      <c r="Q3333" t="str">
        <f>_xlfn.XLOOKUP(Pipeline_tbl[[#This Row],[Rep_ID]],Dim_Reps!A:A,Dim_Reps!D:D)</f>
        <v>Inside Sales</v>
      </c>
      <c r="R3333" t="str">
        <f>_xlfn.XLOOKUP(Pipeline_tbl[[#This Row],[Rep_ID]],Dim_Reps!A:A,Dim_Reps!E:E)</f>
        <v>EMEA</v>
      </c>
      <c r="S3333" t="str">
        <f>_xlfn.XLOOKUP(Pipeline_tbl[[#This Row],[Created_Date]],Dim_Date!A:A,Dim_Date!H:H)</f>
        <v>Jun 2025</v>
      </c>
      <c r="T3333" t="str">
        <f>IF(Pipeline_tbl[[#This Row],[Closed_Date]]=0,"",(_xlfn.XLOOKUP(Pipeline_tbl[[#This Row],[Closed_Date]],Dim_Date!A:A,Dim_Date!H:H)))</f>
        <v>Jul 2025</v>
      </c>
      <c r="U3333">
        <f>IF(Pipeline_tbl[[#This Row],[Closed_Date]]=0,"",Pipeline_tbl[[#This Row],[Closed_Date]]-Pipeline_tbl[[#This Row],[Created_Date]])</f>
        <v>5</v>
      </c>
    </row>
    <row r="3334" spans="1:21" ht="15" customHeight="1" x14ac:dyDescent="0.2">
      <c r="A3334" t="s">
        <v>3640</v>
      </c>
      <c r="B3334" t="s">
        <v>237</v>
      </c>
      <c r="C3334" t="s">
        <v>52</v>
      </c>
      <c r="D3334" s="49">
        <v>45827</v>
      </c>
      <c r="E3334" s="49">
        <v>45829</v>
      </c>
      <c r="F3334" s="49">
        <v>45832</v>
      </c>
      <c r="I3334" s="49">
        <v>45845</v>
      </c>
      <c r="J3334" t="s">
        <v>49</v>
      </c>
      <c r="K3334" s="33">
        <v>3500</v>
      </c>
      <c r="L3334" t="s">
        <v>62</v>
      </c>
      <c r="M3334" t="str">
        <f>_xlfn.XLOOKUP(Pipeline_tbl[[#This Row],[Rep_ID]],Dim_Reps!A:A,Dim_Reps!K:K)</f>
        <v>EUR</v>
      </c>
      <c r="N3334" s="33">
        <f>(_xlfn.XLOOKUP(Pipeline_tbl[[#This Row],[Rate_Code_Generalized]],Lookups!A:A,Lookups!B:B))*Pipeline_tbl[[#This Row],[Pipeline_Amount_USD]]</f>
        <v>3500</v>
      </c>
      <c r="O3334" t="str">
        <f>_xlfn.XLOOKUP(Pipeline_tbl[[#This Row],[Rep_ID]],Dim_Reps!A:A,Dim_Reps!B:B)</f>
        <v>Hugo Santos</v>
      </c>
      <c r="P3334" t="str">
        <f>_xlfn.XLOOKUP(Pipeline_tbl[[#This Row],[Rep_ID]],Dim_Reps!A:A,Dim_Reps!C:C)</f>
        <v>SDR / Inside Sales Rep</v>
      </c>
      <c r="Q3334" t="str">
        <f>_xlfn.XLOOKUP(Pipeline_tbl[[#This Row],[Rep_ID]],Dim_Reps!A:A,Dim_Reps!D:D)</f>
        <v>Inside Sales</v>
      </c>
      <c r="R3334" t="str">
        <f>_xlfn.XLOOKUP(Pipeline_tbl[[#This Row],[Rep_ID]],Dim_Reps!A:A,Dim_Reps!E:E)</f>
        <v>EMEA</v>
      </c>
      <c r="S3334" t="str">
        <f>_xlfn.XLOOKUP(Pipeline_tbl[[#This Row],[Created_Date]],Dim_Date!A:A,Dim_Date!H:H)</f>
        <v>Jun 2025</v>
      </c>
      <c r="T3334" t="str">
        <f>IF(Pipeline_tbl[[#This Row],[Closed_Date]]=0,"",(_xlfn.XLOOKUP(Pipeline_tbl[[#This Row],[Closed_Date]],Dim_Date!A:A,Dim_Date!H:H)))</f>
        <v>Jul 2025</v>
      </c>
      <c r="U3334">
        <f>IF(Pipeline_tbl[[#This Row],[Closed_Date]]=0,"",Pipeline_tbl[[#This Row],[Closed_Date]]-Pipeline_tbl[[#This Row],[Created_Date]])</f>
        <v>18</v>
      </c>
    </row>
    <row r="3335" spans="1:21" ht="15" customHeight="1" x14ac:dyDescent="0.2">
      <c r="A3335" t="s">
        <v>3641</v>
      </c>
      <c r="B3335" t="s">
        <v>237</v>
      </c>
      <c r="C3335" t="s">
        <v>52</v>
      </c>
      <c r="D3335" s="49">
        <v>45824</v>
      </c>
      <c r="E3335" s="49">
        <v>45826</v>
      </c>
      <c r="F3335" s="49">
        <v>45829</v>
      </c>
      <c r="I3335" s="49">
        <v>45841</v>
      </c>
      <c r="J3335" t="s">
        <v>49</v>
      </c>
      <c r="K3335" s="33">
        <v>3400</v>
      </c>
      <c r="L3335" t="s">
        <v>61</v>
      </c>
      <c r="M3335" t="str">
        <f>_xlfn.XLOOKUP(Pipeline_tbl[[#This Row],[Rep_ID]],Dim_Reps!A:A,Dim_Reps!K:K)</f>
        <v>EUR</v>
      </c>
      <c r="N3335" s="33">
        <f>(_xlfn.XLOOKUP(Pipeline_tbl[[#This Row],[Rate_Code_Generalized]],Lookups!A:A,Lookups!B:B))*Pipeline_tbl[[#This Row],[Pipeline_Amount_USD]]</f>
        <v>3400</v>
      </c>
      <c r="O3335" t="str">
        <f>_xlfn.XLOOKUP(Pipeline_tbl[[#This Row],[Rep_ID]],Dim_Reps!A:A,Dim_Reps!B:B)</f>
        <v>Hugo Santos</v>
      </c>
      <c r="P3335" t="str">
        <f>_xlfn.XLOOKUP(Pipeline_tbl[[#This Row],[Rep_ID]],Dim_Reps!A:A,Dim_Reps!C:C)</f>
        <v>SDR / Inside Sales Rep</v>
      </c>
      <c r="Q3335" t="str">
        <f>_xlfn.XLOOKUP(Pipeline_tbl[[#This Row],[Rep_ID]],Dim_Reps!A:A,Dim_Reps!D:D)</f>
        <v>Inside Sales</v>
      </c>
      <c r="R3335" t="str">
        <f>_xlfn.XLOOKUP(Pipeline_tbl[[#This Row],[Rep_ID]],Dim_Reps!A:A,Dim_Reps!E:E)</f>
        <v>EMEA</v>
      </c>
      <c r="S3335" t="str">
        <f>_xlfn.XLOOKUP(Pipeline_tbl[[#This Row],[Created_Date]],Dim_Date!A:A,Dim_Date!H:H)</f>
        <v>Jun 2025</v>
      </c>
      <c r="T3335" t="str">
        <f>IF(Pipeline_tbl[[#This Row],[Closed_Date]]=0,"",(_xlfn.XLOOKUP(Pipeline_tbl[[#This Row],[Closed_Date]],Dim_Date!A:A,Dim_Date!H:H)))</f>
        <v>Jul 2025</v>
      </c>
      <c r="U3335">
        <f>IF(Pipeline_tbl[[#This Row],[Closed_Date]]=0,"",Pipeline_tbl[[#This Row],[Closed_Date]]-Pipeline_tbl[[#This Row],[Created_Date]])</f>
        <v>17</v>
      </c>
    </row>
    <row r="3336" spans="1:21" ht="15" customHeight="1" x14ac:dyDescent="0.2">
      <c r="A3336" t="s">
        <v>3642</v>
      </c>
      <c r="B3336" t="s">
        <v>237</v>
      </c>
      <c r="C3336" t="s">
        <v>54</v>
      </c>
      <c r="D3336" s="49">
        <v>45834</v>
      </c>
      <c r="E3336" s="49">
        <v>45837</v>
      </c>
      <c r="F3336" s="49">
        <v>45842</v>
      </c>
      <c r="G3336" s="49">
        <v>45851</v>
      </c>
      <c r="H3336" s="49">
        <v>45858</v>
      </c>
      <c r="I3336" s="49">
        <v>45862</v>
      </c>
      <c r="J3336" t="s">
        <v>49</v>
      </c>
      <c r="K3336" s="33">
        <v>3200</v>
      </c>
      <c r="L3336" t="s">
        <v>62</v>
      </c>
      <c r="M3336" t="str">
        <f>_xlfn.XLOOKUP(Pipeline_tbl[[#This Row],[Rep_ID]],Dim_Reps!A:A,Dim_Reps!K:K)</f>
        <v>EUR</v>
      </c>
      <c r="N3336" s="33">
        <f>(_xlfn.XLOOKUP(Pipeline_tbl[[#This Row],[Rate_Code_Generalized]],Lookups!A:A,Lookups!B:B))*Pipeline_tbl[[#This Row],[Pipeline_Amount_USD]]</f>
        <v>3200</v>
      </c>
      <c r="O3336" t="str">
        <f>_xlfn.XLOOKUP(Pipeline_tbl[[#This Row],[Rep_ID]],Dim_Reps!A:A,Dim_Reps!B:B)</f>
        <v>Hugo Santos</v>
      </c>
      <c r="P3336" t="str">
        <f>_xlfn.XLOOKUP(Pipeline_tbl[[#This Row],[Rep_ID]],Dim_Reps!A:A,Dim_Reps!C:C)</f>
        <v>SDR / Inside Sales Rep</v>
      </c>
      <c r="Q3336" t="str">
        <f>_xlfn.XLOOKUP(Pipeline_tbl[[#This Row],[Rep_ID]],Dim_Reps!A:A,Dim_Reps!D:D)</f>
        <v>Inside Sales</v>
      </c>
      <c r="R3336" t="str">
        <f>_xlfn.XLOOKUP(Pipeline_tbl[[#This Row],[Rep_ID]],Dim_Reps!A:A,Dim_Reps!E:E)</f>
        <v>EMEA</v>
      </c>
      <c r="S3336" t="str">
        <f>_xlfn.XLOOKUP(Pipeline_tbl[[#This Row],[Created_Date]],Dim_Date!A:A,Dim_Date!H:H)</f>
        <v>Jun 2025</v>
      </c>
      <c r="T3336" t="str">
        <f>IF(Pipeline_tbl[[#This Row],[Closed_Date]]=0,"",(_xlfn.XLOOKUP(Pipeline_tbl[[#This Row],[Closed_Date]],Dim_Date!A:A,Dim_Date!H:H)))</f>
        <v>Jul 2025</v>
      </c>
      <c r="U3336">
        <f>IF(Pipeline_tbl[[#This Row],[Closed_Date]]=0,"",Pipeline_tbl[[#This Row],[Closed_Date]]-Pipeline_tbl[[#This Row],[Created_Date]])</f>
        <v>28</v>
      </c>
    </row>
    <row r="3337" spans="1:21" ht="15" customHeight="1" x14ac:dyDescent="0.2">
      <c r="A3337" t="s">
        <v>3643</v>
      </c>
      <c r="B3337" t="s">
        <v>237</v>
      </c>
      <c r="C3337" t="s">
        <v>52</v>
      </c>
      <c r="D3337" s="49">
        <v>45827</v>
      </c>
      <c r="E3337" s="49">
        <v>45829</v>
      </c>
      <c r="F3337" s="49">
        <v>45832</v>
      </c>
      <c r="G3337" s="49">
        <v>45837</v>
      </c>
      <c r="H3337" s="49">
        <v>45841</v>
      </c>
      <c r="I3337" s="49">
        <v>45843</v>
      </c>
      <c r="J3337" t="s">
        <v>47</v>
      </c>
      <c r="K3337" s="33">
        <v>2700</v>
      </c>
      <c r="M3337" t="str">
        <f>_xlfn.XLOOKUP(Pipeline_tbl[[#This Row],[Rep_ID]],Dim_Reps!A:A,Dim_Reps!K:K)</f>
        <v>EUR</v>
      </c>
      <c r="N3337" s="33">
        <f>(_xlfn.XLOOKUP(Pipeline_tbl[[#This Row],[Rate_Code_Generalized]],Lookups!A:A,Lookups!B:B))*Pipeline_tbl[[#This Row],[Pipeline_Amount_USD]]</f>
        <v>2700</v>
      </c>
      <c r="O3337" t="str">
        <f>_xlfn.XLOOKUP(Pipeline_tbl[[#This Row],[Rep_ID]],Dim_Reps!A:A,Dim_Reps!B:B)</f>
        <v>Hugo Santos</v>
      </c>
      <c r="P3337" t="str">
        <f>_xlfn.XLOOKUP(Pipeline_tbl[[#This Row],[Rep_ID]],Dim_Reps!A:A,Dim_Reps!C:C)</f>
        <v>SDR / Inside Sales Rep</v>
      </c>
      <c r="Q3337" t="str">
        <f>_xlfn.XLOOKUP(Pipeline_tbl[[#This Row],[Rep_ID]],Dim_Reps!A:A,Dim_Reps!D:D)</f>
        <v>Inside Sales</v>
      </c>
      <c r="R3337" t="str">
        <f>_xlfn.XLOOKUP(Pipeline_tbl[[#This Row],[Rep_ID]],Dim_Reps!A:A,Dim_Reps!E:E)</f>
        <v>EMEA</v>
      </c>
      <c r="S3337" t="str">
        <f>_xlfn.XLOOKUP(Pipeline_tbl[[#This Row],[Created_Date]],Dim_Date!A:A,Dim_Date!H:H)</f>
        <v>Jun 2025</v>
      </c>
      <c r="T3337" t="str">
        <f>IF(Pipeline_tbl[[#This Row],[Closed_Date]]=0,"",(_xlfn.XLOOKUP(Pipeline_tbl[[#This Row],[Closed_Date]],Dim_Date!A:A,Dim_Date!H:H)))</f>
        <v>Jul 2025</v>
      </c>
      <c r="U3337">
        <f>IF(Pipeline_tbl[[#This Row],[Closed_Date]]=0,"",Pipeline_tbl[[#This Row],[Closed_Date]]-Pipeline_tbl[[#This Row],[Created_Date]])</f>
        <v>16</v>
      </c>
    </row>
    <row r="3338" spans="1:21" ht="15" customHeight="1" x14ac:dyDescent="0.2">
      <c r="A3338" t="s">
        <v>3644</v>
      </c>
      <c r="B3338" t="s">
        <v>237</v>
      </c>
      <c r="C3338" t="s">
        <v>56</v>
      </c>
      <c r="D3338" s="49">
        <v>45830</v>
      </c>
      <c r="E3338" s="49">
        <v>45832</v>
      </c>
      <c r="F3338" s="49">
        <v>45835</v>
      </c>
      <c r="G3338" s="49">
        <v>45841</v>
      </c>
      <c r="I3338" s="49">
        <v>45848</v>
      </c>
      <c r="J3338" t="s">
        <v>49</v>
      </c>
      <c r="K3338" s="33">
        <v>6900</v>
      </c>
      <c r="L3338" t="s">
        <v>60</v>
      </c>
      <c r="M3338" t="str">
        <f>_xlfn.XLOOKUP(Pipeline_tbl[[#This Row],[Rep_ID]],Dim_Reps!A:A,Dim_Reps!K:K)</f>
        <v>EUR</v>
      </c>
      <c r="N3338" s="33">
        <f>(_xlfn.XLOOKUP(Pipeline_tbl[[#This Row],[Rate_Code_Generalized]],Lookups!A:A,Lookups!B:B))*Pipeline_tbl[[#This Row],[Pipeline_Amount_USD]]</f>
        <v>6900</v>
      </c>
      <c r="O3338" t="str">
        <f>_xlfn.XLOOKUP(Pipeline_tbl[[#This Row],[Rep_ID]],Dim_Reps!A:A,Dim_Reps!B:B)</f>
        <v>Hugo Santos</v>
      </c>
      <c r="P3338" t="str">
        <f>_xlfn.XLOOKUP(Pipeline_tbl[[#This Row],[Rep_ID]],Dim_Reps!A:A,Dim_Reps!C:C)</f>
        <v>SDR / Inside Sales Rep</v>
      </c>
      <c r="Q3338" t="str">
        <f>_xlfn.XLOOKUP(Pipeline_tbl[[#This Row],[Rep_ID]],Dim_Reps!A:A,Dim_Reps!D:D)</f>
        <v>Inside Sales</v>
      </c>
      <c r="R3338" t="str">
        <f>_xlfn.XLOOKUP(Pipeline_tbl[[#This Row],[Rep_ID]],Dim_Reps!A:A,Dim_Reps!E:E)</f>
        <v>EMEA</v>
      </c>
      <c r="S3338" t="str">
        <f>_xlfn.XLOOKUP(Pipeline_tbl[[#This Row],[Created_Date]],Dim_Date!A:A,Dim_Date!H:H)</f>
        <v>Jun 2025</v>
      </c>
      <c r="T3338" t="str">
        <f>IF(Pipeline_tbl[[#This Row],[Closed_Date]]=0,"",(_xlfn.XLOOKUP(Pipeline_tbl[[#This Row],[Closed_Date]],Dim_Date!A:A,Dim_Date!H:H)))</f>
        <v>Jul 2025</v>
      </c>
      <c r="U3338">
        <f>IF(Pipeline_tbl[[#This Row],[Closed_Date]]=0,"",Pipeline_tbl[[#This Row],[Closed_Date]]-Pipeline_tbl[[#This Row],[Created_Date]])</f>
        <v>18</v>
      </c>
    </row>
    <row r="3339" spans="1:21" ht="15" customHeight="1" x14ac:dyDescent="0.2">
      <c r="A3339" t="s">
        <v>3645</v>
      </c>
      <c r="B3339" t="s">
        <v>237</v>
      </c>
      <c r="C3339" t="s">
        <v>53</v>
      </c>
      <c r="D3339" s="49">
        <v>45828</v>
      </c>
      <c r="E3339" s="49">
        <v>45830</v>
      </c>
      <c r="F3339" s="49">
        <v>45833</v>
      </c>
      <c r="G3339" s="49">
        <v>45838</v>
      </c>
      <c r="H3339" s="49">
        <v>45842</v>
      </c>
      <c r="I3339" s="49">
        <v>45844</v>
      </c>
      <c r="J3339" t="s">
        <v>47</v>
      </c>
      <c r="K3339" s="33">
        <v>5300</v>
      </c>
      <c r="M3339" t="str">
        <f>_xlfn.XLOOKUP(Pipeline_tbl[[#This Row],[Rep_ID]],Dim_Reps!A:A,Dim_Reps!K:K)</f>
        <v>EUR</v>
      </c>
      <c r="N3339" s="33">
        <f>(_xlfn.XLOOKUP(Pipeline_tbl[[#This Row],[Rate_Code_Generalized]],Lookups!A:A,Lookups!B:B))*Pipeline_tbl[[#This Row],[Pipeline_Amount_USD]]</f>
        <v>5300</v>
      </c>
      <c r="O3339" t="str">
        <f>_xlfn.XLOOKUP(Pipeline_tbl[[#This Row],[Rep_ID]],Dim_Reps!A:A,Dim_Reps!B:B)</f>
        <v>Hugo Santos</v>
      </c>
      <c r="P3339" t="str">
        <f>_xlfn.XLOOKUP(Pipeline_tbl[[#This Row],[Rep_ID]],Dim_Reps!A:A,Dim_Reps!C:C)</f>
        <v>SDR / Inside Sales Rep</v>
      </c>
      <c r="Q3339" t="str">
        <f>_xlfn.XLOOKUP(Pipeline_tbl[[#This Row],[Rep_ID]],Dim_Reps!A:A,Dim_Reps!D:D)</f>
        <v>Inside Sales</v>
      </c>
      <c r="R3339" t="str">
        <f>_xlfn.XLOOKUP(Pipeline_tbl[[#This Row],[Rep_ID]],Dim_Reps!A:A,Dim_Reps!E:E)</f>
        <v>EMEA</v>
      </c>
      <c r="S3339" t="str">
        <f>_xlfn.XLOOKUP(Pipeline_tbl[[#This Row],[Created_Date]],Dim_Date!A:A,Dim_Date!H:H)</f>
        <v>Jun 2025</v>
      </c>
      <c r="T3339" t="str">
        <f>IF(Pipeline_tbl[[#This Row],[Closed_Date]]=0,"",(_xlfn.XLOOKUP(Pipeline_tbl[[#This Row],[Closed_Date]],Dim_Date!A:A,Dim_Date!H:H)))</f>
        <v>Jul 2025</v>
      </c>
      <c r="U3339">
        <f>IF(Pipeline_tbl[[#This Row],[Closed_Date]]=0,"",Pipeline_tbl[[#This Row],[Closed_Date]]-Pipeline_tbl[[#This Row],[Created_Date]])</f>
        <v>16</v>
      </c>
    </row>
    <row r="3340" spans="1:21" ht="15" customHeight="1" x14ac:dyDescent="0.2">
      <c r="A3340" t="s">
        <v>3646</v>
      </c>
      <c r="B3340" t="s">
        <v>237</v>
      </c>
      <c r="C3340" t="s">
        <v>55</v>
      </c>
      <c r="D3340" s="49">
        <v>45821</v>
      </c>
      <c r="E3340" s="49">
        <v>45823</v>
      </c>
      <c r="I3340" s="49">
        <v>45839</v>
      </c>
      <c r="J3340" t="s">
        <v>49</v>
      </c>
      <c r="K3340" s="33">
        <v>1800</v>
      </c>
      <c r="L3340" t="s">
        <v>60</v>
      </c>
      <c r="M3340" t="str">
        <f>_xlfn.XLOOKUP(Pipeline_tbl[[#This Row],[Rep_ID]],Dim_Reps!A:A,Dim_Reps!K:K)</f>
        <v>EUR</v>
      </c>
      <c r="N3340" s="33">
        <f>(_xlfn.XLOOKUP(Pipeline_tbl[[#This Row],[Rate_Code_Generalized]],Lookups!A:A,Lookups!B:B))*Pipeline_tbl[[#This Row],[Pipeline_Amount_USD]]</f>
        <v>1800</v>
      </c>
      <c r="O3340" t="str">
        <f>_xlfn.XLOOKUP(Pipeline_tbl[[#This Row],[Rep_ID]],Dim_Reps!A:A,Dim_Reps!B:B)</f>
        <v>Hugo Santos</v>
      </c>
      <c r="P3340" t="str">
        <f>_xlfn.XLOOKUP(Pipeline_tbl[[#This Row],[Rep_ID]],Dim_Reps!A:A,Dim_Reps!C:C)</f>
        <v>SDR / Inside Sales Rep</v>
      </c>
      <c r="Q3340" t="str">
        <f>_xlfn.XLOOKUP(Pipeline_tbl[[#This Row],[Rep_ID]],Dim_Reps!A:A,Dim_Reps!D:D)</f>
        <v>Inside Sales</v>
      </c>
      <c r="R3340" t="str">
        <f>_xlfn.XLOOKUP(Pipeline_tbl[[#This Row],[Rep_ID]],Dim_Reps!A:A,Dim_Reps!E:E)</f>
        <v>EMEA</v>
      </c>
      <c r="S3340" t="str">
        <f>_xlfn.XLOOKUP(Pipeline_tbl[[#This Row],[Created_Date]],Dim_Date!A:A,Dim_Date!H:H)</f>
        <v>Jun 2025</v>
      </c>
      <c r="T3340" t="str">
        <f>IF(Pipeline_tbl[[#This Row],[Closed_Date]]=0,"",(_xlfn.XLOOKUP(Pipeline_tbl[[#This Row],[Closed_Date]],Dim_Date!A:A,Dim_Date!H:H)))</f>
        <v>Jul 2025</v>
      </c>
      <c r="U3340">
        <f>IF(Pipeline_tbl[[#This Row],[Closed_Date]]=0,"",Pipeline_tbl[[#This Row],[Closed_Date]]-Pipeline_tbl[[#This Row],[Created_Date]])</f>
        <v>18</v>
      </c>
    </row>
    <row r="3341" spans="1:21" ht="15" customHeight="1" x14ac:dyDescent="0.2">
      <c r="A3341" t="s">
        <v>3647</v>
      </c>
      <c r="B3341" t="s">
        <v>237</v>
      </c>
      <c r="C3341" t="s">
        <v>52</v>
      </c>
      <c r="D3341" s="49">
        <v>45833</v>
      </c>
      <c r="E3341" s="49">
        <v>45834</v>
      </c>
      <c r="F3341" s="49">
        <v>45837</v>
      </c>
      <c r="I3341" s="49">
        <v>45846</v>
      </c>
      <c r="J3341" t="s">
        <v>49</v>
      </c>
      <c r="K3341" s="33">
        <v>5000</v>
      </c>
      <c r="L3341" t="s">
        <v>63</v>
      </c>
      <c r="M3341" t="str">
        <f>_xlfn.XLOOKUP(Pipeline_tbl[[#This Row],[Rep_ID]],Dim_Reps!A:A,Dim_Reps!K:K)</f>
        <v>EUR</v>
      </c>
      <c r="N3341" s="33">
        <f>(_xlfn.XLOOKUP(Pipeline_tbl[[#This Row],[Rate_Code_Generalized]],Lookups!A:A,Lookups!B:B))*Pipeline_tbl[[#This Row],[Pipeline_Amount_USD]]</f>
        <v>5000</v>
      </c>
      <c r="O3341" t="str">
        <f>_xlfn.XLOOKUP(Pipeline_tbl[[#This Row],[Rep_ID]],Dim_Reps!A:A,Dim_Reps!B:B)</f>
        <v>Hugo Santos</v>
      </c>
      <c r="P3341" t="str">
        <f>_xlfn.XLOOKUP(Pipeline_tbl[[#This Row],[Rep_ID]],Dim_Reps!A:A,Dim_Reps!C:C)</f>
        <v>SDR / Inside Sales Rep</v>
      </c>
      <c r="Q3341" t="str">
        <f>_xlfn.XLOOKUP(Pipeline_tbl[[#This Row],[Rep_ID]],Dim_Reps!A:A,Dim_Reps!D:D)</f>
        <v>Inside Sales</v>
      </c>
      <c r="R3341" t="str">
        <f>_xlfn.XLOOKUP(Pipeline_tbl[[#This Row],[Rep_ID]],Dim_Reps!A:A,Dim_Reps!E:E)</f>
        <v>EMEA</v>
      </c>
      <c r="S3341" t="str">
        <f>_xlfn.XLOOKUP(Pipeline_tbl[[#This Row],[Created_Date]],Dim_Date!A:A,Dim_Date!H:H)</f>
        <v>Jun 2025</v>
      </c>
      <c r="T3341" t="str">
        <f>IF(Pipeline_tbl[[#This Row],[Closed_Date]]=0,"",(_xlfn.XLOOKUP(Pipeline_tbl[[#This Row],[Closed_Date]],Dim_Date!A:A,Dim_Date!H:H)))</f>
        <v>Jul 2025</v>
      </c>
      <c r="U3341">
        <f>IF(Pipeline_tbl[[#This Row],[Closed_Date]]=0,"",Pipeline_tbl[[#This Row],[Closed_Date]]-Pipeline_tbl[[#This Row],[Created_Date]])</f>
        <v>13</v>
      </c>
    </row>
    <row r="3342" spans="1:21" ht="15" customHeight="1" x14ac:dyDescent="0.2">
      <c r="A3342" t="s">
        <v>3648</v>
      </c>
      <c r="B3342" t="s">
        <v>237</v>
      </c>
      <c r="C3342" t="s">
        <v>55</v>
      </c>
      <c r="D3342" s="49">
        <v>45828</v>
      </c>
      <c r="E3342" s="49">
        <v>45830</v>
      </c>
      <c r="F3342" s="49">
        <v>45835</v>
      </c>
      <c r="G3342" s="49">
        <v>45842</v>
      </c>
      <c r="H3342" s="49">
        <v>45848</v>
      </c>
      <c r="I3342" s="49">
        <v>45851</v>
      </c>
      <c r="J3342" t="s">
        <v>49</v>
      </c>
      <c r="K3342" s="33">
        <v>5000</v>
      </c>
      <c r="L3342" t="s">
        <v>64</v>
      </c>
      <c r="M3342" t="str">
        <f>_xlfn.XLOOKUP(Pipeline_tbl[[#This Row],[Rep_ID]],Dim_Reps!A:A,Dim_Reps!K:K)</f>
        <v>EUR</v>
      </c>
      <c r="N3342" s="33">
        <f>(_xlfn.XLOOKUP(Pipeline_tbl[[#This Row],[Rate_Code_Generalized]],Lookups!A:A,Lookups!B:B))*Pipeline_tbl[[#This Row],[Pipeline_Amount_USD]]</f>
        <v>5000</v>
      </c>
      <c r="O3342" t="str">
        <f>_xlfn.XLOOKUP(Pipeline_tbl[[#This Row],[Rep_ID]],Dim_Reps!A:A,Dim_Reps!B:B)</f>
        <v>Hugo Santos</v>
      </c>
      <c r="P3342" t="str">
        <f>_xlfn.XLOOKUP(Pipeline_tbl[[#This Row],[Rep_ID]],Dim_Reps!A:A,Dim_Reps!C:C)</f>
        <v>SDR / Inside Sales Rep</v>
      </c>
      <c r="Q3342" t="str">
        <f>_xlfn.XLOOKUP(Pipeline_tbl[[#This Row],[Rep_ID]],Dim_Reps!A:A,Dim_Reps!D:D)</f>
        <v>Inside Sales</v>
      </c>
      <c r="R3342" t="str">
        <f>_xlfn.XLOOKUP(Pipeline_tbl[[#This Row],[Rep_ID]],Dim_Reps!A:A,Dim_Reps!E:E)</f>
        <v>EMEA</v>
      </c>
      <c r="S3342" t="str">
        <f>_xlfn.XLOOKUP(Pipeline_tbl[[#This Row],[Created_Date]],Dim_Date!A:A,Dim_Date!H:H)</f>
        <v>Jun 2025</v>
      </c>
      <c r="T3342" t="str">
        <f>IF(Pipeline_tbl[[#This Row],[Closed_Date]]=0,"",(_xlfn.XLOOKUP(Pipeline_tbl[[#This Row],[Closed_Date]],Dim_Date!A:A,Dim_Date!H:H)))</f>
        <v>Jul 2025</v>
      </c>
      <c r="U3342">
        <f>IF(Pipeline_tbl[[#This Row],[Closed_Date]]=0,"",Pipeline_tbl[[#This Row],[Closed_Date]]-Pipeline_tbl[[#This Row],[Created_Date]])</f>
        <v>23</v>
      </c>
    </row>
    <row r="3343" spans="1:21" ht="15" customHeight="1" x14ac:dyDescent="0.2">
      <c r="A3343" t="s">
        <v>3649</v>
      </c>
      <c r="B3343" t="s">
        <v>237</v>
      </c>
      <c r="C3343" t="s">
        <v>54</v>
      </c>
      <c r="D3343" s="49">
        <v>45836</v>
      </c>
      <c r="E3343" s="49">
        <v>45838</v>
      </c>
      <c r="F3343" s="49">
        <v>45842</v>
      </c>
      <c r="G3343" s="49">
        <v>45847</v>
      </c>
      <c r="H3343" s="49">
        <v>45852</v>
      </c>
      <c r="I3343" s="49">
        <v>45855</v>
      </c>
      <c r="J3343" t="s">
        <v>49</v>
      </c>
      <c r="K3343" s="33">
        <v>3200</v>
      </c>
      <c r="L3343" t="s">
        <v>61</v>
      </c>
      <c r="M3343" t="str">
        <f>_xlfn.XLOOKUP(Pipeline_tbl[[#This Row],[Rep_ID]],Dim_Reps!A:A,Dim_Reps!K:K)</f>
        <v>EUR</v>
      </c>
      <c r="N3343" s="33">
        <f>(_xlfn.XLOOKUP(Pipeline_tbl[[#This Row],[Rate_Code_Generalized]],Lookups!A:A,Lookups!B:B))*Pipeline_tbl[[#This Row],[Pipeline_Amount_USD]]</f>
        <v>3200</v>
      </c>
      <c r="O3343" t="str">
        <f>_xlfn.XLOOKUP(Pipeline_tbl[[#This Row],[Rep_ID]],Dim_Reps!A:A,Dim_Reps!B:B)</f>
        <v>Hugo Santos</v>
      </c>
      <c r="P3343" t="str">
        <f>_xlfn.XLOOKUP(Pipeline_tbl[[#This Row],[Rep_ID]],Dim_Reps!A:A,Dim_Reps!C:C)</f>
        <v>SDR / Inside Sales Rep</v>
      </c>
      <c r="Q3343" t="str">
        <f>_xlfn.XLOOKUP(Pipeline_tbl[[#This Row],[Rep_ID]],Dim_Reps!A:A,Dim_Reps!D:D)</f>
        <v>Inside Sales</v>
      </c>
      <c r="R3343" t="str">
        <f>_xlfn.XLOOKUP(Pipeline_tbl[[#This Row],[Rep_ID]],Dim_Reps!A:A,Dim_Reps!E:E)</f>
        <v>EMEA</v>
      </c>
      <c r="S3343" t="str">
        <f>_xlfn.XLOOKUP(Pipeline_tbl[[#This Row],[Created_Date]],Dim_Date!A:A,Dim_Date!H:H)</f>
        <v>Jun 2025</v>
      </c>
      <c r="T3343" t="str">
        <f>IF(Pipeline_tbl[[#This Row],[Closed_Date]]=0,"",(_xlfn.XLOOKUP(Pipeline_tbl[[#This Row],[Closed_Date]],Dim_Date!A:A,Dim_Date!H:H)))</f>
        <v>Jul 2025</v>
      </c>
      <c r="U3343">
        <f>IF(Pipeline_tbl[[#This Row],[Closed_Date]]=0,"",Pipeline_tbl[[#This Row],[Closed_Date]]-Pipeline_tbl[[#This Row],[Created_Date]])</f>
        <v>19</v>
      </c>
    </row>
    <row r="3344" spans="1:21" ht="15" customHeight="1" x14ac:dyDescent="0.2">
      <c r="A3344" t="s">
        <v>3650</v>
      </c>
      <c r="B3344" t="s">
        <v>237</v>
      </c>
      <c r="C3344" t="s">
        <v>52</v>
      </c>
      <c r="D3344" s="49">
        <v>45830</v>
      </c>
      <c r="E3344" s="49">
        <v>45833</v>
      </c>
      <c r="F3344" s="49">
        <v>45838</v>
      </c>
      <c r="G3344" s="49">
        <v>45846</v>
      </c>
      <c r="H3344" s="49">
        <v>45852</v>
      </c>
      <c r="I3344" s="49">
        <v>45856</v>
      </c>
      <c r="J3344" t="s">
        <v>47</v>
      </c>
      <c r="K3344" s="33">
        <v>2500</v>
      </c>
      <c r="M3344" t="str">
        <f>_xlfn.XLOOKUP(Pipeline_tbl[[#This Row],[Rep_ID]],Dim_Reps!A:A,Dim_Reps!K:K)</f>
        <v>EUR</v>
      </c>
      <c r="N3344" s="33">
        <f>(_xlfn.XLOOKUP(Pipeline_tbl[[#This Row],[Rate_Code_Generalized]],Lookups!A:A,Lookups!B:B))*Pipeline_tbl[[#This Row],[Pipeline_Amount_USD]]</f>
        <v>2500</v>
      </c>
      <c r="O3344" t="str">
        <f>_xlfn.XLOOKUP(Pipeline_tbl[[#This Row],[Rep_ID]],Dim_Reps!A:A,Dim_Reps!B:B)</f>
        <v>Hugo Santos</v>
      </c>
      <c r="P3344" t="str">
        <f>_xlfn.XLOOKUP(Pipeline_tbl[[#This Row],[Rep_ID]],Dim_Reps!A:A,Dim_Reps!C:C)</f>
        <v>SDR / Inside Sales Rep</v>
      </c>
      <c r="Q3344" t="str">
        <f>_xlfn.XLOOKUP(Pipeline_tbl[[#This Row],[Rep_ID]],Dim_Reps!A:A,Dim_Reps!D:D)</f>
        <v>Inside Sales</v>
      </c>
      <c r="R3344" t="str">
        <f>_xlfn.XLOOKUP(Pipeline_tbl[[#This Row],[Rep_ID]],Dim_Reps!A:A,Dim_Reps!E:E)</f>
        <v>EMEA</v>
      </c>
      <c r="S3344" t="str">
        <f>_xlfn.XLOOKUP(Pipeline_tbl[[#This Row],[Created_Date]],Dim_Date!A:A,Dim_Date!H:H)</f>
        <v>Jun 2025</v>
      </c>
      <c r="T3344" t="str">
        <f>IF(Pipeline_tbl[[#This Row],[Closed_Date]]=0,"",(_xlfn.XLOOKUP(Pipeline_tbl[[#This Row],[Closed_Date]],Dim_Date!A:A,Dim_Date!H:H)))</f>
        <v>Jul 2025</v>
      </c>
      <c r="U3344">
        <f>IF(Pipeline_tbl[[#This Row],[Closed_Date]]=0,"",Pipeline_tbl[[#This Row],[Closed_Date]]-Pipeline_tbl[[#This Row],[Created_Date]])</f>
        <v>26</v>
      </c>
    </row>
    <row r="3345" spans="1:21" ht="15" customHeight="1" x14ac:dyDescent="0.2">
      <c r="A3345" t="s">
        <v>3651</v>
      </c>
      <c r="B3345" t="s">
        <v>269</v>
      </c>
      <c r="C3345" t="s">
        <v>52</v>
      </c>
      <c r="D3345" s="49">
        <v>45836</v>
      </c>
      <c r="E3345" s="49">
        <v>45839</v>
      </c>
      <c r="F3345" s="49">
        <v>45844</v>
      </c>
      <c r="G3345" s="49">
        <v>45852</v>
      </c>
      <c r="H3345" s="49">
        <v>45858</v>
      </c>
      <c r="I3345" s="49">
        <v>45862</v>
      </c>
      <c r="J3345" t="s">
        <v>47</v>
      </c>
      <c r="K3345" s="33">
        <v>28000</v>
      </c>
      <c r="M3345" t="str">
        <f>_xlfn.XLOOKUP(Pipeline_tbl[[#This Row],[Rep_ID]],Dim_Reps!A:A,Dim_Reps!K:K)</f>
        <v>USD</v>
      </c>
      <c r="N3345" s="33">
        <f>(_xlfn.XLOOKUP(Pipeline_tbl[[#This Row],[Rate_Code_Generalized]],Lookups!A:A,Lookups!B:B))*Pipeline_tbl[[#This Row],[Pipeline_Amount_USD]]</f>
        <v>32600.399999999998</v>
      </c>
      <c r="O3345" t="str">
        <f>_xlfn.XLOOKUP(Pipeline_tbl[[#This Row],[Rep_ID]],Dim_Reps!A:A,Dim_Reps!B:B)</f>
        <v>Morgan Rivera</v>
      </c>
      <c r="P3345" t="str">
        <f>_xlfn.XLOOKUP(Pipeline_tbl[[#This Row],[Rep_ID]],Dim_Reps!A:A,Dim_Reps!C:C)</f>
        <v>Mid-Market AE</v>
      </c>
      <c r="Q3345" t="str">
        <f>_xlfn.XLOOKUP(Pipeline_tbl[[#This Row],[Rep_ID]],Dim_Reps!A:A,Dim_Reps!D:D)</f>
        <v>Mid-Market</v>
      </c>
      <c r="R3345" t="str">
        <f>_xlfn.XLOOKUP(Pipeline_tbl[[#This Row],[Rep_ID]],Dim_Reps!A:A,Dim_Reps!E:E)</f>
        <v>NAMER</v>
      </c>
      <c r="S3345" t="str">
        <f>_xlfn.XLOOKUP(Pipeline_tbl[[#This Row],[Created_Date]],Dim_Date!A:A,Dim_Date!H:H)</f>
        <v>Jun 2025</v>
      </c>
      <c r="T3345" t="str">
        <f>IF(Pipeline_tbl[[#This Row],[Closed_Date]]=0,"",(_xlfn.XLOOKUP(Pipeline_tbl[[#This Row],[Closed_Date]],Dim_Date!A:A,Dim_Date!H:H)))</f>
        <v>Jul 2025</v>
      </c>
      <c r="U3345">
        <f>IF(Pipeline_tbl[[#This Row],[Closed_Date]]=0,"",Pipeline_tbl[[#This Row],[Closed_Date]]-Pipeline_tbl[[#This Row],[Created_Date]])</f>
        <v>26</v>
      </c>
    </row>
    <row r="3346" spans="1:21" ht="15" customHeight="1" x14ac:dyDescent="0.2">
      <c r="A3346" t="s">
        <v>3652</v>
      </c>
      <c r="B3346" t="s">
        <v>269</v>
      </c>
      <c r="C3346" t="s">
        <v>52</v>
      </c>
      <c r="D3346" s="49">
        <v>45821</v>
      </c>
      <c r="E3346" s="49">
        <v>45823</v>
      </c>
      <c r="F3346" s="49">
        <v>45829</v>
      </c>
      <c r="G3346" s="49">
        <v>45836</v>
      </c>
      <c r="H3346" s="49">
        <v>45842</v>
      </c>
      <c r="I3346" s="49">
        <v>45846</v>
      </c>
      <c r="J3346" t="s">
        <v>49</v>
      </c>
      <c r="K3346" s="33">
        <v>5800</v>
      </c>
      <c r="L3346" t="s">
        <v>64</v>
      </c>
      <c r="M3346" t="str">
        <f>_xlfn.XLOOKUP(Pipeline_tbl[[#This Row],[Rep_ID]],Dim_Reps!A:A,Dim_Reps!K:K)</f>
        <v>USD</v>
      </c>
      <c r="N3346" s="33">
        <f>(_xlfn.XLOOKUP(Pipeline_tbl[[#This Row],[Rate_Code_Generalized]],Lookups!A:A,Lookups!B:B))*Pipeline_tbl[[#This Row],[Pipeline_Amount_USD]]</f>
        <v>6752.94</v>
      </c>
      <c r="O3346" t="str">
        <f>_xlfn.XLOOKUP(Pipeline_tbl[[#This Row],[Rep_ID]],Dim_Reps!A:A,Dim_Reps!B:B)</f>
        <v>Morgan Rivera</v>
      </c>
      <c r="P3346" t="str">
        <f>_xlfn.XLOOKUP(Pipeline_tbl[[#This Row],[Rep_ID]],Dim_Reps!A:A,Dim_Reps!C:C)</f>
        <v>Mid-Market AE</v>
      </c>
      <c r="Q3346" t="str">
        <f>_xlfn.XLOOKUP(Pipeline_tbl[[#This Row],[Rep_ID]],Dim_Reps!A:A,Dim_Reps!D:D)</f>
        <v>Mid-Market</v>
      </c>
      <c r="R3346" t="str">
        <f>_xlfn.XLOOKUP(Pipeline_tbl[[#This Row],[Rep_ID]],Dim_Reps!A:A,Dim_Reps!E:E)</f>
        <v>NAMER</v>
      </c>
      <c r="S3346" t="str">
        <f>_xlfn.XLOOKUP(Pipeline_tbl[[#This Row],[Created_Date]],Dim_Date!A:A,Dim_Date!H:H)</f>
        <v>Jun 2025</v>
      </c>
      <c r="T3346" t="str">
        <f>IF(Pipeline_tbl[[#This Row],[Closed_Date]]=0,"",(_xlfn.XLOOKUP(Pipeline_tbl[[#This Row],[Closed_Date]],Dim_Date!A:A,Dim_Date!H:H)))</f>
        <v>Jul 2025</v>
      </c>
      <c r="U3346">
        <f>IF(Pipeline_tbl[[#This Row],[Closed_Date]]=0,"",Pipeline_tbl[[#This Row],[Closed_Date]]-Pipeline_tbl[[#This Row],[Created_Date]])</f>
        <v>25</v>
      </c>
    </row>
    <row r="3347" spans="1:21" ht="15" customHeight="1" x14ac:dyDescent="0.2">
      <c r="A3347" t="s">
        <v>3653</v>
      </c>
      <c r="B3347" t="s">
        <v>269</v>
      </c>
      <c r="C3347" t="s">
        <v>52</v>
      </c>
      <c r="D3347" s="49">
        <v>45823</v>
      </c>
      <c r="E3347" s="49">
        <v>45825</v>
      </c>
      <c r="F3347" s="49">
        <v>45828</v>
      </c>
      <c r="G3347" s="49">
        <v>45833</v>
      </c>
      <c r="I3347" s="49">
        <v>45840</v>
      </c>
      <c r="J3347" t="s">
        <v>49</v>
      </c>
      <c r="K3347" s="33">
        <v>10400</v>
      </c>
      <c r="L3347" t="s">
        <v>63</v>
      </c>
      <c r="M3347" t="str">
        <f>_xlfn.XLOOKUP(Pipeline_tbl[[#This Row],[Rep_ID]],Dim_Reps!A:A,Dim_Reps!K:K)</f>
        <v>USD</v>
      </c>
      <c r="N3347" s="33">
        <f>(_xlfn.XLOOKUP(Pipeline_tbl[[#This Row],[Rate_Code_Generalized]],Lookups!A:A,Lookups!B:B))*Pipeline_tbl[[#This Row],[Pipeline_Amount_USD]]</f>
        <v>12108.72</v>
      </c>
      <c r="O3347" t="str">
        <f>_xlfn.XLOOKUP(Pipeline_tbl[[#This Row],[Rep_ID]],Dim_Reps!A:A,Dim_Reps!B:B)</f>
        <v>Morgan Rivera</v>
      </c>
      <c r="P3347" t="str">
        <f>_xlfn.XLOOKUP(Pipeline_tbl[[#This Row],[Rep_ID]],Dim_Reps!A:A,Dim_Reps!C:C)</f>
        <v>Mid-Market AE</v>
      </c>
      <c r="Q3347" t="str">
        <f>_xlfn.XLOOKUP(Pipeline_tbl[[#This Row],[Rep_ID]],Dim_Reps!A:A,Dim_Reps!D:D)</f>
        <v>Mid-Market</v>
      </c>
      <c r="R3347" t="str">
        <f>_xlfn.XLOOKUP(Pipeline_tbl[[#This Row],[Rep_ID]],Dim_Reps!A:A,Dim_Reps!E:E)</f>
        <v>NAMER</v>
      </c>
      <c r="S3347" t="str">
        <f>_xlfn.XLOOKUP(Pipeline_tbl[[#This Row],[Created_Date]],Dim_Date!A:A,Dim_Date!H:H)</f>
        <v>Jun 2025</v>
      </c>
      <c r="T3347" t="str">
        <f>IF(Pipeline_tbl[[#This Row],[Closed_Date]]=0,"",(_xlfn.XLOOKUP(Pipeline_tbl[[#This Row],[Closed_Date]],Dim_Date!A:A,Dim_Date!H:H)))</f>
        <v>Jul 2025</v>
      </c>
      <c r="U3347">
        <f>IF(Pipeline_tbl[[#This Row],[Closed_Date]]=0,"",Pipeline_tbl[[#This Row],[Closed_Date]]-Pipeline_tbl[[#This Row],[Created_Date]])</f>
        <v>17</v>
      </c>
    </row>
    <row r="3348" spans="1:21" ht="15" customHeight="1" x14ac:dyDescent="0.2">
      <c r="A3348" t="s">
        <v>3654</v>
      </c>
      <c r="B3348" t="s">
        <v>269</v>
      </c>
      <c r="C3348" t="s">
        <v>52</v>
      </c>
      <c r="D3348" s="49">
        <v>45815</v>
      </c>
      <c r="E3348" s="49">
        <v>45817</v>
      </c>
      <c r="F3348" s="49">
        <v>45822</v>
      </c>
      <c r="G3348" s="49">
        <v>45829</v>
      </c>
      <c r="H3348" s="49">
        <v>45835</v>
      </c>
      <c r="I3348" s="49">
        <v>45839</v>
      </c>
      <c r="J3348" t="s">
        <v>47</v>
      </c>
      <c r="K3348" s="33">
        <v>12600</v>
      </c>
      <c r="M3348" t="str">
        <f>_xlfn.XLOOKUP(Pipeline_tbl[[#This Row],[Rep_ID]],Dim_Reps!A:A,Dim_Reps!K:K)</f>
        <v>USD</v>
      </c>
      <c r="N3348" s="33">
        <f>(_xlfn.XLOOKUP(Pipeline_tbl[[#This Row],[Rate_Code_Generalized]],Lookups!A:A,Lookups!B:B))*Pipeline_tbl[[#This Row],[Pipeline_Amount_USD]]</f>
        <v>14670.179999999998</v>
      </c>
      <c r="O3348" t="str">
        <f>_xlfn.XLOOKUP(Pipeline_tbl[[#This Row],[Rep_ID]],Dim_Reps!A:A,Dim_Reps!B:B)</f>
        <v>Morgan Rivera</v>
      </c>
      <c r="P3348" t="str">
        <f>_xlfn.XLOOKUP(Pipeline_tbl[[#This Row],[Rep_ID]],Dim_Reps!A:A,Dim_Reps!C:C)</f>
        <v>Mid-Market AE</v>
      </c>
      <c r="Q3348" t="str">
        <f>_xlfn.XLOOKUP(Pipeline_tbl[[#This Row],[Rep_ID]],Dim_Reps!A:A,Dim_Reps!D:D)</f>
        <v>Mid-Market</v>
      </c>
      <c r="R3348" t="str">
        <f>_xlfn.XLOOKUP(Pipeline_tbl[[#This Row],[Rep_ID]],Dim_Reps!A:A,Dim_Reps!E:E)</f>
        <v>NAMER</v>
      </c>
      <c r="S3348" t="str">
        <f>_xlfn.XLOOKUP(Pipeline_tbl[[#This Row],[Created_Date]],Dim_Date!A:A,Dim_Date!H:H)</f>
        <v>Jun 2025</v>
      </c>
      <c r="T3348" t="str">
        <f>IF(Pipeline_tbl[[#This Row],[Closed_Date]]=0,"",(_xlfn.XLOOKUP(Pipeline_tbl[[#This Row],[Closed_Date]],Dim_Date!A:A,Dim_Date!H:H)))</f>
        <v>Jul 2025</v>
      </c>
      <c r="U3348">
        <f>IF(Pipeline_tbl[[#This Row],[Closed_Date]]=0,"",Pipeline_tbl[[#This Row],[Closed_Date]]-Pipeline_tbl[[#This Row],[Created_Date]])</f>
        <v>24</v>
      </c>
    </row>
    <row r="3349" spans="1:21" ht="15" customHeight="1" x14ac:dyDescent="0.2">
      <c r="A3349" t="s">
        <v>3655</v>
      </c>
      <c r="B3349" t="s">
        <v>269</v>
      </c>
      <c r="C3349" t="s">
        <v>52</v>
      </c>
      <c r="D3349" s="49">
        <v>45831</v>
      </c>
      <c r="E3349" s="49">
        <v>45833</v>
      </c>
      <c r="F3349" s="49">
        <v>45839</v>
      </c>
      <c r="G3349" s="49">
        <v>45846</v>
      </c>
      <c r="I3349" s="49">
        <v>45856</v>
      </c>
      <c r="J3349" t="s">
        <v>49</v>
      </c>
      <c r="K3349" s="33">
        <v>15600</v>
      </c>
      <c r="L3349" t="s">
        <v>61</v>
      </c>
      <c r="M3349" t="str">
        <f>_xlfn.XLOOKUP(Pipeline_tbl[[#This Row],[Rep_ID]],Dim_Reps!A:A,Dim_Reps!K:K)</f>
        <v>USD</v>
      </c>
      <c r="N3349" s="33">
        <f>(_xlfn.XLOOKUP(Pipeline_tbl[[#This Row],[Rate_Code_Generalized]],Lookups!A:A,Lookups!B:B))*Pipeline_tbl[[#This Row],[Pipeline_Amount_USD]]</f>
        <v>18163.079999999998</v>
      </c>
      <c r="O3349" t="str">
        <f>_xlfn.XLOOKUP(Pipeline_tbl[[#This Row],[Rep_ID]],Dim_Reps!A:A,Dim_Reps!B:B)</f>
        <v>Morgan Rivera</v>
      </c>
      <c r="P3349" t="str">
        <f>_xlfn.XLOOKUP(Pipeline_tbl[[#This Row],[Rep_ID]],Dim_Reps!A:A,Dim_Reps!C:C)</f>
        <v>Mid-Market AE</v>
      </c>
      <c r="Q3349" t="str">
        <f>_xlfn.XLOOKUP(Pipeline_tbl[[#This Row],[Rep_ID]],Dim_Reps!A:A,Dim_Reps!D:D)</f>
        <v>Mid-Market</v>
      </c>
      <c r="R3349" t="str">
        <f>_xlfn.XLOOKUP(Pipeline_tbl[[#This Row],[Rep_ID]],Dim_Reps!A:A,Dim_Reps!E:E)</f>
        <v>NAMER</v>
      </c>
      <c r="S3349" t="str">
        <f>_xlfn.XLOOKUP(Pipeline_tbl[[#This Row],[Created_Date]],Dim_Date!A:A,Dim_Date!H:H)</f>
        <v>Jun 2025</v>
      </c>
      <c r="T3349" t="str">
        <f>IF(Pipeline_tbl[[#This Row],[Closed_Date]]=0,"",(_xlfn.XLOOKUP(Pipeline_tbl[[#This Row],[Closed_Date]],Dim_Date!A:A,Dim_Date!H:H)))</f>
        <v>Jul 2025</v>
      </c>
      <c r="U3349">
        <f>IF(Pipeline_tbl[[#This Row],[Closed_Date]]=0,"",Pipeline_tbl[[#This Row],[Closed_Date]]-Pipeline_tbl[[#This Row],[Created_Date]])</f>
        <v>25</v>
      </c>
    </row>
    <row r="3350" spans="1:21" ht="15" customHeight="1" x14ac:dyDescent="0.2">
      <c r="A3350" t="s">
        <v>3656</v>
      </c>
      <c r="B3350" t="s">
        <v>269</v>
      </c>
      <c r="C3350" t="s">
        <v>56</v>
      </c>
      <c r="D3350" s="49">
        <v>45819</v>
      </c>
      <c r="E3350" s="49">
        <v>45821</v>
      </c>
      <c r="F3350" s="49">
        <v>45825</v>
      </c>
      <c r="G3350" s="49">
        <v>45831</v>
      </c>
      <c r="H3350" s="49">
        <v>45836</v>
      </c>
      <c r="I3350" s="49">
        <v>45839</v>
      </c>
      <c r="J3350" t="s">
        <v>47</v>
      </c>
      <c r="K3350" s="33">
        <v>8100</v>
      </c>
      <c r="M3350" t="str">
        <f>_xlfn.XLOOKUP(Pipeline_tbl[[#This Row],[Rep_ID]],Dim_Reps!A:A,Dim_Reps!K:K)</f>
        <v>USD</v>
      </c>
      <c r="N3350" s="33">
        <f>(_xlfn.XLOOKUP(Pipeline_tbl[[#This Row],[Rate_Code_Generalized]],Lookups!A:A,Lookups!B:B))*Pipeline_tbl[[#This Row],[Pipeline_Amount_USD]]</f>
        <v>9430.83</v>
      </c>
      <c r="O3350" t="str">
        <f>_xlfn.XLOOKUP(Pipeline_tbl[[#This Row],[Rep_ID]],Dim_Reps!A:A,Dim_Reps!B:B)</f>
        <v>Morgan Rivera</v>
      </c>
      <c r="P3350" t="str">
        <f>_xlfn.XLOOKUP(Pipeline_tbl[[#This Row],[Rep_ID]],Dim_Reps!A:A,Dim_Reps!C:C)</f>
        <v>Mid-Market AE</v>
      </c>
      <c r="Q3350" t="str">
        <f>_xlfn.XLOOKUP(Pipeline_tbl[[#This Row],[Rep_ID]],Dim_Reps!A:A,Dim_Reps!D:D)</f>
        <v>Mid-Market</v>
      </c>
      <c r="R3350" t="str">
        <f>_xlfn.XLOOKUP(Pipeline_tbl[[#This Row],[Rep_ID]],Dim_Reps!A:A,Dim_Reps!E:E)</f>
        <v>NAMER</v>
      </c>
      <c r="S3350" t="str">
        <f>_xlfn.XLOOKUP(Pipeline_tbl[[#This Row],[Created_Date]],Dim_Date!A:A,Dim_Date!H:H)</f>
        <v>Jun 2025</v>
      </c>
      <c r="T3350" t="str">
        <f>IF(Pipeline_tbl[[#This Row],[Closed_Date]]=0,"",(_xlfn.XLOOKUP(Pipeline_tbl[[#This Row],[Closed_Date]],Dim_Date!A:A,Dim_Date!H:H)))</f>
        <v>Jul 2025</v>
      </c>
      <c r="U3350">
        <f>IF(Pipeline_tbl[[#This Row],[Closed_Date]]=0,"",Pipeline_tbl[[#This Row],[Closed_Date]]-Pipeline_tbl[[#This Row],[Created_Date]])</f>
        <v>20</v>
      </c>
    </row>
    <row r="3351" spans="1:21" ht="15" customHeight="1" x14ac:dyDescent="0.2">
      <c r="A3351" t="s">
        <v>3657</v>
      </c>
      <c r="B3351" t="s">
        <v>269</v>
      </c>
      <c r="C3351" t="s">
        <v>52</v>
      </c>
      <c r="D3351" s="49">
        <v>45822</v>
      </c>
      <c r="E3351" s="49">
        <v>45826</v>
      </c>
      <c r="F3351" s="49">
        <v>45835</v>
      </c>
      <c r="G3351" s="49">
        <v>45848</v>
      </c>
      <c r="I3351" s="49">
        <v>45866</v>
      </c>
      <c r="J3351" t="s">
        <v>49</v>
      </c>
      <c r="K3351" s="33">
        <v>16100</v>
      </c>
      <c r="L3351" t="s">
        <v>61</v>
      </c>
      <c r="M3351" t="str">
        <f>_xlfn.XLOOKUP(Pipeline_tbl[[#This Row],[Rep_ID]],Dim_Reps!A:A,Dim_Reps!K:K)</f>
        <v>USD</v>
      </c>
      <c r="N3351" s="33">
        <f>(_xlfn.XLOOKUP(Pipeline_tbl[[#This Row],[Rate_Code_Generalized]],Lookups!A:A,Lookups!B:B))*Pipeline_tbl[[#This Row],[Pipeline_Amount_USD]]</f>
        <v>18745.23</v>
      </c>
      <c r="O3351" t="str">
        <f>_xlfn.XLOOKUP(Pipeline_tbl[[#This Row],[Rep_ID]],Dim_Reps!A:A,Dim_Reps!B:B)</f>
        <v>Morgan Rivera</v>
      </c>
      <c r="P3351" t="str">
        <f>_xlfn.XLOOKUP(Pipeline_tbl[[#This Row],[Rep_ID]],Dim_Reps!A:A,Dim_Reps!C:C)</f>
        <v>Mid-Market AE</v>
      </c>
      <c r="Q3351" t="str">
        <f>_xlfn.XLOOKUP(Pipeline_tbl[[#This Row],[Rep_ID]],Dim_Reps!A:A,Dim_Reps!D:D)</f>
        <v>Mid-Market</v>
      </c>
      <c r="R3351" t="str">
        <f>_xlfn.XLOOKUP(Pipeline_tbl[[#This Row],[Rep_ID]],Dim_Reps!A:A,Dim_Reps!E:E)</f>
        <v>NAMER</v>
      </c>
      <c r="S3351" t="str">
        <f>_xlfn.XLOOKUP(Pipeline_tbl[[#This Row],[Created_Date]],Dim_Date!A:A,Dim_Date!H:H)</f>
        <v>Jun 2025</v>
      </c>
      <c r="T3351" t="str">
        <f>IF(Pipeline_tbl[[#This Row],[Closed_Date]]=0,"",(_xlfn.XLOOKUP(Pipeline_tbl[[#This Row],[Closed_Date]],Dim_Date!A:A,Dim_Date!H:H)))</f>
        <v>Jul 2025</v>
      </c>
      <c r="U3351">
        <f>IF(Pipeline_tbl[[#This Row],[Closed_Date]]=0,"",Pipeline_tbl[[#This Row],[Closed_Date]]-Pipeline_tbl[[#This Row],[Created_Date]])</f>
        <v>44</v>
      </c>
    </row>
    <row r="3352" spans="1:21" ht="15" customHeight="1" x14ac:dyDescent="0.2">
      <c r="A3352" t="s">
        <v>3658</v>
      </c>
      <c r="B3352" t="s">
        <v>271</v>
      </c>
      <c r="C3352" t="s">
        <v>52</v>
      </c>
      <c r="D3352" s="49">
        <v>45817</v>
      </c>
      <c r="E3352" s="49">
        <v>45820</v>
      </c>
      <c r="F3352" s="49">
        <v>45826</v>
      </c>
      <c r="G3352" s="49">
        <v>45835</v>
      </c>
      <c r="I3352" s="49">
        <v>45847</v>
      </c>
      <c r="J3352" t="s">
        <v>49</v>
      </c>
      <c r="K3352" s="33">
        <v>17400</v>
      </c>
      <c r="L3352" t="s">
        <v>61</v>
      </c>
      <c r="M3352" t="str">
        <f>_xlfn.XLOOKUP(Pipeline_tbl[[#This Row],[Rep_ID]],Dim_Reps!A:A,Dim_Reps!K:K)</f>
        <v>EUR</v>
      </c>
      <c r="N3352" s="33">
        <f>(_xlfn.XLOOKUP(Pipeline_tbl[[#This Row],[Rate_Code_Generalized]],Lookups!A:A,Lookups!B:B))*Pipeline_tbl[[#This Row],[Pipeline_Amount_USD]]</f>
        <v>17400</v>
      </c>
      <c r="O3352" t="str">
        <f>_xlfn.XLOOKUP(Pipeline_tbl[[#This Row],[Rep_ID]],Dim_Reps!A:A,Dim_Reps!B:B)</f>
        <v>Ivy Adler</v>
      </c>
      <c r="P3352" t="str">
        <f>_xlfn.XLOOKUP(Pipeline_tbl[[#This Row],[Rep_ID]],Dim_Reps!A:A,Dim_Reps!C:C)</f>
        <v>Mid-Market AE</v>
      </c>
      <c r="Q3352" t="str">
        <f>_xlfn.XLOOKUP(Pipeline_tbl[[#This Row],[Rep_ID]],Dim_Reps!A:A,Dim_Reps!D:D)</f>
        <v>Mid-Market</v>
      </c>
      <c r="R3352" t="str">
        <f>_xlfn.XLOOKUP(Pipeline_tbl[[#This Row],[Rep_ID]],Dim_Reps!A:A,Dim_Reps!E:E)</f>
        <v>APAC</v>
      </c>
      <c r="S3352" t="str">
        <f>_xlfn.XLOOKUP(Pipeline_tbl[[#This Row],[Created_Date]],Dim_Date!A:A,Dim_Date!H:H)</f>
        <v>Jun 2025</v>
      </c>
      <c r="T3352" t="str">
        <f>IF(Pipeline_tbl[[#This Row],[Closed_Date]]=0,"",(_xlfn.XLOOKUP(Pipeline_tbl[[#This Row],[Closed_Date]],Dim_Date!A:A,Dim_Date!H:H)))</f>
        <v>Jul 2025</v>
      </c>
      <c r="U3352">
        <f>IF(Pipeline_tbl[[#This Row],[Closed_Date]]=0,"",Pipeline_tbl[[#This Row],[Closed_Date]]-Pipeline_tbl[[#This Row],[Created_Date]])</f>
        <v>30</v>
      </c>
    </row>
    <row r="3353" spans="1:21" ht="15" customHeight="1" x14ac:dyDescent="0.2">
      <c r="A3353" t="s">
        <v>3659</v>
      </c>
      <c r="B3353" t="s">
        <v>271</v>
      </c>
      <c r="C3353" t="s">
        <v>56</v>
      </c>
      <c r="D3353" s="49">
        <v>45835</v>
      </c>
      <c r="E3353" s="49">
        <v>45838</v>
      </c>
      <c r="F3353" s="49">
        <v>45844</v>
      </c>
      <c r="G3353" s="49">
        <v>45854</v>
      </c>
      <c r="H3353" s="49">
        <v>45861</v>
      </c>
      <c r="I3353" s="49">
        <v>45866</v>
      </c>
      <c r="J3353" t="s">
        <v>47</v>
      </c>
      <c r="K3353" s="33">
        <v>8900</v>
      </c>
      <c r="M3353" t="str">
        <f>_xlfn.XLOOKUP(Pipeline_tbl[[#This Row],[Rep_ID]],Dim_Reps!A:A,Dim_Reps!K:K)</f>
        <v>EUR</v>
      </c>
      <c r="N3353" s="33">
        <f>(_xlfn.XLOOKUP(Pipeline_tbl[[#This Row],[Rate_Code_Generalized]],Lookups!A:A,Lookups!B:B))*Pipeline_tbl[[#This Row],[Pipeline_Amount_USD]]</f>
        <v>8900</v>
      </c>
      <c r="O3353" t="str">
        <f>_xlfn.XLOOKUP(Pipeline_tbl[[#This Row],[Rep_ID]],Dim_Reps!A:A,Dim_Reps!B:B)</f>
        <v>Ivy Adler</v>
      </c>
      <c r="P3353" t="str">
        <f>_xlfn.XLOOKUP(Pipeline_tbl[[#This Row],[Rep_ID]],Dim_Reps!A:A,Dim_Reps!C:C)</f>
        <v>Mid-Market AE</v>
      </c>
      <c r="Q3353" t="str">
        <f>_xlfn.XLOOKUP(Pipeline_tbl[[#This Row],[Rep_ID]],Dim_Reps!A:A,Dim_Reps!D:D)</f>
        <v>Mid-Market</v>
      </c>
      <c r="R3353" t="str">
        <f>_xlfn.XLOOKUP(Pipeline_tbl[[#This Row],[Rep_ID]],Dim_Reps!A:A,Dim_Reps!E:E)</f>
        <v>APAC</v>
      </c>
      <c r="S3353" t="str">
        <f>_xlfn.XLOOKUP(Pipeline_tbl[[#This Row],[Created_Date]],Dim_Date!A:A,Dim_Date!H:H)</f>
        <v>Jun 2025</v>
      </c>
      <c r="T3353" t="str">
        <f>IF(Pipeline_tbl[[#This Row],[Closed_Date]]=0,"",(_xlfn.XLOOKUP(Pipeline_tbl[[#This Row],[Closed_Date]],Dim_Date!A:A,Dim_Date!H:H)))</f>
        <v>Jul 2025</v>
      </c>
      <c r="U3353">
        <f>IF(Pipeline_tbl[[#This Row],[Closed_Date]]=0,"",Pipeline_tbl[[#This Row],[Closed_Date]]-Pipeline_tbl[[#This Row],[Created_Date]])</f>
        <v>31</v>
      </c>
    </row>
    <row r="3354" spans="1:21" ht="15" customHeight="1" x14ac:dyDescent="0.2">
      <c r="A3354" t="s">
        <v>3660</v>
      </c>
      <c r="B3354" t="s">
        <v>271</v>
      </c>
      <c r="C3354" t="s">
        <v>53</v>
      </c>
      <c r="D3354" s="49">
        <v>45810</v>
      </c>
      <c r="E3354" s="49">
        <v>45816</v>
      </c>
      <c r="F3354" s="49">
        <v>45827</v>
      </c>
      <c r="G3354" s="49">
        <v>45844</v>
      </c>
      <c r="H3354" s="49">
        <v>45858</v>
      </c>
      <c r="I3354" s="49">
        <v>45867</v>
      </c>
      <c r="J3354" t="s">
        <v>49</v>
      </c>
      <c r="K3354" s="33">
        <v>13400</v>
      </c>
      <c r="L3354" t="s">
        <v>61</v>
      </c>
      <c r="M3354" t="str">
        <f>_xlfn.XLOOKUP(Pipeline_tbl[[#This Row],[Rep_ID]],Dim_Reps!A:A,Dim_Reps!K:K)</f>
        <v>EUR</v>
      </c>
      <c r="N3354" s="33">
        <f>(_xlfn.XLOOKUP(Pipeline_tbl[[#This Row],[Rate_Code_Generalized]],Lookups!A:A,Lookups!B:B))*Pipeline_tbl[[#This Row],[Pipeline_Amount_USD]]</f>
        <v>13400</v>
      </c>
      <c r="O3354" t="str">
        <f>_xlfn.XLOOKUP(Pipeline_tbl[[#This Row],[Rep_ID]],Dim_Reps!A:A,Dim_Reps!B:B)</f>
        <v>Ivy Adler</v>
      </c>
      <c r="P3354" t="str">
        <f>_xlfn.XLOOKUP(Pipeline_tbl[[#This Row],[Rep_ID]],Dim_Reps!A:A,Dim_Reps!C:C)</f>
        <v>Mid-Market AE</v>
      </c>
      <c r="Q3354" t="str">
        <f>_xlfn.XLOOKUP(Pipeline_tbl[[#This Row],[Rep_ID]],Dim_Reps!A:A,Dim_Reps!D:D)</f>
        <v>Mid-Market</v>
      </c>
      <c r="R3354" t="str">
        <f>_xlfn.XLOOKUP(Pipeline_tbl[[#This Row],[Rep_ID]],Dim_Reps!A:A,Dim_Reps!E:E)</f>
        <v>APAC</v>
      </c>
      <c r="S3354" t="str">
        <f>_xlfn.XLOOKUP(Pipeline_tbl[[#This Row],[Created_Date]],Dim_Date!A:A,Dim_Date!H:H)</f>
        <v>Jun 2025</v>
      </c>
      <c r="T3354" t="str">
        <f>IF(Pipeline_tbl[[#This Row],[Closed_Date]]=0,"",(_xlfn.XLOOKUP(Pipeline_tbl[[#This Row],[Closed_Date]],Dim_Date!A:A,Dim_Date!H:H)))</f>
        <v>Jul 2025</v>
      </c>
      <c r="U3354">
        <f>IF(Pipeline_tbl[[#This Row],[Closed_Date]]=0,"",Pipeline_tbl[[#This Row],[Closed_Date]]-Pipeline_tbl[[#This Row],[Created_Date]])</f>
        <v>57</v>
      </c>
    </row>
    <row r="3355" spans="1:21" ht="15" customHeight="1" x14ac:dyDescent="0.2">
      <c r="A3355" t="s">
        <v>3661</v>
      </c>
      <c r="B3355" t="s">
        <v>271</v>
      </c>
      <c r="C3355" t="s">
        <v>55</v>
      </c>
      <c r="D3355" s="49">
        <v>45831</v>
      </c>
      <c r="E3355" s="49">
        <v>45833</v>
      </c>
      <c r="F3355" s="49">
        <v>45838</v>
      </c>
      <c r="G3355" s="49">
        <v>45844</v>
      </c>
      <c r="H3355" s="49">
        <v>45850</v>
      </c>
      <c r="I3355" s="49">
        <v>45853</v>
      </c>
      <c r="J3355" t="s">
        <v>49</v>
      </c>
      <c r="K3355" s="33">
        <v>7700</v>
      </c>
      <c r="L3355" t="s">
        <v>64</v>
      </c>
      <c r="M3355" t="str">
        <f>_xlfn.XLOOKUP(Pipeline_tbl[[#This Row],[Rep_ID]],Dim_Reps!A:A,Dim_Reps!K:K)</f>
        <v>EUR</v>
      </c>
      <c r="N3355" s="33">
        <f>(_xlfn.XLOOKUP(Pipeline_tbl[[#This Row],[Rate_Code_Generalized]],Lookups!A:A,Lookups!B:B))*Pipeline_tbl[[#This Row],[Pipeline_Amount_USD]]</f>
        <v>7700</v>
      </c>
      <c r="O3355" t="str">
        <f>_xlfn.XLOOKUP(Pipeline_tbl[[#This Row],[Rep_ID]],Dim_Reps!A:A,Dim_Reps!B:B)</f>
        <v>Ivy Adler</v>
      </c>
      <c r="P3355" t="str">
        <f>_xlfn.XLOOKUP(Pipeline_tbl[[#This Row],[Rep_ID]],Dim_Reps!A:A,Dim_Reps!C:C)</f>
        <v>Mid-Market AE</v>
      </c>
      <c r="Q3355" t="str">
        <f>_xlfn.XLOOKUP(Pipeline_tbl[[#This Row],[Rep_ID]],Dim_Reps!A:A,Dim_Reps!D:D)</f>
        <v>Mid-Market</v>
      </c>
      <c r="R3355" t="str">
        <f>_xlfn.XLOOKUP(Pipeline_tbl[[#This Row],[Rep_ID]],Dim_Reps!A:A,Dim_Reps!E:E)</f>
        <v>APAC</v>
      </c>
      <c r="S3355" t="str">
        <f>_xlfn.XLOOKUP(Pipeline_tbl[[#This Row],[Created_Date]],Dim_Date!A:A,Dim_Date!H:H)</f>
        <v>Jun 2025</v>
      </c>
      <c r="T3355" t="str">
        <f>IF(Pipeline_tbl[[#This Row],[Closed_Date]]=0,"",(_xlfn.XLOOKUP(Pipeline_tbl[[#This Row],[Closed_Date]],Dim_Date!A:A,Dim_Date!H:H)))</f>
        <v>Jul 2025</v>
      </c>
      <c r="U3355">
        <f>IF(Pipeline_tbl[[#This Row],[Closed_Date]]=0,"",Pipeline_tbl[[#This Row],[Closed_Date]]-Pipeline_tbl[[#This Row],[Created_Date]])</f>
        <v>22</v>
      </c>
    </row>
    <row r="3356" spans="1:21" ht="15" customHeight="1" x14ac:dyDescent="0.2">
      <c r="A3356" t="s">
        <v>3662</v>
      </c>
      <c r="B3356" t="s">
        <v>271</v>
      </c>
      <c r="C3356" t="s">
        <v>56</v>
      </c>
      <c r="D3356" s="49">
        <v>45818</v>
      </c>
      <c r="E3356" s="49">
        <v>45822</v>
      </c>
      <c r="F3356" s="49">
        <v>45831</v>
      </c>
      <c r="G3356" s="49">
        <v>45844</v>
      </c>
      <c r="I3356" s="49">
        <v>45861</v>
      </c>
      <c r="J3356" t="s">
        <v>49</v>
      </c>
      <c r="K3356" s="33">
        <v>10100</v>
      </c>
      <c r="L3356" t="s">
        <v>61</v>
      </c>
      <c r="M3356" t="str">
        <f>_xlfn.XLOOKUP(Pipeline_tbl[[#This Row],[Rep_ID]],Dim_Reps!A:A,Dim_Reps!K:K)</f>
        <v>EUR</v>
      </c>
      <c r="N3356" s="33">
        <f>(_xlfn.XLOOKUP(Pipeline_tbl[[#This Row],[Rate_Code_Generalized]],Lookups!A:A,Lookups!B:B))*Pipeline_tbl[[#This Row],[Pipeline_Amount_USD]]</f>
        <v>10100</v>
      </c>
      <c r="O3356" t="str">
        <f>_xlfn.XLOOKUP(Pipeline_tbl[[#This Row],[Rep_ID]],Dim_Reps!A:A,Dim_Reps!B:B)</f>
        <v>Ivy Adler</v>
      </c>
      <c r="P3356" t="str">
        <f>_xlfn.XLOOKUP(Pipeline_tbl[[#This Row],[Rep_ID]],Dim_Reps!A:A,Dim_Reps!C:C)</f>
        <v>Mid-Market AE</v>
      </c>
      <c r="Q3356" t="str">
        <f>_xlfn.XLOOKUP(Pipeline_tbl[[#This Row],[Rep_ID]],Dim_Reps!A:A,Dim_Reps!D:D)</f>
        <v>Mid-Market</v>
      </c>
      <c r="R3356" t="str">
        <f>_xlfn.XLOOKUP(Pipeline_tbl[[#This Row],[Rep_ID]],Dim_Reps!A:A,Dim_Reps!E:E)</f>
        <v>APAC</v>
      </c>
      <c r="S3356" t="str">
        <f>_xlfn.XLOOKUP(Pipeline_tbl[[#This Row],[Created_Date]],Dim_Date!A:A,Dim_Date!H:H)</f>
        <v>Jun 2025</v>
      </c>
      <c r="T3356" t="str">
        <f>IF(Pipeline_tbl[[#This Row],[Closed_Date]]=0,"",(_xlfn.XLOOKUP(Pipeline_tbl[[#This Row],[Closed_Date]],Dim_Date!A:A,Dim_Date!H:H)))</f>
        <v>Jul 2025</v>
      </c>
      <c r="U3356">
        <f>IF(Pipeline_tbl[[#This Row],[Closed_Date]]=0,"",Pipeline_tbl[[#This Row],[Closed_Date]]-Pipeline_tbl[[#This Row],[Created_Date]])</f>
        <v>43</v>
      </c>
    </row>
    <row r="3357" spans="1:21" ht="15" customHeight="1" x14ac:dyDescent="0.2">
      <c r="A3357" t="s">
        <v>3663</v>
      </c>
      <c r="B3357" t="s">
        <v>273</v>
      </c>
      <c r="C3357" t="s">
        <v>53</v>
      </c>
      <c r="D3357" s="49">
        <v>45818</v>
      </c>
      <c r="E3357" s="49">
        <v>45822</v>
      </c>
      <c r="F3357" s="49">
        <v>45831</v>
      </c>
      <c r="G3357" s="49">
        <v>45844</v>
      </c>
      <c r="H3357" s="49">
        <v>45855</v>
      </c>
      <c r="I3357" s="49">
        <v>45861</v>
      </c>
      <c r="J3357" t="s">
        <v>49</v>
      </c>
      <c r="K3357" s="33">
        <v>8900</v>
      </c>
      <c r="L3357" t="s">
        <v>61</v>
      </c>
      <c r="M3357" t="str">
        <f>_xlfn.XLOOKUP(Pipeline_tbl[[#This Row],[Rep_ID]],Dim_Reps!A:A,Dim_Reps!K:K)</f>
        <v>EUR</v>
      </c>
      <c r="N3357" s="33">
        <f>(_xlfn.XLOOKUP(Pipeline_tbl[[#This Row],[Rate_Code_Generalized]],Lookups!A:A,Lookups!B:B))*Pipeline_tbl[[#This Row],[Pipeline_Amount_USD]]</f>
        <v>8900</v>
      </c>
      <c r="O3357" t="str">
        <f>_xlfn.XLOOKUP(Pipeline_tbl[[#This Row],[Rep_ID]],Dim_Reps!A:A,Dim_Reps!B:B)</f>
        <v>Olivia Cohen</v>
      </c>
      <c r="P3357" t="str">
        <f>_xlfn.XLOOKUP(Pipeline_tbl[[#This Row],[Rep_ID]],Dim_Reps!A:A,Dim_Reps!C:C)</f>
        <v>Mid-Market AE</v>
      </c>
      <c r="Q3357" t="str">
        <f>_xlfn.XLOOKUP(Pipeline_tbl[[#This Row],[Rep_ID]],Dim_Reps!A:A,Dim_Reps!D:D)</f>
        <v>Mid-Market</v>
      </c>
      <c r="R3357" t="str">
        <f>_xlfn.XLOOKUP(Pipeline_tbl[[#This Row],[Rep_ID]],Dim_Reps!A:A,Dim_Reps!E:E)</f>
        <v>APAC</v>
      </c>
      <c r="S3357" t="str">
        <f>_xlfn.XLOOKUP(Pipeline_tbl[[#This Row],[Created_Date]],Dim_Date!A:A,Dim_Date!H:H)</f>
        <v>Jun 2025</v>
      </c>
      <c r="T3357" t="str">
        <f>IF(Pipeline_tbl[[#This Row],[Closed_Date]]=0,"",(_xlfn.XLOOKUP(Pipeline_tbl[[#This Row],[Closed_Date]],Dim_Date!A:A,Dim_Date!H:H)))</f>
        <v>Jul 2025</v>
      </c>
      <c r="U3357">
        <f>IF(Pipeline_tbl[[#This Row],[Closed_Date]]=0,"",Pipeline_tbl[[#This Row],[Closed_Date]]-Pipeline_tbl[[#This Row],[Created_Date]])</f>
        <v>43</v>
      </c>
    </row>
    <row r="3358" spans="1:21" ht="15" customHeight="1" x14ac:dyDescent="0.2">
      <c r="A3358" t="s">
        <v>3664</v>
      </c>
      <c r="B3358" t="s">
        <v>273</v>
      </c>
      <c r="C3358" t="s">
        <v>52</v>
      </c>
      <c r="D3358" s="49">
        <v>45834</v>
      </c>
      <c r="E3358" s="49">
        <v>45837</v>
      </c>
      <c r="F3358" s="49">
        <v>45844</v>
      </c>
      <c r="G3358" s="49">
        <v>45853</v>
      </c>
      <c r="H3358" s="49">
        <v>45861</v>
      </c>
      <c r="I3358" s="49">
        <v>45866</v>
      </c>
      <c r="J3358" t="s">
        <v>47</v>
      </c>
      <c r="K3358" s="33">
        <v>10600</v>
      </c>
      <c r="M3358" t="str">
        <f>_xlfn.XLOOKUP(Pipeline_tbl[[#This Row],[Rep_ID]],Dim_Reps!A:A,Dim_Reps!K:K)</f>
        <v>EUR</v>
      </c>
      <c r="N3358" s="33">
        <f>(_xlfn.XLOOKUP(Pipeline_tbl[[#This Row],[Rate_Code_Generalized]],Lookups!A:A,Lookups!B:B))*Pipeline_tbl[[#This Row],[Pipeline_Amount_USD]]</f>
        <v>10600</v>
      </c>
      <c r="O3358" t="str">
        <f>_xlfn.XLOOKUP(Pipeline_tbl[[#This Row],[Rep_ID]],Dim_Reps!A:A,Dim_Reps!B:B)</f>
        <v>Olivia Cohen</v>
      </c>
      <c r="P3358" t="str">
        <f>_xlfn.XLOOKUP(Pipeline_tbl[[#This Row],[Rep_ID]],Dim_Reps!A:A,Dim_Reps!C:C)</f>
        <v>Mid-Market AE</v>
      </c>
      <c r="Q3358" t="str">
        <f>_xlfn.XLOOKUP(Pipeline_tbl[[#This Row],[Rep_ID]],Dim_Reps!A:A,Dim_Reps!D:D)</f>
        <v>Mid-Market</v>
      </c>
      <c r="R3358" t="str">
        <f>_xlfn.XLOOKUP(Pipeline_tbl[[#This Row],[Rep_ID]],Dim_Reps!A:A,Dim_Reps!E:E)</f>
        <v>APAC</v>
      </c>
      <c r="S3358" t="str">
        <f>_xlfn.XLOOKUP(Pipeline_tbl[[#This Row],[Created_Date]],Dim_Date!A:A,Dim_Date!H:H)</f>
        <v>Jun 2025</v>
      </c>
      <c r="T3358" t="str">
        <f>IF(Pipeline_tbl[[#This Row],[Closed_Date]]=0,"",(_xlfn.XLOOKUP(Pipeline_tbl[[#This Row],[Closed_Date]],Dim_Date!A:A,Dim_Date!H:H)))</f>
        <v>Jul 2025</v>
      </c>
      <c r="U3358">
        <f>IF(Pipeline_tbl[[#This Row],[Closed_Date]]=0,"",Pipeline_tbl[[#This Row],[Closed_Date]]-Pipeline_tbl[[#This Row],[Created_Date]])</f>
        <v>32</v>
      </c>
    </row>
    <row r="3359" spans="1:21" ht="15" customHeight="1" x14ac:dyDescent="0.2">
      <c r="A3359" t="s">
        <v>3665</v>
      </c>
      <c r="B3359" t="s">
        <v>273</v>
      </c>
      <c r="C3359" t="s">
        <v>54</v>
      </c>
      <c r="D3359" s="49">
        <v>45827</v>
      </c>
      <c r="E3359" s="49">
        <v>45830</v>
      </c>
      <c r="F3359" s="49">
        <v>45836</v>
      </c>
      <c r="G3359" s="49">
        <v>45845</v>
      </c>
      <c r="I3359" s="49">
        <v>45857</v>
      </c>
      <c r="J3359" t="s">
        <v>49</v>
      </c>
      <c r="K3359" s="33">
        <v>8700</v>
      </c>
      <c r="L3359" t="s">
        <v>61</v>
      </c>
      <c r="M3359" t="str">
        <f>_xlfn.XLOOKUP(Pipeline_tbl[[#This Row],[Rep_ID]],Dim_Reps!A:A,Dim_Reps!K:K)</f>
        <v>EUR</v>
      </c>
      <c r="N3359" s="33">
        <f>(_xlfn.XLOOKUP(Pipeline_tbl[[#This Row],[Rate_Code_Generalized]],Lookups!A:A,Lookups!B:B))*Pipeline_tbl[[#This Row],[Pipeline_Amount_USD]]</f>
        <v>8700</v>
      </c>
      <c r="O3359" t="str">
        <f>_xlfn.XLOOKUP(Pipeline_tbl[[#This Row],[Rep_ID]],Dim_Reps!A:A,Dim_Reps!B:B)</f>
        <v>Olivia Cohen</v>
      </c>
      <c r="P3359" t="str">
        <f>_xlfn.XLOOKUP(Pipeline_tbl[[#This Row],[Rep_ID]],Dim_Reps!A:A,Dim_Reps!C:C)</f>
        <v>Mid-Market AE</v>
      </c>
      <c r="Q3359" t="str">
        <f>_xlfn.XLOOKUP(Pipeline_tbl[[#This Row],[Rep_ID]],Dim_Reps!A:A,Dim_Reps!D:D)</f>
        <v>Mid-Market</v>
      </c>
      <c r="R3359" t="str">
        <f>_xlfn.XLOOKUP(Pipeline_tbl[[#This Row],[Rep_ID]],Dim_Reps!A:A,Dim_Reps!E:E)</f>
        <v>APAC</v>
      </c>
      <c r="S3359" t="str">
        <f>_xlfn.XLOOKUP(Pipeline_tbl[[#This Row],[Created_Date]],Dim_Date!A:A,Dim_Date!H:H)</f>
        <v>Jun 2025</v>
      </c>
      <c r="T3359" t="str">
        <f>IF(Pipeline_tbl[[#This Row],[Closed_Date]]=0,"",(_xlfn.XLOOKUP(Pipeline_tbl[[#This Row],[Closed_Date]],Dim_Date!A:A,Dim_Date!H:H)))</f>
        <v>Jul 2025</v>
      </c>
      <c r="U3359">
        <f>IF(Pipeline_tbl[[#This Row],[Closed_Date]]=0,"",Pipeline_tbl[[#This Row],[Closed_Date]]-Pipeline_tbl[[#This Row],[Created_Date]])</f>
        <v>30</v>
      </c>
    </row>
    <row r="3360" spans="1:21" ht="15" customHeight="1" x14ac:dyDescent="0.2">
      <c r="A3360" t="s">
        <v>3666</v>
      </c>
      <c r="B3360" t="s">
        <v>273</v>
      </c>
      <c r="C3360" t="s">
        <v>52</v>
      </c>
      <c r="D3360" s="49">
        <v>45826</v>
      </c>
      <c r="E3360" s="49">
        <v>45829</v>
      </c>
      <c r="F3360" s="49">
        <v>45836</v>
      </c>
      <c r="G3360" s="49">
        <v>45845</v>
      </c>
      <c r="H3360" s="49">
        <v>45853</v>
      </c>
      <c r="I3360" s="49">
        <v>45858</v>
      </c>
      <c r="J3360" t="s">
        <v>49</v>
      </c>
      <c r="K3360" s="33">
        <v>3500</v>
      </c>
      <c r="L3360" t="s">
        <v>60</v>
      </c>
      <c r="M3360" t="str">
        <f>_xlfn.XLOOKUP(Pipeline_tbl[[#This Row],[Rep_ID]],Dim_Reps!A:A,Dim_Reps!K:K)</f>
        <v>EUR</v>
      </c>
      <c r="N3360" s="33">
        <f>(_xlfn.XLOOKUP(Pipeline_tbl[[#This Row],[Rate_Code_Generalized]],Lookups!A:A,Lookups!B:B))*Pipeline_tbl[[#This Row],[Pipeline_Amount_USD]]</f>
        <v>3500</v>
      </c>
      <c r="O3360" t="str">
        <f>_xlfn.XLOOKUP(Pipeline_tbl[[#This Row],[Rep_ID]],Dim_Reps!A:A,Dim_Reps!B:B)</f>
        <v>Olivia Cohen</v>
      </c>
      <c r="P3360" t="str">
        <f>_xlfn.XLOOKUP(Pipeline_tbl[[#This Row],[Rep_ID]],Dim_Reps!A:A,Dim_Reps!C:C)</f>
        <v>Mid-Market AE</v>
      </c>
      <c r="Q3360" t="str">
        <f>_xlfn.XLOOKUP(Pipeline_tbl[[#This Row],[Rep_ID]],Dim_Reps!A:A,Dim_Reps!D:D)</f>
        <v>Mid-Market</v>
      </c>
      <c r="R3360" t="str">
        <f>_xlfn.XLOOKUP(Pipeline_tbl[[#This Row],[Rep_ID]],Dim_Reps!A:A,Dim_Reps!E:E)</f>
        <v>APAC</v>
      </c>
      <c r="S3360" t="str">
        <f>_xlfn.XLOOKUP(Pipeline_tbl[[#This Row],[Created_Date]],Dim_Date!A:A,Dim_Date!H:H)</f>
        <v>Jun 2025</v>
      </c>
      <c r="T3360" t="str">
        <f>IF(Pipeline_tbl[[#This Row],[Closed_Date]]=0,"",(_xlfn.XLOOKUP(Pipeline_tbl[[#This Row],[Closed_Date]],Dim_Date!A:A,Dim_Date!H:H)))</f>
        <v>Jul 2025</v>
      </c>
      <c r="U3360">
        <f>IF(Pipeline_tbl[[#This Row],[Closed_Date]]=0,"",Pipeline_tbl[[#This Row],[Closed_Date]]-Pipeline_tbl[[#This Row],[Created_Date]])</f>
        <v>32</v>
      </c>
    </row>
    <row r="3361" spans="1:21" ht="15" customHeight="1" x14ac:dyDescent="0.2">
      <c r="A3361" t="s">
        <v>3667</v>
      </c>
      <c r="B3361" t="s">
        <v>273</v>
      </c>
      <c r="C3361" t="s">
        <v>53</v>
      </c>
      <c r="D3361" s="49">
        <v>45811</v>
      </c>
      <c r="E3361" s="49">
        <v>45816</v>
      </c>
      <c r="F3361" s="49">
        <v>45826</v>
      </c>
      <c r="G3361" s="49">
        <v>45842</v>
      </c>
      <c r="H3361" s="49">
        <v>45854</v>
      </c>
      <c r="I3361" s="49">
        <v>45862</v>
      </c>
      <c r="J3361" t="s">
        <v>49</v>
      </c>
      <c r="K3361" s="33">
        <v>10600</v>
      </c>
      <c r="L3361" t="s">
        <v>60</v>
      </c>
      <c r="M3361" t="str">
        <f>_xlfn.XLOOKUP(Pipeline_tbl[[#This Row],[Rep_ID]],Dim_Reps!A:A,Dim_Reps!K:K)</f>
        <v>EUR</v>
      </c>
      <c r="N3361" s="33">
        <f>(_xlfn.XLOOKUP(Pipeline_tbl[[#This Row],[Rate_Code_Generalized]],Lookups!A:A,Lookups!B:B))*Pipeline_tbl[[#This Row],[Pipeline_Amount_USD]]</f>
        <v>10600</v>
      </c>
      <c r="O3361" t="str">
        <f>_xlfn.XLOOKUP(Pipeline_tbl[[#This Row],[Rep_ID]],Dim_Reps!A:A,Dim_Reps!B:B)</f>
        <v>Olivia Cohen</v>
      </c>
      <c r="P3361" t="str">
        <f>_xlfn.XLOOKUP(Pipeline_tbl[[#This Row],[Rep_ID]],Dim_Reps!A:A,Dim_Reps!C:C)</f>
        <v>Mid-Market AE</v>
      </c>
      <c r="Q3361" t="str">
        <f>_xlfn.XLOOKUP(Pipeline_tbl[[#This Row],[Rep_ID]],Dim_Reps!A:A,Dim_Reps!D:D)</f>
        <v>Mid-Market</v>
      </c>
      <c r="R3361" t="str">
        <f>_xlfn.XLOOKUP(Pipeline_tbl[[#This Row],[Rep_ID]],Dim_Reps!A:A,Dim_Reps!E:E)</f>
        <v>APAC</v>
      </c>
      <c r="S3361" t="str">
        <f>_xlfn.XLOOKUP(Pipeline_tbl[[#This Row],[Created_Date]],Dim_Date!A:A,Dim_Date!H:H)</f>
        <v>Jun 2025</v>
      </c>
      <c r="T3361" t="str">
        <f>IF(Pipeline_tbl[[#This Row],[Closed_Date]]=0,"",(_xlfn.XLOOKUP(Pipeline_tbl[[#This Row],[Closed_Date]],Dim_Date!A:A,Dim_Date!H:H)))</f>
        <v>Jul 2025</v>
      </c>
      <c r="U3361">
        <f>IF(Pipeline_tbl[[#This Row],[Closed_Date]]=0,"",Pipeline_tbl[[#This Row],[Closed_Date]]-Pipeline_tbl[[#This Row],[Created_Date]])</f>
        <v>51</v>
      </c>
    </row>
    <row r="3362" spans="1:21" ht="15" customHeight="1" x14ac:dyDescent="0.2">
      <c r="A3362" t="s">
        <v>3668</v>
      </c>
      <c r="B3362" t="s">
        <v>241</v>
      </c>
      <c r="C3362" t="s">
        <v>52</v>
      </c>
      <c r="D3362" s="49">
        <v>45812</v>
      </c>
      <c r="E3362" s="49">
        <v>45815</v>
      </c>
      <c r="F3362" s="49">
        <v>45821</v>
      </c>
      <c r="G3362" s="49">
        <v>45829</v>
      </c>
      <c r="H3362" s="49">
        <v>45837</v>
      </c>
      <c r="I3362" s="49">
        <v>45841</v>
      </c>
      <c r="J3362" t="s">
        <v>47</v>
      </c>
      <c r="K3362" s="33">
        <v>2700</v>
      </c>
      <c r="M3362" t="str">
        <f>_xlfn.XLOOKUP(Pipeline_tbl[[#This Row],[Rep_ID]],Dim_Reps!A:A,Dim_Reps!K:K)</f>
        <v>EUR</v>
      </c>
      <c r="N3362" s="33">
        <f>(_xlfn.XLOOKUP(Pipeline_tbl[[#This Row],[Rate_Code_Generalized]],Lookups!A:A,Lookups!B:B))*Pipeline_tbl[[#This Row],[Pipeline_Amount_USD]]</f>
        <v>2700</v>
      </c>
      <c r="O3362" t="str">
        <f>_xlfn.XLOOKUP(Pipeline_tbl[[#This Row],[Rep_ID]],Dim_Reps!A:A,Dim_Reps!B:B)</f>
        <v>Kenji Weber</v>
      </c>
      <c r="P3362" t="str">
        <f>_xlfn.XLOOKUP(Pipeline_tbl[[#This Row],[Rep_ID]],Dim_Reps!A:A,Dim_Reps!C:C)</f>
        <v>SDR / Inside Sales Rep</v>
      </c>
      <c r="Q3362" t="str">
        <f>_xlfn.XLOOKUP(Pipeline_tbl[[#This Row],[Rep_ID]],Dim_Reps!A:A,Dim_Reps!D:D)</f>
        <v>Inside Sales</v>
      </c>
      <c r="R3362" t="str">
        <f>_xlfn.XLOOKUP(Pipeline_tbl[[#This Row],[Rep_ID]],Dim_Reps!A:A,Dim_Reps!E:E)</f>
        <v>APAC</v>
      </c>
      <c r="S3362" t="str">
        <f>_xlfn.XLOOKUP(Pipeline_tbl[[#This Row],[Created_Date]],Dim_Date!A:A,Dim_Date!H:H)</f>
        <v>Jun 2025</v>
      </c>
      <c r="T3362" t="str">
        <f>IF(Pipeline_tbl[[#This Row],[Closed_Date]]=0,"",(_xlfn.XLOOKUP(Pipeline_tbl[[#This Row],[Closed_Date]],Dim_Date!A:A,Dim_Date!H:H)))</f>
        <v>Jul 2025</v>
      </c>
      <c r="U3362">
        <f>IF(Pipeline_tbl[[#This Row],[Closed_Date]]=0,"",Pipeline_tbl[[#This Row],[Closed_Date]]-Pipeline_tbl[[#This Row],[Created_Date]])</f>
        <v>29</v>
      </c>
    </row>
    <row r="3363" spans="1:21" ht="15" customHeight="1" x14ac:dyDescent="0.2">
      <c r="A3363" t="s">
        <v>3669</v>
      </c>
      <c r="B3363" t="s">
        <v>241</v>
      </c>
      <c r="C3363" t="s">
        <v>53</v>
      </c>
      <c r="D3363" s="49">
        <v>45832</v>
      </c>
      <c r="E3363" s="49">
        <v>45833</v>
      </c>
      <c r="F3363" s="49">
        <v>45836</v>
      </c>
      <c r="G3363" s="49">
        <v>45840</v>
      </c>
      <c r="I3363" s="49">
        <v>45845</v>
      </c>
      <c r="J3363" t="s">
        <v>49</v>
      </c>
      <c r="K3363" s="33">
        <v>1900</v>
      </c>
      <c r="L3363" t="s">
        <v>62</v>
      </c>
      <c r="M3363" t="str">
        <f>_xlfn.XLOOKUP(Pipeline_tbl[[#This Row],[Rep_ID]],Dim_Reps!A:A,Dim_Reps!K:K)</f>
        <v>EUR</v>
      </c>
      <c r="N3363" s="33">
        <f>(_xlfn.XLOOKUP(Pipeline_tbl[[#This Row],[Rate_Code_Generalized]],Lookups!A:A,Lookups!B:B))*Pipeline_tbl[[#This Row],[Pipeline_Amount_USD]]</f>
        <v>1900</v>
      </c>
      <c r="O3363" t="str">
        <f>_xlfn.XLOOKUP(Pipeline_tbl[[#This Row],[Rep_ID]],Dim_Reps!A:A,Dim_Reps!B:B)</f>
        <v>Kenji Weber</v>
      </c>
      <c r="P3363" t="str">
        <f>_xlfn.XLOOKUP(Pipeline_tbl[[#This Row],[Rep_ID]],Dim_Reps!A:A,Dim_Reps!C:C)</f>
        <v>SDR / Inside Sales Rep</v>
      </c>
      <c r="Q3363" t="str">
        <f>_xlfn.XLOOKUP(Pipeline_tbl[[#This Row],[Rep_ID]],Dim_Reps!A:A,Dim_Reps!D:D)</f>
        <v>Inside Sales</v>
      </c>
      <c r="R3363" t="str">
        <f>_xlfn.XLOOKUP(Pipeline_tbl[[#This Row],[Rep_ID]],Dim_Reps!A:A,Dim_Reps!E:E)</f>
        <v>APAC</v>
      </c>
      <c r="S3363" t="str">
        <f>_xlfn.XLOOKUP(Pipeline_tbl[[#This Row],[Created_Date]],Dim_Date!A:A,Dim_Date!H:H)</f>
        <v>Jun 2025</v>
      </c>
      <c r="T3363" t="str">
        <f>IF(Pipeline_tbl[[#This Row],[Closed_Date]]=0,"",(_xlfn.XLOOKUP(Pipeline_tbl[[#This Row],[Closed_Date]],Dim_Date!A:A,Dim_Date!H:H)))</f>
        <v>Jul 2025</v>
      </c>
      <c r="U3363">
        <f>IF(Pipeline_tbl[[#This Row],[Closed_Date]]=0,"",Pipeline_tbl[[#This Row],[Closed_Date]]-Pipeline_tbl[[#This Row],[Created_Date]])</f>
        <v>13</v>
      </c>
    </row>
    <row r="3364" spans="1:21" ht="15" customHeight="1" x14ac:dyDescent="0.2">
      <c r="A3364" t="s">
        <v>3670</v>
      </c>
      <c r="B3364" t="s">
        <v>241</v>
      </c>
      <c r="C3364" t="s">
        <v>52</v>
      </c>
      <c r="D3364" s="49">
        <v>45824</v>
      </c>
      <c r="E3364" s="49">
        <v>45826</v>
      </c>
      <c r="I3364" s="49">
        <v>45839</v>
      </c>
      <c r="J3364" t="s">
        <v>49</v>
      </c>
      <c r="K3364" s="33">
        <v>4700</v>
      </c>
      <c r="L3364" t="s">
        <v>60</v>
      </c>
      <c r="M3364" t="str">
        <f>_xlfn.XLOOKUP(Pipeline_tbl[[#This Row],[Rep_ID]],Dim_Reps!A:A,Dim_Reps!K:K)</f>
        <v>EUR</v>
      </c>
      <c r="N3364" s="33">
        <f>(_xlfn.XLOOKUP(Pipeline_tbl[[#This Row],[Rate_Code_Generalized]],Lookups!A:A,Lookups!B:B))*Pipeline_tbl[[#This Row],[Pipeline_Amount_USD]]</f>
        <v>4700</v>
      </c>
      <c r="O3364" t="str">
        <f>_xlfn.XLOOKUP(Pipeline_tbl[[#This Row],[Rep_ID]],Dim_Reps!A:A,Dim_Reps!B:B)</f>
        <v>Kenji Weber</v>
      </c>
      <c r="P3364" t="str">
        <f>_xlfn.XLOOKUP(Pipeline_tbl[[#This Row],[Rep_ID]],Dim_Reps!A:A,Dim_Reps!C:C)</f>
        <v>SDR / Inside Sales Rep</v>
      </c>
      <c r="Q3364" t="str">
        <f>_xlfn.XLOOKUP(Pipeline_tbl[[#This Row],[Rep_ID]],Dim_Reps!A:A,Dim_Reps!D:D)</f>
        <v>Inside Sales</v>
      </c>
      <c r="R3364" t="str">
        <f>_xlfn.XLOOKUP(Pipeline_tbl[[#This Row],[Rep_ID]],Dim_Reps!A:A,Dim_Reps!E:E)</f>
        <v>APAC</v>
      </c>
      <c r="S3364" t="str">
        <f>_xlfn.XLOOKUP(Pipeline_tbl[[#This Row],[Created_Date]],Dim_Date!A:A,Dim_Date!H:H)</f>
        <v>Jun 2025</v>
      </c>
      <c r="T3364" t="str">
        <f>IF(Pipeline_tbl[[#This Row],[Closed_Date]]=0,"",(_xlfn.XLOOKUP(Pipeline_tbl[[#This Row],[Closed_Date]],Dim_Date!A:A,Dim_Date!H:H)))</f>
        <v>Jul 2025</v>
      </c>
      <c r="U3364">
        <f>IF(Pipeline_tbl[[#This Row],[Closed_Date]]=0,"",Pipeline_tbl[[#This Row],[Closed_Date]]-Pipeline_tbl[[#This Row],[Created_Date]])</f>
        <v>15</v>
      </c>
    </row>
    <row r="3365" spans="1:21" ht="15" customHeight="1" x14ac:dyDescent="0.2">
      <c r="A3365" t="s">
        <v>3671</v>
      </c>
      <c r="B3365" t="s">
        <v>193</v>
      </c>
      <c r="C3365" t="s">
        <v>53</v>
      </c>
      <c r="D3365" s="49">
        <v>45818</v>
      </c>
      <c r="E3365" s="49">
        <v>45819</v>
      </c>
      <c r="F3365" s="49">
        <v>45822</v>
      </c>
      <c r="G3365" s="49">
        <v>45826</v>
      </c>
      <c r="I3365" s="49">
        <v>45832</v>
      </c>
      <c r="J3365" t="s">
        <v>49</v>
      </c>
      <c r="K3365" s="33">
        <v>1500</v>
      </c>
      <c r="L3365" t="s">
        <v>62</v>
      </c>
      <c r="M3365" t="str">
        <f>_xlfn.XLOOKUP(Pipeline_tbl[[#This Row],[Rep_ID]],Dim_Reps!A:A,Dim_Reps!K:K)</f>
        <v>USD</v>
      </c>
      <c r="N3365" s="33">
        <f>(_xlfn.XLOOKUP(Pipeline_tbl[[#This Row],[Rate_Code_Generalized]],Lookups!A:A,Lookups!B:B))*Pipeline_tbl[[#This Row],[Pipeline_Amount_USD]]</f>
        <v>1746.4499999999998</v>
      </c>
      <c r="O3365" t="str">
        <f>_xlfn.XLOOKUP(Pipeline_tbl[[#This Row],[Rep_ID]],Dim_Reps!A:A,Dim_Reps!B:B)</f>
        <v>Karim Rossi</v>
      </c>
      <c r="P3365" t="str">
        <f>_xlfn.XLOOKUP(Pipeline_tbl[[#This Row],[Rep_ID]],Dim_Reps!A:A,Dim_Reps!C:C)</f>
        <v>SDR / Inside Sales Rep</v>
      </c>
      <c r="Q3365" t="str">
        <f>_xlfn.XLOOKUP(Pipeline_tbl[[#This Row],[Rep_ID]],Dim_Reps!A:A,Dim_Reps!D:D)</f>
        <v>Inside Sales</v>
      </c>
      <c r="R3365" t="str">
        <f>_xlfn.XLOOKUP(Pipeline_tbl[[#This Row],[Rep_ID]],Dim_Reps!A:A,Dim_Reps!E:E)</f>
        <v>NAMER</v>
      </c>
      <c r="S3365" t="str">
        <f>_xlfn.XLOOKUP(Pipeline_tbl[[#This Row],[Created_Date]],Dim_Date!A:A,Dim_Date!H:H)</f>
        <v>Jun 2025</v>
      </c>
      <c r="T3365" t="str">
        <f>IF(Pipeline_tbl[[#This Row],[Closed_Date]]=0,"",(_xlfn.XLOOKUP(Pipeline_tbl[[#This Row],[Closed_Date]],Dim_Date!A:A,Dim_Date!H:H)))</f>
        <v>Jun 2025</v>
      </c>
      <c r="U3365">
        <f>IF(Pipeline_tbl[[#This Row],[Closed_Date]]=0,"",Pipeline_tbl[[#This Row],[Closed_Date]]-Pipeline_tbl[[#This Row],[Created_Date]])</f>
        <v>14</v>
      </c>
    </row>
    <row r="3366" spans="1:21" ht="15" customHeight="1" x14ac:dyDescent="0.2">
      <c r="A3366" t="s">
        <v>3672</v>
      </c>
      <c r="B3366" t="s">
        <v>193</v>
      </c>
      <c r="C3366" t="s">
        <v>53</v>
      </c>
      <c r="D3366" s="49">
        <v>45816</v>
      </c>
      <c r="E3366" s="49">
        <v>45818</v>
      </c>
      <c r="F3366" s="49">
        <v>45821</v>
      </c>
      <c r="G3366" s="49">
        <v>45826</v>
      </c>
      <c r="H3366" s="49">
        <v>45830</v>
      </c>
      <c r="I3366" s="49">
        <v>45833</v>
      </c>
      <c r="J3366" t="s">
        <v>47</v>
      </c>
      <c r="K3366" s="33">
        <v>3300</v>
      </c>
      <c r="M3366" t="str">
        <f>_xlfn.XLOOKUP(Pipeline_tbl[[#This Row],[Rep_ID]],Dim_Reps!A:A,Dim_Reps!K:K)</f>
        <v>USD</v>
      </c>
      <c r="N3366" s="33">
        <f>(_xlfn.XLOOKUP(Pipeline_tbl[[#This Row],[Rate_Code_Generalized]],Lookups!A:A,Lookups!B:B))*Pipeline_tbl[[#This Row],[Pipeline_Amount_USD]]</f>
        <v>3842.1899999999996</v>
      </c>
      <c r="O3366" t="str">
        <f>_xlfn.XLOOKUP(Pipeline_tbl[[#This Row],[Rep_ID]],Dim_Reps!A:A,Dim_Reps!B:B)</f>
        <v>Karim Rossi</v>
      </c>
      <c r="P3366" t="str">
        <f>_xlfn.XLOOKUP(Pipeline_tbl[[#This Row],[Rep_ID]],Dim_Reps!A:A,Dim_Reps!C:C)</f>
        <v>SDR / Inside Sales Rep</v>
      </c>
      <c r="Q3366" t="str">
        <f>_xlfn.XLOOKUP(Pipeline_tbl[[#This Row],[Rep_ID]],Dim_Reps!A:A,Dim_Reps!D:D)</f>
        <v>Inside Sales</v>
      </c>
      <c r="R3366" t="str">
        <f>_xlfn.XLOOKUP(Pipeline_tbl[[#This Row],[Rep_ID]],Dim_Reps!A:A,Dim_Reps!E:E)</f>
        <v>NAMER</v>
      </c>
      <c r="S3366" t="str">
        <f>_xlfn.XLOOKUP(Pipeline_tbl[[#This Row],[Created_Date]],Dim_Date!A:A,Dim_Date!H:H)</f>
        <v>Jun 2025</v>
      </c>
      <c r="T3366" t="str">
        <f>IF(Pipeline_tbl[[#This Row],[Closed_Date]]=0,"",(_xlfn.XLOOKUP(Pipeline_tbl[[#This Row],[Closed_Date]],Dim_Date!A:A,Dim_Date!H:H)))</f>
        <v>Jun 2025</v>
      </c>
      <c r="U3366">
        <f>IF(Pipeline_tbl[[#This Row],[Closed_Date]]=0,"",Pipeline_tbl[[#This Row],[Closed_Date]]-Pipeline_tbl[[#This Row],[Created_Date]])</f>
        <v>17</v>
      </c>
    </row>
    <row r="3367" spans="1:21" ht="15" customHeight="1" x14ac:dyDescent="0.2">
      <c r="A3367" t="s">
        <v>3673</v>
      </c>
      <c r="B3367" t="s">
        <v>193</v>
      </c>
      <c r="C3367" t="s">
        <v>53</v>
      </c>
      <c r="D3367" s="49">
        <v>45816</v>
      </c>
      <c r="E3367" s="49">
        <v>45817</v>
      </c>
      <c r="F3367" s="49">
        <v>45818</v>
      </c>
      <c r="G3367" s="49">
        <v>45820</v>
      </c>
      <c r="H3367" s="49">
        <v>45821</v>
      </c>
      <c r="I3367" s="49">
        <v>45822</v>
      </c>
      <c r="J3367" t="s">
        <v>47</v>
      </c>
      <c r="K3367" s="33">
        <v>3200</v>
      </c>
      <c r="M3367" t="str">
        <f>_xlfn.XLOOKUP(Pipeline_tbl[[#This Row],[Rep_ID]],Dim_Reps!A:A,Dim_Reps!K:K)</f>
        <v>USD</v>
      </c>
      <c r="N3367" s="33">
        <f>(_xlfn.XLOOKUP(Pipeline_tbl[[#This Row],[Rate_Code_Generalized]],Lookups!A:A,Lookups!B:B))*Pipeline_tbl[[#This Row],[Pipeline_Amount_USD]]</f>
        <v>3725.7599999999998</v>
      </c>
      <c r="O3367" t="str">
        <f>_xlfn.XLOOKUP(Pipeline_tbl[[#This Row],[Rep_ID]],Dim_Reps!A:A,Dim_Reps!B:B)</f>
        <v>Karim Rossi</v>
      </c>
      <c r="P3367" t="str">
        <f>_xlfn.XLOOKUP(Pipeline_tbl[[#This Row],[Rep_ID]],Dim_Reps!A:A,Dim_Reps!C:C)</f>
        <v>SDR / Inside Sales Rep</v>
      </c>
      <c r="Q3367" t="str">
        <f>_xlfn.XLOOKUP(Pipeline_tbl[[#This Row],[Rep_ID]],Dim_Reps!A:A,Dim_Reps!D:D)</f>
        <v>Inside Sales</v>
      </c>
      <c r="R3367" t="str">
        <f>_xlfn.XLOOKUP(Pipeline_tbl[[#This Row],[Rep_ID]],Dim_Reps!A:A,Dim_Reps!E:E)</f>
        <v>NAMER</v>
      </c>
      <c r="S3367" t="str">
        <f>_xlfn.XLOOKUP(Pipeline_tbl[[#This Row],[Created_Date]],Dim_Date!A:A,Dim_Date!H:H)</f>
        <v>Jun 2025</v>
      </c>
      <c r="T3367" t="str">
        <f>IF(Pipeline_tbl[[#This Row],[Closed_Date]]=0,"",(_xlfn.XLOOKUP(Pipeline_tbl[[#This Row],[Closed_Date]],Dim_Date!A:A,Dim_Date!H:H)))</f>
        <v>Jun 2025</v>
      </c>
      <c r="U3367">
        <f>IF(Pipeline_tbl[[#This Row],[Closed_Date]]=0,"",Pipeline_tbl[[#This Row],[Closed_Date]]-Pipeline_tbl[[#This Row],[Created_Date]])</f>
        <v>6</v>
      </c>
    </row>
    <row r="3368" spans="1:21" ht="15" customHeight="1" x14ac:dyDescent="0.2">
      <c r="A3368" t="s">
        <v>3674</v>
      </c>
      <c r="B3368" t="s">
        <v>193</v>
      </c>
      <c r="C3368" t="s">
        <v>53</v>
      </c>
      <c r="D3368" s="49">
        <v>45809</v>
      </c>
      <c r="E3368" s="49">
        <v>45810</v>
      </c>
      <c r="I3368" s="49">
        <v>45823</v>
      </c>
      <c r="J3368" t="s">
        <v>49</v>
      </c>
      <c r="K3368" s="33">
        <v>2300</v>
      </c>
      <c r="L3368" t="s">
        <v>60</v>
      </c>
      <c r="M3368" t="str">
        <f>_xlfn.XLOOKUP(Pipeline_tbl[[#This Row],[Rep_ID]],Dim_Reps!A:A,Dim_Reps!K:K)</f>
        <v>USD</v>
      </c>
      <c r="N3368" s="33">
        <f>(_xlfn.XLOOKUP(Pipeline_tbl[[#This Row],[Rate_Code_Generalized]],Lookups!A:A,Lookups!B:B))*Pipeline_tbl[[#This Row],[Pipeline_Amount_USD]]</f>
        <v>2677.89</v>
      </c>
      <c r="O3368" t="str">
        <f>_xlfn.XLOOKUP(Pipeline_tbl[[#This Row],[Rep_ID]],Dim_Reps!A:A,Dim_Reps!B:B)</f>
        <v>Karim Rossi</v>
      </c>
      <c r="P3368" t="str">
        <f>_xlfn.XLOOKUP(Pipeline_tbl[[#This Row],[Rep_ID]],Dim_Reps!A:A,Dim_Reps!C:C)</f>
        <v>SDR / Inside Sales Rep</v>
      </c>
      <c r="Q3368" t="str">
        <f>_xlfn.XLOOKUP(Pipeline_tbl[[#This Row],[Rep_ID]],Dim_Reps!A:A,Dim_Reps!D:D)</f>
        <v>Inside Sales</v>
      </c>
      <c r="R3368" t="str">
        <f>_xlfn.XLOOKUP(Pipeline_tbl[[#This Row],[Rep_ID]],Dim_Reps!A:A,Dim_Reps!E:E)</f>
        <v>NAMER</v>
      </c>
      <c r="S3368" t="str">
        <f>_xlfn.XLOOKUP(Pipeline_tbl[[#This Row],[Created_Date]],Dim_Date!A:A,Dim_Date!H:H)</f>
        <v>Jun 2025</v>
      </c>
      <c r="T3368" t="str">
        <f>IF(Pipeline_tbl[[#This Row],[Closed_Date]]=0,"",(_xlfn.XLOOKUP(Pipeline_tbl[[#This Row],[Closed_Date]],Dim_Date!A:A,Dim_Date!H:H)))</f>
        <v>Jun 2025</v>
      </c>
      <c r="U3368">
        <f>IF(Pipeline_tbl[[#This Row],[Closed_Date]]=0,"",Pipeline_tbl[[#This Row],[Closed_Date]]-Pipeline_tbl[[#This Row],[Created_Date]])</f>
        <v>14</v>
      </c>
    </row>
    <row r="3369" spans="1:21" ht="15" customHeight="1" x14ac:dyDescent="0.2">
      <c r="A3369" t="s">
        <v>3675</v>
      </c>
      <c r="B3369" t="s">
        <v>193</v>
      </c>
      <c r="C3369" t="s">
        <v>56</v>
      </c>
      <c r="D3369" s="49">
        <v>45815</v>
      </c>
      <c r="E3369" s="49">
        <v>45817</v>
      </c>
      <c r="F3369" s="49">
        <v>45820</v>
      </c>
      <c r="I3369" s="49">
        <v>45831</v>
      </c>
      <c r="J3369" t="s">
        <v>49</v>
      </c>
      <c r="K3369" s="33">
        <v>2500</v>
      </c>
      <c r="L3369" t="s">
        <v>60</v>
      </c>
      <c r="M3369" t="str">
        <f>_xlfn.XLOOKUP(Pipeline_tbl[[#This Row],[Rep_ID]],Dim_Reps!A:A,Dim_Reps!K:K)</f>
        <v>USD</v>
      </c>
      <c r="N3369" s="33">
        <f>(_xlfn.XLOOKUP(Pipeline_tbl[[#This Row],[Rate_Code_Generalized]],Lookups!A:A,Lookups!B:B))*Pipeline_tbl[[#This Row],[Pipeline_Amount_USD]]</f>
        <v>2910.7499999999995</v>
      </c>
      <c r="O3369" t="str">
        <f>_xlfn.XLOOKUP(Pipeline_tbl[[#This Row],[Rep_ID]],Dim_Reps!A:A,Dim_Reps!B:B)</f>
        <v>Karim Rossi</v>
      </c>
      <c r="P3369" t="str">
        <f>_xlfn.XLOOKUP(Pipeline_tbl[[#This Row],[Rep_ID]],Dim_Reps!A:A,Dim_Reps!C:C)</f>
        <v>SDR / Inside Sales Rep</v>
      </c>
      <c r="Q3369" t="str">
        <f>_xlfn.XLOOKUP(Pipeline_tbl[[#This Row],[Rep_ID]],Dim_Reps!A:A,Dim_Reps!D:D)</f>
        <v>Inside Sales</v>
      </c>
      <c r="R3369" t="str">
        <f>_xlfn.XLOOKUP(Pipeline_tbl[[#This Row],[Rep_ID]],Dim_Reps!A:A,Dim_Reps!E:E)</f>
        <v>NAMER</v>
      </c>
      <c r="S3369" t="str">
        <f>_xlfn.XLOOKUP(Pipeline_tbl[[#This Row],[Created_Date]],Dim_Date!A:A,Dim_Date!H:H)</f>
        <v>Jun 2025</v>
      </c>
      <c r="T3369" t="str">
        <f>IF(Pipeline_tbl[[#This Row],[Closed_Date]]=0,"",(_xlfn.XLOOKUP(Pipeline_tbl[[#This Row],[Closed_Date]],Dim_Date!A:A,Dim_Date!H:H)))</f>
        <v>Jun 2025</v>
      </c>
      <c r="U3369">
        <f>IF(Pipeline_tbl[[#This Row],[Closed_Date]]=0,"",Pipeline_tbl[[#This Row],[Closed_Date]]-Pipeline_tbl[[#This Row],[Created_Date]])</f>
        <v>16</v>
      </c>
    </row>
    <row r="3370" spans="1:21" ht="15" customHeight="1" x14ac:dyDescent="0.2">
      <c r="A3370" t="s">
        <v>3676</v>
      </c>
      <c r="B3370" t="s">
        <v>196</v>
      </c>
      <c r="C3370" t="s">
        <v>52</v>
      </c>
      <c r="D3370" s="49">
        <v>45822</v>
      </c>
      <c r="E3370" s="49">
        <v>45823</v>
      </c>
      <c r="F3370" s="49">
        <v>45825</v>
      </c>
      <c r="G3370" s="49">
        <v>45829</v>
      </c>
      <c r="I3370" s="49">
        <v>45833</v>
      </c>
      <c r="J3370" t="s">
        <v>49</v>
      </c>
      <c r="K3370" s="33">
        <v>2700</v>
      </c>
      <c r="L3370" t="s">
        <v>61</v>
      </c>
      <c r="M3370" t="str">
        <f>_xlfn.XLOOKUP(Pipeline_tbl[[#This Row],[Rep_ID]],Dim_Reps!A:A,Dim_Reps!K:K)</f>
        <v>EUR</v>
      </c>
      <c r="N3370" s="33">
        <f>(_xlfn.XLOOKUP(Pipeline_tbl[[#This Row],[Rate_Code_Generalized]],Lookups!A:A,Lookups!B:B))*Pipeline_tbl[[#This Row],[Pipeline_Amount_USD]]</f>
        <v>2700</v>
      </c>
      <c r="O3370" t="str">
        <f>_xlfn.XLOOKUP(Pipeline_tbl[[#This Row],[Rep_ID]],Dim_Reps!A:A,Dim_Reps!B:B)</f>
        <v>Alex Okafor</v>
      </c>
      <c r="P3370" t="str">
        <f>_xlfn.XLOOKUP(Pipeline_tbl[[#This Row],[Rep_ID]],Dim_Reps!A:A,Dim_Reps!C:C)</f>
        <v>SDR / Inside Sales Rep</v>
      </c>
      <c r="Q3370" t="str">
        <f>_xlfn.XLOOKUP(Pipeline_tbl[[#This Row],[Rep_ID]],Dim_Reps!A:A,Dim_Reps!D:D)</f>
        <v>Inside Sales</v>
      </c>
      <c r="R3370" t="str">
        <f>_xlfn.XLOOKUP(Pipeline_tbl[[#This Row],[Rep_ID]],Dim_Reps!A:A,Dim_Reps!E:E)</f>
        <v>EMEA</v>
      </c>
      <c r="S3370" t="str">
        <f>_xlfn.XLOOKUP(Pipeline_tbl[[#This Row],[Created_Date]],Dim_Date!A:A,Dim_Date!H:H)</f>
        <v>Jun 2025</v>
      </c>
      <c r="T3370" t="str">
        <f>IF(Pipeline_tbl[[#This Row],[Closed_Date]]=0,"",(_xlfn.XLOOKUP(Pipeline_tbl[[#This Row],[Closed_Date]],Dim_Date!A:A,Dim_Date!H:H)))</f>
        <v>Jun 2025</v>
      </c>
      <c r="U3370">
        <f>IF(Pipeline_tbl[[#This Row],[Closed_Date]]=0,"",Pipeline_tbl[[#This Row],[Closed_Date]]-Pipeline_tbl[[#This Row],[Created_Date]])</f>
        <v>11</v>
      </c>
    </row>
    <row r="3371" spans="1:21" ht="15" customHeight="1" x14ac:dyDescent="0.2">
      <c r="A3371" t="s">
        <v>3677</v>
      </c>
      <c r="B3371" t="s">
        <v>196</v>
      </c>
      <c r="C3371" t="s">
        <v>54</v>
      </c>
      <c r="D3371" s="49">
        <v>45811</v>
      </c>
      <c r="E3371" s="49">
        <v>45813</v>
      </c>
      <c r="F3371" s="49">
        <v>45816</v>
      </c>
      <c r="I3371" s="49">
        <v>45828</v>
      </c>
      <c r="J3371" t="s">
        <v>49</v>
      </c>
      <c r="K3371" s="33">
        <v>3400</v>
      </c>
      <c r="L3371" t="s">
        <v>61</v>
      </c>
      <c r="M3371" t="str">
        <f>_xlfn.XLOOKUP(Pipeline_tbl[[#This Row],[Rep_ID]],Dim_Reps!A:A,Dim_Reps!K:K)</f>
        <v>EUR</v>
      </c>
      <c r="N3371" s="33">
        <f>(_xlfn.XLOOKUP(Pipeline_tbl[[#This Row],[Rate_Code_Generalized]],Lookups!A:A,Lookups!B:B))*Pipeline_tbl[[#This Row],[Pipeline_Amount_USD]]</f>
        <v>3400</v>
      </c>
      <c r="O3371" t="str">
        <f>_xlfn.XLOOKUP(Pipeline_tbl[[#This Row],[Rep_ID]],Dim_Reps!A:A,Dim_Reps!B:B)</f>
        <v>Alex Okafor</v>
      </c>
      <c r="P3371" t="str">
        <f>_xlfn.XLOOKUP(Pipeline_tbl[[#This Row],[Rep_ID]],Dim_Reps!A:A,Dim_Reps!C:C)</f>
        <v>SDR / Inside Sales Rep</v>
      </c>
      <c r="Q3371" t="str">
        <f>_xlfn.XLOOKUP(Pipeline_tbl[[#This Row],[Rep_ID]],Dim_Reps!A:A,Dim_Reps!D:D)</f>
        <v>Inside Sales</v>
      </c>
      <c r="R3371" t="str">
        <f>_xlfn.XLOOKUP(Pipeline_tbl[[#This Row],[Rep_ID]],Dim_Reps!A:A,Dim_Reps!E:E)</f>
        <v>EMEA</v>
      </c>
      <c r="S3371" t="str">
        <f>_xlfn.XLOOKUP(Pipeline_tbl[[#This Row],[Created_Date]],Dim_Date!A:A,Dim_Date!H:H)</f>
        <v>Jun 2025</v>
      </c>
      <c r="T3371" t="str">
        <f>IF(Pipeline_tbl[[#This Row],[Closed_Date]]=0,"",(_xlfn.XLOOKUP(Pipeline_tbl[[#This Row],[Closed_Date]],Dim_Date!A:A,Dim_Date!H:H)))</f>
        <v>Jun 2025</v>
      </c>
      <c r="U3371">
        <f>IF(Pipeline_tbl[[#This Row],[Closed_Date]]=0,"",Pipeline_tbl[[#This Row],[Closed_Date]]-Pipeline_tbl[[#This Row],[Created_Date]])</f>
        <v>17</v>
      </c>
    </row>
    <row r="3372" spans="1:21" ht="15" customHeight="1" x14ac:dyDescent="0.2">
      <c r="A3372" t="s">
        <v>3678</v>
      </c>
      <c r="B3372" t="s">
        <v>196</v>
      </c>
      <c r="C3372" t="s">
        <v>52</v>
      </c>
      <c r="D3372" s="49">
        <v>45809</v>
      </c>
      <c r="E3372" s="49">
        <v>45810</v>
      </c>
      <c r="F3372" s="49">
        <v>45812</v>
      </c>
      <c r="I3372" s="49">
        <v>45818</v>
      </c>
      <c r="J3372" t="s">
        <v>49</v>
      </c>
      <c r="K3372" s="33">
        <v>2800</v>
      </c>
      <c r="L3372" t="s">
        <v>61</v>
      </c>
      <c r="M3372" t="str">
        <f>_xlfn.XLOOKUP(Pipeline_tbl[[#This Row],[Rep_ID]],Dim_Reps!A:A,Dim_Reps!K:K)</f>
        <v>EUR</v>
      </c>
      <c r="N3372" s="33">
        <f>(_xlfn.XLOOKUP(Pipeline_tbl[[#This Row],[Rate_Code_Generalized]],Lookups!A:A,Lookups!B:B))*Pipeline_tbl[[#This Row],[Pipeline_Amount_USD]]</f>
        <v>2800</v>
      </c>
      <c r="O3372" t="str">
        <f>_xlfn.XLOOKUP(Pipeline_tbl[[#This Row],[Rep_ID]],Dim_Reps!A:A,Dim_Reps!B:B)</f>
        <v>Alex Okafor</v>
      </c>
      <c r="P3372" t="str">
        <f>_xlfn.XLOOKUP(Pipeline_tbl[[#This Row],[Rep_ID]],Dim_Reps!A:A,Dim_Reps!C:C)</f>
        <v>SDR / Inside Sales Rep</v>
      </c>
      <c r="Q3372" t="str">
        <f>_xlfn.XLOOKUP(Pipeline_tbl[[#This Row],[Rep_ID]],Dim_Reps!A:A,Dim_Reps!D:D)</f>
        <v>Inside Sales</v>
      </c>
      <c r="R3372" t="str">
        <f>_xlfn.XLOOKUP(Pipeline_tbl[[#This Row],[Rep_ID]],Dim_Reps!A:A,Dim_Reps!E:E)</f>
        <v>EMEA</v>
      </c>
      <c r="S3372" t="str">
        <f>_xlfn.XLOOKUP(Pipeline_tbl[[#This Row],[Created_Date]],Dim_Date!A:A,Dim_Date!H:H)</f>
        <v>Jun 2025</v>
      </c>
      <c r="T3372" t="str">
        <f>IF(Pipeline_tbl[[#This Row],[Closed_Date]]=0,"",(_xlfn.XLOOKUP(Pipeline_tbl[[#This Row],[Closed_Date]],Dim_Date!A:A,Dim_Date!H:H)))</f>
        <v>Jun 2025</v>
      </c>
      <c r="U3372">
        <f>IF(Pipeline_tbl[[#This Row],[Closed_Date]]=0,"",Pipeline_tbl[[#This Row],[Closed_Date]]-Pipeline_tbl[[#This Row],[Created_Date]])</f>
        <v>9</v>
      </c>
    </row>
    <row r="3373" spans="1:21" ht="15" customHeight="1" x14ac:dyDescent="0.2">
      <c r="A3373" t="s">
        <v>3679</v>
      </c>
      <c r="B3373" t="s">
        <v>196</v>
      </c>
      <c r="C3373" t="s">
        <v>56</v>
      </c>
      <c r="D3373" s="49">
        <v>45826</v>
      </c>
      <c r="E3373" s="49">
        <v>45827</v>
      </c>
      <c r="F3373" s="49">
        <v>45829</v>
      </c>
      <c r="G3373" s="49">
        <v>45832</v>
      </c>
      <c r="H3373" s="49">
        <v>45834</v>
      </c>
      <c r="I3373" s="49">
        <v>45836</v>
      </c>
      <c r="J3373" t="s">
        <v>47</v>
      </c>
      <c r="K3373" s="33">
        <v>3300</v>
      </c>
      <c r="M3373" t="str">
        <f>_xlfn.XLOOKUP(Pipeline_tbl[[#This Row],[Rep_ID]],Dim_Reps!A:A,Dim_Reps!K:K)</f>
        <v>EUR</v>
      </c>
      <c r="N3373" s="33">
        <f>(_xlfn.XLOOKUP(Pipeline_tbl[[#This Row],[Rate_Code_Generalized]],Lookups!A:A,Lookups!B:B))*Pipeline_tbl[[#This Row],[Pipeline_Amount_USD]]</f>
        <v>3300</v>
      </c>
      <c r="O3373" t="str">
        <f>_xlfn.XLOOKUP(Pipeline_tbl[[#This Row],[Rep_ID]],Dim_Reps!A:A,Dim_Reps!B:B)</f>
        <v>Alex Okafor</v>
      </c>
      <c r="P3373" t="str">
        <f>_xlfn.XLOOKUP(Pipeline_tbl[[#This Row],[Rep_ID]],Dim_Reps!A:A,Dim_Reps!C:C)</f>
        <v>SDR / Inside Sales Rep</v>
      </c>
      <c r="Q3373" t="str">
        <f>_xlfn.XLOOKUP(Pipeline_tbl[[#This Row],[Rep_ID]],Dim_Reps!A:A,Dim_Reps!D:D)</f>
        <v>Inside Sales</v>
      </c>
      <c r="R3373" t="str">
        <f>_xlfn.XLOOKUP(Pipeline_tbl[[#This Row],[Rep_ID]],Dim_Reps!A:A,Dim_Reps!E:E)</f>
        <v>EMEA</v>
      </c>
      <c r="S3373" t="str">
        <f>_xlfn.XLOOKUP(Pipeline_tbl[[#This Row],[Created_Date]],Dim_Date!A:A,Dim_Date!H:H)</f>
        <v>Jun 2025</v>
      </c>
      <c r="T3373" t="str">
        <f>IF(Pipeline_tbl[[#This Row],[Closed_Date]]=0,"",(_xlfn.XLOOKUP(Pipeline_tbl[[#This Row],[Closed_Date]],Dim_Date!A:A,Dim_Date!H:H)))</f>
        <v>Jun 2025</v>
      </c>
      <c r="U3373">
        <f>IF(Pipeline_tbl[[#This Row],[Closed_Date]]=0,"",Pipeline_tbl[[#This Row],[Closed_Date]]-Pipeline_tbl[[#This Row],[Created_Date]])</f>
        <v>10</v>
      </c>
    </row>
    <row r="3374" spans="1:21" ht="15" customHeight="1" x14ac:dyDescent="0.2">
      <c r="A3374" t="s">
        <v>3680</v>
      </c>
      <c r="B3374" t="s">
        <v>196</v>
      </c>
      <c r="C3374" t="s">
        <v>53</v>
      </c>
      <c r="D3374" s="49">
        <v>45810</v>
      </c>
      <c r="E3374" s="49">
        <v>45812</v>
      </c>
      <c r="F3374" s="49">
        <v>45817</v>
      </c>
      <c r="I3374" s="49">
        <v>45834</v>
      </c>
      <c r="J3374" t="s">
        <v>49</v>
      </c>
      <c r="K3374" s="33">
        <v>1300</v>
      </c>
      <c r="L3374" t="s">
        <v>63</v>
      </c>
      <c r="M3374" t="str">
        <f>_xlfn.XLOOKUP(Pipeline_tbl[[#This Row],[Rep_ID]],Dim_Reps!A:A,Dim_Reps!K:K)</f>
        <v>EUR</v>
      </c>
      <c r="N3374" s="33">
        <f>(_xlfn.XLOOKUP(Pipeline_tbl[[#This Row],[Rate_Code_Generalized]],Lookups!A:A,Lookups!B:B))*Pipeline_tbl[[#This Row],[Pipeline_Amount_USD]]</f>
        <v>1300</v>
      </c>
      <c r="O3374" t="str">
        <f>_xlfn.XLOOKUP(Pipeline_tbl[[#This Row],[Rep_ID]],Dim_Reps!A:A,Dim_Reps!B:B)</f>
        <v>Alex Okafor</v>
      </c>
      <c r="P3374" t="str">
        <f>_xlfn.XLOOKUP(Pipeline_tbl[[#This Row],[Rep_ID]],Dim_Reps!A:A,Dim_Reps!C:C)</f>
        <v>SDR / Inside Sales Rep</v>
      </c>
      <c r="Q3374" t="str">
        <f>_xlfn.XLOOKUP(Pipeline_tbl[[#This Row],[Rep_ID]],Dim_Reps!A:A,Dim_Reps!D:D)</f>
        <v>Inside Sales</v>
      </c>
      <c r="R3374" t="str">
        <f>_xlfn.XLOOKUP(Pipeline_tbl[[#This Row],[Rep_ID]],Dim_Reps!A:A,Dim_Reps!E:E)</f>
        <v>EMEA</v>
      </c>
      <c r="S3374" t="str">
        <f>_xlfn.XLOOKUP(Pipeline_tbl[[#This Row],[Created_Date]],Dim_Date!A:A,Dim_Date!H:H)</f>
        <v>Jun 2025</v>
      </c>
      <c r="T3374" t="str">
        <f>IF(Pipeline_tbl[[#This Row],[Closed_Date]]=0,"",(_xlfn.XLOOKUP(Pipeline_tbl[[#This Row],[Closed_Date]],Dim_Date!A:A,Dim_Date!H:H)))</f>
        <v>Jun 2025</v>
      </c>
      <c r="U3374">
        <f>IF(Pipeline_tbl[[#This Row],[Closed_Date]]=0,"",Pipeline_tbl[[#This Row],[Closed_Date]]-Pipeline_tbl[[#This Row],[Created_Date]])</f>
        <v>24</v>
      </c>
    </row>
    <row r="3375" spans="1:21" ht="15" customHeight="1" x14ac:dyDescent="0.2">
      <c r="A3375" t="s">
        <v>3681</v>
      </c>
      <c r="B3375" t="s">
        <v>199</v>
      </c>
      <c r="C3375" t="s">
        <v>53</v>
      </c>
      <c r="D3375" s="49">
        <v>45824</v>
      </c>
      <c r="E3375" s="49">
        <v>45825</v>
      </c>
      <c r="F3375" s="49">
        <v>45826</v>
      </c>
      <c r="G3375" s="49">
        <v>45828</v>
      </c>
      <c r="I3375" s="49">
        <v>45831</v>
      </c>
      <c r="J3375" t="s">
        <v>49</v>
      </c>
      <c r="K3375" s="33">
        <v>4400</v>
      </c>
      <c r="L3375" t="s">
        <v>61</v>
      </c>
      <c r="M3375" t="str">
        <f>_xlfn.XLOOKUP(Pipeline_tbl[[#This Row],[Rep_ID]],Dim_Reps!A:A,Dim_Reps!K:K)</f>
        <v>EUR</v>
      </c>
      <c r="N3375" s="33">
        <f>(_xlfn.XLOOKUP(Pipeline_tbl[[#This Row],[Rate_Code_Generalized]],Lookups!A:A,Lookups!B:B))*Pipeline_tbl[[#This Row],[Pipeline_Amount_USD]]</f>
        <v>4400</v>
      </c>
      <c r="O3375" t="str">
        <f>_xlfn.XLOOKUP(Pipeline_tbl[[#This Row],[Rep_ID]],Dim_Reps!A:A,Dim_Reps!B:B)</f>
        <v>Lucas Okafor</v>
      </c>
      <c r="P3375" t="str">
        <f>_xlfn.XLOOKUP(Pipeline_tbl[[#This Row],[Rep_ID]],Dim_Reps!A:A,Dim_Reps!C:C)</f>
        <v>SDR / Inside Sales Rep</v>
      </c>
      <c r="Q3375" t="str">
        <f>_xlfn.XLOOKUP(Pipeline_tbl[[#This Row],[Rep_ID]],Dim_Reps!A:A,Dim_Reps!D:D)</f>
        <v>Inside Sales</v>
      </c>
      <c r="R3375" t="str">
        <f>_xlfn.XLOOKUP(Pipeline_tbl[[#This Row],[Rep_ID]],Dim_Reps!A:A,Dim_Reps!E:E)</f>
        <v>APAC</v>
      </c>
      <c r="S3375" t="str">
        <f>_xlfn.XLOOKUP(Pipeline_tbl[[#This Row],[Created_Date]],Dim_Date!A:A,Dim_Date!H:H)</f>
        <v>Jun 2025</v>
      </c>
      <c r="T3375" t="str">
        <f>IF(Pipeline_tbl[[#This Row],[Closed_Date]]=0,"",(_xlfn.XLOOKUP(Pipeline_tbl[[#This Row],[Closed_Date]],Dim_Date!A:A,Dim_Date!H:H)))</f>
        <v>Jun 2025</v>
      </c>
      <c r="U3375">
        <f>IF(Pipeline_tbl[[#This Row],[Closed_Date]]=0,"",Pipeline_tbl[[#This Row],[Closed_Date]]-Pipeline_tbl[[#This Row],[Created_Date]])</f>
        <v>7</v>
      </c>
    </row>
    <row r="3376" spans="1:21" ht="15" customHeight="1" x14ac:dyDescent="0.2">
      <c r="A3376" t="s">
        <v>3682</v>
      </c>
      <c r="B3376" t="s">
        <v>199</v>
      </c>
      <c r="C3376" t="s">
        <v>56</v>
      </c>
      <c r="D3376" s="49">
        <v>45811</v>
      </c>
      <c r="E3376" s="49">
        <v>45812</v>
      </c>
      <c r="F3376" s="49">
        <v>45815</v>
      </c>
      <c r="G3376" s="49">
        <v>45819</v>
      </c>
      <c r="H3376" s="49">
        <v>45823</v>
      </c>
      <c r="I3376" s="49">
        <v>45825</v>
      </c>
      <c r="J3376" t="s">
        <v>47</v>
      </c>
      <c r="K3376" s="33">
        <v>1900</v>
      </c>
      <c r="M3376" t="str">
        <f>_xlfn.XLOOKUP(Pipeline_tbl[[#This Row],[Rep_ID]],Dim_Reps!A:A,Dim_Reps!K:K)</f>
        <v>EUR</v>
      </c>
      <c r="N3376" s="33">
        <f>(_xlfn.XLOOKUP(Pipeline_tbl[[#This Row],[Rate_Code_Generalized]],Lookups!A:A,Lookups!B:B))*Pipeline_tbl[[#This Row],[Pipeline_Amount_USD]]</f>
        <v>1900</v>
      </c>
      <c r="O3376" t="str">
        <f>_xlfn.XLOOKUP(Pipeline_tbl[[#This Row],[Rep_ID]],Dim_Reps!A:A,Dim_Reps!B:B)</f>
        <v>Lucas Okafor</v>
      </c>
      <c r="P3376" t="str">
        <f>_xlfn.XLOOKUP(Pipeline_tbl[[#This Row],[Rep_ID]],Dim_Reps!A:A,Dim_Reps!C:C)</f>
        <v>SDR / Inside Sales Rep</v>
      </c>
      <c r="Q3376" t="str">
        <f>_xlfn.XLOOKUP(Pipeline_tbl[[#This Row],[Rep_ID]],Dim_Reps!A:A,Dim_Reps!D:D)</f>
        <v>Inside Sales</v>
      </c>
      <c r="R3376" t="str">
        <f>_xlfn.XLOOKUP(Pipeline_tbl[[#This Row],[Rep_ID]],Dim_Reps!A:A,Dim_Reps!E:E)</f>
        <v>APAC</v>
      </c>
      <c r="S3376" t="str">
        <f>_xlfn.XLOOKUP(Pipeline_tbl[[#This Row],[Created_Date]],Dim_Date!A:A,Dim_Date!H:H)</f>
        <v>Jun 2025</v>
      </c>
      <c r="T3376" t="str">
        <f>IF(Pipeline_tbl[[#This Row],[Closed_Date]]=0,"",(_xlfn.XLOOKUP(Pipeline_tbl[[#This Row],[Closed_Date]],Dim_Date!A:A,Dim_Date!H:H)))</f>
        <v>Jun 2025</v>
      </c>
      <c r="U3376">
        <f>IF(Pipeline_tbl[[#This Row],[Closed_Date]]=0,"",Pipeline_tbl[[#This Row],[Closed_Date]]-Pipeline_tbl[[#This Row],[Created_Date]])</f>
        <v>14</v>
      </c>
    </row>
    <row r="3377" spans="1:21" ht="15" customHeight="1" x14ac:dyDescent="0.2">
      <c r="A3377" t="s">
        <v>3683</v>
      </c>
      <c r="B3377" t="s">
        <v>199</v>
      </c>
      <c r="C3377" t="s">
        <v>54</v>
      </c>
      <c r="D3377" s="49">
        <v>45829</v>
      </c>
      <c r="E3377" s="49">
        <v>45830</v>
      </c>
      <c r="F3377" s="49">
        <v>45831</v>
      </c>
      <c r="G3377" s="49">
        <v>45833</v>
      </c>
      <c r="H3377" s="49">
        <v>45835</v>
      </c>
      <c r="I3377" s="49">
        <v>45836</v>
      </c>
      <c r="J3377" t="s">
        <v>47</v>
      </c>
      <c r="K3377" s="33">
        <v>4900</v>
      </c>
      <c r="M3377" t="str">
        <f>_xlfn.XLOOKUP(Pipeline_tbl[[#This Row],[Rep_ID]],Dim_Reps!A:A,Dim_Reps!K:K)</f>
        <v>EUR</v>
      </c>
      <c r="N3377" s="33">
        <f>(_xlfn.XLOOKUP(Pipeline_tbl[[#This Row],[Rate_Code_Generalized]],Lookups!A:A,Lookups!B:B))*Pipeline_tbl[[#This Row],[Pipeline_Amount_USD]]</f>
        <v>4900</v>
      </c>
      <c r="O3377" t="str">
        <f>_xlfn.XLOOKUP(Pipeline_tbl[[#This Row],[Rep_ID]],Dim_Reps!A:A,Dim_Reps!B:B)</f>
        <v>Lucas Okafor</v>
      </c>
      <c r="P3377" t="str">
        <f>_xlfn.XLOOKUP(Pipeline_tbl[[#This Row],[Rep_ID]],Dim_Reps!A:A,Dim_Reps!C:C)</f>
        <v>SDR / Inside Sales Rep</v>
      </c>
      <c r="Q3377" t="str">
        <f>_xlfn.XLOOKUP(Pipeline_tbl[[#This Row],[Rep_ID]],Dim_Reps!A:A,Dim_Reps!D:D)</f>
        <v>Inside Sales</v>
      </c>
      <c r="R3377" t="str">
        <f>_xlfn.XLOOKUP(Pipeline_tbl[[#This Row],[Rep_ID]],Dim_Reps!A:A,Dim_Reps!E:E)</f>
        <v>APAC</v>
      </c>
      <c r="S3377" t="str">
        <f>_xlfn.XLOOKUP(Pipeline_tbl[[#This Row],[Created_Date]],Dim_Date!A:A,Dim_Date!H:H)</f>
        <v>Jun 2025</v>
      </c>
      <c r="T3377" t="str">
        <f>IF(Pipeline_tbl[[#This Row],[Closed_Date]]=0,"",(_xlfn.XLOOKUP(Pipeline_tbl[[#This Row],[Closed_Date]],Dim_Date!A:A,Dim_Date!H:H)))</f>
        <v>Jun 2025</v>
      </c>
      <c r="U3377">
        <f>IF(Pipeline_tbl[[#This Row],[Closed_Date]]=0,"",Pipeline_tbl[[#This Row],[Closed_Date]]-Pipeline_tbl[[#This Row],[Created_Date]])</f>
        <v>7</v>
      </c>
    </row>
    <row r="3378" spans="1:21" ht="15" customHeight="1" x14ac:dyDescent="0.2">
      <c r="A3378" t="s">
        <v>3684</v>
      </c>
      <c r="B3378" t="s">
        <v>199</v>
      </c>
      <c r="C3378" t="s">
        <v>54</v>
      </c>
      <c r="D3378" s="49">
        <v>45810</v>
      </c>
      <c r="E3378" s="49">
        <v>45812</v>
      </c>
      <c r="F3378" s="49">
        <v>45815</v>
      </c>
      <c r="G3378" s="49">
        <v>45820</v>
      </c>
      <c r="H3378" s="49">
        <v>45824</v>
      </c>
      <c r="I3378" s="49">
        <v>45826</v>
      </c>
      <c r="J3378" t="s">
        <v>47</v>
      </c>
      <c r="K3378" s="33">
        <v>4600</v>
      </c>
      <c r="M3378" t="str">
        <f>_xlfn.XLOOKUP(Pipeline_tbl[[#This Row],[Rep_ID]],Dim_Reps!A:A,Dim_Reps!K:K)</f>
        <v>EUR</v>
      </c>
      <c r="N3378" s="33">
        <f>(_xlfn.XLOOKUP(Pipeline_tbl[[#This Row],[Rate_Code_Generalized]],Lookups!A:A,Lookups!B:B))*Pipeline_tbl[[#This Row],[Pipeline_Amount_USD]]</f>
        <v>4600</v>
      </c>
      <c r="O3378" t="str">
        <f>_xlfn.XLOOKUP(Pipeline_tbl[[#This Row],[Rep_ID]],Dim_Reps!A:A,Dim_Reps!B:B)</f>
        <v>Lucas Okafor</v>
      </c>
      <c r="P3378" t="str">
        <f>_xlfn.XLOOKUP(Pipeline_tbl[[#This Row],[Rep_ID]],Dim_Reps!A:A,Dim_Reps!C:C)</f>
        <v>SDR / Inside Sales Rep</v>
      </c>
      <c r="Q3378" t="str">
        <f>_xlfn.XLOOKUP(Pipeline_tbl[[#This Row],[Rep_ID]],Dim_Reps!A:A,Dim_Reps!D:D)</f>
        <v>Inside Sales</v>
      </c>
      <c r="R3378" t="str">
        <f>_xlfn.XLOOKUP(Pipeline_tbl[[#This Row],[Rep_ID]],Dim_Reps!A:A,Dim_Reps!E:E)</f>
        <v>APAC</v>
      </c>
      <c r="S3378" t="str">
        <f>_xlfn.XLOOKUP(Pipeline_tbl[[#This Row],[Created_Date]],Dim_Date!A:A,Dim_Date!H:H)</f>
        <v>Jun 2025</v>
      </c>
      <c r="T3378" t="str">
        <f>IF(Pipeline_tbl[[#This Row],[Closed_Date]]=0,"",(_xlfn.XLOOKUP(Pipeline_tbl[[#This Row],[Closed_Date]],Dim_Date!A:A,Dim_Date!H:H)))</f>
        <v>Jun 2025</v>
      </c>
      <c r="U3378">
        <f>IF(Pipeline_tbl[[#This Row],[Closed_Date]]=0,"",Pipeline_tbl[[#This Row],[Closed_Date]]-Pipeline_tbl[[#This Row],[Created_Date]])</f>
        <v>16</v>
      </c>
    </row>
    <row r="3379" spans="1:21" ht="15" customHeight="1" x14ac:dyDescent="0.2">
      <c r="A3379" t="s">
        <v>3685</v>
      </c>
      <c r="B3379" t="s">
        <v>199</v>
      </c>
      <c r="C3379" t="s">
        <v>52</v>
      </c>
      <c r="D3379" s="49">
        <v>45813</v>
      </c>
      <c r="E3379" s="49">
        <v>45815</v>
      </c>
      <c r="F3379" s="49">
        <v>45818</v>
      </c>
      <c r="G3379" s="49">
        <v>45823</v>
      </c>
      <c r="H3379" s="49">
        <v>45827</v>
      </c>
      <c r="I3379" s="49">
        <v>45830</v>
      </c>
      <c r="J3379" t="s">
        <v>47</v>
      </c>
      <c r="K3379" s="33">
        <v>2400</v>
      </c>
      <c r="M3379" t="str">
        <f>_xlfn.XLOOKUP(Pipeline_tbl[[#This Row],[Rep_ID]],Dim_Reps!A:A,Dim_Reps!K:K)</f>
        <v>EUR</v>
      </c>
      <c r="N3379" s="33">
        <f>(_xlfn.XLOOKUP(Pipeline_tbl[[#This Row],[Rate_Code_Generalized]],Lookups!A:A,Lookups!B:B))*Pipeline_tbl[[#This Row],[Pipeline_Amount_USD]]</f>
        <v>2400</v>
      </c>
      <c r="O3379" t="str">
        <f>_xlfn.XLOOKUP(Pipeline_tbl[[#This Row],[Rep_ID]],Dim_Reps!A:A,Dim_Reps!B:B)</f>
        <v>Lucas Okafor</v>
      </c>
      <c r="P3379" t="str">
        <f>_xlfn.XLOOKUP(Pipeline_tbl[[#This Row],[Rep_ID]],Dim_Reps!A:A,Dim_Reps!C:C)</f>
        <v>SDR / Inside Sales Rep</v>
      </c>
      <c r="Q3379" t="str">
        <f>_xlfn.XLOOKUP(Pipeline_tbl[[#This Row],[Rep_ID]],Dim_Reps!A:A,Dim_Reps!D:D)</f>
        <v>Inside Sales</v>
      </c>
      <c r="R3379" t="str">
        <f>_xlfn.XLOOKUP(Pipeline_tbl[[#This Row],[Rep_ID]],Dim_Reps!A:A,Dim_Reps!E:E)</f>
        <v>APAC</v>
      </c>
      <c r="S3379" t="str">
        <f>_xlfn.XLOOKUP(Pipeline_tbl[[#This Row],[Created_Date]],Dim_Date!A:A,Dim_Date!H:H)</f>
        <v>Jun 2025</v>
      </c>
      <c r="T3379" t="str">
        <f>IF(Pipeline_tbl[[#This Row],[Closed_Date]]=0,"",(_xlfn.XLOOKUP(Pipeline_tbl[[#This Row],[Closed_Date]],Dim_Date!A:A,Dim_Date!H:H)))</f>
        <v>Jun 2025</v>
      </c>
      <c r="U3379">
        <f>IF(Pipeline_tbl[[#This Row],[Closed_Date]]=0,"",Pipeline_tbl[[#This Row],[Closed_Date]]-Pipeline_tbl[[#This Row],[Created_Date]])</f>
        <v>17</v>
      </c>
    </row>
    <row r="3380" spans="1:21" ht="15" customHeight="1" x14ac:dyDescent="0.2">
      <c r="A3380" t="s">
        <v>3686</v>
      </c>
      <c r="B3380" t="s">
        <v>199</v>
      </c>
      <c r="C3380" t="s">
        <v>56</v>
      </c>
      <c r="D3380" s="49">
        <v>45813</v>
      </c>
      <c r="E3380" s="49">
        <v>45815</v>
      </c>
      <c r="F3380" s="49">
        <v>45819</v>
      </c>
      <c r="I3380" s="49">
        <v>45832</v>
      </c>
      <c r="J3380" t="s">
        <v>49</v>
      </c>
      <c r="K3380" s="33">
        <v>3400</v>
      </c>
      <c r="L3380" t="s">
        <v>61</v>
      </c>
      <c r="M3380" t="str">
        <f>_xlfn.XLOOKUP(Pipeline_tbl[[#This Row],[Rep_ID]],Dim_Reps!A:A,Dim_Reps!K:K)</f>
        <v>EUR</v>
      </c>
      <c r="N3380" s="33">
        <f>(_xlfn.XLOOKUP(Pipeline_tbl[[#This Row],[Rate_Code_Generalized]],Lookups!A:A,Lookups!B:B))*Pipeline_tbl[[#This Row],[Pipeline_Amount_USD]]</f>
        <v>3400</v>
      </c>
      <c r="O3380" t="str">
        <f>_xlfn.XLOOKUP(Pipeline_tbl[[#This Row],[Rep_ID]],Dim_Reps!A:A,Dim_Reps!B:B)</f>
        <v>Lucas Okafor</v>
      </c>
      <c r="P3380" t="str">
        <f>_xlfn.XLOOKUP(Pipeline_tbl[[#This Row],[Rep_ID]],Dim_Reps!A:A,Dim_Reps!C:C)</f>
        <v>SDR / Inside Sales Rep</v>
      </c>
      <c r="Q3380" t="str">
        <f>_xlfn.XLOOKUP(Pipeline_tbl[[#This Row],[Rep_ID]],Dim_Reps!A:A,Dim_Reps!D:D)</f>
        <v>Inside Sales</v>
      </c>
      <c r="R3380" t="str">
        <f>_xlfn.XLOOKUP(Pipeline_tbl[[#This Row],[Rep_ID]],Dim_Reps!A:A,Dim_Reps!E:E)</f>
        <v>APAC</v>
      </c>
      <c r="S3380" t="str">
        <f>_xlfn.XLOOKUP(Pipeline_tbl[[#This Row],[Created_Date]],Dim_Date!A:A,Dim_Date!H:H)</f>
        <v>Jun 2025</v>
      </c>
      <c r="T3380" t="str">
        <f>IF(Pipeline_tbl[[#This Row],[Closed_Date]]=0,"",(_xlfn.XLOOKUP(Pipeline_tbl[[#This Row],[Closed_Date]],Dim_Date!A:A,Dim_Date!H:H)))</f>
        <v>Jun 2025</v>
      </c>
      <c r="U3380">
        <f>IF(Pipeline_tbl[[#This Row],[Closed_Date]]=0,"",Pipeline_tbl[[#This Row],[Closed_Date]]-Pipeline_tbl[[#This Row],[Created_Date]])</f>
        <v>19</v>
      </c>
    </row>
    <row r="3381" spans="1:21" ht="15" customHeight="1" x14ac:dyDescent="0.2">
      <c r="A3381" t="s">
        <v>3687</v>
      </c>
      <c r="B3381" t="s">
        <v>203</v>
      </c>
      <c r="C3381" t="s">
        <v>56</v>
      </c>
      <c r="D3381" s="49">
        <v>45818</v>
      </c>
      <c r="E3381" s="49">
        <v>45819</v>
      </c>
      <c r="F3381" s="49">
        <v>45822</v>
      </c>
      <c r="G3381" s="49">
        <v>45826</v>
      </c>
      <c r="H3381" s="49">
        <v>45829</v>
      </c>
      <c r="I3381" s="49">
        <v>45831</v>
      </c>
      <c r="J3381" t="s">
        <v>49</v>
      </c>
      <c r="K3381" s="33">
        <v>1500</v>
      </c>
      <c r="L3381" t="s">
        <v>61</v>
      </c>
      <c r="M3381" t="str">
        <f>_xlfn.XLOOKUP(Pipeline_tbl[[#This Row],[Rep_ID]],Dim_Reps!A:A,Dim_Reps!K:K)</f>
        <v>EUR</v>
      </c>
      <c r="N3381" s="33">
        <f>(_xlfn.XLOOKUP(Pipeline_tbl[[#This Row],[Rate_Code_Generalized]],Lookups!A:A,Lookups!B:B))*Pipeline_tbl[[#This Row],[Pipeline_Amount_USD]]</f>
        <v>1500</v>
      </c>
      <c r="O3381" t="str">
        <f>_xlfn.XLOOKUP(Pipeline_tbl[[#This Row],[Rep_ID]],Dim_Reps!A:A,Dim_Reps!B:B)</f>
        <v>Riley Haddad</v>
      </c>
      <c r="P3381" t="str">
        <f>_xlfn.XLOOKUP(Pipeline_tbl[[#This Row],[Rep_ID]],Dim_Reps!A:A,Dim_Reps!C:C)</f>
        <v>SDR / Inside Sales Rep</v>
      </c>
      <c r="Q3381" t="str">
        <f>_xlfn.XLOOKUP(Pipeline_tbl[[#This Row],[Rep_ID]],Dim_Reps!A:A,Dim_Reps!D:D)</f>
        <v>Inside Sales</v>
      </c>
      <c r="R3381" t="str">
        <f>_xlfn.XLOOKUP(Pipeline_tbl[[#This Row],[Rep_ID]],Dim_Reps!A:A,Dim_Reps!E:E)</f>
        <v>APAC</v>
      </c>
      <c r="S3381" t="str">
        <f>_xlfn.XLOOKUP(Pipeline_tbl[[#This Row],[Created_Date]],Dim_Date!A:A,Dim_Date!H:H)</f>
        <v>Jun 2025</v>
      </c>
      <c r="T3381" t="str">
        <f>IF(Pipeline_tbl[[#This Row],[Closed_Date]]=0,"",(_xlfn.XLOOKUP(Pipeline_tbl[[#This Row],[Closed_Date]],Dim_Date!A:A,Dim_Date!H:H)))</f>
        <v>Jun 2025</v>
      </c>
      <c r="U3381">
        <f>IF(Pipeline_tbl[[#This Row],[Closed_Date]]=0,"",Pipeline_tbl[[#This Row],[Closed_Date]]-Pipeline_tbl[[#This Row],[Created_Date]])</f>
        <v>13</v>
      </c>
    </row>
    <row r="3382" spans="1:21" ht="15" customHeight="1" x14ac:dyDescent="0.2">
      <c r="A3382" t="s">
        <v>3688</v>
      </c>
      <c r="B3382" t="s">
        <v>203</v>
      </c>
      <c r="C3382" t="s">
        <v>53</v>
      </c>
      <c r="D3382" s="49">
        <v>45815</v>
      </c>
      <c r="E3382" s="49">
        <v>45817</v>
      </c>
      <c r="F3382" s="49">
        <v>45821</v>
      </c>
      <c r="I3382" s="49">
        <v>45834</v>
      </c>
      <c r="J3382" t="s">
        <v>49</v>
      </c>
      <c r="K3382" s="33">
        <v>2700</v>
      </c>
      <c r="L3382" t="s">
        <v>62</v>
      </c>
      <c r="M3382" t="str">
        <f>_xlfn.XLOOKUP(Pipeline_tbl[[#This Row],[Rep_ID]],Dim_Reps!A:A,Dim_Reps!K:K)</f>
        <v>EUR</v>
      </c>
      <c r="N3382" s="33">
        <f>(_xlfn.XLOOKUP(Pipeline_tbl[[#This Row],[Rate_Code_Generalized]],Lookups!A:A,Lookups!B:B))*Pipeline_tbl[[#This Row],[Pipeline_Amount_USD]]</f>
        <v>2700</v>
      </c>
      <c r="O3382" t="str">
        <f>_xlfn.XLOOKUP(Pipeline_tbl[[#This Row],[Rep_ID]],Dim_Reps!A:A,Dim_Reps!B:B)</f>
        <v>Riley Haddad</v>
      </c>
      <c r="P3382" t="str">
        <f>_xlfn.XLOOKUP(Pipeline_tbl[[#This Row],[Rep_ID]],Dim_Reps!A:A,Dim_Reps!C:C)</f>
        <v>SDR / Inside Sales Rep</v>
      </c>
      <c r="Q3382" t="str">
        <f>_xlfn.XLOOKUP(Pipeline_tbl[[#This Row],[Rep_ID]],Dim_Reps!A:A,Dim_Reps!D:D)</f>
        <v>Inside Sales</v>
      </c>
      <c r="R3382" t="str">
        <f>_xlfn.XLOOKUP(Pipeline_tbl[[#This Row],[Rep_ID]],Dim_Reps!A:A,Dim_Reps!E:E)</f>
        <v>APAC</v>
      </c>
      <c r="S3382" t="str">
        <f>_xlfn.XLOOKUP(Pipeline_tbl[[#This Row],[Created_Date]],Dim_Date!A:A,Dim_Date!H:H)</f>
        <v>Jun 2025</v>
      </c>
      <c r="T3382" t="str">
        <f>IF(Pipeline_tbl[[#This Row],[Closed_Date]]=0,"",(_xlfn.XLOOKUP(Pipeline_tbl[[#This Row],[Closed_Date]],Dim_Date!A:A,Dim_Date!H:H)))</f>
        <v>Jun 2025</v>
      </c>
      <c r="U3382">
        <f>IF(Pipeline_tbl[[#This Row],[Closed_Date]]=0,"",Pipeline_tbl[[#This Row],[Closed_Date]]-Pipeline_tbl[[#This Row],[Created_Date]])</f>
        <v>19</v>
      </c>
    </row>
    <row r="3383" spans="1:21" ht="15" customHeight="1" x14ac:dyDescent="0.2">
      <c r="A3383" t="s">
        <v>3689</v>
      </c>
      <c r="B3383" t="s">
        <v>203</v>
      </c>
      <c r="C3383" t="s">
        <v>52</v>
      </c>
      <c r="D3383" s="49">
        <v>45821</v>
      </c>
      <c r="E3383" s="49">
        <v>45822</v>
      </c>
      <c r="F3383" s="49">
        <v>45824</v>
      </c>
      <c r="G3383" s="49">
        <v>45826</v>
      </c>
      <c r="H3383" s="49">
        <v>45829</v>
      </c>
      <c r="I3383" s="49">
        <v>45830</v>
      </c>
      <c r="J3383" t="s">
        <v>47</v>
      </c>
      <c r="K3383" s="33">
        <v>3100</v>
      </c>
      <c r="M3383" t="str">
        <f>_xlfn.XLOOKUP(Pipeline_tbl[[#This Row],[Rep_ID]],Dim_Reps!A:A,Dim_Reps!K:K)</f>
        <v>EUR</v>
      </c>
      <c r="N3383" s="33">
        <f>(_xlfn.XLOOKUP(Pipeline_tbl[[#This Row],[Rate_Code_Generalized]],Lookups!A:A,Lookups!B:B))*Pipeline_tbl[[#This Row],[Pipeline_Amount_USD]]</f>
        <v>3100</v>
      </c>
      <c r="O3383" t="str">
        <f>_xlfn.XLOOKUP(Pipeline_tbl[[#This Row],[Rep_ID]],Dim_Reps!A:A,Dim_Reps!B:B)</f>
        <v>Riley Haddad</v>
      </c>
      <c r="P3383" t="str">
        <f>_xlfn.XLOOKUP(Pipeline_tbl[[#This Row],[Rep_ID]],Dim_Reps!A:A,Dim_Reps!C:C)</f>
        <v>SDR / Inside Sales Rep</v>
      </c>
      <c r="Q3383" t="str">
        <f>_xlfn.XLOOKUP(Pipeline_tbl[[#This Row],[Rep_ID]],Dim_Reps!A:A,Dim_Reps!D:D)</f>
        <v>Inside Sales</v>
      </c>
      <c r="R3383" t="str">
        <f>_xlfn.XLOOKUP(Pipeline_tbl[[#This Row],[Rep_ID]],Dim_Reps!A:A,Dim_Reps!E:E)</f>
        <v>APAC</v>
      </c>
      <c r="S3383" t="str">
        <f>_xlfn.XLOOKUP(Pipeline_tbl[[#This Row],[Created_Date]],Dim_Date!A:A,Dim_Date!H:H)</f>
        <v>Jun 2025</v>
      </c>
      <c r="T3383" t="str">
        <f>IF(Pipeline_tbl[[#This Row],[Closed_Date]]=0,"",(_xlfn.XLOOKUP(Pipeline_tbl[[#This Row],[Closed_Date]],Dim_Date!A:A,Dim_Date!H:H)))</f>
        <v>Jun 2025</v>
      </c>
      <c r="U3383">
        <f>IF(Pipeline_tbl[[#This Row],[Closed_Date]]=0,"",Pipeline_tbl[[#This Row],[Closed_Date]]-Pipeline_tbl[[#This Row],[Created_Date]])</f>
        <v>9</v>
      </c>
    </row>
    <row r="3384" spans="1:21" ht="15" customHeight="1" x14ac:dyDescent="0.2">
      <c r="A3384" t="s">
        <v>3690</v>
      </c>
      <c r="B3384" t="s">
        <v>203</v>
      </c>
      <c r="C3384" t="s">
        <v>52</v>
      </c>
      <c r="D3384" s="49">
        <v>45824</v>
      </c>
      <c r="E3384" s="49">
        <v>45825</v>
      </c>
      <c r="F3384" s="49">
        <v>45826</v>
      </c>
      <c r="I3384" s="49">
        <v>45832</v>
      </c>
      <c r="J3384" t="s">
        <v>49</v>
      </c>
      <c r="K3384" s="33">
        <v>4800</v>
      </c>
      <c r="L3384" t="s">
        <v>63</v>
      </c>
      <c r="M3384" t="str">
        <f>_xlfn.XLOOKUP(Pipeline_tbl[[#This Row],[Rep_ID]],Dim_Reps!A:A,Dim_Reps!K:K)</f>
        <v>EUR</v>
      </c>
      <c r="N3384" s="33">
        <f>(_xlfn.XLOOKUP(Pipeline_tbl[[#This Row],[Rate_Code_Generalized]],Lookups!A:A,Lookups!B:B))*Pipeline_tbl[[#This Row],[Pipeline_Amount_USD]]</f>
        <v>4800</v>
      </c>
      <c r="O3384" t="str">
        <f>_xlfn.XLOOKUP(Pipeline_tbl[[#This Row],[Rep_ID]],Dim_Reps!A:A,Dim_Reps!B:B)</f>
        <v>Riley Haddad</v>
      </c>
      <c r="P3384" t="str">
        <f>_xlfn.XLOOKUP(Pipeline_tbl[[#This Row],[Rep_ID]],Dim_Reps!A:A,Dim_Reps!C:C)</f>
        <v>SDR / Inside Sales Rep</v>
      </c>
      <c r="Q3384" t="str">
        <f>_xlfn.XLOOKUP(Pipeline_tbl[[#This Row],[Rep_ID]],Dim_Reps!A:A,Dim_Reps!D:D)</f>
        <v>Inside Sales</v>
      </c>
      <c r="R3384" t="str">
        <f>_xlfn.XLOOKUP(Pipeline_tbl[[#This Row],[Rep_ID]],Dim_Reps!A:A,Dim_Reps!E:E)</f>
        <v>APAC</v>
      </c>
      <c r="S3384" t="str">
        <f>_xlfn.XLOOKUP(Pipeline_tbl[[#This Row],[Created_Date]],Dim_Date!A:A,Dim_Date!H:H)</f>
        <v>Jun 2025</v>
      </c>
      <c r="T3384" t="str">
        <f>IF(Pipeline_tbl[[#This Row],[Closed_Date]]=0,"",(_xlfn.XLOOKUP(Pipeline_tbl[[#This Row],[Closed_Date]],Dim_Date!A:A,Dim_Date!H:H)))</f>
        <v>Jun 2025</v>
      </c>
      <c r="U3384">
        <f>IF(Pipeline_tbl[[#This Row],[Closed_Date]]=0,"",Pipeline_tbl[[#This Row],[Closed_Date]]-Pipeline_tbl[[#This Row],[Created_Date]])</f>
        <v>8</v>
      </c>
    </row>
    <row r="3385" spans="1:21" ht="15" customHeight="1" x14ac:dyDescent="0.2">
      <c r="A3385" t="s">
        <v>3691</v>
      </c>
      <c r="B3385" t="s">
        <v>205</v>
      </c>
      <c r="C3385" t="s">
        <v>52</v>
      </c>
      <c r="D3385" s="49">
        <v>45820</v>
      </c>
      <c r="E3385" s="49">
        <v>45821</v>
      </c>
      <c r="F3385" s="49">
        <v>45824</v>
      </c>
      <c r="G3385" s="49">
        <v>45828</v>
      </c>
      <c r="H3385" s="49">
        <v>45832</v>
      </c>
      <c r="I3385" s="49">
        <v>45834</v>
      </c>
      <c r="J3385" t="s">
        <v>49</v>
      </c>
      <c r="K3385" s="33">
        <v>3400</v>
      </c>
      <c r="L3385" t="s">
        <v>62</v>
      </c>
      <c r="M3385" t="str">
        <f>_xlfn.XLOOKUP(Pipeline_tbl[[#This Row],[Rep_ID]],Dim_Reps!A:A,Dim_Reps!K:K)</f>
        <v>EUR</v>
      </c>
      <c r="N3385" s="33">
        <f>(_xlfn.XLOOKUP(Pipeline_tbl[[#This Row],[Rate_Code_Generalized]],Lookups!A:A,Lookups!B:B))*Pipeline_tbl[[#This Row],[Pipeline_Amount_USD]]</f>
        <v>3400</v>
      </c>
      <c r="O3385" t="str">
        <f>_xlfn.XLOOKUP(Pipeline_tbl[[#This Row],[Rep_ID]],Dim_Reps!A:A,Dim_Reps!B:B)</f>
        <v>Karim Alvarez</v>
      </c>
      <c r="P3385" t="str">
        <f>_xlfn.XLOOKUP(Pipeline_tbl[[#This Row],[Rep_ID]],Dim_Reps!A:A,Dim_Reps!C:C)</f>
        <v>SDR / Inside Sales Rep</v>
      </c>
      <c r="Q3385" t="str">
        <f>_xlfn.XLOOKUP(Pipeline_tbl[[#This Row],[Rep_ID]],Dim_Reps!A:A,Dim_Reps!D:D)</f>
        <v>Inside Sales</v>
      </c>
      <c r="R3385" t="str">
        <f>_xlfn.XLOOKUP(Pipeline_tbl[[#This Row],[Rep_ID]],Dim_Reps!A:A,Dim_Reps!E:E)</f>
        <v>EMEA</v>
      </c>
      <c r="S3385" t="str">
        <f>_xlfn.XLOOKUP(Pipeline_tbl[[#This Row],[Created_Date]],Dim_Date!A:A,Dim_Date!H:H)</f>
        <v>Jun 2025</v>
      </c>
      <c r="T3385" t="str">
        <f>IF(Pipeline_tbl[[#This Row],[Closed_Date]]=0,"",(_xlfn.XLOOKUP(Pipeline_tbl[[#This Row],[Closed_Date]],Dim_Date!A:A,Dim_Date!H:H)))</f>
        <v>Jun 2025</v>
      </c>
      <c r="U3385">
        <f>IF(Pipeline_tbl[[#This Row],[Closed_Date]]=0,"",Pipeline_tbl[[#This Row],[Closed_Date]]-Pipeline_tbl[[#This Row],[Created_Date]])</f>
        <v>14</v>
      </c>
    </row>
    <row r="3386" spans="1:21" ht="15" customHeight="1" x14ac:dyDescent="0.2">
      <c r="A3386" t="s">
        <v>3692</v>
      </c>
      <c r="B3386" t="s">
        <v>205</v>
      </c>
      <c r="C3386" t="s">
        <v>53</v>
      </c>
      <c r="D3386" s="49">
        <v>45812</v>
      </c>
      <c r="E3386" s="49">
        <v>45813</v>
      </c>
      <c r="F3386" s="49">
        <v>45816</v>
      </c>
      <c r="I3386" s="49">
        <v>45825</v>
      </c>
      <c r="J3386" t="s">
        <v>49</v>
      </c>
      <c r="K3386" s="33">
        <v>3800</v>
      </c>
      <c r="L3386" t="s">
        <v>60</v>
      </c>
      <c r="M3386" t="str">
        <f>_xlfn.XLOOKUP(Pipeline_tbl[[#This Row],[Rep_ID]],Dim_Reps!A:A,Dim_Reps!K:K)</f>
        <v>EUR</v>
      </c>
      <c r="N3386" s="33">
        <f>(_xlfn.XLOOKUP(Pipeline_tbl[[#This Row],[Rate_Code_Generalized]],Lookups!A:A,Lookups!B:B))*Pipeline_tbl[[#This Row],[Pipeline_Amount_USD]]</f>
        <v>3800</v>
      </c>
      <c r="O3386" t="str">
        <f>_xlfn.XLOOKUP(Pipeline_tbl[[#This Row],[Rep_ID]],Dim_Reps!A:A,Dim_Reps!B:B)</f>
        <v>Karim Alvarez</v>
      </c>
      <c r="P3386" t="str">
        <f>_xlfn.XLOOKUP(Pipeline_tbl[[#This Row],[Rep_ID]],Dim_Reps!A:A,Dim_Reps!C:C)</f>
        <v>SDR / Inside Sales Rep</v>
      </c>
      <c r="Q3386" t="str">
        <f>_xlfn.XLOOKUP(Pipeline_tbl[[#This Row],[Rep_ID]],Dim_Reps!A:A,Dim_Reps!D:D)</f>
        <v>Inside Sales</v>
      </c>
      <c r="R3386" t="str">
        <f>_xlfn.XLOOKUP(Pipeline_tbl[[#This Row],[Rep_ID]],Dim_Reps!A:A,Dim_Reps!E:E)</f>
        <v>EMEA</v>
      </c>
      <c r="S3386" t="str">
        <f>_xlfn.XLOOKUP(Pipeline_tbl[[#This Row],[Created_Date]],Dim_Date!A:A,Dim_Date!H:H)</f>
        <v>Jun 2025</v>
      </c>
      <c r="T3386" t="str">
        <f>IF(Pipeline_tbl[[#This Row],[Closed_Date]]=0,"",(_xlfn.XLOOKUP(Pipeline_tbl[[#This Row],[Closed_Date]],Dim_Date!A:A,Dim_Date!H:H)))</f>
        <v>Jun 2025</v>
      </c>
      <c r="U3386">
        <f>IF(Pipeline_tbl[[#This Row],[Closed_Date]]=0,"",Pipeline_tbl[[#This Row],[Closed_Date]]-Pipeline_tbl[[#This Row],[Created_Date]])</f>
        <v>13</v>
      </c>
    </row>
    <row r="3387" spans="1:21" ht="15" customHeight="1" x14ac:dyDescent="0.2">
      <c r="A3387" t="s">
        <v>3693</v>
      </c>
      <c r="B3387" t="s">
        <v>205</v>
      </c>
      <c r="C3387" t="s">
        <v>53</v>
      </c>
      <c r="D3387" s="49">
        <v>45816</v>
      </c>
      <c r="E3387" s="49">
        <v>45817</v>
      </c>
      <c r="I3387" s="49">
        <v>45830</v>
      </c>
      <c r="J3387" t="s">
        <v>49</v>
      </c>
      <c r="K3387" s="33">
        <v>5900</v>
      </c>
      <c r="L3387" t="s">
        <v>64</v>
      </c>
      <c r="M3387" t="str">
        <f>_xlfn.XLOOKUP(Pipeline_tbl[[#This Row],[Rep_ID]],Dim_Reps!A:A,Dim_Reps!K:K)</f>
        <v>EUR</v>
      </c>
      <c r="N3387" s="33">
        <f>(_xlfn.XLOOKUP(Pipeline_tbl[[#This Row],[Rate_Code_Generalized]],Lookups!A:A,Lookups!B:B))*Pipeline_tbl[[#This Row],[Pipeline_Amount_USD]]</f>
        <v>5900</v>
      </c>
      <c r="O3387" t="str">
        <f>_xlfn.XLOOKUP(Pipeline_tbl[[#This Row],[Rep_ID]],Dim_Reps!A:A,Dim_Reps!B:B)</f>
        <v>Karim Alvarez</v>
      </c>
      <c r="P3387" t="str">
        <f>_xlfn.XLOOKUP(Pipeline_tbl[[#This Row],[Rep_ID]],Dim_Reps!A:A,Dim_Reps!C:C)</f>
        <v>SDR / Inside Sales Rep</v>
      </c>
      <c r="Q3387" t="str">
        <f>_xlfn.XLOOKUP(Pipeline_tbl[[#This Row],[Rep_ID]],Dim_Reps!A:A,Dim_Reps!D:D)</f>
        <v>Inside Sales</v>
      </c>
      <c r="R3387" t="str">
        <f>_xlfn.XLOOKUP(Pipeline_tbl[[#This Row],[Rep_ID]],Dim_Reps!A:A,Dim_Reps!E:E)</f>
        <v>EMEA</v>
      </c>
      <c r="S3387" t="str">
        <f>_xlfn.XLOOKUP(Pipeline_tbl[[#This Row],[Created_Date]],Dim_Date!A:A,Dim_Date!H:H)</f>
        <v>Jun 2025</v>
      </c>
      <c r="T3387" t="str">
        <f>IF(Pipeline_tbl[[#This Row],[Closed_Date]]=0,"",(_xlfn.XLOOKUP(Pipeline_tbl[[#This Row],[Closed_Date]],Dim_Date!A:A,Dim_Date!H:H)))</f>
        <v>Jun 2025</v>
      </c>
      <c r="U3387">
        <f>IF(Pipeline_tbl[[#This Row],[Closed_Date]]=0,"",Pipeline_tbl[[#This Row],[Closed_Date]]-Pipeline_tbl[[#This Row],[Created_Date]])</f>
        <v>14</v>
      </c>
    </row>
    <row r="3388" spans="1:21" ht="15" customHeight="1" x14ac:dyDescent="0.2">
      <c r="A3388" t="s">
        <v>3694</v>
      </c>
      <c r="B3388" t="s">
        <v>207</v>
      </c>
      <c r="C3388" t="s">
        <v>52</v>
      </c>
      <c r="D3388" s="49">
        <v>45813</v>
      </c>
      <c r="E3388" s="49">
        <v>45814</v>
      </c>
      <c r="F3388" s="49">
        <v>45817</v>
      </c>
      <c r="G3388" s="49">
        <v>45821</v>
      </c>
      <c r="H3388" s="49">
        <v>45825</v>
      </c>
      <c r="I3388" s="49">
        <v>45827</v>
      </c>
      <c r="J3388" t="s">
        <v>47</v>
      </c>
      <c r="K3388" s="33">
        <v>3600</v>
      </c>
      <c r="M3388" t="str">
        <f>_xlfn.XLOOKUP(Pipeline_tbl[[#This Row],[Rep_ID]],Dim_Reps!A:A,Dim_Reps!K:K)</f>
        <v>EUR</v>
      </c>
      <c r="N3388" s="33">
        <f>(_xlfn.XLOOKUP(Pipeline_tbl[[#This Row],[Rate_Code_Generalized]],Lookups!A:A,Lookups!B:B))*Pipeline_tbl[[#This Row],[Pipeline_Amount_USD]]</f>
        <v>3600</v>
      </c>
      <c r="O3388" t="str">
        <f>_xlfn.XLOOKUP(Pipeline_tbl[[#This Row],[Rep_ID]],Dim_Reps!A:A,Dim_Reps!B:B)</f>
        <v>Sam Castro</v>
      </c>
      <c r="P3388" t="str">
        <f>_xlfn.XLOOKUP(Pipeline_tbl[[#This Row],[Rep_ID]],Dim_Reps!A:A,Dim_Reps!C:C)</f>
        <v>SDR / Inside Sales Rep</v>
      </c>
      <c r="Q3388" t="str">
        <f>_xlfn.XLOOKUP(Pipeline_tbl[[#This Row],[Rep_ID]],Dim_Reps!A:A,Dim_Reps!D:D)</f>
        <v>Inside Sales</v>
      </c>
      <c r="R3388" t="str">
        <f>_xlfn.XLOOKUP(Pipeline_tbl[[#This Row],[Rep_ID]],Dim_Reps!A:A,Dim_Reps!E:E)</f>
        <v>APAC</v>
      </c>
      <c r="S3388" t="str">
        <f>_xlfn.XLOOKUP(Pipeline_tbl[[#This Row],[Created_Date]],Dim_Date!A:A,Dim_Date!H:H)</f>
        <v>Jun 2025</v>
      </c>
      <c r="T3388" t="str">
        <f>IF(Pipeline_tbl[[#This Row],[Closed_Date]]=0,"",(_xlfn.XLOOKUP(Pipeline_tbl[[#This Row],[Closed_Date]],Dim_Date!A:A,Dim_Date!H:H)))</f>
        <v>Jun 2025</v>
      </c>
      <c r="U3388">
        <f>IF(Pipeline_tbl[[#This Row],[Closed_Date]]=0,"",Pipeline_tbl[[#This Row],[Closed_Date]]-Pipeline_tbl[[#This Row],[Created_Date]])</f>
        <v>14</v>
      </c>
    </row>
    <row r="3389" spans="1:21" ht="15" customHeight="1" x14ac:dyDescent="0.2">
      <c r="A3389" t="s">
        <v>3695</v>
      </c>
      <c r="B3389" t="s">
        <v>207</v>
      </c>
      <c r="C3389" t="s">
        <v>52</v>
      </c>
      <c r="D3389" s="49">
        <v>45817</v>
      </c>
      <c r="E3389" s="49">
        <v>45818</v>
      </c>
      <c r="F3389" s="49">
        <v>45820</v>
      </c>
      <c r="G3389" s="49">
        <v>45824</v>
      </c>
      <c r="I3389" s="49">
        <v>45828</v>
      </c>
      <c r="J3389" t="s">
        <v>49</v>
      </c>
      <c r="K3389" s="33">
        <v>3900</v>
      </c>
      <c r="L3389" t="s">
        <v>60</v>
      </c>
      <c r="M3389" t="str">
        <f>_xlfn.XLOOKUP(Pipeline_tbl[[#This Row],[Rep_ID]],Dim_Reps!A:A,Dim_Reps!K:K)</f>
        <v>EUR</v>
      </c>
      <c r="N3389" s="33">
        <f>(_xlfn.XLOOKUP(Pipeline_tbl[[#This Row],[Rate_Code_Generalized]],Lookups!A:A,Lookups!B:B))*Pipeline_tbl[[#This Row],[Pipeline_Amount_USD]]</f>
        <v>3900</v>
      </c>
      <c r="O3389" t="str">
        <f>_xlfn.XLOOKUP(Pipeline_tbl[[#This Row],[Rep_ID]],Dim_Reps!A:A,Dim_Reps!B:B)</f>
        <v>Sam Castro</v>
      </c>
      <c r="P3389" t="str">
        <f>_xlfn.XLOOKUP(Pipeline_tbl[[#This Row],[Rep_ID]],Dim_Reps!A:A,Dim_Reps!C:C)</f>
        <v>SDR / Inside Sales Rep</v>
      </c>
      <c r="Q3389" t="str">
        <f>_xlfn.XLOOKUP(Pipeline_tbl[[#This Row],[Rep_ID]],Dim_Reps!A:A,Dim_Reps!D:D)</f>
        <v>Inside Sales</v>
      </c>
      <c r="R3389" t="str">
        <f>_xlfn.XLOOKUP(Pipeline_tbl[[#This Row],[Rep_ID]],Dim_Reps!A:A,Dim_Reps!E:E)</f>
        <v>APAC</v>
      </c>
      <c r="S3389" t="str">
        <f>_xlfn.XLOOKUP(Pipeline_tbl[[#This Row],[Created_Date]],Dim_Date!A:A,Dim_Date!H:H)</f>
        <v>Jun 2025</v>
      </c>
      <c r="T3389" t="str">
        <f>IF(Pipeline_tbl[[#This Row],[Closed_Date]]=0,"",(_xlfn.XLOOKUP(Pipeline_tbl[[#This Row],[Closed_Date]],Dim_Date!A:A,Dim_Date!H:H)))</f>
        <v>Jun 2025</v>
      </c>
      <c r="U3389">
        <f>IF(Pipeline_tbl[[#This Row],[Closed_Date]]=0,"",Pipeline_tbl[[#This Row],[Closed_Date]]-Pipeline_tbl[[#This Row],[Created_Date]])</f>
        <v>11</v>
      </c>
    </row>
    <row r="3390" spans="1:21" ht="15" customHeight="1" x14ac:dyDescent="0.2">
      <c r="A3390" t="s">
        <v>3696</v>
      </c>
      <c r="B3390" t="s">
        <v>207</v>
      </c>
      <c r="C3390" t="s">
        <v>52</v>
      </c>
      <c r="D3390" s="49">
        <v>45814</v>
      </c>
      <c r="E3390" s="49">
        <v>45816</v>
      </c>
      <c r="F3390" s="49">
        <v>45819</v>
      </c>
      <c r="G3390" s="49">
        <v>45824</v>
      </c>
      <c r="H3390" s="49">
        <v>45828</v>
      </c>
      <c r="I3390" s="49">
        <v>45830</v>
      </c>
      <c r="J3390" t="s">
        <v>47</v>
      </c>
      <c r="K3390" s="33">
        <v>2500</v>
      </c>
      <c r="M3390" t="str">
        <f>_xlfn.XLOOKUP(Pipeline_tbl[[#This Row],[Rep_ID]],Dim_Reps!A:A,Dim_Reps!K:K)</f>
        <v>EUR</v>
      </c>
      <c r="N3390" s="33">
        <f>(_xlfn.XLOOKUP(Pipeline_tbl[[#This Row],[Rate_Code_Generalized]],Lookups!A:A,Lookups!B:B))*Pipeline_tbl[[#This Row],[Pipeline_Amount_USD]]</f>
        <v>2500</v>
      </c>
      <c r="O3390" t="str">
        <f>_xlfn.XLOOKUP(Pipeline_tbl[[#This Row],[Rep_ID]],Dim_Reps!A:A,Dim_Reps!B:B)</f>
        <v>Sam Castro</v>
      </c>
      <c r="P3390" t="str">
        <f>_xlfn.XLOOKUP(Pipeline_tbl[[#This Row],[Rep_ID]],Dim_Reps!A:A,Dim_Reps!C:C)</f>
        <v>SDR / Inside Sales Rep</v>
      </c>
      <c r="Q3390" t="str">
        <f>_xlfn.XLOOKUP(Pipeline_tbl[[#This Row],[Rep_ID]],Dim_Reps!A:A,Dim_Reps!D:D)</f>
        <v>Inside Sales</v>
      </c>
      <c r="R3390" t="str">
        <f>_xlfn.XLOOKUP(Pipeline_tbl[[#This Row],[Rep_ID]],Dim_Reps!A:A,Dim_Reps!E:E)</f>
        <v>APAC</v>
      </c>
      <c r="S3390" t="str">
        <f>_xlfn.XLOOKUP(Pipeline_tbl[[#This Row],[Created_Date]],Dim_Date!A:A,Dim_Date!H:H)</f>
        <v>Jun 2025</v>
      </c>
      <c r="T3390" t="str">
        <f>IF(Pipeline_tbl[[#This Row],[Closed_Date]]=0,"",(_xlfn.XLOOKUP(Pipeline_tbl[[#This Row],[Closed_Date]],Dim_Date!A:A,Dim_Date!H:H)))</f>
        <v>Jun 2025</v>
      </c>
      <c r="U3390">
        <f>IF(Pipeline_tbl[[#This Row],[Closed_Date]]=0,"",Pipeline_tbl[[#This Row],[Closed_Date]]-Pipeline_tbl[[#This Row],[Created_Date]])</f>
        <v>16</v>
      </c>
    </row>
    <row r="3391" spans="1:21" ht="15" customHeight="1" x14ac:dyDescent="0.2">
      <c r="A3391" t="s">
        <v>3697</v>
      </c>
      <c r="B3391" t="s">
        <v>207</v>
      </c>
      <c r="C3391" t="s">
        <v>52</v>
      </c>
      <c r="D3391" s="49">
        <v>45813</v>
      </c>
      <c r="E3391" s="49">
        <v>45815</v>
      </c>
      <c r="F3391" s="49">
        <v>45818</v>
      </c>
      <c r="G3391" s="49">
        <v>45823</v>
      </c>
      <c r="I3391" s="49">
        <v>45830</v>
      </c>
      <c r="J3391" t="s">
        <v>49</v>
      </c>
      <c r="K3391" s="33">
        <v>3200</v>
      </c>
      <c r="L3391" t="s">
        <v>60</v>
      </c>
      <c r="M3391" t="str">
        <f>_xlfn.XLOOKUP(Pipeline_tbl[[#This Row],[Rep_ID]],Dim_Reps!A:A,Dim_Reps!K:K)</f>
        <v>EUR</v>
      </c>
      <c r="N3391" s="33">
        <f>(_xlfn.XLOOKUP(Pipeline_tbl[[#This Row],[Rate_Code_Generalized]],Lookups!A:A,Lookups!B:B))*Pipeline_tbl[[#This Row],[Pipeline_Amount_USD]]</f>
        <v>3200</v>
      </c>
      <c r="O3391" t="str">
        <f>_xlfn.XLOOKUP(Pipeline_tbl[[#This Row],[Rep_ID]],Dim_Reps!A:A,Dim_Reps!B:B)</f>
        <v>Sam Castro</v>
      </c>
      <c r="P3391" t="str">
        <f>_xlfn.XLOOKUP(Pipeline_tbl[[#This Row],[Rep_ID]],Dim_Reps!A:A,Dim_Reps!C:C)</f>
        <v>SDR / Inside Sales Rep</v>
      </c>
      <c r="Q3391" t="str">
        <f>_xlfn.XLOOKUP(Pipeline_tbl[[#This Row],[Rep_ID]],Dim_Reps!A:A,Dim_Reps!D:D)</f>
        <v>Inside Sales</v>
      </c>
      <c r="R3391" t="str">
        <f>_xlfn.XLOOKUP(Pipeline_tbl[[#This Row],[Rep_ID]],Dim_Reps!A:A,Dim_Reps!E:E)</f>
        <v>APAC</v>
      </c>
      <c r="S3391" t="str">
        <f>_xlfn.XLOOKUP(Pipeline_tbl[[#This Row],[Created_Date]],Dim_Date!A:A,Dim_Date!H:H)</f>
        <v>Jun 2025</v>
      </c>
      <c r="T3391" t="str">
        <f>IF(Pipeline_tbl[[#This Row],[Closed_Date]]=0,"",(_xlfn.XLOOKUP(Pipeline_tbl[[#This Row],[Closed_Date]],Dim_Date!A:A,Dim_Date!H:H)))</f>
        <v>Jun 2025</v>
      </c>
      <c r="U3391">
        <f>IF(Pipeline_tbl[[#This Row],[Closed_Date]]=0,"",Pipeline_tbl[[#This Row],[Closed_Date]]-Pipeline_tbl[[#This Row],[Created_Date]])</f>
        <v>17</v>
      </c>
    </row>
    <row r="3392" spans="1:21" ht="15" customHeight="1" x14ac:dyDescent="0.2">
      <c r="A3392" t="s">
        <v>3698</v>
      </c>
      <c r="B3392" t="s">
        <v>209</v>
      </c>
      <c r="C3392" t="s">
        <v>53</v>
      </c>
      <c r="D3392" s="49">
        <v>45815</v>
      </c>
      <c r="E3392" s="49">
        <v>45817</v>
      </c>
      <c r="F3392" s="49">
        <v>45822</v>
      </c>
      <c r="G3392" s="49">
        <v>45829</v>
      </c>
      <c r="I3392" s="49">
        <v>45838</v>
      </c>
      <c r="J3392" t="s">
        <v>49</v>
      </c>
      <c r="K3392" s="33">
        <v>7100</v>
      </c>
      <c r="L3392" t="s">
        <v>61</v>
      </c>
      <c r="M3392" t="str">
        <f>_xlfn.XLOOKUP(Pipeline_tbl[[#This Row],[Rep_ID]],Dim_Reps!A:A,Dim_Reps!K:K)</f>
        <v>EUR</v>
      </c>
      <c r="N3392" s="33">
        <f>(_xlfn.XLOOKUP(Pipeline_tbl[[#This Row],[Rate_Code_Generalized]],Lookups!A:A,Lookups!B:B))*Pipeline_tbl[[#This Row],[Pipeline_Amount_USD]]</f>
        <v>7100</v>
      </c>
      <c r="O3392" t="str">
        <f>_xlfn.XLOOKUP(Pipeline_tbl[[#This Row],[Rep_ID]],Dim_Reps!A:A,Dim_Reps!B:B)</f>
        <v>Petra Larsen</v>
      </c>
      <c r="P3392" t="str">
        <f>_xlfn.XLOOKUP(Pipeline_tbl[[#This Row],[Rep_ID]],Dim_Reps!A:A,Dim_Reps!C:C)</f>
        <v>SDR / Inside Sales Rep</v>
      </c>
      <c r="Q3392" t="str">
        <f>_xlfn.XLOOKUP(Pipeline_tbl[[#This Row],[Rep_ID]],Dim_Reps!A:A,Dim_Reps!D:D)</f>
        <v>Inside Sales</v>
      </c>
      <c r="R3392" t="str">
        <f>_xlfn.XLOOKUP(Pipeline_tbl[[#This Row],[Rep_ID]],Dim_Reps!A:A,Dim_Reps!E:E)</f>
        <v>EMEA</v>
      </c>
      <c r="S3392" t="str">
        <f>_xlfn.XLOOKUP(Pipeline_tbl[[#This Row],[Created_Date]],Dim_Date!A:A,Dim_Date!H:H)</f>
        <v>Jun 2025</v>
      </c>
      <c r="T3392" t="str">
        <f>IF(Pipeline_tbl[[#This Row],[Closed_Date]]=0,"",(_xlfn.XLOOKUP(Pipeline_tbl[[#This Row],[Closed_Date]],Dim_Date!A:A,Dim_Date!H:H)))</f>
        <v>Jun 2025</v>
      </c>
      <c r="U3392">
        <f>IF(Pipeline_tbl[[#This Row],[Closed_Date]]=0,"",Pipeline_tbl[[#This Row],[Closed_Date]]-Pipeline_tbl[[#This Row],[Created_Date]])</f>
        <v>23</v>
      </c>
    </row>
    <row r="3393" spans="1:21" ht="15" customHeight="1" x14ac:dyDescent="0.2">
      <c r="A3393" t="s">
        <v>3699</v>
      </c>
      <c r="B3393" t="s">
        <v>211</v>
      </c>
      <c r="C3393" t="s">
        <v>54</v>
      </c>
      <c r="D3393" s="49">
        <v>45813</v>
      </c>
      <c r="E3393" s="49">
        <v>45814</v>
      </c>
      <c r="F3393" s="49">
        <v>45816</v>
      </c>
      <c r="G3393" s="49">
        <v>45819</v>
      </c>
      <c r="H3393" s="49">
        <v>45821</v>
      </c>
      <c r="I3393" s="49">
        <v>45823</v>
      </c>
      <c r="J3393" t="s">
        <v>47</v>
      </c>
      <c r="K3393" s="33">
        <v>4500</v>
      </c>
      <c r="M3393" t="str">
        <f>_xlfn.XLOOKUP(Pipeline_tbl[[#This Row],[Rep_ID]],Dim_Reps!A:A,Dim_Reps!K:K)</f>
        <v>EUR</v>
      </c>
      <c r="N3393" s="33">
        <f>(_xlfn.XLOOKUP(Pipeline_tbl[[#This Row],[Rate_Code_Generalized]],Lookups!A:A,Lookups!B:B))*Pipeline_tbl[[#This Row],[Pipeline_Amount_USD]]</f>
        <v>4500</v>
      </c>
      <c r="O3393" t="str">
        <f>_xlfn.XLOOKUP(Pipeline_tbl[[#This Row],[Rep_ID]],Dim_Reps!A:A,Dim_Reps!B:B)</f>
        <v>Lea Weber</v>
      </c>
      <c r="P3393" t="str">
        <f>_xlfn.XLOOKUP(Pipeline_tbl[[#This Row],[Rep_ID]],Dim_Reps!A:A,Dim_Reps!C:C)</f>
        <v>SDR / Inside Sales Rep</v>
      </c>
      <c r="Q3393" t="str">
        <f>_xlfn.XLOOKUP(Pipeline_tbl[[#This Row],[Rep_ID]],Dim_Reps!A:A,Dim_Reps!D:D)</f>
        <v>Inside Sales</v>
      </c>
      <c r="R3393" t="str">
        <f>_xlfn.XLOOKUP(Pipeline_tbl[[#This Row],[Rep_ID]],Dim_Reps!A:A,Dim_Reps!E:E)</f>
        <v>EMEA</v>
      </c>
      <c r="S3393" t="str">
        <f>_xlfn.XLOOKUP(Pipeline_tbl[[#This Row],[Created_Date]],Dim_Date!A:A,Dim_Date!H:H)</f>
        <v>Jun 2025</v>
      </c>
      <c r="T3393" t="str">
        <f>IF(Pipeline_tbl[[#This Row],[Closed_Date]]=0,"",(_xlfn.XLOOKUP(Pipeline_tbl[[#This Row],[Closed_Date]],Dim_Date!A:A,Dim_Date!H:H)))</f>
        <v>Jun 2025</v>
      </c>
      <c r="U3393">
        <f>IF(Pipeline_tbl[[#This Row],[Closed_Date]]=0,"",Pipeline_tbl[[#This Row],[Closed_Date]]-Pipeline_tbl[[#This Row],[Created_Date]])</f>
        <v>10</v>
      </c>
    </row>
    <row r="3394" spans="1:21" ht="15" customHeight="1" x14ac:dyDescent="0.2">
      <c r="A3394" t="s">
        <v>3700</v>
      </c>
      <c r="B3394" t="s">
        <v>211</v>
      </c>
      <c r="C3394" t="s">
        <v>52</v>
      </c>
      <c r="D3394" s="49">
        <v>45813</v>
      </c>
      <c r="E3394" s="49">
        <v>45813</v>
      </c>
      <c r="F3394" s="49">
        <v>45815</v>
      </c>
      <c r="I3394" s="49">
        <v>45818</v>
      </c>
      <c r="J3394" t="s">
        <v>49</v>
      </c>
      <c r="K3394" s="33">
        <v>6200</v>
      </c>
      <c r="L3394" t="s">
        <v>61</v>
      </c>
      <c r="M3394" t="str">
        <f>_xlfn.XLOOKUP(Pipeline_tbl[[#This Row],[Rep_ID]],Dim_Reps!A:A,Dim_Reps!K:K)</f>
        <v>EUR</v>
      </c>
      <c r="N3394" s="33">
        <f>(_xlfn.XLOOKUP(Pipeline_tbl[[#This Row],[Rate_Code_Generalized]],Lookups!A:A,Lookups!B:B))*Pipeline_tbl[[#This Row],[Pipeline_Amount_USD]]</f>
        <v>6200</v>
      </c>
      <c r="O3394" t="str">
        <f>_xlfn.XLOOKUP(Pipeline_tbl[[#This Row],[Rep_ID]],Dim_Reps!A:A,Dim_Reps!B:B)</f>
        <v>Lea Weber</v>
      </c>
      <c r="P3394" t="str">
        <f>_xlfn.XLOOKUP(Pipeline_tbl[[#This Row],[Rep_ID]],Dim_Reps!A:A,Dim_Reps!C:C)</f>
        <v>SDR / Inside Sales Rep</v>
      </c>
      <c r="Q3394" t="str">
        <f>_xlfn.XLOOKUP(Pipeline_tbl[[#This Row],[Rep_ID]],Dim_Reps!A:A,Dim_Reps!D:D)</f>
        <v>Inside Sales</v>
      </c>
      <c r="R3394" t="str">
        <f>_xlfn.XLOOKUP(Pipeline_tbl[[#This Row],[Rep_ID]],Dim_Reps!A:A,Dim_Reps!E:E)</f>
        <v>EMEA</v>
      </c>
      <c r="S3394" t="str">
        <f>_xlfn.XLOOKUP(Pipeline_tbl[[#This Row],[Created_Date]],Dim_Date!A:A,Dim_Date!H:H)</f>
        <v>Jun 2025</v>
      </c>
      <c r="T3394" t="str">
        <f>IF(Pipeline_tbl[[#This Row],[Closed_Date]]=0,"",(_xlfn.XLOOKUP(Pipeline_tbl[[#This Row],[Closed_Date]],Dim_Date!A:A,Dim_Date!H:H)))</f>
        <v>Jun 2025</v>
      </c>
      <c r="U3394">
        <f>IF(Pipeline_tbl[[#This Row],[Closed_Date]]=0,"",Pipeline_tbl[[#This Row],[Closed_Date]]-Pipeline_tbl[[#This Row],[Created_Date]])</f>
        <v>5</v>
      </c>
    </row>
    <row r="3395" spans="1:21" ht="15" customHeight="1" x14ac:dyDescent="0.2">
      <c r="A3395" t="s">
        <v>3701</v>
      </c>
      <c r="B3395" t="s">
        <v>211</v>
      </c>
      <c r="C3395" t="s">
        <v>52</v>
      </c>
      <c r="D3395" s="49">
        <v>45810</v>
      </c>
      <c r="E3395" s="49">
        <v>45812</v>
      </c>
      <c r="F3395" s="49">
        <v>45816</v>
      </c>
      <c r="G3395" s="49">
        <v>45822</v>
      </c>
      <c r="H3395" s="49">
        <v>45827</v>
      </c>
      <c r="I3395" s="49">
        <v>45830</v>
      </c>
      <c r="J3395" t="s">
        <v>47</v>
      </c>
      <c r="K3395" s="33">
        <v>6500</v>
      </c>
      <c r="M3395" t="str">
        <f>_xlfn.XLOOKUP(Pipeline_tbl[[#This Row],[Rep_ID]],Dim_Reps!A:A,Dim_Reps!K:K)</f>
        <v>EUR</v>
      </c>
      <c r="N3395" s="33">
        <f>(_xlfn.XLOOKUP(Pipeline_tbl[[#This Row],[Rate_Code_Generalized]],Lookups!A:A,Lookups!B:B))*Pipeline_tbl[[#This Row],[Pipeline_Amount_USD]]</f>
        <v>6500</v>
      </c>
      <c r="O3395" t="str">
        <f>_xlfn.XLOOKUP(Pipeline_tbl[[#This Row],[Rep_ID]],Dim_Reps!A:A,Dim_Reps!B:B)</f>
        <v>Lea Weber</v>
      </c>
      <c r="P3395" t="str">
        <f>_xlfn.XLOOKUP(Pipeline_tbl[[#This Row],[Rep_ID]],Dim_Reps!A:A,Dim_Reps!C:C)</f>
        <v>SDR / Inside Sales Rep</v>
      </c>
      <c r="Q3395" t="str">
        <f>_xlfn.XLOOKUP(Pipeline_tbl[[#This Row],[Rep_ID]],Dim_Reps!A:A,Dim_Reps!D:D)</f>
        <v>Inside Sales</v>
      </c>
      <c r="R3395" t="str">
        <f>_xlfn.XLOOKUP(Pipeline_tbl[[#This Row],[Rep_ID]],Dim_Reps!A:A,Dim_Reps!E:E)</f>
        <v>EMEA</v>
      </c>
      <c r="S3395" t="str">
        <f>_xlfn.XLOOKUP(Pipeline_tbl[[#This Row],[Created_Date]],Dim_Date!A:A,Dim_Date!H:H)</f>
        <v>Jun 2025</v>
      </c>
      <c r="T3395" t="str">
        <f>IF(Pipeline_tbl[[#This Row],[Closed_Date]]=0,"",(_xlfn.XLOOKUP(Pipeline_tbl[[#This Row],[Closed_Date]],Dim_Date!A:A,Dim_Date!H:H)))</f>
        <v>Jun 2025</v>
      </c>
      <c r="U3395">
        <f>IF(Pipeline_tbl[[#This Row],[Closed_Date]]=0,"",Pipeline_tbl[[#This Row],[Closed_Date]]-Pipeline_tbl[[#This Row],[Created_Date]])</f>
        <v>20</v>
      </c>
    </row>
    <row r="3396" spans="1:21" ht="15" customHeight="1" x14ac:dyDescent="0.2">
      <c r="A3396" t="s">
        <v>3702</v>
      </c>
      <c r="B3396" t="s">
        <v>211</v>
      </c>
      <c r="C3396" t="s">
        <v>54</v>
      </c>
      <c r="D3396" s="49">
        <v>45824</v>
      </c>
      <c r="E3396" s="49">
        <v>45824</v>
      </c>
      <c r="F3396" s="49">
        <v>45826</v>
      </c>
      <c r="G3396" s="49">
        <v>45827</v>
      </c>
      <c r="H3396" s="49">
        <v>45828</v>
      </c>
      <c r="I3396" s="49">
        <v>45829</v>
      </c>
      <c r="J3396" t="s">
        <v>47</v>
      </c>
      <c r="K3396" s="33">
        <v>4200</v>
      </c>
      <c r="M3396" t="str">
        <f>_xlfn.XLOOKUP(Pipeline_tbl[[#This Row],[Rep_ID]],Dim_Reps!A:A,Dim_Reps!K:K)</f>
        <v>EUR</v>
      </c>
      <c r="N3396" s="33">
        <f>(_xlfn.XLOOKUP(Pipeline_tbl[[#This Row],[Rate_Code_Generalized]],Lookups!A:A,Lookups!B:B))*Pipeline_tbl[[#This Row],[Pipeline_Amount_USD]]</f>
        <v>4200</v>
      </c>
      <c r="O3396" t="str">
        <f>_xlfn.XLOOKUP(Pipeline_tbl[[#This Row],[Rep_ID]],Dim_Reps!A:A,Dim_Reps!B:B)</f>
        <v>Lea Weber</v>
      </c>
      <c r="P3396" t="str">
        <f>_xlfn.XLOOKUP(Pipeline_tbl[[#This Row],[Rep_ID]],Dim_Reps!A:A,Dim_Reps!C:C)</f>
        <v>SDR / Inside Sales Rep</v>
      </c>
      <c r="Q3396" t="str">
        <f>_xlfn.XLOOKUP(Pipeline_tbl[[#This Row],[Rep_ID]],Dim_Reps!A:A,Dim_Reps!D:D)</f>
        <v>Inside Sales</v>
      </c>
      <c r="R3396" t="str">
        <f>_xlfn.XLOOKUP(Pipeline_tbl[[#This Row],[Rep_ID]],Dim_Reps!A:A,Dim_Reps!E:E)</f>
        <v>EMEA</v>
      </c>
      <c r="S3396" t="str">
        <f>_xlfn.XLOOKUP(Pipeline_tbl[[#This Row],[Created_Date]],Dim_Date!A:A,Dim_Date!H:H)</f>
        <v>Jun 2025</v>
      </c>
      <c r="T3396" t="str">
        <f>IF(Pipeline_tbl[[#This Row],[Closed_Date]]=0,"",(_xlfn.XLOOKUP(Pipeline_tbl[[#This Row],[Closed_Date]],Dim_Date!A:A,Dim_Date!H:H)))</f>
        <v>Jun 2025</v>
      </c>
      <c r="U3396">
        <f>IF(Pipeline_tbl[[#This Row],[Closed_Date]]=0,"",Pipeline_tbl[[#This Row],[Closed_Date]]-Pipeline_tbl[[#This Row],[Created_Date]])</f>
        <v>5</v>
      </c>
    </row>
    <row r="3397" spans="1:21" ht="15" customHeight="1" x14ac:dyDescent="0.2">
      <c r="A3397" t="s">
        <v>3703</v>
      </c>
      <c r="B3397" t="s">
        <v>213</v>
      </c>
      <c r="C3397" t="s">
        <v>56</v>
      </c>
      <c r="D3397" s="49">
        <v>45826</v>
      </c>
      <c r="E3397" s="49">
        <v>45827</v>
      </c>
      <c r="I3397" s="49">
        <v>45836</v>
      </c>
      <c r="J3397" t="s">
        <v>49</v>
      </c>
      <c r="K3397" s="33">
        <v>2000</v>
      </c>
      <c r="L3397" t="s">
        <v>61</v>
      </c>
      <c r="M3397" t="str">
        <f>_xlfn.XLOOKUP(Pipeline_tbl[[#This Row],[Rep_ID]],Dim_Reps!A:A,Dim_Reps!K:K)</f>
        <v>EUR</v>
      </c>
      <c r="N3397" s="33">
        <f>(_xlfn.XLOOKUP(Pipeline_tbl[[#This Row],[Rate_Code_Generalized]],Lookups!A:A,Lookups!B:B))*Pipeline_tbl[[#This Row],[Pipeline_Amount_USD]]</f>
        <v>2000</v>
      </c>
      <c r="O3397" t="str">
        <f>_xlfn.XLOOKUP(Pipeline_tbl[[#This Row],[Rep_ID]],Dim_Reps!A:A,Dim_Reps!B:B)</f>
        <v>Jamie Silva</v>
      </c>
      <c r="P3397" t="str">
        <f>_xlfn.XLOOKUP(Pipeline_tbl[[#This Row],[Rep_ID]],Dim_Reps!A:A,Dim_Reps!C:C)</f>
        <v>SDR / Inside Sales Rep</v>
      </c>
      <c r="Q3397" t="str">
        <f>_xlfn.XLOOKUP(Pipeline_tbl[[#This Row],[Rep_ID]],Dim_Reps!A:A,Dim_Reps!D:D)</f>
        <v>Inside Sales</v>
      </c>
      <c r="R3397" t="str">
        <f>_xlfn.XLOOKUP(Pipeline_tbl[[#This Row],[Rep_ID]],Dim_Reps!A:A,Dim_Reps!E:E)</f>
        <v>EMEA</v>
      </c>
      <c r="S3397" t="str">
        <f>_xlfn.XLOOKUP(Pipeline_tbl[[#This Row],[Created_Date]],Dim_Date!A:A,Dim_Date!H:H)</f>
        <v>Jun 2025</v>
      </c>
      <c r="T3397" t="str">
        <f>IF(Pipeline_tbl[[#This Row],[Closed_Date]]=0,"",(_xlfn.XLOOKUP(Pipeline_tbl[[#This Row],[Closed_Date]],Dim_Date!A:A,Dim_Date!H:H)))</f>
        <v>Jun 2025</v>
      </c>
      <c r="U3397">
        <f>IF(Pipeline_tbl[[#This Row],[Closed_Date]]=0,"",Pipeline_tbl[[#This Row],[Closed_Date]]-Pipeline_tbl[[#This Row],[Created_Date]])</f>
        <v>10</v>
      </c>
    </row>
    <row r="3398" spans="1:21" ht="15" customHeight="1" x14ac:dyDescent="0.2">
      <c r="A3398" t="s">
        <v>3704</v>
      </c>
      <c r="B3398" t="s">
        <v>213</v>
      </c>
      <c r="C3398" t="s">
        <v>53</v>
      </c>
      <c r="D3398" s="49">
        <v>45819</v>
      </c>
      <c r="E3398" s="49">
        <v>45821</v>
      </c>
      <c r="F3398" s="49">
        <v>45824</v>
      </c>
      <c r="G3398" s="49">
        <v>45830</v>
      </c>
      <c r="H3398" s="49">
        <v>45834</v>
      </c>
      <c r="I3398" s="49">
        <v>45837</v>
      </c>
      <c r="J3398" t="s">
        <v>47</v>
      </c>
      <c r="K3398" s="33">
        <v>2200</v>
      </c>
      <c r="M3398" t="str">
        <f>_xlfn.XLOOKUP(Pipeline_tbl[[#This Row],[Rep_ID]],Dim_Reps!A:A,Dim_Reps!K:K)</f>
        <v>EUR</v>
      </c>
      <c r="N3398" s="33">
        <f>(_xlfn.XLOOKUP(Pipeline_tbl[[#This Row],[Rate_Code_Generalized]],Lookups!A:A,Lookups!B:B))*Pipeline_tbl[[#This Row],[Pipeline_Amount_USD]]</f>
        <v>2200</v>
      </c>
      <c r="O3398" t="str">
        <f>_xlfn.XLOOKUP(Pipeline_tbl[[#This Row],[Rep_ID]],Dim_Reps!A:A,Dim_Reps!B:B)</f>
        <v>Jamie Silva</v>
      </c>
      <c r="P3398" t="str">
        <f>_xlfn.XLOOKUP(Pipeline_tbl[[#This Row],[Rep_ID]],Dim_Reps!A:A,Dim_Reps!C:C)</f>
        <v>SDR / Inside Sales Rep</v>
      </c>
      <c r="Q3398" t="str">
        <f>_xlfn.XLOOKUP(Pipeline_tbl[[#This Row],[Rep_ID]],Dim_Reps!A:A,Dim_Reps!D:D)</f>
        <v>Inside Sales</v>
      </c>
      <c r="R3398" t="str">
        <f>_xlfn.XLOOKUP(Pipeline_tbl[[#This Row],[Rep_ID]],Dim_Reps!A:A,Dim_Reps!E:E)</f>
        <v>EMEA</v>
      </c>
      <c r="S3398" t="str">
        <f>_xlfn.XLOOKUP(Pipeline_tbl[[#This Row],[Created_Date]],Dim_Date!A:A,Dim_Date!H:H)</f>
        <v>Jun 2025</v>
      </c>
      <c r="T3398" t="str">
        <f>IF(Pipeline_tbl[[#This Row],[Closed_Date]]=0,"",(_xlfn.XLOOKUP(Pipeline_tbl[[#This Row],[Closed_Date]],Dim_Date!A:A,Dim_Date!H:H)))</f>
        <v>Jun 2025</v>
      </c>
      <c r="U3398">
        <f>IF(Pipeline_tbl[[#This Row],[Closed_Date]]=0,"",Pipeline_tbl[[#This Row],[Closed_Date]]-Pipeline_tbl[[#This Row],[Created_Date]])</f>
        <v>18</v>
      </c>
    </row>
    <row r="3399" spans="1:21" ht="15" customHeight="1" x14ac:dyDescent="0.2">
      <c r="A3399" t="s">
        <v>3705</v>
      </c>
      <c r="B3399" t="s">
        <v>213</v>
      </c>
      <c r="C3399" t="s">
        <v>54</v>
      </c>
      <c r="D3399" s="49">
        <v>45812</v>
      </c>
      <c r="E3399" s="49">
        <v>45814</v>
      </c>
      <c r="F3399" s="49">
        <v>45817</v>
      </c>
      <c r="G3399" s="49">
        <v>45823</v>
      </c>
      <c r="H3399" s="49">
        <v>45827</v>
      </c>
      <c r="I3399" s="49">
        <v>45830</v>
      </c>
      <c r="J3399" t="s">
        <v>47</v>
      </c>
      <c r="K3399" s="33">
        <v>4100</v>
      </c>
      <c r="M3399" t="str">
        <f>_xlfn.XLOOKUP(Pipeline_tbl[[#This Row],[Rep_ID]],Dim_Reps!A:A,Dim_Reps!K:K)</f>
        <v>EUR</v>
      </c>
      <c r="N3399" s="33">
        <f>(_xlfn.XLOOKUP(Pipeline_tbl[[#This Row],[Rate_Code_Generalized]],Lookups!A:A,Lookups!B:B))*Pipeline_tbl[[#This Row],[Pipeline_Amount_USD]]</f>
        <v>4100</v>
      </c>
      <c r="O3399" t="str">
        <f>_xlfn.XLOOKUP(Pipeline_tbl[[#This Row],[Rep_ID]],Dim_Reps!A:A,Dim_Reps!B:B)</f>
        <v>Jamie Silva</v>
      </c>
      <c r="P3399" t="str">
        <f>_xlfn.XLOOKUP(Pipeline_tbl[[#This Row],[Rep_ID]],Dim_Reps!A:A,Dim_Reps!C:C)</f>
        <v>SDR / Inside Sales Rep</v>
      </c>
      <c r="Q3399" t="str">
        <f>_xlfn.XLOOKUP(Pipeline_tbl[[#This Row],[Rep_ID]],Dim_Reps!A:A,Dim_Reps!D:D)</f>
        <v>Inside Sales</v>
      </c>
      <c r="R3399" t="str">
        <f>_xlfn.XLOOKUP(Pipeline_tbl[[#This Row],[Rep_ID]],Dim_Reps!A:A,Dim_Reps!E:E)</f>
        <v>EMEA</v>
      </c>
      <c r="S3399" t="str">
        <f>_xlfn.XLOOKUP(Pipeline_tbl[[#This Row],[Created_Date]],Dim_Date!A:A,Dim_Date!H:H)</f>
        <v>Jun 2025</v>
      </c>
      <c r="T3399" t="str">
        <f>IF(Pipeline_tbl[[#This Row],[Closed_Date]]=0,"",(_xlfn.XLOOKUP(Pipeline_tbl[[#This Row],[Closed_Date]],Dim_Date!A:A,Dim_Date!H:H)))</f>
        <v>Jun 2025</v>
      </c>
      <c r="U3399">
        <f>IF(Pipeline_tbl[[#This Row],[Closed_Date]]=0,"",Pipeline_tbl[[#This Row],[Closed_Date]]-Pipeline_tbl[[#This Row],[Created_Date]])</f>
        <v>18</v>
      </c>
    </row>
    <row r="3400" spans="1:21" ht="15" customHeight="1" x14ac:dyDescent="0.2">
      <c r="A3400" t="s">
        <v>3706</v>
      </c>
      <c r="B3400" t="s">
        <v>213</v>
      </c>
      <c r="C3400" t="s">
        <v>53</v>
      </c>
      <c r="D3400" s="49">
        <v>45811</v>
      </c>
      <c r="E3400" s="49">
        <v>45813</v>
      </c>
      <c r="F3400" s="49">
        <v>45816</v>
      </c>
      <c r="G3400" s="49">
        <v>45820</v>
      </c>
      <c r="H3400" s="49">
        <v>45824</v>
      </c>
      <c r="I3400" s="49">
        <v>45826</v>
      </c>
      <c r="J3400" t="s">
        <v>47</v>
      </c>
      <c r="K3400" s="33">
        <v>5400</v>
      </c>
      <c r="M3400" t="str">
        <f>_xlfn.XLOOKUP(Pipeline_tbl[[#This Row],[Rep_ID]],Dim_Reps!A:A,Dim_Reps!K:K)</f>
        <v>EUR</v>
      </c>
      <c r="N3400" s="33">
        <f>(_xlfn.XLOOKUP(Pipeline_tbl[[#This Row],[Rate_Code_Generalized]],Lookups!A:A,Lookups!B:B))*Pipeline_tbl[[#This Row],[Pipeline_Amount_USD]]</f>
        <v>5400</v>
      </c>
      <c r="O3400" t="str">
        <f>_xlfn.XLOOKUP(Pipeline_tbl[[#This Row],[Rep_ID]],Dim_Reps!A:A,Dim_Reps!B:B)</f>
        <v>Jamie Silva</v>
      </c>
      <c r="P3400" t="str">
        <f>_xlfn.XLOOKUP(Pipeline_tbl[[#This Row],[Rep_ID]],Dim_Reps!A:A,Dim_Reps!C:C)</f>
        <v>SDR / Inside Sales Rep</v>
      </c>
      <c r="Q3400" t="str">
        <f>_xlfn.XLOOKUP(Pipeline_tbl[[#This Row],[Rep_ID]],Dim_Reps!A:A,Dim_Reps!D:D)</f>
        <v>Inside Sales</v>
      </c>
      <c r="R3400" t="str">
        <f>_xlfn.XLOOKUP(Pipeline_tbl[[#This Row],[Rep_ID]],Dim_Reps!A:A,Dim_Reps!E:E)</f>
        <v>EMEA</v>
      </c>
      <c r="S3400" t="str">
        <f>_xlfn.XLOOKUP(Pipeline_tbl[[#This Row],[Created_Date]],Dim_Date!A:A,Dim_Date!H:H)</f>
        <v>Jun 2025</v>
      </c>
      <c r="T3400" t="str">
        <f>IF(Pipeline_tbl[[#This Row],[Closed_Date]]=0,"",(_xlfn.XLOOKUP(Pipeline_tbl[[#This Row],[Closed_Date]],Dim_Date!A:A,Dim_Date!H:H)))</f>
        <v>Jun 2025</v>
      </c>
      <c r="U3400">
        <f>IF(Pipeline_tbl[[#This Row],[Closed_Date]]=0,"",Pipeline_tbl[[#This Row],[Closed_Date]]-Pipeline_tbl[[#This Row],[Created_Date]])</f>
        <v>15</v>
      </c>
    </row>
    <row r="3401" spans="1:21" ht="15" customHeight="1" x14ac:dyDescent="0.2">
      <c r="A3401" t="s">
        <v>3707</v>
      </c>
      <c r="B3401" t="s">
        <v>213</v>
      </c>
      <c r="C3401" t="s">
        <v>54</v>
      </c>
      <c r="D3401" s="49">
        <v>45818</v>
      </c>
      <c r="E3401" s="49">
        <v>45819</v>
      </c>
      <c r="F3401" s="49">
        <v>45820</v>
      </c>
      <c r="G3401" s="49">
        <v>45823</v>
      </c>
      <c r="H3401" s="49">
        <v>45825</v>
      </c>
      <c r="I3401" s="49">
        <v>45826</v>
      </c>
      <c r="J3401" t="s">
        <v>47</v>
      </c>
      <c r="K3401" s="33">
        <v>1700</v>
      </c>
      <c r="M3401" t="str">
        <f>_xlfn.XLOOKUP(Pipeline_tbl[[#This Row],[Rep_ID]],Dim_Reps!A:A,Dim_Reps!K:K)</f>
        <v>EUR</v>
      </c>
      <c r="N3401" s="33">
        <f>(_xlfn.XLOOKUP(Pipeline_tbl[[#This Row],[Rate_Code_Generalized]],Lookups!A:A,Lookups!B:B))*Pipeline_tbl[[#This Row],[Pipeline_Amount_USD]]</f>
        <v>1700</v>
      </c>
      <c r="O3401" t="str">
        <f>_xlfn.XLOOKUP(Pipeline_tbl[[#This Row],[Rep_ID]],Dim_Reps!A:A,Dim_Reps!B:B)</f>
        <v>Jamie Silva</v>
      </c>
      <c r="P3401" t="str">
        <f>_xlfn.XLOOKUP(Pipeline_tbl[[#This Row],[Rep_ID]],Dim_Reps!A:A,Dim_Reps!C:C)</f>
        <v>SDR / Inside Sales Rep</v>
      </c>
      <c r="Q3401" t="str">
        <f>_xlfn.XLOOKUP(Pipeline_tbl[[#This Row],[Rep_ID]],Dim_Reps!A:A,Dim_Reps!D:D)</f>
        <v>Inside Sales</v>
      </c>
      <c r="R3401" t="str">
        <f>_xlfn.XLOOKUP(Pipeline_tbl[[#This Row],[Rep_ID]],Dim_Reps!A:A,Dim_Reps!E:E)</f>
        <v>EMEA</v>
      </c>
      <c r="S3401" t="str">
        <f>_xlfn.XLOOKUP(Pipeline_tbl[[#This Row],[Created_Date]],Dim_Date!A:A,Dim_Date!H:H)</f>
        <v>Jun 2025</v>
      </c>
      <c r="T3401" t="str">
        <f>IF(Pipeline_tbl[[#This Row],[Closed_Date]]=0,"",(_xlfn.XLOOKUP(Pipeline_tbl[[#This Row],[Closed_Date]],Dim_Date!A:A,Dim_Date!H:H)))</f>
        <v>Jun 2025</v>
      </c>
      <c r="U3401">
        <f>IF(Pipeline_tbl[[#This Row],[Closed_Date]]=0,"",Pipeline_tbl[[#This Row],[Closed_Date]]-Pipeline_tbl[[#This Row],[Created_Date]])</f>
        <v>8</v>
      </c>
    </row>
    <row r="3402" spans="1:21" ht="15" customHeight="1" x14ac:dyDescent="0.2">
      <c r="A3402" t="s">
        <v>3708</v>
      </c>
      <c r="B3402" t="s">
        <v>215</v>
      </c>
      <c r="C3402" t="s">
        <v>56</v>
      </c>
      <c r="D3402" s="49">
        <v>45818</v>
      </c>
      <c r="E3402" s="49">
        <v>45820</v>
      </c>
      <c r="I3402" s="49">
        <v>45833</v>
      </c>
      <c r="J3402" t="s">
        <v>49</v>
      </c>
      <c r="K3402" s="33">
        <v>4100</v>
      </c>
      <c r="L3402" t="s">
        <v>62</v>
      </c>
      <c r="M3402" t="str">
        <f>_xlfn.XLOOKUP(Pipeline_tbl[[#This Row],[Rep_ID]],Dim_Reps!A:A,Dim_Reps!K:K)</f>
        <v>EUR</v>
      </c>
      <c r="N3402" s="33">
        <f>(_xlfn.XLOOKUP(Pipeline_tbl[[#This Row],[Rate_Code_Generalized]],Lookups!A:A,Lookups!B:B))*Pipeline_tbl[[#This Row],[Pipeline_Amount_USD]]</f>
        <v>4100</v>
      </c>
      <c r="O3402" t="str">
        <f>_xlfn.XLOOKUP(Pipeline_tbl[[#This Row],[Rep_ID]],Dim_Reps!A:A,Dim_Reps!B:B)</f>
        <v>Jamie Schmidt</v>
      </c>
      <c r="P3402" t="str">
        <f>_xlfn.XLOOKUP(Pipeline_tbl[[#This Row],[Rep_ID]],Dim_Reps!A:A,Dim_Reps!C:C)</f>
        <v>SDR / Inside Sales Rep</v>
      </c>
      <c r="Q3402" t="str">
        <f>_xlfn.XLOOKUP(Pipeline_tbl[[#This Row],[Rep_ID]],Dim_Reps!A:A,Dim_Reps!D:D)</f>
        <v>Inside Sales</v>
      </c>
      <c r="R3402" t="str">
        <f>_xlfn.XLOOKUP(Pipeline_tbl[[#This Row],[Rep_ID]],Dim_Reps!A:A,Dim_Reps!E:E)</f>
        <v>APAC</v>
      </c>
      <c r="S3402" t="str">
        <f>_xlfn.XLOOKUP(Pipeline_tbl[[#This Row],[Created_Date]],Dim_Date!A:A,Dim_Date!H:H)</f>
        <v>Jun 2025</v>
      </c>
      <c r="T3402" t="str">
        <f>IF(Pipeline_tbl[[#This Row],[Closed_Date]]=0,"",(_xlfn.XLOOKUP(Pipeline_tbl[[#This Row],[Closed_Date]],Dim_Date!A:A,Dim_Date!H:H)))</f>
        <v>Jun 2025</v>
      </c>
      <c r="U3402">
        <f>IF(Pipeline_tbl[[#This Row],[Closed_Date]]=0,"",Pipeline_tbl[[#This Row],[Closed_Date]]-Pipeline_tbl[[#This Row],[Created_Date]])</f>
        <v>15</v>
      </c>
    </row>
    <row r="3403" spans="1:21" ht="15" customHeight="1" x14ac:dyDescent="0.2">
      <c r="A3403" t="s">
        <v>3709</v>
      </c>
      <c r="B3403" t="s">
        <v>215</v>
      </c>
      <c r="C3403" t="s">
        <v>55</v>
      </c>
      <c r="D3403" s="49">
        <v>45811</v>
      </c>
      <c r="E3403" s="49">
        <v>45813</v>
      </c>
      <c r="F3403" s="49">
        <v>45817</v>
      </c>
      <c r="G3403" s="49">
        <v>45823</v>
      </c>
      <c r="H3403" s="49">
        <v>45828</v>
      </c>
      <c r="I3403" s="49">
        <v>45831</v>
      </c>
      <c r="J3403" t="s">
        <v>47</v>
      </c>
      <c r="K3403" s="33">
        <v>6900</v>
      </c>
      <c r="M3403" t="str">
        <f>_xlfn.XLOOKUP(Pipeline_tbl[[#This Row],[Rep_ID]],Dim_Reps!A:A,Dim_Reps!K:K)</f>
        <v>EUR</v>
      </c>
      <c r="N3403" s="33">
        <f>(_xlfn.XLOOKUP(Pipeline_tbl[[#This Row],[Rate_Code_Generalized]],Lookups!A:A,Lookups!B:B))*Pipeline_tbl[[#This Row],[Pipeline_Amount_USD]]</f>
        <v>6900</v>
      </c>
      <c r="O3403" t="str">
        <f>_xlfn.XLOOKUP(Pipeline_tbl[[#This Row],[Rep_ID]],Dim_Reps!A:A,Dim_Reps!B:B)</f>
        <v>Jamie Schmidt</v>
      </c>
      <c r="P3403" t="str">
        <f>_xlfn.XLOOKUP(Pipeline_tbl[[#This Row],[Rep_ID]],Dim_Reps!A:A,Dim_Reps!C:C)</f>
        <v>SDR / Inside Sales Rep</v>
      </c>
      <c r="Q3403" t="str">
        <f>_xlfn.XLOOKUP(Pipeline_tbl[[#This Row],[Rep_ID]],Dim_Reps!A:A,Dim_Reps!D:D)</f>
        <v>Inside Sales</v>
      </c>
      <c r="R3403" t="str">
        <f>_xlfn.XLOOKUP(Pipeline_tbl[[#This Row],[Rep_ID]],Dim_Reps!A:A,Dim_Reps!E:E)</f>
        <v>APAC</v>
      </c>
      <c r="S3403" t="str">
        <f>_xlfn.XLOOKUP(Pipeline_tbl[[#This Row],[Created_Date]],Dim_Date!A:A,Dim_Date!H:H)</f>
        <v>Jun 2025</v>
      </c>
      <c r="T3403" t="str">
        <f>IF(Pipeline_tbl[[#This Row],[Closed_Date]]=0,"",(_xlfn.XLOOKUP(Pipeline_tbl[[#This Row],[Closed_Date]],Dim_Date!A:A,Dim_Date!H:H)))</f>
        <v>Jun 2025</v>
      </c>
      <c r="U3403">
        <f>IF(Pipeline_tbl[[#This Row],[Closed_Date]]=0,"",Pipeline_tbl[[#This Row],[Closed_Date]]-Pipeline_tbl[[#This Row],[Created_Date]])</f>
        <v>20</v>
      </c>
    </row>
    <row r="3404" spans="1:21" ht="15" customHeight="1" x14ac:dyDescent="0.2">
      <c r="A3404" t="s">
        <v>3710</v>
      </c>
      <c r="B3404" t="s">
        <v>215</v>
      </c>
      <c r="C3404" t="s">
        <v>55</v>
      </c>
      <c r="D3404" s="49">
        <v>45810</v>
      </c>
      <c r="E3404" s="49">
        <v>45812</v>
      </c>
      <c r="F3404" s="49">
        <v>45818</v>
      </c>
      <c r="G3404" s="49">
        <v>45825</v>
      </c>
      <c r="H3404" s="49">
        <v>45831</v>
      </c>
      <c r="I3404" s="49">
        <v>45835</v>
      </c>
      <c r="J3404" t="s">
        <v>47</v>
      </c>
      <c r="K3404" s="33">
        <v>1700</v>
      </c>
      <c r="M3404" t="str">
        <f>_xlfn.XLOOKUP(Pipeline_tbl[[#This Row],[Rep_ID]],Dim_Reps!A:A,Dim_Reps!K:K)</f>
        <v>EUR</v>
      </c>
      <c r="N3404" s="33">
        <f>(_xlfn.XLOOKUP(Pipeline_tbl[[#This Row],[Rate_Code_Generalized]],Lookups!A:A,Lookups!B:B))*Pipeline_tbl[[#This Row],[Pipeline_Amount_USD]]</f>
        <v>1700</v>
      </c>
      <c r="O3404" t="str">
        <f>_xlfn.XLOOKUP(Pipeline_tbl[[#This Row],[Rep_ID]],Dim_Reps!A:A,Dim_Reps!B:B)</f>
        <v>Jamie Schmidt</v>
      </c>
      <c r="P3404" t="str">
        <f>_xlfn.XLOOKUP(Pipeline_tbl[[#This Row],[Rep_ID]],Dim_Reps!A:A,Dim_Reps!C:C)</f>
        <v>SDR / Inside Sales Rep</v>
      </c>
      <c r="Q3404" t="str">
        <f>_xlfn.XLOOKUP(Pipeline_tbl[[#This Row],[Rep_ID]],Dim_Reps!A:A,Dim_Reps!D:D)</f>
        <v>Inside Sales</v>
      </c>
      <c r="R3404" t="str">
        <f>_xlfn.XLOOKUP(Pipeline_tbl[[#This Row],[Rep_ID]],Dim_Reps!A:A,Dim_Reps!E:E)</f>
        <v>APAC</v>
      </c>
      <c r="S3404" t="str">
        <f>_xlfn.XLOOKUP(Pipeline_tbl[[#This Row],[Created_Date]],Dim_Date!A:A,Dim_Date!H:H)</f>
        <v>Jun 2025</v>
      </c>
      <c r="T3404" t="str">
        <f>IF(Pipeline_tbl[[#This Row],[Closed_Date]]=0,"",(_xlfn.XLOOKUP(Pipeline_tbl[[#This Row],[Closed_Date]],Dim_Date!A:A,Dim_Date!H:H)))</f>
        <v>Jun 2025</v>
      </c>
      <c r="U3404">
        <f>IF(Pipeline_tbl[[#This Row],[Closed_Date]]=0,"",Pipeline_tbl[[#This Row],[Closed_Date]]-Pipeline_tbl[[#This Row],[Created_Date]])</f>
        <v>25</v>
      </c>
    </row>
    <row r="3405" spans="1:21" ht="15" customHeight="1" x14ac:dyDescent="0.2">
      <c r="A3405" t="s">
        <v>3711</v>
      </c>
      <c r="B3405" t="s">
        <v>215</v>
      </c>
      <c r="C3405" t="s">
        <v>54</v>
      </c>
      <c r="D3405" s="49">
        <v>45814</v>
      </c>
      <c r="E3405" s="49">
        <v>45815</v>
      </c>
      <c r="F3405" s="49">
        <v>45816</v>
      </c>
      <c r="G3405" s="49">
        <v>45818</v>
      </c>
      <c r="H3405" s="49">
        <v>45820</v>
      </c>
      <c r="I3405" s="49">
        <v>45821</v>
      </c>
      <c r="J3405" t="s">
        <v>49</v>
      </c>
      <c r="K3405" s="33">
        <v>3000</v>
      </c>
      <c r="L3405" t="s">
        <v>64</v>
      </c>
      <c r="M3405" t="str">
        <f>_xlfn.XLOOKUP(Pipeline_tbl[[#This Row],[Rep_ID]],Dim_Reps!A:A,Dim_Reps!K:K)</f>
        <v>EUR</v>
      </c>
      <c r="N3405" s="33">
        <f>(_xlfn.XLOOKUP(Pipeline_tbl[[#This Row],[Rate_Code_Generalized]],Lookups!A:A,Lookups!B:B))*Pipeline_tbl[[#This Row],[Pipeline_Amount_USD]]</f>
        <v>3000</v>
      </c>
      <c r="O3405" t="str">
        <f>_xlfn.XLOOKUP(Pipeline_tbl[[#This Row],[Rep_ID]],Dim_Reps!A:A,Dim_Reps!B:B)</f>
        <v>Jamie Schmidt</v>
      </c>
      <c r="P3405" t="str">
        <f>_xlfn.XLOOKUP(Pipeline_tbl[[#This Row],[Rep_ID]],Dim_Reps!A:A,Dim_Reps!C:C)</f>
        <v>SDR / Inside Sales Rep</v>
      </c>
      <c r="Q3405" t="str">
        <f>_xlfn.XLOOKUP(Pipeline_tbl[[#This Row],[Rep_ID]],Dim_Reps!A:A,Dim_Reps!D:D)</f>
        <v>Inside Sales</v>
      </c>
      <c r="R3405" t="str">
        <f>_xlfn.XLOOKUP(Pipeline_tbl[[#This Row],[Rep_ID]],Dim_Reps!A:A,Dim_Reps!E:E)</f>
        <v>APAC</v>
      </c>
      <c r="S3405" t="str">
        <f>_xlfn.XLOOKUP(Pipeline_tbl[[#This Row],[Created_Date]],Dim_Date!A:A,Dim_Date!H:H)</f>
        <v>Jun 2025</v>
      </c>
      <c r="T3405" t="str">
        <f>IF(Pipeline_tbl[[#This Row],[Closed_Date]]=0,"",(_xlfn.XLOOKUP(Pipeline_tbl[[#This Row],[Closed_Date]],Dim_Date!A:A,Dim_Date!H:H)))</f>
        <v>Jun 2025</v>
      </c>
      <c r="U3405">
        <f>IF(Pipeline_tbl[[#This Row],[Closed_Date]]=0,"",Pipeline_tbl[[#This Row],[Closed_Date]]-Pipeline_tbl[[#This Row],[Created_Date]])</f>
        <v>7</v>
      </c>
    </row>
    <row r="3406" spans="1:21" ht="15" customHeight="1" x14ac:dyDescent="0.2">
      <c r="A3406" t="s">
        <v>3712</v>
      </c>
      <c r="B3406" t="s">
        <v>217</v>
      </c>
      <c r="C3406" t="s">
        <v>52</v>
      </c>
      <c r="D3406" s="49">
        <v>45824</v>
      </c>
      <c r="E3406" s="49">
        <v>45825</v>
      </c>
      <c r="F3406" s="49">
        <v>45828</v>
      </c>
      <c r="G3406" s="49">
        <v>45832</v>
      </c>
      <c r="H3406" s="49">
        <v>45836</v>
      </c>
      <c r="I3406" s="49">
        <v>45838</v>
      </c>
      <c r="J3406" t="s">
        <v>49</v>
      </c>
      <c r="K3406" s="33">
        <v>2000</v>
      </c>
      <c r="L3406" t="s">
        <v>61</v>
      </c>
      <c r="M3406" t="str">
        <f>_xlfn.XLOOKUP(Pipeline_tbl[[#This Row],[Rep_ID]],Dim_Reps!A:A,Dim_Reps!K:K)</f>
        <v>USD</v>
      </c>
      <c r="N3406" s="33">
        <f>(_xlfn.XLOOKUP(Pipeline_tbl[[#This Row],[Rate_Code_Generalized]],Lookups!A:A,Lookups!B:B))*Pipeline_tbl[[#This Row],[Pipeline_Amount_USD]]</f>
        <v>2328.6</v>
      </c>
      <c r="O3406" t="str">
        <f>_xlfn.XLOOKUP(Pipeline_tbl[[#This Row],[Rep_ID]],Dim_Reps!A:A,Dim_Reps!B:B)</f>
        <v>Priya Weber</v>
      </c>
      <c r="P3406" t="str">
        <f>_xlfn.XLOOKUP(Pipeline_tbl[[#This Row],[Rep_ID]],Dim_Reps!A:A,Dim_Reps!C:C)</f>
        <v>SDR / Inside Sales Rep</v>
      </c>
      <c r="Q3406" t="str">
        <f>_xlfn.XLOOKUP(Pipeline_tbl[[#This Row],[Rep_ID]],Dim_Reps!A:A,Dim_Reps!D:D)</f>
        <v>Inside Sales</v>
      </c>
      <c r="R3406" t="str">
        <f>_xlfn.XLOOKUP(Pipeline_tbl[[#This Row],[Rep_ID]],Dim_Reps!A:A,Dim_Reps!E:E)</f>
        <v>NAMER</v>
      </c>
      <c r="S3406" t="str">
        <f>_xlfn.XLOOKUP(Pipeline_tbl[[#This Row],[Created_Date]],Dim_Date!A:A,Dim_Date!H:H)</f>
        <v>Jun 2025</v>
      </c>
      <c r="T3406" t="str">
        <f>IF(Pipeline_tbl[[#This Row],[Closed_Date]]=0,"",(_xlfn.XLOOKUP(Pipeline_tbl[[#This Row],[Closed_Date]],Dim_Date!A:A,Dim_Date!H:H)))</f>
        <v>Jun 2025</v>
      </c>
      <c r="U3406">
        <f>IF(Pipeline_tbl[[#This Row],[Closed_Date]]=0,"",Pipeline_tbl[[#This Row],[Closed_Date]]-Pipeline_tbl[[#This Row],[Created_Date]])</f>
        <v>14</v>
      </c>
    </row>
    <row r="3407" spans="1:21" ht="15" customHeight="1" x14ac:dyDescent="0.2">
      <c r="A3407" t="s">
        <v>3713</v>
      </c>
      <c r="B3407" t="s">
        <v>217</v>
      </c>
      <c r="C3407" t="s">
        <v>52</v>
      </c>
      <c r="D3407" s="49">
        <v>45819</v>
      </c>
      <c r="E3407" s="49">
        <v>45820</v>
      </c>
      <c r="F3407" s="49">
        <v>45821</v>
      </c>
      <c r="G3407" s="49">
        <v>45823</v>
      </c>
      <c r="H3407" s="49">
        <v>45825</v>
      </c>
      <c r="I3407" s="49">
        <v>45826</v>
      </c>
      <c r="J3407" t="s">
        <v>49</v>
      </c>
      <c r="K3407" s="33">
        <v>3100</v>
      </c>
      <c r="L3407" t="s">
        <v>61</v>
      </c>
      <c r="M3407" t="str">
        <f>_xlfn.XLOOKUP(Pipeline_tbl[[#This Row],[Rep_ID]],Dim_Reps!A:A,Dim_Reps!K:K)</f>
        <v>USD</v>
      </c>
      <c r="N3407" s="33">
        <f>(_xlfn.XLOOKUP(Pipeline_tbl[[#This Row],[Rate_Code_Generalized]],Lookups!A:A,Lookups!B:B))*Pipeline_tbl[[#This Row],[Pipeline_Amount_USD]]</f>
        <v>3609.3299999999995</v>
      </c>
      <c r="O3407" t="str">
        <f>_xlfn.XLOOKUP(Pipeline_tbl[[#This Row],[Rep_ID]],Dim_Reps!A:A,Dim_Reps!B:B)</f>
        <v>Priya Weber</v>
      </c>
      <c r="P3407" t="str">
        <f>_xlfn.XLOOKUP(Pipeline_tbl[[#This Row],[Rep_ID]],Dim_Reps!A:A,Dim_Reps!C:C)</f>
        <v>SDR / Inside Sales Rep</v>
      </c>
      <c r="Q3407" t="str">
        <f>_xlfn.XLOOKUP(Pipeline_tbl[[#This Row],[Rep_ID]],Dim_Reps!A:A,Dim_Reps!D:D)</f>
        <v>Inside Sales</v>
      </c>
      <c r="R3407" t="str">
        <f>_xlfn.XLOOKUP(Pipeline_tbl[[#This Row],[Rep_ID]],Dim_Reps!A:A,Dim_Reps!E:E)</f>
        <v>NAMER</v>
      </c>
      <c r="S3407" t="str">
        <f>_xlfn.XLOOKUP(Pipeline_tbl[[#This Row],[Created_Date]],Dim_Date!A:A,Dim_Date!H:H)</f>
        <v>Jun 2025</v>
      </c>
      <c r="T3407" t="str">
        <f>IF(Pipeline_tbl[[#This Row],[Closed_Date]]=0,"",(_xlfn.XLOOKUP(Pipeline_tbl[[#This Row],[Closed_Date]],Dim_Date!A:A,Dim_Date!H:H)))</f>
        <v>Jun 2025</v>
      </c>
      <c r="U3407">
        <f>IF(Pipeline_tbl[[#This Row],[Closed_Date]]=0,"",Pipeline_tbl[[#This Row],[Closed_Date]]-Pipeline_tbl[[#This Row],[Created_Date]])</f>
        <v>7</v>
      </c>
    </row>
    <row r="3408" spans="1:21" ht="15" customHeight="1" x14ac:dyDescent="0.2">
      <c r="A3408" t="s">
        <v>3714</v>
      </c>
      <c r="B3408" t="s">
        <v>217</v>
      </c>
      <c r="C3408" t="s">
        <v>54</v>
      </c>
      <c r="D3408" s="49">
        <v>45814</v>
      </c>
      <c r="E3408" s="49">
        <v>45816</v>
      </c>
      <c r="F3408" s="49">
        <v>45820</v>
      </c>
      <c r="G3408" s="49">
        <v>45826</v>
      </c>
      <c r="H3408" s="49">
        <v>45831</v>
      </c>
      <c r="I3408" s="49">
        <v>45834</v>
      </c>
      <c r="J3408" t="s">
        <v>49</v>
      </c>
      <c r="K3408" s="33">
        <v>8000</v>
      </c>
      <c r="L3408" t="s">
        <v>61</v>
      </c>
      <c r="M3408" t="str">
        <f>_xlfn.XLOOKUP(Pipeline_tbl[[#This Row],[Rep_ID]],Dim_Reps!A:A,Dim_Reps!K:K)</f>
        <v>USD</v>
      </c>
      <c r="N3408" s="33">
        <f>(_xlfn.XLOOKUP(Pipeline_tbl[[#This Row],[Rate_Code_Generalized]],Lookups!A:A,Lookups!B:B))*Pipeline_tbl[[#This Row],[Pipeline_Amount_USD]]</f>
        <v>9314.4</v>
      </c>
      <c r="O3408" t="str">
        <f>_xlfn.XLOOKUP(Pipeline_tbl[[#This Row],[Rep_ID]],Dim_Reps!A:A,Dim_Reps!B:B)</f>
        <v>Priya Weber</v>
      </c>
      <c r="P3408" t="str">
        <f>_xlfn.XLOOKUP(Pipeline_tbl[[#This Row],[Rep_ID]],Dim_Reps!A:A,Dim_Reps!C:C)</f>
        <v>SDR / Inside Sales Rep</v>
      </c>
      <c r="Q3408" t="str">
        <f>_xlfn.XLOOKUP(Pipeline_tbl[[#This Row],[Rep_ID]],Dim_Reps!A:A,Dim_Reps!D:D)</f>
        <v>Inside Sales</v>
      </c>
      <c r="R3408" t="str">
        <f>_xlfn.XLOOKUP(Pipeline_tbl[[#This Row],[Rep_ID]],Dim_Reps!A:A,Dim_Reps!E:E)</f>
        <v>NAMER</v>
      </c>
      <c r="S3408" t="str">
        <f>_xlfn.XLOOKUP(Pipeline_tbl[[#This Row],[Created_Date]],Dim_Date!A:A,Dim_Date!H:H)</f>
        <v>Jun 2025</v>
      </c>
      <c r="T3408" t="str">
        <f>IF(Pipeline_tbl[[#This Row],[Closed_Date]]=0,"",(_xlfn.XLOOKUP(Pipeline_tbl[[#This Row],[Closed_Date]],Dim_Date!A:A,Dim_Date!H:H)))</f>
        <v>Jun 2025</v>
      </c>
      <c r="U3408">
        <f>IF(Pipeline_tbl[[#This Row],[Closed_Date]]=0,"",Pipeline_tbl[[#This Row],[Closed_Date]]-Pipeline_tbl[[#This Row],[Created_Date]])</f>
        <v>20</v>
      </c>
    </row>
    <row r="3409" spans="1:21" ht="15" customHeight="1" x14ac:dyDescent="0.2">
      <c r="A3409" t="s">
        <v>3715</v>
      </c>
      <c r="B3409" t="s">
        <v>221</v>
      </c>
      <c r="C3409" t="s">
        <v>55</v>
      </c>
      <c r="D3409" s="49">
        <v>45810</v>
      </c>
      <c r="E3409" s="49">
        <v>45812</v>
      </c>
      <c r="I3409" s="49">
        <v>45827</v>
      </c>
      <c r="J3409" t="s">
        <v>49</v>
      </c>
      <c r="K3409" s="33">
        <v>5700</v>
      </c>
      <c r="L3409" t="s">
        <v>63</v>
      </c>
      <c r="M3409" t="str">
        <f>_xlfn.XLOOKUP(Pipeline_tbl[[#This Row],[Rep_ID]],Dim_Reps!A:A,Dim_Reps!K:K)</f>
        <v>MXN</v>
      </c>
      <c r="N3409" s="33">
        <f>(_xlfn.XLOOKUP(Pipeline_tbl[[#This Row],[Rate_Code_Generalized]],Lookups!A:A,Lookups!B:B))*Pipeline_tbl[[#This Row],[Pipeline_Amount_USD]]</f>
        <v>112476.39000000001</v>
      </c>
      <c r="O3409" t="str">
        <f>_xlfn.XLOOKUP(Pipeline_tbl[[#This Row],[Rep_ID]],Dim_Reps!A:A,Dim_Reps!B:B)</f>
        <v>Casey Muller</v>
      </c>
      <c r="P3409" t="str">
        <f>_xlfn.XLOOKUP(Pipeline_tbl[[#This Row],[Rep_ID]],Dim_Reps!A:A,Dim_Reps!C:C)</f>
        <v>SDR / Inside Sales Rep</v>
      </c>
      <c r="Q3409" t="str">
        <f>_xlfn.XLOOKUP(Pipeline_tbl[[#This Row],[Rep_ID]],Dim_Reps!A:A,Dim_Reps!D:D)</f>
        <v>Inside Sales</v>
      </c>
      <c r="R3409" t="str">
        <f>_xlfn.XLOOKUP(Pipeline_tbl[[#This Row],[Rep_ID]],Dim_Reps!A:A,Dim_Reps!E:E)</f>
        <v>LATAM</v>
      </c>
      <c r="S3409" t="str">
        <f>_xlfn.XLOOKUP(Pipeline_tbl[[#This Row],[Created_Date]],Dim_Date!A:A,Dim_Date!H:H)</f>
        <v>Jun 2025</v>
      </c>
      <c r="T3409" t="str">
        <f>IF(Pipeline_tbl[[#This Row],[Closed_Date]]=0,"",(_xlfn.XLOOKUP(Pipeline_tbl[[#This Row],[Closed_Date]],Dim_Date!A:A,Dim_Date!H:H)))</f>
        <v>Jun 2025</v>
      </c>
      <c r="U3409">
        <f>IF(Pipeline_tbl[[#This Row],[Closed_Date]]=0,"",Pipeline_tbl[[#This Row],[Closed_Date]]-Pipeline_tbl[[#This Row],[Created_Date]])</f>
        <v>17</v>
      </c>
    </row>
    <row r="3410" spans="1:21" ht="15" customHeight="1" x14ac:dyDescent="0.2">
      <c r="A3410" t="s">
        <v>3716</v>
      </c>
      <c r="B3410" t="s">
        <v>221</v>
      </c>
      <c r="C3410" t="s">
        <v>52</v>
      </c>
      <c r="D3410" s="49">
        <v>45813</v>
      </c>
      <c r="E3410" s="49">
        <v>45814</v>
      </c>
      <c r="F3410" s="49">
        <v>45816</v>
      </c>
      <c r="G3410" s="49">
        <v>45818</v>
      </c>
      <c r="H3410" s="49">
        <v>45821</v>
      </c>
      <c r="I3410" s="49">
        <v>45822</v>
      </c>
      <c r="J3410" t="s">
        <v>47</v>
      </c>
      <c r="K3410" s="33">
        <v>1300</v>
      </c>
      <c r="M3410" t="str">
        <f>_xlfn.XLOOKUP(Pipeline_tbl[[#This Row],[Rep_ID]],Dim_Reps!A:A,Dim_Reps!K:K)</f>
        <v>MXN</v>
      </c>
      <c r="N3410" s="33">
        <f>(_xlfn.XLOOKUP(Pipeline_tbl[[#This Row],[Rate_Code_Generalized]],Lookups!A:A,Lookups!B:B))*Pipeline_tbl[[#This Row],[Pipeline_Amount_USD]]</f>
        <v>25652.510000000002</v>
      </c>
      <c r="O3410" t="str">
        <f>_xlfn.XLOOKUP(Pipeline_tbl[[#This Row],[Rep_ID]],Dim_Reps!A:A,Dim_Reps!B:B)</f>
        <v>Casey Muller</v>
      </c>
      <c r="P3410" t="str">
        <f>_xlfn.XLOOKUP(Pipeline_tbl[[#This Row],[Rep_ID]],Dim_Reps!A:A,Dim_Reps!C:C)</f>
        <v>SDR / Inside Sales Rep</v>
      </c>
      <c r="Q3410" t="str">
        <f>_xlfn.XLOOKUP(Pipeline_tbl[[#This Row],[Rep_ID]],Dim_Reps!A:A,Dim_Reps!D:D)</f>
        <v>Inside Sales</v>
      </c>
      <c r="R3410" t="str">
        <f>_xlfn.XLOOKUP(Pipeline_tbl[[#This Row],[Rep_ID]],Dim_Reps!A:A,Dim_Reps!E:E)</f>
        <v>LATAM</v>
      </c>
      <c r="S3410" t="str">
        <f>_xlfn.XLOOKUP(Pipeline_tbl[[#This Row],[Created_Date]],Dim_Date!A:A,Dim_Date!H:H)</f>
        <v>Jun 2025</v>
      </c>
      <c r="T3410" t="str">
        <f>IF(Pipeline_tbl[[#This Row],[Closed_Date]]=0,"",(_xlfn.XLOOKUP(Pipeline_tbl[[#This Row],[Closed_Date]],Dim_Date!A:A,Dim_Date!H:H)))</f>
        <v>Jun 2025</v>
      </c>
      <c r="U3410">
        <f>IF(Pipeline_tbl[[#This Row],[Closed_Date]]=0,"",Pipeline_tbl[[#This Row],[Closed_Date]]-Pipeline_tbl[[#This Row],[Created_Date]])</f>
        <v>9</v>
      </c>
    </row>
    <row r="3411" spans="1:21" ht="15" customHeight="1" x14ac:dyDescent="0.2">
      <c r="A3411" t="s">
        <v>3717</v>
      </c>
      <c r="B3411" t="s">
        <v>221</v>
      </c>
      <c r="C3411" t="s">
        <v>52</v>
      </c>
      <c r="D3411" s="49">
        <v>45818</v>
      </c>
      <c r="E3411" s="49">
        <v>45820</v>
      </c>
      <c r="F3411" s="49">
        <v>45823</v>
      </c>
      <c r="G3411" s="49">
        <v>45828</v>
      </c>
      <c r="I3411" s="49">
        <v>45834</v>
      </c>
      <c r="J3411" t="s">
        <v>49</v>
      </c>
      <c r="K3411" s="33">
        <v>3500</v>
      </c>
      <c r="L3411" t="s">
        <v>60</v>
      </c>
      <c r="M3411" t="str">
        <f>_xlfn.XLOOKUP(Pipeline_tbl[[#This Row],[Rep_ID]],Dim_Reps!A:A,Dim_Reps!K:K)</f>
        <v>MXN</v>
      </c>
      <c r="N3411" s="33">
        <f>(_xlfn.XLOOKUP(Pipeline_tbl[[#This Row],[Rate_Code_Generalized]],Lookups!A:A,Lookups!B:B))*Pipeline_tbl[[#This Row],[Pipeline_Amount_USD]]</f>
        <v>69064.45</v>
      </c>
      <c r="O3411" t="str">
        <f>_xlfn.XLOOKUP(Pipeline_tbl[[#This Row],[Rep_ID]],Dim_Reps!A:A,Dim_Reps!B:B)</f>
        <v>Casey Muller</v>
      </c>
      <c r="P3411" t="str">
        <f>_xlfn.XLOOKUP(Pipeline_tbl[[#This Row],[Rep_ID]],Dim_Reps!A:A,Dim_Reps!C:C)</f>
        <v>SDR / Inside Sales Rep</v>
      </c>
      <c r="Q3411" t="str">
        <f>_xlfn.XLOOKUP(Pipeline_tbl[[#This Row],[Rep_ID]],Dim_Reps!A:A,Dim_Reps!D:D)</f>
        <v>Inside Sales</v>
      </c>
      <c r="R3411" t="str">
        <f>_xlfn.XLOOKUP(Pipeline_tbl[[#This Row],[Rep_ID]],Dim_Reps!A:A,Dim_Reps!E:E)</f>
        <v>LATAM</v>
      </c>
      <c r="S3411" t="str">
        <f>_xlfn.XLOOKUP(Pipeline_tbl[[#This Row],[Created_Date]],Dim_Date!A:A,Dim_Date!H:H)</f>
        <v>Jun 2025</v>
      </c>
      <c r="T3411" t="str">
        <f>IF(Pipeline_tbl[[#This Row],[Closed_Date]]=0,"",(_xlfn.XLOOKUP(Pipeline_tbl[[#This Row],[Closed_Date]],Dim_Date!A:A,Dim_Date!H:H)))</f>
        <v>Jun 2025</v>
      </c>
      <c r="U3411">
        <f>IF(Pipeline_tbl[[#This Row],[Closed_Date]]=0,"",Pipeline_tbl[[#This Row],[Closed_Date]]-Pipeline_tbl[[#This Row],[Created_Date]])</f>
        <v>16</v>
      </c>
    </row>
    <row r="3412" spans="1:21" ht="15" customHeight="1" x14ac:dyDescent="0.2">
      <c r="A3412" t="s">
        <v>3718</v>
      </c>
      <c r="B3412" t="s">
        <v>221</v>
      </c>
      <c r="C3412" t="s">
        <v>53</v>
      </c>
      <c r="D3412" s="49">
        <v>45816</v>
      </c>
      <c r="E3412" s="49">
        <v>45818</v>
      </c>
      <c r="F3412" s="49">
        <v>45822</v>
      </c>
      <c r="G3412" s="49">
        <v>45827</v>
      </c>
      <c r="H3412" s="49">
        <v>45832</v>
      </c>
      <c r="I3412" s="49">
        <v>45835</v>
      </c>
      <c r="J3412" t="s">
        <v>47</v>
      </c>
      <c r="K3412" s="33">
        <v>3600</v>
      </c>
      <c r="M3412" t="str">
        <f>_xlfn.XLOOKUP(Pipeline_tbl[[#This Row],[Rep_ID]],Dim_Reps!A:A,Dim_Reps!K:K)</f>
        <v>MXN</v>
      </c>
      <c r="N3412" s="33">
        <f>(_xlfn.XLOOKUP(Pipeline_tbl[[#This Row],[Rate_Code_Generalized]],Lookups!A:A,Lookups!B:B))*Pipeline_tbl[[#This Row],[Pipeline_Amount_USD]]</f>
        <v>71037.72</v>
      </c>
      <c r="O3412" t="str">
        <f>_xlfn.XLOOKUP(Pipeline_tbl[[#This Row],[Rep_ID]],Dim_Reps!A:A,Dim_Reps!B:B)</f>
        <v>Casey Muller</v>
      </c>
      <c r="P3412" t="str">
        <f>_xlfn.XLOOKUP(Pipeline_tbl[[#This Row],[Rep_ID]],Dim_Reps!A:A,Dim_Reps!C:C)</f>
        <v>SDR / Inside Sales Rep</v>
      </c>
      <c r="Q3412" t="str">
        <f>_xlfn.XLOOKUP(Pipeline_tbl[[#This Row],[Rep_ID]],Dim_Reps!A:A,Dim_Reps!D:D)</f>
        <v>Inside Sales</v>
      </c>
      <c r="R3412" t="str">
        <f>_xlfn.XLOOKUP(Pipeline_tbl[[#This Row],[Rep_ID]],Dim_Reps!A:A,Dim_Reps!E:E)</f>
        <v>LATAM</v>
      </c>
      <c r="S3412" t="str">
        <f>_xlfn.XLOOKUP(Pipeline_tbl[[#This Row],[Created_Date]],Dim_Date!A:A,Dim_Date!H:H)</f>
        <v>Jun 2025</v>
      </c>
      <c r="T3412" t="str">
        <f>IF(Pipeline_tbl[[#This Row],[Closed_Date]]=0,"",(_xlfn.XLOOKUP(Pipeline_tbl[[#This Row],[Closed_Date]],Dim_Date!A:A,Dim_Date!H:H)))</f>
        <v>Jun 2025</v>
      </c>
      <c r="U3412">
        <f>IF(Pipeline_tbl[[#This Row],[Closed_Date]]=0,"",Pipeline_tbl[[#This Row],[Closed_Date]]-Pipeline_tbl[[#This Row],[Created_Date]])</f>
        <v>19</v>
      </c>
    </row>
    <row r="3413" spans="1:21" ht="15" customHeight="1" x14ac:dyDescent="0.2">
      <c r="A3413" t="s">
        <v>3719</v>
      </c>
      <c r="B3413" t="s">
        <v>221</v>
      </c>
      <c r="C3413" t="s">
        <v>56</v>
      </c>
      <c r="D3413" s="49">
        <v>45819</v>
      </c>
      <c r="E3413" s="49">
        <v>45821</v>
      </c>
      <c r="F3413" s="49">
        <v>45825</v>
      </c>
      <c r="G3413" s="49">
        <v>45830</v>
      </c>
      <c r="H3413" s="49">
        <v>45835</v>
      </c>
      <c r="I3413" s="49">
        <v>45838</v>
      </c>
      <c r="J3413" t="s">
        <v>47</v>
      </c>
      <c r="K3413" s="33">
        <v>2500</v>
      </c>
      <c r="M3413" t="str">
        <f>_xlfn.XLOOKUP(Pipeline_tbl[[#This Row],[Rep_ID]],Dim_Reps!A:A,Dim_Reps!K:K)</f>
        <v>MXN</v>
      </c>
      <c r="N3413" s="33">
        <f>(_xlfn.XLOOKUP(Pipeline_tbl[[#This Row],[Rate_Code_Generalized]],Lookups!A:A,Lookups!B:B))*Pipeline_tbl[[#This Row],[Pipeline_Amount_USD]]</f>
        <v>49331.75</v>
      </c>
      <c r="O3413" t="str">
        <f>_xlfn.XLOOKUP(Pipeline_tbl[[#This Row],[Rep_ID]],Dim_Reps!A:A,Dim_Reps!B:B)</f>
        <v>Casey Muller</v>
      </c>
      <c r="P3413" t="str">
        <f>_xlfn.XLOOKUP(Pipeline_tbl[[#This Row],[Rep_ID]],Dim_Reps!A:A,Dim_Reps!C:C)</f>
        <v>SDR / Inside Sales Rep</v>
      </c>
      <c r="Q3413" t="str">
        <f>_xlfn.XLOOKUP(Pipeline_tbl[[#This Row],[Rep_ID]],Dim_Reps!A:A,Dim_Reps!D:D)</f>
        <v>Inside Sales</v>
      </c>
      <c r="R3413" t="str">
        <f>_xlfn.XLOOKUP(Pipeline_tbl[[#This Row],[Rep_ID]],Dim_Reps!A:A,Dim_Reps!E:E)</f>
        <v>LATAM</v>
      </c>
      <c r="S3413" t="str">
        <f>_xlfn.XLOOKUP(Pipeline_tbl[[#This Row],[Created_Date]],Dim_Date!A:A,Dim_Date!H:H)</f>
        <v>Jun 2025</v>
      </c>
      <c r="T3413" t="str">
        <f>IF(Pipeline_tbl[[#This Row],[Closed_Date]]=0,"",(_xlfn.XLOOKUP(Pipeline_tbl[[#This Row],[Closed_Date]],Dim_Date!A:A,Dim_Date!H:H)))</f>
        <v>Jun 2025</v>
      </c>
      <c r="U3413">
        <f>IF(Pipeline_tbl[[#This Row],[Closed_Date]]=0,"",Pipeline_tbl[[#This Row],[Closed_Date]]-Pipeline_tbl[[#This Row],[Created_Date]])</f>
        <v>19</v>
      </c>
    </row>
    <row r="3414" spans="1:21" ht="15" customHeight="1" x14ac:dyDescent="0.2">
      <c r="A3414" t="s">
        <v>3720</v>
      </c>
      <c r="B3414" t="s">
        <v>259</v>
      </c>
      <c r="C3414" t="s">
        <v>55</v>
      </c>
      <c r="D3414" s="49">
        <v>45814</v>
      </c>
      <c r="E3414" s="49">
        <v>45815</v>
      </c>
      <c r="F3414" s="49">
        <v>45818</v>
      </c>
      <c r="I3414" s="49">
        <v>45828</v>
      </c>
      <c r="J3414" t="s">
        <v>49</v>
      </c>
      <c r="K3414" s="33">
        <v>9100</v>
      </c>
      <c r="L3414" t="s">
        <v>62</v>
      </c>
      <c r="M3414" t="str">
        <f>_xlfn.XLOOKUP(Pipeline_tbl[[#This Row],[Rep_ID]],Dim_Reps!A:A,Dim_Reps!K:K)</f>
        <v>EUR</v>
      </c>
      <c r="N3414" s="33">
        <f>(_xlfn.XLOOKUP(Pipeline_tbl[[#This Row],[Rate_Code_Generalized]],Lookups!A:A,Lookups!B:B))*Pipeline_tbl[[#This Row],[Pipeline_Amount_USD]]</f>
        <v>9100</v>
      </c>
      <c r="O3414" t="str">
        <f>_xlfn.XLOOKUP(Pipeline_tbl[[#This Row],[Rep_ID]],Dim_Reps!A:A,Dim_Reps!B:B)</f>
        <v>Felix Okafor</v>
      </c>
      <c r="P3414" t="str">
        <f>_xlfn.XLOOKUP(Pipeline_tbl[[#This Row],[Rep_ID]],Dim_Reps!A:A,Dim_Reps!C:C)</f>
        <v>Mid-Market AE</v>
      </c>
      <c r="Q3414" t="str">
        <f>_xlfn.XLOOKUP(Pipeline_tbl[[#This Row],[Rep_ID]],Dim_Reps!A:A,Dim_Reps!D:D)</f>
        <v>Mid-Market</v>
      </c>
      <c r="R3414" t="str">
        <f>_xlfn.XLOOKUP(Pipeline_tbl[[#This Row],[Rep_ID]],Dim_Reps!A:A,Dim_Reps!E:E)</f>
        <v>EMEA</v>
      </c>
      <c r="S3414" t="str">
        <f>_xlfn.XLOOKUP(Pipeline_tbl[[#This Row],[Created_Date]],Dim_Date!A:A,Dim_Date!H:H)</f>
        <v>Jun 2025</v>
      </c>
      <c r="T3414" t="str">
        <f>IF(Pipeline_tbl[[#This Row],[Closed_Date]]=0,"",(_xlfn.XLOOKUP(Pipeline_tbl[[#This Row],[Closed_Date]],Dim_Date!A:A,Dim_Date!H:H)))</f>
        <v>Jun 2025</v>
      </c>
      <c r="U3414">
        <f>IF(Pipeline_tbl[[#This Row],[Closed_Date]]=0,"",Pipeline_tbl[[#This Row],[Closed_Date]]-Pipeline_tbl[[#This Row],[Created_Date]])</f>
        <v>14</v>
      </c>
    </row>
    <row r="3415" spans="1:21" ht="15" customHeight="1" x14ac:dyDescent="0.2">
      <c r="A3415" t="s">
        <v>3721</v>
      </c>
      <c r="B3415" t="s">
        <v>223</v>
      </c>
      <c r="C3415" t="s">
        <v>56</v>
      </c>
      <c r="D3415" s="49">
        <v>45816</v>
      </c>
      <c r="E3415" s="49">
        <v>45818</v>
      </c>
      <c r="F3415" s="49">
        <v>45823</v>
      </c>
      <c r="G3415" s="49">
        <v>45829</v>
      </c>
      <c r="H3415" s="49">
        <v>45835</v>
      </c>
      <c r="I3415" s="49">
        <v>45838</v>
      </c>
      <c r="J3415" t="s">
        <v>49</v>
      </c>
      <c r="K3415" s="33">
        <v>2300</v>
      </c>
      <c r="L3415" t="s">
        <v>61</v>
      </c>
      <c r="M3415" t="str">
        <f>_xlfn.XLOOKUP(Pipeline_tbl[[#This Row],[Rep_ID]],Dim_Reps!A:A,Dim_Reps!K:K)</f>
        <v>MXN</v>
      </c>
      <c r="N3415" s="33">
        <f>(_xlfn.XLOOKUP(Pipeline_tbl[[#This Row],[Rate_Code_Generalized]],Lookups!A:A,Lookups!B:B))*Pipeline_tbl[[#This Row],[Pipeline_Amount_USD]]</f>
        <v>45385.210000000006</v>
      </c>
      <c r="O3415" t="str">
        <f>_xlfn.XLOOKUP(Pipeline_tbl[[#This Row],[Rep_ID]],Dim_Reps!A:A,Dim_Reps!B:B)</f>
        <v>Lea Petrov</v>
      </c>
      <c r="P3415" t="str">
        <f>_xlfn.XLOOKUP(Pipeline_tbl[[#This Row],[Rep_ID]],Dim_Reps!A:A,Dim_Reps!C:C)</f>
        <v>SDR / Inside Sales Rep</v>
      </c>
      <c r="Q3415" t="str">
        <f>_xlfn.XLOOKUP(Pipeline_tbl[[#This Row],[Rep_ID]],Dim_Reps!A:A,Dim_Reps!D:D)</f>
        <v>Inside Sales</v>
      </c>
      <c r="R3415" t="str">
        <f>_xlfn.XLOOKUP(Pipeline_tbl[[#This Row],[Rep_ID]],Dim_Reps!A:A,Dim_Reps!E:E)</f>
        <v>LATAM</v>
      </c>
      <c r="S3415" t="str">
        <f>_xlfn.XLOOKUP(Pipeline_tbl[[#This Row],[Created_Date]],Dim_Date!A:A,Dim_Date!H:H)</f>
        <v>Jun 2025</v>
      </c>
      <c r="T3415" t="str">
        <f>IF(Pipeline_tbl[[#This Row],[Closed_Date]]=0,"",(_xlfn.XLOOKUP(Pipeline_tbl[[#This Row],[Closed_Date]],Dim_Date!A:A,Dim_Date!H:H)))</f>
        <v>Jun 2025</v>
      </c>
      <c r="U3415">
        <f>IF(Pipeline_tbl[[#This Row],[Closed_Date]]=0,"",Pipeline_tbl[[#This Row],[Closed_Date]]-Pipeline_tbl[[#This Row],[Created_Date]])</f>
        <v>22</v>
      </c>
    </row>
    <row r="3416" spans="1:21" ht="15" customHeight="1" x14ac:dyDescent="0.2">
      <c r="A3416" t="s">
        <v>3722</v>
      </c>
      <c r="B3416" t="s">
        <v>223</v>
      </c>
      <c r="C3416" t="s">
        <v>54</v>
      </c>
      <c r="D3416" s="49">
        <v>45818</v>
      </c>
      <c r="E3416" s="49">
        <v>45820</v>
      </c>
      <c r="I3416" s="49">
        <v>45838</v>
      </c>
      <c r="J3416" t="s">
        <v>49</v>
      </c>
      <c r="K3416" s="33">
        <v>2800</v>
      </c>
      <c r="L3416" t="s">
        <v>60</v>
      </c>
      <c r="M3416" t="str">
        <f>_xlfn.XLOOKUP(Pipeline_tbl[[#This Row],[Rep_ID]],Dim_Reps!A:A,Dim_Reps!K:K)</f>
        <v>MXN</v>
      </c>
      <c r="N3416" s="33">
        <f>(_xlfn.XLOOKUP(Pipeline_tbl[[#This Row],[Rate_Code_Generalized]],Lookups!A:A,Lookups!B:B))*Pipeline_tbl[[#This Row],[Pipeline_Amount_USD]]</f>
        <v>55251.560000000005</v>
      </c>
      <c r="O3416" t="str">
        <f>_xlfn.XLOOKUP(Pipeline_tbl[[#This Row],[Rep_ID]],Dim_Reps!A:A,Dim_Reps!B:B)</f>
        <v>Lea Petrov</v>
      </c>
      <c r="P3416" t="str">
        <f>_xlfn.XLOOKUP(Pipeline_tbl[[#This Row],[Rep_ID]],Dim_Reps!A:A,Dim_Reps!C:C)</f>
        <v>SDR / Inside Sales Rep</v>
      </c>
      <c r="Q3416" t="str">
        <f>_xlfn.XLOOKUP(Pipeline_tbl[[#This Row],[Rep_ID]],Dim_Reps!A:A,Dim_Reps!D:D)</f>
        <v>Inside Sales</v>
      </c>
      <c r="R3416" t="str">
        <f>_xlfn.XLOOKUP(Pipeline_tbl[[#This Row],[Rep_ID]],Dim_Reps!A:A,Dim_Reps!E:E)</f>
        <v>LATAM</v>
      </c>
      <c r="S3416" t="str">
        <f>_xlfn.XLOOKUP(Pipeline_tbl[[#This Row],[Created_Date]],Dim_Date!A:A,Dim_Date!H:H)</f>
        <v>Jun 2025</v>
      </c>
      <c r="T3416" t="str">
        <f>IF(Pipeline_tbl[[#This Row],[Closed_Date]]=0,"",(_xlfn.XLOOKUP(Pipeline_tbl[[#This Row],[Closed_Date]],Dim_Date!A:A,Dim_Date!H:H)))</f>
        <v>Jun 2025</v>
      </c>
      <c r="U3416">
        <f>IF(Pipeline_tbl[[#This Row],[Closed_Date]]=0,"",Pipeline_tbl[[#This Row],[Closed_Date]]-Pipeline_tbl[[#This Row],[Created_Date]])</f>
        <v>20</v>
      </c>
    </row>
    <row r="3417" spans="1:21" ht="15" customHeight="1" x14ac:dyDescent="0.2">
      <c r="A3417" t="s">
        <v>3723</v>
      </c>
      <c r="B3417" t="s">
        <v>225</v>
      </c>
      <c r="C3417" t="s">
        <v>52</v>
      </c>
      <c r="D3417" s="49">
        <v>45815</v>
      </c>
      <c r="E3417" s="49">
        <v>45816</v>
      </c>
      <c r="F3417" s="49">
        <v>45819</v>
      </c>
      <c r="G3417" s="49">
        <v>45823</v>
      </c>
      <c r="H3417" s="49">
        <v>45826</v>
      </c>
      <c r="I3417" s="49">
        <v>45828</v>
      </c>
      <c r="J3417" t="s">
        <v>47</v>
      </c>
      <c r="K3417" s="33">
        <v>2100</v>
      </c>
      <c r="M3417" t="str">
        <f>_xlfn.XLOOKUP(Pipeline_tbl[[#This Row],[Rep_ID]],Dim_Reps!A:A,Dim_Reps!K:K)</f>
        <v>USD</v>
      </c>
      <c r="N3417" s="33">
        <f>(_xlfn.XLOOKUP(Pipeline_tbl[[#This Row],[Rate_Code_Generalized]],Lookups!A:A,Lookups!B:B))*Pipeline_tbl[[#This Row],[Pipeline_Amount_USD]]</f>
        <v>2445.0299999999997</v>
      </c>
      <c r="O3417" t="str">
        <f>_xlfn.XLOOKUP(Pipeline_tbl[[#This Row],[Rep_ID]],Dim_Reps!A:A,Dim_Reps!B:B)</f>
        <v>Alex Muller</v>
      </c>
      <c r="P3417" t="str">
        <f>_xlfn.XLOOKUP(Pipeline_tbl[[#This Row],[Rep_ID]],Dim_Reps!A:A,Dim_Reps!C:C)</f>
        <v>SDR / Inside Sales Rep</v>
      </c>
      <c r="Q3417" t="str">
        <f>_xlfn.XLOOKUP(Pipeline_tbl[[#This Row],[Rep_ID]],Dim_Reps!A:A,Dim_Reps!D:D)</f>
        <v>Inside Sales</v>
      </c>
      <c r="R3417" t="str">
        <f>_xlfn.XLOOKUP(Pipeline_tbl[[#This Row],[Rep_ID]],Dim_Reps!A:A,Dim_Reps!E:E)</f>
        <v>NAMER</v>
      </c>
      <c r="S3417" t="str">
        <f>_xlfn.XLOOKUP(Pipeline_tbl[[#This Row],[Created_Date]],Dim_Date!A:A,Dim_Date!H:H)</f>
        <v>Jun 2025</v>
      </c>
      <c r="T3417" t="str">
        <f>IF(Pipeline_tbl[[#This Row],[Closed_Date]]=0,"",(_xlfn.XLOOKUP(Pipeline_tbl[[#This Row],[Closed_Date]],Dim_Date!A:A,Dim_Date!H:H)))</f>
        <v>Jun 2025</v>
      </c>
      <c r="U3417">
        <f>IF(Pipeline_tbl[[#This Row],[Closed_Date]]=0,"",Pipeline_tbl[[#This Row],[Closed_Date]]-Pipeline_tbl[[#This Row],[Created_Date]])</f>
        <v>13</v>
      </c>
    </row>
    <row r="3418" spans="1:21" ht="15" customHeight="1" x14ac:dyDescent="0.2">
      <c r="A3418" t="s">
        <v>3724</v>
      </c>
      <c r="B3418" t="s">
        <v>225</v>
      </c>
      <c r="C3418" t="s">
        <v>52</v>
      </c>
      <c r="D3418" s="49">
        <v>45819</v>
      </c>
      <c r="E3418" s="49">
        <v>45821</v>
      </c>
      <c r="F3418" s="49">
        <v>45824</v>
      </c>
      <c r="G3418" s="49">
        <v>45829</v>
      </c>
      <c r="H3418" s="49">
        <v>45833</v>
      </c>
      <c r="I3418" s="49">
        <v>45836</v>
      </c>
      <c r="J3418" t="s">
        <v>47</v>
      </c>
      <c r="K3418" s="33">
        <v>3600</v>
      </c>
      <c r="M3418" t="str">
        <f>_xlfn.XLOOKUP(Pipeline_tbl[[#This Row],[Rep_ID]],Dim_Reps!A:A,Dim_Reps!K:K)</f>
        <v>USD</v>
      </c>
      <c r="N3418" s="33">
        <f>(_xlfn.XLOOKUP(Pipeline_tbl[[#This Row],[Rate_Code_Generalized]],Lookups!A:A,Lookups!B:B))*Pipeline_tbl[[#This Row],[Pipeline_Amount_USD]]</f>
        <v>4191.4799999999996</v>
      </c>
      <c r="O3418" t="str">
        <f>_xlfn.XLOOKUP(Pipeline_tbl[[#This Row],[Rep_ID]],Dim_Reps!A:A,Dim_Reps!B:B)</f>
        <v>Alex Muller</v>
      </c>
      <c r="P3418" t="str">
        <f>_xlfn.XLOOKUP(Pipeline_tbl[[#This Row],[Rep_ID]],Dim_Reps!A:A,Dim_Reps!C:C)</f>
        <v>SDR / Inside Sales Rep</v>
      </c>
      <c r="Q3418" t="str">
        <f>_xlfn.XLOOKUP(Pipeline_tbl[[#This Row],[Rep_ID]],Dim_Reps!A:A,Dim_Reps!D:D)</f>
        <v>Inside Sales</v>
      </c>
      <c r="R3418" t="str">
        <f>_xlfn.XLOOKUP(Pipeline_tbl[[#This Row],[Rep_ID]],Dim_Reps!A:A,Dim_Reps!E:E)</f>
        <v>NAMER</v>
      </c>
      <c r="S3418" t="str">
        <f>_xlfn.XLOOKUP(Pipeline_tbl[[#This Row],[Created_Date]],Dim_Date!A:A,Dim_Date!H:H)</f>
        <v>Jun 2025</v>
      </c>
      <c r="T3418" t="str">
        <f>IF(Pipeline_tbl[[#This Row],[Closed_Date]]=0,"",(_xlfn.XLOOKUP(Pipeline_tbl[[#This Row],[Closed_Date]],Dim_Date!A:A,Dim_Date!H:H)))</f>
        <v>Jun 2025</v>
      </c>
      <c r="U3418">
        <f>IF(Pipeline_tbl[[#This Row],[Closed_Date]]=0,"",Pipeline_tbl[[#This Row],[Closed_Date]]-Pipeline_tbl[[#This Row],[Created_Date]])</f>
        <v>17</v>
      </c>
    </row>
    <row r="3419" spans="1:21" ht="15" customHeight="1" x14ac:dyDescent="0.2">
      <c r="A3419" t="s">
        <v>3725</v>
      </c>
      <c r="B3419" t="s">
        <v>225</v>
      </c>
      <c r="C3419" t="s">
        <v>56</v>
      </c>
      <c r="D3419" s="49">
        <v>45814</v>
      </c>
      <c r="E3419" s="49">
        <v>45816</v>
      </c>
      <c r="F3419" s="49">
        <v>45819</v>
      </c>
      <c r="G3419" s="49">
        <v>45824</v>
      </c>
      <c r="H3419" s="49">
        <v>45828</v>
      </c>
      <c r="I3419" s="49">
        <v>45830</v>
      </c>
      <c r="J3419" t="s">
        <v>47</v>
      </c>
      <c r="K3419" s="33">
        <v>6200</v>
      </c>
      <c r="M3419" t="str">
        <f>_xlfn.XLOOKUP(Pipeline_tbl[[#This Row],[Rep_ID]],Dim_Reps!A:A,Dim_Reps!K:K)</f>
        <v>USD</v>
      </c>
      <c r="N3419" s="33">
        <f>(_xlfn.XLOOKUP(Pipeline_tbl[[#This Row],[Rate_Code_Generalized]],Lookups!A:A,Lookups!B:B))*Pipeline_tbl[[#This Row],[Pipeline_Amount_USD]]</f>
        <v>7218.6599999999989</v>
      </c>
      <c r="O3419" t="str">
        <f>_xlfn.XLOOKUP(Pipeline_tbl[[#This Row],[Rep_ID]],Dim_Reps!A:A,Dim_Reps!B:B)</f>
        <v>Alex Muller</v>
      </c>
      <c r="P3419" t="str">
        <f>_xlfn.XLOOKUP(Pipeline_tbl[[#This Row],[Rep_ID]],Dim_Reps!A:A,Dim_Reps!C:C)</f>
        <v>SDR / Inside Sales Rep</v>
      </c>
      <c r="Q3419" t="str">
        <f>_xlfn.XLOOKUP(Pipeline_tbl[[#This Row],[Rep_ID]],Dim_Reps!A:A,Dim_Reps!D:D)</f>
        <v>Inside Sales</v>
      </c>
      <c r="R3419" t="str">
        <f>_xlfn.XLOOKUP(Pipeline_tbl[[#This Row],[Rep_ID]],Dim_Reps!A:A,Dim_Reps!E:E)</f>
        <v>NAMER</v>
      </c>
      <c r="S3419" t="str">
        <f>_xlfn.XLOOKUP(Pipeline_tbl[[#This Row],[Created_Date]],Dim_Date!A:A,Dim_Date!H:H)</f>
        <v>Jun 2025</v>
      </c>
      <c r="T3419" t="str">
        <f>IF(Pipeline_tbl[[#This Row],[Closed_Date]]=0,"",(_xlfn.XLOOKUP(Pipeline_tbl[[#This Row],[Closed_Date]],Dim_Date!A:A,Dim_Date!H:H)))</f>
        <v>Jun 2025</v>
      </c>
      <c r="U3419">
        <f>IF(Pipeline_tbl[[#This Row],[Closed_Date]]=0,"",Pipeline_tbl[[#This Row],[Closed_Date]]-Pipeline_tbl[[#This Row],[Created_Date]])</f>
        <v>16</v>
      </c>
    </row>
    <row r="3420" spans="1:21" ht="15" customHeight="1" x14ac:dyDescent="0.2">
      <c r="A3420" t="s">
        <v>3726</v>
      </c>
      <c r="B3420" t="s">
        <v>225</v>
      </c>
      <c r="C3420" t="s">
        <v>52</v>
      </c>
      <c r="D3420" s="49">
        <v>45819</v>
      </c>
      <c r="E3420" s="49">
        <v>45820</v>
      </c>
      <c r="F3420" s="49">
        <v>45823</v>
      </c>
      <c r="G3420" s="49">
        <v>45827</v>
      </c>
      <c r="H3420" s="49">
        <v>45830</v>
      </c>
      <c r="I3420" s="49">
        <v>45832</v>
      </c>
      <c r="J3420" t="s">
        <v>49</v>
      </c>
      <c r="K3420" s="33">
        <v>2200</v>
      </c>
      <c r="L3420" t="s">
        <v>60</v>
      </c>
      <c r="M3420" t="str">
        <f>_xlfn.XLOOKUP(Pipeline_tbl[[#This Row],[Rep_ID]],Dim_Reps!A:A,Dim_Reps!K:K)</f>
        <v>USD</v>
      </c>
      <c r="N3420" s="33">
        <f>(_xlfn.XLOOKUP(Pipeline_tbl[[#This Row],[Rate_Code_Generalized]],Lookups!A:A,Lookups!B:B))*Pipeline_tbl[[#This Row],[Pipeline_Amount_USD]]</f>
        <v>2561.4599999999996</v>
      </c>
      <c r="O3420" t="str">
        <f>_xlfn.XLOOKUP(Pipeline_tbl[[#This Row],[Rep_ID]],Dim_Reps!A:A,Dim_Reps!B:B)</f>
        <v>Alex Muller</v>
      </c>
      <c r="P3420" t="str">
        <f>_xlfn.XLOOKUP(Pipeline_tbl[[#This Row],[Rep_ID]],Dim_Reps!A:A,Dim_Reps!C:C)</f>
        <v>SDR / Inside Sales Rep</v>
      </c>
      <c r="Q3420" t="str">
        <f>_xlfn.XLOOKUP(Pipeline_tbl[[#This Row],[Rep_ID]],Dim_Reps!A:A,Dim_Reps!D:D)</f>
        <v>Inside Sales</v>
      </c>
      <c r="R3420" t="str">
        <f>_xlfn.XLOOKUP(Pipeline_tbl[[#This Row],[Rep_ID]],Dim_Reps!A:A,Dim_Reps!E:E)</f>
        <v>NAMER</v>
      </c>
      <c r="S3420" t="str">
        <f>_xlfn.XLOOKUP(Pipeline_tbl[[#This Row],[Created_Date]],Dim_Date!A:A,Dim_Date!H:H)</f>
        <v>Jun 2025</v>
      </c>
      <c r="T3420" t="str">
        <f>IF(Pipeline_tbl[[#This Row],[Closed_Date]]=0,"",(_xlfn.XLOOKUP(Pipeline_tbl[[#This Row],[Closed_Date]],Dim_Date!A:A,Dim_Date!H:H)))</f>
        <v>Jun 2025</v>
      </c>
      <c r="U3420">
        <f>IF(Pipeline_tbl[[#This Row],[Closed_Date]]=0,"",Pipeline_tbl[[#This Row],[Closed_Date]]-Pipeline_tbl[[#This Row],[Created_Date]])</f>
        <v>13</v>
      </c>
    </row>
    <row r="3421" spans="1:21" ht="15" customHeight="1" x14ac:dyDescent="0.2">
      <c r="A3421" t="s">
        <v>3727</v>
      </c>
      <c r="B3421" t="s">
        <v>225</v>
      </c>
      <c r="C3421" t="s">
        <v>52</v>
      </c>
      <c r="D3421" s="49">
        <v>45818</v>
      </c>
      <c r="E3421" s="49">
        <v>45820</v>
      </c>
      <c r="F3421" s="49">
        <v>45823</v>
      </c>
      <c r="G3421" s="49">
        <v>45828</v>
      </c>
      <c r="H3421" s="49">
        <v>45832</v>
      </c>
      <c r="I3421" s="49">
        <v>45834</v>
      </c>
      <c r="J3421" t="s">
        <v>47</v>
      </c>
      <c r="K3421" s="33">
        <v>6000</v>
      </c>
      <c r="M3421" t="str">
        <f>_xlfn.XLOOKUP(Pipeline_tbl[[#This Row],[Rep_ID]],Dim_Reps!A:A,Dim_Reps!K:K)</f>
        <v>USD</v>
      </c>
      <c r="N3421" s="33">
        <f>(_xlfn.XLOOKUP(Pipeline_tbl[[#This Row],[Rate_Code_Generalized]],Lookups!A:A,Lookups!B:B))*Pipeline_tbl[[#This Row],[Pipeline_Amount_USD]]</f>
        <v>6985.7999999999993</v>
      </c>
      <c r="O3421" t="str">
        <f>_xlfn.XLOOKUP(Pipeline_tbl[[#This Row],[Rep_ID]],Dim_Reps!A:A,Dim_Reps!B:B)</f>
        <v>Alex Muller</v>
      </c>
      <c r="P3421" t="str">
        <f>_xlfn.XLOOKUP(Pipeline_tbl[[#This Row],[Rep_ID]],Dim_Reps!A:A,Dim_Reps!C:C)</f>
        <v>SDR / Inside Sales Rep</v>
      </c>
      <c r="Q3421" t="str">
        <f>_xlfn.XLOOKUP(Pipeline_tbl[[#This Row],[Rep_ID]],Dim_Reps!A:A,Dim_Reps!D:D)</f>
        <v>Inside Sales</v>
      </c>
      <c r="R3421" t="str">
        <f>_xlfn.XLOOKUP(Pipeline_tbl[[#This Row],[Rep_ID]],Dim_Reps!A:A,Dim_Reps!E:E)</f>
        <v>NAMER</v>
      </c>
      <c r="S3421" t="str">
        <f>_xlfn.XLOOKUP(Pipeline_tbl[[#This Row],[Created_Date]],Dim_Date!A:A,Dim_Date!H:H)</f>
        <v>Jun 2025</v>
      </c>
      <c r="T3421" t="str">
        <f>IF(Pipeline_tbl[[#This Row],[Closed_Date]]=0,"",(_xlfn.XLOOKUP(Pipeline_tbl[[#This Row],[Closed_Date]],Dim_Date!A:A,Dim_Date!H:H)))</f>
        <v>Jun 2025</v>
      </c>
      <c r="U3421">
        <f>IF(Pipeline_tbl[[#This Row],[Closed_Date]]=0,"",Pipeline_tbl[[#This Row],[Closed_Date]]-Pipeline_tbl[[#This Row],[Created_Date]])</f>
        <v>16</v>
      </c>
    </row>
    <row r="3422" spans="1:21" ht="15" customHeight="1" x14ac:dyDescent="0.2">
      <c r="A3422" t="s">
        <v>3728</v>
      </c>
      <c r="B3422" t="s">
        <v>225</v>
      </c>
      <c r="C3422" t="s">
        <v>55</v>
      </c>
      <c r="D3422" s="49">
        <v>45816</v>
      </c>
      <c r="E3422" s="49">
        <v>45818</v>
      </c>
      <c r="F3422" s="49">
        <v>45822</v>
      </c>
      <c r="G3422" s="49">
        <v>45827</v>
      </c>
      <c r="I3422" s="49">
        <v>45835</v>
      </c>
      <c r="J3422" t="s">
        <v>49</v>
      </c>
      <c r="K3422" s="33">
        <v>5400</v>
      </c>
      <c r="L3422" t="s">
        <v>60</v>
      </c>
      <c r="M3422" t="str">
        <f>_xlfn.XLOOKUP(Pipeline_tbl[[#This Row],[Rep_ID]],Dim_Reps!A:A,Dim_Reps!K:K)</f>
        <v>USD</v>
      </c>
      <c r="N3422" s="33">
        <f>(_xlfn.XLOOKUP(Pipeline_tbl[[#This Row],[Rate_Code_Generalized]],Lookups!A:A,Lookups!B:B))*Pipeline_tbl[[#This Row],[Pipeline_Amount_USD]]</f>
        <v>6287.2199999999993</v>
      </c>
      <c r="O3422" t="str">
        <f>_xlfn.XLOOKUP(Pipeline_tbl[[#This Row],[Rep_ID]],Dim_Reps!A:A,Dim_Reps!B:B)</f>
        <v>Alex Muller</v>
      </c>
      <c r="P3422" t="str">
        <f>_xlfn.XLOOKUP(Pipeline_tbl[[#This Row],[Rep_ID]],Dim_Reps!A:A,Dim_Reps!C:C)</f>
        <v>SDR / Inside Sales Rep</v>
      </c>
      <c r="Q3422" t="str">
        <f>_xlfn.XLOOKUP(Pipeline_tbl[[#This Row],[Rep_ID]],Dim_Reps!A:A,Dim_Reps!D:D)</f>
        <v>Inside Sales</v>
      </c>
      <c r="R3422" t="str">
        <f>_xlfn.XLOOKUP(Pipeline_tbl[[#This Row],[Rep_ID]],Dim_Reps!A:A,Dim_Reps!E:E)</f>
        <v>NAMER</v>
      </c>
      <c r="S3422" t="str">
        <f>_xlfn.XLOOKUP(Pipeline_tbl[[#This Row],[Created_Date]],Dim_Date!A:A,Dim_Date!H:H)</f>
        <v>Jun 2025</v>
      </c>
      <c r="T3422" t="str">
        <f>IF(Pipeline_tbl[[#This Row],[Closed_Date]]=0,"",(_xlfn.XLOOKUP(Pipeline_tbl[[#This Row],[Closed_Date]],Dim_Date!A:A,Dim_Date!H:H)))</f>
        <v>Jun 2025</v>
      </c>
      <c r="U3422">
        <f>IF(Pipeline_tbl[[#This Row],[Closed_Date]]=0,"",Pipeline_tbl[[#This Row],[Closed_Date]]-Pipeline_tbl[[#This Row],[Created_Date]])</f>
        <v>19</v>
      </c>
    </row>
    <row r="3423" spans="1:21" ht="15" customHeight="1" x14ac:dyDescent="0.2">
      <c r="A3423" t="s">
        <v>3729</v>
      </c>
      <c r="B3423" t="s">
        <v>225</v>
      </c>
      <c r="C3423" t="s">
        <v>55</v>
      </c>
      <c r="D3423" s="49">
        <v>45819</v>
      </c>
      <c r="E3423" s="49">
        <v>45820</v>
      </c>
      <c r="F3423" s="49">
        <v>45822</v>
      </c>
      <c r="G3423" s="49">
        <v>45824</v>
      </c>
      <c r="H3423" s="49">
        <v>45827</v>
      </c>
      <c r="I3423" s="49">
        <v>45828</v>
      </c>
      <c r="J3423" t="s">
        <v>47</v>
      </c>
      <c r="K3423" s="33">
        <v>2200</v>
      </c>
      <c r="M3423" t="str">
        <f>_xlfn.XLOOKUP(Pipeline_tbl[[#This Row],[Rep_ID]],Dim_Reps!A:A,Dim_Reps!K:K)</f>
        <v>USD</v>
      </c>
      <c r="N3423" s="33">
        <f>(_xlfn.XLOOKUP(Pipeline_tbl[[#This Row],[Rate_Code_Generalized]],Lookups!A:A,Lookups!B:B))*Pipeline_tbl[[#This Row],[Pipeline_Amount_USD]]</f>
        <v>2561.4599999999996</v>
      </c>
      <c r="O3423" t="str">
        <f>_xlfn.XLOOKUP(Pipeline_tbl[[#This Row],[Rep_ID]],Dim_Reps!A:A,Dim_Reps!B:B)</f>
        <v>Alex Muller</v>
      </c>
      <c r="P3423" t="str">
        <f>_xlfn.XLOOKUP(Pipeline_tbl[[#This Row],[Rep_ID]],Dim_Reps!A:A,Dim_Reps!C:C)</f>
        <v>SDR / Inside Sales Rep</v>
      </c>
      <c r="Q3423" t="str">
        <f>_xlfn.XLOOKUP(Pipeline_tbl[[#This Row],[Rep_ID]],Dim_Reps!A:A,Dim_Reps!D:D)</f>
        <v>Inside Sales</v>
      </c>
      <c r="R3423" t="str">
        <f>_xlfn.XLOOKUP(Pipeline_tbl[[#This Row],[Rep_ID]],Dim_Reps!A:A,Dim_Reps!E:E)</f>
        <v>NAMER</v>
      </c>
      <c r="S3423" t="str">
        <f>_xlfn.XLOOKUP(Pipeline_tbl[[#This Row],[Created_Date]],Dim_Date!A:A,Dim_Date!H:H)</f>
        <v>Jun 2025</v>
      </c>
      <c r="T3423" t="str">
        <f>IF(Pipeline_tbl[[#This Row],[Closed_Date]]=0,"",(_xlfn.XLOOKUP(Pipeline_tbl[[#This Row],[Closed_Date]],Dim_Date!A:A,Dim_Date!H:H)))</f>
        <v>Jun 2025</v>
      </c>
      <c r="U3423">
        <f>IF(Pipeline_tbl[[#This Row],[Closed_Date]]=0,"",Pipeline_tbl[[#This Row],[Closed_Date]]-Pipeline_tbl[[#This Row],[Created_Date]])</f>
        <v>9</v>
      </c>
    </row>
    <row r="3424" spans="1:21" ht="15" customHeight="1" x14ac:dyDescent="0.2">
      <c r="A3424" t="s">
        <v>3730</v>
      </c>
      <c r="B3424" t="s">
        <v>227</v>
      </c>
      <c r="C3424" t="s">
        <v>56</v>
      </c>
      <c r="D3424" s="49">
        <v>45811</v>
      </c>
      <c r="E3424" s="49">
        <v>45812</v>
      </c>
      <c r="F3424" s="49">
        <v>45815</v>
      </c>
      <c r="G3424" s="49">
        <v>45818</v>
      </c>
      <c r="H3424" s="49">
        <v>45821</v>
      </c>
      <c r="I3424" s="49">
        <v>45823</v>
      </c>
      <c r="J3424" t="s">
        <v>49</v>
      </c>
      <c r="K3424" s="33">
        <v>5900</v>
      </c>
      <c r="L3424" t="s">
        <v>62</v>
      </c>
      <c r="M3424" t="str">
        <f>_xlfn.XLOOKUP(Pipeline_tbl[[#This Row],[Rep_ID]],Dim_Reps!A:A,Dim_Reps!K:K)</f>
        <v>EUR</v>
      </c>
      <c r="N3424" s="33">
        <f>(_xlfn.XLOOKUP(Pipeline_tbl[[#This Row],[Rate_Code_Generalized]],Lookups!A:A,Lookups!B:B))*Pipeline_tbl[[#This Row],[Pipeline_Amount_USD]]</f>
        <v>5900</v>
      </c>
      <c r="O3424" t="str">
        <f>_xlfn.XLOOKUP(Pipeline_tbl[[#This Row],[Rep_ID]],Dim_Reps!A:A,Dim_Reps!B:B)</f>
        <v>Liam Muller</v>
      </c>
      <c r="P3424" t="str">
        <f>_xlfn.XLOOKUP(Pipeline_tbl[[#This Row],[Rep_ID]],Dim_Reps!A:A,Dim_Reps!C:C)</f>
        <v>SDR / Inside Sales Rep</v>
      </c>
      <c r="Q3424" t="str">
        <f>_xlfn.XLOOKUP(Pipeline_tbl[[#This Row],[Rep_ID]],Dim_Reps!A:A,Dim_Reps!D:D)</f>
        <v>Inside Sales</v>
      </c>
      <c r="R3424" t="str">
        <f>_xlfn.XLOOKUP(Pipeline_tbl[[#This Row],[Rep_ID]],Dim_Reps!A:A,Dim_Reps!E:E)</f>
        <v>EMEA</v>
      </c>
      <c r="S3424" t="str">
        <f>_xlfn.XLOOKUP(Pipeline_tbl[[#This Row],[Created_Date]],Dim_Date!A:A,Dim_Date!H:H)</f>
        <v>Jun 2025</v>
      </c>
      <c r="T3424" t="str">
        <f>IF(Pipeline_tbl[[#This Row],[Closed_Date]]=0,"",(_xlfn.XLOOKUP(Pipeline_tbl[[#This Row],[Closed_Date]],Dim_Date!A:A,Dim_Date!H:H)))</f>
        <v>Jun 2025</v>
      </c>
      <c r="U3424">
        <f>IF(Pipeline_tbl[[#This Row],[Closed_Date]]=0,"",Pipeline_tbl[[#This Row],[Closed_Date]]-Pipeline_tbl[[#This Row],[Created_Date]])</f>
        <v>12</v>
      </c>
    </row>
    <row r="3425" spans="1:21" ht="15" customHeight="1" x14ac:dyDescent="0.2">
      <c r="A3425" t="s">
        <v>3731</v>
      </c>
      <c r="B3425" t="s">
        <v>227</v>
      </c>
      <c r="C3425" t="s">
        <v>55</v>
      </c>
      <c r="D3425" s="49">
        <v>45813</v>
      </c>
      <c r="E3425" s="49">
        <v>45815</v>
      </c>
      <c r="F3425" s="49">
        <v>45819</v>
      </c>
      <c r="G3425" s="49">
        <v>45825</v>
      </c>
      <c r="H3425" s="49">
        <v>45830</v>
      </c>
      <c r="I3425" s="49">
        <v>45833</v>
      </c>
      <c r="J3425" t="s">
        <v>47</v>
      </c>
      <c r="K3425" s="33">
        <v>3300</v>
      </c>
      <c r="M3425" t="str">
        <f>_xlfn.XLOOKUP(Pipeline_tbl[[#This Row],[Rep_ID]],Dim_Reps!A:A,Dim_Reps!K:K)</f>
        <v>EUR</v>
      </c>
      <c r="N3425" s="33">
        <f>(_xlfn.XLOOKUP(Pipeline_tbl[[#This Row],[Rate_Code_Generalized]],Lookups!A:A,Lookups!B:B))*Pipeline_tbl[[#This Row],[Pipeline_Amount_USD]]</f>
        <v>3300</v>
      </c>
      <c r="O3425" t="str">
        <f>_xlfn.XLOOKUP(Pipeline_tbl[[#This Row],[Rep_ID]],Dim_Reps!A:A,Dim_Reps!B:B)</f>
        <v>Liam Muller</v>
      </c>
      <c r="P3425" t="str">
        <f>_xlfn.XLOOKUP(Pipeline_tbl[[#This Row],[Rep_ID]],Dim_Reps!A:A,Dim_Reps!C:C)</f>
        <v>SDR / Inside Sales Rep</v>
      </c>
      <c r="Q3425" t="str">
        <f>_xlfn.XLOOKUP(Pipeline_tbl[[#This Row],[Rep_ID]],Dim_Reps!A:A,Dim_Reps!D:D)</f>
        <v>Inside Sales</v>
      </c>
      <c r="R3425" t="str">
        <f>_xlfn.XLOOKUP(Pipeline_tbl[[#This Row],[Rep_ID]],Dim_Reps!A:A,Dim_Reps!E:E)</f>
        <v>EMEA</v>
      </c>
      <c r="S3425" t="str">
        <f>_xlfn.XLOOKUP(Pipeline_tbl[[#This Row],[Created_Date]],Dim_Date!A:A,Dim_Date!H:H)</f>
        <v>Jun 2025</v>
      </c>
      <c r="T3425" t="str">
        <f>IF(Pipeline_tbl[[#This Row],[Closed_Date]]=0,"",(_xlfn.XLOOKUP(Pipeline_tbl[[#This Row],[Closed_Date]],Dim_Date!A:A,Dim_Date!H:H)))</f>
        <v>Jun 2025</v>
      </c>
      <c r="U3425">
        <f>IF(Pipeline_tbl[[#This Row],[Closed_Date]]=0,"",Pipeline_tbl[[#This Row],[Closed_Date]]-Pipeline_tbl[[#This Row],[Created_Date]])</f>
        <v>20</v>
      </c>
    </row>
    <row r="3426" spans="1:21" ht="15" customHeight="1" x14ac:dyDescent="0.2">
      <c r="A3426" t="s">
        <v>3732</v>
      </c>
      <c r="B3426" t="s">
        <v>227</v>
      </c>
      <c r="C3426" t="s">
        <v>52</v>
      </c>
      <c r="D3426" s="49">
        <v>45819</v>
      </c>
      <c r="E3426" s="49">
        <v>45820</v>
      </c>
      <c r="F3426" s="49">
        <v>45823</v>
      </c>
      <c r="G3426" s="49">
        <v>45826</v>
      </c>
      <c r="I3426" s="49">
        <v>45831</v>
      </c>
      <c r="J3426" t="s">
        <v>49</v>
      </c>
      <c r="K3426" s="33">
        <v>5000</v>
      </c>
      <c r="L3426" t="s">
        <v>60</v>
      </c>
      <c r="M3426" t="str">
        <f>_xlfn.XLOOKUP(Pipeline_tbl[[#This Row],[Rep_ID]],Dim_Reps!A:A,Dim_Reps!K:K)</f>
        <v>EUR</v>
      </c>
      <c r="N3426" s="33">
        <f>(_xlfn.XLOOKUP(Pipeline_tbl[[#This Row],[Rate_Code_Generalized]],Lookups!A:A,Lookups!B:B))*Pipeline_tbl[[#This Row],[Pipeline_Amount_USD]]</f>
        <v>5000</v>
      </c>
      <c r="O3426" t="str">
        <f>_xlfn.XLOOKUP(Pipeline_tbl[[#This Row],[Rep_ID]],Dim_Reps!A:A,Dim_Reps!B:B)</f>
        <v>Liam Muller</v>
      </c>
      <c r="P3426" t="str">
        <f>_xlfn.XLOOKUP(Pipeline_tbl[[#This Row],[Rep_ID]],Dim_Reps!A:A,Dim_Reps!C:C)</f>
        <v>SDR / Inside Sales Rep</v>
      </c>
      <c r="Q3426" t="str">
        <f>_xlfn.XLOOKUP(Pipeline_tbl[[#This Row],[Rep_ID]],Dim_Reps!A:A,Dim_Reps!D:D)</f>
        <v>Inside Sales</v>
      </c>
      <c r="R3426" t="str">
        <f>_xlfn.XLOOKUP(Pipeline_tbl[[#This Row],[Rep_ID]],Dim_Reps!A:A,Dim_Reps!E:E)</f>
        <v>EMEA</v>
      </c>
      <c r="S3426" t="str">
        <f>_xlfn.XLOOKUP(Pipeline_tbl[[#This Row],[Created_Date]],Dim_Date!A:A,Dim_Date!H:H)</f>
        <v>Jun 2025</v>
      </c>
      <c r="T3426" t="str">
        <f>IF(Pipeline_tbl[[#This Row],[Closed_Date]]=0,"",(_xlfn.XLOOKUP(Pipeline_tbl[[#This Row],[Closed_Date]],Dim_Date!A:A,Dim_Date!H:H)))</f>
        <v>Jun 2025</v>
      </c>
      <c r="U3426">
        <f>IF(Pipeline_tbl[[#This Row],[Closed_Date]]=0,"",Pipeline_tbl[[#This Row],[Closed_Date]]-Pipeline_tbl[[#This Row],[Created_Date]])</f>
        <v>12</v>
      </c>
    </row>
    <row r="3427" spans="1:21" ht="15" customHeight="1" x14ac:dyDescent="0.2">
      <c r="A3427" t="s">
        <v>3733</v>
      </c>
      <c r="B3427" t="s">
        <v>227</v>
      </c>
      <c r="C3427" t="s">
        <v>54</v>
      </c>
      <c r="D3427" s="49">
        <v>45812</v>
      </c>
      <c r="E3427" s="49">
        <v>45813</v>
      </c>
      <c r="F3427" s="49">
        <v>45815</v>
      </c>
      <c r="G3427" s="49">
        <v>45817</v>
      </c>
      <c r="I3427" s="49">
        <v>45821</v>
      </c>
      <c r="J3427" t="s">
        <v>49</v>
      </c>
      <c r="K3427" s="33">
        <v>4400</v>
      </c>
      <c r="L3427" t="s">
        <v>63</v>
      </c>
      <c r="M3427" t="str">
        <f>_xlfn.XLOOKUP(Pipeline_tbl[[#This Row],[Rep_ID]],Dim_Reps!A:A,Dim_Reps!K:K)</f>
        <v>EUR</v>
      </c>
      <c r="N3427" s="33">
        <f>(_xlfn.XLOOKUP(Pipeline_tbl[[#This Row],[Rate_Code_Generalized]],Lookups!A:A,Lookups!B:B))*Pipeline_tbl[[#This Row],[Pipeline_Amount_USD]]</f>
        <v>4400</v>
      </c>
      <c r="O3427" t="str">
        <f>_xlfn.XLOOKUP(Pipeline_tbl[[#This Row],[Rep_ID]],Dim_Reps!A:A,Dim_Reps!B:B)</f>
        <v>Liam Muller</v>
      </c>
      <c r="P3427" t="str">
        <f>_xlfn.XLOOKUP(Pipeline_tbl[[#This Row],[Rep_ID]],Dim_Reps!A:A,Dim_Reps!C:C)</f>
        <v>SDR / Inside Sales Rep</v>
      </c>
      <c r="Q3427" t="str">
        <f>_xlfn.XLOOKUP(Pipeline_tbl[[#This Row],[Rep_ID]],Dim_Reps!A:A,Dim_Reps!D:D)</f>
        <v>Inside Sales</v>
      </c>
      <c r="R3427" t="str">
        <f>_xlfn.XLOOKUP(Pipeline_tbl[[#This Row],[Rep_ID]],Dim_Reps!A:A,Dim_Reps!E:E)</f>
        <v>EMEA</v>
      </c>
      <c r="S3427" t="str">
        <f>_xlfn.XLOOKUP(Pipeline_tbl[[#This Row],[Created_Date]],Dim_Date!A:A,Dim_Date!H:H)</f>
        <v>Jun 2025</v>
      </c>
      <c r="T3427" t="str">
        <f>IF(Pipeline_tbl[[#This Row],[Closed_Date]]=0,"",(_xlfn.XLOOKUP(Pipeline_tbl[[#This Row],[Closed_Date]],Dim_Date!A:A,Dim_Date!H:H)))</f>
        <v>Jun 2025</v>
      </c>
      <c r="U3427">
        <f>IF(Pipeline_tbl[[#This Row],[Closed_Date]]=0,"",Pipeline_tbl[[#This Row],[Closed_Date]]-Pipeline_tbl[[#This Row],[Created_Date]])</f>
        <v>9</v>
      </c>
    </row>
    <row r="3428" spans="1:21" ht="15" customHeight="1" x14ac:dyDescent="0.2">
      <c r="A3428" t="s">
        <v>3734</v>
      </c>
      <c r="B3428" t="s">
        <v>227</v>
      </c>
      <c r="C3428" t="s">
        <v>54</v>
      </c>
      <c r="D3428" s="49">
        <v>45816</v>
      </c>
      <c r="E3428" s="49">
        <v>45817</v>
      </c>
      <c r="F3428" s="49">
        <v>45820</v>
      </c>
      <c r="G3428" s="49">
        <v>45824</v>
      </c>
      <c r="H3428" s="49">
        <v>45828</v>
      </c>
      <c r="I3428" s="49">
        <v>45830</v>
      </c>
      <c r="J3428" t="s">
        <v>47</v>
      </c>
      <c r="K3428" s="33">
        <v>2200</v>
      </c>
      <c r="M3428" t="str">
        <f>_xlfn.XLOOKUP(Pipeline_tbl[[#This Row],[Rep_ID]],Dim_Reps!A:A,Dim_Reps!K:K)</f>
        <v>EUR</v>
      </c>
      <c r="N3428" s="33">
        <f>(_xlfn.XLOOKUP(Pipeline_tbl[[#This Row],[Rate_Code_Generalized]],Lookups!A:A,Lookups!B:B))*Pipeline_tbl[[#This Row],[Pipeline_Amount_USD]]</f>
        <v>2200</v>
      </c>
      <c r="O3428" t="str">
        <f>_xlfn.XLOOKUP(Pipeline_tbl[[#This Row],[Rep_ID]],Dim_Reps!A:A,Dim_Reps!B:B)</f>
        <v>Liam Muller</v>
      </c>
      <c r="P3428" t="str">
        <f>_xlfn.XLOOKUP(Pipeline_tbl[[#This Row],[Rep_ID]],Dim_Reps!A:A,Dim_Reps!C:C)</f>
        <v>SDR / Inside Sales Rep</v>
      </c>
      <c r="Q3428" t="str">
        <f>_xlfn.XLOOKUP(Pipeline_tbl[[#This Row],[Rep_ID]],Dim_Reps!A:A,Dim_Reps!D:D)</f>
        <v>Inside Sales</v>
      </c>
      <c r="R3428" t="str">
        <f>_xlfn.XLOOKUP(Pipeline_tbl[[#This Row],[Rep_ID]],Dim_Reps!A:A,Dim_Reps!E:E)</f>
        <v>EMEA</v>
      </c>
      <c r="S3428" t="str">
        <f>_xlfn.XLOOKUP(Pipeline_tbl[[#This Row],[Created_Date]],Dim_Date!A:A,Dim_Date!H:H)</f>
        <v>Jun 2025</v>
      </c>
      <c r="T3428" t="str">
        <f>IF(Pipeline_tbl[[#This Row],[Closed_Date]]=0,"",(_xlfn.XLOOKUP(Pipeline_tbl[[#This Row],[Closed_Date]],Dim_Date!A:A,Dim_Date!H:H)))</f>
        <v>Jun 2025</v>
      </c>
      <c r="U3428">
        <f>IF(Pipeline_tbl[[#This Row],[Closed_Date]]=0,"",Pipeline_tbl[[#This Row],[Closed_Date]]-Pipeline_tbl[[#This Row],[Created_Date]])</f>
        <v>14</v>
      </c>
    </row>
    <row r="3429" spans="1:21" ht="15" customHeight="1" x14ac:dyDescent="0.2">
      <c r="A3429" t="s">
        <v>3735</v>
      </c>
      <c r="B3429" t="s">
        <v>227</v>
      </c>
      <c r="C3429" t="s">
        <v>52</v>
      </c>
      <c r="D3429" s="49">
        <v>45812</v>
      </c>
      <c r="E3429" s="49">
        <v>45814</v>
      </c>
      <c r="I3429" s="49">
        <v>45833</v>
      </c>
      <c r="J3429" t="s">
        <v>49</v>
      </c>
      <c r="K3429" s="33">
        <v>1500</v>
      </c>
      <c r="L3429" t="s">
        <v>62</v>
      </c>
      <c r="M3429" t="str">
        <f>_xlfn.XLOOKUP(Pipeline_tbl[[#This Row],[Rep_ID]],Dim_Reps!A:A,Dim_Reps!K:K)</f>
        <v>EUR</v>
      </c>
      <c r="N3429" s="33">
        <f>(_xlfn.XLOOKUP(Pipeline_tbl[[#This Row],[Rate_Code_Generalized]],Lookups!A:A,Lookups!B:B))*Pipeline_tbl[[#This Row],[Pipeline_Amount_USD]]</f>
        <v>1500</v>
      </c>
      <c r="O3429" t="str">
        <f>_xlfn.XLOOKUP(Pipeline_tbl[[#This Row],[Rep_ID]],Dim_Reps!A:A,Dim_Reps!B:B)</f>
        <v>Liam Muller</v>
      </c>
      <c r="P3429" t="str">
        <f>_xlfn.XLOOKUP(Pipeline_tbl[[#This Row],[Rep_ID]],Dim_Reps!A:A,Dim_Reps!C:C)</f>
        <v>SDR / Inside Sales Rep</v>
      </c>
      <c r="Q3429" t="str">
        <f>_xlfn.XLOOKUP(Pipeline_tbl[[#This Row],[Rep_ID]],Dim_Reps!A:A,Dim_Reps!D:D)</f>
        <v>Inside Sales</v>
      </c>
      <c r="R3429" t="str">
        <f>_xlfn.XLOOKUP(Pipeline_tbl[[#This Row],[Rep_ID]],Dim_Reps!A:A,Dim_Reps!E:E)</f>
        <v>EMEA</v>
      </c>
      <c r="S3429" t="str">
        <f>_xlfn.XLOOKUP(Pipeline_tbl[[#This Row],[Created_Date]],Dim_Date!A:A,Dim_Date!H:H)</f>
        <v>Jun 2025</v>
      </c>
      <c r="T3429" t="str">
        <f>IF(Pipeline_tbl[[#This Row],[Closed_Date]]=0,"",(_xlfn.XLOOKUP(Pipeline_tbl[[#This Row],[Closed_Date]],Dim_Date!A:A,Dim_Date!H:H)))</f>
        <v>Jun 2025</v>
      </c>
      <c r="U3429">
        <f>IF(Pipeline_tbl[[#This Row],[Closed_Date]]=0,"",Pipeline_tbl[[#This Row],[Closed_Date]]-Pipeline_tbl[[#This Row],[Created_Date]])</f>
        <v>21</v>
      </c>
    </row>
    <row r="3430" spans="1:21" ht="15" customHeight="1" x14ac:dyDescent="0.2">
      <c r="A3430" t="s">
        <v>3736</v>
      </c>
      <c r="B3430" t="s">
        <v>227</v>
      </c>
      <c r="C3430" t="s">
        <v>52</v>
      </c>
      <c r="D3430" s="49">
        <v>45814</v>
      </c>
      <c r="E3430" s="49">
        <v>45816</v>
      </c>
      <c r="I3430" s="49">
        <v>45834</v>
      </c>
      <c r="J3430" t="s">
        <v>49</v>
      </c>
      <c r="K3430" s="33">
        <v>3300</v>
      </c>
      <c r="L3430" t="s">
        <v>62</v>
      </c>
      <c r="M3430" t="str">
        <f>_xlfn.XLOOKUP(Pipeline_tbl[[#This Row],[Rep_ID]],Dim_Reps!A:A,Dim_Reps!K:K)</f>
        <v>EUR</v>
      </c>
      <c r="N3430" s="33">
        <f>(_xlfn.XLOOKUP(Pipeline_tbl[[#This Row],[Rate_Code_Generalized]],Lookups!A:A,Lookups!B:B))*Pipeline_tbl[[#This Row],[Pipeline_Amount_USD]]</f>
        <v>3300</v>
      </c>
      <c r="O3430" t="str">
        <f>_xlfn.XLOOKUP(Pipeline_tbl[[#This Row],[Rep_ID]],Dim_Reps!A:A,Dim_Reps!B:B)</f>
        <v>Liam Muller</v>
      </c>
      <c r="P3430" t="str">
        <f>_xlfn.XLOOKUP(Pipeline_tbl[[#This Row],[Rep_ID]],Dim_Reps!A:A,Dim_Reps!C:C)</f>
        <v>SDR / Inside Sales Rep</v>
      </c>
      <c r="Q3430" t="str">
        <f>_xlfn.XLOOKUP(Pipeline_tbl[[#This Row],[Rep_ID]],Dim_Reps!A:A,Dim_Reps!D:D)</f>
        <v>Inside Sales</v>
      </c>
      <c r="R3430" t="str">
        <f>_xlfn.XLOOKUP(Pipeline_tbl[[#This Row],[Rep_ID]],Dim_Reps!A:A,Dim_Reps!E:E)</f>
        <v>EMEA</v>
      </c>
      <c r="S3430" t="str">
        <f>_xlfn.XLOOKUP(Pipeline_tbl[[#This Row],[Created_Date]],Dim_Date!A:A,Dim_Date!H:H)</f>
        <v>Jun 2025</v>
      </c>
      <c r="T3430" t="str">
        <f>IF(Pipeline_tbl[[#This Row],[Closed_Date]]=0,"",(_xlfn.XLOOKUP(Pipeline_tbl[[#This Row],[Closed_Date]],Dim_Date!A:A,Dim_Date!H:H)))</f>
        <v>Jun 2025</v>
      </c>
      <c r="U3430">
        <f>IF(Pipeline_tbl[[#This Row],[Closed_Date]]=0,"",Pipeline_tbl[[#This Row],[Closed_Date]]-Pipeline_tbl[[#This Row],[Created_Date]])</f>
        <v>20</v>
      </c>
    </row>
    <row r="3431" spans="1:21" ht="15" customHeight="1" x14ac:dyDescent="0.2">
      <c r="A3431" t="s">
        <v>3737</v>
      </c>
      <c r="B3431" t="s">
        <v>229</v>
      </c>
      <c r="C3431" t="s">
        <v>56</v>
      </c>
      <c r="D3431" s="49">
        <v>45816</v>
      </c>
      <c r="E3431" s="49">
        <v>45817</v>
      </c>
      <c r="F3431" s="49">
        <v>45820</v>
      </c>
      <c r="I3431" s="49">
        <v>45829</v>
      </c>
      <c r="J3431" t="s">
        <v>49</v>
      </c>
      <c r="K3431" s="33">
        <v>4400</v>
      </c>
      <c r="L3431" t="s">
        <v>62</v>
      </c>
      <c r="M3431" t="str">
        <f>_xlfn.XLOOKUP(Pipeline_tbl[[#This Row],[Rep_ID]],Dim_Reps!A:A,Dim_Reps!K:K)</f>
        <v>USD</v>
      </c>
      <c r="N3431" s="33">
        <f>(_xlfn.XLOOKUP(Pipeline_tbl[[#This Row],[Rate_Code_Generalized]],Lookups!A:A,Lookups!B:B))*Pipeline_tbl[[#This Row],[Pipeline_Amount_USD]]</f>
        <v>5122.9199999999992</v>
      </c>
      <c r="O3431" t="str">
        <f>_xlfn.XLOOKUP(Pipeline_tbl[[#This Row],[Rep_ID]],Dim_Reps!A:A,Dim_Reps!B:B)</f>
        <v>Liam Castro</v>
      </c>
      <c r="P3431" t="str">
        <f>_xlfn.XLOOKUP(Pipeline_tbl[[#This Row],[Rep_ID]],Dim_Reps!A:A,Dim_Reps!C:C)</f>
        <v>SDR / Inside Sales Rep</v>
      </c>
      <c r="Q3431" t="str">
        <f>_xlfn.XLOOKUP(Pipeline_tbl[[#This Row],[Rep_ID]],Dim_Reps!A:A,Dim_Reps!D:D)</f>
        <v>Inside Sales</v>
      </c>
      <c r="R3431" t="str">
        <f>_xlfn.XLOOKUP(Pipeline_tbl[[#This Row],[Rep_ID]],Dim_Reps!A:A,Dim_Reps!E:E)</f>
        <v>NAMER</v>
      </c>
      <c r="S3431" t="str">
        <f>_xlfn.XLOOKUP(Pipeline_tbl[[#This Row],[Created_Date]],Dim_Date!A:A,Dim_Date!H:H)</f>
        <v>Jun 2025</v>
      </c>
      <c r="T3431" t="str">
        <f>IF(Pipeline_tbl[[#This Row],[Closed_Date]]=0,"",(_xlfn.XLOOKUP(Pipeline_tbl[[#This Row],[Closed_Date]],Dim_Date!A:A,Dim_Date!H:H)))</f>
        <v>Jun 2025</v>
      </c>
      <c r="U3431">
        <f>IF(Pipeline_tbl[[#This Row],[Closed_Date]]=0,"",Pipeline_tbl[[#This Row],[Closed_Date]]-Pipeline_tbl[[#This Row],[Created_Date]])</f>
        <v>13</v>
      </c>
    </row>
    <row r="3432" spans="1:21" ht="15" customHeight="1" x14ac:dyDescent="0.2">
      <c r="A3432" t="s">
        <v>3738</v>
      </c>
      <c r="B3432" t="s">
        <v>229</v>
      </c>
      <c r="C3432" t="s">
        <v>52</v>
      </c>
      <c r="D3432" s="49">
        <v>45810</v>
      </c>
      <c r="E3432" s="49">
        <v>45812</v>
      </c>
      <c r="F3432" s="49">
        <v>45816</v>
      </c>
      <c r="I3432" s="49">
        <v>45830</v>
      </c>
      <c r="J3432" t="s">
        <v>49</v>
      </c>
      <c r="K3432" s="33">
        <v>2200</v>
      </c>
      <c r="L3432" t="s">
        <v>61</v>
      </c>
      <c r="M3432" t="str">
        <f>_xlfn.XLOOKUP(Pipeline_tbl[[#This Row],[Rep_ID]],Dim_Reps!A:A,Dim_Reps!K:K)</f>
        <v>USD</v>
      </c>
      <c r="N3432" s="33">
        <f>(_xlfn.XLOOKUP(Pipeline_tbl[[#This Row],[Rate_Code_Generalized]],Lookups!A:A,Lookups!B:B))*Pipeline_tbl[[#This Row],[Pipeline_Amount_USD]]</f>
        <v>2561.4599999999996</v>
      </c>
      <c r="O3432" t="str">
        <f>_xlfn.XLOOKUP(Pipeline_tbl[[#This Row],[Rep_ID]],Dim_Reps!A:A,Dim_Reps!B:B)</f>
        <v>Liam Castro</v>
      </c>
      <c r="P3432" t="str">
        <f>_xlfn.XLOOKUP(Pipeline_tbl[[#This Row],[Rep_ID]],Dim_Reps!A:A,Dim_Reps!C:C)</f>
        <v>SDR / Inside Sales Rep</v>
      </c>
      <c r="Q3432" t="str">
        <f>_xlfn.XLOOKUP(Pipeline_tbl[[#This Row],[Rep_ID]],Dim_Reps!A:A,Dim_Reps!D:D)</f>
        <v>Inside Sales</v>
      </c>
      <c r="R3432" t="str">
        <f>_xlfn.XLOOKUP(Pipeline_tbl[[#This Row],[Rep_ID]],Dim_Reps!A:A,Dim_Reps!E:E)</f>
        <v>NAMER</v>
      </c>
      <c r="S3432" t="str">
        <f>_xlfn.XLOOKUP(Pipeline_tbl[[#This Row],[Created_Date]],Dim_Date!A:A,Dim_Date!H:H)</f>
        <v>Jun 2025</v>
      </c>
      <c r="T3432" t="str">
        <f>IF(Pipeline_tbl[[#This Row],[Closed_Date]]=0,"",(_xlfn.XLOOKUP(Pipeline_tbl[[#This Row],[Closed_Date]],Dim_Date!A:A,Dim_Date!H:H)))</f>
        <v>Jun 2025</v>
      </c>
      <c r="U3432">
        <f>IF(Pipeline_tbl[[#This Row],[Closed_Date]]=0,"",Pipeline_tbl[[#This Row],[Closed_Date]]-Pipeline_tbl[[#This Row],[Created_Date]])</f>
        <v>20</v>
      </c>
    </row>
    <row r="3433" spans="1:21" ht="15" customHeight="1" x14ac:dyDescent="0.2">
      <c r="A3433" t="s">
        <v>3739</v>
      </c>
      <c r="B3433" t="s">
        <v>229</v>
      </c>
      <c r="C3433" t="s">
        <v>52</v>
      </c>
      <c r="D3433" s="49">
        <v>45816</v>
      </c>
      <c r="E3433" s="49">
        <v>45818</v>
      </c>
      <c r="F3433" s="49">
        <v>45822</v>
      </c>
      <c r="G3433" s="49">
        <v>45829</v>
      </c>
      <c r="I3433" s="49">
        <v>45837</v>
      </c>
      <c r="J3433" t="s">
        <v>49</v>
      </c>
      <c r="K3433" s="33">
        <v>3500</v>
      </c>
      <c r="L3433" t="s">
        <v>64</v>
      </c>
      <c r="M3433" t="str">
        <f>_xlfn.XLOOKUP(Pipeline_tbl[[#This Row],[Rep_ID]],Dim_Reps!A:A,Dim_Reps!K:K)</f>
        <v>USD</v>
      </c>
      <c r="N3433" s="33">
        <f>(_xlfn.XLOOKUP(Pipeline_tbl[[#This Row],[Rate_Code_Generalized]],Lookups!A:A,Lookups!B:B))*Pipeline_tbl[[#This Row],[Pipeline_Amount_USD]]</f>
        <v>4075.0499999999997</v>
      </c>
      <c r="O3433" t="str">
        <f>_xlfn.XLOOKUP(Pipeline_tbl[[#This Row],[Rep_ID]],Dim_Reps!A:A,Dim_Reps!B:B)</f>
        <v>Liam Castro</v>
      </c>
      <c r="P3433" t="str">
        <f>_xlfn.XLOOKUP(Pipeline_tbl[[#This Row],[Rep_ID]],Dim_Reps!A:A,Dim_Reps!C:C)</f>
        <v>SDR / Inside Sales Rep</v>
      </c>
      <c r="Q3433" t="str">
        <f>_xlfn.XLOOKUP(Pipeline_tbl[[#This Row],[Rep_ID]],Dim_Reps!A:A,Dim_Reps!D:D)</f>
        <v>Inside Sales</v>
      </c>
      <c r="R3433" t="str">
        <f>_xlfn.XLOOKUP(Pipeline_tbl[[#This Row],[Rep_ID]],Dim_Reps!A:A,Dim_Reps!E:E)</f>
        <v>NAMER</v>
      </c>
      <c r="S3433" t="str">
        <f>_xlfn.XLOOKUP(Pipeline_tbl[[#This Row],[Created_Date]],Dim_Date!A:A,Dim_Date!H:H)</f>
        <v>Jun 2025</v>
      </c>
      <c r="T3433" t="str">
        <f>IF(Pipeline_tbl[[#This Row],[Closed_Date]]=0,"",(_xlfn.XLOOKUP(Pipeline_tbl[[#This Row],[Closed_Date]],Dim_Date!A:A,Dim_Date!H:H)))</f>
        <v>Jun 2025</v>
      </c>
      <c r="U3433">
        <f>IF(Pipeline_tbl[[#This Row],[Closed_Date]]=0,"",Pipeline_tbl[[#This Row],[Closed_Date]]-Pipeline_tbl[[#This Row],[Created_Date]])</f>
        <v>21</v>
      </c>
    </row>
    <row r="3434" spans="1:21" ht="15" customHeight="1" x14ac:dyDescent="0.2">
      <c r="A3434" t="s">
        <v>3740</v>
      </c>
      <c r="B3434" t="s">
        <v>229</v>
      </c>
      <c r="C3434" t="s">
        <v>56</v>
      </c>
      <c r="D3434" s="49">
        <v>45811</v>
      </c>
      <c r="E3434" s="49">
        <v>45812</v>
      </c>
      <c r="F3434" s="49">
        <v>45815</v>
      </c>
      <c r="G3434" s="49">
        <v>45819</v>
      </c>
      <c r="I3434" s="49">
        <v>45825</v>
      </c>
      <c r="J3434" t="s">
        <v>49</v>
      </c>
      <c r="K3434" s="33">
        <v>5600</v>
      </c>
      <c r="L3434" t="s">
        <v>60</v>
      </c>
      <c r="M3434" t="str">
        <f>_xlfn.XLOOKUP(Pipeline_tbl[[#This Row],[Rep_ID]],Dim_Reps!A:A,Dim_Reps!K:K)</f>
        <v>USD</v>
      </c>
      <c r="N3434" s="33">
        <f>(_xlfn.XLOOKUP(Pipeline_tbl[[#This Row],[Rate_Code_Generalized]],Lookups!A:A,Lookups!B:B))*Pipeline_tbl[[#This Row],[Pipeline_Amount_USD]]</f>
        <v>6520.079999999999</v>
      </c>
      <c r="O3434" t="str">
        <f>_xlfn.XLOOKUP(Pipeline_tbl[[#This Row],[Rep_ID]],Dim_Reps!A:A,Dim_Reps!B:B)</f>
        <v>Liam Castro</v>
      </c>
      <c r="P3434" t="str">
        <f>_xlfn.XLOOKUP(Pipeline_tbl[[#This Row],[Rep_ID]],Dim_Reps!A:A,Dim_Reps!C:C)</f>
        <v>SDR / Inside Sales Rep</v>
      </c>
      <c r="Q3434" t="str">
        <f>_xlfn.XLOOKUP(Pipeline_tbl[[#This Row],[Rep_ID]],Dim_Reps!A:A,Dim_Reps!D:D)</f>
        <v>Inside Sales</v>
      </c>
      <c r="R3434" t="str">
        <f>_xlfn.XLOOKUP(Pipeline_tbl[[#This Row],[Rep_ID]],Dim_Reps!A:A,Dim_Reps!E:E)</f>
        <v>NAMER</v>
      </c>
      <c r="S3434" t="str">
        <f>_xlfn.XLOOKUP(Pipeline_tbl[[#This Row],[Created_Date]],Dim_Date!A:A,Dim_Date!H:H)</f>
        <v>Jun 2025</v>
      </c>
      <c r="T3434" t="str">
        <f>IF(Pipeline_tbl[[#This Row],[Closed_Date]]=0,"",(_xlfn.XLOOKUP(Pipeline_tbl[[#This Row],[Closed_Date]],Dim_Date!A:A,Dim_Date!H:H)))</f>
        <v>Jun 2025</v>
      </c>
      <c r="U3434">
        <f>IF(Pipeline_tbl[[#This Row],[Closed_Date]]=0,"",Pipeline_tbl[[#This Row],[Closed_Date]]-Pipeline_tbl[[#This Row],[Created_Date]])</f>
        <v>14</v>
      </c>
    </row>
    <row r="3435" spans="1:21" ht="15" customHeight="1" x14ac:dyDescent="0.2">
      <c r="A3435" t="s">
        <v>3741</v>
      </c>
      <c r="B3435" t="s">
        <v>229</v>
      </c>
      <c r="C3435" t="s">
        <v>55</v>
      </c>
      <c r="D3435" s="49">
        <v>45822</v>
      </c>
      <c r="E3435" s="49">
        <v>45823</v>
      </c>
      <c r="F3435" s="49">
        <v>45825</v>
      </c>
      <c r="G3435" s="49">
        <v>45827</v>
      </c>
      <c r="H3435" s="49">
        <v>45830</v>
      </c>
      <c r="I3435" s="49">
        <v>45831</v>
      </c>
      <c r="J3435" t="s">
        <v>47</v>
      </c>
      <c r="K3435" s="33">
        <v>4500</v>
      </c>
      <c r="M3435" t="str">
        <f>_xlfn.XLOOKUP(Pipeline_tbl[[#This Row],[Rep_ID]],Dim_Reps!A:A,Dim_Reps!K:K)</f>
        <v>USD</v>
      </c>
      <c r="N3435" s="33">
        <f>(_xlfn.XLOOKUP(Pipeline_tbl[[#This Row],[Rate_Code_Generalized]],Lookups!A:A,Lookups!B:B))*Pipeline_tbl[[#This Row],[Pipeline_Amount_USD]]</f>
        <v>5239.3499999999995</v>
      </c>
      <c r="O3435" t="str">
        <f>_xlfn.XLOOKUP(Pipeline_tbl[[#This Row],[Rep_ID]],Dim_Reps!A:A,Dim_Reps!B:B)</f>
        <v>Liam Castro</v>
      </c>
      <c r="P3435" t="str">
        <f>_xlfn.XLOOKUP(Pipeline_tbl[[#This Row],[Rep_ID]],Dim_Reps!A:A,Dim_Reps!C:C)</f>
        <v>SDR / Inside Sales Rep</v>
      </c>
      <c r="Q3435" t="str">
        <f>_xlfn.XLOOKUP(Pipeline_tbl[[#This Row],[Rep_ID]],Dim_Reps!A:A,Dim_Reps!D:D)</f>
        <v>Inside Sales</v>
      </c>
      <c r="R3435" t="str">
        <f>_xlfn.XLOOKUP(Pipeline_tbl[[#This Row],[Rep_ID]],Dim_Reps!A:A,Dim_Reps!E:E)</f>
        <v>NAMER</v>
      </c>
      <c r="S3435" t="str">
        <f>_xlfn.XLOOKUP(Pipeline_tbl[[#This Row],[Created_Date]],Dim_Date!A:A,Dim_Date!H:H)</f>
        <v>Jun 2025</v>
      </c>
      <c r="T3435" t="str">
        <f>IF(Pipeline_tbl[[#This Row],[Closed_Date]]=0,"",(_xlfn.XLOOKUP(Pipeline_tbl[[#This Row],[Closed_Date]],Dim_Date!A:A,Dim_Date!H:H)))</f>
        <v>Jun 2025</v>
      </c>
      <c r="U3435">
        <f>IF(Pipeline_tbl[[#This Row],[Closed_Date]]=0,"",Pipeline_tbl[[#This Row],[Closed_Date]]-Pipeline_tbl[[#This Row],[Created_Date]])</f>
        <v>9</v>
      </c>
    </row>
    <row r="3436" spans="1:21" ht="15" customHeight="1" x14ac:dyDescent="0.2">
      <c r="A3436" t="s">
        <v>3742</v>
      </c>
      <c r="B3436" t="s">
        <v>229</v>
      </c>
      <c r="C3436" t="s">
        <v>52</v>
      </c>
      <c r="D3436" s="49">
        <v>45812</v>
      </c>
      <c r="E3436" s="49">
        <v>45812</v>
      </c>
      <c r="F3436" s="49">
        <v>45814</v>
      </c>
      <c r="G3436" s="49">
        <v>45815</v>
      </c>
      <c r="H3436" s="49">
        <v>45816</v>
      </c>
      <c r="I3436" s="49">
        <v>45817</v>
      </c>
      <c r="J3436" t="s">
        <v>47</v>
      </c>
      <c r="K3436" s="33">
        <v>3000</v>
      </c>
      <c r="M3436" t="str">
        <f>_xlfn.XLOOKUP(Pipeline_tbl[[#This Row],[Rep_ID]],Dim_Reps!A:A,Dim_Reps!K:K)</f>
        <v>USD</v>
      </c>
      <c r="N3436" s="33">
        <f>(_xlfn.XLOOKUP(Pipeline_tbl[[#This Row],[Rate_Code_Generalized]],Lookups!A:A,Lookups!B:B))*Pipeline_tbl[[#This Row],[Pipeline_Amount_USD]]</f>
        <v>3492.8999999999996</v>
      </c>
      <c r="O3436" t="str">
        <f>_xlfn.XLOOKUP(Pipeline_tbl[[#This Row],[Rep_ID]],Dim_Reps!A:A,Dim_Reps!B:B)</f>
        <v>Liam Castro</v>
      </c>
      <c r="P3436" t="str">
        <f>_xlfn.XLOOKUP(Pipeline_tbl[[#This Row],[Rep_ID]],Dim_Reps!A:A,Dim_Reps!C:C)</f>
        <v>SDR / Inside Sales Rep</v>
      </c>
      <c r="Q3436" t="str">
        <f>_xlfn.XLOOKUP(Pipeline_tbl[[#This Row],[Rep_ID]],Dim_Reps!A:A,Dim_Reps!D:D)</f>
        <v>Inside Sales</v>
      </c>
      <c r="R3436" t="str">
        <f>_xlfn.XLOOKUP(Pipeline_tbl[[#This Row],[Rep_ID]],Dim_Reps!A:A,Dim_Reps!E:E)</f>
        <v>NAMER</v>
      </c>
      <c r="S3436" t="str">
        <f>_xlfn.XLOOKUP(Pipeline_tbl[[#This Row],[Created_Date]],Dim_Date!A:A,Dim_Date!H:H)</f>
        <v>Jun 2025</v>
      </c>
      <c r="T3436" t="str">
        <f>IF(Pipeline_tbl[[#This Row],[Closed_Date]]=0,"",(_xlfn.XLOOKUP(Pipeline_tbl[[#This Row],[Closed_Date]],Dim_Date!A:A,Dim_Date!H:H)))</f>
        <v>Jun 2025</v>
      </c>
      <c r="U3436">
        <f>IF(Pipeline_tbl[[#This Row],[Closed_Date]]=0,"",Pipeline_tbl[[#This Row],[Closed_Date]]-Pipeline_tbl[[#This Row],[Created_Date]])</f>
        <v>5</v>
      </c>
    </row>
    <row r="3437" spans="1:21" ht="15" customHeight="1" x14ac:dyDescent="0.2">
      <c r="A3437" t="s">
        <v>3743</v>
      </c>
      <c r="B3437" t="s">
        <v>229</v>
      </c>
      <c r="C3437" t="s">
        <v>55</v>
      </c>
      <c r="D3437" s="49">
        <v>45823</v>
      </c>
      <c r="E3437" s="49">
        <v>45823</v>
      </c>
      <c r="F3437" s="49">
        <v>45825</v>
      </c>
      <c r="G3437" s="49">
        <v>45826</v>
      </c>
      <c r="H3437" s="49">
        <v>45827</v>
      </c>
      <c r="I3437" s="49">
        <v>45828</v>
      </c>
      <c r="J3437" t="s">
        <v>47</v>
      </c>
      <c r="K3437" s="33">
        <v>8700</v>
      </c>
      <c r="M3437" t="str">
        <f>_xlfn.XLOOKUP(Pipeline_tbl[[#This Row],[Rep_ID]],Dim_Reps!A:A,Dim_Reps!K:K)</f>
        <v>USD</v>
      </c>
      <c r="N3437" s="33">
        <f>(_xlfn.XLOOKUP(Pipeline_tbl[[#This Row],[Rate_Code_Generalized]],Lookups!A:A,Lookups!B:B))*Pipeline_tbl[[#This Row],[Pipeline_Amount_USD]]</f>
        <v>10129.41</v>
      </c>
      <c r="O3437" t="str">
        <f>_xlfn.XLOOKUP(Pipeline_tbl[[#This Row],[Rep_ID]],Dim_Reps!A:A,Dim_Reps!B:B)</f>
        <v>Liam Castro</v>
      </c>
      <c r="P3437" t="str">
        <f>_xlfn.XLOOKUP(Pipeline_tbl[[#This Row],[Rep_ID]],Dim_Reps!A:A,Dim_Reps!C:C)</f>
        <v>SDR / Inside Sales Rep</v>
      </c>
      <c r="Q3437" t="str">
        <f>_xlfn.XLOOKUP(Pipeline_tbl[[#This Row],[Rep_ID]],Dim_Reps!A:A,Dim_Reps!D:D)</f>
        <v>Inside Sales</v>
      </c>
      <c r="R3437" t="str">
        <f>_xlfn.XLOOKUP(Pipeline_tbl[[#This Row],[Rep_ID]],Dim_Reps!A:A,Dim_Reps!E:E)</f>
        <v>NAMER</v>
      </c>
      <c r="S3437" t="str">
        <f>_xlfn.XLOOKUP(Pipeline_tbl[[#This Row],[Created_Date]],Dim_Date!A:A,Dim_Date!H:H)</f>
        <v>Jun 2025</v>
      </c>
      <c r="T3437" t="str">
        <f>IF(Pipeline_tbl[[#This Row],[Closed_Date]]=0,"",(_xlfn.XLOOKUP(Pipeline_tbl[[#This Row],[Closed_Date]],Dim_Date!A:A,Dim_Date!H:H)))</f>
        <v>Jun 2025</v>
      </c>
      <c r="U3437">
        <f>IF(Pipeline_tbl[[#This Row],[Closed_Date]]=0,"",Pipeline_tbl[[#This Row],[Closed_Date]]-Pipeline_tbl[[#This Row],[Created_Date]])</f>
        <v>5</v>
      </c>
    </row>
    <row r="3438" spans="1:21" ht="15" customHeight="1" x14ac:dyDescent="0.2">
      <c r="A3438" t="s">
        <v>3744</v>
      </c>
      <c r="B3438" t="s">
        <v>231</v>
      </c>
      <c r="C3438" t="s">
        <v>52</v>
      </c>
      <c r="D3438" s="49">
        <v>45813</v>
      </c>
      <c r="E3438" s="49">
        <v>45814</v>
      </c>
      <c r="F3438" s="49">
        <v>45817</v>
      </c>
      <c r="G3438" s="49">
        <v>45821</v>
      </c>
      <c r="H3438" s="49">
        <v>45825</v>
      </c>
      <c r="I3438" s="49">
        <v>45827</v>
      </c>
      <c r="J3438" t="s">
        <v>49</v>
      </c>
      <c r="K3438" s="33">
        <v>5300</v>
      </c>
      <c r="L3438" t="s">
        <v>61</v>
      </c>
      <c r="M3438" t="str">
        <f>_xlfn.XLOOKUP(Pipeline_tbl[[#This Row],[Rep_ID]],Dim_Reps!A:A,Dim_Reps!K:K)</f>
        <v>MXN</v>
      </c>
      <c r="N3438" s="33">
        <f>(_xlfn.XLOOKUP(Pipeline_tbl[[#This Row],[Rate_Code_Generalized]],Lookups!A:A,Lookups!B:B))*Pipeline_tbl[[#This Row],[Pipeline_Amount_USD]]</f>
        <v>104583.31000000001</v>
      </c>
      <c r="O3438" t="str">
        <f>_xlfn.XLOOKUP(Pipeline_tbl[[#This Row],[Rep_ID]],Dim_Reps!A:A,Dim_Reps!B:B)</f>
        <v>Ben Silva</v>
      </c>
      <c r="P3438" t="str">
        <f>_xlfn.XLOOKUP(Pipeline_tbl[[#This Row],[Rep_ID]],Dim_Reps!A:A,Dim_Reps!C:C)</f>
        <v>SDR / Inside Sales Rep</v>
      </c>
      <c r="Q3438" t="str">
        <f>_xlfn.XLOOKUP(Pipeline_tbl[[#This Row],[Rep_ID]],Dim_Reps!A:A,Dim_Reps!D:D)</f>
        <v>Inside Sales</v>
      </c>
      <c r="R3438" t="str">
        <f>_xlfn.XLOOKUP(Pipeline_tbl[[#This Row],[Rep_ID]],Dim_Reps!A:A,Dim_Reps!E:E)</f>
        <v>LATAM</v>
      </c>
      <c r="S3438" t="str">
        <f>_xlfn.XLOOKUP(Pipeline_tbl[[#This Row],[Created_Date]],Dim_Date!A:A,Dim_Date!H:H)</f>
        <v>Jun 2025</v>
      </c>
      <c r="T3438" t="str">
        <f>IF(Pipeline_tbl[[#This Row],[Closed_Date]]=0,"",(_xlfn.XLOOKUP(Pipeline_tbl[[#This Row],[Closed_Date]],Dim_Date!A:A,Dim_Date!H:H)))</f>
        <v>Jun 2025</v>
      </c>
      <c r="U3438">
        <f>IF(Pipeline_tbl[[#This Row],[Closed_Date]]=0,"",Pipeline_tbl[[#This Row],[Closed_Date]]-Pipeline_tbl[[#This Row],[Created_Date]])</f>
        <v>14</v>
      </c>
    </row>
    <row r="3439" spans="1:21" ht="15" customHeight="1" x14ac:dyDescent="0.2">
      <c r="A3439" t="s">
        <v>3745</v>
      </c>
      <c r="B3439" t="s">
        <v>231</v>
      </c>
      <c r="C3439" t="s">
        <v>52</v>
      </c>
      <c r="D3439" s="49">
        <v>45816</v>
      </c>
      <c r="E3439" s="49">
        <v>45818</v>
      </c>
      <c r="I3439" s="49">
        <v>45831</v>
      </c>
      <c r="J3439" t="s">
        <v>49</v>
      </c>
      <c r="K3439" s="33">
        <v>4500</v>
      </c>
      <c r="L3439" t="s">
        <v>60</v>
      </c>
      <c r="M3439" t="str">
        <f>_xlfn.XLOOKUP(Pipeline_tbl[[#This Row],[Rep_ID]],Dim_Reps!A:A,Dim_Reps!K:K)</f>
        <v>MXN</v>
      </c>
      <c r="N3439" s="33">
        <f>(_xlfn.XLOOKUP(Pipeline_tbl[[#This Row],[Rate_Code_Generalized]],Lookups!A:A,Lookups!B:B))*Pipeline_tbl[[#This Row],[Pipeline_Amount_USD]]</f>
        <v>88797.150000000009</v>
      </c>
      <c r="O3439" t="str">
        <f>_xlfn.XLOOKUP(Pipeline_tbl[[#This Row],[Rep_ID]],Dim_Reps!A:A,Dim_Reps!B:B)</f>
        <v>Ben Silva</v>
      </c>
      <c r="P3439" t="str">
        <f>_xlfn.XLOOKUP(Pipeline_tbl[[#This Row],[Rep_ID]],Dim_Reps!A:A,Dim_Reps!C:C)</f>
        <v>SDR / Inside Sales Rep</v>
      </c>
      <c r="Q3439" t="str">
        <f>_xlfn.XLOOKUP(Pipeline_tbl[[#This Row],[Rep_ID]],Dim_Reps!A:A,Dim_Reps!D:D)</f>
        <v>Inside Sales</v>
      </c>
      <c r="R3439" t="str">
        <f>_xlfn.XLOOKUP(Pipeline_tbl[[#This Row],[Rep_ID]],Dim_Reps!A:A,Dim_Reps!E:E)</f>
        <v>LATAM</v>
      </c>
      <c r="S3439" t="str">
        <f>_xlfn.XLOOKUP(Pipeline_tbl[[#This Row],[Created_Date]],Dim_Date!A:A,Dim_Date!H:H)</f>
        <v>Jun 2025</v>
      </c>
      <c r="T3439" t="str">
        <f>IF(Pipeline_tbl[[#This Row],[Closed_Date]]=0,"",(_xlfn.XLOOKUP(Pipeline_tbl[[#This Row],[Closed_Date]],Dim_Date!A:A,Dim_Date!H:H)))</f>
        <v>Jun 2025</v>
      </c>
      <c r="U3439">
        <f>IF(Pipeline_tbl[[#This Row],[Closed_Date]]=0,"",Pipeline_tbl[[#This Row],[Closed_Date]]-Pipeline_tbl[[#This Row],[Created_Date]])</f>
        <v>15</v>
      </c>
    </row>
    <row r="3440" spans="1:21" ht="15" customHeight="1" x14ac:dyDescent="0.2">
      <c r="A3440" t="s">
        <v>3746</v>
      </c>
      <c r="B3440" t="s">
        <v>231</v>
      </c>
      <c r="C3440" t="s">
        <v>52</v>
      </c>
      <c r="D3440" s="49">
        <v>45818</v>
      </c>
      <c r="E3440" s="49">
        <v>45819</v>
      </c>
      <c r="F3440" s="49">
        <v>45822</v>
      </c>
      <c r="G3440" s="49">
        <v>45826</v>
      </c>
      <c r="I3440" s="49">
        <v>45831</v>
      </c>
      <c r="J3440" t="s">
        <v>49</v>
      </c>
      <c r="K3440" s="33">
        <v>5200</v>
      </c>
      <c r="L3440" t="s">
        <v>61</v>
      </c>
      <c r="M3440" t="str">
        <f>_xlfn.XLOOKUP(Pipeline_tbl[[#This Row],[Rep_ID]],Dim_Reps!A:A,Dim_Reps!K:K)</f>
        <v>MXN</v>
      </c>
      <c r="N3440" s="33">
        <f>(_xlfn.XLOOKUP(Pipeline_tbl[[#This Row],[Rate_Code_Generalized]],Lookups!A:A,Lookups!B:B))*Pipeline_tbl[[#This Row],[Pipeline_Amount_USD]]</f>
        <v>102610.04000000001</v>
      </c>
      <c r="O3440" t="str">
        <f>_xlfn.XLOOKUP(Pipeline_tbl[[#This Row],[Rep_ID]],Dim_Reps!A:A,Dim_Reps!B:B)</f>
        <v>Ben Silva</v>
      </c>
      <c r="P3440" t="str">
        <f>_xlfn.XLOOKUP(Pipeline_tbl[[#This Row],[Rep_ID]],Dim_Reps!A:A,Dim_Reps!C:C)</f>
        <v>SDR / Inside Sales Rep</v>
      </c>
      <c r="Q3440" t="str">
        <f>_xlfn.XLOOKUP(Pipeline_tbl[[#This Row],[Rep_ID]],Dim_Reps!A:A,Dim_Reps!D:D)</f>
        <v>Inside Sales</v>
      </c>
      <c r="R3440" t="str">
        <f>_xlfn.XLOOKUP(Pipeline_tbl[[#This Row],[Rep_ID]],Dim_Reps!A:A,Dim_Reps!E:E)</f>
        <v>LATAM</v>
      </c>
      <c r="S3440" t="str">
        <f>_xlfn.XLOOKUP(Pipeline_tbl[[#This Row],[Created_Date]],Dim_Date!A:A,Dim_Date!H:H)</f>
        <v>Jun 2025</v>
      </c>
      <c r="T3440" t="str">
        <f>IF(Pipeline_tbl[[#This Row],[Closed_Date]]=0,"",(_xlfn.XLOOKUP(Pipeline_tbl[[#This Row],[Closed_Date]],Dim_Date!A:A,Dim_Date!H:H)))</f>
        <v>Jun 2025</v>
      </c>
      <c r="U3440">
        <f>IF(Pipeline_tbl[[#This Row],[Closed_Date]]=0,"",Pipeline_tbl[[#This Row],[Closed_Date]]-Pipeline_tbl[[#This Row],[Created_Date]])</f>
        <v>13</v>
      </c>
    </row>
    <row r="3441" spans="1:21" ht="15" customHeight="1" x14ac:dyDescent="0.2">
      <c r="A3441" t="s">
        <v>3747</v>
      </c>
      <c r="B3441" t="s">
        <v>231</v>
      </c>
      <c r="C3441" t="s">
        <v>55</v>
      </c>
      <c r="D3441" s="49">
        <v>45817</v>
      </c>
      <c r="E3441" s="49">
        <v>45818</v>
      </c>
      <c r="F3441" s="49">
        <v>45821</v>
      </c>
      <c r="G3441" s="49">
        <v>45825</v>
      </c>
      <c r="H3441" s="49">
        <v>45829</v>
      </c>
      <c r="I3441" s="49">
        <v>45831</v>
      </c>
      <c r="J3441" t="s">
        <v>49</v>
      </c>
      <c r="K3441" s="33">
        <v>3900</v>
      </c>
      <c r="L3441" t="s">
        <v>60</v>
      </c>
      <c r="M3441" t="str">
        <f>_xlfn.XLOOKUP(Pipeline_tbl[[#This Row],[Rep_ID]],Dim_Reps!A:A,Dim_Reps!K:K)</f>
        <v>MXN</v>
      </c>
      <c r="N3441" s="33">
        <f>(_xlfn.XLOOKUP(Pipeline_tbl[[#This Row],[Rate_Code_Generalized]],Lookups!A:A,Lookups!B:B))*Pipeline_tbl[[#This Row],[Pipeline_Amount_USD]]</f>
        <v>76957.53</v>
      </c>
      <c r="O3441" t="str">
        <f>_xlfn.XLOOKUP(Pipeline_tbl[[#This Row],[Rep_ID]],Dim_Reps!A:A,Dim_Reps!B:B)</f>
        <v>Ben Silva</v>
      </c>
      <c r="P3441" t="str">
        <f>_xlfn.XLOOKUP(Pipeline_tbl[[#This Row],[Rep_ID]],Dim_Reps!A:A,Dim_Reps!C:C)</f>
        <v>SDR / Inside Sales Rep</v>
      </c>
      <c r="Q3441" t="str">
        <f>_xlfn.XLOOKUP(Pipeline_tbl[[#This Row],[Rep_ID]],Dim_Reps!A:A,Dim_Reps!D:D)</f>
        <v>Inside Sales</v>
      </c>
      <c r="R3441" t="str">
        <f>_xlfn.XLOOKUP(Pipeline_tbl[[#This Row],[Rep_ID]],Dim_Reps!A:A,Dim_Reps!E:E)</f>
        <v>LATAM</v>
      </c>
      <c r="S3441" t="str">
        <f>_xlfn.XLOOKUP(Pipeline_tbl[[#This Row],[Created_Date]],Dim_Date!A:A,Dim_Date!H:H)</f>
        <v>Jun 2025</v>
      </c>
      <c r="T3441" t="str">
        <f>IF(Pipeline_tbl[[#This Row],[Closed_Date]]=0,"",(_xlfn.XLOOKUP(Pipeline_tbl[[#This Row],[Closed_Date]],Dim_Date!A:A,Dim_Date!H:H)))</f>
        <v>Jun 2025</v>
      </c>
      <c r="U3441">
        <f>IF(Pipeline_tbl[[#This Row],[Closed_Date]]=0,"",Pipeline_tbl[[#This Row],[Closed_Date]]-Pipeline_tbl[[#This Row],[Created_Date]])</f>
        <v>14</v>
      </c>
    </row>
    <row r="3442" spans="1:21" ht="15" customHeight="1" x14ac:dyDescent="0.2">
      <c r="A3442" t="s">
        <v>3748</v>
      </c>
      <c r="B3442" t="s">
        <v>231</v>
      </c>
      <c r="C3442" t="s">
        <v>52</v>
      </c>
      <c r="D3442" s="49">
        <v>45819</v>
      </c>
      <c r="E3442" s="49">
        <v>45820</v>
      </c>
      <c r="F3442" s="49">
        <v>45822</v>
      </c>
      <c r="I3442" s="49">
        <v>45829</v>
      </c>
      <c r="J3442" t="s">
        <v>49</v>
      </c>
      <c r="K3442" s="33">
        <v>1700</v>
      </c>
      <c r="L3442" t="s">
        <v>60</v>
      </c>
      <c r="M3442" t="str">
        <f>_xlfn.XLOOKUP(Pipeline_tbl[[#This Row],[Rep_ID]],Dim_Reps!A:A,Dim_Reps!K:K)</f>
        <v>MXN</v>
      </c>
      <c r="N3442" s="33">
        <f>(_xlfn.XLOOKUP(Pipeline_tbl[[#This Row],[Rate_Code_Generalized]],Lookups!A:A,Lookups!B:B))*Pipeline_tbl[[#This Row],[Pipeline_Amount_USD]]</f>
        <v>33545.590000000004</v>
      </c>
      <c r="O3442" t="str">
        <f>_xlfn.XLOOKUP(Pipeline_tbl[[#This Row],[Rep_ID]],Dim_Reps!A:A,Dim_Reps!B:B)</f>
        <v>Ben Silva</v>
      </c>
      <c r="P3442" t="str">
        <f>_xlfn.XLOOKUP(Pipeline_tbl[[#This Row],[Rep_ID]],Dim_Reps!A:A,Dim_Reps!C:C)</f>
        <v>SDR / Inside Sales Rep</v>
      </c>
      <c r="Q3442" t="str">
        <f>_xlfn.XLOOKUP(Pipeline_tbl[[#This Row],[Rep_ID]],Dim_Reps!A:A,Dim_Reps!D:D)</f>
        <v>Inside Sales</v>
      </c>
      <c r="R3442" t="str">
        <f>_xlfn.XLOOKUP(Pipeline_tbl[[#This Row],[Rep_ID]],Dim_Reps!A:A,Dim_Reps!E:E)</f>
        <v>LATAM</v>
      </c>
      <c r="S3442" t="str">
        <f>_xlfn.XLOOKUP(Pipeline_tbl[[#This Row],[Created_Date]],Dim_Date!A:A,Dim_Date!H:H)</f>
        <v>Jun 2025</v>
      </c>
      <c r="T3442" t="str">
        <f>IF(Pipeline_tbl[[#This Row],[Closed_Date]]=0,"",(_xlfn.XLOOKUP(Pipeline_tbl[[#This Row],[Closed_Date]],Dim_Date!A:A,Dim_Date!H:H)))</f>
        <v>Jun 2025</v>
      </c>
      <c r="U3442">
        <f>IF(Pipeline_tbl[[#This Row],[Closed_Date]]=0,"",Pipeline_tbl[[#This Row],[Closed_Date]]-Pipeline_tbl[[#This Row],[Created_Date]])</f>
        <v>10</v>
      </c>
    </row>
    <row r="3443" spans="1:21" ht="15" customHeight="1" x14ac:dyDescent="0.2">
      <c r="A3443" t="s">
        <v>3749</v>
      </c>
      <c r="B3443" t="s">
        <v>231</v>
      </c>
      <c r="C3443" t="s">
        <v>52</v>
      </c>
      <c r="D3443" s="49">
        <v>45821</v>
      </c>
      <c r="E3443" s="49">
        <v>45823</v>
      </c>
      <c r="I3443" s="49">
        <v>45837</v>
      </c>
      <c r="J3443" t="s">
        <v>49</v>
      </c>
      <c r="K3443" s="33">
        <v>3600</v>
      </c>
      <c r="L3443" t="s">
        <v>62</v>
      </c>
      <c r="M3443" t="str">
        <f>_xlfn.XLOOKUP(Pipeline_tbl[[#This Row],[Rep_ID]],Dim_Reps!A:A,Dim_Reps!K:K)</f>
        <v>MXN</v>
      </c>
      <c r="N3443" s="33">
        <f>(_xlfn.XLOOKUP(Pipeline_tbl[[#This Row],[Rate_Code_Generalized]],Lookups!A:A,Lookups!B:B))*Pipeline_tbl[[#This Row],[Pipeline_Amount_USD]]</f>
        <v>71037.72</v>
      </c>
      <c r="O3443" t="str">
        <f>_xlfn.XLOOKUP(Pipeline_tbl[[#This Row],[Rep_ID]],Dim_Reps!A:A,Dim_Reps!B:B)</f>
        <v>Ben Silva</v>
      </c>
      <c r="P3443" t="str">
        <f>_xlfn.XLOOKUP(Pipeline_tbl[[#This Row],[Rep_ID]],Dim_Reps!A:A,Dim_Reps!C:C)</f>
        <v>SDR / Inside Sales Rep</v>
      </c>
      <c r="Q3443" t="str">
        <f>_xlfn.XLOOKUP(Pipeline_tbl[[#This Row],[Rep_ID]],Dim_Reps!A:A,Dim_Reps!D:D)</f>
        <v>Inside Sales</v>
      </c>
      <c r="R3443" t="str">
        <f>_xlfn.XLOOKUP(Pipeline_tbl[[#This Row],[Rep_ID]],Dim_Reps!A:A,Dim_Reps!E:E)</f>
        <v>LATAM</v>
      </c>
      <c r="S3443" t="str">
        <f>_xlfn.XLOOKUP(Pipeline_tbl[[#This Row],[Created_Date]],Dim_Date!A:A,Dim_Date!H:H)</f>
        <v>Jun 2025</v>
      </c>
      <c r="T3443" t="str">
        <f>IF(Pipeline_tbl[[#This Row],[Closed_Date]]=0,"",(_xlfn.XLOOKUP(Pipeline_tbl[[#This Row],[Closed_Date]],Dim_Date!A:A,Dim_Date!H:H)))</f>
        <v>Jun 2025</v>
      </c>
      <c r="U3443">
        <f>IF(Pipeline_tbl[[#This Row],[Closed_Date]]=0,"",Pipeline_tbl[[#This Row],[Closed_Date]]-Pipeline_tbl[[#This Row],[Created_Date]])</f>
        <v>16</v>
      </c>
    </row>
    <row r="3444" spans="1:21" ht="15" customHeight="1" x14ac:dyDescent="0.2">
      <c r="A3444" t="s">
        <v>3750</v>
      </c>
      <c r="B3444" t="s">
        <v>265</v>
      </c>
      <c r="C3444" t="s">
        <v>53</v>
      </c>
      <c r="D3444" s="49">
        <v>45831</v>
      </c>
      <c r="E3444" s="49">
        <v>45832</v>
      </c>
      <c r="F3444" s="49">
        <v>45833</v>
      </c>
      <c r="I3444" s="49">
        <v>45838</v>
      </c>
      <c r="J3444" t="s">
        <v>49</v>
      </c>
      <c r="K3444" s="33">
        <v>12900</v>
      </c>
      <c r="L3444" t="s">
        <v>60</v>
      </c>
      <c r="M3444" t="str">
        <f>_xlfn.XLOOKUP(Pipeline_tbl[[#This Row],[Rep_ID]],Dim_Reps!A:A,Dim_Reps!K:K)</f>
        <v>EUR</v>
      </c>
      <c r="N3444" s="33">
        <f>(_xlfn.XLOOKUP(Pipeline_tbl[[#This Row],[Rate_Code_Generalized]],Lookups!A:A,Lookups!B:B))*Pipeline_tbl[[#This Row],[Pipeline_Amount_USD]]</f>
        <v>12900</v>
      </c>
      <c r="O3444" t="str">
        <f>_xlfn.XLOOKUP(Pipeline_tbl[[#This Row],[Rep_ID]],Dim_Reps!A:A,Dim_Reps!B:B)</f>
        <v>Erik Duarte</v>
      </c>
      <c r="P3444" t="str">
        <f>_xlfn.XLOOKUP(Pipeline_tbl[[#This Row],[Rep_ID]],Dim_Reps!A:A,Dim_Reps!C:C)</f>
        <v>Mid-Market AE</v>
      </c>
      <c r="Q3444" t="str">
        <f>_xlfn.XLOOKUP(Pipeline_tbl[[#This Row],[Rep_ID]],Dim_Reps!A:A,Dim_Reps!D:D)</f>
        <v>Mid-Market</v>
      </c>
      <c r="R3444" t="str">
        <f>_xlfn.XLOOKUP(Pipeline_tbl[[#This Row],[Rep_ID]],Dim_Reps!A:A,Dim_Reps!E:E)</f>
        <v>EMEA</v>
      </c>
      <c r="S3444" t="str">
        <f>_xlfn.XLOOKUP(Pipeline_tbl[[#This Row],[Created_Date]],Dim_Date!A:A,Dim_Date!H:H)</f>
        <v>Jun 2025</v>
      </c>
      <c r="T3444" t="str">
        <f>IF(Pipeline_tbl[[#This Row],[Closed_Date]]=0,"",(_xlfn.XLOOKUP(Pipeline_tbl[[#This Row],[Closed_Date]],Dim_Date!A:A,Dim_Date!H:H)))</f>
        <v>Jun 2025</v>
      </c>
      <c r="U3444">
        <f>IF(Pipeline_tbl[[#This Row],[Closed_Date]]=0,"",Pipeline_tbl[[#This Row],[Closed_Date]]-Pipeline_tbl[[#This Row],[Created_Date]])</f>
        <v>7</v>
      </c>
    </row>
    <row r="3445" spans="1:21" ht="15" customHeight="1" x14ac:dyDescent="0.2">
      <c r="A3445" t="s">
        <v>3751</v>
      </c>
      <c r="B3445" t="s">
        <v>233</v>
      </c>
      <c r="C3445" t="s">
        <v>54</v>
      </c>
      <c r="D3445" s="49">
        <v>45810</v>
      </c>
      <c r="E3445" s="49">
        <v>45812</v>
      </c>
      <c r="F3445" s="49">
        <v>45816</v>
      </c>
      <c r="G3445" s="49">
        <v>45822</v>
      </c>
      <c r="H3445" s="49">
        <v>45827</v>
      </c>
      <c r="I3445" s="49">
        <v>45830</v>
      </c>
      <c r="J3445" t="s">
        <v>47</v>
      </c>
      <c r="K3445" s="33">
        <v>6200</v>
      </c>
      <c r="M3445" t="str">
        <f>_xlfn.XLOOKUP(Pipeline_tbl[[#This Row],[Rep_ID]],Dim_Reps!A:A,Dim_Reps!K:K)</f>
        <v>MXN</v>
      </c>
      <c r="N3445" s="33">
        <f>(_xlfn.XLOOKUP(Pipeline_tbl[[#This Row],[Rate_Code_Generalized]],Lookups!A:A,Lookups!B:B))*Pipeline_tbl[[#This Row],[Pipeline_Amount_USD]]</f>
        <v>122342.74</v>
      </c>
      <c r="O3445" t="str">
        <f>_xlfn.XLOOKUP(Pipeline_tbl[[#This Row],[Rep_ID]],Dim_Reps!A:A,Dim_Reps!B:B)</f>
        <v>Lucas Duarte</v>
      </c>
      <c r="P3445" t="str">
        <f>_xlfn.XLOOKUP(Pipeline_tbl[[#This Row],[Rep_ID]],Dim_Reps!A:A,Dim_Reps!C:C)</f>
        <v>SDR / Inside Sales Rep</v>
      </c>
      <c r="Q3445" t="str">
        <f>_xlfn.XLOOKUP(Pipeline_tbl[[#This Row],[Rep_ID]],Dim_Reps!A:A,Dim_Reps!D:D)</f>
        <v>Inside Sales</v>
      </c>
      <c r="R3445" t="str">
        <f>_xlfn.XLOOKUP(Pipeline_tbl[[#This Row],[Rep_ID]],Dim_Reps!A:A,Dim_Reps!E:E)</f>
        <v>LATAM</v>
      </c>
      <c r="S3445" t="str">
        <f>_xlfn.XLOOKUP(Pipeline_tbl[[#This Row],[Created_Date]],Dim_Date!A:A,Dim_Date!H:H)</f>
        <v>Jun 2025</v>
      </c>
      <c r="T3445" t="str">
        <f>IF(Pipeline_tbl[[#This Row],[Closed_Date]]=0,"",(_xlfn.XLOOKUP(Pipeline_tbl[[#This Row],[Closed_Date]],Dim_Date!A:A,Dim_Date!H:H)))</f>
        <v>Jun 2025</v>
      </c>
      <c r="U3445">
        <f>IF(Pipeline_tbl[[#This Row],[Closed_Date]]=0,"",Pipeline_tbl[[#This Row],[Closed_Date]]-Pipeline_tbl[[#This Row],[Created_Date]])</f>
        <v>20</v>
      </c>
    </row>
    <row r="3446" spans="1:21" ht="15" customHeight="1" x14ac:dyDescent="0.2">
      <c r="A3446" t="s">
        <v>3752</v>
      </c>
      <c r="B3446" t="s">
        <v>233</v>
      </c>
      <c r="C3446" t="s">
        <v>52</v>
      </c>
      <c r="D3446" s="49">
        <v>45825</v>
      </c>
      <c r="E3446" s="49">
        <v>45826</v>
      </c>
      <c r="F3446" s="49">
        <v>45828</v>
      </c>
      <c r="G3446" s="49">
        <v>45832</v>
      </c>
      <c r="H3446" s="49">
        <v>45834</v>
      </c>
      <c r="I3446" s="49">
        <v>45836</v>
      </c>
      <c r="J3446" t="s">
        <v>49</v>
      </c>
      <c r="K3446" s="33">
        <v>2100</v>
      </c>
      <c r="L3446" t="s">
        <v>64</v>
      </c>
      <c r="M3446" t="str">
        <f>_xlfn.XLOOKUP(Pipeline_tbl[[#This Row],[Rep_ID]],Dim_Reps!A:A,Dim_Reps!K:K)</f>
        <v>MXN</v>
      </c>
      <c r="N3446" s="33">
        <f>(_xlfn.XLOOKUP(Pipeline_tbl[[#This Row],[Rate_Code_Generalized]],Lookups!A:A,Lookups!B:B))*Pipeline_tbl[[#This Row],[Pipeline_Amount_USD]]</f>
        <v>41438.670000000006</v>
      </c>
      <c r="O3446" t="str">
        <f>_xlfn.XLOOKUP(Pipeline_tbl[[#This Row],[Rep_ID]],Dim_Reps!A:A,Dim_Reps!B:B)</f>
        <v>Lucas Duarte</v>
      </c>
      <c r="P3446" t="str">
        <f>_xlfn.XLOOKUP(Pipeline_tbl[[#This Row],[Rep_ID]],Dim_Reps!A:A,Dim_Reps!C:C)</f>
        <v>SDR / Inside Sales Rep</v>
      </c>
      <c r="Q3446" t="str">
        <f>_xlfn.XLOOKUP(Pipeline_tbl[[#This Row],[Rep_ID]],Dim_Reps!A:A,Dim_Reps!D:D)</f>
        <v>Inside Sales</v>
      </c>
      <c r="R3446" t="str">
        <f>_xlfn.XLOOKUP(Pipeline_tbl[[#This Row],[Rep_ID]],Dim_Reps!A:A,Dim_Reps!E:E)</f>
        <v>LATAM</v>
      </c>
      <c r="S3446" t="str">
        <f>_xlfn.XLOOKUP(Pipeline_tbl[[#This Row],[Created_Date]],Dim_Date!A:A,Dim_Date!H:H)</f>
        <v>Jun 2025</v>
      </c>
      <c r="T3446" t="str">
        <f>IF(Pipeline_tbl[[#This Row],[Closed_Date]]=0,"",(_xlfn.XLOOKUP(Pipeline_tbl[[#This Row],[Closed_Date]],Dim_Date!A:A,Dim_Date!H:H)))</f>
        <v>Jun 2025</v>
      </c>
      <c r="U3446">
        <f>IF(Pipeline_tbl[[#This Row],[Closed_Date]]=0,"",Pipeline_tbl[[#This Row],[Closed_Date]]-Pipeline_tbl[[#This Row],[Created_Date]])</f>
        <v>11</v>
      </c>
    </row>
    <row r="3447" spans="1:21" ht="15" customHeight="1" x14ac:dyDescent="0.2">
      <c r="A3447" t="s">
        <v>3753</v>
      </c>
      <c r="B3447" t="s">
        <v>267</v>
      </c>
      <c r="C3447" t="s">
        <v>54</v>
      </c>
      <c r="D3447" s="49">
        <v>45810</v>
      </c>
      <c r="E3447" s="49">
        <v>45813</v>
      </c>
      <c r="F3447" s="49">
        <v>45818</v>
      </c>
      <c r="G3447" s="49">
        <v>45826</v>
      </c>
      <c r="I3447" s="49">
        <v>45837</v>
      </c>
      <c r="J3447" t="s">
        <v>49</v>
      </c>
      <c r="K3447" s="33">
        <v>9600</v>
      </c>
      <c r="L3447" t="s">
        <v>61</v>
      </c>
      <c r="M3447" t="str">
        <f>_xlfn.XLOOKUP(Pipeline_tbl[[#This Row],[Rep_ID]],Dim_Reps!A:A,Dim_Reps!K:K)</f>
        <v>MXN</v>
      </c>
      <c r="N3447" s="33">
        <f>(_xlfn.XLOOKUP(Pipeline_tbl[[#This Row],[Rate_Code_Generalized]],Lookups!A:A,Lookups!B:B))*Pipeline_tbl[[#This Row],[Pipeline_Amount_USD]]</f>
        <v>189433.92</v>
      </c>
      <c r="O3447" t="str">
        <f>_xlfn.XLOOKUP(Pipeline_tbl[[#This Row],[Rep_ID]],Dim_Reps!A:A,Dim_Reps!B:B)</f>
        <v>Yuki Dubois</v>
      </c>
      <c r="P3447" t="str">
        <f>_xlfn.XLOOKUP(Pipeline_tbl[[#This Row],[Rep_ID]],Dim_Reps!A:A,Dim_Reps!C:C)</f>
        <v>Mid-Market AE</v>
      </c>
      <c r="Q3447" t="str">
        <f>_xlfn.XLOOKUP(Pipeline_tbl[[#This Row],[Rep_ID]],Dim_Reps!A:A,Dim_Reps!D:D)</f>
        <v>Mid-Market</v>
      </c>
      <c r="R3447" t="str">
        <f>_xlfn.XLOOKUP(Pipeline_tbl[[#This Row],[Rep_ID]],Dim_Reps!A:A,Dim_Reps!E:E)</f>
        <v>LATAM</v>
      </c>
      <c r="S3447" t="str">
        <f>_xlfn.XLOOKUP(Pipeline_tbl[[#This Row],[Created_Date]],Dim_Date!A:A,Dim_Date!H:H)</f>
        <v>Jun 2025</v>
      </c>
      <c r="T3447" t="str">
        <f>IF(Pipeline_tbl[[#This Row],[Closed_Date]]=0,"",(_xlfn.XLOOKUP(Pipeline_tbl[[#This Row],[Closed_Date]],Dim_Date!A:A,Dim_Date!H:H)))</f>
        <v>Jun 2025</v>
      </c>
      <c r="U3447">
        <f>IF(Pipeline_tbl[[#This Row],[Closed_Date]]=0,"",Pipeline_tbl[[#This Row],[Closed_Date]]-Pipeline_tbl[[#This Row],[Created_Date]])</f>
        <v>27</v>
      </c>
    </row>
    <row r="3448" spans="1:21" ht="15" customHeight="1" x14ac:dyDescent="0.2">
      <c r="A3448" t="s">
        <v>3754</v>
      </c>
      <c r="B3448" t="s">
        <v>235</v>
      </c>
      <c r="C3448" t="s">
        <v>55</v>
      </c>
      <c r="D3448" s="49">
        <v>45811</v>
      </c>
      <c r="E3448" s="49">
        <v>45812</v>
      </c>
      <c r="F3448" s="49">
        <v>45815</v>
      </c>
      <c r="G3448" s="49">
        <v>45819</v>
      </c>
      <c r="H3448" s="49">
        <v>45823</v>
      </c>
      <c r="I3448" s="49">
        <v>45825</v>
      </c>
      <c r="J3448" t="s">
        <v>49</v>
      </c>
      <c r="K3448" s="33">
        <v>3700</v>
      </c>
      <c r="L3448" t="s">
        <v>60</v>
      </c>
      <c r="M3448" t="str">
        <f>_xlfn.XLOOKUP(Pipeline_tbl[[#This Row],[Rep_ID]],Dim_Reps!A:A,Dim_Reps!K:K)</f>
        <v>MXN</v>
      </c>
      <c r="N3448" s="33">
        <f>(_xlfn.XLOOKUP(Pipeline_tbl[[#This Row],[Rate_Code_Generalized]],Lookups!A:A,Lookups!B:B))*Pipeline_tbl[[#This Row],[Pipeline_Amount_USD]]</f>
        <v>73010.990000000005</v>
      </c>
      <c r="O3448" t="str">
        <f>_xlfn.XLOOKUP(Pipeline_tbl[[#This Row],[Rep_ID]],Dim_Reps!A:A,Dim_Reps!B:B)</f>
        <v>Milo Castro</v>
      </c>
      <c r="P3448" t="str">
        <f>_xlfn.XLOOKUP(Pipeline_tbl[[#This Row],[Rep_ID]],Dim_Reps!A:A,Dim_Reps!C:C)</f>
        <v>SDR / Inside Sales Rep</v>
      </c>
      <c r="Q3448" t="str">
        <f>_xlfn.XLOOKUP(Pipeline_tbl[[#This Row],[Rep_ID]],Dim_Reps!A:A,Dim_Reps!D:D)</f>
        <v>Inside Sales</v>
      </c>
      <c r="R3448" t="str">
        <f>_xlfn.XLOOKUP(Pipeline_tbl[[#This Row],[Rep_ID]],Dim_Reps!A:A,Dim_Reps!E:E)</f>
        <v>LATAM</v>
      </c>
      <c r="S3448" t="str">
        <f>_xlfn.XLOOKUP(Pipeline_tbl[[#This Row],[Created_Date]],Dim_Date!A:A,Dim_Date!H:H)</f>
        <v>Jun 2025</v>
      </c>
      <c r="T3448" t="str">
        <f>IF(Pipeline_tbl[[#This Row],[Closed_Date]]=0,"",(_xlfn.XLOOKUP(Pipeline_tbl[[#This Row],[Closed_Date]],Dim_Date!A:A,Dim_Date!H:H)))</f>
        <v>Jun 2025</v>
      </c>
      <c r="U3448">
        <f>IF(Pipeline_tbl[[#This Row],[Closed_Date]]=0,"",Pipeline_tbl[[#This Row],[Closed_Date]]-Pipeline_tbl[[#This Row],[Created_Date]])</f>
        <v>14</v>
      </c>
    </row>
    <row r="3449" spans="1:21" ht="15" customHeight="1" x14ac:dyDescent="0.2">
      <c r="A3449" t="s">
        <v>3755</v>
      </c>
      <c r="B3449" t="s">
        <v>235</v>
      </c>
      <c r="C3449" t="s">
        <v>56</v>
      </c>
      <c r="D3449" s="49">
        <v>45815</v>
      </c>
      <c r="E3449" s="49">
        <v>45817</v>
      </c>
      <c r="F3449" s="49">
        <v>45820</v>
      </c>
      <c r="G3449" s="49">
        <v>45825</v>
      </c>
      <c r="H3449" s="49">
        <v>45829</v>
      </c>
      <c r="I3449" s="49">
        <v>45832</v>
      </c>
      <c r="J3449" t="s">
        <v>47</v>
      </c>
      <c r="K3449" s="33">
        <v>3100</v>
      </c>
      <c r="M3449" t="str">
        <f>_xlfn.XLOOKUP(Pipeline_tbl[[#This Row],[Rep_ID]],Dim_Reps!A:A,Dim_Reps!K:K)</f>
        <v>MXN</v>
      </c>
      <c r="N3449" s="33">
        <f>(_xlfn.XLOOKUP(Pipeline_tbl[[#This Row],[Rate_Code_Generalized]],Lookups!A:A,Lookups!B:B))*Pipeline_tbl[[#This Row],[Pipeline_Amount_USD]]</f>
        <v>61171.37</v>
      </c>
      <c r="O3449" t="str">
        <f>_xlfn.XLOOKUP(Pipeline_tbl[[#This Row],[Rep_ID]],Dim_Reps!A:A,Dim_Reps!B:B)</f>
        <v>Milo Castro</v>
      </c>
      <c r="P3449" t="str">
        <f>_xlfn.XLOOKUP(Pipeline_tbl[[#This Row],[Rep_ID]],Dim_Reps!A:A,Dim_Reps!C:C)</f>
        <v>SDR / Inside Sales Rep</v>
      </c>
      <c r="Q3449" t="str">
        <f>_xlfn.XLOOKUP(Pipeline_tbl[[#This Row],[Rep_ID]],Dim_Reps!A:A,Dim_Reps!D:D)</f>
        <v>Inside Sales</v>
      </c>
      <c r="R3449" t="str">
        <f>_xlfn.XLOOKUP(Pipeline_tbl[[#This Row],[Rep_ID]],Dim_Reps!A:A,Dim_Reps!E:E)</f>
        <v>LATAM</v>
      </c>
      <c r="S3449" t="str">
        <f>_xlfn.XLOOKUP(Pipeline_tbl[[#This Row],[Created_Date]],Dim_Date!A:A,Dim_Date!H:H)</f>
        <v>Jun 2025</v>
      </c>
      <c r="T3449" t="str">
        <f>IF(Pipeline_tbl[[#This Row],[Closed_Date]]=0,"",(_xlfn.XLOOKUP(Pipeline_tbl[[#This Row],[Closed_Date]],Dim_Date!A:A,Dim_Date!H:H)))</f>
        <v>Jun 2025</v>
      </c>
      <c r="U3449">
        <f>IF(Pipeline_tbl[[#This Row],[Closed_Date]]=0,"",Pipeline_tbl[[#This Row],[Closed_Date]]-Pipeline_tbl[[#This Row],[Created_Date]])</f>
        <v>17</v>
      </c>
    </row>
    <row r="3450" spans="1:21" ht="15" customHeight="1" x14ac:dyDescent="0.2">
      <c r="A3450" t="s">
        <v>3756</v>
      </c>
      <c r="B3450" t="s">
        <v>235</v>
      </c>
      <c r="C3450" t="s">
        <v>54</v>
      </c>
      <c r="D3450" s="49">
        <v>45812</v>
      </c>
      <c r="E3450" s="49">
        <v>45814</v>
      </c>
      <c r="F3450" s="49">
        <v>45818</v>
      </c>
      <c r="I3450" s="49">
        <v>45831</v>
      </c>
      <c r="J3450" t="s">
        <v>49</v>
      </c>
      <c r="K3450" s="33">
        <v>3900</v>
      </c>
      <c r="L3450" t="s">
        <v>61</v>
      </c>
      <c r="M3450" t="str">
        <f>_xlfn.XLOOKUP(Pipeline_tbl[[#This Row],[Rep_ID]],Dim_Reps!A:A,Dim_Reps!K:K)</f>
        <v>MXN</v>
      </c>
      <c r="N3450" s="33">
        <f>(_xlfn.XLOOKUP(Pipeline_tbl[[#This Row],[Rate_Code_Generalized]],Lookups!A:A,Lookups!B:B))*Pipeline_tbl[[#This Row],[Pipeline_Amount_USD]]</f>
        <v>76957.53</v>
      </c>
      <c r="O3450" t="str">
        <f>_xlfn.XLOOKUP(Pipeline_tbl[[#This Row],[Rep_ID]],Dim_Reps!A:A,Dim_Reps!B:B)</f>
        <v>Milo Castro</v>
      </c>
      <c r="P3450" t="str">
        <f>_xlfn.XLOOKUP(Pipeline_tbl[[#This Row],[Rep_ID]],Dim_Reps!A:A,Dim_Reps!C:C)</f>
        <v>SDR / Inside Sales Rep</v>
      </c>
      <c r="Q3450" t="str">
        <f>_xlfn.XLOOKUP(Pipeline_tbl[[#This Row],[Rep_ID]],Dim_Reps!A:A,Dim_Reps!D:D)</f>
        <v>Inside Sales</v>
      </c>
      <c r="R3450" t="str">
        <f>_xlfn.XLOOKUP(Pipeline_tbl[[#This Row],[Rep_ID]],Dim_Reps!A:A,Dim_Reps!E:E)</f>
        <v>LATAM</v>
      </c>
      <c r="S3450" t="str">
        <f>_xlfn.XLOOKUP(Pipeline_tbl[[#This Row],[Created_Date]],Dim_Date!A:A,Dim_Date!H:H)</f>
        <v>Jun 2025</v>
      </c>
      <c r="T3450" t="str">
        <f>IF(Pipeline_tbl[[#This Row],[Closed_Date]]=0,"",(_xlfn.XLOOKUP(Pipeline_tbl[[#This Row],[Closed_Date]],Dim_Date!A:A,Dim_Date!H:H)))</f>
        <v>Jun 2025</v>
      </c>
      <c r="U3450">
        <f>IF(Pipeline_tbl[[#This Row],[Closed_Date]]=0,"",Pipeline_tbl[[#This Row],[Closed_Date]]-Pipeline_tbl[[#This Row],[Created_Date]])</f>
        <v>19</v>
      </c>
    </row>
    <row r="3451" spans="1:21" ht="15" customHeight="1" x14ac:dyDescent="0.2">
      <c r="A3451" t="s">
        <v>3757</v>
      </c>
      <c r="B3451" t="s">
        <v>235</v>
      </c>
      <c r="C3451" t="s">
        <v>53</v>
      </c>
      <c r="D3451" s="49">
        <v>45821</v>
      </c>
      <c r="E3451" s="49">
        <v>45823</v>
      </c>
      <c r="F3451" s="49">
        <v>45826</v>
      </c>
      <c r="G3451" s="49">
        <v>45831</v>
      </c>
      <c r="H3451" s="49">
        <v>45835</v>
      </c>
      <c r="I3451" s="49">
        <v>45837</v>
      </c>
      <c r="J3451" t="s">
        <v>47</v>
      </c>
      <c r="K3451" s="33">
        <v>2400</v>
      </c>
      <c r="M3451" t="str">
        <f>_xlfn.XLOOKUP(Pipeline_tbl[[#This Row],[Rep_ID]],Dim_Reps!A:A,Dim_Reps!K:K)</f>
        <v>MXN</v>
      </c>
      <c r="N3451" s="33">
        <f>(_xlfn.XLOOKUP(Pipeline_tbl[[#This Row],[Rate_Code_Generalized]],Lookups!A:A,Lookups!B:B))*Pipeline_tbl[[#This Row],[Pipeline_Amount_USD]]</f>
        <v>47358.48</v>
      </c>
      <c r="O3451" t="str">
        <f>_xlfn.XLOOKUP(Pipeline_tbl[[#This Row],[Rep_ID]],Dim_Reps!A:A,Dim_Reps!B:B)</f>
        <v>Milo Castro</v>
      </c>
      <c r="P3451" t="str">
        <f>_xlfn.XLOOKUP(Pipeline_tbl[[#This Row],[Rep_ID]],Dim_Reps!A:A,Dim_Reps!C:C)</f>
        <v>SDR / Inside Sales Rep</v>
      </c>
      <c r="Q3451" t="str">
        <f>_xlfn.XLOOKUP(Pipeline_tbl[[#This Row],[Rep_ID]],Dim_Reps!A:A,Dim_Reps!D:D)</f>
        <v>Inside Sales</v>
      </c>
      <c r="R3451" t="str">
        <f>_xlfn.XLOOKUP(Pipeline_tbl[[#This Row],[Rep_ID]],Dim_Reps!A:A,Dim_Reps!E:E)</f>
        <v>LATAM</v>
      </c>
      <c r="S3451" t="str">
        <f>_xlfn.XLOOKUP(Pipeline_tbl[[#This Row],[Created_Date]],Dim_Date!A:A,Dim_Date!H:H)</f>
        <v>Jun 2025</v>
      </c>
      <c r="T3451" t="str">
        <f>IF(Pipeline_tbl[[#This Row],[Closed_Date]]=0,"",(_xlfn.XLOOKUP(Pipeline_tbl[[#This Row],[Closed_Date]],Dim_Date!A:A,Dim_Date!H:H)))</f>
        <v>Jun 2025</v>
      </c>
      <c r="U3451">
        <f>IF(Pipeline_tbl[[#This Row],[Closed_Date]]=0,"",Pipeline_tbl[[#This Row],[Closed_Date]]-Pipeline_tbl[[#This Row],[Created_Date]])</f>
        <v>16</v>
      </c>
    </row>
    <row r="3452" spans="1:21" ht="15" customHeight="1" x14ac:dyDescent="0.2">
      <c r="A3452" t="s">
        <v>3758</v>
      </c>
      <c r="B3452" t="s">
        <v>237</v>
      </c>
      <c r="C3452" t="s">
        <v>52</v>
      </c>
      <c r="D3452" s="49">
        <v>45812</v>
      </c>
      <c r="E3452" s="49">
        <v>45813</v>
      </c>
      <c r="F3452" s="49">
        <v>45814</v>
      </c>
      <c r="G3452" s="49">
        <v>45816</v>
      </c>
      <c r="H3452" s="49">
        <v>45818</v>
      </c>
      <c r="I3452" s="49">
        <v>45819</v>
      </c>
      <c r="J3452" t="s">
        <v>49</v>
      </c>
      <c r="K3452" s="33">
        <v>4600</v>
      </c>
      <c r="L3452" t="s">
        <v>61</v>
      </c>
      <c r="M3452" t="str">
        <f>_xlfn.XLOOKUP(Pipeline_tbl[[#This Row],[Rep_ID]],Dim_Reps!A:A,Dim_Reps!K:K)</f>
        <v>EUR</v>
      </c>
      <c r="N3452" s="33">
        <f>(_xlfn.XLOOKUP(Pipeline_tbl[[#This Row],[Rate_Code_Generalized]],Lookups!A:A,Lookups!B:B))*Pipeline_tbl[[#This Row],[Pipeline_Amount_USD]]</f>
        <v>4600</v>
      </c>
      <c r="O3452" t="str">
        <f>_xlfn.XLOOKUP(Pipeline_tbl[[#This Row],[Rep_ID]],Dim_Reps!A:A,Dim_Reps!B:B)</f>
        <v>Hugo Santos</v>
      </c>
      <c r="P3452" t="str">
        <f>_xlfn.XLOOKUP(Pipeline_tbl[[#This Row],[Rep_ID]],Dim_Reps!A:A,Dim_Reps!C:C)</f>
        <v>SDR / Inside Sales Rep</v>
      </c>
      <c r="Q3452" t="str">
        <f>_xlfn.XLOOKUP(Pipeline_tbl[[#This Row],[Rep_ID]],Dim_Reps!A:A,Dim_Reps!D:D)</f>
        <v>Inside Sales</v>
      </c>
      <c r="R3452" t="str">
        <f>_xlfn.XLOOKUP(Pipeline_tbl[[#This Row],[Rep_ID]],Dim_Reps!A:A,Dim_Reps!E:E)</f>
        <v>EMEA</v>
      </c>
      <c r="S3452" t="str">
        <f>_xlfn.XLOOKUP(Pipeline_tbl[[#This Row],[Created_Date]],Dim_Date!A:A,Dim_Date!H:H)</f>
        <v>Jun 2025</v>
      </c>
      <c r="T3452" t="str">
        <f>IF(Pipeline_tbl[[#This Row],[Closed_Date]]=0,"",(_xlfn.XLOOKUP(Pipeline_tbl[[#This Row],[Closed_Date]],Dim_Date!A:A,Dim_Date!H:H)))</f>
        <v>Jun 2025</v>
      </c>
      <c r="U3452">
        <f>IF(Pipeline_tbl[[#This Row],[Closed_Date]]=0,"",Pipeline_tbl[[#This Row],[Closed_Date]]-Pipeline_tbl[[#This Row],[Created_Date]])</f>
        <v>7</v>
      </c>
    </row>
    <row r="3453" spans="1:21" ht="15" customHeight="1" x14ac:dyDescent="0.2">
      <c r="A3453" t="s">
        <v>3759</v>
      </c>
      <c r="B3453" t="s">
        <v>237</v>
      </c>
      <c r="C3453" t="s">
        <v>53</v>
      </c>
      <c r="D3453" s="49">
        <v>45823</v>
      </c>
      <c r="E3453" s="49">
        <v>45824</v>
      </c>
      <c r="F3453" s="49">
        <v>45827</v>
      </c>
      <c r="G3453" s="49">
        <v>45831</v>
      </c>
      <c r="H3453" s="49">
        <v>45835</v>
      </c>
      <c r="I3453" s="49">
        <v>45837</v>
      </c>
      <c r="J3453" t="s">
        <v>47</v>
      </c>
      <c r="K3453" s="33">
        <v>2400</v>
      </c>
      <c r="M3453" t="str">
        <f>_xlfn.XLOOKUP(Pipeline_tbl[[#This Row],[Rep_ID]],Dim_Reps!A:A,Dim_Reps!K:K)</f>
        <v>EUR</v>
      </c>
      <c r="N3453" s="33">
        <f>(_xlfn.XLOOKUP(Pipeline_tbl[[#This Row],[Rate_Code_Generalized]],Lookups!A:A,Lookups!B:B))*Pipeline_tbl[[#This Row],[Pipeline_Amount_USD]]</f>
        <v>2400</v>
      </c>
      <c r="O3453" t="str">
        <f>_xlfn.XLOOKUP(Pipeline_tbl[[#This Row],[Rep_ID]],Dim_Reps!A:A,Dim_Reps!B:B)</f>
        <v>Hugo Santos</v>
      </c>
      <c r="P3453" t="str">
        <f>_xlfn.XLOOKUP(Pipeline_tbl[[#This Row],[Rep_ID]],Dim_Reps!A:A,Dim_Reps!C:C)</f>
        <v>SDR / Inside Sales Rep</v>
      </c>
      <c r="Q3453" t="str">
        <f>_xlfn.XLOOKUP(Pipeline_tbl[[#This Row],[Rep_ID]],Dim_Reps!A:A,Dim_Reps!D:D)</f>
        <v>Inside Sales</v>
      </c>
      <c r="R3453" t="str">
        <f>_xlfn.XLOOKUP(Pipeline_tbl[[#This Row],[Rep_ID]],Dim_Reps!A:A,Dim_Reps!E:E)</f>
        <v>EMEA</v>
      </c>
      <c r="S3453" t="str">
        <f>_xlfn.XLOOKUP(Pipeline_tbl[[#This Row],[Created_Date]],Dim_Date!A:A,Dim_Date!H:H)</f>
        <v>Jun 2025</v>
      </c>
      <c r="T3453" t="str">
        <f>IF(Pipeline_tbl[[#This Row],[Closed_Date]]=0,"",(_xlfn.XLOOKUP(Pipeline_tbl[[#This Row],[Closed_Date]],Dim_Date!A:A,Dim_Date!H:H)))</f>
        <v>Jun 2025</v>
      </c>
      <c r="U3453">
        <f>IF(Pipeline_tbl[[#This Row],[Closed_Date]]=0,"",Pipeline_tbl[[#This Row],[Closed_Date]]-Pipeline_tbl[[#This Row],[Created_Date]])</f>
        <v>14</v>
      </c>
    </row>
    <row r="3454" spans="1:21" ht="15" customHeight="1" x14ac:dyDescent="0.2">
      <c r="A3454" t="s">
        <v>3760</v>
      </c>
      <c r="B3454" t="s">
        <v>237</v>
      </c>
      <c r="C3454" t="s">
        <v>53</v>
      </c>
      <c r="D3454" s="49">
        <v>45814</v>
      </c>
      <c r="E3454" s="49">
        <v>45815</v>
      </c>
      <c r="F3454" s="49">
        <v>45818</v>
      </c>
      <c r="G3454" s="49">
        <v>45822</v>
      </c>
      <c r="H3454" s="49">
        <v>45826</v>
      </c>
      <c r="I3454" s="49">
        <v>45828</v>
      </c>
      <c r="J3454" t="s">
        <v>49</v>
      </c>
      <c r="K3454" s="33">
        <v>4300</v>
      </c>
      <c r="L3454" t="s">
        <v>61</v>
      </c>
      <c r="M3454" t="str">
        <f>_xlfn.XLOOKUP(Pipeline_tbl[[#This Row],[Rep_ID]],Dim_Reps!A:A,Dim_Reps!K:K)</f>
        <v>EUR</v>
      </c>
      <c r="N3454" s="33">
        <f>(_xlfn.XLOOKUP(Pipeline_tbl[[#This Row],[Rate_Code_Generalized]],Lookups!A:A,Lookups!B:B))*Pipeline_tbl[[#This Row],[Pipeline_Amount_USD]]</f>
        <v>4300</v>
      </c>
      <c r="O3454" t="str">
        <f>_xlfn.XLOOKUP(Pipeline_tbl[[#This Row],[Rep_ID]],Dim_Reps!A:A,Dim_Reps!B:B)</f>
        <v>Hugo Santos</v>
      </c>
      <c r="P3454" t="str">
        <f>_xlfn.XLOOKUP(Pipeline_tbl[[#This Row],[Rep_ID]],Dim_Reps!A:A,Dim_Reps!C:C)</f>
        <v>SDR / Inside Sales Rep</v>
      </c>
      <c r="Q3454" t="str">
        <f>_xlfn.XLOOKUP(Pipeline_tbl[[#This Row],[Rep_ID]],Dim_Reps!A:A,Dim_Reps!D:D)</f>
        <v>Inside Sales</v>
      </c>
      <c r="R3454" t="str">
        <f>_xlfn.XLOOKUP(Pipeline_tbl[[#This Row],[Rep_ID]],Dim_Reps!A:A,Dim_Reps!E:E)</f>
        <v>EMEA</v>
      </c>
      <c r="S3454" t="str">
        <f>_xlfn.XLOOKUP(Pipeline_tbl[[#This Row],[Created_Date]],Dim_Date!A:A,Dim_Date!H:H)</f>
        <v>Jun 2025</v>
      </c>
      <c r="T3454" t="str">
        <f>IF(Pipeline_tbl[[#This Row],[Closed_Date]]=0,"",(_xlfn.XLOOKUP(Pipeline_tbl[[#This Row],[Closed_Date]],Dim_Date!A:A,Dim_Date!H:H)))</f>
        <v>Jun 2025</v>
      </c>
      <c r="U3454">
        <f>IF(Pipeline_tbl[[#This Row],[Closed_Date]]=0,"",Pipeline_tbl[[#This Row],[Closed_Date]]-Pipeline_tbl[[#This Row],[Created_Date]])</f>
        <v>14</v>
      </c>
    </row>
    <row r="3455" spans="1:21" ht="15" customHeight="1" x14ac:dyDescent="0.2">
      <c r="A3455" t="s">
        <v>3761</v>
      </c>
      <c r="B3455" t="s">
        <v>237</v>
      </c>
      <c r="C3455" t="s">
        <v>54</v>
      </c>
      <c r="D3455" s="49">
        <v>45820</v>
      </c>
      <c r="E3455" s="49">
        <v>45821</v>
      </c>
      <c r="F3455" s="49">
        <v>45823</v>
      </c>
      <c r="G3455" s="49">
        <v>45826</v>
      </c>
      <c r="H3455" s="49">
        <v>45828</v>
      </c>
      <c r="I3455" s="49">
        <v>45830</v>
      </c>
      <c r="J3455" t="s">
        <v>49</v>
      </c>
      <c r="K3455" s="33">
        <v>4600</v>
      </c>
      <c r="L3455" t="s">
        <v>60</v>
      </c>
      <c r="M3455" t="str">
        <f>_xlfn.XLOOKUP(Pipeline_tbl[[#This Row],[Rep_ID]],Dim_Reps!A:A,Dim_Reps!K:K)</f>
        <v>EUR</v>
      </c>
      <c r="N3455" s="33">
        <f>(_xlfn.XLOOKUP(Pipeline_tbl[[#This Row],[Rate_Code_Generalized]],Lookups!A:A,Lookups!B:B))*Pipeline_tbl[[#This Row],[Pipeline_Amount_USD]]</f>
        <v>4600</v>
      </c>
      <c r="O3455" t="str">
        <f>_xlfn.XLOOKUP(Pipeline_tbl[[#This Row],[Rep_ID]],Dim_Reps!A:A,Dim_Reps!B:B)</f>
        <v>Hugo Santos</v>
      </c>
      <c r="P3455" t="str">
        <f>_xlfn.XLOOKUP(Pipeline_tbl[[#This Row],[Rep_ID]],Dim_Reps!A:A,Dim_Reps!C:C)</f>
        <v>SDR / Inside Sales Rep</v>
      </c>
      <c r="Q3455" t="str">
        <f>_xlfn.XLOOKUP(Pipeline_tbl[[#This Row],[Rep_ID]],Dim_Reps!A:A,Dim_Reps!D:D)</f>
        <v>Inside Sales</v>
      </c>
      <c r="R3455" t="str">
        <f>_xlfn.XLOOKUP(Pipeline_tbl[[#This Row],[Rep_ID]],Dim_Reps!A:A,Dim_Reps!E:E)</f>
        <v>EMEA</v>
      </c>
      <c r="S3455" t="str">
        <f>_xlfn.XLOOKUP(Pipeline_tbl[[#This Row],[Created_Date]],Dim_Date!A:A,Dim_Date!H:H)</f>
        <v>Jun 2025</v>
      </c>
      <c r="T3455" t="str">
        <f>IF(Pipeline_tbl[[#This Row],[Closed_Date]]=0,"",(_xlfn.XLOOKUP(Pipeline_tbl[[#This Row],[Closed_Date]],Dim_Date!A:A,Dim_Date!H:H)))</f>
        <v>Jun 2025</v>
      </c>
      <c r="U3455">
        <f>IF(Pipeline_tbl[[#This Row],[Closed_Date]]=0,"",Pipeline_tbl[[#This Row],[Closed_Date]]-Pipeline_tbl[[#This Row],[Created_Date]])</f>
        <v>10</v>
      </c>
    </row>
    <row r="3456" spans="1:21" ht="15" customHeight="1" x14ac:dyDescent="0.2">
      <c r="A3456" t="s">
        <v>3762</v>
      </c>
      <c r="B3456" t="s">
        <v>237</v>
      </c>
      <c r="C3456" t="s">
        <v>52</v>
      </c>
      <c r="D3456" s="49">
        <v>45809</v>
      </c>
      <c r="E3456" s="49">
        <v>45811</v>
      </c>
      <c r="F3456" s="49">
        <v>45816</v>
      </c>
      <c r="G3456" s="49">
        <v>45823</v>
      </c>
      <c r="I3456" s="49">
        <v>45832</v>
      </c>
      <c r="J3456" t="s">
        <v>49</v>
      </c>
      <c r="K3456" s="33">
        <v>1700</v>
      </c>
      <c r="L3456" t="s">
        <v>64</v>
      </c>
      <c r="M3456" t="str">
        <f>_xlfn.XLOOKUP(Pipeline_tbl[[#This Row],[Rep_ID]],Dim_Reps!A:A,Dim_Reps!K:K)</f>
        <v>EUR</v>
      </c>
      <c r="N3456" s="33">
        <f>(_xlfn.XLOOKUP(Pipeline_tbl[[#This Row],[Rate_Code_Generalized]],Lookups!A:A,Lookups!B:B))*Pipeline_tbl[[#This Row],[Pipeline_Amount_USD]]</f>
        <v>1700</v>
      </c>
      <c r="O3456" t="str">
        <f>_xlfn.XLOOKUP(Pipeline_tbl[[#This Row],[Rep_ID]],Dim_Reps!A:A,Dim_Reps!B:B)</f>
        <v>Hugo Santos</v>
      </c>
      <c r="P3456" t="str">
        <f>_xlfn.XLOOKUP(Pipeline_tbl[[#This Row],[Rep_ID]],Dim_Reps!A:A,Dim_Reps!C:C)</f>
        <v>SDR / Inside Sales Rep</v>
      </c>
      <c r="Q3456" t="str">
        <f>_xlfn.XLOOKUP(Pipeline_tbl[[#This Row],[Rep_ID]],Dim_Reps!A:A,Dim_Reps!D:D)</f>
        <v>Inside Sales</v>
      </c>
      <c r="R3456" t="str">
        <f>_xlfn.XLOOKUP(Pipeline_tbl[[#This Row],[Rep_ID]],Dim_Reps!A:A,Dim_Reps!E:E)</f>
        <v>EMEA</v>
      </c>
      <c r="S3456" t="str">
        <f>_xlfn.XLOOKUP(Pipeline_tbl[[#This Row],[Created_Date]],Dim_Date!A:A,Dim_Date!H:H)</f>
        <v>Jun 2025</v>
      </c>
      <c r="T3456" t="str">
        <f>IF(Pipeline_tbl[[#This Row],[Closed_Date]]=0,"",(_xlfn.XLOOKUP(Pipeline_tbl[[#This Row],[Closed_Date]],Dim_Date!A:A,Dim_Date!H:H)))</f>
        <v>Jun 2025</v>
      </c>
      <c r="U3456">
        <f>IF(Pipeline_tbl[[#This Row],[Closed_Date]]=0,"",Pipeline_tbl[[#This Row],[Closed_Date]]-Pipeline_tbl[[#This Row],[Created_Date]])</f>
        <v>23</v>
      </c>
    </row>
    <row r="3457" spans="1:21" ht="15" customHeight="1" x14ac:dyDescent="0.2">
      <c r="A3457" t="s">
        <v>3763</v>
      </c>
      <c r="B3457" t="s">
        <v>269</v>
      </c>
      <c r="C3457" t="s">
        <v>52</v>
      </c>
      <c r="D3457" s="49">
        <v>45815</v>
      </c>
      <c r="E3457" s="49">
        <v>45817</v>
      </c>
      <c r="F3457" s="49">
        <v>45822</v>
      </c>
      <c r="I3457" s="49">
        <v>45837</v>
      </c>
      <c r="J3457" t="s">
        <v>49</v>
      </c>
      <c r="K3457" s="33">
        <v>14500</v>
      </c>
      <c r="L3457" t="s">
        <v>61</v>
      </c>
      <c r="M3457" t="str">
        <f>_xlfn.XLOOKUP(Pipeline_tbl[[#This Row],[Rep_ID]],Dim_Reps!A:A,Dim_Reps!K:K)</f>
        <v>USD</v>
      </c>
      <c r="N3457" s="33">
        <f>(_xlfn.XLOOKUP(Pipeline_tbl[[#This Row],[Rate_Code_Generalized]],Lookups!A:A,Lookups!B:B))*Pipeline_tbl[[#This Row],[Pipeline_Amount_USD]]</f>
        <v>16882.349999999999</v>
      </c>
      <c r="O3457" t="str">
        <f>_xlfn.XLOOKUP(Pipeline_tbl[[#This Row],[Rep_ID]],Dim_Reps!A:A,Dim_Reps!B:B)</f>
        <v>Morgan Rivera</v>
      </c>
      <c r="P3457" t="str">
        <f>_xlfn.XLOOKUP(Pipeline_tbl[[#This Row],[Rep_ID]],Dim_Reps!A:A,Dim_Reps!C:C)</f>
        <v>Mid-Market AE</v>
      </c>
      <c r="Q3457" t="str">
        <f>_xlfn.XLOOKUP(Pipeline_tbl[[#This Row],[Rep_ID]],Dim_Reps!A:A,Dim_Reps!D:D)</f>
        <v>Mid-Market</v>
      </c>
      <c r="R3457" t="str">
        <f>_xlfn.XLOOKUP(Pipeline_tbl[[#This Row],[Rep_ID]],Dim_Reps!A:A,Dim_Reps!E:E)</f>
        <v>NAMER</v>
      </c>
      <c r="S3457" t="str">
        <f>_xlfn.XLOOKUP(Pipeline_tbl[[#This Row],[Created_Date]],Dim_Date!A:A,Dim_Date!H:H)</f>
        <v>Jun 2025</v>
      </c>
      <c r="T3457" t="str">
        <f>IF(Pipeline_tbl[[#This Row],[Closed_Date]]=0,"",(_xlfn.XLOOKUP(Pipeline_tbl[[#This Row],[Closed_Date]],Dim_Date!A:A,Dim_Date!H:H)))</f>
        <v>Jun 2025</v>
      </c>
      <c r="U3457">
        <f>IF(Pipeline_tbl[[#This Row],[Closed_Date]]=0,"",Pipeline_tbl[[#This Row],[Closed_Date]]-Pipeline_tbl[[#This Row],[Created_Date]])</f>
        <v>22</v>
      </c>
    </row>
    <row r="3458" spans="1:21" ht="15" customHeight="1" x14ac:dyDescent="0.2">
      <c r="A3458" t="s">
        <v>3764</v>
      </c>
      <c r="B3458" t="s">
        <v>269</v>
      </c>
      <c r="C3458" t="s">
        <v>52</v>
      </c>
      <c r="D3458" s="49">
        <v>45812</v>
      </c>
      <c r="E3458" s="49">
        <v>45814</v>
      </c>
      <c r="F3458" s="49">
        <v>45817</v>
      </c>
      <c r="G3458" s="49">
        <v>45822</v>
      </c>
      <c r="I3458" s="49">
        <v>45829</v>
      </c>
      <c r="J3458" t="s">
        <v>49</v>
      </c>
      <c r="K3458" s="33">
        <v>12200</v>
      </c>
      <c r="L3458" t="s">
        <v>62</v>
      </c>
      <c r="M3458" t="str">
        <f>_xlfn.XLOOKUP(Pipeline_tbl[[#This Row],[Rep_ID]],Dim_Reps!A:A,Dim_Reps!K:K)</f>
        <v>USD</v>
      </c>
      <c r="N3458" s="33">
        <f>(_xlfn.XLOOKUP(Pipeline_tbl[[#This Row],[Rate_Code_Generalized]],Lookups!A:A,Lookups!B:B))*Pipeline_tbl[[#This Row],[Pipeline_Amount_USD]]</f>
        <v>14204.46</v>
      </c>
      <c r="O3458" t="str">
        <f>_xlfn.XLOOKUP(Pipeline_tbl[[#This Row],[Rep_ID]],Dim_Reps!A:A,Dim_Reps!B:B)</f>
        <v>Morgan Rivera</v>
      </c>
      <c r="P3458" t="str">
        <f>_xlfn.XLOOKUP(Pipeline_tbl[[#This Row],[Rep_ID]],Dim_Reps!A:A,Dim_Reps!C:C)</f>
        <v>Mid-Market AE</v>
      </c>
      <c r="Q3458" t="str">
        <f>_xlfn.XLOOKUP(Pipeline_tbl[[#This Row],[Rep_ID]],Dim_Reps!A:A,Dim_Reps!D:D)</f>
        <v>Mid-Market</v>
      </c>
      <c r="R3458" t="str">
        <f>_xlfn.XLOOKUP(Pipeline_tbl[[#This Row],[Rep_ID]],Dim_Reps!A:A,Dim_Reps!E:E)</f>
        <v>NAMER</v>
      </c>
      <c r="S3458" t="str">
        <f>_xlfn.XLOOKUP(Pipeline_tbl[[#This Row],[Created_Date]],Dim_Date!A:A,Dim_Date!H:H)</f>
        <v>Jun 2025</v>
      </c>
      <c r="T3458" t="str">
        <f>IF(Pipeline_tbl[[#This Row],[Closed_Date]]=0,"",(_xlfn.XLOOKUP(Pipeline_tbl[[#This Row],[Closed_Date]],Dim_Date!A:A,Dim_Date!H:H)))</f>
        <v>Jun 2025</v>
      </c>
      <c r="U3458">
        <f>IF(Pipeline_tbl[[#This Row],[Closed_Date]]=0,"",Pipeline_tbl[[#This Row],[Closed_Date]]-Pipeline_tbl[[#This Row],[Created_Date]])</f>
        <v>17</v>
      </c>
    </row>
    <row r="3459" spans="1:21" ht="15" customHeight="1" x14ac:dyDescent="0.2">
      <c r="A3459" t="s">
        <v>3765</v>
      </c>
      <c r="B3459" t="s">
        <v>271</v>
      </c>
      <c r="C3459" t="s">
        <v>56</v>
      </c>
      <c r="D3459" s="49">
        <v>45813</v>
      </c>
      <c r="E3459" s="49">
        <v>45814</v>
      </c>
      <c r="F3459" s="49">
        <v>45817</v>
      </c>
      <c r="I3459" s="49">
        <v>45825</v>
      </c>
      <c r="J3459" t="s">
        <v>49</v>
      </c>
      <c r="K3459" s="33">
        <v>19500</v>
      </c>
      <c r="L3459" t="s">
        <v>64</v>
      </c>
      <c r="M3459" t="str">
        <f>_xlfn.XLOOKUP(Pipeline_tbl[[#This Row],[Rep_ID]],Dim_Reps!A:A,Dim_Reps!K:K)</f>
        <v>EUR</v>
      </c>
      <c r="N3459" s="33">
        <f>(_xlfn.XLOOKUP(Pipeline_tbl[[#This Row],[Rate_Code_Generalized]],Lookups!A:A,Lookups!B:B))*Pipeline_tbl[[#This Row],[Pipeline_Amount_USD]]</f>
        <v>19500</v>
      </c>
      <c r="O3459" t="str">
        <f>_xlfn.XLOOKUP(Pipeline_tbl[[#This Row],[Rep_ID]],Dim_Reps!A:A,Dim_Reps!B:B)</f>
        <v>Ivy Adler</v>
      </c>
      <c r="P3459" t="str">
        <f>_xlfn.XLOOKUP(Pipeline_tbl[[#This Row],[Rep_ID]],Dim_Reps!A:A,Dim_Reps!C:C)</f>
        <v>Mid-Market AE</v>
      </c>
      <c r="Q3459" t="str">
        <f>_xlfn.XLOOKUP(Pipeline_tbl[[#This Row],[Rep_ID]],Dim_Reps!A:A,Dim_Reps!D:D)</f>
        <v>Mid-Market</v>
      </c>
      <c r="R3459" t="str">
        <f>_xlfn.XLOOKUP(Pipeline_tbl[[#This Row],[Rep_ID]],Dim_Reps!A:A,Dim_Reps!E:E)</f>
        <v>APAC</v>
      </c>
      <c r="S3459" t="str">
        <f>_xlfn.XLOOKUP(Pipeline_tbl[[#This Row],[Created_Date]],Dim_Date!A:A,Dim_Date!H:H)</f>
        <v>Jun 2025</v>
      </c>
      <c r="T3459" t="str">
        <f>IF(Pipeline_tbl[[#This Row],[Closed_Date]]=0,"",(_xlfn.XLOOKUP(Pipeline_tbl[[#This Row],[Closed_Date]],Dim_Date!A:A,Dim_Date!H:H)))</f>
        <v>Jun 2025</v>
      </c>
      <c r="U3459">
        <f>IF(Pipeline_tbl[[#This Row],[Closed_Date]]=0,"",Pipeline_tbl[[#This Row],[Closed_Date]]-Pipeline_tbl[[#This Row],[Created_Date]])</f>
        <v>12</v>
      </c>
    </row>
    <row r="3460" spans="1:21" ht="15" customHeight="1" x14ac:dyDescent="0.2">
      <c r="A3460" t="s">
        <v>3766</v>
      </c>
      <c r="B3460" t="s">
        <v>271</v>
      </c>
      <c r="C3460" t="s">
        <v>54</v>
      </c>
      <c r="D3460" s="49">
        <v>45815</v>
      </c>
      <c r="E3460" s="49">
        <v>45817</v>
      </c>
      <c r="I3460" s="49">
        <v>45836</v>
      </c>
      <c r="J3460" t="s">
        <v>49</v>
      </c>
      <c r="K3460" s="33">
        <v>6800</v>
      </c>
      <c r="L3460" t="s">
        <v>63</v>
      </c>
      <c r="M3460" t="str">
        <f>_xlfn.XLOOKUP(Pipeline_tbl[[#This Row],[Rep_ID]],Dim_Reps!A:A,Dim_Reps!K:K)</f>
        <v>EUR</v>
      </c>
      <c r="N3460" s="33">
        <f>(_xlfn.XLOOKUP(Pipeline_tbl[[#This Row],[Rate_Code_Generalized]],Lookups!A:A,Lookups!B:B))*Pipeline_tbl[[#This Row],[Pipeline_Amount_USD]]</f>
        <v>6800</v>
      </c>
      <c r="O3460" t="str">
        <f>_xlfn.XLOOKUP(Pipeline_tbl[[#This Row],[Rep_ID]],Dim_Reps!A:A,Dim_Reps!B:B)</f>
        <v>Ivy Adler</v>
      </c>
      <c r="P3460" t="str">
        <f>_xlfn.XLOOKUP(Pipeline_tbl[[#This Row],[Rep_ID]],Dim_Reps!A:A,Dim_Reps!C:C)</f>
        <v>Mid-Market AE</v>
      </c>
      <c r="Q3460" t="str">
        <f>_xlfn.XLOOKUP(Pipeline_tbl[[#This Row],[Rep_ID]],Dim_Reps!A:A,Dim_Reps!D:D)</f>
        <v>Mid-Market</v>
      </c>
      <c r="R3460" t="str">
        <f>_xlfn.XLOOKUP(Pipeline_tbl[[#This Row],[Rep_ID]],Dim_Reps!A:A,Dim_Reps!E:E)</f>
        <v>APAC</v>
      </c>
      <c r="S3460" t="str">
        <f>_xlfn.XLOOKUP(Pipeline_tbl[[#This Row],[Created_Date]],Dim_Date!A:A,Dim_Date!H:H)</f>
        <v>Jun 2025</v>
      </c>
      <c r="T3460" t="str">
        <f>IF(Pipeline_tbl[[#This Row],[Closed_Date]]=0,"",(_xlfn.XLOOKUP(Pipeline_tbl[[#This Row],[Closed_Date]],Dim_Date!A:A,Dim_Date!H:H)))</f>
        <v>Jun 2025</v>
      </c>
      <c r="U3460">
        <f>IF(Pipeline_tbl[[#This Row],[Closed_Date]]=0,"",Pipeline_tbl[[#This Row],[Closed_Date]]-Pipeline_tbl[[#This Row],[Created_Date]])</f>
        <v>21</v>
      </c>
    </row>
    <row r="3461" spans="1:21" ht="15" customHeight="1" x14ac:dyDescent="0.2">
      <c r="A3461" t="s">
        <v>3767</v>
      </c>
      <c r="B3461" t="s">
        <v>241</v>
      </c>
      <c r="C3461" t="s">
        <v>55</v>
      </c>
      <c r="D3461" s="49">
        <v>45811</v>
      </c>
      <c r="E3461" s="49">
        <v>45813</v>
      </c>
      <c r="F3461" s="49">
        <v>45816</v>
      </c>
      <c r="G3461" s="49">
        <v>45821</v>
      </c>
      <c r="H3461" s="49">
        <v>45825</v>
      </c>
      <c r="I3461" s="49">
        <v>45828</v>
      </c>
      <c r="J3461" t="s">
        <v>49</v>
      </c>
      <c r="K3461" s="33">
        <v>3700</v>
      </c>
      <c r="L3461" t="s">
        <v>61</v>
      </c>
      <c r="M3461" t="str">
        <f>_xlfn.XLOOKUP(Pipeline_tbl[[#This Row],[Rep_ID]],Dim_Reps!A:A,Dim_Reps!K:K)</f>
        <v>EUR</v>
      </c>
      <c r="N3461" s="33">
        <f>(_xlfn.XLOOKUP(Pipeline_tbl[[#This Row],[Rate_Code_Generalized]],Lookups!A:A,Lookups!B:B))*Pipeline_tbl[[#This Row],[Pipeline_Amount_USD]]</f>
        <v>3700</v>
      </c>
      <c r="O3461" t="str">
        <f>_xlfn.XLOOKUP(Pipeline_tbl[[#This Row],[Rep_ID]],Dim_Reps!A:A,Dim_Reps!B:B)</f>
        <v>Kenji Weber</v>
      </c>
      <c r="P3461" t="str">
        <f>_xlfn.XLOOKUP(Pipeline_tbl[[#This Row],[Rep_ID]],Dim_Reps!A:A,Dim_Reps!C:C)</f>
        <v>SDR / Inside Sales Rep</v>
      </c>
      <c r="Q3461" t="str">
        <f>_xlfn.XLOOKUP(Pipeline_tbl[[#This Row],[Rep_ID]],Dim_Reps!A:A,Dim_Reps!D:D)</f>
        <v>Inside Sales</v>
      </c>
      <c r="R3461" t="str">
        <f>_xlfn.XLOOKUP(Pipeline_tbl[[#This Row],[Rep_ID]],Dim_Reps!A:A,Dim_Reps!E:E)</f>
        <v>APAC</v>
      </c>
      <c r="S3461" t="str">
        <f>_xlfn.XLOOKUP(Pipeline_tbl[[#This Row],[Created_Date]],Dim_Date!A:A,Dim_Date!H:H)</f>
        <v>Jun 2025</v>
      </c>
      <c r="T3461" t="str">
        <f>IF(Pipeline_tbl[[#This Row],[Closed_Date]]=0,"",(_xlfn.XLOOKUP(Pipeline_tbl[[#This Row],[Closed_Date]],Dim_Date!A:A,Dim_Date!H:H)))</f>
        <v>Jun 2025</v>
      </c>
      <c r="U3461">
        <f>IF(Pipeline_tbl[[#This Row],[Closed_Date]]=0,"",Pipeline_tbl[[#This Row],[Closed_Date]]-Pipeline_tbl[[#This Row],[Created_Date]])</f>
        <v>17</v>
      </c>
    </row>
    <row r="3462" spans="1:21" ht="15" customHeight="1" x14ac:dyDescent="0.2">
      <c r="A3462" t="s">
        <v>3768</v>
      </c>
      <c r="B3462" t="s">
        <v>241</v>
      </c>
      <c r="C3462" t="s">
        <v>53</v>
      </c>
      <c r="D3462" s="49">
        <v>45817</v>
      </c>
      <c r="E3462" s="49">
        <v>45819</v>
      </c>
      <c r="F3462" s="49">
        <v>45822</v>
      </c>
      <c r="G3462" s="49">
        <v>45826</v>
      </c>
      <c r="H3462" s="49">
        <v>45830</v>
      </c>
      <c r="I3462" s="49">
        <v>45832</v>
      </c>
      <c r="J3462" t="s">
        <v>49</v>
      </c>
      <c r="K3462" s="33">
        <v>3800</v>
      </c>
      <c r="L3462" t="s">
        <v>61</v>
      </c>
      <c r="M3462" t="str">
        <f>_xlfn.XLOOKUP(Pipeline_tbl[[#This Row],[Rep_ID]],Dim_Reps!A:A,Dim_Reps!K:K)</f>
        <v>EUR</v>
      </c>
      <c r="N3462" s="33">
        <f>(_xlfn.XLOOKUP(Pipeline_tbl[[#This Row],[Rate_Code_Generalized]],Lookups!A:A,Lookups!B:B))*Pipeline_tbl[[#This Row],[Pipeline_Amount_USD]]</f>
        <v>3800</v>
      </c>
      <c r="O3462" t="str">
        <f>_xlfn.XLOOKUP(Pipeline_tbl[[#This Row],[Rep_ID]],Dim_Reps!A:A,Dim_Reps!B:B)</f>
        <v>Kenji Weber</v>
      </c>
      <c r="P3462" t="str">
        <f>_xlfn.XLOOKUP(Pipeline_tbl[[#This Row],[Rep_ID]],Dim_Reps!A:A,Dim_Reps!C:C)</f>
        <v>SDR / Inside Sales Rep</v>
      </c>
      <c r="Q3462" t="str">
        <f>_xlfn.XLOOKUP(Pipeline_tbl[[#This Row],[Rep_ID]],Dim_Reps!A:A,Dim_Reps!D:D)</f>
        <v>Inside Sales</v>
      </c>
      <c r="R3462" t="str">
        <f>_xlfn.XLOOKUP(Pipeline_tbl[[#This Row],[Rep_ID]],Dim_Reps!A:A,Dim_Reps!E:E)</f>
        <v>APAC</v>
      </c>
      <c r="S3462" t="str">
        <f>_xlfn.XLOOKUP(Pipeline_tbl[[#This Row],[Created_Date]],Dim_Date!A:A,Dim_Date!H:H)</f>
        <v>Jun 2025</v>
      </c>
      <c r="T3462" t="str">
        <f>IF(Pipeline_tbl[[#This Row],[Closed_Date]]=0,"",(_xlfn.XLOOKUP(Pipeline_tbl[[#This Row],[Closed_Date]],Dim_Date!A:A,Dim_Date!H:H)))</f>
        <v>Jun 2025</v>
      </c>
      <c r="U3462">
        <f>IF(Pipeline_tbl[[#This Row],[Closed_Date]]=0,"",Pipeline_tbl[[#This Row],[Closed_Date]]-Pipeline_tbl[[#This Row],[Created_Date]])</f>
        <v>15</v>
      </c>
    </row>
    <row r="3463" spans="1:21" ht="15" customHeight="1" x14ac:dyDescent="0.2">
      <c r="A3463" t="s">
        <v>3769</v>
      </c>
      <c r="B3463" t="s">
        <v>241</v>
      </c>
      <c r="C3463" t="s">
        <v>54</v>
      </c>
      <c r="D3463" s="49">
        <v>45815</v>
      </c>
      <c r="E3463" s="49">
        <v>45817</v>
      </c>
      <c r="F3463" s="49">
        <v>45821</v>
      </c>
      <c r="I3463" s="49">
        <v>45835</v>
      </c>
      <c r="J3463" t="s">
        <v>49</v>
      </c>
      <c r="K3463" s="33">
        <v>5200</v>
      </c>
      <c r="L3463" t="s">
        <v>61</v>
      </c>
      <c r="M3463" t="str">
        <f>_xlfn.XLOOKUP(Pipeline_tbl[[#This Row],[Rep_ID]],Dim_Reps!A:A,Dim_Reps!K:K)</f>
        <v>EUR</v>
      </c>
      <c r="N3463" s="33">
        <f>(_xlfn.XLOOKUP(Pipeline_tbl[[#This Row],[Rate_Code_Generalized]],Lookups!A:A,Lookups!B:B))*Pipeline_tbl[[#This Row],[Pipeline_Amount_USD]]</f>
        <v>5200</v>
      </c>
      <c r="O3463" t="str">
        <f>_xlfn.XLOOKUP(Pipeline_tbl[[#This Row],[Rep_ID]],Dim_Reps!A:A,Dim_Reps!B:B)</f>
        <v>Kenji Weber</v>
      </c>
      <c r="P3463" t="str">
        <f>_xlfn.XLOOKUP(Pipeline_tbl[[#This Row],[Rep_ID]],Dim_Reps!A:A,Dim_Reps!C:C)</f>
        <v>SDR / Inside Sales Rep</v>
      </c>
      <c r="Q3463" t="str">
        <f>_xlfn.XLOOKUP(Pipeline_tbl[[#This Row],[Rep_ID]],Dim_Reps!A:A,Dim_Reps!D:D)</f>
        <v>Inside Sales</v>
      </c>
      <c r="R3463" t="str">
        <f>_xlfn.XLOOKUP(Pipeline_tbl[[#This Row],[Rep_ID]],Dim_Reps!A:A,Dim_Reps!E:E)</f>
        <v>APAC</v>
      </c>
      <c r="S3463" t="str">
        <f>_xlfn.XLOOKUP(Pipeline_tbl[[#This Row],[Created_Date]],Dim_Date!A:A,Dim_Date!H:H)</f>
        <v>Jun 2025</v>
      </c>
      <c r="T3463" t="str">
        <f>IF(Pipeline_tbl[[#This Row],[Closed_Date]]=0,"",(_xlfn.XLOOKUP(Pipeline_tbl[[#This Row],[Closed_Date]],Dim_Date!A:A,Dim_Date!H:H)))</f>
        <v>Jun 2025</v>
      </c>
      <c r="U3463">
        <f>IF(Pipeline_tbl[[#This Row],[Closed_Date]]=0,"",Pipeline_tbl[[#This Row],[Closed_Date]]-Pipeline_tbl[[#This Row],[Created_Date]])</f>
        <v>20</v>
      </c>
    </row>
    <row r="3464" spans="1:21" ht="15" customHeight="1" x14ac:dyDescent="0.2">
      <c r="A3464" t="s">
        <v>3770</v>
      </c>
      <c r="B3464" t="s">
        <v>241</v>
      </c>
      <c r="C3464" t="s">
        <v>56</v>
      </c>
      <c r="D3464" s="49">
        <v>45827</v>
      </c>
      <c r="E3464" s="49">
        <v>45828</v>
      </c>
      <c r="I3464" s="49">
        <v>45837</v>
      </c>
      <c r="J3464" t="s">
        <v>49</v>
      </c>
      <c r="K3464" s="33">
        <v>2300</v>
      </c>
      <c r="L3464" t="s">
        <v>62</v>
      </c>
      <c r="M3464" t="str">
        <f>_xlfn.XLOOKUP(Pipeline_tbl[[#This Row],[Rep_ID]],Dim_Reps!A:A,Dim_Reps!K:K)</f>
        <v>EUR</v>
      </c>
      <c r="N3464" s="33">
        <f>(_xlfn.XLOOKUP(Pipeline_tbl[[#This Row],[Rate_Code_Generalized]],Lookups!A:A,Lookups!B:B))*Pipeline_tbl[[#This Row],[Pipeline_Amount_USD]]</f>
        <v>2300</v>
      </c>
      <c r="O3464" t="str">
        <f>_xlfn.XLOOKUP(Pipeline_tbl[[#This Row],[Rep_ID]],Dim_Reps!A:A,Dim_Reps!B:B)</f>
        <v>Kenji Weber</v>
      </c>
      <c r="P3464" t="str">
        <f>_xlfn.XLOOKUP(Pipeline_tbl[[#This Row],[Rep_ID]],Dim_Reps!A:A,Dim_Reps!C:C)</f>
        <v>SDR / Inside Sales Rep</v>
      </c>
      <c r="Q3464" t="str">
        <f>_xlfn.XLOOKUP(Pipeline_tbl[[#This Row],[Rep_ID]],Dim_Reps!A:A,Dim_Reps!D:D)</f>
        <v>Inside Sales</v>
      </c>
      <c r="R3464" t="str">
        <f>_xlfn.XLOOKUP(Pipeline_tbl[[#This Row],[Rep_ID]],Dim_Reps!A:A,Dim_Reps!E:E)</f>
        <v>APAC</v>
      </c>
      <c r="S3464" t="str">
        <f>_xlfn.XLOOKUP(Pipeline_tbl[[#This Row],[Created_Date]],Dim_Date!A:A,Dim_Date!H:H)</f>
        <v>Jun 2025</v>
      </c>
      <c r="T3464" t="str">
        <f>IF(Pipeline_tbl[[#This Row],[Closed_Date]]=0,"",(_xlfn.XLOOKUP(Pipeline_tbl[[#This Row],[Closed_Date]],Dim_Date!A:A,Dim_Date!H:H)))</f>
        <v>Jun 2025</v>
      </c>
      <c r="U3464">
        <f>IF(Pipeline_tbl[[#This Row],[Closed_Date]]=0,"",Pipeline_tbl[[#This Row],[Closed_Date]]-Pipeline_tbl[[#This Row],[Created_Date]])</f>
        <v>10</v>
      </c>
    </row>
    <row r="3465" spans="1:21" ht="15" customHeight="1" x14ac:dyDescent="0.2">
      <c r="A3465" t="s">
        <v>3771</v>
      </c>
      <c r="B3465" t="s">
        <v>191</v>
      </c>
      <c r="C3465" t="s">
        <v>52</v>
      </c>
      <c r="D3465" s="49">
        <v>45838</v>
      </c>
      <c r="E3465" s="49">
        <v>45848</v>
      </c>
      <c r="I3465" s="49">
        <v>45934</v>
      </c>
      <c r="J3465" t="s">
        <v>49</v>
      </c>
      <c r="K3465" s="33">
        <v>55300</v>
      </c>
      <c r="L3465" t="s">
        <v>60</v>
      </c>
      <c r="M3465" t="str">
        <f>_xlfn.XLOOKUP(Pipeline_tbl[[#This Row],[Rep_ID]],Dim_Reps!A:A,Dim_Reps!K:K)</f>
        <v>USD</v>
      </c>
      <c r="N3465" s="33">
        <f>(_xlfn.XLOOKUP(Pipeline_tbl[[#This Row],[Rate_Code_Generalized]],Lookups!A:A,Lookups!B:B))*Pipeline_tbl[[#This Row],[Pipeline_Amount_USD]]</f>
        <v>64385.789999999994</v>
      </c>
      <c r="O3465" t="str">
        <f>_xlfn.XLOOKUP(Pipeline_tbl[[#This Row],[Rep_ID]],Dim_Reps!A:A,Dim_Reps!B:B)</f>
        <v>Zara Duarte</v>
      </c>
      <c r="P3465" t="str">
        <f>_xlfn.XLOOKUP(Pipeline_tbl[[#This Row],[Rep_ID]],Dim_Reps!A:A,Dim_Reps!C:C)</f>
        <v>Enterprise AE</v>
      </c>
      <c r="Q3465" t="str">
        <f>_xlfn.XLOOKUP(Pipeline_tbl[[#This Row],[Rep_ID]],Dim_Reps!A:A,Dim_Reps!D:D)</f>
        <v>Enterprise</v>
      </c>
      <c r="R3465" t="str">
        <f>_xlfn.XLOOKUP(Pipeline_tbl[[#This Row],[Rep_ID]],Dim_Reps!A:A,Dim_Reps!E:E)</f>
        <v>NAMER</v>
      </c>
      <c r="S3465" t="str">
        <f>_xlfn.XLOOKUP(Pipeline_tbl[[#This Row],[Created_Date]],Dim_Date!A:A,Dim_Date!H:H)</f>
        <v>Jun 2025</v>
      </c>
      <c r="T3465" t="str">
        <f>IF(Pipeline_tbl[[#This Row],[Closed_Date]]=0,"",(_xlfn.XLOOKUP(Pipeline_tbl[[#This Row],[Closed_Date]],Dim_Date!A:A,Dim_Date!H:H)))</f>
        <v>Oct 2025</v>
      </c>
      <c r="U3465">
        <f>IF(Pipeline_tbl[[#This Row],[Closed_Date]]=0,"",Pipeline_tbl[[#This Row],[Closed_Date]]-Pipeline_tbl[[#This Row],[Created_Date]])</f>
        <v>96</v>
      </c>
    </row>
    <row r="3466" spans="1:21" ht="15" customHeight="1" x14ac:dyDescent="0.2">
      <c r="A3466" t="s">
        <v>3772</v>
      </c>
      <c r="B3466" t="s">
        <v>181</v>
      </c>
      <c r="C3466" t="s">
        <v>54</v>
      </c>
      <c r="D3466" s="49">
        <v>45810</v>
      </c>
      <c r="E3466" s="49">
        <v>45820</v>
      </c>
      <c r="F3466" s="49">
        <v>45839</v>
      </c>
      <c r="G3466" s="49">
        <v>45869</v>
      </c>
      <c r="H3466" s="49">
        <v>45893</v>
      </c>
      <c r="I3466" s="49">
        <v>45908</v>
      </c>
      <c r="J3466" t="s">
        <v>47</v>
      </c>
      <c r="K3466" s="33">
        <v>57300</v>
      </c>
      <c r="M3466" t="str">
        <f>_xlfn.XLOOKUP(Pipeline_tbl[[#This Row],[Rep_ID]],Dim_Reps!A:A,Dim_Reps!K:K)</f>
        <v>USD</v>
      </c>
      <c r="N3466" s="33">
        <f>(_xlfn.XLOOKUP(Pipeline_tbl[[#This Row],[Rate_Code_Generalized]],Lookups!A:A,Lookups!B:B))*Pipeline_tbl[[#This Row],[Pipeline_Amount_USD]]</f>
        <v>66714.39</v>
      </c>
      <c r="O3466" t="str">
        <f>_xlfn.XLOOKUP(Pipeline_tbl[[#This Row],[Rep_ID]],Dim_Reps!A:A,Dim_Reps!B:B)</f>
        <v>Milo Weber</v>
      </c>
      <c r="P3466" t="str">
        <f>_xlfn.XLOOKUP(Pipeline_tbl[[#This Row],[Rep_ID]],Dim_Reps!A:A,Dim_Reps!C:C)</f>
        <v>Enterprise AE</v>
      </c>
      <c r="Q3466" t="str">
        <f>_xlfn.XLOOKUP(Pipeline_tbl[[#This Row],[Rep_ID]],Dim_Reps!A:A,Dim_Reps!D:D)</f>
        <v>Enterprise</v>
      </c>
      <c r="R3466" t="str">
        <f>_xlfn.XLOOKUP(Pipeline_tbl[[#This Row],[Rep_ID]],Dim_Reps!A:A,Dim_Reps!E:E)</f>
        <v>NAMER</v>
      </c>
      <c r="S3466" t="str">
        <f>_xlfn.XLOOKUP(Pipeline_tbl[[#This Row],[Created_Date]],Dim_Date!A:A,Dim_Date!H:H)</f>
        <v>Jun 2025</v>
      </c>
      <c r="T3466" t="str">
        <f>IF(Pipeline_tbl[[#This Row],[Closed_Date]]=0,"",(_xlfn.XLOOKUP(Pipeline_tbl[[#This Row],[Closed_Date]],Dim_Date!A:A,Dim_Date!H:H)))</f>
        <v>Sep 2025</v>
      </c>
      <c r="U3466">
        <f>IF(Pipeline_tbl[[#This Row],[Closed_Date]]=0,"",Pipeline_tbl[[#This Row],[Closed_Date]]-Pipeline_tbl[[#This Row],[Created_Date]])</f>
        <v>98</v>
      </c>
    </row>
    <row r="3467" spans="1:21" ht="15" customHeight="1" x14ac:dyDescent="0.2">
      <c r="A3467" t="s">
        <v>3773</v>
      </c>
      <c r="B3467" t="s">
        <v>181</v>
      </c>
      <c r="C3467" t="s">
        <v>56</v>
      </c>
      <c r="D3467" s="49">
        <v>45825</v>
      </c>
      <c r="E3467" s="49">
        <v>45833</v>
      </c>
      <c r="F3467" s="49">
        <v>45848</v>
      </c>
      <c r="G3467" s="49">
        <v>45871</v>
      </c>
      <c r="H3467" s="49">
        <v>45890</v>
      </c>
      <c r="I3467" s="49">
        <v>45901</v>
      </c>
      <c r="J3467" t="s">
        <v>47</v>
      </c>
      <c r="K3467" s="33">
        <v>39900</v>
      </c>
      <c r="M3467" t="str">
        <f>_xlfn.XLOOKUP(Pipeline_tbl[[#This Row],[Rep_ID]],Dim_Reps!A:A,Dim_Reps!K:K)</f>
        <v>USD</v>
      </c>
      <c r="N3467" s="33">
        <f>(_xlfn.XLOOKUP(Pipeline_tbl[[#This Row],[Rate_Code_Generalized]],Lookups!A:A,Lookups!B:B))*Pipeline_tbl[[#This Row],[Pipeline_Amount_USD]]</f>
        <v>46455.569999999992</v>
      </c>
      <c r="O3467" t="str">
        <f>_xlfn.XLOOKUP(Pipeline_tbl[[#This Row],[Rep_ID]],Dim_Reps!A:A,Dim_Reps!B:B)</f>
        <v>Milo Weber</v>
      </c>
      <c r="P3467" t="str">
        <f>_xlfn.XLOOKUP(Pipeline_tbl[[#This Row],[Rep_ID]],Dim_Reps!A:A,Dim_Reps!C:C)</f>
        <v>Enterprise AE</v>
      </c>
      <c r="Q3467" t="str">
        <f>_xlfn.XLOOKUP(Pipeline_tbl[[#This Row],[Rep_ID]],Dim_Reps!A:A,Dim_Reps!D:D)</f>
        <v>Enterprise</v>
      </c>
      <c r="R3467" t="str">
        <f>_xlfn.XLOOKUP(Pipeline_tbl[[#This Row],[Rep_ID]],Dim_Reps!A:A,Dim_Reps!E:E)</f>
        <v>NAMER</v>
      </c>
      <c r="S3467" t="str">
        <f>_xlfn.XLOOKUP(Pipeline_tbl[[#This Row],[Created_Date]],Dim_Date!A:A,Dim_Date!H:H)</f>
        <v>Jun 2025</v>
      </c>
      <c r="T3467" t="str">
        <f>IF(Pipeline_tbl[[#This Row],[Closed_Date]]=0,"",(_xlfn.XLOOKUP(Pipeline_tbl[[#This Row],[Closed_Date]],Dim_Date!A:A,Dim_Date!H:H)))</f>
        <v>Sep 2025</v>
      </c>
      <c r="U3467">
        <f>IF(Pipeline_tbl[[#This Row],[Closed_Date]]=0,"",Pipeline_tbl[[#This Row],[Closed_Date]]-Pipeline_tbl[[#This Row],[Created_Date]])</f>
        <v>76</v>
      </c>
    </row>
    <row r="3468" spans="1:21" ht="15" customHeight="1" x14ac:dyDescent="0.2">
      <c r="A3468" t="s">
        <v>3774</v>
      </c>
      <c r="B3468" t="s">
        <v>183</v>
      </c>
      <c r="C3468" t="s">
        <v>56</v>
      </c>
      <c r="D3468" s="49">
        <v>45838</v>
      </c>
      <c r="E3468" s="49">
        <v>45845</v>
      </c>
      <c r="F3468" s="49">
        <v>45859</v>
      </c>
      <c r="G3468" s="49">
        <v>45881</v>
      </c>
      <c r="H3468" s="49">
        <v>45898</v>
      </c>
      <c r="I3468" s="49">
        <v>45909</v>
      </c>
      <c r="J3468" t="s">
        <v>47</v>
      </c>
      <c r="K3468" s="33">
        <v>56600</v>
      </c>
      <c r="M3468" t="str">
        <f>_xlfn.XLOOKUP(Pipeline_tbl[[#This Row],[Rep_ID]],Dim_Reps!A:A,Dim_Reps!K:K)</f>
        <v>EUR</v>
      </c>
      <c r="N3468" s="33">
        <f>(_xlfn.XLOOKUP(Pipeline_tbl[[#This Row],[Rate_Code_Generalized]],Lookups!A:A,Lookups!B:B))*Pipeline_tbl[[#This Row],[Pipeline_Amount_USD]]</f>
        <v>56600</v>
      </c>
      <c r="O3468" t="str">
        <f>_xlfn.XLOOKUP(Pipeline_tbl[[#This Row],[Rep_ID]],Dim_Reps!A:A,Dim_Reps!B:B)</f>
        <v>Sam Schmidt</v>
      </c>
      <c r="P3468" t="str">
        <f>_xlfn.XLOOKUP(Pipeline_tbl[[#This Row],[Rep_ID]],Dim_Reps!A:A,Dim_Reps!C:C)</f>
        <v>Enterprise AE</v>
      </c>
      <c r="Q3468" t="str">
        <f>_xlfn.XLOOKUP(Pipeline_tbl[[#This Row],[Rep_ID]],Dim_Reps!A:A,Dim_Reps!D:D)</f>
        <v>Enterprise</v>
      </c>
      <c r="R3468" t="str">
        <f>_xlfn.XLOOKUP(Pipeline_tbl[[#This Row],[Rep_ID]],Dim_Reps!A:A,Dim_Reps!E:E)</f>
        <v>EMEA</v>
      </c>
      <c r="S3468" t="str">
        <f>_xlfn.XLOOKUP(Pipeline_tbl[[#This Row],[Created_Date]],Dim_Date!A:A,Dim_Date!H:H)</f>
        <v>Jun 2025</v>
      </c>
      <c r="T3468" t="str">
        <f>IF(Pipeline_tbl[[#This Row],[Closed_Date]]=0,"",(_xlfn.XLOOKUP(Pipeline_tbl[[#This Row],[Closed_Date]],Dim_Date!A:A,Dim_Date!H:H)))</f>
        <v>Sep 2025</v>
      </c>
      <c r="U3468">
        <f>IF(Pipeline_tbl[[#This Row],[Closed_Date]]=0,"",Pipeline_tbl[[#This Row],[Closed_Date]]-Pipeline_tbl[[#This Row],[Created_Date]])</f>
        <v>71</v>
      </c>
    </row>
    <row r="3469" spans="1:21" ht="15" customHeight="1" x14ac:dyDescent="0.2">
      <c r="A3469" t="s">
        <v>3775</v>
      </c>
      <c r="B3469" t="s">
        <v>183</v>
      </c>
      <c r="C3469" t="s">
        <v>52</v>
      </c>
      <c r="D3469" s="49">
        <v>45823</v>
      </c>
      <c r="E3469" s="49">
        <v>45832</v>
      </c>
      <c r="F3469" s="49">
        <v>45849</v>
      </c>
      <c r="I3469" s="49">
        <v>45911</v>
      </c>
      <c r="J3469" t="s">
        <v>49</v>
      </c>
      <c r="K3469" s="33">
        <v>18500</v>
      </c>
      <c r="L3469" t="s">
        <v>62</v>
      </c>
      <c r="M3469" t="str">
        <f>_xlfn.XLOOKUP(Pipeline_tbl[[#This Row],[Rep_ID]],Dim_Reps!A:A,Dim_Reps!K:K)</f>
        <v>EUR</v>
      </c>
      <c r="N3469" s="33">
        <f>(_xlfn.XLOOKUP(Pipeline_tbl[[#This Row],[Rate_Code_Generalized]],Lookups!A:A,Lookups!B:B))*Pipeline_tbl[[#This Row],[Pipeline_Amount_USD]]</f>
        <v>18500</v>
      </c>
      <c r="O3469" t="str">
        <f>_xlfn.XLOOKUP(Pipeline_tbl[[#This Row],[Rep_ID]],Dim_Reps!A:A,Dim_Reps!B:B)</f>
        <v>Sam Schmidt</v>
      </c>
      <c r="P3469" t="str">
        <f>_xlfn.XLOOKUP(Pipeline_tbl[[#This Row],[Rep_ID]],Dim_Reps!A:A,Dim_Reps!C:C)</f>
        <v>Enterprise AE</v>
      </c>
      <c r="Q3469" t="str">
        <f>_xlfn.XLOOKUP(Pipeline_tbl[[#This Row],[Rep_ID]],Dim_Reps!A:A,Dim_Reps!D:D)</f>
        <v>Enterprise</v>
      </c>
      <c r="R3469" t="str">
        <f>_xlfn.XLOOKUP(Pipeline_tbl[[#This Row],[Rep_ID]],Dim_Reps!A:A,Dim_Reps!E:E)</f>
        <v>EMEA</v>
      </c>
      <c r="S3469" t="str">
        <f>_xlfn.XLOOKUP(Pipeline_tbl[[#This Row],[Created_Date]],Dim_Date!A:A,Dim_Date!H:H)</f>
        <v>Jun 2025</v>
      </c>
      <c r="T3469" t="str">
        <f>IF(Pipeline_tbl[[#This Row],[Closed_Date]]=0,"",(_xlfn.XLOOKUP(Pipeline_tbl[[#This Row],[Closed_Date]],Dim_Date!A:A,Dim_Date!H:H)))</f>
        <v>Sep 2025</v>
      </c>
      <c r="U3469">
        <f>IF(Pipeline_tbl[[#This Row],[Closed_Date]]=0,"",Pipeline_tbl[[#This Row],[Closed_Date]]-Pipeline_tbl[[#This Row],[Created_Date]])</f>
        <v>88</v>
      </c>
    </row>
    <row r="3470" spans="1:21" ht="15" customHeight="1" x14ac:dyDescent="0.2">
      <c r="A3470" t="s">
        <v>3776</v>
      </c>
      <c r="B3470" t="s">
        <v>280</v>
      </c>
      <c r="C3470" t="s">
        <v>52</v>
      </c>
      <c r="D3470" s="49">
        <v>45836</v>
      </c>
      <c r="E3470" s="49">
        <v>45844</v>
      </c>
      <c r="F3470" s="49">
        <v>45859</v>
      </c>
      <c r="G3470" s="49">
        <v>45883</v>
      </c>
      <c r="H3470" s="49">
        <v>45902</v>
      </c>
      <c r="I3470" s="49">
        <v>45914</v>
      </c>
      <c r="J3470" t="s">
        <v>47</v>
      </c>
      <c r="K3470" s="33">
        <v>43700</v>
      </c>
      <c r="M3470" t="str">
        <f>_xlfn.XLOOKUP(Pipeline_tbl[[#This Row],[Rep_ID]],Dim_Reps!A:A,Dim_Reps!K:K)</f>
        <v>MXN</v>
      </c>
      <c r="N3470" s="33">
        <f>(_xlfn.XLOOKUP(Pipeline_tbl[[#This Row],[Rate_Code_Generalized]],Lookups!A:A,Lookups!B:B))*Pipeline_tbl[[#This Row],[Pipeline_Amount_USD]]</f>
        <v>862318.99000000011</v>
      </c>
      <c r="O3470" t="str">
        <f>_xlfn.XLOOKUP(Pipeline_tbl[[#This Row],[Rep_ID]],Dim_Reps!A:A,Dim_Reps!B:B)</f>
        <v>Cameron Lund</v>
      </c>
      <c r="P3470" t="str">
        <f>_xlfn.XLOOKUP(Pipeline_tbl[[#This Row],[Rep_ID]],Dim_Reps!A:A,Dim_Reps!C:C)</f>
        <v>Senior Enterprise AE</v>
      </c>
      <c r="Q3470" t="str">
        <f>_xlfn.XLOOKUP(Pipeline_tbl[[#This Row],[Rep_ID]],Dim_Reps!A:A,Dim_Reps!D:D)</f>
        <v>Strategic</v>
      </c>
      <c r="R3470" t="str">
        <f>_xlfn.XLOOKUP(Pipeline_tbl[[#This Row],[Rep_ID]],Dim_Reps!A:A,Dim_Reps!E:E)</f>
        <v>LATAM</v>
      </c>
      <c r="S3470" t="str">
        <f>_xlfn.XLOOKUP(Pipeline_tbl[[#This Row],[Created_Date]],Dim_Date!A:A,Dim_Date!H:H)</f>
        <v>Jun 2025</v>
      </c>
      <c r="T3470" t="str">
        <f>IF(Pipeline_tbl[[#This Row],[Closed_Date]]=0,"",(_xlfn.XLOOKUP(Pipeline_tbl[[#This Row],[Closed_Date]],Dim_Date!A:A,Dim_Date!H:H)))</f>
        <v>Sep 2025</v>
      </c>
      <c r="U3470">
        <f>IF(Pipeline_tbl[[#This Row],[Closed_Date]]=0,"",Pipeline_tbl[[#This Row],[Closed_Date]]-Pipeline_tbl[[#This Row],[Created_Date]])</f>
        <v>78</v>
      </c>
    </row>
    <row r="3471" spans="1:21" ht="15" customHeight="1" x14ac:dyDescent="0.2">
      <c r="A3471" t="s">
        <v>3777</v>
      </c>
      <c r="B3471" t="s">
        <v>282</v>
      </c>
      <c r="C3471" t="s">
        <v>54</v>
      </c>
      <c r="D3471" s="49">
        <v>45831</v>
      </c>
      <c r="E3471" s="49">
        <v>45839</v>
      </c>
      <c r="I3471" s="49">
        <v>45910</v>
      </c>
      <c r="J3471" t="s">
        <v>49</v>
      </c>
      <c r="K3471" s="33">
        <v>31600</v>
      </c>
      <c r="L3471" t="s">
        <v>60</v>
      </c>
      <c r="M3471" t="str">
        <f>_xlfn.XLOOKUP(Pipeline_tbl[[#This Row],[Rep_ID]],Dim_Reps!A:A,Dim_Reps!K:K)</f>
        <v>USD</v>
      </c>
      <c r="N3471" s="33">
        <f>(_xlfn.XLOOKUP(Pipeline_tbl[[#This Row],[Rate_Code_Generalized]],Lookups!A:A,Lookups!B:B))*Pipeline_tbl[[#This Row],[Pipeline_Amount_USD]]</f>
        <v>36791.879999999997</v>
      </c>
      <c r="O3471" t="str">
        <f>_xlfn.XLOOKUP(Pipeline_tbl[[#This Row],[Rep_ID]],Dim_Reps!A:A,Dim_Reps!B:B)</f>
        <v>Fatima Rossi</v>
      </c>
      <c r="P3471" t="str">
        <f>_xlfn.XLOOKUP(Pipeline_tbl[[#This Row],[Rep_ID]],Dim_Reps!A:A,Dim_Reps!C:C)</f>
        <v>Senior Enterprise AE</v>
      </c>
      <c r="Q3471" t="str">
        <f>_xlfn.XLOOKUP(Pipeline_tbl[[#This Row],[Rep_ID]],Dim_Reps!A:A,Dim_Reps!D:D)</f>
        <v>Strategic</v>
      </c>
      <c r="R3471" t="str">
        <f>_xlfn.XLOOKUP(Pipeline_tbl[[#This Row],[Rep_ID]],Dim_Reps!A:A,Dim_Reps!E:E)</f>
        <v>NAMER</v>
      </c>
      <c r="S3471" t="str">
        <f>_xlfn.XLOOKUP(Pipeline_tbl[[#This Row],[Created_Date]],Dim_Date!A:A,Dim_Date!H:H)</f>
        <v>Jun 2025</v>
      </c>
      <c r="T3471" t="str">
        <f>IF(Pipeline_tbl[[#This Row],[Closed_Date]]=0,"",(_xlfn.XLOOKUP(Pipeline_tbl[[#This Row],[Closed_Date]],Dim_Date!A:A,Dim_Date!H:H)))</f>
        <v>Sep 2025</v>
      </c>
      <c r="U3471">
        <f>IF(Pipeline_tbl[[#This Row],[Closed_Date]]=0,"",Pipeline_tbl[[#This Row],[Closed_Date]]-Pipeline_tbl[[#This Row],[Created_Date]])</f>
        <v>79</v>
      </c>
    </row>
    <row r="3472" spans="1:21" ht="15" customHeight="1" x14ac:dyDescent="0.2">
      <c r="A3472" t="s">
        <v>3778</v>
      </c>
      <c r="B3472" t="s">
        <v>282</v>
      </c>
      <c r="C3472" t="s">
        <v>52</v>
      </c>
      <c r="D3472" s="49">
        <v>45836</v>
      </c>
      <c r="E3472" s="49">
        <v>45845</v>
      </c>
      <c r="F3472" s="49">
        <v>45862</v>
      </c>
      <c r="G3472" s="49">
        <v>45888</v>
      </c>
      <c r="H3472" s="49">
        <v>45909</v>
      </c>
      <c r="I3472" s="49">
        <v>45922</v>
      </c>
      <c r="J3472" t="s">
        <v>49</v>
      </c>
      <c r="K3472" s="33">
        <v>38800</v>
      </c>
      <c r="L3472" t="s">
        <v>64</v>
      </c>
      <c r="M3472" t="str">
        <f>_xlfn.XLOOKUP(Pipeline_tbl[[#This Row],[Rep_ID]],Dim_Reps!A:A,Dim_Reps!K:K)</f>
        <v>USD</v>
      </c>
      <c r="N3472" s="33">
        <f>(_xlfn.XLOOKUP(Pipeline_tbl[[#This Row],[Rate_Code_Generalized]],Lookups!A:A,Lookups!B:B))*Pipeline_tbl[[#This Row],[Pipeline_Amount_USD]]</f>
        <v>45174.84</v>
      </c>
      <c r="O3472" t="str">
        <f>_xlfn.XLOOKUP(Pipeline_tbl[[#This Row],[Rep_ID]],Dim_Reps!A:A,Dim_Reps!B:B)</f>
        <v>Fatima Rossi</v>
      </c>
      <c r="P3472" t="str">
        <f>_xlfn.XLOOKUP(Pipeline_tbl[[#This Row],[Rep_ID]],Dim_Reps!A:A,Dim_Reps!C:C)</f>
        <v>Senior Enterprise AE</v>
      </c>
      <c r="Q3472" t="str">
        <f>_xlfn.XLOOKUP(Pipeline_tbl[[#This Row],[Rep_ID]],Dim_Reps!A:A,Dim_Reps!D:D)</f>
        <v>Strategic</v>
      </c>
      <c r="R3472" t="str">
        <f>_xlfn.XLOOKUP(Pipeline_tbl[[#This Row],[Rep_ID]],Dim_Reps!A:A,Dim_Reps!E:E)</f>
        <v>NAMER</v>
      </c>
      <c r="S3472" t="str">
        <f>_xlfn.XLOOKUP(Pipeline_tbl[[#This Row],[Created_Date]],Dim_Date!A:A,Dim_Date!H:H)</f>
        <v>Jun 2025</v>
      </c>
      <c r="T3472" t="str">
        <f>IF(Pipeline_tbl[[#This Row],[Closed_Date]]=0,"",(_xlfn.XLOOKUP(Pipeline_tbl[[#This Row],[Closed_Date]],Dim_Date!A:A,Dim_Date!H:H)))</f>
        <v>Sep 2025</v>
      </c>
      <c r="U3472">
        <f>IF(Pipeline_tbl[[#This Row],[Closed_Date]]=0,"",Pipeline_tbl[[#This Row],[Closed_Date]]-Pipeline_tbl[[#This Row],[Created_Date]])</f>
        <v>86</v>
      </c>
    </row>
    <row r="3473" spans="1:21" ht="15" customHeight="1" x14ac:dyDescent="0.2">
      <c r="A3473" t="s">
        <v>3779</v>
      </c>
      <c r="B3473" t="s">
        <v>191</v>
      </c>
      <c r="C3473" t="s">
        <v>52</v>
      </c>
      <c r="D3473" s="49">
        <v>45831</v>
      </c>
      <c r="E3473" s="49">
        <v>45840</v>
      </c>
      <c r="F3473" s="49">
        <v>45859</v>
      </c>
      <c r="G3473" s="49">
        <v>45887</v>
      </c>
      <c r="H3473" s="49">
        <v>45910</v>
      </c>
      <c r="I3473" s="49">
        <v>45924</v>
      </c>
      <c r="J3473" t="s">
        <v>49</v>
      </c>
      <c r="K3473" s="33">
        <v>51100</v>
      </c>
      <c r="L3473" t="s">
        <v>62</v>
      </c>
      <c r="M3473" t="str">
        <f>_xlfn.XLOOKUP(Pipeline_tbl[[#This Row],[Rep_ID]],Dim_Reps!A:A,Dim_Reps!K:K)</f>
        <v>USD</v>
      </c>
      <c r="N3473" s="33">
        <f>(_xlfn.XLOOKUP(Pipeline_tbl[[#This Row],[Rate_Code_Generalized]],Lookups!A:A,Lookups!B:B))*Pipeline_tbl[[#This Row],[Pipeline_Amount_USD]]</f>
        <v>59495.729999999996</v>
      </c>
      <c r="O3473" t="str">
        <f>_xlfn.XLOOKUP(Pipeline_tbl[[#This Row],[Rep_ID]],Dim_Reps!A:A,Dim_Reps!B:B)</f>
        <v>Zara Duarte</v>
      </c>
      <c r="P3473" t="str">
        <f>_xlfn.XLOOKUP(Pipeline_tbl[[#This Row],[Rep_ID]],Dim_Reps!A:A,Dim_Reps!C:C)</f>
        <v>Enterprise AE</v>
      </c>
      <c r="Q3473" t="str">
        <f>_xlfn.XLOOKUP(Pipeline_tbl[[#This Row],[Rep_ID]],Dim_Reps!A:A,Dim_Reps!D:D)</f>
        <v>Enterprise</v>
      </c>
      <c r="R3473" t="str">
        <f>_xlfn.XLOOKUP(Pipeline_tbl[[#This Row],[Rep_ID]],Dim_Reps!A:A,Dim_Reps!E:E)</f>
        <v>NAMER</v>
      </c>
      <c r="S3473" t="str">
        <f>_xlfn.XLOOKUP(Pipeline_tbl[[#This Row],[Created_Date]],Dim_Date!A:A,Dim_Date!H:H)</f>
        <v>Jun 2025</v>
      </c>
      <c r="T3473" t="str">
        <f>IF(Pipeline_tbl[[#This Row],[Closed_Date]]=0,"",(_xlfn.XLOOKUP(Pipeline_tbl[[#This Row],[Closed_Date]],Dim_Date!A:A,Dim_Date!H:H)))</f>
        <v>Sep 2025</v>
      </c>
      <c r="U3473">
        <f>IF(Pipeline_tbl[[#This Row],[Closed_Date]]=0,"",Pipeline_tbl[[#This Row],[Closed_Date]]-Pipeline_tbl[[#This Row],[Created_Date]])</f>
        <v>93</v>
      </c>
    </row>
    <row r="3474" spans="1:21" ht="15" customHeight="1" x14ac:dyDescent="0.2">
      <c r="A3474" t="s">
        <v>3780</v>
      </c>
      <c r="B3474" t="s">
        <v>284</v>
      </c>
      <c r="C3474" t="s">
        <v>52</v>
      </c>
      <c r="D3474" s="49">
        <v>45833</v>
      </c>
      <c r="E3474" s="49">
        <v>45840</v>
      </c>
      <c r="I3474" s="49">
        <v>45902</v>
      </c>
      <c r="J3474" t="s">
        <v>49</v>
      </c>
      <c r="K3474" s="33">
        <v>53700</v>
      </c>
      <c r="L3474" t="s">
        <v>60</v>
      </c>
      <c r="M3474" t="str">
        <f>_xlfn.XLOOKUP(Pipeline_tbl[[#This Row],[Rep_ID]],Dim_Reps!A:A,Dim_Reps!K:K)</f>
        <v>USD</v>
      </c>
      <c r="N3474" s="33">
        <f>(_xlfn.XLOOKUP(Pipeline_tbl[[#This Row],[Rate_Code_Generalized]],Lookups!A:A,Lookups!B:B))*Pipeline_tbl[[#This Row],[Pipeline_Amount_USD]]</f>
        <v>62522.909999999996</v>
      </c>
      <c r="O3474" t="str">
        <f>_xlfn.XLOOKUP(Pipeline_tbl[[#This Row],[Rep_ID]],Dim_Reps!A:A,Dim_Reps!B:B)</f>
        <v>Taylor Adler</v>
      </c>
      <c r="P3474" t="str">
        <f>_xlfn.XLOOKUP(Pipeline_tbl[[#This Row],[Rep_ID]],Dim_Reps!A:A,Dim_Reps!C:C)</f>
        <v>Senior Enterprise AE</v>
      </c>
      <c r="Q3474" t="str">
        <f>_xlfn.XLOOKUP(Pipeline_tbl[[#This Row],[Rep_ID]],Dim_Reps!A:A,Dim_Reps!D:D)</f>
        <v>Strategic</v>
      </c>
      <c r="R3474" t="str">
        <f>_xlfn.XLOOKUP(Pipeline_tbl[[#This Row],[Rep_ID]],Dim_Reps!A:A,Dim_Reps!E:E)</f>
        <v>NAMER</v>
      </c>
      <c r="S3474" t="str">
        <f>_xlfn.XLOOKUP(Pipeline_tbl[[#This Row],[Created_Date]],Dim_Date!A:A,Dim_Date!H:H)</f>
        <v>Jun 2025</v>
      </c>
      <c r="T3474" t="str">
        <f>IF(Pipeline_tbl[[#This Row],[Closed_Date]]=0,"",(_xlfn.XLOOKUP(Pipeline_tbl[[#This Row],[Closed_Date]],Dim_Date!A:A,Dim_Date!H:H)))</f>
        <v>Sep 2025</v>
      </c>
      <c r="U3474">
        <f>IF(Pipeline_tbl[[#This Row],[Closed_Date]]=0,"",Pipeline_tbl[[#This Row],[Closed_Date]]-Pipeline_tbl[[#This Row],[Created_Date]])</f>
        <v>69</v>
      </c>
    </row>
    <row r="3475" spans="1:21" ht="15" customHeight="1" x14ac:dyDescent="0.2">
      <c r="A3475" t="s">
        <v>3781</v>
      </c>
      <c r="B3475" t="s">
        <v>284</v>
      </c>
      <c r="C3475" t="s">
        <v>54</v>
      </c>
      <c r="D3475" s="49">
        <v>45815</v>
      </c>
      <c r="E3475" s="49">
        <v>45825</v>
      </c>
      <c r="F3475" s="49">
        <v>45846</v>
      </c>
      <c r="G3475" s="49">
        <v>45876</v>
      </c>
      <c r="H3475" s="49">
        <v>45902</v>
      </c>
      <c r="I3475" s="49">
        <v>45917</v>
      </c>
      <c r="J3475" t="s">
        <v>47</v>
      </c>
      <c r="K3475" s="33">
        <v>112700</v>
      </c>
      <c r="M3475" t="str">
        <f>_xlfn.XLOOKUP(Pipeline_tbl[[#This Row],[Rep_ID]],Dim_Reps!A:A,Dim_Reps!K:K)</f>
        <v>USD</v>
      </c>
      <c r="N3475" s="33">
        <f>(_xlfn.XLOOKUP(Pipeline_tbl[[#This Row],[Rate_Code_Generalized]],Lookups!A:A,Lookups!B:B))*Pipeline_tbl[[#This Row],[Pipeline_Amount_USD]]</f>
        <v>131216.60999999999</v>
      </c>
      <c r="O3475" t="str">
        <f>_xlfn.XLOOKUP(Pipeline_tbl[[#This Row],[Rep_ID]],Dim_Reps!A:A,Dim_Reps!B:B)</f>
        <v>Taylor Adler</v>
      </c>
      <c r="P3475" t="str">
        <f>_xlfn.XLOOKUP(Pipeline_tbl[[#This Row],[Rep_ID]],Dim_Reps!A:A,Dim_Reps!C:C)</f>
        <v>Senior Enterprise AE</v>
      </c>
      <c r="Q3475" t="str">
        <f>_xlfn.XLOOKUP(Pipeline_tbl[[#This Row],[Rep_ID]],Dim_Reps!A:A,Dim_Reps!D:D)</f>
        <v>Strategic</v>
      </c>
      <c r="R3475" t="str">
        <f>_xlfn.XLOOKUP(Pipeline_tbl[[#This Row],[Rep_ID]],Dim_Reps!A:A,Dim_Reps!E:E)</f>
        <v>NAMER</v>
      </c>
      <c r="S3475" t="str">
        <f>_xlfn.XLOOKUP(Pipeline_tbl[[#This Row],[Created_Date]],Dim_Date!A:A,Dim_Date!H:H)</f>
        <v>Jun 2025</v>
      </c>
      <c r="T3475" t="str">
        <f>IF(Pipeline_tbl[[#This Row],[Closed_Date]]=0,"",(_xlfn.XLOOKUP(Pipeline_tbl[[#This Row],[Closed_Date]],Dim_Date!A:A,Dim_Date!H:H)))</f>
        <v>Sep 2025</v>
      </c>
      <c r="U3475">
        <f>IF(Pipeline_tbl[[#This Row],[Closed_Date]]=0,"",Pipeline_tbl[[#This Row],[Closed_Date]]-Pipeline_tbl[[#This Row],[Created_Date]])</f>
        <v>102</v>
      </c>
    </row>
    <row r="3476" spans="1:21" ht="15" customHeight="1" x14ac:dyDescent="0.2">
      <c r="A3476" t="s">
        <v>3782</v>
      </c>
      <c r="B3476" t="s">
        <v>243</v>
      </c>
      <c r="C3476" t="s">
        <v>53</v>
      </c>
      <c r="D3476" s="49">
        <v>45468</v>
      </c>
      <c r="E3476" s="49">
        <v>45473</v>
      </c>
      <c r="F3476" s="49">
        <v>45482</v>
      </c>
      <c r="G3476" s="49">
        <v>45497</v>
      </c>
      <c r="H3476" s="49">
        <v>45509</v>
      </c>
      <c r="I3476" s="49">
        <v>45516</v>
      </c>
      <c r="J3476" t="s">
        <v>47</v>
      </c>
      <c r="K3476" s="33">
        <v>24300</v>
      </c>
      <c r="M3476" t="str">
        <f>_xlfn.XLOOKUP(Pipeline_tbl[[#This Row],[Rep_ID]],Dim_Reps!A:A,Dim_Reps!K:K)</f>
        <v>MXN</v>
      </c>
      <c r="N3476" s="33">
        <f>(_xlfn.XLOOKUP(Pipeline_tbl[[#This Row],[Rate_Code_Generalized]],Lookups!A:A,Lookups!B:B))*Pipeline_tbl[[#This Row],[Pipeline_Amount_USD]]</f>
        <v>479504.61000000004</v>
      </c>
      <c r="O3476" t="str">
        <f>_xlfn.XLOOKUP(Pipeline_tbl[[#This Row],[Rep_ID]],Dim_Reps!A:A,Dim_Reps!B:B)</f>
        <v>Jonas Sato</v>
      </c>
      <c r="P3476" t="str">
        <f>_xlfn.XLOOKUP(Pipeline_tbl[[#This Row],[Rep_ID]],Dim_Reps!A:A,Dim_Reps!C:C)</f>
        <v>Mid-Market AE</v>
      </c>
      <c r="Q3476" t="str">
        <f>_xlfn.XLOOKUP(Pipeline_tbl[[#This Row],[Rep_ID]],Dim_Reps!A:A,Dim_Reps!D:D)</f>
        <v>Mid-Market</v>
      </c>
      <c r="R3476" t="str">
        <f>_xlfn.XLOOKUP(Pipeline_tbl[[#This Row],[Rep_ID]],Dim_Reps!A:A,Dim_Reps!E:E)</f>
        <v>LATAM</v>
      </c>
      <c r="S3476" t="str">
        <f>_xlfn.XLOOKUP(Pipeline_tbl[[#This Row],[Created_Date]],Dim_Date!A:A,Dim_Date!H:H)</f>
        <v>Jun 2024</v>
      </c>
      <c r="T3476" t="str">
        <f>IF(Pipeline_tbl[[#This Row],[Closed_Date]]=0,"",(_xlfn.XLOOKUP(Pipeline_tbl[[#This Row],[Closed_Date]],Dim_Date!A:A,Dim_Date!H:H)))</f>
        <v>Aug 2024</v>
      </c>
      <c r="U3476">
        <f>IF(Pipeline_tbl[[#This Row],[Closed_Date]]=0,"",Pipeline_tbl[[#This Row],[Closed_Date]]-Pipeline_tbl[[#This Row],[Created_Date]])</f>
        <v>48</v>
      </c>
    </row>
    <row r="3477" spans="1:21" ht="15" customHeight="1" x14ac:dyDescent="0.2">
      <c r="A3477" t="s">
        <v>3783</v>
      </c>
      <c r="B3477" t="s">
        <v>181</v>
      </c>
      <c r="C3477" t="s">
        <v>53</v>
      </c>
      <c r="D3477" s="49">
        <v>45470</v>
      </c>
      <c r="E3477" s="49">
        <v>45474</v>
      </c>
      <c r="I3477" s="49">
        <v>45511</v>
      </c>
      <c r="J3477" t="s">
        <v>49</v>
      </c>
      <c r="K3477" s="33">
        <v>18300</v>
      </c>
      <c r="L3477" t="s">
        <v>60</v>
      </c>
      <c r="M3477" t="str">
        <f>_xlfn.XLOOKUP(Pipeline_tbl[[#This Row],[Rep_ID]],Dim_Reps!A:A,Dim_Reps!K:K)</f>
        <v>USD</v>
      </c>
      <c r="N3477" s="33">
        <f>(_xlfn.XLOOKUP(Pipeline_tbl[[#This Row],[Rate_Code_Generalized]],Lookups!A:A,Lookups!B:B))*Pipeline_tbl[[#This Row],[Pipeline_Amount_USD]]</f>
        <v>21306.69</v>
      </c>
      <c r="O3477" t="str">
        <f>_xlfn.XLOOKUP(Pipeline_tbl[[#This Row],[Rep_ID]],Dim_Reps!A:A,Dim_Reps!B:B)</f>
        <v>Milo Weber</v>
      </c>
      <c r="P3477" t="str">
        <f>_xlfn.XLOOKUP(Pipeline_tbl[[#This Row],[Rep_ID]],Dim_Reps!A:A,Dim_Reps!C:C)</f>
        <v>Enterprise AE</v>
      </c>
      <c r="Q3477" t="str">
        <f>_xlfn.XLOOKUP(Pipeline_tbl[[#This Row],[Rep_ID]],Dim_Reps!A:A,Dim_Reps!D:D)</f>
        <v>Enterprise</v>
      </c>
      <c r="R3477" t="str">
        <f>_xlfn.XLOOKUP(Pipeline_tbl[[#This Row],[Rep_ID]],Dim_Reps!A:A,Dim_Reps!E:E)</f>
        <v>NAMER</v>
      </c>
      <c r="S3477" t="str">
        <f>_xlfn.XLOOKUP(Pipeline_tbl[[#This Row],[Created_Date]],Dim_Date!A:A,Dim_Date!H:H)</f>
        <v>Jun 2024</v>
      </c>
      <c r="T3477" t="str">
        <f>IF(Pipeline_tbl[[#This Row],[Closed_Date]]=0,"",(_xlfn.XLOOKUP(Pipeline_tbl[[#This Row],[Closed_Date]],Dim_Date!A:A,Dim_Date!H:H)))</f>
        <v>Aug 2024</v>
      </c>
      <c r="U3477">
        <f>IF(Pipeline_tbl[[#This Row],[Closed_Date]]=0,"",Pipeline_tbl[[#This Row],[Closed_Date]]-Pipeline_tbl[[#This Row],[Created_Date]])</f>
        <v>41</v>
      </c>
    </row>
    <row r="3478" spans="1:21" ht="15" customHeight="1" x14ac:dyDescent="0.2">
      <c r="A3478" t="s">
        <v>3784</v>
      </c>
      <c r="B3478" t="s">
        <v>183</v>
      </c>
      <c r="C3478" t="s">
        <v>52</v>
      </c>
      <c r="D3478" s="49">
        <v>45453</v>
      </c>
      <c r="E3478" s="49">
        <v>45458</v>
      </c>
      <c r="F3478" s="49">
        <v>45469</v>
      </c>
      <c r="G3478" s="49">
        <v>45485</v>
      </c>
      <c r="I3478" s="49">
        <v>45507</v>
      </c>
      <c r="J3478" t="s">
        <v>49</v>
      </c>
      <c r="K3478" s="33">
        <v>17500</v>
      </c>
      <c r="L3478" t="s">
        <v>60</v>
      </c>
      <c r="M3478" t="str">
        <f>_xlfn.XLOOKUP(Pipeline_tbl[[#This Row],[Rep_ID]],Dim_Reps!A:A,Dim_Reps!K:K)</f>
        <v>EUR</v>
      </c>
      <c r="N3478" s="33">
        <f>(_xlfn.XLOOKUP(Pipeline_tbl[[#This Row],[Rate_Code_Generalized]],Lookups!A:A,Lookups!B:B))*Pipeline_tbl[[#This Row],[Pipeline_Amount_USD]]</f>
        <v>17500</v>
      </c>
      <c r="O3478" t="str">
        <f>_xlfn.XLOOKUP(Pipeline_tbl[[#This Row],[Rep_ID]],Dim_Reps!A:A,Dim_Reps!B:B)</f>
        <v>Sam Schmidt</v>
      </c>
      <c r="P3478" t="str">
        <f>_xlfn.XLOOKUP(Pipeline_tbl[[#This Row],[Rep_ID]],Dim_Reps!A:A,Dim_Reps!C:C)</f>
        <v>Enterprise AE</v>
      </c>
      <c r="Q3478" t="str">
        <f>_xlfn.XLOOKUP(Pipeline_tbl[[#This Row],[Rep_ID]],Dim_Reps!A:A,Dim_Reps!D:D)</f>
        <v>Enterprise</v>
      </c>
      <c r="R3478" t="str">
        <f>_xlfn.XLOOKUP(Pipeline_tbl[[#This Row],[Rep_ID]],Dim_Reps!A:A,Dim_Reps!E:E)</f>
        <v>EMEA</v>
      </c>
      <c r="S3478" t="str">
        <f>_xlfn.XLOOKUP(Pipeline_tbl[[#This Row],[Created_Date]],Dim_Date!A:A,Dim_Date!H:H)</f>
        <v>Jun 2024</v>
      </c>
      <c r="T3478" t="str">
        <f>IF(Pipeline_tbl[[#This Row],[Closed_Date]]=0,"",(_xlfn.XLOOKUP(Pipeline_tbl[[#This Row],[Closed_Date]],Dim_Date!A:A,Dim_Date!H:H)))</f>
        <v>Aug 2024</v>
      </c>
      <c r="U3478">
        <f>IF(Pipeline_tbl[[#This Row],[Closed_Date]]=0,"",Pipeline_tbl[[#This Row],[Closed_Date]]-Pipeline_tbl[[#This Row],[Created_Date]])</f>
        <v>54</v>
      </c>
    </row>
    <row r="3479" spans="1:21" ht="15" customHeight="1" x14ac:dyDescent="0.2">
      <c r="A3479" t="s">
        <v>3785</v>
      </c>
      <c r="B3479" t="s">
        <v>183</v>
      </c>
      <c r="C3479" t="s">
        <v>52</v>
      </c>
      <c r="D3479" s="49">
        <v>45462</v>
      </c>
      <c r="E3479" s="49">
        <v>45468</v>
      </c>
      <c r="F3479" s="49">
        <v>45480</v>
      </c>
      <c r="G3479" s="49">
        <v>45497</v>
      </c>
      <c r="I3479" s="49">
        <v>45521</v>
      </c>
      <c r="J3479" t="s">
        <v>49</v>
      </c>
      <c r="K3479" s="33">
        <v>57800</v>
      </c>
      <c r="L3479" t="s">
        <v>63</v>
      </c>
      <c r="M3479" t="str">
        <f>_xlfn.XLOOKUP(Pipeline_tbl[[#This Row],[Rep_ID]],Dim_Reps!A:A,Dim_Reps!K:K)</f>
        <v>EUR</v>
      </c>
      <c r="N3479" s="33">
        <f>(_xlfn.XLOOKUP(Pipeline_tbl[[#This Row],[Rate_Code_Generalized]],Lookups!A:A,Lookups!B:B))*Pipeline_tbl[[#This Row],[Pipeline_Amount_USD]]</f>
        <v>57800</v>
      </c>
      <c r="O3479" t="str">
        <f>_xlfn.XLOOKUP(Pipeline_tbl[[#This Row],[Rep_ID]],Dim_Reps!A:A,Dim_Reps!B:B)</f>
        <v>Sam Schmidt</v>
      </c>
      <c r="P3479" t="str">
        <f>_xlfn.XLOOKUP(Pipeline_tbl[[#This Row],[Rep_ID]],Dim_Reps!A:A,Dim_Reps!C:C)</f>
        <v>Enterprise AE</v>
      </c>
      <c r="Q3479" t="str">
        <f>_xlfn.XLOOKUP(Pipeline_tbl[[#This Row],[Rep_ID]],Dim_Reps!A:A,Dim_Reps!D:D)</f>
        <v>Enterprise</v>
      </c>
      <c r="R3479" t="str">
        <f>_xlfn.XLOOKUP(Pipeline_tbl[[#This Row],[Rep_ID]],Dim_Reps!A:A,Dim_Reps!E:E)</f>
        <v>EMEA</v>
      </c>
      <c r="S3479" t="str">
        <f>_xlfn.XLOOKUP(Pipeline_tbl[[#This Row],[Created_Date]],Dim_Date!A:A,Dim_Date!H:H)</f>
        <v>Jun 2024</v>
      </c>
      <c r="T3479" t="str">
        <f>IF(Pipeline_tbl[[#This Row],[Closed_Date]]=0,"",(_xlfn.XLOOKUP(Pipeline_tbl[[#This Row],[Closed_Date]],Dim_Date!A:A,Dim_Date!H:H)))</f>
        <v>Aug 2024</v>
      </c>
      <c r="U3479">
        <f>IF(Pipeline_tbl[[#This Row],[Closed_Date]]=0,"",Pipeline_tbl[[#This Row],[Closed_Date]]-Pipeline_tbl[[#This Row],[Created_Date]])</f>
        <v>59</v>
      </c>
    </row>
    <row r="3480" spans="1:21" ht="15" customHeight="1" x14ac:dyDescent="0.2">
      <c r="A3480" t="s">
        <v>3786</v>
      </c>
      <c r="B3480" t="s">
        <v>183</v>
      </c>
      <c r="C3480" t="s">
        <v>53</v>
      </c>
      <c r="D3480" s="49">
        <v>45465</v>
      </c>
      <c r="E3480" s="49">
        <v>45470</v>
      </c>
      <c r="F3480" s="49">
        <v>45481</v>
      </c>
      <c r="G3480" s="49">
        <v>45497</v>
      </c>
      <c r="H3480" s="49">
        <v>45511</v>
      </c>
      <c r="I3480" s="49">
        <v>45519</v>
      </c>
      <c r="J3480" t="s">
        <v>47</v>
      </c>
      <c r="K3480" s="33">
        <v>25400</v>
      </c>
      <c r="M3480" t="str">
        <f>_xlfn.XLOOKUP(Pipeline_tbl[[#This Row],[Rep_ID]],Dim_Reps!A:A,Dim_Reps!K:K)</f>
        <v>EUR</v>
      </c>
      <c r="N3480" s="33">
        <f>(_xlfn.XLOOKUP(Pipeline_tbl[[#This Row],[Rate_Code_Generalized]],Lookups!A:A,Lookups!B:B))*Pipeline_tbl[[#This Row],[Pipeline_Amount_USD]]</f>
        <v>25400</v>
      </c>
      <c r="O3480" t="str">
        <f>_xlfn.XLOOKUP(Pipeline_tbl[[#This Row],[Rep_ID]],Dim_Reps!A:A,Dim_Reps!B:B)</f>
        <v>Sam Schmidt</v>
      </c>
      <c r="P3480" t="str">
        <f>_xlfn.XLOOKUP(Pipeline_tbl[[#This Row],[Rep_ID]],Dim_Reps!A:A,Dim_Reps!C:C)</f>
        <v>Enterprise AE</v>
      </c>
      <c r="Q3480" t="str">
        <f>_xlfn.XLOOKUP(Pipeline_tbl[[#This Row],[Rep_ID]],Dim_Reps!A:A,Dim_Reps!D:D)</f>
        <v>Enterprise</v>
      </c>
      <c r="R3480" t="str">
        <f>_xlfn.XLOOKUP(Pipeline_tbl[[#This Row],[Rep_ID]],Dim_Reps!A:A,Dim_Reps!E:E)</f>
        <v>EMEA</v>
      </c>
      <c r="S3480" t="str">
        <f>_xlfn.XLOOKUP(Pipeline_tbl[[#This Row],[Created_Date]],Dim_Date!A:A,Dim_Date!H:H)</f>
        <v>Jun 2024</v>
      </c>
      <c r="T3480" t="str">
        <f>IF(Pipeline_tbl[[#This Row],[Closed_Date]]=0,"",(_xlfn.XLOOKUP(Pipeline_tbl[[#This Row],[Closed_Date]],Dim_Date!A:A,Dim_Date!H:H)))</f>
        <v>Aug 2024</v>
      </c>
      <c r="U3480">
        <f>IF(Pipeline_tbl[[#This Row],[Closed_Date]]=0,"",Pipeline_tbl[[#This Row],[Closed_Date]]-Pipeline_tbl[[#This Row],[Created_Date]])</f>
        <v>54</v>
      </c>
    </row>
    <row r="3481" spans="1:21" ht="15" customHeight="1" x14ac:dyDescent="0.2">
      <c r="A3481" t="s">
        <v>3787</v>
      </c>
      <c r="B3481" t="s">
        <v>185</v>
      </c>
      <c r="C3481" t="s">
        <v>53</v>
      </c>
      <c r="D3481" s="49">
        <v>45445</v>
      </c>
      <c r="E3481" s="49">
        <v>45454</v>
      </c>
      <c r="F3481" s="49">
        <v>45471</v>
      </c>
      <c r="G3481" s="49">
        <v>45497</v>
      </c>
      <c r="H3481" s="49">
        <v>45519</v>
      </c>
      <c r="I3481" s="49">
        <v>45532</v>
      </c>
      <c r="J3481" t="s">
        <v>47</v>
      </c>
      <c r="K3481" s="33">
        <v>42100</v>
      </c>
      <c r="M3481" t="str">
        <f>_xlfn.XLOOKUP(Pipeline_tbl[[#This Row],[Rep_ID]],Dim_Reps!A:A,Dim_Reps!K:K)</f>
        <v>MXN</v>
      </c>
      <c r="N3481" s="33">
        <f>(_xlfn.XLOOKUP(Pipeline_tbl[[#This Row],[Rate_Code_Generalized]],Lookups!A:A,Lookups!B:B))*Pipeline_tbl[[#This Row],[Pipeline_Amount_USD]]</f>
        <v>830746.67</v>
      </c>
      <c r="O3481" t="str">
        <f>_xlfn.XLOOKUP(Pipeline_tbl[[#This Row],[Rep_ID]],Dim_Reps!A:A,Dim_Reps!B:B)</f>
        <v>Noah Kim</v>
      </c>
      <c r="P3481" t="str">
        <f>_xlfn.XLOOKUP(Pipeline_tbl[[#This Row],[Rep_ID]],Dim_Reps!A:A,Dim_Reps!C:C)</f>
        <v>Enterprise AE</v>
      </c>
      <c r="Q3481" t="str">
        <f>_xlfn.XLOOKUP(Pipeline_tbl[[#This Row],[Rep_ID]],Dim_Reps!A:A,Dim_Reps!D:D)</f>
        <v>Enterprise</v>
      </c>
      <c r="R3481" t="str">
        <f>_xlfn.XLOOKUP(Pipeline_tbl[[#This Row],[Rep_ID]],Dim_Reps!A:A,Dim_Reps!E:E)</f>
        <v>LATAM</v>
      </c>
      <c r="S3481" t="str">
        <f>_xlfn.XLOOKUP(Pipeline_tbl[[#This Row],[Created_Date]],Dim_Date!A:A,Dim_Date!H:H)</f>
        <v>Jun 2024</v>
      </c>
      <c r="T3481" t="str">
        <f>IF(Pipeline_tbl[[#This Row],[Closed_Date]]=0,"",(_xlfn.XLOOKUP(Pipeline_tbl[[#This Row],[Closed_Date]],Dim_Date!A:A,Dim_Date!H:H)))</f>
        <v>Aug 2024</v>
      </c>
      <c r="U3481">
        <f>IF(Pipeline_tbl[[#This Row],[Closed_Date]]=0,"",Pipeline_tbl[[#This Row],[Closed_Date]]-Pipeline_tbl[[#This Row],[Created_Date]])</f>
        <v>87</v>
      </c>
    </row>
    <row r="3482" spans="1:21" ht="15" customHeight="1" x14ac:dyDescent="0.2">
      <c r="A3482" t="s">
        <v>3788</v>
      </c>
      <c r="B3482" t="s">
        <v>185</v>
      </c>
      <c r="C3482" t="s">
        <v>52</v>
      </c>
      <c r="D3482" s="49">
        <v>45445</v>
      </c>
      <c r="E3482" s="49">
        <v>45454</v>
      </c>
      <c r="F3482" s="49">
        <v>45471</v>
      </c>
      <c r="G3482" s="49">
        <v>45497</v>
      </c>
      <c r="I3482" s="49">
        <v>45532</v>
      </c>
      <c r="J3482" t="s">
        <v>49</v>
      </c>
      <c r="K3482" s="33">
        <v>29600</v>
      </c>
      <c r="L3482" t="s">
        <v>61</v>
      </c>
      <c r="M3482" t="str">
        <f>_xlfn.XLOOKUP(Pipeline_tbl[[#This Row],[Rep_ID]],Dim_Reps!A:A,Dim_Reps!K:K)</f>
        <v>MXN</v>
      </c>
      <c r="N3482" s="33">
        <f>(_xlfn.XLOOKUP(Pipeline_tbl[[#This Row],[Rate_Code_Generalized]],Lookups!A:A,Lookups!B:B))*Pipeline_tbl[[#This Row],[Pipeline_Amount_USD]]</f>
        <v>584087.92000000004</v>
      </c>
      <c r="O3482" t="str">
        <f>_xlfn.XLOOKUP(Pipeline_tbl[[#This Row],[Rep_ID]],Dim_Reps!A:A,Dim_Reps!B:B)</f>
        <v>Noah Kim</v>
      </c>
      <c r="P3482" t="str">
        <f>_xlfn.XLOOKUP(Pipeline_tbl[[#This Row],[Rep_ID]],Dim_Reps!A:A,Dim_Reps!C:C)</f>
        <v>Enterprise AE</v>
      </c>
      <c r="Q3482" t="str">
        <f>_xlfn.XLOOKUP(Pipeline_tbl[[#This Row],[Rep_ID]],Dim_Reps!A:A,Dim_Reps!D:D)</f>
        <v>Enterprise</v>
      </c>
      <c r="R3482" t="str">
        <f>_xlfn.XLOOKUP(Pipeline_tbl[[#This Row],[Rep_ID]],Dim_Reps!A:A,Dim_Reps!E:E)</f>
        <v>LATAM</v>
      </c>
      <c r="S3482" t="str">
        <f>_xlfn.XLOOKUP(Pipeline_tbl[[#This Row],[Created_Date]],Dim_Date!A:A,Dim_Date!H:H)</f>
        <v>Jun 2024</v>
      </c>
      <c r="T3482" t="str">
        <f>IF(Pipeline_tbl[[#This Row],[Closed_Date]]=0,"",(_xlfn.XLOOKUP(Pipeline_tbl[[#This Row],[Closed_Date]],Dim_Date!A:A,Dim_Date!H:H)))</f>
        <v>Aug 2024</v>
      </c>
      <c r="U3482">
        <f>IF(Pipeline_tbl[[#This Row],[Closed_Date]]=0,"",Pipeline_tbl[[#This Row],[Closed_Date]]-Pipeline_tbl[[#This Row],[Created_Date]])</f>
        <v>87</v>
      </c>
    </row>
    <row r="3483" spans="1:21" ht="15" customHeight="1" x14ac:dyDescent="0.2">
      <c r="A3483" t="s">
        <v>3789</v>
      </c>
      <c r="B3483" t="s">
        <v>188</v>
      </c>
      <c r="C3483" t="s">
        <v>52</v>
      </c>
      <c r="D3483" s="49">
        <v>45464</v>
      </c>
      <c r="E3483" s="49">
        <v>45469</v>
      </c>
      <c r="F3483" s="49">
        <v>45478</v>
      </c>
      <c r="G3483" s="49">
        <v>45492</v>
      </c>
      <c r="H3483" s="49">
        <v>45503</v>
      </c>
      <c r="I3483" s="49">
        <v>45510</v>
      </c>
      <c r="J3483" t="s">
        <v>47</v>
      </c>
      <c r="K3483" s="33">
        <v>64700</v>
      </c>
      <c r="M3483" t="str">
        <f>_xlfn.XLOOKUP(Pipeline_tbl[[#This Row],[Rep_ID]],Dim_Reps!A:A,Dim_Reps!K:K)</f>
        <v>EUR</v>
      </c>
      <c r="N3483" s="33">
        <f>(_xlfn.XLOOKUP(Pipeline_tbl[[#This Row],[Rate_Code_Generalized]],Lookups!A:A,Lookups!B:B))*Pipeline_tbl[[#This Row],[Pipeline_Amount_USD]]</f>
        <v>64700</v>
      </c>
      <c r="O3483" t="str">
        <f>_xlfn.XLOOKUP(Pipeline_tbl[[#This Row],[Rep_ID]],Dim_Reps!A:A,Dim_Reps!B:B)</f>
        <v>Jamie Santos</v>
      </c>
      <c r="P3483" t="str">
        <f>_xlfn.XLOOKUP(Pipeline_tbl[[#This Row],[Rep_ID]],Dim_Reps!A:A,Dim_Reps!C:C)</f>
        <v>Enterprise AE</v>
      </c>
      <c r="Q3483" t="str">
        <f>_xlfn.XLOOKUP(Pipeline_tbl[[#This Row],[Rep_ID]],Dim_Reps!A:A,Dim_Reps!D:D)</f>
        <v>Enterprise</v>
      </c>
      <c r="R3483" t="str">
        <f>_xlfn.XLOOKUP(Pipeline_tbl[[#This Row],[Rep_ID]],Dim_Reps!A:A,Dim_Reps!E:E)</f>
        <v>APAC</v>
      </c>
      <c r="S3483" t="str">
        <f>_xlfn.XLOOKUP(Pipeline_tbl[[#This Row],[Created_Date]],Dim_Date!A:A,Dim_Date!H:H)</f>
        <v>Jun 2024</v>
      </c>
      <c r="T3483" t="str">
        <f>IF(Pipeline_tbl[[#This Row],[Closed_Date]]=0,"",(_xlfn.XLOOKUP(Pipeline_tbl[[#This Row],[Closed_Date]],Dim_Date!A:A,Dim_Date!H:H)))</f>
        <v>Aug 2024</v>
      </c>
      <c r="U3483">
        <f>IF(Pipeline_tbl[[#This Row],[Closed_Date]]=0,"",Pipeline_tbl[[#This Row],[Closed_Date]]-Pipeline_tbl[[#This Row],[Created_Date]])</f>
        <v>46</v>
      </c>
    </row>
    <row r="3484" spans="1:21" ht="15" customHeight="1" x14ac:dyDescent="0.2">
      <c r="A3484" t="s">
        <v>3790</v>
      </c>
      <c r="B3484" t="s">
        <v>188</v>
      </c>
      <c r="C3484" t="s">
        <v>53</v>
      </c>
      <c r="D3484" s="49">
        <v>45460</v>
      </c>
      <c r="E3484" s="49">
        <v>45466</v>
      </c>
      <c r="F3484" s="49">
        <v>45477</v>
      </c>
      <c r="G3484" s="49">
        <v>45494</v>
      </c>
      <c r="I3484" s="49">
        <v>45517</v>
      </c>
      <c r="J3484" t="s">
        <v>49</v>
      </c>
      <c r="K3484" s="33">
        <v>20900</v>
      </c>
      <c r="L3484" t="s">
        <v>64</v>
      </c>
      <c r="M3484" t="str">
        <f>_xlfn.XLOOKUP(Pipeline_tbl[[#This Row],[Rep_ID]],Dim_Reps!A:A,Dim_Reps!K:K)</f>
        <v>EUR</v>
      </c>
      <c r="N3484" s="33">
        <f>(_xlfn.XLOOKUP(Pipeline_tbl[[#This Row],[Rate_Code_Generalized]],Lookups!A:A,Lookups!B:B))*Pipeline_tbl[[#This Row],[Pipeline_Amount_USD]]</f>
        <v>20900</v>
      </c>
      <c r="O3484" t="str">
        <f>_xlfn.XLOOKUP(Pipeline_tbl[[#This Row],[Rep_ID]],Dim_Reps!A:A,Dim_Reps!B:B)</f>
        <v>Jamie Santos</v>
      </c>
      <c r="P3484" t="str">
        <f>_xlfn.XLOOKUP(Pipeline_tbl[[#This Row],[Rep_ID]],Dim_Reps!A:A,Dim_Reps!C:C)</f>
        <v>Enterprise AE</v>
      </c>
      <c r="Q3484" t="str">
        <f>_xlfn.XLOOKUP(Pipeline_tbl[[#This Row],[Rep_ID]],Dim_Reps!A:A,Dim_Reps!D:D)</f>
        <v>Enterprise</v>
      </c>
      <c r="R3484" t="str">
        <f>_xlfn.XLOOKUP(Pipeline_tbl[[#This Row],[Rep_ID]],Dim_Reps!A:A,Dim_Reps!E:E)</f>
        <v>APAC</v>
      </c>
      <c r="S3484" t="str">
        <f>_xlfn.XLOOKUP(Pipeline_tbl[[#This Row],[Created_Date]],Dim_Date!A:A,Dim_Date!H:H)</f>
        <v>Jun 2024</v>
      </c>
      <c r="T3484" t="str">
        <f>IF(Pipeline_tbl[[#This Row],[Closed_Date]]=0,"",(_xlfn.XLOOKUP(Pipeline_tbl[[#This Row],[Closed_Date]],Dim_Date!A:A,Dim_Date!H:H)))</f>
        <v>Aug 2024</v>
      </c>
      <c r="U3484">
        <f>IF(Pipeline_tbl[[#This Row],[Closed_Date]]=0,"",Pipeline_tbl[[#This Row],[Closed_Date]]-Pipeline_tbl[[#This Row],[Created_Date]])</f>
        <v>57</v>
      </c>
    </row>
    <row r="3485" spans="1:21" ht="15" customHeight="1" x14ac:dyDescent="0.2">
      <c r="A3485" t="s">
        <v>3791</v>
      </c>
      <c r="B3485" t="s">
        <v>188</v>
      </c>
      <c r="C3485" t="s">
        <v>53</v>
      </c>
      <c r="D3485" s="49">
        <v>45459</v>
      </c>
      <c r="E3485" s="49">
        <v>45465</v>
      </c>
      <c r="F3485" s="49">
        <v>45477</v>
      </c>
      <c r="I3485" s="49">
        <v>45520</v>
      </c>
      <c r="J3485" t="s">
        <v>49</v>
      </c>
      <c r="K3485" s="33">
        <v>50800</v>
      </c>
      <c r="L3485" t="s">
        <v>62</v>
      </c>
      <c r="M3485" t="str">
        <f>_xlfn.XLOOKUP(Pipeline_tbl[[#This Row],[Rep_ID]],Dim_Reps!A:A,Dim_Reps!K:K)</f>
        <v>EUR</v>
      </c>
      <c r="N3485" s="33">
        <f>(_xlfn.XLOOKUP(Pipeline_tbl[[#This Row],[Rate_Code_Generalized]],Lookups!A:A,Lookups!B:B))*Pipeline_tbl[[#This Row],[Pipeline_Amount_USD]]</f>
        <v>50800</v>
      </c>
      <c r="O3485" t="str">
        <f>_xlfn.XLOOKUP(Pipeline_tbl[[#This Row],[Rep_ID]],Dim_Reps!A:A,Dim_Reps!B:B)</f>
        <v>Jamie Santos</v>
      </c>
      <c r="P3485" t="str">
        <f>_xlfn.XLOOKUP(Pipeline_tbl[[#This Row],[Rep_ID]],Dim_Reps!A:A,Dim_Reps!C:C)</f>
        <v>Enterprise AE</v>
      </c>
      <c r="Q3485" t="str">
        <f>_xlfn.XLOOKUP(Pipeline_tbl[[#This Row],[Rep_ID]],Dim_Reps!A:A,Dim_Reps!D:D)</f>
        <v>Enterprise</v>
      </c>
      <c r="R3485" t="str">
        <f>_xlfn.XLOOKUP(Pipeline_tbl[[#This Row],[Rep_ID]],Dim_Reps!A:A,Dim_Reps!E:E)</f>
        <v>APAC</v>
      </c>
      <c r="S3485" t="str">
        <f>_xlfn.XLOOKUP(Pipeline_tbl[[#This Row],[Created_Date]],Dim_Date!A:A,Dim_Date!H:H)</f>
        <v>Jun 2024</v>
      </c>
      <c r="T3485" t="str">
        <f>IF(Pipeline_tbl[[#This Row],[Closed_Date]]=0,"",(_xlfn.XLOOKUP(Pipeline_tbl[[#This Row],[Closed_Date]],Dim_Date!A:A,Dim_Date!H:H)))</f>
        <v>Aug 2024</v>
      </c>
      <c r="U3485">
        <f>IF(Pipeline_tbl[[#This Row],[Closed_Date]]=0,"",Pipeline_tbl[[#This Row],[Closed_Date]]-Pipeline_tbl[[#This Row],[Created_Date]])</f>
        <v>61</v>
      </c>
    </row>
    <row r="3486" spans="1:21" ht="15" customHeight="1" x14ac:dyDescent="0.2">
      <c r="A3486" t="s">
        <v>3792</v>
      </c>
      <c r="B3486" t="s">
        <v>188</v>
      </c>
      <c r="C3486" t="s">
        <v>52</v>
      </c>
      <c r="D3486" s="49">
        <v>45448</v>
      </c>
      <c r="E3486" s="49">
        <v>45454</v>
      </c>
      <c r="F3486" s="49">
        <v>45468</v>
      </c>
      <c r="I3486" s="49">
        <v>45513</v>
      </c>
      <c r="J3486" t="s">
        <v>49</v>
      </c>
      <c r="K3486" s="33">
        <v>31100</v>
      </c>
      <c r="L3486" t="s">
        <v>60</v>
      </c>
      <c r="M3486" t="str">
        <f>_xlfn.XLOOKUP(Pipeline_tbl[[#This Row],[Rep_ID]],Dim_Reps!A:A,Dim_Reps!K:K)</f>
        <v>EUR</v>
      </c>
      <c r="N3486" s="33">
        <f>(_xlfn.XLOOKUP(Pipeline_tbl[[#This Row],[Rate_Code_Generalized]],Lookups!A:A,Lookups!B:B))*Pipeline_tbl[[#This Row],[Pipeline_Amount_USD]]</f>
        <v>31100</v>
      </c>
      <c r="O3486" t="str">
        <f>_xlfn.XLOOKUP(Pipeline_tbl[[#This Row],[Rep_ID]],Dim_Reps!A:A,Dim_Reps!B:B)</f>
        <v>Jamie Santos</v>
      </c>
      <c r="P3486" t="str">
        <f>_xlfn.XLOOKUP(Pipeline_tbl[[#This Row],[Rep_ID]],Dim_Reps!A:A,Dim_Reps!C:C)</f>
        <v>Enterprise AE</v>
      </c>
      <c r="Q3486" t="str">
        <f>_xlfn.XLOOKUP(Pipeline_tbl[[#This Row],[Rep_ID]],Dim_Reps!A:A,Dim_Reps!D:D)</f>
        <v>Enterprise</v>
      </c>
      <c r="R3486" t="str">
        <f>_xlfn.XLOOKUP(Pipeline_tbl[[#This Row],[Rep_ID]],Dim_Reps!A:A,Dim_Reps!E:E)</f>
        <v>APAC</v>
      </c>
      <c r="S3486" t="str">
        <f>_xlfn.XLOOKUP(Pipeline_tbl[[#This Row],[Created_Date]],Dim_Date!A:A,Dim_Date!H:H)</f>
        <v>Jun 2024</v>
      </c>
      <c r="T3486" t="str">
        <f>IF(Pipeline_tbl[[#This Row],[Closed_Date]]=0,"",(_xlfn.XLOOKUP(Pipeline_tbl[[#This Row],[Closed_Date]],Dim_Date!A:A,Dim_Date!H:H)))</f>
        <v>Aug 2024</v>
      </c>
      <c r="U3486">
        <f>IF(Pipeline_tbl[[#This Row],[Closed_Date]]=0,"",Pipeline_tbl[[#This Row],[Closed_Date]]-Pipeline_tbl[[#This Row],[Created_Date]])</f>
        <v>65</v>
      </c>
    </row>
    <row r="3487" spans="1:21" ht="15" customHeight="1" x14ac:dyDescent="0.2">
      <c r="A3487" t="s">
        <v>3793</v>
      </c>
      <c r="B3487" t="s">
        <v>259</v>
      </c>
      <c r="C3487" t="s">
        <v>53</v>
      </c>
      <c r="D3487" s="49">
        <v>45468</v>
      </c>
      <c r="E3487" s="49">
        <v>45473</v>
      </c>
      <c r="F3487" s="49">
        <v>45482</v>
      </c>
      <c r="G3487" s="49">
        <v>45496</v>
      </c>
      <c r="H3487" s="49">
        <v>45507</v>
      </c>
      <c r="I3487" s="49">
        <v>45514</v>
      </c>
      <c r="J3487" t="s">
        <v>47</v>
      </c>
      <c r="K3487" s="33">
        <v>12200</v>
      </c>
      <c r="M3487" t="str">
        <f>_xlfn.XLOOKUP(Pipeline_tbl[[#This Row],[Rep_ID]],Dim_Reps!A:A,Dim_Reps!K:K)</f>
        <v>EUR</v>
      </c>
      <c r="N3487" s="33">
        <f>(_xlfn.XLOOKUP(Pipeline_tbl[[#This Row],[Rate_Code_Generalized]],Lookups!A:A,Lookups!B:B))*Pipeline_tbl[[#This Row],[Pipeline_Amount_USD]]</f>
        <v>12200</v>
      </c>
      <c r="O3487" t="str">
        <f>_xlfn.XLOOKUP(Pipeline_tbl[[#This Row],[Rep_ID]],Dim_Reps!A:A,Dim_Reps!B:B)</f>
        <v>Felix Okafor</v>
      </c>
      <c r="P3487" t="str">
        <f>_xlfn.XLOOKUP(Pipeline_tbl[[#This Row],[Rep_ID]],Dim_Reps!A:A,Dim_Reps!C:C)</f>
        <v>Mid-Market AE</v>
      </c>
      <c r="Q3487" t="str">
        <f>_xlfn.XLOOKUP(Pipeline_tbl[[#This Row],[Rep_ID]],Dim_Reps!A:A,Dim_Reps!D:D)</f>
        <v>Mid-Market</v>
      </c>
      <c r="R3487" t="str">
        <f>_xlfn.XLOOKUP(Pipeline_tbl[[#This Row],[Rep_ID]],Dim_Reps!A:A,Dim_Reps!E:E)</f>
        <v>EMEA</v>
      </c>
      <c r="S3487" t="str">
        <f>_xlfn.XLOOKUP(Pipeline_tbl[[#This Row],[Created_Date]],Dim_Date!A:A,Dim_Date!H:H)</f>
        <v>Jun 2024</v>
      </c>
      <c r="T3487" t="str">
        <f>IF(Pipeline_tbl[[#This Row],[Closed_Date]]=0,"",(_xlfn.XLOOKUP(Pipeline_tbl[[#This Row],[Closed_Date]],Dim_Date!A:A,Dim_Date!H:H)))</f>
        <v>Aug 2024</v>
      </c>
      <c r="U3487">
        <f>IF(Pipeline_tbl[[#This Row],[Closed_Date]]=0,"",Pipeline_tbl[[#This Row],[Closed_Date]]-Pipeline_tbl[[#This Row],[Created_Date]])</f>
        <v>46</v>
      </c>
    </row>
    <row r="3488" spans="1:21" ht="15" customHeight="1" x14ac:dyDescent="0.2">
      <c r="A3488" t="s">
        <v>3794</v>
      </c>
      <c r="B3488" t="s">
        <v>259</v>
      </c>
      <c r="C3488" t="s">
        <v>52</v>
      </c>
      <c r="D3488" s="49">
        <v>45456</v>
      </c>
      <c r="E3488" s="49">
        <v>45461</v>
      </c>
      <c r="F3488" s="49">
        <v>45471</v>
      </c>
      <c r="I3488" s="49">
        <v>45506</v>
      </c>
      <c r="J3488" t="s">
        <v>49</v>
      </c>
      <c r="K3488" s="33">
        <v>15400</v>
      </c>
      <c r="L3488" t="s">
        <v>60</v>
      </c>
      <c r="M3488" t="str">
        <f>_xlfn.XLOOKUP(Pipeline_tbl[[#This Row],[Rep_ID]],Dim_Reps!A:A,Dim_Reps!K:K)</f>
        <v>EUR</v>
      </c>
      <c r="N3488" s="33">
        <f>(_xlfn.XLOOKUP(Pipeline_tbl[[#This Row],[Rate_Code_Generalized]],Lookups!A:A,Lookups!B:B))*Pipeline_tbl[[#This Row],[Pipeline_Amount_USD]]</f>
        <v>15400</v>
      </c>
      <c r="O3488" t="str">
        <f>_xlfn.XLOOKUP(Pipeline_tbl[[#This Row],[Rep_ID]],Dim_Reps!A:A,Dim_Reps!B:B)</f>
        <v>Felix Okafor</v>
      </c>
      <c r="P3488" t="str">
        <f>_xlfn.XLOOKUP(Pipeline_tbl[[#This Row],[Rep_ID]],Dim_Reps!A:A,Dim_Reps!C:C)</f>
        <v>Mid-Market AE</v>
      </c>
      <c r="Q3488" t="str">
        <f>_xlfn.XLOOKUP(Pipeline_tbl[[#This Row],[Rep_ID]],Dim_Reps!A:A,Dim_Reps!D:D)</f>
        <v>Mid-Market</v>
      </c>
      <c r="R3488" t="str">
        <f>_xlfn.XLOOKUP(Pipeline_tbl[[#This Row],[Rep_ID]],Dim_Reps!A:A,Dim_Reps!E:E)</f>
        <v>EMEA</v>
      </c>
      <c r="S3488" t="str">
        <f>_xlfn.XLOOKUP(Pipeline_tbl[[#This Row],[Created_Date]],Dim_Date!A:A,Dim_Date!H:H)</f>
        <v>Jun 2024</v>
      </c>
      <c r="T3488" t="str">
        <f>IF(Pipeline_tbl[[#This Row],[Closed_Date]]=0,"",(_xlfn.XLOOKUP(Pipeline_tbl[[#This Row],[Closed_Date]],Dim_Date!A:A,Dim_Date!H:H)))</f>
        <v>Aug 2024</v>
      </c>
      <c r="U3488">
        <f>IF(Pipeline_tbl[[#This Row],[Closed_Date]]=0,"",Pipeline_tbl[[#This Row],[Closed_Date]]-Pipeline_tbl[[#This Row],[Created_Date]])</f>
        <v>50</v>
      </c>
    </row>
    <row r="3489" spans="1:21" ht="15" customHeight="1" x14ac:dyDescent="0.2">
      <c r="A3489" t="s">
        <v>3795</v>
      </c>
      <c r="B3489" t="s">
        <v>191</v>
      </c>
      <c r="C3489" t="s">
        <v>54</v>
      </c>
      <c r="D3489" s="49">
        <v>45467</v>
      </c>
      <c r="E3489" s="49">
        <v>45473</v>
      </c>
      <c r="F3489" s="49">
        <v>45485</v>
      </c>
      <c r="G3489" s="49">
        <v>45503</v>
      </c>
      <c r="H3489" s="49">
        <v>45518</v>
      </c>
      <c r="I3489" s="49">
        <v>45527</v>
      </c>
      <c r="J3489" t="s">
        <v>47</v>
      </c>
      <c r="K3489" s="33">
        <v>28000</v>
      </c>
      <c r="M3489" t="str">
        <f>_xlfn.XLOOKUP(Pipeline_tbl[[#This Row],[Rep_ID]],Dim_Reps!A:A,Dim_Reps!K:K)</f>
        <v>USD</v>
      </c>
      <c r="N3489" s="33">
        <f>(_xlfn.XLOOKUP(Pipeline_tbl[[#This Row],[Rate_Code_Generalized]],Lookups!A:A,Lookups!B:B))*Pipeline_tbl[[#This Row],[Pipeline_Amount_USD]]</f>
        <v>32600.399999999998</v>
      </c>
      <c r="O3489" t="str">
        <f>_xlfn.XLOOKUP(Pipeline_tbl[[#This Row],[Rep_ID]],Dim_Reps!A:A,Dim_Reps!B:B)</f>
        <v>Zara Duarte</v>
      </c>
      <c r="P3489" t="str">
        <f>_xlfn.XLOOKUP(Pipeline_tbl[[#This Row],[Rep_ID]],Dim_Reps!A:A,Dim_Reps!C:C)</f>
        <v>Enterprise AE</v>
      </c>
      <c r="Q3489" t="str">
        <f>_xlfn.XLOOKUP(Pipeline_tbl[[#This Row],[Rep_ID]],Dim_Reps!A:A,Dim_Reps!D:D)</f>
        <v>Enterprise</v>
      </c>
      <c r="R3489" t="str">
        <f>_xlfn.XLOOKUP(Pipeline_tbl[[#This Row],[Rep_ID]],Dim_Reps!A:A,Dim_Reps!E:E)</f>
        <v>NAMER</v>
      </c>
      <c r="S3489" t="str">
        <f>_xlfn.XLOOKUP(Pipeline_tbl[[#This Row],[Created_Date]],Dim_Date!A:A,Dim_Date!H:H)</f>
        <v>Jun 2024</v>
      </c>
      <c r="T3489" t="str">
        <f>IF(Pipeline_tbl[[#This Row],[Closed_Date]]=0,"",(_xlfn.XLOOKUP(Pipeline_tbl[[#This Row],[Closed_Date]],Dim_Date!A:A,Dim_Date!H:H)))</f>
        <v>Aug 2024</v>
      </c>
      <c r="U3489">
        <f>IF(Pipeline_tbl[[#This Row],[Closed_Date]]=0,"",Pipeline_tbl[[#This Row],[Closed_Date]]-Pipeline_tbl[[#This Row],[Created_Date]])</f>
        <v>60</v>
      </c>
    </row>
    <row r="3490" spans="1:21" ht="15" customHeight="1" x14ac:dyDescent="0.2">
      <c r="A3490" t="s">
        <v>3796</v>
      </c>
      <c r="B3490" t="s">
        <v>265</v>
      </c>
      <c r="C3490" t="s">
        <v>53</v>
      </c>
      <c r="D3490" s="49">
        <v>45473</v>
      </c>
      <c r="E3490" s="49">
        <v>45476</v>
      </c>
      <c r="F3490" s="49">
        <v>45483</v>
      </c>
      <c r="G3490" s="49">
        <v>45493</v>
      </c>
      <c r="H3490" s="49">
        <v>45502</v>
      </c>
      <c r="I3490" s="49">
        <v>45507</v>
      </c>
      <c r="J3490" t="s">
        <v>47</v>
      </c>
      <c r="K3490" s="33">
        <v>26300</v>
      </c>
      <c r="M3490" t="str">
        <f>_xlfn.XLOOKUP(Pipeline_tbl[[#This Row],[Rep_ID]],Dim_Reps!A:A,Dim_Reps!K:K)</f>
        <v>EUR</v>
      </c>
      <c r="N3490" s="33">
        <f>(_xlfn.XLOOKUP(Pipeline_tbl[[#This Row],[Rate_Code_Generalized]],Lookups!A:A,Lookups!B:B))*Pipeline_tbl[[#This Row],[Pipeline_Amount_USD]]</f>
        <v>26300</v>
      </c>
      <c r="O3490" t="str">
        <f>_xlfn.XLOOKUP(Pipeline_tbl[[#This Row],[Rep_ID]],Dim_Reps!A:A,Dim_Reps!B:B)</f>
        <v>Erik Duarte</v>
      </c>
      <c r="P3490" t="str">
        <f>_xlfn.XLOOKUP(Pipeline_tbl[[#This Row],[Rep_ID]],Dim_Reps!A:A,Dim_Reps!C:C)</f>
        <v>Mid-Market AE</v>
      </c>
      <c r="Q3490" t="str">
        <f>_xlfn.XLOOKUP(Pipeline_tbl[[#This Row],[Rep_ID]],Dim_Reps!A:A,Dim_Reps!D:D)</f>
        <v>Mid-Market</v>
      </c>
      <c r="R3490" t="str">
        <f>_xlfn.XLOOKUP(Pipeline_tbl[[#This Row],[Rep_ID]],Dim_Reps!A:A,Dim_Reps!E:E)</f>
        <v>EMEA</v>
      </c>
      <c r="S3490" t="str">
        <f>_xlfn.XLOOKUP(Pipeline_tbl[[#This Row],[Created_Date]],Dim_Date!A:A,Dim_Date!H:H)</f>
        <v>Jun 2024</v>
      </c>
      <c r="T3490" t="str">
        <f>IF(Pipeline_tbl[[#This Row],[Closed_Date]]=0,"",(_xlfn.XLOOKUP(Pipeline_tbl[[#This Row],[Closed_Date]],Dim_Date!A:A,Dim_Date!H:H)))</f>
        <v>Aug 2024</v>
      </c>
      <c r="U3490">
        <f>IF(Pipeline_tbl[[#This Row],[Closed_Date]]=0,"",Pipeline_tbl[[#This Row],[Closed_Date]]-Pipeline_tbl[[#This Row],[Created_Date]])</f>
        <v>34</v>
      </c>
    </row>
    <row r="3491" spans="1:21" ht="15" customHeight="1" x14ac:dyDescent="0.2">
      <c r="A3491" t="s">
        <v>3797</v>
      </c>
      <c r="B3491" t="s">
        <v>265</v>
      </c>
      <c r="C3491" t="s">
        <v>54</v>
      </c>
      <c r="D3491" s="49">
        <v>45462</v>
      </c>
      <c r="E3491" s="49">
        <v>45467</v>
      </c>
      <c r="F3491" s="49">
        <v>45476</v>
      </c>
      <c r="G3491" s="49">
        <v>45490</v>
      </c>
      <c r="H3491" s="49">
        <v>45502</v>
      </c>
      <c r="I3491" s="49">
        <v>45509</v>
      </c>
      <c r="J3491" t="s">
        <v>47</v>
      </c>
      <c r="K3491" s="33">
        <v>9900</v>
      </c>
      <c r="M3491" t="str">
        <f>_xlfn.XLOOKUP(Pipeline_tbl[[#This Row],[Rep_ID]],Dim_Reps!A:A,Dim_Reps!K:K)</f>
        <v>EUR</v>
      </c>
      <c r="N3491" s="33">
        <f>(_xlfn.XLOOKUP(Pipeline_tbl[[#This Row],[Rate_Code_Generalized]],Lookups!A:A,Lookups!B:B))*Pipeline_tbl[[#This Row],[Pipeline_Amount_USD]]</f>
        <v>9900</v>
      </c>
      <c r="O3491" t="str">
        <f>_xlfn.XLOOKUP(Pipeline_tbl[[#This Row],[Rep_ID]],Dim_Reps!A:A,Dim_Reps!B:B)</f>
        <v>Erik Duarte</v>
      </c>
      <c r="P3491" t="str">
        <f>_xlfn.XLOOKUP(Pipeline_tbl[[#This Row],[Rep_ID]],Dim_Reps!A:A,Dim_Reps!C:C)</f>
        <v>Mid-Market AE</v>
      </c>
      <c r="Q3491" t="str">
        <f>_xlfn.XLOOKUP(Pipeline_tbl[[#This Row],[Rep_ID]],Dim_Reps!A:A,Dim_Reps!D:D)</f>
        <v>Mid-Market</v>
      </c>
      <c r="R3491" t="str">
        <f>_xlfn.XLOOKUP(Pipeline_tbl[[#This Row],[Rep_ID]],Dim_Reps!A:A,Dim_Reps!E:E)</f>
        <v>EMEA</v>
      </c>
      <c r="S3491" t="str">
        <f>_xlfn.XLOOKUP(Pipeline_tbl[[#This Row],[Created_Date]],Dim_Date!A:A,Dim_Date!H:H)</f>
        <v>Jun 2024</v>
      </c>
      <c r="T3491" t="str">
        <f>IF(Pipeline_tbl[[#This Row],[Closed_Date]]=0,"",(_xlfn.XLOOKUP(Pipeline_tbl[[#This Row],[Closed_Date]],Dim_Date!A:A,Dim_Date!H:H)))</f>
        <v>Aug 2024</v>
      </c>
      <c r="U3491">
        <f>IF(Pipeline_tbl[[#This Row],[Closed_Date]]=0,"",Pipeline_tbl[[#This Row],[Closed_Date]]-Pipeline_tbl[[#This Row],[Created_Date]])</f>
        <v>47</v>
      </c>
    </row>
    <row r="3492" spans="1:21" ht="15" customHeight="1" x14ac:dyDescent="0.2">
      <c r="A3492" t="s">
        <v>3798</v>
      </c>
      <c r="B3492" t="s">
        <v>267</v>
      </c>
      <c r="C3492" t="s">
        <v>53</v>
      </c>
      <c r="D3492" s="49">
        <v>45470</v>
      </c>
      <c r="E3492" s="49">
        <v>45475</v>
      </c>
      <c r="I3492" s="49">
        <v>45517</v>
      </c>
      <c r="J3492" t="s">
        <v>49</v>
      </c>
      <c r="K3492" s="33">
        <v>10600</v>
      </c>
      <c r="L3492" t="s">
        <v>60</v>
      </c>
      <c r="M3492" t="str">
        <f>_xlfn.XLOOKUP(Pipeline_tbl[[#This Row],[Rep_ID]],Dim_Reps!A:A,Dim_Reps!K:K)</f>
        <v>MXN</v>
      </c>
      <c r="N3492" s="33">
        <f>(_xlfn.XLOOKUP(Pipeline_tbl[[#This Row],[Rate_Code_Generalized]],Lookups!A:A,Lookups!B:B))*Pipeline_tbl[[#This Row],[Pipeline_Amount_USD]]</f>
        <v>209166.62000000002</v>
      </c>
      <c r="O3492" t="str">
        <f>_xlfn.XLOOKUP(Pipeline_tbl[[#This Row],[Rep_ID]],Dim_Reps!A:A,Dim_Reps!B:B)</f>
        <v>Yuki Dubois</v>
      </c>
      <c r="P3492" t="str">
        <f>_xlfn.XLOOKUP(Pipeline_tbl[[#This Row],[Rep_ID]],Dim_Reps!A:A,Dim_Reps!C:C)</f>
        <v>Mid-Market AE</v>
      </c>
      <c r="Q3492" t="str">
        <f>_xlfn.XLOOKUP(Pipeline_tbl[[#This Row],[Rep_ID]],Dim_Reps!A:A,Dim_Reps!D:D)</f>
        <v>Mid-Market</v>
      </c>
      <c r="R3492" t="str">
        <f>_xlfn.XLOOKUP(Pipeline_tbl[[#This Row],[Rep_ID]],Dim_Reps!A:A,Dim_Reps!E:E)</f>
        <v>LATAM</v>
      </c>
      <c r="S3492" t="str">
        <f>_xlfn.XLOOKUP(Pipeline_tbl[[#This Row],[Created_Date]],Dim_Date!A:A,Dim_Date!H:H)</f>
        <v>Jun 2024</v>
      </c>
      <c r="T3492" t="str">
        <f>IF(Pipeline_tbl[[#This Row],[Closed_Date]]=0,"",(_xlfn.XLOOKUP(Pipeline_tbl[[#This Row],[Closed_Date]],Dim_Date!A:A,Dim_Date!H:H)))</f>
        <v>Aug 2024</v>
      </c>
      <c r="U3492">
        <f>IF(Pipeline_tbl[[#This Row],[Closed_Date]]=0,"",Pipeline_tbl[[#This Row],[Closed_Date]]-Pipeline_tbl[[#This Row],[Created_Date]])</f>
        <v>47</v>
      </c>
    </row>
    <row r="3493" spans="1:21" ht="15" customHeight="1" x14ac:dyDescent="0.2">
      <c r="A3493" t="s">
        <v>3799</v>
      </c>
      <c r="B3493" t="s">
        <v>271</v>
      </c>
      <c r="C3493" t="s">
        <v>52</v>
      </c>
      <c r="D3493" s="49">
        <v>45466</v>
      </c>
      <c r="E3493" s="49">
        <v>45470</v>
      </c>
      <c r="F3493" s="49">
        <v>45480</v>
      </c>
      <c r="I3493" s="49">
        <v>45511</v>
      </c>
      <c r="J3493" t="s">
        <v>49</v>
      </c>
      <c r="K3493" s="33">
        <v>11200</v>
      </c>
      <c r="L3493" t="s">
        <v>63</v>
      </c>
      <c r="M3493" t="str">
        <f>_xlfn.XLOOKUP(Pipeline_tbl[[#This Row],[Rep_ID]],Dim_Reps!A:A,Dim_Reps!K:K)</f>
        <v>EUR</v>
      </c>
      <c r="N3493" s="33">
        <f>(_xlfn.XLOOKUP(Pipeline_tbl[[#This Row],[Rate_Code_Generalized]],Lookups!A:A,Lookups!B:B))*Pipeline_tbl[[#This Row],[Pipeline_Amount_USD]]</f>
        <v>11200</v>
      </c>
      <c r="O3493" t="str">
        <f>_xlfn.XLOOKUP(Pipeline_tbl[[#This Row],[Rep_ID]],Dim_Reps!A:A,Dim_Reps!B:B)</f>
        <v>Ivy Adler</v>
      </c>
      <c r="P3493" t="str">
        <f>_xlfn.XLOOKUP(Pipeline_tbl[[#This Row],[Rep_ID]],Dim_Reps!A:A,Dim_Reps!C:C)</f>
        <v>Mid-Market AE</v>
      </c>
      <c r="Q3493" t="str">
        <f>_xlfn.XLOOKUP(Pipeline_tbl[[#This Row],[Rep_ID]],Dim_Reps!A:A,Dim_Reps!D:D)</f>
        <v>Mid-Market</v>
      </c>
      <c r="R3493" t="str">
        <f>_xlfn.XLOOKUP(Pipeline_tbl[[#This Row],[Rep_ID]],Dim_Reps!A:A,Dim_Reps!E:E)</f>
        <v>APAC</v>
      </c>
      <c r="S3493" t="str">
        <f>_xlfn.XLOOKUP(Pipeline_tbl[[#This Row],[Created_Date]],Dim_Date!A:A,Dim_Date!H:H)</f>
        <v>Jun 2024</v>
      </c>
      <c r="T3493" t="str">
        <f>IF(Pipeline_tbl[[#This Row],[Closed_Date]]=0,"",(_xlfn.XLOOKUP(Pipeline_tbl[[#This Row],[Closed_Date]],Dim_Date!A:A,Dim_Date!H:H)))</f>
        <v>Aug 2024</v>
      </c>
      <c r="U3493">
        <f>IF(Pipeline_tbl[[#This Row],[Closed_Date]]=0,"",Pipeline_tbl[[#This Row],[Closed_Date]]-Pipeline_tbl[[#This Row],[Created_Date]])</f>
        <v>45</v>
      </c>
    </row>
    <row r="3494" spans="1:21" ht="15" customHeight="1" x14ac:dyDescent="0.2">
      <c r="A3494" t="s">
        <v>3800</v>
      </c>
      <c r="B3494" t="s">
        <v>271</v>
      </c>
      <c r="C3494" t="s">
        <v>56</v>
      </c>
      <c r="D3494" s="49">
        <v>45472</v>
      </c>
      <c r="E3494" s="49">
        <v>45476</v>
      </c>
      <c r="F3494" s="49">
        <v>45484</v>
      </c>
      <c r="G3494" s="49">
        <v>45495</v>
      </c>
      <c r="H3494" s="49">
        <v>45505</v>
      </c>
      <c r="I3494" s="49">
        <v>45511</v>
      </c>
      <c r="J3494" t="s">
        <v>49</v>
      </c>
      <c r="K3494" s="33">
        <v>14100</v>
      </c>
      <c r="L3494" t="s">
        <v>61</v>
      </c>
      <c r="M3494" t="str">
        <f>_xlfn.XLOOKUP(Pipeline_tbl[[#This Row],[Rep_ID]],Dim_Reps!A:A,Dim_Reps!K:K)</f>
        <v>EUR</v>
      </c>
      <c r="N3494" s="33">
        <f>(_xlfn.XLOOKUP(Pipeline_tbl[[#This Row],[Rate_Code_Generalized]],Lookups!A:A,Lookups!B:B))*Pipeline_tbl[[#This Row],[Pipeline_Amount_USD]]</f>
        <v>14100</v>
      </c>
      <c r="O3494" t="str">
        <f>_xlfn.XLOOKUP(Pipeline_tbl[[#This Row],[Rep_ID]],Dim_Reps!A:A,Dim_Reps!B:B)</f>
        <v>Ivy Adler</v>
      </c>
      <c r="P3494" t="str">
        <f>_xlfn.XLOOKUP(Pipeline_tbl[[#This Row],[Rep_ID]],Dim_Reps!A:A,Dim_Reps!C:C)</f>
        <v>Mid-Market AE</v>
      </c>
      <c r="Q3494" t="str">
        <f>_xlfn.XLOOKUP(Pipeline_tbl[[#This Row],[Rep_ID]],Dim_Reps!A:A,Dim_Reps!D:D)</f>
        <v>Mid-Market</v>
      </c>
      <c r="R3494" t="str">
        <f>_xlfn.XLOOKUP(Pipeline_tbl[[#This Row],[Rep_ID]],Dim_Reps!A:A,Dim_Reps!E:E)</f>
        <v>APAC</v>
      </c>
      <c r="S3494" t="str">
        <f>_xlfn.XLOOKUP(Pipeline_tbl[[#This Row],[Created_Date]],Dim_Date!A:A,Dim_Date!H:H)</f>
        <v>Jun 2024</v>
      </c>
      <c r="T3494" t="str">
        <f>IF(Pipeline_tbl[[#This Row],[Closed_Date]]=0,"",(_xlfn.XLOOKUP(Pipeline_tbl[[#This Row],[Closed_Date]],Dim_Date!A:A,Dim_Date!H:H)))</f>
        <v>Aug 2024</v>
      </c>
      <c r="U3494">
        <f>IF(Pipeline_tbl[[#This Row],[Closed_Date]]=0,"",Pipeline_tbl[[#This Row],[Closed_Date]]-Pipeline_tbl[[#This Row],[Created_Date]])</f>
        <v>39</v>
      </c>
    </row>
    <row r="3495" spans="1:21" ht="15" customHeight="1" x14ac:dyDescent="0.2">
      <c r="A3495" t="s">
        <v>3801</v>
      </c>
      <c r="B3495" t="s">
        <v>271</v>
      </c>
      <c r="C3495" t="s">
        <v>52</v>
      </c>
      <c r="D3495" s="49">
        <v>45467</v>
      </c>
      <c r="E3495" s="49">
        <v>45471</v>
      </c>
      <c r="F3495" s="49">
        <v>45480</v>
      </c>
      <c r="G3495" s="49">
        <v>45492</v>
      </c>
      <c r="I3495" s="49">
        <v>45509</v>
      </c>
      <c r="J3495" t="s">
        <v>49</v>
      </c>
      <c r="K3495" s="33">
        <v>17600</v>
      </c>
      <c r="L3495" t="s">
        <v>63</v>
      </c>
      <c r="M3495" t="str">
        <f>_xlfn.XLOOKUP(Pipeline_tbl[[#This Row],[Rep_ID]],Dim_Reps!A:A,Dim_Reps!K:K)</f>
        <v>EUR</v>
      </c>
      <c r="N3495" s="33">
        <f>(_xlfn.XLOOKUP(Pipeline_tbl[[#This Row],[Rate_Code_Generalized]],Lookups!A:A,Lookups!B:B))*Pipeline_tbl[[#This Row],[Pipeline_Amount_USD]]</f>
        <v>17600</v>
      </c>
      <c r="O3495" t="str">
        <f>_xlfn.XLOOKUP(Pipeline_tbl[[#This Row],[Rep_ID]],Dim_Reps!A:A,Dim_Reps!B:B)</f>
        <v>Ivy Adler</v>
      </c>
      <c r="P3495" t="str">
        <f>_xlfn.XLOOKUP(Pipeline_tbl[[#This Row],[Rep_ID]],Dim_Reps!A:A,Dim_Reps!C:C)</f>
        <v>Mid-Market AE</v>
      </c>
      <c r="Q3495" t="str">
        <f>_xlfn.XLOOKUP(Pipeline_tbl[[#This Row],[Rep_ID]],Dim_Reps!A:A,Dim_Reps!D:D)</f>
        <v>Mid-Market</v>
      </c>
      <c r="R3495" t="str">
        <f>_xlfn.XLOOKUP(Pipeline_tbl[[#This Row],[Rep_ID]],Dim_Reps!A:A,Dim_Reps!E:E)</f>
        <v>APAC</v>
      </c>
      <c r="S3495" t="str">
        <f>_xlfn.XLOOKUP(Pipeline_tbl[[#This Row],[Created_Date]],Dim_Date!A:A,Dim_Date!H:H)</f>
        <v>Jun 2024</v>
      </c>
      <c r="T3495" t="str">
        <f>IF(Pipeline_tbl[[#This Row],[Closed_Date]]=0,"",(_xlfn.XLOOKUP(Pipeline_tbl[[#This Row],[Closed_Date]],Dim_Date!A:A,Dim_Date!H:H)))</f>
        <v>Aug 2024</v>
      </c>
      <c r="U3495">
        <f>IF(Pipeline_tbl[[#This Row],[Closed_Date]]=0,"",Pipeline_tbl[[#This Row],[Closed_Date]]-Pipeline_tbl[[#This Row],[Created_Date]])</f>
        <v>42</v>
      </c>
    </row>
    <row r="3496" spans="1:21" ht="15" customHeight="1" x14ac:dyDescent="0.2">
      <c r="A3496" t="s">
        <v>3802</v>
      </c>
      <c r="B3496" t="s">
        <v>271</v>
      </c>
      <c r="C3496" t="s">
        <v>53</v>
      </c>
      <c r="D3496" s="49">
        <v>45460</v>
      </c>
      <c r="E3496" s="49">
        <v>45466</v>
      </c>
      <c r="F3496" s="49">
        <v>45477</v>
      </c>
      <c r="G3496" s="49">
        <v>45493</v>
      </c>
      <c r="H3496" s="49">
        <v>45507</v>
      </c>
      <c r="I3496" s="49">
        <v>45515</v>
      </c>
      <c r="J3496" t="s">
        <v>47</v>
      </c>
      <c r="K3496" s="33">
        <v>17600</v>
      </c>
      <c r="M3496" t="str">
        <f>_xlfn.XLOOKUP(Pipeline_tbl[[#This Row],[Rep_ID]],Dim_Reps!A:A,Dim_Reps!K:K)</f>
        <v>EUR</v>
      </c>
      <c r="N3496" s="33">
        <f>(_xlfn.XLOOKUP(Pipeline_tbl[[#This Row],[Rate_Code_Generalized]],Lookups!A:A,Lookups!B:B))*Pipeline_tbl[[#This Row],[Pipeline_Amount_USD]]</f>
        <v>17600</v>
      </c>
      <c r="O3496" t="str">
        <f>_xlfn.XLOOKUP(Pipeline_tbl[[#This Row],[Rep_ID]],Dim_Reps!A:A,Dim_Reps!B:B)</f>
        <v>Ivy Adler</v>
      </c>
      <c r="P3496" t="str">
        <f>_xlfn.XLOOKUP(Pipeline_tbl[[#This Row],[Rep_ID]],Dim_Reps!A:A,Dim_Reps!C:C)</f>
        <v>Mid-Market AE</v>
      </c>
      <c r="Q3496" t="str">
        <f>_xlfn.XLOOKUP(Pipeline_tbl[[#This Row],[Rep_ID]],Dim_Reps!A:A,Dim_Reps!D:D)</f>
        <v>Mid-Market</v>
      </c>
      <c r="R3496" t="str">
        <f>_xlfn.XLOOKUP(Pipeline_tbl[[#This Row],[Rep_ID]],Dim_Reps!A:A,Dim_Reps!E:E)</f>
        <v>APAC</v>
      </c>
      <c r="S3496" t="str">
        <f>_xlfn.XLOOKUP(Pipeline_tbl[[#This Row],[Created_Date]],Dim_Date!A:A,Dim_Date!H:H)</f>
        <v>Jun 2024</v>
      </c>
      <c r="T3496" t="str">
        <f>IF(Pipeline_tbl[[#This Row],[Closed_Date]]=0,"",(_xlfn.XLOOKUP(Pipeline_tbl[[#This Row],[Closed_Date]],Dim_Date!A:A,Dim_Date!H:H)))</f>
        <v>Aug 2024</v>
      </c>
      <c r="U3496">
        <f>IF(Pipeline_tbl[[#This Row],[Closed_Date]]=0,"",Pipeline_tbl[[#This Row],[Closed_Date]]-Pipeline_tbl[[#This Row],[Created_Date]])</f>
        <v>55</v>
      </c>
    </row>
    <row r="3497" spans="1:21" ht="15" customHeight="1" x14ac:dyDescent="0.2">
      <c r="A3497" t="s">
        <v>3803</v>
      </c>
      <c r="B3497" t="s">
        <v>273</v>
      </c>
      <c r="C3497" t="s">
        <v>53</v>
      </c>
      <c r="D3497" s="49">
        <v>45471</v>
      </c>
      <c r="E3497" s="49">
        <v>45476</v>
      </c>
      <c r="F3497" s="49">
        <v>45487</v>
      </c>
      <c r="G3497" s="49">
        <v>45502</v>
      </c>
      <c r="H3497" s="49">
        <v>45515</v>
      </c>
      <c r="I3497" s="49">
        <v>45523</v>
      </c>
      <c r="J3497" t="s">
        <v>47</v>
      </c>
      <c r="K3497" s="33">
        <v>11300</v>
      </c>
      <c r="M3497" t="str">
        <f>_xlfn.XLOOKUP(Pipeline_tbl[[#This Row],[Rep_ID]],Dim_Reps!A:A,Dim_Reps!K:K)</f>
        <v>EUR</v>
      </c>
      <c r="N3497" s="33">
        <f>(_xlfn.XLOOKUP(Pipeline_tbl[[#This Row],[Rate_Code_Generalized]],Lookups!A:A,Lookups!B:B))*Pipeline_tbl[[#This Row],[Pipeline_Amount_USD]]</f>
        <v>11300</v>
      </c>
      <c r="O3497" t="str">
        <f>_xlfn.XLOOKUP(Pipeline_tbl[[#This Row],[Rep_ID]],Dim_Reps!A:A,Dim_Reps!B:B)</f>
        <v>Olivia Cohen</v>
      </c>
      <c r="P3497" t="str">
        <f>_xlfn.XLOOKUP(Pipeline_tbl[[#This Row],[Rep_ID]],Dim_Reps!A:A,Dim_Reps!C:C)</f>
        <v>Mid-Market AE</v>
      </c>
      <c r="Q3497" t="str">
        <f>_xlfn.XLOOKUP(Pipeline_tbl[[#This Row],[Rep_ID]],Dim_Reps!A:A,Dim_Reps!D:D)</f>
        <v>Mid-Market</v>
      </c>
      <c r="R3497" t="str">
        <f>_xlfn.XLOOKUP(Pipeline_tbl[[#This Row],[Rep_ID]],Dim_Reps!A:A,Dim_Reps!E:E)</f>
        <v>APAC</v>
      </c>
      <c r="S3497" t="str">
        <f>_xlfn.XLOOKUP(Pipeline_tbl[[#This Row],[Created_Date]],Dim_Date!A:A,Dim_Date!H:H)</f>
        <v>Jun 2024</v>
      </c>
      <c r="T3497" t="str">
        <f>IF(Pipeline_tbl[[#This Row],[Closed_Date]]=0,"",(_xlfn.XLOOKUP(Pipeline_tbl[[#This Row],[Closed_Date]],Dim_Date!A:A,Dim_Date!H:H)))</f>
        <v>Aug 2024</v>
      </c>
      <c r="U3497">
        <f>IF(Pipeline_tbl[[#This Row],[Closed_Date]]=0,"",Pipeline_tbl[[#This Row],[Closed_Date]]-Pipeline_tbl[[#This Row],[Created_Date]])</f>
        <v>52</v>
      </c>
    </row>
    <row r="3498" spans="1:21" ht="15" customHeight="1" x14ac:dyDescent="0.2">
      <c r="A3498" t="s">
        <v>3804</v>
      </c>
      <c r="B3498" t="s">
        <v>273</v>
      </c>
      <c r="C3498" t="s">
        <v>52</v>
      </c>
      <c r="D3498" s="49">
        <v>45458</v>
      </c>
      <c r="E3498" s="49">
        <v>45463</v>
      </c>
      <c r="F3498" s="49">
        <v>45472</v>
      </c>
      <c r="G3498" s="49">
        <v>45486</v>
      </c>
      <c r="H3498" s="49">
        <v>45498</v>
      </c>
      <c r="I3498" s="49">
        <v>45505</v>
      </c>
      <c r="J3498" t="s">
        <v>49</v>
      </c>
      <c r="K3498" s="33">
        <v>5800</v>
      </c>
      <c r="L3498" t="s">
        <v>61</v>
      </c>
      <c r="M3498" t="str">
        <f>_xlfn.XLOOKUP(Pipeline_tbl[[#This Row],[Rep_ID]],Dim_Reps!A:A,Dim_Reps!K:K)</f>
        <v>EUR</v>
      </c>
      <c r="N3498" s="33">
        <f>(_xlfn.XLOOKUP(Pipeline_tbl[[#This Row],[Rate_Code_Generalized]],Lookups!A:A,Lookups!B:B))*Pipeline_tbl[[#This Row],[Pipeline_Amount_USD]]</f>
        <v>5800</v>
      </c>
      <c r="O3498" t="str">
        <f>_xlfn.XLOOKUP(Pipeline_tbl[[#This Row],[Rep_ID]],Dim_Reps!A:A,Dim_Reps!B:B)</f>
        <v>Olivia Cohen</v>
      </c>
      <c r="P3498" t="str">
        <f>_xlfn.XLOOKUP(Pipeline_tbl[[#This Row],[Rep_ID]],Dim_Reps!A:A,Dim_Reps!C:C)</f>
        <v>Mid-Market AE</v>
      </c>
      <c r="Q3498" t="str">
        <f>_xlfn.XLOOKUP(Pipeline_tbl[[#This Row],[Rep_ID]],Dim_Reps!A:A,Dim_Reps!D:D)</f>
        <v>Mid-Market</v>
      </c>
      <c r="R3498" t="str">
        <f>_xlfn.XLOOKUP(Pipeline_tbl[[#This Row],[Rep_ID]],Dim_Reps!A:A,Dim_Reps!E:E)</f>
        <v>APAC</v>
      </c>
      <c r="S3498" t="str">
        <f>_xlfn.XLOOKUP(Pipeline_tbl[[#This Row],[Created_Date]],Dim_Date!A:A,Dim_Date!H:H)</f>
        <v>Jun 2024</v>
      </c>
      <c r="T3498" t="str">
        <f>IF(Pipeline_tbl[[#This Row],[Closed_Date]]=0,"",(_xlfn.XLOOKUP(Pipeline_tbl[[#This Row],[Closed_Date]],Dim_Date!A:A,Dim_Date!H:H)))</f>
        <v>Aug 2024</v>
      </c>
      <c r="U3498">
        <f>IF(Pipeline_tbl[[#This Row],[Closed_Date]]=0,"",Pipeline_tbl[[#This Row],[Closed_Date]]-Pipeline_tbl[[#This Row],[Created_Date]])</f>
        <v>47</v>
      </c>
    </row>
    <row r="3499" spans="1:21" ht="15" customHeight="1" x14ac:dyDescent="0.2">
      <c r="A3499" t="s">
        <v>3805</v>
      </c>
      <c r="B3499" t="s">
        <v>193</v>
      </c>
      <c r="C3499" t="s">
        <v>54</v>
      </c>
      <c r="D3499" s="49">
        <v>45466</v>
      </c>
      <c r="E3499" s="49">
        <v>45467</v>
      </c>
      <c r="I3499" s="49">
        <v>45480</v>
      </c>
      <c r="J3499" t="s">
        <v>49</v>
      </c>
      <c r="K3499" s="33">
        <v>5000</v>
      </c>
      <c r="L3499" t="s">
        <v>62</v>
      </c>
      <c r="M3499" t="str">
        <f>_xlfn.XLOOKUP(Pipeline_tbl[[#This Row],[Rep_ID]],Dim_Reps!A:A,Dim_Reps!K:K)</f>
        <v>USD</v>
      </c>
      <c r="N3499" s="33">
        <f>(_xlfn.XLOOKUP(Pipeline_tbl[[#This Row],[Rate_Code_Generalized]],Lookups!A:A,Lookups!B:B))*Pipeline_tbl[[#This Row],[Pipeline_Amount_USD]]</f>
        <v>5821.4999999999991</v>
      </c>
      <c r="O3499" t="str">
        <f>_xlfn.XLOOKUP(Pipeline_tbl[[#This Row],[Rep_ID]],Dim_Reps!A:A,Dim_Reps!B:B)</f>
        <v>Karim Rossi</v>
      </c>
      <c r="P3499" t="str">
        <f>_xlfn.XLOOKUP(Pipeline_tbl[[#This Row],[Rep_ID]],Dim_Reps!A:A,Dim_Reps!C:C)</f>
        <v>SDR / Inside Sales Rep</v>
      </c>
      <c r="Q3499" t="str">
        <f>_xlfn.XLOOKUP(Pipeline_tbl[[#This Row],[Rep_ID]],Dim_Reps!A:A,Dim_Reps!D:D)</f>
        <v>Inside Sales</v>
      </c>
      <c r="R3499" t="str">
        <f>_xlfn.XLOOKUP(Pipeline_tbl[[#This Row],[Rep_ID]],Dim_Reps!A:A,Dim_Reps!E:E)</f>
        <v>NAMER</v>
      </c>
      <c r="S3499" t="str">
        <f>_xlfn.XLOOKUP(Pipeline_tbl[[#This Row],[Created_Date]],Dim_Date!A:A,Dim_Date!H:H)</f>
        <v>Jun 2024</v>
      </c>
      <c r="T3499" t="str">
        <f>IF(Pipeline_tbl[[#This Row],[Closed_Date]]=0,"",(_xlfn.XLOOKUP(Pipeline_tbl[[#This Row],[Closed_Date]],Dim_Date!A:A,Dim_Date!H:H)))</f>
        <v>Jul 2024</v>
      </c>
      <c r="U3499">
        <f>IF(Pipeline_tbl[[#This Row],[Closed_Date]]=0,"",Pipeline_tbl[[#This Row],[Closed_Date]]-Pipeline_tbl[[#This Row],[Created_Date]])</f>
        <v>14</v>
      </c>
    </row>
    <row r="3500" spans="1:21" ht="15" customHeight="1" x14ac:dyDescent="0.2">
      <c r="A3500" t="s">
        <v>3806</v>
      </c>
      <c r="B3500" t="s">
        <v>193</v>
      </c>
      <c r="C3500" t="s">
        <v>52</v>
      </c>
      <c r="D3500" s="49">
        <v>45465</v>
      </c>
      <c r="E3500" s="49">
        <v>45468</v>
      </c>
      <c r="F3500" s="49">
        <v>45473</v>
      </c>
      <c r="I3500" s="49">
        <v>45491</v>
      </c>
      <c r="J3500" t="s">
        <v>49</v>
      </c>
      <c r="K3500" s="33">
        <v>6100</v>
      </c>
      <c r="L3500" t="s">
        <v>60</v>
      </c>
      <c r="M3500" t="str">
        <f>_xlfn.XLOOKUP(Pipeline_tbl[[#This Row],[Rep_ID]],Dim_Reps!A:A,Dim_Reps!K:K)</f>
        <v>USD</v>
      </c>
      <c r="N3500" s="33">
        <f>(_xlfn.XLOOKUP(Pipeline_tbl[[#This Row],[Rate_Code_Generalized]],Lookups!A:A,Lookups!B:B))*Pipeline_tbl[[#This Row],[Pipeline_Amount_USD]]</f>
        <v>7102.23</v>
      </c>
      <c r="O3500" t="str">
        <f>_xlfn.XLOOKUP(Pipeline_tbl[[#This Row],[Rep_ID]],Dim_Reps!A:A,Dim_Reps!B:B)</f>
        <v>Karim Rossi</v>
      </c>
      <c r="P3500" t="str">
        <f>_xlfn.XLOOKUP(Pipeline_tbl[[#This Row],[Rep_ID]],Dim_Reps!A:A,Dim_Reps!C:C)</f>
        <v>SDR / Inside Sales Rep</v>
      </c>
      <c r="Q3500" t="str">
        <f>_xlfn.XLOOKUP(Pipeline_tbl[[#This Row],[Rep_ID]],Dim_Reps!A:A,Dim_Reps!D:D)</f>
        <v>Inside Sales</v>
      </c>
      <c r="R3500" t="str">
        <f>_xlfn.XLOOKUP(Pipeline_tbl[[#This Row],[Rep_ID]],Dim_Reps!A:A,Dim_Reps!E:E)</f>
        <v>NAMER</v>
      </c>
      <c r="S3500" t="str">
        <f>_xlfn.XLOOKUP(Pipeline_tbl[[#This Row],[Created_Date]],Dim_Date!A:A,Dim_Date!H:H)</f>
        <v>Jun 2024</v>
      </c>
      <c r="T3500" t="str">
        <f>IF(Pipeline_tbl[[#This Row],[Closed_Date]]=0,"",(_xlfn.XLOOKUP(Pipeline_tbl[[#This Row],[Closed_Date]],Dim_Date!A:A,Dim_Date!H:H)))</f>
        <v>Jul 2024</v>
      </c>
      <c r="U3500">
        <f>IF(Pipeline_tbl[[#This Row],[Closed_Date]]=0,"",Pipeline_tbl[[#This Row],[Closed_Date]]-Pipeline_tbl[[#This Row],[Created_Date]])</f>
        <v>26</v>
      </c>
    </row>
    <row r="3501" spans="1:21" ht="15" customHeight="1" x14ac:dyDescent="0.2">
      <c r="A3501" t="s">
        <v>3807</v>
      </c>
      <c r="B3501" t="s">
        <v>193</v>
      </c>
      <c r="C3501" t="s">
        <v>53</v>
      </c>
      <c r="D3501" s="49">
        <v>45464</v>
      </c>
      <c r="E3501" s="49">
        <v>45466</v>
      </c>
      <c r="F3501" s="49">
        <v>45469</v>
      </c>
      <c r="G3501" s="49">
        <v>45474</v>
      </c>
      <c r="H3501" s="49">
        <v>45478</v>
      </c>
      <c r="I3501" s="49">
        <v>45481</v>
      </c>
      <c r="J3501" t="s">
        <v>47</v>
      </c>
      <c r="K3501" s="33">
        <v>4000</v>
      </c>
      <c r="M3501" t="str">
        <f>_xlfn.XLOOKUP(Pipeline_tbl[[#This Row],[Rep_ID]],Dim_Reps!A:A,Dim_Reps!K:K)</f>
        <v>USD</v>
      </c>
      <c r="N3501" s="33">
        <f>(_xlfn.XLOOKUP(Pipeline_tbl[[#This Row],[Rate_Code_Generalized]],Lookups!A:A,Lookups!B:B))*Pipeline_tbl[[#This Row],[Pipeline_Amount_USD]]</f>
        <v>4657.2</v>
      </c>
      <c r="O3501" t="str">
        <f>_xlfn.XLOOKUP(Pipeline_tbl[[#This Row],[Rep_ID]],Dim_Reps!A:A,Dim_Reps!B:B)</f>
        <v>Karim Rossi</v>
      </c>
      <c r="P3501" t="str">
        <f>_xlfn.XLOOKUP(Pipeline_tbl[[#This Row],[Rep_ID]],Dim_Reps!A:A,Dim_Reps!C:C)</f>
        <v>SDR / Inside Sales Rep</v>
      </c>
      <c r="Q3501" t="str">
        <f>_xlfn.XLOOKUP(Pipeline_tbl[[#This Row],[Rep_ID]],Dim_Reps!A:A,Dim_Reps!D:D)</f>
        <v>Inside Sales</v>
      </c>
      <c r="R3501" t="str">
        <f>_xlfn.XLOOKUP(Pipeline_tbl[[#This Row],[Rep_ID]],Dim_Reps!A:A,Dim_Reps!E:E)</f>
        <v>NAMER</v>
      </c>
      <c r="S3501" t="str">
        <f>_xlfn.XLOOKUP(Pipeline_tbl[[#This Row],[Created_Date]],Dim_Date!A:A,Dim_Date!H:H)</f>
        <v>Jun 2024</v>
      </c>
      <c r="T3501" t="str">
        <f>IF(Pipeline_tbl[[#This Row],[Closed_Date]]=0,"",(_xlfn.XLOOKUP(Pipeline_tbl[[#This Row],[Closed_Date]],Dim_Date!A:A,Dim_Date!H:H)))</f>
        <v>Jul 2024</v>
      </c>
      <c r="U3501">
        <f>IF(Pipeline_tbl[[#This Row],[Closed_Date]]=0,"",Pipeline_tbl[[#This Row],[Closed_Date]]-Pipeline_tbl[[#This Row],[Created_Date]])</f>
        <v>17</v>
      </c>
    </row>
    <row r="3502" spans="1:21" ht="15" customHeight="1" x14ac:dyDescent="0.2">
      <c r="A3502" t="s">
        <v>3808</v>
      </c>
      <c r="B3502" t="s">
        <v>193</v>
      </c>
      <c r="C3502" t="s">
        <v>54</v>
      </c>
      <c r="D3502" s="49">
        <v>45471</v>
      </c>
      <c r="E3502" s="49">
        <v>45472</v>
      </c>
      <c r="F3502" s="49">
        <v>45473</v>
      </c>
      <c r="G3502" s="49">
        <v>45475</v>
      </c>
      <c r="H3502" s="49">
        <v>45477</v>
      </c>
      <c r="I3502" s="49">
        <v>45478</v>
      </c>
      <c r="J3502" t="s">
        <v>49</v>
      </c>
      <c r="K3502" s="33">
        <v>1800</v>
      </c>
      <c r="L3502" t="s">
        <v>62</v>
      </c>
      <c r="M3502" t="str">
        <f>_xlfn.XLOOKUP(Pipeline_tbl[[#This Row],[Rep_ID]],Dim_Reps!A:A,Dim_Reps!K:K)</f>
        <v>USD</v>
      </c>
      <c r="N3502" s="33">
        <f>(_xlfn.XLOOKUP(Pipeline_tbl[[#This Row],[Rate_Code_Generalized]],Lookups!A:A,Lookups!B:B))*Pipeline_tbl[[#This Row],[Pipeline_Amount_USD]]</f>
        <v>2095.7399999999998</v>
      </c>
      <c r="O3502" t="str">
        <f>_xlfn.XLOOKUP(Pipeline_tbl[[#This Row],[Rep_ID]],Dim_Reps!A:A,Dim_Reps!B:B)</f>
        <v>Karim Rossi</v>
      </c>
      <c r="P3502" t="str">
        <f>_xlfn.XLOOKUP(Pipeline_tbl[[#This Row],[Rep_ID]],Dim_Reps!A:A,Dim_Reps!C:C)</f>
        <v>SDR / Inside Sales Rep</v>
      </c>
      <c r="Q3502" t="str">
        <f>_xlfn.XLOOKUP(Pipeline_tbl[[#This Row],[Rep_ID]],Dim_Reps!A:A,Dim_Reps!D:D)</f>
        <v>Inside Sales</v>
      </c>
      <c r="R3502" t="str">
        <f>_xlfn.XLOOKUP(Pipeline_tbl[[#This Row],[Rep_ID]],Dim_Reps!A:A,Dim_Reps!E:E)</f>
        <v>NAMER</v>
      </c>
      <c r="S3502" t="str">
        <f>_xlfn.XLOOKUP(Pipeline_tbl[[#This Row],[Created_Date]],Dim_Date!A:A,Dim_Date!H:H)</f>
        <v>Jun 2024</v>
      </c>
      <c r="T3502" t="str">
        <f>IF(Pipeline_tbl[[#This Row],[Closed_Date]]=0,"",(_xlfn.XLOOKUP(Pipeline_tbl[[#This Row],[Closed_Date]],Dim_Date!A:A,Dim_Date!H:H)))</f>
        <v>Jul 2024</v>
      </c>
      <c r="U3502">
        <f>IF(Pipeline_tbl[[#This Row],[Closed_Date]]=0,"",Pipeline_tbl[[#This Row],[Closed_Date]]-Pipeline_tbl[[#This Row],[Created_Date]])</f>
        <v>7</v>
      </c>
    </row>
    <row r="3503" spans="1:21" ht="15" customHeight="1" x14ac:dyDescent="0.2">
      <c r="A3503" t="s">
        <v>3809</v>
      </c>
      <c r="B3503" t="s">
        <v>193</v>
      </c>
      <c r="C3503" t="s">
        <v>52</v>
      </c>
      <c r="D3503" s="49">
        <v>45460</v>
      </c>
      <c r="E3503" s="49">
        <v>45461</v>
      </c>
      <c r="F3503" s="49">
        <v>45464</v>
      </c>
      <c r="G3503" s="49">
        <v>45468</v>
      </c>
      <c r="H3503" s="49">
        <v>45472</v>
      </c>
      <c r="I3503" s="49">
        <v>45474</v>
      </c>
      <c r="J3503" t="s">
        <v>47</v>
      </c>
      <c r="K3503" s="33">
        <v>2100</v>
      </c>
      <c r="M3503" t="str">
        <f>_xlfn.XLOOKUP(Pipeline_tbl[[#This Row],[Rep_ID]],Dim_Reps!A:A,Dim_Reps!K:K)</f>
        <v>USD</v>
      </c>
      <c r="N3503" s="33">
        <f>(_xlfn.XLOOKUP(Pipeline_tbl[[#This Row],[Rate_Code_Generalized]],Lookups!A:A,Lookups!B:B))*Pipeline_tbl[[#This Row],[Pipeline_Amount_USD]]</f>
        <v>2445.0299999999997</v>
      </c>
      <c r="O3503" t="str">
        <f>_xlfn.XLOOKUP(Pipeline_tbl[[#This Row],[Rep_ID]],Dim_Reps!A:A,Dim_Reps!B:B)</f>
        <v>Karim Rossi</v>
      </c>
      <c r="P3503" t="str">
        <f>_xlfn.XLOOKUP(Pipeline_tbl[[#This Row],[Rep_ID]],Dim_Reps!A:A,Dim_Reps!C:C)</f>
        <v>SDR / Inside Sales Rep</v>
      </c>
      <c r="Q3503" t="str">
        <f>_xlfn.XLOOKUP(Pipeline_tbl[[#This Row],[Rep_ID]],Dim_Reps!A:A,Dim_Reps!D:D)</f>
        <v>Inside Sales</v>
      </c>
      <c r="R3503" t="str">
        <f>_xlfn.XLOOKUP(Pipeline_tbl[[#This Row],[Rep_ID]],Dim_Reps!A:A,Dim_Reps!E:E)</f>
        <v>NAMER</v>
      </c>
      <c r="S3503" t="str">
        <f>_xlfn.XLOOKUP(Pipeline_tbl[[#This Row],[Created_Date]],Dim_Date!A:A,Dim_Date!H:H)</f>
        <v>Jun 2024</v>
      </c>
      <c r="T3503" t="str">
        <f>IF(Pipeline_tbl[[#This Row],[Closed_Date]]=0,"",(_xlfn.XLOOKUP(Pipeline_tbl[[#This Row],[Closed_Date]],Dim_Date!A:A,Dim_Date!H:H)))</f>
        <v>Jul 2024</v>
      </c>
      <c r="U3503">
        <f>IF(Pipeline_tbl[[#This Row],[Closed_Date]]=0,"",Pipeline_tbl[[#This Row],[Closed_Date]]-Pipeline_tbl[[#This Row],[Created_Date]])</f>
        <v>14</v>
      </c>
    </row>
    <row r="3504" spans="1:21" ht="15" customHeight="1" x14ac:dyDescent="0.2">
      <c r="A3504" t="s">
        <v>3810</v>
      </c>
      <c r="B3504" t="s">
        <v>193</v>
      </c>
      <c r="C3504" t="s">
        <v>52</v>
      </c>
      <c r="D3504" s="49">
        <v>45459</v>
      </c>
      <c r="E3504" s="49">
        <v>45461</v>
      </c>
      <c r="F3504" s="49">
        <v>45464</v>
      </c>
      <c r="G3504" s="49">
        <v>45470</v>
      </c>
      <c r="I3504" s="49">
        <v>45477</v>
      </c>
      <c r="J3504" t="s">
        <v>49</v>
      </c>
      <c r="K3504" s="33">
        <v>2500</v>
      </c>
      <c r="L3504" t="s">
        <v>60</v>
      </c>
      <c r="M3504" t="str">
        <f>_xlfn.XLOOKUP(Pipeline_tbl[[#This Row],[Rep_ID]],Dim_Reps!A:A,Dim_Reps!K:K)</f>
        <v>USD</v>
      </c>
      <c r="N3504" s="33">
        <f>(_xlfn.XLOOKUP(Pipeline_tbl[[#This Row],[Rate_Code_Generalized]],Lookups!A:A,Lookups!B:B))*Pipeline_tbl[[#This Row],[Pipeline_Amount_USD]]</f>
        <v>2910.7499999999995</v>
      </c>
      <c r="O3504" t="str">
        <f>_xlfn.XLOOKUP(Pipeline_tbl[[#This Row],[Rep_ID]],Dim_Reps!A:A,Dim_Reps!B:B)</f>
        <v>Karim Rossi</v>
      </c>
      <c r="P3504" t="str">
        <f>_xlfn.XLOOKUP(Pipeline_tbl[[#This Row],[Rep_ID]],Dim_Reps!A:A,Dim_Reps!C:C)</f>
        <v>SDR / Inside Sales Rep</v>
      </c>
      <c r="Q3504" t="str">
        <f>_xlfn.XLOOKUP(Pipeline_tbl[[#This Row],[Rep_ID]],Dim_Reps!A:A,Dim_Reps!D:D)</f>
        <v>Inside Sales</v>
      </c>
      <c r="R3504" t="str">
        <f>_xlfn.XLOOKUP(Pipeline_tbl[[#This Row],[Rep_ID]],Dim_Reps!A:A,Dim_Reps!E:E)</f>
        <v>NAMER</v>
      </c>
      <c r="S3504" t="str">
        <f>_xlfn.XLOOKUP(Pipeline_tbl[[#This Row],[Created_Date]],Dim_Date!A:A,Dim_Date!H:H)</f>
        <v>Jun 2024</v>
      </c>
      <c r="T3504" t="str">
        <f>IF(Pipeline_tbl[[#This Row],[Closed_Date]]=0,"",(_xlfn.XLOOKUP(Pipeline_tbl[[#This Row],[Closed_Date]],Dim_Date!A:A,Dim_Date!H:H)))</f>
        <v>Jul 2024</v>
      </c>
      <c r="U3504">
        <f>IF(Pipeline_tbl[[#This Row],[Closed_Date]]=0,"",Pipeline_tbl[[#This Row],[Closed_Date]]-Pipeline_tbl[[#This Row],[Created_Date]])</f>
        <v>18</v>
      </c>
    </row>
    <row r="3505" spans="1:21" ht="15" customHeight="1" x14ac:dyDescent="0.2">
      <c r="A3505" t="s">
        <v>3811</v>
      </c>
      <c r="B3505" t="s">
        <v>193</v>
      </c>
      <c r="C3505" t="s">
        <v>55</v>
      </c>
      <c r="D3505" s="49">
        <v>45452</v>
      </c>
      <c r="E3505" s="49">
        <v>45455</v>
      </c>
      <c r="F3505" s="49">
        <v>45461</v>
      </c>
      <c r="G3505" s="49">
        <v>45469</v>
      </c>
      <c r="H3505" s="49">
        <v>45477</v>
      </c>
      <c r="I3505" s="49">
        <v>45481</v>
      </c>
      <c r="J3505" t="s">
        <v>47</v>
      </c>
      <c r="K3505" s="33">
        <v>4300</v>
      </c>
      <c r="M3505" t="str">
        <f>_xlfn.XLOOKUP(Pipeline_tbl[[#This Row],[Rep_ID]],Dim_Reps!A:A,Dim_Reps!K:K)</f>
        <v>USD</v>
      </c>
      <c r="N3505" s="33">
        <f>(_xlfn.XLOOKUP(Pipeline_tbl[[#This Row],[Rate_Code_Generalized]],Lookups!A:A,Lookups!B:B))*Pipeline_tbl[[#This Row],[Pipeline_Amount_USD]]</f>
        <v>5006.49</v>
      </c>
      <c r="O3505" t="str">
        <f>_xlfn.XLOOKUP(Pipeline_tbl[[#This Row],[Rep_ID]],Dim_Reps!A:A,Dim_Reps!B:B)</f>
        <v>Karim Rossi</v>
      </c>
      <c r="P3505" t="str">
        <f>_xlfn.XLOOKUP(Pipeline_tbl[[#This Row],[Rep_ID]],Dim_Reps!A:A,Dim_Reps!C:C)</f>
        <v>SDR / Inside Sales Rep</v>
      </c>
      <c r="Q3505" t="str">
        <f>_xlfn.XLOOKUP(Pipeline_tbl[[#This Row],[Rep_ID]],Dim_Reps!A:A,Dim_Reps!D:D)</f>
        <v>Inside Sales</v>
      </c>
      <c r="R3505" t="str">
        <f>_xlfn.XLOOKUP(Pipeline_tbl[[#This Row],[Rep_ID]],Dim_Reps!A:A,Dim_Reps!E:E)</f>
        <v>NAMER</v>
      </c>
      <c r="S3505" t="str">
        <f>_xlfn.XLOOKUP(Pipeline_tbl[[#This Row],[Created_Date]],Dim_Date!A:A,Dim_Date!H:H)</f>
        <v>Jun 2024</v>
      </c>
      <c r="T3505" t="str">
        <f>IF(Pipeline_tbl[[#This Row],[Closed_Date]]=0,"",(_xlfn.XLOOKUP(Pipeline_tbl[[#This Row],[Closed_Date]],Dim_Date!A:A,Dim_Date!H:H)))</f>
        <v>Jul 2024</v>
      </c>
      <c r="U3505">
        <f>IF(Pipeline_tbl[[#This Row],[Closed_Date]]=0,"",Pipeline_tbl[[#This Row],[Closed_Date]]-Pipeline_tbl[[#This Row],[Created_Date]])</f>
        <v>29</v>
      </c>
    </row>
    <row r="3506" spans="1:21" ht="15" customHeight="1" x14ac:dyDescent="0.2">
      <c r="A3506" t="s">
        <v>3812</v>
      </c>
      <c r="B3506" t="s">
        <v>193</v>
      </c>
      <c r="C3506" t="s">
        <v>52</v>
      </c>
      <c r="D3506" s="49">
        <v>45472</v>
      </c>
      <c r="E3506" s="49">
        <v>45475</v>
      </c>
      <c r="I3506" s="49">
        <v>45500</v>
      </c>
      <c r="J3506" t="s">
        <v>49</v>
      </c>
      <c r="K3506" s="33">
        <v>4800</v>
      </c>
      <c r="L3506" t="s">
        <v>61</v>
      </c>
      <c r="M3506" t="str">
        <f>_xlfn.XLOOKUP(Pipeline_tbl[[#This Row],[Rep_ID]],Dim_Reps!A:A,Dim_Reps!K:K)</f>
        <v>USD</v>
      </c>
      <c r="N3506" s="33">
        <f>(_xlfn.XLOOKUP(Pipeline_tbl[[#This Row],[Rate_Code_Generalized]],Lookups!A:A,Lookups!B:B))*Pipeline_tbl[[#This Row],[Pipeline_Amount_USD]]</f>
        <v>5588.6399999999994</v>
      </c>
      <c r="O3506" t="str">
        <f>_xlfn.XLOOKUP(Pipeline_tbl[[#This Row],[Rep_ID]],Dim_Reps!A:A,Dim_Reps!B:B)</f>
        <v>Karim Rossi</v>
      </c>
      <c r="P3506" t="str">
        <f>_xlfn.XLOOKUP(Pipeline_tbl[[#This Row],[Rep_ID]],Dim_Reps!A:A,Dim_Reps!C:C)</f>
        <v>SDR / Inside Sales Rep</v>
      </c>
      <c r="Q3506" t="str">
        <f>_xlfn.XLOOKUP(Pipeline_tbl[[#This Row],[Rep_ID]],Dim_Reps!A:A,Dim_Reps!D:D)</f>
        <v>Inside Sales</v>
      </c>
      <c r="R3506" t="str">
        <f>_xlfn.XLOOKUP(Pipeline_tbl[[#This Row],[Rep_ID]],Dim_Reps!A:A,Dim_Reps!E:E)</f>
        <v>NAMER</v>
      </c>
      <c r="S3506" t="str">
        <f>_xlfn.XLOOKUP(Pipeline_tbl[[#This Row],[Created_Date]],Dim_Date!A:A,Dim_Date!H:H)</f>
        <v>Jun 2024</v>
      </c>
      <c r="T3506" t="str">
        <f>IF(Pipeline_tbl[[#This Row],[Closed_Date]]=0,"",(_xlfn.XLOOKUP(Pipeline_tbl[[#This Row],[Closed_Date]],Dim_Date!A:A,Dim_Date!H:H)))</f>
        <v>Jul 2024</v>
      </c>
      <c r="U3506">
        <f>IF(Pipeline_tbl[[#This Row],[Closed_Date]]=0,"",Pipeline_tbl[[#This Row],[Closed_Date]]-Pipeline_tbl[[#This Row],[Created_Date]])</f>
        <v>28</v>
      </c>
    </row>
    <row r="3507" spans="1:21" ht="15" customHeight="1" x14ac:dyDescent="0.2">
      <c r="A3507" t="s">
        <v>3813</v>
      </c>
      <c r="B3507" t="s">
        <v>243</v>
      </c>
      <c r="C3507" t="s">
        <v>52</v>
      </c>
      <c r="D3507" s="49">
        <v>45446</v>
      </c>
      <c r="E3507" s="49">
        <v>45449</v>
      </c>
      <c r="F3507" s="49">
        <v>45456</v>
      </c>
      <c r="G3507" s="49">
        <v>45466</v>
      </c>
      <c r="I3507" s="49">
        <v>45479</v>
      </c>
      <c r="J3507" t="s">
        <v>49</v>
      </c>
      <c r="K3507" s="33">
        <v>8100</v>
      </c>
      <c r="L3507" t="s">
        <v>64</v>
      </c>
      <c r="M3507" t="str">
        <f>_xlfn.XLOOKUP(Pipeline_tbl[[#This Row],[Rep_ID]],Dim_Reps!A:A,Dim_Reps!K:K)</f>
        <v>MXN</v>
      </c>
      <c r="N3507" s="33">
        <f>(_xlfn.XLOOKUP(Pipeline_tbl[[#This Row],[Rate_Code_Generalized]],Lookups!A:A,Lookups!B:B))*Pipeline_tbl[[#This Row],[Pipeline_Amount_USD]]</f>
        <v>159834.87000000002</v>
      </c>
      <c r="O3507" t="str">
        <f>_xlfn.XLOOKUP(Pipeline_tbl[[#This Row],[Rep_ID]],Dim_Reps!A:A,Dim_Reps!B:B)</f>
        <v>Jonas Sato</v>
      </c>
      <c r="P3507" t="str">
        <f>_xlfn.XLOOKUP(Pipeline_tbl[[#This Row],[Rep_ID]],Dim_Reps!A:A,Dim_Reps!C:C)</f>
        <v>Mid-Market AE</v>
      </c>
      <c r="Q3507" t="str">
        <f>_xlfn.XLOOKUP(Pipeline_tbl[[#This Row],[Rep_ID]],Dim_Reps!A:A,Dim_Reps!D:D)</f>
        <v>Mid-Market</v>
      </c>
      <c r="R3507" t="str">
        <f>_xlfn.XLOOKUP(Pipeline_tbl[[#This Row],[Rep_ID]],Dim_Reps!A:A,Dim_Reps!E:E)</f>
        <v>LATAM</v>
      </c>
      <c r="S3507" t="str">
        <f>_xlfn.XLOOKUP(Pipeline_tbl[[#This Row],[Created_Date]],Dim_Date!A:A,Dim_Date!H:H)</f>
        <v>Jun 2024</v>
      </c>
      <c r="T3507" t="str">
        <f>IF(Pipeline_tbl[[#This Row],[Closed_Date]]=0,"",(_xlfn.XLOOKUP(Pipeline_tbl[[#This Row],[Closed_Date]],Dim_Date!A:A,Dim_Date!H:H)))</f>
        <v>Jul 2024</v>
      </c>
      <c r="U3507">
        <f>IF(Pipeline_tbl[[#This Row],[Closed_Date]]=0,"",Pipeline_tbl[[#This Row],[Closed_Date]]-Pipeline_tbl[[#This Row],[Created_Date]])</f>
        <v>33</v>
      </c>
    </row>
    <row r="3508" spans="1:21" ht="15" customHeight="1" x14ac:dyDescent="0.2">
      <c r="A3508" t="s">
        <v>3814</v>
      </c>
      <c r="B3508" t="s">
        <v>243</v>
      </c>
      <c r="C3508" t="s">
        <v>52</v>
      </c>
      <c r="D3508" s="49">
        <v>45470</v>
      </c>
      <c r="E3508" s="49">
        <v>45473</v>
      </c>
      <c r="F3508" s="49">
        <v>45479</v>
      </c>
      <c r="G3508" s="49">
        <v>45487</v>
      </c>
      <c r="H3508" s="49">
        <v>45495</v>
      </c>
      <c r="I3508" s="49">
        <v>45499</v>
      </c>
      <c r="J3508" t="s">
        <v>47</v>
      </c>
      <c r="K3508" s="33">
        <v>25500</v>
      </c>
      <c r="M3508" t="str">
        <f>_xlfn.XLOOKUP(Pipeline_tbl[[#This Row],[Rep_ID]],Dim_Reps!A:A,Dim_Reps!K:K)</f>
        <v>MXN</v>
      </c>
      <c r="N3508" s="33">
        <f>(_xlfn.XLOOKUP(Pipeline_tbl[[#This Row],[Rate_Code_Generalized]],Lookups!A:A,Lookups!B:B))*Pipeline_tbl[[#This Row],[Pipeline_Amount_USD]]</f>
        <v>503183.85000000003</v>
      </c>
      <c r="O3508" t="str">
        <f>_xlfn.XLOOKUP(Pipeline_tbl[[#This Row],[Rep_ID]],Dim_Reps!A:A,Dim_Reps!B:B)</f>
        <v>Jonas Sato</v>
      </c>
      <c r="P3508" t="str">
        <f>_xlfn.XLOOKUP(Pipeline_tbl[[#This Row],[Rep_ID]],Dim_Reps!A:A,Dim_Reps!C:C)</f>
        <v>Mid-Market AE</v>
      </c>
      <c r="Q3508" t="str">
        <f>_xlfn.XLOOKUP(Pipeline_tbl[[#This Row],[Rep_ID]],Dim_Reps!A:A,Dim_Reps!D:D)</f>
        <v>Mid-Market</v>
      </c>
      <c r="R3508" t="str">
        <f>_xlfn.XLOOKUP(Pipeline_tbl[[#This Row],[Rep_ID]],Dim_Reps!A:A,Dim_Reps!E:E)</f>
        <v>LATAM</v>
      </c>
      <c r="S3508" t="str">
        <f>_xlfn.XLOOKUP(Pipeline_tbl[[#This Row],[Created_Date]],Dim_Date!A:A,Dim_Date!H:H)</f>
        <v>Jun 2024</v>
      </c>
      <c r="T3508" t="str">
        <f>IF(Pipeline_tbl[[#This Row],[Closed_Date]]=0,"",(_xlfn.XLOOKUP(Pipeline_tbl[[#This Row],[Closed_Date]],Dim_Date!A:A,Dim_Date!H:H)))</f>
        <v>Jul 2024</v>
      </c>
      <c r="U3508">
        <f>IF(Pipeline_tbl[[#This Row],[Closed_Date]]=0,"",Pipeline_tbl[[#This Row],[Closed_Date]]-Pipeline_tbl[[#This Row],[Created_Date]])</f>
        <v>29</v>
      </c>
    </row>
    <row r="3509" spans="1:21" ht="15" customHeight="1" x14ac:dyDescent="0.2">
      <c r="A3509" t="s">
        <v>3815</v>
      </c>
      <c r="B3509" t="s">
        <v>199</v>
      </c>
      <c r="C3509" t="s">
        <v>52</v>
      </c>
      <c r="D3509" s="49">
        <v>45472</v>
      </c>
      <c r="E3509" s="49">
        <v>45474</v>
      </c>
      <c r="F3509" s="49">
        <v>45478</v>
      </c>
      <c r="G3509" s="49">
        <v>45483</v>
      </c>
      <c r="H3509" s="49">
        <v>45488</v>
      </c>
      <c r="I3509" s="49">
        <v>45491</v>
      </c>
      <c r="J3509" t="s">
        <v>49</v>
      </c>
      <c r="K3509" s="33">
        <v>3400</v>
      </c>
      <c r="L3509" t="s">
        <v>64</v>
      </c>
      <c r="M3509" t="str">
        <f>_xlfn.XLOOKUP(Pipeline_tbl[[#This Row],[Rep_ID]],Dim_Reps!A:A,Dim_Reps!K:K)</f>
        <v>EUR</v>
      </c>
      <c r="N3509" s="33">
        <f>(_xlfn.XLOOKUP(Pipeline_tbl[[#This Row],[Rate_Code_Generalized]],Lookups!A:A,Lookups!B:B))*Pipeline_tbl[[#This Row],[Pipeline_Amount_USD]]</f>
        <v>3400</v>
      </c>
      <c r="O3509" t="str">
        <f>_xlfn.XLOOKUP(Pipeline_tbl[[#This Row],[Rep_ID]],Dim_Reps!A:A,Dim_Reps!B:B)</f>
        <v>Lucas Okafor</v>
      </c>
      <c r="P3509" t="str">
        <f>_xlfn.XLOOKUP(Pipeline_tbl[[#This Row],[Rep_ID]],Dim_Reps!A:A,Dim_Reps!C:C)</f>
        <v>SDR / Inside Sales Rep</v>
      </c>
      <c r="Q3509" t="str">
        <f>_xlfn.XLOOKUP(Pipeline_tbl[[#This Row],[Rep_ID]],Dim_Reps!A:A,Dim_Reps!D:D)</f>
        <v>Inside Sales</v>
      </c>
      <c r="R3509" t="str">
        <f>_xlfn.XLOOKUP(Pipeline_tbl[[#This Row],[Rep_ID]],Dim_Reps!A:A,Dim_Reps!E:E)</f>
        <v>APAC</v>
      </c>
      <c r="S3509" t="str">
        <f>_xlfn.XLOOKUP(Pipeline_tbl[[#This Row],[Created_Date]],Dim_Date!A:A,Dim_Date!H:H)</f>
        <v>Jun 2024</v>
      </c>
      <c r="T3509" t="str">
        <f>IF(Pipeline_tbl[[#This Row],[Closed_Date]]=0,"",(_xlfn.XLOOKUP(Pipeline_tbl[[#This Row],[Closed_Date]],Dim_Date!A:A,Dim_Date!H:H)))</f>
        <v>Jul 2024</v>
      </c>
      <c r="U3509">
        <f>IF(Pipeline_tbl[[#This Row],[Closed_Date]]=0,"",Pipeline_tbl[[#This Row],[Closed_Date]]-Pipeline_tbl[[#This Row],[Created_Date]])</f>
        <v>19</v>
      </c>
    </row>
    <row r="3510" spans="1:21" ht="15" customHeight="1" x14ac:dyDescent="0.2">
      <c r="A3510" t="s">
        <v>3816</v>
      </c>
      <c r="B3510" t="s">
        <v>199</v>
      </c>
      <c r="C3510" t="s">
        <v>53</v>
      </c>
      <c r="D3510" s="49">
        <v>45458</v>
      </c>
      <c r="E3510" s="49">
        <v>45460</v>
      </c>
      <c r="F3510" s="49">
        <v>45464</v>
      </c>
      <c r="I3510" s="49">
        <v>45477</v>
      </c>
      <c r="J3510" t="s">
        <v>49</v>
      </c>
      <c r="K3510" s="33">
        <v>4200</v>
      </c>
      <c r="L3510" t="s">
        <v>61</v>
      </c>
      <c r="M3510" t="str">
        <f>_xlfn.XLOOKUP(Pipeline_tbl[[#This Row],[Rep_ID]],Dim_Reps!A:A,Dim_Reps!K:K)</f>
        <v>EUR</v>
      </c>
      <c r="N3510" s="33">
        <f>(_xlfn.XLOOKUP(Pipeline_tbl[[#This Row],[Rate_Code_Generalized]],Lookups!A:A,Lookups!B:B))*Pipeline_tbl[[#This Row],[Pipeline_Amount_USD]]</f>
        <v>4200</v>
      </c>
      <c r="O3510" t="str">
        <f>_xlfn.XLOOKUP(Pipeline_tbl[[#This Row],[Rep_ID]],Dim_Reps!A:A,Dim_Reps!B:B)</f>
        <v>Lucas Okafor</v>
      </c>
      <c r="P3510" t="str">
        <f>_xlfn.XLOOKUP(Pipeline_tbl[[#This Row],[Rep_ID]],Dim_Reps!A:A,Dim_Reps!C:C)</f>
        <v>SDR / Inside Sales Rep</v>
      </c>
      <c r="Q3510" t="str">
        <f>_xlfn.XLOOKUP(Pipeline_tbl[[#This Row],[Rep_ID]],Dim_Reps!A:A,Dim_Reps!D:D)</f>
        <v>Inside Sales</v>
      </c>
      <c r="R3510" t="str">
        <f>_xlfn.XLOOKUP(Pipeline_tbl[[#This Row],[Rep_ID]],Dim_Reps!A:A,Dim_Reps!E:E)</f>
        <v>APAC</v>
      </c>
      <c r="S3510" t="str">
        <f>_xlfn.XLOOKUP(Pipeline_tbl[[#This Row],[Created_Date]],Dim_Date!A:A,Dim_Date!H:H)</f>
        <v>Jun 2024</v>
      </c>
      <c r="T3510" t="str">
        <f>IF(Pipeline_tbl[[#This Row],[Closed_Date]]=0,"",(_xlfn.XLOOKUP(Pipeline_tbl[[#This Row],[Closed_Date]],Dim_Date!A:A,Dim_Date!H:H)))</f>
        <v>Jul 2024</v>
      </c>
      <c r="U3510">
        <f>IF(Pipeline_tbl[[#This Row],[Closed_Date]]=0,"",Pipeline_tbl[[#This Row],[Closed_Date]]-Pipeline_tbl[[#This Row],[Created_Date]])</f>
        <v>19</v>
      </c>
    </row>
    <row r="3511" spans="1:21" ht="15" customHeight="1" x14ac:dyDescent="0.2">
      <c r="A3511" t="s">
        <v>3817</v>
      </c>
      <c r="B3511" t="s">
        <v>199</v>
      </c>
      <c r="C3511" t="s">
        <v>53</v>
      </c>
      <c r="D3511" s="49">
        <v>45468</v>
      </c>
      <c r="E3511" s="49">
        <v>45470</v>
      </c>
      <c r="F3511" s="49">
        <v>45473</v>
      </c>
      <c r="G3511" s="49">
        <v>45478</v>
      </c>
      <c r="H3511" s="49">
        <v>45482</v>
      </c>
      <c r="I3511" s="49">
        <v>45484</v>
      </c>
      <c r="J3511" t="s">
        <v>47</v>
      </c>
      <c r="K3511" s="33">
        <v>5500</v>
      </c>
      <c r="M3511" t="str">
        <f>_xlfn.XLOOKUP(Pipeline_tbl[[#This Row],[Rep_ID]],Dim_Reps!A:A,Dim_Reps!K:K)</f>
        <v>EUR</v>
      </c>
      <c r="N3511" s="33">
        <f>(_xlfn.XLOOKUP(Pipeline_tbl[[#This Row],[Rate_Code_Generalized]],Lookups!A:A,Lookups!B:B))*Pipeline_tbl[[#This Row],[Pipeline_Amount_USD]]</f>
        <v>5500</v>
      </c>
      <c r="O3511" t="str">
        <f>_xlfn.XLOOKUP(Pipeline_tbl[[#This Row],[Rep_ID]],Dim_Reps!A:A,Dim_Reps!B:B)</f>
        <v>Lucas Okafor</v>
      </c>
      <c r="P3511" t="str">
        <f>_xlfn.XLOOKUP(Pipeline_tbl[[#This Row],[Rep_ID]],Dim_Reps!A:A,Dim_Reps!C:C)</f>
        <v>SDR / Inside Sales Rep</v>
      </c>
      <c r="Q3511" t="str">
        <f>_xlfn.XLOOKUP(Pipeline_tbl[[#This Row],[Rep_ID]],Dim_Reps!A:A,Dim_Reps!D:D)</f>
        <v>Inside Sales</v>
      </c>
      <c r="R3511" t="str">
        <f>_xlfn.XLOOKUP(Pipeline_tbl[[#This Row],[Rep_ID]],Dim_Reps!A:A,Dim_Reps!E:E)</f>
        <v>APAC</v>
      </c>
      <c r="S3511" t="str">
        <f>_xlfn.XLOOKUP(Pipeline_tbl[[#This Row],[Created_Date]],Dim_Date!A:A,Dim_Date!H:H)</f>
        <v>Jun 2024</v>
      </c>
      <c r="T3511" t="str">
        <f>IF(Pipeline_tbl[[#This Row],[Closed_Date]]=0,"",(_xlfn.XLOOKUP(Pipeline_tbl[[#This Row],[Closed_Date]],Dim_Date!A:A,Dim_Date!H:H)))</f>
        <v>Jul 2024</v>
      </c>
      <c r="U3511">
        <f>IF(Pipeline_tbl[[#This Row],[Closed_Date]]=0,"",Pipeline_tbl[[#This Row],[Closed_Date]]-Pipeline_tbl[[#This Row],[Created_Date]])</f>
        <v>16</v>
      </c>
    </row>
    <row r="3512" spans="1:21" ht="15" customHeight="1" x14ac:dyDescent="0.2">
      <c r="A3512" t="s">
        <v>3818</v>
      </c>
      <c r="B3512" t="s">
        <v>199</v>
      </c>
      <c r="C3512" t="s">
        <v>55</v>
      </c>
      <c r="D3512" s="49">
        <v>45458</v>
      </c>
      <c r="E3512" s="49">
        <v>45460</v>
      </c>
      <c r="F3512" s="49">
        <v>45463</v>
      </c>
      <c r="I3512" s="49">
        <v>45476</v>
      </c>
      <c r="J3512" t="s">
        <v>49</v>
      </c>
      <c r="K3512" s="33">
        <v>2600</v>
      </c>
      <c r="L3512" t="s">
        <v>61</v>
      </c>
      <c r="M3512" t="str">
        <f>_xlfn.XLOOKUP(Pipeline_tbl[[#This Row],[Rep_ID]],Dim_Reps!A:A,Dim_Reps!K:K)</f>
        <v>EUR</v>
      </c>
      <c r="N3512" s="33">
        <f>(_xlfn.XLOOKUP(Pipeline_tbl[[#This Row],[Rate_Code_Generalized]],Lookups!A:A,Lookups!B:B))*Pipeline_tbl[[#This Row],[Pipeline_Amount_USD]]</f>
        <v>2600</v>
      </c>
      <c r="O3512" t="str">
        <f>_xlfn.XLOOKUP(Pipeline_tbl[[#This Row],[Rep_ID]],Dim_Reps!A:A,Dim_Reps!B:B)</f>
        <v>Lucas Okafor</v>
      </c>
      <c r="P3512" t="str">
        <f>_xlfn.XLOOKUP(Pipeline_tbl[[#This Row],[Rep_ID]],Dim_Reps!A:A,Dim_Reps!C:C)</f>
        <v>SDR / Inside Sales Rep</v>
      </c>
      <c r="Q3512" t="str">
        <f>_xlfn.XLOOKUP(Pipeline_tbl[[#This Row],[Rep_ID]],Dim_Reps!A:A,Dim_Reps!D:D)</f>
        <v>Inside Sales</v>
      </c>
      <c r="R3512" t="str">
        <f>_xlfn.XLOOKUP(Pipeline_tbl[[#This Row],[Rep_ID]],Dim_Reps!A:A,Dim_Reps!E:E)</f>
        <v>APAC</v>
      </c>
      <c r="S3512" t="str">
        <f>_xlfn.XLOOKUP(Pipeline_tbl[[#This Row],[Created_Date]],Dim_Date!A:A,Dim_Date!H:H)</f>
        <v>Jun 2024</v>
      </c>
      <c r="T3512" t="str">
        <f>IF(Pipeline_tbl[[#This Row],[Closed_Date]]=0,"",(_xlfn.XLOOKUP(Pipeline_tbl[[#This Row],[Closed_Date]],Dim_Date!A:A,Dim_Date!H:H)))</f>
        <v>Jul 2024</v>
      </c>
      <c r="U3512">
        <f>IF(Pipeline_tbl[[#This Row],[Closed_Date]]=0,"",Pipeline_tbl[[#This Row],[Closed_Date]]-Pipeline_tbl[[#This Row],[Created_Date]])</f>
        <v>18</v>
      </c>
    </row>
    <row r="3513" spans="1:21" ht="15" customHeight="1" x14ac:dyDescent="0.2">
      <c r="A3513" t="s">
        <v>3819</v>
      </c>
      <c r="B3513" t="s">
        <v>199</v>
      </c>
      <c r="C3513" t="s">
        <v>53</v>
      </c>
      <c r="D3513" s="49">
        <v>45462</v>
      </c>
      <c r="E3513" s="49">
        <v>45464</v>
      </c>
      <c r="F3513" s="49">
        <v>45469</v>
      </c>
      <c r="G3513" s="49">
        <v>45475</v>
      </c>
      <c r="H3513" s="49">
        <v>45481</v>
      </c>
      <c r="I3513" s="49">
        <v>45484</v>
      </c>
      <c r="J3513" t="s">
        <v>47</v>
      </c>
      <c r="K3513" s="33">
        <v>2900</v>
      </c>
      <c r="M3513" t="str">
        <f>_xlfn.XLOOKUP(Pipeline_tbl[[#This Row],[Rep_ID]],Dim_Reps!A:A,Dim_Reps!K:K)</f>
        <v>EUR</v>
      </c>
      <c r="N3513" s="33">
        <f>(_xlfn.XLOOKUP(Pipeline_tbl[[#This Row],[Rate_Code_Generalized]],Lookups!A:A,Lookups!B:B))*Pipeline_tbl[[#This Row],[Pipeline_Amount_USD]]</f>
        <v>2900</v>
      </c>
      <c r="O3513" t="str">
        <f>_xlfn.XLOOKUP(Pipeline_tbl[[#This Row],[Rep_ID]],Dim_Reps!A:A,Dim_Reps!B:B)</f>
        <v>Lucas Okafor</v>
      </c>
      <c r="P3513" t="str">
        <f>_xlfn.XLOOKUP(Pipeline_tbl[[#This Row],[Rep_ID]],Dim_Reps!A:A,Dim_Reps!C:C)</f>
        <v>SDR / Inside Sales Rep</v>
      </c>
      <c r="Q3513" t="str">
        <f>_xlfn.XLOOKUP(Pipeline_tbl[[#This Row],[Rep_ID]],Dim_Reps!A:A,Dim_Reps!D:D)</f>
        <v>Inside Sales</v>
      </c>
      <c r="R3513" t="str">
        <f>_xlfn.XLOOKUP(Pipeline_tbl[[#This Row],[Rep_ID]],Dim_Reps!A:A,Dim_Reps!E:E)</f>
        <v>APAC</v>
      </c>
      <c r="S3513" t="str">
        <f>_xlfn.XLOOKUP(Pipeline_tbl[[#This Row],[Created_Date]],Dim_Date!A:A,Dim_Date!H:H)</f>
        <v>Jun 2024</v>
      </c>
      <c r="T3513" t="str">
        <f>IF(Pipeline_tbl[[#This Row],[Closed_Date]]=0,"",(_xlfn.XLOOKUP(Pipeline_tbl[[#This Row],[Closed_Date]],Dim_Date!A:A,Dim_Date!H:H)))</f>
        <v>Jul 2024</v>
      </c>
      <c r="U3513">
        <f>IF(Pipeline_tbl[[#This Row],[Closed_Date]]=0,"",Pipeline_tbl[[#This Row],[Closed_Date]]-Pipeline_tbl[[#This Row],[Created_Date]])</f>
        <v>22</v>
      </c>
    </row>
    <row r="3514" spans="1:21" ht="15" customHeight="1" x14ac:dyDescent="0.2">
      <c r="A3514" t="s">
        <v>3820</v>
      </c>
      <c r="B3514" t="s">
        <v>199</v>
      </c>
      <c r="C3514" t="s">
        <v>52</v>
      </c>
      <c r="D3514" s="49">
        <v>45463</v>
      </c>
      <c r="E3514" s="49">
        <v>45464</v>
      </c>
      <c r="F3514" s="49">
        <v>45467</v>
      </c>
      <c r="I3514" s="49">
        <v>45477</v>
      </c>
      <c r="J3514" t="s">
        <v>49</v>
      </c>
      <c r="K3514" s="33">
        <v>5500</v>
      </c>
      <c r="L3514" t="s">
        <v>60</v>
      </c>
      <c r="M3514" t="str">
        <f>_xlfn.XLOOKUP(Pipeline_tbl[[#This Row],[Rep_ID]],Dim_Reps!A:A,Dim_Reps!K:K)</f>
        <v>EUR</v>
      </c>
      <c r="N3514" s="33">
        <f>(_xlfn.XLOOKUP(Pipeline_tbl[[#This Row],[Rate_Code_Generalized]],Lookups!A:A,Lookups!B:B))*Pipeline_tbl[[#This Row],[Pipeline_Amount_USD]]</f>
        <v>5500</v>
      </c>
      <c r="O3514" t="str">
        <f>_xlfn.XLOOKUP(Pipeline_tbl[[#This Row],[Rep_ID]],Dim_Reps!A:A,Dim_Reps!B:B)</f>
        <v>Lucas Okafor</v>
      </c>
      <c r="P3514" t="str">
        <f>_xlfn.XLOOKUP(Pipeline_tbl[[#This Row],[Rep_ID]],Dim_Reps!A:A,Dim_Reps!C:C)</f>
        <v>SDR / Inside Sales Rep</v>
      </c>
      <c r="Q3514" t="str">
        <f>_xlfn.XLOOKUP(Pipeline_tbl[[#This Row],[Rep_ID]],Dim_Reps!A:A,Dim_Reps!D:D)</f>
        <v>Inside Sales</v>
      </c>
      <c r="R3514" t="str">
        <f>_xlfn.XLOOKUP(Pipeline_tbl[[#This Row],[Rep_ID]],Dim_Reps!A:A,Dim_Reps!E:E)</f>
        <v>APAC</v>
      </c>
      <c r="S3514" t="str">
        <f>_xlfn.XLOOKUP(Pipeline_tbl[[#This Row],[Created_Date]],Dim_Date!A:A,Dim_Date!H:H)</f>
        <v>Jun 2024</v>
      </c>
      <c r="T3514" t="str">
        <f>IF(Pipeline_tbl[[#This Row],[Closed_Date]]=0,"",(_xlfn.XLOOKUP(Pipeline_tbl[[#This Row],[Closed_Date]],Dim_Date!A:A,Dim_Date!H:H)))</f>
        <v>Jul 2024</v>
      </c>
      <c r="U3514">
        <f>IF(Pipeline_tbl[[#This Row],[Closed_Date]]=0,"",Pipeline_tbl[[#This Row],[Closed_Date]]-Pipeline_tbl[[#This Row],[Created_Date]])</f>
        <v>14</v>
      </c>
    </row>
    <row r="3515" spans="1:21" ht="15" customHeight="1" x14ac:dyDescent="0.2">
      <c r="A3515" t="s">
        <v>3821</v>
      </c>
      <c r="B3515" t="s">
        <v>199</v>
      </c>
      <c r="C3515" t="s">
        <v>52</v>
      </c>
      <c r="D3515" s="49">
        <v>45465</v>
      </c>
      <c r="E3515" s="49">
        <v>45467</v>
      </c>
      <c r="F3515" s="49">
        <v>45471</v>
      </c>
      <c r="I3515" s="49">
        <v>45485</v>
      </c>
      <c r="J3515" t="s">
        <v>49</v>
      </c>
      <c r="K3515" s="33">
        <v>3200</v>
      </c>
      <c r="L3515" t="s">
        <v>61</v>
      </c>
      <c r="M3515" t="str">
        <f>_xlfn.XLOOKUP(Pipeline_tbl[[#This Row],[Rep_ID]],Dim_Reps!A:A,Dim_Reps!K:K)</f>
        <v>EUR</v>
      </c>
      <c r="N3515" s="33">
        <f>(_xlfn.XLOOKUP(Pipeline_tbl[[#This Row],[Rate_Code_Generalized]],Lookups!A:A,Lookups!B:B))*Pipeline_tbl[[#This Row],[Pipeline_Amount_USD]]</f>
        <v>3200</v>
      </c>
      <c r="O3515" t="str">
        <f>_xlfn.XLOOKUP(Pipeline_tbl[[#This Row],[Rep_ID]],Dim_Reps!A:A,Dim_Reps!B:B)</f>
        <v>Lucas Okafor</v>
      </c>
      <c r="P3515" t="str">
        <f>_xlfn.XLOOKUP(Pipeline_tbl[[#This Row],[Rep_ID]],Dim_Reps!A:A,Dim_Reps!C:C)</f>
        <v>SDR / Inside Sales Rep</v>
      </c>
      <c r="Q3515" t="str">
        <f>_xlfn.XLOOKUP(Pipeline_tbl[[#This Row],[Rep_ID]],Dim_Reps!A:A,Dim_Reps!D:D)</f>
        <v>Inside Sales</v>
      </c>
      <c r="R3515" t="str">
        <f>_xlfn.XLOOKUP(Pipeline_tbl[[#This Row],[Rep_ID]],Dim_Reps!A:A,Dim_Reps!E:E)</f>
        <v>APAC</v>
      </c>
      <c r="S3515" t="str">
        <f>_xlfn.XLOOKUP(Pipeline_tbl[[#This Row],[Created_Date]],Dim_Date!A:A,Dim_Date!H:H)</f>
        <v>Jun 2024</v>
      </c>
      <c r="T3515" t="str">
        <f>IF(Pipeline_tbl[[#This Row],[Closed_Date]]=0,"",(_xlfn.XLOOKUP(Pipeline_tbl[[#This Row],[Closed_Date]],Dim_Date!A:A,Dim_Date!H:H)))</f>
        <v>Jul 2024</v>
      </c>
      <c r="U3515">
        <f>IF(Pipeline_tbl[[#This Row],[Closed_Date]]=0,"",Pipeline_tbl[[#This Row],[Closed_Date]]-Pipeline_tbl[[#This Row],[Created_Date]])</f>
        <v>20</v>
      </c>
    </row>
    <row r="3516" spans="1:21" ht="15" customHeight="1" x14ac:dyDescent="0.2">
      <c r="A3516" t="s">
        <v>3822</v>
      </c>
      <c r="B3516" t="s">
        <v>199</v>
      </c>
      <c r="C3516" t="s">
        <v>52</v>
      </c>
      <c r="D3516" s="49">
        <v>45459</v>
      </c>
      <c r="E3516" s="49">
        <v>45461</v>
      </c>
      <c r="F3516" s="49">
        <v>45465</v>
      </c>
      <c r="G3516" s="49">
        <v>45470</v>
      </c>
      <c r="I3516" s="49">
        <v>45478</v>
      </c>
      <c r="J3516" t="s">
        <v>49</v>
      </c>
      <c r="K3516" s="33">
        <v>4200</v>
      </c>
      <c r="L3516" t="s">
        <v>61</v>
      </c>
      <c r="M3516" t="str">
        <f>_xlfn.XLOOKUP(Pipeline_tbl[[#This Row],[Rep_ID]],Dim_Reps!A:A,Dim_Reps!K:K)</f>
        <v>EUR</v>
      </c>
      <c r="N3516" s="33">
        <f>(_xlfn.XLOOKUP(Pipeline_tbl[[#This Row],[Rate_Code_Generalized]],Lookups!A:A,Lookups!B:B))*Pipeline_tbl[[#This Row],[Pipeline_Amount_USD]]</f>
        <v>4200</v>
      </c>
      <c r="O3516" t="str">
        <f>_xlfn.XLOOKUP(Pipeline_tbl[[#This Row],[Rep_ID]],Dim_Reps!A:A,Dim_Reps!B:B)</f>
        <v>Lucas Okafor</v>
      </c>
      <c r="P3516" t="str">
        <f>_xlfn.XLOOKUP(Pipeline_tbl[[#This Row],[Rep_ID]],Dim_Reps!A:A,Dim_Reps!C:C)</f>
        <v>SDR / Inside Sales Rep</v>
      </c>
      <c r="Q3516" t="str">
        <f>_xlfn.XLOOKUP(Pipeline_tbl[[#This Row],[Rep_ID]],Dim_Reps!A:A,Dim_Reps!D:D)</f>
        <v>Inside Sales</v>
      </c>
      <c r="R3516" t="str">
        <f>_xlfn.XLOOKUP(Pipeline_tbl[[#This Row],[Rep_ID]],Dim_Reps!A:A,Dim_Reps!E:E)</f>
        <v>APAC</v>
      </c>
      <c r="S3516" t="str">
        <f>_xlfn.XLOOKUP(Pipeline_tbl[[#This Row],[Created_Date]],Dim_Date!A:A,Dim_Date!H:H)</f>
        <v>Jun 2024</v>
      </c>
      <c r="T3516" t="str">
        <f>IF(Pipeline_tbl[[#This Row],[Closed_Date]]=0,"",(_xlfn.XLOOKUP(Pipeline_tbl[[#This Row],[Closed_Date]],Dim_Date!A:A,Dim_Date!H:H)))</f>
        <v>Jul 2024</v>
      </c>
      <c r="U3516">
        <f>IF(Pipeline_tbl[[#This Row],[Closed_Date]]=0,"",Pipeline_tbl[[#This Row],[Closed_Date]]-Pipeline_tbl[[#This Row],[Created_Date]])</f>
        <v>19</v>
      </c>
    </row>
    <row r="3517" spans="1:21" ht="15" customHeight="1" x14ac:dyDescent="0.2">
      <c r="A3517" t="s">
        <v>3823</v>
      </c>
      <c r="B3517" t="s">
        <v>181</v>
      </c>
      <c r="C3517" t="s">
        <v>52</v>
      </c>
      <c r="D3517" s="49">
        <v>45465</v>
      </c>
      <c r="E3517" s="49">
        <v>45468</v>
      </c>
      <c r="F3517" s="49">
        <v>45475</v>
      </c>
      <c r="G3517" s="49">
        <v>45485</v>
      </c>
      <c r="H3517" s="49">
        <v>45494</v>
      </c>
      <c r="I3517" s="49">
        <v>45499</v>
      </c>
      <c r="J3517" t="s">
        <v>49</v>
      </c>
      <c r="K3517" s="33">
        <v>29400</v>
      </c>
      <c r="L3517" t="s">
        <v>63</v>
      </c>
      <c r="M3517" t="str">
        <f>_xlfn.XLOOKUP(Pipeline_tbl[[#This Row],[Rep_ID]],Dim_Reps!A:A,Dim_Reps!K:K)</f>
        <v>USD</v>
      </c>
      <c r="N3517" s="33">
        <f>(_xlfn.XLOOKUP(Pipeline_tbl[[#This Row],[Rate_Code_Generalized]],Lookups!A:A,Lookups!B:B))*Pipeline_tbl[[#This Row],[Pipeline_Amount_USD]]</f>
        <v>34230.42</v>
      </c>
      <c r="O3517" t="str">
        <f>_xlfn.XLOOKUP(Pipeline_tbl[[#This Row],[Rep_ID]],Dim_Reps!A:A,Dim_Reps!B:B)</f>
        <v>Milo Weber</v>
      </c>
      <c r="P3517" t="str">
        <f>_xlfn.XLOOKUP(Pipeline_tbl[[#This Row],[Rep_ID]],Dim_Reps!A:A,Dim_Reps!C:C)</f>
        <v>Enterprise AE</v>
      </c>
      <c r="Q3517" t="str">
        <f>_xlfn.XLOOKUP(Pipeline_tbl[[#This Row],[Rep_ID]],Dim_Reps!A:A,Dim_Reps!D:D)</f>
        <v>Enterprise</v>
      </c>
      <c r="R3517" t="str">
        <f>_xlfn.XLOOKUP(Pipeline_tbl[[#This Row],[Rep_ID]],Dim_Reps!A:A,Dim_Reps!E:E)</f>
        <v>NAMER</v>
      </c>
      <c r="S3517" t="str">
        <f>_xlfn.XLOOKUP(Pipeline_tbl[[#This Row],[Created_Date]],Dim_Date!A:A,Dim_Date!H:H)</f>
        <v>Jun 2024</v>
      </c>
      <c r="T3517" t="str">
        <f>IF(Pipeline_tbl[[#This Row],[Closed_Date]]=0,"",(_xlfn.XLOOKUP(Pipeline_tbl[[#This Row],[Closed_Date]],Dim_Date!A:A,Dim_Date!H:H)))</f>
        <v>Jul 2024</v>
      </c>
      <c r="U3517">
        <f>IF(Pipeline_tbl[[#This Row],[Closed_Date]]=0,"",Pipeline_tbl[[#This Row],[Closed_Date]]-Pipeline_tbl[[#This Row],[Created_Date]])</f>
        <v>34</v>
      </c>
    </row>
    <row r="3518" spans="1:21" ht="15" customHeight="1" x14ac:dyDescent="0.2">
      <c r="A3518" t="s">
        <v>3824</v>
      </c>
      <c r="B3518" t="s">
        <v>205</v>
      </c>
      <c r="C3518" t="s">
        <v>55</v>
      </c>
      <c r="D3518" s="49">
        <v>45473</v>
      </c>
      <c r="E3518" s="49">
        <v>45475</v>
      </c>
      <c r="F3518" s="49">
        <v>45479</v>
      </c>
      <c r="I3518" s="49">
        <v>45494</v>
      </c>
      <c r="J3518" t="s">
        <v>49</v>
      </c>
      <c r="K3518" s="33">
        <v>5100</v>
      </c>
      <c r="L3518" t="s">
        <v>62</v>
      </c>
      <c r="M3518" t="str">
        <f>_xlfn.XLOOKUP(Pipeline_tbl[[#This Row],[Rep_ID]],Dim_Reps!A:A,Dim_Reps!K:K)</f>
        <v>EUR</v>
      </c>
      <c r="N3518" s="33">
        <f>(_xlfn.XLOOKUP(Pipeline_tbl[[#This Row],[Rate_Code_Generalized]],Lookups!A:A,Lookups!B:B))*Pipeline_tbl[[#This Row],[Pipeline_Amount_USD]]</f>
        <v>5100</v>
      </c>
      <c r="O3518" t="str">
        <f>_xlfn.XLOOKUP(Pipeline_tbl[[#This Row],[Rep_ID]],Dim_Reps!A:A,Dim_Reps!B:B)</f>
        <v>Karim Alvarez</v>
      </c>
      <c r="P3518" t="str">
        <f>_xlfn.XLOOKUP(Pipeline_tbl[[#This Row],[Rep_ID]],Dim_Reps!A:A,Dim_Reps!C:C)</f>
        <v>SDR / Inside Sales Rep</v>
      </c>
      <c r="Q3518" t="str">
        <f>_xlfn.XLOOKUP(Pipeline_tbl[[#This Row],[Rep_ID]],Dim_Reps!A:A,Dim_Reps!D:D)</f>
        <v>Inside Sales</v>
      </c>
      <c r="R3518" t="str">
        <f>_xlfn.XLOOKUP(Pipeline_tbl[[#This Row],[Rep_ID]],Dim_Reps!A:A,Dim_Reps!E:E)</f>
        <v>EMEA</v>
      </c>
      <c r="S3518" t="str">
        <f>_xlfn.XLOOKUP(Pipeline_tbl[[#This Row],[Created_Date]],Dim_Date!A:A,Dim_Date!H:H)</f>
        <v>Jun 2024</v>
      </c>
      <c r="T3518" t="str">
        <f>IF(Pipeline_tbl[[#This Row],[Closed_Date]]=0,"",(_xlfn.XLOOKUP(Pipeline_tbl[[#This Row],[Closed_Date]],Dim_Date!A:A,Dim_Date!H:H)))</f>
        <v>Jul 2024</v>
      </c>
      <c r="U3518">
        <f>IF(Pipeline_tbl[[#This Row],[Closed_Date]]=0,"",Pipeline_tbl[[#This Row],[Closed_Date]]-Pipeline_tbl[[#This Row],[Created_Date]])</f>
        <v>21</v>
      </c>
    </row>
    <row r="3519" spans="1:21" ht="15" customHeight="1" x14ac:dyDescent="0.2">
      <c r="A3519" t="s">
        <v>3825</v>
      </c>
      <c r="B3519" t="s">
        <v>205</v>
      </c>
      <c r="C3519" t="s">
        <v>56</v>
      </c>
      <c r="D3519" s="49">
        <v>45471</v>
      </c>
      <c r="E3519" s="49">
        <v>45473</v>
      </c>
      <c r="F3519" s="49">
        <v>45479</v>
      </c>
      <c r="G3519" s="49">
        <v>45486</v>
      </c>
      <c r="H3519" s="49">
        <v>45492</v>
      </c>
      <c r="I3519" s="49">
        <v>45496</v>
      </c>
      <c r="J3519" t="s">
        <v>49</v>
      </c>
      <c r="K3519" s="33">
        <v>4200</v>
      </c>
      <c r="L3519" t="s">
        <v>64</v>
      </c>
      <c r="M3519" t="str">
        <f>_xlfn.XLOOKUP(Pipeline_tbl[[#This Row],[Rep_ID]],Dim_Reps!A:A,Dim_Reps!K:K)</f>
        <v>EUR</v>
      </c>
      <c r="N3519" s="33">
        <f>(_xlfn.XLOOKUP(Pipeline_tbl[[#This Row],[Rate_Code_Generalized]],Lookups!A:A,Lookups!B:B))*Pipeline_tbl[[#This Row],[Pipeline_Amount_USD]]</f>
        <v>4200</v>
      </c>
      <c r="O3519" t="str">
        <f>_xlfn.XLOOKUP(Pipeline_tbl[[#This Row],[Rep_ID]],Dim_Reps!A:A,Dim_Reps!B:B)</f>
        <v>Karim Alvarez</v>
      </c>
      <c r="P3519" t="str">
        <f>_xlfn.XLOOKUP(Pipeline_tbl[[#This Row],[Rep_ID]],Dim_Reps!A:A,Dim_Reps!C:C)</f>
        <v>SDR / Inside Sales Rep</v>
      </c>
      <c r="Q3519" t="str">
        <f>_xlfn.XLOOKUP(Pipeline_tbl[[#This Row],[Rep_ID]],Dim_Reps!A:A,Dim_Reps!D:D)</f>
        <v>Inside Sales</v>
      </c>
      <c r="R3519" t="str">
        <f>_xlfn.XLOOKUP(Pipeline_tbl[[#This Row],[Rep_ID]],Dim_Reps!A:A,Dim_Reps!E:E)</f>
        <v>EMEA</v>
      </c>
      <c r="S3519" t="str">
        <f>_xlfn.XLOOKUP(Pipeline_tbl[[#This Row],[Created_Date]],Dim_Date!A:A,Dim_Date!H:H)</f>
        <v>Jun 2024</v>
      </c>
      <c r="T3519" t="str">
        <f>IF(Pipeline_tbl[[#This Row],[Closed_Date]]=0,"",(_xlfn.XLOOKUP(Pipeline_tbl[[#This Row],[Closed_Date]],Dim_Date!A:A,Dim_Date!H:H)))</f>
        <v>Jul 2024</v>
      </c>
      <c r="U3519">
        <f>IF(Pipeline_tbl[[#This Row],[Closed_Date]]=0,"",Pipeline_tbl[[#This Row],[Closed_Date]]-Pipeline_tbl[[#This Row],[Created_Date]])</f>
        <v>25</v>
      </c>
    </row>
    <row r="3520" spans="1:21" ht="15" customHeight="1" x14ac:dyDescent="0.2">
      <c r="A3520" t="s">
        <v>3826</v>
      </c>
      <c r="B3520" t="s">
        <v>205</v>
      </c>
      <c r="C3520" t="s">
        <v>53</v>
      </c>
      <c r="D3520" s="49">
        <v>45453</v>
      </c>
      <c r="E3520" s="49">
        <v>45455</v>
      </c>
      <c r="F3520" s="49">
        <v>45460</v>
      </c>
      <c r="G3520" s="49">
        <v>45466</v>
      </c>
      <c r="H3520" s="49">
        <v>45472</v>
      </c>
      <c r="I3520" s="49">
        <v>45475</v>
      </c>
      <c r="J3520" t="s">
        <v>47</v>
      </c>
      <c r="K3520" s="33">
        <v>5400</v>
      </c>
      <c r="M3520" t="str">
        <f>_xlfn.XLOOKUP(Pipeline_tbl[[#This Row],[Rep_ID]],Dim_Reps!A:A,Dim_Reps!K:K)</f>
        <v>EUR</v>
      </c>
      <c r="N3520" s="33">
        <f>(_xlfn.XLOOKUP(Pipeline_tbl[[#This Row],[Rate_Code_Generalized]],Lookups!A:A,Lookups!B:B))*Pipeline_tbl[[#This Row],[Pipeline_Amount_USD]]</f>
        <v>5400</v>
      </c>
      <c r="O3520" t="str">
        <f>_xlfn.XLOOKUP(Pipeline_tbl[[#This Row],[Rep_ID]],Dim_Reps!A:A,Dim_Reps!B:B)</f>
        <v>Karim Alvarez</v>
      </c>
      <c r="P3520" t="str">
        <f>_xlfn.XLOOKUP(Pipeline_tbl[[#This Row],[Rep_ID]],Dim_Reps!A:A,Dim_Reps!C:C)</f>
        <v>SDR / Inside Sales Rep</v>
      </c>
      <c r="Q3520" t="str">
        <f>_xlfn.XLOOKUP(Pipeline_tbl[[#This Row],[Rep_ID]],Dim_Reps!A:A,Dim_Reps!D:D)</f>
        <v>Inside Sales</v>
      </c>
      <c r="R3520" t="str">
        <f>_xlfn.XLOOKUP(Pipeline_tbl[[#This Row],[Rep_ID]],Dim_Reps!A:A,Dim_Reps!E:E)</f>
        <v>EMEA</v>
      </c>
      <c r="S3520" t="str">
        <f>_xlfn.XLOOKUP(Pipeline_tbl[[#This Row],[Created_Date]],Dim_Date!A:A,Dim_Date!H:H)</f>
        <v>Jun 2024</v>
      </c>
      <c r="T3520" t="str">
        <f>IF(Pipeline_tbl[[#This Row],[Closed_Date]]=0,"",(_xlfn.XLOOKUP(Pipeline_tbl[[#This Row],[Closed_Date]],Dim_Date!A:A,Dim_Date!H:H)))</f>
        <v>Jul 2024</v>
      </c>
      <c r="U3520">
        <f>IF(Pipeline_tbl[[#This Row],[Closed_Date]]=0,"",Pipeline_tbl[[#This Row],[Closed_Date]]-Pipeline_tbl[[#This Row],[Created_Date]])</f>
        <v>22</v>
      </c>
    </row>
    <row r="3521" spans="1:21" ht="15" customHeight="1" x14ac:dyDescent="0.2">
      <c r="A3521" t="s">
        <v>3827</v>
      </c>
      <c r="B3521" t="s">
        <v>205</v>
      </c>
      <c r="C3521" t="s">
        <v>52</v>
      </c>
      <c r="D3521" s="49">
        <v>45464</v>
      </c>
      <c r="E3521" s="49">
        <v>45466</v>
      </c>
      <c r="F3521" s="49">
        <v>45469</v>
      </c>
      <c r="I3521" s="49">
        <v>45481</v>
      </c>
      <c r="J3521" t="s">
        <v>49</v>
      </c>
      <c r="K3521" s="33">
        <v>3400</v>
      </c>
      <c r="L3521" t="s">
        <v>61</v>
      </c>
      <c r="M3521" t="str">
        <f>_xlfn.XLOOKUP(Pipeline_tbl[[#This Row],[Rep_ID]],Dim_Reps!A:A,Dim_Reps!K:K)</f>
        <v>EUR</v>
      </c>
      <c r="N3521" s="33">
        <f>(_xlfn.XLOOKUP(Pipeline_tbl[[#This Row],[Rate_Code_Generalized]],Lookups!A:A,Lookups!B:B))*Pipeline_tbl[[#This Row],[Pipeline_Amount_USD]]</f>
        <v>3400</v>
      </c>
      <c r="O3521" t="str">
        <f>_xlfn.XLOOKUP(Pipeline_tbl[[#This Row],[Rep_ID]],Dim_Reps!A:A,Dim_Reps!B:B)</f>
        <v>Karim Alvarez</v>
      </c>
      <c r="P3521" t="str">
        <f>_xlfn.XLOOKUP(Pipeline_tbl[[#This Row],[Rep_ID]],Dim_Reps!A:A,Dim_Reps!C:C)</f>
        <v>SDR / Inside Sales Rep</v>
      </c>
      <c r="Q3521" t="str">
        <f>_xlfn.XLOOKUP(Pipeline_tbl[[#This Row],[Rep_ID]],Dim_Reps!A:A,Dim_Reps!D:D)</f>
        <v>Inside Sales</v>
      </c>
      <c r="R3521" t="str">
        <f>_xlfn.XLOOKUP(Pipeline_tbl[[#This Row],[Rep_ID]],Dim_Reps!A:A,Dim_Reps!E:E)</f>
        <v>EMEA</v>
      </c>
      <c r="S3521" t="str">
        <f>_xlfn.XLOOKUP(Pipeline_tbl[[#This Row],[Created_Date]],Dim_Date!A:A,Dim_Date!H:H)</f>
        <v>Jun 2024</v>
      </c>
      <c r="T3521" t="str">
        <f>IF(Pipeline_tbl[[#This Row],[Closed_Date]]=0,"",(_xlfn.XLOOKUP(Pipeline_tbl[[#This Row],[Closed_Date]],Dim_Date!A:A,Dim_Date!H:H)))</f>
        <v>Jul 2024</v>
      </c>
      <c r="U3521">
        <f>IF(Pipeline_tbl[[#This Row],[Closed_Date]]=0,"",Pipeline_tbl[[#This Row],[Closed_Date]]-Pipeline_tbl[[#This Row],[Created_Date]])</f>
        <v>17</v>
      </c>
    </row>
    <row r="3522" spans="1:21" ht="15" customHeight="1" x14ac:dyDescent="0.2">
      <c r="A3522" t="s">
        <v>3828</v>
      </c>
      <c r="B3522" t="s">
        <v>205</v>
      </c>
      <c r="C3522" t="s">
        <v>55</v>
      </c>
      <c r="D3522" s="49">
        <v>45445</v>
      </c>
      <c r="E3522" s="49">
        <v>45448</v>
      </c>
      <c r="F3522" s="49">
        <v>45454</v>
      </c>
      <c r="G3522" s="49">
        <v>45462</v>
      </c>
      <c r="H3522" s="49">
        <v>45470</v>
      </c>
      <c r="I3522" s="49">
        <v>45474</v>
      </c>
      <c r="J3522" t="s">
        <v>49</v>
      </c>
      <c r="K3522" s="33">
        <v>1600</v>
      </c>
      <c r="L3522" t="s">
        <v>64</v>
      </c>
      <c r="M3522" t="str">
        <f>_xlfn.XLOOKUP(Pipeline_tbl[[#This Row],[Rep_ID]],Dim_Reps!A:A,Dim_Reps!K:K)</f>
        <v>EUR</v>
      </c>
      <c r="N3522" s="33">
        <f>(_xlfn.XLOOKUP(Pipeline_tbl[[#This Row],[Rate_Code_Generalized]],Lookups!A:A,Lookups!B:B))*Pipeline_tbl[[#This Row],[Pipeline_Amount_USD]]</f>
        <v>1600</v>
      </c>
      <c r="O3522" t="str">
        <f>_xlfn.XLOOKUP(Pipeline_tbl[[#This Row],[Rep_ID]],Dim_Reps!A:A,Dim_Reps!B:B)</f>
        <v>Karim Alvarez</v>
      </c>
      <c r="P3522" t="str">
        <f>_xlfn.XLOOKUP(Pipeline_tbl[[#This Row],[Rep_ID]],Dim_Reps!A:A,Dim_Reps!C:C)</f>
        <v>SDR / Inside Sales Rep</v>
      </c>
      <c r="Q3522" t="str">
        <f>_xlfn.XLOOKUP(Pipeline_tbl[[#This Row],[Rep_ID]],Dim_Reps!A:A,Dim_Reps!D:D)</f>
        <v>Inside Sales</v>
      </c>
      <c r="R3522" t="str">
        <f>_xlfn.XLOOKUP(Pipeline_tbl[[#This Row],[Rep_ID]],Dim_Reps!A:A,Dim_Reps!E:E)</f>
        <v>EMEA</v>
      </c>
      <c r="S3522" t="str">
        <f>_xlfn.XLOOKUP(Pipeline_tbl[[#This Row],[Created_Date]],Dim_Date!A:A,Dim_Date!H:H)</f>
        <v>Jun 2024</v>
      </c>
      <c r="T3522" t="str">
        <f>IF(Pipeline_tbl[[#This Row],[Closed_Date]]=0,"",(_xlfn.XLOOKUP(Pipeline_tbl[[#This Row],[Closed_Date]],Dim_Date!A:A,Dim_Date!H:H)))</f>
        <v>Jul 2024</v>
      </c>
      <c r="U3522">
        <f>IF(Pipeline_tbl[[#This Row],[Closed_Date]]=0,"",Pipeline_tbl[[#This Row],[Closed_Date]]-Pipeline_tbl[[#This Row],[Created_Date]])</f>
        <v>29</v>
      </c>
    </row>
    <row r="3523" spans="1:21" ht="15" customHeight="1" x14ac:dyDescent="0.2">
      <c r="A3523" t="s">
        <v>3829</v>
      </c>
      <c r="B3523" t="s">
        <v>205</v>
      </c>
      <c r="C3523" t="s">
        <v>54</v>
      </c>
      <c r="D3523" s="49">
        <v>45471</v>
      </c>
      <c r="E3523" s="49">
        <v>45473</v>
      </c>
      <c r="F3523" s="49">
        <v>45478</v>
      </c>
      <c r="G3523" s="49">
        <v>45484</v>
      </c>
      <c r="H3523" s="49">
        <v>45490</v>
      </c>
      <c r="I3523" s="49">
        <v>45493</v>
      </c>
      <c r="J3523" t="s">
        <v>49</v>
      </c>
      <c r="K3523" s="33">
        <v>4500</v>
      </c>
      <c r="L3523" t="s">
        <v>60</v>
      </c>
      <c r="M3523" t="str">
        <f>_xlfn.XLOOKUP(Pipeline_tbl[[#This Row],[Rep_ID]],Dim_Reps!A:A,Dim_Reps!K:K)</f>
        <v>EUR</v>
      </c>
      <c r="N3523" s="33">
        <f>(_xlfn.XLOOKUP(Pipeline_tbl[[#This Row],[Rate_Code_Generalized]],Lookups!A:A,Lookups!B:B))*Pipeline_tbl[[#This Row],[Pipeline_Amount_USD]]</f>
        <v>4500</v>
      </c>
      <c r="O3523" t="str">
        <f>_xlfn.XLOOKUP(Pipeline_tbl[[#This Row],[Rep_ID]],Dim_Reps!A:A,Dim_Reps!B:B)</f>
        <v>Karim Alvarez</v>
      </c>
      <c r="P3523" t="str">
        <f>_xlfn.XLOOKUP(Pipeline_tbl[[#This Row],[Rep_ID]],Dim_Reps!A:A,Dim_Reps!C:C)</f>
        <v>SDR / Inside Sales Rep</v>
      </c>
      <c r="Q3523" t="str">
        <f>_xlfn.XLOOKUP(Pipeline_tbl[[#This Row],[Rep_ID]],Dim_Reps!A:A,Dim_Reps!D:D)</f>
        <v>Inside Sales</v>
      </c>
      <c r="R3523" t="str">
        <f>_xlfn.XLOOKUP(Pipeline_tbl[[#This Row],[Rep_ID]],Dim_Reps!A:A,Dim_Reps!E:E)</f>
        <v>EMEA</v>
      </c>
      <c r="S3523" t="str">
        <f>_xlfn.XLOOKUP(Pipeline_tbl[[#This Row],[Created_Date]],Dim_Date!A:A,Dim_Date!H:H)</f>
        <v>Jun 2024</v>
      </c>
      <c r="T3523" t="str">
        <f>IF(Pipeline_tbl[[#This Row],[Closed_Date]]=0,"",(_xlfn.XLOOKUP(Pipeline_tbl[[#This Row],[Closed_Date]],Dim_Date!A:A,Dim_Date!H:H)))</f>
        <v>Jul 2024</v>
      </c>
      <c r="U3523">
        <f>IF(Pipeline_tbl[[#This Row],[Closed_Date]]=0,"",Pipeline_tbl[[#This Row],[Closed_Date]]-Pipeline_tbl[[#This Row],[Created_Date]])</f>
        <v>22</v>
      </c>
    </row>
    <row r="3524" spans="1:21" ht="15" customHeight="1" x14ac:dyDescent="0.2">
      <c r="A3524" t="s">
        <v>3830</v>
      </c>
      <c r="B3524" t="s">
        <v>205</v>
      </c>
      <c r="C3524" t="s">
        <v>54</v>
      </c>
      <c r="D3524" s="49">
        <v>45457</v>
      </c>
      <c r="E3524" s="49">
        <v>45459</v>
      </c>
      <c r="F3524" s="49">
        <v>45463</v>
      </c>
      <c r="I3524" s="49">
        <v>45476</v>
      </c>
      <c r="J3524" t="s">
        <v>49</v>
      </c>
      <c r="K3524" s="33">
        <v>1500</v>
      </c>
      <c r="L3524" t="s">
        <v>62</v>
      </c>
      <c r="M3524" t="str">
        <f>_xlfn.XLOOKUP(Pipeline_tbl[[#This Row],[Rep_ID]],Dim_Reps!A:A,Dim_Reps!K:K)</f>
        <v>EUR</v>
      </c>
      <c r="N3524" s="33">
        <f>(_xlfn.XLOOKUP(Pipeline_tbl[[#This Row],[Rate_Code_Generalized]],Lookups!A:A,Lookups!B:B))*Pipeline_tbl[[#This Row],[Pipeline_Amount_USD]]</f>
        <v>1500</v>
      </c>
      <c r="O3524" t="str">
        <f>_xlfn.XLOOKUP(Pipeline_tbl[[#This Row],[Rep_ID]],Dim_Reps!A:A,Dim_Reps!B:B)</f>
        <v>Karim Alvarez</v>
      </c>
      <c r="P3524" t="str">
        <f>_xlfn.XLOOKUP(Pipeline_tbl[[#This Row],[Rep_ID]],Dim_Reps!A:A,Dim_Reps!C:C)</f>
        <v>SDR / Inside Sales Rep</v>
      </c>
      <c r="Q3524" t="str">
        <f>_xlfn.XLOOKUP(Pipeline_tbl[[#This Row],[Rep_ID]],Dim_Reps!A:A,Dim_Reps!D:D)</f>
        <v>Inside Sales</v>
      </c>
      <c r="R3524" t="str">
        <f>_xlfn.XLOOKUP(Pipeline_tbl[[#This Row],[Rep_ID]],Dim_Reps!A:A,Dim_Reps!E:E)</f>
        <v>EMEA</v>
      </c>
      <c r="S3524" t="str">
        <f>_xlfn.XLOOKUP(Pipeline_tbl[[#This Row],[Created_Date]],Dim_Date!A:A,Dim_Date!H:H)</f>
        <v>Jun 2024</v>
      </c>
      <c r="T3524" t="str">
        <f>IF(Pipeline_tbl[[#This Row],[Closed_Date]]=0,"",(_xlfn.XLOOKUP(Pipeline_tbl[[#This Row],[Closed_Date]],Dim_Date!A:A,Dim_Date!H:H)))</f>
        <v>Jul 2024</v>
      </c>
      <c r="U3524">
        <f>IF(Pipeline_tbl[[#This Row],[Closed_Date]]=0,"",Pipeline_tbl[[#This Row],[Closed_Date]]-Pipeline_tbl[[#This Row],[Created_Date]])</f>
        <v>19</v>
      </c>
    </row>
    <row r="3525" spans="1:21" ht="15" customHeight="1" x14ac:dyDescent="0.2">
      <c r="A3525" t="s">
        <v>3831</v>
      </c>
      <c r="B3525" t="s">
        <v>207</v>
      </c>
      <c r="C3525" t="s">
        <v>53</v>
      </c>
      <c r="D3525" s="49">
        <v>45468</v>
      </c>
      <c r="E3525" s="49">
        <v>45469</v>
      </c>
      <c r="F3525" s="49">
        <v>45472</v>
      </c>
      <c r="G3525" s="49">
        <v>45476</v>
      </c>
      <c r="H3525" s="49">
        <v>45480</v>
      </c>
      <c r="I3525" s="49">
        <v>45482</v>
      </c>
      <c r="J3525" t="s">
        <v>49</v>
      </c>
      <c r="K3525" s="33">
        <v>4600</v>
      </c>
      <c r="L3525" t="s">
        <v>60</v>
      </c>
      <c r="M3525" t="str">
        <f>_xlfn.XLOOKUP(Pipeline_tbl[[#This Row],[Rep_ID]],Dim_Reps!A:A,Dim_Reps!K:K)</f>
        <v>EUR</v>
      </c>
      <c r="N3525" s="33">
        <f>(_xlfn.XLOOKUP(Pipeline_tbl[[#This Row],[Rate_Code_Generalized]],Lookups!A:A,Lookups!B:B))*Pipeline_tbl[[#This Row],[Pipeline_Amount_USD]]</f>
        <v>4600</v>
      </c>
      <c r="O3525" t="str">
        <f>_xlfn.XLOOKUP(Pipeline_tbl[[#This Row],[Rep_ID]],Dim_Reps!A:A,Dim_Reps!B:B)</f>
        <v>Sam Castro</v>
      </c>
      <c r="P3525" t="str">
        <f>_xlfn.XLOOKUP(Pipeline_tbl[[#This Row],[Rep_ID]],Dim_Reps!A:A,Dim_Reps!C:C)</f>
        <v>SDR / Inside Sales Rep</v>
      </c>
      <c r="Q3525" t="str">
        <f>_xlfn.XLOOKUP(Pipeline_tbl[[#This Row],[Rep_ID]],Dim_Reps!A:A,Dim_Reps!D:D)</f>
        <v>Inside Sales</v>
      </c>
      <c r="R3525" t="str">
        <f>_xlfn.XLOOKUP(Pipeline_tbl[[#This Row],[Rep_ID]],Dim_Reps!A:A,Dim_Reps!E:E)</f>
        <v>APAC</v>
      </c>
      <c r="S3525" t="str">
        <f>_xlfn.XLOOKUP(Pipeline_tbl[[#This Row],[Created_Date]],Dim_Date!A:A,Dim_Date!H:H)</f>
        <v>Jun 2024</v>
      </c>
      <c r="T3525" t="str">
        <f>IF(Pipeline_tbl[[#This Row],[Closed_Date]]=0,"",(_xlfn.XLOOKUP(Pipeline_tbl[[#This Row],[Closed_Date]],Dim_Date!A:A,Dim_Date!H:H)))</f>
        <v>Jul 2024</v>
      </c>
      <c r="U3525">
        <f>IF(Pipeline_tbl[[#This Row],[Closed_Date]]=0,"",Pipeline_tbl[[#This Row],[Closed_Date]]-Pipeline_tbl[[#This Row],[Created_Date]])</f>
        <v>14</v>
      </c>
    </row>
    <row r="3526" spans="1:21" ht="15" customHeight="1" x14ac:dyDescent="0.2">
      <c r="A3526" t="s">
        <v>3832</v>
      </c>
      <c r="B3526" t="s">
        <v>207</v>
      </c>
      <c r="C3526" t="s">
        <v>52</v>
      </c>
      <c r="D3526" s="49">
        <v>45460</v>
      </c>
      <c r="E3526" s="49">
        <v>45462</v>
      </c>
      <c r="F3526" s="49">
        <v>45465</v>
      </c>
      <c r="I3526" s="49">
        <v>45478</v>
      </c>
      <c r="J3526" t="s">
        <v>49</v>
      </c>
      <c r="K3526" s="33">
        <v>3700</v>
      </c>
      <c r="L3526" t="s">
        <v>64</v>
      </c>
      <c r="M3526" t="str">
        <f>_xlfn.XLOOKUP(Pipeline_tbl[[#This Row],[Rep_ID]],Dim_Reps!A:A,Dim_Reps!K:K)</f>
        <v>EUR</v>
      </c>
      <c r="N3526" s="33">
        <f>(_xlfn.XLOOKUP(Pipeline_tbl[[#This Row],[Rate_Code_Generalized]],Lookups!A:A,Lookups!B:B))*Pipeline_tbl[[#This Row],[Pipeline_Amount_USD]]</f>
        <v>3700</v>
      </c>
      <c r="O3526" t="str">
        <f>_xlfn.XLOOKUP(Pipeline_tbl[[#This Row],[Rep_ID]],Dim_Reps!A:A,Dim_Reps!B:B)</f>
        <v>Sam Castro</v>
      </c>
      <c r="P3526" t="str">
        <f>_xlfn.XLOOKUP(Pipeline_tbl[[#This Row],[Rep_ID]],Dim_Reps!A:A,Dim_Reps!C:C)</f>
        <v>SDR / Inside Sales Rep</v>
      </c>
      <c r="Q3526" t="str">
        <f>_xlfn.XLOOKUP(Pipeline_tbl[[#This Row],[Rep_ID]],Dim_Reps!A:A,Dim_Reps!D:D)</f>
        <v>Inside Sales</v>
      </c>
      <c r="R3526" t="str">
        <f>_xlfn.XLOOKUP(Pipeline_tbl[[#This Row],[Rep_ID]],Dim_Reps!A:A,Dim_Reps!E:E)</f>
        <v>APAC</v>
      </c>
      <c r="S3526" t="str">
        <f>_xlfn.XLOOKUP(Pipeline_tbl[[#This Row],[Created_Date]],Dim_Date!A:A,Dim_Date!H:H)</f>
        <v>Jun 2024</v>
      </c>
      <c r="T3526" t="str">
        <f>IF(Pipeline_tbl[[#This Row],[Closed_Date]]=0,"",(_xlfn.XLOOKUP(Pipeline_tbl[[#This Row],[Closed_Date]],Dim_Date!A:A,Dim_Date!H:H)))</f>
        <v>Jul 2024</v>
      </c>
      <c r="U3526">
        <f>IF(Pipeline_tbl[[#This Row],[Closed_Date]]=0,"",Pipeline_tbl[[#This Row],[Closed_Date]]-Pipeline_tbl[[#This Row],[Created_Date]])</f>
        <v>18</v>
      </c>
    </row>
    <row r="3527" spans="1:21" ht="15" customHeight="1" x14ac:dyDescent="0.2">
      <c r="A3527" t="s">
        <v>3833</v>
      </c>
      <c r="B3527" t="s">
        <v>211</v>
      </c>
      <c r="C3527" t="s">
        <v>55</v>
      </c>
      <c r="D3527" s="49">
        <v>45468</v>
      </c>
      <c r="E3527" s="49">
        <v>45470</v>
      </c>
      <c r="F3527" s="49">
        <v>45473</v>
      </c>
      <c r="G3527" s="49">
        <v>45478</v>
      </c>
      <c r="H3527" s="49">
        <v>45482</v>
      </c>
      <c r="I3527" s="49">
        <v>45484</v>
      </c>
      <c r="J3527" t="s">
        <v>49</v>
      </c>
      <c r="K3527" s="33">
        <v>3600</v>
      </c>
      <c r="L3527" t="s">
        <v>64</v>
      </c>
      <c r="M3527" t="str">
        <f>_xlfn.XLOOKUP(Pipeline_tbl[[#This Row],[Rep_ID]],Dim_Reps!A:A,Dim_Reps!K:K)</f>
        <v>EUR</v>
      </c>
      <c r="N3527" s="33">
        <f>(_xlfn.XLOOKUP(Pipeline_tbl[[#This Row],[Rate_Code_Generalized]],Lookups!A:A,Lookups!B:B))*Pipeline_tbl[[#This Row],[Pipeline_Amount_USD]]</f>
        <v>3600</v>
      </c>
      <c r="O3527" t="str">
        <f>_xlfn.XLOOKUP(Pipeline_tbl[[#This Row],[Rep_ID]],Dim_Reps!A:A,Dim_Reps!B:B)</f>
        <v>Lea Weber</v>
      </c>
      <c r="P3527" t="str">
        <f>_xlfn.XLOOKUP(Pipeline_tbl[[#This Row],[Rep_ID]],Dim_Reps!A:A,Dim_Reps!C:C)</f>
        <v>SDR / Inside Sales Rep</v>
      </c>
      <c r="Q3527" t="str">
        <f>_xlfn.XLOOKUP(Pipeline_tbl[[#This Row],[Rep_ID]],Dim_Reps!A:A,Dim_Reps!D:D)</f>
        <v>Inside Sales</v>
      </c>
      <c r="R3527" t="str">
        <f>_xlfn.XLOOKUP(Pipeline_tbl[[#This Row],[Rep_ID]],Dim_Reps!A:A,Dim_Reps!E:E)</f>
        <v>EMEA</v>
      </c>
      <c r="S3527" t="str">
        <f>_xlfn.XLOOKUP(Pipeline_tbl[[#This Row],[Created_Date]],Dim_Date!A:A,Dim_Date!H:H)</f>
        <v>Jun 2024</v>
      </c>
      <c r="T3527" t="str">
        <f>IF(Pipeline_tbl[[#This Row],[Closed_Date]]=0,"",(_xlfn.XLOOKUP(Pipeline_tbl[[#This Row],[Closed_Date]],Dim_Date!A:A,Dim_Date!H:H)))</f>
        <v>Jul 2024</v>
      </c>
      <c r="U3527">
        <f>IF(Pipeline_tbl[[#This Row],[Closed_Date]]=0,"",Pipeline_tbl[[#This Row],[Closed_Date]]-Pipeline_tbl[[#This Row],[Created_Date]])</f>
        <v>16</v>
      </c>
    </row>
    <row r="3528" spans="1:21" ht="15" customHeight="1" x14ac:dyDescent="0.2">
      <c r="A3528" t="s">
        <v>3834</v>
      </c>
      <c r="B3528" t="s">
        <v>215</v>
      </c>
      <c r="C3528" t="s">
        <v>52</v>
      </c>
      <c r="D3528" s="49">
        <v>45466</v>
      </c>
      <c r="E3528" s="49">
        <v>45467</v>
      </c>
      <c r="F3528" s="49">
        <v>45470</v>
      </c>
      <c r="G3528" s="49">
        <v>45474</v>
      </c>
      <c r="H3528" s="49">
        <v>45478</v>
      </c>
      <c r="I3528" s="49">
        <v>45480</v>
      </c>
      <c r="J3528" t="s">
        <v>47</v>
      </c>
      <c r="K3528" s="33">
        <v>1800</v>
      </c>
      <c r="M3528" t="str">
        <f>_xlfn.XLOOKUP(Pipeline_tbl[[#This Row],[Rep_ID]],Dim_Reps!A:A,Dim_Reps!K:K)</f>
        <v>EUR</v>
      </c>
      <c r="N3528" s="33">
        <f>(_xlfn.XLOOKUP(Pipeline_tbl[[#This Row],[Rate_Code_Generalized]],Lookups!A:A,Lookups!B:B))*Pipeline_tbl[[#This Row],[Pipeline_Amount_USD]]</f>
        <v>1800</v>
      </c>
      <c r="O3528" t="str">
        <f>_xlfn.XLOOKUP(Pipeline_tbl[[#This Row],[Rep_ID]],Dim_Reps!A:A,Dim_Reps!B:B)</f>
        <v>Jamie Schmidt</v>
      </c>
      <c r="P3528" t="str">
        <f>_xlfn.XLOOKUP(Pipeline_tbl[[#This Row],[Rep_ID]],Dim_Reps!A:A,Dim_Reps!C:C)</f>
        <v>SDR / Inside Sales Rep</v>
      </c>
      <c r="Q3528" t="str">
        <f>_xlfn.XLOOKUP(Pipeline_tbl[[#This Row],[Rep_ID]],Dim_Reps!A:A,Dim_Reps!D:D)</f>
        <v>Inside Sales</v>
      </c>
      <c r="R3528" t="str">
        <f>_xlfn.XLOOKUP(Pipeline_tbl[[#This Row],[Rep_ID]],Dim_Reps!A:A,Dim_Reps!E:E)</f>
        <v>APAC</v>
      </c>
      <c r="S3528" t="str">
        <f>_xlfn.XLOOKUP(Pipeline_tbl[[#This Row],[Created_Date]],Dim_Date!A:A,Dim_Date!H:H)</f>
        <v>Jun 2024</v>
      </c>
      <c r="T3528" t="str">
        <f>IF(Pipeline_tbl[[#This Row],[Closed_Date]]=0,"",(_xlfn.XLOOKUP(Pipeline_tbl[[#This Row],[Closed_Date]],Dim_Date!A:A,Dim_Date!H:H)))</f>
        <v>Jul 2024</v>
      </c>
      <c r="U3528">
        <f>IF(Pipeline_tbl[[#This Row],[Closed_Date]]=0,"",Pipeline_tbl[[#This Row],[Closed_Date]]-Pipeline_tbl[[#This Row],[Created_Date]])</f>
        <v>14</v>
      </c>
    </row>
    <row r="3529" spans="1:21" ht="15" customHeight="1" x14ac:dyDescent="0.2">
      <c r="A3529" t="s">
        <v>3835</v>
      </c>
      <c r="B3529" t="s">
        <v>215</v>
      </c>
      <c r="C3529" t="s">
        <v>55</v>
      </c>
      <c r="D3529" s="49">
        <v>45467</v>
      </c>
      <c r="E3529" s="49">
        <v>45470</v>
      </c>
      <c r="F3529" s="49">
        <v>45475</v>
      </c>
      <c r="G3529" s="49">
        <v>45484</v>
      </c>
      <c r="H3529" s="49">
        <v>45491</v>
      </c>
      <c r="I3529" s="49">
        <v>45495</v>
      </c>
      <c r="J3529" t="s">
        <v>47</v>
      </c>
      <c r="K3529" s="33">
        <v>5300</v>
      </c>
      <c r="M3529" t="str">
        <f>_xlfn.XLOOKUP(Pipeline_tbl[[#This Row],[Rep_ID]],Dim_Reps!A:A,Dim_Reps!K:K)</f>
        <v>EUR</v>
      </c>
      <c r="N3529" s="33">
        <f>(_xlfn.XLOOKUP(Pipeline_tbl[[#This Row],[Rate_Code_Generalized]],Lookups!A:A,Lookups!B:B))*Pipeline_tbl[[#This Row],[Pipeline_Amount_USD]]</f>
        <v>5300</v>
      </c>
      <c r="O3529" t="str">
        <f>_xlfn.XLOOKUP(Pipeline_tbl[[#This Row],[Rep_ID]],Dim_Reps!A:A,Dim_Reps!B:B)</f>
        <v>Jamie Schmidt</v>
      </c>
      <c r="P3529" t="str">
        <f>_xlfn.XLOOKUP(Pipeline_tbl[[#This Row],[Rep_ID]],Dim_Reps!A:A,Dim_Reps!C:C)</f>
        <v>SDR / Inside Sales Rep</v>
      </c>
      <c r="Q3529" t="str">
        <f>_xlfn.XLOOKUP(Pipeline_tbl[[#This Row],[Rep_ID]],Dim_Reps!A:A,Dim_Reps!D:D)</f>
        <v>Inside Sales</v>
      </c>
      <c r="R3529" t="str">
        <f>_xlfn.XLOOKUP(Pipeline_tbl[[#This Row],[Rep_ID]],Dim_Reps!A:A,Dim_Reps!E:E)</f>
        <v>APAC</v>
      </c>
      <c r="S3529" t="str">
        <f>_xlfn.XLOOKUP(Pipeline_tbl[[#This Row],[Created_Date]],Dim_Date!A:A,Dim_Date!H:H)</f>
        <v>Jun 2024</v>
      </c>
      <c r="T3529" t="str">
        <f>IF(Pipeline_tbl[[#This Row],[Closed_Date]]=0,"",(_xlfn.XLOOKUP(Pipeline_tbl[[#This Row],[Closed_Date]],Dim_Date!A:A,Dim_Date!H:H)))</f>
        <v>Jul 2024</v>
      </c>
      <c r="U3529">
        <f>IF(Pipeline_tbl[[#This Row],[Closed_Date]]=0,"",Pipeline_tbl[[#This Row],[Closed_Date]]-Pipeline_tbl[[#This Row],[Created_Date]])</f>
        <v>28</v>
      </c>
    </row>
    <row r="3530" spans="1:21" ht="15" customHeight="1" x14ac:dyDescent="0.2">
      <c r="A3530" t="s">
        <v>3836</v>
      </c>
      <c r="B3530" t="s">
        <v>215</v>
      </c>
      <c r="C3530" t="s">
        <v>54</v>
      </c>
      <c r="D3530" s="49">
        <v>45460</v>
      </c>
      <c r="E3530" s="49">
        <v>45461</v>
      </c>
      <c r="F3530" s="49">
        <v>45464</v>
      </c>
      <c r="G3530" s="49">
        <v>45468</v>
      </c>
      <c r="H3530" s="49">
        <v>45472</v>
      </c>
      <c r="I3530" s="49">
        <v>45474</v>
      </c>
      <c r="J3530" t="s">
        <v>47</v>
      </c>
      <c r="K3530" s="33">
        <v>2600</v>
      </c>
      <c r="M3530" t="str">
        <f>_xlfn.XLOOKUP(Pipeline_tbl[[#This Row],[Rep_ID]],Dim_Reps!A:A,Dim_Reps!K:K)</f>
        <v>EUR</v>
      </c>
      <c r="N3530" s="33">
        <f>(_xlfn.XLOOKUP(Pipeline_tbl[[#This Row],[Rate_Code_Generalized]],Lookups!A:A,Lookups!B:B))*Pipeline_tbl[[#This Row],[Pipeline_Amount_USD]]</f>
        <v>2600</v>
      </c>
      <c r="O3530" t="str">
        <f>_xlfn.XLOOKUP(Pipeline_tbl[[#This Row],[Rep_ID]],Dim_Reps!A:A,Dim_Reps!B:B)</f>
        <v>Jamie Schmidt</v>
      </c>
      <c r="P3530" t="str">
        <f>_xlfn.XLOOKUP(Pipeline_tbl[[#This Row],[Rep_ID]],Dim_Reps!A:A,Dim_Reps!C:C)</f>
        <v>SDR / Inside Sales Rep</v>
      </c>
      <c r="Q3530" t="str">
        <f>_xlfn.XLOOKUP(Pipeline_tbl[[#This Row],[Rep_ID]],Dim_Reps!A:A,Dim_Reps!D:D)</f>
        <v>Inside Sales</v>
      </c>
      <c r="R3530" t="str">
        <f>_xlfn.XLOOKUP(Pipeline_tbl[[#This Row],[Rep_ID]],Dim_Reps!A:A,Dim_Reps!E:E)</f>
        <v>APAC</v>
      </c>
      <c r="S3530" t="str">
        <f>_xlfn.XLOOKUP(Pipeline_tbl[[#This Row],[Created_Date]],Dim_Date!A:A,Dim_Date!H:H)</f>
        <v>Jun 2024</v>
      </c>
      <c r="T3530" t="str">
        <f>IF(Pipeline_tbl[[#This Row],[Closed_Date]]=0,"",(_xlfn.XLOOKUP(Pipeline_tbl[[#This Row],[Closed_Date]],Dim_Date!A:A,Dim_Date!H:H)))</f>
        <v>Jul 2024</v>
      </c>
      <c r="U3530">
        <f>IF(Pipeline_tbl[[#This Row],[Closed_Date]]=0,"",Pipeline_tbl[[#This Row],[Closed_Date]]-Pipeline_tbl[[#This Row],[Created_Date]])</f>
        <v>14</v>
      </c>
    </row>
    <row r="3531" spans="1:21" ht="15" customHeight="1" x14ac:dyDescent="0.2">
      <c r="A3531" t="s">
        <v>3837</v>
      </c>
      <c r="B3531" t="s">
        <v>215</v>
      </c>
      <c r="C3531" t="s">
        <v>52</v>
      </c>
      <c r="D3531" s="49">
        <v>45457</v>
      </c>
      <c r="E3531" s="49">
        <v>45459</v>
      </c>
      <c r="F3531" s="49">
        <v>45464</v>
      </c>
      <c r="G3531" s="49">
        <v>45470</v>
      </c>
      <c r="I3531" s="49">
        <v>45479</v>
      </c>
      <c r="J3531" t="s">
        <v>49</v>
      </c>
      <c r="K3531" s="33">
        <v>2100</v>
      </c>
      <c r="L3531" t="s">
        <v>61</v>
      </c>
      <c r="M3531" t="str">
        <f>_xlfn.XLOOKUP(Pipeline_tbl[[#This Row],[Rep_ID]],Dim_Reps!A:A,Dim_Reps!K:K)</f>
        <v>EUR</v>
      </c>
      <c r="N3531" s="33">
        <f>(_xlfn.XLOOKUP(Pipeline_tbl[[#This Row],[Rate_Code_Generalized]],Lookups!A:A,Lookups!B:B))*Pipeline_tbl[[#This Row],[Pipeline_Amount_USD]]</f>
        <v>2100</v>
      </c>
      <c r="O3531" t="str">
        <f>_xlfn.XLOOKUP(Pipeline_tbl[[#This Row],[Rep_ID]],Dim_Reps!A:A,Dim_Reps!B:B)</f>
        <v>Jamie Schmidt</v>
      </c>
      <c r="P3531" t="str">
        <f>_xlfn.XLOOKUP(Pipeline_tbl[[#This Row],[Rep_ID]],Dim_Reps!A:A,Dim_Reps!C:C)</f>
        <v>SDR / Inside Sales Rep</v>
      </c>
      <c r="Q3531" t="str">
        <f>_xlfn.XLOOKUP(Pipeline_tbl[[#This Row],[Rep_ID]],Dim_Reps!A:A,Dim_Reps!D:D)</f>
        <v>Inside Sales</v>
      </c>
      <c r="R3531" t="str">
        <f>_xlfn.XLOOKUP(Pipeline_tbl[[#This Row],[Rep_ID]],Dim_Reps!A:A,Dim_Reps!E:E)</f>
        <v>APAC</v>
      </c>
      <c r="S3531" t="str">
        <f>_xlfn.XLOOKUP(Pipeline_tbl[[#This Row],[Created_Date]],Dim_Date!A:A,Dim_Date!H:H)</f>
        <v>Jun 2024</v>
      </c>
      <c r="T3531" t="str">
        <f>IF(Pipeline_tbl[[#This Row],[Closed_Date]]=0,"",(_xlfn.XLOOKUP(Pipeline_tbl[[#This Row],[Closed_Date]],Dim_Date!A:A,Dim_Date!H:H)))</f>
        <v>Jul 2024</v>
      </c>
      <c r="U3531">
        <f>IF(Pipeline_tbl[[#This Row],[Closed_Date]]=0,"",Pipeline_tbl[[#This Row],[Closed_Date]]-Pipeline_tbl[[#This Row],[Created_Date]])</f>
        <v>22</v>
      </c>
    </row>
    <row r="3532" spans="1:21" ht="15" customHeight="1" x14ac:dyDescent="0.2">
      <c r="A3532" t="s">
        <v>3838</v>
      </c>
      <c r="B3532" t="s">
        <v>215</v>
      </c>
      <c r="C3532" t="s">
        <v>56</v>
      </c>
      <c r="D3532" s="49">
        <v>45468</v>
      </c>
      <c r="E3532" s="49">
        <v>45469</v>
      </c>
      <c r="F3532" s="49">
        <v>45472</v>
      </c>
      <c r="G3532" s="49">
        <v>45475</v>
      </c>
      <c r="I3532" s="49">
        <v>45480</v>
      </c>
      <c r="J3532" t="s">
        <v>49</v>
      </c>
      <c r="K3532" s="33">
        <v>5000</v>
      </c>
      <c r="L3532" t="s">
        <v>60</v>
      </c>
      <c r="M3532" t="str">
        <f>_xlfn.XLOOKUP(Pipeline_tbl[[#This Row],[Rep_ID]],Dim_Reps!A:A,Dim_Reps!K:K)</f>
        <v>EUR</v>
      </c>
      <c r="N3532" s="33">
        <f>(_xlfn.XLOOKUP(Pipeline_tbl[[#This Row],[Rate_Code_Generalized]],Lookups!A:A,Lookups!B:B))*Pipeline_tbl[[#This Row],[Pipeline_Amount_USD]]</f>
        <v>5000</v>
      </c>
      <c r="O3532" t="str">
        <f>_xlfn.XLOOKUP(Pipeline_tbl[[#This Row],[Rep_ID]],Dim_Reps!A:A,Dim_Reps!B:B)</f>
        <v>Jamie Schmidt</v>
      </c>
      <c r="P3532" t="str">
        <f>_xlfn.XLOOKUP(Pipeline_tbl[[#This Row],[Rep_ID]],Dim_Reps!A:A,Dim_Reps!C:C)</f>
        <v>SDR / Inside Sales Rep</v>
      </c>
      <c r="Q3532" t="str">
        <f>_xlfn.XLOOKUP(Pipeline_tbl[[#This Row],[Rep_ID]],Dim_Reps!A:A,Dim_Reps!D:D)</f>
        <v>Inside Sales</v>
      </c>
      <c r="R3532" t="str">
        <f>_xlfn.XLOOKUP(Pipeline_tbl[[#This Row],[Rep_ID]],Dim_Reps!A:A,Dim_Reps!E:E)</f>
        <v>APAC</v>
      </c>
      <c r="S3532" t="str">
        <f>_xlfn.XLOOKUP(Pipeline_tbl[[#This Row],[Created_Date]],Dim_Date!A:A,Dim_Date!H:H)</f>
        <v>Jun 2024</v>
      </c>
      <c r="T3532" t="str">
        <f>IF(Pipeline_tbl[[#This Row],[Closed_Date]]=0,"",(_xlfn.XLOOKUP(Pipeline_tbl[[#This Row],[Closed_Date]],Dim_Date!A:A,Dim_Date!H:H)))</f>
        <v>Jul 2024</v>
      </c>
      <c r="U3532">
        <f>IF(Pipeline_tbl[[#This Row],[Closed_Date]]=0,"",Pipeline_tbl[[#This Row],[Closed_Date]]-Pipeline_tbl[[#This Row],[Created_Date]])</f>
        <v>12</v>
      </c>
    </row>
    <row r="3533" spans="1:21" ht="15" customHeight="1" x14ac:dyDescent="0.2">
      <c r="A3533" t="s">
        <v>3839</v>
      </c>
      <c r="B3533" t="s">
        <v>215</v>
      </c>
      <c r="C3533" t="s">
        <v>52</v>
      </c>
      <c r="D3533" s="49">
        <v>45457</v>
      </c>
      <c r="E3533" s="49">
        <v>45459</v>
      </c>
      <c r="F3533" s="49">
        <v>45465</v>
      </c>
      <c r="I3533" s="49">
        <v>45482</v>
      </c>
      <c r="J3533" t="s">
        <v>49</v>
      </c>
      <c r="K3533" s="33">
        <v>4600</v>
      </c>
      <c r="L3533" t="s">
        <v>62</v>
      </c>
      <c r="M3533" t="str">
        <f>_xlfn.XLOOKUP(Pipeline_tbl[[#This Row],[Rep_ID]],Dim_Reps!A:A,Dim_Reps!K:K)</f>
        <v>EUR</v>
      </c>
      <c r="N3533" s="33">
        <f>(_xlfn.XLOOKUP(Pipeline_tbl[[#This Row],[Rate_Code_Generalized]],Lookups!A:A,Lookups!B:B))*Pipeline_tbl[[#This Row],[Pipeline_Amount_USD]]</f>
        <v>4600</v>
      </c>
      <c r="O3533" t="str">
        <f>_xlfn.XLOOKUP(Pipeline_tbl[[#This Row],[Rep_ID]],Dim_Reps!A:A,Dim_Reps!B:B)</f>
        <v>Jamie Schmidt</v>
      </c>
      <c r="P3533" t="str">
        <f>_xlfn.XLOOKUP(Pipeline_tbl[[#This Row],[Rep_ID]],Dim_Reps!A:A,Dim_Reps!C:C)</f>
        <v>SDR / Inside Sales Rep</v>
      </c>
      <c r="Q3533" t="str">
        <f>_xlfn.XLOOKUP(Pipeline_tbl[[#This Row],[Rep_ID]],Dim_Reps!A:A,Dim_Reps!D:D)</f>
        <v>Inside Sales</v>
      </c>
      <c r="R3533" t="str">
        <f>_xlfn.XLOOKUP(Pipeline_tbl[[#This Row],[Rep_ID]],Dim_Reps!A:A,Dim_Reps!E:E)</f>
        <v>APAC</v>
      </c>
      <c r="S3533" t="str">
        <f>_xlfn.XLOOKUP(Pipeline_tbl[[#This Row],[Created_Date]],Dim_Date!A:A,Dim_Date!H:H)</f>
        <v>Jun 2024</v>
      </c>
      <c r="T3533" t="str">
        <f>IF(Pipeline_tbl[[#This Row],[Closed_Date]]=0,"",(_xlfn.XLOOKUP(Pipeline_tbl[[#This Row],[Closed_Date]],Dim_Date!A:A,Dim_Date!H:H)))</f>
        <v>Jul 2024</v>
      </c>
      <c r="U3533">
        <f>IF(Pipeline_tbl[[#This Row],[Closed_Date]]=0,"",Pipeline_tbl[[#This Row],[Closed_Date]]-Pipeline_tbl[[#This Row],[Created_Date]])</f>
        <v>25</v>
      </c>
    </row>
    <row r="3534" spans="1:21" ht="15" customHeight="1" x14ac:dyDescent="0.2">
      <c r="A3534" t="s">
        <v>3840</v>
      </c>
      <c r="B3534" t="s">
        <v>215</v>
      </c>
      <c r="C3534" t="s">
        <v>54</v>
      </c>
      <c r="D3534" s="49">
        <v>45470</v>
      </c>
      <c r="E3534" s="49">
        <v>45472</v>
      </c>
      <c r="F3534" s="49">
        <v>45478</v>
      </c>
      <c r="G3534" s="49">
        <v>45485</v>
      </c>
      <c r="I3534" s="49">
        <v>45495</v>
      </c>
      <c r="J3534" t="s">
        <v>49</v>
      </c>
      <c r="K3534" s="33">
        <v>2900</v>
      </c>
      <c r="L3534" t="s">
        <v>61</v>
      </c>
      <c r="M3534" t="str">
        <f>_xlfn.XLOOKUP(Pipeline_tbl[[#This Row],[Rep_ID]],Dim_Reps!A:A,Dim_Reps!K:K)</f>
        <v>EUR</v>
      </c>
      <c r="N3534" s="33">
        <f>(_xlfn.XLOOKUP(Pipeline_tbl[[#This Row],[Rate_Code_Generalized]],Lookups!A:A,Lookups!B:B))*Pipeline_tbl[[#This Row],[Pipeline_Amount_USD]]</f>
        <v>2900</v>
      </c>
      <c r="O3534" t="str">
        <f>_xlfn.XLOOKUP(Pipeline_tbl[[#This Row],[Rep_ID]],Dim_Reps!A:A,Dim_Reps!B:B)</f>
        <v>Jamie Schmidt</v>
      </c>
      <c r="P3534" t="str">
        <f>_xlfn.XLOOKUP(Pipeline_tbl[[#This Row],[Rep_ID]],Dim_Reps!A:A,Dim_Reps!C:C)</f>
        <v>SDR / Inside Sales Rep</v>
      </c>
      <c r="Q3534" t="str">
        <f>_xlfn.XLOOKUP(Pipeline_tbl[[#This Row],[Rep_ID]],Dim_Reps!A:A,Dim_Reps!D:D)</f>
        <v>Inside Sales</v>
      </c>
      <c r="R3534" t="str">
        <f>_xlfn.XLOOKUP(Pipeline_tbl[[#This Row],[Rep_ID]],Dim_Reps!A:A,Dim_Reps!E:E)</f>
        <v>APAC</v>
      </c>
      <c r="S3534" t="str">
        <f>_xlfn.XLOOKUP(Pipeline_tbl[[#This Row],[Created_Date]],Dim_Date!A:A,Dim_Date!H:H)</f>
        <v>Jun 2024</v>
      </c>
      <c r="T3534" t="str">
        <f>IF(Pipeline_tbl[[#This Row],[Closed_Date]]=0,"",(_xlfn.XLOOKUP(Pipeline_tbl[[#This Row],[Closed_Date]],Dim_Date!A:A,Dim_Date!H:H)))</f>
        <v>Jul 2024</v>
      </c>
      <c r="U3534">
        <f>IF(Pipeline_tbl[[#This Row],[Closed_Date]]=0,"",Pipeline_tbl[[#This Row],[Closed_Date]]-Pipeline_tbl[[#This Row],[Created_Date]])</f>
        <v>25</v>
      </c>
    </row>
    <row r="3535" spans="1:21" ht="15" customHeight="1" x14ac:dyDescent="0.2">
      <c r="A3535" t="s">
        <v>3841</v>
      </c>
      <c r="B3535" t="s">
        <v>215</v>
      </c>
      <c r="C3535" t="s">
        <v>52</v>
      </c>
      <c r="D3535" s="49">
        <v>45462</v>
      </c>
      <c r="E3535" s="49">
        <v>45464</v>
      </c>
      <c r="F3535" s="49">
        <v>45468</v>
      </c>
      <c r="G3535" s="49">
        <v>45475</v>
      </c>
      <c r="I3535" s="49">
        <v>45483</v>
      </c>
      <c r="J3535" t="s">
        <v>49</v>
      </c>
      <c r="K3535" s="33">
        <v>4900</v>
      </c>
      <c r="L3535" t="s">
        <v>60</v>
      </c>
      <c r="M3535" t="str">
        <f>_xlfn.XLOOKUP(Pipeline_tbl[[#This Row],[Rep_ID]],Dim_Reps!A:A,Dim_Reps!K:K)</f>
        <v>EUR</v>
      </c>
      <c r="N3535" s="33">
        <f>(_xlfn.XLOOKUP(Pipeline_tbl[[#This Row],[Rate_Code_Generalized]],Lookups!A:A,Lookups!B:B))*Pipeline_tbl[[#This Row],[Pipeline_Amount_USD]]</f>
        <v>4900</v>
      </c>
      <c r="O3535" t="str">
        <f>_xlfn.XLOOKUP(Pipeline_tbl[[#This Row],[Rep_ID]],Dim_Reps!A:A,Dim_Reps!B:B)</f>
        <v>Jamie Schmidt</v>
      </c>
      <c r="P3535" t="str">
        <f>_xlfn.XLOOKUP(Pipeline_tbl[[#This Row],[Rep_ID]],Dim_Reps!A:A,Dim_Reps!C:C)</f>
        <v>SDR / Inside Sales Rep</v>
      </c>
      <c r="Q3535" t="str">
        <f>_xlfn.XLOOKUP(Pipeline_tbl[[#This Row],[Rep_ID]],Dim_Reps!A:A,Dim_Reps!D:D)</f>
        <v>Inside Sales</v>
      </c>
      <c r="R3535" t="str">
        <f>_xlfn.XLOOKUP(Pipeline_tbl[[#This Row],[Rep_ID]],Dim_Reps!A:A,Dim_Reps!E:E)</f>
        <v>APAC</v>
      </c>
      <c r="S3535" t="str">
        <f>_xlfn.XLOOKUP(Pipeline_tbl[[#This Row],[Created_Date]],Dim_Date!A:A,Dim_Date!H:H)</f>
        <v>Jun 2024</v>
      </c>
      <c r="T3535" t="str">
        <f>IF(Pipeline_tbl[[#This Row],[Closed_Date]]=0,"",(_xlfn.XLOOKUP(Pipeline_tbl[[#This Row],[Closed_Date]],Dim_Date!A:A,Dim_Date!H:H)))</f>
        <v>Jul 2024</v>
      </c>
      <c r="U3535">
        <f>IF(Pipeline_tbl[[#This Row],[Closed_Date]]=0,"",Pipeline_tbl[[#This Row],[Closed_Date]]-Pipeline_tbl[[#This Row],[Created_Date]])</f>
        <v>21</v>
      </c>
    </row>
    <row r="3536" spans="1:21" ht="15" customHeight="1" x14ac:dyDescent="0.2">
      <c r="A3536" t="s">
        <v>3842</v>
      </c>
      <c r="B3536" t="s">
        <v>215</v>
      </c>
      <c r="C3536" t="s">
        <v>52</v>
      </c>
      <c r="D3536" s="49">
        <v>45464</v>
      </c>
      <c r="E3536" s="49">
        <v>45466</v>
      </c>
      <c r="I3536" s="49">
        <v>45480</v>
      </c>
      <c r="J3536" t="s">
        <v>49</v>
      </c>
      <c r="K3536" s="33">
        <v>4100</v>
      </c>
      <c r="L3536" t="s">
        <v>62</v>
      </c>
      <c r="M3536" t="str">
        <f>_xlfn.XLOOKUP(Pipeline_tbl[[#This Row],[Rep_ID]],Dim_Reps!A:A,Dim_Reps!K:K)</f>
        <v>EUR</v>
      </c>
      <c r="N3536" s="33">
        <f>(_xlfn.XLOOKUP(Pipeline_tbl[[#This Row],[Rate_Code_Generalized]],Lookups!A:A,Lookups!B:B))*Pipeline_tbl[[#This Row],[Pipeline_Amount_USD]]</f>
        <v>4100</v>
      </c>
      <c r="O3536" t="str">
        <f>_xlfn.XLOOKUP(Pipeline_tbl[[#This Row],[Rep_ID]],Dim_Reps!A:A,Dim_Reps!B:B)</f>
        <v>Jamie Schmidt</v>
      </c>
      <c r="P3536" t="str">
        <f>_xlfn.XLOOKUP(Pipeline_tbl[[#This Row],[Rep_ID]],Dim_Reps!A:A,Dim_Reps!C:C)</f>
        <v>SDR / Inside Sales Rep</v>
      </c>
      <c r="Q3536" t="str">
        <f>_xlfn.XLOOKUP(Pipeline_tbl[[#This Row],[Rep_ID]],Dim_Reps!A:A,Dim_Reps!D:D)</f>
        <v>Inside Sales</v>
      </c>
      <c r="R3536" t="str">
        <f>_xlfn.XLOOKUP(Pipeline_tbl[[#This Row],[Rep_ID]],Dim_Reps!A:A,Dim_Reps!E:E)</f>
        <v>APAC</v>
      </c>
      <c r="S3536" t="str">
        <f>_xlfn.XLOOKUP(Pipeline_tbl[[#This Row],[Created_Date]],Dim_Date!A:A,Dim_Date!H:H)</f>
        <v>Jun 2024</v>
      </c>
      <c r="T3536" t="str">
        <f>IF(Pipeline_tbl[[#This Row],[Closed_Date]]=0,"",(_xlfn.XLOOKUP(Pipeline_tbl[[#This Row],[Closed_Date]],Dim_Date!A:A,Dim_Date!H:H)))</f>
        <v>Jul 2024</v>
      </c>
      <c r="U3536">
        <f>IF(Pipeline_tbl[[#This Row],[Closed_Date]]=0,"",Pipeline_tbl[[#This Row],[Closed_Date]]-Pipeline_tbl[[#This Row],[Created_Date]])</f>
        <v>16</v>
      </c>
    </row>
    <row r="3537" spans="1:21" ht="15" customHeight="1" x14ac:dyDescent="0.2">
      <c r="A3537" t="s">
        <v>3843</v>
      </c>
      <c r="B3537" t="s">
        <v>217</v>
      </c>
      <c r="C3537" t="s">
        <v>52</v>
      </c>
      <c r="D3537" s="49">
        <v>45468</v>
      </c>
      <c r="E3537" s="49">
        <v>45470</v>
      </c>
      <c r="F3537" s="49">
        <v>45473</v>
      </c>
      <c r="G3537" s="49">
        <v>45478</v>
      </c>
      <c r="H3537" s="49">
        <v>45482</v>
      </c>
      <c r="I3537" s="49">
        <v>45485</v>
      </c>
      <c r="J3537" t="s">
        <v>47</v>
      </c>
      <c r="K3537" s="33">
        <v>2900</v>
      </c>
      <c r="M3537" t="str">
        <f>_xlfn.XLOOKUP(Pipeline_tbl[[#This Row],[Rep_ID]],Dim_Reps!A:A,Dim_Reps!K:K)</f>
        <v>USD</v>
      </c>
      <c r="N3537" s="33">
        <f>(_xlfn.XLOOKUP(Pipeline_tbl[[#This Row],[Rate_Code_Generalized]],Lookups!A:A,Lookups!B:B))*Pipeline_tbl[[#This Row],[Pipeline_Amount_USD]]</f>
        <v>3376.47</v>
      </c>
      <c r="O3537" t="str">
        <f>_xlfn.XLOOKUP(Pipeline_tbl[[#This Row],[Rep_ID]],Dim_Reps!A:A,Dim_Reps!B:B)</f>
        <v>Priya Weber</v>
      </c>
      <c r="P3537" t="str">
        <f>_xlfn.XLOOKUP(Pipeline_tbl[[#This Row],[Rep_ID]],Dim_Reps!A:A,Dim_Reps!C:C)</f>
        <v>SDR / Inside Sales Rep</v>
      </c>
      <c r="Q3537" t="str">
        <f>_xlfn.XLOOKUP(Pipeline_tbl[[#This Row],[Rep_ID]],Dim_Reps!A:A,Dim_Reps!D:D)</f>
        <v>Inside Sales</v>
      </c>
      <c r="R3537" t="str">
        <f>_xlfn.XLOOKUP(Pipeline_tbl[[#This Row],[Rep_ID]],Dim_Reps!A:A,Dim_Reps!E:E)</f>
        <v>NAMER</v>
      </c>
      <c r="S3537" t="str">
        <f>_xlfn.XLOOKUP(Pipeline_tbl[[#This Row],[Created_Date]],Dim_Date!A:A,Dim_Date!H:H)</f>
        <v>Jun 2024</v>
      </c>
      <c r="T3537" t="str">
        <f>IF(Pipeline_tbl[[#This Row],[Closed_Date]]=0,"",(_xlfn.XLOOKUP(Pipeline_tbl[[#This Row],[Closed_Date]],Dim_Date!A:A,Dim_Date!H:H)))</f>
        <v>Jul 2024</v>
      </c>
      <c r="U3537">
        <f>IF(Pipeline_tbl[[#This Row],[Closed_Date]]=0,"",Pipeline_tbl[[#This Row],[Closed_Date]]-Pipeline_tbl[[#This Row],[Created_Date]])</f>
        <v>17</v>
      </c>
    </row>
    <row r="3538" spans="1:21" ht="15" customHeight="1" x14ac:dyDescent="0.2">
      <c r="A3538" t="s">
        <v>3844</v>
      </c>
      <c r="B3538" t="s">
        <v>217</v>
      </c>
      <c r="C3538" t="s">
        <v>55</v>
      </c>
      <c r="D3538" s="49">
        <v>45450</v>
      </c>
      <c r="E3538" s="49">
        <v>45452</v>
      </c>
      <c r="I3538" s="49">
        <v>45475</v>
      </c>
      <c r="J3538" t="s">
        <v>49</v>
      </c>
      <c r="K3538" s="33">
        <v>2300</v>
      </c>
      <c r="L3538" t="s">
        <v>64</v>
      </c>
      <c r="M3538" t="str">
        <f>_xlfn.XLOOKUP(Pipeline_tbl[[#This Row],[Rep_ID]],Dim_Reps!A:A,Dim_Reps!K:K)</f>
        <v>USD</v>
      </c>
      <c r="N3538" s="33">
        <f>(_xlfn.XLOOKUP(Pipeline_tbl[[#This Row],[Rate_Code_Generalized]],Lookups!A:A,Lookups!B:B))*Pipeline_tbl[[#This Row],[Pipeline_Amount_USD]]</f>
        <v>2677.89</v>
      </c>
      <c r="O3538" t="str">
        <f>_xlfn.XLOOKUP(Pipeline_tbl[[#This Row],[Rep_ID]],Dim_Reps!A:A,Dim_Reps!B:B)</f>
        <v>Priya Weber</v>
      </c>
      <c r="P3538" t="str">
        <f>_xlfn.XLOOKUP(Pipeline_tbl[[#This Row],[Rep_ID]],Dim_Reps!A:A,Dim_Reps!C:C)</f>
        <v>SDR / Inside Sales Rep</v>
      </c>
      <c r="Q3538" t="str">
        <f>_xlfn.XLOOKUP(Pipeline_tbl[[#This Row],[Rep_ID]],Dim_Reps!A:A,Dim_Reps!D:D)</f>
        <v>Inside Sales</v>
      </c>
      <c r="R3538" t="str">
        <f>_xlfn.XLOOKUP(Pipeline_tbl[[#This Row],[Rep_ID]],Dim_Reps!A:A,Dim_Reps!E:E)</f>
        <v>NAMER</v>
      </c>
      <c r="S3538" t="str">
        <f>_xlfn.XLOOKUP(Pipeline_tbl[[#This Row],[Created_Date]],Dim_Date!A:A,Dim_Date!H:H)</f>
        <v>Jun 2024</v>
      </c>
      <c r="T3538" t="str">
        <f>IF(Pipeline_tbl[[#This Row],[Closed_Date]]=0,"",(_xlfn.XLOOKUP(Pipeline_tbl[[#This Row],[Closed_Date]],Dim_Date!A:A,Dim_Date!H:H)))</f>
        <v>Jul 2024</v>
      </c>
      <c r="U3538">
        <f>IF(Pipeline_tbl[[#This Row],[Closed_Date]]=0,"",Pipeline_tbl[[#This Row],[Closed_Date]]-Pipeline_tbl[[#This Row],[Created_Date]])</f>
        <v>25</v>
      </c>
    </row>
    <row r="3539" spans="1:21" ht="15" customHeight="1" x14ac:dyDescent="0.2">
      <c r="A3539" t="s">
        <v>3845</v>
      </c>
      <c r="B3539" t="s">
        <v>217</v>
      </c>
      <c r="C3539" t="s">
        <v>53</v>
      </c>
      <c r="D3539" s="49">
        <v>45460</v>
      </c>
      <c r="E3539" s="49">
        <v>45462</v>
      </c>
      <c r="F3539" s="49">
        <v>45466</v>
      </c>
      <c r="G3539" s="49">
        <v>45471</v>
      </c>
      <c r="I3539" s="49">
        <v>45479</v>
      </c>
      <c r="J3539" t="s">
        <v>49</v>
      </c>
      <c r="K3539" s="33">
        <v>2300</v>
      </c>
      <c r="L3539" t="s">
        <v>61</v>
      </c>
      <c r="M3539" t="str">
        <f>_xlfn.XLOOKUP(Pipeline_tbl[[#This Row],[Rep_ID]],Dim_Reps!A:A,Dim_Reps!K:K)</f>
        <v>USD</v>
      </c>
      <c r="N3539" s="33">
        <f>(_xlfn.XLOOKUP(Pipeline_tbl[[#This Row],[Rate_Code_Generalized]],Lookups!A:A,Lookups!B:B))*Pipeline_tbl[[#This Row],[Pipeline_Amount_USD]]</f>
        <v>2677.89</v>
      </c>
      <c r="O3539" t="str">
        <f>_xlfn.XLOOKUP(Pipeline_tbl[[#This Row],[Rep_ID]],Dim_Reps!A:A,Dim_Reps!B:B)</f>
        <v>Priya Weber</v>
      </c>
      <c r="P3539" t="str">
        <f>_xlfn.XLOOKUP(Pipeline_tbl[[#This Row],[Rep_ID]],Dim_Reps!A:A,Dim_Reps!C:C)</f>
        <v>SDR / Inside Sales Rep</v>
      </c>
      <c r="Q3539" t="str">
        <f>_xlfn.XLOOKUP(Pipeline_tbl[[#This Row],[Rep_ID]],Dim_Reps!A:A,Dim_Reps!D:D)</f>
        <v>Inside Sales</v>
      </c>
      <c r="R3539" t="str">
        <f>_xlfn.XLOOKUP(Pipeline_tbl[[#This Row],[Rep_ID]],Dim_Reps!A:A,Dim_Reps!E:E)</f>
        <v>NAMER</v>
      </c>
      <c r="S3539" t="str">
        <f>_xlfn.XLOOKUP(Pipeline_tbl[[#This Row],[Created_Date]],Dim_Date!A:A,Dim_Date!H:H)</f>
        <v>Jun 2024</v>
      </c>
      <c r="T3539" t="str">
        <f>IF(Pipeline_tbl[[#This Row],[Closed_Date]]=0,"",(_xlfn.XLOOKUP(Pipeline_tbl[[#This Row],[Closed_Date]],Dim_Date!A:A,Dim_Date!H:H)))</f>
        <v>Jul 2024</v>
      </c>
      <c r="U3539">
        <f>IF(Pipeline_tbl[[#This Row],[Closed_Date]]=0,"",Pipeline_tbl[[#This Row],[Closed_Date]]-Pipeline_tbl[[#This Row],[Created_Date]])</f>
        <v>19</v>
      </c>
    </row>
    <row r="3540" spans="1:21" ht="15" customHeight="1" x14ac:dyDescent="0.2">
      <c r="A3540" t="s">
        <v>3846</v>
      </c>
      <c r="B3540" t="s">
        <v>221</v>
      </c>
      <c r="C3540" t="s">
        <v>54</v>
      </c>
      <c r="D3540" s="49">
        <v>45472</v>
      </c>
      <c r="E3540" s="49">
        <v>45474</v>
      </c>
      <c r="F3540" s="49">
        <v>45477</v>
      </c>
      <c r="G3540" s="49">
        <v>45482</v>
      </c>
      <c r="H3540" s="49">
        <v>45486</v>
      </c>
      <c r="I3540" s="49">
        <v>45489</v>
      </c>
      <c r="J3540" t="s">
        <v>47</v>
      </c>
      <c r="K3540" s="33">
        <v>5900</v>
      </c>
      <c r="M3540" t="str">
        <f>_xlfn.XLOOKUP(Pipeline_tbl[[#This Row],[Rep_ID]],Dim_Reps!A:A,Dim_Reps!K:K)</f>
        <v>MXN</v>
      </c>
      <c r="N3540" s="33">
        <f>(_xlfn.XLOOKUP(Pipeline_tbl[[#This Row],[Rate_Code_Generalized]],Lookups!A:A,Lookups!B:B))*Pipeline_tbl[[#This Row],[Pipeline_Amount_USD]]</f>
        <v>116422.93000000001</v>
      </c>
      <c r="O3540" t="str">
        <f>_xlfn.XLOOKUP(Pipeline_tbl[[#This Row],[Rep_ID]],Dim_Reps!A:A,Dim_Reps!B:B)</f>
        <v>Casey Muller</v>
      </c>
      <c r="P3540" t="str">
        <f>_xlfn.XLOOKUP(Pipeline_tbl[[#This Row],[Rep_ID]],Dim_Reps!A:A,Dim_Reps!C:C)</f>
        <v>SDR / Inside Sales Rep</v>
      </c>
      <c r="Q3540" t="str">
        <f>_xlfn.XLOOKUP(Pipeline_tbl[[#This Row],[Rep_ID]],Dim_Reps!A:A,Dim_Reps!D:D)</f>
        <v>Inside Sales</v>
      </c>
      <c r="R3540" t="str">
        <f>_xlfn.XLOOKUP(Pipeline_tbl[[#This Row],[Rep_ID]],Dim_Reps!A:A,Dim_Reps!E:E)</f>
        <v>LATAM</v>
      </c>
      <c r="S3540" t="str">
        <f>_xlfn.XLOOKUP(Pipeline_tbl[[#This Row],[Created_Date]],Dim_Date!A:A,Dim_Date!H:H)</f>
        <v>Jun 2024</v>
      </c>
      <c r="T3540" t="str">
        <f>IF(Pipeline_tbl[[#This Row],[Closed_Date]]=0,"",(_xlfn.XLOOKUP(Pipeline_tbl[[#This Row],[Closed_Date]],Dim_Date!A:A,Dim_Date!H:H)))</f>
        <v>Jul 2024</v>
      </c>
      <c r="U3540">
        <f>IF(Pipeline_tbl[[#This Row],[Closed_Date]]=0,"",Pipeline_tbl[[#This Row],[Closed_Date]]-Pipeline_tbl[[#This Row],[Created_Date]])</f>
        <v>17</v>
      </c>
    </row>
    <row r="3541" spans="1:21" ht="15" customHeight="1" x14ac:dyDescent="0.2">
      <c r="A3541" t="s">
        <v>3847</v>
      </c>
      <c r="B3541" t="s">
        <v>221</v>
      </c>
      <c r="C3541" t="s">
        <v>55</v>
      </c>
      <c r="D3541" s="49">
        <v>45460</v>
      </c>
      <c r="E3541" s="49">
        <v>45462</v>
      </c>
      <c r="F3541" s="49">
        <v>45467</v>
      </c>
      <c r="G3541" s="49">
        <v>45473</v>
      </c>
      <c r="I3541" s="49">
        <v>45482</v>
      </c>
      <c r="J3541" t="s">
        <v>49</v>
      </c>
      <c r="K3541" s="33">
        <v>4300</v>
      </c>
      <c r="L3541" t="s">
        <v>61</v>
      </c>
      <c r="M3541" t="str">
        <f>_xlfn.XLOOKUP(Pipeline_tbl[[#This Row],[Rep_ID]],Dim_Reps!A:A,Dim_Reps!K:K)</f>
        <v>MXN</v>
      </c>
      <c r="N3541" s="33">
        <f>(_xlfn.XLOOKUP(Pipeline_tbl[[#This Row],[Rate_Code_Generalized]],Lookups!A:A,Lookups!B:B))*Pipeline_tbl[[#This Row],[Pipeline_Amount_USD]]</f>
        <v>84850.61</v>
      </c>
      <c r="O3541" t="str">
        <f>_xlfn.XLOOKUP(Pipeline_tbl[[#This Row],[Rep_ID]],Dim_Reps!A:A,Dim_Reps!B:B)</f>
        <v>Casey Muller</v>
      </c>
      <c r="P3541" t="str">
        <f>_xlfn.XLOOKUP(Pipeline_tbl[[#This Row],[Rep_ID]],Dim_Reps!A:A,Dim_Reps!C:C)</f>
        <v>SDR / Inside Sales Rep</v>
      </c>
      <c r="Q3541" t="str">
        <f>_xlfn.XLOOKUP(Pipeline_tbl[[#This Row],[Rep_ID]],Dim_Reps!A:A,Dim_Reps!D:D)</f>
        <v>Inside Sales</v>
      </c>
      <c r="R3541" t="str">
        <f>_xlfn.XLOOKUP(Pipeline_tbl[[#This Row],[Rep_ID]],Dim_Reps!A:A,Dim_Reps!E:E)</f>
        <v>LATAM</v>
      </c>
      <c r="S3541" t="str">
        <f>_xlfn.XLOOKUP(Pipeline_tbl[[#This Row],[Created_Date]],Dim_Date!A:A,Dim_Date!H:H)</f>
        <v>Jun 2024</v>
      </c>
      <c r="T3541" t="str">
        <f>IF(Pipeline_tbl[[#This Row],[Closed_Date]]=0,"",(_xlfn.XLOOKUP(Pipeline_tbl[[#This Row],[Closed_Date]],Dim_Date!A:A,Dim_Date!H:H)))</f>
        <v>Jul 2024</v>
      </c>
      <c r="U3541">
        <f>IF(Pipeline_tbl[[#This Row],[Closed_Date]]=0,"",Pipeline_tbl[[#This Row],[Closed_Date]]-Pipeline_tbl[[#This Row],[Created_Date]])</f>
        <v>22</v>
      </c>
    </row>
    <row r="3542" spans="1:21" ht="15" customHeight="1" x14ac:dyDescent="0.2">
      <c r="A3542" t="s">
        <v>3848</v>
      </c>
      <c r="B3542" t="s">
        <v>221</v>
      </c>
      <c r="C3542" t="s">
        <v>53</v>
      </c>
      <c r="D3542" s="49">
        <v>45469</v>
      </c>
      <c r="E3542" s="49">
        <v>45471</v>
      </c>
      <c r="F3542" s="49">
        <v>45474</v>
      </c>
      <c r="G3542" s="49">
        <v>45478</v>
      </c>
      <c r="H3542" s="49">
        <v>45482</v>
      </c>
      <c r="I3542" s="49">
        <v>45484</v>
      </c>
      <c r="J3542" t="s">
        <v>47</v>
      </c>
      <c r="K3542" s="33">
        <v>2600</v>
      </c>
      <c r="M3542" t="str">
        <f>_xlfn.XLOOKUP(Pipeline_tbl[[#This Row],[Rep_ID]],Dim_Reps!A:A,Dim_Reps!K:K)</f>
        <v>MXN</v>
      </c>
      <c r="N3542" s="33">
        <f>(_xlfn.XLOOKUP(Pipeline_tbl[[#This Row],[Rate_Code_Generalized]],Lookups!A:A,Lookups!B:B))*Pipeline_tbl[[#This Row],[Pipeline_Amount_USD]]</f>
        <v>51305.020000000004</v>
      </c>
      <c r="O3542" t="str">
        <f>_xlfn.XLOOKUP(Pipeline_tbl[[#This Row],[Rep_ID]],Dim_Reps!A:A,Dim_Reps!B:B)</f>
        <v>Casey Muller</v>
      </c>
      <c r="P3542" t="str">
        <f>_xlfn.XLOOKUP(Pipeline_tbl[[#This Row],[Rep_ID]],Dim_Reps!A:A,Dim_Reps!C:C)</f>
        <v>SDR / Inside Sales Rep</v>
      </c>
      <c r="Q3542" t="str">
        <f>_xlfn.XLOOKUP(Pipeline_tbl[[#This Row],[Rep_ID]],Dim_Reps!A:A,Dim_Reps!D:D)</f>
        <v>Inside Sales</v>
      </c>
      <c r="R3542" t="str">
        <f>_xlfn.XLOOKUP(Pipeline_tbl[[#This Row],[Rep_ID]],Dim_Reps!A:A,Dim_Reps!E:E)</f>
        <v>LATAM</v>
      </c>
      <c r="S3542" t="str">
        <f>_xlfn.XLOOKUP(Pipeline_tbl[[#This Row],[Created_Date]],Dim_Date!A:A,Dim_Date!H:H)</f>
        <v>Jun 2024</v>
      </c>
      <c r="T3542" t="str">
        <f>IF(Pipeline_tbl[[#This Row],[Closed_Date]]=0,"",(_xlfn.XLOOKUP(Pipeline_tbl[[#This Row],[Closed_Date]],Dim_Date!A:A,Dim_Date!H:H)))</f>
        <v>Jul 2024</v>
      </c>
      <c r="U3542">
        <f>IF(Pipeline_tbl[[#This Row],[Closed_Date]]=0,"",Pipeline_tbl[[#This Row],[Closed_Date]]-Pipeline_tbl[[#This Row],[Created_Date]])</f>
        <v>15</v>
      </c>
    </row>
    <row r="3543" spans="1:21" ht="15" customHeight="1" x14ac:dyDescent="0.2">
      <c r="A3543" t="s">
        <v>3849</v>
      </c>
      <c r="B3543" t="s">
        <v>221</v>
      </c>
      <c r="C3543" t="s">
        <v>53</v>
      </c>
      <c r="D3543" s="49">
        <v>45458</v>
      </c>
      <c r="E3543" s="49">
        <v>45461</v>
      </c>
      <c r="F3543" s="49">
        <v>45466</v>
      </c>
      <c r="G3543" s="49">
        <v>45474</v>
      </c>
      <c r="H3543" s="49">
        <v>45480</v>
      </c>
      <c r="I3543" s="49">
        <v>45484</v>
      </c>
      <c r="J3543" t="s">
        <v>47</v>
      </c>
      <c r="K3543" s="33">
        <v>6700</v>
      </c>
      <c r="M3543" t="str">
        <f>_xlfn.XLOOKUP(Pipeline_tbl[[#This Row],[Rep_ID]],Dim_Reps!A:A,Dim_Reps!K:K)</f>
        <v>MXN</v>
      </c>
      <c r="N3543" s="33">
        <f>(_xlfn.XLOOKUP(Pipeline_tbl[[#This Row],[Rate_Code_Generalized]],Lookups!A:A,Lookups!B:B))*Pipeline_tbl[[#This Row],[Pipeline_Amount_USD]]</f>
        <v>132209.09</v>
      </c>
      <c r="O3543" t="str">
        <f>_xlfn.XLOOKUP(Pipeline_tbl[[#This Row],[Rep_ID]],Dim_Reps!A:A,Dim_Reps!B:B)</f>
        <v>Casey Muller</v>
      </c>
      <c r="P3543" t="str">
        <f>_xlfn.XLOOKUP(Pipeline_tbl[[#This Row],[Rep_ID]],Dim_Reps!A:A,Dim_Reps!C:C)</f>
        <v>SDR / Inside Sales Rep</v>
      </c>
      <c r="Q3543" t="str">
        <f>_xlfn.XLOOKUP(Pipeline_tbl[[#This Row],[Rep_ID]],Dim_Reps!A:A,Dim_Reps!D:D)</f>
        <v>Inside Sales</v>
      </c>
      <c r="R3543" t="str">
        <f>_xlfn.XLOOKUP(Pipeline_tbl[[#This Row],[Rep_ID]],Dim_Reps!A:A,Dim_Reps!E:E)</f>
        <v>LATAM</v>
      </c>
      <c r="S3543" t="str">
        <f>_xlfn.XLOOKUP(Pipeline_tbl[[#This Row],[Created_Date]],Dim_Date!A:A,Dim_Date!H:H)</f>
        <v>Jun 2024</v>
      </c>
      <c r="T3543" t="str">
        <f>IF(Pipeline_tbl[[#This Row],[Closed_Date]]=0,"",(_xlfn.XLOOKUP(Pipeline_tbl[[#This Row],[Closed_Date]],Dim_Date!A:A,Dim_Date!H:H)))</f>
        <v>Jul 2024</v>
      </c>
      <c r="U3543">
        <f>IF(Pipeline_tbl[[#This Row],[Closed_Date]]=0,"",Pipeline_tbl[[#This Row],[Closed_Date]]-Pipeline_tbl[[#This Row],[Created_Date]])</f>
        <v>26</v>
      </c>
    </row>
    <row r="3544" spans="1:21" ht="15" customHeight="1" x14ac:dyDescent="0.2">
      <c r="A3544" t="s">
        <v>3850</v>
      </c>
      <c r="B3544" t="s">
        <v>221</v>
      </c>
      <c r="C3544" t="s">
        <v>54</v>
      </c>
      <c r="D3544" s="49">
        <v>45460</v>
      </c>
      <c r="E3544" s="49">
        <v>45463</v>
      </c>
      <c r="I3544" s="49">
        <v>45490</v>
      </c>
      <c r="J3544" t="s">
        <v>49</v>
      </c>
      <c r="K3544" s="33">
        <v>2600</v>
      </c>
      <c r="L3544" t="s">
        <v>61</v>
      </c>
      <c r="M3544" t="str">
        <f>_xlfn.XLOOKUP(Pipeline_tbl[[#This Row],[Rep_ID]],Dim_Reps!A:A,Dim_Reps!K:K)</f>
        <v>MXN</v>
      </c>
      <c r="N3544" s="33">
        <f>(_xlfn.XLOOKUP(Pipeline_tbl[[#This Row],[Rate_Code_Generalized]],Lookups!A:A,Lookups!B:B))*Pipeline_tbl[[#This Row],[Pipeline_Amount_USD]]</f>
        <v>51305.020000000004</v>
      </c>
      <c r="O3544" t="str">
        <f>_xlfn.XLOOKUP(Pipeline_tbl[[#This Row],[Rep_ID]],Dim_Reps!A:A,Dim_Reps!B:B)</f>
        <v>Casey Muller</v>
      </c>
      <c r="P3544" t="str">
        <f>_xlfn.XLOOKUP(Pipeline_tbl[[#This Row],[Rep_ID]],Dim_Reps!A:A,Dim_Reps!C:C)</f>
        <v>SDR / Inside Sales Rep</v>
      </c>
      <c r="Q3544" t="str">
        <f>_xlfn.XLOOKUP(Pipeline_tbl[[#This Row],[Rep_ID]],Dim_Reps!A:A,Dim_Reps!D:D)</f>
        <v>Inside Sales</v>
      </c>
      <c r="R3544" t="str">
        <f>_xlfn.XLOOKUP(Pipeline_tbl[[#This Row],[Rep_ID]],Dim_Reps!A:A,Dim_Reps!E:E)</f>
        <v>LATAM</v>
      </c>
      <c r="S3544" t="str">
        <f>_xlfn.XLOOKUP(Pipeline_tbl[[#This Row],[Created_Date]],Dim_Date!A:A,Dim_Date!H:H)</f>
        <v>Jun 2024</v>
      </c>
      <c r="T3544" t="str">
        <f>IF(Pipeline_tbl[[#This Row],[Closed_Date]]=0,"",(_xlfn.XLOOKUP(Pipeline_tbl[[#This Row],[Closed_Date]],Dim_Date!A:A,Dim_Date!H:H)))</f>
        <v>Jul 2024</v>
      </c>
      <c r="U3544">
        <f>IF(Pipeline_tbl[[#This Row],[Closed_Date]]=0,"",Pipeline_tbl[[#This Row],[Closed_Date]]-Pipeline_tbl[[#This Row],[Created_Date]])</f>
        <v>30</v>
      </c>
    </row>
    <row r="3545" spans="1:21" ht="15" customHeight="1" x14ac:dyDescent="0.2">
      <c r="A3545" t="s">
        <v>3851</v>
      </c>
      <c r="B3545" t="s">
        <v>221</v>
      </c>
      <c r="C3545" t="s">
        <v>56</v>
      </c>
      <c r="D3545" s="49">
        <v>45457</v>
      </c>
      <c r="E3545" s="49">
        <v>45459</v>
      </c>
      <c r="I3545" s="49">
        <v>45477</v>
      </c>
      <c r="J3545" t="s">
        <v>49</v>
      </c>
      <c r="K3545" s="33">
        <v>2100</v>
      </c>
      <c r="L3545" t="s">
        <v>60</v>
      </c>
      <c r="M3545" t="str">
        <f>_xlfn.XLOOKUP(Pipeline_tbl[[#This Row],[Rep_ID]],Dim_Reps!A:A,Dim_Reps!K:K)</f>
        <v>MXN</v>
      </c>
      <c r="N3545" s="33">
        <f>(_xlfn.XLOOKUP(Pipeline_tbl[[#This Row],[Rate_Code_Generalized]],Lookups!A:A,Lookups!B:B))*Pipeline_tbl[[#This Row],[Pipeline_Amount_USD]]</f>
        <v>41438.670000000006</v>
      </c>
      <c r="O3545" t="str">
        <f>_xlfn.XLOOKUP(Pipeline_tbl[[#This Row],[Rep_ID]],Dim_Reps!A:A,Dim_Reps!B:B)</f>
        <v>Casey Muller</v>
      </c>
      <c r="P3545" t="str">
        <f>_xlfn.XLOOKUP(Pipeline_tbl[[#This Row],[Rep_ID]],Dim_Reps!A:A,Dim_Reps!C:C)</f>
        <v>SDR / Inside Sales Rep</v>
      </c>
      <c r="Q3545" t="str">
        <f>_xlfn.XLOOKUP(Pipeline_tbl[[#This Row],[Rep_ID]],Dim_Reps!A:A,Dim_Reps!D:D)</f>
        <v>Inside Sales</v>
      </c>
      <c r="R3545" t="str">
        <f>_xlfn.XLOOKUP(Pipeline_tbl[[#This Row],[Rep_ID]],Dim_Reps!A:A,Dim_Reps!E:E)</f>
        <v>LATAM</v>
      </c>
      <c r="S3545" t="str">
        <f>_xlfn.XLOOKUP(Pipeline_tbl[[#This Row],[Created_Date]],Dim_Date!A:A,Dim_Date!H:H)</f>
        <v>Jun 2024</v>
      </c>
      <c r="T3545" t="str">
        <f>IF(Pipeline_tbl[[#This Row],[Closed_Date]]=0,"",(_xlfn.XLOOKUP(Pipeline_tbl[[#This Row],[Closed_Date]],Dim_Date!A:A,Dim_Date!H:H)))</f>
        <v>Jul 2024</v>
      </c>
      <c r="U3545">
        <f>IF(Pipeline_tbl[[#This Row],[Closed_Date]]=0,"",Pipeline_tbl[[#This Row],[Closed_Date]]-Pipeline_tbl[[#This Row],[Created_Date]])</f>
        <v>20</v>
      </c>
    </row>
    <row r="3546" spans="1:21" ht="15" customHeight="1" x14ac:dyDescent="0.2">
      <c r="A3546" t="s">
        <v>3852</v>
      </c>
      <c r="B3546" t="s">
        <v>221</v>
      </c>
      <c r="C3546" t="s">
        <v>53</v>
      </c>
      <c r="D3546" s="49">
        <v>45458</v>
      </c>
      <c r="E3546" s="49">
        <v>45461</v>
      </c>
      <c r="F3546" s="49">
        <v>45466</v>
      </c>
      <c r="G3546" s="49">
        <v>45474</v>
      </c>
      <c r="H3546" s="49">
        <v>45481</v>
      </c>
      <c r="I3546" s="49">
        <v>45485</v>
      </c>
      <c r="J3546" t="s">
        <v>47</v>
      </c>
      <c r="K3546" s="33">
        <v>5500</v>
      </c>
      <c r="M3546" t="str">
        <f>_xlfn.XLOOKUP(Pipeline_tbl[[#This Row],[Rep_ID]],Dim_Reps!A:A,Dim_Reps!K:K)</f>
        <v>MXN</v>
      </c>
      <c r="N3546" s="33">
        <f>(_xlfn.XLOOKUP(Pipeline_tbl[[#This Row],[Rate_Code_Generalized]],Lookups!A:A,Lookups!B:B))*Pipeline_tbl[[#This Row],[Pipeline_Amount_USD]]</f>
        <v>108529.85</v>
      </c>
      <c r="O3546" t="str">
        <f>_xlfn.XLOOKUP(Pipeline_tbl[[#This Row],[Rep_ID]],Dim_Reps!A:A,Dim_Reps!B:B)</f>
        <v>Casey Muller</v>
      </c>
      <c r="P3546" t="str">
        <f>_xlfn.XLOOKUP(Pipeline_tbl[[#This Row],[Rep_ID]],Dim_Reps!A:A,Dim_Reps!C:C)</f>
        <v>SDR / Inside Sales Rep</v>
      </c>
      <c r="Q3546" t="str">
        <f>_xlfn.XLOOKUP(Pipeline_tbl[[#This Row],[Rep_ID]],Dim_Reps!A:A,Dim_Reps!D:D)</f>
        <v>Inside Sales</v>
      </c>
      <c r="R3546" t="str">
        <f>_xlfn.XLOOKUP(Pipeline_tbl[[#This Row],[Rep_ID]],Dim_Reps!A:A,Dim_Reps!E:E)</f>
        <v>LATAM</v>
      </c>
      <c r="S3546" t="str">
        <f>_xlfn.XLOOKUP(Pipeline_tbl[[#This Row],[Created_Date]],Dim_Date!A:A,Dim_Date!H:H)</f>
        <v>Jun 2024</v>
      </c>
      <c r="T3546" t="str">
        <f>IF(Pipeline_tbl[[#This Row],[Closed_Date]]=0,"",(_xlfn.XLOOKUP(Pipeline_tbl[[#This Row],[Closed_Date]],Dim_Date!A:A,Dim_Date!H:H)))</f>
        <v>Jul 2024</v>
      </c>
      <c r="U3546">
        <f>IF(Pipeline_tbl[[#This Row],[Closed_Date]]=0,"",Pipeline_tbl[[#This Row],[Closed_Date]]-Pipeline_tbl[[#This Row],[Created_Date]])</f>
        <v>27</v>
      </c>
    </row>
    <row r="3547" spans="1:21" ht="15" customHeight="1" x14ac:dyDescent="0.2">
      <c r="A3547" t="s">
        <v>3853</v>
      </c>
      <c r="B3547" t="s">
        <v>259</v>
      </c>
      <c r="C3547" t="s">
        <v>52</v>
      </c>
      <c r="D3547" s="49">
        <v>45461</v>
      </c>
      <c r="E3547" s="49">
        <v>45463</v>
      </c>
      <c r="F3547" s="49">
        <v>45468</v>
      </c>
      <c r="G3547" s="49">
        <v>45475</v>
      </c>
      <c r="H3547" s="49">
        <v>45481</v>
      </c>
      <c r="I3547" s="49">
        <v>45485</v>
      </c>
      <c r="J3547" t="s">
        <v>47</v>
      </c>
      <c r="K3547" s="33">
        <v>11500</v>
      </c>
      <c r="M3547" t="str">
        <f>_xlfn.XLOOKUP(Pipeline_tbl[[#This Row],[Rep_ID]],Dim_Reps!A:A,Dim_Reps!K:K)</f>
        <v>EUR</v>
      </c>
      <c r="N3547" s="33">
        <f>(_xlfn.XLOOKUP(Pipeline_tbl[[#This Row],[Rate_Code_Generalized]],Lookups!A:A,Lookups!B:B))*Pipeline_tbl[[#This Row],[Pipeline_Amount_USD]]</f>
        <v>11500</v>
      </c>
      <c r="O3547" t="str">
        <f>_xlfn.XLOOKUP(Pipeline_tbl[[#This Row],[Rep_ID]],Dim_Reps!A:A,Dim_Reps!B:B)</f>
        <v>Felix Okafor</v>
      </c>
      <c r="P3547" t="str">
        <f>_xlfn.XLOOKUP(Pipeline_tbl[[#This Row],[Rep_ID]],Dim_Reps!A:A,Dim_Reps!C:C)</f>
        <v>Mid-Market AE</v>
      </c>
      <c r="Q3547" t="str">
        <f>_xlfn.XLOOKUP(Pipeline_tbl[[#This Row],[Rep_ID]],Dim_Reps!A:A,Dim_Reps!D:D)</f>
        <v>Mid-Market</v>
      </c>
      <c r="R3547" t="str">
        <f>_xlfn.XLOOKUP(Pipeline_tbl[[#This Row],[Rep_ID]],Dim_Reps!A:A,Dim_Reps!E:E)</f>
        <v>EMEA</v>
      </c>
      <c r="S3547" t="str">
        <f>_xlfn.XLOOKUP(Pipeline_tbl[[#This Row],[Created_Date]],Dim_Date!A:A,Dim_Date!H:H)</f>
        <v>Jun 2024</v>
      </c>
      <c r="T3547" t="str">
        <f>IF(Pipeline_tbl[[#This Row],[Closed_Date]]=0,"",(_xlfn.XLOOKUP(Pipeline_tbl[[#This Row],[Closed_Date]],Dim_Date!A:A,Dim_Date!H:H)))</f>
        <v>Jul 2024</v>
      </c>
      <c r="U3547">
        <f>IF(Pipeline_tbl[[#This Row],[Closed_Date]]=0,"",Pipeline_tbl[[#This Row],[Closed_Date]]-Pipeline_tbl[[#This Row],[Created_Date]])</f>
        <v>24</v>
      </c>
    </row>
    <row r="3548" spans="1:21" ht="15" customHeight="1" x14ac:dyDescent="0.2">
      <c r="A3548" t="s">
        <v>3854</v>
      </c>
      <c r="B3548" t="s">
        <v>259</v>
      </c>
      <c r="C3548" t="s">
        <v>54</v>
      </c>
      <c r="D3548" s="49">
        <v>45454</v>
      </c>
      <c r="E3548" s="49">
        <v>45457</v>
      </c>
      <c r="F3548" s="49">
        <v>45463</v>
      </c>
      <c r="G3548" s="49">
        <v>45472</v>
      </c>
      <c r="H3548" s="49">
        <v>45480</v>
      </c>
      <c r="I3548" s="49">
        <v>45484</v>
      </c>
      <c r="J3548" t="s">
        <v>47</v>
      </c>
      <c r="K3548" s="33">
        <v>10400</v>
      </c>
      <c r="M3548" t="str">
        <f>_xlfn.XLOOKUP(Pipeline_tbl[[#This Row],[Rep_ID]],Dim_Reps!A:A,Dim_Reps!K:K)</f>
        <v>EUR</v>
      </c>
      <c r="N3548" s="33">
        <f>(_xlfn.XLOOKUP(Pipeline_tbl[[#This Row],[Rate_Code_Generalized]],Lookups!A:A,Lookups!B:B))*Pipeline_tbl[[#This Row],[Pipeline_Amount_USD]]</f>
        <v>10400</v>
      </c>
      <c r="O3548" t="str">
        <f>_xlfn.XLOOKUP(Pipeline_tbl[[#This Row],[Rep_ID]],Dim_Reps!A:A,Dim_Reps!B:B)</f>
        <v>Felix Okafor</v>
      </c>
      <c r="P3548" t="str">
        <f>_xlfn.XLOOKUP(Pipeline_tbl[[#This Row],[Rep_ID]],Dim_Reps!A:A,Dim_Reps!C:C)</f>
        <v>Mid-Market AE</v>
      </c>
      <c r="Q3548" t="str">
        <f>_xlfn.XLOOKUP(Pipeline_tbl[[#This Row],[Rep_ID]],Dim_Reps!A:A,Dim_Reps!D:D)</f>
        <v>Mid-Market</v>
      </c>
      <c r="R3548" t="str">
        <f>_xlfn.XLOOKUP(Pipeline_tbl[[#This Row],[Rep_ID]],Dim_Reps!A:A,Dim_Reps!E:E)</f>
        <v>EMEA</v>
      </c>
      <c r="S3548" t="str">
        <f>_xlfn.XLOOKUP(Pipeline_tbl[[#This Row],[Created_Date]],Dim_Date!A:A,Dim_Date!H:H)</f>
        <v>Jun 2024</v>
      </c>
      <c r="T3548" t="str">
        <f>IF(Pipeline_tbl[[#This Row],[Closed_Date]]=0,"",(_xlfn.XLOOKUP(Pipeline_tbl[[#This Row],[Closed_Date]],Dim_Date!A:A,Dim_Date!H:H)))</f>
        <v>Jul 2024</v>
      </c>
      <c r="U3548">
        <f>IF(Pipeline_tbl[[#This Row],[Closed_Date]]=0,"",Pipeline_tbl[[#This Row],[Closed_Date]]-Pipeline_tbl[[#This Row],[Created_Date]])</f>
        <v>30</v>
      </c>
    </row>
    <row r="3549" spans="1:21" ht="15" customHeight="1" x14ac:dyDescent="0.2">
      <c r="A3549" t="s">
        <v>3855</v>
      </c>
      <c r="B3549" t="s">
        <v>259</v>
      </c>
      <c r="C3549" t="s">
        <v>53</v>
      </c>
      <c r="D3549" s="49">
        <v>45453</v>
      </c>
      <c r="E3549" s="49">
        <v>45457</v>
      </c>
      <c r="F3549" s="49">
        <v>45464</v>
      </c>
      <c r="G3549" s="49">
        <v>45476</v>
      </c>
      <c r="H3549" s="49">
        <v>45485</v>
      </c>
      <c r="I3549" s="49">
        <v>45491</v>
      </c>
      <c r="J3549" t="s">
        <v>47</v>
      </c>
      <c r="K3549" s="33">
        <v>10200</v>
      </c>
      <c r="M3549" t="str">
        <f>_xlfn.XLOOKUP(Pipeline_tbl[[#This Row],[Rep_ID]],Dim_Reps!A:A,Dim_Reps!K:K)</f>
        <v>EUR</v>
      </c>
      <c r="N3549" s="33">
        <f>(_xlfn.XLOOKUP(Pipeline_tbl[[#This Row],[Rate_Code_Generalized]],Lookups!A:A,Lookups!B:B))*Pipeline_tbl[[#This Row],[Pipeline_Amount_USD]]</f>
        <v>10200</v>
      </c>
      <c r="O3549" t="str">
        <f>_xlfn.XLOOKUP(Pipeline_tbl[[#This Row],[Rep_ID]],Dim_Reps!A:A,Dim_Reps!B:B)</f>
        <v>Felix Okafor</v>
      </c>
      <c r="P3549" t="str">
        <f>_xlfn.XLOOKUP(Pipeline_tbl[[#This Row],[Rep_ID]],Dim_Reps!A:A,Dim_Reps!C:C)</f>
        <v>Mid-Market AE</v>
      </c>
      <c r="Q3549" t="str">
        <f>_xlfn.XLOOKUP(Pipeline_tbl[[#This Row],[Rep_ID]],Dim_Reps!A:A,Dim_Reps!D:D)</f>
        <v>Mid-Market</v>
      </c>
      <c r="R3549" t="str">
        <f>_xlfn.XLOOKUP(Pipeline_tbl[[#This Row],[Rep_ID]],Dim_Reps!A:A,Dim_Reps!E:E)</f>
        <v>EMEA</v>
      </c>
      <c r="S3549" t="str">
        <f>_xlfn.XLOOKUP(Pipeline_tbl[[#This Row],[Created_Date]],Dim_Date!A:A,Dim_Date!H:H)</f>
        <v>Jun 2024</v>
      </c>
      <c r="T3549" t="str">
        <f>IF(Pipeline_tbl[[#This Row],[Closed_Date]]=0,"",(_xlfn.XLOOKUP(Pipeline_tbl[[#This Row],[Closed_Date]],Dim_Date!A:A,Dim_Date!H:H)))</f>
        <v>Jul 2024</v>
      </c>
      <c r="U3549">
        <f>IF(Pipeline_tbl[[#This Row],[Closed_Date]]=0,"",Pipeline_tbl[[#This Row],[Closed_Date]]-Pipeline_tbl[[#This Row],[Created_Date]])</f>
        <v>38</v>
      </c>
    </row>
    <row r="3550" spans="1:21" ht="15" customHeight="1" x14ac:dyDescent="0.2">
      <c r="A3550" t="s">
        <v>3856</v>
      </c>
      <c r="B3550" t="s">
        <v>225</v>
      </c>
      <c r="C3550" t="s">
        <v>55</v>
      </c>
      <c r="D3550" s="49">
        <v>45457</v>
      </c>
      <c r="E3550" s="49">
        <v>45459</v>
      </c>
      <c r="F3550" s="49">
        <v>45465</v>
      </c>
      <c r="I3550" s="49">
        <v>45482</v>
      </c>
      <c r="J3550" t="s">
        <v>49</v>
      </c>
      <c r="K3550" s="33">
        <v>3500</v>
      </c>
      <c r="L3550" t="s">
        <v>61</v>
      </c>
      <c r="M3550" t="str">
        <f>_xlfn.XLOOKUP(Pipeline_tbl[[#This Row],[Rep_ID]],Dim_Reps!A:A,Dim_Reps!K:K)</f>
        <v>USD</v>
      </c>
      <c r="N3550" s="33">
        <f>(_xlfn.XLOOKUP(Pipeline_tbl[[#This Row],[Rate_Code_Generalized]],Lookups!A:A,Lookups!B:B))*Pipeline_tbl[[#This Row],[Pipeline_Amount_USD]]</f>
        <v>4075.0499999999997</v>
      </c>
      <c r="O3550" t="str">
        <f>_xlfn.XLOOKUP(Pipeline_tbl[[#This Row],[Rep_ID]],Dim_Reps!A:A,Dim_Reps!B:B)</f>
        <v>Alex Muller</v>
      </c>
      <c r="P3550" t="str">
        <f>_xlfn.XLOOKUP(Pipeline_tbl[[#This Row],[Rep_ID]],Dim_Reps!A:A,Dim_Reps!C:C)</f>
        <v>SDR / Inside Sales Rep</v>
      </c>
      <c r="Q3550" t="str">
        <f>_xlfn.XLOOKUP(Pipeline_tbl[[#This Row],[Rep_ID]],Dim_Reps!A:A,Dim_Reps!D:D)</f>
        <v>Inside Sales</v>
      </c>
      <c r="R3550" t="str">
        <f>_xlfn.XLOOKUP(Pipeline_tbl[[#This Row],[Rep_ID]],Dim_Reps!A:A,Dim_Reps!E:E)</f>
        <v>NAMER</v>
      </c>
      <c r="S3550" t="str">
        <f>_xlfn.XLOOKUP(Pipeline_tbl[[#This Row],[Created_Date]],Dim_Date!A:A,Dim_Date!H:H)</f>
        <v>Jun 2024</v>
      </c>
      <c r="T3550" t="str">
        <f>IF(Pipeline_tbl[[#This Row],[Closed_Date]]=0,"",(_xlfn.XLOOKUP(Pipeline_tbl[[#This Row],[Closed_Date]],Dim_Date!A:A,Dim_Date!H:H)))</f>
        <v>Jul 2024</v>
      </c>
      <c r="U3550">
        <f>IF(Pipeline_tbl[[#This Row],[Closed_Date]]=0,"",Pipeline_tbl[[#This Row],[Closed_Date]]-Pipeline_tbl[[#This Row],[Created_Date]])</f>
        <v>25</v>
      </c>
    </row>
    <row r="3551" spans="1:21" ht="15" customHeight="1" x14ac:dyDescent="0.2">
      <c r="A3551" t="s">
        <v>3857</v>
      </c>
      <c r="B3551" t="s">
        <v>225</v>
      </c>
      <c r="C3551" t="s">
        <v>54</v>
      </c>
      <c r="D3551" s="49">
        <v>45465</v>
      </c>
      <c r="E3551" s="49">
        <v>45468</v>
      </c>
      <c r="F3551" s="49">
        <v>45473</v>
      </c>
      <c r="G3551" s="49">
        <v>45481</v>
      </c>
      <c r="H3551" s="49">
        <v>45487</v>
      </c>
      <c r="I3551" s="49">
        <v>45491</v>
      </c>
      <c r="J3551" t="s">
        <v>47</v>
      </c>
      <c r="K3551" s="33">
        <v>1900</v>
      </c>
      <c r="M3551" t="str">
        <f>_xlfn.XLOOKUP(Pipeline_tbl[[#This Row],[Rep_ID]],Dim_Reps!A:A,Dim_Reps!K:K)</f>
        <v>USD</v>
      </c>
      <c r="N3551" s="33">
        <f>(_xlfn.XLOOKUP(Pipeline_tbl[[#This Row],[Rate_Code_Generalized]],Lookups!A:A,Lookups!B:B))*Pipeline_tbl[[#This Row],[Pipeline_Amount_USD]]</f>
        <v>2212.1699999999996</v>
      </c>
      <c r="O3551" t="str">
        <f>_xlfn.XLOOKUP(Pipeline_tbl[[#This Row],[Rep_ID]],Dim_Reps!A:A,Dim_Reps!B:B)</f>
        <v>Alex Muller</v>
      </c>
      <c r="P3551" t="str">
        <f>_xlfn.XLOOKUP(Pipeline_tbl[[#This Row],[Rep_ID]],Dim_Reps!A:A,Dim_Reps!C:C)</f>
        <v>SDR / Inside Sales Rep</v>
      </c>
      <c r="Q3551" t="str">
        <f>_xlfn.XLOOKUP(Pipeline_tbl[[#This Row],[Rep_ID]],Dim_Reps!A:A,Dim_Reps!D:D)</f>
        <v>Inside Sales</v>
      </c>
      <c r="R3551" t="str">
        <f>_xlfn.XLOOKUP(Pipeline_tbl[[#This Row],[Rep_ID]],Dim_Reps!A:A,Dim_Reps!E:E)</f>
        <v>NAMER</v>
      </c>
      <c r="S3551" t="str">
        <f>_xlfn.XLOOKUP(Pipeline_tbl[[#This Row],[Created_Date]],Dim_Date!A:A,Dim_Date!H:H)</f>
        <v>Jun 2024</v>
      </c>
      <c r="T3551" t="str">
        <f>IF(Pipeline_tbl[[#This Row],[Closed_Date]]=0,"",(_xlfn.XLOOKUP(Pipeline_tbl[[#This Row],[Closed_Date]],Dim_Date!A:A,Dim_Date!H:H)))</f>
        <v>Jul 2024</v>
      </c>
      <c r="U3551">
        <f>IF(Pipeline_tbl[[#This Row],[Closed_Date]]=0,"",Pipeline_tbl[[#This Row],[Closed_Date]]-Pipeline_tbl[[#This Row],[Created_Date]])</f>
        <v>26</v>
      </c>
    </row>
    <row r="3552" spans="1:21" ht="15" customHeight="1" x14ac:dyDescent="0.2">
      <c r="A3552" t="s">
        <v>3858</v>
      </c>
      <c r="B3552" t="s">
        <v>225</v>
      </c>
      <c r="C3552" t="s">
        <v>52</v>
      </c>
      <c r="D3552" s="49">
        <v>45462</v>
      </c>
      <c r="E3552" s="49">
        <v>45464</v>
      </c>
      <c r="F3552" s="49">
        <v>45468</v>
      </c>
      <c r="G3552" s="49">
        <v>45473</v>
      </c>
      <c r="H3552" s="49">
        <v>45478</v>
      </c>
      <c r="I3552" s="49">
        <v>45481</v>
      </c>
      <c r="J3552" t="s">
        <v>47</v>
      </c>
      <c r="K3552" s="33">
        <v>2600</v>
      </c>
      <c r="M3552" t="str">
        <f>_xlfn.XLOOKUP(Pipeline_tbl[[#This Row],[Rep_ID]],Dim_Reps!A:A,Dim_Reps!K:K)</f>
        <v>USD</v>
      </c>
      <c r="N3552" s="33">
        <f>(_xlfn.XLOOKUP(Pipeline_tbl[[#This Row],[Rate_Code_Generalized]],Lookups!A:A,Lookups!B:B))*Pipeline_tbl[[#This Row],[Pipeline_Amount_USD]]</f>
        <v>3027.18</v>
      </c>
      <c r="O3552" t="str">
        <f>_xlfn.XLOOKUP(Pipeline_tbl[[#This Row],[Rep_ID]],Dim_Reps!A:A,Dim_Reps!B:B)</f>
        <v>Alex Muller</v>
      </c>
      <c r="P3552" t="str">
        <f>_xlfn.XLOOKUP(Pipeline_tbl[[#This Row],[Rep_ID]],Dim_Reps!A:A,Dim_Reps!C:C)</f>
        <v>SDR / Inside Sales Rep</v>
      </c>
      <c r="Q3552" t="str">
        <f>_xlfn.XLOOKUP(Pipeline_tbl[[#This Row],[Rep_ID]],Dim_Reps!A:A,Dim_Reps!D:D)</f>
        <v>Inside Sales</v>
      </c>
      <c r="R3552" t="str">
        <f>_xlfn.XLOOKUP(Pipeline_tbl[[#This Row],[Rep_ID]],Dim_Reps!A:A,Dim_Reps!E:E)</f>
        <v>NAMER</v>
      </c>
      <c r="S3552" t="str">
        <f>_xlfn.XLOOKUP(Pipeline_tbl[[#This Row],[Created_Date]],Dim_Date!A:A,Dim_Date!H:H)</f>
        <v>Jun 2024</v>
      </c>
      <c r="T3552" t="str">
        <f>IF(Pipeline_tbl[[#This Row],[Closed_Date]]=0,"",(_xlfn.XLOOKUP(Pipeline_tbl[[#This Row],[Closed_Date]],Dim_Date!A:A,Dim_Date!H:H)))</f>
        <v>Jul 2024</v>
      </c>
      <c r="U3552">
        <f>IF(Pipeline_tbl[[#This Row],[Closed_Date]]=0,"",Pipeline_tbl[[#This Row],[Closed_Date]]-Pipeline_tbl[[#This Row],[Created_Date]])</f>
        <v>19</v>
      </c>
    </row>
    <row r="3553" spans="1:21" ht="15" customHeight="1" x14ac:dyDescent="0.2">
      <c r="A3553" t="s">
        <v>3859</v>
      </c>
      <c r="B3553" t="s">
        <v>225</v>
      </c>
      <c r="C3553" t="s">
        <v>53</v>
      </c>
      <c r="D3553" s="49">
        <v>45465</v>
      </c>
      <c r="E3553" s="49">
        <v>45467</v>
      </c>
      <c r="F3553" s="49">
        <v>45472</v>
      </c>
      <c r="G3553" s="49">
        <v>45479</v>
      </c>
      <c r="H3553" s="49">
        <v>45485</v>
      </c>
      <c r="I3553" s="49">
        <v>45489</v>
      </c>
      <c r="J3553" t="s">
        <v>49</v>
      </c>
      <c r="K3553" s="33">
        <v>2500</v>
      </c>
      <c r="L3553" t="s">
        <v>64</v>
      </c>
      <c r="M3553" t="str">
        <f>_xlfn.XLOOKUP(Pipeline_tbl[[#This Row],[Rep_ID]],Dim_Reps!A:A,Dim_Reps!K:K)</f>
        <v>USD</v>
      </c>
      <c r="N3553" s="33">
        <f>(_xlfn.XLOOKUP(Pipeline_tbl[[#This Row],[Rate_Code_Generalized]],Lookups!A:A,Lookups!B:B))*Pipeline_tbl[[#This Row],[Pipeline_Amount_USD]]</f>
        <v>2910.7499999999995</v>
      </c>
      <c r="O3553" t="str">
        <f>_xlfn.XLOOKUP(Pipeline_tbl[[#This Row],[Rep_ID]],Dim_Reps!A:A,Dim_Reps!B:B)</f>
        <v>Alex Muller</v>
      </c>
      <c r="P3553" t="str">
        <f>_xlfn.XLOOKUP(Pipeline_tbl[[#This Row],[Rep_ID]],Dim_Reps!A:A,Dim_Reps!C:C)</f>
        <v>SDR / Inside Sales Rep</v>
      </c>
      <c r="Q3553" t="str">
        <f>_xlfn.XLOOKUP(Pipeline_tbl[[#This Row],[Rep_ID]],Dim_Reps!A:A,Dim_Reps!D:D)</f>
        <v>Inside Sales</v>
      </c>
      <c r="R3553" t="str">
        <f>_xlfn.XLOOKUP(Pipeline_tbl[[#This Row],[Rep_ID]],Dim_Reps!A:A,Dim_Reps!E:E)</f>
        <v>NAMER</v>
      </c>
      <c r="S3553" t="str">
        <f>_xlfn.XLOOKUP(Pipeline_tbl[[#This Row],[Created_Date]],Dim_Date!A:A,Dim_Date!H:H)</f>
        <v>Jun 2024</v>
      </c>
      <c r="T3553" t="str">
        <f>IF(Pipeline_tbl[[#This Row],[Closed_Date]]=0,"",(_xlfn.XLOOKUP(Pipeline_tbl[[#This Row],[Closed_Date]],Dim_Date!A:A,Dim_Date!H:H)))</f>
        <v>Jul 2024</v>
      </c>
      <c r="U3553">
        <f>IF(Pipeline_tbl[[#This Row],[Closed_Date]]=0,"",Pipeline_tbl[[#This Row],[Closed_Date]]-Pipeline_tbl[[#This Row],[Created_Date]])</f>
        <v>24</v>
      </c>
    </row>
    <row r="3554" spans="1:21" ht="15" customHeight="1" x14ac:dyDescent="0.2">
      <c r="A3554" t="s">
        <v>3860</v>
      </c>
      <c r="B3554" t="s">
        <v>225</v>
      </c>
      <c r="C3554" t="s">
        <v>52</v>
      </c>
      <c r="D3554" s="49">
        <v>45456</v>
      </c>
      <c r="E3554" s="49">
        <v>45458</v>
      </c>
      <c r="F3554" s="49">
        <v>45463</v>
      </c>
      <c r="G3554" s="49">
        <v>45470</v>
      </c>
      <c r="H3554" s="49">
        <v>45476</v>
      </c>
      <c r="I3554" s="49">
        <v>45480</v>
      </c>
      <c r="J3554" t="s">
        <v>49</v>
      </c>
      <c r="K3554" s="33">
        <v>4200</v>
      </c>
      <c r="L3554" t="s">
        <v>61</v>
      </c>
      <c r="M3554" t="str">
        <f>_xlfn.XLOOKUP(Pipeline_tbl[[#This Row],[Rep_ID]],Dim_Reps!A:A,Dim_Reps!K:K)</f>
        <v>USD</v>
      </c>
      <c r="N3554" s="33">
        <f>(_xlfn.XLOOKUP(Pipeline_tbl[[#This Row],[Rate_Code_Generalized]],Lookups!A:A,Lookups!B:B))*Pipeline_tbl[[#This Row],[Pipeline_Amount_USD]]</f>
        <v>4890.0599999999995</v>
      </c>
      <c r="O3554" t="str">
        <f>_xlfn.XLOOKUP(Pipeline_tbl[[#This Row],[Rep_ID]],Dim_Reps!A:A,Dim_Reps!B:B)</f>
        <v>Alex Muller</v>
      </c>
      <c r="P3554" t="str">
        <f>_xlfn.XLOOKUP(Pipeline_tbl[[#This Row],[Rep_ID]],Dim_Reps!A:A,Dim_Reps!C:C)</f>
        <v>SDR / Inside Sales Rep</v>
      </c>
      <c r="Q3554" t="str">
        <f>_xlfn.XLOOKUP(Pipeline_tbl[[#This Row],[Rep_ID]],Dim_Reps!A:A,Dim_Reps!D:D)</f>
        <v>Inside Sales</v>
      </c>
      <c r="R3554" t="str">
        <f>_xlfn.XLOOKUP(Pipeline_tbl[[#This Row],[Rep_ID]],Dim_Reps!A:A,Dim_Reps!E:E)</f>
        <v>NAMER</v>
      </c>
      <c r="S3554" t="str">
        <f>_xlfn.XLOOKUP(Pipeline_tbl[[#This Row],[Created_Date]],Dim_Date!A:A,Dim_Date!H:H)</f>
        <v>Jun 2024</v>
      </c>
      <c r="T3554" t="str">
        <f>IF(Pipeline_tbl[[#This Row],[Closed_Date]]=0,"",(_xlfn.XLOOKUP(Pipeline_tbl[[#This Row],[Closed_Date]],Dim_Date!A:A,Dim_Date!H:H)))</f>
        <v>Jul 2024</v>
      </c>
      <c r="U3554">
        <f>IF(Pipeline_tbl[[#This Row],[Closed_Date]]=0,"",Pipeline_tbl[[#This Row],[Closed_Date]]-Pipeline_tbl[[#This Row],[Created_Date]])</f>
        <v>24</v>
      </c>
    </row>
    <row r="3555" spans="1:21" ht="15" customHeight="1" x14ac:dyDescent="0.2">
      <c r="A3555" t="s">
        <v>3861</v>
      </c>
      <c r="B3555" t="s">
        <v>225</v>
      </c>
      <c r="C3555" t="s">
        <v>52</v>
      </c>
      <c r="D3555" s="49">
        <v>45468</v>
      </c>
      <c r="E3555" s="49">
        <v>45470</v>
      </c>
      <c r="F3555" s="49">
        <v>45473</v>
      </c>
      <c r="G3555" s="49">
        <v>45478</v>
      </c>
      <c r="I3555" s="49">
        <v>45485</v>
      </c>
      <c r="J3555" t="s">
        <v>49</v>
      </c>
      <c r="K3555" s="33">
        <v>4700</v>
      </c>
      <c r="L3555" t="s">
        <v>62</v>
      </c>
      <c r="M3555" t="str">
        <f>_xlfn.XLOOKUP(Pipeline_tbl[[#This Row],[Rep_ID]],Dim_Reps!A:A,Dim_Reps!K:K)</f>
        <v>USD</v>
      </c>
      <c r="N3555" s="33">
        <f>(_xlfn.XLOOKUP(Pipeline_tbl[[#This Row],[Rate_Code_Generalized]],Lookups!A:A,Lookups!B:B))*Pipeline_tbl[[#This Row],[Pipeline_Amount_USD]]</f>
        <v>5472.2099999999991</v>
      </c>
      <c r="O3555" t="str">
        <f>_xlfn.XLOOKUP(Pipeline_tbl[[#This Row],[Rep_ID]],Dim_Reps!A:A,Dim_Reps!B:B)</f>
        <v>Alex Muller</v>
      </c>
      <c r="P3555" t="str">
        <f>_xlfn.XLOOKUP(Pipeline_tbl[[#This Row],[Rep_ID]],Dim_Reps!A:A,Dim_Reps!C:C)</f>
        <v>SDR / Inside Sales Rep</v>
      </c>
      <c r="Q3555" t="str">
        <f>_xlfn.XLOOKUP(Pipeline_tbl[[#This Row],[Rep_ID]],Dim_Reps!A:A,Dim_Reps!D:D)</f>
        <v>Inside Sales</v>
      </c>
      <c r="R3555" t="str">
        <f>_xlfn.XLOOKUP(Pipeline_tbl[[#This Row],[Rep_ID]],Dim_Reps!A:A,Dim_Reps!E:E)</f>
        <v>NAMER</v>
      </c>
      <c r="S3555" t="str">
        <f>_xlfn.XLOOKUP(Pipeline_tbl[[#This Row],[Created_Date]],Dim_Date!A:A,Dim_Date!H:H)</f>
        <v>Jun 2024</v>
      </c>
      <c r="T3555" t="str">
        <f>IF(Pipeline_tbl[[#This Row],[Closed_Date]]=0,"",(_xlfn.XLOOKUP(Pipeline_tbl[[#This Row],[Closed_Date]],Dim_Date!A:A,Dim_Date!H:H)))</f>
        <v>Jul 2024</v>
      </c>
      <c r="U3555">
        <f>IF(Pipeline_tbl[[#This Row],[Closed_Date]]=0,"",Pipeline_tbl[[#This Row],[Closed_Date]]-Pipeline_tbl[[#This Row],[Created_Date]])</f>
        <v>17</v>
      </c>
    </row>
    <row r="3556" spans="1:21" ht="15" customHeight="1" x14ac:dyDescent="0.2">
      <c r="A3556" t="s">
        <v>3862</v>
      </c>
      <c r="B3556" t="s">
        <v>225</v>
      </c>
      <c r="C3556" t="s">
        <v>52</v>
      </c>
      <c r="D3556" s="49">
        <v>45463</v>
      </c>
      <c r="E3556" s="49">
        <v>45464</v>
      </c>
      <c r="F3556" s="49">
        <v>45467</v>
      </c>
      <c r="G3556" s="49">
        <v>45471</v>
      </c>
      <c r="I3556" s="49">
        <v>45476</v>
      </c>
      <c r="J3556" t="s">
        <v>49</v>
      </c>
      <c r="K3556" s="33">
        <v>7000</v>
      </c>
      <c r="L3556" t="s">
        <v>60</v>
      </c>
      <c r="M3556" t="str">
        <f>_xlfn.XLOOKUP(Pipeline_tbl[[#This Row],[Rep_ID]],Dim_Reps!A:A,Dim_Reps!K:K)</f>
        <v>USD</v>
      </c>
      <c r="N3556" s="33">
        <f>(_xlfn.XLOOKUP(Pipeline_tbl[[#This Row],[Rate_Code_Generalized]],Lookups!A:A,Lookups!B:B))*Pipeline_tbl[[#This Row],[Pipeline_Amount_USD]]</f>
        <v>8150.0999999999995</v>
      </c>
      <c r="O3556" t="str">
        <f>_xlfn.XLOOKUP(Pipeline_tbl[[#This Row],[Rep_ID]],Dim_Reps!A:A,Dim_Reps!B:B)</f>
        <v>Alex Muller</v>
      </c>
      <c r="P3556" t="str">
        <f>_xlfn.XLOOKUP(Pipeline_tbl[[#This Row],[Rep_ID]],Dim_Reps!A:A,Dim_Reps!C:C)</f>
        <v>SDR / Inside Sales Rep</v>
      </c>
      <c r="Q3556" t="str">
        <f>_xlfn.XLOOKUP(Pipeline_tbl[[#This Row],[Rep_ID]],Dim_Reps!A:A,Dim_Reps!D:D)</f>
        <v>Inside Sales</v>
      </c>
      <c r="R3556" t="str">
        <f>_xlfn.XLOOKUP(Pipeline_tbl[[#This Row],[Rep_ID]],Dim_Reps!A:A,Dim_Reps!E:E)</f>
        <v>NAMER</v>
      </c>
      <c r="S3556" t="str">
        <f>_xlfn.XLOOKUP(Pipeline_tbl[[#This Row],[Created_Date]],Dim_Date!A:A,Dim_Date!H:H)</f>
        <v>Jun 2024</v>
      </c>
      <c r="T3556" t="str">
        <f>IF(Pipeline_tbl[[#This Row],[Closed_Date]]=0,"",(_xlfn.XLOOKUP(Pipeline_tbl[[#This Row],[Closed_Date]],Dim_Date!A:A,Dim_Date!H:H)))</f>
        <v>Jul 2024</v>
      </c>
      <c r="U3556">
        <f>IF(Pipeline_tbl[[#This Row],[Closed_Date]]=0,"",Pipeline_tbl[[#This Row],[Closed_Date]]-Pipeline_tbl[[#This Row],[Created_Date]])</f>
        <v>13</v>
      </c>
    </row>
    <row r="3557" spans="1:21" ht="15" customHeight="1" x14ac:dyDescent="0.2">
      <c r="A3557" t="s">
        <v>3863</v>
      </c>
      <c r="B3557" t="s">
        <v>225</v>
      </c>
      <c r="C3557" t="s">
        <v>54</v>
      </c>
      <c r="D3557" s="49">
        <v>45469</v>
      </c>
      <c r="E3557" s="49">
        <v>45471</v>
      </c>
      <c r="F3557" s="49">
        <v>45474</v>
      </c>
      <c r="G3557" s="49">
        <v>45480</v>
      </c>
      <c r="H3557" s="49">
        <v>45484</v>
      </c>
      <c r="I3557" s="49">
        <v>45487</v>
      </c>
      <c r="J3557" t="s">
        <v>49</v>
      </c>
      <c r="K3557" s="33">
        <v>3400</v>
      </c>
      <c r="L3557" t="s">
        <v>60</v>
      </c>
      <c r="M3557" t="str">
        <f>_xlfn.XLOOKUP(Pipeline_tbl[[#This Row],[Rep_ID]],Dim_Reps!A:A,Dim_Reps!K:K)</f>
        <v>USD</v>
      </c>
      <c r="N3557" s="33">
        <f>(_xlfn.XLOOKUP(Pipeline_tbl[[#This Row],[Rate_Code_Generalized]],Lookups!A:A,Lookups!B:B))*Pipeline_tbl[[#This Row],[Pipeline_Amount_USD]]</f>
        <v>3958.6199999999994</v>
      </c>
      <c r="O3557" t="str">
        <f>_xlfn.XLOOKUP(Pipeline_tbl[[#This Row],[Rep_ID]],Dim_Reps!A:A,Dim_Reps!B:B)</f>
        <v>Alex Muller</v>
      </c>
      <c r="P3557" t="str">
        <f>_xlfn.XLOOKUP(Pipeline_tbl[[#This Row],[Rep_ID]],Dim_Reps!A:A,Dim_Reps!C:C)</f>
        <v>SDR / Inside Sales Rep</v>
      </c>
      <c r="Q3557" t="str">
        <f>_xlfn.XLOOKUP(Pipeline_tbl[[#This Row],[Rep_ID]],Dim_Reps!A:A,Dim_Reps!D:D)</f>
        <v>Inside Sales</v>
      </c>
      <c r="R3557" t="str">
        <f>_xlfn.XLOOKUP(Pipeline_tbl[[#This Row],[Rep_ID]],Dim_Reps!A:A,Dim_Reps!E:E)</f>
        <v>NAMER</v>
      </c>
      <c r="S3557" t="str">
        <f>_xlfn.XLOOKUP(Pipeline_tbl[[#This Row],[Created_Date]],Dim_Date!A:A,Dim_Date!H:H)</f>
        <v>Jun 2024</v>
      </c>
      <c r="T3557" t="str">
        <f>IF(Pipeline_tbl[[#This Row],[Closed_Date]]=0,"",(_xlfn.XLOOKUP(Pipeline_tbl[[#This Row],[Closed_Date]],Dim_Date!A:A,Dim_Date!H:H)))</f>
        <v>Jul 2024</v>
      </c>
      <c r="U3557">
        <f>IF(Pipeline_tbl[[#This Row],[Closed_Date]]=0,"",Pipeline_tbl[[#This Row],[Closed_Date]]-Pipeline_tbl[[#This Row],[Created_Date]])</f>
        <v>18</v>
      </c>
    </row>
    <row r="3558" spans="1:21" ht="15" customHeight="1" x14ac:dyDescent="0.2">
      <c r="A3558" t="s">
        <v>3864</v>
      </c>
      <c r="B3558" t="s">
        <v>225</v>
      </c>
      <c r="C3558" t="s">
        <v>54</v>
      </c>
      <c r="D3558" s="49">
        <v>45451</v>
      </c>
      <c r="E3558" s="49">
        <v>45454</v>
      </c>
      <c r="F3558" s="49">
        <v>45460</v>
      </c>
      <c r="G3558" s="49">
        <v>45470</v>
      </c>
      <c r="H3558" s="49">
        <v>45477</v>
      </c>
      <c r="I3558" s="49">
        <v>45482</v>
      </c>
      <c r="J3558" t="s">
        <v>47</v>
      </c>
      <c r="K3558" s="33">
        <v>4800</v>
      </c>
      <c r="M3558" t="str">
        <f>_xlfn.XLOOKUP(Pipeline_tbl[[#This Row],[Rep_ID]],Dim_Reps!A:A,Dim_Reps!K:K)</f>
        <v>USD</v>
      </c>
      <c r="N3558" s="33">
        <f>(_xlfn.XLOOKUP(Pipeline_tbl[[#This Row],[Rate_Code_Generalized]],Lookups!A:A,Lookups!B:B))*Pipeline_tbl[[#This Row],[Pipeline_Amount_USD]]</f>
        <v>5588.6399999999994</v>
      </c>
      <c r="O3558" t="str">
        <f>_xlfn.XLOOKUP(Pipeline_tbl[[#This Row],[Rep_ID]],Dim_Reps!A:A,Dim_Reps!B:B)</f>
        <v>Alex Muller</v>
      </c>
      <c r="P3558" t="str">
        <f>_xlfn.XLOOKUP(Pipeline_tbl[[#This Row],[Rep_ID]],Dim_Reps!A:A,Dim_Reps!C:C)</f>
        <v>SDR / Inside Sales Rep</v>
      </c>
      <c r="Q3558" t="str">
        <f>_xlfn.XLOOKUP(Pipeline_tbl[[#This Row],[Rep_ID]],Dim_Reps!A:A,Dim_Reps!D:D)</f>
        <v>Inside Sales</v>
      </c>
      <c r="R3558" t="str">
        <f>_xlfn.XLOOKUP(Pipeline_tbl[[#This Row],[Rep_ID]],Dim_Reps!A:A,Dim_Reps!E:E)</f>
        <v>NAMER</v>
      </c>
      <c r="S3558" t="str">
        <f>_xlfn.XLOOKUP(Pipeline_tbl[[#This Row],[Created_Date]],Dim_Date!A:A,Dim_Date!H:H)</f>
        <v>Jun 2024</v>
      </c>
      <c r="T3558" t="str">
        <f>IF(Pipeline_tbl[[#This Row],[Closed_Date]]=0,"",(_xlfn.XLOOKUP(Pipeline_tbl[[#This Row],[Closed_Date]],Dim_Date!A:A,Dim_Date!H:H)))</f>
        <v>Jul 2024</v>
      </c>
      <c r="U3558">
        <f>IF(Pipeline_tbl[[#This Row],[Closed_Date]]=0,"",Pipeline_tbl[[#This Row],[Closed_Date]]-Pipeline_tbl[[#This Row],[Created_Date]])</f>
        <v>31</v>
      </c>
    </row>
    <row r="3559" spans="1:21" ht="15" customHeight="1" x14ac:dyDescent="0.2">
      <c r="A3559" t="s">
        <v>3865</v>
      </c>
      <c r="B3559" t="s">
        <v>225</v>
      </c>
      <c r="C3559" t="s">
        <v>52</v>
      </c>
      <c r="D3559" s="49">
        <v>45466</v>
      </c>
      <c r="E3559" s="49">
        <v>45468</v>
      </c>
      <c r="F3559" s="49">
        <v>45472</v>
      </c>
      <c r="G3559" s="49">
        <v>45479</v>
      </c>
      <c r="H3559" s="49">
        <v>45484</v>
      </c>
      <c r="I3559" s="49">
        <v>45487</v>
      </c>
      <c r="J3559" t="s">
        <v>47</v>
      </c>
      <c r="K3559" s="33">
        <v>7500</v>
      </c>
      <c r="M3559" t="str">
        <f>_xlfn.XLOOKUP(Pipeline_tbl[[#This Row],[Rep_ID]],Dim_Reps!A:A,Dim_Reps!K:K)</f>
        <v>USD</v>
      </c>
      <c r="N3559" s="33">
        <f>(_xlfn.XLOOKUP(Pipeline_tbl[[#This Row],[Rate_Code_Generalized]],Lookups!A:A,Lookups!B:B))*Pipeline_tbl[[#This Row],[Pipeline_Amount_USD]]</f>
        <v>8732.25</v>
      </c>
      <c r="O3559" t="str">
        <f>_xlfn.XLOOKUP(Pipeline_tbl[[#This Row],[Rep_ID]],Dim_Reps!A:A,Dim_Reps!B:B)</f>
        <v>Alex Muller</v>
      </c>
      <c r="P3559" t="str">
        <f>_xlfn.XLOOKUP(Pipeline_tbl[[#This Row],[Rep_ID]],Dim_Reps!A:A,Dim_Reps!C:C)</f>
        <v>SDR / Inside Sales Rep</v>
      </c>
      <c r="Q3559" t="str">
        <f>_xlfn.XLOOKUP(Pipeline_tbl[[#This Row],[Rep_ID]],Dim_Reps!A:A,Dim_Reps!D:D)</f>
        <v>Inside Sales</v>
      </c>
      <c r="R3559" t="str">
        <f>_xlfn.XLOOKUP(Pipeline_tbl[[#This Row],[Rep_ID]],Dim_Reps!A:A,Dim_Reps!E:E)</f>
        <v>NAMER</v>
      </c>
      <c r="S3559" t="str">
        <f>_xlfn.XLOOKUP(Pipeline_tbl[[#This Row],[Created_Date]],Dim_Date!A:A,Dim_Date!H:H)</f>
        <v>Jun 2024</v>
      </c>
      <c r="T3559" t="str">
        <f>IF(Pipeline_tbl[[#This Row],[Closed_Date]]=0,"",(_xlfn.XLOOKUP(Pipeline_tbl[[#This Row],[Closed_Date]],Dim_Date!A:A,Dim_Date!H:H)))</f>
        <v>Jul 2024</v>
      </c>
      <c r="U3559">
        <f>IF(Pipeline_tbl[[#This Row],[Closed_Date]]=0,"",Pipeline_tbl[[#This Row],[Closed_Date]]-Pipeline_tbl[[#This Row],[Created_Date]])</f>
        <v>21</v>
      </c>
    </row>
    <row r="3560" spans="1:21" ht="15" customHeight="1" x14ac:dyDescent="0.2">
      <c r="A3560" t="s">
        <v>3866</v>
      </c>
      <c r="B3560" t="s">
        <v>227</v>
      </c>
      <c r="C3560" t="s">
        <v>53</v>
      </c>
      <c r="D3560" s="49">
        <v>45457</v>
      </c>
      <c r="E3560" s="49">
        <v>45459</v>
      </c>
      <c r="F3560" s="49">
        <v>45465</v>
      </c>
      <c r="G3560" s="49">
        <v>45472</v>
      </c>
      <c r="H3560" s="49">
        <v>45478</v>
      </c>
      <c r="I3560" s="49">
        <v>45482</v>
      </c>
      <c r="J3560" t="s">
        <v>47</v>
      </c>
      <c r="K3560" s="33">
        <v>2800</v>
      </c>
      <c r="M3560" t="str">
        <f>_xlfn.XLOOKUP(Pipeline_tbl[[#This Row],[Rep_ID]],Dim_Reps!A:A,Dim_Reps!K:K)</f>
        <v>EUR</v>
      </c>
      <c r="N3560" s="33">
        <f>(_xlfn.XLOOKUP(Pipeline_tbl[[#This Row],[Rate_Code_Generalized]],Lookups!A:A,Lookups!B:B))*Pipeline_tbl[[#This Row],[Pipeline_Amount_USD]]</f>
        <v>2800</v>
      </c>
      <c r="O3560" t="str">
        <f>_xlfn.XLOOKUP(Pipeline_tbl[[#This Row],[Rep_ID]],Dim_Reps!A:A,Dim_Reps!B:B)</f>
        <v>Liam Muller</v>
      </c>
      <c r="P3560" t="str">
        <f>_xlfn.XLOOKUP(Pipeline_tbl[[#This Row],[Rep_ID]],Dim_Reps!A:A,Dim_Reps!C:C)</f>
        <v>SDR / Inside Sales Rep</v>
      </c>
      <c r="Q3560" t="str">
        <f>_xlfn.XLOOKUP(Pipeline_tbl[[#This Row],[Rep_ID]],Dim_Reps!A:A,Dim_Reps!D:D)</f>
        <v>Inside Sales</v>
      </c>
      <c r="R3560" t="str">
        <f>_xlfn.XLOOKUP(Pipeline_tbl[[#This Row],[Rep_ID]],Dim_Reps!A:A,Dim_Reps!E:E)</f>
        <v>EMEA</v>
      </c>
      <c r="S3560" t="str">
        <f>_xlfn.XLOOKUP(Pipeline_tbl[[#This Row],[Created_Date]],Dim_Date!A:A,Dim_Date!H:H)</f>
        <v>Jun 2024</v>
      </c>
      <c r="T3560" t="str">
        <f>IF(Pipeline_tbl[[#This Row],[Closed_Date]]=0,"",(_xlfn.XLOOKUP(Pipeline_tbl[[#This Row],[Closed_Date]],Dim_Date!A:A,Dim_Date!H:H)))</f>
        <v>Jul 2024</v>
      </c>
      <c r="U3560">
        <f>IF(Pipeline_tbl[[#This Row],[Closed_Date]]=0,"",Pipeline_tbl[[#This Row],[Closed_Date]]-Pipeline_tbl[[#This Row],[Created_Date]])</f>
        <v>25</v>
      </c>
    </row>
    <row r="3561" spans="1:21" ht="15" customHeight="1" x14ac:dyDescent="0.2">
      <c r="A3561" t="s">
        <v>3867</v>
      </c>
      <c r="B3561" t="s">
        <v>227</v>
      </c>
      <c r="C3561" t="s">
        <v>53</v>
      </c>
      <c r="D3561" s="49">
        <v>45473</v>
      </c>
      <c r="E3561" s="49">
        <v>45475</v>
      </c>
      <c r="F3561" s="49">
        <v>45479</v>
      </c>
      <c r="G3561" s="49">
        <v>45486</v>
      </c>
      <c r="H3561" s="49">
        <v>45491</v>
      </c>
      <c r="I3561" s="49">
        <v>45494</v>
      </c>
      <c r="J3561" t="s">
        <v>47</v>
      </c>
      <c r="K3561" s="33">
        <v>4800</v>
      </c>
      <c r="M3561" t="str">
        <f>_xlfn.XLOOKUP(Pipeline_tbl[[#This Row],[Rep_ID]],Dim_Reps!A:A,Dim_Reps!K:K)</f>
        <v>EUR</v>
      </c>
      <c r="N3561" s="33">
        <f>(_xlfn.XLOOKUP(Pipeline_tbl[[#This Row],[Rate_Code_Generalized]],Lookups!A:A,Lookups!B:B))*Pipeline_tbl[[#This Row],[Pipeline_Amount_USD]]</f>
        <v>4800</v>
      </c>
      <c r="O3561" t="str">
        <f>_xlfn.XLOOKUP(Pipeline_tbl[[#This Row],[Rep_ID]],Dim_Reps!A:A,Dim_Reps!B:B)</f>
        <v>Liam Muller</v>
      </c>
      <c r="P3561" t="str">
        <f>_xlfn.XLOOKUP(Pipeline_tbl[[#This Row],[Rep_ID]],Dim_Reps!A:A,Dim_Reps!C:C)</f>
        <v>SDR / Inside Sales Rep</v>
      </c>
      <c r="Q3561" t="str">
        <f>_xlfn.XLOOKUP(Pipeline_tbl[[#This Row],[Rep_ID]],Dim_Reps!A:A,Dim_Reps!D:D)</f>
        <v>Inside Sales</v>
      </c>
      <c r="R3561" t="str">
        <f>_xlfn.XLOOKUP(Pipeline_tbl[[#This Row],[Rep_ID]],Dim_Reps!A:A,Dim_Reps!E:E)</f>
        <v>EMEA</v>
      </c>
      <c r="S3561" t="str">
        <f>_xlfn.XLOOKUP(Pipeline_tbl[[#This Row],[Created_Date]],Dim_Date!A:A,Dim_Date!H:H)</f>
        <v>Jun 2024</v>
      </c>
      <c r="T3561" t="str">
        <f>IF(Pipeline_tbl[[#This Row],[Closed_Date]]=0,"",(_xlfn.XLOOKUP(Pipeline_tbl[[#This Row],[Closed_Date]],Dim_Date!A:A,Dim_Date!H:H)))</f>
        <v>Jul 2024</v>
      </c>
      <c r="U3561">
        <f>IF(Pipeline_tbl[[#This Row],[Closed_Date]]=0,"",Pipeline_tbl[[#This Row],[Closed_Date]]-Pipeline_tbl[[#This Row],[Created_Date]])</f>
        <v>21</v>
      </c>
    </row>
    <row r="3562" spans="1:21" ht="15" customHeight="1" x14ac:dyDescent="0.2">
      <c r="A3562" t="s">
        <v>3868</v>
      </c>
      <c r="B3562" t="s">
        <v>227</v>
      </c>
      <c r="C3562" t="s">
        <v>54</v>
      </c>
      <c r="D3562" s="49">
        <v>45470</v>
      </c>
      <c r="E3562" s="49">
        <v>45472</v>
      </c>
      <c r="F3562" s="49">
        <v>45478</v>
      </c>
      <c r="G3562" s="49">
        <v>45485</v>
      </c>
      <c r="H3562" s="49">
        <v>45491</v>
      </c>
      <c r="I3562" s="49">
        <v>45495</v>
      </c>
      <c r="J3562" t="s">
        <v>47</v>
      </c>
      <c r="K3562" s="33">
        <v>4400</v>
      </c>
      <c r="M3562" t="str">
        <f>_xlfn.XLOOKUP(Pipeline_tbl[[#This Row],[Rep_ID]],Dim_Reps!A:A,Dim_Reps!K:K)</f>
        <v>EUR</v>
      </c>
      <c r="N3562" s="33">
        <f>(_xlfn.XLOOKUP(Pipeline_tbl[[#This Row],[Rate_Code_Generalized]],Lookups!A:A,Lookups!B:B))*Pipeline_tbl[[#This Row],[Pipeline_Amount_USD]]</f>
        <v>4400</v>
      </c>
      <c r="O3562" t="str">
        <f>_xlfn.XLOOKUP(Pipeline_tbl[[#This Row],[Rep_ID]],Dim_Reps!A:A,Dim_Reps!B:B)</f>
        <v>Liam Muller</v>
      </c>
      <c r="P3562" t="str">
        <f>_xlfn.XLOOKUP(Pipeline_tbl[[#This Row],[Rep_ID]],Dim_Reps!A:A,Dim_Reps!C:C)</f>
        <v>SDR / Inside Sales Rep</v>
      </c>
      <c r="Q3562" t="str">
        <f>_xlfn.XLOOKUP(Pipeline_tbl[[#This Row],[Rep_ID]],Dim_Reps!A:A,Dim_Reps!D:D)</f>
        <v>Inside Sales</v>
      </c>
      <c r="R3562" t="str">
        <f>_xlfn.XLOOKUP(Pipeline_tbl[[#This Row],[Rep_ID]],Dim_Reps!A:A,Dim_Reps!E:E)</f>
        <v>EMEA</v>
      </c>
      <c r="S3562" t="str">
        <f>_xlfn.XLOOKUP(Pipeline_tbl[[#This Row],[Created_Date]],Dim_Date!A:A,Dim_Date!H:H)</f>
        <v>Jun 2024</v>
      </c>
      <c r="T3562" t="str">
        <f>IF(Pipeline_tbl[[#This Row],[Closed_Date]]=0,"",(_xlfn.XLOOKUP(Pipeline_tbl[[#This Row],[Closed_Date]],Dim_Date!A:A,Dim_Date!H:H)))</f>
        <v>Jul 2024</v>
      </c>
      <c r="U3562">
        <f>IF(Pipeline_tbl[[#This Row],[Closed_Date]]=0,"",Pipeline_tbl[[#This Row],[Closed_Date]]-Pipeline_tbl[[#This Row],[Created_Date]])</f>
        <v>25</v>
      </c>
    </row>
    <row r="3563" spans="1:21" ht="15" customHeight="1" x14ac:dyDescent="0.2">
      <c r="A3563" t="s">
        <v>3869</v>
      </c>
      <c r="B3563" t="s">
        <v>227</v>
      </c>
      <c r="C3563" t="s">
        <v>52</v>
      </c>
      <c r="D3563" s="49">
        <v>45467</v>
      </c>
      <c r="E3563" s="49">
        <v>45469</v>
      </c>
      <c r="F3563" s="49">
        <v>45473</v>
      </c>
      <c r="G3563" s="49">
        <v>45479</v>
      </c>
      <c r="I3563" s="49">
        <v>45487</v>
      </c>
      <c r="J3563" t="s">
        <v>49</v>
      </c>
      <c r="K3563" s="33">
        <v>4400</v>
      </c>
      <c r="L3563" t="s">
        <v>60</v>
      </c>
      <c r="M3563" t="str">
        <f>_xlfn.XLOOKUP(Pipeline_tbl[[#This Row],[Rep_ID]],Dim_Reps!A:A,Dim_Reps!K:K)</f>
        <v>EUR</v>
      </c>
      <c r="N3563" s="33">
        <f>(_xlfn.XLOOKUP(Pipeline_tbl[[#This Row],[Rate_Code_Generalized]],Lookups!A:A,Lookups!B:B))*Pipeline_tbl[[#This Row],[Pipeline_Amount_USD]]</f>
        <v>4400</v>
      </c>
      <c r="O3563" t="str">
        <f>_xlfn.XLOOKUP(Pipeline_tbl[[#This Row],[Rep_ID]],Dim_Reps!A:A,Dim_Reps!B:B)</f>
        <v>Liam Muller</v>
      </c>
      <c r="P3563" t="str">
        <f>_xlfn.XLOOKUP(Pipeline_tbl[[#This Row],[Rep_ID]],Dim_Reps!A:A,Dim_Reps!C:C)</f>
        <v>SDR / Inside Sales Rep</v>
      </c>
      <c r="Q3563" t="str">
        <f>_xlfn.XLOOKUP(Pipeline_tbl[[#This Row],[Rep_ID]],Dim_Reps!A:A,Dim_Reps!D:D)</f>
        <v>Inside Sales</v>
      </c>
      <c r="R3563" t="str">
        <f>_xlfn.XLOOKUP(Pipeline_tbl[[#This Row],[Rep_ID]],Dim_Reps!A:A,Dim_Reps!E:E)</f>
        <v>EMEA</v>
      </c>
      <c r="S3563" t="str">
        <f>_xlfn.XLOOKUP(Pipeline_tbl[[#This Row],[Created_Date]],Dim_Date!A:A,Dim_Date!H:H)</f>
        <v>Jun 2024</v>
      </c>
      <c r="T3563" t="str">
        <f>IF(Pipeline_tbl[[#This Row],[Closed_Date]]=0,"",(_xlfn.XLOOKUP(Pipeline_tbl[[#This Row],[Closed_Date]],Dim_Date!A:A,Dim_Date!H:H)))</f>
        <v>Jul 2024</v>
      </c>
      <c r="U3563">
        <f>IF(Pipeline_tbl[[#This Row],[Closed_Date]]=0,"",Pipeline_tbl[[#This Row],[Closed_Date]]-Pipeline_tbl[[#This Row],[Created_Date]])</f>
        <v>20</v>
      </c>
    </row>
    <row r="3564" spans="1:21" ht="15" customHeight="1" x14ac:dyDescent="0.2">
      <c r="A3564" t="s">
        <v>3870</v>
      </c>
      <c r="B3564" t="s">
        <v>227</v>
      </c>
      <c r="C3564" t="s">
        <v>53</v>
      </c>
      <c r="D3564" s="49">
        <v>45455</v>
      </c>
      <c r="E3564" s="49">
        <v>45458</v>
      </c>
      <c r="I3564" s="49">
        <v>45481</v>
      </c>
      <c r="J3564" t="s">
        <v>49</v>
      </c>
      <c r="K3564" s="33">
        <v>6000</v>
      </c>
      <c r="L3564" t="s">
        <v>62</v>
      </c>
      <c r="M3564" t="str">
        <f>_xlfn.XLOOKUP(Pipeline_tbl[[#This Row],[Rep_ID]],Dim_Reps!A:A,Dim_Reps!K:K)</f>
        <v>EUR</v>
      </c>
      <c r="N3564" s="33">
        <f>(_xlfn.XLOOKUP(Pipeline_tbl[[#This Row],[Rate_Code_Generalized]],Lookups!A:A,Lookups!B:B))*Pipeline_tbl[[#This Row],[Pipeline_Amount_USD]]</f>
        <v>6000</v>
      </c>
      <c r="O3564" t="str">
        <f>_xlfn.XLOOKUP(Pipeline_tbl[[#This Row],[Rep_ID]],Dim_Reps!A:A,Dim_Reps!B:B)</f>
        <v>Liam Muller</v>
      </c>
      <c r="P3564" t="str">
        <f>_xlfn.XLOOKUP(Pipeline_tbl[[#This Row],[Rep_ID]],Dim_Reps!A:A,Dim_Reps!C:C)</f>
        <v>SDR / Inside Sales Rep</v>
      </c>
      <c r="Q3564" t="str">
        <f>_xlfn.XLOOKUP(Pipeline_tbl[[#This Row],[Rep_ID]],Dim_Reps!A:A,Dim_Reps!D:D)</f>
        <v>Inside Sales</v>
      </c>
      <c r="R3564" t="str">
        <f>_xlfn.XLOOKUP(Pipeline_tbl[[#This Row],[Rep_ID]],Dim_Reps!A:A,Dim_Reps!E:E)</f>
        <v>EMEA</v>
      </c>
      <c r="S3564" t="str">
        <f>_xlfn.XLOOKUP(Pipeline_tbl[[#This Row],[Created_Date]],Dim_Date!A:A,Dim_Date!H:H)</f>
        <v>Jun 2024</v>
      </c>
      <c r="T3564" t="str">
        <f>IF(Pipeline_tbl[[#This Row],[Closed_Date]]=0,"",(_xlfn.XLOOKUP(Pipeline_tbl[[#This Row],[Closed_Date]],Dim_Date!A:A,Dim_Date!H:H)))</f>
        <v>Jul 2024</v>
      </c>
      <c r="U3564">
        <f>IF(Pipeline_tbl[[#This Row],[Closed_Date]]=0,"",Pipeline_tbl[[#This Row],[Closed_Date]]-Pipeline_tbl[[#This Row],[Created_Date]])</f>
        <v>26</v>
      </c>
    </row>
    <row r="3565" spans="1:21" ht="15" customHeight="1" x14ac:dyDescent="0.2">
      <c r="A3565" t="s">
        <v>3871</v>
      </c>
      <c r="B3565" t="s">
        <v>280</v>
      </c>
      <c r="C3565" t="s">
        <v>55</v>
      </c>
      <c r="D3565" s="49">
        <v>45457</v>
      </c>
      <c r="E3565" s="49">
        <v>45459</v>
      </c>
      <c r="F3565" s="49">
        <v>45464</v>
      </c>
      <c r="G3565" s="49">
        <v>45471</v>
      </c>
      <c r="H3565" s="49">
        <v>45477</v>
      </c>
      <c r="I3565" s="49">
        <v>45480</v>
      </c>
      <c r="J3565" t="s">
        <v>47</v>
      </c>
      <c r="K3565" s="33">
        <v>64700</v>
      </c>
      <c r="M3565" t="str">
        <f>_xlfn.XLOOKUP(Pipeline_tbl[[#This Row],[Rep_ID]],Dim_Reps!A:A,Dim_Reps!K:K)</f>
        <v>MXN</v>
      </c>
      <c r="N3565" s="33">
        <f>(_xlfn.XLOOKUP(Pipeline_tbl[[#This Row],[Rate_Code_Generalized]],Lookups!A:A,Lookups!B:B))*Pipeline_tbl[[#This Row],[Pipeline_Amount_USD]]</f>
        <v>1276705.6900000002</v>
      </c>
      <c r="O3565" t="str">
        <f>_xlfn.XLOOKUP(Pipeline_tbl[[#This Row],[Rep_ID]],Dim_Reps!A:A,Dim_Reps!B:B)</f>
        <v>Cameron Lund</v>
      </c>
      <c r="P3565" t="str">
        <f>_xlfn.XLOOKUP(Pipeline_tbl[[#This Row],[Rep_ID]],Dim_Reps!A:A,Dim_Reps!C:C)</f>
        <v>Senior Enterprise AE</v>
      </c>
      <c r="Q3565" t="str">
        <f>_xlfn.XLOOKUP(Pipeline_tbl[[#This Row],[Rep_ID]],Dim_Reps!A:A,Dim_Reps!D:D)</f>
        <v>Strategic</v>
      </c>
      <c r="R3565" t="str">
        <f>_xlfn.XLOOKUP(Pipeline_tbl[[#This Row],[Rep_ID]],Dim_Reps!A:A,Dim_Reps!E:E)</f>
        <v>LATAM</v>
      </c>
      <c r="S3565" t="str">
        <f>_xlfn.XLOOKUP(Pipeline_tbl[[#This Row],[Created_Date]],Dim_Date!A:A,Dim_Date!H:H)</f>
        <v>Jun 2024</v>
      </c>
      <c r="T3565" t="str">
        <f>IF(Pipeline_tbl[[#This Row],[Closed_Date]]=0,"",(_xlfn.XLOOKUP(Pipeline_tbl[[#This Row],[Closed_Date]],Dim_Date!A:A,Dim_Date!H:H)))</f>
        <v>Jul 2024</v>
      </c>
      <c r="U3565">
        <f>IF(Pipeline_tbl[[#This Row],[Closed_Date]]=0,"",Pipeline_tbl[[#This Row],[Closed_Date]]-Pipeline_tbl[[#This Row],[Created_Date]])</f>
        <v>23</v>
      </c>
    </row>
    <row r="3566" spans="1:21" ht="15" customHeight="1" x14ac:dyDescent="0.2">
      <c r="A3566" t="s">
        <v>3872</v>
      </c>
      <c r="B3566" t="s">
        <v>229</v>
      </c>
      <c r="C3566" t="s">
        <v>54</v>
      </c>
      <c r="D3566" s="49">
        <v>45468</v>
      </c>
      <c r="E3566" s="49">
        <v>45470</v>
      </c>
      <c r="F3566" s="49">
        <v>45473</v>
      </c>
      <c r="I3566" s="49">
        <v>45485</v>
      </c>
      <c r="J3566" t="s">
        <v>49</v>
      </c>
      <c r="K3566" s="33">
        <v>1800</v>
      </c>
      <c r="L3566" t="s">
        <v>61</v>
      </c>
      <c r="M3566" t="str">
        <f>_xlfn.XLOOKUP(Pipeline_tbl[[#This Row],[Rep_ID]],Dim_Reps!A:A,Dim_Reps!K:K)</f>
        <v>USD</v>
      </c>
      <c r="N3566" s="33">
        <f>(_xlfn.XLOOKUP(Pipeline_tbl[[#This Row],[Rate_Code_Generalized]],Lookups!A:A,Lookups!B:B))*Pipeline_tbl[[#This Row],[Pipeline_Amount_USD]]</f>
        <v>2095.7399999999998</v>
      </c>
      <c r="O3566" t="str">
        <f>_xlfn.XLOOKUP(Pipeline_tbl[[#This Row],[Rep_ID]],Dim_Reps!A:A,Dim_Reps!B:B)</f>
        <v>Liam Castro</v>
      </c>
      <c r="P3566" t="str">
        <f>_xlfn.XLOOKUP(Pipeline_tbl[[#This Row],[Rep_ID]],Dim_Reps!A:A,Dim_Reps!C:C)</f>
        <v>SDR / Inside Sales Rep</v>
      </c>
      <c r="Q3566" t="str">
        <f>_xlfn.XLOOKUP(Pipeline_tbl[[#This Row],[Rep_ID]],Dim_Reps!A:A,Dim_Reps!D:D)</f>
        <v>Inside Sales</v>
      </c>
      <c r="R3566" t="str">
        <f>_xlfn.XLOOKUP(Pipeline_tbl[[#This Row],[Rep_ID]],Dim_Reps!A:A,Dim_Reps!E:E)</f>
        <v>NAMER</v>
      </c>
      <c r="S3566" t="str">
        <f>_xlfn.XLOOKUP(Pipeline_tbl[[#This Row],[Created_Date]],Dim_Date!A:A,Dim_Date!H:H)</f>
        <v>Jun 2024</v>
      </c>
      <c r="T3566" t="str">
        <f>IF(Pipeline_tbl[[#This Row],[Closed_Date]]=0,"",(_xlfn.XLOOKUP(Pipeline_tbl[[#This Row],[Closed_Date]],Dim_Date!A:A,Dim_Date!H:H)))</f>
        <v>Jul 2024</v>
      </c>
      <c r="U3566">
        <f>IF(Pipeline_tbl[[#This Row],[Closed_Date]]=0,"",Pipeline_tbl[[#This Row],[Closed_Date]]-Pipeline_tbl[[#This Row],[Created_Date]])</f>
        <v>17</v>
      </c>
    </row>
    <row r="3567" spans="1:21" ht="15" customHeight="1" x14ac:dyDescent="0.2">
      <c r="A3567" t="s">
        <v>3873</v>
      </c>
      <c r="B3567" t="s">
        <v>229</v>
      </c>
      <c r="C3567" t="s">
        <v>52</v>
      </c>
      <c r="D3567" s="49">
        <v>45462</v>
      </c>
      <c r="E3567" s="49">
        <v>45464</v>
      </c>
      <c r="F3567" s="49">
        <v>45467</v>
      </c>
      <c r="G3567" s="49">
        <v>45471</v>
      </c>
      <c r="H3567" s="49">
        <v>45475</v>
      </c>
      <c r="I3567" s="49">
        <v>45477</v>
      </c>
      <c r="J3567" t="s">
        <v>47</v>
      </c>
      <c r="K3567" s="33">
        <v>3400</v>
      </c>
      <c r="M3567" t="str">
        <f>_xlfn.XLOOKUP(Pipeline_tbl[[#This Row],[Rep_ID]],Dim_Reps!A:A,Dim_Reps!K:K)</f>
        <v>USD</v>
      </c>
      <c r="N3567" s="33">
        <f>(_xlfn.XLOOKUP(Pipeline_tbl[[#This Row],[Rate_Code_Generalized]],Lookups!A:A,Lookups!B:B))*Pipeline_tbl[[#This Row],[Pipeline_Amount_USD]]</f>
        <v>3958.6199999999994</v>
      </c>
      <c r="O3567" t="str">
        <f>_xlfn.XLOOKUP(Pipeline_tbl[[#This Row],[Rep_ID]],Dim_Reps!A:A,Dim_Reps!B:B)</f>
        <v>Liam Castro</v>
      </c>
      <c r="P3567" t="str">
        <f>_xlfn.XLOOKUP(Pipeline_tbl[[#This Row],[Rep_ID]],Dim_Reps!A:A,Dim_Reps!C:C)</f>
        <v>SDR / Inside Sales Rep</v>
      </c>
      <c r="Q3567" t="str">
        <f>_xlfn.XLOOKUP(Pipeline_tbl[[#This Row],[Rep_ID]],Dim_Reps!A:A,Dim_Reps!D:D)</f>
        <v>Inside Sales</v>
      </c>
      <c r="R3567" t="str">
        <f>_xlfn.XLOOKUP(Pipeline_tbl[[#This Row],[Rep_ID]],Dim_Reps!A:A,Dim_Reps!E:E)</f>
        <v>NAMER</v>
      </c>
      <c r="S3567" t="str">
        <f>_xlfn.XLOOKUP(Pipeline_tbl[[#This Row],[Created_Date]],Dim_Date!A:A,Dim_Date!H:H)</f>
        <v>Jun 2024</v>
      </c>
      <c r="T3567" t="str">
        <f>IF(Pipeline_tbl[[#This Row],[Closed_Date]]=0,"",(_xlfn.XLOOKUP(Pipeline_tbl[[#This Row],[Closed_Date]],Dim_Date!A:A,Dim_Date!H:H)))</f>
        <v>Jul 2024</v>
      </c>
      <c r="U3567">
        <f>IF(Pipeline_tbl[[#This Row],[Closed_Date]]=0,"",Pipeline_tbl[[#This Row],[Closed_Date]]-Pipeline_tbl[[#This Row],[Created_Date]])</f>
        <v>15</v>
      </c>
    </row>
    <row r="3568" spans="1:21" ht="15" customHeight="1" x14ac:dyDescent="0.2">
      <c r="A3568" t="s">
        <v>3874</v>
      </c>
      <c r="B3568" t="s">
        <v>229</v>
      </c>
      <c r="C3568" t="s">
        <v>53</v>
      </c>
      <c r="D3568" s="49">
        <v>45467</v>
      </c>
      <c r="E3568" s="49">
        <v>45468</v>
      </c>
      <c r="F3568" s="49">
        <v>45470</v>
      </c>
      <c r="G3568" s="49">
        <v>45474</v>
      </c>
      <c r="H3568" s="49">
        <v>45476</v>
      </c>
      <c r="I3568" s="49">
        <v>45478</v>
      </c>
      <c r="J3568" t="s">
        <v>49</v>
      </c>
      <c r="K3568" s="33">
        <v>2100</v>
      </c>
      <c r="L3568" t="s">
        <v>60</v>
      </c>
      <c r="M3568" t="str">
        <f>_xlfn.XLOOKUP(Pipeline_tbl[[#This Row],[Rep_ID]],Dim_Reps!A:A,Dim_Reps!K:K)</f>
        <v>USD</v>
      </c>
      <c r="N3568" s="33">
        <f>(_xlfn.XLOOKUP(Pipeline_tbl[[#This Row],[Rate_Code_Generalized]],Lookups!A:A,Lookups!B:B))*Pipeline_tbl[[#This Row],[Pipeline_Amount_USD]]</f>
        <v>2445.0299999999997</v>
      </c>
      <c r="O3568" t="str">
        <f>_xlfn.XLOOKUP(Pipeline_tbl[[#This Row],[Rep_ID]],Dim_Reps!A:A,Dim_Reps!B:B)</f>
        <v>Liam Castro</v>
      </c>
      <c r="P3568" t="str">
        <f>_xlfn.XLOOKUP(Pipeline_tbl[[#This Row],[Rep_ID]],Dim_Reps!A:A,Dim_Reps!C:C)</f>
        <v>SDR / Inside Sales Rep</v>
      </c>
      <c r="Q3568" t="str">
        <f>_xlfn.XLOOKUP(Pipeline_tbl[[#This Row],[Rep_ID]],Dim_Reps!A:A,Dim_Reps!D:D)</f>
        <v>Inside Sales</v>
      </c>
      <c r="R3568" t="str">
        <f>_xlfn.XLOOKUP(Pipeline_tbl[[#This Row],[Rep_ID]],Dim_Reps!A:A,Dim_Reps!E:E)</f>
        <v>NAMER</v>
      </c>
      <c r="S3568" t="str">
        <f>_xlfn.XLOOKUP(Pipeline_tbl[[#This Row],[Created_Date]],Dim_Date!A:A,Dim_Date!H:H)</f>
        <v>Jun 2024</v>
      </c>
      <c r="T3568" t="str">
        <f>IF(Pipeline_tbl[[#This Row],[Closed_Date]]=0,"",(_xlfn.XLOOKUP(Pipeline_tbl[[#This Row],[Closed_Date]],Dim_Date!A:A,Dim_Date!H:H)))</f>
        <v>Jul 2024</v>
      </c>
      <c r="U3568">
        <f>IF(Pipeline_tbl[[#This Row],[Closed_Date]]=0,"",Pipeline_tbl[[#This Row],[Closed_Date]]-Pipeline_tbl[[#This Row],[Created_Date]])</f>
        <v>11</v>
      </c>
    </row>
    <row r="3569" spans="1:21" ht="15" customHeight="1" x14ac:dyDescent="0.2">
      <c r="A3569" t="s">
        <v>3875</v>
      </c>
      <c r="B3569" t="s">
        <v>229</v>
      </c>
      <c r="C3569" t="s">
        <v>53</v>
      </c>
      <c r="D3569" s="49">
        <v>45456</v>
      </c>
      <c r="E3569" s="49">
        <v>45458</v>
      </c>
      <c r="F3569" s="49">
        <v>45462</v>
      </c>
      <c r="G3569" s="49">
        <v>45469</v>
      </c>
      <c r="H3569" s="49">
        <v>45474</v>
      </c>
      <c r="I3569" s="49">
        <v>45477</v>
      </c>
      <c r="J3569" t="s">
        <v>49</v>
      </c>
      <c r="K3569" s="33">
        <v>3200</v>
      </c>
      <c r="L3569" t="s">
        <v>61</v>
      </c>
      <c r="M3569" t="str">
        <f>_xlfn.XLOOKUP(Pipeline_tbl[[#This Row],[Rep_ID]],Dim_Reps!A:A,Dim_Reps!K:K)</f>
        <v>USD</v>
      </c>
      <c r="N3569" s="33">
        <f>(_xlfn.XLOOKUP(Pipeline_tbl[[#This Row],[Rate_Code_Generalized]],Lookups!A:A,Lookups!B:B))*Pipeline_tbl[[#This Row],[Pipeline_Amount_USD]]</f>
        <v>3725.7599999999998</v>
      </c>
      <c r="O3569" t="str">
        <f>_xlfn.XLOOKUP(Pipeline_tbl[[#This Row],[Rep_ID]],Dim_Reps!A:A,Dim_Reps!B:B)</f>
        <v>Liam Castro</v>
      </c>
      <c r="P3569" t="str">
        <f>_xlfn.XLOOKUP(Pipeline_tbl[[#This Row],[Rep_ID]],Dim_Reps!A:A,Dim_Reps!C:C)</f>
        <v>SDR / Inside Sales Rep</v>
      </c>
      <c r="Q3569" t="str">
        <f>_xlfn.XLOOKUP(Pipeline_tbl[[#This Row],[Rep_ID]],Dim_Reps!A:A,Dim_Reps!D:D)</f>
        <v>Inside Sales</v>
      </c>
      <c r="R3569" t="str">
        <f>_xlfn.XLOOKUP(Pipeline_tbl[[#This Row],[Rep_ID]],Dim_Reps!A:A,Dim_Reps!E:E)</f>
        <v>NAMER</v>
      </c>
      <c r="S3569" t="str">
        <f>_xlfn.XLOOKUP(Pipeline_tbl[[#This Row],[Created_Date]],Dim_Date!A:A,Dim_Date!H:H)</f>
        <v>Jun 2024</v>
      </c>
      <c r="T3569" t="str">
        <f>IF(Pipeline_tbl[[#This Row],[Closed_Date]]=0,"",(_xlfn.XLOOKUP(Pipeline_tbl[[#This Row],[Closed_Date]],Dim_Date!A:A,Dim_Date!H:H)))</f>
        <v>Jul 2024</v>
      </c>
      <c r="U3569">
        <f>IF(Pipeline_tbl[[#This Row],[Closed_Date]]=0,"",Pipeline_tbl[[#This Row],[Closed_Date]]-Pipeline_tbl[[#This Row],[Created_Date]])</f>
        <v>21</v>
      </c>
    </row>
    <row r="3570" spans="1:21" ht="15" customHeight="1" x14ac:dyDescent="0.2">
      <c r="A3570" t="s">
        <v>3876</v>
      </c>
      <c r="B3570" t="s">
        <v>229</v>
      </c>
      <c r="C3570" t="s">
        <v>52</v>
      </c>
      <c r="D3570" s="49">
        <v>45455</v>
      </c>
      <c r="E3570" s="49">
        <v>45457</v>
      </c>
      <c r="F3570" s="49">
        <v>45461</v>
      </c>
      <c r="G3570" s="49">
        <v>45468</v>
      </c>
      <c r="H3570" s="49">
        <v>45473</v>
      </c>
      <c r="I3570" s="49">
        <v>45476</v>
      </c>
      <c r="J3570" t="s">
        <v>47</v>
      </c>
      <c r="K3570" s="33">
        <v>5000</v>
      </c>
      <c r="M3570" t="str">
        <f>_xlfn.XLOOKUP(Pipeline_tbl[[#This Row],[Rep_ID]],Dim_Reps!A:A,Dim_Reps!K:K)</f>
        <v>USD</v>
      </c>
      <c r="N3570" s="33">
        <f>(_xlfn.XLOOKUP(Pipeline_tbl[[#This Row],[Rate_Code_Generalized]],Lookups!A:A,Lookups!B:B))*Pipeline_tbl[[#This Row],[Pipeline_Amount_USD]]</f>
        <v>5821.4999999999991</v>
      </c>
      <c r="O3570" t="str">
        <f>_xlfn.XLOOKUP(Pipeline_tbl[[#This Row],[Rep_ID]],Dim_Reps!A:A,Dim_Reps!B:B)</f>
        <v>Liam Castro</v>
      </c>
      <c r="P3570" t="str">
        <f>_xlfn.XLOOKUP(Pipeline_tbl[[#This Row],[Rep_ID]],Dim_Reps!A:A,Dim_Reps!C:C)</f>
        <v>SDR / Inside Sales Rep</v>
      </c>
      <c r="Q3570" t="str">
        <f>_xlfn.XLOOKUP(Pipeline_tbl[[#This Row],[Rep_ID]],Dim_Reps!A:A,Dim_Reps!D:D)</f>
        <v>Inside Sales</v>
      </c>
      <c r="R3570" t="str">
        <f>_xlfn.XLOOKUP(Pipeline_tbl[[#This Row],[Rep_ID]],Dim_Reps!A:A,Dim_Reps!E:E)</f>
        <v>NAMER</v>
      </c>
      <c r="S3570" t="str">
        <f>_xlfn.XLOOKUP(Pipeline_tbl[[#This Row],[Created_Date]],Dim_Date!A:A,Dim_Date!H:H)</f>
        <v>Jun 2024</v>
      </c>
      <c r="T3570" t="str">
        <f>IF(Pipeline_tbl[[#This Row],[Closed_Date]]=0,"",(_xlfn.XLOOKUP(Pipeline_tbl[[#This Row],[Closed_Date]],Dim_Date!A:A,Dim_Date!H:H)))</f>
        <v>Jul 2024</v>
      </c>
      <c r="U3570">
        <f>IF(Pipeline_tbl[[#This Row],[Closed_Date]]=0,"",Pipeline_tbl[[#This Row],[Closed_Date]]-Pipeline_tbl[[#This Row],[Created_Date]])</f>
        <v>21</v>
      </c>
    </row>
    <row r="3571" spans="1:21" ht="15" customHeight="1" x14ac:dyDescent="0.2">
      <c r="A3571" t="s">
        <v>3877</v>
      </c>
      <c r="B3571" t="s">
        <v>229</v>
      </c>
      <c r="C3571" t="s">
        <v>53</v>
      </c>
      <c r="D3571" s="49">
        <v>45457</v>
      </c>
      <c r="E3571" s="49">
        <v>45459</v>
      </c>
      <c r="F3571" s="49">
        <v>45465</v>
      </c>
      <c r="G3571" s="49">
        <v>45472</v>
      </c>
      <c r="H3571" s="49">
        <v>45478</v>
      </c>
      <c r="I3571" s="49">
        <v>45482</v>
      </c>
      <c r="J3571" t="s">
        <v>47</v>
      </c>
      <c r="K3571" s="33">
        <v>4000</v>
      </c>
      <c r="M3571" t="str">
        <f>_xlfn.XLOOKUP(Pipeline_tbl[[#This Row],[Rep_ID]],Dim_Reps!A:A,Dim_Reps!K:K)</f>
        <v>USD</v>
      </c>
      <c r="N3571" s="33">
        <f>(_xlfn.XLOOKUP(Pipeline_tbl[[#This Row],[Rate_Code_Generalized]],Lookups!A:A,Lookups!B:B))*Pipeline_tbl[[#This Row],[Pipeline_Amount_USD]]</f>
        <v>4657.2</v>
      </c>
      <c r="O3571" t="str">
        <f>_xlfn.XLOOKUP(Pipeline_tbl[[#This Row],[Rep_ID]],Dim_Reps!A:A,Dim_Reps!B:B)</f>
        <v>Liam Castro</v>
      </c>
      <c r="P3571" t="str">
        <f>_xlfn.XLOOKUP(Pipeline_tbl[[#This Row],[Rep_ID]],Dim_Reps!A:A,Dim_Reps!C:C)</f>
        <v>SDR / Inside Sales Rep</v>
      </c>
      <c r="Q3571" t="str">
        <f>_xlfn.XLOOKUP(Pipeline_tbl[[#This Row],[Rep_ID]],Dim_Reps!A:A,Dim_Reps!D:D)</f>
        <v>Inside Sales</v>
      </c>
      <c r="R3571" t="str">
        <f>_xlfn.XLOOKUP(Pipeline_tbl[[#This Row],[Rep_ID]],Dim_Reps!A:A,Dim_Reps!E:E)</f>
        <v>NAMER</v>
      </c>
      <c r="S3571" t="str">
        <f>_xlfn.XLOOKUP(Pipeline_tbl[[#This Row],[Created_Date]],Dim_Date!A:A,Dim_Date!H:H)</f>
        <v>Jun 2024</v>
      </c>
      <c r="T3571" t="str">
        <f>IF(Pipeline_tbl[[#This Row],[Closed_Date]]=0,"",(_xlfn.XLOOKUP(Pipeline_tbl[[#This Row],[Closed_Date]],Dim_Date!A:A,Dim_Date!H:H)))</f>
        <v>Jul 2024</v>
      </c>
      <c r="U3571">
        <f>IF(Pipeline_tbl[[#This Row],[Closed_Date]]=0,"",Pipeline_tbl[[#This Row],[Closed_Date]]-Pipeline_tbl[[#This Row],[Created_Date]])</f>
        <v>25</v>
      </c>
    </row>
    <row r="3572" spans="1:21" ht="15" customHeight="1" x14ac:dyDescent="0.2">
      <c r="A3572" t="s">
        <v>3878</v>
      </c>
      <c r="B3572" t="s">
        <v>231</v>
      </c>
      <c r="C3572" t="s">
        <v>53</v>
      </c>
      <c r="D3572" s="49">
        <v>45460</v>
      </c>
      <c r="E3572" s="49">
        <v>45462</v>
      </c>
      <c r="F3572" s="49">
        <v>45465</v>
      </c>
      <c r="I3572" s="49">
        <v>45475</v>
      </c>
      <c r="J3572" t="s">
        <v>49</v>
      </c>
      <c r="K3572" s="33">
        <v>2000</v>
      </c>
      <c r="L3572" t="s">
        <v>64</v>
      </c>
      <c r="M3572" t="str">
        <f>_xlfn.XLOOKUP(Pipeline_tbl[[#This Row],[Rep_ID]],Dim_Reps!A:A,Dim_Reps!K:K)</f>
        <v>MXN</v>
      </c>
      <c r="N3572" s="33">
        <f>(_xlfn.XLOOKUP(Pipeline_tbl[[#This Row],[Rate_Code_Generalized]],Lookups!A:A,Lookups!B:B))*Pipeline_tbl[[#This Row],[Pipeline_Amount_USD]]</f>
        <v>39465.4</v>
      </c>
      <c r="O3572" t="str">
        <f>_xlfn.XLOOKUP(Pipeline_tbl[[#This Row],[Rep_ID]],Dim_Reps!A:A,Dim_Reps!B:B)</f>
        <v>Ben Silva</v>
      </c>
      <c r="P3572" t="str">
        <f>_xlfn.XLOOKUP(Pipeline_tbl[[#This Row],[Rep_ID]],Dim_Reps!A:A,Dim_Reps!C:C)</f>
        <v>SDR / Inside Sales Rep</v>
      </c>
      <c r="Q3572" t="str">
        <f>_xlfn.XLOOKUP(Pipeline_tbl[[#This Row],[Rep_ID]],Dim_Reps!A:A,Dim_Reps!D:D)</f>
        <v>Inside Sales</v>
      </c>
      <c r="R3572" t="str">
        <f>_xlfn.XLOOKUP(Pipeline_tbl[[#This Row],[Rep_ID]],Dim_Reps!A:A,Dim_Reps!E:E)</f>
        <v>LATAM</v>
      </c>
      <c r="S3572" t="str">
        <f>_xlfn.XLOOKUP(Pipeline_tbl[[#This Row],[Created_Date]],Dim_Date!A:A,Dim_Date!H:H)</f>
        <v>Jun 2024</v>
      </c>
      <c r="T3572" t="str">
        <f>IF(Pipeline_tbl[[#This Row],[Closed_Date]]=0,"",(_xlfn.XLOOKUP(Pipeline_tbl[[#This Row],[Closed_Date]],Dim_Date!A:A,Dim_Date!H:H)))</f>
        <v>Jul 2024</v>
      </c>
      <c r="U3572">
        <f>IF(Pipeline_tbl[[#This Row],[Closed_Date]]=0,"",Pipeline_tbl[[#This Row],[Closed_Date]]-Pipeline_tbl[[#This Row],[Created_Date]])</f>
        <v>15</v>
      </c>
    </row>
    <row r="3573" spans="1:21" ht="15" customHeight="1" x14ac:dyDescent="0.2">
      <c r="A3573" t="s">
        <v>3879</v>
      </c>
      <c r="B3573" t="s">
        <v>231</v>
      </c>
      <c r="C3573" t="s">
        <v>53</v>
      </c>
      <c r="D3573" s="49">
        <v>45465</v>
      </c>
      <c r="E3573" s="49">
        <v>45467</v>
      </c>
      <c r="F3573" s="49">
        <v>45470</v>
      </c>
      <c r="G3573" s="49">
        <v>45475</v>
      </c>
      <c r="H3573" s="49">
        <v>45479</v>
      </c>
      <c r="I3573" s="49">
        <v>45481</v>
      </c>
      <c r="J3573" t="s">
        <v>49</v>
      </c>
      <c r="K3573" s="33">
        <v>5000</v>
      </c>
      <c r="L3573" t="s">
        <v>60</v>
      </c>
      <c r="M3573" t="str">
        <f>_xlfn.XLOOKUP(Pipeline_tbl[[#This Row],[Rep_ID]],Dim_Reps!A:A,Dim_Reps!K:K)</f>
        <v>MXN</v>
      </c>
      <c r="N3573" s="33">
        <f>(_xlfn.XLOOKUP(Pipeline_tbl[[#This Row],[Rate_Code_Generalized]],Lookups!A:A,Lookups!B:B))*Pipeline_tbl[[#This Row],[Pipeline_Amount_USD]]</f>
        <v>98663.5</v>
      </c>
      <c r="O3573" t="str">
        <f>_xlfn.XLOOKUP(Pipeline_tbl[[#This Row],[Rep_ID]],Dim_Reps!A:A,Dim_Reps!B:B)</f>
        <v>Ben Silva</v>
      </c>
      <c r="P3573" t="str">
        <f>_xlfn.XLOOKUP(Pipeline_tbl[[#This Row],[Rep_ID]],Dim_Reps!A:A,Dim_Reps!C:C)</f>
        <v>SDR / Inside Sales Rep</v>
      </c>
      <c r="Q3573" t="str">
        <f>_xlfn.XLOOKUP(Pipeline_tbl[[#This Row],[Rep_ID]],Dim_Reps!A:A,Dim_Reps!D:D)</f>
        <v>Inside Sales</v>
      </c>
      <c r="R3573" t="str">
        <f>_xlfn.XLOOKUP(Pipeline_tbl[[#This Row],[Rep_ID]],Dim_Reps!A:A,Dim_Reps!E:E)</f>
        <v>LATAM</v>
      </c>
      <c r="S3573" t="str">
        <f>_xlfn.XLOOKUP(Pipeline_tbl[[#This Row],[Created_Date]],Dim_Date!A:A,Dim_Date!H:H)</f>
        <v>Jun 2024</v>
      </c>
      <c r="T3573" t="str">
        <f>IF(Pipeline_tbl[[#This Row],[Closed_Date]]=0,"",(_xlfn.XLOOKUP(Pipeline_tbl[[#This Row],[Closed_Date]],Dim_Date!A:A,Dim_Date!H:H)))</f>
        <v>Jul 2024</v>
      </c>
      <c r="U3573">
        <f>IF(Pipeline_tbl[[#This Row],[Closed_Date]]=0,"",Pipeline_tbl[[#This Row],[Closed_Date]]-Pipeline_tbl[[#This Row],[Created_Date]])</f>
        <v>16</v>
      </c>
    </row>
    <row r="3574" spans="1:21" ht="15" customHeight="1" x14ac:dyDescent="0.2">
      <c r="A3574" t="s">
        <v>3880</v>
      </c>
      <c r="B3574" t="s">
        <v>231</v>
      </c>
      <c r="C3574" t="s">
        <v>52</v>
      </c>
      <c r="D3574" s="49">
        <v>45472</v>
      </c>
      <c r="E3574" s="49">
        <v>45473</v>
      </c>
      <c r="F3574" s="49">
        <v>45476</v>
      </c>
      <c r="G3574" s="49">
        <v>45480</v>
      </c>
      <c r="H3574" s="49">
        <v>45484</v>
      </c>
      <c r="I3574" s="49">
        <v>45486</v>
      </c>
      <c r="J3574" t="s">
        <v>47</v>
      </c>
      <c r="K3574" s="33">
        <v>4000</v>
      </c>
      <c r="M3574" t="str">
        <f>_xlfn.XLOOKUP(Pipeline_tbl[[#This Row],[Rep_ID]],Dim_Reps!A:A,Dim_Reps!K:K)</f>
        <v>MXN</v>
      </c>
      <c r="N3574" s="33">
        <f>(_xlfn.XLOOKUP(Pipeline_tbl[[#This Row],[Rate_Code_Generalized]],Lookups!A:A,Lookups!B:B))*Pipeline_tbl[[#This Row],[Pipeline_Amount_USD]]</f>
        <v>78930.8</v>
      </c>
      <c r="O3574" t="str">
        <f>_xlfn.XLOOKUP(Pipeline_tbl[[#This Row],[Rep_ID]],Dim_Reps!A:A,Dim_Reps!B:B)</f>
        <v>Ben Silva</v>
      </c>
      <c r="P3574" t="str">
        <f>_xlfn.XLOOKUP(Pipeline_tbl[[#This Row],[Rep_ID]],Dim_Reps!A:A,Dim_Reps!C:C)</f>
        <v>SDR / Inside Sales Rep</v>
      </c>
      <c r="Q3574" t="str">
        <f>_xlfn.XLOOKUP(Pipeline_tbl[[#This Row],[Rep_ID]],Dim_Reps!A:A,Dim_Reps!D:D)</f>
        <v>Inside Sales</v>
      </c>
      <c r="R3574" t="str">
        <f>_xlfn.XLOOKUP(Pipeline_tbl[[#This Row],[Rep_ID]],Dim_Reps!A:A,Dim_Reps!E:E)</f>
        <v>LATAM</v>
      </c>
      <c r="S3574" t="str">
        <f>_xlfn.XLOOKUP(Pipeline_tbl[[#This Row],[Created_Date]],Dim_Date!A:A,Dim_Date!H:H)</f>
        <v>Jun 2024</v>
      </c>
      <c r="T3574" t="str">
        <f>IF(Pipeline_tbl[[#This Row],[Closed_Date]]=0,"",(_xlfn.XLOOKUP(Pipeline_tbl[[#This Row],[Closed_Date]],Dim_Date!A:A,Dim_Date!H:H)))</f>
        <v>Jul 2024</v>
      </c>
      <c r="U3574">
        <f>IF(Pipeline_tbl[[#This Row],[Closed_Date]]=0,"",Pipeline_tbl[[#This Row],[Closed_Date]]-Pipeline_tbl[[#This Row],[Created_Date]])</f>
        <v>14</v>
      </c>
    </row>
    <row r="3575" spans="1:21" ht="15" customHeight="1" x14ac:dyDescent="0.2">
      <c r="A3575" t="s">
        <v>3881</v>
      </c>
      <c r="B3575" t="s">
        <v>231</v>
      </c>
      <c r="C3575" t="s">
        <v>55</v>
      </c>
      <c r="D3575" s="49">
        <v>45469</v>
      </c>
      <c r="E3575" s="49">
        <v>45471</v>
      </c>
      <c r="F3575" s="49">
        <v>45477</v>
      </c>
      <c r="G3575" s="49">
        <v>45484</v>
      </c>
      <c r="H3575" s="49">
        <v>45490</v>
      </c>
      <c r="I3575" s="49">
        <v>45494</v>
      </c>
      <c r="J3575" t="s">
        <v>49</v>
      </c>
      <c r="K3575" s="33">
        <v>5000</v>
      </c>
      <c r="L3575" t="s">
        <v>63</v>
      </c>
      <c r="M3575" t="str">
        <f>_xlfn.XLOOKUP(Pipeline_tbl[[#This Row],[Rep_ID]],Dim_Reps!A:A,Dim_Reps!K:K)</f>
        <v>MXN</v>
      </c>
      <c r="N3575" s="33">
        <f>(_xlfn.XLOOKUP(Pipeline_tbl[[#This Row],[Rate_Code_Generalized]],Lookups!A:A,Lookups!B:B))*Pipeline_tbl[[#This Row],[Pipeline_Amount_USD]]</f>
        <v>98663.5</v>
      </c>
      <c r="O3575" t="str">
        <f>_xlfn.XLOOKUP(Pipeline_tbl[[#This Row],[Rep_ID]],Dim_Reps!A:A,Dim_Reps!B:B)</f>
        <v>Ben Silva</v>
      </c>
      <c r="P3575" t="str">
        <f>_xlfn.XLOOKUP(Pipeline_tbl[[#This Row],[Rep_ID]],Dim_Reps!A:A,Dim_Reps!C:C)</f>
        <v>SDR / Inside Sales Rep</v>
      </c>
      <c r="Q3575" t="str">
        <f>_xlfn.XLOOKUP(Pipeline_tbl[[#This Row],[Rep_ID]],Dim_Reps!A:A,Dim_Reps!D:D)</f>
        <v>Inside Sales</v>
      </c>
      <c r="R3575" t="str">
        <f>_xlfn.XLOOKUP(Pipeline_tbl[[#This Row],[Rep_ID]],Dim_Reps!A:A,Dim_Reps!E:E)</f>
        <v>LATAM</v>
      </c>
      <c r="S3575" t="str">
        <f>_xlfn.XLOOKUP(Pipeline_tbl[[#This Row],[Created_Date]],Dim_Date!A:A,Dim_Date!H:H)</f>
        <v>Jun 2024</v>
      </c>
      <c r="T3575" t="str">
        <f>IF(Pipeline_tbl[[#This Row],[Closed_Date]]=0,"",(_xlfn.XLOOKUP(Pipeline_tbl[[#This Row],[Closed_Date]],Dim_Date!A:A,Dim_Date!H:H)))</f>
        <v>Jul 2024</v>
      </c>
      <c r="U3575">
        <f>IF(Pipeline_tbl[[#This Row],[Closed_Date]]=0,"",Pipeline_tbl[[#This Row],[Closed_Date]]-Pipeline_tbl[[#This Row],[Created_Date]])</f>
        <v>25</v>
      </c>
    </row>
    <row r="3576" spans="1:21" ht="15" customHeight="1" x14ac:dyDescent="0.2">
      <c r="A3576" t="s">
        <v>3882</v>
      </c>
      <c r="B3576" t="s">
        <v>231</v>
      </c>
      <c r="C3576" t="s">
        <v>52</v>
      </c>
      <c r="D3576" s="49">
        <v>45460</v>
      </c>
      <c r="E3576" s="49">
        <v>45462</v>
      </c>
      <c r="F3576" s="49">
        <v>45466</v>
      </c>
      <c r="G3576" s="49">
        <v>45471</v>
      </c>
      <c r="H3576" s="49">
        <v>45476</v>
      </c>
      <c r="I3576" s="49">
        <v>45479</v>
      </c>
      <c r="J3576" t="s">
        <v>49</v>
      </c>
      <c r="K3576" s="33">
        <v>5600</v>
      </c>
      <c r="L3576" t="s">
        <v>63</v>
      </c>
      <c r="M3576" t="str">
        <f>_xlfn.XLOOKUP(Pipeline_tbl[[#This Row],[Rep_ID]],Dim_Reps!A:A,Dim_Reps!K:K)</f>
        <v>MXN</v>
      </c>
      <c r="N3576" s="33">
        <f>(_xlfn.XLOOKUP(Pipeline_tbl[[#This Row],[Rate_Code_Generalized]],Lookups!A:A,Lookups!B:B))*Pipeline_tbl[[#This Row],[Pipeline_Amount_USD]]</f>
        <v>110503.12000000001</v>
      </c>
      <c r="O3576" t="str">
        <f>_xlfn.XLOOKUP(Pipeline_tbl[[#This Row],[Rep_ID]],Dim_Reps!A:A,Dim_Reps!B:B)</f>
        <v>Ben Silva</v>
      </c>
      <c r="P3576" t="str">
        <f>_xlfn.XLOOKUP(Pipeline_tbl[[#This Row],[Rep_ID]],Dim_Reps!A:A,Dim_Reps!C:C)</f>
        <v>SDR / Inside Sales Rep</v>
      </c>
      <c r="Q3576" t="str">
        <f>_xlfn.XLOOKUP(Pipeline_tbl[[#This Row],[Rep_ID]],Dim_Reps!A:A,Dim_Reps!D:D)</f>
        <v>Inside Sales</v>
      </c>
      <c r="R3576" t="str">
        <f>_xlfn.XLOOKUP(Pipeline_tbl[[#This Row],[Rep_ID]],Dim_Reps!A:A,Dim_Reps!E:E)</f>
        <v>LATAM</v>
      </c>
      <c r="S3576" t="str">
        <f>_xlfn.XLOOKUP(Pipeline_tbl[[#This Row],[Created_Date]],Dim_Date!A:A,Dim_Date!H:H)</f>
        <v>Jun 2024</v>
      </c>
      <c r="T3576" t="str">
        <f>IF(Pipeline_tbl[[#This Row],[Closed_Date]]=0,"",(_xlfn.XLOOKUP(Pipeline_tbl[[#This Row],[Closed_Date]],Dim_Date!A:A,Dim_Date!H:H)))</f>
        <v>Jul 2024</v>
      </c>
      <c r="U3576">
        <f>IF(Pipeline_tbl[[#This Row],[Closed_Date]]=0,"",Pipeline_tbl[[#This Row],[Closed_Date]]-Pipeline_tbl[[#This Row],[Created_Date]])</f>
        <v>19</v>
      </c>
    </row>
    <row r="3577" spans="1:21" ht="15" customHeight="1" x14ac:dyDescent="0.2">
      <c r="A3577" t="s">
        <v>3883</v>
      </c>
      <c r="B3577" t="s">
        <v>263</v>
      </c>
      <c r="C3577" t="s">
        <v>53</v>
      </c>
      <c r="D3577" s="49">
        <v>45454</v>
      </c>
      <c r="E3577" s="49">
        <v>45459</v>
      </c>
      <c r="F3577" s="49">
        <v>45468</v>
      </c>
      <c r="I3577" s="49">
        <v>45502</v>
      </c>
      <c r="J3577" t="s">
        <v>49</v>
      </c>
      <c r="K3577" s="33">
        <v>13500</v>
      </c>
      <c r="L3577" t="s">
        <v>61</v>
      </c>
      <c r="M3577" t="str">
        <f>_xlfn.XLOOKUP(Pipeline_tbl[[#This Row],[Rep_ID]],Dim_Reps!A:A,Dim_Reps!K:K)</f>
        <v>USD</v>
      </c>
      <c r="N3577" s="33">
        <f>(_xlfn.XLOOKUP(Pipeline_tbl[[#This Row],[Rate_Code_Generalized]],Lookups!A:A,Lookups!B:B))*Pipeline_tbl[[#This Row],[Pipeline_Amount_USD]]</f>
        <v>15718.05</v>
      </c>
      <c r="O3577" t="str">
        <f>_xlfn.XLOOKUP(Pipeline_tbl[[#This Row],[Rep_ID]],Dim_Reps!A:A,Dim_Reps!B:B)</f>
        <v>Morgan Weber</v>
      </c>
      <c r="P3577" t="str">
        <f>_xlfn.XLOOKUP(Pipeline_tbl[[#This Row],[Rep_ID]],Dim_Reps!A:A,Dim_Reps!C:C)</f>
        <v>Mid-Market AE</v>
      </c>
      <c r="Q3577" t="str">
        <f>_xlfn.XLOOKUP(Pipeline_tbl[[#This Row],[Rep_ID]],Dim_Reps!A:A,Dim_Reps!D:D)</f>
        <v>Mid-Market</v>
      </c>
      <c r="R3577" t="str">
        <f>_xlfn.XLOOKUP(Pipeline_tbl[[#This Row],[Rep_ID]],Dim_Reps!A:A,Dim_Reps!E:E)</f>
        <v>NAMER</v>
      </c>
      <c r="S3577" t="str">
        <f>_xlfn.XLOOKUP(Pipeline_tbl[[#This Row],[Created_Date]],Dim_Date!A:A,Dim_Date!H:H)</f>
        <v>Jun 2024</v>
      </c>
      <c r="T3577" t="str">
        <f>IF(Pipeline_tbl[[#This Row],[Closed_Date]]=0,"",(_xlfn.XLOOKUP(Pipeline_tbl[[#This Row],[Closed_Date]],Dim_Date!A:A,Dim_Date!H:H)))</f>
        <v>Jul 2024</v>
      </c>
      <c r="U3577">
        <f>IF(Pipeline_tbl[[#This Row],[Closed_Date]]=0,"",Pipeline_tbl[[#This Row],[Closed_Date]]-Pipeline_tbl[[#This Row],[Created_Date]])</f>
        <v>48</v>
      </c>
    </row>
    <row r="3578" spans="1:21" ht="15" customHeight="1" x14ac:dyDescent="0.2">
      <c r="A3578" t="s">
        <v>3884</v>
      </c>
      <c r="B3578" t="s">
        <v>263</v>
      </c>
      <c r="C3578" t="s">
        <v>53</v>
      </c>
      <c r="D3578" s="49">
        <v>45447</v>
      </c>
      <c r="E3578" s="49">
        <v>45451</v>
      </c>
      <c r="F3578" s="49">
        <v>45459</v>
      </c>
      <c r="G3578" s="49">
        <v>45470</v>
      </c>
      <c r="I3578" s="49">
        <v>45486</v>
      </c>
      <c r="J3578" t="s">
        <v>49</v>
      </c>
      <c r="K3578" s="33">
        <v>6100</v>
      </c>
      <c r="L3578" t="s">
        <v>61</v>
      </c>
      <c r="M3578" t="str">
        <f>_xlfn.XLOOKUP(Pipeline_tbl[[#This Row],[Rep_ID]],Dim_Reps!A:A,Dim_Reps!K:K)</f>
        <v>USD</v>
      </c>
      <c r="N3578" s="33">
        <f>(_xlfn.XLOOKUP(Pipeline_tbl[[#This Row],[Rate_Code_Generalized]],Lookups!A:A,Lookups!B:B))*Pipeline_tbl[[#This Row],[Pipeline_Amount_USD]]</f>
        <v>7102.23</v>
      </c>
      <c r="O3578" t="str">
        <f>_xlfn.XLOOKUP(Pipeline_tbl[[#This Row],[Rep_ID]],Dim_Reps!A:A,Dim_Reps!B:B)</f>
        <v>Morgan Weber</v>
      </c>
      <c r="P3578" t="str">
        <f>_xlfn.XLOOKUP(Pipeline_tbl[[#This Row],[Rep_ID]],Dim_Reps!A:A,Dim_Reps!C:C)</f>
        <v>Mid-Market AE</v>
      </c>
      <c r="Q3578" t="str">
        <f>_xlfn.XLOOKUP(Pipeline_tbl[[#This Row],[Rep_ID]],Dim_Reps!A:A,Dim_Reps!D:D)</f>
        <v>Mid-Market</v>
      </c>
      <c r="R3578" t="str">
        <f>_xlfn.XLOOKUP(Pipeline_tbl[[#This Row],[Rep_ID]],Dim_Reps!A:A,Dim_Reps!E:E)</f>
        <v>NAMER</v>
      </c>
      <c r="S3578" t="str">
        <f>_xlfn.XLOOKUP(Pipeline_tbl[[#This Row],[Created_Date]],Dim_Date!A:A,Dim_Date!H:H)</f>
        <v>Jun 2024</v>
      </c>
      <c r="T3578" t="str">
        <f>IF(Pipeline_tbl[[#This Row],[Closed_Date]]=0,"",(_xlfn.XLOOKUP(Pipeline_tbl[[#This Row],[Closed_Date]],Dim_Date!A:A,Dim_Date!H:H)))</f>
        <v>Jul 2024</v>
      </c>
      <c r="U3578">
        <f>IF(Pipeline_tbl[[#This Row],[Closed_Date]]=0,"",Pipeline_tbl[[#This Row],[Closed_Date]]-Pipeline_tbl[[#This Row],[Created_Date]])</f>
        <v>39</v>
      </c>
    </row>
    <row r="3579" spans="1:21" ht="15" customHeight="1" x14ac:dyDescent="0.2">
      <c r="A3579" t="s">
        <v>3885</v>
      </c>
      <c r="B3579" t="s">
        <v>263</v>
      </c>
      <c r="C3579" t="s">
        <v>52</v>
      </c>
      <c r="D3579" s="49">
        <v>45458</v>
      </c>
      <c r="E3579" s="49">
        <v>45460</v>
      </c>
      <c r="F3579" s="49">
        <v>45463</v>
      </c>
      <c r="I3579" s="49">
        <v>45474</v>
      </c>
      <c r="J3579" t="s">
        <v>49</v>
      </c>
      <c r="K3579" s="33">
        <v>13100</v>
      </c>
      <c r="L3579" t="s">
        <v>61</v>
      </c>
      <c r="M3579" t="str">
        <f>_xlfn.XLOOKUP(Pipeline_tbl[[#This Row],[Rep_ID]],Dim_Reps!A:A,Dim_Reps!K:K)</f>
        <v>USD</v>
      </c>
      <c r="N3579" s="33">
        <f>(_xlfn.XLOOKUP(Pipeline_tbl[[#This Row],[Rate_Code_Generalized]],Lookups!A:A,Lookups!B:B))*Pipeline_tbl[[#This Row],[Pipeline_Amount_USD]]</f>
        <v>15252.329999999998</v>
      </c>
      <c r="O3579" t="str">
        <f>_xlfn.XLOOKUP(Pipeline_tbl[[#This Row],[Rep_ID]],Dim_Reps!A:A,Dim_Reps!B:B)</f>
        <v>Morgan Weber</v>
      </c>
      <c r="P3579" t="str">
        <f>_xlfn.XLOOKUP(Pipeline_tbl[[#This Row],[Rep_ID]],Dim_Reps!A:A,Dim_Reps!C:C)</f>
        <v>Mid-Market AE</v>
      </c>
      <c r="Q3579" t="str">
        <f>_xlfn.XLOOKUP(Pipeline_tbl[[#This Row],[Rep_ID]],Dim_Reps!A:A,Dim_Reps!D:D)</f>
        <v>Mid-Market</v>
      </c>
      <c r="R3579" t="str">
        <f>_xlfn.XLOOKUP(Pipeline_tbl[[#This Row],[Rep_ID]],Dim_Reps!A:A,Dim_Reps!E:E)</f>
        <v>NAMER</v>
      </c>
      <c r="S3579" t="str">
        <f>_xlfn.XLOOKUP(Pipeline_tbl[[#This Row],[Created_Date]],Dim_Date!A:A,Dim_Date!H:H)</f>
        <v>Jun 2024</v>
      </c>
      <c r="T3579" t="str">
        <f>IF(Pipeline_tbl[[#This Row],[Closed_Date]]=0,"",(_xlfn.XLOOKUP(Pipeline_tbl[[#This Row],[Closed_Date]],Dim_Date!A:A,Dim_Date!H:H)))</f>
        <v>Jul 2024</v>
      </c>
      <c r="U3579">
        <f>IF(Pipeline_tbl[[#This Row],[Closed_Date]]=0,"",Pipeline_tbl[[#This Row],[Closed_Date]]-Pipeline_tbl[[#This Row],[Created_Date]])</f>
        <v>16</v>
      </c>
    </row>
    <row r="3580" spans="1:21" ht="15" customHeight="1" x14ac:dyDescent="0.2">
      <c r="A3580" t="s">
        <v>3886</v>
      </c>
      <c r="B3580" t="s">
        <v>263</v>
      </c>
      <c r="C3580" t="s">
        <v>52</v>
      </c>
      <c r="D3580" s="49">
        <v>45445</v>
      </c>
      <c r="E3580" s="49">
        <v>45450</v>
      </c>
      <c r="F3580" s="49">
        <v>45461</v>
      </c>
      <c r="G3580" s="49">
        <v>45477</v>
      </c>
      <c r="H3580" s="49">
        <v>45491</v>
      </c>
      <c r="I3580" s="49">
        <v>45499</v>
      </c>
      <c r="J3580" t="s">
        <v>47</v>
      </c>
      <c r="K3580" s="33">
        <v>8100</v>
      </c>
      <c r="M3580" t="str">
        <f>_xlfn.XLOOKUP(Pipeline_tbl[[#This Row],[Rep_ID]],Dim_Reps!A:A,Dim_Reps!K:K)</f>
        <v>USD</v>
      </c>
      <c r="N3580" s="33">
        <f>(_xlfn.XLOOKUP(Pipeline_tbl[[#This Row],[Rate_Code_Generalized]],Lookups!A:A,Lookups!B:B))*Pipeline_tbl[[#This Row],[Pipeline_Amount_USD]]</f>
        <v>9430.83</v>
      </c>
      <c r="O3580" t="str">
        <f>_xlfn.XLOOKUP(Pipeline_tbl[[#This Row],[Rep_ID]],Dim_Reps!A:A,Dim_Reps!B:B)</f>
        <v>Morgan Weber</v>
      </c>
      <c r="P3580" t="str">
        <f>_xlfn.XLOOKUP(Pipeline_tbl[[#This Row],[Rep_ID]],Dim_Reps!A:A,Dim_Reps!C:C)</f>
        <v>Mid-Market AE</v>
      </c>
      <c r="Q3580" t="str">
        <f>_xlfn.XLOOKUP(Pipeline_tbl[[#This Row],[Rep_ID]],Dim_Reps!A:A,Dim_Reps!D:D)</f>
        <v>Mid-Market</v>
      </c>
      <c r="R3580" t="str">
        <f>_xlfn.XLOOKUP(Pipeline_tbl[[#This Row],[Rep_ID]],Dim_Reps!A:A,Dim_Reps!E:E)</f>
        <v>NAMER</v>
      </c>
      <c r="S3580" t="str">
        <f>_xlfn.XLOOKUP(Pipeline_tbl[[#This Row],[Created_Date]],Dim_Date!A:A,Dim_Date!H:H)</f>
        <v>Jun 2024</v>
      </c>
      <c r="T3580" t="str">
        <f>IF(Pipeline_tbl[[#This Row],[Closed_Date]]=0,"",(_xlfn.XLOOKUP(Pipeline_tbl[[#This Row],[Closed_Date]],Dim_Date!A:A,Dim_Date!H:H)))</f>
        <v>Jul 2024</v>
      </c>
      <c r="U3580">
        <f>IF(Pipeline_tbl[[#This Row],[Closed_Date]]=0,"",Pipeline_tbl[[#This Row],[Closed_Date]]-Pipeline_tbl[[#This Row],[Created_Date]])</f>
        <v>54</v>
      </c>
    </row>
    <row r="3581" spans="1:21" ht="15" customHeight="1" x14ac:dyDescent="0.2">
      <c r="A3581" t="s">
        <v>3887</v>
      </c>
      <c r="B3581" t="s">
        <v>263</v>
      </c>
      <c r="C3581" t="s">
        <v>56</v>
      </c>
      <c r="D3581" s="49">
        <v>45473</v>
      </c>
      <c r="E3581" s="49">
        <v>45475</v>
      </c>
      <c r="F3581" s="49">
        <v>45479</v>
      </c>
      <c r="G3581" s="49">
        <v>45484</v>
      </c>
      <c r="I3581" s="49">
        <v>45492</v>
      </c>
      <c r="J3581" t="s">
        <v>49</v>
      </c>
      <c r="K3581" s="33">
        <v>9900</v>
      </c>
      <c r="L3581" t="s">
        <v>61</v>
      </c>
      <c r="M3581" t="str">
        <f>_xlfn.XLOOKUP(Pipeline_tbl[[#This Row],[Rep_ID]],Dim_Reps!A:A,Dim_Reps!K:K)</f>
        <v>USD</v>
      </c>
      <c r="N3581" s="33">
        <f>(_xlfn.XLOOKUP(Pipeline_tbl[[#This Row],[Rate_Code_Generalized]],Lookups!A:A,Lookups!B:B))*Pipeline_tbl[[#This Row],[Pipeline_Amount_USD]]</f>
        <v>11526.57</v>
      </c>
      <c r="O3581" t="str">
        <f>_xlfn.XLOOKUP(Pipeline_tbl[[#This Row],[Rep_ID]],Dim_Reps!A:A,Dim_Reps!B:B)</f>
        <v>Morgan Weber</v>
      </c>
      <c r="P3581" t="str">
        <f>_xlfn.XLOOKUP(Pipeline_tbl[[#This Row],[Rep_ID]],Dim_Reps!A:A,Dim_Reps!C:C)</f>
        <v>Mid-Market AE</v>
      </c>
      <c r="Q3581" t="str">
        <f>_xlfn.XLOOKUP(Pipeline_tbl[[#This Row],[Rep_ID]],Dim_Reps!A:A,Dim_Reps!D:D)</f>
        <v>Mid-Market</v>
      </c>
      <c r="R3581" t="str">
        <f>_xlfn.XLOOKUP(Pipeline_tbl[[#This Row],[Rep_ID]],Dim_Reps!A:A,Dim_Reps!E:E)</f>
        <v>NAMER</v>
      </c>
      <c r="S3581" t="str">
        <f>_xlfn.XLOOKUP(Pipeline_tbl[[#This Row],[Created_Date]],Dim_Date!A:A,Dim_Date!H:H)</f>
        <v>Jun 2024</v>
      </c>
      <c r="T3581" t="str">
        <f>IF(Pipeline_tbl[[#This Row],[Closed_Date]]=0,"",(_xlfn.XLOOKUP(Pipeline_tbl[[#This Row],[Closed_Date]],Dim_Date!A:A,Dim_Date!H:H)))</f>
        <v>Jul 2024</v>
      </c>
      <c r="U3581">
        <f>IF(Pipeline_tbl[[#This Row],[Closed_Date]]=0,"",Pipeline_tbl[[#This Row],[Closed_Date]]-Pipeline_tbl[[#This Row],[Created_Date]])</f>
        <v>19</v>
      </c>
    </row>
    <row r="3582" spans="1:21" ht="15" customHeight="1" x14ac:dyDescent="0.2">
      <c r="A3582" t="s">
        <v>3888</v>
      </c>
      <c r="B3582" t="s">
        <v>265</v>
      </c>
      <c r="C3582" t="s">
        <v>54</v>
      </c>
      <c r="D3582" s="49">
        <v>45466</v>
      </c>
      <c r="E3582" s="49">
        <v>45468</v>
      </c>
      <c r="F3582" s="49">
        <v>45474</v>
      </c>
      <c r="G3582" s="49">
        <v>45481</v>
      </c>
      <c r="H3582" s="49">
        <v>45487</v>
      </c>
      <c r="I3582" s="49">
        <v>45491</v>
      </c>
      <c r="J3582" t="s">
        <v>47</v>
      </c>
      <c r="K3582" s="33">
        <v>3100</v>
      </c>
      <c r="M3582" t="str">
        <f>_xlfn.XLOOKUP(Pipeline_tbl[[#This Row],[Rep_ID]],Dim_Reps!A:A,Dim_Reps!K:K)</f>
        <v>EUR</v>
      </c>
      <c r="N3582" s="33">
        <f>(_xlfn.XLOOKUP(Pipeline_tbl[[#This Row],[Rate_Code_Generalized]],Lookups!A:A,Lookups!B:B))*Pipeline_tbl[[#This Row],[Pipeline_Amount_USD]]</f>
        <v>3100</v>
      </c>
      <c r="O3582" t="str">
        <f>_xlfn.XLOOKUP(Pipeline_tbl[[#This Row],[Rep_ID]],Dim_Reps!A:A,Dim_Reps!B:B)</f>
        <v>Erik Duarte</v>
      </c>
      <c r="P3582" t="str">
        <f>_xlfn.XLOOKUP(Pipeline_tbl[[#This Row],[Rep_ID]],Dim_Reps!A:A,Dim_Reps!C:C)</f>
        <v>Mid-Market AE</v>
      </c>
      <c r="Q3582" t="str">
        <f>_xlfn.XLOOKUP(Pipeline_tbl[[#This Row],[Rep_ID]],Dim_Reps!A:A,Dim_Reps!D:D)</f>
        <v>Mid-Market</v>
      </c>
      <c r="R3582" t="str">
        <f>_xlfn.XLOOKUP(Pipeline_tbl[[#This Row],[Rep_ID]],Dim_Reps!A:A,Dim_Reps!E:E)</f>
        <v>EMEA</v>
      </c>
      <c r="S3582" t="str">
        <f>_xlfn.XLOOKUP(Pipeline_tbl[[#This Row],[Created_Date]],Dim_Date!A:A,Dim_Date!H:H)</f>
        <v>Jun 2024</v>
      </c>
      <c r="T3582" t="str">
        <f>IF(Pipeline_tbl[[#This Row],[Closed_Date]]=0,"",(_xlfn.XLOOKUP(Pipeline_tbl[[#This Row],[Closed_Date]],Dim_Date!A:A,Dim_Date!H:H)))</f>
        <v>Jul 2024</v>
      </c>
      <c r="U3582">
        <f>IF(Pipeline_tbl[[#This Row],[Closed_Date]]=0,"",Pipeline_tbl[[#This Row],[Closed_Date]]-Pipeline_tbl[[#This Row],[Created_Date]])</f>
        <v>25</v>
      </c>
    </row>
    <row r="3583" spans="1:21" ht="15" customHeight="1" x14ac:dyDescent="0.2">
      <c r="A3583" t="s">
        <v>3889</v>
      </c>
      <c r="B3583" t="s">
        <v>233</v>
      </c>
      <c r="C3583" t="s">
        <v>52</v>
      </c>
      <c r="D3583" s="49">
        <v>45458</v>
      </c>
      <c r="E3583" s="49">
        <v>45460</v>
      </c>
      <c r="F3583" s="49">
        <v>45464</v>
      </c>
      <c r="G3583" s="49">
        <v>45471</v>
      </c>
      <c r="I3583" s="49">
        <v>45479</v>
      </c>
      <c r="J3583" t="s">
        <v>49</v>
      </c>
      <c r="K3583" s="33">
        <v>2600</v>
      </c>
      <c r="L3583" t="s">
        <v>62</v>
      </c>
      <c r="M3583" t="str">
        <f>_xlfn.XLOOKUP(Pipeline_tbl[[#This Row],[Rep_ID]],Dim_Reps!A:A,Dim_Reps!K:K)</f>
        <v>MXN</v>
      </c>
      <c r="N3583" s="33">
        <f>(_xlfn.XLOOKUP(Pipeline_tbl[[#This Row],[Rate_Code_Generalized]],Lookups!A:A,Lookups!B:B))*Pipeline_tbl[[#This Row],[Pipeline_Amount_USD]]</f>
        <v>51305.020000000004</v>
      </c>
      <c r="O3583" t="str">
        <f>_xlfn.XLOOKUP(Pipeline_tbl[[#This Row],[Rep_ID]],Dim_Reps!A:A,Dim_Reps!B:B)</f>
        <v>Lucas Duarte</v>
      </c>
      <c r="P3583" t="str">
        <f>_xlfn.XLOOKUP(Pipeline_tbl[[#This Row],[Rep_ID]],Dim_Reps!A:A,Dim_Reps!C:C)</f>
        <v>SDR / Inside Sales Rep</v>
      </c>
      <c r="Q3583" t="str">
        <f>_xlfn.XLOOKUP(Pipeline_tbl[[#This Row],[Rep_ID]],Dim_Reps!A:A,Dim_Reps!D:D)</f>
        <v>Inside Sales</v>
      </c>
      <c r="R3583" t="str">
        <f>_xlfn.XLOOKUP(Pipeline_tbl[[#This Row],[Rep_ID]],Dim_Reps!A:A,Dim_Reps!E:E)</f>
        <v>LATAM</v>
      </c>
      <c r="S3583" t="str">
        <f>_xlfn.XLOOKUP(Pipeline_tbl[[#This Row],[Created_Date]],Dim_Date!A:A,Dim_Date!H:H)</f>
        <v>Jun 2024</v>
      </c>
      <c r="T3583" t="str">
        <f>IF(Pipeline_tbl[[#This Row],[Closed_Date]]=0,"",(_xlfn.XLOOKUP(Pipeline_tbl[[#This Row],[Closed_Date]],Dim_Date!A:A,Dim_Date!H:H)))</f>
        <v>Jul 2024</v>
      </c>
      <c r="U3583">
        <f>IF(Pipeline_tbl[[#This Row],[Closed_Date]]=0,"",Pipeline_tbl[[#This Row],[Closed_Date]]-Pipeline_tbl[[#This Row],[Created_Date]])</f>
        <v>21</v>
      </c>
    </row>
    <row r="3584" spans="1:21" ht="15" customHeight="1" x14ac:dyDescent="0.2">
      <c r="A3584" t="s">
        <v>3890</v>
      </c>
      <c r="B3584" t="s">
        <v>233</v>
      </c>
      <c r="C3584" t="s">
        <v>56</v>
      </c>
      <c r="D3584" s="49">
        <v>45469</v>
      </c>
      <c r="E3584" s="49">
        <v>45471</v>
      </c>
      <c r="F3584" s="49">
        <v>45475</v>
      </c>
      <c r="G3584" s="49">
        <v>45482</v>
      </c>
      <c r="I3584" s="49">
        <v>45490</v>
      </c>
      <c r="J3584" t="s">
        <v>49</v>
      </c>
      <c r="K3584" s="33">
        <v>2900</v>
      </c>
      <c r="L3584" t="s">
        <v>62</v>
      </c>
      <c r="M3584" t="str">
        <f>_xlfn.XLOOKUP(Pipeline_tbl[[#This Row],[Rep_ID]],Dim_Reps!A:A,Dim_Reps!K:K)</f>
        <v>MXN</v>
      </c>
      <c r="N3584" s="33">
        <f>(_xlfn.XLOOKUP(Pipeline_tbl[[#This Row],[Rate_Code_Generalized]],Lookups!A:A,Lookups!B:B))*Pipeline_tbl[[#This Row],[Pipeline_Amount_USD]]</f>
        <v>57224.83</v>
      </c>
      <c r="O3584" t="str">
        <f>_xlfn.XLOOKUP(Pipeline_tbl[[#This Row],[Rep_ID]],Dim_Reps!A:A,Dim_Reps!B:B)</f>
        <v>Lucas Duarte</v>
      </c>
      <c r="P3584" t="str">
        <f>_xlfn.XLOOKUP(Pipeline_tbl[[#This Row],[Rep_ID]],Dim_Reps!A:A,Dim_Reps!C:C)</f>
        <v>SDR / Inside Sales Rep</v>
      </c>
      <c r="Q3584" t="str">
        <f>_xlfn.XLOOKUP(Pipeline_tbl[[#This Row],[Rep_ID]],Dim_Reps!A:A,Dim_Reps!D:D)</f>
        <v>Inside Sales</v>
      </c>
      <c r="R3584" t="str">
        <f>_xlfn.XLOOKUP(Pipeline_tbl[[#This Row],[Rep_ID]],Dim_Reps!A:A,Dim_Reps!E:E)</f>
        <v>LATAM</v>
      </c>
      <c r="S3584" t="str">
        <f>_xlfn.XLOOKUP(Pipeline_tbl[[#This Row],[Created_Date]],Dim_Date!A:A,Dim_Date!H:H)</f>
        <v>Jun 2024</v>
      </c>
      <c r="T3584" t="str">
        <f>IF(Pipeline_tbl[[#This Row],[Closed_Date]]=0,"",(_xlfn.XLOOKUP(Pipeline_tbl[[#This Row],[Closed_Date]],Dim_Date!A:A,Dim_Date!H:H)))</f>
        <v>Jul 2024</v>
      </c>
      <c r="U3584">
        <f>IF(Pipeline_tbl[[#This Row],[Closed_Date]]=0,"",Pipeline_tbl[[#This Row],[Closed_Date]]-Pipeline_tbl[[#This Row],[Created_Date]])</f>
        <v>21</v>
      </c>
    </row>
    <row r="3585" spans="1:21" ht="15" customHeight="1" x14ac:dyDescent="0.2">
      <c r="A3585" t="s">
        <v>3891</v>
      </c>
      <c r="B3585" t="s">
        <v>233</v>
      </c>
      <c r="C3585" t="s">
        <v>55</v>
      </c>
      <c r="D3585" s="49">
        <v>45471</v>
      </c>
      <c r="E3585" s="49">
        <v>45473</v>
      </c>
      <c r="F3585" s="49">
        <v>45478</v>
      </c>
      <c r="G3585" s="49">
        <v>45485</v>
      </c>
      <c r="H3585" s="49">
        <v>45491</v>
      </c>
      <c r="I3585" s="49">
        <v>45495</v>
      </c>
      <c r="J3585" t="s">
        <v>47</v>
      </c>
      <c r="K3585" s="33">
        <v>5700</v>
      </c>
      <c r="M3585" t="str">
        <f>_xlfn.XLOOKUP(Pipeline_tbl[[#This Row],[Rep_ID]],Dim_Reps!A:A,Dim_Reps!K:K)</f>
        <v>MXN</v>
      </c>
      <c r="N3585" s="33">
        <f>(_xlfn.XLOOKUP(Pipeline_tbl[[#This Row],[Rate_Code_Generalized]],Lookups!A:A,Lookups!B:B))*Pipeline_tbl[[#This Row],[Pipeline_Amount_USD]]</f>
        <v>112476.39000000001</v>
      </c>
      <c r="O3585" t="str">
        <f>_xlfn.XLOOKUP(Pipeline_tbl[[#This Row],[Rep_ID]],Dim_Reps!A:A,Dim_Reps!B:B)</f>
        <v>Lucas Duarte</v>
      </c>
      <c r="P3585" t="str">
        <f>_xlfn.XLOOKUP(Pipeline_tbl[[#This Row],[Rep_ID]],Dim_Reps!A:A,Dim_Reps!C:C)</f>
        <v>SDR / Inside Sales Rep</v>
      </c>
      <c r="Q3585" t="str">
        <f>_xlfn.XLOOKUP(Pipeline_tbl[[#This Row],[Rep_ID]],Dim_Reps!A:A,Dim_Reps!D:D)</f>
        <v>Inside Sales</v>
      </c>
      <c r="R3585" t="str">
        <f>_xlfn.XLOOKUP(Pipeline_tbl[[#This Row],[Rep_ID]],Dim_Reps!A:A,Dim_Reps!E:E)</f>
        <v>LATAM</v>
      </c>
      <c r="S3585" t="str">
        <f>_xlfn.XLOOKUP(Pipeline_tbl[[#This Row],[Created_Date]],Dim_Date!A:A,Dim_Date!H:H)</f>
        <v>Jun 2024</v>
      </c>
      <c r="T3585" t="str">
        <f>IF(Pipeline_tbl[[#This Row],[Closed_Date]]=0,"",(_xlfn.XLOOKUP(Pipeline_tbl[[#This Row],[Closed_Date]],Dim_Date!A:A,Dim_Date!H:H)))</f>
        <v>Jul 2024</v>
      </c>
      <c r="U3585">
        <f>IF(Pipeline_tbl[[#This Row],[Closed_Date]]=0,"",Pipeline_tbl[[#This Row],[Closed_Date]]-Pipeline_tbl[[#This Row],[Created_Date]])</f>
        <v>24</v>
      </c>
    </row>
    <row r="3586" spans="1:21" ht="15" customHeight="1" x14ac:dyDescent="0.2">
      <c r="A3586" t="s">
        <v>3892</v>
      </c>
      <c r="B3586" t="s">
        <v>233</v>
      </c>
      <c r="C3586" t="s">
        <v>53</v>
      </c>
      <c r="D3586" s="49">
        <v>45453</v>
      </c>
      <c r="E3586" s="49">
        <v>45455</v>
      </c>
      <c r="F3586" s="49">
        <v>45460</v>
      </c>
      <c r="I3586" s="49">
        <v>45475</v>
      </c>
      <c r="J3586" t="s">
        <v>49</v>
      </c>
      <c r="K3586" s="33">
        <v>5200</v>
      </c>
      <c r="L3586" t="s">
        <v>60</v>
      </c>
      <c r="M3586" t="str">
        <f>_xlfn.XLOOKUP(Pipeline_tbl[[#This Row],[Rep_ID]],Dim_Reps!A:A,Dim_Reps!K:K)</f>
        <v>MXN</v>
      </c>
      <c r="N3586" s="33">
        <f>(_xlfn.XLOOKUP(Pipeline_tbl[[#This Row],[Rate_Code_Generalized]],Lookups!A:A,Lookups!B:B))*Pipeline_tbl[[#This Row],[Pipeline_Amount_USD]]</f>
        <v>102610.04000000001</v>
      </c>
      <c r="O3586" t="str">
        <f>_xlfn.XLOOKUP(Pipeline_tbl[[#This Row],[Rep_ID]],Dim_Reps!A:A,Dim_Reps!B:B)</f>
        <v>Lucas Duarte</v>
      </c>
      <c r="P3586" t="str">
        <f>_xlfn.XLOOKUP(Pipeline_tbl[[#This Row],[Rep_ID]],Dim_Reps!A:A,Dim_Reps!C:C)</f>
        <v>SDR / Inside Sales Rep</v>
      </c>
      <c r="Q3586" t="str">
        <f>_xlfn.XLOOKUP(Pipeline_tbl[[#This Row],[Rep_ID]],Dim_Reps!A:A,Dim_Reps!D:D)</f>
        <v>Inside Sales</v>
      </c>
      <c r="R3586" t="str">
        <f>_xlfn.XLOOKUP(Pipeline_tbl[[#This Row],[Rep_ID]],Dim_Reps!A:A,Dim_Reps!E:E)</f>
        <v>LATAM</v>
      </c>
      <c r="S3586" t="str">
        <f>_xlfn.XLOOKUP(Pipeline_tbl[[#This Row],[Created_Date]],Dim_Date!A:A,Dim_Date!H:H)</f>
        <v>Jun 2024</v>
      </c>
      <c r="T3586" t="str">
        <f>IF(Pipeline_tbl[[#This Row],[Closed_Date]]=0,"",(_xlfn.XLOOKUP(Pipeline_tbl[[#This Row],[Closed_Date]],Dim_Date!A:A,Dim_Date!H:H)))</f>
        <v>Jul 2024</v>
      </c>
      <c r="U3586">
        <f>IF(Pipeline_tbl[[#This Row],[Closed_Date]]=0,"",Pipeline_tbl[[#This Row],[Closed_Date]]-Pipeline_tbl[[#This Row],[Created_Date]])</f>
        <v>22</v>
      </c>
    </row>
    <row r="3587" spans="1:21" ht="15" customHeight="1" x14ac:dyDescent="0.2">
      <c r="A3587" t="s">
        <v>3893</v>
      </c>
      <c r="B3587" t="s">
        <v>233</v>
      </c>
      <c r="C3587" t="s">
        <v>56</v>
      </c>
      <c r="D3587" s="49">
        <v>45454</v>
      </c>
      <c r="E3587" s="49">
        <v>45456</v>
      </c>
      <c r="F3587" s="49">
        <v>45461</v>
      </c>
      <c r="G3587" s="49">
        <v>45467</v>
      </c>
      <c r="I3587" s="49">
        <v>45476</v>
      </c>
      <c r="J3587" t="s">
        <v>49</v>
      </c>
      <c r="K3587" s="33">
        <v>5100</v>
      </c>
      <c r="L3587" t="s">
        <v>64</v>
      </c>
      <c r="M3587" t="str">
        <f>_xlfn.XLOOKUP(Pipeline_tbl[[#This Row],[Rep_ID]],Dim_Reps!A:A,Dim_Reps!K:K)</f>
        <v>MXN</v>
      </c>
      <c r="N3587" s="33">
        <f>(_xlfn.XLOOKUP(Pipeline_tbl[[#This Row],[Rate_Code_Generalized]],Lookups!A:A,Lookups!B:B))*Pipeline_tbl[[#This Row],[Pipeline_Amount_USD]]</f>
        <v>100636.77</v>
      </c>
      <c r="O3587" t="str">
        <f>_xlfn.XLOOKUP(Pipeline_tbl[[#This Row],[Rep_ID]],Dim_Reps!A:A,Dim_Reps!B:B)</f>
        <v>Lucas Duarte</v>
      </c>
      <c r="P3587" t="str">
        <f>_xlfn.XLOOKUP(Pipeline_tbl[[#This Row],[Rep_ID]],Dim_Reps!A:A,Dim_Reps!C:C)</f>
        <v>SDR / Inside Sales Rep</v>
      </c>
      <c r="Q3587" t="str">
        <f>_xlfn.XLOOKUP(Pipeline_tbl[[#This Row],[Rep_ID]],Dim_Reps!A:A,Dim_Reps!D:D)</f>
        <v>Inside Sales</v>
      </c>
      <c r="R3587" t="str">
        <f>_xlfn.XLOOKUP(Pipeline_tbl[[#This Row],[Rep_ID]],Dim_Reps!A:A,Dim_Reps!E:E)</f>
        <v>LATAM</v>
      </c>
      <c r="S3587" t="str">
        <f>_xlfn.XLOOKUP(Pipeline_tbl[[#This Row],[Created_Date]],Dim_Date!A:A,Dim_Date!H:H)</f>
        <v>Jun 2024</v>
      </c>
      <c r="T3587" t="str">
        <f>IF(Pipeline_tbl[[#This Row],[Closed_Date]]=0,"",(_xlfn.XLOOKUP(Pipeline_tbl[[#This Row],[Closed_Date]],Dim_Date!A:A,Dim_Date!H:H)))</f>
        <v>Jul 2024</v>
      </c>
      <c r="U3587">
        <f>IF(Pipeline_tbl[[#This Row],[Closed_Date]]=0,"",Pipeline_tbl[[#This Row],[Closed_Date]]-Pipeline_tbl[[#This Row],[Created_Date]])</f>
        <v>22</v>
      </c>
    </row>
    <row r="3588" spans="1:21" ht="15" customHeight="1" x14ac:dyDescent="0.2">
      <c r="A3588" t="s">
        <v>3894</v>
      </c>
      <c r="B3588" t="s">
        <v>233</v>
      </c>
      <c r="C3588" t="s">
        <v>52</v>
      </c>
      <c r="D3588" s="49">
        <v>45454</v>
      </c>
      <c r="E3588" s="49">
        <v>45456</v>
      </c>
      <c r="F3588" s="49">
        <v>45461</v>
      </c>
      <c r="G3588" s="49">
        <v>45468</v>
      </c>
      <c r="H3588" s="49">
        <v>45474</v>
      </c>
      <c r="I3588" s="49">
        <v>45477</v>
      </c>
      <c r="J3588" t="s">
        <v>47</v>
      </c>
      <c r="K3588" s="33">
        <v>2500</v>
      </c>
      <c r="M3588" t="str">
        <f>_xlfn.XLOOKUP(Pipeline_tbl[[#This Row],[Rep_ID]],Dim_Reps!A:A,Dim_Reps!K:K)</f>
        <v>MXN</v>
      </c>
      <c r="N3588" s="33">
        <f>(_xlfn.XLOOKUP(Pipeline_tbl[[#This Row],[Rate_Code_Generalized]],Lookups!A:A,Lookups!B:B))*Pipeline_tbl[[#This Row],[Pipeline_Amount_USD]]</f>
        <v>49331.75</v>
      </c>
      <c r="O3588" t="str">
        <f>_xlfn.XLOOKUP(Pipeline_tbl[[#This Row],[Rep_ID]],Dim_Reps!A:A,Dim_Reps!B:B)</f>
        <v>Lucas Duarte</v>
      </c>
      <c r="P3588" t="str">
        <f>_xlfn.XLOOKUP(Pipeline_tbl[[#This Row],[Rep_ID]],Dim_Reps!A:A,Dim_Reps!C:C)</f>
        <v>SDR / Inside Sales Rep</v>
      </c>
      <c r="Q3588" t="str">
        <f>_xlfn.XLOOKUP(Pipeline_tbl[[#This Row],[Rep_ID]],Dim_Reps!A:A,Dim_Reps!D:D)</f>
        <v>Inside Sales</v>
      </c>
      <c r="R3588" t="str">
        <f>_xlfn.XLOOKUP(Pipeline_tbl[[#This Row],[Rep_ID]],Dim_Reps!A:A,Dim_Reps!E:E)</f>
        <v>LATAM</v>
      </c>
      <c r="S3588" t="str">
        <f>_xlfn.XLOOKUP(Pipeline_tbl[[#This Row],[Created_Date]],Dim_Date!A:A,Dim_Date!H:H)</f>
        <v>Jun 2024</v>
      </c>
      <c r="T3588" t="str">
        <f>IF(Pipeline_tbl[[#This Row],[Closed_Date]]=0,"",(_xlfn.XLOOKUP(Pipeline_tbl[[#This Row],[Closed_Date]],Dim_Date!A:A,Dim_Date!H:H)))</f>
        <v>Jul 2024</v>
      </c>
      <c r="U3588">
        <f>IF(Pipeline_tbl[[#This Row],[Closed_Date]]=0,"",Pipeline_tbl[[#This Row],[Closed_Date]]-Pipeline_tbl[[#This Row],[Created_Date]])</f>
        <v>23</v>
      </c>
    </row>
    <row r="3589" spans="1:21" ht="15" customHeight="1" x14ac:dyDescent="0.2">
      <c r="A3589" t="s">
        <v>3895</v>
      </c>
      <c r="B3589" t="s">
        <v>233</v>
      </c>
      <c r="C3589" t="s">
        <v>53</v>
      </c>
      <c r="D3589" s="49">
        <v>45472</v>
      </c>
      <c r="E3589" s="49">
        <v>45474</v>
      </c>
      <c r="F3589" s="49">
        <v>45477</v>
      </c>
      <c r="G3589" s="49">
        <v>45481</v>
      </c>
      <c r="H3589" s="49">
        <v>45485</v>
      </c>
      <c r="I3589" s="49">
        <v>45487</v>
      </c>
      <c r="J3589" t="s">
        <v>47</v>
      </c>
      <c r="K3589" s="33">
        <v>3700</v>
      </c>
      <c r="M3589" t="str">
        <f>_xlfn.XLOOKUP(Pipeline_tbl[[#This Row],[Rep_ID]],Dim_Reps!A:A,Dim_Reps!K:K)</f>
        <v>MXN</v>
      </c>
      <c r="N3589" s="33">
        <f>(_xlfn.XLOOKUP(Pipeline_tbl[[#This Row],[Rate_Code_Generalized]],Lookups!A:A,Lookups!B:B))*Pipeline_tbl[[#This Row],[Pipeline_Amount_USD]]</f>
        <v>73010.990000000005</v>
      </c>
      <c r="O3589" t="str">
        <f>_xlfn.XLOOKUP(Pipeline_tbl[[#This Row],[Rep_ID]],Dim_Reps!A:A,Dim_Reps!B:B)</f>
        <v>Lucas Duarte</v>
      </c>
      <c r="P3589" t="str">
        <f>_xlfn.XLOOKUP(Pipeline_tbl[[#This Row],[Rep_ID]],Dim_Reps!A:A,Dim_Reps!C:C)</f>
        <v>SDR / Inside Sales Rep</v>
      </c>
      <c r="Q3589" t="str">
        <f>_xlfn.XLOOKUP(Pipeline_tbl[[#This Row],[Rep_ID]],Dim_Reps!A:A,Dim_Reps!D:D)</f>
        <v>Inside Sales</v>
      </c>
      <c r="R3589" t="str">
        <f>_xlfn.XLOOKUP(Pipeline_tbl[[#This Row],[Rep_ID]],Dim_Reps!A:A,Dim_Reps!E:E)</f>
        <v>LATAM</v>
      </c>
      <c r="S3589" t="str">
        <f>_xlfn.XLOOKUP(Pipeline_tbl[[#This Row],[Created_Date]],Dim_Date!A:A,Dim_Date!H:H)</f>
        <v>Jun 2024</v>
      </c>
      <c r="T3589" t="str">
        <f>IF(Pipeline_tbl[[#This Row],[Closed_Date]]=0,"",(_xlfn.XLOOKUP(Pipeline_tbl[[#This Row],[Closed_Date]],Dim_Date!A:A,Dim_Date!H:H)))</f>
        <v>Jul 2024</v>
      </c>
      <c r="U3589">
        <f>IF(Pipeline_tbl[[#This Row],[Closed_Date]]=0,"",Pipeline_tbl[[#This Row],[Closed_Date]]-Pipeline_tbl[[#This Row],[Created_Date]])</f>
        <v>15</v>
      </c>
    </row>
    <row r="3590" spans="1:21" ht="15" customHeight="1" x14ac:dyDescent="0.2">
      <c r="A3590" t="s">
        <v>3896</v>
      </c>
      <c r="B3590" t="s">
        <v>267</v>
      </c>
      <c r="C3590" t="s">
        <v>52</v>
      </c>
      <c r="D3590" s="49">
        <v>45469</v>
      </c>
      <c r="E3590" s="49">
        <v>45473</v>
      </c>
      <c r="I3590" s="49">
        <v>45504</v>
      </c>
      <c r="J3590" t="s">
        <v>49</v>
      </c>
      <c r="K3590" s="33">
        <v>24600</v>
      </c>
      <c r="L3590" t="s">
        <v>63</v>
      </c>
      <c r="M3590" t="str">
        <f>_xlfn.XLOOKUP(Pipeline_tbl[[#This Row],[Rep_ID]],Dim_Reps!A:A,Dim_Reps!K:K)</f>
        <v>MXN</v>
      </c>
      <c r="N3590" s="33">
        <f>(_xlfn.XLOOKUP(Pipeline_tbl[[#This Row],[Rate_Code_Generalized]],Lookups!A:A,Lookups!B:B))*Pipeline_tbl[[#This Row],[Pipeline_Amount_USD]]</f>
        <v>485424.42000000004</v>
      </c>
      <c r="O3590" t="str">
        <f>_xlfn.XLOOKUP(Pipeline_tbl[[#This Row],[Rep_ID]],Dim_Reps!A:A,Dim_Reps!B:B)</f>
        <v>Yuki Dubois</v>
      </c>
      <c r="P3590" t="str">
        <f>_xlfn.XLOOKUP(Pipeline_tbl[[#This Row],[Rep_ID]],Dim_Reps!A:A,Dim_Reps!C:C)</f>
        <v>Mid-Market AE</v>
      </c>
      <c r="Q3590" t="str">
        <f>_xlfn.XLOOKUP(Pipeline_tbl[[#This Row],[Rep_ID]],Dim_Reps!A:A,Dim_Reps!D:D)</f>
        <v>Mid-Market</v>
      </c>
      <c r="R3590" t="str">
        <f>_xlfn.XLOOKUP(Pipeline_tbl[[#This Row],[Rep_ID]],Dim_Reps!A:A,Dim_Reps!E:E)</f>
        <v>LATAM</v>
      </c>
      <c r="S3590" t="str">
        <f>_xlfn.XLOOKUP(Pipeline_tbl[[#This Row],[Created_Date]],Dim_Date!A:A,Dim_Date!H:H)</f>
        <v>Jun 2024</v>
      </c>
      <c r="T3590" t="str">
        <f>IF(Pipeline_tbl[[#This Row],[Closed_Date]]=0,"",(_xlfn.XLOOKUP(Pipeline_tbl[[#This Row],[Closed_Date]],Dim_Date!A:A,Dim_Date!H:H)))</f>
        <v>Jul 2024</v>
      </c>
      <c r="U3590">
        <f>IF(Pipeline_tbl[[#This Row],[Closed_Date]]=0,"",Pipeline_tbl[[#This Row],[Closed_Date]]-Pipeline_tbl[[#This Row],[Created_Date]])</f>
        <v>35</v>
      </c>
    </row>
    <row r="3591" spans="1:21" ht="15" customHeight="1" x14ac:dyDescent="0.2">
      <c r="A3591" t="s">
        <v>3897</v>
      </c>
      <c r="B3591" t="s">
        <v>267</v>
      </c>
      <c r="C3591" t="s">
        <v>52</v>
      </c>
      <c r="D3591" s="49">
        <v>45453</v>
      </c>
      <c r="E3591" s="49">
        <v>45456</v>
      </c>
      <c r="I3591" s="49">
        <v>45481</v>
      </c>
      <c r="J3591" t="s">
        <v>49</v>
      </c>
      <c r="K3591" s="33">
        <v>14800</v>
      </c>
      <c r="L3591" t="s">
        <v>60</v>
      </c>
      <c r="M3591" t="str">
        <f>_xlfn.XLOOKUP(Pipeline_tbl[[#This Row],[Rep_ID]],Dim_Reps!A:A,Dim_Reps!K:K)</f>
        <v>MXN</v>
      </c>
      <c r="N3591" s="33">
        <f>(_xlfn.XLOOKUP(Pipeline_tbl[[#This Row],[Rate_Code_Generalized]],Lookups!A:A,Lookups!B:B))*Pipeline_tbl[[#This Row],[Pipeline_Amount_USD]]</f>
        <v>292043.96000000002</v>
      </c>
      <c r="O3591" t="str">
        <f>_xlfn.XLOOKUP(Pipeline_tbl[[#This Row],[Rep_ID]],Dim_Reps!A:A,Dim_Reps!B:B)</f>
        <v>Yuki Dubois</v>
      </c>
      <c r="P3591" t="str">
        <f>_xlfn.XLOOKUP(Pipeline_tbl[[#This Row],[Rep_ID]],Dim_Reps!A:A,Dim_Reps!C:C)</f>
        <v>Mid-Market AE</v>
      </c>
      <c r="Q3591" t="str">
        <f>_xlfn.XLOOKUP(Pipeline_tbl[[#This Row],[Rep_ID]],Dim_Reps!A:A,Dim_Reps!D:D)</f>
        <v>Mid-Market</v>
      </c>
      <c r="R3591" t="str">
        <f>_xlfn.XLOOKUP(Pipeline_tbl[[#This Row],[Rep_ID]],Dim_Reps!A:A,Dim_Reps!E:E)</f>
        <v>LATAM</v>
      </c>
      <c r="S3591" t="str">
        <f>_xlfn.XLOOKUP(Pipeline_tbl[[#This Row],[Created_Date]],Dim_Date!A:A,Dim_Date!H:H)</f>
        <v>Jun 2024</v>
      </c>
      <c r="T3591" t="str">
        <f>IF(Pipeline_tbl[[#This Row],[Closed_Date]]=0,"",(_xlfn.XLOOKUP(Pipeline_tbl[[#This Row],[Closed_Date]],Dim_Date!A:A,Dim_Date!H:H)))</f>
        <v>Jul 2024</v>
      </c>
      <c r="U3591">
        <f>IF(Pipeline_tbl[[#This Row],[Closed_Date]]=0,"",Pipeline_tbl[[#This Row],[Closed_Date]]-Pipeline_tbl[[#This Row],[Created_Date]])</f>
        <v>28</v>
      </c>
    </row>
    <row r="3592" spans="1:21" ht="15" customHeight="1" x14ac:dyDescent="0.2">
      <c r="A3592" t="s">
        <v>3898</v>
      </c>
      <c r="B3592" t="s">
        <v>267</v>
      </c>
      <c r="C3592" t="s">
        <v>54</v>
      </c>
      <c r="D3592" s="49">
        <v>45453</v>
      </c>
      <c r="E3592" s="49">
        <v>45457</v>
      </c>
      <c r="F3592" s="49">
        <v>45465</v>
      </c>
      <c r="G3592" s="49">
        <v>45478</v>
      </c>
      <c r="H3592" s="49">
        <v>45488</v>
      </c>
      <c r="I3592" s="49">
        <v>45494</v>
      </c>
      <c r="J3592" t="s">
        <v>47</v>
      </c>
      <c r="K3592" s="33">
        <v>14500</v>
      </c>
      <c r="M3592" t="str">
        <f>_xlfn.XLOOKUP(Pipeline_tbl[[#This Row],[Rep_ID]],Dim_Reps!A:A,Dim_Reps!K:K)</f>
        <v>MXN</v>
      </c>
      <c r="N3592" s="33">
        <f>(_xlfn.XLOOKUP(Pipeline_tbl[[#This Row],[Rate_Code_Generalized]],Lookups!A:A,Lookups!B:B))*Pipeline_tbl[[#This Row],[Pipeline_Amount_USD]]</f>
        <v>286124.15000000002</v>
      </c>
      <c r="O3592" t="str">
        <f>_xlfn.XLOOKUP(Pipeline_tbl[[#This Row],[Rep_ID]],Dim_Reps!A:A,Dim_Reps!B:B)</f>
        <v>Yuki Dubois</v>
      </c>
      <c r="P3592" t="str">
        <f>_xlfn.XLOOKUP(Pipeline_tbl[[#This Row],[Rep_ID]],Dim_Reps!A:A,Dim_Reps!C:C)</f>
        <v>Mid-Market AE</v>
      </c>
      <c r="Q3592" t="str">
        <f>_xlfn.XLOOKUP(Pipeline_tbl[[#This Row],[Rep_ID]],Dim_Reps!A:A,Dim_Reps!D:D)</f>
        <v>Mid-Market</v>
      </c>
      <c r="R3592" t="str">
        <f>_xlfn.XLOOKUP(Pipeline_tbl[[#This Row],[Rep_ID]],Dim_Reps!A:A,Dim_Reps!E:E)</f>
        <v>LATAM</v>
      </c>
      <c r="S3592" t="str">
        <f>_xlfn.XLOOKUP(Pipeline_tbl[[#This Row],[Created_Date]],Dim_Date!A:A,Dim_Date!H:H)</f>
        <v>Jun 2024</v>
      </c>
      <c r="T3592" t="str">
        <f>IF(Pipeline_tbl[[#This Row],[Closed_Date]]=0,"",(_xlfn.XLOOKUP(Pipeline_tbl[[#This Row],[Closed_Date]],Dim_Date!A:A,Dim_Date!H:H)))</f>
        <v>Jul 2024</v>
      </c>
      <c r="U3592">
        <f>IF(Pipeline_tbl[[#This Row],[Closed_Date]]=0,"",Pipeline_tbl[[#This Row],[Closed_Date]]-Pipeline_tbl[[#This Row],[Created_Date]])</f>
        <v>41</v>
      </c>
    </row>
    <row r="3593" spans="1:21" ht="15" customHeight="1" x14ac:dyDescent="0.2">
      <c r="A3593" t="s">
        <v>3899</v>
      </c>
      <c r="B3593" t="s">
        <v>235</v>
      </c>
      <c r="C3593" t="s">
        <v>52</v>
      </c>
      <c r="D3593" s="49">
        <v>45470</v>
      </c>
      <c r="E3593" s="49">
        <v>45471</v>
      </c>
      <c r="F3593" s="49">
        <v>45473</v>
      </c>
      <c r="G3593" s="49">
        <v>45476</v>
      </c>
      <c r="H3593" s="49">
        <v>45478</v>
      </c>
      <c r="I3593" s="49">
        <v>45480</v>
      </c>
      <c r="J3593" t="s">
        <v>47</v>
      </c>
      <c r="K3593" s="33">
        <v>7800</v>
      </c>
      <c r="M3593" t="str">
        <f>_xlfn.XLOOKUP(Pipeline_tbl[[#This Row],[Rep_ID]],Dim_Reps!A:A,Dim_Reps!K:K)</f>
        <v>MXN</v>
      </c>
      <c r="N3593" s="33">
        <f>(_xlfn.XLOOKUP(Pipeline_tbl[[#This Row],[Rate_Code_Generalized]],Lookups!A:A,Lookups!B:B))*Pipeline_tbl[[#This Row],[Pipeline_Amount_USD]]</f>
        <v>153915.06</v>
      </c>
      <c r="O3593" t="str">
        <f>_xlfn.XLOOKUP(Pipeline_tbl[[#This Row],[Rep_ID]],Dim_Reps!A:A,Dim_Reps!B:B)</f>
        <v>Milo Castro</v>
      </c>
      <c r="P3593" t="str">
        <f>_xlfn.XLOOKUP(Pipeline_tbl[[#This Row],[Rep_ID]],Dim_Reps!A:A,Dim_Reps!C:C)</f>
        <v>SDR / Inside Sales Rep</v>
      </c>
      <c r="Q3593" t="str">
        <f>_xlfn.XLOOKUP(Pipeline_tbl[[#This Row],[Rep_ID]],Dim_Reps!A:A,Dim_Reps!D:D)</f>
        <v>Inside Sales</v>
      </c>
      <c r="R3593" t="str">
        <f>_xlfn.XLOOKUP(Pipeline_tbl[[#This Row],[Rep_ID]],Dim_Reps!A:A,Dim_Reps!E:E)</f>
        <v>LATAM</v>
      </c>
      <c r="S3593" t="str">
        <f>_xlfn.XLOOKUP(Pipeline_tbl[[#This Row],[Created_Date]],Dim_Date!A:A,Dim_Date!H:H)</f>
        <v>Jun 2024</v>
      </c>
      <c r="T3593" t="str">
        <f>IF(Pipeline_tbl[[#This Row],[Closed_Date]]=0,"",(_xlfn.XLOOKUP(Pipeline_tbl[[#This Row],[Closed_Date]],Dim_Date!A:A,Dim_Date!H:H)))</f>
        <v>Jul 2024</v>
      </c>
      <c r="U3593">
        <f>IF(Pipeline_tbl[[#This Row],[Closed_Date]]=0,"",Pipeline_tbl[[#This Row],[Closed_Date]]-Pipeline_tbl[[#This Row],[Created_Date]])</f>
        <v>10</v>
      </c>
    </row>
    <row r="3594" spans="1:21" ht="15" customHeight="1" x14ac:dyDescent="0.2">
      <c r="A3594" t="s">
        <v>3900</v>
      </c>
      <c r="B3594" t="s">
        <v>235</v>
      </c>
      <c r="C3594" t="s">
        <v>52</v>
      </c>
      <c r="D3594" s="49">
        <v>45463</v>
      </c>
      <c r="E3594" s="49">
        <v>45466</v>
      </c>
      <c r="F3594" s="49">
        <v>45471</v>
      </c>
      <c r="G3594" s="49">
        <v>45480</v>
      </c>
      <c r="H3594" s="49">
        <v>45487</v>
      </c>
      <c r="I3594" s="49">
        <v>45491</v>
      </c>
      <c r="J3594" t="s">
        <v>49</v>
      </c>
      <c r="K3594" s="33">
        <v>5600</v>
      </c>
      <c r="L3594" t="s">
        <v>63</v>
      </c>
      <c r="M3594" t="str">
        <f>_xlfn.XLOOKUP(Pipeline_tbl[[#This Row],[Rep_ID]],Dim_Reps!A:A,Dim_Reps!K:K)</f>
        <v>MXN</v>
      </c>
      <c r="N3594" s="33">
        <f>(_xlfn.XLOOKUP(Pipeline_tbl[[#This Row],[Rate_Code_Generalized]],Lookups!A:A,Lookups!B:B))*Pipeline_tbl[[#This Row],[Pipeline_Amount_USD]]</f>
        <v>110503.12000000001</v>
      </c>
      <c r="O3594" t="str">
        <f>_xlfn.XLOOKUP(Pipeline_tbl[[#This Row],[Rep_ID]],Dim_Reps!A:A,Dim_Reps!B:B)</f>
        <v>Milo Castro</v>
      </c>
      <c r="P3594" t="str">
        <f>_xlfn.XLOOKUP(Pipeline_tbl[[#This Row],[Rep_ID]],Dim_Reps!A:A,Dim_Reps!C:C)</f>
        <v>SDR / Inside Sales Rep</v>
      </c>
      <c r="Q3594" t="str">
        <f>_xlfn.XLOOKUP(Pipeline_tbl[[#This Row],[Rep_ID]],Dim_Reps!A:A,Dim_Reps!D:D)</f>
        <v>Inside Sales</v>
      </c>
      <c r="R3594" t="str">
        <f>_xlfn.XLOOKUP(Pipeline_tbl[[#This Row],[Rep_ID]],Dim_Reps!A:A,Dim_Reps!E:E)</f>
        <v>LATAM</v>
      </c>
      <c r="S3594" t="str">
        <f>_xlfn.XLOOKUP(Pipeline_tbl[[#This Row],[Created_Date]],Dim_Date!A:A,Dim_Date!H:H)</f>
        <v>Jun 2024</v>
      </c>
      <c r="T3594" t="str">
        <f>IF(Pipeline_tbl[[#This Row],[Closed_Date]]=0,"",(_xlfn.XLOOKUP(Pipeline_tbl[[#This Row],[Closed_Date]],Dim_Date!A:A,Dim_Date!H:H)))</f>
        <v>Jul 2024</v>
      </c>
      <c r="U3594">
        <f>IF(Pipeline_tbl[[#This Row],[Closed_Date]]=0,"",Pipeline_tbl[[#This Row],[Closed_Date]]-Pipeline_tbl[[#This Row],[Created_Date]])</f>
        <v>28</v>
      </c>
    </row>
    <row r="3595" spans="1:21" ht="15" customHeight="1" x14ac:dyDescent="0.2">
      <c r="A3595" t="s">
        <v>3901</v>
      </c>
      <c r="B3595" t="s">
        <v>235</v>
      </c>
      <c r="C3595" t="s">
        <v>53</v>
      </c>
      <c r="D3595" s="49">
        <v>45456</v>
      </c>
      <c r="E3595" s="49">
        <v>45458</v>
      </c>
      <c r="F3595" s="49">
        <v>45462</v>
      </c>
      <c r="G3595" s="49">
        <v>45468</v>
      </c>
      <c r="I3595" s="49">
        <v>45476</v>
      </c>
      <c r="J3595" t="s">
        <v>49</v>
      </c>
      <c r="K3595" s="33">
        <v>5000</v>
      </c>
      <c r="L3595" t="s">
        <v>62</v>
      </c>
      <c r="M3595" t="str">
        <f>_xlfn.XLOOKUP(Pipeline_tbl[[#This Row],[Rep_ID]],Dim_Reps!A:A,Dim_Reps!K:K)</f>
        <v>MXN</v>
      </c>
      <c r="N3595" s="33">
        <f>(_xlfn.XLOOKUP(Pipeline_tbl[[#This Row],[Rate_Code_Generalized]],Lookups!A:A,Lookups!B:B))*Pipeline_tbl[[#This Row],[Pipeline_Amount_USD]]</f>
        <v>98663.5</v>
      </c>
      <c r="O3595" t="str">
        <f>_xlfn.XLOOKUP(Pipeline_tbl[[#This Row],[Rep_ID]],Dim_Reps!A:A,Dim_Reps!B:B)</f>
        <v>Milo Castro</v>
      </c>
      <c r="P3595" t="str">
        <f>_xlfn.XLOOKUP(Pipeline_tbl[[#This Row],[Rep_ID]],Dim_Reps!A:A,Dim_Reps!C:C)</f>
        <v>SDR / Inside Sales Rep</v>
      </c>
      <c r="Q3595" t="str">
        <f>_xlfn.XLOOKUP(Pipeline_tbl[[#This Row],[Rep_ID]],Dim_Reps!A:A,Dim_Reps!D:D)</f>
        <v>Inside Sales</v>
      </c>
      <c r="R3595" t="str">
        <f>_xlfn.XLOOKUP(Pipeline_tbl[[#This Row],[Rep_ID]],Dim_Reps!A:A,Dim_Reps!E:E)</f>
        <v>LATAM</v>
      </c>
      <c r="S3595" t="str">
        <f>_xlfn.XLOOKUP(Pipeline_tbl[[#This Row],[Created_Date]],Dim_Date!A:A,Dim_Date!H:H)</f>
        <v>Jun 2024</v>
      </c>
      <c r="T3595" t="str">
        <f>IF(Pipeline_tbl[[#This Row],[Closed_Date]]=0,"",(_xlfn.XLOOKUP(Pipeline_tbl[[#This Row],[Closed_Date]],Dim_Date!A:A,Dim_Date!H:H)))</f>
        <v>Jul 2024</v>
      </c>
      <c r="U3595">
        <f>IF(Pipeline_tbl[[#This Row],[Closed_Date]]=0,"",Pipeline_tbl[[#This Row],[Closed_Date]]-Pipeline_tbl[[#This Row],[Created_Date]])</f>
        <v>20</v>
      </c>
    </row>
    <row r="3596" spans="1:21" ht="15" customHeight="1" x14ac:dyDescent="0.2">
      <c r="A3596" t="s">
        <v>3902</v>
      </c>
      <c r="B3596" t="s">
        <v>235</v>
      </c>
      <c r="C3596" t="s">
        <v>52</v>
      </c>
      <c r="D3596" s="49">
        <v>45462</v>
      </c>
      <c r="E3596" s="49">
        <v>45464</v>
      </c>
      <c r="F3596" s="49">
        <v>45468</v>
      </c>
      <c r="I3596" s="49">
        <v>45482</v>
      </c>
      <c r="J3596" t="s">
        <v>49</v>
      </c>
      <c r="K3596" s="33">
        <v>4000</v>
      </c>
      <c r="L3596" t="s">
        <v>60</v>
      </c>
      <c r="M3596" t="str">
        <f>_xlfn.XLOOKUP(Pipeline_tbl[[#This Row],[Rep_ID]],Dim_Reps!A:A,Dim_Reps!K:K)</f>
        <v>MXN</v>
      </c>
      <c r="N3596" s="33">
        <f>(_xlfn.XLOOKUP(Pipeline_tbl[[#This Row],[Rate_Code_Generalized]],Lookups!A:A,Lookups!B:B))*Pipeline_tbl[[#This Row],[Pipeline_Amount_USD]]</f>
        <v>78930.8</v>
      </c>
      <c r="O3596" t="str">
        <f>_xlfn.XLOOKUP(Pipeline_tbl[[#This Row],[Rep_ID]],Dim_Reps!A:A,Dim_Reps!B:B)</f>
        <v>Milo Castro</v>
      </c>
      <c r="P3596" t="str">
        <f>_xlfn.XLOOKUP(Pipeline_tbl[[#This Row],[Rep_ID]],Dim_Reps!A:A,Dim_Reps!C:C)</f>
        <v>SDR / Inside Sales Rep</v>
      </c>
      <c r="Q3596" t="str">
        <f>_xlfn.XLOOKUP(Pipeline_tbl[[#This Row],[Rep_ID]],Dim_Reps!A:A,Dim_Reps!D:D)</f>
        <v>Inside Sales</v>
      </c>
      <c r="R3596" t="str">
        <f>_xlfn.XLOOKUP(Pipeline_tbl[[#This Row],[Rep_ID]],Dim_Reps!A:A,Dim_Reps!E:E)</f>
        <v>LATAM</v>
      </c>
      <c r="S3596" t="str">
        <f>_xlfn.XLOOKUP(Pipeline_tbl[[#This Row],[Created_Date]],Dim_Date!A:A,Dim_Date!H:H)</f>
        <v>Jun 2024</v>
      </c>
      <c r="T3596" t="str">
        <f>IF(Pipeline_tbl[[#This Row],[Closed_Date]]=0,"",(_xlfn.XLOOKUP(Pipeline_tbl[[#This Row],[Closed_Date]],Dim_Date!A:A,Dim_Date!H:H)))</f>
        <v>Jul 2024</v>
      </c>
      <c r="U3596">
        <f>IF(Pipeline_tbl[[#This Row],[Closed_Date]]=0,"",Pipeline_tbl[[#This Row],[Closed_Date]]-Pipeline_tbl[[#This Row],[Created_Date]])</f>
        <v>20</v>
      </c>
    </row>
    <row r="3597" spans="1:21" ht="15" customHeight="1" x14ac:dyDescent="0.2">
      <c r="A3597" t="s">
        <v>3903</v>
      </c>
      <c r="B3597" t="s">
        <v>235</v>
      </c>
      <c r="C3597" t="s">
        <v>53</v>
      </c>
      <c r="D3597" s="49">
        <v>45460</v>
      </c>
      <c r="E3597" s="49">
        <v>45462</v>
      </c>
      <c r="F3597" s="49">
        <v>45466</v>
      </c>
      <c r="G3597" s="49">
        <v>45473</v>
      </c>
      <c r="I3597" s="49">
        <v>45481</v>
      </c>
      <c r="J3597" t="s">
        <v>49</v>
      </c>
      <c r="K3597" s="33">
        <v>3000</v>
      </c>
      <c r="L3597" t="s">
        <v>60</v>
      </c>
      <c r="M3597" t="str">
        <f>_xlfn.XLOOKUP(Pipeline_tbl[[#This Row],[Rep_ID]],Dim_Reps!A:A,Dim_Reps!K:K)</f>
        <v>MXN</v>
      </c>
      <c r="N3597" s="33">
        <f>(_xlfn.XLOOKUP(Pipeline_tbl[[#This Row],[Rate_Code_Generalized]],Lookups!A:A,Lookups!B:B))*Pipeline_tbl[[#This Row],[Pipeline_Amount_USD]]</f>
        <v>59198.100000000006</v>
      </c>
      <c r="O3597" t="str">
        <f>_xlfn.XLOOKUP(Pipeline_tbl[[#This Row],[Rep_ID]],Dim_Reps!A:A,Dim_Reps!B:B)</f>
        <v>Milo Castro</v>
      </c>
      <c r="P3597" t="str">
        <f>_xlfn.XLOOKUP(Pipeline_tbl[[#This Row],[Rep_ID]],Dim_Reps!A:A,Dim_Reps!C:C)</f>
        <v>SDR / Inside Sales Rep</v>
      </c>
      <c r="Q3597" t="str">
        <f>_xlfn.XLOOKUP(Pipeline_tbl[[#This Row],[Rep_ID]],Dim_Reps!A:A,Dim_Reps!D:D)</f>
        <v>Inside Sales</v>
      </c>
      <c r="R3597" t="str">
        <f>_xlfn.XLOOKUP(Pipeline_tbl[[#This Row],[Rep_ID]],Dim_Reps!A:A,Dim_Reps!E:E)</f>
        <v>LATAM</v>
      </c>
      <c r="S3597" t="str">
        <f>_xlfn.XLOOKUP(Pipeline_tbl[[#This Row],[Created_Date]],Dim_Date!A:A,Dim_Date!H:H)</f>
        <v>Jun 2024</v>
      </c>
      <c r="T3597" t="str">
        <f>IF(Pipeline_tbl[[#This Row],[Closed_Date]]=0,"",(_xlfn.XLOOKUP(Pipeline_tbl[[#This Row],[Closed_Date]],Dim_Date!A:A,Dim_Date!H:H)))</f>
        <v>Jul 2024</v>
      </c>
      <c r="U3597">
        <f>IF(Pipeline_tbl[[#This Row],[Closed_Date]]=0,"",Pipeline_tbl[[#This Row],[Closed_Date]]-Pipeline_tbl[[#This Row],[Created_Date]])</f>
        <v>21</v>
      </c>
    </row>
    <row r="3598" spans="1:21" ht="15" customHeight="1" x14ac:dyDescent="0.2">
      <c r="A3598" t="s">
        <v>3904</v>
      </c>
      <c r="B3598" t="s">
        <v>235</v>
      </c>
      <c r="C3598" t="s">
        <v>54</v>
      </c>
      <c r="D3598" s="49">
        <v>45465</v>
      </c>
      <c r="E3598" s="49">
        <v>45467</v>
      </c>
      <c r="F3598" s="49">
        <v>45470</v>
      </c>
      <c r="G3598" s="49">
        <v>45476</v>
      </c>
      <c r="H3598" s="49">
        <v>45480</v>
      </c>
      <c r="I3598" s="49">
        <v>45483</v>
      </c>
      <c r="J3598" t="s">
        <v>47</v>
      </c>
      <c r="K3598" s="33">
        <v>3700</v>
      </c>
      <c r="M3598" t="str">
        <f>_xlfn.XLOOKUP(Pipeline_tbl[[#This Row],[Rep_ID]],Dim_Reps!A:A,Dim_Reps!K:K)</f>
        <v>MXN</v>
      </c>
      <c r="N3598" s="33">
        <f>(_xlfn.XLOOKUP(Pipeline_tbl[[#This Row],[Rate_Code_Generalized]],Lookups!A:A,Lookups!B:B))*Pipeline_tbl[[#This Row],[Pipeline_Amount_USD]]</f>
        <v>73010.990000000005</v>
      </c>
      <c r="O3598" t="str">
        <f>_xlfn.XLOOKUP(Pipeline_tbl[[#This Row],[Rep_ID]],Dim_Reps!A:A,Dim_Reps!B:B)</f>
        <v>Milo Castro</v>
      </c>
      <c r="P3598" t="str">
        <f>_xlfn.XLOOKUP(Pipeline_tbl[[#This Row],[Rep_ID]],Dim_Reps!A:A,Dim_Reps!C:C)</f>
        <v>SDR / Inside Sales Rep</v>
      </c>
      <c r="Q3598" t="str">
        <f>_xlfn.XLOOKUP(Pipeline_tbl[[#This Row],[Rep_ID]],Dim_Reps!A:A,Dim_Reps!D:D)</f>
        <v>Inside Sales</v>
      </c>
      <c r="R3598" t="str">
        <f>_xlfn.XLOOKUP(Pipeline_tbl[[#This Row],[Rep_ID]],Dim_Reps!A:A,Dim_Reps!E:E)</f>
        <v>LATAM</v>
      </c>
      <c r="S3598" t="str">
        <f>_xlfn.XLOOKUP(Pipeline_tbl[[#This Row],[Created_Date]],Dim_Date!A:A,Dim_Date!H:H)</f>
        <v>Jun 2024</v>
      </c>
      <c r="T3598" t="str">
        <f>IF(Pipeline_tbl[[#This Row],[Closed_Date]]=0,"",(_xlfn.XLOOKUP(Pipeline_tbl[[#This Row],[Closed_Date]],Dim_Date!A:A,Dim_Date!H:H)))</f>
        <v>Jul 2024</v>
      </c>
      <c r="U3598">
        <f>IF(Pipeline_tbl[[#This Row],[Closed_Date]]=0,"",Pipeline_tbl[[#This Row],[Closed_Date]]-Pipeline_tbl[[#This Row],[Created_Date]])</f>
        <v>18</v>
      </c>
    </row>
    <row r="3599" spans="1:21" ht="15" customHeight="1" x14ac:dyDescent="0.2">
      <c r="A3599" t="s">
        <v>3905</v>
      </c>
      <c r="B3599" t="s">
        <v>235</v>
      </c>
      <c r="C3599" t="s">
        <v>55</v>
      </c>
      <c r="D3599" s="49">
        <v>45470</v>
      </c>
      <c r="E3599" s="49">
        <v>45472</v>
      </c>
      <c r="F3599" s="49">
        <v>45476</v>
      </c>
      <c r="G3599" s="49">
        <v>45481</v>
      </c>
      <c r="H3599" s="49">
        <v>45486</v>
      </c>
      <c r="I3599" s="49">
        <v>45489</v>
      </c>
      <c r="J3599" t="s">
        <v>47</v>
      </c>
      <c r="K3599" s="33">
        <v>2900</v>
      </c>
      <c r="M3599" t="str">
        <f>_xlfn.XLOOKUP(Pipeline_tbl[[#This Row],[Rep_ID]],Dim_Reps!A:A,Dim_Reps!K:K)</f>
        <v>MXN</v>
      </c>
      <c r="N3599" s="33">
        <f>(_xlfn.XLOOKUP(Pipeline_tbl[[#This Row],[Rate_Code_Generalized]],Lookups!A:A,Lookups!B:B))*Pipeline_tbl[[#This Row],[Pipeline_Amount_USD]]</f>
        <v>57224.83</v>
      </c>
      <c r="O3599" t="str">
        <f>_xlfn.XLOOKUP(Pipeline_tbl[[#This Row],[Rep_ID]],Dim_Reps!A:A,Dim_Reps!B:B)</f>
        <v>Milo Castro</v>
      </c>
      <c r="P3599" t="str">
        <f>_xlfn.XLOOKUP(Pipeline_tbl[[#This Row],[Rep_ID]],Dim_Reps!A:A,Dim_Reps!C:C)</f>
        <v>SDR / Inside Sales Rep</v>
      </c>
      <c r="Q3599" t="str">
        <f>_xlfn.XLOOKUP(Pipeline_tbl[[#This Row],[Rep_ID]],Dim_Reps!A:A,Dim_Reps!D:D)</f>
        <v>Inside Sales</v>
      </c>
      <c r="R3599" t="str">
        <f>_xlfn.XLOOKUP(Pipeline_tbl[[#This Row],[Rep_ID]],Dim_Reps!A:A,Dim_Reps!E:E)</f>
        <v>LATAM</v>
      </c>
      <c r="S3599" t="str">
        <f>_xlfn.XLOOKUP(Pipeline_tbl[[#This Row],[Created_Date]],Dim_Date!A:A,Dim_Date!H:H)</f>
        <v>Jun 2024</v>
      </c>
      <c r="T3599" t="str">
        <f>IF(Pipeline_tbl[[#This Row],[Closed_Date]]=0,"",(_xlfn.XLOOKUP(Pipeline_tbl[[#This Row],[Closed_Date]],Dim_Date!A:A,Dim_Date!H:H)))</f>
        <v>Jul 2024</v>
      </c>
      <c r="U3599">
        <f>IF(Pipeline_tbl[[#This Row],[Closed_Date]]=0,"",Pipeline_tbl[[#This Row],[Closed_Date]]-Pipeline_tbl[[#This Row],[Created_Date]])</f>
        <v>19</v>
      </c>
    </row>
    <row r="3600" spans="1:21" ht="15" customHeight="1" x14ac:dyDescent="0.2">
      <c r="A3600" t="s">
        <v>3906</v>
      </c>
      <c r="B3600" t="s">
        <v>235</v>
      </c>
      <c r="C3600" t="s">
        <v>55</v>
      </c>
      <c r="D3600" s="49">
        <v>45470</v>
      </c>
      <c r="E3600" s="49">
        <v>45472</v>
      </c>
      <c r="F3600" s="49">
        <v>45476</v>
      </c>
      <c r="G3600" s="49">
        <v>45482</v>
      </c>
      <c r="I3600" s="49">
        <v>45490</v>
      </c>
      <c r="J3600" t="s">
        <v>49</v>
      </c>
      <c r="K3600" s="33">
        <v>1100</v>
      </c>
      <c r="L3600" t="s">
        <v>60</v>
      </c>
      <c r="M3600" t="str">
        <f>_xlfn.XLOOKUP(Pipeline_tbl[[#This Row],[Rep_ID]],Dim_Reps!A:A,Dim_Reps!K:K)</f>
        <v>MXN</v>
      </c>
      <c r="N3600" s="33">
        <f>(_xlfn.XLOOKUP(Pipeline_tbl[[#This Row],[Rate_Code_Generalized]],Lookups!A:A,Lookups!B:B))*Pipeline_tbl[[#This Row],[Pipeline_Amount_USD]]</f>
        <v>21705.97</v>
      </c>
      <c r="O3600" t="str">
        <f>_xlfn.XLOOKUP(Pipeline_tbl[[#This Row],[Rep_ID]],Dim_Reps!A:A,Dim_Reps!B:B)</f>
        <v>Milo Castro</v>
      </c>
      <c r="P3600" t="str">
        <f>_xlfn.XLOOKUP(Pipeline_tbl[[#This Row],[Rep_ID]],Dim_Reps!A:A,Dim_Reps!C:C)</f>
        <v>SDR / Inside Sales Rep</v>
      </c>
      <c r="Q3600" t="str">
        <f>_xlfn.XLOOKUP(Pipeline_tbl[[#This Row],[Rep_ID]],Dim_Reps!A:A,Dim_Reps!D:D)</f>
        <v>Inside Sales</v>
      </c>
      <c r="R3600" t="str">
        <f>_xlfn.XLOOKUP(Pipeline_tbl[[#This Row],[Rep_ID]],Dim_Reps!A:A,Dim_Reps!E:E)</f>
        <v>LATAM</v>
      </c>
      <c r="S3600" t="str">
        <f>_xlfn.XLOOKUP(Pipeline_tbl[[#This Row],[Created_Date]],Dim_Date!A:A,Dim_Date!H:H)</f>
        <v>Jun 2024</v>
      </c>
      <c r="T3600" t="str">
        <f>IF(Pipeline_tbl[[#This Row],[Closed_Date]]=0,"",(_xlfn.XLOOKUP(Pipeline_tbl[[#This Row],[Closed_Date]],Dim_Date!A:A,Dim_Date!H:H)))</f>
        <v>Jul 2024</v>
      </c>
      <c r="U3600">
        <f>IF(Pipeline_tbl[[#This Row],[Closed_Date]]=0,"",Pipeline_tbl[[#This Row],[Closed_Date]]-Pipeline_tbl[[#This Row],[Created_Date]])</f>
        <v>20</v>
      </c>
    </row>
    <row r="3601" spans="1:21" ht="15" customHeight="1" x14ac:dyDescent="0.2">
      <c r="A3601" t="s">
        <v>3907</v>
      </c>
      <c r="B3601" t="s">
        <v>237</v>
      </c>
      <c r="C3601" t="s">
        <v>52</v>
      </c>
      <c r="D3601" s="49">
        <v>45467</v>
      </c>
      <c r="E3601" s="49">
        <v>45469</v>
      </c>
      <c r="F3601" s="49">
        <v>45474</v>
      </c>
      <c r="G3601" s="49">
        <v>45480</v>
      </c>
      <c r="H3601" s="49">
        <v>45486</v>
      </c>
      <c r="I3601" s="49">
        <v>45489</v>
      </c>
      <c r="J3601" t="s">
        <v>47</v>
      </c>
      <c r="K3601" s="33">
        <v>1400</v>
      </c>
      <c r="M3601" t="str">
        <f>_xlfn.XLOOKUP(Pipeline_tbl[[#This Row],[Rep_ID]],Dim_Reps!A:A,Dim_Reps!K:K)</f>
        <v>EUR</v>
      </c>
      <c r="N3601" s="33">
        <f>(_xlfn.XLOOKUP(Pipeline_tbl[[#This Row],[Rate_Code_Generalized]],Lookups!A:A,Lookups!B:B))*Pipeline_tbl[[#This Row],[Pipeline_Amount_USD]]</f>
        <v>1400</v>
      </c>
      <c r="O3601" t="str">
        <f>_xlfn.XLOOKUP(Pipeline_tbl[[#This Row],[Rep_ID]],Dim_Reps!A:A,Dim_Reps!B:B)</f>
        <v>Hugo Santos</v>
      </c>
      <c r="P3601" t="str">
        <f>_xlfn.XLOOKUP(Pipeline_tbl[[#This Row],[Rep_ID]],Dim_Reps!A:A,Dim_Reps!C:C)</f>
        <v>SDR / Inside Sales Rep</v>
      </c>
      <c r="Q3601" t="str">
        <f>_xlfn.XLOOKUP(Pipeline_tbl[[#This Row],[Rep_ID]],Dim_Reps!A:A,Dim_Reps!D:D)</f>
        <v>Inside Sales</v>
      </c>
      <c r="R3601" t="str">
        <f>_xlfn.XLOOKUP(Pipeline_tbl[[#This Row],[Rep_ID]],Dim_Reps!A:A,Dim_Reps!E:E)</f>
        <v>EMEA</v>
      </c>
      <c r="S3601" t="str">
        <f>_xlfn.XLOOKUP(Pipeline_tbl[[#This Row],[Created_Date]],Dim_Date!A:A,Dim_Date!H:H)</f>
        <v>Jun 2024</v>
      </c>
      <c r="T3601" t="str">
        <f>IF(Pipeline_tbl[[#This Row],[Closed_Date]]=0,"",(_xlfn.XLOOKUP(Pipeline_tbl[[#This Row],[Closed_Date]],Dim_Date!A:A,Dim_Date!H:H)))</f>
        <v>Jul 2024</v>
      </c>
      <c r="U3601">
        <f>IF(Pipeline_tbl[[#This Row],[Closed_Date]]=0,"",Pipeline_tbl[[#This Row],[Closed_Date]]-Pipeline_tbl[[#This Row],[Created_Date]])</f>
        <v>22</v>
      </c>
    </row>
    <row r="3602" spans="1:21" ht="15" customHeight="1" x14ac:dyDescent="0.2">
      <c r="A3602" t="s">
        <v>3908</v>
      </c>
      <c r="B3602" t="s">
        <v>237</v>
      </c>
      <c r="C3602" t="s">
        <v>55</v>
      </c>
      <c r="D3602" s="49">
        <v>45463</v>
      </c>
      <c r="E3602" s="49">
        <v>45464</v>
      </c>
      <c r="F3602" s="49">
        <v>45467</v>
      </c>
      <c r="G3602" s="49">
        <v>45471</v>
      </c>
      <c r="H3602" s="49">
        <v>45474</v>
      </c>
      <c r="I3602" s="49">
        <v>45476</v>
      </c>
      <c r="J3602" t="s">
        <v>49</v>
      </c>
      <c r="K3602" s="33">
        <v>1800</v>
      </c>
      <c r="L3602" t="s">
        <v>60</v>
      </c>
      <c r="M3602" t="str">
        <f>_xlfn.XLOOKUP(Pipeline_tbl[[#This Row],[Rep_ID]],Dim_Reps!A:A,Dim_Reps!K:K)</f>
        <v>EUR</v>
      </c>
      <c r="N3602" s="33">
        <f>(_xlfn.XLOOKUP(Pipeline_tbl[[#This Row],[Rate_Code_Generalized]],Lookups!A:A,Lookups!B:B))*Pipeline_tbl[[#This Row],[Pipeline_Amount_USD]]</f>
        <v>1800</v>
      </c>
      <c r="O3602" t="str">
        <f>_xlfn.XLOOKUP(Pipeline_tbl[[#This Row],[Rep_ID]],Dim_Reps!A:A,Dim_Reps!B:B)</f>
        <v>Hugo Santos</v>
      </c>
      <c r="P3602" t="str">
        <f>_xlfn.XLOOKUP(Pipeline_tbl[[#This Row],[Rep_ID]],Dim_Reps!A:A,Dim_Reps!C:C)</f>
        <v>SDR / Inside Sales Rep</v>
      </c>
      <c r="Q3602" t="str">
        <f>_xlfn.XLOOKUP(Pipeline_tbl[[#This Row],[Rep_ID]],Dim_Reps!A:A,Dim_Reps!D:D)</f>
        <v>Inside Sales</v>
      </c>
      <c r="R3602" t="str">
        <f>_xlfn.XLOOKUP(Pipeline_tbl[[#This Row],[Rep_ID]],Dim_Reps!A:A,Dim_Reps!E:E)</f>
        <v>EMEA</v>
      </c>
      <c r="S3602" t="str">
        <f>_xlfn.XLOOKUP(Pipeline_tbl[[#This Row],[Created_Date]],Dim_Date!A:A,Dim_Date!H:H)</f>
        <v>Jun 2024</v>
      </c>
      <c r="T3602" t="str">
        <f>IF(Pipeline_tbl[[#This Row],[Closed_Date]]=0,"",(_xlfn.XLOOKUP(Pipeline_tbl[[#This Row],[Closed_Date]],Dim_Date!A:A,Dim_Date!H:H)))</f>
        <v>Jul 2024</v>
      </c>
      <c r="U3602">
        <f>IF(Pipeline_tbl[[#This Row],[Closed_Date]]=0,"",Pipeline_tbl[[#This Row],[Closed_Date]]-Pipeline_tbl[[#This Row],[Created_Date]])</f>
        <v>13</v>
      </c>
    </row>
    <row r="3603" spans="1:21" ht="15" customHeight="1" x14ac:dyDescent="0.2">
      <c r="A3603" t="s">
        <v>3909</v>
      </c>
      <c r="B3603" t="s">
        <v>237</v>
      </c>
      <c r="C3603" t="s">
        <v>52</v>
      </c>
      <c r="D3603" s="49">
        <v>45469</v>
      </c>
      <c r="E3603" s="49">
        <v>45470</v>
      </c>
      <c r="F3603" s="49">
        <v>45473</v>
      </c>
      <c r="G3603" s="49">
        <v>45477</v>
      </c>
      <c r="H3603" s="49">
        <v>45481</v>
      </c>
      <c r="I3603" s="49">
        <v>45483</v>
      </c>
      <c r="J3603" t="s">
        <v>49</v>
      </c>
      <c r="K3603" s="33">
        <v>9200</v>
      </c>
      <c r="L3603" t="s">
        <v>62</v>
      </c>
      <c r="M3603" t="str">
        <f>_xlfn.XLOOKUP(Pipeline_tbl[[#This Row],[Rep_ID]],Dim_Reps!A:A,Dim_Reps!K:K)</f>
        <v>EUR</v>
      </c>
      <c r="N3603" s="33">
        <f>(_xlfn.XLOOKUP(Pipeline_tbl[[#This Row],[Rate_Code_Generalized]],Lookups!A:A,Lookups!B:B))*Pipeline_tbl[[#This Row],[Pipeline_Amount_USD]]</f>
        <v>9200</v>
      </c>
      <c r="O3603" t="str">
        <f>_xlfn.XLOOKUP(Pipeline_tbl[[#This Row],[Rep_ID]],Dim_Reps!A:A,Dim_Reps!B:B)</f>
        <v>Hugo Santos</v>
      </c>
      <c r="P3603" t="str">
        <f>_xlfn.XLOOKUP(Pipeline_tbl[[#This Row],[Rep_ID]],Dim_Reps!A:A,Dim_Reps!C:C)</f>
        <v>SDR / Inside Sales Rep</v>
      </c>
      <c r="Q3603" t="str">
        <f>_xlfn.XLOOKUP(Pipeline_tbl[[#This Row],[Rep_ID]],Dim_Reps!A:A,Dim_Reps!D:D)</f>
        <v>Inside Sales</v>
      </c>
      <c r="R3603" t="str">
        <f>_xlfn.XLOOKUP(Pipeline_tbl[[#This Row],[Rep_ID]],Dim_Reps!A:A,Dim_Reps!E:E)</f>
        <v>EMEA</v>
      </c>
      <c r="S3603" t="str">
        <f>_xlfn.XLOOKUP(Pipeline_tbl[[#This Row],[Created_Date]],Dim_Date!A:A,Dim_Date!H:H)</f>
        <v>Jun 2024</v>
      </c>
      <c r="T3603" t="str">
        <f>IF(Pipeline_tbl[[#This Row],[Closed_Date]]=0,"",(_xlfn.XLOOKUP(Pipeline_tbl[[#This Row],[Closed_Date]],Dim_Date!A:A,Dim_Date!H:H)))</f>
        <v>Jul 2024</v>
      </c>
      <c r="U3603">
        <f>IF(Pipeline_tbl[[#This Row],[Closed_Date]]=0,"",Pipeline_tbl[[#This Row],[Closed_Date]]-Pipeline_tbl[[#This Row],[Created_Date]])</f>
        <v>14</v>
      </c>
    </row>
    <row r="3604" spans="1:21" ht="15" customHeight="1" x14ac:dyDescent="0.2">
      <c r="A3604" t="s">
        <v>3910</v>
      </c>
      <c r="B3604" t="s">
        <v>237</v>
      </c>
      <c r="C3604" t="s">
        <v>52</v>
      </c>
      <c r="D3604" s="49">
        <v>45459</v>
      </c>
      <c r="E3604" s="49">
        <v>45461</v>
      </c>
      <c r="F3604" s="49">
        <v>45465</v>
      </c>
      <c r="G3604" s="49">
        <v>45470</v>
      </c>
      <c r="H3604" s="49">
        <v>45475</v>
      </c>
      <c r="I3604" s="49">
        <v>45478</v>
      </c>
      <c r="J3604" t="s">
        <v>47</v>
      </c>
      <c r="K3604" s="33">
        <v>2900</v>
      </c>
      <c r="M3604" t="str">
        <f>_xlfn.XLOOKUP(Pipeline_tbl[[#This Row],[Rep_ID]],Dim_Reps!A:A,Dim_Reps!K:K)</f>
        <v>EUR</v>
      </c>
      <c r="N3604" s="33">
        <f>(_xlfn.XLOOKUP(Pipeline_tbl[[#This Row],[Rate_Code_Generalized]],Lookups!A:A,Lookups!B:B))*Pipeline_tbl[[#This Row],[Pipeline_Amount_USD]]</f>
        <v>2900</v>
      </c>
      <c r="O3604" t="str">
        <f>_xlfn.XLOOKUP(Pipeline_tbl[[#This Row],[Rep_ID]],Dim_Reps!A:A,Dim_Reps!B:B)</f>
        <v>Hugo Santos</v>
      </c>
      <c r="P3604" t="str">
        <f>_xlfn.XLOOKUP(Pipeline_tbl[[#This Row],[Rep_ID]],Dim_Reps!A:A,Dim_Reps!C:C)</f>
        <v>SDR / Inside Sales Rep</v>
      </c>
      <c r="Q3604" t="str">
        <f>_xlfn.XLOOKUP(Pipeline_tbl[[#This Row],[Rep_ID]],Dim_Reps!A:A,Dim_Reps!D:D)</f>
        <v>Inside Sales</v>
      </c>
      <c r="R3604" t="str">
        <f>_xlfn.XLOOKUP(Pipeline_tbl[[#This Row],[Rep_ID]],Dim_Reps!A:A,Dim_Reps!E:E)</f>
        <v>EMEA</v>
      </c>
      <c r="S3604" t="str">
        <f>_xlfn.XLOOKUP(Pipeline_tbl[[#This Row],[Created_Date]],Dim_Date!A:A,Dim_Date!H:H)</f>
        <v>Jun 2024</v>
      </c>
      <c r="T3604" t="str">
        <f>IF(Pipeline_tbl[[#This Row],[Closed_Date]]=0,"",(_xlfn.XLOOKUP(Pipeline_tbl[[#This Row],[Closed_Date]],Dim_Date!A:A,Dim_Date!H:H)))</f>
        <v>Jul 2024</v>
      </c>
      <c r="U3604">
        <f>IF(Pipeline_tbl[[#This Row],[Closed_Date]]=0,"",Pipeline_tbl[[#This Row],[Closed_Date]]-Pipeline_tbl[[#This Row],[Created_Date]])</f>
        <v>19</v>
      </c>
    </row>
    <row r="3605" spans="1:21" ht="15" customHeight="1" x14ac:dyDescent="0.2">
      <c r="A3605" t="s">
        <v>3911</v>
      </c>
      <c r="B3605" t="s">
        <v>237</v>
      </c>
      <c r="C3605" t="s">
        <v>54</v>
      </c>
      <c r="D3605" s="49">
        <v>45463</v>
      </c>
      <c r="E3605" s="49">
        <v>45465</v>
      </c>
      <c r="F3605" s="49">
        <v>45468</v>
      </c>
      <c r="I3605" s="49">
        <v>45479</v>
      </c>
      <c r="J3605" t="s">
        <v>49</v>
      </c>
      <c r="K3605" s="33">
        <v>1900</v>
      </c>
      <c r="L3605" t="s">
        <v>62</v>
      </c>
      <c r="M3605" t="str">
        <f>_xlfn.XLOOKUP(Pipeline_tbl[[#This Row],[Rep_ID]],Dim_Reps!A:A,Dim_Reps!K:K)</f>
        <v>EUR</v>
      </c>
      <c r="N3605" s="33">
        <f>(_xlfn.XLOOKUP(Pipeline_tbl[[#This Row],[Rate_Code_Generalized]],Lookups!A:A,Lookups!B:B))*Pipeline_tbl[[#This Row],[Pipeline_Amount_USD]]</f>
        <v>1900</v>
      </c>
      <c r="O3605" t="str">
        <f>_xlfn.XLOOKUP(Pipeline_tbl[[#This Row],[Rep_ID]],Dim_Reps!A:A,Dim_Reps!B:B)</f>
        <v>Hugo Santos</v>
      </c>
      <c r="P3605" t="str">
        <f>_xlfn.XLOOKUP(Pipeline_tbl[[#This Row],[Rep_ID]],Dim_Reps!A:A,Dim_Reps!C:C)</f>
        <v>SDR / Inside Sales Rep</v>
      </c>
      <c r="Q3605" t="str">
        <f>_xlfn.XLOOKUP(Pipeline_tbl[[#This Row],[Rep_ID]],Dim_Reps!A:A,Dim_Reps!D:D)</f>
        <v>Inside Sales</v>
      </c>
      <c r="R3605" t="str">
        <f>_xlfn.XLOOKUP(Pipeline_tbl[[#This Row],[Rep_ID]],Dim_Reps!A:A,Dim_Reps!E:E)</f>
        <v>EMEA</v>
      </c>
      <c r="S3605" t="str">
        <f>_xlfn.XLOOKUP(Pipeline_tbl[[#This Row],[Created_Date]],Dim_Date!A:A,Dim_Date!H:H)</f>
        <v>Jun 2024</v>
      </c>
      <c r="T3605" t="str">
        <f>IF(Pipeline_tbl[[#This Row],[Closed_Date]]=0,"",(_xlfn.XLOOKUP(Pipeline_tbl[[#This Row],[Closed_Date]],Dim_Date!A:A,Dim_Date!H:H)))</f>
        <v>Jul 2024</v>
      </c>
      <c r="U3605">
        <f>IF(Pipeline_tbl[[#This Row],[Closed_Date]]=0,"",Pipeline_tbl[[#This Row],[Closed_Date]]-Pipeline_tbl[[#This Row],[Created_Date]])</f>
        <v>16</v>
      </c>
    </row>
    <row r="3606" spans="1:21" ht="15" customHeight="1" x14ac:dyDescent="0.2">
      <c r="A3606" t="s">
        <v>3912</v>
      </c>
      <c r="B3606" t="s">
        <v>237</v>
      </c>
      <c r="C3606" t="s">
        <v>55</v>
      </c>
      <c r="D3606" s="49">
        <v>45468</v>
      </c>
      <c r="E3606" s="49">
        <v>45470</v>
      </c>
      <c r="I3606" s="49">
        <v>45487</v>
      </c>
      <c r="J3606" t="s">
        <v>49</v>
      </c>
      <c r="K3606" s="33">
        <v>3300</v>
      </c>
      <c r="L3606" t="s">
        <v>60</v>
      </c>
      <c r="M3606" t="str">
        <f>_xlfn.XLOOKUP(Pipeline_tbl[[#This Row],[Rep_ID]],Dim_Reps!A:A,Dim_Reps!K:K)</f>
        <v>EUR</v>
      </c>
      <c r="N3606" s="33">
        <f>(_xlfn.XLOOKUP(Pipeline_tbl[[#This Row],[Rate_Code_Generalized]],Lookups!A:A,Lookups!B:B))*Pipeline_tbl[[#This Row],[Pipeline_Amount_USD]]</f>
        <v>3300</v>
      </c>
      <c r="O3606" t="str">
        <f>_xlfn.XLOOKUP(Pipeline_tbl[[#This Row],[Rep_ID]],Dim_Reps!A:A,Dim_Reps!B:B)</f>
        <v>Hugo Santos</v>
      </c>
      <c r="P3606" t="str">
        <f>_xlfn.XLOOKUP(Pipeline_tbl[[#This Row],[Rep_ID]],Dim_Reps!A:A,Dim_Reps!C:C)</f>
        <v>SDR / Inside Sales Rep</v>
      </c>
      <c r="Q3606" t="str">
        <f>_xlfn.XLOOKUP(Pipeline_tbl[[#This Row],[Rep_ID]],Dim_Reps!A:A,Dim_Reps!D:D)</f>
        <v>Inside Sales</v>
      </c>
      <c r="R3606" t="str">
        <f>_xlfn.XLOOKUP(Pipeline_tbl[[#This Row],[Rep_ID]],Dim_Reps!A:A,Dim_Reps!E:E)</f>
        <v>EMEA</v>
      </c>
      <c r="S3606" t="str">
        <f>_xlfn.XLOOKUP(Pipeline_tbl[[#This Row],[Created_Date]],Dim_Date!A:A,Dim_Date!H:H)</f>
        <v>Jun 2024</v>
      </c>
      <c r="T3606" t="str">
        <f>IF(Pipeline_tbl[[#This Row],[Closed_Date]]=0,"",(_xlfn.XLOOKUP(Pipeline_tbl[[#This Row],[Closed_Date]],Dim_Date!A:A,Dim_Date!H:H)))</f>
        <v>Jul 2024</v>
      </c>
      <c r="U3606">
        <f>IF(Pipeline_tbl[[#This Row],[Closed_Date]]=0,"",Pipeline_tbl[[#This Row],[Closed_Date]]-Pipeline_tbl[[#This Row],[Created_Date]])</f>
        <v>19</v>
      </c>
    </row>
    <row r="3607" spans="1:21" ht="15" customHeight="1" x14ac:dyDescent="0.2">
      <c r="A3607" t="s">
        <v>3913</v>
      </c>
      <c r="B3607" t="s">
        <v>269</v>
      </c>
      <c r="C3607" t="s">
        <v>52</v>
      </c>
      <c r="D3607" s="49">
        <v>45444</v>
      </c>
      <c r="E3607" s="49">
        <v>45448</v>
      </c>
      <c r="F3607" s="49">
        <v>45456</v>
      </c>
      <c r="G3607" s="49">
        <v>45468</v>
      </c>
      <c r="H3607" s="49">
        <v>45478</v>
      </c>
      <c r="I3607" s="49">
        <v>45484</v>
      </c>
      <c r="J3607" t="s">
        <v>47</v>
      </c>
      <c r="K3607" s="33">
        <v>23400</v>
      </c>
      <c r="M3607" t="str">
        <f>_xlfn.XLOOKUP(Pipeline_tbl[[#This Row],[Rep_ID]],Dim_Reps!A:A,Dim_Reps!K:K)</f>
        <v>USD</v>
      </c>
      <c r="N3607" s="33">
        <f>(_xlfn.XLOOKUP(Pipeline_tbl[[#This Row],[Rate_Code_Generalized]],Lookups!A:A,Lookups!B:B))*Pipeline_tbl[[#This Row],[Pipeline_Amount_USD]]</f>
        <v>27244.62</v>
      </c>
      <c r="O3607" t="str">
        <f>_xlfn.XLOOKUP(Pipeline_tbl[[#This Row],[Rep_ID]],Dim_Reps!A:A,Dim_Reps!B:B)</f>
        <v>Morgan Rivera</v>
      </c>
      <c r="P3607" t="str">
        <f>_xlfn.XLOOKUP(Pipeline_tbl[[#This Row],[Rep_ID]],Dim_Reps!A:A,Dim_Reps!C:C)</f>
        <v>Mid-Market AE</v>
      </c>
      <c r="Q3607" t="str">
        <f>_xlfn.XLOOKUP(Pipeline_tbl[[#This Row],[Rep_ID]],Dim_Reps!A:A,Dim_Reps!D:D)</f>
        <v>Mid-Market</v>
      </c>
      <c r="R3607" t="str">
        <f>_xlfn.XLOOKUP(Pipeline_tbl[[#This Row],[Rep_ID]],Dim_Reps!A:A,Dim_Reps!E:E)</f>
        <v>NAMER</v>
      </c>
      <c r="S3607" t="str">
        <f>_xlfn.XLOOKUP(Pipeline_tbl[[#This Row],[Created_Date]],Dim_Date!A:A,Dim_Date!H:H)</f>
        <v>Jun 2024</v>
      </c>
      <c r="T3607" t="str">
        <f>IF(Pipeline_tbl[[#This Row],[Closed_Date]]=0,"",(_xlfn.XLOOKUP(Pipeline_tbl[[#This Row],[Closed_Date]],Dim_Date!A:A,Dim_Date!H:H)))</f>
        <v>Jul 2024</v>
      </c>
      <c r="U3607">
        <f>IF(Pipeline_tbl[[#This Row],[Closed_Date]]=0,"",Pipeline_tbl[[#This Row],[Closed_Date]]-Pipeline_tbl[[#This Row],[Created_Date]])</f>
        <v>40</v>
      </c>
    </row>
    <row r="3608" spans="1:21" ht="15" customHeight="1" x14ac:dyDescent="0.2">
      <c r="A3608" t="s">
        <v>3914</v>
      </c>
      <c r="B3608" t="s">
        <v>269</v>
      </c>
      <c r="C3608" t="s">
        <v>54</v>
      </c>
      <c r="D3608" s="49">
        <v>45447</v>
      </c>
      <c r="E3608" s="49">
        <v>45452</v>
      </c>
      <c r="F3608" s="49">
        <v>45461</v>
      </c>
      <c r="G3608" s="49">
        <v>45475</v>
      </c>
      <c r="H3608" s="49">
        <v>45487</v>
      </c>
      <c r="I3608" s="49">
        <v>45494</v>
      </c>
      <c r="J3608" t="s">
        <v>49</v>
      </c>
      <c r="K3608" s="33">
        <v>10700</v>
      </c>
      <c r="L3608" t="s">
        <v>64</v>
      </c>
      <c r="M3608" t="str">
        <f>_xlfn.XLOOKUP(Pipeline_tbl[[#This Row],[Rep_ID]],Dim_Reps!A:A,Dim_Reps!K:K)</f>
        <v>USD</v>
      </c>
      <c r="N3608" s="33">
        <f>(_xlfn.XLOOKUP(Pipeline_tbl[[#This Row],[Rate_Code_Generalized]],Lookups!A:A,Lookups!B:B))*Pipeline_tbl[[#This Row],[Pipeline_Amount_USD]]</f>
        <v>12458.009999999998</v>
      </c>
      <c r="O3608" t="str">
        <f>_xlfn.XLOOKUP(Pipeline_tbl[[#This Row],[Rep_ID]],Dim_Reps!A:A,Dim_Reps!B:B)</f>
        <v>Morgan Rivera</v>
      </c>
      <c r="P3608" t="str">
        <f>_xlfn.XLOOKUP(Pipeline_tbl[[#This Row],[Rep_ID]],Dim_Reps!A:A,Dim_Reps!C:C)</f>
        <v>Mid-Market AE</v>
      </c>
      <c r="Q3608" t="str">
        <f>_xlfn.XLOOKUP(Pipeline_tbl[[#This Row],[Rep_ID]],Dim_Reps!A:A,Dim_Reps!D:D)</f>
        <v>Mid-Market</v>
      </c>
      <c r="R3608" t="str">
        <f>_xlfn.XLOOKUP(Pipeline_tbl[[#This Row],[Rep_ID]],Dim_Reps!A:A,Dim_Reps!E:E)</f>
        <v>NAMER</v>
      </c>
      <c r="S3608" t="str">
        <f>_xlfn.XLOOKUP(Pipeline_tbl[[#This Row],[Created_Date]],Dim_Date!A:A,Dim_Date!H:H)</f>
        <v>Jun 2024</v>
      </c>
      <c r="T3608" t="str">
        <f>IF(Pipeline_tbl[[#This Row],[Closed_Date]]=0,"",(_xlfn.XLOOKUP(Pipeline_tbl[[#This Row],[Closed_Date]],Dim_Date!A:A,Dim_Date!H:H)))</f>
        <v>Jul 2024</v>
      </c>
      <c r="U3608">
        <f>IF(Pipeline_tbl[[#This Row],[Closed_Date]]=0,"",Pipeline_tbl[[#This Row],[Closed_Date]]-Pipeline_tbl[[#This Row],[Created_Date]])</f>
        <v>47</v>
      </c>
    </row>
    <row r="3609" spans="1:21" ht="15" customHeight="1" x14ac:dyDescent="0.2">
      <c r="A3609" t="s">
        <v>3915</v>
      </c>
      <c r="B3609" t="s">
        <v>269</v>
      </c>
      <c r="C3609" t="s">
        <v>53</v>
      </c>
      <c r="D3609" s="49">
        <v>45456</v>
      </c>
      <c r="E3609" s="49">
        <v>45460</v>
      </c>
      <c r="F3609" s="49">
        <v>45468</v>
      </c>
      <c r="G3609" s="49">
        <v>45481</v>
      </c>
      <c r="H3609" s="49">
        <v>45491</v>
      </c>
      <c r="I3609" s="49">
        <v>45497</v>
      </c>
      <c r="J3609" t="s">
        <v>47</v>
      </c>
      <c r="K3609" s="33">
        <v>19900</v>
      </c>
      <c r="M3609" t="str">
        <f>_xlfn.XLOOKUP(Pipeline_tbl[[#This Row],[Rep_ID]],Dim_Reps!A:A,Dim_Reps!K:K)</f>
        <v>USD</v>
      </c>
      <c r="N3609" s="33">
        <f>(_xlfn.XLOOKUP(Pipeline_tbl[[#This Row],[Rate_Code_Generalized]],Lookups!A:A,Lookups!B:B))*Pipeline_tbl[[#This Row],[Pipeline_Amount_USD]]</f>
        <v>23169.569999999996</v>
      </c>
      <c r="O3609" t="str">
        <f>_xlfn.XLOOKUP(Pipeline_tbl[[#This Row],[Rep_ID]],Dim_Reps!A:A,Dim_Reps!B:B)</f>
        <v>Morgan Rivera</v>
      </c>
      <c r="P3609" t="str">
        <f>_xlfn.XLOOKUP(Pipeline_tbl[[#This Row],[Rep_ID]],Dim_Reps!A:A,Dim_Reps!C:C)</f>
        <v>Mid-Market AE</v>
      </c>
      <c r="Q3609" t="str">
        <f>_xlfn.XLOOKUP(Pipeline_tbl[[#This Row],[Rep_ID]],Dim_Reps!A:A,Dim_Reps!D:D)</f>
        <v>Mid-Market</v>
      </c>
      <c r="R3609" t="str">
        <f>_xlfn.XLOOKUP(Pipeline_tbl[[#This Row],[Rep_ID]],Dim_Reps!A:A,Dim_Reps!E:E)</f>
        <v>NAMER</v>
      </c>
      <c r="S3609" t="str">
        <f>_xlfn.XLOOKUP(Pipeline_tbl[[#This Row],[Created_Date]],Dim_Date!A:A,Dim_Date!H:H)</f>
        <v>Jun 2024</v>
      </c>
      <c r="T3609" t="str">
        <f>IF(Pipeline_tbl[[#This Row],[Closed_Date]]=0,"",(_xlfn.XLOOKUP(Pipeline_tbl[[#This Row],[Closed_Date]],Dim_Date!A:A,Dim_Date!H:H)))</f>
        <v>Jul 2024</v>
      </c>
      <c r="U3609">
        <f>IF(Pipeline_tbl[[#This Row],[Closed_Date]]=0,"",Pipeline_tbl[[#This Row],[Closed_Date]]-Pipeline_tbl[[#This Row],[Created_Date]])</f>
        <v>41</v>
      </c>
    </row>
    <row r="3610" spans="1:21" ht="15" customHeight="1" x14ac:dyDescent="0.2">
      <c r="A3610" t="s">
        <v>3916</v>
      </c>
      <c r="B3610" t="s">
        <v>269</v>
      </c>
      <c r="C3610" t="s">
        <v>53</v>
      </c>
      <c r="D3610" s="49">
        <v>45457</v>
      </c>
      <c r="E3610" s="49">
        <v>45459</v>
      </c>
      <c r="F3610" s="49">
        <v>45464</v>
      </c>
      <c r="G3610" s="49">
        <v>45471</v>
      </c>
      <c r="H3610" s="49">
        <v>45477</v>
      </c>
      <c r="I3610" s="49">
        <v>45480</v>
      </c>
      <c r="J3610" t="s">
        <v>49</v>
      </c>
      <c r="K3610" s="33">
        <v>16400</v>
      </c>
      <c r="L3610" t="s">
        <v>60</v>
      </c>
      <c r="M3610" t="str">
        <f>_xlfn.XLOOKUP(Pipeline_tbl[[#This Row],[Rep_ID]],Dim_Reps!A:A,Dim_Reps!K:K)</f>
        <v>USD</v>
      </c>
      <c r="N3610" s="33">
        <f>(_xlfn.XLOOKUP(Pipeline_tbl[[#This Row],[Rate_Code_Generalized]],Lookups!A:A,Lookups!B:B))*Pipeline_tbl[[#This Row],[Pipeline_Amount_USD]]</f>
        <v>19094.519999999997</v>
      </c>
      <c r="O3610" t="str">
        <f>_xlfn.XLOOKUP(Pipeline_tbl[[#This Row],[Rep_ID]],Dim_Reps!A:A,Dim_Reps!B:B)</f>
        <v>Morgan Rivera</v>
      </c>
      <c r="P3610" t="str">
        <f>_xlfn.XLOOKUP(Pipeline_tbl[[#This Row],[Rep_ID]],Dim_Reps!A:A,Dim_Reps!C:C)</f>
        <v>Mid-Market AE</v>
      </c>
      <c r="Q3610" t="str">
        <f>_xlfn.XLOOKUP(Pipeline_tbl[[#This Row],[Rep_ID]],Dim_Reps!A:A,Dim_Reps!D:D)</f>
        <v>Mid-Market</v>
      </c>
      <c r="R3610" t="str">
        <f>_xlfn.XLOOKUP(Pipeline_tbl[[#This Row],[Rep_ID]],Dim_Reps!A:A,Dim_Reps!E:E)</f>
        <v>NAMER</v>
      </c>
      <c r="S3610" t="str">
        <f>_xlfn.XLOOKUP(Pipeline_tbl[[#This Row],[Created_Date]],Dim_Date!A:A,Dim_Date!H:H)</f>
        <v>Jun 2024</v>
      </c>
      <c r="T3610" t="str">
        <f>IF(Pipeline_tbl[[#This Row],[Closed_Date]]=0,"",(_xlfn.XLOOKUP(Pipeline_tbl[[#This Row],[Closed_Date]],Dim_Date!A:A,Dim_Date!H:H)))</f>
        <v>Jul 2024</v>
      </c>
      <c r="U3610">
        <f>IF(Pipeline_tbl[[#This Row],[Closed_Date]]=0,"",Pipeline_tbl[[#This Row],[Closed_Date]]-Pipeline_tbl[[#This Row],[Created_Date]])</f>
        <v>23</v>
      </c>
    </row>
    <row r="3611" spans="1:21" ht="15" customHeight="1" x14ac:dyDescent="0.2">
      <c r="A3611" t="s">
        <v>3917</v>
      </c>
      <c r="B3611" t="s">
        <v>269</v>
      </c>
      <c r="C3611" t="s">
        <v>56</v>
      </c>
      <c r="D3611" s="49">
        <v>45461</v>
      </c>
      <c r="E3611" s="49">
        <v>45465</v>
      </c>
      <c r="F3611" s="49">
        <v>45473</v>
      </c>
      <c r="I3611" s="49">
        <v>45500</v>
      </c>
      <c r="J3611" t="s">
        <v>49</v>
      </c>
      <c r="K3611" s="33">
        <v>44200</v>
      </c>
      <c r="L3611" t="s">
        <v>61</v>
      </c>
      <c r="M3611" t="str">
        <f>_xlfn.XLOOKUP(Pipeline_tbl[[#This Row],[Rep_ID]],Dim_Reps!A:A,Dim_Reps!K:K)</f>
        <v>USD</v>
      </c>
      <c r="N3611" s="33">
        <f>(_xlfn.XLOOKUP(Pipeline_tbl[[#This Row],[Rate_Code_Generalized]],Lookups!A:A,Lookups!B:B))*Pipeline_tbl[[#This Row],[Pipeline_Amount_USD]]</f>
        <v>51462.06</v>
      </c>
      <c r="O3611" t="str">
        <f>_xlfn.XLOOKUP(Pipeline_tbl[[#This Row],[Rep_ID]],Dim_Reps!A:A,Dim_Reps!B:B)</f>
        <v>Morgan Rivera</v>
      </c>
      <c r="P3611" t="str">
        <f>_xlfn.XLOOKUP(Pipeline_tbl[[#This Row],[Rep_ID]],Dim_Reps!A:A,Dim_Reps!C:C)</f>
        <v>Mid-Market AE</v>
      </c>
      <c r="Q3611" t="str">
        <f>_xlfn.XLOOKUP(Pipeline_tbl[[#This Row],[Rep_ID]],Dim_Reps!A:A,Dim_Reps!D:D)</f>
        <v>Mid-Market</v>
      </c>
      <c r="R3611" t="str">
        <f>_xlfn.XLOOKUP(Pipeline_tbl[[#This Row],[Rep_ID]],Dim_Reps!A:A,Dim_Reps!E:E)</f>
        <v>NAMER</v>
      </c>
      <c r="S3611" t="str">
        <f>_xlfn.XLOOKUP(Pipeline_tbl[[#This Row],[Created_Date]],Dim_Date!A:A,Dim_Date!H:H)</f>
        <v>Jun 2024</v>
      </c>
      <c r="T3611" t="str">
        <f>IF(Pipeline_tbl[[#This Row],[Closed_Date]]=0,"",(_xlfn.XLOOKUP(Pipeline_tbl[[#This Row],[Closed_Date]],Dim_Date!A:A,Dim_Date!H:H)))</f>
        <v>Jul 2024</v>
      </c>
      <c r="U3611">
        <f>IF(Pipeline_tbl[[#This Row],[Closed_Date]]=0,"",Pipeline_tbl[[#This Row],[Closed_Date]]-Pipeline_tbl[[#This Row],[Created_Date]])</f>
        <v>39</v>
      </c>
    </row>
    <row r="3612" spans="1:21" ht="15" customHeight="1" x14ac:dyDescent="0.2">
      <c r="A3612" t="s">
        <v>3918</v>
      </c>
      <c r="B3612" t="s">
        <v>273</v>
      </c>
      <c r="C3612" t="s">
        <v>52</v>
      </c>
      <c r="D3612" s="49">
        <v>45471</v>
      </c>
      <c r="E3612" s="49">
        <v>45473</v>
      </c>
      <c r="F3612" s="49">
        <v>45477</v>
      </c>
      <c r="G3612" s="49">
        <v>45483</v>
      </c>
      <c r="H3612" s="49">
        <v>45488</v>
      </c>
      <c r="I3612" s="49">
        <v>45491</v>
      </c>
      <c r="J3612" t="s">
        <v>47</v>
      </c>
      <c r="K3612" s="33">
        <v>12200</v>
      </c>
      <c r="M3612" t="str">
        <f>_xlfn.XLOOKUP(Pipeline_tbl[[#This Row],[Rep_ID]],Dim_Reps!A:A,Dim_Reps!K:K)</f>
        <v>EUR</v>
      </c>
      <c r="N3612" s="33">
        <f>(_xlfn.XLOOKUP(Pipeline_tbl[[#This Row],[Rate_Code_Generalized]],Lookups!A:A,Lookups!B:B))*Pipeline_tbl[[#This Row],[Pipeline_Amount_USD]]</f>
        <v>12200</v>
      </c>
      <c r="O3612" t="str">
        <f>_xlfn.XLOOKUP(Pipeline_tbl[[#This Row],[Rep_ID]],Dim_Reps!A:A,Dim_Reps!B:B)</f>
        <v>Olivia Cohen</v>
      </c>
      <c r="P3612" t="str">
        <f>_xlfn.XLOOKUP(Pipeline_tbl[[#This Row],[Rep_ID]],Dim_Reps!A:A,Dim_Reps!C:C)</f>
        <v>Mid-Market AE</v>
      </c>
      <c r="Q3612" t="str">
        <f>_xlfn.XLOOKUP(Pipeline_tbl[[#This Row],[Rep_ID]],Dim_Reps!A:A,Dim_Reps!D:D)</f>
        <v>Mid-Market</v>
      </c>
      <c r="R3612" t="str">
        <f>_xlfn.XLOOKUP(Pipeline_tbl[[#This Row],[Rep_ID]],Dim_Reps!A:A,Dim_Reps!E:E)</f>
        <v>APAC</v>
      </c>
      <c r="S3612" t="str">
        <f>_xlfn.XLOOKUP(Pipeline_tbl[[#This Row],[Created_Date]],Dim_Date!A:A,Dim_Date!H:H)</f>
        <v>Jun 2024</v>
      </c>
      <c r="T3612" t="str">
        <f>IF(Pipeline_tbl[[#This Row],[Closed_Date]]=0,"",(_xlfn.XLOOKUP(Pipeline_tbl[[#This Row],[Closed_Date]],Dim_Date!A:A,Dim_Date!H:H)))</f>
        <v>Jul 2024</v>
      </c>
      <c r="U3612">
        <f>IF(Pipeline_tbl[[#This Row],[Closed_Date]]=0,"",Pipeline_tbl[[#This Row],[Closed_Date]]-Pipeline_tbl[[#This Row],[Created_Date]])</f>
        <v>20</v>
      </c>
    </row>
    <row r="3613" spans="1:21" ht="15" customHeight="1" x14ac:dyDescent="0.2">
      <c r="A3613" t="s">
        <v>3919</v>
      </c>
      <c r="B3613" t="s">
        <v>241</v>
      </c>
      <c r="C3613" t="s">
        <v>54</v>
      </c>
      <c r="D3613" s="49">
        <v>45470</v>
      </c>
      <c r="E3613" s="49">
        <v>45472</v>
      </c>
      <c r="F3613" s="49">
        <v>45475</v>
      </c>
      <c r="G3613" s="49">
        <v>45480</v>
      </c>
      <c r="H3613" s="49">
        <v>45484</v>
      </c>
      <c r="I3613" s="49">
        <v>45486</v>
      </c>
      <c r="J3613" t="s">
        <v>47</v>
      </c>
      <c r="K3613" s="33">
        <v>6800</v>
      </c>
      <c r="M3613" t="str">
        <f>_xlfn.XLOOKUP(Pipeline_tbl[[#This Row],[Rep_ID]],Dim_Reps!A:A,Dim_Reps!K:K)</f>
        <v>EUR</v>
      </c>
      <c r="N3613" s="33">
        <f>(_xlfn.XLOOKUP(Pipeline_tbl[[#This Row],[Rate_Code_Generalized]],Lookups!A:A,Lookups!B:B))*Pipeline_tbl[[#This Row],[Pipeline_Amount_USD]]</f>
        <v>6800</v>
      </c>
      <c r="O3613" t="str">
        <f>_xlfn.XLOOKUP(Pipeline_tbl[[#This Row],[Rep_ID]],Dim_Reps!A:A,Dim_Reps!B:B)</f>
        <v>Kenji Weber</v>
      </c>
      <c r="P3613" t="str">
        <f>_xlfn.XLOOKUP(Pipeline_tbl[[#This Row],[Rep_ID]],Dim_Reps!A:A,Dim_Reps!C:C)</f>
        <v>SDR / Inside Sales Rep</v>
      </c>
      <c r="Q3613" t="str">
        <f>_xlfn.XLOOKUP(Pipeline_tbl[[#This Row],[Rep_ID]],Dim_Reps!A:A,Dim_Reps!D:D)</f>
        <v>Inside Sales</v>
      </c>
      <c r="R3613" t="str">
        <f>_xlfn.XLOOKUP(Pipeline_tbl[[#This Row],[Rep_ID]],Dim_Reps!A:A,Dim_Reps!E:E)</f>
        <v>APAC</v>
      </c>
      <c r="S3613" t="str">
        <f>_xlfn.XLOOKUP(Pipeline_tbl[[#This Row],[Created_Date]],Dim_Date!A:A,Dim_Date!H:H)</f>
        <v>Jun 2024</v>
      </c>
      <c r="T3613" t="str">
        <f>IF(Pipeline_tbl[[#This Row],[Closed_Date]]=0,"",(_xlfn.XLOOKUP(Pipeline_tbl[[#This Row],[Closed_Date]],Dim_Date!A:A,Dim_Date!H:H)))</f>
        <v>Jul 2024</v>
      </c>
      <c r="U3613">
        <f>IF(Pipeline_tbl[[#This Row],[Closed_Date]]=0,"",Pipeline_tbl[[#This Row],[Closed_Date]]-Pipeline_tbl[[#This Row],[Created_Date]])</f>
        <v>16</v>
      </c>
    </row>
    <row r="3614" spans="1:21" ht="15" customHeight="1" x14ac:dyDescent="0.2">
      <c r="A3614" t="s">
        <v>3920</v>
      </c>
      <c r="B3614" t="s">
        <v>241</v>
      </c>
      <c r="C3614" t="s">
        <v>52</v>
      </c>
      <c r="D3614" s="49">
        <v>45466</v>
      </c>
      <c r="E3614" s="49">
        <v>45467</v>
      </c>
      <c r="F3614" s="49">
        <v>45470</v>
      </c>
      <c r="G3614" s="49">
        <v>45474</v>
      </c>
      <c r="H3614" s="49">
        <v>45478</v>
      </c>
      <c r="I3614" s="49">
        <v>45480</v>
      </c>
      <c r="J3614" t="s">
        <v>47</v>
      </c>
      <c r="K3614" s="33">
        <v>2400</v>
      </c>
      <c r="M3614" t="str">
        <f>_xlfn.XLOOKUP(Pipeline_tbl[[#This Row],[Rep_ID]],Dim_Reps!A:A,Dim_Reps!K:K)</f>
        <v>EUR</v>
      </c>
      <c r="N3614" s="33">
        <f>(_xlfn.XLOOKUP(Pipeline_tbl[[#This Row],[Rate_Code_Generalized]],Lookups!A:A,Lookups!B:B))*Pipeline_tbl[[#This Row],[Pipeline_Amount_USD]]</f>
        <v>2400</v>
      </c>
      <c r="O3614" t="str">
        <f>_xlfn.XLOOKUP(Pipeline_tbl[[#This Row],[Rep_ID]],Dim_Reps!A:A,Dim_Reps!B:B)</f>
        <v>Kenji Weber</v>
      </c>
      <c r="P3614" t="str">
        <f>_xlfn.XLOOKUP(Pipeline_tbl[[#This Row],[Rep_ID]],Dim_Reps!A:A,Dim_Reps!C:C)</f>
        <v>SDR / Inside Sales Rep</v>
      </c>
      <c r="Q3614" t="str">
        <f>_xlfn.XLOOKUP(Pipeline_tbl[[#This Row],[Rep_ID]],Dim_Reps!A:A,Dim_Reps!D:D)</f>
        <v>Inside Sales</v>
      </c>
      <c r="R3614" t="str">
        <f>_xlfn.XLOOKUP(Pipeline_tbl[[#This Row],[Rep_ID]],Dim_Reps!A:A,Dim_Reps!E:E)</f>
        <v>APAC</v>
      </c>
      <c r="S3614" t="str">
        <f>_xlfn.XLOOKUP(Pipeline_tbl[[#This Row],[Created_Date]],Dim_Date!A:A,Dim_Date!H:H)</f>
        <v>Jun 2024</v>
      </c>
      <c r="T3614" t="str">
        <f>IF(Pipeline_tbl[[#This Row],[Closed_Date]]=0,"",(_xlfn.XLOOKUP(Pipeline_tbl[[#This Row],[Closed_Date]],Dim_Date!A:A,Dim_Date!H:H)))</f>
        <v>Jul 2024</v>
      </c>
      <c r="U3614">
        <f>IF(Pipeline_tbl[[#This Row],[Closed_Date]]=0,"",Pipeline_tbl[[#This Row],[Closed_Date]]-Pipeline_tbl[[#This Row],[Created_Date]])</f>
        <v>14</v>
      </c>
    </row>
    <row r="3615" spans="1:21" ht="15" customHeight="1" x14ac:dyDescent="0.2">
      <c r="A3615" t="s">
        <v>3921</v>
      </c>
      <c r="B3615" t="s">
        <v>241</v>
      </c>
      <c r="C3615" t="s">
        <v>52</v>
      </c>
      <c r="D3615" s="49">
        <v>45472</v>
      </c>
      <c r="E3615" s="49">
        <v>45474</v>
      </c>
      <c r="F3615" s="49">
        <v>45477</v>
      </c>
      <c r="G3615" s="49">
        <v>45482</v>
      </c>
      <c r="H3615" s="49">
        <v>45486</v>
      </c>
      <c r="I3615" s="49">
        <v>45489</v>
      </c>
      <c r="J3615" t="s">
        <v>47</v>
      </c>
      <c r="K3615" s="33">
        <v>3000</v>
      </c>
      <c r="M3615" t="str">
        <f>_xlfn.XLOOKUP(Pipeline_tbl[[#This Row],[Rep_ID]],Dim_Reps!A:A,Dim_Reps!K:K)</f>
        <v>EUR</v>
      </c>
      <c r="N3615" s="33">
        <f>(_xlfn.XLOOKUP(Pipeline_tbl[[#This Row],[Rate_Code_Generalized]],Lookups!A:A,Lookups!B:B))*Pipeline_tbl[[#This Row],[Pipeline_Amount_USD]]</f>
        <v>3000</v>
      </c>
      <c r="O3615" t="str">
        <f>_xlfn.XLOOKUP(Pipeline_tbl[[#This Row],[Rep_ID]],Dim_Reps!A:A,Dim_Reps!B:B)</f>
        <v>Kenji Weber</v>
      </c>
      <c r="P3615" t="str">
        <f>_xlfn.XLOOKUP(Pipeline_tbl[[#This Row],[Rep_ID]],Dim_Reps!A:A,Dim_Reps!C:C)</f>
        <v>SDR / Inside Sales Rep</v>
      </c>
      <c r="Q3615" t="str">
        <f>_xlfn.XLOOKUP(Pipeline_tbl[[#This Row],[Rep_ID]],Dim_Reps!A:A,Dim_Reps!D:D)</f>
        <v>Inside Sales</v>
      </c>
      <c r="R3615" t="str">
        <f>_xlfn.XLOOKUP(Pipeline_tbl[[#This Row],[Rep_ID]],Dim_Reps!A:A,Dim_Reps!E:E)</f>
        <v>APAC</v>
      </c>
      <c r="S3615" t="str">
        <f>_xlfn.XLOOKUP(Pipeline_tbl[[#This Row],[Created_Date]],Dim_Date!A:A,Dim_Date!H:H)</f>
        <v>Jun 2024</v>
      </c>
      <c r="T3615" t="str">
        <f>IF(Pipeline_tbl[[#This Row],[Closed_Date]]=0,"",(_xlfn.XLOOKUP(Pipeline_tbl[[#This Row],[Closed_Date]],Dim_Date!A:A,Dim_Date!H:H)))</f>
        <v>Jul 2024</v>
      </c>
      <c r="U3615">
        <f>IF(Pipeline_tbl[[#This Row],[Closed_Date]]=0,"",Pipeline_tbl[[#This Row],[Closed_Date]]-Pipeline_tbl[[#This Row],[Created_Date]])</f>
        <v>17</v>
      </c>
    </row>
    <row r="3616" spans="1:21" ht="15" customHeight="1" x14ac:dyDescent="0.2">
      <c r="A3616" t="s">
        <v>3922</v>
      </c>
      <c r="B3616" t="s">
        <v>241</v>
      </c>
      <c r="C3616" t="s">
        <v>55</v>
      </c>
      <c r="D3616" s="49">
        <v>45467</v>
      </c>
      <c r="E3616" s="49">
        <v>45469</v>
      </c>
      <c r="F3616" s="49">
        <v>45472</v>
      </c>
      <c r="I3616" s="49">
        <v>45485</v>
      </c>
      <c r="J3616" t="s">
        <v>49</v>
      </c>
      <c r="K3616" s="33">
        <v>4100</v>
      </c>
      <c r="L3616" t="s">
        <v>64</v>
      </c>
      <c r="M3616" t="str">
        <f>_xlfn.XLOOKUP(Pipeline_tbl[[#This Row],[Rep_ID]],Dim_Reps!A:A,Dim_Reps!K:K)</f>
        <v>EUR</v>
      </c>
      <c r="N3616" s="33">
        <f>(_xlfn.XLOOKUP(Pipeline_tbl[[#This Row],[Rate_Code_Generalized]],Lookups!A:A,Lookups!B:B))*Pipeline_tbl[[#This Row],[Pipeline_Amount_USD]]</f>
        <v>4100</v>
      </c>
      <c r="O3616" t="str">
        <f>_xlfn.XLOOKUP(Pipeline_tbl[[#This Row],[Rep_ID]],Dim_Reps!A:A,Dim_Reps!B:B)</f>
        <v>Kenji Weber</v>
      </c>
      <c r="P3616" t="str">
        <f>_xlfn.XLOOKUP(Pipeline_tbl[[#This Row],[Rep_ID]],Dim_Reps!A:A,Dim_Reps!C:C)</f>
        <v>SDR / Inside Sales Rep</v>
      </c>
      <c r="Q3616" t="str">
        <f>_xlfn.XLOOKUP(Pipeline_tbl[[#This Row],[Rep_ID]],Dim_Reps!A:A,Dim_Reps!D:D)</f>
        <v>Inside Sales</v>
      </c>
      <c r="R3616" t="str">
        <f>_xlfn.XLOOKUP(Pipeline_tbl[[#This Row],[Rep_ID]],Dim_Reps!A:A,Dim_Reps!E:E)</f>
        <v>APAC</v>
      </c>
      <c r="S3616" t="str">
        <f>_xlfn.XLOOKUP(Pipeline_tbl[[#This Row],[Created_Date]],Dim_Date!A:A,Dim_Date!H:H)</f>
        <v>Jun 2024</v>
      </c>
      <c r="T3616" t="str">
        <f>IF(Pipeline_tbl[[#This Row],[Closed_Date]]=0,"",(_xlfn.XLOOKUP(Pipeline_tbl[[#This Row],[Closed_Date]],Dim_Date!A:A,Dim_Date!H:H)))</f>
        <v>Jul 2024</v>
      </c>
      <c r="U3616">
        <f>IF(Pipeline_tbl[[#This Row],[Closed_Date]]=0,"",Pipeline_tbl[[#This Row],[Closed_Date]]-Pipeline_tbl[[#This Row],[Created_Date]])</f>
        <v>18</v>
      </c>
    </row>
    <row r="3617" spans="1:21" ht="15" customHeight="1" x14ac:dyDescent="0.2">
      <c r="A3617" t="s">
        <v>3923</v>
      </c>
      <c r="B3617" t="s">
        <v>241</v>
      </c>
      <c r="C3617" t="s">
        <v>52</v>
      </c>
      <c r="D3617" s="49">
        <v>45468</v>
      </c>
      <c r="E3617" s="49">
        <v>45470</v>
      </c>
      <c r="F3617" s="49">
        <v>45475</v>
      </c>
      <c r="G3617" s="49">
        <v>45482</v>
      </c>
      <c r="H3617" s="49">
        <v>45488</v>
      </c>
      <c r="I3617" s="49">
        <v>45492</v>
      </c>
      <c r="J3617" t="s">
        <v>47</v>
      </c>
      <c r="K3617" s="33">
        <v>3800</v>
      </c>
      <c r="M3617" t="str">
        <f>_xlfn.XLOOKUP(Pipeline_tbl[[#This Row],[Rep_ID]],Dim_Reps!A:A,Dim_Reps!K:K)</f>
        <v>EUR</v>
      </c>
      <c r="N3617" s="33">
        <f>(_xlfn.XLOOKUP(Pipeline_tbl[[#This Row],[Rate_Code_Generalized]],Lookups!A:A,Lookups!B:B))*Pipeline_tbl[[#This Row],[Pipeline_Amount_USD]]</f>
        <v>3800</v>
      </c>
      <c r="O3617" t="str">
        <f>_xlfn.XLOOKUP(Pipeline_tbl[[#This Row],[Rep_ID]],Dim_Reps!A:A,Dim_Reps!B:B)</f>
        <v>Kenji Weber</v>
      </c>
      <c r="P3617" t="str">
        <f>_xlfn.XLOOKUP(Pipeline_tbl[[#This Row],[Rep_ID]],Dim_Reps!A:A,Dim_Reps!C:C)</f>
        <v>SDR / Inside Sales Rep</v>
      </c>
      <c r="Q3617" t="str">
        <f>_xlfn.XLOOKUP(Pipeline_tbl[[#This Row],[Rep_ID]],Dim_Reps!A:A,Dim_Reps!D:D)</f>
        <v>Inside Sales</v>
      </c>
      <c r="R3617" t="str">
        <f>_xlfn.XLOOKUP(Pipeline_tbl[[#This Row],[Rep_ID]],Dim_Reps!A:A,Dim_Reps!E:E)</f>
        <v>APAC</v>
      </c>
      <c r="S3617" t="str">
        <f>_xlfn.XLOOKUP(Pipeline_tbl[[#This Row],[Created_Date]],Dim_Date!A:A,Dim_Date!H:H)</f>
        <v>Jun 2024</v>
      </c>
      <c r="T3617" t="str">
        <f>IF(Pipeline_tbl[[#This Row],[Closed_Date]]=0,"",(_xlfn.XLOOKUP(Pipeline_tbl[[#This Row],[Closed_Date]],Dim_Date!A:A,Dim_Date!H:H)))</f>
        <v>Jul 2024</v>
      </c>
      <c r="U3617">
        <f>IF(Pipeline_tbl[[#This Row],[Closed_Date]]=0,"",Pipeline_tbl[[#This Row],[Closed_Date]]-Pipeline_tbl[[#This Row],[Created_Date]])</f>
        <v>24</v>
      </c>
    </row>
    <row r="3618" spans="1:21" ht="15" customHeight="1" x14ac:dyDescent="0.2">
      <c r="A3618" t="s">
        <v>3924</v>
      </c>
      <c r="B3618" t="s">
        <v>241</v>
      </c>
      <c r="C3618" t="s">
        <v>52</v>
      </c>
      <c r="D3618" s="49">
        <v>45464</v>
      </c>
      <c r="E3618" s="49">
        <v>45466</v>
      </c>
      <c r="F3618" s="49">
        <v>45470</v>
      </c>
      <c r="G3618" s="49">
        <v>45475</v>
      </c>
      <c r="H3618" s="49">
        <v>45480</v>
      </c>
      <c r="I3618" s="49">
        <v>45483</v>
      </c>
      <c r="J3618" t="s">
        <v>47</v>
      </c>
      <c r="K3618" s="33">
        <v>3100</v>
      </c>
      <c r="M3618" t="str">
        <f>_xlfn.XLOOKUP(Pipeline_tbl[[#This Row],[Rep_ID]],Dim_Reps!A:A,Dim_Reps!K:K)</f>
        <v>EUR</v>
      </c>
      <c r="N3618" s="33">
        <f>(_xlfn.XLOOKUP(Pipeline_tbl[[#This Row],[Rate_Code_Generalized]],Lookups!A:A,Lookups!B:B))*Pipeline_tbl[[#This Row],[Pipeline_Amount_USD]]</f>
        <v>3100</v>
      </c>
      <c r="O3618" t="str">
        <f>_xlfn.XLOOKUP(Pipeline_tbl[[#This Row],[Rep_ID]],Dim_Reps!A:A,Dim_Reps!B:B)</f>
        <v>Kenji Weber</v>
      </c>
      <c r="P3618" t="str">
        <f>_xlfn.XLOOKUP(Pipeline_tbl[[#This Row],[Rep_ID]],Dim_Reps!A:A,Dim_Reps!C:C)</f>
        <v>SDR / Inside Sales Rep</v>
      </c>
      <c r="Q3618" t="str">
        <f>_xlfn.XLOOKUP(Pipeline_tbl[[#This Row],[Rep_ID]],Dim_Reps!A:A,Dim_Reps!D:D)</f>
        <v>Inside Sales</v>
      </c>
      <c r="R3618" t="str">
        <f>_xlfn.XLOOKUP(Pipeline_tbl[[#This Row],[Rep_ID]],Dim_Reps!A:A,Dim_Reps!E:E)</f>
        <v>APAC</v>
      </c>
      <c r="S3618" t="str">
        <f>_xlfn.XLOOKUP(Pipeline_tbl[[#This Row],[Created_Date]],Dim_Date!A:A,Dim_Date!H:H)</f>
        <v>Jun 2024</v>
      </c>
      <c r="T3618" t="str">
        <f>IF(Pipeline_tbl[[#This Row],[Closed_Date]]=0,"",(_xlfn.XLOOKUP(Pipeline_tbl[[#This Row],[Closed_Date]],Dim_Date!A:A,Dim_Date!H:H)))</f>
        <v>Jul 2024</v>
      </c>
      <c r="U3618">
        <f>IF(Pipeline_tbl[[#This Row],[Closed_Date]]=0,"",Pipeline_tbl[[#This Row],[Closed_Date]]-Pipeline_tbl[[#This Row],[Created_Date]])</f>
        <v>19</v>
      </c>
    </row>
    <row r="3619" spans="1:21" ht="15" customHeight="1" x14ac:dyDescent="0.2">
      <c r="A3619" t="s">
        <v>3925</v>
      </c>
      <c r="B3619" t="s">
        <v>241</v>
      </c>
      <c r="C3619" t="s">
        <v>52</v>
      </c>
      <c r="D3619" s="49">
        <v>45470</v>
      </c>
      <c r="E3619" s="49">
        <v>45471</v>
      </c>
      <c r="F3619" s="49">
        <v>45473</v>
      </c>
      <c r="G3619" s="49">
        <v>45476</v>
      </c>
      <c r="H3619" s="49">
        <v>45478</v>
      </c>
      <c r="I3619" s="49">
        <v>45480</v>
      </c>
      <c r="J3619" t="s">
        <v>47</v>
      </c>
      <c r="K3619" s="33">
        <v>2300</v>
      </c>
      <c r="M3619" t="str">
        <f>_xlfn.XLOOKUP(Pipeline_tbl[[#This Row],[Rep_ID]],Dim_Reps!A:A,Dim_Reps!K:K)</f>
        <v>EUR</v>
      </c>
      <c r="N3619" s="33">
        <f>(_xlfn.XLOOKUP(Pipeline_tbl[[#This Row],[Rate_Code_Generalized]],Lookups!A:A,Lookups!B:B))*Pipeline_tbl[[#This Row],[Pipeline_Amount_USD]]</f>
        <v>2300</v>
      </c>
      <c r="O3619" t="str">
        <f>_xlfn.XLOOKUP(Pipeline_tbl[[#This Row],[Rep_ID]],Dim_Reps!A:A,Dim_Reps!B:B)</f>
        <v>Kenji Weber</v>
      </c>
      <c r="P3619" t="str">
        <f>_xlfn.XLOOKUP(Pipeline_tbl[[#This Row],[Rep_ID]],Dim_Reps!A:A,Dim_Reps!C:C)</f>
        <v>SDR / Inside Sales Rep</v>
      </c>
      <c r="Q3619" t="str">
        <f>_xlfn.XLOOKUP(Pipeline_tbl[[#This Row],[Rep_ID]],Dim_Reps!A:A,Dim_Reps!D:D)</f>
        <v>Inside Sales</v>
      </c>
      <c r="R3619" t="str">
        <f>_xlfn.XLOOKUP(Pipeline_tbl[[#This Row],[Rep_ID]],Dim_Reps!A:A,Dim_Reps!E:E)</f>
        <v>APAC</v>
      </c>
      <c r="S3619" t="str">
        <f>_xlfn.XLOOKUP(Pipeline_tbl[[#This Row],[Created_Date]],Dim_Date!A:A,Dim_Date!H:H)</f>
        <v>Jun 2024</v>
      </c>
      <c r="T3619" t="str">
        <f>IF(Pipeline_tbl[[#This Row],[Closed_Date]]=0,"",(_xlfn.XLOOKUP(Pipeline_tbl[[#This Row],[Closed_Date]],Dim_Date!A:A,Dim_Date!H:H)))</f>
        <v>Jul 2024</v>
      </c>
      <c r="U3619">
        <f>IF(Pipeline_tbl[[#This Row],[Closed_Date]]=0,"",Pipeline_tbl[[#This Row],[Closed_Date]]-Pipeline_tbl[[#This Row],[Created_Date]])</f>
        <v>10</v>
      </c>
    </row>
    <row r="3620" spans="1:21" ht="15" customHeight="1" x14ac:dyDescent="0.2">
      <c r="A3620" t="s">
        <v>3926</v>
      </c>
      <c r="B3620" t="s">
        <v>193</v>
      </c>
      <c r="C3620" t="s">
        <v>53</v>
      </c>
      <c r="D3620" s="49">
        <v>45450</v>
      </c>
      <c r="E3620" s="49">
        <v>45452</v>
      </c>
      <c r="F3620" s="49">
        <v>45455</v>
      </c>
      <c r="I3620" s="49">
        <v>45466</v>
      </c>
      <c r="J3620" t="s">
        <v>49</v>
      </c>
      <c r="K3620" s="33">
        <v>5900</v>
      </c>
      <c r="L3620" t="s">
        <v>61</v>
      </c>
      <c r="M3620" t="str">
        <f>_xlfn.XLOOKUP(Pipeline_tbl[[#This Row],[Rep_ID]],Dim_Reps!A:A,Dim_Reps!K:K)</f>
        <v>USD</v>
      </c>
      <c r="N3620" s="33">
        <f>(_xlfn.XLOOKUP(Pipeline_tbl[[#This Row],[Rate_Code_Generalized]],Lookups!A:A,Lookups!B:B))*Pipeline_tbl[[#This Row],[Pipeline_Amount_USD]]</f>
        <v>6869.369999999999</v>
      </c>
      <c r="O3620" t="str">
        <f>_xlfn.XLOOKUP(Pipeline_tbl[[#This Row],[Rep_ID]],Dim_Reps!A:A,Dim_Reps!B:B)</f>
        <v>Karim Rossi</v>
      </c>
      <c r="P3620" t="str">
        <f>_xlfn.XLOOKUP(Pipeline_tbl[[#This Row],[Rep_ID]],Dim_Reps!A:A,Dim_Reps!C:C)</f>
        <v>SDR / Inside Sales Rep</v>
      </c>
      <c r="Q3620" t="str">
        <f>_xlfn.XLOOKUP(Pipeline_tbl[[#This Row],[Rep_ID]],Dim_Reps!A:A,Dim_Reps!D:D)</f>
        <v>Inside Sales</v>
      </c>
      <c r="R3620" t="str">
        <f>_xlfn.XLOOKUP(Pipeline_tbl[[#This Row],[Rep_ID]],Dim_Reps!A:A,Dim_Reps!E:E)</f>
        <v>NAMER</v>
      </c>
      <c r="S3620" t="str">
        <f>_xlfn.XLOOKUP(Pipeline_tbl[[#This Row],[Created_Date]],Dim_Date!A:A,Dim_Date!H:H)</f>
        <v>Jun 2024</v>
      </c>
      <c r="T3620" t="str">
        <f>IF(Pipeline_tbl[[#This Row],[Closed_Date]]=0,"",(_xlfn.XLOOKUP(Pipeline_tbl[[#This Row],[Closed_Date]],Dim_Date!A:A,Dim_Date!H:H)))</f>
        <v>Jun 2024</v>
      </c>
      <c r="U3620">
        <f>IF(Pipeline_tbl[[#This Row],[Closed_Date]]=0,"",Pipeline_tbl[[#This Row],[Closed_Date]]-Pipeline_tbl[[#This Row],[Created_Date]])</f>
        <v>16</v>
      </c>
    </row>
    <row r="3621" spans="1:21" ht="15" customHeight="1" x14ac:dyDescent="0.2">
      <c r="A3621" t="s">
        <v>3927</v>
      </c>
      <c r="B3621" t="s">
        <v>193</v>
      </c>
      <c r="C3621" t="s">
        <v>53</v>
      </c>
      <c r="D3621" s="49">
        <v>45454</v>
      </c>
      <c r="E3621" s="49">
        <v>45455</v>
      </c>
      <c r="F3621" s="49">
        <v>45457</v>
      </c>
      <c r="G3621" s="49">
        <v>45461</v>
      </c>
      <c r="H3621" s="49">
        <v>45463</v>
      </c>
      <c r="I3621" s="49">
        <v>45465</v>
      </c>
      <c r="J3621" t="s">
        <v>47</v>
      </c>
      <c r="K3621" s="33">
        <v>9500</v>
      </c>
      <c r="M3621" t="str">
        <f>_xlfn.XLOOKUP(Pipeline_tbl[[#This Row],[Rep_ID]],Dim_Reps!A:A,Dim_Reps!K:K)</f>
        <v>USD</v>
      </c>
      <c r="N3621" s="33">
        <f>(_xlfn.XLOOKUP(Pipeline_tbl[[#This Row],[Rate_Code_Generalized]],Lookups!A:A,Lookups!B:B))*Pipeline_tbl[[#This Row],[Pipeline_Amount_USD]]</f>
        <v>11060.849999999999</v>
      </c>
      <c r="O3621" t="str">
        <f>_xlfn.XLOOKUP(Pipeline_tbl[[#This Row],[Rep_ID]],Dim_Reps!A:A,Dim_Reps!B:B)</f>
        <v>Karim Rossi</v>
      </c>
      <c r="P3621" t="str">
        <f>_xlfn.XLOOKUP(Pipeline_tbl[[#This Row],[Rep_ID]],Dim_Reps!A:A,Dim_Reps!C:C)</f>
        <v>SDR / Inside Sales Rep</v>
      </c>
      <c r="Q3621" t="str">
        <f>_xlfn.XLOOKUP(Pipeline_tbl[[#This Row],[Rep_ID]],Dim_Reps!A:A,Dim_Reps!D:D)</f>
        <v>Inside Sales</v>
      </c>
      <c r="R3621" t="str">
        <f>_xlfn.XLOOKUP(Pipeline_tbl[[#This Row],[Rep_ID]],Dim_Reps!A:A,Dim_Reps!E:E)</f>
        <v>NAMER</v>
      </c>
      <c r="S3621" t="str">
        <f>_xlfn.XLOOKUP(Pipeline_tbl[[#This Row],[Created_Date]],Dim_Date!A:A,Dim_Date!H:H)</f>
        <v>Jun 2024</v>
      </c>
      <c r="T3621" t="str">
        <f>IF(Pipeline_tbl[[#This Row],[Closed_Date]]=0,"",(_xlfn.XLOOKUP(Pipeline_tbl[[#This Row],[Closed_Date]],Dim_Date!A:A,Dim_Date!H:H)))</f>
        <v>Jun 2024</v>
      </c>
      <c r="U3621">
        <f>IF(Pipeline_tbl[[#This Row],[Closed_Date]]=0,"",Pipeline_tbl[[#This Row],[Closed_Date]]-Pipeline_tbl[[#This Row],[Created_Date]])</f>
        <v>11</v>
      </c>
    </row>
    <row r="3622" spans="1:21" ht="15" customHeight="1" x14ac:dyDescent="0.2">
      <c r="A3622" t="s">
        <v>3928</v>
      </c>
      <c r="B3622" t="s">
        <v>193</v>
      </c>
      <c r="C3622" t="s">
        <v>54</v>
      </c>
      <c r="D3622" s="49">
        <v>45450</v>
      </c>
      <c r="E3622" s="49">
        <v>45452</v>
      </c>
      <c r="F3622" s="49">
        <v>45456</v>
      </c>
      <c r="G3622" s="49">
        <v>45462</v>
      </c>
      <c r="H3622" s="49">
        <v>45467</v>
      </c>
      <c r="I3622" s="49">
        <v>45470</v>
      </c>
      <c r="J3622" t="s">
        <v>47</v>
      </c>
      <c r="K3622" s="33">
        <v>3000</v>
      </c>
      <c r="M3622" t="str">
        <f>_xlfn.XLOOKUP(Pipeline_tbl[[#This Row],[Rep_ID]],Dim_Reps!A:A,Dim_Reps!K:K)</f>
        <v>USD</v>
      </c>
      <c r="N3622" s="33">
        <f>(_xlfn.XLOOKUP(Pipeline_tbl[[#This Row],[Rate_Code_Generalized]],Lookups!A:A,Lookups!B:B))*Pipeline_tbl[[#This Row],[Pipeline_Amount_USD]]</f>
        <v>3492.8999999999996</v>
      </c>
      <c r="O3622" t="str">
        <f>_xlfn.XLOOKUP(Pipeline_tbl[[#This Row],[Rep_ID]],Dim_Reps!A:A,Dim_Reps!B:B)</f>
        <v>Karim Rossi</v>
      </c>
      <c r="P3622" t="str">
        <f>_xlfn.XLOOKUP(Pipeline_tbl[[#This Row],[Rep_ID]],Dim_Reps!A:A,Dim_Reps!C:C)</f>
        <v>SDR / Inside Sales Rep</v>
      </c>
      <c r="Q3622" t="str">
        <f>_xlfn.XLOOKUP(Pipeline_tbl[[#This Row],[Rep_ID]],Dim_Reps!A:A,Dim_Reps!D:D)</f>
        <v>Inside Sales</v>
      </c>
      <c r="R3622" t="str">
        <f>_xlfn.XLOOKUP(Pipeline_tbl[[#This Row],[Rep_ID]],Dim_Reps!A:A,Dim_Reps!E:E)</f>
        <v>NAMER</v>
      </c>
      <c r="S3622" t="str">
        <f>_xlfn.XLOOKUP(Pipeline_tbl[[#This Row],[Created_Date]],Dim_Date!A:A,Dim_Date!H:H)</f>
        <v>Jun 2024</v>
      </c>
      <c r="T3622" t="str">
        <f>IF(Pipeline_tbl[[#This Row],[Closed_Date]]=0,"",(_xlfn.XLOOKUP(Pipeline_tbl[[#This Row],[Closed_Date]],Dim_Date!A:A,Dim_Date!H:H)))</f>
        <v>Jun 2024</v>
      </c>
      <c r="U3622">
        <f>IF(Pipeline_tbl[[#This Row],[Closed_Date]]=0,"",Pipeline_tbl[[#This Row],[Closed_Date]]-Pipeline_tbl[[#This Row],[Created_Date]])</f>
        <v>20</v>
      </c>
    </row>
    <row r="3623" spans="1:21" ht="15" customHeight="1" x14ac:dyDescent="0.2">
      <c r="A3623" t="s">
        <v>3929</v>
      </c>
      <c r="B3623" t="s">
        <v>193</v>
      </c>
      <c r="C3623" t="s">
        <v>52</v>
      </c>
      <c r="D3623" s="49">
        <v>45452</v>
      </c>
      <c r="E3623" s="49">
        <v>45454</v>
      </c>
      <c r="I3623" s="49">
        <v>45467</v>
      </c>
      <c r="J3623" t="s">
        <v>49</v>
      </c>
      <c r="K3623" s="33">
        <v>4000</v>
      </c>
      <c r="L3623" t="s">
        <v>60</v>
      </c>
      <c r="M3623" t="str">
        <f>_xlfn.XLOOKUP(Pipeline_tbl[[#This Row],[Rep_ID]],Dim_Reps!A:A,Dim_Reps!K:K)</f>
        <v>USD</v>
      </c>
      <c r="N3623" s="33">
        <f>(_xlfn.XLOOKUP(Pipeline_tbl[[#This Row],[Rate_Code_Generalized]],Lookups!A:A,Lookups!B:B))*Pipeline_tbl[[#This Row],[Pipeline_Amount_USD]]</f>
        <v>4657.2</v>
      </c>
      <c r="O3623" t="str">
        <f>_xlfn.XLOOKUP(Pipeline_tbl[[#This Row],[Rep_ID]],Dim_Reps!A:A,Dim_Reps!B:B)</f>
        <v>Karim Rossi</v>
      </c>
      <c r="P3623" t="str">
        <f>_xlfn.XLOOKUP(Pipeline_tbl[[#This Row],[Rep_ID]],Dim_Reps!A:A,Dim_Reps!C:C)</f>
        <v>SDR / Inside Sales Rep</v>
      </c>
      <c r="Q3623" t="str">
        <f>_xlfn.XLOOKUP(Pipeline_tbl[[#This Row],[Rep_ID]],Dim_Reps!A:A,Dim_Reps!D:D)</f>
        <v>Inside Sales</v>
      </c>
      <c r="R3623" t="str">
        <f>_xlfn.XLOOKUP(Pipeline_tbl[[#This Row],[Rep_ID]],Dim_Reps!A:A,Dim_Reps!E:E)</f>
        <v>NAMER</v>
      </c>
      <c r="S3623" t="str">
        <f>_xlfn.XLOOKUP(Pipeline_tbl[[#This Row],[Created_Date]],Dim_Date!A:A,Dim_Date!H:H)</f>
        <v>Jun 2024</v>
      </c>
      <c r="T3623" t="str">
        <f>IF(Pipeline_tbl[[#This Row],[Closed_Date]]=0,"",(_xlfn.XLOOKUP(Pipeline_tbl[[#This Row],[Closed_Date]],Dim_Date!A:A,Dim_Date!H:H)))</f>
        <v>Jun 2024</v>
      </c>
      <c r="U3623">
        <f>IF(Pipeline_tbl[[#This Row],[Closed_Date]]=0,"",Pipeline_tbl[[#This Row],[Closed_Date]]-Pipeline_tbl[[#This Row],[Created_Date]])</f>
        <v>15</v>
      </c>
    </row>
    <row r="3624" spans="1:21" ht="15" customHeight="1" x14ac:dyDescent="0.2">
      <c r="A3624" t="s">
        <v>3930</v>
      </c>
      <c r="B3624" t="s">
        <v>243</v>
      </c>
      <c r="C3624" t="s">
        <v>53</v>
      </c>
      <c r="D3624" s="49">
        <v>45454</v>
      </c>
      <c r="E3624" s="49">
        <v>45456</v>
      </c>
      <c r="F3624" s="49">
        <v>45459</v>
      </c>
      <c r="G3624" s="49">
        <v>45464</v>
      </c>
      <c r="H3624" s="49">
        <v>45468</v>
      </c>
      <c r="I3624" s="49">
        <v>45471</v>
      </c>
      <c r="J3624" t="s">
        <v>49</v>
      </c>
      <c r="K3624" s="33">
        <v>10400</v>
      </c>
      <c r="L3624" t="s">
        <v>61</v>
      </c>
      <c r="M3624" t="str">
        <f>_xlfn.XLOOKUP(Pipeline_tbl[[#This Row],[Rep_ID]],Dim_Reps!A:A,Dim_Reps!K:K)</f>
        <v>MXN</v>
      </c>
      <c r="N3624" s="33">
        <f>(_xlfn.XLOOKUP(Pipeline_tbl[[#This Row],[Rate_Code_Generalized]],Lookups!A:A,Lookups!B:B))*Pipeline_tbl[[#This Row],[Pipeline_Amount_USD]]</f>
        <v>205220.08000000002</v>
      </c>
      <c r="O3624" t="str">
        <f>_xlfn.XLOOKUP(Pipeline_tbl[[#This Row],[Rep_ID]],Dim_Reps!A:A,Dim_Reps!B:B)</f>
        <v>Jonas Sato</v>
      </c>
      <c r="P3624" t="str">
        <f>_xlfn.XLOOKUP(Pipeline_tbl[[#This Row],[Rep_ID]],Dim_Reps!A:A,Dim_Reps!C:C)</f>
        <v>Mid-Market AE</v>
      </c>
      <c r="Q3624" t="str">
        <f>_xlfn.XLOOKUP(Pipeline_tbl[[#This Row],[Rep_ID]],Dim_Reps!A:A,Dim_Reps!D:D)</f>
        <v>Mid-Market</v>
      </c>
      <c r="R3624" t="str">
        <f>_xlfn.XLOOKUP(Pipeline_tbl[[#This Row],[Rep_ID]],Dim_Reps!A:A,Dim_Reps!E:E)</f>
        <v>LATAM</v>
      </c>
      <c r="S3624" t="str">
        <f>_xlfn.XLOOKUP(Pipeline_tbl[[#This Row],[Created_Date]],Dim_Date!A:A,Dim_Date!H:H)</f>
        <v>Jun 2024</v>
      </c>
      <c r="T3624" t="str">
        <f>IF(Pipeline_tbl[[#This Row],[Closed_Date]]=0,"",(_xlfn.XLOOKUP(Pipeline_tbl[[#This Row],[Closed_Date]],Dim_Date!A:A,Dim_Date!H:H)))</f>
        <v>Jun 2024</v>
      </c>
      <c r="U3624">
        <f>IF(Pipeline_tbl[[#This Row],[Closed_Date]]=0,"",Pipeline_tbl[[#This Row],[Closed_Date]]-Pipeline_tbl[[#This Row],[Created_Date]])</f>
        <v>17</v>
      </c>
    </row>
    <row r="3625" spans="1:21" ht="15" customHeight="1" x14ac:dyDescent="0.2">
      <c r="A3625" t="s">
        <v>3931</v>
      </c>
      <c r="B3625" t="s">
        <v>199</v>
      </c>
      <c r="C3625" t="s">
        <v>56</v>
      </c>
      <c r="D3625" s="49">
        <v>45451</v>
      </c>
      <c r="E3625" s="49">
        <v>45453</v>
      </c>
      <c r="I3625" s="49">
        <v>45470</v>
      </c>
      <c r="J3625" t="s">
        <v>49</v>
      </c>
      <c r="K3625" s="33">
        <v>2800</v>
      </c>
      <c r="L3625" t="s">
        <v>61</v>
      </c>
      <c r="M3625" t="str">
        <f>_xlfn.XLOOKUP(Pipeline_tbl[[#This Row],[Rep_ID]],Dim_Reps!A:A,Dim_Reps!K:K)</f>
        <v>EUR</v>
      </c>
      <c r="N3625" s="33">
        <f>(_xlfn.XLOOKUP(Pipeline_tbl[[#This Row],[Rate_Code_Generalized]],Lookups!A:A,Lookups!B:B))*Pipeline_tbl[[#This Row],[Pipeline_Amount_USD]]</f>
        <v>2800</v>
      </c>
      <c r="O3625" t="str">
        <f>_xlfn.XLOOKUP(Pipeline_tbl[[#This Row],[Rep_ID]],Dim_Reps!A:A,Dim_Reps!B:B)</f>
        <v>Lucas Okafor</v>
      </c>
      <c r="P3625" t="str">
        <f>_xlfn.XLOOKUP(Pipeline_tbl[[#This Row],[Rep_ID]],Dim_Reps!A:A,Dim_Reps!C:C)</f>
        <v>SDR / Inside Sales Rep</v>
      </c>
      <c r="Q3625" t="str">
        <f>_xlfn.XLOOKUP(Pipeline_tbl[[#This Row],[Rep_ID]],Dim_Reps!A:A,Dim_Reps!D:D)</f>
        <v>Inside Sales</v>
      </c>
      <c r="R3625" t="str">
        <f>_xlfn.XLOOKUP(Pipeline_tbl[[#This Row],[Rep_ID]],Dim_Reps!A:A,Dim_Reps!E:E)</f>
        <v>APAC</v>
      </c>
      <c r="S3625" t="str">
        <f>_xlfn.XLOOKUP(Pipeline_tbl[[#This Row],[Created_Date]],Dim_Date!A:A,Dim_Date!H:H)</f>
        <v>Jun 2024</v>
      </c>
      <c r="T3625" t="str">
        <f>IF(Pipeline_tbl[[#This Row],[Closed_Date]]=0,"",(_xlfn.XLOOKUP(Pipeline_tbl[[#This Row],[Closed_Date]],Dim_Date!A:A,Dim_Date!H:H)))</f>
        <v>Jun 2024</v>
      </c>
      <c r="U3625">
        <f>IF(Pipeline_tbl[[#This Row],[Closed_Date]]=0,"",Pipeline_tbl[[#This Row],[Closed_Date]]-Pipeline_tbl[[#This Row],[Created_Date]])</f>
        <v>19</v>
      </c>
    </row>
    <row r="3626" spans="1:21" ht="15" customHeight="1" x14ac:dyDescent="0.2">
      <c r="A3626" t="s">
        <v>3932</v>
      </c>
      <c r="B3626" t="s">
        <v>199</v>
      </c>
      <c r="C3626" t="s">
        <v>55</v>
      </c>
      <c r="D3626" s="49">
        <v>45456</v>
      </c>
      <c r="E3626" s="49">
        <v>45458</v>
      </c>
      <c r="I3626" s="49">
        <v>45472</v>
      </c>
      <c r="J3626" t="s">
        <v>49</v>
      </c>
      <c r="K3626" s="33">
        <v>7900</v>
      </c>
      <c r="L3626" t="s">
        <v>60</v>
      </c>
      <c r="M3626" t="str">
        <f>_xlfn.XLOOKUP(Pipeline_tbl[[#This Row],[Rep_ID]],Dim_Reps!A:A,Dim_Reps!K:K)</f>
        <v>EUR</v>
      </c>
      <c r="N3626" s="33">
        <f>(_xlfn.XLOOKUP(Pipeline_tbl[[#This Row],[Rate_Code_Generalized]],Lookups!A:A,Lookups!B:B))*Pipeline_tbl[[#This Row],[Pipeline_Amount_USD]]</f>
        <v>7900</v>
      </c>
      <c r="O3626" t="str">
        <f>_xlfn.XLOOKUP(Pipeline_tbl[[#This Row],[Rep_ID]],Dim_Reps!A:A,Dim_Reps!B:B)</f>
        <v>Lucas Okafor</v>
      </c>
      <c r="P3626" t="str">
        <f>_xlfn.XLOOKUP(Pipeline_tbl[[#This Row],[Rep_ID]],Dim_Reps!A:A,Dim_Reps!C:C)</f>
        <v>SDR / Inside Sales Rep</v>
      </c>
      <c r="Q3626" t="str">
        <f>_xlfn.XLOOKUP(Pipeline_tbl[[#This Row],[Rep_ID]],Dim_Reps!A:A,Dim_Reps!D:D)</f>
        <v>Inside Sales</v>
      </c>
      <c r="R3626" t="str">
        <f>_xlfn.XLOOKUP(Pipeline_tbl[[#This Row],[Rep_ID]],Dim_Reps!A:A,Dim_Reps!E:E)</f>
        <v>APAC</v>
      </c>
      <c r="S3626" t="str">
        <f>_xlfn.XLOOKUP(Pipeline_tbl[[#This Row],[Created_Date]],Dim_Date!A:A,Dim_Date!H:H)</f>
        <v>Jun 2024</v>
      </c>
      <c r="T3626" t="str">
        <f>IF(Pipeline_tbl[[#This Row],[Closed_Date]]=0,"",(_xlfn.XLOOKUP(Pipeline_tbl[[#This Row],[Closed_Date]],Dim_Date!A:A,Dim_Date!H:H)))</f>
        <v>Jun 2024</v>
      </c>
      <c r="U3626">
        <f>IF(Pipeline_tbl[[#This Row],[Closed_Date]]=0,"",Pipeline_tbl[[#This Row],[Closed_Date]]-Pipeline_tbl[[#This Row],[Created_Date]])</f>
        <v>16</v>
      </c>
    </row>
    <row r="3627" spans="1:21" ht="15" customHeight="1" x14ac:dyDescent="0.2">
      <c r="A3627" t="s">
        <v>3933</v>
      </c>
      <c r="B3627" t="s">
        <v>199</v>
      </c>
      <c r="C3627" t="s">
        <v>54</v>
      </c>
      <c r="D3627" s="49">
        <v>45454</v>
      </c>
      <c r="E3627" s="49">
        <v>45455</v>
      </c>
      <c r="F3627" s="49">
        <v>45458</v>
      </c>
      <c r="G3627" s="49">
        <v>45462</v>
      </c>
      <c r="H3627" s="49">
        <v>45466</v>
      </c>
      <c r="I3627" s="49">
        <v>45468</v>
      </c>
      <c r="J3627" t="s">
        <v>47</v>
      </c>
      <c r="K3627" s="33">
        <v>2400</v>
      </c>
      <c r="M3627" t="str">
        <f>_xlfn.XLOOKUP(Pipeline_tbl[[#This Row],[Rep_ID]],Dim_Reps!A:A,Dim_Reps!K:K)</f>
        <v>EUR</v>
      </c>
      <c r="N3627" s="33">
        <f>(_xlfn.XLOOKUP(Pipeline_tbl[[#This Row],[Rate_Code_Generalized]],Lookups!A:A,Lookups!B:B))*Pipeline_tbl[[#This Row],[Pipeline_Amount_USD]]</f>
        <v>2400</v>
      </c>
      <c r="O3627" t="str">
        <f>_xlfn.XLOOKUP(Pipeline_tbl[[#This Row],[Rep_ID]],Dim_Reps!A:A,Dim_Reps!B:B)</f>
        <v>Lucas Okafor</v>
      </c>
      <c r="P3627" t="str">
        <f>_xlfn.XLOOKUP(Pipeline_tbl[[#This Row],[Rep_ID]],Dim_Reps!A:A,Dim_Reps!C:C)</f>
        <v>SDR / Inside Sales Rep</v>
      </c>
      <c r="Q3627" t="str">
        <f>_xlfn.XLOOKUP(Pipeline_tbl[[#This Row],[Rep_ID]],Dim_Reps!A:A,Dim_Reps!D:D)</f>
        <v>Inside Sales</v>
      </c>
      <c r="R3627" t="str">
        <f>_xlfn.XLOOKUP(Pipeline_tbl[[#This Row],[Rep_ID]],Dim_Reps!A:A,Dim_Reps!E:E)</f>
        <v>APAC</v>
      </c>
      <c r="S3627" t="str">
        <f>_xlfn.XLOOKUP(Pipeline_tbl[[#This Row],[Created_Date]],Dim_Date!A:A,Dim_Date!H:H)</f>
        <v>Jun 2024</v>
      </c>
      <c r="T3627" t="str">
        <f>IF(Pipeline_tbl[[#This Row],[Closed_Date]]=0,"",(_xlfn.XLOOKUP(Pipeline_tbl[[#This Row],[Closed_Date]],Dim_Date!A:A,Dim_Date!H:H)))</f>
        <v>Jun 2024</v>
      </c>
      <c r="U3627">
        <f>IF(Pipeline_tbl[[#This Row],[Closed_Date]]=0,"",Pipeline_tbl[[#This Row],[Closed_Date]]-Pipeline_tbl[[#This Row],[Created_Date]])</f>
        <v>14</v>
      </c>
    </row>
    <row r="3628" spans="1:21" ht="15" customHeight="1" x14ac:dyDescent="0.2">
      <c r="A3628" t="s">
        <v>3934</v>
      </c>
      <c r="B3628" t="s">
        <v>199</v>
      </c>
      <c r="C3628" t="s">
        <v>52</v>
      </c>
      <c r="D3628" s="49">
        <v>45444</v>
      </c>
      <c r="E3628" s="49">
        <v>45446</v>
      </c>
      <c r="F3628" s="49">
        <v>45450</v>
      </c>
      <c r="G3628" s="49">
        <v>45455</v>
      </c>
      <c r="I3628" s="49">
        <v>45463</v>
      </c>
      <c r="J3628" t="s">
        <v>49</v>
      </c>
      <c r="K3628" s="33">
        <v>2800</v>
      </c>
      <c r="L3628" t="s">
        <v>62</v>
      </c>
      <c r="M3628" t="str">
        <f>_xlfn.XLOOKUP(Pipeline_tbl[[#This Row],[Rep_ID]],Dim_Reps!A:A,Dim_Reps!K:K)</f>
        <v>EUR</v>
      </c>
      <c r="N3628" s="33">
        <f>(_xlfn.XLOOKUP(Pipeline_tbl[[#This Row],[Rate_Code_Generalized]],Lookups!A:A,Lookups!B:B))*Pipeline_tbl[[#This Row],[Pipeline_Amount_USD]]</f>
        <v>2800</v>
      </c>
      <c r="O3628" t="str">
        <f>_xlfn.XLOOKUP(Pipeline_tbl[[#This Row],[Rep_ID]],Dim_Reps!A:A,Dim_Reps!B:B)</f>
        <v>Lucas Okafor</v>
      </c>
      <c r="P3628" t="str">
        <f>_xlfn.XLOOKUP(Pipeline_tbl[[#This Row],[Rep_ID]],Dim_Reps!A:A,Dim_Reps!C:C)</f>
        <v>SDR / Inside Sales Rep</v>
      </c>
      <c r="Q3628" t="str">
        <f>_xlfn.XLOOKUP(Pipeline_tbl[[#This Row],[Rep_ID]],Dim_Reps!A:A,Dim_Reps!D:D)</f>
        <v>Inside Sales</v>
      </c>
      <c r="R3628" t="str">
        <f>_xlfn.XLOOKUP(Pipeline_tbl[[#This Row],[Rep_ID]],Dim_Reps!A:A,Dim_Reps!E:E)</f>
        <v>APAC</v>
      </c>
      <c r="S3628" t="str">
        <f>_xlfn.XLOOKUP(Pipeline_tbl[[#This Row],[Created_Date]],Dim_Date!A:A,Dim_Date!H:H)</f>
        <v>Jun 2024</v>
      </c>
      <c r="T3628" t="str">
        <f>IF(Pipeline_tbl[[#This Row],[Closed_Date]]=0,"",(_xlfn.XLOOKUP(Pipeline_tbl[[#This Row],[Closed_Date]],Dim_Date!A:A,Dim_Date!H:H)))</f>
        <v>Jun 2024</v>
      </c>
      <c r="U3628">
        <f>IF(Pipeline_tbl[[#This Row],[Closed_Date]]=0,"",Pipeline_tbl[[#This Row],[Closed_Date]]-Pipeline_tbl[[#This Row],[Created_Date]])</f>
        <v>19</v>
      </c>
    </row>
    <row r="3629" spans="1:21" ht="15" customHeight="1" x14ac:dyDescent="0.2">
      <c r="A3629" t="s">
        <v>3935</v>
      </c>
      <c r="B3629" t="s">
        <v>205</v>
      </c>
      <c r="C3629" t="s">
        <v>52</v>
      </c>
      <c r="D3629" s="49">
        <v>45465</v>
      </c>
      <c r="E3629" s="49">
        <v>45466</v>
      </c>
      <c r="F3629" s="49">
        <v>45467</v>
      </c>
      <c r="G3629" s="49">
        <v>45470</v>
      </c>
      <c r="H3629" s="49">
        <v>45472</v>
      </c>
      <c r="I3629" s="49">
        <v>45473</v>
      </c>
      <c r="J3629" t="s">
        <v>47</v>
      </c>
      <c r="K3629" s="33">
        <v>1900</v>
      </c>
      <c r="M3629" t="str">
        <f>_xlfn.XLOOKUP(Pipeline_tbl[[#This Row],[Rep_ID]],Dim_Reps!A:A,Dim_Reps!K:K)</f>
        <v>EUR</v>
      </c>
      <c r="N3629" s="33">
        <f>(_xlfn.XLOOKUP(Pipeline_tbl[[#This Row],[Rate_Code_Generalized]],Lookups!A:A,Lookups!B:B))*Pipeline_tbl[[#This Row],[Pipeline_Amount_USD]]</f>
        <v>1900</v>
      </c>
      <c r="O3629" t="str">
        <f>_xlfn.XLOOKUP(Pipeline_tbl[[#This Row],[Rep_ID]],Dim_Reps!A:A,Dim_Reps!B:B)</f>
        <v>Karim Alvarez</v>
      </c>
      <c r="P3629" t="str">
        <f>_xlfn.XLOOKUP(Pipeline_tbl[[#This Row],[Rep_ID]],Dim_Reps!A:A,Dim_Reps!C:C)</f>
        <v>SDR / Inside Sales Rep</v>
      </c>
      <c r="Q3629" t="str">
        <f>_xlfn.XLOOKUP(Pipeline_tbl[[#This Row],[Rep_ID]],Dim_Reps!A:A,Dim_Reps!D:D)</f>
        <v>Inside Sales</v>
      </c>
      <c r="R3629" t="str">
        <f>_xlfn.XLOOKUP(Pipeline_tbl[[#This Row],[Rep_ID]],Dim_Reps!A:A,Dim_Reps!E:E)</f>
        <v>EMEA</v>
      </c>
      <c r="S3629" t="str">
        <f>_xlfn.XLOOKUP(Pipeline_tbl[[#This Row],[Created_Date]],Dim_Date!A:A,Dim_Date!H:H)</f>
        <v>Jun 2024</v>
      </c>
      <c r="T3629" t="str">
        <f>IF(Pipeline_tbl[[#This Row],[Closed_Date]]=0,"",(_xlfn.XLOOKUP(Pipeline_tbl[[#This Row],[Closed_Date]],Dim_Date!A:A,Dim_Date!H:H)))</f>
        <v>Jun 2024</v>
      </c>
      <c r="U3629">
        <f>IF(Pipeline_tbl[[#This Row],[Closed_Date]]=0,"",Pipeline_tbl[[#This Row],[Closed_Date]]-Pipeline_tbl[[#This Row],[Created_Date]])</f>
        <v>8</v>
      </c>
    </row>
    <row r="3630" spans="1:21" ht="15" customHeight="1" x14ac:dyDescent="0.2">
      <c r="A3630" t="s">
        <v>3936</v>
      </c>
      <c r="B3630" t="s">
        <v>205</v>
      </c>
      <c r="C3630" t="s">
        <v>52</v>
      </c>
      <c r="D3630" s="49">
        <v>45460</v>
      </c>
      <c r="E3630" s="49">
        <v>45461</v>
      </c>
      <c r="F3630" s="49">
        <v>45464</v>
      </c>
      <c r="I3630" s="49">
        <v>45473</v>
      </c>
      <c r="J3630" t="s">
        <v>49</v>
      </c>
      <c r="K3630" s="33">
        <v>4100</v>
      </c>
      <c r="L3630" t="s">
        <v>64</v>
      </c>
      <c r="M3630" t="str">
        <f>_xlfn.XLOOKUP(Pipeline_tbl[[#This Row],[Rep_ID]],Dim_Reps!A:A,Dim_Reps!K:K)</f>
        <v>EUR</v>
      </c>
      <c r="N3630" s="33">
        <f>(_xlfn.XLOOKUP(Pipeline_tbl[[#This Row],[Rate_Code_Generalized]],Lookups!A:A,Lookups!B:B))*Pipeline_tbl[[#This Row],[Pipeline_Amount_USD]]</f>
        <v>4100</v>
      </c>
      <c r="O3630" t="str">
        <f>_xlfn.XLOOKUP(Pipeline_tbl[[#This Row],[Rep_ID]],Dim_Reps!A:A,Dim_Reps!B:B)</f>
        <v>Karim Alvarez</v>
      </c>
      <c r="P3630" t="str">
        <f>_xlfn.XLOOKUP(Pipeline_tbl[[#This Row],[Rep_ID]],Dim_Reps!A:A,Dim_Reps!C:C)</f>
        <v>SDR / Inside Sales Rep</v>
      </c>
      <c r="Q3630" t="str">
        <f>_xlfn.XLOOKUP(Pipeline_tbl[[#This Row],[Rep_ID]],Dim_Reps!A:A,Dim_Reps!D:D)</f>
        <v>Inside Sales</v>
      </c>
      <c r="R3630" t="str">
        <f>_xlfn.XLOOKUP(Pipeline_tbl[[#This Row],[Rep_ID]],Dim_Reps!A:A,Dim_Reps!E:E)</f>
        <v>EMEA</v>
      </c>
      <c r="S3630" t="str">
        <f>_xlfn.XLOOKUP(Pipeline_tbl[[#This Row],[Created_Date]],Dim_Date!A:A,Dim_Date!H:H)</f>
        <v>Jun 2024</v>
      </c>
      <c r="T3630" t="str">
        <f>IF(Pipeline_tbl[[#This Row],[Closed_Date]]=0,"",(_xlfn.XLOOKUP(Pipeline_tbl[[#This Row],[Closed_Date]],Dim_Date!A:A,Dim_Date!H:H)))</f>
        <v>Jun 2024</v>
      </c>
      <c r="U3630">
        <f>IF(Pipeline_tbl[[#This Row],[Closed_Date]]=0,"",Pipeline_tbl[[#This Row],[Closed_Date]]-Pipeline_tbl[[#This Row],[Created_Date]])</f>
        <v>13</v>
      </c>
    </row>
    <row r="3631" spans="1:21" ht="15" customHeight="1" x14ac:dyDescent="0.2">
      <c r="A3631" t="s">
        <v>3937</v>
      </c>
      <c r="B3631" t="s">
        <v>205</v>
      </c>
      <c r="C3631" t="s">
        <v>55</v>
      </c>
      <c r="D3631" s="49">
        <v>45458</v>
      </c>
      <c r="E3631" s="49">
        <v>45459</v>
      </c>
      <c r="F3631" s="49">
        <v>45460</v>
      </c>
      <c r="G3631" s="49">
        <v>45462</v>
      </c>
      <c r="H3631" s="49">
        <v>45463</v>
      </c>
      <c r="I3631" s="49">
        <v>45464</v>
      </c>
      <c r="J3631" t="s">
        <v>49</v>
      </c>
      <c r="K3631" s="33">
        <v>3700</v>
      </c>
      <c r="L3631" t="s">
        <v>60</v>
      </c>
      <c r="M3631" t="str">
        <f>_xlfn.XLOOKUP(Pipeline_tbl[[#This Row],[Rep_ID]],Dim_Reps!A:A,Dim_Reps!K:K)</f>
        <v>EUR</v>
      </c>
      <c r="N3631" s="33">
        <f>(_xlfn.XLOOKUP(Pipeline_tbl[[#This Row],[Rate_Code_Generalized]],Lookups!A:A,Lookups!B:B))*Pipeline_tbl[[#This Row],[Pipeline_Amount_USD]]</f>
        <v>3700</v>
      </c>
      <c r="O3631" t="str">
        <f>_xlfn.XLOOKUP(Pipeline_tbl[[#This Row],[Rep_ID]],Dim_Reps!A:A,Dim_Reps!B:B)</f>
        <v>Karim Alvarez</v>
      </c>
      <c r="P3631" t="str">
        <f>_xlfn.XLOOKUP(Pipeline_tbl[[#This Row],[Rep_ID]],Dim_Reps!A:A,Dim_Reps!C:C)</f>
        <v>SDR / Inside Sales Rep</v>
      </c>
      <c r="Q3631" t="str">
        <f>_xlfn.XLOOKUP(Pipeline_tbl[[#This Row],[Rep_ID]],Dim_Reps!A:A,Dim_Reps!D:D)</f>
        <v>Inside Sales</v>
      </c>
      <c r="R3631" t="str">
        <f>_xlfn.XLOOKUP(Pipeline_tbl[[#This Row],[Rep_ID]],Dim_Reps!A:A,Dim_Reps!E:E)</f>
        <v>EMEA</v>
      </c>
      <c r="S3631" t="str">
        <f>_xlfn.XLOOKUP(Pipeline_tbl[[#This Row],[Created_Date]],Dim_Date!A:A,Dim_Date!H:H)</f>
        <v>Jun 2024</v>
      </c>
      <c r="T3631" t="str">
        <f>IF(Pipeline_tbl[[#This Row],[Closed_Date]]=0,"",(_xlfn.XLOOKUP(Pipeline_tbl[[#This Row],[Closed_Date]],Dim_Date!A:A,Dim_Date!H:H)))</f>
        <v>Jun 2024</v>
      </c>
      <c r="U3631">
        <f>IF(Pipeline_tbl[[#This Row],[Closed_Date]]=0,"",Pipeline_tbl[[#This Row],[Closed_Date]]-Pipeline_tbl[[#This Row],[Created_Date]])</f>
        <v>6</v>
      </c>
    </row>
    <row r="3632" spans="1:21" ht="15" customHeight="1" x14ac:dyDescent="0.2">
      <c r="A3632" t="s">
        <v>3938</v>
      </c>
      <c r="B3632" t="s">
        <v>205</v>
      </c>
      <c r="C3632" t="s">
        <v>52</v>
      </c>
      <c r="D3632" s="49">
        <v>45444</v>
      </c>
      <c r="E3632" s="49">
        <v>45445</v>
      </c>
      <c r="F3632" s="49">
        <v>45447</v>
      </c>
      <c r="I3632" s="49">
        <v>45453</v>
      </c>
      <c r="J3632" t="s">
        <v>49</v>
      </c>
      <c r="K3632" s="33">
        <v>2200</v>
      </c>
      <c r="L3632" t="s">
        <v>62</v>
      </c>
      <c r="M3632" t="str">
        <f>_xlfn.XLOOKUP(Pipeline_tbl[[#This Row],[Rep_ID]],Dim_Reps!A:A,Dim_Reps!K:K)</f>
        <v>EUR</v>
      </c>
      <c r="N3632" s="33">
        <f>(_xlfn.XLOOKUP(Pipeline_tbl[[#This Row],[Rate_Code_Generalized]],Lookups!A:A,Lookups!B:B))*Pipeline_tbl[[#This Row],[Pipeline_Amount_USD]]</f>
        <v>2200</v>
      </c>
      <c r="O3632" t="str">
        <f>_xlfn.XLOOKUP(Pipeline_tbl[[#This Row],[Rep_ID]],Dim_Reps!A:A,Dim_Reps!B:B)</f>
        <v>Karim Alvarez</v>
      </c>
      <c r="P3632" t="str">
        <f>_xlfn.XLOOKUP(Pipeline_tbl[[#This Row],[Rep_ID]],Dim_Reps!A:A,Dim_Reps!C:C)</f>
        <v>SDR / Inside Sales Rep</v>
      </c>
      <c r="Q3632" t="str">
        <f>_xlfn.XLOOKUP(Pipeline_tbl[[#This Row],[Rep_ID]],Dim_Reps!A:A,Dim_Reps!D:D)</f>
        <v>Inside Sales</v>
      </c>
      <c r="R3632" t="str">
        <f>_xlfn.XLOOKUP(Pipeline_tbl[[#This Row],[Rep_ID]],Dim_Reps!A:A,Dim_Reps!E:E)</f>
        <v>EMEA</v>
      </c>
      <c r="S3632" t="str">
        <f>_xlfn.XLOOKUP(Pipeline_tbl[[#This Row],[Created_Date]],Dim_Date!A:A,Dim_Date!H:H)</f>
        <v>Jun 2024</v>
      </c>
      <c r="T3632" t="str">
        <f>IF(Pipeline_tbl[[#This Row],[Closed_Date]]=0,"",(_xlfn.XLOOKUP(Pipeline_tbl[[#This Row],[Closed_Date]],Dim_Date!A:A,Dim_Date!H:H)))</f>
        <v>Jun 2024</v>
      </c>
      <c r="U3632">
        <f>IF(Pipeline_tbl[[#This Row],[Closed_Date]]=0,"",Pipeline_tbl[[#This Row],[Closed_Date]]-Pipeline_tbl[[#This Row],[Created_Date]])</f>
        <v>9</v>
      </c>
    </row>
    <row r="3633" spans="1:21" ht="15" customHeight="1" x14ac:dyDescent="0.2">
      <c r="A3633" t="s">
        <v>3939</v>
      </c>
      <c r="B3633" t="s">
        <v>205</v>
      </c>
      <c r="C3633" t="s">
        <v>52</v>
      </c>
      <c r="D3633" s="49">
        <v>45459</v>
      </c>
      <c r="E3633" s="49">
        <v>45460</v>
      </c>
      <c r="F3633" s="49">
        <v>45461</v>
      </c>
      <c r="G3633" s="49">
        <v>45463</v>
      </c>
      <c r="H3633" s="49">
        <v>45464</v>
      </c>
      <c r="I3633" s="49">
        <v>45465</v>
      </c>
      <c r="J3633" t="s">
        <v>47</v>
      </c>
      <c r="K3633" s="33">
        <v>3000</v>
      </c>
      <c r="M3633" t="str">
        <f>_xlfn.XLOOKUP(Pipeline_tbl[[#This Row],[Rep_ID]],Dim_Reps!A:A,Dim_Reps!K:K)</f>
        <v>EUR</v>
      </c>
      <c r="N3633" s="33">
        <f>(_xlfn.XLOOKUP(Pipeline_tbl[[#This Row],[Rate_Code_Generalized]],Lookups!A:A,Lookups!B:B))*Pipeline_tbl[[#This Row],[Pipeline_Amount_USD]]</f>
        <v>3000</v>
      </c>
      <c r="O3633" t="str">
        <f>_xlfn.XLOOKUP(Pipeline_tbl[[#This Row],[Rep_ID]],Dim_Reps!A:A,Dim_Reps!B:B)</f>
        <v>Karim Alvarez</v>
      </c>
      <c r="P3633" t="str">
        <f>_xlfn.XLOOKUP(Pipeline_tbl[[#This Row],[Rep_ID]],Dim_Reps!A:A,Dim_Reps!C:C)</f>
        <v>SDR / Inside Sales Rep</v>
      </c>
      <c r="Q3633" t="str">
        <f>_xlfn.XLOOKUP(Pipeline_tbl[[#This Row],[Rep_ID]],Dim_Reps!A:A,Dim_Reps!D:D)</f>
        <v>Inside Sales</v>
      </c>
      <c r="R3633" t="str">
        <f>_xlfn.XLOOKUP(Pipeline_tbl[[#This Row],[Rep_ID]],Dim_Reps!A:A,Dim_Reps!E:E)</f>
        <v>EMEA</v>
      </c>
      <c r="S3633" t="str">
        <f>_xlfn.XLOOKUP(Pipeline_tbl[[#This Row],[Created_Date]],Dim_Date!A:A,Dim_Date!H:H)</f>
        <v>Jun 2024</v>
      </c>
      <c r="T3633" t="str">
        <f>IF(Pipeline_tbl[[#This Row],[Closed_Date]]=0,"",(_xlfn.XLOOKUP(Pipeline_tbl[[#This Row],[Closed_Date]],Dim_Date!A:A,Dim_Date!H:H)))</f>
        <v>Jun 2024</v>
      </c>
      <c r="U3633">
        <f>IF(Pipeline_tbl[[#This Row],[Closed_Date]]=0,"",Pipeline_tbl[[#This Row],[Closed_Date]]-Pipeline_tbl[[#This Row],[Created_Date]])</f>
        <v>6</v>
      </c>
    </row>
    <row r="3634" spans="1:21" ht="15" customHeight="1" x14ac:dyDescent="0.2">
      <c r="A3634" t="s">
        <v>3940</v>
      </c>
      <c r="B3634" t="s">
        <v>205</v>
      </c>
      <c r="C3634" t="s">
        <v>54</v>
      </c>
      <c r="D3634" s="49">
        <v>45456</v>
      </c>
      <c r="E3634" s="49">
        <v>45457</v>
      </c>
      <c r="F3634" s="49">
        <v>45460</v>
      </c>
      <c r="G3634" s="49">
        <v>45464</v>
      </c>
      <c r="H3634" s="49">
        <v>45467</v>
      </c>
      <c r="I3634" s="49">
        <v>45469</v>
      </c>
      <c r="J3634" t="s">
        <v>47</v>
      </c>
      <c r="K3634" s="33">
        <v>6400</v>
      </c>
      <c r="M3634" t="str">
        <f>_xlfn.XLOOKUP(Pipeline_tbl[[#This Row],[Rep_ID]],Dim_Reps!A:A,Dim_Reps!K:K)</f>
        <v>EUR</v>
      </c>
      <c r="N3634" s="33">
        <f>(_xlfn.XLOOKUP(Pipeline_tbl[[#This Row],[Rate_Code_Generalized]],Lookups!A:A,Lookups!B:B))*Pipeline_tbl[[#This Row],[Pipeline_Amount_USD]]</f>
        <v>6400</v>
      </c>
      <c r="O3634" t="str">
        <f>_xlfn.XLOOKUP(Pipeline_tbl[[#This Row],[Rep_ID]],Dim_Reps!A:A,Dim_Reps!B:B)</f>
        <v>Karim Alvarez</v>
      </c>
      <c r="P3634" t="str">
        <f>_xlfn.XLOOKUP(Pipeline_tbl[[#This Row],[Rep_ID]],Dim_Reps!A:A,Dim_Reps!C:C)</f>
        <v>SDR / Inside Sales Rep</v>
      </c>
      <c r="Q3634" t="str">
        <f>_xlfn.XLOOKUP(Pipeline_tbl[[#This Row],[Rep_ID]],Dim_Reps!A:A,Dim_Reps!D:D)</f>
        <v>Inside Sales</v>
      </c>
      <c r="R3634" t="str">
        <f>_xlfn.XLOOKUP(Pipeline_tbl[[#This Row],[Rep_ID]],Dim_Reps!A:A,Dim_Reps!E:E)</f>
        <v>EMEA</v>
      </c>
      <c r="S3634" t="str">
        <f>_xlfn.XLOOKUP(Pipeline_tbl[[#This Row],[Created_Date]],Dim_Date!A:A,Dim_Date!H:H)</f>
        <v>Jun 2024</v>
      </c>
      <c r="T3634" t="str">
        <f>IF(Pipeline_tbl[[#This Row],[Closed_Date]]=0,"",(_xlfn.XLOOKUP(Pipeline_tbl[[#This Row],[Closed_Date]],Dim_Date!A:A,Dim_Date!H:H)))</f>
        <v>Jun 2024</v>
      </c>
      <c r="U3634">
        <f>IF(Pipeline_tbl[[#This Row],[Closed_Date]]=0,"",Pipeline_tbl[[#This Row],[Closed_Date]]-Pipeline_tbl[[#This Row],[Created_Date]])</f>
        <v>13</v>
      </c>
    </row>
    <row r="3635" spans="1:21" ht="15" customHeight="1" x14ac:dyDescent="0.2">
      <c r="A3635" t="s">
        <v>3941</v>
      </c>
      <c r="B3635" t="s">
        <v>207</v>
      </c>
      <c r="C3635" t="s">
        <v>54</v>
      </c>
      <c r="D3635" s="49">
        <v>45452</v>
      </c>
      <c r="E3635" s="49">
        <v>45453</v>
      </c>
      <c r="F3635" s="49">
        <v>45456</v>
      </c>
      <c r="G3635" s="49">
        <v>45459</v>
      </c>
      <c r="I3635" s="49">
        <v>45464</v>
      </c>
      <c r="J3635" t="s">
        <v>49</v>
      </c>
      <c r="K3635" s="33">
        <v>1900</v>
      </c>
      <c r="L3635" t="s">
        <v>60</v>
      </c>
      <c r="M3635" t="str">
        <f>_xlfn.XLOOKUP(Pipeline_tbl[[#This Row],[Rep_ID]],Dim_Reps!A:A,Dim_Reps!K:K)</f>
        <v>EUR</v>
      </c>
      <c r="N3635" s="33">
        <f>(_xlfn.XLOOKUP(Pipeline_tbl[[#This Row],[Rate_Code_Generalized]],Lookups!A:A,Lookups!B:B))*Pipeline_tbl[[#This Row],[Pipeline_Amount_USD]]</f>
        <v>1900</v>
      </c>
      <c r="O3635" t="str">
        <f>_xlfn.XLOOKUP(Pipeline_tbl[[#This Row],[Rep_ID]],Dim_Reps!A:A,Dim_Reps!B:B)</f>
        <v>Sam Castro</v>
      </c>
      <c r="P3635" t="str">
        <f>_xlfn.XLOOKUP(Pipeline_tbl[[#This Row],[Rep_ID]],Dim_Reps!A:A,Dim_Reps!C:C)</f>
        <v>SDR / Inside Sales Rep</v>
      </c>
      <c r="Q3635" t="str">
        <f>_xlfn.XLOOKUP(Pipeline_tbl[[#This Row],[Rep_ID]],Dim_Reps!A:A,Dim_Reps!D:D)</f>
        <v>Inside Sales</v>
      </c>
      <c r="R3635" t="str">
        <f>_xlfn.XLOOKUP(Pipeline_tbl[[#This Row],[Rep_ID]],Dim_Reps!A:A,Dim_Reps!E:E)</f>
        <v>APAC</v>
      </c>
      <c r="S3635" t="str">
        <f>_xlfn.XLOOKUP(Pipeline_tbl[[#This Row],[Created_Date]],Dim_Date!A:A,Dim_Date!H:H)</f>
        <v>Jun 2024</v>
      </c>
      <c r="T3635" t="str">
        <f>IF(Pipeline_tbl[[#This Row],[Closed_Date]]=0,"",(_xlfn.XLOOKUP(Pipeline_tbl[[#This Row],[Closed_Date]],Dim_Date!A:A,Dim_Date!H:H)))</f>
        <v>Jun 2024</v>
      </c>
      <c r="U3635">
        <f>IF(Pipeline_tbl[[#This Row],[Closed_Date]]=0,"",Pipeline_tbl[[#This Row],[Closed_Date]]-Pipeline_tbl[[#This Row],[Created_Date]])</f>
        <v>12</v>
      </c>
    </row>
    <row r="3636" spans="1:21" ht="15" customHeight="1" x14ac:dyDescent="0.2">
      <c r="A3636" t="s">
        <v>3942</v>
      </c>
      <c r="B3636" t="s">
        <v>207</v>
      </c>
      <c r="C3636" t="s">
        <v>52</v>
      </c>
      <c r="D3636" s="49">
        <v>45450</v>
      </c>
      <c r="E3636" s="49">
        <v>45452</v>
      </c>
      <c r="F3636" s="49">
        <v>45455</v>
      </c>
      <c r="G3636" s="49">
        <v>45460</v>
      </c>
      <c r="H3636" s="49">
        <v>45464</v>
      </c>
      <c r="I3636" s="49">
        <v>45467</v>
      </c>
      <c r="J3636" t="s">
        <v>47</v>
      </c>
      <c r="K3636" s="33">
        <v>4300</v>
      </c>
      <c r="M3636" t="str">
        <f>_xlfn.XLOOKUP(Pipeline_tbl[[#This Row],[Rep_ID]],Dim_Reps!A:A,Dim_Reps!K:K)</f>
        <v>EUR</v>
      </c>
      <c r="N3636" s="33">
        <f>(_xlfn.XLOOKUP(Pipeline_tbl[[#This Row],[Rate_Code_Generalized]],Lookups!A:A,Lookups!B:B))*Pipeline_tbl[[#This Row],[Pipeline_Amount_USD]]</f>
        <v>4300</v>
      </c>
      <c r="O3636" t="str">
        <f>_xlfn.XLOOKUP(Pipeline_tbl[[#This Row],[Rep_ID]],Dim_Reps!A:A,Dim_Reps!B:B)</f>
        <v>Sam Castro</v>
      </c>
      <c r="P3636" t="str">
        <f>_xlfn.XLOOKUP(Pipeline_tbl[[#This Row],[Rep_ID]],Dim_Reps!A:A,Dim_Reps!C:C)</f>
        <v>SDR / Inside Sales Rep</v>
      </c>
      <c r="Q3636" t="str">
        <f>_xlfn.XLOOKUP(Pipeline_tbl[[#This Row],[Rep_ID]],Dim_Reps!A:A,Dim_Reps!D:D)</f>
        <v>Inside Sales</v>
      </c>
      <c r="R3636" t="str">
        <f>_xlfn.XLOOKUP(Pipeline_tbl[[#This Row],[Rep_ID]],Dim_Reps!A:A,Dim_Reps!E:E)</f>
        <v>APAC</v>
      </c>
      <c r="S3636" t="str">
        <f>_xlfn.XLOOKUP(Pipeline_tbl[[#This Row],[Created_Date]],Dim_Date!A:A,Dim_Date!H:H)</f>
        <v>Jun 2024</v>
      </c>
      <c r="T3636" t="str">
        <f>IF(Pipeline_tbl[[#This Row],[Closed_Date]]=0,"",(_xlfn.XLOOKUP(Pipeline_tbl[[#This Row],[Closed_Date]],Dim_Date!A:A,Dim_Date!H:H)))</f>
        <v>Jun 2024</v>
      </c>
      <c r="U3636">
        <f>IF(Pipeline_tbl[[#This Row],[Closed_Date]]=0,"",Pipeline_tbl[[#This Row],[Closed_Date]]-Pipeline_tbl[[#This Row],[Created_Date]])</f>
        <v>17</v>
      </c>
    </row>
    <row r="3637" spans="1:21" ht="15" customHeight="1" x14ac:dyDescent="0.2">
      <c r="A3637" t="s">
        <v>3943</v>
      </c>
      <c r="B3637" t="s">
        <v>207</v>
      </c>
      <c r="C3637" t="s">
        <v>52</v>
      </c>
      <c r="D3637" s="49">
        <v>45447</v>
      </c>
      <c r="E3637" s="49">
        <v>45448</v>
      </c>
      <c r="F3637" s="49">
        <v>45450</v>
      </c>
      <c r="G3637" s="49">
        <v>45453</v>
      </c>
      <c r="I3637" s="49">
        <v>45457</v>
      </c>
      <c r="J3637" t="s">
        <v>49</v>
      </c>
      <c r="K3637" s="33">
        <v>3500</v>
      </c>
      <c r="L3637" t="s">
        <v>60</v>
      </c>
      <c r="M3637" t="str">
        <f>_xlfn.XLOOKUP(Pipeline_tbl[[#This Row],[Rep_ID]],Dim_Reps!A:A,Dim_Reps!K:K)</f>
        <v>EUR</v>
      </c>
      <c r="N3637" s="33">
        <f>(_xlfn.XLOOKUP(Pipeline_tbl[[#This Row],[Rate_Code_Generalized]],Lookups!A:A,Lookups!B:B))*Pipeline_tbl[[#This Row],[Pipeline_Amount_USD]]</f>
        <v>3500</v>
      </c>
      <c r="O3637" t="str">
        <f>_xlfn.XLOOKUP(Pipeline_tbl[[#This Row],[Rep_ID]],Dim_Reps!A:A,Dim_Reps!B:B)</f>
        <v>Sam Castro</v>
      </c>
      <c r="P3637" t="str">
        <f>_xlfn.XLOOKUP(Pipeline_tbl[[#This Row],[Rep_ID]],Dim_Reps!A:A,Dim_Reps!C:C)</f>
        <v>SDR / Inside Sales Rep</v>
      </c>
      <c r="Q3637" t="str">
        <f>_xlfn.XLOOKUP(Pipeline_tbl[[#This Row],[Rep_ID]],Dim_Reps!A:A,Dim_Reps!D:D)</f>
        <v>Inside Sales</v>
      </c>
      <c r="R3637" t="str">
        <f>_xlfn.XLOOKUP(Pipeline_tbl[[#This Row],[Rep_ID]],Dim_Reps!A:A,Dim_Reps!E:E)</f>
        <v>APAC</v>
      </c>
      <c r="S3637" t="str">
        <f>_xlfn.XLOOKUP(Pipeline_tbl[[#This Row],[Created_Date]],Dim_Date!A:A,Dim_Date!H:H)</f>
        <v>Jun 2024</v>
      </c>
      <c r="T3637" t="str">
        <f>IF(Pipeline_tbl[[#This Row],[Closed_Date]]=0,"",(_xlfn.XLOOKUP(Pipeline_tbl[[#This Row],[Closed_Date]],Dim_Date!A:A,Dim_Date!H:H)))</f>
        <v>Jun 2024</v>
      </c>
      <c r="U3637">
        <f>IF(Pipeline_tbl[[#This Row],[Closed_Date]]=0,"",Pipeline_tbl[[#This Row],[Closed_Date]]-Pipeline_tbl[[#This Row],[Created_Date]])</f>
        <v>10</v>
      </c>
    </row>
    <row r="3638" spans="1:21" ht="15" customHeight="1" x14ac:dyDescent="0.2">
      <c r="A3638" t="s">
        <v>3944</v>
      </c>
      <c r="B3638" t="s">
        <v>211</v>
      </c>
      <c r="C3638" t="s">
        <v>54</v>
      </c>
      <c r="D3638" s="49">
        <v>45454</v>
      </c>
      <c r="E3638" s="49">
        <v>45456</v>
      </c>
      <c r="I3638" s="49">
        <v>45470</v>
      </c>
      <c r="J3638" t="s">
        <v>49</v>
      </c>
      <c r="K3638" s="33">
        <v>6800</v>
      </c>
      <c r="L3638" t="s">
        <v>60</v>
      </c>
      <c r="M3638" t="str">
        <f>_xlfn.XLOOKUP(Pipeline_tbl[[#This Row],[Rep_ID]],Dim_Reps!A:A,Dim_Reps!K:K)</f>
        <v>EUR</v>
      </c>
      <c r="N3638" s="33">
        <f>(_xlfn.XLOOKUP(Pipeline_tbl[[#This Row],[Rate_Code_Generalized]],Lookups!A:A,Lookups!B:B))*Pipeline_tbl[[#This Row],[Pipeline_Amount_USD]]</f>
        <v>6800</v>
      </c>
      <c r="O3638" t="str">
        <f>_xlfn.XLOOKUP(Pipeline_tbl[[#This Row],[Rep_ID]],Dim_Reps!A:A,Dim_Reps!B:B)</f>
        <v>Lea Weber</v>
      </c>
      <c r="P3638" t="str">
        <f>_xlfn.XLOOKUP(Pipeline_tbl[[#This Row],[Rep_ID]],Dim_Reps!A:A,Dim_Reps!C:C)</f>
        <v>SDR / Inside Sales Rep</v>
      </c>
      <c r="Q3638" t="str">
        <f>_xlfn.XLOOKUP(Pipeline_tbl[[#This Row],[Rep_ID]],Dim_Reps!A:A,Dim_Reps!D:D)</f>
        <v>Inside Sales</v>
      </c>
      <c r="R3638" t="str">
        <f>_xlfn.XLOOKUP(Pipeline_tbl[[#This Row],[Rep_ID]],Dim_Reps!A:A,Dim_Reps!E:E)</f>
        <v>EMEA</v>
      </c>
      <c r="S3638" t="str">
        <f>_xlfn.XLOOKUP(Pipeline_tbl[[#This Row],[Created_Date]],Dim_Date!A:A,Dim_Date!H:H)</f>
        <v>Jun 2024</v>
      </c>
      <c r="T3638" t="str">
        <f>IF(Pipeline_tbl[[#This Row],[Closed_Date]]=0,"",(_xlfn.XLOOKUP(Pipeline_tbl[[#This Row],[Closed_Date]],Dim_Date!A:A,Dim_Date!H:H)))</f>
        <v>Jun 2024</v>
      </c>
      <c r="U3638">
        <f>IF(Pipeline_tbl[[#This Row],[Closed_Date]]=0,"",Pipeline_tbl[[#This Row],[Closed_Date]]-Pipeline_tbl[[#This Row],[Created_Date]])</f>
        <v>16</v>
      </c>
    </row>
    <row r="3639" spans="1:21" ht="15" customHeight="1" x14ac:dyDescent="0.2">
      <c r="A3639" t="s">
        <v>3945</v>
      </c>
      <c r="B3639" t="s">
        <v>211</v>
      </c>
      <c r="C3639" t="s">
        <v>53</v>
      </c>
      <c r="D3639" s="49">
        <v>45459</v>
      </c>
      <c r="E3639" s="49">
        <v>45460</v>
      </c>
      <c r="F3639" s="49">
        <v>45463</v>
      </c>
      <c r="G3639" s="49">
        <v>45467</v>
      </c>
      <c r="H3639" s="49">
        <v>45470</v>
      </c>
      <c r="I3639" s="49">
        <v>45472</v>
      </c>
      <c r="J3639" t="s">
        <v>47</v>
      </c>
      <c r="K3639" s="33">
        <v>1800</v>
      </c>
      <c r="M3639" t="str">
        <f>_xlfn.XLOOKUP(Pipeline_tbl[[#This Row],[Rep_ID]],Dim_Reps!A:A,Dim_Reps!K:K)</f>
        <v>EUR</v>
      </c>
      <c r="N3639" s="33">
        <f>(_xlfn.XLOOKUP(Pipeline_tbl[[#This Row],[Rate_Code_Generalized]],Lookups!A:A,Lookups!B:B))*Pipeline_tbl[[#This Row],[Pipeline_Amount_USD]]</f>
        <v>1800</v>
      </c>
      <c r="O3639" t="str">
        <f>_xlfn.XLOOKUP(Pipeline_tbl[[#This Row],[Rep_ID]],Dim_Reps!A:A,Dim_Reps!B:B)</f>
        <v>Lea Weber</v>
      </c>
      <c r="P3639" t="str">
        <f>_xlfn.XLOOKUP(Pipeline_tbl[[#This Row],[Rep_ID]],Dim_Reps!A:A,Dim_Reps!C:C)</f>
        <v>SDR / Inside Sales Rep</v>
      </c>
      <c r="Q3639" t="str">
        <f>_xlfn.XLOOKUP(Pipeline_tbl[[#This Row],[Rep_ID]],Dim_Reps!A:A,Dim_Reps!D:D)</f>
        <v>Inside Sales</v>
      </c>
      <c r="R3639" t="str">
        <f>_xlfn.XLOOKUP(Pipeline_tbl[[#This Row],[Rep_ID]],Dim_Reps!A:A,Dim_Reps!E:E)</f>
        <v>EMEA</v>
      </c>
      <c r="S3639" t="str">
        <f>_xlfn.XLOOKUP(Pipeline_tbl[[#This Row],[Created_Date]],Dim_Date!A:A,Dim_Date!H:H)</f>
        <v>Jun 2024</v>
      </c>
      <c r="T3639" t="str">
        <f>IF(Pipeline_tbl[[#This Row],[Closed_Date]]=0,"",(_xlfn.XLOOKUP(Pipeline_tbl[[#This Row],[Closed_Date]],Dim_Date!A:A,Dim_Date!H:H)))</f>
        <v>Jun 2024</v>
      </c>
      <c r="U3639">
        <f>IF(Pipeline_tbl[[#This Row],[Closed_Date]]=0,"",Pipeline_tbl[[#This Row],[Closed_Date]]-Pipeline_tbl[[#This Row],[Created_Date]])</f>
        <v>13</v>
      </c>
    </row>
    <row r="3640" spans="1:21" ht="15" customHeight="1" x14ac:dyDescent="0.2">
      <c r="A3640" t="s">
        <v>3946</v>
      </c>
      <c r="B3640" t="s">
        <v>211</v>
      </c>
      <c r="C3640" t="s">
        <v>52</v>
      </c>
      <c r="D3640" s="49">
        <v>45450</v>
      </c>
      <c r="E3640" s="49">
        <v>45451</v>
      </c>
      <c r="F3640" s="49">
        <v>45454</v>
      </c>
      <c r="G3640" s="49">
        <v>45457</v>
      </c>
      <c r="H3640" s="49">
        <v>45460</v>
      </c>
      <c r="I3640" s="49">
        <v>45462</v>
      </c>
      <c r="J3640" t="s">
        <v>49</v>
      </c>
      <c r="K3640" s="33">
        <v>2500</v>
      </c>
      <c r="L3640" t="s">
        <v>61</v>
      </c>
      <c r="M3640" t="str">
        <f>_xlfn.XLOOKUP(Pipeline_tbl[[#This Row],[Rep_ID]],Dim_Reps!A:A,Dim_Reps!K:K)</f>
        <v>EUR</v>
      </c>
      <c r="N3640" s="33">
        <f>(_xlfn.XLOOKUP(Pipeline_tbl[[#This Row],[Rate_Code_Generalized]],Lookups!A:A,Lookups!B:B))*Pipeline_tbl[[#This Row],[Pipeline_Amount_USD]]</f>
        <v>2500</v>
      </c>
      <c r="O3640" t="str">
        <f>_xlfn.XLOOKUP(Pipeline_tbl[[#This Row],[Rep_ID]],Dim_Reps!A:A,Dim_Reps!B:B)</f>
        <v>Lea Weber</v>
      </c>
      <c r="P3640" t="str">
        <f>_xlfn.XLOOKUP(Pipeline_tbl[[#This Row],[Rep_ID]],Dim_Reps!A:A,Dim_Reps!C:C)</f>
        <v>SDR / Inside Sales Rep</v>
      </c>
      <c r="Q3640" t="str">
        <f>_xlfn.XLOOKUP(Pipeline_tbl[[#This Row],[Rep_ID]],Dim_Reps!A:A,Dim_Reps!D:D)</f>
        <v>Inside Sales</v>
      </c>
      <c r="R3640" t="str">
        <f>_xlfn.XLOOKUP(Pipeline_tbl[[#This Row],[Rep_ID]],Dim_Reps!A:A,Dim_Reps!E:E)</f>
        <v>EMEA</v>
      </c>
      <c r="S3640" t="str">
        <f>_xlfn.XLOOKUP(Pipeline_tbl[[#This Row],[Created_Date]],Dim_Date!A:A,Dim_Date!H:H)</f>
        <v>Jun 2024</v>
      </c>
      <c r="T3640" t="str">
        <f>IF(Pipeline_tbl[[#This Row],[Closed_Date]]=0,"",(_xlfn.XLOOKUP(Pipeline_tbl[[#This Row],[Closed_Date]],Dim_Date!A:A,Dim_Date!H:H)))</f>
        <v>Jun 2024</v>
      </c>
      <c r="U3640">
        <f>IF(Pipeline_tbl[[#This Row],[Closed_Date]]=0,"",Pipeline_tbl[[#This Row],[Closed_Date]]-Pipeline_tbl[[#This Row],[Created_Date]])</f>
        <v>12</v>
      </c>
    </row>
    <row r="3641" spans="1:21" ht="15" customHeight="1" x14ac:dyDescent="0.2">
      <c r="A3641" t="s">
        <v>3947</v>
      </c>
      <c r="B3641" t="s">
        <v>211</v>
      </c>
      <c r="C3641" t="s">
        <v>52</v>
      </c>
      <c r="D3641" s="49">
        <v>45451</v>
      </c>
      <c r="E3641" s="49">
        <v>45453</v>
      </c>
      <c r="F3641" s="49">
        <v>45456</v>
      </c>
      <c r="G3641" s="49">
        <v>45460</v>
      </c>
      <c r="H3641" s="49">
        <v>45464</v>
      </c>
      <c r="I3641" s="49">
        <v>45466</v>
      </c>
      <c r="J3641" t="s">
        <v>47</v>
      </c>
      <c r="K3641" s="33">
        <v>1400</v>
      </c>
      <c r="M3641" t="str">
        <f>_xlfn.XLOOKUP(Pipeline_tbl[[#This Row],[Rep_ID]],Dim_Reps!A:A,Dim_Reps!K:K)</f>
        <v>EUR</v>
      </c>
      <c r="N3641" s="33">
        <f>(_xlfn.XLOOKUP(Pipeline_tbl[[#This Row],[Rate_Code_Generalized]],Lookups!A:A,Lookups!B:B))*Pipeline_tbl[[#This Row],[Pipeline_Amount_USD]]</f>
        <v>1400</v>
      </c>
      <c r="O3641" t="str">
        <f>_xlfn.XLOOKUP(Pipeline_tbl[[#This Row],[Rep_ID]],Dim_Reps!A:A,Dim_Reps!B:B)</f>
        <v>Lea Weber</v>
      </c>
      <c r="P3641" t="str">
        <f>_xlfn.XLOOKUP(Pipeline_tbl[[#This Row],[Rep_ID]],Dim_Reps!A:A,Dim_Reps!C:C)</f>
        <v>SDR / Inside Sales Rep</v>
      </c>
      <c r="Q3641" t="str">
        <f>_xlfn.XLOOKUP(Pipeline_tbl[[#This Row],[Rep_ID]],Dim_Reps!A:A,Dim_Reps!D:D)</f>
        <v>Inside Sales</v>
      </c>
      <c r="R3641" t="str">
        <f>_xlfn.XLOOKUP(Pipeline_tbl[[#This Row],[Rep_ID]],Dim_Reps!A:A,Dim_Reps!E:E)</f>
        <v>EMEA</v>
      </c>
      <c r="S3641" t="str">
        <f>_xlfn.XLOOKUP(Pipeline_tbl[[#This Row],[Created_Date]],Dim_Date!A:A,Dim_Date!H:H)</f>
        <v>Jun 2024</v>
      </c>
      <c r="T3641" t="str">
        <f>IF(Pipeline_tbl[[#This Row],[Closed_Date]]=0,"",(_xlfn.XLOOKUP(Pipeline_tbl[[#This Row],[Closed_Date]],Dim_Date!A:A,Dim_Date!H:H)))</f>
        <v>Jun 2024</v>
      </c>
      <c r="U3641">
        <f>IF(Pipeline_tbl[[#This Row],[Closed_Date]]=0,"",Pipeline_tbl[[#This Row],[Closed_Date]]-Pipeline_tbl[[#This Row],[Created_Date]])</f>
        <v>15</v>
      </c>
    </row>
    <row r="3642" spans="1:21" ht="15" customHeight="1" x14ac:dyDescent="0.2">
      <c r="A3642" t="s">
        <v>3948</v>
      </c>
      <c r="B3642" t="s">
        <v>211</v>
      </c>
      <c r="C3642" t="s">
        <v>52</v>
      </c>
      <c r="D3642" s="49">
        <v>45448</v>
      </c>
      <c r="E3642" s="49">
        <v>45450</v>
      </c>
      <c r="F3642" s="49">
        <v>45453</v>
      </c>
      <c r="G3642" s="49">
        <v>45458</v>
      </c>
      <c r="H3642" s="49">
        <v>45462</v>
      </c>
      <c r="I3642" s="49">
        <v>45464</v>
      </c>
      <c r="J3642" t="s">
        <v>47</v>
      </c>
      <c r="K3642" s="33">
        <v>2000</v>
      </c>
      <c r="M3642" t="str">
        <f>_xlfn.XLOOKUP(Pipeline_tbl[[#This Row],[Rep_ID]],Dim_Reps!A:A,Dim_Reps!K:K)</f>
        <v>EUR</v>
      </c>
      <c r="N3642" s="33">
        <f>(_xlfn.XLOOKUP(Pipeline_tbl[[#This Row],[Rate_Code_Generalized]],Lookups!A:A,Lookups!B:B))*Pipeline_tbl[[#This Row],[Pipeline_Amount_USD]]</f>
        <v>2000</v>
      </c>
      <c r="O3642" t="str">
        <f>_xlfn.XLOOKUP(Pipeline_tbl[[#This Row],[Rep_ID]],Dim_Reps!A:A,Dim_Reps!B:B)</f>
        <v>Lea Weber</v>
      </c>
      <c r="P3642" t="str">
        <f>_xlfn.XLOOKUP(Pipeline_tbl[[#This Row],[Rep_ID]],Dim_Reps!A:A,Dim_Reps!C:C)</f>
        <v>SDR / Inside Sales Rep</v>
      </c>
      <c r="Q3642" t="str">
        <f>_xlfn.XLOOKUP(Pipeline_tbl[[#This Row],[Rep_ID]],Dim_Reps!A:A,Dim_Reps!D:D)</f>
        <v>Inside Sales</v>
      </c>
      <c r="R3642" t="str">
        <f>_xlfn.XLOOKUP(Pipeline_tbl[[#This Row],[Rep_ID]],Dim_Reps!A:A,Dim_Reps!E:E)</f>
        <v>EMEA</v>
      </c>
      <c r="S3642" t="str">
        <f>_xlfn.XLOOKUP(Pipeline_tbl[[#This Row],[Created_Date]],Dim_Date!A:A,Dim_Date!H:H)</f>
        <v>Jun 2024</v>
      </c>
      <c r="T3642" t="str">
        <f>IF(Pipeline_tbl[[#This Row],[Closed_Date]]=0,"",(_xlfn.XLOOKUP(Pipeline_tbl[[#This Row],[Closed_Date]],Dim_Date!A:A,Dim_Date!H:H)))</f>
        <v>Jun 2024</v>
      </c>
      <c r="U3642">
        <f>IF(Pipeline_tbl[[#This Row],[Closed_Date]]=0,"",Pipeline_tbl[[#This Row],[Closed_Date]]-Pipeline_tbl[[#This Row],[Created_Date]])</f>
        <v>16</v>
      </c>
    </row>
    <row r="3643" spans="1:21" ht="15" customHeight="1" x14ac:dyDescent="0.2">
      <c r="A3643" t="s">
        <v>3949</v>
      </c>
      <c r="B3643" t="s">
        <v>211</v>
      </c>
      <c r="C3643" t="s">
        <v>52</v>
      </c>
      <c r="D3643" s="49">
        <v>45448</v>
      </c>
      <c r="E3643" s="49">
        <v>45450</v>
      </c>
      <c r="F3643" s="49">
        <v>45453</v>
      </c>
      <c r="G3643" s="49">
        <v>45458</v>
      </c>
      <c r="H3643" s="49">
        <v>45462</v>
      </c>
      <c r="I3643" s="49">
        <v>45464</v>
      </c>
      <c r="J3643" t="s">
        <v>47</v>
      </c>
      <c r="K3643" s="33">
        <v>1600</v>
      </c>
      <c r="M3643" t="str">
        <f>_xlfn.XLOOKUP(Pipeline_tbl[[#This Row],[Rep_ID]],Dim_Reps!A:A,Dim_Reps!K:K)</f>
        <v>EUR</v>
      </c>
      <c r="N3643" s="33">
        <f>(_xlfn.XLOOKUP(Pipeline_tbl[[#This Row],[Rate_Code_Generalized]],Lookups!A:A,Lookups!B:B))*Pipeline_tbl[[#This Row],[Pipeline_Amount_USD]]</f>
        <v>1600</v>
      </c>
      <c r="O3643" t="str">
        <f>_xlfn.XLOOKUP(Pipeline_tbl[[#This Row],[Rep_ID]],Dim_Reps!A:A,Dim_Reps!B:B)</f>
        <v>Lea Weber</v>
      </c>
      <c r="P3643" t="str">
        <f>_xlfn.XLOOKUP(Pipeline_tbl[[#This Row],[Rep_ID]],Dim_Reps!A:A,Dim_Reps!C:C)</f>
        <v>SDR / Inside Sales Rep</v>
      </c>
      <c r="Q3643" t="str">
        <f>_xlfn.XLOOKUP(Pipeline_tbl[[#This Row],[Rep_ID]],Dim_Reps!A:A,Dim_Reps!D:D)</f>
        <v>Inside Sales</v>
      </c>
      <c r="R3643" t="str">
        <f>_xlfn.XLOOKUP(Pipeline_tbl[[#This Row],[Rep_ID]],Dim_Reps!A:A,Dim_Reps!E:E)</f>
        <v>EMEA</v>
      </c>
      <c r="S3643" t="str">
        <f>_xlfn.XLOOKUP(Pipeline_tbl[[#This Row],[Created_Date]],Dim_Date!A:A,Dim_Date!H:H)</f>
        <v>Jun 2024</v>
      </c>
      <c r="T3643" t="str">
        <f>IF(Pipeline_tbl[[#This Row],[Closed_Date]]=0,"",(_xlfn.XLOOKUP(Pipeline_tbl[[#This Row],[Closed_Date]],Dim_Date!A:A,Dim_Date!H:H)))</f>
        <v>Jun 2024</v>
      </c>
      <c r="U3643">
        <f>IF(Pipeline_tbl[[#This Row],[Closed_Date]]=0,"",Pipeline_tbl[[#This Row],[Closed_Date]]-Pipeline_tbl[[#This Row],[Created_Date]])</f>
        <v>16</v>
      </c>
    </row>
    <row r="3644" spans="1:21" ht="15" customHeight="1" x14ac:dyDescent="0.2">
      <c r="A3644" t="s">
        <v>3950</v>
      </c>
      <c r="B3644" t="s">
        <v>215</v>
      </c>
      <c r="C3644" t="s">
        <v>55</v>
      </c>
      <c r="D3644" s="49">
        <v>45459</v>
      </c>
      <c r="E3644" s="49">
        <v>45460</v>
      </c>
      <c r="F3644" s="49">
        <v>45463</v>
      </c>
      <c r="G3644" s="49">
        <v>45467</v>
      </c>
      <c r="H3644" s="49">
        <v>45471</v>
      </c>
      <c r="I3644" s="49">
        <v>45473</v>
      </c>
      <c r="J3644" t="s">
        <v>49</v>
      </c>
      <c r="K3644" s="33">
        <v>4500</v>
      </c>
      <c r="L3644" t="s">
        <v>62</v>
      </c>
      <c r="M3644" t="str">
        <f>_xlfn.XLOOKUP(Pipeline_tbl[[#This Row],[Rep_ID]],Dim_Reps!A:A,Dim_Reps!K:K)</f>
        <v>EUR</v>
      </c>
      <c r="N3644" s="33">
        <f>(_xlfn.XLOOKUP(Pipeline_tbl[[#This Row],[Rate_Code_Generalized]],Lookups!A:A,Lookups!B:B))*Pipeline_tbl[[#This Row],[Pipeline_Amount_USD]]</f>
        <v>4500</v>
      </c>
      <c r="O3644" t="str">
        <f>_xlfn.XLOOKUP(Pipeline_tbl[[#This Row],[Rep_ID]],Dim_Reps!A:A,Dim_Reps!B:B)</f>
        <v>Jamie Schmidt</v>
      </c>
      <c r="P3644" t="str">
        <f>_xlfn.XLOOKUP(Pipeline_tbl[[#This Row],[Rep_ID]],Dim_Reps!A:A,Dim_Reps!C:C)</f>
        <v>SDR / Inside Sales Rep</v>
      </c>
      <c r="Q3644" t="str">
        <f>_xlfn.XLOOKUP(Pipeline_tbl[[#This Row],[Rep_ID]],Dim_Reps!A:A,Dim_Reps!D:D)</f>
        <v>Inside Sales</v>
      </c>
      <c r="R3644" t="str">
        <f>_xlfn.XLOOKUP(Pipeline_tbl[[#This Row],[Rep_ID]],Dim_Reps!A:A,Dim_Reps!E:E)</f>
        <v>APAC</v>
      </c>
      <c r="S3644" t="str">
        <f>_xlfn.XLOOKUP(Pipeline_tbl[[#This Row],[Created_Date]],Dim_Date!A:A,Dim_Date!H:H)</f>
        <v>Jun 2024</v>
      </c>
      <c r="T3644" t="str">
        <f>IF(Pipeline_tbl[[#This Row],[Closed_Date]]=0,"",(_xlfn.XLOOKUP(Pipeline_tbl[[#This Row],[Closed_Date]],Dim_Date!A:A,Dim_Date!H:H)))</f>
        <v>Jun 2024</v>
      </c>
      <c r="U3644">
        <f>IF(Pipeline_tbl[[#This Row],[Closed_Date]]=0,"",Pipeline_tbl[[#This Row],[Closed_Date]]-Pipeline_tbl[[#This Row],[Created_Date]])</f>
        <v>14</v>
      </c>
    </row>
    <row r="3645" spans="1:21" ht="15" customHeight="1" x14ac:dyDescent="0.2">
      <c r="A3645" t="s">
        <v>3951</v>
      </c>
      <c r="B3645" t="s">
        <v>215</v>
      </c>
      <c r="C3645" t="s">
        <v>52</v>
      </c>
      <c r="D3645" s="49">
        <v>45446</v>
      </c>
      <c r="E3645" s="49">
        <v>45448</v>
      </c>
      <c r="F3645" s="49">
        <v>45451</v>
      </c>
      <c r="I3645" s="49">
        <v>45463</v>
      </c>
      <c r="J3645" t="s">
        <v>49</v>
      </c>
      <c r="K3645" s="33">
        <v>1700</v>
      </c>
      <c r="L3645" t="s">
        <v>60</v>
      </c>
      <c r="M3645" t="str">
        <f>_xlfn.XLOOKUP(Pipeline_tbl[[#This Row],[Rep_ID]],Dim_Reps!A:A,Dim_Reps!K:K)</f>
        <v>EUR</v>
      </c>
      <c r="N3645" s="33">
        <f>(_xlfn.XLOOKUP(Pipeline_tbl[[#This Row],[Rate_Code_Generalized]],Lookups!A:A,Lookups!B:B))*Pipeline_tbl[[#This Row],[Pipeline_Amount_USD]]</f>
        <v>1700</v>
      </c>
      <c r="O3645" t="str">
        <f>_xlfn.XLOOKUP(Pipeline_tbl[[#This Row],[Rep_ID]],Dim_Reps!A:A,Dim_Reps!B:B)</f>
        <v>Jamie Schmidt</v>
      </c>
      <c r="P3645" t="str">
        <f>_xlfn.XLOOKUP(Pipeline_tbl[[#This Row],[Rep_ID]],Dim_Reps!A:A,Dim_Reps!C:C)</f>
        <v>SDR / Inside Sales Rep</v>
      </c>
      <c r="Q3645" t="str">
        <f>_xlfn.XLOOKUP(Pipeline_tbl[[#This Row],[Rep_ID]],Dim_Reps!A:A,Dim_Reps!D:D)</f>
        <v>Inside Sales</v>
      </c>
      <c r="R3645" t="str">
        <f>_xlfn.XLOOKUP(Pipeline_tbl[[#This Row],[Rep_ID]],Dim_Reps!A:A,Dim_Reps!E:E)</f>
        <v>APAC</v>
      </c>
      <c r="S3645" t="str">
        <f>_xlfn.XLOOKUP(Pipeline_tbl[[#This Row],[Created_Date]],Dim_Date!A:A,Dim_Date!H:H)</f>
        <v>Jun 2024</v>
      </c>
      <c r="T3645" t="str">
        <f>IF(Pipeline_tbl[[#This Row],[Closed_Date]]=0,"",(_xlfn.XLOOKUP(Pipeline_tbl[[#This Row],[Closed_Date]],Dim_Date!A:A,Dim_Date!H:H)))</f>
        <v>Jun 2024</v>
      </c>
      <c r="U3645">
        <f>IF(Pipeline_tbl[[#This Row],[Closed_Date]]=0,"",Pipeline_tbl[[#This Row],[Closed_Date]]-Pipeline_tbl[[#This Row],[Created_Date]])</f>
        <v>17</v>
      </c>
    </row>
    <row r="3646" spans="1:21" ht="15" customHeight="1" x14ac:dyDescent="0.2">
      <c r="A3646" t="s">
        <v>3952</v>
      </c>
      <c r="B3646" t="s">
        <v>215</v>
      </c>
      <c r="C3646" t="s">
        <v>52</v>
      </c>
      <c r="D3646" s="49">
        <v>45448</v>
      </c>
      <c r="E3646" s="49">
        <v>45450</v>
      </c>
      <c r="F3646" s="49">
        <v>45455</v>
      </c>
      <c r="G3646" s="49">
        <v>45461</v>
      </c>
      <c r="I3646" s="49">
        <v>45470</v>
      </c>
      <c r="J3646" t="s">
        <v>49</v>
      </c>
      <c r="K3646" s="33">
        <v>3600</v>
      </c>
      <c r="L3646" t="s">
        <v>61</v>
      </c>
      <c r="M3646" t="str">
        <f>_xlfn.XLOOKUP(Pipeline_tbl[[#This Row],[Rep_ID]],Dim_Reps!A:A,Dim_Reps!K:K)</f>
        <v>EUR</v>
      </c>
      <c r="N3646" s="33">
        <f>(_xlfn.XLOOKUP(Pipeline_tbl[[#This Row],[Rate_Code_Generalized]],Lookups!A:A,Lookups!B:B))*Pipeline_tbl[[#This Row],[Pipeline_Amount_USD]]</f>
        <v>3600</v>
      </c>
      <c r="O3646" t="str">
        <f>_xlfn.XLOOKUP(Pipeline_tbl[[#This Row],[Rep_ID]],Dim_Reps!A:A,Dim_Reps!B:B)</f>
        <v>Jamie Schmidt</v>
      </c>
      <c r="P3646" t="str">
        <f>_xlfn.XLOOKUP(Pipeline_tbl[[#This Row],[Rep_ID]],Dim_Reps!A:A,Dim_Reps!C:C)</f>
        <v>SDR / Inside Sales Rep</v>
      </c>
      <c r="Q3646" t="str">
        <f>_xlfn.XLOOKUP(Pipeline_tbl[[#This Row],[Rep_ID]],Dim_Reps!A:A,Dim_Reps!D:D)</f>
        <v>Inside Sales</v>
      </c>
      <c r="R3646" t="str">
        <f>_xlfn.XLOOKUP(Pipeline_tbl[[#This Row],[Rep_ID]],Dim_Reps!A:A,Dim_Reps!E:E)</f>
        <v>APAC</v>
      </c>
      <c r="S3646" t="str">
        <f>_xlfn.XLOOKUP(Pipeline_tbl[[#This Row],[Created_Date]],Dim_Date!A:A,Dim_Date!H:H)</f>
        <v>Jun 2024</v>
      </c>
      <c r="T3646" t="str">
        <f>IF(Pipeline_tbl[[#This Row],[Closed_Date]]=0,"",(_xlfn.XLOOKUP(Pipeline_tbl[[#This Row],[Closed_Date]],Dim_Date!A:A,Dim_Date!H:H)))</f>
        <v>Jun 2024</v>
      </c>
      <c r="U3646">
        <f>IF(Pipeline_tbl[[#This Row],[Closed_Date]]=0,"",Pipeline_tbl[[#This Row],[Closed_Date]]-Pipeline_tbl[[#This Row],[Created_Date]])</f>
        <v>22</v>
      </c>
    </row>
    <row r="3647" spans="1:21" ht="15" customHeight="1" x14ac:dyDescent="0.2">
      <c r="A3647" t="s">
        <v>3953</v>
      </c>
      <c r="B3647" t="s">
        <v>215</v>
      </c>
      <c r="C3647" t="s">
        <v>56</v>
      </c>
      <c r="D3647" s="49">
        <v>45454</v>
      </c>
      <c r="E3647" s="49">
        <v>45455</v>
      </c>
      <c r="I3647" s="49">
        <v>45467</v>
      </c>
      <c r="J3647" t="s">
        <v>49</v>
      </c>
      <c r="K3647" s="33">
        <v>2700</v>
      </c>
      <c r="L3647" t="s">
        <v>61</v>
      </c>
      <c r="M3647" t="str">
        <f>_xlfn.XLOOKUP(Pipeline_tbl[[#This Row],[Rep_ID]],Dim_Reps!A:A,Dim_Reps!K:K)</f>
        <v>EUR</v>
      </c>
      <c r="N3647" s="33">
        <f>(_xlfn.XLOOKUP(Pipeline_tbl[[#This Row],[Rate_Code_Generalized]],Lookups!A:A,Lookups!B:B))*Pipeline_tbl[[#This Row],[Pipeline_Amount_USD]]</f>
        <v>2700</v>
      </c>
      <c r="O3647" t="str">
        <f>_xlfn.XLOOKUP(Pipeline_tbl[[#This Row],[Rep_ID]],Dim_Reps!A:A,Dim_Reps!B:B)</f>
        <v>Jamie Schmidt</v>
      </c>
      <c r="P3647" t="str">
        <f>_xlfn.XLOOKUP(Pipeline_tbl[[#This Row],[Rep_ID]],Dim_Reps!A:A,Dim_Reps!C:C)</f>
        <v>SDR / Inside Sales Rep</v>
      </c>
      <c r="Q3647" t="str">
        <f>_xlfn.XLOOKUP(Pipeline_tbl[[#This Row],[Rep_ID]],Dim_Reps!A:A,Dim_Reps!D:D)</f>
        <v>Inside Sales</v>
      </c>
      <c r="R3647" t="str">
        <f>_xlfn.XLOOKUP(Pipeline_tbl[[#This Row],[Rep_ID]],Dim_Reps!A:A,Dim_Reps!E:E)</f>
        <v>APAC</v>
      </c>
      <c r="S3647" t="str">
        <f>_xlfn.XLOOKUP(Pipeline_tbl[[#This Row],[Created_Date]],Dim_Date!A:A,Dim_Date!H:H)</f>
        <v>Jun 2024</v>
      </c>
      <c r="T3647" t="str">
        <f>IF(Pipeline_tbl[[#This Row],[Closed_Date]]=0,"",(_xlfn.XLOOKUP(Pipeline_tbl[[#This Row],[Closed_Date]],Dim_Date!A:A,Dim_Date!H:H)))</f>
        <v>Jun 2024</v>
      </c>
      <c r="U3647">
        <f>IF(Pipeline_tbl[[#This Row],[Closed_Date]]=0,"",Pipeline_tbl[[#This Row],[Closed_Date]]-Pipeline_tbl[[#This Row],[Created_Date]])</f>
        <v>13</v>
      </c>
    </row>
    <row r="3648" spans="1:21" ht="15" customHeight="1" x14ac:dyDescent="0.2">
      <c r="A3648" t="s">
        <v>3954</v>
      </c>
      <c r="B3648" t="s">
        <v>217</v>
      </c>
      <c r="C3648" t="s">
        <v>54</v>
      </c>
      <c r="D3648" s="49">
        <v>45448</v>
      </c>
      <c r="E3648" s="49">
        <v>45449</v>
      </c>
      <c r="F3648" s="49">
        <v>45451</v>
      </c>
      <c r="G3648" s="49">
        <v>45455</v>
      </c>
      <c r="H3648" s="49">
        <v>45457</v>
      </c>
      <c r="I3648" s="49">
        <v>45459</v>
      </c>
      <c r="J3648" t="s">
        <v>47</v>
      </c>
      <c r="K3648" s="33">
        <v>7700</v>
      </c>
      <c r="M3648" t="str">
        <f>_xlfn.XLOOKUP(Pipeline_tbl[[#This Row],[Rep_ID]],Dim_Reps!A:A,Dim_Reps!K:K)</f>
        <v>USD</v>
      </c>
      <c r="N3648" s="33">
        <f>(_xlfn.XLOOKUP(Pipeline_tbl[[#This Row],[Rate_Code_Generalized]],Lookups!A:A,Lookups!B:B))*Pipeline_tbl[[#This Row],[Pipeline_Amount_USD]]</f>
        <v>8965.1099999999988</v>
      </c>
      <c r="O3648" t="str">
        <f>_xlfn.XLOOKUP(Pipeline_tbl[[#This Row],[Rep_ID]],Dim_Reps!A:A,Dim_Reps!B:B)</f>
        <v>Priya Weber</v>
      </c>
      <c r="P3648" t="str">
        <f>_xlfn.XLOOKUP(Pipeline_tbl[[#This Row],[Rep_ID]],Dim_Reps!A:A,Dim_Reps!C:C)</f>
        <v>SDR / Inside Sales Rep</v>
      </c>
      <c r="Q3648" t="str">
        <f>_xlfn.XLOOKUP(Pipeline_tbl[[#This Row],[Rep_ID]],Dim_Reps!A:A,Dim_Reps!D:D)</f>
        <v>Inside Sales</v>
      </c>
      <c r="R3648" t="str">
        <f>_xlfn.XLOOKUP(Pipeline_tbl[[#This Row],[Rep_ID]],Dim_Reps!A:A,Dim_Reps!E:E)</f>
        <v>NAMER</v>
      </c>
      <c r="S3648" t="str">
        <f>_xlfn.XLOOKUP(Pipeline_tbl[[#This Row],[Created_Date]],Dim_Date!A:A,Dim_Date!H:H)</f>
        <v>Jun 2024</v>
      </c>
      <c r="T3648" t="str">
        <f>IF(Pipeline_tbl[[#This Row],[Closed_Date]]=0,"",(_xlfn.XLOOKUP(Pipeline_tbl[[#This Row],[Closed_Date]],Dim_Date!A:A,Dim_Date!H:H)))</f>
        <v>Jun 2024</v>
      </c>
      <c r="U3648">
        <f>IF(Pipeline_tbl[[#This Row],[Closed_Date]]=0,"",Pipeline_tbl[[#This Row],[Closed_Date]]-Pipeline_tbl[[#This Row],[Created_Date]])</f>
        <v>11</v>
      </c>
    </row>
    <row r="3649" spans="1:21" ht="15" customHeight="1" x14ac:dyDescent="0.2">
      <c r="A3649" t="s">
        <v>3955</v>
      </c>
      <c r="B3649" t="s">
        <v>217</v>
      </c>
      <c r="C3649" t="s">
        <v>52</v>
      </c>
      <c r="D3649" s="49">
        <v>45463</v>
      </c>
      <c r="E3649" s="49">
        <v>45463</v>
      </c>
      <c r="F3649" s="49">
        <v>45465</v>
      </c>
      <c r="G3649" s="49">
        <v>45466</v>
      </c>
      <c r="I3649" s="49">
        <v>45468</v>
      </c>
      <c r="J3649" t="s">
        <v>49</v>
      </c>
      <c r="K3649" s="33">
        <v>3200</v>
      </c>
      <c r="L3649" t="s">
        <v>61</v>
      </c>
      <c r="M3649" t="str">
        <f>_xlfn.XLOOKUP(Pipeline_tbl[[#This Row],[Rep_ID]],Dim_Reps!A:A,Dim_Reps!K:K)</f>
        <v>USD</v>
      </c>
      <c r="N3649" s="33">
        <f>(_xlfn.XLOOKUP(Pipeline_tbl[[#This Row],[Rate_Code_Generalized]],Lookups!A:A,Lookups!B:B))*Pipeline_tbl[[#This Row],[Pipeline_Amount_USD]]</f>
        <v>3725.7599999999998</v>
      </c>
      <c r="O3649" t="str">
        <f>_xlfn.XLOOKUP(Pipeline_tbl[[#This Row],[Rep_ID]],Dim_Reps!A:A,Dim_Reps!B:B)</f>
        <v>Priya Weber</v>
      </c>
      <c r="P3649" t="str">
        <f>_xlfn.XLOOKUP(Pipeline_tbl[[#This Row],[Rep_ID]],Dim_Reps!A:A,Dim_Reps!C:C)</f>
        <v>SDR / Inside Sales Rep</v>
      </c>
      <c r="Q3649" t="str">
        <f>_xlfn.XLOOKUP(Pipeline_tbl[[#This Row],[Rep_ID]],Dim_Reps!A:A,Dim_Reps!D:D)</f>
        <v>Inside Sales</v>
      </c>
      <c r="R3649" t="str">
        <f>_xlfn.XLOOKUP(Pipeline_tbl[[#This Row],[Rep_ID]],Dim_Reps!A:A,Dim_Reps!E:E)</f>
        <v>NAMER</v>
      </c>
      <c r="S3649" t="str">
        <f>_xlfn.XLOOKUP(Pipeline_tbl[[#This Row],[Created_Date]],Dim_Date!A:A,Dim_Date!H:H)</f>
        <v>Jun 2024</v>
      </c>
      <c r="T3649" t="str">
        <f>IF(Pipeline_tbl[[#This Row],[Closed_Date]]=0,"",(_xlfn.XLOOKUP(Pipeline_tbl[[#This Row],[Closed_Date]],Dim_Date!A:A,Dim_Date!H:H)))</f>
        <v>Jun 2024</v>
      </c>
      <c r="U3649">
        <f>IF(Pipeline_tbl[[#This Row],[Closed_Date]]=0,"",Pipeline_tbl[[#This Row],[Closed_Date]]-Pipeline_tbl[[#This Row],[Created_Date]])</f>
        <v>5</v>
      </c>
    </row>
    <row r="3650" spans="1:21" ht="15" customHeight="1" x14ac:dyDescent="0.2">
      <c r="A3650" t="s">
        <v>3956</v>
      </c>
      <c r="B3650" t="s">
        <v>217</v>
      </c>
      <c r="C3650" t="s">
        <v>56</v>
      </c>
      <c r="D3650" s="49">
        <v>45456</v>
      </c>
      <c r="E3650" s="49">
        <v>45458</v>
      </c>
      <c r="F3650" s="49">
        <v>45461</v>
      </c>
      <c r="G3650" s="49">
        <v>45466</v>
      </c>
      <c r="H3650" s="49">
        <v>45470</v>
      </c>
      <c r="I3650" s="49">
        <v>45473</v>
      </c>
      <c r="J3650" t="s">
        <v>49</v>
      </c>
      <c r="K3650" s="33">
        <v>3000</v>
      </c>
      <c r="L3650" t="s">
        <v>63</v>
      </c>
      <c r="M3650" t="str">
        <f>_xlfn.XLOOKUP(Pipeline_tbl[[#This Row],[Rep_ID]],Dim_Reps!A:A,Dim_Reps!K:K)</f>
        <v>USD</v>
      </c>
      <c r="N3650" s="33">
        <f>(_xlfn.XLOOKUP(Pipeline_tbl[[#This Row],[Rate_Code_Generalized]],Lookups!A:A,Lookups!B:B))*Pipeline_tbl[[#This Row],[Pipeline_Amount_USD]]</f>
        <v>3492.8999999999996</v>
      </c>
      <c r="O3650" t="str">
        <f>_xlfn.XLOOKUP(Pipeline_tbl[[#This Row],[Rep_ID]],Dim_Reps!A:A,Dim_Reps!B:B)</f>
        <v>Priya Weber</v>
      </c>
      <c r="P3650" t="str">
        <f>_xlfn.XLOOKUP(Pipeline_tbl[[#This Row],[Rep_ID]],Dim_Reps!A:A,Dim_Reps!C:C)</f>
        <v>SDR / Inside Sales Rep</v>
      </c>
      <c r="Q3650" t="str">
        <f>_xlfn.XLOOKUP(Pipeline_tbl[[#This Row],[Rep_ID]],Dim_Reps!A:A,Dim_Reps!D:D)</f>
        <v>Inside Sales</v>
      </c>
      <c r="R3650" t="str">
        <f>_xlfn.XLOOKUP(Pipeline_tbl[[#This Row],[Rep_ID]],Dim_Reps!A:A,Dim_Reps!E:E)</f>
        <v>NAMER</v>
      </c>
      <c r="S3650" t="str">
        <f>_xlfn.XLOOKUP(Pipeline_tbl[[#This Row],[Created_Date]],Dim_Date!A:A,Dim_Date!H:H)</f>
        <v>Jun 2024</v>
      </c>
      <c r="T3650" t="str">
        <f>IF(Pipeline_tbl[[#This Row],[Closed_Date]]=0,"",(_xlfn.XLOOKUP(Pipeline_tbl[[#This Row],[Closed_Date]],Dim_Date!A:A,Dim_Date!H:H)))</f>
        <v>Jun 2024</v>
      </c>
      <c r="U3650">
        <f>IF(Pipeline_tbl[[#This Row],[Closed_Date]]=0,"",Pipeline_tbl[[#This Row],[Closed_Date]]-Pipeline_tbl[[#This Row],[Created_Date]])</f>
        <v>17</v>
      </c>
    </row>
    <row r="3651" spans="1:21" ht="15" customHeight="1" x14ac:dyDescent="0.2">
      <c r="A3651" t="s">
        <v>3957</v>
      </c>
      <c r="B3651" t="s">
        <v>217</v>
      </c>
      <c r="C3651" t="s">
        <v>53</v>
      </c>
      <c r="D3651" s="49">
        <v>45460</v>
      </c>
      <c r="E3651" s="49">
        <v>45461</v>
      </c>
      <c r="F3651" s="49">
        <v>45463</v>
      </c>
      <c r="G3651" s="49">
        <v>45465</v>
      </c>
      <c r="I3651" s="49">
        <v>45469</v>
      </c>
      <c r="J3651" t="s">
        <v>49</v>
      </c>
      <c r="K3651" s="33">
        <v>3200</v>
      </c>
      <c r="L3651" t="s">
        <v>64</v>
      </c>
      <c r="M3651" t="str">
        <f>_xlfn.XLOOKUP(Pipeline_tbl[[#This Row],[Rep_ID]],Dim_Reps!A:A,Dim_Reps!K:K)</f>
        <v>USD</v>
      </c>
      <c r="N3651" s="33">
        <f>(_xlfn.XLOOKUP(Pipeline_tbl[[#This Row],[Rate_Code_Generalized]],Lookups!A:A,Lookups!B:B))*Pipeline_tbl[[#This Row],[Pipeline_Amount_USD]]</f>
        <v>3725.7599999999998</v>
      </c>
      <c r="O3651" t="str">
        <f>_xlfn.XLOOKUP(Pipeline_tbl[[#This Row],[Rep_ID]],Dim_Reps!A:A,Dim_Reps!B:B)</f>
        <v>Priya Weber</v>
      </c>
      <c r="P3651" t="str">
        <f>_xlfn.XLOOKUP(Pipeline_tbl[[#This Row],[Rep_ID]],Dim_Reps!A:A,Dim_Reps!C:C)</f>
        <v>SDR / Inside Sales Rep</v>
      </c>
      <c r="Q3651" t="str">
        <f>_xlfn.XLOOKUP(Pipeline_tbl[[#This Row],[Rep_ID]],Dim_Reps!A:A,Dim_Reps!D:D)</f>
        <v>Inside Sales</v>
      </c>
      <c r="R3651" t="str">
        <f>_xlfn.XLOOKUP(Pipeline_tbl[[#This Row],[Rep_ID]],Dim_Reps!A:A,Dim_Reps!E:E)</f>
        <v>NAMER</v>
      </c>
      <c r="S3651" t="str">
        <f>_xlfn.XLOOKUP(Pipeline_tbl[[#This Row],[Created_Date]],Dim_Date!A:A,Dim_Date!H:H)</f>
        <v>Jun 2024</v>
      </c>
      <c r="T3651" t="str">
        <f>IF(Pipeline_tbl[[#This Row],[Closed_Date]]=0,"",(_xlfn.XLOOKUP(Pipeline_tbl[[#This Row],[Closed_Date]],Dim_Date!A:A,Dim_Date!H:H)))</f>
        <v>Jun 2024</v>
      </c>
      <c r="U3651">
        <f>IF(Pipeline_tbl[[#This Row],[Closed_Date]]=0,"",Pipeline_tbl[[#This Row],[Closed_Date]]-Pipeline_tbl[[#This Row],[Created_Date]])</f>
        <v>9</v>
      </c>
    </row>
    <row r="3652" spans="1:21" ht="15" customHeight="1" x14ac:dyDescent="0.2">
      <c r="A3652" t="s">
        <v>3958</v>
      </c>
      <c r="B3652" t="s">
        <v>217</v>
      </c>
      <c r="C3652" t="s">
        <v>54</v>
      </c>
      <c r="D3652" s="49">
        <v>45445</v>
      </c>
      <c r="E3652" s="49">
        <v>45447</v>
      </c>
      <c r="F3652" s="49">
        <v>45450</v>
      </c>
      <c r="G3652" s="49">
        <v>45455</v>
      </c>
      <c r="H3652" s="49">
        <v>45459</v>
      </c>
      <c r="I3652" s="49">
        <v>45462</v>
      </c>
      <c r="J3652" t="s">
        <v>49</v>
      </c>
      <c r="K3652" s="33">
        <v>1300</v>
      </c>
      <c r="L3652" t="s">
        <v>61</v>
      </c>
      <c r="M3652" t="str">
        <f>_xlfn.XLOOKUP(Pipeline_tbl[[#This Row],[Rep_ID]],Dim_Reps!A:A,Dim_Reps!K:K)</f>
        <v>USD</v>
      </c>
      <c r="N3652" s="33">
        <f>(_xlfn.XLOOKUP(Pipeline_tbl[[#This Row],[Rate_Code_Generalized]],Lookups!A:A,Lookups!B:B))*Pipeline_tbl[[#This Row],[Pipeline_Amount_USD]]</f>
        <v>1513.59</v>
      </c>
      <c r="O3652" t="str">
        <f>_xlfn.XLOOKUP(Pipeline_tbl[[#This Row],[Rep_ID]],Dim_Reps!A:A,Dim_Reps!B:B)</f>
        <v>Priya Weber</v>
      </c>
      <c r="P3652" t="str">
        <f>_xlfn.XLOOKUP(Pipeline_tbl[[#This Row],[Rep_ID]],Dim_Reps!A:A,Dim_Reps!C:C)</f>
        <v>SDR / Inside Sales Rep</v>
      </c>
      <c r="Q3652" t="str">
        <f>_xlfn.XLOOKUP(Pipeline_tbl[[#This Row],[Rep_ID]],Dim_Reps!A:A,Dim_Reps!D:D)</f>
        <v>Inside Sales</v>
      </c>
      <c r="R3652" t="str">
        <f>_xlfn.XLOOKUP(Pipeline_tbl[[#This Row],[Rep_ID]],Dim_Reps!A:A,Dim_Reps!E:E)</f>
        <v>NAMER</v>
      </c>
      <c r="S3652" t="str">
        <f>_xlfn.XLOOKUP(Pipeline_tbl[[#This Row],[Created_Date]],Dim_Date!A:A,Dim_Date!H:H)</f>
        <v>Jun 2024</v>
      </c>
      <c r="T3652" t="str">
        <f>IF(Pipeline_tbl[[#This Row],[Closed_Date]]=0,"",(_xlfn.XLOOKUP(Pipeline_tbl[[#This Row],[Closed_Date]],Dim_Date!A:A,Dim_Date!H:H)))</f>
        <v>Jun 2024</v>
      </c>
      <c r="U3652">
        <f>IF(Pipeline_tbl[[#This Row],[Closed_Date]]=0,"",Pipeline_tbl[[#This Row],[Closed_Date]]-Pipeline_tbl[[#This Row],[Created_Date]])</f>
        <v>17</v>
      </c>
    </row>
    <row r="3653" spans="1:21" ht="15" customHeight="1" x14ac:dyDescent="0.2">
      <c r="A3653" t="s">
        <v>3959</v>
      </c>
      <c r="B3653" t="s">
        <v>188</v>
      </c>
      <c r="C3653" t="s">
        <v>54</v>
      </c>
      <c r="D3653" s="49">
        <v>45458</v>
      </c>
      <c r="E3653" s="49">
        <v>45459</v>
      </c>
      <c r="F3653" s="49">
        <v>45462</v>
      </c>
      <c r="G3653" s="49">
        <v>45466</v>
      </c>
      <c r="H3653" s="49">
        <v>45470</v>
      </c>
      <c r="I3653" s="49">
        <v>45472</v>
      </c>
      <c r="J3653" t="s">
        <v>49</v>
      </c>
      <c r="K3653" s="33">
        <v>30100</v>
      </c>
      <c r="L3653" t="s">
        <v>64</v>
      </c>
      <c r="M3653" t="str">
        <f>_xlfn.XLOOKUP(Pipeline_tbl[[#This Row],[Rep_ID]],Dim_Reps!A:A,Dim_Reps!K:K)</f>
        <v>EUR</v>
      </c>
      <c r="N3653" s="33">
        <f>(_xlfn.XLOOKUP(Pipeline_tbl[[#This Row],[Rate_Code_Generalized]],Lookups!A:A,Lookups!B:B))*Pipeline_tbl[[#This Row],[Pipeline_Amount_USD]]</f>
        <v>30100</v>
      </c>
      <c r="O3653" t="str">
        <f>_xlfn.XLOOKUP(Pipeline_tbl[[#This Row],[Rep_ID]],Dim_Reps!A:A,Dim_Reps!B:B)</f>
        <v>Jamie Santos</v>
      </c>
      <c r="P3653" t="str">
        <f>_xlfn.XLOOKUP(Pipeline_tbl[[#This Row],[Rep_ID]],Dim_Reps!A:A,Dim_Reps!C:C)</f>
        <v>Enterprise AE</v>
      </c>
      <c r="Q3653" t="str">
        <f>_xlfn.XLOOKUP(Pipeline_tbl[[#This Row],[Rep_ID]],Dim_Reps!A:A,Dim_Reps!D:D)</f>
        <v>Enterprise</v>
      </c>
      <c r="R3653" t="str">
        <f>_xlfn.XLOOKUP(Pipeline_tbl[[#This Row],[Rep_ID]],Dim_Reps!A:A,Dim_Reps!E:E)</f>
        <v>APAC</v>
      </c>
      <c r="S3653" t="str">
        <f>_xlfn.XLOOKUP(Pipeline_tbl[[#This Row],[Created_Date]],Dim_Date!A:A,Dim_Date!H:H)</f>
        <v>Jun 2024</v>
      </c>
      <c r="T3653" t="str">
        <f>IF(Pipeline_tbl[[#This Row],[Closed_Date]]=0,"",(_xlfn.XLOOKUP(Pipeline_tbl[[#This Row],[Closed_Date]],Dim_Date!A:A,Dim_Date!H:H)))</f>
        <v>Jun 2024</v>
      </c>
      <c r="U3653">
        <f>IF(Pipeline_tbl[[#This Row],[Closed_Date]]=0,"",Pipeline_tbl[[#This Row],[Closed_Date]]-Pipeline_tbl[[#This Row],[Created_Date]])</f>
        <v>14</v>
      </c>
    </row>
    <row r="3654" spans="1:21" ht="15" customHeight="1" x14ac:dyDescent="0.2">
      <c r="A3654" t="s">
        <v>3960</v>
      </c>
      <c r="B3654" t="s">
        <v>221</v>
      </c>
      <c r="C3654" t="s">
        <v>53</v>
      </c>
      <c r="D3654" s="49">
        <v>45458</v>
      </c>
      <c r="E3654" s="49">
        <v>45459</v>
      </c>
      <c r="F3654" s="49">
        <v>45460</v>
      </c>
      <c r="G3654" s="49">
        <v>45462</v>
      </c>
      <c r="H3654" s="49">
        <v>45464</v>
      </c>
      <c r="I3654" s="49">
        <v>45465</v>
      </c>
      <c r="J3654" t="s">
        <v>47</v>
      </c>
      <c r="K3654" s="33">
        <v>5300</v>
      </c>
      <c r="M3654" t="str">
        <f>_xlfn.XLOOKUP(Pipeline_tbl[[#This Row],[Rep_ID]],Dim_Reps!A:A,Dim_Reps!K:K)</f>
        <v>MXN</v>
      </c>
      <c r="N3654" s="33">
        <f>(_xlfn.XLOOKUP(Pipeline_tbl[[#This Row],[Rate_Code_Generalized]],Lookups!A:A,Lookups!B:B))*Pipeline_tbl[[#This Row],[Pipeline_Amount_USD]]</f>
        <v>104583.31000000001</v>
      </c>
      <c r="O3654" t="str">
        <f>_xlfn.XLOOKUP(Pipeline_tbl[[#This Row],[Rep_ID]],Dim_Reps!A:A,Dim_Reps!B:B)</f>
        <v>Casey Muller</v>
      </c>
      <c r="P3654" t="str">
        <f>_xlfn.XLOOKUP(Pipeline_tbl[[#This Row],[Rep_ID]],Dim_Reps!A:A,Dim_Reps!C:C)</f>
        <v>SDR / Inside Sales Rep</v>
      </c>
      <c r="Q3654" t="str">
        <f>_xlfn.XLOOKUP(Pipeline_tbl[[#This Row],[Rep_ID]],Dim_Reps!A:A,Dim_Reps!D:D)</f>
        <v>Inside Sales</v>
      </c>
      <c r="R3654" t="str">
        <f>_xlfn.XLOOKUP(Pipeline_tbl[[#This Row],[Rep_ID]],Dim_Reps!A:A,Dim_Reps!E:E)</f>
        <v>LATAM</v>
      </c>
      <c r="S3654" t="str">
        <f>_xlfn.XLOOKUP(Pipeline_tbl[[#This Row],[Created_Date]],Dim_Date!A:A,Dim_Date!H:H)</f>
        <v>Jun 2024</v>
      </c>
      <c r="T3654" t="str">
        <f>IF(Pipeline_tbl[[#This Row],[Closed_Date]]=0,"",(_xlfn.XLOOKUP(Pipeline_tbl[[#This Row],[Closed_Date]],Dim_Date!A:A,Dim_Date!H:H)))</f>
        <v>Jun 2024</v>
      </c>
      <c r="U3654">
        <f>IF(Pipeline_tbl[[#This Row],[Closed_Date]]=0,"",Pipeline_tbl[[#This Row],[Closed_Date]]-Pipeline_tbl[[#This Row],[Created_Date]])</f>
        <v>7</v>
      </c>
    </row>
    <row r="3655" spans="1:21" ht="15" customHeight="1" x14ac:dyDescent="0.2">
      <c r="A3655" t="s">
        <v>3961</v>
      </c>
      <c r="B3655" t="s">
        <v>221</v>
      </c>
      <c r="C3655" t="s">
        <v>55</v>
      </c>
      <c r="D3655" s="49">
        <v>45445</v>
      </c>
      <c r="E3655" s="49">
        <v>45446</v>
      </c>
      <c r="F3655" s="49">
        <v>45449</v>
      </c>
      <c r="G3655" s="49">
        <v>45453</v>
      </c>
      <c r="H3655" s="49">
        <v>45457</v>
      </c>
      <c r="I3655" s="49">
        <v>45459</v>
      </c>
      <c r="J3655" t="s">
        <v>47</v>
      </c>
      <c r="K3655" s="33">
        <v>6600</v>
      </c>
      <c r="M3655" t="str">
        <f>_xlfn.XLOOKUP(Pipeline_tbl[[#This Row],[Rep_ID]],Dim_Reps!A:A,Dim_Reps!K:K)</f>
        <v>MXN</v>
      </c>
      <c r="N3655" s="33">
        <f>(_xlfn.XLOOKUP(Pipeline_tbl[[#This Row],[Rate_Code_Generalized]],Lookups!A:A,Lookups!B:B))*Pipeline_tbl[[#This Row],[Pipeline_Amount_USD]]</f>
        <v>130235.82</v>
      </c>
      <c r="O3655" t="str">
        <f>_xlfn.XLOOKUP(Pipeline_tbl[[#This Row],[Rep_ID]],Dim_Reps!A:A,Dim_Reps!B:B)</f>
        <v>Casey Muller</v>
      </c>
      <c r="P3655" t="str">
        <f>_xlfn.XLOOKUP(Pipeline_tbl[[#This Row],[Rep_ID]],Dim_Reps!A:A,Dim_Reps!C:C)</f>
        <v>SDR / Inside Sales Rep</v>
      </c>
      <c r="Q3655" t="str">
        <f>_xlfn.XLOOKUP(Pipeline_tbl[[#This Row],[Rep_ID]],Dim_Reps!A:A,Dim_Reps!D:D)</f>
        <v>Inside Sales</v>
      </c>
      <c r="R3655" t="str">
        <f>_xlfn.XLOOKUP(Pipeline_tbl[[#This Row],[Rep_ID]],Dim_Reps!A:A,Dim_Reps!E:E)</f>
        <v>LATAM</v>
      </c>
      <c r="S3655" t="str">
        <f>_xlfn.XLOOKUP(Pipeline_tbl[[#This Row],[Created_Date]],Dim_Date!A:A,Dim_Date!H:H)</f>
        <v>Jun 2024</v>
      </c>
      <c r="T3655" t="str">
        <f>IF(Pipeline_tbl[[#This Row],[Closed_Date]]=0,"",(_xlfn.XLOOKUP(Pipeline_tbl[[#This Row],[Closed_Date]],Dim_Date!A:A,Dim_Date!H:H)))</f>
        <v>Jun 2024</v>
      </c>
      <c r="U3655">
        <f>IF(Pipeline_tbl[[#This Row],[Closed_Date]]=0,"",Pipeline_tbl[[#This Row],[Closed_Date]]-Pipeline_tbl[[#This Row],[Created_Date]])</f>
        <v>14</v>
      </c>
    </row>
    <row r="3656" spans="1:21" ht="15" customHeight="1" x14ac:dyDescent="0.2">
      <c r="A3656" t="s">
        <v>3962</v>
      </c>
      <c r="B3656" t="s">
        <v>221</v>
      </c>
      <c r="C3656" t="s">
        <v>53</v>
      </c>
      <c r="D3656" s="49">
        <v>45448</v>
      </c>
      <c r="E3656" s="49">
        <v>45450</v>
      </c>
      <c r="F3656" s="49">
        <v>45454</v>
      </c>
      <c r="G3656" s="49">
        <v>45459</v>
      </c>
      <c r="H3656" s="49">
        <v>45464</v>
      </c>
      <c r="I3656" s="49">
        <v>45467</v>
      </c>
      <c r="J3656" t="s">
        <v>47</v>
      </c>
      <c r="K3656" s="33">
        <v>3200</v>
      </c>
      <c r="M3656" t="str">
        <f>_xlfn.XLOOKUP(Pipeline_tbl[[#This Row],[Rep_ID]],Dim_Reps!A:A,Dim_Reps!K:K)</f>
        <v>MXN</v>
      </c>
      <c r="N3656" s="33">
        <f>(_xlfn.XLOOKUP(Pipeline_tbl[[#This Row],[Rate_Code_Generalized]],Lookups!A:A,Lookups!B:B))*Pipeline_tbl[[#This Row],[Pipeline_Amount_USD]]</f>
        <v>63144.640000000007</v>
      </c>
      <c r="O3656" t="str">
        <f>_xlfn.XLOOKUP(Pipeline_tbl[[#This Row],[Rep_ID]],Dim_Reps!A:A,Dim_Reps!B:B)</f>
        <v>Casey Muller</v>
      </c>
      <c r="P3656" t="str">
        <f>_xlfn.XLOOKUP(Pipeline_tbl[[#This Row],[Rep_ID]],Dim_Reps!A:A,Dim_Reps!C:C)</f>
        <v>SDR / Inside Sales Rep</v>
      </c>
      <c r="Q3656" t="str">
        <f>_xlfn.XLOOKUP(Pipeline_tbl[[#This Row],[Rep_ID]],Dim_Reps!A:A,Dim_Reps!D:D)</f>
        <v>Inside Sales</v>
      </c>
      <c r="R3656" t="str">
        <f>_xlfn.XLOOKUP(Pipeline_tbl[[#This Row],[Rep_ID]],Dim_Reps!A:A,Dim_Reps!E:E)</f>
        <v>LATAM</v>
      </c>
      <c r="S3656" t="str">
        <f>_xlfn.XLOOKUP(Pipeline_tbl[[#This Row],[Created_Date]],Dim_Date!A:A,Dim_Date!H:H)</f>
        <v>Jun 2024</v>
      </c>
      <c r="T3656" t="str">
        <f>IF(Pipeline_tbl[[#This Row],[Closed_Date]]=0,"",(_xlfn.XLOOKUP(Pipeline_tbl[[#This Row],[Closed_Date]],Dim_Date!A:A,Dim_Date!H:H)))</f>
        <v>Jun 2024</v>
      </c>
      <c r="U3656">
        <f>IF(Pipeline_tbl[[#This Row],[Closed_Date]]=0,"",Pipeline_tbl[[#This Row],[Closed_Date]]-Pipeline_tbl[[#This Row],[Created_Date]])</f>
        <v>19</v>
      </c>
    </row>
    <row r="3657" spans="1:21" ht="15" customHeight="1" x14ac:dyDescent="0.2">
      <c r="A3657" t="s">
        <v>3963</v>
      </c>
      <c r="B3657" t="s">
        <v>225</v>
      </c>
      <c r="C3657" t="s">
        <v>54</v>
      </c>
      <c r="D3657" s="49">
        <v>45456</v>
      </c>
      <c r="E3657" s="49">
        <v>45458</v>
      </c>
      <c r="F3657" s="49">
        <v>45461</v>
      </c>
      <c r="G3657" s="49">
        <v>45466</v>
      </c>
      <c r="H3657" s="49">
        <v>45470</v>
      </c>
      <c r="I3657" s="49">
        <v>45473</v>
      </c>
      <c r="J3657" t="s">
        <v>47</v>
      </c>
      <c r="K3657" s="33">
        <v>3000</v>
      </c>
      <c r="M3657" t="str">
        <f>_xlfn.XLOOKUP(Pipeline_tbl[[#This Row],[Rep_ID]],Dim_Reps!A:A,Dim_Reps!K:K)</f>
        <v>USD</v>
      </c>
      <c r="N3657" s="33">
        <f>(_xlfn.XLOOKUP(Pipeline_tbl[[#This Row],[Rate_Code_Generalized]],Lookups!A:A,Lookups!B:B))*Pipeline_tbl[[#This Row],[Pipeline_Amount_USD]]</f>
        <v>3492.8999999999996</v>
      </c>
      <c r="O3657" t="str">
        <f>_xlfn.XLOOKUP(Pipeline_tbl[[#This Row],[Rep_ID]],Dim_Reps!A:A,Dim_Reps!B:B)</f>
        <v>Alex Muller</v>
      </c>
      <c r="P3657" t="str">
        <f>_xlfn.XLOOKUP(Pipeline_tbl[[#This Row],[Rep_ID]],Dim_Reps!A:A,Dim_Reps!C:C)</f>
        <v>SDR / Inside Sales Rep</v>
      </c>
      <c r="Q3657" t="str">
        <f>_xlfn.XLOOKUP(Pipeline_tbl[[#This Row],[Rep_ID]],Dim_Reps!A:A,Dim_Reps!D:D)</f>
        <v>Inside Sales</v>
      </c>
      <c r="R3657" t="str">
        <f>_xlfn.XLOOKUP(Pipeline_tbl[[#This Row],[Rep_ID]],Dim_Reps!A:A,Dim_Reps!E:E)</f>
        <v>NAMER</v>
      </c>
      <c r="S3657" t="str">
        <f>_xlfn.XLOOKUP(Pipeline_tbl[[#This Row],[Created_Date]],Dim_Date!A:A,Dim_Date!H:H)</f>
        <v>Jun 2024</v>
      </c>
      <c r="T3657" t="str">
        <f>IF(Pipeline_tbl[[#This Row],[Closed_Date]]=0,"",(_xlfn.XLOOKUP(Pipeline_tbl[[#This Row],[Closed_Date]],Dim_Date!A:A,Dim_Date!H:H)))</f>
        <v>Jun 2024</v>
      </c>
      <c r="U3657">
        <f>IF(Pipeline_tbl[[#This Row],[Closed_Date]]=0,"",Pipeline_tbl[[#This Row],[Closed_Date]]-Pipeline_tbl[[#This Row],[Created_Date]])</f>
        <v>17</v>
      </c>
    </row>
    <row r="3658" spans="1:21" ht="15" customHeight="1" x14ac:dyDescent="0.2">
      <c r="A3658" t="s">
        <v>3964</v>
      </c>
      <c r="B3658" t="s">
        <v>225</v>
      </c>
      <c r="C3658" t="s">
        <v>53</v>
      </c>
      <c r="D3658" s="49">
        <v>45449</v>
      </c>
      <c r="E3658" s="49">
        <v>45451</v>
      </c>
      <c r="F3658" s="49">
        <v>45454</v>
      </c>
      <c r="G3658" s="49">
        <v>45459</v>
      </c>
      <c r="H3658" s="49">
        <v>45463</v>
      </c>
      <c r="I3658" s="49">
        <v>45465</v>
      </c>
      <c r="J3658" t="s">
        <v>47</v>
      </c>
      <c r="K3658" s="33">
        <v>3500</v>
      </c>
      <c r="M3658" t="str">
        <f>_xlfn.XLOOKUP(Pipeline_tbl[[#This Row],[Rep_ID]],Dim_Reps!A:A,Dim_Reps!K:K)</f>
        <v>USD</v>
      </c>
      <c r="N3658" s="33">
        <f>(_xlfn.XLOOKUP(Pipeline_tbl[[#This Row],[Rate_Code_Generalized]],Lookups!A:A,Lookups!B:B))*Pipeline_tbl[[#This Row],[Pipeline_Amount_USD]]</f>
        <v>4075.0499999999997</v>
      </c>
      <c r="O3658" t="str">
        <f>_xlfn.XLOOKUP(Pipeline_tbl[[#This Row],[Rep_ID]],Dim_Reps!A:A,Dim_Reps!B:B)</f>
        <v>Alex Muller</v>
      </c>
      <c r="P3658" t="str">
        <f>_xlfn.XLOOKUP(Pipeline_tbl[[#This Row],[Rep_ID]],Dim_Reps!A:A,Dim_Reps!C:C)</f>
        <v>SDR / Inside Sales Rep</v>
      </c>
      <c r="Q3658" t="str">
        <f>_xlfn.XLOOKUP(Pipeline_tbl[[#This Row],[Rep_ID]],Dim_Reps!A:A,Dim_Reps!D:D)</f>
        <v>Inside Sales</v>
      </c>
      <c r="R3658" t="str">
        <f>_xlfn.XLOOKUP(Pipeline_tbl[[#This Row],[Rep_ID]],Dim_Reps!A:A,Dim_Reps!E:E)</f>
        <v>NAMER</v>
      </c>
      <c r="S3658" t="str">
        <f>_xlfn.XLOOKUP(Pipeline_tbl[[#This Row],[Created_Date]],Dim_Date!A:A,Dim_Date!H:H)</f>
        <v>Jun 2024</v>
      </c>
      <c r="T3658" t="str">
        <f>IF(Pipeline_tbl[[#This Row],[Closed_Date]]=0,"",(_xlfn.XLOOKUP(Pipeline_tbl[[#This Row],[Closed_Date]],Dim_Date!A:A,Dim_Date!H:H)))</f>
        <v>Jun 2024</v>
      </c>
      <c r="U3658">
        <f>IF(Pipeline_tbl[[#This Row],[Closed_Date]]=0,"",Pipeline_tbl[[#This Row],[Closed_Date]]-Pipeline_tbl[[#This Row],[Created_Date]])</f>
        <v>16</v>
      </c>
    </row>
    <row r="3659" spans="1:21" ht="15" customHeight="1" x14ac:dyDescent="0.2">
      <c r="A3659" t="s">
        <v>3965</v>
      </c>
      <c r="B3659" t="s">
        <v>225</v>
      </c>
      <c r="C3659" t="s">
        <v>54</v>
      </c>
      <c r="D3659" s="49">
        <v>45446</v>
      </c>
      <c r="E3659" s="49">
        <v>45448</v>
      </c>
      <c r="F3659" s="49">
        <v>45451</v>
      </c>
      <c r="G3659" s="49">
        <v>45456</v>
      </c>
      <c r="H3659" s="49">
        <v>45460</v>
      </c>
      <c r="I3659" s="49">
        <v>45463</v>
      </c>
      <c r="J3659" t="s">
        <v>47</v>
      </c>
      <c r="K3659" s="33">
        <v>6700</v>
      </c>
      <c r="M3659" t="str">
        <f>_xlfn.XLOOKUP(Pipeline_tbl[[#This Row],[Rep_ID]],Dim_Reps!A:A,Dim_Reps!K:K)</f>
        <v>USD</v>
      </c>
      <c r="N3659" s="33">
        <f>(_xlfn.XLOOKUP(Pipeline_tbl[[#This Row],[Rate_Code_Generalized]],Lookups!A:A,Lookups!B:B))*Pipeline_tbl[[#This Row],[Pipeline_Amount_USD]]</f>
        <v>7800.8099999999995</v>
      </c>
      <c r="O3659" t="str">
        <f>_xlfn.XLOOKUP(Pipeline_tbl[[#This Row],[Rep_ID]],Dim_Reps!A:A,Dim_Reps!B:B)</f>
        <v>Alex Muller</v>
      </c>
      <c r="P3659" t="str">
        <f>_xlfn.XLOOKUP(Pipeline_tbl[[#This Row],[Rep_ID]],Dim_Reps!A:A,Dim_Reps!C:C)</f>
        <v>SDR / Inside Sales Rep</v>
      </c>
      <c r="Q3659" t="str">
        <f>_xlfn.XLOOKUP(Pipeline_tbl[[#This Row],[Rep_ID]],Dim_Reps!A:A,Dim_Reps!D:D)</f>
        <v>Inside Sales</v>
      </c>
      <c r="R3659" t="str">
        <f>_xlfn.XLOOKUP(Pipeline_tbl[[#This Row],[Rep_ID]],Dim_Reps!A:A,Dim_Reps!E:E)</f>
        <v>NAMER</v>
      </c>
      <c r="S3659" t="str">
        <f>_xlfn.XLOOKUP(Pipeline_tbl[[#This Row],[Created_Date]],Dim_Date!A:A,Dim_Date!H:H)</f>
        <v>Jun 2024</v>
      </c>
      <c r="T3659" t="str">
        <f>IF(Pipeline_tbl[[#This Row],[Closed_Date]]=0,"",(_xlfn.XLOOKUP(Pipeline_tbl[[#This Row],[Closed_Date]],Dim_Date!A:A,Dim_Date!H:H)))</f>
        <v>Jun 2024</v>
      </c>
      <c r="U3659">
        <f>IF(Pipeline_tbl[[#This Row],[Closed_Date]]=0,"",Pipeline_tbl[[#This Row],[Closed_Date]]-Pipeline_tbl[[#This Row],[Created_Date]])</f>
        <v>17</v>
      </c>
    </row>
    <row r="3660" spans="1:21" ht="15" customHeight="1" x14ac:dyDescent="0.2">
      <c r="A3660" t="s">
        <v>3966</v>
      </c>
      <c r="B3660" t="s">
        <v>225</v>
      </c>
      <c r="C3660" t="s">
        <v>52</v>
      </c>
      <c r="D3660" s="49">
        <v>45453</v>
      </c>
      <c r="E3660" s="49">
        <v>45454</v>
      </c>
      <c r="F3660" s="49">
        <v>45456</v>
      </c>
      <c r="I3660" s="49">
        <v>45463</v>
      </c>
      <c r="J3660" t="s">
        <v>49</v>
      </c>
      <c r="K3660" s="33">
        <v>2600</v>
      </c>
      <c r="L3660" t="s">
        <v>60</v>
      </c>
      <c r="M3660" t="str">
        <f>_xlfn.XLOOKUP(Pipeline_tbl[[#This Row],[Rep_ID]],Dim_Reps!A:A,Dim_Reps!K:K)</f>
        <v>USD</v>
      </c>
      <c r="N3660" s="33">
        <f>(_xlfn.XLOOKUP(Pipeline_tbl[[#This Row],[Rate_Code_Generalized]],Lookups!A:A,Lookups!B:B))*Pipeline_tbl[[#This Row],[Pipeline_Amount_USD]]</f>
        <v>3027.18</v>
      </c>
      <c r="O3660" t="str">
        <f>_xlfn.XLOOKUP(Pipeline_tbl[[#This Row],[Rep_ID]],Dim_Reps!A:A,Dim_Reps!B:B)</f>
        <v>Alex Muller</v>
      </c>
      <c r="P3660" t="str">
        <f>_xlfn.XLOOKUP(Pipeline_tbl[[#This Row],[Rep_ID]],Dim_Reps!A:A,Dim_Reps!C:C)</f>
        <v>SDR / Inside Sales Rep</v>
      </c>
      <c r="Q3660" t="str">
        <f>_xlfn.XLOOKUP(Pipeline_tbl[[#This Row],[Rep_ID]],Dim_Reps!A:A,Dim_Reps!D:D)</f>
        <v>Inside Sales</v>
      </c>
      <c r="R3660" t="str">
        <f>_xlfn.XLOOKUP(Pipeline_tbl[[#This Row],[Rep_ID]],Dim_Reps!A:A,Dim_Reps!E:E)</f>
        <v>NAMER</v>
      </c>
      <c r="S3660" t="str">
        <f>_xlfn.XLOOKUP(Pipeline_tbl[[#This Row],[Created_Date]],Dim_Date!A:A,Dim_Date!H:H)</f>
        <v>Jun 2024</v>
      </c>
      <c r="T3660" t="str">
        <f>IF(Pipeline_tbl[[#This Row],[Closed_Date]]=0,"",(_xlfn.XLOOKUP(Pipeline_tbl[[#This Row],[Closed_Date]],Dim_Date!A:A,Dim_Date!H:H)))</f>
        <v>Jun 2024</v>
      </c>
      <c r="U3660">
        <f>IF(Pipeline_tbl[[#This Row],[Closed_Date]]=0,"",Pipeline_tbl[[#This Row],[Closed_Date]]-Pipeline_tbl[[#This Row],[Created_Date]])</f>
        <v>10</v>
      </c>
    </row>
    <row r="3661" spans="1:21" ht="15" customHeight="1" x14ac:dyDescent="0.2">
      <c r="A3661" t="s">
        <v>3967</v>
      </c>
      <c r="B3661" t="s">
        <v>225</v>
      </c>
      <c r="C3661" t="s">
        <v>53</v>
      </c>
      <c r="D3661" s="49">
        <v>45446</v>
      </c>
      <c r="E3661" s="49">
        <v>45448</v>
      </c>
      <c r="F3661" s="49">
        <v>45451</v>
      </c>
      <c r="G3661" s="49">
        <v>45456</v>
      </c>
      <c r="I3661" s="49">
        <v>45462</v>
      </c>
      <c r="J3661" t="s">
        <v>49</v>
      </c>
      <c r="K3661" s="33">
        <v>3200</v>
      </c>
      <c r="L3661" t="s">
        <v>61</v>
      </c>
      <c r="M3661" t="str">
        <f>_xlfn.XLOOKUP(Pipeline_tbl[[#This Row],[Rep_ID]],Dim_Reps!A:A,Dim_Reps!K:K)</f>
        <v>USD</v>
      </c>
      <c r="N3661" s="33">
        <f>(_xlfn.XLOOKUP(Pipeline_tbl[[#This Row],[Rate_Code_Generalized]],Lookups!A:A,Lookups!B:B))*Pipeline_tbl[[#This Row],[Pipeline_Amount_USD]]</f>
        <v>3725.7599999999998</v>
      </c>
      <c r="O3661" t="str">
        <f>_xlfn.XLOOKUP(Pipeline_tbl[[#This Row],[Rep_ID]],Dim_Reps!A:A,Dim_Reps!B:B)</f>
        <v>Alex Muller</v>
      </c>
      <c r="P3661" t="str">
        <f>_xlfn.XLOOKUP(Pipeline_tbl[[#This Row],[Rep_ID]],Dim_Reps!A:A,Dim_Reps!C:C)</f>
        <v>SDR / Inside Sales Rep</v>
      </c>
      <c r="Q3661" t="str">
        <f>_xlfn.XLOOKUP(Pipeline_tbl[[#This Row],[Rep_ID]],Dim_Reps!A:A,Dim_Reps!D:D)</f>
        <v>Inside Sales</v>
      </c>
      <c r="R3661" t="str">
        <f>_xlfn.XLOOKUP(Pipeline_tbl[[#This Row],[Rep_ID]],Dim_Reps!A:A,Dim_Reps!E:E)</f>
        <v>NAMER</v>
      </c>
      <c r="S3661" t="str">
        <f>_xlfn.XLOOKUP(Pipeline_tbl[[#This Row],[Created_Date]],Dim_Date!A:A,Dim_Date!H:H)</f>
        <v>Jun 2024</v>
      </c>
      <c r="T3661" t="str">
        <f>IF(Pipeline_tbl[[#This Row],[Closed_Date]]=0,"",(_xlfn.XLOOKUP(Pipeline_tbl[[#This Row],[Closed_Date]],Dim_Date!A:A,Dim_Date!H:H)))</f>
        <v>Jun 2024</v>
      </c>
      <c r="U3661">
        <f>IF(Pipeline_tbl[[#This Row],[Closed_Date]]=0,"",Pipeline_tbl[[#This Row],[Closed_Date]]-Pipeline_tbl[[#This Row],[Created_Date]])</f>
        <v>16</v>
      </c>
    </row>
    <row r="3662" spans="1:21" ht="15" customHeight="1" x14ac:dyDescent="0.2">
      <c r="A3662" t="s">
        <v>3968</v>
      </c>
      <c r="B3662" t="s">
        <v>227</v>
      </c>
      <c r="C3662" t="s">
        <v>52</v>
      </c>
      <c r="D3662" s="49">
        <v>45446</v>
      </c>
      <c r="E3662" s="49">
        <v>45448</v>
      </c>
      <c r="F3662" s="49">
        <v>45451</v>
      </c>
      <c r="G3662" s="49">
        <v>45456</v>
      </c>
      <c r="I3662" s="49">
        <v>45462</v>
      </c>
      <c r="J3662" t="s">
        <v>49</v>
      </c>
      <c r="K3662" s="33">
        <v>2900</v>
      </c>
      <c r="L3662" t="s">
        <v>60</v>
      </c>
      <c r="M3662" t="str">
        <f>_xlfn.XLOOKUP(Pipeline_tbl[[#This Row],[Rep_ID]],Dim_Reps!A:A,Dim_Reps!K:K)</f>
        <v>EUR</v>
      </c>
      <c r="N3662" s="33">
        <f>(_xlfn.XLOOKUP(Pipeline_tbl[[#This Row],[Rate_Code_Generalized]],Lookups!A:A,Lookups!B:B))*Pipeline_tbl[[#This Row],[Pipeline_Amount_USD]]</f>
        <v>2900</v>
      </c>
      <c r="O3662" t="str">
        <f>_xlfn.XLOOKUP(Pipeline_tbl[[#This Row],[Rep_ID]],Dim_Reps!A:A,Dim_Reps!B:B)</f>
        <v>Liam Muller</v>
      </c>
      <c r="P3662" t="str">
        <f>_xlfn.XLOOKUP(Pipeline_tbl[[#This Row],[Rep_ID]],Dim_Reps!A:A,Dim_Reps!C:C)</f>
        <v>SDR / Inside Sales Rep</v>
      </c>
      <c r="Q3662" t="str">
        <f>_xlfn.XLOOKUP(Pipeline_tbl[[#This Row],[Rep_ID]],Dim_Reps!A:A,Dim_Reps!D:D)</f>
        <v>Inside Sales</v>
      </c>
      <c r="R3662" t="str">
        <f>_xlfn.XLOOKUP(Pipeline_tbl[[#This Row],[Rep_ID]],Dim_Reps!A:A,Dim_Reps!E:E)</f>
        <v>EMEA</v>
      </c>
      <c r="S3662" t="str">
        <f>_xlfn.XLOOKUP(Pipeline_tbl[[#This Row],[Created_Date]],Dim_Date!A:A,Dim_Date!H:H)</f>
        <v>Jun 2024</v>
      </c>
      <c r="T3662" t="str">
        <f>IF(Pipeline_tbl[[#This Row],[Closed_Date]]=0,"",(_xlfn.XLOOKUP(Pipeline_tbl[[#This Row],[Closed_Date]],Dim_Date!A:A,Dim_Date!H:H)))</f>
        <v>Jun 2024</v>
      </c>
      <c r="U3662">
        <f>IF(Pipeline_tbl[[#This Row],[Closed_Date]]=0,"",Pipeline_tbl[[#This Row],[Closed_Date]]-Pipeline_tbl[[#This Row],[Created_Date]])</f>
        <v>16</v>
      </c>
    </row>
    <row r="3663" spans="1:21" ht="15" customHeight="1" x14ac:dyDescent="0.2">
      <c r="A3663" t="s">
        <v>3969</v>
      </c>
      <c r="B3663" t="s">
        <v>227</v>
      </c>
      <c r="C3663" t="s">
        <v>54</v>
      </c>
      <c r="D3663" s="49">
        <v>45447</v>
      </c>
      <c r="E3663" s="49">
        <v>45448</v>
      </c>
      <c r="F3663" s="49">
        <v>45450</v>
      </c>
      <c r="I3663" s="49">
        <v>45458</v>
      </c>
      <c r="J3663" t="s">
        <v>49</v>
      </c>
      <c r="K3663" s="33">
        <v>2700</v>
      </c>
      <c r="L3663" t="s">
        <v>62</v>
      </c>
      <c r="M3663" t="str">
        <f>_xlfn.XLOOKUP(Pipeline_tbl[[#This Row],[Rep_ID]],Dim_Reps!A:A,Dim_Reps!K:K)</f>
        <v>EUR</v>
      </c>
      <c r="N3663" s="33">
        <f>(_xlfn.XLOOKUP(Pipeline_tbl[[#This Row],[Rate_Code_Generalized]],Lookups!A:A,Lookups!B:B))*Pipeline_tbl[[#This Row],[Pipeline_Amount_USD]]</f>
        <v>2700</v>
      </c>
      <c r="O3663" t="str">
        <f>_xlfn.XLOOKUP(Pipeline_tbl[[#This Row],[Rep_ID]],Dim_Reps!A:A,Dim_Reps!B:B)</f>
        <v>Liam Muller</v>
      </c>
      <c r="P3663" t="str">
        <f>_xlfn.XLOOKUP(Pipeline_tbl[[#This Row],[Rep_ID]],Dim_Reps!A:A,Dim_Reps!C:C)</f>
        <v>SDR / Inside Sales Rep</v>
      </c>
      <c r="Q3663" t="str">
        <f>_xlfn.XLOOKUP(Pipeline_tbl[[#This Row],[Rep_ID]],Dim_Reps!A:A,Dim_Reps!D:D)</f>
        <v>Inside Sales</v>
      </c>
      <c r="R3663" t="str">
        <f>_xlfn.XLOOKUP(Pipeline_tbl[[#This Row],[Rep_ID]],Dim_Reps!A:A,Dim_Reps!E:E)</f>
        <v>EMEA</v>
      </c>
      <c r="S3663" t="str">
        <f>_xlfn.XLOOKUP(Pipeline_tbl[[#This Row],[Created_Date]],Dim_Date!A:A,Dim_Date!H:H)</f>
        <v>Jun 2024</v>
      </c>
      <c r="T3663" t="str">
        <f>IF(Pipeline_tbl[[#This Row],[Closed_Date]]=0,"",(_xlfn.XLOOKUP(Pipeline_tbl[[#This Row],[Closed_Date]],Dim_Date!A:A,Dim_Date!H:H)))</f>
        <v>Jun 2024</v>
      </c>
      <c r="U3663">
        <f>IF(Pipeline_tbl[[#This Row],[Closed_Date]]=0,"",Pipeline_tbl[[#This Row],[Closed_Date]]-Pipeline_tbl[[#This Row],[Created_Date]])</f>
        <v>11</v>
      </c>
    </row>
    <row r="3664" spans="1:21" ht="15" customHeight="1" x14ac:dyDescent="0.2">
      <c r="A3664" t="s">
        <v>3970</v>
      </c>
      <c r="B3664" t="s">
        <v>227</v>
      </c>
      <c r="C3664" t="s">
        <v>55</v>
      </c>
      <c r="D3664" s="49">
        <v>45448</v>
      </c>
      <c r="E3664" s="49">
        <v>45450</v>
      </c>
      <c r="I3664" s="49">
        <v>45463</v>
      </c>
      <c r="J3664" t="s">
        <v>49</v>
      </c>
      <c r="K3664" s="33">
        <v>2000</v>
      </c>
      <c r="L3664" t="s">
        <v>63</v>
      </c>
      <c r="M3664" t="str">
        <f>_xlfn.XLOOKUP(Pipeline_tbl[[#This Row],[Rep_ID]],Dim_Reps!A:A,Dim_Reps!K:K)</f>
        <v>EUR</v>
      </c>
      <c r="N3664" s="33">
        <f>(_xlfn.XLOOKUP(Pipeline_tbl[[#This Row],[Rate_Code_Generalized]],Lookups!A:A,Lookups!B:B))*Pipeline_tbl[[#This Row],[Pipeline_Amount_USD]]</f>
        <v>2000</v>
      </c>
      <c r="O3664" t="str">
        <f>_xlfn.XLOOKUP(Pipeline_tbl[[#This Row],[Rep_ID]],Dim_Reps!A:A,Dim_Reps!B:B)</f>
        <v>Liam Muller</v>
      </c>
      <c r="P3664" t="str">
        <f>_xlfn.XLOOKUP(Pipeline_tbl[[#This Row],[Rep_ID]],Dim_Reps!A:A,Dim_Reps!C:C)</f>
        <v>SDR / Inside Sales Rep</v>
      </c>
      <c r="Q3664" t="str">
        <f>_xlfn.XLOOKUP(Pipeline_tbl[[#This Row],[Rep_ID]],Dim_Reps!A:A,Dim_Reps!D:D)</f>
        <v>Inside Sales</v>
      </c>
      <c r="R3664" t="str">
        <f>_xlfn.XLOOKUP(Pipeline_tbl[[#This Row],[Rep_ID]],Dim_Reps!A:A,Dim_Reps!E:E)</f>
        <v>EMEA</v>
      </c>
      <c r="S3664" t="str">
        <f>_xlfn.XLOOKUP(Pipeline_tbl[[#This Row],[Created_Date]],Dim_Date!A:A,Dim_Date!H:H)</f>
        <v>Jun 2024</v>
      </c>
      <c r="T3664" t="str">
        <f>IF(Pipeline_tbl[[#This Row],[Closed_Date]]=0,"",(_xlfn.XLOOKUP(Pipeline_tbl[[#This Row],[Closed_Date]],Dim_Date!A:A,Dim_Date!H:H)))</f>
        <v>Jun 2024</v>
      </c>
      <c r="U3664">
        <f>IF(Pipeline_tbl[[#This Row],[Closed_Date]]=0,"",Pipeline_tbl[[#This Row],[Closed_Date]]-Pipeline_tbl[[#This Row],[Created_Date]])</f>
        <v>15</v>
      </c>
    </row>
    <row r="3665" spans="1:21" ht="15" customHeight="1" x14ac:dyDescent="0.2">
      <c r="A3665" t="s">
        <v>3971</v>
      </c>
      <c r="B3665" t="s">
        <v>229</v>
      </c>
      <c r="C3665" t="s">
        <v>53</v>
      </c>
      <c r="D3665" s="49">
        <v>45447</v>
      </c>
      <c r="E3665" s="49">
        <v>45449</v>
      </c>
      <c r="F3665" s="49">
        <v>45452</v>
      </c>
      <c r="G3665" s="49">
        <v>45457</v>
      </c>
      <c r="H3665" s="49">
        <v>45461</v>
      </c>
      <c r="I3665" s="49">
        <v>45464</v>
      </c>
      <c r="J3665" t="s">
        <v>47</v>
      </c>
      <c r="K3665" s="33">
        <v>3700</v>
      </c>
      <c r="M3665" t="str">
        <f>_xlfn.XLOOKUP(Pipeline_tbl[[#This Row],[Rep_ID]],Dim_Reps!A:A,Dim_Reps!K:K)</f>
        <v>USD</v>
      </c>
      <c r="N3665" s="33">
        <f>(_xlfn.XLOOKUP(Pipeline_tbl[[#This Row],[Rate_Code_Generalized]],Lookups!A:A,Lookups!B:B))*Pipeline_tbl[[#This Row],[Pipeline_Amount_USD]]</f>
        <v>4307.91</v>
      </c>
      <c r="O3665" t="str">
        <f>_xlfn.XLOOKUP(Pipeline_tbl[[#This Row],[Rep_ID]],Dim_Reps!A:A,Dim_Reps!B:B)</f>
        <v>Liam Castro</v>
      </c>
      <c r="P3665" t="str">
        <f>_xlfn.XLOOKUP(Pipeline_tbl[[#This Row],[Rep_ID]],Dim_Reps!A:A,Dim_Reps!C:C)</f>
        <v>SDR / Inside Sales Rep</v>
      </c>
      <c r="Q3665" t="str">
        <f>_xlfn.XLOOKUP(Pipeline_tbl[[#This Row],[Rep_ID]],Dim_Reps!A:A,Dim_Reps!D:D)</f>
        <v>Inside Sales</v>
      </c>
      <c r="R3665" t="str">
        <f>_xlfn.XLOOKUP(Pipeline_tbl[[#This Row],[Rep_ID]],Dim_Reps!A:A,Dim_Reps!E:E)</f>
        <v>NAMER</v>
      </c>
      <c r="S3665" t="str">
        <f>_xlfn.XLOOKUP(Pipeline_tbl[[#This Row],[Created_Date]],Dim_Date!A:A,Dim_Date!H:H)</f>
        <v>Jun 2024</v>
      </c>
      <c r="T3665" t="str">
        <f>IF(Pipeline_tbl[[#This Row],[Closed_Date]]=0,"",(_xlfn.XLOOKUP(Pipeline_tbl[[#This Row],[Closed_Date]],Dim_Date!A:A,Dim_Date!H:H)))</f>
        <v>Jun 2024</v>
      </c>
      <c r="U3665">
        <f>IF(Pipeline_tbl[[#This Row],[Closed_Date]]=0,"",Pipeline_tbl[[#This Row],[Closed_Date]]-Pipeline_tbl[[#This Row],[Created_Date]])</f>
        <v>17</v>
      </c>
    </row>
    <row r="3666" spans="1:21" ht="15" customHeight="1" x14ac:dyDescent="0.2">
      <c r="A3666" t="s">
        <v>3972</v>
      </c>
      <c r="B3666" t="s">
        <v>229</v>
      </c>
      <c r="C3666" t="s">
        <v>54</v>
      </c>
      <c r="D3666" s="49">
        <v>45454</v>
      </c>
      <c r="E3666" s="49">
        <v>45455</v>
      </c>
      <c r="I3666" s="49">
        <v>45464</v>
      </c>
      <c r="J3666" t="s">
        <v>49</v>
      </c>
      <c r="K3666" s="33">
        <v>5100</v>
      </c>
      <c r="L3666" t="s">
        <v>60</v>
      </c>
      <c r="M3666" t="str">
        <f>_xlfn.XLOOKUP(Pipeline_tbl[[#This Row],[Rep_ID]],Dim_Reps!A:A,Dim_Reps!K:K)</f>
        <v>USD</v>
      </c>
      <c r="N3666" s="33">
        <f>(_xlfn.XLOOKUP(Pipeline_tbl[[#This Row],[Rate_Code_Generalized]],Lookups!A:A,Lookups!B:B))*Pipeline_tbl[[#This Row],[Pipeline_Amount_USD]]</f>
        <v>5937.9299999999994</v>
      </c>
      <c r="O3666" t="str">
        <f>_xlfn.XLOOKUP(Pipeline_tbl[[#This Row],[Rep_ID]],Dim_Reps!A:A,Dim_Reps!B:B)</f>
        <v>Liam Castro</v>
      </c>
      <c r="P3666" t="str">
        <f>_xlfn.XLOOKUP(Pipeline_tbl[[#This Row],[Rep_ID]],Dim_Reps!A:A,Dim_Reps!C:C)</f>
        <v>SDR / Inside Sales Rep</v>
      </c>
      <c r="Q3666" t="str">
        <f>_xlfn.XLOOKUP(Pipeline_tbl[[#This Row],[Rep_ID]],Dim_Reps!A:A,Dim_Reps!D:D)</f>
        <v>Inside Sales</v>
      </c>
      <c r="R3666" t="str">
        <f>_xlfn.XLOOKUP(Pipeline_tbl[[#This Row],[Rep_ID]],Dim_Reps!A:A,Dim_Reps!E:E)</f>
        <v>NAMER</v>
      </c>
      <c r="S3666" t="str">
        <f>_xlfn.XLOOKUP(Pipeline_tbl[[#This Row],[Created_Date]],Dim_Date!A:A,Dim_Date!H:H)</f>
        <v>Jun 2024</v>
      </c>
      <c r="T3666" t="str">
        <f>IF(Pipeline_tbl[[#This Row],[Closed_Date]]=0,"",(_xlfn.XLOOKUP(Pipeline_tbl[[#This Row],[Closed_Date]],Dim_Date!A:A,Dim_Date!H:H)))</f>
        <v>Jun 2024</v>
      </c>
      <c r="U3666">
        <f>IF(Pipeline_tbl[[#This Row],[Closed_Date]]=0,"",Pipeline_tbl[[#This Row],[Closed_Date]]-Pipeline_tbl[[#This Row],[Created_Date]])</f>
        <v>10</v>
      </c>
    </row>
    <row r="3667" spans="1:21" ht="15" customHeight="1" x14ac:dyDescent="0.2">
      <c r="A3667" t="s">
        <v>3973</v>
      </c>
      <c r="B3667" t="s">
        <v>231</v>
      </c>
      <c r="C3667" t="s">
        <v>52</v>
      </c>
      <c r="D3667" s="49">
        <v>45455</v>
      </c>
      <c r="E3667" s="49">
        <v>45456</v>
      </c>
      <c r="F3667" s="49">
        <v>45457</v>
      </c>
      <c r="G3667" s="49">
        <v>45459</v>
      </c>
      <c r="H3667" s="49">
        <v>45460</v>
      </c>
      <c r="I3667" s="49">
        <v>45461</v>
      </c>
      <c r="J3667" t="s">
        <v>47</v>
      </c>
      <c r="K3667" s="33">
        <v>4500</v>
      </c>
      <c r="M3667" t="str">
        <f>_xlfn.XLOOKUP(Pipeline_tbl[[#This Row],[Rep_ID]],Dim_Reps!A:A,Dim_Reps!K:K)</f>
        <v>MXN</v>
      </c>
      <c r="N3667" s="33">
        <f>(_xlfn.XLOOKUP(Pipeline_tbl[[#This Row],[Rate_Code_Generalized]],Lookups!A:A,Lookups!B:B))*Pipeline_tbl[[#This Row],[Pipeline_Amount_USD]]</f>
        <v>88797.150000000009</v>
      </c>
      <c r="O3667" t="str">
        <f>_xlfn.XLOOKUP(Pipeline_tbl[[#This Row],[Rep_ID]],Dim_Reps!A:A,Dim_Reps!B:B)</f>
        <v>Ben Silva</v>
      </c>
      <c r="P3667" t="str">
        <f>_xlfn.XLOOKUP(Pipeline_tbl[[#This Row],[Rep_ID]],Dim_Reps!A:A,Dim_Reps!C:C)</f>
        <v>SDR / Inside Sales Rep</v>
      </c>
      <c r="Q3667" t="str">
        <f>_xlfn.XLOOKUP(Pipeline_tbl[[#This Row],[Rep_ID]],Dim_Reps!A:A,Dim_Reps!D:D)</f>
        <v>Inside Sales</v>
      </c>
      <c r="R3667" t="str">
        <f>_xlfn.XLOOKUP(Pipeline_tbl[[#This Row],[Rep_ID]],Dim_Reps!A:A,Dim_Reps!E:E)</f>
        <v>LATAM</v>
      </c>
      <c r="S3667" t="str">
        <f>_xlfn.XLOOKUP(Pipeline_tbl[[#This Row],[Created_Date]],Dim_Date!A:A,Dim_Date!H:H)</f>
        <v>Jun 2024</v>
      </c>
      <c r="T3667" t="str">
        <f>IF(Pipeline_tbl[[#This Row],[Closed_Date]]=0,"",(_xlfn.XLOOKUP(Pipeline_tbl[[#This Row],[Closed_Date]],Dim_Date!A:A,Dim_Date!H:H)))</f>
        <v>Jun 2024</v>
      </c>
      <c r="U3667">
        <f>IF(Pipeline_tbl[[#This Row],[Closed_Date]]=0,"",Pipeline_tbl[[#This Row],[Closed_Date]]-Pipeline_tbl[[#This Row],[Created_Date]])</f>
        <v>6</v>
      </c>
    </row>
    <row r="3668" spans="1:21" ht="15" customHeight="1" x14ac:dyDescent="0.2">
      <c r="A3668" t="s">
        <v>3974</v>
      </c>
      <c r="B3668" t="s">
        <v>231</v>
      </c>
      <c r="C3668" t="s">
        <v>56</v>
      </c>
      <c r="D3668" s="49">
        <v>45447</v>
      </c>
      <c r="E3668" s="49">
        <v>45449</v>
      </c>
      <c r="F3668" s="49">
        <v>45453</v>
      </c>
      <c r="G3668" s="49">
        <v>45458</v>
      </c>
      <c r="H3668" s="49">
        <v>45463</v>
      </c>
      <c r="I3668" s="49">
        <v>45466</v>
      </c>
      <c r="J3668" t="s">
        <v>47</v>
      </c>
      <c r="K3668" s="33">
        <v>6600</v>
      </c>
      <c r="M3668" t="str">
        <f>_xlfn.XLOOKUP(Pipeline_tbl[[#This Row],[Rep_ID]],Dim_Reps!A:A,Dim_Reps!K:K)</f>
        <v>MXN</v>
      </c>
      <c r="N3668" s="33">
        <f>(_xlfn.XLOOKUP(Pipeline_tbl[[#This Row],[Rate_Code_Generalized]],Lookups!A:A,Lookups!B:B))*Pipeline_tbl[[#This Row],[Pipeline_Amount_USD]]</f>
        <v>130235.82</v>
      </c>
      <c r="O3668" t="str">
        <f>_xlfn.XLOOKUP(Pipeline_tbl[[#This Row],[Rep_ID]],Dim_Reps!A:A,Dim_Reps!B:B)</f>
        <v>Ben Silva</v>
      </c>
      <c r="P3668" t="str">
        <f>_xlfn.XLOOKUP(Pipeline_tbl[[#This Row],[Rep_ID]],Dim_Reps!A:A,Dim_Reps!C:C)</f>
        <v>SDR / Inside Sales Rep</v>
      </c>
      <c r="Q3668" t="str">
        <f>_xlfn.XLOOKUP(Pipeline_tbl[[#This Row],[Rep_ID]],Dim_Reps!A:A,Dim_Reps!D:D)</f>
        <v>Inside Sales</v>
      </c>
      <c r="R3668" t="str">
        <f>_xlfn.XLOOKUP(Pipeline_tbl[[#This Row],[Rep_ID]],Dim_Reps!A:A,Dim_Reps!E:E)</f>
        <v>LATAM</v>
      </c>
      <c r="S3668" t="str">
        <f>_xlfn.XLOOKUP(Pipeline_tbl[[#This Row],[Created_Date]],Dim_Date!A:A,Dim_Date!H:H)</f>
        <v>Jun 2024</v>
      </c>
      <c r="T3668" t="str">
        <f>IF(Pipeline_tbl[[#This Row],[Closed_Date]]=0,"",(_xlfn.XLOOKUP(Pipeline_tbl[[#This Row],[Closed_Date]],Dim_Date!A:A,Dim_Date!H:H)))</f>
        <v>Jun 2024</v>
      </c>
      <c r="U3668">
        <f>IF(Pipeline_tbl[[#This Row],[Closed_Date]]=0,"",Pipeline_tbl[[#This Row],[Closed_Date]]-Pipeline_tbl[[#This Row],[Created_Date]])</f>
        <v>19</v>
      </c>
    </row>
    <row r="3669" spans="1:21" ht="15" customHeight="1" x14ac:dyDescent="0.2">
      <c r="A3669" t="s">
        <v>3975</v>
      </c>
      <c r="B3669" t="s">
        <v>231</v>
      </c>
      <c r="C3669" t="s">
        <v>53</v>
      </c>
      <c r="D3669" s="49">
        <v>45445</v>
      </c>
      <c r="E3669" s="49">
        <v>45447</v>
      </c>
      <c r="F3669" s="49">
        <v>45450</v>
      </c>
      <c r="G3669" s="49">
        <v>45456</v>
      </c>
      <c r="H3669" s="49">
        <v>45460</v>
      </c>
      <c r="I3669" s="49">
        <v>45463</v>
      </c>
      <c r="J3669" t="s">
        <v>47</v>
      </c>
      <c r="K3669" s="33">
        <v>2900</v>
      </c>
      <c r="M3669" t="str">
        <f>_xlfn.XLOOKUP(Pipeline_tbl[[#This Row],[Rep_ID]],Dim_Reps!A:A,Dim_Reps!K:K)</f>
        <v>MXN</v>
      </c>
      <c r="N3669" s="33">
        <f>(_xlfn.XLOOKUP(Pipeline_tbl[[#This Row],[Rate_Code_Generalized]],Lookups!A:A,Lookups!B:B))*Pipeline_tbl[[#This Row],[Pipeline_Amount_USD]]</f>
        <v>57224.83</v>
      </c>
      <c r="O3669" t="str">
        <f>_xlfn.XLOOKUP(Pipeline_tbl[[#This Row],[Rep_ID]],Dim_Reps!A:A,Dim_Reps!B:B)</f>
        <v>Ben Silva</v>
      </c>
      <c r="P3669" t="str">
        <f>_xlfn.XLOOKUP(Pipeline_tbl[[#This Row],[Rep_ID]],Dim_Reps!A:A,Dim_Reps!C:C)</f>
        <v>SDR / Inside Sales Rep</v>
      </c>
      <c r="Q3669" t="str">
        <f>_xlfn.XLOOKUP(Pipeline_tbl[[#This Row],[Rep_ID]],Dim_Reps!A:A,Dim_Reps!D:D)</f>
        <v>Inside Sales</v>
      </c>
      <c r="R3669" t="str">
        <f>_xlfn.XLOOKUP(Pipeline_tbl[[#This Row],[Rep_ID]],Dim_Reps!A:A,Dim_Reps!E:E)</f>
        <v>LATAM</v>
      </c>
      <c r="S3669" t="str">
        <f>_xlfn.XLOOKUP(Pipeline_tbl[[#This Row],[Created_Date]],Dim_Date!A:A,Dim_Date!H:H)</f>
        <v>Jun 2024</v>
      </c>
      <c r="T3669" t="str">
        <f>IF(Pipeline_tbl[[#This Row],[Closed_Date]]=0,"",(_xlfn.XLOOKUP(Pipeline_tbl[[#This Row],[Closed_Date]],Dim_Date!A:A,Dim_Date!H:H)))</f>
        <v>Jun 2024</v>
      </c>
      <c r="U3669">
        <f>IF(Pipeline_tbl[[#This Row],[Closed_Date]]=0,"",Pipeline_tbl[[#This Row],[Closed_Date]]-Pipeline_tbl[[#This Row],[Created_Date]])</f>
        <v>18</v>
      </c>
    </row>
    <row r="3670" spans="1:21" ht="15" customHeight="1" x14ac:dyDescent="0.2">
      <c r="A3670" t="s">
        <v>3976</v>
      </c>
      <c r="B3670" t="s">
        <v>231</v>
      </c>
      <c r="C3670" t="s">
        <v>53</v>
      </c>
      <c r="D3670" s="49">
        <v>45449</v>
      </c>
      <c r="E3670" s="49">
        <v>45450</v>
      </c>
      <c r="F3670" s="49">
        <v>45452</v>
      </c>
      <c r="G3670" s="49">
        <v>45456</v>
      </c>
      <c r="H3670" s="49">
        <v>45458</v>
      </c>
      <c r="I3670" s="49">
        <v>45460</v>
      </c>
      <c r="J3670" t="s">
        <v>49</v>
      </c>
      <c r="K3670" s="33">
        <v>4900</v>
      </c>
      <c r="L3670" t="s">
        <v>60</v>
      </c>
      <c r="M3670" t="str">
        <f>_xlfn.XLOOKUP(Pipeline_tbl[[#This Row],[Rep_ID]],Dim_Reps!A:A,Dim_Reps!K:K)</f>
        <v>MXN</v>
      </c>
      <c r="N3670" s="33">
        <f>(_xlfn.XLOOKUP(Pipeline_tbl[[#This Row],[Rate_Code_Generalized]],Lookups!A:A,Lookups!B:B))*Pipeline_tbl[[#This Row],[Pipeline_Amount_USD]]</f>
        <v>96690.23000000001</v>
      </c>
      <c r="O3670" t="str">
        <f>_xlfn.XLOOKUP(Pipeline_tbl[[#This Row],[Rep_ID]],Dim_Reps!A:A,Dim_Reps!B:B)</f>
        <v>Ben Silva</v>
      </c>
      <c r="P3670" t="str">
        <f>_xlfn.XLOOKUP(Pipeline_tbl[[#This Row],[Rep_ID]],Dim_Reps!A:A,Dim_Reps!C:C)</f>
        <v>SDR / Inside Sales Rep</v>
      </c>
      <c r="Q3670" t="str">
        <f>_xlfn.XLOOKUP(Pipeline_tbl[[#This Row],[Rep_ID]],Dim_Reps!A:A,Dim_Reps!D:D)</f>
        <v>Inside Sales</v>
      </c>
      <c r="R3670" t="str">
        <f>_xlfn.XLOOKUP(Pipeline_tbl[[#This Row],[Rep_ID]],Dim_Reps!A:A,Dim_Reps!E:E)</f>
        <v>LATAM</v>
      </c>
      <c r="S3670" t="str">
        <f>_xlfn.XLOOKUP(Pipeline_tbl[[#This Row],[Created_Date]],Dim_Date!A:A,Dim_Date!H:H)</f>
        <v>Jun 2024</v>
      </c>
      <c r="T3670" t="str">
        <f>IF(Pipeline_tbl[[#This Row],[Closed_Date]]=0,"",(_xlfn.XLOOKUP(Pipeline_tbl[[#This Row],[Closed_Date]],Dim_Date!A:A,Dim_Date!H:H)))</f>
        <v>Jun 2024</v>
      </c>
      <c r="U3670">
        <f>IF(Pipeline_tbl[[#This Row],[Closed_Date]]=0,"",Pipeline_tbl[[#This Row],[Closed_Date]]-Pipeline_tbl[[#This Row],[Created_Date]])</f>
        <v>11</v>
      </c>
    </row>
    <row r="3671" spans="1:21" ht="15" customHeight="1" x14ac:dyDescent="0.2">
      <c r="A3671" t="s">
        <v>3977</v>
      </c>
      <c r="B3671" t="s">
        <v>231</v>
      </c>
      <c r="C3671" t="s">
        <v>53</v>
      </c>
      <c r="D3671" s="49">
        <v>45451</v>
      </c>
      <c r="E3671" s="49">
        <v>45453</v>
      </c>
      <c r="F3671" s="49">
        <v>45457</v>
      </c>
      <c r="G3671" s="49">
        <v>45463</v>
      </c>
      <c r="I3671" s="49">
        <v>45471</v>
      </c>
      <c r="J3671" t="s">
        <v>49</v>
      </c>
      <c r="K3671" s="33">
        <v>3400</v>
      </c>
      <c r="L3671" t="s">
        <v>61</v>
      </c>
      <c r="M3671" t="str">
        <f>_xlfn.XLOOKUP(Pipeline_tbl[[#This Row],[Rep_ID]],Dim_Reps!A:A,Dim_Reps!K:K)</f>
        <v>MXN</v>
      </c>
      <c r="N3671" s="33">
        <f>(_xlfn.XLOOKUP(Pipeline_tbl[[#This Row],[Rate_Code_Generalized]],Lookups!A:A,Lookups!B:B))*Pipeline_tbl[[#This Row],[Pipeline_Amount_USD]]</f>
        <v>67091.180000000008</v>
      </c>
      <c r="O3671" t="str">
        <f>_xlfn.XLOOKUP(Pipeline_tbl[[#This Row],[Rep_ID]],Dim_Reps!A:A,Dim_Reps!B:B)</f>
        <v>Ben Silva</v>
      </c>
      <c r="P3671" t="str">
        <f>_xlfn.XLOOKUP(Pipeline_tbl[[#This Row],[Rep_ID]],Dim_Reps!A:A,Dim_Reps!C:C)</f>
        <v>SDR / Inside Sales Rep</v>
      </c>
      <c r="Q3671" t="str">
        <f>_xlfn.XLOOKUP(Pipeline_tbl[[#This Row],[Rep_ID]],Dim_Reps!A:A,Dim_Reps!D:D)</f>
        <v>Inside Sales</v>
      </c>
      <c r="R3671" t="str">
        <f>_xlfn.XLOOKUP(Pipeline_tbl[[#This Row],[Rep_ID]],Dim_Reps!A:A,Dim_Reps!E:E)</f>
        <v>LATAM</v>
      </c>
      <c r="S3671" t="str">
        <f>_xlfn.XLOOKUP(Pipeline_tbl[[#This Row],[Created_Date]],Dim_Date!A:A,Dim_Date!H:H)</f>
        <v>Jun 2024</v>
      </c>
      <c r="T3671" t="str">
        <f>IF(Pipeline_tbl[[#This Row],[Closed_Date]]=0,"",(_xlfn.XLOOKUP(Pipeline_tbl[[#This Row],[Closed_Date]],Dim_Date!A:A,Dim_Date!H:H)))</f>
        <v>Jun 2024</v>
      </c>
      <c r="U3671">
        <f>IF(Pipeline_tbl[[#This Row],[Closed_Date]]=0,"",Pipeline_tbl[[#This Row],[Closed_Date]]-Pipeline_tbl[[#This Row],[Created_Date]])</f>
        <v>20</v>
      </c>
    </row>
    <row r="3672" spans="1:21" ht="15" customHeight="1" x14ac:dyDescent="0.2">
      <c r="A3672" t="s">
        <v>3978</v>
      </c>
      <c r="B3672" t="s">
        <v>231</v>
      </c>
      <c r="C3672" t="s">
        <v>54</v>
      </c>
      <c r="D3672" s="49">
        <v>45445</v>
      </c>
      <c r="E3672" s="49">
        <v>45447</v>
      </c>
      <c r="F3672" s="49">
        <v>45451</v>
      </c>
      <c r="G3672" s="49">
        <v>45456</v>
      </c>
      <c r="H3672" s="49">
        <v>45461</v>
      </c>
      <c r="I3672" s="49">
        <v>45464</v>
      </c>
      <c r="J3672" t="s">
        <v>47</v>
      </c>
      <c r="K3672" s="33">
        <v>3900</v>
      </c>
      <c r="M3672" t="str">
        <f>_xlfn.XLOOKUP(Pipeline_tbl[[#This Row],[Rep_ID]],Dim_Reps!A:A,Dim_Reps!K:K)</f>
        <v>MXN</v>
      </c>
      <c r="N3672" s="33">
        <f>(_xlfn.XLOOKUP(Pipeline_tbl[[#This Row],[Rate_Code_Generalized]],Lookups!A:A,Lookups!B:B))*Pipeline_tbl[[#This Row],[Pipeline_Amount_USD]]</f>
        <v>76957.53</v>
      </c>
      <c r="O3672" t="str">
        <f>_xlfn.XLOOKUP(Pipeline_tbl[[#This Row],[Rep_ID]],Dim_Reps!A:A,Dim_Reps!B:B)</f>
        <v>Ben Silva</v>
      </c>
      <c r="P3672" t="str">
        <f>_xlfn.XLOOKUP(Pipeline_tbl[[#This Row],[Rep_ID]],Dim_Reps!A:A,Dim_Reps!C:C)</f>
        <v>SDR / Inside Sales Rep</v>
      </c>
      <c r="Q3672" t="str">
        <f>_xlfn.XLOOKUP(Pipeline_tbl[[#This Row],[Rep_ID]],Dim_Reps!A:A,Dim_Reps!D:D)</f>
        <v>Inside Sales</v>
      </c>
      <c r="R3672" t="str">
        <f>_xlfn.XLOOKUP(Pipeline_tbl[[#This Row],[Rep_ID]],Dim_Reps!A:A,Dim_Reps!E:E)</f>
        <v>LATAM</v>
      </c>
      <c r="S3672" t="str">
        <f>_xlfn.XLOOKUP(Pipeline_tbl[[#This Row],[Created_Date]],Dim_Date!A:A,Dim_Date!H:H)</f>
        <v>Jun 2024</v>
      </c>
      <c r="T3672" t="str">
        <f>IF(Pipeline_tbl[[#This Row],[Closed_Date]]=0,"",(_xlfn.XLOOKUP(Pipeline_tbl[[#This Row],[Closed_Date]],Dim_Date!A:A,Dim_Date!H:H)))</f>
        <v>Jun 2024</v>
      </c>
      <c r="U3672">
        <f>IF(Pipeline_tbl[[#This Row],[Closed_Date]]=0,"",Pipeline_tbl[[#This Row],[Closed_Date]]-Pipeline_tbl[[#This Row],[Created_Date]])</f>
        <v>19</v>
      </c>
    </row>
    <row r="3673" spans="1:21" ht="15" customHeight="1" x14ac:dyDescent="0.2">
      <c r="A3673" t="s">
        <v>3979</v>
      </c>
      <c r="B3673" t="s">
        <v>263</v>
      </c>
      <c r="C3673" t="s">
        <v>53</v>
      </c>
      <c r="D3673" s="49">
        <v>45445</v>
      </c>
      <c r="E3673" s="49">
        <v>45447</v>
      </c>
      <c r="F3673" s="49">
        <v>45451</v>
      </c>
      <c r="G3673" s="49">
        <v>45457</v>
      </c>
      <c r="I3673" s="49">
        <v>45465</v>
      </c>
      <c r="J3673" t="s">
        <v>49</v>
      </c>
      <c r="K3673" s="33">
        <v>19500</v>
      </c>
      <c r="L3673" t="s">
        <v>62</v>
      </c>
      <c r="M3673" t="str">
        <f>_xlfn.XLOOKUP(Pipeline_tbl[[#This Row],[Rep_ID]],Dim_Reps!A:A,Dim_Reps!K:K)</f>
        <v>USD</v>
      </c>
      <c r="N3673" s="33">
        <f>(_xlfn.XLOOKUP(Pipeline_tbl[[#This Row],[Rate_Code_Generalized]],Lookups!A:A,Lookups!B:B))*Pipeline_tbl[[#This Row],[Pipeline_Amount_USD]]</f>
        <v>22703.85</v>
      </c>
      <c r="O3673" t="str">
        <f>_xlfn.XLOOKUP(Pipeline_tbl[[#This Row],[Rep_ID]],Dim_Reps!A:A,Dim_Reps!B:B)</f>
        <v>Morgan Weber</v>
      </c>
      <c r="P3673" t="str">
        <f>_xlfn.XLOOKUP(Pipeline_tbl[[#This Row],[Rep_ID]],Dim_Reps!A:A,Dim_Reps!C:C)</f>
        <v>Mid-Market AE</v>
      </c>
      <c r="Q3673" t="str">
        <f>_xlfn.XLOOKUP(Pipeline_tbl[[#This Row],[Rep_ID]],Dim_Reps!A:A,Dim_Reps!D:D)</f>
        <v>Mid-Market</v>
      </c>
      <c r="R3673" t="str">
        <f>_xlfn.XLOOKUP(Pipeline_tbl[[#This Row],[Rep_ID]],Dim_Reps!A:A,Dim_Reps!E:E)</f>
        <v>NAMER</v>
      </c>
      <c r="S3673" t="str">
        <f>_xlfn.XLOOKUP(Pipeline_tbl[[#This Row],[Created_Date]],Dim_Date!A:A,Dim_Date!H:H)</f>
        <v>Jun 2024</v>
      </c>
      <c r="T3673" t="str">
        <f>IF(Pipeline_tbl[[#This Row],[Closed_Date]]=0,"",(_xlfn.XLOOKUP(Pipeline_tbl[[#This Row],[Closed_Date]],Dim_Date!A:A,Dim_Date!H:H)))</f>
        <v>Jun 2024</v>
      </c>
      <c r="U3673">
        <f>IF(Pipeline_tbl[[#This Row],[Closed_Date]]=0,"",Pipeline_tbl[[#This Row],[Closed_Date]]-Pipeline_tbl[[#This Row],[Created_Date]])</f>
        <v>20</v>
      </c>
    </row>
    <row r="3674" spans="1:21" ht="15" customHeight="1" x14ac:dyDescent="0.2">
      <c r="A3674" t="s">
        <v>3980</v>
      </c>
      <c r="B3674" t="s">
        <v>263</v>
      </c>
      <c r="C3674" t="s">
        <v>54</v>
      </c>
      <c r="D3674" s="49">
        <v>45449</v>
      </c>
      <c r="E3674" s="49">
        <v>45451</v>
      </c>
      <c r="F3674" s="49">
        <v>45455</v>
      </c>
      <c r="G3674" s="49">
        <v>45460</v>
      </c>
      <c r="H3674" s="49">
        <v>45465</v>
      </c>
      <c r="I3674" s="49">
        <v>45468</v>
      </c>
      <c r="J3674" t="s">
        <v>47</v>
      </c>
      <c r="K3674" s="33">
        <v>12200</v>
      </c>
      <c r="M3674" t="str">
        <f>_xlfn.XLOOKUP(Pipeline_tbl[[#This Row],[Rep_ID]],Dim_Reps!A:A,Dim_Reps!K:K)</f>
        <v>USD</v>
      </c>
      <c r="N3674" s="33">
        <f>(_xlfn.XLOOKUP(Pipeline_tbl[[#This Row],[Rate_Code_Generalized]],Lookups!A:A,Lookups!B:B))*Pipeline_tbl[[#This Row],[Pipeline_Amount_USD]]</f>
        <v>14204.46</v>
      </c>
      <c r="O3674" t="str">
        <f>_xlfn.XLOOKUP(Pipeline_tbl[[#This Row],[Rep_ID]],Dim_Reps!A:A,Dim_Reps!B:B)</f>
        <v>Morgan Weber</v>
      </c>
      <c r="P3674" t="str">
        <f>_xlfn.XLOOKUP(Pipeline_tbl[[#This Row],[Rep_ID]],Dim_Reps!A:A,Dim_Reps!C:C)</f>
        <v>Mid-Market AE</v>
      </c>
      <c r="Q3674" t="str">
        <f>_xlfn.XLOOKUP(Pipeline_tbl[[#This Row],[Rep_ID]],Dim_Reps!A:A,Dim_Reps!D:D)</f>
        <v>Mid-Market</v>
      </c>
      <c r="R3674" t="str">
        <f>_xlfn.XLOOKUP(Pipeline_tbl[[#This Row],[Rep_ID]],Dim_Reps!A:A,Dim_Reps!E:E)</f>
        <v>NAMER</v>
      </c>
      <c r="S3674" t="str">
        <f>_xlfn.XLOOKUP(Pipeline_tbl[[#This Row],[Created_Date]],Dim_Date!A:A,Dim_Date!H:H)</f>
        <v>Jun 2024</v>
      </c>
      <c r="T3674" t="str">
        <f>IF(Pipeline_tbl[[#This Row],[Closed_Date]]=0,"",(_xlfn.XLOOKUP(Pipeline_tbl[[#This Row],[Closed_Date]],Dim_Date!A:A,Dim_Date!H:H)))</f>
        <v>Jun 2024</v>
      </c>
      <c r="U3674">
        <f>IF(Pipeline_tbl[[#This Row],[Closed_Date]]=0,"",Pipeline_tbl[[#This Row],[Closed_Date]]-Pipeline_tbl[[#This Row],[Created_Date]])</f>
        <v>19</v>
      </c>
    </row>
    <row r="3675" spans="1:21" ht="15" customHeight="1" x14ac:dyDescent="0.2">
      <c r="A3675" t="s">
        <v>3981</v>
      </c>
      <c r="B3675" t="s">
        <v>265</v>
      </c>
      <c r="C3675" t="s">
        <v>53</v>
      </c>
      <c r="D3675" s="49">
        <v>45444</v>
      </c>
      <c r="E3675" s="49">
        <v>45447</v>
      </c>
      <c r="F3675" s="49">
        <v>45452</v>
      </c>
      <c r="G3675" s="49">
        <v>45460</v>
      </c>
      <c r="H3675" s="49">
        <v>45466</v>
      </c>
      <c r="I3675" s="49">
        <v>45470</v>
      </c>
      <c r="J3675" t="s">
        <v>47</v>
      </c>
      <c r="K3675" s="33">
        <v>12200</v>
      </c>
      <c r="M3675" t="str">
        <f>_xlfn.XLOOKUP(Pipeline_tbl[[#This Row],[Rep_ID]],Dim_Reps!A:A,Dim_Reps!K:K)</f>
        <v>EUR</v>
      </c>
      <c r="N3675" s="33">
        <f>(_xlfn.XLOOKUP(Pipeline_tbl[[#This Row],[Rate_Code_Generalized]],Lookups!A:A,Lookups!B:B))*Pipeline_tbl[[#This Row],[Pipeline_Amount_USD]]</f>
        <v>12200</v>
      </c>
      <c r="O3675" t="str">
        <f>_xlfn.XLOOKUP(Pipeline_tbl[[#This Row],[Rep_ID]],Dim_Reps!A:A,Dim_Reps!B:B)</f>
        <v>Erik Duarte</v>
      </c>
      <c r="P3675" t="str">
        <f>_xlfn.XLOOKUP(Pipeline_tbl[[#This Row],[Rep_ID]],Dim_Reps!A:A,Dim_Reps!C:C)</f>
        <v>Mid-Market AE</v>
      </c>
      <c r="Q3675" t="str">
        <f>_xlfn.XLOOKUP(Pipeline_tbl[[#This Row],[Rep_ID]],Dim_Reps!A:A,Dim_Reps!D:D)</f>
        <v>Mid-Market</v>
      </c>
      <c r="R3675" t="str">
        <f>_xlfn.XLOOKUP(Pipeline_tbl[[#This Row],[Rep_ID]],Dim_Reps!A:A,Dim_Reps!E:E)</f>
        <v>EMEA</v>
      </c>
      <c r="S3675" t="str">
        <f>_xlfn.XLOOKUP(Pipeline_tbl[[#This Row],[Created_Date]],Dim_Date!A:A,Dim_Date!H:H)</f>
        <v>Jun 2024</v>
      </c>
      <c r="T3675" t="str">
        <f>IF(Pipeline_tbl[[#This Row],[Closed_Date]]=0,"",(_xlfn.XLOOKUP(Pipeline_tbl[[#This Row],[Closed_Date]],Dim_Date!A:A,Dim_Date!H:H)))</f>
        <v>Jun 2024</v>
      </c>
      <c r="U3675">
        <f>IF(Pipeline_tbl[[#This Row],[Closed_Date]]=0,"",Pipeline_tbl[[#This Row],[Closed_Date]]-Pipeline_tbl[[#This Row],[Created_Date]])</f>
        <v>26</v>
      </c>
    </row>
    <row r="3676" spans="1:21" ht="15" customHeight="1" x14ac:dyDescent="0.2">
      <c r="A3676" t="s">
        <v>3982</v>
      </c>
      <c r="B3676" t="s">
        <v>233</v>
      </c>
      <c r="C3676" t="s">
        <v>53</v>
      </c>
      <c r="D3676" s="49">
        <v>45449</v>
      </c>
      <c r="E3676" s="49">
        <v>45451</v>
      </c>
      <c r="F3676" s="49">
        <v>45455</v>
      </c>
      <c r="G3676" s="49">
        <v>45460</v>
      </c>
      <c r="H3676" s="49">
        <v>45465</v>
      </c>
      <c r="I3676" s="49">
        <v>45468</v>
      </c>
      <c r="J3676" t="s">
        <v>47</v>
      </c>
      <c r="K3676" s="33">
        <v>8500</v>
      </c>
      <c r="M3676" t="str">
        <f>_xlfn.XLOOKUP(Pipeline_tbl[[#This Row],[Rep_ID]],Dim_Reps!A:A,Dim_Reps!K:K)</f>
        <v>MXN</v>
      </c>
      <c r="N3676" s="33">
        <f>(_xlfn.XLOOKUP(Pipeline_tbl[[#This Row],[Rate_Code_Generalized]],Lookups!A:A,Lookups!B:B))*Pipeline_tbl[[#This Row],[Pipeline_Amount_USD]]</f>
        <v>167727.95000000001</v>
      </c>
      <c r="O3676" t="str">
        <f>_xlfn.XLOOKUP(Pipeline_tbl[[#This Row],[Rep_ID]],Dim_Reps!A:A,Dim_Reps!B:B)</f>
        <v>Lucas Duarte</v>
      </c>
      <c r="P3676" t="str">
        <f>_xlfn.XLOOKUP(Pipeline_tbl[[#This Row],[Rep_ID]],Dim_Reps!A:A,Dim_Reps!C:C)</f>
        <v>SDR / Inside Sales Rep</v>
      </c>
      <c r="Q3676" t="str">
        <f>_xlfn.XLOOKUP(Pipeline_tbl[[#This Row],[Rep_ID]],Dim_Reps!A:A,Dim_Reps!D:D)</f>
        <v>Inside Sales</v>
      </c>
      <c r="R3676" t="str">
        <f>_xlfn.XLOOKUP(Pipeline_tbl[[#This Row],[Rep_ID]],Dim_Reps!A:A,Dim_Reps!E:E)</f>
        <v>LATAM</v>
      </c>
      <c r="S3676" t="str">
        <f>_xlfn.XLOOKUP(Pipeline_tbl[[#This Row],[Created_Date]],Dim_Date!A:A,Dim_Date!H:H)</f>
        <v>Jun 2024</v>
      </c>
      <c r="T3676" t="str">
        <f>IF(Pipeline_tbl[[#This Row],[Closed_Date]]=0,"",(_xlfn.XLOOKUP(Pipeline_tbl[[#This Row],[Closed_Date]],Dim_Date!A:A,Dim_Date!H:H)))</f>
        <v>Jun 2024</v>
      </c>
      <c r="U3676">
        <f>IF(Pipeline_tbl[[#This Row],[Closed_Date]]=0,"",Pipeline_tbl[[#This Row],[Closed_Date]]-Pipeline_tbl[[#This Row],[Created_Date]])</f>
        <v>19</v>
      </c>
    </row>
    <row r="3677" spans="1:21" ht="15" customHeight="1" x14ac:dyDescent="0.2">
      <c r="A3677" t="s">
        <v>3983</v>
      </c>
      <c r="B3677" t="s">
        <v>233</v>
      </c>
      <c r="C3677" t="s">
        <v>54</v>
      </c>
      <c r="D3677" s="49">
        <v>45446</v>
      </c>
      <c r="E3677" s="49">
        <v>45448</v>
      </c>
      <c r="F3677" s="49">
        <v>45453</v>
      </c>
      <c r="I3677" s="49">
        <v>45469</v>
      </c>
      <c r="J3677" t="s">
        <v>49</v>
      </c>
      <c r="K3677" s="33">
        <v>3100</v>
      </c>
      <c r="L3677" t="s">
        <v>62</v>
      </c>
      <c r="M3677" t="str">
        <f>_xlfn.XLOOKUP(Pipeline_tbl[[#This Row],[Rep_ID]],Dim_Reps!A:A,Dim_Reps!K:K)</f>
        <v>MXN</v>
      </c>
      <c r="N3677" s="33">
        <f>(_xlfn.XLOOKUP(Pipeline_tbl[[#This Row],[Rate_Code_Generalized]],Lookups!A:A,Lookups!B:B))*Pipeline_tbl[[#This Row],[Pipeline_Amount_USD]]</f>
        <v>61171.37</v>
      </c>
      <c r="O3677" t="str">
        <f>_xlfn.XLOOKUP(Pipeline_tbl[[#This Row],[Rep_ID]],Dim_Reps!A:A,Dim_Reps!B:B)</f>
        <v>Lucas Duarte</v>
      </c>
      <c r="P3677" t="str">
        <f>_xlfn.XLOOKUP(Pipeline_tbl[[#This Row],[Rep_ID]],Dim_Reps!A:A,Dim_Reps!C:C)</f>
        <v>SDR / Inside Sales Rep</v>
      </c>
      <c r="Q3677" t="str">
        <f>_xlfn.XLOOKUP(Pipeline_tbl[[#This Row],[Rep_ID]],Dim_Reps!A:A,Dim_Reps!D:D)</f>
        <v>Inside Sales</v>
      </c>
      <c r="R3677" t="str">
        <f>_xlfn.XLOOKUP(Pipeline_tbl[[#This Row],[Rep_ID]],Dim_Reps!A:A,Dim_Reps!E:E)</f>
        <v>LATAM</v>
      </c>
      <c r="S3677" t="str">
        <f>_xlfn.XLOOKUP(Pipeline_tbl[[#This Row],[Created_Date]],Dim_Date!A:A,Dim_Date!H:H)</f>
        <v>Jun 2024</v>
      </c>
      <c r="T3677" t="str">
        <f>IF(Pipeline_tbl[[#This Row],[Closed_Date]]=0,"",(_xlfn.XLOOKUP(Pipeline_tbl[[#This Row],[Closed_Date]],Dim_Date!A:A,Dim_Date!H:H)))</f>
        <v>Jun 2024</v>
      </c>
      <c r="U3677">
        <f>IF(Pipeline_tbl[[#This Row],[Closed_Date]]=0,"",Pipeline_tbl[[#This Row],[Closed_Date]]-Pipeline_tbl[[#This Row],[Created_Date]])</f>
        <v>23</v>
      </c>
    </row>
    <row r="3678" spans="1:21" ht="15" customHeight="1" x14ac:dyDescent="0.2">
      <c r="A3678" t="s">
        <v>3984</v>
      </c>
      <c r="B3678" t="s">
        <v>233</v>
      </c>
      <c r="C3678" t="s">
        <v>53</v>
      </c>
      <c r="D3678" s="49">
        <v>45445</v>
      </c>
      <c r="E3678" s="49">
        <v>45447</v>
      </c>
      <c r="F3678" s="49">
        <v>45450</v>
      </c>
      <c r="I3678" s="49">
        <v>45460</v>
      </c>
      <c r="J3678" t="s">
        <v>49</v>
      </c>
      <c r="K3678" s="33">
        <v>7300</v>
      </c>
      <c r="L3678" t="s">
        <v>60</v>
      </c>
      <c r="M3678" t="str">
        <f>_xlfn.XLOOKUP(Pipeline_tbl[[#This Row],[Rep_ID]],Dim_Reps!A:A,Dim_Reps!K:K)</f>
        <v>MXN</v>
      </c>
      <c r="N3678" s="33">
        <f>(_xlfn.XLOOKUP(Pipeline_tbl[[#This Row],[Rate_Code_Generalized]],Lookups!A:A,Lookups!B:B))*Pipeline_tbl[[#This Row],[Pipeline_Amount_USD]]</f>
        <v>144048.71000000002</v>
      </c>
      <c r="O3678" t="str">
        <f>_xlfn.XLOOKUP(Pipeline_tbl[[#This Row],[Rep_ID]],Dim_Reps!A:A,Dim_Reps!B:B)</f>
        <v>Lucas Duarte</v>
      </c>
      <c r="P3678" t="str">
        <f>_xlfn.XLOOKUP(Pipeline_tbl[[#This Row],[Rep_ID]],Dim_Reps!A:A,Dim_Reps!C:C)</f>
        <v>SDR / Inside Sales Rep</v>
      </c>
      <c r="Q3678" t="str">
        <f>_xlfn.XLOOKUP(Pipeline_tbl[[#This Row],[Rep_ID]],Dim_Reps!A:A,Dim_Reps!D:D)</f>
        <v>Inside Sales</v>
      </c>
      <c r="R3678" t="str">
        <f>_xlfn.XLOOKUP(Pipeline_tbl[[#This Row],[Rep_ID]],Dim_Reps!A:A,Dim_Reps!E:E)</f>
        <v>LATAM</v>
      </c>
      <c r="S3678" t="str">
        <f>_xlfn.XLOOKUP(Pipeline_tbl[[#This Row],[Created_Date]],Dim_Date!A:A,Dim_Date!H:H)</f>
        <v>Jun 2024</v>
      </c>
      <c r="T3678" t="str">
        <f>IF(Pipeline_tbl[[#This Row],[Closed_Date]]=0,"",(_xlfn.XLOOKUP(Pipeline_tbl[[#This Row],[Closed_Date]],Dim_Date!A:A,Dim_Date!H:H)))</f>
        <v>Jun 2024</v>
      </c>
      <c r="U3678">
        <f>IF(Pipeline_tbl[[#This Row],[Closed_Date]]=0,"",Pipeline_tbl[[#This Row],[Closed_Date]]-Pipeline_tbl[[#This Row],[Created_Date]])</f>
        <v>15</v>
      </c>
    </row>
    <row r="3679" spans="1:21" ht="15" customHeight="1" x14ac:dyDescent="0.2">
      <c r="A3679" t="s">
        <v>3985</v>
      </c>
      <c r="B3679" t="s">
        <v>233</v>
      </c>
      <c r="C3679" t="s">
        <v>52</v>
      </c>
      <c r="D3679" s="49">
        <v>45444</v>
      </c>
      <c r="E3679" s="49">
        <v>45446</v>
      </c>
      <c r="F3679" s="49">
        <v>45450</v>
      </c>
      <c r="G3679" s="49">
        <v>45456</v>
      </c>
      <c r="H3679" s="49">
        <v>45461</v>
      </c>
      <c r="I3679" s="49">
        <v>45464</v>
      </c>
      <c r="J3679" t="s">
        <v>49</v>
      </c>
      <c r="K3679" s="33">
        <v>2700</v>
      </c>
      <c r="L3679" t="s">
        <v>62</v>
      </c>
      <c r="M3679" t="str">
        <f>_xlfn.XLOOKUP(Pipeline_tbl[[#This Row],[Rep_ID]],Dim_Reps!A:A,Dim_Reps!K:K)</f>
        <v>MXN</v>
      </c>
      <c r="N3679" s="33">
        <f>(_xlfn.XLOOKUP(Pipeline_tbl[[#This Row],[Rate_Code_Generalized]],Lookups!A:A,Lookups!B:B))*Pipeline_tbl[[#This Row],[Pipeline_Amount_USD]]</f>
        <v>53278.29</v>
      </c>
      <c r="O3679" t="str">
        <f>_xlfn.XLOOKUP(Pipeline_tbl[[#This Row],[Rep_ID]],Dim_Reps!A:A,Dim_Reps!B:B)</f>
        <v>Lucas Duarte</v>
      </c>
      <c r="P3679" t="str">
        <f>_xlfn.XLOOKUP(Pipeline_tbl[[#This Row],[Rep_ID]],Dim_Reps!A:A,Dim_Reps!C:C)</f>
        <v>SDR / Inside Sales Rep</v>
      </c>
      <c r="Q3679" t="str">
        <f>_xlfn.XLOOKUP(Pipeline_tbl[[#This Row],[Rep_ID]],Dim_Reps!A:A,Dim_Reps!D:D)</f>
        <v>Inside Sales</v>
      </c>
      <c r="R3679" t="str">
        <f>_xlfn.XLOOKUP(Pipeline_tbl[[#This Row],[Rep_ID]],Dim_Reps!A:A,Dim_Reps!E:E)</f>
        <v>LATAM</v>
      </c>
      <c r="S3679" t="str">
        <f>_xlfn.XLOOKUP(Pipeline_tbl[[#This Row],[Created_Date]],Dim_Date!A:A,Dim_Date!H:H)</f>
        <v>Jun 2024</v>
      </c>
      <c r="T3679" t="str">
        <f>IF(Pipeline_tbl[[#This Row],[Closed_Date]]=0,"",(_xlfn.XLOOKUP(Pipeline_tbl[[#This Row],[Closed_Date]],Dim_Date!A:A,Dim_Date!H:H)))</f>
        <v>Jun 2024</v>
      </c>
      <c r="U3679">
        <f>IF(Pipeline_tbl[[#This Row],[Closed_Date]]=0,"",Pipeline_tbl[[#This Row],[Closed_Date]]-Pipeline_tbl[[#This Row],[Created_Date]])</f>
        <v>20</v>
      </c>
    </row>
    <row r="3680" spans="1:21" ht="15" customHeight="1" x14ac:dyDescent="0.2">
      <c r="A3680" t="s">
        <v>3986</v>
      </c>
      <c r="B3680" t="s">
        <v>233</v>
      </c>
      <c r="C3680" t="s">
        <v>53</v>
      </c>
      <c r="D3680" s="49">
        <v>45452</v>
      </c>
      <c r="E3680" s="49">
        <v>45454</v>
      </c>
      <c r="F3680" s="49">
        <v>45457</v>
      </c>
      <c r="G3680" s="49">
        <v>45461</v>
      </c>
      <c r="I3680" s="49">
        <v>45467</v>
      </c>
      <c r="J3680" t="s">
        <v>49</v>
      </c>
      <c r="K3680" s="33">
        <v>8800</v>
      </c>
      <c r="L3680" t="s">
        <v>63</v>
      </c>
      <c r="M3680" t="str">
        <f>_xlfn.XLOOKUP(Pipeline_tbl[[#This Row],[Rep_ID]],Dim_Reps!A:A,Dim_Reps!K:K)</f>
        <v>MXN</v>
      </c>
      <c r="N3680" s="33">
        <f>(_xlfn.XLOOKUP(Pipeline_tbl[[#This Row],[Rate_Code_Generalized]],Lookups!A:A,Lookups!B:B))*Pipeline_tbl[[#This Row],[Pipeline_Amount_USD]]</f>
        <v>173647.76</v>
      </c>
      <c r="O3680" t="str">
        <f>_xlfn.XLOOKUP(Pipeline_tbl[[#This Row],[Rep_ID]],Dim_Reps!A:A,Dim_Reps!B:B)</f>
        <v>Lucas Duarte</v>
      </c>
      <c r="P3680" t="str">
        <f>_xlfn.XLOOKUP(Pipeline_tbl[[#This Row],[Rep_ID]],Dim_Reps!A:A,Dim_Reps!C:C)</f>
        <v>SDR / Inside Sales Rep</v>
      </c>
      <c r="Q3680" t="str">
        <f>_xlfn.XLOOKUP(Pipeline_tbl[[#This Row],[Rep_ID]],Dim_Reps!A:A,Dim_Reps!D:D)</f>
        <v>Inside Sales</v>
      </c>
      <c r="R3680" t="str">
        <f>_xlfn.XLOOKUP(Pipeline_tbl[[#This Row],[Rep_ID]],Dim_Reps!A:A,Dim_Reps!E:E)</f>
        <v>LATAM</v>
      </c>
      <c r="S3680" t="str">
        <f>_xlfn.XLOOKUP(Pipeline_tbl[[#This Row],[Created_Date]],Dim_Date!A:A,Dim_Date!H:H)</f>
        <v>Jun 2024</v>
      </c>
      <c r="T3680" t="str">
        <f>IF(Pipeline_tbl[[#This Row],[Closed_Date]]=0,"",(_xlfn.XLOOKUP(Pipeline_tbl[[#This Row],[Closed_Date]],Dim_Date!A:A,Dim_Date!H:H)))</f>
        <v>Jun 2024</v>
      </c>
      <c r="U3680">
        <f>IF(Pipeline_tbl[[#This Row],[Closed_Date]]=0,"",Pipeline_tbl[[#This Row],[Closed_Date]]-Pipeline_tbl[[#This Row],[Created_Date]])</f>
        <v>15</v>
      </c>
    </row>
    <row r="3681" spans="1:21" ht="15" customHeight="1" x14ac:dyDescent="0.2">
      <c r="A3681" t="s">
        <v>3987</v>
      </c>
      <c r="B3681" t="s">
        <v>233</v>
      </c>
      <c r="C3681" t="s">
        <v>52</v>
      </c>
      <c r="D3681" s="49">
        <v>45447</v>
      </c>
      <c r="E3681" s="49">
        <v>45448</v>
      </c>
      <c r="F3681" s="49">
        <v>45451</v>
      </c>
      <c r="G3681" s="49">
        <v>45454</v>
      </c>
      <c r="H3681" s="49">
        <v>45457</v>
      </c>
      <c r="I3681" s="49">
        <v>45459</v>
      </c>
      <c r="J3681" t="s">
        <v>47</v>
      </c>
      <c r="K3681" s="33">
        <v>4900</v>
      </c>
      <c r="M3681" t="str">
        <f>_xlfn.XLOOKUP(Pipeline_tbl[[#This Row],[Rep_ID]],Dim_Reps!A:A,Dim_Reps!K:K)</f>
        <v>MXN</v>
      </c>
      <c r="N3681" s="33">
        <f>(_xlfn.XLOOKUP(Pipeline_tbl[[#This Row],[Rate_Code_Generalized]],Lookups!A:A,Lookups!B:B))*Pipeline_tbl[[#This Row],[Pipeline_Amount_USD]]</f>
        <v>96690.23000000001</v>
      </c>
      <c r="O3681" t="str">
        <f>_xlfn.XLOOKUP(Pipeline_tbl[[#This Row],[Rep_ID]],Dim_Reps!A:A,Dim_Reps!B:B)</f>
        <v>Lucas Duarte</v>
      </c>
      <c r="P3681" t="str">
        <f>_xlfn.XLOOKUP(Pipeline_tbl[[#This Row],[Rep_ID]],Dim_Reps!A:A,Dim_Reps!C:C)</f>
        <v>SDR / Inside Sales Rep</v>
      </c>
      <c r="Q3681" t="str">
        <f>_xlfn.XLOOKUP(Pipeline_tbl[[#This Row],[Rep_ID]],Dim_Reps!A:A,Dim_Reps!D:D)</f>
        <v>Inside Sales</v>
      </c>
      <c r="R3681" t="str">
        <f>_xlfn.XLOOKUP(Pipeline_tbl[[#This Row],[Rep_ID]],Dim_Reps!A:A,Dim_Reps!E:E)</f>
        <v>LATAM</v>
      </c>
      <c r="S3681" t="str">
        <f>_xlfn.XLOOKUP(Pipeline_tbl[[#This Row],[Created_Date]],Dim_Date!A:A,Dim_Date!H:H)</f>
        <v>Jun 2024</v>
      </c>
      <c r="T3681" t="str">
        <f>IF(Pipeline_tbl[[#This Row],[Closed_Date]]=0,"",(_xlfn.XLOOKUP(Pipeline_tbl[[#This Row],[Closed_Date]],Dim_Date!A:A,Dim_Date!H:H)))</f>
        <v>Jun 2024</v>
      </c>
      <c r="U3681">
        <f>IF(Pipeline_tbl[[#This Row],[Closed_Date]]=0,"",Pipeline_tbl[[#This Row],[Closed_Date]]-Pipeline_tbl[[#This Row],[Created_Date]])</f>
        <v>12</v>
      </c>
    </row>
    <row r="3682" spans="1:21" ht="15" customHeight="1" x14ac:dyDescent="0.2">
      <c r="A3682" t="s">
        <v>3988</v>
      </c>
      <c r="B3682" t="s">
        <v>233</v>
      </c>
      <c r="C3682" t="s">
        <v>52</v>
      </c>
      <c r="D3682" s="49">
        <v>45446</v>
      </c>
      <c r="E3682" s="49">
        <v>45448</v>
      </c>
      <c r="F3682" s="49">
        <v>45451</v>
      </c>
      <c r="G3682" s="49">
        <v>45455</v>
      </c>
      <c r="I3682" s="49">
        <v>45461</v>
      </c>
      <c r="J3682" t="s">
        <v>49</v>
      </c>
      <c r="K3682" s="33">
        <v>2400</v>
      </c>
      <c r="L3682" t="s">
        <v>61</v>
      </c>
      <c r="M3682" t="str">
        <f>_xlfn.XLOOKUP(Pipeline_tbl[[#This Row],[Rep_ID]],Dim_Reps!A:A,Dim_Reps!K:K)</f>
        <v>MXN</v>
      </c>
      <c r="N3682" s="33">
        <f>(_xlfn.XLOOKUP(Pipeline_tbl[[#This Row],[Rate_Code_Generalized]],Lookups!A:A,Lookups!B:B))*Pipeline_tbl[[#This Row],[Pipeline_Amount_USD]]</f>
        <v>47358.48</v>
      </c>
      <c r="O3682" t="str">
        <f>_xlfn.XLOOKUP(Pipeline_tbl[[#This Row],[Rep_ID]],Dim_Reps!A:A,Dim_Reps!B:B)</f>
        <v>Lucas Duarte</v>
      </c>
      <c r="P3682" t="str">
        <f>_xlfn.XLOOKUP(Pipeline_tbl[[#This Row],[Rep_ID]],Dim_Reps!A:A,Dim_Reps!C:C)</f>
        <v>SDR / Inside Sales Rep</v>
      </c>
      <c r="Q3682" t="str">
        <f>_xlfn.XLOOKUP(Pipeline_tbl[[#This Row],[Rep_ID]],Dim_Reps!A:A,Dim_Reps!D:D)</f>
        <v>Inside Sales</v>
      </c>
      <c r="R3682" t="str">
        <f>_xlfn.XLOOKUP(Pipeline_tbl[[#This Row],[Rep_ID]],Dim_Reps!A:A,Dim_Reps!E:E)</f>
        <v>LATAM</v>
      </c>
      <c r="S3682" t="str">
        <f>_xlfn.XLOOKUP(Pipeline_tbl[[#This Row],[Created_Date]],Dim_Date!A:A,Dim_Date!H:H)</f>
        <v>Jun 2024</v>
      </c>
      <c r="T3682" t="str">
        <f>IF(Pipeline_tbl[[#This Row],[Closed_Date]]=0,"",(_xlfn.XLOOKUP(Pipeline_tbl[[#This Row],[Closed_Date]],Dim_Date!A:A,Dim_Date!H:H)))</f>
        <v>Jun 2024</v>
      </c>
      <c r="U3682">
        <f>IF(Pipeline_tbl[[#This Row],[Closed_Date]]=0,"",Pipeline_tbl[[#This Row],[Closed_Date]]-Pipeline_tbl[[#This Row],[Created_Date]])</f>
        <v>15</v>
      </c>
    </row>
    <row r="3683" spans="1:21" ht="15" customHeight="1" x14ac:dyDescent="0.2">
      <c r="A3683" t="s">
        <v>3989</v>
      </c>
      <c r="B3683" t="s">
        <v>233</v>
      </c>
      <c r="C3683" t="s">
        <v>52</v>
      </c>
      <c r="D3683" s="49">
        <v>45449</v>
      </c>
      <c r="E3683" s="49">
        <v>45449</v>
      </c>
      <c r="F3683" s="49">
        <v>45451</v>
      </c>
      <c r="G3683" s="49">
        <v>45452</v>
      </c>
      <c r="H3683" s="49">
        <v>45453</v>
      </c>
      <c r="I3683" s="49">
        <v>45454</v>
      </c>
      <c r="J3683" t="s">
        <v>49</v>
      </c>
      <c r="K3683" s="33">
        <v>1900</v>
      </c>
      <c r="L3683" t="s">
        <v>64</v>
      </c>
      <c r="M3683" t="str">
        <f>_xlfn.XLOOKUP(Pipeline_tbl[[#This Row],[Rep_ID]],Dim_Reps!A:A,Dim_Reps!K:K)</f>
        <v>MXN</v>
      </c>
      <c r="N3683" s="33">
        <f>(_xlfn.XLOOKUP(Pipeline_tbl[[#This Row],[Rate_Code_Generalized]],Lookups!A:A,Lookups!B:B))*Pipeline_tbl[[#This Row],[Pipeline_Amount_USD]]</f>
        <v>37492.130000000005</v>
      </c>
      <c r="O3683" t="str">
        <f>_xlfn.XLOOKUP(Pipeline_tbl[[#This Row],[Rep_ID]],Dim_Reps!A:A,Dim_Reps!B:B)</f>
        <v>Lucas Duarte</v>
      </c>
      <c r="P3683" t="str">
        <f>_xlfn.XLOOKUP(Pipeline_tbl[[#This Row],[Rep_ID]],Dim_Reps!A:A,Dim_Reps!C:C)</f>
        <v>SDR / Inside Sales Rep</v>
      </c>
      <c r="Q3683" t="str">
        <f>_xlfn.XLOOKUP(Pipeline_tbl[[#This Row],[Rep_ID]],Dim_Reps!A:A,Dim_Reps!D:D)</f>
        <v>Inside Sales</v>
      </c>
      <c r="R3683" t="str">
        <f>_xlfn.XLOOKUP(Pipeline_tbl[[#This Row],[Rep_ID]],Dim_Reps!A:A,Dim_Reps!E:E)</f>
        <v>LATAM</v>
      </c>
      <c r="S3683" t="str">
        <f>_xlfn.XLOOKUP(Pipeline_tbl[[#This Row],[Created_Date]],Dim_Date!A:A,Dim_Date!H:H)</f>
        <v>Jun 2024</v>
      </c>
      <c r="T3683" t="str">
        <f>IF(Pipeline_tbl[[#This Row],[Closed_Date]]=0,"",(_xlfn.XLOOKUP(Pipeline_tbl[[#This Row],[Closed_Date]],Dim_Date!A:A,Dim_Date!H:H)))</f>
        <v>Jun 2024</v>
      </c>
      <c r="U3683">
        <f>IF(Pipeline_tbl[[#This Row],[Closed_Date]]=0,"",Pipeline_tbl[[#This Row],[Closed_Date]]-Pipeline_tbl[[#This Row],[Created_Date]])</f>
        <v>5</v>
      </c>
    </row>
    <row r="3684" spans="1:21" ht="15" customHeight="1" x14ac:dyDescent="0.2">
      <c r="A3684" t="s">
        <v>3990</v>
      </c>
      <c r="B3684" t="s">
        <v>235</v>
      </c>
      <c r="C3684" t="s">
        <v>53</v>
      </c>
      <c r="D3684" s="49">
        <v>45447</v>
      </c>
      <c r="E3684" s="49">
        <v>45448</v>
      </c>
      <c r="F3684" s="49">
        <v>45450</v>
      </c>
      <c r="G3684" s="49">
        <v>45454</v>
      </c>
      <c r="H3684" s="49">
        <v>45456</v>
      </c>
      <c r="I3684" s="49">
        <v>45458</v>
      </c>
      <c r="J3684" t="s">
        <v>47</v>
      </c>
      <c r="K3684" s="33">
        <v>5400</v>
      </c>
      <c r="M3684" t="str">
        <f>_xlfn.XLOOKUP(Pipeline_tbl[[#This Row],[Rep_ID]],Dim_Reps!A:A,Dim_Reps!K:K)</f>
        <v>MXN</v>
      </c>
      <c r="N3684" s="33">
        <f>(_xlfn.XLOOKUP(Pipeline_tbl[[#This Row],[Rate_Code_Generalized]],Lookups!A:A,Lookups!B:B))*Pipeline_tbl[[#This Row],[Pipeline_Amount_USD]]</f>
        <v>106556.58</v>
      </c>
      <c r="O3684" t="str">
        <f>_xlfn.XLOOKUP(Pipeline_tbl[[#This Row],[Rep_ID]],Dim_Reps!A:A,Dim_Reps!B:B)</f>
        <v>Milo Castro</v>
      </c>
      <c r="P3684" t="str">
        <f>_xlfn.XLOOKUP(Pipeline_tbl[[#This Row],[Rep_ID]],Dim_Reps!A:A,Dim_Reps!C:C)</f>
        <v>SDR / Inside Sales Rep</v>
      </c>
      <c r="Q3684" t="str">
        <f>_xlfn.XLOOKUP(Pipeline_tbl[[#This Row],[Rep_ID]],Dim_Reps!A:A,Dim_Reps!D:D)</f>
        <v>Inside Sales</v>
      </c>
      <c r="R3684" t="str">
        <f>_xlfn.XLOOKUP(Pipeline_tbl[[#This Row],[Rep_ID]],Dim_Reps!A:A,Dim_Reps!E:E)</f>
        <v>LATAM</v>
      </c>
      <c r="S3684" t="str">
        <f>_xlfn.XLOOKUP(Pipeline_tbl[[#This Row],[Created_Date]],Dim_Date!A:A,Dim_Date!H:H)</f>
        <v>Jun 2024</v>
      </c>
      <c r="T3684" t="str">
        <f>IF(Pipeline_tbl[[#This Row],[Closed_Date]]=0,"",(_xlfn.XLOOKUP(Pipeline_tbl[[#This Row],[Closed_Date]],Dim_Date!A:A,Dim_Date!H:H)))</f>
        <v>Jun 2024</v>
      </c>
      <c r="U3684">
        <f>IF(Pipeline_tbl[[#This Row],[Closed_Date]]=0,"",Pipeline_tbl[[#This Row],[Closed_Date]]-Pipeline_tbl[[#This Row],[Created_Date]])</f>
        <v>11</v>
      </c>
    </row>
    <row r="3685" spans="1:21" ht="15" customHeight="1" x14ac:dyDescent="0.2">
      <c r="A3685" t="s">
        <v>3991</v>
      </c>
      <c r="B3685" t="s">
        <v>235</v>
      </c>
      <c r="C3685" t="s">
        <v>53</v>
      </c>
      <c r="D3685" s="49">
        <v>45444</v>
      </c>
      <c r="E3685" s="49">
        <v>45446</v>
      </c>
      <c r="F3685" s="49">
        <v>45449</v>
      </c>
      <c r="G3685" s="49">
        <v>45454</v>
      </c>
      <c r="I3685" s="49">
        <v>45461</v>
      </c>
      <c r="J3685" t="s">
        <v>49</v>
      </c>
      <c r="K3685" s="33">
        <v>7100</v>
      </c>
      <c r="L3685" t="s">
        <v>61</v>
      </c>
      <c r="M3685" t="str">
        <f>_xlfn.XLOOKUP(Pipeline_tbl[[#This Row],[Rep_ID]],Dim_Reps!A:A,Dim_Reps!K:K)</f>
        <v>MXN</v>
      </c>
      <c r="N3685" s="33">
        <f>(_xlfn.XLOOKUP(Pipeline_tbl[[#This Row],[Rate_Code_Generalized]],Lookups!A:A,Lookups!B:B))*Pipeline_tbl[[#This Row],[Pipeline_Amount_USD]]</f>
        <v>140102.17000000001</v>
      </c>
      <c r="O3685" t="str">
        <f>_xlfn.XLOOKUP(Pipeline_tbl[[#This Row],[Rep_ID]],Dim_Reps!A:A,Dim_Reps!B:B)</f>
        <v>Milo Castro</v>
      </c>
      <c r="P3685" t="str">
        <f>_xlfn.XLOOKUP(Pipeline_tbl[[#This Row],[Rep_ID]],Dim_Reps!A:A,Dim_Reps!C:C)</f>
        <v>SDR / Inside Sales Rep</v>
      </c>
      <c r="Q3685" t="str">
        <f>_xlfn.XLOOKUP(Pipeline_tbl[[#This Row],[Rep_ID]],Dim_Reps!A:A,Dim_Reps!D:D)</f>
        <v>Inside Sales</v>
      </c>
      <c r="R3685" t="str">
        <f>_xlfn.XLOOKUP(Pipeline_tbl[[#This Row],[Rep_ID]],Dim_Reps!A:A,Dim_Reps!E:E)</f>
        <v>LATAM</v>
      </c>
      <c r="S3685" t="str">
        <f>_xlfn.XLOOKUP(Pipeline_tbl[[#This Row],[Created_Date]],Dim_Date!A:A,Dim_Date!H:H)</f>
        <v>Jun 2024</v>
      </c>
      <c r="T3685" t="str">
        <f>IF(Pipeline_tbl[[#This Row],[Closed_Date]]=0,"",(_xlfn.XLOOKUP(Pipeline_tbl[[#This Row],[Closed_Date]],Dim_Date!A:A,Dim_Date!H:H)))</f>
        <v>Jun 2024</v>
      </c>
      <c r="U3685">
        <f>IF(Pipeline_tbl[[#This Row],[Closed_Date]]=0,"",Pipeline_tbl[[#This Row],[Closed_Date]]-Pipeline_tbl[[#This Row],[Created_Date]])</f>
        <v>17</v>
      </c>
    </row>
    <row r="3686" spans="1:21" ht="15" customHeight="1" x14ac:dyDescent="0.2">
      <c r="A3686" t="s">
        <v>3992</v>
      </c>
      <c r="B3686" t="s">
        <v>237</v>
      </c>
      <c r="C3686" t="s">
        <v>54</v>
      </c>
      <c r="D3686" s="49">
        <v>45447</v>
      </c>
      <c r="E3686" s="49">
        <v>45449</v>
      </c>
      <c r="I3686" s="49">
        <v>45471</v>
      </c>
      <c r="J3686" t="s">
        <v>49</v>
      </c>
      <c r="K3686" s="33">
        <v>2200</v>
      </c>
      <c r="L3686" t="s">
        <v>64</v>
      </c>
      <c r="M3686" t="str">
        <f>_xlfn.XLOOKUP(Pipeline_tbl[[#This Row],[Rep_ID]],Dim_Reps!A:A,Dim_Reps!K:K)</f>
        <v>EUR</v>
      </c>
      <c r="N3686" s="33">
        <f>(_xlfn.XLOOKUP(Pipeline_tbl[[#This Row],[Rate_Code_Generalized]],Lookups!A:A,Lookups!B:B))*Pipeline_tbl[[#This Row],[Pipeline_Amount_USD]]</f>
        <v>2200</v>
      </c>
      <c r="O3686" t="str">
        <f>_xlfn.XLOOKUP(Pipeline_tbl[[#This Row],[Rep_ID]],Dim_Reps!A:A,Dim_Reps!B:B)</f>
        <v>Hugo Santos</v>
      </c>
      <c r="P3686" t="str">
        <f>_xlfn.XLOOKUP(Pipeline_tbl[[#This Row],[Rep_ID]],Dim_Reps!A:A,Dim_Reps!C:C)</f>
        <v>SDR / Inside Sales Rep</v>
      </c>
      <c r="Q3686" t="str">
        <f>_xlfn.XLOOKUP(Pipeline_tbl[[#This Row],[Rep_ID]],Dim_Reps!A:A,Dim_Reps!D:D)</f>
        <v>Inside Sales</v>
      </c>
      <c r="R3686" t="str">
        <f>_xlfn.XLOOKUP(Pipeline_tbl[[#This Row],[Rep_ID]],Dim_Reps!A:A,Dim_Reps!E:E)</f>
        <v>EMEA</v>
      </c>
      <c r="S3686" t="str">
        <f>_xlfn.XLOOKUP(Pipeline_tbl[[#This Row],[Created_Date]],Dim_Date!A:A,Dim_Date!H:H)</f>
        <v>Jun 2024</v>
      </c>
      <c r="T3686" t="str">
        <f>IF(Pipeline_tbl[[#This Row],[Closed_Date]]=0,"",(_xlfn.XLOOKUP(Pipeline_tbl[[#This Row],[Closed_Date]],Dim_Date!A:A,Dim_Date!H:H)))</f>
        <v>Jun 2024</v>
      </c>
      <c r="U3686">
        <f>IF(Pipeline_tbl[[#This Row],[Closed_Date]]=0,"",Pipeline_tbl[[#This Row],[Closed_Date]]-Pipeline_tbl[[#This Row],[Created_Date]])</f>
        <v>24</v>
      </c>
    </row>
    <row r="3687" spans="1:21" ht="15" customHeight="1" x14ac:dyDescent="0.2">
      <c r="A3687" t="s">
        <v>3993</v>
      </c>
      <c r="B3687" t="s">
        <v>237</v>
      </c>
      <c r="C3687" t="s">
        <v>54</v>
      </c>
      <c r="D3687" s="49">
        <v>45453</v>
      </c>
      <c r="E3687" s="49">
        <v>45454</v>
      </c>
      <c r="F3687" s="49">
        <v>45457</v>
      </c>
      <c r="G3687" s="49">
        <v>45461</v>
      </c>
      <c r="H3687" s="49">
        <v>45465</v>
      </c>
      <c r="I3687" s="49">
        <v>45467</v>
      </c>
      <c r="J3687" t="s">
        <v>47</v>
      </c>
      <c r="K3687" s="33">
        <v>2500</v>
      </c>
      <c r="M3687" t="str">
        <f>_xlfn.XLOOKUP(Pipeline_tbl[[#This Row],[Rep_ID]],Dim_Reps!A:A,Dim_Reps!K:K)</f>
        <v>EUR</v>
      </c>
      <c r="N3687" s="33">
        <f>(_xlfn.XLOOKUP(Pipeline_tbl[[#This Row],[Rate_Code_Generalized]],Lookups!A:A,Lookups!B:B))*Pipeline_tbl[[#This Row],[Pipeline_Amount_USD]]</f>
        <v>2500</v>
      </c>
      <c r="O3687" t="str">
        <f>_xlfn.XLOOKUP(Pipeline_tbl[[#This Row],[Rep_ID]],Dim_Reps!A:A,Dim_Reps!B:B)</f>
        <v>Hugo Santos</v>
      </c>
      <c r="P3687" t="str">
        <f>_xlfn.XLOOKUP(Pipeline_tbl[[#This Row],[Rep_ID]],Dim_Reps!A:A,Dim_Reps!C:C)</f>
        <v>SDR / Inside Sales Rep</v>
      </c>
      <c r="Q3687" t="str">
        <f>_xlfn.XLOOKUP(Pipeline_tbl[[#This Row],[Rep_ID]],Dim_Reps!A:A,Dim_Reps!D:D)</f>
        <v>Inside Sales</v>
      </c>
      <c r="R3687" t="str">
        <f>_xlfn.XLOOKUP(Pipeline_tbl[[#This Row],[Rep_ID]],Dim_Reps!A:A,Dim_Reps!E:E)</f>
        <v>EMEA</v>
      </c>
      <c r="S3687" t="str">
        <f>_xlfn.XLOOKUP(Pipeline_tbl[[#This Row],[Created_Date]],Dim_Date!A:A,Dim_Date!H:H)</f>
        <v>Jun 2024</v>
      </c>
      <c r="T3687" t="str">
        <f>IF(Pipeline_tbl[[#This Row],[Closed_Date]]=0,"",(_xlfn.XLOOKUP(Pipeline_tbl[[#This Row],[Closed_Date]],Dim_Date!A:A,Dim_Date!H:H)))</f>
        <v>Jun 2024</v>
      </c>
      <c r="U3687">
        <f>IF(Pipeline_tbl[[#This Row],[Closed_Date]]=0,"",Pipeline_tbl[[#This Row],[Closed_Date]]-Pipeline_tbl[[#This Row],[Created_Date]])</f>
        <v>14</v>
      </c>
    </row>
    <row r="3688" spans="1:21" ht="15" customHeight="1" x14ac:dyDescent="0.2">
      <c r="A3688" t="s">
        <v>3994</v>
      </c>
      <c r="B3688" t="s">
        <v>237</v>
      </c>
      <c r="C3688" t="s">
        <v>52</v>
      </c>
      <c r="D3688" s="49">
        <v>45447</v>
      </c>
      <c r="E3688" s="49">
        <v>45449</v>
      </c>
      <c r="F3688" s="49">
        <v>45452</v>
      </c>
      <c r="G3688" s="49">
        <v>45458</v>
      </c>
      <c r="H3688" s="49">
        <v>45462</v>
      </c>
      <c r="I3688" s="49">
        <v>45465</v>
      </c>
      <c r="J3688" t="s">
        <v>49</v>
      </c>
      <c r="K3688" s="33">
        <v>7900</v>
      </c>
      <c r="L3688" t="s">
        <v>63</v>
      </c>
      <c r="M3688" t="str">
        <f>_xlfn.XLOOKUP(Pipeline_tbl[[#This Row],[Rep_ID]],Dim_Reps!A:A,Dim_Reps!K:K)</f>
        <v>EUR</v>
      </c>
      <c r="N3688" s="33">
        <f>(_xlfn.XLOOKUP(Pipeline_tbl[[#This Row],[Rate_Code_Generalized]],Lookups!A:A,Lookups!B:B))*Pipeline_tbl[[#This Row],[Pipeline_Amount_USD]]</f>
        <v>7900</v>
      </c>
      <c r="O3688" t="str">
        <f>_xlfn.XLOOKUP(Pipeline_tbl[[#This Row],[Rep_ID]],Dim_Reps!A:A,Dim_Reps!B:B)</f>
        <v>Hugo Santos</v>
      </c>
      <c r="P3688" t="str">
        <f>_xlfn.XLOOKUP(Pipeline_tbl[[#This Row],[Rep_ID]],Dim_Reps!A:A,Dim_Reps!C:C)</f>
        <v>SDR / Inside Sales Rep</v>
      </c>
      <c r="Q3688" t="str">
        <f>_xlfn.XLOOKUP(Pipeline_tbl[[#This Row],[Rep_ID]],Dim_Reps!A:A,Dim_Reps!D:D)</f>
        <v>Inside Sales</v>
      </c>
      <c r="R3688" t="str">
        <f>_xlfn.XLOOKUP(Pipeline_tbl[[#This Row],[Rep_ID]],Dim_Reps!A:A,Dim_Reps!E:E)</f>
        <v>EMEA</v>
      </c>
      <c r="S3688" t="str">
        <f>_xlfn.XLOOKUP(Pipeline_tbl[[#This Row],[Created_Date]],Dim_Date!A:A,Dim_Date!H:H)</f>
        <v>Jun 2024</v>
      </c>
      <c r="T3688" t="str">
        <f>IF(Pipeline_tbl[[#This Row],[Closed_Date]]=0,"",(_xlfn.XLOOKUP(Pipeline_tbl[[#This Row],[Closed_Date]],Dim_Date!A:A,Dim_Date!H:H)))</f>
        <v>Jun 2024</v>
      </c>
      <c r="U3688">
        <f>IF(Pipeline_tbl[[#This Row],[Closed_Date]]=0,"",Pipeline_tbl[[#This Row],[Closed_Date]]-Pipeline_tbl[[#This Row],[Created_Date]])</f>
        <v>18</v>
      </c>
    </row>
    <row r="3689" spans="1:21" ht="15" customHeight="1" x14ac:dyDescent="0.2">
      <c r="A3689" t="s">
        <v>3995</v>
      </c>
      <c r="B3689" t="s">
        <v>237</v>
      </c>
      <c r="C3689" t="s">
        <v>55</v>
      </c>
      <c r="D3689" s="49">
        <v>45447</v>
      </c>
      <c r="E3689" s="49">
        <v>45449</v>
      </c>
      <c r="F3689" s="49">
        <v>45453</v>
      </c>
      <c r="G3689" s="49">
        <v>45458</v>
      </c>
      <c r="H3689" s="49">
        <v>45463</v>
      </c>
      <c r="I3689" s="49">
        <v>45466</v>
      </c>
      <c r="J3689" t="s">
        <v>47</v>
      </c>
      <c r="K3689" s="33">
        <v>5300</v>
      </c>
      <c r="M3689" t="str">
        <f>_xlfn.XLOOKUP(Pipeline_tbl[[#This Row],[Rep_ID]],Dim_Reps!A:A,Dim_Reps!K:K)</f>
        <v>EUR</v>
      </c>
      <c r="N3689" s="33">
        <f>(_xlfn.XLOOKUP(Pipeline_tbl[[#This Row],[Rate_Code_Generalized]],Lookups!A:A,Lookups!B:B))*Pipeline_tbl[[#This Row],[Pipeline_Amount_USD]]</f>
        <v>5300</v>
      </c>
      <c r="O3689" t="str">
        <f>_xlfn.XLOOKUP(Pipeline_tbl[[#This Row],[Rep_ID]],Dim_Reps!A:A,Dim_Reps!B:B)</f>
        <v>Hugo Santos</v>
      </c>
      <c r="P3689" t="str">
        <f>_xlfn.XLOOKUP(Pipeline_tbl[[#This Row],[Rep_ID]],Dim_Reps!A:A,Dim_Reps!C:C)</f>
        <v>SDR / Inside Sales Rep</v>
      </c>
      <c r="Q3689" t="str">
        <f>_xlfn.XLOOKUP(Pipeline_tbl[[#This Row],[Rep_ID]],Dim_Reps!A:A,Dim_Reps!D:D)</f>
        <v>Inside Sales</v>
      </c>
      <c r="R3689" t="str">
        <f>_xlfn.XLOOKUP(Pipeline_tbl[[#This Row],[Rep_ID]],Dim_Reps!A:A,Dim_Reps!E:E)</f>
        <v>EMEA</v>
      </c>
      <c r="S3689" t="str">
        <f>_xlfn.XLOOKUP(Pipeline_tbl[[#This Row],[Created_Date]],Dim_Date!A:A,Dim_Date!H:H)</f>
        <v>Jun 2024</v>
      </c>
      <c r="T3689" t="str">
        <f>IF(Pipeline_tbl[[#This Row],[Closed_Date]]=0,"",(_xlfn.XLOOKUP(Pipeline_tbl[[#This Row],[Closed_Date]],Dim_Date!A:A,Dim_Date!H:H)))</f>
        <v>Jun 2024</v>
      </c>
      <c r="U3689">
        <f>IF(Pipeline_tbl[[#This Row],[Closed_Date]]=0,"",Pipeline_tbl[[#This Row],[Closed_Date]]-Pipeline_tbl[[#This Row],[Created_Date]])</f>
        <v>19</v>
      </c>
    </row>
    <row r="3690" spans="1:21" ht="15" customHeight="1" x14ac:dyDescent="0.2">
      <c r="A3690" t="s">
        <v>3996</v>
      </c>
      <c r="B3690" t="s">
        <v>237</v>
      </c>
      <c r="C3690" t="s">
        <v>53</v>
      </c>
      <c r="D3690" s="49">
        <v>45450</v>
      </c>
      <c r="E3690" s="49">
        <v>45452</v>
      </c>
      <c r="F3690" s="49">
        <v>45455</v>
      </c>
      <c r="G3690" s="49">
        <v>45460</v>
      </c>
      <c r="I3690" s="49">
        <v>45467</v>
      </c>
      <c r="J3690" t="s">
        <v>49</v>
      </c>
      <c r="K3690" s="33">
        <v>4700</v>
      </c>
      <c r="L3690" t="s">
        <v>61</v>
      </c>
      <c r="M3690" t="str">
        <f>_xlfn.XLOOKUP(Pipeline_tbl[[#This Row],[Rep_ID]],Dim_Reps!A:A,Dim_Reps!K:K)</f>
        <v>EUR</v>
      </c>
      <c r="N3690" s="33">
        <f>(_xlfn.XLOOKUP(Pipeline_tbl[[#This Row],[Rate_Code_Generalized]],Lookups!A:A,Lookups!B:B))*Pipeline_tbl[[#This Row],[Pipeline_Amount_USD]]</f>
        <v>4700</v>
      </c>
      <c r="O3690" t="str">
        <f>_xlfn.XLOOKUP(Pipeline_tbl[[#This Row],[Rep_ID]],Dim_Reps!A:A,Dim_Reps!B:B)</f>
        <v>Hugo Santos</v>
      </c>
      <c r="P3690" t="str">
        <f>_xlfn.XLOOKUP(Pipeline_tbl[[#This Row],[Rep_ID]],Dim_Reps!A:A,Dim_Reps!C:C)</f>
        <v>SDR / Inside Sales Rep</v>
      </c>
      <c r="Q3690" t="str">
        <f>_xlfn.XLOOKUP(Pipeline_tbl[[#This Row],[Rep_ID]],Dim_Reps!A:A,Dim_Reps!D:D)</f>
        <v>Inside Sales</v>
      </c>
      <c r="R3690" t="str">
        <f>_xlfn.XLOOKUP(Pipeline_tbl[[#This Row],[Rep_ID]],Dim_Reps!A:A,Dim_Reps!E:E)</f>
        <v>EMEA</v>
      </c>
      <c r="S3690" t="str">
        <f>_xlfn.XLOOKUP(Pipeline_tbl[[#This Row],[Created_Date]],Dim_Date!A:A,Dim_Date!H:H)</f>
        <v>Jun 2024</v>
      </c>
      <c r="T3690" t="str">
        <f>IF(Pipeline_tbl[[#This Row],[Closed_Date]]=0,"",(_xlfn.XLOOKUP(Pipeline_tbl[[#This Row],[Closed_Date]],Dim_Date!A:A,Dim_Date!H:H)))</f>
        <v>Jun 2024</v>
      </c>
      <c r="U3690">
        <f>IF(Pipeline_tbl[[#This Row],[Closed_Date]]=0,"",Pipeline_tbl[[#This Row],[Closed_Date]]-Pipeline_tbl[[#This Row],[Created_Date]])</f>
        <v>17</v>
      </c>
    </row>
    <row r="3691" spans="1:21" ht="15" customHeight="1" x14ac:dyDescent="0.2">
      <c r="A3691" t="s">
        <v>3997</v>
      </c>
      <c r="B3691" t="s">
        <v>237</v>
      </c>
      <c r="C3691" t="s">
        <v>55</v>
      </c>
      <c r="D3691" s="49">
        <v>45450</v>
      </c>
      <c r="E3691" s="49">
        <v>45452</v>
      </c>
      <c r="F3691" s="49">
        <v>45456</v>
      </c>
      <c r="I3691" s="49">
        <v>45471</v>
      </c>
      <c r="J3691" t="s">
        <v>49</v>
      </c>
      <c r="K3691" s="33">
        <v>1900</v>
      </c>
      <c r="L3691" t="s">
        <v>60</v>
      </c>
      <c r="M3691" t="str">
        <f>_xlfn.XLOOKUP(Pipeline_tbl[[#This Row],[Rep_ID]],Dim_Reps!A:A,Dim_Reps!K:K)</f>
        <v>EUR</v>
      </c>
      <c r="N3691" s="33">
        <f>(_xlfn.XLOOKUP(Pipeline_tbl[[#This Row],[Rate_Code_Generalized]],Lookups!A:A,Lookups!B:B))*Pipeline_tbl[[#This Row],[Pipeline_Amount_USD]]</f>
        <v>1900</v>
      </c>
      <c r="O3691" t="str">
        <f>_xlfn.XLOOKUP(Pipeline_tbl[[#This Row],[Rep_ID]],Dim_Reps!A:A,Dim_Reps!B:B)</f>
        <v>Hugo Santos</v>
      </c>
      <c r="P3691" t="str">
        <f>_xlfn.XLOOKUP(Pipeline_tbl[[#This Row],[Rep_ID]],Dim_Reps!A:A,Dim_Reps!C:C)</f>
        <v>SDR / Inside Sales Rep</v>
      </c>
      <c r="Q3691" t="str">
        <f>_xlfn.XLOOKUP(Pipeline_tbl[[#This Row],[Rep_ID]],Dim_Reps!A:A,Dim_Reps!D:D)</f>
        <v>Inside Sales</v>
      </c>
      <c r="R3691" t="str">
        <f>_xlfn.XLOOKUP(Pipeline_tbl[[#This Row],[Rep_ID]],Dim_Reps!A:A,Dim_Reps!E:E)</f>
        <v>EMEA</v>
      </c>
      <c r="S3691" t="str">
        <f>_xlfn.XLOOKUP(Pipeline_tbl[[#This Row],[Created_Date]],Dim_Date!A:A,Dim_Date!H:H)</f>
        <v>Jun 2024</v>
      </c>
      <c r="T3691" t="str">
        <f>IF(Pipeline_tbl[[#This Row],[Closed_Date]]=0,"",(_xlfn.XLOOKUP(Pipeline_tbl[[#This Row],[Closed_Date]],Dim_Date!A:A,Dim_Date!H:H)))</f>
        <v>Jun 2024</v>
      </c>
      <c r="U3691">
        <f>IF(Pipeline_tbl[[#This Row],[Closed_Date]]=0,"",Pipeline_tbl[[#This Row],[Closed_Date]]-Pipeline_tbl[[#This Row],[Created_Date]])</f>
        <v>21</v>
      </c>
    </row>
    <row r="3692" spans="1:21" ht="15" customHeight="1" x14ac:dyDescent="0.2">
      <c r="A3692" t="s">
        <v>3998</v>
      </c>
      <c r="B3692" t="s">
        <v>237</v>
      </c>
      <c r="C3692" t="s">
        <v>52</v>
      </c>
      <c r="D3692" s="49">
        <v>45452</v>
      </c>
      <c r="E3692" s="49">
        <v>45453</v>
      </c>
      <c r="F3692" s="49">
        <v>45455</v>
      </c>
      <c r="I3692" s="49">
        <v>45462</v>
      </c>
      <c r="J3692" t="s">
        <v>49</v>
      </c>
      <c r="K3692" s="33">
        <v>2700</v>
      </c>
      <c r="L3692" t="s">
        <v>60</v>
      </c>
      <c r="M3692" t="str">
        <f>_xlfn.XLOOKUP(Pipeline_tbl[[#This Row],[Rep_ID]],Dim_Reps!A:A,Dim_Reps!K:K)</f>
        <v>EUR</v>
      </c>
      <c r="N3692" s="33">
        <f>(_xlfn.XLOOKUP(Pipeline_tbl[[#This Row],[Rate_Code_Generalized]],Lookups!A:A,Lookups!B:B))*Pipeline_tbl[[#This Row],[Pipeline_Amount_USD]]</f>
        <v>2700</v>
      </c>
      <c r="O3692" t="str">
        <f>_xlfn.XLOOKUP(Pipeline_tbl[[#This Row],[Rep_ID]],Dim_Reps!A:A,Dim_Reps!B:B)</f>
        <v>Hugo Santos</v>
      </c>
      <c r="P3692" t="str">
        <f>_xlfn.XLOOKUP(Pipeline_tbl[[#This Row],[Rep_ID]],Dim_Reps!A:A,Dim_Reps!C:C)</f>
        <v>SDR / Inside Sales Rep</v>
      </c>
      <c r="Q3692" t="str">
        <f>_xlfn.XLOOKUP(Pipeline_tbl[[#This Row],[Rep_ID]],Dim_Reps!A:A,Dim_Reps!D:D)</f>
        <v>Inside Sales</v>
      </c>
      <c r="R3692" t="str">
        <f>_xlfn.XLOOKUP(Pipeline_tbl[[#This Row],[Rep_ID]],Dim_Reps!A:A,Dim_Reps!E:E)</f>
        <v>EMEA</v>
      </c>
      <c r="S3692" t="str">
        <f>_xlfn.XLOOKUP(Pipeline_tbl[[#This Row],[Created_Date]],Dim_Date!A:A,Dim_Date!H:H)</f>
        <v>Jun 2024</v>
      </c>
      <c r="T3692" t="str">
        <f>IF(Pipeline_tbl[[#This Row],[Closed_Date]]=0,"",(_xlfn.XLOOKUP(Pipeline_tbl[[#This Row],[Closed_Date]],Dim_Date!A:A,Dim_Date!H:H)))</f>
        <v>Jun 2024</v>
      </c>
      <c r="U3692">
        <f>IF(Pipeline_tbl[[#This Row],[Closed_Date]]=0,"",Pipeline_tbl[[#This Row],[Closed_Date]]-Pipeline_tbl[[#This Row],[Created_Date]])</f>
        <v>10</v>
      </c>
    </row>
    <row r="3693" spans="1:21" ht="15" customHeight="1" x14ac:dyDescent="0.2">
      <c r="A3693" t="s">
        <v>3999</v>
      </c>
      <c r="B3693" t="s">
        <v>269</v>
      </c>
      <c r="C3693" t="s">
        <v>56</v>
      </c>
      <c r="D3693" s="49">
        <v>45445</v>
      </c>
      <c r="E3693" s="49">
        <v>45447</v>
      </c>
      <c r="F3693" s="49">
        <v>45451</v>
      </c>
      <c r="I3693" s="49">
        <v>45464</v>
      </c>
      <c r="J3693" t="s">
        <v>49</v>
      </c>
      <c r="K3693" s="33">
        <v>8000</v>
      </c>
      <c r="L3693" t="s">
        <v>62</v>
      </c>
      <c r="M3693" t="str">
        <f>_xlfn.XLOOKUP(Pipeline_tbl[[#This Row],[Rep_ID]],Dim_Reps!A:A,Dim_Reps!K:K)</f>
        <v>USD</v>
      </c>
      <c r="N3693" s="33">
        <f>(_xlfn.XLOOKUP(Pipeline_tbl[[#This Row],[Rate_Code_Generalized]],Lookups!A:A,Lookups!B:B))*Pipeline_tbl[[#This Row],[Pipeline_Amount_USD]]</f>
        <v>9314.4</v>
      </c>
      <c r="O3693" t="str">
        <f>_xlfn.XLOOKUP(Pipeline_tbl[[#This Row],[Rep_ID]],Dim_Reps!A:A,Dim_Reps!B:B)</f>
        <v>Morgan Rivera</v>
      </c>
      <c r="P3693" t="str">
        <f>_xlfn.XLOOKUP(Pipeline_tbl[[#This Row],[Rep_ID]],Dim_Reps!A:A,Dim_Reps!C:C)</f>
        <v>Mid-Market AE</v>
      </c>
      <c r="Q3693" t="str">
        <f>_xlfn.XLOOKUP(Pipeline_tbl[[#This Row],[Rep_ID]],Dim_Reps!A:A,Dim_Reps!D:D)</f>
        <v>Mid-Market</v>
      </c>
      <c r="R3693" t="str">
        <f>_xlfn.XLOOKUP(Pipeline_tbl[[#This Row],[Rep_ID]],Dim_Reps!A:A,Dim_Reps!E:E)</f>
        <v>NAMER</v>
      </c>
      <c r="S3693" t="str">
        <f>_xlfn.XLOOKUP(Pipeline_tbl[[#This Row],[Created_Date]],Dim_Date!A:A,Dim_Date!H:H)</f>
        <v>Jun 2024</v>
      </c>
      <c r="T3693" t="str">
        <f>IF(Pipeline_tbl[[#This Row],[Closed_Date]]=0,"",(_xlfn.XLOOKUP(Pipeline_tbl[[#This Row],[Closed_Date]],Dim_Date!A:A,Dim_Date!H:H)))</f>
        <v>Jun 2024</v>
      </c>
      <c r="U3693">
        <f>IF(Pipeline_tbl[[#This Row],[Closed_Date]]=0,"",Pipeline_tbl[[#This Row],[Closed_Date]]-Pipeline_tbl[[#This Row],[Created_Date]])</f>
        <v>19</v>
      </c>
    </row>
    <row r="3694" spans="1:21" ht="15" customHeight="1" x14ac:dyDescent="0.2">
      <c r="A3694" t="s">
        <v>4000</v>
      </c>
      <c r="B3694" t="s">
        <v>241</v>
      </c>
      <c r="C3694" t="s">
        <v>52</v>
      </c>
      <c r="D3694" s="49">
        <v>45457</v>
      </c>
      <c r="E3694" s="49">
        <v>45458</v>
      </c>
      <c r="F3694" s="49">
        <v>45461</v>
      </c>
      <c r="G3694" s="49">
        <v>45465</v>
      </c>
      <c r="H3694" s="49">
        <v>45469</v>
      </c>
      <c r="I3694" s="49">
        <v>45471</v>
      </c>
      <c r="J3694" t="s">
        <v>47</v>
      </c>
      <c r="K3694" s="33">
        <v>3100</v>
      </c>
      <c r="M3694" t="str">
        <f>_xlfn.XLOOKUP(Pipeline_tbl[[#This Row],[Rep_ID]],Dim_Reps!A:A,Dim_Reps!K:K)</f>
        <v>EUR</v>
      </c>
      <c r="N3694" s="33">
        <f>(_xlfn.XLOOKUP(Pipeline_tbl[[#This Row],[Rate_Code_Generalized]],Lookups!A:A,Lookups!B:B))*Pipeline_tbl[[#This Row],[Pipeline_Amount_USD]]</f>
        <v>3100</v>
      </c>
      <c r="O3694" t="str">
        <f>_xlfn.XLOOKUP(Pipeline_tbl[[#This Row],[Rep_ID]],Dim_Reps!A:A,Dim_Reps!B:B)</f>
        <v>Kenji Weber</v>
      </c>
      <c r="P3694" t="str">
        <f>_xlfn.XLOOKUP(Pipeline_tbl[[#This Row],[Rep_ID]],Dim_Reps!A:A,Dim_Reps!C:C)</f>
        <v>SDR / Inside Sales Rep</v>
      </c>
      <c r="Q3694" t="str">
        <f>_xlfn.XLOOKUP(Pipeline_tbl[[#This Row],[Rep_ID]],Dim_Reps!A:A,Dim_Reps!D:D)</f>
        <v>Inside Sales</v>
      </c>
      <c r="R3694" t="str">
        <f>_xlfn.XLOOKUP(Pipeline_tbl[[#This Row],[Rep_ID]],Dim_Reps!A:A,Dim_Reps!E:E)</f>
        <v>APAC</v>
      </c>
      <c r="S3694" t="str">
        <f>_xlfn.XLOOKUP(Pipeline_tbl[[#This Row],[Created_Date]],Dim_Date!A:A,Dim_Date!H:H)</f>
        <v>Jun 2024</v>
      </c>
      <c r="T3694" t="str">
        <f>IF(Pipeline_tbl[[#This Row],[Closed_Date]]=0,"",(_xlfn.XLOOKUP(Pipeline_tbl[[#This Row],[Closed_Date]],Dim_Date!A:A,Dim_Date!H:H)))</f>
        <v>Jun 2024</v>
      </c>
      <c r="U3694">
        <f>IF(Pipeline_tbl[[#This Row],[Closed_Date]]=0,"",Pipeline_tbl[[#This Row],[Closed_Date]]-Pipeline_tbl[[#This Row],[Created_Date]])</f>
        <v>14</v>
      </c>
    </row>
    <row r="3695" spans="1:21" ht="15" customHeight="1" x14ac:dyDescent="0.2">
      <c r="A3695" t="s">
        <v>4001</v>
      </c>
      <c r="B3695" t="s">
        <v>241</v>
      </c>
      <c r="C3695" t="s">
        <v>56</v>
      </c>
      <c r="D3695" s="49">
        <v>45446</v>
      </c>
      <c r="E3695" s="49">
        <v>45448</v>
      </c>
      <c r="F3695" s="49">
        <v>45451</v>
      </c>
      <c r="I3695" s="49">
        <v>45462</v>
      </c>
      <c r="J3695" t="s">
        <v>49</v>
      </c>
      <c r="K3695" s="33">
        <v>2300</v>
      </c>
      <c r="L3695" t="s">
        <v>60</v>
      </c>
      <c r="M3695" t="str">
        <f>_xlfn.XLOOKUP(Pipeline_tbl[[#This Row],[Rep_ID]],Dim_Reps!A:A,Dim_Reps!K:K)</f>
        <v>EUR</v>
      </c>
      <c r="N3695" s="33">
        <f>(_xlfn.XLOOKUP(Pipeline_tbl[[#This Row],[Rate_Code_Generalized]],Lookups!A:A,Lookups!B:B))*Pipeline_tbl[[#This Row],[Pipeline_Amount_USD]]</f>
        <v>2300</v>
      </c>
      <c r="O3695" t="str">
        <f>_xlfn.XLOOKUP(Pipeline_tbl[[#This Row],[Rep_ID]],Dim_Reps!A:A,Dim_Reps!B:B)</f>
        <v>Kenji Weber</v>
      </c>
      <c r="P3695" t="str">
        <f>_xlfn.XLOOKUP(Pipeline_tbl[[#This Row],[Rep_ID]],Dim_Reps!A:A,Dim_Reps!C:C)</f>
        <v>SDR / Inside Sales Rep</v>
      </c>
      <c r="Q3695" t="str">
        <f>_xlfn.XLOOKUP(Pipeline_tbl[[#This Row],[Rep_ID]],Dim_Reps!A:A,Dim_Reps!D:D)</f>
        <v>Inside Sales</v>
      </c>
      <c r="R3695" t="str">
        <f>_xlfn.XLOOKUP(Pipeline_tbl[[#This Row],[Rep_ID]],Dim_Reps!A:A,Dim_Reps!E:E)</f>
        <v>APAC</v>
      </c>
      <c r="S3695" t="str">
        <f>_xlfn.XLOOKUP(Pipeline_tbl[[#This Row],[Created_Date]],Dim_Date!A:A,Dim_Date!H:H)</f>
        <v>Jun 2024</v>
      </c>
      <c r="T3695" t="str">
        <f>IF(Pipeline_tbl[[#This Row],[Closed_Date]]=0,"",(_xlfn.XLOOKUP(Pipeline_tbl[[#This Row],[Closed_Date]],Dim_Date!A:A,Dim_Date!H:H)))</f>
        <v>Jun 2024</v>
      </c>
      <c r="U3695">
        <f>IF(Pipeline_tbl[[#This Row],[Closed_Date]]=0,"",Pipeline_tbl[[#This Row],[Closed_Date]]-Pipeline_tbl[[#This Row],[Created_Date]])</f>
        <v>16</v>
      </c>
    </row>
    <row r="3696" spans="1:21" ht="15" customHeight="1" x14ac:dyDescent="0.2">
      <c r="A3696" t="s">
        <v>4002</v>
      </c>
      <c r="B3696" t="s">
        <v>278</v>
      </c>
      <c r="C3696" t="s">
        <v>52</v>
      </c>
      <c r="D3696" s="49">
        <v>45471</v>
      </c>
      <c r="E3696" s="49">
        <v>45481</v>
      </c>
      <c r="F3696" s="49">
        <v>45502</v>
      </c>
      <c r="I3696" s="49">
        <v>45573</v>
      </c>
      <c r="J3696" t="s">
        <v>49</v>
      </c>
      <c r="K3696" s="33">
        <v>93900</v>
      </c>
      <c r="L3696" t="s">
        <v>61</v>
      </c>
      <c r="M3696" t="str">
        <f>_xlfn.XLOOKUP(Pipeline_tbl[[#This Row],[Rep_ID]],Dim_Reps!A:A,Dim_Reps!K:K)</f>
        <v>EUR</v>
      </c>
      <c r="N3696" s="33">
        <f>(_xlfn.XLOOKUP(Pipeline_tbl[[#This Row],[Rate_Code_Generalized]],Lookups!A:A,Lookups!B:B))*Pipeline_tbl[[#This Row],[Pipeline_Amount_USD]]</f>
        <v>93900</v>
      </c>
      <c r="O3696" t="str">
        <f>_xlfn.XLOOKUP(Pipeline_tbl[[#This Row],[Rep_ID]],Dim_Reps!A:A,Dim_Reps!B:B)</f>
        <v>Sara Andersson</v>
      </c>
      <c r="P3696" t="str">
        <f>_xlfn.XLOOKUP(Pipeline_tbl[[#This Row],[Rep_ID]],Dim_Reps!A:A,Dim_Reps!C:C)</f>
        <v>Senior Enterprise AE</v>
      </c>
      <c r="Q3696" t="str">
        <f>_xlfn.XLOOKUP(Pipeline_tbl[[#This Row],[Rep_ID]],Dim_Reps!A:A,Dim_Reps!D:D)</f>
        <v>Strategic</v>
      </c>
      <c r="R3696" t="str">
        <f>_xlfn.XLOOKUP(Pipeline_tbl[[#This Row],[Rep_ID]],Dim_Reps!A:A,Dim_Reps!E:E)</f>
        <v>APAC</v>
      </c>
      <c r="S3696" t="str">
        <f>_xlfn.XLOOKUP(Pipeline_tbl[[#This Row],[Created_Date]],Dim_Date!A:A,Dim_Date!H:H)</f>
        <v>Jun 2024</v>
      </c>
      <c r="T3696" t="str">
        <f>IF(Pipeline_tbl[[#This Row],[Closed_Date]]=0,"",(_xlfn.XLOOKUP(Pipeline_tbl[[#This Row],[Closed_Date]],Dim_Date!A:A,Dim_Date!H:H)))</f>
        <v>Oct 2024</v>
      </c>
      <c r="U3696">
        <f>IF(Pipeline_tbl[[#This Row],[Closed_Date]]=0,"",Pipeline_tbl[[#This Row],[Closed_Date]]-Pipeline_tbl[[#This Row],[Created_Date]])</f>
        <v>102</v>
      </c>
    </row>
    <row r="3697" spans="1:21" ht="15" customHeight="1" x14ac:dyDescent="0.2">
      <c r="A3697" t="s">
        <v>4003</v>
      </c>
      <c r="B3697" t="s">
        <v>284</v>
      </c>
      <c r="C3697" t="s">
        <v>52</v>
      </c>
      <c r="D3697" s="49">
        <v>45466</v>
      </c>
      <c r="E3697" s="49">
        <v>45478</v>
      </c>
      <c r="F3697" s="49">
        <v>45501</v>
      </c>
      <c r="G3697" s="49">
        <v>45536</v>
      </c>
      <c r="H3697" s="49">
        <v>45565</v>
      </c>
      <c r="I3697" s="49">
        <v>45582</v>
      </c>
      <c r="J3697" t="s">
        <v>47</v>
      </c>
      <c r="K3697" s="33">
        <v>37600</v>
      </c>
      <c r="M3697" t="str">
        <f>_xlfn.XLOOKUP(Pipeline_tbl[[#This Row],[Rep_ID]],Dim_Reps!A:A,Dim_Reps!K:K)</f>
        <v>USD</v>
      </c>
      <c r="N3697" s="33">
        <f>(_xlfn.XLOOKUP(Pipeline_tbl[[#This Row],[Rate_Code_Generalized]],Lookups!A:A,Lookups!B:B))*Pipeline_tbl[[#This Row],[Pipeline_Amount_USD]]</f>
        <v>43777.679999999993</v>
      </c>
      <c r="O3697" t="str">
        <f>_xlfn.XLOOKUP(Pipeline_tbl[[#This Row],[Rep_ID]],Dim_Reps!A:A,Dim_Reps!B:B)</f>
        <v>Taylor Adler</v>
      </c>
      <c r="P3697" t="str">
        <f>_xlfn.XLOOKUP(Pipeline_tbl[[#This Row],[Rep_ID]],Dim_Reps!A:A,Dim_Reps!C:C)</f>
        <v>Senior Enterprise AE</v>
      </c>
      <c r="Q3697" t="str">
        <f>_xlfn.XLOOKUP(Pipeline_tbl[[#This Row],[Rep_ID]],Dim_Reps!A:A,Dim_Reps!D:D)</f>
        <v>Strategic</v>
      </c>
      <c r="R3697" t="str">
        <f>_xlfn.XLOOKUP(Pipeline_tbl[[#This Row],[Rep_ID]],Dim_Reps!A:A,Dim_Reps!E:E)</f>
        <v>NAMER</v>
      </c>
      <c r="S3697" t="str">
        <f>_xlfn.XLOOKUP(Pipeline_tbl[[#This Row],[Created_Date]],Dim_Date!A:A,Dim_Date!H:H)</f>
        <v>Jun 2024</v>
      </c>
      <c r="T3697" t="str">
        <f>IF(Pipeline_tbl[[#This Row],[Closed_Date]]=0,"",(_xlfn.XLOOKUP(Pipeline_tbl[[#This Row],[Closed_Date]],Dim_Date!A:A,Dim_Date!H:H)))</f>
        <v>Oct 2024</v>
      </c>
      <c r="U3697">
        <f>IF(Pipeline_tbl[[#This Row],[Closed_Date]]=0,"",Pipeline_tbl[[#This Row],[Closed_Date]]-Pipeline_tbl[[#This Row],[Created_Date]])</f>
        <v>116</v>
      </c>
    </row>
    <row r="3698" spans="1:21" ht="15" customHeight="1" x14ac:dyDescent="0.2">
      <c r="A3698" t="s">
        <v>4004</v>
      </c>
      <c r="B3698" t="s">
        <v>183</v>
      </c>
      <c r="C3698" t="s">
        <v>53</v>
      </c>
      <c r="D3698" s="49">
        <v>45470</v>
      </c>
      <c r="E3698" s="49">
        <v>45479</v>
      </c>
      <c r="F3698" s="49">
        <v>45497</v>
      </c>
      <c r="G3698" s="49">
        <v>45524</v>
      </c>
      <c r="I3698" s="49">
        <v>45560</v>
      </c>
      <c r="J3698" t="s">
        <v>49</v>
      </c>
      <c r="K3698" s="33">
        <v>21000</v>
      </c>
      <c r="L3698" t="s">
        <v>61</v>
      </c>
      <c r="M3698" t="str">
        <f>_xlfn.XLOOKUP(Pipeline_tbl[[#This Row],[Rep_ID]],Dim_Reps!A:A,Dim_Reps!K:K)</f>
        <v>EUR</v>
      </c>
      <c r="N3698" s="33">
        <f>(_xlfn.XLOOKUP(Pipeline_tbl[[#This Row],[Rate_Code_Generalized]],Lookups!A:A,Lookups!B:B))*Pipeline_tbl[[#This Row],[Pipeline_Amount_USD]]</f>
        <v>21000</v>
      </c>
      <c r="O3698" t="str">
        <f>_xlfn.XLOOKUP(Pipeline_tbl[[#This Row],[Rep_ID]],Dim_Reps!A:A,Dim_Reps!B:B)</f>
        <v>Sam Schmidt</v>
      </c>
      <c r="P3698" t="str">
        <f>_xlfn.XLOOKUP(Pipeline_tbl[[#This Row],[Rep_ID]],Dim_Reps!A:A,Dim_Reps!C:C)</f>
        <v>Enterprise AE</v>
      </c>
      <c r="Q3698" t="str">
        <f>_xlfn.XLOOKUP(Pipeline_tbl[[#This Row],[Rep_ID]],Dim_Reps!A:A,Dim_Reps!D:D)</f>
        <v>Enterprise</v>
      </c>
      <c r="R3698" t="str">
        <f>_xlfn.XLOOKUP(Pipeline_tbl[[#This Row],[Rep_ID]],Dim_Reps!A:A,Dim_Reps!E:E)</f>
        <v>EMEA</v>
      </c>
      <c r="S3698" t="str">
        <f>_xlfn.XLOOKUP(Pipeline_tbl[[#This Row],[Created_Date]],Dim_Date!A:A,Dim_Date!H:H)</f>
        <v>Jun 2024</v>
      </c>
      <c r="T3698" t="str">
        <f>IF(Pipeline_tbl[[#This Row],[Closed_Date]]=0,"",(_xlfn.XLOOKUP(Pipeline_tbl[[#This Row],[Closed_Date]],Dim_Date!A:A,Dim_Date!H:H)))</f>
        <v>Sep 2024</v>
      </c>
      <c r="U3698">
        <f>IF(Pipeline_tbl[[#This Row],[Closed_Date]]=0,"",Pipeline_tbl[[#This Row],[Closed_Date]]-Pipeline_tbl[[#This Row],[Created_Date]])</f>
        <v>90</v>
      </c>
    </row>
    <row r="3699" spans="1:21" ht="15" customHeight="1" x14ac:dyDescent="0.2">
      <c r="A3699" t="s">
        <v>4005</v>
      </c>
      <c r="B3699" t="s">
        <v>183</v>
      </c>
      <c r="C3699" t="s">
        <v>52</v>
      </c>
      <c r="D3699" s="49">
        <v>45462</v>
      </c>
      <c r="E3699" s="49">
        <v>45469</v>
      </c>
      <c r="F3699" s="49">
        <v>45484</v>
      </c>
      <c r="G3699" s="49">
        <v>45506</v>
      </c>
      <c r="I3699" s="49">
        <v>45536</v>
      </c>
      <c r="J3699" t="s">
        <v>49</v>
      </c>
      <c r="K3699" s="33">
        <v>49800</v>
      </c>
      <c r="L3699" t="s">
        <v>61</v>
      </c>
      <c r="M3699" t="str">
        <f>_xlfn.XLOOKUP(Pipeline_tbl[[#This Row],[Rep_ID]],Dim_Reps!A:A,Dim_Reps!K:K)</f>
        <v>EUR</v>
      </c>
      <c r="N3699" s="33">
        <f>(_xlfn.XLOOKUP(Pipeline_tbl[[#This Row],[Rate_Code_Generalized]],Lookups!A:A,Lookups!B:B))*Pipeline_tbl[[#This Row],[Pipeline_Amount_USD]]</f>
        <v>49800</v>
      </c>
      <c r="O3699" t="str">
        <f>_xlfn.XLOOKUP(Pipeline_tbl[[#This Row],[Rep_ID]],Dim_Reps!A:A,Dim_Reps!B:B)</f>
        <v>Sam Schmidt</v>
      </c>
      <c r="P3699" t="str">
        <f>_xlfn.XLOOKUP(Pipeline_tbl[[#This Row],[Rep_ID]],Dim_Reps!A:A,Dim_Reps!C:C)</f>
        <v>Enterprise AE</v>
      </c>
      <c r="Q3699" t="str">
        <f>_xlfn.XLOOKUP(Pipeline_tbl[[#This Row],[Rep_ID]],Dim_Reps!A:A,Dim_Reps!D:D)</f>
        <v>Enterprise</v>
      </c>
      <c r="R3699" t="str">
        <f>_xlfn.XLOOKUP(Pipeline_tbl[[#This Row],[Rep_ID]],Dim_Reps!A:A,Dim_Reps!E:E)</f>
        <v>EMEA</v>
      </c>
      <c r="S3699" t="str">
        <f>_xlfn.XLOOKUP(Pipeline_tbl[[#This Row],[Created_Date]],Dim_Date!A:A,Dim_Date!H:H)</f>
        <v>Jun 2024</v>
      </c>
      <c r="T3699" t="str">
        <f>IF(Pipeline_tbl[[#This Row],[Closed_Date]]=0,"",(_xlfn.XLOOKUP(Pipeline_tbl[[#This Row],[Closed_Date]],Dim_Date!A:A,Dim_Date!H:H)))</f>
        <v>Sep 2024</v>
      </c>
      <c r="U3699">
        <f>IF(Pipeline_tbl[[#This Row],[Closed_Date]]=0,"",Pipeline_tbl[[#This Row],[Closed_Date]]-Pipeline_tbl[[#This Row],[Created_Date]])</f>
        <v>74</v>
      </c>
    </row>
    <row r="3700" spans="1:21" ht="15" customHeight="1" x14ac:dyDescent="0.2">
      <c r="A3700" t="s">
        <v>4006</v>
      </c>
      <c r="B3700" t="s">
        <v>278</v>
      </c>
      <c r="C3700" t="s">
        <v>54</v>
      </c>
      <c r="D3700" s="49">
        <v>45454</v>
      </c>
      <c r="E3700" s="49">
        <v>45464</v>
      </c>
      <c r="F3700" s="49">
        <v>45486</v>
      </c>
      <c r="G3700" s="49">
        <v>45517</v>
      </c>
      <c r="H3700" s="49">
        <v>45543</v>
      </c>
      <c r="I3700" s="49">
        <v>45559</v>
      </c>
      <c r="J3700" t="s">
        <v>49</v>
      </c>
      <c r="K3700" s="33">
        <v>34500</v>
      </c>
      <c r="L3700" t="s">
        <v>60</v>
      </c>
      <c r="M3700" t="str">
        <f>_xlfn.XLOOKUP(Pipeline_tbl[[#This Row],[Rep_ID]],Dim_Reps!A:A,Dim_Reps!K:K)</f>
        <v>EUR</v>
      </c>
      <c r="N3700" s="33">
        <f>(_xlfn.XLOOKUP(Pipeline_tbl[[#This Row],[Rate_Code_Generalized]],Lookups!A:A,Lookups!B:B))*Pipeline_tbl[[#This Row],[Pipeline_Amount_USD]]</f>
        <v>34500</v>
      </c>
      <c r="O3700" t="str">
        <f>_xlfn.XLOOKUP(Pipeline_tbl[[#This Row],[Rep_ID]],Dim_Reps!A:A,Dim_Reps!B:B)</f>
        <v>Sara Andersson</v>
      </c>
      <c r="P3700" t="str">
        <f>_xlfn.XLOOKUP(Pipeline_tbl[[#This Row],[Rep_ID]],Dim_Reps!A:A,Dim_Reps!C:C)</f>
        <v>Senior Enterprise AE</v>
      </c>
      <c r="Q3700" t="str">
        <f>_xlfn.XLOOKUP(Pipeline_tbl[[#This Row],[Rep_ID]],Dim_Reps!A:A,Dim_Reps!D:D)</f>
        <v>Strategic</v>
      </c>
      <c r="R3700" t="str">
        <f>_xlfn.XLOOKUP(Pipeline_tbl[[#This Row],[Rep_ID]],Dim_Reps!A:A,Dim_Reps!E:E)</f>
        <v>APAC</v>
      </c>
      <c r="S3700" t="str">
        <f>_xlfn.XLOOKUP(Pipeline_tbl[[#This Row],[Created_Date]],Dim_Date!A:A,Dim_Date!H:H)</f>
        <v>Jun 2024</v>
      </c>
      <c r="T3700" t="str">
        <f>IF(Pipeline_tbl[[#This Row],[Closed_Date]]=0,"",(_xlfn.XLOOKUP(Pipeline_tbl[[#This Row],[Closed_Date]],Dim_Date!A:A,Dim_Date!H:H)))</f>
        <v>Sep 2024</v>
      </c>
      <c r="U3700">
        <f>IF(Pipeline_tbl[[#This Row],[Closed_Date]]=0,"",Pipeline_tbl[[#This Row],[Closed_Date]]-Pipeline_tbl[[#This Row],[Created_Date]])</f>
        <v>105</v>
      </c>
    </row>
    <row r="3701" spans="1:21" ht="15" customHeight="1" x14ac:dyDescent="0.2">
      <c r="A3701" t="s">
        <v>4007</v>
      </c>
      <c r="B3701" t="s">
        <v>188</v>
      </c>
      <c r="C3701" t="s">
        <v>52</v>
      </c>
      <c r="D3701" s="49">
        <v>45461</v>
      </c>
      <c r="E3701" s="49">
        <v>45469</v>
      </c>
      <c r="F3701" s="49">
        <v>45485</v>
      </c>
      <c r="G3701" s="49">
        <v>45510</v>
      </c>
      <c r="H3701" s="49">
        <v>45530</v>
      </c>
      <c r="I3701" s="49">
        <v>45542</v>
      </c>
      <c r="J3701" t="s">
        <v>49</v>
      </c>
      <c r="K3701" s="33">
        <v>39400</v>
      </c>
      <c r="L3701" t="s">
        <v>61</v>
      </c>
      <c r="M3701" t="str">
        <f>_xlfn.XLOOKUP(Pipeline_tbl[[#This Row],[Rep_ID]],Dim_Reps!A:A,Dim_Reps!K:K)</f>
        <v>EUR</v>
      </c>
      <c r="N3701" s="33">
        <f>(_xlfn.XLOOKUP(Pipeline_tbl[[#This Row],[Rate_Code_Generalized]],Lookups!A:A,Lookups!B:B))*Pipeline_tbl[[#This Row],[Pipeline_Amount_USD]]</f>
        <v>39400</v>
      </c>
      <c r="O3701" t="str">
        <f>_xlfn.XLOOKUP(Pipeline_tbl[[#This Row],[Rep_ID]],Dim_Reps!A:A,Dim_Reps!B:B)</f>
        <v>Jamie Santos</v>
      </c>
      <c r="P3701" t="str">
        <f>_xlfn.XLOOKUP(Pipeline_tbl[[#This Row],[Rep_ID]],Dim_Reps!A:A,Dim_Reps!C:C)</f>
        <v>Enterprise AE</v>
      </c>
      <c r="Q3701" t="str">
        <f>_xlfn.XLOOKUP(Pipeline_tbl[[#This Row],[Rep_ID]],Dim_Reps!A:A,Dim_Reps!D:D)</f>
        <v>Enterprise</v>
      </c>
      <c r="R3701" t="str">
        <f>_xlfn.XLOOKUP(Pipeline_tbl[[#This Row],[Rep_ID]],Dim_Reps!A:A,Dim_Reps!E:E)</f>
        <v>APAC</v>
      </c>
      <c r="S3701" t="str">
        <f>_xlfn.XLOOKUP(Pipeline_tbl[[#This Row],[Created_Date]],Dim_Date!A:A,Dim_Date!H:H)</f>
        <v>Jun 2024</v>
      </c>
      <c r="T3701" t="str">
        <f>IF(Pipeline_tbl[[#This Row],[Closed_Date]]=0,"",(_xlfn.XLOOKUP(Pipeline_tbl[[#This Row],[Closed_Date]],Dim_Date!A:A,Dim_Date!H:H)))</f>
        <v>Sep 2024</v>
      </c>
      <c r="U3701">
        <f>IF(Pipeline_tbl[[#This Row],[Closed_Date]]=0,"",Pipeline_tbl[[#This Row],[Closed_Date]]-Pipeline_tbl[[#This Row],[Created_Date]])</f>
        <v>81</v>
      </c>
    </row>
    <row r="3702" spans="1:21" ht="15" customHeight="1" x14ac:dyDescent="0.2">
      <c r="A3702" t="s">
        <v>4008</v>
      </c>
      <c r="B3702" t="s">
        <v>188</v>
      </c>
      <c r="C3702" t="s">
        <v>52</v>
      </c>
      <c r="D3702" s="49">
        <v>45472</v>
      </c>
      <c r="E3702" s="49">
        <v>45480</v>
      </c>
      <c r="I3702" s="49">
        <v>45551</v>
      </c>
      <c r="J3702" t="s">
        <v>49</v>
      </c>
      <c r="K3702" s="33">
        <v>41300</v>
      </c>
      <c r="L3702" t="s">
        <v>62</v>
      </c>
      <c r="M3702" t="str">
        <f>_xlfn.XLOOKUP(Pipeline_tbl[[#This Row],[Rep_ID]],Dim_Reps!A:A,Dim_Reps!K:K)</f>
        <v>EUR</v>
      </c>
      <c r="N3702" s="33">
        <f>(_xlfn.XLOOKUP(Pipeline_tbl[[#This Row],[Rate_Code_Generalized]],Lookups!A:A,Lookups!B:B))*Pipeline_tbl[[#This Row],[Pipeline_Amount_USD]]</f>
        <v>41300</v>
      </c>
      <c r="O3702" t="str">
        <f>_xlfn.XLOOKUP(Pipeline_tbl[[#This Row],[Rep_ID]],Dim_Reps!A:A,Dim_Reps!B:B)</f>
        <v>Jamie Santos</v>
      </c>
      <c r="P3702" t="str">
        <f>_xlfn.XLOOKUP(Pipeline_tbl[[#This Row],[Rep_ID]],Dim_Reps!A:A,Dim_Reps!C:C)</f>
        <v>Enterprise AE</v>
      </c>
      <c r="Q3702" t="str">
        <f>_xlfn.XLOOKUP(Pipeline_tbl[[#This Row],[Rep_ID]],Dim_Reps!A:A,Dim_Reps!D:D)</f>
        <v>Enterprise</v>
      </c>
      <c r="R3702" t="str">
        <f>_xlfn.XLOOKUP(Pipeline_tbl[[#This Row],[Rep_ID]],Dim_Reps!A:A,Dim_Reps!E:E)</f>
        <v>APAC</v>
      </c>
      <c r="S3702" t="str">
        <f>_xlfn.XLOOKUP(Pipeline_tbl[[#This Row],[Created_Date]],Dim_Date!A:A,Dim_Date!H:H)</f>
        <v>Jun 2024</v>
      </c>
      <c r="T3702" t="str">
        <f>IF(Pipeline_tbl[[#This Row],[Closed_Date]]=0,"",(_xlfn.XLOOKUP(Pipeline_tbl[[#This Row],[Closed_Date]],Dim_Date!A:A,Dim_Date!H:H)))</f>
        <v>Sep 2024</v>
      </c>
      <c r="U3702">
        <f>IF(Pipeline_tbl[[#This Row],[Closed_Date]]=0,"",Pipeline_tbl[[#This Row],[Closed_Date]]-Pipeline_tbl[[#This Row],[Created_Date]])</f>
        <v>79</v>
      </c>
    </row>
    <row r="3703" spans="1:21" ht="15" customHeight="1" x14ac:dyDescent="0.2">
      <c r="A3703" t="s">
        <v>4009</v>
      </c>
      <c r="B3703" t="s">
        <v>280</v>
      </c>
      <c r="C3703" t="s">
        <v>53</v>
      </c>
      <c r="D3703" s="49">
        <v>45450</v>
      </c>
      <c r="E3703" s="49">
        <v>45459</v>
      </c>
      <c r="F3703" s="49">
        <v>45477</v>
      </c>
      <c r="G3703" s="49">
        <v>45503</v>
      </c>
      <c r="I3703" s="49">
        <v>45539</v>
      </c>
      <c r="J3703" t="s">
        <v>49</v>
      </c>
      <c r="K3703" s="33">
        <v>23600</v>
      </c>
      <c r="L3703" t="s">
        <v>61</v>
      </c>
      <c r="M3703" t="str">
        <f>_xlfn.XLOOKUP(Pipeline_tbl[[#This Row],[Rep_ID]],Dim_Reps!A:A,Dim_Reps!K:K)</f>
        <v>MXN</v>
      </c>
      <c r="N3703" s="33">
        <f>(_xlfn.XLOOKUP(Pipeline_tbl[[#This Row],[Rate_Code_Generalized]],Lookups!A:A,Lookups!B:B))*Pipeline_tbl[[#This Row],[Pipeline_Amount_USD]]</f>
        <v>465691.72000000003</v>
      </c>
      <c r="O3703" t="str">
        <f>_xlfn.XLOOKUP(Pipeline_tbl[[#This Row],[Rep_ID]],Dim_Reps!A:A,Dim_Reps!B:B)</f>
        <v>Cameron Lund</v>
      </c>
      <c r="P3703" t="str">
        <f>_xlfn.XLOOKUP(Pipeline_tbl[[#This Row],[Rep_ID]],Dim_Reps!A:A,Dim_Reps!C:C)</f>
        <v>Senior Enterprise AE</v>
      </c>
      <c r="Q3703" t="str">
        <f>_xlfn.XLOOKUP(Pipeline_tbl[[#This Row],[Rep_ID]],Dim_Reps!A:A,Dim_Reps!D:D)</f>
        <v>Strategic</v>
      </c>
      <c r="R3703" t="str">
        <f>_xlfn.XLOOKUP(Pipeline_tbl[[#This Row],[Rep_ID]],Dim_Reps!A:A,Dim_Reps!E:E)</f>
        <v>LATAM</v>
      </c>
      <c r="S3703" t="str">
        <f>_xlfn.XLOOKUP(Pipeline_tbl[[#This Row],[Created_Date]],Dim_Date!A:A,Dim_Date!H:H)</f>
        <v>Jun 2024</v>
      </c>
      <c r="T3703" t="str">
        <f>IF(Pipeline_tbl[[#This Row],[Closed_Date]]=0,"",(_xlfn.XLOOKUP(Pipeline_tbl[[#This Row],[Closed_Date]],Dim_Date!A:A,Dim_Date!H:H)))</f>
        <v>Sep 2024</v>
      </c>
      <c r="U3703">
        <f>IF(Pipeline_tbl[[#This Row],[Closed_Date]]=0,"",Pipeline_tbl[[#This Row],[Closed_Date]]-Pipeline_tbl[[#This Row],[Created_Date]])</f>
        <v>89</v>
      </c>
    </row>
    <row r="3704" spans="1:21" ht="15" customHeight="1" x14ac:dyDescent="0.2">
      <c r="A3704" t="s">
        <v>4010</v>
      </c>
      <c r="B3704" t="s">
        <v>284</v>
      </c>
      <c r="C3704" t="s">
        <v>54</v>
      </c>
      <c r="D3704" s="49">
        <v>45472</v>
      </c>
      <c r="E3704" s="49">
        <v>45480</v>
      </c>
      <c r="F3704" s="49">
        <v>45497</v>
      </c>
      <c r="G3704" s="49">
        <v>45521</v>
      </c>
      <c r="I3704" s="49">
        <v>45554</v>
      </c>
      <c r="J3704" t="s">
        <v>49</v>
      </c>
      <c r="K3704" s="33">
        <v>38400</v>
      </c>
      <c r="L3704" t="s">
        <v>62</v>
      </c>
      <c r="M3704" t="str">
        <f>_xlfn.XLOOKUP(Pipeline_tbl[[#This Row],[Rep_ID]],Dim_Reps!A:A,Dim_Reps!K:K)</f>
        <v>USD</v>
      </c>
      <c r="N3704" s="33">
        <f>(_xlfn.XLOOKUP(Pipeline_tbl[[#This Row],[Rate_Code_Generalized]],Lookups!A:A,Lookups!B:B))*Pipeline_tbl[[#This Row],[Pipeline_Amount_USD]]</f>
        <v>44709.119999999995</v>
      </c>
      <c r="O3704" t="str">
        <f>_xlfn.XLOOKUP(Pipeline_tbl[[#This Row],[Rep_ID]],Dim_Reps!A:A,Dim_Reps!B:B)</f>
        <v>Taylor Adler</v>
      </c>
      <c r="P3704" t="str">
        <f>_xlfn.XLOOKUP(Pipeline_tbl[[#This Row],[Rep_ID]],Dim_Reps!A:A,Dim_Reps!C:C)</f>
        <v>Senior Enterprise AE</v>
      </c>
      <c r="Q3704" t="str">
        <f>_xlfn.XLOOKUP(Pipeline_tbl[[#This Row],[Rep_ID]],Dim_Reps!A:A,Dim_Reps!D:D)</f>
        <v>Strategic</v>
      </c>
      <c r="R3704" t="str">
        <f>_xlfn.XLOOKUP(Pipeline_tbl[[#This Row],[Rep_ID]],Dim_Reps!A:A,Dim_Reps!E:E)</f>
        <v>NAMER</v>
      </c>
      <c r="S3704" t="str">
        <f>_xlfn.XLOOKUP(Pipeline_tbl[[#This Row],[Created_Date]],Dim_Date!A:A,Dim_Date!H:H)</f>
        <v>Jun 2024</v>
      </c>
      <c r="T3704" t="str">
        <f>IF(Pipeline_tbl[[#This Row],[Closed_Date]]=0,"",(_xlfn.XLOOKUP(Pipeline_tbl[[#This Row],[Closed_Date]],Dim_Date!A:A,Dim_Date!H:H)))</f>
        <v>Sep 2024</v>
      </c>
      <c r="U3704">
        <f>IF(Pipeline_tbl[[#This Row],[Closed_Date]]=0,"",Pipeline_tbl[[#This Row],[Closed_Date]]-Pipeline_tbl[[#This Row],[Created_Date]])</f>
        <v>82</v>
      </c>
    </row>
    <row r="3705" spans="1:21" ht="15" customHeight="1" x14ac:dyDescent="0.2">
      <c r="A3705" t="s">
        <v>4011</v>
      </c>
      <c r="B3705" t="s">
        <v>284</v>
      </c>
      <c r="C3705" t="s">
        <v>54</v>
      </c>
      <c r="D3705" s="49">
        <v>45455</v>
      </c>
      <c r="E3705" s="49">
        <v>45464</v>
      </c>
      <c r="F3705" s="49">
        <v>45481</v>
      </c>
      <c r="G3705" s="49">
        <v>45507</v>
      </c>
      <c r="I3705" s="49">
        <v>45542</v>
      </c>
      <c r="J3705" t="s">
        <v>49</v>
      </c>
      <c r="K3705" s="33">
        <v>148200</v>
      </c>
      <c r="L3705" t="s">
        <v>62</v>
      </c>
      <c r="M3705" t="str">
        <f>_xlfn.XLOOKUP(Pipeline_tbl[[#This Row],[Rep_ID]],Dim_Reps!A:A,Dim_Reps!K:K)</f>
        <v>USD</v>
      </c>
      <c r="N3705" s="33">
        <f>(_xlfn.XLOOKUP(Pipeline_tbl[[#This Row],[Rate_Code_Generalized]],Lookups!A:A,Lookups!B:B))*Pipeline_tbl[[#This Row],[Pipeline_Amount_USD]]</f>
        <v>172549.25999999998</v>
      </c>
      <c r="O3705" t="str">
        <f>_xlfn.XLOOKUP(Pipeline_tbl[[#This Row],[Rep_ID]],Dim_Reps!A:A,Dim_Reps!B:B)</f>
        <v>Taylor Adler</v>
      </c>
      <c r="P3705" t="str">
        <f>_xlfn.XLOOKUP(Pipeline_tbl[[#This Row],[Rep_ID]],Dim_Reps!A:A,Dim_Reps!C:C)</f>
        <v>Senior Enterprise AE</v>
      </c>
      <c r="Q3705" t="str">
        <f>_xlfn.XLOOKUP(Pipeline_tbl[[#This Row],[Rep_ID]],Dim_Reps!A:A,Dim_Reps!D:D)</f>
        <v>Strategic</v>
      </c>
      <c r="R3705" t="str">
        <f>_xlfn.XLOOKUP(Pipeline_tbl[[#This Row],[Rep_ID]],Dim_Reps!A:A,Dim_Reps!E:E)</f>
        <v>NAMER</v>
      </c>
      <c r="S3705" t="str">
        <f>_xlfn.XLOOKUP(Pipeline_tbl[[#This Row],[Created_Date]],Dim_Date!A:A,Dim_Date!H:H)</f>
        <v>Jun 2024</v>
      </c>
      <c r="T3705" t="str">
        <f>IF(Pipeline_tbl[[#This Row],[Closed_Date]]=0,"",(_xlfn.XLOOKUP(Pipeline_tbl[[#This Row],[Closed_Date]],Dim_Date!A:A,Dim_Date!H:H)))</f>
        <v>Sep 2024</v>
      </c>
      <c r="U3705">
        <f>IF(Pipeline_tbl[[#This Row],[Closed_Date]]=0,"",Pipeline_tbl[[#This Row],[Closed_Date]]-Pipeline_tbl[[#This Row],[Created_Date]])</f>
        <v>87</v>
      </c>
    </row>
    <row r="3706" spans="1:21" ht="15" customHeight="1" x14ac:dyDescent="0.2">
      <c r="A3706" t="s">
        <v>4012</v>
      </c>
      <c r="B3706" t="s">
        <v>284</v>
      </c>
      <c r="C3706" t="s">
        <v>53</v>
      </c>
      <c r="D3706" s="49">
        <v>45453</v>
      </c>
      <c r="E3706" s="49">
        <v>45462</v>
      </c>
      <c r="F3706" s="49">
        <v>45479</v>
      </c>
      <c r="G3706" s="49">
        <v>45506</v>
      </c>
      <c r="I3706" s="49">
        <v>45541</v>
      </c>
      <c r="J3706" t="s">
        <v>49</v>
      </c>
      <c r="K3706" s="33">
        <v>30800</v>
      </c>
      <c r="L3706" t="s">
        <v>62</v>
      </c>
      <c r="M3706" t="str">
        <f>_xlfn.XLOOKUP(Pipeline_tbl[[#This Row],[Rep_ID]],Dim_Reps!A:A,Dim_Reps!K:K)</f>
        <v>USD</v>
      </c>
      <c r="N3706" s="33">
        <f>(_xlfn.XLOOKUP(Pipeline_tbl[[#This Row],[Rate_Code_Generalized]],Lookups!A:A,Lookups!B:B))*Pipeline_tbl[[#This Row],[Pipeline_Amount_USD]]</f>
        <v>35860.439999999995</v>
      </c>
      <c r="O3706" t="str">
        <f>_xlfn.XLOOKUP(Pipeline_tbl[[#This Row],[Rep_ID]],Dim_Reps!A:A,Dim_Reps!B:B)</f>
        <v>Taylor Adler</v>
      </c>
      <c r="P3706" t="str">
        <f>_xlfn.XLOOKUP(Pipeline_tbl[[#This Row],[Rep_ID]],Dim_Reps!A:A,Dim_Reps!C:C)</f>
        <v>Senior Enterprise AE</v>
      </c>
      <c r="Q3706" t="str">
        <f>_xlfn.XLOOKUP(Pipeline_tbl[[#This Row],[Rep_ID]],Dim_Reps!A:A,Dim_Reps!D:D)</f>
        <v>Strategic</v>
      </c>
      <c r="R3706" t="str">
        <f>_xlfn.XLOOKUP(Pipeline_tbl[[#This Row],[Rep_ID]],Dim_Reps!A:A,Dim_Reps!E:E)</f>
        <v>NAMER</v>
      </c>
      <c r="S3706" t="str">
        <f>_xlfn.XLOOKUP(Pipeline_tbl[[#This Row],[Created_Date]],Dim_Date!A:A,Dim_Date!H:H)</f>
        <v>Jun 2024</v>
      </c>
      <c r="T3706" t="str">
        <f>IF(Pipeline_tbl[[#This Row],[Closed_Date]]=0,"",(_xlfn.XLOOKUP(Pipeline_tbl[[#This Row],[Closed_Date]],Dim_Date!A:A,Dim_Date!H:H)))</f>
        <v>Sep 2024</v>
      </c>
      <c r="U3706">
        <f>IF(Pipeline_tbl[[#This Row],[Closed_Date]]=0,"",Pipeline_tbl[[#This Row],[Closed_Date]]-Pipeline_tbl[[#This Row],[Created_Date]])</f>
        <v>88</v>
      </c>
    </row>
    <row r="3707" spans="1:21" ht="15" customHeight="1" x14ac:dyDescent="0.2">
      <c r="A3707" t="s">
        <v>4013</v>
      </c>
      <c r="B3707" t="s">
        <v>193</v>
      </c>
      <c r="C3707" t="s">
        <v>52</v>
      </c>
      <c r="D3707" s="49">
        <v>45866</v>
      </c>
      <c r="E3707" s="49">
        <v>45868</v>
      </c>
      <c r="F3707" s="49">
        <v>45871</v>
      </c>
      <c r="I3707" s="49">
        <v>45883</v>
      </c>
      <c r="J3707" t="s">
        <v>49</v>
      </c>
      <c r="K3707" s="33">
        <v>4400</v>
      </c>
      <c r="L3707" t="s">
        <v>62</v>
      </c>
      <c r="M3707" t="str">
        <f>_xlfn.XLOOKUP(Pipeline_tbl[[#This Row],[Rep_ID]],Dim_Reps!A:A,Dim_Reps!K:K)</f>
        <v>USD</v>
      </c>
      <c r="N3707" s="33">
        <f>(_xlfn.XLOOKUP(Pipeline_tbl[[#This Row],[Rate_Code_Generalized]],Lookups!A:A,Lookups!B:B))*Pipeline_tbl[[#This Row],[Pipeline_Amount_USD]]</f>
        <v>5122.9199999999992</v>
      </c>
      <c r="O3707" t="str">
        <f>_xlfn.XLOOKUP(Pipeline_tbl[[#This Row],[Rep_ID]],Dim_Reps!A:A,Dim_Reps!B:B)</f>
        <v>Karim Rossi</v>
      </c>
      <c r="P3707" t="str">
        <f>_xlfn.XLOOKUP(Pipeline_tbl[[#This Row],[Rep_ID]],Dim_Reps!A:A,Dim_Reps!C:C)</f>
        <v>SDR / Inside Sales Rep</v>
      </c>
      <c r="Q3707" t="str">
        <f>_xlfn.XLOOKUP(Pipeline_tbl[[#This Row],[Rep_ID]],Dim_Reps!A:A,Dim_Reps!D:D)</f>
        <v>Inside Sales</v>
      </c>
      <c r="R3707" t="str">
        <f>_xlfn.XLOOKUP(Pipeline_tbl[[#This Row],[Rep_ID]],Dim_Reps!A:A,Dim_Reps!E:E)</f>
        <v>NAMER</v>
      </c>
      <c r="S3707" t="str">
        <f>_xlfn.XLOOKUP(Pipeline_tbl[[#This Row],[Created_Date]],Dim_Date!A:A,Dim_Date!H:H)</f>
        <v>Jul 2025</v>
      </c>
      <c r="T3707" t="str">
        <f>IF(Pipeline_tbl[[#This Row],[Closed_Date]]=0,"",(_xlfn.XLOOKUP(Pipeline_tbl[[#This Row],[Closed_Date]],Dim_Date!A:A,Dim_Date!H:H)))</f>
        <v>Aug 2025</v>
      </c>
      <c r="U3707">
        <f>IF(Pipeline_tbl[[#This Row],[Closed_Date]]=0,"",Pipeline_tbl[[#This Row],[Closed_Date]]-Pipeline_tbl[[#This Row],[Created_Date]])</f>
        <v>17</v>
      </c>
    </row>
    <row r="3708" spans="1:21" ht="15" customHeight="1" x14ac:dyDescent="0.2">
      <c r="A3708" t="s">
        <v>4014</v>
      </c>
      <c r="B3708" t="s">
        <v>193</v>
      </c>
      <c r="C3708" t="s">
        <v>55</v>
      </c>
      <c r="D3708" s="49">
        <v>45869</v>
      </c>
      <c r="E3708" s="49">
        <v>45870</v>
      </c>
      <c r="F3708" s="49">
        <v>45873</v>
      </c>
      <c r="G3708" s="49">
        <v>45877</v>
      </c>
      <c r="H3708" s="49">
        <v>45880</v>
      </c>
      <c r="I3708" s="49">
        <v>45882</v>
      </c>
      <c r="J3708" t="s">
        <v>47</v>
      </c>
      <c r="K3708" s="33">
        <v>3600</v>
      </c>
      <c r="M3708" t="str">
        <f>_xlfn.XLOOKUP(Pipeline_tbl[[#This Row],[Rep_ID]],Dim_Reps!A:A,Dim_Reps!K:K)</f>
        <v>USD</v>
      </c>
      <c r="N3708" s="33">
        <f>(_xlfn.XLOOKUP(Pipeline_tbl[[#This Row],[Rate_Code_Generalized]],Lookups!A:A,Lookups!B:B))*Pipeline_tbl[[#This Row],[Pipeline_Amount_USD]]</f>
        <v>4191.4799999999996</v>
      </c>
      <c r="O3708" t="str">
        <f>_xlfn.XLOOKUP(Pipeline_tbl[[#This Row],[Rep_ID]],Dim_Reps!A:A,Dim_Reps!B:B)</f>
        <v>Karim Rossi</v>
      </c>
      <c r="P3708" t="str">
        <f>_xlfn.XLOOKUP(Pipeline_tbl[[#This Row],[Rep_ID]],Dim_Reps!A:A,Dim_Reps!C:C)</f>
        <v>SDR / Inside Sales Rep</v>
      </c>
      <c r="Q3708" t="str">
        <f>_xlfn.XLOOKUP(Pipeline_tbl[[#This Row],[Rep_ID]],Dim_Reps!A:A,Dim_Reps!D:D)</f>
        <v>Inside Sales</v>
      </c>
      <c r="R3708" t="str">
        <f>_xlfn.XLOOKUP(Pipeline_tbl[[#This Row],[Rep_ID]],Dim_Reps!A:A,Dim_Reps!E:E)</f>
        <v>NAMER</v>
      </c>
      <c r="S3708" t="str">
        <f>_xlfn.XLOOKUP(Pipeline_tbl[[#This Row],[Created_Date]],Dim_Date!A:A,Dim_Date!H:H)</f>
        <v>Jul 2025</v>
      </c>
      <c r="T3708" t="str">
        <f>IF(Pipeline_tbl[[#This Row],[Closed_Date]]=0,"",(_xlfn.XLOOKUP(Pipeline_tbl[[#This Row],[Closed_Date]],Dim_Date!A:A,Dim_Date!H:H)))</f>
        <v>Aug 2025</v>
      </c>
      <c r="U3708">
        <f>IF(Pipeline_tbl[[#This Row],[Closed_Date]]=0,"",Pipeline_tbl[[#This Row],[Closed_Date]]-Pipeline_tbl[[#This Row],[Created_Date]])</f>
        <v>13</v>
      </c>
    </row>
    <row r="3709" spans="1:21" ht="15" customHeight="1" x14ac:dyDescent="0.2">
      <c r="A3709" t="s">
        <v>4015</v>
      </c>
      <c r="B3709" t="s">
        <v>193</v>
      </c>
      <c r="C3709" t="s">
        <v>52</v>
      </c>
      <c r="D3709" s="49">
        <v>45863</v>
      </c>
      <c r="E3709" s="49">
        <v>45864</v>
      </c>
      <c r="I3709" s="49">
        <v>45877</v>
      </c>
      <c r="J3709" t="s">
        <v>49</v>
      </c>
      <c r="K3709" s="33">
        <v>1600</v>
      </c>
      <c r="L3709" t="s">
        <v>61</v>
      </c>
      <c r="M3709" t="str">
        <f>_xlfn.XLOOKUP(Pipeline_tbl[[#This Row],[Rep_ID]],Dim_Reps!A:A,Dim_Reps!K:K)</f>
        <v>USD</v>
      </c>
      <c r="N3709" s="33">
        <f>(_xlfn.XLOOKUP(Pipeline_tbl[[#This Row],[Rate_Code_Generalized]],Lookups!A:A,Lookups!B:B))*Pipeline_tbl[[#This Row],[Pipeline_Amount_USD]]</f>
        <v>1862.8799999999999</v>
      </c>
      <c r="O3709" t="str">
        <f>_xlfn.XLOOKUP(Pipeline_tbl[[#This Row],[Rep_ID]],Dim_Reps!A:A,Dim_Reps!B:B)</f>
        <v>Karim Rossi</v>
      </c>
      <c r="P3709" t="str">
        <f>_xlfn.XLOOKUP(Pipeline_tbl[[#This Row],[Rep_ID]],Dim_Reps!A:A,Dim_Reps!C:C)</f>
        <v>SDR / Inside Sales Rep</v>
      </c>
      <c r="Q3709" t="str">
        <f>_xlfn.XLOOKUP(Pipeline_tbl[[#This Row],[Rep_ID]],Dim_Reps!A:A,Dim_Reps!D:D)</f>
        <v>Inside Sales</v>
      </c>
      <c r="R3709" t="str">
        <f>_xlfn.XLOOKUP(Pipeline_tbl[[#This Row],[Rep_ID]],Dim_Reps!A:A,Dim_Reps!E:E)</f>
        <v>NAMER</v>
      </c>
      <c r="S3709" t="str">
        <f>_xlfn.XLOOKUP(Pipeline_tbl[[#This Row],[Created_Date]],Dim_Date!A:A,Dim_Date!H:H)</f>
        <v>Jul 2025</v>
      </c>
      <c r="T3709" t="str">
        <f>IF(Pipeline_tbl[[#This Row],[Closed_Date]]=0,"",(_xlfn.XLOOKUP(Pipeline_tbl[[#This Row],[Closed_Date]],Dim_Date!A:A,Dim_Date!H:H)))</f>
        <v>Aug 2025</v>
      </c>
      <c r="U3709">
        <f>IF(Pipeline_tbl[[#This Row],[Closed_Date]]=0,"",Pipeline_tbl[[#This Row],[Closed_Date]]-Pipeline_tbl[[#This Row],[Created_Date]])</f>
        <v>14</v>
      </c>
    </row>
    <row r="3710" spans="1:21" ht="15" customHeight="1" x14ac:dyDescent="0.2">
      <c r="A3710" t="s">
        <v>4016</v>
      </c>
      <c r="B3710" t="s">
        <v>193</v>
      </c>
      <c r="C3710" t="s">
        <v>52</v>
      </c>
      <c r="D3710" s="49">
        <v>45859</v>
      </c>
      <c r="E3710" s="49">
        <v>45861</v>
      </c>
      <c r="F3710" s="49">
        <v>45867</v>
      </c>
      <c r="G3710" s="49">
        <v>45874</v>
      </c>
      <c r="H3710" s="49">
        <v>45880</v>
      </c>
      <c r="I3710" s="49">
        <v>45884</v>
      </c>
      <c r="J3710" t="s">
        <v>49</v>
      </c>
      <c r="K3710" s="33">
        <v>3100</v>
      </c>
      <c r="L3710" t="s">
        <v>63</v>
      </c>
      <c r="M3710" t="str">
        <f>_xlfn.XLOOKUP(Pipeline_tbl[[#This Row],[Rep_ID]],Dim_Reps!A:A,Dim_Reps!K:K)</f>
        <v>USD</v>
      </c>
      <c r="N3710" s="33">
        <f>(_xlfn.XLOOKUP(Pipeline_tbl[[#This Row],[Rate_Code_Generalized]],Lookups!A:A,Lookups!B:B))*Pipeline_tbl[[#This Row],[Pipeline_Amount_USD]]</f>
        <v>3609.3299999999995</v>
      </c>
      <c r="O3710" t="str">
        <f>_xlfn.XLOOKUP(Pipeline_tbl[[#This Row],[Rep_ID]],Dim_Reps!A:A,Dim_Reps!B:B)</f>
        <v>Karim Rossi</v>
      </c>
      <c r="P3710" t="str">
        <f>_xlfn.XLOOKUP(Pipeline_tbl[[#This Row],[Rep_ID]],Dim_Reps!A:A,Dim_Reps!C:C)</f>
        <v>SDR / Inside Sales Rep</v>
      </c>
      <c r="Q3710" t="str">
        <f>_xlfn.XLOOKUP(Pipeline_tbl[[#This Row],[Rep_ID]],Dim_Reps!A:A,Dim_Reps!D:D)</f>
        <v>Inside Sales</v>
      </c>
      <c r="R3710" t="str">
        <f>_xlfn.XLOOKUP(Pipeline_tbl[[#This Row],[Rep_ID]],Dim_Reps!A:A,Dim_Reps!E:E)</f>
        <v>NAMER</v>
      </c>
      <c r="S3710" t="str">
        <f>_xlfn.XLOOKUP(Pipeline_tbl[[#This Row],[Created_Date]],Dim_Date!A:A,Dim_Date!H:H)</f>
        <v>Jul 2025</v>
      </c>
      <c r="T3710" t="str">
        <f>IF(Pipeline_tbl[[#This Row],[Closed_Date]]=0,"",(_xlfn.XLOOKUP(Pipeline_tbl[[#This Row],[Closed_Date]],Dim_Date!A:A,Dim_Date!H:H)))</f>
        <v>Aug 2025</v>
      </c>
      <c r="U3710">
        <f>IF(Pipeline_tbl[[#This Row],[Closed_Date]]=0,"",Pipeline_tbl[[#This Row],[Closed_Date]]-Pipeline_tbl[[#This Row],[Created_Date]])</f>
        <v>25</v>
      </c>
    </row>
    <row r="3711" spans="1:21" ht="15" customHeight="1" x14ac:dyDescent="0.2">
      <c r="A3711" t="s">
        <v>4017</v>
      </c>
      <c r="B3711" t="s">
        <v>243</v>
      </c>
      <c r="C3711" t="s">
        <v>52</v>
      </c>
      <c r="D3711" s="49">
        <v>45866</v>
      </c>
      <c r="E3711" s="49">
        <v>45868</v>
      </c>
      <c r="F3711" s="49">
        <v>45874</v>
      </c>
      <c r="I3711" s="49">
        <v>45891</v>
      </c>
      <c r="J3711" t="s">
        <v>49</v>
      </c>
      <c r="K3711" s="33">
        <v>11800</v>
      </c>
      <c r="L3711" t="s">
        <v>60</v>
      </c>
      <c r="M3711" t="str">
        <f>_xlfn.XLOOKUP(Pipeline_tbl[[#This Row],[Rep_ID]],Dim_Reps!A:A,Dim_Reps!K:K)</f>
        <v>MXN</v>
      </c>
      <c r="N3711" s="33">
        <f>(_xlfn.XLOOKUP(Pipeline_tbl[[#This Row],[Rate_Code_Generalized]],Lookups!A:A,Lookups!B:B))*Pipeline_tbl[[#This Row],[Pipeline_Amount_USD]]</f>
        <v>232845.86000000002</v>
      </c>
      <c r="O3711" t="str">
        <f>_xlfn.XLOOKUP(Pipeline_tbl[[#This Row],[Rep_ID]],Dim_Reps!A:A,Dim_Reps!B:B)</f>
        <v>Jonas Sato</v>
      </c>
      <c r="P3711" t="str">
        <f>_xlfn.XLOOKUP(Pipeline_tbl[[#This Row],[Rep_ID]],Dim_Reps!A:A,Dim_Reps!C:C)</f>
        <v>Mid-Market AE</v>
      </c>
      <c r="Q3711" t="str">
        <f>_xlfn.XLOOKUP(Pipeline_tbl[[#This Row],[Rep_ID]],Dim_Reps!A:A,Dim_Reps!D:D)</f>
        <v>Mid-Market</v>
      </c>
      <c r="R3711" t="str">
        <f>_xlfn.XLOOKUP(Pipeline_tbl[[#This Row],[Rep_ID]],Dim_Reps!A:A,Dim_Reps!E:E)</f>
        <v>LATAM</v>
      </c>
      <c r="S3711" t="str">
        <f>_xlfn.XLOOKUP(Pipeline_tbl[[#This Row],[Created_Date]],Dim_Date!A:A,Dim_Date!H:H)</f>
        <v>Jul 2025</v>
      </c>
      <c r="T3711" t="str">
        <f>IF(Pipeline_tbl[[#This Row],[Closed_Date]]=0,"",(_xlfn.XLOOKUP(Pipeline_tbl[[#This Row],[Closed_Date]],Dim_Date!A:A,Dim_Date!H:H)))</f>
        <v>Aug 2025</v>
      </c>
      <c r="U3711">
        <f>IF(Pipeline_tbl[[#This Row],[Closed_Date]]=0,"",Pipeline_tbl[[#This Row],[Closed_Date]]-Pipeline_tbl[[#This Row],[Created_Date]])</f>
        <v>25</v>
      </c>
    </row>
    <row r="3712" spans="1:21" ht="15" customHeight="1" x14ac:dyDescent="0.2">
      <c r="A3712" t="s">
        <v>4018</v>
      </c>
      <c r="B3712" t="s">
        <v>243</v>
      </c>
      <c r="C3712" t="s">
        <v>52</v>
      </c>
      <c r="D3712" s="49">
        <v>45854</v>
      </c>
      <c r="E3712" s="49">
        <v>45857</v>
      </c>
      <c r="F3712" s="49">
        <v>45864</v>
      </c>
      <c r="G3712" s="49">
        <v>45874</v>
      </c>
      <c r="H3712" s="49">
        <v>45882</v>
      </c>
      <c r="I3712" s="49">
        <v>45887</v>
      </c>
      <c r="J3712" t="s">
        <v>49</v>
      </c>
      <c r="K3712" s="33">
        <v>13700</v>
      </c>
      <c r="L3712" t="s">
        <v>61</v>
      </c>
      <c r="M3712" t="str">
        <f>_xlfn.XLOOKUP(Pipeline_tbl[[#This Row],[Rep_ID]],Dim_Reps!A:A,Dim_Reps!K:K)</f>
        <v>MXN</v>
      </c>
      <c r="N3712" s="33">
        <f>(_xlfn.XLOOKUP(Pipeline_tbl[[#This Row],[Rate_Code_Generalized]],Lookups!A:A,Lookups!B:B))*Pipeline_tbl[[#This Row],[Pipeline_Amount_USD]]</f>
        <v>270337.99</v>
      </c>
      <c r="O3712" t="str">
        <f>_xlfn.XLOOKUP(Pipeline_tbl[[#This Row],[Rep_ID]],Dim_Reps!A:A,Dim_Reps!B:B)</f>
        <v>Jonas Sato</v>
      </c>
      <c r="P3712" t="str">
        <f>_xlfn.XLOOKUP(Pipeline_tbl[[#This Row],[Rep_ID]],Dim_Reps!A:A,Dim_Reps!C:C)</f>
        <v>Mid-Market AE</v>
      </c>
      <c r="Q3712" t="str">
        <f>_xlfn.XLOOKUP(Pipeline_tbl[[#This Row],[Rep_ID]],Dim_Reps!A:A,Dim_Reps!D:D)</f>
        <v>Mid-Market</v>
      </c>
      <c r="R3712" t="str">
        <f>_xlfn.XLOOKUP(Pipeline_tbl[[#This Row],[Rep_ID]],Dim_Reps!A:A,Dim_Reps!E:E)</f>
        <v>LATAM</v>
      </c>
      <c r="S3712" t="str">
        <f>_xlfn.XLOOKUP(Pipeline_tbl[[#This Row],[Created_Date]],Dim_Date!A:A,Dim_Date!H:H)</f>
        <v>Jul 2025</v>
      </c>
      <c r="T3712" t="str">
        <f>IF(Pipeline_tbl[[#This Row],[Closed_Date]]=0,"",(_xlfn.XLOOKUP(Pipeline_tbl[[#This Row],[Closed_Date]],Dim_Date!A:A,Dim_Date!H:H)))</f>
        <v>Aug 2025</v>
      </c>
      <c r="U3712">
        <f>IF(Pipeline_tbl[[#This Row],[Closed_Date]]=0,"",Pipeline_tbl[[#This Row],[Closed_Date]]-Pipeline_tbl[[#This Row],[Created_Date]])</f>
        <v>33</v>
      </c>
    </row>
    <row r="3713" spans="1:21" ht="15" customHeight="1" x14ac:dyDescent="0.2">
      <c r="A3713" t="s">
        <v>4019</v>
      </c>
      <c r="B3713" t="s">
        <v>243</v>
      </c>
      <c r="C3713" t="s">
        <v>52</v>
      </c>
      <c r="D3713" s="49">
        <v>45853</v>
      </c>
      <c r="E3713" s="49">
        <v>45856</v>
      </c>
      <c r="F3713" s="49">
        <v>45862</v>
      </c>
      <c r="G3713" s="49">
        <v>45870</v>
      </c>
      <c r="H3713" s="49">
        <v>45878</v>
      </c>
      <c r="I3713" s="49">
        <v>45882</v>
      </c>
      <c r="J3713" t="s">
        <v>49</v>
      </c>
      <c r="K3713" s="33">
        <v>3500</v>
      </c>
      <c r="L3713" t="s">
        <v>64</v>
      </c>
      <c r="M3713" t="str">
        <f>_xlfn.XLOOKUP(Pipeline_tbl[[#This Row],[Rep_ID]],Dim_Reps!A:A,Dim_Reps!K:K)</f>
        <v>MXN</v>
      </c>
      <c r="N3713" s="33">
        <f>(_xlfn.XLOOKUP(Pipeline_tbl[[#This Row],[Rate_Code_Generalized]],Lookups!A:A,Lookups!B:B))*Pipeline_tbl[[#This Row],[Pipeline_Amount_USD]]</f>
        <v>69064.45</v>
      </c>
      <c r="O3713" t="str">
        <f>_xlfn.XLOOKUP(Pipeline_tbl[[#This Row],[Rep_ID]],Dim_Reps!A:A,Dim_Reps!B:B)</f>
        <v>Jonas Sato</v>
      </c>
      <c r="P3713" t="str">
        <f>_xlfn.XLOOKUP(Pipeline_tbl[[#This Row],[Rep_ID]],Dim_Reps!A:A,Dim_Reps!C:C)</f>
        <v>Mid-Market AE</v>
      </c>
      <c r="Q3713" t="str">
        <f>_xlfn.XLOOKUP(Pipeline_tbl[[#This Row],[Rep_ID]],Dim_Reps!A:A,Dim_Reps!D:D)</f>
        <v>Mid-Market</v>
      </c>
      <c r="R3713" t="str">
        <f>_xlfn.XLOOKUP(Pipeline_tbl[[#This Row],[Rep_ID]],Dim_Reps!A:A,Dim_Reps!E:E)</f>
        <v>LATAM</v>
      </c>
      <c r="S3713" t="str">
        <f>_xlfn.XLOOKUP(Pipeline_tbl[[#This Row],[Created_Date]],Dim_Date!A:A,Dim_Date!H:H)</f>
        <v>Jul 2025</v>
      </c>
      <c r="T3713" t="str">
        <f>IF(Pipeline_tbl[[#This Row],[Closed_Date]]=0,"",(_xlfn.XLOOKUP(Pipeline_tbl[[#This Row],[Closed_Date]],Dim_Date!A:A,Dim_Date!H:H)))</f>
        <v>Aug 2025</v>
      </c>
      <c r="U3713">
        <f>IF(Pipeline_tbl[[#This Row],[Closed_Date]]=0,"",Pipeline_tbl[[#This Row],[Closed_Date]]-Pipeline_tbl[[#This Row],[Created_Date]])</f>
        <v>29</v>
      </c>
    </row>
    <row r="3714" spans="1:21" ht="15" customHeight="1" x14ac:dyDescent="0.2">
      <c r="A3714" t="s">
        <v>4020</v>
      </c>
      <c r="B3714" t="s">
        <v>196</v>
      </c>
      <c r="C3714" t="s">
        <v>52</v>
      </c>
      <c r="D3714" s="49">
        <v>45846</v>
      </c>
      <c r="E3714" s="49">
        <v>45848</v>
      </c>
      <c r="I3714" s="49">
        <v>45871</v>
      </c>
      <c r="J3714" t="s">
        <v>49</v>
      </c>
      <c r="K3714" s="33">
        <v>9100</v>
      </c>
      <c r="L3714" t="s">
        <v>62</v>
      </c>
      <c r="M3714" t="str">
        <f>_xlfn.XLOOKUP(Pipeline_tbl[[#This Row],[Rep_ID]],Dim_Reps!A:A,Dim_Reps!K:K)</f>
        <v>EUR</v>
      </c>
      <c r="N3714" s="33">
        <f>(_xlfn.XLOOKUP(Pipeline_tbl[[#This Row],[Rate_Code_Generalized]],Lookups!A:A,Lookups!B:B))*Pipeline_tbl[[#This Row],[Pipeline_Amount_USD]]</f>
        <v>9100</v>
      </c>
      <c r="O3714" t="str">
        <f>_xlfn.XLOOKUP(Pipeline_tbl[[#This Row],[Rep_ID]],Dim_Reps!A:A,Dim_Reps!B:B)</f>
        <v>Alex Okafor</v>
      </c>
      <c r="P3714" t="str">
        <f>_xlfn.XLOOKUP(Pipeline_tbl[[#This Row],[Rep_ID]],Dim_Reps!A:A,Dim_Reps!C:C)</f>
        <v>SDR / Inside Sales Rep</v>
      </c>
      <c r="Q3714" t="str">
        <f>_xlfn.XLOOKUP(Pipeline_tbl[[#This Row],[Rep_ID]],Dim_Reps!A:A,Dim_Reps!D:D)</f>
        <v>Inside Sales</v>
      </c>
      <c r="R3714" t="str">
        <f>_xlfn.XLOOKUP(Pipeline_tbl[[#This Row],[Rep_ID]],Dim_Reps!A:A,Dim_Reps!E:E)</f>
        <v>EMEA</v>
      </c>
      <c r="S3714" t="str">
        <f>_xlfn.XLOOKUP(Pipeline_tbl[[#This Row],[Created_Date]],Dim_Date!A:A,Dim_Date!H:H)</f>
        <v>Jul 2025</v>
      </c>
      <c r="T3714" t="str">
        <f>IF(Pipeline_tbl[[#This Row],[Closed_Date]]=0,"",(_xlfn.XLOOKUP(Pipeline_tbl[[#This Row],[Closed_Date]],Dim_Date!A:A,Dim_Date!H:H)))</f>
        <v>Aug 2025</v>
      </c>
      <c r="U3714">
        <f>IF(Pipeline_tbl[[#This Row],[Closed_Date]]=0,"",Pipeline_tbl[[#This Row],[Closed_Date]]-Pipeline_tbl[[#This Row],[Created_Date]])</f>
        <v>25</v>
      </c>
    </row>
    <row r="3715" spans="1:21" ht="15" customHeight="1" x14ac:dyDescent="0.2">
      <c r="A3715" t="s">
        <v>4021</v>
      </c>
      <c r="B3715" t="s">
        <v>196</v>
      </c>
      <c r="C3715" t="s">
        <v>52</v>
      </c>
      <c r="D3715" s="49">
        <v>45859</v>
      </c>
      <c r="E3715" s="49">
        <v>45860</v>
      </c>
      <c r="F3715" s="49">
        <v>45862</v>
      </c>
      <c r="G3715" s="49">
        <v>45866</v>
      </c>
      <c r="H3715" s="49">
        <v>45868</v>
      </c>
      <c r="I3715" s="49">
        <v>45870</v>
      </c>
      <c r="J3715" t="s">
        <v>47</v>
      </c>
      <c r="K3715" s="33">
        <v>3600</v>
      </c>
      <c r="M3715" t="str">
        <f>_xlfn.XLOOKUP(Pipeline_tbl[[#This Row],[Rep_ID]],Dim_Reps!A:A,Dim_Reps!K:K)</f>
        <v>EUR</v>
      </c>
      <c r="N3715" s="33">
        <f>(_xlfn.XLOOKUP(Pipeline_tbl[[#This Row],[Rate_Code_Generalized]],Lookups!A:A,Lookups!B:B))*Pipeline_tbl[[#This Row],[Pipeline_Amount_USD]]</f>
        <v>3600</v>
      </c>
      <c r="O3715" t="str">
        <f>_xlfn.XLOOKUP(Pipeline_tbl[[#This Row],[Rep_ID]],Dim_Reps!A:A,Dim_Reps!B:B)</f>
        <v>Alex Okafor</v>
      </c>
      <c r="P3715" t="str">
        <f>_xlfn.XLOOKUP(Pipeline_tbl[[#This Row],[Rep_ID]],Dim_Reps!A:A,Dim_Reps!C:C)</f>
        <v>SDR / Inside Sales Rep</v>
      </c>
      <c r="Q3715" t="str">
        <f>_xlfn.XLOOKUP(Pipeline_tbl[[#This Row],[Rep_ID]],Dim_Reps!A:A,Dim_Reps!D:D)</f>
        <v>Inside Sales</v>
      </c>
      <c r="R3715" t="str">
        <f>_xlfn.XLOOKUP(Pipeline_tbl[[#This Row],[Rep_ID]],Dim_Reps!A:A,Dim_Reps!E:E)</f>
        <v>EMEA</v>
      </c>
      <c r="S3715" t="str">
        <f>_xlfn.XLOOKUP(Pipeline_tbl[[#This Row],[Created_Date]],Dim_Date!A:A,Dim_Date!H:H)</f>
        <v>Jul 2025</v>
      </c>
      <c r="T3715" t="str">
        <f>IF(Pipeline_tbl[[#This Row],[Closed_Date]]=0,"",(_xlfn.XLOOKUP(Pipeline_tbl[[#This Row],[Closed_Date]],Dim_Date!A:A,Dim_Date!H:H)))</f>
        <v>Aug 2025</v>
      </c>
      <c r="U3715">
        <f>IF(Pipeline_tbl[[#This Row],[Closed_Date]]=0,"",Pipeline_tbl[[#This Row],[Closed_Date]]-Pipeline_tbl[[#This Row],[Created_Date]])</f>
        <v>11</v>
      </c>
    </row>
    <row r="3716" spans="1:21" ht="15" customHeight="1" x14ac:dyDescent="0.2">
      <c r="A3716" t="s">
        <v>4022</v>
      </c>
      <c r="B3716" t="s">
        <v>196</v>
      </c>
      <c r="C3716" t="s">
        <v>53</v>
      </c>
      <c r="D3716" s="49">
        <v>45863</v>
      </c>
      <c r="E3716" s="49">
        <v>45865</v>
      </c>
      <c r="F3716" s="49">
        <v>45869</v>
      </c>
      <c r="I3716" s="49">
        <v>45884</v>
      </c>
      <c r="J3716" t="s">
        <v>49</v>
      </c>
      <c r="K3716" s="33">
        <v>5700</v>
      </c>
      <c r="L3716" t="s">
        <v>60</v>
      </c>
      <c r="M3716" t="str">
        <f>_xlfn.XLOOKUP(Pipeline_tbl[[#This Row],[Rep_ID]],Dim_Reps!A:A,Dim_Reps!K:K)</f>
        <v>EUR</v>
      </c>
      <c r="N3716" s="33">
        <f>(_xlfn.XLOOKUP(Pipeline_tbl[[#This Row],[Rate_Code_Generalized]],Lookups!A:A,Lookups!B:B))*Pipeline_tbl[[#This Row],[Pipeline_Amount_USD]]</f>
        <v>5700</v>
      </c>
      <c r="O3716" t="str">
        <f>_xlfn.XLOOKUP(Pipeline_tbl[[#This Row],[Rep_ID]],Dim_Reps!A:A,Dim_Reps!B:B)</f>
        <v>Alex Okafor</v>
      </c>
      <c r="P3716" t="str">
        <f>_xlfn.XLOOKUP(Pipeline_tbl[[#This Row],[Rep_ID]],Dim_Reps!A:A,Dim_Reps!C:C)</f>
        <v>SDR / Inside Sales Rep</v>
      </c>
      <c r="Q3716" t="str">
        <f>_xlfn.XLOOKUP(Pipeline_tbl[[#This Row],[Rep_ID]],Dim_Reps!A:A,Dim_Reps!D:D)</f>
        <v>Inside Sales</v>
      </c>
      <c r="R3716" t="str">
        <f>_xlfn.XLOOKUP(Pipeline_tbl[[#This Row],[Rep_ID]],Dim_Reps!A:A,Dim_Reps!E:E)</f>
        <v>EMEA</v>
      </c>
      <c r="S3716" t="str">
        <f>_xlfn.XLOOKUP(Pipeline_tbl[[#This Row],[Created_Date]],Dim_Date!A:A,Dim_Date!H:H)</f>
        <v>Jul 2025</v>
      </c>
      <c r="T3716" t="str">
        <f>IF(Pipeline_tbl[[#This Row],[Closed_Date]]=0,"",(_xlfn.XLOOKUP(Pipeline_tbl[[#This Row],[Closed_Date]],Dim_Date!A:A,Dim_Date!H:H)))</f>
        <v>Aug 2025</v>
      </c>
      <c r="U3716">
        <f>IF(Pipeline_tbl[[#This Row],[Closed_Date]]=0,"",Pipeline_tbl[[#This Row],[Closed_Date]]-Pipeline_tbl[[#This Row],[Created_Date]])</f>
        <v>21</v>
      </c>
    </row>
    <row r="3717" spans="1:21" ht="15" customHeight="1" x14ac:dyDescent="0.2">
      <c r="A3717" t="s">
        <v>4023</v>
      </c>
      <c r="B3717" t="s">
        <v>196</v>
      </c>
      <c r="C3717" t="s">
        <v>55</v>
      </c>
      <c r="D3717" s="49">
        <v>45869</v>
      </c>
      <c r="E3717" s="49">
        <v>45870</v>
      </c>
      <c r="F3717" s="49">
        <v>45872</v>
      </c>
      <c r="G3717" s="49">
        <v>45875</v>
      </c>
      <c r="H3717" s="49">
        <v>45877</v>
      </c>
      <c r="I3717" s="49">
        <v>45879</v>
      </c>
      <c r="J3717" t="s">
        <v>49</v>
      </c>
      <c r="K3717" s="33">
        <v>9900</v>
      </c>
      <c r="L3717" t="s">
        <v>62</v>
      </c>
      <c r="M3717" t="str">
        <f>_xlfn.XLOOKUP(Pipeline_tbl[[#This Row],[Rep_ID]],Dim_Reps!A:A,Dim_Reps!K:K)</f>
        <v>EUR</v>
      </c>
      <c r="N3717" s="33">
        <f>(_xlfn.XLOOKUP(Pipeline_tbl[[#This Row],[Rate_Code_Generalized]],Lookups!A:A,Lookups!B:B))*Pipeline_tbl[[#This Row],[Pipeline_Amount_USD]]</f>
        <v>9900</v>
      </c>
      <c r="O3717" t="str">
        <f>_xlfn.XLOOKUP(Pipeline_tbl[[#This Row],[Rep_ID]],Dim_Reps!A:A,Dim_Reps!B:B)</f>
        <v>Alex Okafor</v>
      </c>
      <c r="P3717" t="str">
        <f>_xlfn.XLOOKUP(Pipeline_tbl[[#This Row],[Rep_ID]],Dim_Reps!A:A,Dim_Reps!C:C)</f>
        <v>SDR / Inside Sales Rep</v>
      </c>
      <c r="Q3717" t="str">
        <f>_xlfn.XLOOKUP(Pipeline_tbl[[#This Row],[Rep_ID]],Dim_Reps!A:A,Dim_Reps!D:D)</f>
        <v>Inside Sales</v>
      </c>
      <c r="R3717" t="str">
        <f>_xlfn.XLOOKUP(Pipeline_tbl[[#This Row],[Rep_ID]],Dim_Reps!A:A,Dim_Reps!E:E)</f>
        <v>EMEA</v>
      </c>
      <c r="S3717" t="str">
        <f>_xlfn.XLOOKUP(Pipeline_tbl[[#This Row],[Created_Date]],Dim_Date!A:A,Dim_Date!H:H)</f>
        <v>Jul 2025</v>
      </c>
      <c r="T3717" t="str">
        <f>IF(Pipeline_tbl[[#This Row],[Closed_Date]]=0,"",(_xlfn.XLOOKUP(Pipeline_tbl[[#This Row],[Closed_Date]],Dim_Date!A:A,Dim_Date!H:H)))</f>
        <v>Aug 2025</v>
      </c>
      <c r="U3717">
        <f>IF(Pipeline_tbl[[#This Row],[Closed_Date]]=0,"",Pipeline_tbl[[#This Row],[Closed_Date]]-Pipeline_tbl[[#This Row],[Created_Date]])</f>
        <v>10</v>
      </c>
    </row>
    <row r="3718" spans="1:21" ht="15" customHeight="1" x14ac:dyDescent="0.2">
      <c r="A3718" t="s">
        <v>4024</v>
      </c>
      <c r="B3718" t="s">
        <v>196</v>
      </c>
      <c r="C3718" t="s">
        <v>56</v>
      </c>
      <c r="D3718" s="49">
        <v>45859</v>
      </c>
      <c r="E3718" s="49">
        <v>45861</v>
      </c>
      <c r="F3718" s="49">
        <v>45866</v>
      </c>
      <c r="I3718" s="49">
        <v>45882</v>
      </c>
      <c r="J3718" t="s">
        <v>49</v>
      </c>
      <c r="K3718" s="33">
        <v>2300</v>
      </c>
      <c r="L3718" t="s">
        <v>60</v>
      </c>
      <c r="M3718" t="str">
        <f>_xlfn.XLOOKUP(Pipeline_tbl[[#This Row],[Rep_ID]],Dim_Reps!A:A,Dim_Reps!K:K)</f>
        <v>EUR</v>
      </c>
      <c r="N3718" s="33">
        <f>(_xlfn.XLOOKUP(Pipeline_tbl[[#This Row],[Rate_Code_Generalized]],Lookups!A:A,Lookups!B:B))*Pipeline_tbl[[#This Row],[Pipeline_Amount_USD]]</f>
        <v>2300</v>
      </c>
      <c r="O3718" t="str">
        <f>_xlfn.XLOOKUP(Pipeline_tbl[[#This Row],[Rep_ID]],Dim_Reps!A:A,Dim_Reps!B:B)</f>
        <v>Alex Okafor</v>
      </c>
      <c r="P3718" t="str">
        <f>_xlfn.XLOOKUP(Pipeline_tbl[[#This Row],[Rep_ID]],Dim_Reps!A:A,Dim_Reps!C:C)</f>
        <v>SDR / Inside Sales Rep</v>
      </c>
      <c r="Q3718" t="str">
        <f>_xlfn.XLOOKUP(Pipeline_tbl[[#This Row],[Rep_ID]],Dim_Reps!A:A,Dim_Reps!D:D)</f>
        <v>Inside Sales</v>
      </c>
      <c r="R3718" t="str">
        <f>_xlfn.XLOOKUP(Pipeline_tbl[[#This Row],[Rep_ID]],Dim_Reps!A:A,Dim_Reps!E:E)</f>
        <v>EMEA</v>
      </c>
      <c r="S3718" t="str">
        <f>_xlfn.XLOOKUP(Pipeline_tbl[[#This Row],[Created_Date]],Dim_Date!A:A,Dim_Date!H:H)</f>
        <v>Jul 2025</v>
      </c>
      <c r="T3718" t="str">
        <f>IF(Pipeline_tbl[[#This Row],[Closed_Date]]=0,"",(_xlfn.XLOOKUP(Pipeline_tbl[[#This Row],[Closed_Date]],Dim_Date!A:A,Dim_Date!H:H)))</f>
        <v>Aug 2025</v>
      </c>
      <c r="U3718">
        <f>IF(Pipeline_tbl[[#This Row],[Closed_Date]]=0,"",Pipeline_tbl[[#This Row],[Closed_Date]]-Pipeline_tbl[[#This Row],[Created_Date]])</f>
        <v>23</v>
      </c>
    </row>
    <row r="3719" spans="1:21" ht="15" customHeight="1" x14ac:dyDescent="0.2">
      <c r="A3719" t="s">
        <v>4025</v>
      </c>
      <c r="B3719" t="s">
        <v>199</v>
      </c>
      <c r="C3719" t="s">
        <v>53</v>
      </c>
      <c r="D3719" s="49">
        <v>45857</v>
      </c>
      <c r="E3719" s="49">
        <v>45859</v>
      </c>
      <c r="F3719" s="49">
        <v>45862</v>
      </c>
      <c r="G3719" s="49">
        <v>45866</v>
      </c>
      <c r="H3719" s="49">
        <v>45870</v>
      </c>
      <c r="I3719" s="49">
        <v>45872</v>
      </c>
      <c r="J3719" t="s">
        <v>47</v>
      </c>
      <c r="K3719" s="33">
        <v>2400</v>
      </c>
      <c r="M3719" t="str">
        <f>_xlfn.XLOOKUP(Pipeline_tbl[[#This Row],[Rep_ID]],Dim_Reps!A:A,Dim_Reps!K:K)</f>
        <v>EUR</v>
      </c>
      <c r="N3719" s="33">
        <f>(_xlfn.XLOOKUP(Pipeline_tbl[[#This Row],[Rate_Code_Generalized]],Lookups!A:A,Lookups!B:B))*Pipeline_tbl[[#This Row],[Pipeline_Amount_USD]]</f>
        <v>2400</v>
      </c>
      <c r="O3719" t="str">
        <f>_xlfn.XLOOKUP(Pipeline_tbl[[#This Row],[Rep_ID]],Dim_Reps!A:A,Dim_Reps!B:B)</f>
        <v>Lucas Okafor</v>
      </c>
      <c r="P3719" t="str">
        <f>_xlfn.XLOOKUP(Pipeline_tbl[[#This Row],[Rep_ID]],Dim_Reps!A:A,Dim_Reps!C:C)</f>
        <v>SDR / Inside Sales Rep</v>
      </c>
      <c r="Q3719" t="str">
        <f>_xlfn.XLOOKUP(Pipeline_tbl[[#This Row],[Rep_ID]],Dim_Reps!A:A,Dim_Reps!D:D)</f>
        <v>Inside Sales</v>
      </c>
      <c r="R3719" t="str">
        <f>_xlfn.XLOOKUP(Pipeline_tbl[[#This Row],[Rep_ID]],Dim_Reps!A:A,Dim_Reps!E:E)</f>
        <v>APAC</v>
      </c>
      <c r="S3719" t="str">
        <f>_xlfn.XLOOKUP(Pipeline_tbl[[#This Row],[Created_Date]],Dim_Date!A:A,Dim_Date!H:H)</f>
        <v>Jul 2025</v>
      </c>
      <c r="T3719" t="str">
        <f>IF(Pipeline_tbl[[#This Row],[Closed_Date]]=0,"",(_xlfn.XLOOKUP(Pipeline_tbl[[#This Row],[Closed_Date]],Dim_Date!A:A,Dim_Date!H:H)))</f>
        <v>Aug 2025</v>
      </c>
      <c r="U3719">
        <f>IF(Pipeline_tbl[[#This Row],[Closed_Date]]=0,"",Pipeline_tbl[[#This Row],[Closed_Date]]-Pipeline_tbl[[#This Row],[Created_Date]])</f>
        <v>15</v>
      </c>
    </row>
    <row r="3720" spans="1:21" ht="15" customHeight="1" x14ac:dyDescent="0.2">
      <c r="A3720" t="s">
        <v>4026</v>
      </c>
      <c r="B3720" t="s">
        <v>199</v>
      </c>
      <c r="C3720" t="s">
        <v>52</v>
      </c>
      <c r="D3720" s="49">
        <v>45869</v>
      </c>
      <c r="E3720" s="49">
        <v>45872</v>
      </c>
      <c r="F3720" s="49">
        <v>45877</v>
      </c>
      <c r="G3720" s="49">
        <v>45885</v>
      </c>
      <c r="H3720" s="49">
        <v>45891</v>
      </c>
      <c r="I3720" s="49">
        <v>45895</v>
      </c>
      <c r="J3720" t="s">
        <v>47</v>
      </c>
      <c r="K3720" s="33">
        <v>3900</v>
      </c>
      <c r="M3720" t="str">
        <f>_xlfn.XLOOKUP(Pipeline_tbl[[#This Row],[Rep_ID]],Dim_Reps!A:A,Dim_Reps!K:K)</f>
        <v>EUR</v>
      </c>
      <c r="N3720" s="33">
        <f>(_xlfn.XLOOKUP(Pipeline_tbl[[#This Row],[Rate_Code_Generalized]],Lookups!A:A,Lookups!B:B))*Pipeline_tbl[[#This Row],[Pipeline_Amount_USD]]</f>
        <v>3900</v>
      </c>
      <c r="O3720" t="str">
        <f>_xlfn.XLOOKUP(Pipeline_tbl[[#This Row],[Rep_ID]],Dim_Reps!A:A,Dim_Reps!B:B)</f>
        <v>Lucas Okafor</v>
      </c>
      <c r="P3720" t="str">
        <f>_xlfn.XLOOKUP(Pipeline_tbl[[#This Row],[Rep_ID]],Dim_Reps!A:A,Dim_Reps!C:C)</f>
        <v>SDR / Inside Sales Rep</v>
      </c>
      <c r="Q3720" t="str">
        <f>_xlfn.XLOOKUP(Pipeline_tbl[[#This Row],[Rep_ID]],Dim_Reps!A:A,Dim_Reps!D:D)</f>
        <v>Inside Sales</v>
      </c>
      <c r="R3720" t="str">
        <f>_xlfn.XLOOKUP(Pipeline_tbl[[#This Row],[Rep_ID]],Dim_Reps!A:A,Dim_Reps!E:E)</f>
        <v>APAC</v>
      </c>
      <c r="S3720" t="str">
        <f>_xlfn.XLOOKUP(Pipeline_tbl[[#This Row],[Created_Date]],Dim_Date!A:A,Dim_Date!H:H)</f>
        <v>Jul 2025</v>
      </c>
      <c r="T3720" t="str">
        <f>IF(Pipeline_tbl[[#This Row],[Closed_Date]]=0,"",(_xlfn.XLOOKUP(Pipeline_tbl[[#This Row],[Closed_Date]],Dim_Date!A:A,Dim_Date!H:H)))</f>
        <v>Aug 2025</v>
      </c>
      <c r="U3720">
        <f>IF(Pipeline_tbl[[#This Row],[Closed_Date]]=0,"",Pipeline_tbl[[#This Row],[Closed_Date]]-Pipeline_tbl[[#This Row],[Created_Date]])</f>
        <v>26</v>
      </c>
    </row>
    <row r="3721" spans="1:21" ht="15" customHeight="1" x14ac:dyDescent="0.2">
      <c r="A3721" t="s">
        <v>4027</v>
      </c>
      <c r="B3721" t="s">
        <v>181</v>
      </c>
      <c r="C3721" t="s">
        <v>56</v>
      </c>
      <c r="D3721" s="49">
        <v>45850</v>
      </c>
      <c r="E3721" s="49">
        <v>45854</v>
      </c>
      <c r="I3721" s="49">
        <v>45889</v>
      </c>
      <c r="J3721" t="s">
        <v>49</v>
      </c>
      <c r="K3721" s="33">
        <v>31400</v>
      </c>
      <c r="L3721" t="s">
        <v>62</v>
      </c>
      <c r="M3721" t="str">
        <f>_xlfn.XLOOKUP(Pipeline_tbl[[#This Row],[Rep_ID]],Dim_Reps!A:A,Dim_Reps!K:K)</f>
        <v>USD</v>
      </c>
      <c r="N3721" s="33">
        <f>(_xlfn.XLOOKUP(Pipeline_tbl[[#This Row],[Rate_Code_Generalized]],Lookups!A:A,Lookups!B:B))*Pipeline_tbl[[#This Row],[Pipeline_Amount_USD]]</f>
        <v>36559.019999999997</v>
      </c>
      <c r="O3721" t="str">
        <f>_xlfn.XLOOKUP(Pipeline_tbl[[#This Row],[Rep_ID]],Dim_Reps!A:A,Dim_Reps!B:B)</f>
        <v>Milo Weber</v>
      </c>
      <c r="P3721" t="str">
        <f>_xlfn.XLOOKUP(Pipeline_tbl[[#This Row],[Rep_ID]],Dim_Reps!A:A,Dim_Reps!C:C)</f>
        <v>Enterprise AE</v>
      </c>
      <c r="Q3721" t="str">
        <f>_xlfn.XLOOKUP(Pipeline_tbl[[#This Row],[Rep_ID]],Dim_Reps!A:A,Dim_Reps!D:D)</f>
        <v>Enterprise</v>
      </c>
      <c r="R3721" t="str">
        <f>_xlfn.XLOOKUP(Pipeline_tbl[[#This Row],[Rep_ID]],Dim_Reps!A:A,Dim_Reps!E:E)</f>
        <v>NAMER</v>
      </c>
      <c r="S3721" t="str">
        <f>_xlfn.XLOOKUP(Pipeline_tbl[[#This Row],[Created_Date]],Dim_Date!A:A,Dim_Date!H:H)</f>
        <v>Jul 2025</v>
      </c>
      <c r="T3721" t="str">
        <f>IF(Pipeline_tbl[[#This Row],[Closed_Date]]=0,"",(_xlfn.XLOOKUP(Pipeline_tbl[[#This Row],[Closed_Date]],Dim_Date!A:A,Dim_Date!H:H)))</f>
        <v>Aug 2025</v>
      </c>
      <c r="U3721">
        <f>IF(Pipeline_tbl[[#This Row],[Closed_Date]]=0,"",Pipeline_tbl[[#This Row],[Closed_Date]]-Pipeline_tbl[[#This Row],[Created_Date]])</f>
        <v>39</v>
      </c>
    </row>
    <row r="3722" spans="1:21" ht="15" customHeight="1" x14ac:dyDescent="0.2">
      <c r="A3722" t="s">
        <v>4028</v>
      </c>
      <c r="B3722" t="s">
        <v>183</v>
      </c>
      <c r="C3722" t="s">
        <v>52</v>
      </c>
      <c r="D3722" s="49">
        <v>45862</v>
      </c>
      <c r="E3722" s="49">
        <v>45865</v>
      </c>
      <c r="I3722" s="49">
        <v>45891</v>
      </c>
      <c r="J3722" t="s">
        <v>49</v>
      </c>
      <c r="K3722" s="33">
        <v>47900</v>
      </c>
      <c r="L3722" t="s">
        <v>61</v>
      </c>
      <c r="M3722" t="str">
        <f>_xlfn.XLOOKUP(Pipeline_tbl[[#This Row],[Rep_ID]],Dim_Reps!A:A,Dim_Reps!K:K)</f>
        <v>EUR</v>
      </c>
      <c r="N3722" s="33">
        <f>(_xlfn.XLOOKUP(Pipeline_tbl[[#This Row],[Rate_Code_Generalized]],Lookups!A:A,Lookups!B:B))*Pipeline_tbl[[#This Row],[Pipeline_Amount_USD]]</f>
        <v>47900</v>
      </c>
      <c r="O3722" t="str">
        <f>_xlfn.XLOOKUP(Pipeline_tbl[[#This Row],[Rep_ID]],Dim_Reps!A:A,Dim_Reps!B:B)</f>
        <v>Sam Schmidt</v>
      </c>
      <c r="P3722" t="str">
        <f>_xlfn.XLOOKUP(Pipeline_tbl[[#This Row],[Rep_ID]],Dim_Reps!A:A,Dim_Reps!C:C)</f>
        <v>Enterprise AE</v>
      </c>
      <c r="Q3722" t="str">
        <f>_xlfn.XLOOKUP(Pipeline_tbl[[#This Row],[Rep_ID]],Dim_Reps!A:A,Dim_Reps!D:D)</f>
        <v>Enterprise</v>
      </c>
      <c r="R3722" t="str">
        <f>_xlfn.XLOOKUP(Pipeline_tbl[[#This Row],[Rep_ID]],Dim_Reps!A:A,Dim_Reps!E:E)</f>
        <v>EMEA</v>
      </c>
      <c r="S3722" t="str">
        <f>_xlfn.XLOOKUP(Pipeline_tbl[[#This Row],[Created_Date]],Dim_Date!A:A,Dim_Date!H:H)</f>
        <v>Jul 2025</v>
      </c>
      <c r="T3722" t="str">
        <f>IF(Pipeline_tbl[[#This Row],[Closed_Date]]=0,"",(_xlfn.XLOOKUP(Pipeline_tbl[[#This Row],[Closed_Date]],Dim_Date!A:A,Dim_Date!H:H)))</f>
        <v>Aug 2025</v>
      </c>
      <c r="U3722">
        <f>IF(Pipeline_tbl[[#This Row],[Closed_Date]]=0,"",Pipeline_tbl[[#This Row],[Closed_Date]]-Pipeline_tbl[[#This Row],[Created_Date]])</f>
        <v>29</v>
      </c>
    </row>
    <row r="3723" spans="1:21" ht="15" customHeight="1" x14ac:dyDescent="0.2">
      <c r="A3723" t="s">
        <v>4029</v>
      </c>
      <c r="B3723" t="s">
        <v>203</v>
      </c>
      <c r="C3723" t="s">
        <v>52</v>
      </c>
      <c r="D3723" s="49">
        <v>45857</v>
      </c>
      <c r="E3723" s="49">
        <v>45859</v>
      </c>
      <c r="F3723" s="49">
        <v>45862</v>
      </c>
      <c r="G3723" s="49">
        <v>45867</v>
      </c>
      <c r="H3723" s="49">
        <v>45871</v>
      </c>
      <c r="I3723" s="49">
        <v>45874</v>
      </c>
      <c r="J3723" t="s">
        <v>47</v>
      </c>
      <c r="K3723" s="33">
        <v>4000</v>
      </c>
      <c r="M3723" t="str">
        <f>_xlfn.XLOOKUP(Pipeline_tbl[[#This Row],[Rep_ID]],Dim_Reps!A:A,Dim_Reps!K:K)</f>
        <v>EUR</v>
      </c>
      <c r="N3723" s="33">
        <f>(_xlfn.XLOOKUP(Pipeline_tbl[[#This Row],[Rate_Code_Generalized]],Lookups!A:A,Lookups!B:B))*Pipeline_tbl[[#This Row],[Pipeline_Amount_USD]]</f>
        <v>4000</v>
      </c>
      <c r="O3723" t="str">
        <f>_xlfn.XLOOKUP(Pipeline_tbl[[#This Row],[Rep_ID]],Dim_Reps!A:A,Dim_Reps!B:B)</f>
        <v>Riley Haddad</v>
      </c>
      <c r="P3723" t="str">
        <f>_xlfn.XLOOKUP(Pipeline_tbl[[#This Row],[Rep_ID]],Dim_Reps!A:A,Dim_Reps!C:C)</f>
        <v>SDR / Inside Sales Rep</v>
      </c>
      <c r="Q3723" t="str">
        <f>_xlfn.XLOOKUP(Pipeline_tbl[[#This Row],[Rep_ID]],Dim_Reps!A:A,Dim_Reps!D:D)</f>
        <v>Inside Sales</v>
      </c>
      <c r="R3723" t="str">
        <f>_xlfn.XLOOKUP(Pipeline_tbl[[#This Row],[Rep_ID]],Dim_Reps!A:A,Dim_Reps!E:E)</f>
        <v>APAC</v>
      </c>
      <c r="S3723" t="str">
        <f>_xlfn.XLOOKUP(Pipeline_tbl[[#This Row],[Created_Date]],Dim_Date!A:A,Dim_Date!H:H)</f>
        <v>Jul 2025</v>
      </c>
      <c r="T3723" t="str">
        <f>IF(Pipeline_tbl[[#This Row],[Closed_Date]]=0,"",(_xlfn.XLOOKUP(Pipeline_tbl[[#This Row],[Closed_Date]],Dim_Date!A:A,Dim_Date!H:H)))</f>
        <v>Aug 2025</v>
      </c>
      <c r="U3723">
        <f>IF(Pipeline_tbl[[#This Row],[Closed_Date]]=0,"",Pipeline_tbl[[#This Row],[Closed_Date]]-Pipeline_tbl[[#This Row],[Created_Date]])</f>
        <v>17</v>
      </c>
    </row>
    <row r="3724" spans="1:21" ht="15" customHeight="1" x14ac:dyDescent="0.2">
      <c r="A3724" t="s">
        <v>4030</v>
      </c>
      <c r="B3724" t="s">
        <v>203</v>
      </c>
      <c r="C3724" t="s">
        <v>55</v>
      </c>
      <c r="D3724" s="49">
        <v>45857</v>
      </c>
      <c r="E3724" s="49">
        <v>45859</v>
      </c>
      <c r="F3724" s="49">
        <v>45862</v>
      </c>
      <c r="G3724" s="49">
        <v>45867</v>
      </c>
      <c r="I3724" s="49">
        <v>45873</v>
      </c>
      <c r="J3724" t="s">
        <v>49</v>
      </c>
      <c r="K3724" s="33">
        <v>2800</v>
      </c>
      <c r="L3724" t="s">
        <v>61</v>
      </c>
      <c r="M3724" t="str">
        <f>_xlfn.XLOOKUP(Pipeline_tbl[[#This Row],[Rep_ID]],Dim_Reps!A:A,Dim_Reps!K:K)</f>
        <v>EUR</v>
      </c>
      <c r="N3724" s="33">
        <f>(_xlfn.XLOOKUP(Pipeline_tbl[[#This Row],[Rate_Code_Generalized]],Lookups!A:A,Lookups!B:B))*Pipeline_tbl[[#This Row],[Pipeline_Amount_USD]]</f>
        <v>2800</v>
      </c>
      <c r="O3724" t="str">
        <f>_xlfn.XLOOKUP(Pipeline_tbl[[#This Row],[Rep_ID]],Dim_Reps!A:A,Dim_Reps!B:B)</f>
        <v>Riley Haddad</v>
      </c>
      <c r="P3724" t="str">
        <f>_xlfn.XLOOKUP(Pipeline_tbl[[#This Row],[Rep_ID]],Dim_Reps!A:A,Dim_Reps!C:C)</f>
        <v>SDR / Inside Sales Rep</v>
      </c>
      <c r="Q3724" t="str">
        <f>_xlfn.XLOOKUP(Pipeline_tbl[[#This Row],[Rep_ID]],Dim_Reps!A:A,Dim_Reps!D:D)</f>
        <v>Inside Sales</v>
      </c>
      <c r="R3724" t="str">
        <f>_xlfn.XLOOKUP(Pipeline_tbl[[#This Row],[Rep_ID]],Dim_Reps!A:A,Dim_Reps!E:E)</f>
        <v>APAC</v>
      </c>
      <c r="S3724" t="str">
        <f>_xlfn.XLOOKUP(Pipeline_tbl[[#This Row],[Created_Date]],Dim_Date!A:A,Dim_Date!H:H)</f>
        <v>Jul 2025</v>
      </c>
      <c r="T3724" t="str">
        <f>IF(Pipeline_tbl[[#This Row],[Closed_Date]]=0,"",(_xlfn.XLOOKUP(Pipeline_tbl[[#This Row],[Closed_Date]],Dim_Date!A:A,Dim_Date!H:H)))</f>
        <v>Aug 2025</v>
      </c>
      <c r="U3724">
        <f>IF(Pipeline_tbl[[#This Row],[Closed_Date]]=0,"",Pipeline_tbl[[#This Row],[Closed_Date]]-Pipeline_tbl[[#This Row],[Created_Date]])</f>
        <v>16</v>
      </c>
    </row>
    <row r="3725" spans="1:21" ht="15" customHeight="1" x14ac:dyDescent="0.2">
      <c r="A3725" t="s">
        <v>4031</v>
      </c>
      <c r="B3725" t="s">
        <v>203</v>
      </c>
      <c r="C3725" t="s">
        <v>52</v>
      </c>
      <c r="D3725" s="49">
        <v>45861</v>
      </c>
      <c r="E3725" s="49">
        <v>45863</v>
      </c>
      <c r="F3725" s="49">
        <v>45866</v>
      </c>
      <c r="G3725" s="49">
        <v>45871</v>
      </c>
      <c r="H3725" s="49">
        <v>45875</v>
      </c>
      <c r="I3725" s="49">
        <v>45877</v>
      </c>
      <c r="J3725" t="s">
        <v>47</v>
      </c>
      <c r="K3725" s="33">
        <v>4000</v>
      </c>
      <c r="M3725" t="str">
        <f>_xlfn.XLOOKUP(Pipeline_tbl[[#This Row],[Rep_ID]],Dim_Reps!A:A,Dim_Reps!K:K)</f>
        <v>EUR</v>
      </c>
      <c r="N3725" s="33">
        <f>(_xlfn.XLOOKUP(Pipeline_tbl[[#This Row],[Rate_Code_Generalized]],Lookups!A:A,Lookups!B:B))*Pipeline_tbl[[#This Row],[Pipeline_Amount_USD]]</f>
        <v>4000</v>
      </c>
      <c r="O3725" t="str">
        <f>_xlfn.XLOOKUP(Pipeline_tbl[[#This Row],[Rep_ID]],Dim_Reps!A:A,Dim_Reps!B:B)</f>
        <v>Riley Haddad</v>
      </c>
      <c r="P3725" t="str">
        <f>_xlfn.XLOOKUP(Pipeline_tbl[[#This Row],[Rep_ID]],Dim_Reps!A:A,Dim_Reps!C:C)</f>
        <v>SDR / Inside Sales Rep</v>
      </c>
      <c r="Q3725" t="str">
        <f>_xlfn.XLOOKUP(Pipeline_tbl[[#This Row],[Rep_ID]],Dim_Reps!A:A,Dim_Reps!D:D)</f>
        <v>Inside Sales</v>
      </c>
      <c r="R3725" t="str">
        <f>_xlfn.XLOOKUP(Pipeline_tbl[[#This Row],[Rep_ID]],Dim_Reps!A:A,Dim_Reps!E:E)</f>
        <v>APAC</v>
      </c>
      <c r="S3725" t="str">
        <f>_xlfn.XLOOKUP(Pipeline_tbl[[#This Row],[Created_Date]],Dim_Date!A:A,Dim_Date!H:H)</f>
        <v>Jul 2025</v>
      </c>
      <c r="T3725" t="str">
        <f>IF(Pipeline_tbl[[#This Row],[Closed_Date]]=0,"",(_xlfn.XLOOKUP(Pipeline_tbl[[#This Row],[Closed_Date]],Dim_Date!A:A,Dim_Date!H:H)))</f>
        <v>Aug 2025</v>
      </c>
      <c r="U3725">
        <f>IF(Pipeline_tbl[[#This Row],[Closed_Date]]=0,"",Pipeline_tbl[[#This Row],[Closed_Date]]-Pipeline_tbl[[#This Row],[Created_Date]])</f>
        <v>16</v>
      </c>
    </row>
    <row r="3726" spans="1:21" ht="15" customHeight="1" x14ac:dyDescent="0.2">
      <c r="A3726" t="s">
        <v>4032</v>
      </c>
      <c r="B3726" t="s">
        <v>185</v>
      </c>
      <c r="C3726" t="s">
        <v>55</v>
      </c>
      <c r="D3726" s="49">
        <v>45858</v>
      </c>
      <c r="E3726" s="49">
        <v>45861</v>
      </c>
      <c r="I3726" s="49">
        <v>45891</v>
      </c>
      <c r="J3726" t="s">
        <v>49</v>
      </c>
      <c r="K3726" s="33">
        <v>13400</v>
      </c>
      <c r="L3726" t="s">
        <v>62</v>
      </c>
      <c r="M3726" t="str">
        <f>_xlfn.XLOOKUP(Pipeline_tbl[[#This Row],[Rep_ID]],Dim_Reps!A:A,Dim_Reps!K:K)</f>
        <v>MXN</v>
      </c>
      <c r="N3726" s="33">
        <f>(_xlfn.XLOOKUP(Pipeline_tbl[[#This Row],[Rate_Code_Generalized]],Lookups!A:A,Lookups!B:B))*Pipeline_tbl[[#This Row],[Pipeline_Amount_USD]]</f>
        <v>264418.18</v>
      </c>
      <c r="O3726" t="str">
        <f>_xlfn.XLOOKUP(Pipeline_tbl[[#This Row],[Rep_ID]],Dim_Reps!A:A,Dim_Reps!B:B)</f>
        <v>Noah Kim</v>
      </c>
      <c r="P3726" t="str">
        <f>_xlfn.XLOOKUP(Pipeline_tbl[[#This Row],[Rep_ID]],Dim_Reps!A:A,Dim_Reps!C:C)</f>
        <v>Enterprise AE</v>
      </c>
      <c r="Q3726" t="str">
        <f>_xlfn.XLOOKUP(Pipeline_tbl[[#This Row],[Rep_ID]],Dim_Reps!A:A,Dim_Reps!D:D)</f>
        <v>Enterprise</v>
      </c>
      <c r="R3726" t="str">
        <f>_xlfn.XLOOKUP(Pipeline_tbl[[#This Row],[Rep_ID]],Dim_Reps!A:A,Dim_Reps!E:E)</f>
        <v>LATAM</v>
      </c>
      <c r="S3726" t="str">
        <f>_xlfn.XLOOKUP(Pipeline_tbl[[#This Row],[Created_Date]],Dim_Date!A:A,Dim_Date!H:H)</f>
        <v>Jul 2025</v>
      </c>
      <c r="T3726" t="str">
        <f>IF(Pipeline_tbl[[#This Row],[Closed_Date]]=0,"",(_xlfn.XLOOKUP(Pipeline_tbl[[#This Row],[Closed_Date]],Dim_Date!A:A,Dim_Date!H:H)))</f>
        <v>Aug 2025</v>
      </c>
      <c r="U3726">
        <f>IF(Pipeline_tbl[[#This Row],[Closed_Date]]=0,"",Pipeline_tbl[[#This Row],[Closed_Date]]-Pipeline_tbl[[#This Row],[Created_Date]])</f>
        <v>33</v>
      </c>
    </row>
    <row r="3727" spans="1:21" ht="15" customHeight="1" x14ac:dyDescent="0.2">
      <c r="A3727" t="s">
        <v>4033</v>
      </c>
      <c r="B3727" t="s">
        <v>185</v>
      </c>
      <c r="C3727" t="s">
        <v>55</v>
      </c>
      <c r="D3727" s="49">
        <v>45839</v>
      </c>
      <c r="E3727" s="49">
        <v>45844</v>
      </c>
      <c r="I3727" s="49">
        <v>45890</v>
      </c>
      <c r="J3727" t="s">
        <v>49</v>
      </c>
      <c r="K3727" s="33">
        <v>33900</v>
      </c>
      <c r="L3727" t="s">
        <v>61</v>
      </c>
      <c r="M3727" t="str">
        <f>_xlfn.XLOOKUP(Pipeline_tbl[[#This Row],[Rep_ID]],Dim_Reps!A:A,Dim_Reps!K:K)</f>
        <v>MXN</v>
      </c>
      <c r="N3727" s="33">
        <f>(_xlfn.XLOOKUP(Pipeline_tbl[[#This Row],[Rate_Code_Generalized]],Lookups!A:A,Lookups!B:B))*Pipeline_tbl[[#This Row],[Pipeline_Amount_USD]]</f>
        <v>668938.53</v>
      </c>
      <c r="O3727" t="str">
        <f>_xlfn.XLOOKUP(Pipeline_tbl[[#This Row],[Rep_ID]],Dim_Reps!A:A,Dim_Reps!B:B)</f>
        <v>Noah Kim</v>
      </c>
      <c r="P3727" t="str">
        <f>_xlfn.XLOOKUP(Pipeline_tbl[[#This Row],[Rep_ID]],Dim_Reps!A:A,Dim_Reps!C:C)</f>
        <v>Enterprise AE</v>
      </c>
      <c r="Q3727" t="str">
        <f>_xlfn.XLOOKUP(Pipeline_tbl[[#This Row],[Rep_ID]],Dim_Reps!A:A,Dim_Reps!D:D)</f>
        <v>Enterprise</v>
      </c>
      <c r="R3727" t="str">
        <f>_xlfn.XLOOKUP(Pipeline_tbl[[#This Row],[Rep_ID]],Dim_Reps!A:A,Dim_Reps!E:E)</f>
        <v>LATAM</v>
      </c>
      <c r="S3727" t="str">
        <f>_xlfn.XLOOKUP(Pipeline_tbl[[#This Row],[Created_Date]],Dim_Date!A:A,Dim_Date!H:H)</f>
        <v>Jul 2025</v>
      </c>
      <c r="T3727" t="str">
        <f>IF(Pipeline_tbl[[#This Row],[Closed_Date]]=0,"",(_xlfn.XLOOKUP(Pipeline_tbl[[#This Row],[Closed_Date]],Dim_Date!A:A,Dim_Date!H:H)))</f>
        <v>Aug 2025</v>
      </c>
      <c r="U3727">
        <f>IF(Pipeline_tbl[[#This Row],[Closed_Date]]=0,"",Pipeline_tbl[[#This Row],[Closed_Date]]-Pipeline_tbl[[#This Row],[Created_Date]])</f>
        <v>51</v>
      </c>
    </row>
    <row r="3728" spans="1:21" ht="15" customHeight="1" x14ac:dyDescent="0.2">
      <c r="A3728" t="s">
        <v>4034</v>
      </c>
      <c r="B3728" t="s">
        <v>185</v>
      </c>
      <c r="C3728" t="s">
        <v>53</v>
      </c>
      <c r="D3728" s="49">
        <v>45849</v>
      </c>
      <c r="E3728" s="49">
        <v>45852</v>
      </c>
      <c r="F3728" s="49">
        <v>45857</v>
      </c>
      <c r="G3728" s="49">
        <v>45865</v>
      </c>
      <c r="I3728" s="49">
        <v>45876</v>
      </c>
      <c r="J3728" t="s">
        <v>49</v>
      </c>
      <c r="K3728" s="33">
        <v>61300</v>
      </c>
      <c r="L3728" t="s">
        <v>62</v>
      </c>
      <c r="M3728" t="str">
        <f>_xlfn.XLOOKUP(Pipeline_tbl[[#This Row],[Rep_ID]],Dim_Reps!A:A,Dim_Reps!K:K)</f>
        <v>MXN</v>
      </c>
      <c r="N3728" s="33">
        <f>(_xlfn.XLOOKUP(Pipeline_tbl[[#This Row],[Rate_Code_Generalized]],Lookups!A:A,Lookups!B:B))*Pipeline_tbl[[#This Row],[Pipeline_Amount_USD]]</f>
        <v>1209614.51</v>
      </c>
      <c r="O3728" t="str">
        <f>_xlfn.XLOOKUP(Pipeline_tbl[[#This Row],[Rep_ID]],Dim_Reps!A:A,Dim_Reps!B:B)</f>
        <v>Noah Kim</v>
      </c>
      <c r="P3728" t="str">
        <f>_xlfn.XLOOKUP(Pipeline_tbl[[#This Row],[Rep_ID]],Dim_Reps!A:A,Dim_Reps!C:C)</f>
        <v>Enterprise AE</v>
      </c>
      <c r="Q3728" t="str">
        <f>_xlfn.XLOOKUP(Pipeline_tbl[[#This Row],[Rep_ID]],Dim_Reps!A:A,Dim_Reps!D:D)</f>
        <v>Enterprise</v>
      </c>
      <c r="R3728" t="str">
        <f>_xlfn.XLOOKUP(Pipeline_tbl[[#This Row],[Rep_ID]],Dim_Reps!A:A,Dim_Reps!E:E)</f>
        <v>LATAM</v>
      </c>
      <c r="S3728" t="str">
        <f>_xlfn.XLOOKUP(Pipeline_tbl[[#This Row],[Created_Date]],Dim_Date!A:A,Dim_Date!H:H)</f>
        <v>Jul 2025</v>
      </c>
      <c r="T3728" t="str">
        <f>IF(Pipeline_tbl[[#This Row],[Closed_Date]]=0,"",(_xlfn.XLOOKUP(Pipeline_tbl[[#This Row],[Closed_Date]],Dim_Date!A:A,Dim_Date!H:H)))</f>
        <v>Aug 2025</v>
      </c>
      <c r="U3728">
        <f>IF(Pipeline_tbl[[#This Row],[Closed_Date]]=0,"",Pipeline_tbl[[#This Row],[Closed_Date]]-Pipeline_tbl[[#This Row],[Created_Date]])</f>
        <v>27</v>
      </c>
    </row>
    <row r="3729" spans="1:21" ht="15" customHeight="1" x14ac:dyDescent="0.2">
      <c r="A3729" t="s">
        <v>4035</v>
      </c>
      <c r="B3729" t="s">
        <v>205</v>
      </c>
      <c r="C3729" t="s">
        <v>55</v>
      </c>
      <c r="D3729" s="49">
        <v>45860</v>
      </c>
      <c r="E3729" s="49">
        <v>45862</v>
      </c>
      <c r="F3729" s="49">
        <v>45866</v>
      </c>
      <c r="G3729" s="49">
        <v>45873</v>
      </c>
      <c r="H3729" s="49">
        <v>45878</v>
      </c>
      <c r="I3729" s="49">
        <v>45881</v>
      </c>
      <c r="J3729" t="s">
        <v>47</v>
      </c>
      <c r="K3729" s="33">
        <v>2800</v>
      </c>
      <c r="M3729" t="str">
        <f>_xlfn.XLOOKUP(Pipeline_tbl[[#This Row],[Rep_ID]],Dim_Reps!A:A,Dim_Reps!K:K)</f>
        <v>EUR</v>
      </c>
      <c r="N3729" s="33">
        <f>(_xlfn.XLOOKUP(Pipeline_tbl[[#This Row],[Rate_Code_Generalized]],Lookups!A:A,Lookups!B:B))*Pipeline_tbl[[#This Row],[Pipeline_Amount_USD]]</f>
        <v>2800</v>
      </c>
      <c r="O3729" t="str">
        <f>_xlfn.XLOOKUP(Pipeline_tbl[[#This Row],[Rep_ID]],Dim_Reps!A:A,Dim_Reps!B:B)</f>
        <v>Karim Alvarez</v>
      </c>
      <c r="P3729" t="str">
        <f>_xlfn.XLOOKUP(Pipeline_tbl[[#This Row],[Rep_ID]],Dim_Reps!A:A,Dim_Reps!C:C)</f>
        <v>SDR / Inside Sales Rep</v>
      </c>
      <c r="Q3729" t="str">
        <f>_xlfn.XLOOKUP(Pipeline_tbl[[#This Row],[Rep_ID]],Dim_Reps!A:A,Dim_Reps!D:D)</f>
        <v>Inside Sales</v>
      </c>
      <c r="R3729" t="str">
        <f>_xlfn.XLOOKUP(Pipeline_tbl[[#This Row],[Rep_ID]],Dim_Reps!A:A,Dim_Reps!E:E)</f>
        <v>EMEA</v>
      </c>
      <c r="S3729" t="str">
        <f>_xlfn.XLOOKUP(Pipeline_tbl[[#This Row],[Created_Date]],Dim_Date!A:A,Dim_Date!H:H)</f>
        <v>Jul 2025</v>
      </c>
      <c r="T3729" t="str">
        <f>IF(Pipeline_tbl[[#This Row],[Closed_Date]]=0,"",(_xlfn.XLOOKUP(Pipeline_tbl[[#This Row],[Closed_Date]],Dim_Date!A:A,Dim_Date!H:H)))</f>
        <v>Aug 2025</v>
      </c>
      <c r="U3729">
        <f>IF(Pipeline_tbl[[#This Row],[Closed_Date]]=0,"",Pipeline_tbl[[#This Row],[Closed_Date]]-Pipeline_tbl[[#This Row],[Created_Date]])</f>
        <v>21</v>
      </c>
    </row>
    <row r="3730" spans="1:21" ht="15" customHeight="1" x14ac:dyDescent="0.2">
      <c r="A3730" t="s">
        <v>4036</v>
      </c>
      <c r="B3730" t="s">
        <v>205</v>
      </c>
      <c r="C3730" t="s">
        <v>56</v>
      </c>
      <c r="D3730" s="49">
        <v>45859</v>
      </c>
      <c r="E3730" s="49">
        <v>45861</v>
      </c>
      <c r="F3730" s="49">
        <v>45864</v>
      </c>
      <c r="G3730" s="49">
        <v>45868</v>
      </c>
      <c r="H3730" s="49">
        <v>45872</v>
      </c>
      <c r="I3730" s="49">
        <v>45874</v>
      </c>
      <c r="J3730" t="s">
        <v>47</v>
      </c>
      <c r="K3730" s="33">
        <v>4800</v>
      </c>
      <c r="M3730" t="str">
        <f>_xlfn.XLOOKUP(Pipeline_tbl[[#This Row],[Rep_ID]],Dim_Reps!A:A,Dim_Reps!K:K)</f>
        <v>EUR</v>
      </c>
      <c r="N3730" s="33">
        <f>(_xlfn.XLOOKUP(Pipeline_tbl[[#This Row],[Rate_Code_Generalized]],Lookups!A:A,Lookups!B:B))*Pipeline_tbl[[#This Row],[Pipeline_Amount_USD]]</f>
        <v>4800</v>
      </c>
      <c r="O3730" t="str">
        <f>_xlfn.XLOOKUP(Pipeline_tbl[[#This Row],[Rep_ID]],Dim_Reps!A:A,Dim_Reps!B:B)</f>
        <v>Karim Alvarez</v>
      </c>
      <c r="P3730" t="str">
        <f>_xlfn.XLOOKUP(Pipeline_tbl[[#This Row],[Rep_ID]],Dim_Reps!A:A,Dim_Reps!C:C)</f>
        <v>SDR / Inside Sales Rep</v>
      </c>
      <c r="Q3730" t="str">
        <f>_xlfn.XLOOKUP(Pipeline_tbl[[#This Row],[Rep_ID]],Dim_Reps!A:A,Dim_Reps!D:D)</f>
        <v>Inside Sales</v>
      </c>
      <c r="R3730" t="str">
        <f>_xlfn.XLOOKUP(Pipeline_tbl[[#This Row],[Rep_ID]],Dim_Reps!A:A,Dim_Reps!E:E)</f>
        <v>EMEA</v>
      </c>
      <c r="S3730" t="str">
        <f>_xlfn.XLOOKUP(Pipeline_tbl[[#This Row],[Created_Date]],Dim_Date!A:A,Dim_Date!H:H)</f>
        <v>Jul 2025</v>
      </c>
      <c r="T3730" t="str">
        <f>IF(Pipeline_tbl[[#This Row],[Closed_Date]]=0,"",(_xlfn.XLOOKUP(Pipeline_tbl[[#This Row],[Closed_Date]],Dim_Date!A:A,Dim_Date!H:H)))</f>
        <v>Aug 2025</v>
      </c>
      <c r="U3730">
        <f>IF(Pipeline_tbl[[#This Row],[Closed_Date]]=0,"",Pipeline_tbl[[#This Row],[Closed_Date]]-Pipeline_tbl[[#This Row],[Created_Date]])</f>
        <v>15</v>
      </c>
    </row>
    <row r="3731" spans="1:21" ht="15" customHeight="1" x14ac:dyDescent="0.2">
      <c r="A3731" t="s">
        <v>4037</v>
      </c>
      <c r="B3731" t="s">
        <v>205</v>
      </c>
      <c r="C3731" t="s">
        <v>52</v>
      </c>
      <c r="D3731" s="49">
        <v>45856</v>
      </c>
      <c r="E3731" s="49">
        <v>45858</v>
      </c>
      <c r="I3731" s="49">
        <v>45872</v>
      </c>
      <c r="J3731" t="s">
        <v>49</v>
      </c>
      <c r="K3731" s="33">
        <v>1700</v>
      </c>
      <c r="L3731" t="s">
        <v>61</v>
      </c>
      <c r="M3731" t="str">
        <f>_xlfn.XLOOKUP(Pipeline_tbl[[#This Row],[Rep_ID]],Dim_Reps!A:A,Dim_Reps!K:K)</f>
        <v>EUR</v>
      </c>
      <c r="N3731" s="33">
        <f>(_xlfn.XLOOKUP(Pipeline_tbl[[#This Row],[Rate_Code_Generalized]],Lookups!A:A,Lookups!B:B))*Pipeline_tbl[[#This Row],[Pipeline_Amount_USD]]</f>
        <v>1700</v>
      </c>
      <c r="O3731" t="str">
        <f>_xlfn.XLOOKUP(Pipeline_tbl[[#This Row],[Rep_ID]],Dim_Reps!A:A,Dim_Reps!B:B)</f>
        <v>Karim Alvarez</v>
      </c>
      <c r="P3731" t="str">
        <f>_xlfn.XLOOKUP(Pipeline_tbl[[#This Row],[Rep_ID]],Dim_Reps!A:A,Dim_Reps!C:C)</f>
        <v>SDR / Inside Sales Rep</v>
      </c>
      <c r="Q3731" t="str">
        <f>_xlfn.XLOOKUP(Pipeline_tbl[[#This Row],[Rep_ID]],Dim_Reps!A:A,Dim_Reps!D:D)</f>
        <v>Inside Sales</v>
      </c>
      <c r="R3731" t="str">
        <f>_xlfn.XLOOKUP(Pipeline_tbl[[#This Row],[Rep_ID]],Dim_Reps!A:A,Dim_Reps!E:E)</f>
        <v>EMEA</v>
      </c>
      <c r="S3731" t="str">
        <f>_xlfn.XLOOKUP(Pipeline_tbl[[#This Row],[Created_Date]],Dim_Date!A:A,Dim_Date!H:H)</f>
        <v>Jul 2025</v>
      </c>
      <c r="T3731" t="str">
        <f>IF(Pipeline_tbl[[#This Row],[Closed_Date]]=0,"",(_xlfn.XLOOKUP(Pipeline_tbl[[#This Row],[Closed_Date]],Dim_Date!A:A,Dim_Date!H:H)))</f>
        <v>Aug 2025</v>
      </c>
      <c r="U3731">
        <f>IF(Pipeline_tbl[[#This Row],[Closed_Date]]=0,"",Pipeline_tbl[[#This Row],[Closed_Date]]-Pipeline_tbl[[#This Row],[Created_Date]])</f>
        <v>16</v>
      </c>
    </row>
    <row r="3732" spans="1:21" ht="15" customHeight="1" x14ac:dyDescent="0.2">
      <c r="A3732" t="s">
        <v>4038</v>
      </c>
      <c r="B3732" t="s">
        <v>205</v>
      </c>
      <c r="C3732" t="s">
        <v>53</v>
      </c>
      <c r="D3732" s="49">
        <v>45858</v>
      </c>
      <c r="E3732" s="49">
        <v>45860</v>
      </c>
      <c r="F3732" s="49">
        <v>45863</v>
      </c>
      <c r="I3732" s="49">
        <v>45873</v>
      </c>
      <c r="J3732" t="s">
        <v>49</v>
      </c>
      <c r="K3732" s="33">
        <v>4500</v>
      </c>
      <c r="L3732" t="s">
        <v>63</v>
      </c>
      <c r="M3732" t="str">
        <f>_xlfn.XLOOKUP(Pipeline_tbl[[#This Row],[Rep_ID]],Dim_Reps!A:A,Dim_Reps!K:K)</f>
        <v>EUR</v>
      </c>
      <c r="N3732" s="33">
        <f>(_xlfn.XLOOKUP(Pipeline_tbl[[#This Row],[Rate_Code_Generalized]],Lookups!A:A,Lookups!B:B))*Pipeline_tbl[[#This Row],[Pipeline_Amount_USD]]</f>
        <v>4500</v>
      </c>
      <c r="O3732" t="str">
        <f>_xlfn.XLOOKUP(Pipeline_tbl[[#This Row],[Rep_ID]],Dim_Reps!A:A,Dim_Reps!B:B)</f>
        <v>Karim Alvarez</v>
      </c>
      <c r="P3732" t="str">
        <f>_xlfn.XLOOKUP(Pipeline_tbl[[#This Row],[Rep_ID]],Dim_Reps!A:A,Dim_Reps!C:C)</f>
        <v>SDR / Inside Sales Rep</v>
      </c>
      <c r="Q3732" t="str">
        <f>_xlfn.XLOOKUP(Pipeline_tbl[[#This Row],[Rep_ID]],Dim_Reps!A:A,Dim_Reps!D:D)</f>
        <v>Inside Sales</v>
      </c>
      <c r="R3732" t="str">
        <f>_xlfn.XLOOKUP(Pipeline_tbl[[#This Row],[Rep_ID]],Dim_Reps!A:A,Dim_Reps!E:E)</f>
        <v>EMEA</v>
      </c>
      <c r="S3732" t="str">
        <f>_xlfn.XLOOKUP(Pipeline_tbl[[#This Row],[Created_Date]],Dim_Date!A:A,Dim_Date!H:H)</f>
        <v>Jul 2025</v>
      </c>
      <c r="T3732" t="str">
        <f>IF(Pipeline_tbl[[#This Row],[Closed_Date]]=0,"",(_xlfn.XLOOKUP(Pipeline_tbl[[#This Row],[Closed_Date]],Dim_Date!A:A,Dim_Date!H:H)))</f>
        <v>Aug 2025</v>
      </c>
      <c r="U3732">
        <f>IF(Pipeline_tbl[[#This Row],[Closed_Date]]=0,"",Pipeline_tbl[[#This Row],[Closed_Date]]-Pipeline_tbl[[#This Row],[Created_Date]])</f>
        <v>15</v>
      </c>
    </row>
    <row r="3733" spans="1:21" ht="15" customHeight="1" x14ac:dyDescent="0.2">
      <c r="A3733" t="s">
        <v>4039</v>
      </c>
      <c r="B3733" t="s">
        <v>205</v>
      </c>
      <c r="C3733" t="s">
        <v>52</v>
      </c>
      <c r="D3733" s="49">
        <v>45868</v>
      </c>
      <c r="E3733" s="49">
        <v>45870</v>
      </c>
      <c r="I3733" s="49">
        <v>45888</v>
      </c>
      <c r="J3733" t="s">
        <v>49</v>
      </c>
      <c r="K3733" s="33">
        <v>7600</v>
      </c>
      <c r="L3733" t="s">
        <v>60</v>
      </c>
      <c r="M3733" t="str">
        <f>_xlfn.XLOOKUP(Pipeline_tbl[[#This Row],[Rep_ID]],Dim_Reps!A:A,Dim_Reps!K:K)</f>
        <v>EUR</v>
      </c>
      <c r="N3733" s="33">
        <f>(_xlfn.XLOOKUP(Pipeline_tbl[[#This Row],[Rate_Code_Generalized]],Lookups!A:A,Lookups!B:B))*Pipeline_tbl[[#This Row],[Pipeline_Amount_USD]]</f>
        <v>7600</v>
      </c>
      <c r="O3733" t="str">
        <f>_xlfn.XLOOKUP(Pipeline_tbl[[#This Row],[Rep_ID]],Dim_Reps!A:A,Dim_Reps!B:B)</f>
        <v>Karim Alvarez</v>
      </c>
      <c r="P3733" t="str">
        <f>_xlfn.XLOOKUP(Pipeline_tbl[[#This Row],[Rep_ID]],Dim_Reps!A:A,Dim_Reps!C:C)</f>
        <v>SDR / Inside Sales Rep</v>
      </c>
      <c r="Q3733" t="str">
        <f>_xlfn.XLOOKUP(Pipeline_tbl[[#This Row],[Rep_ID]],Dim_Reps!A:A,Dim_Reps!D:D)</f>
        <v>Inside Sales</v>
      </c>
      <c r="R3733" t="str">
        <f>_xlfn.XLOOKUP(Pipeline_tbl[[#This Row],[Rep_ID]],Dim_Reps!A:A,Dim_Reps!E:E)</f>
        <v>EMEA</v>
      </c>
      <c r="S3733" t="str">
        <f>_xlfn.XLOOKUP(Pipeline_tbl[[#This Row],[Created_Date]],Dim_Date!A:A,Dim_Date!H:H)</f>
        <v>Jul 2025</v>
      </c>
      <c r="T3733" t="str">
        <f>IF(Pipeline_tbl[[#This Row],[Closed_Date]]=0,"",(_xlfn.XLOOKUP(Pipeline_tbl[[#This Row],[Closed_Date]],Dim_Date!A:A,Dim_Date!H:H)))</f>
        <v>Aug 2025</v>
      </c>
      <c r="U3733">
        <f>IF(Pipeline_tbl[[#This Row],[Closed_Date]]=0,"",Pipeline_tbl[[#This Row],[Closed_Date]]-Pipeline_tbl[[#This Row],[Created_Date]])</f>
        <v>20</v>
      </c>
    </row>
    <row r="3734" spans="1:21" ht="15" customHeight="1" x14ac:dyDescent="0.2">
      <c r="A3734" t="s">
        <v>4040</v>
      </c>
      <c r="B3734" t="s">
        <v>205</v>
      </c>
      <c r="C3734" t="s">
        <v>54</v>
      </c>
      <c r="D3734" s="49">
        <v>45860</v>
      </c>
      <c r="E3734" s="49">
        <v>45862</v>
      </c>
      <c r="F3734" s="49">
        <v>45866</v>
      </c>
      <c r="G3734" s="49">
        <v>45871</v>
      </c>
      <c r="I3734" s="49">
        <v>45879</v>
      </c>
      <c r="J3734" t="s">
        <v>49</v>
      </c>
      <c r="K3734" s="33">
        <v>4000</v>
      </c>
      <c r="L3734" t="s">
        <v>64</v>
      </c>
      <c r="M3734" t="str">
        <f>_xlfn.XLOOKUP(Pipeline_tbl[[#This Row],[Rep_ID]],Dim_Reps!A:A,Dim_Reps!K:K)</f>
        <v>EUR</v>
      </c>
      <c r="N3734" s="33">
        <f>(_xlfn.XLOOKUP(Pipeline_tbl[[#This Row],[Rate_Code_Generalized]],Lookups!A:A,Lookups!B:B))*Pipeline_tbl[[#This Row],[Pipeline_Amount_USD]]</f>
        <v>4000</v>
      </c>
      <c r="O3734" t="str">
        <f>_xlfn.XLOOKUP(Pipeline_tbl[[#This Row],[Rep_ID]],Dim_Reps!A:A,Dim_Reps!B:B)</f>
        <v>Karim Alvarez</v>
      </c>
      <c r="P3734" t="str">
        <f>_xlfn.XLOOKUP(Pipeline_tbl[[#This Row],[Rep_ID]],Dim_Reps!A:A,Dim_Reps!C:C)</f>
        <v>SDR / Inside Sales Rep</v>
      </c>
      <c r="Q3734" t="str">
        <f>_xlfn.XLOOKUP(Pipeline_tbl[[#This Row],[Rep_ID]],Dim_Reps!A:A,Dim_Reps!D:D)</f>
        <v>Inside Sales</v>
      </c>
      <c r="R3734" t="str">
        <f>_xlfn.XLOOKUP(Pipeline_tbl[[#This Row],[Rep_ID]],Dim_Reps!A:A,Dim_Reps!E:E)</f>
        <v>EMEA</v>
      </c>
      <c r="S3734" t="str">
        <f>_xlfn.XLOOKUP(Pipeline_tbl[[#This Row],[Created_Date]],Dim_Date!A:A,Dim_Date!H:H)</f>
        <v>Jul 2025</v>
      </c>
      <c r="T3734" t="str">
        <f>IF(Pipeline_tbl[[#This Row],[Closed_Date]]=0,"",(_xlfn.XLOOKUP(Pipeline_tbl[[#This Row],[Closed_Date]],Dim_Date!A:A,Dim_Date!H:H)))</f>
        <v>Aug 2025</v>
      </c>
      <c r="U3734">
        <f>IF(Pipeline_tbl[[#This Row],[Closed_Date]]=0,"",Pipeline_tbl[[#This Row],[Closed_Date]]-Pipeline_tbl[[#This Row],[Created_Date]])</f>
        <v>19</v>
      </c>
    </row>
    <row r="3735" spans="1:21" ht="15" customHeight="1" x14ac:dyDescent="0.2">
      <c r="A3735" t="s">
        <v>4041</v>
      </c>
      <c r="B3735" t="s">
        <v>205</v>
      </c>
      <c r="C3735" t="s">
        <v>55</v>
      </c>
      <c r="D3735" s="49">
        <v>45865</v>
      </c>
      <c r="E3735" s="49">
        <v>45866</v>
      </c>
      <c r="F3735" s="49">
        <v>45869</v>
      </c>
      <c r="G3735" s="49">
        <v>45873</v>
      </c>
      <c r="H3735" s="49">
        <v>45877</v>
      </c>
      <c r="I3735" s="49">
        <v>45879</v>
      </c>
      <c r="J3735" t="s">
        <v>49</v>
      </c>
      <c r="K3735" s="33">
        <v>2300</v>
      </c>
      <c r="L3735" t="s">
        <v>61</v>
      </c>
      <c r="M3735" t="str">
        <f>_xlfn.XLOOKUP(Pipeline_tbl[[#This Row],[Rep_ID]],Dim_Reps!A:A,Dim_Reps!K:K)</f>
        <v>EUR</v>
      </c>
      <c r="N3735" s="33">
        <f>(_xlfn.XLOOKUP(Pipeline_tbl[[#This Row],[Rate_Code_Generalized]],Lookups!A:A,Lookups!B:B))*Pipeline_tbl[[#This Row],[Pipeline_Amount_USD]]</f>
        <v>2300</v>
      </c>
      <c r="O3735" t="str">
        <f>_xlfn.XLOOKUP(Pipeline_tbl[[#This Row],[Rep_ID]],Dim_Reps!A:A,Dim_Reps!B:B)</f>
        <v>Karim Alvarez</v>
      </c>
      <c r="P3735" t="str">
        <f>_xlfn.XLOOKUP(Pipeline_tbl[[#This Row],[Rep_ID]],Dim_Reps!A:A,Dim_Reps!C:C)</f>
        <v>SDR / Inside Sales Rep</v>
      </c>
      <c r="Q3735" t="str">
        <f>_xlfn.XLOOKUP(Pipeline_tbl[[#This Row],[Rep_ID]],Dim_Reps!A:A,Dim_Reps!D:D)</f>
        <v>Inside Sales</v>
      </c>
      <c r="R3735" t="str">
        <f>_xlfn.XLOOKUP(Pipeline_tbl[[#This Row],[Rep_ID]],Dim_Reps!A:A,Dim_Reps!E:E)</f>
        <v>EMEA</v>
      </c>
      <c r="S3735" t="str">
        <f>_xlfn.XLOOKUP(Pipeline_tbl[[#This Row],[Created_Date]],Dim_Date!A:A,Dim_Date!H:H)</f>
        <v>Jul 2025</v>
      </c>
      <c r="T3735" t="str">
        <f>IF(Pipeline_tbl[[#This Row],[Closed_Date]]=0,"",(_xlfn.XLOOKUP(Pipeline_tbl[[#This Row],[Closed_Date]],Dim_Date!A:A,Dim_Date!H:H)))</f>
        <v>Aug 2025</v>
      </c>
      <c r="U3735">
        <f>IF(Pipeline_tbl[[#This Row],[Closed_Date]]=0,"",Pipeline_tbl[[#This Row],[Closed_Date]]-Pipeline_tbl[[#This Row],[Created_Date]])</f>
        <v>14</v>
      </c>
    </row>
    <row r="3736" spans="1:21" ht="15" customHeight="1" x14ac:dyDescent="0.2">
      <c r="A3736" t="s">
        <v>4042</v>
      </c>
      <c r="B3736" t="s">
        <v>205</v>
      </c>
      <c r="C3736" t="s">
        <v>52</v>
      </c>
      <c r="D3736" s="49">
        <v>45861</v>
      </c>
      <c r="E3736" s="49">
        <v>45862</v>
      </c>
      <c r="F3736" s="49">
        <v>45865</v>
      </c>
      <c r="G3736" s="49">
        <v>45869</v>
      </c>
      <c r="H3736" s="49">
        <v>45872</v>
      </c>
      <c r="I3736" s="49">
        <v>45874</v>
      </c>
      <c r="J3736" t="s">
        <v>47</v>
      </c>
      <c r="K3736" s="33">
        <v>5200</v>
      </c>
      <c r="M3736" t="str">
        <f>_xlfn.XLOOKUP(Pipeline_tbl[[#This Row],[Rep_ID]],Dim_Reps!A:A,Dim_Reps!K:K)</f>
        <v>EUR</v>
      </c>
      <c r="N3736" s="33">
        <f>(_xlfn.XLOOKUP(Pipeline_tbl[[#This Row],[Rate_Code_Generalized]],Lookups!A:A,Lookups!B:B))*Pipeline_tbl[[#This Row],[Pipeline_Amount_USD]]</f>
        <v>5200</v>
      </c>
      <c r="O3736" t="str">
        <f>_xlfn.XLOOKUP(Pipeline_tbl[[#This Row],[Rep_ID]],Dim_Reps!A:A,Dim_Reps!B:B)</f>
        <v>Karim Alvarez</v>
      </c>
      <c r="P3736" t="str">
        <f>_xlfn.XLOOKUP(Pipeline_tbl[[#This Row],[Rep_ID]],Dim_Reps!A:A,Dim_Reps!C:C)</f>
        <v>SDR / Inside Sales Rep</v>
      </c>
      <c r="Q3736" t="str">
        <f>_xlfn.XLOOKUP(Pipeline_tbl[[#This Row],[Rep_ID]],Dim_Reps!A:A,Dim_Reps!D:D)</f>
        <v>Inside Sales</v>
      </c>
      <c r="R3736" t="str">
        <f>_xlfn.XLOOKUP(Pipeline_tbl[[#This Row],[Rep_ID]],Dim_Reps!A:A,Dim_Reps!E:E)</f>
        <v>EMEA</v>
      </c>
      <c r="S3736" t="str">
        <f>_xlfn.XLOOKUP(Pipeline_tbl[[#This Row],[Created_Date]],Dim_Date!A:A,Dim_Date!H:H)</f>
        <v>Jul 2025</v>
      </c>
      <c r="T3736" t="str">
        <f>IF(Pipeline_tbl[[#This Row],[Closed_Date]]=0,"",(_xlfn.XLOOKUP(Pipeline_tbl[[#This Row],[Closed_Date]],Dim_Date!A:A,Dim_Date!H:H)))</f>
        <v>Aug 2025</v>
      </c>
      <c r="U3736">
        <f>IF(Pipeline_tbl[[#This Row],[Closed_Date]]=0,"",Pipeline_tbl[[#This Row],[Closed_Date]]-Pipeline_tbl[[#This Row],[Created_Date]])</f>
        <v>13</v>
      </c>
    </row>
    <row r="3737" spans="1:21" ht="15" customHeight="1" x14ac:dyDescent="0.2">
      <c r="A3737" t="s">
        <v>4043</v>
      </c>
      <c r="B3737" t="s">
        <v>207</v>
      </c>
      <c r="C3737" t="s">
        <v>52</v>
      </c>
      <c r="D3737" s="49">
        <v>45863</v>
      </c>
      <c r="E3737" s="49">
        <v>45865</v>
      </c>
      <c r="F3737" s="49">
        <v>45869</v>
      </c>
      <c r="G3737" s="49">
        <v>45875</v>
      </c>
      <c r="I3737" s="49">
        <v>45883</v>
      </c>
      <c r="J3737" t="s">
        <v>49</v>
      </c>
      <c r="K3737" s="33">
        <v>2900</v>
      </c>
      <c r="L3737" t="s">
        <v>62</v>
      </c>
      <c r="M3737" t="str">
        <f>_xlfn.XLOOKUP(Pipeline_tbl[[#This Row],[Rep_ID]],Dim_Reps!A:A,Dim_Reps!K:K)</f>
        <v>EUR</v>
      </c>
      <c r="N3737" s="33">
        <f>(_xlfn.XLOOKUP(Pipeline_tbl[[#This Row],[Rate_Code_Generalized]],Lookups!A:A,Lookups!B:B))*Pipeline_tbl[[#This Row],[Pipeline_Amount_USD]]</f>
        <v>2900</v>
      </c>
      <c r="O3737" t="str">
        <f>_xlfn.XLOOKUP(Pipeline_tbl[[#This Row],[Rep_ID]],Dim_Reps!A:A,Dim_Reps!B:B)</f>
        <v>Sam Castro</v>
      </c>
      <c r="P3737" t="str">
        <f>_xlfn.XLOOKUP(Pipeline_tbl[[#This Row],[Rep_ID]],Dim_Reps!A:A,Dim_Reps!C:C)</f>
        <v>SDR / Inside Sales Rep</v>
      </c>
      <c r="Q3737" t="str">
        <f>_xlfn.XLOOKUP(Pipeline_tbl[[#This Row],[Rep_ID]],Dim_Reps!A:A,Dim_Reps!D:D)</f>
        <v>Inside Sales</v>
      </c>
      <c r="R3737" t="str">
        <f>_xlfn.XLOOKUP(Pipeline_tbl[[#This Row],[Rep_ID]],Dim_Reps!A:A,Dim_Reps!E:E)</f>
        <v>APAC</v>
      </c>
      <c r="S3737" t="str">
        <f>_xlfn.XLOOKUP(Pipeline_tbl[[#This Row],[Created_Date]],Dim_Date!A:A,Dim_Date!H:H)</f>
        <v>Jul 2025</v>
      </c>
      <c r="T3737" t="str">
        <f>IF(Pipeline_tbl[[#This Row],[Closed_Date]]=0,"",(_xlfn.XLOOKUP(Pipeline_tbl[[#This Row],[Closed_Date]],Dim_Date!A:A,Dim_Date!H:H)))</f>
        <v>Aug 2025</v>
      </c>
      <c r="U3737">
        <f>IF(Pipeline_tbl[[#This Row],[Closed_Date]]=0,"",Pipeline_tbl[[#This Row],[Closed_Date]]-Pipeline_tbl[[#This Row],[Created_Date]])</f>
        <v>20</v>
      </c>
    </row>
    <row r="3738" spans="1:21" ht="15" customHeight="1" x14ac:dyDescent="0.2">
      <c r="A3738" t="s">
        <v>4044</v>
      </c>
      <c r="B3738" t="s">
        <v>207</v>
      </c>
      <c r="C3738" t="s">
        <v>52</v>
      </c>
      <c r="D3738" s="49">
        <v>45859</v>
      </c>
      <c r="E3738" s="49">
        <v>45861</v>
      </c>
      <c r="F3738" s="49">
        <v>45864</v>
      </c>
      <c r="G3738" s="49">
        <v>45869</v>
      </c>
      <c r="H3738" s="49">
        <v>45873</v>
      </c>
      <c r="I3738" s="49">
        <v>45876</v>
      </c>
      <c r="J3738" t="s">
        <v>47</v>
      </c>
      <c r="K3738" s="33">
        <v>2300</v>
      </c>
      <c r="M3738" t="str">
        <f>_xlfn.XLOOKUP(Pipeline_tbl[[#This Row],[Rep_ID]],Dim_Reps!A:A,Dim_Reps!K:K)</f>
        <v>EUR</v>
      </c>
      <c r="N3738" s="33">
        <f>(_xlfn.XLOOKUP(Pipeline_tbl[[#This Row],[Rate_Code_Generalized]],Lookups!A:A,Lookups!B:B))*Pipeline_tbl[[#This Row],[Pipeline_Amount_USD]]</f>
        <v>2300</v>
      </c>
      <c r="O3738" t="str">
        <f>_xlfn.XLOOKUP(Pipeline_tbl[[#This Row],[Rep_ID]],Dim_Reps!A:A,Dim_Reps!B:B)</f>
        <v>Sam Castro</v>
      </c>
      <c r="P3738" t="str">
        <f>_xlfn.XLOOKUP(Pipeline_tbl[[#This Row],[Rep_ID]],Dim_Reps!A:A,Dim_Reps!C:C)</f>
        <v>SDR / Inside Sales Rep</v>
      </c>
      <c r="Q3738" t="str">
        <f>_xlfn.XLOOKUP(Pipeline_tbl[[#This Row],[Rep_ID]],Dim_Reps!A:A,Dim_Reps!D:D)</f>
        <v>Inside Sales</v>
      </c>
      <c r="R3738" t="str">
        <f>_xlfn.XLOOKUP(Pipeline_tbl[[#This Row],[Rep_ID]],Dim_Reps!A:A,Dim_Reps!E:E)</f>
        <v>APAC</v>
      </c>
      <c r="S3738" t="str">
        <f>_xlfn.XLOOKUP(Pipeline_tbl[[#This Row],[Created_Date]],Dim_Date!A:A,Dim_Date!H:H)</f>
        <v>Jul 2025</v>
      </c>
      <c r="T3738" t="str">
        <f>IF(Pipeline_tbl[[#This Row],[Closed_Date]]=0,"",(_xlfn.XLOOKUP(Pipeline_tbl[[#This Row],[Closed_Date]],Dim_Date!A:A,Dim_Date!H:H)))</f>
        <v>Aug 2025</v>
      </c>
      <c r="U3738">
        <f>IF(Pipeline_tbl[[#This Row],[Closed_Date]]=0,"",Pipeline_tbl[[#This Row],[Closed_Date]]-Pipeline_tbl[[#This Row],[Created_Date]])</f>
        <v>17</v>
      </c>
    </row>
    <row r="3739" spans="1:21" ht="15" customHeight="1" x14ac:dyDescent="0.2">
      <c r="A3739" t="s">
        <v>4045</v>
      </c>
      <c r="B3739" t="s">
        <v>207</v>
      </c>
      <c r="C3739" t="s">
        <v>56</v>
      </c>
      <c r="D3739" s="49">
        <v>45869</v>
      </c>
      <c r="E3739" s="49">
        <v>45871</v>
      </c>
      <c r="F3739" s="49">
        <v>45874</v>
      </c>
      <c r="G3739" s="49">
        <v>45880</v>
      </c>
      <c r="H3739" s="49">
        <v>45884</v>
      </c>
      <c r="I3739" s="49">
        <v>45887</v>
      </c>
      <c r="J3739" t="s">
        <v>47</v>
      </c>
      <c r="K3739" s="33">
        <v>1300</v>
      </c>
      <c r="M3739" t="str">
        <f>_xlfn.XLOOKUP(Pipeline_tbl[[#This Row],[Rep_ID]],Dim_Reps!A:A,Dim_Reps!K:K)</f>
        <v>EUR</v>
      </c>
      <c r="N3739" s="33">
        <f>(_xlfn.XLOOKUP(Pipeline_tbl[[#This Row],[Rate_Code_Generalized]],Lookups!A:A,Lookups!B:B))*Pipeline_tbl[[#This Row],[Pipeline_Amount_USD]]</f>
        <v>1300</v>
      </c>
      <c r="O3739" t="str">
        <f>_xlfn.XLOOKUP(Pipeline_tbl[[#This Row],[Rep_ID]],Dim_Reps!A:A,Dim_Reps!B:B)</f>
        <v>Sam Castro</v>
      </c>
      <c r="P3739" t="str">
        <f>_xlfn.XLOOKUP(Pipeline_tbl[[#This Row],[Rep_ID]],Dim_Reps!A:A,Dim_Reps!C:C)</f>
        <v>SDR / Inside Sales Rep</v>
      </c>
      <c r="Q3739" t="str">
        <f>_xlfn.XLOOKUP(Pipeline_tbl[[#This Row],[Rep_ID]],Dim_Reps!A:A,Dim_Reps!D:D)</f>
        <v>Inside Sales</v>
      </c>
      <c r="R3739" t="str">
        <f>_xlfn.XLOOKUP(Pipeline_tbl[[#This Row],[Rep_ID]],Dim_Reps!A:A,Dim_Reps!E:E)</f>
        <v>APAC</v>
      </c>
      <c r="S3739" t="str">
        <f>_xlfn.XLOOKUP(Pipeline_tbl[[#This Row],[Created_Date]],Dim_Date!A:A,Dim_Date!H:H)</f>
        <v>Jul 2025</v>
      </c>
      <c r="T3739" t="str">
        <f>IF(Pipeline_tbl[[#This Row],[Closed_Date]]=0,"",(_xlfn.XLOOKUP(Pipeline_tbl[[#This Row],[Closed_Date]],Dim_Date!A:A,Dim_Date!H:H)))</f>
        <v>Aug 2025</v>
      </c>
      <c r="U3739">
        <f>IF(Pipeline_tbl[[#This Row],[Closed_Date]]=0,"",Pipeline_tbl[[#This Row],[Closed_Date]]-Pipeline_tbl[[#This Row],[Created_Date]])</f>
        <v>18</v>
      </c>
    </row>
    <row r="3740" spans="1:21" ht="15" customHeight="1" x14ac:dyDescent="0.2">
      <c r="A3740" t="s">
        <v>4046</v>
      </c>
      <c r="B3740" t="s">
        <v>207</v>
      </c>
      <c r="C3740" t="s">
        <v>52</v>
      </c>
      <c r="D3740" s="49">
        <v>45863</v>
      </c>
      <c r="E3740" s="49">
        <v>45865</v>
      </c>
      <c r="F3740" s="49">
        <v>45869</v>
      </c>
      <c r="G3740" s="49">
        <v>45875</v>
      </c>
      <c r="H3740" s="49">
        <v>45880</v>
      </c>
      <c r="I3740" s="49">
        <v>45883</v>
      </c>
      <c r="J3740" t="s">
        <v>49</v>
      </c>
      <c r="K3740" s="33">
        <v>13000</v>
      </c>
      <c r="L3740" t="s">
        <v>61</v>
      </c>
      <c r="M3740" t="str">
        <f>_xlfn.XLOOKUP(Pipeline_tbl[[#This Row],[Rep_ID]],Dim_Reps!A:A,Dim_Reps!K:K)</f>
        <v>EUR</v>
      </c>
      <c r="N3740" s="33">
        <f>(_xlfn.XLOOKUP(Pipeline_tbl[[#This Row],[Rate_Code_Generalized]],Lookups!A:A,Lookups!B:B))*Pipeline_tbl[[#This Row],[Pipeline_Amount_USD]]</f>
        <v>13000</v>
      </c>
      <c r="O3740" t="str">
        <f>_xlfn.XLOOKUP(Pipeline_tbl[[#This Row],[Rep_ID]],Dim_Reps!A:A,Dim_Reps!B:B)</f>
        <v>Sam Castro</v>
      </c>
      <c r="P3740" t="str">
        <f>_xlfn.XLOOKUP(Pipeline_tbl[[#This Row],[Rep_ID]],Dim_Reps!A:A,Dim_Reps!C:C)</f>
        <v>SDR / Inside Sales Rep</v>
      </c>
      <c r="Q3740" t="str">
        <f>_xlfn.XLOOKUP(Pipeline_tbl[[#This Row],[Rep_ID]],Dim_Reps!A:A,Dim_Reps!D:D)</f>
        <v>Inside Sales</v>
      </c>
      <c r="R3740" t="str">
        <f>_xlfn.XLOOKUP(Pipeline_tbl[[#This Row],[Rep_ID]],Dim_Reps!A:A,Dim_Reps!E:E)</f>
        <v>APAC</v>
      </c>
      <c r="S3740" t="str">
        <f>_xlfn.XLOOKUP(Pipeline_tbl[[#This Row],[Created_Date]],Dim_Date!A:A,Dim_Date!H:H)</f>
        <v>Jul 2025</v>
      </c>
      <c r="T3740" t="str">
        <f>IF(Pipeline_tbl[[#This Row],[Closed_Date]]=0,"",(_xlfn.XLOOKUP(Pipeline_tbl[[#This Row],[Closed_Date]],Dim_Date!A:A,Dim_Date!H:H)))</f>
        <v>Aug 2025</v>
      </c>
      <c r="U3740">
        <f>IF(Pipeline_tbl[[#This Row],[Closed_Date]]=0,"",Pipeline_tbl[[#This Row],[Closed_Date]]-Pipeline_tbl[[#This Row],[Created_Date]])</f>
        <v>20</v>
      </c>
    </row>
    <row r="3741" spans="1:21" ht="15" customHeight="1" x14ac:dyDescent="0.2">
      <c r="A3741" t="s">
        <v>4047</v>
      </c>
      <c r="B3741" t="s">
        <v>209</v>
      </c>
      <c r="C3741" t="s">
        <v>53</v>
      </c>
      <c r="D3741" s="49">
        <v>45858</v>
      </c>
      <c r="E3741" s="49">
        <v>45860</v>
      </c>
      <c r="F3741" s="49">
        <v>45863</v>
      </c>
      <c r="I3741" s="49">
        <v>45876</v>
      </c>
      <c r="J3741" t="s">
        <v>49</v>
      </c>
      <c r="K3741" s="33">
        <v>4200</v>
      </c>
      <c r="L3741" t="s">
        <v>61</v>
      </c>
      <c r="M3741" t="str">
        <f>_xlfn.XLOOKUP(Pipeline_tbl[[#This Row],[Rep_ID]],Dim_Reps!A:A,Dim_Reps!K:K)</f>
        <v>EUR</v>
      </c>
      <c r="N3741" s="33">
        <f>(_xlfn.XLOOKUP(Pipeline_tbl[[#This Row],[Rate_Code_Generalized]],Lookups!A:A,Lookups!B:B))*Pipeline_tbl[[#This Row],[Pipeline_Amount_USD]]</f>
        <v>4200</v>
      </c>
      <c r="O3741" t="str">
        <f>_xlfn.XLOOKUP(Pipeline_tbl[[#This Row],[Rep_ID]],Dim_Reps!A:A,Dim_Reps!B:B)</f>
        <v>Petra Larsen</v>
      </c>
      <c r="P3741" t="str">
        <f>_xlfn.XLOOKUP(Pipeline_tbl[[#This Row],[Rep_ID]],Dim_Reps!A:A,Dim_Reps!C:C)</f>
        <v>SDR / Inside Sales Rep</v>
      </c>
      <c r="Q3741" t="str">
        <f>_xlfn.XLOOKUP(Pipeline_tbl[[#This Row],[Rep_ID]],Dim_Reps!A:A,Dim_Reps!D:D)</f>
        <v>Inside Sales</v>
      </c>
      <c r="R3741" t="str">
        <f>_xlfn.XLOOKUP(Pipeline_tbl[[#This Row],[Rep_ID]],Dim_Reps!A:A,Dim_Reps!E:E)</f>
        <v>EMEA</v>
      </c>
      <c r="S3741" t="str">
        <f>_xlfn.XLOOKUP(Pipeline_tbl[[#This Row],[Created_Date]],Dim_Date!A:A,Dim_Date!H:H)</f>
        <v>Jul 2025</v>
      </c>
      <c r="T3741" t="str">
        <f>IF(Pipeline_tbl[[#This Row],[Closed_Date]]=0,"",(_xlfn.XLOOKUP(Pipeline_tbl[[#This Row],[Closed_Date]],Dim_Date!A:A,Dim_Date!H:H)))</f>
        <v>Aug 2025</v>
      </c>
      <c r="U3741">
        <f>IF(Pipeline_tbl[[#This Row],[Closed_Date]]=0,"",Pipeline_tbl[[#This Row],[Closed_Date]]-Pipeline_tbl[[#This Row],[Created_Date]])</f>
        <v>18</v>
      </c>
    </row>
    <row r="3742" spans="1:21" ht="15" customHeight="1" x14ac:dyDescent="0.2">
      <c r="A3742" t="s">
        <v>4048</v>
      </c>
      <c r="B3742" t="s">
        <v>209</v>
      </c>
      <c r="C3742" t="s">
        <v>52</v>
      </c>
      <c r="D3742" s="49">
        <v>45854</v>
      </c>
      <c r="E3742" s="49">
        <v>45856</v>
      </c>
      <c r="F3742" s="49">
        <v>45861</v>
      </c>
      <c r="G3742" s="49">
        <v>45867</v>
      </c>
      <c r="I3742" s="49">
        <v>45876</v>
      </c>
      <c r="J3742" t="s">
        <v>49</v>
      </c>
      <c r="K3742" s="33">
        <v>2500</v>
      </c>
      <c r="L3742" t="s">
        <v>62</v>
      </c>
      <c r="M3742" t="str">
        <f>_xlfn.XLOOKUP(Pipeline_tbl[[#This Row],[Rep_ID]],Dim_Reps!A:A,Dim_Reps!K:K)</f>
        <v>EUR</v>
      </c>
      <c r="N3742" s="33">
        <f>(_xlfn.XLOOKUP(Pipeline_tbl[[#This Row],[Rate_Code_Generalized]],Lookups!A:A,Lookups!B:B))*Pipeline_tbl[[#This Row],[Pipeline_Amount_USD]]</f>
        <v>2500</v>
      </c>
      <c r="O3742" t="str">
        <f>_xlfn.XLOOKUP(Pipeline_tbl[[#This Row],[Rep_ID]],Dim_Reps!A:A,Dim_Reps!B:B)</f>
        <v>Petra Larsen</v>
      </c>
      <c r="P3742" t="str">
        <f>_xlfn.XLOOKUP(Pipeline_tbl[[#This Row],[Rep_ID]],Dim_Reps!A:A,Dim_Reps!C:C)</f>
        <v>SDR / Inside Sales Rep</v>
      </c>
      <c r="Q3742" t="str">
        <f>_xlfn.XLOOKUP(Pipeline_tbl[[#This Row],[Rep_ID]],Dim_Reps!A:A,Dim_Reps!D:D)</f>
        <v>Inside Sales</v>
      </c>
      <c r="R3742" t="str">
        <f>_xlfn.XLOOKUP(Pipeline_tbl[[#This Row],[Rep_ID]],Dim_Reps!A:A,Dim_Reps!E:E)</f>
        <v>EMEA</v>
      </c>
      <c r="S3742" t="str">
        <f>_xlfn.XLOOKUP(Pipeline_tbl[[#This Row],[Created_Date]],Dim_Date!A:A,Dim_Date!H:H)</f>
        <v>Jul 2025</v>
      </c>
      <c r="T3742" t="str">
        <f>IF(Pipeline_tbl[[#This Row],[Closed_Date]]=0,"",(_xlfn.XLOOKUP(Pipeline_tbl[[#This Row],[Closed_Date]],Dim_Date!A:A,Dim_Date!H:H)))</f>
        <v>Aug 2025</v>
      </c>
      <c r="U3742">
        <f>IF(Pipeline_tbl[[#This Row],[Closed_Date]]=0,"",Pipeline_tbl[[#This Row],[Closed_Date]]-Pipeline_tbl[[#This Row],[Created_Date]])</f>
        <v>22</v>
      </c>
    </row>
    <row r="3743" spans="1:21" ht="15" customHeight="1" x14ac:dyDescent="0.2">
      <c r="A3743" t="s">
        <v>4049</v>
      </c>
      <c r="B3743" t="s">
        <v>209</v>
      </c>
      <c r="C3743" t="s">
        <v>55</v>
      </c>
      <c r="D3743" s="49">
        <v>45855</v>
      </c>
      <c r="E3743" s="49">
        <v>45857</v>
      </c>
      <c r="F3743" s="49">
        <v>45860</v>
      </c>
      <c r="I3743" s="49">
        <v>45870</v>
      </c>
      <c r="J3743" t="s">
        <v>49</v>
      </c>
      <c r="K3743" s="33">
        <v>1600</v>
      </c>
      <c r="L3743" t="s">
        <v>63</v>
      </c>
      <c r="M3743" t="str">
        <f>_xlfn.XLOOKUP(Pipeline_tbl[[#This Row],[Rep_ID]],Dim_Reps!A:A,Dim_Reps!K:K)</f>
        <v>EUR</v>
      </c>
      <c r="N3743" s="33">
        <f>(_xlfn.XLOOKUP(Pipeline_tbl[[#This Row],[Rate_Code_Generalized]],Lookups!A:A,Lookups!B:B))*Pipeline_tbl[[#This Row],[Pipeline_Amount_USD]]</f>
        <v>1600</v>
      </c>
      <c r="O3743" t="str">
        <f>_xlfn.XLOOKUP(Pipeline_tbl[[#This Row],[Rep_ID]],Dim_Reps!A:A,Dim_Reps!B:B)</f>
        <v>Petra Larsen</v>
      </c>
      <c r="P3743" t="str">
        <f>_xlfn.XLOOKUP(Pipeline_tbl[[#This Row],[Rep_ID]],Dim_Reps!A:A,Dim_Reps!C:C)</f>
        <v>SDR / Inside Sales Rep</v>
      </c>
      <c r="Q3743" t="str">
        <f>_xlfn.XLOOKUP(Pipeline_tbl[[#This Row],[Rep_ID]],Dim_Reps!A:A,Dim_Reps!D:D)</f>
        <v>Inside Sales</v>
      </c>
      <c r="R3743" t="str">
        <f>_xlfn.XLOOKUP(Pipeline_tbl[[#This Row],[Rep_ID]],Dim_Reps!A:A,Dim_Reps!E:E)</f>
        <v>EMEA</v>
      </c>
      <c r="S3743" t="str">
        <f>_xlfn.XLOOKUP(Pipeline_tbl[[#This Row],[Created_Date]],Dim_Date!A:A,Dim_Date!H:H)</f>
        <v>Jul 2025</v>
      </c>
      <c r="T3743" t="str">
        <f>IF(Pipeline_tbl[[#This Row],[Closed_Date]]=0,"",(_xlfn.XLOOKUP(Pipeline_tbl[[#This Row],[Closed_Date]],Dim_Date!A:A,Dim_Date!H:H)))</f>
        <v>Aug 2025</v>
      </c>
      <c r="U3743">
        <f>IF(Pipeline_tbl[[#This Row],[Closed_Date]]=0,"",Pipeline_tbl[[#This Row],[Closed_Date]]-Pipeline_tbl[[#This Row],[Created_Date]])</f>
        <v>15</v>
      </c>
    </row>
    <row r="3744" spans="1:21" ht="15" customHeight="1" x14ac:dyDescent="0.2">
      <c r="A3744" t="s">
        <v>4050</v>
      </c>
      <c r="B3744" t="s">
        <v>211</v>
      </c>
      <c r="C3744" t="s">
        <v>54</v>
      </c>
      <c r="D3744" s="49">
        <v>45865</v>
      </c>
      <c r="E3744" s="49">
        <v>45867</v>
      </c>
      <c r="F3744" s="49">
        <v>45871</v>
      </c>
      <c r="G3744" s="49">
        <v>45877</v>
      </c>
      <c r="H3744" s="49">
        <v>45882</v>
      </c>
      <c r="I3744" s="49">
        <v>45885</v>
      </c>
      <c r="J3744" t="s">
        <v>47</v>
      </c>
      <c r="K3744" s="33">
        <v>2800</v>
      </c>
      <c r="M3744" t="str">
        <f>_xlfn.XLOOKUP(Pipeline_tbl[[#This Row],[Rep_ID]],Dim_Reps!A:A,Dim_Reps!K:K)</f>
        <v>EUR</v>
      </c>
      <c r="N3744" s="33">
        <f>(_xlfn.XLOOKUP(Pipeline_tbl[[#This Row],[Rate_Code_Generalized]],Lookups!A:A,Lookups!B:B))*Pipeline_tbl[[#This Row],[Pipeline_Amount_USD]]</f>
        <v>2800</v>
      </c>
      <c r="O3744" t="str">
        <f>_xlfn.XLOOKUP(Pipeline_tbl[[#This Row],[Rep_ID]],Dim_Reps!A:A,Dim_Reps!B:B)</f>
        <v>Lea Weber</v>
      </c>
      <c r="P3744" t="str">
        <f>_xlfn.XLOOKUP(Pipeline_tbl[[#This Row],[Rep_ID]],Dim_Reps!A:A,Dim_Reps!C:C)</f>
        <v>SDR / Inside Sales Rep</v>
      </c>
      <c r="Q3744" t="str">
        <f>_xlfn.XLOOKUP(Pipeline_tbl[[#This Row],[Rep_ID]],Dim_Reps!A:A,Dim_Reps!D:D)</f>
        <v>Inside Sales</v>
      </c>
      <c r="R3744" t="str">
        <f>_xlfn.XLOOKUP(Pipeline_tbl[[#This Row],[Rep_ID]],Dim_Reps!A:A,Dim_Reps!E:E)</f>
        <v>EMEA</v>
      </c>
      <c r="S3744" t="str">
        <f>_xlfn.XLOOKUP(Pipeline_tbl[[#This Row],[Created_Date]],Dim_Date!A:A,Dim_Date!H:H)</f>
        <v>Jul 2025</v>
      </c>
      <c r="T3744" t="str">
        <f>IF(Pipeline_tbl[[#This Row],[Closed_Date]]=0,"",(_xlfn.XLOOKUP(Pipeline_tbl[[#This Row],[Closed_Date]],Dim_Date!A:A,Dim_Date!H:H)))</f>
        <v>Aug 2025</v>
      </c>
      <c r="U3744">
        <f>IF(Pipeline_tbl[[#This Row],[Closed_Date]]=0,"",Pipeline_tbl[[#This Row],[Closed_Date]]-Pipeline_tbl[[#This Row],[Created_Date]])</f>
        <v>20</v>
      </c>
    </row>
    <row r="3745" spans="1:21" ht="15" customHeight="1" x14ac:dyDescent="0.2">
      <c r="A3745" t="s">
        <v>4051</v>
      </c>
      <c r="B3745" t="s">
        <v>211</v>
      </c>
      <c r="C3745" t="s">
        <v>53</v>
      </c>
      <c r="D3745" s="49">
        <v>45863</v>
      </c>
      <c r="E3745" s="49">
        <v>45865</v>
      </c>
      <c r="F3745" s="49">
        <v>45868</v>
      </c>
      <c r="G3745" s="49">
        <v>45874</v>
      </c>
      <c r="H3745" s="49">
        <v>45878</v>
      </c>
      <c r="I3745" s="49">
        <v>45881</v>
      </c>
      <c r="J3745" t="s">
        <v>47</v>
      </c>
      <c r="K3745" s="33">
        <v>5800</v>
      </c>
      <c r="M3745" t="str">
        <f>_xlfn.XLOOKUP(Pipeline_tbl[[#This Row],[Rep_ID]],Dim_Reps!A:A,Dim_Reps!K:K)</f>
        <v>EUR</v>
      </c>
      <c r="N3745" s="33">
        <f>(_xlfn.XLOOKUP(Pipeline_tbl[[#This Row],[Rate_Code_Generalized]],Lookups!A:A,Lookups!B:B))*Pipeline_tbl[[#This Row],[Pipeline_Amount_USD]]</f>
        <v>5800</v>
      </c>
      <c r="O3745" t="str">
        <f>_xlfn.XLOOKUP(Pipeline_tbl[[#This Row],[Rep_ID]],Dim_Reps!A:A,Dim_Reps!B:B)</f>
        <v>Lea Weber</v>
      </c>
      <c r="P3745" t="str">
        <f>_xlfn.XLOOKUP(Pipeline_tbl[[#This Row],[Rep_ID]],Dim_Reps!A:A,Dim_Reps!C:C)</f>
        <v>SDR / Inside Sales Rep</v>
      </c>
      <c r="Q3745" t="str">
        <f>_xlfn.XLOOKUP(Pipeline_tbl[[#This Row],[Rep_ID]],Dim_Reps!A:A,Dim_Reps!D:D)</f>
        <v>Inside Sales</v>
      </c>
      <c r="R3745" t="str">
        <f>_xlfn.XLOOKUP(Pipeline_tbl[[#This Row],[Rep_ID]],Dim_Reps!A:A,Dim_Reps!E:E)</f>
        <v>EMEA</v>
      </c>
      <c r="S3745" t="str">
        <f>_xlfn.XLOOKUP(Pipeline_tbl[[#This Row],[Created_Date]],Dim_Date!A:A,Dim_Date!H:H)</f>
        <v>Jul 2025</v>
      </c>
      <c r="T3745" t="str">
        <f>IF(Pipeline_tbl[[#This Row],[Closed_Date]]=0,"",(_xlfn.XLOOKUP(Pipeline_tbl[[#This Row],[Closed_Date]],Dim_Date!A:A,Dim_Date!H:H)))</f>
        <v>Aug 2025</v>
      </c>
      <c r="U3745">
        <f>IF(Pipeline_tbl[[#This Row],[Closed_Date]]=0,"",Pipeline_tbl[[#This Row],[Closed_Date]]-Pipeline_tbl[[#This Row],[Created_Date]])</f>
        <v>18</v>
      </c>
    </row>
    <row r="3746" spans="1:21" ht="15" customHeight="1" x14ac:dyDescent="0.2">
      <c r="A3746" t="s">
        <v>4052</v>
      </c>
      <c r="B3746" t="s">
        <v>211</v>
      </c>
      <c r="C3746" t="s">
        <v>52</v>
      </c>
      <c r="D3746" s="49">
        <v>45861</v>
      </c>
      <c r="E3746" s="49">
        <v>45863</v>
      </c>
      <c r="F3746" s="49">
        <v>45866</v>
      </c>
      <c r="G3746" s="49">
        <v>45871</v>
      </c>
      <c r="H3746" s="49">
        <v>45875</v>
      </c>
      <c r="I3746" s="49">
        <v>45877</v>
      </c>
      <c r="J3746" t="s">
        <v>49</v>
      </c>
      <c r="K3746" s="33">
        <v>5600</v>
      </c>
      <c r="L3746" t="s">
        <v>64</v>
      </c>
      <c r="M3746" t="str">
        <f>_xlfn.XLOOKUP(Pipeline_tbl[[#This Row],[Rep_ID]],Dim_Reps!A:A,Dim_Reps!K:K)</f>
        <v>EUR</v>
      </c>
      <c r="N3746" s="33">
        <f>(_xlfn.XLOOKUP(Pipeline_tbl[[#This Row],[Rate_Code_Generalized]],Lookups!A:A,Lookups!B:B))*Pipeline_tbl[[#This Row],[Pipeline_Amount_USD]]</f>
        <v>5600</v>
      </c>
      <c r="O3746" t="str">
        <f>_xlfn.XLOOKUP(Pipeline_tbl[[#This Row],[Rep_ID]],Dim_Reps!A:A,Dim_Reps!B:B)</f>
        <v>Lea Weber</v>
      </c>
      <c r="P3746" t="str">
        <f>_xlfn.XLOOKUP(Pipeline_tbl[[#This Row],[Rep_ID]],Dim_Reps!A:A,Dim_Reps!C:C)</f>
        <v>SDR / Inside Sales Rep</v>
      </c>
      <c r="Q3746" t="str">
        <f>_xlfn.XLOOKUP(Pipeline_tbl[[#This Row],[Rep_ID]],Dim_Reps!A:A,Dim_Reps!D:D)</f>
        <v>Inside Sales</v>
      </c>
      <c r="R3746" t="str">
        <f>_xlfn.XLOOKUP(Pipeline_tbl[[#This Row],[Rep_ID]],Dim_Reps!A:A,Dim_Reps!E:E)</f>
        <v>EMEA</v>
      </c>
      <c r="S3746" t="str">
        <f>_xlfn.XLOOKUP(Pipeline_tbl[[#This Row],[Created_Date]],Dim_Date!A:A,Dim_Date!H:H)</f>
        <v>Jul 2025</v>
      </c>
      <c r="T3746" t="str">
        <f>IF(Pipeline_tbl[[#This Row],[Closed_Date]]=0,"",(_xlfn.XLOOKUP(Pipeline_tbl[[#This Row],[Closed_Date]],Dim_Date!A:A,Dim_Date!H:H)))</f>
        <v>Aug 2025</v>
      </c>
      <c r="U3746">
        <f>IF(Pipeline_tbl[[#This Row],[Closed_Date]]=0,"",Pipeline_tbl[[#This Row],[Closed_Date]]-Pipeline_tbl[[#This Row],[Created_Date]])</f>
        <v>16</v>
      </c>
    </row>
    <row r="3747" spans="1:21" ht="15" customHeight="1" x14ac:dyDescent="0.2">
      <c r="A3747" t="s">
        <v>4053</v>
      </c>
      <c r="B3747" t="s">
        <v>211</v>
      </c>
      <c r="C3747" t="s">
        <v>55</v>
      </c>
      <c r="D3747" s="49">
        <v>45853</v>
      </c>
      <c r="E3747" s="49">
        <v>45855</v>
      </c>
      <c r="F3747" s="49">
        <v>45858</v>
      </c>
      <c r="G3747" s="49">
        <v>45863</v>
      </c>
      <c r="I3747" s="49">
        <v>45870</v>
      </c>
      <c r="J3747" t="s">
        <v>49</v>
      </c>
      <c r="K3747" s="33">
        <v>2300</v>
      </c>
      <c r="L3747" t="s">
        <v>61</v>
      </c>
      <c r="M3747" t="str">
        <f>_xlfn.XLOOKUP(Pipeline_tbl[[#This Row],[Rep_ID]],Dim_Reps!A:A,Dim_Reps!K:K)</f>
        <v>EUR</v>
      </c>
      <c r="N3747" s="33">
        <f>(_xlfn.XLOOKUP(Pipeline_tbl[[#This Row],[Rate_Code_Generalized]],Lookups!A:A,Lookups!B:B))*Pipeline_tbl[[#This Row],[Pipeline_Amount_USD]]</f>
        <v>2300</v>
      </c>
      <c r="O3747" t="str">
        <f>_xlfn.XLOOKUP(Pipeline_tbl[[#This Row],[Rep_ID]],Dim_Reps!A:A,Dim_Reps!B:B)</f>
        <v>Lea Weber</v>
      </c>
      <c r="P3747" t="str">
        <f>_xlfn.XLOOKUP(Pipeline_tbl[[#This Row],[Rep_ID]],Dim_Reps!A:A,Dim_Reps!C:C)</f>
        <v>SDR / Inside Sales Rep</v>
      </c>
      <c r="Q3747" t="str">
        <f>_xlfn.XLOOKUP(Pipeline_tbl[[#This Row],[Rep_ID]],Dim_Reps!A:A,Dim_Reps!D:D)</f>
        <v>Inside Sales</v>
      </c>
      <c r="R3747" t="str">
        <f>_xlfn.XLOOKUP(Pipeline_tbl[[#This Row],[Rep_ID]],Dim_Reps!A:A,Dim_Reps!E:E)</f>
        <v>EMEA</v>
      </c>
      <c r="S3747" t="str">
        <f>_xlfn.XLOOKUP(Pipeline_tbl[[#This Row],[Created_Date]],Dim_Date!A:A,Dim_Date!H:H)</f>
        <v>Jul 2025</v>
      </c>
      <c r="T3747" t="str">
        <f>IF(Pipeline_tbl[[#This Row],[Closed_Date]]=0,"",(_xlfn.XLOOKUP(Pipeline_tbl[[#This Row],[Closed_Date]],Dim_Date!A:A,Dim_Date!H:H)))</f>
        <v>Aug 2025</v>
      </c>
      <c r="U3747">
        <f>IF(Pipeline_tbl[[#This Row],[Closed_Date]]=0,"",Pipeline_tbl[[#This Row],[Closed_Date]]-Pipeline_tbl[[#This Row],[Created_Date]])</f>
        <v>17</v>
      </c>
    </row>
    <row r="3748" spans="1:21" ht="15" customHeight="1" x14ac:dyDescent="0.2">
      <c r="A3748" t="s">
        <v>4054</v>
      </c>
      <c r="B3748" t="s">
        <v>211</v>
      </c>
      <c r="C3748" t="s">
        <v>53</v>
      </c>
      <c r="D3748" s="49">
        <v>45858</v>
      </c>
      <c r="E3748" s="49">
        <v>45861</v>
      </c>
      <c r="F3748" s="49">
        <v>45867</v>
      </c>
      <c r="I3748" s="49">
        <v>45889</v>
      </c>
      <c r="J3748" t="s">
        <v>49</v>
      </c>
      <c r="K3748" s="33">
        <v>1700</v>
      </c>
      <c r="L3748" t="s">
        <v>60</v>
      </c>
      <c r="M3748" t="str">
        <f>_xlfn.XLOOKUP(Pipeline_tbl[[#This Row],[Rep_ID]],Dim_Reps!A:A,Dim_Reps!K:K)</f>
        <v>EUR</v>
      </c>
      <c r="N3748" s="33">
        <f>(_xlfn.XLOOKUP(Pipeline_tbl[[#This Row],[Rate_Code_Generalized]],Lookups!A:A,Lookups!B:B))*Pipeline_tbl[[#This Row],[Pipeline_Amount_USD]]</f>
        <v>1700</v>
      </c>
      <c r="O3748" t="str">
        <f>_xlfn.XLOOKUP(Pipeline_tbl[[#This Row],[Rep_ID]],Dim_Reps!A:A,Dim_Reps!B:B)</f>
        <v>Lea Weber</v>
      </c>
      <c r="P3748" t="str">
        <f>_xlfn.XLOOKUP(Pipeline_tbl[[#This Row],[Rep_ID]],Dim_Reps!A:A,Dim_Reps!C:C)</f>
        <v>SDR / Inside Sales Rep</v>
      </c>
      <c r="Q3748" t="str">
        <f>_xlfn.XLOOKUP(Pipeline_tbl[[#This Row],[Rep_ID]],Dim_Reps!A:A,Dim_Reps!D:D)</f>
        <v>Inside Sales</v>
      </c>
      <c r="R3748" t="str">
        <f>_xlfn.XLOOKUP(Pipeline_tbl[[#This Row],[Rep_ID]],Dim_Reps!A:A,Dim_Reps!E:E)</f>
        <v>EMEA</v>
      </c>
      <c r="S3748" t="str">
        <f>_xlfn.XLOOKUP(Pipeline_tbl[[#This Row],[Created_Date]],Dim_Date!A:A,Dim_Date!H:H)</f>
        <v>Jul 2025</v>
      </c>
      <c r="T3748" t="str">
        <f>IF(Pipeline_tbl[[#This Row],[Closed_Date]]=0,"",(_xlfn.XLOOKUP(Pipeline_tbl[[#This Row],[Closed_Date]],Dim_Date!A:A,Dim_Date!H:H)))</f>
        <v>Aug 2025</v>
      </c>
      <c r="U3748">
        <f>IF(Pipeline_tbl[[#This Row],[Closed_Date]]=0,"",Pipeline_tbl[[#This Row],[Closed_Date]]-Pipeline_tbl[[#This Row],[Created_Date]])</f>
        <v>31</v>
      </c>
    </row>
    <row r="3749" spans="1:21" ht="15" customHeight="1" x14ac:dyDescent="0.2">
      <c r="A3749" t="s">
        <v>4055</v>
      </c>
      <c r="B3749" t="s">
        <v>211</v>
      </c>
      <c r="C3749" t="s">
        <v>52</v>
      </c>
      <c r="D3749" s="49">
        <v>45867</v>
      </c>
      <c r="E3749" s="49">
        <v>45869</v>
      </c>
      <c r="F3749" s="49">
        <v>45872</v>
      </c>
      <c r="G3749" s="49">
        <v>45878</v>
      </c>
      <c r="H3749" s="49">
        <v>45882</v>
      </c>
      <c r="I3749" s="49">
        <v>45885</v>
      </c>
      <c r="J3749" t="s">
        <v>49</v>
      </c>
      <c r="K3749" s="33">
        <v>1900</v>
      </c>
      <c r="L3749" t="s">
        <v>62</v>
      </c>
      <c r="M3749" t="str">
        <f>_xlfn.XLOOKUP(Pipeline_tbl[[#This Row],[Rep_ID]],Dim_Reps!A:A,Dim_Reps!K:K)</f>
        <v>EUR</v>
      </c>
      <c r="N3749" s="33">
        <f>(_xlfn.XLOOKUP(Pipeline_tbl[[#This Row],[Rate_Code_Generalized]],Lookups!A:A,Lookups!B:B))*Pipeline_tbl[[#This Row],[Pipeline_Amount_USD]]</f>
        <v>1900</v>
      </c>
      <c r="O3749" t="str">
        <f>_xlfn.XLOOKUP(Pipeline_tbl[[#This Row],[Rep_ID]],Dim_Reps!A:A,Dim_Reps!B:B)</f>
        <v>Lea Weber</v>
      </c>
      <c r="P3749" t="str">
        <f>_xlfn.XLOOKUP(Pipeline_tbl[[#This Row],[Rep_ID]],Dim_Reps!A:A,Dim_Reps!C:C)</f>
        <v>SDR / Inside Sales Rep</v>
      </c>
      <c r="Q3749" t="str">
        <f>_xlfn.XLOOKUP(Pipeline_tbl[[#This Row],[Rep_ID]],Dim_Reps!A:A,Dim_Reps!D:D)</f>
        <v>Inside Sales</v>
      </c>
      <c r="R3749" t="str">
        <f>_xlfn.XLOOKUP(Pipeline_tbl[[#This Row],[Rep_ID]],Dim_Reps!A:A,Dim_Reps!E:E)</f>
        <v>EMEA</v>
      </c>
      <c r="S3749" t="str">
        <f>_xlfn.XLOOKUP(Pipeline_tbl[[#This Row],[Created_Date]],Dim_Date!A:A,Dim_Date!H:H)</f>
        <v>Jul 2025</v>
      </c>
      <c r="T3749" t="str">
        <f>IF(Pipeline_tbl[[#This Row],[Closed_Date]]=0,"",(_xlfn.XLOOKUP(Pipeline_tbl[[#This Row],[Closed_Date]],Dim_Date!A:A,Dim_Date!H:H)))</f>
        <v>Aug 2025</v>
      </c>
      <c r="U3749">
        <f>IF(Pipeline_tbl[[#This Row],[Closed_Date]]=0,"",Pipeline_tbl[[#This Row],[Closed_Date]]-Pipeline_tbl[[#This Row],[Created_Date]])</f>
        <v>18</v>
      </c>
    </row>
    <row r="3750" spans="1:21" ht="15" customHeight="1" x14ac:dyDescent="0.2">
      <c r="A3750" t="s">
        <v>4056</v>
      </c>
      <c r="B3750" t="s">
        <v>249</v>
      </c>
      <c r="C3750" t="s">
        <v>52</v>
      </c>
      <c r="D3750" s="49">
        <v>45844</v>
      </c>
      <c r="E3750" s="49">
        <v>45848</v>
      </c>
      <c r="F3750" s="49">
        <v>45856</v>
      </c>
      <c r="G3750" s="49">
        <v>45869</v>
      </c>
      <c r="H3750" s="49">
        <v>45879</v>
      </c>
      <c r="I3750" s="49">
        <v>45885</v>
      </c>
      <c r="J3750" t="s">
        <v>47</v>
      </c>
      <c r="K3750" s="33">
        <v>9100</v>
      </c>
      <c r="M3750" t="str">
        <f>_xlfn.XLOOKUP(Pipeline_tbl[[#This Row],[Rep_ID]],Dim_Reps!A:A,Dim_Reps!K:K)</f>
        <v>EUR</v>
      </c>
      <c r="N3750" s="33">
        <f>(_xlfn.XLOOKUP(Pipeline_tbl[[#This Row],[Rate_Code_Generalized]],Lookups!A:A,Lookups!B:B))*Pipeline_tbl[[#This Row],[Pipeline_Amount_USD]]</f>
        <v>9100</v>
      </c>
      <c r="O3750" t="str">
        <f>_xlfn.XLOOKUP(Pipeline_tbl[[#This Row],[Rep_ID]],Dim_Reps!A:A,Dim_Reps!B:B)</f>
        <v>Ana Sato</v>
      </c>
      <c r="P3750" t="str">
        <f>_xlfn.XLOOKUP(Pipeline_tbl[[#This Row],[Rep_ID]],Dim_Reps!A:A,Dim_Reps!C:C)</f>
        <v>Mid-Market AE</v>
      </c>
      <c r="Q3750" t="str">
        <f>_xlfn.XLOOKUP(Pipeline_tbl[[#This Row],[Rep_ID]],Dim_Reps!A:A,Dim_Reps!D:D)</f>
        <v>Mid-Market</v>
      </c>
      <c r="R3750" t="str">
        <f>_xlfn.XLOOKUP(Pipeline_tbl[[#This Row],[Rep_ID]],Dim_Reps!A:A,Dim_Reps!E:E)</f>
        <v>APAC</v>
      </c>
      <c r="S3750" t="str">
        <f>_xlfn.XLOOKUP(Pipeline_tbl[[#This Row],[Created_Date]],Dim_Date!A:A,Dim_Date!H:H)</f>
        <v>Jul 2025</v>
      </c>
      <c r="T3750" t="str">
        <f>IF(Pipeline_tbl[[#This Row],[Closed_Date]]=0,"",(_xlfn.XLOOKUP(Pipeline_tbl[[#This Row],[Closed_Date]],Dim_Date!A:A,Dim_Date!H:H)))</f>
        <v>Aug 2025</v>
      </c>
      <c r="U3750">
        <f>IF(Pipeline_tbl[[#This Row],[Closed_Date]]=0,"",Pipeline_tbl[[#This Row],[Closed_Date]]-Pipeline_tbl[[#This Row],[Created_Date]])</f>
        <v>41</v>
      </c>
    </row>
    <row r="3751" spans="1:21" ht="15" customHeight="1" x14ac:dyDescent="0.2">
      <c r="A3751" t="s">
        <v>4057</v>
      </c>
      <c r="B3751" t="s">
        <v>249</v>
      </c>
      <c r="C3751" t="s">
        <v>52</v>
      </c>
      <c r="D3751" s="49">
        <v>45860</v>
      </c>
      <c r="E3751" s="49">
        <v>45864</v>
      </c>
      <c r="F3751" s="49">
        <v>45871</v>
      </c>
      <c r="G3751" s="49">
        <v>45882</v>
      </c>
      <c r="H3751" s="49">
        <v>45891</v>
      </c>
      <c r="I3751" s="49">
        <v>45896</v>
      </c>
      <c r="J3751" t="s">
        <v>47</v>
      </c>
      <c r="K3751" s="33">
        <v>4800</v>
      </c>
      <c r="M3751" t="str">
        <f>_xlfn.XLOOKUP(Pipeline_tbl[[#This Row],[Rep_ID]],Dim_Reps!A:A,Dim_Reps!K:K)</f>
        <v>EUR</v>
      </c>
      <c r="N3751" s="33">
        <f>(_xlfn.XLOOKUP(Pipeline_tbl[[#This Row],[Rate_Code_Generalized]],Lookups!A:A,Lookups!B:B))*Pipeline_tbl[[#This Row],[Pipeline_Amount_USD]]</f>
        <v>4800</v>
      </c>
      <c r="O3751" t="str">
        <f>_xlfn.XLOOKUP(Pipeline_tbl[[#This Row],[Rep_ID]],Dim_Reps!A:A,Dim_Reps!B:B)</f>
        <v>Ana Sato</v>
      </c>
      <c r="P3751" t="str">
        <f>_xlfn.XLOOKUP(Pipeline_tbl[[#This Row],[Rep_ID]],Dim_Reps!A:A,Dim_Reps!C:C)</f>
        <v>Mid-Market AE</v>
      </c>
      <c r="Q3751" t="str">
        <f>_xlfn.XLOOKUP(Pipeline_tbl[[#This Row],[Rep_ID]],Dim_Reps!A:A,Dim_Reps!D:D)</f>
        <v>Mid-Market</v>
      </c>
      <c r="R3751" t="str">
        <f>_xlfn.XLOOKUP(Pipeline_tbl[[#This Row],[Rep_ID]],Dim_Reps!A:A,Dim_Reps!E:E)</f>
        <v>APAC</v>
      </c>
      <c r="S3751" t="str">
        <f>_xlfn.XLOOKUP(Pipeline_tbl[[#This Row],[Created_Date]],Dim_Date!A:A,Dim_Date!H:H)</f>
        <v>Jul 2025</v>
      </c>
      <c r="T3751" t="str">
        <f>IF(Pipeline_tbl[[#This Row],[Closed_Date]]=0,"",(_xlfn.XLOOKUP(Pipeline_tbl[[#This Row],[Closed_Date]],Dim_Date!A:A,Dim_Date!H:H)))</f>
        <v>Aug 2025</v>
      </c>
      <c r="U3751">
        <f>IF(Pipeline_tbl[[#This Row],[Closed_Date]]=0,"",Pipeline_tbl[[#This Row],[Closed_Date]]-Pipeline_tbl[[#This Row],[Created_Date]])</f>
        <v>36</v>
      </c>
    </row>
    <row r="3752" spans="1:21" ht="15" customHeight="1" x14ac:dyDescent="0.2">
      <c r="A3752" t="s">
        <v>4058</v>
      </c>
      <c r="B3752" t="s">
        <v>249</v>
      </c>
      <c r="C3752" t="s">
        <v>53</v>
      </c>
      <c r="D3752" s="49">
        <v>45841</v>
      </c>
      <c r="E3752" s="49">
        <v>45844</v>
      </c>
      <c r="F3752" s="49">
        <v>45850</v>
      </c>
      <c r="G3752" s="49">
        <v>45859</v>
      </c>
      <c r="H3752" s="49">
        <v>45867</v>
      </c>
      <c r="I3752" s="49">
        <v>45871</v>
      </c>
      <c r="J3752" t="s">
        <v>49</v>
      </c>
      <c r="K3752" s="33">
        <v>30300</v>
      </c>
      <c r="L3752" t="s">
        <v>62</v>
      </c>
      <c r="M3752" t="str">
        <f>_xlfn.XLOOKUP(Pipeline_tbl[[#This Row],[Rep_ID]],Dim_Reps!A:A,Dim_Reps!K:K)</f>
        <v>EUR</v>
      </c>
      <c r="N3752" s="33">
        <f>(_xlfn.XLOOKUP(Pipeline_tbl[[#This Row],[Rate_Code_Generalized]],Lookups!A:A,Lookups!B:B))*Pipeline_tbl[[#This Row],[Pipeline_Amount_USD]]</f>
        <v>30300</v>
      </c>
      <c r="O3752" t="str">
        <f>_xlfn.XLOOKUP(Pipeline_tbl[[#This Row],[Rep_ID]],Dim_Reps!A:A,Dim_Reps!B:B)</f>
        <v>Ana Sato</v>
      </c>
      <c r="P3752" t="str">
        <f>_xlfn.XLOOKUP(Pipeline_tbl[[#This Row],[Rep_ID]],Dim_Reps!A:A,Dim_Reps!C:C)</f>
        <v>Mid-Market AE</v>
      </c>
      <c r="Q3752" t="str">
        <f>_xlfn.XLOOKUP(Pipeline_tbl[[#This Row],[Rep_ID]],Dim_Reps!A:A,Dim_Reps!D:D)</f>
        <v>Mid-Market</v>
      </c>
      <c r="R3752" t="str">
        <f>_xlfn.XLOOKUP(Pipeline_tbl[[#This Row],[Rep_ID]],Dim_Reps!A:A,Dim_Reps!E:E)</f>
        <v>APAC</v>
      </c>
      <c r="S3752" t="str">
        <f>_xlfn.XLOOKUP(Pipeline_tbl[[#This Row],[Created_Date]],Dim_Date!A:A,Dim_Date!H:H)</f>
        <v>Jul 2025</v>
      </c>
      <c r="T3752" t="str">
        <f>IF(Pipeline_tbl[[#This Row],[Closed_Date]]=0,"",(_xlfn.XLOOKUP(Pipeline_tbl[[#This Row],[Closed_Date]],Dim_Date!A:A,Dim_Date!H:H)))</f>
        <v>Aug 2025</v>
      </c>
      <c r="U3752">
        <f>IF(Pipeline_tbl[[#This Row],[Closed_Date]]=0,"",Pipeline_tbl[[#This Row],[Closed_Date]]-Pipeline_tbl[[#This Row],[Created_Date]])</f>
        <v>30</v>
      </c>
    </row>
    <row r="3753" spans="1:21" ht="15" customHeight="1" x14ac:dyDescent="0.2">
      <c r="A3753" t="s">
        <v>4059</v>
      </c>
      <c r="B3753" t="s">
        <v>249</v>
      </c>
      <c r="C3753" t="s">
        <v>52</v>
      </c>
      <c r="D3753" s="49">
        <v>45855</v>
      </c>
      <c r="E3753" s="49">
        <v>45857</v>
      </c>
      <c r="F3753" s="49">
        <v>45861</v>
      </c>
      <c r="G3753" s="49">
        <v>45867</v>
      </c>
      <c r="H3753" s="49">
        <v>45872</v>
      </c>
      <c r="I3753" s="49">
        <v>45875</v>
      </c>
      <c r="J3753" t="s">
        <v>47</v>
      </c>
      <c r="K3753" s="33">
        <v>13400</v>
      </c>
      <c r="M3753" t="str">
        <f>_xlfn.XLOOKUP(Pipeline_tbl[[#This Row],[Rep_ID]],Dim_Reps!A:A,Dim_Reps!K:K)</f>
        <v>EUR</v>
      </c>
      <c r="N3753" s="33">
        <f>(_xlfn.XLOOKUP(Pipeline_tbl[[#This Row],[Rate_Code_Generalized]],Lookups!A:A,Lookups!B:B))*Pipeline_tbl[[#This Row],[Pipeline_Amount_USD]]</f>
        <v>13400</v>
      </c>
      <c r="O3753" t="str">
        <f>_xlfn.XLOOKUP(Pipeline_tbl[[#This Row],[Rep_ID]],Dim_Reps!A:A,Dim_Reps!B:B)</f>
        <v>Ana Sato</v>
      </c>
      <c r="P3753" t="str">
        <f>_xlfn.XLOOKUP(Pipeline_tbl[[#This Row],[Rep_ID]],Dim_Reps!A:A,Dim_Reps!C:C)</f>
        <v>Mid-Market AE</v>
      </c>
      <c r="Q3753" t="str">
        <f>_xlfn.XLOOKUP(Pipeline_tbl[[#This Row],[Rep_ID]],Dim_Reps!A:A,Dim_Reps!D:D)</f>
        <v>Mid-Market</v>
      </c>
      <c r="R3753" t="str">
        <f>_xlfn.XLOOKUP(Pipeline_tbl[[#This Row],[Rep_ID]],Dim_Reps!A:A,Dim_Reps!E:E)</f>
        <v>APAC</v>
      </c>
      <c r="S3753" t="str">
        <f>_xlfn.XLOOKUP(Pipeline_tbl[[#This Row],[Created_Date]],Dim_Date!A:A,Dim_Date!H:H)</f>
        <v>Jul 2025</v>
      </c>
      <c r="T3753" t="str">
        <f>IF(Pipeline_tbl[[#This Row],[Closed_Date]]=0,"",(_xlfn.XLOOKUP(Pipeline_tbl[[#This Row],[Closed_Date]],Dim_Date!A:A,Dim_Date!H:H)))</f>
        <v>Aug 2025</v>
      </c>
      <c r="U3753">
        <f>IF(Pipeline_tbl[[#This Row],[Closed_Date]]=0,"",Pipeline_tbl[[#This Row],[Closed_Date]]-Pipeline_tbl[[#This Row],[Created_Date]])</f>
        <v>20</v>
      </c>
    </row>
    <row r="3754" spans="1:21" ht="15" customHeight="1" x14ac:dyDescent="0.2">
      <c r="A3754" t="s">
        <v>4060</v>
      </c>
      <c r="B3754" t="s">
        <v>249</v>
      </c>
      <c r="C3754" t="s">
        <v>52</v>
      </c>
      <c r="D3754" s="49">
        <v>45850</v>
      </c>
      <c r="E3754" s="49">
        <v>45852</v>
      </c>
      <c r="F3754" s="49">
        <v>45856</v>
      </c>
      <c r="G3754" s="49">
        <v>45863</v>
      </c>
      <c r="H3754" s="49">
        <v>45868</v>
      </c>
      <c r="I3754" s="49">
        <v>45871</v>
      </c>
      <c r="J3754" t="s">
        <v>47</v>
      </c>
      <c r="K3754" s="33">
        <v>9700</v>
      </c>
      <c r="M3754" t="str">
        <f>_xlfn.XLOOKUP(Pipeline_tbl[[#This Row],[Rep_ID]],Dim_Reps!A:A,Dim_Reps!K:K)</f>
        <v>EUR</v>
      </c>
      <c r="N3754" s="33">
        <f>(_xlfn.XLOOKUP(Pipeline_tbl[[#This Row],[Rate_Code_Generalized]],Lookups!A:A,Lookups!B:B))*Pipeline_tbl[[#This Row],[Pipeline_Amount_USD]]</f>
        <v>9700</v>
      </c>
      <c r="O3754" t="str">
        <f>_xlfn.XLOOKUP(Pipeline_tbl[[#This Row],[Rep_ID]],Dim_Reps!A:A,Dim_Reps!B:B)</f>
        <v>Ana Sato</v>
      </c>
      <c r="P3754" t="str">
        <f>_xlfn.XLOOKUP(Pipeline_tbl[[#This Row],[Rep_ID]],Dim_Reps!A:A,Dim_Reps!C:C)</f>
        <v>Mid-Market AE</v>
      </c>
      <c r="Q3754" t="str">
        <f>_xlfn.XLOOKUP(Pipeline_tbl[[#This Row],[Rep_ID]],Dim_Reps!A:A,Dim_Reps!D:D)</f>
        <v>Mid-Market</v>
      </c>
      <c r="R3754" t="str">
        <f>_xlfn.XLOOKUP(Pipeline_tbl[[#This Row],[Rep_ID]],Dim_Reps!A:A,Dim_Reps!E:E)</f>
        <v>APAC</v>
      </c>
      <c r="S3754" t="str">
        <f>_xlfn.XLOOKUP(Pipeline_tbl[[#This Row],[Created_Date]],Dim_Date!A:A,Dim_Date!H:H)</f>
        <v>Jul 2025</v>
      </c>
      <c r="T3754" t="str">
        <f>IF(Pipeline_tbl[[#This Row],[Closed_Date]]=0,"",(_xlfn.XLOOKUP(Pipeline_tbl[[#This Row],[Closed_Date]],Dim_Date!A:A,Dim_Date!H:H)))</f>
        <v>Aug 2025</v>
      </c>
      <c r="U3754">
        <f>IF(Pipeline_tbl[[#This Row],[Closed_Date]]=0,"",Pipeline_tbl[[#This Row],[Closed_Date]]-Pipeline_tbl[[#This Row],[Created_Date]])</f>
        <v>21</v>
      </c>
    </row>
    <row r="3755" spans="1:21" ht="15" customHeight="1" x14ac:dyDescent="0.2">
      <c r="A3755" t="s">
        <v>4061</v>
      </c>
      <c r="B3755" t="s">
        <v>213</v>
      </c>
      <c r="C3755" t="s">
        <v>53</v>
      </c>
      <c r="D3755" s="49">
        <v>45848</v>
      </c>
      <c r="E3755" s="49">
        <v>45851</v>
      </c>
      <c r="I3755" s="49">
        <v>45881</v>
      </c>
      <c r="J3755" t="s">
        <v>49</v>
      </c>
      <c r="K3755" s="33">
        <v>7700</v>
      </c>
      <c r="L3755" t="s">
        <v>60</v>
      </c>
      <c r="M3755" t="str">
        <f>_xlfn.XLOOKUP(Pipeline_tbl[[#This Row],[Rep_ID]],Dim_Reps!A:A,Dim_Reps!K:K)</f>
        <v>EUR</v>
      </c>
      <c r="N3755" s="33">
        <f>(_xlfn.XLOOKUP(Pipeline_tbl[[#This Row],[Rate_Code_Generalized]],Lookups!A:A,Lookups!B:B))*Pipeline_tbl[[#This Row],[Pipeline_Amount_USD]]</f>
        <v>7700</v>
      </c>
      <c r="O3755" t="str">
        <f>_xlfn.XLOOKUP(Pipeline_tbl[[#This Row],[Rep_ID]],Dim_Reps!A:A,Dim_Reps!B:B)</f>
        <v>Jamie Silva</v>
      </c>
      <c r="P3755" t="str">
        <f>_xlfn.XLOOKUP(Pipeline_tbl[[#This Row],[Rep_ID]],Dim_Reps!A:A,Dim_Reps!C:C)</f>
        <v>SDR / Inside Sales Rep</v>
      </c>
      <c r="Q3755" t="str">
        <f>_xlfn.XLOOKUP(Pipeline_tbl[[#This Row],[Rep_ID]],Dim_Reps!A:A,Dim_Reps!D:D)</f>
        <v>Inside Sales</v>
      </c>
      <c r="R3755" t="str">
        <f>_xlfn.XLOOKUP(Pipeline_tbl[[#This Row],[Rep_ID]],Dim_Reps!A:A,Dim_Reps!E:E)</f>
        <v>EMEA</v>
      </c>
      <c r="S3755" t="str">
        <f>_xlfn.XLOOKUP(Pipeline_tbl[[#This Row],[Created_Date]],Dim_Date!A:A,Dim_Date!H:H)</f>
        <v>Jul 2025</v>
      </c>
      <c r="T3755" t="str">
        <f>IF(Pipeline_tbl[[#This Row],[Closed_Date]]=0,"",(_xlfn.XLOOKUP(Pipeline_tbl[[#This Row],[Closed_Date]],Dim_Date!A:A,Dim_Date!H:H)))</f>
        <v>Aug 2025</v>
      </c>
      <c r="U3755">
        <f>IF(Pipeline_tbl[[#This Row],[Closed_Date]]=0,"",Pipeline_tbl[[#This Row],[Closed_Date]]-Pipeline_tbl[[#This Row],[Created_Date]])</f>
        <v>33</v>
      </c>
    </row>
    <row r="3756" spans="1:21" ht="15" customHeight="1" x14ac:dyDescent="0.2">
      <c r="A3756" t="s">
        <v>4062</v>
      </c>
      <c r="B3756" t="s">
        <v>213</v>
      </c>
      <c r="C3756" t="s">
        <v>53</v>
      </c>
      <c r="D3756" s="49">
        <v>45858</v>
      </c>
      <c r="E3756" s="49">
        <v>45860</v>
      </c>
      <c r="F3756" s="49">
        <v>45863</v>
      </c>
      <c r="G3756" s="49">
        <v>45868</v>
      </c>
      <c r="H3756" s="49">
        <v>45872</v>
      </c>
      <c r="I3756" s="49">
        <v>45875</v>
      </c>
      <c r="J3756" t="s">
        <v>47</v>
      </c>
      <c r="K3756" s="33">
        <v>4300</v>
      </c>
      <c r="M3756" t="str">
        <f>_xlfn.XLOOKUP(Pipeline_tbl[[#This Row],[Rep_ID]],Dim_Reps!A:A,Dim_Reps!K:K)</f>
        <v>EUR</v>
      </c>
      <c r="N3756" s="33">
        <f>(_xlfn.XLOOKUP(Pipeline_tbl[[#This Row],[Rate_Code_Generalized]],Lookups!A:A,Lookups!B:B))*Pipeline_tbl[[#This Row],[Pipeline_Amount_USD]]</f>
        <v>4300</v>
      </c>
      <c r="O3756" t="str">
        <f>_xlfn.XLOOKUP(Pipeline_tbl[[#This Row],[Rep_ID]],Dim_Reps!A:A,Dim_Reps!B:B)</f>
        <v>Jamie Silva</v>
      </c>
      <c r="P3756" t="str">
        <f>_xlfn.XLOOKUP(Pipeline_tbl[[#This Row],[Rep_ID]],Dim_Reps!A:A,Dim_Reps!C:C)</f>
        <v>SDR / Inside Sales Rep</v>
      </c>
      <c r="Q3756" t="str">
        <f>_xlfn.XLOOKUP(Pipeline_tbl[[#This Row],[Rep_ID]],Dim_Reps!A:A,Dim_Reps!D:D)</f>
        <v>Inside Sales</v>
      </c>
      <c r="R3756" t="str">
        <f>_xlfn.XLOOKUP(Pipeline_tbl[[#This Row],[Rep_ID]],Dim_Reps!A:A,Dim_Reps!E:E)</f>
        <v>EMEA</v>
      </c>
      <c r="S3756" t="str">
        <f>_xlfn.XLOOKUP(Pipeline_tbl[[#This Row],[Created_Date]],Dim_Date!A:A,Dim_Date!H:H)</f>
        <v>Jul 2025</v>
      </c>
      <c r="T3756" t="str">
        <f>IF(Pipeline_tbl[[#This Row],[Closed_Date]]=0,"",(_xlfn.XLOOKUP(Pipeline_tbl[[#This Row],[Closed_Date]],Dim_Date!A:A,Dim_Date!H:H)))</f>
        <v>Aug 2025</v>
      </c>
      <c r="U3756">
        <f>IF(Pipeline_tbl[[#This Row],[Closed_Date]]=0,"",Pipeline_tbl[[#This Row],[Closed_Date]]-Pipeline_tbl[[#This Row],[Created_Date]])</f>
        <v>17</v>
      </c>
    </row>
    <row r="3757" spans="1:21" ht="15" customHeight="1" x14ac:dyDescent="0.2">
      <c r="A3757" t="s">
        <v>4063</v>
      </c>
      <c r="B3757" t="s">
        <v>213</v>
      </c>
      <c r="C3757" t="s">
        <v>56</v>
      </c>
      <c r="D3757" s="49">
        <v>45861</v>
      </c>
      <c r="E3757" s="49">
        <v>45863</v>
      </c>
      <c r="F3757" s="49">
        <v>45867</v>
      </c>
      <c r="G3757" s="49">
        <v>45873</v>
      </c>
      <c r="H3757" s="49">
        <v>45878</v>
      </c>
      <c r="I3757" s="49">
        <v>45881</v>
      </c>
      <c r="J3757" t="s">
        <v>49</v>
      </c>
      <c r="K3757" s="33">
        <v>6400</v>
      </c>
      <c r="L3757" t="s">
        <v>61</v>
      </c>
      <c r="M3757" t="str">
        <f>_xlfn.XLOOKUP(Pipeline_tbl[[#This Row],[Rep_ID]],Dim_Reps!A:A,Dim_Reps!K:K)</f>
        <v>EUR</v>
      </c>
      <c r="N3757" s="33">
        <f>(_xlfn.XLOOKUP(Pipeline_tbl[[#This Row],[Rate_Code_Generalized]],Lookups!A:A,Lookups!B:B))*Pipeline_tbl[[#This Row],[Pipeline_Amount_USD]]</f>
        <v>6400</v>
      </c>
      <c r="O3757" t="str">
        <f>_xlfn.XLOOKUP(Pipeline_tbl[[#This Row],[Rep_ID]],Dim_Reps!A:A,Dim_Reps!B:B)</f>
        <v>Jamie Silva</v>
      </c>
      <c r="P3757" t="str">
        <f>_xlfn.XLOOKUP(Pipeline_tbl[[#This Row],[Rep_ID]],Dim_Reps!A:A,Dim_Reps!C:C)</f>
        <v>SDR / Inside Sales Rep</v>
      </c>
      <c r="Q3757" t="str">
        <f>_xlfn.XLOOKUP(Pipeline_tbl[[#This Row],[Rep_ID]],Dim_Reps!A:A,Dim_Reps!D:D)</f>
        <v>Inside Sales</v>
      </c>
      <c r="R3757" t="str">
        <f>_xlfn.XLOOKUP(Pipeline_tbl[[#This Row],[Rep_ID]],Dim_Reps!A:A,Dim_Reps!E:E)</f>
        <v>EMEA</v>
      </c>
      <c r="S3757" t="str">
        <f>_xlfn.XLOOKUP(Pipeline_tbl[[#This Row],[Created_Date]],Dim_Date!A:A,Dim_Date!H:H)</f>
        <v>Jul 2025</v>
      </c>
      <c r="T3757" t="str">
        <f>IF(Pipeline_tbl[[#This Row],[Closed_Date]]=0,"",(_xlfn.XLOOKUP(Pipeline_tbl[[#This Row],[Closed_Date]],Dim_Date!A:A,Dim_Date!H:H)))</f>
        <v>Aug 2025</v>
      </c>
      <c r="U3757">
        <f>IF(Pipeline_tbl[[#This Row],[Closed_Date]]=0,"",Pipeline_tbl[[#This Row],[Closed_Date]]-Pipeline_tbl[[#This Row],[Created_Date]])</f>
        <v>20</v>
      </c>
    </row>
    <row r="3758" spans="1:21" ht="15" customHeight="1" x14ac:dyDescent="0.2">
      <c r="A3758" t="s">
        <v>4064</v>
      </c>
      <c r="B3758" t="s">
        <v>253</v>
      </c>
      <c r="C3758" t="s">
        <v>54</v>
      </c>
      <c r="D3758" s="49">
        <v>45847</v>
      </c>
      <c r="E3758" s="49">
        <v>45851</v>
      </c>
      <c r="I3758" s="49">
        <v>45882</v>
      </c>
      <c r="J3758" t="s">
        <v>49</v>
      </c>
      <c r="K3758" s="33">
        <v>12200</v>
      </c>
      <c r="L3758" t="s">
        <v>62</v>
      </c>
      <c r="M3758" t="str">
        <f>_xlfn.XLOOKUP(Pipeline_tbl[[#This Row],[Rep_ID]],Dim_Reps!A:A,Dim_Reps!K:K)</f>
        <v>EUR</v>
      </c>
      <c r="N3758" s="33">
        <f>(_xlfn.XLOOKUP(Pipeline_tbl[[#This Row],[Rate_Code_Generalized]],Lookups!A:A,Lookups!B:B))*Pipeline_tbl[[#This Row],[Pipeline_Amount_USD]]</f>
        <v>12200</v>
      </c>
      <c r="O3758" t="str">
        <f>_xlfn.XLOOKUP(Pipeline_tbl[[#This Row],[Rep_ID]],Dim_Reps!A:A,Dim_Reps!B:B)</f>
        <v>Rafael Weber</v>
      </c>
      <c r="P3758" t="str">
        <f>_xlfn.XLOOKUP(Pipeline_tbl[[#This Row],[Rep_ID]],Dim_Reps!A:A,Dim_Reps!C:C)</f>
        <v>Mid-Market AE</v>
      </c>
      <c r="Q3758" t="str">
        <f>_xlfn.XLOOKUP(Pipeline_tbl[[#This Row],[Rep_ID]],Dim_Reps!A:A,Dim_Reps!D:D)</f>
        <v>Mid-Market</v>
      </c>
      <c r="R3758" t="str">
        <f>_xlfn.XLOOKUP(Pipeline_tbl[[#This Row],[Rep_ID]],Dim_Reps!A:A,Dim_Reps!E:E)</f>
        <v>APAC</v>
      </c>
      <c r="S3758" t="str">
        <f>_xlfn.XLOOKUP(Pipeline_tbl[[#This Row],[Created_Date]],Dim_Date!A:A,Dim_Date!H:H)</f>
        <v>Jul 2025</v>
      </c>
      <c r="T3758" t="str">
        <f>IF(Pipeline_tbl[[#This Row],[Closed_Date]]=0,"",(_xlfn.XLOOKUP(Pipeline_tbl[[#This Row],[Closed_Date]],Dim_Date!A:A,Dim_Date!H:H)))</f>
        <v>Aug 2025</v>
      </c>
      <c r="U3758">
        <f>IF(Pipeline_tbl[[#This Row],[Closed_Date]]=0,"",Pipeline_tbl[[#This Row],[Closed_Date]]-Pipeline_tbl[[#This Row],[Created_Date]])</f>
        <v>35</v>
      </c>
    </row>
    <row r="3759" spans="1:21" ht="15" customHeight="1" x14ac:dyDescent="0.2">
      <c r="A3759" t="s">
        <v>4065</v>
      </c>
      <c r="B3759" t="s">
        <v>253</v>
      </c>
      <c r="C3759" t="s">
        <v>55</v>
      </c>
      <c r="D3759" s="49">
        <v>45863</v>
      </c>
      <c r="E3759" s="49">
        <v>45865</v>
      </c>
      <c r="F3759" s="49">
        <v>45868</v>
      </c>
      <c r="G3759" s="49">
        <v>45873</v>
      </c>
      <c r="I3759" s="49">
        <v>45879</v>
      </c>
      <c r="J3759" t="s">
        <v>49</v>
      </c>
      <c r="K3759" s="33">
        <v>9900</v>
      </c>
      <c r="L3759" t="s">
        <v>60</v>
      </c>
      <c r="M3759" t="str">
        <f>_xlfn.XLOOKUP(Pipeline_tbl[[#This Row],[Rep_ID]],Dim_Reps!A:A,Dim_Reps!K:K)</f>
        <v>EUR</v>
      </c>
      <c r="N3759" s="33">
        <f>(_xlfn.XLOOKUP(Pipeline_tbl[[#This Row],[Rate_Code_Generalized]],Lookups!A:A,Lookups!B:B))*Pipeline_tbl[[#This Row],[Pipeline_Amount_USD]]</f>
        <v>9900</v>
      </c>
      <c r="O3759" t="str">
        <f>_xlfn.XLOOKUP(Pipeline_tbl[[#This Row],[Rep_ID]],Dim_Reps!A:A,Dim_Reps!B:B)</f>
        <v>Rafael Weber</v>
      </c>
      <c r="P3759" t="str">
        <f>_xlfn.XLOOKUP(Pipeline_tbl[[#This Row],[Rep_ID]],Dim_Reps!A:A,Dim_Reps!C:C)</f>
        <v>Mid-Market AE</v>
      </c>
      <c r="Q3759" t="str">
        <f>_xlfn.XLOOKUP(Pipeline_tbl[[#This Row],[Rep_ID]],Dim_Reps!A:A,Dim_Reps!D:D)</f>
        <v>Mid-Market</v>
      </c>
      <c r="R3759" t="str">
        <f>_xlfn.XLOOKUP(Pipeline_tbl[[#This Row],[Rep_ID]],Dim_Reps!A:A,Dim_Reps!E:E)</f>
        <v>APAC</v>
      </c>
      <c r="S3759" t="str">
        <f>_xlfn.XLOOKUP(Pipeline_tbl[[#This Row],[Created_Date]],Dim_Date!A:A,Dim_Date!H:H)</f>
        <v>Jul 2025</v>
      </c>
      <c r="T3759" t="str">
        <f>IF(Pipeline_tbl[[#This Row],[Closed_Date]]=0,"",(_xlfn.XLOOKUP(Pipeline_tbl[[#This Row],[Closed_Date]],Dim_Date!A:A,Dim_Date!H:H)))</f>
        <v>Aug 2025</v>
      </c>
      <c r="U3759">
        <f>IF(Pipeline_tbl[[#This Row],[Closed_Date]]=0,"",Pipeline_tbl[[#This Row],[Closed_Date]]-Pipeline_tbl[[#This Row],[Created_Date]])</f>
        <v>16</v>
      </c>
    </row>
    <row r="3760" spans="1:21" ht="15" customHeight="1" x14ac:dyDescent="0.2">
      <c r="A3760" t="s">
        <v>4066</v>
      </c>
      <c r="B3760" t="s">
        <v>253</v>
      </c>
      <c r="C3760" t="s">
        <v>52</v>
      </c>
      <c r="D3760" s="49">
        <v>45847</v>
      </c>
      <c r="E3760" s="49">
        <v>45851</v>
      </c>
      <c r="F3760" s="49">
        <v>45859</v>
      </c>
      <c r="G3760" s="49">
        <v>45871</v>
      </c>
      <c r="I3760" s="49">
        <v>45887</v>
      </c>
      <c r="J3760" t="s">
        <v>49</v>
      </c>
      <c r="K3760" s="33">
        <v>20100</v>
      </c>
      <c r="L3760" t="s">
        <v>60</v>
      </c>
      <c r="M3760" t="str">
        <f>_xlfn.XLOOKUP(Pipeline_tbl[[#This Row],[Rep_ID]],Dim_Reps!A:A,Dim_Reps!K:K)</f>
        <v>EUR</v>
      </c>
      <c r="N3760" s="33">
        <f>(_xlfn.XLOOKUP(Pipeline_tbl[[#This Row],[Rate_Code_Generalized]],Lookups!A:A,Lookups!B:B))*Pipeline_tbl[[#This Row],[Pipeline_Amount_USD]]</f>
        <v>20100</v>
      </c>
      <c r="O3760" t="str">
        <f>_xlfn.XLOOKUP(Pipeline_tbl[[#This Row],[Rep_ID]],Dim_Reps!A:A,Dim_Reps!B:B)</f>
        <v>Rafael Weber</v>
      </c>
      <c r="P3760" t="str">
        <f>_xlfn.XLOOKUP(Pipeline_tbl[[#This Row],[Rep_ID]],Dim_Reps!A:A,Dim_Reps!C:C)</f>
        <v>Mid-Market AE</v>
      </c>
      <c r="Q3760" t="str">
        <f>_xlfn.XLOOKUP(Pipeline_tbl[[#This Row],[Rep_ID]],Dim_Reps!A:A,Dim_Reps!D:D)</f>
        <v>Mid-Market</v>
      </c>
      <c r="R3760" t="str">
        <f>_xlfn.XLOOKUP(Pipeline_tbl[[#This Row],[Rep_ID]],Dim_Reps!A:A,Dim_Reps!E:E)</f>
        <v>APAC</v>
      </c>
      <c r="S3760" t="str">
        <f>_xlfn.XLOOKUP(Pipeline_tbl[[#This Row],[Created_Date]],Dim_Date!A:A,Dim_Date!H:H)</f>
        <v>Jul 2025</v>
      </c>
      <c r="T3760" t="str">
        <f>IF(Pipeline_tbl[[#This Row],[Closed_Date]]=0,"",(_xlfn.XLOOKUP(Pipeline_tbl[[#This Row],[Closed_Date]],Dim_Date!A:A,Dim_Date!H:H)))</f>
        <v>Aug 2025</v>
      </c>
      <c r="U3760">
        <f>IF(Pipeline_tbl[[#This Row],[Closed_Date]]=0,"",Pipeline_tbl[[#This Row],[Closed_Date]]-Pipeline_tbl[[#This Row],[Created_Date]])</f>
        <v>40</v>
      </c>
    </row>
    <row r="3761" spans="1:21" ht="15" customHeight="1" x14ac:dyDescent="0.2">
      <c r="A3761" t="s">
        <v>4067</v>
      </c>
      <c r="B3761" t="s">
        <v>215</v>
      </c>
      <c r="C3761" t="s">
        <v>52</v>
      </c>
      <c r="D3761" s="49">
        <v>45853</v>
      </c>
      <c r="E3761" s="49">
        <v>45856</v>
      </c>
      <c r="F3761" s="49">
        <v>45862</v>
      </c>
      <c r="G3761" s="49">
        <v>45872</v>
      </c>
      <c r="H3761" s="49">
        <v>45879</v>
      </c>
      <c r="I3761" s="49">
        <v>45884</v>
      </c>
      <c r="J3761" t="s">
        <v>47</v>
      </c>
      <c r="K3761" s="33">
        <v>7500</v>
      </c>
      <c r="M3761" t="str">
        <f>_xlfn.XLOOKUP(Pipeline_tbl[[#This Row],[Rep_ID]],Dim_Reps!A:A,Dim_Reps!K:K)</f>
        <v>EUR</v>
      </c>
      <c r="N3761" s="33">
        <f>(_xlfn.XLOOKUP(Pipeline_tbl[[#This Row],[Rate_Code_Generalized]],Lookups!A:A,Lookups!B:B))*Pipeline_tbl[[#This Row],[Pipeline_Amount_USD]]</f>
        <v>7500</v>
      </c>
      <c r="O3761" t="str">
        <f>_xlfn.XLOOKUP(Pipeline_tbl[[#This Row],[Rep_ID]],Dim_Reps!A:A,Dim_Reps!B:B)</f>
        <v>Jamie Schmidt</v>
      </c>
      <c r="P3761" t="str">
        <f>_xlfn.XLOOKUP(Pipeline_tbl[[#This Row],[Rep_ID]],Dim_Reps!A:A,Dim_Reps!C:C)</f>
        <v>SDR / Inside Sales Rep</v>
      </c>
      <c r="Q3761" t="str">
        <f>_xlfn.XLOOKUP(Pipeline_tbl[[#This Row],[Rep_ID]],Dim_Reps!A:A,Dim_Reps!D:D)</f>
        <v>Inside Sales</v>
      </c>
      <c r="R3761" t="str">
        <f>_xlfn.XLOOKUP(Pipeline_tbl[[#This Row],[Rep_ID]],Dim_Reps!A:A,Dim_Reps!E:E)</f>
        <v>APAC</v>
      </c>
      <c r="S3761" t="str">
        <f>_xlfn.XLOOKUP(Pipeline_tbl[[#This Row],[Created_Date]],Dim_Date!A:A,Dim_Date!H:H)</f>
        <v>Jul 2025</v>
      </c>
      <c r="T3761" t="str">
        <f>IF(Pipeline_tbl[[#This Row],[Closed_Date]]=0,"",(_xlfn.XLOOKUP(Pipeline_tbl[[#This Row],[Closed_Date]],Dim_Date!A:A,Dim_Date!H:H)))</f>
        <v>Aug 2025</v>
      </c>
      <c r="U3761">
        <f>IF(Pipeline_tbl[[#This Row],[Closed_Date]]=0,"",Pipeline_tbl[[#This Row],[Closed_Date]]-Pipeline_tbl[[#This Row],[Created_Date]])</f>
        <v>31</v>
      </c>
    </row>
    <row r="3762" spans="1:21" ht="15" customHeight="1" x14ac:dyDescent="0.2">
      <c r="A3762" t="s">
        <v>4068</v>
      </c>
      <c r="B3762" t="s">
        <v>215</v>
      </c>
      <c r="C3762" t="s">
        <v>55</v>
      </c>
      <c r="D3762" s="49">
        <v>45849</v>
      </c>
      <c r="E3762" s="49">
        <v>45851</v>
      </c>
      <c r="F3762" s="49">
        <v>45857</v>
      </c>
      <c r="G3762" s="49">
        <v>45864</v>
      </c>
      <c r="H3762" s="49">
        <v>45870</v>
      </c>
      <c r="I3762" s="49">
        <v>45874</v>
      </c>
      <c r="J3762" t="s">
        <v>47</v>
      </c>
      <c r="K3762" s="33">
        <v>4500</v>
      </c>
      <c r="M3762" t="str">
        <f>_xlfn.XLOOKUP(Pipeline_tbl[[#This Row],[Rep_ID]],Dim_Reps!A:A,Dim_Reps!K:K)</f>
        <v>EUR</v>
      </c>
      <c r="N3762" s="33">
        <f>(_xlfn.XLOOKUP(Pipeline_tbl[[#This Row],[Rate_Code_Generalized]],Lookups!A:A,Lookups!B:B))*Pipeline_tbl[[#This Row],[Pipeline_Amount_USD]]</f>
        <v>4500</v>
      </c>
      <c r="O3762" t="str">
        <f>_xlfn.XLOOKUP(Pipeline_tbl[[#This Row],[Rep_ID]],Dim_Reps!A:A,Dim_Reps!B:B)</f>
        <v>Jamie Schmidt</v>
      </c>
      <c r="P3762" t="str">
        <f>_xlfn.XLOOKUP(Pipeline_tbl[[#This Row],[Rep_ID]],Dim_Reps!A:A,Dim_Reps!C:C)</f>
        <v>SDR / Inside Sales Rep</v>
      </c>
      <c r="Q3762" t="str">
        <f>_xlfn.XLOOKUP(Pipeline_tbl[[#This Row],[Rep_ID]],Dim_Reps!A:A,Dim_Reps!D:D)</f>
        <v>Inside Sales</v>
      </c>
      <c r="R3762" t="str">
        <f>_xlfn.XLOOKUP(Pipeline_tbl[[#This Row],[Rep_ID]],Dim_Reps!A:A,Dim_Reps!E:E)</f>
        <v>APAC</v>
      </c>
      <c r="S3762" t="str">
        <f>_xlfn.XLOOKUP(Pipeline_tbl[[#This Row],[Created_Date]],Dim_Date!A:A,Dim_Date!H:H)</f>
        <v>Jul 2025</v>
      </c>
      <c r="T3762" t="str">
        <f>IF(Pipeline_tbl[[#This Row],[Closed_Date]]=0,"",(_xlfn.XLOOKUP(Pipeline_tbl[[#This Row],[Closed_Date]],Dim_Date!A:A,Dim_Date!H:H)))</f>
        <v>Aug 2025</v>
      </c>
      <c r="U3762">
        <f>IF(Pipeline_tbl[[#This Row],[Closed_Date]]=0,"",Pipeline_tbl[[#This Row],[Closed_Date]]-Pipeline_tbl[[#This Row],[Created_Date]])</f>
        <v>25</v>
      </c>
    </row>
    <row r="3763" spans="1:21" ht="15" customHeight="1" x14ac:dyDescent="0.2">
      <c r="A3763" t="s">
        <v>4069</v>
      </c>
      <c r="B3763" t="s">
        <v>215</v>
      </c>
      <c r="C3763" t="s">
        <v>52</v>
      </c>
      <c r="D3763" s="49">
        <v>45858</v>
      </c>
      <c r="E3763" s="49">
        <v>45860</v>
      </c>
      <c r="F3763" s="49">
        <v>45863</v>
      </c>
      <c r="G3763" s="49">
        <v>45868</v>
      </c>
      <c r="I3763" s="49">
        <v>45874</v>
      </c>
      <c r="J3763" t="s">
        <v>49</v>
      </c>
      <c r="K3763" s="33">
        <v>7700</v>
      </c>
      <c r="L3763" t="s">
        <v>61</v>
      </c>
      <c r="M3763" t="str">
        <f>_xlfn.XLOOKUP(Pipeline_tbl[[#This Row],[Rep_ID]],Dim_Reps!A:A,Dim_Reps!K:K)</f>
        <v>EUR</v>
      </c>
      <c r="N3763" s="33">
        <f>(_xlfn.XLOOKUP(Pipeline_tbl[[#This Row],[Rate_Code_Generalized]],Lookups!A:A,Lookups!B:B))*Pipeline_tbl[[#This Row],[Pipeline_Amount_USD]]</f>
        <v>7700</v>
      </c>
      <c r="O3763" t="str">
        <f>_xlfn.XLOOKUP(Pipeline_tbl[[#This Row],[Rep_ID]],Dim_Reps!A:A,Dim_Reps!B:B)</f>
        <v>Jamie Schmidt</v>
      </c>
      <c r="P3763" t="str">
        <f>_xlfn.XLOOKUP(Pipeline_tbl[[#This Row],[Rep_ID]],Dim_Reps!A:A,Dim_Reps!C:C)</f>
        <v>SDR / Inside Sales Rep</v>
      </c>
      <c r="Q3763" t="str">
        <f>_xlfn.XLOOKUP(Pipeline_tbl[[#This Row],[Rep_ID]],Dim_Reps!A:A,Dim_Reps!D:D)</f>
        <v>Inside Sales</v>
      </c>
      <c r="R3763" t="str">
        <f>_xlfn.XLOOKUP(Pipeline_tbl[[#This Row],[Rep_ID]],Dim_Reps!A:A,Dim_Reps!E:E)</f>
        <v>APAC</v>
      </c>
      <c r="S3763" t="str">
        <f>_xlfn.XLOOKUP(Pipeline_tbl[[#This Row],[Created_Date]],Dim_Date!A:A,Dim_Date!H:H)</f>
        <v>Jul 2025</v>
      </c>
      <c r="T3763" t="str">
        <f>IF(Pipeline_tbl[[#This Row],[Closed_Date]]=0,"",(_xlfn.XLOOKUP(Pipeline_tbl[[#This Row],[Closed_Date]],Dim_Date!A:A,Dim_Date!H:H)))</f>
        <v>Aug 2025</v>
      </c>
      <c r="U3763">
        <f>IF(Pipeline_tbl[[#This Row],[Closed_Date]]=0,"",Pipeline_tbl[[#This Row],[Closed_Date]]-Pipeline_tbl[[#This Row],[Created_Date]])</f>
        <v>16</v>
      </c>
    </row>
    <row r="3764" spans="1:21" ht="15" customHeight="1" x14ac:dyDescent="0.2">
      <c r="A3764" t="s">
        <v>4070</v>
      </c>
      <c r="B3764" t="s">
        <v>217</v>
      </c>
      <c r="C3764" t="s">
        <v>54</v>
      </c>
      <c r="D3764" s="49">
        <v>45856</v>
      </c>
      <c r="E3764" s="49">
        <v>45858</v>
      </c>
      <c r="F3764" s="49">
        <v>45864</v>
      </c>
      <c r="G3764" s="49">
        <v>45871</v>
      </c>
      <c r="H3764" s="49">
        <v>45877</v>
      </c>
      <c r="I3764" s="49">
        <v>45881</v>
      </c>
      <c r="J3764" t="s">
        <v>49</v>
      </c>
      <c r="K3764" s="33">
        <v>5700</v>
      </c>
      <c r="L3764" t="s">
        <v>60</v>
      </c>
      <c r="M3764" t="str">
        <f>_xlfn.XLOOKUP(Pipeline_tbl[[#This Row],[Rep_ID]],Dim_Reps!A:A,Dim_Reps!K:K)</f>
        <v>USD</v>
      </c>
      <c r="N3764" s="33">
        <f>(_xlfn.XLOOKUP(Pipeline_tbl[[#This Row],[Rate_Code_Generalized]],Lookups!A:A,Lookups!B:B))*Pipeline_tbl[[#This Row],[Pipeline_Amount_USD]]</f>
        <v>6636.5099999999993</v>
      </c>
      <c r="O3764" t="str">
        <f>_xlfn.XLOOKUP(Pipeline_tbl[[#This Row],[Rep_ID]],Dim_Reps!A:A,Dim_Reps!B:B)</f>
        <v>Priya Weber</v>
      </c>
      <c r="P3764" t="str">
        <f>_xlfn.XLOOKUP(Pipeline_tbl[[#This Row],[Rep_ID]],Dim_Reps!A:A,Dim_Reps!C:C)</f>
        <v>SDR / Inside Sales Rep</v>
      </c>
      <c r="Q3764" t="str">
        <f>_xlfn.XLOOKUP(Pipeline_tbl[[#This Row],[Rep_ID]],Dim_Reps!A:A,Dim_Reps!D:D)</f>
        <v>Inside Sales</v>
      </c>
      <c r="R3764" t="str">
        <f>_xlfn.XLOOKUP(Pipeline_tbl[[#This Row],[Rep_ID]],Dim_Reps!A:A,Dim_Reps!E:E)</f>
        <v>NAMER</v>
      </c>
      <c r="S3764" t="str">
        <f>_xlfn.XLOOKUP(Pipeline_tbl[[#This Row],[Created_Date]],Dim_Date!A:A,Dim_Date!H:H)</f>
        <v>Jul 2025</v>
      </c>
      <c r="T3764" t="str">
        <f>IF(Pipeline_tbl[[#This Row],[Closed_Date]]=0,"",(_xlfn.XLOOKUP(Pipeline_tbl[[#This Row],[Closed_Date]],Dim_Date!A:A,Dim_Date!H:H)))</f>
        <v>Aug 2025</v>
      </c>
      <c r="U3764">
        <f>IF(Pipeline_tbl[[#This Row],[Closed_Date]]=0,"",Pipeline_tbl[[#This Row],[Closed_Date]]-Pipeline_tbl[[#This Row],[Created_Date]])</f>
        <v>25</v>
      </c>
    </row>
    <row r="3765" spans="1:21" ht="15" customHeight="1" x14ac:dyDescent="0.2">
      <c r="A3765" t="s">
        <v>4071</v>
      </c>
      <c r="B3765" t="s">
        <v>217</v>
      </c>
      <c r="C3765" t="s">
        <v>52</v>
      </c>
      <c r="D3765" s="49">
        <v>45856</v>
      </c>
      <c r="E3765" s="49">
        <v>45858</v>
      </c>
      <c r="F3765" s="49">
        <v>45861</v>
      </c>
      <c r="G3765" s="49">
        <v>45865</v>
      </c>
      <c r="H3765" s="49">
        <v>45869</v>
      </c>
      <c r="I3765" s="49">
        <v>45871</v>
      </c>
      <c r="J3765" t="s">
        <v>47</v>
      </c>
      <c r="K3765" s="33">
        <v>1900</v>
      </c>
      <c r="M3765" t="str">
        <f>_xlfn.XLOOKUP(Pipeline_tbl[[#This Row],[Rep_ID]],Dim_Reps!A:A,Dim_Reps!K:K)</f>
        <v>USD</v>
      </c>
      <c r="N3765" s="33">
        <f>(_xlfn.XLOOKUP(Pipeline_tbl[[#This Row],[Rate_Code_Generalized]],Lookups!A:A,Lookups!B:B))*Pipeline_tbl[[#This Row],[Pipeline_Amount_USD]]</f>
        <v>2212.1699999999996</v>
      </c>
      <c r="O3765" t="str">
        <f>_xlfn.XLOOKUP(Pipeline_tbl[[#This Row],[Rep_ID]],Dim_Reps!A:A,Dim_Reps!B:B)</f>
        <v>Priya Weber</v>
      </c>
      <c r="P3765" t="str">
        <f>_xlfn.XLOOKUP(Pipeline_tbl[[#This Row],[Rep_ID]],Dim_Reps!A:A,Dim_Reps!C:C)</f>
        <v>SDR / Inside Sales Rep</v>
      </c>
      <c r="Q3765" t="str">
        <f>_xlfn.XLOOKUP(Pipeline_tbl[[#This Row],[Rep_ID]],Dim_Reps!A:A,Dim_Reps!D:D)</f>
        <v>Inside Sales</v>
      </c>
      <c r="R3765" t="str">
        <f>_xlfn.XLOOKUP(Pipeline_tbl[[#This Row],[Rep_ID]],Dim_Reps!A:A,Dim_Reps!E:E)</f>
        <v>NAMER</v>
      </c>
      <c r="S3765" t="str">
        <f>_xlfn.XLOOKUP(Pipeline_tbl[[#This Row],[Created_Date]],Dim_Date!A:A,Dim_Date!H:H)</f>
        <v>Jul 2025</v>
      </c>
      <c r="T3765" t="str">
        <f>IF(Pipeline_tbl[[#This Row],[Closed_Date]]=0,"",(_xlfn.XLOOKUP(Pipeline_tbl[[#This Row],[Closed_Date]],Dim_Date!A:A,Dim_Date!H:H)))</f>
        <v>Aug 2025</v>
      </c>
      <c r="U3765">
        <f>IF(Pipeline_tbl[[#This Row],[Closed_Date]]=0,"",Pipeline_tbl[[#This Row],[Closed_Date]]-Pipeline_tbl[[#This Row],[Created_Date]])</f>
        <v>15</v>
      </c>
    </row>
    <row r="3766" spans="1:21" ht="15" customHeight="1" x14ac:dyDescent="0.2">
      <c r="A3766" t="s">
        <v>4072</v>
      </c>
      <c r="B3766" t="s">
        <v>217</v>
      </c>
      <c r="C3766" t="s">
        <v>55</v>
      </c>
      <c r="D3766" s="49">
        <v>45850</v>
      </c>
      <c r="E3766" s="49">
        <v>45853</v>
      </c>
      <c r="I3766" s="49">
        <v>45883</v>
      </c>
      <c r="J3766" t="s">
        <v>49</v>
      </c>
      <c r="K3766" s="33">
        <v>1700</v>
      </c>
      <c r="L3766" t="s">
        <v>64</v>
      </c>
      <c r="M3766" t="str">
        <f>_xlfn.XLOOKUP(Pipeline_tbl[[#This Row],[Rep_ID]],Dim_Reps!A:A,Dim_Reps!K:K)</f>
        <v>USD</v>
      </c>
      <c r="N3766" s="33">
        <f>(_xlfn.XLOOKUP(Pipeline_tbl[[#This Row],[Rate_Code_Generalized]],Lookups!A:A,Lookups!B:B))*Pipeline_tbl[[#This Row],[Pipeline_Amount_USD]]</f>
        <v>1979.3099999999997</v>
      </c>
      <c r="O3766" t="str">
        <f>_xlfn.XLOOKUP(Pipeline_tbl[[#This Row],[Rep_ID]],Dim_Reps!A:A,Dim_Reps!B:B)</f>
        <v>Priya Weber</v>
      </c>
      <c r="P3766" t="str">
        <f>_xlfn.XLOOKUP(Pipeline_tbl[[#This Row],[Rep_ID]],Dim_Reps!A:A,Dim_Reps!C:C)</f>
        <v>SDR / Inside Sales Rep</v>
      </c>
      <c r="Q3766" t="str">
        <f>_xlfn.XLOOKUP(Pipeline_tbl[[#This Row],[Rep_ID]],Dim_Reps!A:A,Dim_Reps!D:D)</f>
        <v>Inside Sales</v>
      </c>
      <c r="R3766" t="str">
        <f>_xlfn.XLOOKUP(Pipeline_tbl[[#This Row],[Rep_ID]],Dim_Reps!A:A,Dim_Reps!E:E)</f>
        <v>NAMER</v>
      </c>
      <c r="S3766" t="str">
        <f>_xlfn.XLOOKUP(Pipeline_tbl[[#This Row],[Created_Date]],Dim_Date!A:A,Dim_Date!H:H)</f>
        <v>Jul 2025</v>
      </c>
      <c r="T3766" t="str">
        <f>IF(Pipeline_tbl[[#This Row],[Closed_Date]]=0,"",(_xlfn.XLOOKUP(Pipeline_tbl[[#This Row],[Closed_Date]],Dim_Date!A:A,Dim_Date!H:H)))</f>
        <v>Aug 2025</v>
      </c>
      <c r="U3766">
        <f>IF(Pipeline_tbl[[#This Row],[Closed_Date]]=0,"",Pipeline_tbl[[#This Row],[Closed_Date]]-Pipeline_tbl[[#This Row],[Created_Date]])</f>
        <v>33</v>
      </c>
    </row>
    <row r="3767" spans="1:21" ht="15" customHeight="1" x14ac:dyDescent="0.2">
      <c r="A3767" t="s">
        <v>4073</v>
      </c>
      <c r="B3767" t="s">
        <v>217</v>
      </c>
      <c r="C3767" t="s">
        <v>55</v>
      </c>
      <c r="D3767" s="49">
        <v>45860</v>
      </c>
      <c r="E3767" s="49">
        <v>45862</v>
      </c>
      <c r="F3767" s="49">
        <v>45866</v>
      </c>
      <c r="G3767" s="49">
        <v>45871</v>
      </c>
      <c r="H3767" s="49">
        <v>45876</v>
      </c>
      <c r="I3767" s="49">
        <v>45879</v>
      </c>
      <c r="J3767" t="s">
        <v>47</v>
      </c>
      <c r="K3767" s="33">
        <v>2100</v>
      </c>
      <c r="M3767" t="str">
        <f>_xlfn.XLOOKUP(Pipeline_tbl[[#This Row],[Rep_ID]],Dim_Reps!A:A,Dim_Reps!K:K)</f>
        <v>USD</v>
      </c>
      <c r="N3767" s="33">
        <f>(_xlfn.XLOOKUP(Pipeline_tbl[[#This Row],[Rate_Code_Generalized]],Lookups!A:A,Lookups!B:B))*Pipeline_tbl[[#This Row],[Pipeline_Amount_USD]]</f>
        <v>2445.0299999999997</v>
      </c>
      <c r="O3767" t="str">
        <f>_xlfn.XLOOKUP(Pipeline_tbl[[#This Row],[Rep_ID]],Dim_Reps!A:A,Dim_Reps!B:B)</f>
        <v>Priya Weber</v>
      </c>
      <c r="P3767" t="str">
        <f>_xlfn.XLOOKUP(Pipeline_tbl[[#This Row],[Rep_ID]],Dim_Reps!A:A,Dim_Reps!C:C)</f>
        <v>SDR / Inside Sales Rep</v>
      </c>
      <c r="Q3767" t="str">
        <f>_xlfn.XLOOKUP(Pipeline_tbl[[#This Row],[Rep_ID]],Dim_Reps!A:A,Dim_Reps!D:D)</f>
        <v>Inside Sales</v>
      </c>
      <c r="R3767" t="str">
        <f>_xlfn.XLOOKUP(Pipeline_tbl[[#This Row],[Rep_ID]],Dim_Reps!A:A,Dim_Reps!E:E)</f>
        <v>NAMER</v>
      </c>
      <c r="S3767" t="str">
        <f>_xlfn.XLOOKUP(Pipeline_tbl[[#This Row],[Created_Date]],Dim_Date!A:A,Dim_Date!H:H)</f>
        <v>Jul 2025</v>
      </c>
      <c r="T3767" t="str">
        <f>IF(Pipeline_tbl[[#This Row],[Closed_Date]]=0,"",(_xlfn.XLOOKUP(Pipeline_tbl[[#This Row],[Closed_Date]],Dim_Date!A:A,Dim_Date!H:H)))</f>
        <v>Aug 2025</v>
      </c>
      <c r="U3767">
        <f>IF(Pipeline_tbl[[#This Row],[Closed_Date]]=0,"",Pipeline_tbl[[#This Row],[Closed_Date]]-Pipeline_tbl[[#This Row],[Created_Date]])</f>
        <v>19</v>
      </c>
    </row>
    <row r="3768" spans="1:21" ht="15" customHeight="1" x14ac:dyDescent="0.2">
      <c r="A3768" t="s">
        <v>4074</v>
      </c>
      <c r="B3768" t="s">
        <v>217</v>
      </c>
      <c r="C3768" t="s">
        <v>53</v>
      </c>
      <c r="D3768" s="49">
        <v>45863</v>
      </c>
      <c r="E3768" s="49">
        <v>45865</v>
      </c>
      <c r="F3768" s="49">
        <v>45870</v>
      </c>
      <c r="G3768" s="49">
        <v>45876</v>
      </c>
      <c r="I3768" s="49">
        <v>45885</v>
      </c>
      <c r="J3768" t="s">
        <v>49</v>
      </c>
      <c r="K3768" s="33">
        <v>2200</v>
      </c>
      <c r="L3768" t="s">
        <v>62</v>
      </c>
      <c r="M3768" t="str">
        <f>_xlfn.XLOOKUP(Pipeline_tbl[[#This Row],[Rep_ID]],Dim_Reps!A:A,Dim_Reps!K:K)</f>
        <v>USD</v>
      </c>
      <c r="N3768" s="33">
        <f>(_xlfn.XLOOKUP(Pipeline_tbl[[#This Row],[Rate_Code_Generalized]],Lookups!A:A,Lookups!B:B))*Pipeline_tbl[[#This Row],[Pipeline_Amount_USD]]</f>
        <v>2561.4599999999996</v>
      </c>
      <c r="O3768" t="str">
        <f>_xlfn.XLOOKUP(Pipeline_tbl[[#This Row],[Rep_ID]],Dim_Reps!A:A,Dim_Reps!B:B)</f>
        <v>Priya Weber</v>
      </c>
      <c r="P3768" t="str">
        <f>_xlfn.XLOOKUP(Pipeline_tbl[[#This Row],[Rep_ID]],Dim_Reps!A:A,Dim_Reps!C:C)</f>
        <v>SDR / Inside Sales Rep</v>
      </c>
      <c r="Q3768" t="str">
        <f>_xlfn.XLOOKUP(Pipeline_tbl[[#This Row],[Rep_ID]],Dim_Reps!A:A,Dim_Reps!D:D)</f>
        <v>Inside Sales</v>
      </c>
      <c r="R3768" t="str">
        <f>_xlfn.XLOOKUP(Pipeline_tbl[[#This Row],[Rep_ID]],Dim_Reps!A:A,Dim_Reps!E:E)</f>
        <v>NAMER</v>
      </c>
      <c r="S3768" t="str">
        <f>_xlfn.XLOOKUP(Pipeline_tbl[[#This Row],[Created_Date]],Dim_Date!A:A,Dim_Date!H:H)</f>
        <v>Jul 2025</v>
      </c>
      <c r="T3768" t="str">
        <f>IF(Pipeline_tbl[[#This Row],[Closed_Date]]=0,"",(_xlfn.XLOOKUP(Pipeline_tbl[[#This Row],[Closed_Date]],Dim_Date!A:A,Dim_Date!H:H)))</f>
        <v>Aug 2025</v>
      </c>
      <c r="U3768">
        <f>IF(Pipeline_tbl[[#This Row],[Closed_Date]]=0,"",Pipeline_tbl[[#This Row],[Closed_Date]]-Pipeline_tbl[[#This Row],[Created_Date]])</f>
        <v>22</v>
      </c>
    </row>
    <row r="3769" spans="1:21" ht="15" customHeight="1" x14ac:dyDescent="0.2">
      <c r="A3769" t="s">
        <v>4075</v>
      </c>
      <c r="B3769" t="s">
        <v>217</v>
      </c>
      <c r="C3769" t="s">
        <v>55</v>
      </c>
      <c r="D3769" s="49">
        <v>45866</v>
      </c>
      <c r="E3769" s="49">
        <v>45868</v>
      </c>
      <c r="I3769" s="49">
        <v>45889</v>
      </c>
      <c r="J3769" t="s">
        <v>49</v>
      </c>
      <c r="K3769" s="33">
        <v>3400</v>
      </c>
      <c r="L3769" t="s">
        <v>60</v>
      </c>
      <c r="M3769" t="str">
        <f>_xlfn.XLOOKUP(Pipeline_tbl[[#This Row],[Rep_ID]],Dim_Reps!A:A,Dim_Reps!K:K)</f>
        <v>USD</v>
      </c>
      <c r="N3769" s="33">
        <f>(_xlfn.XLOOKUP(Pipeline_tbl[[#This Row],[Rate_Code_Generalized]],Lookups!A:A,Lookups!B:B))*Pipeline_tbl[[#This Row],[Pipeline_Amount_USD]]</f>
        <v>3958.6199999999994</v>
      </c>
      <c r="O3769" t="str">
        <f>_xlfn.XLOOKUP(Pipeline_tbl[[#This Row],[Rep_ID]],Dim_Reps!A:A,Dim_Reps!B:B)</f>
        <v>Priya Weber</v>
      </c>
      <c r="P3769" t="str">
        <f>_xlfn.XLOOKUP(Pipeline_tbl[[#This Row],[Rep_ID]],Dim_Reps!A:A,Dim_Reps!C:C)</f>
        <v>SDR / Inside Sales Rep</v>
      </c>
      <c r="Q3769" t="str">
        <f>_xlfn.XLOOKUP(Pipeline_tbl[[#This Row],[Rep_ID]],Dim_Reps!A:A,Dim_Reps!D:D)</f>
        <v>Inside Sales</v>
      </c>
      <c r="R3769" t="str">
        <f>_xlfn.XLOOKUP(Pipeline_tbl[[#This Row],[Rep_ID]],Dim_Reps!A:A,Dim_Reps!E:E)</f>
        <v>NAMER</v>
      </c>
      <c r="S3769" t="str">
        <f>_xlfn.XLOOKUP(Pipeline_tbl[[#This Row],[Created_Date]],Dim_Date!A:A,Dim_Date!H:H)</f>
        <v>Jul 2025</v>
      </c>
      <c r="T3769" t="str">
        <f>IF(Pipeline_tbl[[#This Row],[Closed_Date]]=0,"",(_xlfn.XLOOKUP(Pipeline_tbl[[#This Row],[Closed_Date]],Dim_Date!A:A,Dim_Date!H:H)))</f>
        <v>Aug 2025</v>
      </c>
      <c r="U3769">
        <f>IF(Pipeline_tbl[[#This Row],[Closed_Date]]=0,"",Pipeline_tbl[[#This Row],[Closed_Date]]-Pipeline_tbl[[#This Row],[Created_Date]])</f>
        <v>23</v>
      </c>
    </row>
    <row r="3770" spans="1:21" ht="15" customHeight="1" x14ac:dyDescent="0.2">
      <c r="A3770" t="s">
        <v>4076</v>
      </c>
      <c r="B3770" t="s">
        <v>217</v>
      </c>
      <c r="C3770" t="s">
        <v>52</v>
      </c>
      <c r="D3770" s="49">
        <v>45862</v>
      </c>
      <c r="E3770" s="49">
        <v>45864</v>
      </c>
      <c r="F3770" s="49">
        <v>45870</v>
      </c>
      <c r="I3770" s="49">
        <v>45887</v>
      </c>
      <c r="J3770" t="s">
        <v>49</v>
      </c>
      <c r="K3770" s="33">
        <v>7400</v>
      </c>
      <c r="L3770" t="s">
        <v>60</v>
      </c>
      <c r="M3770" t="str">
        <f>_xlfn.XLOOKUP(Pipeline_tbl[[#This Row],[Rep_ID]],Dim_Reps!A:A,Dim_Reps!K:K)</f>
        <v>USD</v>
      </c>
      <c r="N3770" s="33">
        <f>(_xlfn.XLOOKUP(Pipeline_tbl[[#This Row],[Rate_Code_Generalized]],Lookups!A:A,Lookups!B:B))*Pipeline_tbl[[#This Row],[Pipeline_Amount_USD]]</f>
        <v>8615.82</v>
      </c>
      <c r="O3770" t="str">
        <f>_xlfn.XLOOKUP(Pipeline_tbl[[#This Row],[Rep_ID]],Dim_Reps!A:A,Dim_Reps!B:B)</f>
        <v>Priya Weber</v>
      </c>
      <c r="P3770" t="str">
        <f>_xlfn.XLOOKUP(Pipeline_tbl[[#This Row],[Rep_ID]],Dim_Reps!A:A,Dim_Reps!C:C)</f>
        <v>SDR / Inside Sales Rep</v>
      </c>
      <c r="Q3770" t="str">
        <f>_xlfn.XLOOKUP(Pipeline_tbl[[#This Row],[Rep_ID]],Dim_Reps!A:A,Dim_Reps!D:D)</f>
        <v>Inside Sales</v>
      </c>
      <c r="R3770" t="str">
        <f>_xlfn.XLOOKUP(Pipeline_tbl[[#This Row],[Rep_ID]],Dim_Reps!A:A,Dim_Reps!E:E)</f>
        <v>NAMER</v>
      </c>
      <c r="S3770" t="str">
        <f>_xlfn.XLOOKUP(Pipeline_tbl[[#This Row],[Created_Date]],Dim_Date!A:A,Dim_Date!H:H)</f>
        <v>Jul 2025</v>
      </c>
      <c r="T3770" t="str">
        <f>IF(Pipeline_tbl[[#This Row],[Closed_Date]]=0,"",(_xlfn.XLOOKUP(Pipeline_tbl[[#This Row],[Closed_Date]],Dim_Date!A:A,Dim_Date!H:H)))</f>
        <v>Aug 2025</v>
      </c>
      <c r="U3770">
        <f>IF(Pipeline_tbl[[#This Row],[Closed_Date]]=0,"",Pipeline_tbl[[#This Row],[Closed_Date]]-Pipeline_tbl[[#This Row],[Created_Date]])</f>
        <v>25</v>
      </c>
    </row>
    <row r="3771" spans="1:21" ht="15" customHeight="1" x14ac:dyDescent="0.2">
      <c r="A3771" t="s">
        <v>4077</v>
      </c>
      <c r="B3771" t="s">
        <v>217</v>
      </c>
      <c r="C3771" t="s">
        <v>55</v>
      </c>
      <c r="D3771" s="49">
        <v>45860</v>
      </c>
      <c r="E3771" s="49">
        <v>45862</v>
      </c>
      <c r="F3771" s="49">
        <v>45867</v>
      </c>
      <c r="I3771" s="49">
        <v>45882</v>
      </c>
      <c r="J3771" t="s">
        <v>49</v>
      </c>
      <c r="K3771" s="33">
        <v>4200</v>
      </c>
      <c r="L3771" t="s">
        <v>62</v>
      </c>
      <c r="M3771" t="str">
        <f>_xlfn.XLOOKUP(Pipeline_tbl[[#This Row],[Rep_ID]],Dim_Reps!A:A,Dim_Reps!K:K)</f>
        <v>USD</v>
      </c>
      <c r="N3771" s="33">
        <f>(_xlfn.XLOOKUP(Pipeline_tbl[[#This Row],[Rate_Code_Generalized]],Lookups!A:A,Lookups!B:B))*Pipeline_tbl[[#This Row],[Pipeline_Amount_USD]]</f>
        <v>4890.0599999999995</v>
      </c>
      <c r="O3771" t="str">
        <f>_xlfn.XLOOKUP(Pipeline_tbl[[#This Row],[Rep_ID]],Dim_Reps!A:A,Dim_Reps!B:B)</f>
        <v>Priya Weber</v>
      </c>
      <c r="P3771" t="str">
        <f>_xlfn.XLOOKUP(Pipeline_tbl[[#This Row],[Rep_ID]],Dim_Reps!A:A,Dim_Reps!C:C)</f>
        <v>SDR / Inside Sales Rep</v>
      </c>
      <c r="Q3771" t="str">
        <f>_xlfn.XLOOKUP(Pipeline_tbl[[#This Row],[Rep_ID]],Dim_Reps!A:A,Dim_Reps!D:D)</f>
        <v>Inside Sales</v>
      </c>
      <c r="R3771" t="str">
        <f>_xlfn.XLOOKUP(Pipeline_tbl[[#This Row],[Rep_ID]],Dim_Reps!A:A,Dim_Reps!E:E)</f>
        <v>NAMER</v>
      </c>
      <c r="S3771" t="str">
        <f>_xlfn.XLOOKUP(Pipeline_tbl[[#This Row],[Created_Date]],Dim_Date!A:A,Dim_Date!H:H)</f>
        <v>Jul 2025</v>
      </c>
      <c r="T3771" t="str">
        <f>IF(Pipeline_tbl[[#This Row],[Closed_Date]]=0,"",(_xlfn.XLOOKUP(Pipeline_tbl[[#This Row],[Closed_Date]],Dim_Date!A:A,Dim_Date!H:H)))</f>
        <v>Aug 2025</v>
      </c>
      <c r="U3771">
        <f>IF(Pipeline_tbl[[#This Row],[Closed_Date]]=0,"",Pipeline_tbl[[#This Row],[Closed_Date]]-Pipeline_tbl[[#This Row],[Created_Date]])</f>
        <v>22</v>
      </c>
    </row>
    <row r="3772" spans="1:21" ht="15" customHeight="1" x14ac:dyDescent="0.2">
      <c r="A3772" t="s">
        <v>4078</v>
      </c>
      <c r="B3772" t="s">
        <v>188</v>
      </c>
      <c r="C3772" t="s">
        <v>56</v>
      </c>
      <c r="D3772" s="49">
        <v>45839</v>
      </c>
      <c r="E3772" s="49">
        <v>45844</v>
      </c>
      <c r="F3772" s="49">
        <v>45855</v>
      </c>
      <c r="G3772" s="49">
        <v>45871</v>
      </c>
      <c r="H3772" s="49">
        <v>45885</v>
      </c>
      <c r="I3772" s="49">
        <v>45893</v>
      </c>
      <c r="J3772" t="s">
        <v>47</v>
      </c>
      <c r="K3772" s="33">
        <v>32500</v>
      </c>
      <c r="M3772" t="str">
        <f>_xlfn.XLOOKUP(Pipeline_tbl[[#This Row],[Rep_ID]],Dim_Reps!A:A,Dim_Reps!K:K)</f>
        <v>EUR</v>
      </c>
      <c r="N3772" s="33">
        <f>(_xlfn.XLOOKUP(Pipeline_tbl[[#This Row],[Rate_Code_Generalized]],Lookups!A:A,Lookups!B:B))*Pipeline_tbl[[#This Row],[Pipeline_Amount_USD]]</f>
        <v>32500</v>
      </c>
      <c r="O3772" t="str">
        <f>_xlfn.XLOOKUP(Pipeline_tbl[[#This Row],[Rep_ID]],Dim_Reps!A:A,Dim_Reps!B:B)</f>
        <v>Jamie Santos</v>
      </c>
      <c r="P3772" t="str">
        <f>_xlfn.XLOOKUP(Pipeline_tbl[[#This Row],[Rep_ID]],Dim_Reps!A:A,Dim_Reps!C:C)</f>
        <v>Enterprise AE</v>
      </c>
      <c r="Q3772" t="str">
        <f>_xlfn.XLOOKUP(Pipeline_tbl[[#This Row],[Rep_ID]],Dim_Reps!A:A,Dim_Reps!D:D)</f>
        <v>Enterprise</v>
      </c>
      <c r="R3772" t="str">
        <f>_xlfn.XLOOKUP(Pipeline_tbl[[#This Row],[Rep_ID]],Dim_Reps!A:A,Dim_Reps!E:E)</f>
        <v>APAC</v>
      </c>
      <c r="S3772" t="str">
        <f>_xlfn.XLOOKUP(Pipeline_tbl[[#This Row],[Created_Date]],Dim_Date!A:A,Dim_Date!H:H)</f>
        <v>Jul 2025</v>
      </c>
      <c r="T3772" t="str">
        <f>IF(Pipeline_tbl[[#This Row],[Closed_Date]]=0,"",(_xlfn.XLOOKUP(Pipeline_tbl[[#This Row],[Closed_Date]],Dim_Date!A:A,Dim_Date!H:H)))</f>
        <v>Aug 2025</v>
      </c>
      <c r="U3772">
        <f>IF(Pipeline_tbl[[#This Row],[Closed_Date]]=0,"",Pipeline_tbl[[#This Row],[Closed_Date]]-Pipeline_tbl[[#This Row],[Created_Date]])</f>
        <v>54</v>
      </c>
    </row>
    <row r="3773" spans="1:21" ht="15" customHeight="1" x14ac:dyDescent="0.2">
      <c r="A3773" t="s">
        <v>4079</v>
      </c>
      <c r="B3773" t="s">
        <v>188</v>
      </c>
      <c r="C3773" t="s">
        <v>53</v>
      </c>
      <c r="D3773" s="49">
        <v>45847</v>
      </c>
      <c r="E3773" s="49">
        <v>45851</v>
      </c>
      <c r="F3773" s="49">
        <v>45859</v>
      </c>
      <c r="G3773" s="49">
        <v>45872</v>
      </c>
      <c r="I3773" s="49">
        <v>45888</v>
      </c>
      <c r="J3773" t="s">
        <v>49</v>
      </c>
      <c r="K3773" s="33">
        <v>96400</v>
      </c>
      <c r="L3773" t="s">
        <v>64</v>
      </c>
      <c r="M3773" t="str">
        <f>_xlfn.XLOOKUP(Pipeline_tbl[[#This Row],[Rep_ID]],Dim_Reps!A:A,Dim_Reps!K:K)</f>
        <v>EUR</v>
      </c>
      <c r="N3773" s="33">
        <f>(_xlfn.XLOOKUP(Pipeline_tbl[[#This Row],[Rate_Code_Generalized]],Lookups!A:A,Lookups!B:B))*Pipeline_tbl[[#This Row],[Pipeline_Amount_USD]]</f>
        <v>96400</v>
      </c>
      <c r="O3773" t="str">
        <f>_xlfn.XLOOKUP(Pipeline_tbl[[#This Row],[Rep_ID]],Dim_Reps!A:A,Dim_Reps!B:B)</f>
        <v>Jamie Santos</v>
      </c>
      <c r="P3773" t="str">
        <f>_xlfn.XLOOKUP(Pipeline_tbl[[#This Row],[Rep_ID]],Dim_Reps!A:A,Dim_Reps!C:C)</f>
        <v>Enterprise AE</v>
      </c>
      <c r="Q3773" t="str">
        <f>_xlfn.XLOOKUP(Pipeline_tbl[[#This Row],[Rep_ID]],Dim_Reps!A:A,Dim_Reps!D:D)</f>
        <v>Enterprise</v>
      </c>
      <c r="R3773" t="str">
        <f>_xlfn.XLOOKUP(Pipeline_tbl[[#This Row],[Rep_ID]],Dim_Reps!A:A,Dim_Reps!E:E)</f>
        <v>APAC</v>
      </c>
      <c r="S3773" t="str">
        <f>_xlfn.XLOOKUP(Pipeline_tbl[[#This Row],[Created_Date]],Dim_Date!A:A,Dim_Date!H:H)</f>
        <v>Jul 2025</v>
      </c>
      <c r="T3773" t="str">
        <f>IF(Pipeline_tbl[[#This Row],[Closed_Date]]=0,"",(_xlfn.XLOOKUP(Pipeline_tbl[[#This Row],[Closed_Date]],Dim_Date!A:A,Dim_Date!H:H)))</f>
        <v>Aug 2025</v>
      </c>
      <c r="U3773">
        <f>IF(Pipeline_tbl[[#This Row],[Closed_Date]]=0,"",Pipeline_tbl[[#This Row],[Closed_Date]]-Pipeline_tbl[[#This Row],[Created_Date]])</f>
        <v>41</v>
      </c>
    </row>
    <row r="3774" spans="1:21" ht="15" customHeight="1" x14ac:dyDescent="0.2">
      <c r="A3774" t="s">
        <v>4080</v>
      </c>
      <c r="B3774" t="s">
        <v>188</v>
      </c>
      <c r="C3774" t="s">
        <v>55</v>
      </c>
      <c r="D3774" s="49">
        <v>45859</v>
      </c>
      <c r="E3774" s="49">
        <v>45862</v>
      </c>
      <c r="F3774" s="49">
        <v>45867</v>
      </c>
      <c r="I3774" s="49">
        <v>45886</v>
      </c>
      <c r="J3774" t="s">
        <v>49</v>
      </c>
      <c r="K3774" s="33">
        <v>24000</v>
      </c>
      <c r="L3774" t="s">
        <v>60</v>
      </c>
      <c r="M3774" t="str">
        <f>_xlfn.XLOOKUP(Pipeline_tbl[[#This Row],[Rep_ID]],Dim_Reps!A:A,Dim_Reps!K:K)</f>
        <v>EUR</v>
      </c>
      <c r="N3774" s="33">
        <f>(_xlfn.XLOOKUP(Pipeline_tbl[[#This Row],[Rate_Code_Generalized]],Lookups!A:A,Lookups!B:B))*Pipeline_tbl[[#This Row],[Pipeline_Amount_USD]]</f>
        <v>24000</v>
      </c>
      <c r="O3774" t="str">
        <f>_xlfn.XLOOKUP(Pipeline_tbl[[#This Row],[Rep_ID]],Dim_Reps!A:A,Dim_Reps!B:B)</f>
        <v>Jamie Santos</v>
      </c>
      <c r="P3774" t="str">
        <f>_xlfn.XLOOKUP(Pipeline_tbl[[#This Row],[Rep_ID]],Dim_Reps!A:A,Dim_Reps!C:C)</f>
        <v>Enterprise AE</v>
      </c>
      <c r="Q3774" t="str">
        <f>_xlfn.XLOOKUP(Pipeline_tbl[[#This Row],[Rep_ID]],Dim_Reps!A:A,Dim_Reps!D:D)</f>
        <v>Enterprise</v>
      </c>
      <c r="R3774" t="str">
        <f>_xlfn.XLOOKUP(Pipeline_tbl[[#This Row],[Rep_ID]],Dim_Reps!A:A,Dim_Reps!E:E)</f>
        <v>APAC</v>
      </c>
      <c r="S3774" t="str">
        <f>_xlfn.XLOOKUP(Pipeline_tbl[[#This Row],[Created_Date]],Dim_Date!A:A,Dim_Date!H:H)</f>
        <v>Jul 2025</v>
      </c>
      <c r="T3774" t="str">
        <f>IF(Pipeline_tbl[[#This Row],[Closed_Date]]=0,"",(_xlfn.XLOOKUP(Pipeline_tbl[[#This Row],[Closed_Date]],Dim_Date!A:A,Dim_Date!H:H)))</f>
        <v>Aug 2025</v>
      </c>
      <c r="U3774">
        <f>IF(Pipeline_tbl[[#This Row],[Closed_Date]]=0,"",Pipeline_tbl[[#This Row],[Closed_Date]]-Pipeline_tbl[[#This Row],[Created_Date]])</f>
        <v>27</v>
      </c>
    </row>
    <row r="3775" spans="1:21" ht="15" customHeight="1" x14ac:dyDescent="0.2">
      <c r="A3775" t="s">
        <v>4081</v>
      </c>
      <c r="B3775" t="s">
        <v>221</v>
      </c>
      <c r="C3775" t="s">
        <v>55</v>
      </c>
      <c r="D3775" s="49">
        <v>45858</v>
      </c>
      <c r="E3775" s="49">
        <v>45860</v>
      </c>
      <c r="F3775" s="49">
        <v>45863</v>
      </c>
      <c r="I3775" s="49">
        <v>45874</v>
      </c>
      <c r="J3775" t="s">
        <v>49</v>
      </c>
      <c r="K3775" s="33">
        <v>4800</v>
      </c>
      <c r="L3775" t="s">
        <v>61</v>
      </c>
      <c r="M3775" t="str">
        <f>_xlfn.XLOOKUP(Pipeline_tbl[[#This Row],[Rep_ID]],Dim_Reps!A:A,Dim_Reps!K:K)</f>
        <v>MXN</v>
      </c>
      <c r="N3775" s="33">
        <f>(_xlfn.XLOOKUP(Pipeline_tbl[[#This Row],[Rate_Code_Generalized]],Lookups!A:A,Lookups!B:B))*Pipeline_tbl[[#This Row],[Pipeline_Amount_USD]]</f>
        <v>94716.96</v>
      </c>
      <c r="O3775" t="str">
        <f>_xlfn.XLOOKUP(Pipeline_tbl[[#This Row],[Rep_ID]],Dim_Reps!A:A,Dim_Reps!B:B)</f>
        <v>Casey Muller</v>
      </c>
      <c r="P3775" t="str">
        <f>_xlfn.XLOOKUP(Pipeline_tbl[[#This Row],[Rep_ID]],Dim_Reps!A:A,Dim_Reps!C:C)</f>
        <v>SDR / Inside Sales Rep</v>
      </c>
      <c r="Q3775" t="str">
        <f>_xlfn.XLOOKUP(Pipeline_tbl[[#This Row],[Rep_ID]],Dim_Reps!A:A,Dim_Reps!D:D)</f>
        <v>Inside Sales</v>
      </c>
      <c r="R3775" t="str">
        <f>_xlfn.XLOOKUP(Pipeline_tbl[[#This Row],[Rep_ID]],Dim_Reps!A:A,Dim_Reps!E:E)</f>
        <v>LATAM</v>
      </c>
      <c r="S3775" t="str">
        <f>_xlfn.XLOOKUP(Pipeline_tbl[[#This Row],[Created_Date]],Dim_Date!A:A,Dim_Date!H:H)</f>
        <v>Jul 2025</v>
      </c>
      <c r="T3775" t="str">
        <f>IF(Pipeline_tbl[[#This Row],[Closed_Date]]=0,"",(_xlfn.XLOOKUP(Pipeline_tbl[[#This Row],[Closed_Date]],Dim_Date!A:A,Dim_Date!H:H)))</f>
        <v>Aug 2025</v>
      </c>
      <c r="U3775">
        <f>IF(Pipeline_tbl[[#This Row],[Closed_Date]]=0,"",Pipeline_tbl[[#This Row],[Closed_Date]]-Pipeline_tbl[[#This Row],[Created_Date]])</f>
        <v>16</v>
      </c>
    </row>
    <row r="3776" spans="1:21" ht="15" customHeight="1" x14ac:dyDescent="0.2">
      <c r="A3776" t="s">
        <v>4082</v>
      </c>
      <c r="B3776" t="s">
        <v>221</v>
      </c>
      <c r="C3776" t="s">
        <v>54</v>
      </c>
      <c r="D3776" s="49">
        <v>45863</v>
      </c>
      <c r="E3776" s="49">
        <v>45865</v>
      </c>
      <c r="F3776" s="49">
        <v>45869</v>
      </c>
      <c r="G3776" s="49">
        <v>45874</v>
      </c>
      <c r="H3776" s="49">
        <v>45879</v>
      </c>
      <c r="I3776" s="49">
        <v>45882</v>
      </c>
      <c r="J3776" t="s">
        <v>47</v>
      </c>
      <c r="K3776" s="33">
        <v>3200</v>
      </c>
      <c r="M3776" t="str">
        <f>_xlfn.XLOOKUP(Pipeline_tbl[[#This Row],[Rep_ID]],Dim_Reps!A:A,Dim_Reps!K:K)</f>
        <v>MXN</v>
      </c>
      <c r="N3776" s="33">
        <f>(_xlfn.XLOOKUP(Pipeline_tbl[[#This Row],[Rate_Code_Generalized]],Lookups!A:A,Lookups!B:B))*Pipeline_tbl[[#This Row],[Pipeline_Amount_USD]]</f>
        <v>63144.640000000007</v>
      </c>
      <c r="O3776" t="str">
        <f>_xlfn.XLOOKUP(Pipeline_tbl[[#This Row],[Rep_ID]],Dim_Reps!A:A,Dim_Reps!B:B)</f>
        <v>Casey Muller</v>
      </c>
      <c r="P3776" t="str">
        <f>_xlfn.XLOOKUP(Pipeline_tbl[[#This Row],[Rep_ID]],Dim_Reps!A:A,Dim_Reps!C:C)</f>
        <v>SDR / Inside Sales Rep</v>
      </c>
      <c r="Q3776" t="str">
        <f>_xlfn.XLOOKUP(Pipeline_tbl[[#This Row],[Rep_ID]],Dim_Reps!A:A,Dim_Reps!D:D)</f>
        <v>Inside Sales</v>
      </c>
      <c r="R3776" t="str">
        <f>_xlfn.XLOOKUP(Pipeline_tbl[[#This Row],[Rep_ID]],Dim_Reps!A:A,Dim_Reps!E:E)</f>
        <v>LATAM</v>
      </c>
      <c r="S3776" t="str">
        <f>_xlfn.XLOOKUP(Pipeline_tbl[[#This Row],[Created_Date]],Dim_Date!A:A,Dim_Date!H:H)</f>
        <v>Jul 2025</v>
      </c>
      <c r="T3776" t="str">
        <f>IF(Pipeline_tbl[[#This Row],[Closed_Date]]=0,"",(_xlfn.XLOOKUP(Pipeline_tbl[[#This Row],[Closed_Date]],Dim_Date!A:A,Dim_Date!H:H)))</f>
        <v>Aug 2025</v>
      </c>
      <c r="U3776">
        <f>IF(Pipeline_tbl[[#This Row],[Closed_Date]]=0,"",Pipeline_tbl[[#This Row],[Closed_Date]]-Pipeline_tbl[[#This Row],[Created_Date]])</f>
        <v>19</v>
      </c>
    </row>
    <row r="3777" spans="1:21" ht="15" customHeight="1" x14ac:dyDescent="0.2">
      <c r="A3777" t="s">
        <v>4083</v>
      </c>
      <c r="B3777" t="s">
        <v>257</v>
      </c>
      <c r="C3777" t="s">
        <v>53</v>
      </c>
      <c r="D3777" s="49">
        <v>45848</v>
      </c>
      <c r="E3777" s="49">
        <v>45852</v>
      </c>
      <c r="F3777" s="49">
        <v>45859</v>
      </c>
      <c r="G3777" s="49">
        <v>45870</v>
      </c>
      <c r="H3777" s="49">
        <v>45879</v>
      </c>
      <c r="I3777" s="49">
        <v>45885</v>
      </c>
      <c r="J3777" t="s">
        <v>49</v>
      </c>
      <c r="K3777" s="33">
        <v>14000</v>
      </c>
      <c r="L3777" t="s">
        <v>63</v>
      </c>
      <c r="M3777" t="str">
        <f>_xlfn.XLOOKUP(Pipeline_tbl[[#This Row],[Rep_ID]],Dim_Reps!A:A,Dim_Reps!K:K)</f>
        <v>EUR</v>
      </c>
      <c r="N3777" s="33">
        <f>(_xlfn.XLOOKUP(Pipeline_tbl[[#This Row],[Rate_Code_Generalized]],Lookups!A:A,Lookups!B:B))*Pipeline_tbl[[#This Row],[Pipeline_Amount_USD]]</f>
        <v>14000</v>
      </c>
      <c r="O3777" t="str">
        <f>_xlfn.XLOOKUP(Pipeline_tbl[[#This Row],[Rep_ID]],Dim_Reps!A:A,Dim_Reps!B:B)</f>
        <v>Ana Kim</v>
      </c>
      <c r="P3777" t="str">
        <f>_xlfn.XLOOKUP(Pipeline_tbl[[#This Row],[Rep_ID]],Dim_Reps!A:A,Dim_Reps!C:C)</f>
        <v>Mid-Market AE</v>
      </c>
      <c r="Q3777" t="str">
        <f>_xlfn.XLOOKUP(Pipeline_tbl[[#This Row],[Rep_ID]],Dim_Reps!A:A,Dim_Reps!D:D)</f>
        <v>Mid-Market</v>
      </c>
      <c r="R3777" t="str">
        <f>_xlfn.XLOOKUP(Pipeline_tbl[[#This Row],[Rep_ID]],Dim_Reps!A:A,Dim_Reps!E:E)</f>
        <v>APAC</v>
      </c>
      <c r="S3777" t="str">
        <f>_xlfn.XLOOKUP(Pipeline_tbl[[#This Row],[Created_Date]],Dim_Date!A:A,Dim_Date!H:H)</f>
        <v>Jul 2025</v>
      </c>
      <c r="T3777" t="str">
        <f>IF(Pipeline_tbl[[#This Row],[Closed_Date]]=0,"",(_xlfn.XLOOKUP(Pipeline_tbl[[#This Row],[Closed_Date]],Dim_Date!A:A,Dim_Date!H:H)))</f>
        <v>Aug 2025</v>
      </c>
      <c r="U3777">
        <f>IF(Pipeline_tbl[[#This Row],[Closed_Date]]=0,"",Pipeline_tbl[[#This Row],[Closed_Date]]-Pipeline_tbl[[#This Row],[Created_Date]])</f>
        <v>37</v>
      </c>
    </row>
    <row r="3778" spans="1:21" ht="15" customHeight="1" x14ac:dyDescent="0.2">
      <c r="A3778" t="s">
        <v>4084</v>
      </c>
      <c r="B3778" t="s">
        <v>257</v>
      </c>
      <c r="C3778" t="s">
        <v>52</v>
      </c>
      <c r="D3778" s="49">
        <v>45861</v>
      </c>
      <c r="E3778" s="49">
        <v>45864</v>
      </c>
      <c r="F3778" s="49">
        <v>45871</v>
      </c>
      <c r="I3778" s="49">
        <v>45895</v>
      </c>
      <c r="J3778" t="s">
        <v>49</v>
      </c>
      <c r="K3778" s="33">
        <v>3100</v>
      </c>
      <c r="L3778" t="s">
        <v>62</v>
      </c>
      <c r="M3778" t="str">
        <f>_xlfn.XLOOKUP(Pipeline_tbl[[#This Row],[Rep_ID]],Dim_Reps!A:A,Dim_Reps!K:K)</f>
        <v>EUR</v>
      </c>
      <c r="N3778" s="33">
        <f>(_xlfn.XLOOKUP(Pipeline_tbl[[#This Row],[Rate_Code_Generalized]],Lookups!A:A,Lookups!B:B))*Pipeline_tbl[[#This Row],[Pipeline_Amount_USD]]</f>
        <v>3100</v>
      </c>
      <c r="O3778" t="str">
        <f>_xlfn.XLOOKUP(Pipeline_tbl[[#This Row],[Rep_ID]],Dim_Reps!A:A,Dim_Reps!B:B)</f>
        <v>Ana Kim</v>
      </c>
      <c r="P3778" t="str">
        <f>_xlfn.XLOOKUP(Pipeline_tbl[[#This Row],[Rep_ID]],Dim_Reps!A:A,Dim_Reps!C:C)</f>
        <v>Mid-Market AE</v>
      </c>
      <c r="Q3778" t="str">
        <f>_xlfn.XLOOKUP(Pipeline_tbl[[#This Row],[Rep_ID]],Dim_Reps!A:A,Dim_Reps!D:D)</f>
        <v>Mid-Market</v>
      </c>
      <c r="R3778" t="str">
        <f>_xlfn.XLOOKUP(Pipeline_tbl[[#This Row],[Rep_ID]],Dim_Reps!A:A,Dim_Reps!E:E)</f>
        <v>APAC</v>
      </c>
      <c r="S3778" t="str">
        <f>_xlfn.XLOOKUP(Pipeline_tbl[[#This Row],[Created_Date]],Dim_Date!A:A,Dim_Date!H:H)</f>
        <v>Jul 2025</v>
      </c>
      <c r="T3778" t="str">
        <f>IF(Pipeline_tbl[[#This Row],[Closed_Date]]=0,"",(_xlfn.XLOOKUP(Pipeline_tbl[[#This Row],[Closed_Date]],Dim_Date!A:A,Dim_Date!H:H)))</f>
        <v>Aug 2025</v>
      </c>
      <c r="U3778">
        <f>IF(Pipeline_tbl[[#This Row],[Closed_Date]]=0,"",Pipeline_tbl[[#This Row],[Closed_Date]]-Pipeline_tbl[[#This Row],[Created_Date]])</f>
        <v>34</v>
      </c>
    </row>
    <row r="3779" spans="1:21" ht="15" customHeight="1" x14ac:dyDescent="0.2">
      <c r="A3779" t="s">
        <v>4085</v>
      </c>
      <c r="B3779" t="s">
        <v>257</v>
      </c>
      <c r="C3779" t="s">
        <v>52</v>
      </c>
      <c r="D3779" s="49">
        <v>45843</v>
      </c>
      <c r="E3779" s="49">
        <v>45846</v>
      </c>
      <c r="F3779" s="49">
        <v>45852</v>
      </c>
      <c r="G3779" s="49">
        <v>45861</v>
      </c>
      <c r="I3779" s="49">
        <v>45873</v>
      </c>
      <c r="J3779" t="s">
        <v>49</v>
      </c>
      <c r="K3779" s="33">
        <v>9100</v>
      </c>
      <c r="L3779" t="s">
        <v>60</v>
      </c>
      <c r="M3779" t="str">
        <f>_xlfn.XLOOKUP(Pipeline_tbl[[#This Row],[Rep_ID]],Dim_Reps!A:A,Dim_Reps!K:K)</f>
        <v>EUR</v>
      </c>
      <c r="N3779" s="33">
        <f>(_xlfn.XLOOKUP(Pipeline_tbl[[#This Row],[Rate_Code_Generalized]],Lookups!A:A,Lookups!B:B))*Pipeline_tbl[[#This Row],[Pipeline_Amount_USD]]</f>
        <v>9100</v>
      </c>
      <c r="O3779" t="str">
        <f>_xlfn.XLOOKUP(Pipeline_tbl[[#This Row],[Rep_ID]],Dim_Reps!A:A,Dim_Reps!B:B)</f>
        <v>Ana Kim</v>
      </c>
      <c r="P3779" t="str">
        <f>_xlfn.XLOOKUP(Pipeline_tbl[[#This Row],[Rep_ID]],Dim_Reps!A:A,Dim_Reps!C:C)</f>
        <v>Mid-Market AE</v>
      </c>
      <c r="Q3779" t="str">
        <f>_xlfn.XLOOKUP(Pipeline_tbl[[#This Row],[Rep_ID]],Dim_Reps!A:A,Dim_Reps!D:D)</f>
        <v>Mid-Market</v>
      </c>
      <c r="R3779" t="str">
        <f>_xlfn.XLOOKUP(Pipeline_tbl[[#This Row],[Rep_ID]],Dim_Reps!A:A,Dim_Reps!E:E)</f>
        <v>APAC</v>
      </c>
      <c r="S3779" t="str">
        <f>_xlfn.XLOOKUP(Pipeline_tbl[[#This Row],[Created_Date]],Dim_Date!A:A,Dim_Date!H:H)</f>
        <v>Jul 2025</v>
      </c>
      <c r="T3779" t="str">
        <f>IF(Pipeline_tbl[[#This Row],[Closed_Date]]=0,"",(_xlfn.XLOOKUP(Pipeline_tbl[[#This Row],[Closed_Date]],Dim_Date!A:A,Dim_Date!H:H)))</f>
        <v>Aug 2025</v>
      </c>
      <c r="U3779">
        <f>IF(Pipeline_tbl[[#This Row],[Closed_Date]]=0,"",Pipeline_tbl[[#This Row],[Closed_Date]]-Pipeline_tbl[[#This Row],[Created_Date]])</f>
        <v>30</v>
      </c>
    </row>
    <row r="3780" spans="1:21" ht="15" customHeight="1" x14ac:dyDescent="0.2">
      <c r="A3780" t="s">
        <v>4086</v>
      </c>
      <c r="B3780" t="s">
        <v>257</v>
      </c>
      <c r="C3780" t="s">
        <v>52</v>
      </c>
      <c r="D3780" s="49">
        <v>45853</v>
      </c>
      <c r="E3780" s="49">
        <v>45856</v>
      </c>
      <c r="I3780" s="49">
        <v>45887</v>
      </c>
      <c r="J3780" t="s">
        <v>49</v>
      </c>
      <c r="K3780" s="33">
        <v>10800</v>
      </c>
      <c r="L3780" t="s">
        <v>60</v>
      </c>
      <c r="M3780" t="str">
        <f>_xlfn.XLOOKUP(Pipeline_tbl[[#This Row],[Rep_ID]],Dim_Reps!A:A,Dim_Reps!K:K)</f>
        <v>EUR</v>
      </c>
      <c r="N3780" s="33">
        <f>(_xlfn.XLOOKUP(Pipeline_tbl[[#This Row],[Rate_Code_Generalized]],Lookups!A:A,Lookups!B:B))*Pipeline_tbl[[#This Row],[Pipeline_Amount_USD]]</f>
        <v>10800</v>
      </c>
      <c r="O3780" t="str">
        <f>_xlfn.XLOOKUP(Pipeline_tbl[[#This Row],[Rep_ID]],Dim_Reps!A:A,Dim_Reps!B:B)</f>
        <v>Ana Kim</v>
      </c>
      <c r="P3780" t="str">
        <f>_xlfn.XLOOKUP(Pipeline_tbl[[#This Row],[Rep_ID]],Dim_Reps!A:A,Dim_Reps!C:C)</f>
        <v>Mid-Market AE</v>
      </c>
      <c r="Q3780" t="str">
        <f>_xlfn.XLOOKUP(Pipeline_tbl[[#This Row],[Rep_ID]],Dim_Reps!A:A,Dim_Reps!D:D)</f>
        <v>Mid-Market</v>
      </c>
      <c r="R3780" t="str">
        <f>_xlfn.XLOOKUP(Pipeline_tbl[[#This Row],[Rep_ID]],Dim_Reps!A:A,Dim_Reps!E:E)</f>
        <v>APAC</v>
      </c>
      <c r="S3780" t="str">
        <f>_xlfn.XLOOKUP(Pipeline_tbl[[#This Row],[Created_Date]],Dim_Date!A:A,Dim_Date!H:H)</f>
        <v>Jul 2025</v>
      </c>
      <c r="T3780" t="str">
        <f>IF(Pipeline_tbl[[#This Row],[Closed_Date]]=0,"",(_xlfn.XLOOKUP(Pipeline_tbl[[#This Row],[Closed_Date]],Dim_Date!A:A,Dim_Date!H:H)))</f>
        <v>Aug 2025</v>
      </c>
      <c r="U3780">
        <f>IF(Pipeline_tbl[[#This Row],[Closed_Date]]=0,"",Pipeline_tbl[[#This Row],[Closed_Date]]-Pipeline_tbl[[#This Row],[Created_Date]])</f>
        <v>34</v>
      </c>
    </row>
    <row r="3781" spans="1:21" ht="15" customHeight="1" x14ac:dyDescent="0.2">
      <c r="A3781" t="s">
        <v>4087</v>
      </c>
      <c r="B3781" t="s">
        <v>257</v>
      </c>
      <c r="C3781" t="s">
        <v>53</v>
      </c>
      <c r="D3781" s="49">
        <v>45856</v>
      </c>
      <c r="E3781" s="49">
        <v>45859</v>
      </c>
      <c r="F3781" s="49">
        <v>45865</v>
      </c>
      <c r="G3781" s="49">
        <v>45873</v>
      </c>
      <c r="I3781" s="49">
        <v>45885</v>
      </c>
      <c r="J3781" t="s">
        <v>49</v>
      </c>
      <c r="K3781" s="33">
        <v>30800</v>
      </c>
      <c r="L3781" t="s">
        <v>60</v>
      </c>
      <c r="M3781" t="str">
        <f>_xlfn.XLOOKUP(Pipeline_tbl[[#This Row],[Rep_ID]],Dim_Reps!A:A,Dim_Reps!K:K)</f>
        <v>EUR</v>
      </c>
      <c r="N3781" s="33">
        <f>(_xlfn.XLOOKUP(Pipeline_tbl[[#This Row],[Rate_Code_Generalized]],Lookups!A:A,Lookups!B:B))*Pipeline_tbl[[#This Row],[Pipeline_Amount_USD]]</f>
        <v>30800</v>
      </c>
      <c r="O3781" t="str">
        <f>_xlfn.XLOOKUP(Pipeline_tbl[[#This Row],[Rep_ID]],Dim_Reps!A:A,Dim_Reps!B:B)</f>
        <v>Ana Kim</v>
      </c>
      <c r="P3781" t="str">
        <f>_xlfn.XLOOKUP(Pipeline_tbl[[#This Row],[Rep_ID]],Dim_Reps!A:A,Dim_Reps!C:C)</f>
        <v>Mid-Market AE</v>
      </c>
      <c r="Q3781" t="str">
        <f>_xlfn.XLOOKUP(Pipeline_tbl[[#This Row],[Rep_ID]],Dim_Reps!A:A,Dim_Reps!D:D)</f>
        <v>Mid-Market</v>
      </c>
      <c r="R3781" t="str">
        <f>_xlfn.XLOOKUP(Pipeline_tbl[[#This Row],[Rep_ID]],Dim_Reps!A:A,Dim_Reps!E:E)</f>
        <v>APAC</v>
      </c>
      <c r="S3781" t="str">
        <f>_xlfn.XLOOKUP(Pipeline_tbl[[#This Row],[Created_Date]],Dim_Date!A:A,Dim_Date!H:H)</f>
        <v>Jul 2025</v>
      </c>
      <c r="T3781" t="str">
        <f>IF(Pipeline_tbl[[#This Row],[Closed_Date]]=0,"",(_xlfn.XLOOKUP(Pipeline_tbl[[#This Row],[Closed_Date]],Dim_Date!A:A,Dim_Date!H:H)))</f>
        <v>Aug 2025</v>
      </c>
      <c r="U3781">
        <f>IF(Pipeline_tbl[[#This Row],[Closed_Date]]=0,"",Pipeline_tbl[[#This Row],[Closed_Date]]-Pipeline_tbl[[#This Row],[Created_Date]])</f>
        <v>29</v>
      </c>
    </row>
    <row r="3782" spans="1:21" ht="15" customHeight="1" x14ac:dyDescent="0.2">
      <c r="A3782" t="s">
        <v>4088</v>
      </c>
      <c r="B3782" t="s">
        <v>257</v>
      </c>
      <c r="C3782" t="s">
        <v>55</v>
      </c>
      <c r="D3782" s="49">
        <v>45852</v>
      </c>
      <c r="E3782" s="49">
        <v>45854</v>
      </c>
      <c r="F3782" s="49">
        <v>45860</v>
      </c>
      <c r="I3782" s="49">
        <v>45877</v>
      </c>
      <c r="J3782" t="s">
        <v>49</v>
      </c>
      <c r="K3782" s="33">
        <v>14900</v>
      </c>
      <c r="L3782" t="s">
        <v>62</v>
      </c>
      <c r="M3782" t="str">
        <f>_xlfn.XLOOKUP(Pipeline_tbl[[#This Row],[Rep_ID]],Dim_Reps!A:A,Dim_Reps!K:K)</f>
        <v>EUR</v>
      </c>
      <c r="N3782" s="33">
        <f>(_xlfn.XLOOKUP(Pipeline_tbl[[#This Row],[Rate_Code_Generalized]],Lookups!A:A,Lookups!B:B))*Pipeline_tbl[[#This Row],[Pipeline_Amount_USD]]</f>
        <v>14900</v>
      </c>
      <c r="O3782" t="str">
        <f>_xlfn.XLOOKUP(Pipeline_tbl[[#This Row],[Rep_ID]],Dim_Reps!A:A,Dim_Reps!B:B)</f>
        <v>Ana Kim</v>
      </c>
      <c r="P3782" t="str">
        <f>_xlfn.XLOOKUP(Pipeline_tbl[[#This Row],[Rep_ID]],Dim_Reps!A:A,Dim_Reps!C:C)</f>
        <v>Mid-Market AE</v>
      </c>
      <c r="Q3782" t="str">
        <f>_xlfn.XLOOKUP(Pipeline_tbl[[#This Row],[Rep_ID]],Dim_Reps!A:A,Dim_Reps!D:D)</f>
        <v>Mid-Market</v>
      </c>
      <c r="R3782" t="str">
        <f>_xlfn.XLOOKUP(Pipeline_tbl[[#This Row],[Rep_ID]],Dim_Reps!A:A,Dim_Reps!E:E)</f>
        <v>APAC</v>
      </c>
      <c r="S3782" t="str">
        <f>_xlfn.XLOOKUP(Pipeline_tbl[[#This Row],[Created_Date]],Dim_Date!A:A,Dim_Date!H:H)</f>
        <v>Jul 2025</v>
      </c>
      <c r="T3782" t="str">
        <f>IF(Pipeline_tbl[[#This Row],[Closed_Date]]=0,"",(_xlfn.XLOOKUP(Pipeline_tbl[[#This Row],[Closed_Date]],Dim_Date!A:A,Dim_Date!H:H)))</f>
        <v>Aug 2025</v>
      </c>
      <c r="U3782">
        <f>IF(Pipeline_tbl[[#This Row],[Closed_Date]]=0,"",Pipeline_tbl[[#This Row],[Closed_Date]]-Pipeline_tbl[[#This Row],[Created_Date]])</f>
        <v>25</v>
      </c>
    </row>
    <row r="3783" spans="1:21" ht="15" customHeight="1" x14ac:dyDescent="0.2">
      <c r="A3783" t="s">
        <v>4089</v>
      </c>
      <c r="B3783" t="s">
        <v>259</v>
      </c>
      <c r="C3783" t="s">
        <v>55</v>
      </c>
      <c r="D3783" s="49">
        <v>45840</v>
      </c>
      <c r="E3783" s="49">
        <v>45844</v>
      </c>
      <c r="F3783" s="49">
        <v>45853</v>
      </c>
      <c r="G3783" s="49">
        <v>45866</v>
      </c>
      <c r="H3783" s="49">
        <v>45877</v>
      </c>
      <c r="I3783" s="49">
        <v>45884</v>
      </c>
      <c r="J3783" t="s">
        <v>47</v>
      </c>
      <c r="K3783" s="33">
        <v>9500</v>
      </c>
      <c r="M3783" t="str">
        <f>_xlfn.XLOOKUP(Pipeline_tbl[[#This Row],[Rep_ID]],Dim_Reps!A:A,Dim_Reps!K:K)</f>
        <v>EUR</v>
      </c>
      <c r="N3783" s="33">
        <f>(_xlfn.XLOOKUP(Pipeline_tbl[[#This Row],[Rate_Code_Generalized]],Lookups!A:A,Lookups!B:B))*Pipeline_tbl[[#This Row],[Pipeline_Amount_USD]]</f>
        <v>9500</v>
      </c>
      <c r="O3783" t="str">
        <f>_xlfn.XLOOKUP(Pipeline_tbl[[#This Row],[Rep_ID]],Dim_Reps!A:A,Dim_Reps!B:B)</f>
        <v>Felix Okafor</v>
      </c>
      <c r="P3783" t="str">
        <f>_xlfn.XLOOKUP(Pipeline_tbl[[#This Row],[Rep_ID]],Dim_Reps!A:A,Dim_Reps!C:C)</f>
        <v>Mid-Market AE</v>
      </c>
      <c r="Q3783" t="str">
        <f>_xlfn.XLOOKUP(Pipeline_tbl[[#This Row],[Rep_ID]],Dim_Reps!A:A,Dim_Reps!D:D)</f>
        <v>Mid-Market</v>
      </c>
      <c r="R3783" t="str">
        <f>_xlfn.XLOOKUP(Pipeline_tbl[[#This Row],[Rep_ID]],Dim_Reps!A:A,Dim_Reps!E:E)</f>
        <v>EMEA</v>
      </c>
      <c r="S3783" t="str">
        <f>_xlfn.XLOOKUP(Pipeline_tbl[[#This Row],[Created_Date]],Dim_Date!A:A,Dim_Date!H:H)</f>
        <v>Jul 2025</v>
      </c>
      <c r="T3783" t="str">
        <f>IF(Pipeline_tbl[[#This Row],[Closed_Date]]=0,"",(_xlfn.XLOOKUP(Pipeline_tbl[[#This Row],[Closed_Date]],Dim_Date!A:A,Dim_Date!H:H)))</f>
        <v>Aug 2025</v>
      </c>
      <c r="U3783">
        <f>IF(Pipeline_tbl[[#This Row],[Closed_Date]]=0,"",Pipeline_tbl[[#This Row],[Closed_Date]]-Pipeline_tbl[[#This Row],[Created_Date]])</f>
        <v>44</v>
      </c>
    </row>
    <row r="3784" spans="1:21" ht="15" customHeight="1" x14ac:dyDescent="0.2">
      <c r="A3784" t="s">
        <v>4090</v>
      </c>
      <c r="B3784" t="s">
        <v>259</v>
      </c>
      <c r="C3784" t="s">
        <v>54</v>
      </c>
      <c r="D3784" s="49">
        <v>45841</v>
      </c>
      <c r="E3784" s="49">
        <v>45844</v>
      </c>
      <c r="F3784" s="49">
        <v>45850</v>
      </c>
      <c r="I3784" s="49">
        <v>45871</v>
      </c>
      <c r="J3784" t="s">
        <v>49</v>
      </c>
      <c r="K3784" s="33">
        <v>8600</v>
      </c>
      <c r="L3784" t="s">
        <v>60</v>
      </c>
      <c r="M3784" t="str">
        <f>_xlfn.XLOOKUP(Pipeline_tbl[[#This Row],[Rep_ID]],Dim_Reps!A:A,Dim_Reps!K:K)</f>
        <v>EUR</v>
      </c>
      <c r="N3784" s="33">
        <f>(_xlfn.XLOOKUP(Pipeline_tbl[[#This Row],[Rate_Code_Generalized]],Lookups!A:A,Lookups!B:B))*Pipeline_tbl[[#This Row],[Pipeline_Amount_USD]]</f>
        <v>8600</v>
      </c>
      <c r="O3784" t="str">
        <f>_xlfn.XLOOKUP(Pipeline_tbl[[#This Row],[Rep_ID]],Dim_Reps!A:A,Dim_Reps!B:B)</f>
        <v>Felix Okafor</v>
      </c>
      <c r="P3784" t="str">
        <f>_xlfn.XLOOKUP(Pipeline_tbl[[#This Row],[Rep_ID]],Dim_Reps!A:A,Dim_Reps!C:C)</f>
        <v>Mid-Market AE</v>
      </c>
      <c r="Q3784" t="str">
        <f>_xlfn.XLOOKUP(Pipeline_tbl[[#This Row],[Rep_ID]],Dim_Reps!A:A,Dim_Reps!D:D)</f>
        <v>Mid-Market</v>
      </c>
      <c r="R3784" t="str">
        <f>_xlfn.XLOOKUP(Pipeline_tbl[[#This Row],[Rep_ID]],Dim_Reps!A:A,Dim_Reps!E:E)</f>
        <v>EMEA</v>
      </c>
      <c r="S3784" t="str">
        <f>_xlfn.XLOOKUP(Pipeline_tbl[[#This Row],[Created_Date]],Dim_Date!A:A,Dim_Date!H:H)</f>
        <v>Jul 2025</v>
      </c>
      <c r="T3784" t="str">
        <f>IF(Pipeline_tbl[[#This Row],[Closed_Date]]=0,"",(_xlfn.XLOOKUP(Pipeline_tbl[[#This Row],[Closed_Date]],Dim_Date!A:A,Dim_Date!H:H)))</f>
        <v>Aug 2025</v>
      </c>
      <c r="U3784">
        <f>IF(Pipeline_tbl[[#This Row],[Closed_Date]]=0,"",Pipeline_tbl[[#This Row],[Closed_Date]]-Pipeline_tbl[[#This Row],[Created_Date]])</f>
        <v>30</v>
      </c>
    </row>
    <row r="3785" spans="1:21" ht="15" customHeight="1" x14ac:dyDescent="0.2">
      <c r="A3785" t="s">
        <v>4091</v>
      </c>
      <c r="B3785" t="s">
        <v>223</v>
      </c>
      <c r="C3785" t="s">
        <v>54</v>
      </c>
      <c r="D3785" s="49">
        <v>45860</v>
      </c>
      <c r="E3785" s="49">
        <v>45862</v>
      </c>
      <c r="I3785" s="49">
        <v>45879</v>
      </c>
      <c r="J3785" t="s">
        <v>49</v>
      </c>
      <c r="K3785" s="33">
        <v>3800</v>
      </c>
      <c r="L3785" t="s">
        <v>60</v>
      </c>
      <c r="M3785" t="str">
        <f>_xlfn.XLOOKUP(Pipeline_tbl[[#This Row],[Rep_ID]],Dim_Reps!A:A,Dim_Reps!K:K)</f>
        <v>MXN</v>
      </c>
      <c r="N3785" s="33">
        <f>(_xlfn.XLOOKUP(Pipeline_tbl[[#This Row],[Rate_Code_Generalized]],Lookups!A:A,Lookups!B:B))*Pipeline_tbl[[#This Row],[Pipeline_Amount_USD]]</f>
        <v>74984.260000000009</v>
      </c>
      <c r="O3785" t="str">
        <f>_xlfn.XLOOKUP(Pipeline_tbl[[#This Row],[Rep_ID]],Dim_Reps!A:A,Dim_Reps!B:B)</f>
        <v>Lea Petrov</v>
      </c>
      <c r="P3785" t="str">
        <f>_xlfn.XLOOKUP(Pipeline_tbl[[#This Row],[Rep_ID]],Dim_Reps!A:A,Dim_Reps!C:C)</f>
        <v>SDR / Inside Sales Rep</v>
      </c>
      <c r="Q3785" t="str">
        <f>_xlfn.XLOOKUP(Pipeline_tbl[[#This Row],[Rep_ID]],Dim_Reps!A:A,Dim_Reps!D:D)</f>
        <v>Inside Sales</v>
      </c>
      <c r="R3785" t="str">
        <f>_xlfn.XLOOKUP(Pipeline_tbl[[#This Row],[Rep_ID]],Dim_Reps!A:A,Dim_Reps!E:E)</f>
        <v>LATAM</v>
      </c>
      <c r="S3785" t="str">
        <f>_xlfn.XLOOKUP(Pipeline_tbl[[#This Row],[Created_Date]],Dim_Date!A:A,Dim_Date!H:H)</f>
        <v>Jul 2025</v>
      </c>
      <c r="T3785" t="str">
        <f>IF(Pipeline_tbl[[#This Row],[Closed_Date]]=0,"",(_xlfn.XLOOKUP(Pipeline_tbl[[#This Row],[Closed_Date]],Dim_Date!A:A,Dim_Date!H:H)))</f>
        <v>Aug 2025</v>
      </c>
      <c r="U3785">
        <f>IF(Pipeline_tbl[[#This Row],[Closed_Date]]=0,"",Pipeline_tbl[[#This Row],[Closed_Date]]-Pipeline_tbl[[#This Row],[Created_Date]])</f>
        <v>19</v>
      </c>
    </row>
    <row r="3786" spans="1:21" ht="15" customHeight="1" x14ac:dyDescent="0.2">
      <c r="A3786" t="s">
        <v>4092</v>
      </c>
      <c r="B3786" t="s">
        <v>223</v>
      </c>
      <c r="C3786" t="s">
        <v>54</v>
      </c>
      <c r="D3786" s="49">
        <v>45865</v>
      </c>
      <c r="E3786" s="49">
        <v>45867</v>
      </c>
      <c r="F3786" s="49">
        <v>45870</v>
      </c>
      <c r="G3786" s="49">
        <v>45874</v>
      </c>
      <c r="H3786" s="49">
        <v>45878</v>
      </c>
      <c r="I3786" s="49">
        <v>45880</v>
      </c>
      <c r="J3786" t="s">
        <v>49</v>
      </c>
      <c r="K3786" s="33">
        <v>4400</v>
      </c>
      <c r="L3786" t="s">
        <v>61</v>
      </c>
      <c r="M3786" t="str">
        <f>_xlfn.XLOOKUP(Pipeline_tbl[[#This Row],[Rep_ID]],Dim_Reps!A:A,Dim_Reps!K:K)</f>
        <v>MXN</v>
      </c>
      <c r="N3786" s="33">
        <f>(_xlfn.XLOOKUP(Pipeline_tbl[[#This Row],[Rate_Code_Generalized]],Lookups!A:A,Lookups!B:B))*Pipeline_tbl[[#This Row],[Pipeline_Amount_USD]]</f>
        <v>86823.88</v>
      </c>
      <c r="O3786" t="str">
        <f>_xlfn.XLOOKUP(Pipeline_tbl[[#This Row],[Rep_ID]],Dim_Reps!A:A,Dim_Reps!B:B)</f>
        <v>Lea Petrov</v>
      </c>
      <c r="P3786" t="str">
        <f>_xlfn.XLOOKUP(Pipeline_tbl[[#This Row],[Rep_ID]],Dim_Reps!A:A,Dim_Reps!C:C)</f>
        <v>SDR / Inside Sales Rep</v>
      </c>
      <c r="Q3786" t="str">
        <f>_xlfn.XLOOKUP(Pipeline_tbl[[#This Row],[Rep_ID]],Dim_Reps!A:A,Dim_Reps!D:D)</f>
        <v>Inside Sales</v>
      </c>
      <c r="R3786" t="str">
        <f>_xlfn.XLOOKUP(Pipeline_tbl[[#This Row],[Rep_ID]],Dim_Reps!A:A,Dim_Reps!E:E)</f>
        <v>LATAM</v>
      </c>
      <c r="S3786" t="str">
        <f>_xlfn.XLOOKUP(Pipeline_tbl[[#This Row],[Created_Date]],Dim_Date!A:A,Dim_Date!H:H)</f>
        <v>Jul 2025</v>
      </c>
      <c r="T3786" t="str">
        <f>IF(Pipeline_tbl[[#This Row],[Closed_Date]]=0,"",(_xlfn.XLOOKUP(Pipeline_tbl[[#This Row],[Closed_Date]],Dim_Date!A:A,Dim_Date!H:H)))</f>
        <v>Aug 2025</v>
      </c>
      <c r="U3786">
        <f>IF(Pipeline_tbl[[#This Row],[Closed_Date]]=0,"",Pipeline_tbl[[#This Row],[Closed_Date]]-Pipeline_tbl[[#This Row],[Created_Date]])</f>
        <v>15</v>
      </c>
    </row>
    <row r="3787" spans="1:21" ht="15" customHeight="1" x14ac:dyDescent="0.2">
      <c r="A3787" t="s">
        <v>4093</v>
      </c>
      <c r="B3787" t="s">
        <v>223</v>
      </c>
      <c r="C3787" t="s">
        <v>54</v>
      </c>
      <c r="D3787" s="49">
        <v>45866</v>
      </c>
      <c r="E3787" s="49">
        <v>45868</v>
      </c>
      <c r="F3787" s="49">
        <v>45871</v>
      </c>
      <c r="G3787" s="49">
        <v>45877</v>
      </c>
      <c r="H3787" s="49">
        <v>45881</v>
      </c>
      <c r="I3787" s="49">
        <v>45884</v>
      </c>
      <c r="J3787" t="s">
        <v>49</v>
      </c>
      <c r="K3787" s="33">
        <v>4500</v>
      </c>
      <c r="L3787" t="s">
        <v>64</v>
      </c>
      <c r="M3787" t="str">
        <f>_xlfn.XLOOKUP(Pipeline_tbl[[#This Row],[Rep_ID]],Dim_Reps!A:A,Dim_Reps!K:K)</f>
        <v>MXN</v>
      </c>
      <c r="N3787" s="33">
        <f>(_xlfn.XLOOKUP(Pipeline_tbl[[#This Row],[Rate_Code_Generalized]],Lookups!A:A,Lookups!B:B))*Pipeline_tbl[[#This Row],[Pipeline_Amount_USD]]</f>
        <v>88797.150000000009</v>
      </c>
      <c r="O3787" t="str">
        <f>_xlfn.XLOOKUP(Pipeline_tbl[[#This Row],[Rep_ID]],Dim_Reps!A:A,Dim_Reps!B:B)</f>
        <v>Lea Petrov</v>
      </c>
      <c r="P3787" t="str">
        <f>_xlfn.XLOOKUP(Pipeline_tbl[[#This Row],[Rep_ID]],Dim_Reps!A:A,Dim_Reps!C:C)</f>
        <v>SDR / Inside Sales Rep</v>
      </c>
      <c r="Q3787" t="str">
        <f>_xlfn.XLOOKUP(Pipeline_tbl[[#This Row],[Rep_ID]],Dim_Reps!A:A,Dim_Reps!D:D)</f>
        <v>Inside Sales</v>
      </c>
      <c r="R3787" t="str">
        <f>_xlfn.XLOOKUP(Pipeline_tbl[[#This Row],[Rep_ID]],Dim_Reps!A:A,Dim_Reps!E:E)</f>
        <v>LATAM</v>
      </c>
      <c r="S3787" t="str">
        <f>_xlfn.XLOOKUP(Pipeline_tbl[[#This Row],[Created_Date]],Dim_Date!A:A,Dim_Date!H:H)</f>
        <v>Jul 2025</v>
      </c>
      <c r="T3787" t="str">
        <f>IF(Pipeline_tbl[[#This Row],[Closed_Date]]=0,"",(_xlfn.XLOOKUP(Pipeline_tbl[[#This Row],[Closed_Date]],Dim_Date!A:A,Dim_Date!H:H)))</f>
        <v>Aug 2025</v>
      </c>
      <c r="U3787">
        <f>IF(Pipeline_tbl[[#This Row],[Closed_Date]]=0,"",Pipeline_tbl[[#This Row],[Closed_Date]]-Pipeline_tbl[[#This Row],[Created_Date]])</f>
        <v>18</v>
      </c>
    </row>
    <row r="3788" spans="1:21" ht="15" customHeight="1" x14ac:dyDescent="0.2">
      <c r="A3788" t="s">
        <v>4094</v>
      </c>
      <c r="B3788" t="s">
        <v>223</v>
      </c>
      <c r="C3788" t="s">
        <v>52</v>
      </c>
      <c r="D3788" s="49">
        <v>45859</v>
      </c>
      <c r="E3788" s="49">
        <v>45860</v>
      </c>
      <c r="F3788" s="49">
        <v>45863</v>
      </c>
      <c r="G3788" s="49">
        <v>45866</v>
      </c>
      <c r="H3788" s="49">
        <v>45869</v>
      </c>
      <c r="I3788" s="49">
        <v>45871</v>
      </c>
      <c r="J3788" t="s">
        <v>47</v>
      </c>
      <c r="K3788" s="33">
        <v>3200</v>
      </c>
      <c r="M3788" t="str">
        <f>_xlfn.XLOOKUP(Pipeline_tbl[[#This Row],[Rep_ID]],Dim_Reps!A:A,Dim_Reps!K:K)</f>
        <v>MXN</v>
      </c>
      <c r="N3788" s="33">
        <f>(_xlfn.XLOOKUP(Pipeline_tbl[[#This Row],[Rate_Code_Generalized]],Lookups!A:A,Lookups!B:B))*Pipeline_tbl[[#This Row],[Pipeline_Amount_USD]]</f>
        <v>63144.640000000007</v>
      </c>
      <c r="O3788" t="str">
        <f>_xlfn.XLOOKUP(Pipeline_tbl[[#This Row],[Rep_ID]],Dim_Reps!A:A,Dim_Reps!B:B)</f>
        <v>Lea Petrov</v>
      </c>
      <c r="P3788" t="str">
        <f>_xlfn.XLOOKUP(Pipeline_tbl[[#This Row],[Rep_ID]],Dim_Reps!A:A,Dim_Reps!C:C)</f>
        <v>SDR / Inside Sales Rep</v>
      </c>
      <c r="Q3788" t="str">
        <f>_xlfn.XLOOKUP(Pipeline_tbl[[#This Row],[Rep_ID]],Dim_Reps!A:A,Dim_Reps!D:D)</f>
        <v>Inside Sales</v>
      </c>
      <c r="R3788" t="str">
        <f>_xlfn.XLOOKUP(Pipeline_tbl[[#This Row],[Rep_ID]],Dim_Reps!A:A,Dim_Reps!E:E)</f>
        <v>LATAM</v>
      </c>
      <c r="S3788" t="str">
        <f>_xlfn.XLOOKUP(Pipeline_tbl[[#This Row],[Created_Date]],Dim_Date!A:A,Dim_Date!H:H)</f>
        <v>Jul 2025</v>
      </c>
      <c r="T3788" t="str">
        <f>IF(Pipeline_tbl[[#This Row],[Closed_Date]]=0,"",(_xlfn.XLOOKUP(Pipeline_tbl[[#This Row],[Closed_Date]],Dim_Date!A:A,Dim_Date!H:H)))</f>
        <v>Aug 2025</v>
      </c>
      <c r="U3788">
        <f>IF(Pipeline_tbl[[#This Row],[Closed_Date]]=0,"",Pipeline_tbl[[#This Row],[Closed_Date]]-Pipeline_tbl[[#This Row],[Created_Date]])</f>
        <v>12</v>
      </c>
    </row>
    <row r="3789" spans="1:21" ht="15" customHeight="1" x14ac:dyDescent="0.2">
      <c r="A3789" t="s">
        <v>4095</v>
      </c>
      <c r="B3789" t="s">
        <v>261</v>
      </c>
      <c r="C3789" t="s">
        <v>55</v>
      </c>
      <c r="D3789" s="49">
        <v>45855</v>
      </c>
      <c r="E3789" s="49">
        <v>45859</v>
      </c>
      <c r="F3789" s="49">
        <v>45867</v>
      </c>
      <c r="G3789" s="49">
        <v>45879</v>
      </c>
      <c r="H3789" s="49">
        <v>45889</v>
      </c>
      <c r="I3789" s="49">
        <v>45895</v>
      </c>
      <c r="J3789" t="s">
        <v>49</v>
      </c>
      <c r="K3789" s="33">
        <v>9200</v>
      </c>
      <c r="L3789" t="s">
        <v>61</v>
      </c>
      <c r="M3789" t="str">
        <f>_xlfn.XLOOKUP(Pipeline_tbl[[#This Row],[Rep_ID]],Dim_Reps!A:A,Dim_Reps!K:K)</f>
        <v>USD</v>
      </c>
      <c r="N3789" s="33">
        <f>(_xlfn.XLOOKUP(Pipeline_tbl[[#This Row],[Rate_Code_Generalized]],Lookups!A:A,Lookups!B:B))*Pipeline_tbl[[#This Row],[Pipeline_Amount_USD]]</f>
        <v>10711.56</v>
      </c>
      <c r="O3789" t="str">
        <f>_xlfn.XLOOKUP(Pipeline_tbl[[#This Row],[Rep_ID]],Dim_Reps!A:A,Dim_Reps!B:B)</f>
        <v>Morgan Larsen</v>
      </c>
      <c r="P3789" t="str">
        <f>_xlfn.XLOOKUP(Pipeline_tbl[[#This Row],[Rep_ID]],Dim_Reps!A:A,Dim_Reps!C:C)</f>
        <v>Mid-Market AE</v>
      </c>
      <c r="Q3789" t="str">
        <f>_xlfn.XLOOKUP(Pipeline_tbl[[#This Row],[Rep_ID]],Dim_Reps!A:A,Dim_Reps!D:D)</f>
        <v>Mid-Market</v>
      </c>
      <c r="R3789" t="str">
        <f>_xlfn.XLOOKUP(Pipeline_tbl[[#This Row],[Rep_ID]],Dim_Reps!A:A,Dim_Reps!E:E)</f>
        <v>NAMER</v>
      </c>
      <c r="S3789" t="str">
        <f>_xlfn.XLOOKUP(Pipeline_tbl[[#This Row],[Created_Date]],Dim_Date!A:A,Dim_Date!H:H)</f>
        <v>Jul 2025</v>
      </c>
      <c r="T3789" t="str">
        <f>IF(Pipeline_tbl[[#This Row],[Closed_Date]]=0,"",(_xlfn.XLOOKUP(Pipeline_tbl[[#This Row],[Closed_Date]],Dim_Date!A:A,Dim_Date!H:H)))</f>
        <v>Aug 2025</v>
      </c>
      <c r="U3789">
        <f>IF(Pipeline_tbl[[#This Row],[Closed_Date]]=0,"",Pipeline_tbl[[#This Row],[Closed_Date]]-Pipeline_tbl[[#This Row],[Created_Date]])</f>
        <v>40</v>
      </c>
    </row>
    <row r="3790" spans="1:21" ht="15" customHeight="1" x14ac:dyDescent="0.2">
      <c r="A3790" t="s">
        <v>4096</v>
      </c>
      <c r="B3790" t="s">
        <v>261</v>
      </c>
      <c r="C3790" t="s">
        <v>53</v>
      </c>
      <c r="D3790" s="49">
        <v>45868</v>
      </c>
      <c r="E3790" s="49">
        <v>45870</v>
      </c>
      <c r="F3790" s="49">
        <v>45875</v>
      </c>
      <c r="G3790" s="49">
        <v>45882</v>
      </c>
      <c r="H3790" s="49">
        <v>45888</v>
      </c>
      <c r="I3790" s="49">
        <v>45892</v>
      </c>
      <c r="J3790" t="s">
        <v>49</v>
      </c>
      <c r="K3790" s="33">
        <v>13100</v>
      </c>
      <c r="L3790" t="s">
        <v>61</v>
      </c>
      <c r="M3790" t="str">
        <f>_xlfn.XLOOKUP(Pipeline_tbl[[#This Row],[Rep_ID]],Dim_Reps!A:A,Dim_Reps!K:K)</f>
        <v>USD</v>
      </c>
      <c r="N3790" s="33">
        <f>(_xlfn.XLOOKUP(Pipeline_tbl[[#This Row],[Rate_Code_Generalized]],Lookups!A:A,Lookups!B:B))*Pipeline_tbl[[#This Row],[Pipeline_Amount_USD]]</f>
        <v>15252.329999999998</v>
      </c>
      <c r="O3790" t="str">
        <f>_xlfn.XLOOKUP(Pipeline_tbl[[#This Row],[Rep_ID]],Dim_Reps!A:A,Dim_Reps!B:B)</f>
        <v>Morgan Larsen</v>
      </c>
      <c r="P3790" t="str">
        <f>_xlfn.XLOOKUP(Pipeline_tbl[[#This Row],[Rep_ID]],Dim_Reps!A:A,Dim_Reps!C:C)</f>
        <v>Mid-Market AE</v>
      </c>
      <c r="Q3790" t="str">
        <f>_xlfn.XLOOKUP(Pipeline_tbl[[#This Row],[Rep_ID]],Dim_Reps!A:A,Dim_Reps!D:D)</f>
        <v>Mid-Market</v>
      </c>
      <c r="R3790" t="str">
        <f>_xlfn.XLOOKUP(Pipeline_tbl[[#This Row],[Rep_ID]],Dim_Reps!A:A,Dim_Reps!E:E)</f>
        <v>NAMER</v>
      </c>
      <c r="S3790" t="str">
        <f>_xlfn.XLOOKUP(Pipeline_tbl[[#This Row],[Created_Date]],Dim_Date!A:A,Dim_Date!H:H)</f>
        <v>Jul 2025</v>
      </c>
      <c r="T3790" t="str">
        <f>IF(Pipeline_tbl[[#This Row],[Closed_Date]]=0,"",(_xlfn.XLOOKUP(Pipeline_tbl[[#This Row],[Closed_Date]],Dim_Date!A:A,Dim_Date!H:H)))</f>
        <v>Aug 2025</v>
      </c>
      <c r="U3790">
        <f>IF(Pipeline_tbl[[#This Row],[Closed_Date]]=0,"",Pipeline_tbl[[#This Row],[Closed_Date]]-Pipeline_tbl[[#This Row],[Created_Date]])</f>
        <v>24</v>
      </c>
    </row>
    <row r="3791" spans="1:21" ht="15" customHeight="1" x14ac:dyDescent="0.2">
      <c r="A3791" t="s">
        <v>4097</v>
      </c>
      <c r="B3791" t="s">
        <v>225</v>
      </c>
      <c r="C3791" t="s">
        <v>55</v>
      </c>
      <c r="D3791" s="49">
        <v>45865</v>
      </c>
      <c r="E3791" s="49">
        <v>45866</v>
      </c>
      <c r="F3791" s="49">
        <v>45868</v>
      </c>
      <c r="G3791" s="49">
        <v>45871</v>
      </c>
      <c r="H3791" s="49">
        <v>45873</v>
      </c>
      <c r="I3791" s="49">
        <v>45875</v>
      </c>
      <c r="J3791" t="s">
        <v>49</v>
      </c>
      <c r="K3791" s="33">
        <v>4500</v>
      </c>
      <c r="L3791" t="s">
        <v>62</v>
      </c>
      <c r="M3791" t="str">
        <f>_xlfn.XLOOKUP(Pipeline_tbl[[#This Row],[Rep_ID]],Dim_Reps!A:A,Dim_Reps!K:K)</f>
        <v>USD</v>
      </c>
      <c r="N3791" s="33">
        <f>(_xlfn.XLOOKUP(Pipeline_tbl[[#This Row],[Rate_Code_Generalized]],Lookups!A:A,Lookups!B:B))*Pipeline_tbl[[#This Row],[Pipeline_Amount_USD]]</f>
        <v>5239.3499999999995</v>
      </c>
      <c r="O3791" t="str">
        <f>_xlfn.XLOOKUP(Pipeline_tbl[[#This Row],[Rep_ID]],Dim_Reps!A:A,Dim_Reps!B:B)</f>
        <v>Alex Muller</v>
      </c>
      <c r="P3791" t="str">
        <f>_xlfn.XLOOKUP(Pipeline_tbl[[#This Row],[Rep_ID]],Dim_Reps!A:A,Dim_Reps!C:C)</f>
        <v>SDR / Inside Sales Rep</v>
      </c>
      <c r="Q3791" t="str">
        <f>_xlfn.XLOOKUP(Pipeline_tbl[[#This Row],[Rep_ID]],Dim_Reps!A:A,Dim_Reps!D:D)</f>
        <v>Inside Sales</v>
      </c>
      <c r="R3791" t="str">
        <f>_xlfn.XLOOKUP(Pipeline_tbl[[#This Row],[Rep_ID]],Dim_Reps!A:A,Dim_Reps!E:E)</f>
        <v>NAMER</v>
      </c>
      <c r="S3791" t="str">
        <f>_xlfn.XLOOKUP(Pipeline_tbl[[#This Row],[Created_Date]],Dim_Date!A:A,Dim_Date!H:H)</f>
        <v>Jul 2025</v>
      </c>
      <c r="T3791" t="str">
        <f>IF(Pipeline_tbl[[#This Row],[Closed_Date]]=0,"",(_xlfn.XLOOKUP(Pipeline_tbl[[#This Row],[Closed_Date]],Dim_Date!A:A,Dim_Date!H:H)))</f>
        <v>Aug 2025</v>
      </c>
      <c r="U3791">
        <f>IF(Pipeline_tbl[[#This Row],[Closed_Date]]=0,"",Pipeline_tbl[[#This Row],[Closed_Date]]-Pipeline_tbl[[#This Row],[Created_Date]])</f>
        <v>10</v>
      </c>
    </row>
    <row r="3792" spans="1:21" ht="15" customHeight="1" x14ac:dyDescent="0.2">
      <c r="A3792" t="s">
        <v>4098</v>
      </c>
      <c r="B3792" t="s">
        <v>225</v>
      </c>
      <c r="C3792" t="s">
        <v>52</v>
      </c>
      <c r="D3792" s="49">
        <v>45864</v>
      </c>
      <c r="E3792" s="49">
        <v>45866</v>
      </c>
      <c r="F3792" s="49">
        <v>45869</v>
      </c>
      <c r="G3792" s="49">
        <v>45874</v>
      </c>
      <c r="H3792" s="49">
        <v>45878</v>
      </c>
      <c r="I3792" s="49">
        <v>45881</v>
      </c>
      <c r="J3792" t="s">
        <v>47</v>
      </c>
      <c r="K3792" s="33">
        <v>4200</v>
      </c>
      <c r="M3792" t="str">
        <f>_xlfn.XLOOKUP(Pipeline_tbl[[#This Row],[Rep_ID]],Dim_Reps!A:A,Dim_Reps!K:K)</f>
        <v>USD</v>
      </c>
      <c r="N3792" s="33">
        <f>(_xlfn.XLOOKUP(Pipeline_tbl[[#This Row],[Rate_Code_Generalized]],Lookups!A:A,Lookups!B:B))*Pipeline_tbl[[#This Row],[Pipeline_Amount_USD]]</f>
        <v>4890.0599999999995</v>
      </c>
      <c r="O3792" t="str">
        <f>_xlfn.XLOOKUP(Pipeline_tbl[[#This Row],[Rep_ID]],Dim_Reps!A:A,Dim_Reps!B:B)</f>
        <v>Alex Muller</v>
      </c>
      <c r="P3792" t="str">
        <f>_xlfn.XLOOKUP(Pipeline_tbl[[#This Row],[Rep_ID]],Dim_Reps!A:A,Dim_Reps!C:C)</f>
        <v>SDR / Inside Sales Rep</v>
      </c>
      <c r="Q3792" t="str">
        <f>_xlfn.XLOOKUP(Pipeline_tbl[[#This Row],[Rep_ID]],Dim_Reps!A:A,Dim_Reps!D:D)</f>
        <v>Inside Sales</v>
      </c>
      <c r="R3792" t="str">
        <f>_xlfn.XLOOKUP(Pipeline_tbl[[#This Row],[Rep_ID]],Dim_Reps!A:A,Dim_Reps!E:E)</f>
        <v>NAMER</v>
      </c>
      <c r="S3792" t="str">
        <f>_xlfn.XLOOKUP(Pipeline_tbl[[#This Row],[Created_Date]],Dim_Date!A:A,Dim_Date!H:H)</f>
        <v>Jul 2025</v>
      </c>
      <c r="T3792" t="str">
        <f>IF(Pipeline_tbl[[#This Row],[Closed_Date]]=0,"",(_xlfn.XLOOKUP(Pipeline_tbl[[#This Row],[Closed_Date]],Dim_Date!A:A,Dim_Date!H:H)))</f>
        <v>Aug 2025</v>
      </c>
      <c r="U3792">
        <f>IF(Pipeline_tbl[[#This Row],[Closed_Date]]=0,"",Pipeline_tbl[[#This Row],[Closed_Date]]-Pipeline_tbl[[#This Row],[Created_Date]])</f>
        <v>17</v>
      </c>
    </row>
    <row r="3793" spans="1:21" ht="15" customHeight="1" x14ac:dyDescent="0.2">
      <c r="A3793" t="s">
        <v>4099</v>
      </c>
      <c r="B3793" t="s">
        <v>225</v>
      </c>
      <c r="C3793" t="s">
        <v>54</v>
      </c>
      <c r="D3793" s="49">
        <v>45851</v>
      </c>
      <c r="E3793" s="49">
        <v>45853</v>
      </c>
      <c r="F3793" s="49">
        <v>45857</v>
      </c>
      <c r="G3793" s="49">
        <v>45864</v>
      </c>
      <c r="H3793" s="49">
        <v>45869</v>
      </c>
      <c r="I3793" s="49">
        <v>45872</v>
      </c>
      <c r="J3793" t="s">
        <v>47</v>
      </c>
      <c r="K3793" s="33">
        <v>3200</v>
      </c>
      <c r="M3793" t="str">
        <f>_xlfn.XLOOKUP(Pipeline_tbl[[#This Row],[Rep_ID]],Dim_Reps!A:A,Dim_Reps!K:K)</f>
        <v>USD</v>
      </c>
      <c r="N3793" s="33">
        <f>(_xlfn.XLOOKUP(Pipeline_tbl[[#This Row],[Rate_Code_Generalized]],Lookups!A:A,Lookups!B:B))*Pipeline_tbl[[#This Row],[Pipeline_Amount_USD]]</f>
        <v>3725.7599999999998</v>
      </c>
      <c r="O3793" t="str">
        <f>_xlfn.XLOOKUP(Pipeline_tbl[[#This Row],[Rep_ID]],Dim_Reps!A:A,Dim_Reps!B:B)</f>
        <v>Alex Muller</v>
      </c>
      <c r="P3793" t="str">
        <f>_xlfn.XLOOKUP(Pipeline_tbl[[#This Row],[Rep_ID]],Dim_Reps!A:A,Dim_Reps!C:C)</f>
        <v>SDR / Inside Sales Rep</v>
      </c>
      <c r="Q3793" t="str">
        <f>_xlfn.XLOOKUP(Pipeline_tbl[[#This Row],[Rep_ID]],Dim_Reps!A:A,Dim_Reps!D:D)</f>
        <v>Inside Sales</v>
      </c>
      <c r="R3793" t="str">
        <f>_xlfn.XLOOKUP(Pipeline_tbl[[#This Row],[Rep_ID]],Dim_Reps!A:A,Dim_Reps!E:E)</f>
        <v>NAMER</v>
      </c>
      <c r="S3793" t="str">
        <f>_xlfn.XLOOKUP(Pipeline_tbl[[#This Row],[Created_Date]],Dim_Date!A:A,Dim_Date!H:H)</f>
        <v>Jul 2025</v>
      </c>
      <c r="T3793" t="str">
        <f>IF(Pipeline_tbl[[#This Row],[Closed_Date]]=0,"",(_xlfn.XLOOKUP(Pipeline_tbl[[#This Row],[Closed_Date]],Dim_Date!A:A,Dim_Date!H:H)))</f>
        <v>Aug 2025</v>
      </c>
      <c r="U3793">
        <f>IF(Pipeline_tbl[[#This Row],[Closed_Date]]=0,"",Pipeline_tbl[[#This Row],[Closed_Date]]-Pipeline_tbl[[#This Row],[Created_Date]])</f>
        <v>21</v>
      </c>
    </row>
    <row r="3794" spans="1:21" ht="15" customHeight="1" x14ac:dyDescent="0.2">
      <c r="A3794" t="s">
        <v>4100</v>
      </c>
      <c r="B3794" t="s">
        <v>225</v>
      </c>
      <c r="C3794" t="s">
        <v>52</v>
      </c>
      <c r="D3794" s="49">
        <v>45850</v>
      </c>
      <c r="E3794" s="49">
        <v>45852</v>
      </c>
      <c r="F3794" s="49">
        <v>45856</v>
      </c>
      <c r="G3794" s="49">
        <v>45863</v>
      </c>
      <c r="H3794" s="49">
        <v>45868</v>
      </c>
      <c r="I3794" s="49">
        <v>45871</v>
      </c>
      <c r="J3794" t="s">
        <v>47</v>
      </c>
      <c r="K3794" s="33">
        <v>4000</v>
      </c>
      <c r="M3794" t="str">
        <f>_xlfn.XLOOKUP(Pipeline_tbl[[#This Row],[Rep_ID]],Dim_Reps!A:A,Dim_Reps!K:K)</f>
        <v>USD</v>
      </c>
      <c r="N3794" s="33">
        <f>(_xlfn.XLOOKUP(Pipeline_tbl[[#This Row],[Rate_Code_Generalized]],Lookups!A:A,Lookups!B:B))*Pipeline_tbl[[#This Row],[Pipeline_Amount_USD]]</f>
        <v>4657.2</v>
      </c>
      <c r="O3794" t="str">
        <f>_xlfn.XLOOKUP(Pipeline_tbl[[#This Row],[Rep_ID]],Dim_Reps!A:A,Dim_Reps!B:B)</f>
        <v>Alex Muller</v>
      </c>
      <c r="P3794" t="str">
        <f>_xlfn.XLOOKUP(Pipeline_tbl[[#This Row],[Rep_ID]],Dim_Reps!A:A,Dim_Reps!C:C)</f>
        <v>SDR / Inside Sales Rep</v>
      </c>
      <c r="Q3794" t="str">
        <f>_xlfn.XLOOKUP(Pipeline_tbl[[#This Row],[Rep_ID]],Dim_Reps!A:A,Dim_Reps!D:D)</f>
        <v>Inside Sales</v>
      </c>
      <c r="R3794" t="str">
        <f>_xlfn.XLOOKUP(Pipeline_tbl[[#This Row],[Rep_ID]],Dim_Reps!A:A,Dim_Reps!E:E)</f>
        <v>NAMER</v>
      </c>
      <c r="S3794" t="str">
        <f>_xlfn.XLOOKUP(Pipeline_tbl[[#This Row],[Created_Date]],Dim_Date!A:A,Dim_Date!H:H)</f>
        <v>Jul 2025</v>
      </c>
      <c r="T3794" t="str">
        <f>IF(Pipeline_tbl[[#This Row],[Closed_Date]]=0,"",(_xlfn.XLOOKUP(Pipeline_tbl[[#This Row],[Closed_Date]],Dim_Date!A:A,Dim_Date!H:H)))</f>
        <v>Aug 2025</v>
      </c>
      <c r="U3794">
        <f>IF(Pipeline_tbl[[#This Row],[Closed_Date]]=0,"",Pipeline_tbl[[#This Row],[Closed_Date]]-Pipeline_tbl[[#This Row],[Created_Date]])</f>
        <v>21</v>
      </c>
    </row>
    <row r="3795" spans="1:21" ht="15" customHeight="1" x14ac:dyDescent="0.2">
      <c r="A3795" t="s">
        <v>4101</v>
      </c>
      <c r="B3795" t="s">
        <v>225</v>
      </c>
      <c r="C3795" t="s">
        <v>52</v>
      </c>
      <c r="D3795" s="49">
        <v>45868</v>
      </c>
      <c r="E3795" s="49">
        <v>45871</v>
      </c>
      <c r="F3795" s="49">
        <v>45876</v>
      </c>
      <c r="G3795" s="49">
        <v>45884</v>
      </c>
      <c r="I3795" s="49">
        <v>45894</v>
      </c>
      <c r="J3795" t="s">
        <v>49</v>
      </c>
      <c r="K3795" s="33">
        <v>3700</v>
      </c>
      <c r="L3795" t="s">
        <v>61</v>
      </c>
      <c r="M3795" t="str">
        <f>_xlfn.XLOOKUP(Pipeline_tbl[[#This Row],[Rep_ID]],Dim_Reps!A:A,Dim_Reps!K:K)</f>
        <v>USD</v>
      </c>
      <c r="N3795" s="33">
        <f>(_xlfn.XLOOKUP(Pipeline_tbl[[#This Row],[Rate_Code_Generalized]],Lookups!A:A,Lookups!B:B))*Pipeline_tbl[[#This Row],[Pipeline_Amount_USD]]</f>
        <v>4307.91</v>
      </c>
      <c r="O3795" t="str">
        <f>_xlfn.XLOOKUP(Pipeline_tbl[[#This Row],[Rep_ID]],Dim_Reps!A:A,Dim_Reps!B:B)</f>
        <v>Alex Muller</v>
      </c>
      <c r="P3795" t="str">
        <f>_xlfn.XLOOKUP(Pipeline_tbl[[#This Row],[Rep_ID]],Dim_Reps!A:A,Dim_Reps!C:C)</f>
        <v>SDR / Inside Sales Rep</v>
      </c>
      <c r="Q3795" t="str">
        <f>_xlfn.XLOOKUP(Pipeline_tbl[[#This Row],[Rep_ID]],Dim_Reps!A:A,Dim_Reps!D:D)</f>
        <v>Inside Sales</v>
      </c>
      <c r="R3795" t="str">
        <f>_xlfn.XLOOKUP(Pipeline_tbl[[#This Row],[Rep_ID]],Dim_Reps!A:A,Dim_Reps!E:E)</f>
        <v>NAMER</v>
      </c>
      <c r="S3795" t="str">
        <f>_xlfn.XLOOKUP(Pipeline_tbl[[#This Row],[Created_Date]],Dim_Date!A:A,Dim_Date!H:H)</f>
        <v>Jul 2025</v>
      </c>
      <c r="T3795" t="str">
        <f>IF(Pipeline_tbl[[#This Row],[Closed_Date]]=0,"",(_xlfn.XLOOKUP(Pipeline_tbl[[#This Row],[Closed_Date]],Dim_Date!A:A,Dim_Date!H:H)))</f>
        <v>Aug 2025</v>
      </c>
      <c r="U3795">
        <f>IF(Pipeline_tbl[[#This Row],[Closed_Date]]=0,"",Pipeline_tbl[[#This Row],[Closed_Date]]-Pipeline_tbl[[#This Row],[Created_Date]])</f>
        <v>26</v>
      </c>
    </row>
    <row r="3796" spans="1:21" ht="15" customHeight="1" x14ac:dyDescent="0.2">
      <c r="A3796" t="s">
        <v>4102</v>
      </c>
      <c r="B3796" t="s">
        <v>227</v>
      </c>
      <c r="C3796" t="s">
        <v>53</v>
      </c>
      <c r="D3796" s="49">
        <v>45861</v>
      </c>
      <c r="E3796" s="49">
        <v>45863</v>
      </c>
      <c r="F3796" s="49">
        <v>45866</v>
      </c>
      <c r="G3796" s="49">
        <v>45872</v>
      </c>
      <c r="H3796" s="49">
        <v>45876</v>
      </c>
      <c r="I3796" s="49">
        <v>45879</v>
      </c>
      <c r="J3796" t="s">
        <v>47</v>
      </c>
      <c r="K3796" s="33">
        <v>3100</v>
      </c>
      <c r="M3796" t="str">
        <f>_xlfn.XLOOKUP(Pipeline_tbl[[#This Row],[Rep_ID]],Dim_Reps!A:A,Dim_Reps!K:K)</f>
        <v>EUR</v>
      </c>
      <c r="N3796" s="33">
        <f>(_xlfn.XLOOKUP(Pipeline_tbl[[#This Row],[Rate_Code_Generalized]],Lookups!A:A,Lookups!B:B))*Pipeline_tbl[[#This Row],[Pipeline_Amount_USD]]</f>
        <v>3100</v>
      </c>
      <c r="O3796" t="str">
        <f>_xlfn.XLOOKUP(Pipeline_tbl[[#This Row],[Rep_ID]],Dim_Reps!A:A,Dim_Reps!B:B)</f>
        <v>Liam Muller</v>
      </c>
      <c r="P3796" t="str">
        <f>_xlfn.XLOOKUP(Pipeline_tbl[[#This Row],[Rep_ID]],Dim_Reps!A:A,Dim_Reps!C:C)</f>
        <v>SDR / Inside Sales Rep</v>
      </c>
      <c r="Q3796" t="str">
        <f>_xlfn.XLOOKUP(Pipeline_tbl[[#This Row],[Rep_ID]],Dim_Reps!A:A,Dim_Reps!D:D)</f>
        <v>Inside Sales</v>
      </c>
      <c r="R3796" t="str">
        <f>_xlfn.XLOOKUP(Pipeline_tbl[[#This Row],[Rep_ID]],Dim_Reps!A:A,Dim_Reps!E:E)</f>
        <v>EMEA</v>
      </c>
      <c r="S3796" t="str">
        <f>_xlfn.XLOOKUP(Pipeline_tbl[[#This Row],[Created_Date]],Dim_Date!A:A,Dim_Date!H:H)</f>
        <v>Jul 2025</v>
      </c>
      <c r="T3796" t="str">
        <f>IF(Pipeline_tbl[[#This Row],[Closed_Date]]=0,"",(_xlfn.XLOOKUP(Pipeline_tbl[[#This Row],[Closed_Date]],Dim_Date!A:A,Dim_Date!H:H)))</f>
        <v>Aug 2025</v>
      </c>
      <c r="U3796">
        <f>IF(Pipeline_tbl[[#This Row],[Closed_Date]]=0,"",Pipeline_tbl[[#This Row],[Closed_Date]]-Pipeline_tbl[[#This Row],[Created_Date]])</f>
        <v>18</v>
      </c>
    </row>
    <row r="3797" spans="1:21" ht="15" customHeight="1" x14ac:dyDescent="0.2">
      <c r="A3797" t="s">
        <v>4103</v>
      </c>
      <c r="B3797" t="s">
        <v>227</v>
      </c>
      <c r="C3797" t="s">
        <v>52</v>
      </c>
      <c r="D3797" s="49">
        <v>45855</v>
      </c>
      <c r="E3797" s="49">
        <v>45857</v>
      </c>
      <c r="F3797" s="49">
        <v>45860</v>
      </c>
      <c r="G3797" s="49">
        <v>45866</v>
      </c>
      <c r="H3797" s="49">
        <v>45870</v>
      </c>
      <c r="I3797" s="49">
        <v>45873</v>
      </c>
      <c r="J3797" t="s">
        <v>47</v>
      </c>
      <c r="K3797" s="33">
        <v>2800</v>
      </c>
      <c r="M3797" t="str">
        <f>_xlfn.XLOOKUP(Pipeline_tbl[[#This Row],[Rep_ID]],Dim_Reps!A:A,Dim_Reps!K:K)</f>
        <v>EUR</v>
      </c>
      <c r="N3797" s="33">
        <f>(_xlfn.XLOOKUP(Pipeline_tbl[[#This Row],[Rate_Code_Generalized]],Lookups!A:A,Lookups!B:B))*Pipeline_tbl[[#This Row],[Pipeline_Amount_USD]]</f>
        <v>2800</v>
      </c>
      <c r="O3797" t="str">
        <f>_xlfn.XLOOKUP(Pipeline_tbl[[#This Row],[Rep_ID]],Dim_Reps!A:A,Dim_Reps!B:B)</f>
        <v>Liam Muller</v>
      </c>
      <c r="P3797" t="str">
        <f>_xlfn.XLOOKUP(Pipeline_tbl[[#This Row],[Rep_ID]],Dim_Reps!A:A,Dim_Reps!C:C)</f>
        <v>SDR / Inside Sales Rep</v>
      </c>
      <c r="Q3797" t="str">
        <f>_xlfn.XLOOKUP(Pipeline_tbl[[#This Row],[Rep_ID]],Dim_Reps!A:A,Dim_Reps!D:D)</f>
        <v>Inside Sales</v>
      </c>
      <c r="R3797" t="str">
        <f>_xlfn.XLOOKUP(Pipeline_tbl[[#This Row],[Rep_ID]],Dim_Reps!A:A,Dim_Reps!E:E)</f>
        <v>EMEA</v>
      </c>
      <c r="S3797" t="str">
        <f>_xlfn.XLOOKUP(Pipeline_tbl[[#This Row],[Created_Date]],Dim_Date!A:A,Dim_Date!H:H)</f>
        <v>Jul 2025</v>
      </c>
      <c r="T3797" t="str">
        <f>IF(Pipeline_tbl[[#This Row],[Closed_Date]]=0,"",(_xlfn.XLOOKUP(Pipeline_tbl[[#This Row],[Closed_Date]],Dim_Date!A:A,Dim_Date!H:H)))</f>
        <v>Aug 2025</v>
      </c>
      <c r="U3797">
        <f>IF(Pipeline_tbl[[#This Row],[Closed_Date]]=0,"",Pipeline_tbl[[#This Row],[Closed_Date]]-Pipeline_tbl[[#This Row],[Created_Date]])</f>
        <v>18</v>
      </c>
    </row>
    <row r="3798" spans="1:21" ht="15" customHeight="1" x14ac:dyDescent="0.2">
      <c r="A3798" t="s">
        <v>4104</v>
      </c>
      <c r="B3798" t="s">
        <v>227</v>
      </c>
      <c r="C3798" t="s">
        <v>53</v>
      </c>
      <c r="D3798" s="49">
        <v>45858</v>
      </c>
      <c r="E3798" s="49">
        <v>45860</v>
      </c>
      <c r="F3798" s="49">
        <v>45864</v>
      </c>
      <c r="G3798" s="49">
        <v>45871</v>
      </c>
      <c r="H3798" s="49">
        <v>45876</v>
      </c>
      <c r="I3798" s="49">
        <v>45879</v>
      </c>
      <c r="J3798" t="s">
        <v>47</v>
      </c>
      <c r="K3798" s="33">
        <v>3200</v>
      </c>
      <c r="M3798" t="str">
        <f>_xlfn.XLOOKUP(Pipeline_tbl[[#This Row],[Rep_ID]],Dim_Reps!A:A,Dim_Reps!K:K)</f>
        <v>EUR</v>
      </c>
      <c r="N3798" s="33">
        <f>(_xlfn.XLOOKUP(Pipeline_tbl[[#This Row],[Rate_Code_Generalized]],Lookups!A:A,Lookups!B:B))*Pipeline_tbl[[#This Row],[Pipeline_Amount_USD]]</f>
        <v>3200</v>
      </c>
      <c r="O3798" t="str">
        <f>_xlfn.XLOOKUP(Pipeline_tbl[[#This Row],[Rep_ID]],Dim_Reps!A:A,Dim_Reps!B:B)</f>
        <v>Liam Muller</v>
      </c>
      <c r="P3798" t="str">
        <f>_xlfn.XLOOKUP(Pipeline_tbl[[#This Row],[Rep_ID]],Dim_Reps!A:A,Dim_Reps!C:C)</f>
        <v>SDR / Inside Sales Rep</v>
      </c>
      <c r="Q3798" t="str">
        <f>_xlfn.XLOOKUP(Pipeline_tbl[[#This Row],[Rep_ID]],Dim_Reps!A:A,Dim_Reps!D:D)</f>
        <v>Inside Sales</v>
      </c>
      <c r="R3798" t="str">
        <f>_xlfn.XLOOKUP(Pipeline_tbl[[#This Row],[Rep_ID]],Dim_Reps!A:A,Dim_Reps!E:E)</f>
        <v>EMEA</v>
      </c>
      <c r="S3798" t="str">
        <f>_xlfn.XLOOKUP(Pipeline_tbl[[#This Row],[Created_Date]],Dim_Date!A:A,Dim_Date!H:H)</f>
        <v>Jul 2025</v>
      </c>
      <c r="T3798" t="str">
        <f>IF(Pipeline_tbl[[#This Row],[Closed_Date]]=0,"",(_xlfn.XLOOKUP(Pipeline_tbl[[#This Row],[Closed_Date]],Dim_Date!A:A,Dim_Date!H:H)))</f>
        <v>Aug 2025</v>
      </c>
      <c r="U3798">
        <f>IF(Pipeline_tbl[[#This Row],[Closed_Date]]=0,"",Pipeline_tbl[[#This Row],[Closed_Date]]-Pipeline_tbl[[#This Row],[Created_Date]])</f>
        <v>21</v>
      </c>
    </row>
    <row r="3799" spans="1:21" ht="15" customHeight="1" x14ac:dyDescent="0.2">
      <c r="A3799" t="s">
        <v>4105</v>
      </c>
      <c r="B3799" t="s">
        <v>191</v>
      </c>
      <c r="C3799" t="s">
        <v>52</v>
      </c>
      <c r="D3799" s="49">
        <v>45844</v>
      </c>
      <c r="E3799" s="49">
        <v>45849</v>
      </c>
      <c r="F3799" s="49">
        <v>45859</v>
      </c>
      <c r="G3799" s="49">
        <v>45874</v>
      </c>
      <c r="H3799" s="49">
        <v>45887</v>
      </c>
      <c r="I3799" s="49">
        <v>45894</v>
      </c>
      <c r="J3799" t="s">
        <v>47</v>
      </c>
      <c r="K3799" s="33">
        <v>50100</v>
      </c>
      <c r="M3799" t="str">
        <f>_xlfn.XLOOKUP(Pipeline_tbl[[#This Row],[Rep_ID]],Dim_Reps!A:A,Dim_Reps!K:K)</f>
        <v>USD</v>
      </c>
      <c r="N3799" s="33">
        <f>(_xlfn.XLOOKUP(Pipeline_tbl[[#This Row],[Rate_Code_Generalized]],Lookups!A:A,Lookups!B:B))*Pipeline_tbl[[#This Row],[Pipeline_Amount_USD]]</f>
        <v>58331.429999999993</v>
      </c>
      <c r="O3799" t="str">
        <f>_xlfn.XLOOKUP(Pipeline_tbl[[#This Row],[Rep_ID]],Dim_Reps!A:A,Dim_Reps!B:B)</f>
        <v>Zara Duarte</v>
      </c>
      <c r="P3799" t="str">
        <f>_xlfn.XLOOKUP(Pipeline_tbl[[#This Row],[Rep_ID]],Dim_Reps!A:A,Dim_Reps!C:C)</f>
        <v>Enterprise AE</v>
      </c>
      <c r="Q3799" t="str">
        <f>_xlfn.XLOOKUP(Pipeline_tbl[[#This Row],[Rep_ID]],Dim_Reps!A:A,Dim_Reps!D:D)</f>
        <v>Enterprise</v>
      </c>
      <c r="R3799" t="str">
        <f>_xlfn.XLOOKUP(Pipeline_tbl[[#This Row],[Rep_ID]],Dim_Reps!A:A,Dim_Reps!E:E)</f>
        <v>NAMER</v>
      </c>
      <c r="S3799" t="str">
        <f>_xlfn.XLOOKUP(Pipeline_tbl[[#This Row],[Created_Date]],Dim_Date!A:A,Dim_Date!H:H)</f>
        <v>Jul 2025</v>
      </c>
      <c r="T3799" t="str">
        <f>IF(Pipeline_tbl[[#This Row],[Closed_Date]]=0,"",(_xlfn.XLOOKUP(Pipeline_tbl[[#This Row],[Closed_Date]],Dim_Date!A:A,Dim_Date!H:H)))</f>
        <v>Aug 2025</v>
      </c>
      <c r="U3799">
        <f>IF(Pipeline_tbl[[#This Row],[Closed_Date]]=0,"",Pipeline_tbl[[#This Row],[Closed_Date]]-Pipeline_tbl[[#This Row],[Created_Date]])</f>
        <v>50</v>
      </c>
    </row>
    <row r="3800" spans="1:21" ht="15" customHeight="1" x14ac:dyDescent="0.2">
      <c r="A3800" t="s">
        <v>4106</v>
      </c>
      <c r="B3800" t="s">
        <v>191</v>
      </c>
      <c r="C3800" t="s">
        <v>56</v>
      </c>
      <c r="D3800" s="49">
        <v>45867</v>
      </c>
      <c r="E3800" s="49">
        <v>45870</v>
      </c>
      <c r="F3800" s="49">
        <v>45876</v>
      </c>
      <c r="G3800" s="49">
        <v>45884</v>
      </c>
      <c r="H3800" s="49">
        <v>45892</v>
      </c>
      <c r="I3800" s="49">
        <v>45896</v>
      </c>
      <c r="J3800" t="s">
        <v>47</v>
      </c>
      <c r="K3800" s="33">
        <v>27200</v>
      </c>
      <c r="M3800" t="str">
        <f>_xlfn.XLOOKUP(Pipeline_tbl[[#This Row],[Rep_ID]],Dim_Reps!A:A,Dim_Reps!K:K)</f>
        <v>USD</v>
      </c>
      <c r="N3800" s="33">
        <f>(_xlfn.XLOOKUP(Pipeline_tbl[[#This Row],[Rate_Code_Generalized]],Lookups!A:A,Lookups!B:B))*Pipeline_tbl[[#This Row],[Pipeline_Amount_USD]]</f>
        <v>31668.959999999995</v>
      </c>
      <c r="O3800" t="str">
        <f>_xlfn.XLOOKUP(Pipeline_tbl[[#This Row],[Rep_ID]],Dim_Reps!A:A,Dim_Reps!B:B)</f>
        <v>Zara Duarte</v>
      </c>
      <c r="P3800" t="str">
        <f>_xlfn.XLOOKUP(Pipeline_tbl[[#This Row],[Rep_ID]],Dim_Reps!A:A,Dim_Reps!C:C)</f>
        <v>Enterprise AE</v>
      </c>
      <c r="Q3800" t="str">
        <f>_xlfn.XLOOKUP(Pipeline_tbl[[#This Row],[Rep_ID]],Dim_Reps!A:A,Dim_Reps!D:D)</f>
        <v>Enterprise</v>
      </c>
      <c r="R3800" t="str">
        <f>_xlfn.XLOOKUP(Pipeline_tbl[[#This Row],[Rep_ID]],Dim_Reps!A:A,Dim_Reps!E:E)</f>
        <v>NAMER</v>
      </c>
      <c r="S3800" t="str">
        <f>_xlfn.XLOOKUP(Pipeline_tbl[[#This Row],[Created_Date]],Dim_Date!A:A,Dim_Date!H:H)</f>
        <v>Jul 2025</v>
      </c>
      <c r="T3800" t="str">
        <f>IF(Pipeline_tbl[[#This Row],[Closed_Date]]=0,"",(_xlfn.XLOOKUP(Pipeline_tbl[[#This Row],[Closed_Date]],Dim_Date!A:A,Dim_Date!H:H)))</f>
        <v>Aug 2025</v>
      </c>
      <c r="U3800">
        <f>IF(Pipeline_tbl[[#This Row],[Closed_Date]]=0,"",Pipeline_tbl[[#This Row],[Closed_Date]]-Pipeline_tbl[[#This Row],[Created_Date]])</f>
        <v>29</v>
      </c>
    </row>
    <row r="3801" spans="1:21" ht="15" customHeight="1" x14ac:dyDescent="0.2">
      <c r="A3801" t="s">
        <v>4107</v>
      </c>
      <c r="B3801" t="s">
        <v>229</v>
      </c>
      <c r="C3801" t="s">
        <v>52</v>
      </c>
      <c r="D3801" s="49">
        <v>45858</v>
      </c>
      <c r="E3801" s="49">
        <v>45859</v>
      </c>
      <c r="F3801" s="49">
        <v>45862</v>
      </c>
      <c r="G3801" s="49">
        <v>45865</v>
      </c>
      <c r="H3801" s="49">
        <v>45868</v>
      </c>
      <c r="I3801" s="49">
        <v>45870</v>
      </c>
      <c r="J3801" t="s">
        <v>47</v>
      </c>
      <c r="K3801" s="33">
        <v>4800</v>
      </c>
      <c r="M3801" t="str">
        <f>_xlfn.XLOOKUP(Pipeline_tbl[[#This Row],[Rep_ID]],Dim_Reps!A:A,Dim_Reps!K:K)</f>
        <v>USD</v>
      </c>
      <c r="N3801" s="33">
        <f>(_xlfn.XLOOKUP(Pipeline_tbl[[#This Row],[Rate_Code_Generalized]],Lookups!A:A,Lookups!B:B))*Pipeline_tbl[[#This Row],[Pipeline_Amount_USD]]</f>
        <v>5588.6399999999994</v>
      </c>
      <c r="O3801" t="str">
        <f>_xlfn.XLOOKUP(Pipeline_tbl[[#This Row],[Rep_ID]],Dim_Reps!A:A,Dim_Reps!B:B)</f>
        <v>Liam Castro</v>
      </c>
      <c r="P3801" t="str">
        <f>_xlfn.XLOOKUP(Pipeline_tbl[[#This Row],[Rep_ID]],Dim_Reps!A:A,Dim_Reps!C:C)</f>
        <v>SDR / Inside Sales Rep</v>
      </c>
      <c r="Q3801" t="str">
        <f>_xlfn.XLOOKUP(Pipeline_tbl[[#This Row],[Rep_ID]],Dim_Reps!A:A,Dim_Reps!D:D)</f>
        <v>Inside Sales</v>
      </c>
      <c r="R3801" t="str">
        <f>_xlfn.XLOOKUP(Pipeline_tbl[[#This Row],[Rep_ID]],Dim_Reps!A:A,Dim_Reps!E:E)</f>
        <v>NAMER</v>
      </c>
      <c r="S3801" t="str">
        <f>_xlfn.XLOOKUP(Pipeline_tbl[[#This Row],[Created_Date]],Dim_Date!A:A,Dim_Date!H:H)</f>
        <v>Jul 2025</v>
      </c>
      <c r="T3801" t="str">
        <f>IF(Pipeline_tbl[[#This Row],[Closed_Date]]=0,"",(_xlfn.XLOOKUP(Pipeline_tbl[[#This Row],[Closed_Date]],Dim_Date!A:A,Dim_Date!H:H)))</f>
        <v>Aug 2025</v>
      </c>
      <c r="U3801">
        <f>IF(Pipeline_tbl[[#This Row],[Closed_Date]]=0,"",Pipeline_tbl[[#This Row],[Closed_Date]]-Pipeline_tbl[[#This Row],[Created_Date]])</f>
        <v>12</v>
      </c>
    </row>
    <row r="3802" spans="1:21" ht="15" customHeight="1" x14ac:dyDescent="0.2">
      <c r="A3802" t="s">
        <v>4108</v>
      </c>
      <c r="B3802" t="s">
        <v>229</v>
      </c>
      <c r="C3802" t="s">
        <v>52</v>
      </c>
      <c r="D3802" s="49">
        <v>45858</v>
      </c>
      <c r="E3802" s="49">
        <v>45859</v>
      </c>
      <c r="F3802" s="49">
        <v>45862</v>
      </c>
      <c r="G3802" s="49">
        <v>45865</v>
      </c>
      <c r="H3802" s="49">
        <v>45868</v>
      </c>
      <c r="I3802" s="49">
        <v>45870</v>
      </c>
      <c r="J3802" t="s">
        <v>47</v>
      </c>
      <c r="K3802" s="33">
        <v>3900</v>
      </c>
      <c r="M3802" t="str">
        <f>_xlfn.XLOOKUP(Pipeline_tbl[[#This Row],[Rep_ID]],Dim_Reps!A:A,Dim_Reps!K:K)</f>
        <v>USD</v>
      </c>
      <c r="N3802" s="33">
        <f>(_xlfn.XLOOKUP(Pipeline_tbl[[#This Row],[Rate_Code_Generalized]],Lookups!A:A,Lookups!B:B))*Pipeline_tbl[[#This Row],[Pipeline_Amount_USD]]</f>
        <v>4540.7699999999995</v>
      </c>
      <c r="O3802" t="str">
        <f>_xlfn.XLOOKUP(Pipeline_tbl[[#This Row],[Rep_ID]],Dim_Reps!A:A,Dim_Reps!B:B)</f>
        <v>Liam Castro</v>
      </c>
      <c r="P3802" t="str">
        <f>_xlfn.XLOOKUP(Pipeline_tbl[[#This Row],[Rep_ID]],Dim_Reps!A:A,Dim_Reps!C:C)</f>
        <v>SDR / Inside Sales Rep</v>
      </c>
      <c r="Q3802" t="str">
        <f>_xlfn.XLOOKUP(Pipeline_tbl[[#This Row],[Rep_ID]],Dim_Reps!A:A,Dim_Reps!D:D)</f>
        <v>Inside Sales</v>
      </c>
      <c r="R3802" t="str">
        <f>_xlfn.XLOOKUP(Pipeline_tbl[[#This Row],[Rep_ID]],Dim_Reps!A:A,Dim_Reps!E:E)</f>
        <v>NAMER</v>
      </c>
      <c r="S3802" t="str">
        <f>_xlfn.XLOOKUP(Pipeline_tbl[[#This Row],[Created_Date]],Dim_Date!A:A,Dim_Date!H:H)</f>
        <v>Jul 2025</v>
      </c>
      <c r="T3802" t="str">
        <f>IF(Pipeline_tbl[[#This Row],[Closed_Date]]=0,"",(_xlfn.XLOOKUP(Pipeline_tbl[[#This Row],[Closed_Date]],Dim_Date!A:A,Dim_Date!H:H)))</f>
        <v>Aug 2025</v>
      </c>
      <c r="U3802">
        <f>IF(Pipeline_tbl[[#This Row],[Closed_Date]]=0,"",Pipeline_tbl[[#This Row],[Closed_Date]]-Pipeline_tbl[[#This Row],[Created_Date]])</f>
        <v>12</v>
      </c>
    </row>
    <row r="3803" spans="1:21" ht="15" customHeight="1" x14ac:dyDescent="0.2">
      <c r="A3803" t="s">
        <v>4109</v>
      </c>
      <c r="B3803" t="s">
        <v>229</v>
      </c>
      <c r="C3803" t="s">
        <v>53</v>
      </c>
      <c r="D3803" s="49">
        <v>45860</v>
      </c>
      <c r="E3803" s="49">
        <v>45862</v>
      </c>
      <c r="F3803" s="49">
        <v>45865</v>
      </c>
      <c r="G3803" s="49">
        <v>45870</v>
      </c>
      <c r="H3803" s="49">
        <v>45874</v>
      </c>
      <c r="I3803" s="49">
        <v>45876</v>
      </c>
      <c r="J3803" t="s">
        <v>49</v>
      </c>
      <c r="K3803" s="33">
        <v>2600</v>
      </c>
      <c r="L3803" t="s">
        <v>63</v>
      </c>
      <c r="M3803" t="str">
        <f>_xlfn.XLOOKUP(Pipeline_tbl[[#This Row],[Rep_ID]],Dim_Reps!A:A,Dim_Reps!K:K)</f>
        <v>USD</v>
      </c>
      <c r="N3803" s="33">
        <f>(_xlfn.XLOOKUP(Pipeline_tbl[[#This Row],[Rate_Code_Generalized]],Lookups!A:A,Lookups!B:B))*Pipeline_tbl[[#This Row],[Pipeline_Amount_USD]]</f>
        <v>3027.18</v>
      </c>
      <c r="O3803" t="str">
        <f>_xlfn.XLOOKUP(Pipeline_tbl[[#This Row],[Rep_ID]],Dim_Reps!A:A,Dim_Reps!B:B)</f>
        <v>Liam Castro</v>
      </c>
      <c r="P3803" t="str">
        <f>_xlfn.XLOOKUP(Pipeline_tbl[[#This Row],[Rep_ID]],Dim_Reps!A:A,Dim_Reps!C:C)</f>
        <v>SDR / Inside Sales Rep</v>
      </c>
      <c r="Q3803" t="str">
        <f>_xlfn.XLOOKUP(Pipeline_tbl[[#This Row],[Rep_ID]],Dim_Reps!A:A,Dim_Reps!D:D)</f>
        <v>Inside Sales</v>
      </c>
      <c r="R3803" t="str">
        <f>_xlfn.XLOOKUP(Pipeline_tbl[[#This Row],[Rep_ID]],Dim_Reps!A:A,Dim_Reps!E:E)</f>
        <v>NAMER</v>
      </c>
      <c r="S3803" t="str">
        <f>_xlfn.XLOOKUP(Pipeline_tbl[[#This Row],[Created_Date]],Dim_Date!A:A,Dim_Date!H:H)</f>
        <v>Jul 2025</v>
      </c>
      <c r="T3803" t="str">
        <f>IF(Pipeline_tbl[[#This Row],[Closed_Date]]=0,"",(_xlfn.XLOOKUP(Pipeline_tbl[[#This Row],[Closed_Date]],Dim_Date!A:A,Dim_Date!H:H)))</f>
        <v>Aug 2025</v>
      </c>
      <c r="U3803">
        <f>IF(Pipeline_tbl[[#This Row],[Closed_Date]]=0,"",Pipeline_tbl[[#This Row],[Closed_Date]]-Pipeline_tbl[[#This Row],[Created_Date]])</f>
        <v>16</v>
      </c>
    </row>
    <row r="3804" spans="1:21" ht="15" customHeight="1" x14ac:dyDescent="0.2">
      <c r="A3804" t="s">
        <v>4110</v>
      </c>
      <c r="B3804" t="s">
        <v>231</v>
      </c>
      <c r="C3804" t="s">
        <v>52</v>
      </c>
      <c r="D3804" s="49">
        <v>45862</v>
      </c>
      <c r="E3804" s="49">
        <v>45864</v>
      </c>
      <c r="F3804" s="49">
        <v>45867</v>
      </c>
      <c r="I3804" s="49">
        <v>45877</v>
      </c>
      <c r="J3804" t="s">
        <v>49</v>
      </c>
      <c r="K3804" s="33">
        <v>3800</v>
      </c>
      <c r="L3804" t="s">
        <v>60</v>
      </c>
      <c r="M3804" t="str">
        <f>_xlfn.XLOOKUP(Pipeline_tbl[[#This Row],[Rep_ID]],Dim_Reps!A:A,Dim_Reps!K:K)</f>
        <v>MXN</v>
      </c>
      <c r="N3804" s="33">
        <f>(_xlfn.XLOOKUP(Pipeline_tbl[[#This Row],[Rate_Code_Generalized]],Lookups!A:A,Lookups!B:B))*Pipeline_tbl[[#This Row],[Pipeline_Amount_USD]]</f>
        <v>74984.260000000009</v>
      </c>
      <c r="O3804" t="str">
        <f>_xlfn.XLOOKUP(Pipeline_tbl[[#This Row],[Rep_ID]],Dim_Reps!A:A,Dim_Reps!B:B)</f>
        <v>Ben Silva</v>
      </c>
      <c r="P3804" t="str">
        <f>_xlfn.XLOOKUP(Pipeline_tbl[[#This Row],[Rep_ID]],Dim_Reps!A:A,Dim_Reps!C:C)</f>
        <v>SDR / Inside Sales Rep</v>
      </c>
      <c r="Q3804" t="str">
        <f>_xlfn.XLOOKUP(Pipeline_tbl[[#This Row],[Rep_ID]],Dim_Reps!A:A,Dim_Reps!D:D)</f>
        <v>Inside Sales</v>
      </c>
      <c r="R3804" t="str">
        <f>_xlfn.XLOOKUP(Pipeline_tbl[[#This Row],[Rep_ID]],Dim_Reps!A:A,Dim_Reps!E:E)</f>
        <v>LATAM</v>
      </c>
      <c r="S3804" t="str">
        <f>_xlfn.XLOOKUP(Pipeline_tbl[[#This Row],[Created_Date]],Dim_Date!A:A,Dim_Date!H:H)</f>
        <v>Jul 2025</v>
      </c>
      <c r="T3804" t="str">
        <f>IF(Pipeline_tbl[[#This Row],[Closed_Date]]=0,"",(_xlfn.XLOOKUP(Pipeline_tbl[[#This Row],[Closed_Date]],Dim_Date!A:A,Dim_Date!H:H)))</f>
        <v>Aug 2025</v>
      </c>
      <c r="U3804">
        <f>IF(Pipeline_tbl[[#This Row],[Closed_Date]]=0,"",Pipeline_tbl[[#This Row],[Closed_Date]]-Pipeline_tbl[[#This Row],[Created_Date]])</f>
        <v>15</v>
      </c>
    </row>
    <row r="3805" spans="1:21" ht="15" customHeight="1" x14ac:dyDescent="0.2">
      <c r="A3805" t="s">
        <v>4111</v>
      </c>
      <c r="B3805" t="s">
        <v>231</v>
      </c>
      <c r="C3805" t="s">
        <v>52</v>
      </c>
      <c r="D3805" s="49">
        <v>45849</v>
      </c>
      <c r="E3805" s="49">
        <v>45852</v>
      </c>
      <c r="F3805" s="49">
        <v>45857</v>
      </c>
      <c r="G3805" s="49">
        <v>45865</v>
      </c>
      <c r="I3805" s="49">
        <v>45876</v>
      </c>
      <c r="J3805" t="s">
        <v>49</v>
      </c>
      <c r="K3805" s="33">
        <v>3100</v>
      </c>
      <c r="L3805" t="s">
        <v>62</v>
      </c>
      <c r="M3805" t="str">
        <f>_xlfn.XLOOKUP(Pipeline_tbl[[#This Row],[Rep_ID]],Dim_Reps!A:A,Dim_Reps!K:K)</f>
        <v>MXN</v>
      </c>
      <c r="N3805" s="33">
        <f>(_xlfn.XLOOKUP(Pipeline_tbl[[#This Row],[Rate_Code_Generalized]],Lookups!A:A,Lookups!B:B))*Pipeline_tbl[[#This Row],[Pipeline_Amount_USD]]</f>
        <v>61171.37</v>
      </c>
      <c r="O3805" t="str">
        <f>_xlfn.XLOOKUP(Pipeline_tbl[[#This Row],[Rep_ID]],Dim_Reps!A:A,Dim_Reps!B:B)</f>
        <v>Ben Silva</v>
      </c>
      <c r="P3805" t="str">
        <f>_xlfn.XLOOKUP(Pipeline_tbl[[#This Row],[Rep_ID]],Dim_Reps!A:A,Dim_Reps!C:C)</f>
        <v>SDR / Inside Sales Rep</v>
      </c>
      <c r="Q3805" t="str">
        <f>_xlfn.XLOOKUP(Pipeline_tbl[[#This Row],[Rep_ID]],Dim_Reps!A:A,Dim_Reps!D:D)</f>
        <v>Inside Sales</v>
      </c>
      <c r="R3805" t="str">
        <f>_xlfn.XLOOKUP(Pipeline_tbl[[#This Row],[Rep_ID]],Dim_Reps!A:A,Dim_Reps!E:E)</f>
        <v>LATAM</v>
      </c>
      <c r="S3805" t="str">
        <f>_xlfn.XLOOKUP(Pipeline_tbl[[#This Row],[Created_Date]],Dim_Date!A:A,Dim_Date!H:H)</f>
        <v>Jul 2025</v>
      </c>
      <c r="T3805" t="str">
        <f>IF(Pipeline_tbl[[#This Row],[Closed_Date]]=0,"",(_xlfn.XLOOKUP(Pipeline_tbl[[#This Row],[Closed_Date]],Dim_Date!A:A,Dim_Date!H:H)))</f>
        <v>Aug 2025</v>
      </c>
      <c r="U3805">
        <f>IF(Pipeline_tbl[[#This Row],[Closed_Date]]=0,"",Pipeline_tbl[[#This Row],[Closed_Date]]-Pipeline_tbl[[#This Row],[Created_Date]])</f>
        <v>27</v>
      </c>
    </row>
    <row r="3806" spans="1:21" ht="15" customHeight="1" x14ac:dyDescent="0.2">
      <c r="A3806" t="s">
        <v>4112</v>
      </c>
      <c r="B3806" t="s">
        <v>231</v>
      </c>
      <c r="C3806" t="s">
        <v>55</v>
      </c>
      <c r="D3806" s="49">
        <v>45853</v>
      </c>
      <c r="E3806" s="49">
        <v>45855</v>
      </c>
      <c r="F3806" s="49">
        <v>45860</v>
      </c>
      <c r="G3806" s="49">
        <v>45866</v>
      </c>
      <c r="I3806" s="49">
        <v>45875</v>
      </c>
      <c r="J3806" t="s">
        <v>49</v>
      </c>
      <c r="K3806" s="33">
        <v>2200</v>
      </c>
      <c r="L3806" t="s">
        <v>61</v>
      </c>
      <c r="M3806" t="str">
        <f>_xlfn.XLOOKUP(Pipeline_tbl[[#This Row],[Rep_ID]],Dim_Reps!A:A,Dim_Reps!K:K)</f>
        <v>MXN</v>
      </c>
      <c r="N3806" s="33">
        <f>(_xlfn.XLOOKUP(Pipeline_tbl[[#This Row],[Rate_Code_Generalized]],Lookups!A:A,Lookups!B:B))*Pipeline_tbl[[#This Row],[Pipeline_Amount_USD]]</f>
        <v>43411.94</v>
      </c>
      <c r="O3806" t="str">
        <f>_xlfn.XLOOKUP(Pipeline_tbl[[#This Row],[Rep_ID]],Dim_Reps!A:A,Dim_Reps!B:B)</f>
        <v>Ben Silva</v>
      </c>
      <c r="P3806" t="str">
        <f>_xlfn.XLOOKUP(Pipeline_tbl[[#This Row],[Rep_ID]],Dim_Reps!A:A,Dim_Reps!C:C)</f>
        <v>SDR / Inside Sales Rep</v>
      </c>
      <c r="Q3806" t="str">
        <f>_xlfn.XLOOKUP(Pipeline_tbl[[#This Row],[Rep_ID]],Dim_Reps!A:A,Dim_Reps!D:D)</f>
        <v>Inside Sales</v>
      </c>
      <c r="R3806" t="str">
        <f>_xlfn.XLOOKUP(Pipeline_tbl[[#This Row],[Rep_ID]],Dim_Reps!A:A,Dim_Reps!E:E)</f>
        <v>LATAM</v>
      </c>
      <c r="S3806" t="str">
        <f>_xlfn.XLOOKUP(Pipeline_tbl[[#This Row],[Created_Date]],Dim_Date!A:A,Dim_Date!H:H)</f>
        <v>Jul 2025</v>
      </c>
      <c r="T3806" t="str">
        <f>IF(Pipeline_tbl[[#This Row],[Closed_Date]]=0,"",(_xlfn.XLOOKUP(Pipeline_tbl[[#This Row],[Closed_Date]],Dim_Date!A:A,Dim_Date!H:H)))</f>
        <v>Aug 2025</v>
      </c>
      <c r="U3806">
        <f>IF(Pipeline_tbl[[#This Row],[Closed_Date]]=0,"",Pipeline_tbl[[#This Row],[Closed_Date]]-Pipeline_tbl[[#This Row],[Created_Date]])</f>
        <v>22</v>
      </c>
    </row>
    <row r="3807" spans="1:21" ht="15" customHeight="1" x14ac:dyDescent="0.2">
      <c r="A3807" t="s">
        <v>4113</v>
      </c>
      <c r="B3807" t="s">
        <v>231</v>
      </c>
      <c r="C3807" t="s">
        <v>55</v>
      </c>
      <c r="D3807" s="49">
        <v>45846</v>
      </c>
      <c r="E3807" s="49">
        <v>45848</v>
      </c>
      <c r="F3807" s="49">
        <v>45853</v>
      </c>
      <c r="G3807" s="49">
        <v>45860</v>
      </c>
      <c r="H3807" s="49">
        <v>45866</v>
      </c>
      <c r="I3807" s="49">
        <v>45870</v>
      </c>
      <c r="J3807" t="s">
        <v>49</v>
      </c>
      <c r="K3807" s="33">
        <v>5800</v>
      </c>
      <c r="L3807" t="s">
        <v>62</v>
      </c>
      <c r="M3807" t="str">
        <f>_xlfn.XLOOKUP(Pipeline_tbl[[#This Row],[Rep_ID]],Dim_Reps!A:A,Dim_Reps!K:K)</f>
        <v>MXN</v>
      </c>
      <c r="N3807" s="33">
        <f>(_xlfn.XLOOKUP(Pipeline_tbl[[#This Row],[Rate_Code_Generalized]],Lookups!A:A,Lookups!B:B))*Pipeline_tbl[[#This Row],[Pipeline_Amount_USD]]</f>
        <v>114449.66</v>
      </c>
      <c r="O3807" t="str">
        <f>_xlfn.XLOOKUP(Pipeline_tbl[[#This Row],[Rep_ID]],Dim_Reps!A:A,Dim_Reps!B:B)</f>
        <v>Ben Silva</v>
      </c>
      <c r="P3807" t="str">
        <f>_xlfn.XLOOKUP(Pipeline_tbl[[#This Row],[Rep_ID]],Dim_Reps!A:A,Dim_Reps!C:C)</f>
        <v>SDR / Inside Sales Rep</v>
      </c>
      <c r="Q3807" t="str">
        <f>_xlfn.XLOOKUP(Pipeline_tbl[[#This Row],[Rep_ID]],Dim_Reps!A:A,Dim_Reps!D:D)</f>
        <v>Inside Sales</v>
      </c>
      <c r="R3807" t="str">
        <f>_xlfn.XLOOKUP(Pipeline_tbl[[#This Row],[Rep_ID]],Dim_Reps!A:A,Dim_Reps!E:E)</f>
        <v>LATAM</v>
      </c>
      <c r="S3807" t="str">
        <f>_xlfn.XLOOKUP(Pipeline_tbl[[#This Row],[Created_Date]],Dim_Date!A:A,Dim_Date!H:H)</f>
        <v>Jul 2025</v>
      </c>
      <c r="T3807" t="str">
        <f>IF(Pipeline_tbl[[#This Row],[Closed_Date]]=0,"",(_xlfn.XLOOKUP(Pipeline_tbl[[#This Row],[Closed_Date]],Dim_Date!A:A,Dim_Date!H:H)))</f>
        <v>Aug 2025</v>
      </c>
      <c r="U3807">
        <f>IF(Pipeline_tbl[[#This Row],[Closed_Date]]=0,"",Pipeline_tbl[[#This Row],[Closed_Date]]-Pipeline_tbl[[#This Row],[Created_Date]])</f>
        <v>24</v>
      </c>
    </row>
    <row r="3808" spans="1:21" ht="15" customHeight="1" x14ac:dyDescent="0.2">
      <c r="A3808" t="s">
        <v>4114</v>
      </c>
      <c r="B3808" t="s">
        <v>231</v>
      </c>
      <c r="C3808" t="s">
        <v>52</v>
      </c>
      <c r="D3808" s="49">
        <v>45869</v>
      </c>
      <c r="E3808" s="49">
        <v>45871</v>
      </c>
      <c r="F3808" s="49">
        <v>45874</v>
      </c>
      <c r="I3808" s="49">
        <v>45884</v>
      </c>
      <c r="J3808" t="s">
        <v>49</v>
      </c>
      <c r="K3808" s="33">
        <v>2500</v>
      </c>
      <c r="L3808" t="s">
        <v>61</v>
      </c>
      <c r="M3808" t="str">
        <f>_xlfn.XLOOKUP(Pipeline_tbl[[#This Row],[Rep_ID]],Dim_Reps!A:A,Dim_Reps!K:K)</f>
        <v>MXN</v>
      </c>
      <c r="N3808" s="33">
        <f>(_xlfn.XLOOKUP(Pipeline_tbl[[#This Row],[Rate_Code_Generalized]],Lookups!A:A,Lookups!B:B))*Pipeline_tbl[[#This Row],[Pipeline_Amount_USD]]</f>
        <v>49331.75</v>
      </c>
      <c r="O3808" t="str">
        <f>_xlfn.XLOOKUP(Pipeline_tbl[[#This Row],[Rep_ID]],Dim_Reps!A:A,Dim_Reps!B:B)</f>
        <v>Ben Silva</v>
      </c>
      <c r="P3808" t="str">
        <f>_xlfn.XLOOKUP(Pipeline_tbl[[#This Row],[Rep_ID]],Dim_Reps!A:A,Dim_Reps!C:C)</f>
        <v>SDR / Inside Sales Rep</v>
      </c>
      <c r="Q3808" t="str">
        <f>_xlfn.XLOOKUP(Pipeline_tbl[[#This Row],[Rep_ID]],Dim_Reps!A:A,Dim_Reps!D:D)</f>
        <v>Inside Sales</v>
      </c>
      <c r="R3808" t="str">
        <f>_xlfn.XLOOKUP(Pipeline_tbl[[#This Row],[Rep_ID]],Dim_Reps!A:A,Dim_Reps!E:E)</f>
        <v>LATAM</v>
      </c>
      <c r="S3808" t="str">
        <f>_xlfn.XLOOKUP(Pipeline_tbl[[#This Row],[Created_Date]],Dim_Date!A:A,Dim_Date!H:H)</f>
        <v>Jul 2025</v>
      </c>
      <c r="T3808" t="str">
        <f>IF(Pipeline_tbl[[#This Row],[Closed_Date]]=0,"",(_xlfn.XLOOKUP(Pipeline_tbl[[#This Row],[Closed_Date]],Dim_Date!A:A,Dim_Date!H:H)))</f>
        <v>Aug 2025</v>
      </c>
      <c r="U3808">
        <f>IF(Pipeline_tbl[[#This Row],[Closed_Date]]=0,"",Pipeline_tbl[[#This Row],[Closed_Date]]-Pipeline_tbl[[#This Row],[Created_Date]])</f>
        <v>15</v>
      </c>
    </row>
    <row r="3809" spans="1:21" ht="15" customHeight="1" x14ac:dyDescent="0.2">
      <c r="A3809" t="s">
        <v>4115</v>
      </c>
      <c r="B3809" t="s">
        <v>263</v>
      </c>
      <c r="C3809" t="s">
        <v>55</v>
      </c>
      <c r="D3809" s="49">
        <v>45864</v>
      </c>
      <c r="E3809" s="49">
        <v>45866</v>
      </c>
      <c r="F3809" s="49">
        <v>45871</v>
      </c>
      <c r="I3809" s="49">
        <v>45887</v>
      </c>
      <c r="J3809" t="s">
        <v>49</v>
      </c>
      <c r="K3809" s="33">
        <v>6100</v>
      </c>
      <c r="L3809" t="s">
        <v>61</v>
      </c>
      <c r="M3809" t="str">
        <f>_xlfn.XLOOKUP(Pipeline_tbl[[#This Row],[Rep_ID]],Dim_Reps!A:A,Dim_Reps!K:K)</f>
        <v>USD</v>
      </c>
      <c r="N3809" s="33">
        <f>(_xlfn.XLOOKUP(Pipeline_tbl[[#This Row],[Rate_Code_Generalized]],Lookups!A:A,Lookups!B:B))*Pipeline_tbl[[#This Row],[Pipeline_Amount_USD]]</f>
        <v>7102.23</v>
      </c>
      <c r="O3809" t="str">
        <f>_xlfn.XLOOKUP(Pipeline_tbl[[#This Row],[Rep_ID]],Dim_Reps!A:A,Dim_Reps!B:B)</f>
        <v>Morgan Weber</v>
      </c>
      <c r="P3809" t="str">
        <f>_xlfn.XLOOKUP(Pipeline_tbl[[#This Row],[Rep_ID]],Dim_Reps!A:A,Dim_Reps!C:C)</f>
        <v>Mid-Market AE</v>
      </c>
      <c r="Q3809" t="str">
        <f>_xlfn.XLOOKUP(Pipeline_tbl[[#This Row],[Rep_ID]],Dim_Reps!A:A,Dim_Reps!D:D)</f>
        <v>Mid-Market</v>
      </c>
      <c r="R3809" t="str">
        <f>_xlfn.XLOOKUP(Pipeline_tbl[[#This Row],[Rep_ID]],Dim_Reps!A:A,Dim_Reps!E:E)</f>
        <v>NAMER</v>
      </c>
      <c r="S3809" t="str">
        <f>_xlfn.XLOOKUP(Pipeline_tbl[[#This Row],[Created_Date]],Dim_Date!A:A,Dim_Date!H:H)</f>
        <v>Jul 2025</v>
      </c>
      <c r="T3809" t="str">
        <f>IF(Pipeline_tbl[[#This Row],[Closed_Date]]=0,"",(_xlfn.XLOOKUP(Pipeline_tbl[[#This Row],[Closed_Date]],Dim_Date!A:A,Dim_Date!H:H)))</f>
        <v>Aug 2025</v>
      </c>
      <c r="U3809">
        <f>IF(Pipeline_tbl[[#This Row],[Closed_Date]]=0,"",Pipeline_tbl[[#This Row],[Closed_Date]]-Pipeline_tbl[[#This Row],[Created_Date]])</f>
        <v>23</v>
      </c>
    </row>
    <row r="3810" spans="1:21" ht="15" customHeight="1" x14ac:dyDescent="0.2">
      <c r="A3810" t="s">
        <v>4116</v>
      </c>
      <c r="B3810" t="s">
        <v>263</v>
      </c>
      <c r="C3810" t="s">
        <v>53</v>
      </c>
      <c r="D3810" s="49">
        <v>45854</v>
      </c>
      <c r="E3810" s="49">
        <v>45858</v>
      </c>
      <c r="F3810" s="49">
        <v>45867</v>
      </c>
      <c r="G3810" s="49">
        <v>45880</v>
      </c>
      <c r="H3810" s="49">
        <v>45891</v>
      </c>
      <c r="I3810" s="49">
        <v>45897</v>
      </c>
      <c r="J3810" t="s">
        <v>47</v>
      </c>
      <c r="K3810" s="33">
        <v>14000</v>
      </c>
      <c r="M3810" t="str">
        <f>_xlfn.XLOOKUP(Pipeline_tbl[[#This Row],[Rep_ID]],Dim_Reps!A:A,Dim_Reps!K:K)</f>
        <v>USD</v>
      </c>
      <c r="N3810" s="33">
        <f>(_xlfn.XLOOKUP(Pipeline_tbl[[#This Row],[Rate_Code_Generalized]],Lookups!A:A,Lookups!B:B))*Pipeline_tbl[[#This Row],[Pipeline_Amount_USD]]</f>
        <v>16300.199999999999</v>
      </c>
      <c r="O3810" t="str">
        <f>_xlfn.XLOOKUP(Pipeline_tbl[[#This Row],[Rep_ID]],Dim_Reps!A:A,Dim_Reps!B:B)</f>
        <v>Morgan Weber</v>
      </c>
      <c r="P3810" t="str">
        <f>_xlfn.XLOOKUP(Pipeline_tbl[[#This Row],[Rep_ID]],Dim_Reps!A:A,Dim_Reps!C:C)</f>
        <v>Mid-Market AE</v>
      </c>
      <c r="Q3810" t="str">
        <f>_xlfn.XLOOKUP(Pipeline_tbl[[#This Row],[Rep_ID]],Dim_Reps!A:A,Dim_Reps!D:D)</f>
        <v>Mid-Market</v>
      </c>
      <c r="R3810" t="str">
        <f>_xlfn.XLOOKUP(Pipeline_tbl[[#This Row],[Rep_ID]],Dim_Reps!A:A,Dim_Reps!E:E)</f>
        <v>NAMER</v>
      </c>
      <c r="S3810" t="str">
        <f>_xlfn.XLOOKUP(Pipeline_tbl[[#This Row],[Created_Date]],Dim_Date!A:A,Dim_Date!H:H)</f>
        <v>Jul 2025</v>
      </c>
      <c r="T3810" t="str">
        <f>IF(Pipeline_tbl[[#This Row],[Closed_Date]]=0,"",(_xlfn.XLOOKUP(Pipeline_tbl[[#This Row],[Closed_Date]],Dim_Date!A:A,Dim_Date!H:H)))</f>
        <v>Aug 2025</v>
      </c>
      <c r="U3810">
        <f>IF(Pipeline_tbl[[#This Row],[Closed_Date]]=0,"",Pipeline_tbl[[#This Row],[Closed_Date]]-Pipeline_tbl[[#This Row],[Created_Date]])</f>
        <v>43</v>
      </c>
    </row>
    <row r="3811" spans="1:21" ht="15" customHeight="1" x14ac:dyDescent="0.2">
      <c r="A3811" t="s">
        <v>4117</v>
      </c>
      <c r="B3811" t="s">
        <v>263</v>
      </c>
      <c r="C3811" t="s">
        <v>52</v>
      </c>
      <c r="D3811" s="49">
        <v>45850</v>
      </c>
      <c r="E3811" s="49">
        <v>45853</v>
      </c>
      <c r="F3811" s="49">
        <v>45858</v>
      </c>
      <c r="G3811" s="49">
        <v>45866</v>
      </c>
      <c r="I3811" s="49">
        <v>45877</v>
      </c>
      <c r="J3811" t="s">
        <v>49</v>
      </c>
      <c r="K3811" s="33">
        <v>10500</v>
      </c>
      <c r="L3811" t="s">
        <v>64</v>
      </c>
      <c r="M3811" t="str">
        <f>_xlfn.XLOOKUP(Pipeline_tbl[[#This Row],[Rep_ID]],Dim_Reps!A:A,Dim_Reps!K:K)</f>
        <v>USD</v>
      </c>
      <c r="N3811" s="33">
        <f>(_xlfn.XLOOKUP(Pipeline_tbl[[#This Row],[Rate_Code_Generalized]],Lookups!A:A,Lookups!B:B))*Pipeline_tbl[[#This Row],[Pipeline_Amount_USD]]</f>
        <v>12225.15</v>
      </c>
      <c r="O3811" t="str">
        <f>_xlfn.XLOOKUP(Pipeline_tbl[[#This Row],[Rep_ID]],Dim_Reps!A:A,Dim_Reps!B:B)</f>
        <v>Morgan Weber</v>
      </c>
      <c r="P3811" t="str">
        <f>_xlfn.XLOOKUP(Pipeline_tbl[[#This Row],[Rep_ID]],Dim_Reps!A:A,Dim_Reps!C:C)</f>
        <v>Mid-Market AE</v>
      </c>
      <c r="Q3811" t="str">
        <f>_xlfn.XLOOKUP(Pipeline_tbl[[#This Row],[Rep_ID]],Dim_Reps!A:A,Dim_Reps!D:D)</f>
        <v>Mid-Market</v>
      </c>
      <c r="R3811" t="str">
        <f>_xlfn.XLOOKUP(Pipeline_tbl[[#This Row],[Rep_ID]],Dim_Reps!A:A,Dim_Reps!E:E)</f>
        <v>NAMER</v>
      </c>
      <c r="S3811" t="str">
        <f>_xlfn.XLOOKUP(Pipeline_tbl[[#This Row],[Created_Date]],Dim_Date!A:A,Dim_Date!H:H)</f>
        <v>Jul 2025</v>
      </c>
      <c r="T3811" t="str">
        <f>IF(Pipeline_tbl[[#This Row],[Closed_Date]]=0,"",(_xlfn.XLOOKUP(Pipeline_tbl[[#This Row],[Closed_Date]],Dim_Date!A:A,Dim_Date!H:H)))</f>
        <v>Aug 2025</v>
      </c>
      <c r="U3811">
        <f>IF(Pipeline_tbl[[#This Row],[Closed_Date]]=0,"",Pipeline_tbl[[#This Row],[Closed_Date]]-Pipeline_tbl[[#This Row],[Created_Date]])</f>
        <v>27</v>
      </c>
    </row>
    <row r="3812" spans="1:21" ht="15" customHeight="1" x14ac:dyDescent="0.2">
      <c r="A3812" t="s">
        <v>4118</v>
      </c>
      <c r="B3812" t="s">
        <v>265</v>
      </c>
      <c r="C3812" t="s">
        <v>52</v>
      </c>
      <c r="D3812" s="49">
        <v>45850</v>
      </c>
      <c r="E3812" s="49">
        <v>45853</v>
      </c>
      <c r="F3812" s="49">
        <v>45859</v>
      </c>
      <c r="G3812" s="49">
        <v>45869</v>
      </c>
      <c r="H3812" s="49">
        <v>45876</v>
      </c>
      <c r="I3812" s="49">
        <v>45881</v>
      </c>
      <c r="J3812" t="s">
        <v>47</v>
      </c>
      <c r="K3812" s="33">
        <v>12300</v>
      </c>
      <c r="M3812" t="str">
        <f>_xlfn.XLOOKUP(Pipeline_tbl[[#This Row],[Rep_ID]],Dim_Reps!A:A,Dim_Reps!K:K)</f>
        <v>EUR</v>
      </c>
      <c r="N3812" s="33">
        <f>(_xlfn.XLOOKUP(Pipeline_tbl[[#This Row],[Rate_Code_Generalized]],Lookups!A:A,Lookups!B:B))*Pipeline_tbl[[#This Row],[Pipeline_Amount_USD]]</f>
        <v>12300</v>
      </c>
      <c r="O3812" t="str">
        <f>_xlfn.XLOOKUP(Pipeline_tbl[[#This Row],[Rep_ID]],Dim_Reps!A:A,Dim_Reps!B:B)</f>
        <v>Erik Duarte</v>
      </c>
      <c r="P3812" t="str">
        <f>_xlfn.XLOOKUP(Pipeline_tbl[[#This Row],[Rep_ID]],Dim_Reps!A:A,Dim_Reps!C:C)</f>
        <v>Mid-Market AE</v>
      </c>
      <c r="Q3812" t="str">
        <f>_xlfn.XLOOKUP(Pipeline_tbl[[#This Row],[Rep_ID]],Dim_Reps!A:A,Dim_Reps!D:D)</f>
        <v>Mid-Market</v>
      </c>
      <c r="R3812" t="str">
        <f>_xlfn.XLOOKUP(Pipeline_tbl[[#This Row],[Rep_ID]],Dim_Reps!A:A,Dim_Reps!E:E)</f>
        <v>EMEA</v>
      </c>
      <c r="S3812" t="str">
        <f>_xlfn.XLOOKUP(Pipeline_tbl[[#This Row],[Created_Date]],Dim_Date!A:A,Dim_Date!H:H)</f>
        <v>Jul 2025</v>
      </c>
      <c r="T3812" t="str">
        <f>IF(Pipeline_tbl[[#This Row],[Closed_Date]]=0,"",(_xlfn.XLOOKUP(Pipeline_tbl[[#This Row],[Closed_Date]],Dim_Date!A:A,Dim_Date!H:H)))</f>
        <v>Aug 2025</v>
      </c>
      <c r="U3812">
        <f>IF(Pipeline_tbl[[#This Row],[Closed_Date]]=0,"",Pipeline_tbl[[#This Row],[Closed_Date]]-Pipeline_tbl[[#This Row],[Created_Date]])</f>
        <v>31</v>
      </c>
    </row>
    <row r="3813" spans="1:21" ht="15" customHeight="1" x14ac:dyDescent="0.2">
      <c r="A3813" t="s">
        <v>4119</v>
      </c>
      <c r="B3813" t="s">
        <v>265</v>
      </c>
      <c r="C3813" t="s">
        <v>52</v>
      </c>
      <c r="D3813" s="49">
        <v>45846</v>
      </c>
      <c r="E3813" s="49">
        <v>45849</v>
      </c>
      <c r="F3813" s="49">
        <v>45854</v>
      </c>
      <c r="G3813" s="49">
        <v>45863</v>
      </c>
      <c r="H3813" s="49">
        <v>45870</v>
      </c>
      <c r="I3813" s="49">
        <v>45874</v>
      </c>
      <c r="J3813" t="s">
        <v>49</v>
      </c>
      <c r="K3813" s="33">
        <v>10400</v>
      </c>
      <c r="L3813" t="s">
        <v>60</v>
      </c>
      <c r="M3813" t="str">
        <f>_xlfn.XLOOKUP(Pipeline_tbl[[#This Row],[Rep_ID]],Dim_Reps!A:A,Dim_Reps!K:K)</f>
        <v>EUR</v>
      </c>
      <c r="N3813" s="33">
        <f>(_xlfn.XLOOKUP(Pipeline_tbl[[#This Row],[Rate_Code_Generalized]],Lookups!A:A,Lookups!B:B))*Pipeline_tbl[[#This Row],[Pipeline_Amount_USD]]</f>
        <v>10400</v>
      </c>
      <c r="O3813" t="str">
        <f>_xlfn.XLOOKUP(Pipeline_tbl[[#This Row],[Rep_ID]],Dim_Reps!A:A,Dim_Reps!B:B)</f>
        <v>Erik Duarte</v>
      </c>
      <c r="P3813" t="str">
        <f>_xlfn.XLOOKUP(Pipeline_tbl[[#This Row],[Rep_ID]],Dim_Reps!A:A,Dim_Reps!C:C)</f>
        <v>Mid-Market AE</v>
      </c>
      <c r="Q3813" t="str">
        <f>_xlfn.XLOOKUP(Pipeline_tbl[[#This Row],[Rep_ID]],Dim_Reps!A:A,Dim_Reps!D:D)</f>
        <v>Mid-Market</v>
      </c>
      <c r="R3813" t="str">
        <f>_xlfn.XLOOKUP(Pipeline_tbl[[#This Row],[Rep_ID]],Dim_Reps!A:A,Dim_Reps!E:E)</f>
        <v>EMEA</v>
      </c>
      <c r="S3813" t="str">
        <f>_xlfn.XLOOKUP(Pipeline_tbl[[#This Row],[Created_Date]],Dim_Date!A:A,Dim_Date!H:H)</f>
        <v>Jul 2025</v>
      </c>
      <c r="T3813" t="str">
        <f>IF(Pipeline_tbl[[#This Row],[Closed_Date]]=0,"",(_xlfn.XLOOKUP(Pipeline_tbl[[#This Row],[Closed_Date]],Dim_Date!A:A,Dim_Date!H:H)))</f>
        <v>Aug 2025</v>
      </c>
      <c r="U3813">
        <f>IF(Pipeline_tbl[[#This Row],[Closed_Date]]=0,"",Pipeline_tbl[[#This Row],[Closed_Date]]-Pipeline_tbl[[#This Row],[Created_Date]])</f>
        <v>28</v>
      </c>
    </row>
    <row r="3814" spans="1:21" ht="15" customHeight="1" x14ac:dyDescent="0.2">
      <c r="A3814" t="s">
        <v>4120</v>
      </c>
      <c r="B3814" t="s">
        <v>265</v>
      </c>
      <c r="C3814" t="s">
        <v>52</v>
      </c>
      <c r="D3814" s="49">
        <v>45860</v>
      </c>
      <c r="E3814" s="49">
        <v>45863</v>
      </c>
      <c r="F3814" s="49">
        <v>45868</v>
      </c>
      <c r="G3814" s="49">
        <v>45877</v>
      </c>
      <c r="H3814" s="49">
        <v>45884</v>
      </c>
      <c r="I3814" s="49">
        <v>45888</v>
      </c>
      <c r="J3814" t="s">
        <v>47</v>
      </c>
      <c r="K3814" s="33">
        <v>7300</v>
      </c>
      <c r="M3814" t="str">
        <f>_xlfn.XLOOKUP(Pipeline_tbl[[#This Row],[Rep_ID]],Dim_Reps!A:A,Dim_Reps!K:K)</f>
        <v>EUR</v>
      </c>
      <c r="N3814" s="33">
        <f>(_xlfn.XLOOKUP(Pipeline_tbl[[#This Row],[Rate_Code_Generalized]],Lookups!A:A,Lookups!B:B))*Pipeline_tbl[[#This Row],[Pipeline_Amount_USD]]</f>
        <v>7300</v>
      </c>
      <c r="O3814" t="str">
        <f>_xlfn.XLOOKUP(Pipeline_tbl[[#This Row],[Rep_ID]],Dim_Reps!A:A,Dim_Reps!B:B)</f>
        <v>Erik Duarte</v>
      </c>
      <c r="P3814" t="str">
        <f>_xlfn.XLOOKUP(Pipeline_tbl[[#This Row],[Rep_ID]],Dim_Reps!A:A,Dim_Reps!C:C)</f>
        <v>Mid-Market AE</v>
      </c>
      <c r="Q3814" t="str">
        <f>_xlfn.XLOOKUP(Pipeline_tbl[[#This Row],[Rep_ID]],Dim_Reps!A:A,Dim_Reps!D:D)</f>
        <v>Mid-Market</v>
      </c>
      <c r="R3814" t="str">
        <f>_xlfn.XLOOKUP(Pipeline_tbl[[#This Row],[Rep_ID]],Dim_Reps!A:A,Dim_Reps!E:E)</f>
        <v>EMEA</v>
      </c>
      <c r="S3814" t="str">
        <f>_xlfn.XLOOKUP(Pipeline_tbl[[#This Row],[Created_Date]],Dim_Date!A:A,Dim_Date!H:H)</f>
        <v>Jul 2025</v>
      </c>
      <c r="T3814" t="str">
        <f>IF(Pipeline_tbl[[#This Row],[Closed_Date]]=0,"",(_xlfn.XLOOKUP(Pipeline_tbl[[#This Row],[Closed_Date]],Dim_Date!A:A,Dim_Date!H:H)))</f>
        <v>Aug 2025</v>
      </c>
      <c r="U3814">
        <f>IF(Pipeline_tbl[[#This Row],[Closed_Date]]=0,"",Pipeline_tbl[[#This Row],[Closed_Date]]-Pipeline_tbl[[#This Row],[Created_Date]])</f>
        <v>28</v>
      </c>
    </row>
    <row r="3815" spans="1:21" ht="15" customHeight="1" x14ac:dyDescent="0.2">
      <c r="A3815" t="s">
        <v>4121</v>
      </c>
      <c r="B3815" t="s">
        <v>265</v>
      </c>
      <c r="C3815" t="s">
        <v>52</v>
      </c>
      <c r="D3815" s="49">
        <v>45857</v>
      </c>
      <c r="E3815" s="49">
        <v>45860</v>
      </c>
      <c r="I3815" s="49">
        <v>45887</v>
      </c>
      <c r="J3815" t="s">
        <v>49</v>
      </c>
      <c r="K3815" s="33">
        <v>16900</v>
      </c>
      <c r="L3815" t="s">
        <v>63</v>
      </c>
      <c r="M3815" t="str">
        <f>_xlfn.XLOOKUP(Pipeline_tbl[[#This Row],[Rep_ID]],Dim_Reps!A:A,Dim_Reps!K:K)</f>
        <v>EUR</v>
      </c>
      <c r="N3815" s="33">
        <f>(_xlfn.XLOOKUP(Pipeline_tbl[[#This Row],[Rate_Code_Generalized]],Lookups!A:A,Lookups!B:B))*Pipeline_tbl[[#This Row],[Pipeline_Amount_USD]]</f>
        <v>16900</v>
      </c>
      <c r="O3815" t="str">
        <f>_xlfn.XLOOKUP(Pipeline_tbl[[#This Row],[Rep_ID]],Dim_Reps!A:A,Dim_Reps!B:B)</f>
        <v>Erik Duarte</v>
      </c>
      <c r="P3815" t="str">
        <f>_xlfn.XLOOKUP(Pipeline_tbl[[#This Row],[Rep_ID]],Dim_Reps!A:A,Dim_Reps!C:C)</f>
        <v>Mid-Market AE</v>
      </c>
      <c r="Q3815" t="str">
        <f>_xlfn.XLOOKUP(Pipeline_tbl[[#This Row],[Rep_ID]],Dim_Reps!A:A,Dim_Reps!D:D)</f>
        <v>Mid-Market</v>
      </c>
      <c r="R3815" t="str">
        <f>_xlfn.XLOOKUP(Pipeline_tbl[[#This Row],[Rep_ID]],Dim_Reps!A:A,Dim_Reps!E:E)</f>
        <v>EMEA</v>
      </c>
      <c r="S3815" t="str">
        <f>_xlfn.XLOOKUP(Pipeline_tbl[[#This Row],[Created_Date]],Dim_Date!A:A,Dim_Date!H:H)</f>
        <v>Jul 2025</v>
      </c>
      <c r="T3815" t="str">
        <f>IF(Pipeline_tbl[[#This Row],[Closed_Date]]=0,"",(_xlfn.XLOOKUP(Pipeline_tbl[[#This Row],[Closed_Date]],Dim_Date!A:A,Dim_Date!H:H)))</f>
        <v>Aug 2025</v>
      </c>
      <c r="U3815">
        <f>IF(Pipeline_tbl[[#This Row],[Closed_Date]]=0,"",Pipeline_tbl[[#This Row],[Closed_Date]]-Pipeline_tbl[[#This Row],[Created_Date]])</f>
        <v>30</v>
      </c>
    </row>
    <row r="3816" spans="1:21" ht="15" customHeight="1" x14ac:dyDescent="0.2">
      <c r="A3816" t="s">
        <v>4122</v>
      </c>
      <c r="B3816" t="s">
        <v>265</v>
      </c>
      <c r="C3816" t="s">
        <v>53</v>
      </c>
      <c r="D3816" s="49">
        <v>45865</v>
      </c>
      <c r="E3816" s="49">
        <v>45867</v>
      </c>
      <c r="I3816" s="49">
        <v>45890</v>
      </c>
      <c r="J3816" t="s">
        <v>49</v>
      </c>
      <c r="K3816" s="33">
        <v>16900</v>
      </c>
      <c r="L3816" t="s">
        <v>63</v>
      </c>
      <c r="M3816" t="str">
        <f>_xlfn.XLOOKUP(Pipeline_tbl[[#This Row],[Rep_ID]],Dim_Reps!A:A,Dim_Reps!K:K)</f>
        <v>EUR</v>
      </c>
      <c r="N3816" s="33">
        <f>(_xlfn.XLOOKUP(Pipeline_tbl[[#This Row],[Rate_Code_Generalized]],Lookups!A:A,Lookups!B:B))*Pipeline_tbl[[#This Row],[Pipeline_Amount_USD]]</f>
        <v>16900</v>
      </c>
      <c r="O3816" t="str">
        <f>_xlfn.XLOOKUP(Pipeline_tbl[[#This Row],[Rep_ID]],Dim_Reps!A:A,Dim_Reps!B:B)</f>
        <v>Erik Duarte</v>
      </c>
      <c r="P3816" t="str">
        <f>_xlfn.XLOOKUP(Pipeline_tbl[[#This Row],[Rep_ID]],Dim_Reps!A:A,Dim_Reps!C:C)</f>
        <v>Mid-Market AE</v>
      </c>
      <c r="Q3816" t="str">
        <f>_xlfn.XLOOKUP(Pipeline_tbl[[#This Row],[Rep_ID]],Dim_Reps!A:A,Dim_Reps!D:D)</f>
        <v>Mid-Market</v>
      </c>
      <c r="R3816" t="str">
        <f>_xlfn.XLOOKUP(Pipeline_tbl[[#This Row],[Rep_ID]],Dim_Reps!A:A,Dim_Reps!E:E)</f>
        <v>EMEA</v>
      </c>
      <c r="S3816" t="str">
        <f>_xlfn.XLOOKUP(Pipeline_tbl[[#This Row],[Created_Date]],Dim_Date!A:A,Dim_Date!H:H)</f>
        <v>Jul 2025</v>
      </c>
      <c r="T3816" t="str">
        <f>IF(Pipeline_tbl[[#This Row],[Closed_Date]]=0,"",(_xlfn.XLOOKUP(Pipeline_tbl[[#This Row],[Closed_Date]],Dim_Date!A:A,Dim_Date!H:H)))</f>
        <v>Aug 2025</v>
      </c>
      <c r="U3816">
        <f>IF(Pipeline_tbl[[#This Row],[Closed_Date]]=0,"",Pipeline_tbl[[#This Row],[Closed_Date]]-Pipeline_tbl[[#This Row],[Created_Date]])</f>
        <v>25</v>
      </c>
    </row>
    <row r="3817" spans="1:21" ht="15" customHeight="1" x14ac:dyDescent="0.2">
      <c r="A3817" t="s">
        <v>4123</v>
      </c>
      <c r="B3817" t="s">
        <v>233</v>
      </c>
      <c r="C3817" t="s">
        <v>53</v>
      </c>
      <c r="D3817" s="49">
        <v>45858</v>
      </c>
      <c r="E3817" s="49">
        <v>45861</v>
      </c>
      <c r="F3817" s="49">
        <v>45866</v>
      </c>
      <c r="G3817" s="49">
        <v>45874</v>
      </c>
      <c r="H3817" s="49">
        <v>45880</v>
      </c>
      <c r="I3817" s="49">
        <v>45884</v>
      </c>
      <c r="J3817" t="s">
        <v>47</v>
      </c>
      <c r="K3817" s="33">
        <v>3200</v>
      </c>
      <c r="M3817" t="str">
        <f>_xlfn.XLOOKUP(Pipeline_tbl[[#This Row],[Rep_ID]],Dim_Reps!A:A,Dim_Reps!K:K)</f>
        <v>MXN</v>
      </c>
      <c r="N3817" s="33">
        <f>(_xlfn.XLOOKUP(Pipeline_tbl[[#This Row],[Rate_Code_Generalized]],Lookups!A:A,Lookups!B:B))*Pipeline_tbl[[#This Row],[Pipeline_Amount_USD]]</f>
        <v>63144.640000000007</v>
      </c>
      <c r="O3817" t="str">
        <f>_xlfn.XLOOKUP(Pipeline_tbl[[#This Row],[Rep_ID]],Dim_Reps!A:A,Dim_Reps!B:B)</f>
        <v>Lucas Duarte</v>
      </c>
      <c r="P3817" t="str">
        <f>_xlfn.XLOOKUP(Pipeline_tbl[[#This Row],[Rep_ID]],Dim_Reps!A:A,Dim_Reps!C:C)</f>
        <v>SDR / Inside Sales Rep</v>
      </c>
      <c r="Q3817" t="str">
        <f>_xlfn.XLOOKUP(Pipeline_tbl[[#This Row],[Rep_ID]],Dim_Reps!A:A,Dim_Reps!D:D)</f>
        <v>Inside Sales</v>
      </c>
      <c r="R3817" t="str">
        <f>_xlfn.XLOOKUP(Pipeline_tbl[[#This Row],[Rep_ID]],Dim_Reps!A:A,Dim_Reps!E:E)</f>
        <v>LATAM</v>
      </c>
      <c r="S3817" t="str">
        <f>_xlfn.XLOOKUP(Pipeline_tbl[[#This Row],[Created_Date]],Dim_Date!A:A,Dim_Date!H:H)</f>
        <v>Jul 2025</v>
      </c>
      <c r="T3817" t="str">
        <f>IF(Pipeline_tbl[[#This Row],[Closed_Date]]=0,"",(_xlfn.XLOOKUP(Pipeline_tbl[[#This Row],[Closed_Date]],Dim_Date!A:A,Dim_Date!H:H)))</f>
        <v>Aug 2025</v>
      </c>
      <c r="U3817">
        <f>IF(Pipeline_tbl[[#This Row],[Closed_Date]]=0,"",Pipeline_tbl[[#This Row],[Closed_Date]]-Pipeline_tbl[[#This Row],[Created_Date]])</f>
        <v>26</v>
      </c>
    </row>
    <row r="3818" spans="1:21" ht="15" customHeight="1" x14ac:dyDescent="0.2">
      <c r="A3818" t="s">
        <v>4124</v>
      </c>
      <c r="B3818" t="s">
        <v>233</v>
      </c>
      <c r="C3818" t="s">
        <v>53</v>
      </c>
      <c r="D3818" s="49">
        <v>45869</v>
      </c>
      <c r="E3818" s="49">
        <v>45871</v>
      </c>
      <c r="F3818" s="49">
        <v>45874</v>
      </c>
      <c r="I3818" s="49">
        <v>45887</v>
      </c>
      <c r="J3818" t="s">
        <v>49</v>
      </c>
      <c r="K3818" s="33">
        <v>4000</v>
      </c>
      <c r="L3818" t="s">
        <v>60</v>
      </c>
      <c r="M3818" t="str">
        <f>_xlfn.XLOOKUP(Pipeline_tbl[[#This Row],[Rep_ID]],Dim_Reps!A:A,Dim_Reps!K:K)</f>
        <v>MXN</v>
      </c>
      <c r="N3818" s="33">
        <f>(_xlfn.XLOOKUP(Pipeline_tbl[[#This Row],[Rate_Code_Generalized]],Lookups!A:A,Lookups!B:B))*Pipeline_tbl[[#This Row],[Pipeline_Amount_USD]]</f>
        <v>78930.8</v>
      </c>
      <c r="O3818" t="str">
        <f>_xlfn.XLOOKUP(Pipeline_tbl[[#This Row],[Rep_ID]],Dim_Reps!A:A,Dim_Reps!B:B)</f>
        <v>Lucas Duarte</v>
      </c>
      <c r="P3818" t="str">
        <f>_xlfn.XLOOKUP(Pipeline_tbl[[#This Row],[Rep_ID]],Dim_Reps!A:A,Dim_Reps!C:C)</f>
        <v>SDR / Inside Sales Rep</v>
      </c>
      <c r="Q3818" t="str">
        <f>_xlfn.XLOOKUP(Pipeline_tbl[[#This Row],[Rep_ID]],Dim_Reps!A:A,Dim_Reps!D:D)</f>
        <v>Inside Sales</v>
      </c>
      <c r="R3818" t="str">
        <f>_xlfn.XLOOKUP(Pipeline_tbl[[#This Row],[Rep_ID]],Dim_Reps!A:A,Dim_Reps!E:E)</f>
        <v>LATAM</v>
      </c>
      <c r="S3818" t="str">
        <f>_xlfn.XLOOKUP(Pipeline_tbl[[#This Row],[Created_Date]],Dim_Date!A:A,Dim_Date!H:H)</f>
        <v>Jul 2025</v>
      </c>
      <c r="T3818" t="str">
        <f>IF(Pipeline_tbl[[#This Row],[Closed_Date]]=0,"",(_xlfn.XLOOKUP(Pipeline_tbl[[#This Row],[Closed_Date]],Dim_Date!A:A,Dim_Date!H:H)))</f>
        <v>Aug 2025</v>
      </c>
      <c r="U3818">
        <f>IF(Pipeline_tbl[[#This Row],[Closed_Date]]=0,"",Pipeline_tbl[[#This Row],[Closed_Date]]-Pipeline_tbl[[#This Row],[Created_Date]])</f>
        <v>18</v>
      </c>
    </row>
    <row r="3819" spans="1:21" ht="15" customHeight="1" x14ac:dyDescent="0.2">
      <c r="A3819" t="s">
        <v>4125</v>
      </c>
      <c r="B3819" t="s">
        <v>233</v>
      </c>
      <c r="C3819" t="s">
        <v>53</v>
      </c>
      <c r="D3819" s="49">
        <v>45863</v>
      </c>
      <c r="E3819" s="49">
        <v>45865</v>
      </c>
      <c r="F3819" s="49">
        <v>45870</v>
      </c>
      <c r="I3819" s="49">
        <v>45886</v>
      </c>
      <c r="J3819" t="s">
        <v>49</v>
      </c>
      <c r="K3819" s="33">
        <v>2800</v>
      </c>
      <c r="L3819" t="s">
        <v>60</v>
      </c>
      <c r="M3819" t="str">
        <f>_xlfn.XLOOKUP(Pipeline_tbl[[#This Row],[Rep_ID]],Dim_Reps!A:A,Dim_Reps!K:K)</f>
        <v>MXN</v>
      </c>
      <c r="N3819" s="33">
        <f>(_xlfn.XLOOKUP(Pipeline_tbl[[#This Row],[Rate_Code_Generalized]],Lookups!A:A,Lookups!B:B))*Pipeline_tbl[[#This Row],[Pipeline_Amount_USD]]</f>
        <v>55251.560000000005</v>
      </c>
      <c r="O3819" t="str">
        <f>_xlfn.XLOOKUP(Pipeline_tbl[[#This Row],[Rep_ID]],Dim_Reps!A:A,Dim_Reps!B:B)</f>
        <v>Lucas Duarte</v>
      </c>
      <c r="P3819" t="str">
        <f>_xlfn.XLOOKUP(Pipeline_tbl[[#This Row],[Rep_ID]],Dim_Reps!A:A,Dim_Reps!C:C)</f>
        <v>SDR / Inside Sales Rep</v>
      </c>
      <c r="Q3819" t="str">
        <f>_xlfn.XLOOKUP(Pipeline_tbl[[#This Row],[Rep_ID]],Dim_Reps!A:A,Dim_Reps!D:D)</f>
        <v>Inside Sales</v>
      </c>
      <c r="R3819" t="str">
        <f>_xlfn.XLOOKUP(Pipeline_tbl[[#This Row],[Rep_ID]],Dim_Reps!A:A,Dim_Reps!E:E)</f>
        <v>LATAM</v>
      </c>
      <c r="S3819" t="str">
        <f>_xlfn.XLOOKUP(Pipeline_tbl[[#This Row],[Created_Date]],Dim_Date!A:A,Dim_Date!H:H)</f>
        <v>Jul 2025</v>
      </c>
      <c r="T3819" t="str">
        <f>IF(Pipeline_tbl[[#This Row],[Closed_Date]]=0,"",(_xlfn.XLOOKUP(Pipeline_tbl[[#This Row],[Closed_Date]],Dim_Date!A:A,Dim_Date!H:H)))</f>
        <v>Aug 2025</v>
      </c>
      <c r="U3819">
        <f>IF(Pipeline_tbl[[#This Row],[Closed_Date]]=0,"",Pipeline_tbl[[#This Row],[Closed_Date]]-Pipeline_tbl[[#This Row],[Created_Date]])</f>
        <v>23</v>
      </c>
    </row>
    <row r="3820" spans="1:21" ht="15" customHeight="1" x14ac:dyDescent="0.2">
      <c r="A3820" t="s">
        <v>4126</v>
      </c>
      <c r="B3820" t="s">
        <v>233</v>
      </c>
      <c r="C3820" t="s">
        <v>53</v>
      </c>
      <c r="D3820" s="49">
        <v>45853</v>
      </c>
      <c r="E3820" s="49">
        <v>45855</v>
      </c>
      <c r="F3820" s="49">
        <v>45858</v>
      </c>
      <c r="G3820" s="49">
        <v>45863</v>
      </c>
      <c r="H3820" s="49">
        <v>45867</v>
      </c>
      <c r="I3820" s="49">
        <v>45870</v>
      </c>
      <c r="J3820" t="s">
        <v>47</v>
      </c>
      <c r="K3820" s="33">
        <v>3300</v>
      </c>
      <c r="M3820" t="str">
        <f>_xlfn.XLOOKUP(Pipeline_tbl[[#This Row],[Rep_ID]],Dim_Reps!A:A,Dim_Reps!K:K)</f>
        <v>MXN</v>
      </c>
      <c r="N3820" s="33">
        <f>(_xlfn.XLOOKUP(Pipeline_tbl[[#This Row],[Rate_Code_Generalized]],Lookups!A:A,Lookups!B:B))*Pipeline_tbl[[#This Row],[Pipeline_Amount_USD]]</f>
        <v>65117.91</v>
      </c>
      <c r="O3820" t="str">
        <f>_xlfn.XLOOKUP(Pipeline_tbl[[#This Row],[Rep_ID]],Dim_Reps!A:A,Dim_Reps!B:B)</f>
        <v>Lucas Duarte</v>
      </c>
      <c r="P3820" t="str">
        <f>_xlfn.XLOOKUP(Pipeline_tbl[[#This Row],[Rep_ID]],Dim_Reps!A:A,Dim_Reps!C:C)</f>
        <v>SDR / Inside Sales Rep</v>
      </c>
      <c r="Q3820" t="str">
        <f>_xlfn.XLOOKUP(Pipeline_tbl[[#This Row],[Rep_ID]],Dim_Reps!A:A,Dim_Reps!D:D)</f>
        <v>Inside Sales</v>
      </c>
      <c r="R3820" t="str">
        <f>_xlfn.XLOOKUP(Pipeline_tbl[[#This Row],[Rep_ID]],Dim_Reps!A:A,Dim_Reps!E:E)</f>
        <v>LATAM</v>
      </c>
      <c r="S3820" t="str">
        <f>_xlfn.XLOOKUP(Pipeline_tbl[[#This Row],[Created_Date]],Dim_Date!A:A,Dim_Date!H:H)</f>
        <v>Jul 2025</v>
      </c>
      <c r="T3820" t="str">
        <f>IF(Pipeline_tbl[[#This Row],[Closed_Date]]=0,"",(_xlfn.XLOOKUP(Pipeline_tbl[[#This Row],[Closed_Date]],Dim_Date!A:A,Dim_Date!H:H)))</f>
        <v>Aug 2025</v>
      </c>
      <c r="U3820">
        <f>IF(Pipeline_tbl[[#This Row],[Closed_Date]]=0,"",Pipeline_tbl[[#This Row],[Closed_Date]]-Pipeline_tbl[[#This Row],[Created_Date]])</f>
        <v>17</v>
      </c>
    </row>
    <row r="3821" spans="1:21" ht="15" customHeight="1" x14ac:dyDescent="0.2">
      <c r="A3821" t="s">
        <v>4127</v>
      </c>
      <c r="B3821" t="s">
        <v>233</v>
      </c>
      <c r="C3821" t="s">
        <v>55</v>
      </c>
      <c r="D3821" s="49">
        <v>45869</v>
      </c>
      <c r="E3821" s="49">
        <v>45871</v>
      </c>
      <c r="F3821" s="49">
        <v>45874</v>
      </c>
      <c r="G3821" s="49">
        <v>45878</v>
      </c>
      <c r="H3821" s="49">
        <v>45882</v>
      </c>
      <c r="I3821" s="49">
        <v>45884</v>
      </c>
      <c r="J3821" t="s">
        <v>47</v>
      </c>
      <c r="K3821" s="33">
        <v>2500</v>
      </c>
      <c r="M3821" t="str">
        <f>_xlfn.XLOOKUP(Pipeline_tbl[[#This Row],[Rep_ID]],Dim_Reps!A:A,Dim_Reps!K:K)</f>
        <v>MXN</v>
      </c>
      <c r="N3821" s="33">
        <f>(_xlfn.XLOOKUP(Pipeline_tbl[[#This Row],[Rate_Code_Generalized]],Lookups!A:A,Lookups!B:B))*Pipeline_tbl[[#This Row],[Pipeline_Amount_USD]]</f>
        <v>49331.75</v>
      </c>
      <c r="O3821" t="str">
        <f>_xlfn.XLOOKUP(Pipeline_tbl[[#This Row],[Rep_ID]],Dim_Reps!A:A,Dim_Reps!B:B)</f>
        <v>Lucas Duarte</v>
      </c>
      <c r="P3821" t="str">
        <f>_xlfn.XLOOKUP(Pipeline_tbl[[#This Row],[Rep_ID]],Dim_Reps!A:A,Dim_Reps!C:C)</f>
        <v>SDR / Inside Sales Rep</v>
      </c>
      <c r="Q3821" t="str">
        <f>_xlfn.XLOOKUP(Pipeline_tbl[[#This Row],[Rep_ID]],Dim_Reps!A:A,Dim_Reps!D:D)</f>
        <v>Inside Sales</v>
      </c>
      <c r="R3821" t="str">
        <f>_xlfn.XLOOKUP(Pipeline_tbl[[#This Row],[Rep_ID]],Dim_Reps!A:A,Dim_Reps!E:E)</f>
        <v>LATAM</v>
      </c>
      <c r="S3821" t="str">
        <f>_xlfn.XLOOKUP(Pipeline_tbl[[#This Row],[Created_Date]],Dim_Date!A:A,Dim_Date!H:H)</f>
        <v>Jul 2025</v>
      </c>
      <c r="T3821" t="str">
        <f>IF(Pipeline_tbl[[#This Row],[Closed_Date]]=0,"",(_xlfn.XLOOKUP(Pipeline_tbl[[#This Row],[Closed_Date]],Dim_Date!A:A,Dim_Date!H:H)))</f>
        <v>Aug 2025</v>
      </c>
      <c r="U3821">
        <f>IF(Pipeline_tbl[[#This Row],[Closed_Date]]=0,"",Pipeline_tbl[[#This Row],[Closed_Date]]-Pipeline_tbl[[#This Row],[Created_Date]])</f>
        <v>15</v>
      </c>
    </row>
    <row r="3822" spans="1:21" ht="15" customHeight="1" x14ac:dyDescent="0.2">
      <c r="A3822" t="s">
        <v>4128</v>
      </c>
      <c r="B3822" t="s">
        <v>233</v>
      </c>
      <c r="C3822" t="s">
        <v>54</v>
      </c>
      <c r="D3822" s="49">
        <v>45864</v>
      </c>
      <c r="E3822" s="49">
        <v>45865</v>
      </c>
      <c r="F3822" s="49">
        <v>45867</v>
      </c>
      <c r="G3822" s="49">
        <v>45869</v>
      </c>
      <c r="H3822" s="49">
        <v>45872</v>
      </c>
      <c r="I3822" s="49">
        <v>45873</v>
      </c>
      <c r="J3822" t="s">
        <v>47</v>
      </c>
      <c r="K3822" s="33">
        <v>4200</v>
      </c>
      <c r="M3822" t="str">
        <f>_xlfn.XLOOKUP(Pipeline_tbl[[#This Row],[Rep_ID]],Dim_Reps!A:A,Dim_Reps!K:K)</f>
        <v>MXN</v>
      </c>
      <c r="N3822" s="33">
        <f>(_xlfn.XLOOKUP(Pipeline_tbl[[#This Row],[Rate_Code_Generalized]],Lookups!A:A,Lookups!B:B))*Pipeline_tbl[[#This Row],[Pipeline_Amount_USD]]</f>
        <v>82877.340000000011</v>
      </c>
      <c r="O3822" t="str">
        <f>_xlfn.XLOOKUP(Pipeline_tbl[[#This Row],[Rep_ID]],Dim_Reps!A:A,Dim_Reps!B:B)</f>
        <v>Lucas Duarte</v>
      </c>
      <c r="P3822" t="str">
        <f>_xlfn.XLOOKUP(Pipeline_tbl[[#This Row],[Rep_ID]],Dim_Reps!A:A,Dim_Reps!C:C)</f>
        <v>SDR / Inside Sales Rep</v>
      </c>
      <c r="Q3822" t="str">
        <f>_xlfn.XLOOKUP(Pipeline_tbl[[#This Row],[Rep_ID]],Dim_Reps!A:A,Dim_Reps!D:D)</f>
        <v>Inside Sales</v>
      </c>
      <c r="R3822" t="str">
        <f>_xlfn.XLOOKUP(Pipeline_tbl[[#This Row],[Rep_ID]],Dim_Reps!A:A,Dim_Reps!E:E)</f>
        <v>LATAM</v>
      </c>
      <c r="S3822" t="str">
        <f>_xlfn.XLOOKUP(Pipeline_tbl[[#This Row],[Created_Date]],Dim_Date!A:A,Dim_Date!H:H)</f>
        <v>Jul 2025</v>
      </c>
      <c r="T3822" t="str">
        <f>IF(Pipeline_tbl[[#This Row],[Closed_Date]]=0,"",(_xlfn.XLOOKUP(Pipeline_tbl[[#This Row],[Closed_Date]],Dim_Date!A:A,Dim_Date!H:H)))</f>
        <v>Aug 2025</v>
      </c>
      <c r="U3822">
        <f>IF(Pipeline_tbl[[#This Row],[Closed_Date]]=0,"",Pipeline_tbl[[#This Row],[Closed_Date]]-Pipeline_tbl[[#This Row],[Created_Date]])</f>
        <v>9</v>
      </c>
    </row>
    <row r="3823" spans="1:21" ht="15" customHeight="1" x14ac:dyDescent="0.2">
      <c r="A3823" t="s">
        <v>4129</v>
      </c>
      <c r="B3823" t="s">
        <v>267</v>
      </c>
      <c r="C3823" t="s">
        <v>52</v>
      </c>
      <c r="D3823" s="49">
        <v>45850</v>
      </c>
      <c r="E3823" s="49">
        <v>45853</v>
      </c>
      <c r="F3823" s="49">
        <v>45860</v>
      </c>
      <c r="G3823" s="49">
        <v>45870</v>
      </c>
      <c r="H3823" s="49">
        <v>45878</v>
      </c>
      <c r="I3823" s="49">
        <v>45883</v>
      </c>
      <c r="J3823" t="s">
        <v>47</v>
      </c>
      <c r="K3823" s="33">
        <v>11500</v>
      </c>
      <c r="M3823" t="str">
        <f>_xlfn.XLOOKUP(Pipeline_tbl[[#This Row],[Rep_ID]],Dim_Reps!A:A,Dim_Reps!K:K)</f>
        <v>MXN</v>
      </c>
      <c r="N3823" s="33">
        <f>(_xlfn.XLOOKUP(Pipeline_tbl[[#This Row],[Rate_Code_Generalized]],Lookups!A:A,Lookups!B:B))*Pipeline_tbl[[#This Row],[Pipeline_Amount_USD]]</f>
        <v>226926.05000000002</v>
      </c>
      <c r="O3823" t="str">
        <f>_xlfn.XLOOKUP(Pipeline_tbl[[#This Row],[Rep_ID]],Dim_Reps!A:A,Dim_Reps!B:B)</f>
        <v>Yuki Dubois</v>
      </c>
      <c r="P3823" t="str">
        <f>_xlfn.XLOOKUP(Pipeline_tbl[[#This Row],[Rep_ID]],Dim_Reps!A:A,Dim_Reps!C:C)</f>
        <v>Mid-Market AE</v>
      </c>
      <c r="Q3823" t="str">
        <f>_xlfn.XLOOKUP(Pipeline_tbl[[#This Row],[Rep_ID]],Dim_Reps!A:A,Dim_Reps!D:D)</f>
        <v>Mid-Market</v>
      </c>
      <c r="R3823" t="str">
        <f>_xlfn.XLOOKUP(Pipeline_tbl[[#This Row],[Rep_ID]],Dim_Reps!A:A,Dim_Reps!E:E)</f>
        <v>LATAM</v>
      </c>
      <c r="S3823" t="str">
        <f>_xlfn.XLOOKUP(Pipeline_tbl[[#This Row],[Created_Date]],Dim_Date!A:A,Dim_Date!H:H)</f>
        <v>Jul 2025</v>
      </c>
      <c r="T3823" t="str">
        <f>IF(Pipeline_tbl[[#This Row],[Closed_Date]]=0,"",(_xlfn.XLOOKUP(Pipeline_tbl[[#This Row],[Closed_Date]],Dim_Date!A:A,Dim_Date!H:H)))</f>
        <v>Aug 2025</v>
      </c>
      <c r="U3823">
        <f>IF(Pipeline_tbl[[#This Row],[Closed_Date]]=0,"",Pipeline_tbl[[#This Row],[Closed_Date]]-Pipeline_tbl[[#This Row],[Created_Date]])</f>
        <v>33</v>
      </c>
    </row>
    <row r="3824" spans="1:21" ht="15" customHeight="1" x14ac:dyDescent="0.2">
      <c r="A3824" t="s">
        <v>4130</v>
      </c>
      <c r="B3824" t="s">
        <v>235</v>
      </c>
      <c r="C3824" t="s">
        <v>53</v>
      </c>
      <c r="D3824" s="49">
        <v>45866</v>
      </c>
      <c r="E3824" s="49">
        <v>45868</v>
      </c>
      <c r="F3824" s="49">
        <v>45874</v>
      </c>
      <c r="G3824" s="49">
        <v>45881</v>
      </c>
      <c r="I3824" s="49">
        <v>45891</v>
      </c>
      <c r="J3824" t="s">
        <v>49</v>
      </c>
      <c r="K3824" s="33">
        <v>3800</v>
      </c>
      <c r="L3824" t="s">
        <v>64</v>
      </c>
      <c r="M3824" t="str">
        <f>_xlfn.XLOOKUP(Pipeline_tbl[[#This Row],[Rep_ID]],Dim_Reps!A:A,Dim_Reps!K:K)</f>
        <v>MXN</v>
      </c>
      <c r="N3824" s="33">
        <f>(_xlfn.XLOOKUP(Pipeline_tbl[[#This Row],[Rate_Code_Generalized]],Lookups!A:A,Lookups!B:B))*Pipeline_tbl[[#This Row],[Pipeline_Amount_USD]]</f>
        <v>74984.260000000009</v>
      </c>
      <c r="O3824" t="str">
        <f>_xlfn.XLOOKUP(Pipeline_tbl[[#This Row],[Rep_ID]],Dim_Reps!A:A,Dim_Reps!B:B)</f>
        <v>Milo Castro</v>
      </c>
      <c r="P3824" t="str">
        <f>_xlfn.XLOOKUP(Pipeline_tbl[[#This Row],[Rep_ID]],Dim_Reps!A:A,Dim_Reps!C:C)</f>
        <v>SDR / Inside Sales Rep</v>
      </c>
      <c r="Q3824" t="str">
        <f>_xlfn.XLOOKUP(Pipeline_tbl[[#This Row],[Rep_ID]],Dim_Reps!A:A,Dim_Reps!D:D)</f>
        <v>Inside Sales</v>
      </c>
      <c r="R3824" t="str">
        <f>_xlfn.XLOOKUP(Pipeline_tbl[[#This Row],[Rep_ID]],Dim_Reps!A:A,Dim_Reps!E:E)</f>
        <v>LATAM</v>
      </c>
      <c r="S3824" t="str">
        <f>_xlfn.XLOOKUP(Pipeline_tbl[[#This Row],[Created_Date]],Dim_Date!A:A,Dim_Date!H:H)</f>
        <v>Jul 2025</v>
      </c>
      <c r="T3824" t="str">
        <f>IF(Pipeline_tbl[[#This Row],[Closed_Date]]=0,"",(_xlfn.XLOOKUP(Pipeline_tbl[[#This Row],[Closed_Date]],Dim_Date!A:A,Dim_Date!H:H)))</f>
        <v>Aug 2025</v>
      </c>
      <c r="U3824">
        <f>IF(Pipeline_tbl[[#This Row],[Closed_Date]]=0,"",Pipeline_tbl[[#This Row],[Closed_Date]]-Pipeline_tbl[[#This Row],[Created_Date]])</f>
        <v>25</v>
      </c>
    </row>
    <row r="3825" spans="1:21" ht="15" customHeight="1" x14ac:dyDescent="0.2">
      <c r="A3825" t="s">
        <v>4131</v>
      </c>
      <c r="B3825" t="s">
        <v>235</v>
      </c>
      <c r="C3825" t="s">
        <v>55</v>
      </c>
      <c r="D3825" s="49">
        <v>45866</v>
      </c>
      <c r="E3825" s="49">
        <v>45868</v>
      </c>
      <c r="F3825" s="49">
        <v>45871</v>
      </c>
      <c r="G3825" s="49">
        <v>45877</v>
      </c>
      <c r="H3825" s="49">
        <v>45881</v>
      </c>
      <c r="I3825" s="49">
        <v>45884</v>
      </c>
      <c r="J3825" t="s">
        <v>49</v>
      </c>
      <c r="K3825" s="33">
        <v>1700</v>
      </c>
      <c r="L3825" t="s">
        <v>64</v>
      </c>
      <c r="M3825" t="str">
        <f>_xlfn.XLOOKUP(Pipeline_tbl[[#This Row],[Rep_ID]],Dim_Reps!A:A,Dim_Reps!K:K)</f>
        <v>MXN</v>
      </c>
      <c r="N3825" s="33">
        <f>(_xlfn.XLOOKUP(Pipeline_tbl[[#This Row],[Rate_Code_Generalized]],Lookups!A:A,Lookups!B:B))*Pipeline_tbl[[#This Row],[Pipeline_Amount_USD]]</f>
        <v>33545.590000000004</v>
      </c>
      <c r="O3825" t="str">
        <f>_xlfn.XLOOKUP(Pipeline_tbl[[#This Row],[Rep_ID]],Dim_Reps!A:A,Dim_Reps!B:B)</f>
        <v>Milo Castro</v>
      </c>
      <c r="P3825" t="str">
        <f>_xlfn.XLOOKUP(Pipeline_tbl[[#This Row],[Rep_ID]],Dim_Reps!A:A,Dim_Reps!C:C)</f>
        <v>SDR / Inside Sales Rep</v>
      </c>
      <c r="Q3825" t="str">
        <f>_xlfn.XLOOKUP(Pipeline_tbl[[#This Row],[Rep_ID]],Dim_Reps!A:A,Dim_Reps!D:D)</f>
        <v>Inside Sales</v>
      </c>
      <c r="R3825" t="str">
        <f>_xlfn.XLOOKUP(Pipeline_tbl[[#This Row],[Rep_ID]],Dim_Reps!A:A,Dim_Reps!E:E)</f>
        <v>LATAM</v>
      </c>
      <c r="S3825" t="str">
        <f>_xlfn.XLOOKUP(Pipeline_tbl[[#This Row],[Created_Date]],Dim_Date!A:A,Dim_Date!H:H)</f>
        <v>Jul 2025</v>
      </c>
      <c r="T3825" t="str">
        <f>IF(Pipeline_tbl[[#This Row],[Closed_Date]]=0,"",(_xlfn.XLOOKUP(Pipeline_tbl[[#This Row],[Closed_Date]],Dim_Date!A:A,Dim_Date!H:H)))</f>
        <v>Aug 2025</v>
      </c>
      <c r="U3825">
        <f>IF(Pipeline_tbl[[#This Row],[Closed_Date]]=0,"",Pipeline_tbl[[#This Row],[Closed_Date]]-Pipeline_tbl[[#This Row],[Created_Date]])</f>
        <v>18</v>
      </c>
    </row>
    <row r="3826" spans="1:21" ht="15" customHeight="1" x14ac:dyDescent="0.2">
      <c r="A3826" t="s">
        <v>4132</v>
      </c>
      <c r="B3826" t="s">
        <v>235</v>
      </c>
      <c r="C3826" t="s">
        <v>52</v>
      </c>
      <c r="D3826" s="49">
        <v>45849</v>
      </c>
      <c r="E3826" s="49">
        <v>45851</v>
      </c>
      <c r="I3826" s="49">
        <v>45870</v>
      </c>
      <c r="J3826" t="s">
        <v>49</v>
      </c>
      <c r="K3826" s="33">
        <v>5200</v>
      </c>
      <c r="L3826" t="s">
        <v>62</v>
      </c>
      <c r="M3826" t="str">
        <f>_xlfn.XLOOKUP(Pipeline_tbl[[#This Row],[Rep_ID]],Dim_Reps!A:A,Dim_Reps!K:K)</f>
        <v>MXN</v>
      </c>
      <c r="N3826" s="33">
        <f>(_xlfn.XLOOKUP(Pipeline_tbl[[#This Row],[Rate_Code_Generalized]],Lookups!A:A,Lookups!B:B))*Pipeline_tbl[[#This Row],[Pipeline_Amount_USD]]</f>
        <v>102610.04000000001</v>
      </c>
      <c r="O3826" t="str">
        <f>_xlfn.XLOOKUP(Pipeline_tbl[[#This Row],[Rep_ID]],Dim_Reps!A:A,Dim_Reps!B:B)</f>
        <v>Milo Castro</v>
      </c>
      <c r="P3826" t="str">
        <f>_xlfn.XLOOKUP(Pipeline_tbl[[#This Row],[Rep_ID]],Dim_Reps!A:A,Dim_Reps!C:C)</f>
        <v>SDR / Inside Sales Rep</v>
      </c>
      <c r="Q3826" t="str">
        <f>_xlfn.XLOOKUP(Pipeline_tbl[[#This Row],[Rep_ID]],Dim_Reps!A:A,Dim_Reps!D:D)</f>
        <v>Inside Sales</v>
      </c>
      <c r="R3826" t="str">
        <f>_xlfn.XLOOKUP(Pipeline_tbl[[#This Row],[Rep_ID]],Dim_Reps!A:A,Dim_Reps!E:E)</f>
        <v>LATAM</v>
      </c>
      <c r="S3826" t="str">
        <f>_xlfn.XLOOKUP(Pipeline_tbl[[#This Row],[Created_Date]],Dim_Date!A:A,Dim_Date!H:H)</f>
        <v>Jul 2025</v>
      </c>
      <c r="T3826" t="str">
        <f>IF(Pipeline_tbl[[#This Row],[Closed_Date]]=0,"",(_xlfn.XLOOKUP(Pipeline_tbl[[#This Row],[Closed_Date]],Dim_Date!A:A,Dim_Date!H:H)))</f>
        <v>Aug 2025</v>
      </c>
      <c r="U3826">
        <f>IF(Pipeline_tbl[[#This Row],[Closed_Date]]=0,"",Pipeline_tbl[[#This Row],[Closed_Date]]-Pipeline_tbl[[#This Row],[Created_Date]])</f>
        <v>21</v>
      </c>
    </row>
    <row r="3827" spans="1:21" ht="15" customHeight="1" x14ac:dyDescent="0.2">
      <c r="A3827" t="s">
        <v>4133</v>
      </c>
      <c r="B3827" t="s">
        <v>237</v>
      </c>
      <c r="C3827" t="s">
        <v>54</v>
      </c>
      <c r="D3827" s="49">
        <v>45867</v>
      </c>
      <c r="E3827" s="49">
        <v>45868</v>
      </c>
      <c r="F3827" s="49">
        <v>45871</v>
      </c>
      <c r="G3827" s="49">
        <v>45874</v>
      </c>
      <c r="I3827" s="49">
        <v>45879</v>
      </c>
      <c r="J3827" t="s">
        <v>49</v>
      </c>
      <c r="K3827" s="33">
        <v>4000</v>
      </c>
      <c r="L3827" t="s">
        <v>60</v>
      </c>
      <c r="M3827" t="str">
        <f>_xlfn.XLOOKUP(Pipeline_tbl[[#This Row],[Rep_ID]],Dim_Reps!A:A,Dim_Reps!K:K)</f>
        <v>EUR</v>
      </c>
      <c r="N3827" s="33">
        <f>(_xlfn.XLOOKUP(Pipeline_tbl[[#This Row],[Rate_Code_Generalized]],Lookups!A:A,Lookups!B:B))*Pipeline_tbl[[#This Row],[Pipeline_Amount_USD]]</f>
        <v>4000</v>
      </c>
      <c r="O3827" t="str">
        <f>_xlfn.XLOOKUP(Pipeline_tbl[[#This Row],[Rep_ID]],Dim_Reps!A:A,Dim_Reps!B:B)</f>
        <v>Hugo Santos</v>
      </c>
      <c r="P3827" t="str">
        <f>_xlfn.XLOOKUP(Pipeline_tbl[[#This Row],[Rep_ID]],Dim_Reps!A:A,Dim_Reps!C:C)</f>
        <v>SDR / Inside Sales Rep</v>
      </c>
      <c r="Q3827" t="str">
        <f>_xlfn.XLOOKUP(Pipeline_tbl[[#This Row],[Rep_ID]],Dim_Reps!A:A,Dim_Reps!D:D)</f>
        <v>Inside Sales</v>
      </c>
      <c r="R3827" t="str">
        <f>_xlfn.XLOOKUP(Pipeline_tbl[[#This Row],[Rep_ID]],Dim_Reps!A:A,Dim_Reps!E:E)</f>
        <v>EMEA</v>
      </c>
      <c r="S3827" t="str">
        <f>_xlfn.XLOOKUP(Pipeline_tbl[[#This Row],[Created_Date]],Dim_Date!A:A,Dim_Date!H:H)</f>
        <v>Jul 2025</v>
      </c>
      <c r="T3827" t="str">
        <f>IF(Pipeline_tbl[[#This Row],[Closed_Date]]=0,"",(_xlfn.XLOOKUP(Pipeline_tbl[[#This Row],[Closed_Date]],Dim_Date!A:A,Dim_Date!H:H)))</f>
        <v>Aug 2025</v>
      </c>
      <c r="U3827">
        <f>IF(Pipeline_tbl[[#This Row],[Closed_Date]]=0,"",Pipeline_tbl[[#This Row],[Closed_Date]]-Pipeline_tbl[[#This Row],[Created_Date]])</f>
        <v>12</v>
      </c>
    </row>
    <row r="3828" spans="1:21" ht="15" customHeight="1" x14ac:dyDescent="0.2">
      <c r="A3828" t="s">
        <v>4134</v>
      </c>
      <c r="B3828" t="s">
        <v>237</v>
      </c>
      <c r="C3828" t="s">
        <v>54</v>
      </c>
      <c r="D3828" s="49">
        <v>45865</v>
      </c>
      <c r="E3828" s="49">
        <v>45866</v>
      </c>
      <c r="F3828" s="49">
        <v>45869</v>
      </c>
      <c r="I3828" s="49">
        <v>45879</v>
      </c>
      <c r="J3828" t="s">
        <v>49</v>
      </c>
      <c r="K3828" s="33">
        <v>9500</v>
      </c>
      <c r="L3828" t="s">
        <v>63</v>
      </c>
      <c r="M3828" t="str">
        <f>_xlfn.XLOOKUP(Pipeline_tbl[[#This Row],[Rep_ID]],Dim_Reps!A:A,Dim_Reps!K:K)</f>
        <v>EUR</v>
      </c>
      <c r="N3828" s="33">
        <f>(_xlfn.XLOOKUP(Pipeline_tbl[[#This Row],[Rate_Code_Generalized]],Lookups!A:A,Lookups!B:B))*Pipeline_tbl[[#This Row],[Pipeline_Amount_USD]]</f>
        <v>9500</v>
      </c>
      <c r="O3828" t="str">
        <f>_xlfn.XLOOKUP(Pipeline_tbl[[#This Row],[Rep_ID]],Dim_Reps!A:A,Dim_Reps!B:B)</f>
        <v>Hugo Santos</v>
      </c>
      <c r="P3828" t="str">
        <f>_xlfn.XLOOKUP(Pipeline_tbl[[#This Row],[Rep_ID]],Dim_Reps!A:A,Dim_Reps!C:C)</f>
        <v>SDR / Inside Sales Rep</v>
      </c>
      <c r="Q3828" t="str">
        <f>_xlfn.XLOOKUP(Pipeline_tbl[[#This Row],[Rep_ID]],Dim_Reps!A:A,Dim_Reps!D:D)</f>
        <v>Inside Sales</v>
      </c>
      <c r="R3828" t="str">
        <f>_xlfn.XLOOKUP(Pipeline_tbl[[#This Row],[Rep_ID]],Dim_Reps!A:A,Dim_Reps!E:E)</f>
        <v>EMEA</v>
      </c>
      <c r="S3828" t="str">
        <f>_xlfn.XLOOKUP(Pipeline_tbl[[#This Row],[Created_Date]],Dim_Date!A:A,Dim_Date!H:H)</f>
        <v>Jul 2025</v>
      </c>
      <c r="T3828" t="str">
        <f>IF(Pipeline_tbl[[#This Row],[Closed_Date]]=0,"",(_xlfn.XLOOKUP(Pipeline_tbl[[#This Row],[Closed_Date]],Dim_Date!A:A,Dim_Date!H:H)))</f>
        <v>Aug 2025</v>
      </c>
      <c r="U3828">
        <f>IF(Pipeline_tbl[[#This Row],[Closed_Date]]=0,"",Pipeline_tbl[[#This Row],[Closed_Date]]-Pipeline_tbl[[#This Row],[Created_Date]])</f>
        <v>14</v>
      </c>
    </row>
    <row r="3829" spans="1:21" ht="15" customHeight="1" x14ac:dyDescent="0.2">
      <c r="A3829" t="s">
        <v>4135</v>
      </c>
      <c r="B3829" t="s">
        <v>237</v>
      </c>
      <c r="C3829" t="s">
        <v>53</v>
      </c>
      <c r="D3829" s="49">
        <v>45862</v>
      </c>
      <c r="E3829" s="49">
        <v>45864</v>
      </c>
      <c r="F3829" s="49">
        <v>45868</v>
      </c>
      <c r="I3829" s="49">
        <v>45881</v>
      </c>
      <c r="J3829" t="s">
        <v>49</v>
      </c>
      <c r="K3829" s="33">
        <v>2600</v>
      </c>
      <c r="L3829" t="s">
        <v>61</v>
      </c>
      <c r="M3829" t="str">
        <f>_xlfn.XLOOKUP(Pipeline_tbl[[#This Row],[Rep_ID]],Dim_Reps!A:A,Dim_Reps!K:K)</f>
        <v>EUR</v>
      </c>
      <c r="N3829" s="33">
        <f>(_xlfn.XLOOKUP(Pipeline_tbl[[#This Row],[Rate_Code_Generalized]],Lookups!A:A,Lookups!B:B))*Pipeline_tbl[[#This Row],[Pipeline_Amount_USD]]</f>
        <v>2600</v>
      </c>
      <c r="O3829" t="str">
        <f>_xlfn.XLOOKUP(Pipeline_tbl[[#This Row],[Rep_ID]],Dim_Reps!A:A,Dim_Reps!B:B)</f>
        <v>Hugo Santos</v>
      </c>
      <c r="P3829" t="str">
        <f>_xlfn.XLOOKUP(Pipeline_tbl[[#This Row],[Rep_ID]],Dim_Reps!A:A,Dim_Reps!C:C)</f>
        <v>SDR / Inside Sales Rep</v>
      </c>
      <c r="Q3829" t="str">
        <f>_xlfn.XLOOKUP(Pipeline_tbl[[#This Row],[Rep_ID]],Dim_Reps!A:A,Dim_Reps!D:D)</f>
        <v>Inside Sales</v>
      </c>
      <c r="R3829" t="str">
        <f>_xlfn.XLOOKUP(Pipeline_tbl[[#This Row],[Rep_ID]],Dim_Reps!A:A,Dim_Reps!E:E)</f>
        <v>EMEA</v>
      </c>
      <c r="S3829" t="str">
        <f>_xlfn.XLOOKUP(Pipeline_tbl[[#This Row],[Created_Date]],Dim_Date!A:A,Dim_Date!H:H)</f>
        <v>Jul 2025</v>
      </c>
      <c r="T3829" t="str">
        <f>IF(Pipeline_tbl[[#This Row],[Closed_Date]]=0,"",(_xlfn.XLOOKUP(Pipeline_tbl[[#This Row],[Closed_Date]],Dim_Date!A:A,Dim_Date!H:H)))</f>
        <v>Aug 2025</v>
      </c>
      <c r="U3829">
        <f>IF(Pipeline_tbl[[#This Row],[Closed_Date]]=0,"",Pipeline_tbl[[#This Row],[Closed_Date]]-Pipeline_tbl[[#This Row],[Created_Date]])</f>
        <v>19</v>
      </c>
    </row>
    <row r="3830" spans="1:21" ht="15" customHeight="1" x14ac:dyDescent="0.2">
      <c r="A3830" t="s">
        <v>4136</v>
      </c>
      <c r="B3830" t="s">
        <v>269</v>
      </c>
      <c r="C3830" t="s">
        <v>52</v>
      </c>
      <c r="D3830" s="49">
        <v>45840</v>
      </c>
      <c r="E3830" s="49">
        <v>45844</v>
      </c>
      <c r="F3830" s="49">
        <v>45852</v>
      </c>
      <c r="I3830" s="49">
        <v>45879</v>
      </c>
      <c r="J3830" t="s">
        <v>49</v>
      </c>
      <c r="K3830" s="33">
        <v>7700</v>
      </c>
      <c r="L3830" t="s">
        <v>62</v>
      </c>
      <c r="M3830" t="str">
        <f>_xlfn.XLOOKUP(Pipeline_tbl[[#This Row],[Rep_ID]],Dim_Reps!A:A,Dim_Reps!K:K)</f>
        <v>USD</v>
      </c>
      <c r="N3830" s="33">
        <f>(_xlfn.XLOOKUP(Pipeline_tbl[[#This Row],[Rate_Code_Generalized]],Lookups!A:A,Lookups!B:B))*Pipeline_tbl[[#This Row],[Pipeline_Amount_USD]]</f>
        <v>8965.1099999999988</v>
      </c>
      <c r="O3830" t="str">
        <f>_xlfn.XLOOKUP(Pipeline_tbl[[#This Row],[Rep_ID]],Dim_Reps!A:A,Dim_Reps!B:B)</f>
        <v>Morgan Rivera</v>
      </c>
      <c r="P3830" t="str">
        <f>_xlfn.XLOOKUP(Pipeline_tbl[[#This Row],[Rep_ID]],Dim_Reps!A:A,Dim_Reps!C:C)</f>
        <v>Mid-Market AE</v>
      </c>
      <c r="Q3830" t="str">
        <f>_xlfn.XLOOKUP(Pipeline_tbl[[#This Row],[Rep_ID]],Dim_Reps!A:A,Dim_Reps!D:D)</f>
        <v>Mid-Market</v>
      </c>
      <c r="R3830" t="str">
        <f>_xlfn.XLOOKUP(Pipeline_tbl[[#This Row],[Rep_ID]],Dim_Reps!A:A,Dim_Reps!E:E)</f>
        <v>NAMER</v>
      </c>
      <c r="S3830" t="str">
        <f>_xlfn.XLOOKUP(Pipeline_tbl[[#This Row],[Created_Date]],Dim_Date!A:A,Dim_Date!H:H)</f>
        <v>Jul 2025</v>
      </c>
      <c r="T3830" t="str">
        <f>IF(Pipeline_tbl[[#This Row],[Closed_Date]]=0,"",(_xlfn.XLOOKUP(Pipeline_tbl[[#This Row],[Closed_Date]],Dim_Date!A:A,Dim_Date!H:H)))</f>
        <v>Aug 2025</v>
      </c>
      <c r="U3830">
        <f>IF(Pipeline_tbl[[#This Row],[Closed_Date]]=0,"",Pipeline_tbl[[#This Row],[Closed_Date]]-Pipeline_tbl[[#This Row],[Created_Date]])</f>
        <v>39</v>
      </c>
    </row>
    <row r="3831" spans="1:21" ht="15" customHeight="1" x14ac:dyDescent="0.2">
      <c r="A3831" t="s">
        <v>4137</v>
      </c>
      <c r="B3831" t="s">
        <v>269</v>
      </c>
      <c r="C3831" t="s">
        <v>54</v>
      </c>
      <c r="D3831" s="49">
        <v>45865</v>
      </c>
      <c r="E3831" s="49">
        <v>45868</v>
      </c>
      <c r="F3831" s="49">
        <v>45875</v>
      </c>
      <c r="G3831" s="49">
        <v>45884</v>
      </c>
      <c r="I3831" s="49">
        <v>45897</v>
      </c>
      <c r="J3831" t="s">
        <v>49</v>
      </c>
      <c r="K3831" s="33">
        <v>13100</v>
      </c>
      <c r="L3831" t="s">
        <v>62</v>
      </c>
      <c r="M3831" t="str">
        <f>_xlfn.XLOOKUP(Pipeline_tbl[[#This Row],[Rep_ID]],Dim_Reps!A:A,Dim_Reps!K:K)</f>
        <v>USD</v>
      </c>
      <c r="N3831" s="33">
        <f>(_xlfn.XLOOKUP(Pipeline_tbl[[#This Row],[Rate_Code_Generalized]],Lookups!A:A,Lookups!B:B))*Pipeline_tbl[[#This Row],[Pipeline_Amount_USD]]</f>
        <v>15252.329999999998</v>
      </c>
      <c r="O3831" t="str">
        <f>_xlfn.XLOOKUP(Pipeline_tbl[[#This Row],[Rep_ID]],Dim_Reps!A:A,Dim_Reps!B:B)</f>
        <v>Morgan Rivera</v>
      </c>
      <c r="P3831" t="str">
        <f>_xlfn.XLOOKUP(Pipeline_tbl[[#This Row],[Rep_ID]],Dim_Reps!A:A,Dim_Reps!C:C)</f>
        <v>Mid-Market AE</v>
      </c>
      <c r="Q3831" t="str">
        <f>_xlfn.XLOOKUP(Pipeline_tbl[[#This Row],[Rep_ID]],Dim_Reps!A:A,Dim_Reps!D:D)</f>
        <v>Mid-Market</v>
      </c>
      <c r="R3831" t="str">
        <f>_xlfn.XLOOKUP(Pipeline_tbl[[#This Row],[Rep_ID]],Dim_Reps!A:A,Dim_Reps!E:E)</f>
        <v>NAMER</v>
      </c>
      <c r="S3831" t="str">
        <f>_xlfn.XLOOKUP(Pipeline_tbl[[#This Row],[Created_Date]],Dim_Date!A:A,Dim_Date!H:H)</f>
        <v>Jul 2025</v>
      </c>
      <c r="T3831" t="str">
        <f>IF(Pipeline_tbl[[#This Row],[Closed_Date]]=0,"",(_xlfn.XLOOKUP(Pipeline_tbl[[#This Row],[Closed_Date]],Dim_Date!A:A,Dim_Date!H:H)))</f>
        <v>Aug 2025</v>
      </c>
      <c r="U3831">
        <f>IF(Pipeline_tbl[[#This Row],[Closed_Date]]=0,"",Pipeline_tbl[[#This Row],[Closed_Date]]-Pipeline_tbl[[#This Row],[Created_Date]])</f>
        <v>32</v>
      </c>
    </row>
    <row r="3832" spans="1:21" ht="15" customHeight="1" x14ac:dyDescent="0.2">
      <c r="A3832" t="s">
        <v>4138</v>
      </c>
      <c r="B3832" t="s">
        <v>271</v>
      </c>
      <c r="C3832" t="s">
        <v>53</v>
      </c>
      <c r="D3832" s="49">
        <v>45856</v>
      </c>
      <c r="E3832" s="49">
        <v>45860</v>
      </c>
      <c r="F3832" s="49">
        <v>45868</v>
      </c>
      <c r="G3832" s="49">
        <v>45880</v>
      </c>
      <c r="H3832" s="49">
        <v>45890</v>
      </c>
      <c r="I3832" s="49">
        <v>45896</v>
      </c>
      <c r="J3832" t="s">
        <v>47</v>
      </c>
      <c r="K3832" s="33">
        <v>6800</v>
      </c>
      <c r="M3832" t="str">
        <f>_xlfn.XLOOKUP(Pipeline_tbl[[#This Row],[Rep_ID]],Dim_Reps!A:A,Dim_Reps!K:K)</f>
        <v>EUR</v>
      </c>
      <c r="N3832" s="33">
        <f>(_xlfn.XLOOKUP(Pipeline_tbl[[#This Row],[Rate_Code_Generalized]],Lookups!A:A,Lookups!B:B))*Pipeline_tbl[[#This Row],[Pipeline_Amount_USD]]</f>
        <v>6800</v>
      </c>
      <c r="O3832" t="str">
        <f>_xlfn.XLOOKUP(Pipeline_tbl[[#This Row],[Rep_ID]],Dim_Reps!A:A,Dim_Reps!B:B)</f>
        <v>Ivy Adler</v>
      </c>
      <c r="P3832" t="str">
        <f>_xlfn.XLOOKUP(Pipeline_tbl[[#This Row],[Rep_ID]],Dim_Reps!A:A,Dim_Reps!C:C)</f>
        <v>Mid-Market AE</v>
      </c>
      <c r="Q3832" t="str">
        <f>_xlfn.XLOOKUP(Pipeline_tbl[[#This Row],[Rep_ID]],Dim_Reps!A:A,Dim_Reps!D:D)</f>
        <v>Mid-Market</v>
      </c>
      <c r="R3832" t="str">
        <f>_xlfn.XLOOKUP(Pipeline_tbl[[#This Row],[Rep_ID]],Dim_Reps!A:A,Dim_Reps!E:E)</f>
        <v>APAC</v>
      </c>
      <c r="S3832" t="str">
        <f>_xlfn.XLOOKUP(Pipeline_tbl[[#This Row],[Created_Date]],Dim_Date!A:A,Dim_Date!H:H)</f>
        <v>Jul 2025</v>
      </c>
      <c r="T3832" t="str">
        <f>IF(Pipeline_tbl[[#This Row],[Closed_Date]]=0,"",(_xlfn.XLOOKUP(Pipeline_tbl[[#This Row],[Closed_Date]],Dim_Date!A:A,Dim_Date!H:H)))</f>
        <v>Aug 2025</v>
      </c>
      <c r="U3832">
        <f>IF(Pipeline_tbl[[#This Row],[Closed_Date]]=0,"",Pipeline_tbl[[#This Row],[Closed_Date]]-Pipeline_tbl[[#This Row],[Created_Date]])</f>
        <v>40</v>
      </c>
    </row>
    <row r="3833" spans="1:21" ht="15" customHeight="1" x14ac:dyDescent="0.2">
      <c r="A3833" t="s">
        <v>4139</v>
      </c>
      <c r="B3833" t="s">
        <v>271</v>
      </c>
      <c r="C3833" t="s">
        <v>52</v>
      </c>
      <c r="D3833" s="49">
        <v>45840</v>
      </c>
      <c r="E3833" s="49">
        <v>45843</v>
      </c>
      <c r="F3833" s="49">
        <v>45849</v>
      </c>
      <c r="I3833" s="49">
        <v>45871</v>
      </c>
      <c r="J3833" t="s">
        <v>49</v>
      </c>
      <c r="K3833" s="33">
        <v>15600</v>
      </c>
      <c r="L3833" t="s">
        <v>60</v>
      </c>
      <c r="M3833" t="str">
        <f>_xlfn.XLOOKUP(Pipeline_tbl[[#This Row],[Rep_ID]],Dim_Reps!A:A,Dim_Reps!K:K)</f>
        <v>EUR</v>
      </c>
      <c r="N3833" s="33">
        <f>(_xlfn.XLOOKUP(Pipeline_tbl[[#This Row],[Rate_Code_Generalized]],Lookups!A:A,Lookups!B:B))*Pipeline_tbl[[#This Row],[Pipeline_Amount_USD]]</f>
        <v>15600</v>
      </c>
      <c r="O3833" t="str">
        <f>_xlfn.XLOOKUP(Pipeline_tbl[[#This Row],[Rep_ID]],Dim_Reps!A:A,Dim_Reps!B:B)</f>
        <v>Ivy Adler</v>
      </c>
      <c r="P3833" t="str">
        <f>_xlfn.XLOOKUP(Pipeline_tbl[[#This Row],[Rep_ID]],Dim_Reps!A:A,Dim_Reps!C:C)</f>
        <v>Mid-Market AE</v>
      </c>
      <c r="Q3833" t="str">
        <f>_xlfn.XLOOKUP(Pipeline_tbl[[#This Row],[Rep_ID]],Dim_Reps!A:A,Dim_Reps!D:D)</f>
        <v>Mid-Market</v>
      </c>
      <c r="R3833" t="str">
        <f>_xlfn.XLOOKUP(Pipeline_tbl[[#This Row],[Rep_ID]],Dim_Reps!A:A,Dim_Reps!E:E)</f>
        <v>APAC</v>
      </c>
      <c r="S3833" t="str">
        <f>_xlfn.XLOOKUP(Pipeline_tbl[[#This Row],[Created_Date]],Dim_Date!A:A,Dim_Date!H:H)</f>
        <v>Jul 2025</v>
      </c>
      <c r="T3833" t="str">
        <f>IF(Pipeline_tbl[[#This Row],[Closed_Date]]=0,"",(_xlfn.XLOOKUP(Pipeline_tbl[[#This Row],[Closed_Date]],Dim_Date!A:A,Dim_Date!H:H)))</f>
        <v>Aug 2025</v>
      </c>
      <c r="U3833">
        <f>IF(Pipeline_tbl[[#This Row],[Closed_Date]]=0,"",Pipeline_tbl[[#This Row],[Closed_Date]]-Pipeline_tbl[[#This Row],[Created_Date]])</f>
        <v>31</v>
      </c>
    </row>
    <row r="3834" spans="1:21" ht="15" customHeight="1" x14ac:dyDescent="0.2">
      <c r="A3834" t="s">
        <v>4140</v>
      </c>
      <c r="B3834" t="s">
        <v>271</v>
      </c>
      <c r="C3834" t="s">
        <v>55</v>
      </c>
      <c r="D3834" s="49">
        <v>45850</v>
      </c>
      <c r="E3834" s="49">
        <v>45852</v>
      </c>
      <c r="F3834" s="49">
        <v>45858</v>
      </c>
      <c r="I3834" s="49">
        <v>45875</v>
      </c>
      <c r="J3834" t="s">
        <v>49</v>
      </c>
      <c r="K3834" s="33">
        <v>17700</v>
      </c>
      <c r="L3834" t="s">
        <v>60</v>
      </c>
      <c r="M3834" t="str">
        <f>_xlfn.XLOOKUP(Pipeline_tbl[[#This Row],[Rep_ID]],Dim_Reps!A:A,Dim_Reps!K:K)</f>
        <v>EUR</v>
      </c>
      <c r="N3834" s="33">
        <f>(_xlfn.XLOOKUP(Pipeline_tbl[[#This Row],[Rate_Code_Generalized]],Lookups!A:A,Lookups!B:B))*Pipeline_tbl[[#This Row],[Pipeline_Amount_USD]]</f>
        <v>17700</v>
      </c>
      <c r="O3834" t="str">
        <f>_xlfn.XLOOKUP(Pipeline_tbl[[#This Row],[Rep_ID]],Dim_Reps!A:A,Dim_Reps!B:B)</f>
        <v>Ivy Adler</v>
      </c>
      <c r="P3834" t="str">
        <f>_xlfn.XLOOKUP(Pipeline_tbl[[#This Row],[Rep_ID]],Dim_Reps!A:A,Dim_Reps!C:C)</f>
        <v>Mid-Market AE</v>
      </c>
      <c r="Q3834" t="str">
        <f>_xlfn.XLOOKUP(Pipeline_tbl[[#This Row],[Rep_ID]],Dim_Reps!A:A,Dim_Reps!D:D)</f>
        <v>Mid-Market</v>
      </c>
      <c r="R3834" t="str">
        <f>_xlfn.XLOOKUP(Pipeline_tbl[[#This Row],[Rep_ID]],Dim_Reps!A:A,Dim_Reps!E:E)</f>
        <v>APAC</v>
      </c>
      <c r="S3834" t="str">
        <f>_xlfn.XLOOKUP(Pipeline_tbl[[#This Row],[Created_Date]],Dim_Date!A:A,Dim_Date!H:H)</f>
        <v>Jul 2025</v>
      </c>
      <c r="T3834" t="str">
        <f>IF(Pipeline_tbl[[#This Row],[Closed_Date]]=0,"",(_xlfn.XLOOKUP(Pipeline_tbl[[#This Row],[Closed_Date]],Dim_Date!A:A,Dim_Date!H:H)))</f>
        <v>Aug 2025</v>
      </c>
      <c r="U3834">
        <f>IF(Pipeline_tbl[[#This Row],[Closed_Date]]=0,"",Pipeline_tbl[[#This Row],[Closed_Date]]-Pipeline_tbl[[#This Row],[Created_Date]])</f>
        <v>25</v>
      </c>
    </row>
    <row r="3835" spans="1:21" ht="15" customHeight="1" x14ac:dyDescent="0.2">
      <c r="A3835" t="s">
        <v>4141</v>
      </c>
      <c r="B3835" t="s">
        <v>271</v>
      </c>
      <c r="C3835" t="s">
        <v>54</v>
      </c>
      <c r="D3835" s="49">
        <v>45865</v>
      </c>
      <c r="E3835" s="49">
        <v>45867</v>
      </c>
      <c r="F3835" s="49">
        <v>45870</v>
      </c>
      <c r="G3835" s="49">
        <v>45875</v>
      </c>
      <c r="H3835" s="49">
        <v>45879</v>
      </c>
      <c r="I3835" s="49">
        <v>45882</v>
      </c>
      <c r="J3835" t="s">
        <v>47</v>
      </c>
      <c r="K3835" s="33">
        <v>19200</v>
      </c>
      <c r="M3835" t="str">
        <f>_xlfn.XLOOKUP(Pipeline_tbl[[#This Row],[Rep_ID]],Dim_Reps!A:A,Dim_Reps!K:K)</f>
        <v>EUR</v>
      </c>
      <c r="N3835" s="33">
        <f>(_xlfn.XLOOKUP(Pipeline_tbl[[#This Row],[Rate_Code_Generalized]],Lookups!A:A,Lookups!B:B))*Pipeline_tbl[[#This Row],[Pipeline_Amount_USD]]</f>
        <v>19200</v>
      </c>
      <c r="O3835" t="str">
        <f>_xlfn.XLOOKUP(Pipeline_tbl[[#This Row],[Rep_ID]],Dim_Reps!A:A,Dim_Reps!B:B)</f>
        <v>Ivy Adler</v>
      </c>
      <c r="P3835" t="str">
        <f>_xlfn.XLOOKUP(Pipeline_tbl[[#This Row],[Rep_ID]],Dim_Reps!A:A,Dim_Reps!C:C)</f>
        <v>Mid-Market AE</v>
      </c>
      <c r="Q3835" t="str">
        <f>_xlfn.XLOOKUP(Pipeline_tbl[[#This Row],[Rep_ID]],Dim_Reps!A:A,Dim_Reps!D:D)</f>
        <v>Mid-Market</v>
      </c>
      <c r="R3835" t="str">
        <f>_xlfn.XLOOKUP(Pipeline_tbl[[#This Row],[Rep_ID]],Dim_Reps!A:A,Dim_Reps!E:E)</f>
        <v>APAC</v>
      </c>
      <c r="S3835" t="str">
        <f>_xlfn.XLOOKUP(Pipeline_tbl[[#This Row],[Created_Date]],Dim_Date!A:A,Dim_Date!H:H)</f>
        <v>Jul 2025</v>
      </c>
      <c r="T3835" t="str">
        <f>IF(Pipeline_tbl[[#This Row],[Closed_Date]]=0,"",(_xlfn.XLOOKUP(Pipeline_tbl[[#This Row],[Closed_Date]],Dim_Date!A:A,Dim_Date!H:H)))</f>
        <v>Aug 2025</v>
      </c>
      <c r="U3835">
        <f>IF(Pipeline_tbl[[#This Row],[Closed_Date]]=0,"",Pipeline_tbl[[#This Row],[Closed_Date]]-Pipeline_tbl[[#This Row],[Created_Date]])</f>
        <v>17</v>
      </c>
    </row>
    <row r="3836" spans="1:21" ht="15" customHeight="1" x14ac:dyDescent="0.2">
      <c r="A3836" t="s">
        <v>4142</v>
      </c>
      <c r="B3836" t="s">
        <v>273</v>
      </c>
      <c r="C3836" t="s">
        <v>53</v>
      </c>
      <c r="D3836" s="49">
        <v>45861</v>
      </c>
      <c r="E3836" s="49">
        <v>45863</v>
      </c>
      <c r="F3836" s="49">
        <v>45867</v>
      </c>
      <c r="G3836" s="49">
        <v>45872</v>
      </c>
      <c r="I3836" s="49">
        <v>45880</v>
      </c>
      <c r="J3836" t="s">
        <v>49</v>
      </c>
      <c r="K3836" s="33">
        <v>16400</v>
      </c>
      <c r="L3836" t="s">
        <v>60</v>
      </c>
      <c r="M3836" t="str">
        <f>_xlfn.XLOOKUP(Pipeline_tbl[[#This Row],[Rep_ID]],Dim_Reps!A:A,Dim_Reps!K:K)</f>
        <v>EUR</v>
      </c>
      <c r="N3836" s="33">
        <f>(_xlfn.XLOOKUP(Pipeline_tbl[[#This Row],[Rate_Code_Generalized]],Lookups!A:A,Lookups!B:B))*Pipeline_tbl[[#This Row],[Pipeline_Amount_USD]]</f>
        <v>16400</v>
      </c>
      <c r="O3836" t="str">
        <f>_xlfn.XLOOKUP(Pipeline_tbl[[#This Row],[Rep_ID]],Dim_Reps!A:A,Dim_Reps!B:B)</f>
        <v>Olivia Cohen</v>
      </c>
      <c r="P3836" t="str">
        <f>_xlfn.XLOOKUP(Pipeline_tbl[[#This Row],[Rep_ID]],Dim_Reps!A:A,Dim_Reps!C:C)</f>
        <v>Mid-Market AE</v>
      </c>
      <c r="Q3836" t="str">
        <f>_xlfn.XLOOKUP(Pipeline_tbl[[#This Row],[Rep_ID]],Dim_Reps!A:A,Dim_Reps!D:D)</f>
        <v>Mid-Market</v>
      </c>
      <c r="R3836" t="str">
        <f>_xlfn.XLOOKUP(Pipeline_tbl[[#This Row],[Rep_ID]],Dim_Reps!A:A,Dim_Reps!E:E)</f>
        <v>APAC</v>
      </c>
      <c r="S3836" t="str">
        <f>_xlfn.XLOOKUP(Pipeline_tbl[[#This Row],[Created_Date]],Dim_Date!A:A,Dim_Date!H:H)</f>
        <v>Jul 2025</v>
      </c>
      <c r="T3836" t="str">
        <f>IF(Pipeline_tbl[[#This Row],[Closed_Date]]=0,"",(_xlfn.XLOOKUP(Pipeline_tbl[[#This Row],[Closed_Date]],Dim_Date!A:A,Dim_Date!H:H)))</f>
        <v>Aug 2025</v>
      </c>
      <c r="U3836">
        <f>IF(Pipeline_tbl[[#This Row],[Closed_Date]]=0,"",Pipeline_tbl[[#This Row],[Closed_Date]]-Pipeline_tbl[[#This Row],[Created_Date]])</f>
        <v>19</v>
      </c>
    </row>
    <row r="3837" spans="1:21" ht="15" customHeight="1" x14ac:dyDescent="0.2">
      <c r="A3837" t="s">
        <v>4143</v>
      </c>
      <c r="B3837" t="s">
        <v>273</v>
      </c>
      <c r="C3837" t="s">
        <v>52</v>
      </c>
      <c r="D3837" s="49">
        <v>45849</v>
      </c>
      <c r="E3837" s="49">
        <v>45853</v>
      </c>
      <c r="F3837" s="49">
        <v>45861</v>
      </c>
      <c r="I3837" s="49">
        <v>45888</v>
      </c>
      <c r="J3837" t="s">
        <v>49</v>
      </c>
      <c r="K3837" s="33">
        <v>16900</v>
      </c>
      <c r="L3837" t="s">
        <v>62</v>
      </c>
      <c r="M3837" t="str">
        <f>_xlfn.XLOOKUP(Pipeline_tbl[[#This Row],[Rep_ID]],Dim_Reps!A:A,Dim_Reps!K:K)</f>
        <v>EUR</v>
      </c>
      <c r="N3837" s="33">
        <f>(_xlfn.XLOOKUP(Pipeline_tbl[[#This Row],[Rate_Code_Generalized]],Lookups!A:A,Lookups!B:B))*Pipeline_tbl[[#This Row],[Pipeline_Amount_USD]]</f>
        <v>16900</v>
      </c>
      <c r="O3837" t="str">
        <f>_xlfn.XLOOKUP(Pipeline_tbl[[#This Row],[Rep_ID]],Dim_Reps!A:A,Dim_Reps!B:B)</f>
        <v>Olivia Cohen</v>
      </c>
      <c r="P3837" t="str">
        <f>_xlfn.XLOOKUP(Pipeline_tbl[[#This Row],[Rep_ID]],Dim_Reps!A:A,Dim_Reps!C:C)</f>
        <v>Mid-Market AE</v>
      </c>
      <c r="Q3837" t="str">
        <f>_xlfn.XLOOKUP(Pipeline_tbl[[#This Row],[Rep_ID]],Dim_Reps!A:A,Dim_Reps!D:D)</f>
        <v>Mid-Market</v>
      </c>
      <c r="R3837" t="str">
        <f>_xlfn.XLOOKUP(Pipeline_tbl[[#This Row],[Rep_ID]],Dim_Reps!A:A,Dim_Reps!E:E)</f>
        <v>APAC</v>
      </c>
      <c r="S3837" t="str">
        <f>_xlfn.XLOOKUP(Pipeline_tbl[[#This Row],[Created_Date]],Dim_Date!A:A,Dim_Date!H:H)</f>
        <v>Jul 2025</v>
      </c>
      <c r="T3837" t="str">
        <f>IF(Pipeline_tbl[[#This Row],[Closed_Date]]=0,"",(_xlfn.XLOOKUP(Pipeline_tbl[[#This Row],[Closed_Date]],Dim_Date!A:A,Dim_Date!H:H)))</f>
        <v>Aug 2025</v>
      </c>
      <c r="U3837">
        <f>IF(Pipeline_tbl[[#This Row],[Closed_Date]]=0,"",Pipeline_tbl[[#This Row],[Closed_Date]]-Pipeline_tbl[[#This Row],[Created_Date]])</f>
        <v>39</v>
      </c>
    </row>
    <row r="3838" spans="1:21" ht="15" customHeight="1" x14ac:dyDescent="0.2">
      <c r="A3838" t="s">
        <v>4144</v>
      </c>
      <c r="B3838" t="s">
        <v>273</v>
      </c>
      <c r="C3838" t="s">
        <v>54</v>
      </c>
      <c r="D3838" s="49">
        <v>45855</v>
      </c>
      <c r="E3838" s="49">
        <v>45859</v>
      </c>
      <c r="F3838" s="49">
        <v>45869</v>
      </c>
      <c r="G3838" s="49">
        <v>45882</v>
      </c>
      <c r="H3838" s="49">
        <v>45893</v>
      </c>
      <c r="I3838" s="49">
        <v>45900</v>
      </c>
      <c r="J3838" t="s">
        <v>49</v>
      </c>
      <c r="K3838" s="33">
        <v>13900</v>
      </c>
      <c r="L3838" t="s">
        <v>64</v>
      </c>
      <c r="M3838" t="str">
        <f>_xlfn.XLOOKUP(Pipeline_tbl[[#This Row],[Rep_ID]],Dim_Reps!A:A,Dim_Reps!K:K)</f>
        <v>EUR</v>
      </c>
      <c r="N3838" s="33">
        <f>(_xlfn.XLOOKUP(Pipeline_tbl[[#This Row],[Rate_Code_Generalized]],Lookups!A:A,Lookups!B:B))*Pipeline_tbl[[#This Row],[Pipeline_Amount_USD]]</f>
        <v>13900</v>
      </c>
      <c r="O3838" t="str">
        <f>_xlfn.XLOOKUP(Pipeline_tbl[[#This Row],[Rep_ID]],Dim_Reps!A:A,Dim_Reps!B:B)</f>
        <v>Olivia Cohen</v>
      </c>
      <c r="P3838" t="str">
        <f>_xlfn.XLOOKUP(Pipeline_tbl[[#This Row],[Rep_ID]],Dim_Reps!A:A,Dim_Reps!C:C)</f>
        <v>Mid-Market AE</v>
      </c>
      <c r="Q3838" t="str">
        <f>_xlfn.XLOOKUP(Pipeline_tbl[[#This Row],[Rep_ID]],Dim_Reps!A:A,Dim_Reps!D:D)</f>
        <v>Mid-Market</v>
      </c>
      <c r="R3838" t="str">
        <f>_xlfn.XLOOKUP(Pipeline_tbl[[#This Row],[Rep_ID]],Dim_Reps!A:A,Dim_Reps!E:E)</f>
        <v>APAC</v>
      </c>
      <c r="S3838" t="str">
        <f>_xlfn.XLOOKUP(Pipeline_tbl[[#This Row],[Created_Date]],Dim_Date!A:A,Dim_Date!H:H)</f>
        <v>Jul 2025</v>
      </c>
      <c r="T3838" t="str">
        <f>IF(Pipeline_tbl[[#This Row],[Closed_Date]]=0,"",(_xlfn.XLOOKUP(Pipeline_tbl[[#This Row],[Closed_Date]],Dim_Date!A:A,Dim_Date!H:H)))</f>
        <v>Aug 2025</v>
      </c>
      <c r="U3838">
        <f>IF(Pipeline_tbl[[#This Row],[Closed_Date]]=0,"",Pipeline_tbl[[#This Row],[Closed_Date]]-Pipeline_tbl[[#This Row],[Created_Date]])</f>
        <v>45</v>
      </c>
    </row>
    <row r="3839" spans="1:21" ht="15" customHeight="1" x14ac:dyDescent="0.2">
      <c r="A3839" t="s">
        <v>4145</v>
      </c>
      <c r="B3839" t="s">
        <v>273</v>
      </c>
      <c r="C3839" t="s">
        <v>55</v>
      </c>
      <c r="D3839" s="49">
        <v>45846</v>
      </c>
      <c r="E3839" s="49">
        <v>45850</v>
      </c>
      <c r="I3839" s="49">
        <v>45889</v>
      </c>
      <c r="J3839" t="s">
        <v>49</v>
      </c>
      <c r="K3839" s="33">
        <v>10900</v>
      </c>
      <c r="L3839" t="s">
        <v>61</v>
      </c>
      <c r="M3839" t="str">
        <f>_xlfn.XLOOKUP(Pipeline_tbl[[#This Row],[Rep_ID]],Dim_Reps!A:A,Dim_Reps!K:K)</f>
        <v>EUR</v>
      </c>
      <c r="N3839" s="33">
        <f>(_xlfn.XLOOKUP(Pipeline_tbl[[#This Row],[Rate_Code_Generalized]],Lookups!A:A,Lookups!B:B))*Pipeline_tbl[[#This Row],[Pipeline_Amount_USD]]</f>
        <v>10900</v>
      </c>
      <c r="O3839" t="str">
        <f>_xlfn.XLOOKUP(Pipeline_tbl[[#This Row],[Rep_ID]],Dim_Reps!A:A,Dim_Reps!B:B)</f>
        <v>Olivia Cohen</v>
      </c>
      <c r="P3839" t="str">
        <f>_xlfn.XLOOKUP(Pipeline_tbl[[#This Row],[Rep_ID]],Dim_Reps!A:A,Dim_Reps!C:C)</f>
        <v>Mid-Market AE</v>
      </c>
      <c r="Q3839" t="str">
        <f>_xlfn.XLOOKUP(Pipeline_tbl[[#This Row],[Rep_ID]],Dim_Reps!A:A,Dim_Reps!D:D)</f>
        <v>Mid-Market</v>
      </c>
      <c r="R3839" t="str">
        <f>_xlfn.XLOOKUP(Pipeline_tbl[[#This Row],[Rep_ID]],Dim_Reps!A:A,Dim_Reps!E:E)</f>
        <v>APAC</v>
      </c>
      <c r="S3839" t="str">
        <f>_xlfn.XLOOKUP(Pipeline_tbl[[#This Row],[Created_Date]],Dim_Date!A:A,Dim_Date!H:H)</f>
        <v>Jul 2025</v>
      </c>
      <c r="T3839" t="str">
        <f>IF(Pipeline_tbl[[#This Row],[Closed_Date]]=0,"",(_xlfn.XLOOKUP(Pipeline_tbl[[#This Row],[Closed_Date]],Dim_Date!A:A,Dim_Date!H:H)))</f>
        <v>Aug 2025</v>
      </c>
      <c r="U3839">
        <f>IF(Pipeline_tbl[[#This Row],[Closed_Date]]=0,"",Pipeline_tbl[[#This Row],[Closed_Date]]-Pipeline_tbl[[#This Row],[Created_Date]])</f>
        <v>43</v>
      </c>
    </row>
    <row r="3840" spans="1:21" ht="15" customHeight="1" x14ac:dyDescent="0.2">
      <c r="A3840" t="s">
        <v>4146</v>
      </c>
      <c r="B3840" t="s">
        <v>241</v>
      </c>
      <c r="C3840" t="s">
        <v>52</v>
      </c>
      <c r="D3840" s="49">
        <v>45869</v>
      </c>
      <c r="E3840" s="49">
        <v>45871</v>
      </c>
      <c r="F3840" s="49">
        <v>45874</v>
      </c>
      <c r="G3840" s="49">
        <v>45879</v>
      </c>
      <c r="H3840" s="49">
        <v>45883</v>
      </c>
      <c r="I3840" s="49">
        <v>45886</v>
      </c>
      <c r="J3840" t="s">
        <v>47</v>
      </c>
      <c r="K3840" s="33">
        <v>2700</v>
      </c>
      <c r="M3840" t="str">
        <f>_xlfn.XLOOKUP(Pipeline_tbl[[#This Row],[Rep_ID]],Dim_Reps!A:A,Dim_Reps!K:K)</f>
        <v>EUR</v>
      </c>
      <c r="N3840" s="33">
        <f>(_xlfn.XLOOKUP(Pipeline_tbl[[#This Row],[Rate_Code_Generalized]],Lookups!A:A,Lookups!B:B))*Pipeline_tbl[[#This Row],[Pipeline_Amount_USD]]</f>
        <v>2700</v>
      </c>
      <c r="O3840" t="str">
        <f>_xlfn.XLOOKUP(Pipeline_tbl[[#This Row],[Rep_ID]],Dim_Reps!A:A,Dim_Reps!B:B)</f>
        <v>Kenji Weber</v>
      </c>
      <c r="P3840" t="str">
        <f>_xlfn.XLOOKUP(Pipeline_tbl[[#This Row],[Rep_ID]],Dim_Reps!A:A,Dim_Reps!C:C)</f>
        <v>SDR / Inside Sales Rep</v>
      </c>
      <c r="Q3840" t="str">
        <f>_xlfn.XLOOKUP(Pipeline_tbl[[#This Row],[Rep_ID]],Dim_Reps!A:A,Dim_Reps!D:D)</f>
        <v>Inside Sales</v>
      </c>
      <c r="R3840" t="str">
        <f>_xlfn.XLOOKUP(Pipeline_tbl[[#This Row],[Rep_ID]],Dim_Reps!A:A,Dim_Reps!E:E)</f>
        <v>APAC</v>
      </c>
      <c r="S3840" t="str">
        <f>_xlfn.XLOOKUP(Pipeline_tbl[[#This Row],[Created_Date]],Dim_Date!A:A,Dim_Date!H:H)</f>
        <v>Jul 2025</v>
      </c>
      <c r="T3840" t="str">
        <f>IF(Pipeline_tbl[[#This Row],[Closed_Date]]=0,"",(_xlfn.XLOOKUP(Pipeline_tbl[[#This Row],[Closed_Date]],Dim_Date!A:A,Dim_Date!H:H)))</f>
        <v>Aug 2025</v>
      </c>
      <c r="U3840">
        <f>IF(Pipeline_tbl[[#This Row],[Closed_Date]]=0,"",Pipeline_tbl[[#This Row],[Closed_Date]]-Pipeline_tbl[[#This Row],[Created_Date]])</f>
        <v>17</v>
      </c>
    </row>
    <row r="3841" spans="1:21" ht="15" customHeight="1" x14ac:dyDescent="0.2">
      <c r="A3841" t="s">
        <v>4147</v>
      </c>
      <c r="B3841" t="s">
        <v>241</v>
      </c>
      <c r="C3841" t="s">
        <v>52</v>
      </c>
      <c r="D3841" s="49">
        <v>45860</v>
      </c>
      <c r="E3841" s="49">
        <v>45861</v>
      </c>
      <c r="F3841" s="49">
        <v>45863</v>
      </c>
      <c r="G3841" s="49">
        <v>45866</v>
      </c>
      <c r="H3841" s="49">
        <v>45868</v>
      </c>
      <c r="I3841" s="49">
        <v>45870</v>
      </c>
      <c r="J3841" t="s">
        <v>47</v>
      </c>
      <c r="K3841" s="33">
        <v>2100</v>
      </c>
      <c r="M3841" t="str">
        <f>_xlfn.XLOOKUP(Pipeline_tbl[[#This Row],[Rep_ID]],Dim_Reps!A:A,Dim_Reps!K:K)</f>
        <v>EUR</v>
      </c>
      <c r="N3841" s="33">
        <f>(_xlfn.XLOOKUP(Pipeline_tbl[[#This Row],[Rate_Code_Generalized]],Lookups!A:A,Lookups!B:B))*Pipeline_tbl[[#This Row],[Pipeline_Amount_USD]]</f>
        <v>2100</v>
      </c>
      <c r="O3841" t="str">
        <f>_xlfn.XLOOKUP(Pipeline_tbl[[#This Row],[Rep_ID]],Dim_Reps!A:A,Dim_Reps!B:B)</f>
        <v>Kenji Weber</v>
      </c>
      <c r="P3841" t="str">
        <f>_xlfn.XLOOKUP(Pipeline_tbl[[#This Row],[Rep_ID]],Dim_Reps!A:A,Dim_Reps!C:C)</f>
        <v>SDR / Inside Sales Rep</v>
      </c>
      <c r="Q3841" t="str">
        <f>_xlfn.XLOOKUP(Pipeline_tbl[[#This Row],[Rep_ID]],Dim_Reps!A:A,Dim_Reps!D:D)</f>
        <v>Inside Sales</v>
      </c>
      <c r="R3841" t="str">
        <f>_xlfn.XLOOKUP(Pipeline_tbl[[#This Row],[Rep_ID]],Dim_Reps!A:A,Dim_Reps!E:E)</f>
        <v>APAC</v>
      </c>
      <c r="S3841" t="str">
        <f>_xlfn.XLOOKUP(Pipeline_tbl[[#This Row],[Created_Date]],Dim_Date!A:A,Dim_Date!H:H)</f>
        <v>Jul 2025</v>
      </c>
      <c r="T3841" t="str">
        <f>IF(Pipeline_tbl[[#This Row],[Closed_Date]]=0,"",(_xlfn.XLOOKUP(Pipeline_tbl[[#This Row],[Closed_Date]],Dim_Date!A:A,Dim_Date!H:H)))</f>
        <v>Aug 2025</v>
      </c>
      <c r="U3841">
        <f>IF(Pipeline_tbl[[#This Row],[Closed_Date]]=0,"",Pipeline_tbl[[#This Row],[Closed_Date]]-Pipeline_tbl[[#This Row],[Created_Date]])</f>
        <v>10</v>
      </c>
    </row>
    <row r="3842" spans="1:21" ht="15" customHeight="1" x14ac:dyDescent="0.2">
      <c r="A3842" t="s">
        <v>4148</v>
      </c>
      <c r="B3842" t="s">
        <v>241</v>
      </c>
      <c r="C3842" t="s">
        <v>55</v>
      </c>
      <c r="D3842" s="49">
        <v>45859</v>
      </c>
      <c r="E3842" s="49">
        <v>45861</v>
      </c>
      <c r="F3842" s="49">
        <v>45864</v>
      </c>
      <c r="I3842" s="49">
        <v>45874</v>
      </c>
      <c r="J3842" t="s">
        <v>49</v>
      </c>
      <c r="K3842" s="33">
        <v>5500</v>
      </c>
      <c r="L3842" t="s">
        <v>63</v>
      </c>
      <c r="M3842" t="str">
        <f>_xlfn.XLOOKUP(Pipeline_tbl[[#This Row],[Rep_ID]],Dim_Reps!A:A,Dim_Reps!K:K)</f>
        <v>EUR</v>
      </c>
      <c r="N3842" s="33">
        <f>(_xlfn.XLOOKUP(Pipeline_tbl[[#This Row],[Rate_Code_Generalized]],Lookups!A:A,Lookups!B:B))*Pipeline_tbl[[#This Row],[Pipeline_Amount_USD]]</f>
        <v>5500</v>
      </c>
      <c r="O3842" t="str">
        <f>_xlfn.XLOOKUP(Pipeline_tbl[[#This Row],[Rep_ID]],Dim_Reps!A:A,Dim_Reps!B:B)</f>
        <v>Kenji Weber</v>
      </c>
      <c r="P3842" t="str">
        <f>_xlfn.XLOOKUP(Pipeline_tbl[[#This Row],[Rep_ID]],Dim_Reps!A:A,Dim_Reps!C:C)</f>
        <v>SDR / Inside Sales Rep</v>
      </c>
      <c r="Q3842" t="str">
        <f>_xlfn.XLOOKUP(Pipeline_tbl[[#This Row],[Rep_ID]],Dim_Reps!A:A,Dim_Reps!D:D)</f>
        <v>Inside Sales</v>
      </c>
      <c r="R3842" t="str">
        <f>_xlfn.XLOOKUP(Pipeline_tbl[[#This Row],[Rep_ID]],Dim_Reps!A:A,Dim_Reps!E:E)</f>
        <v>APAC</v>
      </c>
      <c r="S3842" t="str">
        <f>_xlfn.XLOOKUP(Pipeline_tbl[[#This Row],[Created_Date]],Dim_Date!A:A,Dim_Date!H:H)</f>
        <v>Jul 2025</v>
      </c>
      <c r="T3842" t="str">
        <f>IF(Pipeline_tbl[[#This Row],[Closed_Date]]=0,"",(_xlfn.XLOOKUP(Pipeline_tbl[[#This Row],[Closed_Date]],Dim_Date!A:A,Dim_Date!H:H)))</f>
        <v>Aug 2025</v>
      </c>
      <c r="U3842">
        <f>IF(Pipeline_tbl[[#This Row],[Closed_Date]]=0,"",Pipeline_tbl[[#This Row],[Closed_Date]]-Pipeline_tbl[[#This Row],[Created_Date]])</f>
        <v>15</v>
      </c>
    </row>
    <row r="3843" spans="1:21" ht="15" customHeight="1" x14ac:dyDescent="0.2">
      <c r="A3843" t="s">
        <v>4149</v>
      </c>
      <c r="B3843" t="s">
        <v>193</v>
      </c>
      <c r="C3843" t="s">
        <v>53</v>
      </c>
      <c r="D3843" s="49">
        <v>45851</v>
      </c>
      <c r="E3843" s="49">
        <v>45853</v>
      </c>
      <c r="I3843" s="49">
        <v>45866</v>
      </c>
      <c r="J3843" t="s">
        <v>49</v>
      </c>
      <c r="K3843" s="33">
        <v>5300</v>
      </c>
      <c r="L3843" t="s">
        <v>63</v>
      </c>
      <c r="M3843" t="str">
        <f>_xlfn.XLOOKUP(Pipeline_tbl[[#This Row],[Rep_ID]],Dim_Reps!A:A,Dim_Reps!K:K)</f>
        <v>USD</v>
      </c>
      <c r="N3843" s="33">
        <f>(_xlfn.XLOOKUP(Pipeline_tbl[[#This Row],[Rate_Code_Generalized]],Lookups!A:A,Lookups!B:B))*Pipeline_tbl[[#This Row],[Pipeline_Amount_USD]]</f>
        <v>6170.7899999999991</v>
      </c>
      <c r="O3843" t="str">
        <f>_xlfn.XLOOKUP(Pipeline_tbl[[#This Row],[Rep_ID]],Dim_Reps!A:A,Dim_Reps!B:B)</f>
        <v>Karim Rossi</v>
      </c>
      <c r="P3843" t="str">
        <f>_xlfn.XLOOKUP(Pipeline_tbl[[#This Row],[Rep_ID]],Dim_Reps!A:A,Dim_Reps!C:C)</f>
        <v>SDR / Inside Sales Rep</v>
      </c>
      <c r="Q3843" t="str">
        <f>_xlfn.XLOOKUP(Pipeline_tbl[[#This Row],[Rep_ID]],Dim_Reps!A:A,Dim_Reps!D:D)</f>
        <v>Inside Sales</v>
      </c>
      <c r="R3843" t="str">
        <f>_xlfn.XLOOKUP(Pipeline_tbl[[#This Row],[Rep_ID]],Dim_Reps!A:A,Dim_Reps!E:E)</f>
        <v>NAMER</v>
      </c>
      <c r="S3843" t="str">
        <f>_xlfn.XLOOKUP(Pipeline_tbl[[#This Row],[Created_Date]],Dim_Date!A:A,Dim_Date!H:H)</f>
        <v>Jul 2025</v>
      </c>
      <c r="T3843" t="str">
        <f>IF(Pipeline_tbl[[#This Row],[Closed_Date]]=0,"",(_xlfn.XLOOKUP(Pipeline_tbl[[#This Row],[Closed_Date]],Dim_Date!A:A,Dim_Date!H:H)))</f>
        <v>Jul 2025</v>
      </c>
      <c r="U3843">
        <f>IF(Pipeline_tbl[[#This Row],[Closed_Date]]=0,"",Pipeline_tbl[[#This Row],[Closed_Date]]-Pipeline_tbl[[#This Row],[Created_Date]])</f>
        <v>15</v>
      </c>
    </row>
    <row r="3844" spans="1:21" ht="15" customHeight="1" x14ac:dyDescent="0.2">
      <c r="A3844" t="s">
        <v>4150</v>
      </c>
      <c r="B3844" t="s">
        <v>193</v>
      </c>
      <c r="C3844" t="s">
        <v>53</v>
      </c>
      <c r="D3844" s="49">
        <v>45849</v>
      </c>
      <c r="E3844" s="49">
        <v>45850</v>
      </c>
      <c r="F3844" s="49">
        <v>45853</v>
      </c>
      <c r="I3844" s="49">
        <v>45863</v>
      </c>
      <c r="J3844" t="s">
        <v>49</v>
      </c>
      <c r="K3844" s="33">
        <v>3700</v>
      </c>
      <c r="L3844" t="s">
        <v>60</v>
      </c>
      <c r="M3844" t="str">
        <f>_xlfn.XLOOKUP(Pipeline_tbl[[#This Row],[Rep_ID]],Dim_Reps!A:A,Dim_Reps!K:K)</f>
        <v>USD</v>
      </c>
      <c r="N3844" s="33">
        <f>(_xlfn.XLOOKUP(Pipeline_tbl[[#This Row],[Rate_Code_Generalized]],Lookups!A:A,Lookups!B:B))*Pipeline_tbl[[#This Row],[Pipeline_Amount_USD]]</f>
        <v>4307.91</v>
      </c>
      <c r="O3844" t="str">
        <f>_xlfn.XLOOKUP(Pipeline_tbl[[#This Row],[Rep_ID]],Dim_Reps!A:A,Dim_Reps!B:B)</f>
        <v>Karim Rossi</v>
      </c>
      <c r="P3844" t="str">
        <f>_xlfn.XLOOKUP(Pipeline_tbl[[#This Row],[Rep_ID]],Dim_Reps!A:A,Dim_Reps!C:C)</f>
        <v>SDR / Inside Sales Rep</v>
      </c>
      <c r="Q3844" t="str">
        <f>_xlfn.XLOOKUP(Pipeline_tbl[[#This Row],[Rep_ID]],Dim_Reps!A:A,Dim_Reps!D:D)</f>
        <v>Inside Sales</v>
      </c>
      <c r="R3844" t="str">
        <f>_xlfn.XLOOKUP(Pipeline_tbl[[#This Row],[Rep_ID]],Dim_Reps!A:A,Dim_Reps!E:E)</f>
        <v>NAMER</v>
      </c>
      <c r="S3844" t="str">
        <f>_xlfn.XLOOKUP(Pipeline_tbl[[#This Row],[Created_Date]],Dim_Date!A:A,Dim_Date!H:H)</f>
        <v>Jul 2025</v>
      </c>
      <c r="T3844" t="str">
        <f>IF(Pipeline_tbl[[#This Row],[Closed_Date]]=0,"",(_xlfn.XLOOKUP(Pipeline_tbl[[#This Row],[Closed_Date]],Dim_Date!A:A,Dim_Date!H:H)))</f>
        <v>Jul 2025</v>
      </c>
      <c r="U3844">
        <f>IF(Pipeline_tbl[[#This Row],[Closed_Date]]=0,"",Pipeline_tbl[[#This Row],[Closed_Date]]-Pipeline_tbl[[#This Row],[Created_Date]])</f>
        <v>14</v>
      </c>
    </row>
    <row r="3845" spans="1:21" ht="15" customHeight="1" x14ac:dyDescent="0.2">
      <c r="A3845" t="s">
        <v>4151</v>
      </c>
      <c r="B3845" t="s">
        <v>193</v>
      </c>
      <c r="C3845" t="s">
        <v>53</v>
      </c>
      <c r="D3845" s="49">
        <v>45847</v>
      </c>
      <c r="E3845" s="49">
        <v>45849</v>
      </c>
      <c r="I3845" s="49">
        <v>45863</v>
      </c>
      <c r="J3845" t="s">
        <v>49</v>
      </c>
      <c r="K3845" s="33">
        <v>2300</v>
      </c>
      <c r="L3845" t="s">
        <v>62</v>
      </c>
      <c r="M3845" t="str">
        <f>_xlfn.XLOOKUP(Pipeline_tbl[[#This Row],[Rep_ID]],Dim_Reps!A:A,Dim_Reps!K:K)</f>
        <v>USD</v>
      </c>
      <c r="N3845" s="33">
        <f>(_xlfn.XLOOKUP(Pipeline_tbl[[#This Row],[Rate_Code_Generalized]],Lookups!A:A,Lookups!B:B))*Pipeline_tbl[[#This Row],[Pipeline_Amount_USD]]</f>
        <v>2677.89</v>
      </c>
      <c r="O3845" t="str">
        <f>_xlfn.XLOOKUP(Pipeline_tbl[[#This Row],[Rep_ID]],Dim_Reps!A:A,Dim_Reps!B:B)</f>
        <v>Karim Rossi</v>
      </c>
      <c r="P3845" t="str">
        <f>_xlfn.XLOOKUP(Pipeline_tbl[[#This Row],[Rep_ID]],Dim_Reps!A:A,Dim_Reps!C:C)</f>
        <v>SDR / Inside Sales Rep</v>
      </c>
      <c r="Q3845" t="str">
        <f>_xlfn.XLOOKUP(Pipeline_tbl[[#This Row],[Rep_ID]],Dim_Reps!A:A,Dim_Reps!D:D)</f>
        <v>Inside Sales</v>
      </c>
      <c r="R3845" t="str">
        <f>_xlfn.XLOOKUP(Pipeline_tbl[[#This Row],[Rep_ID]],Dim_Reps!A:A,Dim_Reps!E:E)</f>
        <v>NAMER</v>
      </c>
      <c r="S3845" t="str">
        <f>_xlfn.XLOOKUP(Pipeline_tbl[[#This Row],[Created_Date]],Dim_Date!A:A,Dim_Date!H:H)</f>
        <v>Jul 2025</v>
      </c>
      <c r="T3845" t="str">
        <f>IF(Pipeline_tbl[[#This Row],[Closed_Date]]=0,"",(_xlfn.XLOOKUP(Pipeline_tbl[[#This Row],[Closed_Date]],Dim_Date!A:A,Dim_Date!H:H)))</f>
        <v>Jul 2025</v>
      </c>
      <c r="U3845">
        <f>IF(Pipeline_tbl[[#This Row],[Closed_Date]]=0,"",Pipeline_tbl[[#This Row],[Closed_Date]]-Pipeline_tbl[[#This Row],[Created_Date]])</f>
        <v>16</v>
      </c>
    </row>
    <row r="3846" spans="1:21" ht="15" customHeight="1" x14ac:dyDescent="0.2">
      <c r="A3846" t="s">
        <v>4152</v>
      </c>
      <c r="B3846" t="s">
        <v>193</v>
      </c>
      <c r="C3846" t="s">
        <v>53</v>
      </c>
      <c r="D3846" s="49">
        <v>45841</v>
      </c>
      <c r="E3846" s="49">
        <v>45843</v>
      </c>
      <c r="I3846" s="49">
        <v>45863</v>
      </c>
      <c r="J3846" t="s">
        <v>49</v>
      </c>
      <c r="K3846" s="33">
        <v>3800</v>
      </c>
      <c r="L3846" t="s">
        <v>62</v>
      </c>
      <c r="M3846" t="str">
        <f>_xlfn.XLOOKUP(Pipeline_tbl[[#This Row],[Rep_ID]],Dim_Reps!A:A,Dim_Reps!K:K)</f>
        <v>USD</v>
      </c>
      <c r="N3846" s="33">
        <f>(_xlfn.XLOOKUP(Pipeline_tbl[[#This Row],[Rate_Code_Generalized]],Lookups!A:A,Lookups!B:B))*Pipeline_tbl[[#This Row],[Pipeline_Amount_USD]]</f>
        <v>4424.3399999999992</v>
      </c>
      <c r="O3846" t="str">
        <f>_xlfn.XLOOKUP(Pipeline_tbl[[#This Row],[Rep_ID]],Dim_Reps!A:A,Dim_Reps!B:B)</f>
        <v>Karim Rossi</v>
      </c>
      <c r="P3846" t="str">
        <f>_xlfn.XLOOKUP(Pipeline_tbl[[#This Row],[Rep_ID]],Dim_Reps!A:A,Dim_Reps!C:C)</f>
        <v>SDR / Inside Sales Rep</v>
      </c>
      <c r="Q3846" t="str">
        <f>_xlfn.XLOOKUP(Pipeline_tbl[[#This Row],[Rep_ID]],Dim_Reps!A:A,Dim_Reps!D:D)</f>
        <v>Inside Sales</v>
      </c>
      <c r="R3846" t="str">
        <f>_xlfn.XLOOKUP(Pipeline_tbl[[#This Row],[Rep_ID]],Dim_Reps!A:A,Dim_Reps!E:E)</f>
        <v>NAMER</v>
      </c>
      <c r="S3846" t="str">
        <f>_xlfn.XLOOKUP(Pipeline_tbl[[#This Row],[Created_Date]],Dim_Date!A:A,Dim_Date!H:H)</f>
        <v>Jul 2025</v>
      </c>
      <c r="T3846" t="str">
        <f>IF(Pipeline_tbl[[#This Row],[Closed_Date]]=0,"",(_xlfn.XLOOKUP(Pipeline_tbl[[#This Row],[Closed_Date]],Dim_Date!A:A,Dim_Date!H:H)))</f>
        <v>Jul 2025</v>
      </c>
      <c r="U3846">
        <f>IF(Pipeline_tbl[[#This Row],[Closed_Date]]=0,"",Pipeline_tbl[[#This Row],[Closed_Date]]-Pipeline_tbl[[#This Row],[Created_Date]])</f>
        <v>22</v>
      </c>
    </row>
    <row r="3847" spans="1:21" ht="15" customHeight="1" x14ac:dyDescent="0.2">
      <c r="A3847" t="s">
        <v>4153</v>
      </c>
      <c r="B3847" t="s">
        <v>193</v>
      </c>
      <c r="C3847" t="s">
        <v>52</v>
      </c>
      <c r="D3847" s="49">
        <v>45847</v>
      </c>
      <c r="E3847" s="49">
        <v>45849</v>
      </c>
      <c r="F3847" s="49">
        <v>45853</v>
      </c>
      <c r="G3847" s="49">
        <v>45860</v>
      </c>
      <c r="H3847" s="49">
        <v>45865</v>
      </c>
      <c r="I3847" s="49">
        <v>45868</v>
      </c>
      <c r="J3847" t="s">
        <v>49</v>
      </c>
      <c r="K3847" s="33">
        <v>1400</v>
      </c>
      <c r="L3847" t="s">
        <v>62</v>
      </c>
      <c r="M3847" t="str">
        <f>_xlfn.XLOOKUP(Pipeline_tbl[[#This Row],[Rep_ID]],Dim_Reps!A:A,Dim_Reps!K:K)</f>
        <v>USD</v>
      </c>
      <c r="N3847" s="33">
        <f>(_xlfn.XLOOKUP(Pipeline_tbl[[#This Row],[Rate_Code_Generalized]],Lookups!A:A,Lookups!B:B))*Pipeline_tbl[[#This Row],[Pipeline_Amount_USD]]</f>
        <v>1630.0199999999998</v>
      </c>
      <c r="O3847" t="str">
        <f>_xlfn.XLOOKUP(Pipeline_tbl[[#This Row],[Rep_ID]],Dim_Reps!A:A,Dim_Reps!B:B)</f>
        <v>Karim Rossi</v>
      </c>
      <c r="P3847" t="str">
        <f>_xlfn.XLOOKUP(Pipeline_tbl[[#This Row],[Rep_ID]],Dim_Reps!A:A,Dim_Reps!C:C)</f>
        <v>SDR / Inside Sales Rep</v>
      </c>
      <c r="Q3847" t="str">
        <f>_xlfn.XLOOKUP(Pipeline_tbl[[#This Row],[Rep_ID]],Dim_Reps!A:A,Dim_Reps!D:D)</f>
        <v>Inside Sales</v>
      </c>
      <c r="R3847" t="str">
        <f>_xlfn.XLOOKUP(Pipeline_tbl[[#This Row],[Rep_ID]],Dim_Reps!A:A,Dim_Reps!E:E)</f>
        <v>NAMER</v>
      </c>
      <c r="S3847" t="str">
        <f>_xlfn.XLOOKUP(Pipeline_tbl[[#This Row],[Created_Date]],Dim_Date!A:A,Dim_Date!H:H)</f>
        <v>Jul 2025</v>
      </c>
      <c r="T3847" t="str">
        <f>IF(Pipeline_tbl[[#This Row],[Closed_Date]]=0,"",(_xlfn.XLOOKUP(Pipeline_tbl[[#This Row],[Closed_Date]],Dim_Date!A:A,Dim_Date!H:H)))</f>
        <v>Jul 2025</v>
      </c>
      <c r="U3847">
        <f>IF(Pipeline_tbl[[#This Row],[Closed_Date]]=0,"",Pipeline_tbl[[#This Row],[Closed_Date]]-Pipeline_tbl[[#This Row],[Created_Date]])</f>
        <v>21</v>
      </c>
    </row>
    <row r="3848" spans="1:21" ht="15" customHeight="1" x14ac:dyDescent="0.2">
      <c r="A3848" t="s">
        <v>4154</v>
      </c>
      <c r="B3848" t="s">
        <v>193</v>
      </c>
      <c r="C3848" t="s">
        <v>54</v>
      </c>
      <c r="D3848" s="49">
        <v>45850</v>
      </c>
      <c r="E3848" s="49">
        <v>45851</v>
      </c>
      <c r="F3848" s="49">
        <v>45854</v>
      </c>
      <c r="G3848" s="49">
        <v>45858</v>
      </c>
      <c r="H3848" s="49">
        <v>45861</v>
      </c>
      <c r="I3848" s="49">
        <v>45863</v>
      </c>
      <c r="J3848" t="s">
        <v>47</v>
      </c>
      <c r="K3848" s="33">
        <v>8000</v>
      </c>
      <c r="M3848" t="str">
        <f>_xlfn.XLOOKUP(Pipeline_tbl[[#This Row],[Rep_ID]],Dim_Reps!A:A,Dim_Reps!K:K)</f>
        <v>USD</v>
      </c>
      <c r="N3848" s="33">
        <f>(_xlfn.XLOOKUP(Pipeline_tbl[[#This Row],[Rate_Code_Generalized]],Lookups!A:A,Lookups!B:B))*Pipeline_tbl[[#This Row],[Pipeline_Amount_USD]]</f>
        <v>9314.4</v>
      </c>
      <c r="O3848" t="str">
        <f>_xlfn.XLOOKUP(Pipeline_tbl[[#This Row],[Rep_ID]],Dim_Reps!A:A,Dim_Reps!B:B)</f>
        <v>Karim Rossi</v>
      </c>
      <c r="P3848" t="str">
        <f>_xlfn.XLOOKUP(Pipeline_tbl[[#This Row],[Rep_ID]],Dim_Reps!A:A,Dim_Reps!C:C)</f>
        <v>SDR / Inside Sales Rep</v>
      </c>
      <c r="Q3848" t="str">
        <f>_xlfn.XLOOKUP(Pipeline_tbl[[#This Row],[Rep_ID]],Dim_Reps!A:A,Dim_Reps!D:D)</f>
        <v>Inside Sales</v>
      </c>
      <c r="R3848" t="str">
        <f>_xlfn.XLOOKUP(Pipeline_tbl[[#This Row],[Rep_ID]],Dim_Reps!A:A,Dim_Reps!E:E)</f>
        <v>NAMER</v>
      </c>
      <c r="S3848" t="str">
        <f>_xlfn.XLOOKUP(Pipeline_tbl[[#This Row],[Created_Date]],Dim_Date!A:A,Dim_Date!H:H)</f>
        <v>Jul 2025</v>
      </c>
      <c r="T3848" t="str">
        <f>IF(Pipeline_tbl[[#This Row],[Closed_Date]]=0,"",(_xlfn.XLOOKUP(Pipeline_tbl[[#This Row],[Closed_Date]],Dim_Date!A:A,Dim_Date!H:H)))</f>
        <v>Jul 2025</v>
      </c>
      <c r="U3848">
        <f>IF(Pipeline_tbl[[#This Row],[Closed_Date]]=0,"",Pipeline_tbl[[#This Row],[Closed_Date]]-Pipeline_tbl[[#This Row],[Created_Date]])</f>
        <v>13</v>
      </c>
    </row>
    <row r="3849" spans="1:21" ht="15" customHeight="1" x14ac:dyDescent="0.2">
      <c r="A3849" t="s">
        <v>4155</v>
      </c>
      <c r="B3849" t="s">
        <v>193</v>
      </c>
      <c r="C3849" t="s">
        <v>55</v>
      </c>
      <c r="D3849" s="49">
        <v>45855</v>
      </c>
      <c r="E3849" s="49">
        <v>45856</v>
      </c>
      <c r="F3849" s="49">
        <v>45859</v>
      </c>
      <c r="G3849" s="49">
        <v>45863</v>
      </c>
      <c r="I3849" s="49">
        <v>45869</v>
      </c>
      <c r="J3849" t="s">
        <v>49</v>
      </c>
      <c r="K3849" s="33">
        <v>1500</v>
      </c>
      <c r="L3849" t="s">
        <v>61</v>
      </c>
      <c r="M3849" t="str">
        <f>_xlfn.XLOOKUP(Pipeline_tbl[[#This Row],[Rep_ID]],Dim_Reps!A:A,Dim_Reps!K:K)</f>
        <v>USD</v>
      </c>
      <c r="N3849" s="33">
        <f>(_xlfn.XLOOKUP(Pipeline_tbl[[#This Row],[Rate_Code_Generalized]],Lookups!A:A,Lookups!B:B))*Pipeline_tbl[[#This Row],[Pipeline_Amount_USD]]</f>
        <v>1746.4499999999998</v>
      </c>
      <c r="O3849" t="str">
        <f>_xlfn.XLOOKUP(Pipeline_tbl[[#This Row],[Rep_ID]],Dim_Reps!A:A,Dim_Reps!B:B)</f>
        <v>Karim Rossi</v>
      </c>
      <c r="P3849" t="str">
        <f>_xlfn.XLOOKUP(Pipeline_tbl[[#This Row],[Rep_ID]],Dim_Reps!A:A,Dim_Reps!C:C)</f>
        <v>SDR / Inside Sales Rep</v>
      </c>
      <c r="Q3849" t="str">
        <f>_xlfn.XLOOKUP(Pipeline_tbl[[#This Row],[Rep_ID]],Dim_Reps!A:A,Dim_Reps!D:D)</f>
        <v>Inside Sales</v>
      </c>
      <c r="R3849" t="str">
        <f>_xlfn.XLOOKUP(Pipeline_tbl[[#This Row],[Rep_ID]],Dim_Reps!A:A,Dim_Reps!E:E)</f>
        <v>NAMER</v>
      </c>
      <c r="S3849" t="str">
        <f>_xlfn.XLOOKUP(Pipeline_tbl[[#This Row],[Created_Date]],Dim_Date!A:A,Dim_Date!H:H)</f>
        <v>Jul 2025</v>
      </c>
      <c r="T3849" t="str">
        <f>IF(Pipeline_tbl[[#This Row],[Closed_Date]]=0,"",(_xlfn.XLOOKUP(Pipeline_tbl[[#This Row],[Closed_Date]],Dim_Date!A:A,Dim_Date!H:H)))</f>
        <v>Jul 2025</v>
      </c>
      <c r="U3849">
        <f>IF(Pipeline_tbl[[#This Row],[Closed_Date]]=0,"",Pipeline_tbl[[#This Row],[Closed_Date]]-Pipeline_tbl[[#This Row],[Created_Date]])</f>
        <v>14</v>
      </c>
    </row>
    <row r="3850" spans="1:21" ht="15" customHeight="1" x14ac:dyDescent="0.2">
      <c r="A3850" t="s">
        <v>4156</v>
      </c>
      <c r="B3850" t="s">
        <v>243</v>
      </c>
      <c r="C3850" t="s">
        <v>55</v>
      </c>
      <c r="D3850" s="49">
        <v>45844</v>
      </c>
      <c r="E3850" s="49">
        <v>45846</v>
      </c>
      <c r="F3850" s="49">
        <v>45852</v>
      </c>
      <c r="G3850" s="49">
        <v>45859</v>
      </c>
      <c r="H3850" s="49">
        <v>45865</v>
      </c>
      <c r="I3850" s="49">
        <v>45869</v>
      </c>
      <c r="J3850" t="s">
        <v>47</v>
      </c>
      <c r="K3850" s="33">
        <v>8200</v>
      </c>
      <c r="M3850" t="str">
        <f>_xlfn.XLOOKUP(Pipeline_tbl[[#This Row],[Rep_ID]],Dim_Reps!A:A,Dim_Reps!K:K)</f>
        <v>MXN</v>
      </c>
      <c r="N3850" s="33">
        <f>(_xlfn.XLOOKUP(Pipeline_tbl[[#This Row],[Rate_Code_Generalized]],Lookups!A:A,Lookups!B:B))*Pipeline_tbl[[#This Row],[Pipeline_Amount_USD]]</f>
        <v>161808.14000000001</v>
      </c>
      <c r="O3850" t="str">
        <f>_xlfn.XLOOKUP(Pipeline_tbl[[#This Row],[Rep_ID]],Dim_Reps!A:A,Dim_Reps!B:B)</f>
        <v>Jonas Sato</v>
      </c>
      <c r="P3850" t="str">
        <f>_xlfn.XLOOKUP(Pipeline_tbl[[#This Row],[Rep_ID]],Dim_Reps!A:A,Dim_Reps!C:C)</f>
        <v>Mid-Market AE</v>
      </c>
      <c r="Q3850" t="str">
        <f>_xlfn.XLOOKUP(Pipeline_tbl[[#This Row],[Rep_ID]],Dim_Reps!A:A,Dim_Reps!D:D)</f>
        <v>Mid-Market</v>
      </c>
      <c r="R3850" t="str">
        <f>_xlfn.XLOOKUP(Pipeline_tbl[[#This Row],[Rep_ID]],Dim_Reps!A:A,Dim_Reps!E:E)</f>
        <v>LATAM</v>
      </c>
      <c r="S3850" t="str">
        <f>_xlfn.XLOOKUP(Pipeline_tbl[[#This Row],[Created_Date]],Dim_Date!A:A,Dim_Date!H:H)</f>
        <v>Jul 2025</v>
      </c>
      <c r="T3850" t="str">
        <f>IF(Pipeline_tbl[[#This Row],[Closed_Date]]=0,"",(_xlfn.XLOOKUP(Pipeline_tbl[[#This Row],[Closed_Date]],Dim_Date!A:A,Dim_Date!H:H)))</f>
        <v>Jul 2025</v>
      </c>
      <c r="U3850">
        <f>IF(Pipeline_tbl[[#This Row],[Closed_Date]]=0,"",Pipeline_tbl[[#This Row],[Closed_Date]]-Pipeline_tbl[[#This Row],[Created_Date]])</f>
        <v>25</v>
      </c>
    </row>
    <row r="3851" spans="1:21" ht="15" customHeight="1" x14ac:dyDescent="0.2">
      <c r="A3851" t="s">
        <v>4157</v>
      </c>
      <c r="B3851" t="s">
        <v>196</v>
      </c>
      <c r="C3851" t="s">
        <v>52</v>
      </c>
      <c r="D3851" s="49">
        <v>45841</v>
      </c>
      <c r="E3851" s="49">
        <v>45843</v>
      </c>
      <c r="F3851" s="49">
        <v>45846</v>
      </c>
      <c r="G3851" s="49">
        <v>45850</v>
      </c>
      <c r="H3851" s="49">
        <v>45854</v>
      </c>
      <c r="I3851" s="49">
        <v>45856</v>
      </c>
      <c r="J3851" t="s">
        <v>47</v>
      </c>
      <c r="K3851" s="33">
        <v>6100</v>
      </c>
      <c r="M3851" t="str">
        <f>_xlfn.XLOOKUP(Pipeline_tbl[[#This Row],[Rep_ID]],Dim_Reps!A:A,Dim_Reps!K:K)</f>
        <v>EUR</v>
      </c>
      <c r="N3851" s="33">
        <f>(_xlfn.XLOOKUP(Pipeline_tbl[[#This Row],[Rate_Code_Generalized]],Lookups!A:A,Lookups!B:B))*Pipeline_tbl[[#This Row],[Pipeline_Amount_USD]]</f>
        <v>6100</v>
      </c>
      <c r="O3851" t="str">
        <f>_xlfn.XLOOKUP(Pipeline_tbl[[#This Row],[Rep_ID]],Dim_Reps!A:A,Dim_Reps!B:B)</f>
        <v>Alex Okafor</v>
      </c>
      <c r="P3851" t="str">
        <f>_xlfn.XLOOKUP(Pipeline_tbl[[#This Row],[Rep_ID]],Dim_Reps!A:A,Dim_Reps!C:C)</f>
        <v>SDR / Inside Sales Rep</v>
      </c>
      <c r="Q3851" t="str">
        <f>_xlfn.XLOOKUP(Pipeline_tbl[[#This Row],[Rep_ID]],Dim_Reps!A:A,Dim_Reps!D:D)</f>
        <v>Inside Sales</v>
      </c>
      <c r="R3851" t="str">
        <f>_xlfn.XLOOKUP(Pipeline_tbl[[#This Row],[Rep_ID]],Dim_Reps!A:A,Dim_Reps!E:E)</f>
        <v>EMEA</v>
      </c>
      <c r="S3851" t="str">
        <f>_xlfn.XLOOKUP(Pipeline_tbl[[#This Row],[Created_Date]],Dim_Date!A:A,Dim_Date!H:H)</f>
        <v>Jul 2025</v>
      </c>
      <c r="T3851" t="str">
        <f>IF(Pipeline_tbl[[#This Row],[Closed_Date]]=0,"",(_xlfn.XLOOKUP(Pipeline_tbl[[#This Row],[Closed_Date]],Dim_Date!A:A,Dim_Date!H:H)))</f>
        <v>Jul 2025</v>
      </c>
      <c r="U3851">
        <f>IF(Pipeline_tbl[[#This Row],[Closed_Date]]=0,"",Pipeline_tbl[[#This Row],[Closed_Date]]-Pipeline_tbl[[#This Row],[Created_Date]])</f>
        <v>15</v>
      </c>
    </row>
    <row r="3852" spans="1:21" ht="15" customHeight="1" x14ac:dyDescent="0.2">
      <c r="A3852" t="s">
        <v>4158</v>
      </c>
      <c r="B3852" t="s">
        <v>196</v>
      </c>
      <c r="C3852" t="s">
        <v>55</v>
      </c>
      <c r="D3852" s="49">
        <v>45840</v>
      </c>
      <c r="E3852" s="49">
        <v>45841</v>
      </c>
      <c r="F3852" s="49">
        <v>45844</v>
      </c>
      <c r="G3852" s="49">
        <v>45848</v>
      </c>
      <c r="H3852" s="49">
        <v>45852</v>
      </c>
      <c r="I3852" s="49">
        <v>45854</v>
      </c>
      <c r="J3852" t="s">
        <v>47</v>
      </c>
      <c r="K3852" s="33">
        <v>2400</v>
      </c>
      <c r="M3852" t="str">
        <f>_xlfn.XLOOKUP(Pipeline_tbl[[#This Row],[Rep_ID]],Dim_Reps!A:A,Dim_Reps!K:K)</f>
        <v>EUR</v>
      </c>
      <c r="N3852" s="33">
        <f>(_xlfn.XLOOKUP(Pipeline_tbl[[#This Row],[Rate_Code_Generalized]],Lookups!A:A,Lookups!B:B))*Pipeline_tbl[[#This Row],[Pipeline_Amount_USD]]</f>
        <v>2400</v>
      </c>
      <c r="O3852" t="str">
        <f>_xlfn.XLOOKUP(Pipeline_tbl[[#This Row],[Rep_ID]],Dim_Reps!A:A,Dim_Reps!B:B)</f>
        <v>Alex Okafor</v>
      </c>
      <c r="P3852" t="str">
        <f>_xlfn.XLOOKUP(Pipeline_tbl[[#This Row],[Rep_ID]],Dim_Reps!A:A,Dim_Reps!C:C)</f>
        <v>SDR / Inside Sales Rep</v>
      </c>
      <c r="Q3852" t="str">
        <f>_xlfn.XLOOKUP(Pipeline_tbl[[#This Row],[Rep_ID]],Dim_Reps!A:A,Dim_Reps!D:D)</f>
        <v>Inside Sales</v>
      </c>
      <c r="R3852" t="str">
        <f>_xlfn.XLOOKUP(Pipeline_tbl[[#This Row],[Rep_ID]],Dim_Reps!A:A,Dim_Reps!E:E)</f>
        <v>EMEA</v>
      </c>
      <c r="S3852" t="str">
        <f>_xlfn.XLOOKUP(Pipeline_tbl[[#This Row],[Created_Date]],Dim_Date!A:A,Dim_Date!H:H)</f>
        <v>Jul 2025</v>
      </c>
      <c r="T3852" t="str">
        <f>IF(Pipeline_tbl[[#This Row],[Closed_Date]]=0,"",(_xlfn.XLOOKUP(Pipeline_tbl[[#This Row],[Closed_Date]],Dim_Date!A:A,Dim_Date!H:H)))</f>
        <v>Jul 2025</v>
      </c>
      <c r="U3852">
        <f>IF(Pipeline_tbl[[#This Row],[Closed_Date]]=0,"",Pipeline_tbl[[#This Row],[Closed_Date]]-Pipeline_tbl[[#This Row],[Created_Date]])</f>
        <v>14</v>
      </c>
    </row>
    <row r="3853" spans="1:21" ht="15" customHeight="1" x14ac:dyDescent="0.2">
      <c r="A3853" t="s">
        <v>4159</v>
      </c>
      <c r="B3853" t="s">
        <v>199</v>
      </c>
      <c r="C3853" t="s">
        <v>52</v>
      </c>
      <c r="D3853" s="49">
        <v>45848</v>
      </c>
      <c r="E3853" s="49">
        <v>45849</v>
      </c>
      <c r="F3853" s="49">
        <v>45852</v>
      </c>
      <c r="G3853" s="49">
        <v>45856</v>
      </c>
      <c r="H3853" s="49">
        <v>45859</v>
      </c>
      <c r="I3853" s="49">
        <v>45861</v>
      </c>
      <c r="J3853" t="s">
        <v>49</v>
      </c>
      <c r="K3853" s="33">
        <v>3200</v>
      </c>
      <c r="L3853" t="s">
        <v>62</v>
      </c>
      <c r="M3853" t="str">
        <f>_xlfn.XLOOKUP(Pipeline_tbl[[#This Row],[Rep_ID]],Dim_Reps!A:A,Dim_Reps!K:K)</f>
        <v>EUR</v>
      </c>
      <c r="N3853" s="33">
        <f>(_xlfn.XLOOKUP(Pipeline_tbl[[#This Row],[Rate_Code_Generalized]],Lookups!A:A,Lookups!B:B))*Pipeline_tbl[[#This Row],[Pipeline_Amount_USD]]</f>
        <v>3200</v>
      </c>
      <c r="O3853" t="str">
        <f>_xlfn.XLOOKUP(Pipeline_tbl[[#This Row],[Rep_ID]],Dim_Reps!A:A,Dim_Reps!B:B)</f>
        <v>Lucas Okafor</v>
      </c>
      <c r="P3853" t="str">
        <f>_xlfn.XLOOKUP(Pipeline_tbl[[#This Row],[Rep_ID]],Dim_Reps!A:A,Dim_Reps!C:C)</f>
        <v>SDR / Inside Sales Rep</v>
      </c>
      <c r="Q3853" t="str">
        <f>_xlfn.XLOOKUP(Pipeline_tbl[[#This Row],[Rep_ID]],Dim_Reps!A:A,Dim_Reps!D:D)</f>
        <v>Inside Sales</v>
      </c>
      <c r="R3853" t="str">
        <f>_xlfn.XLOOKUP(Pipeline_tbl[[#This Row],[Rep_ID]],Dim_Reps!A:A,Dim_Reps!E:E)</f>
        <v>APAC</v>
      </c>
      <c r="S3853" t="str">
        <f>_xlfn.XLOOKUP(Pipeline_tbl[[#This Row],[Created_Date]],Dim_Date!A:A,Dim_Date!H:H)</f>
        <v>Jul 2025</v>
      </c>
      <c r="T3853" t="str">
        <f>IF(Pipeline_tbl[[#This Row],[Closed_Date]]=0,"",(_xlfn.XLOOKUP(Pipeline_tbl[[#This Row],[Closed_Date]],Dim_Date!A:A,Dim_Date!H:H)))</f>
        <v>Jul 2025</v>
      </c>
      <c r="U3853">
        <f>IF(Pipeline_tbl[[#This Row],[Closed_Date]]=0,"",Pipeline_tbl[[#This Row],[Closed_Date]]-Pipeline_tbl[[#This Row],[Created_Date]])</f>
        <v>13</v>
      </c>
    </row>
    <row r="3854" spans="1:21" ht="15" customHeight="1" x14ac:dyDescent="0.2">
      <c r="A3854" t="s">
        <v>4160</v>
      </c>
      <c r="B3854" t="s">
        <v>199</v>
      </c>
      <c r="C3854" t="s">
        <v>53</v>
      </c>
      <c r="D3854" s="49">
        <v>45841</v>
      </c>
      <c r="E3854" s="49">
        <v>45843</v>
      </c>
      <c r="F3854" s="49">
        <v>45846</v>
      </c>
      <c r="I3854" s="49">
        <v>45857</v>
      </c>
      <c r="J3854" t="s">
        <v>49</v>
      </c>
      <c r="K3854" s="33">
        <v>2400</v>
      </c>
      <c r="L3854" t="s">
        <v>63</v>
      </c>
      <c r="M3854" t="str">
        <f>_xlfn.XLOOKUP(Pipeline_tbl[[#This Row],[Rep_ID]],Dim_Reps!A:A,Dim_Reps!K:K)</f>
        <v>EUR</v>
      </c>
      <c r="N3854" s="33">
        <f>(_xlfn.XLOOKUP(Pipeline_tbl[[#This Row],[Rate_Code_Generalized]],Lookups!A:A,Lookups!B:B))*Pipeline_tbl[[#This Row],[Pipeline_Amount_USD]]</f>
        <v>2400</v>
      </c>
      <c r="O3854" t="str">
        <f>_xlfn.XLOOKUP(Pipeline_tbl[[#This Row],[Rep_ID]],Dim_Reps!A:A,Dim_Reps!B:B)</f>
        <v>Lucas Okafor</v>
      </c>
      <c r="P3854" t="str">
        <f>_xlfn.XLOOKUP(Pipeline_tbl[[#This Row],[Rep_ID]],Dim_Reps!A:A,Dim_Reps!C:C)</f>
        <v>SDR / Inside Sales Rep</v>
      </c>
      <c r="Q3854" t="str">
        <f>_xlfn.XLOOKUP(Pipeline_tbl[[#This Row],[Rep_ID]],Dim_Reps!A:A,Dim_Reps!D:D)</f>
        <v>Inside Sales</v>
      </c>
      <c r="R3854" t="str">
        <f>_xlfn.XLOOKUP(Pipeline_tbl[[#This Row],[Rep_ID]],Dim_Reps!A:A,Dim_Reps!E:E)</f>
        <v>APAC</v>
      </c>
      <c r="S3854" t="str">
        <f>_xlfn.XLOOKUP(Pipeline_tbl[[#This Row],[Created_Date]],Dim_Date!A:A,Dim_Date!H:H)</f>
        <v>Jul 2025</v>
      </c>
      <c r="T3854" t="str">
        <f>IF(Pipeline_tbl[[#This Row],[Closed_Date]]=0,"",(_xlfn.XLOOKUP(Pipeline_tbl[[#This Row],[Closed_Date]],Dim_Date!A:A,Dim_Date!H:H)))</f>
        <v>Jul 2025</v>
      </c>
      <c r="U3854">
        <f>IF(Pipeline_tbl[[#This Row],[Closed_Date]]=0,"",Pipeline_tbl[[#This Row],[Closed_Date]]-Pipeline_tbl[[#This Row],[Created_Date]])</f>
        <v>16</v>
      </c>
    </row>
    <row r="3855" spans="1:21" ht="15" customHeight="1" x14ac:dyDescent="0.2">
      <c r="A3855" t="s">
        <v>4161</v>
      </c>
      <c r="B3855" t="s">
        <v>203</v>
      </c>
      <c r="C3855" t="s">
        <v>53</v>
      </c>
      <c r="D3855" s="49">
        <v>45842</v>
      </c>
      <c r="E3855" s="49">
        <v>45844</v>
      </c>
      <c r="F3855" s="49">
        <v>45848</v>
      </c>
      <c r="I3855" s="49">
        <v>45862</v>
      </c>
      <c r="J3855" t="s">
        <v>49</v>
      </c>
      <c r="K3855" s="33">
        <v>4000</v>
      </c>
      <c r="L3855" t="s">
        <v>61</v>
      </c>
      <c r="M3855" t="str">
        <f>_xlfn.XLOOKUP(Pipeline_tbl[[#This Row],[Rep_ID]],Dim_Reps!A:A,Dim_Reps!K:K)</f>
        <v>EUR</v>
      </c>
      <c r="N3855" s="33">
        <f>(_xlfn.XLOOKUP(Pipeline_tbl[[#This Row],[Rate_Code_Generalized]],Lookups!A:A,Lookups!B:B))*Pipeline_tbl[[#This Row],[Pipeline_Amount_USD]]</f>
        <v>4000</v>
      </c>
      <c r="O3855" t="str">
        <f>_xlfn.XLOOKUP(Pipeline_tbl[[#This Row],[Rep_ID]],Dim_Reps!A:A,Dim_Reps!B:B)</f>
        <v>Riley Haddad</v>
      </c>
      <c r="P3855" t="str">
        <f>_xlfn.XLOOKUP(Pipeline_tbl[[#This Row],[Rep_ID]],Dim_Reps!A:A,Dim_Reps!C:C)</f>
        <v>SDR / Inside Sales Rep</v>
      </c>
      <c r="Q3855" t="str">
        <f>_xlfn.XLOOKUP(Pipeline_tbl[[#This Row],[Rep_ID]],Dim_Reps!A:A,Dim_Reps!D:D)</f>
        <v>Inside Sales</v>
      </c>
      <c r="R3855" t="str">
        <f>_xlfn.XLOOKUP(Pipeline_tbl[[#This Row],[Rep_ID]],Dim_Reps!A:A,Dim_Reps!E:E)</f>
        <v>APAC</v>
      </c>
      <c r="S3855" t="str">
        <f>_xlfn.XLOOKUP(Pipeline_tbl[[#This Row],[Created_Date]],Dim_Date!A:A,Dim_Date!H:H)</f>
        <v>Jul 2025</v>
      </c>
      <c r="T3855" t="str">
        <f>IF(Pipeline_tbl[[#This Row],[Closed_Date]]=0,"",(_xlfn.XLOOKUP(Pipeline_tbl[[#This Row],[Closed_Date]],Dim_Date!A:A,Dim_Date!H:H)))</f>
        <v>Jul 2025</v>
      </c>
      <c r="U3855">
        <f>IF(Pipeline_tbl[[#This Row],[Closed_Date]]=0,"",Pipeline_tbl[[#This Row],[Closed_Date]]-Pipeline_tbl[[#This Row],[Created_Date]])</f>
        <v>20</v>
      </c>
    </row>
    <row r="3856" spans="1:21" ht="15" customHeight="1" x14ac:dyDescent="0.2">
      <c r="A3856" t="s">
        <v>4162</v>
      </c>
      <c r="B3856" t="s">
        <v>203</v>
      </c>
      <c r="C3856" t="s">
        <v>54</v>
      </c>
      <c r="D3856" s="49">
        <v>45846</v>
      </c>
      <c r="E3856" s="49">
        <v>45848</v>
      </c>
      <c r="F3856" s="49">
        <v>45853</v>
      </c>
      <c r="I3856" s="49">
        <v>45868</v>
      </c>
      <c r="J3856" t="s">
        <v>49</v>
      </c>
      <c r="K3856" s="33">
        <v>4800</v>
      </c>
      <c r="L3856" t="s">
        <v>60</v>
      </c>
      <c r="M3856" t="str">
        <f>_xlfn.XLOOKUP(Pipeline_tbl[[#This Row],[Rep_ID]],Dim_Reps!A:A,Dim_Reps!K:K)</f>
        <v>EUR</v>
      </c>
      <c r="N3856" s="33">
        <f>(_xlfn.XLOOKUP(Pipeline_tbl[[#This Row],[Rate_Code_Generalized]],Lookups!A:A,Lookups!B:B))*Pipeline_tbl[[#This Row],[Pipeline_Amount_USD]]</f>
        <v>4800</v>
      </c>
      <c r="O3856" t="str">
        <f>_xlfn.XLOOKUP(Pipeline_tbl[[#This Row],[Rep_ID]],Dim_Reps!A:A,Dim_Reps!B:B)</f>
        <v>Riley Haddad</v>
      </c>
      <c r="P3856" t="str">
        <f>_xlfn.XLOOKUP(Pipeline_tbl[[#This Row],[Rep_ID]],Dim_Reps!A:A,Dim_Reps!C:C)</f>
        <v>SDR / Inside Sales Rep</v>
      </c>
      <c r="Q3856" t="str">
        <f>_xlfn.XLOOKUP(Pipeline_tbl[[#This Row],[Rep_ID]],Dim_Reps!A:A,Dim_Reps!D:D)</f>
        <v>Inside Sales</v>
      </c>
      <c r="R3856" t="str">
        <f>_xlfn.XLOOKUP(Pipeline_tbl[[#This Row],[Rep_ID]],Dim_Reps!A:A,Dim_Reps!E:E)</f>
        <v>APAC</v>
      </c>
      <c r="S3856" t="str">
        <f>_xlfn.XLOOKUP(Pipeline_tbl[[#This Row],[Created_Date]],Dim_Date!A:A,Dim_Date!H:H)</f>
        <v>Jul 2025</v>
      </c>
      <c r="T3856" t="str">
        <f>IF(Pipeline_tbl[[#This Row],[Closed_Date]]=0,"",(_xlfn.XLOOKUP(Pipeline_tbl[[#This Row],[Closed_Date]],Dim_Date!A:A,Dim_Date!H:H)))</f>
        <v>Jul 2025</v>
      </c>
      <c r="U3856">
        <f>IF(Pipeline_tbl[[#This Row],[Closed_Date]]=0,"",Pipeline_tbl[[#This Row],[Closed_Date]]-Pipeline_tbl[[#This Row],[Created_Date]])</f>
        <v>22</v>
      </c>
    </row>
    <row r="3857" spans="1:21" ht="15" customHeight="1" x14ac:dyDescent="0.2">
      <c r="A3857" t="s">
        <v>4163</v>
      </c>
      <c r="B3857" t="s">
        <v>203</v>
      </c>
      <c r="C3857" t="s">
        <v>53</v>
      </c>
      <c r="D3857" s="49">
        <v>45851</v>
      </c>
      <c r="E3857" s="49">
        <v>45852</v>
      </c>
      <c r="F3857" s="49">
        <v>45855</v>
      </c>
      <c r="G3857" s="49">
        <v>45859</v>
      </c>
      <c r="H3857" s="49">
        <v>45862</v>
      </c>
      <c r="I3857" s="49">
        <v>45864</v>
      </c>
      <c r="J3857" t="s">
        <v>47</v>
      </c>
      <c r="K3857" s="33">
        <v>5900</v>
      </c>
      <c r="M3857" t="str">
        <f>_xlfn.XLOOKUP(Pipeline_tbl[[#This Row],[Rep_ID]],Dim_Reps!A:A,Dim_Reps!K:K)</f>
        <v>EUR</v>
      </c>
      <c r="N3857" s="33">
        <f>(_xlfn.XLOOKUP(Pipeline_tbl[[#This Row],[Rate_Code_Generalized]],Lookups!A:A,Lookups!B:B))*Pipeline_tbl[[#This Row],[Pipeline_Amount_USD]]</f>
        <v>5900</v>
      </c>
      <c r="O3857" t="str">
        <f>_xlfn.XLOOKUP(Pipeline_tbl[[#This Row],[Rep_ID]],Dim_Reps!A:A,Dim_Reps!B:B)</f>
        <v>Riley Haddad</v>
      </c>
      <c r="P3857" t="str">
        <f>_xlfn.XLOOKUP(Pipeline_tbl[[#This Row],[Rep_ID]],Dim_Reps!A:A,Dim_Reps!C:C)</f>
        <v>SDR / Inside Sales Rep</v>
      </c>
      <c r="Q3857" t="str">
        <f>_xlfn.XLOOKUP(Pipeline_tbl[[#This Row],[Rep_ID]],Dim_Reps!A:A,Dim_Reps!D:D)</f>
        <v>Inside Sales</v>
      </c>
      <c r="R3857" t="str">
        <f>_xlfn.XLOOKUP(Pipeline_tbl[[#This Row],[Rep_ID]],Dim_Reps!A:A,Dim_Reps!E:E)</f>
        <v>APAC</v>
      </c>
      <c r="S3857" t="str">
        <f>_xlfn.XLOOKUP(Pipeline_tbl[[#This Row],[Created_Date]],Dim_Date!A:A,Dim_Date!H:H)</f>
        <v>Jul 2025</v>
      </c>
      <c r="T3857" t="str">
        <f>IF(Pipeline_tbl[[#This Row],[Closed_Date]]=0,"",(_xlfn.XLOOKUP(Pipeline_tbl[[#This Row],[Closed_Date]],Dim_Date!A:A,Dim_Date!H:H)))</f>
        <v>Jul 2025</v>
      </c>
      <c r="U3857">
        <f>IF(Pipeline_tbl[[#This Row],[Closed_Date]]=0,"",Pipeline_tbl[[#This Row],[Closed_Date]]-Pipeline_tbl[[#This Row],[Created_Date]])</f>
        <v>13</v>
      </c>
    </row>
    <row r="3858" spans="1:21" ht="15" customHeight="1" x14ac:dyDescent="0.2">
      <c r="A3858" t="s">
        <v>4164</v>
      </c>
      <c r="B3858" t="s">
        <v>203</v>
      </c>
      <c r="C3858" t="s">
        <v>53</v>
      </c>
      <c r="D3858" s="49">
        <v>45850</v>
      </c>
      <c r="E3858" s="49">
        <v>45852</v>
      </c>
      <c r="F3858" s="49">
        <v>45855</v>
      </c>
      <c r="G3858" s="49">
        <v>45860</v>
      </c>
      <c r="I3858" s="49">
        <v>45867</v>
      </c>
      <c r="J3858" t="s">
        <v>49</v>
      </c>
      <c r="K3858" s="33">
        <v>2500</v>
      </c>
      <c r="L3858" t="s">
        <v>62</v>
      </c>
      <c r="M3858" t="str">
        <f>_xlfn.XLOOKUP(Pipeline_tbl[[#This Row],[Rep_ID]],Dim_Reps!A:A,Dim_Reps!K:K)</f>
        <v>EUR</v>
      </c>
      <c r="N3858" s="33">
        <f>(_xlfn.XLOOKUP(Pipeline_tbl[[#This Row],[Rate_Code_Generalized]],Lookups!A:A,Lookups!B:B))*Pipeline_tbl[[#This Row],[Pipeline_Amount_USD]]</f>
        <v>2500</v>
      </c>
      <c r="O3858" t="str">
        <f>_xlfn.XLOOKUP(Pipeline_tbl[[#This Row],[Rep_ID]],Dim_Reps!A:A,Dim_Reps!B:B)</f>
        <v>Riley Haddad</v>
      </c>
      <c r="P3858" t="str">
        <f>_xlfn.XLOOKUP(Pipeline_tbl[[#This Row],[Rep_ID]],Dim_Reps!A:A,Dim_Reps!C:C)</f>
        <v>SDR / Inside Sales Rep</v>
      </c>
      <c r="Q3858" t="str">
        <f>_xlfn.XLOOKUP(Pipeline_tbl[[#This Row],[Rep_ID]],Dim_Reps!A:A,Dim_Reps!D:D)</f>
        <v>Inside Sales</v>
      </c>
      <c r="R3858" t="str">
        <f>_xlfn.XLOOKUP(Pipeline_tbl[[#This Row],[Rep_ID]],Dim_Reps!A:A,Dim_Reps!E:E)</f>
        <v>APAC</v>
      </c>
      <c r="S3858" t="str">
        <f>_xlfn.XLOOKUP(Pipeline_tbl[[#This Row],[Created_Date]],Dim_Date!A:A,Dim_Date!H:H)</f>
        <v>Jul 2025</v>
      </c>
      <c r="T3858" t="str">
        <f>IF(Pipeline_tbl[[#This Row],[Closed_Date]]=0,"",(_xlfn.XLOOKUP(Pipeline_tbl[[#This Row],[Closed_Date]],Dim_Date!A:A,Dim_Date!H:H)))</f>
        <v>Jul 2025</v>
      </c>
      <c r="U3858">
        <f>IF(Pipeline_tbl[[#This Row],[Closed_Date]]=0,"",Pipeline_tbl[[#This Row],[Closed_Date]]-Pipeline_tbl[[#This Row],[Created_Date]])</f>
        <v>17</v>
      </c>
    </row>
    <row r="3859" spans="1:21" ht="15" customHeight="1" x14ac:dyDescent="0.2">
      <c r="A3859" t="s">
        <v>4165</v>
      </c>
      <c r="B3859" t="s">
        <v>203</v>
      </c>
      <c r="C3859" t="s">
        <v>54</v>
      </c>
      <c r="D3859" s="49">
        <v>45848</v>
      </c>
      <c r="E3859" s="49">
        <v>45849</v>
      </c>
      <c r="F3859" s="49">
        <v>45852</v>
      </c>
      <c r="G3859" s="49">
        <v>45855</v>
      </c>
      <c r="H3859" s="49">
        <v>45858</v>
      </c>
      <c r="I3859" s="49">
        <v>45860</v>
      </c>
      <c r="J3859" t="s">
        <v>47</v>
      </c>
      <c r="K3859" s="33">
        <v>6000</v>
      </c>
      <c r="M3859" t="str">
        <f>_xlfn.XLOOKUP(Pipeline_tbl[[#This Row],[Rep_ID]],Dim_Reps!A:A,Dim_Reps!K:K)</f>
        <v>EUR</v>
      </c>
      <c r="N3859" s="33">
        <f>(_xlfn.XLOOKUP(Pipeline_tbl[[#This Row],[Rate_Code_Generalized]],Lookups!A:A,Lookups!B:B))*Pipeline_tbl[[#This Row],[Pipeline_Amount_USD]]</f>
        <v>6000</v>
      </c>
      <c r="O3859" t="str">
        <f>_xlfn.XLOOKUP(Pipeline_tbl[[#This Row],[Rep_ID]],Dim_Reps!A:A,Dim_Reps!B:B)</f>
        <v>Riley Haddad</v>
      </c>
      <c r="P3859" t="str">
        <f>_xlfn.XLOOKUP(Pipeline_tbl[[#This Row],[Rep_ID]],Dim_Reps!A:A,Dim_Reps!C:C)</f>
        <v>SDR / Inside Sales Rep</v>
      </c>
      <c r="Q3859" t="str">
        <f>_xlfn.XLOOKUP(Pipeline_tbl[[#This Row],[Rep_ID]],Dim_Reps!A:A,Dim_Reps!D:D)</f>
        <v>Inside Sales</v>
      </c>
      <c r="R3859" t="str">
        <f>_xlfn.XLOOKUP(Pipeline_tbl[[#This Row],[Rep_ID]],Dim_Reps!A:A,Dim_Reps!E:E)</f>
        <v>APAC</v>
      </c>
      <c r="S3859" t="str">
        <f>_xlfn.XLOOKUP(Pipeline_tbl[[#This Row],[Created_Date]],Dim_Date!A:A,Dim_Date!H:H)</f>
        <v>Jul 2025</v>
      </c>
      <c r="T3859" t="str">
        <f>IF(Pipeline_tbl[[#This Row],[Closed_Date]]=0,"",(_xlfn.XLOOKUP(Pipeline_tbl[[#This Row],[Closed_Date]],Dim_Date!A:A,Dim_Date!H:H)))</f>
        <v>Jul 2025</v>
      </c>
      <c r="U3859">
        <f>IF(Pipeline_tbl[[#This Row],[Closed_Date]]=0,"",Pipeline_tbl[[#This Row],[Closed_Date]]-Pipeline_tbl[[#This Row],[Created_Date]])</f>
        <v>12</v>
      </c>
    </row>
    <row r="3860" spans="1:21" ht="15" customHeight="1" x14ac:dyDescent="0.2">
      <c r="A3860" t="s">
        <v>4166</v>
      </c>
      <c r="B3860" t="s">
        <v>205</v>
      </c>
      <c r="C3860" t="s">
        <v>52</v>
      </c>
      <c r="D3860" s="49">
        <v>45839</v>
      </c>
      <c r="E3860" s="49">
        <v>45841</v>
      </c>
      <c r="I3860" s="49">
        <v>45854</v>
      </c>
      <c r="J3860" t="s">
        <v>49</v>
      </c>
      <c r="K3860" s="33">
        <v>2000</v>
      </c>
      <c r="L3860" t="s">
        <v>61</v>
      </c>
      <c r="M3860" t="str">
        <f>_xlfn.XLOOKUP(Pipeline_tbl[[#This Row],[Rep_ID]],Dim_Reps!A:A,Dim_Reps!K:K)</f>
        <v>EUR</v>
      </c>
      <c r="N3860" s="33">
        <f>(_xlfn.XLOOKUP(Pipeline_tbl[[#This Row],[Rate_Code_Generalized]],Lookups!A:A,Lookups!B:B))*Pipeline_tbl[[#This Row],[Pipeline_Amount_USD]]</f>
        <v>2000</v>
      </c>
      <c r="O3860" t="str">
        <f>_xlfn.XLOOKUP(Pipeline_tbl[[#This Row],[Rep_ID]],Dim_Reps!A:A,Dim_Reps!B:B)</f>
        <v>Karim Alvarez</v>
      </c>
      <c r="P3860" t="str">
        <f>_xlfn.XLOOKUP(Pipeline_tbl[[#This Row],[Rep_ID]],Dim_Reps!A:A,Dim_Reps!C:C)</f>
        <v>SDR / Inside Sales Rep</v>
      </c>
      <c r="Q3860" t="str">
        <f>_xlfn.XLOOKUP(Pipeline_tbl[[#This Row],[Rep_ID]],Dim_Reps!A:A,Dim_Reps!D:D)</f>
        <v>Inside Sales</v>
      </c>
      <c r="R3860" t="str">
        <f>_xlfn.XLOOKUP(Pipeline_tbl[[#This Row],[Rep_ID]],Dim_Reps!A:A,Dim_Reps!E:E)</f>
        <v>EMEA</v>
      </c>
      <c r="S3860" t="str">
        <f>_xlfn.XLOOKUP(Pipeline_tbl[[#This Row],[Created_Date]],Dim_Date!A:A,Dim_Date!H:H)</f>
        <v>Jul 2025</v>
      </c>
      <c r="T3860" t="str">
        <f>IF(Pipeline_tbl[[#This Row],[Closed_Date]]=0,"",(_xlfn.XLOOKUP(Pipeline_tbl[[#This Row],[Closed_Date]],Dim_Date!A:A,Dim_Date!H:H)))</f>
        <v>Jul 2025</v>
      </c>
      <c r="U3860">
        <f>IF(Pipeline_tbl[[#This Row],[Closed_Date]]=0,"",Pipeline_tbl[[#This Row],[Closed_Date]]-Pipeline_tbl[[#This Row],[Created_Date]])</f>
        <v>15</v>
      </c>
    </row>
    <row r="3861" spans="1:21" ht="15" customHeight="1" x14ac:dyDescent="0.2">
      <c r="A3861" t="s">
        <v>4167</v>
      </c>
      <c r="B3861" t="s">
        <v>205</v>
      </c>
      <c r="C3861" t="s">
        <v>52</v>
      </c>
      <c r="D3861" s="49">
        <v>45847</v>
      </c>
      <c r="E3861" s="49">
        <v>45848</v>
      </c>
      <c r="F3861" s="49">
        <v>45850</v>
      </c>
      <c r="G3861" s="49">
        <v>45853</v>
      </c>
      <c r="H3861" s="49">
        <v>45855</v>
      </c>
      <c r="I3861" s="49">
        <v>45857</v>
      </c>
      <c r="J3861" t="s">
        <v>47</v>
      </c>
      <c r="K3861" s="33">
        <v>7000</v>
      </c>
      <c r="M3861" t="str">
        <f>_xlfn.XLOOKUP(Pipeline_tbl[[#This Row],[Rep_ID]],Dim_Reps!A:A,Dim_Reps!K:K)</f>
        <v>EUR</v>
      </c>
      <c r="N3861" s="33">
        <f>(_xlfn.XLOOKUP(Pipeline_tbl[[#This Row],[Rate_Code_Generalized]],Lookups!A:A,Lookups!B:B))*Pipeline_tbl[[#This Row],[Pipeline_Amount_USD]]</f>
        <v>7000</v>
      </c>
      <c r="O3861" t="str">
        <f>_xlfn.XLOOKUP(Pipeline_tbl[[#This Row],[Rep_ID]],Dim_Reps!A:A,Dim_Reps!B:B)</f>
        <v>Karim Alvarez</v>
      </c>
      <c r="P3861" t="str">
        <f>_xlfn.XLOOKUP(Pipeline_tbl[[#This Row],[Rep_ID]],Dim_Reps!A:A,Dim_Reps!C:C)</f>
        <v>SDR / Inside Sales Rep</v>
      </c>
      <c r="Q3861" t="str">
        <f>_xlfn.XLOOKUP(Pipeline_tbl[[#This Row],[Rep_ID]],Dim_Reps!A:A,Dim_Reps!D:D)</f>
        <v>Inside Sales</v>
      </c>
      <c r="R3861" t="str">
        <f>_xlfn.XLOOKUP(Pipeline_tbl[[#This Row],[Rep_ID]],Dim_Reps!A:A,Dim_Reps!E:E)</f>
        <v>EMEA</v>
      </c>
      <c r="S3861" t="str">
        <f>_xlfn.XLOOKUP(Pipeline_tbl[[#This Row],[Created_Date]],Dim_Date!A:A,Dim_Date!H:H)</f>
        <v>Jul 2025</v>
      </c>
      <c r="T3861" t="str">
        <f>IF(Pipeline_tbl[[#This Row],[Closed_Date]]=0,"",(_xlfn.XLOOKUP(Pipeline_tbl[[#This Row],[Closed_Date]],Dim_Date!A:A,Dim_Date!H:H)))</f>
        <v>Jul 2025</v>
      </c>
      <c r="U3861">
        <f>IF(Pipeline_tbl[[#This Row],[Closed_Date]]=0,"",Pipeline_tbl[[#This Row],[Closed_Date]]-Pipeline_tbl[[#This Row],[Created_Date]])</f>
        <v>10</v>
      </c>
    </row>
    <row r="3862" spans="1:21" ht="15" customHeight="1" x14ac:dyDescent="0.2">
      <c r="A3862" t="s">
        <v>4168</v>
      </c>
      <c r="B3862" t="s">
        <v>207</v>
      </c>
      <c r="C3862" t="s">
        <v>52</v>
      </c>
      <c r="D3862" s="49">
        <v>45841</v>
      </c>
      <c r="E3862" s="49">
        <v>45842</v>
      </c>
      <c r="F3862" s="49">
        <v>45844</v>
      </c>
      <c r="G3862" s="49">
        <v>45847</v>
      </c>
      <c r="H3862" s="49">
        <v>45849</v>
      </c>
      <c r="I3862" s="49">
        <v>45851</v>
      </c>
      <c r="J3862" t="s">
        <v>49</v>
      </c>
      <c r="K3862" s="33">
        <v>3500</v>
      </c>
      <c r="L3862" t="s">
        <v>60</v>
      </c>
      <c r="M3862" t="str">
        <f>_xlfn.XLOOKUP(Pipeline_tbl[[#This Row],[Rep_ID]],Dim_Reps!A:A,Dim_Reps!K:K)</f>
        <v>EUR</v>
      </c>
      <c r="N3862" s="33">
        <f>(_xlfn.XLOOKUP(Pipeline_tbl[[#This Row],[Rate_Code_Generalized]],Lookups!A:A,Lookups!B:B))*Pipeline_tbl[[#This Row],[Pipeline_Amount_USD]]</f>
        <v>3500</v>
      </c>
      <c r="O3862" t="str">
        <f>_xlfn.XLOOKUP(Pipeline_tbl[[#This Row],[Rep_ID]],Dim_Reps!A:A,Dim_Reps!B:B)</f>
        <v>Sam Castro</v>
      </c>
      <c r="P3862" t="str">
        <f>_xlfn.XLOOKUP(Pipeline_tbl[[#This Row],[Rep_ID]],Dim_Reps!A:A,Dim_Reps!C:C)</f>
        <v>SDR / Inside Sales Rep</v>
      </c>
      <c r="Q3862" t="str">
        <f>_xlfn.XLOOKUP(Pipeline_tbl[[#This Row],[Rep_ID]],Dim_Reps!A:A,Dim_Reps!D:D)</f>
        <v>Inside Sales</v>
      </c>
      <c r="R3862" t="str">
        <f>_xlfn.XLOOKUP(Pipeline_tbl[[#This Row],[Rep_ID]],Dim_Reps!A:A,Dim_Reps!E:E)</f>
        <v>APAC</v>
      </c>
      <c r="S3862" t="str">
        <f>_xlfn.XLOOKUP(Pipeline_tbl[[#This Row],[Created_Date]],Dim_Date!A:A,Dim_Date!H:H)</f>
        <v>Jul 2025</v>
      </c>
      <c r="T3862" t="str">
        <f>IF(Pipeline_tbl[[#This Row],[Closed_Date]]=0,"",(_xlfn.XLOOKUP(Pipeline_tbl[[#This Row],[Closed_Date]],Dim_Date!A:A,Dim_Date!H:H)))</f>
        <v>Jul 2025</v>
      </c>
      <c r="U3862">
        <f>IF(Pipeline_tbl[[#This Row],[Closed_Date]]=0,"",Pipeline_tbl[[#This Row],[Closed_Date]]-Pipeline_tbl[[#This Row],[Created_Date]])</f>
        <v>10</v>
      </c>
    </row>
    <row r="3863" spans="1:21" ht="15" customHeight="1" x14ac:dyDescent="0.2">
      <c r="A3863" t="s">
        <v>4169</v>
      </c>
      <c r="B3863" t="s">
        <v>207</v>
      </c>
      <c r="C3863" t="s">
        <v>56</v>
      </c>
      <c r="D3863" s="49">
        <v>45844</v>
      </c>
      <c r="E3863" s="49">
        <v>45846</v>
      </c>
      <c r="F3863" s="49">
        <v>45849</v>
      </c>
      <c r="G3863" s="49">
        <v>45854</v>
      </c>
      <c r="H3863" s="49">
        <v>45858</v>
      </c>
      <c r="I3863" s="49">
        <v>45860</v>
      </c>
      <c r="J3863" t="s">
        <v>49</v>
      </c>
      <c r="K3863" s="33">
        <v>2600</v>
      </c>
      <c r="L3863" t="s">
        <v>61</v>
      </c>
      <c r="M3863" t="str">
        <f>_xlfn.XLOOKUP(Pipeline_tbl[[#This Row],[Rep_ID]],Dim_Reps!A:A,Dim_Reps!K:K)</f>
        <v>EUR</v>
      </c>
      <c r="N3863" s="33">
        <f>(_xlfn.XLOOKUP(Pipeline_tbl[[#This Row],[Rate_Code_Generalized]],Lookups!A:A,Lookups!B:B))*Pipeline_tbl[[#This Row],[Pipeline_Amount_USD]]</f>
        <v>2600</v>
      </c>
      <c r="O3863" t="str">
        <f>_xlfn.XLOOKUP(Pipeline_tbl[[#This Row],[Rep_ID]],Dim_Reps!A:A,Dim_Reps!B:B)</f>
        <v>Sam Castro</v>
      </c>
      <c r="P3863" t="str">
        <f>_xlfn.XLOOKUP(Pipeline_tbl[[#This Row],[Rep_ID]],Dim_Reps!A:A,Dim_Reps!C:C)</f>
        <v>SDR / Inside Sales Rep</v>
      </c>
      <c r="Q3863" t="str">
        <f>_xlfn.XLOOKUP(Pipeline_tbl[[#This Row],[Rep_ID]],Dim_Reps!A:A,Dim_Reps!D:D)</f>
        <v>Inside Sales</v>
      </c>
      <c r="R3863" t="str">
        <f>_xlfn.XLOOKUP(Pipeline_tbl[[#This Row],[Rep_ID]],Dim_Reps!A:A,Dim_Reps!E:E)</f>
        <v>APAC</v>
      </c>
      <c r="S3863" t="str">
        <f>_xlfn.XLOOKUP(Pipeline_tbl[[#This Row],[Created_Date]],Dim_Date!A:A,Dim_Date!H:H)</f>
        <v>Jul 2025</v>
      </c>
      <c r="T3863" t="str">
        <f>IF(Pipeline_tbl[[#This Row],[Closed_Date]]=0,"",(_xlfn.XLOOKUP(Pipeline_tbl[[#This Row],[Closed_Date]],Dim_Date!A:A,Dim_Date!H:H)))</f>
        <v>Jul 2025</v>
      </c>
      <c r="U3863">
        <f>IF(Pipeline_tbl[[#This Row],[Closed_Date]]=0,"",Pipeline_tbl[[#This Row],[Closed_Date]]-Pipeline_tbl[[#This Row],[Created_Date]])</f>
        <v>16</v>
      </c>
    </row>
    <row r="3864" spans="1:21" ht="15" customHeight="1" x14ac:dyDescent="0.2">
      <c r="A3864" t="s">
        <v>4170</v>
      </c>
      <c r="B3864" t="s">
        <v>211</v>
      </c>
      <c r="C3864" t="s">
        <v>55</v>
      </c>
      <c r="D3864" s="49">
        <v>45843</v>
      </c>
      <c r="E3864" s="49">
        <v>45845</v>
      </c>
      <c r="F3864" s="49">
        <v>45848</v>
      </c>
      <c r="G3864" s="49">
        <v>45854</v>
      </c>
      <c r="H3864" s="49">
        <v>45858</v>
      </c>
      <c r="I3864" s="49">
        <v>45861</v>
      </c>
      <c r="J3864" t="s">
        <v>47</v>
      </c>
      <c r="K3864" s="33">
        <v>5900</v>
      </c>
      <c r="M3864" t="str">
        <f>_xlfn.XLOOKUP(Pipeline_tbl[[#This Row],[Rep_ID]],Dim_Reps!A:A,Dim_Reps!K:K)</f>
        <v>EUR</v>
      </c>
      <c r="N3864" s="33">
        <f>(_xlfn.XLOOKUP(Pipeline_tbl[[#This Row],[Rate_Code_Generalized]],Lookups!A:A,Lookups!B:B))*Pipeline_tbl[[#This Row],[Pipeline_Amount_USD]]</f>
        <v>5900</v>
      </c>
      <c r="O3864" t="str">
        <f>_xlfn.XLOOKUP(Pipeline_tbl[[#This Row],[Rep_ID]],Dim_Reps!A:A,Dim_Reps!B:B)</f>
        <v>Lea Weber</v>
      </c>
      <c r="P3864" t="str">
        <f>_xlfn.XLOOKUP(Pipeline_tbl[[#This Row],[Rep_ID]],Dim_Reps!A:A,Dim_Reps!C:C)</f>
        <v>SDR / Inside Sales Rep</v>
      </c>
      <c r="Q3864" t="str">
        <f>_xlfn.XLOOKUP(Pipeline_tbl[[#This Row],[Rep_ID]],Dim_Reps!A:A,Dim_Reps!D:D)</f>
        <v>Inside Sales</v>
      </c>
      <c r="R3864" t="str">
        <f>_xlfn.XLOOKUP(Pipeline_tbl[[#This Row],[Rep_ID]],Dim_Reps!A:A,Dim_Reps!E:E)</f>
        <v>EMEA</v>
      </c>
      <c r="S3864" t="str">
        <f>_xlfn.XLOOKUP(Pipeline_tbl[[#This Row],[Created_Date]],Dim_Date!A:A,Dim_Date!H:H)</f>
        <v>Jul 2025</v>
      </c>
      <c r="T3864" t="str">
        <f>IF(Pipeline_tbl[[#This Row],[Closed_Date]]=0,"",(_xlfn.XLOOKUP(Pipeline_tbl[[#This Row],[Closed_Date]],Dim_Date!A:A,Dim_Date!H:H)))</f>
        <v>Jul 2025</v>
      </c>
      <c r="U3864">
        <f>IF(Pipeline_tbl[[#This Row],[Closed_Date]]=0,"",Pipeline_tbl[[#This Row],[Closed_Date]]-Pipeline_tbl[[#This Row],[Created_Date]])</f>
        <v>18</v>
      </c>
    </row>
    <row r="3865" spans="1:21" ht="15" customHeight="1" x14ac:dyDescent="0.2">
      <c r="A3865" t="s">
        <v>4171</v>
      </c>
      <c r="B3865" t="s">
        <v>211</v>
      </c>
      <c r="C3865" t="s">
        <v>52</v>
      </c>
      <c r="D3865" s="49">
        <v>45854</v>
      </c>
      <c r="E3865" s="49">
        <v>45856</v>
      </c>
      <c r="F3865" s="49">
        <v>45859</v>
      </c>
      <c r="G3865" s="49">
        <v>45863</v>
      </c>
      <c r="I3865" s="49">
        <v>45869</v>
      </c>
      <c r="J3865" t="s">
        <v>49</v>
      </c>
      <c r="K3865" s="33">
        <v>5600</v>
      </c>
      <c r="L3865" t="s">
        <v>60</v>
      </c>
      <c r="M3865" t="str">
        <f>_xlfn.XLOOKUP(Pipeline_tbl[[#This Row],[Rep_ID]],Dim_Reps!A:A,Dim_Reps!K:K)</f>
        <v>EUR</v>
      </c>
      <c r="N3865" s="33">
        <f>(_xlfn.XLOOKUP(Pipeline_tbl[[#This Row],[Rate_Code_Generalized]],Lookups!A:A,Lookups!B:B))*Pipeline_tbl[[#This Row],[Pipeline_Amount_USD]]</f>
        <v>5600</v>
      </c>
      <c r="O3865" t="str">
        <f>_xlfn.XLOOKUP(Pipeline_tbl[[#This Row],[Rep_ID]],Dim_Reps!A:A,Dim_Reps!B:B)</f>
        <v>Lea Weber</v>
      </c>
      <c r="P3865" t="str">
        <f>_xlfn.XLOOKUP(Pipeline_tbl[[#This Row],[Rep_ID]],Dim_Reps!A:A,Dim_Reps!C:C)</f>
        <v>SDR / Inside Sales Rep</v>
      </c>
      <c r="Q3865" t="str">
        <f>_xlfn.XLOOKUP(Pipeline_tbl[[#This Row],[Rep_ID]],Dim_Reps!A:A,Dim_Reps!D:D)</f>
        <v>Inside Sales</v>
      </c>
      <c r="R3865" t="str">
        <f>_xlfn.XLOOKUP(Pipeline_tbl[[#This Row],[Rep_ID]],Dim_Reps!A:A,Dim_Reps!E:E)</f>
        <v>EMEA</v>
      </c>
      <c r="S3865" t="str">
        <f>_xlfn.XLOOKUP(Pipeline_tbl[[#This Row],[Created_Date]],Dim_Date!A:A,Dim_Date!H:H)</f>
        <v>Jul 2025</v>
      </c>
      <c r="T3865" t="str">
        <f>IF(Pipeline_tbl[[#This Row],[Closed_Date]]=0,"",(_xlfn.XLOOKUP(Pipeline_tbl[[#This Row],[Closed_Date]],Dim_Date!A:A,Dim_Date!H:H)))</f>
        <v>Jul 2025</v>
      </c>
      <c r="U3865">
        <f>IF(Pipeline_tbl[[#This Row],[Closed_Date]]=0,"",Pipeline_tbl[[#This Row],[Closed_Date]]-Pipeline_tbl[[#This Row],[Created_Date]])</f>
        <v>15</v>
      </c>
    </row>
    <row r="3866" spans="1:21" ht="15" customHeight="1" x14ac:dyDescent="0.2">
      <c r="A3866" t="s">
        <v>4172</v>
      </c>
      <c r="B3866" t="s">
        <v>211</v>
      </c>
      <c r="C3866" t="s">
        <v>55</v>
      </c>
      <c r="D3866" s="49">
        <v>45839</v>
      </c>
      <c r="E3866" s="49">
        <v>45840</v>
      </c>
      <c r="F3866" s="49">
        <v>45843</v>
      </c>
      <c r="G3866" s="49">
        <v>45847</v>
      </c>
      <c r="H3866" s="49">
        <v>45851</v>
      </c>
      <c r="I3866" s="49">
        <v>45853</v>
      </c>
      <c r="J3866" t="s">
        <v>47</v>
      </c>
      <c r="K3866" s="33">
        <v>5000</v>
      </c>
      <c r="M3866" t="str">
        <f>_xlfn.XLOOKUP(Pipeline_tbl[[#This Row],[Rep_ID]],Dim_Reps!A:A,Dim_Reps!K:K)</f>
        <v>EUR</v>
      </c>
      <c r="N3866" s="33">
        <f>(_xlfn.XLOOKUP(Pipeline_tbl[[#This Row],[Rate_Code_Generalized]],Lookups!A:A,Lookups!B:B))*Pipeline_tbl[[#This Row],[Pipeline_Amount_USD]]</f>
        <v>5000</v>
      </c>
      <c r="O3866" t="str">
        <f>_xlfn.XLOOKUP(Pipeline_tbl[[#This Row],[Rep_ID]],Dim_Reps!A:A,Dim_Reps!B:B)</f>
        <v>Lea Weber</v>
      </c>
      <c r="P3866" t="str">
        <f>_xlfn.XLOOKUP(Pipeline_tbl[[#This Row],[Rep_ID]],Dim_Reps!A:A,Dim_Reps!C:C)</f>
        <v>SDR / Inside Sales Rep</v>
      </c>
      <c r="Q3866" t="str">
        <f>_xlfn.XLOOKUP(Pipeline_tbl[[#This Row],[Rep_ID]],Dim_Reps!A:A,Dim_Reps!D:D)</f>
        <v>Inside Sales</v>
      </c>
      <c r="R3866" t="str">
        <f>_xlfn.XLOOKUP(Pipeline_tbl[[#This Row],[Rep_ID]],Dim_Reps!A:A,Dim_Reps!E:E)</f>
        <v>EMEA</v>
      </c>
      <c r="S3866" t="str">
        <f>_xlfn.XLOOKUP(Pipeline_tbl[[#This Row],[Created_Date]],Dim_Date!A:A,Dim_Date!H:H)</f>
        <v>Jul 2025</v>
      </c>
      <c r="T3866" t="str">
        <f>IF(Pipeline_tbl[[#This Row],[Closed_Date]]=0,"",(_xlfn.XLOOKUP(Pipeline_tbl[[#This Row],[Closed_Date]],Dim_Date!A:A,Dim_Date!H:H)))</f>
        <v>Jul 2025</v>
      </c>
      <c r="U3866">
        <f>IF(Pipeline_tbl[[#This Row],[Closed_Date]]=0,"",Pipeline_tbl[[#This Row],[Closed_Date]]-Pipeline_tbl[[#This Row],[Created_Date]])</f>
        <v>14</v>
      </c>
    </row>
    <row r="3867" spans="1:21" ht="15" customHeight="1" x14ac:dyDescent="0.2">
      <c r="A3867" t="s">
        <v>4173</v>
      </c>
      <c r="B3867" t="s">
        <v>211</v>
      </c>
      <c r="C3867" t="s">
        <v>54</v>
      </c>
      <c r="D3867" s="49">
        <v>45841</v>
      </c>
      <c r="E3867" s="49">
        <v>45843</v>
      </c>
      <c r="F3867" s="49">
        <v>45846</v>
      </c>
      <c r="G3867" s="49">
        <v>45850</v>
      </c>
      <c r="H3867" s="49">
        <v>45854</v>
      </c>
      <c r="I3867" s="49">
        <v>45856</v>
      </c>
      <c r="J3867" t="s">
        <v>49</v>
      </c>
      <c r="K3867" s="33">
        <v>4400</v>
      </c>
      <c r="L3867" t="s">
        <v>62</v>
      </c>
      <c r="M3867" t="str">
        <f>_xlfn.XLOOKUP(Pipeline_tbl[[#This Row],[Rep_ID]],Dim_Reps!A:A,Dim_Reps!K:K)</f>
        <v>EUR</v>
      </c>
      <c r="N3867" s="33">
        <f>(_xlfn.XLOOKUP(Pipeline_tbl[[#This Row],[Rate_Code_Generalized]],Lookups!A:A,Lookups!B:B))*Pipeline_tbl[[#This Row],[Pipeline_Amount_USD]]</f>
        <v>4400</v>
      </c>
      <c r="O3867" t="str">
        <f>_xlfn.XLOOKUP(Pipeline_tbl[[#This Row],[Rep_ID]],Dim_Reps!A:A,Dim_Reps!B:B)</f>
        <v>Lea Weber</v>
      </c>
      <c r="P3867" t="str">
        <f>_xlfn.XLOOKUP(Pipeline_tbl[[#This Row],[Rep_ID]],Dim_Reps!A:A,Dim_Reps!C:C)</f>
        <v>SDR / Inside Sales Rep</v>
      </c>
      <c r="Q3867" t="str">
        <f>_xlfn.XLOOKUP(Pipeline_tbl[[#This Row],[Rep_ID]],Dim_Reps!A:A,Dim_Reps!D:D)</f>
        <v>Inside Sales</v>
      </c>
      <c r="R3867" t="str">
        <f>_xlfn.XLOOKUP(Pipeline_tbl[[#This Row],[Rep_ID]],Dim_Reps!A:A,Dim_Reps!E:E)</f>
        <v>EMEA</v>
      </c>
      <c r="S3867" t="str">
        <f>_xlfn.XLOOKUP(Pipeline_tbl[[#This Row],[Created_Date]],Dim_Date!A:A,Dim_Date!H:H)</f>
        <v>Jul 2025</v>
      </c>
      <c r="T3867" t="str">
        <f>IF(Pipeline_tbl[[#This Row],[Closed_Date]]=0,"",(_xlfn.XLOOKUP(Pipeline_tbl[[#This Row],[Closed_Date]],Dim_Date!A:A,Dim_Date!H:H)))</f>
        <v>Jul 2025</v>
      </c>
      <c r="U3867">
        <f>IF(Pipeline_tbl[[#This Row],[Closed_Date]]=0,"",Pipeline_tbl[[#This Row],[Closed_Date]]-Pipeline_tbl[[#This Row],[Created_Date]])</f>
        <v>15</v>
      </c>
    </row>
    <row r="3868" spans="1:21" ht="15" customHeight="1" x14ac:dyDescent="0.2">
      <c r="A3868" t="s">
        <v>4174</v>
      </c>
      <c r="B3868" t="s">
        <v>213</v>
      </c>
      <c r="C3868" t="s">
        <v>54</v>
      </c>
      <c r="D3868" s="49">
        <v>45853</v>
      </c>
      <c r="E3868" s="49">
        <v>45854</v>
      </c>
      <c r="F3868" s="49">
        <v>45857</v>
      </c>
      <c r="G3868" s="49">
        <v>45860</v>
      </c>
      <c r="I3868" s="49">
        <v>45865</v>
      </c>
      <c r="J3868" t="s">
        <v>49</v>
      </c>
      <c r="K3868" s="33">
        <v>2400</v>
      </c>
      <c r="L3868" t="s">
        <v>60</v>
      </c>
      <c r="M3868" t="str">
        <f>_xlfn.XLOOKUP(Pipeline_tbl[[#This Row],[Rep_ID]],Dim_Reps!A:A,Dim_Reps!K:K)</f>
        <v>EUR</v>
      </c>
      <c r="N3868" s="33">
        <f>(_xlfn.XLOOKUP(Pipeline_tbl[[#This Row],[Rate_Code_Generalized]],Lookups!A:A,Lookups!B:B))*Pipeline_tbl[[#This Row],[Pipeline_Amount_USD]]</f>
        <v>2400</v>
      </c>
      <c r="O3868" t="str">
        <f>_xlfn.XLOOKUP(Pipeline_tbl[[#This Row],[Rep_ID]],Dim_Reps!A:A,Dim_Reps!B:B)</f>
        <v>Jamie Silva</v>
      </c>
      <c r="P3868" t="str">
        <f>_xlfn.XLOOKUP(Pipeline_tbl[[#This Row],[Rep_ID]],Dim_Reps!A:A,Dim_Reps!C:C)</f>
        <v>SDR / Inside Sales Rep</v>
      </c>
      <c r="Q3868" t="str">
        <f>_xlfn.XLOOKUP(Pipeline_tbl[[#This Row],[Rep_ID]],Dim_Reps!A:A,Dim_Reps!D:D)</f>
        <v>Inside Sales</v>
      </c>
      <c r="R3868" t="str">
        <f>_xlfn.XLOOKUP(Pipeline_tbl[[#This Row],[Rep_ID]],Dim_Reps!A:A,Dim_Reps!E:E)</f>
        <v>EMEA</v>
      </c>
      <c r="S3868" t="str">
        <f>_xlfn.XLOOKUP(Pipeline_tbl[[#This Row],[Created_Date]],Dim_Date!A:A,Dim_Date!H:H)</f>
        <v>Jul 2025</v>
      </c>
      <c r="T3868" t="str">
        <f>IF(Pipeline_tbl[[#This Row],[Closed_Date]]=0,"",(_xlfn.XLOOKUP(Pipeline_tbl[[#This Row],[Closed_Date]],Dim_Date!A:A,Dim_Date!H:H)))</f>
        <v>Jul 2025</v>
      </c>
      <c r="U3868">
        <f>IF(Pipeline_tbl[[#This Row],[Closed_Date]]=0,"",Pipeline_tbl[[#This Row],[Closed_Date]]-Pipeline_tbl[[#This Row],[Created_Date]])</f>
        <v>12</v>
      </c>
    </row>
    <row r="3869" spans="1:21" ht="15" customHeight="1" x14ac:dyDescent="0.2">
      <c r="A3869" t="s">
        <v>4175</v>
      </c>
      <c r="B3869" t="s">
        <v>213</v>
      </c>
      <c r="C3869" t="s">
        <v>55</v>
      </c>
      <c r="D3869" s="49">
        <v>45852</v>
      </c>
      <c r="E3869" s="49">
        <v>45853</v>
      </c>
      <c r="F3869" s="49">
        <v>45856</v>
      </c>
      <c r="I3869" s="49">
        <v>45866</v>
      </c>
      <c r="J3869" t="s">
        <v>49</v>
      </c>
      <c r="K3869" s="33">
        <v>2500</v>
      </c>
      <c r="L3869" t="s">
        <v>64</v>
      </c>
      <c r="M3869" t="str">
        <f>_xlfn.XLOOKUP(Pipeline_tbl[[#This Row],[Rep_ID]],Dim_Reps!A:A,Dim_Reps!K:K)</f>
        <v>EUR</v>
      </c>
      <c r="N3869" s="33">
        <f>(_xlfn.XLOOKUP(Pipeline_tbl[[#This Row],[Rate_Code_Generalized]],Lookups!A:A,Lookups!B:B))*Pipeline_tbl[[#This Row],[Pipeline_Amount_USD]]</f>
        <v>2500</v>
      </c>
      <c r="O3869" t="str">
        <f>_xlfn.XLOOKUP(Pipeline_tbl[[#This Row],[Rep_ID]],Dim_Reps!A:A,Dim_Reps!B:B)</f>
        <v>Jamie Silva</v>
      </c>
      <c r="P3869" t="str">
        <f>_xlfn.XLOOKUP(Pipeline_tbl[[#This Row],[Rep_ID]],Dim_Reps!A:A,Dim_Reps!C:C)</f>
        <v>SDR / Inside Sales Rep</v>
      </c>
      <c r="Q3869" t="str">
        <f>_xlfn.XLOOKUP(Pipeline_tbl[[#This Row],[Rep_ID]],Dim_Reps!A:A,Dim_Reps!D:D)</f>
        <v>Inside Sales</v>
      </c>
      <c r="R3869" t="str">
        <f>_xlfn.XLOOKUP(Pipeline_tbl[[#This Row],[Rep_ID]],Dim_Reps!A:A,Dim_Reps!E:E)</f>
        <v>EMEA</v>
      </c>
      <c r="S3869" t="str">
        <f>_xlfn.XLOOKUP(Pipeline_tbl[[#This Row],[Created_Date]],Dim_Date!A:A,Dim_Date!H:H)</f>
        <v>Jul 2025</v>
      </c>
      <c r="T3869" t="str">
        <f>IF(Pipeline_tbl[[#This Row],[Closed_Date]]=0,"",(_xlfn.XLOOKUP(Pipeline_tbl[[#This Row],[Closed_Date]],Dim_Date!A:A,Dim_Date!H:H)))</f>
        <v>Jul 2025</v>
      </c>
      <c r="U3869">
        <f>IF(Pipeline_tbl[[#This Row],[Closed_Date]]=0,"",Pipeline_tbl[[#This Row],[Closed_Date]]-Pipeline_tbl[[#This Row],[Created_Date]])</f>
        <v>14</v>
      </c>
    </row>
    <row r="3870" spans="1:21" ht="15" customHeight="1" x14ac:dyDescent="0.2">
      <c r="A3870" t="s">
        <v>4176</v>
      </c>
      <c r="B3870" t="s">
        <v>215</v>
      </c>
      <c r="C3870" t="s">
        <v>56</v>
      </c>
      <c r="D3870" s="49">
        <v>45852</v>
      </c>
      <c r="E3870" s="49">
        <v>45853</v>
      </c>
      <c r="F3870" s="49">
        <v>45856</v>
      </c>
      <c r="G3870" s="49">
        <v>45860</v>
      </c>
      <c r="H3870" s="49">
        <v>45863</v>
      </c>
      <c r="I3870" s="49">
        <v>45865</v>
      </c>
      <c r="J3870" t="s">
        <v>47</v>
      </c>
      <c r="K3870" s="33">
        <v>3700</v>
      </c>
      <c r="M3870" t="str">
        <f>_xlfn.XLOOKUP(Pipeline_tbl[[#This Row],[Rep_ID]],Dim_Reps!A:A,Dim_Reps!K:K)</f>
        <v>EUR</v>
      </c>
      <c r="N3870" s="33">
        <f>(_xlfn.XLOOKUP(Pipeline_tbl[[#This Row],[Rate_Code_Generalized]],Lookups!A:A,Lookups!B:B))*Pipeline_tbl[[#This Row],[Pipeline_Amount_USD]]</f>
        <v>3700</v>
      </c>
      <c r="O3870" t="str">
        <f>_xlfn.XLOOKUP(Pipeline_tbl[[#This Row],[Rep_ID]],Dim_Reps!A:A,Dim_Reps!B:B)</f>
        <v>Jamie Schmidt</v>
      </c>
      <c r="P3870" t="str">
        <f>_xlfn.XLOOKUP(Pipeline_tbl[[#This Row],[Rep_ID]],Dim_Reps!A:A,Dim_Reps!C:C)</f>
        <v>SDR / Inside Sales Rep</v>
      </c>
      <c r="Q3870" t="str">
        <f>_xlfn.XLOOKUP(Pipeline_tbl[[#This Row],[Rep_ID]],Dim_Reps!A:A,Dim_Reps!D:D)</f>
        <v>Inside Sales</v>
      </c>
      <c r="R3870" t="str">
        <f>_xlfn.XLOOKUP(Pipeline_tbl[[#This Row],[Rep_ID]],Dim_Reps!A:A,Dim_Reps!E:E)</f>
        <v>APAC</v>
      </c>
      <c r="S3870" t="str">
        <f>_xlfn.XLOOKUP(Pipeline_tbl[[#This Row],[Created_Date]],Dim_Date!A:A,Dim_Date!H:H)</f>
        <v>Jul 2025</v>
      </c>
      <c r="T3870" t="str">
        <f>IF(Pipeline_tbl[[#This Row],[Closed_Date]]=0,"",(_xlfn.XLOOKUP(Pipeline_tbl[[#This Row],[Closed_Date]],Dim_Date!A:A,Dim_Date!H:H)))</f>
        <v>Jul 2025</v>
      </c>
      <c r="U3870">
        <f>IF(Pipeline_tbl[[#This Row],[Closed_Date]]=0,"",Pipeline_tbl[[#This Row],[Closed_Date]]-Pipeline_tbl[[#This Row],[Created_Date]])</f>
        <v>13</v>
      </c>
    </row>
    <row r="3871" spans="1:21" ht="15" customHeight="1" x14ac:dyDescent="0.2">
      <c r="A3871" t="s">
        <v>4177</v>
      </c>
      <c r="B3871" t="s">
        <v>215</v>
      </c>
      <c r="C3871" t="s">
        <v>52</v>
      </c>
      <c r="D3871" s="49">
        <v>45854</v>
      </c>
      <c r="E3871" s="49">
        <v>45855</v>
      </c>
      <c r="F3871" s="49">
        <v>45857</v>
      </c>
      <c r="G3871" s="49">
        <v>45860</v>
      </c>
      <c r="H3871" s="49">
        <v>45862</v>
      </c>
      <c r="I3871" s="49">
        <v>45864</v>
      </c>
      <c r="J3871" t="s">
        <v>47</v>
      </c>
      <c r="K3871" s="33">
        <v>6800</v>
      </c>
      <c r="M3871" t="str">
        <f>_xlfn.XLOOKUP(Pipeline_tbl[[#This Row],[Rep_ID]],Dim_Reps!A:A,Dim_Reps!K:K)</f>
        <v>EUR</v>
      </c>
      <c r="N3871" s="33">
        <f>(_xlfn.XLOOKUP(Pipeline_tbl[[#This Row],[Rate_Code_Generalized]],Lookups!A:A,Lookups!B:B))*Pipeline_tbl[[#This Row],[Pipeline_Amount_USD]]</f>
        <v>6800</v>
      </c>
      <c r="O3871" t="str">
        <f>_xlfn.XLOOKUP(Pipeline_tbl[[#This Row],[Rep_ID]],Dim_Reps!A:A,Dim_Reps!B:B)</f>
        <v>Jamie Schmidt</v>
      </c>
      <c r="P3871" t="str">
        <f>_xlfn.XLOOKUP(Pipeline_tbl[[#This Row],[Rep_ID]],Dim_Reps!A:A,Dim_Reps!C:C)</f>
        <v>SDR / Inside Sales Rep</v>
      </c>
      <c r="Q3871" t="str">
        <f>_xlfn.XLOOKUP(Pipeline_tbl[[#This Row],[Rep_ID]],Dim_Reps!A:A,Dim_Reps!D:D)</f>
        <v>Inside Sales</v>
      </c>
      <c r="R3871" t="str">
        <f>_xlfn.XLOOKUP(Pipeline_tbl[[#This Row],[Rep_ID]],Dim_Reps!A:A,Dim_Reps!E:E)</f>
        <v>APAC</v>
      </c>
      <c r="S3871" t="str">
        <f>_xlfn.XLOOKUP(Pipeline_tbl[[#This Row],[Created_Date]],Dim_Date!A:A,Dim_Date!H:H)</f>
        <v>Jul 2025</v>
      </c>
      <c r="T3871" t="str">
        <f>IF(Pipeline_tbl[[#This Row],[Closed_Date]]=0,"",(_xlfn.XLOOKUP(Pipeline_tbl[[#This Row],[Closed_Date]],Dim_Date!A:A,Dim_Date!H:H)))</f>
        <v>Jul 2025</v>
      </c>
      <c r="U3871">
        <f>IF(Pipeline_tbl[[#This Row],[Closed_Date]]=0,"",Pipeline_tbl[[#This Row],[Closed_Date]]-Pipeline_tbl[[#This Row],[Created_Date]])</f>
        <v>10</v>
      </c>
    </row>
    <row r="3872" spans="1:21" ht="15" customHeight="1" x14ac:dyDescent="0.2">
      <c r="A3872" t="s">
        <v>4178</v>
      </c>
      <c r="B3872" t="s">
        <v>215</v>
      </c>
      <c r="C3872" t="s">
        <v>52</v>
      </c>
      <c r="D3872" s="49">
        <v>45853</v>
      </c>
      <c r="E3872" s="49">
        <v>45855</v>
      </c>
      <c r="I3872" s="49">
        <v>45869</v>
      </c>
      <c r="J3872" t="s">
        <v>49</v>
      </c>
      <c r="K3872" s="33">
        <v>2100</v>
      </c>
      <c r="L3872" t="s">
        <v>60</v>
      </c>
      <c r="M3872" t="str">
        <f>_xlfn.XLOOKUP(Pipeline_tbl[[#This Row],[Rep_ID]],Dim_Reps!A:A,Dim_Reps!K:K)</f>
        <v>EUR</v>
      </c>
      <c r="N3872" s="33">
        <f>(_xlfn.XLOOKUP(Pipeline_tbl[[#This Row],[Rate_Code_Generalized]],Lookups!A:A,Lookups!B:B))*Pipeline_tbl[[#This Row],[Pipeline_Amount_USD]]</f>
        <v>2100</v>
      </c>
      <c r="O3872" t="str">
        <f>_xlfn.XLOOKUP(Pipeline_tbl[[#This Row],[Rep_ID]],Dim_Reps!A:A,Dim_Reps!B:B)</f>
        <v>Jamie Schmidt</v>
      </c>
      <c r="P3872" t="str">
        <f>_xlfn.XLOOKUP(Pipeline_tbl[[#This Row],[Rep_ID]],Dim_Reps!A:A,Dim_Reps!C:C)</f>
        <v>SDR / Inside Sales Rep</v>
      </c>
      <c r="Q3872" t="str">
        <f>_xlfn.XLOOKUP(Pipeline_tbl[[#This Row],[Rep_ID]],Dim_Reps!A:A,Dim_Reps!D:D)</f>
        <v>Inside Sales</v>
      </c>
      <c r="R3872" t="str">
        <f>_xlfn.XLOOKUP(Pipeline_tbl[[#This Row],[Rep_ID]],Dim_Reps!A:A,Dim_Reps!E:E)</f>
        <v>APAC</v>
      </c>
      <c r="S3872" t="str">
        <f>_xlfn.XLOOKUP(Pipeline_tbl[[#This Row],[Created_Date]],Dim_Date!A:A,Dim_Date!H:H)</f>
        <v>Jul 2025</v>
      </c>
      <c r="T3872" t="str">
        <f>IF(Pipeline_tbl[[#This Row],[Closed_Date]]=0,"",(_xlfn.XLOOKUP(Pipeline_tbl[[#This Row],[Closed_Date]],Dim_Date!A:A,Dim_Date!H:H)))</f>
        <v>Jul 2025</v>
      </c>
      <c r="U3872">
        <f>IF(Pipeline_tbl[[#This Row],[Closed_Date]]=0,"",Pipeline_tbl[[#This Row],[Closed_Date]]-Pipeline_tbl[[#This Row],[Created_Date]])</f>
        <v>16</v>
      </c>
    </row>
    <row r="3873" spans="1:21" ht="15" customHeight="1" x14ac:dyDescent="0.2">
      <c r="A3873" t="s">
        <v>4179</v>
      </c>
      <c r="B3873" t="s">
        <v>215</v>
      </c>
      <c r="C3873" t="s">
        <v>53</v>
      </c>
      <c r="D3873" s="49">
        <v>45845</v>
      </c>
      <c r="E3873" s="49">
        <v>45847</v>
      </c>
      <c r="F3873" s="49">
        <v>45850</v>
      </c>
      <c r="G3873" s="49">
        <v>45855</v>
      </c>
      <c r="H3873" s="49">
        <v>45859</v>
      </c>
      <c r="I3873" s="49">
        <v>45861</v>
      </c>
      <c r="J3873" t="s">
        <v>49</v>
      </c>
      <c r="K3873" s="33">
        <v>3000</v>
      </c>
      <c r="L3873" t="s">
        <v>64</v>
      </c>
      <c r="M3873" t="str">
        <f>_xlfn.XLOOKUP(Pipeline_tbl[[#This Row],[Rep_ID]],Dim_Reps!A:A,Dim_Reps!K:K)</f>
        <v>EUR</v>
      </c>
      <c r="N3873" s="33">
        <f>(_xlfn.XLOOKUP(Pipeline_tbl[[#This Row],[Rate_Code_Generalized]],Lookups!A:A,Lookups!B:B))*Pipeline_tbl[[#This Row],[Pipeline_Amount_USD]]</f>
        <v>3000</v>
      </c>
      <c r="O3873" t="str">
        <f>_xlfn.XLOOKUP(Pipeline_tbl[[#This Row],[Rep_ID]],Dim_Reps!A:A,Dim_Reps!B:B)</f>
        <v>Jamie Schmidt</v>
      </c>
      <c r="P3873" t="str">
        <f>_xlfn.XLOOKUP(Pipeline_tbl[[#This Row],[Rep_ID]],Dim_Reps!A:A,Dim_Reps!C:C)</f>
        <v>SDR / Inside Sales Rep</v>
      </c>
      <c r="Q3873" t="str">
        <f>_xlfn.XLOOKUP(Pipeline_tbl[[#This Row],[Rep_ID]],Dim_Reps!A:A,Dim_Reps!D:D)</f>
        <v>Inside Sales</v>
      </c>
      <c r="R3873" t="str">
        <f>_xlfn.XLOOKUP(Pipeline_tbl[[#This Row],[Rep_ID]],Dim_Reps!A:A,Dim_Reps!E:E)</f>
        <v>APAC</v>
      </c>
      <c r="S3873" t="str">
        <f>_xlfn.XLOOKUP(Pipeline_tbl[[#This Row],[Created_Date]],Dim_Date!A:A,Dim_Date!H:H)</f>
        <v>Jul 2025</v>
      </c>
      <c r="T3873" t="str">
        <f>IF(Pipeline_tbl[[#This Row],[Closed_Date]]=0,"",(_xlfn.XLOOKUP(Pipeline_tbl[[#This Row],[Closed_Date]],Dim_Date!A:A,Dim_Date!H:H)))</f>
        <v>Jul 2025</v>
      </c>
      <c r="U3873">
        <f>IF(Pipeline_tbl[[#This Row],[Closed_Date]]=0,"",Pipeline_tbl[[#This Row],[Closed_Date]]-Pipeline_tbl[[#This Row],[Created_Date]])</f>
        <v>16</v>
      </c>
    </row>
    <row r="3874" spans="1:21" ht="15" customHeight="1" x14ac:dyDescent="0.2">
      <c r="A3874" t="s">
        <v>4180</v>
      </c>
      <c r="B3874" t="s">
        <v>217</v>
      </c>
      <c r="C3874" t="s">
        <v>53</v>
      </c>
      <c r="D3874" s="49">
        <v>45849</v>
      </c>
      <c r="E3874" s="49">
        <v>45850</v>
      </c>
      <c r="F3874" s="49">
        <v>45851</v>
      </c>
      <c r="G3874" s="49">
        <v>45854</v>
      </c>
      <c r="H3874" s="49">
        <v>45856</v>
      </c>
      <c r="I3874" s="49">
        <v>45857</v>
      </c>
      <c r="J3874" t="s">
        <v>47</v>
      </c>
      <c r="K3874" s="33">
        <v>7200</v>
      </c>
      <c r="M3874" t="str">
        <f>_xlfn.XLOOKUP(Pipeline_tbl[[#This Row],[Rep_ID]],Dim_Reps!A:A,Dim_Reps!K:K)</f>
        <v>USD</v>
      </c>
      <c r="N3874" s="33">
        <f>(_xlfn.XLOOKUP(Pipeline_tbl[[#This Row],[Rate_Code_Generalized]],Lookups!A:A,Lookups!B:B))*Pipeline_tbl[[#This Row],[Pipeline_Amount_USD]]</f>
        <v>8382.9599999999991</v>
      </c>
      <c r="O3874" t="str">
        <f>_xlfn.XLOOKUP(Pipeline_tbl[[#This Row],[Rep_ID]],Dim_Reps!A:A,Dim_Reps!B:B)</f>
        <v>Priya Weber</v>
      </c>
      <c r="P3874" t="str">
        <f>_xlfn.XLOOKUP(Pipeline_tbl[[#This Row],[Rep_ID]],Dim_Reps!A:A,Dim_Reps!C:C)</f>
        <v>SDR / Inside Sales Rep</v>
      </c>
      <c r="Q3874" t="str">
        <f>_xlfn.XLOOKUP(Pipeline_tbl[[#This Row],[Rep_ID]],Dim_Reps!A:A,Dim_Reps!D:D)</f>
        <v>Inside Sales</v>
      </c>
      <c r="R3874" t="str">
        <f>_xlfn.XLOOKUP(Pipeline_tbl[[#This Row],[Rep_ID]],Dim_Reps!A:A,Dim_Reps!E:E)</f>
        <v>NAMER</v>
      </c>
      <c r="S3874" t="str">
        <f>_xlfn.XLOOKUP(Pipeline_tbl[[#This Row],[Created_Date]],Dim_Date!A:A,Dim_Date!H:H)</f>
        <v>Jul 2025</v>
      </c>
      <c r="T3874" t="str">
        <f>IF(Pipeline_tbl[[#This Row],[Closed_Date]]=0,"",(_xlfn.XLOOKUP(Pipeline_tbl[[#This Row],[Closed_Date]],Dim_Date!A:A,Dim_Date!H:H)))</f>
        <v>Jul 2025</v>
      </c>
      <c r="U3874">
        <f>IF(Pipeline_tbl[[#This Row],[Closed_Date]]=0,"",Pipeline_tbl[[#This Row],[Closed_Date]]-Pipeline_tbl[[#This Row],[Created_Date]])</f>
        <v>8</v>
      </c>
    </row>
    <row r="3875" spans="1:21" ht="15" customHeight="1" x14ac:dyDescent="0.2">
      <c r="A3875" t="s">
        <v>4181</v>
      </c>
      <c r="B3875" t="s">
        <v>221</v>
      </c>
      <c r="C3875" t="s">
        <v>54</v>
      </c>
      <c r="D3875" s="49">
        <v>45860</v>
      </c>
      <c r="E3875" s="49">
        <v>45861</v>
      </c>
      <c r="F3875" s="49">
        <v>45863</v>
      </c>
      <c r="G3875" s="49">
        <v>45865</v>
      </c>
      <c r="H3875" s="49">
        <v>45868</v>
      </c>
      <c r="I3875" s="49">
        <v>45869</v>
      </c>
      <c r="J3875" t="s">
        <v>47</v>
      </c>
      <c r="K3875" s="33">
        <v>2700</v>
      </c>
      <c r="M3875" t="str">
        <f>_xlfn.XLOOKUP(Pipeline_tbl[[#This Row],[Rep_ID]],Dim_Reps!A:A,Dim_Reps!K:K)</f>
        <v>MXN</v>
      </c>
      <c r="N3875" s="33">
        <f>(_xlfn.XLOOKUP(Pipeline_tbl[[#This Row],[Rate_Code_Generalized]],Lookups!A:A,Lookups!B:B))*Pipeline_tbl[[#This Row],[Pipeline_Amount_USD]]</f>
        <v>53278.29</v>
      </c>
      <c r="O3875" t="str">
        <f>_xlfn.XLOOKUP(Pipeline_tbl[[#This Row],[Rep_ID]],Dim_Reps!A:A,Dim_Reps!B:B)</f>
        <v>Casey Muller</v>
      </c>
      <c r="P3875" t="str">
        <f>_xlfn.XLOOKUP(Pipeline_tbl[[#This Row],[Rep_ID]],Dim_Reps!A:A,Dim_Reps!C:C)</f>
        <v>SDR / Inside Sales Rep</v>
      </c>
      <c r="Q3875" t="str">
        <f>_xlfn.XLOOKUP(Pipeline_tbl[[#This Row],[Rep_ID]],Dim_Reps!A:A,Dim_Reps!D:D)</f>
        <v>Inside Sales</v>
      </c>
      <c r="R3875" t="str">
        <f>_xlfn.XLOOKUP(Pipeline_tbl[[#This Row],[Rep_ID]],Dim_Reps!A:A,Dim_Reps!E:E)</f>
        <v>LATAM</v>
      </c>
      <c r="S3875" t="str">
        <f>_xlfn.XLOOKUP(Pipeline_tbl[[#This Row],[Created_Date]],Dim_Date!A:A,Dim_Date!H:H)</f>
        <v>Jul 2025</v>
      </c>
      <c r="T3875" t="str">
        <f>IF(Pipeline_tbl[[#This Row],[Closed_Date]]=0,"",(_xlfn.XLOOKUP(Pipeline_tbl[[#This Row],[Closed_Date]],Dim_Date!A:A,Dim_Date!H:H)))</f>
        <v>Jul 2025</v>
      </c>
      <c r="U3875">
        <f>IF(Pipeline_tbl[[#This Row],[Closed_Date]]=0,"",Pipeline_tbl[[#This Row],[Closed_Date]]-Pipeline_tbl[[#This Row],[Created_Date]])</f>
        <v>9</v>
      </c>
    </row>
    <row r="3876" spans="1:21" ht="15" customHeight="1" x14ac:dyDescent="0.2">
      <c r="A3876" t="s">
        <v>4182</v>
      </c>
      <c r="B3876" t="s">
        <v>257</v>
      </c>
      <c r="C3876" t="s">
        <v>52</v>
      </c>
      <c r="D3876" s="49">
        <v>45840</v>
      </c>
      <c r="E3876" s="49">
        <v>45843</v>
      </c>
      <c r="I3876" s="49">
        <v>45868</v>
      </c>
      <c r="J3876" t="s">
        <v>49</v>
      </c>
      <c r="K3876" s="33">
        <v>18600</v>
      </c>
      <c r="L3876" t="s">
        <v>60</v>
      </c>
      <c r="M3876" t="str">
        <f>_xlfn.XLOOKUP(Pipeline_tbl[[#This Row],[Rep_ID]],Dim_Reps!A:A,Dim_Reps!K:K)</f>
        <v>EUR</v>
      </c>
      <c r="N3876" s="33">
        <f>(_xlfn.XLOOKUP(Pipeline_tbl[[#This Row],[Rate_Code_Generalized]],Lookups!A:A,Lookups!B:B))*Pipeline_tbl[[#This Row],[Pipeline_Amount_USD]]</f>
        <v>18600</v>
      </c>
      <c r="O3876" t="str">
        <f>_xlfn.XLOOKUP(Pipeline_tbl[[#This Row],[Rep_ID]],Dim_Reps!A:A,Dim_Reps!B:B)</f>
        <v>Ana Kim</v>
      </c>
      <c r="P3876" t="str">
        <f>_xlfn.XLOOKUP(Pipeline_tbl[[#This Row],[Rep_ID]],Dim_Reps!A:A,Dim_Reps!C:C)</f>
        <v>Mid-Market AE</v>
      </c>
      <c r="Q3876" t="str">
        <f>_xlfn.XLOOKUP(Pipeline_tbl[[#This Row],[Rep_ID]],Dim_Reps!A:A,Dim_Reps!D:D)</f>
        <v>Mid-Market</v>
      </c>
      <c r="R3876" t="str">
        <f>_xlfn.XLOOKUP(Pipeline_tbl[[#This Row],[Rep_ID]],Dim_Reps!A:A,Dim_Reps!E:E)</f>
        <v>APAC</v>
      </c>
      <c r="S3876" t="str">
        <f>_xlfn.XLOOKUP(Pipeline_tbl[[#This Row],[Created_Date]],Dim_Date!A:A,Dim_Date!H:H)</f>
        <v>Jul 2025</v>
      </c>
      <c r="T3876" t="str">
        <f>IF(Pipeline_tbl[[#This Row],[Closed_Date]]=0,"",(_xlfn.XLOOKUP(Pipeline_tbl[[#This Row],[Closed_Date]],Dim_Date!A:A,Dim_Date!H:H)))</f>
        <v>Jul 2025</v>
      </c>
      <c r="U3876">
        <f>IF(Pipeline_tbl[[#This Row],[Closed_Date]]=0,"",Pipeline_tbl[[#This Row],[Closed_Date]]-Pipeline_tbl[[#This Row],[Created_Date]])</f>
        <v>28</v>
      </c>
    </row>
    <row r="3877" spans="1:21" ht="15" customHeight="1" x14ac:dyDescent="0.2">
      <c r="A3877" t="s">
        <v>4183</v>
      </c>
      <c r="B3877" t="s">
        <v>223</v>
      </c>
      <c r="C3877" t="s">
        <v>54</v>
      </c>
      <c r="D3877" s="49">
        <v>45841</v>
      </c>
      <c r="E3877" s="49">
        <v>45843</v>
      </c>
      <c r="F3877" s="49">
        <v>45847</v>
      </c>
      <c r="G3877" s="49">
        <v>45852</v>
      </c>
      <c r="H3877" s="49">
        <v>45857</v>
      </c>
      <c r="I3877" s="49">
        <v>45860</v>
      </c>
      <c r="J3877" t="s">
        <v>47</v>
      </c>
      <c r="K3877" s="33">
        <v>2500</v>
      </c>
      <c r="M3877" t="str">
        <f>_xlfn.XLOOKUP(Pipeline_tbl[[#This Row],[Rep_ID]],Dim_Reps!A:A,Dim_Reps!K:K)</f>
        <v>MXN</v>
      </c>
      <c r="N3877" s="33">
        <f>(_xlfn.XLOOKUP(Pipeline_tbl[[#This Row],[Rate_Code_Generalized]],Lookups!A:A,Lookups!B:B))*Pipeline_tbl[[#This Row],[Pipeline_Amount_USD]]</f>
        <v>49331.75</v>
      </c>
      <c r="O3877" t="str">
        <f>_xlfn.XLOOKUP(Pipeline_tbl[[#This Row],[Rep_ID]],Dim_Reps!A:A,Dim_Reps!B:B)</f>
        <v>Lea Petrov</v>
      </c>
      <c r="P3877" t="str">
        <f>_xlfn.XLOOKUP(Pipeline_tbl[[#This Row],[Rep_ID]],Dim_Reps!A:A,Dim_Reps!C:C)</f>
        <v>SDR / Inside Sales Rep</v>
      </c>
      <c r="Q3877" t="str">
        <f>_xlfn.XLOOKUP(Pipeline_tbl[[#This Row],[Rep_ID]],Dim_Reps!A:A,Dim_Reps!D:D)</f>
        <v>Inside Sales</v>
      </c>
      <c r="R3877" t="str">
        <f>_xlfn.XLOOKUP(Pipeline_tbl[[#This Row],[Rep_ID]],Dim_Reps!A:A,Dim_Reps!E:E)</f>
        <v>LATAM</v>
      </c>
      <c r="S3877" t="str">
        <f>_xlfn.XLOOKUP(Pipeline_tbl[[#This Row],[Created_Date]],Dim_Date!A:A,Dim_Date!H:H)</f>
        <v>Jul 2025</v>
      </c>
      <c r="T3877" t="str">
        <f>IF(Pipeline_tbl[[#This Row],[Closed_Date]]=0,"",(_xlfn.XLOOKUP(Pipeline_tbl[[#This Row],[Closed_Date]],Dim_Date!A:A,Dim_Date!H:H)))</f>
        <v>Jul 2025</v>
      </c>
      <c r="U3877">
        <f>IF(Pipeline_tbl[[#This Row],[Closed_Date]]=0,"",Pipeline_tbl[[#This Row],[Closed_Date]]-Pipeline_tbl[[#This Row],[Created_Date]])</f>
        <v>19</v>
      </c>
    </row>
    <row r="3878" spans="1:21" ht="15" customHeight="1" x14ac:dyDescent="0.2">
      <c r="A3878" t="s">
        <v>4184</v>
      </c>
      <c r="B3878" t="s">
        <v>261</v>
      </c>
      <c r="C3878" t="s">
        <v>55</v>
      </c>
      <c r="D3878" s="49">
        <v>45840</v>
      </c>
      <c r="E3878" s="49">
        <v>45841</v>
      </c>
      <c r="F3878" s="49">
        <v>45844</v>
      </c>
      <c r="G3878" s="49">
        <v>45848</v>
      </c>
      <c r="H3878" s="49">
        <v>45851</v>
      </c>
      <c r="I3878" s="49">
        <v>45853</v>
      </c>
      <c r="J3878" t="s">
        <v>49</v>
      </c>
      <c r="K3878" s="33">
        <v>4900</v>
      </c>
      <c r="L3878" t="s">
        <v>61</v>
      </c>
      <c r="M3878" t="str">
        <f>_xlfn.XLOOKUP(Pipeline_tbl[[#This Row],[Rep_ID]],Dim_Reps!A:A,Dim_Reps!K:K)</f>
        <v>USD</v>
      </c>
      <c r="N3878" s="33">
        <f>(_xlfn.XLOOKUP(Pipeline_tbl[[#This Row],[Rate_Code_Generalized]],Lookups!A:A,Lookups!B:B))*Pipeline_tbl[[#This Row],[Pipeline_Amount_USD]]</f>
        <v>5705.07</v>
      </c>
      <c r="O3878" t="str">
        <f>_xlfn.XLOOKUP(Pipeline_tbl[[#This Row],[Rep_ID]],Dim_Reps!A:A,Dim_Reps!B:B)</f>
        <v>Morgan Larsen</v>
      </c>
      <c r="P3878" t="str">
        <f>_xlfn.XLOOKUP(Pipeline_tbl[[#This Row],[Rep_ID]],Dim_Reps!A:A,Dim_Reps!C:C)</f>
        <v>Mid-Market AE</v>
      </c>
      <c r="Q3878" t="str">
        <f>_xlfn.XLOOKUP(Pipeline_tbl[[#This Row],[Rep_ID]],Dim_Reps!A:A,Dim_Reps!D:D)</f>
        <v>Mid-Market</v>
      </c>
      <c r="R3878" t="str">
        <f>_xlfn.XLOOKUP(Pipeline_tbl[[#This Row],[Rep_ID]],Dim_Reps!A:A,Dim_Reps!E:E)</f>
        <v>NAMER</v>
      </c>
      <c r="S3878" t="str">
        <f>_xlfn.XLOOKUP(Pipeline_tbl[[#This Row],[Created_Date]],Dim_Date!A:A,Dim_Date!H:H)</f>
        <v>Jul 2025</v>
      </c>
      <c r="T3878" t="str">
        <f>IF(Pipeline_tbl[[#This Row],[Closed_Date]]=0,"",(_xlfn.XLOOKUP(Pipeline_tbl[[#This Row],[Closed_Date]],Dim_Date!A:A,Dim_Date!H:H)))</f>
        <v>Jul 2025</v>
      </c>
      <c r="U3878">
        <f>IF(Pipeline_tbl[[#This Row],[Closed_Date]]=0,"",Pipeline_tbl[[#This Row],[Closed_Date]]-Pipeline_tbl[[#This Row],[Created_Date]])</f>
        <v>13</v>
      </c>
    </row>
    <row r="3879" spans="1:21" ht="15" customHeight="1" x14ac:dyDescent="0.2">
      <c r="A3879" t="s">
        <v>4185</v>
      </c>
      <c r="B3879" t="s">
        <v>225</v>
      </c>
      <c r="C3879" t="s">
        <v>52</v>
      </c>
      <c r="D3879" s="49">
        <v>45851</v>
      </c>
      <c r="E3879" s="49">
        <v>45852</v>
      </c>
      <c r="F3879" s="49">
        <v>45853</v>
      </c>
      <c r="G3879" s="49">
        <v>45856</v>
      </c>
      <c r="H3879" s="49">
        <v>45858</v>
      </c>
      <c r="I3879" s="49">
        <v>45859</v>
      </c>
      <c r="J3879" t="s">
        <v>47</v>
      </c>
      <c r="K3879" s="33">
        <v>8000</v>
      </c>
      <c r="M3879" t="str">
        <f>_xlfn.XLOOKUP(Pipeline_tbl[[#This Row],[Rep_ID]],Dim_Reps!A:A,Dim_Reps!K:K)</f>
        <v>USD</v>
      </c>
      <c r="N3879" s="33">
        <f>(_xlfn.XLOOKUP(Pipeline_tbl[[#This Row],[Rate_Code_Generalized]],Lookups!A:A,Lookups!B:B))*Pipeline_tbl[[#This Row],[Pipeline_Amount_USD]]</f>
        <v>9314.4</v>
      </c>
      <c r="O3879" t="str">
        <f>_xlfn.XLOOKUP(Pipeline_tbl[[#This Row],[Rep_ID]],Dim_Reps!A:A,Dim_Reps!B:B)</f>
        <v>Alex Muller</v>
      </c>
      <c r="P3879" t="str">
        <f>_xlfn.XLOOKUP(Pipeline_tbl[[#This Row],[Rep_ID]],Dim_Reps!A:A,Dim_Reps!C:C)</f>
        <v>SDR / Inside Sales Rep</v>
      </c>
      <c r="Q3879" t="str">
        <f>_xlfn.XLOOKUP(Pipeline_tbl[[#This Row],[Rep_ID]],Dim_Reps!A:A,Dim_Reps!D:D)</f>
        <v>Inside Sales</v>
      </c>
      <c r="R3879" t="str">
        <f>_xlfn.XLOOKUP(Pipeline_tbl[[#This Row],[Rep_ID]],Dim_Reps!A:A,Dim_Reps!E:E)</f>
        <v>NAMER</v>
      </c>
      <c r="S3879" t="str">
        <f>_xlfn.XLOOKUP(Pipeline_tbl[[#This Row],[Created_Date]],Dim_Date!A:A,Dim_Date!H:H)</f>
        <v>Jul 2025</v>
      </c>
      <c r="T3879" t="str">
        <f>IF(Pipeline_tbl[[#This Row],[Closed_Date]]=0,"",(_xlfn.XLOOKUP(Pipeline_tbl[[#This Row],[Closed_Date]],Dim_Date!A:A,Dim_Date!H:H)))</f>
        <v>Jul 2025</v>
      </c>
      <c r="U3879">
        <f>IF(Pipeline_tbl[[#This Row],[Closed_Date]]=0,"",Pipeline_tbl[[#This Row],[Closed_Date]]-Pipeline_tbl[[#This Row],[Created_Date]])</f>
        <v>8</v>
      </c>
    </row>
    <row r="3880" spans="1:21" ht="15" customHeight="1" x14ac:dyDescent="0.2">
      <c r="A3880" t="s">
        <v>4186</v>
      </c>
      <c r="B3880" t="s">
        <v>225</v>
      </c>
      <c r="C3880" t="s">
        <v>52</v>
      </c>
      <c r="D3880" s="49">
        <v>45847</v>
      </c>
      <c r="E3880" s="49">
        <v>45848</v>
      </c>
      <c r="F3880" s="49">
        <v>45849</v>
      </c>
      <c r="G3880" s="49">
        <v>45851</v>
      </c>
      <c r="H3880" s="49">
        <v>45852</v>
      </c>
      <c r="I3880" s="49">
        <v>45853</v>
      </c>
      <c r="J3880" t="s">
        <v>49</v>
      </c>
      <c r="K3880" s="33">
        <v>2700</v>
      </c>
      <c r="L3880" t="s">
        <v>62</v>
      </c>
      <c r="M3880" t="str">
        <f>_xlfn.XLOOKUP(Pipeline_tbl[[#This Row],[Rep_ID]],Dim_Reps!A:A,Dim_Reps!K:K)</f>
        <v>USD</v>
      </c>
      <c r="N3880" s="33">
        <f>(_xlfn.XLOOKUP(Pipeline_tbl[[#This Row],[Rate_Code_Generalized]],Lookups!A:A,Lookups!B:B))*Pipeline_tbl[[#This Row],[Pipeline_Amount_USD]]</f>
        <v>3143.6099999999997</v>
      </c>
      <c r="O3880" t="str">
        <f>_xlfn.XLOOKUP(Pipeline_tbl[[#This Row],[Rep_ID]],Dim_Reps!A:A,Dim_Reps!B:B)</f>
        <v>Alex Muller</v>
      </c>
      <c r="P3880" t="str">
        <f>_xlfn.XLOOKUP(Pipeline_tbl[[#This Row],[Rep_ID]],Dim_Reps!A:A,Dim_Reps!C:C)</f>
        <v>SDR / Inside Sales Rep</v>
      </c>
      <c r="Q3880" t="str">
        <f>_xlfn.XLOOKUP(Pipeline_tbl[[#This Row],[Rep_ID]],Dim_Reps!A:A,Dim_Reps!D:D)</f>
        <v>Inside Sales</v>
      </c>
      <c r="R3880" t="str">
        <f>_xlfn.XLOOKUP(Pipeline_tbl[[#This Row],[Rep_ID]],Dim_Reps!A:A,Dim_Reps!E:E)</f>
        <v>NAMER</v>
      </c>
      <c r="S3880" t="str">
        <f>_xlfn.XLOOKUP(Pipeline_tbl[[#This Row],[Created_Date]],Dim_Date!A:A,Dim_Date!H:H)</f>
        <v>Jul 2025</v>
      </c>
      <c r="T3880" t="str">
        <f>IF(Pipeline_tbl[[#This Row],[Closed_Date]]=0,"",(_xlfn.XLOOKUP(Pipeline_tbl[[#This Row],[Closed_Date]],Dim_Date!A:A,Dim_Date!H:H)))</f>
        <v>Jul 2025</v>
      </c>
      <c r="U3880">
        <f>IF(Pipeline_tbl[[#This Row],[Closed_Date]]=0,"",Pipeline_tbl[[#This Row],[Closed_Date]]-Pipeline_tbl[[#This Row],[Created_Date]])</f>
        <v>6</v>
      </c>
    </row>
    <row r="3881" spans="1:21" ht="15" customHeight="1" x14ac:dyDescent="0.2">
      <c r="A3881" t="s">
        <v>4187</v>
      </c>
      <c r="B3881" t="s">
        <v>225</v>
      </c>
      <c r="C3881" t="s">
        <v>52</v>
      </c>
      <c r="D3881" s="49">
        <v>45842</v>
      </c>
      <c r="E3881" s="49">
        <v>45844</v>
      </c>
      <c r="F3881" s="49">
        <v>45848</v>
      </c>
      <c r="G3881" s="49">
        <v>45854</v>
      </c>
      <c r="H3881" s="49">
        <v>45859</v>
      </c>
      <c r="I3881" s="49">
        <v>45862</v>
      </c>
      <c r="J3881" t="s">
        <v>47</v>
      </c>
      <c r="K3881" s="33">
        <v>4400</v>
      </c>
      <c r="M3881" t="str">
        <f>_xlfn.XLOOKUP(Pipeline_tbl[[#This Row],[Rep_ID]],Dim_Reps!A:A,Dim_Reps!K:K)</f>
        <v>USD</v>
      </c>
      <c r="N3881" s="33">
        <f>(_xlfn.XLOOKUP(Pipeline_tbl[[#This Row],[Rate_Code_Generalized]],Lookups!A:A,Lookups!B:B))*Pipeline_tbl[[#This Row],[Pipeline_Amount_USD]]</f>
        <v>5122.9199999999992</v>
      </c>
      <c r="O3881" t="str">
        <f>_xlfn.XLOOKUP(Pipeline_tbl[[#This Row],[Rep_ID]],Dim_Reps!A:A,Dim_Reps!B:B)</f>
        <v>Alex Muller</v>
      </c>
      <c r="P3881" t="str">
        <f>_xlfn.XLOOKUP(Pipeline_tbl[[#This Row],[Rep_ID]],Dim_Reps!A:A,Dim_Reps!C:C)</f>
        <v>SDR / Inside Sales Rep</v>
      </c>
      <c r="Q3881" t="str">
        <f>_xlfn.XLOOKUP(Pipeline_tbl[[#This Row],[Rep_ID]],Dim_Reps!A:A,Dim_Reps!D:D)</f>
        <v>Inside Sales</v>
      </c>
      <c r="R3881" t="str">
        <f>_xlfn.XLOOKUP(Pipeline_tbl[[#This Row],[Rep_ID]],Dim_Reps!A:A,Dim_Reps!E:E)</f>
        <v>NAMER</v>
      </c>
      <c r="S3881" t="str">
        <f>_xlfn.XLOOKUP(Pipeline_tbl[[#This Row],[Created_Date]],Dim_Date!A:A,Dim_Date!H:H)</f>
        <v>Jul 2025</v>
      </c>
      <c r="T3881" t="str">
        <f>IF(Pipeline_tbl[[#This Row],[Closed_Date]]=0,"",(_xlfn.XLOOKUP(Pipeline_tbl[[#This Row],[Closed_Date]],Dim_Date!A:A,Dim_Date!H:H)))</f>
        <v>Jul 2025</v>
      </c>
      <c r="U3881">
        <f>IF(Pipeline_tbl[[#This Row],[Closed_Date]]=0,"",Pipeline_tbl[[#This Row],[Closed_Date]]-Pipeline_tbl[[#This Row],[Created_Date]])</f>
        <v>20</v>
      </c>
    </row>
    <row r="3882" spans="1:21" ht="15" customHeight="1" x14ac:dyDescent="0.2">
      <c r="A3882" t="s">
        <v>4188</v>
      </c>
      <c r="B3882" t="s">
        <v>227</v>
      </c>
      <c r="C3882" t="s">
        <v>52</v>
      </c>
      <c r="D3882" s="49">
        <v>45850</v>
      </c>
      <c r="E3882" s="49">
        <v>45851</v>
      </c>
      <c r="I3882" s="49">
        <v>45864</v>
      </c>
      <c r="J3882" t="s">
        <v>49</v>
      </c>
      <c r="K3882" s="33">
        <v>3500</v>
      </c>
      <c r="L3882" t="s">
        <v>61</v>
      </c>
      <c r="M3882" t="str">
        <f>_xlfn.XLOOKUP(Pipeline_tbl[[#This Row],[Rep_ID]],Dim_Reps!A:A,Dim_Reps!K:K)</f>
        <v>EUR</v>
      </c>
      <c r="N3882" s="33">
        <f>(_xlfn.XLOOKUP(Pipeline_tbl[[#This Row],[Rate_Code_Generalized]],Lookups!A:A,Lookups!B:B))*Pipeline_tbl[[#This Row],[Pipeline_Amount_USD]]</f>
        <v>3500</v>
      </c>
      <c r="O3882" t="str">
        <f>_xlfn.XLOOKUP(Pipeline_tbl[[#This Row],[Rep_ID]],Dim_Reps!A:A,Dim_Reps!B:B)</f>
        <v>Liam Muller</v>
      </c>
      <c r="P3882" t="str">
        <f>_xlfn.XLOOKUP(Pipeline_tbl[[#This Row],[Rep_ID]],Dim_Reps!A:A,Dim_Reps!C:C)</f>
        <v>SDR / Inside Sales Rep</v>
      </c>
      <c r="Q3882" t="str">
        <f>_xlfn.XLOOKUP(Pipeline_tbl[[#This Row],[Rep_ID]],Dim_Reps!A:A,Dim_Reps!D:D)</f>
        <v>Inside Sales</v>
      </c>
      <c r="R3882" t="str">
        <f>_xlfn.XLOOKUP(Pipeline_tbl[[#This Row],[Rep_ID]],Dim_Reps!A:A,Dim_Reps!E:E)</f>
        <v>EMEA</v>
      </c>
      <c r="S3882" t="str">
        <f>_xlfn.XLOOKUP(Pipeline_tbl[[#This Row],[Created_Date]],Dim_Date!A:A,Dim_Date!H:H)</f>
        <v>Jul 2025</v>
      </c>
      <c r="T3882" t="str">
        <f>IF(Pipeline_tbl[[#This Row],[Closed_Date]]=0,"",(_xlfn.XLOOKUP(Pipeline_tbl[[#This Row],[Closed_Date]],Dim_Date!A:A,Dim_Date!H:H)))</f>
        <v>Jul 2025</v>
      </c>
      <c r="U3882">
        <f>IF(Pipeline_tbl[[#This Row],[Closed_Date]]=0,"",Pipeline_tbl[[#This Row],[Closed_Date]]-Pipeline_tbl[[#This Row],[Created_Date]])</f>
        <v>14</v>
      </c>
    </row>
    <row r="3883" spans="1:21" ht="15" customHeight="1" x14ac:dyDescent="0.2">
      <c r="A3883" t="s">
        <v>4189</v>
      </c>
      <c r="B3883" t="s">
        <v>227</v>
      </c>
      <c r="C3883" t="s">
        <v>52</v>
      </c>
      <c r="D3883" s="49">
        <v>45843</v>
      </c>
      <c r="E3883" s="49">
        <v>45845</v>
      </c>
      <c r="I3883" s="49">
        <v>45864</v>
      </c>
      <c r="J3883" t="s">
        <v>49</v>
      </c>
      <c r="K3883" s="33">
        <v>1700</v>
      </c>
      <c r="L3883" t="s">
        <v>61</v>
      </c>
      <c r="M3883" t="str">
        <f>_xlfn.XLOOKUP(Pipeline_tbl[[#This Row],[Rep_ID]],Dim_Reps!A:A,Dim_Reps!K:K)</f>
        <v>EUR</v>
      </c>
      <c r="N3883" s="33">
        <f>(_xlfn.XLOOKUP(Pipeline_tbl[[#This Row],[Rate_Code_Generalized]],Lookups!A:A,Lookups!B:B))*Pipeline_tbl[[#This Row],[Pipeline_Amount_USD]]</f>
        <v>1700</v>
      </c>
      <c r="O3883" t="str">
        <f>_xlfn.XLOOKUP(Pipeline_tbl[[#This Row],[Rep_ID]],Dim_Reps!A:A,Dim_Reps!B:B)</f>
        <v>Liam Muller</v>
      </c>
      <c r="P3883" t="str">
        <f>_xlfn.XLOOKUP(Pipeline_tbl[[#This Row],[Rep_ID]],Dim_Reps!A:A,Dim_Reps!C:C)</f>
        <v>SDR / Inside Sales Rep</v>
      </c>
      <c r="Q3883" t="str">
        <f>_xlfn.XLOOKUP(Pipeline_tbl[[#This Row],[Rep_ID]],Dim_Reps!A:A,Dim_Reps!D:D)</f>
        <v>Inside Sales</v>
      </c>
      <c r="R3883" t="str">
        <f>_xlfn.XLOOKUP(Pipeline_tbl[[#This Row],[Rep_ID]],Dim_Reps!A:A,Dim_Reps!E:E)</f>
        <v>EMEA</v>
      </c>
      <c r="S3883" t="str">
        <f>_xlfn.XLOOKUP(Pipeline_tbl[[#This Row],[Created_Date]],Dim_Date!A:A,Dim_Date!H:H)</f>
        <v>Jul 2025</v>
      </c>
      <c r="T3883" t="str">
        <f>IF(Pipeline_tbl[[#This Row],[Closed_Date]]=0,"",(_xlfn.XLOOKUP(Pipeline_tbl[[#This Row],[Closed_Date]],Dim_Date!A:A,Dim_Date!H:H)))</f>
        <v>Jul 2025</v>
      </c>
      <c r="U3883">
        <f>IF(Pipeline_tbl[[#This Row],[Closed_Date]]=0,"",Pipeline_tbl[[#This Row],[Closed_Date]]-Pipeline_tbl[[#This Row],[Created_Date]])</f>
        <v>21</v>
      </c>
    </row>
    <row r="3884" spans="1:21" ht="15" customHeight="1" x14ac:dyDescent="0.2">
      <c r="A3884" t="s">
        <v>4190</v>
      </c>
      <c r="B3884" t="s">
        <v>227</v>
      </c>
      <c r="C3884" t="s">
        <v>52</v>
      </c>
      <c r="D3884" s="49">
        <v>45851</v>
      </c>
      <c r="E3884" s="49">
        <v>45852</v>
      </c>
      <c r="F3884" s="49">
        <v>45855</v>
      </c>
      <c r="G3884" s="49">
        <v>45858</v>
      </c>
      <c r="I3884" s="49">
        <v>45863</v>
      </c>
      <c r="J3884" t="s">
        <v>49</v>
      </c>
      <c r="K3884" s="33">
        <v>4600</v>
      </c>
      <c r="L3884" t="s">
        <v>62</v>
      </c>
      <c r="M3884" t="str">
        <f>_xlfn.XLOOKUP(Pipeline_tbl[[#This Row],[Rep_ID]],Dim_Reps!A:A,Dim_Reps!K:K)</f>
        <v>EUR</v>
      </c>
      <c r="N3884" s="33">
        <f>(_xlfn.XLOOKUP(Pipeline_tbl[[#This Row],[Rate_Code_Generalized]],Lookups!A:A,Lookups!B:B))*Pipeline_tbl[[#This Row],[Pipeline_Amount_USD]]</f>
        <v>4600</v>
      </c>
      <c r="O3884" t="str">
        <f>_xlfn.XLOOKUP(Pipeline_tbl[[#This Row],[Rep_ID]],Dim_Reps!A:A,Dim_Reps!B:B)</f>
        <v>Liam Muller</v>
      </c>
      <c r="P3884" t="str">
        <f>_xlfn.XLOOKUP(Pipeline_tbl[[#This Row],[Rep_ID]],Dim_Reps!A:A,Dim_Reps!C:C)</f>
        <v>SDR / Inside Sales Rep</v>
      </c>
      <c r="Q3884" t="str">
        <f>_xlfn.XLOOKUP(Pipeline_tbl[[#This Row],[Rep_ID]],Dim_Reps!A:A,Dim_Reps!D:D)</f>
        <v>Inside Sales</v>
      </c>
      <c r="R3884" t="str">
        <f>_xlfn.XLOOKUP(Pipeline_tbl[[#This Row],[Rep_ID]],Dim_Reps!A:A,Dim_Reps!E:E)</f>
        <v>EMEA</v>
      </c>
      <c r="S3884" t="str">
        <f>_xlfn.XLOOKUP(Pipeline_tbl[[#This Row],[Created_Date]],Dim_Date!A:A,Dim_Date!H:H)</f>
        <v>Jul 2025</v>
      </c>
      <c r="T3884" t="str">
        <f>IF(Pipeline_tbl[[#This Row],[Closed_Date]]=0,"",(_xlfn.XLOOKUP(Pipeline_tbl[[#This Row],[Closed_Date]],Dim_Date!A:A,Dim_Date!H:H)))</f>
        <v>Jul 2025</v>
      </c>
      <c r="U3884">
        <f>IF(Pipeline_tbl[[#This Row],[Closed_Date]]=0,"",Pipeline_tbl[[#This Row],[Closed_Date]]-Pipeline_tbl[[#This Row],[Created_Date]])</f>
        <v>12</v>
      </c>
    </row>
    <row r="3885" spans="1:21" ht="15" customHeight="1" x14ac:dyDescent="0.2">
      <c r="A3885" t="s">
        <v>4191</v>
      </c>
      <c r="B3885" t="s">
        <v>227</v>
      </c>
      <c r="C3885" t="s">
        <v>55</v>
      </c>
      <c r="D3885" s="49">
        <v>45852</v>
      </c>
      <c r="E3885" s="49">
        <v>45853</v>
      </c>
      <c r="I3885" s="49">
        <v>45863</v>
      </c>
      <c r="J3885" t="s">
        <v>49</v>
      </c>
      <c r="K3885" s="33">
        <v>1600</v>
      </c>
      <c r="L3885" t="s">
        <v>60</v>
      </c>
      <c r="M3885" t="str">
        <f>_xlfn.XLOOKUP(Pipeline_tbl[[#This Row],[Rep_ID]],Dim_Reps!A:A,Dim_Reps!K:K)</f>
        <v>EUR</v>
      </c>
      <c r="N3885" s="33">
        <f>(_xlfn.XLOOKUP(Pipeline_tbl[[#This Row],[Rate_Code_Generalized]],Lookups!A:A,Lookups!B:B))*Pipeline_tbl[[#This Row],[Pipeline_Amount_USD]]</f>
        <v>1600</v>
      </c>
      <c r="O3885" t="str">
        <f>_xlfn.XLOOKUP(Pipeline_tbl[[#This Row],[Rep_ID]],Dim_Reps!A:A,Dim_Reps!B:B)</f>
        <v>Liam Muller</v>
      </c>
      <c r="P3885" t="str">
        <f>_xlfn.XLOOKUP(Pipeline_tbl[[#This Row],[Rep_ID]],Dim_Reps!A:A,Dim_Reps!C:C)</f>
        <v>SDR / Inside Sales Rep</v>
      </c>
      <c r="Q3885" t="str">
        <f>_xlfn.XLOOKUP(Pipeline_tbl[[#This Row],[Rep_ID]],Dim_Reps!A:A,Dim_Reps!D:D)</f>
        <v>Inside Sales</v>
      </c>
      <c r="R3885" t="str">
        <f>_xlfn.XLOOKUP(Pipeline_tbl[[#This Row],[Rep_ID]],Dim_Reps!A:A,Dim_Reps!E:E)</f>
        <v>EMEA</v>
      </c>
      <c r="S3885" t="str">
        <f>_xlfn.XLOOKUP(Pipeline_tbl[[#This Row],[Created_Date]],Dim_Date!A:A,Dim_Date!H:H)</f>
        <v>Jul 2025</v>
      </c>
      <c r="T3885" t="str">
        <f>IF(Pipeline_tbl[[#This Row],[Closed_Date]]=0,"",(_xlfn.XLOOKUP(Pipeline_tbl[[#This Row],[Closed_Date]],Dim_Date!A:A,Dim_Date!H:H)))</f>
        <v>Jul 2025</v>
      </c>
      <c r="U3885">
        <f>IF(Pipeline_tbl[[#This Row],[Closed_Date]]=0,"",Pipeline_tbl[[#This Row],[Closed_Date]]-Pipeline_tbl[[#This Row],[Created_Date]])</f>
        <v>11</v>
      </c>
    </row>
    <row r="3886" spans="1:21" ht="15" customHeight="1" x14ac:dyDescent="0.2">
      <c r="A3886" t="s">
        <v>4192</v>
      </c>
      <c r="B3886" t="s">
        <v>227</v>
      </c>
      <c r="C3886" t="s">
        <v>54</v>
      </c>
      <c r="D3886" s="49">
        <v>45843</v>
      </c>
      <c r="E3886" s="49">
        <v>45844</v>
      </c>
      <c r="F3886" s="49">
        <v>45847</v>
      </c>
      <c r="G3886" s="49">
        <v>45851</v>
      </c>
      <c r="H3886" s="49">
        <v>45854</v>
      </c>
      <c r="I3886" s="49">
        <v>45856</v>
      </c>
      <c r="J3886" t="s">
        <v>47</v>
      </c>
      <c r="K3886" s="33">
        <v>2200</v>
      </c>
      <c r="M3886" t="str">
        <f>_xlfn.XLOOKUP(Pipeline_tbl[[#This Row],[Rep_ID]],Dim_Reps!A:A,Dim_Reps!K:K)</f>
        <v>EUR</v>
      </c>
      <c r="N3886" s="33">
        <f>(_xlfn.XLOOKUP(Pipeline_tbl[[#This Row],[Rate_Code_Generalized]],Lookups!A:A,Lookups!B:B))*Pipeline_tbl[[#This Row],[Pipeline_Amount_USD]]</f>
        <v>2200</v>
      </c>
      <c r="O3886" t="str">
        <f>_xlfn.XLOOKUP(Pipeline_tbl[[#This Row],[Rep_ID]],Dim_Reps!A:A,Dim_Reps!B:B)</f>
        <v>Liam Muller</v>
      </c>
      <c r="P3886" t="str">
        <f>_xlfn.XLOOKUP(Pipeline_tbl[[#This Row],[Rep_ID]],Dim_Reps!A:A,Dim_Reps!C:C)</f>
        <v>SDR / Inside Sales Rep</v>
      </c>
      <c r="Q3886" t="str">
        <f>_xlfn.XLOOKUP(Pipeline_tbl[[#This Row],[Rep_ID]],Dim_Reps!A:A,Dim_Reps!D:D)</f>
        <v>Inside Sales</v>
      </c>
      <c r="R3886" t="str">
        <f>_xlfn.XLOOKUP(Pipeline_tbl[[#This Row],[Rep_ID]],Dim_Reps!A:A,Dim_Reps!E:E)</f>
        <v>EMEA</v>
      </c>
      <c r="S3886" t="str">
        <f>_xlfn.XLOOKUP(Pipeline_tbl[[#This Row],[Created_Date]],Dim_Date!A:A,Dim_Date!H:H)</f>
        <v>Jul 2025</v>
      </c>
      <c r="T3886" t="str">
        <f>IF(Pipeline_tbl[[#This Row],[Closed_Date]]=0,"",(_xlfn.XLOOKUP(Pipeline_tbl[[#This Row],[Closed_Date]],Dim_Date!A:A,Dim_Date!H:H)))</f>
        <v>Jul 2025</v>
      </c>
      <c r="U3886">
        <f>IF(Pipeline_tbl[[#This Row],[Closed_Date]]=0,"",Pipeline_tbl[[#This Row],[Closed_Date]]-Pipeline_tbl[[#This Row],[Created_Date]])</f>
        <v>13</v>
      </c>
    </row>
    <row r="3887" spans="1:21" ht="15" customHeight="1" x14ac:dyDescent="0.2">
      <c r="A3887" t="s">
        <v>4193</v>
      </c>
      <c r="B3887" t="s">
        <v>229</v>
      </c>
      <c r="C3887" t="s">
        <v>54</v>
      </c>
      <c r="D3887" s="49">
        <v>45840</v>
      </c>
      <c r="E3887" s="49">
        <v>45843</v>
      </c>
      <c r="F3887" s="49">
        <v>45848</v>
      </c>
      <c r="G3887" s="49">
        <v>45856</v>
      </c>
      <c r="H3887" s="49">
        <v>45862</v>
      </c>
      <c r="I3887" s="49">
        <v>45866</v>
      </c>
      <c r="J3887" t="s">
        <v>47</v>
      </c>
      <c r="K3887" s="33">
        <v>4500</v>
      </c>
      <c r="M3887" t="str">
        <f>_xlfn.XLOOKUP(Pipeline_tbl[[#This Row],[Rep_ID]],Dim_Reps!A:A,Dim_Reps!K:K)</f>
        <v>USD</v>
      </c>
      <c r="N3887" s="33">
        <f>(_xlfn.XLOOKUP(Pipeline_tbl[[#This Row],[Rate_Code_Generalized]],Lookups!A:A,Lookups!B:B))*Pipeline_tbl[[#This Row],[Pipeline_Amount_USD]]</f>
        <v>5239.3499999999995</v>
      </c>
      <c r="O3887" t="str">
        <f>_xlfn.XLOOKUP(Pipeline_tbl[[#This Row],[Rep_ID]],Dim_Reps!A:A,Dim_Reps!B:B)</f>
        <v>Liam Castro</v>
      </c>
      <c r="P3887" t="str">
        <f>_xlfn.XLOOKUP(Pipeline_tbl[[#This Row],[Rep_ID]],Dim_Reps!A:A,Dim_Reps!C:C)</f>
        <v>SDR / Inside Sales Rep</v>
      </c>
      <c r="Q3887" t="str">
        <f>_xlfn.XLOOKUP(Pipeline_tbl[[#This Row],[Rep_ID]],Dim_Reps!A:A,Dim_Reps!D:D)</f>
        <v>Inside Sales</v>
      </c>
      <c r="R3887" t="str">
        <f>_xlfn.XLOOKUP(Pipeline_tbl[[#This Row],[Rep_ID]],Dim_Reps!A:A,Dim_Reps!E:E)</f>
        <v>NAMER</v>
      </c>
      <c r="S3887" t="str">
        <f>_xlfn.XLOOKUP(Pipeline_tbl[[#This Row],[Created_Date]],Dim_Date!A:A,Dim_Date!H:H)</f>
        <v>Jul 2025</v>
      </c>
      <c r="T3887" t="str">
        <f>IF(Pipeline_tbl[[#This Row],[Closed_Date]]=0,"",(_xlfn.XLOOKUP(Pipeline_tbl[[#This Row],[Closed_Date]],Dim_Date!A:A,Dim_Date!H:H)))</f>
        <v>Jul 2025</v>
      </c>
      <c r="U3887">
        <f>IF(Pipeline_tbl[[#This Row],[Closed_Date]]=0,"",Pipeline_tbl[[#This Row],[Closed_Date]]-Pipeline_tbl[[#This Row],[Created_Date]])</f>
        <v>26</v>
      </c>
    </row>
    <row r="3888" spans="1:21" ht="15" customHeight="1" x14ac:dyDescent="0.2">
      <c r="A3888" t="s">
        <v>4194</v>
      </c>
      <c r="B3888" t="s">
        <v>229</v>
      </c>
      <c r="C3888" t="s">
        <v>53</v>
      </c>
      <c r="D3888" s="49">
        <v>45848</v>
      </c>
      <c r="E3888" s="49">
        <v>45850</v>
      </c>
      <c r="F3888" s="49">
        <v>45853</v>
      </c>
      <c r="G3888" s="49">
        <v>45858</v>
      </c>
      <c r="H3888" s="49">
        <v>45862</v>
      </c>
      <c r="I3888" s="49">
        <v>45864</v>
      </c>
      <c r="J3888" t="s">
        <v>49</v>
      </c>
      <c r="K3888" s="33">
        <v>4200</v>
      </c>
      <c r="L3888" t="s">
        <v>61</v>
      </c>
      <c r="M3888" t="str">
        <f>_xlfn.XLOOKUP(Pipeline_tbl[[#This Row],[Rep_ID]],Dim_Reps!A:A,Dim_Reps!K:K)</f>
        <v>USD</v>
      </c>
      <c r="N3888" s="33">
        <f>(_xlfn.XLOOKUP(Pipeline_tbl[[#This Row],[Rate_Code_Generalized]],Lookups!A:A,Lookups!B:B))*Pipeline_tbl[[#This Row],[Pipeline_Amount_USD]]</f>
        <v>4890.0599999999995</v>
      </c>
      <c r="O3888" t="str">
        <f>_xlfn.XLOOKUP(Pipeline_tbl[[#This Row],[Rep_ID]],Dim_Reps!A:A,Dim_Reps!B:B)</f>
        <v>Liam Castro</v>
      </c>
      <c r="P3888" t="str">
        <f>_xlfn.XLOOKUP(Pipeline_tbl[[#This Row],[Rep_ID]],Dim_Reps!A:A,Dim_Reps!C:C)</f>
        <v>SDR / Inside Sales Rep</v>
      </c>
      <c r="Q3888" t="str">
        <f>_xlfn.XLOOKUP(Pipeline_tbl[[#This Row],[Rep_ID]],Dim_Reps!A:A,Dim_Reps!D:D)</f>
        <v>Inside Sales</v>
      </c>
      <c r="R3888" t="str">
        <f>_xlfn.XLOOKUP(Pipeline_tbl[[#This Row],[Rep_ID]],Dim_Reps!A:A,Dim_Reps!E:E)</f>
        <v>NAMER</v>
      </c>
      <c r="S3888" t="str">
        <f>_xlfn.XLOOKUP(Pipeline_tbl[[#This Row],[Created_Date]],Dim_Date!A:A,Dim_Date!H:H)</f>
        <v>Jul 2025</v>
      </c>
      <c r="T3888" t="str">
        <f>IF(Pipeline_tbl[[#This Row],[Closed_Date]]=0,"",(_xlfn.XLOOKUP(Pipeline_tbl[[#This Row],[Closed_Date]],Dim_Date!A:A,Dim_Date!H:H)))</f>
        <v>Jul 2025</v>
      </c>
      <c r="U3888">
        <f>IF(Pipeline_tbl[[#This Row],[Closed_Date]]=0,"",Pipeline_tbl[[#This Row],[Closed_Date]]-Pipeline_tbl[[#This Row],[Created_Date]])</f>
        <v>16</v>
      </c>
    </row>
    <row r="3889" spans="1:21" ht="15" customHeight="1" x14ac:dyDescent="0.2">
      <c r="A3889" t="s">
        <v>4195</v>
      </c>
      <c r="B3889" t="s">
        <v>231</v>
      </c>
      <c r="C3889" t="s">
        <v>52</v>
      </c>
      <c r="D3889" s="49">
        <v>45849</v>
      </c>
      <c r="E3889" s="49">
        <v>45851</v>
      </c>
      <c r="F3889" s="49">
        <v>45854</v>
      </c>
      <c r="I3889" s="49">
        <v>45866</v>
      </c>
      <c r="J3889" t="s">
        <v>49</v>
      </c>
      <c r="K3889" s="33">
        <v>4100</v>
      </c>
      <c r="L3889" t="s">
        <v>60</v>
      </c>
      <c r="M3889" t="str">
        <f>_xlfn.XLOOKUP(Pipeline_tbl[[#This Row],[Rep_ID]],Dim_Reps!A:A,Dim_Reps!K:K)</f>
        <v>MXN</v>
      </c>
      <c r="N3889" s="33">
        <f>(_xlfn.XLOOKUP(Pipeline_tbl[[#This Row],[Rate_Code_Generalized]],Lookups!A:A,Lookups!B:B))*Pipeline_tbl[[#This Row],[Pipeline_Amount_USD]]</f>
        <v>80904.070000000007</v>
      </c>
      <c r="O3889" t="str">
        <f>_xlfn.XLOOKUP(Pipeline_tbl[[#This Row],[Rep_ID]],Dim_Reps!A:A,Dim_Reps!B:B)</f>
        <v>Ben Silva</v>
      </c>
      <c r="P3889" t="str">
        <f>_xlfn.XLOOKUP(Pipeline_tbl[[#This Row],[Rep_ID]],Dim_Reps!A:A,Dim_Reps!C:C)</f>
        <v>SDR / Inside Sales Rep</v>
      </c>
      <c r="Q3889" t="str">
        <f>_xlfn.XLOOKUP(Pipeline_tbl[[#This Row],[Rep_ID]],Dim_Reps!A:A,Dim_Reps!D:D)</f>
        <v>Inside Sales</v>
      </c>
      <c r="R3889" t="str">
        <f>_xlfn.XLOOKUP(Pipeline_tbl[[#This Row],[Rep_ID]],Dim_Reps!A:A,Dim_Reps!E:E)</f>
        <v>LATAM</v>
      </c>
      <c r="S3889" t="str">
        <f>_xlfn.XLOOKUP(Pipeline_tbl[[#This Row],[Created_Date]],Dim_Date!A:A,Dim_Date!H:H)</f>
        <v>Jul 2025</v>
      </c>
      <c r="T3889" t="str">
        <f>IF(Pipeline_tbl[[#This Row],[Closed_Date]]=0,"",(_xlfn.XLOOKUP(Pipeline_tbl[[#This Row],[Closed_Date]],Dim_Date!A:A,Dim_Date!H:H)))</f>
        <v>Jul 2025</v>
      </c>
      <c r="U3889">
        <f>IF(Pipeline_tbl[[#This Row],[Closed_Date]]=0,"",Pipeline_tbl[[#This Row],[Closed_Date]]-Pipeline_tbl[[#This Row],[Created_Date]])</f>
        <v>17</v>
      </c>
    </row>
    <row r="3890" spans="1:21" ht="15" customHeight="1" x14ac:dyDescent="0.2">
      <c r="A3890" t="s">
        <v>4196</v>
      </c>
      <c r="B3890" t="s">
        <v>231</v>
      </c>
      <c r="C3890" t="s">
        <v>52</v>
      </c>
      <c r="D3890" s="49">
        <v>45847</v>
      </c>
      <c r="E3890" s="49">
        <v>45848</v>
      </c>
      <c r="F3890" s="49">
        <v>45851</v>
      </c>
      <c r="G3890" s="49">
        <v>45854</v>
      </c>
      <c r="H3890" s="49">
        <v>45857</v>
      </c>
      <c r="I3890" s="49">
        <v>45859</v>
      </c>
      <c r="J3890" t="s">
        <v>47</v>
      </c>
      <c r="K3890" s="33">
        <v>2500</v>
      </c>
      <c r="M3890" t="str">
        <f>_xlfn.XLOOKUP(Pipeline_tbl[[#This Row],[Rep_ID]],Dim_Reps!A:A,Dim_Reps!K:K)</f>
        <v>MXN</v>
      </c>
      <c r="N3890" s="33">
        <f>(_xlfn.XLOOKUP(Pipeline_tbl[[#This Row],[Rate_Code_Generalized]],Lookups!A:A,Lookups!B:B))*Pipeline_tbl[[#This Row],[Pipeline_Amount_USD]]</f>
        <v>49331.75</v>
      </c>
      <c r="O3890" t="str">
        <f>_xlfn.XLOOKUP(Pipeline_tbl[[#This Row],[Rep_ID]],Dim_Reps!A:A,Dim_Reps!B:B)</f>
        <v>Ben Silva</v>
      </c>
      <c r="P3890" t="str">
        <f>_xlfn.XLOOKUP(Pipeline_tbl[[#This Row],[Rep_ID]],Dim_Reps!A:A,Dim_Reps!C:C)</f>
        <v>SDR / Inside Sales Rep</v>
      </c>
      <c r="Q3890" t="str">
        <f>_xlfn.XLOOKUP(Pipeline_tbl[[#This Row],[Rep_ID]],Dim_Reps!A:A,Dim_Reps!D:D)</f>
        <v>Inside Sales</v>
      </c>
      <c r="R3890" t="str">
        <f>_xlfn.XLOOKUP(Pipeline_tbl[[#This Row],[Rep_ID]],Dim_Reps!A:A,Dim_Reps!E:E)</f>
        <v>LATAM</v>
      </c>
      <c r="S3890" t="str">
        <f>_xlfn.XLOOKUP(Pipeline_tbl[[#This Row],[Created_Date]],Dim_Date!A:A,Dim_Date!H:H)</f>
        <v>Jul 2025</v>
      </c>
      <c r="T3890" t="str">
        <f>IF(Pipeline_tbl[[#This Row],[Closed_Date]]=0,"",(_xlfn.XLOOKUP(Pipeline_tbl[[#This Row],[Closed_Date]],Dim_Date!A:A,Dim_Date!H:H)))</f>
        <v>Jul 2025</v>
      </c>
      <c r="U3890">
        <f>IF(Pipeline_tbl[[#This Row],[Closed_Date]]=0,"",Pipeline_tbl[[#This Row],[Closed_Date]]-Pipeline_tbl[[#This Row],[Created_Date]])</f>
        <v>12</v>
      </c>
    </row>
    <row r="3891" spans="1:21" ht="15" customHeight="1" x14ac:dyDescent="0.2">
      <c r="A3891" t="s">
        <v>4197</v>
      </c>
      <c r="B3891" t="s">
        <v>231</v>
      </c>
      <c r="C3891" t="s">
        <v>52</v>
      </c>
      <c r="D3891" s="49">
        <v>45841</v>
      </c>
      <c r="E3891" s="49">
        <v>45843</v>
      </c>
      <c r="F3891" s="49">
        <v>45849</v>
      </c>
      <c r="G3891" s="49">
        <v>45856</v>
      </c>
      <c r="H3891" s="49">
        <v>45862</v>
      </c>
      <c r="I3891" s="49">
        <v>45866</v>
      </c>
      <c r="J3891" t="s">
        <v>49</v>
      </c>
      <c r="K3891" s="33">
        <v>2300</v>
      </c>
      <c r="L3891" t="s">
        <v>63</v>
      </c>
      <c r="M3891" t="str">
        <f>_xlfn.XLOOKUP(Pipeline_tbl[[#This Row],[Rep_ID]],Dim_Reps!A:A,Dim_Reps!K:K)</f>
        <v>MXN</v>
      </c>
      <c r="N3891" s="33">
        <f>(_xlfn.XLOOKUP(Pipeline_tbl[[#This Row],[Rate_Code_Generalized]],Lookups!A:A,Lookups!B:B))*Pipeline_tbl[[#This Row],[Pipeline_Amount_USD]]</f>
        <v>45385.210000000006</v>
      </c>
      <c r="O3891" t="str">
        <f>_xlfn.XLOOKUP(Pipeline_tbl[[#This Row],[Rep_ID]],Dim_Reps!A:A,Dim_Reps!B:B)</f>
        <v>Ben Silva</v>
      </c>
      <c r="P3891" t="str">
        <f>_xlfn.XLOOKUP(Pipeline_tbl[[#This Row],[Rep_ID]],Dim_Reps!A:A,Dim_Reps!C:C)</f>
        <v>SDR / Inside Sales Rep</v>
      </c>
      <c r="Q3891" t="str">
        <f>_xlfn.XLOOKUP(Pipeline_tbl[[#This Row],[Rep_ID]],Dim_Reps!A:A,Dim_Reps!D:D)</f>
        <v>Inside Sales</v>
      </c>
      <c r="R3891" t="str">
        <f>_xlfn.XLOOKUP(Pipeline_tbl[[#This Row],[Rep_ID]],Dim_Reps!A:A,Dim_Reps!E:E)</f>
        <v>LATAM</v>
      </c>
      <c r="S3891" t="str">
        <f>_xlfn.XLOOKUP(Pipeline_tbl[[#This Row],[Created_Date]],Dim_Date!A:A,Dim_Date!H:H)</f>
        <v>Jul 2025</v>
      </c>
      <c r="T3891" t="str">
        <f>IF(Pipeline_tbl[[#This Row],[Closed_Date]]=0,"",(_xlfn.XLOOKUP(Pipeline_tbl[[#This Row],[Closed_Date]],Dim_Date!A:A,Dim_Date!H:H)))</f>
        <v>Jul 2025</v>
      </c>
      <c r="U3891">
        <f>IF(Pipeline_tbl[[#This Row],[Closed_Date]]=0,"",Pipeline_tbl[[#This Row],[Closed_Date]]-Pipeline_tbl[[#This Row],[Created_Date]])</f>
        <v>25</v>
      </c>
    </row>
    <row r="3892" spans="1:21" ht="15" customHeight="1" x14ac:dyDescent="0.2">
      <c r="A3892" t="s">
        <v>4198</v>
      </c>
      <c r="B3892" t="s">
        <v>231</v>
      </c>
      <c r="C3892" t="s">
        <v>54</v>
      </c>
      <c r="D3892" s="49">
        <v>45845</v>
      </c>
      <c r="E3892" s="49">
        <v>45847</v>
      </c>
      <c r="F3892" s="49">
        <v>45850</v>
      </c>
      <c r="G3892" s="49">
        <v>45854</v>
      </c>
      <c r="H3892" s="49">
        <v>45858</v>
      </c>
      <c r="I3892" s="49">
        <v>45860</v>
      </c>
      <c r="J3892" t="s">
        <v>47</v>
      </c>
      <c r="K3892" s="33">
        <v>4800</v>
      </c>
      <c r="M3892" t="str">
        <f>_xlfn.XLOOKUP(Pipeline_tbl[[#This Row],[Rep_ID]],Dim_Reps!A:A,Dim_Reps!K:K)</f>
        <v>MXN</v>
      </c>
      <c r="N3892" s="33">
        <f>(_xlfn.XLOOKUP(Pipeline_tbl[[#This Row],[Rate_Code_Generalized]],Lookups!A:A,Lookups!B:B))*Pipeline_tbl[[#This Row],[Pipeline_Amount_USD]]</f>
        <v>94716.96</v>
      </c>
      <c r="O3892" t="str">
        <f>_xlfn.XLOOKUP(Pipeline_tbl[[#This Row],[Rep_ID]],Dim_Reps!A:A,Dim_Reps!B:B)</f>
        <v>Ben Silva</v>
      </c>
      <c r="P3892" t="str">
        <f>_xlfn.XLOOKUP(Pipeline_tbl[[#This Row],[Rep_ID]],Dim_Reps!A:A,Dim_Reps!C:C)</f>
        <v>SDR / Inside Sales Rep</v>
      </c>
      <c r="Q3892" t="str">
        <f>_xlfn.XLOOKUP(Pipeline_tbl[[#This Row],[Rep_ID]],Dim_Reps!A:A,Dim_Reps!D:D)</f>
        <v>Inside Sales</v>
      </c>
      <c r="R3892" t="str">
        <f>_xlfn.XLOOKUP(Pipeline_tbl[[#This Row],[Rep_ID]],Dim_Reps!A:A,Dim_Reps!E:E)</f>
        <v>LATAM</v>
      </c>
      <c r="S3892" t="str">
        <f>_xlfn.XLOOKUP(Pipeline_tbl[[#This Row],[Created_Date]],Dim_Date!A:A,Dim_Date!H:H)</f>
        <v>Jul 2025</v>
      </c>
      <c r="T3892" t="str">
        <f>IF(Pipeline_tbl[[#This Row],[Closed_Date]]=0,"",(_xlfn.XLOOKUP(Pipeline_tbl[[#This Row],[Closed_Date]],Dim_Date!A:A,Dim_Date!H:H)))</f>
        <v>Jul 2025</v>
      </c>
      <c r="U3892">
        <f>IF(Pipeline_tbl[[#This Row],[Closed_Date]]=0,"",Pipeline_tbl[[#This Row],[Closed_Date]]-Pipeline_tbl[[#This Row],[Created_Date]])</f>
        <v>15</v>
      </c>
    </row>
    <row r="3893" spans="1:21" ht="15" customHeight="1" x14ac:dyDescent="0.2">
      <c r="A3893" t="s">
        <v>4199</v>
      </c>
      <c r="B3893" t="s">
        <v>231</v>
      </c>
      <c r="C3893" t="s">
        <v>52</v>
      </c>
      <c r="D3893" s="49">
        <v>45843</v>
      </c>
      <c r="E3893" s="49">
        <v>45846</v>
      </c>
      <c r="F3893" s="49">
        <v>45851</v>
      </c>
      <c r="G3893" s="49">
        <v>45859</v>
      </c>
      <c r="H3893" s="49">
        <v>45865</v>
      </c>
      <c r="I3893" s="49">
        <v>45869</v>
      </c>
      <c r="J3893" t="s">
        <v>47</v>
      </c>
      <c r="K3893" s="33">
        <v>6500</v>
      </c>
      <c r="M3893" t="str">
        <f>_xlfn.XLOOKUP(Pipeline_tbl[[#This Row],[Rep_ID]],Dim_Reps!A:A,Dim_Reps!K:K)</f>
        <v>MXN</v>
      </c>
      <c r="N3893" s="33">
        <f>(_xlfn.XLOOKUP(Pipeline_tbl[[#This Row],[Rate_Code_Generalized]],Lookups!A:A,Lookups!B:B))*Pipeline_tbl[[#This Row],[Pipeline_Amount_USD]]</f>
        <v>128262.55</v>
      </c>
      <c r="O3893" t="str">
        <f>_xlfn.XLOOKUP(Pipeline_tbl[[#This Row],[Rep_ID]],Dim_Reps!A:A,Dim_Reps!B:B)</f>
        <v>Ben Silva</v>
      </c>
      <c r="P3893" t="str">
        <f>_xlfn.XLOOKUP(Pipeline_tbl[[#This Row],[Rep_ID]],Dim_Reps!A:A,Dim_Reps!C:C)</f>
        <v>SDR / Inside Sales Rep</v>
      </c>
      <c r="Q3893" t="str">
        <f>_xlfn.XLOOKUP(Pipeline_tbl[[#This Row],[Rep_ID]],Dim_Reps!A:A,Dim_Reps!D:D)</f>
        <v>Inside Sales</v>
      </c>
      <c r="R3893" t="str">
        <f>_xlfn.XLOOKUP(Pipeline_tbl[[#This Row],[Rep_ID]],Dim_Reps!A:A,Dim_Reps!E:E)</f>
        <v>LATAM</v>
      </c>
      <c r="S3893" t="str">
        <f>_xlfn.XLOOKUP(Pipeline_tbl[[#This Row],[Created_Date]],Dim_Date!A:A,Dim_Date!H:H)</f>
        <v>Jul 2025</v>
      </c>
      <c r="T3893" t="str">
        <f>IF(Pipeline_tbl[[#This Row],[Closed_Date]]=0,"",(_xlfn.XLOOKUP(Pipeline_tbl[[#This Row],[Closed_Date]],Dim_Date!A:A,Dim_Date!H:H)))</f>
        <v>Jul 2025</v>
      </c>
      <c r="U3893">
        <f>IF(Pipeline_tbl[[#This Row],[Closed_Date]]=0,"",Pipeline_tbl[[#This Row],[Closed_Date]]-Pipeline_tbl[[#This Row],[Created_Date]])</f>
        <v>26</v>
      </c>
    </row>
    <row r="3894" spans="1:21" ht="15" customHeight="1" x14ac:dyDescent="0.2">
      <c r="A3894" t="s">
        <v>4200</v>
      </c>
      <c r="B3894" t="s">
        <v>233</v>
      </c>
      <c r="C3894" t="s">
        <v>53</v>
      </c>
      <c r="D3894" s="49">
        <v>45843</v>
      </c>
      <c r="E3894" s="49">
        <v>45845</v>
      </c>
      <c r="F3894" s="49">
        <v>45848</v>
      </c>
      <c r="G3894" s="49">
        <v>45854</v>
      </c>
      <c r="H3894" s="49">
        <v>45858</v>
      </c>
      <c r="I3894" s="49">
        <v>45861</v>
      </c>
      <c r="J3894" t="s">
        <v>47</v>
      </c>
      <c r="K3894" s="33">
        <v>3700</v>
      </c>
      <c r="M3894" t="str">
        <f>_xlfn.XLOOKUP(Pipeline_tbl[[#This Row],[Rep_ID]],Dim_Reps!A:A,Dim_Reps!K:K)</f>
        <v>MXN</v>
      </c>
      <c r="N3894" s="33">
        <f>(_xlfn.XLOOKUP(Pipeline_tbl[[#This Row],[Rate_Code_Generalized]],Lookups!A:A,Lookups!B:B))*Pipeline_tbl[[#This Row],[Pipeline_Amount_USD]]</f>
        <v>73010.990000000005</v>
      </c>
      <c r="O3894" t="str">
        <f>_xlfn.XLOOKUP(Pipeline_tbl[[#This Row],[Rep_ID]],Dim_Reps!A:A,Dim_Reps!B:B)</f>
        <v>Lucas Duarte</v>
      </c>
      <c r="P3894" t="str">
        <f>_xlfn.XLOOKUP(Pipeline_tbl[[#This Row],[Rep_ID]],Dim_Reps!A:A,Dim_Reps!C:C)</f>
        <v>SDR / Inside Sales Rep</v>
      </c>
      <c r="Q3894" t="str">
        <f>_xlfn.XLOOKUP(Pipeline_tbl[[#This Row],[Rep_ID]],Dim_Reps!A:A,Dim_Reps!D:D)</f>
        <v>Inside Sales</v>
      </c>
      <c r="R3894" t="str">
        <f>_xlfn.XLOOKUP(Pipeline_tbl[[#This Row],[Rep_ID]],Dim_Reps!A:A,Dim_Reps!E:E)</f>
        <v>LATAM</v>
      </c>
      <c r="S3894" t="str">
        <f>_xlfn.XLOOKUP(Pipeline_tbl[[#This Row],[Created_Date]],Dim_Date!A:A,Dim_Date!H:H)</f>
        <v>Jul 2025</v>
      </c>
      <c r="T3894" t="str">
        <f>IF(Pipeline_tbl[[#This Row],[Closed_Date]]=0,"",(_xlfn.XLOOKUP(Pipeline_tbl[[#This Row],[Closed_Date]],Dim_Date!A:A,Dim_Date!H:H)))</f>
        <v>Jul 2025</v>
      </c>
      <c r="U3894">
        <f>IF(Pipeline_tbl[[#This Row],[Closed_Date]]=0,"",Pipeline_tbl[[#This Row],[Closed_Date]]-Pipeline_tbl[[#This Row],[Created_Date]])</f>
        <v>18</v>
      </c>
    </row>
    <row r="3895" spans="1:21" ht="15" customHeight="1" x14ac:dyDescent="0.2">
      <c r="A3895" t="s">
        <v>4201</v>
      </c>
      <c r="B3895" t="s">
        <v>233</v>
      </c>
      <c r="C3895" t="s">
        <v>53</v>
      </c>
      <c r="D3895" s="49">
        <v>45842</v>
      </c>
      <c r="E3895" s="49">
        <v>45844</v>
      </c>
      <c r="F3895" s="49">
        <v>45848</v>
      </c>
      <c r="I3895" s="49">
        <v>45863</v>
      </c>
      <c r="J3895" t="s">
        <v>49</v>
      </c>
      <c r="K3895" s="33">
        <v>1900</v>
      </c>
      <c r="L3895" t="s">
        <v>61</v>
      </c>
      <c r="M3895" t="str">
        <f>_xlfn.XLOOKUP(Pipeline_tbl[[#This Row],[Rep_ID]],Dim_Reps!A:A,Dim_Reps!K:K)</f>
        <v>MXN</v>
      </c>
      <c r="N3895" s="33">
        <f>(_xlfn.XLOOKUP(Pipeline_tbl[[#This Row],[Rate_Code_Generalized]],Lookups!A:A,Lookups!B:B))*Pipeline_tbl[[#This Row],[Pipeline_Amount_USD]]</f>
        <v>37492.130000000005</v>
      </c>
      <c r="O3895" t="str">
        <f>_xlfn.XLOOKUP(Pipeline_tbl[[#This Row],[Rep_ID]],Dim_Reps!A:A,Dim_Reps!B:B)</f>
        <v>Lucas Duarte</v>
      </c>
      <c r="P3895" t="str">
        <f>_xlfn.XLOOKUP(Pipeline_tbl[[#This Row],[Rep_ID]],Dim_Reps!A:A,Dim_Reps!C:C)</f>
        <v>SDR / Inside Sales Rep</v>
      </c>
      <c r="Q3895" t="str">
        <f>_xlfn.XLOOKUP(Pipeline_tbl[[#This Row],[Rep_ID]],Dim_Reps!A:A,Dim_Reps!D:D)</f>
        <v>Inside Sales</v>
      </c>
      <c r="R3895" t="str">
        <f>_xlfn.XLOOKUP(Pipeline_tbl[[#This Row],[Rep_ID]],Dim_Reps!A:A,Dim_Reps!E:E)</f>
        <v>LATAM</v>
      </c>
      <c r="S3895" t="str">
        <f>_xlfn.XLOOKUP(Pipeline_tbl[[#This Row],[Created_Date]],Dim_Date!A:A,Dim_Date!H:H)</f>
        <v>Jul 2025</v>
      </c>
      <c r="T3895" t="str">
        <f>IF(Pipeline_tbl[[#This Row],[Closed_Date]]=0,"",(_xlfn.XLOOKUP(Pipeline_tbl[[#This Row],[Closed_Date]],Dim_Date!A:A,Dim_Date!H:H)))</f>
        <v>Jul 2025</v>
      </c>
      <c r="U3895">
        <f>IF(Pipeline_tbl[[#This Row],[Closed_Date]]=0,"",Pipeline_tbl[[#This Row],[Closed_Date]]-Pipeline_tbl[[#This Row],[Created_Date]])</f>
        <v>21</v>
      </c>
    </row>
    <row r="3896" spans="1:21" ht="15" customHeight="1" x14ac:dyDescent="0.2">
      <c r="A3896" t="s">
        <v>4202</v>
      </c>
      <c r="B3896" t="s">
        <v>233</v>
      </c>
      <c r="C3896" t="s">
        <v>53</v>
      </c>
      <c r="D3896" s="49">
        <v>45844</v>
      </c>
      <c r="E3896" s="49">
        <v>45845</v>
      </c>
      <c r="F3896" s="49">
        <v>45848</v>
      </c>
      <c r="G3896" s="49">
        <v>45852</v>
      </c>
      <c r="I3896" s="49">
        <v>45858</v>
      </c>
      <c r="J3896" t="s">
        <v>49</v>
      </c>
      <c r="K3896" s="33">
        <v>3500</v>
      </c>
      <c r="L3896" t="s">
        <v>60</v>
      </c>
      <c r="M3896" t="str">
        <f>_xlfn.XLOOKUP(Pipeline_tbl[[#This Row],[Rep_ID]],Dim_Reps!A:A,Dim_Reps!K:K)</f>
        <v>MXN</v>
      </c>
      <c r="N3896" s="33">
        <f>(_xlfn.XLOOKUP(Pipeline_tbl[[#This Row],[Rate_Code_Generalized]],Lookups!A:A,Lookups!B:B))*Pipeline_tbl[[#This Row],[Pipeline_Amount_USD]]</f>
        <v>69064.45</v>
      </c>
      <c r="O3896" t="str">
        <f>_xlfn.XLOOKUP(Pipeline_tbl[[#This Row],[Rep_ID]],Dim_Reps!A:A,Dim_Reps!B:B)</f>
        <v>Lucas Duarte</v>
      </c>
      <c r="P3896" t="str">
        <f>_xlfn.XLOOKUP(Pipeline_tbl[[#This Row],[Rep_ID]],Dim_Reps!A:A,Dim_Reps!C:C)</f>
        <v>SDR / Inside Sales Rep</v>
      </c>
      <c r="Q3896" t="str">
        <f>_xlfn.XLOOKUP(Pipeline_tbl[[#This Row],[Rep_ID]],Dim_Reps!A:A,Dim_Reps!D:D)</f>
        <v>Inside Sales</v>
      </c>
      <c r="R3896" t="str">
        <f>_xlfn.XLOOKUP(Pipeline_tbl[[#This Row],[Rep_ID]],Dim_Reps!A:A,Dim_Reps!E:E)</f>
        <v>LATAM</v>
      </c>
      <c r="S3896" t="str">
        <f>_xlfn.XLOOKUP(Pipeline_tbl[[#This Row],[Created_Date]],Dim_Date!A:A,Dim_Date!H:H)</f>
        <v>Jul 2025</v>
      </c>
      <c r="T3896" t="str">
        <f>IF(Pipeline_tbl[[#This Row],[Closed_Date]]=0,"",(_xlfn.XLOOKUP(Pipeline_tbl[[#This Row],[Closed_Date]],Dim_Date!A:A,Dim_Date!H:H)))</f>
        <v>Jul 2025</v>
      </c>
      <c r="U3896">
        <f>IF(Pipeline_tbl[[#This Row],[Closed_Date]]=0,"",Pipeline_tbl[[#This Row],[Closed_Date]]-Pipeline_tbl[[#This Row],[Created_Date]])</f>
        <v>14</v>
      </c>
    </row>
    <row r="3897" spans="1:21" ht="15" customHeight="1" x14ac:dyDescent="0.2">
      <c r="A3897" t="s">
        <v>4203</v>
      </c>
      <c r="B3897" t="s">
        <v>233</v>
      </c>
      <c r="C3897" t="s">
        <v>53</v>
      </c>
      <c r="D3897" s="49">
        <v>45844</v>
      </c>
      <c r="E3897" s="49">
        <v>45846</v>
      </c>
      <c r="F3897" s="49">
        <v>45850</v>
      </c>
      <c r="I3897" s="49">
        <v>45863</v>
      </c>
      <c r="J3897" t="s">
        <v>49</v>
      </c>
      <c r="K3897" s="33">
        <v>1800</v>
      </c>
      <c r="L3897" t="s">
        <v>62</v>
      </c>
      <c r="M3897" t="str">
        <f>_xlfn.XLOOKUP(Pipeline_tbl[[#This Row],[Rep_ID]],Dim_Reps!A:A,Dim_Reps!K:K)</f>
        <v>MXN</v>
      </c>
      <c r="N3897" s="33">
        <f>(_xlfn.XLOOKUP(Pipeline_tbl[[#This Row],[Rate_Code_Generalized]],Lookups!A:A,Lookups!B:B))*Pipeline_tbl[[#This Row],[Pipeline_Amount_USD]]</f>
        <v>35518.86</v>
      </c>
      <c r="O3897" t="str">
        <f>_xlfn.XLOOKUP(Pipeline_tbl[[#This Row],[Rep_ID]],Dim_Reps!A:A,Dim_Reps!B:B)</f>
        <v>Lucas Duarte</v>
      </c>
      <c r="P3897" t="str">
        <f>_xlfn.XLOOKUP(Pipeline_tbl[[#This Row],[Rep_ID]],Dim_Reps!A:A,Dim_Reps!C:C)</f>
        <v>SDR / Inside Sales Rep</v>
      </c>
      <c r="Q3897" t="str">
        <f>_xlfn.XLOOKUP(Pipeline_tbl[[#This Row],[Rep_ID]],Dim_Reps!A:A,Dim_Reps!D:D)</f>
        <v>Inside Sales</v>
      </c>
      <c r="R3897" t="str">
        <f>_xlfn.XLOOKUP(Pipeline_tbl[[#This Row],[Rep_ID]],Dim_Reps!A:A,Dim_Reps!E:E)</f>
        <v>LATAM</v>
      </c>
      <c r="S3897" t="str">
        <f>_xlfn.XLOOKUP(Pipeline_tbl[[#This Row],[Created_Date]],Dim_Date!A:A,Dim_Date!H:H)</f>
        <v>Jul 2025</v>
      </c>
      <c r="T3897" t="str">
        <f>IF(Pipeline_tbl[[#This Row],[Closed_Date]]=0,"",(_xlfn.XLOOKUP(Pipeline_tbl[[#This Row],[Closed_Date]],Dim_Date!A:A,Dim_Date!H:H)))</f>
        <v>Jul 2025</v>
      </c>
      <c r="U3897">
        <f>IF(Pipeline_tbl[[#This Row],[Closed_Date]]=0,"",Pipeline_tbl[[#This Row],[Closed_Date]]-Pipeline_tbl[[#This Row],[Created_Date]])</f>
        <v>19</v>
      </c>
    </row>
    <row r="3898" spans="1:21" ht="15" customHeight="1" x14ac:dyDescent="0.2">
      <c r="A3898" t="s">
        <v>4204</v>
      </c>
      <c r="B3898" t="s">
        <v>233</v>
      </c>
      <c r="C3898" t="s">
        <v>54</v>
      </c>
      <c r="D3898" s="49">
        <v>45845</v>
      </c>
      <c r="E3898" s="49">
        <v>45846</v>
      </c>
      <c r="F3898" s="49">
        <v>45848</v>
      </c>
      <c r="G3898" s="49">
        <v>45852</v>
      </c>
      <c r="H3898" s="49">
        <v>45854</v>
      </c>
      <c r="I3898" s="49">
        <v>45856</v>
      </c>
      <c r="J3898" t="s">
        <v>47</v>
      </c>
      <c r="K3898" s="33">
        <v>5000</v>
      </c>
      <c r="M3898" t="str">
        <f>_xlfn.XLOOKUP(Pipeline_tbl[[#This Row],[Rep_ID]],Dim_Reps!A:A,Dim_Reps!K:K)</f>
        <v>MXN</v>
      </c>
      <c r="N3898" s="33">
        <f>(_xlfn.XLOOKUP(Pipeline_tbl[[#This Row],[Rate_Code_Generalized]],Lookups!A:A,Lookups!B:B))*Pipeline_tbl[[#This Row],[Pipeline_Amount_USD]]</f>
        <v>98663.5</v>
      </c>
      <c r="O3898" t="str">
        <f>_xlfn.XLOOKUP(Pipeline_tbl[[#This Row],[Rep_ID]],Dim_Reps!A:A,Dim_Reps!B:B)</f>
        <v>Lucas Duarte</v>
      </c>
      <c r="P3898" t="str">
        <f>_xlfn.XLOOKUP(Pipeline_tbl[[#This Row],[Rep_ID]],Dim_Reps!A:A,Dim_Reps!C:C)</f>
        <v>SDR / Inside Sales Rep</v>
      </c>
      <c r="Q3898" t="str">
        <f>_xlfn.XLOOKUP(Pipeline_tbl[[#This Row],[Rep_ID]],Dim_Reps!A:A,Dim_Reps!D:D)</f>
        <v>Inside Sales</v>
      </c>
      <c r="R3898" t="str">
        <f>_xlfn.XLOOKUP(Pipeline_tbl[[#This Row],[Rep_ID]],Dim_Reps!A:A,Dim_Reps!E:E)</f>
        <v>LATAM</v>
      </c>
      <c r="S3898" t="str">
        <f>_xlfn.XLOOKUP(Pipeline_tbl[[#This Row],[Created_Date]],Dim_Date!A:A,Dim_Date!H:H)</f>
        <v>Jul 2025</v>
      </c>
      <c r="T3898" t="str">
        <f>IF(Pipeline_tbl[[#This Row],[Closed_Date]]=0,"",(_xlfn.XLOOKUP(Pipeline_tbl[[#This Row],[Closed_Date]],Dim_Date!A:A,Dim_Date!H:H)))</f>
        <v>Jul 2025</v>
      </c>
      <c r="U3898">
        <f>IF(Pipeline_tbl[[#This Row],[Closed_Date]]=0,"",Pipeline_tbl[[#This Row],[Closed_Date]]-Pipeline_tbl[[#This Row],[Created_Date]])</f>
        <v>11</v>
      </c>
    </row>
    <row r="3899" spans="1:21" ht="15" customHeight="1" x14ac:dyDescent="0.2">
      <c r="A3899" t="s">
        <v>4205</v>
      </c>
      <c r="B3899" t="s">
        <v>233</v>
      </c>
      <c r="C3899" t="s">
        <v>54</v>
      </c>
      <c r="D3899" s="49">
        <v>45845</v>
      </c>
      <c r="E3899" s="49">
        <v>45847</v>
      </c>
      <c r="F3899" s="49">
        <v>45851</v>
      </c>
      <c r="G3899" s="49">
        <v>45857</v>
      </c>
      <c r="H3899" s="49">
        <v>45862</v>
      </c>
      <c r="I3899" s="49">
        <v>45865</v>
      </c>
      <c r="J3899" t="s">
        <v>47</v>
      </c>
      <c r="K3899" s="33">
        <v>4300</v>
      </c>
      <c r="M3899" t="str">
        <f>_xlfn.XLOOKUP(Pipeline_tbl[[#This Row],[Rep_ID]],Dim_Reps!A:A,Dim_Reps!K:K)</f>
        <v>MXN</v>
      </c>
      <c r="N3899" s="33">
        <f>(_xlfn.XLOOKUP(Pipeline_tbl[[#This Row],[Rate_Code_Generalized]],Lookups!A:A,Lookups!B:B))*Pipeline_tbl[[#This Row],[Pipeline_Amount_USD]]</f>
        <v>84850.61</v>
      </c>
      <c r="O3899" t="str">
        <f>_xlfn.XLOOKUP(Pipeline_tbl[[#This Row],[Rep_ID]],Dim_Reps!A:A,Dim_Reps!B:B)</f>
        <v>Lucas Duarte</v>
      </c>
      <c r="P3899" t="str">
        <f>_xlfn.XLOOKUP(Pipeline_tbl[[#This Row],[Rep_ID]],Dim_Reps!A:A,Dim_Reps!C:C)</f>
        <v>SDR / Inside Sales Rep</v>
      </c>
      <c r="Q3899" t="str">
        <f>_xlfn.XLOOKUP(Pipeline_tbl[[#This Row],[Rep_ID]],Dim_Reps!A:A,Dim_Reps!D:D)</f>
        <v>Inside Sales</v>
      </c>
      <c r="R3899" t="str">
        <f>_xlfn.XLOOKUP(Pipeline_tbl[[#This Row],[Rep_ID]],Dim_Reps!A:A,Dim_Reps!E:E)</f>
        <v>LATAM</v>
      </c>
      <c r="S3899" t="str">
        <f>_xlfn.XLOOKUP(Pipeline_tbl[[#This Row],[Created_Date]],Dim_Date!A:A,Dim_Date!H:H)</f>
        <v>Jul 2025</v>
      </c>
      <c r="T3899" t="str">
        <f>IF(Pipeline_tbl[[#This Row],[Closed_Date]]=0,"",(_xlfn.XLOOKUP(Pipeline_tbl[[#This Row],[Closed_Date]],Dim_Date!A:A,Dim_Date!H:H)))</f>
        <v>Jul 2025</v>
      </c>
      <c r="U3899">
        <f>IF(Pipeline_tbl[[#This Row],[Closed_Date]]=0,"",Pipeline_tbl[[#This Row],[Closed_Date]]-Pipeline_tbl[[#This Row],[Created_Date]])</f>
        <v>20</v>
      </c>
    </row>
    <row r="3900" spans="1:21" ht="15" customHeight="1" x14ac:dyDescent="0.2">
      <c r="A3900" t="s">
        <v>4206</v>
      </c>
      <c r="B3900" t="s">
        <v>233</v>
      </c>
      <c r="C3900" t="s">
        <v>52</v>
      </c>
      <c r="D3900" s="49">
        <v>45843</v>
      </c>
      <c r="E3900" s="49">
        <v>45845</v>
      </c>
      <c r="I3900" s="49">
        <v>45861</v>
      </c>
      <c r="J3900" t="s">
        <v>49</v>
      </c>
      <c r="K3900" s="33">
        <v>4200</v>
      </c>
      <c r="L3900" t="s">
        <v>61</v>
      </c>
      <c r="M3900" t="str">
        <f>_xlfn.XLOOKUP(Pipeline_tbl[[#This Row],[Rep_ID]],Dim_Reps!A:A,Dim_Reps!K:K)</f>
        <v>MXN</v>
      </c>
      <c r="N3900" s="33">
        <f>(_xlfn.XLOOKUP(Pipeline_tbl[[#This Row],[Rate_Code_Generalized]],Lookups!A:A,Lookups!B:B))*Pipeline_tbl[[#This Row],[Pipeline_Amount_USD]]</f>
        <v>82877.340000000011</v>
      </c>
      <c r="O3900" t="str">
        <f>_xlfn.XLOOKUP(Pipeline_tbl[[#This Row],[Rep_ID]],Dim_Reps!A:A,Dim_Reps!B:B)</f>
        <v>Lucas Duarte</v>
      </c>
      <c r="P3900" t="str">
        <f>_xlfn.XLOOKUP(Pipeline_tbl[[#This Row],[Rep_ID]],Dim_Reps!A:A,Dim_Reps!C:C)</f>
        <v>SDR / Inside Sales Rep</v>
      </c>
      <c r="Q3900" t="str">
        <f>_xlfn.XLOOKUP(Pipeline_tbl[[#This Row],[Rep_ID]],Dim_Reps!A:A,Dim_Reps!D:D)</f>
        <v>Inside Sales</v>
      </c>
      <c r="R3900" t="str">
        <f>_xlfn.XLOOKUP(Pipeline_tbl[[#This Row],[Rep_ID]],Dim_Reps!A:A,Dim_Reps!E:E)</f>
        <v>LATAM</v>
      </c>
      <c r="S3900" t="str">
        <f>_xlfn.XLOOKUP(Pipeline_tbl[[#This Row],[Created_Date]],Dim_Date!A:A,Dim_Date!H:H)</f>
        <v>Jul 2025</v>
      </c>
      <c r="T3900" t="str">
        <f>IF(Pipeline_tbl[[#This Row],[Closed_Date]]=0,"",(_xlfn.XLOOKUP(Pipeline_tbl[[#This Row],[Closed_Date]],Dim_Date!A:A,Dim_Date!H:H)))</f>
        <v>Jul 2025</v>
      </c>
      <c r="U3900">
        <f>IF(Pipeline_tbl[[#This Row],[Closed_Date]]=0,"",Pipeline_tbl[[#This Row],[Closed_Date]]-Pipeline_tbl[[#This Row],[Created_Date]])</f>
        <v>18</v>
      </c>
    </row>
    <row r="3901" spans="1:21" ht="15" customHeight="1" x14ac:dyDescent="0.2">
      <c r="A3901" t="s">
        <v>4207</v>
      </c>
      <c r="B3901" t="s">
        <v>235</v>
      </c>
      <c r="C3901" t="s">
        <v>52</v>
      </c>
      <c r="D3901" s="49">
        <v>45848</v>
      </c>
      <c r="E3901" s="49">
        <v>45850</v>
      </c>
      <c r="F3901" s="49">
        <v>45853</v>
      </c>
      <c r="I3901" s="49">
        <v>45866</v>
      </c>
      <c r="J3901" t="s">
        <v>49</v>
      </c>
      <c r="K3901" s="33">
        <v>3500</v>
      </c>
      <c r="L3901" t="s">
        <v>60</v>
      </c>
      <c r="M3901" t="str">
        <f>_xlfn.XLOOKUP(Pipeline_tbl[[#This Row],[Rep_ID]],Dim_Reps!A:A,Dim_Reps!K:K)</f>
        <v>MXN</v>
      </c>
      <c r="N3901" s="33">
        <f>(_xlfn.XLOOKUP(Pipeline_tbl[[#This Row],[Rate_Code_Generalized]],Lookups!A:A,Lookups!B:B))*Pipeline_tbl[[#This Row],[Pipeline_Amount_USD]]</f>
        <v>69064.45</v>
      </c>
      <c r="O3901" t="str">
        <f>_xlfn.XLOOKUP(Pipeline_tbl[[#This Row],[Rep_ID]],Dim_Reps!A:A,Dim_Reps!B:B)</f>
        <v>Milo Castro</v>
      </c>
      <c r="P3901" t="str">
        <f>_xlfn.XLOOKUP(Pipeline_tbl[[#This Row],[Rep_ID]],Dim_Reps!A:A,Dim_Reps!C:C)</f>
        <v>SDR / Inside Sales Rep</v>
      </c>
      <c r="Q3901" t="str">
        <f>_xlfn.XLOOKUP(Pipeline_tbl[[#This Row],[Rep_ID]],Dim_Reps!A:A,Dim_Reps!D:D)</f>
        <v>Inside Sales</v>
      </c>
      <c r="R3901" t="str">
        <f>_xlfn.XLOOKUP(Pipeline_tbl[[#This Row],[Rep_ID]],Dim_Reps!A:A,Dim_Reps!E:E)</f>
        <v>LATAM</v>
      </c>
      <c r="S3901" t="str">
        <f>_xlfn.XLOOKUP(Pipeline_tbl[[#This Row],[Created_Date]],Dim_Date!A:A,Dim_Date!H:H)</f>
        <v>Jul 2025</v>
      </c>
      <c r="T3901" t="str">
        <f>IF(Pipeline_tbl[[#This Row],[Closed_Date]]=0,"",(_xlfn.XLOOKUP(Pipeline_tbl[[#This Row],[Closed_Date]],Dim_Date!A:A,Dim_Date!H:H)))</f>
        <v>Jul 2025</v>
      </c>
      <c r="U3901">
        <f>IF(Pipeline_tbl[[#This Row],[Closed_Date]]=0,"",Pipeline_tbl[[#This Row],[Closed_Date]]-Pipeline_tbl[[#This Row],[Created_Date]])</f>
        <v>18</v>
      </c>
    </row>
    <row r="3902" spans="1:21" ht="15" customHeight="1" x14ac:dyDescent="0.2">
      <c r="A3902" t="s">
        <v>4208</v>
      </c>
      <c r="B3902" t="s">
        <v>235</v>
      </c>
      <c r="C3902" t="s">
        <v>53</v>
      </c>
      <c r="D3902" s="49">
        <v>45852</v>
      </c>
      <c r="E3902" s="49">
        <v>45853</v>
      </c>
      <c r="F3902" s="49">
        <v>45855</v>
      </c>
      <c r="G3902" s="49">
        <v>45858</v>
      </c>
      <c r="I3902" s="49">
        <v>45862</v>
      </c>
      <c r="J3902" t="s">
        <v>49</v>
      </c>
      <c r="K3902" s="33">
        <v>6300</v>
      </c>
      <c r="L3902" t="s">
        <v>63</v>
      </c>
      <c r="M3902" t="str">
        <f>_xlfn.XLOOKUP(Pipeline_tbl[[#This Row],[Rep_ID]],Dim_Reps!A:A,Dim_Reps!K:K)</f>
        <v>MXN</v>
      </c>
      <c r="N3902" s="33">
        <f>(_xlfn.XLOOKUP(Pipeline_tbl[[#This Row],[Rate_Code_Generalized]],Lookups!A:A,Lookups!B:B))*Pipeline_tbl[[#This Row],[Pipeline_Amount_USD]]</f>
        <v>124316.01000000001</v>
      </c>
      <c r="O3902" t="str">
        <f>_xlfn.XLOOKUP(Pipeline_tbl[[#This Row],[Rep_ID]],Dim_Reps!A:A,Dim_Reps!B:B)</f>
        <v>Milo Castro</v>
      </c>
      <c r="P3902" t="str">
        <f>_xlfn.XLOOKUP(Pipeline_tbl[[#This Row],[Rep_ID]],Dim_Reps!A:A,Dim_Reps!C:C)</f>
        <v>SDR / Inside Sales Rep</v>
      </c>
      <c r="Q3902" t="str">
        <f>_xlfn.XLOOKUP(Pipeline_tbl[[#This Row],[Rep_ID]],Dim_Reps!A:A,Dim_Reps!D:D)</f>
        <v>Inside Sales</v>
      </c>
      <c r="R3902" t="str">
        <f>_xlfn.XLOOKUP(Pipeline_tbl[[#This Row],[Rep_ID]],Dim_Reps!A:A,Dim_Reps!E:E)</f>
        <v>LATAM</v>
      </c>
      <c r="S3902" t="str">
        <f>_xlfn.XLOOKUP(Pipeline_tbl[[#This Row],[Created_Date]],Dim_Date!A:A,Dim_Date!H:H)</f>
        <v>Jul 2025</v>
      </c>
      <c r="T3902" t="str">
        <f>IF(Pipeline_tbl[[#This Row],[Closed_Date]]=0,"",(_xlfn.XLOOKUP(Pipeline_tbl[[#This Row],[Closed_Date]],Dim_Date!A:A,Dim_Date!H:H)))</f>
        <v>Jul 2025</v>
      </c>
      <c r="U3902">
        <f>IF(Pipeline_tbl[[#This Row],[Closed_Date]]=0,"",Pipeline_tbl[[#This Row],[Closed_Date]]-Pipeline_tbl[[#This Row],[Created_Date]])</f>
        <v>10</v>
      </c>
    </row>
    <row r="3903" spans="1:21" ht="15" customHeight="1" x14ac:dyDescent="0.2">
      <c r="A3903" t="s">
        <v>4209</v>
      </c>
      <c r="B3903" t="s">
        <v>235</v>
      </c>
      <c r="C3903" t="s">
        <v>53</v>
      </c>
      <c r="D3903" s="49">
        <v>45840</v>
      </c>
      <c r="E3903" s="49">
        <v>45841</v>
      </c>
      <c r="F3903" s="49">
        <v>45844</v>
      </c>
      <c r="I3903" s="49">
        <v>45852</v>
      </c>
      <c r="J3903" t="s">
        <v>49</v>
      </c>
      <c r="K3903" s="33">
        <v>5900</v>
      </c>
      <c r="L3903" t="s">
        <v>61</v>
      </c>
      <c r="M3903" t="str">
        <f>_xlfn.XLOOKUP(Pipeline_tbl[[#This Row],[Rep_ID]],Dim_Reps!A:A,Dim_Reps!K:K)</f>
        <v>MXN</v>
      </c>
      <c r="N3903" s="33">
        <f>(_xlfn.XLOOKUP(Pipeline_tbl[[#This Row],[Rate_Code_Generalized]],Lookups!A:A,Lookups!B:B))*Pipeline_tbl[[#This Row],[Pipeline_Amount_USD]]</f>
        <v>116422.93000000001</v>
      </c>
      <c r="O3903" t="str">
        <f>_xlfn.XLOOKUP(Pipeline_tbl[[#This Row],[Rep_ID]],Dim_Reps!A:A,Dim_Reps!B:B)</f>
        <v>Milo Castro</v>
      </c>
      <c r="P3903" t="str">
        <f>_xlfn.XLOOKUP(Pipeline_tbl[[#This Row],[Rep_ID]],Dim_Reps!A:A,Dim_Reps!C:C)</f>
        <v>SDR / Inside Sales Rep</v>
      </c>
      <c r="Q3903" t="str">
        <f>_xlfn.XLOOKUP(Pipeline_tbl[[#This Row],[Rep_ID]],Dim_Reps!A:A,Dim_Reps!D:D)</f>
        <v>Inside Sales</v>
      </c>
      <c r="R3903" t="str">
        <f>_xlfn.XLOOKUP(Pipeline_tbl[[#This Row],[Rep_ID]],Dim_Reps!A:A,Dim_Reps!E:E)</f>
        <v>LATAM</v>
      </c>
      <c r="S3903" t="str">
        <f>_xlfn.XLOOKUP(Pipeline_tbl[[#This Row],[Created_Date]],Dim_Date!A:A,Dim_Date!H:H)</f>
        <v>Jul 2025</v>
      </c>
      <c r="T3903" t="str">
        <f>IF(Pipeline_tbl[[#This Row],[Closed_Date]]=0,"",(_xlfn.XLOOKUP(Pipeline_tbl[[#This Row],[Closed_Date]],Dim_Date!A:A,Dim_Date!H:H)))</f>
        <v>Jul 2025</v>
      </c>
      <c r="U3903">
        <f>IF(Pipeline_tbl[[#This Row],[Closed_Date]]=0,"",Pipeline_tbl[[#This Row],[Closed_Date]]-Pipeline_tbl[[#This Row],[Created_Date]])</f>
        <v>12</v>
      </c>
    </row>
    <row r="3904" spans="1:21" ht="15" customHeight="1" x14ac:dyDescent="0.2">
      <c r="A3904" t="s">
        <v>4210</v>
      </c>
      <c r="B3904" t="s">
        <v>235</v>
      </c>
      <c r="C3904" t="s">
        <v>52</v>
      </c>
      <c r="D3904" s="49">
        <v>45843</v>
      </c>
      <c r="E3904" s="49">
        <v>45844</v>
      </c>
      <c r="F3904" s="49">
        <v>45845</v>
      </c>
      <c r="I3904" s="49">
        <v>45850</v>
      </c>
      <c r="J3904" t="s">
        <v>49</v>
      </c>
      <c r="K3904" s="33">
        <v>3800</v>
      </c>
      <c r="L3904" t="s">
        <v>60</v>
      </c>
      <c r="M3904" t="str">
        <f>_xlfn.XLOOKUP(Pipeline_tbl[[#This Row],[Rep_ID]],Dim_Reps!A:A,Dim_Reps!K:K)</f>
        <v>MXN</v>
      </c>
      <c r="N3904" s="33">
        <f>(_xlfn.XLOOKUP(Pipeline_tbl[[#This Row],[Rate_Code_Generalized]],Lookups!A:A,Lookups!B:B))*Pipeline_tbl[[#This Row],[Pipeline_Amount_USD]]</f>
        <v>74984.260000000009</v>
      </c>
      <c r="O3904" t="str">
        <f>_xlfn.XLOOKUP(Pipeline_tbl[[#This Row],[Rep_ID]],Dim_Reps!A:A,Dim_Reps!B:B)</f>
        <v>Milo Castro</v>
      </c>
      <c r="P3904" t="str">
        <f>_xlfn.XLOOKUP(Pipeline_tbl[[#This Row],[Rep_ID]],Dim_Reps!A:A,Dim_Reps!C:C)</f>
        <v>SDR / Inside Sales Rep</v>
      </c>
      <c r="Q3904" t="str">
        <f>_xlfn.XLOOKUP(Pipeline_tbl[[#This Row],[Rep_ID]],Dim_Reps!A:A,Dim_Reps!D:D)</f>
        <v>Inside Sales</v>
      </c>
      <c r="R3904" t="str">
        <f>_xlfn.XLOOKUP(Pipeline_tbl[[#This Row],[Rep_ID]],Dim_Reps!A:A,Dim_Reps!E:E)</f>
        <v>LATAM</v>
      </c>
      <c r="S3904" t="str">
        <f>_xlfn.XLOOKUP(Pipeline_tbl[[#This Row],[Created_Date]],Dim_Date!A:A,Dim_Date!H:H)</f>
        <v>Jul 2025</v>
      </c>
      <c r="T3904" t="str">
        <f>IF(Pipeline_tbl[[#This Row],[Closed_Date]]=0,"",(_xlfn.XLOOKUP(Pipeline_tbl[[#This Row],[Closed_Date]],Dim_Date!A:A,Dim_Date!H:H)))</f>
        <v>Jul 2025</v>
      </c>
      <c r="U3904">
        <f>IF(Pipeline_tbl[[#This Row],[Closed_Date]]=0,"",Pipeline_tbl[[#This Row],[Closed_Date]]-Pipeline_tbl[[#This Row],[Created_Date]])</f>
        <v>7</v>
      </c>
    </row>
    <row r="3905" spans="1:21" ht="15" customHeight="1" x14ac:dyDescent="0.2">
      <c r="A3905" t="s">
        <v>4211</v>
      </c>
      <c r="B3905" t="s">
        <v>235</v>
      </c>
      <c r="C3905" t="s">
        <v>54</v>
      </c>
      <c r="D3905" s="49">
        <v>45843</v>
      </c>
      <c r="E3905" s="49">
        <v>45845</v>
      </c>
      <c r="F3905" s="49">
        <v>45849</v>
      </c>
      <c r="G3905" s="49">
        <v>45855</v>
      </c>
      <c r="H3905" s="49">
        <v>45860</v>
      </c>
      <c r="I3905" s="49">
        <v>45863</v>
      </c>
      <c r="J3905" t="s">
        <v>49</v>
      </c>
      <c r="K3905" s="33">
        <v>4900</v>
      </c>
      <c r="L3905" t="s">
        <v>61</v>
      </c>
      <c r="M3905" t="str">
        <f>_xlfn.XLOOKUP(Pipeline_tbl[[#This Row],[Rep_ID]],Dim_Reps!A:A,Dim_Reps!K:K)</f>
        <v>MXN</v>
      </c>
      <c r="N3905" s="33">
        <f>(_xlfn.XLOOKUP(Pipeline_tbl[[#This Row],[Rate_Code_Generalized]],Lookups!A:A,Lookups!B:B))*Pipeline_tbl[[#This Row],[Pipeline_Amount_USD]]</f>
        <v>96690.23000000001</v>
      </c>
      <c r="O3905" t="str">
        <f>_xlfn.XLOOKUP(Pipeline_tbl[[#This Row],[Rep_ID]],Dim_Reps!A:A,Dim_Reps!B:B)</f>
        <v>Milo Castro</v>
      </c>
      <c r="P3905" t="str">
        <f>_xlfn.XLOOKUP(Pipeline_tbl[[#This Row],[Rep_ID]],Dim_Reps!A:A,Dim_Reps!C:C)</f>
        <v>SDR / Inside Sales Rep</v>
      </c>
      <c r="Q3905" t="str">
        <f>_xlfn.XLOOKUP(Pipeline_tbl[[#This Row],[Rep_ID]],Dim_Reps!A:A,Dim_Reps!D:D)</f>
        <v>Inside Sales</v>
      </c>
      <c r="R3905" t="str">
        <f>_xlfn.XLOOKUP(Pipeline_tbl[[#This Row],[Rep_ID]],Dim_Reps!A:A,Dim_Reps!E:E)</f>
        <v>LATAM</v>
      </c>
      <c r="S3905" t="str">
        <f>_xlfn.XLOOKUP(Pipeline_tbl[[#This Row],[Created_Date]],Dim_Date!A:A,Dim_Date!H:H)</f>
        <v>Jul 2025</v>
      </c>
      <c r="T3905" t="str">
        <f>IF(Pipeline_tbl[[#This Row],[Closed_Date]]=0,"",(_xlfn.XLOOKUP(Pipeline_tbl[[#This Row],[Closed_Date]],Dim_Date!A:A,Dim_Date!H:H)))</f>
        <v>Jul 2025</v>
      </c>
      <c r="U3905">
        <f>IF(Pipeline_tbl[[#This Row],[Closed_Date]]=0,"",Pipeline_tbl[[#This Row],[Closed_Date]]-Pipeline_tbl[[#This Row],[Created_Date]])</f>
        <v>20</v>
      </c>
    </row>
    <row r="3906" spans="1:21" ht="15" customHeight="1" x14ac:dyDescent="0.2">
      <c r="A3906" t="s">
        <v>4212</v>
      </c>
      <c r="B3906" t="s">
        <v>235</v>
      </c>
      <c r="C3906" t="s">
        <v>54</v>
      </c>
      <c r="D3906" s="49">
        <v>45845</v>
      </c>
      <c r="E3906" s="49">
        <v>45846</v>
      </c>
      <c r="F3906" s="49">
        <v>45849</v>
      </c>
      <c r="G3906" s="49">
        <v>45852</v>
      </c>
      <c r="H3906" s="49">
        <v>45855</v>
      </c>
      <c r="I3906" s="49">
        <v>45857</v>
      </c>
      <c r="J3906" t="s">
        <v>49</v>
      </c>
      <c r="K3906" s="33">
        <v>5300</v>
      </c>
      <c r="L3906" t="s">
        <v>63</v>
      </c>
      <c r="M3906" t="str">
        <f>_xlfn.XLOOKUP(Pipeline_tbl[[#This Row],[Rep_ID]],Dim_Reps!A:A,Dim_Reps!K:K)</f>
        <v>MXN</v>
      </c>
      <c r="N3906" s="33">
        <f>(_xlfn.XLOOKUP(Pipeline_tbl[[#This Row],[Rate_Code_Generalized]],Lookups!A:A,Lookups!B:B))*Pipeline_tbl[[#This Row],[Pipeline_Amount_USD]]</f>
        <v>104583.31000000001</v>
      </c>
      <c r="O3906" t="str">
        <f>_xlfn.XLOOKUP(Pipeline_tbl[[#This Row],[Rep_ID]],Dim_Reps!A:A,Dim_Reps!B:B)</f>
        <v>Milo Castro</v>
      </c>
      <c r="P3906" t="str">
        <f>_xlfn.XLOOKUP(Pipeline_tbl[[#This Row],[Rep_ID]],Dim_Reps!A:A,Dim_Reps!C:C)</f>
        <v>SDR / Inside Sales Rep</v>
      </c>
      <c r="Q3906" t="str">
        <f>_xlfn.XLOOKUP(Pipeline_tbl[[#This Row],[Rep_ID]],Dim_Reps!A:A,Dim_Reps!D:D)</f>
        <v>Inside Sales</v>
      </c>
      <c r="R3906" t="str">
        <f>_xlfn.XLOOKUP(Pipeline_tbl[[#This Row],[Rep_ID]],Dim_Reps!A:A,Dim_Reps!E:E)</f>
        <v>LATAM</v>
      </c>
      <c r="S3906" t="str">
        <f>_xlfn.XLOOKUP(Pipeline_tbl[[#This Row],[Created_Date]],Dim_Date!A:A,Dim_Date!H:H)</f>
        <v>Jul 2025</v>
      </c>
      <c r="T3906" t="str">
        <f>IF(Pipeline_tbl[[#This Row],[Closed_Date]]=0,"",(_xlfn.XLOOKUP(Pipeline_tbl[[#This Row],[Closed_Date]],Dim_Date!A:A,Dim_Date!H:H)))</f>
        <v>Jul 2025</v>
      </c>
      <c r="U3906">
        <f>IF(Pipeline_tbl[[#This Row],[Closed_Date]]=0,"",Pipeline_tbl[[#This Row],[Closed_Date]]-Pipeline_tbl[[#This Row],[Created_Date]])</f>
        <v>12</v>
      </c>
    </row>
    <row r="3907" spans="1:21" ht="15" customHeight="1" x14ac:dyDescent="0.2">
      <c r="A3907" t="s">
        <v>4213</v>
      </c>
      <c r="B3907" t="s">
        <v>235</v>
      </c>
      <c r="C3907" t="s">
        <v>54</v>
      </c>
      <c r="D3907" s="49">
        <v>45852</v>
      </c>
      <c r="E3907" s="49">
        <v>45854</v>
      </c>
      <c r="F3907" s="49">
        <v>45857</v>
      </c>
      <c r="G3907" s="49">
        <v>45862</v>
      </c>
      <c r="H3907" s="49">
        <v>45866</v>
      </c>
      <c r="I3907" s="49">
        <v>45869</v>
      </c>
      <c r="J3907" t="s">
        <v>49</v>
      </c>
      <c r="K3907" s="33">
        <v>4500</v>
      </c>
      <c r="L3907" t="s">
        <v>62</v>
      </c>
      <c r="M3907" t="str">
        <f>_xlfn.XLOOKUP(Pipeline_tbl[[#This Row],[Rep_ID]],Dim_Reps!A:A,Dim_Reps!K:K)</f>
        <v>MXN</v>
      </c>
      <c r="N3907" s="33">
        <f>(_xlfn.XLOOKUP(Pipeline_tbl[[#This Row],[Rate_Code_Generalized]],Lookups!A:A,Lookups!B:B))*Pipeline_tbl[[#This Row],[Pipeline_Amount_USD]]</f>
        <v>88797.150000000009</v>
      </c>
      <c r="O3907" t="str">
        <f>_xlfn.XLOOKUP(Pipeline_tbl[[#This Row],[Rep_ID]],Dim_Reps!A:A,Dim_Reps!B:B)</f>
        <v>Milo Castro</v>
      </c>
      <c r="P3907" t="str">
        <f>_xlfn.XLOOKUP(Pipeline_tbl[[#This Row],[Rep_ID]],Dim_Reps!A:A,Dim_Reps!C:C)</f>
        <v>SDR / Inside Sales Rep</v>
      </c>
      <c r="Q3907" t="str">
        <f>_xlfn.XLOOKUP(Pipeline_tbl[[#This Row],[Rep_ID]],Dim_Reps!A:A,Dim_Reps!D:D)</f>
        <v>Inside Sales</v>
      </c>
      <c r="R3907" t="str">
        <f>_xlfn.XLOOKUP(Pipeline_tbl[[#This Row],[Rep_ID]],Dim_Reps!A:A,Dim_Reps!E:E)</f>
        <v>LATAM</v>
      </c>
      <c r="S3907" t="str">
        <f>_xlfn.XLOOKUP(Pipeline_tbl[[#This Row],[Created_Date]],Dim_Date!A:A,Dim_Date!H:H)</f>
        <v>Jul 2025</v>
      </c>
      <c r="T3907" t="str">
        <f>IF(Pipeline_tbl[[#This Row],[Closed_Date]]=0,"",(_xlfn.XLOOKUP(Pipeline_tbl[[#This Row],[Closed_Date]],Dim_Date!A:A,Dim_Date!H:H)))</f>
        <v>Jul 2025</v>
      </c>
      <c r="U3907">
        <f>IF(Pipeline_tbl[[#This Row],[Closed_Date]]=0,"",Pipeline_tbl[[#This Row],[Closed_Date]]-Pipeline_tbl[[#This Row],[Created_Date]])</f>
        <v>17</v>
      </c>
    </row>
    <row r="3908" spans="1:21" ht="15" customHeight="1" x14ac:dyDescent="0.2">
      <c r="A3908" t="s">
        <v>4214</v>
      </c>
      <c r="B3908" t="s">
        <v>241</v>
      </c>
      <c r="C3908" t="s">
        <v>52</v>
      </c>
      <c r="D3908" s="49">
        <v>45849</v>
      </c>
      <c r="E3908" s="49">
        <v>45850</v>
      </c>
      <c r="F3908" s="49">
        <v>45852</v>
      </c>
      <c r="G3908" s="49">
        <v>45855</v>
      </c>
      <c r="H3908" s="49">
        <v>45857</v>
      </c>
      <c r="I3908" s="49">
        <v>45859</v>
      </c>
      <c r="J3908" t="s">
        <v>49</v>
      </c>
      <c r="K3908" s="33">
        <v>6200</v>
      </c>
      <c r="L3908" t="s">
        <v>60</v>
      </c>
      <c r="M3908" t="str">
        <f>_xlfn.XLOOKUP(Pipeline_tbl[[#This Row],[Rep_ID]],Dim_Reps!A:A,Dim_Reps!K:K)</f>
        <v>EUR</v>
      </c>
      <c r="N3908" s="33">
        <f>(_xlfn.XLOOKUP(Pipeline_tbl[[#This Row],[Rate_Code_Generalized]],Lookups!A:A,Lookups!B:B))*Pipeline_tbl[[#This Row],[Pipeline_Amount_USD]]</f>
        <v>6200</v>
      </c>
      <c r="O3908" t="str">
        <f>_xlfn.XLOOKUP(Pipeline_tbl[[#This Row],[Rep_ID]],Dim_Reps!A:A,Dim_Reps!B:B)</f>
        <v>Kenji Weber</v>
      </c>
      <c r="P3908" t="str">
        <f>_xlfn.XLOOKUP(Pipeline_tbl[[#This Row],[Rep_ID]],Dim_Reps!A:A,Dim_Reps!C:C)</f>
        <v>SDR / Inside Sales Rep</v>
      </c>
      <c r="Q3908" t="str">
        <f>_xlfn.XLOOKUP(Pipeline_tbl[[#This Row],[Rep_ID]],Dim_Reps!A:A,Dim_Reps!D:D)</f>
        <v>Inside Sales</v>
      </c>
      <c r="R3908" t="str">
        <f>_xlfn.XLOOKUP(Pipeline_tbl[[#This Row],[Rep_ID]],Dim_Reps!A:A,Dim_Reps!E:E)</f>
        <v>APAC</v>
      </c>
      <c r="S3908" t="str">
        <f>_xlfn.XLOOKUP(Pipeline_tbl[[#This Row],[Created_Date]],Dim_Date!A:A,Dim_Date!H:H)</f>
        <v>Jul 2025</v>
      </c>
      <c r="T3908" t="str">
        <f>IF(Pipeline_tbl[[#This Row],[Closed_Date]]=0,"",(_xlfn.XLOOKUP(Pipeline_tbl[[#This Row],[Closed_Date]],Dim_Date!A:A,Dim_Date!H:H)))</f>
        <v>Jul 2025</v>
      </c>
      <c r="U3908">
        <f>IF(Pipeline_tbl[[#This Row],[Closed_Date]]=0,"",Pipeline_tbl[[#This Row],[Closed_Date]]-Pipeline_tbl[[#This Row],[Created_Date]])</f>
        <v>10</v>
      </c>
    </row>
    <row r="3909" spans="1:21" ht="15" customHeight="1" x14ac:dyDescent="0.2">
      <c r="A3909" t="s">
        <v>4215</v>
      </c>
      <c r="B3909" t="s">
        <v>241</v>
      </c>
      <c r="C3909" t="s">
        <v>52</v>
      </c>
      <c r="D3909" s="49">
        <v>45850</v>
      </c>
      <c r="E3909" s="49">
        <v>45851</v>
      </c>
      <c r="F3909" s="49">
        <v>45854</v>
      </c>
      <c r="G3909" s="49">
        <v>45857</v>
      </c>
      <c r="H3909" s="49">
        <v>45860</v>
      </c>
      <c r="I3909" s="49">
        <v>45862</v>
      </c>
      <c r="J3909" t="s">
        <v>47</v>
      </c>
      <c r="K3909" s="33">
        <v>4800</v>
      </c>
      <c r="M3909" t="str">
        <f>_xlfn.XLOOKUP(Pipeline_tbl[[#This Row],[Rep_ID]],Dim_Reps!A:A,Dim_Reps!K:K)</f>
        <v>EUR</v>
      </c>
      <c r="N3909" s="33">
        <f>(_xlfn.XLOOKUP(Pipeline_tbl[[#This Row],[Rate_Code_Generalized]],Lookups!A:A,Lookups!B:B))*Pipeline_tbl[[#This Row],[Pipeline_Amount_USD]]</f>
        <v>4800</v>
      </c>
      <c r="O3909" t="str">
        <f>_xlfn.XLOOKUP(Pipeline_tbl[[#This Row],[Rep_ID]],Dim_Reps!A:A,Dim_Reps!B:B)</f>
        <v>Kenji Weber</v>
      </c>
      <c r="P3909" t="str">
        <f>_xlfn.XLOOKUP(Pipeline_tbl[[#This Row],[Rep_ID]],Dim_Reps!A:A,Dim_Reps!C:C)</f>
        <v>SDR / Inside Sales Rep</v>
      </c>
      <c r="Q3909" t="str">
        <f>_xlfn.XLOOKUP(Pipeline_tbl[[#This Row],[Rep_ID]],Dim_Reps!A:A,Dim_Reps!D:D)</f>
        <v>Inside Sales</v>
      </c>
      <c r="R3909" t="str">
        <f>_xlfn.XLOOKUP(Pipeline_tbl[[#This Row],[Rep_ID]],Dim_Reps!A:A,Dim_Reps!E:E)</f>
        <v>APAC</v>
      </c>
      <c r="S3909" t="str">
        <f>_xlfn.XLOOKUP(Pipeline_tbl[[#This Row],[Created_Date]],Dim_Date!A:A,Dim_Date!H:H)</f>
        <v>Jul 2025</v>
      </c>
      <c r="T3909" t="str">
        <f>IF(Pipeline_tbl[[#This Row],[Closed_Date]]=0,"",(_xlfn.XLOOKUP(Pipeline_tbl[[#This Row],[Closed_Date]],Dim_Date!A:A,Dim_Date!H:H)))</f>
        <v>Jul 2025</v>
      </c>
      <c r="U3909">
        <f>IF(Pipeline_tbl[[#This Row],[Closed_Date]]=0,"",Pipeline_tbl[[#This Row],[Closed_Date]]-Pipeline_tbl[[#This Row],[Created_Date]])</f>
        <v>12</v>
      </c>
    </row>
    <row r="3910" spans="1:21" ht="15" customHeight="1" x14ac:dyDescent="0.2">
      <c r="A3910" t="s">
        <v>4216</v>
      </c>
      <c r="B3910" t="s">
        <v>241</v>
      </c>
      <c r="C3910" t="s">
        <v>54</v>
      </c>
      <c r="D3910" s="49">
        <v>45843</v>
      </c>
      <c r="E3910" s="49">
        <v>45844</v>
      </c>
      <c r="F3910" s="49">
        <v>45846</v>
      </c>
      <c r="G3910" s="49">
        <v>45850</v>
      </c>
      <c r="H3910" s="49">
        <v>45852</v>
      </c>
      <c r="I3910" s="49">
        <v>45854</v>
      </c>
      <c r="J3910" t="s">
        <v>49</v>
      </c>
      <c r="K3910" s="33">
        <v>3600</v>
      </c>
      <c r="L3910" t="s">
        <v>64</v>
      </c>
      <c r="M3910" t="str">
        <f>_xlfn.XLOOKUP(Pipeline_tbl[[#This Row],[Rep_ID]],Dim_Reps!A:A,Dim_Reps!K:K)</f>
        <v>EUR</v>
      </c>
      <c r="N3910" s="33">
        <f>(_xlfn.XLOOKUP(Pipeline_tbl[[#This Row],[Rate_Code_Generalized]],Lookups!A:A,Lookups!B:B))*Pipeline_tbl[[#This Row],[Pipeline_Amount_USD]]</f>
        <v>3600</v>
      </c>
      <c r="O3910" t="str">
        <f>_xlfn.XLOOKUP(Pipeline_tbl[[#This Row],[Rep_ID]],Dim_Reps!A:A,Dim_Reps!B:B)</f>
        <v>Kenji Weber</v>
      </c>
      <c r="P3910" t="str">
        <f>_xlfn.XLOOKUP(Pipeline_tbl[[#This Row],[Rep_ID]],Dim_Reps!A:A,Dim_Reps!C:C)</f>
        <v>SDR / Inside Sales Rep</v>
      </c>
      <c r="Q3910" t="str">
        <f>_xlfn.XLOOKUP(Pipeline_tbl[[#This Row],[Rep_ID]],Dim_Reps!A:A,Dim_Reps!D:D)</f>
        <v>Inside Sales</v>
      </c>
      <c r="R3910" t="str">
        <f>_xlfn.XLOOKUP(Pipeline_tbl[[#This Row],[Rep_ID]],Dim_Reps!A:A,Dim_Reps!E:E)</f>
        <v>APAC</v>
      </c>
      <c r="S3910" t="str">
        <f>_xlfn.XLOOKUP(Pipeline_tbl[[#This Row],[Created_Date]],Dim_Date!A:A,Dim_Date!H:H)</f>
        <v>Jul 2025</v>
      </c>
      <c r="T3910" t="str">
        <f>IF(Pipeline_tbl[[#This Row],[Closed_Date]]=0,"",(_xlfn.XLOOKUP(Pipeline_tbl[[#This Row],[Closed_Date]],Dim_Date!A:A,Dim_Date!H:H)))</f>
        <v>Jul 2025</v>
      </c>
      <c r="U3910">
        <f>IF(Pipeline_tbl[[#This Row],[Closed_Date]]=0,"",Pipeline_tbl[[#This Row],[Closed_Date]]-Pipeline_tbl[[#This Row],[Created_Date]])</f>
        <v>11</v>
      </c>
    </row>
    <row r="3911" spans="1:21" ht="15" customHeight="1" x14ac:dyDescent="0.2">
      <c r="A3911" t="s">
        <v>4217</v>
      </c>
      <c r="B3911" t="s">
        <v>280</v>
      </c>
      <c r="C3911" t="s">
        <v>56</v>
      </c>
      <c r="D3911" s="49">
        <v>45859</v>
      </c>
      <c r="E3911" s="49">
        <v>45870</v>
      </c>
      <c r="F3911" s="49">
        <v>45891</v>
      </c>
      <c r="I3911" s="49">
        <v>45967</v>
      </c>
      <c r="J3911" t="s">
        <v>49</v>
      </c>
      <c r="K3911" s="33">
        <v>33600</v>
      </c>
      <c r="L3911" t="s">
        <v>60</v>
      </c>
      <c r="M3911" t="str">
        <f>_xlfn.XLOOKUP(Pipeline_tbl[[#This Row],[Rep_ID]],Dim_Reps!A:A,Dim_Reps!K:K)</f>
        <v>MXN</v>
      </c>
      <c r="N3911" s="33">
        <f>(_xlfn.XLOOKUP(Pipeline_tbl[[#This Row],[Rate_Code_Generalized]],Lookups!A:A,Lookups!B:B))*Pipeline_tbl[[#This Row],[Pipeline_Amount_USD]]</f>
        <v>663018.72000000009</v>
      </c>
      <c r="O3911" t="str">
        <f>_xlfn.XLOOKUP(Pipeline_tbl[[#This Row],[Rep_ID]],Dim_Reps!A:A,Dim_Reps!B:B)</f>
        <v>Cameron Lund</v>
      </c>
      <c r="P3911" t="str">
        <f>_xlfn.XLOOKUP(Pipeline_tbl[[#This Row],[Rep_ID]],Dim_Reps!A:A,Dim_Reps!C:C)</f>
        <v>Senior Enterprise AE</v>
      </c>
      <c r="Q3911" t="str">
        <f>_xlfn.XLOOKUP(Pipeline_tbl[[#This Row],[Rep_ID]],Dim_Reps!A:A,Dim_Reps!D:D)</f>
        <v>Strategic</v>
      </c>
      <c r="R3911" t="str">
        <f>_xlfn.XLOOKUP(Pipeline_tbl[[#This Row],[Rep_ID]],Dim_Reps!A:A,Dim_Reps!E:E)</f>
        <v>LATAM</v>
      </c>
      <c r="S3911" t="str">
        <f>_xlfn.XLOOKUP(Pipeline_tbl[[#This Row],[Created_Date]],Dim_Date!A:A,Dim_Date!H:H)</f>
        <v>Jul 2025</v>
      </c>
      <c r="T3911" t="str">
        <f>IF(Pipeline_tbl[[#This Row],[Closed_Date]]=0,"",(_xlfn.XLOOKUP(Pipeline_tbl[[#This Row],[Closed_Date]],Dim_Date!A:A,Dim_Date!H:H)))</f>
        <v>Nov 2025</v>
      </c>
      <c r="U3911">
        <f>IF(Pipeline_tbl[[#This Row],[Closed_Date]]=0,"",Pipeline_tbl[[#This Row],[Closed_Date]]-Pipeline_tbl[[#This Row],[Created_Date]])</f>
        <v>108</v>
      </c>
    </row>
    <row r="3912" spans="1:21" ht="15" customHeight="1" x14ac:dyDescent="0.2">
      <c r="A3912" t="s">
        <v>4218</v>
      </c>
      <c r="B3912" t="s">
        <v>191</v>
      </c>
      <c r="C3912" t="s">
        <v>53</v>
      </c>
      <c r="D3912" s="49">
        <v>45868</v>
      </c>
      <c r="E3912" s="49">
        <v>45880</v>
      </c>
      <c r="F3912" s="49">
        <v>45903</v>
      </c>
      <c r="G3912" s="49">
        <v>45938</v>
      </c>
      <c r="H3912" s="49">
        <v>45967</v>
      </c>
      <c r="I3912" s="49">
        <v>45984</v>
      </c>
      <c r="J3912" t="s">
        <v>47</v>
      </c>
      <c r="K3912" s="33">
        <v>60100</v>
      </c>
      <c r="M3912" t="str">
        <f>_xlfn.XLOOKUP(Pipeline_tbl[[#This Row],[Rep_ID]],Dim_Reps!A:A,Dim_Reps!K:K)</f>
        <v>USD</v>
      </c>
      <c r="N3912" s="33">
        <f>(_xlfn.XLOOKUP(Pipeline_tbl[[#This Row],[Rate_Code_Generalized]],Lookups!A:A,Lookups!B:B))*Pipeline_tbl[[#This Row],[Pipeline_Amount_USD]]</f>
        <v>69974.429999999993</v>
      </c>
      <c r="O3912" t="str">
        <f>_xlfn.XLOOKUP(Pipeline_tbl[[#This Row],[Rep_ID]],Dim_Reps!A:A,Dim_Reps!B:B)</f>
        <v>Zara Duarte</v>
      </c>
      <c r="P3912" t="str">
        <f>_xlfn.XLOOKUP(Pipeline_tbl[[#This Row],[Rep_ID]],Dim_Reps!A:A,Dim_Reps!C:C)</f>
        <v>Enterprise AE</v>
      </c>
      <c r="Q3912" t="str">
        <f>_xlfn.XLOOKUP(Pipeline_tbl[[#This Row],[Rep_ID]],Dim_Reps!A:A,Dim_Reps!D:D)</f>
        <v>Enterprise</v>
      </c>
      <c r="R3912" t="str">
        <f>_xlfn.XLOOKUP(Pipeline_tbl[[#This Row],[Rep_ID]],Dim_Reps!A:A,Dim_Reps!E:E)</f>
        <v>NAMER</v>
      </c>
      <c r="S3912" t="str">
        <f>_xlfn.XLOOKUP(Pipeline_tbl[[#This Row],[Created_Date]],Dim_Date!A:A,Dim_Date!H:H)</f>
        <v>Jul 2025</v>
      </c>
      <c r="T3912" t="str">
        <f>IF(Pipeline_tbl[[#This Row],[Closed_Date]]=0,"",(_xlfn.XLOOKUP(Pipeline_tbl[[#This Row],[Closed_Date]],Dim_Date!A:A,Dim_Date!H:H)))</f>
        <v>Nov 2025</v>
      </c>
      <c r="U3912">
        <f>IF(Pipeline_tbl[[#This Row],[Closed_Date]]=0,"",Pipeline_tbl[[#This Row],[Closed_Date]]-Pipeline_tbl[[#This Row],[Created_Date]])</f>
        <v>116</v>
      </c>
    </row>
    <row r="3913" spans="1:21" ht="15" customHeight="1" x14ac:dyDescent="0.2">
      <c r="A3913" t="s">
        <v>4219</v>
      </c>
      <c r="B3913" t="s">
        <v>284</v>
      </c>
      <c r="C3913" t="s">
        <v>53</v>
      </c>
      <c r="D3913" s="49">
        <v>45869</v>
      </c>
      <c r="E3913" s="49">
        <v>45880</v>
      </c>
      <c r="F3913" s="49">
        <v>45902</v>
      </c>
      <c r="G3913" s="49">
        <v>45934</v>
      </c>
      <c r="I3913" s="49">
        <v>45978</v>
      </c>
      <c r="J3913" t="s">
        <v>49</v>
      </c>
      <c r="K3913" s="33">
        <v>147700</v>
      </c>
      <c r="L3913" t="s">
        <v>61</v>
      </c>
      <c r="M3913" t="str">
        <f>_xlfn.XLOOKUP(Pipeline_tbl[[#This Row],[Rep_ID]],Dim_Reps!A:A,Dim_Reps!K:K)</f>
        <v>USD</v>
      </c>
      <c r="N3913" s="33">
        <f>(_xlfn.XLOOKUP(Pipeline_tbl[[#This Row],[Rate_Code_Generalized]],Lookups!A:A,Lookups!B:B))*Pipeline_tbl[[#This Row],[Pipeline_Amount_USD]]</f>
        <v>171967.11</v>
      </c>
      <c r="O3913" t="str">
        <f>_xlfn.XLOOKUP(Pipeline_tbl[[#This Row],[Rep_ID]],Dim_Reps!A:A,Dim_Reps!B:B)</f>
        <v>Taylor Adler</v>
      </c>
      <c r="P3913" t="str">
        <f>_xlfn.XLOOKUP(Pipeline_tbl[[#This Row],[Rep_ID]],Dim_Reps!A:A,Dim_Reps!C:C)</f>
        <v>Senior Enterprise AE</v>
      </c>
      <c r="Q3913" t="str">
        <f>_xlfn.XLOOKUP(Pipeline_tbl[[#This Row],[Rep_ID]],Dim_Reps!A:A,Dim_Reps!D:D)</f>
        <v>Strategic</v>
      </c>
      <c r="R3913" t="str">
        <f>_xlfn.XLOOKUP(Pipeline_tbl[[#This Row],[Rep_ID]],Dim_Reps!A:A,Dim_Reps!E:E)</f>
        <v>NAMER</v>
      </c>
      <c r="S3913" t="str">
        <f>_xlfn.XLOOKUP(Pipeline_tbl[[#This Row],[Created_Date]],Dim_Date!A:A,Dim_Date!H:H)</f>
        <v>Jul 2025</v>
      </c>
      <c r="T3913" t="str">
        <f>IF(Pipeline_tbl[[#This Row],[Closed_Date]]=0,"",(_xlfn.XLOOKUP(Pipeline_tbl[[#This Row],[Closed_Date]],Dim_Date!A:A,Dim_Date!H:H)))</f>
        <v>Nov 2025</v>
      </c>
      <c r="U3913">
        <f>IF(Pipeline_tbl[[#This Row],[Closed_Date]]=0,"",Pipeline_tbl[[#This Row],[Closed_Date]]-Pipeline_tbl[[#This Row],[Created_Date]])</f>
        <v>109</v>
      </c>
    </row>
    <row r="3914" spans="1:21" ht="15" customHeight="1" x14ac:dyDescent="0.2">
      <c r="A3914" t="s">
        <v>4220</v>
      </c>
      <c r="B3914" t="s">
        <v>284</v>
      </c>
      <c r="C3914" t="s">
        <v>56</v>
      </c>
      <c r="D3914" s="49">
        <v>45868</v>
      </c>
      <c r="E3914" s="49">
        <v>45878</v>
      </c>
      <c r="F3914" s="49">
        <v>45898</v>
      </c>
      <c r="G3914" s="49">
        <v>45929</v>
      </c>
      <c r="H3914" s="49">
        <v>45954</v>
      </c>
      <c r="I3914" s="49">
        <v>45969</v>
      </c>
      <c r="J3914" t="s">
        <v>47</v>
      </c>
      <c r="K3914" s="33">
        <v>153500</v>
      </c>
      <c r="M3914" t="str">
        <f>_xlfn.XLOOKUP(Pipeline_tbl[[#This Row],[Rep_ID]],Dim_Reps!A:A,Dim_Reps!K:K)</f>
        <v>USD</v>
      </c>
      <c r="N3914" s="33">
        <f>(_xlfn.XLOOKUP(Pipeline_tbl[[#This Row],[Rate_Code_Generalized]],Lookups!A:A,Lookups!B:B))*Pipeline_tbl[[#This Row],[Pipeline_Amount_USD]]</f>
        <v>178720.05</v>
      </c>
      <c r="O3914" t="str">
        <f>_xlfn.XLOOKUP(Pipeline_tbl[[#This Row],[Rep_ID]],Dim_Reps!A:A,Dim_Reps!B:B)</f>
        <v>Taylor Adler</v>
      </c>
      <c r="P3914" t="str">
        <f>_xlfn.XLOOKUP(Pipeline_tbl[[#This Row],[Rep_ID]],Dim_Reps!A:A,Dim_Reps!C:C)</f>
        <v>Senior Enterprise AE</v>
      </c>
      <c r="Q3914" t="str">
        <f>_xlfn.XLOOKUP(Pipeline_tbl[[#This Row],[Rep_ID]],Dim_Reps!A:A,Dim_Reps!D:D)</f>
        <v>Strategic</v>
      </c>
      <c r="R3914" t="str">
        <f>_xlfn.XLOOKUP(Pipeline_tbl[[#This Row],[Rep_ID]],Dim_Reps!A:A,Dim_Reps!E:E)</f>
        <v>NAMER</v>
      </c>
      <c r="S3914" t="str">
        <f>_xlfn.XLOOKUP(Pipeline_tbl[[#This Row],[Created_Date]],Dim_Date!A:A,Dim_Date!H:H)</f>
        <v>Jul 2025</v>
      </c>
      <c r="T3914" t="str">
        <f>IF(Pipeline_tbl[[#This Row],[Closed_Date]]=0,"",(_xlfn.XLOOKUP(Pipeline_tbl[[#This Row],[Closed_Date]],Dim_Date!A:A,Dim_Date!H:H)))</f>
        <v>Nov 2025</v>
      </c>
      <c r="U3914">
        <f>IF(Pipeline_tbl[[#This Row],[Closed_Date]]=0,"",Pipeline_tbl[[#This Row],[Closed_Date]]-Pipeline_tbl[[#This Row],[Created_Date]])</f>
        <v>101</v>
      </c>
    </row>
    <row r="3915" spans="1:21" ht="15" customHeight="1" x14ac:dyDescent="0.2">
      <c r="A3915" t="s">
        <v>4221</v>
      </c>
      <c r="B3915" t="s">
        <v>177</v>
      </c>
      <c r="C3915" t="s">
        <v>53</v>
      </c>
      <c r="D3915" s="49">
        <v>45852</v>
      </c>
      <c r="E3915" s="49">
        <v>45861</v>
      </c>
      <c r="F3915" s="49">
        <v>45879</v>
      </c>
      <c r="G3915" s="49">
        <v>45907</v>
      </c>
      <c r="H3915" s="49">
        <v>45929</v>
      </c>
      <c r="I3915" s="49">
        <v>45943</v>
      </c>
      <c r="J3915" t="s">
        <v>47</v>
      </c>
      <c r="K3915" s="33">
        <v>31900</v>
      </c>
      <c r="M3915" t="str">
        <f>_xlfn.XLOOKUP(Pipeline_tbl[[#This Row],[Rep_ID]],Dim_Reps!A:A,Dim_Reps!K:K)</f>
        <v>USD</v>
      </c>
      <c r="N3915" s="33">
        <f>(_xlfn.XLOOKUP(Pipeline_tbl[[#This Row],[Rate_Code_Generalized]],Lookups!A:A,Lookups!B:B))*Pipeline_tbl[[#This Row],[Pipeline_Amount_USD]]</f>
        <v>37141.17</v>
      </c>
      <c r="O3915" t="str">
        <f>_xlfn.XLOOKUP(Pipeline_tbl[[#This Row],[Rep_ID]],Dim_Reps!A:A,Dim_Reps!B:B)</f>
        <v>Lucas Cohen</v>
      </c>
      <c r="P3915" t="str">
        <f>_xlfn.XLOOKUP(Pipeline_tbl[[#This Row],[Rep_ID]],Dim_Reps!A:A,Dim_Reps!C:C)</f>
        <v>Enterprise AE</v>
      </c>
      <c r="Q3915" t="str">
        <f>_xlfn.XLOOKUP(Pipeline_tbl[[#This Row],[Rep_ID]],Dim_Reps!A:A,Dim_Reps!D:D)</f>
        <v>Enterprise</v>
      </c>
      <c r="R3915" t="str">
        <f>_xlfn.XLOOKUP(Pipeline_tbl[[#This Row],[Rep_ID]],Dim_Reps!A:A,Dim_Reps!E:E)</f>
        <v>NAMER</v>
      </c>
      <c r="S3915" t="str">
        <f>_xlfn.XLOOKUP(Pipeline_tbl[[#This Row],[Created_Date]],Dim_Date!A:A,Dim_Date!H:H)</f>
        <v>Jul 2025</v>
      </c>
      <c r="T3915" t="str">
        <f>IF(Pipeline_tbl[[#This Row],[Closed_Date]]=0,"",(_xlfn.XLOOKUP(Pipeline_tbl[[#This Row],[Closed_Date]],Dim_Date!A:A,Dim_Date!H:H)))</f>
        <v>Oct 2025</v>
      </c>
      <c r="U3915">
        <f>IF(Pipeline_tbl[[#This Row],[Closed_Date]]=0,"",Pipeline_tbl[[#This Row],[Closed_Date]]-Pipeline_tbl[[#This Row],[Created_Date]])</f>
        <v>91</v>
      </c>
    </row>
    <row r="3916" spans="1:21" ht="15" customHeight="1" x14ac:dyDescent="0.2">
      <c r="A3916" t="s">
        <v>4222</v>
      </c>
      <c r="B3916" t="s">
        <v>278</v>
      </c>
      <c r="C3916" t="s">
        <v>52</v>
      </c>
      <c r="D3916" s="49">
        <v>45860</v>
      </c>
      <c r="E3916" s="49">
        <v>45869</v>
      </c>
      <c r="F3916" s="49">
        <v>45887</v>
      </c>
      <c r="G3916" s="49">
        <v>45914</v>
      </c>
      <c r="H3916" s="49">
        <v>45937</v>
      </c>
      <c r="I3916" s="49">
        <v>45950</v>
      </c>
      <c r="J3916" t="s">
        <v>49</v>
      </c>
      <c r="K3916" s="33">
        <v>44900</v>
      </c>
      <c r="L3916" t="s">
        <v>62</v>
      </c>
      <c r="M3916" t="str">
        <f>_xlfn.XLOOKUP(Pipeline_tbl[[#This Row],[Rep_ID]],Dim_Reps!A:A,Dim_Reps!K:K)</f>
        <v>EUR</v>
      </c>
      <c r="N3916" s="33">
        <f>(_xlfn.XLOOKUP(Pipeline_tbl[[#This Row],[Rate_Code_Generalized]],Lookups!A:A,Lookups!B:B))*Pipeline_tbl[[#This Row],[Pipeline_Amount_USD]]</f>
        <v>44900</v>
      </c>
      <c r="O3916" t="str">
        <f>_xlfn.XLOOKUP(Pipeline_tbl[[#This Row],[Rep_ID]],Dim_Reps!A:A,Dim_Reps!B:B)</f>
        <v>Sara Andersson</v>
      </c>
      <c r="P3916" t="str">
        <f>_xlfn.XLOOKUP(Pipeline_tbl[[#This Row],[Rep_ID]],Dim_Reps!A:A,Dim_Reps!C:C)</f>
        <v>Senior Enterprise AE</v>
      </c>
      <c r="Q3916" t="str">
        <f>_xlfn.XLOOKUP(Pipeline_tbl[[#This Row],[Rep_ID]],Dim_Reps!A:A,Dim_Reps!D:D)</f>
        <v>Strategic</v>
      </c>
      <c r="R3916" t="str">
        <f>_xlfn.XLOOKUP(Pipeline_tbl[[#This Row],[Rep_ID]],Dim_Reps!A:A,Dim_Reps!E:E)</f>
        <v>APAC</v>
      </c>
      <c r="S3916" t="str">
        <f>_xlfn.XLOOKUP(Pipeline_tbl[[#This Row],[Created_Date]],Dim_Date!A:A,Dim_Date!H:H)</f>
        <v>Jul 2025</v>
      </c>
      <c r="T3916" t="str">
        <f>IF(Pipeline_tbl[[#This Row],[Closed_Date]]=0,"",(_xlfn.XLOOKUP(Pipeline_tbl[[#This Row],[Closed_Date]],Dim_Date!A:A,Dim_Date!H:H)))</f>
        <v>Oct 2025</v>
      </c>
      <c r="U3916">
        <f>IF(Pipeline_tbl[[#This Row],[Closed_Date]]=0,"",Pipeline_tbl[[#This Row],[Closed_Date]]-Pipeline_tbl[[#This Row],[Created_Date]])</f>
        <v>90</v>
      </c>
    </row>
    <row r="3917" spans="1:21" ht="15" customHeight="1" x14ac:dyDescent="0.2">
      <c r="A3917" t="s">
        <v>4223</v>
      </c>
      <c r="B3917" t="s">
        <v>188</v>
      </c>
      <c r="C3917" t="s">
        <v>53</v>
      </c>
      <c r="D3917" s="49">
        <v>45850</v>
      </c>
      <c r="E3917" s="49">
        <v>45858</v>
      </c>
      <c r="F3917" s="49">
        <v>45875</v>
      </c>
      <c r="G3917" s="49">
        <v>45899</v>
      </c>
      <c r="I3917" s="49">
        <v>45932</v>
      </c>
      <c r="J3917" t="s">
        <v>49</v>
      </c>
      <c r="K3917" s="33">
        <v>73500</v>
      </c>
      <c r="L3917" t="s">
        <v>61</v>
      </c>
      <c r="M3917" t="str">
        <f>_xlfn.XLOOKUP(Pipeline_tbl[[#This Row],[Rep_ID]],Dim_Reps!A:A,Dim_Reps!K:K)</f>
        <v>EUR</v>
      </c>
      <c r="N3917" s="33">
        <f>(_xlfn.XLOOKUP(Pipeline_tbl[[#This Row],[Rate_Code_Generalized]],Lookups!A:A,Lookups!B:B))*Pipeline_tbl[[#This Row],[Pipeline_Amount_USD]]</f>
        <v>73500</v>
      </c>
      <c r="O3917" t="str">
        <f>_xlfn.XLOOKUP(Pipeline_tbl[[#This Row],[Rep_ID]],Dim_Reps!A:A,Dim_Reps!B:B)</f>
        <v>Jamie Santos</v>
      </c>
      <c r="P3917" t="str">
        <f>_xlfn.XLOOKUP(Pipeline_tbl[[#This Row],[Rep_ID]],Dim_Reps!A:A,Dim_Reps!C:C)</f>
        <v>Enterprise AE</v>
      </c>
      <c r="Q3917" t="str">
        <f>_xlfn.XLOOKUP(Pipeline_tbl[[#This Row],[Rep_ID]],Dim_Reps!A:A,Dim_Reps!D:D)</f>
        <v>Enterprise</v>
      </c>
      <c r="R3917" t="str">
        <f>_xlfn.XLOOKUP(Pipeline_tbl[[#This Row],[Rep_ID]],Dim_Reps!A:A,Dim_Reps!E:E)</f>
        <v>APAC</v>
      </c>
      <c r="S3917" t="str">
        <f>_xlfn.XLOOKUP(Pipeline_tbl[[#This Row],[Created_Date]],Dim_Date!A:A,Dim_Date!H:H)</f>
        <v>Jul 2025</v>
      </c>
      <c r="T3917" t="str">
        <f>IF(Pipeline_tbl[[#This Row],[Closed_Date]]=0,"",(_xlfn.XLOOKUP(Pipeline_tbl[[#This Row],[Closed_Date]],Dim_Date!A:A,Dim_Date!H:H)))</f>
        <v>Oct 2025</v>
      </c>
      <c r="U3917">
        <f>IF(Pipeline_tbl[[#This Row],[Closed_Date]]=0,"",Pipeline_tbl[[#This Row],[Closed_Date]]-Pipeline_tbl[[#This Row],[Created_Date]])</f>
        <v>82</v>
      </c>
    </row>
    <row r="3918" spans="1:21" ht="15" customHeight="1" x14ac:dyDescent="0.2">
      <c r="A3918" t="s">
        <v>4224</v>
      </c>
      <c r="B3918" t="s">
        <v>188</v>
      </c>
      <c r="C3918" t="s">
        <v>56</v>
      </c>
      <c r="D3918" s="49">
        <v>45860</v>
      </c>
      <c r="E3918" s="49">
        <v>45868</v>
      </c>
      <c r="F3918" s="49">
        <v>45885</v>
      </c>
      <c r="I3918" s="49">
        <v>45942</v>
      </c>
      <c r="J3918" t="s">
        <v>49</v>
      </c>
      <c r="K3918" s="33">
        <v>30600</v>
      </c>
      <c r="L3918" t="s">
        <v>62</v>
      </c>
      <c r="M3918" t="str">
        <f>_xlfn.XLOOKUP(Pipeline_tbl[[#This Row],[Rep_ID]],Dim_Reps!A:A,Dim_Reps!K:K)</f>
        <v>EUR</v>
      </c>
      <c r="N3918" s="33">
        <f>(_xlfn.XLOOKUP(Pipeline_tbl[[#This Row],[Rate_Code_Generalized]],Lookups!A:A,Lookups!B:B))*Pipeline_tbl[[#This Row],[Pipeline_Amount_USD]]</f>
        <v>30600</v>
      </c>
      <c r="O3918" t="str">
        <f>_xlfn.XLOOKUP(Pipeline_tbl[[#This Row],[Rep_ID]],Dim_Reps!A:A,Dim_Reps!B:B)</f>
        <v>Jamie Santos</v>
      </c>
      <c r="P3918" t="str">
        <f>_xlfn.XLOOKUP(Pipeline_tbl[[#This Row],[Rep_ID]],Dim_Reps!A:A,Dim_Reps!C:C)</f>
        <v>Enterprise AE</v>
      </c>
      <c r="Q3918" t="str">
        <f>_xlfn.XLOOKUP(Pipeline_tbl[[#This Row],[Rep_ID]],Dim_Reps!A:A,Dim_Reps!D:D)</f>
        <v>Enterprise</v>
      </c>
      <c r="R3918" t="str">
        <f>_xlfn.XLOOKUP(Pipeline_tbl[[#This Row],[Rep_ID]],Dim_Reps!A:A,Dim_Reps!E:E)</f>
        <v>APAC</v>
      </c>
      <c r="S3918" t="str">
        <f>_xlfn.XLOOKUP(Pipeline_tbl[[#This Row],[Created_Date]],Dim_Date!A:A,Dim_Date!H:H)</f>
        <v>Jul 2025</v>
      </c>
      <c r="T3918" t="str">
        <f>IF(Pipeline_tbl[[#This Row],[Closed_Date]]=0,"",(_xlfn.XLOOKUP(Pipeline_tbl[[#This Row],[Closed_Date]],Dim_Date!A:A,Dim_Date!H:H)))</f>
        <v>Oct 2025</v>
      </c>
      <c r="U3918">
        <f>IF(Pipeline_tbl[[#This Row],[Closed_Date]]=0,"",Pipeline_tbl[[#This Row],[Closed_Date]]-Pipeline_tbl[[#This Row],[Created_Date]])</f>
        <v>82</v>
      </c>
    </row>
    <row r="3919" spans="1:21" ht="15" customHeight="1" x14ac:dyDescent="0.2">
      <c r="A3919" t="s">
        <v>4225</v>
      </c>
      <c r="B3919" t="s">
        <v>280</v>
      </c>
      <c r="C3919" t="s">
        <v>52</v>
      </c>
      <c r="D3919" s="49">
        <v>45858</v>
      </c>
      <c r="E3919" s="49">
        <v>45868</v>
      </c>
      <c r="F3919" s="49">
        <v>45887</v>
      </c>
      <c r="G3919" s="49">
        <v>45915</v>
      </c>
      <c r="H3919" s="49">
        <v>45939</v>
      </c>
      <c r="I3919" s="49">
        <v>45953</v>
      </c>
      <c r="J3919" t="s">
        <v>47</v>
      </c>
      <c r="K3919" s="33">
        <v>67400</v>
      </c>
      <c r="M3919" t="str">
        <f>_xlfn.XLOOKUP(Pipeline_tbl[[#This Row],[Rep_ID]],Dim_Reps!A:A,Dim_Reps!K:K)</f>
        <v>MXN</v>
      </c>
      <c r="N3919" s="33">
        <f>(_xlfn.XLOOKUP(Pipeline_tbl[[#This Row],[Rate_Code_Generalized]],Lookups!A:A,Lookups!B:B))*Pipeline_tbl[[#This Row],[Pipeline_Amount_USD]]</f>
        <v>1329983.98</v>
      </c>
      <c r="O3919" t="str">
        <f>_xlfn.XLOOKUP(Pipeline_tbl[[#This Row],[Rep_ID]],Dim_Reps!A:A,Dim_Reps!B:B)</f>
        <v>Cameron Lund</v>
      </c>
      <c r="P3919" t="str">
        <f>_xlfn.XLOOKUP(Pipeline_tbl[[#This Row],[Rep_ID]],Dim_Reps!A:A,Dim_Reps!C:C)</f>
        <v>Senior Enterprise AE</v>
      </c>
      <c r="Q3919" t="str">
        <f>_xlfn.XLOOKUP(Pipeline_tbl[[#This Row],[Rep_ID]],Dim_Reps!A:A,Dim_Reps!D:D)</f>
        <v>Strategic</v>
      </c>
      <c r="R3919" t="str">
        <f>_xlfn.XLOOKUP(Pipeline_tbl[[#This Row],[Rep_ID]],Dim_Reps!A:A,Dim_Reps!E:E)</f>
        <v>LATAM</v>
      </c>
      <c r="S3919" t="str">
        <f>_xlfn.XLOOKUP(Pipeline_tbl[[#This Row],[Created_Date]],Dim_Date!A:A,Dim_Date!H:H)</f>
        <v>Jul 2025</v>
      </c>
      <c r="T3919" t="str">
        <f>IF(Pipeline_tbl[[#This Row],[Closed_Date]]=0,"",(_xlfn.XLOOKUP(Pipeline_tbl[[#This Row],[Closed_Date]],Dim_Date!A:A,Dim_Date!H:H)))</f>
        <v>Oct 2025</v>
      </c>
      <c r="U3919">
        <f>IF(Pipeline_tbl[[#This Row],[Closed_Date]]=0,"",Pipeline_tbl[[#This Row],[Closed_Date]]-Pipeline_tbl[[#This Row],[Created_Date]])</f>
        <v>95</v>
      </c>
    </row>
    <row r="3920" spans="1:21" ht="15" customHeight="1" x14ac:dyDescent="0.2">
      <c r="A3920" t="s">
        <v>4226</v>
      </c>
      <c r="B3920" t="s">
        <v>280</v>
      </c>
      <c r="C3920" t="s">
        <v>52</v>
      </c>
      <c r="D3920" s="49">
        <v>45852</v>
      </c>
      <c r="E3920" s="49">
        <v>45861</v>
      </c>
      <c r="F3920" s="49">
        <v>45880</v>
      </c>
      <c r="G3920" s="49">
        <v>45907</v>
      </c>
      <c r="I3920" s="49">
        <v>45944</v>
      </c>
      <c r="J3920" t="s">
        <v>49</v>
      </c>
      <c r="K3920" s="33">
        <v>95500</v>
      </c>
      <c r="L3920" t="s">
        <v>61</v>
      </c>
      <c r="M3920" t="str">
        <f>_xlfn.XLOOKUP(Pipeline_tbl[[#This Row],[Rep_ID]],Dim_Reps!A:A,Dim_Reps!K:K)</f>
        <v>MXN</v>
      </c>
      <c r="N3920" s="33">
        <f>(_xlfn.XLOOKUP(Pipeline_tbl[[#This Row],[Rate_Code_Generalized]],Lookups!A:A,Lookups!B:B))*Pipeline_tbl[[#This Row],[Pipeline_Amount_USD]]</f>
        <v>1884472.85</v>
      </c>
      <c r="O3920" t="str">
        <f>_xlfn.XLOOKUP(Pipeline_tbl[[#This Row],[Rep_ID]],Dim_Reps!A:A,Dim_Reps!B:B)</f>
        <v>Cameron Lund</v>
      </c>
      <c r="P3920" t="str">
        <f>_xlfn.XLOOKUP(Pipeline_tbl[[#This Row],[Rep_ID]],Dim_Reps!A:A,Dim_Reps!C:C)</f>
        <v>Senior Enterprise AE</v>
      </c>
      <c r="Q3920" t="str">
        <f>_xlfn.XLOOKUP(Pipeline_tbl[[#This Row],[Rep_ID]],Dim_Reps!A:A,Dim_Reps!D:D)</f>
        <v>Strategic</v>
      </c>
      <c r="R3920" t="str">
        <f>_xlfn.XLOOKUP(Pipeline_tbl[[#This Row],[Rep_ID]],Dim_Reps!A:A,Dim_Reps!E:E)</f>
        <v>LATAM</v>
      </c>
      <c r="S3920" t="str">
        <f>_xlfn.XLOOKUP(Pipeline_tbl[[#This Row],[Created_Date]],Dim_Date!A:A,Dim_Date!H:H)</f>
        <v>Jul 2025</v>
      </c>
      <c r="T3920" t="str">
        <f>IF(Pipeline_tbl[[#This Row],[Closed_Date]]=0,"",(_xlfn.XLOOKUP(Pipeline_tbl[[#This Row],[Closed_Date]],Dim_Date!A:A,Dim_Date!H:H)))</f>
        <v>Oct 2025</v>
      </c>
      <c r="U3920">
        <f>IF(Pipeline_tbl[[#This Row],[Closed_Date]]=0,"",Pipeline_tbl[[#This Row],[Closed_Date]]-Pipeline_tbl[[#This Row],[Created_Date]])</f>
        <v>92</v>
      </c>
    </row>
    <row r="3921" spans="1:21" ht="15" customHeight="1" x14ac:dyDescent="0.2">
      <c r="A3921" t="s">
        <v>4227</v>
      </c>
      <c r="B3921" t="s">
        <v>282</v>
      </c>
      <c r="C3921" t="s">
        <v>55</v>
      </c>
      <c r="D3921" s="49">
        <v>45843</v>
      </c>
      <c r="E3921" s="49">
        <v>45852</v>
      </c>
      <c r="F3921" s="49">
        <v>45870</v>
      </c>
      <c r="G3921" s="49">
        <v>45896</v>
      </c>
      <c r="H3921" s="49">
        <v>45919</v>
      </c>
      <c r="I3921" s="49">
        <v>45932</v>
      </c>
      <c r="J3921" t="s">
        <v>49</v>
      </c>
      <c r="K3921" s="33">
        <v>30600</v>
      </c>
      <c r="L3921" t="s">
        <v>62</v>
      </c>
      <c r="M3921" t="str">
        <f>_xlfn.XLOOKUP(Pipeline_tbl[[#This Row],[Rep_ID]],Dim_Reps!A:A,Dim_Reps!K:K)</f>
        <v>USD</v>
      </c>
      <c r="N3921" s="33">
        <f>(_xlfn.XLOOKUP(Pipeline_tbl[[#This Row],[Rate_Code_Generalized]],Lookups!A:A,Lookups!B:B))*Pipeline_tbl[[#This Row],[Pipeline_Amount_USD]]</f>
        <v>35627.579999999994</v>
      </c>
      <c r="O3921" t="str">
        <f>_xlfn.XLOOKUP(Pipeline_tbl[[#This Row],[Rep_ID]],Dim_Reps!A:A,Dim_Reps!B:B)</f>
        <v>Fatima Rossi</v>
      </c>
      <c r="P3921" t="str">
        <f>_xlfn.XLOOKUP(Pipeline_tbl[[#This Row],[Rep_ID]],Dim_Reps!A:A,Dim_Reps!C:C)</f>
        <v>Senior Enterprise AE</v>
      </c>
      <c r="Q3921" t="str">
        <f>_xlfn.XLOOKUP(Pipeline_tbl[[#This Row],[Rep_ID]],Dim_Reps!A:A,Dim_Reps!D:D)</f>
        <v>Strategic</v>
      </c>
      <c r="R3921" t="str">
        <f>_xlfn.XLOOKUP(Pipeline_tbl[[#This Row],[Rep_ID]],Dim_Reps!A:A,Dim_Reps!E:E)</f>
        <v>NAMER</v>
      </c>
      <c r="S3921" t="str">
        <f>_xlfn.XLOOKUP(Pipeline_tbl[[#This Row],[Created_Date]],Dim_Date!A:A,Dim_Date!H:H)</f>
        <v>Jul 2025</v>
      </c>
      <c r="T3921" t="str">
        <f>IF(Pipeline_tbl[[#This Row],[Closed_Date]]=0,"",(_xlfn.XLOOKUP(Pipeline_tbl[[#This Row],[Closed_Date]],Dim_Date!A:A,Dim_Date!H:H)))</f>
        <v>Oct 2025</v>
      </c>
      <c r="U3921">
        <f>IF(Pipeline_tbl[[#This Row],[Closed_Date]]=0,"",Pipeline_tbl[[#This Row],[Closed_Date]]-Pipeline_tbl[[#This Row],[Created_Date]])</f>
        <v>89</v>
      </c>
    </row>
    <row r="3922" spans="1:21" ht="15" customHeight="1" x14ac:dyDescent="0.2">
      <c r="A3922" t="s">
        <v>4228</v>
      </c>
      <c r="B3922" t="s">
        <v>284</v>
      </c>
      <c r="C3922" t="s">
        <v>52</v>
      </c>
      <c r="D3922" s="49">
        <v>45844</v>
      </c>
      <c r="E3922" s="49">
        <v>45854</v>
      </c>
      <c r="F3922" s="49">
        <v>45875</v>
      </c>
      <c r="G3922" s="49">
        <v>45906</v>
      </c>
      <c r="H3922" s="49">
        <v>45932</v>
      </c>
      <c r="I3922" s="49">
        <v>45947</v>
      </c>
      <c r="J3922" t="s">
        <v>47</v>
      </c>
      <c r="K3922" s="33">
        <v>39900</v>
      </c>
      <c r="M3922" t="str">
        <f>_xlfn.XLOOKUP(Pipeline_tbl[[#This Row],[Rep_ID]],Dim_Reps!A:A,Dim_Reps!K:K)</f>
        <v>USD</v>
      </c>
      <c r="N3922" s="33">
        <f>(_xlfn.XLOOKUP(Pipeline_tbl[[#This Row],[Rate_Code_Generalized]],Lookups!A:A,Lookups!B:B))*Pipeline_tbl[[#This Row],[Pipeline_Amount_USD]]</f>
        <v>46455.569999999992</v>
      </c>
      <c r="O3922" t="str">
        <f>_xlfn.XLOOKUP(Pipeline_tbl[[#This Row],[Rep_ID]],Dim_Reps!A:A,Dim_Reps!B:B)</f>
        <v>Taylor Adler</v>
      </c>
      <c r="P3922" t="str">
        <f>_xlfn.XLOOKUP(Pipeline_tbl[[#This Row],[Rep_ID]],Dim_Reps!A:A,Dim_Reps!C:C)</f>
        <v>Senior Enterprise AE</v>
      </c>
      <c r="Q3922" t="str">
        <f>_xlfn.XLOOKUP(Pipeline_tbl[[#This Row],[Rep_ID]],Dim_Reps!A:A,Dim_Reps!D:D)</f>
        <v>Strategic</v>
      </c>
      <c r="R3922" t="str">
        <f>_xlfn.XLOOKUP(Pipeline_tbl[[#This Row],[Rep_ID]],Dim_Reps!A:A,Dim_Reps!E:E)</f>
        <v>NAMER</v>
      </c>
      <c r="S3922" t="str">
        <f>_xlfn.XLOOKUP(Pipeline_tbl[[#This Row],[Created_Date]],Dim_Date!A:A,Dim_Date!H:H)</f>
        <v>Jul 2025</v>
      </c>
      <c r="T3922" t="str">
        <f>IF(Pipeline_tbl[[#This Row],[Closed_Date]]=0,"",(_xlfn.XLOOKUP(Pipeline_tbl[[#This Row],[Closed_Date]],Dim_Date!A:A,Dim_Date!H:H)))</f>
        <v>Oct 2025</v>
      </c>
      <c r="U3922">
        <f>IF(Pipeline_tbl[[#This Row],[Closed_Date]]=0,"",Pipeline_tbl[[#This Row],[Closed_Date]]-Pipeline_tbl[[#This Row],[Created_Date]])</f>
        <v>103</v>
      </c>
    </row>
    <row r="3923" spans="1:21" ht="15" customHeight="1" x14ac:dyDescent="0.2">
      <c r="A3923" t="s">
        <v>4229</v>
      </c>
      <c r="B3923" t="s">
        <v>177</v>
      </c>
      <c r="C3923" t="s">
        <v>54</v>
      </c>
      <c r="D3923" s="49">
        <v>45843</v>
      </c>
      <c r="E3923" s="49">
        <v>45850</v>
      </c>
      <c r="F3923" s="49">
        <v>45865</v>
      </c>
      <c r="I3923" s="49">
        <v>45915</v>
      </c>
      <c r="J3923" t="s">
        <v>49</v>
      </c>
      <c r="K3923" s="33">
        <v>32400</v>
      </c>
      <c r="L3923" t="s">
        <v>62</v>
      </c>
      <c r="M3923" t="str">
        <f>_xlfn.XLOOKUP(Pipeline_tbl[[#This Row],[Rep_ID]],Dim_Reps!A:A,Dim_Reps!K:K)</f>
        <v>USD</v>
      </c>
      <c r="N3923" s="33">
        <f>(_xlfn.XLOOKUP(Pipeline_tbl[[#This Row],[Rate_Code_Generalized]],Lookups!A:A,Lookups!B:B))*Pipeline_tbl[[#This Row],[Pipeline_Amount_USD]]</f>
        <v>37723.32</v>
      </c>
      <c r="O3923" t="str">
        <f>_xlfn.XLOOKUP(Pipeline_tbl[[#This Row],[Rep_ID]],Dim_Reps!A:A,Dim_Reps!B:B)</f>
        <v>Lucas Cohen</v>
      </c>
      <c r="P3923" t="str">
        <f>_xlfn.XLOOKUP(Pipeline_tbl[[#This Row],[Rep_ID]],Dim_Reps!A:A,Dim_Reps!C:C)</f>
        <v>Enterprise AE</v>
      </c>
      <c r="Q3923" t="str">
        <f>_xlfn.XLOOKUP(Pipeline_tbl[[#This Row],[Rep_ID]],Dim_Reps!A:A,Dim_Reps!D:D)</f>
        <v>Enterprise</v>
      </c>
      <c r="R3923" t="str">
        <f>_xlfn.XLOOKUP(Pipeline_tbl[[#This Row],[Rep_ID]],Dim_Reps!A:A,Dim_Reps!E:E)</f>
        <v>NAMER</v>
      </c>
      <c r="S3923" t="str">
        <f>_xlfn.XLOOKUP(Pipeline_tbl[[#This Row],[Created_Date]],Dim_Date!A:A,Dim_Date!H:H)</f>
        <v>Jul 2025</v>
      </c>
      <c r="T3923" t="str">
        <f>IF(Pipeline_tbl[[#This Row],[Closed_Date]]=0,"",(_xlfn.XLOOKUP(Pipeline_tbl[[#This Row],[Closed_Date]],Dim_Date!A:A,Dim_Date!H:H)))</f>
        <v>Sep 2025</v>
      </c>
      <c r="U3923">
        <f>IF(Pipeline_tbl[[#This Row],[Closed_Date]]=0,"",Pipeline_tbl[[#This Row],[Closed_Date]]-Pipeline_tbl[[#This Row],[Created_Date]])</f>
        <v>72</v>
      </c>
    </row>
    <row r="3924" spans="1:21" ht="15" customHeight="1" x14ac:dyDescent="0.2">
      <c r="A3924" t="s">
        <v>4230</v>
      </c>
      <c r="B3924" t="s">
        <v>177</v>
      </c>
      <c r="C3924" t="s">
        <v>53</v>
      </c>
      <c r="D3924" s="49">
        <v>45845</v>
      </c>
      <c r="E3924" s="49">
        <v>45853</v>
      </c>
      <c r="F3924" s="49">
        <v>45868</v>
      </c>
      <c r="I3924" s="49">
        <v>45922</v>
      </c>
      <c r="J3924" t="s">
        <v>49</v>
      </c>
      <c r="K3924" s="33">
        <v>20800</v>
      </c>
      <c r="L3924" t="s">
        <v>62</v>
      </c>
      <c r="M3924" t="str">
        <f>_xlfn.XLOOKUP(Pipeline_tbl[[#This Row],[Rep_ID]],Dim_Reps!A:A,Dim_Reps!K:K)</f>
        <v>USD</v>
      </c>
      <c r="N3924" s="33">
        <f>(_xlfn.XLOOKUP(Pipeline_tbl[[#This Row],[Rate_Code_Generalized]],Lookups!A:A,Lookups!B:B))*Pipeline_tbl[[#This Row],[Pipeline_Amount_USD]]</f>
        <v>24217.439999999999</v>
      </c>
      <c r="O3924" t="str">
        <f>_xlfn.XLOOKUP(Pipeline_tbl[[#This Row],[Rep_ID]],Dim_Reps!A:A,Dim_Reps!B:B)</f>
        <v>Lucas Cohen</v>
      </c>
      <c r="P3924" t="str">
        <f>_xlfn.XLOOKUP(Pipeline_tbl[[#This Row],[Rep_ID]],Dim_Reps!A:A,Dim_Reps!C:C)</f>
        <v>Enterprise AE</v>
      </c>
      <c r="Q3924" t="str">
        <f>_xlfn.XLOOKUP(Pipeline_tbl[[#This Row],[Rep_ID]],Dim_Reps!A:A,Dim_Reps!D:D)</f>
        <v>Enterprise</v>
      </c>
      <c r="R3924" t="str">
        <f>_xlfn.XLOOKUP(Pipeline_tbl[[#This Row],[Rep_ID]],Dim_Reps!A:A,Dim_Reps!E:E)</f>
        <v>NAMER</v>
      </c>
      <c r="S3924" t="str">
        <f>_xlfn.XLOOKUP(Pipeline_tbl[[#This Row],[Created_Date]],Dim_Date!A:A,Dim_Date!H:H)</f>
        <v>Jul 2025</v>
      </c>
      <c r="T3924" t="str">
        <f>IF(Pipeline_tbl[[#This Row],[Closed_Date]]=0,"",(_xlfn.XLOOKUP(Pipeline_tbl[[#This Row],[Closed_Date]],Dim_Date!A:A,Dim_Date!H:H)))</f>
        <v>Sep 2025</v>
      </c>
      <c r="U3924">
        <f>IF(Pipeline_tbl[[#This Row],[Closed_Date]]=0,"",Pipeline_tbl[[#This Row],[Closed_Date]]-Pipeline_tbl[[#This Row],[Created_Date]])</f>
        <v>77</v>
      </c>
    </row>
    <row r="3925" spans="1:21" ht="15" customHeight="1" x14ac:dyDescent="0.2">
      <c r="A3925" t="s">
        <v>4231</v>
      </c>
      <c r="B3925" t="s">
        <v>243</v>
      </c>
      <c r="C3925" t="s">
        <v>55</v>
      </c>
      <c r="D3925" s="49">
        <v>45862</v>
      </c>
      <c r="E3925" s="49">
        <v>45867</v>
      </c>
      <c r="F3925" s="49">
        <v>45876</v>
      </c>
      <c r="G3925" s="49">
        <v>45890</v>
      </c>
      <c r="I3925" s="49">
        <v>45909</v>
      </c>
      <c r="J3925" t="s">
        <v>49</v>
      </c>
      <c r="K3925" s="33">
        <v>15300</v>
      </c>
      <c r="L3925" t="s">
        <v>60</v>
      </c>
      <c r="M3925" t="str">
        <f>_xlfn.XLOOKUP(Pipeline_tbl[[#This Row],[Rep_ID]],Dim_Reps!A:A,Dim_Reps!K:K)</f>
        <v>MXN</v>
      </c>
      <c r="N3925" s="33">
        <f>(_xlfn.XLOOKUP(Pipeline_tbl[[#This Row],[Rate_Code_Generalized]],Lookups!A:A,Lookups!B:B))*Pipeline_tbl[[#This Row],[Pipeline_Amount_USD]]</f>
        <v>301910.31</v>
      </c>
      <c r="O3925" t="str">
        <f>_xlfn.XLOOKUP(Pipeline_tbl[[#This Row],[Rep_ID]],Dim_Reps!A:A,Dim_Reps!B:B)</f>
        <v>Jonas Sato</v>
      </c>
      <c r="P3925" t="str">
        <f>_xlfn.XLOOKUP(Pipeline_tbl[[#This Row],[Rep_ID]],Dim_Reps!A:A,Dim_Reps!C:C)</f>
        <v>Mid-Market AE</v>
      </c>
      <c r="Q3925" t="str">
        <f>_xlfn.XLOOKUP(Pipeline_tbl[[#This Row],[Rep_ID]],Dim_Reps!A:A,Dim_Reps!D:D)</f>
        <v>Mid-Market</v>
      </c>
      <c r="R3925" t="str">
        <f>_xlfn.XLOOKUP(Pipeline_tbl[[#This Row],[Rep_ID]],Dim_Reps!A:A,Dim_Reps!E:E)</f>
        <v>LATAM</v>
      </c>
      <c r="S3925" t="str">
        <f>_xlfn.XLOOKUP(Pipeline_tbl[[#This Row],[Created_Date]],Dim_Date!A:A,Dim_Date!H:H)</f>
        <v>Jul 2025</v>
      </c>
      <c r="T3925" t="str">
        <f>IF(Pipeline_tbl[[#This Row],[Closed_Date]]=0,"",(_xlfn.XLOOKUP(Pipeline_tbl[[#This Row],[Closed_Date]],Dim_Date!A:A,Dim_Date!H:H)))</f>
        <v>Sep 2025</v>
      </c>
      <c r="U3925">
        <f>IF(Pipeline_tbl[[#This Row],[Closed_Date]]=0,"",Pipeline_tbl[[#This Row],[Closed_Date]]-Pipeline_tbl[[#This Row],[Created_Date]])</f>
        <v>47</v>
      </c>
    </row>
    <row r="3926" spans="1:21" ht="15" customHeight="1" x14ac:dyDescent="0.2">
      <c r="A3926" t="s">
        <v>4232</v>
      </c>
      <c r="B3926" t="s">
        <v>181</v>
      </c>
      <c r="C3926" t="s">
        <v>53</v>
      </c>
      <c r="D3926" s="49">
        <v>45858</v>
      </c>
      <c r="E3926" s="49">
        <v>45864</v>
      </c>
      <c r="F3926" s="49">
        <v>45875</v>
      </c>
      <c r="G3926" s="49">
        <v>45891</v>
      </c>
      <c r="H3926" s="49">
        <v>45905</v>
      </c>
      <c r="I3926" s="49">
        <v>45913</v>
      </c>
      <c r="J3926" t="s">
        <v>47</v>
      </c>
      <c r="K3926" s="33">
        <v>41400</v>
      </c>
      <c r="M3926" t="str">
        <f>_xlfn.XLOOKUP(Pipeline_tbl[[#This Row],[Rep_ID]],Dim_Reps!A:A,Dim_Reps!K:K)</f>
        <v>USD</v>
      </c>
      <c r="N3926" s="33">
        <f>(_xlfn.XLOOKUP(Pipeline_tbl[[#This Row],[Rate_Code_Generalized]],Lookups!A:A,Lookups!B:B))*Pipeline_tbl[[#This Row],[Pipeline_Amount_USD]]</f>
        <v>48202.02</v>
      </c>
      <c r="O3926" t="str">
        <f>_xlfn.XLOOKUP(Pipeline_tbl[[#This Row],[Rep_ID]],Dim_Reps!A:A,Dim_Reps!B:B)</f>
        <v>Milo Weber</v>
      </c>
      <c r="P3926" t="str">
        <f>_xlfn.XLOOKUP(Pipeline_tbl[[#This Row],[Rep_ID]],Dim_Reps!A:A,Dim_Reps!C:C)</f>
        <v>Enterprise AE</v>
      </c>
      <c r="Q3926" t="str">
        <f>_xlfn.XLOOKUP(Pipeline_tbl[[#This Row],[Rep_ID]],Dim_Reps!A:A,Dim_Reps!D:D)</f>
        <v>Enterprise</v>
      </c>
      <c r="R3926" t="str">
        <f>_xlfn.XLOOKUP(Pipeline_tbl[[#This Row],[Rep_ID]],Dim_Reps!A:A,Dim_Reps!E:E)</f>
        <v>NAMER</v>
      </c>
      <c r="S3926" t="str">
        <f>_xlfn.XLOOKUP(Pipeline_tbl[[#This Row],[Created_Date]],Dim_Date!A:A,Dim_Date!H:H)</f>
        <v>Jul 2025</v>
      </c>
      <c r="T3926" t="str">
        <f>IF(Pipeline_tbl[[#This Row],[Closed_Date]]=0,"",(_xlfn.XLOOKUP(Pipeline_tbl[[#This Row],[Closed_Date]],Dim_Date!A:A,Dim_Date!H:H)))</f>
        <v>Sep 2025</v>
      </c>
      <c r="U3926">
        <f>IF(Pipeline_tbl[[#This Row],[Closed_Date]]=0,"",Pipeline_tbl[[#This Row],[Closed_Date]]-Pipeline_tbl[[#This Row],[Created_Date]])</f>
        <v>55</v>
      </c>
    </row>
    <row r="3927" spans="1:21" ht="15" customHeight="1" x14ac:dyDescent="0.2">
      <c r="A3927" t="s">
        <v>4233</v>
      </c>
      <c r="B3927" t="s">
        <v>246</v>
      </c>
      <c r="C3927" t="s">
        <v>53</v>
      </c>
      <c r="D3927" s="49">
        <v>45868</v>
      </c>
      <c r="E3927" s="49">
        <v>45872</v>
      </c>
      <c r="F3927" s="49">
        <v>45880</v>
      </c>
      <c r="G3927" s="49">
        <v>45893</v>
      </c>
      <c r="H3927" s="49">
        <v>45903</v>
      </c>
      <c r="I3927" s="49">
        <v>45909</v>
      </c>
      <c r="J3927" t="s">
        <v>49</v>
      </c>
      <c r="K3927" s="33">
        <v>11400</v>
      </c>
      <c r="L3927" t="s">
        <v>62</v>
      </c>
      <c r="M3927" t="str">
        <f>_xlfn.XLOOKUP(Pipeline_tbl[[#This Row],[Rep_ID]],Dim_Reps!A:A,Dim_Reps!K:K)</f>
        <v>EUR</v>
      </c>
      <c r="N3927" s="33">
        <f>(_xlfn.XLOOKUP(Pipeline_tbl[[#This Row],[Rate_Code_Generalized]],Lookups!A:A,Lookups!B:B))*Pipeline_tbl[[#This Row],[Pipeline_Amount_USD]]</f>
        <v>11400</v>
      </c>
      <c r="O3927" t="str">
        <f>_xlfn.XLOOKUP(Pipeline_tbl[[#This Row],[Rep_ID]],Dim_Reps!A:A,Dim_Reps!B:B)</f>
        <v>Karim Rivera</v>
      </c>
      <c r="P3927" t="str">
        <f>_xlfn.XLOOKUP(Pipeline_tbl[[#This Row],[Rep_ID]],Dim_Reps!A:A,Dim_Reps!C:C)</f>
        <v>Mid-Market AE</v>
      </c>
      <c r="Q3927" t="str">
        <f>_xlfn.XLOOKUP(Pipeline_tbl[[#This Row],[Rep_ID]],Dim_Reps!A:A,Dim_Reps!D:D)</f>
        <v>Mid-Market</v>
      </c>
      <c r="R3927" t="str">
        <f>_xlfn.XLOOKUP(Pipeline_tbl[[#This Row],[Rep_ID]],Dim_Reps!A:A,Dim_Reps!E:E)</f>
        <v>APAC</v>
      </c>
      <c r="S3927" t="str">
        <f>_xlfn.XLOOKUP(Pipeline_tbl[[#This Row],[Created_Date]],Dim_Date!A:A,Dim_Date!H:H)</f>
        <v>Jul 2025</v>
      </c>
      <c r="T3927" t="str">
        <f>IF(Pipeline_tbl[[#This Row],[Closed_Date]]=0,"",(_xlfn.XLOOKUP(Pipeline_tbl[[#This Row],[Closed_Date]],Dim_Date!A:A,Dim_Date!H:H)))</f>
        <v>Sep 2025</v>
      </c>
      <c r="U3927">
        <f>IF(Pipeline_tbl[[#This Row],[Closed_Date]]=0,"",Pipeline_tbl[[#This Row],[Closed_Date]]-Pipeline_tbl[[#This Row],[Created_Date]])</f>
        <v>41</v>
      </c>
    </row>
    <row r="3928" spans="1:21" ht="15" customHeight="1" x14ac:dyDescent="0.2">
      <c r="A3928" t="s">
        <v>4234</v>
      </c>
      <c r="B3928" t="s">
        <v>183</v>
      </c>
      <c r="C3928" t="s">
        <v>52</v>
      </c>
      <c r="D3928" s="49">
        <v>45843</v>
      </c>
      <c r="E3928" s="49">
        <v>45849</v>
      </c>
      <c r="F3928" s="49">
        <v>45862</v>
      </c>
      <c r="I3928" s="49">
        <v>45905</v>
      </c>
      <c r="J3928" t="s">
        <v>49</v>
      </c>
      <c r="K3928" s="33">
        <v>40100</v>
      </c>
      <c r="L3928" t="s">
        <v>60</v>
      </c>
      <c r="M3928" t="str">
        <f>_xlfn.XLOOKUP(Pipeline_tbl[[#This Row],[Rep_ID]],Dim_Reps!A:A,Dim_Reps!K:K)</f>
        <v>EUR</v>
      </c>
      <c r="N3928" s="33">
        <f>(_xlfn.XLOOKUP(Pipeline_tbl[[#This Row],[Rate_Code_Generalized]],Lookups!A:A,Lookups!B:B))*Pipeline_tbl[[#This Row],[Pipeline_Amount_USD]]</f>
        <v>40100</v>
      </c>
      <c r="O3928" t="str">
        <f>_xlfn.XLOOKUP(Pipeline_tbl[[#This Row],[Rep_ID]],Dim_Reps!A:A,Dim_Reps!B:B)</f>
        <v>Sam Schmidt</v>
      </c>
      <c r="P3928" t="str">
        <f>_xlfn.XLOOKUP(Pipeline_tbl[[#This Row],[Rep_ID]],Dim_Reps!A:A,Dim_Reps!C:C)</f>
        <v>Enterprise AE</v>
      </c>
      <c r="Q3928" t="str">
        <f>_xlfn.XLOOKUP(Pipeline_tbl[[#This Row],[Rep_ID]],Dim_Reps!A:A,Dim_Reps!D:D)</f>
        <v>Enterprise</v>
      </c>
      <c r="R3928" t="str">
        <f>_xlfn.XLOOKUP(Pipeline_tbl[[#This Row],[Rep_ID]],Dim_Reps!A:A,Dim_Reps!E:E)</f>
        <v>EMEA</v>
      </c>
      <c r="S3928" t="str">
        <f>_xlfn.XLOOKUP(Pipeline_tbl[[#This Row],[Created_Date]],Dim_Date!A:A,Dim_Date!H:H)</f>
        <v>Jul 2025</v>
      </c>
      <c r="T3928" t="str">
        <f>IF(Pipeline_tbl[[#This Row],[Closed_Date]]=0,"",(_xlfn.XLOOKUP(Pipeline_tbl[[#This Row],[Closed_Date]],Dim_Date!A:A,Dim_Date!H:H)))</f>
        <v>Sep 2025</v>
      </c>
      <c r="U3928">
        <f>IF(Pipeline_tbl[[#This Row],[Closed_Date]]=0,"",Pipeline_tbl[[#This Row],[Closed_Date]]-Pipeline_tbl[[#This Row],[Created_Date]])</f>
        <v>62</v>
      </c>
    </row>
    <row r="3929" spans="1:21" ht="15" customHeight="1" x14ac:dyDescent="0.2">
      <c r="A3929" t="s">
        <v>4235</v>
      </c>
      <c r="B3929" t="s">
        <v>278</v>
      </c>
      <c r="C3929" t="s">
        <v>54</v>
      </c>
      <c r="D3929" s="49">
        <v>45842</v>
      </c>
      <c r="E3929" s="49">
        <v>45851</v>
      </c>
      <c r="F3929" s="49">
        <v>45868</v>
      </c>
      <c r="G3929" s="49">
        <v>45895</v>
      </c>
      <c r="H3929" s="49">
        <v>45917</v>
      </c>
      <c r="I3929" s="49">
        <v>45930</v>
      </c>
      <c r="J3929" t="s">
        <v>47</v>
      </c>
      <c r="K3929" s="33">
        <v>58000</v>
      </c>
      <c r="M3929" t="str">
        <f>_xlfn.XLOOKUP(Pipeline_tbl[[#This Row],[Rep_ID]],Dim_Reps!A:A,Dim_Reps!K:K)</f>
        <v>EUR</v>
      </c>
      <c r="N3929" s="33">
        <f>(_xlfn.XLOOKUP(Pipeline_tbl[[#This Row],[Rate_Code_Generalized]],Lookups!A:A,Lookups!B:B))*Pipeline_tbl[[#This Row],[Pipeline_Amount_USD]]</f>
        <v>58000</v>
      </c>
      <c r="O3929" t="str">
        <f>_xlfn.XLOOKUP(Pipeline_tbl[[#This Row],[Rep_ID]],Dim_Reps!A:A,Dim_Reps!B:B)</f>
        <v>Sara Andersson</v>
      </c>
      <c r="P3929" t="str">
        <f>_xlfn.XLOOKUP(Pipeline_tbl[[#This Row],[Rep_ID]],Dim_Reps!A:A,Dim_Reps!C:C)</f>
        <v>Senior Enterprise AE</v>
      </c>
      <c r="Q3929" t="str">
        <f>_xlfn.XLOOKUP(Pipeline_tbl[[#This Row],[Rep_ID]],Dim_Reps!A:A,Dim_Reps!D:D)</f>
        <v>Strategic</v>
      </c>
      <c r="R3929" t="str">
        <f>_xlfn.XLOOKUP(Pipeline_tbl[[#This Row],[Rep_ID]],Dim_Reps!A:A,Dim_Reps!E:E)</f>
        <v>APAC</v>
      </c>
      <c r="S3929" t="str">
        <f>_xlfn.XLOOKUP(Pipeline_tbl[[#This Row],[Created_Date]],Dim_Date!A:A,Dim_Date!H:H)</f>
        <v>Jul 2025</v>
      </c>
      <c r="T3929" t="str">
        <f>IF(Pipeline_tbl[[#This Row],[Closed_Date]]=0,"",(_xlfn.XLOOKUP(Pipeline_tbl[[#This Row],[Closed_Date]],Dim_Date!A:A,Dim_Date!H:H)))</f>
        <v>Sep 2025</v>
      </c>
      <c r="U3929">
        <f>IF(Pipeline_tbl[[#This Row],[Closed_Date]]=0,"",Pipeline_tbl[[#This Row],[Closed_Date]]-Pipeline_tbl[[#This Row],[Created_Date]])</f>
        <v>88</v>
      </c>
    </row>
    <row r="3930" spans="1:21" ht="15" customHeight="1" x14ac:dyDescent="0.2">
      <c r="A3930" t="s">
        <v>4236</v>
      </c>
      <c r="B3930" t="s">
        <v>185</v>
      </c>
      <c r="C3930" t="s">
        <v>53</v>
      </c>
      <c r="D3930" s="49">
        <v>45840</v>
      </c>
      <c r="E3930" s="49">
        <v>45846</v>
      </c>
      <c r="F3930" s="49">
        <v>45858</v>
      </c>
      <c r="G3930" s="49">
        <v>45877</v>
      </c>
      <c r="H3930" s="49">
        <v>45892</v>
      </c>
      <c r="I3930" s="49">
        <v>45901</v>
      </c>
      <c r="J3930" t="s">
        <v>49</v>
      </c>
      <c r="K3930" s="33">
        <v>20700</v>
      </c>
      <c r="L3930" t="s">
        <v>62</v>
      </c>
      <c r="M3930" t="str">
        <f>_xlfn.XLOOKUP(Pipeline_tbl[[#This Row],[Rep_ID]],Dim_Reps!A:A,Dim_Reps!K:K)</f>
        <v>MXN</v>
      </c>
      <c r="N3930" s="33">
        <f>(_xlfn.XLOOKUP(Pipeline_tbl[[#This Row],[Rate_Code_Generalized]],Lookups!A:A,Lookups!B:B))*Pipeline_tbl[[#This Row],[Pipeline_Amount_USD]]</f>
        <v>408466.89</v>
      </c>
      <c r="O3930" t="str">
        <f>_xlfn.XLOOKUP(Pipeline_tbl[[#This Row],[Rep_ID]],Dim_Reps!A:A,Dim_Reps!B:B)</f>
        <v>Noah Kim</v>
      </c>
      <c r="P3930" t="str">
        <f>_xlfn.XLOOKUP(Pipeline_tbl[[#This Row],[Rep_ID]],Dim_Reps!A:A,Dim_Reps!C:C)</f>
        <v>Enterprise AE</v>
      </c>
      <c r="Q3930" t="str">
        <f>_xlfn.XLOOKUP(Pipeline_tbl[[#This Row],[Rep_ID]],Dim_Reps!A:A,Dim_Reps!D:D)</f>
        <v>Enterprise</v>
      </c>
      <c r="R3930" t="str">
        <f>_xlfn.XLOOKUP(Pipeline_tbl[[#This Row],[Rep_ID]],Dim_Reps!A:A,Dim_Reps!E:E)</f>
        <v>LATAM</v>
      </c>
      <c r="S3930" t="str">
        <f>_xlfn.XLOOKUP(Pipeline_tbl[[#This Row],[Created_Date]],Dim_Date!A:A,Dim_Date!H:H)</f>
        <v>Jul 2025</v>
      </c>
      <c r="T3930" t="str">
        <f>IF(Pipeline_tbl[[#This Row],[Closed_Date]]=0,"",(_xlfn.XLOOKUP(Pipeline_tbl[[#This Row],[Closed_Date]],Dim_Date!A:A,Dim_Date!H:H)))</f>
        <v>Sep 2025</v>
      </c>
      <c r="U3930">
        <f>IF(Pipeline_tbl[[#This Row],[Closed_Date]]=0,"",Pipeline_tbl[[#This Row],[Closed_Date]]-Pipeline_tbl[[#This Row],[Created_Date]])</f>
        <v>61</v>
      </c>
    </row>
    <row r="3931" spans="1:21" ht="15" customHeight="1" x14ac:dyDescent="0.2">
      <c r="A3931" t="s">
        <v>4237</v>
      </c>
      <c r="B3931" t="s">
        <v>185</v>
      </c>
      <c r="C3931" t="s">
        <v>55</v>
      </c>
      <c r="D3931" s="49">
        <v>45864</v>
      </c>
      <c r="E3931" s="49">
        <v>45870</v>
      </c>
      <c r="F3931" s="49">
        <v>45882</v>
      </c>
      <c r="I3931" s="49">
        <v>45923</v>
      </c>
      <c r="J3931" t="s">
        <v>49</v>
      </c>
      <c r="K3931" s="33">
        <v>41000</v>
      </c>
      <c r="L3931" t="s">
        <v>60</v>
      </c>
      <c r="M3931" t="str">
        <f>_xlfn.XLOOKUP(Pipeline_tbl[[#This Row],[Rep_ID]],Dim_Reps!A:A,Dim_Reps!K:K)</f>
        <v>MXN</v>
      </c>
      <c r="N3931" s="33">
        <f>(_xlfn.XLOOKUP(Pipeline_tbl[[#This Row],[Rate_Code_Generalized]],Lookups!A:A,Lookups!B:B))*Pipeline_tbl[[#This Row],[Pipeline_Amount_USD]]</f>
        <v>809040.70000000007</v>
      </c>
      <c r="O3931" t="str">
        <f>_xlfn.XLOOKUP(Pipeline_tbl[[#This Row],[Rep_ID]],Dim_Reps!A:A,Dim_Reps!B:B)</f>
        <v>Noah Kim</v>
      </c>
      <c r="P3931" t="str">
        <f>_xlfn.XLOOKUP(Pipeline_tbl[[#This Row],[Rep_ID]],Dim_Reps!A:A,Dim_Reps!C:C)</f>
        <v>Enterprise AE</v>
      </c>
      <c r="Q3931" t="str">
        <f>_xlfn.XLOOKUP(Pipeline_tbl[[#This Row],[Rep_ID]],Dim_Reps!A:A,Dim_Reps!D:D)</f>
        <v>Enterprise</v>
      </c>
      <c r="R3931" t="str">
        <f>_xlfn.XLOOKUP(Pipeline_tbl[[#This Row],[Rep_ID]],Dim_Reps!A:A,Dim_Reps!E:E)</f>
        <v>LATAM</v>
      </c>
      <c r="S3931" t="str">
        <f>_xlfn.XLOOKUP(Pipeline_tbl[[#This Row],[Created_Date]],Dim_Date!A:A,Dim_Date!H:H)</f>
        <v>Jul 2025</v>
      </c>
      <c r="T3931" t="str">
        <f>IF(Pipeline_tbl[[#This Row],[Closed_Date]]=0,"",(_xlfn.XLOOKUP(Pipeline_tbl[[#This Row],[Closed_Date]],Dim_Date!A:A,Dim_Date!H:H)))</f>
        <v>Sep 2025</v>
      </c>
      <c r="U3931">
        <f>IF(Pipeline_tbl[[#This Row],[Closed_Date]]=0,"",Pipeline_tbl[[#This Row],[Closed_Date]]-Pipeline_tbl[[#This Row],[Created_Date]])</f>
        <v>59</v>
      </c>
    </row>
    <row r="3932" spans="1:21" ht="15" customHeight="1" x14ac:dyDescent="0.2">
      <c r="A3932" t="s">
        <v>4238</v>
      </c>
      <c r="B3932" t="s">
        <v>185</v>
      </c>
      <c r="C3932" t="s">
        <v>52</v>
      </c>
      <c r="D3932" s="49">
        <v>45846</v>
      </c>
      <c r="E3932" s="49">
        <v>45854</v>
      </c>
      <c r="F3932" s="49">
        <v>45869</v>
      </c>
      <c r="G3932" s="49">
        <v>45892</v>
      </c>
      <c r="H3932" s="49">
        <v>45911</v>
      </c>
      <c r="I3932" s="49">
        <v>45923</v>
      </c>
      <c r="J3932" t="s">
        <v>49</v>
      </c>
      <c r="K3932" s="33">
        <v>26400</v>
      </c>
      <c r="L3932" t="s">
        <v>60</v>
      </c>
      <c r="M3932" t="str">
        <f>_xlfn.XLOOKUP(Pipeline_tbl[[#This Row],[Rep_ID]],Dim_Reps!A:A,Dim_Reps!K:K)</f>
        <v>MXN</v>
      </c>
      <c r="N3932" s="33">
        <f>(_xlfn.XLOOKUP(Pipeline_tbl[[#This Row],[Rate_Code_Generalized]],Lookups!A:A,Lookups!B:B))*Pipeline_tbl[[#This Row],[Pipeline_Amount_USD]]</f>
        <v>520943.28</v>
      </c>
      <c r="O3932" t="str">
        <f>_xlfn.XLOOKUP(Pipeline_tbl[[#This Row],[Rep_ID]],Dim_Reps!A:A,Dim_Reps!B:B)</f>
        <v>Noah Kim</v>
      </c>
      <c r="P3932" t="str">
        <f>_xlfn.XLOOKUP(Pipeline_tbl[[#This Row],[Rep_ID]],Dim_Reps!A:A,Dim_Reps!C:C)</f>
        <v>Enterprise AE</v>
      </c>
      <c r="Q3932" t="str">
        <f>_xlfn.XLOOKUP(Pipeline_tbl[[#This Row],[Rep_ID]],Dim_Reps!A:A,Dim_Reps!D:D)</f>
        <v>Enterprise</v>
      </c>
      <c r="R3932" t="str">
        <f>_xlfn.XLOOKUP(Pipeline_tbl[[#This Row],[Rep_ID]],Dim_Reps!A:A,Dim_Reps!E:E)</f>
        <v>LATAM</v>
      </c>
      <c r="S3932" t="str">
        <f>_xlfn.XLOOKUP(Pipeline_tbl[[#This Row],[Created_Date]],Dim_Date!A:A,Dim_Date!H:H)</f>
        <v>Jul 2025</v>
      </c>
      <c r="T3932" t="str">
        <f>IF(Pipeline_tbl[[#This Row],[Closed_Date]]=0,"",(_xlfn.XLOOKUP(Pipeline_tbl[[#This Row],[Closed_Date]],Dim_Date!A:A,Dim_Date!H:H)))</f>
        <v>Sep 2025</v>
      </c>
      <c r="U3932">
        <f>IF(Pipeline_tbl[[#This Row],[Closed_Date]]=0,"",Pipeline_tbl[[#This Row],[Closed_Date]]-Pipeline_tbl[[#This Row],[Created_Date]])</f>
        <v>77</v>
      </c>
    </row>
    <row r="3933" spans="1:21" ht="15" customHeight="1" x14ac:dyDescent="0.2">
      <c r="A3933" t="s">
        <v>4239</v>
      </c>
      <c r="B3933" t="s">
        <v>185</v>
      </c>
      <c r="C3933" t="s">
        <v>52</v>
      </c>
      <c r="D3933" s="49">
        <v>45843</v>
      </c>
      <c r="E3933" s="49">
        <v>45850</v>
      </c>
      <c r="F3933" s="49">
        <v>45864</v>
      </c>
      <c r="G3933" s="49">
        <v>45885</v>
      </c>
      <c r="I3933" s="49">
        <v>45913</v>
      </c>
      <c r="J3933" t="s">
        <v>49</v>
      </c>
      <c r="K3933" s="33">
        <v>45600</v>
      </c>
      <c r="L3933" t="s">
        <v>64</v>
      </c>
      <c r="M3933" t="str">
        <f>_xlfn.XLOOKUP(Pipeline_tbl[[#This Row],[Rep_ID]],Dim_Reps!A:A,Dim_Reps!K:K)</f>
        <v>MXN</v>
      </c>
      <c r="N3933" s="33">
        <f>(_xlfn.XLOOKUP(Pipeline_tbl[[#This Row],[Rate_Code_Generalized]],Lookups!A:A,Lookups!B:B))*Pipeline_tbl[[#This Row],[Pipeline_Amount_USD]]</f>
        <v>899811.12000000011</v>
      </c>
      <c r="O3933" t="str">
        <f>_xlfn.XLOOKUP(Pipeline_tbl[[#This Row],[Rep_ID]],Dim_Reps!A:A,Dim_Reps!B:B)</f>
        <v>Noah Kim</v>
      </c>
      <c r="P3933" t="str">
        <f>_xlfn.XLOOKUP(Pipeline_tbl[[#This Row],[Rep_ID]],Dim_Reps!A:A,Dim_Reps!C:C)</f>
        <v>Enterprise AE</v>
      </c>
      <c r="Q3933" t="str">
        <f>_xlfn.XLOOKUP(Pipeline_tbl[[#This Row],[Rep_ID]],Dim_Reps!A:A,Dim_Reps!D:D)</f>
        <v>Enterprise</v>
      </c>
      <c r="R3933" t="str">
        <f>_xlfn.XLOOKUP(Pipeline_tbl[[#This Row],[Rep_ID]],Dim_Reps!A:A,Dim_Reps!E:E)</f>
        <v>LATAM</v>
      </c>
      <c r="S3933" t="str">
        <f>_xlfn.XLOOKUP(Pipeline_tbl[[#This Row],[Created_Date]],Dim_Date!A:A,Dim_Date!H:H)</f>
        <v>Jul 2025</v>
      </c>
      <c r="T3933" t="str">
        <f>IF(Pipeline_tbl[[#This Row],[Closed_Date]]=0,"",(_xlfn.XLOOKUP(Pipeline_tbl[[#This Row],[Closed_Date]],Dim_Date!A:A,Dim_Date!H:H)))</f>
        <v>Sep 2025</v>
      </c>
      <c r="U3933">
        <f>IF(Pipeline_tbl[[#This Row],[Closed_Date]]=0,"",Pipeline_tbl[[#This Row],[Closed_Date]]-Pipeline_tbl[[#This Row],[Created_Date]])</f>
        <v>70</v>
      </c>
    </row>
    <row r="3934" spans="1:21" ht="15" customHeight="1" x14ac:dyDescent="0.2">
      <c r="A3934" t="s">
        <v>4240</v>
      </c>
      <c r="B3934" t="s">
        <v>249</v>
      </c>
      <c r="C3934" t="s">
        <v>53</v>
      </c>
      <c r="D3934" s="49">
        <v>45860</v>
      </c>
      <c r="E3934" s="49">
        <v>45864</v>
      </c>
      <c r="F3934" s="49">
        <v>45874</v>
      </c>
      <c r="I3934" s="49">
        <v>45905</v>
      </c>
      <c r="J3934" t="s">
        <v>49</v>
      </c>
      <c r="K3934" s="33">
        <v>13100</v>
      </c>
      <c r="L3934" t="s">
        <v>60</v>
      </c>
      <c r="M3934" t="str">
        <f>_xlfn.XLOOKUP(Pipeline_tbl[[#This Row],[Rep_ID]],Dim_Reps!A:A,Dim_Reps!K:K)</f>
        <v>EUR</v>
      </c>
      <c r="N3934" s="33">
        <f>(_xlfn.XLOOKUP(Pipeline_tbl[[#This Row],[Rate_Code_Generalized]],Lookups!A:A,Lookups!B:B))*Pipeline_tbl[[#This Row],[Pipeline_Amount_USD]]</f>
        <v>13100</v>
      </c>
      <c r="O3934" t="str">
        <f>_xlfn.XLOOKUP(Pipeline_tbl[[#This Row],[Rep_ID]],Dim_Reps!A:A,Dim_Reps!B:B)</f>
        <v>Ana Sato</v>
      </c>
      <c r="P3934" t="str">
        <f>_xlfn.XLOOKUP(Pipeline_tbl[[#This Row],[Rep_ID]],Dim_Reps!A:A,Dim_Reps!C:C)</f>
        <v>Mid-Market AE</v>
      </c>
      <c r="Q3934" t="str">
        <f>_xlfn.XLOOKUP(Pipeline_tbl[[#This Row],[Rep_ID]],Dim_Reps!A:A,Dim_Reps!D:D)</f>
        <v>Mid-Market</v>
      </c>
      <c r="R3934" t="str">
        <f>_xlfn.XLOOKUP(Pipeline_tbl[[#This Row],[Rep_ID]],Dim_Reps!A:A,Dim_Reps!E:E)</f>
        <v>APAC</v>
      </c>
      <c r="S3934" t="str">
        <f>_xlfn.XLOOKUP(Pipeline_tbl[[#This Row],[Created_Date]],Dim_Date!A:A,Dim_Date!H:H)</f>
        <v>Jul 2025</v>
      </c>
      <c r="T3934" t="str">
        <f>IF(Pipeline_tbl[[#This Row],[Closed_Date]]=0,"",(_xlfn.XLOOKUP(Pipeline_tbl[[#This Row],[Closed_Date]],Dim_Date!A:A,Dim_Date!H:H)))</f>
        <v>Sep 2025</v>
      </c>
      <c r="U3934">
        <f>IF(Pipeline_tbl[[#This Row],[Closed_Date]]=0,"",Pipeline_tbl[[#This Row],[Closed_Date]]-Pipeline_tbl[[#This Row],[Created_Date]])</f>
        <v>45</v>
      </c>
    </row>
    <row r="3935" spans="1:21" ht="15" customHeight="1" x14ac:dyDescent="0.2">
      <c r="A3935" t="s">
        <v>4241</v>
      </c>
      <c r="B3935" t="s">
        <v>255</v>
      </c>
      <c r="C3935" t="s">
        <v>52</v>
      </c>
      <c r="D3935" s="49">
        <v>45863</v>
      </c>
      <c r="E3935" s="49">
        <v>45867</v>
      </c>
      <c r="F3935" s="49">
        <v>45875</v>
      </c>
      <c r="G3935" s="49">
        <v>45888</v>
      </c>
      <c r="H3935" s="49">
        <v>45898</v>
      </c>
      <c r="I3935" s="49">
        <v>45904</v>
      </c>
      <c r="J3935" t="s">
        <v>49</v>
      </c>
      <c r="K3935" s="33">
        <v>12600</v>
      </c>
      <c r="L3935" t="s">
        <v>63</v>
      </c>
      <c r="M3935" t="str">
        <f>_xlfn.XLOOKUP(Pipeline_tbl[[#This Row],[Rep_ID]],Dim_Reps!A:A,Dim_Reps!K:K)</f>
        <v>USD</v>
      </c>
      <c r="N3935" s="33">
        <f>(_xlfn.XLOOKUP(Pipeline_tbl[[#This Row],[Rate_Code_Generalized]],Lookups!A:A,Lookups!B:B))*Pipeline_tbl[[#This Row],[Pipeline_Amount_USD]]</f>
        <v>14670.179999999998</v>
      </c>
      <c r="O3935" t="str">
        <f>_xlfn.XLOOKUP(Pipeline_tbl[[#This Row],[Rep_ID]],Dim_Reps!A:A,Dim_Reps!B:B)</f>
        <v>Erik Kim</v>
      </c>
      <c r="P3935" t="str">
        <f>_xlfn.XLOOKUP(Pipeline_tbl[[#This Row],[Rep_ID]],Dim_Reps!A:A,Dim_Reps!C:C)</f>
        <v>Mid-Market AE</v>
      </c>
      <c r="Q3935" t="str">
        <f>_xlfn.XLOOKUP(Pipeline_tbl[[#This Row],[Rep_ID]],Dim_Reps!A:A,Dim_Reps!D:D)</f>
        <v>Mid-Market</v>
      </c>
      <c r="R3935" t="str">
        <f>_xlfn.XLOOKUP(Pipeline_tbl[[#This Row],[Rep_ID]],Dim_Reps!A:A,Dim_Reps!E:E)</f>
        <v>NAMER</v>
      </c>
      <c r="S3935" t="str">
        <f>_xlfn.XLOOKUP(Pipeline_tbl[[#This Row],[Created_Date]],Dim_Date!A:A,Dim_Date!H:H)</f>
        <v>Jul 2025</v>
      </c>
      <c r="T3935" t="str">
        <f>IF(Pipeline_tbl[[#This Row],[Closed_Date]]=0,"",(_xlfn.XLOOKUP(Pipeline_tbl[[#This Row],[Closed_Date]],Dim_Date!A:A,Dim_Date!H:H)))</f>
        <v>Sep 2025</v>
      </c>
      <c r="U3935">
        <f>IF(Pipeline_tbl[[#This Row],[Closed_Date]]=0,"",Pipeline_tbl[[#This Row],[Closed_Date]]-Pipeline_tbl[[#This Row],[Created_Date]])</f>
        <v>41</v>
      </c>
    </row>
    <row r="3936" spans="1:21" ht="15" customHeight="1" x14ac:dyDescent="0.2">
      <c r="A3936" t="s">
        <v>4242</v>
      </c>
      <c r="B3936" t="s">
        <v>188</v>
      </c>
      <c r="C3936" t="s">
        <v>52</v>
      </c>
      <c r="D3936" s="49">
        <v>45861</v>
      </c>
      <c r="E3936" s="49">
        <v>45867</v>
      </c>
      <c r="F3936" s="49">
        <v>45879</v>
      </c>
      <c r="G3936" s="49">
        <v>45897</v>
      </c>
      <c r="H3936" s="49">
        <v>45912</v>
      </c>
      <c r="I3936" s="49">
        <v>45921</v>
      </c>
      <c r="J3936" t="s">
        <v>47</v>
      </c>
      <c r="K3936" s="33">
        <v>31200</v>
      </c>
      <c r="M3936" t="str">
        <f>_xlfn.XLOOKUP(Pipeline_tbl[[#This Row],[Rep_ID]],Dim_Reps!A:A,Dim_Reps!K:K)</f>
        <v>EUR</v>
      </c>
      <c r="N3936" s="33">
        <f>(_xlfn.XLOOKUP(Pipeline_tbl[[#This Row],[Rate_Code_Generalized]],Lookups!A:A,Lookups!B:B))*Pipeline_tbl[[#This Row],[Pipeline_Amount_USD]]</f>
        <v>31200</v>
      </c>
      <c r="O3936" t="str">
        <f>_xlfn.XLOOKUP(Pipeline_tbl[[#This Row],[Rep_ID]],Dim_Reps!A:A,Dim_Reps!B:B)</f>
        <v>Jamie Santos</v>
      </c>
      <c r="P3936" t="str">
        <f>_xlfn.XLOOKUP(Pipeline_tbl[[#This Row],[Rep_ID]],Dim_Reps!A:A,Dim_Reps!C:C)</f>
        <v>Enterprise AE</v>
      </c>
      <c r="Q3936" t="str">
        <f>_xlfn.XLOOKUP(Pipeline_tbl[[#This Row],[Rep_ID]],Dim_Reps!A:A,Dim_Reps!D:D)</f>
        <v>Enterprise</v>
      </c>
      <c r="R3936" t="str">
        <f>_xlfn.XLOOKUP(Pipeline_tbl[[#This Row],[Rep_ID]],Dim_Reps!A:A,Dim_Reps!E:E)</f>
        <v>APAC</v>
      </c>
      <c r="S3936" t="str">
        <f>_xlfn.XLOOKUP(Pipeline_tbl[[#This Row],[Created_Date]],Dim_Date!A:A,Dim_Date!H:H)</f>
        <v>Jul 2025</v>
      </c>
      <c r="T3936" t="str">
        <f>IF(Pipeline_tbl[[#This Row],[Closed_Date]]=0,"",(_xlfn.XLOOKUP(Pipeline_tbl[[#This Row],[Closed_Date]],Dim_Date!A:A,Dim_Date!H:H)))</f>
        <v>Sep 2025</v>
      </c>
      <c r="U3936">
        <f>IF(Pipeline_tbl[[#This Row],[Closed_Date]]=0,"",Pipeline_tbl[[#This Row],[Closed_Date]]-Pipeline_tbl[[#This Row],[Created_Date]])</f>
        <v>60</v>
      </c>
    </row>
    <row r="3937" spans="1:21" ht="15" customHeight="1" x14ac:dyDescent="0.2">
      <c r="A3937" t="s">
        <v>4243</v>
      </c>
      <c r="B3937" t="s">
        <v>188</v>
      </c>
      <c r="C3937" t="s">
        <v>52</v>
      </c>
      <c r="D3937" s="49">
        <v>45846</v>
      </c>
      <c r="E3937" s="49">
        <v>45852</v>
      </c>
      <c r="F3937" s="49">
        <v>45866</v>
      </c>
      <c r="G3937" s="49">
        <v>45885</v>
      </c>
      <c r="H3937" s="49">
        <v>45901</v>
      </c>
      <c r="I3937" s="49">
        <v>45911</v>
      </c>
      <c r="J3937" t="s">
        <v>49</v>
      </c>
      <c r="K3937" s="33">
        <v>25500</v>
      </c>
      <c r="L3937" t="s">
        <v>64</v>
      </c>
      <c r="M3937" t="str">
        <f>_xlfn.XLOOKUP(Pipeline_tbl[[#This Row],[Rep_ID]],Dim_Reps!A:A,Dim_Reps!K:K)</f>
        <v>EUR</v>
      </c>
      <c r="N3937" s="33">
        <f>(_xlfn.XLOOKUP(Pipeline_tbl[[#This Row],[Rate_Code_Generalized]],Lookups!A:A,Lookups!B:B))*Pipeline_tbl[[#This Row],[Pipeline_Amount_USD]]</f>
        <v>25500</v>
      </c>
      <c r="O3937" t="str">
        <f>_xlfn.XLOOKUP(Pipeline_tbl[[#This Row],[Rep_ID]],Dim_Reps!A:A,Dim_Reps!B:B)</f>
        <v>Jamie Santos</v>
      </c>
      <c r="P3937" t="str">
        <f>_xlfn.XLOOKUP(Pipeline_tbl[[#This Row],[Rep_ID]],Dim_Reps!A:A,Dim_Reps!C:C)</f>
        <v>Enterprise AE</v>
      </c>
      <c r="Q3937" t="str">
        <f>_xlfn.XLOOKUP(Pipeline_tbl[[#This Row],[Rep_ID]],Dim_Reps!A:A,Dim_Reps!D:D)</f>
        <v>Enterprise</v>
      </c>
      <c r="R3937" t="str">
        <f>_xlfn.XLOOKUP(Pipeline_tbl[[#This Row],[Rep_ID]],Dim_Reps!A:A,Dim_Reps!E:E)</f>
        <v>APAC</v>
      </c>
      <c r="S3937" t="str">
        <f>_xlfn.XLOOKUP(Pipeline_tbl[[#This Row],[Created_Date]],Dim_Date!A:A,Dim_Date!H:H)</f>
        <v>Jul 2025</v>
      </c>
      <c r="T3937" t="str">
        <f>IF(Pipeline_tbl[[#This Row],[Closed_Date]]=0,"",(_xlfn.XLOOKUP(Pipeline_tbl[[#This Row],[Closed_Date]],Dim_Date!A:A,Dim_Date!H:H)))</f>
        <v>Sep 2025</v>
      </c>
      <c r="U3937">
        <f>IF(Pipeline_tbl[[#This Row],[Closed_Date]]=0,"",Pipeline_tbl[[#This Row],[Closed_Date]]-Pipeline_tbl[[#This Row],[Created_Date]])</f>
        <v>65</v>
      </c>
    </row>
    <row r="3938" spans="1:21" ht="15" customHeight="1" x14ac:dyDescent="0.2">
      <c r="A3938" t="s">
        <v>4244</v>
      </c>
      <c r="B3938" t="s">
        <v>188</v>
      </c>
      <c r="C3938" t="s">
        <v>52</v>
      </c>
      <c r="D3938" s="49">
        <v>45840</v>
      </c>
      <c r="E3938" s="49">
        <v>45847</v>
      </c>
      <c r="F3938" s="49">
        <v>45862</v>
      </c>
      <c r="G3938" s="49">
        <v>45883</v>
      </c>
      <c r="H3938" s="49">
        <v>45901</v>
      </c>
      <c r="I3938" s="49">
        <v>45912</v>
      </c>
      <c r="J3938" t="s">
        <v>47</v>
      </c>
      <c r="K3938" s="33">
        <v>29000</v>
      </c>
      <c r="M3938" t="str">
        <f>_xlfn.XLOOKUP(Pipeline_tbl[[#This Row],[Rep_ID]],Dim_Reps!A:A,Dim_Reps!K:K)</f>
        <v>EUR</v>
      </c>
      <c r="N3938" s="33">
        <f>(_xlfn.XLOOKUP(Pipeline_tbl[[#This Row],[Rate_Code_Generalized]],Lookups!A:A,Lookups!B:B))*Pipeline_tbl[[#This Row],[Pipeline_Amount_USD]]</f>
        <v>29000</v>
      </c>
      <c r="O3938" t="str">
        <f>_xlfn.XLOOKUP(Pipeline_tbl[[#This Row],[Rep_ID]],Dim_Reps!A:A,Dim_Reps!B:B)</f>
        <v>Jamie Santos</v>
      </c>
      <c r="P3938" t="str">
        <f>_xlfn.XLOOKUP(Pipeline_tbl[[#This Row],[Rep_ID]],Dim_Reps!A:A,Dim_Reps!C:C)</f>
        <v>Enterprise AE</v>
      </c>
      <c r="Q3938" t="str">
        <f>_xlfn.XLOOKUP(Pipeline_tbl[[#This Row],[Rep_ID]],Dim_Reps!A:A,Dim_Reps!D:D)</f>
        <v>Enterprise</v>
      </c>
      <c r="R3938" t="str">
        <f>_xlfn.XLOOKUP(Pipeline_tbl[[#This Row],[Rep_ID]],Dim_Reps!A:A,Dim_Reps!E:E)</f>
        <v>APAC</v>
      </c>
      <c r="S3938" t="str">
        <f>_xlfn.XLOOKUP(Pipeline_tbl[[#This Row],[Created_Date]],Dim_Date!A:A,Dim_Date!H:H)</f>
        <v>Jul 2025</v>
      </c>
      <c r="T3938" t="str">
        <f>IF(Pipeline_tbl[[#This Row],[Closed_Date]]=0,"",(_xlfn.XLOOKUP(Pipeline_tbl[[#This Row],[Closed_Date]],Dim_Date!A:A,Dim_Date!H:H)))</f>
        <v>Sep 2025</v>
      </c>
      <c r="U3938">
        <f>IF(Pipeline_tbl[[#This Row],[Closed_Date]]=0,"",Pipeline_tbl[[#This Row],[Closed_Date]]-Pipeline_tbl[[#This Row],[Created_Date]])</f>
        <v>72</v>
      </c>
    </row>
    <row r="3939" spans="1:21" ht="15" customHeight="1" x14ac:dyDescent="0.2">
      <c r="A3939" t="s">
        <v>4245</v>
      </c>
      <c r="B3939" t="s">
        <v>257</v>
      </c>
      <c r="C3939" t="s">
        <v>53</v>
      </c>
      <c r="D3939" s="49">
        <v>45866</v>
      </c>
      <c r="E3939" s="49">
        <v>45871</v>
      </c>
      <c r="F3939" s="49">
        <v>45881</v>
      </c>
      <c r="G3939" s="49">
        <v>45897</v>
      </c>
      <c r="H3939" s="49">
        <v>45909</v>
      </c>
      <c r="I3939" s="49">
        <v>45917</v>
      </c>
      <c r="J3939" t="s">
        <v>49</v>
      </c>
      <c r="K3939" s="33">
        <v>4400</v>
      </c>
      <c r="L3939" t="s">
        <v>61</v>
      </c>
      <c r="M3939" t="str">
        <f>_xlfn.XLOOKUP(Pipeline_tbl[[#This Row],[Rep_ID]],Dim_Reps!A:A,Dim_Reps!K:K)</f>
        <v>EUR</v>
      </c>
      <c r="N3939" s="33">
        <f>(_xlfn.XLOOKUP(Pipeline_tbl[[#This Row],[Rate_Code_Generalized]],Lookups!A:A,Lookups!B:B))*Pipeline_tbl[[#This Row],[Pipeline_Amount_USD]]</f>
        <v>4400</v>
      </c>
      <c r="O3939" t="str">
        <f>_xlfn.XLOOKUP(Pipeline_tbl[[#This Row],[Rep_ID]],Dim_Reps!A:A,Dim_Reps!B:B)</f>
        <v>Ana Kim</v>
      </c>
      <c r="P3939" t="str">
        <f>_xlfn.XLOOKUP(Pipeline_tbl[[#This Row],[Rep_ID]],Dim_Reps!A:A,Dim_Reps!C:C)</f>
        <v>Mid-Market AE</v>
      </c>
      <c r="Q3939" t="str">
        <f>_xlfn.XLOOKUP(Pipeline_tbl[[#This Row],[Rep_ID]],Dim_Reps!A:A,Dim_Reps!D:D)</f>
        <v>Mid-Market</v>
      </c>
      <c r="R3939" t="str">
        <f>_xlfn.XLOOKUP(Pipeline_tbl[[#This Row],[Rep_ID]],Dim_Reps!A:A,Dim_Reps!E:E)</f>
        <v>APAC</v>
      </c>
      <c r="S3939" t="str">
        <f>_xlfn.XLOOKUP(Pipeline_tbl[[#This Row],[Created_Date]],Dim_Date!A:A,Dim_Date!H:H)</f>
        <v>Jul 2025</v>
      </c>
      <c r="T3939" t="str">
        <f>IF(Pipeline_tbl[[#This Row],[Closed_Date]]=0,"",(_xlfn.XLOOKUP(Pipeline_tbl[[#This Row],[Closed_Date]],Dim_Date!A:A,Dim_Date!H:H)))</f>
        <v>Sep 2025</v>
      </c>
      <c r="U3939">
        <f>IF(Pipeline_tbl[[#This Row],[Closed_Date]]=0,"",Pipeline_tbl[[#This Row],[Closed_Date]]-Pipeline_tbl[[#This Row],[Created_Date]])</f>
        <v>51</v>
      </c>
    </row>
    <row r="3940" spans="1:21" ht="15" customHeight="1" x14ac:dyDescent="0.2">
      <c r="A3940" t="s">
        <v>4246</v>
      </c>
      <c r="B3940" t="s">
        <v>257</v>
      </c>
      <c r="C3940" t="s">
        <v>56</v>
      </c>
      <c r="D3940" s="49">
        <v>45864</v>
      </c>
      <c r="E3940" s="49">
        <v>45868</v>
      </c>
      <c r="F3940" s="49">
        <v>45875</v>
      </c>
      <c r="G3940" s="49">
        <v>45886</v>
      </c>
      <c r="I3940" s="49">
        <v>45901</v>
      </c>
      <c r="J3940" t="s">
        <v>49</v>
      </c>
      <c r="K3940" s="33">
        <v>15000</v>
      </c>
      <c r="L3940" t="s">
        <v>62</v>
      </c>
      <c r="M3940" t="str">
        <f>_xlfn.XLOOKUP(Pipeline_tbl[[#This Row],[Rep_ID]],Dim_Reps!A:A,Dim_Reps!K:K)</f>
        <v>EUR</v>
      </c>
      <c r="N3940" s="33">
        <f>(_xlfn.XLOOKUP(Pipeline_tbl[[#This Row],[Rate_Code_Generalized]],Lookups!A:A,Lookups!B:B))*Pipeline_tbl[[#This Row],[Pipeline_Amount_USD]]</f>
        <v>15000</v>
      </c>
      <c r="O3940" t="str">
        <f>_xlfn.XLOOKUP(Pipeline_tbl[[#This Row],[Rep_ID]],Dim_Reps!A:A,Dim_Reps!B:B)</f>
        <v>Ana Kim</v>
      </c>
      <c r="P3940" t="str">
        <f>_xlfn.XLOOKUP(Pipeline_tbl[[#This Row],[Rep_ID]],Dim_Reps!A:A,Dim_Reps!C:C)</f>
        <v>Mid-Market AE</v>
      </c>
      <c r="Q3940" t="str">
        <f>_xlfn.XLOOKUP(Pipeline_tbl[[#This Row],[Rep_ID]],Dim_Reps!A:A,Dim_Reps!D:D)</f>
        <v>Mid-Market</v>
      </c>
      <c r="R3940" t="str">
        <f>_xlfn.XLOOKUP(Pipeline_tbl[[#This Row],[Rep_ID]],Dim_Reps!A:A,Dim_Reps!E:E)</f>
        <v>APAC</v>
      </c>
      <c r="S3940" t="str">
        <f>_xlfn.XLOOKUP(Pipeline_tbl[[#This Row],[Created_Date]],Dim_Date!A:A,Dim_Date!H:H)</f>
        <v>Jul 2025</v>
      </c>
      <c r="T3940" t="str">
        <f>IF(Pipeline_tbl[[#This Row],[Closed_Date]]=0,"",(_xlfn.XLOOKUP(Pipeline_tbl[[#This Row],[Closed_Date]],Dim_Date!A:A,Dim_Date!H:H)))</f>
        <v>Sep 2025</v>
      </c>
      <c r="U3940">
        <f>IF(Pipeline_tbl[[#This Row],[Closed_Date]]=0,"",Pipeline_tbl[[#This Row],[Closed_Date]]-Pipeline_tbl[[#This Row],[Created_Date]])</f>
        <v>37</v>
      </c>
    </row>
    <row r="3941" spans="1:21" ht="15" customHeight="1" x14ac:dyDescent="0.2">
      <c r="A3941" t="s">
        <v>4247</v>
      </c>
      <c r="B3941" t="s">
        <v>257</v>
      </c>
      <c r="C3941" t="s">
        <v>55</v>
      </c>
      <c r="D3941" s="49">
        <v>45868</v>
      </c>
      <c r="E3941" s="49">
        <v>45872</v>
      </c>
      <c r="F3941" s="49">
        <v>45879</v>
      </c>
      <c r="G3941" s="49">
        <v>45890</v>
      </c>
      <c r="I3941" s="49">
        <v>45904</v>
      </c>
      <c r="J3941" t="s">
        <v>49</v>
      </c>
      <c r="K3941" s="33">
        <v>29300</v>
      </c>
      <c r="L3941" t="s">
        <v>61</v>
      </c>
      <c r="M3941" t="str">
        <f>_xlfn.XLOOKUP(Pipeline_tbl[[#This Row],[Rep_ID]],Dim_Reps!A:A,Dim_Reps!K:K)</f>
        <v>EUR</v>
      </c>
      <c r="N3941" s="33">
        <f>(_xlfn.XLOOKUP(Pipeline_tbl[[#This Row],[Rate_Code_Generalized]],Lookups!A:A,Lookups!B:B))*Pipeline_tbl[[#This Row],[Pipeline_Amount_USD]]</f>
        <v>29300</v>
      </c>
      <c r="O3941" t="str">
        <f>_xlfn.XLOOKUP(Pipeline_tbl[[#This Row],[Rep_ID]],Dim_Reps!A:A,Dim_Reps!B:B)</f>
        <v>Ana Kim</v>
      </c>
      <c r="P3941" t="str">
        <f>_xlfn.XLOOKUP(Pipeline_tbl[[#This Row],[Rep_ID]],Dim_Reps!A:A,Dim_Reps!C:C)</f>
        <v>Mid-Market AE</v>
      </c>
      <c r="Q3941" t="str">
        <f>_xlfn.XLOOKUP(Pipeline_tbl[[#This Row],[Rep_ID]],Dim_Reps!A:A,Dim_Reps!D:D)</f>
        <v>Mid-Market</v>
      </c>
      <c r="R3941" t="str">
        <f>_xlfn.XLOOKUP(Pipeline_tbl[[#This Row],[Rep_ID]],Dim_Reps!A:A,Dim_Reps!E:E)</f>
        <v>APAC</v>
      </c>
      <c r="S3941" t="str">
        <f>_xlfn.XLOOKUP(Pipeline_tbl[[#This Row],[Created_Date]],Dim_Date!A:A,Dim_Date!H:H)</f>
        <v>Jul 2025</v>
      </c>
      <c r="T3941" t="str">
        <f>IF(Pipeline_tbl[[#This Row],[Closed_Date]]=0,"",(_xlfn.XLOOKUP(Pipeline_tbl[[#This Row],[Closed_Date]],Dim_Date!A:A,Dim_Date!H:H)))</f>
        <v>Sep 2025</v>
      </c>
      <c r="U3941">
        <f>IF(Pipeline_tbl[[#This Row],[Closed_Date]]=0,"",Pipeline_tbl[[#This Row],[Closed_Date]]-Pipeline_tbl[[#This Row],[Created_Date]])</f>
        <v>36</v>
      </c>
    </row>
    <row r="3942" spans="1:21" ht="15" customHeight="1" x14ac:dyDescent="0.2">
      <c r="A3942" t="s">
        <v>4248</v>
      </c>
      <c r="B3942" t="s">
        <v>259</v>
      </c>
      <c r="C3942" t="s">
        <v>52</v>
      </c>
      <c r="D3942" s="49">
        <v>45865</v>
      </c>
      <c r="E3942" s="49">
        <v>45869</v>
      </c>
      <c r="I3942" s="49">
        <v>45904</v>
      </c>
      <c r="J3942" t="s">
        <v>49</v>
      </c>
      <c r="K3942" s="33">
        <v>14700</v>
      </c>
      <c r="L3942" t="s">
        <v>62</v>
      </c>
      <c r="M3942" t="str">
        <f>_xlfn.XLOOKUP(Pipeline_tbl[[#This Row],[Rep_ID]],Dim_Reps!A:A,Dim_Reps!K:K)</f>
        <v>EUR</v>
      </c>
      <c r="N3942" s="33">
        <f>(_xlfn.XLOOKUP(Pipeline_tbl[[#This Row],[Rate_Code_Generalized]],Lookups!A:A,Lookups!B:B))*Pipeline_tbl[[#This Row],[Pipeline_Amount_USD]]</f>
        <v>14700</v>
      </c>
      <c r="O3942" t="str">
        <f>_xlfn.XLOOKUP(Pipeline_tbl[[#This Row],[Rep_ID]],Dim_Reps!A:A,Dim_Reps!B:B)</f>
        <v>Felix Okafor</v>
      </c>
      <c r="P3942" t="str">
        <f>_xlfn.XLOOKUP(Pipeline_tbl[[#This Row],[Rep_ID]],Dim_Reps!A:A,Dim_Reps!C:C)</f>
        <v>Mid-Market AE</v>
      </c>
      <c r="Q3942" t="str">
        <f>_xlfn.XLOOKUP(Pipeline_tbl[[#This Row],[Rep_ID]],Dim_Reps!A:A,Dim_Reps!D:D)</f>
        <v>Mid-Market</v>
      </c>
      <c r="R3942" t="str">
        <f>_xlfn.XLOOKUP(Pipeline_tbl[[#This Row],[Rep_ID]],Dim_Reps!A:A,Dim_Reps!E:E)</f>
        <v>EMEA</v>
      </c>
      <c r="S3942" t="str">
        <f>_xlfn.XLOOKUP(Pipeline_tbl[[#This Row],[Created_Date]],Dim_Date!A:A,Dim_Date!H:H)</f>
        <v>Jul 2025</v>
      </c>
      <c r="T3942" t="str">
        <f>IF(Pipeline_tbl[[#This Row],[Closed_Date]]=0,"",(_xlfn.XLOOKUP(Pipeline_tbl[[#This Row],[Closed_Date]],Dim_Date!A:A,Dim_Date!H:H)))</f>
        <v>Sep 2025</v>
      </c>
      <c r="U3942">
        <f>IF(Pipeline_tbl[[#This Row],[Closed_Date]]=0,"",Pipeline_tbl[[#This Row],[Closed_Date]]-Pipeline_tbl[[#This Row],[Created_Date]])</f>
        <v>39</v>
      </c>
    </row>
    <row r="3943" spans="1:21" ht="15" customHeight="1" x14ac:dyDescent="0.2">
      <c r="A3943" t="s">
        <v>4249</v>
      </c>
      <c r="B3943" t="s">
        <v>259</v>
      </c>
      <c r="C3943" t="s">
        <v>53</v>
      </c>
      <c r="D3943" s="49">
        <v>45866</v>
      </c>
      <c r="E3943" s="49">
        <v>45871</v>
      </c>
      <c r="F3943" s="49">
        <v>45881</v>
      </c>
      <c r="G3943" s="49">
        <v>45895</v>
      </c>
      <c r="H3943" s="49">
        <v>45908</v>
      </c>
      <c r="I3943" s="49">
        <v>45915</v>
      </c>
      <c r="J3943" t="s">
        <v>47</v>
      </c>
      <c r="K3943" s="33">
        <v>17600</v>
      </c>
      <c r="M3943" t="str">
        <f>_xlfn.XLOOKUP(Pipeline_tbl[[#This Row],[Rep_ID]],Dim_Reps!A:A,Dim_Reps!K:K)</f>
        <v>EUR</v>
      </c>
      <c r="N3943" s="33">
        <f>(_xlfn.XLOOKUP(Pipeline_tbl[[#This Row],[Rate_Code_Generalized]],Lookups!A:A,Lookups!B:B))*Pipeline_tbl[[#This Row],[Pipeline_Amount_USD]]</f>
        <v>17600</v>
      </c>
      <c r="O3943" t="str">
        <f>_xlfn.XLOOKUP(Pipeline_tbl[[#This Row],[Rep_ID]],Dim_Reps!A:A,Dim_Reps!B:B)</f>
        <v>Felix Okafor</v>
      </c>
      <c r="P3943" t="str">
        <f>_xlfn.XLOOKUP(Pipeline_tbl[[#This Row],[Rep_ID]],Dim_Reps!A:A,Dim_Reps!C:C)</f>
        <v>Mid-Market AE</v>
      </c>
      <c r="Q3943" t="str">
        <f>_xlfn.XLOOKUP(Pipeline_tbl[[#This Row],[Rep_ID]],Dim_Reps!A:A,Dim_Reps!D:D)</f>
        <v>Mid-Market</v>
      </c>
      <c r="R3943" t="str">
        <f>_xlfn.XLOOKUP(Pipeline_tbl[[#This Row],[Rep_ID]],Dim_Reps!A:A,Dim_Reps!E:E)</f>
        <v>EMEA</v>
      </c>
      <c r="S3943" t="str">
        <f>_xlfn.XLOOKUP(Pipeline_tbl[[#This Row],[Created_Date]],Dim_Date!A:A,Dim_Date!H:H)</f>
        <v>Jul 2025</v>
      </c>
      <c r="T3943" t="str">
        <f>IF(Pipeline_tbl[[#This Row],[Closed_Date]]=0,"",(_xlfn.XLOOKUP(Pipeline_tbl[[#This Row],[Closed_Date]],Dim_Date!A:A,Dim_Date!H:H)))</f>
        <v>Sep 2025</v>
      </c>
      <c r="U3943">
        <f>IF(Pipeline_tbl[[#This Row],[Closed_Date]]=0,"",Pipeline_tbl[[#This Row],[Closed_Date]]-Pipeline_tbl[[#This Row],[Created_Date]])</f>
        <v>49</v>
      </c>
    </row>
    <row r="3944" spans="1:21" ht="15" customHeight="1" x14ac:dyDescent="0.2">
      <c r="A3944" t="s">
        <v>4250</v>
      </c>
      <c r="B3944" t="s">
        <v>259</v>
      </c>
      <c r="C3944" t="s">
        <v>52</v>
      </c>
      <c r="D3944" s="49">
        <v>45869</v>
      </c>
      <c r="E3944" s="49">
        <v>45873</v>
      </c>
      <c r="F3944" s="49">
        <v>45881</v>
      </c>
      <c r="G3944" s="49">
        <v>45892</v>
      </c>
      <c r="I3944" s="49">
        <v>45908</v>
      </c>
      <c r="J3944" t="s">
        <v>49</v>
      </c>
      <c r="K3944" s="33">
        <v>14200</v>
      </c>
      <c r="L3944" t="s">
        <v>62</v>
      </c>
      <c r="M3944" t="str">
        <f>_xlfn.XLOOKUP(Pipeline_tbl[[#This Row],[Rep_ID]],Dim_Reps!A:A,Dim_Reps!K:K)</f>
        <v>EUR</v>
      </c>
      <c r="N3944" s="33">
        <f>(_xlfn.XLOOKUP(Pipeline_tbl[[#This Row],[Rate_Code_Generalized]],Lookups!A:A,Lookups!B:B))*Pipeline_tbl[[#This Row],[Pipeline_Amount_USD]]</f>
        <v>14200</v>
      </c>
      <c r="O3944" t="str">
        <f>_xlfn.XLOOKUP(Pipeline_tbl[[#This Row],[Rep_ID]],Dim_Reps!A:A,Dim_Reps!B:B)</f>
        <v>Felix Okafor</v>
      </c>
      <c r="P3944" t="str">
        <f>_xlfn.XLOOKUP(Pipeline_tbl[[#This Row],[Rep_ID]],Dim_Reps!A:A,Dim_Reps!C:C)</f>
        <v>Mid-Market AE</v>
      </c>
      <c r="Q3944" t="str">
        <f>_xlfn.XLOOKUP(Pipeline_tbl[[#This Row],[Rep_ID]],Dim_Reps!A:A,Dim_Reps!D:D)</f>
        <v>Mid-Market</v>
      </c>
      <c r="R3944" t="str">
        <f>_xlfn.XLOOKUP(Pipeline_tbl[[#This Row],[Rep_ID]],Dim_Reps!A:A,Dim_Reps!E:E)</f>
        <v>EMEA</v>
      </c>
      <c r="S3944" t="str">
        <f>_xlfn.XLOOKUP(Pipeline_tbl[[#This Row],[Created_Date]],Dim_Date!A:A,Dim_Date!H:H)</f>
        <v>Jul 2025</v>
      </c>
      <c r="T3944" t="str">
        <f>IF(Pipeline_tbl[[#This Row],[Closed_Date]]=0,"",(_xlfn.XLOOKUP(Pipeline_tbl[[#This Row],[Closed_Date]],Dim_Date!A:A,Dim_Date!H:H)))</f>
        <v>Sep 2025</v>
      </c>
      <c r="U3944">
        <f>IF(Pipeline_tbl[[#This Row],[Closed_Date]]=0,"",Pipeline_tbl[[#This Row],[Closed_Date]]-Pipeline_tbl[[#This Row],[Created_Date]])</f>
        <v>39</v>
      </c>
    </row>
    <row r="3945" spans="1:21" ht="15" customHeight="1" x14ac:dyDescent="0.2">
      <c r="A3945" t="s">
        <v>4251</v>
      </c>
      <c r="B3945" t="s">
        <v>259</v>
      </c>
      <c r="C3945" t="s">
        <v>52</v>
      </c>
      <c r="D3945" s="49">
        <v>45865</v>
      </c>
      <c r="E3945" s="49">
        <v>45870</v>
      </c>
      <c r="F3945" s="49">
        <v>45879</v>
      </c>
      <c r="G3945" s="49">
        <v>45893</v>
      </c>
      <c r="I3945" s="49">
        <v>45911</v>
      </c>
      <c r="J3945" t="s">
        <v>49</v>
      </c>
      <c r="K3945" s="33">
        <v>18200</v>
      </c>
      <c r="L3945" t="s">
        <v>62</v>
      </c>
      <c r="M3945" t="str">
        <f>_xlfn.XLOOKUP(Pipeline_tbl[[#This Row],[Rep_ID]],Dim_Reps!A:A,Dim_Reps!K:K)</f>
        <v>EUR</v>
      </c>
      <c r="N3945" s="33">
        <f>(_xlfn.XLOOKUP(Pipeline_tbl[[#This Row],[Rate_Code_Generalized]],Lookups!A:A,Lookups!B:B))*Pipeline_tbl[[#This Row],[Pipeline_Amount_USD]]</f>
        <v>18200</v>
      </c>
      <c r="O3945" t="str">
        <f>_xlfn.XLOOKUP(Pipeline_tbl[[#This Row],[Rep_ID]],Dim_Reps!A:A,Dim_Reps!B:B)</f>
        <v>Felix Okafor</v>
      </c>
      <c r="P3945" t="str">
        <f>_xlfn.XLOOKUP(Pipeline_tbl[[#This Row],[Rep_ID]],Dim_Reps!A:A,Dim_Reps!C:C)</f>
        <v>Mid-Market AE</v>
      </c>
      <c r="Q3945" t="str">
        <f>_xlfn.XLOOKUP(Pipeline_tbl[[#This Row],[Rep_ID]],Dim_Reps!A:A,Dim_Reps!D:D)</f>
        <v>Mid-Market</v>
      </c>
      <c r="R3945" t="str">
        <f>_xlfn.XLOOKUP(Pipeline_tbl[[#This Row],[Rep_ID]],Dim_Reps!A:A,Dim_Reps!E:E)</f>
        <v>EMEA</v>
      </c>
      <c r="S3945" t="str">
        <f>_xlfn.XLOOKUP(Pipeline_tbl[[#This Row],[Created_Date]],Dim_Date!A:A,Dim_Date!H:H)</f>
        <v>Jul 2025</v>
      </c>
      <c r="T3945" t="str">
        <f>IF(Pipeline_tbl[[#This Row],[Closed_Date]]=0,"",(_xlfn.XLOOKUP(Pipeline_tbl[[#This Row],[Closed_Date]],Dim_Date!A:A,Dim_Date!H:H)))</f>
        <v>Sep 2025</v>
      </c>
      <c r="U3945">
        <f>IF(Pipeline_tbl[[#This Row],[Closed_Date]]=0,"",Pipeline_tbl[[#This Row],[Closed_Date]]-Pipeline_tbl[[#This Row],[Created_Date]])</f>
        <v>46</v>
      </c>
    </row>
    <row r="3946" spans="1:21" ht="15" customHeight="1" x14ac:dyDescent="0.2">
      <c r="A3946" t="s">
        <v>4252</v>
      </c>
      <c r="B3946" t="s">
        <v>282</v>
      </c>
      <c r="C3946" t="s">
        <v>55</v>
      </c>
      <c r="D3946" s="49">
        <v>45846</v>
      </c>
      <c r="E3946" s="49">
        <v>45852</v>
      </c>
      <c r="I3946" s="49">
        <v>45908</v>
      </c>
      <c r="J3946" t="s">
        <v>49</v>
      </c>
      <c r="K3946" s="33">
        <v>76000</v>
      </c>
      <c r="L3946" t="s">
        <v>62</v>
      </c>
      <c r="M3946" t="str">
        <f>_xlfn.XLOOKUP(Pipeline_tbl[[#This Row],[Rep_ID]],Dim_Reps!A:A,Dim_Reps!K:K)</f>
        <v>USD</v>
      </c>
      <c r="N3946" s="33">
        <f>(_xlfn.XLOOKUP(Pipeline_tbl[[#This Row],[Rate_Code_Generalized]],Lookups!A:A,Lookups!B:B))*Pipeline_tbl[[#This Row],[Pipeline_Amount_USD]]</f>
        <v>88486.799999999988</v>
      </c>
      <c r="O3946" t="str">
        <f>_xlfn.XLOOKUP(Pipeline_tbl[[#This Row],[Rep_ID]],Dim_Reps!A:A,Dim_Reps!B:B)</f>
        <v>Fatima Rossi</v>
      </c>
      <c r="P3946" t="str">
        <f>_xlfn.XLOOKUP(Pipeline_tbl[[#This Row],[Rep_ID]],Dim_Reps!A:A,Dim_Reps!C:C)</f>
        <v>Senior Enterprise AE</v>
      </c>
      <c r="Q3946" t="str">
        <f>_xlfn.XLOOKUP(Pipeline_tbl[[#This Row],[Rep_ID]],Dim_Reps!A:A,Dim_Reps!D:D)</f>
        <v>Strategic</v>
      </c>
      <c r="R3946" t="str">
        <f>_xlfn.XLOOKUP(Pipeline_tbl[[#This Row],[Rep_ID]],Dim_Reps!A:A,Dim_Reps!E:E)</f>
        <v>NAMER</v>
      </c>
      <c r="S3946" t="str">
        <f>_xlfn.XLOOKUP(Pipeline_tbl[[#This Row],[Created_Date]],Dim_Date!A:A,Dim_Date!H:H)</f>
        <v>Jul 2025</v>
      </c>
      <c r="T3946" t="str">
        <f>IF(Pipeline_tbl[[#This Row],[Closed_Date]]=0,"",(_xlfn.XLOOKUP(Pipeline_tbl[[#This Row],[Closed_Date]],Dim_Date!A:A,Dim_Date!H:H)))</f>
        <v>Sep 2025</v>
      </c>
      <c r="U3946">
        <f>IF(Pipeline_tbl[[#This Row],[Closed_Date]]=0,"",Pipeline_tbl[[#This Row],[Closed_Date]]-Pipeline_tbl[[#This Row],[Created_Date]])</f>
        <v>62</v>
      </c>
    </row>
    <row r="3947" spans="1:21" ht="15" customHeight="1" x14ac:dyDescent="0.2">
      <c r="A3947" t="s">
        <v>4253</v>
      </c>
      <c r="B3947" t="s">
        <v>191</v>
      </c>
      <c r="C3947" t="s">
        <v>53</v>
      </c>
      <c r="D3947" s="49">
        <v>45866</v>
      </c>
      <c r="E3947" s="49">
        <v>45872</v>
      </c>
      <c r="I3947" s="49">
        <v>45925</v>
      </c>
      <c r="J3947" t="s">
        <v>49</v>
      </c>
      <c r="K3947" s="33">
        <v>22900</v>
      </c>
      <c r="L3947" t="s">
        <v>61</v>
      </c>
      <c r="M3947" t="str">
        <f>_xlfn.XLOOKUP(Pipeline_tbl[[#This Row],[Rep_ID]],Dim_Reps!A:A,Dim_Reps!K:K)</f>
        <v>USD</v>
      </c>
      <c r="N3947" s="33">
        <f>(_xlfn.XLOOKUP(Pipeline_tbl[[#This Row],[Rate_Code_Generalized]],Lookups!A:A,Lookups!B:B))*Pipeline_tbl[[#This Row],[Pipeline_Amount_USD]]</f>
        <v>26662.469999999998</v>
      </c>
      <c r="O3947" t="str">
        <f>_xlfn.XLOOKUP(Pipeline_tbl[[#This Row],[Rep_ID]],Dim_Reps!A:A,Dim_Reps!B:B)</f>
        <v>Zara Duarte</v>
      </c>
      <c r="P3947" t="str">
        <f>_xlfn.XLOOKUP(Pipeline_tbl[[#This Row],[Rep_ID]],Dim_Reps!A:A,Dim_Reps!C:C)</f>
        <v>Enterprise AE</v>
      </c>
      <c r="Q3947" t="str">
        <f>_xlfn.XLOOKUP(Pipeline_tbl[[#This Row],[Rep_ID]],Dim_Reps!A:A,Dim_Reps!D:D)</f>
        <v>Enterprise</v>
      </c>
      <c r="R3947" t="str">
        <f>_xlfn.XLOOKUP(Pipeline_tbl[[#This Row],[Rep_ID]],Dim_Reps!A:A,Dim_Reps!E:E)</f>
        <v>NAMER</v>
      </c>
      <c r="S3947" t="str">
        <f>_xlfn.XLOOKUP(Pipeline_tbl[[#This Row],[Created_Date]],Dim_Date!A:A,Dim_Date!H:H)</f>
        <v>Jul 2025</v>
      </c>
      <c r="T3947" t="str">
        <f>IF(Pipeline_tbl[[#This Row],[Closed_Date]]=0,"",(_xlfn.XLOOKUP(Pipeline_tbl[[#This Row],[Closed_Date]],Dim_Date!A:A,Dim_Date!H:H)))</f>
        <v>Sep 2025</v>
      </c>
      <c r="U3947">
        <f>IF(Pipeline_tbl[[#This Row],[Closed_Date]]=0,"",Pipeline_tbl[[#This Row],[Closed_Date]]-Pipeline_tbl[[#This Row],[Created_Date]])</f>
        <v>59</v>
      </c>
    </row>
    <row r="3948" spans="1:21" ht="15" customHeight="1" x14ac:dyDescent="0.2">
      <c r="A3948" t="s">
        <v>4254</v>
      </c>
      <c r="B3948" t="s">
        <v>191</v>
      </c>
      <c r="C3948" t="s">
        <v>52</v>
      </c>
      <c r="D3948" s="49">
        <v>45847</v>
      </c>
      <c r="E3948" s="49">
        <v>45853</v>
      </c>
      <c r="F3948" s="49">
        <v>45864</v>
      </c>
      <c r="I3948" s="49">
        <v>45905</v>
      </c>
      <c r="J3948" t="s">
        <v>49</v>
      </c>
      <c r="K3948" s="33">
        <v>33700</v>
      </c>
      <c r="L3948" t="s">
        <v>61</v>
      </c>
      <c r="M3948" t="str">
        <f>_xlfn.XLOOKUP(Pipeline_tbl[[#This Row],[Rep_ID]],Dim_Reps!A:A,Dim_Reps!K:K)</f>
        <v>USD</v>
      </c>
      <c r="N3948" s="33">
        <f>(_xlfn.XLOOKUP(Pipeline_tbl[[#This Row],[Rate_Code_Generalized]],Lookups!A:A,Lookups!B:B))*Pipeline_tbl[[#This Row],[Pipeline_Amount_USD]]</f>
        <v>39236.909999999996</v>
      </c>
      <c r="O3948" t="str">
        <f>_xlfn.XLOOKUP(Pipeline_tbl[[#This Row],[Rep_ID]],Dim_Reps!A:A,Dim_Reps!B:B)</f>
        <v>Zara Duarte</v>
      </c>
      <c r="P3948" t="str">
        <f>_xlfn.XLOOKUP(Pipeline_tbl[[#This Row],[Rep_ID]],Dim_Reps!A:A,Dim_Reps!C:C)</f>
        <v>Enterprise AE</v>
      </c>
      <c r="Q3948" t="str">
        <f>_xlfn.XLOOKUP(Pipeline_tbl[[#This Row],[Rep_ID]],Dim_Reps!A:A,Dim_Reps!D:D)</f>
        <v>Enterprise</v>
      </c>
      <c r="R3948" t="str">
        <f>_xlfn.XLOOKUP(Pipeline_tbl[[#This Row],[Rep_ID]],Dim_Reps!A:A,Dim_Reps!E:E)</f>
        <v>NAMER</v>
      </c>
      <c r="S3948" t="str">
        <f>_xlfn.XLOOKUP(Pipeline_tbl[[#This Row],[Created_Date]],Dim_Date!A:A,Dim_Date!H:H)</f>
        <v>Jul 2025</v>
      </c>
      <c r="T3948" t="str">
        <f>IF(Pipeline_tbl[[#This Row],[Closed_Date]]=0,"",(_xlfn.XLOOKUP(Pipeline_tbl[[#This Row],[Closed_Date]],Dim_Date!A:A,Dim_Date!H:H)))</f>
        <v>Sep 2025</v>
      </c>
      <c r="U3948">
        <f>IF(Pipeline_tbl[[#This Row],[Closed_Date]]=0,"",Pipeline_tbl[[#This Row],[Closed_Date]]-Pipeline_tbl[[#This Row],[Created_Date]])</f>
        <v>58</v>
      </c>
    </row>
    <row r="3949" spans="1:21" ht="15" customHeight="1" x14ac:dyDescent="0.2">
      <c r="A3949" t="s">
        <v>4255</v>
      </c>
      <c r="B3949" t="s">
        <v>191</v>
      </c>
      <c r="C3949" t="s">
        <v>55</v>
      </c>
      <c r="D3949" s="49">
        <v>45841</v>
      </c>
      <c r="E3949" s="49">
        <v>45848</v>
      </c>
      <c r="F3949" s="49">
        <v>45861</v>
      </c>
      <c r="G3949" s="49">
        <v>45881</v>
      </c>
      <c r="H3949" s="49">
        <v>45897</v>
      </c>
      <c r="I3949" s="49">
        <v>45907</v>
      </c>
      <c r="J3949" t="s">
        <v>47</v>
      </c>
      <c r="K3949" s="33">
        <v>43400</v>
      </c>
      <c r="M3949" t="str">
        <f>_xlfn.XLOOKUP(Pipeline_tbl[[#This Row],[Rep_ID]],Dim_Reps!A:A,Dim_Reps!K:K)</f>
        <v>USD</v>
      </c>
      <c r="N3949" s="33">
        <f>(_xlfn.XLOOKUP(Pipeline_tbl[[#This Row],[Rate_Code_Generalized]],Lookups!A:A,Lookups!B:B))*Pipeline_tbl[[#This Row],[Pipeline_Amount_USD]]</f>
        <v>50530.619999999995</v>
      </c>
      <c r="O3949" t="str">
        <f>_xlfn.XLOOKUP(Pipeline_tbl[[#This Row],[Rep_ID]],Dim_Reps!A:A,Dim_Reps!B:B)</f>
        <v>Zara Duarte</v>
      </c>
      <c r="P3949" t="str">
        <f>_xlfn.XLOOKUP(Pipeline_tbl[[#This Row],[Rep_ID]],Dim_Reps!A:A,Dim_Reps!C:C)</f>
        <v>Enterprise AE</v>
      </c>
      <c r="Q3949" t="str">
        <f>_xlfn.XLOOKUP(Pipeline_tbl[[#This Row],[Rep_ID]],Dim_Reps!A:A,Dim_Reps!D:D)</f>
        <v>Enterprise</v>
      </c>
      <c r="R3949" t="str">
        <f>_xlfn.XLOOKUP(Pipeline_tbl[[#This Row],[Rep_ID]],Dim_Reps!A:A,Dim_Reps!E:E)</f>
        <v>NAMER</v>
      </c>
      <c r="S3949" t="str">
        <f>_xlfn.XLOOKUP(Pipeline_tbl[[#This Row],[Created_Date]],Dim_Date!A:A,Dim_Date!H:H)</f>
        <v>Jul 2025</v>
      </c>
      <c r="T3949" t="str">
        <f>IF(Pipeline_tbl[[#This Row],[Closed_Date]]=0,"",(_xlfn.XLOOKUP(Pipeline_tbl[[#This Row],[Closed_Date]],Dim_Date!A:A,Dim_Date!H:H)))</f>
        <v>Sep 2025</v>
      </c>
      <c r="U3949">
        <f>IF(Pipeline_tbl[[#This Row],[Closed_Date]]=0,"",Pipeline_tbl[[#This Row],[Closed_Date]]-Pipeline_tbl[[#This Row],[Created_Date]])</f>
        <v>66</v>
      </c>
    </row>
    <row r="3950" spans="1:21" ht="15" customHeight="1" x14ac:dyDescent="0.2">
      <c r="A3950" t="s">
        <v>4256</v>
      </c>
      <c r="B3950" t="s">
        <v>267</v>
      </c>
      <c r="C3950" t="s">
        <v>53</v>
      </c>
      <c r="D3950" s="49">
        <v>45861</v>
      </c>
      <c r="E3950" s="49">
        <v>45865</v>
      </c>
      <c r="F3950" s="49">
        <v>45874</v>
      </c>
      <c r="G3950" s="49">
        <v>45887</v>
      </c>
      <c r="H3950" s="49">
        <v>45898</v>
      </c>
      <c r="I3950" s="49">
        <v>45904</v>
      </c>
      <c r="J3950" t="s">
        <v>47</v>
      </c>
      <c r="K3950" s="33">
        <v>17600</v>
      </c>
      <c r="M3950" t="str">
        <f>_xlfn.XLOOKUP(Pipeline_tbl[[#This Row],[Rep_ID]],Dim_Reps!A:A,Dim_Reps!K:K)</f>
        <v>MXN</v>
      </c>
      <c r="N3950" s="33">
        <f>(_xlfn.XLOOKUP(Pipeline_tbl[[#This Row],[Rate_Code_Generalized]],Lookups!A:A,Lookups!B:B))*Pipeline_tbl[[#This Row],[Pipeline_Amount_USD]]</f>
        <v>347295.52</v>
      </c>
      <c r="O3950" t="str">
        <f>_xlfn.XLOOKUP(Pipeline_tbl[[#This Row],[Rep_ID]],Dim_Reps!A:A,Dim_Reps!B:B)</f>
        <v>Yuki Dubois</v>
      </c>
      <c r="P3950" t="str">
        <f>_xlfn.XLOOKUP(Pipeline_tbl[[#This Row],[Rep_ID]],Dim_Reps!A:A,Dim_Reps!C:C)</f>
        <v>Mid-Market AE</v>
      </c>
      <c r="Q3950" t="str">
        <f>_xlfn.XLOOKUP(Pipeline_tbl[[#This Row],[Rep_ID]],Dim_Reps!A:A,Dim_Reps!D:D)</f>
        <v>Mid-Market</v>
      </c>
      <c r="R3950" t="str">
        <f>_xlfn.XLOOKUP(Pipeline_tbl[[#This Row],[Rep_ID]],Dim_Reps!A:A,Dim_Reps!E:E)</f>
        <v>LATAM</v>
      </c>
      <c r="S3950" t="str">
        <f>_xlfn.XLOOKUP(Pipeline_tbl[[#This Row],[Created_Date]],Dim_Date!A:A,Dim_Date!H:H)</f>
        <v>Jul 2025</v>
      </c>
      <c r="T3950" t="str">
        <f>IF(Pipeline_tbl[[#This Row],[Closed_Date]]=0,"",(_xlfn.XLOOKUP(Pipeline_tbl[[#This Row],[Closed_Date]],Dim_Date!A:A,Dim_Date!H:H)))</f>
        <v>Sep 2025</v>
      </c>
      <c r="U3950">
        <f>IF(Pipeline_tbl[[#This Row],[Closed_Date]]=0,"",Pipeline_tbl[[#This Row],[Closed_Date]]-Pipeline_tbl[[#This Row],[Created_Date]])</f>
        <v>43</v>
      </c>
    </row>
    <row r="3951" spans="1:21" ht="15" customHeight="1" x14ac:dyDescent="0.2">
      <c r="A3951" t="s">
        <v>4257</v>
      </c>
      <c r="B3951" t="s">
        <v>267</v>
      </c>
      <c r="C3951" t="s">
        <v>54</v>
      </c>
      <c r="D3951" s="49">
        <v>45845</v>
      </c>
      <c r="E3951" s="49">
        <v>45851</v>
      </c>
      <c r="F3951" s="49">
        <v>45863</v>
      </c>
      <c r="I3951" s="49">
        <v>45904</v>
      </c>
      <c r="J3951" t="s">
        <v>49</v>
      </c>
      <c r="K3951" s="33">
        <v>13800</v>
      </c>
      <c r="L3951" t="s">
        <v>63</v>
      </c>
      <c r="M3951" t="str">
        <f>_xlfn.XLOOKUP(Pipeline_tbl[[#This Row],[Rep_ID]],Dim_Reps!A:A,Dim_Reps!K:K)</f>
        <v>MXN</v>
      </c>
      <c r="N3951" s="33">
        <f>(_xlfn.XLOOKUP(Pipeline_tbl[[#This Row],[Rate_Code_Generalized]],Lookups!A:A,Lookups!B:B))*Pipeline_tbl[[#This Row],[Pipeline_Amount_USD]]</f>
        <v>272311.26</v>
      </c>
      <c r="O3951" t="str">
        <f>_xlfn.XLOOKUP(Pipeline_tbl[[#This Row],[Rep_ID]],Dim_Reps!A:A,Dim_Reps!B:B)</f>
        <v>Yuki Dubois</v>
      </c>
      <c r="P3951" t="str">
        <f>_xlfn.XLOOKUP(Pipeline_tbl[[#This Row],[Rep_ID]],Dim_Reps!A:A,Dim_Reps!C:C)</f>
        <v>Mid-Market AE</v>
      </c>
      <c r="Q3951" t="str">
        <f>_xlfn.XLOOKUP(Pipeline_tbl[[#This Row],[Rep_ID]],Dim_Reps!A:A,Dim_Reps!D:D)</f>
        <v>Mid-Market</v>
      </c>
      <c r="R3951" t="str">
        <f>_xlfn.XLOOKUP(Pipeline_tbl[[#This Row],[Rep_ID]],Dim_Reps!A:A,Dim_Reps!E:E)</f>
        <v>LATAM</v>
      </c>
      <c r="S3951" t="str">
        <f>_xlfn.XLOOKUP(Pipeline_tbl[[#This Row],[Created_Date]],Dim_Date!A:A,Dim_Date!H:H)</f>
        <v>Jul 2025</v>
      </c>
      <c r="T3951" t="str">
        <f>IF(Pipeline_tbl[[#This Row],[Closed_Date]]=0,"",(_xlfn.XLOOKUP(Pipeline_tbl[[#This Row],[Closed_Date]],Dim_Date!A:A,Dim_Date!H:H)))</f>
        <v>Sep 2025</v>
      </c>
      <c r="U3951">
        <f>IF(Pipeline_tbl[[#This Row],[Closed_Date]]=0,"",Pipeline_tbl[[#This Row],[Closed_Date]]-Pipeline_tbl[[#This Row],[Created_Date]])</f>
        <v>59</v>
      </c>
    </row>
    <row r="3952" spans="1:21" ht="15" customHeight="1" x14ac:dyDescent="0.2">
      <c r="A3952" t="s">
        <v>4258</v>
      </c>
      <c r="B3952" t="s">
        <v>269</v>
      </c>
      <c r="C3952" t="s">
        <v>54</v>
      </c>
      <c r="D3952" s="49">
        <v>45868</v>
      </c>
      <c r="E3952" s="49">
        <v>45874</v>
      </c>
      <c r="F3952" s="49">
        <v>45885</v>
      </c>
      <c r="I3952" s="49">
        <v>45924</v>
      </c>
      <c r="J3952" t="s">
        <v>49</v>
      </c>
      <c r="K3952" s="33">
        <v>6100</v>
      </c>
      <c r="L3952" t="s">
        <v>62</v>
      </c>
      <c r="M3952" t="str">
        <f>_xlfn.XLOOKUP(Pipeline_tbl[[#This Row],[Rep_ID]],Dim_Reps!A:A,Dim_Reps!K:K)</f>
        <v>USD</v>
      </c>
      <c r="N3952" s="33">
        <f>(_xlfn.XLOOKUP(Pipeline_tbl[[#This Row],[Rate_Code_Generalized]],Lookups!A:A,Lookups!B:B))*Pipeline_tbl[[#This Row],[Pipeline_Amount_USD]]</f>
        <v>7102.23</v>
      </c>
      <c r="O3952" t="str">
        <f>_xlfn.XLOOKUP(Pipeline_tbl[[#This Row],[Rep_ID]],Dim_Reps!A:A,Dim_Reps!B:B)</f>
        <v>Morgan Rivera</v>
      </c>
      <c r="P3952" t="str">
        <f>_xlfn.XLOOKUP(Pipeline_tbl[[#This Row],[Rep_ID]],Dim_Reps!A:A,Dim_Reps!C:C)</f>
        <v>Mid-Market AE</v>
      </c>
      <c r="Q3952" t="str">
        <f>_xlfn.XLOOKUP(Pipeline_tbl[[#This Row],[Rep_ID]],Dim_Reps!A:A,Dim_Reps!D:D)</f>
        <v>Mid-Market</v>
      </c>
      <c r="R3952" t="str">
        <f>_xlfn.XLOOKUP(Pipeline_tbl[[#This Row],[Rep_ID]],Dim_Reps!A:A,Dim_Reps!E:E)</f>
        <v>NAMER</v>
      </c>
      <c r="S3952" t="str">
        <f>_xlfn.XLOOKUP(Pipeline_tbl[[#This Row],[Created_Date]],Dim_Date!A:A,Dim_Date!H:H)</f>
        <v>Jul 2025</v>
      </c>
      <c r="T3952" t="str">
        <f>IF(Pipeline_tbl[[#This Row],[Closed_Date]]=0,"",(_xlfn.XLOOKUP(Pipeline_tbl[[#This Row],[Closed_Date]],Dim_Date!A:A,Dim_Date!H:H)))</f>
        <v>Sep 2025</v>
      </c>
      <c r="U3952">
        <f>IF(Pipeline_tbl[[#This Row],[Closed_Date]]=0,"",Pipeline_tbl[[#This Row],[Closed_Date]]-Pipeline_tbl[[#This Row],[Created_Date]])</f>
        <v>56</v>
      </c>
    </row>
    <row r="3953" spans="1:21" ht="15" customHeight="1" x14ac:dyDescent="0.2">
      <c r="A3953" t="s">
        <v>4259</v>
      </c>
      <c r="B3953" t="s">
        <v>269</v>
      </c>
      <c r="C3953" t="s">
        <v>55</v>
      </c>
      <c r="D3953" s="49">
        <v>45859</v>
      </c>
      <c r="E3953" s="49">
        <v>45863</v>
      </c>
      <c r="F3953" s="49">
        <v>45872</v>
      </c>
      <c r="I3953" s="49">
        <v>45901</v>
      </c>
      <c r="J3953" t="s">
        <v>49</v>
      </c>
      <c r="K3953" s="33">
        <v>17400</v>
      </c>
      <c r="L3953" t="s">
        <v>61</v>
      </c>
      <c r="M3953" t="str">
        <f>_xlfn.XLOOKUP(Pipeline_tbl[[#This Row],[Rep_ID]],Dim_Reps!A:A,Dim_Reps!K:K)</f>
        <v>USD</v>
      </c>
      <c r="N3953" s="33">
        <f>(_xlfn.XLOOKUP(Pipeline_tbl[[#This Row],[Rate_Code_Generalized]],Lookups!A:A,Lookups!B:B))*Pipeline_tbl[[#This Row],[Pipeline_Amount_USD]]</f>
        <v>20258.82</v>
      </c>
      <c r="O3953" t="str">
        <f>_xlfn.XLOOKUP(Pipeline_tbl[[#This Row],[Rep_ID]],Dim_Reps!A:A,Dim_Reps!B:B)</f>
        <v>Morgan Rivera</v>
      </c>
      <c r="P3953" t="str">
        <f>_xlfn.XLOOKUP(Pipeline_tbl[[#This Row],[Rep_ID]],Dim_Reps!A:A,Dim_Reps!C:C)</f>
        <v>Mid-Market AE</v>
      </c>
      <c r="Q3953" t="str">
        <f>_xlfn.XLOOKUP(Pipeline_tbl[[#This Row],[Rep_ID]],Dim_Reps!A:A,Dim_Reps!D:D)</f>
        <v>Mid-Market</v>
      </c>
      <c r="R3953" t="str">
        <f>_xlfn.XLOOKUP(Pipeline_tbl[[#This Row],[Rep_ID]],Dim_Reps!A:A,Dim_Reps!E:E)</f>
        <v>NAMER</v>
      </c>
      <c r="S3953" t="str">
        <f>_xlfn.XLOOKUP(Pipeline_tbl[[#This Row],[Created_Date]],Dim_Date!A:A,Dim_Date!H:H)</f>
        <v>Jul 2025</v>
      </c>
      <c r="T3953" t="str">
        <f>IF(Pipeline_tbl[[#This Row],[Closed_Date]]=0,"",(_xlfn.XLOOKUP(Pipeline_tbl[[#This Row],[Closed_Date]],Dim_Date!A:A,Dim_Date!H:H)))</f>
        <v>Sep 2025</v>
      </c>
      <c r="U3953">
        <f>IF(Pipeline_tbl[[#This Row],[Closed_Date]]=0,"",Pipeline_tbl[[#This Row],[Closed_Date]]-Pipeline_tbl[[#This Row],[Created_Date]])</f>
        <v>42</v>
      </c>
    </row>
    <row r="3954" spans="1:21" ht="15" customHeight="1" x14ac:dyDescent="0.2">
      <c r="A3954" t="s">
        <v>4260</v>
      </c>
      <c r="B3954" t="s">
        <v>273</v>
      </c>
      <c r="C3954" t="s">
        <v>52</v>
      </c>
      <c r="D3954" s="49">
        <v>45864</v>
      </c>
      <c r="E3954" s="49">
        <v>45868</v>
      </c>
      <c r="F3954" s="49">
        <v>45878</v>
      </c>
      <c r="G3954" s="49">
        <v>45891</v>
      </c>
      <c r="H3954" s="49">
        <v>45902</v>
      </c>
      <c r="I3954" s="49">
        <v>45909</v>
      </c>
      <c r="J3954" t="s">
        <v>47</v>
      </c>
      <c r="K3954" s="33">
        <v>8900</v>
      </c>
      <c r="M3954" t="str">
        <f>_xlfn.XLOOKUP(Pipeline_tbl[[#This Row],[Rep_ID]],Dim_Reps!A:A,Dim_Reps!K:K)</f>
        <v>EUR</v>
      </c>
      <c r="N3954" s="33">
        <f>(_xlfn.XLOOKUP(Pipeline_tbl[[#This Row],[Rate_Code_Generalized]],Lookups!A:A,Lookups!B:B))*Pipeline_tbl[[#This Row],[Pipeline_Amount_USD]]</f>
        <v>8900</v>
      </c>
      <c r="O3954" t="str">
        <f>_xlfn.XLOOKUP(Pipeline_tbl[[#This Row],[Rep_ID]],Dim_Reps!A:A,Dim_Reps!B:B)</f>
        <v>Olivia Cohen</v>
      </c>
      <c r="P3954" t="str">
        <f>_xlfn.XLOOKUP(Pipeline_tbl[[#This Row],[Rep_ID]],Dim_Reps!A:A,Dim_Reps!C:C)</f>
        <v>Mid-Market AE</v>
      </c>
      <c r="Q3954" t="str">
        <f>_xlfn.XLOOKUP(Pipeline_tbl[[#This Row],[Rep_ID]],Dim_Reps!A:A,Dim_Reps!D:D)</f>
        <v>Mid-Market</v>
      </c>
      <c r="R3954" t="str">
        <f>_xlfn.XLOOKUP(Pipeline_tbl[[#This Row],[Rep_ID]],Dim_Reps!A:A,Dim_Reps!E:E)</f>
        <v>APAC</v>
      </c>
      <c r="S3954" t="str">
        <f>_xlfn.XLOOKUP(Pipeline_tbl[[#This Row],[Created_Date]],Dim_Date!A:A,Dim_Date!H:H)</f>
        <v>Jul 2025</v>
      </c>
      <c r="T3954" t="str">
        <f>IF(Pipeline_tbl[[#This Row],[Closed_Date]]=0,"",(_xlfn.XLOOKUP(Pipeline_tbl[[#This Row],[Closed_Date]],Dim_Date!A:A,Dim_Date!H:H)))</f>
        <v>Sep 2025</v>
      </c>
      <c r="U3954">
        <f>IF(Pipeline_tbl[[#This Row],[Closed_Date]]=0,"",Pipeline_tbl[[#This Row],[Closed_Date]]-Pipeline_tbl[[#This Row],[Created_Date]])</f>
        <v>45</v>
      </c>
    </row>
    <row r="3955" spans="1:21" ht="15" customHeight="1" x14ac:dyDescent="0.2">
      <c r="A3955" t="s">
        <v>4261</v>
      </c>
      <c r="B3955" t="s">
        <v>273</v>
      </c>
      <c r="C3955" t="s">
        <v>53</v>
      </c>
      <c r="D3955" s="49">
        <v>45869</v>
      </c>
      <c r="E3955" s="49">
        <v>45872</v>
      </c>
      <c r="F3955" s="49">
        <v>45879</v>
      </c>
      <c r="G3955" s="49">
        <v>45888</v>
      </c>
      <c r="H3955" s="49">
        <v>45896</v>
      </c>
      <c r="I3955" s="49">
        <v>45901</v>
      </c>
      <c r="J3955" t="s">
        <v>49</v>
      </c>
      <c r="K3955" s="33">
        <v>5400</v>
      </c>
      <c r="L3955" t="s">
        <v>60</v>
      </c>
      <c r="M3955" t="str">
        <f>_xlfn.XLOOKUP(Pipeline_tbl[[#This Row],[Rep_ID]],Dim_Reps!A:A,Dim_Reps!K:K)</f>
        <v>EUR</v>
      </c>
      <c r="N3955" s="33">
        <f>(_xlfn.XLOOKUP(Pipeline_tbl[[#This Row],[Rate_Code_Generalized]],Lookups!A:A,Lookups!B:B))*Pipeline_tbl[[#This Row],[Pipeline_Amount_USD]]</f>
        <v>5400</v>
      </c>
      <c r="O3955" t="str">
        <f>_xlfn.XLOOKUP(Pipeline_tbl[[#This Row],[Rep_ID]],Dim_Reps!A:A,Dim_Reps!B:B)</f>
        <v>Olivia Cohen</v>
      </c>
      <c r="P3955" t="str">
        <f>_xlfn.XLOOKUP(Pipeline_tbl[[#This Row],[Rep_ID]],Dim_Reps!A:A,Dim_Reps!C:C)</f>
        <v>Mid-Market AE</v>
      </c>
      <c r="Q3955" t="str">
        <f>_xlfn.XLOOKUP(Pipeline_tbl[[#This Row],[Rep_ID]],Dim_Reps!A:A,Dim_Reps!D:D)</f>
        <v>Mid-Market</v>
      </c>
      <c r="R3955" t="str">
        <f>_xlfn.XLOOKUP(Pipeline_tbl[[#This Row],[Rep_ID]],Dim_Reps!A:A,Dim_Reps!E:E)</f>
        <v>APAC</v>
      </c>
      <c r="S3955" t="str">
        <f>_xlfn.XLOOKUP(Pipeline_tbl[[#This Row],[Created_Date]],Dim_Date!A:A,Dim_Date!H:H)</f>
        <v>Jul 2025</v>
      </c>
      <c r="T3955" t="str">
        <f>IF(Pipeline_tbl[[#This Row],[Closed_Date]]=0,"",(_xlfn.XLOOKUP(Pipeline_tbl[[#This Row],[Closed_Date]],Dim_Date!A:A,Dim_Date!H:H)))</f>
        <v>Sep 2025</v>
      </c>
      <c r="U3955">
        <f>IF(Pipeline_tbl[[#This Row],[Closed_Date]]=0,"",Pipeline_tbl[[#This Row],[Closed_Date]]-Pipeline_tbl[[#This Row],[Created_Date]])</f>
        <v>32</v>
      </c>
    </row>
    <row r="3956" spans="1:21" ht="15" customHeight="1" x14ac:dyDescent="0.2">
      <c r="A3956" t="s">
        <v>4262</v>
      </c>
      <c r="B3956" t="s">
        <v>193</v>
      </c>
      <c r="C3956" t="s">
        <v>54</v>
      </c>
      <c r="D3956" s="49">
        <v>45503</v>
      </c>
      <c r="E3956" s="49">
        <v>45504</v>
      </c>
      <c r="F3956" s="49">
        <v>45506</v>
      </c>
      <c r="I3956" s="49">
        <v>45514</v>
      </c>
      <c r="J3956" t="s">
        <v>49</v>
      </c>
      <c r="K3956" s="33">
        <v>6300</v>
      </c>
      <c r="L3956" t="s">
        <v>64</v>
      </c>
      <c r="M3956" t="str">
        <f>_xlfn.XLOOKUP(Pipeline_tbl[[#This Row],[Rep_ID]],Dim_Reps!A:A,Dim_Reps!K:K)</f>
        <v>USD</v>
      </c>
      <c r="N3956" s="33">
        <f>(_xlfn.XLOOKUP(Pipeline_tbl[[#This Row],[Rate_Code_Generalized]],Lookups!A:A,Lookups!B:B))*Pipeline_tbl[[#This Row],[Pipeline_Amount_USD]]</f>
        <v>7335.0899999999992</v>
      </c>
      <c r="O3956" t="str">
        <f>_xlfn.XLOOKUP(Pipeline_tbl[[#This Row],[Rep_ID]],Dim_Reps!A:A,Dim_Reps!B:B)</f>
        <v>Karim Rossi</v>
      </c>
      <c r="P3956" t="str">
        <f>_xlfn.XLOOKUP(Pipeline_tbl[[#This Row],[Rep_ID]],Dim_Reps!A:A,Dim_Reps!C:C)</f>
        <v>SDR / Inside Sales Rep</v>
      </c>
      <c r="Q3956" t="str">
        <f>_xlfn.XLOOKUP(Pipeline_tbl[[#This Row],[Rep_ID]],Dim_Reps!A:A,Dim_Reps!D:D)</f>
        <v>Inside Sales</v>
      </c>
      <c r="R3956" t="str">
        <f>_xlfn.XLOOKUP(Pipeline_tbl[[#This Row],[Rep_ID]],Dim_Reps!A:A,Dim_Reps!E:E)</f>
        <v>NAMER</v>
      </c>
      <c r="S3956" t="str">
        <f>_xlfn.XLOOKUP(Pipeline_tbl[[#This Row],[Created_Date]],Dim_Date!A:A,Dim_Date!H:H)</f>
        <v>Jul 2024</v>
      </c>
      <c r="T3956" t="str">
        <f>IF(Pipeline_tbl[[#This Row],[Closed_Date]]=0,"",(_xlfn.XLOOKUP(Pipeline_tbl[[#This Row],[Closed_Date]],Dim_Date!A:A,Dim_Date!H:H)))</f>
        <v>Aug 2024</v>
      </c>
      <c r="U3956">
        <f>IF(Pipeline_tbl[[#This Row],[Closed_Date]]=0,"",Pipeline_tbl[[#This Row],[Closed_Date]]-Pipeline_tbl[[#This Row],[Created_Date]])</f>
        <v>11</v>
      </c>
    </row>
    <row r="3957" spans="1:21" ht="15" customHeight="1" x14ac:dyDescent="0.2">
      <c r="A3957" t="s">
        <v>4263</v>
      </c>
      <c r="B3957" t="s">
        <v>193</v>
      </c>
      <c r="C3957" t="s">
        <v>52</v>
      </c>
      <c r="D3957" s="49">
        <v>45501</v>
      </c>
      <c r="E3957" s="49">
        <v>45503</v>
      </c>
      <c r="F3957" s="49">
        <v>45508</v>
      </c>
      <c r="G3957" s="49">
        <v>45514</v>
      </c>
      <c r="I3957" s="49">
        <v>45523</v>
      </c>
      <c r="J3957" t="s">
        <v>49</v>
      </c>
      <c r="K3957" s="33">
        <v>3600</v>
      </c>
      <c r="L3957" t="s">
        <v>61</v>
      </c>
      <c r="M3957" t="str">
        <f>_xlfn.XLOOKUP(Pipeline_tbl[[#This Row],[Rep_ID]],Dim_Reps!A:A,Dim_Reps!K:K)</f>
        <v>USD</v>
      </c>
      <c r="N3957" s="33">
        <f>(_xlfn.XLOOKUP(Pipeline_tbl[[#This Row],[Rate_Code_Generalized]],Lookups!A:A,Lookups!B:B))*Pipeline_tbl[[#This Row],[Pipeline_Amount_USD]]</f>
        <v>4191.4799999999996</v>
      </c>
      <c r="O3957" t="str">
        <f>_xlfn.XLOOKUP(Pipeline_tbl[[#This Row],[Rep_ID]],Dim_Reps!A:A,Dim_Reps!B:B)</f>
        <v>Karim Rossi</v>
      </c>
      <c r="P3957" t="str">
        <f>_xlfn.XLOOKUP(Pipeline_tbl[[#This Row],[Rep_ID]],Dim_Reps!A:A,Dim_Reps!C:C)</f>
        <v>SDR / Inside Sales Rep</v>
      </c>
      <c r="Q3957" t="str">
        <f>_xlfn.XLOOKUP(Pipeline_tbl[[#This Row],[Rep_ID]],Dim_Reps!A:A,Dim_Reps!D:D)</f>
        <v>Inside Sales</v>
      </c>
      <c r="R3957" t="str">
        <f>_xlfn.XLOOKUP(Pipeline_tbl[[#This Row],[Rep_ID]],Dim_Reps!A:A,Dim_Reps!E:E)</f>
        <v>NAMER</v>
      </c>
      <c r="S3957" t="str">
        <f>_xlfn.XLOOKUP(Pipeline_tbl[[#This Row],[Created_Date]],Dim_Date!A:A,Dim_Date!H:H)</f>
        <v>Jul 2024</v>
      </c>
      <c r="T3957" t="str">
        <f>IF(Pipeline_tbl[[#This Row],[Closed_Date]]=0,"",(_xlfn.XLOOKUP(Pipeline_tbl[[#This Row],[Closed_Date]],Dim_Date!A:A,Dim_Date!H:H)))</f>
        <v>Aug 2024</v>
      </c>
      <c r="U3957">
        <f>IF(Pipeline_tbl[[#This Row],[Closed_Date]]=0,"",Pipeline_tbl[[#This Row],[Closed_Date]]-Pipeline_tbl[[#This Row],[Created_Date]])</f>
        <v>22</v>
      </c>
    </row>
    <row r="3958" spans="1:21" ht="15" customHeight="1" x14ac:dyDescent="0.2">
      <c r="A3958" t="s">
        <v>4264</v>
      </c>
      <c r="B3958" t="s">
        <v>193</v>
      </c>
      <c r="C3958" t="s">
        <v>52</v>
      </c>
      <c r="D3958" s="49">
        <v>45494</v>
      </c>
      <c r="E3958" s="49">
        <v>45496</v>
      </c>
      <c r="F3958" s="49">
        <v>45500</v>
      </c>
      <c r="G3958" s="49">
        <v>45507</v>
      </c>
      <c r="H3958" s="49">
        <v>45512</v>
      </c>
      <c r="I3958" s="49">
        <v>45515</v>
      </c>
      <c r="J3958" t="s">
        <v>47</v>
      </c>
      <c r="K3958" s="33">
        <v>3600</v>
      </c>
      <c r="M3958" t="str">
        <f>_xlfn.XLOOKUP(Pipeline_tbl[[#This Row],[Rep_ID]],Dim_Reps!A:A,Dim_Reps!K:K)</f>
        <v>USD</v>
      </c>
      <c r="N3958" s="33">
        <f>(_xlfn.XLOOKUP(Pipeline_tbl[[#This Row],[Rate_Code_Generalized]],Lookups!A:A,Lookups!B:B))*Pipeline_tbl[[#This Row],[Pipeline_Amount_USD]]</f>
        <v>4191.4799999999996</v>
      </c>
      <c r="O3958" t="str">
        <f>_xlfn.XLOOKUP(Pipeline_tbl[[#This Row],[Rep_ID]],Dim_Reps!A:A,Dim_Reps!B:B)</f>
        <v>Karim Rossi</v>
      </c>
      <c r="P3958" t="str">
        <f>_xlfn.XLOOKUP(Pipeline_tbl[[#This Row],[Rep_ID]],Dim_Reps!A:A,Dim_Reps!C:C)</f>
        <v>SDR / Inside Sales Rep</v>
      </c>
      <c r="Q3958" t="str">
        <f>_xlfn.XLOOKUP(Pipeline_tbl[[#This Row],[Rep_ID]],Dim_Reps!A:A,Dim_Reps!D:D)</f>
        <v>Inside Sales</v>
      </c>
      <c r="R3958" t="str">
        <f>_xlfn.XLOOKUP(Pipeline_tbl[[#This Row],[Rep_ID]],Dim_Reps!A:A,Dim_Reps!E:E)</f>
        <v>NAMER</v>
      </c>
      <c r="S3958" t="str">
        <f>_xlfn.XLOOKUP(Pipeline_tbl[[#This Row],[Created_Date]],Dim_Date!A:A,Dim_Date!H:H)</f>
        <v>Jul 2024</v>
      </c>
      <c r="T3958" t="str">
        <f>IF(Pipeline_tbl[[#This Row],[Closed_Date]]=0,"",(_xlfn.XLOOKUP(Pipeline_tbl[[#This Row],[Closed_Date]],Dim_Date!A:A,Dim_Date!H:H)))</f>
        <v>Aug 2024</v>
      </c>
      <c r="U3958">
        <f>IF(Pipeline_tbl[[#This Row],[Closed_Date]]=0,"",Pipeline_tbl[[#This Row],[Closed_Date]]-Pipeline_tbl[[#This Row],[Created_Date]])</f>
        <v>21</v>
      </c>
    </row>
    <row r="3959" spans="1:21" ht="15" customHeight="1" x14ac:dyDescent="0.2">
      <c r="A3959" t="s">
        <v>4265</v>
      </c>
      <c r="B3959" t="s">
        <v>193</v>
      </c>
      <c r="C3959" t="s">
        <v>56</v>
      </c>
      <c r="D3959" s="49">
        <v>45500</v>
      </c>
      <c r="E3959" s="49">
        <v>45502</v>
      </c>
      <c r="F3959" s="49">
        <v>45506</v>
      </c>
      <c r="G3959" s="49">
        <v>45512</v>
      </c>
      <c r="H3959" s="49">
        <v>45517</v>
      </c>
      <c r="I3959" s="49">
        <v>45520</v>
      </c>
      <c r="J3959" t="s">
        <v>49</v>
      </c>
      <c r="K3959" s="33">
        <v>2900</v>
      </c>
      <c r="L3959" t="s">
        <v>60</v>
      </c>
      <c r="M3959" t="str">
        <f>_xlfn.XLOOKUP(Pipeline_tbl[[#This Row],[Rep_ID]],Dim_Reps!A:A,Dim_Reps!K:K)</f>
        <v>USD</v>
      </c>
      <c r="N3959" s="33">
        <f>(_xlfn.XLOOKUP(Pipeline_tbl[[#This Row],[Rate_Code_Generalized]],Lookups!A:A,Lookups!B:B))*Pipeline_tbl[[#This Row],[Pipeline_Amount_USD]]</f>
        <v>3376.47</v>
      </c>
      <c r="O3959" t="str">
        <f>_xlfn.XLOOKUP(Pipeline_tbl[[#This Row],[Rep_ID]],Dim_Reps!A:A,Dim_Reps!B:B)</f>
        <v>Karim Rossi</v>
      </c>
      <c r="P3959" t="str">
        <f>_xlfn.XLOOKUP(Pipeline_tbl[[#This Row],[Rep_ID]],Dim_Reps!A:A,Dim_Reps!C:C)</f>
        <v>SDR / Inside Sales Rep</v>
      </c>
      <c r="Q3959" t="str">
        <f>_xlfn.XLOOKUP(Pipeline_tbl[[#This Row],[Rep_ID]],Dim_Reps!A:A,Dim_Reps!D:D)</f>
        <v>Inside Sales</v>
      </c>
      <c r="R3959" t="str">
        <f>_xlfn.XLOOKUP(Pipeline_tbl[[#This Row],[Rep_ID]],Dim_Reps!A:A,Dim_Reps!E:E)</f>
        <v>NAMER</v>
      </c>
      <c r="S3959" t="str">
        <f>_xlfn.XLOOKUP(Pipeline_tbl[[#This Row],[Created_Date]],Dim_Date!A:A,Dim_Date!H:H)</f>
        <v>Jul 2024</v>
      </c>
      <c r="T3959" t="str">
        <f>IF(Pipeline_tbl[[#This Row],[Closed_Date]]=0,"",(_xlfn.XLOOKUP(Pipeline_tbl[[#This Row],[Closed_Date]],Dim_Date!A:A,Dim_Date!H:H)))</f>
        <v>Aug 2024</v>
      </c>
      <c r="U3959">
        <f>IF(Pipeline_tbl[[#This Row],[Closed_Date]]=0,"",Pipeline_tbl[[#This Row],[Closed_Date]]-Pipeline_tbl[[#This Row],[Created_Date]])</f>
        <v>20</v>
      </c>
    </row>
    <row r="3960" spans="1:21" ht="15" customHeight="1" x14ac:dyDescent="0.2">
      <c r="A3960" t="s">
        <v>4266</v>
      </c>
      <c r="B3960" t="s">
        <v>243</v>
      </c>
      <c r="C3960" t="s">
        <v>55</v>
      </c>
      <c r="D3960" s="49">
        <v>45481</v>
      </c>
      <c r="E3960" s="49">
        <v>45484</v>
      </c>
      <c r="F3960" s="49">
        <v>45489</v>
      </c>
      <c r="G3960" s="49">
        <v>45497</v>
      </c>
      <c r="H3960" s="49">
        <v>45504</v>
      </c>
      <c r="I3960" s="49">
        <v>45508</v>
      </c>
      <c r="J3960" t="s">
        <v>47</v>
      </c>
      <c r="K3960" s="33">
        <v>8400</v>
      </c>
      <c r="M3960" t="str">
        <f>_xlfn.XLOOKUP(Pipeline_tbl[[#This Row],[Rep_ID]],Dim_Reps!A:A,Dim_Reps!K:K)</f>
        <v>MXN</v>
      </c>
      <c r="N3960" s="33">
        <f>(_xlfn.XLOOKUP(Pipeline_tbl[[#This Row],[Rate_Code_Generalized]],Lookups!A:A,Lookups!B:B))*Pipeline_tbl[[#This Row],[Pipeline_Amount_USD]]</f>
        <v>165754.68000000002</v>
      </c>
      <c r="O3960" t="str">
        <f>_xlfn.XLOOKUP(Pipeline_tbl[[#This Row],[Rep_ID]],Dim_Reps!A:A,Dim_Reps!B:B)</f>
        <v>Jonas Sato</v>
      </c>
      <c r="P3960" t="str">
        <f>_xlfn.XLOOKUP(Pipeline_tbl[[#This Row],[Rep_ID]],Dim_Reps!A:A,Dim_Reps!C:C)</f>
        <v>Mid-Market AE</v>
      </c>
      <c r="Q3960" t="str">
        <f>_xlfn.XLOOKUP(Pipeline_tbl[[#This Row],[Rep_ID]],Dim_Reps!A:A,Dim_Reps!D:D)</f>
        <v>Mid-Market</v>
      </c>
      <c r="R3960" t="str">
        <f>_xlfn.XLOOKUP(Pipeline_tbl[[#This Row],[Rep_ID]],Dim_Reps!A:A,Dim_Reps!E:E)</f>
        <v>LATAM</v>
      </c>
      <c r="S3960" t="str">
        <f>_xlfn.XLOOKUP(Pipeline_tbl[[#This Row],[Created_Date]],Dim_Date!A:A,Dim_Date!H:H)</f>
        <v>Jul 2024</v>
      </c>
      <c r="T3960" t="str">
        <f>IF(Pipeline_tbl[[#This Row],[Closed_Date]]=0,"",(_xlfn.XLOOKUP(Pipeline_tbl[[#This Row],[Closed_Date]],Dim_Date!A:A,Dim_Date!H:H)))</f>
        <v>Aug 2024</v>
      </c>
      <c r="U3960">
        <f>IF(Pipeline_tbl[[#This Row],[Closed_Date]]=0,"",Pipeline_tbl[[#This Row],[Closed_Date]]-Pipeline_tbl[[#This Row],[Created_Date]])</f>
        <v>27</v>
      </c>
    </row>
    <row r="3961" spans="1:21" ht="15" customHeight="1" x14ac:dyDescent="0.2">
      <c r="A3961" t="s">
        <v>4267</v>
      </c>
      <c r="B3961" t="s">
        <v>243</v>
      </c>
      <c r="C3961" t="s">
        <v>52</v>
      </c>
      <c r="D3961" s="49">
        <v>45495</v>
      </c>
      <c r="E3961" s="49">
        <v>45498</v>
      </c>
      <c r="F3961" s="49">
        <v>45503</v>
      </c>
      <c r="G3961" s="49">
        <v>45511</v>
      </c>
      <c r="I3961" s="49">
        <v>45522</v>
      </c>
      <c r="J3961" t="s">
        <v>49</v>
      </c>
      <c r="K3961" s="33">
        <v>11600</v>
      </c>
      <c r="L3961" t="s">
        <v>62</v>
      </c>
      <c r="M3961" t="str">
        <f>_xlfn.XLOOKUP(Pipeline_tbl[[#This Row],[Rep_ID]],Dim_Reps!A:A,Dim_Reps!K:K)</f>
        <v>MXN</v>
      </c>
      <c r="N3961" s="33">
        <f>(_xlfn.XLOOKUP(Pipeline_tbl[[#This Row],[Rate_Code_Generalized]],Lookups!A:A,Lookups!B:B))*Pipeline_tbl[[#This Row],[Pipeline_Amount_USD]]</f>
        <v>228899.32</v>
      </c>
      <c r="O3961" t="str">
        <f>_xlfn.XLOOKUP(Pipeline_tbl[[#This Row],[Rep_ID]],Dim_Reps!A:A,Dim_Reps!B:B)</f>
        <v>Jonas Sato</v>
      </c>
      <c r="P3961" t="str">
        <f>_xlfn.XLOOKUP(Pipeline_tbl[[#This Row],[Rep_ID]],Dim_Reps!A:A,Dim_Reps!C:C)</f>
        <v>Mid-Market AE</v>
      </c>
      <c r="Q3961" t="str">
        <f>_xlfn.XLOOKUP(Pipeline_tbl[[#This Row],[Rep_ID]],Dim_Reps!A:A,Dim_Reps!D:D)</f>
        <v>Mid-Market</v>
      </c>
      <c r="R3961" t="str">
        <f>_xlfn.XLOOKUP(Pipeline_tbl[[#This Row],[Rep_ID]],Dim_Reps!A:A,Dim_Reps!E:E)</f>
        <v>LATAM</v>
      </c>
      <c r="S3961" t="str">
        <f>_xlfn.XLOOKUP(Pipeline_tbl[[#This Row],[Created_Date]],Dim_Date!A:A,Dim_Date!H:H)</f>
        <v>Jul 2024</v>
      </c>
      <c r="T3961" t="str">
        <f>IF(Pipeline_tbl[[#This Row],[Closed_Date]]=0,"",(_xlfn.XLOOKUP(Pipeline_tbl[[#This Row],[Closed_Date]],Dim_Date!A:A,Dim_Date!H:H)))</f>
        <v>Aug 2024</v>
      </c>
      <c r="U3961">
        <f>IF(Pipeline_tbl[[#This Row],[Closed_Date]]=0,"",Pipeline_tbl[[#This Row],[Closed_Date]]-Pipeline_tbl[[#This Row],[Created_Date]])</f>
        <v>27</v>
      </c>
    </row>
    <row r="3962" spans="1:21" ht="15" customHeight="1" x14ac:dyDescent="0.2">
      <c r="A3962" t="s">
        <v>4268</v>
      </c>
      <c r="B3962" t="s">
        <v>199</v>
      </c>
      <c r="C3962" t="s">
        <v>52</v>
      </c>
      <c r="D3962" s="49">
        <v>45501</v>
      </c>
      <c r="E3962" s="49">
        <v>45502</v>
      </c>
      <c r="F3962" s="49">
        <v>45504</v>
      </c>
      <c r="G3962" s="49">
        <v>45506</v>
      </c>
      <c r="I3962" s="49">
        <v>45510</v>
      </c>
      <c r="J3962" t="s">
        <v>49</v>
      </c>
      <c r="K3962" s="33">
        <v>2600</v>
      </c>
      <c r="L3962" t="s">
        <v>60</v>
      </c>
      <c r="M3962" t="str">
        <f>_xlfn.XLOOKUP(Pipeline_tbl[[#This Row],[Rep_ID]],Dim_Reps!A:A,Dim_Reps!K:K)</f>
        <v>EUR</v>
      </c>
      <c r="N3962" s="33">
        <f>(_xlfn.XLOOKUP(Pipeline_tbl[[#This Row],[Rate_Code_Generalized]],Lookups!A:A,Lookups!B:B))*Pipeline_tbl[[#This Row],[Pipeline_Amount_USD]]</f>
        <v>2600</v>
      </c>
      <c r="O3962" t="str">
        <f>_xlfn.XLOOKUP(Pipeline_tbl[[#This Row],[Rep_ID]],Dim_Reps!A:A,Dim_Reps!B:B)</f>
        <v>Lucas Okafor</v>
      </c>
      <c r="P3962" t="str">
        <f>_xlfn.XLOOKUP(Pipeline_tbl[[#This Row],[Rep_ID]],Dim_Reps!A:A,Dim_Reps!C:C)</f>
        <v>SDR / Inside Sales Rep</v>
      </c>
      <c r="Q3962" t="str">
        <f>_xlfn.XLOOKUP(Pipeline_tbl[[#This Row],[Rep_ID]],Dim_Reps!A:A,Dim_Reps!D:D)</f>
        <v>Inside Sales</v>
      </c>
      <c r="R3962" t="str">
        <f>_xlfn.XLOOKUP(Pipeline_tbl[[#This Row],[Rep_ID]],Dim_Reps!A:A,Dim_Reps!E:E)</f>
        <v>APAC</v>
      </c>
      <c r="S3962" t="str">
        <f>_xlfn.XLOOKUP(Pipeline_tbl[[#This Row],[Created_Date]],Dim_Date!A:A,Dim_Date!H:H)</f>
        <v>Jul 2024</v>
      </c>
      <c r="T3962" t="str">
        <f>IF(Pipeline_tbl[[#This Row],[Closed_Date]]=0,"",(_xlfn.XLOOKUP(Pipeline_tbl[[#This Row],[Closed_Date]],Dim_Date!A:A,Dim_Date!H:H)))</f>
        <v>Aug 2024</v>
      </c>
      <c r="U3962">
        <f>IF(Pipeline_tbl[[#This Row],[Closed_Date]]=0,"",Pipeline_tbl[[#This Row],[Closed_Date]]-Pipeline_tbl[[#This Row],[Created_Date]])</f>
        <v>9</v>
      </c>
    </row>
    <row r="3963" spans="1:21" ht="15" customHeight="1" x14ac:dyDescent="0.2">
      <c r="A3963" t="s">
        <v>4269</v>
      </c>
      <c r="B3963" t="s">
        <v>199</v>
      </c>
      <c r="C3963" t="s">
        <v>55</v>
      </c>
      <c r="D3963" s="49">
        <v>45489</v>
      </c>
      <c r="E3963" s="49">
        <v>45491</v>
      </c>
      <c r="F3963" s="49">
        <v>45494</v>
      </c>
      <c r="G3963" s="49">
        <v>45500</v>
      </c>
      <c r="H3963" s="49">
        <v>45504</v>
      </c>
      <c r="I3963" s="49">
        <v>45507</v>
      </c>
      <c r="J3963" t="s">
        <v>47</v>
      </c>
      <c r="K3963" s="33">
        <v>3000</v>
      </c>
      <c r="M3963" t="str">
        <f>_xlfn.XLOOKUP(Pipeline_tbl[[#This Row],[Rep_ID]],Dim_Reps!A:A,Dim_Reps!K:K)</f>
        <v>EUR</v>
      </c>
      <c r="N3963" s="33">
        <f>(_xlfn.XLOOKUP(Pipeline_tbl[[#This Row],[Rate_Code_Generalized]],Lookups!A:A,Lookups!B:B))*Pipeline_tbl[[#This Row],[Pipeline_Amount_USD]]</f>
        <v>3000</v>
      </c>
      <c r="O3963" t="str">
        <f>_xlfn.XLOOKUP(Pipeline_tbl[[#This Row],[Rep_ID]],Dim_Reps!A:A,Dim_Reps!B:B)</f>
        <v>Lucas Okafor</v>
      </c>
      <c r="P3963" t="str">
        <f>_xlfn.XLOOKUP(Pipeline_tbl[[#This Row],[Rep_ID]],Dim_Reps!A:A,Dim_Reps!C:C)</f>
        <v>SDR / Inside Sales Rep</v>
      </c>
      <c r="Q3963" t="str">
        <f>_xlfn.XLOOKUP(Pipeline_tbl[[#This Row],[Rep_ID]],Dim_Reps!A:A,Dim_Reps!D:D)</f>
        <v>Inside Sales</v>
      </c>
      <c r="R3963" t="str">
        <f>_xlfn.XLOOKUP(Pipeline_tbl[[#This Row],[Rep_ID]],Dim_Reps!A:A,Dim_Reps!E:E)</f>
        <v>APAC</v>
      </c>
      <c r="S3963" t="str">
        <f>_xlfn.XLOOKUP(Pipeline_tbl[[#This Row],[Created_Date]],Dim_Date!A:A,Dim_Date!H:H)</f>
        <v>Jul 2024</v>
      </c>
      <c r="T3963" t="str">
        <f>IF(Pipeline_tbl[[#This Row],[Closed_Date]]=0,"",(_xlfn.XLOOKUP(Pipeline_tbl[[#This Row],[Closed_Date]],Dim_Date!A:A,Dim_Date!H:H)))</f>
        <v>Aug 2024</v>
      </c>
      <c r="U3963">
        <f>IF(Pipeline_tbl[[#This Row],[Closed_Date]]=0,"",Pipeline_tbl[[#This Row],[Closed_Date]]-Pipeline_tbl[[#This Row],[Created_Date]])</f>
        <v>18</v>
      </c>
    </row>
    <row r="3964" spans="1:21" ht="15" customHeight="1" x14ac:dyDescent="0.2">
      <c r="A3964" t="s">
        <v>4270</v>
      </c>
      <c r="B3964" t="s">
        <v>199</v>
      </c>
      <c r="C3964" t="s">
        <v>53</v>
      </c>
      <c r="D3964" s="49">
        <v>45499</v>
      </c>
      <c r="E3964" s="49">
        <v>45500</v>
      </c>
      <c r="F3964" s="49">
        <v>45502</v>
      </c>
      <c r="G3964" s="49">
        <v>45504</v>
      </c>
      <c r="H3964" s="49">
        <v>45507</v>
      </c>
      <c r="I3964" s="49">
        <v>45508</v>
      </c>
      <c r="J3964" t="s">
        <v>49</v>
      </c>
      <c r="K3964" s="33">
        <v>3900</v>
      </c>
      <c r="L3964" t="s">
        <v>61</v>
      </c>
      <c r="M3964" t="str">
        <f>_xlfn.XLOOKUP(Pipeline_tbl[[#This Row],[Rep_ID]],Dim_Reps!A:A,Dim_Reps!K:K)</f>
        <v>EUR</v>
      </c>
      <c r="N3964" s="33">
        <f>(_xlfn.XLOOKUP(Pipeline_tbl[[#This Row],[Rate_Code_Generalized]],Lookups!A:A,Lookups!B:B))*Pipeline_tbl[[#This Row],[Pipeline_Amount_USD]]</f>
        <v>3900</v>
      </c>
      <c r="O3964" t="str">
        <f>_xlfn.XLOOKUP(Pipeline_tbl[[#This Row],[Rep_ID]],Dim_Reps!A:A,Dim_Reps!B:B)</f>
        <v>Lucas Okafor</v>
      </c>
      <c r="P3964" t="str">
        <f>_xlfn.XLOOKUP(Pipeline_tbl[[#This Row],[Rep_ID]],Dim_Reps!A:A,Dim_Reps!C:C)</f>
        <v>SDR / Inside Sales Rep</v>
      </c>
      <c r="Q3964" t="str">
        <f>_xlfn.XLOOKUP(Pipeline_tbl[[#This Row],[Rep_ID]],Dim_Reps!A:A,Dim_Reps!D:D)</f>
        <v>Inside Sales</v>
      </c>
      <c r="R3964" t="str">
        <f>_xlfn.XLOOKUP(Pipeline_tbl[[#This Row],[Rep_ID]],Dim_Reps!A:A,Dim_Reps!E:E)</f>
        <v>APAC</v>
      </c>
      <c r="S3964" t="str">
        <f>_xlfn.XLOOKUP(Pipeline_tbl[[#This Row],[Created_Date]],Dim_Date!A:A,Dim_Date!H:H)</f>
        <v>Jul 2024</v>
      </c>
      <c r="T3964" t="str">
        <f>IF(Pipeline_tbl[[#This Row],[Closed_Date]]=0,"",(_xlfn.XLOOKUP(Pipeline_tbl[[#This Row],[Closed_Date]],Dim_Date!A:A,Dim_Date!H:H)))</f>
        <v>Aug 2024</v>
      </c>
      <c r="U3964">
        <f>IF(Pipeline_tbl[[#This Row],[Closed_Date]]=0,"",Pipeline_tbl[[#This Row],[Closed_Date]]-Pipeline_tbl[[#This Row],[Created_Date]])</f>
        <v>9</v>
      </c>
    </row>
    <row r="3965" spans="1:21" ht="15" customHeight="1" x14ac:dyDescent="0.2">
      <c r="A3965" t="s">
        <v>4271</v>
      </c>
      <c r="B3965" t="s">
        <v>199</v>
      </c>
      <c r="C3965" t="s">
        <v>52</v>
      </c>
      <c r="D3965" s="49">
        <v>45502</v>
      </c>
      <c r="E3965" s="49">
        <v>45504</v>
      </c>
      <c r="F3965" s="49">
        <v>45507</v>
      </c>
      <c r="G3965" s="49">
        <v>45513</v>
      </c>
      <c r="H3965" s="49">
        <v>45517</v>
      </c>
      <c r="I3965" s="49">
        <v>45520</v>
      </c>
      <c r="J3965" t="s">
        <v>47</v>
      </c>
      <c r="K3965" s="33">
        <v>1600</v>
      </c>
      <c r="M3965" t="str">
        <f>_xlfn.XLOOKUP(Pipeline_tbl[[#This Row],[Rep_ID]],Dim_Reps!A:A,Dim_Reps!K:K)</f>
        <v>EUR</v>
      </c>
      <c r="N3965" s="33">
        <f>(_xlfn.XLOOKUP(Pipeline_tbl[[#This Row],[Rate_Code_Generalized]],Lookups!A:A,Lookups!B:B))*Pipeline_tbl[[#This Row],[Pipeline_Amount_USD]]</f>
        <v>1600</v>
      </c>
      <c r="O3965" t="str">
        <f>_xlfn.XLOOKUP(Pipeline_tbl[[#This Row],[Rep_ID]],Dim_Reps!A:A,Dim_Reps!B:B)</f>
        <v>Lucas Okafor</v>
      </c>
      <c r="P3965" t="str">
        <f>_xlfn.XLOOKUP(Pipeline_tbl[[#This Row],[Rep_ID]],Dim_Reps!A:A,Dim_Reps!C:C)</f>
        <v>SDR / Inside Sales Rep</v>
      </c>
      <c r="Q3965" t="str">
        <f>_xlfn.XLOOKUP(Pipeline_tbl[[#This Row],[Rep_ID]],Dim_Reps!A:A,Dim_Reps!D:D)</f>
        <v>Inside Sales</v>
      </c>
      <c r="R3965" t="str">
        <f>_xlfn.XLOOKUP(Pipeline_tbl[[#This Row],[Rep_ID]],Dim_Reps!A:A,Dim_Reps!E:E)</f>
        <v>APAC</v>
      </c>
      <c r="S3965" t="str">
        <f>_xlfn.XLOOKUP(Pipeline_tbl[[#This Row],[Created_Date]],Dim_Date!A:A,Dim_Date!H:H)</f>
        <v>Jul 2024</v>
      </c>
      <c r="T3965" t="str">
        <f>IF(Pipeline_tbl[[#This Row],[Closed_Date]]=0,"",(_xlfn.XLOOKUP(Pipeline_tbl[[#This Row],[Closed_Date]],Dim_Date!A:A,Dim_Date!H:H)))</f>
        <v>Aug 2024</v>
      </c>
      <c r="U3965">
        <f>IF(Pipeline_tbl[[#This Row],[Closed_Date]]=0,"",Pipeline_tbl[[#This Row],[Closed_Date]]-Pipeline_tbl[[#This Row],[Created_Date]])</f>
        <v>18</v>
      </c>
    </row>
    <row r="3966" spans="1:21" ht="15" customHeight="1" x14ac:dyDescent="0.2">
      <c r="A3966" t="s">
        <v>4272</v>
      </c>
      <c r="B3966" t="s">
        <v>199</v>
      </c>
      <c r="C3966" t="s">
        <v>53</v>
      </c>
      <c r="D3966" s="49">
        <v>45493</v>
      </c>
      <c r="E3966" s="49">
        <v>45495</v>
      </c>
      <c r="F3966" s="49">
        <v>45499</v>
      </c>
      <c r="G3966" s="49">
        <v>45506</v>
      </c>
      <c r="H3966" s="49">
        <v>45511</v>
      </c>
      <c r="I3966" s="49">
        <v>45514</v>
      </c>
      <c r="J3966" t="s">
        <v>49</v>
      </c>
      <c r="K3966" s="33">
        <v>900</v>
      </c>
      <c r="L3966" t="s">
        <v>61</v>
      </c>
      <c r="M3966" t="str">
        <f>_xlfn.XLOOKUP(Pipeline_tbl[[#This Row],[Rep_ID]],Dim_Reps!A:A,Dim_Reps!K:K)</f>
        <v>EUR</v>
      </c>
      <c r="N3966" s="33">
        <f>(_xlfn.XLOOKUP(Pipeline_tbl[[#This Row],[Rate_Code_Generalized]],Lookups!A:A,Lookups!B:B))*Pipeline_tbl[[#This Row],[Pipeline_Amount_USD]]</f>
        <v>900</v>
      </c>
      <c r="O3966" t="str">
        <f>_xlfn.XLOOKUP(Pipeline_tbl[[#This Row],[Rep_ID]],Dim_Reps!A:A,Dim_Reps!B:B)</f>
        <v>Lucas Okafor</v>
      </c>
      <c r="P3966" t="str">
        <f>_xlfn.XLOOKUP(Pipeline_tbl[[#This Row],[Rep_ID]],Dim_Reps!A:A,Dim_Reps!C:C)</f>
        <v>SDR / Inside Sales Rep</v>
      </c>
      <c r="Q3966" t="str">
        <f>_xlfn.XLOOKUP(Pipeline_tbl[[#This Row],[Rep_ID]],Dim_Reps!A:A,Dim_Reps!D:D)</f>
        <v>Inside Sales</v>
      </c>
      <c r="R3966" t="str">
        <f>_xlfn.XLOOKUP(Pipeline_tbl[[#This Row],[Rep_ID]],Dim_Reps!A:A,Dim_Reps!E:E)</f>
        <v>APAC</v>
      </c>
      <c r="S3966" t="str">
        <f>_xlfn.XLOOKUP(Pipeline_tbl[[#This Row],[Created_Date]],Dim_Date!A:A,Dim_Date!H:H)</f>
        <v>Jul 2024</v>
      </c>
      <c r="T3966" t="str">
        <f>IF(Pipeline_tbl[[#This Row],[Closed_Date]]=0,"",(_xlfn.XLOOKUP(Pipeline_tbl[[#This Row],[Closed_Date]],Dim_Date!A:A,Dim_Date!H:H)))</f>
        <v>Aug 2024</v>
      </c>
      <c r="U3966">
        <f>IF(Pipeline_tbl[[#This Row],[Closed_Date]]=0,"",Pipeline_tbl[[#This Row],[Closed_Date]]-Pipeline_tbl[[#This Row],[Created_Date]])</f>
        <v>21</v>
      </c>
    </row>
    <row r="3967" spans="1:21" ht="15" customHeight="1" x14ac:dyDescent="0.2">
      <c r="A3967" t="s">
        <v>4273</v>
      </c>
      <c r="B3967" t="s">
        <v>185</v>
      </c>
      <c r="C3967" t="s">
        <v>52</v>
      </c>
      <c r="D3967" s="49">
        <v>45483</v>
      </c>
      <c r="E3967" s="49">
        <v>45488</v>
      </c>
      <c r="F3967" s="49">
        <v>45499</v>
      </c>
      <c r="G3967" s="49">
        <v>45514</v>
      </c>
      <c r="H3967" s="49">
        <v>45527</v>
      </c>
      <c r="I3967" s="49">
        <v>45535</v>
      </c>
      <c r="J3967" t="s">
        <v>47</v>
      </c>
      <c r="K3967" s="33">
        <v>33300</v>
      </c>
      <c r="M3967" t="str">
        <f>_xlfn.XLOOKUP(Pipeline_tbl[[#This Row],[Rep_ID]],Dim_Reps!A:A,Dim_Reps!K:K)</f>
        <v>MXN</v>
      </c>
      <c r="N3967" s="33">
        <f>(_xlfn.XLOOKUP(Pipeline_tbl[[#This Row],[Rate_Code_Generalized]],Lookups!A:A,Lookups!B:B))*Pipeline_tbl[[#This Row],[Pipeline_Amount_USD]]</f>
        <v>657098.91</v>
      </c>
      <c r="O3967" t="str">
        <f>_xlfn.XLOOKUP(Pipeline_tbl[[#This Row],[Rep_ID]],Dim_Reps!A:A,Dim_Reps!B:B)</f>
        <v>Noah Kim</v>
      </c>
      <c r="P3967" t="str">
        <f>_xlfn.XLOOKUP(Pipeline_tbl[[#This Row],[Rep_ID]],Dim_Reps!A:A,Dim_Reps!C:C)</f>
        <v>Enterprise AE</v>
      </c>
      <c r="Q3967" t="str">
        <f>_xlfn.XLOOKUP(Pipeline_tbl[[#This Row],[Rep_ID]],Dim_Reps!A:A,Dim_Reps!D:D)</f>
        <v>Enterprise</v>
      </c>
      <c r="R3967" t="str">
        <f>_xlfn.XLOOKUP(Pipeline_tbl[[#This Row],[Rep_ID]],Dim_Reps!A:A,Dim_Reps!E:E)</f>
        <v>LATAM</v>
      </c>
      <c r="S3967" t="str">
        <f>_xlfn.XLOOKUP(Pipeline_tbl[[#This Row],[Created_Date]],Dim_Date!A:A,Dim_Date!H:H)</f>
        <v>Jul 2024</v>
      </c>
      <c r="T3967" t="str">
        <f>IF(Pipeline_tbl[[#This Row],[Closed_Date]]=0,"",(_xlfn.XLOOKUP(Pipeline_tbl[[#This Row],[Closed_Date]],Dim_Date!A:A,Dim_Date!H:H)))</f>
        <v>Aug 2024</v>
      </c>
      <c r="U3967">
        <f>IF(Pipeline_tbl[[#This Row],[Closed_Date]]=0,"",Pipeline_tbl[[#This Row],[Closed_Date]]-Pipeline_tbl[[#This Row],[Created_Date]])</f>
        <v>52</v>
      </c>
    </row>
    <row r="3968" spans="1:21" ht="15" customHeight="1" x14ac:dyDescent="0.2">
      <c r="A3968" t="s">
        <v>4274</v>
      </c>
      <c r="B3968" t="s">
        <v>205</v>
      </c>
      <c r="C3968" t="s">
        <v>52</v>
      </c>
      <c r="D3968" s="49">
        <v>45495</v>
      </c>
      <c r="E3968" s="49">
        <v>45496</v>
      </c>
      <c r="F3968" s="49">
        <v>45498</v>
      </c>
      <c r="G3968" s="49">
        <v>45501</v>
      </c>
      <c r="H3968" s="49">
        <v>45503</v>
      </c>
      <c r="I3968" s="49">
        <v>45505</v>
      </c>
      <c r="J3968" t="s">
        <v>47</v>
      </c>
      <c r="K3968" s="33">
        <v>6700</v>
      </c>
      <c r="M3968" t="str">
        <f>_xlfn.XLOOKUP(Pipeline_tbl[[#This Row],[Rep_ID]],Dim_Reps!A:A,Dim_Reps!K:K)</f>
        <v>EUR</v>
      </c>
      <c r="N3968" s="33">
        <f>(_xlfn.XLOOKUP(Pipeline_tbl[[#This Row],[Rate_Code_Generalized]],Lookups!A:A,Lookups!B:B))*Pipeline_tbl[[#This Row],[Pipeline_Amount_USD]]</f>
        <v>6700</v>
      </c>
      <c r="O3968" t="str">
        <f>_xlfn.XLOOKUP(Pipeline_tbl[[#This Row],[Rep_ID]],Dim_Reps!A:A,Dim_Reps!B:B)</f>
        <v>Karim Alvarez</v>
      </c>
      <c r="P3968" t="str">
        <f>_xlfn.XLOOKUP(Pipeline_tbl[[#This Row],[Rep_ID]],Dim_Reps!A:A,Dim_Reps!C:C)</f>
        <v>SDR / Inside Sales Rep</v>
      </c>
      <c r="Q3968" t="str">
        <f>_xlfn.XLOOKUP(Pipeline_tbl[[#This Row],[Rep_ID]],Dim_Reps!A:A,Dim_Reps!D:D)</f>
        <v>Inside Sales</v>
      </c>
      <c r="R3968" t="str">
        <f>_xlfn.XLOOKUP(Pipeline_tbl[[#This Row],[Rep_ID]],Dim_Reps!A:A,Dim_Reps!E:E)</f>
        <v>EMEA</v>
      </c>
      <c r="S3968" t="str">
        <f>_xlfn.XLOOKUP(Pipeline_tbl[[#This Row],[Created_Date]],Dim_Date!A:A,Dim_Date!H:H)</f>
        <v>Jul 2024</v>
      </c>
      <c r="T3968" t="str">
        <f>IF(Pipeline_tbl[[#This Row],[Closed_Date]]=0,"",(_xlfn.XLOOKUP(Pipeline_tbl[[#This Row],[Closed_Date]],Dim_Date!A:A,Dim_Date!H:H)))</f>
        <v>Aug 2024</v>
      </c>
      <c r="U3968">
        <f>IF(Pipeline_tbl[[#This Row],[Closed_Date]]=0,"",Pipeline_tbl[[#This Row],[Closed_Date]]-Pipeline_tbl[[#This Row],[Created_Date]])</f>
        <v>10</v>
      </c>
    </row>
    <row r="3969" spans="1:21" ht="15" customHeight="1" x14ac:dyDescent="0.2">
      <c r="A3969" t="s">
        <v>4275</v>
      </c>
      <c r="B3969" t="s">
        <v>205</v>
      </c>
      <c r="C3969" t="s">
        <v>55</v>
      </c>
      <c r="D3969" s="49">
        <v>45496</v>
      </c>
      <c r="E3969" s="49">
        <v>45497</v>
      </c>
      <c r="F3969" s="49">
        <v>45500</v>
      </c>
      <c r="G3969" s="49">
        <v>45504</v>
      </c>
      <c r="H3969" s="49">
        <v>45508</v>
      </c>
      <c r="I3969" s="49">
        <v>45510</v>
      </c>
      <c r="J3969" t="s">
        <v>47</v>
      </c>
      <c r="K3969" s="33">
        <v>4800</v>
      </c>
      <c r="M3969" t="str">
        <f>_xlfn.XLOOKUP(Pipeline_tbl[[#This Row],[Rep_ID]],Dim_Reps!A:A,Dim_Reps!K:K)</f>
        <v>EUR</v>
      </c>
      <c r="N3969" s="33">
        <f>(_xlfn.XLOOKUP(Pipeline_tbl[[#This Row],[Rate_Code_Generalized]],Lookups!A:A,Lookups!B:B))*Pipeline_tbl[[#This Row],[Pipeline_Amount_USD]]</f>
        <v>4800</v>
      </c>
      <c r="O3969" t="str">
        <f>_xlfn.XLOOKUP(Pipeline_tbl[[#This Row],[Rep_ID]],Dim_Reps!A:A,Dim_Reps!B:B)</f>
        <v>Karim Alvarez</v>
      </c>
      <c r="P3969" t="str">
        <f>_xlfn.XLOOKUP(Pipeline_tbl[[#This Row],[Rep_ID]],Dim_Reps!A:A,Dim_Reps!C:C)</f>
        <v>SDR / Inside Sales Rep</v>
      </c>
      <c r="Q3969" t="str">
        <f>_xlfn.XLOOKUP(Pipeline_tbl[[#This Row],[Rep_ID]],Dim_Reps!A:A,Dim_Reps!D:D)</f>
        <v>Inside Sales</v>
      </c>
      <c r="R3969" t="str">
        <f>_xlfn.XLOOKUP(Pipeline_tbl[[#This Row],[Rep_ID]],Dim_Reps!A:A,Dim_Reps!E:E)</f>
        <v>EMEA</v>
      </c>
      <c r="S3969" t="str">
        <f>_xlfn.XLOOKUP(Pipeline_tbl[[#This Row],[Created_Date]],Dim_Date!A:A,Dim_Date!H:H)</f>
        <v>Jul 2024</v>
      </c>
      <c r="T3969" t="str">
        <f>IF(Pipeline_tbl[[#This Row],[Closed_Date]]=0,"",(_xlfn.XLOOKUP(Pipeline_tbl[[#This Row],[Closed_Date]],Dim_Date!A:A,Dim_Date!H:H)))</f>
        <v>Aug 2024</v>
      </c>
      <c r="U3969">
        <f>IF(Pipeline_tbl[[#This Row],[Closed_Date]]=0,"",Pipeline_tbl[[#This Row],[Closed_Date]]-Pipeline_tbl[[#This Row],[Created_Date]])</f>
        <v>14</v>
      </c>
    </row>
    <row r="3970" spans="1:21" ht="15" customHeight="1" x14ac:dyDescent="0.2">
      <c r="A3970" t="s">
        <v>4276</v>
      </c>
      <c r="B3970" t="s">
        <v>205</v>
      </c>
      <c r="C3970" t="s">
        <v>54</v>
      </c>
      <c r="D3970" s="49">
        <v>45503</v>
      </c>
      <c r="E3970" s="49">
        <v>45505</v>
      </c>
      <c r="I3970" s="49">
        <v>45518</v>
      </c>
      <c r="J3970" t="s">
        <v>49</v>
      </c>
      <c r="K3970" s="33">
        <v>1400</v>
      </c>
      <c r="L3970" t="s">
        <v>63</v>
      </c>
      <c r="M3970" t="str">
        <f>_xlfn.XLOOKUP(Pipeline_tbl[[#This Row],[Rep_ID]],Dim_Reps!A:A,Dim_Reps!K:K)</f>
        <v>EUR</v>
      </c>
      <c r="N3970" s="33">
        <f>(_xlfn.XLOOKUP(Pipeline_tbl[[#This Row],[Rate_Code_Generalized]],Lookups!A:A,Lookups!B:B))*Pipeline_tbl[[#This Row],[Pipeline_Amount_USD]]</f>
        <v>1400</v>
      </c>
      <c r="O3970" t="str">
        <f>_xlfn.XLOOKUP(Pipeline_tbl[[#This Row],[Rep_ID]],Dim_Reps!A:A,Dim_Reps!B:B)</f>
        <v>Karim Alvarez</v>
      </c>
      <c r="P3970" t="str">
        <f>_xlfn.XLOOKUP(Pipeline_tbl[[#This Row],[Rep_ID]],Dim_Reps!A:A,Dim_Reps!C:C)</f>
        <v>SDR / Inside Sales Rep</v>
      </c>
      <c r="Q3970" t="str">
        <f>_xlfn.XLOOKUP(Pipeline_tbl[[#This Row],[Rep_ID]],Dim_Reps!A:A,Dim_Reps!D:D)</f>
        <v>Inside Sales</v>
      </c>
      <c r="R3970" t="str">
        <f>_xlfn.XLOOKUP(Pipeline_tbl[[#This Row],[Rep_ID]],Dim_Reps!A:A,Dim_Reps!E:E)</f>
        <v>EMEA</v>
      </c>
      <c r="S3970" t="str">
        <f>_xlfn.XLOOKUP(Pipeline_tbl[[#This Row],[Created_Date]],Dim_Date!A:A,Dim_Date!H:H)</f>
        <v>Jul 2024</v>
      </c>
      <c r="T3970" t="str">
        <f>IF(Pipeline_tbl[[#This Row],[Closed_Date]]=0,"",(_xlfn.XLOOKUP(Pipeline_tbl[[#This Row],[Closed_Date]],Dim_Date!A:A,Dim_Date!H:H)))</f>
        <v>Aug 2024</v>
      </c>
      <c r="U3970">
        <f>IF(Pipeline_tbl[[#This Row],[Closed_Date]]=0,"",Pipeline_tbl[[#This Row],[Closed_Date]]-Pipeline_tbl[[#This Row],[Created_Date]])</f>
        <v>15</v>
      </c>
    </row>
    <row r="3971" spans="1:21" ht="15" customHeight="1" x14ac:dyDescent="0.2">
      <c r="A3971" t="s">
        <v>4277</v>
      </c>
      <c r="B3971" t="s">
        <v>205</v>
      </c>
      <c r="C3971" t="s">
        <v>52</v>
      </c>
      <c r="D3971" s="49">
        <v>45502</v>
      </c>
      <c r="E3971" s="49">
        <v>45504</v>
      </c>
      <c r="F3971" s="49">
        <v>45508</v>
      </c>
      <c r="G3971" s="49">
        <v>45515</v>
      </c>
      <c r="H3971" s="49">
        <v>45520</v>
      </c>
      <c r="I3971" s="49">
        <v>45523</v>
      </c>
      <c r="J3971" t="s">
        <v>47</v>
      </c>
      <c r="K3971" s="33">
        <v>4400</v>
      </c>
      <c r="M3971" t="str">
        <f>_xlfn.XLOOKUP(Pipeline_tbl[[#This Row],[Rep_ID]],Dim_Reps!A:A,Dim_Reps!K:K)</f>
        <v>EUR</v>
      </c>
      <c r="N3971" s="33">
        <f>(_xlfn.XLOOKUP(Pipeline_tbl[[#This Row],[Rate_Code_Generalized]],Lookups!A:A,Lookups!B:B))*Pipeline_tbl[[#This Row],[Pipeline_Amount_USD]]</f>
        <v>4400</v>
      </c>
      <c r="O3971" t="str">
        <f>_xlfn.XLOOKUP(Pipeline_tbl[[#This Row],[Rep_ID]],Dim_Reps!A:A,Dim_Reps!B:B)</f>
        <v>Karim Alvarez</v>
      </c>
      <c r="P3971" t="str">
        <f>_xlfn.XLOOKUP(Pipeline_tbl[[#This Row],[Rep_ID]],Dim_Reps!A:A,Dim_Reps!C:C)</f>
        <v>SDR / Inside Sales Rep</v>
      </c>
      <c r="Q3971" t="str">
        <f>_xlfn.XLOOKUP(Pipeline_tbl[[#This Row],[Rep_ID]],Dim_Reps!A:A,Dim_Reps!D:D)</f>
        <v>Inside Sales</v>
      </c>
      <c r="R3971" t="str">
        <f>_xlfn.XLOOKUP(Pipeline_tbl[[#This Row],[Rep_ID]],Dim_Reps!A:A,Dim_Reps!E:E)</f>
        <v>EMEA</v>
      </c>
      <c r="S3971" t="str">
        <f>_xlfn.XLOOKUP(Pipeline_tbl[[#This Row],[Created_Date]],Dim_Date!A:A,Dim_Date!H:H)</f>
        <v>Jul 2024</v>
      </c>
      <c r="T3971" t="str">
        <f>IF(Pipeline_tbl[[#This Row],[Closed_Date]]=0,"",(_xlfn.XLOOKUP(Pipeline_tbl[[#This Row],[Closed_Date]],Dim_Date!A:A,Dim_Date!H:H)))</f>
        <v>Aug 2024</v>
      </c>
      <c r="U3971">
        <f>IF(Pipeline_tbl[[#This Row],[Closed_Date]]=0,"",Pipeline_tbl[[#This Row],[Closed_Date]]-Pipeline_tbl[[#This Row],[Created_Date]])</f>
        <v>21</v>
      </c>
    </row>
    <row r="3972" spans="1:21" ht="15" customHeight="1" x14ac:dyDescent="0.2">
      <c r="A3972" t="s">
        <v>4278</v>
      </c>
      <c r="B3972" t="s">
        <v>207</v>
      </c>
      <c r="C3972" t="s">
        <v>54</v>
      </c>
      <c r="D3972" s="49">
        <v>45485</v>
      </c>
      <c r="E3972" s="49">
        <v>45487</v>
      </c>
      <c r="F3972" s="49">
        <v>45491</v>
      </c>
      <c r="G3972" s="49">
        <v>45497</v>
      </c>
      <c r="H3972" s="49">
        <v>45502</v>
      </c>
      <c r="I3972" s="49">
        <v>45505</v>
      </c>
      <c r="J3972" t="s">
        <v>47</v>
      </c>
      <c r="K3972" s="33">
        <v>5300</v>
      </c>
      <c r="M3972" t="str">
        <f>_xlfn.XLOOKUP(Pipeline_tbl[[#This Row],[Rep_ID]],Dim_Reps!A:A,Dim_Reps!K:K)</f>
        <v>EUR</v>
      </c>
      <c r="N3972" s="33">
        <f>(_xlfn.XLOOKUP(Pipeline_tbl[[#This Row],[Rate_Code_Generalized]],Lookups!A:A,Lookups!B:B))*Pipeline_tbl[[#This Row],[Pipeline_Amount_USD]]</f>
        <v>5300</v>
      </c>
      <c r="O3972" t="str">
        <f>_xlfn.XLOOKUP(Pipeline_tbl[[#This Row],[Rep_ID]],Dim_Reps!A:A,Dim_Reps!B:B)</f>
        <v>Sam Castro</v>
      </c>
      <c r="P3972" t="str">
        <f>_xlfn.XLOOKUP(Pipeline_tbl[[#This Row],[Rep_ID]],Dim_Reps!A:A,Dim_Reps!C:C)</f>
        <v>SDR / Inside Sales Rep</v>
      </c>
      <c r="Q3972" t="str">
        <f>_xlfn.XLOOKUP(Pipeline_tbl[[#This Row],[Rep_ID]],Dim_Reps!A:A,Dim_Reps!D:D)</f>
        <v>Inside Sales</v>
      </c>
      <c r="R3972" t="str">
        <f>_xlfn.XLOOKUP(Pipeline_tbl[[#This Row],[Rep_ID]],Dim_Reps!A:A,Dim_Reps!E:E)</f>
        <v>APAC</v>
      </c>
      <c r="S3972" t="str">
        <f>_xlfn.XLOOKUP(Pipeline_tbl[[#This Row],[Created_Date]],Dim_Date!A:A,Dim_Date!H:H)</f>
        <v>Jul 2024</v>
      </c>
      <c r="T3972" t="str">
        <f>IF(Pipeline_tbl[[#This Row],[Closed_Date]]=0,"",(_xlfn.XLOOKUP(Pipeline_tbl[[#This Row],[Closed_Date]],Dim_Date!A:A,Dim_Date!H:H)))</f>
        <v>Aug 2024</v>
      </c>
      <c r="U3972">
        <f>IF(Pipeline_tbl[[#This Row],[Closed_Date]]=0,"",Pipeline_tbl[[#This Row],[Closed_Date]]-Pipeline_tbl[[#This Row],[Created_Date]])</f>
        <v>20</v>
      </c>
    </row>
    <row r="3973" spans="1:21" ht="15" customHeight="1" x14ac:dyDescent="0.2">
      <c r="A3973" t="s">
        <v>4279</v>
      </c>
      <c r="B3973" t="s">
        <v>207</v>
      </c>
      <c r="C3973" t="s">
        <v>52</v>
      </c>
      <c r="D3973" s="49">
        <v>45487</v>
      </c>
      <c r="E3973" s="49">
        <v>45489</v>
      </c>
      <c r="I3973" s="49">
        <v>45506</v>
      </c>
      <c r="J3973" t="s">
        <v>49</v>
      </c>
      <c r="K3973" s="33">
        <v>1800</v>
      </c>
      <c r="L3973" t="s">
        <v>62</v>
      </c>
      <c r="M3973" t="str">
        <f>_xlfn.XLOOKUP(Pipeline_tbl[[#This Row],[Rep_ID]],Dim_Reps!A:A,Dim_Reps!K:K)</f>
        <v>EUR</v>
      </c>
      <c r="N3973" s="33">
        <f>(_xlfn.XLOOKUP(Pipeline_tbl[[#This Row],[Rate_Code_Generalized]],Lookups!A:A,Lookups!B:B))*Pipeline_tbl[[#This Row],[Pipeline_Amount_USD]]</f>
        <v>1800</v>
      </c>
      <c r="O3973" t="str">
        <f>_xlfn.XLOOKUP(Pipeline_tbl[[#This Row],[Rep_ID]],Dim_Reps!A:A,Dim_Reps!B:B)</f>
        <v>Sam Castro</v>
      </c>
      <c r="P3973" t="str">
        <f>_xlfn.XLOOKUP(Pipeline_tbl[[#This Row],[Rep_ID]],Dim_Reps!A:A,Dim_Reps!C:C)</f>
        <v>SDR / Inside Sales Rep</v>
      </c>
      <c r="Q3973" t="str">
        <f>_xlfn.XLOOKUP(Pipeline_tbl[[#This Row],[Rep_ID]],Dim_Reps!A:A,Dim_Reps!D:D)</f>
        <v>Inside Sales</v>
      </c>
      <c r="R3973" t="str">
        <f>_xlfn.XLOOKUP(Pipeline_tbl[[#This Row],[Rep_ID]],Dim_Reps!A:A,Dim_Reps!E:E)</f>
        <v>APAC</v>
      </c>
      <c r="S3973" t="str">
        <f>_xlfn.XLOOKUP(Pipeline_tbl[[#This Row],[Created_Date]],Dim_Date!A:A,Dim_Date!H:H)</f>
        <v>Jul 2024</v>
      </c>
      <c r="T3973" t="str">
        <f>IF(Pipeline_tbl[[#This Row],[Closed_Date]]=0,"",(_xlfn.XLOOKUP(Pipeline_tbl[[#This Row],[Closed_Date]],Dim_Date!A:A,Dim_Date!H:H)))</f>
        <v>Aug 2024</v>
      </c>
      <c r="U3973">
        <f>IF(Pipeline_tbl[[#This Row],[Closed_Date]]=0,"",Pipeline_tbl[[#This Row],[Closed_Date]]-Pipeline_tbl[[#This Row],[Created_Date]])</f>
        <v>19</v>
      </c>
    </row>
    <row r="3974" spans="1:21" ht="15" customHeight="1" x14ac:dyDescent="0.2">
      <c r="A3974" t="s">
        <v>4280</v>
      </c>
      <c r="B3974" t="s">
        <v>207</v>
      </c>
      <c r="C3974" t="s">
        <v>52</v>
      </c>
      <c r="D3974" s="49">
        <v>45483</v>
      </c>
      <c r="E3974" s="49">
        <v>45485</v>
      </c>
      <c r="F3974" s="49">
        <v>45490</v>
      </c>
      <c r="G3974" s="49">
        <v>45497</v>
      </c>
      <c r="H3974" s="49">
        <v>45503</v>
      </c>
      <c r="I3974" s="49">
        <v>45506</v>
      </c>
      <c r="J3974" t="s">
        <v>47</v>
      </c>
      <c r="K3974" s="33">
        <v>2800</v>
      </c>
      <c r="M3974" t="str">
        <f>_xlfn.XLOOKUP(Pipeline_tbl[[#This Row],[Rep_ID]],Dim_Reps!A:A,Dim_Reps!K:K)</f>
        <v>EUR</v>
      </c>
      <c r="N3974" s="33">
        <f>(_xlfn.XLOOKUP(Pipeline_tbl[[#This Row],[Rate_Code_Generalized]],Lookups!A:A,Lookups!B:B))*Pipeline_tbl[[#This Row],[Pipeline_Amount_USD]]</f>
        <v>2800</v>
      </c>
      <c r="O3974" t="str">
        <f>_xlfn.XLOOKUP(Pipeline_tbl[[#This Row],[Rep_ID]],Dim_Reps!A:A,Dim_Reps!B:B)</f>
        <v>Sam Castro</v>
      </c>
      <c r="P3974" t="str">
        <f>_xlfn.XLOOKUP(Pipeline_tbl[[#This Row],[Rep_ID]],Dim_Reps!A:A,Dim_Reps!C:C)</f>
        <v>SDR / Inside Sales Rep</v>
      </c>
      <c r="Q3974" t="str">
        <f>_xlfn.XLOOKUP(Pipeline_tbl[[#This Row],[Rep_ID]],Dim_Reps!A:A,Dim_Reps!D:D)</f>
        <v>Inside Sales</v>
      </c>
      <c r="R3974" t="str">
        <f>_xlfn.XLOOKUP(Pipeline_tbl[[#This Row],[Rep_ID]],Dim_Reps!A:A,Dim_Reps!E:E)</f>
        <v>APAC</v>
      </c>
      <c r="S3974" t="str">
        <f>_xlfn.XLOOKUP(Pipeline_tbl[[#This Row],[Created_Date]],Dim_Date!A:A,Dim_Date!H:H)</f>
        <v>Jul 2024</v>
      </c>
      <c r="T3974" t="str">
        <f>IF(Pipeline_tbl[[#This Row],[Closed_Date]]=0,"",(_xlfn.XLOOKUP(Pipeline_tbl[[#This Row],[Closed_Date]],Dim_Date!A:A,Dim_Date!H:H)))</f>
        <v>Aug 2024</v>
      </c>
      <c r="U3974">
        <f>IF(Pipeline_tbl[[#This Row],[Closed_Date]]=0,"",Pipeline_tbl[[#This Row],[Closed_Date]]-Pipeline_tbl[[#This Row],[Created_Date]])</f>
        <v>23</v>
      </c>
    </row>
    <row r="3975" spans="1:21" ht="15" customHeight="1" x14ac:dyDescent="0.2">
      <c r="A3975" t="s">
        <v>4281</v>
      </c>
      <c r="B3975" t="s">
        <v>207</v>
      </c>
      <c r="C3975" t="s">
        <v>55</v>
      </c>
      <c r="D3975" s="49">
        <v>45495</v>
      </c>
      <c r="E3975" s="49">
        <v>45497</v>
      </c>
      <c r="F3975" s="49">
        <v>45500</v>
      </c>
      <c r="G3975" s="49">
        <v>45504</v>
      </c>
      <c r="H3975" s="49">
        <v>45508</v>
      </c>
      <c r="I3975" s="49">
        <v>45510</v>
      </c>
      <c r="J3975" t="s">
        <v>49</v>
      </c>
      <c r="K3975" s="33">
        <v>3300</v>
      </c>
      <c r="L3975" t="s">
        <v>60</v>
      </c>
      <c r="M3975" t="str">
        <f>_xlfn.XLOOKUP(Pipeline_tbl[[#This Row],[Rep_ID]],Dim_Reps!A:A,Dim_Reps!K:K)</f>
        <v>EUR</v>
      </c>
      <c r="N3975" s="33">
        <f>(_xlfn.XLOOKUP(Pipeline_tbl[[#This Row],[Rate_Code_Generalized]],Lookups!A:A,Lookups!B:B))*Pipeline_tbl[[#This Row],[Pipeline_Amount_USD]]</f>
        <v>3300</v>
      </c>
      <c r="O3975" t="str">
        <f>_xlfn.XLOOKUP(Pipeline_tbl[[#This Row],[Rep_ID]],Dim_Reps!A:A,Dim_Reps!B:B)</f>
        <v>Sam Castro</v>
      </c>
      <c r="P3975" t="str">
        <f>_xlfn.XLOOKUP(Pipeline_tbl[[#This Row],[Rep_ID]],Dim_Reps!A:A,Dim_Reps!C:C)</f>
        <v>SDR / Inside Sales Rep</v>
      </c>
      <c r="Q3975" t="str">
        <f>_xlfn.XLOOKUP(Pipeline_tbl[[#This Row],[Rep_ID]],Dim_Reps!A:A,Dim_Reps!D:D)</f>
        <v>Inside Sales</v>
      </c>
      <c r="R3975" t="str">
        <f>_xlfn.XLOOKUP(Pipeline_tbl[[#This Row],[Rep_ID]],Dim_Reps!A:A,Dim_Reps!E:E)</f>
        <v>APAC</v>
      </c>
      <c r="S3975" t="str">
        <f>_xlfn.XLOOKUP(Pipeline_tbl[[#This Row],[Created_Date]],Dim_Date!A:A,Dim_Date!H:H)</f>
        <v>Jul 2024</v>
      </c>
      <c r="T3975" t="str">
        <f>IF(Pipeline_tbl[[#This Row],[Closed_Date]]=0,"",(_xlfn.XLOOKUP(Pipeline_tbl[[#This Row],[Closed_Date]],Dim_Date!A:A,Dim_Date!H:H)))</f>
        <v>Aug 2024</v>
      </c>
      <c r="U3975">
        <f>IF(Pipeline_tbl[[#This Row],[Closed_Date]]=0,"",Pipeline_tbl[[#This Row],[Closed_Date]]-Pipeline_tbl[[#This Row],[Created_Date]])</f>
        <v>15</v>
      </c>
    </row>
    <row r="3976" spans="1:21" ht="15" customHeight="1" x14ac:dyDescent="0.2">
      <c r="A3976" t="s">
        <v>4282</v>
      </c>
      <c r="B3976" t="s">
        <v>211</v>
      </c>
      <c r="C3976" t="s">
        <v>55</v>
      </c>
      <c r="D3976" s="49">
        <v>45483</v>
      </c>
      <c r="E3976" s="49">
        <v>45485</v>
      </c>
      <c r="F3976" s="49">
        <v>45490</v>
      </c>
      <c r="G3976" s="49">
        <v>45496</v>
      </c>
      <c r="H3976" s="49">
        <v>45502</v>
      </c>
      <c r="I3976" s="49">
        <v>45505</v>
      </c>
      <c r="J3976" t="s">
        <v>47</v>
      </c>
      <c r="K3976" s="33">
        <v>4300</v>
      </c>
      <c r="M3976" t="str">
        <f>_xlfn.XLOOKUP(Pipeline_tbl[[#This Row],[Rep_ID]],Dim_Reps!A:A,Dim_Reps!K:K)</f>
        <v>EUR</v>
      </c>
      <c r="N3976" s="33">
        <f>(_xlfn.XLOOKUP(Pipeline_tbl[[#This Row],[Rate_Code_Generalized]],Lookups!A:A,Lookups!B:B))*Pipeline_tbl[[#This Row],[Pipeline_Amount_USD]]</f>
        <v>4300</v>
      </c>
      <c r="O3976" t="str">
        <f>_xlfn.XLOOKUP(Pipeline_tbl[[#This Row],[Rep_ID]],Dim_Reps!A:A,Dim_Reps!B:B)</f>
        <v>Lea Weber</v>
      </c>
      <c r="P3976" t="str">
        <f>_xlfn.XLOOKUP(Pipeline_tbl[[#This Row],[Rep_ID]],Dim_Reps!A:A,Dim_Reps!C:C)</f>
        <v>SDR / Inside Sales Rep</v>
      </c>
      <c r="Q3976" t="str">
        <f>_xlfn.XLOOKUP(Pipeline_tbl[[#This Row],[Rep_ID]],Dim_Reps!A:A,Dim_Reps!D:D)</f>
        <v>Inside Sales</v>
      </c>
      <c r="R3976" t="str">
        <f>_xlfn.XLOOKUP(Pipeline_tbl[[#This Row],[Rep_ID]],Dim_Reps!A:A,Dim_Reps!E:E)</f>
        <v>EMEA</v>
      </c>
      <c r="S3976" t="str">
        <f>_xlfn.XLOOKUP(Pipeline_tbl[[#This Row],[Created_Date]],Dim_Date!A:A,Dim_Date!H:H)</f>
        <v>Jul 2024</v>
      </c>
      <c r="T3976" t="str">
        <f>IF(Pipeline_tbl[[#This Row],[Closed_Date]]=0,"",(_xlfn.XLOOKUP(Pipeline_tbl[[#This Row],[Closed_Date]],Dim_Date!A:A,Dim_Date!H:H)))</f>
        <v>Aug 2024</v>
      </c>
      <c r="U3976">
        <f>IF(Pipeline_tbl[[#This Row],[Closed_Date]]=0,"",Pipeline_tbl[[#This Row],[Closed_Date]]-Pipeline_tbl[[#This Row],[Created_Date]])</f>
        <v>22</v>
      </c>
    </row>
    <row r="3977" spans="1:21" ht="15" customHeight="1" x14ac:dyDescent="0.2">
      <c r="A3977" t="s">
        <v>4283</v>
      </c>
      <c r="B3977" t="s">
        <v>211</v>
      </c>
      <c r="C3977" t="s">
        <v>52</v>
      </c>
      <c r="D3977" s="49">
        <v>45501</v>
      </c>
      <c r="E3977" s="49">
        <v>45503</v>
      </c>
      <c r="F3977" s="49">
        <v>45507</v>
      </c>
      <c r="G3977" s="49">
        <v>45514</v>
      </c>
      <c r="H3977" s="49">
        <v>45519</v>
      </c>
      <c r="I3977" s="49">
        <v>45522</v>
      </c>
      <c r="J3977" t="s">
        <v>47</v>
      </c>
      <c r="K3977" s="33">
        <v>3700</v>
      </c>
      <c r="M3977" t="str">
        <f>_xlfn.XLOOKUP(Pipeline_tbl[[#This Row],[Rep_ID]],Dim_Reps!A:A,Dim_Reps!K:K)</f>
        <v>EUR</v>
      </c>
      <c r="N3977" s="33">
        <f>(_xlfn.XLOOKUP(Pipeline_tbl[[#This Row],[Rate_Code_Generalized]],Lookups!A:A,Lookups!B:B))*Pipeline_tbl[[#This Row],[Pipeline_Amount_USD]]</f>
        <v>3700</v>
      </c>
      <c r="O3977" t="str">
        <f>_xlfn.XLOOKUP(Pipeline_tbl[[#This Row],[Rep_ID]],Dim_Reps!A:A,Dim_Reps!B:B)</f>
        <v>Lea Weber</v>
      </c>
      <c r="P3977" t="str">
        <f>_xlfn.XLOOKUP(Pipeline_tbl[[#This Row],[Rep_ID]],Dim_Reps!A:A,Dim_Reps!C:C)</f>
        <v>SDR / Inside Sales Rep</v>
      </c>
      <c r="Q3977" t="str">
        <f>_xlfn.XLOOKUP(Pipeline_tbl[[#This Row],[Rep_ID]],Dim_Reps!A:A,Dim_Reps!D:D)</f>
        <v>Inside Sales</v>
      </c>
      <c r="R3977" t="str">
        <f>_xlfn.XLOOKUP(Pipeline_tbl[[#This Row],[Rep_ID]],Dim_Reps!A:A,Dim_Reps!E:E)</f>
        <v>EMEA</v>
      </c>
      <c r="S3977" t="str">
        <f>_xlfn.XLOOKUP(Pipeline_tbl[[#This Row],[Created_Date]],Dim_Date!A:A,Dim_Date!H:H)</f>
        <v>Jul 2024</v>
      </c>
      <c r="T3977" t="str">
        <f>IF(Pipeline_tbl[[#This Row],[Closed_Date]]=0,"",(_xlfn.XLOOKUP(Pipeline_tbl[[#This Row],[Closed_Date]],Dim_Date!A:A,Dim_Date!H:H)))</f>
        <v>Aug 2024</v>
      </c>
      <c r="U3977">
        <f>IF(Pipeline_tbl[[#This Row],[Closed_Date]]=0,"",Pipeline_tbl[[#This Row],[Closed_Date]]-Pipeline_tbl[[#This Row],[Created_Date]])</f>
        <v>21</v>
      </c>
    </row>
    <row r="3978" spans="1:21" ht="15" customHeight="1" x14ac:dyDescent="0.2">
      <c r="A3978" t="s">
        <v>4284</v>
      </c>
      <c r="B3978" t="s">
        <v>211</v>
      </c>
      <c r="C3978" t="s">
        <v>52</v>
      </c>
      <c r="D3978" s="49">
        <v>45499</v>
      </c>
      <c r="E3978" s="49">
        <v>45501</v>
      </c>
      <c r="F3978" s="49">
        <v>45505</v>
      </c>
      <c r="I3978" s="49">
        <v>45518</v>
      </c>
      <c r="J3978" t="s">
        <v>49</v>
      </c>
      <c r="K3978" s="33">
        <v>4100</v>
      </c>
      <c r="L3978" t="s">
        <v>62</v>
      </c>
      <c r="M3978" t="str">
        <f>_xlfn.XLOOKUP(Pipeline_tbl[[#This Row],[Rep_ID]],Dim_Reps!A:A,Dim_Reps!K:K)</f>
        <v>EUR</v>
      </c>
      <c r="N3978" s="33">
        <f>(_xlfn.XLOOKUP(Pipeline_tbl[[#This Row],[Rate_Code_Generalized]],Lookups!A:A,Lookups!B:B))*Pipeline_tbl[[#This Row],[Pipeline_Amount_USD]]</f>
        <v>4100</v>
      </c>
      <c r="O3978" t="str">
        <f>_xlfn.XLOOKUP(Pipeline_tbl[[#This Row],[Rep_ID]],Dim_Reps!A:A,Dim_Reps!B:B)</f>
        <v>Lea Weber</v>
      </c>
      <c r="P3978" t="str">
        <f>_xlfn.XLOOKUP(Pipeline_tbl[[#This Row],[Rep_ID]],Dim_Reps!A:A,Dim_Reps!C:C)</f>
        <v>SDR / Inside Sales Rep</v>
      </c>
      <c r="Q3978" t="str">
        <f>_xlfn.XLOOKUP(Pipeline_tbl[[#This Row],[Rep_ID]],Dim_Reps!A:A,Dim_Reps!D:D)</f>
        <v>Inside Sales</v>
      </c>
      <c r="R3978" t="str">
        <f>_xlfn.XLOOKUP(Pipeline_tbl[[#This Row],[Rep_ID]],Dim_Reps!A:A,Dim_Reps!E:E)</f>
        <v>EMEA</v>
      </c>
      <c r="S3978" t="str">
        <f>_xlfn.XLOOKUP(Pipeline_tbl[[#This Row],[Created_Date]],Dim_Date!A:A,Dim_Date!H:H)</f>
        <v>Jul 2024</v>
      </c>
      <c r="T3978" t="str">
        <f>IF(Pipeline_tbl[[#This Row],[Closed_Date]]=0,"",(_xlfn.XLOOKUP(Pipeline_tbl[[#This Row],[Closed_Date]],Dim_Date!A:A,Dim_Date!H:H)))</f>
        <v>Aug 2024</v>
      </c>
      <c r="U3978">
        <f>IF(Pipeline_tbl[[#This Row],[Closed_Date]]=0,"",Pipeline_tbl[[#This Row],[Closed_Date]]-Pipeline_tbl[[#This Row],[Created_Date]])</f>
        <v>19</v>
      </c>
    </row>
    <row r="3979" spans="1:21" ht="15" customHeight="1" x14ac:dyDescent="0.2">
      <c r="A3979" t="s">
        <v>4285</v>
      </c>
      <c r="B3979" t="s">
        <v>211</v>
      </c>
      <c r="C3979" t="s">
        <v>52</v>
      </c>
      <c r="D3979" s="49">
        <v>45490</v>
      </c>
      <c r="E3979" s="49">
        <v>45492</v>
      </c>
      <c r="F3979" s="49">
        <v>45495</v>
      </c>
      <c r="G3979" s="49">
        <v>45499</v>
      </c>
      <c r="H3979" s="49">
        <v>45503</v>
      </c>
      <c r="I3979" s="49">
        <v>45505</v>
      </c>
      <c r="J3979" t="s">
        <v>47</v>
      </c>
      <c r="K3979" s="33">
        <v>3400</v>
      </c>
      <c r="M3979" t="str">
        <f>_xlfn.XLOOKUP(Pipeline_tbl[[#This Row],[Rep_ID]],Dim_Reps!A:A,Dim_Reps!K:K)</f>
        <v>EUR</v>
      </c>
      <c r="N3979" s="33">
        <f>(_xlfn.XLOOKUP(Pipeline_tbl[[#This Row],[Rate_Code_Generalized]],Lookups!A:A,Lookups!B:B))*Pipeline_tbl[[#This Row],[Pipeline_Amount_USD]]</f>
        <v>3400</v>
      </c>
      <c r="O3979" t="str">
        <f>_xlfn.XLOOKUP(Pipeline_tbl[[#This Row],[Rep_ID]],Dim_Reps!A:A,Dim_Reps!B:B)</f>
        <v>Lea Weber</v>
      </c>
      <c r="P3979" t="str">
        <f>_xlfn.XLOOKUP(Pipeline_tbl[[#This Row],[Rep_ID]],Dim_Reps!A:A,Dim_Reps!C:C)</f>
        <v>SDR / Inside Sales Rep</v>
      </c>
      <c r="Q3979" t="str">
        <f>_xlfn.XLOOKUP(Pipeline_tbl[[#This Row],[Rep_ID]],Dim_Reps!A:A,Dim_Reps!D:D)</f>
        <v>Inside Sales</v>
      </c>
      <c r="R3979" t="str">
        <f>_xlfn.XLOOKUP(Pipeline_tbl[[#This Row],[Rep_ID]],Dim_Reps!A:A,Dim_Reps!E:E)</f>
        <v>EMEA</v>
      </c>
      <c r="S3979" t="str">
        <f>_xlfn.XLOOKUP(Pipeline_tbl[[#This Row],[Created_Date]],Dim_Date!A:A,Dim_Date!H:H)</f>
        <v>Jul 2024</v>
      </c>
      <c r="T3979" t="str">
        <f>IF(Pipeline_tbl[[#This Row],[Closed_Date]]=0,"",(_xlfn.XLOOKUP(Pipeline_tbl[[#This Row],[Closed_Date]],Dim_Date!A:A,Dim_Date!H:H)))</f>
        <v>Aug 2024</v>
      </c>
      <c r="U3979">
        <f>IF(Pipeline_tbl[[#This Row],[Closed_Date]]=0,"",Pipeline_tbl[[#This Row],[Closed_Date]]-Pipeline_tbl[[#This Row],[Created_Date]])</f>
        <v>15</v>
      </c>
    </row>
    <row r="3980" spans="1:21" ht="15" customHeight="1" x14ac:dyDescent="0.2">
      <c r="A3980" t="s">
        <v>4286</v>
      </c>
      <c r="B3980" t="s">
        <v>211</v>
      </c>
      <c r="C3980" t="s">
        <v>54</v>
      </c>
      <c r="D3980" s="49">
        <v>45498</v>
      </c>
      <c r="E3980" s="49">
        <v>45500</v>
      </c>
      <c r="F3980" s="49">
        <v>45503</v>
      </c>
      <c r="G3980" s="49">
        <v>45509</v>
      </c>
      <c r="H3980" s="49">
        <v>45513</v>
      </c>
      <c r="I3980" s="49">
        <v>45516</v>
      </c>
      <c r="J3980" t="s">
        <v>47</v>
      </c>
      <c r="K3980" s="33">
        <v>2800</v>
      </c>
      <c r="M3980" t="str">
        <f>_xlfn.XLOOKUP(Pipeline_tbl[[#This Row],[Rep_ID]],Dim_Reps!A:A,Dim_Reps!K:K)</f>
        <v>EUR</v>
      </c>
      <c r="N3980" s="33">
        <f>(_xlfn.XLOOKUP(Pipeline_tbl[[#This Row],[Rate_Code_Generalized]],Lookups!A:A,Lookups!B:B))*Pipeline_tbl[[#This Row],[Pipeline_Amount_USD]]</f>
        <v>2800</v>
      </c>
      <c r="O3980" t="str">
        <f>_xlfn.XLOOKUP(Pipeline_tbl[[#This Row],[Rep_ID]],Dim_Reps!A:A,Dim_Reps!B:B)</f>
        <v>Lea Weber</v>
      </c>
      <c r="P3980" t="str">
        <f>_xlfn.XLOOKUP(Pipeline_tbl[[#This Row],[Rep_ID]],Dim_Reps!A:A,Dim_Reps!C:C)</f>
        <v>SDR / Inside Sales Rep</v>
      </c>
      <c r="Q3980" t="str">
        <f>_xlfn.XLOOKUP(Pipeline_tbl[[#This Row],[Rep_ID]],Dim_Reps!A:A,Dim_Reps!D:D)</f>
        <v>Inside Sales</v>
      </c>
      <c r="R3980" t="str">
        <f>_xlfn.XLOOKUP(Pipeline_tbl[[#This Row],[Rep_ID]],Dim_Reps!A:A,Dim_Reps!E:E)</f>
        <v>EMEA</v>
      </c>
      <c r="S3980" t="str">
        <f>_xlfn.XLOOKUP(Pipeline_tbl[[#This Row],[Created_Date]],Dim_Date!A:A,Dim_Date!H:H)</f>
        <v>Jul 2024</v>
      </c>
      <c r="T3980" t="str">
        <f>IF(Pipeline_tbl[[#This Row],[Closed_Date]]=0,"",(_xlfn.XLOOKUP(Pipeline_tbl[[#This Row],[Closed_Date]],Dim_Date!A:A,Dim_Date!H:H)))</f>
        <v>Aug 2024</v>
      </c>
      <c r="U3980">
        <f>IF(Pipeline_tbl[[#This Row],[Closed_Date]]=0,"",Pipeline_tbl[[#This Row],[Closed_Date]]-Pipeline_tbl[[#This Row],[Created_Date]])</f>
        <v>18</v>
      </c>
    </row>
    <row r="3981" spans="1:21" ht="15" customHeight="1" x14ac:dyDescent="0.2">
      <c r="A3981" t="s">
        <v>4287</v>
      </c>
      <c r="B3981" t="s">
        <v>211</v>
      </c>
      <c r="C3981" t="s">
        <v>53</v>
      </c>
      <c r="D3981" s="49">
        <v>45491</v>
      </c>
      <c r="E3981" s="49">
        <v>45493</v>
      </c>
      <c r="F3981" s="49">
        <v>45499</v>
      </c>
      <c r="G3981" s="49">
        <v>45506</v>
      </c>
      <c r="I3981" s="49">
        <v>45516</v>
      </c>
      <c r="J3981" t="s">
        <v>49</v>
      </c>
      <c r="K3981" s="33">
        <v>3100</v>
      </c>
      <c r="L3981" t="s">
        <v>63</v>
      </c>
      <c r="M3981" t="str">
        <f>_xlfn.XLOOKUP(Pipeline_tbl[[#This Row],[Rep_ID]],Dim_Reps!A:A,Dim_Reps!K:K)</f>
        <v>EUR</v>
      </c>
      <c r="N3981" s="33">
        <f>(_xlfn.XLOOKUP(Pipeline_tbl[[#This Row],[Rate_Code_Generalized]],Lookups!A:A,Lookups!B:B))*Pipeline_tbl[[#This Row],[Pipeline_Amount_USD]]</f>
        <v>3100</v>
      </c>
      <c r="O3981" t="str">
        <f>_xlfn.XLOOKUP(Pipeline_tbl[[#This Row],[Rep_ID]],Dim_Reps!A:A,Dim_Reps!B:B)</f>
        <v>Lea Weber</v>
      </c>
      <c r="P3981" t="str">
        <f>_xlfn.XLOOKUP(Pipeline_tbl[[#This Row],[Rep_ID]],Dim_Reps!A:A,Dim_Reps!C:C)</f>
        <v>SDR / Inside Sales Rep</v>
      </c>
      <c r="Q3981" t="str">
        <f>_xlfn.XLOOKUP(Pipeline_tbl[[#This Row],[Rep_ID]],Dim_Reps!A:A,Dim_Reps!D:D)</f>
        <v>Inside Sales</v>
      </c>
      <c r="R3981" t="str">
        <f>_xlfn.XLOOKUP(Pipeline_tbl[[#This Row],[Rep_ID]],Dim_Reps!A:A,Dim_Reps!E:E)</f>
        <v>EMEA</v>
      </c>
      <c r="S3981" t="str">
        <f>_xlfn.XLOOKUP(Pipeline_tbl[[#This Row],[Created_Date]],Dim_Date!A:A,Dim_Date!H:H)</f>
        <v>Jul 2024</v>
      </c>
      <c r="T3981" t="str">
        <f>IF(Pipeline_tbl[[#This Row],[Closed_Date]]=0,"",(_xlfn.XLOOKUP(Pipeline_tbl[[#This Row],[Closed_Date]],Dim_Date!A:A,Dim_Date!H:H)))</f>
        <v>Aug 2024</v>
      </c>
      <c r="U3981">
        <f>IF(Pipeline_tbl[[#This Row],[Closed_Date]]=0,"",Pipeline_tbl[[#This Row],[Closed_Date]]-Pipeline_tbl[[#This Row],[Created_Date]])</f>
        <v>25</v>
      </c>
    </row>
    <row r="3982" spans="1:21" ht="15" customHeight="1" x14ac:dyDescent="0.2">
      <c r="A3982" t="s">
        <v>4288</v>
      </c>
      <c r="B3982" t="s">
        <v>211</v>
      </c>
      <c r="C3982" t="s">
        <v>52</v>
      </c>
      <c r="D3982" s="49">
        <v>45500</v>
      </c>
      <c r="E3982" s="49">
        <v>45502</v>
      </c>
      <c r="F3982" s="49">
        <v>45508</v>
      </c>
      <c r="G3982" s="49">
        <v>45515</v>
      </c>
      <c r="H3982" s="49">
        <v>45521</v>
      </c>
      <c r="I3982" s="49">
        <v>45525</v>
      </c>
      <c r="J3982" t="s">
        <v>49</v>
      </c>
      <c r="K3982" s="33">
        <v>7000</v>
      </c>
      <c r="L3982" t="s">
        <v>62</v>
      </c>
      <c r="M3982" t="str">
        <f>_xlfn.XLOOKUP(Pipeline_tbl[[#This Row],[Rep_ID]],Dim_Reps!A:A,Dim_Reps!K:K)</f>
        <v>EUR</v>
      </c>
      <c r="N3982" s="33">
        <f>(_xlfn.XLOOKUP(Pipeline_tbl[[#This Row],[Rate_Code_Generalized]],Lookups!A:A,Lookups!B:B))*Pipeline_tbl[[#This Row],[Pipeline_Amount_USD]]</f>
        <v>7000</v>
      </c>
      <c r="O3982" t="str">
        <f>_xlfn.XLOOKUP(Pipeline_tbl[[#This Row],[Rep_ID]],Dim_Reps!A:A,Dim_Reps!B:B)</f>
        <v>Lea Weber</v>
      </c>
      <c r="P3982" t="str">
        <f>_xlfn.XLOOKUP(Pipeline_tbl[[#This Row],[Rep_ID]],Dim_Reps!A:A,Dim_Reps!C:C)</f>
        <v>SDR / Inside Sales Rep</v>
      </c>
      <c r="Q3982" t="str">
        <f>_xlfn.XLOOKUP(Pipeline_tbl[[#This Row],[Rep_ID]],Dim_Reps!A:A,Dim_Reps!D:D)</f>
        <v>Inside Sales</v>
      </c>
      <c r="R3982" t="str">
        <f>_xlfn.XLOOKUP(Pipeline_tbl[[#This Row],[Rep_ID]],Dim_Reps!A:A,Dim_Reps!E:E)</f>
        <v>EMEA</v>
      </c>
      <c r="S3982" t="str">
        <f>_xlfn.XLOOKUP(Pipeline_tbl[[#This Row],[Created_Date]],Dim_Date!A:A,Dim_Date!H:H)</f>
        <v>Jul 2024</v>
      </c>
      <c r="T3982" t="str">
        <f>IF(Pipeline_tbl[[#This Row],[Closed_Date]]=0,"",(_xlfn.XLOOKUP(Pipeline_tbl[[#This Row],[Closed_Date]],Dim_Date!A:A,Dim_Date!H:H)))</f>
        <v>Aug 2024</v>
      </c>
      <c r="U3982">
        <f>IF(Pipeline_tbl[[#This Row],[Closed_Date]]=0,"",Pipeline_tbl[[#This Row],[Closed_Date]]-Pipeline_tbl[[#This Row],[Created_Date]])</f>
        <v>25</v>
      </c>
    </row>
    <row r="3983" spans="1:21" ht="15" customHeight="1" x14ac:dyDescent="0.2">
      <c r="A3983" t="s">
        <v>4289</v>
      </c>
      <c r="B3983" t="s">
        <v>211</v>
      </c>
      <c r="C3983" t="s">
        <v>52</v>
      </c>
      <c r="D3983" s="49">
        <v>45497</v>
      </c>
      <c r="E3983" s="49">
        <v>45499</v>
      </c>
      <c r="F3983" s="49">
        <v>45503</v>
      </c>
      <c r="I3983" s="49">
        <v>45518</v>
      </c>
      <c r="J3983" t="s">
        <v>49</v>
      </c>
      <c r="K3983" s="33">
        <v>3600</v>
      </c>
      <c r="L3983" t="s">
        <v>60</v>
      </c>
      <c r="M3983" t="str">
        <f>_xlfn.XLOOKUP(Pipeline_tbl[[#This Row],[Rep_ID]],Dim_Reps!A:A,Dim_Reps!K:K)</f>
        <v>EUR</v>
      </c>
      <c r="N3983" s="33">
        <f>(_xlfn.XLOOKUP(Pipeline_tbl[[#This Row],[Rate_Code_Generalized]],Lookups!A:A,Lookups!B:B))*Pipeline_tbl[[#This Row],[Pipeline_Amount_USD]]</f>
        <v>3600</v>
      </c>
      <c r="O3983" t="str">
        <f>_xlfn.XLOOKUP(Pipeline_tbl[[#This Row],[Rep_ID]],Dim_Reps!A:A,Dim_Reps!B:B)</f>
        <v>Lea Weber</v>
      </c>
      <c r="P3983" t="str">
        <f>_xlfn.XLOOKUP(Pipeline_tbl[[#This Row],[Rep_ID]],Dim_Reps!A:A,Dim_Reps!C:C)</f>
        <v>SDR / Inside Sales Rep</v>
      </c>
      <c r="Q3983" t="str">
        <f>_xlfn.XLOOKUP(Pipeline_tbl[[#This Row],[Rep_ID]],Dim_Reps!A:A,Dim_Reps!D:D)</f>
        <v>Inside Sales</v>
      </c>
      <c r="R3983" t="str">
        <f>_xlfn.XLOOKUP(Pipeline_tbl[[#This Row],[Rep_ID]],Dim_Reps!A:A,Dim_Reps!E:E)</f>
        <v>EMEA</v>
      </c>
      <c r="S3983" t="str">
        <f>_xlfn.XLOOKUP(Pipeline_tbl[[#This Row],[Created_Date]],Dim_Date!A:A,Dim_Date!H:H)</f>
        <v>Jul 2024</v>
      </c>
      <c r="T3983" t="str">
        <f>IF(Pipeline_tbl[[#This Row],[Closed_Date]]=0,"",(_xlfn.XLOOKUP(Pipeline_tbl[[#This Row],[Closed_Date]],Dim_Date!A:A,Dim_Date!H:H)))</f>
        <v>Aug 2024</v>
      </c>
      <c r="U3983">
        <f>IF(Pipeline_tbl[[#This Row],[Closed_Date]]=0,"",Pipeline_tbl[[#This Row],[Closed_Date]]-Pipeline_tbl[[#This Row],[Created_Date]])</f>
        <v>21</v>
      </c>
    </row>
    <row r="3984" spans="1:21" ht="15" customHeight="1" x14ac:dyDescent="0.2">
      <c r="A3984" t="s">
        <v>4290</v>
      </c>
      <c r="B3984" t="s">
        <v>215</v>
      </c>
      <c r="C3984" t="s">
        <v>53</v>
      </c>
      <c r="D3984" s="49">
        <v>45495</v>
      </c>
      <c r="E3984" s="49">
        <v>45496</v>
      </c>
      <c r="I3984" s="49">
        <v>45508</v>
      </c>
      <c r="J3984" t="s">
        <v>49</v>
      </c>
      <c r="K3984" s="33">
        <v>3400</v>
      </c>
      <c r="L3984" t="s">
        <v>61</v>
      </c>
      <c r="M3984" t="str">
        <f>_xlfn.XLOOKUP(Pipeline_tbl[[#This Row],[Rep_ID]],Dim_Reps!A:A,Dim_Reps!K:K)</f>
        <v>EUR</v>
      </c>
      <c r="N3984" s="33">
        <f>(_xlfn.XLOOKUP(Pipeline_tbl[[#This Row],[Rate_Code_Generalized]],Lookups!A:A,Lookups!B:B))*Pipeline_tbl[[#This Row],[Pipeline_Amount_USD]]</f>
        <v>3400</v>
      </c>
      <c r="O3984" t="str">
        <f>_xlfn.XLOOKUP(Pipeline_tbl[[#This Row],[Rep_ID]],Dim_Reps!A:A,Dim_Reps!B:B)</f>
        <v>Jamie Schmidt</v>
      </c>
      <c r="P3984" t="str">
        <f>_xlfn.XLOOKUP(Pipeline_tbl[[#This Row],[Rep_ID]],Dim_Reps!A:A,Dim_Reps!C:C)</f>
        <v>SDR / Inside Sales Rep</v>
      </c>
      <c r="Q3984" t="str">
        <f>_xlfn.XLOOKUP(Pipeline_tbl[[#This Row],[Rep_ID]],Dim_Reps!A:A,Dim_Reps!D:D)</f>
        <v>Inside Sales</v>
      </c>
      <c r="R3984" t="str">
        <f>_xlfn.XLOOKUP(Pipeline_tbl[[#This Row],[Rep_ID]],Dim_Reps!A:A,Dim_Reps!E:E)</f>
        <v>APAC</v>
      </c>
      <c r="S3984" t="str">
        <f>_xlfn.XLOOKUP(Pipeline_tbl[[#This Row],[Created_Date]],Dim_Date!A:A,Dim_Date!H:H)</f>
        <v>Jul 2024</v>
      </c>
      <c r="T3984" t="str">
        <f>IF(Pipeline_tbl[[#This Row],[Closed_Date]]=0,"",(_xlfn.XLOOKUP(Pipeline_tbl[[#This Row],[Closed_Date]],Dim_Date!A:A,Dim_Date!H:H)))</f>
        <v>Aug 2024</v>
      </c>
      <c r="U3984">
        <f>IF(Pipeline_tbl[[#This Row],[Closed_Date]]=0,"",Pipeline_tbl[[#This Row],[Closed_Date]]-Pipeline_tbl[[#This Row],[Created_Date]])</f>
        <v>13</v>
      </c>
    </row>
    <row r="3985" spans="1:21" ht="15" customHeight="1" x14ac:dyDescent="0.2">
      <c r="A3985" t="s">
        <v>4291</v>
      </c>
      <c r="B3985" t="s">
        <v>215</v>
      </c>
      <c r="C3985" t="s">
        <v>53</v>
      </c>
      <c r="D3985" s="49">
        <v>45502</v>
      </c>
      <c r="E3985" s="49">
        <v>45504</v>
      </c>
      <c r="F3985" s="49">
        <v>45508</v>
      </c>
      <c r="G3985" s="49">
        <v>45515</v>
      </c>
      <c r="H3985" s="49">
        <v>45520</v>
      </c>
      <c r="I3985" s="49">
        <v>45523</v>
      </c>
      <c r="J3985" t="s">
        <v>47</v>
      </c>
      <c r="K3985" s="33">
        <v>4000</v>
      </c>
      <c r="M3985" t="str">
        <f>_xlfn.XLOOKUP(Pipeline_tbl[[#This Row],[Rep_ID]],Dim_Reps!A:A,Dim_Reps!K:K)</f>
        <v>EUR</v>
      </c>
      <c r="N3985" s="33">
        <f>(_xlfn.XLOOKUP(Pipeline_tbl[[#This Row],[Rate_Code_Generalized]],Lookups!A:A,Lookups!B:B))*Pipeline_tbl[[#This Row],[Pipeline_Amount_USD]]</f>
        <v>4000</v>
      </c>
      <c r="O3985" t="str">
        <f>_xlfn.XLOOKUP(Pipeline_tbl[[#This Row],[Rep_ID]],Dim_Reps!A:A,Dim_Reps!B:B)</f>
        <v>Jamie Schmidt</v>
      </c>
      <c r="P3985" t="str">
        <f>_xlfn.XLOOKUP(Pipeline_tbl[[#This Row],[Rep_ID]],Dim_Reps!A:A,Dim_Reps!C:C)</f>
        <v>SDR / Inside Sales Rep</v>
      </c>
      <c r="Q3985" t="str">
        <f>_xlfn.XLOOKUP(Pipeline_tbl[[#This Row],[Rep_ID]],Dim_Reps!A:A,Dim_Reps!D:D)</f>
        <v>Inside Sales</v>
      </c>
      <c r="R3985" t="str">
        <f>_xlfn.XLOOKUP(Pipeline_tbl[[#This Row],[Rep_ID]],Dim_Reps!A:A,Dim_Reps!E:E)</f>
        <v>APAC</v>
      </c>
      <c r="S3985" t="str">
        <f>_xlfn.XLOOKUP(Pipeline_tbl[[#This Row],[Created_Date]],Dim_Date!A:A,Dim_Date!H:H)</f>
        <v>Jul 2024</v>
      </c>
      <c r="T3985" t="str">
        <f>IF(Pipeline_tbl[[#This Row],[Closed_Date]]=0,"",(_xlfn.XLOOKUP(Pipeline_tbl[[#This Row],[Closed_Date]],Dim_Date!A:A,Dim_Date!H:H)))</f>
        <v>Aug 2024</v>
      </c>
      <c r="U3985">
        <f>IF(Pipeline_tbl[[#This Row],[Closed_Date]]=0,"",Pipeline_tbl[[#This Row],[Closed_Date]]-Pipeline_tbl[[#This Row],[Created_Date]])</f>
        <v>21</v>
      </c>
    </row>
    <row r="3986" spans="1:21" ht="15" customHeight="1" x14ac:dyDescent="0.2">
      <c r="A3986" t="s">
        <v>4292</v>
      </c>
      <c r="B3986" t="s">
        <v>215</v>
      </c>
      <c r="C3986" t="s">
        <v>55</v>
      </c>
      <c r="D3986" s="49">
        <v>45500</v>
      </c>
      <c r="E3986" s="49">
        <v>45501</v>
      </c>
      <c r="F3986" s="49">
        <v>45502</v>
      </c>
      <c r="G3986" s="49">
        <v>45505</v>
      </c>
      <c r="H3986" s="49">
        <v>45507</v>
      </c>
      <c r="I3986" s="49">
        <v>45508</v>
      </c>
      <c r="J3986" t="s">
        <v>49</v>
      </c>
      <c r="K3986" s="33">
        <v>2900</v>
      </c>
      <c r="L3986" t="s">
        <v>63</v>
      </c>
      <c r="M3986" t="str">
        <f>_xlfn.XLOOKUP(Pipeline_tbl[[#This Row],[Rep_ID]],Dim_Reps!A:A,Dim_Reps!K:K)</f>
        <v>EUR</v>
      </c>
      <c r="N3986" s="33">
        <f>(_xlfn.XLOOKUP(Pipeline_tbl[[#This Row],[Rate_Code_Generalized]],Lookups!A:A,Lookups!B:B))*Pipeline_tbl[[#This Row],[Pipeline_Amount_USD]]</f>
        <v>2900</v>
      </c>
      <c r="O3986" t="str">
        <f>_xlfn.XLOOKUP(Pipeline_tbl[[#This Row],[Rep_ID]],Dim_Reps!A:A,Dim_Reps!B:B)</f>
        <v>Jamie Schmidt</v>
      </c>
      <c r="P3986" t="str">
        <f>_xlfn.XLOOKUP(Pipeline_tbl[[#This Row],[Rep_ID]],Dim_Reps!A:A,Dim_Reps!C:C)</f>
        <v>SDR / Inside Sales Rep</v>
      </c>
      <c r="Q3986" t="str">
        <f>_xlfn.XLOOKUP(Pipeline_tbl[[#This Row],[Rep_ID]],Dim_Reps!A:A,Dim_Reps!D:D)</f>
        <v>Inside Sales</v>
      </c>
      <c r="R3986" t="str">
        <f>_xlfn.XLOOKUP(Pipeline_tbl[[#This Row],[Rep_ID]],Dim_Reps!A:A,Dim_Reps!E:E)</f>
        <v>APAC</v>
      </c>
      <c r="S3986" t="str">
        <f>_xlfn.XLOOKUP(Pipeline_tbl[[#This Row],[Created_Date]],Dim_Date!A:A,Dim_Date!H:H)</f>
        <v>Jul 2024</v>
      </c>
      <c r="T3986" t="str">
        <f>IF(Pipeline_tbl[[#This Row],[Closed_Date]]=0,"",(_xlfn.XLOOKUP(Pipeline_tbl[[#This Row],[Closed_Date]],Dim_Date!A:A,Dim_Date!H:H)))</f>
        <v>Aug 2024</v>
      </c>
      <c r="U3986">
        <f>IF(Pipeline_tbl[[#This Row],[Closed_Date]]=0,"",Pipeline_tbl[[#This Row],[Closed_Date]]-Pipeline_tbl[[#This Row],[Created_Date]])</f>
        <v>8</v>
      </c>
    </row>
    <row r="3987" spans="1:21" ht="15" customHeight="1" x14ac:dyDescent="0.2">
      <c r="A3987" t="s">
        <v>4293</v>
      </c>
      <c r="B3987" t="s">
        <v>217</v>
      </c>
      <c r="C3987" t="s">
        <v>53</v>
      </c>
      <c r="D3987" s="49">
        <v>45496</v>
      </c>
      <c r="E3987" s="49">
        <v>45498</v>
      </c>
      <c r="F3987" s="49">
        <v>45502</v>
      </c>
      <c r="G3987" s="49">
        <v>45507</v>
      </c>
      <c r="I3987" s="49">
        <v>45515</v>
      </c>
      <c r="J3987" t="s">
        <v>49</v>
      </c>
      <c r="K3987" s="33">
        <v>2600</v>
      </c>
      <c r="L3987" t="s">
        <v>64</v>
      </c>
      <c r="M3987" t="str">
        <f>_xlfn.XLOOKUP(Pipeline_tbl[[#This Row],[Rep_ID]],Dim_Reps!A:A,Dim_Reps!K:K)</f>
        <v>USD</v>
      </c>
      <c r="N3987" s="33">
        <f>(_xlfn.XLOOKUP(Pipeline_tbl[[#This Row],[Rate_Code_Generalized]],Lookups!A:A,Lookups!B:B))*Pipeline_tbl[[#This Row],[Pipeline_Amount_USD]]</f>
        <v>3027.18</v>
      </c>
      <c r="O3987" t="str">
        <f>_xlfn.XLOOKUP(Pipeline_tbl[[#This Row],[Rep_ID]],Dim_Reps!A:A,Dim_Reps!B:B)</f>
        <v>Priya Weber</v>
      </c>
      <c r="P3987" t="str">
        <f>_xlfn.XLOOKUP(Pipeline_tbl[[#This Row],[Rep_ID]],Dim_Reps!A:A,Dim_Reps!C:C)</f>
        <v>SDR / Inside Sales Rep</v>
      </c>
      <c r="Q3987" t="str">
        <f>_xlfn.XLOOKUP(Pipeline_tbl[[#This Row],[Rep_ID]],Dim_Reps!A:A,Dim_Reps!D:D)</f>
        <v>Inside Sales</v>
      </c>
      <c r="R3987" t="str">
        <f>_xlfn.XLOOKUP(Pipeline_tbl[[#This Row],[Rep_ID]],Dim_Reps!A:A,Dim_Reps!E:E)</f>
        <v>NAMER</v>
      </c>
      <c r="S3987" t="str">
        <f>_xlfn.XLOOKUP(Pipeline_tbl[[#This Row],[Created_Date]],Dim_Date!A:A,Dim_Date!H:H)</f>
        <v>Jul 2024</v>
      </c>
      <c r="T3987" t="str">
        <f>IF(Pipeline_tbl[[#This Row],[Closed_Date]]=0,"",(_xlfn.XLOOKUP(Pipeline_tbl[[#This Row],[Closed_Date]],Dim_Date!A:A,Dim_Date!H:H)))</f>
        <v>Aug 2024</v>
      </c>
      <c r="U3987">
        <f>IF(Pipeline_tbl[[#This Row],[Closed_Date]]=0,"",Pipeline_tbl[[#This Row],[Closed_Date]]-Pipeline_tbl[[#This Row],[Created_Date]])</f>
        <v>19</v>
      </c>
    </row>
    <row r="3988" spans="1:21" ht="15" customHeight="1" x14ac:dyDescent="0.2">
      <c r="A3988" t="s">
        <v>4294</v>
      </c>
      <c r="B3988" t="s">
        <v>221</v>
      </c>
      <c r="C3988" t="s">
        <v>52</v>
      </c>
      <c r="D3988" s="49">
        <v>45492</v>
      </c>
      <c r="E3988" s="49">
        <v>45494</v>
      </c>
      <c r="F3988" s="49">
        <v>45499</v>
      </c>
      <c r="I3988" s="49">
        <v>45516</v>
      </c>
      <c r="J3988" t="s">
        <v>49</v>
      </c>
      <c r="K3988" s="33">
        <v>3400</v>
      </c>
      <c r="L3988" t="s">
        <v>61</v>
      </c>
      <c r="M3988" t="str">
        <f>_xlfn.XLOOKUP(Pipeline_tbl[[#This Row],[Rep_ID]],Dim_Reps!A:A,Dim_Reps!K:K)</f>
        <v>MXN</v>
      </c>
      <c r="N3988" s="33">
        <f>(_xlfn.XLOOKUP(Pipeline_tbl[[#This Row],[Rate_Code_Generalized]],Lookups!A:A,Lookups!B:B))*Pipeline_tbl[[#This Row],[Pipeline_Amount_USD]]</f>
        <v>67091.180000000008</v>
      </c>
      <c r="O3988" t="str">
        <f>_xlfn.XLOOKUP(Pipeline_tbl[[#This Row],[Rep_ID]],Dim_Reps!A:A,Dim_Reps!B:B)</f>
        <v>Casey Muller</v>
      </c>
      <c r="P3988" t="str">
        <f>_xlfn.XLOOKUP(Pipeline_tbl[[#This Row],[Rep_ID]],Dim_Reps!A:A,Dim_Reps!C:C)</f>
        <v>SDR / Inside Sales Rep</v>
      </c>
      <c r="Q3988" t="str">
        <f>_xlfn.XLOOKUP(Pipeline_tbl[[#This Row],[Rep_ID]],Dim_Reps!A:A,Dim_Reps!D:D)</f>
        <v>Inside Sales</v>
      </c>
      <c r="R3988" t="str">
        <f>_xlfn.XLOOKUP(Pipeline_tbl[[#This Row],[Rep_ID]],Dim_Reps!A:A,Dim_Reps!E:E)</f>
        <v>LATAM</v>
      </c>
      <c r="S3988" t="str">
        <f>_xlfn.XLOOKUP(Pipeline_tbl[[#This Row],[Created_Date]],Dim_Date!A:A,Dim_Date!H:H)</f>
        <v>Jul 2024</v>
      </c>
      <c r="T3988" t="str">
        <f>IF(Pipeline_tbl[[#This Row],[Closed_Date]]=0,"",(_xlfn.XLOOKUP(Pipeline_tbl[[#This Row],[Closed_Date]],Dim_Date!A:A,Dim_Date!H:H)))</f>
        <v>Aug 2024</v>
      </c>
      <c r="U3988">
        <f>IF(Pipeline_tbl[[#This Row],[Closed_Date]]=0,"",Pipeline_tbl[[#This Row],[Closed_Date]]-Pipeline_tbl[[#This Row],[Created_Date]])</f>
        <v>24</v>
      </c>
    </row>
    <row r="3989" spans="1:21" ht="15" customHeight="1" x14ac:dyDescent="0.2">
      <c r="A3989" t="s">
        <v>4295</v>
      </c>
      <c r="B3989" t="s">
        <v>221</v>
      </c>
      <c r="C3989" t="s">
        <v>52</v>
      </c>
      <c r="D3989" s="49">
        <v>45491</v>
      </c>
      <c r="E3989" s="49">
        <v>45493</v>
      </c>
      <c r="F3989" s="49">
        <v>45496</v>
      </c>
      <c r="G3989" s="49">
        <v>45501</v>
      </c>
      <c r="H3989" s="49">
        <v>45505</v>
      </c>
      <c r="I3989" s="49">
        <v>45508</v>
      </c>
      <c r="J3989" t="s">
        <v>47</v>
      </c>
      <c r="K3989" s="33">
        <v>2300</v>
      </c>
      <c r="M3989" t="str">
        <f>_xlfn.XLOOKUP(Pipeline_tbl[[#This Row],[Rep_ID]],Dim_Reps!A:A,Dim_Reps!K:K)</f>
        <v>MXN</v>
      </c>
      <c r="N3989" s="33">
        <f>(_xlfn.XLOOKUP(Pipeline_tbl[[#This Row],[Rate_Code_Generalized]],Lookups!A:A,Lookups!B:B))*Pipeline_tbl[[#This Row],[Pipeline_Amount_USD]]</f>
        <v>45385.210000000006</v>
      </c>
      <c r="O3989" t="str">
        <f>_xlfn.XLOOKUP(Pipeline_tbl[[#This Row],[Rep_ID]],Dim_Reps!A:A,Dim_Reps!B:B)</f>
        <v>Casey Muller</v>
      </c>
      <c r="P3989" t="str">
        <f>_xlfn.XLOOKUP(Pipeline_tbl[[#This Row],[Rep_ID]],Dim_Reps!A:A,Dim_Reps!C:C)</f>
        <v>SDR / Inside Sales Rep</v>
      </c>
      <c r="Q3989" t="str">
        <f>_xlfn.XLOOKUP(Pipeline_tbl[[#This Row],[Rep_ID]],Dim_Reps!A:A,Dim_Reps!D:D)</f>
        <v>Inside Sales</v>
      </c>
      <c r="R3989" t="str">
        <f>_xlfn.XLOOKUP(Pipeline_tbl[[#This Row],[Rep_ID]],Dim_Reps!A:A,Dim_Reps!E:E)</f>
        <v>LATAM</v>
      </c>
      <c r="S3989" t="str">
        <f>_xlfn.XLOOKUP(Pipeline_tbl[[#This Row],[Created_Date]],Dim_Date!A:A,Dim_Date!H:H)</f>
        <v>Jul 2024</v>
      </c>
      <c r="T3989" t="str">
        <f>IF(Pipeline_tbl[[#This Row],[Closed_Date]]=0,"",(_xlfn.XLOOKUP(Pipeline_tbl[[#This Row],[Closed_Date]],Dim_Date!A:A,Dim_Date!H:H)))</f>
        <v>Aug 2024</v>
      </c>
      <c r="U3989">
        <f>IF(Pipeline_tbl[[#This Row],[Closed_Date]]=0,"",Pipeline_tbl[[#This Row],[Closed_Date]]-Pipeline_tbl[[#This Row],[Created_Date]])</f>
        <v>17</v>
      </c>
    </row>
    <row r="3990" spans="1:21" ht="15" customHeight="1" x14ac:dyDescent="0.2">
      <c r="A3990" t="s">
        <v>4296</v>
      </c>
      <c r="B3990" t="s">
        <v>221</v>
      </c>
      <c r="C3990" t="s">
        <v>55</v>
      </c>
      <c r="D3990" s="49">
        <v>45488</v>
      </c>
      <c r="E3990" s="49">
        <v>45490</v>
      </c>
      <c r="F3990" s="49">
        <v>45495</v>
      </c>
      <c r="G3990" s="49">
        <v>45502</v>
      </c>
      <c r="H3990" s="49">
        <v>45508</v>
      </c>
      <c r="I3990" s="49">
        <v>45511</v>
      </c>
      <c r="J3990" t="s">
        <v>47</v>
      </c>
      <c r="K3990" s="33">
        <v>8300</v>
      </c>
      <c r="M3990" t="str">
        <f>_xlfn.XLOOKUP(Pipeline_tbl[[#This Row],[Rep_ID]],Dim_Reps!A:A,Dim_Reps!K:K)</f>
        <v>MXN</v>
      </c>
      <c r="N3990" s="33">
        <f>(_xlfn.XLOOKUP(Pipeline_tbl[[#This Row],[Rate_Code_Generalized]],Lookups!A:A,Lookups!B:B))*Pipeline_tbl[[#This Row],[Pipeline_Amount_USD]]</f>
        <v>163781.41</v>
      </c>
      <c r="O3990" t="str">
        <f>_xlfn.XLOOKUP(Pipeline_tbl[[#This Row],[Rep_ID]],Dim_Reps!A:A,Dim_Reps!B:B)</f>
        <v>Casey Muller</v>
      </c>
      <c r="P3990" t="str">
        <f>_xlfn.XLOOKUP(Pipeline_tbl[[#This Row],[Rep_ID]],Dim_Reps!A:A,Dim_Reps!C:C)</f>
        <v>SDR / Inside Sales Rep</v>
      </c>
      <c r="Q3990" t="str">
        <f>_xlfn.XLOOKUP(Pipeline_tbl[[#This Row],[Rep_ID]],Dim_Reps!A:A,Dim_Reps!D:D)</f>
        <v>Inside Sales</v>
      </c>
      <c r="R3990" t="str">
        <f>_xlfn.XLOOKUP(Pipeline_tbl[[#This Row],[Rep_ID]],Dim_Reps!A:A,Dim_Reps!E:E)</f>
        <v>LATAM</v>
      </c>
      <c r="S3990" t="str">
        <f>_xlfn.XLOOKUP(Pipeline_tbl[[#This Row],[Created_Date]],Dim_Date!A:A,Dim_Date!H:H)</f>
        <v>Jul 2024</v>
      </c>
      <c r="T3990" t="str">
        <f>IF(Pipeline_tbl[[#This Row],[Closed_Date]]=0,"",(_xlfn.XLOOKUP(Pipeline_tbl[[#This Row],[Closed_Date]],Dim_Date!A:A,Dim_Date!H:H)))</f>
        <v>Aug 2024</v>
      </c>
      <c r="U3990">
        <f>IF(Pipeline_tbl[[#This Row],[Closed_Date]]=0,"",Pipeline_tbl[[#This Row],[Closed_Date]]-Pipeline_tbl[[#This Row],[Created_Date]])</f>
        <v>23</v>
      </c>
    </row>
    <row r="3991" spans="1:21" ht="15" customHeight="1" x14ac:dyDescent="0.2">
      <c r="A3991" t="s">
        <v>4297</v>
      </c>
      <c r="B3991" t="s">
        <v>221</v>
      </c>
      <c r="C3991" t="s">
        <v>55</v>
      </c>
      <c r="D3991" s="49">
        <v>45495</v>
      </c>
      <c r="E3991" s="49">
        <v>45497</v>
      </c>
      <c r="F3991" s="49">
        <v>45502</v>
      </c>
      <c r="G3991" s="49">
        <v>45509</v>
      </c>
      <c r="H3991" s="49">
        <v>45515</v>
      </c>
      <c r="I3991" s="49">
        <v>45518</v>
      </c>
      <c r="J3991" t="s">
        <v>49</v>
      </c>
      <c r="K3991" s="33">
        <v>3600</v>
      </c>
      <c r="L3991" t="s">
        <v>63</v>
      </c>
      <c r="M3991" t="str">
        <f>_xlfn.XLOOKUP(Pipeline_tbl[[#This Row],[Rep_ID]],Dim_Reps!A:A,Dim_Reps!K:K)</f>
        <v>MXN</v>
      </c>
      <c r="N3991" s="33">
        <f>(_xlfn.XLOOKUP(Pipeline_tbl[[#This Row],[Rate_Code_Generalized]],Lookups!A:A,Lookups!B:B))*Pipeline_tbl[[#This Row],[Pipeline_Amount_USD]]</f>
        <v>71037.72</v>
      </c>
      <c r="O3991" t="str">
        <f>_xlfn.XLOOKUP(Pipeline_tbl[[#This Row],[Rep_ID]],Dim_Reps!A:A,Dim_Reps!B:B)</f>
        <v>Casey Muller</v>
      </c>
      <c r="P3991" t="str">
        <f>_xlfn.XLOOKUP(Pipeline_tbl[[#This Row],[Rep_ID]],Dim_Reps!A:A,Dim_Reps!C:C)</f>
        <v>SDR / Inside Sales Rep</v>
      </c>
      <c r="Q3991" t="str">
        <f>_xlfn.XLOOKUP(Pipeline_tbl[[#This Row],[Rep_ID]],Dim_Reps!A:A,Dim_Reps!D:D)</f>
        <v>Inside Sales</v>
      </c>
      <c r="R3991" t="str">
        <f>_xlfn.XLOOKUP(Pipeline_tbl[[#This Row],[Rep_ID]],Dim_Reps!A:A,Dim_Reps!E:E)</f>
        <v>LATAM</v>
      </c>
      <c r="S3991" t="str">
        <f>_xlfn.XLOOKUP(Pipeline_tbl[[#This Row],[Created_Date]],Dim_Date!A:A,Dim_Date!H:H)</f>
        <v>Jul 2024</v>
      </c>
      <c r="T3991" t="str">
        <f>IF(Pipeline_tbl[[#This Row],[Closed_Date]]=0,"",(_xlfn.XLOOKUP(Pipeline_tbl[[#This Row],[Closed_Date]],Dim_Date!A:A,Dim_Date!H:H)))</f>
        <v>Aug 2024</v>
      </c>
      <c r="U3991">
        <f>IF(Pipeline_tbl[[#This Row],[Closed_Date]]=0,"",Pipeline_tbl[[#This Row],[Closed_Date]]-Pipeline_tbl[[#This Row],[Created_Date]])</f>
        <v>23</v>
      </c>
    </row>
    <row r="3992" spans="1:21" ht="15" customHeight="1" x14ac:dyDescent="0.2">
      <c r="A3992" t="s">
        <v>4298</v>
      </c>
      <c r="B3992" t="s">
        <v>221</v>
      </c>
      <c r="C3992" t="s">
        <v>54</v>
      </c>
      <c r="D3992" s="49">
        <v>45499</v>
      </c>
      <c r="E3992" s="49">
        <v>45501</v>
      </c>
      <c r="F3992" s="49">
        <v>45504</v>
      </c>
      <c r="G3992" s="49">
        <v>45508</v>
      </c>
      <c r="H3992" s="49">
        <v>45512</v>
      </c>
      <c r="I3992" s="49">
        <v>45514</v>
      </c>
      <c r="J3992" t="s">
        <v>47</v>
      </c>
      <c r="K3992" s="33">
        <v>3100</v>
      </c>
      <c r="M3992" t="str">
        <f>_xlfn.XLOOKUP(Pipeline_tbl[[#This Row],[Rep_ID]],Dim_Reps!A:A,Dim_Reps!K:K)</f>
        <v>MXN</v>
      </c>
      <c r="N3992" s="33">
        <f>(_xlfn.XLOOKUP(Pipeline_tbl[[#This Row],[Rate_Code_Generalized]],Lookups!A:A,Lookups!B:B))*Pipeline_tbl[[#This Row],[Pipeline_Amount_USD]]</f>
        <v>61171.37</v>
      </c>
      <c r="O3992" t="str">
        <f>_xlfn.XLOOKUP(Pipeline_tbl[[#This Row],[Rep_ID]],Dim_Reps!A:A,Dim_Reps!B:B)</f>
        <v>Casey Muller</v>
      </c>
      <c r="P3992" t="str">
        <f>_xlfn.XLOOKUP(Pipeline_tbl[[#This Row],[Rep_ID]],Dim_Reps!A:A,Dim_Reps!C:C)</f>
        <v>SDR / Inside Sales Rep</v>
      </c>
      <c r="Q3992" t="str">
        <f>_xlfn.XLOOKUP(Pipeline_tbl[[#This Row],[Rep_ID]],Dim_Reps!A:A,Dim_Reps!D:D)</f>
        <v>Inside Sales</v>
      </c>
      <c r="R3992" t="str">
        <f>_xlfn.XLOOKUP(Pipeline_tbl[[#This Row],[Rep_ID]],Dim_Reps!A:A,Dim_Reps!E:E)</f>
        <v>LATAM</v>
      </c>
      <c r="S3992" t="str">
        <f>_xlfn.XLOOKUP(Pipeline_tbl[[#This Row],[Created_Date]],Dim_Date!A:A,Dim_Date!H:H)</f>
        <v>Jul 2024</v>
      </c>
      <c r="T3992" t="str">
        <f>IF(Pipeline_tbl[[#This Row],[Closed_Date]]=0,"",(_xlfn.XLOOKUP(Pipeline_tbl[[#This Row],[Closed_Date]],Dim_Date!A:A,Dim_Date!H:H)))</f>
        <v>Aug 2024</v>
      </c>
      <c r="U3992">
        <f>IF(Pipeline_tbl[[#This Row],[Closed_Date]]=0,"",Pipeline_tbl[[#This Row],[Closed_Date]]-Pipeline_tbl[[#This Row],[Created_Date]])</f>
        <v>15</v>
      </c>
    </row>
    <row r="3993" spans="1:21" ht="15" customHeight="1" x14ac:dyDescent="0.2">
      <c r="A3993" t="s">
        <v>4299</v>
      </c>
      <c r="B3993" t="s">
        <v>221</v>
      </c>
      <c r="C3993" t="s">
        <v>55</v>
      </c>
      <c r="D3993" s="49">
        <v>45497</v>
      </c>
      <c r="E3993" s="49">
        <v>45499</v>
      </c>
      <c r="F3993" s="49">
        <v>45503</v>
      </c>
      <c r="I3993" s="49">
        <v>45516</v>
      </c>
      <c r="J3993" t="s">
        <v>49</v>
      </c>
      <c r="K3993" s="33">
        <v>2900</v>
      </c>
      <c r="L3993" t="s">
        <v>62</v>
      </c>
      <c r="M3993" t="str">
        <f>_xlfn.XLOOKUP(Pipeline_tbl[[#This Row],[Rep_ID]],Dim_Reps!A:A,Dim_Reps!K:K)</f>
        <v>MXN</v>
      </c>
      <c r="N3993" s="33">
        <f>(_xlfn.XLOOKUP(Pipeline_tbl[[#This Row],[Rate_Code_Generalized]],Lookups!A:A,Lookups!B:B))*Pipeline_tbl[[#This Row],[Pipeline_Amount_USD]]</f>
        <v>57224.83</v>
      </c>
      <c r="O3993" t="str">
        <f>_xlfn.XLOOKUP(Pipeline_tbl[[#This Row],[Rep_ID]],Dim_Reps!A:A,Dim_Reps!B:B)</f>
        <v>Casey Muller</v>
      </c>
      <c r="P3993" t="str">
        <f>_xlfn.XLOOKUP(Pipeline_tbl[[#This Row],[Rep_ID]],Dim_Reps!A:A,Dim_Reps!C:C)</f>
        <v>SDR / Inside Sales Rep</v>
      </c>
      <c r="Q3993" t="str">
        <f>_xlfn.XLOOKUP(Pipeline_tbl[[#This Row],[Rep_ID]],Dim_Reps!A:A,Dim_Reps!D:D)</f>
        <v>Inside Sales</v>
      </c>
      <c r="R3993" t="str">
        <f>_xlfn.XLOOKUP(Pipeline_tbl[[#This Row],[Rep_ID]],Dim_Reps!A:A,Dim_Reps!E:E)</f>
        <v>LATAM</v>
      </c>
      <c r="S3993" t="str">
        <f>_xlfn.XLOOKUP(Pipeline_tbl[[#This Row],[Created_Date]],Dim_Date!A:A,Dim_Date!H:H)</f>
        <v>Jul 2024</v>
      </c>
      <c r="T3993" t="str">
        <f>IF(Pipeline_tbl[[#This Row],[Closed_Date]]=0,"",(_xlfn.XLOOKUP(Pipeline_tbl[[#This Row],[Closed_Date]],Dim_Date!A:A,Dim_Date!H:H)))</f>
        <v>Aug 2024</v>
      </c>
      <c r="U3993">
        <f>IF(Pipeline_tbl[[#This Row],[Closed_Date]]=0,"",Pipeline_tbl[[#This Row],[Closed_Date]]-Pipeline_tbl[[#This Row],[Created_Date]])</f>
        <v>19</v>
      </c>
    </row>
    <row r="3994" spans="1:21" ht="15" customHeight="1" x14ac:dyDescent="0.2">
      <c r="A3994" t="s">
        <v>4300</v>
      </c>
      <c r="B3994" t="s">
        <v>221</v>
      </c>
      <c r="C3994" t="s">
        <v>56</v>
      </c>
      <c r="D3994" s="49">
        <v>45486</v>
      </c>
      <c r="E3994" s="49">
        <v>45488</v>
      </c>
      <c r="F3994" s="49">
        <v>45492</v>
      </c>
      <c r="G3994" s="49">
        <v>45498</v>
      </c>
      <c r="H3994" s="49">
        <v>45503</v>
      </c>
      <c r="I3994" s="49">
        <v>45506</v>
      </c>
      <c r="J3994" t="s">
        <v>47</v>
      </c>
      <c r="K3994" s="33">
        <v>2600</v>
      </c>
      <c r="M3994" t="str">
        <f>_xlfn.XLOOKUP(Pipeline_tbl[[#This Row],[Rep_ID]],Dim_Reps!A:A,Dim_Reps!K:K)</f>
        <v>MXN</v>
      </c>
      <c r="N3994" s="33">
        <f>(_xlfn.XLOOKUP(Pipeline_tbl[[#This Row],[Rate_Code_Generalized]],Lookups!A:A,Lookups!B:B))*Pipeline_tbl[[#This Row],[Pipeline_Amount_USD]]</f>
        <v>51305.020000000004</v>
      </c>
      <c r="O3994" t="str">
        <f>_xlfn.XLOOKUP(Pipeline_tbl[[#This Row],[Rep_ID]],Dim_Reps!A:A,Dim_Reps!B:B)</f>
        <v>Casey Muller</v>
      </c>
      <c r="P3994" t="str">
        <f>_xlfn.XLOOKUP(Pipeline_tbl[[#This Row],[Rep_ID]],Dim_Reps!A:A,Dim_Reps!C:C)</f>
        <v>SDR / Inside Sales Rep</v>
      </c>
      <c r="Q3994" t="str">
        <f>_xlfn.XLOOKUP(Pipeline_tbl[[#This Row],[Rep_ID]],Dim_Reps!A:A,Dim_Reps!D:D)</f>
        <v>Inside Sales</v>
      </c>
      <c r="R3994" t="str">
        <f>_xlfn.XLOOKUP(Pipeline_tbl[[#This Row],[Rep_ID]],Dim_Reps!A:A,Dim_Reps!E:E)</f>
        <v>LATAM</v>
      </c>
      <c r="S3994" t="str">
        <f>_xlfn.XLOOKUP(Pipeline_tbl[[#This Row],[Created_Date]],Dim_Date!A:A,Dim_Date!H:H)</f>
        <v>Jul 2024</v>
      </c>
      <c r="T3994" t="str">
        <f>IF(Pipeline_tbl[[#This Row],[Closed_Date]]=0,"",(_xlfn.XLOOKUP(Pipeline_tbl[[#This Row],[Closed_Date]],Dim_Date!A:A,Dim_Date!H:H)))</f>
        <v>Aug 2024</v>
      </c>
      <c r="U3994">
        <f>IF(Pipeline_tbl[[#This Row],[Closed_Date]]=0,"",Pipeline_tbl[[#This Row],[Closed_Date]]-Pipeline_tbl[[#This Row],[Created_Date]])</f>
        <v>20</v>
      </c>
    </row>
    <row r="3995" spans="1:21" ht="15" customHeight="1" x14ac:dyDescent="0.2">
      <c r="A3995" t="s">
        <v>4301</v>
      </c>
      <c r="B3995" t="s">
        <v>221</v>
      </c>
      <c r="C3995" t="s">
        <v>53</v>
      </c>
      <c r="D3995" s="49">
        <v>45500</v>
      </c>
      <c r="E3995" s="49">
        <v>45502</v>
      </c>
      <c r="F3995" s="49">
        <v>45507</v>
      </c>
      <c r="G3995" s="49">
        <v>45514</v>
      </c>
      <c r="H3995" s="49">
        <v>45520</v>
      </c>
      <c r="I3995" s="49">
        <v>45523</v>
      </c>
      <c r="J3995" t="s">
        <v>49</v>
      </c>
      <c r="K3995" s="33">
        <v>7300</v>
      </c>
      <c r="L3995" t="s">
        <v>61</v>
      </c>
      <c r="M3995" t="str">
        <f>_xlfn.XLOOKUP(Pipeline_tbl[[#This Row],[Rep_ID]],Dim_Reps!A:A,Dim_Reps!K:K)</f>
        <v>MXN</v>
      </c>
      <c r="N3995" s="33">
        <f>(_xlfn.XLOOKUP(Pipeline_tbl[[#This Row],[Rate_Code_Generalized]],Lookups!A:A,Lookups!B:B))*Pipeline_tbl[[#This Row],[Pipeline_Amount_USD]]</f>
        <v>144048.71000000002</v>
      </c>
      <c r="O3995" t="str">
        <f>_xlfn.XLOOKUP(Pipeline_tbl[[#This Row],[Rep_ID]],Dim_Reps!A:A,Dim_Reps!B:B)</f>
        <v>Casey Muller</v>
      </c>
      <c r="P3995" t="str">
        <f>_xlfn.XLOOKUP(Pipeline_tbl[[#This Row],[Rep_ID]],Dim_Reps!A:A,Dim_Reps!C:C)</f>
        <v>SDR / Inside Sales Rep</v>
      </c>
      <c r="Q3995" t="str">
        <f>_xlfn.XLOOKUP(Pipeline_tbl[[#This Row],[Rep_ID]],Dim_Reps!A:A,Dim_Reps!D:D)</f>
        <v>Inside Sales</v>
      </c>
      <c r="R3995" t="str">
        <f>_xlfn.XLOOKUP(Pipeline_tbl[[#This Row],[Rep_ID]],Dim_Reps!A:A,Dim_Reps!E:E)</f>
        <v>LATAM</v>
      </c>
      <c r="S3995" t="str">
        <f>_xlfn.XLOOKUP(Pipeline_tbl[[#This Row],[Created_Date]],Dim_Date!A:A,Dim_Date!H:H)</f>
        <v>Jul 2024</v>
      </c>
      <c r="T3995" t="str">
        <f>IF(Pipeline_tbl[[#This Row],[Closed_Date]]=0,"",(_xlfn.XLOOKUP(Pipeline_tbl[[#This Row],[Closed_Date]],Dim_Date!A:A,Dim_Date!H:H)))</f>
        <v>Aug 2024</v>
      </c>
      <c r="U3995">
        <f>IF(Pipeline_tbl[[#This Row],[Closed_Date]]=0,"",Pipeline_tbl[[#This Row],[Closed_Date]]-Pipeline_tbl[[#This Row],[Created_Date]])</f>
        <v>23</v>
      </c>
    </row>
    <row r="3996" spans="1:21" ht="15" customHeight="1" x14ac:dyDescent="0.2">
      <c r="A3996" t="s">
        <v>4302</v>
      </c>
      <c r="B3996" t="s">
        <v>259</v>
      </c>
      <c r="C3996" t="s">
        <v>53</v>
      </c>
      <c r="D3996" s="49">
        <v>45488</v>
      </c>
      <c r="E3996" s="49">
        <v>45492</v>
      </c>
      <c r="F3996" s="49">
        <v>45500</v>
      </c>
      <c r="G3996" s="49">
        <v>45513</v>
      </c>
      <c r="I3996" s="49">
        <v>45529</v>
      </c>
      <c r="J3996" t="s">
        <v>49</v>
      </c>
      <c r="K3996" s="33">
        <v>11400</v>
      </c>
      <c r="L3996" t="s">
        <v>60</v>
      </c>
      <c r="M3996" t="str">
        <f>_xlfn.XLOOKUP(Pipeline_tbl[[#This Row],[Rep_ID]],Dim_Reps!A:A,Dim_Reps!K:K)</f>
        <v>EUR</v>
      </c>
      <c r="N3996" s="33">
        <f>(_xlfn.XLOOKUP(Pipeline_tbl[[#This Row],[Rate_Code_Generalized]],Lookups!A:A,Lookups!B:B))*Pipeline_tbl[[#This Row],[Pipeline_Amount_USD]]</f>
        <v>11400</v>
      </c>
      <c r="O3996" t="str">
        <f>_xlfn.XLOOKUP(Pipeline_tbl[[#This Row],[Rep_ID]],Dim_Reps!A:A,Dim_Reps!B:B)</f>
        <v>Felix Okafor</v>
      </c>
      <c r="P3996" t="str">
        <f>_xlfn.XLOOKUP(Pipeline_tbl[[#This Row],[Rep_ID]],Dim_Reps!A:A,Dim_Reps!C:C)</f>
        <v>Mid-Market AE</v>
      </c>
      <c r="Q3996" t="str">
        <f>_xlfn.XLOOKUP(Pipeline_tbl[[#This Row],[Rep_ID]],Dim_Reps!A:A,Dim_Reps!D:D)</f>
        <v>Mid-Market</v>
      </c>
      <c r="R3996" t="str">
        <f>_xlfn.XLOOKUP(Pipeline_tbl[[#This Row],[Rep_ID]],Dim_Reps!A:A,Dim_Reps!E:E)</f>
        <v>EMEA</v>
      </c>
      <c r="S3996" t="str">
        <f>_xlfn.XLOOKUP(Pipeline_tbl[[#This Row],[Created_Date]],Dim_Date!A:A,Dim_Date!H:H)</f>
        <v>Jul 2024</v>
      </c>
      <c r="T3996" t="str">
        <f>IF(Pipeline_tbl[[#This Row],[Closed_Date]]=0,"",(_xlfn.XLOOKUP(Pipeline_tbl[[#This Row],[Closed_Date]],Dim_Date!A:A,Dim_Date!H:H)))</f>
        <v>Aug 2024</v>
      </c>
      <c r="U3996">
        <f>IF(Pipeline_tbl[[#This Row],[Closed_Date]]=0,"",Pipeline_tbl[[#This Row],[Closed_Date]]-Pipeline_tbl[[#This Row],[Created_Date]])</f>
        <v>41</v>
      </c>
    </row>
    <row r="3997" spans="1:21" ht="15" customHeight="1" x14ac:dyDescent="0.2">
      <c r="A3997" t="s">
        <v>4303</v>
      </c>
      <c r="B3997" t="s">
        <v>259</v>
      </c>
      <c r="C3997" t="s">
        <v>55</v>
      </c>
      <c r="D3997" s="49">
        <v>45491</v>
      </c>
      <c r="E3997" s="49">
        <v>45495</v>
      </c>
      <c r="F3997" s="49">
        <v>45504</v>
      </c>
      <c r="I3997" s="49">
        <v>45534</v>
      </c>
      <c r="J3997" t="s">
        <v>49</v>
      </c>
      <c r="K3997" s="33">
        <v>11900</v>
      </c>
      <c r="L3997" t="s">
        <v>60</v>
      </c>
      <c r="M3997" t="str">
        <f>_xlfn.XLOOKUP(Pipeline_tbl[[#This Row],[Rep_ID]],Dim_Reps!A:A,Dim_Reps!K:K)</f>
        <v>EUR</v>
      </c>
      <c r="N3997" s="33">
        <f>(_xlfn.XLOOKUP(Pipeline_tbl[[#This Row],[Rate_Code_Generalized]],Lookups!A:A,Lookups!B:B))*Pipeline_tbl[[#This Row],[Pipeline_Amount_USD]]</f>
        <v>11900</v>
      </c>
      <c r="O3997" t="str">
        <f>_xlfn.XLOOKUP(Pipeline_tbl[[#This Row],[Rep_ID]],Dim_Reps!A:A,Dim_Reps!B:B)</f>
        <v>Felix Okafor</v>
      </c>
      <c r="P3997" t="str">
        <f>_xlfn.XLOOKUP(Pipeline_tbl[[#This Row],[Rep_ID]],Dim_Reps!A:A,Dim_Reps!C:C)</f>
        <v>Mid-Market AE</v>
      </c>
      <c r="Q3997" t="str">
        <f>_xlfn.XLOOKUP(Pipeline_tbl[[#This Row],[Rep_ID]],Dim_Reps!A:A,Dim_Reps!D:D)</f>
        <v>Mid-Market</v>
      </c>
      <c r="R3997" t="str">
        <f>_xlfn.XLOOKUP(Pipeline_tbl[[#This Row],[Rep_ID]],Dim_Reps!A:A,Dim_Reps!E:E)</f>
        <v>EMEA</v>
      </c>
      <c r="S3997" t="str">
        <f>_xlfn.XLOOKUP(Pipeline_tbl[[#This Row],[Created_Date]],Dim_Date!A:A,Dim_Date!H:H)</f>
        <v>Jul 2024</v>
      </c>
      <c r="T3997" t="str">
        <f>IF(Pipeline_tbl[[#This Row],[Closed_Date]]=0,"",(_xlfn.XLOOKUP(Pipeline_tbl[[#This Row],[Closed_Date]],Dim_Date!A:A,Dim_Date!H:H)))</f>
        <v>Aug 2024</v>
      </c>
      <c r="U3997">
        <f>IF(Pipeline_tbl[[#This Row],[Closed_Date]]=0,"",Pipeline_tbl[[#This Row],[Closed_Date]]-Pipeline_tbl[[#This Row],[Created_Date]])</f>
        <v>43</v>
      </c>
    </row>
    <row r="3998" spans="1:21" ht="15" customHeight="1" x14ac:dyDescent="0.2">
      <c r="A3998" t="s">
        <v>4304</v>
      </c>
      <c r="B3998" t="s">
        <v>259</v>
      </c>
      <c r="C3998" t="s">
        <v>52</v>
      </c>
      <c r="D3998" s="49">
        <v>45494</v>
      </c>
      <c r="E3998" s="49">
        <v>45497</v>
      </c>
      <c r="F3998" s="49">
        <v>45503</v>
      </c>
      <c r="G3998" s="49">
        <v>45511</v>
      </c>
      <c r="I3998" s="49">
        <v>45523</v>
      </c>
      <c r="J3998" t="s">
        <v>49</v>
      </c>
      <c r="K3998" s="33">
        <v>10600</v>
      </c>
      <c r="L3998" t="s">
        <v>64</v>
      </c>
      <c r="M3998" t="str">
        <f>_xlfn.XLOOKUP(Pipeline_tbl[[#This Row],[Rep_ID]],Dim_Reps!A:A,Dim_Reps!K:K)</f>
        <v>EUR</v>
      </c>
      <c r="N3998" s="33">
        <f>(_xlfn.XLOOKUP(Pipeline_tbl[[#This Row],[Rate_Code_Generalized]],Lookups!A:A,Lookups!B:B))*Pipeline_tbl[[#This Row],[Pipeline_Amount_USD]]</f>
        <v>10600</v>
      </c>
      <c r="O3998" t="str">
        <f>_xlfn.XLOOKUP(Pipeline_tbl[[#This Row],[Rep_ID]],Dim_Reps!A:A,Dim_Reps!B:B)</f>
        <v>Felix Okafor</v>
      </c>
      <c r="P3998" t="str">
        <f>_xlfn.XLOOKUP(Pipeline_tbl[[#This Row],[Rep_ID]],Dim_Reps!A:A,Dim_Reps!C:C)</f>
        <v>Mid-Market AE</v>
      </c>
      <c r="Q3998" t="str">
        <f>_xlfn.XLOOKUP(Pipeline_tbl[[#This Row],[Rep_ID]],Dim_Reps!A:A,Dim_Reps!D:D)</f>
        <v>Mid-Market</v>
      </c>
      <c r="R3998" t="str">
        <f>_xlfn.XLOOKUP(Pipeline_tbl[[#This Row],[Rep_ID]],Dim_Reps!A:A,Dim_Reps!E:E)</f>
        <v>EMEA</v>
      </c>
      <c r="S3998" t="str">
        <f>_xlfn.XLOOKUP(Pipeline_tbl[[#This Row],[Created_Date]],Dim_Date!A:A,Dim_Date!H:H)</f>
        <v>Jul 2024</v>
      </c>
      <c r="T3998" t="str">
        <f>IF(Pipeline_tbl[[#This Row],[Closed_Date]]=0,"",(_xlfn.XLOOKUP(Pipeline_tbl[[#This Row],[Closed_Date]],Dim_Date!A:A,Dim_Date!H:H)))</f>
        <v>Aug 2024</v>
      </c>
      <c r="U3998">
        <f>IF(Pipeline_tbl[[#This Row],[Closed_Date]]=0,"",Pipeline_tbl[[#This Row],[Closed_Date]]-Pipeline_tbl[[#This Row],[Created_Date]])</f>
        <v>29</v>
      </c>
    </row>
    <row r="3999" spans="1:21" ht="15" customHeight="1" x14ac:dyDescent="0.2">
      <c r="A3999" t="s">
        <v>4305</v>
      </c>
      <c r="B3999" t="s">
        <v>259</v>
      </c>
      <c r="C3999" t="s">
        <v>53</v>
      </c>
      <c r="D3999" s="49">
        <v>45485</v>
      </c>
      <c r="E3999" s="49">
        <v>45488</v>
      </c>
      <c r="F3999" s="49">
        <v>45494</v>
      </c>
      <c r="G3999" s="49">
        <v>45504</v>
      </c>
      <c r="H3999" s="49">
        <v>45511</v>
      </c>
      <c r="I3999" s="49">
        <v>45516</v>
      </c>
      <c r="J3999" t="s">
        <v>47</v>
      </c>
      <c r="K3999" s="33">
        <v>31900</v>
      </c>
      <c r="M3999" t="str">
        <f>_xlfn.XLOOKUP(Pipeline_tbl[[#This Row],[Rep_ID]],Dim_Reps!A:A,Dim_Reps!K:K)</f>
        <v>EUR</v>
      </c>
      <c r="N3999" s="33">
        <f>(_xlfn.XLOOKUP(Pipeline_tbl[[#This Row],[Rate_Code_Generalized]],Lookups!A:A,Lookups!B:B))*Pipeline_tbl[[#This Row],[Pipeline_Amount_USD]]</f>
        <v>31900</v>
      </c>
      <c r="O3999" t="str">
        <f>_xlfn.XLOOKUP(Pipeline_tbl[[#This Row],[Rep_ID]],Dim_Reps!A:A,Dim_Reps!B:B)</f>
        <v>Felix Okafor</v>
      </c>
      <c r="P3999" t="str">
        <f>_xlfn.XLOOKUP(Pipeline_tbl[[#This Row],[Rep_ID]],Dim_Reps!A:A,Dim_Reps!C:C)</f>
        <v>Mid-Market AE</v>
      </c>
      <c r="Q3999" t="str">
        <f>_xlfn.XLOOKUP(Pipeline_tbl[[#This Row],[Rep_ID]],Dim_Reps!A:A,Dim_Reps!D:D)</f>
        <v>Mid-Market</v>
      </c>
      <c r="R3999" t="str">
        <f>_xlfn.XLOOKUP(Pipeline_tbl[[#This Row],[Rep_ID]],Dim_Reps!A:A,Dim_Reps!E:E)</f>
        <v>EMEA</v>
      </c>
      <c r="S3999" t="str">
        <f>_xlfn.XLOOKUP(Pipeline_tbl[[#This Row],[Created_Date]],Dim_Date!A:A,Dim_Date!H:H)</f>
        <v>Jul 2024</v>
      </c>
      <c r="T3999" t="str">
        <f>IF(Pipeline_tbl[[#This Row],[Closed_Date]]=0,"",(_xlfn.XLOOKUP(Pipeline_tbl[[#This Row],[Closed_Date]],Dim_Date!A:A,Dim_Date!H:H)))</f>
        <v>Aug 2024</v>
      </c>
      <c r="U3999">
        <f>IF(Pipeline_tbl[[#This Row],[Closed_Date]]=0,"",Pipeline_tbl[[#This Row],[Closed_Date]]-Pipeline_tbl[[#This Row],[Created_Date]])</f>
        <v>31</v>
      </c>
    </row>
    <row r="4000" spans="1:21" ht="15" customHeight="1" x14ac:dyDescent="0.2">
      <c r="A4000" t="s">
        <v>4306</v>
      </c>
      <c r="B4000" t="s">
        <v>225</v>
      </c>
      <c r="C4000" t="s">
        <v>53</v>
      </c>
      <c r="D4000" s="49">
        <v>45482</v>
      </c>
      <c r="E4000" s="49">
        <v>45484</v>
      </c>
      <c r="F4000" s="49">
        <v>45490</v>
      </c>
      <c r="G4000" s="49">
        <v>45497</v>
      </c>
      <c r="H4000" s="49">
        <v>45503</v>
      </c>
      <c r="I4000" s="49">
        <v>45507</v>
      </c>
      <c r="J4000" t="s">
        <v>47</v>
      </c>
      <c r="K4000" s="33">
        <v>4400</v>
      </c>
      <c r="M4000" t="str">
        <f>_xlfn.XLOOKUP(Pipeline_tbl[[#This Row],[Rep_ID]],Dim_Reps!A:A,Dim_Reps!K:K)</f>
        <v>USD</v>
      </c>
      <c r="N4000" s="33">
        <f>(_xlfn.XLOOKUP(Pipeline_tbl[[#This Row],[Rate_Code_Generalized]],Lookups!A:A,Lookups!B:B))*Pipeline_tbl[[#This Row],[Pipeline_Amount_USD]]</f>
        <v>5122.9199999999992</v>
      </c>
      <c r="O4000" t="str">
        <f>_xlfn.XLOOKUP(Pipeline_tbl[[#This Row],[Rep_ID]],Dim_Reps!A:A,Dim_Reps!B:B)</f>
        <v>Alex Muller</v>
      </c>
      <c r="P4000" t="str">
        <f>_xlfn.XLOOKUP(Pipeline_tbl[[#This Row],[Rep_ID]],Dim_Reps!A:A,Dim_Reps!C:C)</f>
        <v>SDR / Inside Sales Rep</v>
      </c>
      <c r="Q4000" t="str">
        <f>_xlfn.XLOOKUP(Pipeline_tbl[[#This Row],[Rep_ID]],Dim_Reps!A:A,Dim_Reps!D:D)</f>
        <v>Inside Sales</v>
      </c>
      <c r="R4000" t="str">
        <f>_xlfn.XLOOKUP(Pipeline_tbl[[#This Row],[Rep_ID]],Dim_Reps!A:A,Dim_Reps!E:E)</f>
        <v>NAMER</v>
      </c>
      <c r="S4000" t="str">
        <f>_xlfn.XLOOKUP(Pipeline_tbl[[#This Row],[Created_Date]],Dim_Date!A:A,Dim_Date!H:H)</f>
        <v>Jul 2024</v>
      </c>
      <c r="T4000" t="str">
        <f>IF(Pipeline_tbl[[#This Row],[Closed_Date]]=0,"",(_xlfn.XLOOKUP(Pipeline_tbl[[#This Row],[Closed_Date]],Dim_Date!A:A,Dim_Date!H:H)))</f>
        <v>Aug 2024</v>
      </c>
      <c r="U4000">
        <f>IF(Pipeline_tbl[[#This Row],[Closed_Date]]=0,"",Pipeline_tbl[[#This Row],[Closed_Date]]-Pipeline_tbl[[#This Row],[Created_Date]])</f>
        <v>25</v>
      </c>
    </row>
    <row r="4001" spans="1:21" ht="15" customHeight="1" x14ac:dyDescent="0.2">
      <c r="A4001" t="s">
        <v>4307</v>
      </c>
      <c r="B4001" t="s">
        <v>225</v>
      </c>
      <c r="C4001" t="s">
        <v>54</v>
      </c>
      <c r="D4001" s="49">
        <v>45486</v>
      </c>
      <c r="E4001" s="49">
        <v>45489</v>
      </c>
      <c r="F4001" s="49">
        <v>45495</v>
      </c>
      <c r="G4001" s="49">
        <v>45504</v>
      </c>
      <c r="H4001" s="49">
        <v>45512</v>
      </c>
      <c r="I4001" s="49">
        <v>45516</v>
      </c>
      <c r="J4001" t="s">
        <v>49</v>
      </c>
      <c r="K4001" s="33">
        <v>1800</v>
      </c>
      <c r="L4001" t="s">
        <v>60</v>
      </c>
      <c r="M4001" t="str">
        <f>_xlfn.XLOOKUP(Pipeline_tbl[[#This Row],[Rep_ID]],Dim_Reps!A:A,Dim_Reps!K:K)</f>
        <v>USD</v>
      </c>
      <c r="N4001" s="33">
        <f>(_xlfn.XLOOKUP(Pipeline_tbl[[#This Row],[Rate_Code_Generalized]],Lookups!A:A,Lookups!B:B))*Pipeline_tbl[[#This Row],[Pipeline_Amount_USD]]</f>
        <v>2095.7399999999998</v>
      </c>
      <c r="O4001" t="str">
        <f>_xlfn.XLOOKUP(Pipeline_tbl[[#This Row],[Rep_ID]],Dim_Reps!A:A,Dim_Reps!B:B)</f>
        <v>Alex Muller</v>
      </c>
      <c r="P4001" t="str">
        <f>_xlfn.XLOOKUP(Pipeline_tbl[[#This Row],[Rep_ID]],Dim_Reps!A:A,Dim_Reps!C:C)</f>
        <v>SDR / Inside Sales Rep</v>
      </c>
      <c r="Q4001" t="str">
        <f>_xlfn.XLOOKUP(Pipeline_tbl[[#This Row],[Rep_ID]],Dim_Reps!A:A,Dim_Reps!D:D)</f>
        <v>Inside Sales</v>
      </c>
      <c r="R4001" t="str">
        <f>_xlfn.XLOOKUP(Pipeline_tbl[[#This Row],[Rep_ID]],Dim_Reps!A:A,Dim_Reps!E:E)</f>
        <v>NAMER</v>
      </c>
      <c r="S4001" t="str">
        <f>_xlfn.XLOOKUP(Pipeline_tbl[[#This Row],[Created_Date]],Dim_Date!A:A,Dim_Date!H:H)</f>
        <v>Jul 2024</v>
      </c>
      <c r="T4001" t="str">
        <f>IF(Pipeline_tbl[[#This Row],[Closed_Date]]=0,"",(_xlfn.XLOOKUP(Pipeline_tbl[[#This Row],[Closed_Date]],Dim_Date!A:A,Dim_Date!H:H)))</f>
        <v>Aug 2024</v>
      </c>
      <c r="U4001">
        <f>IF(Pipeline_tbl[[#This Row],[Closed_Date]]=0,"",Pipeline_tbl[[#This Row],[Closed_Date]]-Pipeline_tbl[[#This Row],[Created_Date]])</f>
        <v>30</v>
      </c>
    </row>
    <row r="4002" spans="1:21" ht="15" customHeight="1" x14ac:dyDescent="0.2">
      <c r="A4002" t="s">
        <v>4308</v>
      </c>
      <c r="B4002" t="s">
        <v>225</v>
      </c>
      <c r="C4002" t="s">
        <v>52</v>
      </c>
      <c r="D4002" s="49">
        <v>45496</v>
      </c>
      <c r="E4002" s="49">
        <v>45498</v>
      </c>
      <c r="F4002" s="49">
        <v>45502</v>
      </c>
      <c r="G4002" s="49">
        <v>45507</v>
      </c>
      <c r="H4002" s="49">
        <v>45512</v>
      </c>
      <c r="I4002" s="49">
        <v>45515</v>
      </c>
      <c r="J4002" t="s">
        <v>49</v>
      </c>
      <c r="K4002" s="33">
        <v>5400</v>
      </c>
      <c r="L4002" t="s">
        <v>62</v>
      </c>
      <c r="M4002" t="str">
        <f>_xlfn.XLOOKUP(Pipeline_tbl[[#This Row],[Rep_ID]],Dim_Reps!A:A,Dim_Reps!K:K)</f>
        <v>USD</v>
      </c>
      <c r="N4002" s="33">
        <f>(_xlfn.XLOOKUP(Pipeline_tbl[[#This Row],[Rate_Code_Generalized]],Lookups!A:A,Lookups!B:B))*Pipeline_tbl[[#This Row],[Pipeline_Amount_USD]]</f>
        <v>6287.2199999999993</v>
      </c>
      <c r="O4002" t="str">
        <f>_xlfn.XLOOKUP(Pipeline_tbl[[#This Row],[Rep_ID]],Dim_Reps!A:A,Dim_Reps!B:B)</f>
        <v>Alex Muller</v>
      </c>
      <c r="P4002" t="str">
        <f>_xlfn.XLOOKUP(Pipeline_tbl[[#This Row],[Rep_ID]],Dim_Reps!A:A,Dim_Reps!C:C)</f>
        <v>SDR / Inside Sales Rep</v>
      </c>
      <c r="Q4002" t="str">
        <f>_xlfn.XLOOKUP(Pipeline_tbl[[#This Row],[Rep_ID]],Dim_Reps!A:A,Dim_Reps!D:D)</f>
        <v>Inside Sales</v>
      </c>
      <c r="R4002" t="str">
        <f>_xlfn.XLOOKUP(Pipeline_tbl[[#This Row],[Rep_ID]],Dim_Reps!A:A,Dim_Reps!E:E)</f>
        <v>NAMER</v>
      </c>
      <c r="S4002" t="str">
        <f>_xlfn.XLOOKUP(Pipeline_tbl[[#This Row],[Created_Date]],Dim_Date!A:A,Dim_Date!H:H)</f>
        <v>Jul 2024</v>
      </c>
      <c r="T4002" t="str">
        <f>IF(Pipeline_tbl[[#This Row],[Closed_Date]]=0,"",(_xlfn.XLOOKUP(Pipeline_tbl[[#This Row],[Closed_Date]],Dim_Date!A:A,Dim_Date!H:H)))</f>
        <v>Aug 2024</v>
      </c>
      <c r="U4002">
        <f>IF(Pipeline_tbl[[#This Row],[Closed_Date]]=0,"",Pipeline_tbl[[#This Row],[Closed_Date]]-Pipeline_tbl[[#This Row],[Created_Date]])</f>
        <v>19</v>
      </c>
    </row>
    <row r="4003" spans="1:21" ht="15" customHeight="1" x14ac:dyDescent="0.2">
      <c r="A4003" t="s">
        <v>4309</v>
      </c>
      <c r="B4003" t="s">
        <v>225</v>
      </c>
      <c r="C4003" t="s">
        <v>52</v>
      </c>
      <c r="D4003" s="49">
        <v>45499</v>
      </c>
      <c r="E4003" s="49">
        <v>45501</v>
      </c>
      <c r="I4003" s="49">
        <v>45518</v>
      </c>
      <c r="J4003" t="s">
        <v>49</v>
      </c>
      <c r="K4003" s="33">
        <v>4300</v>
      </c>
      <c r="L4003" t="s">
        <v>60</v>
      </c>
      <c r="M4003" t="str">
        <f>_xlfn.XLOOKUP(Pipeline_tbl[[#This Row],[Rep_ID]],Dim_Reps!A:A,Dim_Reps!K:K)</f>
        <v>USD</v>
      </c>
      <c r="N4003" s="33">
        <f>(_xlfn.XLOOKUP(Pipeline_tbl[[#This Row],[Rate_Code_Generalized]],Lookups!A:A,Lookups!B:B))*Pipeline_tbl[[#This Row],[Pipeline_Amount_USD]]</f>
        <v>5006.49</v>
      </c>
      <c r="O4003" t="str">
        <f>_xlfn.XLOOKUP(Pipeline_tbl[[#This Row],[Rep_ID]],Dim_Reps!A:A,Dim_Reps!B:B)</f>
        <v>Alex Muller</v>
      </c>
      <c r="P4003" t="str">
        <f>_xlfn.XLOOKUP(Pipeline_tbl[[#This Row],[Rep_ID]],Dim_Reps!A:A,Dim_Reps!C:C)</f>
        <v>SDR / Inside Sales Rep</v>
      </c>
      <c r="Q4003" t="str">
        <f>_xlfn.XLOOKUP(Pipeline_tbl[[#This Row],[Rep_ID]],Dim_Reps!A:A,Dim_Reps!D:D)</f>
        <v>Inside Sales</v>
      </c>
      <c r="R4003" t="str">
        <f>_xlfn.XLOOKUP(Pipeline_tbl[[#This Row],[Rep_ID]],Dim_Reps!A:A,Dim_Reps!E:E)</f>
        <v>NAMER</v>
      </c>
      <c r="S4003" t="str">
        <f>_xlfn.XLOOKUP(Pipeline_tbl[[#This Row],[Created_Date]],Dim_Date!A:A,Dim_Date!H:H)</f>
        <v>Jul 2024</v>
      </c>
      <c r="T4003" t="str">
        <f>IF(Pipeline_tbl[[#This Row],[Closed_Date]]=0,"",(_xlfn.XLOOKUP(Pipeline_tbl[[#This Row],[Closed_Date]],Dim_Date!A:A,Dim_Date!H:H)))</f>
        <v>Aug 2024</v>
      </c>
      <c r="U4003">
        <f>IF(Pipeline_tbl[[#This Row],[Closed_Date]]=0,"",Pipeline_tbl[[#This Row],[Closed_Date]]-Pipeline_tbl[[#This Row],[Created_Date]])</f>
        <v>19</v>
      </c>
    </row>
    <row r="4004" spans="1:21" ht="15" customHeight="1" x14ac:dyDescent="0.2">
      <c r="A4004" t="s">
        <v>4310</v>
      </c>
      <c r="B4004" t="s">
        <v>225</v>
      </c>
      <c r="C4004" t="s">
        <v>52</v>
      </c>
      <c r="D4004" s="49">
        <v>45494</v>
      </c>
      <c r="E4004" s="49">
        <v>45495</v>
      </c>
      <c r="F4004" s="49">
        <v>45498</v>
      </c>
      <c r="G4004" s="49">
        <v>45501</v>
      </c>
      <c r="H4004" s="49">
        <v>45504</v>
      </c>
      <c r="I4004" s="49">
        <v>45506</v>
      </c>
      <c r="J4004" t="s">
        <v>47</v>
      </c>
      <c r="K4004" s="33">
        <v>3600</v>
      </c>
      <c r="M4004" t="str">
        <f>_xlfn.XLOOKUP(Pipeline_tbl[[#This Row],[Rep_ID]],Dim_Reps!A:A,Dim_Reps!K:K)</f>
        <v>USD</v>
      </c>
      <c r="N4004" s="33">
        <f>(_xlfn.XLOOKUP(Pipeline_tbl[[#This Row],[Rate_Code_Generalized]],Lookups!A:A,Lookups!B:B))*Pipeline_tbl[[#This Row],[Pipeline_Amount_USD]]</f>
        <v>4191.4799999999996</v>
      </c>
      <c r="O4004" t="str">
        <f>_xlfn.XLOOKUP(Pipeline_tbl[[#This Row],[Rep_ID]],Dim_Reps!A:A,Dim_Reps!B:B)</f>
        <v>Alex Muller</v>
      </c>
      <c r="P4004" t="str">
        <f>_xlfn.XLOOKUP(Pipeline_tbl[[#This Row],[Rep_ID]],Dim_Reps!A:A,Dim_Reps!C:C)</f>
        <v>SDR / Inside Sales Rep</v>
      </c>
      <c r="Q4004" t="str">
        <f>_xlfn.XLOOKUP(Pipeline_tbl[[#This Row],[Rep_ID]],Dim_Reps!A:A,Dim_Reps!D:D)</f>
        <v>Inside Sales</v>
      </c>
      <c r="R4004" t="str">
        <f>_xlfn.XLOOKUP(Pipeline_tbl[[#This Row],[Rep_ID]],Dim_Reps!A:A,Dim_Reps!E:E)</f>
        <v>NAMER</v>
      </c>
      <c r="S4004" t="str">
        <f>_xlfn.XLOOKUP(Pipeline_tbl[[#This Row],[Created_Date]],Dim_Date!A:A,Dim_Date!H:H)</f>
        <v>Jul 2024</v>
      </c>
      <c r="T4004" t="str">
        <f>IF(Pipeline_tbl[[#This Row],[Closed_Date]]=0,"",(_xlfn.XLOOKUP(Pipeline_tbl[[#This Row],[Closed_Date]],Dim_Date!A:A,Dim_Date!H:H)))</f>
        <v>Aug 2024</v>
      </c>
      <c r="U4004">
        <f>IF(Pipeline_tbl[[#This Row],[Closed_Date]]=0,"",Pipeline_tbl[[#This Row],[Closed_Date]]-Pipeline_tbl[[#This Row],[Created_Date]])</f>
        <v>12</v>
      </c>
    </row>
    <row r="4005" spans="1:21" ht="15" customHeight="1" x14ac:dyDescent="0.2">
      <c r="A4005" t="s">
        <v>4311</v>
      </c>
      <c r="B4005" t="s">
        <v>225</v>
      </c>
      <c r="C4005" t="s">
        <v>52</v>
      </c>
      <c r="D4005" s="49">
        <v>45497</v>
      </c>
      <c r="E4005" s="49">
        <v>45498</v>
      </c>
      <c r="F4005" s="49">
        <v>45501</v>
      </c>
      <c r="G4005" s="49">
        <v>45505</v>
      </c>
      <c r="H4005" s="49">
        <v>45509</v>
      </c>
      <c r="I4005" s="49">
        <v>45511</v>
      </c>
      <c r="J4005" t="s">
        <v>47</v>
      </c>
      <c r="K4005" s="33">
        <v>3300</v>
      </c>
      <c r="M4005" t="str">
        <f>_xlfn.XLOOKUP(Pipeline_tbl[[#This Row],[Rep_ID]],Dim_Reps!A:A,Dim_Reps!K:K)</f>
        <v>USD</v>
      </c>
      <c r="N4005" s="33">
        <f>(_xlfn.XLOOKUP(Pipeline_tbl[[#This Row],[Rate_Code_Generalized]],Lookups!A:A,Lookups!B:B))*Pipeline_tbl[[#This Row],[Pipeline_Amount_USD]]</f>
        <v>3842.1899999999996</v>
      </c>
      <c r="O4005" t="str">
        <f>_xlfn.XLOOKUP(Pipeline_tbl[[#This Row],[Rep_ID]],Dim_Reps!A:A,Dim_Reps!B:B)</f>
        <v>Alex Muller</v>
      </c>
      <c r="P4005" t="str">
        <f>_xlfn.XLOOKUP(Pipeline_tbl[[#This Row],[Rep_ID]],Dim_Reps!A:A,Dim_Reps!C:C)</f>
        <v>SDR / Inside Sales Rep</v>
      </c>
      <c r="Q4005" t="str">
        <f>_xlfn.XLOOKUP(Pipeline_tbl[[#This Row],[Rep_ID]],Dim_Reps!A:A,Dim_Reps!D:D)</f>
        <v>Inside Sales</v>
      </c>
      <c r="R4005" t="str">
        <f>_xlfn.XLOOKUP(Pipeline_tbl[[#This Row],[Rep_ID]],Dim_Reps!A:A,Dim_Reps!E:E)</f>
        <v>NAMER</v>
      </c>
      <c r="S4005" t="str">
        <f>_xlfn.XLOOKUP(Pipeline_tbl[[#This Row],[Created_Date]],Dim_Date!A:A,Dim_Date!H:H)</f>
        <v>Jul 2024</v>
      </c>
      <c r="T4005" t="str">
        <f>IF(Pipeline_tbl[[#This Row],[Closed_Date]]=0,"",(_xlfn.XLOOKUP(Pipeline_tbl[[#This Row],[Closed_Date]],Dim_Date!A:A,Dim_Date!H:H)))</f>
        <v>Aug 2024</v>
      </c>
      <c r="U4005">
        <f>IF(Pipeline_tbl[[#This Row],[Closed_Date]]=0,"",Pipeline_tbl[[#This Row],[Closed_Date]]-Pipeline_tbl[[#This Row],[Created_Date]])</f>
        <v>14</v>
      </c>
    </row>
    <row r="4006" spans="1:21" ht="15" customHeight="1" x14ac:dyDescent="0.2">
      <c r="A4006" t="s">
        <v>4312</v>
      </c>
      <c r="B4006" t="s">
        <v>227</v>
      </c>
      <c r="C4006" t="s">
        <v>52</v>
      </c>
      <c r="D4006" s="49">
        <v>45499</v>
      </c>
      <c r="E4006" s="49">
        <v>45501</v>
      </c>
      <c r="F4006" s="49">
        <v>45505</v>
      </c>
      <c r="G4006" s="49">
        <v>45510</v>
      </c>
      <c r="I4006" s="49">
        <v>45518</v>
      </c>
      <c r="J4006" t="s">
        <v>49</v>
      </c>
      <c r="K4006" s="33">
        <v>3800</v>
      </c>
      <c r="L4006" t="s">
        <v>62</v>
      </c>
      <c r="M4006" t="str">
        <f>_xlfn.XLOOKUP(Pipeline_tbl[[#This Row],[Rep_ID]],Dim_Reps!A:A,Dim_Reps!K:K)</f>
        <v>EUR</v>
      </c>
      <c r="N4006" s="33">
        <f>(_xlfn.XLOOKUP(Pipeline_tbl[[#This Row],[Rate_Code_Generalized]],Lookups!A:A,Lookups!B:B))*Pipeline_tbl[[#This Row],[Pipeline_Amount_USD]]</f>
        <v>3800</v>
      </c>
      <c r="O4006" t="str">
        <f>_xlfn.XLOOKUP(Pipeline_tbl[[#This Row],[Rep_ID]],Dim_Reps!A:A,Dim_Reps!B:B)</f>
        <v>Liam Muller</v>
      </c>
      <c r="P4006" t="str">
        <f>_xlfn.XLOOKUP(Pipeline_tbl[[#This Row],[Rep_ID]],Dim_Reps!A:A,Dim_Reps!C:C)</f>
        <v>SDR / Inside Sales Rep</v>
      </c>
      <c r="Q4006" t="str">
        <f>_xlfn.XLOOKUP(Pipeline_tbl[[#This Row],[Rep_ID]],Dim_Reps!A:A,Dim_Reps!D:D)</f>
        <v>Inside Sales</v>
      </c>
      <c r="R4006" t="str">
        <f>_xlfn.XLOOKUP(Pipeline_tbl[[#This Row],[Rep_ID]],Dim_Reps!A:A,Dim_Reps!E:E)</f>
        <v>EMEA</v>
      </c>
      <c r="S4006" t="str">
        <f>_xlfn.XLOOKUP(Pipeline_tbl[[#This Row],[Created_Date]],Dim_Date!A:A,Dim_Date!H:H)</f>
        <v>Jul 2024</v>
      </c>
      <c r="T4006" t="str">
        <f>IF(Pipeline_tbl[[#This Row],[Closed_Date]]=0,"",(_xlfn.XLOOKUP(Pipeline_tbl[[#This Row],[Closed_Date]],Dim_Date!A:A,Dim_Date!H:H)))</f>
        <v>Aug 2024</v>
      </c>
      <c r="U4006">
        <f>IF(Pipeline_tbl[[#This Row],[Closed_Date]]=0,"",Pipeline_tbl[[#This Row],[Closed_Date]]-Pipeline_tbl[[#This Row],[Created_Date]])</f>
        <v>19</v>
      </c>
    </row>
    <row r="4007" spans="1:21" ht="15" customHeight="1" x14ac:dyDescent="0.2">
      <c r="A4007" t="s">
        <v>4313</v>
      </c>
      <c r="B4007" t="s">
        <v>229</v>
      </c>
      <c r="C4007" t="s">
        <v>53</v>
      </c>
      <c r="D4007" s="49">
        <v>45499</v>
      </c>
      <c r="E4007" s="49">
        <v>45501</v>
      </c>
      <c r="F4007" s="49">
        <v>45504</v>
      </c>
      <c r="G4007" s="49">
        <v>45510</v>
      </c>
      <c r="H4007" s="49">
        <v>45514</v>
      </c>
      <c r="I4007" s="49">
        <v>45517</v>
      </c>
      <c r="J4007" t="s">
        <v>49</v>
      </c>
      <c r="K4007" s="33">
        <v>2200</v>
      </c>
      <c r="L4007" t="s">
        <v>62</v>
      </c>
      <c r="M4007" t="str">
        <f>_xlfn.XLOOKUP(Pipeline_tbl[[#This Row],[Rep_ID]],Dim_Reps!A:A,Dim_Reps!K:K)</f>
        <v>USD</v>
      </c>
      <c r="N4007" s="33">
        <f>(_xlfn.XLOOKUP(Pipeline_tbl[[#This Row],[Rate_Code_Generalized]],Lookups!A:A,Lookups!B:B))*Pipeline_tbl[[#This Row],[Pipeline_Amount_USD]]</f>
        <v>2561.4599999999996</v>
      </c>
      <c r="O4007" t="str">
        <f>_xlfn.XLOOKUP(Pipeline_tbl[[#This Row],[Rep_ID]],Dim_Reps!A:A,Dim_Reps!B:B)</f>
        <v>Liam Castro</v>
      </c>
      <c r="P4007" t="str">
        <f>_xlfn.XLOOKUP(Pipeline_tbl[[#This Row],[Rep_ID]],Dim_Reps!A:A,Dim_Reps!C:C)</f>
        <v>SDR / Inside Sales Rep</v>
      </c>
      <c r="Q4007" t="str">
        <f>_xlfn.XLOOKUP(Pipeline_tbl[[#This Row],[Rep_ID]],Dim_Reps!A:A,Dim_Reps!D:D)</f>
        <v>Inside Sales</v>
      </c>
      <c r="R4007" t="str">
        <f>_xlfn.XLOOKUP(Pipeline_tbl[[#This Row],[Rep_ID]],Dim_Reps!A:A,Dim_Reps!E:E)</f>
        <v>NAMER</v>
      </c>
      <c r="S4007" t="str">
        <f>_xlfn.XLOOKUP(Pipeline_tbl[[#This Row],[Created_Date]],Dim_Date!A:A,Dim_Date!H:H)</f>
        <v>Jul 2024</v>
      </c>
      <c r="T4007" t="str">
        <f>IF(Pipeline_tbl[[#This Row],[Closed_Date]]=0,"",(_xlfn.XLOOKUP(Pipeline_tbl[[#This Row],[Closed_Date]],Dim_Date!A:A,Dim_Date!H:H)))</f>
        <v>Aug 2024</v>
      </c>
      <c r="U4007">
        <f>IF(Pipeline_tbl[[#This Row],[Closed_Date]]=0,"",Pipeline_tbl[[#This Row],[Closed_Date]]-Pipeline_tbl[[#This Row],[Created_Date]])</f>
        <v>18</v>
      </c>
    </row>
    <row r="4008" spans="1:21" ht="15" customHeight="1" x14ac:dyDescent="0.2">
      <c r="A4008" t="s">
        <v>4314</v>
      </c>
      <c r="B4008" t="s">
        <v>229</v>
      </c>
      <c r="C4008" t="s">
        <v>52</v>
      </c>
      <c r="D4008" s="49">
        <v>45494</v>
      </c>
      <c r="E4008" s="49">
        <v>45496</v>
      </c>
      <c r="F4008" s="49">
        <v>45499</v>
      </c>
      <c r="G4008" s="49">
        <v>45504</v>
      </c>
      <c r="H4008" s="49">
        <v>45508</v>
      </c>
      <c r="I4008" s="49">
        <v>45511</v>
      </c>
      <c r="J4008" t="s">
        <v>47</v>
      </c>
      <c r="K4008" s="33">
        <v>2000</v>
      </c>
      <c r="M4008" t="str">
        <f>_xlfn.XLOOKUP(Pipeline_tbl[[#This Row],[Rep_ID]],Dim_Reps!A:A,Dim_Reps!K:K)</f>
        <v>USD</v>
      </c>
      <c r="N4008" s="33">
        <f>(_xlfn.XLOOKUP(Pipeline_tbl[[#This Row],[Rate_Code_Generalized]],Lookups!A:A,Lookups!B:B))*Pipeline_tbl[[#This Row],[Pipeline_Amount_USD]]</f>
        <v>2328.6</v>
      </c>
      <c r="O4008" t="str">
        <f>_xlfn.XLOOKUP(Pipeline_tbl[[#This Row],[Rep_ID]],Dim_Reps!A:A,Dim_Reps!B:B)</f>
        <v>Liam Castro</v>
      </c>
      <c r="P4008" t="str">
        <f>_xlfn.XLOOKUP(Pipeline_tbl[[#This Row],[Rep_ID]],Dim_Reps!A:A,Dim_Reps!C:C)</f>
        <v>SDR / Inside Sales Rep</v>
      </c>
      <c r="Q4008" t="str">
        <f>_xlfn.XLOOKUP(Pipeline_tbl[[#This Row],[Rep_ID]],Dim_Reps!A:A,Dim_Reps!D:D)</f>
        <v>Inside Sales</v>
      </c>
      <c r="R4008" t="str">
        <f>_xlfn.XLOOKUP(Pipeline_tbl[[#This Row],[Rep_ID]],Dim_Reps!A:A,Dim_Reps!E:E)</f>
        <v>NAMER</v>
      </c>
      <c r="S4008" t="str">
        <f>_xlfn.XLOOKUP(Pipeline_tbl[[#This Row],[Created_Date]],Dim_Date!A:A,Dim_Date!H:H)</f>
        <v>Jul 2024</v>
      </c>
      <c r="T4008" t="str">
        <f>IF(Pipeline_tbl[[#This Row],[Closed_Date]]=0,"",(_xlfn.XLOOKUP(Pipeline_tbl[[#This Row],[Closed_Date]],Dim_Date!A:A,Dim_Date!H:H)))</f>
        <v>Aug 2024</v>
      </c>
      <c r="U4008">
        <f>IF(Pipeline_tbl[[#This Row],[Closed_Date]]=0,"",Pipeline_tbl[[#This Row],[Closed_Date]]-Pipeline_tbl[[#This Row],[Created_Date]])</f>
        <v>17</v>
      </c>
    </row>
    <row r="4009" spans="1:21" ht="15" customHeight="1" x14ac:dyDescent="0.2">
      <c r="A4009" t="s">
        <v>4315</v>
      </c>
      <c r="B4009" t="s">
        <v>229</v>
      </c>
      <c r="C4009" t="s">
        <v>55</v>
      </c>
      <c r="D4009" s="49">
        <v>45491</v>
      </c>
      <c r="E4009" s="49">
        <v>45493</v>
      </c>
      <c r="I4009" s="49">
        <v>45514</v>
      </c>
      <c r="J4009" t="s">
        <v>49</v>
      </c>
      <c r="K4009" s="33">
        <v>2500</v>
      </c>
      <c r="L4009" t="s">
        <v>60</v>
      </c>
      <c r="M4009" t="str">
        <f>_xlfn.XLOOKUP(Pipeline_tbl[[#This Row],[Rep_ID]],Dim_Reps!A:A,Dim_Reps!K:K)</f>
        <v>USD</v>
      </c>
      <c r="N4009" s="33">
        <f>(_xlfn.XLOOKUP(Pipeline_tbl[[#This Row],[Rate_Code_Generalized]],Lookups!A:A,Lookups!B:B))*Pipeline_tbl[[#This Row],[Pipeline_Amount_USD]]</f>
        <v>2910.7499999999995</v>
      </c>
      <c r="O4009" t="str">
        <f>_xlfn.XLOOKUP(Pipeline_tbl[[#This Row],[Rep_ID]],Dim_Reps!A:A,Dim_Reps!B:B)</f>
        <v>Liam Castro</v>
      </c>
      <c r="P4009" t="str">
        <f>_xlfn.XLOOKUP(Pipeline_tbl[[#This Row],[Rep_ID]],Dim_Reps!A:A,Dim_Reps!C:C)</f>
        <v>SDR / Inside Sales Rep</v>
      </c>
      <c r="Q4009" t="str">
        <f>_xlfn.XLOOKUP(Pipeline_tbl[[#This Row],[Rep_ID]],Dim_Reps!A:A,Dim_Reps!D:D)</f>
        <v>Inside Sales</v>
      </c>
      <c r="R4009" t="str">
        <f>_xlfn.XLOOKUP(Pipeline_tbl[[#This Row],[Rep_ID]],Dim_Reps!A:A,Dim_Reps!E:E)</f>
        <v>NAMER</v>
      </c>
      <c r="S4009" t="str">
        <f>_xlfn.XLOOKUP(Pipeline_tbl[[#This Row],[Created_Date]],Dim_Date!A:A,Dim_Date!H:H)</f>
        <v>Jul 2024</v>
      </c>
      <c r="T4009" t="str">
        <f>IF(Pipeline_tbl[[#This Row],[Closed_Date]]=0,"",(_xlfn.XLOOKUP(Pipeline_tbl[[#This Row],[Closed_Date]],Dim_Date!A:A,Dim_Date!H:H)))</f>
        <v>Aug 2024</v>
      </c>
      <c r="U4009">
        <f>IF(Pipeline_tbl[[#This Row],[Closed_Date]]=0,"",Pipeline_tbl[[#This Row],[Closed_Date]]-Pipeline_tbl[[#This Row],[Created_Date]])</f>
        <v>23</v>
      </c>
    </row>
    <row r="4010" spans="1:21" ht="15" customHeight="1" x14ac:dyDescent="0.2">
      <c r="A4010" t="s">
        <v>4316</v>
      </c>
      <c r="B4010" t="s">
        <v>229</v>
      </c>
      <c r="C4010" t="s">
        <v>52</v>
      </c>
      <c r="D4010" s="49">
        <v>45493</v>
      </c>
      <c r="E4010" s="49">
        <v>45495</v>
      </c>
      <c r="F4010" s="49">
        <v>45499</v>
      </c>
      <c r="G4010" s="49">
        <v>45505</v>
      </c>
      <c r="H4010" s="49">
        <v>45510</v>
      </c>
      <c r="I4010" s="49">
        <v>45513</v>
      </c>
      <c r="J4010" t="s">
        <v>49</v>
      </c>
      <c r="K4010" s="33">
        <v>3300</v>
      </c>
      <c r="L4010" t="s">
        <v>60</v>
      </c>
      <c r="M4010" t="str">
        <f>_xlfn.XLOOKUP(Pipeline_tbl[[#This Row],[Rep_ID]],Dim_Reps!A:A,Dim_Reps!K:K)</f>
        <v>USD</v>
      </c>
      <c r="N4010" s="33">
        <f>(_xlfn.XLOOKUP(Pipeline_tbl[[#This Row],[Rate_Code_Generalized]],Lookups!A:A,Lookups!B:B))*Pipeline_tbl[[#This Row],[Pipeline_Amount_USD]]</f>
        <v>3842.1899999999996</v>
      </c>
      <c r="O4010" t="str">
        <f>_xlfn.XLOOKUP(Pipeline_tbl[[#This Row],[Rep_ID]],Dim_Reps!A:A,Dim_Reps!B:B)</f>
        <v>Liam Castro</v>
      </c>
      <c r="P4010" t="str">
        <f>_xlfn.XLOOKUP(Pipeline_tbl[[#This Row],[Rep_ID]],Dim_Reps!A:A,Dim_Reps!C:C)</f>
        <v>SDR / Inside Sales Rep</v>
      </c>
      <c r="Q4010" t="str">
        <f>_xlfn.XLOOKUP(Pipeline_tbl[[#This Row],[Rep_ID]],Dim_Reps!A:A,Dim_Reps!D:D)</f>
        <v>Inside Sales</v>
      </c>
      <c r="R4010" t="str">
        <f>_xlfn.XLOOKUP(Pipeline_tbl[[#This Row],[Rep_ID]],Dim_Reps!A:A,Dim_Reps!E:E)</f>
        <v>NAMER</v>
      </c>
      <c r="S4010" t="str">
        <f>_xlfn.XLOOKUP(Pipeline_tbl[[#This Row],[Created_Date]],Dim_Date!A:A,Dim_Date!H:H)</f>
        <v>Jul 2024</v>
      </c>
      <c r="T4010" t="str">
        <f>IF(Pipeline_tbl[[#This Row],[Closed_Date]]=0,"",(_xlfn.XLOOKUP(Pipeline_tbl[[#This Row],[Closed_Date]],Dim_Date!A:A,Dim_Date!H:H)))</f>
        <v>Aug 2024</v>
      </c>
      <c r="U4010">
        <f>IF(Pipeline_tbl[[#This Row],[Closed_Date]]=0,"",Pipeline_tbl[[#This Row],[Closed_Date]]-Pipeline_tbl[[#This Row],[Created_Date]])</f>
        <v>20</v>
      </c>
    </row>
    <row r="4011" spans="1:21" ht="15" customHeight="1" x14ac:dyDescent="0.2">
      <c r="A4011" t="s">
        <v>4317</v>
      </c>
      <c r="B4011" t="s">
        <v>229</v>
      </c>
      <c r="C4011" t="s">
        <v>55</v>
      </c>
      <c r="D4011" s="49">
        <v>45493</v>
      </c>
      <c r="E4011" s="49">
        <v>45495</v>
      </c>
      <c r="F4011" s="49">
        <v>45500</v>
      </c>
      <c r="I4011" s="49">
        <v>45515</v>
      </c>
      <c r="J4011" t="s">
        <v>49</v>
      </c>
      <c r="K4011" s="33">
        <v>3500</v>
      </c>
      <c r="L4011" t="s">
        <v>64</v>
      </c>
      <c r="M4011" t="str">
        <f>_xlfn.XLOOKUP(Pipeline_tbl[[#This Row],[Rep_ID]],Dim_Reps!A:A,Dim_Reps!K:K)</f>
        <v>USD</v>
      </c>
      <c r="N4011" s="33">
        <f>(_xlfn.XLOOKUP(Pipeline_tbl[[#This Row],[Rate_Code_Generalized]],Lookups!A:A,Lookups!B:B))*Pipeline_tbl[[#This Row],[Pipeline_Amount_USD]]</f>
        <v>4075.0499999999997</v>
      </c>
      <c r="O4011" t="str">
        <f>_xlfn.XLOOKUP(Pipeline_tbl[[#This Row],[Rep_ID]],Dim_Reps!A:A,Dim_Reps!B:B)</f>
        <v>Liam Castro</v>
      </c>
      <c r="P4011" t="str">
        <f>_xlfn.XLOOKUP(Pipeline_tbl[[#This Row],[Rep_ID]],Dim_Reps!A:A,Dim_Reps!C:C)</f>
        <v>SDR / Inside Sales Rep</v>
      </c>
      <c r="Q4011" t="str">
        <f>_xlfn.XLOOKUP(Pipeline_tbl[[#This Row],[Rep_ID]],Dim_Reps!A:A,Dim_Reps!D:D)</f>
        <v>Inside Sales</v>
      </c>
      <c r="R4011" t="str">
        <f>_xlfn.XLOOKUP(Pipeline_tbl[[#This Row],[Rep_ID]],Dim_Reps!A:A,Dim_Reps!E:E)</f>
        <v>NAMER</v>
      </c>
      <c r="S4011" t="str">
        <f>_xlfn.XLOOKUP(Pipeline_tbl[[#This Row],[Created_Date]],Dim_Date!A:A,Dim_Date!H:H)</f>
        <v>Jul 2024</v>
      </c>
      <c r="T4011" t="str">
        <f>IF(Pipeline_tbl[[#This Row],[Closed_Date]]=0,"",(_xlfn.XLOOKUP(Pipeline_tbl[[#This Row],[Closed_Date]],Dim_Date!A:A,Dim_Date!H:H)))</f>
        <v>Aug 2024</v>
      </c>
      <c r="U4011">
        <f>IF(Pipeline_tbl[[#This Row],[Closed_Date]]=0,"",Pipeline_tbl[[#This Row],[Closed_Date]]-Pipeline_tbl[[#This Row],[Created_Date]])</f>
        <v>22</v>
      </c>
    </row>
    <row r="4012" spans="1:21" ht="15" customHeight="1" x14ac:dyDescent="0.2">
      <c r="A4012" t="s">
        <v>4318</v>
      </c>
      <c r="B4012" t="s">
        <v>231</v>
      </c>
      <c r="C4012" t="s">
        <v>52</v>
      </c>
      <c r="D4012" s="49">
        <v>45504</v>
      </c>
      <c r="E4012" s="49">
        <v>45505</v>
      </c>
      <c r="I4012" s="49">
        <v>45514</v>
      </c>
      <c r="J4012" t="s">
        <v>49</v>
      </c>
      <c r="K4012" s="33">
        <v>1600</v>
      </c>
      <c r="L4012" t="s">
        <v>61</v>
      </c>
      <c r="M4012" t="str">
        <f>_xlfn.XLOOKUP(Pipeline_tbl[[#This Row],[Rep_ID]],Dim_Reps!A:A,Dim_Reps!K:K)</f>
        <v>MXN</v>
      </c>
      <c r="N4012" s="33">
        <f>(_xlfn.XLOOKUP(Pipeline_tbl[[#This Row],[Rate_Code_Generalized]],Lookups!A:A,Lookups!B:B))*Pipeline_tbl[[#This Row],[Pipeline_Amount_USD]]</f>
        <v>31572.320000000003</v>
      </c>
      <c r="O4012" t="str">
        <f>_xlfn.XLOOKUP(Pipeline_tbl[[#This Row],[Rep_ID]],Dim_Reps!A:A,Dim_Reps!B:B)</f>
        <v>Ben Silva</v>
      </c>
      <c r="P4012" t="str">
        <f>_xlfn.XLOOKUP(Pipeline_tbl[[#This Row],[Rep_ID]],Dim_Reps!A:A,Dim_Reps!C:C)</f>
        <v>SDR / Inside Sales Rep</v>
      </c>
      <c r="Q4012" t="str">
        <f>_xlfn.XLOOKUP(Pipeline_tbl[[#This Row],[Rep_ID]],Dim_Reps!A:A,Dim_Reps!D:D)</f>
        <v>Inside Sales</v>
      </c>
      <c r="R4012" t="str">
        <f>_xlfn.XLOOKUP(Pipeline_tbl[[#This Row],[Rep_ID]],Dim_Reps!A:A,Dim_Reps!E:E)</f>
        <v>LATAM</v>
      </c>
      <c r="S4012" t="str">
        <f>_xlfn.XLOOKUP(Pipeline_tbl[[#This Row],[Created_Date]],Dim_Date!A:A,Dim_Date!H:H)</f>
        <v>Jul 2024</v>
      </c>
      <c r="T4012" t="str">
        <f>IF(Pipeline_tbl[[#This Row],[Closed_Date]]=0,"",(_xlfn.XLOOKUP(Pipeline_tbl[[#This Row],[Closed_Date]],Dim_Date!A:A,Dim_Date!H:H)))</f>
        <v>Aug 2024</v>
      </c>
      <c r="U4012">
        <f>IF(Pipeline_tbl[[#This Row],[Closed_Date]]=0,"",Pipeline_tbl[[#This Row],[Closed_Date]]-Pipeline_tbl[[#This Row],[Created_Date]])</f>
        <v>10</v>
      </c>
    </row>
    <row r="4013" spans="1:21" ht="15" customHeight="1" x14ac:dyDescent="0.2">
      <c r="A4013" t="s">
        <v>4319</v>
      </c>
      <c r="B4013" t="s">
        <v>231</v>
      </c>
      <c r="C4013" t="s">
        <v>52</v>
      </c>
      <c r="D4013" s="49">
        <v>45502</v>
      </c>
      <c r="E4013" s="49">
        <v>45503</v>
      </c>
      <c r="F4013" s="49">
        <v>45505</v>
      </c>
      <c r="G4013" s="49">
        <v>45509</v>
      </c>
      <c r="H4013" s="49">
        <v>45511</v>
      </c>
      <c r="I4013" s="49">
        <v>45513</v>
      </c>
      <c r="J4013" t="s">
        <v>47</v>
      </c>
      <c r="K4013" s="33">
        <v>7500</v>
      </c>
      <c r="M4013" t="str">
        <f>_xlfn.XLOOKUP(Pipeline_tbl[[#This Row],[Rep_ID]],Dim_Reps!A:A,Dim_Reps!K:K)</f>
        <v>MXN</v>
      </c>
      <c r="N4013" s="33">
        <f>(_xlfn.XLOOKUP(Pipeline_tbl[[#This Row],[Rate_Code_Generalized]],Lookups!A:A,Lookups!B:B))*Pipeline_tbl[[#This Row],[Pipeline_Amount_USD]]</f>
        <v>147995.25</v>
      </c>
      <c r="O4013" t="str">
        <f>_xlfn.XLOOKUP(Pipeline_tbl[[#This Row],[Rep_ID]],Dim_Reps!A:A,Dim_Reps!B:B)</f>
        <v>Ben Silva</v>
      </c>
      <c r="P4013" t="str">
        <f>_xlfn.XLOOKUP(Pipeline_tbl[[#This Row],[Rep_ID]],Dim_Reps!A:A,Dim_Reps!C:C)</f>
        <v>SDR / Inside Sales Rep</v>
      </c>
      <c r="Q4013" t="str">
        <f>_xlfn.XLOOKUP(Pipeline_tbl[[#This Row],[Rep_ID]],Dim_Reps!A:A,Dim_Reps!D:D)</f>
        <v>Inside Sales</v>
      </c>
      <c r="R4013" t="str">
        <f>_xlfn.XLOOKUP(Pipeline_tbl[[#This Row],[Rep_ID]],Dim_Reps!A:A,Dim_Reps!E:E)</f>
        <v>LATAM</v>
      </c>
      <c r="S4013" t="str">
        <f>_xlfn.XLOOKUP(Pipeline_tbl[[#This Row],[Created_Date]],Dim_Date!A:A,Dim_Date!H:H)</f>
        <v>Jul 2024</v>
      </c>
      <c r="T4013" t="str">
        <f>IF(Pipeline_tbl[[#This Row],[Closed_Date]]=0,"",(_xlfn.XLOOKUP(Pipeline_tbl[[#This Row],[Closed_Date]],Dim_Date!A:A,Dim_Date!H:H)))</f>
        <v>Aug 2024</v>
      </c>
      <c r="U4013">
        <f>IF(Pipeline_tbl[[#This Row],[Closed_Date]]=0,"",Pipeline_tbl[[#This Row],[Closed_Date]]-Pipeline_tbl[[#This Row],[Created_Date]])</f>
        <v>11</v>
      </c>
    </row>
    <row r="4014" spans="1:21" ht="15" customHeight="1" x14ac:dyDescent="0.2">
      <c r="A4014" t="s">
        <v>4320</v>
      </c>
      <c r="B4014" t="s">
        <v>231</v>
      </c>
      <c r="C4014" t="s">
        <v>55</v>
      </c>
      <c r="D4014" s="49">
        <v>45488</v>
      </c>
      <c r="E4014" s="49">
        <v>45490</v>
      </c>
      <c r="F4014" s="49">
        <v>45494</v>
      </c>
      <c r="G4014" s="49">
        <v>45499</v>
      </c>
      <c r="H4014" s="49">
        <v>45504</v>
      </c>
      <c r="I4014" s="49">
        <v>45507</v>
      </c>
      <c r="J4014" t="s">
        <v>49</v>
      </c>
      <c r="K4014" s="33">
        <v>3000</v>
      </c>
      <c r="L4014" t="s">
        <v>60</v>
      </c>
      <c r="M4014" t="str">
        <f>_xlfn.XLOOKUP(Pipeline_tbl[[#This Row],[Rep_ID]],Dim_Reps!A:A,Dim_Reps!K:K)</f>
        <v>MXN</v>
      </c>
      <c r="N4014" s="33">
        <f>(_xlfn.XLOOKUP(Pipeline_tbl[[#This Row],[Rate_Code_Generalized]],Lookups!A:A,Lookups!B:B))*Pipeline_tbl[[#This Row],[Pipeline_Amount_USD]]</f>
        <v>59198.100000000006</v>
      </c>
      <c r="O4014" t="str">
        <f>_xlfn.XLOOKUP(Pipeline_tbl[[#This Row],[Rep_ID]],Dim_Reps!A:A,Dim_Reps!B:B)</f>
        <v>Ben Silva</v>
      </c>
      <c r="P4014" t="str">
        <f>_xlfn.XLOOKUP(Pipeline_tbl[[#This Row],[Rep_ID]],Dim_Reps!A:A,Dim_Reps!C:C)</f>
        <v>SDR / Inside Sales Rep</v>
      </c>
      <c r="Q4014" t="str">
        <f>_xlfn.XLOOKUP(Pipeline_tbl[[#This Row],[Rep_ID]],Dim_Reps!A:A,Dim_Reps!D:D)</f>
        <v>Inside Sales</v>
      </c>
      <c r="R4014" t="str">
        <f>_xlfn.XLOOKUP(Pipeline_tbl[[#This Row],[Rep_ID]],Dim_Reps!A:A,Dim_Reps!E:E)</f>
        <v>LATAM</v>
      </c>
      <c r="S4014" t="str">
        <f>_xlfn.XLOOKUP(Pipeline_tbl[[#This Row],[Created_Date]],Dim_Date!A:A,Dim_Date!H:H)</f>
        <v>Jul 2024</v>
      </c>
      <c r="T4014" t="str">
        <f>IF(Pipeline_tbl[[#This Row],[Closed_Date]]=0,"",(_xlfn.XLOOKUP(Pipeline_tbl[[#This Row],[Closed_Date]],Dim_Date!A:A,Dim_Date!H:H)))</f>
        <v>Aug 2024</v>
      </c>
      <c r="U4014">
        <f>IF(Pipeline_tbl[[#This Row],[Closed_Date]]=0,"",Pipeline_tbl[[#This Row],[Closed_Date]]-Pipeline_tbl[[#This Row],[Created_Date]])</f>
        <v>19</v>
      </c>
    </row>
    <row r="4015" spans="1:21" ht="15" customHeight="1" x14ac:dyDescent="0.2">
      <c r="A4015" t="s">
        <v>4321</v>
      </c>
      <c r="B4015" t="s">
        <v>231</v>
      </c>
      <c r="C4015" t="s">
        <v>52</v>
      </c>
      <c r="D4015" s="49">
        <v>45501</v>
      </c>
      <c r="E4015" s="49">
        <v>45503</v>
      </c>
      <c r="F4015" s="49">
        <v>45506</v>
      </c>
      <c r="G4015" s="49">
        <v>45511</v>
      </c>
      <c r="H4015" s="49">
        <v>45515</v>
      </c>
      <c r="I4015" s="49">
        <v>45517</v>
      </c>
      <c r="J4015" t="s">
        <v>47</v>
      </c>
      <c r="K4015" s="33">
        <v>4600</v>
      </c>
      <c r="M4015" t="str">
        <f>_xlfn.XLOOKUP(Pipeline_tbl[[#This Row],[Rep_ID]],Dim_Reps!A:A,Dim_Reps!K:K)</f>
        <v>MXN</v>
      </c>
      <c r="N4015" s="33">
        <f>(_xlfn.XLOOKUP(Pipeline_tbl[[#This Row],[Rate_Code_Generalized]],Lookups!A:A,Lookups!B:B))*Pipeline_tbl[[#This Row],[Pipeline_Amount_USD]]</f>
        <v>90770.420000000013</v>
      </c>
      <c r="O4015" t="str">
        <f>_xlfn.XLOOKUP(Pipeline_tbl[[#This Row],[Rep_ID]],Dim_Reps!A:A,Dim_Reps!B:B)</f>
        <v>Ben Silva</v>
      </c>
      <c r="P4015" t="str">
        <f>_xlfn.XLOOKUP(Pipeline_tbl[[#This Row],[Rep_ID]],Dim_Reps!A:A,Dim_Reps!C:C)</f>
        <v>SDR / Inside Sales Rep</v>
      </c>
      <c r="Q4015" t="str">
        <f>_xlfn.XLOOKUP(Pipeline_tbl[[#This Row],[Rep_ID]],Dim_Reps!A:A,Dim_Reps!D:D)</f>
        <v>Inside Sales</v>
      </c>
      <c r="R4015" t="str">
        <f>_xlfn.XLOOKUP(Pipeline_tbl[[#This Row],[Rep_ID]],Dim_Reps!A:A,Dim_Reps!E:E)</f>
        <v>LATAM</v>
      </c>
      <c r="S4015" t="str">
        <f>_xlfn.XLOOKUP(Pipeline_tbl[[#This Row],[Created_Date]],Dim_Date!A:A,Dim_Date!H:H)</f>
        <v>Jul 2024</v>
      </c>
      <c r="T4015" t="str">
        <f>IF(Pipeline_tbl[[#This Row],[Closed_Date]]=0,"",(_xlfn.XLOOKUP(Pipeline_tbl[[#This Row],[Closed_Date]],Dim_Date!A:A,Dim_Date!H:H)))</f>
        <v>Aug 2024</v>
      </c>
      <c r="U4015">
        <f>IF(Pipeline_tbl[[#This Row],[Closed_Date]]=0,"",Pipeline_tbl[[#This Row],[Closed_Date]]-Pipeline_tbl[[#This Row],[Created_Date]])</f>
        <v>16</v>
      </c>
    </row>
    <row r="4016" spans="1:21" ht="15" customHeight="1" x14ac:dyDescent="0.2">
      <c r="A4016" t="s">
        <v>4322</v>
      </c>
      <c r="B4016" t="s">
        <v>231</v>
      </c>
      <c r="C4016" t="s">
        <v>52</v>
      </c>
      <c r="D4016" s="49">
        <v>45498</v>
      </c>
      <c r="E4016" s="49">
        <v>45500</v>
      </c>
      <c r="I4016" s="49">
        <v>45516</v>
      </c>
      <c r="J4016" t="s">
        <v>49</v>
      </c>
      <c r="K4016" s="33">
        <v>7800</v>
      </c>
      <c r="L4016" t="s">
        <v>61</v>
      </c>
      <c r="M4016" t="str">
        <f>_xlfn.XLOOKUP(Pipeline_tbl[[#This Row],[Rep_ID]],Dim_Reps!A:A,Dim_Reps!K:K)</f>
        <v>MXN</v>
      </c>
      <c r="N4016" s="33">
        <f>(_xlfn.XLOOKUP(Pipeline_tbl[[#This Row],[Rate_Code_Generalized]],Lookups!A:A,Lookups!B:B))*Pipeline_tbl[[#This Row],[Pipeline_Amount_USD]]</f>
        <v>153915.06</v>
      </c>
      <c r="O4016" t="str">
        <f>_xlfn.XLOOKUP(Pipeline_tbl[[#This Row],[Rep_ID]],Dim_Reps!A:A,Dim_Reps!B:B)</f>
        <v>Ben Silva</v>
      </c>
      <c r="P4016" t="str">
        <f>_xlfn.XLOOKUP(Pipeline_tbl[[#This Row],[Rep_ID]],Dim_Reps!A:A,Dim_Reps!C:C)</f>
        <v>SDR / Inside Sales Rep</v>
      </c>
      <c r="Q4016" t="str">
        <f>_xlfn.XLOOKUP(Pipeline_tbl[[#This Row],[Rep_ID]],Dim_Reps!A:A,Dim_Reps!D:D)</f>
        <v>Inside Sales</v>
      </c>
      <c r="R4016" t="str">
        <f>_xlfn.XLOOKUP(Pipeline_tbl[[#This Row],[Rep_ID]],Dim_Reps!A:A,Dim_Reps!E:E)</f>
        <v>LATAM</v>
      </c>
      <c r="S4016" t="str">
        <f>_xlfn.XLOOKUP(Pipeline_tbl[[#This Row],[Created_Date]],Dim_Date!A:A,Dim_Date!H:H)</f>
        <v>Jul 2024</v>
      </c>
      <c r="T4016" t="str">
        <f>IF(Pipeline_tbl[[#This Row],[Closed_Date]]=0,"",(_xlfn.XLOOKUP(Pipeline_tbl[[#This Row],[Closed_Date]],Dim_Date!A:A,Dim_Date!H:H)))</f>
        <v>Aug 2024</v>
      </c>
      <c r="U4016">
        <f>IF(Pipeline_tbl[[#This Row],[Closed_Date]]=0,"",Pipeline_tbl[[#This Row],[Closed_Date]]-Pipeline_tbl[[#This Row],[Created_Date]])</f>
        <v>18</v>
      </c>
    </row>
    <row r="4017" spans="1:21" ht="15" customHeight="1" x14ac:dyDescent="0.2">
      <c r="A4017" t="s">
        <v>4323</v>
      </c>
      <c r="B4017" t="s">
        <v>231</v>
      </c>
      <c r="C4017" t="s">
        <v>52</v>
      </c>
      <c r="D4017" s="49">
        <v>45501</v>
      </c>
      <c r="E4017" s="49">
        <v>45502</v>
      </c>
      <c r="F4017" s="49">
        <v>45505</v>
      </c>
      <c r="G4017" s="49">
        <v>45509</v>
      </c>
      <c r="H4017" s="49">
        <v>45512</v>
      </c>
      <c r="I4017" s="49">
        <v>45514</v>
      </c>
      <c r="J4017" t="s">
        <v>47</v>
      </c>
      <c r="K4017" s="33">
        <v>3000</v>
      </c>
      <c r="M4017" t="str">
        <f>_xlfn.XLOOKUP(Pipeline_tbl[[#This Row],[Rep_ID]],Dim_Reps!A:A,Dim_Reps!K:K)</f>
        <v>MXN</v>
      </c>
      <c r="N4017" s="33">
        <f>(_xlfn.XLOOKUP(Pipeline_tbl[[#This Row],[Rate_Code_Generalized]],Lookups!A:A,Lookups!B:B))*Pipeline_tbl[[#This Row],[Pipeline_Amount_USD]]</f>
        <v>59198.100000000006</v>
      </c>
      <c r="O4017" t="str">
        <f>_xlfn.XLOOKUP(Pipeline_tbl[[#This Row],[Rep_ID]],Dim_Reps!A:A,Dim_Reps!B:B)</f>
        <v>Ben Silva</v>
      </c>
      <c r="P4017" t="str">
        <f>_xlfn.XLOOKUP(Pipeline_tbl[[#This Row],[Rep_ID]],Dim_Reps!A:A,Dim_Reps!C:C)</f>
        <v>SDR / Inside Sales Rep</v>
      </c>
      <c r="Q4017" t="str">
        <f>_xlfn.XLOOKUP(Pipeline_tbl[[#This Row],[Rep_ID]],Dim_Reps!A:A,Dim_Reps!D:D)</f>
        <v>Inside Sales</v>
      </c>
      <c r="R4017" t="str">
        <f>_xlfn.XLOOKUP(Pipeline_tbl[[#This Row],[Rep_ID]],Dim_Reps!A:A,Dim_Reps!E:E)</f>
        <v>LATAM</v>
      </c>
      <c r="S4017" t="str">
        <f>_xlfn.XLOOKUP(Pipeline_tbl[[#This Row],[Created_Date]],Dim_Date!A:A,Dim_Date!H:H)</f>
        <v>Jul 2024</v>
      </c>
      <c r="T4017" t="str">
        <f>IF(Pipeline_tbl[[#This Row],[Closed_Date]]=0,"",(_xlfn.XLOOKUP(Pipeline_tbl[[#This Row],[Closed_Date]],Dim_Date!A:A,Dim_Date!H:H)))</f>
        <v>Aug 2024</v>
      </c>
      <c r="U4017">
        <f>IF(Pipeline_tbl[[#This Row],[Closed_Date]]=0,"",Pipeline_tbl[[#This Row],[Closed_Date]]-Pipeline_tbl[[#This Row],[Created_Date]])</f>
        <v>13</v>
      </c>
    </row>
    <row r="4018" spans="1:21" ht="15" customHeight="1" x14ac:dyDescent="0.2">
      <c r="A4018" t="s">
        <v>4324</v>
      </c>
      <c r="B4018" t="s">
        <v>263</v>
      </c>
      <c r="C4018" t="s">
        <v>53</v>
      </c>
      <c r="D4018" s="49">
        <v>45487</v>
      </c>
      <c r="E4018" s="49">
        <v>45491</v>
      </c>
      <c r="F4018" s="49">
        <v>45500</v>
      </c>
      <c r="I4018" s="49">
        <v>45531</v>
      </c>
      <c r="J4018" t="s">
        <v>49</v>
      </c>
      <c r="K4018" s="33">
        <v>10100</v>
      </c>
      <c r="L4018" t="s">
        <v>60</v>
      </c>
      <c r="M4018" t="str">
        <f>_xlfn.XLOOKUP(Pipeline_tbl[[#This Row],[Rep_ID]],Dim_Reps!A:A,Dim_Reps!K:K)</f>
        <v>USD</v>
      </c>
      <c r="N4018" s="33">
        <f>(_xlfn.XLOOKUP(Pipeline_tbl[[#This Row],[Rate_Code_Generalized]],Lookups!A:A,Lookups!B:B))*Pipeline_tbl[[#This Row],[Pipeline_Amount_USD]]</f>
        <v>11759.429999999998</v>
      </c>
      <c r="O4018" t="str">
        <f>_xlfn.XLOOKUP(Pipeline_tbl[[#This Row],[Rep_ID]],Dim_Reps!A:A,Dim_Reps!B:B)</f>
        <v>Morgan Weber</v>
      </c>
      <c r="P4018" t="str">
        <f>_xlfn.XLOOKUP(Pipeline_tbl[[#This Row],[Rep_ID]],Dim_Reps!A:A,Dim_Reps!C:C)</f>
        <v>Mid-Market AE</v>
      </c>
      <c r="Q4018" t="str">
        <f>_xlfn.XLOOKUP(Pipeline_tbl[[#This Row],[Rep_ID]],Dim_Reps!A:A,Dim_Reps!D:D)</f>
        <v>Mid-Market</v>
      </c>
      <c r="R4018" t="str">
        <f>_xlfn.XLOOKUP(Pipeline_tbl[[#This Row],[Rep_ID]],Dim_Reps!A:A,Dim_Reps!E:E)</f>
        <v>NAMER</v>
      </c>
      <c r="S4018" t="str">
        <f>_xlfn.XLOOKUP(Pipeline_tbl[[#This Row],[Created_Date]],Dim_Date!A:A,Dim_Date!H:H)</f>
        <v>Jul 2024</v>
      </c>
      <c r="T4018" t="str">
        <f>IF(Pipeline_tbl[[#This Row],[Closed_Date]]=0,"",(_xlfn.XLOOKUP(Pipeline_tbl[[#This Row],[Closed_Date]],Dim_Date!A:A,Dim_Date!H:H)))</f>
        <v>Aug 2024</v>
      </c>
      <c r="U4018">
        <f>IF(Pipeline_tbl[[#This Row],[Closed_Date]]=0,"",Pipeline_tbl[[#This Row],[Closed_Date]]-Pipeline_tbl[[#This Row],[Created_Date]])</f>
        <v>44</v>
      </c>
    </row>
    <row r="4019" spans="1:21" ht="15" customHeight="1" x14ac:dyDescent="0.2">
      <c r="A4019" t="s">
        <v>4325</v>
      </c>
      <c r="B4019" t="s">
        <v>265</v>
      </c>
      <c r="C4019" t="s">
        <v>53</v>
      </c>
      <c r="D4019" s="49">
        <v>45496</v>
      </c>
      <c r="E4019" s="49">
        <v>45498</v>
      </c>
      <c r="F4019" s="49">
        <v>45502</v>
      </c>
      <c r="G4019" s="49">
        <v>45509</v>
      </c>
      <c r="I4019" s="49">
        <v>45517</v>
      </c>
      <c r="J4019" t="s">
        <v>49</v>
      </c>
      <c r="K4019" s="33">
        <v>18100</v>
      </c>
      <c r="L4019" t="s">
        <v>61</v>
      </c>
      <c r="M4019" t="str">
        <f>_xlfn.XLOOKUP(Pipeline_tbl[[#This Row],[Rep_ID]],Dim_Reps!A:A,Dim_Reps!K:K)</f>
        <v>EUR</v>
      </c>
      <c r="N4019" s="33">
        <f>(_xlfn.XLOOKUP(Pipeline_tbl[[#This Row],[Rate_Code_Generalized]],Lookups!A:A,Lookups!B:B))*Pipeline_tbl[[#This Row],[Pipeline_Amount_USD]]</f>
        <v>18100</v>
      </c>
      <c r="O4019" t="str">
        <f>_xlfn.XLOOKUP(Pipeline_tbl[[#This Row],[Rep_ID]],Dim_Reps!A:A,Dim_Reps!B:B)</f>
        <v>Erik Duarte</v>
      </c>
      <c r="P4019" t="str">
        <f>_xlfn.XLOOKUP(Pipeline_tbl[[#This Row],[Rep_ID]],Dim_Reps!A:A,Dim_Reps!C:C)</f>
        <v>Mid-Market AE</v>
      </c>
      <c r="Q4019" t="str">
        <f>_xlfn.XLOOKUP(Pipeline_tbl[[#This Row],[Rep_ID]],Dim_Reps!A:A,Dim_Reps!D:D)</f>
        <v>Mid-Market</v>
      </c>
      <c r="R4019" t="str">
        <f>_xlfn.XLOOKUP(Pipeline_tbl[[#This Row],[Rep_ID]],Dim_Reps!A:A,Dim_Reps!E:E)</f>
        <v>EMEA</v>
      </c>
      <c r="S4019" t="str">
        <f>_xlfn.XLOOKUP(Pipeline_tbl[[#This Row],[Created_Date]],Dim_Date!A:A,Dim_Date!H:H)</f>
        <v>Jul 2024</v>
      </c>
      <c r="T4019" t="str">
        <f>IF(Pipeline_tbl[[#This Row],[Closed_Date]]=0,"",(_xlfn.XLOOKUP(Pipeline_tbl[[#This Row],[Closed_Date]],Dim_Date!A:A,Dim_Date!H:H)))</f>
        <v>Aug 2024</v>
      </c>
      <c r="U4019">
        <f>IF(Pipeline_tbl[[#This Row],[Closed_Date]]=0,"",Pipeline_tbl[[#This Row],[Closed_Date]]-Pipeline_tbl[[#This Row],[Created_Date]])</f>
        <v>21</v>
      </c>
    </row>
    <row r="4020" spans="1:21" ht="15" customHeight="1" x14ac:dyDescent="0.2">
      <c r="A4020" t="s">
        <v>4326</v>
      </c>
      <c r="B4020" t="s">
        <v>265</v>
      </c>
      <c r="C4020" t="s">
        <v>53</v>
      </c>
      <c r="D4020" s="49">
        <v>45485</v>
      </c>
      <c r="E4020" s="49">
        <v>45489</v>
      </c>
      <c r="F4020" s="49">
        <v>45498</v>
      </c>
      <c r="G4020" s="49">
        <v>45511</v>
      </c>
      <c r="H4020" s="49">
        <v>45522</v>
      </c>
      <c r="I4020" s="49">
        <v>45528</v>
      </c>
      <c r="J4020" t="s">
        <v>49</v>
      </c>
      <c r="K4020" s="33">
        <v>15500</v>
      </c>
      <c r="L4020" t="s">
        <v>63</v>
      </c>
      <c r="M4020" t="str">
        <f>_xlfn.XLOOKUP(Pipeline_tbl[[#This Row],[Rep_ID]],Dim_Reps!A:A,Dim_Reps!K:K)</f>
        <v>EUR</v>
      </c>
      <c r="N4020" s="33">
        <f>(_xlfn.XLOOKUP(Pipeline_tbl[[#This Row],[Rate_Code_Generalized]],Lookups!A:A,Lookups!B:B))*Pipeline_tbl[[#This Row],[Pipeline_Amount_USD]]</f>
        <v>15500</v>
      </c>
      <c r="O4020" t="str">
        <f>_xlfn.XLOOKUP(Pipeline_tbl[[#This Row],[Rep_ID]],Dim_Reps!A:A,Dim_Reps!B:B)</f>
        <v>Erik Duarte</v>
      </c>
      <c r="P4020" t="str">
        <f>_xlfn.XLOOKUP(Pipeline_tbl[[#This Row],[Rep_ID]],Dim_Reps!A:A,Dim_Reps!C:C)</f>
        <v>Mid-Market AE</v>
      </c>
      <c r="Q4020" t="str">
        <f>_xlfn.XLOOKUP(Pipeline_tbl[[#This Row],[Rep_ID]],Dim_Reps!A:A,Dim_Reps!D:D)</f>
        <v>Mid-Market</v>
      </c>
      <c r="R4020" t="str">
        <f>_xlfn.XLOOKUP(Pipeline_tbl[[#This Row],[Rep_ID]],Dim_Reps!A:A,Dim_Reps!E:E)</f>
        <v>EMEA</v>
      </c>
      <c r="S4020" t="str">
        <f>_xlfn.XLOOKUP(Pipeline_tbl[[#This Row],[Created_Date]],Dim_Date!A:A,Dim_Date!H:H)</f>
        <v>Jul 2024</v>
      </c>
      <c r="T4020" t="str">
        <f>IF(Pipeline_tbl[[#This Row],[Closed_Date]]=0,"",(_xlfn.XLOOKUP(Pipeline_tbl[[#This Row],[Closed_Date]],Dim_Date!A:A,Dim_Date!H:H)))</f>
        <v>Aug 2024</v>
      </c>
      <c r="U4020">
        <f>IF(Pipeline_tbl[[#This Row],[Closed_Date]]=0,"",Pipeline_tbl[[#This Row],[Closed_Date]]-Pipeline_tbl[[#This Row],[Created_Date]])</f>
        <v>43</v>
      </c>
    </row>
    <row r="4021" spans="1:21" ht="15" customHeight="1" x14ac:dyDescent="0.2">
      <c r="A4021" t="s">
        <v>4327</v>
      </c>
      <c r="B4021" t="s">
        <v>265</v>
      </c>
      <c r="C4021" t="s">
        <v>53</v>
      </c>
      <c r="D4021" s="49">
        <v>45504</v>
      </c>
      <c r="E4021" s="49">
        <v>45507</v>
      </c>
      <c r="F4021" s="49">
        <v>45512</v>
      </c>
      <c r="G4021" s="49">
        <v>45520</v>
      </c>
      <c r="I4021" s="49">
        <v>45531</v>
      </c>
      <c r="J4021" t="s">
        <v>49</v>
      </c>
      <c r="K4021" s="33">
        <v>12600</v>
      </c>
      <c r="L4021" t="s">
        <v>61</v>
      </c>
      <c r="M4021" t="str">
        <f>_xlfn.XLOOKUP(Pipeline_tbl[[#This Row],[Rep_ID]],Dim_Reps!A:A,Dim_Reps!K:K)</f>
        <v>EUR</v>
      </c>
      <c r="N4021" s="33">
        <f>(_xlfn.XLOOKUP(Pipeline_tbl[[#This Row],[Rate_Code_Generalized]],Lookups!A:A,Lookups!B:B))*Pipeline_tbl[[#This Row],[Pipeline_Amount_USD]]</f>
        <v>12600</v>
      </c>
      <c r="O4021" t="str">
        <f>_xlfn.XLOOKUP(Pipeline_tbl[[#This Row],[Rep_ID]],Dim_Reps!A:A,Dim_Reps!B:B)</f>
        <v>Erik Duarte</v>
      </c>
      <c r="P4021" t="str">
        <f>_xlfn.XLOOKUP(Pipeline_tbl[[#This Row],[Rep_ID]],Dim_Reps!A:A,Dim_Reps!C:C)</f>
        <v>Mid-Market AE</v>
      </c>
      <c r="Q4021" t="str">
        <f>_xlfn.XLOOKUP(Pipeline_tbl[[#This Row],[Rep_ID]],Dim_Reps!A:A,Dim_Reps!D:D)</f>
        <v>Mid-Market</v>
      </c>
      <c r="R4021" t="str">
        <f>_xlfn.XLOOKUP(Pipeline_tbl[[#This Row],[Rep_ID]],Dim_Reps!A:A,Dim_Reps!E:E)</f>
        <v>EMEA</v>
      </c>
      <c r="S4021" t="str">
        <f>_xlfn.XLOOKUP(Pipeline_tbl[[#This Row],[Created_Date]],Dim_Date!A:A,Dim_Date!H:H)</f>
        <v>Jul 2024</v>
      </c>
      <c r="T4021" t="str">
        <f>IF(Pipeline_tbl[[#This Row],[Closed_Date]]=0,"",(_xlfn.XLOOKUP(Pipeline_tbl[[#This Row],[Closed_Date]],Dim_Date!A:A,Dim_Date!H:H)))</f>
        <v>Aug 2024</v>
      </c>
      <c r="U4021">
        <f>IF(Pipeline_tbl[[#This Row],[Closed_Date]]=0,"",Pipeline_tbl[[#This Row],[Closed_Date]]-Pipeline_tbl[[#This Row],[Created_Date]])</f>
        <v>27</v>
      </c>
    </row>
    <row r="4022" spans="1:21" ht="15" customHeight="1" x14ac:dyDescent="0.2">
      <c r="A4022" t="s">
        <v>4328</v>
      </c>
      <c r="B4022" t="s">
        <v>233</v>
      </c>
      <c r="C4022" t="s">
        <v>56</v>
      </c>
      <c r="D4022" s="49">
        <v>45497</v>
      </c>
      <c r="E4022" s="49">
        <v>45498</v>
      </c>
      <c r="F4022" s="49">
        <v>45501</v>
      </c>
      <c r="G4022" s="49">
        <v>45505</v>
      </c>
      <c r="H4022" s="49">
        <v>45508</v>
      </c>
      <c r="I4022" s="49">
        <v>45510</v>
      </c>
      <c r="J4022" t="s">
        <v>47</v>
      </c>
      <c r="K4022" s="33">
        <v>3700</v>
      </c>
      <c r="M4022" t="str">
        <f>_xlfn.XLOOKUP(Pipeline_tbl[[#This Row],[Rep_ID]],Dim_Reps!A:A,Dim_Reps!K:K)</f>
        <v>MXN</v>
      </c>
      <c r="N4022" s="33">
        <f>(_xlfn.XLOOKUP(Pipeline_tbl[[#This Row],[Rate_Code_Generalized]],Lookups!A:A,Lookups!B:B))*Pipeline_tbl[[#This Row],[Pipeline_Amount_USD]]</f>
        <v>73010.990000000005</v>
      </c>
      <c r="O4022" t="str">
        <f>_xlfn.XLOOKUP(Pipeline_tbl[[#This Row],[Rep_ID]],Dim_Reps!A:A,Dim_Reps!B:B)</f>
        <v>Lucas Duarte</v>
      </c>
      <c r="P4022" t="str">
        <f>_xlfn.XLOOKUP(Pipeline_tbl[[#This Row],[Rep_ID]],Dim_Reps!A:A,Dim_Reps!C:C)</f>
        <v>SDR / Inside Sales Rep</v>
      </c>
      <c r="Q4022" t="str">
        <f>_xlfn.XLOOKUP(Pipeline_tbl[[#This Row],[Rep_ID]],Dim_Reps!A:A,Dim_Reps!D:D)</f>
        <v>Inside Sales</v>
      </c>
      <c r="R4022" t="str">
        <f>_xlfn.XLOOKUP(Pipeline_tbl[[#This Row],[Rep_ID]],Dim_Reps!A:A,Dim_Reps!E:E)</f>
        <v>LATAM</v>
      </c>
      <c r="S4022" t="str">
        <f>_xlfn.XLOOKUP(Pipeline_tbl[[#This Row],[Created_Date]],Dim_Date!A:A,Dim_Date!H:H)</f>
        <v>Jul 2024</v>
      </c>
      <c r="T4022" t="str">
        <f>IF(Pipeline_tbl[[#This Row],[Closed_Date]]=0,"",(_xlfn.XLOOKUP(Pipeline_tbl[[#This Row],[Closed_Date]],Dim_Date!A:A,Dim_Date!H:H)))</f>
        <v>Aug 2024</v>
      </c>
      <c r="U4022">
        <f>IF(Pipeline_tbl[[#This Row],[Closed_Date]]=0,"",Pipeline_tbl[[#This Row],[Closed_Date]]-Pipeline_tbl[[#This Row],[Created_Date]])</f>
        <v>13</v>
      </c>
    </row>
    <row r="4023" spans="1:21" ht="15" customHeight="1" x14ac:dyDescent="0.2">
      <c r="A4023" t="s">
        <v>4329</v>
      </c>
      <c r="B4023" t="s">
        <v>233</v>
      </c>
      <c r="C4023" t="s">
        <v>52</v>
      </c>
      <c r="D4023" s="49">
        <v>45504</v>
      </c>
      <c r="E4023" s="49">
        <v>45506</v>
      </c>
      <c r="I4023" s="49">
        <v>45521</v>
      </c>
      <c r="J4023" t="s">
        <v>49</v>
      </c>
      <c r="K4023" s="33">
        <v>4600</v>
      </c>
      <c r="L4023" t="s">
        <v>61</v>
      </c>
      <c r="M4023" t="str">
        <f>_xlfn.XLOOKUP(Pipeline_tbl[[#This Row],[Rep_ID]],Dim_Reps!A:A,Dim_Reps!K:K)</f>
        <v>MXN</v>
      </c>
      <c r="N4023" s="33">
        <f>(_xlfn.XLOOKUP(Pipeline_tbl[[#This Row],[Rate_Code_Generalized]],Lookups!A:A,Lookups!B:B))*Pipeline_tbl[[#This Row],[Pipeline_Amount_USD]]</f>
        <v>90770.420000000013</v>
      </c>
      <c r="O4023" t="str">
        <f>_xlfn.XLOOKUP(Pipeline_tbl[[#This Row],[Rep_ID]],Dim_Reps!A:A,Dim_Reps!B:B)</f>
        <v>Lucas Duarte</v>
      </c>
      <c r="P4023" t="str">
        <f>_xlfn.XLOOKUP(Pipeline_tbl[[#This Row],[Rep_ID]],Dim_Reps!A:A,Dim_Reps!C:C)</f>
        <v>SDR / Inside Sales Rep</v>
      </c>
      <c r="Q4023" t="str">
        <f>_xlfn.XLOOKUP(Pipeline_tbl[[#This Row],[Rep_ID]],Dim_Reps!A:A,Dim_Reps!D:D)</f>
        <v>Inside Sales</v>
      </c>
      <c r="R4023" t="str">
        <f>_xlfn.XLOOKUP(Pipeline_tbl[[#This Row],[Rep_ID]],Dim_Reps!A:A,Dim_Reps!E:E)</f>
        <v>LATAM</v>
      </c>
      <c r="S4023" t="str">
        <f>_xlfn.XLOOKUP(Pipeline_tbl[[#This Row],[Created_Date]],Dim_Date!A:A,Dim_Date!H:H)</f>
        <v>Jul 2024</v>
      </c>
      <c r="T4023" t="str">
        <f>IF(Pipeline_tbl[[#This Row],[Closed_Date]]=0,"",(_xlfn.XLOOKUP(Pipeline_tbl[[#This Row],[Closed_Date]],Dim_Date!A:A,Dim_Date!H:H)))</f>
        <v>Aug 2024</v>
      </c>
      <c r="U4023">
        <f>IF(Pipeline_tbl[[#This Row],[Closed_Date]]=0,"",Pipeline_tbl[[#This Row],[Closed_Date]]-Pipeline_tbl[[#This Row],[Created_Date]])</f>
        <v>17</v>
      </c>
    </row>
    <row r="4024" spans="1:21" ht="15" customHeight="1" x14ac:dyDescent="0.2">
      <c r="A4024" t="s">
        <v>4330</v>
      </c>
      <c r="B4024" t="s">
        <v>233</v>
      </c>
      <c r="C4024" t="s">
        <v>52</v>
      </c>
      <c r="D4024" s="49">
        <v>45502</v>
      </c>
      <c r="E4024" s="49">
        <v>45504</v>
      </c>
      <c r="F4024" s="49">
        <v>45507</v>
      </c>
      <c r="G4024" s="49">
        <v>45511</v>
      </c>
      <c r="H4024" s="49">
        <v>45515</v>
      </c>
      <c r="I4024" s="49">
        <v>45517</v>
      </c>
      <c r="J4024" t="s">
        <v>47</v>
      </c>
      <c r="K4024" s="33">
        <v>2000</v>
      </c>
      <c r="M4024" t="str">
        <f>_xlfn.XLOOKUP(Pipeline_tbl[[#This Row],[Rep_ID]],Dim_Reps!A:A,Dim_Reps!K:K)</f>
        <v>MXN</v>
      </c>
      <c r="N4024" s="33">
        <f>(_xlfn.XLOOKUP(Pipeline_tbl[[#This Row],[Rate_Code_Generalized]],Lookups!A:A,Lookups!B:B))*Pipeline_tbl[[#This Row],[Pipeline_Amount_USD]]</f>
        <v>39465.4</v>
      </c>
      <c r="O4024" t="str">
        <f>_xlfn.XLOOKUP(Pipeline_tbl[[#This Row],[Rep_ID]],Dim_Reps!A:A,Dim_Reps!B:B)</f>
        <v>Lucas Duarte</v>
      </c>
      <c r="P4024" t="str">
        <f>_xlfn.XLOOKUP(Pipeline_tbl[[#This Row],[Rep_ID]],Dim_Reps!A:A,Dim_Reps!C:C)</f>
        <v>SDR / Inside Sales Rep</v>
      </c>
      <c r="Q4024" t="str">
        <f>_xlfn.XLOOKUP(Pipeline_tbl[[#This Row],[Rep_ID]],Dim_Reps!A:A,Dim_Reps!D:D)</f>
        <v>Inside Sales</v>
      </c>
      <c r="R4024" t="str">
        <f>_xlfn.XLOOKUP(Pipeline_tbl[[#This Row],[Rep_ID]],Dim_Reps!A:A,Dim_Reps!E:E)</f>
        <v>LATAM</v>
      </c>
      <c r="S4024" t="str">
        <f>_xlfn.XLOOKUP(Pipeline_tbl[[#This Row],[Created_Date]],Dim_Date!A:A,Dim_Date!H:H)</f>
        <v>Jul 2024</v>
      </c>
      <c r="T4024" t="str">
        <f>IF(Pipeline_tbl[[#This Row],[Closed_Date]]=0,"",(_xlfn.XLOOKUP(Pipeline_tbl[[#This Row],[Closed_Date]],Dim_Date!A:A,Dim_Date!H:H)))</f>
        <v>Aug 2024</v>
      </c>
      <c r="U4024">
        <f>IF(Pipeline_tbl[[#This Row],[Closed_Date]]=0,"",Pipeline_tbl[[#This Row],[Closed_Date]]-Pipeline_tbl[[#This Row],[Created_Date]])</f>
        <v>15</v>
      </c>
    </row>
    <row r="4025" spans="1:21" ht="15" customHeight="1" x14ac:dyDescent="0.2">
      <c r="A4025" t="s">
        <v>4331</v>
      </c>
      <c r="B4025" t="s">
        <v>233</v>
      </c>
      <c r="C4025" t="s">
        <v>52</v>
      </c>
      <c r="D4025" s="49">
        <v>45484</v>
      </c>
      <c r="E4025" s="49">
        <v>45486</v>
      </c>
      <c r="F4025" s="49">
        <v>45490</v>
      </c>
      <c r="G4025" s="49">
        <v>45497</v>
      </c>
      <c r="H4025" s="49">
        <v>45502</v>
      </c>
      <c r="I4025" s="49">
        <v>45505</v>
      </c>
      <c r="J4025" t="s">
        <v>47</v>
      </c>
      <c r="K4025" s="33">
        <v>3900</v>
      </c>
      <c r="M4025" t="str">
        <f>_xlfn.XLOOKUP(Pipeline_tbl[[#This Row],[Rep_ID]],Dim_Reps!A:A,Dim_Reps!K:K)</f>
        <v>MXN</v>
      </c>
      <c r="N4025" s="33">
        <f>(_xlfn.XLOOKUP(Pipeline_tbl[[#This Row],[Rate_Code_Generalized]],Lookups!A:A,Lookups!B:B))*Pipeline_tbl[[#This Row],[Pipeline_Amount_USD]]</f>
        <v>76957.53</v>
      </c>
      <c r="O4025" t="str">
        <f>_xlfn.XLOOKUP(Pipeline_tbl[[#This Row],[Rep_ID]],Dim_Reps!A:A,Dim_Reps!B:B)</f>
        <v>Lucas Duarte</v>
      </c>
      <c r="P4025" t="str">
        <f>_xlfn.XLOOKUP(Pipeline_tbl[[#This Row],[Rep_ID]],Dim_Reps!A:A,Dim_Reps!C:C)</f>
        <v>SDR / Inside Sales Rep</v>
      </c>
      <c r="Q4025" t="str">
        <f>_xlfn.XLOOKUP(Pipeline_tbl[[#This Row],[Rep_ID]],Dim_Reps!A:A,Dim_Reps!D:D)</f>
        <v>Inside Sales</v>
      </c>
      <c r="R4025" t="str">
        <f>_xlfn.XLOOKUP(Pipeline_tbl[[#This Row],[Rep_ID]],Dim_Reps!A:A,Dim_Reps!E:E)</f>
        <v>LATAM</v>
      </c>
      <c r="S4025" t="str">
        <f>_xlfn.XLOOKUP(Pipeline_tbl[[#This Row],[Created_Date]],Dim_Date!A:A,Dim_Date!H:H)</f>
        <v>Jul 2024</v>
      </c>
      <c r="T4025" t="str">
        <f>IF(Pipeline_tbl[[#This Row],[Closed_Date]]=0,"",(_xlfn.XLOOKUP(Pipeline_tbl[[#This Row],[Closed_Date]],Dim_Date!A:A,Dim_Date!H:H)))</f>
        <v>Aug 2024</v>
      </c>
      <c r="U4025">
        <f>IF(Pipeline_tbl[[#This Row],[Closed_Date]]=0,"",Pipeline_tbl[[#This Row],[Closed_Date]]-Pipeline_tbl[[#This Row],[Created_Date]])</f>
        <v>21</v>
      </c>
    </row>
    <row r="4026" spans="1:21" ht="15" customHeight="1" x14ac:dyDescent="0.2">
      <c r="A4026" t="s">
        <v>4332</v>
      </c>
      <c r="B4026" t="s">
        <v>267</v>
      </c>
      <c r="C4026" t="s">
        <v>56</v>
      </c>
      <c r="D4026" s="49">
        <v>45482</v>
      </c>
      <c r="E4026" s="49">
        <v>45486</v>
      </c>
      <c r="F4026" s="49">
        <v>45495</v>
      </c>
      <c r="G4026" s="49">
        <v>45508</v>
      </c>
      <c r="H4026" s="49">
        <v>45519</v>
      </c>
      <c r="I4026" s="49">
        <v>45525</v>
      </c>
      <c r="J4026" t="s">
        <v>47</v>
      </c>
      <c r="K4026" s="33">
        <v>11400</v>
      </c>
      <c r="M4026" t="str">
        <f>_xlfn.XLOOKUP(Pipeline_tbl[[#This Row],[Rep_ID]],Dim_Reps!A:A,Dim_Reps!K:K)</f>
        <v>MXN</v>
      </c>
      <c r="N4026" s="33">
        <f>(_xlfn.XLOOKUP(Pipeline_tbl[[#This Row],[Rate_Code_Generalized]],Lookups!A:A,Lookups!B:B))*Pipeline_tbl[[#This Row],[Pipeline_Amount_USD]]</f>
        <v>224952.78000000003</v>
      </c>
      <c r="O4026" t="str">
        <f>_xlfn.XLOOKUP(Pipeline_tbl[[#This Row],[Rep_ID]],Dim_Reps!A:A,Dim_Reps!B:B)</f>
        <v>Yuki Dubois</v>
      </c>
      <c r="P4026" t="str">
        <f>_xlfn.XLOOKUP(Pipeline_tbl[[#This Row],[Rep_ID]],Dim_Reps!A:A,Dim_Reps!C:C)</f>
        <v>Mid-Market AE</v>
      </c>
      <c r="Q4026" t="str">
        <f>_xlfn.XLOOKUP(Pipeline_tbl[[#This Row],[Rep_ID]],Dim_Reps!A:A,Dim_Reps!D:D)</f>
        <v>Mid-Market</v>
      </c>
      <c r="R4026" t="str">
        <f>_xlfn.XLOOKUP(Pipeline_tbl[[#This Row],[Rep_ID]],Dim_Reps!A:A,Dim_Reps!E:E)</f>
        <v>LATAM</v>
      </c>
      <c r="S4026" t="str">
        <f>_xlfn.XLOOKUP(Pipeline_tbl[[#This Row],[Created_Date]],Dim_Date!A:A,Dim_Date!H:H)</f>
        <v>Jul 2024</v>
      </c>
      <c r="T4026" t="str">
        <f>IF(Pipeline_tbl[[#This Row],[Closed_Date]]=0,"",(_xlfn.XLOOKUP(Pipeline_tbl[[#This Row],[Closed_Date]],Dim_Date!A:A,Dim_Date!H:H)))</f>
        <v>Aug 2024</v>
      </c>
      <c r="U4026">
        <f>IF(Pipeline_tbl[[#This Row],[Closed_Date]]=0,"",Pipeline_tbl[[#This Row],[Closed_Date]]-Pipeline_tbl[[#This Row],[Created_Date]])</f>
        <v>43</v>
      </c>
    </row>
    <row r="4027" spans="1:21" ht="15" customHeight="1" x14ac:dyDescent="0.2">
      <c r="A4027" t="s">
        <v>4333</v>
      </c>
      <c r="B4027" t="s">
        <v>267</v>
      </c>
      <c r="C4027" t="s">
        <v>54</v>
      </c>
      <c r="D4027" s="49">
        <v>45500</v>
      </c>
      <c r="E4027" s="49">
        <v>45503</v>
      </c>
      <c r="I4027" s="49">
        <v>45529</v>
      </c>
      <c r="J4027" t="s">
        <v>49</v>
      </c>
      <c r="K4027" s="33">
        <v>8700</v>
      </c>
      <c r="L4027" t="s">
        <v>61</v>
      </c>
      <c r="M4027" t="str">
        <f>_xlfn.XLOOKUP(Pipeline_tbl[[#This Row],[Rep_ID]],Dim_Reps!A:A,Dim_Reps!K:K)</f>
        <v>MXN</v>
      </c>
      <c r="N4027" s="33">
        <f>(_xlfn.XLOOKUP(Pipeline_tbl[[#This Row],[Rate_Code_Generalized]],Lookups!A:A,Lookups!B:B))*Pipeline_tbl[[#This Row],[Pipeline_Amount_USD]]</f>
        <v>171674.49000000002</v>
      </c>
      <c r="O4027" t="str">
        <f>_xlfn.XLOOKUP(Pipeline_tbl[[#This Row],[Rep_ID]],Dim_Reps!A:A,Dim_Reps!B:B)</f>
        <v>Yuki Dubois</v>
      </c>
      <c r="P4027" t="str">
        <f>_xlfn.XLOOKUP(Pipeline_tbl[[#This Row],[Rep_ID]],Dim_Reps!A:A,Dim_Reps!C:C)</f>
        <v>Mid-Market AE</v>
      </c>
      <c r="Q4027" t="str">
        <f>_xlfn.XLOOKUP(Pipeline_tbl[[#This Row],[Rep_ID]],Dim_Reps!A:A,Dim_Reps!D:D)</f>
        <v>Mid-Market</v>
      </c>
      <c r="R4027" t="str">
        <f>_xlfn.XLOOKUP(Pipeline_tbl[[#This Row],[Rep_ID]],Dim_Reps!A:A,Dim_Reps!E:E)</f>
        <v>LATAM</v>
      </c>
      <c r="S4027" t="str">
        <f>_xlfn.XLOOKUP(Pipeline_tbl[[#This Row],[Created_Date]],Dim_Date!A:A,Dim_Date!H:H)</f>
        <v>Jul 2024</v>
      </c>
      <c r="T4027" t="str">
        <f>IF(Pipeline_tbl[[#This Row],[Closed_Date]]=0,"",(_xlfn.XLOOKUP(Pipeline_tbl[[#This Row],[Closed_Date]],Dim_Date!A:A,Dim_Date!H:H)))</f>
        <v>Aug 2024</v>
      </c>
      <c r="U4027">
        <f>IF(Pipeline_tbl[[#This Row],[Closed_Date]]=0,"",Pipeline_tbl[[#This Row],[Closed_Date]]-Pipeline_tbl[[#This Row],[Created_Date]])</f>
        <v>29</v>
      </c>
    </row>
    <row r="4028" spans="1:21" ht="15" customHeight="1" x14ac:dyDescent="0.2">
      <c r="A4028" t="s">
        <v>4334</v>
      </c>
      <c r="B4028" t="s">
        <v>267</v>
      </c>
      <c r="C4028" t="s">
        <v>53</v>
      </c>
      <c r="D4028" s="49">
        <v>45489</v>
      </c>
      <c r="E4028" s="49">
        <v>45493</v>
      </c>
      <c r="F4028" s="49">
        <v>45500</v>
      </c>
      <c r="G4028" s="49">
        <v>45512</v>
      </c>
      <c r="H4028" s="49">
        <v>45521</v>
      </c>
      <c r="I4028" s="49">
        <v>45527</v>
      </c>
      <c r="J4028" t="s">
        <v>49</v>
      </c>
      <c r="K4028" s="33">
        <v>13100</v>
      </c>
      <c r="L4028" t="s">
        <v>60</v>
      </c>
      <c r="M4028" t="str">
        <f>_xlfn.XLOOKUP(Pipeline_tbl[[#This Row],[Rep_ID]],Dim_Reps!A:A,Dim_Reps!K:K)</f>
        <v>MXN</v>
      </c>
      <c r="N4028" s="33">
        <f>(_xlfn.XLOOKUP(Pipeline_tbl[[#This Row],[Rate_Code_Generalized]],Lookups!A:A,Lookups!B:B))*Pipeline_tbl[[#This Row],[Pipeline_Amount_USD]]</f>
        <v>258498.37000000002</v>
      </c>
      <c r="O4028" t="str">
        <f>_xlfn.XLOOKUP(Pipeline_tbl[[#This Row],[Rep_ID]],Dim_Reps!A:A,Dim_Reps!B:B)</f>
        <v>Yuki Dubois</v>
      </c>
      <c r="P4028" t="str">
        <f>_xlfn.XLOOKUP(Pipeline_tbl[[#This Row],[Rep_ID]],Dim_Reps!A:A,Dim_Reps!C:C)</f>
        <v>Mid-Market AE</v>
      </c>
      <c r="Q4028" t="str">
        <f>_xlfn.XLOOKUP(Pipeline_tbl[[#This Row],[Rep_ID]],Dim_Reps!A:A,Dim_Reps!D:D)</f>
        <v>Mid-Market</v>
      </c>
      <c r="R4028" t="str">
        <f>_xlfn.XLOOKUP(Pipeline_tbl[[#This Row],[Rep_ID]],Dim_Reps!A:A,Dim_Reps!E:E)</f>
        <v>LATAM</v>
      </c>
      <c r="S4028" t="str">
        <f>_xlfn.XLOOKUP(Pipeline_tbl[[#This Row],[Created_Date]],Dim_Date!A:A,Dim_Date!H:H)</f>
        <v>Jul 2024</v>
      </c>
      <c r="T4028" t="str">
        <f>IF(Pipeline_tbl[[#This Row],[Closed_Date]]=0,"",(_xlfn.XLOOKUP(Pipeline_tbl[[#This Row],[Closed_Date]],Dim_Date!A:A,Dim_Date!H:H)))</f>
        <v>Aug 2024</v>
      </c>
      <c r="U4028">
        <f>IF(Pipeline_tbl[[#This Row],[Closed_Date]]=0,"",Pipeline_tbl[[#This Row],[Closed_Date]]-Pipeline_tbl[[#This Row],[Created_Date]])</f>
        <v>38</v>
      </c>
    </row>
    <row r="4029" spans="1:21" ht="15" customHeight="1" x14ac:dyDescent="0.2">
      <c r="A4029" t="s">
        <v>4335</v>
      </c>
      <c r="B4029" t="s">
        <v>267</v>
      </c>
      <c r="C4029" t="s">
        <v>56</v>
      </c>
      <c r="D4029" s="49">
        <v>45501</v>
      </c>
      <c r="E4029" s="49">
        <v>45503</v>
      </c>
      <c r="F4029" s="49">
        <v>45508</v>
      </c>
      <c r="G4029" s="49">
        <v>45514</v>
      </c>
      <c r="I4029" s="49">
        <v>45523</v>
      </c>
      <c r="J4029" t="s">
        <v>49</v>
      </c>
      <c r="K4029" s="33">
        <v>11400</v>
      </c>
      <c r="L4029" t="s">
        <v>61</v>
      </c>
      <c r="M4029" t="str">
        <f>_xlfn.XLOOKUP(Pipeline_tbl[[#This Row],[Rep_ID]],Dim_Reps!A:A,Dim_Reps!K:K)</f>
        <v>MXN</v>
      </c>
      <c r="N4029" s="33">
        <f>(_xlfn.XLOOKUP(Pipeline_tbl[[#This Row],[Rate_Code_Generalized]],Lookups!A:A,Lookups!B:B))*Pipeline_tbl[[#This Row],[Pipeline_Amount_USD]]</f>
        <v>224952.78000000003</v>
      </c>
      <c r="O4029" t="str">
        <f>_xlfn.XLOOKUP(Pipeline_tbl[[#This Row],[Rep_ID]],Dim_Reps!A:A,Dim_Reps!B:B)</f>
        <v>Yuki Dubois</v>
      </c>
      <c r="P4029" t="str">
        <f>_xlfn.XLOOKUP(Pipeline_tbl[[#This Row],[Rep_ID]],Dim_Reps!A:A,Dim_Reps!C:C)</f>
        <v>Mid-Market AE</v>
      </c>
      <c r="Q4029" t="str">
        <f>_xlfn.XLOOKUP(Pipeline_tbl[[#This Row],[Rep_ID]],Dim_Reps!A:A,Dim_Reps!D:D)</f>
        <v>Mid-Market</v>
      </c>
      <c r="R4029" t="str">
        <f>_xlfn.XLOOKUP(Pipeline_tbl[[#This Row],[Rep_ID]],Dim_Reps!A:A,Dim_Reps!E:E)</f>
        <v>LATAM</v>
      </c>
      <c r="S4029" t="str">
        <f>_xlfn.XLOOKUP(Pipeline_tbl[[#This Row],[Created_Date]],Dim_Date!A:A,Dim_Date!H:H)</f>
        <v>Jul 2024</v>
      </c>
      <c r="T4029" t="str">
        <f>IF(Pipeline_tbl[[#This Row],[Closed_Date]]=0,"",(_xlfn.XLOOKUP(Pipeline_tbl[[#This Row],[Closed_Date]],Dim_Date!A:A,Dim_Date!H:H)))</f>
        <v>Aug 2024</v>
      </c>
      <c r="U4029">
        <f>IF(Pipeline_tbl[[#This Row],[Closed_Date]]=0,"",Pipeline_tbl[[#This Row],[Closed_Date]]-Pipeline_tbl[[#This Row],[Created_Date]])</f>
        <v>22</v>
      </c>
    </row>
    <row r="4030" spans="1:21" ht="15" customHeight="1" x14ac:dyDescent="0.2">
      <c r="A4030" t="s">
        <v>4336</v>
      </c>
      <c r="B4030" t="s">
        <v>267</v>
      </c>
      <c r="C4030" t="s">
        <v>56</v>
      </c>
      <c r="D4030" s="49">
        <v>45496</v>
      </c>
      <c r="E4030" s="49">
        <v>45498</v>
      </c>
      <c r="F4030" s="49">
        <v>45501</v>
      </c>
      <c r="G4030" s="49">
        <v>45506</v>
      </c>
      <c r="H4030" s="49">
        <v>45510</v>
      </c>
      <c r="I4030" s="49">
        <v>45513</v>
      </c>
      <c r="J4030" t="s">
        <v>49</v>
      </c>
      <c r="K4030" s="33">
        <v>11700</v>
      </c>
      <c r="L4030" t="s">
        <v>61</v>
      </c>
      <c r="M4030" t="str">
        <f>_xlfn.XLOOKUP(Pipeline_tbl[[#This Row],[Rep_ID]],Dim_Reps!A:A,Dim_Reps!K:K)</f>
        <v>MXN</v>
      </c>
      <c r="N4030" s="33">
        <f>(_xlfn.XLOOKUP(Pipeline_tbl[[#This Row],[Rate_Code_Generalized]],Lookups!A:A,Lookups!B:B))*Pipeline_tbl[[#This Row],[Pipeline_Amount_USD]]</f>
        <v>230872.59000000003</v>
      </c>
      <c r="O4030" t="str">
        <f>_xlfn.XLOOKUP(Pipeline_tbl[[#This Row],[Rep_ID]],Dim_Reps!A:A,Dim_Reps!B:B)</f>
        <v>Yuki Dubois</v>
      </c>
      <c r="P4030" t="str">
        <f>_xlfn.XLOOKUP(Pipeline_tbl[[#This Row],[Rep_ID]],Dim_Reps!A:A,Dim_Reps!C:C)</f>
        <v>Mid-Market AE</v>
      </c>
      <c r="Q4030" t="str">
        <f>_xlfn.XLOOKUP(Pipeline_tbl[[#This Row],[Rep_ID]],Dim_Reps!A:A,Dim_Reps!D:D)</f>
        <v>Mid-Market</v>
      </c>
      <c r="R4030" t="str">
        <f>_xlfn.XLOOKUP(Pipeline_tbl[[#This Row],[Rep_ID]],Dim_Reps!A:A,Dim_Reps!E:E)</f>
        <v>LATAM</v>
      </c>
      <c r="S4030" t="str">
        <f>_xlfn.XLOOKUP(Pipeline_tbl[[#This Row],[Created_Date]],Dim_Date!A:A,Dim_Date!H:H)</f>
        <v>Jul 2024</v>
      </c>
      <c r="T4030" t="str">
        <f>IF(Pipeline_tbl[[#This Row],[Closed_Date]]=0,"",(_xlfn.XLOOKUP(Pipeline_tbl[[#This Row],[Closed_Date]],Dim_Date!A:A,Dim_Date!H:H)))</f>
        <v>Aug 2024</v>
      </c>
      <c r="U4030">
        <f>IF(Pipeline_tbl[[#This Row],[Closed_Date]]=0,"",Pipeline_tbl[[#This Row],[Closed_Date]]-Pipeline_tbl[[#This Row],[Created_Date]])</f>
        <v>17</v>
      </c>
    </row>
    <row r="4031" spans="1:21" ht="15" customHeight="1" x14ac:dyDescent="0.2">
      <c r="A4031" t="s">
        <v>4337</v>
      </c>
      <c r="B4031" t="s">
        <v>235</v>
      </c>
      <c r="C4031" t="s">
        <v>54</v>
      </c>
      <c r="D4031" s="49">
        <v>45491</v>
      </c>
      <c r="E4031" s="49">
        <v>45493</v>
      </c>
      <c r="F4031" s="49">
        <v>45497</v>
      </c>
      <c r="G4031" s="49">
        <v>45502</v>
      </c>
      <c r="H4031" s="49">
        <v>45507</v>
      </c>
      <c r="I4031" s="49">
        <v>45510</v>
      </c>
      <c r="J4031" t="s">
        <v>47</v>
      </c>
      <c r="K4031" s="33">
        <v>3100</v>
      </c>
      <c r="M4031" t="str">
        <f>_xlfn.XLOOKUP(Pipeline_tbl[[#This Row],[Rep_ID]],Dim_Reps!A:A,Dim_Reps!K:K)</f>
        <v>MXN</v>
      </c>
      <c r="N4031" s="33">
        <f>(_xlfn.XLOOKUP(Pipeline_tbl[[#This Row],[Rate_Code_Generalized]],Lookups!A:A,Lookups!B:B))*Pipeline_tbl[[#This Row],[Pipeline_Amount_USD]]</f>
        <v>61171.37</v>
      </c>
      <c r="O4031" t="str">
        <f>_xlfn.XLOOKUP(Pipeline_tbl[[#This Row],[Rep_ID]],Dim_Reps!A:A,Dim_Reps!B:B)</f>
        <v>Milo Castro</v>
      </c>
      <c r="P4031" t="str">
        <f>_xlfn.XLOOKUP(Pipeline_tbl[[#This Row],[Rep_ID]],Dim_Reps!A:A,Dim_Reps!C:C)</f>
        <v>SDR / Inside Sales Rep</v>
      </c>
      <c r="Q4031" t="str">
        <f>_xlfn.XLOOKUP(Pipeline_tbl[[#This Row],[Rep_ID]],Dim_Reps!A:A,Dim_Reps!D:D)</f>
        <v>Inside Sales</v>
      </c>
      <c r="R4031" t="str">
        <f>_xlfn.XLOOKUP(Pipeline_tbl[[#This Row],[Rep_ID]],Dim_Reps!A:A,Dim_Reps!E:E)</f>
        <v>LATAM</v>
      </c>
      <c r="S4031" t="str">
        <f>_xlfn.XLOOKUP(Pipeline_tbl[[#This Row],[Created_Date]],Dim_Date!A:A,Dim_Date!H:H)</f>
        <v>Jul 2024</v>
      </c>
      <c r="T4031" t="str">
        <f>IF(Pipeline_tbl[[#This Row],[Closed_Date]]=0,"",(_xlfn.XLOOKUP(Pipeline_tbl[[#This Row],[Closed_Date]],Dim_Date!A:A,Dim_Date!H:H)))</f>
        <v>Aug 2024</v>
      </c>
      <c r="U4031">
        <f>IF(Pipeline_tbl[[#This Row],[Closed_Date]]=0,"",Pipeline_tbl[[#This Row],[Closed_Date]]-Pipeline_tbl[[#This Row],[Created_Date]])</f>
        <v>19</v>
      </c>
    </row>
    <row r="4032" spans="1:21" ht="15" customHeight="1" x14ac:dyDescent="0.2">
      <c r="A4032" t="s">
        <v>4338</v>
      </c>
      <c r="B4032" t="s">
        <v>235</v>
      </c>
      <c r="C4032" t="s">
        <v>53</v>
      </c>
      <c r="D4032" s="49">
        <v>45493</v>
      </c>
      <c r="E4032" s="49">
        <v>45495</v>
      </c>
      <c r="F4032" s="49">
        <v>45498</v>
      </c>
      <c r="I4032" s="49">
        <v>45510</v>
      </c>
      <c r="J4032" t="s">
        <v>49</v>
      </c>
      <c r="K4032" s="33">
        <v>3700</v>
      </c>
      <c r="L4032" t="s">
        <v>60</v>
      </c>
      <c r="M4032" t="str">
        <f>_xlfn.XLOOKUP(Pipeline_tbl[[#This Row],[Rep_ID]],Dim_Reps!A:A,Dim_Reps!K:K)</f>
        <v>MXN</v>
      </c>
      <c r="N4032" s="33">
        <f>(_xlfn.XLOOKUP(Pipeline_tbl[[#This Row],[Rate_Code_Generalized]],Lookups!A:A,Lookups!B:B))*Pipeline_tbl[[#This Row],[Pipeline_Amount_USD]]</f>
        <v>73010.990000000005</v>
      </c>
      <c r="O4032" t="str">
        <f>_xlfn.XLOOKUP(Pipeline_tbl[[#This Row],[Rep_ID]],Dim_Reps!A:A,Dim_Reps!B:B)</f>
        <v>Milo Castro</v>
      </c>
      <c r="P4032" t="str">
        <f>_xlfn.XLOOKUP(Pipeline_tbl[[#This Row],[Rep_ID]],Dim_Reps!A:A,Dim_Reps!C:C)</f>
        <v>SDR / Inside Sales Rep</v>
      </c>
      <c r="Q4032" t="str">
        <f>_xlfn.XLOOKUP(Pipeline_tbl[[#This Row],[Rep_ID]],Dim_Reps!A:A,Dim_Reps!D:D)</f>
        <v>Inside Sales</v>
      </c>
      <c r="R4032" t="str">
        <f>_xlfn.XLOOKUP(Pipeline_tbl[[#This Row],[Rep_ID]],Dim_Reps!A:A,Dim_Reps!E:E)</f>
        <v>LATAM</v>
      </c>
      <c r="S4032" t="str">
        <f>_xlfn.XLOOKUP(Pipeline_tbl[[#This Row],[Created_Date]],Dim_Date!A:A,Dim_Date!H:H)</f>
        <v>Jul 2024</v>
      </c>
      <c r="T4032" t="str">
        <f>IF(Pipeline_tbl[[#This Row],[Closed_Date]]=0,"",(_xlfn.XLOOKUP(Pipeline_tbl[[#This Row],[Closed_Date]],Dim_Date!A:A,Dim_Date!H:H)))</f>
        <v>Aug 2024</v>
      </c>
      <c r="U4032">
        <f>IF(Pipeline_tbl[[#This Row],[Closed_Date]]=0,"",Pipeline_tbl[[#This Row],[Closed_Date]]-Pipeline_tbl[[#This Row],[Created_Date]])</f>
        <v>17</v>
      </c>
    </row>
    <row r="4033" spans="1:21" ht="15" customHeight="1" x14ac:dyDescent="0.2">
      <c r="A4033" t="s">
        <v>4339</v>
      </c>
      <c r="B4033" t="s">
        <v>235</v>
      </c>
      <c r="C4033" t="s">
        <v>52</v>
      </c>
      <c r="D4033" s="49">
        <v>45495</v>
      </c>
      <c r="E4033" s="49">
        <v>45497</v>
      </c>
      <c r="I4033" s="49">
        <v>45518</v>
      </c>
      <c r="J4033" t="s">
        <v>49</v>
      </c>
      <c r="K4033" s="33">
        <v>6700</v>
      </c>
      <c r="L4033" t="s">
        <v>62</v>
      </c>
      <c r="M4033" t="str">
        <f>_xlfn.XLOOKUP(Pipeline_tbl[[#This Row],[Rep_ID]],Dim_Reps!A:A,Dim_Reps!K:K)</f>
        <v>MXN</v>
      </c>
      <c r="N4033" s="33">
        <f>(_xlfn.XLOOKUP(Pipeline_tbl[[#This Row],[Rate_Code_Generalized]],Lookups!A:A,Lookups!B:B))*Pipeline_tbl[[#This Row],[Pipeline_Amount_USD]]</f>
        <v>132209.09</v>
      </c>
      <c r="O4033" t="str">
        <f>_xlfn.XLOOKUP(Pipeline_tbl[[#This Row],[Rep_ID]],Dim_Reps!A:A,Dim_Reps!B:B)</f>
        <v>Milo Castro</v>
      </c>
      <c r="P4033" t="str">
        <f>_xlfn.XLOOKUP(Pipeline_tbl[[#This Row],[Rep_ID]],Dim_Reps!A:A,Dim_Reps!C:C)</f>
        <v>SDR / Inside Sales Rep</v>
      </c>
      <c r="Q4033" t="str">
        <f>_xlfn.XLOOKUP(Pipeline_tbl[[#This Row],[Rep_ID]],Dim_Reps!A:A,Dim_Reps!D:D)</f>
        <v>Inside Sales</v>
      </c>
      <c r="R4033" t="str">
        <f>_xlfn.XLOOKUP(Pipeline_tbl[[#This Row],[Rep_ID]],Dim_Reps!A:A,Dim_Reps!E:E)</f>
        <v>LATAM</v>
      </c>
      <c r="S4033" t="str">
        <f>_xlfn.XLOOKUP(Pipeline_tbl[[#This Row],[Created_Date]],Dim_Date!A:A,Dim_Date!H:H)</f>
        <v>Jul 2024</v>
      </c>
      <c r="T4033" t="str">
        <f>IF(Pipeline_tbl[[#This Row],[Closed_Date]]=0,"",(_xlfn.XLOOKUP(Pipeline_tbl[[#This Row],[Closed_Date]],Dim_Date!A:A,Dim_Date!H:H)))</f>
        <v>Aug 2024</v>
      </c>
      <c r="U4033">
        <f>IF(Pipeline_tbl[[#This Row],[Closed_Date]]=0,"",Pipeline_tbl[[#This Row],[Closed_Date]]-Pipeline_tbl[[#This Row],[Created_Date]])</f>
        <v>23</v>
      </c>
    </row>
    <row r="4034" spans="1:21" ht="15" customHeight="1" x14ac:dyDescent="0.2">
      <c r="A4034" t="s">
        <v>4340</v>
      </c>
      <c r="B4034" t="s">
        <v>235</v>
      </c>
      <c r="C4034" t="s">
        <v>53</v>
      </c>
      <c r="D4034" s="49">
        <v>45489</v>
      </c>
      <c r="E4034" s="49">
        <v>45491</v>
      </c>
      <c r="F4034" s="49">
        <v>45494</v>
      </c>
      <c r="G4034" s="49">
        <v>45500</v>
      </c>
      <c r="I4034" s="49">
        <v>45507</v>
      </c>
      <c r="J4034" t="s">
        <v>49</v>
      </c>
      <c r="K4034" s="33">
        <v>3100</v>
      </c>
      <c r="L4034" t="s">
        <v>61</v>
      </c>
      <c r="M4034" t="str">
        <f>_xlfn.XLOOKUP(Pipeline_tbl[[#This Row],[Rep_ID]],Dim_Reps!A:A,Dim_Reps!K:K)</f>
        <v>MXN</v>
      </c>
      <c r="N4034" s="33">
        <f>(_xlfn.XLOOKUP(Pipeline_tbl[[#This Row],[Rate_Code_Generalized]],Lookups!A:A,Lookups!B:B))*Pipeline_tbl[[#This Row],[Pipeline_Amount_USD]]</f>
        <v>61171.37</v>
      </c>
      <c r="O4034" t="str">
        <f>_xlfn.XLOOKUP(Pipeline_tbl[[#This Row],[Rep_ID]],Dim_Reps!A:A,Dim_Reps!B:B)</f>
        <v>Milo Castro</v>
      </c>
      <c r="P4034" t="str">
        <f>_xlfn.XLOOKUP(Pipeline_tbl[[#This Row],[Rep_ID]],Dim_Reps!A:A,Dim_Reps!C:C)</f>
        <v>SDR / Inside Sales Rep</v>
      </c>
      <c r="Q4034" t="str">
        <f>_xlfn.XLOOKUP(Pipeline_tbl[[#This Row],[Rep_ID]],Dim_Reps!A:A,Dim_Reps!D:D)</f>
        <v>Inside Sales</v>
      </c>
      <c r="R4034" t="str">
        <f>_xlfn.XLOOKUP(Pipeline_tbl[[#This Row],[Rep_ID]],Dim_Reps!A:A,Dim_Reps!E:E)</f>
        <v>LATAM</v>
      </c>
      <c r="S4034" t="str">
        <f>_xlfn.XLOOKUP(Pipeline_tbl[[#This Row],[Created_Date]],Dim_Date!A:A,Dim_Date!H:H)</f>
        <v>Jul 2024</v>
      </c>
      <c r="T4034" t="str">
        <f>IF(Pipeline_tbl[[#This Row],[Closed_Date]]=0,"",(_xlfn.XLOOKUP(Pipeline_tbl[[#This Row],[Closed_Date]],Dim_Date!A:A,Dim_Date!H:H)))</f>
        <v>Aug 2024</v>
      </c>
      <c r="U4034">
        <f>IF(Pipeline_tbl[[#This Row],[Closed_Date]]=0,"",Pipeline_tbl[[#This Row],[Closed_Date]]-Pipeline_tbl[[#This Row],[Created_Date]])</f>
        <v>18</v>
      </c>
    </row>
    <row r="4035" spans="1:21" ht="15" customHeight="1" x14ac:dyDescent="0.2">
      <c r="A4035" t="s">
        <v>4341</v>
      </c>
      <c r="B4035" t="s">
        <v>237</v>
      </c>
      <c r="C4035" t="s">
        <v>52</v>
      </c>
      <c r="D4035" s="49">
        <v>45500</v>
      </c>
      <c r="E4035" s="49">
        <v>45501</v>
      </c>
      <c r="F4035" s="49">
        <v>45502</v>
      </c>
      <c r="G4035" s="49">
        <v>45504</v>
      </c>
      <c r="I4035" s="49">
        <v>45506</v>
      </c>
      <c r="J4035" t="s">
        <v>49</v>
      </c>
      <c r="K4035" s="33">
        <v>2700</v>
      </c>
      <c r="L4035" t="s">
        <v>61</v>
      </c>
      <c r="M4035" t="str">
        <f>_xlfn.XLOOKUP(Pipeline_tbl[[#This Row],[Rep_ID]],Dim_Reps!A:A,Dim_Reps!K:K)</f>
        <v>EUR</v>
      </c>
      <c r="N4035" s="33">
        <f>(_xlfn.XLOOKUP(Pipeline_tbl[[#This Row],[Rate_Code_Generalized]],Lookups!A:A,Lookups!B:B))*Pipeline_tbl[[#This Row],[Pipeline_Amount_USD]]</f>
        <v>2700</v>
      </c>
      <c r="O4035" t="str">
        <f>_xlfn.XLOOKUP(Pipeline_tbl[[#This Row],[Rep_ID]],Dim_Reps!A:A,Dim_Reps!B:B)</f>
        <v>Hugo Santos</v>
      </c>
      <c r="P4035" t="str">
        <f>_xlfn.XLOOKUP(Pipeline_tbl[[#This Row],[Rep_ID]],Dim_Reps!A:A,Dim_Reps!C:C)</f>
        <v>SDR / Inside Sales Rep</v>
      </c>
      <c r="Q4035" t="str">
        <f>_xlfn.XLOOKUP(Pipeline_tbl[[#This Row],[Rep_ID]],Dim_Reps!A:A,Dim_Reps!D:D)</f>
        <v>Inside Sales</v>
      </c>
      <c r="R4035" t="str">
        <f>_xlfn.XLOOKUP(Pipeline_tbl[[#This Row],[Rep_ID]],Dim_Reps!A:A,Dim_Reps!E:E)</f>
        <v>EMEA</v>
      </c>
      <c r="S4035" t="str">
        <f>_xlfn.XLOOKUP(Pipeline_tbl[[#This Row],[Created_Date]],Dim_Date!A:A,Dim_Date!H:H)</f>
        <v>Jul 2024</v>
      </c>
      <c r="T4035" t="str">
        <f>IF(Pipeline_tbl[[#This Row],[Closed_Date]]=0,"",(_xlfn.XLOOKUP(Pipeline_tbl[[#This Row],[Closed_Date]],Dim_Date!A:A,Dim_Date!H:H)))</f>
        <v>Aug 2024</v>
      </c>
      <c r="U4035">
        <f>IF(Pipeline_tbl[[#This Row],[Closed_Date]]=0,"",Pipeline_tbl[[#This Row],[Closed_Date]]-Pipeline_tbl[[#This Row],[Created_Date]])</f>
        <v>6</v>
      </c>
    </row>
    <row r="4036" spans="1:21" ht="15" customHeight="1" x14ac:dyDescent="0.2">
      <c r="A4036" t="s">
        <v>4342</v>
      </c>
      <c r="B4036" t="s">
        <v>237</v>
      </c>
      <c r="C4036" t="s">
        <v>53</v>
      </c>
      <c r="D4036" s="49">
        <v>45490</v>
      </c>
      <c r="E4036" s="49">
        <v>45492</v>
      </c>
      <c r="I4036" s="49">
        <v>45507</v>
      </c>
      <c r="J4036" t="s">
        <v>49</v>
      </c>
      <c r="K4036" s="33">
        <v>4600</v>
      </c>
      <c r="L4036" t="s">
        <v>62</v>
      </c>
      <c r="M4036" t="str">
        <f>_xlfn.XLOOKUP(Pipeline_tbl[[#This Row],[Rep_ID]],Dim_Reps!A:A,Dim_Reps!K:K)</f>
        <v>EUR</v>
      </c>
      <c r="N4036" s="33">
        <f>(_xlfn.XLOOKUP(Pipeline_tbl[[#This Row],[Rate_Code_Generalized]],Lookups!A:A,Lookups!B:B))*Pipeline_tbl[[#This Row],[Pipeline_Amount_USD]]</f>
        <v>4600</v>
      </c>
      <c r="O4036" t="str">
        <f>_xlfn.XLOOKUP(Pipeline_tbl[[#This Row],[Rep_ID]],Dim_Reps!A:A,Dim_Reps!B:B)</f>
        <v>Hugo Santos</v>
      </c>
      <c r="P4036" t="str">
        <f>_xlfn.XLOOKUP(Pipeline_tbl[[#This Row],[Rep_ID]],Dim_Reps!A:A,Dim_Reps!C:C)</f>
        <v>SDR / Inside Sales Rep</v>
      </c>
      <c r="Q4036" t="str">
        <f>_xlfn.XLOOKUP(Pipeline_tbl[[#This Row],[Rep_ID]],Dim_Reps!A:A,Dim_Reps!D:D)</f>
        <v>Inside Sales</v>
      </c>
      <c r="R4036" t="str">
        <f>_xlfn.XLOOKUP(Pipeline_tbl[[#This Row],[Rep_ID]],Dim_Reps!A:A,Dim_Reps!E:E)</f>
        <v>EMEA</v>
      </c>
      <c r="S4036" t="str">
        <f>_xlfn.XLOOKUP(Pipeline_tbl[[#This Row],[Created_Date]],Dim_Date!A:A,Dim_Date!H:H)</f>
        <v>Jul 2024</v>
      </c>
      <c r="T4036" t="str">
        <f>IF(Pipeline_tbl[[#This Row],[Closed_Date]]=0,"",(_xlfn.XLOOKUP(Pipeline_tbl[[#This Row],[Closed_Date]],Dim_Date!A:A,Dim_Date!H:H)))</f>
        <v>Aug 2024</v>
      </c>
      <c r="U4036">
        <f>IF(Pipeline_tbl[[#This Row],[Closed_Date]]=0,"",Pipeline_tbl[[#This Row],[Closed_Date]]-Pipeline_tbl[[#This Row],[Created_Date]])</f>
        <v>17</v>
      </c>
    </row>
    <row r="4037" spans="1:21" ht="15" customHeight="1" x14ac:dyDescent="0.2">
      <c r="A4037" t="s">
        <v>4343</v>
      </c>
      <c r="B4037" t="s">
        <v>237</v>
      </c>
      <c r="C4037" t="s">
        <v>52</v>
      </c>
      <c r="D4037" s="49">
        <v>45496</v>
      </c>
      <c r="E4037" s="49">
        <v>45498</v>
      </c>
      <c r="F4037" s="49">
        <v>45501</v>
      </c>
      <c r="G4037" s="49">
        <v>45505</v>
      </c>
      <c r="H4037" s="49">
        <v>45509</v>
      </c>
      <c r="I4037" s="49">
        <v>45511</v>
      </c>
      <c r="J4037" t="s">
        <v>47</v>
      </c>
      <c r="K4037" s="33">
        <v>4300</v>
      </c>
      <c r="M4037" t="str">
        <f>_xlfn.XLOOKUP(Pipeline_tbl[[#This Row],[Rep_ID]],Dim_Reps!A:A,Dim_Reps!K:K)</f>
        <v>EUR</v>
      </c>
      <c r="N4037" s="33">
        <f>(_xlfn.XLOOKUP(Pipeline_tbl[[#This Row],[Rate_Code_Generalized]],Lookups!A:A,Lookups!B:B))*Pipeline_tbl[[#This Row],[Pipeline_Amount_USD]]</f>
        <v>4300</v>
      </c>
      <c r="O4037" t="str">
        <f>_xlfn.XLOOKUP(Pipeline_tbl[[#This Row],[Rep_ID]],Dim_Reps!A:A,Dim_Reps!B:B)</f>
        <v>Hugo Santos</v>
      </c>
      <c r="P4037" t="str">
        <f>_xlfn.XLOOKUP(Pipeline_tbl[[#This Row],[Rep_ID]],Dim_Reps!A:A,Dim_Reps!C:C)</f>
        <v>SDR / Inside Sales Rep</v>
      </c>
      <c r="Q4037" t="str">
        <f>_xlfn.XLOOKUP(Pipeline_tbl[[#This Row],[Rep_ID]],Dim_Reps!A:A,Dim_Reps!D:D)</f>
        <v>Inside Sales</v>
      </c>
      <c r="R4037" t="str">
        <f>_xlfn.XLOOKUP(Pipeline_tbl[[#This Row],[Rep_ID]],Dim_Reps!A:A,Dim_Reps!E:E)</f>
        <v>EMEA</v>
      </c>
      <c r="S4037" t="str">
        <f>_xlfn.XLOOKUP(Pipeline_tbl[[#This Row],[Created_Date]],Dim_Date!A:A,Dim_Date!H:H)</f>
        <v>Jul 2024</v>
      </c>
      <c r="T4037" t="str">
        <f>IF(Pipeline_tbl[[#This Row],[Closed_Date]]=0,"",(_xlfn.XLOOKUP(Pipeline_tbl[[#This Row],[Closed_Date]],Dim_Date!A:A,Dim_Date!H:H)))</f>
        <v>Aug 2024</v>
      </c>
      <c r="U4037">
        <f>IF(Pipeline_tbl[[#This Row],[Closed_Date]]=0,"",Pipeline_tbl[[#This Row],[Closed_Date]]-Pipeline_tbl[[#This Row],[Created_Date]])</f>
        <v>15</v>
      </c>
    </row>
    <row r="4038" spans="1:21" ht="15" customHeight="1" x14ac:dyDescent="0.2">
      <c r="A4038" t="s">
        <v>4344</v>
      </c>
      <c r="B4038" t="s">
        <v>237</v>
      </c>
      <c r="C4038" t="s">
        <v>52</v>
      </c>
      <c r="D4038" s="49">
        <v>45487</v>
      </c>
      <c r="E4038" s="49">
        <v>45490</v>
      </c>
      <c r="F4038" s="49">
        <v>45496</v>
      </c>
      <c r="G4038" s="49">
        <v>45504</v>
      </c>
      <c r="H4038" s="49">
        <v>45512</v>
      </c>
      <c r="I4038" s="49">
        <v>45516</v>
      </c>
      <c r="J4038" t="s">
        <v>49</v>
      </c>
      <c r="K4038" s="33">
        <v>2400</v>
      </c>
      <c r="L4038" t="s">
        <v>61</v>
      </c>
      <c r="M4038" t="str">
        <f>_xlfn.XLOOKUP(Pipeline_tbl[[#This Row],[Rep_ID]],Dim_Reps!A:A,Dim_Reps!K:K)</f>
        <v>EUR</v>
      </c>
      <c r="N4038" s="33">
        <f>(_xlfn.XLOOKUP(Pipeline_tbl[[#This Row],[Rate_Code_Generalized]],Lookups!A:A,Lookups!B:B))*Pipeline_tbl[[#This Row],[Pipeline_Amount_USD]]</f>
        <v>2400</v>
      </c>
      <c r="O4038" t="str">
        <f>_xlfn.XLOOKUP(Pipeline_tbl[[#This Row],[Rep_ID]],Dim_Reps!A:A,Dim_Reps!B:B)</f>
        <v>Hugo Santos</v>
      </c>
      <c r="P4038" t="str">
        <f>_xlfn.XLOOKUP(Pipeline_tbl[[#This Row],[Rep_ID]],Dim_Reps!A:A,Dim_Reps!C:C)</f>
        <v>SDR / Inside Sales Rep</v>
      </c>
      <c r="Q4038" t="str">
        <f>_xlfn.XLOOKUP(Pipeline_tbl[[#This Row],[Rep_ID]],Dim_Reps!A:A,Dim_Reps!D:D)</f>
        <v>Inside Sales</v>
      </c>
      <c r="R4038" t="str">
        <f>_xlfn.XLOOKUP(Pipeline_tbl[[#This Row],[Rep_ID]],Dim_Reps!A:A,Dim_Reps!E:E)</f>
        <v>EMEA</v>
      </c>
      <c r="S4038" t="str">
        <f>_xlfn.XLOOKUP(Pipeline_tbl[[#This Row],[Created_Date]],Dim_Date!A:A,Dim_Date!H:H)</f>
        <v>Jul 2024</v>
      </c>
      <c r="T4038" t="str">
        <f>IF(Pipeline_tbl[[#This Row],[Closed_Date]]=0,"",(_xlfn.XLOOKUP(Pipeline_tbl[[#This Row],[Closed_Date]],Dim_Date!A:A,Dim_Date!H:H)))</f>
        <v>Aug 2024</v>
      </c>
      <c r="U4038">
        <f>IF(Pipeline_tbl[[#This Row],[Closed_Date]]=0,"",Pipeline_tbl[[#This Row],[Closed_Date]]-Pipeline_tbl[[#This Row],[Created_Date]])</f>
        <v>29</v>
      </c>
    </row>
    <row r="4039" spans="1:21" ht="15" customHeight="1" x14ac:dyDescent="0.2">
      <c r="A4039" t="s">
        <v>4345</v>
      </c>
      <c r="B4039" t="s">
        <v>269</v>
      </c>
      <c r="C4039" t="s">
        <v>55</v>
      </c>
      <c r="D4039" s="49">
        <v>45491</v>
      </c>
      <c r="E4039" s="49">
        <v>45494</v>
      </c>
      <c r="I4039" s="49">
        <v>45523</v>
      </c>
      <c r="J4039" t="s">
        <v>49</v>
      </c>
      <c r="K4039" s="33">
        <v>10100</v>
      </c>
      <c r="L4039" t="s">
        <v>60</v>
      </c>
      <c r="M4039" t="str">
        <f>_xlfn.XLOOKUP(Pipeline_tbl[[#This Row],[Rep_ID]],Dim_Reps!A:A,Dim_Reps!K:K)</f>
        <v>USD</v>
      </c>
      <c r="N4039" s="33">
        <f>(_xlfn.XLOOKUP(Pipeline_tbl[[#This Row],[Rate_Code_Generalized]],Lookups!A:A,Lookups!B:B))*Pipeline_tbl[[#This Row],[Pipeline_Amount_USD]]</f>
        <v>11759.429999999998</v>
      </c>
      <c r="O4039" t="str">
        <f>_xlfn.XLOOKUP(Pipeline_tbl[[#This Row],[Rep_ID]],Dim_Reps!A:A,Dim_Reps!B:B)</f>
        <v>Morgan Rivera</v>
      </c>
      <c r="P4039" t="str">
        <f>_xlfn.XLOOKUP(Pipeline_tbl[[#This Row],[Rep_ID]],Dim_Reps!A:A,Dim_Reps!C:C)</f>
        <v>Mid-Market AE</v>
      </c>
      <c r="Q4039" t="str">
        <f>_xlfn.XLOOKUP(Pipeline_tbl[[#This Row],[Rep_ID]],Dim_Reps!A:A,Dim_Reps!D:D)</f>
        <v>Mid-Market</v>
      </c>
      <c r="R4039" t="str">
        <f>_xlfn.XLOOKUP(Pipeline_tbl[[#This Row],[Rep_ID]],Dim_Reps!A:A,Dim_Reps!E:E)</f>
        <v>NAMER</v>
      </c>
      <c r="S4039" t="str">
        <f>_xlfn.XLOOKUP(Pipeline_tbl[[#This Row],[Created_Date]],Dim_Date!A:A,Dim_Date!H:H)</f>
        <v>Jul 2024</v>
      </c>
      <c r="T4039" t="str">
        <f>IF(Pipeline_tbl[[#This Row],[Closed_Date]]=0,"",(_xlfn.XLOOKUP(Pipeline_tbl[[#This Row],[Closed_Date]],Dim_Date!A:A,Dim_Date!H:H)))</f>
        <v>Aug 2024</v>
      </c>
      <c r="U4039">
        <f>IF(Pipeline_tbl[[#This Row],[Closed_Date]]=0,"",Pipeline_tbl[[#This Row],[Closed_Date]]-Pipeline_tbl[[#This Row],[Created_Date]])</f>
        <v>32</v>
      </c>
    </row>
    <row r="4040" spans="1:21" ht="15" customHeight="1" x14ac:dyDescent="0.2">
      <c r="A4040" t="s">
        <v>4346</v>
      </c>
      <c r="B4040" t="s">
        <v>271</v>
      </c>
      <c r="C4040" t="s">
        <v>54</v>
      </c>
      <c r="D4040" s="49">
        <v>45483</v>
      </c>
      <c r="E4040" s="49">
        <v>45485</v>
      </c>
      <c r="F4040" s="49">
        <v>45490</v>
      </c>
      <c r="G4040" s="49">
        <v>45496</v>
      </c>
      <c r="H4040" s="49">
        <v>45502</v>
      </c>
      <c r="I4040" s="49">
        <v>45505</v>
      </c>
      <c r="J4040" t="s">
        <v>47</v>
      </c>
      <c r="K4040" s="33">
        <v>17600</v>
      </c>
      <c r="M4040" t="str">
        <f>_xlfn.XLOOKUP(Pipeline_tbl[[#This Row],[Rep_ID]],Dim_Reps!A:A,Dim_Reps!K:K)</f>
        <v>EUR</v>
      </c>
      <c r="N4040" s="33">
        <f>(_xlfn.XLOOKUP(Pipeline_tbl[[#This Row],[Rate_Code_Generalized]],Lookups!A:A,Lookups!B:B))*Pipeline_tbl[[#This Row],[Pipeline_Amount_USD]]</f>
        <v>17600</v>
      </c>
      <c r="O4040" t="str">
        <f>_xlfn.XLOOKUP(Pipeline_tbl[[#This Row],[Rep_ID]],Dim_Reps!A:A,Dim_Reps!B:B)</f>
        <v>Ivy Adler</v>
      </c>
      <c r="P4040" t="str">
        <f>_xlfn.XLOOKUP(Pipeline_tbl[[#This Row],[Rep_ID]],Dim_Reps!A:A,Dim_Reps!C:C)</f>
        <v>Mid-Market AE</v>
      </c>
      <c r="Q4040" t="str">
        <f>_xlfn.XLOOKUP(Pipeline_tbl[[#This Row],[Rep_ID]],Dim_Reps!A:A,Dim_Reps!D:D)</f>
        <v>Mid-Market</v>
      </c>
      <c r="R4040" t="str">
        <f>_xlfn.XLOOKUP(Pipeline_tbl[[#This Row],[Rep_ID]],Dim_Reps!A:A,Dim_Reps!E:E)</f>
        <v>APAC</v>
      </c>
      <c r="S4040" t="str">
        <f>_xlfn.XLOOKUP(Pipeline_tbl[[#This Row],[Created_Date]],Dim_Date!A:A,Dim_Date!H:H)</f>
        <v>Jul 2024</v>
      </c>
      <c r="T4040" t="str">
        <f>IF(Pipeline_tbl[[#This Row],[Closed_Date]]=0,"",(_xlfn.XLOOKUP(Pipeline_tbl[[#This Row],[Closed_Date]],Dim_Date!A:A,Dim_Date!H:H)))</f>
        <v>Aug 2024</v>
      </c>
      <c r="U4040">
        <f>IF(Pipeline_tbl[[#This Row],[Closed_Date]]=0,"",Pipeline_tbl[[#This Row],[Closed_Date]]-Pipeline_tbl[[#This Row],[Created_Date]])</f>
        <v>22</v>
      </c>
    </row>
    <row r="4041" spans="1:21" ht="15" customHeight="1" x14ac:dyDescent="0.2">
      <c r="A4041" t="s">
        <v>4347</v>
      </c>
      <c r="B4041" t="s">
        <v>271</v>
      </c>
      <c r="C4041" t="s">
        <v>56</v>
      </c>
      <c r="D4041" s="49">
        <v>45500</v>
      </c>
      <c r="E4041" s="49">
        <v>45503</v>
      </c>
      <c r="I4041" s="49">
        <v>45531</v>
      </c>
      <c r="J4041" t="s">
        <v>49</v>
      </c>
      <c r="K4041" s="33">
        <v>13000</v>
      </c>
      <c r="L4041" t="s">
        <v>60</v>
      </c>
      <c r="M4041" t="str">
        <f>_xlfn.XLOOKUP(Pipeline_tbl[[#This Row],[Rep_ID]],Dim_Reps!A:A,Dim_Reps!K:K)</f>
        <v>EUR</v>
      </c>
      <c r="N4041" s="33">
        <f>(_xlfn.XLOOKUP(Pipeline_tbl[[#This Row],[Rate_Code_Generalized]],Lookups!A:A,Lookups!B:B))*Pipeline_tbl[[#This Row],[Pipeline_Amount_USD]]</f>
        <v>13000</v>
      </c>
      <c r="O4041" t="str">
        <f>_xlfn.XLOOKUP(Pipeline_tbl[[#This Row],[Rep_ID]],Dim_Reps!A:A,Dim_Reps!B:B)</f>
        <v>Ivy Adler</v>
      </c>
      <c r="P4041" t="str">
        <f>_xlfn.XLOOKUP(Pipeline_tbl[[#This Row],[Rep_ID]],Dim_Reps!A:A,Dim_Reps!C:C)</f>
        <v>Mid-Market AE</v>
      </c>
      <c r="Q4041" t="str">
        <f>_xlfn.XLOOKUP(Pipeline_tbl[[#This Row],[Rep_ID]],Dim_Reps!A:A,Dim_Reps!D:D)</f>
        <v>Mid-Market</v>
      </c>
      <c r="R4041" t="str">
        <f>_xlfn.XLOOKUP(Pipeline_tbl[[#This Row],[Rep_ID]],Dim_Reps!A:A,Dim_Reps!E:E)</f>
        <v>APAC</v>
      </c>
      <c r="S4041" t="str">
        <f>_xlfn.XLOOKUP(Pipeline_tbl[[#This Row],[Created_Date]],Dim_Date!A:A,Dim_Date!H:H)</f>
        <v>Jul 2024</v>
      </c>
      <c r="T4041" t="str">
        <f>IF(Pipeline_tbl[[#This Row],[Closed_Date]]=0,"",(_xlfn.XLOOKUP(Pipeline_tbl[[#This Row],[Closed_Date]],Dim_Date!A:A,Dim_Date!H:H)))</f>
        <v>Aug 2024</v>
      </c>
      <c r="U4041">
        <f>IF(Pipeline_tbl[[#This Row],[Closed_Date]]=0,"",Pipeline_tbl[[#This Row],[Closed_Date]]-Pipeline_tbl[[#This Row],[Created_Date]])</f>
        <v>31</v>
      </c>
    </row>
    <row r="4042" spans="1:21" ht="15" customHeight="1" x14ac:dyDescent="0.2">
      <c r="A4042" t="s">
        <v>4348</v>
      </c>
      <c r="B4042" t="s">
        <v>271</v>
      </c>
      <c r="C4042" t="s">
        <v>52</v>
      </c>
      <c r="D4042" s="49">
        <v>45491</v>
      </c>
      <c r="E4042" s="49">
        <v>45495</v>
      </c>
      <c r="F4042" s="49">
        <v>45503</v>
      </c>
      <c r="G4042" s="49">
        <v>45515</v>
      </c>
      <c r="H4042" s="49">
        <v>45525</v>
      </c>
      <c r="I4042" s="49">
        <v>45531</v>
      </c>
      <c r="J4042" t="s">
        <v>47</v>
      </c>
      <c r="K4042" s="33">
        <v>10700</v>
      </c>
      <c r="M4042" t="str">
        <f>_xlfn.XLOOKUP(Pipeline_tbl[[#This Row],[Rep_ID]],Dim_Reps!A:A,Dim_Reps!K:K)</f>
        <v>EUR</v>
      </c>
      <c r="N4042" s="33">
        <f>(_xlfn.XLOOKUP(Pipeline_tbl[[#This Row],[Rate_Code_Generalized]],Lookups!A:A,Lookups!B:B))*Pipeline_tbl[[#This Row],[Pipeline_Amount_USD]]</f>
        <v>10700</v>
      </c>
      <c r="O4042" t="str">
        <f>_xlfn.XLOOKUP(Pipeline_tbl[[#This Row],[Rep_ID]],Dim_Reps!A:A,Dim_Reps!B:B)</f>
        <v>Ivy Adler</v>
      </c>
      <c r="P4042" t="str">
        <f>_xlfn.XLOOKUP(Pipeline_tbl[[#This Row],[Rep_ID]],Dim_Reps!A:A,Dim_Reps!C:C)</f>
        <v>Mid-Market AE</v>
      </c>
      <c r="Q4042" t="str">
        <f>_xlfn.XLOOKUP(Pipeline_tbl[[#This Row],[Rep_ID]],Dim_Reps!A:A,Dim_Reps!D:D)</f>
        <v>Mid-Market</v>
      </c>
      <c r="R4042" t="str">
        <f>_xlfn.XLOOKUP(Pipeline_tbl[[#This Row],[Rep_ID]],Dim_Reps!A:A,Dim_Reps!E:E)</f>
        <v>APAC</v>
      </c>
      <c r="S4042" t="str">
        <f>_xlfn.XLOOKUP(Pipeline_tbl[[#This Row],[Created_Date]],Dim_Date!A:A,Dim_Date!H:H)</f>
        <v>Jul 2024</v>
      </c>
      <c r="T4042" t="str">
        <f>IF(Pipeline_tbl[[#This Row],[Closed_Date]]=0,"",(_xlfn.XLOOKUP(Pipeline_tbl[[#This Row],[Closed_Date]],Dim_Date!A:A,Dim_Date!H:H)))</f>
        <v>Aug 2024</v>
      </c>
      <c r="U4042">
        <f>IF(Pipeline_tbl[[#This Row],[Closed_Date]]=0,"",Pipeline_tbl[[#This Row],[Closed_Date]]-Pipeline_tbl[[#This Row],[Created_Date]])</f>
        <v>40</v>
      </c>
    </row>
    <row r="4043" spans="1:21" ht="15" customHeight="1" x14ac:dyDescent="0.2">
      <c r="A4043" t="s">
        <v>4349</v>
      </c>
      <c r="B4043" t="s">
        <v>273</v>
      </c>
      <c r="C4043" t="s">
        <v>54</v>
      </c>
      <c r="D4043" s="49">
        <v>45500</v>
      </c>
      <c r="E4043" s="49">
        <v>45502</v>
      </c>
      <c r="F4043" s="49">
        <v>45508</v>
      </c>
      <c r="G4043" s="49">
        <v>45515</v>
      </c>
      <c r="H4043" s="49">
        <v>45521</v>
      </c>
      <c r="I4043" s="49">
        <v>45525</v>
      </c>
      <c r="J4043" t="s">
        <v>49</v>
      </c>
      <c r="K4043" s="33">
        <v>6300</v>
      </c>
      <c r="L4043" t="s">
        <v>60</v>
      </c>
      <c r="M4043" t="str">
        <f>_xlfn.XLOOKUP(Pipeline_tbl[[#This Row],[Rep_ID]],Dim_Reps!A:A,Dim_Reps!K:K)</f>
        <v>EUR</v>
      </c>
      <c r="N4043" s="33">
        <f>(_xlfn.XLOOKUP(Pipeline_tbl[[#This Row],[Rate_Code_Generalized]],Lookups!A:A,Lookups!B:B))*Pipeline_tbl[[#This Row],[Pipeline_Amount_USD]]</f>
        <v>6300</v>
      </c>
      <c r="O4043" t="str">
        <f>_xlfn.XLOOKUP(Pipeline_tbl[[#This Row],[Rep_ID]],Dim_Reps!A:A,Dim_Reps!B:B)</f>
        <v>Olivia Cohen</v>
      </c>
      <c r="P4043" t="str">
        <f>_xlfn.XLOOKUP(Pipeline_tbl[[#This Row],[Rep_ID]],Dim_Reps!A:A,Dim_Reps!C:C)</f>
        <v>Mid-Market AE</v>
      </c>
      <c r="Q4043" t="str">
        <f>_xlfn.XLOOKUP(Pipeline_tbl[[#This Row],[Rep_ID]],Dim_Reps!A:A,Dim_Reps!D:D)</f>
        <v>Mid-Market</v>
      </c>
      <c r="R4043" t="str">
        <f>_xlfn.XLOOKUP(Pipeline_tbl[[#This Row],[Rep_ID]],Dim_Reps!A:A,Dim_Reps!E:E)</f>
        <v>APAC</v>
      </c>
      <c r="S4043" t="str">
        <f>_xlfn.XLOOKUP(Pipeline_tbl[[#This Row],[Created_Date]],Dim_Date!A:A,Dim_Date!H:H)</f>
        <v>Jul 2024</v>
      </c>
      <c r="T4043" t="str">
        <f>IF(Pipeline_tbl[[#This Row],[Closed_Date]]=0,"",(_xlfn.XLOOKUP(Pipeline_tbl[[#This Row],[Closed_Date]],Dim_Date!A:A,Dim_Date!H:H)))</f>
        <v>Aug 2024</v>
      </c>
      <c r="U4043">
        <f>IF(Pipeline_tbl[[#This Row],[Closed_Date]]=0,"",Pipeline_tbl[[#This Row],[Closed_Date]]-Pipeline_tbl[[#This Row],[Created_Date]])</f>
        <v>25</v>
      </c>
    </row>
    <row r="4044" spans="1:21" ht="15" customHeight="1" x14ac:dyDescent="0.2">
      <c r="A4044" t="s">
        <v>4350</v>
      </c>
      <c r="B4044" t="s">
        <v>273</v>
      </c>
      <c r="C4044" t="s">
        <v>56</v>
      </c>
      <c r="D4044" s="49">
        <v>45503</v>
      </c>
      <c r="E4044" s="49">
        <v>45505</v>
      </c>
      <c r="F4044" s="49">
        <v>45510</v>
      </c>
      <c r="G4044" s="49">
        <v>45517</v>
      </c>
      <c r="I4044" s="49">
        <v>45526</v>
      </c>
      <c r="J4044" t="s">
        <v>49</v>
      </c>
      <c r="K4044" s="33">
        <v>6000</v>
      </c>
      <c r="L4044" t="s">
        <v>60</v>
      </c>
      <c r="M4044" t="str">
        <f>_xlfn.XLOOKUP(Pipeline_tbl[[#This Row],[Rep_ID]],Dim_Reps!A:A,Dim_Reps!K:K)</f>
        <v>EUR</v>
      </c>
      <c r="N4044" s="33">
        <f>(_xlfn.XLOOKUP(Pipeline_tbl[[#This Row],[Rate_Code_Generalized]],Lookups!A:A,Lookups!B:B))*Pipeline_tbl[[#This Row],[Pipeline_Amount_USD]]</f>
        <v>6000</v>
      </c>
      <c r="O4044" t="str">
        <f>_xlfn.XLOOKUP(Pipeline_tbl[[#This Row],[Rep_ID]],Dim_Reps!A:A,Dim_Reps!B:B)</f>
        <v>Olivia Cohen</v>
      </c>
      <c r="P4044" t="str">
        <f>_xlfn.XLOOKUP(Pipeline_tbl[[#This Row],[Rep_ID]],Dim_Reps!A:A,Dim_Reps!C:C)</f>
        <v>Mid-Market AE</v>
      </c>
      <c r="Q4044" t="str">
        <f>_xlfn.XLOOKUP(Pipeline_tbl[[#This Row],[Rep_ID]],Dim_Reps!A:A,Dim_Reps!D:D)</f>
        <v>Mid-Market</v>
      </c>
      <c r="R4044" t="str">
        <f>_xlfn.XLOOKUP(Pipeline_tbl[[#This Row],[Rep_ID]],Dim_Reps!A:A,Dim_Reps!E:E)</f>
        <v>APAC</v>
      </c>
      <c r="S4044" t="str">
        <f>_xlfn.XLOOKUP(Pipeline_tbl[[#This Row],[Created_Date]],Dim_Date!A:A,Dim_Date!H:H)</f>
        <v>Jul 2024</v>
      </c>
      <c r="T4044" t="str">
        <f>IF(Pipeline_tbl[[#This Row],[Closed_Date]]=0,"",(_xlfn.XLOOKUP(Pipeline_tbl[[#This Row],[Closed_Date]],Dim_Date!A:A,Dim_Date!H:H)))</f>
        <v>Aug 2024</v>
      </c>
      <c r="U4044">
        <f>IF(Pipeline_tbl[[#This Row],[Closed_Date]]=0,"",Pipeline_tbl[[#This Row],[Closed_Date]]-Pipeline_tbl[[#This Row],[Created_Date]])</f>
        <v>23</v>
      </c>
    </row>
    <row r="4045" spans="1:21" ht="15" customHeight="1" x14ac:dyDescent="0.2">
      <c r="A4045" t="s">
        <v>4351</v>
      </c>
      <c r="B4045" t="s">
        <v>273</v>
      </c>
      <c r="C4045" t="s">
        <v>54</v>
      </c>
      <c r="D4045" s="49">
        <v>45494</v>
      </c>
      <c r="E4045" s="49">
        <v>45497</v>
      </c>
      <c r="F4045" s="49">
        <v>45502</v>
      </c>
      <c r="G4045" s="49">
        <v>45510</v>
      </c>
      <c r="I4045" s="49">
        <v>45521</v>
      </c>
      <c r="J4045" t="s">
        <v>49</v>
      </c>
      <c r="K4045" s="33">
        <v>7200</v>
      </c>
      <c r="L4045" t="s">
        <v>60</v>
      </c>
      <c r="M4045" t="str">
        <f>_xlfn.XLOOKUP(Pipeline_tbl[[#This Row],[Rep_ID]],Dim_Reps!A:A,Dim_Reps!K:K)</f>
        <v>EUR</v>
      </c>
      <c r="N4045" s="33">
        <f>(_xlfn.XLOOKUP(Pipeline_tbl[[#This Row],[Rate_Code_Generalized]],Lookups!A:A,Lookups!B:B))*Pipeline_tbl[[#This Row],[Pipeline_Amount_USD]]</f>
        <v>7200</v>
      </c>
      <c r="O4045" t="str">
        <f>_xlfn.XLOOKUP(Pipeline_tbl[[#This Row],[Rep_ID]],Dim_Reps!A:A,Dim_Reps!B:B)</f>
        <v>Olivia Cohen</v>
      </c>
      <c r="P4045" t="str">
        <f>_xlfn.XLOOKUP(Pipeline_tbl[[#This Row],[Rep_ID]],Dim_Reps!A:A,Dim_Reps!C:C)</f>
        <v>Mid-Market AE</v>
      </c>
      <c r="Q4045" t="str">
        <f>_xlfn.XLOOKUP(Pipeline_tbl[[#This Row],[Rep_ID]],Dim_Reps!A:A,Dim_Reps!D:D)</f>
        <v>Mid-Market</v>
      </c>
      <c r="R4045" t="str">
        <f>_xlfn.XLOOKUP(Pipeline_tbl[[#This Row],[Rep_ID]],Dim_Reps!A:A,Dim_Reps!E:E)</f>
        <v>APAC</v>
      </c>
      <c r="S4045" t="str">
        <f>_xlfn.XLOOKUP(Pipeline_tbl[[#This Row],[Created_Date]],Dim_Date!A:A,Dim_Date!H:H)</f>
        <v>Jul 2024</v>
      </c>
      <c r="T4045" t="str">
        <f>IF(Pipeline_tbl[[#This Row],[Closed_Date]]=0,"",(_xlfn.XLOOKUP(Pipeline_tbl[[#This Row],[Closed_Date]],Dim_Date!A:A,Dim_Date!H:H)))</f>
        <v>Aug 2024</v>
      </c>
      <c r="U4045">
        <f>IF(Pipeline_tbl[[#This Row],[Closed_Date]]=0,"",Pipeline_tbl[[#This Row],[Closed_Date]]-Pipeline_tbl[[#This Row],[Created_Date]])</f>
        <v>27</v>
      </c>
    </row>
    <row r="4046" spans="1:21" ht="15" customHeight="1" x14ac:dyDescent="0.2">
      <c r="A4046" t="s">
        <v>4352</v>
      </c>
      <c r="B4046" t="s">
        <v>241</v>
      </c>
      <c r="C4046" t="s">
        <v>53</v>
      </c>
      <c r="D4046" s="49">
        <v>45497</v>
      </c>
      <c r="E4046" s="49">
        <v>45499</v>
      </c>
      <c r="I4046" s="49">
        <v>45513</v>
      </c>
      <c r="J4046" t="s">
        <v>49</v>
      </c>
      <c r="K4046" s="33">
        <v>3700</v>
      </c>
      <c r="L4046" t="s">
        <v>63</v>
      </c>
      <c r="M4046" t="str">
        <f>_xlfn.XLOOKUP(Pipeline_tbl[[#This Row],[Rep_ID]],Dim_Reps!A:A,Dim_Reps!K:K)</f>
        <v>EUR</v>
      </c>
      <c r="N4046" s="33">
        <f>(_xlfn.XLOOKUP(Pipeline_tbl[[#This Row],[Rate_Code_Generalized]],Lookups!A:A,Lookups!B:B))*Pipeline_tbl[[#This Row],[Pipeline_Amount_USD]]</f>
        <v>3700</v>
      </c>
      <c r="O4046" t="str">
        <f>_xlfn.XLOOKUP(Pipeline_tbl[[#This Row],[Rep_ID]],Dim_Reps!A:A,Dim_Reps!B:B)</f>
        <v>Kenji Weber</v>
      </c>
      <c r="P4046" t="str">
        <f>_xlfn.XLOOKUP(Pipeline_tbl[[#This Row],[Rep_ID]],Dim_Reps!A:A,Dim_Reps!C:C)</f>
        <v>SDR / Inside Sales Rep</v>
      </c>
      <c r="Q4046" t="str">
        <f>_xlfn.XLOOKUP(Pipeline_tbl[[#This Row],[Rep_ID]],Dim_Reps!A:A,Dim_Reps!D:D)</f>
        <v>Inside Sales</v>
      </c>
      <c r="R4046" t="str">
        <f>_xlfn.XLOOKUP(Pipeline_tbl[[#This Row],[Rep_ID]],Dim_Reps!A:A,Dim_Reps!E:E)</f>
        <v>APAC</v>
      </c>
      <c r="S4046" t="str">
        <f>_xlfn.XLOOKUP(Pipeline_tbl[[#This Row],[Created_Date]],Dim_Date!A:A,Dim_Date!H:H)</f>
        <v>Jul 2024</v>
      </c>
      <c r="T4046" t="str">
        <f>IF(Pipeline_tbl[[#This Row],[Closed_Date]]=0,"",(_xlfn.XLOOKUP(Pipeline_tbl[[#This Row],[Closed_Date]],Dim_Date!A:A,Dim_Date!H:H)))</f>
        <v>Aug 2024</v>
      </c>
      <c r="U4046">
        <f>IF(Pipeline_tbl[[#This Row],[Closed_Date]]=0,"",Pipeline_tbl[[#This Row],[Closed_Date]]-Pipeline_tbl[[#This Row],[Created_Date]])</f>
        <v>16</v>
      </c>
    </row>
    <row r="4047" spans="1:21" ht="15" customHeight="1" x14ac:dyDescent="0.2">
      <c r="A4047" t="s">
        <v>4353</v>
      </c>
      <c r="B4047" t="s">
        <v>241</v>
      </c>
      <c r="C4047" t="s">
        <v>52</v>
      </c>
      <c r="D4047" s="49">
        <v>45495</v>
      </c>
      <c r="E4047" s="49">
        <v>45497</v>
      </c>
      <c r="F4047" s="49">
        <v>45501</v>
      </c>
      <c r="I4047" s="49">
        <v>45515</v>
      </c>
      <c r="J4047" t="s">
        <v>49</v>
      </c>
      <c r="K4047" s="33">
        <v>4600</v>
      </c>
      <c r="L4047" t="s">
        <v>61</v>
      </c>
      <c r="M4047" t="str">
        <f>_xlfn.XLOOKUP(Pipeline_tbl[[#This Row],[Rep_ID]],Dim_Reps!A:A,Dim_Reps!K:K)</f>
        <v>EUR</v>
      </c>
      <c r="N4047" s="33">
        <f>(_xlfn.XLOOKUP(Pipeline_tbl[[#This Row],[Rate_Code_Generalized]],Lookups!A:A,Lookups!B:B))*Pipeline_tbl[[#This Row],[Pipeline_Amount_USD]]</f>
        <v>4600</v>
      </c>
      <c r="O4047" t="str">
        <f>_xlfn.XLOOKUP(Pipeline_tbl[[#This Row],[Rep_ID]],Dim_Reps!A:A,Dim_Reps!B:B)</f>
        <v>Kenji Weber</v>
      </c>
      <c r="P4047" t="str">
        <f>_xlfn.XLOOKUP(Pipeline_tbl[[#This Row],[Rep_ID]],Dim_Reps!A:A,Dim_Reps!C:C)</f>
        <v>SDR / Inside Sales Rep</v>
      </c>
      <c r="Q4047" t="str">
        <f>_xlfn.XLOOKUP(Pipeline_tbl[[#This Row],[Rep_ID]],Dim_Reps!A:A,Dim_Reps!D:D)</f>
        <v>Inside Sales</v>
      </c>
      <c r="R4047" t="str">
        <f>_xlfn.XLOOKUP(Pipeline_tbl[[#This Row],[Rep_ID]],Dim_Reps!A:A,Dim_Reps!E:E)</f>
        <v>APAC</v>
      </c>
      <c r="S4047" t="str">
        <f>_xlfn.XLOOKUP(Pipeline_tbl[[#This Row],[Created_Date]],Dim_Date!A:A,Dim_Date!H:H)</f>
        <v>Jul 2024</v>
      </c>
      <c r="T4047" t="str">
        <f>IF(Pipeline_tbl[[#This Row],[Closed_Date]]=0,"",(_xlfn.XLOOKUP(Pipeline_tbl[[#This Row],[Closed_Date]],Dim_Date!A:A,Dim_Date!H:H)))</f>
        <v>Aug 2024</v>
      </c>
      <c r="U4047">
        <f>IF(Pipeline_tbl[[#This Row],[Closed_Date]]=0,"",Pipeline_tbl[[#This Row],[Closed_Date]]-Pipeline_tbl[[#This Row],[Created_Date]])</f>
        <v>20</v>
      </c>
    </row>
    <row r="4048" spans="1:21" ht="15" customHeight="1" x14ac:dyDescent="0.2">
      <c r="A4048" t="s">
        <v>4354</v>
      </c>
      <c r="B4048" t="s">
        <v>241</v>
      </c>
      <c r="C4048" t="s">
        <v>56</v>
      </c>
      <c r="D4048" s="49">
        <v>45488</v>
      </c>
      <c r="E4048" s="49">
        <v>45490</v>
      </c>
      <c r="F4048" s="49">
        <v>45494</v>
      </c>
      <c r="G4048" s="49">
        <v>45499</v>
      </c>
      <c r="I4048" s="49">
        <v>45507</v>
      </c>
      <c r="J4048" t="s">
        <v>49</v>
      </c>
      <c r="K4048" s="33">
        <v>3500</v>
      </c>
      <c r="L4048" t="s">
        <v>61</v>
      </c>
      <c r="M4048" t="str">
        <f>_xlfn.XLOOKUP(Pipeline_tbl[[#This Row],[Rep_ID]],Dim_Reps!A:A,Dim_Reps!K:K)</f>
        <v>EUR</v>
      </c>
      <c r="N4048" s="33">
        <f>(_xlfn.XLOOKUP(Pipeline_tbl[[#This Row],[Rate_Code_Generalized]],Lookups!A:A,Lookups!B:B))*Pipeline_tbl[[#This Row],[Pipeline_Amount_USD]]</f>
        <v>3500</v>
      </c>
      <c r="O4048" t="str">
        <f>_xlfn.XLOOKUP(Pipeline_tbl[[#This Row],[Rep_ID]],Dim_Reps!A:A,Dim_Reps!B:B)</f>
        <v>Kenji Weber</v>
      </c>
      <c r="P4048" t="str">
        <f>_xlfn.XLOOKUP(Pipeline_tbl[[#This Row],[Rep_ID]],Dim_Reps!A:A,Dim_Reps!C:C)</f>
        <v>SDR / Inside Sales Rep</v>
      </c>
      <c r="Q4048" t="str">
        <f>_xlfn.XLOOKUP(Pipeline_tbl[[#This Row],[Rep_ID]],Dim_Reps!A:A,Dim_Reps!D:D)</f>
        <v>Inside Sales</v>
      </c>
      <c r="R4048" t="str">
        <f>_xlfn.XLOOKUP(Pipeline_tbl[[#This Row],[Rep_ID]],Dim_Reps!A:A,Dim_Reps!E:E)</f>
        <v>APAC</v>
      </c>
      <c r="S4048" t="str">
        <f>_xlfn.XLOOKUP(Pipeline_tbl[[#This Row],[Created_Date]],Dim_Date!A:A,Dim_Date!H:H)</f>
        <v>Jul 2024</v>
      </c>
      <c r="T4048" t="str">
        <f>IF(Pipeline_tbl[[#This Row],[Closed_Date]]=0,"",(_xlfn.XLOOKUP(Pipeline_tbl[[#This Row],[Closed_Date]],Dim_Date!A:A,Dim_Date!H:H)))</f>
        <v>Aug 2024</v>
      </c>
      <c r="U4048">
        <f>IF(Pipeline_tbl[[#This Row],[Closed_Date]]=0,"",Pipeline_tbl[[#This Row],[Closed_Date]]-Pipeline_tbl[[#This Row],[Created_Date]])</f>
        <v>19</v>
      </c>
    </row>
    <row r="4049" spans="1:21" ht="15" customHeight="1" x14ac:dyDescent="0.2">
      <c r="A4049" t="s">
        <v>4355</v>
      </c>
      <c r="B4049" t="s">
        <v>241</v>
      </c>
      <c r="C4049" t="s">
        <v>56</v>
      </c>
      <c r="D4049" s="49">
        <v>45496</v>
      </c>
      <c r="E4049" s="49">
        <v>45498</v>
      </c>
      <c r="F4049" s="49">
        <v>45501</v>
      </c>
      <c r="G4049" s="49">
        <v>45506</v>
      </c>
      <c r="H4049" s="49">
        <v>45510</v>
      </c>
      <c r="I4049" s="49">
        <v>45512</v>
      </c>
      <c r="J4049" t="s">
        <v>49</v>
      </c>
      <c r="K4049" s="33">
        <v>2900</v>
      </c>
      <c r="L4049" t="s">
        <v>60</v>
      </c>
      <c r="M4049" t="str">
        <f>_xlfn.XLOOKUP(Pipeline_tbl[[#This Row],[Rep_ID]],Dim_Reps!A:A,Dim_Reps!K:K)</f>
        <v>EUR</v>
      </c>
      <c r="N4049" s="33">
        <f>(_xlfn.XLOOKUP(Pipeline_tbl[[#This Row],[Rate_Code_Generalized]],Lookups!A:A,Lookups!B:B))*Pipeline_tbl[[#This Row],[Pipeline_Amount_USD]]</f>
        <v>2900</v>
      </c>
      <c r="O4049" t="str">
        <f>_xlfn.XLOOKUP(Pipeline_tbl[[#This Row],[Rep_ID]],Dim_Reps!A:A,Dim_Reps!B:B)</f>
        <v>Kenji Weber</v>
      </c>
      <c r="P4049" t="str">
        <f>_xlfn.XLOOKUP(Pipeline_tbl[[#This Row],[Rep_ID]],Dim_Reps!A:A,Dim_Reps!C:C)</f>
        <v>SDR / Inside Sales Rep</v>
      </c>
      <c r="Q4049" t="str">
        <f>_xlfn.XLOOKUP(Pipeline_tbl[[#This Row],[Rep_ID]],Dim_Reps!A:A,Dim_Reps!D:D)</f>
        <v>Inside Sales</v>
      </c>
      <c r="R4049" t="str">
        <f>_xlfn.XLOOKUP(Pipeline_tbl[[#This Row],[Rep_ID]],Dim_Reps!A:A,Dim_Reps!E:E)</f>
        <v>APAC</v>
      </c>
      <c r="S4049" t="str">
        <f>_xlfn.XLOOKUP(Pipeline_tbl[[#This Row],[Created_Date]],Dim_Date!A:A,Dim_Date!H:H)</f>
        <v>Jul 2024</v>
      </c>
      <c r="T4049" t="str">
        <f>IF(Pipeline_tbl[[#This Row],[Closed_Date]]=0,"",(_xlfn.XLOOKUP(Pipeline_tbl[[#This Row],[Closed_Date]],Dim_Date!A:A,Dim_Date!H:H)))</f>
        <v>Aug 2024</v>
      </c>
      <c r="U4049">
        <f>IF(Pipeline_tbl[[#This Row],[Closed_Date]]=0,"",Pipeline_tbl[[#This Row],[Closed_Date]]-Pipeline_tbl[[#This Row],[Created_Date]])</f>
        <v>16</v>
      </c>
    </row>
    <row r="4050" spans="1:21" ht="15" customHeight="1" x14ac:dyDescent="0.2">
      <c r="A4050" t="s">
        <v>4356</v>
      </c>
      <c r="B4050" t="s">
        <v>193</v>
      </c>
      <c r="C4050" t="s">
        <v>52</v>
      </c>
      <c r="D4050" s="49">
        <v>45475</v>
      </c>
      <c r="E4050" s="49">
        <v>45477</v>
      </c>
      <c r="F4050" s="49">
        <v>45481</v>
      </c>
      <c r="G4050" s="49">
        <v>45486</v>
      </c>
      <c r="H4050" s="49">
        <v>45491</v>
      </c>
      <c r="I4050" s="49">
        <v>45494</v>
      </c>
      <c r="J4050" t="s">
        <v>49</v>
      </c>
      <c r="K4050" s="33">
        <v>2800</v>
      </c>
      <c r="L4050" t="s">
        <v>63</v>
      </c>
      <c r="M4050" t="str">
        <f>_xlfn.XLOOKUP(Pipeline_tbl[[#This Row],[Rep_ID]],Dim_Reps!A:A,Dim_Reps!K:K)</f>
        <v>USD</v>
      </c>
      <c r="N4050" s="33">
        <f>(_xlfn.XLOOKUP(Pipeline_tbl[[#This Row],[Rate_Code_Generalized]],Lookups!A:A,Lookups!B:B))*Pipeline_tbl[[#This Row],[Pipeline_Amount_USD]]</f>
        <v>3260.0399999999995</v>
      </c>
      <c r="O4050" t="str">
        <f>_xlfn.XLOOKUP(Pipeline_tbl[[#This Row],[Rep_ID]],Dim_Reps!A:A,Dim_Reps!B:B)</f>
        <v>Karim Rossi</v>
      </c>
      <c r="P4050" t="str">
        <f>_xlfn.XLOOKUP(Pipeline_tbl[[#This Row],[Rep_ID]],Dim_Reps!A:A,Dim_Reps!C:C)</f>
        <v>SDR / Inside Sales Rep</v>
      </c>
      <c r="Q4050" t="str">
        <f>_xlfn.XLOOKUP(Pipeline_tbl[[#This Row],[Rep_ID]],Dim_Reps!A:A,Dim_Reps!D:D)</f>
        <v>Inside Sales</v>
      </c>
      <c r="R4050" t="str">
        <f>_xlfn.XLOOKUP(Pipeline_tbl[[#This Row],[Rep_ID]],Dim_Reps!A:A,Dim_Reps!E:E)</f>
        <v>NAMER</v>
      </c>
      <c r="S4050" t="str">
        <f>_xlfn.XLOOKUP(Pipeline_tbl[[#This Row],[Created_Date]],Dim_Date!A:A,Dim_Date!H:H)</f>
        <v>Jul 2024</v>
      </c>
      <c r="T4050" t="str">
        <f>IF(Pipeline_tbl[[#This Row],[Closed_Date]]=0,"",(_xlfn.XLOOKUP(Pipeline_tbl[[#This Row],[Closed_Date]],Dim_Date!A:A,Dim_Date!H:H)))</f>
        <v>Jul 2024</v>
      </c>
      <c r="U4050">
        <f>IF(Pipeline_tbl[[#This Row],[Closed_Date]]=0,"",Pipeline_tbl[[#This Row],[Closed_Date]]-Pipeline_tbl[[#This Row],[Created_Date]])</f>
        <v>19</v>
      </c>
    </row>
    <row r="4051" spans="1:21" ht="15" customHeight="1" x14ac:dyDescent="0.2">
      <c r="A4051" t="s">
        <v>4357</v>
      </c>
      <c r="B4051" t="s">
        <v>193</v>
      </c>
      <c r="C4051" t="s">
        <v>52</v>
      </c>
      <c r="D4051" s="49">
        <v>45476</v>
      </c>
      <c r="E4051" s="49">
        <v>45477</v>
      </c>
      <c r="F4051" s="49">
        <v>45480</v>
      </c>
      <c r="G4051" s="49">
        <v>45484</v>
      </c>
      <c r="H4051" s="49">
        <v>45487</v>
      </c>
      <c r="I4051" s="49">
        <v>45489</v>
      </c>
      <c r="J4051" t="s">
        <v>47</v>
      </c>
      <c r="K4051" s="33">
        <v>2200</v>
      </c>
      <c r="M4051" t="str">
        <f>_xlfn.XLOOKUP(Pipeline_tbl[[#This Row],[Rep_ID]],Dim_Reps!A:A,Dim_Reps!K:K)</f>
        <v>USD</v>
      </c>
      <c r="N4051" s="33">
        <f>(_xlfn.XLOOKUP(Pipeline_tbl[[#This Row],[Rate_Code_Generalized]],Lookups!A:A,Lookups!B:B))*Pipeline_tbl[[#This Row],[Pipeline_Amount_USD]]</f>
        <v>2561.4599999999996</v>
      </c>
      <c r="O4051" t="str">
        <f>_xlfn.XLOOKUP(Pipeline_tbl[[#This Row],[Rep_ID]],Dim_Reps!A:A,Dim_Reps!B:B)</f>
        <v>Karim Rossi</v>
      </c>
      <c r="P4051" t="str">
        <f>_xlfn.XLOOKUP(Pipeline_tbl[[#This Row],[Rep_ID]],Dim_Reps!A:A,Dim_Reps!C:C)</f>
        <v>SDR / Inside Sales Rep</v>
      </c>
      <c r="Q4051" t="str">
        <f>_xlfn.XLOOKUP(Pipeline_tbl[[#This Row],[Rep_ID]],Dim_Reps!A:A,Dim_Reps!D:D)</f>
        <v>Inside Sales</v>
      </c>
      <c r="R4051" t="str">
        <f>_xlfn.XLOOKUP(Pipeline_tbl[[#This Row],[Rep_ID]],Dim_Reps!A:A,Dim_Reps!E:E)</f>
        <v>NAMER</v>
      </c>
      <c r="S4051" t="str">
        <f>_xlfn.XLOOKUP(Pipeline_tbl[[#This Row],[Created_Date]],Dim_Date!A:A,Dim_Date!H:H)</f>
        <v>Jul 2024</v>
      </c>
      <c r="T4051" t="str">
        <f>IF(Pipeline_tbl[[#This Row],[Closed_Date]]=0,"",(_xlfn.XLOOKUP(Pipeline_tbl[[#This Row],[Closed_Date]],Dim_Date!A:A,Dim_Date!H:H)))</f>
        <v>Jul 2024</v>
      </c>
      <c r="U4051">
        <f>IF(Pipeline_tbl[[#This Row],[Closed_Date]]=0,"",Pipeline_tbl[[#This Row],[Closed_Date]]-Pipeline_tbl[[#This Row],[Created_Date]])</f>
        <v>13</v>
      </c>
    </row>
    <row r="4052" spans="1:21" ht="15" customHeight="1" x14ac:dyDescent="0.2">
      <c r="A4052" t="s">
        <v>4358</v>
      </c>
      <c r="B4052" t="s">
        <v>193</v>
      </c>
      <c r="C4052" t="s">
        <v>52</v>
      </c>
      <c r="D4052" s="49">
        <v>45487</v>
      </c>
      <c r="E4052" s="49">
        <v>45488</v>
      </c>
      <c r="F4052" s="49">
        <v>45490</v>
      </c>
      <c r="G4052" s="49">
        <v>45494</v>
      </c>
      <c r="I4052" s="49">
        <v>45498</v>
      </c>
      <c r="J4052" t="s">
        <v>49</v>
      </c>
      <c r="K4052" s="33">
        <v>9200</v>
      </c>
      <c r="L4052" t="s">
        <v>64</v>
      </c>
      <c r="M4052" t="str">
        <f>_xlfn.XLOOKUP(Pipeline_tbl[[#This Row],[Rep_ID]],Dim_Reps!A:A,Dim_Reps!K:K)</f>
        <v>USD</v>
      </c>
      <c r="N4052" s="33">
        <f>(_xlfn.XLOOKUP(Pipeline_tbl[[#This Row],[Rate_Code_Generalized]],Lookups!A:A,Lookups!B:B))*Pipeline_tbl[[#This Row],[Pipeline_Amount_USD]]</f>
        <v>10711.56</v>
      </c>
      <c r="O4052" t="str">
        <f>_xlfn.XLOOKUP(Pipeline_tbl[[#This Row],[Rep_ID]],Dim_Reps!A:A,Dim_Reps!B:B)</f>
        <v>Karim Rossi</v>
      </c>
      <c r="P4052" t="str">
        <f>_xlfn.XLOOKUP(Pipeline_tbl[[#This Row],[Rep_ID]],Dim_Reps!A:A,Dim_Reps!C:C)</f>
        <v>SDR / Inside Sales Rep</v>
      </c>
      <c r="Q4052" t="str">
        <f>_xlfn.XLOOKUP(Pipeline_tbl[[#This Row],[Rep_ID]],Dim_Reps!A:A,Dim_Reps!D:D)</f>
        <v>Inside Sales</v>
      </c>
      <c r="R4052" t="str">
        <f>_xlfn.XLOOKUP(Pipeline_tbl[[#This Row],[Rep_ID]],Dim_Reps!A:A,Dim_Reps!E:E)</f>
        <v>NAMER</v>
      </c>
      <c r="S4052" t="str">
        <f>_xlfn.XLOOKUP(Pipeline_tbl[[#This Row],[Created_Date]],Dim_Date!A:A,Dim_Date!H:H)</f>
        <v>Jul 2024</v>
      </c>
      <c r="T4052" t="str">
        <f>IF(Pipeline_tbl[[#This Row],[Closed_Date]]=0,"",(_xlfn.XLOOKUP(Pipeline_tbl[[#This Row],[Closed_Date]],Dim_Date!A:A,Dim_Date!H:H)))</f>
        <v>Jul 2024</v>
      </c>
      <c r="U4052">
        <f>IF(Pipeline_tbl[[#This Row],[Closed_Date]]=0,"",Pipeline_tbl[[#This Row],[Closed_Date]]-Pipeline_tbl[[#This Row],[Created_Date]])</f>
        <v>11</v>
      </c>
    </row>
    <row r="4053" spans="1:21" ht="15" customHeight="1" x14ac:dyDescent="0.2">
      <c r="A4053" t="s">
        <v>4359</v>
      </c>
      <c r="B4053" t="s">
        <v>196</v>
      </c>
      <c r="C4053" t="s">
        <v>53</v>
      </c>
      <c r="D4053" s="49">
        <v>45480</v>
      </c>
      <c r="E4053" s="49">
        <v>45482</v>
      </c>
      <c r="F4053" s="49">
        <v>45486</v>
      </c>
      <c r="G4053" s="49">
        <v>45492</v>
      </c>
      <c r="H4053" s="49">
        <v>45497</v>
      </c>
      <c r="I4053" s="49">
        <v>45500</v>
      </c>
      <c r="J4053" t="s">
        <v>47</v>
      </c>
      <c r="K4053" s="33">
        <v>3800</v>
      </c>
      <c r="M4053" t="str">
        <f>_xlfn.XLOOKUP(Pipeline_tbl[[#This Row],[Rep_ID]],Dim_Reps!A:A,Dim_Reps!K:K)</f>
        <v>EUR</v>
      </c>
      <c r="N4053" s="33">
        <f>(_xlfn.XLOOKUP(Pipeline_tbl[[#This Row],[Rate_Code_Generalized]],Lookups!A:A,Lookups!B:B))*Pipeline_tbl[[#This Row],[Pipeline_Amount_USD]]</f>
        <v>3800</v>
      </c>
      <c r="O4053" t="str">
        <f>_xlfn.XLOOKUP(Pipeline_tbl[[#This Row],[Rep_ID]],Dim_Reps!A:A,Dim_Reps!B:B)</f>
        <v>Alex Okafor</v>
      </c>
      <c r="P4053" t="str">
        <f>_xlfn.XLOOKUP(Pipeline_tbl[[#This Row],[Rep_ID]],Dim_Reps!A:A,Dim_Reps!C:C)</f>
        <v>SDR / Inside Sales Rep</v>
      </c>
      <c r="Q4053" t="str">
        <f>_xlfn.XLOOKUP(Pipeline_tbl[[#This Row],[Rep_ID]],Dim_Reps!A:A,Dim_Reps!D:D)</f>
        <v>Inside Sales</v>
      </c>
      <c r="R4053" t="str">
        <f>_xlfn.XLOOKUP(Pipeline_tbl[[#This Row],[Rep_ID]],Dim_Reps!A:A,Dim_Reps!E:E)</f>
        <v>EMEA</v>
      </c>
      <c r="S4053" t="str">
        <f>_xlfn.XLOOKUP(Pipeline_tbl[[#This Row],[Created_Date]],Dim_Date!A:A,Dim_Date!H:H)</f>
        <v>Jul 2024</v>
      </c>
      <c r="T4053" t="str">
        <f>IF(Pipeline_tbl[[#This Row],[Closed_Date]]=0,"",(_xlfn.XLOOKUP(Pipeline_tbl[[#This Row],[Closed_Date]],Dim_Date!A:A,Dim_Date!H:H)))</f>
        <v>Jul 2024</v>
      </c>
      <c r="U4053">
        <f>IF(Pipeline_tbl[[#This Row],[Closed_Date]]=0,"",Pipeline_tbl[[#This Row],[Closed_Date]]-Pipeline_tbl[[#This Row],[Created_Date]])</f>
        <v>20</v>
      </c>
    </row>
    <row r="4054" spans="1:21" ht="15" customHeight="1" x14ac:dyDescent="0.2">
      <c r="A4054" t="s">
        <v>4360</v>
      </c>
      <c r="B4054" t="s">
        <v>199</v>
      </c>
      <c r="C4054" t="s">
        <v>52</v>
      </c>
      <c r="D4054" s="49">
        <v>45484</v>
      </c>
      <c r="E4054" s="49">
        <v>45485</v>
      </c>
      <c r="F4054" s="49">
        <v>45487</v>
      </c>
      <c r="I4054" s="49">
        <v>45495</v>
      </c>
      <c r="J4054" t="s">
        <v>49</v>
      </c>
      <c r="K4054" s="33">
        <v>3200</v>
      </c>
      <c r="L4054" t="s">
        <v>60</v>
      </c>
      <c r="M4054" t="str">
        <f>_xlfn.XLOOKUP(Pipeline_tbl[[#This Row],[Rep_ID]],Dim_Reps!A:A,Dim_Reps!K:K)</f>
        <v>EUR</v>
      </c>
      <c r="N4054" s="33">
        <f>(_xlfn.XLOOKUP(Pipeline_tbl[[#This Row],[Rate_Code_Generalized]],Lookups!A:A,Lookups!B:B))*Pipeline_tbl[[#This Row],[Pipeline_Amount_USD]]</f>
        <v>3200</v>
      </c>
      <c r="O4054" t="str">
        <f>_xlfn.XLOOKUP(Pipeline_tbl[[#This Row],[Rep_ID]],Dim_Reps!A:A,Dim_Reps!B:B)</f>
        <v>Lucas Okafor</v>
      </c>
      <c r="P4054" t="str">
        <f>_xlfn.XLOOKUP(Pipeline_tbl[[#This Row],[Rep_ID]],Dim_Reps!A:A,Dim_Reps!C:C)</f>
        <v>SDR / Inside Sales Rep</v>
      </c>
      <c r="Q4054" t="str">
        <f>_xlfn.XLOOKUP(Pipeline_tbl[[#This Row],[Rep_ID]],Dim_Reps!A:A,Dim_Reps!D:D)</f>
        <v>Inside Sales</v>
      </c>
      <c r="R4054" t="str">
        <f>_xlfn.XLOOKUP(Pipeline_tbl[[#This Row],[Rep_ID]],Dim_Reps!A:A,Dim_Reps!E:E)</f>
        <v>APAC</v>
      </c>
      <c r="S4054" t="str">
        <f>_xlfn.XLOOKUP(Pipeline_tbl[[#This Row],[Created_Date]],Dim_Date!A:A,Dim_Date!H:H)</f>
        <v>Jul 2024</v>
      </c>
      <c r="T4054" t="str">
        <f>IF(Pipeline_tbl[[#This Row],[Closed_Date]]=0,"",(_xlfn.XLOOKUP(Pipeline_tbl[[#This Row],[Closed_Date]],Dim_Date!A:A,Dim_Date!H:H)))</f>
        <v>Jul 2024</v>
      </c>
      <c r="U4054">
        <f>IF(Pipeline_tbl[[#This Row],[Closed_Date]]=0,"",Pipeline_tbl[[#This Row],[Closed_Date]]-Pipeline_tbl[[#This Row],[Created_Date]])</f>
        <v>11</v>
      </c>
    </row>
    <row r="4055" spans="1:21" ht="15" customHeight="1" x14ac:dyDescent="0.2">
      <c r="A4055" t="s">
        <v>4361</v>
      </c>
      <c r="B4055" t="s">
        <v>199</v>
      </c>
      <c r="C4055" t="s">
        <v>52</v>
      </c>
      <c r="D4055" s="49">
        <v>45479</v>
      </c>
      <c r="E4055" s="49">
        <v>45481</v>
      </c>
      <c r="I4055" s="49">
        <v>45499</v>
      </c>
      <c r="J4055" t="s">
        <v>49</v>
      </c>
      <c r="K4055" s="33">
        <v>3300</v>
      </c>
      <c r="L4055" t="s">
        <v>64</v>
      </c>
      <c r="M4055" t="str">
        <f>_xlfn.XLOOKUP(Pipeline_tbl[[#This Row],[Rep_ID]],Dim_Reps!A:A,Dim_Reps!K:K)</f>
        <v>EUR</v>
      </c>
      <c r="N4055" s="33">
        <f>(_xlfn.XLOOKUP(Pipeline_tbl[[#This Row],[Rate_Code_Generalized]],Lookups!A:A,Lookups!B:B))*Pipeline_tbl[[#This Row],[Pipeline_Amount_USD]]</f>
        <v>3300</v>
      </c>
      <c r="O4055" t="str">
        <f>_xlfn.XLOOKUP(Pipeline_tbl[[#This Row],[Rep_ID]],Dim_Reps!A:A,Dim_Reps!B:B)</f>
        <v>Lucas Okafor</v>
      </c>
      <c r="P4055" t="str">
        <f>_xlfn.XLOOKUP(Pipeline_tbl[[#This Row],[Rep_ID]],Dim_Reps!A:A,Dim_Reps!C:C)</f>
        <v>SDR / Inside Sales Rep</v>
      </c>
      <c r="Q4055" t="str">
        <f>_xlfn.XLOOKUP(Pipeline_tbl[[#This Row],[Rep_ID]],Dim_Reps!A:A,Dim_Reps!D:D)</f>
        <v>Inside Sales</v>
      </c>
      <c r="R4055" t="str">
        <f>_xlfn.XLOOKUP(Pipeline_tbl[[#This Row],[Rep_ID]],Dim_Reps!A:A,Dim_Reps!E:E)</f>
        <v>APAC</v>
      </c>
      <c r="S4055" t="str">
        <f>_xlfn.XLOOKUP(Pipeline_tbl[[#This Row],[Created_Date]],Dim_Date!A:A,Dim_Date!H:H)</f>
        <v>Jul 2024</v>
      </c>
      <c r="T4055" t="str">
        <f>IF(Pipeline_tbl[[#This Row],[Closed_Date]]=0,"",(_xlfn.XLOOKUP(Pipeline_tbl[[#This Row],[Closed_Date]],Dim_Date!A:A,Dim_Date!H:H)))</f>
        <v>Jul 2024</v>
      </c>
      <c r="U4055">
        <f>IF(Pipeline_tbl[[#This Row],[Closed_Date]]=0,"",Pipeline_tbl[[#This Row],[Closed_Date]]-Pipeline_tbl[[#This Row],[Created_Date]])</f>
        <v>20</v>
      </c>
    </row>
    <row r="4056" spans="1:21" ht="15" customHeight="1" x14ac:dyDescent="0.2">
      <c r="A4056" t="s">
        <v>4362</v>
      </c>
      <c r="B4056" t="s">
        <v>199</v>
      </c>
      <c r="C4056" t="s">
        <v>53</v>
      </c>
      <c r="D4056" s="49">
        <v>45480</v>
      </c>
      <c r="E4056" s="49">
        <v>45482</v>
      </c>
      <c r="F4056" s="49">
        <v>45487</v>
      </c>
      <c r="G4056" s="49">
        <v>45493</v>
      </c>
      <c r="I4056" s="49">
        <v>45502</v>
      </c>
      <c r="J4056" t="s">
        <v>49</v>
      </c>
      <c r="K4056" s="33">
        <v>5700</v>
      </c>
      <c r="L4056" t="s">
        <v>60</v>
      </c>
      <c r="M4056" t="str">
        <f>_xlfn.XLOOKUP(Pipeline_tbl[[#This Row],[Rep_ID]],Dim_Reps!A:A,Dim_Reps!K:K)</f>
        <v>EUR</v>
      </c>
      <c r="N4056" s="33">
        <f>(_xlfn.XLOOKUP(Pipeline_tbl[[#This Row],[Rate_Code_Generalized]],Lookups!A:A,Lookups!B:B))*Pipeline_tbl[[#This Row],[Pipeline_Amount_USD]]</f>
        <v>5700</v>
      </c>
      <c r="O4056" t="str">
        <f>_xlfn.XLOOKUP(Pipeline_tbl[[#This Row],[Rep_ID]],Dim_Reps!A:A,Dim_Reps!B:B)</f>
        <v>Lucas Okafor</v>
      </c>
      <c r="P4056" t="str">
        <f>_xlfn.XLOOKUP(Pipeline_tbl[[#This Row],[Rep_ID]],Dim_Reps!A:A,Dim_Reps!C:C)</f>
        <v>SDR / Inside Sales Rep</v>
      </c>
      <c r="Q4056" t="str">
        <f>_xlfn.XLOOKUP(Pipeline_tbl[[#This Row],[Rep_ID]],Dim_Reps!A:A,Dim_Reps!D:D)</f>
        <v>Inside Sales</v>
      </c>
      <c r="R4056" t="str">
        <f>_xlfn.XLOOKUP(Pipeline_tbl[[#This Row],[Rep_ID]],Dim_Reps!A:A,Dim_Reps!E:E)</f>
        <v>APAC</v>
      </c>
      <c r="S4056" t="str">
        <f>_xlfn.XLOOKUP(Pipeline_tbl[[#This Row],[Created_Date]],Dim_Date!A:A,Dim_Date!H:H)</f>
        <v>Jul 2024</v>
      </c>
      <c r="T4056" t="str">
        <f>IF(Pipeline_tbl[[#This Row],[Closed_Date]]=0,"",(_xlfn.XLOOKUP(Pipeline_tbl[[#This Row],[Closed_Date]],Dim_Date!A:A,Dim_Date!H:H)))</f>
        <v>Jul 2024</v>
      </c>
      <c r="U4056">
        <f>IF(Pipeline_tbl[[#This Row],[Closed_Date]]=0,"",Pipeline_tbl[[#This Row],[Closed_Date]]-Pipeline_tbl[[#This Row],[Created_Date]])</f>
        <v>22</v>
      </c>
    </row>
    <row r="4057" spans="1:21" ht="15" customHeight="1" x14ac:dyDescent="0.2">
      <c r="A4057" t="s">
        <v>4363</v>
      </c>
      <c r="B4057" t="s">
        <v>199</v>
      </c>
      <c r="C4057" t="s">
        <v>53</v>
      </c>
      <c r="D4057" s="49">
        <v>45485</v>
      </c>
      <c r="E4057" s="49">
        <v>45487</v>
      </c>
      <c r="F4057" s="49">
        <v>45490</v>
      </c>
      <c r="G4057" s="49">
        <v>45495</v>
      </c>
      <c r="I4057" s="49">
        <v>45501</v>
      </c>
      <c r="J4057" t="s">
        <v>49</v>
      </c>
      <c r="K4057" s="33">
        <v>2100</v>
      </c>
      <c r="L4057" t="s">
        <v>63</v>
      </c>
      <c r="M4057" t="str">
        <f>_xlfn.XLOOKUP(Pipeline_tbl[[#This Row],[Rep_ID]],Dim_Reps!A:A,Dim_Reps!K:K)</f>
        <v>EUR</v>
      </c>
      <c r="N4057" s="33">
        <f>(_xlfn.XLOOKUP(Pipeline_tbl[[#This Row],[Rate_Code_Generalized]],Lookups!A:A,Lookups!B:B))*Pipeline_tbl[[#This Row],[Pipeline_Amount_USD]]</f>
        <v>2100</v>
      </c>
      <c r="O4057" t="str">
        <f>_xlfn.XLOOKUP(Pipeline_tbl[[#This Row],[Rep_ID]],Dim_Reps!A:A,Dim_Reps!B:B)</f>
        <v>Lucas Okafor</v>
      </c>
      <c r="P4057" t="str">
        <f>_xlfn.XLOOKUP(Pipeline_tbl[[#This Row],[Rep_ID]],Dim_Reps!A:A,Dim_Reps!C:C)</f>
        <v>SDR / Inside Sales Rep</v>
      </c>
      <c r="Q4057" t="str">
        <f>_xlfn.XLOOKUP(Pipeline_tbl[[#This Row],[Rep_ID]],Dim_Reps!A:A,Dim_Reps!D:D)</f>
        <v>Inside Sales</v>
      </c>
      <c r="R4057" t="str">
        <f>_xlfn.XLOOKUP(Pipeline_tbl[[#This Row],[Rep_ID]],Dim_Reps!A:A,Dim_Reps!E:E)</f>
        <v>APAC</v>
      </c>
      <c r="S4057" t="str">
        <f>_xlfn.XLOOKUP(Pipeline_tbl[[#This Row],[Created_Date]],Dim_Date!A:A,Dim_Date!H:H)</f>
        <v>Jul 2024</v>
      </c>
      <c r="T4057" t="str">
        <f>IF(Pipeline_tbl[[#This Row],[Closed_Date]]=0,"",(_xlfn.XLOOKUP(Pipeline_tbl[[#This Row],[Closed_Date]],Dim_Date!A:A,Dim_Date!H:H)))</f>
        <v>Jul 2024</v>
      </c>
      <c r="U4057">
        <f>IF(Pipeline_tbl[[#This Row],[Closed_Date]]=0,"",Pipeline_tbl[[#This Row],[Closed_Date]]-Pipeline_tbl[[#This Row],[Created_Date]])</f>
        <v>16</v>
      </c>
    </row>
    <row r="4058" spans="1:21" ht="15" customHeight="1" x14ac:dyDescent="0.2">
      <c r="A4058" t="s">
        <v>4364</v>
      </c>
      <c r="B4058" t="s">
        <v>199</v>
      </c>
      <c r="C4058" t="s">
        <v>53</v>
      </c>
      <c r="D4058" s="49">
        <v>45482</v>
      </c>
      <c r="E4058" s="49">
        <v>45483</v>
      </c>
      <c r="F4058" s="49">
        <v>45486</v>
      </c>
      <c r="G4058" s="49">
        <v>45490</v>
      </c>
      <c r="H4058" s="49">
        <v>45494</v>
      </c>
      <c r="I4058" s="49">
        <v>45496</v>
      </c>
      <c r="J4058" t="s">
        <v>47</v>
      </c>
      <c r="K4058" s="33">
        <v>6200</v>
      </c>
      <c r="M4058" t="str">
        <f>_xlfn.XLOOKUP(Pipeline_tbl[[#This Row],[Rep_ID]],Dim_Reps!A:A,Dim_Reps!K:K)</f>
        <v>EUR</v>
      </c>
      <c r="N4058" s="33">
        <f>(_xlfn.XLOOKUP(Pipeline_tbl[[#This Row],[Rate_Code_Generalized]],Lookups!A:A,Lookups!B:B))*Pipeline_tbl[[#This Row],[Pipeline_Amount_USD]]</f>
        <v>6200</v>
      </c>
      <c r="O4058" t="str">
        <f>_xlfn.XLOOKUP(Pipeline_tbl[[#This Row],[Rep_ID]],Dim_Reps!A:A,Dim_Reps!B:B)</f>
        <v>Lucas Okafor</v>
      </c>
      <c r="P4058" t="str">
        <f>_xlfn.XLOOKUP(Pipeline_tbl[[#This Row],[Rep_ID]],Dim_Reps!A:A,Dim_Reps!C:C)</f>
        <v>SDR / Inside Sales Rep</v>
      </c>
      <c r="Q4058" t="str">
        <f>_xlfn.XLOOKUP(Pipeline_tbl[[#This Row],[Rep_ID]],Dim_Reps!A:A,Dim_Reps!D:D)</f>
        <v>Inside Sales</v>
      </c>
      <c r="R4058" t="str">
        <f>_xlfn.XLOOKUP(Pipeline_tbl[[#This Row],[Rep_ID]],Dim_Reps!A:A,Dim_Reps!E:E)</f>
        <v>APAC</v>
      </c>
      <c r="S4058" t="str">
        <f>_xlfn.XLOOKUP(Pipeline_tbl[[#This Row],[Created_Date]],Dim_Date!A:A,Dim_Date!H:H)</f>
        <v>Jul 2024</v>
      </c>
      <c r="T4058" t="str">
        <f>IF(Pipeline_tbl[[#This Row],[Closed_Date]]=0,"",(_xlfn.XLOOKUP(Pipeline_tbl[[#This Row],[Closed_Date]],Dim_Date!A:A,Dim_Date!H:H)))</f>
        <v>Jul 2024</v>
      </c>
      <c r="U4058">
        <f>IF(Pipeline_tbl[[#This Row],[Closed_Date]]=0,"",Pipeline_tbl[[#This Row],[Closed_Date]]-Pipeline_tbl[[#This Row],[Created_Date]])</f>
        <v>14</v>
      </c>
    </row>
    <row r="4059" spans="1:21" ht="15" customHeight="1" x14ac:dyDescent="0.2">
      <c r="A4059" t="s">
        <v>4365</v>
      </c>
      <c r="B4059" t="s">
        <v>199</v>
      </c>
      <c r="C4059" t="s">
        <v>52</v>
      </c>
      <c r="D4059" s="49">
        <v>45484</v>
      </c>
      <c r="E4059" s="49">
        <v>45485</v>
      </c>
      <c r="F4059" s="49">
        <v>45486</v>
      </c>
      <c r="G4059" s="49">
        <v>45488</v>
      </c>
      <c r="H4059" s="49">
        <v>45490</v>
      </c>
      <c r="I4059" s="49">
        <v>45491</v>
      </c>
      <c r="J4059" t="s">
        <v>49</v>
      </c>
      <c r="K4059" s="33">
        <v>2400</v>
      </c>
      <c r="L4059" t="s">
        <v>61</v>
      </c>
      <c r="M4059" t="str">
        <f>_xlfn.XLOOKUP(Pipeline_tbl[[#This Row],[Rep_ID]],Dim_Reps!A:A,Dim_Reps!K:K)</f>
        <v>EUR</v>
      </c>
      <c r="N4059" s="33">
        <f>(_xlfn.XLOOKUP(Pipeline_tbl[[#This Row],[Rate_Code_Generalized]],Lookups!A:A,Lookups!B:B))*Pipeline_tbl[[#This Row],[Pipeline_Amount_USD]]</f>
        <v>2400</v>
      </c>
      <c r="O4059" t="str">
        <f>_xlfn.XLOOKUP(Pipeline_tbl[[#This Row],[Rep_ID]],Dim_Reps!A:A,Dim_Reps!B:B)</f>
        <v>Lucas Okafor</v>
      </c>
      <c r="P4059" t="str">
        <f>_xlfn.XLOOKUP(Pipeline_tbl[[#This Row],[Rep_ID]],Dim_Reps!A:A,Dim_Reps!C:C)</f>
        <v>SDR / Inside Sales Rep</v>
      </c>
      <c r="Q4059" t="str">
        <f>_xlfn.XLOOKUP(Pipeline_tbl[[#This Row],[Rep_ID]],Dim_Reps!A:A,Dim_Reps!D:D)</f>
        <v>Inside Sales</v>
      </c>
      <c r="R4059" t="str">
        <f>_xlfn.XLOOKUP(Pipeline_tbl[[#This Row],[Rep_ID]],Dim_Reps!A:A,Dim_Reps!E:E)</f>
        <v>APAC</v>
      </c>
      <c r="S4059" t="str">
        <f>_xlfn.XLOOKUP(Pipeline_tbl[[#This Row],[Created_Date]],Dim_Date!A:A,Dim_Date!H:H)</f>
        <v>Jul 2024</v>
      </c>
      <c r="T4059" t="str">
        <f>IF(Pipeline_tbl[[#This Row],[Closed_Date]]=0,"",(_xlfn.XLOOKUP(Pipeline_tbl[[#This Row],[Closed_Date]],Dim_Date!A:A,Dim_Date!H:H)))</f>
        <v>Jul 2024</v>
      </c>
      <c r="U4059">
        <f>IF(Pipeline_tbl[[#This Row],[Closed_Date]]=0,"",Pipeline_tbl[[#This Row],[Closed_Date]]-Pipeline_tbl[[#This Row],[Created_Date]])</f>
        <v>7</v>
      </c>
    </row>
    <row r="4060" spans="1:21" ht="15" customHeight="1" x14ac:dyDescent="0.2">
      <c r="A4060" t="s">
        <v>4366</v>
      </c>
      <c r="B4060" t="s">
        <v>199</v>
      </c>
      <c r="C4060" t="s">
        <v>53</v>
      </c>
      <c r="D4060" s="49">
        <v>45482</v>
      </c>
      <c r="E4060" s="49">
        <v>45484</v>
      </c>
      <c r="F4060" s="49">
        <v>45487</v>
      </c>
      <c r="G4060" s="49">
        <v>45491</v>
      </c>
      <c r="H4060" s="49">
        <v>45495</v>
      </c>
      <c r="I4060" s="49">
        <v>45497</v>
      </c>
      <c r="J4060" t="s">
        <v>47</v>
      </c>
      <c r="K4060" s="33">
        <v>5700</v>
      </c>
      <c r="M4060" t="str">
        <f>_xlfn.XLOOKUP(Pipeline_tbl[[#This Row],[Rep_ID]],Dim_Reps!A:A,Dim_Reps!K:K)</f>
        <v>EUR</v>
      </c>
      <c r="N4060" s="33">
        <f>(_xlfn.XLOOKUP(Pipeline_tbl[[#This Row],[Rate_Code_Generalized]],Lookups!A:A,Lookups!B:B))*Pipeline_tbl[[#This Row],[Pipeline_Amount_USD]]</f>
        <v>5700</v>
      </c>
      <c r="O4060" t="str">
        <f>_xlfn.XLOOKUP(Pipeline_tbl[[#This Row],[Rep_ID]],Dim_Reps!A:A,Dim_Reps!B:B)</f>
        <v>Lucas Okafor</v>
      </c>
      <c r="P4060" t="str">
        <f>_xlfn.XLOOKUP(Pipeline_tbl[[#This Row],[Rep_ID]],Dim_Reps!A:A,Dim_Reps!C:C)</f>
        <v>SDR / Inside Sales Rep</v>
      </c>
      <c r="Q4060" t="str">
        <f>_xlfn.XLOOKUP(Pipeline_tbl[[#This Row],[Rep_ID]],Dim_Reps!A:A,Dim_Reps!D:D)</f>
        <v>Inside Sales</v>
      </c>
      <c r="R4060" t="str">
        <f>_xlfn.XLOOKUP(Pipeline_tbl[[#This Row],[Rep_ID]],Dim_Reps!A:A,Dim_Reps!E:E)</f>
        <v>APAC</v>
      </c>
      <c r="S4060" t="str">
        <f>_xlfn.XLOOKUP(Pipeline_tbl[[#This Row],[Created_Date]],Dim_Date!A:A,Dim_Date!H:H)</f>
        <v>Jul 2024</v>
      </c>
      <c r="T4060" t="str">
        <f>IF(Pipeline_tbl[[#This Row],[Closed_Date]]=0,"",(_xlfn.XLOOKUP(Pipeline_tbl[[#This Row],[Closed_Date]],Dim_Date!A:A,Dim_Date!H:H)))</f>
        <v>Jul 2024</v>
      </c>
      <c r="U4060">
        <f>IF(Pipeline_tbl[[#This Row],[Closed_Date]]=0,"",Pipeline_tbl[[#This Row],[Closed_Date]]-Pipeline_tbl[[#This Row],[Created_Date]])</f>
        <v>15</v>
      </c>
    </row>
    <row r="4061" spans="1:21" ht="15" customHeight="1" x14ac:dyDescent="0.2">
      <c r="A4061" t="s">
        <v>4367</v>
      </c>
      <c r="B4061" t="s">
        <v>205</v>
      </c>
      <c r="C4061" t="s">
        <v>54</v>
      </c>
      <c r="D4061" s="49">
        <v>45477</v>
      </c>
      <c r="E4061" s="49">
        <v>45479</v>
      </c>
      <c r="F4061" s="49">
        <v>45484</v>
      </c>
      <c r="G4061" s="49">
        <v>45491</v>
      </c>
      <c r="H4061" s="49">
        <v>45497</v>
      </c>
      <c r="I4061" s="49">
        <v>45501</v>
      </c>
      <c r="J4061" t="s">
        <v>49</v>
      </c>
      <c r="K4061" s="33">
        <v>3000</v>
      </c>
      <c r="L4061" t="s">
        <v>63</v>
      </c>
      <c r="M4061" t="str">
        <f>_xlfn.XLOOKUP(Pipeline_tbl[[#This Row],[Rep_ID]],Dim_Reps!A:A,Dim_Reps!K:K)</f>
        <v>EUR</v>
      </c>
      <c r="N4061" s="33">
        <f>(_xlfn.XLOOKUP(Pipeline_tbl[[#This Row],[Rate_Code_Generalized]],Lookups!A:A,Lookups!B:B))*Pipeline_tbl[[#This Row],[Pipeline_Amount_USD]]</f>
        <v>3000</v>
      </c>
      <c r="O4061" t="str">
        <f>_xlfn.XLOOKUP(Pipeline_tbl[[#This Row],[Rep_ID]],Dim_Reps!A:A,Dim_Reps!B:B)</f>
        <v>Karim Alvarez</v>
      </c>
      <c r="P4061" t="str">
        <f>_xlfn.XLOOKUP(Pipeline_tbl[[#This Row],[Rep_ID]],Dim_Reps!A:A,Dim_Reps!C:C)</f>
        <v>SDR / Inside Sales Rep</v>
      </c>
      <c r="Q4061" t="str">
        <f>_xlfn.XLOOKUP(Pipeline_tbl[[#This Row],[Rep_ID]],Dim_Reps!A:A,Dim_Reps!D:D)</f>
        <v>Inside Sales</v>
      </c>
      <c r="R4061" t="str">
        <f>_xlfn.XLOOKUP(Pipeline_tbl[[#This Row],[Rep_ID]],Dim_Reps!A:A,Dim_Reps!E:E)</f>
        <v>EMEA</v>
      </c>
      <c r="S4061" t="str">
        <f>_xlfn.XLOOKUP(Pipeline_tbl[[#This Row],[Created_Date]],Dim_Date!A:A,Dim_Date!H:H)</f>
        <v>Jul 2024</v>
      </c>
      <c r="T4061" t="str">
        <f>IF(Pipeline_tbl[[#This Row],[Closed_Date]]=0,"",(_xlfn.XLOOKUP(Pipeline_tbl[[#This Row],[Closed_Date]],Dim_Date!A:A,Dim_Date!H:H)))</f>
        <v>Jul 2024</v>
      </c>
      <c r="U4061">
        <f>IF(Pipeline_tbl[[#This Row],[Closed_Date]]=0,"",Pipeline_tbl[[#This Row],[Closed_Date]]-Pipeline_tbl[[#This Row],[Created_Date]])</f>
        <v>24</v>
      </c>
    </row>
    <row r="4062" spans="1:21" ht="15" customHeight="1" x14ac:dyDescent="0.2">
      <c r="A4062" t="s">
        <v>4368</v>
      </c>
      <c r="B4062" t="s">
        <v>205</v>
      </c>
      <c r="C4062" t="s">
        <v>52</v>
      </c>
      <c r="D4062" s="49">
        <v>45489</v>
      </c>
      <c r="E4062" s="49">
        <v>45490</v>
      </c>
      <c r="F4062" s="49">
        <v>45492</v>
      </c>
      <c r="I4062" s="49">
        <v>45500</v>
      </c>
      <c r="J4062" t="s">
        <v>49</v>
      </c>
      <c r="K4062" s="33">
        <v>6000</v>
      </c>
      <c r="L4062" t="s">
        <v>60</v>
      </c>
      <c r="M4062" t="str">
        <f>_xlfn.XLOOKUP(Pipeline_tbl[[#This Row],[Rep_ID]],Dim_Reps!A:A,Dim_Reps!K:K)</f>
        <v>EUR</v>
      </c>
      <c r="N4062" s="33">
        <f>(_xlfn.XLOOKUP(Pipeline_tbl[[#This Row],[Rate_Code_Generalized]],Lookups!A:A,Lookups!B:B))*Pipeline_tbl[[#This Row],[Pipeline_Amount_USD]]</f>
        <v>6000</v>
      </c>
      <c r="O4062" t="str">
        <f>_xlfn.XLOOKUP(Pipeline_tbl[[#This Row],[Rep_ID]],Dim_Reps!A:A,Dim_Reps!B:B)</f>
        <v>Karim Alvarez</v>
      </c>
      <c r="P4062" t="str">
        <f>_xlfn.XLOOKUP(Pipeline_tbl[[#This Row],[Rep_ID]],Dim_Reps!A:A,Dim_Reps!C:C)</f>
        <v>SDR / Inside Sales Rep</v>
      </c>
      <c r="Q4062" t="str">
        <f>_xlfn.XLOOKUP(Pipeline_tbl[[#This Row],[Rep_ID]],Dim_Reps!A:A,Dim_Reps!D:D)</f>
        <v>Inside Sales</v>
      </c>
      <c r="R4062" t="str">
        <f>_xlfn.XLOOKUP(Pipeline_tbl[[#This Row],[Rep_ID]],Dim_Reps!A:A,Dim_Reps!E:E)</f>
        <v>EMEA</v>
      </c>
      <c r="S4062" t="str">
        <f>_xlfn.XLOOKUP(Pipeline_tbl[[#This Row],[Created_Date]],Dim_Date!A:A,Dim_Date!H:H)</f>
        <v>Jul 2024</v>
      </c>
      <c r="T4062" t="str">
        <f>IF(Pipeline_tbl[[#This Row],[Closed_Date]]=0,"",(_xlfn.XLOOKUP(Pipeline_tbl[[#This Row],[Closed_Date]],Dim_Date!A:A,Dim_Date!H:H)))</f>
        <v>Jul 2024</v>
      </c>
      <c r="U4062">
        <f>IF(Pipeline_tbl[[#This Row],[Closed_Date]]=0,"",Pipeline_tbl[[#This Row],[Closed_Date]]-Pipeline_tbl[[#This Row],[Created_Date]])</f>
        <v>11</v>
      </c>
    </row>
    <row r="4063" spans="1:21" ht="15" customHeight="1" x14ac:dyDescent="0.2">
      <c r="A4063" t="s">
        <v>4369</v>
      </c>
      <c r="B4063" t="s">
        <v>205</v>
      </c>
      <c r="C4063" t="s">
        <v>53</v>
      </c>
      <c r="D4063" s="49">
        <v>45488</v>
      </c>
      <c r="E4063" s="49">
        <v>45489</v>
      </c>
      <c r="F4063" s="49">
        <v>45490</v>
      </c>
      <c r="G4063" s="49">
        <v>45493</v>
      </c>
      <c r="H4063" s="49">
        <v>45495</v>
      </c>
      <c r="I4063" s="49">
        <v>45496</v>
      </c>
      <c r="J4063" t="s">
        <v>49</v>
      </c>
      <c r="K4063" s="33">
        <v>2100</v>
      </c>
      <c r="L4063" t="s">
        <v>61</v>
      </c>
      <c r="M4063" t="str">
        <f>_xlfn.XLOOKUP(Pipeline_tbl[[#This Row],[Rep_ID]],Dim_Reps!A:A,Dim_Reps!K:K)</f>
        <v>EUR</v>
      </c>
      <c r="N4063" s="33">
        <f>(_xlfn.XLOOKUP(Pipeline_tbl[[#This Row],[Rate_Code_Generalized]],Lookups!A:A,Lookups!B:B))*Pipeline_tbl[[#This Row],[Pipeline_Amount_USD]]</f>
        <v>2100</v>
      </c>
      <c r="O4063" t="str">
        <f>_xlfn.XLOOKUP(Pipeline_tbl[[#This Row],[Rep_ID]],Dim_Reps!A:A,Dim_Reps!B:B)</f>
        <v>Karim Alvarez</v>
      </c>
      <c r="P4063" t="str">
        <f>_xlfn.XLOOKUP(Pipeline_tbl[[#This Row],[Rep_ID]],Dim_Reps!A:A,Dim_Reps!C:C)</f>
        <v>SDR / Inside Sales Rep</v>
      </c>
      <c r="Q4063" t="str">
        <f>_xlfn.XLOOKUP(Pipeline_tbl[[#This Row],[Rep_ID]],Dim_Reps!A:A,Dim_Reps!D:D)</f>
        <v>Inside Sales</v>
      </c>
      <c r="R4063" t="str">
        <f>_xlfn.XLOOKUP(Pipeline_tbl[[#This Row],[Rep_ID]],Dim_Reps!A:A,Dim_Reps!E:E)</f>
        <v>EMEA</v>
      </c>
      <c r="S4063" t="str">
        <f>_xlfn.XLOOKUP(Pipeline_tbl[[#This Row],[Created_Date]],Dim_Date!A:A,Dim_Date!H:H)</f>
        <v>Jul 2024</v>
      </c>
      <c r="T4063" t="str">
        <f>IF(Pipeline_tbl[[#This Row],[Closed_Date]]=0,"",(_xlfn.XLOOKUP(Pipeline_tbl[[#This Row],[Closed_Date]],Dim_Date!A:A,Dim_Date!H:H)))</f>
        <v>Jul 2024</v>
      </c>
      <c r="U4063">
        <f>IF(Pipeline_tbl[[#This Row],[Closed_Date]]=0,"",Pipeline_tbl[[#This Row],[Closed_Date]]-Pipeline_tbl[[#This Row],[Created_Date]])</f>
        <v>8</v>
      </c>
    </row>
    <row r="4064" spans="1:21" ht="15" customHeight="1" x14ac:dyDescent="0.2">
      <c r="A4064" t="s">
        <v>4370</v>
      </c>
      <c r="B4064" t="s">
        <v>205</v>
      </c>
      <c r="C4064" t="s">
        <v>52</v>
      </c>
      <c r="D4064" s="49">
        <v>45476</v>
      </c>
      <c r="E4064" s="49">
        <v>45478</v>
      </c>
      <c r="F4064" s="49">
        <v>45483</v>
      </c>
      <c r="G4064" s="49">
        <v>45490</v>
      </c>
      <c r="H4064" s="49">
        <v>45496</v>
      </c>
      <c r="I4064" s="49">
        <v>45500</v>
      </c>
      <c r="J4064" t="s">
        <v>47</v>
      </c>
      <c r="K4064" s="33">
        <v>6200</v>
      </c>
      <c r="M4064" t="str">
        <f>_xlfn.XLOOKUP(Pipeline_tbl[[#This Row],[Rep_ID]],Dim_Reps!A:A,Dim_Reps!K:K)</f>
        <v>EUR</v>
      </c>
      <c r="N4064" s="33">
        <f>(_xlfn.XLOOKUP(Pipeline_tbl[[#This Row],[Rate_Code_Generalized]],Lookups!A:A,Lookups!B:B))*Pipeline_tbl[[#This Row],[Pipeline_Amount_USD]]</f>
        <v>6200</v>
      </c>
      <c r="O4064" t="str">
        <f>_xlfn.XLOOKUP(Pipeline_tbl[[#This Row],[Rep_ID]],Dim_Reps!A:A,Dim_Reps!B:B)</f>
        <v>Karim Alvarez</v>
      </c>
      <c r="P4064" t="str">
        <f>_xlfn.XLOOKUP(Pipeline_tbl[[#This Row],[Rep_ID]],Dim_Reps!A:A,Dim_Reps!C:C)</f>
        <v>SDR / Inside Sales Rep</v>
      </c>
      <c r="Q4064" t="str">
        <f>_xlfn.XLOOKUP(Pipeline_tbl[[#This Row],[Rep_ID]],Dim_Reps!A:A,Dim_Reps!D:D)</f>
        <v>Inside Sales</v>
      </c>
      <c r="R4064" t="str">
        <f>_xlfn.XLOOKUP(Pipeline_tbl[[#This Row],[Rep_ID]],Dim_Reps!A:A,Dim_Reps!E:E)</f>
        <v>EMEA</v>
      </c>
      <c r="S4064" t="str">
        <f>_xlfn.XLOOKUP(Pipeline_tbl[[#This Row],[Created_Date]],Dim_Date!A:A,Dim_Date!H:H)</f>
        <v>Jul 2024</v>
      </c>
      <c r="T4064" t="str">
        <f>IF(Pipeline_tbl[[#This Row],[Closed_Date]]=0,"",(_xlfn.XLOOKUP(Pipeline_tbl[[#This Row],[Closed_Date]],Dim_Date!A:A,Dim_Date!H:H)))</f>
        <v>Jul 2024</v>
      </c>
      <c r="U4064">
        <f>IF(Pipeline_tbl[[#This Row],[Closed_Date]]=0,"",Pipeline_tbl[[#This Row],[Closed_Date]]-Pipeline_tbl[[#This Row],[Created_Date]])</f>
        <v>24</v>
      </c>
    </row>
    <row r="4065" spans="1:21" ht="15" customHeight="1" x14ac:dyDescent="0.2">
      <c r="A4065" t="s">
        <v>4371</v>
      </c>
      <c r="B4065" t="s">
        <v>207</v>
      </c>
      <c r="C4065" t="s">
        <v>53</v>
      </c>
      <c r="D4065" s="49">
        <v>45477</v>
      </c>
      <c r="E4065" s="49">
        <v>45479</v>
      </c>
      <c r="F4065" s="49">
        <v>45484</v>
      </c>
      <c r="G4065" s="49">
        <v>45491</v>
      </c>
      <c r="I4065" s="49">
        <v>45501</v>
      </c>
      <c r="J4065" t="s">
        <v>49</v>
      </c>
      <c r="K4065" s="33">
        <v>2600</v>
      </c>
      <c r="L4065" t="s">
        <v>60</v>
      </c>
      <c r="M4065" t="str">
        <f>_xlfn.XLOOKUP(Pipeline_tbl[[#This Row],[Rep_ID]],Dim_Reps!A:A,Dim_Reps!K:K)</f>
        <v>EUR</v>
      </c>
      <c r="N4065" s="33">
        <f>(_xlfn.XLOOKUP(Pipeline_tbl[[#This Row],[Rate_Code_Generalized]],Lookups!A:A,Lookups!B:B))*Pipeline_tbl[[#This Row],[Pipeline_Amount_USD]]</f>
        <v>2600</v>
      </c>
      <c r="O4065" t="str">
        <f>_xlfn.XLOOKUP(Pipeline_tbl[[#This Row],[Rep_ID]],Dim_Reps!A:A,Dim_Reps!B:B)</f>
        <v>Sam Castro</v>
      </c>
      <c r="P4065" t="str">
        <f>_xlfn.XLOOKUP(Pipeline_tbl[[#This Row],[Rep_ID]],Dim_Reps!A:A,Dim_Reps!C:C)</f>
        <v>SDR / Inside Sales Rep</v>
      </c>
      <c r="Q4065" t="str">
        <f>_xlfn.XLOOKUP(Pipeline_tbl[[#This Row],[Rep_ID]],Dim_Reps!A:A,Dim_Reps!D:D)</f>
        <v>Inside Sales</v>
      </c>
      <c r="R4065" t="str">
        <f>_xlfn.XLOOKUP(Pipeline_tbl[[#This Row],[Rep_ID]],Dim_Reps!A:A,Dim_Reps!E:E)</f>
        <v>APAC</v>
      </c>
      <c r="S4065" t="str">
        <f>_xlfn.XLOOKUP(Pipeline_tbl[[#This Row],[Created_Date]],Dim_Date!A:A,Dim_Date!H:H)</f>
        <v>Jul 2024</v>
      </c>
      <c r="T4065" t="str">
        <f>IF(Pipeline_tbl[[#This Row],[Closed_Date]]=0,"",(_xlfn.XLOOKUP(Pipeline_tbl[[#This Row],[Closed_Date]],Dim_Date!A:A,Dim_Date!H:H)))</f>
        <v>Jul 2024</v>
      </c>
      <c r="U4065">
        <f>IF(Pipeline_tbl[[#This Row],[Closed_Date]]=0,"",Pipeline_tbl[[#This Row],[Closed_Date]]-Pipeline_tbl[[#This Row],[Created_Date]])</f>
        <v>24</v>
      </c>
    </row>
    <row r="4066" spans="1:21" ht="15" customHeight="1" x14ac:dyDescent="0.2">
      <c r="A4066" t="s">
        <v>4372</v>
      </c>
      <c r="B4066" t="s">
        <v>211</v>
      </c>
      <c r="C4066" t="s">
        <v>53</v>
      </c>
      <c r="D4066" s="49">
        <v>45476</v>
      </c>
      <c r="E4066" s="49">
        <v>45478</v>
      </c>
      <c r="F4066" s="49">
        <v>45482</v>
      </c>
      <c r="G4066" s="49">
        <v>45489</v>
      </c>
      <c r="H4066" s="49">
        <v>45494</v>
      </c>
      <c r="I4066" s="49">
        <v>45497</v>
      </c>
      <c r="J4066" t="s">
        <v>49</v>
      </c>
      <c r="K4066" s="33">
        <v>4200</v>
      </c>
      <c r="L4066" t="s">
        <v>61</v>
      </c>
      <c r="M4066" t="str">
        <f>_xlfn.XLOOKUP(Pipeline_tbl[[#This Row],[Rep_ID]],Dim_Reps!A:A,Dim_Reps!K:K)</f>
        <v>EUR</v>
      </c>
      <c r="N4066" s="33">
        <f>(_xlfn.XLOOKUP(Pipeline_tbl[[#This Row],[Rate_Code_Generalized]],Lookups!A:A,Lookups!B:B))*Pipeline_tbl[[#This Row],[Pipeline_Amount_USD]]</f>
        <v>4200</v>
      </c>
      <c r="O4066" t="str">
        <f>_xlfn.XLOOKUP(Pipeline_tbl[[#This Row],[Rep_ID]],Dim_Reps!A:A,Dim_Reps!B:B)</f>
        <v>Lea Weber</v>
      </c>
      <c r="P4066" t="str">
        <f>_xlfn.XLOOKUP(Pipeline_tbl[[#This Row],[Rep_ID]],Dim_Reps!A:A,Dim_Reps!C:C)</f>
        <v>SDR / Inside Sales Rep</v>
      </c>
      <c r="Q4066" t="str">
        <f>_xlfn.XLOOKUP(Pipeline_tbl[[#This Row],[Rep_ID]],Dim_Reps!A:A,Dim_Reps!D:D)</f>
        <v>Inside Sales</v>
      </c>
      <c r="R4066" t="str">
        <f>_xlfn.XLOOKUP(Pipeline_tbl[[#This Row],[Rep_ID]],Dim_Reps!A:A,Dim_Reps!E:E)</f>
        <v>EMEA</v>
      </c>
      <c r="S4066" t="str">
        <f>_xlfn.XLOOKUP(Pipeline_tbl[[#This Row],[Created_Date]],Dim_Date!A:A,Dim_Date!H:H)</f>
        <v>Jul 2024</v>
      </c>
      <c r="T4066" t="str">
        <f>IF(Pipeline_tbl[[#This Row],[Closed_Date]]=0,"",(_xlfn.XLOOKUP(Pipeline_tbl[[#This Row],[Closed_Date]],Dim_Date!A:A,Dim_Date!H:H)))</f>
        <v>Jul 2024</v>
      </c>
      <c r="U4066">
        <f>IF(Pipeline_tbl[[#This Row],[Closed_Date]]=0,"",Pipeline_tbl[[#This Row],[Closed_Date]]-Pipeline_tbl[[#This Row],[Created_Date]])</f>
        <v>21</v>
      </c>
    </row>
    <row r="4067" spans="1:21" ht="15" customHeight="1" x14ac:dyDescent="0.2">
      <c r="A4067" t="s">
        <v>4373</v>
      </c>
      <c r="B4067" t="s">
        <v>211</v>
      </c>
      <c r="C4067" t="s">
        <v>52</v>
      </c>
      <c r="D4067" s="49">
        <v>45477</v>
      </c>
      <c r="E4067" s="49">
        <v>45478</v>
      </c>
      <c r="F4067" s="49">
        <v>45481</v>
      </c>
      <c r="G4067" s="49">
        <v>45485</v>
      </c>
      <c r="H4067" s="49">
        <v>45489</v>
      </c>
      <c r="I4067" s="49">
        <v>45491</v>
      </c>
      <c r="J4067" t="s">
        <v>49</v>
      </c>
      <c r="K4067" s="33">
        <v>3900</v>
      </c>
      <c r="L4067" t="s">
        <v>61</v>
      </c>
      <c r="M4067" t="str">
        <f>_xlfn.XLOOKUP(Pipeline_tbl[[#This Row],[Rep_ID]],Dim_Reps!A:A,Dim_Reps!K:K)</f>
        <v>EUR</v>
      </c>
      <c r="N4067" s="33">
        <f>(_xlfn.XLOOKUP(Pipeline_tbl[[#This Row],[Rate_Code_Generalized]],Lookups!A:A,Lookups!B:B))*Pipeline_tbl[[#This Row],[Pipeline_Amount_USD]]</f>
        <v>3900</v>
      </c>
      <c r="O4067" t="str">
        <f>_xlfn.XLOOKUP(Pipeline_tbl[[#This Row],[Rep_ID]],Dim_Reps!A:A,Dim_Reps!B:B)</f>
        <v>Lea Weber</v>
      </c>
      <c r="P4067" t="str">
        <f>_xlfn.XLOOKUP(Pipeline_tbl[[#This Row],[Rep_ID]],Dim_Reps!A:A,Dim_Reps!C:C)</f>
        <v>SDR / Inside Sales Rep</v>
      </c>
      <c r="Q4067" t="str">
        <f>_xlfn.XLOOKUP(Pipeline_tbl[[#This Row],[Rep_ID]],Dim_Reps!A:A,Dim_Reps!D:D)</f>
        <v>Inside Sales</v>
      </c>
      <c r="R4067" t="str">
        <f>_xlfn.XLOOKUP(Pipeline_tbl[[#This Row],[Rep_ID]],Dim_Reps!A:A,Dim_Reps!E:E)</f>
        <v>EMEA</v>
      </c>
      <c r="S4067" t="str">
        <f>_xlfn.XLOOKUP(Pipeline_tbl[[#This Row],[Created_Date]],Dim_Date!A:A,Dim_Date!H:H)</f>
        <v>Jul 2024</v>
      </c>
      <c r="T4067" t="str">
        <f>IF(Pipeline_tbl[[#This Row],[Closed_Date]]=0,"",(_xlfn.XLOOKUP(Pipeline_tbl[[#This Row],[Closed_Date]],Dim_Date!A:A,Dim_Date!H:H)))</f>
        <v>Jul 2024</v>
      </c>
      <c r="U4067">
        <f>IF(Pipeline_tbl[[#This Row],[Closed_Date]]=0,"",Pipeline_tbl[[#This Row],[Closed_Date]]-Pipeline_tbl[[#This Row],[Created_Date]])</f>
        <v>14</v>
      </c>
    </row>
    <row r="4068" spans="1:21" ht="15" customHeight="1" x14ac:dyDescent="0.2">
      <c r="A4068" t="s">
        <v>4374</v>
      </c>
      <c r="B4068" t="s">
        <v>213</v>
      </c>
      <c r="C4068" t="s">
        <v>52</v>
      </c>
      <c r="D4068" s="49">
        <v>45475</v>
      </c>
      <c r="E4068" s="49">
        <v>45477</v>
      </c>
      <c r="F4068" s="49">
        <v>45480</v>
      </c>
      <c r="I4068" s="49">
        <v>45491</v>
      </c>
      <c r="J4068" t="s">
        <v>49</v>
      </c>
      <c r="K4068" s="33">
        <v>1900</v>
      </c>
      <c r="L4068" t="s">
        <v>60</v>
      </c>
      <c r="M4068" t="str">
        <f>_xlfn.XLOOKUP(Pipeline_tbl[[#This Row],[Rep_ID]],Dim_Reps!A:A,Dim_Reps!K:K)</f>
        <v>EUR</v>
      </c>
      <c r="N4068" s="33">
        <f>(_xlfn.XLOOKUP(Pipeline_tbl[[#This Row],[Rate_Code_Generalized]],Lookups!A:A,Lookups!B:B))*Pipeline_tbl[[#This Row],[Pipeline_Amount_USD]]</f>
        <v>1900</v>
      </c>
      <c r="O4068" t="str">
        <f>_xlfn.XLOOKUP(Pipeline_tbl[[#This Row],[Rep_ID]],Dim_Reps!A:A,Dim_Reps!B:B)</f>
        <v>Jamie Silva</v>
      </c>
      <c r="P4068" t="str">
        <f>_xlfn.XLOOKUP(Pipeline_tbl[[#This Row],[Rep_ID]],Dim_Reps!A:A,Dim_Reps!C:C)</f>
        <v>SDR / Inside Sales Rep</v>
      </c>
      <c r="Q4068" t="str">
        <f>_xlfn.XLOOKUP(Pipeline_tbl[[#This Row],[Rep_ID]],Dim_Reps!A:A,Dim_Reps!D:D)</f>
        <v>Inside Sales</v>
      </c>
      <c r="R4068" t="str">
        <f>_xlfn.XLOOKUP(Pipeline_tbl[[#This Row],[Rep_ID]],Dim_Reps!A:A,Dim_Reps!E:E)</f>
        <v>EMEA</v>
      </c>
      <c r="S4068" t="str">
        <f>_xlfn.XLOOKUP(Pipeline_tbl[[#This Row],[Created_Date]],Dim_Date!A:A,Dim_Date!H:H)</f>
        <v>Jul 2024</v>
      </c>
      <c r="T4068" t="str">
        <f>IF(Pipeline_tbl[[#This Row],[Closed_Date]]=0,"",(_xlfn.XLOOKUP(Pipeline_tbl[[#This Row],[Closed_Date]],Dim_Date!A:A,Dim_Date!H:H)))</f>
        <v>Jul 2024</v>
      </c>
      <c r="U4068">
        <f>IF(Pipeline_tbl[[#This Row],[Closed_Date]]=0,"",Pipeline_tbl[[#This Row],[Closed_Date]]-Pipeline_tbl[[#This Row],[Created_Date]])</f>
        <v>16</v>
      </c>
    </row>
    <row r="4069" spans="1:21" ht="15" customHeight="1" x14ac:dyDescent="0.2">
      <c r="A4069" t="s">
        <v>4375</v>
      </c>
      <c r="B4069" t="s">
        <v>215</v>
      </c>
      <c r="C4069" t="s">
        <v>52</v>
      </c>
      <c r="D4069" s="49">
        <v>45476</v>
      </c>
      <c r="E4069" s="49">
        <v>45478</v>
      </c>
      <c r="F4069" s="49">
        <v>45481</v>
      </c>
      <c r="I4069" s="49">
        <v>45494</v>
      </c>
      <c r="J4069" t="s">
        <v>49</v>
      </c>
      <c r="K4069" s="33">
        <v>1400</v>
      </c>
      <c r="L4069" t="s">
        <v>64</v>
      </c>
      <c r="M4069" t="str">
        <f>_xlfn.XLOOKUP(Pipeline_tbl[[#This Row],[Rep_ID]],Dim_Reps!A:A,Dim_Reps!K:K)</f>
        <v>EUR</v>
      </c>
      <c r="N4069" s="33">
        <f>(_xlfn.XLOOKUP(Pipeline_tbl[[#This Row],[Rate_Code_Generalized]],Lookups!A:A,Lookups!B:B))*Pipeline_tbl[[#This Row],[Pipeline_Amount_USD]]</f>
        <v>1400</v>
      </c>
      <c r="O4069" t="str">
        <f>_xlfn.XLOOKUP(Pipeline_tbl[[#This Row],[Rep_ID]],Dim_Reps!A:A,Dim_Reps!B:B)</f>
        <v>Jamie Schmidt</v>
      </c>
      <c r="P4069" t="str">
        <f>_xlfn.XLOOKUP(Pipeline_tbl[[#This Row],[Rep_ID]],Dim_Reps!A:A,Dim_Reps!C:C)</f>
        <v>SDR / Inside Sales Rep</v>
      </c>
      <c r="Q4069" t="str">
        <f>_xlfn.XLOOKUP(Pipeline_tbl[[#This Row],[Rep_ID]],Dim_Reps!A:A,Dim_Reps!D:D)</f>
        <v>Inside Sales</v>
      </c>
      <c r="R4069" t="str">
        <f>_xlfn.XLOOKUP(Pipeline_tbl[[#This Row],[Rep_ID]],Dim_Reps!A:A,Dim_Reps!E:E)</f>
        <v>APAC</v>
      </c>
      <c r="S4069" t="str">
        <f>_xlfn.XLOOKUP(Pipeline_tbl[[#This Row],[Created_Date]],Dim_Date!A:A,Dim_Date!H:H)</f>
        <v>Jul 2024</v>
      </c>
      <c r="T4069" t="str">
        <f>IF(Pipeline_tbl[[#This Row],[Closed_Date]]=0,"",(_xlfn.XLOOKUP(Pipeline_tbl[[#This Row],[Closed_Date]],Dim_Date!A:A,Dim_Date!H:H)))</f>
        <v>Jul 2024</v>
      </c>
      <c r="U4069">
        <f>IF(Pipeline_tbl[[#This Row],[Closed_Date]]=0,"",Pipeline_tbl[[#This Row],[Closed_Date]]-Pipeline_tbl[[#This Row],[Created_Date]])</f>
        <v>18</v>
      </c>
    </row>
    <row r="4070" spans="1:21" ht="15" customHeight="1" x14ac:dyDescent="0.2">
      <c r="A4070" t="s">
        <v>4376</v>
      </c>
      <c r="B4070" t="s">
        <v>215</v>
      </c>
      <c r="C4070" t="s">
        <v>53</v>
      </c>
      <c r="D4070" s="49">
        <v>45488</v>
      </c>
      <c r="E4070" s="49">
        <v>45489</v>
      </c>
      <c r="F4070" s="49">
        <v>45492</v>
      </c>
      <c r="I4070" s="49">
        <v>45502</v>
      </c>
      <c r="J4070" t="s">
        <v>49</v>
      </c>
      <c r="K4070" s="33">
        <v>3100</v>
      </c>
      <c r="L4070" t="s">
        <v>64</v>
      </c>
      <c r="M4070" t="str">
        <f>_xlfn.XLOOKUP(Pipeline_tbl[[#This Row],[Rep_ID]],Dim_Reps!A:A,Dim_Reps!K:K)</f>
        <v>EUR</v>
      </c>
      <c r="N4070" s="33">
        <f>(_xlfn.XLOOKUP(Pipeline_tbl[[#This Row],[Rate_Code_Generalized]],Lookups!A:A,Lookups!B:B))*Pipeline_tbl[[#This Row],[Pipeline_Amount_USD]]</f>
        <v>3100</v>
      </c>
      <c r="O4070" t="str">
        <f>_xlfn.XLOOKUP(Pipeline_tbl[[#This Row],[Rep_ID]],Dim_Reps!A:A,Dim_Reps!B:B)</f>
        <v>Jamie Schmidt</v>
      </c>
      <c r="P4070" t="str">
        <f>_xlfn.XLOOKUP(Pipeline_tbl[[#This Row],[Rep_ID]],Dim_Reps!A:A,Dim_Reps!C:C)</f>
        <v>SDR / Inside Sales Rep</v>
      </c>
      <c r="Q4070" t="str">
        <f>_xlfn.XLOOKUP(Pipeline_tbl[[#This Row],[Rep_ID]],Dim_Reps!A:A,Dim_Reps!D:D)</f>
        <v>Inside Sales</v>
      </c>
      <c r="R4070" t="str">
        <f>_xlfn.XLOOKUP(Pipeline_tbl[[#This Row],[Rep_ID]],Dim_Reps!A:A,Dim_Reps!E:E)</f>
        <v>APAC</v>
      </c>
      <c r="S4070" t="str">
        <f>_xlfn.XLOOKUP(Pipeline_tbl[[#This Row],[Created_Date]],Dim_Date!A:A,Dim_Date!H:H)</f>
        <v>Jul 2024</v>
      </c>
      <c r="T4070" t="str">
        <f>IF(Pipeline_tbl[[#This Row],[Closed_Date]]=0,"",(_xlfn.XLOOKUP(Pipeline_tbl[[#This Row],[Closed_Date]],Dim_Date!A:A,Dim_Date!H:H)))</f>
        <v>Jul 2024</v>
      </c>
      <c r="U4070">
        <f>IF(Pipeline_tbl[[#This Row],[Closed_Date]]=0,"",Pipeline_tbl[[#This Row],[Closed_Date]]-Pipeline_tbl[[#This Row],[Created_Date]])</f>
        <v>14</v>
      </c>
    </row>
    <row r="4071" spans="1:21" ht="15" customHeight="1" x14ac:dyDescent="0.2">
      <c r="A4071" t="s">
        <v>4377</v>
      </c>
      <c r="B4071" t="s">
        <v>215</v>
      </c>
      <c r="C4071" t="s">
        <v>52</v>
      </c>
      <c r="D4071" s="49">
        <v>45488</v>
      </c>
      <c r="E4071" s="49">
        <v>45490</v>
      </c>
      <c r="F4071" s="49">
        <v>45493</v>
      </c>
      <c r="G4071" s="49">
        <v>45498</v>
      </c>
      <c r="H4071" s="49">
        <v>45502</v>
      </c>
      <c r="I4071" s="49">
        <v>45504</v>
      </c>
      <c r="J4071" t="s">
        <v>47</v>
      </c>
      <c r="K4071" s="33">
        <v>2200</v>
      </c>
      <c r="M4071" t="str">
        <f>_xlfn.XLOOKUP(Pipeline_tbl[[#This Row],[Rep_ID]],Dim_Reps!A:A,Dim_Reps!K:K)</f>
        <v>EUR</v>
      </c>
      <c r="N4071" s="33">
        <f>(_xlfn.XLOOKUP(Pipeline_tbl[[#This Row],[Rate_Code_Generalized]],Lookups!A:A,Lookups!B:B))*Pipeline_tbl[[#This Row],[Pipeline_Amount_USD]]</f>
        <v>2200</v>
      </c>
      <c r="O4071" t="str">
        <f>_xlfn.XLOOKUP(Pipeline_tbl[[#This Row],[Rep_ID]],Dim_Reps!A:A,Dim_Reps!B:B)</f>
        <v>Jamie Schmidt</v>
      </c>
      <c r="P4071" t="str">
        <f>_xlfn.XLOOKUP(Pipeline_tbl[[#This Row],[Rep_ID]],Dim_Reps!A:A,Dim_Reps!C:C)</f>
        <v>SDR / Inside Sales Rep</v>
      </c>
      <c r="Q4071" t="str">
        <f>_xlfn.XLOOKUP(Pipeline_tbl[[#This Row],[Rep_ID]],Dim_Reps!A:A,Dim_Reps!D:D)</f>
        <v>Inside Sales</v>
      </c>
      <c r="R4071" t="str">
        <f>_xlfn.XLOOKUP(Pipeline_tbl[[#This Row],[Rep_ID]],Dim_Reps!A:A,Dim_Reps!E:E)</f>
        <v>APAC</v>
      </c>
      <c r="S4071" t="str">
        <f>_xlfn.XLOOKUP(Pipeline_tbl[[#This Row],[Created_Date]],Dim_Date!A:A,Dim_Date!H:H)</f>
        <v>Jul 2024</v>
      </c>
      <c r="T4071" t="str">
        <f>IF(Pipeline_tbl[[#This Row],[Closed_Date]]=0,"",(_xlfn.XLOOKUP(Pipeline_tbl[[#This Row],[Closed_Date]],Dim_Date!A:A,Dim_Date!H:H)))</f>
        <v>Jul 2024</v>
      </c>
      <c r="U4071">
        <f>IF(Pipeline_tbl[[#This Row],[Closed_Date]]=0,"",Pipeline_tbl[[#This Row],[Closed_Date]]-Pipeline_tbl[[#This Row],[Created_Date]])</f>
        <v>16</v>
      </c>
    </row>
    <row r="4072" spans="1:21" ht="15" customHeight="1" x14ac:dyDescent="0.2">
      <c r="A4072" t="s">
        <v>4378</v>
      </c>
      <c r="B4072" t="s">
        <v>215</v>
      </c>
      <c r="C4072" t="s">
        <v>56</v>
      </c>
      <c r="D4072" s="49">
        <v>45490</v>
      </c>
      <c r="E4072" s="49">
        <v>45491</v>
      </c>
      <c r="F4072" s="49">
        <v>45494</v>
      </c>
      <c r="G4072" s="49">
        <v>45498</v>
      </c>
      <c r="H4072" s="49">
        <v>45502</v>
      </c>
      <c r="I4072" s="49">
        <v>45504</v>
      </c>
      <c r="J4072" t="s">
        <v>47</v>
      </c>
      <c r="K4072" s="33">
        <v>6200</v>
      </c>
      <c r="M4072" t="str">
        <f>_xlfn.XLOOKUP(Pipeline_tbl[[#This Row],[Rep_ID]],Dim_Reps!A:A,Dim_Reps!K:K)</f>
        <v>EUR</v>
      </c>
      <c r="N4072" s="33">
        <f>(_xlfn.XLOOKUP(Pipeline_tbl[[#This Row],[Rate_Code_Generalized]],Lookups!A:A,Lookups!B:B))*Pipeline_tbl[[#This Row],[Pipeline_Amount_USD]]</f>
        <v>6200</v>
      </c>
      <c r="O4072" t="str">
        <f>_xlfn.XLOOKUP(Pipeline_tbl[[#This Row],[Rep_ID]],Dim_Reps!A:A,Dim_Reps!B:B)</f>
        <v>Jamie Schmidt</v>
      </c>
      <c r="P4072" t="str">
        <f>_xlfn.XLOOKUP(Pipeline_tbl[[#This Row],[Rep_ID]],Dim_Reps!A:A,Dim_Reps!C:C)</f>
        <v>SDR / Inside Sales Rep</v>
      </c>
      <c r="Q4072" t="str">
        <f>_xlfn.XLOOKUP(Pipeline_tbl[[#This Row],[Rep_ID]],Dim_Reps!A:A,Dim_Reps!D:D)</f>
        <v>Inside Sales</v>
      </c>
      <c r="R4072" t="str">
        <f>_xlfn.XLOOKUP(Pipeline_tbl[[#This Row],[Rep_ID]],Dim_Reps!A:A,Dim_Reps!E:E)</f>
        <v>APAC</v>
      </c>
      <c r="S4072" t="str">
        <f>_xlfn.XLOOKUP(Pipeline_tbl[[#This Row],[Created_Date]],Dim_Date!A:A,Dim_Date!H:H)</f>
        <v>Jul 2024</v>
      </c>
      <c r="T4072" t="str">
        <f>IF(Pipeline_tbl[[#This Row],[Closed_Date]]=0,"",(_xlfn.XLOOKUP(Pipeline_tbl[[#This Row],[Closed_Date]],Dim_Date!A:A,Dim_Date!H:H)))</f>
        <v>Jul 2024</v>
      </c>
      <c r="U4072">
        <f>IF(Pipeline_tbl[[#This Row],[Closed_Date]]=0,"",Pipeline_tbl[[#This Row],[Closed_Date]]-Pipeline_tbl[[#This Row],[Created_Date]])</f>
        <v>14</v>
      </c>
    </row>
    <row r="4073" spans="1:21" ht="15" customHeight="1" x14ac:dyDescent="0.2">
      <c r="A4073" t="s">
        <v>4379</v>
      </c>
      <c r="B4073" t="s">
        <v>215</v>
      </c>
      <c r="C4073" t="s">
        <v>53</v>
      </c>
      <c r="D4073" s="49">
        <v>45485</v>
      </c>
      <c r="E4073" s="49">
        <v>45486</v>
      </c>
      <c r="F4073" s="49">
        <v>45488</v>
      </c>
      <c r="G4073" s="49">
        <v>45492</v>
      </c>
      <c r="H4073" s="49">
        <v>45494</v>
      </c>
      <c r="I4073" s="49">
        <v>45496</v>
      </c>
      <c r="J4073" t="s">
        <v>47</v>
      </c>
      <c r="K4073" s="33">
        <v>1700</v>
      </c>
      <c r="M4073" t="str">
        <f>_xlfn.XLOOKUP(Pipeline_tbl[[#This Row],[Rep_ID]],Dim_Reps!A:A,Dim_Reps!K:K)</f>
        <v>EUR</v>
      </c>
      <c r="N4073" s="33">
        <f>(_xlfn.XLOOKUP(Pipeline_tbl[[#This Row],[Rate_Code_Generalized]],Lookups!A:A,Lookups!B:B))*Pipeline_tbl[[#This Row],[Pipeline_Amount_USD]]</f>
        <v>1700</v>
      </c>
      <c r="O4073" t="str">
        <f>_xlfn.XLOOKUP(Pipeline_tbl[[#This Row],[Rep_ID]],Dim_Reps!A:A,Dim_Reps!B:B)</f>
        <v>Jamie Schmidt</v>
      </c>
      <c r="P4073" t="str">
        <f>_xlfn.XLOOKUP(Pipeline_tbl[[#This Row],[Rep_ID]],Dim_Reps!A:A,Dim_Reps!C:C)</f>
        <v>SDR / Inside Sales Rep</v>
      </c>
      <c r="Q4073" t="str">
        <f>_xlfn.XLOOKUP(Pipeline_tbl[[#This Row],[Rep_ID]],Dim_Reps!A:A,Dim_Reps!D:D)</f>
        <v>Inside Sales</v>
      </c>
      <c r="R4073" t="str">
        <f>_xlfn.XLOOKUP(Pipeline_tbl[[#This Row],[Rep_ID]],Dim_Reps!A:A,Dim_Reps!E:E)</f>
        <v>APAC</v>
      </c>
      <c r="S4073" t="str">
        <f>_xlfn.XLOOKUP(Pipeline_tbl[[#This Row],[Created_Date]],Dim_Date!A:A,Dim_Date!H:H)</f>
        <v>Jul 2024</v>
      </c>
      <c r="T4073" t="str">
        <f>IF(Pipeline_tbl[[#This Row],[Closed_Date]]=0,"",(_xlfn.XLOOKUP(Pipeline_tbl[[#This Row],[Closed_Date]],Dim_Date!A:A,Dim_Date!H:H)))</f>
        <v>Jul 2024</v>
      </c>
      <c r="U4073">
        <f>IF(Pipeline_tbl[[#This Row],[Closed_Date]]=0,"",Pipeline_tbl[[#This Row],[Closed_Date]]-Pipeline_tbl[[#This Row],[Created_Date]])</f>
        <v>11</v>
      </c>
    </row>
    <row r="4074" spans="1:21" ht="15" customHeight="1" x14ac:dyDescent="0.2">
      <c r="A4074" t="s">
        <v>4380</v>
      </c>
      <c r="B4074" t="s">
        <v>215</v>
      </c>
      <c r="C4074" t="s">
        <v>52</v>
      </c>
      <c r="D4074" s="49">
        <v>45478</v>
      </c>
      <c r="E4074" s="49">
        <v>45480</v>
      </c>
      <c r="F4074" s="49">
        <v>45484</v>
      </c>
      <c r="G4074" s="49">
        <v>45491</v>
      </c>
      <c r="H4074" s="49">
        <v>45496</v>
      </c>
      <c r="I4074" s="49">
        <v>45499</v>
      </c>
      <c r="J4074" t="s">
        <v>47</v>
      </c>
      <c r="K4074" s="33">
        <v>4100</v>
      </c>
      <c r="M4074" t="str">
        <f>_xlfn.XLOOKUP(Pipeline_tbl[[#This Row],[Rep_ID]],Dim_Reps!A:A,Dim_Reps!K:K)</f>
        <v>EUR</v>
      </c>
      <c r="N4074" s="33">
        <f>(_xlfn.XLOOKUP(Pipeline_tbl[[#This Row],[Rate_Code_Generalized]],Lookups!A:A,Lookups!B:B))*Pipeline_tbl[[#This Row],[Pipeline_Amount_USD]]</f>
        <v>4100</v>
      </c>
      <c r="O4074" t="str">
        <f>_xlfn.XLOOKUP(Pipeline_tbl[[#This Row],[Rep_ID]],Dim_Reps!A:A,Dim_Reps!B:B)</f>
        <v>Jamie Schmidt</v>
      </c>
      <c r="P4074" t="str">
        <f>_xlfn.XLOOKUP(Pipeline_tbl[[#This Row],[Rep_ID]],Dim_Reps!A:A,Dim_Reps!C:C)</f>
        <v>SDR / Inside Sales Rep</v>
      </c>
      <c r="Q4074" t="str">
        <f>_xlfn.XLOOKUP(Pipeline_tbl[[#This Row],[Rep_ID]],Dim_Reps!A:A,Dim_Reps!D:D)</f>
        <v>Inside Sales</v>
      </c>
      <c r="R4074" t="str">
        <f>_xlfn.XLOOKUP(Pipeline_tbl[[#This Row],[Rep_ID]],Dim_Reps!A:A,Dim_Reps!E:E)</f>
        <v>APAC</v>
      </c>
      <c r="S4074" t="str">
        <f>_xlfn.XLOOKUP(Pipeline_tbl[[#This Row],[Created_Date]],Dim_Date!A:A,Dim_Date!H:H)</f>
        <v>Jul 2024</v>
      </c>
      <c r="T4074" t="str">
        <f>IF(Pipeline_tbl[[#This Row],[Closed_Date]]=0,"",(_xlfn.XLOOKUP(Pipeline_tbl[[#This Row],[Closed_Date]],Dim_Date!A:A,Dim_Date!H:H)))</f>
        <v>Jul 2024</v>
      </c>
      <c r="U4074">
        <f>IF(Pipeline_tbl[[#This Row],[Closed_Date]]=0,"",Pipeline_tbl[[#This Row],[Closed_Date]]-Pipeline_tbl[[#This Row],[Created_Date]])</f>
        <v>21</v>
      </c>
    </row>
    <row r="4075" spans="1:21" ht="15" customHeight="1" x14ac:dyDescent="0.2">
      <c r="A4075" t="s">
        <v>4381</v>
      </c>
      <c r="B4075" t="s">
        <v>217</v>
      </c>
      <c r="C4075" t="s">
        <v>52</v>
      </c>
      <c r="D4075" s="49">
        <v>45475</v>
      </c>
      <c r="E4075" s="49">
        <v>45478</v>
      </c>
      <c r="F4075" s="49">
        <v>45483</v>
      </c>
      <c r="G4075" s="49">
        <v>45491</v>
      </c>
      <c r="H4075" s="49">
        <v>45498</v>
      </c>
      <c r="I4075" s="49">
        <v>45502</v>
      </c>
      <c r="J4075" t="s">
        <v>47</v>
      </c>
      <c r="K4075" s="33">
        <v>3400</v>
      </c>
      <c r="M4075" t="str">
        <f>_xlfn.XLOOKUP(Pipeline_tbl[[#This Row],[Rep_ID]],Dim_Reps!A:A,Dim_Reps!K:K)</f>
        <v>USD</v>
      </c>
      <c r="N4075" s="33">
        <f>(_xlfn.XLOOKUP(Pipeline_tbl[[#This Row],[Rate_Code_Generalized]],Lookups!A:A,Lookups!B:B))*Pipeline_tbl[[#This Row],[Pipeline_Amount_USD]]</f>
        <v>3958.6199999999994</v>
      </c>
      <c r="O4075" t="str">
        <f>_xlfn.XLOOKUP(Pipeline_tbl[[#This Row],[Rep_ID]],Dim_Reps!A:A,Dim_Reps!B:B)</f>
        <v>Priya Weber</v>
      </c>
      <c r="P4075" t="str">
        <f>_xlfn.XLOOKUP(Pipeline_tbl[[#This Row],[Rep_ID]],Dim_Reps!A:A,Dim_Reps!C:C)</f>
        <v>SDR / Inside Sales Rep</v>
      </c>
      <c r="Q4075" t="str">
        <f>_xlfn.XLOOKUP(Pipeline_tbl[[#This Row],[Rep_ID]],Dim_Reps!A:A,Dim_Reps!D:D)</f>
        <v>Inside Sales</v>
      </c>
      <c r="R4075" t="str">
        <f>_xlfn.XLOOKUP(Pipeline_tbl[[#This Row],[Rep_ID]],Dim_Reps!A:A,Dim_Reps!E:E)</f>
        <v>NAMER</v>
      </c>
      <c r="S4075" t="str">
        <f>_xlfn.XLOOKUP(Pipeline_tbl[[#This Row],[Created_Date]],Dim_Date!A:A,Dim_Date!H:H)</f>
        <v>Jul 2024</v>
      </c>
      <c r="T4075" t="str">
        <f>IF(Pipeline_tbl[[#This Row],[Closed_Date]]=0,"",(_xlfn.XLOOKUP(Pipeline_tbl[[#This Row],[Closed_Date]],Dim_Date!A:A,Dim_Date!H:H)))</f>
        <v>Jul 2024</v>
      </c>
      <c r="U4075">
        <f>IF(Pipeline_tbl[[#This Row],[Closed_Date]]=0,"",Pipeline_tbl[[#This Row],[Closed_Date]]-Pipeline_tbl[[#This Row],[Created_Date]])</f>
        <v>27</v>
      </c>
    </row>
    <row r="4076" spans="1:21" ht="15" customHeight="1" x14ac:dyDescent="0.2">
      <c r="A4076" t="s">
        <v>4382</v>
      </c>
      <c r="B4076" t="s">
        <v>217</v>
      </c>
      <c r="C4076" t="s">
        <v>53</v>
      </c>
      <c r="D4076" s="49">
        <v>45475</v>
      </c>
      <c r="E4076" s="49">
        <v>45477</v>
      </c>
      <c r="F4076" s="49">
        <v>45480</v>
      </c>
      <c r="I4076" s="49">
        <v>45492</v>
      </c>
      <c r="J4076" t="s">
        <v>49</v>
      </c>
      <c r="K4076" s="33">
        <v>4900</v>
      </c>
      <c r="L4076" t="s">
        <v>62</v>
      </c>
      <c r="M4076" t="str">
        <f>_xlfn.XLOOKUP(Pipeline_tbl[[#This Row],[Rep_ID]],Dim_Reps!A:A,Dim_Reps!K:K)</f>
        <v>USD</v>
      </c>
      <c r="N4076" s="33">
        <f>(_xlfn.XLOOKUP(Pipeline_tbl[[#This Row],[Rate_Code_Generalized]],Lookups!A:A,Lookups!B:B))*Pipeline_tbl[[#This Row],[Pipeline_Amount_USD]]</f>
        <v>5705.07</v>
      </c>
      <c r="O4076" t="str">
        <f>_xlfn.XLOOKUP(Pipeline_tbl[[#This Row],[Rep_ID]],Dim_Reps!A:A,Dim_Reps!B:B)</f>
        <v>Priya Weber</v>
      </c>
      <c r="P4076" t="str">
        <f>_xlfn.XLOOKUP(Pipeline_tbl[[#This Row],[Rep_ID]],Dim_Reps!A:A,Dim_Reps!C:C)</f>
        <v>SDR / Inside Sales Rep</v>
      </c>
      <c r="Q4076" t="str">
        <f>_xlfn.XLOOKUP(Pipeline_tbl[[#This Row],[Rep_ID]],Dim_Reps!A:A,Dim_Reps!D:D)</f>
        <v>Inside Sales</v>
      </c>
      <c r="R4076" t="str">
        <f>_xlfn.XLOOKUP(Pipeline_tbl[[#This Row],[Rep_ID]],Dim_Reps!A:A,Dim_Reps!E:E)</f>
        <v>NAMER</v>
      </c>
      <c r="S4076" t="str">
        <f>_xlfn.XLOOKUP(Pipeline_tbl[[#This Row],[Created_Date]],Dim_Date!A:A,Dim_Date!H:H)</f>
        <v>Jul 2024</v>
      </c>
      <c r="T4076" t="str">
        <f>IF(Pipeline_tbl[[#This Row],[Closed_Date]]=0,"",(_xlfn.XLOOKUP(Pipeline_tbl[[#This Row],[Closed_Date]],Dim_Date!A:A,Dim_Date!H:H)))</f>
        <v>Jul 2024</v>
      </c>
      <c r="U4076">
        <f>IF(Pipeline_tbl[[#This Row],[Closed_Date]]=0,"",Pipeline_tbl[[#This Row],[Closed_Date]]-Pipeline_tbl[[#This Row],[Created_Date]])</f>
        <v>17</v>
      </c>
    </row>
    <row r="4077" spans="1:21" ht="15" customHeight="1" x14ac:dyDescent="0.2">
      <c r="A4077" t="s">
        <v>4383</v>
      </c>
      <c r="B4077" t="s">
        <v>217</v>
      </c>
      <c r="C4077" t="s">
        <v>54</v>
      </c>
      <c r="D4077" s="49">
        <v>45478</v>
      </c>
      <c r="E4077" s="49">
        <v>45480</v>
      </c>
      <c r="F4077" s="49">
        <v>45484</v>
      </c>
      <c r="G4077" s="49">
        <v>45489</v>
      </c>
      <c r="H4077" s="49">
        <v>45494</v>
      </c>
      <c r="I4077" s="49">
        <v>45497</v>
      </c>
      <c r="J4077" t="s">
        <v>47</v>
      </c>
      <c r="K4077" s="33">
        <v>4400</v>
      </c>
      <c r="M4077" t="str">
        <f>_xlfn.XLOOKUP(Pipeline_tbl[[#This Row],[Rep_ID]],Dim_Reps!A:A,Dim_Reps!K:K)</f>
        <v>USD</v>
      </c>
      <c r="N4077" s="33">
        <f>(_xlfn.XLOOKUP(Pipeline_tbl[[#This Row],[Rate_Code_Generalized]],Lookups!A:A,Lookups!B:B))*Pipeline_tbl[[#This Row],[Pipeline_Amount_USD]]</f>
        <v>5122.9199999999992</v>
      </c>
      <c r="O4077" t="str">
        <f>_xlfn.XLOOKUP(Pipeline_tbl[[#This Row],[Rep_ID]],Dim_Reps!A:A,Dim_Reps!B:B)</f>
        <v>Priya Weber</v>
      </c>
      <c r="P4077" t="str">
        <f>_xlfn.XLOOKUP(Pipeline_tbl[[#This Row],[Rep_ID]],Dim_Reps!A:A,Dim_Reps!C:C)</f>
        <v>SDR / Inside Sales Rep</v>
      </c>
      <c r="Q4077" t="str">
        <f>_xlfn.XLOOKUP(Pipeline_tbl[[#This Row],[Rep_ID]],Dim_Reps!A:A,Dim_Reps!D:D)</f>
        <v>Inside Sales</v>
      </c>
      <c r="R4077" t="str">
        <f>_xlfn.XLOOKUP(Pipeline_tbl[[#This Row],[Rep_ID]],Dim_Reps!A:A,Dim_Reps!E:E)</f>
        <v>NAMER</v>
      </c>
      <c r="S4077" t="str">
        <f>_xlfn.XLOOKUP(Pipeline_tbl[[#This Row],[Created_Date]],Dim_Date!A:A,Dim_Date!H:H)</f>
        <v>Jul 2024</v>
      </c>
      <c r="T4077" t="str">
        <f>IF(Pipeline_tbl[[#This Row],[Closed_Date]]=0,"",(_xlfn.XLOOKUP(Pipeline_tbl[[#This Row],[Closed_Date]],Dim_Date!A:A,Dim_Date!H:H)))</f>
        <v>Jul 2024</v>
      </c>
      <c r="U4077">
        <f>IF(Pipeline_tbl[[#This Row],[Closed_Date]]=0,"",Pipeline_tbl[[#This Row],[Closed_Date]]-Pipeline_tbl[[#This Row],[Created_Date]])</f>
        <v>19</v>
      </c>
    </row>
    <row r="4078" spans="1:21" ht="15" customHeight="1" x14ac:dyDescent="0.2">
      <c r="A4078" t="s">
        <v>4384</v>
      </c>
      <c r="B4078" t="s">
        <v>221</v>
      </c>
      <c r="C4078" t="s">
        <v>54</v>
      </c>
      <c r="D4078" s="49">
        <v>45475</v>
      </c>
      <c r="E4078" s="49">
        <v>45477</v>
      </c>
      <c r="F4078" s="49">
        <v>45481</v>
      </c>
      <c r="G4078" s="49">
        <v>45487</v>
      </c>
      <c r="H4078" s="49">
        <v>45492</v>
      </c>
      <c r="I4078" s="49">
        <v>45495</v>
      </c>
      <c r="J4078" t="s">
        <v>47</v>
      </c>
      <c r="K4078" s="33">
        <v>4100</v>
      </c>
      <c r="M4078" t="str">
        <f>_xlfn.XLOOKUP(Pipeline_tbl[[#This Row],[Rep_ID]],Dim_Reps!A:A,Dim_Reps!K:K)</f>
        <v>MXN</v>
      </c>
      <c r="N4078" s="33">
        <f>(_xlfn.XLOOKUP(Pipeline_tbl[[#This Row],[Rate_Code_Generalized]],Lookups!A:A,Lookups!B:B))*Pipeline_tbl[[#This Row],[Pipeline_Amount_USD]]</f>
        <v>80904.070000000007</v>
      </c>
      <c r="O4078" t="str">
        <f>_xlfn.XLOOKUP(Pipeline_tbl[[#This Row],[Rep_ID]],Dim_Reps!A:A,Dim_Reps!B:B)</f>
        <v>Casey Muller</v>
      </c>
      <c r="P4078" t="str">
        <f>_xlfn.XLOOKUP(Pipeline_tbl[[#This Row],[Rep_ID]],Dim_Reps!A:A,Dim_Reps!C:C)</f>
        <v>SDR / Inside Sales Rep</v>
      </c>
      <c r="Q4078" t="str">
        <f>_xlfn.XLOOKUP(Pipeline_tbl[[#This Row],[Rep_ID]],Dim_Reps!A:A,Dim_Reps!D:D)</f>
        <v>Inside Sales</v>
      </c>
      <c r="R4078" t="str">
        <f>_xlfn.XLOOKUP(Pipeline_tbl[[#This Row],[Rep_ID]],Dim_Reps!A:A,Dim_Reps!E:E)</f>
        <v>LATAM</v>
      </c>
      <c r="S4078" t="str">
        <f>_xlfn.XLOOKUP(Pipeline_tbl[[#This Row],[Created_Date]],Dim_Date!A:A,Dim_Date!H:H)</f>
        <v>Jul 2024</v>
      </c>
      <c r="T4078" t="str">
        <f>IF(Pipeline_tbl[[#This Row],[Closed_Date]]=0,"",(_xlfn.XLOOKUP(Pipeline_tbl[[#This Row],[Closed_Date]],Dim_Date!A:A,Dim_Date!H:H)))</f>
        <v>Jul 2024</v>
      </c>
      <c r="U4078">
        <f>IF(Pipeline_tbl[[#This Row],[Closed_Date]]=0,"",Pipeline_tbl[[#This Row],[Closed_Date]]-Pipeline_tbl[[#This Row],[Created_Date]])</f>
        <v>20</v>
      </c>
    </row>
    <row r="4079" spans="1:21" ht="15" customHeight="1" x14ac:dyDescent="0.2">
      <c r="A4079" t="s">
        <v>4385</v>
      </c>
      <c r="B4079" t="s">
        <v>221</v>
      </c>
      <c r="C4079" t="s">
        <v>52</v>
      </c>
      <c r="D4079" s="49">
        <v>45483</v>
      </c>
      <c r="E4079" s="49">
        <v>45485</v>
      </c>
      <c r="F4079" s="49">
        <v>45489</v>
      </c>
      <c r="G4079" s="49">
        <v>45495</v>
      </c>
      <c r="H4079" s="49">
        <v>45500</v>
      </c>
      <c r="I4079" s="49">
        <v>45503</v>
      </c>
      <c r="J4079" t="s">
        <v>49</v>
      </c>
      <c r="K4079" s="33">
        <v>1800</v>
      </c>
      <c r="L4079" t="s">
        <v>60</v>
      </c>
      <c r="M4079" t="str">
        <f>_xlfn.XLOOKUP(Pipeline_tbl[[#This Row],[Rep_ID]],Dim_Reps!A:A,Dim_Reps!K:K)</f>
        <v>MXN</v>
      </c>
      <c r="N4079" s="33">
        <f>(_xlfn.XLOOKUP(Pipeline_tbl[[#This Row],[Rate_Code_Generalized]],Lookups!A:A,Lookups!B:B))*Pipeline_tbl[[#This Row],[Pipeline_Amount_USD]]</f>
        <v>35518.86</v>
      </c>
      <c r="O4079" t="str">
        <f>_xlfn.XLOOKUP(Pipeline_tbl[[#This Row],[Rep_ID]],Dim_Reps!A:A,Dim_Reps!B:B)</f>
        <v>Casey Muller</v>
      </c>
      <c r="P4079" t="str">
        <f>_xlfn.XLOOKUP(Pipeline_tbl[[#This Row],[Rep_ID]],Dim_Reps!A:A,Dim_Reps!C:C)</f>
        <v>SDR / Inside Sales Rep</v>
      </c>
      <c r="Q4079" t="str">
        <f>_xlfn.XLOOKUP(Pipeline_tbl[[#This Row],[Rep_ID]],Dim_Reps!A:A,Dim_Reps!D:D)</f>
        <v>Inside Sales</v>
      </c>
      <c r="R4079" t="str">
        <f>_xlfn.XLOOKUP(Pipeline_tbl[[#This Row],[Rep_ID]],Dim_Reps!A:A,Dim_Reps!E:E)</f>
        <v>LATAM</v>
      </c>
      <c r="S4079" t="str">
        <f>_xlfn.XLOOKUP(Pipeline_tbl[[#This Row],[Created_Date]],Dim_Date!A:A,Dim_Date!H:H)</f>
        <v>Jul 2024</v>
      </c>
      <c r="T4079" t="str">
        <f>IF(Pipeline_tbl[[#This Row],[Closed_Date]]=0,"",(_xlfn.XLOOKUP(Pipeline_tbl[[#This Row],[Closed_Date]],Dim_Date!A:A,Dim_Date!H:H)))</f>
        <v>Jul 2024</v>
      </c>
      <c r="U4079">
        <f>IF(Pipeline_tbl[[#This Row],[Closed_Date]]=0,"",Pipeline_tbl[[#This Row],[Closed_Date]]-Pipeline_tbl[[#This Row],[Created_Date]])</f>
        <v>20</v>
      </c>
    </row>
    <row r="4080" spans="1:21" ht="15" customHeight="1" x14ac:dyDescent="0.2">
      <c r="A4080" t="s">
        <v>4386</v>
      </c>
      <c r="B4080" t="s">
        <v>221</v>
      </c>
      <c r="C4080" t="s">
        <v>54</v>
      </c>
      <c r="D4080" s="49">
        <v>45474</v>
      </c>
      <c r="E4080" s="49">
        <v>45475</v>
      </c>
      <c r="F4080" s="49">
        <v>45478</v>
      </c>
      <c r="G4080" s="49">
        <v>45482</v>
      </c>
      <c r="H4080" s="49">
        <v>45485</v>
      </c>
      <c r="I4080" s="49">
        <v>45487</v>
      </c>
      <c r="J4080" t="s">
        <v>47</v>
      </c>
      <c r="K4080" s="33">
        <v>3500</v>
      </c>
      <c r="M4080" t="str">
        <f>_xlfn.XLOOKUP(Pipeline_tbl[[#This Row],[Rep_ID]],Dim_Reps!A:A,Dim_Reps!K:K)</f>
        <v>MXN</v>
      </c>
      <c r="N4080" s="33">
        <f>(_xlfn.XLOOKUP(Pipeline_tbl[[#This Row],[Rate_Code_Generalized]],Lookups!A:A,Lookups!B:B))*Pipeline_tbl[[#This Row],[Pipeline_Amount_USD]]</f>
        <v>69064.45</v>
      </c>
      <c r="O4080" t="str">
        <f>_xlfn.XLOOKUP(Pipeline_tbl[[#This Row],[Rep_ID]],Dim_Reps!A:A,Dim_Reps!B:B)</f>
        <v>Casey Muller</v>
      </c>
      <c r="P4080" t="str">
        <f>_xlfn.XLOOKUP(Pipeline_tbl[[#This Row],[Rep_ID]],Dim_Reps!A:A,Dim_Reps!C:C)</f>
        <v>SDR / Inside Sales Rep</v>
      </c>
      <c r="Q4080" t="str">
        <f>_xlfn.XLOOKUP(Pipeline_tbl[[#This Row],[Rep_ID]],Dim_Reps!A:A,Dim_Reps!D:D)</f>
        <v>Inside Sales</v>
      </c>
      <c r="R4080" t="str">
        <f>_xlfn.XLOOKUP(Pipeline_tbl[[#This Row],[Rep_ID]],Dim_Reps!A:A,Dim_Reps!E:E)</f>
        <v>LATAM</v>
      </c>
      <c r="S4080" t="str">
        <f>_xlfn.XLOOKUP(Pipeline_tbl[[#This Row],[Created_Date]],Dim_Date!A:A,Dim_Date!H:H)</f>
        <v>Jul 2024</v>
      </c>
      <c r="T4080" t="str">
        <f>IF(Pipeline_tbl[[#This Row],[Closed_Date]]=0,"",(_xlfn.XLOOKUP(Pipeline_tbl[[#This Row],[Closed_Date]],Dim_Date!A:A,Dim_Date!H:H)))</f>
        <v>Jul 2024</v>
      </c>
      <c r="U4080">
        <f>IF(Pipeline_tbl[[#This Row],[Closed_Date]]=0,"",Pipeline_tbl[[#This Row],[Closed_Date]]-Pipeline_tbl[[#This Row],[Created_Date]])</f>
        <v>13</v>
      </c>
    </row>
    <row r="4081" spans="1:21" ht="15" customHeight="1" x14ac:dyDescent="0.2">
      <c r="A4081" t="s">
        <v>4387</v>
      </c>
      <c r="B4081" t="s">
        <v>221</v>
      </c>
      <c r="C4081" t="s">
        <v>52</v>
      </c>
      <c r="D4081" s="49">
        <v>45482</v>
      </c>
      <c r="E4081" s="49">
        <v>45484</v>
      </c>
      <c r="F4081" s="49">
        <v>45488</v>
      </c>
      <c r="G4081" s="49">
        <v>45495</v>
      </c>
      <c r="H4081" s="49">
        <v>45500</v>
      </c>
      <c r="I4081" s="49">
        <v>45503</v>
      </c>
      <c r="J4081" t="s">
        <v>47</v>
      </c>
      <c r="K4081" s="33">
        <v>2200</v>
      </c>
      <c r="M4081" t="str">
        <f>_xlfn.XLOOKUP(Pipeline_tbl[[#This Row],[Rep_ID]],Dim_Reps!A:A,Dim_Reps!K:K)</f>
        <v>MXN</v>
      </c>
      <c r="N4081" s="33">
        <f>(_xlfn.XLOOKUP(Pipeline_tbl[[#This Row],[Rate_Code_Generalized]],Lookups!A:A,Lookups!B:B))*Pipeline_tbl[[#This Row],[Pipeline_Amount_USD]]</f>
        <v>43411.94</v>
      </c>
      <c r="O4081" t="str">
        <f>_xlfn.XLOOKUP(Pipeline_tbl[[#This Row],[Rep_ID]],Dim_Reps!A:A,Dim_Reps!B:B)</f>
        <v>Casey Muller</v>
      </c>
      <c r="P4081" t="str">
        <f>_xlfn.XLOOKUP(Pipeline_tbl[[#This Row],[Rep_ID]],Dim_Reps!A:A,Dim_Reps!C:C)</f>
        <v>SDR / Inside Sales Rep</v>
      </c>
      <c r="Q4081" t="str">
        <f>_xlfn.XLOOKUP(Pipeline_tbl[[#This Row],[Rep_ID]],Dim_Reps!A:A,Dim_Reps!D:D)</f>
        <v>Inside Sales</v>
      </c>
      <c r="R4081" t="str">
        <f>_xlfn.XLOOKUP(Pipeline_tbl[[#This Row],[Rep_ID]],Dim_Reps!A:A,Dim_Reps!E:E)</f>
        <v>LATAM</v>
      </c>
      <c r="S4081" t="str">
        <f>_xlfn.XLOOKUP(Pipeline_tbl[[#This Row],[Created_Date]],Dim_Date!A:A,Dim_Date!H:H)</f>
        <v>Jul 2024</v>
      </c>
      <c r="T4081" t="str">
        <f>IF(Pipeline_tbl[[#This Row],[Closed_Date]]=0,"",(_xlfn.XLOOKUP(Pipeline_tbl[[#This Row],[Closed_Date]],Dim_Date!A:A,Dim_Date!H:H)))</f>
        <v>Jul 2024</v>
      </c>
      <c r="U4081">
        <f>IF(Pipeline_tbl[[#This Row],[Closed_Date]]=0,"",Pipeline_tbl[[#This Row],[Closed_Date]]-Pipeline_tbl[[#This Row],[Created_Date]])</f>
        <v>21</v>
      </c>
    </row>
    <row r="4082" spans="1:21" ht="15" customHeight="1" x14ac:dyDescent="0.2">
      <c r="A4082" t="s">
        <v>4388</v>
      </c>
      <c r="B4082" t="s">
        <v>221</v>
      </c>
      <c r="C4082" t="s">
        <v>52</v>
      </c>
      <c r="D4082" s="49">
        <v>45474</v>
      </c>
      <c r="E4082" s="49">
        <v>45476</v>
      </c>
      <c r="F4082" s="49">
        <v>45479</v>
      </c>
      <c r="G4082" s="49">
        <v>45484</v>
      </c>
      <c r="H4082" s="49">
        <v>45488</v>
      </c>
      <c r="I4082" s="49">
        <v>45490</v>
      </c>
      <c r="J4082" t="s">
        <v>47</v>
      </c>
      <c r="K4082" s="33">
        <v>6900</v>
      </c>
      <c r="M4082" t="str">
        <f>_xlfn.XLOOKUP(Pipeline_tbl[[#This Row],[Rep_ID]],Dim_Reps!A:A,Dim_Reps!K:K)</f>
        <v>MXN</v>
      </c>
      <c r="N4082" s="33">
        <f>(_xlfn.XLOOKUP(Pipeline_tbl[[#This Row],[Rate_Code_Generalized]],Lookups!A:A,Lookups!B:B))*Pipeline_tbl[[#This Row],[Pipeline_Amount_USD]]</f>
        <v>136155.63</v>
      </c>
      <c r="O4082" t="str">
        <f>_xlfn.XLOOKUP(Pipeline_tbl[[#This Row],[Rep_ID]],Dim_Reps!A:A,Dim_Reps!B:B)</f>
        <v>Casey Muller</v>
      </c>
      <c r="P4082" t="str">
        <f>_xlfn.XLOOKUP(Pipeline_tbl[[#This Row],[Rep_ID]],Dim_Reps!A:A,Dim_Reps!C:C)</f>
        <v>SDR / Inside Sales Rep</v>
      </c>
      <c r="Q4082" t="str">
        <f>_xlfn.XLOOKUP(Pipeline_tbl[[#This Row],[Rep_ID]],Dim_Reps!A:A,Dim_Reps!D:D)</f>
        <v>Inside Sales</v>
      </c>
      <c r="R4082" t="str">
        <f>_xlfn.XLOOKUP(Pipeline_tbl[[#This Row],[Rep_ID]],Dim_Reps!A:A,Dim_Reps!E:E)</f>
        <v>LATAM</v>
      </c>
      <c r="S4082" t="str">
        <f>_xlfn.XLOOKUP(Pipeline_tbl[[#This Row],[Created_Date]],Dim_Date!A:A,Dim_Date!H:H)</f>
        <v>Jul 2024</v>
      </c>
      <c r="T4082" t="str">
        <f>IF(Pipeline_tbl[[#This Row],[Closed_Date]]=0,"",(_xlfn.XLOOKUP(Pipeline_tbl[[#This Row],[Closed_Date]],Dim_Date!A:A,Dim_Date!H:H)))</f>
        <v>Jul 2024</v>
      </c>
      <c r="U4082">
        <f>IF(Pipeline_tbl[[#This Row],[Closed_Date]]=0,"",Pipeline_tbl[[#This Row],[Closed_Date]]-Pipeline_tbl[[#This Row],[Created_Date]])</f>
        <v>16</v>
      </c>
    </row>
    <row r="4083" spans="1:21" ht="15" customHeight="1" x14ac:dyDescent="0.2">
      <c r="A4083" t="s">
        <v>4389</v>
      </c>
      <c r="B4083" t="s">
        <v>225</v>
      </c>
      <c r="C4083" t="s">
        <v>52</v>
      </c>
      <c r="D4083" s="49">
        <v>45476</v>
      </c>
      <c r="E4083" s="49">
        <v>45478</v>
      </c>
      <c r="F4083" s="49">
        <v>45483</v>
      </c>
      <c r="G4083" s="49">
        <v>45489</v>
      </c>
      <c r="H4083" s="49">
        <v>45495</v>
      </c>
      <c r="I4083" s="49">
        <v>45498</v>
      </c>
      <c r="J4083" t="s">
        <v>47</v>
      </c>
      <c r="K4083" s="33">
        <v>5500</v>
      </c>
      <c r="M4083" t="str">
        <f>_xlfn.XLOOKUP(Pipeline_tbl[[#This Row],[Rep_ID]],Dim_Reps!A:A,Dim_Reps!K:K)</f>
        <v>USD</v>
      </c>
      <c r="N4083" s="33">
        <f>(_xlfn.XLOOKUP(Pipeline_tbl[[#This Row],[Rate_Code_Generalized]],Lookups!A:A,Lookups!B:B))*Pipeline_tbl[[#This Row],[Pipeline_Amount_USD]]</f>
        <v>6403.65</v>
      </c>
      <c r="O4083" t="str">
        <f>_xlfn.XLOOKUP(Pipeline_tbl[[#This Row],[Rep_ID]],Dim_Reps!A:A,Dim_Reps!B:B)</f>
        <v>Alex Muller</v>
      </c>
      <c r="P4083" t="str">
        <f>_xlfn.XLOOKUP(Pipeline_tbl[[#This Row],[Rep_ID]],Dim_Reps!A:A,Dim_Reps!C:C)</f>
        <v>SDR / Inside Sales Rep</v>
      </c>
      <c r="Q4083" t="str">
        <f>_xlfn.XLOOKUP(Pipeline_tbl[[#This Row],[Rep_ID]],Dim_Reps!A:A,Dim_Reps!D:D)</f>
        <v>Inside Sales</v>
      </c>
      <c r="R4083" t="str">
        <f>_xlfn.XLOOKUP(Pipeline_tbl[[#This Row],[Rep_ID]],Dim_Reps!A:A,Dim_Reps!E:E)</f>
        <v>NAMER</v>
      </c>
      <c r="S4083" t="str">
        <f>_xlfn.XLOOKUP(Pipeline_tbl[[#This Row],[Created_Date]],Dim_Date!A:A,Dim_Date!H:H)</f>
        <v>Jul 2024</v>
      </c>
      <c r="T4083" t="str">
        <f>IF(Pipeline_tbl[[#This Row],[Closed_Date]]=0,"",(_xlfn.XLOOKUP(Pipeline_tbl[[#This Row],[Closed_Date]],Dim_Date!A:A,Dim_Date!H:H)))</f>
        <v>Jul 2024</v>
      </c>
      <c r="U4083">
        <f>IF(Pipeline_tbl[[#This Row],[Closed_Date]]=0,"",Pipeline_tbl[[#This Row],[Closed_Date]]-Pipeline_tbl[[#This Row],[Created_Date]])</f>
        <v>22</v>
      </c>
    </row>
    <row r="4084" spans="1:21" ht="15" customHeight="1" x14ac:dyDescent="0.2">
      <c r="A4084" t="s">
        <v>4390</v>
      </c>
      <c r="B4084" t="s">
        <v>225</v>
      </c>
      <c r="C4084" t="s">
        <v>52</v>
      </c>
      <c r="D4084" s="49">
        <v>45478</v>
      </c>
      <c r="E4084" s="49">
        <v>45480</v>
      </c>
      <c r="F4084" s="49">
        <v>45484</v>
      </c>
      <c r="G4084" s="49">
        <v>45491</v>
      </c>
      <c r="H4084" s="49">
        <v>45496</v>
      </c>
      <c r="I4084" s="49">
        <v>45499</v>
      </c>
      <c r="J4084" t="s">
        <v>47</v>
      </c>
      <c r="K4084" s="33">
        <v>2800</v>
      </c>
      <c r="M4084" t="str">
        <f>_xlfn.XLOOKUP(Pipeline_tbl[[#This Row],[Rep_ID]],Dim_Reps!A:A,Dim_Reps!K:K)</f>
        <v>USD</v>
      </c>
      <c r="N4084" s="33">
        <f>(_xlfn.XLOOKUP(Pipeline_tbl[[#This Row],[Rate_Code_Generalized]],Lookups!A:A,Lookups!B:B))*Pipeline_tbl[[#This Row],[Pipeline_Amount_USD]]</f>
        <v>3260.0399999999995</v>
      </c>
      <c r="O4084" t="str">
        <f>_xlfn.XLOOKUP(Pipeline_tbl[[#This Row],[Rep_ID]],Dim_Reps!A:A,Dim_Reps!B:B)</f>
        <v>Alex Muller</v>
      </c>
      <c r="P4084" t="str">
        <f>_xlfn.XLOOKUP(Pipeline_tbl[[#This Row],[Rep_ID]],Dim_Reps!A:A,Dim_Reps!C:C)</f>
        <v>SDR / Inside Sales Rep</v>
      </c>
      <c r="Q4084" t="str">
        <f>_xlfn.XLOOKUP(Pipeline_tbl[[#This Row],[Rep_ID]],Dim_Reps!A:A,Dim_Reps!D:D)</f>
        <v>Inside Sales</v>
      </c>
      <c r="R4084" t="str">
        <f>_xlfn.XLOOKUP(Pipeline_tbl[[#This Row],[Rep_ID]],Dim_Reps!A:A,Dim_Reps!E:E)</f>
        <v>NAMER</v>
      </c>
      <c r="S4084" t="str">
        <f>_xlfn.XLOOKUP(Pipeline_tbl[[#This Row],[Created_Date]],Dim_Date!A:A,Dim_Date!H:H)</f>
        <v>Jul 2024</v>
      </c>
      <c r="T4084" t="str">
        <f>IF(Pipeline_tbl[[#This Row],[Closed_Date]]=0,"",(_xlfn.XLOOKUP(Pipeline_tbl[[#This Row],[Closed_Date]],Dim_Date!A:A,Dim_Date!H:H)))</f>
        <v>Jul 2024</v>
      </c>
      <c r="U4084">
        <f>IF(Pipeline_tbl[[#This Row],[Closed_Date]]=0,"",Pipeline_tbl[[#This Row],[Closed_Date]]-Pipeline_tbl[[#This Row],[Created_Date]])</f>
        <v>21</v>
      </c>
    </row>
    <row r="4085" spans="1:21" ht="15" customHeight="1" x14ac:dyDescent="0.2">
      <c r="A4085" t="s">
        <v>4391</v>
      </c>
      <c r="B4085" t="s">
        <v>225</v>
      </c>
      <c r="C4085" t="s">
        <v>52</v>
      </c>
      <c r="D4085" s="49">
        <v>45478</v>
      </c>
      <c r="E4085" s="49">
        <v>45478</v>
      </c>
      <c r="I4085" s="49">
        <v>45483</v>
      </c>
      <c r="J4085" t="s">
        <v>49</v>
      </c>
      <c r="K4085" s="33">
        <v>2100</v>
      </c>
      <c r="L4085" t="s">
        <v>62</v>
      </c>
      <c r="M4085" t="str">
        <f>_xlfn.XLOOKUP(Pipeline_tbl[[#This Row],[Rep_ID]],Dim_Reps!A:A,Dim_Reps!K:K)</f>
        <v>USD</v>
      </c>
      <c r="N4085" s="33">
        <f>(_xlfn.XLOOKUP(Pipeline_tbl[[#This Row],[Rate_Code_Generalized]],Lookups!A:A,Lookups!B:B))*Pipeline_tbl[[#This Row],[Pipeline_Amount_USD]]</f>
        <v>2445.0299999999997</v>
      </c>
      <c r="O4085" t="str">
        <f>_xlfn.XLOOKUP(Pipeline_tbl[[#This Row],[Rep_ID]],Dim_Reps!A:A,Dim_Reps!B:B)</f>
        <v>Alex Muller</v>
      </c>
      <c r="P4085" t="str">
        <f>_xlfn.XLOOKUP(Pipeline_tbl[[#This Row],[Rep_ID]],Dim_Reps!A:A,Dim_Reps!C:C)</f>
        <v>SDR / Inside Sales Rep</v>
      </c>
      <c r="Q4085" t="str">
        <f>_xlfn.XLOOKUP(Pipeline_tbl[[#This Row],[Rep_ID]],Dim_Reps!A:A,Dim_Reps!D:D)</f>
        <v>Inside Sales</v>
      </c>
      <c r="R4085" t="str">
        <f>_xlfn.XLOOKUP(Pipeline_tbl[[#This Row],[Rep_ID]],Dim_Reps!A:A,Dim_Reps!E:E)</f>
        <v>NAMER</v>
      </c>
      <c r="S4085" t="str">
        <f>_xlfn.XLOOKUP(Pipeline_tbl[[#This Row],[Created_Date]],Dim_Date!A:A,Dim_Date!H:H)</f>
        <v>Jul 2024</v>
      </c>
      <c r="T4085" t="str">
        <f>IF(Pipeline_tbl[[#This Row],[Closed_Date]]=0,"",(_xlfn.XLOOKUP(Pipeline_tbl[[#This Row],[Closed_Date]],Dim_Date!A:A,Dim_Date!H:H)))</f>
        <v>Jul 2024</v>
      </c>
      <c r="U4085">
        <f>IF(Pipeline_tbl[[#This Row],[Closed_Date]]=0,"",Pipeline_tbl[[#This Row],[Closed_Date]]-Pipeline_tbl[[#This Row],[Created_Date]])</f>
        <v>5</v>
      </c>
    </row>
    <row r="4086" spans="1:21" ht="15" customHeight="1" x14ac:dyDescent="0.2">
      <c r="A4086" t="s">
        <v>4392</v>
      </c>
      <c r="B4086" t="s">
        <v>225</v>
      </c>
      <c r="C4086" t="s">
        <v>54</v>
      </c>
      <c r="D4086" s="49">
        <v>45486</v>
      </c>
      <c r="E4086" s="49">
        <v>45487</v>
      </c>
      <c r="F4086" s="49">
        <v>45490</v>
      </c>
      <c r="G4086" s="49">
        <v>45494</v>
      </c>
      <c r="I4086" s="49">
        <v>45500</v>
      </c>
      <c r="J4086" t="s">
        <v>49</v>
      </c>
      <c r="K4086" s="33">
        <v>1000</v>
      </c>
      <c r="L4086" t="s">
        <v>62</v>
      </c>
      <c r="M4086" t="str">
        <f>_xlfn.XLOOKUP(Pipeline_tbl[[#This Row],[Rep_ID]],Dim_Reps!A:A,Dim_Reps!K:K)</f>
        <v>USD</v>
      </c>
      <c r="N4086" s="33">
        <f>(_xlfn.XLOOKUP(Pipeline_tbl[[#This Row],[Rate_Code_Generalized]],Lookups!A:A,Lookups!B:B))*Pipeline_tbl[[#This Row],[Pipeline_Amount_USD]]</f>
        <v>1164.3</v>
      </c>
      <c r="O4086" t="str">
        <f>_xlfn.XLOOKUP(Pipeline_tbl[[#This Row],[Rep_ID]],Dim_Reps!A:A,Dim_Reps!B:B)</f>
        <v>Alex Muller</v>
      </c>
      <c r="P4086" t="str">
        <f>_xlfn.XLOOKUP(Pipeline_tbl[[#This Row],[Rep_ID]],Dim_Reps!A:A,Dim_Reps!C:C)</f>
        <v>SDR / Inside Sales Rep</v>
      </c>
      <c r="Q4086" t="str">
        <f>_xlfn.XLOOKUP(Pipeline_tbl[[#This Row],[Rep_ID]],Dim_Reps!A:A,Dim_Reps!D:D)</f>
        <v>Inside Sales</v>
      </c>
      <c r="R4086" t="str">
        <f>_xlfn.XLOOKUP(Pipeline_tbl[[#This Row],[Rep_ID]],Dim_Reps!A:A,Dim_Reps!E:E)</f>
        <v>NAMER</v>
      </c>
      <c r="S4086" t="str">
        <f>_xlfn.XLOOKUP(Pipeline_tbl[[#This Row],[Created_Date]],Dim_Date!A:A,Dim_Date!H:H)</f>
        <v>Jul 2024</v>
      </c>
      <c r="T4086" t="str">
        <f>IF(Pipeline_tbl[[#This Row],[Closed_Date]]=0,"",(_xlfn.XLOOKUP(Pipeline_tbl[[#This Row],[Closed_Date]],Dim_Date!A:A,Dim_Date!H:H)))</f>
        <v>Jul 2024</v>
      </c>
      <c r="U4086">
        <f>IF(Pipeline_tbl[[#This Row],[Closed_Date]]=0,"",Pipeline_tbl[[#This Row],[Closed_Date]]-Pipeline_tbl[[#This Row],[Created_Date]])</f>
        <v>14</v>
      </c>
    </row>
    <row r="4087" spans="1:21" ht="15" customHeight="1" x14ac:dyDescent="0.2">
      <c r="A4087" t="s">
        <v>4393</v>
      </c>
      <c r="B4087" t="s">
        <v>227</v>
      </c>
      <c r="C4087" t="s">
        <v>53</v>
      </c>
      <c r="D4087" s="49">
        <v>45483</v>
      </c>
      <c r="E4087" s="49">
        <v>45485</v>
      </c>
      <c r="F4087" s="49">
        <v>45489</v>
      </c>
      <c r="G4087" s="49">
        <v>45494</v>
      </c>
      <c r="I4087" s="49">
        <v>45502</v>
      </c>
      <c r="J4087" t="s">
        <v>49</v>
      </c>
      <c r="K4087" s="33">
        <v>1600</v>
      </c>
      <c r="L4087" t="s">
        <v>64</v>
      </c>
      <c r="M4087" t="str">
        <f>_xlfn.XLOOKUP(Pipeline_tbl[[#This Row],[Rep_ID]],Dim_Reps!A:A,Dim_Reps!K:K)</f>
        <v>EUR</v>
      </c>
      <c r="N4087" s="33">
        <f>(_xlfn.XLOOKUP(Pipeline_tbl[[#This Row],[Rate_Code_Generalized]],Lookups!A:A,Lookups!B:B))*Pipeline_tbl[[#This Row],[Pipeline_Amount_USD]]</f>
        <v>1600</v>
      </c>
      <c r="O4087" t="str">
        <f>_xlfn.XLOOKUP(Pipeline_tbl[[#This Row],[Rep_ID]],Dim_Reps!A:A,Dim_Reps!B:B)</f>
        <v>Liam Muller</v>
      </c>
      <c r="P4087" t="str">
        <f>_xlfn.XLOOKUP(Pipeline_tbl[[#This Row],[Rep_ID]],Dim_Reps!A:A,Dim_Reps!C:C)</f>
        <v>SDR / Inside Sales Rep</v>
      </c>
      <c r="Q4087" t="str">
        <f>_xlfn.XLOOKUP(Pipeline_tbl[[#This Row],[Rep_ID]],Dim_Reps!A:A,Dim_Reps!D:D)</f>
        <v>Inside Sales</v>
      </c>
      <c r="R4087" t="str">
        <f>_xlfn.XLOOKUP(Pipeline_tbl[[#This Row],[Rep_ID]],Dim_Reps!A:A,Dim_Reps!E:E)</f>
        <v>EMEA</v>
      </c>
      <c r="S4087" t="str">
        <f>_xlfn.XLOOKUP(Pipeline_tbl[[#This Row],[Created_Date]],Dim_Date!A:A,Dim_Date!H:H)</f>
        <v>Jul 2024</v>
      </c>
      <c r="T4087" t="str">
        <f>IF(Pipeline_tbl[[#This Row],[Closed_Date]]=0,"",(_xlfn.XLOOKUP(Pipeline_tbl[[#This Row],[Closed_Date]],Dim_Date!A:A,Dim_Date!H:H)))</f>
        <v>Jul 2024</v>
      </c>
      <c r="U4087">
        <f>IF(Pipeline_tbl[[#This Row],[Closed_Date]]=0,"",Pipeline_tbl[[#This Row],[Closed_Date]]-Pipeline_tbl[[#This Row],[Created_Date]])</f>
        <v>19</v>
      </c>
    </row>
    <row r="4088" spans="1:21" ht="15" customHeight="1" x14ac:dyDescent="0.2">
      <c r="A4088" t="s">
        <v>4394</v>
      </c>
      <c r="B4088" t="s">
        <v>227</v>
      </c>
      <c r="C4088" t="s">
        <v>53</v>
      </c>
      <c r="D4088" s="49">
        <v>45484</v>
      </c>
      <c r="E4088" s="49">
        <v>45485</v>
      </c>
      <c r="F4088" s="49">
        <v>45488</v>
      </c>
      <c r="I4088" s="49">
        <v>45498</v>
      </c>
      <c r="J4088" t="s">
        <v>49</v>
      </c>
      <c r="K4088" s="33">
        <v>2000</v>
      </c>
      <c r="L4088" t="s">
        <v>60</v>
      </c>
      <c r="M4088" t="str">
        <f>_xlfn.XLOOKUP(Pipeline_tbl[[#This Row],[Rep_ID]],Dim_Reps!A:A,Dim_Reps!K:K)</f>
        <v>EUR</v>
      </c>
      <c r="N4088" s="33">
        <f>(_xlfn.XLOOKUP(Pipeline_tbl[[#This Row],[Rate_Code_Generalized]],Lookups!A:A,Lookups!B:B))*Pipeline_tbl[[#This Row],[Pipeline_Amount_USD]]</f>
        <v>2000</v>
      </c>
      <c r="O4088" t="str">
        <f>_xlfn.XLOOKUP(Pipeline_tbl[[#This Row],[Rep_ID]],Dim_Reps!A:A,Dim_Reps!B:B)</f>
        <v>Liam Muller</v>
      </c>
      <c r="P4088" t="str">
        <f>_xlfn.XLOOKUP(Pipeline_tbl[[#This Row],[Rep_ID]],Dim_Reps!A:A,Dim_Reps!C:C)</f>
        <v>SDR / Inside Sales Rep</v>
      </c>
      <c r="Q4088" t="str">
        <f>_xlfn.XLOOKUP(Pipeline_tbl[[#This Row],[Rep_ID]],Dim_Reps!A:A,Dim_Reps!D:D)</f>
        <v>Inside Sales</v>
      </c>
      <c r="R4088" t="str">
        <f>_xlfn.XLOOKUP(Pipeline_tbl[[#This Row],[Rep_ID]],Dim_Reps!A:A,Dim_Reps!E:E)</f>
        <v>EMEA</v>
      </c>
      <c r="S4088" t="str">
        <f>_xlfn.XLOOKUP(Pipeline_tbl[[#This Row],[Created_Date]],Dim_Date!A:A,Dim_Date!H:H)</f>
        <v>Jul 2024</v>
      </c>
      <c r="T4088" t="str">
        <f>IF(Pipeline_tbl[[#This Row],[Closed_Date]]=0,"",(_xlfn.XLOOKUP(Pipeline_tbl[[#This Row],[Closed_Date]],Dim_Date!A:A,Dim_Date!H:H)))</f>
        <v>Jul 2024</v>
      </c>
      <c r="U4088">
        <f>IF(Pipeline_tbl[[#This Row],[Closed_Date]]=0,"",Pipeline_tbl[[#This Row],[Closed_Date]]-Pipeline_tbl[[#This Row],[Created_Date]])</f>
        <v>14</v>
      </c>
    </row>
    <row r="4089" spans="1:21" ht="15" customHeight="1" x14ac:dyDescent="0.2">
      <c r="A4089" t="s">
        <v>4395</v>
      </c>
      <c r="B4089" t="s">
        <v>227</v>
      </c>
      <c r="C4089" t="s">
        <v>53</v>
      </c>
      <c r="D4089" s="49">
        <v>45488</v>
      </c>
      <c r="E4089" s="49">
        <v>45489</v>
      </c>
      <c r="F4089" s="49">
        <v>45490</v>
      </c>
      <c r="G4089" s="49">
        <v>45493</v>
      </c>
      <c r="H4089" s="49">
        <v>45495</v>
      </c>
      <c r="I4089" s="49">
        <v>45496</v>
      </c>
      <c r="J4089" t="s">
        <v>47</v>
      </c>
      <c r="K4089" s="33">
        <v>5200</v>
      </c>
      <c r="M4089" t="str">
        <f>_xlfn.XLOOKUP(Pipeline_tbl[[#This Row],[Rep_ID]],Dim_Reps!A:A,Dim_Reps!K:K)</f>
        <v>EUR</v>
      </c>
      <c r="N4089" s="33">
        <f>(_xlfn.XLOOKUP(Pipeline_tbl[[#This Row],[Rate_Code_Generalized]],Lookups!A:A,Lookups!B:B))*Pipeline_tbl[[#This Row],[Pipeline_Amount_USD]]</f>
        <v>5200</v>
      </c>
      <c r="O4089" t="str">
        <f>_xlfn.XLOOKUP(Pipeline_tbl[[#This Row],[Rep_ID]],Dim_Reps!A:A,Dim_Reps!B:B)</f>
        <v>Liam Muller</v>
      </c>
      <c r="P4089" t="str">
        <f>_xlfn.XLOOKUP(Pipeline_tbl[[#This Row],[Rep_ID]],Dim_Reps!A:A,Dim_Reps!C:C)</f>
        <v>SDR / Inside Sales Rep</v>
      </c>
      <c r="Q4089" t="str">
        <f>_xlfn.XLOOKUP(Pipeline_tbl[[#This Row],[Rep_ID]],Dim_Reps!A:A,Dim_Reps!D:D)</f>
        <v>Inside Sales</v>
      </c>
      <c r="R4089" t="str">
        <f>_xlfn.XLOOKUP(Pipeline_tbl[[#This Row],[Rep_ID]],Dim_Reps!A:A,Dim_Reps!E:E)</f>
        <v>EMEA</v>
      </c>
      <c r="S4089" t="str">
        <f>_xlfn.XLOOKUP(Pipeline_tbl[[#This Row],[Created_Date]],Dim_Date!A:A,Dim_Date!H:H)</f>
        <v>Jul 2024</v>
      </c>
      <c r="T4089" t="str">
        <f>IF(Pipeline_tbl[[#This Row],[Closed_Date]]=0,"",(_xlfn.XLOOKUP(Pipeline_tbl[[#This Row],[Closed_Date]],Dim_Date!A:A,Dim_Date!H:H)))</f>
        <v>Jul 2024</v>
      </c>
      <c r="U4089">
        <f>IF(Pipeline_tbl[[#This Row],[Closed_Date]]=0,"",Pipeline_tbl[[#This Row],[Closed_Date]]-Pipeline_tbl[[#This Row],[Created_Date]])</f>
        <v>8</v>
      </c>
    </row>
    <row r="4090" spans="1:21" ht="15" customHeight="1" x14ac:dyDescent="0.2">
      <c r="A4090" t="s">
        <v>4396</v>
      </c>
      <c r="B4090" t="s">
        <v>227</v>
      </c>
      <c r="C4090" t="s">
        <v>54</v>
      </c>
      <c r="D4090" s="49">
        <v>45480</v>
      </c>
      <c r="E4090" s="49">
        <v>45482</v>
      </c>
      <c r="F4090" s="49">
        <v>45485</v>
      </c>
      <c r="G4090" s="49">
        <v>45491</v>
      </c>
      <c r="H4090" s="49">
        <v>45495</v>
      </c>
      <c r="I4090" s="49">
        <v>45498</v>
      </c>
      <c r="J4090" t="s">
        <v>49</v>
      </c>
      <c r="K4090" s="33">
        <v>2300</v>
      </c>
      <c r="L4090" t="s">
        <v>62</v>
      </c>
      <c r="M4090" t="str">
        <f>_xlfn.XLOOKUP(Pipeline_tbl[[#This Row],[Rep_ID]],Dim_Reps!A:A,Dim_Reps!K:K)</f>
        <v>EUR</v>
      </c>
      <c r="N4090" s="33">
        <f>(_xlfn.XLOOKUP(Pipeline_tbl[[#This Row],[Rate_Code_Generalized]],Lookups!A:A,Lookups!B:B))*Pipeline_tbl[[#This Row],[Pipeline_Amount_USD]]</f>
        <v>2300</v>
      </c>
      <c r="O4090" t="str">
        <f>_xlfn.XLOOKUP(Pipeline_tbl[[#This Row],[Rep_ID]],Dim_Reps!A:A,Dim_Reps!B:B)</f>
        <v>Liam Muller</v>
      </c>
      <c r="P4090" t="str">
        <f>_xlfn.XLOOKUP(Pipeline_tbl[[#This Row],[Rep_ID]],Dim_Reps!A:A,Dim_Reps!C:C)</f>
        <v>SDR / Inside Sales Rep</v>
      </c>
      <c r="Q4090" t="str">
        <f>_xlfn.XLOOKUP(Pipeline_tbl[[#This Row],[Rep_ID]],Dim_Reps!A:A,Dim_Reps!D:D)</f>
        <v>Inside Sales</v>
      </c>
      <c r="R4090" t="str">
        <f>_xlfn.XLOOKUP(Pipeline_tbl[[#This Row],[Rep_ID]],Dim_Reps!A:A,Dim_Reps!E:E)</f>
        <v>EMEA</v>
      </c>
      <c r="S4090" t="str">
        <f>_xlfn.XLOOKUP(Pipeline_tbl[[#This Row],[Created_Date]],Dim_Date!A:A,Dim_Date!H:H)</f>
        <v>Jul 2024</v>
      </c>
      <c r="T4090" t="str">
        <f>IF(Pipeline_tbl[[#This Row],[Closed_Date]]=0,"",(_xlfn.XLOOKUP(Pipeline_tbl[[#This Row],[Closed_Date]],Dim_Date!A:A,Dim_Date!H:H)))</f>
        <v>Jul 2024</v>
      </c>
      <c r="U4090">
        <f>IF(Pipeline_tbl[[#This Row],[Closed_Date]]=0,"",Pipeline_tbl[[#This Row],[Closed_Date]]-Pipeline_tbl[[#This Row],[Created_Date]])</f>
        <v>18</v>
      </c>
    </row>
    <row r="4091" spans="1:21" ht="15" customHeight="1" x14ac:dyDescent="0.2">
      <c r="A4091" t="s">
        <v>4397</v>
      </c>
      <c r="B4091" t="s">
        <v>229</v>
      </c>
      <c r="C4091" t="s">
        <v>52</v>
      </c>
      <c r="D4091" s="49">
        <v>45478</v>
      </c>
      <c r="E4091" s="49">
        <v>45480</v>
      </c>
      <c r="F4091" s="49">
        <v>45485</v>
      </c>
      <c r="G4091" s="49">
        <v>45492</v>
      </c>
      <c r="H4091" s="49">
        <v>45498</v>
      </c>
      <c r="I4091" s="49">
        <v>45501</v>
      </c>
      <c r="J4091" t="s">
        <v>47</v>
      </c>
      <c r="K4091" s="33">
        <v>5000</v>
      </c>
      <c r="M4091" t="str">
        <f>_xlfn.XLOOKUP(Pipeline_tbl[[#This Row],[Rep_ID]],Dim_Reps!A:A,Dim_Reps!K:K)</f>
        <v>USD</v>
      </c>
      <c r="N4091" s="33">
        <f>(_xlfn.XLOOKUP(Pipeline_tbl[[#This Row],[Rate_Code_Generalized]],Lookups!A:A,Lookups!B:B))*Pipeline_tbl[[#This Row],[Pipeline_Amount_USD]]</f>
        <v>5821.4999999999991</v>
      </c>
      <c r="O4091" t="str">
        <f>_xlfn.XLOOKUP(Pipeline_tbl[[#This Row],[Rep_ID]],Dim_Reps!A:A,Dim_Reps!B:B)</f>
        <v>Liam Castro</v>
      </c>
      <c r="P4091" t="str">
        <f>_xlfn.XLOOKUP(Pipeline_tbl[[#This Row],[Rep_ID]],Dim_Reps!A:A,Dim_Reps!C:C)</f>
        <v>SDR / Inside Sales Rep</v>
      </c>
      <c r="Q4091" t="str">
        <f>_xlfn.XLOOKUP(Pipeline_tbl[[#This Row],[Rep_ID]],Dim_Reps!A:A,Dim_Reps!D:D)</f>
        <v>Inside Sales</v>
      </c>
      <c r="R4091" t="str">
        <f>_xlfn.XLOOKUP(Pipeline_tbl[[#This Row],[Rep_ID]],Dim_Reps!A:A,Dim_Reps!E:E)</f>
        <v>NAMER</v>
      </c>
      <c r="S4091" t="str">
        <f>_xlfn.XLOOKUP(Pipeline_tbl[[#This Row],[Created_Date]],Dim_Date!A:A,Dim_Date!H:H)</f>
        <v>Jul 2024</v>
      </c>
      <c r="T4091" t="str">
        <f>IF(Pipeline_tbl[[#This Row],[Closed_Date]]=0,"",(_xlfn.XLOOKUP(Pipeline_tbl[[#This Row],[Closed_Date]],Dim_Date!A:A,Dim_Date!H:H)))</f>
        <v>Jul 2024</v>
      </c>
      <c r="U4091">
        <f>IF(Pipeline_tbl[[#This Row],[Closed_Date]]=0,"",Pipeline_tbl[[#This Row],[Closed_Date]]-Pipeline_tbl[[#This Row],[Created_Date]])</f>
        <v>23</v>
      </c>
    </row>
    <row r="4092" spans="1:21" ht="15" customHeight="1" x14ac:dyDescent="0.2">
      <c r="A4092" t="s">
        <v>4398</v>
      </c>
      <c r="B4092" t="s">
        <v>229</v>
      </c>
      <c r="C4092" t="s">
        <v>54</v>
      </c>
      <c r="D4092" s="49">
        <v>45481</v>
      </c>
      <c r="E4092" s="49">
        <v>45483</v>
      </c>
      <c r="F4092" s="49">
        <v>45488</v>
      </c>
      <c r="G4092" s="49">
        <v>45494</v>
      </c>
      <c r="H4092" s="49">
        <v>45500</v>
      </c>
      <c r="I4092" s="49">
        <v>45503</v>
      </c>
      <c r="J4092" t="s">
        <v>47</v>
      </c>
      <c r="K4092" s="33">
        <v>4100</v>
      </c>
      <c r="M4092" t="str">
        <f>_xlfn.XLOOKUP(Pipeline_tbl[[#This Row],[Rep_ID]],Dim_Reps!A:A,Dim_Reps!K:K)</f>
        <v>USD</v>
      </c>
      <c r="N4092" s="33">
        <f>(_xlfn.XLOOKUP(Pipeline_tbl[[#This Row],[Rate_Code_Generalized]],Lookups!A:A,Lookups!B:B))*Pipeline_tbl[[#This Row],[Pipeline_Amount_USD]]</f>
        <v>4773.6299999999992</v>
      </c>
      <c r="O4092" t="str">
        <f>_xlfn.XLOOKUP(Pipeline_tbl[[#This Row],[Rep_ID]],Dim_Reps!A:A,Dim_Reps!B:B)</f>
        <v>Liam Castro</v>
      </c>
      <c r="P4092" t="str">
        <f>_xlfn.XLOOKUP(Pipeline_tbl[[#This Row],[Rep_ID]],Dim_Reps!A:A,Dim_Reps!C:C)</f>
        <v>SDR / Inside Sales Rep</v>
      </c>
      <c r="Q4092" t="str">
        <f>_xlfn.XLOOKUP(Pipeline_tbl[[#This Row],[Rep_ID]],Dim_Reps!A:A,Dim_Reps!D:D)</f>
        <v>Inside Sales</v>
      </c>
      <c r="R4092" t="str">
        <f>_xlfn.XLOOKUP(Pipeline_tbl[[#This Row],[Rep_ID]],Dim_Reps!A:A,Dim_Reps!E:E)</f>
        <v>NAMER</v>
      </c>
      <c r="S4092" t="str">
        <f>_xlfn.XLOOKUP(Pipeline_tbl[[#This Row],[Created_Date]],Dim_Date!A:A,Dim_Date!H:H)</f>
        <v>Jul 2024</v>
      </c>
      <c r="T4092" t="str">
        <f>IF(Pipeline_tbl[[#This Row],[Closed_Date]]=0,"",(_xlfn.XLOOKUP(Pipeline_tbl[[#This Row],[Closed_Date]],Dim_Date!A:A,Dim_Date!H:H)))</f>
        <v>Jul 2024</v>
      </c>
      <c r="U4092">
        <f>IF(Pipeline_tbl[[#This Row],[Closed_Date]]=0,"",Pipeline_tbl[[#This Row],[Closed_Date]]-Pipeline_tbl[[#This Row],[Created_Date]])</f>
        <v>22</v>
      </c>
    </row>
    <row r="4093" spans="1:21" ht="15" customHeight="1" x14ac:dyDescent="0.2">
      <c r="A4093" t="s">
        <v>4399</v>
      </c>
      <c r="B4093" t="s">
        <v>229</v>
      </c>
      <c r="C4093" t="s">
        <v>52</v>
      </c>
      <c r="D4093" s="49">
        <v>45482</v>
      </c>
      <c r="E4093" s="49">
        <v>45484</v>
      </c>
      <c r="F4093" s="49">
        <v>45489</v>
      </c>
      <c r="G4093" s="49">
        <v>45495</v>
      </c>
      <c r="H4093" s="49">
        <v>45501</v>
      </c>
      <c r="I4093" s="49">
        <v>45504</v>
      </c>
      <c r="J4093" t="s">
        <v>47</v>
      </c>
      <c r="K4093" s="33">
        <v>2400</v>
      </c>
      <c r="M4093" t="str">
        <f>_xlfn.XLOOKUP(Pipeline_tbl[[#This Row],[Rep_ID]],Dim_Reps!A:A,Dim_Reps!K:K)</f>
        <v>USD</v>
      </c>
      <c r="N4093" s="33">
        <f>(_xlfn.XLOOKUP(Pipeline_tbl[[#This Row],[Rate_Code_Generalized]],Lookups!A:A,Lookups!B:B))*Pipeline_tbl[[#This Row],[Pipeline_Amount_USD]]</f>
        <v>2794.3199999999997</v>
      </c>
      <c r="O4093" t="str">
        <f>_xlfn.XLOOKUP(Pipeline_tbl[[#This Row],[Rep_ID]],Dim_Reps!A:A,Dim_Reps!B:B)</f>
        <v>Liam Castro</v>
      </c>
      <c r="P4093" t="str">
        <f>_xlfn.XLOOKUP(Pipeline_tbl[[#This Row],[Rep_ID]],Dim_Reps!A:A,Dim_Reps!C:C)</f>
        <v>SDR / Inside Sales Rep</v>
      </c>
      <c r="Q4093" t="str">
        <f>_xlfn.XLOOKUP(Pipeline_tbl[[#This Row],[Rep_ID]],Dim_Reps!A:A,Dim_Reps!D:D)</f>
        <v>Inside Sales</v>
      </c>
      <c r="R4093" t="str">
        <f>_xlfn.XLOOKUP(Pipeline_tbl[[#This Row],[Rep_ID]],Dim_Reps!A:A,Dim_Reps!E:E)</f>
        <v>NAMER</v>
      </c>
      <c r="S4093" t="str">
        <f>_xlfn.XLOOKUP(Pipeline_tbl[[#This Row],[Created_Date]],Dim_Date!A:A,Dim_Date!H:H)</f>
        <v>Jul 2024</v>
      </c>
      <c r="T4093" t="str">
        <f>IF(Pipeline_tbl[[#This Row],[Closed_Date]]=0,"",(_xlfn.XLOOKUP(Pipeline_tbl[[#This Row],[Closed_Date]],Dim_Date!A:A,Dim_Date!H:H)))</f>
        <v>Jul 2024</v>
      </c>
      <c r="U4093">
        <f>IF(Pipeline_tbl[[#This Row],[Closed_Date]]=0,"",Pipeline_tbl[[#This Row],[Closed_Date]]-Pipeline_tbl[[#This Row],[Created_Date]])</f>
        <v>22</v>
      </c>
    </row>
    <row r="4094" spans="1:21" ht="15" customHeight="1" x14ac:dyDescent="0.2">
      <c r="A4094" t="s">
        <v>4400</v>
      </c>
      <c r="B4094" t="s">
        <v>229</v>
      </c>
      <c r="C4094" t="s">
        <v>52</v>
      </c>
      <c r="D4094" s="49">
        <v>45476</v>
      </c>
      <c r="E4094" s="49">
        <v>45478</v>
      </c>
      <c r="F4094" s="49">
        <v>45482</v>
      </c>
      <c r="I4094" s="49">
        <v>45495</v>
      </c>
      <c r="J4094" t="s">
        <v>49</v>
      </c>
      <c r="K4094" s="33">
        <v>2700</v>
      </c>
      <c r="L4094" t="s">
        <v>60</v>
      </c>
      <c r="M4094" t="str">
        <f>_xlfn.XLOOKUP(Pipeline_tbl[[#This Row],[Rep_ID]],Dim_Reps!A:A,Dim_Reps!K:K)</f>
        <v>USD</v>
      </c>
      <c r="N4094" s="33">
        <f>(_xlfn.XLOOKUP(Pipeline_tbl[[#This Row],[Rate_Code_Generalized]],Lookups!A:A,Lookups!B:B))*Pipeline_tbl[[#This Row],[Pipeline_Amount_USD]]</f>
        <v>3143.6099999999997</v>
      </c>
      <c r="O4094" t="str">
        <f>_xlfn.XLOOKUP(Pipeline_tbl[[#This Row],[Rep_ID]],Dim_Reps!A:A,Dim_Reps!B:B)</f>
        <v>Liam Castro</v>
      </c>
      <c r="P4094" t="str">
        <f>_xlfn.XLOOKUP(Pipeline_tbl[[#This Row],[Rep_ID]],Dim_Reps!A:A,Dim_Reps!C:C)</f>
        <v>SDR / Inside Sales Rep</v>
      </c>
      <c r="Q4094" t="str">
        <f>_xlfn.XLOOKUP(Pipeline_tbl[[#This Row],[Rep_ID]],Dim_Reps!A:A,Dim_Reps!D:D)</f>
        <v>Inside Sales</v>
      </c>
      <c r="R4094" t="str">
        <f>_xlfn.XLOOKUP(Pipeline_tbl[[#This Row],[Rep_ID]],Dim_Reps!A:A,Dim_Reps!E:E)</f>
        <v>NAMER</v>
      </c>
      <c r="S4094" t="str">
        <f>_xlfn.XLOOKUP(Pipeline_tbl[[#This Row],[Created_Date]],Dim_Date!A:A,Dim_Date!H:H)</f>
        <v>Jul 2024</v>
      </c>
      <c r="T4094" t="str">
        <f>IF(Pipeline_tbl[[#This Row],[Closed_Date]]=0,"",(_xlfn.XLOOKUP(Pipeline_tbl[[#This Row],[Closed_Date]],Dim_Date!A:A,Dim_Date!H:H)))</f>
        <v>Jul 2024</v>
      </c>
      <c r="U4094">
        <f>IF(Pipeline_tbl[[#This Row],[Closed_Date]]=0,"",Pipeline_tbl[[#This Row],[Closed_Date]]-Pipeline_tbl[[#This Row],[Created_Date]])</f>
        <v>19</v>
      </c>
    </row>
    <row r="4095" spans="1:21" ht="15" customHeight="1" x14ac:dyDescent="0.2">
      <c r="A4095" t="s">
        <v>4401</v>
      </c>
      <c r="B4095" t="s">
        <v>229</v>
      </c>
      <c r="C4095" t="s">
        <v>52</v>
      </c>
      <c r="D4095" s="49">
        <v>45481</v>
      </c>
      <c r="E4095" s="49">
        <v>45482</v>
      </c>
      <c r="F4095" s="49">
        <v>45484</v>
      </c>
      <c r="G4095" s="49">
        <v>45488</v>
      </c>
      <c r="H4095" s="49">
        <v>45490</v>
      </c>
      <c r="I4095" s="49">
        <v>45492</v>
      </c>
      <c r="J4095" t="s">
        <v>49</v>
      </c>
      <c r="K4095" s="33">
        <v>1900</v>
      </c>
      <c r="L4095" t="s">
        <v>60</v>
      </c>
      <c r="M4095" t="str">
        <f>_xlfn.XLOOKUP(Pipeline_tbl[[#This Row],[Rep_ID]],Dim_Reps!A:A,Dim_Reps!K:K)</f>
        <v>USD</v>
      </c>
      <c r="N4095" s="33">
        <f>(_xlfn.XLOOKUP(Pipeline_tbl[[#This Row],[Rate_Code_Generalized]],Lookups!A:A,Lookups!B:B))*Pipeline_tbl[[#This Row],[Pipeline_Amount_USD]]</f>
        <v>2212.1699999999996</v>
      </c>
      <c r="O4095" t="str">
        <f>_xlfn.XLOOKUP(Pipeline_tbl[[#This Row],[Rep_ID]],Dim_Reps!A:A,Dim_Reps!B:B)</f>
        <v>Liam Castro</v>
      </c>
      <c r="P4095" t="str">
        <f>_xlfn.XLOOKUP(Pipeline_tbl[[#This Row],[Rep_ID]],Dim_Reps!A:A,Dim_Reps!C:C)</f>
        <v>SDR / Inside Sales Rep</v>
      </c>
      <c r="Q4095" t="str">
        <f>_xlfn.XLOOKUP(Pipeline_tbl[[#This Row],[Rep_ID]],Dim_Reps!A:A,Dim_Reps!D:D)</f>
        <v>Inside Sales</v>
      </c>
      <c r="R4095" t="str">
        <f>_xlfn.XLOOKUP(Pipeline_tbl[[#This Row],[Rep_ID]],Dim_Reps!A:A,Dim_Reps!E:E)</f>
        <v>NAMER</v>
      </c>
      <c r="S4095" t="str">
        <f>_xlfn.XLOOKUP(Pipeline_tbl[[#This Row],[Created_Date]],Dim_Date!A:A,Dim_Date!H:H)</f>
        <v>Jul 2024</v>
      </c>
      <c r="T4095" t="str">
        <f>IF(Pipeline_tbl[[#This Row],[Closed_Date]]=0,"",(_xlfn.XLOOKUP(Pipeline_tbl[[#This Row],[Closed_Date]],Dim_Date!A:A,Dim_Date!H:H)))</f>
        <v>Jul 2024</v>
      </c>
      <c r="U4095">
        <f>IF(Pipeline_tbl[[#This Row],[Closed_Date]]=0,"",Pipeline_tbl[[#This Row],[Closed_Date]]-Pipeline_tbl[[#This Row],[Created_Date]])</f>
        <v>11</v>
      </c>
    </row>
    <row r="4096" spans="1:21" ht="15" customHeight="1" x14ac:dyDescent="0.2">
      <c r="A4096" t="s">
        <v>4402</v>
      </c>
      <c r="B4096" t="s">
        <v>231</v>
      </c>
      <c r="C4096" t="s">
        <v>53</v>
      </c>
      <c r="D4096" s="49">
        <v>45486</v>
      </c>
      <c r="E4096" s="49">
        <v>45488</v>
      </c>
      <c r="F4096" s="49">
        <v>45491</v>
      </c>
      <c r="G4096" s="49">
        <v>45496</v>
      </c>
      <c r="I4096" s="49">
        <v>45503</v>
      </c>
      <c r="J4096" t="s">
        <v>49</v>
      </c>
      <c r="K4096" s="33">
        <v>1800</v>
      </c>
      <c r="L4096" t="s">
        <v>60</v>
      </c>
      <c r="M4096" t="str">
        <f>_xlfn.XLOOKUP(Pipeline_tbl[[#This Row],[Rep_ID]],Dim_Reps!A:A,Dim_Reps!K:K)</f>
        <v>MXN</v>
      </c>
      <c r="N4096" s="33">
        <f>(_xlfn.XLOOKUP(Pipeline_tbl[[#This Row],[Rate_Code_Generalized]],Lookups!A:A,Lookups!B:B))*Pipeline_tbl[[#This Row],[Pipeline_Amount_USD]]</f>
        <v>35518.86</v>
      </c>
      <c r="O4096" t="str">
        <f>_xlfn.XLOOKUP(Pipeline_tbl[[#This Row],[Rep_ID]],Dim_Reps!A:A,Dim_Reps!B:B)</f>
        <v>Ben Silva</v>
      </c>
      <c r="P4096" t="str">
        <f>_xlfn.XLOOKUP(Pipeline_tbl[[#This Row],[Rep_ID]],Dim_Reps!A:A,Dim_Reps!C:C)</f>
        <v>SDR / Inside Sales Rep</v>
      </c>
      <c r="Q4096" t="str">
        <f>_xlfn.XLOOKUP(Pipeline_tbl[[#This Row],[Rep_ID]],Dim_Reps!A:A,Dim_Reps!D:D)</f>
        <v>Inside Sales</v>
      </c>
      <c r="R4096" t="str">
        <f>_xlfn.XLOOKUP(Pipeline_tbl[[#This Row],[Rep_ID]],Dim_Reps!A:A,Dim_Reps!E:E)</f>
        <v>LATAM</v>
      </c>
      <c r="S4096" t="str">
        <f>_xlfn.XLOOKUP(Pipeline_tbl[[#This Row],[Created_Date]],Dim_Date!A:A,Dim_Date!H:H)</f>
        <v>Jul 2024</v>
      </c>
      <c r="T4096" t="str">
        <f>IF(Pipeline_tbl[[#This Row],[Closed_Date]]=0,"",(_xlfn.XLOOKUP(Pipeline_tbl[[#This Row],[Closed_Date]],Dim_Date!A:A,Dim_Date!H:H)))</f>
        <v>Jul 2024</v>
      </c>
      <c r="U4096">
        <f>IF(Pipeline_tbl[[#This Row],[Closed_Date]]=0,"",Pipeline_tbl[[#This Row],[Closed_Date]]-Pipeline_tbl[[#This Row],[Created_Date]])</f>
        <v>17</v>
      </c>
    </row>
    <row r="4097" spans="1:21" ht="15" customHeight="1" x14ac:dyDescent="0.2">
      <c r="A4097" t="s">
        <v>4403</v>
      </c>
      <c r="B4097" t="s">
        <v>231</v>
      </c>
      <c r="C4097" t="s">
        <v>56</v>
      </c>
      <c r="D4097" s="49">
        <v>45476</v>
      </c>
      <c r="E4097" s="49">
        <v>45478</v>
      </c>
      <c r="F4097" s="49">
        <v>45482</v>
      </c>
      <c r="I4097" s="49">
        <v>45497</v>
      </c>
      <c r="J4097" t="s">
        <v>49</v>
      </c>
      <c r="K4097" s="33">
        <v>8900</v>
      </c>
      <c r="L4097" t="s">
        <v>61</v>
      </c>
      <c r="M4097" t="str">
        <f>_xlfn.XLOOKUP(Pipeline_tbl[[#This Row],[Rep_ID]],Dim_Reps!A:A,Dim_Reps!K:K)</f>
        <v>MXN</v>
      </c>
      <c r="N4097" s="33">
        <f>(_xlfn.XLOOKUP(Pipeline_tbl[[#This Row],[Rate_Code_Generalized]],Lookups!A:A,Lookups!B:B))*Pipeline_tbl[[#This Row],[Pipeline_Amount_USD]]</f>
        <v>175621.03</v>
      </c>
      <c r="O4097" t="str">
        <f>_xlfn.XLOOKUP(Pipeline_tbl[[#This Row],[Rep_ID]],Dim_Reps!A:A,Dim_Reps!B:B)</f>
        <v>Ben Silva</v>
      </c>
      <c r="P4097" t="str">
        <f>_xlfn.XLOOKUP(Pipeline_tbl[[#This Row],[Rep_ID]],Dim_Reps!A:A,Dim_Reps!C:C)</f>
        <v>SDR / Inside Sales Rep</v>
      </c>
      <c r="Q4097" t="str">
        <f>_xlfn.XLOOKUP(Pipeline_tbl[[#This Row],[Rep_ID]],Dim_Reps!A:A,Dim_Reps!D:D)</f>
        <v>Inside Sales</v>
      </c>
      <c r="R4097" t="str">
        <f>_xlfn.XLOOKUP(Pipeline_tbl[[#This Row],[Rep_ID]],Dim_Reps!A:A,Dim_Reps!E:E)</f>
        <v>LATAM</v>
      </c>
      <c r="S4097" t="str">
        <f>_xlfn.XLOOKUP(Pipeline_tbl[[#This Row],[Created_Date]],Dim_Date!A:A,Dim_Date!H:H)</f>
        <v>Jul 2024</v>
      </c>
      <c r="T4097" t="str">
        <f>IF(Pipeline_tbl[[#This Row],[Closed_Date]]=0,"",(_xlfn.XLOOKUP(Pipeline_tbl[[#This Row],[Closed_Date]],Dim_Date!A:A,Dim_Date!H:H)))</f>
        <v>Jul 2024</v>
      </c>
      <c r="U4097">
        <f>IF(Pipeline_tbl[[#This Row],[Closed_Date]]=0,"",Pipeline_tbl[[#This Row],[Closed_Date]]-Pipeline_tbl[[#This Row],[Created_Date]])</f>
        <v>21</v>
      </c>
    </row>
    <row r="4098" spans="1:21" ht="15" customHeight="1" x14ac:dyDescent="0.2">
      <c r="A4098" t="s">
        <v>4404</v>
      </c>
      <c r="B4098" t="s">
        <v>231</v>
      </c>
      <c r="C4098" t="s">
        <v>52</v>
      </c>
      <c r="D4098" s="49">
        <v>45483</v>
      </c>
      <c r="E4098" s="49">
        <v>45484</v>
      </c>
      <c r="F4098" s="49">
        <v>45487</v>
      </c>
      <c r="G4098" s="49">
        <v>45491</v>
      </c>
      <c r="H4098" s="49">
        <v>45495</v>
      </c>
      <c r="I4098" s="49">
        <v>45497</v>
      </c>
      <c r="J4098" t="s">
        <v>49</v>
      </c>
      <c r="K4098" s="33">
        <v>7600</v>
      </c>
      <c r="L4098" t="s">
        <v>62</v>
      </c>
      <c r="M4098" t="str">
        <f>_xlfn.XLOOKUP(Pipeline_tbl[[#This Row],[Rep_ID]],Dim_Reps!A:A,Dim_Reps!K:K)</f>
        <v>MXN</v>
      </c>
      <c r="N4098" s="33">
        <f>(_xlfn.XLOOKUP(Pipeline_tbl[[#This Row],[Rate_Code_Generalized]],Lookups!A:A,Lookups!B:B))*Pipeline_tbl[[#This Row],[Pipeline_Amount_USD]]</f>
        <v>149968.52000000002</v>
      </c>
      <c r="O4098" t="str">
        <f>_xlfn.XLOOKUP(Pipeline_tbl[[#This Row],[Rep_ID]],Dim_Reps!A:A,Dim_Reps!B:B)</f>
        <v>Ben Silva</v>
      </c>
      <c r="P4098" t="str">
        <f>_xlfn.XLOOKUP(Pipeline_tbl[[#This Row],[Rep_ID]],Dim_Reps!A:A,Dim_Reps!C:C)</f>
        <v>SDR / Inside Sales Rep</v>
      </c>
      <c r="Q4098" t="str">
        <f>_xlfn.XLOOKUP(Pipeline_tbl[[#This Row],[Rep_ID]],Dim_Reps!A:A,Dim_Reps!D:D)</f>
        <v>Inside Sales</v>
      </c>
      <c r="R4098" t="str">
        <f>_xlfn.XLOOKUP(Pipeline_tbl[[#This Row],[Rep_ID]],Dim_Reps!A:A,Dim_Reps!E:E)</f>
        <v>LATAM</v>
      </c>
      <c r="S4098" t="str">
        <f>_xlfn.XLOOKUP(Pipeline_tbl[[#This Row],[Created_Date]],Dim_Date!A:A,Dim_Date!H:H)</f>
        <v>Jul 2024</v>
      </c>
      <c r="T4098" t="str">
        <f>IF(Pipeline_tbl[[#This Row],[Closed_Date]]=0,"",(_xlfn.XLOOKUP(Pipeline_tbl[[#This Row],[Closed_Date]],Dim_Date!A:A,Dim_Date!H:H)))</f>
        <v>Jul 2024</v>
      </c>
      <c r="U4098">
        <f>IF(Pipeline_tbl[[#This Row],[Closed_Date]]=0,"",Pipeline_tbl[[#This Row],[Closed_Date]]-Pipeline_tbl[[#This Row],[Created_Date]])</f>
        <v>14</v>
      </c>
    </row>
    <row r="4099" spans="1:21" ht="15" customHeight="1" x14ac:dyDescent="0.2">
      <c r="A4099" t="s">
        <v>4405</v>
      </c>
      <c r="B4099" t="s">
        <v>233</v>
      </c>
      <c r="C4099" t="s">
        <v>52</v>
      </c>
      <c r="D4099" s="49">
        <v>45486</v>
      </c>
      <c r="E4099" s="49">
        <v>45487</v>
      </c>
      <c r="F4099" s="49">
        <v>45489</v>
      </c>
      <c r="G4099" s="49">
        <v>45493</v>
      </c>
      <c r="I4099" s="49">
        <v>45497</v>
      </c>
      <c r="J4099" t="s">
        <v>49</v>
      </c>
      <c r="K4099" s="33">
        <v>3800</v>
      </c>
      <c r="L4099" t="s">
        <v>61</v>
      </c>
      <c r="M4099" t="str">
        <f>_xlfn.XLOOKUP(Pipeline_tbl[[#This Row],[Rep_ID]],Dim_Reps!A:A,Dim_Reps!K:K)</f>
        <v>MXN</v>
      </c>
      <c r="N4099" s="33">
        <f>(_xlfn.XLOOKUP(Pipeline_tbl[[#This Row],[Rate_Code_Generalized]],Lookups!A:A,Lookups!B:B))*Pipeline_tbl[[#This Row],[Pipeline_Amount_USD]]</f>
        <v>74984.260000000009</v>
      </c>
      <c r="O4099" t="str">
        <f>_xlfn.XLOOKUP(Pipeline_tbl[[#This Row],[Rep_ID]],Dim_Reps!A:A,Dim_Reps!B:B)</f>
        <v>Lucas Duarte</v>
      </c>
      <c r="P4099" t="str">
        <f>_xlfn.XLOOKUP(Pipeline_tbl[[#This Row],[Rep_ID]],Dim_Reps!A:A,Dim_Reps!C:C)</f>
        <v>SDR / Inside Sales Rep</v>
      </c>
      <c r="Q4099" t="str">
        <f>_xlfn.XLOOKUP(Pipeline_tbl[[#This Row],[Rep_ID]],Dim_Reps!A:A,Dim_Reps!D:D)</f>
        <v>Inside Sales</v>
      </c>
      <c r="R4099" t="str">
        <f>_xlfn.XLOOKUP(Pipeline_tbl[[#This Row],[Rep_ID]],Dim_Reps!A:A,Dim_Reps!E:E)</f>
        <v>LATAM</v>
      </c>
      <c r="S4099" t="str">
        <f>_xlfn.XLOOKUP(Pipeline_tbl[[#This Row],[Created_Date]],Dim_Date!A:A,Dim_Date!H:H)</f>
        <v>Jul 2024</v>
      </c>
      <c r="T4099" t="str">
        <f>IF(Pipeline_tbl[[#This Row],[Closed_Date]]=0,"",(_xlfn.XLOOKUP(Pipeline_tbl[[#This Row],[Closed_Date]],Dim_Date!A:A,Dim_Date!H:H)))</f>
        <v>Jul 2024</v>
      </c>
      <c r="U4099">
        <f>IF(Pipeline_tbl[[#This Row],[Closed_Date]]=0,"",Pipeline_tbl[[#This Row],[Closed_Date]]-Pipeline_tbl[[#This Row],[Created_Date]])</f>
        <v>11</v>
      </c>
    </row>
    <row r="4100" spans="1:21" ht="15" customHeight="1" x14ac:dyDescent="0.2">
      <c r="A4100" t="s">
        <v>4406</v>
      </c>
      <c r="B4100" t="s">
        <v>233</v>
      </c>
      <c r="C4100" t="s">
        <v>52</v>
      </c>
      <c r="D4100" s="49">
        <v>45479</v>
      </c>
      <c r="E4100" s="49">
        <v>45481</v>
      </c>
      <c r="F4100" s="49">
        <v>45484</v>
      </c>
      <c r="I4100" s="49">
        <v>45495</v>
      </c>
      <c r="J4100" t="s">
        <v>49</v>
      </c>
      <c r="K4100" s="33">
        <v>1300</v>
      </c>
      <c r="L4100" t="s">
        <v>60</v>
      </c>
      <c r="M4100" t="str">
        <f>_xlfn.XLOOKUP(Pipeline_tbl[[#This Row],[Rep_ID]],Dim_Reps!A:A,Dim_Reps!K:K)</f>
        <v>MXN</v>
      </c>
      <c r="N4100" s="33">
        <f>(_xlfn.XLOOKUP(Pipeline_tbl[[#This Row],[Rate_Code_Generalized]],Lookups!A:A,Lookups!B:B))*Pipeline_tbl[[#This Row],[Pipeline_Amount_USD]]</f>
        <v>25652.510000000002</v>
      </c>
      <c r="O4100" t="str">
        <f>_xlfn.XLOOKUP(Pipeline_tbl[[#This Row],[Rep_ID]],Dim_Reps!A:A,Dim_Reps!B:B)</f>
        <v>Lucas Duarte</v>
      </c>
      <c r="P4100" t="str">
        <f>_xlfn.XLOOKUP(Pipeline_tbl[[#This Row],[Rep_ID]],Dim_Reps!A:A,Dim_Reps!C:C)</f>
        <v>SDR / Inside Sales Rep</v>
      </c>
      <c r="Q4100" t="str">
        <f>_xlfn.XLOOKUP(Pipeline_tbl[[#This Row],[Rep_ID]],Dim_Reps!A:A,Dim_Reps!D:D)</f>
        <v>Inside Sales</v>
      </c>
      <c r="R4100" t="str">
        <f>_xlfn.XLOOKUP(Pipeline_tbl[[#This Row],[Rep_ID]],Dim_Reps!A:A,Dim_Reps!E:E)</f>
        <v>LATAM</v>
      </c>
      <c r="S4100" t="str">
        <f>_xlfn.XLOOKUP(Pipeline_tbl[[#This Row],[Created_Date]],Dim_Date!A:A,Dim_Date!H:H)</f>
        <v>Jul 2024</v>
      </c>
      <c r="T4100" t="str">
        <f>IF(Pipeline_tbl[[#This Row],[Closed_Date]]=0,"",(_xlfn.XLOOKUP(Pipeline_tbl[[#This Row],[Closed_Date]],Dim_Date!A:A,Dim_Date!H:H)))</f>
        <v>Jul 2024</v>
      </c>
      <c r="U4100">
        <f>IF(Pipeline_tbl[[#This Row],[Closed_Date]]=0,"",Pipeline_tbl[[#This Row],[Closed_Date]]-Pipeline_tbl[[#This Row],[Created_Date]])</f>
        <v>16</v>
      </c>
    </row>
    <row r="4101" spans="1:21" ht="15" customHeight="1" x14ac:dyDescent="0.2">
      <c r="A4101" t="s">
        <v>4407</v>
      </c>
      <c r="B4101" t="s">
        <v>233</v>
      </c>
      <c r="C4101" t="s">
        <v>55</v>
      </c>
      <c r="D4101" s="49">
        <v>45476</v>
      </c>
      <c r="E4101" s="49">
        <v>45478</v>
      </c>
      <c r="F4101" s="49">
        <v>45481</v>
      </c>
      <c r="G4101" s="49">
        <v>45486</v>
      </c>
      <c r="H4101" s="49">
        <v>45490</v>
      </c>
      <c r="I4101" s="49">
        <v>45493</v>
      </c>
      <c r="J4101" t="s">
        <v>49</v>
      </c>
      <c r="K4101" s="33">
        <v>2000</v>
      </c>
      <c r="L4101" t="s">
        <v>63</v>
      </c>
      <c r="M4101" t="str">
        <f>_xlfn.XLOOKUP(Pipeline_tbl[[#This Row],[Rep_ID]],Dim_Reps!A:A,Dim_Reps!K:K)</f>
        <v>MXN</v>
      </c>
      <c r="N4101" s="33">
        <f>(_xlfn.XLOOKUP(Pipeline_tbl[[#This Row],[Rate_Code_Generalized]],Lookups!A:A,Lookups!B:B))*Pipeline_tbl[[#This Row],[Pipeline_Amount_USD]]</f>
        <v>39465.4</v>
      </c>
      <c r="O4101" t="str">
        <f>_xlfn.XLOOKUP(Pipeline_tbl[[#This Row],[Rep_ID]],Dim_Reps!A:A,Dim_Reps!B:B)</f>
        <v>Lucas Duarte</v>
      </c>
      <c r="P4101" t="str">
        <f>_xlfn.XLOOKUP(Pipeline_tbl[[#This Row],[Rep_ID]],Dim_Reps!A:A,Dim_Reps!C:C)</f>
        <v>SDR / Inside Sales Rep</v>
      </c>
      <c r="Q4101" t="str">
        <f>_xlfn.XLOOKUP(Pipeline_tbl[[#This Row],[Rep_ID]],Dim_Reps!A:A,Dim_Reps!D:D)</f>
        <v>Inside Sales</v>
      </c>
      <c r="R4101" t="str">
        <f>_xlfn.XLOOKUP(Pipeline_tbl[[#This Row],[Rep_ID]],Dim_Reps!A:A,Dim_Reps!E:E)</f>
        <v>LATAM</v>
      </c>
      <c r="S4101" t="str">
        <f>_xlfn.XLOOKUP(Pipeline_tbl[[#This Row],[Created_Date]],Dim_Date!A:A,Dim_Date!H:H)</f>
        <v>Jul 2024</v>
      </c>
      <c r="T4101" t="str">
        <f>IF(Pipeline_tbl[[#This Row],[Closed_Date]]=0,"",(_xlfn.XLOOKUP(Pipeline_tbl[[#This Row],[Closed_Date]],Dim_Date!A:A,Dim_Date!H:H)))</f>
        <v>Jul 2024</v>
      </c>
      <c r="U4101">
        <f>IF(Pipeline_tbl[[#This Row],[Closed_Date]]=0,"",Pipeline_tbl[[#This Row],[Closed_Date]]-Pipeline_tbl[[#This Row],[Created_Date]])</f>
        <v>17</v>
      </c>
    </row>
    <row r="4102" spans="1:21" ht="15" customHeight="1" x14ac:dyDescent="0.2">
      <c r="A4102" t="s">
        <v>4408</v>
      </c>
      <c r="B4102" t="s">
        <v>233</v>
      </c>
      <c r="C4102" t="s">
        <v>53</v>
      </c>
      <c r="D4102" s="49">
        <v>45491</v>
      </c>
      <c r="E4102" s="49">
        <v>45492</v>
      </c>
      <c r="F4102" s="49">
        <v>45493</v>
      </c>
      <c r="G4102" s="49">
        <v>45496</v>
      </c>
      <c r="H4102" s="49">
        <v>45498</v>
      </c>
      <c r="I4102" s="49">
        <v>45499</v>
      </c>
      <c r="J4102" t="s">
        <v>47</v>
      </c>
      <c r="K4102" s="33">
        <v>3400</v>
      </c>
      <c r="M4102" t="str">
        <f>_xlfn.XLOOKUP(Pipeline_tbl[[#This Row],[Rep_ID]],Dim_Reps!A:A,Dim_Reps!K:K)</f>
        <v>MXN</v>
      </c>
      <c r="N4102" s="33">
        <f>(_xlfn.XLOOKUP(Pipeline_tbl[[#This Row],[Rate_Code_Generalized]],Lookups!A:A,Lookups!B:B))*Pipeline_tbl[[#This Row],[Pipeline_Amount_USD]]</f>
        <v>67091.180000000008</v>
      </c>
      <c r="O4102" t="str">
        <f>_xlfn.XLOOKUP(Pipeline_tbl[[#This Row],[Rep_ID]],Dim_Reps!A:A,Dim_Reps!B:B)</f>
        <v>Lucas Duarte</v>
      </c>
      <c r="P4102" t="str">
        <f>_xlfn.XLOOKUP(Pipeline_tbl[[#This Row],[Rep_ID]],Dim_Reps!A:A,Dim_Reps!C:C)</f>
        <v>SDR / Inside Sales Rep</v>
      </c>
      <c r="Q4102" t="str">
        <f>_xlfn.XLOOKUP(Pipeline_tbl[[#This Row],[Rep_ID]],Dim_Reps!A:A,Dim_Reps!D:D)</f>
        <v>Inside Sales</v>
      </c>
      <c r="R4102" t="str">
        <f>_xlfn.XLOOKUP(Pipeline_tbl[[#This Row],[Rep_ID]],Dim_Reps!A:A,Dim_Reps!E:E)</f>
        <v>LATAM</v>
      </c>
      <c r="S4102" t="str">
        <f>_xlfn.XLOOKUP(Pipeline_tbl[[#This Row],[Created_Date]],Dim_Date!A:A,Dim_Date!H:H)</f>
        <v>Jul 2024</v>
      </c>
      <c r="T4102" t="str">
        <f>IF(Pipeline_tbl[[#This Row],[Closed_Date]]=0,"",(_xlfn.XLOOKUP(Pipeline_tbl[[#This Row],[Closed_Date]],Dim_Date!A:A,Dim_Date!H:H)))</f>
        <v>Jul 2024</v>
      </c>
      <c r="U4102">
        <f>IF(Pipeline_tbl[[#This Row],[Closed_Date]]=0,"",Pipeline_tbl[[#This Row],[Closed_Date]]-Pipeline_tbl[[#This Row],[Created_Date]])</f>
        <v>8</v>
      </c>
    </row>
    <row r="4103" spans="1:21" ht="15" customHeight="1" x14ac:dyDescent="0.2">
      <c r="A4103" t="s">
        <v>4409</v>
      </c>
      <c r="B4103" t="s">
        <v>233</v>
      </c>
      <c r="C4103" t="s">
        <v>54</v>
      </c>
      <c r="D4103" s="49">
        <v>45476</v>
      </c>
      <c r="E4103" s="49">
        <v>45478</v>
      </c>
      <c r="F4103" s="49">
        <v>45482</v>
      </c>
      <c r="G4103" s="49">
        <v>45489</v>
      </c>
      <c r="I4103" s="49">
        <v>45497</v>
      </c>
      <c r="J4103" t="s">
        <v>49</v>
      </c>
      <c r="K4103" s="33">
        <v>1700</v>
      </c>
      <c r="L4103" t="s">
        <v>62</v>
      </c>
      <c r="M4103" t="str">
        <f>_xlfn.XLOOKUP(Pipeline_tbl[[#This Row],[Rep_ID]],Dim_Reps!A:A,Dim_Reps!K:K)</f>
        <v>MXN</v>
      </c>
      <c r="N4103" s="33">
        <f>(_xlfn.XLOOKUP(Pipeline_tbl[[#This Row],[Rate_Code_Generalized]],Lookups!A:A,Lookups!B:B))*Pipeline_tbl[[#This Row],[Pipeline_Amount_USD]]</f>
        <v>33545.590000000004</v>
      </c>
      <c r="O4103" t="str">
        <f>_xlfn.XLOOKUP(Pipeline_tbl[[#This Row],[Rep_ID]],Dim_Reps!A:A,Dim_Reps!B:B)</f>
        <v>Lucas Duarte</v>
      </c>
      <c r="P4103" t="str">
        <f>_xlfn.XLOOKUP(Pipeline_tbl[[#This Row],[Rep_ID]],Dim_Reps!A:A,Dim_Reps!C:C)</f>
        <v>SDR / Inside Sales Rep</v>
      </c>
      <c r="Q4103" t="str">
        <f>_xlfn.XLOOKUP(Pipeline_tbl[[#This Row],[Rep_ID]],Dim_Reps!A:A,Dim_Reps!D:D)</f>
        <v>Inside Sales</v>
      </c>
      <c r="R4103" t="str">
        <f>_xlfn.XLOOKUP(Pipeline_tbl[[#This Row],[Rep_ID]],Dim_Reps!A:A,Dim_Reps!E:E)</f>
        <v>LATAM</v>
      </c>
      <c r="S4103" t="str">
        <f>_xlfn.XLOOKUP(Pipeline_tbl[[#This Row],[Created_Date]],Dim_Date!A:A,Dim_Date!H:H)</f>
        <v>Jul 2024</v>
      </c>
      <c r="T4103" t="str">
        <f>IF(Pipeline_tbl[[#This Row],[Closed_Date]]=0,"",(_xlfn.XLOOKUP(Pipeline_tbl[[#This Row],[Closed_Date]],Dim_Date!A:A,Dim_Date!H:H)))</f>
        <v>Jul 2024</v>
      </c>
      <c r="U4103">
        <f>IF(Pipeline_tbl[[#This Row],[Closed_Date]]=0,"",Pipeline_tbl[[#This Row],[Closed_Date]]-Pipeline_tbl[[#This Row],[Created_Date]])</f>
        <v>21</v>
      </c>
    </row>
    <row r="4104" spans="1:21" ht="15" customHeight="1" x14ac:dyDescent="0.2">
      <c r="A4104" t="s">
        <v>4410</v>
      </c>
      <c r="B4104" t="s">
        <v>233</v>
      </c>
      <c r="C4104" t="s">
        <v>53</v>
      </c>
      <c r="D4104" s="49">
        <v>45493</v>
      </c>
      <c r="E4104" s="49">
        <v>45494</v>
      </c>
      <c r="F4104" s="49">
        <v>45496</v>
      </c>
      <c r="G4104" s="49">
        <v>45500</v>
      </c>
      <c r="H4104" s="49">
        <v>45502</v>
      </c>
      <c r="I4104" s="49">
        <v>45504</v>
      </c>
      <c r="J4104" t="s">
        <v>49</v>
      </c>
      <c r="K4104" s="33">
        <v>7600</v>
      </c>
      <c r="L4104" t="s">
        <v>61</v>
      </c>
      <c r="M4104" t="str">
        <f>_xlfn.XLOOKUP(Pipeline_tbl[[#This Row],[Rep_ID]],Dim_Reps!A:A,Dim_Reps!K:K)</f>
        <v>MXN</v>
      </c>
      <c r="N4104" s="33">
        <f>(_xlfn.XLOOKUP(Pipeline_tbl[[#This Row],[Rate_Code_Generalized]],Lookups!A:A,Lookups!B:B))*Pipeline_tbl[[#This Row],[Pipeline_Amount_USD]]</f>
        <v>149968.52000000002</v>
      </c>
      <c r="O4104" t="str">
        <f>_xlfn.XLOOKUP(Pipeline_tbl[[#This Row],[Rep_ID]],Dim_Reps!A:A,Dim_Reps!B:B)</f>
        <v>Lucas Duarte</v>
      </c>
      <c r="P4104" t="str">
        <f>_xlfn.XLOOKUP(Pipeline_tbl[[#This Row],[Rep_ID]],Dim_Reps!A:A,Dim_Reps!C:C)</f>
        <v>SDR / Inside Sales Rep</v>
      </c>
      <c r="Q4104" t="str">
        <f>_xlfn.XLOOKUP(Pipeline_tbl[[#This Row],[Rep_ID]],Dim_Reps!A:A,Dim_Reps!D:D)</f>
        <v>Inside Sales</v>
      </c>
      <c r="R4104" t="str">
        <f>_xlfn.XLOOKUP(Pipeline_tbl[[#This Row],[Rep_ID]],Dim_Reps!A:A,Dim_Reps!E:E)</f>
        <v>LATAM</v>
      </c>
      <c r="S4104" t="str">
        <f>_xlfn.XLOOKUP(Pipeline_tbl[[#This Row],[Created_Date]],Dim_Date!A:A,Dim_Date!H:H)</f>
        <v>Jul 2024</v>
      </c>
      <c r="T4104" t="str">
        <f>IF(Pipeline_tbl[[#This Row],[Closed_Date]]=0,"",(_xlfn.XLOOKUP(Pipeline_tbl[[#This Row],[Closed_Date]],Dim_Date!A:A,Dim_Date!H:H)))</f>
        <v>Jul 2024</v>
      </c>
      <c r="U4104">
        <f>IF(Pipeline_tbl[[#This Row],[Closed_Date]]=0,"",Pipeline_tbl[[#This Row],[Closed_Date]]-Pipeline_tbl[[#This Row],[Created_Date]])</f>
        <v>11</v>
      </c>
    </row>
    <row r="4105" spans="1:21" ht="15" customHeight="1" x14ac:dyDescent="0.2">
      <c r="A4105" t="s">
        <v>4411</v>
      </c>
      <c r="B4105" t="s">
        <v>233</v>
      </c>
      <c r="C4105" t="s">
        <v>53</v>
      </c>
      <c r="D4105" s="49">
        <v>45493</v>
      </c>
      <c r="E4105" s="49">
        <v>45494</v>
      </c>
      <c r="F4105" s="49">
        <v>45495</v>
      </c>
      <c r="G4105" s="49">
        <v>45498</v>
      </c>
      <c r="H4105" s="49">
        <v>45500</v>
      </c>
      <c r="I4105" s="49">
        <v>45501</v>
      </c>
      <c r="J4105" t="s">
        <v>47</v>
      </c>
      <c r="K4105" s="33">
        <v>2600</v>
      </c>
      <c r="M4105" t="str">
        <f>_xlfn.XLOOKUP(Pipeline_tbl[[#This Row],[Rep_ID]],Dim_Reps!A:A,Dim_Reps!K:K)</f>
        <v>MXN</v>
      </c>
      <c r="N4105" s="33">
        <f>(_xlfn.XLOOKUP(Pipeline_tbl[[#This Row],[Rate_Code_Generalized]],Lookups!A:A,Lookups!B:B))*Pipeline_tbl[[#This Row],[Pipeline_Amount_USD]]</f>
        <v>51305.020000000004</v>
      </c>
      <c r="O4105" t="str">
        <f>_xlfn.XLOOKUP(Pipeline_tbl[[#This Row],[Rep_ID]],Dim_Reps!A:A,Dim_Reps!B:B)</f>
        <v>Lucas Duarte</v>
      </c>
      <c r="P4105" t="str">
        <f>_xlfn.XLOOKUP(Pipeline_tbl[[#This Row],[Rep_ID]],Dim_Reps!A:A,Dim_Reps!C:C)</f>
        <v>SDR / Inside Sales Rep</v>
      </c>
      <c r="Q4105" t="str">
        <f>_xlfn.XLOOKUP(Pipeline_tbl[[#This Row],[Rep_ID]],Dim_Reps!A:A,Dim_Reps!D:D)</f>
        <v>Inside Sales</v>
      </c>
      <c r="R4105" t="str">
        <f>_xlfn.XLOOKUP(Pipeline_tbl[[#This Row],[Rep_ID]],Dim_Reps!A:A,Dim_Reps!E:E)</f>
        <v>LATAM</v>
      </c>
      <c r="S4105" t="str">
        <f>_xlfn.XLOOKUP(Pipeline_tbl[[#This Row],[Created_Date]],Dim_Date!A:A,Dim_Date!H:H)</f>
        <v>Jul 2024</v>
      </c>
      <c r="T4105" t="str">
        <f>IF(Pipeline_tbl[[#This Row],[Closed_Date]]=0,"",(_xlfn.XLOOKUP(Pipeline_tbl[[#This Row],[Closed_Date]],Dim_Date!A:A,Dim_Date!H:H)))</f>
        <v>Jul 2024</v>
      </c>
      <c r="U4105">
        <f>IF(Pipeline_tbl[[#This Row],[Closed_Date]]=0,"",Pipeline_tbl[[#This Row],[Closed_Date]]-Pipeline_tbl[[#This Row],[Created_Date]])</f>
        <v>8</v>
      </c>
    </row>
    <row r="4106" spans="1:21" ht="15" customHeight="1" x14ac:dyDescent="0.2">
      <c r="A4106" t="s">
        <v>4412</v>
      </c>
      <c r="B4106" t="s">
        <v>235</v>
      </c>
      <c r="C4106" t="s">
        <v>52</v>
      </c>
      <c r="D4106" s="49">
        <v>45485</v>
      </c>
      <c r="E4106" s="49">
        <v>45486</v>
      </c>
      <c r="F4106" s="49">
        <v>45488</v>
      </c>
      <c r="G4106" s="49">
        <v>45491</v>
      </c>
      <c r="H4106" s="49">
        <v>45493</v>
      </c>
      <c r="I4106" s="49">
        <v>45495</v>
      </c>
      <c r="J4106" t="s">
        <v>47</v>
      </c>
      <c r="K4106" s="33">
        <v>3900</v>
      </c>
      <c r="M4106" t="str">
        <f>_xlfn.XLOOKUP(Pipeline_tbl[[#This Row],[Rep_ID]],Dim_Reps!A:A,Dim_Reps!K:K)</f>
        <v>MXN</v>
      </c>
      <c r="N4106" s="33">
        <f>(_xlfn.XLOOKUP(Pipeline_tbl[[#This Row],[Rate_Code_Generalized]],Lookups!A:A,Lookups!B:B))*Pipeline_tbl[[#This Row],[Pipeline_Amount_USD]]</f>
        <v>76957.53</v>
      </c>
      <c r="O4106" t="str">
        <f>_xlfn.XLOOKUP(Pipeline_tbl[[#This Row],[Rep_ID]],Dim_Reps!A:A,Dim_Reps!B:B)</f>
        <v>Milo Castro</v>
      </c>
      <c r="P4106" t="str">
        <f>_xlfn.XLOOKUP(Pipeline_tbl[[#This Row],[Rep_ID]],Dim_Reps!A:A,Dim_Reps!C:C)</f>
        <v>SDR / Inside Sales Rep</v>
      </c>
      <c r="Q4106" t="str">
        <f>_xlfn.XLOOKUP(Pipeline_tbl[[#This Row],[Rep_ID]],Dim_Reps!A:A,Dim_Reps!D:D)</f>
        <v>Inside Sales</v>
      </c>
      <c r="R4106" t="str">
        <f>_xlfn.XLOOKUP(Pipeline_tbl[[#This Row],[Rep_ID]],Dim_Reps!A:A,Dim_Reps!E:E)</f>
        <v>LATAM</v>
      </c>
      <c r="S4106" t="str">
        <f>_xlfn.XLOOKUP(Pipeline_tbl[[#This Row],[Created_Date]],Dim_Date!A:A,Dim_Date!H:H)</f>
        <v>Jul 2024</v>
      </c>
      <c r="T4106" t="str">
        <f>IF(Pipeline_tbl[[#This Row],[Closed_Date]]=0,"",(_xlfn.XLOOKUP(Pipeline_tbl[[#This Row],[Closed_Date]],Dim_Date!A:A,Dim_Date!H:H)))</f>
        <v>Jul 2024</v>
      </c>
      <c r="U4106">
        <f>IF(Pipeline_tbl[[#This Row],[Closed_Date]]=0,"",Pipeline_tbl[[#This Row],[Closed_Date]]-Pipeline_tbl[[#This Row],[Created_Date]])</f>
        <v>10</v>
      </c>
    </row>
    <row r="4107" spans="1:21" ht="15" customHeight="1" x14ac:dyDescent="0.2">
      <c r="A4107" t="s">
        <v>4413</v>
      </c>
      <c r="B4107" t="s">
        <v>235</v>
      </c>
      <c r="C4107" t="s">
        <v>55</v>
      </c>
      <c r="D4107" s="49">
        <v>45494</v>
      </c>
      <c r="E4107" s="49">
        <v>45495</v>
      </c>
      <c r="F4107" s="49">
        <v>45496</v>
      </c>
      <c r="G4107" s="49">
        <v>45498</v>
      </c>
      <c r="H4107" s="49">
        <v>45500</v>
      </c>
      <c r="I4107" s="49">
        <v>45501</v>
      </c>
      <c r="J4107" t="s">
        <v>47</v>
      </c>
      <c r="K4107" s="33">
        <v>2300</v>
      </c>
      <c r="M4107" t="str">
        <f>_xlfn.XLOOKUP(Pipeline_tbl[[#This Row],[Rep_ID]],Dim_Reps!A:A,Dim_Reps!K:K)</f>
        <v>MXN</v>
      </c>
      <c r="N4107" s="33">
        <f>(_xlfn.XLOOKUP(Pipeline_tbl[[#This Row],[Rate_Code_Generalized]],Lookups!A:A,Lookups!B:B))*Pipeline_tbl[[#This Row],[Pipeline_Amount_USD]]</f>
        <v>45385.210000000006</v>
      </c>
      <c r="O4107" t="str">
        <f>_xlfn.XLOOKUP(Pipeline_tbl[[#This Row],[Rep_ID]],Dim_Reps!A:A,Dim_Reps!B:B)</f>
        <v>Milo Castro</v>
      </c>
      <c r="P4107" t="str">
        <f>_xlfn.XLOOKUP(Pipeline_tbl[[#This Row],[Rep_ID]],Dim_Reps!A:A,Dim_Reps!C:C)</f>
        <v>SDR / Inside Sales Rep</v>
      </c>
      <c r="Q4107" t="str">
        <f>_xlfn.XLOOKUP(Pipeline_tbl[[#This Row],[Rep_ID]],Dim_Reps!A:A,Dim_Reps!D:D)</f>
        <v>Inside Sales</v>
      </c>
      <c r="R4107" t="str">
        <f>_xlfn.XLOOKUP(Pipeline_tbl[[#This Row],[Rep_ID]],Dim_Reps!A:A,Dim_Reps!E:E)</f>
        <v>LATAM</v>
      </c>
      <c r="S4107" t="str">
        <f>_xlfn.XLOOKUP(Pipeline_tbl[[#This Row],[Created_Date]],Dim_Date!A:A,Dim_Date!H:H)</f>
        <v>Jul 2024</v>
      </c>
      <c r="T4107" t="str">
        <f>IF(Pipeline_tbl[[#This Row],[Closed_Date]]=0,"",(_xlfn.XLOOKUP(Pipeline_tbl[[#This Row],[Closed_Date]],Dim_Date!A:A,Dim_Date!H:H)))</f>
        <v>Jul 2024</v>
      </c>
      <c r="U4107">
        <f>IF(Pipeline_tbl[[#This Row],[Closed_Date]]=0,"",Pipeline_tbl[[#This Row],[Closed_Date]]-Pipeline_tbl[[#This Row],[Created_Date]])</f>
        <v>7</v>
      </c>
    </row>
    <row r="4108" spans="1:21" ht="15" customHeight="1" x14ac:dyDescent="0.2">
      <c r="A4108" t="s">
        <v>4414</v>
      </c>
      <c r="B4108" t="s">
        <v>235</v>
      </c>
      <c r="C4108" t="s">
        <v>53</v>
      </c>
      <c r="D4108" s="49">
        <v>45493</v>
      </c>
      <c r="E4108" s="49">
        <v>45494</v>
      </c>
      <c r="F4108" s="49">
        <v>45496</v>
      </c>
      <c r="I4108" s="49">
        <v>45504</v>
      </c>
      <c r="J4108" t="s">
        <v>49</v>
      </c>
      <c r="K4108" s="33">
        <v>4800</v>
      </c>
      <c r="L4108" t="s">
        <v>63</v>
      </c>
      <c r="M4108" t="str">
        <f>_xlfn.XLOOKUP(Pipeline_tbl[[#This Row],[Rep_ID]],Dim_Reps!A:A,Dim_Reps!K:K)</f>
        <v>MXN</v>
      </c>
      <c r="N4108" s="33">
        <f>(_xlfn.XLOOKUP(Pipeline_tbl[[#This Row],[Rate_Code_Generalized]],Lookups!A:A,Lookups!B:B))*Pipeline_tbl[[#This Row],[Pipeline_Amount_USD]]</f>
        <v>94716.96</v>
      </c>
      <c r="O4108" t="str">
        <f>_xlfn.XLOOKUP(Pipeline_tbl[[#This Row],[Rep_ID]],Dim_Reps!A:A,Dim_Reps!B:B)</f>
        <v>Milo Castro</v>
      </c>
      <c r="P4108" t="str">
        <f>_xlfn.XLOOKUP(Pipeline_tbl[[#This Row],[Rep_ID]],Dim_Reps!A:A,Dim_Reps!C:C)</f>
        <v>SDR / Inside Sales Rep</v>
      </c>
      <c r="Q4108" t="str">
        <f>_xlfn.XLOOKUP(Pipeline_tbl[[#This Row],[Rep_ID]],Dim_Reps!A:A,Dim_Reps!D:D)</f>
        <v>Inside Sales</v>
      </c>
      <c r="R4108" t="str">
        <f>_xlfn.XLOOKUP(Pipeline_tbl[[#This Row],[Rep_ID]],Dim_Reps!A:A,Dim_Reps!E:E)</f>
        <v>LATAM</v>
      </c>
      <c r="S4108" t="str">
        <f>_xlfn.XLOOKUP(Pipeline_tbl[[#This Row],[Created_Date]],Dim_Date!A:A,Dim_Date!H:H)</f>
        <v>Jul 2024</v>
      </c>
      <c r="T4108" t="str">
        <f>IF(Pipeline_tbl[[#This Row],[Closed_Date]]=0,"",(_xlfn.XLOOKUP(Pipeline_tbl[[#This Row],[Closed_Date]],Dim_Date!A:A,Dim_Date!H:H)))</f>
        <v>Jul 2024</v>
      </c>
      <c r="U4108">
        <f>IF(Pipeline_tbl[[#This Row],[Closed_Date]]=0,"",Pipeline_tbl[[#This Row],[Closed_Date]]-Pipeline_tbl[[#This Row],[Created_Date]])</f>
        <v>11</v>
      </c>
    </row>
    <row r="4109" spans="1:21" ht="15" customHeight="1" x14ac:dyDescent="0.2">
      <c r="A4109" t="s">
        <v>4415</v>
      </c>
      <c r="B4109" t="s">
        <v>235</v>
      </c>
      <c r="C4109" t="s">
        <v>52</v>
      </c>
      <c r="D4109" s="49">
        <v>45483</v>
      </c>
      <c r="E4109" s="49">
        <v>45485</v>
      </c>
      <c r="F4109" s="49">
        <v>45488</v>
      </c>
      <c r="G4109" s="49">
        <v>45492</v>
      </c>
      <c r="H4109" s="49">
        <v>45496</v>
      </c>
      <c r="I4109" s="49">
        <v>45498</v>
      </c>
      <c r="J4109" t="s">
        <v>47</v>
      </c>
      <c r="K4109" s="33">
        <v>3500</v>
      </c>
      <c r="M4109" t="str">
        <f>_xlfn.XLOOKUP(Pipeline_tbl[[#This Row],[Rep_ID]],Dim_Reps!A:A,Dim_Reps!K:K)</f>
        <v>MXN</v>
      </c>
      <c r="N4109" s="33">
        <f>(_xlfn.XLOOKUP(Pipeline_tbl[[#This Row],[Rate_Code_Generalized]],Lookups!A:A,Lookups!B:B))*Pipeline_tbl[[#This Row],[Pipeline_Amount_USD]]</f>
        <v>69064.45</v>
      </c>
      <c r="O4109" t="str">
        <f>_xlfn.XLOOKUP(Pipeline_tbl[[#This Row],[Rep_ID]],Dim_Reps!A:A,Dim_Reps!B:B)</f>
        <v>Milo Castro</v>
      </c>
      <c r="P4109" t="str">
        <f>_xlfn.XLOOKUP(Pipeline_tbl[[#This Row],[Rep_ID]],Dim_Reps!A:A,Dim_Reps!C:C)</f>
        <v>SDR / Inside Sales Rep</v>
      </c>
      <c r="Q4109" t="str">
        <f>_xlfn.XLOOKUP(Pipeline_tbl[[#This Row],[Rep_ID]],Dim_Reps!A:A,Dim_Reps!D:D)</f>
        <v>Inside Sales</v>
      </c>
      <c r="R4109" t="str">
        <f>_xlfn.XLOOKUP(Pipeline_tbl[[#This Row],[Rep_ID]],Dim_Reps!A:A,Dim_Reps!E:E)</f>
        <v>LATAM</v>
      </c>
      <c r="S4109" t="str">
        <f>_xlfn.XLOOKUP(Pipeline_tbl[[#This Row],[Created_Date]],Dim_Date!A:A,Dim_Date!H:H)</f>
        <v>Jul 2024</v>
      </c>
      <c r="T4109" t="str">
        <f>IF(Pipeline_tbl[[#This Row],[Closed_Date]]=0,"",(_xlfn.XLOOKUP(Pipeline_tbl[[#This Row],[Closed_Date]],Dim_Date!A:A,Dim_Date!H:H)))</f>
        <v>Jul 2024</v>
      </c>
      <c r="U4109">
        <f>IF(Pipeline_tbl[[#This Row],[Closed_Date]]=0,"",Pipeline_tbl[[#This Row],[Closed_Date]]-Pipeline_tbl[[#This Row],[Created_Date]])</f>
        <v>15</v>
      </c>
    </row>
    <row r="4110" spans="1:21" ht="15" customHeight="1" x14ac:dyDescent="0.2">
      <c r="A4110" t="s">
        <v>4416</v>
      </c>
      <c r="B4110" t="s">
        <v>235</v>
      </c>
      <c r="C4110" t="s">
        <v>56</v>
      </c>
      <c r="D4110" s="49">
        <v>45483</v>
      </c>
      <c r="E4110" s="49">
        <v>45485</v>
      </c>
      <c r="F4110" s="49">
        <v>45488</v>
      </c>
      <c r="G4110" s="49">
        <v>45492</v>
      </c>
      <c r="H4110" s="49">
        <v>45496</v>
      </c>
      <c r="I4110" s="49">
        <v>45498</v>
      </c>
      <c r="J4110" t="s">
        <v>47</v>
      </c>
      <c r="K4110" s="33">
        <v>4300</v>
      </c>
      <c r="M4110" t="str">
        <f>_xlfn.XLOOKUP(Pipeline_tbl[[#This Row],[Rep_ID]],Dim_Reps!A:A,Dim_Reps!K:K)</f>
        <v>MXN</v>
      </c>
      <c r="N4110" s="33">
        <f>(_xlfn.XLOOKUP(Pipeline_tbl[[#This Row],[Rate_Code_Generalized]],Lookups!A:A,Lookups!B:B))*Pipeline_tbl[[#This Row],[Pipeline_Amount_USD]]</f>
        <v>84850.61</v>
      </c>
      <c r="O4110" t="str">
        <f>_xlfn.XLOOKUP(Pipeline_tbl[[#This Row],[Rep_ID]],Dim_Reps!A:A,Dim_Reps!B:B)</f>
        <v>Milo Castro</v>
      </c>
      <c r="P4110" t="str">
        <f>_xlfn.XLOOKUP(Pipeline_tbl[[#This Row],[Rep_ID]],Dim_Reps!A:A,Dim_Reps!C:C)</f>
        <v>SDR / Inside Sales Rep</v>
      </c>
      <c r="Q4110" t="str">
        <f>_xlfn.XLOOKUP(Pipeline_tbl[[#This Row],[Rep_ID]],Dim_Reps!A:A,Dim_Reps!D:D)</f>
        <v>Inside Sales</v>
      </c>
      <c r="R4110" t="str">
        <f>_xlfn.XLOOKUP(Pipeline_tbl[[#This Row],[Rep_ID]],Dim_Reps!A:A,Dim_Reps!E:E)</f>
        <v>LATAM</v>
      </c>
      <c r="S4110" t="str">
        <f>_xlfn.XLOOKUP(Pipeline_tbl[[#This Row],[Created_Date]],Dim_Date!A:A,Dim_Date!H:H)</f>
        <v>Jul 2024</v>
      </c>
      <c r="T4110" t="str">
        <f>IF(Pipeline_tbl[[#This Row],[Closed_Date]]=0,"",(_xlfn.XLOOKUP(Pipeline_tbl[[#This Row],[Closed_Date]],Dim_Date!A:A,Dim_Date!H:H)))</f>
        <v>Jul 2024</v>
      </c>
      <c r="U4110">
        <f>IF(Pipeline_tbl[[#This Row],[Closed_Date]]=0,"",Pipeline_tbl[[#This Row],[Closed_Date]]-Pipeline_tbl[[#This Row],[Created_Date]])</f>
        <v>15</v>
      </c>
    </row>
    <row r="4111" spans="1:21" ht="15" customHeight="1" x14ac:dyDescent="0.2">
      <c r="A4111" t="s">
        <v>4417</v>
      </c>
      <c r="B4111" t="s">
        <v>235</v>
      </c>
      <c r="C4111" t="s">
        <v>52</v>
      </c>
      <c r="D4111" s="49">
        <v>45477</v>
      </c>
      <c r="E4111" s="49">
        <v>45479</v>
      </c>
      <c r="F4111" s="49">
        <v>45484</v>
      </c>
      <c r="G4111" s="49">
        <v>45491</v>
      </c>
      <c r="H4111" s="49">
        <v>45497</v>
      </c>
      <c r="I4111" s="49">
        <v>45501</v>
      </c>
      <c r="J4111" t="s">
        <v>49</v>
      </c>
      <c r="K4111" s="33">
        <v>6000</v>
      </c>
      <c r="L4111" t="s">
        <v>60</v>
      </c>
      <c r="M4111" t="str">
        <f>_xlfn.XLOOKUP(Pipeline_tbl[[#This Row],[Rep_ID]],Dim_Reps!A:A,Dim_Reps!K:K)</f>
        <v>MXN</v>
      </c>
      <c r="N4111" s="33">
        <f>(_xlfn.XLOOKUP(Pipeline_tbl[[#This Row],[Rate_Code_Generalized]],Lookups!A:A,Lookups!B:B))*Pipeline_tbl[[#This Row],[Pipeline_Amount_USD]]</f>
        <v>118396.20000000001</v>
      </c>
      <c r="O4111" t="str">
        <f>_xlfn.XLOOKUP(Pipeline_tbl[[#This Row],[Rep_ID]],Dim_Reps!A:A,Dim_Reps!B:B)</f>
        <v>Milo Castro</v>
      </c>
      <c r="P4111" t="str">
        <f>_xlfn.XLOOKUP(Pipeline_tbl[[#This Row],[Rep_ID]],Dim_Reps!A:A,Dim_Reps!C:C)</f>
        <v>SDR / Inside Sales Rep</v>
      </c>
      <c r="Q4111" t="str">
        <f>_xlfn.XLOOKUP(Pipeline_tbl[[#This Row],[Rep_ID]],Dim_Reps!A:A,Dim_Reps!D:D)</f>
        <v>Inside Sales</v>
      </c>
      <c r="R4111" t="str">
        <f>_xlfn.XLOOKUP(Pipeline_tbl[[#This Row],[Rep_ID]],Dim_Reps!A:A,Dim_Reps!E:E)</f>
        <v>LATAM</v>
      </c>
      <c r="S4111" t="str">
        <f>_xlfn.XLOOKUP(Pipeline_tbl[[#This Row],[Created_Date]],Dim_Date!A:A,Dim_Date!H:H)</f>
        <v>Jul 2024</v>
      </c>
      <c r="T4111" t="str">
        <f>IF(Pipeline_tbl[[#This Row],[Closed_Date]]=0,"",(_xlfn.XLOOKUP(Pipeline_tbl[[#This Row],[Closed_Date]],Dim_Date!A:A,Dim_Date!H:H)))</f>
        <v>Jul 2024</v>
      </c>
      <c r="U4111">
        <f>IF(Pipeline_tbl[[#This Row],[Closed_Date]]=0,"",Pipeline_tbl[[#This Row],[Closed_Date]]-Pipeline_tbl[[#This Row],[Created_Date]])</f>
        <v>24</v>
      </c>
    </row>
    <row r="4112" spans="1:21" ht="15" customHeight="1" x14ac:dyDescent="0.2">
      <c r="A4112" t="s">
        <v>4418</v>
      </c>
      <c r="B4112" t="s">
        <v>235</v>
      </c>
      <c r="C4112" t="s">
        <v>56</v>
      </c>
      <c r="D4112" s="49">
        <v>45476</v>
      </c>
      <c r="E4112" s="49">
        <v>45478</v>
      </c>
      <c r="F4112" s="49">
        <v>45482</v>
      </c>
      <c r="G4112" s="49">
        <v>45487</v>
      </c>
      <c r="H4112" s="49">
        <v>45492</v>
      </c>
      <c r="I4112" s="49">
        <v>45495</v>
      </c>
      <c r="J4112" t="s">
        <v>47</v>
      </c>
      <c r="K4112" s="33">
        <v>3700</v>
      </c>
      <c r="M4112" t="str">
        <f>_xlfn.XLOOKUP(Pipeline_tbl[[#This Row],[Rep_ID]],Dim_Reps!A:A,Dim_Reps!K:K)</f>
        <v>MXN</v>
      </c>
      <c r="N4112" s="33">
        <f>(_xlfn.XLOOKUP(Pipeline_tbl[[#This Row],[Rate_Code_Generalized]],Lookups!A:A,Lookups!B:B))*Pipeline_tbl[[#This Row],[Pipeline_Amount_USD]]</f>
        <v>73010.990000000005</v>
      </c>
      <c r="O4112" t="str">
        <f>_xlfn.XLOOKUP(Pipeline_tbl[[#This Row],[Rep_ID]],Dim_Reps!A:A,Dim_Reps!B:B)</f>
        <v>Milo Castro</v>
      </c>
      <c r="P4112" t="str">
        <f>_xlfn.XLOOKUP(Pipeline_tbl[[#This Row],[Rep_ID]],Dim_Reps!A:A,Dim_Reps!C:C)</f>
        <v>SDR / Inside Sales Rep</v>
      </c>
      <c r="Q4112" t="str">
        <f>_xlfn.XLOOKUP(Pipeline_tbl[[#This Row],[Rep_ID]],Dim_Reps!A:A,Dim_Reps!D:D)</f>
        <v>Inside Sales</v>
      </c>
      <c r="R4112" t="str">
        <f>_xlfn.XLOOKUP(Pipeline_tbl[[#This Row],[Rep_ID]],Dim_Reps!A:A,Dim_Reps!E:E)</f>
        <v>LATAM</v>
      </c>
      <c r="S4112" t="str">
        <f>_xlfn.XLOOKUP(Pipeline_tbl[[#This Row],[Created_Date]],Dim_Date!A:A,Dim_Date!H:H)</f>
        <v>Jul 2024</v>
      </c>
      <c r="T4112" t="str">
        <f>IF(Pipeline_tbl[[#This Row],[Closed_Date]]=0,"",(_xlfn.XLOOKUP(Pipeline_tbl[[#This Row],[Closed_Date]],Dim_Date!A:A,Dim_Date!H:H)))</f>
        <v>Jul 2024</v>
      </c>
      <c r="U4112">
        <f>IF(Pipeline_tbl[[#This Row],[Closed_Date]]=0,"",Pipeline_tbl[[#This Row],[Closed_Date]]-Pipeline_tbl[[#This Row],[Created_Date]])</f>
        <v>19</v>
      </c>
    </row>
    <row r="4113" spans="1:21" ht="15" customHeight="1" x14ac:dyDescent="0.2">
      <c r="A4113" t="s">
        <v>4419</v>
      </c>
      <c r="B4113" t="s">
        <v>237</v>
      </c>
      <c r="C4113" t="s">
        <v>53</v>
      </c>
      <c r="D4113" s="49">
        <v>45480</v>
      </c>
      <c r="E4113" s="49">
        <v>45481</v>
      </c>
      <c r="F4113" s="49">
        <v>45483</v>
      </c>
      <c r="G4113" s="49">
        <v>45486</v>
      </c>
      <c r="H4113" s="49">
        <v>45488</v>
      </c>
      <c r="I4113" s="49">
        <v>45490</v>
      </c>
      <c r="J4113" t="s">
        <v>47</v>
      </c>
      <c r="K4113" s="33">
        <v>3400</v>
      </c>
      <c r="M4113" t="str">
        <f>_xlfn.XLOOKUP(Pipeline_tbl[[#This Row],[Rep_ID]],Dim_Reps!A:A,Dim_Reps!K:K)</f>
        <v>EUR</v>
      </c>
      <c r="N4113" s="33">
        <f>(_xlfn.XLOOKUP(Pipeline_tbl[[#This Row],[Rate_Code_Generalized]],Lookups!A:A,Lookups!B:B))*Pipeline_tbl[[#This Row],[Pipeline_Amount_USD]]</f>
        <v>3400</v>
      </c>
      <c r="O4113" t="str">
        <f>_xlfn.XLOOKUP(Pipeline_tbl[[#This Row],[Rep_ID]],Dim_Reps!A:A,Dim_Reps!B:B)</f>
        <v>Hugo Santos</v>
      </c>
      <c r="P4113" t="str">
        <f>_xlfn.XLOOKUP(Pipeline_tbl[[#This Row],[Rep_ID]],Dim_Reps!A:A,Dim_Reps!C:C)</f>
        <v>SDR / Inside Sales Rep</v>
      </c>
      <c r="Q4113" t="str">
        <f>_xlfn.XLOOKUP(Pipeline_tbl[[#This Row],[Rep_ID]],Dim_Reps!A:A,Dim_Reps!D:D)</f>
        <v>Inside Sales</v>
      </c>
      <c r="R4113" t="str">
        <f>_xlfn.XLOOKUP(Pipeline_tbl[[#This Row],[Rep_ID]],Dim_Reps!A:A,Dim_Reps!E:E)</f>
        <v>EMEA</v>
      </c>
      <c r="S4113" t="str">
        <f>_xlfn.XLOOKUP(Pipeline_tbl[[#This Row],[Created_Date]],Dim_Date!A:A,Dim_Date!H:H)</f>
        <v>Jul 2024</v>
      </c>
      <c r="T4113" t="str">
        <f>IF(Pipeline_tbl[[#This Row],[Closed_Date]]=0,"",(_xlfn.XLOOKUP(Pipeline_tbl[[#This Row],[Closed_Date]],Dim_Date!A:A,Dim_Date!H:H)))</f>
        <v>Jul 2024</v>
      </c>
      <c r="U4113">
        <f>IF(Pipeline_tbl[[#This Row],[Closed_Date]]=0,"",Pipeline_tbl[[#This Row],[Closed_Date]]-Pipeline_tbl[[#This Row],[Created_Date]])</f>
        <v>10</v>
      </c>
    </row>
    <row r="4114" spans="1:21" ht="15" customHeight="1" x14ac:dyDescent="0.2">
      <c r="A4114" t="s">
        <v>4420</v>
      </c>
      <c r="B4114" t="s">
        <v>237</v>
      </c>
      <c r="C4114" t="s">
        <v>54</v>
      </c>
      <c r="D4114" s="49">
        <v>45485</v>
      </c>
      <c r="E4114" s="49">
        <v>45486</v>
      </c>
      <c r="F4114" s="49">
        <v>45489</v>
      </c>
      <c r="G4114" s="49">
        <v>45492</v>
      </c>
      <c r="H4114" s="49">
        <v>45495</v>
      </c>
      <c r="I4114" s="49">
        <v>45497</v>
      </c>
      <c r="J4114" t="s">
        <v>49</v>
      </c>
      <c r="K4114" s="33">
        <v>4500</v>
      </c>
      <c r="L4114" t="s">
        <v>60</v>
      </c>
      <c r="M4114" t="str">
        <f>_xlfn.XLOOKUP(Pipeline_tbl[[#This Row],[Rep_ID]],Dim_Reps!A:A,Dim_Reps!K:K)</f>
        <v>EUR</v>
      </c>
      <c r="N4114" s="33">
        <f>(_xlfn.XLOOKUP(Pipeline_tbl[[#This Row],[Rate_Code_Generalized]],Lookups!A:A,Lookups!B:B))*Pipeline_tbl[[#This Row],[Pipeline_Amount_USD]]</f>
        <v>4500</v>
      </c>
      <c r="O4114" t="str">
        <f>_xlfn.XLOOKUP(Pipeline_tbl[[#This Row],[Rep_ID]],Dim_Reps!A:A,Dim_Reps!B:B)</f>
        <v>Hugo Santos</v>
      </c>
      <c r="P4114" t="str">
        <f>_xlfn.XLOOKUP(Pipeline_tbl[[#This Row],[Rep_ID]],Dim_Reps!A:A,Dim_Reps!C:C)</f>
        <v>SDR / Inside Sales Rep</v>
      </c>
      <c r="Q4114" t="str">
        <f>_xlfn.XLOOKUP(Pipeline_tbl[[#This Row],[Rep_ID]],Dim_Reps!A:A,Dim_Reps!D:D)</f>
        <v>Inside Sales</v>
      </c>
      <c r="R4114" t="str">
        <f>_xlfn.XLOOKUP(Pipeline_tbl[[#This Row],[Rep_ID]],Dim_Reps!A:A,Dim_Reps!E:E)</f>
        <v>EMEA</v>
      </c>
      <c r="S4114" t="str">
        <f>_xlfn.XLOOKUP(Pipeline_tbl[[#This Row],[Created_Date]],Dim_Date!A:A,Dim_Date!H:H)</f>
        <v>Jul 2024</v>
      </c>
      <c r="T4114" t="str">
        <f>IF(Pipeline_tbl[[#This Row],[Closed_Date]]=0,"",(_xlfn.XLOOKUP(Pipeline_tbl[[#This Row],[Closed_Date]],Dim_Date!A:A,Dim_Date!H:H)))</f>
        <v>Jul 2024</v>
      </c>
      <c r="U4114">
        <f>IF(Pipeline_tbl[[#This Row],[Closed_Date]]=0,"",Pipeline_tbl[[#This Row],[Closed_Date]]-Pipeline_tbl[[#This Row],[Created_Date]])</f>
        <v>12</v>
      </c>
    </row>
    <row r="4115" spans="1:21" ht="15" customHeight="1" x14ac:dyDescent="0.2">
      <c r="A4115" t="s">
        <v>4421</v>
      </c>
      <c r="B4115" t="s">
        <v>273</v>
      </c>
      <c r="C4115" t="s">
        <v>54</v>
      </c>
      <c r="D4115" s="49">
        <v>45481</v>
      </c>
      <c r="E4115" s="49">
        <v>45483</v>
      </c>
      <c r="F4115" s="49">
        <v>45486</v>
      </c>
      <c r="G4115" s="49">
        <v>45490</v>
      </c>
      <c r="H4115" s="49">
        <v>45494</v>
      </c>
      <c r="I4115" s="49">
        <v>45496</v>
      </c>
      <c r="J4115" t="s">
        <v>47</v>
      </c>
      <c r="K4115" s="33">
        <v>10000</v>
      </c>
      <c r="M4115" t="str">
        <f>_xlfn.XLOOKUP(Pipeline_tbl[[#This Row],[Rep_ID]],Dim_Reps!A:A,Dim_Reps!K:K)</f>
        <v>EUR</v>
      </c>
      <c r="N4115" s="33">
        <f>(_xlfn.XLOOKUP(Pipeline_tbl[[#This Row],[Rate_Code_Generalized]],Lookups!A:A,Lookups!B:B))*Pipeline_tbl[[#This Row],[Pipeline_Amount_USD]]</f>
        <v>10000</v>
      </c>
      <c r="O4115" t="str">
        <f>_xlfn.XLOOKUP(Pipeline_tbl[[#This Row],[Rep_ID]],Dim_Reps!A:A,Dim_Reps!B:B)</f>
        <v>Olivia Cohen</v>
      </c>
      <c r="P4115" t="str">
        <f>_xlfn.XLOOKUP(Pipeline_tbl[[#This Row],[Rep_ID]],Dim_Reps!A:A,Dim_Reps!C:C)</f>
        <v>Mid-Market AE</v>
      </c>
      <c r="Q4115" t="str">
        <f>_xlfn.XLOOKUP(Pipeline_tbl[[#This Row],[Rep_ID]],Dim_Reps!A:A,Dim_Reps!D:D)</f>
        <v>Mid-Market</v>
      </c>
      <c r="R4115" t="str">
        <f>_xlfn.XLOOKUP(Pipeline_tbl[[#This Row],[Rep_ID]],Dim_Reps!A:A,Dim_Reps!E:E)</f>
        <v>APAC</v>
      </c>
      <c r="S4115" t="str">
        <f>_xlfn.XLOOKUP(Pipeline_tbl[[#This Row],[Created_Date]],Dim_Date!A:A,Dim_Date!H:H)</f>
        <v>Jul 2024</v>
      </c>
      <c r="T4115" t="str">
        <f>IF(Pipeline_tbl[[#This Row],[Closed_Date]]=0,"",(_xlfn.XLOOKUP(Pipeline_tbl[[#This Row],[Closed_Date]],Dim_Date!A:A,Dim_Date!H:H)))</f>
        <v>Jul 2024</v>
      </c>
      <c r="U4115">
        <f>IF(Pipeline_tbl[[#This Row],[Closed_Date]]=0,"",Pipeline_tbl[[#This Row],[Closed_Date]]-Pipeline_tbl[[#This Row],[Created_Date]])</f>
        <v>15</v>
      </c>
    </row>
    <row r="4116" spans="1:21" ht="15" customHeight="1" x14ac:dyDescent="0.2">
      <c r="A4116" t="s">
        <v>4422</v>
      </c>
      <c r="B4116" t="s">
        <v>241</v>
      </c>
      <c r="C4116" t="s">
        <v>55</v>
      </c>
      <c r="D4116" s="49">
        <v>45478</v>
      </c>
      <c r="E4116" s="49">
        <v>45480</v>
      </c>
      <c r="F4116" s="49">
        <v>45485</v>
      </c>
      <c r="G4116" s="49">
        <v>45492</v>
      </c>
      <c r="H4116" s="49">
        <v>45498</v>
      </c>
      <c r="I4116" s="49">
        <v>45502</v>
      </c>
      <c r="J4116" t="s">
        <v>47</v>
      </c>
      <c r="K4116" s="33">
        <v>3000</v>
      </c>
      <c r="M4116" t="str">
        <f>_xlfn.XLOOKUP(Pipeline_tbl[[#This Row],[Rep_ID]],Dim_Reps!A:A,Dim_Reps!K:K)</f>
        <v>EUR</v>
      </c>
      <c r="N4116" s="33">
        <f>(_xlfn.XLOOKUP(Pipeline_tbl[[#This Row],[Rate_Code_Generalized]],Lookups!A:A,Lookups!B:B))*Pipeline_tbl[[#This Row],[Pipeline_Amount_USD]]</f>
        <v>3000</v>
      </c>
      <c r="O4116" t="str">
        <f>_xlfn.XLOOKUP(Pipeline_tbl[[#This Row],[Rep_ID]],Dim_Reps!A:A,Dim_Reps!B:B)</f>
        <v>Kenji Weber</v>
      </c>
      <c r="P4116" t="str">
        <f>_xlfn.XLOOKUP(Pipeline_tbl[[#This Row],[Rep_ID]],Dim_Reps!A:A,Dim_Reps!C:C)</f>
        <v>SDR / Inside Sales Rep</v>
      </c>
      <c r="Q4116" t="str">
        <f>_xlfn.XLOOKUP(Pipeline_tbl[[#This Row],[Rep_ID]],Dim_Reps!A:A,Dim_Reps!D:D)</f>
        <v>Inside Sales</v>
      </c>
      <c r="R4116" t="str">
        <f>_xlfn.XLOOKUP(Pipeline_tbl[[#This Row],[Rep_ID]],Dim_Reps!A:A,Dim_Reps!E:E)</f>
        <v>APAC</v>
      </c>
      <c r="S4116" t="str">
        <f>_xlfn.XLOOKUP(Pipeline_tbl[[#This Row],[Created_Date]],Dim_Date!A:A,Dim_Date!H:H)</f>
        <v>Jul 2024</v>
      </c>
      <c r="T4116" t="str">
        <f>IF(Pipeline_tbl[[#This Row],[Closed_Date]]=0,"",(_xlfn.XLOOKUP(Pipeline_tbl[[#This Row],[Closed_Date]],Dim_Date!A:A,Dim_Date!H:H)))</f>
        <v>Jul 2024</v>
      </c>
      <c r="U4116">
        <f>IF(Pipeline_tbl[[#This Row],[Closed_Date]]=0,"",Pipeline_tbl[[#This Row],[Closed_Date]]-Pipeline_tbl[[#This Row],[Created_Date]])</f>
        <v>24</v>
      </c>
    </row>
    <row r="4117" spans="1:21" ht="15" customHeight="1" x14ac:dyDescent="0.2">
      <c r="A4117" t="s">
        <v>4423</v>
      </c>
      <c r="B4117" t="s">
        <v>241</v>
      </c>
      <c r="C4117" t="s">
        <v>54</v>
      </c>
      <c r="D4117" s="49">
        <v>45474</v>
      </c>
      <c r="E4117" s="49">
        <v>45475</v>
      </c>
      <c r="F4117" s="49">
        <v>45476</v>
      </c>
      <c r="I4117" s="49">
        <v>45482</v>
      </c>
      <c r="J4117" t="s">
        <v>49</v>
      </c>
      <c r="K4117" s="33">
        <v>1400</v>
      </c>
      <c r="L4117" t="s">
        <v>62</v>
      </c>
      <c r="M4117" t="str">
        <f>_xlfn.XLOOKUP(Pipeline_tbl[[#This Row],[Rep_ID]],Dim_Reps!A:A,Dim_Reps!K:K)</f>
        <v>EUR</v>
      </c>
      <c r="N4117" s="33">
        <f>(_xlfn.XLOOKUP(Pipeline_tbl[[#This Row],[Rate_Code_Generalized]],Lookups!A:A,Lookups!B:B))*Pipeline_tbl[[#This Row],[Pipeline_Amount_USD]]</f>
        <v>1400</v>
      </c>
      <c r="O4117" t="str">
        <f>_xlfn.XLOOKUP(Pipeline_tbl[[#This Row],[Rep_ID]],Dim_Reps!A:A,Dim_Reps!B:B)</f>
        <v>Kenji Weber</v>
      </c>
      <c r="P4117" t="str">
        <f>_xlfn.XLOOKUP(Pipeline_tbl[[#This Row],[Rep_ID]],Dim_Reps!A:A,Dim_Reps!C:C)</f>
        <v>SDR / Inside Sales Rep</v>
      </c>
      <c r="Q4117" t="str">
        <f>_xlfn.XLOOKUP(Pipeline_tbl[[#This Row],[Rep_ID]],Dim_Reps!A:A,Dim_Reps!D:D)</f>
        <v>Inside Sales</v>
      </c>
      <c r="R4117" t="str">
        <f>_xlfn.XLOOKUP(Pipeline_tbl[[#This Row],[Rep_ID]],Dim_Reps!A:A,Dim_Reps!E:E)</f>
        <v>APAC</v>
      </c>
      <c r="S4117" t="str">
        <f>_xlfn.XLOOKUP(Pipeline_tbl[[#This Row],[Created_Date]],Dim_Date!A:A,Dim_Date!H:H)</f>
        <v>Jul 2024</v>
      </c>
      <c r="T4117" t="str">
        <f>IF(Pipeline_tbl[[#This Row],[Closed_Date]]=0,"",(_xlfn.XLOOKUP(Pipeline_tbl[[#This Row],[Closed_Date]],Dim_Date!A:A,Dim_Date!H:H)))</f>
        <v>Jul 2024</v>
      </c>
      <c r="U4117">
        <f>IF(Pipeline_tbl[[#This Row],[Closed_Date]]=0,"",Pipeline_tbl[[#This Row],[Closed_Date]]-Pipeline_tbl[[#This Row],[Created_Date]])</f>
        <v>8</v>
      </c>
    </row>
    <row r="4118" spans="1:21" ht="15" customHeight="1" x14ac:dyDescent="0.2">
      <c r="A4118" t="s">
        <v>4424</v>
      </c>
      <c r="B4118" t="s">
        <v>241</v>
      </c>
      <c r="C4118" t="s">
        <v>52</v>
      </c>
      <c r="D4118" s="49">
        <v>45484</v>
      </c>
      <c r="E4118" s="49">
        <v>45485</v>
      </c>
      <c r="F4118" s="49">
        <v>45488</v>
      </c>
      <c r="I4118" s="49">
        <v>45497</v>
      </c>
      <c r="J4118" t="s">
        <v>49</v>
      </c>
      <c r="K4118" s="33">
        <v>3300</v>
      </c>
      <c r="L4118" t="s">
        <v>63</v>
      </c>
      <c r="M4118" t="str">
        <f>_xlfn.XLOOKUP(Pipeline_tbl[[#This Row],[Rep_ID]],Dim_Reps!A:A,Dim_Reps!K:K)</f>
        <v>EUR</v>
      </c>
      <c r="N4118" s="33">
        <f>(_xlfn.XLOOKUP(Pipeline_tbl[[#This Row],[Rate_Code_Generalized]],Lookups!A:A,Lookups!B:B))*Pipeline_tbl[[#This Row],[Pipeline_Amount_USD]]</f>
        <v>3300</v>
      </c>
      <c r="O4118" t="str">
        <f>_xlfn.XLOOKUP(Pipeline_tbl[[#This Row],[Rep_ID]],Dim_Reps!A:A,Dim_Reps!B:B)</f>
        <v>Kenji Weber</v>
      </c>
      <c r="P4118" t="str">
        <f>_xlfn.XLOOKUP(Pipeline_tbl[[#This Row],[Rep_ID]],Dim_Reps!A:A,Dim_Reps!C:C)</f>
        <v>SDR / Inside Sales Rep</v>
      </c>
      <c r="Q4118" t="str">
        <f>_xlfn.XLOOKUP(Pipeline_tbl[[#This Row],[Rep_ID]],Dim_Reps!A:A,Dim_Reps!D:D)</f>
        <v>Inside Sales</v>
      </c>
      <c r="R4118" t="str">
        <f>_xlfn.XLOOKUP(Pipeline_tbl[[#This Row],[Rep_ID]],Dim_Reps!A:A,Dim_Reps!E:E)</f>
        <v>APAC</v>
      </c>
      <c r="S4118" t="str">
        <f>_xlfn.XLOOKUP(Pipeline_tbl[[#This Row],[Created_Date]],Dim_Date!A:A,Dim_Date!H:H)</f>
        <v>Jul 2024</v>
      </c>
      <c r="T4118" t="str">
        <f>IF(Pipeline_tbl[[#This Row],[Closed_Date]]=0,"",(_xlfn.XLOOKUP(Pipeline_tbl[[#This Row],[Closed_Date]],Dim_Date!A:A,Dim_Date!H:H)))</f>
        <v>Jul 2024</v>
      </c>
      <c r="U4118">
        <f>IF(Pipeline_tbl[[#This Row],[Closed_Date]]=0,"",Pipeline_tbl[[#This Row],[Closed_Date]]-Pipeline_tbl[[#This Row],[Created_Date]])</f>
        <v>13</v>
      </c>
    </row>
    <row r="4119" spans="1:21" ht="15" customHeight="1" x14ac:dyDescent="0.2">
      <c r="A4119" t="s">
        <v>4425</v>
      </c>
      <c r="B4119" t="s">
        <v>241</v>
      </c>
      <c r="C4119" t="s">
        <v>55</v>
      </c>
      <c r="D4119" s="49">
        <v>45475</v>
      </c>
      <c r="E4119" s="49">
        <v>45477</v>
      </c>
      <c r="F4119" s="49">
        <v>45480</v>
      </c>
      <c r="I4119" s="49">
        <v>45491</v>
      </c>
      <c r="J4119" t="s">
        <v>49</v>
      </c>
      <c r="K4119" s="33">
        <v>4300</v>
      </c>
      <c r="L4119" t="s">
        <v>61</v>
      </c>
      <c r="M4119" t="str">
        <f>_xlfn.XLOOKUP(Pipeline_tbl[[#This Row],[Rep_ID]],Dim_Reps!A:A,Dim_Reps!K:K)</f>
        <v>EUR</v>
      </c>
      <c r="N4119" s="33">
        <f>(_xlfn.XLOOKUP(Pipeline_tbl[[#This Row],[Rate_Code_Generalized]],Lookups!A:A,Lookups!B:B))*Pipeline_tbl[[#This Row],[Pipeline_Amount_USD]]</f>
        <v>4300</v>
      </c>
      <c r="O4119" t="str">
        <f>_xlfn.XLOOKUP(Pipeline_tbl[[#This Row],[Rep_ID]],Dim_Reps!A:A,Dim_Reps!B:B)</f>
        <v>Kenji Weber</v>
      </c>
      <c r="P4119" t="str">
        <f>_xlfn.XLOOKUP(Pipeline_tbl[[#This Row],[Rep_ID]],Dim_Reps!A:A,Dim_Reps!C:C)</f>
        <v>SDR / Inside Sales Rep</v>
      </c>
      <c r="Q4119" t="str">
        <f>_xlfn.XLOOKUP(Pipeline_tbl[[#This Row],[Rep_ID]],Dim_Reps!A:A,Dim_Reps!D:D)</f>
        <v>Inside Sales</v>
      </c>
      <c r="R4119" t="str">
        <f>_xlfn.XLOOKUP(Pipeline_tbl[[#This Row],[Rep_ID]],Dim_Reps!A:A,Dim_Reps!E:E)</f>
        <v>APAC</v>
      </c>
      <c r="S4119" t="str">
        <f>_xlfn.XLOOKUP(Pipeline_tbl[[#This Row],[Created_Date]],Dim_Date!A:A,Dim_Date!H:H)</f>
        <v>Jul 2024</v>
      </c>
      <c r="T4119" t="str">
        <f>IF(Pipeline_tbl[[#This Row],[Closed_Date]]=0,"",(_xlfn.XLOOKUP(Pipeline_tbl[[#This Row],[Closed_Date]],Dim_Date!A:A,Dim_Date!H:H)))</f>
        <v>Jul 2024</v>
      </c>
      <c r="U4119">
        <f>IF(Pipeline_tbl[[#This Row],[Closed_Date]]=0,"",Pipeline_tbl[[#This Row],[Closed_Date]]-Pipeline_tbl[[#This Row],[Created_Date]])</f>
        <v>16</v>
      </c>
    </row>
    <row r="4120" spans="1:21" ht="15" customHeight="1" x14ac:dyDescent="0.2">
      <c r="A4120" t="s">
        <v>4426</v>
      </c>
      <c r="B4120" t="s">
        <v>181</v>
      </c>
      <c r="C4120" t="s">
        <v>56</v>
      </c>
      <c r="D4120" s="49">
        <v>45501</v>
      </c>
      <c r="E4120" s="49">
        <v>45509</v>
      </c>
      <c r="F4120" s="49">
        <v>45524</v>
      </c>
      <c r="G4120" s="49">
        <v>45546</v>
      </c>
      <c r="H4120" s="49">
        <v>45565</v>
      </c>
      <c r="I4120" s="49">
        <v>45576</v>
      </c>
      <c r="J4120" t="s">
        <v>49</v>
      </c>
      <c r="K4120" s="33">
        <v>38900</v>
      </c>
      <c r="L4120" t="s">
        <v>61</v>
      </c>
      <c r="M4120" t="str">
        <f>_xlfn.XLOOKUP(Pipeline_tbl[[#This Row],[Rep_ID]],Dim_Reps!A:A,Dim_Reps!K:K)</f>
        <v>USD</v>
      </c>
      <c r="N4120" s="33">
        <f>(_xlfn.XLOOKUP(Pipeline_tbl[[#This Row],[Rate_Code_Generalized]],Lookups!A:A,Lookups!B:B))*Pipeline_tbl[[#This Row],[Pipeline_Amount_USD]]</f>
        <v>45291.27</v>
      </c>
      <c r="O4120" t="str">
        <f>_xlfn.XLOOKUP(Pipeline_tbl[[#This Row],[Rep_ID]],Dim_Reps!A:A,Dim_Reps!B:B)</f>
        <v>Milo Weber</v>
      </c>
      <c r="P4120" t="str">
        <f>_xlfn.XLOOKUP(Pipeline_tbl[[#This Row],[Rep_ID]],Dim_Reps!A:A,Dim_Reps!C:C)</f>
        <v>Enterprise AE</v>
      </c>
      <c r="Q4120" t="str">
        <f>_xlfn.XLOOKUP(Pipeline_tbl[[#This Row],[Rep_ID]],Dim_Reps!A:A,Dim_Reps!D:D)</f>
        <v>Enterprise</v>
      </c>
      <c r="R4120" t="str">
        <f>_xlfn.XLOOKUP(Pipeline_tbl[[#This Row],[Rep_ID]],Dim_Reps!A:A,Dim_Reps!E:E)</f>
        <v>NAMER</v>
      </c>
      <c r="S4120" t="str">
        <f>_xlfn.XLOOKUP(Pipeline_tbl[[#This Row],[Created_Date]],Dim_Date!A:A,Dim_Date!H:H)</f>
        <v>Jul 2024</v>
      </c>
      <c r="T4120" t="str">
        <f>IF(Pipeline_tbl[[#This Row],[Closed_Date]]=0,"",(_xlfn.XLOOKUP(Pipeline_tbl[[#This Row],[Closed_Date]],Dim_Date!A:A,Dim_Date!H:H)))</f>
        <v>Oct 2024</v>
      </c>
      <c r="U4120">
        <f>IF(Pipeline_tbl[[#This Row],[Closed_Date]]=0,"",Pipeline_tbl[[#This Row],[Closed_Date]]-Pipeline_tbl[[#This Row],[Created_Date]])</f>
        <v>75</v>
      </c>
    </row>
    <row r="4121" spans="1:21" ht="15" customHeight="1" x14ac:dyDescent="0.2">
      <c r="A4121" t="s">
        <v>4427</v>
      </c>
      <c r="B4121" t="s">
        <v>181</v>
      </c>
      <c r="C4121" t="s">
        <v>52</v>
      </c>
      <c r="D4121" s="49">
        <v>45492</v>
      </c>
      <c r="E4121" s="49">
        <v>45501</v>
      </c>
      <c r="F4121" s="49">
        <v>45520</v>
      </c>
      <c r="G4121" s="49">
        <v>45548</v>
      </c>
      <c r="I4121" s="49">
        <v>45585</v>
      </c>
      <c r="J4121" t="s">
        <v>49</v>
      </c>
      <c r="K4121" s="33">
        <v>21300</v>
      </c>
      <c r="L4121" t="s">
        <v>60</v>
      </c>
      <c r="M4121" t="str">
        <f>_xlfn.XLOOKUP(Pipeline_tbl[[#This Row],[Rep_ID]],Dim_Reps!A:A,Dim_Reps!K:K)</f>
        <v>USD</v>
      </c>
      <c r="N4121" s="33">
        <f>(_xlfn.XLOOKUP(Pipeline_tbl[[#This Row],[Rate_Code_Generalized]],Lookups!A:A,Lookups!B:B))*Pipeline_tbl[[#This Row],[Pipeline_Amount_USD]]</f>
        <v>24799.589999999997</v>
      </c>
      <c r="O4121" t="str">
        <f>_xlfn.XLOOKUP(Pipeline_tbl[[#This Row],[Rep_ID]],Dim_Reps!A:A,Dim_Reps!B:B)</f>
        <v>Milo Weber</v>
      </c>
      <c r="P4121" t="str">
        <f>_xlfn.XLOOKUP(Pipeline_tbl[[#This Row],[Rep_ID]],Dim_Reps!A:A,Dim_Reps!C:C)</f>
        <v>Enterprise AE</v>
      </c>
      <c r="Q4121" t="str">
        <f>_xlfn.XLOOKUP(Pipeline_tbl[[#This Row],[Rep_ID]],Dim_Reps!A:A,Dim_Reps!D:D)</f>
        <v>Enterprise</v>
      </c>
      <c r="R4121" t="str">
        <f>_xlfn.XLOOKUP(Pipeline_tbl[[#This Row],[Rep_ID]],Dim_Reps!A:A,Dim_Reps!E:E)</f>
        <v>NAMER</v>
      </c>
      <c r="S4121" t="str">
        <f>_xlfn.XLOOKUP(Pipeline_tbl[[#This Row],[Created_Date]],Dim_Date!A:A,Dim_Date!H:H)</f>
        <v>Jul 2024</v>
      </c>
      <c r="T4121" t="str">
        <f>IF(Pipeline_tbl[[#This Row],[Closed_Date]]=0,"",(_xlfn.XLOOKUP(Pipeline_tbl[[#This Row],[Closed_Date]],Dim_Date!A:A,Dim_Date!H:H)))</f>
        <v>Oct 2024</v>
      </c>
      <c r="U4121">
        <f>IF(Pipeline_tbl[[#This Row],[Closed_Date]]=0,"",Pipeline_tbl[[#This Row],[Closed_Date]]-Pipeline_tbl[[#This Row],[Created_Date]])</f>
        <v>93</v>
      </c>
    </row>
    <row r="4122" spans="1:21" ht="15" customHeight="1" x14ac:dyDescent="0.2">
      <c r="A4122" t="s">
        <v>4428</v>
      </c>
      <c r="B4122" t="s">
        <v>183</v>
      </c>
      <c r="C4122" t="s">
        <v>52</v>
      </c>
      <c r="D4122" s="49">
        <v>45489</v>
      </c>
      <c r="E4122" s="49">
        <v>45497</v>
      </c>
      <c r="F4122" s="49">
        <v>45513</v>
      </c>
      <c r="I4122" s="49">
        <v>45570</v>
      </c>
      <c r="J4122" t="s">
        <v>49</v>
      </c>
      <c r="K4122" s="33">
        <v>16500</v>
      </c>
      <c r="L4122" t="s">
        <v>60</v>
      </c>
      <c r="M4122" t="str">
        <f>_xlfn.XLOOKUP(Pipeline_tbl[[#This Row],[Rep_ID]],Dim_Reps!A:A,Dim_Reps!K:K)</f>
        <v>EUR</v>
      </c>
      <c r="N4122" s="33">
        <f>(_xlfn.XLOOKUP(Pipeline_tbl[[#This Row],[Rate_Code_Generalized]],Lookups!A:A,Lookups!B:B))*Pipeline_tbl[[#This Row],[Pipeline_Amount_USD]]</f>
        <v>16500</v>
      </c>
      <c r="O4122" t="str">
        <f>_xlfn.XLOOKUP(Pipeline_tbl[[#This Row],[Rep_ID]],Dim_Reps!A:A,Dim_Reps!B:B)</f>
        <v>Sam Schmidt</v>
      </c>
      <c r="P4122" t="str">
        <f>_xlfn.XLOOKUP(Pipeline_tbl[[#This Row],[Rep_ID]],Dim_Reps!A:A,Dim_Reps!C:C)</f>
        <v>Enterprise AE</v>
      </c>
      <c r="Q4122" t="str">
        <f>_xlfn.XLOOKUP(Pipeline_tbl[[#This Row],[Rep_ID]],Dim_Reps!A:A,Dim_Reps!D:D)</f>
        <v>Enterprise</v>
      </c>
      <c r="R4122" t="str">
        <f>_xlfn.XLOOKUP(Pipeline_tbl[[#This Row],[Rep_ID]],Dim_Reps!A:A,Dim_Reps!E:E)</f>
        <v>EMEA</v>
      </c>
      <c r="S4122" t="str">
        <f>_xlfn.XLOOKUP(Pipeline_tbl[[#This Row],[Created_Date]],Dim_Date!A:A,Dim_Date!H:H)</f>
        <v>Jul 2024</v>
      </c>
      <c r="T4122" t="str">
        <f>IF(Pipeline_tbl[[#This Row],[Closed_Date]]=0,"",(_xlfn.XLOOKUP(Pipeline_tbl[[#This Row],[Closed_Date]],Dim_Date!A:A,Dim_Date!H:H)))</f>
        <v>Oct 2024</v>
      </c>
      <c r="U4122">
        <f>IF(Pipeline_tbl[[#This Row],[Closed_Date]]=0,"",Pipeline_tbl[[#This Row],[Closed_Date]]-Pipeline_tbl[[#This Row],[Created_Date]])</f>
        <v>81</v>
      </c>
    </row>
    <row r="4123" spans="1:21" ht="15" customHeight="1" x14ac:dyDescent="0.2">
      <c r="A4123" t="s">
        <v>4429</v>
      </c>
      <c r="B4123" t="s">
        <v>278</v>
      </c>
      <c r="C4123" t="s">
        <v>53</v>
      </c>
      <c r="D4123" s="49">
        <v>45499</v>
      </c>
      <c r="E4123" s="49">
        <v>45506</v>
      </c>
      <c r="F4123" s="49">
        <v>45519</v>
      </c>
      <c r="I4123" s="49">
        <v>45566</v>
      </c>
      <c r="J4123" t="s">
        <v>49</v>
      </c>
      <c r="K4123" s="33">
        <v>50800</v>
      </c>
      <c r="L4123" t="s">
        <v>61</v>
      </c>
      <c r="M4123" t="str">
        <f>_xlfn.XLOOKUP(Pipeline_tbl[[#This Row],[Rep_ID]],Dim_Reps!A:A,Dim_Reps!K:K)</f>
        <v>EUR</v>
      </c>
      <c r="N4123" s="33">
        <f>(_xlfn.XLOOKUP(Pipeline_tbl[[#This Row],[Rate_Code_Generalized]],Lookups!A:A,Lookups!B:B))*Pipeline_tbl[[#This Row],[Pipeline_Amount_USD]]</f>
        <v>50800</v>
      </c>
      <c r="O4123" t="str">
        <f>_xlfn.XLOOKUP(Pipeline_tbl[[#This Row],[Rep_ID]],Dim_Reps!A:A,Dim_Reps!B:B)</f>
        <v>Sara Andersson</v>
      </c>
      <c r="P4123" t="str">
        <f>_xlfn.XLOOKUP(Pipeline_tbl[[#This Row],[Rep_ID]],Dim_Reps!A:A,Dim_Reps!C:C)</f>
        <v>Senior Enterprise AE</v>
      </c>
      <c r="Q4123" t="str">
        <f>_xlfn.XLOOKUP(Pipeline_tbl[[#This Row],[Rep_ID]],Dim_Reps!A:A,Dim_Reps!D:D)</f>
        <v>Strategic</v>
      </c>
      <c r="R4123" t="str">
        <f>_xlfn.XLOOKUP(Pipeline_tbl[[#This Row],[Rep_ID]],Dim_Reps!A:A,Dim_Reps!E:E)</f>
        <v>APAC</v>
      </c>
      <c r="S4123" t="str">
        <f>_xlfn.XLOOKUP(Pipeline_tbl[[#This Row],[Created_Date]],Dim_Date!A:A,Dim_Date!H:H)</f>
        <v>Jul 2024</v>
      </c>
      <c r="T4123" t="str">
        <f>IF(Pipeline_tbl[[#This Row],[Closed_Date]]=0,"",(_xlfn.XLOOKUP(Pipeline_tbl[[#This Row],[Closed_Date]],Dim_Date!A:A,Dim_Date!H:H)))</f>
        <v>Oct 2024</v>
      </c>
      <c r="U4123">
        <f>IF(Pipeline_tbl[[#This Row],[Closed_Date]]=0,"",Pipeline_tbl[[#This Row],[Closed_Date]]-Pipeline_tbl[[#This Row],[Created_Date]])</f>
        <v>67</v>
      </c>
    </row>
    <row r="4124" spans="1:21" ht="15" customHeight="1" x14ac:dyDescent="0.2">
      <c r="A4124" t="s">
        <v>4430</v>
      </c>
      <c r="B4124" t="s">
        <v>278</v>
      </c>
      <c r="C4124" t="s">
        <v>53</v>
      </c>
      <c r="D4124" s="49">
        <v>45504</v>
      </c>
      <c r="E4124" s="49">
        <v>45512</v>
      </c>
      <c r="F4124" s="49">
        <v>45530</v>
      </c>
      <c r="G4124" s="49">
        <v>45555</v>
      </c>
      <c r="H4124" s="49">
        <v>45576</v>
      </c>
      <c r="I4124" s="49">
        <v>45589</v>
      </c>
      <c r="J4124" t="s">
        <v>47</v>
      </c>
      <c r="K4124" s="33">
        <v>22100</v>
      </c>
      <c r="M4124" t="str">
        <f>_xlfn.XLOOKUP(Pipeline_tbl[[#This Row],[Rep_ID]],Dim_Reps!A:A,Dim_Reps!K:K)</f>
        <v>EUR</v>
      </c>
      <c r="N4124" s="33">
        <f>(_xlfn.XLOOKUP(Pipeline_tbl[[#This Row],[Rate_Code_Generalized]],Lookups!A:A,Lookups!B:B))*Pipeline_tbl[[#This Row],[Pipeline_Amount_USD]]</f>
        <v>22100</v>
      </c>
      <c r="O4124" t="str">
        <f>_xlfn.XLOOKUP(Pipeline_tbl[[#This Row],[Rep_ID]],Dim_Reps!A:A,Dim_Reps!B:B)</f>
        <v>Sara Andersson</v>
      </c>
      <c r="P4124" t="str">
        <f>_xlfn.XLOOKUP(Pipeline_tbl[[#This Row],[Rep_ID]],Dim_Reps!A:A,Dim_Reps!C:C)</f>
        <v>Senior Enterprise AE</v>
      </c>
      <c r="Q4124" t="str">
        <f>_xlfn.XLOOKUP(Pipeline_tbl[[#This Row],[Rep_ID]],Dim_Reps!A:A,Dim_Reps!D:D)</f>
        <v>Strategic</v>
      </c>
      <c r="R4124" t="str">
        <f>_xlfn.XLOOKUP(Pipeline_tbl[[#This Row],[Rep_ID]],Dim_Reps!A:A,Dim_Reps!E:E)</f>
        <v>APAC</v>
      </c>
      <c r="S4124" t="str">
        <f>_xlfn.XLOOKUP(Pipeline_tbl[[#This Row],[Created_Date]],Dim_Date!A:A,Dim_Date!H:H)</f>
        <v>Jul 2024</v>
      </c>
      <c r="T4124" t="str">
        <f>IF(Pipeline_tbl[[#This Row],[Closed_Date]]=0,"",(_xlfn.XLOOKUP(Pipeline_tbl[[#This Row],[Closed_Date]],Dim_Date!A:A,Dim_Date!H:H)))</f>
        <v>Oct 2024</v>
      </c>
      <c r="U4124">
        <f>IF(Pipeline_tbl[[#This Row],[Closed_Date]]=0,"",Pipeline_tbl[[#This Row],[Closed_Date]]-Pipeline_tbl[[#This Row],[Created_Date]])</f>
        <v>85</v>
      </c>
    </row>
    <row r="4125" spans="1:21" ht="15" customHeight="1" x14ac:dyDescent="0.2">
      <c r="A4125" t="s">
        <v>4431</v>
      </c>
      <c r="B4125" t="s">
        <v>185</v>
      </c>
      <c r="C4125" t="s">
        <v>52</v>
      </c>
      <c r="D4125" s="49">
        <v>45489</v>
      </c>
      <c r="E4125" s="49">
        <v>45497</v>
      </c>
      <c r="F4125" s="49">
        <v>45514</v>
      </c>
      <c r="G4125" s="49">
        <v>45538</v>
      </c>
      <c r="H4125" s="49">
        <v>45559</v>
      </c>
      <c r="I4125" s="49">
        <v>45571</v>
      </c>
      <c r="J4125" t="s">
        <v>49</v>
      </c>
      <c r="K4125" s="33">
        <v>57800</v>
      </c>
      <c r="L4125" t="s">
        <v>61</v>
      </c>
      <c r="M4125" t="str">
        <f>_xlfn.XLOOKUP(Pipeline_tbl[[#This Row],[Rep_ID]],Dim_Reps!A:A,Dim_Reps!K:K)</f>
        <v>MXN</v>
      </c>
      <c r="N4125" s="33">
        <f>(_xlfn.XLOOKUP(Pipeline_tbl[[#This Row],[Rate_Code_Generalized]],Lookups!A:A,Lookups!B:B))*Pipeline_tbl[[#This Row],[Pipeline_Amount_USD]]</f>
        <v>1140550.06</v>
      </c>
      <c r="O4125" t="str">
        <f>_xlfn.XLOOKUP(Pipeline_tbl[[#This Row],[Rep_ID]],Dim_Reps!A:A,Dim_Reps!B:B)</f>
        <v>Noah Kim</v>
      </c>
      <c r="P4125" t="str">
        <f>_xlfn.XLOOKUP(Pipeline_tbl[[#This Row],[Rep_ID]],Dim_Reps!A:A,Dim_Reps!C:C)</f>
        <v>Enterprise AE</v>
      </c>
      <c r="Q4125" t="str">
        <f>_xlfn.XLOOKUP(Pipeline_tbl[[#This Row],[Rep_ID]],Dim_Reps!A:A,Dim_Reps!D:D)</f>
        <v>Enterprise</v>
      </c>
      <c r="R4125" t="str">
        <f>_xlfn.XLOOKUP(Pipeline_tbl[[#This Row],[Rep_ID]],Dim_Reps!A:A,Dim_Reps!E:E)</f>
        <v>LATAM</v>
      </c>
      <c r="S4125" t="str">
        <f>_xlfn.XLOOKUP(Pipeline_tbl[[#This Row],[Created_Date]],Dim_Date!A:A,Dim_Date!H:H)</f>
        <v>Jul 2024</v>
      </c>
      <c r="T4125" t="str">
        <f>IF(Pipeline_tbl[[#This Row],[Closed_Date]]=0,"",(_xlfn.XLOOKUP(Pipeline_tbl[[#This Row],[Closed_Date]],Dim_Date!A:A,Dim_Date!H:H)))</f>
        <v>Oct 2024</v>
      </c>
      <c r="U4125">
        <f>IF(Pipeline_tbl[[#This Row],[Closed_Date]]=0,"",Pipeline_tbl[[#This Row],[Closed_Date]]-Pipeline_tbl[[#This Row],[Created_Date]])</f>
        <v>82</v>
      </c>
    </row>
    <row r="4126" spans="1:21" ht="15" customHeight="1" x14ac:dyDescent="0.2">
      <c r="A4126" t="s">
        <v>4432</v>
      </c>
      <c r="B4126" t="s">
        <v>280</v>
      </c>
      <c r="C4126" t="s">
        <v>52</v>
      </c>
      <c r="D4126" s="49">
        <v>45497</v>
      </c>
      <c r="E4126" s="49">
        <v>45504</v>
      </c>
      <c r="F4126" s="49">
        <v>45518</v>
      </c>
      <c r="G4126" s="49">
        <v>45539</v>
      </c>
      <c r="H4126" s="49">
        <v>45557</v>
      </c>
      <c r="I4126" s="49">
        <v>45567</v>
      </c>
      <c r="J4126" t="s">
        <v>47</v>
      </c>
      <c r="K4126" s="33">
        <v>55300</v>
      </c>
      <c r="M4126" t="str">
        <f>_xlfn.XLOOKUP(Pipeline_tbl[[#This Row],[Rep_ID]],Dim_Reps!A:A,Dim_Reps!K:K)</f>
        <v>MXN</v>
      </c>
      <c r="N4126" s="33">
        <f>(_xlfn.XLOOKUP(Pipeline_tbl[[#This Row],[Rate_Code_Generalized]],Lookups!A:A,Lookups!B:B))*Pipeline_tbl[[#This Row],[Pipeline_Amount_USD]]</f>
        <v>1091218.31</v>
      </c>
      <c r="O4126" t="str">
        <f>_xlfn.XLOOKUP(Pipeline_tbl[[#This Row],[Rep_ID]],Dim_Reps!A:A,Dim_Reps!B:B)</f>
        <v>Cameron Lund</v>
      </c>
      <c r="P4126" t="str">
        <f>_xlfn.XLOOKUP(Pipeline_tbl[[#This Row],[Rep_ID]],Dim_Reps!A:A,Dim_Reps!C:C)</f>
        <v>Senior Enterprise AE</v>
      </c>
      <c r="Q4126" t="str">
        <f>_xlfn.XLOOKUP(Pipeline_tbl[[#This Row],[Rep_ID]],Dim_Reps!A:A,Dim_Reps!D:D)</f>
        <v>Strategic</v>
      </c>
      <c r="R4126" t="str">
        <f>_xlfn.XLOOKUP(Pipeline_tbl[[#This Row],[Rep_ID]],Dim_Reps!A:A,Dim_Reps!E:E)</f>
        <v>LATAM</v>
      </c>
      <c r="S4126" t="str">
        <f>_xlfn.XLOOKUP(Pipeline_tbl[[#This Row],[Created_Date]],Dim_Date!A:A,Dim_Date!H:H)</f>
        <v>Jul 2024</v>
      </c>
      <c r="T4126" t="str">
        <f>IF(Pipeline_tbl[[#This Row],[Closed_Date]]=0,"",(_xlfn.XLOOKUP(Pipeline_tbl[[#This Row],[Closed_Date]],Dim_Date!A:A,Dim_Date!H:H)))</f>
        <v>Oct 2024</v>
      </c>
      <c r="U4126">
        <f>IF(Pipeline_tbl[[#This Row],[Closed_Date]]=0,"",Pipeline_tbl[[#This Row],[Closed_Date]]-Pipeline_tbl[[#This Row],[Created_Date]])</f>
        <v>70</v>
      </c>
    </row>
    <row r="4127" spans="1:21" ht="15" customHeight="1" x14ac:dyDescent="0.2">
      <c r="A4127" t="s">
        <v>4433</v>
      </c>
      <c r="B4127" t="s">
        <v>191</v>
      </c>
      <c r="C4127" t="s">
        <v>53</v>
      </c>
      <c r="D4127" s="49">
        <v>45495</v>
      </c>
      <c r="E4127" s="49">
        <v>45505</v>
      </c>
      <c r="I4127" s="49">
        <v>45593</v>
      </c>
      <c r="J4127" t="s">
        <v>49</v>
      </c>
      <c r="K4127" s="33">
        <v>30600</v>
      </c>
      <c r="L4127" t="s">
        <v>61</v>
      </c>
      <c r="M4127" t="str">
        <f>_xlfn.XLOOKUP(Pipeline_tbl[[#This Row],[Rep_ID]],Dim_Reps!A:A,Dim_Reps!K:K)</f>
        <v>USD</v>
      </c>
      <c r="N4127" s="33">
        <f>(_xlfn.XLOOKUP(Pipeline_tbl[[#This Row],[Rate_Code_Generalized]],Lookups!A:A,Lookups!B:B))*Pipeline_tbl[[#This Row],[Pipeline_Amount_USD]]</f>
        <v>35627.579999999994</v>
      </c>
      <c r="O4127" t="str">
        <f>_xlfn.XLOOKUP(Pipeline_tbl[[#This Row],[Rep_ID]],Dim_Reps!A:A,Dim_Reps!B:B)</f>
        <v>Zara Duarte</v>
      </c>
      <c r="P4127" t="str">
        <f>_xlfn.XLOOKUP(Pipeline_tbl[[#This Row],[Rep_ID]],Dim_Reps!A:A,Dim_Reps!C:C)</f>
        <v>Enterprise AE</v>
      </c>
      <c r="Q4127" t="str">
        <f>_xlfn.XLOOKUP(Pipeline_tbl[[#This Row],[Rep_ID]],Dim_Reps!A:A,Dim_Reps!D:D)</f>
        <v>Enterprise</v>
      </c>
      <c r="R4127" t="str">
        <f>_xlfn.XLOOKUP(Pipeline_tbl[[#This Row],[Rep_ID]],Dim_Reps!A:A,Dim_Reps!E:E)</f>
        <v>NAMER</v>
      </c>
      <c r="S4127" t="str">
        <f>_xlfn.XLOOKUP(Pipeline_tbl[[#This Row],[Created_Date]],Dim_Date!A:A,Dim_Date!H:H)</f>
        <v>Jul 2024</v>
      </c>
      <c r="T4127" t="str">
        <f>IF(Pipeline_tbl[[#This Row],[Closed_Date]]=0,"",(_xlfn.XLOOKUP(Pipeline_tbl[[#This Row],[Closed_Date]],Dim_Date!A:A,Dim_Date!H:H)))</f>
        <v>Oct 2024</v>
      </c>
      <c r="U4127">
        <f>IF(Pipeline_tbl[[#This Row],[Closed_Date]]=0,"",Pipeline_tbl[[#This Row],[Closed_Date]]-Pipeline_tbl[[#This Row],[Created_Date]])</f>
        <v>98</v>
      </c>
    </row>
    <row r="4128" spans="1:21" ht="15" customHeight="1" x14ac:dyDescent="0.2">
      <c r="A4128" t="s">
        <v>4434</v>
      </c>
      <c r="B4128" t="s">
        <v>181</v>
      </c>
      <c r="C4128" t="s">
        <v>56</v>
      </c>
      <c r="D4128" s="49">
        <v>45492</v>
      </c>
      <c r="E4128" s="49">
        <v>45497</v>
      </c>
      <c r="F4128" s="49">
        <v>45507</v>
      </c>
      <c r="G4128" s="49">
        <v>45523</v>
      </c>
      <c r="H4128" s="49">
        <v>45535</v>
      </c>
      <c r="I4128" s="49">
        <v>45543</v>
      </c>
      <c r="J4128" t="s">
        <v>47</v>
      </c>
      <c r="K4128" s="33">
        <v>42100</v>
      </c>
      <c r="M4128" t="str">
        <f>_xlfn.XLOOKUP(Pipeline_tbl[[#This Row],[Rep_ID]],Dim_Reps!A:A,Dim_Reps!K:K)</f>
        <v>USD</v>
      </c>
      <c r="N4128" s="33">
        <f>(_xlfn.XLOOKUP(Pipeline_tbl[[#This Row],[Rate_Code_Generalized]],Lookups!A:A,Lookups!B:B))*Pipeline_tbl[[#This Row],[Pipeline_Amount_USD]]</f>
        <v>49017.03</v>
      </c>
      <c r="O4128" t="str">
        <f>_xlfn.XLOOKUP(Pipeline_tbl[[#This Row],[Rep_ID]],Dim_Reps!A:A,Dim_Reps!B:B)</f>
        <v>Milo Weber</v>
      </c>
      <c r="P4128" t="str">
        <f>_xlfn.XLOOKUP(Pipeline_tbl[[#This Row],[Rep_ID]],Dim_Reps!A:A,Dim_Reps!C:C)</f>
        <v>Enterprise AE</v>
      </c>
      <c r="Q4128" t="str">
        <f>_xlfn.XLOOKUP(Pipeline_tbl[[#This Row],[Rep_ID]],Dim_Reps!A:A,Dim_Reps!D:D)</f>
        <v>Enterprise</v>
      </c>
      <c r="R4128" t="str">
        <f>_xlfn.XLOOKUP(Pipeline_tbl[[#This Row],[Rep_ID]],Dim_Reps!A:A,Dim_Reps!E:E)</f>
        <v>NAMER</v>
      </c>
      <c r="S4128" t="str">
        <f>_xlfn.XLOOKUP(Pipeline_tbl[[#This Row],[Created_Date]],Dim_Date!A:A,Dim_Date!H:H)</f>
        <v>Jul 2024</v>
      </c>
      <c r="T4128" t="str">
        <f>IF(Pipeline_tbl[[#This Row],[Closed_Date]]=0,"",(_xlfn.XLOOKUP(Pipeline_tbl[[#This Row],[Closed_Date]],Dim_Date!A:A,Dim_Date!H:H)))</f>
        <v>Sep 2024</v>
      </c>
      <c r="U4128">
        <f>IF(Pipeline_tbl[[#This Row],[Closed_Date]]=0,"",Pipeline_tbl[[#This Row],[Closed_Date]]-Pipeline_tbl[[#This Row],[Created_Date]])</f>
        <v>51</v>
      </c>
    </row>
    <row r="4129" spans="1:21" ht="15" customHeight="1" x14ac:dyDescent="0.2">
      <c r="A4129" t="s">
        <v>4435</v>
      </c>
      <c r="B4129" t="s">
        <v>278</v>
      </c>
      <c r="C4129" t="s">
        <v>53</v>
      </c>
      <c r="D4129" s="49">
        <v>45477</v>
      </c>
      <c r="E4129" s="49">
        <v>45485</v>
      </c>
      <c r="F4129" s="49">
        <v>45500</v>
      </c>
      <c r="G4129" s="49">
        <v>45522</v>
      </c>
      <c r="I4129" s="49">
        <v>45552</v>
      </c>
      <c r="J4129" t="s">
        <v>49</v>
      </c>
      <c r="K4129" s="33">
        <v>33800</v>
      </c>
      <c r="L4129" t="s">
        <v>60</v>
      </c>
      <c r="M4129" t="str">
        <f>_xlfn.XLOOKUP(Pipeline_tbl[[#This Row],[Rep_ID]],Dim_Reps!A:A,Dim_Reps!K:K)</f>
        <v>EUR</v>
      </c>
      <c r="N4129" s="33">
        <f>(_xlfn.XLOOKUP(Pipeline_tbl[[#This Row],[Rate_Code_Generalized]],Lookups!A:A,Lookups!B:B))*Pipeline_tbl[[#This Row],[Pipeline_Amount_USD]]</f>
        <v>33800</v>
      </c>
      <c r="O4129" t="str">
        <f>_xlfn.XLOOKUP(Pipeline_tbl[[#This Row],[Rep_ID]],Dim_Reps!A:A,Dim_Reps!B:B)</f>
        <v>Sara Andersson</v>
      </c>
      <c r="P4129" t="str">
        <f>_xlfn.XLOOKUP(Pipeline_tbl[[#This Row],[Rep_ID]],Dim_Reps!A:A,Dim_Reps!C:C)</f>
        <v>Senior Enterprise AE</v>
      </c>
      <c r="Q4129" t="str">
        <f>_xlfn.XLOOKUP(Pipeline_tbl[[#This Row],[Rep_ID]],Dim_Reps!A:A,Dim_Reps!D:D)</f>
        <v>Strategic</v>
      </c>
      <c r="R4129" t="str">
        <f>_xlfn.XLOOKUP(Pipeline_tbl[[#This Row],[Rep_ID]],Dim_Reps!A:A,Dim_Reps!E:E)</f>
        <v>APAC</v>
      </c>
      <c r="S4129" t="str">
        <f>_xlfn.XLOOKUP(Pipeline_tbl[[#This Row],[Created_Date]],Dim_Date!A:A,Dim_Date!H:H)</f>
        <v>Jul 2024</v>
      </c>
      <c r="T4129" t="str">
        <f>IF(Pipeline_tbl[[#This Row],[Closed_Date]]=0,"",(_xlfn.XLOOKUP(Pipeline_tbl[[#This Row],[Closed_Date]],Dim_Date!A:A,Dim_Date!H:H)))</f>
        <v>Sep 2024</v>
      </c>
      <c r="U4129">
        <f>IF(Pipeline_tbl[[#This Row],[Closed_Date]]=0,"",Pipeline_tbl[[#This Row],[Closed_Date]]-Pipeline_tbl[[#This Row],[Created_Date]])</f>
        <v>75</v>
      </c>
    </row>
    <row r="4130" spans="1:21" ht="15" customHeight="1" x14ac:dyDescent="0.2">
      <c r="A4130" t="s">
        <v>4436</v>
      </c>
      <c r="B4130" t="s">
        <v>278</v>
      </c>
      <c r="C4130" t="s">
        <v>52</v>
      </c>
      <c r="D4130" s="49">
        <v>45488</v>
      </c>
      <c r="E4130" s="49">
        <v>45496</v>
      </c>
      <c r="F4130" s="49">
        <v>45511</v>
      </c>
      <c r="G4130" s="49">
        <v>45534</v>
      </c>
      <c r="H4130" s="49">
        <v>45553</v>
      </c>
      <c r="I4130" s="49">
        <v>45564</v>
      </c>
      <c r="J4130" t="s">
        <v>47</v>
      </c>
      <c r="K4130" s="33">
        <v>53900</v>
      </c>
      <c r="M4130" t="str">
        <f>_xlfn.XLOOKUP(Pipeline_tbl[[#This Row],[Rep_ID]],Dim_Reps!A:A,Dim_Reps!K:K)</f>
        <v>EUR</v>
      </c>
      <c r="N4130" s="33">
        <f>(_xlfn.XLOOKUP(Pipeline_tbl[[#This Row],[Rate_Code_Generalized]],Lookups!A:A,Lookups!B:B))*Pipeline_tbl[[#This Row],[Pipeline_Amount_USD]]</f>
        <v>53900</v>
      </c>
      <c r="O4130" t="str">
        <f>_xlfn.XLOOKUP(Pipeline_tbl[[#This Row],[Rep_ID]],Dim_Reps!A:A,Dim_Reps!B:B)</f>
        <v>Sara Andersson</v>
      </c>
      <c r="P4130" t="str">
        <f>_xlfn.XLOOKUP(Pipeline_tbl[[#This Row],[Rep_ID]],Dim_Reps!A:A,Dim_Reps!C:C)</f>
        <v>Senior Enterprise AE</v>
      </c>
      <c r="Q4130" t="str">
        <f>_xlfn.XLOOKUP(Pipeline_tbl[[#This Row],[Rep_ID]],Dim_Reps!A:A,Dim_Reps!D:D)</f>
        <v>Strategic</v>
      </c>
      <c r="R4130" t="str">
        <f>_xlfn.XLOOKUP(Pipeline_tbl[[#This Row],[Rep_ID]],Dim_Reps!A:A,Dim_Reps!E:E)</f>
        <v>APAC</v>
      </c>
      <c r="S4130" t="str">
        <f>_xlfn.XLOOKUP(Pipeline_tbl[[#This Row],[Created_Date]],Dim_Date!A:A,Dim_Date!H:H)</f>
        <v>Jul 2024</v>
      </c>
      <c r="T4130" t="str">
        <f>IF(Pipeline_tbl[[#This Row],[Closed_Date]]=0,"",(_xlfn.XLOOKUP(Pipeline_tbl[[#This Row],[Closed_Date]],Dim_Date!A:A,Dim_Date!H:H)))</f>
        <v>Sep 2024</v>
      </c>
      <c r="U4130">
        <f>IF(Pipeline_tbl[[#This Row],[Closed_Date]]=0,"",Pipeline_tbl[[#This Row],[Closed_Date]]-Pipeline_tbl[[#This Row],[Created_Date]])</f>
        <v>76</v>
      </c>
    </row>
    <row r="4131" spans="1:21" ht="15" customHeight="1" x14ac:dyDescent="0.2">
      <c r="A4131" t="s">
        <v>4437</v>
      </c>
      <c r="B4131" t="s">
        <v>185</v>
      </c>
      <c r="C4131" t="s">
        <v>56</v>
      </c>
      <c r="D4131" s="49">
        <v>45477</v>
      </c>
      <c r="E4131" s="49">
        <v>45485</v>
      </c>
      <c r="F4131" s="49">
        <v>45502</v>
      </c>
      <c r="I4131" s="49">
        <v>45560</v>
      </c>
      <c r="J4131" t="s">
        <v>49</v>
      </c>
      <c r="K4131" s="33">
        <v>40200</v>
      </c>
      <c r="L4131" t="s">
        <v>64</v>
      </c>
      <c r="M4131" t="str">
        <f>_xlfn.XLOOKUP(Pipeline_tbl[[#This Row],[Rep_ID]],Dim_Reps!A:A,Dim_Reps!K:K)</f>
        <v>MXN</v>
      </c>
      <c r="N4131" s="33">
        <f>(_xlfn.XLOOKUP(Pipeline_tbl[[#This Row],[Rate_Code_Generalized]],Lookups!A:A,Lookups!B:B))*Pipeline_tbl[[#This Row],[Pipeline_Amount_USD]]</f>
        <v>793254.54</v>
      </c>
      <c r="O4131" t="str">
        <f>_xlfn.XLOOKUP(Pipeline_tbl[[#This Row],[Rep_ID]],Dim_Reps!A:A,Dim_Reps!B:B)</f>
        <v>Noah Kim</v>
      </c>
      <c r="P4131" t="str">
        <f>_xlfn.XLOOKUP(Pipeline_tbl[[#This Row],[Rep_ID]],Dim_Reps!A:A,Dim_Reps!C:C)</f>
        <v>Enterprise AE</v>
      </c>
      <c r="Q4131" t="str">
        <f>_xlfn.XLOOKUP(Pipeline_tbl[[#This Row],[Rep_ID]],Dim_Reps!A:A,Dim_Reps!D:D)</f>
        <v>Enterprise</v>
      </c>
      <c r="R4131" t="str">
        <f>_xlfn.XLOOKUP(Pipeline_tbl[[#This Row],[Rep_ID]],Dim_Reps!A:A,Dim_Reps!E:E)</f>
        <v>LATAM</v>
      </c>
      <c r="S4131" t="str">
        <f>_xlfn.XLOOKUP(Pipeline_tbl[[#This Row],[Created_Date]],Dim_Date!A:A,Dim_Date!H:H)</f>
        <v>Jul 2024</v>
      </c>
      <c r="T4131" t="str">
        <f>IF(Pipeline_tbl[[#This Row],[Closed_Date]]=0,"",(_xlfn.XLOOKUP(Pipeline_tbl[[#This Row],[Closed_Date]],Dim_Date!A:A,Dim_Date!H:H)))</f>
        <v>Sep 2024</v>
      </c>
      <c r="U4131">
        <f>IF(Pipeline_tbl[[#This Row],[Closed_Date]]=0,"",Pipeline_tbl[[#This Row],[Closed_Date]]-Pipeline_tbl[[#This Row],[Created_Date]])</f>
        <v>83</v>
      </c>
    </row>
    <row r="4132" spans="1:21" ht="15" customHeight="1" x14ac:dyDescent="0.2">
      <c r="A4132" t="s">
        <v>4438</v>
      </c>
      <c r="B4132" t="s">
        <v>185</v>
      </c>
      <c r="C4132" t="s">
        <v>52</v>
      </c>
      <c r="D4132" s="49">
        <v>45477</v>
      </c>
      <c r="E4132" s="49">
        <v>45483</v>
      </c>
      <c r="F4132" s="49">
        <v>45495</v>
      </c>
      <c r="G4132" s="49">
        <v>45513</v>
      </c>
      <c r="I4132" s="49">
        <v>45537</v>
      </c>
      <c r="J4132" t="s">
        <v>49</v>
      </c>
      <c r="K4132" s="33">
        <v>23700</v>
      </c>
      <c r="L4132" t="s">
        <v>62</v>
      </c>
      <c r="M4132" t="str">
        <f>_xlfn.XLOOKUP(Pipeline_tbl[[#This Row],[Rep_ID]],Dim_Reps!A:A,Dim_Reps!K:K)</f>
        <v>MXN</v>
      </c>
      <c r="N4132" s="33">
        <f>(_xlfn.XLOOKUP(Pipeline_tbl[[#This Row],[Rate_Code_Generalized]],Lookups!A:A,Lookups!B:B))*Pipeline_tbl[[#This Row],[Pipeline_Amount_USD]]</f>
        <v>467664.99000000005</v>
      </c>
      <c r="O4132" t="str">
        <f>_xlfn.XLOOKUP(Pipeline_tbl[[#This Row],[Rep_ID]],Dim_Reps!A:A,Dim_Reps!B:B)</f>
        <v>Noah Kim</v>
      </c>
      <c r="P4132" t="str">
        <f>_xlfn.XLOOKUP(Pipeline_tbl[[#This Row],[Rep_ID]],Dim_Reps!A:A,Dim_Reps!C:C)</f>
        <v>Enterprise AE</v>
      </c>
      <c r="Q4132" t="str">
        <f>_xlfn.XLOOKUP(Pipeline_tbl[[#This Row],[Rep_ID]],Dim_Reps!A:A,Dim_Reps!D:D)</f>
        <v>Enterprise</v>
      </c>
      <c r="R4132" t="str">
        <f>_xlfn.XLOOKUP(Pipeline_tbl[[#This Row],[Rep_ID]],Dim_Reps!A:A,Dim_Reps!E:E)</f>
        <v>LATAM</v>
      </c>
      <c r="S4132" t="str">
        <f>_xlfn.XLOOKUP(Pipeline_tbl[[#This Row],[Created_Date]],Dim_Date!A:A,Dim_Date!H:H)</f>
        <v>Jul 2024</v>
      </c>
      <c r="T4132" t="str">
        <f>IF(Pipeline_tbl[[#This Row],[Closed_Date]]=0,"",(_xlfn.XLOOKUP(Pipeline_tbl[[#This Row],[Closed_Date]],Dim_Date!A:A,Dim_Date!H:H)))</f>
        <v>Sep 2024</v>
      </c>
      <c r="U4132">
        <f>IF(Pipeline_tbl[[#This Row],[Closed_Date]]=0,"",Pipeline_tbl[[#This Row],[Closed_Date]]-Pipeline_tbl[[#This Row],[Created_Date]])</f>
        <v>60</v>
      </c>
    </row>
    <row r="4133" spans="1:21" ht="15" customHeight="1" x14ac:dyDescent="0.2">
      <c r="A4133" t="s">
        <v>4439</v>
      </c>
      <c r="B4133" t="s">
        <v>188</v>
      </c>
      <c r="C4133" t="s">
        <v>52</v>
      </c>
      <c r="D4133" s="49">
        <v>45501</v>
      </c>
      <c r="E4133" s="49">
        <v>45506</v>
      </c>
      <c r="F4133" s="49">
        <v>45517</v>
      </c>
      <c r="G4133" s="49">
        <v>45533</v>
      </c>
      <c r="H4133" s="49">
        <v>45547</v>
      </c>
      <c r="I4133" s="49">
        <v>45555</v>
      </c>
      <c r="J4133" t="s">
        <v>47</v>
      </c>
      <c r="K4133" s="33">
        <v>39100</v>
      </c>
      <c r="M4133" t="str">
        <f>_xlfn.XLOOKUP(Pipeline_tbl[[#This Row],[Rep_ID]],Dim_Reps!A:A,Dim_Reps!K:K)</f>
        <v>EUR</v>
      </c>
      <c r="N4133" s="33">
        <f>(_xlfn.XLOOKUP(Pipeline_tbl[[#This Row],[Rate_Code_Generalized]],Lookups!A:A,Lookups!B:B))*Pipeline_tbl[[#This Row],[Pipeline_Amount_USD]]</f>
        <v>39100</v>
      </c>
      <c r="O4133" t="str">
        <f>_xlfn.XLOOKUP(Pipeline_tbl[[#This Row],[Rep_ID]],Dim_Reps!A:A,Dim_Reps!B:B)</f>
        <v>Jamie Santos</v>
      </c>
      <c r="P4133" t="str">
        <f>_xlfn.XLOOKUP(Pipeline_tbl[[#This Row],[Rep_ID]],Dim_Reps!A:A,Dim_Reps!C:C)</f>
        <v>Enterprise AE</v>
      </c>
      <c r="Q4133" t="str">
        <f>_xlfn.XLOOKUP(Pipeline_tbl[[#This Row],[Rep_ID]],Dim_Reps!A:A,Dim_Reps!D:D)</f>
        <v>Enterprise</v>
      </c>
      <c r="R4133" t="str">
        <f>_xlfn.XLOOKUP(Pipeline_tbl[[#This Row],[Rep_ID]],Dim_Reps!A:A,Dim_Reps!E:E)</f>
        <v>APAC</v>
      </c>
      <c r="S4133" t="str">
        <f>_xlfn.XLOOKUP(Pipeline_tbl[[#This Row],[Created_Date]],Dim_Date!A:A,Dim_Date!H:H)</f>
        <v>Jul 2024</v>
      </c>
      <c r="T4133" t="str">
        <f>IF(Pipeline_tbl[[#This Row],[Closed_Date]]=0,"",(_xlfn.XLOOKUP(Pipeline_tbl[[#This Row],[Closed_Date]],Dim_Date!A:A,Dim_Date!H:H)))</f>
        <v>Sep 2024</v>
      </c>
      <c r="U4133">
        <f>IF(Pipeline_tbl[[#This Row],[Closed_Date]]=0,"",Pipeline_tbl[[#This Row],[Closed_Date]]-Pipeline_tbl[[#This Row],[Created_Date]])</f>
        <v>54</v>
      </c>
    </row>
    <row r="4134" spans="1:21" ht="15" customHeight="1" x14ac:dyDescent="0.2">
      <c r="A4134" t="s">
        <v>4440</v>
      </c>
      <c r="B4134" t="s">
        <v>280</v>
      </c>
      <c r="C4134" t="s">
        <v>52</v>
      </c>
      <c r="D4134" s="49">
        <v>45477</v>
      </c>
      <c r="E4134" s="49">
        <v>45485</v>
      </c>
      <c r="F4134" s="49">
        <v>45500</v>
      </c>
      <c r="G4134" s="49">
        <v>45523</v>
      </c>
      <c r="H4134" s="49">
        <v>45542</v>
      </c>
      <c r="I4134" s="49">
        <v>45553</v>
      </c>
      <c r="J4134" t="s">
        <v>47</v>
      </c>
      <c r="K4134" s="33">
        <v>40100</v>
      </c>
      <c r="M4134" t="str">
        <f>_xlfn.XLOOKUP(Pipeline_tbl[[#This Row],[Rep_ID]],Dim_Reps!A:A,Dim_Reps!K:K)</f>
        <v>MXN</v>
      </c>
      <c r="N4134" s="33">
        <f>(_xlfn.XLOOKUP(Pipeline_tbl[[#This Row],[Rate_Code_Generalized]],Lookups!A:A,Lookups!B:B))*Pipeline_tbl[[#This Row],[Pipeline_Amount_USD]]</f>
        <v>791281.27</v>
      </c>
      <c r="O4134" t="str">
        <f>_xlfn.XLOOKUP(Pipeline_tbl[[#This Row],[Rep_ID]],Dim_Reps!A:A,Dim_Reps!B:B)</f>
        <v>Cameron Lund</v>
      </c>
      <c r="P4134" t="str">
        <f>_xlfn.XLOOKUP(Pipeline_tbl[[#This Row],[Rep_ID]],Dim_Reps!A:A,Dim_Reps!C:C)</f>
        <v>Senior Enterprise AE</v>
      </c>
      <c r="Q4134" t="str">
        <f>_xlfn.XLOOKUP(Pipeline_tbl[[#This Row],[Rep_ID]],Dim_Reps!A:A,Dim_Reps!D:D)</f>
        <v>Strategic</v>
      </c>
      <c r="R4134" t="str">
        <f>_xlfn.XLOOKUP(Pipeline_tbl[[#This Row],[Rep_ID]],Dim_Reps!A:A,Dim_Reps!E:E)</f>
        <v>LATAM</v>
      </c>
      <c r="S4134" t="str">
        <f>_xlfn.XLOOKUP(Pipeline_tbl[[#This Row],[Created_Date]],Dim_Date!A:A,Dim_Date!H:H)</f>
        <v>Jul 2024</v>
      </c>
      <c r="T4134" t="str">
        <f>IF(Pipeline_tbl[[#This Row],[Closed_Date]]=0,"",(_xlfn.XLOOKUP(Pipeline_tbl[[#This Row],[Closed_Date]],Dim_Date!A:A,Dim_Date!H:H)))</f>
        <v>Sep 2024</v>
      </c>
      <c r="U4134">
        <f>IF(Pipeline_tbl[[#This Row],[Closed_Date]]=0,"",Pipeline_tbl[[#This Row],[Closed_Date]]-Pipeline_tbl[[#This Row],[Created_Date]])</f>
        <v>76</v>
      </c>
    </row>
    <row r="4135" spans="1:21" ht="15" customHeight="1" x14ac:dyDescent="0.2">
      <c r="A4135" t="s">
        <v>4441</v>
      </c>
      <c r="B4135" t="s">
        <v>280</v>
      </c>
      <c r="C4135" t="s">
        <v>53</v>
      </c>
      <c r="D4135" s="49">
        <v>45500</v>
      </c>
      <c r="E4135" s="49">
        <v>45506</v>
      </c>
      <c r="F4135" s="49">
        <v>45517</v>
      </c>
      <c r="I4135" s="49">
        <v>45557</v>
      </c>
      <c r="J4135" t="s">
        <v>49</v>
      </c>
      <c r="K4135" s="33">
        <v>49900</v>
      </c>
      <c r="L4135" t="s">
        <v>60</v>
      </c>
      <c r="M4135" t="str">
        <f>_xlfn.XLOOKUP(Pipeline_tbl[[#This Row],[Rep_ID]],Dim_Reps!A:A,Dim_Reps!K:K)</f>
        <v>MXN</v>
      </c>
      <c r="N4135" s="33">
        <f>(_xlfn.XLOOKUP(Pipeline_tbl[[#This Row],[Rate_Code_Generalized]],Lookups!A:A,Lookups!B:B))*Pipeline_tbl[[#This Row],[Pipeline_Amount_USD]]</f>
        <v>984661.7300000001</v>
      </c>
      <c r="O4135" t="str">
        <f>_xlfn.XLOOKUP(Pipeline_tbl[[#This Row],[Rep_ID]],Dim_Reps!A:A,Dim_Reps!B:B)</f>
        <v>Cameron Lund</v>
      </c>
      <c r="P4135" t="str">
        <f>_xlfn.XLOOKUP(Pipeline_tbl[[#This Row],[Rep_ID]],Dim_Reps!A:A,Dim_Reps!C:C)</f>
        <v>Senior Enterprise AE</v>
      </c>
      <c r="Q4135" t="str">
        <f>_xlfn.XLOOKUP(Pipeline_tbl[[#This Row],[Rep_ID]],Dim_Reps!A:A,Dim_Reps!D:D)</f>
        <v>Strategic</v>
      </c>
      <c r="R4135" t="str">
        <f>_xlfn.XLOOKUP(Pipeline_tbl[[#This Row],[Rep_ID]],Dim_Reps!A:A,Dim_Reps!E:E)</f>
        <v>LATAM</v>
      </c>
      <c r="S4135" t="str">
        <f>_xlfn.XLOOKUP(Pipeline_tbl[[#This Row],[Created_Date]],Dim_Date!A:A,Dim_Date!H:H)</f>
        <v>Jul 2024</v>
      </c>
      <c r="T4135" t="str">
        <f>IF(Pipeline_tbl[[#This Row],[Closed_Date]]=0,"",(_xlfn.XLOOKUP(Pipeline_tbl[[#This Row],[Closed_Date]],Dim_Date!A:A,Dim_Date!H:H)))</f>
        <v>Sep 2024</v>
      </c>
      <c r="U4135">
        <f>IF(Pipeline_tbl[[#This Row],[Closed_Date]]=0,"",Pipeline_tbl[[#This Row],[Closed_Date]]-Pipeline_tbl[[#This Row],[Created_Date]])</f>
        <v>57</v>
      </c>
    </row>
    <row r="4136" spans="1:21" ht="15" customHeight="1" x14ac:dyDescent="0.2">
      <c r="A4136" t="s">
        <v>4442</v>
      </c>
      <c r="B4136" t="s">
        <v>191</v>
      </c>
      <c r="C4136" t="s">
        <v>54</v>
      </c>
      <c r="D4136" s="49">
        <v>45488</v>
      </c>
      <c r="E4136" s="49">
        <v>45496</v>
      </c>
      <c r="F4136" s="49">
        <v>45511</v>
      </c>
      <c r="G4136" s="49">
        <v>45534</v>
      </c>
      <c r="H4136" s="49">
        <v>45553</v>
      </c>
      <c r="I4136" s="49">
        <v>45564</v>
      </c>
      <c r="J4136" t="s">
        <v>49</v>
      </c>
      <c r="K4136" s="33">
        <v>18800</v>
      </c>
      <c r="L4136" t="s">
        <v>60</v>
      </c>
      <c r="M4136" t="str">
        <f>_xlfn.XLOOKUP(Pipeline_tbl[[#This Row],[Rep_ID]],Dim_Reps!A:A,Dim_Reps!K:K)</f>
        <v>USD</v>
      </c>
      <c r="N4136" s="33">
        <f>(_xlfn.XLOOKUP(Pipeline_tbl[[#This Row],[Rate_Code_Generalized]],Lookups!A:A,Lookups!B:B))*Pipeline_tbl[[#This Row],[Pipeline_Amount_USD]]</f>
        <v>21888.839999999997</v>
      </c>
      <c r="O4136" t="str">
        <f>_xlfn.XLOOKUP(Pipeline_tbl[[#This Row],[Rep_ID]],Dim_Reps!A:A,Dim_Reps!B:B)</f>
        <v>Zara Duarte</v>
      </c>
      <c r="P4136" t="str">
        <f>_xlfn.XLOOKUP(Pipeline_tbl[[#This Row],[Rep_ID]],Dim_Reps!A:A,Dim_Reps!C:C)</f>
        <v>Enterprise AE</v>
      </c>
      <c r="Q4136" t="str">
        <f>_xlfn.XLOOKUP(Pipeline_tbl[[#This Row],[Rep_ID]],Dim_Reps!A:A,Dim_Reps!D:D)</f>
        <v>Enterprise</v>
      </c>
      <c r="R4136" t="str">
        <f>_xlfn.XLOOKUP(Pipeline_tbl[[#This Row],[Rep_ID]],Dim_Reps!A:A,Dim_Reps!E:E)</f>
        <v>NAMER</v>
      </c>
      <c r="S4136" t="str">
        <f>_xlfn.XLOOKUP(Pipeline_tbl[[#This Row],[Created_Date]],Dim_Date!A:A,Dim_Date!H:H)</f>
        <v>Jul 2024</v>
      </c>
      <c r="T4136" t="str">
        <f>IF(Pipeline_tbl[[#This Row],[Closed_Date]]=0,"",(_xlfn.XLOOKUP(Pipeline_tbl[[#This Row],[Closed_Date]],Dim_Date!A:A,Dim_Date!H:H)))</f>
        <v>Sep 2024</v>
      </c>
      <c r="U4136">
        <f>IF(Pipeline_tbl[[#This Row],[Closed_Date]]=0,"",Pipeline_tbl[[#This Row],[Closed_Date]]-Pipeline_tbl[[#This Row],[Created_Date]])</f>
        <v>76</v>
      </c>
    </row>
    <row r="4137" spans="1:21" ht="15" customHeight="1" x14ac:dyDescent="0.2">
      <c r="A4137" t="s">
        <v>4443</v>
      </c>
      <c r="B4137" t="s">
        <v>191</v>
      </c>
      <c r="C4137" t="s">
        <v>52</v>
      </c>
      <c r="D4137" s="49">
        <v>45494</v>
      </c>
      <c r="E4137" s="49">
        <v>45499</v>
      </c>
      <c r="F4137" s="49">
        <v>45509</v>
      </c>
      <c r="G4137" s="49">
        <v>45524</v>
      </c>
      <c r="H4137" s="49">
        <v>45537</v>
      </c>
      <c r="I4137" s="49">
        <v>45544</v>
      </c>
      <c r="J4137" t="s">
        <v>47</v>
      </c>
      <c r="K4137" s="33">
        <v>28800</v>
      </c>
      <c r="M4137" t="str">
        <f>_xlfn.XLOOKUP(Pipeline_tbl[[#This Row],[Rep_ID]],Dim_Reps!A:A,Dim_Reps!K:K)</f>
        <v>USD</v>
      </c>
      <c r="N4137" s="33">
        <f>(_xlfn.XLOOKUP(Pipeline_tbl[[#This Row],[Rate_Code_Generalized]],Lookups!A:A,Lookups!B:B))*Pipeline_tbl[[#This Row],[Pipeline_Amount_USD]]</f>
        <v>33531.839999999997</v>
      </c>
      <c r="O4137" t="str">
        <f>_xlfn.XLOOKUP(Pipeline_tbl[[#This Row],[Rep_ID]],Dim_Reps!A:A,Dim_Reps!B:B)</f>
        <v>Zara Duarte</v>
      </c>
      <c r="P4137" t="str">
        <f>_xlfn.XLOOKUP(Pipeline_tbl[[#This Row],[Rep_ID]],Dim_Reps!A:A,Dim_Reps!C:C)</f>
        <v>Enterprise AE</v>
      </c>
      <c r="Q4137" t="str">
        <f>_xlfn.XLOOKUP(Pipeline_tbl[[#This Row],[Rep_ID]],Dim_Reps!A:A,Dim_Reps!D:D)</f>
        <v>Enterprise</v>
      </c>
      <c r="R4137" t="str">
        <f>_xlfn.XLOOKUP(Pipeline_tbl[[#This Row],[Rep_ID]],Dim_Reps!A:A,Dim_Reps!E:E)</f>
        <v>NAMER</v>
      </c>
      <c r="S4137" t="str">
        <f>_xlfn.XLOOKUP(Pipeline_tbl[[#This Row],[Created_Date]],Dim_Date!A:A,Dim_Date!H:H)</f>
        <v>Jul 2024</v>
      </c>
      <c r="T4137" t="str">
        <f>IF(Pipeline_tbl[[#This Row],[Closed_Date]]=0,"",(_xlfn.XLOOKUP(Pipeline_tbl[[#This Row],[Closed_Date]],Dim_Date!A:A,Dim_Date!H:H)))</f>
        <v>Sep 2024</v>
      </c>
      <c r="U4137">
        <f>IF(Pipeline_tbl[[#This Row],[Closed_Date]]=0,"",Pipeline_tbl[[#This Row],[Closed_Date]]-Pipeline_tbl[[#This Row],[Created_Date]])</f>
        <v>50</v>
      </c>
    </row>
    <row r="4138" spans="1:21" ht="15" customHeight="1" x14ac:dyDescent="0.2">
      <c r="A4138" t="s">
        <v>4444</v>
      </c>
      <c r="B4138" t="s">
        <v>263</v>
      </c>
      <c r="C4138" t="s">
        <v>53</v>
      </c>
      <c r="D4138" s="49">
        <v>45492</v>
      </c>
      <c r="E4138" s="49">
        <v>45497</v>
      </c>
      <c r="F4138" s="49">
        <v>45508</v>
      </c>
      <c r="I4138" s="49">
        <v>45545</v>
      </c>
      <c r="J4138" t="s">
        <v>49</v>
      </c>
      <c r="K4138" s="33">
        <v>6400</v>
      </c>
      <c r="L4138" t="s">
        <v>60</v>
      </c>
      <c r="M4138" t="str">
        <f>_xlfn.XLOOKUP(Pipeline_tbl[[#This Row],[Rep_ID]],Dim_Reps!A:A,Dim_Reps!K:K)</f>
        <v>USD</v>
      </c>
      <c r="N4138" s="33">
        <f>(_xlfn.XLOOKUP(Pipeline_tbl[[#This Row],[Rate_Code_Generalized]],Lookups!A:A,Lookups!B:B))*Pipeline_tbl[[#This Row],[Pipeline_Amount_USD]]</f>
        <v>7451.5199999999995</v>
      </c>
      <c r="O4138" t="str">
        <f>_xlfn.XLOOKUP(Pipeline_tbl[[#This Row],[Rep_ID]],Dim_Reps!A:A,Dim_Reps!B:B)</f>
        <v>Morgan Weber</v>
      </c>
      <c r="P4138" t="str">
        <f>_xlfn.XLOOKUP(Pipeline_tbl[[#This Row],[Rep_ID]],Dim_Reps!A:A,Dim_Reps!C:C)</f>
        <v>Mid-Market AE</v>
      </c>
      <c r="Q4138" t="str">
        <f>_xlfn.XLOOKUP(Pipeline_tbl[[#This Row],[Rep_ID]],Dim_Reps!A:A,Dim_Reps!D:D)</f>
        <v>Mid-Market</v>
      </c>
      <c r="R4138" t="str">
        <f>_xlfn.XLOOKUP(Pipeline_tbl[[#This Row],[Rep_ID]],Dim_Reps!A:A,Dim_Reps!E:E)</f>
        <v>NAMER</v>
      </c>
      <c r="S4138" t="str">
        <f>_xlfn.XLOOKUP(Pipeline_tbl[[#This Row],[Created_Date]],Dim_Date!A:A,Dim_Date!H:H)</f>
        <v>Jul 2024</v>
      </c>
      <c r="T4138" t="str">
        <f>IF(Pipeline_tbl[[#This Row],[Closed_Date]]=0,"",(_xlfn.XLOOKUP(Pipeline_tbl[[#This Row],[Closed_Date]],Dim_Date!A:A,Dim_Date!H:H)))</f>
        <v>Sep 2024</v>
      </c>
      <c r="U4138">
        <f>IF(Pipeline_tbl[[#This Row],[Closed_Date]]=0,"",Pipeline_tbl[[#This Row],[Closed_Date]]-Pipeline_tbl[[#This Row],[Created_Date]])</f>
        <v>53</v>
      </c>
    </row>
    <row r="4139" spans="1:21" ht="15" customHeight="1" x14ac:dyDescent="0.2">
      <c r="A4139" t="s">
        <v>4445</v>
      </c>
      <c r="B4139" t="s">
        <v>263</v>
      </c>
      <c r="C4139" t="s">
        <v>53</v>
      </c>
      <c r="D4139" s="49">
        <v>45500</v>
      </c>
      <c r="E4139" s="49">
        <v>45505</v>
      </c>
      <c r="I4139" s="49">
        <v>45551</v>
      </c>
      <c r="J4139" t="s">
        <v>49</v>
      </c>
      <c r="K4139" s="33">
        <v>10800</v>
      </c>
      <c r="L4139" t="s">
        <v>64</v>
      </c>
      <c r="M4139" t="str">
        <f>_xlfn.XLOOKUP(Pipeline_tbl[[#This Row],[Rep_ID]],Dim_Reps!A:A,Dim_Reps!K:K)</f>
        <v>USD</v>
      </c>
      <c r="N4139" s="33">
        <f>(_xlfn.XLOOKUP(Pipeline_tbl[[#This Row],[Rate_Code_Generalized]],Lookups!A:A,Lookups!B:B))*Pipeline_tbl[[#This Row],[Pipeline_Amount_USD]]</f>
        <v>12574.439999999999</v>
      </c>
      <c r="O4139" t="str">
        <f>_xlfn.XLOOKUP(Pipeline_tbl[[#This Row],[Rep_ID]],Dim_Reps!A:A,Dim_Reps!B:B)</f>
        <v>Morgan Weber</v>
      </c>
      <c r="P4139" t="str">
        <f>_xlfn.XLOOKUP(Pipeline_tbl[[#This Row],[Rep_ID]],Dim_Reps!A:A,Dim_Reps!C:C)</f>
        <v>Mid-Market AE</v>
      </c>
      <c r="Q4139" t="str">
        <f>_xlfn.XLOOKUP(Pipeline_tbl[[#This Row],[Rep_ID]],Dim_Reps!A:A,Dim_Reps!D:D)</f>
        <v>Mid-Market</v>
      </c>
      <c r="R4139" t="str">
        <f>_xlfn.XLOOKUP(Pipeline_tbl[[#This Row],[Rep_ID]],Dim_Reps!A:A,Dim_Reps!E:E)</f>
        <v>NAMER</v>
      </c>
      <c r="S4139" t="str">
        <f>_xlfn.XLOOKUP(Pipeline_tbl[[#This Row],[Created_Date]],Dim_Date!A:A,Dim_Date!H:H)</f>
        <v>Jul 2024</v>
      </c>
      <c r="T4139" t="str">
        <f>IF(Pipeline_tbl[[#This Row],[Closed_Date]]=0,"",(_xlfn.XLOOKUP(Pipeline_tbl[[#This Row],[Closed_Date]],Dim_Date!A:A,Dim_Date!H:H)))</f>
        <v>Sep 2024</v>
      </c>
      <c r="U4139">
        <f>IF(Pipeline_tbl[[#This Row],[Closed_Date]]=0,"",Pipeline_tbl[[#This Row],[Closed_Date]]-Pipeline_tbl[[#This Row],[Created_Date]])</f>
        <v>51</v>
      </c>
    </row>
    <row r="4140" spans="1:21" ht="15" customHeight="1" x14ac:dyDescent="0.2">
      <c r="A4140" t="s">
        <v>4446</v>
      </c>
      <c r="B4140" t="s">
        <v>263</v>
      </c>
      <c r="C4140" t="s">
        <v>54</v>
      </c>
      <c r="D4140" s="49">
        <v>45497</v>
      </c>
      <c r="E4140" s="49">
        <v>45502</v>
      </c>
      <c r="F4140" s="49">
        <v>45511</v>
      </c>
      <c r="I4140" s="49">
        <v>45543</v>
      </c>
      <c r="J4140" t="s">
        <v>49</v>
      </c>
      <c r="K4140" s="33">
        <v>19800</v>
      </c>
      <c r="L4140" t="s">
        <v>62</v>
      </c>
      <c r="M4140" t="str">
        <f>_xlfn.XLOOKUP(Pipeline_tbl[[#This Row],[Rep_ID]],Dim_Reps!A:A,Dim_Reps!K:K)</f>
        <v>USD</v>
      </c>
      <c r="N4140" s="33">
        <f>(_xlfn.XLOOKUP(Pipeline_tbl[[#This Row],[Rate_Code_Generalized]],Lookups!A:A,Lookups!B:B))*Pipeline_tbl[[#This Row],[Pipeline_Amount_USD]]</f>
        <v>23053.14</v>
      </c>
      <c r="O4140" t="str">
        <f>_xlfn.XLOOKUP(Pipeline_tbl[[#This Row],[Rep_ID]],Dim_Reps!A:A,Dim_Reps!B:B)</f>
        <v>Morgan Weber</v>
      </c>
      <c r="P4140" t="str">
        <f>_xlfn.XLOOKUP(Pipeline_tbl[[#This Row],[Rep_ID]],Dim_Reps!A:A,Dim_Reps!C:C)</f>
        <v>Mid-Market AE</v>
      </c>
      <c r="Q4140" t="str">
        <f>_xlfn.XLOOKUP(Pipeline_tbl[[#This Row],[Rep_ID]],Dim_Reps!A:A,Dim_Reps!D:D)</f>
        <v>Mid-Market</v>
      </c>
      <c r="R4140" t="str">
        <f>_xlfn.XLOOKUP(Pipeline_tbl[[#This Row],[Rep_ID]],Dim_Reps!A:A,Dim_Reps!E:E)</f>
        <v>NAMER</v>
      </c>
      <c r="S4140" t="str">
        <f>_xlfn.XLOOKUP(Pipeline_tbl[[#This Row],[Created_Date]],Dim_Date!A:A,Dim_Date!H:H)</f>
        <v>Jul 2024</v>
      </c>
      <c r="T4140" t="str">
        <f>IF(Pipeline_tbl[[#This Row],[Closed_Date]]=0,"",(_xlfn.XLOOKUP(Pipeline_tbl[[#This Row],[Closed_Date]],Dim_Date!A:A,Dim_Date!H:H)))</f>
        <v>Sep 2024</v>
      </c>
      <c r="U4140">
        <f>IF(Pipeline_tbl[[#This Row],[Closed_Date]]=0,"",Pipeline_tbl[[#This Row],[Closed_Date]]-Pipeline_tbl[[#This Row],[Created_Date]])</f>
        <v>46</v>
      </c>
    </row>
    <row r="4141" spans="1:21" ht="15" customHeight="1" x14ac:dyDescent="0.2">
      <c r="A4141" t="s">
        <v>4447</v>
      </c>
      <c r="B4141" t="s">
        <v>284</v>
      </c>
      <c r="C4141" t="s">
        <v>54</v>
      </c>
      <c r="D4141" s="49">
        <v>45478</v>
      </c>
      <c r="E4141" s="49">
        <v>45486</v>
      </c>
      <c r="F4141" s="49">
        <v>45502</v>
      </c>
      <c r="I4141" s="49">
        <v>45557</v>
      </c>
      <c r="J4141" t="s">
        <v>49</v>
      </c>
      <c r="K4141" s="33">
        <v>19100</v>
      </c>
      <c r="L4141" t="s">
        <v>60</v>
      </c>
      <c r="M4141" t="str">
        <f>_xlfn.XLOOKUP(Pipeline_tbl[[#This Row],[Rep_ID]],Dim_Reps!A:A,Dim_Reps!K:K)</f>
        <v>USD</v>
      </c>
      <c r="N4141" s="33">
        <f>(_xlfn.XLOOKUP(Pipeline_tbl[[#This Row],[Rate_Code_Generalized]],Lookups!A:A,Lookups!B:B))*Pipeline_tbl[[#This Row],[Pipeline_Amount_USD]]</f>
        <v>22238.129999999997</v>
      </c>
      <c r="O4141" t="str">
        <f>_xlfn.XLOOKUP(Pipeline_tbl[[#This Row],[Rep_ID]],Dim_Reps!A:A,Dim_Reps!B:B)</f>
        <v>Taylor Adler</v>
      </c>
      <c r="P4141" t="str">
        <f>_xlfn.XLOOKUP(Pipeline_tbl[[#This Row],[Rep_ID]],Dim_Reps!A:A,Dim_Reps!C:C)</f>
        <v>Senior Enterprise AE</v>
      </c>
      <c r="Q4141" t="str">
        <f>_xlfn.XLOOKUP(Pipeline_tbl[[#This Row],[Rep_ID]],Dim_Reps!A:A,Dim_Reps!D:D)</f>
        <v>Strategic</v>
      </c>
      <c r="R4141" t="str">
        <f>_xlfn.XLOOKUP(Pipeline_tbl[[#This Row],[Rep_ID]],Dim_Reps!A:A,Dim_Reps!E:E)</f>
        <v>NAMER</v>
      </c>
      <c r="S4141" t="str">
        <f>_xlfn.XLOOKUP(Pipeline_tbl[[#This Row],[Created_Date]],Dim_Date!A:A,Dim_Date!H:H)</f>
        <v>Jul 2024</v>
      </c>
      <c r="T4141" t="str">
        <f>IF(Pipeline_tbl[[#This Row],[Closed_Date]]=0,"",(_xlfn.XLOOKUP(Pipeline_tbl[[#This Row],[Closed_Date]],Dim_Date!A:A,Dim_Date!H:H)))</f>
        <v>Sep 2024</v>
      </c>
      <c r="U4141">
        <f>IF(Pipeline_tbl[[#This Row],[Closed_Date]]=0,"",Pipeline_tbl[[#This Row],[Closed_Date]]-Pipeline_tbl[[#This Row],[Created_Date]])</f>
        <v>79</v>
      </c>
    </row>
    <row r="4142" spans="1:21" ht="15" customHeight="1" x14ac:dyDescent="0.2">
      <c r="A4142" t="s">
        <v>4448</v>
      </c>
      <c r="B4142" t="s">
        <v>284</v>
      </c>
      <c r="C4142" t="s">
        <v>52</v>
      </c>
      <c r="D4142" s="49">
        <v>45477</v>
      </c>
      <c r="E4142" s="49">
        <v>45484</v>
      </c>
      <c r="F4142" s="49">
        <v>45497</v>
      </c>
      <c r="G4142" s="49">
        <v>45517</v>
      </c>
      <c r="I4142" s="49">
        <v>45544</v>
      </c>
      <c r="J4142" t="s">
        <v>49</v>
      </c>
      <c r="K4142" s="33">
        <v>128400</v>
      </c>
      <c r="L4142" t="s">
        <v>63</v>
      </c>
      <c r="M4142" t="str">
        <f>_xlfn.XLOOKUP(Pipeline_tbl[[#This Row],[Rep_ID]],Dim_Reps!A:A,Dim_Reps!K:K)</f>
        <v>USD</v>
      </c>
      <c r="N4142" s="33">
        <f>(_xlfn.XLOOKUP(Pipeline_tbl[[#This Row],[Rate_Code_Generalized]],Lookups!A:A,Lookups!B:B))*Pipeline_tbl[[#This Row],[Pipeline_Amount_USD]]</f>
        <v>149496.12</v>
      </c>
      <c r="O4142" t="str">
        <f>_xlfn.XLOOKUP(Pipeline_tbl[[#This Row],[Rep_ID]],Dim_Reps!A:A,Dim_Reps!B:B)</f>
        <v>Taylor Adler</v>
      </c>
      <c r="P4142" t="str">
        <f>_xlfn.XLOOKUP(Pipeline_tbl[[#This Row],[Rep_ID]],Dim_Reps!A:A,Dim_Reps!C:C)</f>
        <v>Senior Enterprise AE</v>
      </c>
      <c r="Q4142" t="str">
        <f>_xlfn.XLOOKUP(Pipeline_tbl[[#This Row],[Rep_ID]],Dim_Reps!A:A,Dim_Reps!D:D)</f>
        <v>Strategic</v>
      </c>
      <c r="R4142" t="str">
        <f>_xlfn.XLOOKUP(Pipeline_tbl[[#This Row],[Rep_ID]],Dim_Reps!A:A,Dim_Reps!E:E)</f>
        <v>NAMER</v>
      </c>
      <c r="S4142" t="str">
        <f>_xlfn.XLOOKUP(Pipeline_tbl[[#This Row],[Created_Date]],Dim_Date!A:A,Dim_Date!H:H)</f>
        <v>Jul 2024</v>
      </c>
      <c r="T4142" t="str">
        <f>IF(Pipeline_tbl[[#This Row],[Closed_Date]]=0,"",(_xlfn.XLOOKUP(Pipeline_tbl[[#This Row],[Closed_Date]],Dim_Date!A:A,Dim_Date!H:H)))</f>
        <v>Sep 2024</v>
      </c>
      <c r="U4142">
        <f>IF(Pipeline_tbl[[#This Row],[Closed_Date]]=0,"",Pipeline_tbl[[#This Row],[Closed_Date]]-Pipeline_tbl[[#This Row],[Created_Date]])</f>
        <v>67</v>
      </c>
    </row>
    <row r="4143" spans="1:21" ht="15" customHeight="1" x14ac:dyDescent="0.2">
      <c r="A4143" t="s">
        <v>4449</v>
      </c>
      <c r="B4143" t="s">
        <v>271</v>
      </c>
      <c r="C4143" t="s">
        <v>52</v>
      </c>
      <c r="D4143" s="49">
        <v>45496</v>
      </c>
      <c r="E4143" s="49">
        <v>45501</v>
      </c>
      <c r="F4143" s="49">
        <v>45510</v>
      </c>
      <c r="G4143" s="49">
        <v>45525</v>
      </c>
      <c r="H4143" s="49">
        <v>45537</v>
      </c>
      <c r="I4143" s="49">
        <v>45544</v>
      </c>
      <c r="J4143" t="s">
        <v>47</v>
      </c>
      <c r="K4143" s="33">
        <v>18700</v>
      </c>
      <c r="M4143" t="str">
        <f>_xlfn.XLOOKUP(Pipeline_tbl[[#This Row],[Rep_ID]],Dim_Reps!A:A,Dim_Reps!K:K)</f>
        <v>EUR</v>
      </c>
      <c r="N4143" s="33">
        <f>(_xlfn.XLOOKUP(Pipeline_tbl[[#This Row],[Rate_Code_Generalized]],Lookups!A:A,Lookups!B:B))*Pipeline_tbl[[#This Row],[Pipeline_Amount_USD]]</f>
        <v>18700</v>
      </c>
      <c r="O4143" t="str">
        <f>_xlfn.XLOOKUP(Pipeline_tbl[[#This Row],[Rep_ID]],Dim_Reps!A:A,Dim_Reps!B:B)</f>
        <v>Ivy Adler</v>
      </c>
      <c r="P4143" t="str">
        <f>_xlfn.XLOOKUP(Pipeline_tbl[[#This Row],[Rep_ID]],Dim_Reps!A:A,Dim_Reps!C:C)</f>
        <v>Mid-Market AE</v>
      </c>
      <c r="Q4143" t="str">
        <f>_xlfn.XLOOKUP(Pipeline_tbl[[#This Row],[Rep_ID]],Dim_Reps!A:A,Dim_Reps!D:D)</f>
        <v>Mid-Market</v>
      </c>
      <c r="R4143" t="str">
        <f>_xlfn.XLOOKUP(Pipeline_tbl[[#This Row],[Rep_ID]],Dim_Reps!A:A,Dim_Reps!E:E)</f>
        <v>APAC</v>
      </c>
      <c r="S4143" t="str">
        <f>_xlfn.XLOOKUP(Pipeline_tbl[[#This Row],[Created_Date]],Dim_Date!A:A,Dim_Date!H:H)</f>
        <v>Jul 2024</v>
      </c>
      <c r="T4143" t="str">
        <f>IF(Pipeline_tbl[[#This Row],[Closed_Date]]=0,"",(_xlfn.XLOOKUP(Pipeline_tbl[[#This Row],[Closed_Date]],Dim_Date!A:A,Dim_Date!H:H)))</f>
        <v>Sep 2024</v>
      </c>
      <c r="U4143">
        <f>IF(Pipeline_tbl[[#This Row],[Closed_Date]]=0,"",Pipeline_tbl[[#This Row],[Closed_Date]]-Pipeline_tbl[[#This Row],[Created_Date]])</f>
        <v>48</v>
      </c>
    </row>
    <row r="4144" spans="1:21" ht="15" customHeight="1" x14ac:dyDescent="0.2">
      <c r="A4144" t="s">
        <v>4450</v>
      </c>
      <c r="B4144" t="s">
        <v>273</v>
      </c>
      <c r="C4144" t="s">
        <v>54</v>
      </c>
      <c r="D4144" s="49">
        <v>45496</v>
      </c>
      <c r="E4144" s="49">
        <v>45502</v>
      </c>
      <c r="F4144" s="49">
        <v>45513</v>
      </c>
      <c r="G4144" s="49">
        <v>45530</v>
      </c>
      <c r="H4144" s="49">
        <v>45544</v>
      </c>
      <c r="I4144" s="49">
        <v>45553</v>
      </c>
      <c r="J4144" t="s">
        <v>47</v>
      </c>
      <c r="K4144" s="33">
        <v>24000</v>
      </c>
      <c r="M4144" t="str">
        <f>_xlfn.XLOOKUP(Pipeline_tbl[[#This Row],[Rep_ID]],Dim_Reps!A:A,Dim_Reps!K:K)</f>
        <v>EUR</v>
      </c>
      <c r="N4144" s="33">
        <f>(_xlfn.XLOOKUP(Pipeline_tbl[[#This Row],[Rate_Code_Generalized]],Lookups!A:A,Lookups!B:B))*Pipeline_tbl[[#This Row],[Pipeline_Amount_USD]]</f>
        <v>24000</v>
      </c>
      <c r="O4144" t="str">
        <f>_xlfn.XLOOKUP(Pipeline_tbl[[#This Row],[Rep_ID]],Dim_Reps!A:A,Dim_Reps!B:B)</f>
        <v>Olivia Cohen</v>
      </c>
      <c r="P4144" t="str">
        <f>_xlfn.XLOOKUP(Pipeline_tbl[[#This Row],[Rep_ID]],Dim_Reps!A:A,Dim_Reps!C:C)</f>
        <v>Mid-Market AE</v>
      </c>
      <c r="Q4144" t="str">
        <f>_xlfn.XLOOKUP(Pipeline_tbl[[#This Row],[Rep_ID]],Dim_Reps!A:A,Dim_Reps!D:D)</f>
        <v>Mid-Market</v>
      </c>
      <c r="R4144" t="str">
        <f>_xlfn.XLOOKUP(Pipeline_tbl[[#This Row],[Rep_ID]],Dim_Reps!A:A,Dim_Reps!E:E)</f>
        <v>APAC</v>
      </c>
      <c r="S4144" t="str">
        <f>_xlfn.XLOOKUP(Pipeline_tbl[[#This Row],[Created_Date]],Dim_Date!A:A,Dim_Date!H:H)</f>
        <v>Jul 2024</v>
      </c>
      <c r="T4144" t="str">
        <f>IF(Pipeline_tbl[[#This Row],[Closed_Date]]=0,"",(_xlfn.XLOOKUP(Pipeline_tbl[[#This Row],[Closed_Date]],Dim_Date!A:A,Dim_Date!H:H)))</f>
        <v>Sep 2024</v>
      </c>
      <c r="U4144">
        <f>IF(Pipeline_tbl[[#This Row],[Closed_Date]]=0,"",Pipeline_tbl[[#This Row],[Closed_Date]]-Pipeline_tbl[[#This Row],[Created_Date]])</f>
        <v>57</v>
      </c>
    </row>
    <row r="4145" spans="1:21" ht="15" customHeight="1" x14ac:dyDescent="0.2">
      <c r="A4145" t="s">
        <v>4451</v>
      </c>
      <c r="B4145" t="s">
        <v>181</v>
      </c>
      <c r="C4145" t="s">
        <v>52</v>
      </c>
      <c r="D4145" s="49">
        <v>45671</v>
      </c>
      <c r="E4145" s="49">
        <v>45680</v>
      </c>
      <c r="I4145" s="49">
        <v>45761</v>
      </c>
      <c r="J4145" t="s">
        <v>49</v>
      </c>
      <c r="K4145" s="33">
        <v>54600</v>
      </c>
      <c r="L4145" t="s">
        <v>60</v>
      </c>
      <c r="M4145" t="str">
        <f>_xlfn.XLOOKUP(Pipeline_tbl[[#This Row],[Rep_ID]],Dim_Reps!A:A,Dim_Reps!K:K)</f>
        <v>USD</v>
      </c>
      <c r="N4145" s="33">
        <f>(_xlfn.XLOOKUP(Pipeline_tbl[[#This Row],[Rate_Code_Generalized]],Lookups!A:A,Lookups!B:B))*Pipeline_tbl[[#This Row],[Pipeline_Amount_USD]]</f>
        <v>63570.779999999992</v>
      </c>
      <c r="O4145" t="str">
        <f>_xlfn.XLOOKUP(Pipeline_tbl[[#This Row],[Rep_ID]],Dim_Reps!A:A,Dim_Reps!B:B)</f>
        <v>Milo Weber</v>
      </c>
      <c r="P4145" t="str">
        <f>_xlfn.XLOOKUP(Pipeline_tbl[[#This Row],[Rep_ID]],Dim_Reps!A:A,Dim_Reps!C:C)</f>
        <v>Enterprise AE</v>
      </c>
      <c r="Q4145" t="str">
        <f>_xlfn.XLOOKUP(Pipeline_tbl[[#This Row],[Rep_ID]],Dim_Reps!A:A,Dim_Reps!D:D)</f>
        <v>Enterprise</v>
      </c>
      <c r="R4145" t="str">
        <f>_xlfn.XLOOKUP(Pipeline_tbl[[#This Row],[Rep_ID]],Dim_Reps!A:A,Dim_Reps!E:E)</f>
        <v>NAMER</v>
      </c>
      <c r="S4145" t="str">
        <f>_xlfn.XLOOKUP(Pipeline_tbl[[#This Row],[Created_Date]],Dim_Date!A:A,Dim_Date!H:H)</f>
        <v>Jan 2025</v>
      </c>
      <c r="T4145" t="str">
        <f>IF(Pipeline_tbl[[#This Row],[Closed_Date]]=0,"",(_xlfn.XLOOKUP(Pipeline_tbl[[#This Row],[Closed_Date]],Dim_Date!A:A,Dim_Date!H:H)))</f>
        <v>Apr 2025</v>
      </c>
      <c r="U4145">
        <f>IF(Pipeline_tbl[[#This Row],[Closed_Date]]=0,"",Pipeline_tbl[[#This Row],[Closed_Date]]-Pipeline_tbl[[#This Row],[Created_Date]])</f>
        <v>90</v>
      </c>
    </row>
    <row r="4146" spans="1:21" ht="15" customHeight="1" x14ac:dyDescent="0.2">
      <c r="A4146" t="s">
        <v>4452</v>
      </c>
      <c r="B4146" t="s">
        <v>181</v>
      </c>
      <c r="C4146" t="s">
        <v>56</v>
      </c>
      <c r="D4146" s="49">
        <v>45680</v>
      </c>
      <c r="E4146" s="49">
        <v>45687</v>
      </c>
      <c r="F4146" s="49">
        <v>45701</v>
      </c>
      <c r="G4146" s="49">
        <v>45721</v>
      </c>
      <c r="H4146" s="49">
        <v>45739</v>
      </c>
      <c r="I4146" s="49">
        <v>45749</v>
      </c>
      <c r="J4146" t="s">
        <v>49</v>
      </c>
      <c r="K4146" s="33">
        <v>22800</v>
      </c>
      <c r="L4146" t="s">
        <v>62</v>
      </c>
      <c r="M4146" t="str">
        <f>_xlfn.XLOOKUP(Pipeline_tbl[[#This Row],[Rep_ID]],Dim_Reps!A:A,Dim_Reps!K:K)</f>
        <v>USD</v>
      </c>
      <c r="N4146" s="33">
        <f>(_xlfn.XLOOKUP(Pipeline_tbl[[#This Row],[Rate_Code_Generalized]],Lookups!A:A,Lookups!B:B))*Pipeline_tbl[[#This Row],[Pipeline_Amount_USD]]</f>
        <v>26546.039999999997</v>
      </c>
      <c r="O4146" t="str">
        <f>_xlfn.XLOOKUP(Pipeline_tbl[[#This Row],[Rep_ID]],Dim_Reps!A:A,Dim_Reps!B:B)</f>
        <v>Milo Weber</v>
      </c>
      <c r="P4146" t="str">
        <f>_xlfn.XLOOKUP(Pipeline_tbl[[#This Row],[Rep_ID]],Dim_Reps!A:A,Dim_Reps!C:C)</f>
        <v>Enterprise AE</v>
      </c>
      <c r="Q4146" t="str">
        <f>_xlfn.XLOOKUP(Pipeline_tbl[[#This Row],[Rep_ID]],Dim_Reps!A:A,Dim_Reps!D:D)</f>
        <v>Enterprise</v>
      </c>
      <c r="R4146" t="str">
        <f>_xlfn.XLOOKUP(Pipeline_tbl[[#This Row],[Rep_ID]],Dim_Reps!A:A,Dim_Reps!E:E)</f>
        <v>NAMER</v>
      </c>
      <c r="S4146" t="str">
        <f>_xlfn.XLOOKUP(Pipeline_tbl[[#This Row],[Created_Date]],Dim_Date!A:A,Dim_Date!H:H)</f>
        <v>Jan 2025</v>
      </c>
      <c r="T4146" t="str">
        <f>IF(Pipeline_tbl[[#This Row],[Closed_Date]]=0,"",(_xlfn.XLOOKUP(Pipeline_tbl[[#This Row],[Closed_Date]],Dim_Date!A:A,Dim_Date!H:H)))</f>
        <v>Apr 2025</v>
      </c>
      <c r="U4146">
        <f>IF(Pipeline_tbl[[#This Row],[Closed_Date]]=0,"",Pipeline_tbl[[#This Row],[Closed_Date]]-Pipeline_tbl[[#This Row],[Created_Date]])</f>
        <v>69</v>
      </c>
    </row>
    <row r="4147" spans="1:21" ht="15" customHeight="1" x14ac:dyDescent="0.2">
      <c r="A4147" t="s">
        <v>4453</v>
      </c>
      <c r="B4147" t="s">
        <v>183</v>
      </c>
      <c r="C4147" t="s">
        <v>53</v>
      </c>
      <c r="D4147" s="49">
        <v>45680</v>
      </c>
      <c r="E4147" s="49">
        <v>45688</v>
      </c>
      <c r="F4147" s="49">
        <v>45705</v>
      </c>
      <c r="G4147" s="49">
        <v>45729</v>
      </c>
      <c r="I4147" s="49">
        <v>45762</v>
      </c>
      <c r="J4147" t="s">
        <v>49</v>
      </c>
      <c r="K4147" s="33">
        <v>47900</v>
      </c>
      <c r="L4147" t="s">
        <v>60</v>
      </c>
      <c r="M4147" t="str">
        <f>_xlfn.XLOOKUP(Pipeline_tbl[[#This Row],[Rep_ID]],Dim_Reps!A:A,Dim_Reps!K:K)</f>
        <v>EUR</v>
      </c>
      <c r="N4147" s="33">
        <f>(_xlfn.XLOOKUP(Pipeline_tbl[[#This Row],[Rate_Code_Generalized]],Lookups!A:A,Lookups!B:B))*Pipeline_tbl[[#This Row],[Pipeline_Amount_USD]]</f>
        <v>47900</v>
      </c>
      <c r="O4147" t="str">
        <f>_xlfn.XLOOKUP(Pipeline_tbl[[#This Row],[Rep_ID]],Dim_Reps!A:A,Dim_Reps!B:B)</f>
        <v>Sam Schmidt</v>
      </c>
      <c r="P4147" t="str">
        <f>_xlfn.XLOOKUP(Pipeline_tbl[[#This Row],[Rep_ID]],Dim_Reps!A:A,Dim_Reps!C:C)</f>
        <v>Enterprise AE</v>
      </c>
      <c r="Q4147" t="str">
        <f>_xlfn.XLOOKUP(Pipeline_tbl[[#This Row],[Rep_ID]],Dim_Reps!A:A,Dim_Reps!D:D)</f>
        <v>Enterprise</v>
      </c>
      <c r="R4147" t="str">
        <f>_xlfn.XLOOKUP(Pipeline_tbl[[#This Row],[Rep_ID]],Dim_Reps!A:A,Dim_Reps!E:E)</f>
        <v>EMEA</v>
      </c>
      <c r="S4147" t="str">
        <f>_xlfn.XLOOKUP(Pipeline_tbl[[#This Row],[Created_Date]],Dim_Date!A:A,Dim_Date!H:H)</f>
        <v>Jan 2025</v>
      </c>
      <c r="T4147" t="str">
        <f>IF(Pipeline_tbl[[#This Row],[Closed_Date]]=0,"",(_xlfn.XLOOKUP(Pipeline_tbl[[#This Row],[Closed_Date]],Dim_Date!A:A,Dim_Date!H:H)))</f>
        <v>Apr 2025</v>
      </c>
      <c r="U4147">
        <f>IF(Pipeline_tbl[[#This Row],[Closed_Date]]=0,"",Pipeline_tbl[[#This Row],[Closed_Date]]-Pipeline_tbl[[#This Row],[Created_Date]])</f>
        <v>82</v>
      </c>
    </row>
    <row r="4148" spans="1:21" ht="15" customHeight="1" x14ac:dyDescent="0.2">
      <c r="A4148" t="s">
        <v>4454</v>
      </c>
      <c r="B4148" t="s">
        <v>185</v>
      </c>
      <c r="C4148" t="s">
        <v>52</v>
      </c>
      <c r="D4148" s="49">
        <v>45688</v>
      </c>
      <c r="E4148" s="49">
        <v>45696</v>
      </c>
      <c r="F4148" s="49">
        <v>45711</v>
      </c>
      <c r="G4148" s="49">
        <v>45734</v>
      </c>
      <c r="H4148" s="49">
        <v>45753</v>
      </c>
      <c r="I4148" s="49">
        <v>45764</v>
      </c>
      <c r="J4148" t="s">
        <v>49</v>
      </c>
      <c r="K4148" s="33">
        <v>23500</v>
      </c>
      <c r="L4148" t="s">
        <v>61</v>
      </c>
      <c r="M4148" t="str">
        <f>_xlfn.XLOOKUP(Pipeline_tbl[[#This Row],[Rep_ID]],Dim_Reps!A:A,Dim_Reps!K:K)</f>
        <v>MXN</v>
      </c>
      <c r="N4148" s="33">
        <f>(_xlfn.XLOOKUP(Pipeline_tbl[[#This Row],[Rate_Code_Generalized]],Lookups!A:A,Lookups!B:B))*Pipeline_tbl[[#This Row],[Pipeline_Amount_USD]]</f>
        <v>463718.45</v>
      </c>
      <c r="O4148" t="str">
        <f>_xlfn.XLOOKUP(Pipeline_tbl[[#This Row],[Rep_ID]],Dim_Reps!A:A,Dim_Reps!B:B)</f>
        <v>Noah Kim</v>
      </c>
      <c r="P4148" t="str">
        <f>_xlfn.XLOOKUP(Pipeline_tbl[[#This Row],[Rep_ID]],Dim_Reps!A:A,Dim_Reps!C:C)</f>
        <v>Enterprise AE</v>
      </c>
      <c r="Q4148" t="str">
        <f>_xlfn.XLOOKUP(Pipeline_tbl[[#This Row],[Rep_ID]],Dim_Reps!A:A,Dim_Reps!D:D)</f>
        <v>Enterprise</v>
      </c>
      <c r="R4148" t="str">
        <f>_xlfn.XLOOKUP(Pipeline_tbl[[#This Row],[Rep_ID]],Dim_Reps!A:A,Dim_Reps!E:E)</f>
        <v>LATAM</v>
      </c>
      <c r="S4148" t="str">
        <f>_xlfn.XLOOKUP(Pipeline_tbl[[#This Row],[Created_Date]],Dim_Date!A:A,Dim_Date!H:H)</f>
        <v>Jan 2025</v>
      </c>
      <c r="T4148" t="str">
        <f>IF(Pipeline_tbl[[#This Row],[Closed_Date]]=0,"",(_xlfn.XLOOKUP(Pipeline_tbl[[#This Row],[Closed_Date]],Dim_Date!A:A,Dim_Date!H:H)))</f>
        <v>Apr 2025</v>
      </c>
      <c r="U4148">
        <f>IF(Pipeline_tbl[[#This Row],[Closed_Date]]=0,"",Pipeline_tbl[[#This Row],[Closed_Date]]-Pipeline_tbl[[#This Row],[Created_Date]])</f>
        <v>76</v>
      </c>
    </row>
    <row r="4149" spans="1:21" ht="15" customHeight="1" x14ac:dyDescent="0.2">
      <c r="A4149" t="s">
        <v>4455</v>
      </c>
      <c r="B4149" t="s">
        <v>185</v>
      </c>
      <c r="C4149" t="s">
        <v>53</v>
      </c>
      <c r="D4149" s="49">
        <v>45685</v>
      </c>
      <c r="E4149" s="49">
        <v>45693</v>
      </c>
      <c r="F4149" s="49">
        <v>45708</v>
      </c>
      <c r="G4149" s="49">
        <v>45731</v>
      </c>
      <c r="I4149" s="49">
        <v>45761</v>
      </c>
      <c r="J4149" t="s">
        <v>49</v>
      </c>
      <c r="K4149" s="33">
        <v>32600</v>
      </c>
      <c r="L4149" t="s">
        <v>61</v>
      </c>
      <c r="M4149" t="str">
        <f>_xlfn.XLOOKUP(Pipeline_tbl[[#This Row],[Rep_ID]],Dim_Reps!A:A,Dim_Reps!K:K)</f>
        <v>MXN</v>
      </c>
      <c r="N4149" s="33">
        <f>(_xlfn.XLOOKUP(Pipeline_tbl[[#This Row],[Rate_Code_Generalized]],Lookups!A:A,Lookups!B:B))*Pipeline_tbl[[#This Row],[Pipeline_Amount_USD]]</f>
        <v>643286.02</v>
      </c>
      <c r="O4149" t="str">
        <f>_xlfn.XLOOKUP(Pipeline_tbl[[#This Row],[Rep_ID]],Dim_Reps!A:A,Dim_Reps!B:B)</f>
        <v>Noah Kim</v>
      </c>
      <c r="P4149" t="str">
        <f>_xlfn.XLOOKUP(Pipeline_tbl[[#This Row],[Rep_ID]],Dim_Reps!A:A,Dim_Reps!C:C)</f>
        <v>Enterprise AE</v>
      </c>
      <c r="Q4149" t="str">
        <f>_xlfn.XLOOKUP(Pipeline_tbl[[#This Row],[Rep_ID]],Dim_Reps!A:A,Dim_Reps!D:D)</f>
        <v>Enterprise</v>
      </c>
      <c r="R4149" t="str">
        <f>_xlfn.XLOOKUP(Pipeline_tbl[[#This Row],[Rep_ID]],Dim_Reps!A:A,Dim_Reps!E:E)</f>
        <v>LATAM</v>
      </c>
      <c r="S4149" t="str">
        <f>_xlfn.XLOOKUP(Pipeline_tbl[[#This Row],[Created_Date]],Dim_Date!A:A,Dim_Date!H:H)</f>
        <v>Jan 2025</v>
      </c>
      <c r="T4149" t="str">
        <f>IF(Pipeline_tbl[[#This Row],[Closed_Date]]=0,"",(_xlfn.XLOOKUP(Pipeline_tbl[[#This Row],[Closed_Date]],Dim_Date!A:A,Dim_Date!H:H)))</f>
        <v>Apr 2025</v>
      </c>
      <c r="U4149">
        <f>IF(Pipeline_tbl[[#This Row],[Closed_Date]]=0,"",Pipeline_tbl[[#This Row],[Closed_Date]]-Pipeline_tbl[[#This Row],[Created_Date]])</f>
        <v>76</v>
      </c>
    </row>
    <row r="4150" spans="1:21" ht="15" customHeight="1" x14ac:dyDescent="0.2">
      <c r="A4150" t="s">
        <v>4456</v>
      </c>
      <c r="B4150" t="s">
        <v>188</v>
      </c>
      <c r="C4150" t="s">
        <v>52</v>
      </c>
      <c r="D4150" s="49">
        <v>45677</v>
      </c>
      <c r="E4150" s="49">
        <v>45685</v>
      </c>
      <c r="F4150" s="49">
        <v>45702</v>
      </c>
      <c r="G4150" s="49">
        <v>45726</v>
      </c>
      <c r="H4150" s="49">
        <v>45747</v>
      </c>
      <c r="I4150" s="49">
        <v>45759</v>
      </c>
      <c r="J4150" t="s">
        <v>49</v>
      </c>
      <c r="K4150" s="33">
        <v>32500</v>
      </c>
      <c r="L4150" t="s">
        <v>61</v>
      </c>
      <c r="M4150" t="str">
        <f>_xlfn.XLOOKUP(Pipeline_tbl[[#This Row],[Rep_ID]],Dim_Reps!A:A,Dim_Reps!K:K)</f>
        <v>EUR</v>
      </c>
      <c r="N4150" s="33">
        <f>(_xlfn.XLOOKUP(Pipeline_tbl[[#This Row],[Rate_Code_Generalized]],Lookups!A:A,Lookups!B:B))*Pipeline_tbl[[#This Row],[Pipeline_Amount_USD]]</f>
        <v>32500</v>
      </c>
      <c r="O4150" t="str">
        <f>_xlfn.XLOOKUP(Pipeline_tbl[[#This Row],[Rep_ID]],Dim_Reps!A:A,Dim_Reps!B:B)</f>
        <v>Jamie Santos</v>
      </c>
      <c r="P4150" t="str">
        <f>_xlfn.XLOOKUP(Pipeline_tbl[[#This Row],[Rep_ID]],Dim_Reps!A:A,Dim_Reps!C:C)</f>
        <v>Enterprise AE</v>
      </c>
      <c r="Q4150" t="str">
        <f>_xlfn.XLOOKUP(Pipeline_tbl[[#This Row],[Rep_ID]],Dim_Reps!A:A,Dim_Reps!D:D)</f>
        <v>Enterprise</v>
      </c>
      <c r="R4150" t="str">
        <f>_xlfn.XLOOKUP(Pipeline_tbl[[#This Row],[Rep_ID]],Dim_Reps!A:A,Dim_Reps!E:E)</f>
        <v>APAC</v>
      </c>
      <c r="S4150" t="str">
        <f>_xlfn.XLOOKUP(Pipeline_tbl[[#This Row],[Created_Date]],Dim_Date!A:A,Dim_Date!H:H)</f>
        <v>Jan 2025</v>
      </c>
      <c r="T4150" t="str">
        <f>IF(Pipeline_tbl[[#This Row],[Closed_Date]]=0,"",(_xlfn.XLOOKUP(Pipeline_tbl[[#This Row],[Closed_Date]],Dim_Date!A:A,Dim_Date!H:H)))</f>
        <v>Apr 2025</v>
      </c>
      <c r="U4150">
        <f>IF(Pipeline_tbl[[#This Row],[Closed_Date]]=0,"",Pipeline_tbl[[#This Row],[Closed_Date]]-Pipeline_tbl[[#This Row],[Created_Date]])</f>
        <v>82</v>
      </c>
    </row>
    <row r="4151" spans="1:21" ht="15" customHeight="1" x14ac:dyDescent="0.2">
      <c r="A4151" t="s">
        <v>4457</v>
      </c>
      <c r="B4151" t="s">
        <v>188</v>
      </c>
      <c r="C4151" t="s">
        <v>52</v>
      </c>
      <c r="D4151" s="49">
        <v>45685</v>
      </c>
      <c r="E4151" s="49">
        <v>45693</v>
      </c>
      <c r="F4151" s="49">
        <v>45709</v>
      </c>
      <c r="I4151" s="49">
        <v>45766</v>
      </c>
      <c r="J4151" t="s">
        <v>49</v>
      </c>
      <c r="K4151" s="33">
        <v>33400</v>
      </c>
      <c r="L4151" t="s">
        <v>62</v>
      </c>
      <c r="M4151" t="str">
        <f>_xlfn.XLOOKUP(Pipeline_tbl[[#This Row],[Rep_ID]],Dim_Reps!A:A,Dim_Reps!K:K)</f>
        <v>EUR</v>
      </c>
      <c r="N4151" s="33">
        <f>(_xlfn.XLOOKUP(Pipeline_tbl[[#This Row],[Rate_Code_Generalized]],Lookups!A:A,Lookups!B:B))*Pipeline_tbl[[#This Row],[Pipeline_Amount_USD]]</f>
        <v>33400</v>
      </c>
      <c r="O4151" t="str">
        <f>_xlfn.XLOOKUP(Pipeline_tbl[[#This Row],[Rep_ID]],Dim_Reps!A:A,Dim_Reps!B:B)</f>
        <v>Jamie Santos</v>
      </c>
      <c r="P4151" t="str">
        <f>_xlfn.XLOOKUP(Pipeline_tbl[[#This Row],[Rep_ID]],Dim_Reps!A:A,Dim_Reps!C:C)</f>
        <v>Enterprise AE</v>
      </c>
      <c r="Q4151" t="str">
        <f>_xlfn.XLOOKUP(Pipeline_tbl[[#This Row],[Rep_ID]],Dim_Reps!A:A,Dim_Reps!D:D)</f>
        <v>Enterprise</v>
      </c>
      <c r="R4151" t="str">
        <f>_xlfn.XLOOKUP(Pipeline_tbl[[#This Row],[Rep_ID]],Dim_Reps!A:A,Dim_Reps!E:E)</f>
        <v>APAC</v>
      </c>
      <c r="S4151" t="str">
        <f>_xlfn.XLOOKUP(Pipeline_tbl[[#This Row],[Created_Date]],Dim_Date!A:A,Dim_Date!H:H)</f>
        <v>Jan 2025</v>
      </c>
      <c r="T4151" t="str">
        <f>IF(Pipeline_tbl[[#This Row],[Closed_Date]]=0,"",(_xlfn.XLOOKUP(Pipeline_tbl[[#This Row],[Closed_Date]],Dim_Date!A:A,Dim_Date!H:H)))</f>
        <v>Apr 2025</v>
      </c>
      <c r="U4151">
        <f>IF(Pipeline_tbl[[#This Row],[Closed_Date]]=0,"",Pipeline_tbl[[#This Row],[Closed_Date]]-Pipeline_tbl[[#This Row],[Created_Date]])</f>
        <v>81</v>
      </c>
    </row>
    <row r="4152" spans="1:21" ht="15" customHeight="1" x14ac:dyDescent="0.2">
      <c r="A4152" t="s">
        <v>4458</v>
      </c>
      <c r="B4152" t="s">
        <v>280</v>
      </c>
      <c r="C4152" t="s">
        <v>56</v>
      </c>
      <c r="D4152" s="49">
        <v>45682</v>
      </c>
      <c r="E4152" s="49">
        <v>45689</v>
      </c>
      <c r="F4152" s="49">
        <v>45702</v>
      </c>
      <c r="G4152" s="49">
        <v>45722</v>
      </c>
      <c r="H4152" s="49">
        <v>45738</v>
      </c>
      <c r="I4152" s="49">
        <v>45748</v>
      </c>
      <c r="J4152" t="s">
        <v>47</v>
      </c>
      <c r="K4152" s="33">
        <v>48200</v>
      </c>
      <c r="M4152" t="str">
        <f>_xlfn.XLOOKUP(Pipeline_tbl[[#This Row],[Rep_ID]],Dim_Reps!A:A,Dim_Reps!K:K)</f>
        <v>MXN</v>
      </c>
      <c r="N4152" s="33">
        <f>(_xlfn.XLOOKUP(Pipeline_tbl[[#This Row],[Rate_Code_Generalized]],Lookups!A:A,Lookups!B:B))*Pipeline_tbl[[#This Row],[Pipeline_Amount_USD]]</f>
        <v>951116.14</v>
      </c>
      <c r="O4152" t="str">
        <f>_xlfn.XLOOKUP(Pipeline_tbl[[#This Row],[Rep_ID]],Dim_Reps!A:A,Dim_Reps!B:B)</f>
        <v>Cameron Lund</v>
      </c>
      <c r="P4152" t="str">
        <f>_xlfn.XLOOKUP(Pipeline_tbl[[#This Row],[Rep_ID]],Dim_Reps!A:A,Dim_Reps!C:C)</f>
        <v>Senior Enterprise AE</v>
      </c>
      <c r="Q4152" t="str">
        <f>_xlfn.XLOOKUP(Pipeline_tbl[[#This Row],[Rep_ID]],Dim_Reps!A:A,Dim_Reps!D:D)</f>
        <v>Strategic</v>
      </c>
      <c r="R4152" t="str">
        <f>_xlfn.XLOOKUP(Pipeline_tbl[[#This Row],[Rep_ID]],Dim_Reps!A:A,Dim_Reps!E:E)</f>
        <v>LATAM</v>
      </c>
      <c r="S4152" t="str">
        <f>_xlfn.XLOOKUP(Pipeline_tbl[[#This Row],[Created_Date]],Dim_Date!A:A,Dim_Date!H:H)</f>
        <v>Jan 2025</v>
      </c>
      <c r="T4152" t="str">
        <f>IF(Pipeline_tbl[[#This Row],[Closed_Date]]=0,"",(_xlfn.XLOOKUP(Pipeline_tbl[[#This Row],[Closed_Date]],Dim_Date!A:A,Dim_Date!H:H)))</f>
        <v>Apr 2025</v>
      </c>
      <c r="U4152">
        <f>IF(Pipeline_tbl[[#This Row],[Closed_Date]]=0,"",Pipeline_tbl[[#This Row],[Closed_Date]]-Pipeline_tbl[[#This Row],[Created_Date]])</f>
        <v>66</v>
      </c>
    </row>
    <row r="4153" spans="1:21" ht="15" customHeight="1" x14ac:dyDescent="0.2">
      <c r="A4153" t="s">
        <v>4459</v>
      </c>
      <c r="B4153" t="s">
        <v>282</v>
      </c>
      <c r="C4153" t="s">
        <v>55</v>
      </c>
      <c r="D4153" s="49">
        <v>45688</v>
      </c>
      <c r="E4153" s="49">
        <v>45696</v>
      </c>
      <c r="F4153" s="49">
        <v>45711</v>
      </c>
      <c r="G4153" s="49">
        <v>45733</v>
      </c>
      <c r="H4153" s="49">
        <v>45752</v>
      </c>
      <c r="I4153" s="49">
        <v>45763</v>
      </c>
      <c r="J4153" t="s">
        <v>49</v>
      </c>
      <c r="K4153" s="33">
        <v>100500</v>
      </c>
      <c r="L4153" t="s">
        <v>61</v>
      </c>
      <c r="M4153" t="str">
        <f>_xlfn.XLOOKUP(Pipeline_tbl[[#This Row],[Rep_ID]],Dim_Reps!A:A,Dim_Reps!K:K)</f>
        <v>USD</v>
      </c>
      <c r="N4153" s="33">
        <f>(_xlfn.XLOOKUP(Pipeline_tbl[[#This Row],[Rate_Code_Generalized]],Lookups!A:A,Lookups!B:B))*Pipeline_tbl[[#This Row],[Pipeline_Amount_USD]]</f>
        <v>117012.15</v>
      </c>
      <c r="O4153" t="str">
        <f>_xlfn.XLOOKUP(Pipeline_tbl[[#This Row],[Rep_ID]],Dim_Reps!A:A,Dim_Reps!B:B)</f>
        <v>Fatima Rossi</v>
      </c>
      <c r="P4153" t="str">
        <f>_xlfn.XLOOKUP(Pipeline_tbl[[#This Row],[Rep_ID]],Dim_Reps!A:A,Dim_Reps!C:C)</f>
        <v>Senior Enterprise AE</v>
      </c>
      <c r="Q4153" t="str">
        <f>_xlfn.XLOOKUP(Pipeline_tbl[[#This Row],[Rep_ID]],Dim_Reps!A:A,Dim_Reps!D:D)</f>
        <v>Strategic</v>
      </c>
      <c r="R4153" t="str">
        <f>_xlfn.XLOOKUP(Pipeline_tbl[[#This Row],[Rep_ID]],Dim_Reps!A:A,Dim_Reps!E:E)</f>
        <v>NAMER</v>
      </c>
      <c r="S4153" t="str">
        <f>_xlfn.XLOOKUP(Pipeline_tbl[[#This Row],[Created_Date]],Dim_Date!A:A,Dim_Date!H:H)</f>
        <v>Jan 2025</v>
      </c>
      <c r="T4153" t="str">
        <f>IF(Pipeline_tbl[[#This Row],[Closed_Date]]=0,"",(_xlfn.XLOOKUP(Pipeline_tbl[[#This Row],[Closed_Date]],Dim_Date!A:A,Dim_Date!H:H)))</f>
        <v>Apr 2025</v>
      </c>
      <c r="U4153">
        <f>IF(Pipeline_tbl[[#This Row],[Closed_Date]]=0,"",Pipeline_tbl[[#This Row],[Closed_Date]]-Pipeline_tbl[[#This Row],[Created_Date]])</f>
        <v>75</v>
      </c>
    </row>
    <row r="4154" spans="1:21" ht="15" customHeight="1" x14ac:dyDescent="0.2">
      <c r="A4154" t="s">
        <v>4460</v>
      </c>
      <c r="B4154" t="s">
        <v>284</v>
      </c>
      <c r="C4154" t="s">
        <v>53</v>
      </c>
      <c r="D4154" s="49">
        <v>45672</v>
      </c>
      <c r="E4154" s="49">
        <v>45681</v>
      </c>
      <c r="F4154" s="49">
        <v>45699</v>
      </c>
      <c r="I4154" s="49">
        <v>45761</v>
      </c>
      <c r="J4154" t="s">
        <v>49</v>
      </c>
      <c r="K4154" s="33">
        <v>74200</v>
      </c>
      <c r="L4154" t="s">
        <v>62</v>
      </c>
      <c r="M4154" t="str">
        <f>_xlfn.XLOOKUP(Pipeline_tbl[[#This Row],[Rep_ID]],Dim_Reps!A:A,Dim_Reps!K:K)</f>
        <v>USD</v>
      </c>
      <c r="N4154" s="33">
        <f>(_xlfn.XLOOKUP(Pipeline_tbl[[#This Row],[Rate_Code_Generalized]],Lookups!A:A,Lookups!B:B))*Pipeline_tbl[[#This Row],[Pipeline_Amount_USD]]</f>
        <v>86391.06</v>
      </c>
      <c r="O4154" t="str">
        <f>_xlfn.XLOOKUP(Pipeline_tbl[[#This Row],[Rep_ID]],Dim_Reps!A:A,Dim_Reps!B:B)</f>
        <v>Taylor Adler</v>
      </c>
      <c r="P4154" t="str">
        <f>_xlfn.XLOOKUP(Pipeline_tbl[[#This Row],[Rep_ID]],Dim_Reps!A:A,Dim_Reps!C:C)</f>
        <v>Senior Enterprise AE</v>
      </c>
      <c r="Q4154" t="str">
        <f>_xlfn.XLOOKUP(Pipeline_tbl[[#This Row],[Rep_ID]],Dim_Reps!A:A,Dim_Reps!D:D)</f>
        <v>Strategic</v>
      </c>
      <c r="R4154" t="str">
        <f>_xlfn.XLOOKUP(Pipeline_tbl[[#This Row],[Rep_ID]],Dim_Reps!A:A,Dim_Reps!E:E)</f>
        <v>NAMER</v>
      </c>
      <c r="S4154" t="str">
        <f>_xlfn.XLOOKUP(Pipeline_tbl[[#This Row],[Created_Date]],Dim_Date!A:A,Dim_Date!H:H)</f>
        <v>Jan 2025</v>
      </c>
      <c r="T4154" t="str">
        <f>IF(Pipeline_tbl[[#This Row],[Closed_Date]]=0,"",(_xlfn.XLOOKUP(Pipeline_tbl[[#This Row],[Closed_Date]],Dim_Date!A:A,Dim_Date!H:H)))</f>
        <v>Apr 2025</v>
      </c>
      <c r="U4154">
        <f>IF(Pipeline_tbl[[#This Row],[Closed_Date]]=0,"",Pipeline_tbl[[#This Row],[Closed_Date]]-Pipeline_tbl[[#This Row],[Created_Date]])</f>
        <v>89</v>
      </c>
    </row>
    <row r="4155" spans="1:21" ht="15" customHeight="1" x14ac:dyDescent="0.2">
      <c r="A4155" t="s">
        <v>4461</v>
      </c>
      <c r="B4155" t="s">
        <v>193</v>
      </c>
      <c r="C4155" t="s">
        <v>53</v>
      </c>
      <c r="D4155" s="49">
        <v>45669</v>
      </c>
      <c r="E4155" s="49">
        <v>45671</v>
      </c>
      <c r="F4155" s="49">
        <v>45676</v>
      </c>
      <c r="G4155" s="49">
        <v>45683</v>
      </c>
      <c r="H4155" s="49">
        <v>45689</v>
      </c>
      <c r="I4155" s="49">
        <v>45692</v>
      </c>
      <c r="J4155" t="s">
        <v>49</v>
      </c>
      <c r="K4155" s="33">
        <v>7300</v>
      </c>
      <c r="L4155" t="s">
        <v>60</v>
      </c>
      <c r="M4155" t="str">
        <f>_xlfn.XLOOKUP(Pipeline_tbl[[#This Row],[Rep_ID]],Dim_Reps!A:A,Dim_Reps!K:K)</f>
        <v>USD</v>
      </c>
      <c r="N4155" s="33">
        <f>(_xlfn.XLOOKUP(Pipeline_tbl[[#This Row],[Rate_Code_Generalized]],Lookups!A:A,Lookups!B:B))*Pipeline_tbl[[#This Row],[Pipeline_Amount_USD]]</f>
        <v>8499.39</v>
      </c>
      <c r="O4155" t="str">
        <f>_xlfn.XLOOKUP(Pipeline_tbl[[#This Row],[Rep_ID]],Dim_Reps!A:A,Dim_Reps!B:B)</f>
        <v>Karim Rossi</v>
      </c>
      <c r="P4155" t="str">
        <f>_xlfn.XLOOKUP(Pipeline_tbl[[#This Row],[Rep_ID]],Dim_Reps!A:A,Dim_Reps!C:C)</f>
        <v>SDR / Inside Sales Rep</v>
      </c>
      <c r="Q4155" t="str">
        <f>_xlfn.XLOOKUP(Pipeline_tbl[[#This Row],[Rep_ID]],Dim_Reps!A:A,Dim_Reps!D:D)</f>
        <v>Inside Sales</v>
      </c>
      <c r="R4155" t="str">
        <f>_xlfn.XLOOKUP(Pipeline_tbl[[#This Row],[Rep_ID]],Dim_Reps!A:A,Dim_Reps!E:E)</f>
        <v>NAMER</v>
      </c>
      <c r="S4155" t="str">
        <f>_xlfn.XLOOKUP(Pipeline_tbl[[#This Row],[Created_Date]],Dim_Date!A:A,Dim_Date!H:H)</f>
        <v>Jan 2025</v>
      </c>
      <c r="T4155" t="str">
        <f>IF(Pipeline_tbl[[#This Row],[Closed_Date]]=0,"",(_xlfn.XLOOKUP(Pipeline_tbl[[#This Row],[Closed_Date]],Dim_Date!A:A,Dim_Date!H:H)))</f>
        <v>Feb 2025</v>
      </c>
      <c r="U4155">
        <f>IF(Pipeline_tbl[[#This Row],[Closed_Date]]=0,"",Pipeline_tbl[[#This Row],[Closed_Date]]-Pipeline_tbl[[#This Row],[Created_Date]])</f>
        <v>23</v>
      </c>
    </row>
    <row r="4156" spans="1:21" ht="15" customHeight="1" x14ac:dyDescent="0.2">
      <c r="A4156" t="s">
        <v>4462</v>
      </c>
      <c r="B4156" t="s">
        <v>193</v>
      </c>
      <c r="C4156" t="s">
        <v>53</v>
      </c>
      <c r="D4156" s="49">
        <v>45679</v>
      </c>
      <c r="E4156" s="49">
        <v>45680</v>
      </c>
      <c r="F4156" s="49">
        <v>45683</v>
      </c>
      <c r="I4156" s="49">
        <v>45692</v>
      </c>
      <c r="J4156" t="s">
        <v>49</v>
      </c>
      <c r="K4156" s="33">
        <v>2900</v>
      </c>
      <c r="L4156" t="s">
        <v>60</v>
      </c>
      <c r="M4156" t="str">
        <f>_xlfn.XLOOKUP(Pipeline_tbl[[#This Row],[Rep_ID]],Dim_Reps!A:A,Dim_Reps!K:K)</f>
        <v>USD</v>
      </c>
      <c r="N4156" s="33">
        <f>(_xlfn.XLOOKUP(Pipeline_tbl[[#This Row],[Rate_Code_Generalized]],Lookups!A:A,Lookups!B:B))*Pipeline_tbl[[#This Row],[Pipeline_Amount_USD]]</f>
        <v>3376.47</v>
      </c>
      <c r="O4156" t="str">
        <f>_xlfn.XLOOKUP(Pipeline_tbl[[#This Row],[Rep_ID]],Dim_Reps!A:A,Dim_Reps!B:B)</f>
        <v>Karim Rossi</v>
      </c>
      <c r="P4156" t="str">
        <f>_xlfn.XLOOKUP(Pipeline_tbl[[#This Row],[Rep_ID]],Dim_Reps!A:A,Dim_Reps!C:C)</f>
        <v>SDR / Inside Sales Rep</v>
      </c>
      <c r="Q4156" t="str">
        <f>_xlfn.XLOOKUP(Pipeline_tbl[[#This Row],[Rep_ID]],Dim_Reps!A:A,Dim_Reps!D:D)</f>
        <v>Inside Sales</v>
      </c>
      <c r="R4156" t="str">
        <f>_xlfn.XLOOKUP(Pipeline_tbl[[#This Row],[Rep_ID]],Dim_Reps!A:A,Dim_Reps!E:E)</f>
        <v>NAMER</v>
      </c>
      <c r="S4156" t="str">
        <f>_xlfn.XLOOKUP(Pipeline_tbl[[#This Row],[Created_Date]],Dim_Date!A:A,Dim_Date!H:H)</f>
        <v>Jan 2025</v>
      </c>
      <c r="T4156" t="str">
        <f>IF(Pipeline_tbl[[#This Row],[Closed_Date]]=0,"",(_xlfn.XLOOKUP(Pipeline_tbl[[#This Row],[Closed_Date]],Dim_Date!A:A,Dim_Date!H:H)))</f>
        <v>Feb 2025</v>
      </c>
      <c r="U4156">
        <f>IF(Pipeline_tbl[[#This Row],[Closed_Date]]=0,"",Pipeline_tbl[[#This Row],[Closed_Date]]-Pipeline_tbl[[#This Row],[Created_Date]])</f>
        <v>13</v>
      </c>
    </row>
    <row r="4157" spans="1:21" ht="15" customHeight="1" x14ac:dyDescent="0.2">
      <c r="A4157" t="s">
        <v>4463</v>
      </c>
      <c r="B4157" t="s">
        <v>193</v>
      </c>
      <c r="C4157" t="s">
        <v>52</v>
      </c>
      <c r="D4157" s="49">
        <v>45679</v>
      </c>
      <c r="E4157" s="49">
        <v>45681</v>
      </c>
      <c r="F4157" s="49">
        <v>45684</v>
      </c>
      <c r="G4157" s="49">
        <v>45689</v>
      </c>
      <c r="H4157" s="49">
        <v>45693</v>
      </c>
      <c r="I4157" s="49">
        <v>45695</v>
      </c>
      <c r="J4157" t="s">
        <v>47</v>
      </c>
      <c r="K4157" s="33">
        <v>5900</v>
      </c>
      <c r="M4157" t="str">
        <f>_xlfn.XLOOKUP(Pipeline_tbl[[#This Row],[Rep_ID]],Dim_Reps!A:A,Dim_Reps!K:K)</f>
        <v>USD</v>
      </c>
      <c r="N4157" s="33">
        <f>(_xlfn.XLOOKUP(Pipeline_tbl[[#This Row],[Rate_Code_Generalized]],Lookups!A:A,Lookups!B:B))*Pipeline_tbl[[#This Row],[Pipeline_Amount_USD]]</f>
        <v>6869.369999999999</v>
      </c>
      <c r="O4157" t="str">
        <f>_xlfn.XLOOKUP(Pipeline_tbl[[#This Row],[Rep_ID]],Dim_Reps!A:A,Dim_Reps!B:B)</f>
        <v>Karim Rossi</v>
      </c>
      <c r="P4157" t="str">
        <f>_xlfn.XLOOKUP(Pipeline_tbl[[#This Row],[Rep_ID]],Dim_Reps!A:A,Dim_Reps!C:C)</f>
        <v>SDR / Inside Sales Rep</v>
      </c>
      <c r="Q4157" t="str">
        <f>_xlfn.XLOOKUP(Pipeline_tbl[[#This Row],[Rep_ID]],Dim_Reps!A:A,Dim_Reps!D:D)</f>
        <v>Inside Sales</v>
      </c>
      <c r="R4157" t="str">
        <f>_xlfn.XLOOKUP(Pipeline_tbl[[#This Row],[Rep_ID]],Dim_Reps!A:A,Dim_Reps!E:E)</f>
        <v>NAMER</v>
      </c>
      <c r="S4157" t="str">
        <f>_xlfn.XLOOKUP(Pipeline_tbl[[#This Row],[Created_Date]],Dim_Date!A:A,Dim_Date!H:H)</f>
        <v>Jan 2025</v>
      </c>
      <c r="T4157" t="str">
        <f>IF(Pipeline_tbl[[#This Row],[Closed_Date]]=0,"",(_xlfn.XLOOKUP(Pipeline_tbl[[#This Row],[Closed_Date]],Dim_Date!A:A,Dim_Date!H:H)))</f>
        <v>Feb 2025</v>
      </c>
      <c r="U4157">
        <f>IF(Pipeline_tbl[[#This Row],[Closed_Date]]=0,"",Pipeline_tbl[[#This Row],[Closed_Date]]-Pipeline_tbl[[#This Row],[Created_Date]])</f>
        <v>16</v>
      </c>
    </row>
    <row r="4158" spans="1:21" ht="15" customHeight="1" x14ac:dyDescent="0.2">
      <c r="A4158" t="s">
        <v>4464</v>
      </c>
      <c r="B4158" t="s">
        <v>193</v>
      </c>
      <c r="C4158" t="s">
        <v>52</v>
      </c>
      <c r="D4158" s="49">
        <v>45669</v>
      </c>
      <c r="E4158" s="49">
        <v>45671</v>
      </c>
      <c r="F4158" s="49">
        <v>45676</v>
      </c>
      <c r="G4158" s="49">
        <v>45682</v>
      </c>
      <c r="H4158" s="49">
        <v>45688</v>
      </c>
      <c r="I4158" s="49">
        <v>45691</v>
      </c>
      <c r="J4158" t="s">
        <v>49</v>
      </c>
      <c r="K4158" s="33">
        <v>2800</v>
      </c>
      <c r="L4158" t="s">
        <v>60</v>
      </c>
      <c r="M4158" t="str">
        <f>_xlfn.XLOOKUP(Pipeline_tbl[[#This Row],[Rep_ID]],Dim_Reps!A:A,Dim_Reps!K:K)</f>
        <v>USD</v>
      </c>
      <c r="N4158" s="33">
        <f>(_xlfn.XLOOKUP(Pipeline_tbl[[#This Row],[Rate_Code_Generalized]],Lookups!A:A,Lookups!B:B))*Pipeline_tbl[[#This Row],[Pipeline_Amount_USD]]</f>
        <v>3260.0399999999995</v>
      </c>
      <c r="O4158" t="str">
        <f>_xlfn.XLOOKUP(Pipeline_tbl[[#This Row],[Rep_ID]],Dim_Reps!A:A,Dim_Reps!B:B)</f>
        <v>Karim Rossi</v>
      </c>
      <c r="P4158" t="str">
        <f>_xlfn.XLOOKUP(Pipeline_tbl[[#This Row],[Rep_ID]],Dim_Reps!A:A,Dim_Reps!C:C)</f>
        <v>SDR / Inside Sales Rep</v>
      </c>
      <c r="Q4158" t="str">
        <f>_xlfn.XLOOKUP(Pipeline_tbl[[#This Row],[Rep_ID]],Dim_Reps!A:A,Dim_Reps!D:D)</f>
        <v>Inside Sales</v>
      </c>
      <c r="R4158" t="str">
        <f>_xlfn.XLOOKUP(Pipeline_tbl[[#This Row],[Rep_ID]],Dim_Reps!A:A,Dim_Reps!E:E)</f>
        <v>NAMER</v>
      </c>
      <c r="S4158" t="str">
        <f>_xlfn.XLOOKUP(Pipeline_tbl[[#This Row],[Created_Date]],Dim_Date!A:A,Dim_Date!H:H)</f>
        <v>Jan 2025</v>
      </c>
      <c r="T4158" t="str">
        <f>IF(Pipeline_tbl[[#This Row],[Closed_Date]]=0,"",(_xlfn.XLOOKUP(Pipeline_tbl[[#This Row],[Closed_Date]],Dim_Date!A:A,Dim_Date!H:H)))</f>
        <v>Feb 2025</v>
      </c>
      <c r="U4158">
        <f>IF(Pipeline_tbl[[#This Row],[Closed_Date]]=0,"",Pipeline_tbl[[#This Row],[Closed_Date]]-Pipeline_tbl[[#This Row],[Created_Date]])</f>
        <v>22</v>
      </c>
    </row>
    <row r="4159" spans="1:21" ht="15" customHeight="1" x14ac:dyDescent="0.2">
      <c r="A4159" t="s">
        <v>4465</v>
      </c>
      <c r="B4159" t="s">
        <v>193</v>
      </c>
      <c r="C4159" t="s">
        <v>52</v>
      </c>
      <c r="D4159" s="49">
        <v>45682</v>
      </c>
      <c r="E4159" s="49">
        <v>45684</v>
      </c>
      <c r="F4159" s="49">
        <v>45687</v>
      </c>
      <c r="G4159" s="49">
        <v>45692</v>
      </c>
      <c r="H4159" s="49">
        <v>45696</v>
      </c>
      <c r="I4159" s="49">
        <v>45698</v>
      </c>
      <c r="J4159" t="s">
        <v>49</v>
      </c>
      <c r="K4159" s="33">
        <v>5600</v>
      </c>
      <c r="L4159" t="s">
        <v>60</v>
      </c>
      <c r="M4159" t="str">
        <f>_xlfn.XLOOKUP(Pipeline_tbl[[#This Row],[Rep_ID]],Dim_Reps!A:A,Dim_Reps!K:K)</f>
        <v>USD</v>
      </c>
      <c r="N4159" s="33">
        <f>(_xlfn.XLOOKUP(Pipeline_tbl[[#This Row],[Rate_Code_Generalized]],Lookups!A:A,Lookups!B:B))*Pipeline_tbl[[#This Row],[Pipeline_Amount_USD]]</f>
        <v>6520.079999999999</v>
      </c>
      <c r="O4159" t="str">
        <f>_xlfn.XLOOKUP(Pipeline_tbl[[#This Row],[Rep_ID]],Dim_Reps!A:A,Dim_Reps!B:B)</f>
        <v>Karim Rossi</v>
      </c>
      <c r="P4159" t="str">
        <f>_xlfn.XLOOKUP(Pipeline_tbl[[#This Row],[Rep_ID]],Dim_Reps!A:A,Dim_Reps!C:C)</f>
        <v>SDR / Inside Sales Rep</v>
      </c>
      <c r="Q4159" t="str">
        <f>_xlfn.XLOOKUP(Pipeline_tbl[[#This Row],[Rep_ID]],Dim_Reps!A:A,Dim_Reps!D:D)</f>
        <v>Inside Sales</v>
      </c>
      <c r="R4159" t="str">
        <f>_xlfn.XLOOKUP(Pipeline_tbl[[#This Row],[Rep_ID]],Dim_Reps!A:A,Dim_Reps!E:E)</f>
        <v>NAMER</v>
      </c>
      <c r="S4159" t="str">
        <f>_xlfn.XLOOKUP(Pipeline_tbl[[#This Row],[Created_Date]],Dim_Date!A:A,Dim_Date!H:H)</f>
        <v>Jan 2025</v>
      </c>
      <c r="T4159" t="str">
        <f>IF(Pipeline_tbl[[#This Row],[Closed_Date]]=0,"",(_xlfn.XLOOKUP(Pipeline_tbl[[#This Row],[Closed_Date]],Dim_Date!A:A,Dim_Date!H:H)))</f>
        <v>Feb 2025</v>
      </c>
      <c r="U4159">
        <f>IF(Pipeline_tbl[[#This Row],[Closed_Date]]=0,"",Pipeline_tbl[[#This Row],[Closed_Date]]-Pipeline_tbl[[#This Row],[Created_Date]])</f>
        <v>16</v>
      </c>
    </row>
    <row r="4160" spans="1:21" ht="15" customHeight="1" x14ac:dyDescent="0.2">
      <c r="A4160" t="s">
        <v>4466</v>
      </c>
      <c r="B4160" t="s">
        <v>193</v>
      </c>
      <c r="C4160" t="s">
        <v>53</v>
      </c>
      <c r="D4160" s="49">
        <v>45675</v>
      </c>
      <c r="E4160" s="49">
        <v>45677</v>
      </c>
      <c r="F4160" s="49">
        <v>45680</v>
      </c>
      <c r="G4160" s="49">
        <v>45685</v>
      </c>
      <c r="H4160" s="49">
        <v>45689</v>
      </c>
      <c r="I4160" s="49">
        <v>45692</v>
      </c>
      <c r="J4160" t="s">
        <v>47</v>
      </c>
      <c r="K4160" s="33">
        <v>2100</v>
      </c>
      <c r="M4160" t="str">
        <f>_xlfn.XLOOKUP(Pipeline_tbl[[#This Row],[Rep_ID]],Dim_Reps!A:A,Dim_Reps!K:K)</f>
        <v>USD</v>
      </c>
      <c r="N4160" s="33">
        <f>(_xlfn.XLOOKUP(Pipeline_tbl[[#This Row],[Rate_Code_Generalized]],Lookups!A:A,Lookups!B:B))*Pipeline_tbl[[#This Row],[Pipeline_Amount_USD]]</f>
        <v>2445.0299999999997</v>
      </c>
      <c r="O4160" t="str">
        <f>_xlfn.XLOOKUP(Pipeline_tbl[[#This Row],[Rep_ID]],Dim_Reps!A:A,Dim_Reps!B:B)</f>
        <v>Karim Rossi</v>
      </c>
      <c r="P4160" t="str">
        <f>_xlfn.XLOOKUP(Pipeline_tbl[[#This Row],[Rep_ID]],Dim_Reps!A:A,Dim_Reps!C:C)</f>
        <v>SDR / Inside Sales Rep</v>
      </c>
      <c r="Q4160" t="str">
        <f>_xlfn.XLOOKUP(Pipeline_tbl[[#This Row],[Rep_ID]],Dim_Reps!A:A,Dim_Reps!D:D)</f>
        <v>Inside Sales</v>
      </c>
      <c r="R4160" t="str">
        <f>_xlfn.XLOOKUP(Pipeline_tbl[[#This Row],[Rep_ID]],Dim_Reps!A:A,Dim_Reps!E:E)</f>
        <v>NAMER</v>
      </c>
      <c r="S4160" t="str">
        <f>_xlfn.XLOOKUP(Pipeline_tbl[[#This Row],[Created_Date]],Dim_Date!A:A,Dim_Date!H:H)</f>
        <v>Jan 2025</v>
      </c>
      <c r="T4160" t="str">
        <f>IF(Pipeline_tbl[[#This Row],[Closed_Date]]=0,"",(_xlfn.XLOOKUP(Pipeline_tbl[[#This Row],[Closed_Date]],Dim_Date!A:A,Dim_Date!H:H)))</f>
        <v>Feb 2025</v>
      </c>
      <c r="U4160">
        <f>IF(Pipeline_tbl[[#This Row],[Closed_Date]]=0,"",Pipeline_tbl[[#This Row],[Closed_Date]]-Pipeline_tbl[[#This Row],[Created_Date]])</f>
        <v>17</v>
      </c>
    </row>
    <row r="4161" spans="1:21" ht="15" customHeight="1" x14ac:dyDescent="0.2">
      <c r="A4161" t="s">
        <v>4467</v>
      </c>
      <c r="B4161" t="s">
        <v>193</v>
      </c>
      <c r="C4161" t="s">
        <v>54</v>
      </c>
      <c r="D4161" s="49">
        <v>45686</v>
      </c>
      <c r="E4161" s="49">
        <v>45688</v>
      </c>
      <c r="F4161" s="49">
        <v>45691</v>
      </c>
      <c r="I4161" s="49">
        <v>45703</v>
      </c>
      <c r="J4161" t="s">
        <v>49</v>
      </c>
      <c r="K4161" s="33">
        <v>1000</v>
      </c>
      <c r="L4161" t="s">
        <v>62</v>
      </c>
      <c r="M4161" t="str">
        <f>_xlfn.XLOOKUP(Pipeline_tbl[[#This Row],[Rep_ID]],Dim_Reps!A:A,Dim_Reps!K:K)</f>
        <v>USD</v>
      </c>
      <c r="N4161" s="33">
        <f>(_xlfn.XLOOKUP(Pipeline_tbl[[#This Row],[Rate_Code_Generalized]],Lookups!A:A,Lookups!B:B))*Pipeline_tbl[[#This Row],[Pipeline_Amount_USD]]</f>
        <v>1164.3</v>
      </c>
      <c r="O4161" t="str">
        <f>_xlfn.XLOOKUP(Pipeline_tbl[[#This Row],[Rep_ID]],Dim_Reps!A:A,Dim_Reps!B:B)</f>
        <v>Karim Rossi</v>
      </c>
      <c r="P4161" t="str">
        <f>_xlfn.XLOOKUP(Pipeline_tbl[[#This Row],[Rep_ID]],Dim_Reps!A:A,Dim_Reps!C:C)</f>
        <v>SDR / Inside Sales Rep</v>
      </c>
      <c r="Q4161" t="str">
        <f>_xlfn.XLOOKUP(Pipeline_tbl[[#This Row],[Rep_ID]],Dim_Reps!A:A,Dim_Reps!D:D)</f>
        <v>Inside Sales</v>
      </c>
      <c r="R4161" t="str">
        <f>_xlfn.XLOOKUP(Pipeline_tbl[[#This Row],[Rep_ID]],Dim_Reps!A:A,Dim_Reps!E:E)</f>
        <v>NAMER</v>
      </c>
      <c r="S4161" t="str">
        <f>_xlfn.XLOOKUP(Pipeline_tbl[[#This Row],[Created_Date]],Dim_Date!A:A,Dim_Date!H:H)</f>
        <v>Jan 2025</v>
      </c>
      <c r="T4161" t="str">
        <f>IF(Pipeline_tbl[[#This Row],[Closed_Date]]=0,"",(_xlfn.XLOOKUP(Pipeline_tbl[[#This Row],[Closed_Date]],Dim_Date!A:A,Dim_Date!H:H)))</f>
        <v>Feb 2025</v>
      </c>
      <c r="U4161">
        <f>IF(Pipeline_tbl[[#This Row],[Closed_Date]]=0,"",Pipeline_tbl[[#This Row],[Closed_Date]]-Pipeline_tbl[[#This Row],[Created_Date]])</f>
        <v>17</v>
      </c>
    </row>
    <row r="4162" spans="1:21" ht="15" customHeight="1" x14ac:dyDescent="0.2">
      <c r="A4162" t="s">
        <v>4468</v>
      </c>
      <c r="B4162" t="s">
        <v>193</v>
      </c>
      <c r="C4162" t="s">
        <v>53</v>
      </c>
      <c r="D4162" s="49">
        <v>45685</v>
      </c>
      <c r="E4162" s="49">
        <v>45686</v>
      </c>
      <c r="I4162" s="49">
        <v>45699</v>
      </c>
      <c r="J4162" t="s">
        <v>49</v>
      </c>
      <c r="K4162" s="33">
        <v>4200</v>
      </c>
      <c r="L4162" t="s">
        <v>64</v>
      </c>
      <c r="M4162" t="str">
        <f>_xlfn.XLOOKUP(Pipeline_tbl[[#This Row],[Rep_ID]],Dim_Reps!A:A,Dim_Reps!K:K)</f>
        <v>USD</v>
      </c>
      <c r="N4162" s="33">
        <f>(_xlfn.XLOOKUP(Pipeline_tbl[[#This Row],[Rate_Code_Generalized]],Lookups!A:A,Lookups!B:B))*Pipeline_tbl[[#This Row],[Pipeline_Amount_USD]]</f>
        <v>4890.0599999999995</v>
      </c>
      <c r="O4162" t="str">
        <f>_xlfn.XLOOKUP(Pipeline_tbl[[#This Row],[Rep_ID]],Dim_Reps!A:A,Dim_Reps!B:B)</f>
        <v>Karim Rossi</v>
      </c>
      <c r="P4162" t="str">
        <f>_xlfn.XLOOKUP(Pipeline_tbl[[#This Row],[Rep_ID]],Dim_Reps!A:A,Dim_Reps!C:C)</f>
        <v>SDR / Inside Sales Rep</v>
      </c>
      <c r="Q4162" t="str">
        <f>_xlfn.XLOOKUP(Pipeline_tbl[[#This Row],[Rep_ID]],Dim_Reps!A:A,Dim_Reps!D:D)</f>
        <v>Inside Sales</v>
      </c>
      <c r="R4162" t="str">
        <f>_xlfn.XLOOKUP(Pipeline_tbl[[#This Row],[Rep_ID]],Dim_Reps!A:A,Dim_Reps!E:E)</f>
        <v>NAMER</v>
      </c>
      <c r="S4162" t="str">
        <f>_xlfn.XLOOKUP(Pipeline_tbl[[#This Row],[Created_Date]],Dim_Date!A:A,Dim_Date!H:H)</f>
        <v>Jan 2025</v>
      </c>
      <c r="T4162" t="str">
        <f>IF(Pipeline_tbl[[#This Row],[Closed_Date]]=0,"",(_xlfn.XLOOKUP(Pipeline_tbl[[#This Row],[Closed_Date]],Dim_Date!A:A,Dim_Date!H:H)))</f>
        <v>Feb 2025</v>
      </c>
      <c r="U4162">
        <f>IF(Pipeline_tbl[[#This Row],[Closed_Date]]=0,"",Pipeline_tbl[[#This Row],[Closed_Date]]-Pipeline_tbl[[#This Row],[Created_Date]])</f>
        <v>14</v>
      </c>
    </row>
    <row r="4163" spans="1:21" ht="15" customHeight="1" x14ac:dyDescent="0.2">
      <c r="A4163" t="s">
        <v>4469</v>
      </c>
      <c r="B4163" t="s">
        <v>243</v>
      </c>
      <c r="C4163" t="s">
        <v>52</v>
      </c>
      <c r="D4163" s="49">
        <v>45685</v>
      </c>
      <c r="E4163" s="49">
        <v>45688</v>
      </c>
      <c r="F4163" s="49">
        <v>45693</v>
      </c>
      <c r="G4163" s="49">
        <v>45701</v>
      </c>
      <c r="I4163" s="49">
        <v>45712</v>
      </c>
      <c r="J4163" t="s">
        <v>49</v>
      </c>
      <c r="K4163" s="33">
        <v>8500</v>
      </c>
      <c r="L4163" t="s">
        <v>64</v>
      </c>
      <c r="M4163" t="str">
        <f>_xlfn.XLOOKUP(Pipeline_tbl[[#This Row],[Rep_ID]],Dim_Reps!A:A,Dim_Reps!K:K)</f>
        <v>MXN</v>
      </c>
      <c r="N4163" s="33">
        <f>(_xlfn.XLOOKUP(Pipeline_tbl[[#This Row],[Rate_Code_Generalized]],Lookups!A:A,Lookups!B:B))*Pipeline_tbl[[#This Row],[Pipeline_Amount_USD]]</f>
        <v>167727.95000000001</v>
      </c>
      <c r="O4163" t="str">
        <f>_xlfn.XLOOKUP(Pipeline_tbl[[#This Row],[Rep_ID]],Dim_Reps!A:A,Dim_Reps!B:B)</f>
        <v>Jonas Sato</v>
      </c>
      <c r="P4163" t="str">
        <f>_xlfn.XLOOKUP(Pipeline_tbl[[#This Row],[Rep_ID]],Dim_Reps!A:A,Dim_Reps!C:C)</f>
        <v>Mid-Market AE</v>
      </c>
      <c r="Q4163" t="str">
        <f>_xlfn.XLOOKUP(Pipeline_tbl[[#This Row],[Rep_ID]],Dim_Reps!A:A,Dim_Reps!D:D)</f>
        <v>Mid-Market</v>
      </c>
      <c r="R4163" t="str">
        <f>_xlfn.XLOOKUP(Pipeline_tbl[[#This Row],[Rep_ID]],Dim_Reps!A:A,Dim_Reps!E:E)</f>
        <v>LATAM</v>
      </c>
      <c r="S4163" t="str">
        <f>_xlfn.XLOOKUP(Pipeline_tbl[[#This Row],[Created_Date]],Dim_Date!A:A,Dim_Date!H:H)</f>
        <v>Jan 2025</v>
      </c>
      <c r="T4163" t="str">
        <f>IF(Pipeline_tbl[[#This Row],[Closed_Date]]=0,"",(_xlfn.XLOOKUP(Pipeline_tbl[[#This Row],[Closed_Date]],Dim_Date!A:A,Dim_Date!H:H)))</f>
        <v>Feb 2025</v>
      </c>
      <c r="U4163">
        <f>IF(Pipeline_tbl[[#This Row],[Closed_Date]]=0,"",Pipeline_tbl[[#This Row],[Closed_Date]]-Pipeline_tbl[[#This Row],[Created_Date]])</f>
        <v>27</v>
      </c>
    </row>
    <row r="4164" spans="1:21" ht="15" customHeight="1" x14ac:dyDescent="0.2">
      <c r="A4164" t="s">
        <v>4470</v>
      </c>
      <c r="B4164" t="s">
        <v>243</v>
      </c>
      <c r="C4164" t="s">
        <v>52</v>
      </c>
      <c r="D4164" s="49">
        <v>45682</v>
      </c>
      <c r="E4164" s="49">
        <v>45685</v>
      </c>
      <c r="F4164" s="49">
        <v>45691</v>
      </c>
      <c r="G4164" s="49">
        <v>45699</v>
      </c>
      <c r="I4164" s="49">
        <v>45711</v>
      </c>
      <c r="J4164" t="s">
        <v>49</v>
      </c>
      <c r="K4164" s="33">
        <v>13300</v>
      </c>
      <c r="L4164" t="s">
        <v>63</v>
      </c>
      <c r="M4164" t="str">
        <f>_xlfn.XLOOKUP(Pipeline_tbl[[#This Row],[Rep_ID]],Dim_Reps!A:A,Dim_Reps!K:K)</f>
        <v>MXN</v>
      </c>
      <c r="N4164" s="33">
        <f>(_xlfn.XLOOKUP(Pipeline_tbl[[#This Row],[Rate_Code_Generalized]],Lookups!A:A,Lookups!B:B))*Pipeline_tbl[[#This Row],[Pipeline_Amount_USD]]</f>
        <v>262444.91000000003</v>
      </c>
      <c r="O4164" t="str">
        <f>_xlfn.XLOOKUP(Pipeline_tbl[[#This Row],[Rep_ID]],Dim_Reps!A:A,Dim_Reps!B:B)</f>
        <v>Jonas Sato</v>
      </c>
      <c r="P4164" t="str">
        <f>_xlfn.XLOOKUP(Pipeline_tbl[[#This Row],[Rep_ID]],Dim_Reps!A:A,Dim_Reps!C:C)</f>
        <v>Mid-Market AE</v>
      </c>
      <c r="Q4164" t="str">
        <f>_xlfn.XLOOKUP(Pipeline_tbl[[#This Row],[Rep_ID]],Dim_Reps!A:A,Dim_Reps!D:D)</f>
        <v>Mid-Market</v>
      </c>
      <c r="R4164" t="str">
        <f>_xlfn.XLOOKUP(Pipeline_tbl[[#This Row],[Rep_ID]],Dim_Reps!A:A,Dim_Reps!E:E)</f>
        <v>LATAM</v>
      </c>
      <c r="S4164" t="str">
        <f>_xlfn.XLOOKUP(Pipeline_tbl[[#This Row],[Created_Date]],Dim_Date!A:A,Dim_Date!H:H)</f>
        <v>Jan 2025</v>
      </c>
      <c r="T4164" t="str">
        <f>IF(Pipeline_tbl[[#This Row],[Closed_Date]]=0,"",(_xlfn.XLOOKUP(Pipeline_tbl[[#This Row],[Closed_Date]],Dim_Date!A:A,Dim_Date!H:H)))</f>
        <v>Feb 2025</v>
      </c>
      <c r="U4164">
        <f>IF(Pipeline_tbl[[#This Row],[Closed_Date]]=0,"",Pipeline_tbl[[#This Row],[Closed_Date]]-Pipeline_tbl[[#This Row],[Created_Date]])</f>
        <v>29</v>
      </c>
    </row>
    <row r="4165" spans="1:21" ht="15" customHeight="1" x14ac:dyDescent="0.2">
      <c r="A4165" t="s">
        <v>4471</v>
      </c>
      <c r="B4165" t="s">
        <v>243</v>
      </c>
      <c r="C4165" t="s">
        <v>54</v>
      </c>
      <c r="D4165" s="49">
        <v>45686</v>
      </c>
      <c r="E4165" s="49">
        <v>45688</v>
      </c>
      <c r="F4165" s="49">
        <v>45693</v>
      </c>
      <c r="G4165" s="49">
        <v>45700</v>
      </c>
      <c r="H4165" s="49">
        <v>45706</v>
      </c>
      <c r="I4165" s="49">
        <v>45709</v>
      </c>
      <c r="J4165" t="s">
        <v>47</v>
      </c>
      <c r="K4165" s="33">
        <v>18200</v>
      </c>
      <c r="M4165" t="str">
        <f>_xlfn.XLOOKUP(Pipeline_tbl[[#This Row],[Rep_ID]],Dim_Reps!A:A,Dim_Reps!K:K)</f>
        <v>MXN</v>
      </c>
      <c r="N4165" s="33">
        <f>(_xlfn.XLOOKUP(Pipeline_tbl[[#This Row],[Rate_Code_Generalized]],Lookups!A:A,Lookups!B:B))*Pipeline_tbl[[#This Row],[Pipeline_Amount_USD]]</f>
        <v>359135.14</v>
      </c>
      <c r="O4165" t="str">
        <f>_xlfn.XLOOKUP(Pipeline_tbl[[#This Row],[Rep_ID]],Dim_Reps!A:A,Dim_Reps!B:B)</f>
        <v>Jonas Sato</v>
      </c>
      <c r="P4165" t="str">
        <f>_xlfn.XLOOKUP(Pipeline_tbl[[#This Row],[Rep_ID]],Dim_Reps!A:A,Dim_Reps!C:C)</f>
        <v>Mid-Market AE</v>
      </c>
      <c r="Q4165" t="str">
        <f>_xlfn.XLOOKUP(Pipeline_tbl[[#This Row],[Rep_ID]],Dim_Reps!A:A,Dim_Reps!D:D)</f>
        <v>Mid-Market</v>
      </c>
      <c r="R4165" t="str">
        <f>_xlfn.XLOOKUP(Pipeline_tbl[[#This Row],[Rep_ID]],Dim_Reps!A:A,Dim_Reps!E:E)</f>
        <v>LATAM</v>
      </c>
      <c r="S4165" t="str">
        <f>_xlfn.XLOOKUP(Pipeline_tbl[[#This Row],[Created_Date]],Dim_Date!A:A,Dim_Date!H:H)</f>
        <v>Jan 2025</v>
      </c>
      <c r="T4165" t="str">
        <f>IF(Pipeline_tbl[[#This Row],[Closed_Date]]=0,"",(_xlfn.XLOOKUP(Pipeline_tbl[[#This Row],[Closed_Date]],Dim_Date!A:A,Dim_Date!H:H)))</f>
        <v>Feb 2025</v>
      </c>
      <c r="U4165">
        <f>IF(Pipeline_tbl[[#This Row],[Closed_Date]]=0,"",Pipeline_tbl[[#This Row],[Closed_Date]]-Pipeline_tbl[[#This Row],[Created_Date]])</f>
        <v>23</v>
      </c>
    </row>
    <row r="4166" spans="1:21" ht="15" customHeight="1" x14ac:dyDescent="0.2">
      <c r="A4166" t="s">
        <v>4472</v>
      </c>
      <c r="B4166" t="s">
        <v>243</v>
      </c>
      <c r="C4166" t="s">
        <v>56</v>
      </c>
      <c r="D4166" s="49">
        <v>45661</v>
      </c>
      <c r="E4166" s="49">
        <v>45666</v>
      </c>
      <c r="F4166" s="49">
        <v>45675</v>
      </c>
      <c r="G4166" s="49">
        <v>45689</v>
      </c>
      <c r="H4166" s="49">
        <v>45700</v>
      </c>
      <c r="I4166" s="49">
        <v>45707</v>
      </c>
      <c r="J4166" t="s">
        <v>47</v>
      </c>
      <c r="K4166" s="33">
        <v>6300</v>
      </c>
      <c r="M4166" t="str">
        <f>_xlfn.XLOOKUP(Pipeline_tbl[[#This Row],[Rep_ID]],Dim_Reps!A:A,Dim_Reps!K:K)</f>
        <v>MXN</v>
      </c>
      <c r="N4166" s="33">
        <f>(_xlfn.XLOOKUP(Pipeline_tbl[[#This Row],[Rate_Code_Generalized]],Lookups!A:A,Lookups!B:B))*Pipeline_tbl[[#This Row],[Pipeline_Amount_USD]]</f>
        <v>124316.01000000001</v>
      </c>
      <c r="O4166" t="str">
        <f>_xlfn.XLOOKUP(Pipeline_tbl[[#This Row],[Rep_ID]],Dim_Reps!A:A,Dim_Reps!B:B)</f>
        <v>Jonas Sato</v>
      </c>
      <c r="P4166" t="str">
        <f>_xlfn.XLOOKUP(Pipeline_tbl[[#This Row],[Rep_ID]],Dim_Reps!A:A,Dim_Reps!C:C)</f>
        <v>Mid-Market AE</v>
      </c>
      <c r="Q4166" t="str">
        <f>_xlfn.XLOOKUP(Pipeline_tbl[[#This Row],[Rep_ID]],Dim_Reps!A:A,Dim_Reps!D:D)</f>
        <v>Mid-Market</v>
      </c>
      <c r="R4166" t="str">
        <f>_xlfn.XLOOKUP(Pipeline_tbl[[#This Row],[Rep_ID]],Dim_Reps!A:A,Dim_Reps!E:E)</f>
        <v>LATAM</v>
      </c>
      <c r="S4166" t="str">
        <f>_xlfn.XLOOKUP(Pipeline_tbl[[#This Row],[Created_Date]],Dim_Date!A:A,Dim_Date!H:H)</f>
        <v>Jan 2025</v>
      </c>
      <c r="T4166" t="str">
        <f>IF(Pipeline_tbl[[#This Row],[Closed_Date]]=0,"",(_xlfn.XLOOKUP(Pipeline_tbl[[#This Row],[Closed_Date]],Dim_Date!A:A,Dim_Date!H:H)))</f>
        <v>Feb 2025</v>
      </c>
      <c r="U4166">
        <f>IF(Pipeline_tbl[[#This Row],[Closed_Date]]=0,"",Pipeline_tbl[[#This Row],[Closed_Date]]-Pipeline_tbl[[#This Row],[Created_Date]])</f>
        <v>46</v>
      </c>
    </row>
    <row r="4167" spans="1:21" ht="15" customHeight="1" x14ac:dyDescent="0.2">
      <c r="A4167" t="s">
        <v>4473</v>
      </c>
      <c r="B4167" t="s">
        <v>243</v>
      </c>
      <c r="C4167" t="s">
        <v>55</v>
      </c>
      <c r="D4167" s="49">
        <v>45671</v>
      </c>
      <c r="E4167" s="49">
        <v>45675</v>
      </c>
      <c r="F4167" s="49">
        <v>45684</v>
      </c>
      <c r="G4167" s="49">
        <v>45696</v>
      </c>
      <c r="H4167" s="49">
        <v>45707</v>
      </c>
      <c r="I4167" s="49">
        <v>45713</v>
      </c>
      <c r="J4167" t="s">
        <v>47</v>
      </c>
      <c r="K4167" s="33">
        <v>16500</v>
      </c>
      <c r="M4167" t="str">
        <f>_xlfn.XLOOKUP(Pipeline_tbl[[#This Row],[Rep_ID]],Dim_Reps!A:A,Dim_Reps!K:K)</f>
        <v>MXN</v>
      </c>
      <c r="N4167" s="33">
        <f>(_xlfn.XLOOKUP(Pipeline_tbl[[#This Row],[Rate_Code_Generalized]],Lookups!A:A,Lookups!B:B))*Pipeline_tbl[[#This Row],[Pipeline_Amount_USD]]</f>
        <v>325589.55000000005</v>
      </c>
      <c r="O4167" t="str">
        <f>_xlfn.XLOOKUP(Pipeline_tbl[[#This Row],[Rep_ID]],Dim_Reps!A:A,Dim_Reps!B:B)</f>
        <v>Jonas Sato</v>
      </c>
      <c r="P4167" t="str">
        <f>_xlfn.XLOOKUP(Pipeline_tbl[[#This Row],[Rep_ID]],Dim_Reps!A:A,Dim_Reps!C:C)</f>
        <v>Mid-Market AE</v>
      </c>
      <c r="Q4167" t="str">
        <f>_xlfn.XLOOKUP(Pipeline_tbl[[#This Row],[Rep_ID]],Dim_Reps!A:A,Dim_Reps!D:D)</f>
        <v>Mid-Market</v>
      </c>
      <c r="R4167" t="str">
        <f>_xlfn.XLOOKUP(Pipeline_tbl[[#This Row],[Rep_ID]],Dim_Reps!A:A,Dim_Reps!E:E)</f>
        <v>LATAM</v>
      </c>
      <c r="S4167" t="str">
        <f>_xlfn.XLOOKUP(Pipeline_tbl[[#This Row],[Created_Date]],Dim_Date!A:A,Dim_Date!H:H)</f>
        <v>Jan 2025</v>
      </c>
      <c r="T4167" t="str">
        <f>IF(Pipeline_tbl[[#This Row],[Closed_Date]]=0,"",(_xlfn.XLOOKUP(Pipeline_tbl[[#This Row],[Closed_Date]],Dim_Date!A:A,Dim_Date!H:H)))</f>
        <v>Feb 2025</v>
      </c>
      <c r="U4167">
        <f>IF(Pipeline_tbl[[#This Row],[Closed_Date]]=0,"",Pipeline_tbl[[#This Row],[Closed_Date]]-Pipeline_tbl[[#This Row],[Created_Date]])</f>
        <v>42</v>
      </c>
    </row>
    <row r="4168" spans="1:21" ht="15" customHeight="1" x14ac:dyDescent="0.2">
      <c r="A4168" t="s">
        <v>4474</v>
      </c>
      <c r="B4168" t="s">
        <v>243</v>
      </c>
      <c r="C4168" t="s">
        <v>52</v>
      </c>
      <c r="D4168" s="49">
        <v>45665</v>
      </c>
      <c r="E4168" s="49">
        <v>45670</v>
      </c>
      <c r="F4168" s="49">
        <v>45680</v>
      </c>
      <c r="I4168" s="49">
        <v>45715</v>
      </c>
      <c r="J4168" t="s">
        <v>49</v>
      </c>
      <c r="K4168" s="33">
        <v>7800</v>
      </c>
      <c r="L4168" t="s">
        <v>60</v>
      </c>
      <c r="M4168" t="str">
        <f>_xlfn.XLOOKUP(Pipeline_tbl[[#This Row],[Rep_ID]],Dim_Reps!A:A,Dim_Reps!K:K)</f>
        <v>MXN</v>
      </c>
      <c r="N4168" s="33">
        <f>(_xlfn.XLOOKUP(Pipeline_tbl[[#This Row],[Rate_Code_Generalized]],Lookups!A:A,Lookups!B:B))*Pipeline_tbl[[#This Row],[Pipeline_Amount_USD]]</f>
        <v>153915.06</v>
      </c>
      <c r="O4168" t="str">
        <f>_xlfn.XLOOKUP(Pipeline_tbl[[#This Row],[Rep_ID]],Dim_Reps!A:A,Dim_Reps!B:B)</f>
        <v>Jonas Sato</v>
      </c>
      <c r="P4168" t="str">
        <f>_xlfn.XLOOKUP(Pipeline_tbl[[#This Row],[Rep_ID]],Dim_Reps!A:A,Dim_Reps!C:C)</f>
        <v>Mid-Market AE</v>
      </c>
      <c r="Q4168" t="str">
        <f>_xlfn.XLOOKUP(Pipeline_tbl[[#This Row],[Rep_ID]],Dim_Reps!A:A,Dim_Reps!D:D)</f>
        <v>Mid-Market</v>
      </c>
      <c r="R4168" t="str">
        <f>_xlfn.XLOOKUP(Pipeline_tbl[[#This Row],[Rep_ID]],Dim_Reps!A:A,Dim_Reps!E:E)</f>
        <v>LATAM</v>
      </c>
      <c r="S4168" t="str">
        <f>_xlfn.XLOOKUP(Pipeline_tbl[[#This Row],[Created_Date]],Dim_Date!A:A,Dim_Date!H:H)</f>
        <v>Jan 2025</v>
      </c>
      <c r="T4168" t="str">
        <f>IF(Pipeline_tbl[[#This Row],[Closed_Date]]=0,"",(_xlfn.XLOOKUP(Pipeline_tbl[[#This Row],[Closed_Date]],Dim_Date!A:A,Dim_Date!H:H)))</f>
        <v>Feb 2025</v>
      </c>
      <c r="U4168">
        <f>IF(Pipeline_tbl[[#This Row],[Closed_Date]]=0,"",Pipeline_tbl[[#This Row],[Closed_Date]]-Pipeline_tbl[[#This Row],[Created_Date]])</f>
        <v>50</v>
      </c>
    </row>
    <row r="4169" spans="1:21" ht="15" customHeight="1" x14ac:dyDescent="0.2">
      <c r="A4169" t="s">
        <v>4475</v>
      </c>
      <c r="B4169" t="s">
        <v>243</v>
      </c>
      <c r="C4169" t="s">
        <v>52</v>
      </c>
      <c r="D4169" s="49">
        <v>45663</v>
      </c>
      <c r="E4169" s="49">
        <v>45667</v>
      </c>
      <c r="F4169" s="49">
        <v>45675</v>
      </c>
      <c r="G4169" s="49">
        <v>45687</v>
      </c>
      <c r="I4169" s="49">
        <v>45703</v>
      </c>
      <c r="J4169" t="s">
        <v>49</v>
      </c>
      <c r="K4169" s="33">
        <v>10300</v>
      </c>
      <c r="L4169" t="s">
        <v>60</v>
      </c>
      <c r="M4169" t="str">
        <f>_xlfn.XLOOKUP(Pipeline_tbl[[#This Row],[Rep_ID]],Dim_Reps!A:A,Dim_Reps!K:K)</f>
        <v>MXN</v>
      </c>
      <c r="N4169" s="33">
        <f>(_xlfn.XLOOKUP(Pipeline_tbl[[#This Row],[Rate_Code_Generalized]],Lookups!A:A,Lookups!B:B))*Pipeline_tbl[[#This Row],[Pipeline_Amount_USD]]</f>
        <v>203246.81000000003</v>
      </c>
      <c r="O4169" t="str">
        <f>_xlfn.XLOOKUP(Pipeline_tbl[[#This Row],[Rep_ID]],Dim_Reps!A:A,Dim_Reps!B:B)</f>
        <v>Jonas Sato</v>
      </c>
      <c r="P4169" t="str">
        <f>_xlfn.XLOOKUP(Pipeline_tbl[[#This Row],[Rep_ID]],Dim_Reps!A:A,Dim_Reps!C:C)</f>
        <v>Mid-Market AE</v>
      </c>
      <c r="Q4169" t="str">
        <f>_xlfn.XLOOKUP(Pipeline_tbl[[#This Row],[Rep_ID]],Dim_Reps!A:A,Dim_Reps!D:D)</f>
        <v>Mid-Market</v>
      </c>
      <c r="R4169" t="str">
        <f>_xlfn.XLOOKUP(Pipeline_tbl[[#This Row],[Rep_ID]],Dim_Reps!A:A,Dim_Reps!E:E)</f>
        <v>LATAM</v>
      </c>
      <c r="S4169" t="str">
        <f>_xlfn.XLOOKUP(Pipeline_tbl[[#This Row],[Created_Date]],Dim_Date!A:A,Dim_Date!H:H)</f>
        <v>Jan 2025</v>
      </c>
      <c r="T4169" t="str">
        <f>IF(Pipeline_tbl[[#This Row],[Closed_Date]]=0,"",(_xlfn.XLOOKUP(Pipeline_tbl[[#This Row],[Closed_Date]],Dim_Date!A:A,Dim_Date!H:H)))</f>
        <v>Feb 2025</v>
      </c>
      <c r="U4169">
        <f>IF(Pipeline_tbl[[#This Row],[Closed_Date]]=0,"",Pipeline_tbl[[#This Row],[Closed_Date]]-Pipeline_tbl[[#This Row],[Created_Date]])</f>
        <v>40</v>
      </c>
    </row>
    <row r="4170" spans="1:21" ht="15" customHeight="1" x14ac:dyDescent="0.2">
      <c r="A4170" t="s">
        <v>4476</v>
      </c>
      <c r="B4170" t="s">
        <v>196</v>
      </c>
      <c r="C4170" t="s">
        <v>53</v>
      </c>
      <c r="D4170" s="49">
        <v>45683</v>
      </c>
      <c r="E4170" s="49">
        <v>45685</v>
      </c>
      <c r="F4170" s="49">
        <v>45688</v>
      </c>
      <c r="G4170" s="49">
        <v>45694</v>
      </c>
      <c r="H4170" s="49">
        <v>45698</v>
      </c>
      <c r="I4170" s="49">
        <v>45701</v>
      </c>
      <c r="J4170" t="s">
        <v>47</v>
      </c>
      <c r="K4170" s="33">
        <v>2400</v>
      </c>
      <c r="M4170" t="str">
        <f>_xlfn.XLOOKUP(Pipeline_tbl[[#This Row],[Rep_ID]],Dim_Reps!A:A,Dim_Reps!K:K)</f>
        <v>EUR</v>
      </c>
      <c r="N4170" s="33">
        <f>(_xlfn.XLOOKUP(Pipeline_tbl[[#This Row],[Rate_Code_Generalized]],Lookups!A:A,Lookups!B:B))*Pipeline_tbl[[#This Row],[Pipeline_Amount_USD]]</f>
        <v>2400</v>
      </c>
      <c r="O4170" t="str">
        <f>_xlfn.XLOOKUP(Pipeline_tbl[[#This Row],[Rep_ID]],Dim_Reps!A:A,Dim_Reps!B:B)</f>
        <v>Alex Okafor</v>
      </c>
      <c r="P4170" t="str">
        <f>_xlfn.XLOOKUP(Pipeline_tbl[[#This Row],[Rep_ID]],Dim_Reps!A:A,Dim_Reps!C:C)</f>
        <v>SDR / Inside Sales Rep</v>
      </c>
      <c r="Q4170" t="str">
        <f>_xlfn.XLOOKUP(Pipeline_tbl[[#This Row],[Rep_ID]],Dim_Reps!A:A,Dim_Reps!D:D)</f>
        <v>Inside Sales</v>
      </c>
      <c r="R4170" t="str">
        <f>_xlfn.XLOOKUP(Pipeline_tbl[[#This Row],[Rep_ID]],Dim_Reps!A:A,Dim_Reps!E:E)</f>
        <v>EMEA</v>
      </c>
      <c r="S4170" t="str">
        <f>_xlfn.XLOOKUP(Pipeline_tbl[[#This Row],[Created_Date]],Dim_Date!A:A,Dim_Date!H:H)</f>
        <v>Jan 2025</v>
      </c>
      <c r="T4170" t="str">
        <f>IF(Pipeline_tbl[[#This Row],[Closed_Date]]=0,"",(_xlfn.XLOOKUP(Pipeline_tbl[[#This Row],[Closed_Date]],Dim_Date!A:A,Dim_Date!H:H)))</f>
        <v>Feb 2025</v>
      </c>
      <c r="U4170">
        <f>IF(Pipeline_tbl[[#This Row],[Closed_Date]]=0,"",Pipeline_tbl[[#This Row],[Closed_Date]]-Pipeline_tbl[[#This Row],[Created_Date]])</f>
        <v>18</v>
      </c>
    </row>
    <row r="4171" spans="1:21" ht="15" customHeight="1" x14ac:dyDescent="0.2">
      <c r="A4171" t="s">
        <v>4477</v>
      </c>
      <c r="B4171" t="s">
        <v>196</v>
      </c>
      <c r="C4171" t="s">
        <v>52</v>
      </c>
      <c r="D4171" s="49">
        <v>45670</v>
      </c>
      <c r="E4171" s="49">
        <v>45673</v>
      </c>
      <c r="F4171" s="49">
        <v>45679</v>
      </c>
      <c r="G4171" s="49">
        <v>45688</v>
      </c>
      <c r="H4171" s="49">
        <v>45696</v>
      </c>
      <c r="I4171" s="49">
        <v>45700</v>
      </c>
      <c r="J4171" t="s">
        <v>47</v>
      </c>
      <c r="K4171" s="33">
        <v>6000</v>
      </c>
      <c r="M4171" t="str">
        <f>_xlfn.XLOOKUP(Pipeline_tbl[[#This Row],[Rep_ID]],Dim_Reps!A:A,Dim_Reps!K:K)</f>
        <v>EUR</v>
      </c>
      <c r="N4171" s="33">
        <f>(_xlfn.XLOOKUP(Pipeline_tbl[[#This Row],[Rate_Code_Generalized]],Lookups!A:A,Lookups!B:B))*Pipeline_tbl[[#This Row],[Pipeline_Amount_USD]]</f>
        <v>6000</v>
      </c>
      <c r="O4171" t="str">
        <f>_xlfn.XLOOKUP(Pipeline_tbl[[#This Row],[Rep_ID]],Dim_Reps!A:A,Dim_Reps!B:B)</f>
        <v>Alex Okafor</v>
      </c>
      <c r="P4171" t="str">
        <f>_xlfn.XLOOKUP(Pipeline_tbl[[#This Row],[Rep_ID]],Dim_Reps!A:A,Dim_Reps!C:C)</f>
        <v>SDR / Inside Sales Rep</v>
      </c>
      <c r="Q4171" t="str">
        <f>_xlfn.XLOOKUP(Pipeline_tbl[[#This Row],[Rep_ID]],Dim_Reps!A:A,Dim_Reps!D:D)</f>
        <v>Inside Sales</v>
      </c>
      <c r="R4171" t="str">
        <f>_xlfn.XLOOKUP(Pipeline_tbl[[#This Row],[Rep_ID]],Dim_Reps!A:A,Dim_Reps!E:E)</f>
        <v>EMEA</v>
      </c>
      <c r="S4171" t="str">
        <f>_xlfn.XLOOKUP(Pipeline_tbl[[#This Row],[Created_Date]],Dim_Date!A:A,Dim_Date!H:H)</f>
        <v>Jan 2025</v>
      </c>
      <c r="T4171" t="str">
        <f>IF(Pipeline_tbl[[#This Row],[Closed_Date]]=0,"",(_xlfn.XLOOKUP(Pipeline_tbl[[#This Row],[Closed_Date]],Dim_Date!A:A,Dim_Date!H:H)))</f>
        <v>Feb 2025</v>
      </c>
      <c r="U4171">
        <f>IF(Pipeline_tbl[[#This Row],[Closed_Date]]=0,"",Pipeline_tbl[[#This Row],[Closed_Date]]-Pipeline_tbl[[#This Row],[Created_Date]])</f>
        <v>30</v>
      </c>
    </row>
    <row r="4172" spans="1:21" ht="15" customHeight="1" x14ac:dyDescent="0.2">
      <c r="A4172" t="s">
        <v>4478</v>
      </c>
      <c r="B4172" t="s">
        <v>196</v>
      </c>
      <c r="C4172" t="s">
        <v>53</v>
      </c>
      <c r="D4172" s="49">
        <v>45681</v>
      </c>
      <c r="E4172" s="49">
        <v>45683</v>
      </c>
      <c r="F4172" s="49">
        <v>45686</v>
      </c>
      <c r="G4172" s="49">
        <v>45691</v>
      </c>
      <c r="H4172" s="49">
        <v>45695</v>
      </c>
      <c r="I4172" s="49">
        <v>45698</v>
      </c>
      <c r="J4172" t="s">
        <v>47</v>
      </c>
      <c r="K4172" s="33">
        <v>8500</v>
      </c>
      <c r="M4172" t="str">
        <f>_xlfn.XLOOKUP(Pipeline_tbl[[#This Row],[Rep_ID]],Dim_Reps!A:A,Dim_Reps!K:K)</f>
        <v>EUR</v>
      </c>
      <c r="N4172" s="33">
        <f>(_xlfn.XLOOKUP(Pipeline_tbl[[#This Row],[Rate_Code_Generalized]],Lookups!A:A,Lookups!B:B))*Pipeline_tbl[[#This Row],[Pipeline_Amount_USD]]</f>
        <v>8500</v>
      </c>
      <c r="O4172" t="str">
        <f>_xlfn.XLOOKUP(Pipeline_tbl[[#This Row],[Rep_ID]],Dim_Reps!A:A,Dim_Reps!B:B)</f>
        <v>Alex Okafor</v>
      </c>
      <c r="P4172" t="str">
        <f>_xlfn.XLOOKUP(Pipeline_tbl[[#This Row],[Rep_ID]],Dim_Reps!A:A,Dim_Reps!C:C)</f>
        <v>SDR / Inside Sales Rep</v>
      </c>
      <c r="Q4172" t="str">
        <f>_xlfn.XLOOKUP(Pipeline_tbl[[#This Row],[Rep_ID]],Dim_Reps!A:A,Dim_Reps!D:D)</f>
        <v>Inside Sales</v>
      </c>
      <c r="R4172" t="str">
        <f>_xlfn.XLOOKUP(Pipeline_tbl[[#This Row],[Rep_ID]],Dim_Reps!A:A,Dim_Reps!E:E)</f>
        <v>EMEA</v>
      </c>
      <c r="S4172" t="str">
        <f>_xlfn.XLOOKUP(Pipeline_tbl[[#This Row],[Created_Date]],Dim_Date!A:A,Dim_Date!H:H)</f>
        <v>Jan 2025</v>
      </c>
      <c r="T4172" t="str">
        <f>IF(Pipeline_tbl[[#This Row],[Closed_Date]]=0,"",(_xlfn.XLOOKUP(Pipeline_tbl[[#This Row],[Closed_Date]],Dim_Date!A:A,Dim_Date!H:H)))</f>
        <v>Feb 2025</v>
      </c>
      <c r="U4172">
        <f>IF(Pipeline_tbl[[#This Row],[Closed_Date]]=0,"",Pipeline_tbl[[#This Row],[Closed_Date]]-Pipeline_tbl[[#This Row],[Created_Date]])</f>
        <v>17</v>
      </c>
    </row>
    <row r="4173" spans="1:21" ht="15" customHeight="1" x14ac:dyDescent="0.2">
      <c r="A4173" t="s">
        <v>4479</v>
      </c>
      <c r="B4173" t="s">
        <v>196</v>
      </c>
      <c r="C4173" t="s">
        <v>52</v>
      </c>
      <c r="D4173" s="49">
        <v>45684</v>
      </c>
      <c r="E4173" s="49">
        <v>45687</v>
      </c>
      <c r="F4173" s="49">
        <v>45693</v>
      </c>
      <c r="G4173" s="49">
        <v>45701</v>
      </c>
      <c r="H4173" s="49">
        <v>45709</v>
      </c>
      <c r="I4173" s="49">
        <v>45713</v>
      </c>
      <c r="J4173" t="s">
        <v>47</v>
      </c>
      <c r="K4173" s="33">
        <v>2800</v>
      </c>
      <c r="M4173" t="str">
        <f>_xlfn.XLOOKUP(Pipeline_tbl[[#This Row],[Rep_ID]],Dim_Reps!A:A,Dim_Reps!K:K)</f>
        <v>EUR</v>
      </c>
      <c r="N4173" s="33">
        <f>(_xlfn.XLOOKUP(Pipeline_tbl[[#This Row],[Rate_Code_Generalized]],Lookups!A:A,Lookups!B:B))*Pipeline_tbl[[#This Row],[Pipeline_Amount_USD]]</f>
        <v>2800</v>
      </c>
      <c r="O4173" t="str">
        <f>_xlfn.XLOOKUP(Pipeline_tbl[[#This Row],[Rep_ID]],Dim_Reps!A:A,Dim_Reps!B:B)</f>
        <v>Alex Okafor</v>
      </c>
      <c r="P4173" t="str">
        <f>_xlfn.XLOOKUP(Pipeline_tbl[[#This Row],[Rep_ID]],Dim_Reps!A:A,Dim_Reps!C:C)</f>
        <v>SDR / Inside Sales Rep</v>
      </c>
      <c r="Q4173" t="str">
        <f>_xlfn.XLOOKUP(Pipeline_tbl[[#This Row],[Rep_ID]],Dim_Reps!A:A,Dim_Reps!D:D)</f>
        <v>Inside Sales</v>
      </c>
      <c r="R4173" t="str">
        <f>_xlfn.XLOOKUP(Pipeline_tbl[[#This Row],[Rep_ID]],Dim_Reps!A:A,Dim_Reps!E:E)</f>
        <v>EMEA</v>
      </c>
      <c r="S4173" t="str">
        <f>_xlfn.XLOOKUP(Pipeline_tbl[[#This Row],[Created_Date]],Dim_Date!A:A,Dim_Date!H:H)</f>
        <v>Jan 2025</v>
      </c>
      <c r="T4173" t="str">
        <f>IF(Pipeline_tbl[[#This Row],[Closed_Date]]=0,"",(_xlfn.XLOOKUP(Pipeline_tbl[[#This Row],[Closed_Date]],Dim_Date!A:A,Dim_Date!H:H)))</f>
        <v>Feb 2025</v>
      </c>
      <c r="U4173">
        <f>IF(Pipeline_tbl[[#This Row],[Closed_Date]]=0,"",Pipeline_tbl[[#This Row],[Closed_Date]]-Pipeline_tbl[[#This Row],[Created_Date]])</f>
        <v>29</v>
      </c>
    </row>
    <row r="4174" spans="1:21" ht="15" customHeight="1" x14ac:dyDescent="0.2">
      <c r="A4174" t="s">
        <v>4480</v>
      </c>
      <c r="B4174" t="s">
        <v>196</v>
      </c>
      <c r="C4174" t="s">
        <v>54</v>
      </c>
      <c r="D4174" s="49">
        <v>45672</v>
      </c>
      <c r="E4174" s="49">
        <v>45674</v>
      </c>
      <c r="F4174" s="49">
        <v>45679</v>
      </c>
      <c r="I4174" s="49">
        <v>45694</v>
      </c>
      <c r="J4174" t="s">
        <v>49</v>
      </c>
      <c r="K4174" s="33">
        <v>1400</v>
      </c>
      <c r="L4174" t="s">
        <v>60</v>
      </c>
      <c r="M4174" t="str">
        <f>_xlfn.XLOOKUP(Pipeline_tbl[[#This Row],[Rep_ID]],Dim_Reps!A:A,Dim_Reps!K:K)</f>
        <v>EUR</v>
      </c>
      <c r="N4174" s="33">
        <f>(_xlfn.XLOOKUP(Pipeline_tbl[[#This Row],[Rate_Code_Generalized]],Lookups!A:A,Lookups!B:B))*Pipeline_tbl[[#This Row],[Pipeline_Amount_USD]]</f>
        <v>1400</v>
      </c>
      <c r="O4174" t="str">
        <f>_xlfn.XLOOKUP(Pipeline_tbl[[#This Row],[Rep_ID]],Dim_Reps!A:A,Dim_Reps!B:B)</f>
        <v>Alex Okafor</v>
      </c>
      <c r="P4174" t="str">
        <f>_xlfn.XLOOKUP(Pipeline_tbl[[#This Row],[Rep_ID]],Dim_Reps!A:A,Dim_Reps!C:C)</f>
        <v>SDR / Inside Sales Rep</v>
      </c>
      <c r="Q4174" t="str">
        <f>_xlfn.XLOOKUP(Pipeline_tbl[[#This Row],[Rep_ID]],Dim_Reps!A:A,Dim_Reps!D:D)</f>
        <v>Inside Sales</v>
      </c>
      <c r="R4174" t="str">
        <f>_xlfn.XLOOKUP(Pipeline_tbl[[#This Row],[Rep_ID]],Dim_Reps!A:A,Dim_Reps!E:E)</f>
        <v>EMEA</v>
      </c>
      <c r="S4174" t="str">
        <f>_xlfn.XLOOKUP(Pipeline_tbl[[#This Row],[Created_Date]],Dim_Date!A:A,Dim_Date!H:H)</f>
        <v>Jan 2025</v>
      </c>
      <c r="T4174" t="str">
        <f>IF(Pipeline_tbl[[#This Row],[Closed_Date]]=0,"",(_xlfn.XLOOKUP(Pipeline_tbl[[#This Row],[Closed_Date]],Dim_Date!A:A,Dim_Date!H:H)))</f>
        <v>Feb 2025</v>
      </c>
      <c r="U4174">
        <f>IF(Pipeline_tbl[[#This Row],[Closed_Date]]=0,"",Pipeline_tbl[[#This Row],[Closed_Date]]-Pipeline_tbl[[#This Row],[Created_Date]])</f>
        <v>22</v>
      </c>
    </row>
    <row r="4175" spans="1:21" ht="15" customHeight="1" x14ac:dyDescent="0.2">
      <c r="A4175" t="s">
        <v>4481</v>
      </c>
      <c r="B4175" t="s">
        <v>196</v>
      </c>
      <c r="C4175" t="s">
        <v>52</v>
      </c>
      <c r="D4175" s="49">
        <v>45687</v>
      </c>
      <c r="E4175" s="49">
        <v>45689</v>
      </c>
      <c r="F4175" s="49">
        <v>45694</v>
      </c>
      <c r="G4175" s="49">
        <v>45701</v>
      </c>
      <c r="H4175" s="49">
        <v>45707</v>
      </c>
      <c r="I4175" s="49">
        <v>45710</v>
      </c>
      <c r="J4175" t="s">
        <v>47</v>
      </c>
      <c r="K4175" s="33">
        <v>4900</v>
      </c>
      <c r="M4175" t="str">
        <f>_xlfn.XLOOKUP(Pipeline_tbl[[#This Row],[Rep_ID]],Dim_Reps!A:A,Dim_Reps!K:K)</f>
        <v>EUR</v>
      </c>
      <c r="N4175" s="33">
        <f>(_xlfn.XLOOKUP(Pipeline_tbl[[#This Row],[Rate_Code_Generalized]],Lookups!A:A,Lookups!B:B))*Pipeline_tbl[[#This Row],[Pipeline_Amount_USD]]</f>
        <v>4900</v>
      </c>
      <c r="O4175" t="str">
        <f>_xlfn.XLOOKUP(Pipeline_tbl[[#This Row],[Rep_ID]],Dim_Reps!A:A,Dim_Reps!B:B)</f>
        <v>Alex Okafor</v>
      </c>
      <c r="P4175" t="str">
        <f>_xlfn.XLOOKUP(Pipeline_tbl[[#This Row],[Rep_ID]],Dim_Reps!A:A,Dim_Reps!C:C)</f>
        <v>SDR / Inside Sales Rep</v>
      </c>
      <c r="Q4175" t="str">
        <f>_xlfn.XLOOKUP(Pipeline_tbl[[#This Row],[Rep_ID]],Dim_Reps!A:A,Dim_Reps!D:D)</f>
        <v>Inside Sales</v>
      </c>
      <c r="R4175" t="str">
        <f>_xlfn.XLOOKUP(Pipeline_tbl[[#This Row],[Rep_ID]],Dim_Reps!A:A,Dim_Reps!E:E)</f>
        <v>EMEA</v>
      </c>
      <c r="S4175" t="str">
        <f>_xlfn.XLOOKUP(Pipeline_tbl[[#This Row],[Created_Date]],Dim_Date!A:A,Dim_Date!H:H)</f>
        <v>Jan 2025</v>
      </c>
      <c r="T4175" t="str">
        <f>IF(Pipeline_tbl[[#This Row],[Closed_Date]]=0,"",(_xlfn.XLOOKUP(Pipeline_tbl[[#This Row],[Closed_Date]],Dim_Date!A:A,Dim_Date!H:H)))</f>
        <v>Feb 2025</v>
      </c>
      <c r="U4175">
        <f>IF(Pipeline_tbl[[#This Row],[Closed_Date]]=0,"",Pipeline_tbl[[#This Row],[Closed_Date]]-Pipeline_tbl[[#This Row],[Created_Date]])</f>
        <v>23</v>
      </c>
    </row>
    <row r="4176" spans="1:21" ht="15" customHeight="1" x14ac:dyDescent="0.2">
      <c r="A4176" t="s">
        <v>4482</v>
      </c>
      <c r="B4176" t="s">
        <v>199</v>
      </c>
      <c r="C4176" t="s">
        <v>52</v>
      </c>
      <c r="D4176" s="49">
        <v>45681</v>
      </c>
      <c r="E4176" s="49">
        <v>45683</v>
      </c>
      <c r="F4176" s="49">
        <v>45686</v>
      </c>
      <c r="I4176" s="49">
        <v>45697</v>
      </c>
      <c r="J4176" t="s">
        <v>49</v>
      </c>
      <c r="K4176" s="33">
        <v>4200</v>
      </c>
      <c r="L4176" t="s">
        <v>62</v>
      </c>
      <c r="M4176" t="str">
        <f>_xlfn.XLOOKUP(Pipeline_tbl[[#This Row],[Rep_ID]],Dim_Reps!A:A,Dim_Reps!K:K)</f>
        <v>EUR</v>
      </c>
      <c r="N4176" s="33">
        <f>(_xlfn.XLOOKUP(Pipeline_tbl[[#This Row],[Rate_Code_Generalized]],Lookups!A:A,Lookups!B:B))*Pipeline_tbl[[#This Row],[Pipeline_Amount_USD]]</f>
        <v>4200</v>
      </c>
      <c r="O4176" t="str">
        <f>_xlfn.XLOOKUP(Pipeline_tbl[[#This Row],[Rep_ID]],Dim_Reps!A:A,Dim_Reps!B:B)</f>
        <v>Lucas Okafor</v>
      </c>
      <c r="P4176" t="str">
        <f>_xlfn.XLOOKUP(Pipeline_tbl[[#This Row],[Rep_ID]],Dim_Reps!A:A,Dim_Reps!C:C)</f>
        <v>SDR / Inside Sales Rep</v>
      </c>
      <c r="Q4176" t="str">
        <f>_xlfn.XLOOKUP(Pipeline_tbl[[#This Row],[Rep_ID]],Dim_Reps!A:A,Dim_Reps!D:D)</f>
        <v>Inside Sales</v>
      </c>
      <c r="R4176" t="str">
        <f>_xlfn.XLOOKUP(Pipeline_tbl[[#This Row],[Rep_ID]],Dim_Reps!A:A,Dim_Reps!E:E)</f>
        <v>APAC</v>
      </c>
      <c r="S4176" t="str">
        <f>_xlfn.XLOOKUP(Pipeline_tbl[[#This Row],[Created_Date]],Dim_Date!A:A,Dim_Date!H:H)</f>
        <v>Jan 2025</v>
      </c>
      <c r="T4176" t="str">
        <f>IF(Pipeline_tbl[[#This Row],[Closed_Date]]=0,"",(_xlfn.XLOOKUP(Pipeline_tbl[[#This Row],[Closed_Date]],Dim_Date!A:A,Dim_Date!H:H)))</f>
        <v>Feb 2025</v>
      </c>
      <c r="U4176">
        <f>IF(Pipeline_tbl[[#This Row],[Closed_Date]]=0,"",Pipeline_tbl[[#This Row],[Closed_Date]]-Pipeline_tbl[[#This Row],[Created_Date]])</f>
        <v>16</v>
      </c>
    </row>
    <row r="4177" spans="1:21" ht="15" customHeight="1" x14ac:dyDescent="0.2">
      <c r="A4177" t="s">
        <v>4483</v>
      </c>
      <c r="B4177" t="s">
        <v>199</v>
      </c>
      <c r="C4177" t="s">
        <v>54</v>
      </c>
      <c r="D4177" s="49">
        <v>45673</v>
      </c>
      <c r="E4177" s="49">
        <v>45675</v>
      </c>
      <c r="F4177" s="49">
        <v>45678</v>
      </c>
      <c r="G4177" s="49">
        <v>45683</v>
      </c>
      <c r="H4177" s="49">
        <v>45687</v>
      </c>
      <c r="I4177" s="49">
        <v>45689</v>
      </c>
      <c r="J4177" t="s">
        <v>49</v>
      </c>
      <c r="K4177" s="33">
        <v>3400</v>
      </c>
      <c r="L4177" t="s">
        <v>60</v>
      </c>
      <c r="M4177" t="str">
        <f>_xlfn.XLOOKUP(Pipeline_tbl[[#This Row],[Rep_ID]],Dim_Reps!A:A,Dim_Reps!K:K)</f>
        <v>EUR</v>
      </c>
      <c r="N4177" s="33">
        <f>(_xlfn.XLOOKUP(Pipeline_tbl[[#This Row],[Rate_Code_Generalized]],Lookups!A:A,Lookups!B:B))*Pipeline_tbl[[#This Row],[Pipeline_Amount_USD]]</f>
        <v>3400</v>
      </c>
      <c r="O4177" t="str">
        <f>_xlfn.XLOOKUP(Pipeline_tbl[[#This Row],[Rep_ID]],Dim_Reps!A:A,Dim_Reps!B:B)</f>
        <v>Lucas Okafor</v>
      </c>
      <c r="P4177" t="str">
        <f>_xlfn.XLOOKUP(Pipeline_tbl[[#This Row],[Rep_ID]],Dim_Reps!A:A,Dim_Reps!C:C)</f>
        <v>SDR / Inside Sales Rep</v>
      </c>
      <c r="Q4177" t="str">
        <f>_xlfn.XLOOKUP(Pipeline_tbl[[#This Row],[Rep_ID]],Dim_Reps!A:A,Dim_Reps!D:D)</f>
        <v>Inside Sales</v>
      </c>
      <c r="R4177" t="str">
        <f>_xlfn.XLOOKUP(Pipeline_tbl[[#This Row],[Rep_ID]],Dim_Reps!A:A,Dim_Reps!E:E)</f>
        <v>APAC</v>
      </c>
      <c r="S4177" t="str">
        <f>_xlfn.XLOOKUP(Pipeline_tbl[[#This Row],[Created_Date]],Dim_Date!A:A,Dim_Date!H:H)</f>
        <v>Jan 2025</v>
      </c>
      <c r="T4177" t="str">
        <f>IF(Pipeline_tbl[[#This Row],[Closed_Date]]=0,"",(_xlfn.XLOOKUP(Pipeline_tbl[[#This Row],[Closed_Date]],Dim_Date!A:A,Dim_Date!H:H)))</f>
        <v>Feb 2025</v>
      </c>
      <c r="U4177">
        <f>IF(Pipeline_tbl[[#This Row],[Closed_Date]]=0,"",Pipeline_tbl[[#This Row],[Closed_Date]]-Pipeline_tbl[[#This Row],[Created_Date]])</f>
        <v>16</v>
      </c>
    </row>
    <row r="4178" spans="1:21" ht="15" customHeight="1" x14ac:dyDescent="0.2">
      <c r="A4178" t="s">
        <v>4484</v>
      </c>
      <c r="B4178" t="s">
        <v>199</v>
      </c>
      <c r="C4178" t="s">
        <v>52</v>
      </c>
      <c r="D4178" s="49">
        <v>45666</v>
      </c>
      <c r="E4178" s="49">
        <v>45669</v>
      </c>
      <c r="I4178" s="49">
        <v>45693</v>
      </c>
      <c r="J4178" t="s">
        <v>49</v>
      </c>
      <c r="K4178" s="33">
        <v>2200</v>
      </c>
      <c r="L4178" t="s">
        <v>60</v>
      </c>
      <c r="M4178" t="str">
        <f>_xlfn.XLOOKUP(Pipeline_tbl[[#This Row],[Rep_ID]],Dim_Reps!A:A,Dim_Reps!K:K)</f>
        <v>EUR</v>
      </c>
      <c r="N4178" s="33">
        <f>(_xlfn.XLOOKUP(Pipeline_tbl[[#This Row],[Rate_Code_Generalized]],Lookups!A:A,Lookups!B:B))*Pipeline_tbl[[#This Row],[Pipeline_Amount_USD]]</f>
        <v>2200</v>
      </c>
      <c r="O4178" t="str">
        <f>_xlfn.XLOOKUP(Pipeline_tbl[[#This Row],[Rep_ID]],Dim_Reps!A:A,Dim_Reps!B:B)</f>
        <v>Lucas Okafor</v>
      </c>
      <c r="P4178" t="str">
        <f>_xlfn.XLOOKUP(Pipeline_tbl[[#This Row],[Rep_ID]],Dim_Reps!A:A,Dim_Reps!C:C)</f>
        <v>SDR / Inside Sales Rep</v>
      </c>
      <c r="Q4178" t="str">
        <f>_xlfn.XLOOKUP(Pipeline_tbl[[#This Row],[Rep_ID]],Dim_Reps!A:A,Dim_Reps!D:D)</f>
        <v>Inside Sales</v>
      </c>
      <c r="R4178" t="str">
        <f>_xlfn.XLOOKUP(Pipeline_tbl[[#This Row],[Rep_ID]],Dim_Reps!A:A,Dim_Reps!E:E)</f>
        <v>APAC</v>
      </c>
      <c r="S4178" t="str">
        <f>_xlfn.XLOOKUP(Pipeline_tbl[[#This Row],[Created_Date]],Dim_Date!A:A,Dim_Date!H:H)</f>
        <v>Jan 2025</v>
      </c>
      <c r="T4178" t="str">
        <f>IF(Pipeline_tbl[[#This Row],[Closed_Date]]=0,"",(_xlfn.XLOOKUP(Pipeline_tbl[[#This Row],[Closed_Date]],Dim_Date!A:A,Dim_Date!H:H)))</f>
        <v>Feb 2025</v>
      </c>
      <c r="U4178">
        <f>IF(Pipeline_tbl[[#This Row],[Closed_Date]]=0,"",Pipeline_tbl[[#This Row],[Closed_Date]]-Pipeline_tbl[[#This Row],[Created_Date]])</f>
        <v>27</v>
      </c>
    </row>
    <row r="4179" spans="1:21" ht="15" customHeight="1" x14ac:dyDescent="0.2">
      <c r="A4179" t="s">
        <v>4485</v>
      </c>
      <c r="B4179" t="s">
        <v>199</v>
      </c>
      <c r="C4179" t="s">
        <v>55</v>
      </c>
      <c r="D4179" s="49">
        <v>45681</v>
      </c>
      <c r="E4179" s="49">
        <v>45682</v>
      </c>
      <c r="F4179" s="49">
        <v>45685</v>
      </c>
      <c r="I4179" s="49">
        <v>45695</v>
      </c>
      <c r="J4179" t="s">
        <v>49</v>
      </c>
      <c r="K4179" s="33">
        <v>5000</v>
      </c>
      <c r="L4179" t="s">
        <v>60</v>
      </c>
      <c r="M4179" t="str">
        <f>_xlfn.XLOOKUP(Pipeline_tbl[[#This Row],[Rep_ID]],Dim_Reps!A:A,Dim_Reps!K:K)</f>
        <v>EUR</v>
      </c>
      <c r="N4179" s="33">
        <f>(_xlfn.XLOOKUP(Pipeline_tbl[[#This Row],[Rate_Code_Generalized]],Lookups!A:A,Lookups!B:B))*Pipeline_tbl[[#This Row],[Pipeline_Amount_USD]]</f>
        <v>5000</v>
      </c>
      <c r="O4179" t="str">
        <f>_xlfn.XLOOKUP(Pipeline_tbl[[#This Row],[Rep_ID]],Dim_Reps!A:A,Dim_Reps!B:B)</f>
        <v>Lucas Okafor</v>
      </c>
      <c r="P4179" t="str">
        <f>_xlfn.XLOOKUP(Pipeline_tbl[[#This Row],[Rep_ID]],Dim_Reps!A:A,Dim_Reps!C:C)</f>
        <v>SDR / Inside Sales Rep</v>
      </c>
      <c r="Q4179" t="str">
        <f>_xlfn.XLOOKUP(Pipeline_tbl[[#This Row],[Rep_ID]],Dim_Reps!A:A,Dim_Reps!D:D)</f>
        <v>Inside Sales</v>
      </c>
      <c r="R4179" t="str">
        <f>_xlfn.XLOOKUP(Pipeline_tbl[[#This Row],[Rep_ID]],Dim_Reps!A:A,Dim_Reps!E:E)</f>
        <v>APAC</v>
      </c>
      <c r="S4179" t="str">
        <f>_xlfn.XLOOKUP(Pipeline_tbl[[#This Row],[Created_Date]],Dim_Date!A:A,Dim_Date!H:H)</f>
        <v>Jan 2025</v>
      </c>
      <c r="T4179" t="str">
        <f>IF(Pipeline_tbl[[#This Row],[Closed_Date]]=0,"",(_xlfn.XLOOKUP(Pipeline_tbl[[#This Row],[Closed_Date]],Dim_Date!A:A,Dim_Date!H:H)))</f>
        <v>Feb 2025</v>
      </c>
      <c r="U4179">
        <f>IF(Pipeline_tbl[[#This Row],[Closed_Date]]=0,"",Pipeline_tbl[[#This Row],[Closed_Date]]-Pipeline_tbl[[#This Row],[Created_Date]])</f>
        <v>14</v>
      </c>
    </row>
    <row r="4180" spans="1:21" ht="15" customHeight="1" x14ac:dyDescent="0.2">
      <c r="A4180" t="s">
        <v>4486</v>
      </c>
      <c r="B4180" t="s">
        <v>199</v>
      </c>
      <c r="C4180" t="s">
        <v>54</v>
      </c>
      <c r="D4180" s="49">
        <v>45676</v>
      </c>
      <c r="E4180" s="49">
        <v>45678</v>
      </c>
      <c r="F4180" s="49">
        <v>45681</v>
      </c>
      <c r="G4180" s="49">
        <v>45687</v>
      </c>
      <c r="H4180" s="49">
        <v>45691</v>
      </c>
      <c r="I4180" s="49">
        <v>45694</v>
      </c>
      <c r="J4180" t="s">
        <v>47</v>
      </c>
      <c r="K4180" s="33">
        <v>6700</v>
      </c>
      <c r="M4180" t="str">
        <f>_xlfn.XLOOKUP(Pipeline_tbl[[#This Row],[Rep_ID]],Dim_Reps!A:A,Dim_Reps!K:K)</f>
        <v>EUR</v>
      </c>
      <c r="N4180" s="33">
        <f>(_xlfn.XLOOKUP(Pipeline_tbl[[#This Row],[Rate_Code_Generalized]],Lookups!A:A,Lookups!B:B))*Pipeline_tbl[[#This Row],[Pipeline_Amount_USD]]</f>
        <v>6700</v>
      </c>
      <c r="O4180" t="str">
        <f>_xlfn.XLOOKUP(Pipeline_tbl[[#This Row],[Rep_ID]],Dim_Reps!A:A,Dim_Reps!B:B)</f>
        <v>Lucas Okafor</v>
      </c>
      <c r="P4180" t="str">
        <f>_xlfn.XLOOKUP(Pipeline_tbl[[#This Row],[Rep_ID]],Dim_Reps!A:A,Dim_Reps!C:C)</f>
        <v>SDR / Inside Sales Rep</v>
      </c>
      <c r="Q4180" t="str">
        <f>_xlfn.XLOOKUP(Pipeline_tbl[[#This Row],[Rep_ID]],Dim_Reps!A:A,Dim_Reps!D:D)</f>
        <v>Inside Sales</v>
      </c>
      <c r="R4180" t="str">
        <f>_xlfn.XLOOKUP(Pipeline_tbl[[#This Row],[Rep_ID]],Dim_Reps!A:A,Dim_Reps!E:E)</f>
        <v>APAC</v>
      </c>
      <c r="S4180" t="str">
        <f>_xlfn.XLOOKUP(Pipeline_tbl[[#This Row],[Created_Date]],Dim_Date!A:A,Dim_Date!H:H)</f>
        <v>Jan 2025</v>
      </c>
      <c r="T4180" t="str">
        <f>IF(Pipeline_tbl[[#This Row],[Closed_Date]]=0,"",(_xlfn.XLOOKUP(Pipeline_tbl[[#This Row],[Closed_Date]],Dim_Date!A:A,Dim_Date!H:H)))</f>
        <v>Feb 2025</v>
      </c>
      <c r="U4180">
        <f>IF(Pipeline_tbl[[#This Row],[Closed_Date]]=0,"",Pipeline_tbl[[#This Row],[Closed_Date]]-Pipeline_tbl[[#This Row],[Created_Date]])</f>
        <v>18</v>
      </c>
    </row>
    <row r="4181" spans="1:21" ht="15" customHeight="1" x14ac:dyDescent="0.2">
      <c r="A4181" t="s">
        <v>4487</v>
      </c>
      <c r="B4181" t="s">
        <v>199</v>
      </c>
      <c r="C4181" t="s">
        <v>56</v>
      </c>
      <c r="D4181" s="49">
        <v>45682</v>
      </c>
      <c r="E4181" s="49">
        <v>45684</v>
      </c>
      <c r="F4181" s="49">
        <v>45687</v>
      </c>
      <c r="G4181" s="49">
        <v>45692</v>
      </c>
      <c r="H4181" s="49">
        <v>45696</v>
      </c>
      <c r="I4181" s="49">
        <v>45698</v>
      </c>
      <c r="J4181" t="s">
        <v>47</v>
      </c>
      <c r="K4181" s="33">
        <v>2700</v>
      </c>
      <c r="M4181" t="str">
        <f>_xlfn.XLOOKUP(Pipeline_tbl[[#This Row],[Rep_ID]],Dim_Reps!A:A,Dim_Reps!K:K)</f>
        <v>EUR</v>
      </c>
      <c r="N4181" s="33">
        <f>(_xlfn.XLOOKUP(Pipeline_tbl[[#This Row],[Rate_Code_Generalized]],Lookups!A:A,Lookups!B:B))*Pipeline_tbl[[#This Row],[Pipeline_Amount_USD]]</f>
        <v>2700</v>
      </c>
      <c r="O4181" t="str">
        <f>_xlfn.XLOOKUP(Pipeline_tbl[[#This Row],[Rep_ID]],Dim_Reps!A:A,Dim_Reps!B:B)</f>
        <v>Lucas Okafor</v>
      </c>
      <c r="P4181" t="str">
        <f>_xlfn.XLOOKUP(Pipeline_tbl[[#This Row],[Rep_ID]],Dim_Reps!A:A,Dim_Reps!C:C)</f>
        <v>SDR / Inside Sales Rep</v>
      </c>
      <c r="Q4181" t="str">
        <f>_xlfn.XLOOKUP(Pipeline_tbl[[#This Row],[Rep_ID]],Dim_Reps!A:A,Dim_Reps!D:D)</f>
        <v>Inside Sales</v>
      </c>
      <c r="R4181" t="str">
        <f>_xlfn.XLOOKUP(Pipeline_tbl[[#This Row],[Rep_ID]],Dim_Reps!A:A,Dim_Reps!E:E)</f>
        <v>APAC</v>
      </c>
      <c r="S4181" t="str">
        <f>_xlfn.XLOOKUP(Pipeline_tbl[[#This Row],[Created_Date]],Dim_Date!A:A,Dim_Date!H:H)</f>
        <v>Jan 2025</v>
      </c>
      <c r="T4181" t="str">
        <f>IF(Pipeline_tbl[[#This Row],[Closed_Date]]=0,"",(_xlfn.XLOOKUP(Pipeline_tbl[[#This Row],[Closed_Date]],Dim_Date!A:A,Dim_Date!H:H)))</f>
        <v>Feb 2025</v>
      </c>
      <c r="U4181">
        <f>IF(Pipeline_tbl[[#This Row],[Closed_Date]]=0,"",Pipeline_tbl[[#This Row],[Closed_Date]]-Pipeline_tbl[[#This Row],[Created_Date]])</f>
        <v>16</v>
      </c>
    </row>
    <row r="4182" spans="1:21" ht="15" customHeight="1" x14ac:dyDescent="0.2">
      <c r="A4182" t="s">
        <v>4488</v>
      </c>
      <c r="B4182" t="s">
        <v>199</v>
      </c>
      <c r="C4182" t="s">
        <v>55</v>
      </c>
      <c r="D4182" s="49">
        <v>45674</v>
      </c>
      <c r="E4182" s="49">
        <v>45676</v>
      </c>
      <c r="F4182" s="49">
        <v>45679</v>
      </c>
      <c r="G4182" s="49">
        <v>45684</v>
      </c>
      <c r="H4182" s="49">
        <v>45688</v>
      </c>
      <c r="I4182" s="49">
        <v>45690</v>
      </c>
      <c r="J4182" t="s">
        <v>47</v>
      </c>
      <c r="K4182" s="33">
        <v>2500</v>
      </c>
      <c r="M4182" t="str">
        <f>_xlfn.XLOOKUP(Pipeline_tbl[[#This Row],[Rep_ID]],Dim_Reps!A:A,Dim_Reps!K:K)</f>
        <v>EUR</v>
      </c>
      <c r="N4182" s="33">
        <f>(_xlfn.XLOOKUP(Pipeline_tbl[[#This Row],[Rate_Code_Generalized]],Lookups!A:A,Lookups!B:B))*Pipeline_tbl[[#This Row],[Pipeline_Amount_USD]]</f>
        <v>2500</v>
      </c>
      <c r="O4182" t="str">
        <f>_xlfn.XLOOKUP(Pipeline_tbl[[#This Row],[Rep_ID]],Dim_Reps!A:A,Dim_Reps!B:B)</f>
        <v>Lucas Okafor</v>
      </c>
      <c r="P4182" t="str">
        <f>_xlfn.XLOOKUP(Pipeline_tbl[[#This Row],[Rep_ID]],Dim_Reps!A:A,Dim_Reps!C:C)</f>
        <v>SDR / Inside Sales Rep</v>
      </c>
      <c r="Q4182" t="str">
        <f>_xlfn.XLOOKUP(Pipeline_tbl[[#This Row],[Rep_ID]],Dim_Reps!A:A,Dim_Reps!D:D)</f>
        <v>Inside Sales</v>
      </c>
      <c r="R4182" t="str">
        <f>_xlfn.XLOOKUP(Pipeline_tbl[[#This Row],[Rep_ID]],Dim_Reps!A:A,Dim_Reps!E:E)</f>
        <v>APAC</v>
      </c>
      <c r="S4182" t="str">
        <f>_xlfn.XLOOKUP(Pipeline_tbl[[#This Row],[Created_Date]],Dim_Date!A:A,Dim_Date!H:H)</f>
        <v>Jan 2025</v>
      </c>
      <c r="T4182" t="str">
        <f>IF(Pipeline_tbl[[#This Row],[Closed_Date]]=0,"",(_xlfn.XLOOKUP(Pipeline_tbl[[#This Row],[Closed_Date]],Dim_Date!A:A,Dim_Date!H:H)))</f>
        <v>Feb 2025</v>
      </c>
      <c r="U4182">
        <f>IF(Pipeline_tbl[[#This Row],[Closed_Date]]=0,"",Pipeline_tbl[[#This Row],[Closed_Date]]-Pipeline_tbl[[#This Row],[Created_Date]])</f>
        <v>16</v>
      </c>
    </row>
    <row r="4183" spans="1:21" ht="15" customHeight="1" x14ac:dyDescent="0.2">
      <c r="A4183" t="s">
        <v>4489</v>
      </c>
      <c r="B4183" t="s">
        <v>199</v>
      </c>
      <c r="C4183" t="s">
        <v>56</v>
      </c>
      <c r="D4183" s="49">
        <v>45677</v>
      </c>
      <c r="E4183" s="49">
        <v>45680</v>
      </c>
      <c r="F4183" s="49">
        <v>45685</v>
      </c>
      <c r="G4183" s="49">
        <v>45693</v>
      </c>
      <c r="H4183" s="49">
        <v>45700</v>
      </c>
      <c r="I4183" s="49">
        <v>45704</v>
      </c>
      <c r="J4183" t="s">
        <v>47</v>
      </c>
      <c r="K4183" s="33">
        <v>2100</v>
      </c>
      <c r="M4183" t="str">
        <f>_xlfn.XLOOKUP(Pipeline_tbl[[#This Row],[Rep_ID]],Dim_Reps!A:A,Dim_Reps!K:K)</f>
        <v>EUR</v>
      </c>
      <c r="N4183" s="33">
        <f>(_xlfn.XLOOKUP(Pipeline_tbl[[#This Row],[Rate_Code_Generalized]],Lookups!A:A,Lookups!B:B))*Pipeline_tbl[[#This Row],[Pipeline_Amount_USD]]</f>
        <v>2100</v>
      </c>
      <c r="O4183" t="str">
        <f>_xlfn.XLOOKUP(Pipeline_tbl[[#This Row],[Rep_ID]],Dim_Reps!A:A,Dim_Reps!B:B)</f>
        <v>Lucas Okafor</v>
      </c>
      <c r="P4183" t="str">
        <f>_xlfn.XLOOKUP(Pipeline_tbl[[#This Row],[Rep_ID]],Dim_Reps!A:A,Dim_Reps!C:C)</f>
        <v>SDR / Inside Sales Rep</v>
      </c>
      <c r="Q4183" t="str">
        <f>_xlfn.XLOOKUP(Pipeline_tbl[[#This Row],[Rep_ID]],Dim_Reps!A:A,Dim_Reps!D:D)</f>
        <v>Inside Sales</v>
      </c>
      <c r="R4183" t="str">
        <f>_xlfn.XLOOKUP(Pipeline_tbl[[#This Row],[Rep_ID]],Dim_Reps!A:A,Dim_Reps!E:E)</f>
        <v>APAC</v>
      </c>
      <c r="S4183" t="str">
        <f>_xlfn.XLOOKUP(Pipeline_tbl[[#This Row],[Created_Date]],Dim_Date!A:A,Dim_Date!H:H)</f>
        <v>Jan 2025</v>
      </c>
      <c r="T4183" t="str">
        <f>IF(Pipeline_tbl[[#This Row],[Closed_Date]]=0,"",(_xlfn.XLOOKUP(Pipeline_tbl[[#This Row],[Closed_Date]],Dim_Date!A:A,Dim_Date!H:H)))</f>
        <v>Feb 2025</v>
      </c>
      <c r="U4183">
        <f>IF(Pipeline_tbl[[#This Row],[Closed_Date]]=0,"",Pipeline_tbl[[#This Row],[Closed_Date]]-Pipeline_tbl[[#This Row],[Created_Date]])</f>
        <v>27</v>
      </c>
    </row>
    <row r="4184" spans="1:21" ht="15" customHeight="1" x14ac:dyDescent="0.2">
      <c r="A4184" t="s">
        <v>4490</v>
      </c>
      <c r="B4184" t="s">
        <v>181</v>
      </c>
      <c r="C4184" t="s">
        <v>54</v>
      </c>
      <c r="D4184" s="49">
        <v>45668</v>
      </c>
      <c r="E4184" s="49">
        <v>45673</v>
      </c>
      <c r="F4184" s="49">
        <v>45682</v>
      </c>
      <c r="G4184" s="49">
        <v>45697</v>
      </c>
      <c r="I4184" s="49">
        <v>45716</v>
      </c>
      <c r="J4184" t="s">
        <v>49</v>
      </c>
      <c r="K4184" s="33">
        <v>54100</v>
      </c>
      <c r="L4184" t="s">
        <v>61</v>
      </c>
      <c r="M4184" t="str">
        <f>_xlfn.XLOOKUP(Pipeline_tbl[[#This Row],[Rep_ID]],Dim_Reps!A:A,Dim_Reps!K:K)</f>
        <v>USD</v>
      </c>
      <c r="N4184" s="33">
        <f>(_xlfn.XLOOKUP(Pipeline_tbl[[#This Row],[Rate_Code_Generalized]],Lookups!A:A,Lookups!B:B))*Pipeline_tbl[[#This Row],[Pipeline_Amount_USD]]</f>
        <v>62988.63</v>
      </c>
      <c r="O4184" t="str">
        <f>_xlfn.XLOOKUP(Pipeline_tbl[[#This Row],[Rep_ID]],Dim_Reps!A:A,Dim_Reps!B:B)</f>
        <v>Milo Weber</v>
      </c>
      <c r="P4184" t="str">
        <f>_xlfn.XLOOKUP(Pipeline_tbl[[#This Row],[Rep_ID]],Dim_Reps!A:A,Dim_Reps!C:C)</f>
        <v>Enterprise AE</v>
      </c>
      <c r="Q4184" t="str">
        <f>_xlfn.XLOOKUP(Pipeline_tbl[[#This Row],[Rep_ID]],Dim_Reps!A:A,Dim_Reps!D:D)</f>
        <v>Enterprise</v>
      </c>
      <c r="R4184" t="str">
        <f>_xlfn.XLOOKUP(Pipeline_tbl[[#This Row],[Rep_ID]],Dim_Reps!A:A,Dim_Reps!E:E)</f>
        <v>NAMER</v>
      </c>
      <c r="S4184" t="str">
        <f>_xlfn.XLOOKUP(Pipeline_tbl[[#This Row],[Created_Date]],Dim_Date!A:A,Dim_Date!H:H)</f>
        <v>Jan 2025</v>
      </c>
      <c r="T4184" t="str">
        <f>IF(Pipeline_tbl[[#This Row],[Closed_Date]]=0,"",(_xlfn.XLOOKUP(Pipeline_tbl[[#This Row],[Closed_Date]],Dim_Date!A:A,Dim_Date!H:H)))</f>
        <v>Feb 2025</v>
      </c>
      <c r="U4184">
        <f>IF(Pipeline_tbl[[#This Row],[Closed_Date]]=0,"",Pipeline_tbl[[#This Row],[Closed_Date]]-Pipeline_tbl[[#This Row],[Created_Date]])</f>
        <v>48</v>
      </c>
    </row>
    <row r="4185" spans="1:21" ht="15" customHeight="1" x14ac:dyDescent="0.2">
      <c r="A4185" t="s">
        <v>4491</v>
      </c>
      <c r="B4185" t="s">
        <v>203</v>
      </c>
      <c r="C4185" t="s">
        <v>53</v>
      </c>
      <c r="D4185" s="49">
        <v>45674</v>
      </c>
      <c r="E4185" s="49">
        <v>45676</v>
      </c>
      <c r="F4185" s="49">
        <v>45681</v>
      </c>
      <c r="G4185" s="49">
        <v>45687</v>
      </c>
      <c r="H4185" s="49">
        <v>45693</v>
      </c>
      <c r="I4185" s="49">
        <v>45696</v>
      </c>
      <c r="J4185" t="s">
        <v>47</v>
      </c>
      <c r="K4185" s="33">
        <v>2000</v>
      </c>
      <c r="M4185" t="str">
        <f>_xlfn.XLOOKUP(Pipeline_tbl[[#This Row],[Rep_ID]],Dim_Reps!A:A,Dim_Reps!K:K)</f>
        <v>EUR</v>
      </c>
      <c r="N4185" s="33">
        <f>(_xlfn.XLOOKUP(Pipeline_tbl[[#This Row],[Rate_Code_Generalized]],Lookups!A:A,Lookups!B:B))*Pipeline_tbl[[#This Row],[Pipeline_Amount_USD]]</f>
        <v>2000</v>
      </c>
      <c r="O4185" t="str">
        <f>_xlfn.XLOOKUP(Pipeline_tbl[[#This Row],[Rep_ID]],Dim_Reps!A:A,Dim_Reps!B:B)</f>
        <v>Riley Haddad</v>
      </c>
      <c r="P4185" t="str">
        <f>_xlfn.XLOOKUP(Pipeline_tbl[[#This Row],[Rep_ID]],Dim_Reps!A:A,Dim_Reps!C:C)</f>
        <v>SDR / Inside Sales Rep</v>
      </c>
      <c r="Q4185" t="str">
        <f>_xlfn.XLOOKUP(Pipeline_tbl[[#This Row],[Rep_ID]],Dim_Reps!A:A,Dim_Reps!D:D)</f>
        <v>Inside Sales</v>
      </c>
      <c r="R4185" t="str">
        <f>_xlfn.XLOOKUP(Pipeline_tbl[[#This Row],[Rep_ID]],Dim_Reps!A:A,Dim_Reps!E:E)</f>
        <v>APAC</v>
      </c>
      <c r="S4185" t="str">
        <f>_xlfn.XLOOKUP(Pipeline_tbl[[#This Row],[Created_Date]],Dim_Date!A:A,Dim_Date!H:H)</f>
        <v>Jan 2025</v>
      </c>
      <c r="T4185" t="str">
        <f>IF(Pipeline_tbl[[#This Row],[Closed_Date]]=0,"",(_xlfn.XLOOKUP(Pipeline_tbl[[#This Row],[Closed_Date]],Dim_Date!A:A,Dim_Date!H:H)))</f>
        <v>Feb 2025</v>
      </c>
      <c r="U4185">
        <f>IF(Pipeline_tbl[[#This Row],[Closed_Date]]=0,"",Pipeline_tbl[[#This Row],[Closed_Date]]-Pipeline_tbl[[#This Row],[Created_Date]])</f>
        <v>22</v>
      </c>
    </row>
    <row r="4186" spans="1:21" ht="15" customHeight="1" x14ac:dyDescent="0.2">
      <c r="A4186" t="s">
        <v>4492</v>
      </c>
      <c r="B4186" t="s">
        <v>203</v>
      </c>
      <c r="C4186" t="s">
        <v>53</v>
      </c>
      <c r="D4186" s="49">
        <v>45671</v>
      </c>
      <c r="E4186" s="49">
        <v>45673</v>
      </c>
      <c r="F4186" s="49">
        <v>45676</v>
      </c>
      <c r="G4186" s="49">
        <v>45682</v>
      </c>
      <c r="I4186" s="49">
        <v>45689</v>
      </c>
      <c r="J4186" t="s">
        <v>49</v>
      </c>
      <c r="K4186" s="33">
        <v>4300</v>
      </c>
      <c r="L4186" t="s">
        <v>61</v>
      </c>
      <c r="M4186" t="str">
        <f>_xlfn.XLOOKUP(Pipeline_tbl[[#This Row],[Rep_ID]],Dim_Reps!A:A,Dim_Reps!K:K)</f>
        <v>EUR</v>
      </c>
      <c r="N4186" s="33">
        <f>(_xlfn.XLOOKUP(Pipeline_tbl[[#This Row],[Rate_Code_Generalized]],Lookups!A:A,Lookups!B:B))*Pipeline_tbl[[#This Row],[Pipeline_Amount_USD]]</f>
        <v>4300</v>
      </c>
      <c r="O4186" t="str">
        <f>_xlfn.XLOOKUP(Pipeline_tbl[[#This Row],[Rep_ID]],Dim_Reps!A:A,Dim_Reps!B:B)</f>
        <v>Riley Haddad</v>
      </c>
      <c r="P4186" t="str">
        <f>_xlfn.XLOOKUP(Pipeline_tbl[[#This Row],[Rep_ID]],Dim_Reps!A:A,Dim_Reps!C:C)</f>
        <v>SDR / Inside Sales Rep</v>
      </c>
      <c r="Q4186" t="str">
        <f>_xlfn.XLOOKUP(Pipeline_tbl[[#This Row],[Rep_ID]],Dim_Reps!A:A,Dim_Reps!D:D)</f>
        <v>Inside Sales</v>
      </c>
      <c r="R4186" t="str">
        <f>_xlfn.XLOOKUP(Pipeline_tbl[[#This Row],[Rep_ID]],Dim_Reps!A:A,Dim_Reps!E:E)</f>
        <v>APAC</v>
      </c>
      <c r="S4186" t="str">
        <f>_xlfn.XLOOKUP(Pipeline_tbl[[#This Row],[Created_Date]],Dim_Date!A:A,Dim_Date!H:H)</f>
        <v>Jan 2025</v>
      </c>
      <c r="T4186" t="str">
        <f>IF(Pipeline_tbl[[#This Row],[Closed_Date]]=0,"",(_xlfn.XLOOKUP(Pipeline_tbl[[#This Row],[Closed_Date]],Dim_Date!A:A,Dim_Date!H:H)))</f>
        <v>Feb 2025</v>
      </c>
      <c r="U4186">
        <f>IF(Pipeline_tbl[[#This Row],[Closed_Date]]=0,"",Pipeline_tbl[[#This Row],[Closed_Date]]-Pipeline_tbl[[#This Row],[Created_Date]])</f>
        <v>18</v>
      </c>
    </row>
    <row r="4187" spans="1:21" ht="15" customHeight="1" x14ac:dyDescent="0.2">
      <c r="A4187" t="s">
        <v>4493</v>
      </c>
      <c r="B4187" t="s">
        <v>203</v>
      </c>
      <c r="C4187" t="s">
        <v>56</v>
      </c>
      <c r="D4187" s="49">
        <v>45676</v>
      </c>
      <c r="E4187" s="49">
        <v>45678</v>
      </c>
      <c r="F4187" s="49">
        <v>45683</v>
      </c>
      <c r="G4187" s="49">
        <v>45690</v>
      </c>
      <c r="H4187" s="49">
        <v>45696</v>
      </c>
      <c r="I4187" s="49">
        <v>45699</v>
      </c>
      <c r="J4187" t="s">
        <v>47</v>
      </c>
      <c r="K4187" s="33">
        <v>2800</v>
      </c>
      <c r="M4187" t="str">
        <f>_xlfn.XLOOKUP(Pipeline_tbl[[#This Row],[Rep_ID]],Dim_Reps!A:A,Dim_Reps!K:K)</f>
        <v>EUR</v>
      </c>
      <c r="N4187" s="33">
        <f>(_xlfn.XLOOKUP(Pipeline_tbl[[#This Row],[Rate_Code_Generalized]],Lookups!A:A,Lookups!B:B))*Pipeline_tbl[[#This Row],[Pipeline_Amount_USD]]</f>
        <v>2800</v>
      </c>
      <c r="O4187" t="str">
        <f>_xlfn.XLOOKUP(Pipeline_tbl[[#This Row],[Rep_ID]],Dim_Reps!A:A,Dim_Reps!B:B)</f>
        <v>Riley Haddad</v>
      </c>
      <c r="P4187" t="str">
        <f>_xlfn.XLOOKUP(Pipeline_tbl[[#This Row],[Rep_ID]],Dim_Reps!A:A,Dim_Reps!C:C)</f>
        <v>SDR / Inside Sales Rep</v>
      </c>
      <c r="Q4187" t="str">
        <f>_xlfn.XLOOKUP(Pipeline_tbl[[#This Row],[Rep_ID]],Dim_Reps!A:A,Dim_Reps!D:D)</f>
        <v>Inside Sales</v>
      </c>
      <c r="R4187" t="str">
        <f>_xlfn.XLOOKUP(Pipeline_tbl[[#This Row],[Rep_ID]],Dim_Reps!A:A,Dim_Reps!E:E)</f>
        <v>APAC</v>
      </c>
      <c r="S4187" t="str">
        <f>_xlfn.XLOOKUP(Pipeline_tbl[[#This Row],[Created_Date]],Dim_Date!A:A,Dim_Date!H:H)</f>
        <v>Jan 2025</v>
      </c>
      <c r="T4187" t="str">
        <f>IF(Pipeline_tbl[[#This Row],[Closed_Date]]=0,"",(_xlfn.XLOOKUP(Pipeline_tbl[[#This Row],[Closed_Date]],Dim_Date!A:A,Dim_Date!H:H)))</f>
        <v>Feb 2025</v>
      </c>
      <c r="U4187">
        <f>IF(Pipeline_tbl[[#This Row],[Closed_Date]]=0,"",Pipeline_tbl[[#This Row],[Closed_Date]]-Pipeline_tbl[[#This Row],[Created_Date]])</f>
        <v>23</v>
      </c>
    </row>
    <row r="4188" spans="1:21" ht="15" customHeight="1" x14ac:dyDescent="0.2">
      <c r="A4188" t="s">
        <v>4494</v>
      </c>
      <c r="B4188" t="s">
        <v>203</v>
      </c>
      <c r="C4188" t="s">
        <v>52</v>
      </c>
      <c r="D4188" s="49">
        <v>45679</v>
      </c>
      <c r="E4188" s="49">
        <v>45681</v>
      </c>
      <c r="F4188" s="49">
        <v>45684</v>
      </c>
      <c r="G4188" s="49">
        <v>45690</v>
      </c>
      <c r="H4188" s="49">
        <v>45694</v>
      </c>
      <c r="I4188" s="49">
        <v>45697</v>
      </c>
      <c r="J4188" t="s">
        <v>49</v>
      </c>
      <c r="K4188" s="33">
        <v>7500</v>
      </c>
      <c r="L4188" t="s">
        <v>60</v>
      </c>
      <c r="M4188" t="str">
        <f>_xlfn.XLOOKUP(Pipeline_tbl[[#This Row],[Rep_ID]],Dim_Reps!A:A,Dim_Reps!K:K)</f>
        <v>EUR</v>
      </c>
      <c r="N4188" s="33">
        <f>(_xlfn.XLOOKUP(Pipeline_tbl[[#This Row],[Rate_Code_Generalized]],Lookups!A:A,Lookups!B:B))*Pipeline_tbl[[#This Row],[Pipeline_Amount_USD]]</f>
        <v>7500</v>
      </c>
      <c r="O4188" t="str">
        <f>_xlfn.XLOOKUP(Pipeline_tbl[[#This Row],[Rep_ID]],Dim_Reps!A:A,Dim_Reps!B:B)</f>
        <v>Riley Haddad</v>
      </c>
      <c r="P4188" t="str">
        <f>_xlfn.XLOOKUP(Pipeline_tbl[[#This Row],[Rep_ID]],Dim_Reps!A:A,Dim_Reps!C:C)</f>
        <v>SDR / Inside Sales Rep</v>
      </c>
      <c r="Q4188" t="str">
        <f>_xlfn.XLOOKUP(Pipeline_tbl[[#This Row],[Rep_ID]],Dim_Reps!A:A,Dim_Reps!D:D)</f>
        <v>Inside Sales</v>
      </c>
      <c r="R4188" t="str">
        <f>_xlfn.XLOOKUP(Pipeline_tbl[[#This Row],[Rep_ID]],Dim_Reps!A:A,Dim_Reps!E:E)</f>
        <v>APAC</v>
      </c>
      <c r="S4188" t="str">
        <f>_xlfn.XLOOKUP(Pipeline_tbl[[#This Row],[Created_Date]],Dim_Date!A:A,Dim_Date!H:H)</f>
        <v>Jan 2025</v>
      </c>
      <c r="T4188" t="str">
        <f>IF(Pipeline_tbl[[#This Row],[Closed_Date]]=0,"",(_xlfn.XLOOKUP(Pipeline_tbl[[#This Row],[Closed_Date]],Dim_Date!A:A,Dim_Date!H:H)))</f>
        <v>Feb 2025</v>
      </c>
      <c r="U4188">
        <f>IF(Pipeline_tbl[[#This Row],[Closed_Date]]=0,"",Pipeline_tbl[[#This Row],[Closed_Date]]-Pipeline_tbl[[#This Row],[Created_Date]])</f>
        <v>18</v>
      </c>
    </row>
    <row r="4189" spans="1:21" ht="15" customHeight="1" x14ac:dyDescent="0.2">
      <c r="A4189" t="s">
        <v>4495</v>
      </c>
      <c r="B4189" t="s">
        <v>203</v>
      </c>
      <c r="C4189" t="s">
        <v>55</v>
      </c>
      <c r="D4189" s="49">
        <v>45683</v>
      </c>
      <c r="E4189" s="49">
        <v>45684</v>
      </c>
      <c r="F4189" s="49">
        <v>45686</v>
      </c>
      <c r="G4189" s="49">
        <v>45690</v>
      </c>
      <c r="H4189" s="49">
        <v>45692</v>
      </c>
      <c r="I4189" s="49">
        <v>45694</v>
      </c>
      <c r="J4189" t="s">
        <v>49</v>
      </c>
      <c r="K4189" s="33">
        <v>5400</v>
      </c>
      <c r="L4189" t="s">
        <v>63</v>
      </c>
      <c r="M4189" t="str">
        <f>_xlfn.XLOOKUP(Pipeline_tbl[[#This Row],[Rep_ID]],Dim_Reps!A:A,Dim_Reps!K:K)</f>
        <v>EUR</v>
      </c>
      <c r="N4189" s="33">
        <f>(_xlfn.XLOOKUP(Pipeline_tbl[[#This Row],[Rate_Code_Generalized]],Lookups!A:A,Lookups!B:B))*Pipeline_tbl[[#This Row],[Pipeline_Amount_USD]]</f>
        <v>5400</v>
      </c>
      <c r="O4189" t="str">
        <f>_xlfn.XLOOKUP(Pipeline_tbl[[#This Row],[Rep_ID]],Dim_Reps!A:A,Dim_Reps!B:B)</f>
        <v>Riley Haddad</v>
      </c>
      <c r="P4189" t="str">
        <f>_xlfn.XLOOKUP(Pipeline_tbl[[#This Row],[Rep_ID]],Dim_Reps!A:A,Dim_Reps!C:C)</f>
        <v>SDR / Inside Sales Rep</v>
      </c>
      <c r="Q4189" t="str">
        <f>_xlfn.XLOOKUP(Pipeline_tbl[[#This Row],[Rep_ID]],Dim_Reps!A:A,Dim_Reps!D:D)</f>
        <v>Inside Sales</v>
      </c>
      <c r="R4189" t="str">
        <f>_xlfn.XLOOKUP(Pipeline_tbl[[#This Row],[Rep_ID]],Dim_Reps!A:A,Dim_Reps!E:E)</f>
        <v>APAC</v>
      </c>
      <c r="S4189" t="str">
        <f>_xlfn.XLOOKUP(Pipeline_tbl[[#This Row],[Created_Date]],Dim_Date!A:A,Dim_Date!H:H)</f>
        <v>Jan 2025</v>
      </c>
      <c r="T4189" t="str">
        <f>IF(Pipeline_tbl[[#This Row],[Closed_Date]]=0,"",(_xlfn.XLOOKUP(Pipeline_tbl[[#This Row],[Closed_Date]],Dim_Date!A:A,Dim_Date!H:H)))</f>
        <v>Feb 2025</v>
      </c>
      <c r="U4189">
        <f>IF(Pipeline_tbl[[#This Row],[Closed_Date]]=0,"",Pipeline_tbl[[#This Row],[Closed_Date]]-Pipeline_tbl[[#This Row],[Created_Date]])</f>
        <v>11</v>
      </c>
    </row>
    <row r="4190" spans="1:21" ht="15" customHeight="1" x14ac:dyDescent="0.2">
      <c r="A4190" t="s">
        <v>4496</v>
      </c>
      <c r="B4190" t="s">
        <v>185</v>
      </c>
      <c r="C4190" t="s">
        <v>52</v>
      </c>
      <c r="D4190" s="49">
        <v>45672</v>
      </c>
      <c r="E4190" s="49">
        <v>45675</v>
      </c>
      <c r="F4190" s="49">
        <v>45682</v>
      </c>
      <c r="G4190" s="49">
        <v>45692</v>
      </c>
      <c r="H4190" s="49">
        <v>45701</v>
      </c>
      <c r="I4190" s="49">
        <v>45706</v>
      </c>
      <c r="J4190" t="s">
        <v>47</v>
      </c>
      <c r="K4190" s="33">
        <v>25600</v>
      </c>
      <c r="M4190" t="str">
        <f>_xlfn.XLOOKUP(Pipeline_tbl[[#This Row],[Rep_ID]],Dim_Reps!A:A,Dim_Reps!K:K)</f>
        <v>MXN</v>
      </c>
      <c r="N4190" s="33">
        <f>(_xlfn.XLOOKUP(Pipeline_tbl[[#This Row],[Rate_Code_Generalized]],Lookups!A:A,Lookups!B:B))*Pipeline_tbl[[#This Row],[Pipeline_Amount_USD]]</f>
        <v>505157.12000000005</v>
      </c>
      <c r="O4190" t="str">
        <f>_xlfn.XLOOKUP(Pipeline_tbl[[#This Row],[Rep_ID]],Dim_Reps!A:A,Dim_Reps!B:B)</f>
        <v>Noah Kim</v>
      </c>
      <c r="P4190" t="str">
        <f>_xlfn.XLOOKUP(Pipeline_tbl[[#This Row],[Rep_ID]],Dim_Reps!A:A,Dim_Reps!C:C)</f>
        <v>Enterprise AE</v>
      </c>
      <c r="Q4190" t="str">
        <f>_xlfn.XLOOKUP(Pipeline_tbl[[#This Row],[Rep_ID]],Dim_Reps!A:A,Dim_Reps!D:D)</f>
        <v>Enterprise</v>
      </c>
      <c r="R4190" t="str">
        <f>_xlfn.XLOOKUP(Pipeline_tbl[[#This Row],[Rep_ID]],Dim_Reps!A:A,Dim_Reps!E:E)</f>
        <v>LATAM</v>
      </c>
      <c r="S4190" t="str">
        <f>_xlfn.XLOOKUP(Pipeline_tbl[[#This Row],[Created_Date]],Dim_Date!A:A,Dim_Date!H:H)</f>
        <v>Jan 2025</v>
      </c>
      <c r="T4190" t="str">
        <f>IF(Pipeline_tbl[[#This Row],[Closed_Date]]=0,"",(_xlfn.XLOOKUP(Pipeline_tbl[[#This Row],[Closed_Date]],Dim_Date!A:A,Dim_Date!H:H)))</f>
        <v>Feb 2025</v>
      </c>
      <c r="U4190">
        <f>IF(Pipeline_tbl[[#This Row],[Closed_Date]]=0,"",Pipeline_tbl[[#This Row],[Closed_Date]]-Pipeline_tbl[[#This Row],[Created_Date]])</f>
        <v>34</v>
      </c>
    </row>
    <row r="4191" spans="1:21" ht="15" customHeight="1" x14ac:dyDescent="0.2">
      <c r="A4191" t="s">
        <v>4497</v>
      </c>
      <c r="B4191" t="s">
        <v>205</v>
      </c>
      <c r="C4191" t="s">
        <v>55</v>
      </c>
      <c r="D4191" s="49">
        <v>45684</v>
      </c>
      <c r="E4191" s="49">
        <v>45685</v>
      </c>
      <c r="F4191" s="49">
        <v>45688</v>
      </c>
      <c r="G4191" s="49">
        <v>45691</v>
      </c>
      <c r="H4191" s="49">
        <v>45694</v>
      </c>
      <c r="I4191" s="49">
        <v>45696</v>
      </c>
      <c r="J4191" t="s">
        <v>49</v>
      </c>
      <c r="K4191" s="33">
        <v>1000</v>
      </c>
      <c r="L4191" t="s">
        <v>61</v>
      </c>
      <c r="M4191" t="str">
        <f>_xlfn.XLOOKUP(Pipeline_tbl[[#This Row],[Rep_ID]],Dim_Reps!A:A,Dim_Reps!K:K)</f>
        <v>EUR</v>
      </c>
      <c r="N4191" s="33">
        <f>(_xlfn.XLOOKUP(Pipeline_tbl[[#This Row],[Rate_Code_Generalized]],Lookups!A:A,Lookups!B:B))*Pipeline_tbl[[#This Row],[Pipeline_Amount_USD]]</f>
        <v>1000</v>
      </c>
      <c r="O4191" t="str">
        <f>_xlfn.XLOOKUP(Pipeline_tbl[[#This Row],[Rep_ID]],Dim_Reps!A:A,Dim_Reps!B:B)</f>
        <v>Karim Alvarez</v>
      </c>
      <c r="P4191" t="str">
        <f>_xlfn.XLOOKUP(Pipeline_tbl[[#This Row],[Rep_ID]],Dim_Reps!A:A,Dim_Reps!C:C)</f>
        <v>SDR / Inside Sales Rep</v>
      </c>
      <c r="Q4191" t="str">
        <f>_xlfn.XLOOKUP(Pipeline_tbl[[#This Row],[Rep_ID]],Dim_Reps!A:A,Dim_Reps!D:D)</f>
        <v>Inside Sales</v>
      </c>
      <c r="R4191" t="str">
        <f>_xlfn.XLOOKUP(Pipeline_tbl[[#This Row],[Rep_ID]],Dim_Reps!A:A,Dim_Reps!E:E)</f>
        <v>EMEA</v>
      </c>
      <c r="S4191" t="str">
        <f>_xlfn.XLOOKUP(Pipeline_tbl[[#This Row],[Created_Date]],Dim_Date!A:A,Dim_Date!H:H)</f>
        <v>Jan 2025</v>
      </c>
      <c r="T4191" t="str">
        <f>IF(Pipeline_tbl[[#This Row],[Closed_Date]]=0,"",(_xlfn.XLOOKUP(Pipeline_tbl[[#This Row],[Closed_Date]],Dim_Date!A:A,Dim_Date!H:H)))</f>
        <v>Feb 2025</v>
      </c>
      <c r="U4191">
        <f>IF(Pipeline_tbl[[#This Row],[Closed_Date]]=0,"",Pipeline_tbl[[#This Row],[Closed_Date]]-Pipeline_tbl[[#This Row],[Created_Date]])</f>
        <v>12</v>
      </c>
    </row>
    <row r="4192" spans="1:21" ht="15" customHeight="1" x14ac:dyDescent="0.2">
      <c r="A4192" t="s">
        <v>4498</v>
      </c>
      <c r="B4192" t="s">
        <v>205</v>
      </c>
      <c r="C4192" t="s">
        <v>52</v>
      </c>
      <c r="D4192" s="49">
        <v>45681</v>
      </c>
      <c r="E4192" s="49">
        <v>45682</v>
      </c>
      <c r="F4192" s="49">
        <v>45685</v>
      </c>
      <c r="G4192" s="49">
        <v>45689</v>
      </c>
      <c r="H4192" s="49">
        <v>45693</v>
      </c>
      <c r="I4192" s="49">
        <v>45695</v>
      </c>
      <c r="J4192" t="s">
        <v>47</v>
      </c>
      <c r="K4192" s="33">
        <v>5300</v>
      </c>
      <c r="M4192" t="str">
        <f>_xlfn.XLOOKUP(Pipeline_tbl[[#This Row],[Rep_ID]],Dim_Reps!A:A,Dim_Reps!K:K)</f>
        <v>EUR</v>
      </c>
      <c r="N4192" s="33">
        <f>(_xlfn.XLOOKUP(Pipeline_tbl[[#This Row],[Rate_Code_Generalized]],Lookups!A:A,Lookups!B:B))*Pipeline_tbl[[#This Row],[Pipeline_Amount_USD]]</f>
        <v>5300</v>
      </c>
      <c r="O4192" t="str">
        <f>_xlfn.XLOOKUP(Pipeline_tbl[[#This Row],[Rep_ID]],Dim_Reps!A:A,Dim_Reps!B:B)</f>
        <v>Karim Alvarez</v>
      </c>
      <c r="P4192" t="str">
        <f>_xlfn.XLOOKUP(Pipeline_tbl[[#This Row],[Rep_ID]],Dim_Reps!A:A,Dim_Reps!C:C)</f>
        <v>SDR / Inside Sales Rep</v>
      </c>
      <c r="Q4192" t="str">
        <f>_xlfn.XLOOKUP(Pipeline_tbl[[#This Row],[Rep_ID]],Dim_Reps!A:A,Dim_Reps!D:D)</f>
        <v>Inside Sales</v>
      </c>
      <c r="R4192" t="str">
        <f>_xlfn.XLOOKUP(Pipeline_tbl[[#This Row],[Rep_ID]],Dim_Reps!A:A,Dim_Reps!E:E)</f>
        <v>EMEA</v>
      </c>
      <c r="S4192" t="str">
        <f>_xlfn.XLOOKUP(Pipeline_tbl[[#This Row],[Created_Date]],Dim_Date!A:A,Dim_Date!H:H)</f>
        <v>Jan 2025</v>
      </c>
      <c r="T4192" t="str">
        <f>IF(Pipeline_tbl[[#This Row],[Closed_Date]]=0,"",(_xlfn.XLOOKUP(Pipeline_tbl[[#This Row],[Closed_Date]],Dim_Date!A:A,Dim_Date!H:H)))</f>
        <v>Feb 2025</v>
      </c>
      <c r="U4192">
        <f>IF(Pipeline_tbl[[#This Row],[Closed_Date]]=0,"",Pipeline_tbl[[#This Row],[Closed_Date]]-Pipeline_tbl[[#This Row],[Created_Date]])</f>
        <v>14</v>
      </c>
    </row>
    <row r="4193" spans="1:21" ht="15" customHeight="1" x14ac:dyDescent="0.2">
      <c r="A4193" t="s">
        <v>4499</v>
      </c>
      <c r="B4193" t="s">
        <v>205</v>
      </c>
      <c r="C4193" t="s">
        <v>53</v>
      </c>
      <c r="D4193" s="49">
        <v>45681</v>
      </c>
      <c r="E4193" s="49">
        <v>45683</v>
      </c>
      <c r="F4193" s="49">
        <v>45687</v>
      </c>
      <c r="I4193" s="49">
        <v>45702</v>
      </c>
      <c r="J4193" t="s">
        <v>49</v>
      </c>
      <c r="K4193" s="33">
        <v>3900</v>
      </c>
      <c r="L4193" t="s">
        <v>60</v>
      </c>
      <c r="M4193" t="str">
        <f>_xlfn.XLOOKUP(Pipeline_tbl[[#This Row],[Rep_ID]],Dim_Reps!A:A,Dim_Reps!K:K)</f>
        <v>EUR</v>
      </c>
      <c r="N4193" s="33">
        <f>(_xlfn.XLOOKUP(Pipeline_tbl[[#This Row],[Rate_Code_Generalized]],Lookups!A:A,Lookups!B:B))*Pipeline_tbl[[#This Row],[Pipeline_Amount_USD]]</f>
        <v>3900</v>
      </c>
      <c r="O4193" t="str">
        <f>_xlfn.XLOOKUP(Pipeline_tbl[[#This Row],[Rep_ID]],Dim_Reps!A:A,Dim_Reps!B:B)</f>
        <v>Karim Alvarez</v>
      </c>
      <c r="P4193" t="str">
        <f>_xlfn.XLOOKUP(Pipeline_tbl[[#This Row],[Rep_ID]],Dim_Reps!A:A,Dim_Reps!C:C)</f>
        <v>SDR / Inside Sales Rep</v>
      </c>
      <c r="Q4193" t="str">
        <f>_xlfn.XLOOKUP(Pipeline_tbl[[#This Row],[Rep_ID]],Dim_Reps!A:A,Dim_Reps!D:D)</f>
        <v>Inside Sales</v>
      </c>
      <c r="R4193" t="str">
        <f>_xlfn.XLOOKUP(Pipeline_tbl[[#This Row],[Rep_ID]],Dim_Reps!A:A,Dim_Reps!E:E)</f>
        <v>EMEA</v>
      </c>
      <c r="S4193" t="str">
        <f>_xlfn.XLOOKUP(Pipeline_tbl[[#This Row],[Created_Date]],Dim_Date!A:A,Dim_Date!H:H)</f>
        <v>Jan 2025</v>
      </c>
      <c r="T4193" t="str">
        <f>IF(Pipeline_tbl[[#This Row],[Closed_Date]]=0,"",(_xlfn.XLOOKUP(Pipeline_tbl[[#This Row],[Closed_Date]],Dim_Date!A:A,Dim_Date!H:H)))</f>
        <v>Feb 2025</v>
      </c>
      <c r="U4193">
        <f>IF(Pipeline_tbl[[#This Row],[Closed_Date]]=0,"",Pipeline_tbl[[#This Row],[Closed_Date]]-Pipeline_tbl[[#This Row],[Created_Date]])</f>
        <v>21</v>
      </c>
    </row>
    <row r="4194" spans="1:21" ht="15" customHeight="1" x14ac:dyDescent="0.2">
      <c r="A4194" t="s">
        <v>4500</v>
      </c>
      <c r="B4194" t="s">
        <v>205</v>
      </c>
      <c r="C4194" t="s">
        <v>55</v>
      </c>
      <c r="D4194" s="49">
        <v>45669</v>
      </c>
      <c r="E4194" s="49">
        <v>45671</v>
      </c>
      <c r="I4194" s="49">
        <v>45694</v>
      </c>
      <c r="J4194" t="s">
        <v>49</v>
      </c>
      <c r="K4194" s="33">
        <v>5200</v>
      </c>
      <c r="L4194" t="s">
        <v>61</v>
      </c>
      <c r="M4194" t="str">
        <f>_xlfn.XLOOKUP(Pipeline_tbl[[#This Row],[Rep_ID]],Dim_Reps!A:A,Dim_Reps!K:K)</f>
        <v>EUR</v>
      </c>
      <c r="N4194" s="33">
        <f>(_xlfn.XLOOKUP(Pipeline_tbl[[#This Row],[Rate_Code_Generalized]],Lookups!A:A,Lookups!B:B))*Pipeline_tbl[[#This Row],[Pipeline_Amount_USD]]</f>
        <v>5200</v>
      </c>
      <c r="O4194" t="str">
        <f>_xlfn.XLOOKUP(Pipeline_tbl[[#This Row],[Rep_ID]],Dim_Reps!A:A,Dim_Reps!B:B)</f>
        <v>Karim Alvarez</v>
      </c>
      <c r="P4194" t="str">
        <f>_xlfn.XLOOKUP(Pipeline_tbl[[#This Row],[Rep_ID]],Dim_Reps!A:A,Dim_Reps!C:C)</f>
        <v>SDR / Inside Sales Rep</v>
      </c>
      <c r="Q4194" t="str">
        <f>_xlfn.XLOOKUP(Pipeline_tbl[[#This Row],[Rep_ID]],Dim_Reps!A:A,Dim_Reps!D:D)</f>
        <v>Inside Sales</v>
      </c>
      <c r="R4194" t="str">
        <f>_xlfn.XLOOKUP(Pipeline_tbl[[#This Row],[Rep_ID]],Dim_Reps!A:A,Dim_Reps!E:E)</f>
        <v>EMEA</v>
      </c>
      <c r="S4194" t="str">
        <f>_xlfn.XLOOKUP(Pipeline_tbl[[#This Row],[Created_Date]],Dim_Date!A:A,Dim_Date!H:H)</f>
        <v>Jan 2025</v>
      </c>
      <c r="T4194" t="str">
        <f>IF(Pipeline_tbl[[#This Row],[Closed_Date]]=0,"",(_xlfn.XLOOKUP(Pipeline_tbl[[#This Row],[Closed_Date]],Dim_Date!A:A,Dim_Date!H:H)))</f>
        <v>Feb 2025</v>
      </c>
      <c r="U4194">
        <f>IF(Pipeline_tbl[[#This Row],[Closed_Date]]=0,"",Pipeline_tbl[[#This Row],[Closed_Date]]-Pipeline_tbl[[#This Row],[Created_Date]])</f>
        <v>25</v>
      </c>
    </row>
    <row r="4195" spans="1:21" ht="15" customHeight="1" x14ac:dyDescent="0.2">
      <c r="A4195" t="s">
        <v>4501</v>
      </c>
      <c r="B4195" t="s">
        <v>205</v>
      </c>
      <c r="C4195" t="s">
        <v>54</v>
      </c>
      <c r="D4195" s="49">
        <v>45683</v>
      </c>
      <c r="E4195" s="49">
        <v>45686</v>
      </c>
      <c r="F4195" s="49">
        <v>45691</v>
      </c>
      <c r="I4195" s="49">
        <v>45711</v>
      </c>
      <c r="J4195" t="s">
        <v>49</v>
      </c>
      <c r="K4195" s="33">
        <v>3100</v>
      </c>
      <c r="L4195" t="s">
        <v>61</v>
      </c>
      <c r="M4195" t="str">
        <f>_xlfn.XLOOKUP(Pipeline_tbl[[#This Row],[Rep_ID]],Dim_Reps!A:A,Dim_Reps!K:K)</f>
        <v>EUR</v>
      </c>
      <c r="N4195" s="33">
        <f>(_xlfn.XLOOKUP(Pipeline_tbl[[#This Row],[Rate_Code_Generalized]],Lookups!A:A,Lookups!B:B))*Pipeline_tbl[[#This Row],[Pipeline_Amount_USD]]</f>
        <v>3100</v>
      </c>
      <c r="O4195" t="str">
        <f>_xlfn.XLOOKUP(Pipeline_tbl[[#This Row],[Rep_ID]],Dim_Reps!A:A,Dim_Reps!B:B)</f>
        <v>Karim Alvarez</v>
      </c>
      <c r="P4195" t="str">
        <f>_xlfn.XLOOKUP(Pipeline_tbl[[#This Row],[Rep_ID]],Dim_Reps!A:A,Dim_Reps!C:C)</f>
        <v>SDR / Inside Sales Rep</v>
      </c>
      <c r="Q4195" t="str">
        <f>_xlfn.XLOOKUP(Pipeline_tbl[[#This Row],[Rep_ID]],Dim_Reps!A:A,Dim_Reps!D:D)</f>
        <v>Inside Sales</v>
      </c>
      <c r="R4195" t="str">
        <f>_xlfn.XLOOKUP(Pipeline_tbl[[#This Row],[Rep_ID]],Dim_Reps!A:A,Dim_Reps!E:E)</f>
        <v>EMEA</v>
      </c>
      <c r="S4195" t="str">
        <f>_xlfn.XLOOKUP(Pipeline_tbl[[#This Row],[Created_Date]],Dim_Date!A:A,Dim_Date!H:H)</f>
        <v>Jan 2025</v>
      </c>
      <c r="T4195" t="str">
        <f>IF(Pipeline_tbl[[#This Row],[Closed_Date]]=0,"",(_xlfn.XLOOKUP(Pipeline_tbl[[#This Row],[Closed_Date]],Dim_Date!A:A,Dim_Date!H:H)))</f>
        <v>Feb 2025</v>
      </c>
      <c r="U4195">
        <f>IF(Pipeline_tbl[[#This Row],[Closed_Date]]=0,"",Pipeline_tbl[[#This Row],[Closed_Date]]-Pipeline_tbl[[#This Row],[Created_Date]])</f>
        <v>28</v>
      </c>
    </row>
    <row r="4196" spans="1:21" ht="15" customHeight="1" x14ac:dyDescent="0.2">
      <c r="A4196" t="s">
        <v>4502</v>
      </c>
      <c r="B4196" t="s">
        <v>207</v>
      </c>
      <c r="C4196" t="s">
        <v>52</v>
      </c>
      <c r="D4196" s="49">
        <v>45676</v>
      </c>
      <c r="E4196" s="49">
        <v>45679</v>
      </c>
      <c r="F4196" s="49">
        <v>45684</v>
      </c>
      <c r="G4196" s="49">
        <v>45693</v>
      </c>
      <c r="H4196" s="49">
        <v>45700</v>
      </c>
      <c r="I4196" s="49">
        <v>45704</v>
      </c>
      <c r="J4196" t="s">
        <v>47</v>
      </c>
      <c r="K4196" s="33">
        <v>4600</v>
      </c>
      <c r="M4196" t="str">
        <f>_xlfn.XLOOKUP(Pipeline_tbl[[#This Row],[Rep_ID]],Dim_Reps!A:A,Dim_Reps!K:K)</f>
        <v>EUR</v>
      </c>
      <c r="N4196" s="33">
        <f>(_xlfn.XLOOKUP(Pipeline_tbl[[#This Row],[Rate_Code_Generalized]],Lookups!A:A,Lookups!B:B))*Pipeline_tbl[[#This Row],[Pipeline_Amount_USD]]</f>
        <v>4600</v>
      </c>
      <c r="O4196" t="str">
        <f>_xlfn.XLOOKUP(Pipeline_tbl[[#This Row],[Rep_ID]],Dim_Reps!A:A,Dim_Reps!B:B)</f>
        <v>Sam Castro</v>
      </c>
      <c r="P4196" t="str">
        <f>_xlfn.XLOOKUP(Pipeline_tbl[[#This Row],[Rep_ID]],Dim_Reps!A:A,Dim_Reps!C:C)</f>
        <v>SDR / Inside Sales Rep</v>
      </c>
      <c r="Q4196" t="str">
        <f>_xlfn.XLOOKUP(Pipeline_tbl[[#This Row],[Rep_ID]],Dim_Reps!A:A,Dim_Reps!D:D)</f>
        <v>Inside Sales</v>
      </c>
      <c r="R4196" t="str">
        <f>_xlfn.XLOOKUP(Pipeline_tbl[[#This Row],[Rep_ID]],Dim_Reps!A:A,Dim_Reps!E:E)</f>
        <v>APAC</v>
      </c>
      <c r="S4196" t="str">
        <f>_xlfn.XLOOKUP(Pipeline_tbl[[#This Row],[Created_Date]],Dim_Date!A:A,Dim_Date!H:H)</f>
        <v>Jan 2025</v>
      </c>
      <c r="T4196" t="str">
        <f>IF(Pipeline_tbl[[#This Row],[Closed_Date]]=0,"",(_xlfn.XLOOKUP(Pipeline_tbl[[#This Row],[Closed_Date]],Dim_Date!A:A,Dim_Date!H:H)))</f>
        <v>Feb 2025</v>
      </c>
      <c r="U4196">
        <f>IF(Pipeline_tbl[[#This Row],[Closed_Date]]=0,"",Pipeline_tbl[[#This Row],[Closed_Date]]-Pipeline_tbl[[#This Row],[Created_Date]])</f>
        <v>28</v>
      </c>
    </row>
    <row r="4197" spans="1:21" ht="15" customHeight="1" x14ac:dyDescent="0.2">
      <c r="A4197" t="s">
        <v>4503</v>
      </c>
      <c r="B4197" t="s">
        <v>207</v>
      </c>
      <c r="C4197" t="s">
        <v>52</v>
      </c>
      <c r="D4197" s="49">
        <v>45676</v>
      </c>
      <c r="E4197" s="49">
        <v>45678</v>
      </c>
      <c r="F4197" s="49">
        <v>45682</v>
      </c>
      <c r="G4197" s="49">
        <v>45687</v>
      </c>
      <c r="I4197" s="49">
        <v>45695</v>
      </c>
      <c r="J4197" t="s">
        <v>49</v>
      </c>
      <c r="K4197" s="33">
        <v>4300</v>
      </c>
      <c r="L4197" t="s">
        <v>63</v>
      </c>
      <c r="M4197" t="str">
        <f>_xlfn.XLOOKUP(Pipeline_tbl[[#This Row],[Rep_ID]],Dim_Reps!A:A,Dim_Reps!K:K)</f>
        <v>EUR</v>
      </c>
      <c r="N4197" s="33">
        <f>(_xlfn.XLOOKUP(Pipeline_tbl[[#This Row],[Rate_Code_Generalized]],Lookups!A:A,Lookups!B:B))*Pipeline_tbl[[#This Row],[Pipeline_Amount_USD]]</f>
        <v>4300</v>
      </c>
      <c r="O4197" t="str">
        <f>_xlfn.XLOOKUP(Pipeline_tbl[[#This Row],[Rep_ID]],Dim_Reps!A:A,Dim_Reps!B:B)</f>
        <v>Sam Castro</v>
      </c>
      <c r="P4197" t="str">
        <f>_xlfn.XLOOKUP(Pipeline_tbl[[#This Row],[Rep_ID]],Dim_Reps!A:A,Dim_Reps!C:C)</f>
        <v>SDR / Inside Sales Rep</v>
      </c>
      <c r="Q4197" t="str">
        <f>_xlfn.XLOOKUP(Pipeline_tbl[[#This Row],[Rep_ID]],Dim_Reps!A:A,Dim_Reps!D:D)</f>
        <v>Inside Sales</v>
      </c>
      <c r="R4197" t="str">
        <f>_xlfn.XLOOKUP(Pipeline_tbl[[#This Row],[Rep_ID]],Dim_Reps!A:A,Dim_Reps!E:E)</f>
        <v>APAC</v>
      </c>
      <c r="S4197" t="str">
        <f>_xlfn.XLOOKUP(Pipeline_tbl[[#This Row],[Created_Date]],Dim_Date!A:A,Dim_Date!H:H)</f>
        <v>Jan 2025</v>
      </c>
      <c r="T4197" t="str">
        <f>IF(Pipeline_tbl[[#This Row],[Closed_Date]]=0,"",(_xlfn.XLOOKUP(Pipeline_tbl[[#This Row],[Closed_Date]],Dim_Date!A:A,Dim_Date!H:H)))</f>
        <v>Feb 2025</v>
      </c>
      <c r="U4197">
        <f>IF(Pipeline_tbl[[#This Row],[Closed_Date]]=0,"",Pipeline_tbl[[#This Row],[Closed_Date]]-Pipeline_tbl[[#This Row],[Created_Date]])</f>
        <v>19</v>
      </c>
    </row>
    <row r="4198" spans="1:21" ht="15" customHeight="1" x14ac:dyDescent="0.2">
      <c r="A4198" t="s">
        <v>4504</v>
      </c>
      <c r="B4198" t="s">
        <v>207</v>
      </c>
      <c r="C4198" t="s">
        <v>53</v>
      </c>
      <c r="D4198" s="49">
        <v>45680</v>
      </c>
      <c r="E4198" s="49">
        <v>45681</v>
      </c>
      <c r="F4198" s="49">
        <v>45683</v>
      </c>
      <c r="G4198" s="49">
        <v>45686</v>
      </c>
      <c r="I4198" s="49">
        <v>45690</v>
      </c>
      <c r="J4198" t="s">
        <v>49</v>
      </c>
      <c r="K4198" s="33">
        <v>4300</v>
      </c>
      <c r="L4198" t="s">
        <v>62</v>
      </c>
      <c r="M4198" t="str">
        <f>_xlfn.XLOOKUP(Pipeline_tbl[[#This Row],[Rep_ID]],Dim_Reps!A:A,Dim_Reps!K:K)</f>
        <v>EUR</v>
      </c>
      <c r="N4198" s="33">
        <f>(_xlfn.XLOOKUP(Pipeline_tbl[[#This Row],[Rate_Code_Generalized]],Lookups!A:A,Lookups!B:B))*Pipeline_tbl[[#This Row],[Pipeline_Amount_USD]]</f>
        <v>4300</v>
      </c>
      <c r="O4198" t="str">
        <f>_xlfn.XLOOKUP(Pipeline_tbl[[#This Row],[Rep_ID]],Dim_Reps!A:A,Dim_Reps!B:B)</f>
        <v>Sam Castro</v>
      </c>
      <c r="P4198" t="str">
        <f>_xlfn.XLOOKUP(Pipeline_tbl[[#This Row],[Rep_ID]],Dim_Reps!A:A,Dim_Reps!C:C)</f>
        <v>SDR / Inside Sales Rep</v>
      </c>
      <c r="Q4198" t="str">
        <f>_xlfn.XLOOKUP(Pipeline_tbl[[#This Row],[Rep_ID]],Dim_Reps!A:A,Dim_Reps!D:D)</f>
        <v>Inside Sales</v>
      </c>
      <c r="R4198" t="str">
        <f>_xlfn.XLOOKUP(Pipeline_tbl[[#This Row],[Rep_ID]],Dim_Reps!A:A,Dim_Reps!E:E)</f>
        <v>APAC</v>
      </c>
      <c r="S4198" t="str">
        <f>_xlfn.XLOOKUP(Pipeline_tbl[[#This Row],[Created_Date]],Dim_Date!A:A,Dim_Date!H:H)</f>
        <v>Jan 2025</v>
      </c>
      <c r="T4198" t="str">
        <f>IF(Pipeline_tbl[[#This Row],[Closed_Date]]=0,"",(_xlfn.XLOOKUP(Pipeline_tbl[[#This Row],[Closed_Date]],Dim_Date!A:A,Dim_Date!H:H)))</f>
        <v>Feb 2025</v>
      </c>
      <c r="U4198">
        <f>IF(Pipeline_tbl[[#This Row],[Closed_Date]]=0,"",Pipeline_tbl[[#This Row],[Closed_Date]]-Pipeline_tbl[[#This Row],[Created_Date]])</f>
        <v>10</v>
      </c>
    </row>
    <row r="4199" spans="1:21" ht="15" customHeight="1" x14ac:dyDescent="0.2">
      <c r="A4199" t="s">
        <v>4505</v>
      </c>
      <c r="B4199" t="s">
        <v>207</v>
      </c>
      <c r="C4199" t="s">
        <v>53</v>
      </c>
      <c r="D4199" s="49">
        <v>45678</v>
      </c>
      <c r="E4199" s="49">
        <v>45680</v>
      </c>
      <c r="I4199" s="49">
        <v>45695</v>
      </c>
      <c r="J4199" t="s">
        <v>49</v>
      </c>
      <c r="K4199" s="33">
        <v>1900</v>
      </c>
      <c r="L4199" t="s">
        <v>60</v>
      </c>
      <c r="M4199" t="str">
        <f>_xlfn.XLOOKUP(Pipeline_tbl[[#This Row],[Rep_ID]],Dim_Reps!A:A,Dim_Reps!K:K)</f>
        <v>EUR</v>
      </c>
      <c r="N4199" s="33">
        <f>(_xlfn.XLOOKUP(Pipeline_tbl[[#This Row],[Rate_Code_Generalized]],Lookups!A:A,Lookups!B:B))*Pipeline_tbl[[#This Row],[Pipeline_Amount_USD]]</f>
        <v>1900</v>
      </c>
      <c r="O4199" t="str">
        <f>_xlfn.XLOOKUP(Pipeline_tbl[[#This Row],[Rep_ID]],Dim_Reps!A:A,Dim_Reps!B:B)</f>
        <v>Sam Castro</v>
      </c>
      <c r="P4199" t="str">
        <f>_xlfn.XLOOKUP(Pipeline_tbl[[#This Row],[Rep_ID]],Dim_Reps!A:A,Dim_Reps!C:C)</f>
        <v>SDR / Inside Sales Rep</v>
      </c>
      <c r="Q4199" t="str">
        <f>_xlfn.XLOOKUP(Pipeline_tbl[[#This Row],[Rep_ID]],Dim_Reps!A:A,Dim_Reps!D:D)</f>
        <v>Inside Sales</v>
      </c>
      <c r="R4199" t="str">
        <f>_xlfn.XLOOKUP(Pipeline_tbl[[#This Row],[Rep_ID]],Dim_Reps!A:A,Dim_Reps!E:E)</f>
        <v>APAC</v>
      </c>
      <c r="S4199" t="str">
        <f>_xlfn.XLOOKUP(Pipeline_tbl[[#This Row],[Created_Date]],Dim_Date!A:A,Dim_Date!H:H)</f>
        <v>Jan 2025</v>
      </c>
      <c r="T4199" t="str">
        <f>IF(Pipeline_tbl[[#This Row],[Closed_Date]]=0,"",(_xlfn.XLOOKUP(Pipeline_tbl[[#This Row],[Closed_Date]],Dim_Date!A:A,Dim_Date!H:H)))</f>
        <v>Feb 2025</v>
      </c>
      <c r="U4199">
        <f>IF(Pipeline_tbl[[#This Row],[Closed_Date]]=0,"",Pipeline_tbl[[#This Row],[Closed_Date]]-Pipeline_tbl[[#This Row],[Created_Date]])</f>
        <v>17</v>
      </c>
    </row>
    <row r="4200" spans="1:21" ht="15" customHeight="1" x14ac:dyDescent="0.2">
      <c r="A4200" t="s">
        <v>4506</v>
      </c>
      <c r="B4200" t="s">
        <v>209</v>
      </c>
      <c r="C4200" t="s">
        <v>52</v>
      </c>
      <c r="D4200" s="49">
        <v>45672</v>
      </c>
      <c r="E4200" s="49">
        <v>45674</v>
      </c>
      <c r="F4200" s="49">
        <v>45678</v>
      </c>
      <c r="G4200" s="49">
        <v>45684</v>
      </c>
      <c r="I4200" s="49">
        <v>45692</v>
      </c>
      <c r="J4200" t="s">
        <v>49</v>
      </c>
      <c r="K4200" s="33">
        <v>2100</v>
      </c>
      <c r="L4200" t="s">
        <v>63</v>
      </c>
      <c r="M4200" t="str">
        <f>_xlfn.XLOOKUP(Pipeline_tbl[[#This Row],[Rep_ID]],Dim_Reps!A:A,Dim_Reps!K:K)</f>
        <v>EUR</v>
      </c>
      <c r="N4200" s="33">
        <f>(_xlfn.XLOOKUP(Pipeline_tbl[[#This Row],[Rate_Code_Generalized]],Lookups!A:A,Lookups!B:B))*Pipeline_tbl[[#This Row],[Pipeline_Amount_USD]]</f>
        <v>2100</v>
      </c>
      <c r="O4200" t="str">
        <f>_xlfn.XLOOKUP(Pipeline_tbl[[#This Row],[Rep_ID]],Dim_Reps!A:A,Dim_Reps!B:B)</f>
        <v>Petra Larsen</v>
      </c>
      <c r="P4200" t="str">
        <f>_xlfn.XLOOKUP(Pipeline_tbl[[#This Row],[Rep_ID]],Dim_Reps!A:A,Dim_Reps!C:C)</f>
        <v>SDR / Inside Sales Rep</v>
      </c>
      <c r="Q4200" t="str">
        <f>_xlfn.XLOOKUP(Pipeline_tbl[[#This Row],[Rep_ID]],Dim_Reps!A:A,Dim_Reps!D:D)</f>
        <v>Inside Sales</v>
      </c>
      <c r="R4200" t="str">
        <f>_xlfn.XLOOKUP(Pipeline_tbl[[#This Row],[Rep_ID]],Dim_Reps!A:A,Dim_Reps!E:E)</f>
        <v>EMEA</v>
      </c>
      <c r="S4200" t="str">
        <f>_xlfn.XLOOKUP(Pipeline_tbl[[#This Row],[Created_Date]],Dim_Date!A:A,Dim_Date!H:H)</f>
        <v>Jan 2025</v>
      </c>
      <c r="T4200" t="str">
        <f>IF(Pipeline_tbl[[#This Row],[Closed_Date]]=0,"",(_xlfn.XLOOKUP(Pipeline_tbl[[#This Row],[Closed_Date]],Dim_Date!A:A,Dim_Date!H:H)))</f>
        <v>Feb 2025</v>
      </c>
      <c r="U4200">
        <f>IF(Pipeline_tbl[[#This Row],[Closed_Date]]=0,"",Pipeline_tbl[[#This Row],[Closed_Date]]-Pipeline_tbl[[#This Row],[Created_Date]])</f>
        <v>20</v>
      </c>
    </row>
    <row r="4201" spans="1:21" ht="15" customHeight="1" x14ac:dyDescent="0.2">
      <c r="A4201" t="s">
        <v>4507</v>
      </c>
      <c r="B4201" t="s">
        <v>209</v>
      </c>
      <c r="C4201" t="s">
        <v>55</v>
      </c>
      <c r="D4201" s="49">
        <v>45678</v>
      </c>
      <c r="E4201" s="49">
        <v>45681</v>
      </c>
      <c r="F4201" s="49">
        <v>45687</v>
      </c>
      <c r="G4201" s="49">
        <v>45695</v>
      </c>
      <c r="H4201" s="49">
        <v>45703</v>
      </c>
      <c r="I4201" s="49">
        <v>45707</v>
      </c>
      <c r="J4201" t="s">
        <v>49</v>
      </c>
      <c r="K4201" s="33">
        <v>2500</v>
      </c>
      <c r="L4201" t="s">
        <v>63</v>
      </c>
      <c r="M4201" t="str">
        <f>_xlfn.XLOOKUP(Pipeline_tbl[[#This Row],[Rep_ID]],Dim_Reps!A:A,Dim_Reps!K:K)</f>
        <v>EUR</v>
      </c>
      <c r="N4201" s="33">
        <f>(_xlfn.XLOOKUP(Pipeline_tbl[[#This Row],[Rate_Code_Generalized]],Lookups!A:A,Lookups!B:B))*Pipeline_tbl[[#This Row],[Pipeline_Amount_USD]]</f>
        <v>2500</v>
      </c>
      <c r="O4201" t="str">
        <f>_xlfn.XLOOKUP(Pipeline_tbl[[#This Row],[Rep_ID]],Dim_Reps!A:A,Dim_Reps!B:B)</f>
        <v>Petra Larsen</v>
      </c>
      <c r="P4201" t="str">
        <f>_xlfn.XLOOKUP(Pipeline_tbl[[#This Row],[Rep_ID]],Dim_Reps!A:A,Dim_Reps!C:C)</f>
        <v>SDR / Inside Sales Rep</v>
      </c>
      <c r="Q4201" t="str">
        <f>_xlfn.XLOOKUP(Pipeline_tbl[[#This Row],[Rep_ID]],Dim_Reps!A:A,Dim_Reps!D:D)</f>
        <v>Inside Sales</v>
      </c>
      <c r="R4201" t="str">
        <f>_xlfn.XLOOKUP(Pipeline_tbl[[#This Row],[Rep_ID]],Dim_Reps!A:A,Dim_Reps!E:E)</f>
        <v>EMEA</v>
      </c>
      <c r="S4201" t="str">
        <f>_xlfn.XLOOKUP(Pipeline_tbl[[#This Row],[Created_Date]],Dim_Date!A:A,Dim_Date!H:H)</f>
        <v>Jan 2025</v>
      </c>
      <c r="T4201" t="str">
        <f>IF(Pipeline_tbl[[#This Row],[Closed_Date]]=0,"",(_xlfn.XLOOKUP(Pipeline_tbl[[#This Row],[Closed_Date]],Dim_Date!A:A,Dim_Date!H:H)))</f>
        <v>Feb 2025</v>
      </c>
      <c r="U4201">
        <f>IF(Pipeline_tbl[[#This Row],[Closed_Date]]=0,"",Pipeline_tbl[[#This Row],[Closed_Date]]-Pipeline_tbl[[#This Row],[Created_Date]])</f>
        <v>29</v>
      </c>
    </row>
    <row r="4202" spans="1:21" ht="15" customHeight="1" x14ac:dyDescent="0.2">
      <c r="A4202" t="s">
        <v>4508</v>
      </c>
      <c r="B4202" t="s">
        <v>211</v>
      </c>
      <c r="C4202" t="s">
        <v>53</v>
      </c>
      <c r="D4202" s="49">
        <v>45670</v>
      </c>
      <c r="E4202" s="49">
        <v>45672</v>
      </c>
      <c r="F4202" s="49">
        <v>45676</v>
      </c>
      <c r="G4202" s="49">
        <v>45683</v>
      </c>
      <c r="H4202" s="49">
        <v>45688</v>
      </c>
      <c r="I4202" s="49">
        <v>45691</v>
      </c>
      <c r="J4202" t="s">
        <v>47</v>
      </c>
      <c r="K4202" s="33">
        <v>4400</v>
      </c>
      <c r="M4202" t="str">
        <f>_xlfn.XLOOKUP(Pipeline_tbl[[#This Row],[Rep_ID]],Dim_Reps!A:A,Dim_Reps!K:K)</f>
        <v>EUR</v>
      </c>
      <c r="N4202" s="33">
        <f>(_xlfn.XLOOKUP(Pipeline_tbl[[#This Row],[Rate_Code_Generalized]],Lookups!A:A,Lookups!B:B))*Pipeline_tbl[[#This Row],[Pipeline_Amount_USD]]</f>
        <v>4400</v>
      </c>
      <c r="O4202" t="str">
        <f>_xlfn.XLOOKUP(Pipeline_tbl[[#This Row],[Rep_ID]],Dim_Reps!A:A,Dim_Reps!B:B)</f>
        <v>Lea Weber</v>
      </c>
      <c r="P4202" t="str">
        <f>_xlfn.XLOOKUP(Pipeline_tbl[[#This Row],[Rep_ID]],Dim_Reps!A:A,Dim_Reps!C:C)</f>
        <v>SDR / Inside Sales Rep</v>
      </c>
      <c r="Q4202" t="str">
        <f>_xlfn.XLOOKUP(Pipeline_tbl[[#This Row],[Rep_ID]],Dim_Reps!A:A,Dim_Reps!D:D)</f>
        <v>Inside Sales</v>
      </c>
      <c r="R4202" t="str">
        <f>_xlfn.XLOOKUP(Pipeline_tbl[[#This Row],[Rep_ID]],Dim_Reps!A:A,Dim_Reps!E:E)</f>
        <v>EMEA</v>
      </c>
      <c r="S4202" t="str">
        <f>_xlfn.XLOOKUP(Pipeline_tbl[[#This Row],[Created_Date]],Dim_Date!A:A,Dim_Date!H:H)</f>
        <v>Jan 2025</v>
      </c>
      <c r="T4202" t="str">
        <f>IF(Pipeline_tbl[[#This Row],[Closed_Date]]=0,"",(_xlfn.XLOOKUP(Pipeline_tbl[[#This Row],[Closed_Date]],Dim_Date!A:A,Dim_Date!H:H)))</f>
        <v>Feb 2025</v>
      </c>
      <c r="U4202">
        <f>IF(Pipeline_tbl[[#This Row],[Closed_Date]]=0,"",Pipeline_tbl[[#This Row],[Closed_Date]]-Pipeline_tbl[[#This Row],[Created_Date]])</f>
        <v>21</v>
      </c>
    </row>
    <row r="4203" spans="1:21" ht="15" customHeight="1" x14ac:dyDescent="0.2">
      <c r="A4203" t="s">
        <v>4509</v>
      </c>
      <c r="B4203" t="s">
        <v>211</v>
      </c>
      <c r="C4203" t="s">
        <v>52</v>
      </c>
      <c r="D4203" s="49">
        <v>45674</v>
      </c>
      <c r="E4203" s="49">
        <v>45676</v>
      </c>
      <c r="F4203" s="49">
        <v>45679</v>
      </c>
      <c r="G4203" s="49">
        <v>45684</v>
      </c>
      <c r="H4203" s="49">
        <v>45688</v>
      </c>
      <c r="I4203" s="49">
        <v>45691</v>
      </c>
      <c r="J4203" t="s">
        <v>49</v>
      </c>
      <c r="K4203" s="33">
        <v>5900</v>
      </c>
      <c r="L4203" t="s">
        <v>64</v>
      </c>
      <c r="M4203" t="str">
        <f>_xlfn.XLOOKUP(Pipeline_tbl[[#This Row],[Rep_ID]],Dim_Reps!A:A,Dim_Reps!K:K)</f>
        <v>EUR</v>
      </c>
      <c r="N4203" s="33">
        <f>(_xlfn.XLOOKUP(Pipeline_tbl[[#This Row],[Rate_Code_Generalized]],Lookups!A:A,Lookups!B:B))*Pipeline_tbl[[#This Row],[Pipeline_Amount_USD]]</f>
        <v>5900</v>
      </c>
      <c r="O4203" t="str">
        <f>_xlfn.XLOOKUP(Pipeline_tbl[[#This Row],[Rep_ID]],Dim_Reps!A:A,Dim_Reps!B:B)</f>
        <v>Lea Weber</v>
      </c>
      <c r="P4203" t="str">
        <f>_xlfn.XLOOKUP(Pipeline_tbl[[#This Row],[Rep_ID]],Dim_Reps!A:A,Dim_Reps!C:C)</f>
        <v>SDR / Inside Sales Rep</v>
      </c>
      <c r="Q4203" t="str">
        <f>_xlfn.XLOOKUP(Pipeline_tbl[[#This Row],[Rep_ID]],Dim_Reps!A:A,Dim_Reps!D:D)</f>
        <v>Inside Sales</v>
      </c>
      <c r="R4203" t="str">
        <f>_xlfn.XLOOKUP(Pipeline_tbl[[#This Row],[Rep_ID]],Dim_Reps!A:A,Dim_Reps!E:E)</f>
        <v>EMEA</v>
      </c>
      <c r="S4203" t="str">
        <f>_xlfn.XLOOKUP(Pipeline_tbl[[#This Row],[Created_Date]],Dim_Date!A:A,Dim_Date!H:H)</f>
        <v>Jan 2025</v>
      </c>
      <c r="T4203" t="str">
        <f>IF(Pipeline_tbl[[#This Row],[Closed_Date]]=0,"",(_xlfn.XLOOKUP(Pipeline_tbl[[#This Row],[Closed_Date]],Dim_Date!A:A,Dim_Date!H:H)))</f>
        <v>Feb 2025</v>
      </c>
      <c r="U4203">
        <f>IF(Pipeline_tbl[[#This Row],[Closed_Date]]=0,"",Pipeline_tbl[[#This Row],[Closed_Date]]-Pipeline_tbl[[#This Row],[Created_Date]])</f>
        <v>17</v>
      </c>
    </row>
    <row r="4204" spans="1:21" ht="15" customHeight="1" x14ac:dyDescent="0.2">
      <c r="A4204" t="s">
        <v>4510</v>
      </c>
      <c r="B4204" t="s">
        <v>211</v>
      </c>
      <c r="C4204" t="s">
        <v>53</v>
      </c>
      <c r="D4204" s="49">
        <v>45674</v>
      </c>
      <c r="E4204" s="49">
        <v>45676</v>
      </c>
      <c r="I4204" s="49">
        <v>45690</v>
      </c>
      <c r="J4204" t="s">
        <v>49</v>
      </c>
      <c r="K4204" s="33">
        <v>6800</v>
      </c>
      <c r="L4204" t="s">
        <v>61</v>
      </c>
      <c r="M4204" t="str">
        <f>_xlfn.XLOOKUP(Pipeline_tbl[[#This Row],[Rep_ID]],Dim_Reps!A:A,Dim_Reps!K:K)</f>
        <v>EUR</v>
      </c>
      <c r="N4204" s="33">
        <f>(_xlfn.XLOOKUP(Pipeline_tbl[[#This Row],[Rate_Code_Generalized]],Lookups!A:A,Lookups!B:B))*Pipeline_tbl[[#This Row],[Pipeline_Amount_USD]]</f>
        <v>6800</v>
      </c>
      <c r="O4204" t="str">
        <f>_xlfn.XLOOKUP(Pipeline_tbl[[#This Row],[Rep_ID]],Dim_Reps!A:A,Dim_Reps!B:B)</f>
        <v>Lea Weber</v>
      </c>
      <c r="P4204" t="str">
        <f>_xlfn.XLOOKUP(Pipeline_tbl[[#This Row],[Rep_ID]],Dim_Reps!A:A,Dim_Reps!C:C)</f>
        <v>SDR / Inside Sales Rep</v>
      </c>
      <c r="Q4204" t="str">
        <f>_xlfn.XLOOKUP(Pipeline_tbl[[#This Row],[Rep_ID]],Dim_Reps!A:A,Dim_Reps!D:D)</f>
        <v>Inside Sales</v>
      </c>
      <c r="R4204" t="str">
        <f>_xlfn.XLOOKUP(Pipeline_tbl[[#This Row],[Rep_ID]],Dim_Reps!A:A,Dim_Reps!E:E)</f>
        <v>EMEA</v>
      </c>
      <c r="S4204" t="str">
        <f>_xlfn.XLOOKUP(Pipeline_tbl[[#This Row],[Created_Date]],Dim_Date!A:A,Dim_Date!H:H)</f>
        <v>Jan 2025</v>
      </c>
      <c r="T4204" t="str">
        <f>IF(Pipeline_tbl[[#This Row],[Closed_Date]]=0,"",(_xlfn.XLOOKUP(Pipeline_tbl[[#This Row],[Closed_Date]],Dim_Date!A:A,Dim_Date!H:H)))</f>
        <v>Feb 2025</v>
      </c>
      <c r="U4204">
        <f>IF(Pipeline_tbl[[#This Row],[Closed_Date]]=0,"",Pipeline_tbl[[#This Row],[Closed_Date]]-Pipeline_tbl[[#This Row],[Created_Date]])</f>
        <v>16</v>
      </c>
    </row>
    <row r="4205" spans="1:21" ht="15" customHeight="1" x14ac:dyDescent="0.2">
      <c r="A4205" t="s">
        <v>4511</v>
      </c>
      <c r="B4205" t="s">
        <v>211</v>
      </c>
      <c r="C4205" t="s">
        <v>55</v>
      </c>
      <c r="D4205" s="49">
        <v>45688</v>
      </c>
      <c r="E4205" s="49">
        <v>45689</v>
      </c>
      <c r="F4205" s="49">
        <v>45692</v>
      </c>
      <c r="G4205" s="49">
        <v>45696</v>
      </c>
      <c r="H4205" s="49">
        <v>45700</v>
      </c>
      <c r="I4205" s="49">
        <v>45702</v>
      </c>
      <c r="J4205" t="s">
        <v>49</v>
      </c>
      <c r="K4205" s="33">
        <v>2400</v>
      </c>
      <c r="L4205" t="s">
        <v>62</v>
      </c>
      <c r="M4205" t="str">
        <f>_xlfn.XLOOKUP(Pipeline_tbl[[#This Row],[Rep_ID]],Dim_Reps!A:A,Dim_Reps!K:K)</f>
        <v>EUR</v>
      </c>
      <c r="N4205" s="33">
        <f>(_xlfn.XLOOKUP(Pipeline_tbl[[#This Row],[Rate_Code_Generalized]],Lookups!A:A,Lookups!B:B))*Pipeline_tbl[[#This Row],[Pipeline_Amount_USD]]</f>
        <v>2400</v>
      </c>
      <c r="O4205" t="str">
        <f>_xlfn.XLOOKUP(Pipeline_tbl[[#This Row],[Rep_ID]],Dim_Reps!A:A,Dim_Reps!B:B)</f>
        <v>Lea Weber</v>
      </c>
      <c r="P4205" t="str">
        <f>_xlfn.XLOOKUP(Pipeline_tbl[[#This Row],[Rep_ID]],Dim_Reps!A:A,Dim_Reps!C:C)</f>
        <v>SDR / Inside Sales Rep</v>
      </c>
      <c r="Q4205" t="str">
        <f>_xlfn.XLOOKUP(Pipeline_tbl[[#This Row],[Rep_ID]],Dim_Reps!A:A,Dim_Reps!D:D)</f>
        <v>Inside Sales</v>
      </c>
      <c r="R4205" t="str">
        <f>_xlfn.XLOOKUP(Pipeline_tbl[[#This Row],[Rep_ID]],Dim_Reps!A:A,Dim_Reps!E:E)</f>
        <v>EMEA</v>
      </c>
      <c r="S4205" t="str">
        <f>_xlfn.XLOOKUP(Pipeline_tbl[[#This Row],[Created_Date]],Dim_Date!A:A,Dim_Date!H:H)</f>
        <v>Jan 2025</v>
      </c>
      <c r="T4205" t="str">
        <f>IF(Pipeline_tbl[[#This Row],[Closed_Date]]=0,"",(_xlfn.XLOOKUP(Pipeline_tbl[[#This Row],[Closed_Date]],Dim_Date!A:A,Dim_Date!H:H)))</f>
        <v>Feb 2025</v>
      </c>
      <c r="U4205">
        <f>IF(Pipeline_tbl[[#This Row],[Closed_Date]]=0,"",Pipeline_tbl[[#This Row],[Closed_Date]]-Pipeline_tbl[[#This Row],[Created_Date]])</f>
        <v>14</v>
      </c>
    </row>
    <row r="4206" spans="1:21" ht="15" customHeight="1" x14ac:dyDescent="0.2">
      <c r="A4206" t="s">
        <v>4512</v>
      </c>
      <c r="B4206" t="s">
        <v>211</v>
      </c>
      <c r="C4206" t="s">
        <v>55</v>
      </c>
      <c r="D4206" s="49">
        <v>45684</v>
      </c>
      <c r="E4206" s="49">
        <v>45685</v>
      </c>
      <c r="F4206" s="49">
        <v>45686</v>
      </c>
      <c r="G4206" s="49">
        <v>45689</v>
      </c>
      <c r="I4206" s="49">
        <v>45692</v>
      </c>
      <c r="J4206" t="s">
        <v>49</v>
      </c>
      <c r="K4206" s="33">
        <v>3300</v>
      </c>
      <c r="L4206" t="s">
        <v>60</v>
      </c>
      <c r="M4206" t="str">
        <f>_xlfn.XLOOKUP(Pipeline_tbl[[#This Row],[Rep_ID]],Dim_Reps!A:A,Dim_Reps!K:K)</f>
        <v>EUR</v>
      </c>
      <c r="N4206" s="33">
        <f>(_xlfn.XLOOKUP(Pipeline_tbl[[#This Row],[Rate_Code_Generalized]],Lookups!A:A,Lookups!B:B))*Pipeline_tbl[[#This Row],[Pipeline_Amount_USD]]</f>
        <v>3300</v>
      </c>
      <c r="O4206" t="str">
        <f>_xlfn.XLOOKUP(Pipeline_tbl[[#This Row],[Rep_ID]],Dim_Reps!A:A,Dim_Reps!B:B)</f>
        <v>Lea Weber</v>
      </c>
      <c r="P4206" t="str">
        <f>_xlfn.XLOOKUP(Pipeline_tbl[[#This Row],[Rep_ID]],Dim_Reps!A:A,Dim_Reps!C:C)</f>
        <v>SDR / Inside Sales Rep</v>
      </c>
      <c r="Q4206" t="str">
        <f>_xlfn.XLOOKUP(Pipeline_tbl[[#This Row],[Rep_ID]],Dim_Reps!A:A,Dim_Reps!D:D)</f>
        <v>Inside Sales</v>
      </c>
      <c r="R4206" t="str">
        <f>_xlfn.XLOOKUP(Pipeline_tbl[[#This Row],[Rep_ID]],Dim_Reps!A:A,Dim_Reps!E:E)</f>
        <v>EMEA</v>
      </c>
      <c r="S4206" t="str">
        <f>_xlfn.XLOOKUP(Pipeline_tbl[[#This Row],[Created_Date]],Dim_Date!A:A,Dim_Date!H:H)</f>
        <v>Jan 2025</v>
      </c>
      <c r="T4206" t="str">
        <f>IF(Pipeline_tbl[[#This Row],[Closed_Date]]=0,"",(_xlfn.XLOOKUP(Pipeline_tbl[[#This Row],[Closed_Date]],Dim_Date!A:A,Dim_Date!H:H)))</f>
        <v>Feb 2025</v>
      </c>
      <c r="U4206">
        <f>IF(Pipeline_tbl[[#This Row],[Closed_Date]]=0,"",Pipeline_tbl[[#This Row],[Closed_Date]]-Pipeline_tbl[[#This Row],[Created_Date]])</f>
        <v>8</v>
      </c>
    </row>
    <row r="4207" spans="1:21" ht="15" customHeight="1" x14ac:dyDescent="0.2">
      <c r="A4207" t="s">
        <v>4513</v>
      </c>
      <c r="B4207" t="s">
        <v>211</v>
      </c>
      <c r="C4207" t="s">
        <v>53</v>
      </c>
      <c r="D4207" s="49">
        <v>45683</v>
      </c>
      <c r="E4207" s="49">
        <v>45684</v>
      </c>
      <c r="F4207" s="49">
        <v>45687</v>
      </c>
      <c r="G4207" s="49">
        <v>45690</v>
      </c>
      <c r="H4207" s="49">
        <v>45693</v>
      </c>
      <c r="I4207" s="49">
        <v>45695</v>
      </c>
      <c r="J4207" t="s">
        <v>47</v>
      </c>
      <c r="K4207" s="33">
        <v>2100</v>
      </c>
      <c r="M4207" t="str">
        <f>_xlfn.XLOOKUP(Pipeline_tbl[[#This Row],[Rep_ID]],Dim_Reps!A:A,Dim_Reps!K:K)</f>
        <v>EUR</v>
      </c>
      <c r="N4207" s="33">
        <f>(_xlfn.XLOOKUP(Pipeline_tbl[[#This Row],[Rate_Code_Generalized]],Lookups!A:A,Lookups!B:B))*Pipeline_tbl[[#This Row],[Pipeline_Amount_USD]]</f>
        <v>2100</v>
      </c>
      <c r="O4207" t="str">
        <f>_xlfn.XLOOKUP(Pipeline_tbl[[#This Row],[Rep_ID]],Dim_Reps!A:A,Dim_Reps!B:B)</f>
        <v>Lea Weber</v>
      </c>
      <c r="P4207" t="str">
        <f>_xlfn.XLOOKUP(Pipeline_tbl[[#This Row],[Rep_ID]],Dim_Reps!A:A,Dim_Reps!C:C)</f>
        <v>SDR / Inside Sales Rep</v>
      </c>
      <c r="Q4207" t="str">
        <f>_xlfn.XLOOKUP(Pipeline_tbl[[#This Row],[Rep_ID]],Dim_Reps!A:A,Dim_Reps!D:D)</f>
        <v>Inside Sales</v>
      </c>
      <c r="R4207" t="str">
        <f>_xlfn.XLOOKUP(Pipeline_tbl[[#This Row],[Rep_ID]],Dim_Reps!A:A,Dim_Reps!E:E)</f>
        <v>EMEA</v>
      </c>
      <c r="S4207" t="str">
        <f>_xlfn.XLOOKUP(Pipeline_tbl[[#This Row],[Created_Date]],Dim_Date!A:A,Dim_Date!H:H)</f>
        <v>Jan 2025</v>
      </c>
      <c r="T4207" t="str">
        <f>IF(Pipeline_tbl[[#This Row],[Closed_Date]]=0,"",(_xlfn.XLOOKUP(Pipeline_tbl[[#This Row],[Closed_Date]],Dim_Date!A:A,Dim_Date!H:H)))</f>
        <v>Feb 2025</v>
      </c>
      <c r="U4207">
        <f>IF(Pipeline_tbl[[#This Row],[Closed_Date]]=0,"",Pipeline_tbl[[#This Row],[Closed_Date]]-Pipeline_tbl[[#This Row],[Created_Date]])</f>
        <v>12</v>
      </c>
    </row>
    <row r="4208" spans="1:21" ht="15" customHeight="1" x14ac:dyDescent="0.2">
      <c r="A4208" t="s">
        <v>4514</v>
      </c>
      <c r="B4208" t="s">
        <v>211</v>
      </c>
      <c r="C4208" t="s">
        <v>52</v>
      </c>
      <c r="D4208" s="49">
        <v>45677</v>
      </c>
      <c r="E4208" s="49">
        <v>45679</v>
      </c>
      <c r="F4208" s="49">
        <v>45682</v>
      </c>
      <c r="G4208" s="49">
        <v>45688</v>
      </c>
      <c r="I4208" s="49">
        <v>45695</v>
      </c>
      <c r="J4208" t="s">
        <v>49</v>
      </c>
      <c r="K4208" s="33">
        <v>8400</v>
      </c>
      <c r="L4208" t="s">
        <v>63</v>
      </c>
      <c r="M4208" t="str">
        <f>_xlfn.XLOOKUP(Pipeline_tbl[[#This Row],[Rep_ID]],Dim_Reps!A:A,Dim_Reps!K:K)</f>
        <v>EUR</v>
      </c>
      <c r="N4208" s="33">
        <f>(_xlfn.XLOOKUP(Pipeline_tbl[[#This Row],[Rate_Code_Generalized]],Lookups!A:A,Lookups!B:B))*Pipeline_tbl[[#This Row],[Pipeline_Amount_USD]]</f>
        <v>8400</v>
      </c>
      <c r="O4208" t="str">
        <f>_xlfn.XLOOKUP(Pipeline_tbl[[#This Row],[Rep_ID]],Dim_Reps!A:A,Dim_Reps!B:B)</f>
        <v>Lea Weber</v>
      </c>
      <c r="P4208" t="str">
        <f>_xlfn.XLOOKUP(Pipeline_tbl[[#This Row],[Rep_ID]],Dim_Reps!A:A,Dim_Reps!C:C)</f>
        <v>SDR / Inside Sales Rep</v>
      </c>
      <c r="Q4208" t="str">
        <f>_xlfn.XLOOKUP(Pipeline_tbl[[#This Row],[Rep_ID]],Dim_Reps!A:A,Dim_Reps!D:D)</f>
        <v>Inside Sales</v>
      </c>
      <c r="R4208" t="str">
        <f>_xlfn.XLOOKUP(Pipeline_tbl[[#This Row],[Rep_ID]],Dim_Reps!A:A,Dim_Reps!E:E)</f>
        <v>EMEA</v>
      </c>
      <c r="S4208" t="str">
        <f>_xlfn.XLOOKUP(Pipeline_tbl[[#This Row],[Created_Date]],Dim_Date!A:A,Dim_Date!H:H)</f>
        <v>Jan 2025</v>
      </c>
      <c r="T4208" t="str">
        <f>IF(Pipeline_tbl[[#This Row],[Closed_Date]]=0,"",(_xlfn.XLOOKUP(Pipeline_tbl[[#This Row],[Closed_Date]],Dim_Date!A:A,Dim_Date!H:H)))</f>
        <v>Feb 2025</v>
      </c>
      <c r="U4208">
        <f>IF(Pipeline_tbl[[#This Row],[Closed_Date]]=0,"",Pipeline_tbl[[#This Row],[Closed_Date]]-Pipeline_tbl[[#This Row],[Created_Date]])</f>
        <v>18</v>
      </c>
    </row>
    <row r="4209" spans="1:21" ht="15" customHeight="1" x14ac:dyDescent="0.2">
      <c r="A4209" t="s">
        <v>4515</v>
      </c>
      <c r="B4209" t="s">
        <v>211</v>
      </c>
      <c r="C4209" t="s">
        <v>54</v>
      </c>
      <c r="D4209" s="49">
        <v>45685</v>
      </c>
      <c r="E4209" s="49">
        <v>45686</v>
      </c>
      <c r="F4209" s="49">
        <v>45689</v>
      </c>
      <c r="G4209" s="49">
        <v>45692</v>
      </c>
      <c r="H4209" s="49">
        <v>45695</v>
      </c>
      <c r="I4209" s="49">
        <v>45697</v>
      </c>
      <c r="J4209" t="s">
        <v>47</v>
      </c>
      <c r="K4209" s="33">
        <v>2800</v>
      </c>
      <c r="M4209" t="str">
        <f>_xlfn.XLOOKUP(Pipeline_tbl[[#This Row],[Rep_ID]],Dim_Reps!A:A,Dim_Reps!K:K)</f>
        <v>EUR</v>
      </c>
      <c r="N4209" s="33">
        <f>(_xlfn.XLOOKUP(Pipeline_tbl[[#This Row],[Rate_Code_Generalized]],Lookups!A:A,Lookups!B:B))*Pipeline_tbl[[#This Row],[Pipeline_Amount_USD]]</f>
        <v>2800</v>
      </c>
      <c r="O4209" t="str">
        <f>_xlfn.XLOOKUP(Pipeline_tbl[[#This Row],[Rep_ID]],Dim_Reps!A:A,Dim_Reps!B:B)</f>
        <v>Lea Weber</v>
      </c>
      <c r="P4209" t="str">
        <f>_xlfn.XLOOKUP(Pipeline_tbl[[#This Row],[Rep_ID]],Dim_Reps!A:A,Dim_Reps!C:C)</f>
        <v>SDR / Inside Sales Rep</v>
      </c>
      <c r="Q4209" t="str">
        <f>_xlfn.XLOOKUP(Pipeline_tbl[[#This Row],[Rep_ID]],Dim_Reps!A:A,Dim_Reps!D:D)</f>
        <v>Inside Sales</v>
      </c>
      <c r="R4209" t="str">
        <f>_xlfn.XLOOKUP(Pipeline_tbl[[#This Row],[Rep_ID]],Dim_Reps!A:A,Dim_Reps!E:E)</f>
        <v>EMEA</v>
      </c>
      <c r="S4209" t="str">
        <f>_xlfn.XLOOKUP(Pipeline_tbl[[#This Row],[Created_Date]],Dim_Date!A:A,Dim_Date!H:H)</f>
        <v>Jan 2025</v>
      </c>
      <c r="T4209" t="str">
        <f>IF(Pipeline_tbl[[#This Row],[Closed_Date]]=0,"",(_xlfn.XLOOKUP(Pipeline_tbl[[#This Row],[Closed_Date]],Dim_Date!A:A,Dim_Date!H:H)))</f>
        <v>Feb 2025</v>
      </c>
      <c r="U4209">
        <f>IF(Pipeline_tbl[[#This Row],[Closed_Date]]=0,"",Pipeline_tbl[[#This Row],[Closed_Date]]-Pipeline_tbl[[#This Row],[Created_Date]])</f>
        <v>12</v>
      </c>
    </row>
    <row r="4210" spans="1:21" ht="15" customHeight="1" x14ac:dyDescent="0.2">
      <c r="A4210" t="s">
        <v>4516</v>
      </c>
      <c r="B4210" t="s">
        <v>211</v>
      </c>
      <c r="C4210" t="s">
        <v>52</v>
      </c>
      <c r="D4210" s="49">
        <v>45678</v>
      </c>
      <c r="E4210" s="49">
        <v>45680</v>
      </c>
      <c r="F4210" s="49">
        <v>45683</v>
      </c>
      <c r="G4210" s="49">
        <v>45688</v>
      </c>
      <c r="I4210" s="49">
        <v>45695</v>
      </c>
      <c r="J4210" t="s">
        <v>49</v>
      </c>
      <c r="K4210" s="33">
        <v>5800</v>
      </c>
      <c r="L4210" t="s">
        <v>62</v>
      </c>
      <c r="M4210" t="str">
        <f>_xlfn.XLOOKUP(Pipeline_tbl[[#This Row],[Rep_ID]],Dim_Reps!A:A,Dim_Reps!K:K)</f>
        <v>EUR</v>
      </c>
      <c r="N4210" s="33">
        <f>(_xlfn.XLOOKUP(Pipeline_tbl[[#This Row],[Rate_Code_Generalized]],Lookups!A:A,Lookups!B:B))*Pipeline_tbl[[#This Row],[Pipeline_Amount_USD]]</f>
        <v>5800</v>
      </c>
      <c r="O4210" t="str">
        <f>_xlfn.XLOOKUP(Pipeline_tbl[[#This Row],[Rep_ID]],Dim_Reps!A:A,Dim_Reps!B:B)</f>
        <v>Lea Weber</v>
      </c>
      <c r="P4210" t="str">
        <f>_xlfn.XLOOKUP(Pipeline_tbl[[#This Row],[Rep_ID]],Dim_Reps!A:A,Dim_Reps!C:C)</f>
        <v>SDR / Inside Sales Rep</v>
      </c>
      <c r="Q4210" t="str">
        <f>_xlfn.XLOOKUP(Pipeline_tbl[[#This Row],[Rep_ID]],Dim_Reps!A:A,Dim_Reps!D:D)</f>
        <v>Inside Sales</v>
      </c>
      <c r="R4210" t="str">
        <f>_xlfn.XLOOKUP(Pipeline_tbl[[#This Row],[Rep_ID]],Dim_Reps!A:A,Dim_Reps!E:E)</f>
        <v>EMEA</v>
      </c>
      <c r="S4210" t="str">
        <f>_xlfn.XLOOKUP(Pipeline_tbl[[#This Row],[Created_Date]],Dim_Date!A:A,Dim_Date!H:H)</f>
        <v>Jan 2025</v>
      </c>
      <c r="T4210" t="str">
        <f>IF(Pipeline_tbl[[#This Row],[Closed_Date]]=0,"",(_xlfn.XLOOKUP(Pipeline_tbl[[#This Row],[Closed_Date]],Dim_Date!A:A,Dim_Date!H:H)))</f>
        <v>Feb 2025</v>
      </c>
      <c r="U4210">
        <f>IF(Pipeline_tbl[[#This Row],[Closed_Date]]=0,"",Pipeline_tbl[[#This Row],[Closed_Date]]-Pipeline_tbl[[#This Row],[Created_Date]])</f>
        <v>17</v>
      </c>
    </row>
    <row r="4211" spans="1:21" ht="15" customHeight="1" x14ac:dyDescent="0.2">
      <c r="A4211" t="s">
        <v>4517</v>
      </c>
      <c r="B4211" t="s">
        <v>213</v>
      </c>
      <c r="C4211" t="s">
        <v>52</v>
      </c>
      <c r="D4211" s="49">
        <v>45684</v>
      </c>
      <c r="E4211" s="49">
        <v>45686</v>
      </c>
      <c r="F4211" s="49">
        <v>45690</v>
      </c>
      <c r="G4211" s="49">
        <v>45696</v>
      </c>
      <c r="H4211" s="49">
        <v>45701</v>
      </c>
      <c r="I4211" s="49">
        <v>45704</v>
      </c>
      <c r="J4211" t="s">
        <v>47</v>
      </c>
      <c r="K4211" s="33">
        <v>1200</v>
      </c>
      <c r="M4211" t="str">
        <f>_xlfn.XLOOKUP(Pipeline_tbl[[#This Row],[Rep_ID]],Dim_Reps!A:A,Dim_Reps!K:K)</f>
        <v>EUR</v>
      </c>
      <c r="N4211" s="33">
        <f>(_xlfn.XLOOKUP(Pipeline_tbl[[#This Row],[Rate_Code_Generalized]],Lookups!A:A,Lookups!B:B))*Pipeline_tbl[[#This Row],[Pipeline_Amount_USD]]</f>
        <v>1200</v>
      </c>
      <c r="O4211" t="str">
        <f>_xlfn.XLOOKUP(Pipeline_tbl[[#This Row],[Rep_ID]],Dim_Reps!A:A,Dim_Reps!B:B)</f>
        <v>Jamie Silva</v>
      </c>
      <c r="P4211" t="str">
        <f>_xlfn.XLOOKUP(Pipeline_tbl[[#This Row],[Rep_ID]],Dim_Reps!A:A,Dim_Reps!C:C)</f>
        <v>SDR / Inside Sales Rep</v>
      </c>
      <c r="Q4211" t="str">
        <f>_xlfn.XLOOKUP(Pipeline_tbl[[#This Row],[Rep_ID]],Dim_Reps!A:A,Dim_Reps!D:D)</f>
        <v>Inside Sales</v>
      </c>
      <c r="R4211" t="str">
        <f>_xlfn.XLOOKUP(Pipeline_tbl[[#This Row],[Rep_ID]],Dim_Reps!A:A,Dim_Reps!E:E)</f>
        <v>EMEA</v>
      </c>
      <c r="S4211" t="str">
        <f>_xlfn.XLOOKUP(Pipeline_tbl[[#This Row],[Created_Date]],Dim_Date!A:A,Dim_Date!H:H)</f>
        <v>Jan 2025</v>
      </c>
      <c r="T4211" t="str">
        <f>IF(Pipeline_tbl[[#This Row],[Closed_Date]]=0,"",(_xlfn.XLOOKUP(Pipeline_tbl[[#This Row],[Closed_Date]],Dim_Date!A:A,Dim_Date!H:H)))</f>
        <v>Feb 2025</v>
      </c>
      <c r="U4211">
        <f>IF(Pipeline_tbl[[#This Row],[Closed_Date]]=0,"",Pipeline_tbl[[#This Row],[Closed_Date]]-Pipeline_tbl[[#This Row],[Created_Date]])</f>
        <v>20</v>
      </c>
    </row>
    <row r="4212" spans="1:21" ht="15" customHeight="1" x14ac:dyDescent="0.2">
      <c r="A4212" t="s">
        <v>4518</v>
      </c>
      <c r="B4212" t="s">
        <v>213</v>
      </c>
      <c r="C4212" t="s">
        <v>56</v>
      </c>
      <c r="D4212" s="49">
        <v>45673</v>
      </c>
      <c r="E4212" s="49">
        <v>45675</v>
      </c>
      <c r="F4212" s="49">
        <v>45678</v>
      </c>
      <c r="G4212" s="49">
        <v>45683</v>
      </c>
      <c r="H4212" s="49">
        <v>45687</v>
      </c>
      <c r="I4212" s="49">
        <v>45690</v>
      </c>
      <c r="J4212" t="s">
        <v>47</v>
      </c>
      <c r="K4212" s="33">
        <v>8300</v>
      </c>
      <c r="M4212" t="str">
        <f>_xlfn.XLOOKUP(Pipeline_tbl[[#This Row],[Rep_ID]],Dim_Reps!A:A,Dim_Reps!K:K)</f>
        <v>EUR</v>
      </c>
      <c r="N4212" s="33">
        <f>(_xlfn.XLOOKUP(Pipeline_tbl[[#This Row],[Rate_Code_Generalized]],Lookups!A:A,Lookups!B:B))*Pipeline_tbl[[#This Row],[Pipeline_Amount_USD]]</f>
        <v>8300</v>
      </c>
      <c r="O4212" t="str">
        <f>_xlfn.XLOOKUP(Pipeline_tbl[[#This Row],[Rep_ID]],Dim_Reps!A:A,Dim_Reps!B:B)</f>
        <v>Jamie Silva</v>
      </c>
      <c r="P4212" t="str">
        <f>_xlfn.XLOOKUP(Pipeline_tbl[[#This Row],[Rep_ID]],Dim_Reps!A:A,Dim_Reps!C:C)</f>
        <v>SDR / Inside Sales Rep</v>
      </c>
      <c r="Q4212" t="str">
        <f>_xlfn.XLOOKUP(Pipeline_tbl[[#This Row],[Rep_ID]],Dim_Reps!A:A,Dim_Reps!D:D)</f>
        <v>Inside Sales</v>
      </c>
      <c r="R4212" t="str">
        <f>_xlfn.XLOOKUP(Pipeline_tbl[[#This Row],[Rep_ID]],Dim_Reps!A:A,Dim_Reps!E:E)</f>
        <v>EMEA</v>
      </c>
      <c r="S4212" t="str">
        <f>_xlfn.XLOOKUP(Pipeline_tbl[[#This Row],[Created_Date]],Dim_Date!A:A,Dim_Date!H:H)</f>
        <v>Jan 2025</v>
      </c>
      <c r="T4212" t="str">
        <f>IF(Pipeline_tbl[[#This Row],[Closed_Date]]=0,"",(_xlfn.XLOOKUP(Pipeline_tbl[[#This Row],[Closed_Date]],Dim_Date!A:A,Dim_Date!H:H)))</f>
        <v>Feb 2025</v>
      </c>
      <c r="U4212">
        <f>IF(Pipeline_tbl[[#This Row],[Closed_Date]]=0,"",Pipeline_tbl[[#This Row],[Closed_Date]]-Pipeline_tbl[[#This Row],[Created_Date]])</f>
        <v>17</v>
      </c>
    </row>
    <row r="4213" spans="1:21" ht="15" customHeight="1" x14ac:dyDescent="0.2">
      <c r="A4213" t="s">
        <v>4519</v>
      </c>
      <c r="B4213" t="s">
        <v>213</v>
      </c>
      <c r="C4213" t="s">
        <v>53</v>
      </c>
      <c r="D4213" s="49">
        <v>45666</v>
      </c>
      <c r="E4213" s="49">
        <v>45668</v>
      </c>
      <c r="F4213" s="49">
        <v>45674</v>
      </c>
      <c r="I4213" s="49">
        <v>45691</v>
      </c>
      <c r="J4213" t="s">
        <v>49</v>
      </c>
      <c r="K4213" s="33">
        <v>3500</v>
      </c>
      <c r="L4213" t="s">
        <v>62</v>
      </c>
      <c r="M4213" t="str">
        <f>_xlfn.XLOOKUP(Pipeline_tbl[[#This Row],[Rep_ID]],Dim_Reps!A:A,Dim_Reps!K:K)</f>
        <v>EUR</v>
      </c>
      <c r="N4213" s="33">
        <f>(_xlfn.XLOOKUP(Pipeline_tbl[[#This Row],[Rate_Code_Generalized]],Lookups!A:A,Lookups!B:B))*Pipeline_tbl[[#This Row],[Pipeline_Amount_USD]]</f>
        <v>3500</v>
      </c>
      <c r="O4213" t="str">
        <f>_xlfn.XLOOKUP(Pipeline_tbl[[#This Row],[Rep_ID]],Dim_Reps!A:A,Dim_Reps!B:B)</f>
        <v>Jamie Silva</v>
      </c>
      <c r="P4213" t="str">
        <f>_xlfn.XLOOKUP(Pipeline_tbl[[#This Row],[Rep_ID]],Dim_Reps!A:A,Dim_Reps!C:C)</f>
        <v>SDR / Inside Sales Rep</v>
      </c>
      <c r="Q4213" t="str">
        <f>_xlfn.XLOOKUP(Pipeline_tbl[[#This Row],[Rep_ID]],Dim_Reps!A:A,Dim_Reps!D:D)</f>
        <v>Inside Sales</v>
      </c>
      <c r="R4213" t="str">
        <f>_xlfn.XLOOKUP(Pipeline_tbl[[#This Row],[Rep_ID]],Dim_Reps!A:A,Dim_Reps!E:E)</f>
        <v>EMEA</v>
      </c>
      <c r="S4213" t="str">
        <f>_xlfn.XLOOKUP(Pipeline_tbl[[#This Row],[Created_Date]],Dim_Date!A:A,Dim_Date!H:H)</f>
        <v>Jan 2025</v>
      </c>
      <c r="T4213" t="str">
        <f>IF(Pipeline_tbl[[#This Row],[Closed_Date]]=0,"",(_xlfn.XLOOKUP(Pipeline_tbl[[#This Row],[Closed_Date]],Dim_Date!A:A,Dim_Date!H:H)))</f>
        <v>Feb 2025</v>
      </c>
      <c r="U4213">
        <f>IF(Pipeline_tbl[[#This Row],[Closed_Date]]=0,"",Pipeline_tbl[[#This Row],[Closed_Date]]-Pipeline_tbl[[#This Row],[Created_Date]])</f>
        <v>25</v>
      </c>
    </row>
    <row r="4214" spans="1:21" ht="15" customHeight="1" x14ac:dyDescent="0.2">
      <c r="A4214" t="s">
        <v>4520</v>
      </c>
      <c r="B4214" t="s">
        <v>213</v>
      </c>
      <c r="C4214" t="s">
        <v>53</v>
      </c>
      <c r="D4214" s="49">
        <v>45682</v>
      </c>
      <c r="E4214" s="49">
        <v>45684</v>
      </c>
      <c r="I4214" s="49">
        <v>45697</v>
      </c>
      <c r="J4214" t="s">
        <v>49</v>
      </c>
      <c r="K4214" s="33">
        <v>6000</v>
      </c>
      <c r="L4214" t="s">
        <v>61</v>
      </c>
      <c r="M4214" t="str">
        <f>_xlfn.XLOOKUP(Pipeline_tbl[[#This Row],[Rep_ID]],Dim_Reps!A:A,Dim_Reps!K:K)</f>
        <v>EUR</v>
      </c>
      <c r="N4214" s="33">
        <f>(_xlfn.XLOOKUP(Pipeline_tbl[[#This Row],[Rate_Code_Generalized]],Lookups!A:A,Lookups!B:B))*Pipeline_tbl[[#This Row],[Pipeline_Amount_USD]]</f>
        <v>6000</v>
      </c>
      <c r="O4214" t="str">
        <f>_xlfn.XLOOKUP(Pipeline_tbl[[#This Row],[Rep_ID]],Dim_Reps!A:A,Dim_Reps!B:B)</f>
        <v>Jamie Silva</v>
      </c>
      <c r="P4214" t="str">
        <f>_xlfn.XLOOKUP(Pipeline_tbl[[#This Row],[Rep_ID]],Dim_Reps!A:A,Dim_Reps!C:C)</f>
        <v>SDR / Inside Sales Rep</v>
      </c>
      <c r="Q4214" t="str">
        <f>_xlfn.XLOOKUP(Pipeline_tbl[[#This Row],[Rep_ID]],Dim_Reps!A:A,Dim_Reps!D:D)</f>
        <v>Inside Sales</v>
      </c>
      <c r="R4214" t="str">
        <f>_xlfn.XLOOKUP(Pipeline_tbl[[#This Row],[Rep_ID]],Dim_Reps!A:A,Dim_Reps!E:E)</f>
        <v>EMEA</v>
      </c>
      <c r="S4214" t="str">
        <f>_xlfn.XLOOKUP(Pipeline_tbl[[#This Row],[Created_Date]],Dim_Date!A:A,Dim_Date!H:H)</f>
        <v>Jan 2025</v>
      </c>
      <c r="T4214" t="str">
        <f>IF(Pipeline_tbl[[#This Row],[Closed_Date]]=0,"",(_xlfn.XLOOKUP(Pipeline_tbl[[#This Row],[Closed_Date]],Dim_Date!A:A,Dim_Date!H:H)))</f>
        <v>Feb 2025</v>
      </c>
      <c r="U4214">
        <f>IF(Pipeline_tbl[[#This Row],[Closed_Date]]=0,"",Pipeline_tbl[[#This Row],[Closed_Date]]-Pipeline_tbl[[#This Row],[Created_Date]])</f>
        <v>15</v>
      </c>
    </row>
    <row r="4215" spans="1:21" ht="15" customHeight="1" x14ac:dyDescent="0.2">
      <c r="A4215" t="s">
        <v>4521</v>
      </c>
      <c r="B4215" t="s">
        <v>215</v>
      </c>
      <c r="C4215" t="s">
        <v>54</v>
      </c>
      <c r="D4215" s="49">
        <v>45679</v>
      </c>
      <c r="E4215" s="49">
        <v>45680</v>
      </c>
      <c r="F4215" s="49">
        <v>45683</v>
      </c>
      <c r="I4215" s="49">
        <v>45692</v>
      </c>
      <c r="J4215" t="s">
        <v>49</v>
      </c>
      <c r="K4215" s="33">
        <v>2400</v>
      </c>
      <c r="L4215" t="s">
        <v>61</v>
      </c>
      <c r="M4215" t="str">
        <f>_xlfn.XLOOKUP(Pipeline_tbl[[#This Row],[Rep_ID]],Dim_Reps!A:A,Dim_Reps!K:K)</f>
        <v>EUR</v>
      </c>
      <c r="N4215" s="33">
        <f>(_xlfn.XLOOKUP(Pipeline_tbl[[#This Row],[Rate_Code_Generalized]],Lookups!A:A,Lookups!B:B))*Pipeline_tbl[[#This Row],[Pipeline_Amount_USD]]</f>
        <v>2400</v>
      </c>
      <c r="O4215" t="str">
        <f>_xlfn.XLOOKUP(Pipeline_tbl[[#This Row],[Rep_ID]],Dim_Reps!A:A,Dim_Reps!B:B)</f>
        <v>Jamie Schmidt</v>
      </c>
      <c r="P4215" t="str">
        <f>_xlfn.XLOOKUP(Pipeline_tbl[[#This Row],[Rep_ID]],Dim_Reps!A:A,Dim_Reps!C:C)</f>
        <v>SDR / Inside Sales Rep</v>
      </c>
      <c r="Q4215" t="str">
        <f>_xlfn.XLOOKUP(Pipeline_tbl[[#This Row],[Rep_ID]],Dim_Reps!A:A,Dim_Reps!D:D)</f>
        <v>Inside Sales</v>
      </c>
      <c r="R4215" t="str">
        <f>_xlfn.XLOOKUP(Pipeline_tbl[[#This Row],[Rep_ID]],Dim_Reps!A:A,Dim_Reps!E:E)</f>
        <v>APAC</v>
      </c>
      <c r="S4215" t="str">
        <f>_xlfn.XLOOKUP(Pipeline_tbl[[#This Row],[Created_Date]],Dim_Date!A:A,Dim_Date!H:H)</f>
        <v>Jan 2025</v>
      </c>
      <c r="T4215" t="str">
        <f>IF(Pipeline_tbl[[#This Row],[Closed_Date]]=0,"",(_xlfn.XLOOKUP(Pipeline_tbl[[#This Row],[Closed_Date]],Dim_Date!A:A,Dim_Date!H:H)))</f>
        <v>Feb 2025</v>
      </c>
      <c r="U4215">
        <f>IF(Pipeline_tbl[[#This Row],[Closed_Date]]=0,"",Pipeline_tbl[[#This Row],[Closed_Date]]-Pipeline_tbl[[#This Row],[Created_Date]])</f>
        <v>13</v>
      </c>
    </row>
    <row r="4216" spans="1:21" ht="15" customHeight="1" x14ac:dyDescent="0.2">
      <c r="A4216" t="s">
        <v>4522</v>
      </c>
      <c r="B4216" t="s">
        <v>215</v>
      </c>
      <c r="C4216" t="s">
        <v>54</v>
      </c>
      <c r="D4216" s="49">
        <v>45677</v>
      </c>
      <c r="E4216" s="49">
        <v>45678</v>
      </c>
      <c r="I4216" s="49">
        <v>45690</v>
      </c>
      <c r="J4216" t="s">
        <v>49</v>
      </c>
      <c r="K4216" s="33">
        <v>2200</v>
      </c>
      <c r="L4216" t="s">
        <v>60</v>
      </c>
      <c r="M4216" t="str">
        <f>_xlfn.XLOOKUP(Pipeline_tbl[[#This Row],[Rep_ID]],Dim_Reps!A:A,Dim_Reps!K:K)</f>
        <v>EUR</v>
      </c>
      <c r="N4216" s="33">
        <f>(_xlfn.XLOOKUP(Pipeline_tbl[[#This Row],[Rate_Code_Generalized]],Lookups!A:A,Lookups!B:B))*Pipeline_tbl[[#This Row],[Pipeline_Amount_USD]]</f>
        <v>2200</v>
      </c>
      <c r="O4216" t="str">
        <f>_xlfn.XLOOKUP(Pipeline_tbl[[#This Row],[Rep_ID]],Dim_Reps!A:A,Dim_Reps!B:B)</f>
        <v>Jamie Schmidt</v>
      </c>
      <c r="P4216" t="str">
        <f>_xlfn.XLOOKUP(Pipeline_tbl[[#This Row],[Rep_ID]],Dim_Reps!A:A,Dim_Reps!C:C)</f>
        <v>SDR / Inside Sales Rep</v>
      </c>
      <c r="Q4216" t="str">
        <f>_xlfn.XLOOKUP(Pipeline_tbl[[#This Row],[Rep_ID]],Dim_Reps!A:A,Dim_Reps!D:D)</f>
        <v>Inside Sales</v>
      </c>
      <c r="R4216" t="str">
        <f>_xlfn.XLOOKUP(Pipeline_tbl[[#This Row],[Rep_ID]],Dim_Reps!A:A,Dim_Reps!E:E)</f>
        <v>APAC</v>
      </c>
      <c r="S4216" t="str">
        <f>_xlfn.XLOOKUP(Pipeline_tbl[[#This Row],[Created_Date]],Dim_Date!A:A,Dim_Date!H:H)</f>
        <v>Jan 2025</v>
      </c>
      <c r="T4216" t="str">
        <f>IF(Pipeline_tbl[[#This Row],[Closed_Date]]=0,"",(_xlfn.XLOOKUP(Pipeline_tbl[[#This Row],[Closed_Date]],Dim_Date!A:A,Dim_Date!H:H)))</f>
        <v>Feb 2025</v>
      </c>
      <c r="U4216">
        <f>IF(Pipeline_tbl[[#This Row],[Closed_Date]]=0,"",Pipeline_tbl[[#This Row],[Closed_Date]]-Pipeline_tbl[[#This Row],[Created_Date]])</f>
        <v>13</v>
      </c>
    </row>
    <row r="4217" spans="1:21" ht="15" customHeight="1" x14ac:dyDescent="0.2">
      <c r="A4217" t="s">
        <v>4523</v>
      </c>
      <c r="B4217" t="s">
        <v>215</v>
      </c>
      <c r="C4217" t="s">
        <v>52</v>
      </c>
      <c r="D4217" s="49">
        <v>45681</v>
      </c>
      <c r="E4217" s="49">
        <v>45683</v>
      </c>
      <c r="F4217" s="49">
        <v>45687</v>
      </c>
      <c r="G4217" s="49">
        <v>45692</v>
      </c>
      <c r="H4217" s="49">
        <v>45697</v>
      </c>
      <c r="I4217" s="49">
        <v>45700</v>
      </c>
      <c r="J4217" t="s">
        <v>49</v>
      </c>
      <c r="K4217" s="33">
        <v>2300</v>
      </c>
      <c r="L4217" t="s">
        <v>62</v>
      </c>
      <c r="M4217" t="str">
        <f>_xlfn.XLOOKUP(Pipeline_tbl[[#This Row],[Rep_ID]],Dim_Reps!A:A,Dim_Reps!K:K)</f>
        <v>EUR</v>
      </c>
      <c r="N4217" s="33">
        <f>(_xlfn.XLOOKUP(Pipeline_tbl[[#This Row],[Rate_Code_Generalized]],Lookups!A:A,Lookups!B:B))*Pipeline_tbl[[#This Row],[Pipeline_Amount_USD]]</f>
        <v>2300</v>
      </c>
      <c r="O4217" t="str">
        <f>_xlfn.XLOOKUP(Pipeline_tbl[[#This Row],[Rep_ID]],Dim_Reps!A:A,Dim_Reps!B:B)</f>
        <v>Jamie Schmidt</v>
      </c>
      <c r="P4217" t="str">
        <f>_xlfn.XLOOKUP(Pipeline_tbl[[#This Row],[Rep_ID]],Dim_Reps!A:A,Dim_Reps!C:C)</f>
        <v>SDR / Inside Sales Rep</v>
      </c>
      <c r="Q4217" t="str">
        <f>_xlfn.XLOOKUP(Pipeline_tbl[[#This Row],[Rep_ID]],Dim_Reps!A:A,Dim_Reps!D:D)</f>
        <v>Inside Sales</v>
      </c>
      <c r="R4217" t="str">
        <f>_xlfn.XLOOKUP(Pipeline_tbl[[#This Row],[Rep_ID]],Dim_Reps!A:A,Dim_Reps!E:E)</f>
        <v>APAC</v>
      </c>
      <c r="S4217" t="str">
        <f>_xlfn.XLOOKUP(Pipeline_tbl[[#This Row],[Created_Date]],Dim_Date!A:A,Dim_Date!H:H)</f>
        <v>Jan 2025</v>
      </c>
      <c r="T4217" t="str">
        <f>IF(Pipeline_tbl[[#This Row],[Closed_Date]]=0,"",(_xlfn.XLOOKUP(Pipeline_tbl[[#This Row],[Closed_Date]],Dim_Date!A:A,Dim_Date!H:H)))</f>
        <v>Feb 2025</v>
      </c>
      <c r="U4217">
        <f>IF(Pipeline_tbl[[#This Row],[Closed_Date]]=0,"",Pipeline_tbl[[#This Row],[Closed_Date]]-Pipeline_tbl[[#This Row],[Created_Date]])</f>
        <v>19</v>
      </c>
    </row>
    <row r="4218" spans="1:21" ht="15" customHeight="1" x14ac:dyDescent="0.2">
      <c r="A4218" t="s">
        <v>4524</v>
      </c>
      <c r="B4218" t="s">
        <v>217</v>
      </c>
      <c r="C4218" t="s">
        <v>54</v>
      </c>
      <c r="D4218" s="49">
        <v>45682</v>
      </c>
      <c r="E4218" s="49">
        <v>45684</v>
      </c>
      <c r="F4218" s="49">
        <v>45687</v>
      </c>
      <c r="G4218" s="49">
        <v>45692</v>
      </c>
      <c r="H4218" s="49">
        <v>45696</v>
      </c>
      <c r="I4218" s="49">
        <v>45699</v>
      </c>
      <c r="J4218" t="s">
        <v>47</v>
      </c>
      <c r="K4218" s="33">
        <v>3900</v>
      </c>
      <c r="M4218" t="str">
        <f>_xlfn.XLOOKUP(Pipeline_tbl[[#This Row],[Rep_ID]],Dim_Reps!A:A,Dim_Reps!K:K)</f>
        <v>USD</v>
      </c>
      <c r="N4218" s="33">
        <f>(_xlfn.XLOOKUP(Pipeline_tbl[[#This Row],[Rate_Code_Generalized]],Lookups!A:A,Lookups!B:B))*Pipeline_tbl[[#This Row],[Pipeline_Amount_USD]]</f>
        <v>4540.7699999999995</v>
      </c>
      <c r="O4218" t="str">
        <f>_xlfn.XLOOKUP(Pipeline_tbl[[#This Row],[Rep_ID]],Dim_Reps!A:A,Dim_Reps!B:B)</f>
        <v>Priya Weber</v>
      </c>
      <c r="P4218" t="str">
        <f>_xlfn.XLOOKUP(Pipeline_tbl[[#This Row],[Rep_ID]],Dim_Reps!A:A,Dim_Reps!C:C)</f>
        <v>SDR / Inside Sales Rep</v>
      </c>
      <c r="Q4218" t="str">
        <f>_xlfn.XLOOKUP(Pipeline_tbl[[#This Row],[Rep_ID]],Dim_Reps!A:A,Dim_Reps!D:D)</f>
        <v>Inside Sales</v>
      </c>
      <c r="R4218" t="str">
        <f>_xlfn.XLOOKUP(Pipeline_tbl[[#This Row],[Rep_ID]],Dim_Reps!A:A,Dim_Reps!E:E)</f>
        <v>NAMER</v>
      </c>
      <c r="S4218" t="str">
        <f>_xlfn.XLOOKUP(Pipeline_tbl[[#This Row],[Created_Date]],Dim_Date!A:A,Dim_Date!H:H)</f>
        <v>Jan 2025</v>
      </c>
      <c r="T4218" t="str">
        <f>IF(Pipeline_tbl[[#This Row],[Closed_Date]]=0,"",(_xlfn.XLOOKUP(Pipeline_tbl[[#This Row],[Closed_Date]],Dim_Date!A:A,Dim_Date!H:H)))</f>
        <v>Feb 2025</v>
      </c>
      <c r="U4218">
        <f>IF(Pipeline_tbl[[#This Row],[Closed_Date]]=0,"",Pipeline_tbl[[#This Row],[Closed_Date]]-Pipeline_tbl[[#This Row],[Created_Date]])</f>
        <v>17</v>
      </c>
    </row>
    <row r="4219" spans="1:21" ht="15" customHeight="1" x14ac:dyDescent="0.2">
      <c r="A4219" t="s">
        <v>4525</v>
      </c>
      <c r="B4219" t="s">
        <v>217</v>
      </c>
      <c r="C4219" t="s">
        <v>53</v>
      </c>
      <c r="D4219" s="49">
        <v>45676</v>
      </c>
      <c r="E4219" s="49">
        <v>45678</v>
      </c>
      <c r="F4219" s="49">
        <v>45681</v>
      </c>
      <c r="G4219" s="49">
        <v>45686</v>
      </c>
      <c r="H4219" s="49">
        <v>45690</v>
      </c>
      <c r="I4219" s="49">
        <v>45693</v>
      </c>
      <c r="J4219" t="s">
        <v>49</v>
      </c>
      <c r="K4219" s="33">
        <v>4300</v>
      </c>
      <c r="L4219" t="s">
        <v>62</v>
      </c>
      <c r="M4219" t="str">
        <f>_xlfn.XLOOKUP(Pipeline_tbl[[#This Row],[Rep_ID]],Dim_Reps!A:A,Dim_Reps!K:K)</f>
        <v>USD</v>
      </c>
      <c r="N4219" s="33">
        <f>(_xlfn.XLOOKUP(Pipeline_tbl[[#This Row],[Rate_Code_Generalized]],Lookups!A:A,Lookups!B:B))*Pipeline_tbl[[#This Row],[Pipeline_Amount_USD]]</f>
        <v>5006.49</v>
      </c>
      <c r="O4219" t="str">
        <f>_xlfn.XLOOKUP(Pipeline_tbl[[#This Row],[Rep_ID]],Dim_Reps!A:A,Dim_Reps!B:B)</f>
        <v>Priya Weber</v>
      </c>
      <c r="P4219" t="str">
        <f>_xlfn.XLOOKUP(Pipeline_tbl[[#This Row],[Rep_ID]],Dim_Reps!A:A,Dim_Reps!C:C)</f>
        <v>SDR / Inside Sales Rep</v>
      </c>
      <c r="Q4219" t="str">
        <f>_xlfn.XLOOKUP(Pipeline_tbl[[#This Row],[Rep_ID]],Dim_Reps!A:A,Dim_Reps!D:D)</f>
        <v>Inside Sales</v>
      </c>
      <c r="R4219" t="str">
        <f>_xlfn.XLOOKUP(Pipeline_tbl[[#This Row],[Rep_ID]],Dim_Reps!A:A,Dim_Reps!E:E)</f>
        <v>NAMER</v>
      </c>
      <c r="S4219" t="str">
        <f>_xlfn.XLOOKUP(Pipeline_tbl[[#This Row],[Created_Date]],Dim_Date!A:A,Dim_Date!H:H)</f>
        <v>Jan 2025</v>
      </c>
      <c r="T4219" t="str">
        <f>IF(Pipeline_tbl[[#This Row],[Closed_Date]]=0,"",(_xlfn.XLOOKUP(Pipeline_tbl[[#This Row],[Closed_Date]],Dim_Date!A:A,Dim_Date!H:H)))</f>
        <v>Feb 2025</v>
      </c>
      <c r="U4219">
        <f>IF(Pipeline_tbl[[#This Row],[Closed_Date]]=0,"",Pipeline_tbl[[#This Row],[Closed_Date]]-Pipeline_tbl[[#This Row],[Created_Date]])</f>
        <v>17</v>
      </c>
    </row>
    <row r="4220" spans="1:21" ht="15" customHeight="1" x14ac:dyDescent="0.2">
      <c r="A4220" t="s">
        <v>4526</v>
      </c>
      <c r="B4220" t="s">
        <v>217</v>
      </c>
      <c r="C4220" t="s">
        <v>56</v>
      </c>
      <c r="D4220" s="49">
        <v>45681</v>
      </c>
      <c r="E4220" s="49">
        <v>45683</v>
      </c>
      <c r="F4220" s="49">
        <v>45687</v>
      </c>
      <c r="G4220" s="49">
        <v>45693</v>
      </c>
      <c r="I4220" s="49">
        <v>45701</v>
      </c>
      <c r="J4220" t="s">
        <v>49</v>
      </c>
      <c r="K4220" s="33">
        <v>4400</v>
      </c>
      <c r="L4220" t="s">
        <v>60</v>
      </c>
      <c r="M4220" t="str">
        <f>_xlfn.XLOOKUP(Pipeline_tbl[[#This Row],[Rep_ID]],Dim_Reps!A:A,Dim_Reps!K:K)</f>
        <v>USD</v>
      </c>
      <c r="N4220" s="33">
        <f>(_xlfn.XLOOKUP(Pipeline_tbl[[#This Row],[Rate_Code_Generalized]],Lookups!A:A,Lookups!B:B))*Pipeline_tbl[[#This Row],[Pipeline_Amount_USD]]</f>
        <v>5122.9199999999992</v>
      </c>
      <c r="O4220" t="str">
        <f>_xlfn.XLOOKUP(Pipeline_tbl[[#This Row],[Rep_ID]],Dim_Reps!A:A,Dim_Reps!B:B)</f>
        <v>Priya Weber</v>
      </c>
      <c r="P4220" t="str">
        <f>_xlfn.XLOOKUP(Pipeline_tbl[[#This Row],[Rep_ID]],Dim_Reps!A:A,Dim_Reps!C:C)</f>
        <v>SDR / Inside Sales Rep</v>
      </c>
      <c r="Q4220" t="str">
        <f>_xlfn.XLOOKUP(Pipeline_tbl[[#This Row],[Rep_ID]],Dim_Reps!A:A,Dim_Reps!D:D)</f>
        <v>Inside Sales</v>
      </c>
      <c r="R4220" t="str">
        <f>_xlfn.XLOOKUP(Pipeline_tbl[[#This Row],[Rep_ID]],Dim_Reps!A:A,Dim_Reps!E:E)</f>
        <v>NAMER</v>
      </c>
      <c r="S4220" t="str">
        <f>_xlfn.XLOOKUP(Pipeline_tbl[[#This Row],[Created_Date]],Dim_Date!A:A,Dim_Date!H:H)</f>
        <v>Jan 2025</v>
      </c>
      <c r="T4220" t="str">
        <f>IF(Pipeline_tbl[[#This Row],[Closed_Date]]=0,"",(_xlfn.XLOOKUP(Pipeline_tbl[[#This Row],[Closed_Date]],Dim_Date!A:A,Dim_Date!H:H)))</f>
        <v>Feb 2025</v>
      </c>
      <c r="U4220">
        <f>IF(Pipeline_tbl[[#This Row],[Closed_Date]]=0,"",Pipeline_tbl[[#This Row],[Closed_Date]]-Pipeline_tbl[[#This Row],[Created_Date]])</f>
        <v>20</v>
      </c>
    </row>
    <row r="4221" spans="1:21" ht="15" customHeight="1" x14ac:dyDescent="0.2">
      <c r="A4221" t="s">
        <v>4527</v>
      </c>
      <c r="B4221" t="s">
        <v>217</v>
      </c>
      <c r="C4221" t="s">
        <v>52</v>
      </c>
      <c r="D4221" s="49">
        <v>45676</v>
      </c>
      <c r="E4221" s="49">
        <v>45679</v>
      </c>
      <c r="F4221" s="49">
        <v>45684</v>
      </c>
      <c r="G4221" s="49">
        <v>45692</v>
      </c>
      <c r="H4221" s="49">
        <v>45699</v>
      </c>
      <c r="I4221" s="49">
        <v>45703</v>
      </c>
      <c r="J4221" t="s">
        <v>47</v>
      </c>
      <c r="K4221" s="33">
        <v>4100</v>
      </c>
      <c r="M4221" t="str">
        <f>_xlfn.XLOOKUP(Pipeline_tbl[[#This Row],[Rep_ID]],Dim_Reps!A:A,Dim_Reps!K:K)</f>
        <v>USD</v>
      </c>
      <c r="N4221" s="33">
        <f>(_xlfn.XLOOKUP(Pipeline_tbl[[#This Row],[Rate_Code_Generalized]],Lookups!A:A,Lookups!B:B))*Pipeline_tbl[[#This Row],[Pipeline_Amount_USD]]</f>
        <v>4773.6299999999992</v>
      </c>
      <c r="O4221" t="str">
        <f>_xlfn.XLOOKUP(Pipeline_tbl[[#This Row],[Rep_ID]],Dim_Reps!A:A,Dim_Reps!B:B)</f>
        <v>Priya Weber</v>
      </c>
      <c r="P4221" t="str">
        <f>_xlfn.XLOOKUP(Pipeline_tbl[[#This Row],[Rep_ID]],Dim_Reps!A:A,Dim_Reps!C:C)</f>
        <v>SDR / Inside Sales Rep</v>
      </c>
      <c r="Q4221" t="str">
        <f>_xlfn.XLOOKUP(Pipeline_tbl[[#This Row],[Rep_ID]],Dim_Reps!A:A,Dim_Reps!D:D)</f>
        <v>Inside Sales</v>
      </c>
      <c r="R4221" t="str">
        <f>_xlfn.XLOOKUP(Pipeline_tbl[[#This Row],[Rep_ID]],Dim_Reps!A:A,Dim_Reps!E:E)</f>
        <v>NAMER</v>
      </c>
      <c r="S4221" t="str">
        <f>_xlfn.XLOOKUP(Pipeline_tbl[[#This Row],[Created_Date]],Dim_Date!A:A,Dim_Date!H:H)</f>
        <v>Jan 2025</v>
      </c>
      <c r="T4221" t="str">
        <f>IF(Pipeline_tbl[[#This Row],[Closed_Date]]=0,"",(_xlfn.XLOOKUP(Pipeline_tbl[[#This Row],[Closed_Date]],Dim_Date!A:A,Dim_Date!H:H)))</f>
        <v>Feb 2025</v>
      </c>
      <c r="U4221">
        <f>IF(Pipeline_tbl[[#This Row],[Closed_Date]]=0,"",Pipeline_tbl[[#This Row],[Closed_Date]]-Pipeline_tbl[[#This Row],[Created_Date]])</f>
        <v>27</v>
      </c>
    </row>
    <row r="4222" spans="1:21" ht="15" customHeight="1" x14ac:dyDescent="0.2">
      <c r="A4222" t="s">
        <v>4528</v>
      </c>
      <c r="B4222" t="s">
        <v>217</v>
      </c>
      <c r="C4222" t="s">
        <v>52</v>
      </c>
      <c r="D4222" s="49">
        <v>45673</v>
      </c>
      <c r="E4222" s="49">
        <v>45675</v>
      </c>
      <c r="F4222" s="49">
        <v>45680</v>
      </c>
      <c r="I4222" s="49">
        <v>45695</v>
      </c>
      <c r="J4222" t="s">
        <v>49</v>
      </c>
      <c r="K4222" s="33">
        <v>3900</v>
      </c>
      <c r="L4222" t="s">
        <v>61</v>
      </c>
      <c r="M4222" t="str">
        <f>_xlfn.XLOOKUP(Pipeline_tbl[[#This Row],[Rep_ID]],Dim_Reps!A:A,Dim_Reps!K:K)</f>
        <v>USD</v>
      </c>
      <c r="N4222" s="33">
        <f>(_xlfn.XLOOKUP(Pipeline_tbl[[#This Row],[Rate_Code_Generalized]],Lookups!A:A,Lookups!B:B))*Pipeline_tbl[[#This Row],[Pipeline_Amount_USD]]</f>
        <v>4540.7699999999995</v>
      </c>
      <c r="O4222" t="str">
        <f>_xlfn.XLOOKUP(Pipeline_tbl[[#This Row],[Rep_ID]],Dim_Reps!A:A,Dim_Reps!B:B)</f>
        <v>Priya Weber</v>
      </c>
      <c r="P4222" t="str">
        <f>_xlfn.XLOOKUP(Pipeline_tbl[[#This Row],[Rep_ID]],Dim_Reps!A:A,Dim_Reps!C:C)</f>
        <v>SDR / Inside Sales Rep</v>
      </c>
      <c r="Q4222" t="str">
        <f>_xlfn.XLOOKUP(Pipeline_tbl[[#This Row],[Rep_ID]],Dim_Reps!A:A,Dim_Reps!D:D)</f>
        <v>Inside Sales</v>
      </c>
      <c r="R4222" t="str">
        <f>_xlfn.XLOOKUP(Pipeline_tbl[[#This Row],[Rep_ID]],Dim_Reps!A:A,Dim_Reps!E:E)</f>
        <v>NAMER</v>
      </c>
      <c r="S4222" t="str">
        <f>_xlfn.XLOOKUP(Pipeline_tbl[[#This Row],[Created_Date]],Dim_Date!A:A,Dim_Date!H:H)</f>
        <v>Jan 2025</v>
      </c>
      <c r="T4222" t="str">
        <f>IF(Pipeline_tbl[[#This Row],[Closed_Date]]=0,"",(_xlfn.XLOOKUP(Pipeline_tbl[[#This Row],[Closed_Date]],Dim_Date!A:A,Dim_Date!H:H)))</f>
        <v>Feb 2025</v>
      </c>
      <c r="U4222">
        <f>IF(Pipeline_tbl[[#This Row],[Closed_Date]]=0,"",Pipeline_tbl[[#This Row],[Closed_Date]]-Pipeline_tbl[[#This Row],[Created_Date]])</f>
        <v>22</v>
      </c>
    </row>
    <row r="4223" spans="1:21" ht="15" customHeight="1" x14ac:dyDescent="0.2">
      <c r="A4223" t="s">
        <v>4529</v>
      </c>
      <c r="B4223" t="s">
        <v>217</v>
      </c>
      <c r="C4223" t="s">
        <v>56</v>
      </c>
      <c r="D4223" s="49">
        <v>45674</v>
      </c>
      <c r="E4223" s="49">
        <v>45676</v>
      </c>
      <c r="F4223" s="49">
        <v>45679</v>
      </c>
      <c r="G4223" s="49">
        <v>45684</v>
      </c>
      <c r="H4223" s="49">
        <v>45688</v>
      </c>
      <c r="I4223" s="49">
        <v>45691</v>
      </c>
      <c r="J4223" t="s">
        <v>47</v>
      </c>
      <c r="K4223" s="33">
        <v>4500</v>
      </c>
      <c r="M4223" t="str">
        <f>_xlfn.XLOOKUP(Pipeline_tbl[[#This Row],[Rep_ID]],Dim_Reps!A:A,Dim_Reps!K:K)</f>
        <v>USD</v>
      </c>
      <c r="N4223" s="33">
        <f>(_xlfn.XLOOKUP(Pipeline_tbl[[#This Row],[Rate_Code_Generalized]],Lookups!A:A,Lookups!B:B))*Pipeline_tbl[[#This Row],[Pipeline_Amount_USD]]</f>
        <v>5239.3499999999995</v>
      </c>
      <c r="O4223" t="str">
        <f>_xlfn.XLOOKUP(Pipeline_tbl[[#This Row],[Rep_ID]],Dim_Reps!A:A,Dim_Reps!B:B)</f>
        <v>Priya Weber</v>
      </c>
      <c r="P4223" t="str">
        <f>_xlfn.XLOOKUP(Pipeline_tbl[[#This Row],[Rep_ID]],Dim_Reps!A:A,Dim_Reps!C:C)</f>
        <v>SDR / Inside Sales Rep</v>
      </c>
      <c r="Q4223" t="str">
        <f>_xlfn.XLOOKUP(Pipeline_tbl[[#This Row],[Rep_ID]],Dim_Reps!A:A,Dim_Reps!D:D)</f>
        <v>Inside Sales</v>
      </c>
      <c r="R4223" t="str">
        <f>_xlfn.XLOOKUP(Pipeline_tbl[[#This Row],[Rep_ID]],Dim_Reps!A:A,Dim_Reps!E:E)</f>
        <v>NAMER</v>
      </c>
      <c r="S4223" t="str">
        <f>_xlfn.XLOOKUP(Pipeline_tbl[[#This Row],[Created_Date]],Dim_Date!A:A,Dim_Date!H:H)</f>
        <v>Jan 2025</v>
      </c>
      <c r="T4223" t="str">
        <f>IF(Pipeline_tbl[[#This Row],[Closed_Date]]=0,"",(_xlfn.XLOOKUP(Pipeline_tbl[[#This Row],[Closed_Date]],Dim_Date!A:A,Dim_Date!H:H)))</f>
        <v>Feb 2025</v>
      </c>
      <c r="U4223">
        <f>IF(Pipeline_tbl[[#This Row],[Closed_Date]]=0,"",Pipeline_tbl[[#This Row],[Closed_Date]]-Pipeline_tbl[[#This Row],[Created_Date]])</f>
        <v>17</v>
      </c>
    </row>
    <row r="4224" spans="1:21" ht="15" customHeight="1" x14ac:dyDescent="0.2">
      <c r="A4224" t="s">
        <v>4530</v>
      </c>
      <c r="B4224" t="s">
        <v>217</v>
      </c>
      <c r="C4224" t="s">
        <v>52</v>
      </c>
      <c r="D4224" s="49">
        <v>45678</v>
      </c>
      <c r="E4224" s="49">
        <v>45680</v>
      </c>
      <c r="F4224" s="49">
        <v>45683</v>
      </c>
      <c r="G4224" s="49">
        <v>45688</v>
      </c>
      <c r="H4224" s="49">
        <v>45692</v>
      </c>
      <c r="I4224" s="49">
        <v>45694</v>
      </c>
      <c r="J4224" t="s">
        <v>47</v>
      </c>
      <c r="K4224" s="33">
        <v>3500</v>
      </c>
      <c r="M4224" t="str">
        <f>_xlfn.XLOOKUP(Pipeline_tbl[[#This Row],[Rep_ID]],Dim_Reps!A:A,Dim_Reps!K:K)</f>
        <v>USD</v>
      </c>
      <c r="N4224" s="33">
        <f>(_xlfn.XLOOKUP(Pipeline_tbl[[#This Row],[Rate_Code_Generalized]],Lookups!A:A,Lookups!B:B))*Pipeline_tbl[[#This Row],[Pipeline_Amount_USD]]</f>
        <v>4075.0499999999997</v>
      </c>
      <c r="O4224" t="str">
        <f>_xlfn.XLOOKUP(Pipeline_tbl[[#This Row],[Rep_ID]],Dim_Reps!A:A,Dim_Reps!B:B)</f>
        <v>Priya Weber</v>
      </c>
      <c r="P4224" t="str">
        <f>_xlfn.XLOOKUP(Pipeline_tbl[[#This Row],[Rep_ID]],Dim_Reps!A:A,Dim_Reps!C:C)</f>
        <v>SDR / Inside Sales Rep</v>
      </c>
      <c r="Q4224" t="str">
        <f>_xlfn.XLOOKUP(Pipeline_tbl[[#This Row],[Rep_ID]],Dim_Reps!A:A,Dim_Reps!D:D)</f>
        <v>Inside Sales</v>
      </c>
      <c r="R4224" t="str">
        <f>_xlfn.XLOOKUP(Pipeline_tbl[[#This Row],[Rep_ID]],Dim_Reps!A:A,Dim_Reps!E:E)</f>
        <v>NAMER</v>
      </c>
      <c r="S4224" t="str">
        <f>_xlfn.XLOOKUP(Pipeline_tbl[[#This Row],[Created_Date]],Dim_Date!A:A,Dim_Date!H:H)</f>
        <v>Jan 2025</v>
      </c>
      <c r="T4224" t="str">
        <f>IF(Pipeline_tbl[[#This Row],[Closed_Date]]=0,"",(_xlfn.XLOOKUP(Pipeline_tbl[[#This Row],[Closed_Date]],Dim_Date!A:A,Dim_Date!H:H)))</f>
        <v>Feb 2025</v>
      </c>
      <c r="U4224">
        <f>IF(Pipeline_tbl[[#This Row],[Closed_Date]]=0,"",Pipeline_tbl[[#This Row],[Closed_Date]]-Pipeline_tbl[[#This Row],[Created_Date]])</f>
        <v>16</v>
      </c>
    </row>
    <row r="4225" spans="1:21" ht="15" customHeight="1" x14ac:dyDescent="0.2">
      <c r="A4225" t="s">
        <v>4531</v>
      </c>
      <c r="B4225" t="s">
        <v>217</v>
      </c>
      <c r="C4225" t="s">
        <v>52</v>
      </c>
      <c r="D4225" s="49">
        <v>45681</v>
      </c>
      <c r="E4225" s="49">
        <v>45683</v>
      </c>
      <c r="F4225" s="49">
        <v>45687</v>
      </c>
      <c r="G4225" s="49">
        <v>45692</v>
      </c>
      <c r="I4225" s="49">
        <v>45700</v>
      </c>
      <c r="J4225" t="s">
        <v>49</v>
      </c>
      <c r="K4225" s="33">
        <v>5100</v>
      </c>
      <c r="L4225" t="s">
        <v>64</v>
      </c>
      <c r="M4225" t="str">
        <f>_xlfn.XLOOKUP(Pipeline_tbl[[#This Row],[Rep_ID]],Dim_Reps!A:A,Dim_Reps!K:K)</f>
        <v>USD</v>
      </c>
      <c r="N4225" s="33">
        <f>(_xlfn.XLOOKUP(Pipeline_tbl[[#This Row],[Rate_Code_Generalized]],Lookups!A:A,Lookups!B:B))*Pipeline_tbl[[#This Row],[Pipeline_Amount_USD]]</f>
        <v>5937.9299999999994</v>
      </c>
      <c r="O4225" t="str">
        <f>_xlfn.XLOOKUP(Pipeline_tbl[[#This Row],[Rep_ID]],Dim_Reps!A:A,Dim_Reps!B:B)</f>
        <v>Priya Weber</v>
      </c>
      <c r="P4225" t="str">
        <f>_xlfn.XLOOKUP(Pipeline_tbl[[#This Row],[Rep_ID]],Dim_Reps!A:A,Dim_Reps!C:C)</f>
        <v>SDR / Inside Sales Rep</v>
      </c>
      <c r="Q4225" t="str">
        <f>_xlfn.XLOOKUP(Pipeline_tbl[[#This Row],[Rep_ID]],Dim_Reps!A:A,Dim_Reps!D:D)</f>
        <v>Inside Sales</v>
      </c>
      <c r="R4225" t="str">
        <f>_xlfn.XLOOKUP(Pipeline_tbl[[#This Row],[Rep_ID]],Dim_Reps!A:A,Dim_Reps!E:E)</f>
        <v>NAMER</v>
      </c>
      <c r="S4225" t="str">
        <f>_xlfn.XLOOKUP(Pipeline_tbl[[#This Row],[Created_Date]],Dim_Date!A:A,Dim_Date!H:H)</f>
        <v>Jan 2025</v>
      </c>
      <c r="T4225" t="str">
        <f>IF(Pipeline_tbl[[#This Row],[Closed_Date]]=0,"",(_xlfn.XLOOKUP(Pipeline_tbl[[#This Row],[Closed_Date]],Dim_Date!A:A,Dim_Date!H:H)))</f>
        <v>Feb 2025</v>
      </c>
      <c r="U4225">
        <f>IF(Pipeline_tbl[[#This Row],[Closed_Date]]=0,"",Pipeline_tbl[[#This Row],[Closed_Date]]-Pipeline_tbl[[#This Row],[Created_Date]])</f>
        <v>19</v>
      </c>
    </row>
    <row r="4226" spans="1:21" ht="15" customHeight="1" x14ac:dyDescent="0.2">
      <c r="A4226" t="s">
        <v>4532</v>
      </c>
      <c r="B4226" t="s">
        <v>217</v>
      </c>
      <c r="C4226" t="s">
        <v>53</v>
      </c>
      <c r="D4226" s="49">
        <v>45677</v>
      </c>
      <c r="E4226" s="49">
        <v>45680</v>
      </c>
      <c r="F4226" s="49">
        <v>45687</v>
      </c>
      <c r="G4226" s="49">
        <v>45696</v>
      </c>
      <c r="H4226" s="49">
        <v>45704</v>
      </c>
      <c r="I4226" s="49">
        <v>45709</v>
      </c>
      <c r="J4226" t="s">
        <v>49</v>
      </c>
      <c r="K4226" s="33">
        <v>2700</v>
      </c>
      <c r="L4226" t="s">
        <v>62</v>
      </c>
      <c r="M4226" t="str">
        <f>_xlfn.XLOOKUP(Pipeline_tbl[[#This Row],[Rep_ID]],Dim_Reps!A:A,Dim_Reps!K:K)</f>
        <v>USD</v>
      </c>
      <c r="N4226" s="33">
        <f>(_xlfn.XLOOKUP(Pipeline_tbl[[#This Row],[Rate_Code_Generalized]],Lookups!A:A,Lookups!B:B))*Pipeline_tbl[[#This Row],[Pipeline_Amount_USD]]</f>
        <v>3143.6099999999997</v>
      </c>
      <c r="O4226" t="str">
        <f>_xlfn.XLOOKUP(Pipeline_tbl[[#This Row],[Rep_ID]],Dim_Reps!A:A,Dim_Reps!B:B)</f>
        <v>Priya Weber</v>
      </c>
      <c r="P4226" t="str">
        <f>_xlfn.XLOOKUP(Pipeline_tbl[[#This Row],[Rep_ID]],Dim_Reps!A:A,Dim_Reps!C:C)</f>
        <v>SDR / Inside Sales Rep</v>
      </c>
      <c r="Q4226" t="str">
        <f>_xlfn.XLOOKUP(Pipeline_tbl[[#This Row],[Rep_ID]],Dim_Reps!A:A,Dim_Reps!D:D)</f>
        <v>Inside Sales</v>
      </c>
      <c r="R4226" t="str">
        <f>_xlfn.XLOOKUP(Pipeline_tbl[[#This Row],[Rep_ID]],Dim_Reps!A:A,Dim_Reps!E:E)</f>
        <v>NAMER</v>
      </c>
      <c r="S4226" t="str">
        <f>_xlfn.XLOOKUP(Pipeline_tbl[[#This Row],[Created_Date]],Dim_Date!A:A,Dim_Date!H:H)</f>
        <v>Jan 2025</v>
      </c>
      <c r="T4226" t="str">
        <f>IF(Pipeline_tbl[[#This Row],[Closed_Date]]=0,"",(_xlfn.XLOOKUP(Pipeline_tbl[[#This Row],[Closed_Date]],Dim_Date!A:A,Dim_Date!H:H)))</f>
        <v>Feb 2025</v>
      </c>
      <c r="U4226">
        <f>IF(Pipeline_tbl[[#This Row],[Closed_Date]]=0,"",Pipeline_tbl[[#This Row],[Closed_Date]]-Pipeline_tbl[[#This Row],[Created_Date]])</f>
        <v>32</v>
      </c>
    </row>
    <row r="4227" spans="1:21" ht="15" customHeight="1" x14ac:dyDescent="0.2">
      <c r="A4227" t="s">
        <v>4533</v>
      </c>
      <c r="B4227" t="s">
        <v>188</v>
      </c>
      <c r="C4227" t="s">
        <v>52</v>
      </c>
      <c r="D4227" s="49">
        <v>45663</v>
      </c>
      <c r="E4227" s="49">
        <v>45668</v>
      </c>
      <c r="F4227" s="49">
        <v>45677</v>
      </c>
      <c r="G4227" s="49">
        <v>45691</v>
      </c>
      <c r="I4227" s="49">
        <v>45710</v>
      </c>
      <c r="J4227" t="s">
        <v>49</v>
      </c>
      <c r="K4227" s="33">
        <v>38600</v>
      </c>
      <c r="L4227" t="s">
        <v>61</v>
      </c>
      <c r="M4227" t="str">
        <f>_xlfn.XLOOKUP(Pipeline_tbl[[#This Row],[Rep_ID]],Dim_Reps!A:A,Dim_Reps!K:K)</f>
        <v>EUR</v>
      </c>
      <c r="N4227" s="33">
        <f>(_xlfn.XLOOKUP(Pipeline_tbl[[#This Row],[Rate_Code_Generalized]],Lookups!A:A,Lookups!B:B))*Pipeline_tbl[[#This Row],[Pipeline_Amount_USD]]</f>
        <v>38600</v>
      </c>
      <c r="O4227" t="str">
        <f>_xlfn.XLOOKUP(Pipeline_tbl[[#This Row],[Rep_ID]],Dim_Reps!A:A,Dim_Reps!B:B)</f>
        <v>Jamie Santos</v>
      </c>
      <c r="P4227" t="str">
        <f>_xlfn.XLOOKUP(Pipeline_tbl[[#This Row],[Rep_ID]],Dim_Reps!A:A,Dim_Reps!C:C)</f>
        <v>Enterprise AE</v>
      </c>
      <c r="Q4227" t="str">
        <f>_xlfn.XLOOKUP(Pipeline_tbl[[#This Row],[Rep_ID]],Dim_Reps!A:A,Dim_Reps!D:D)</f>
        <v>Enterprise</v>
      </c>
      <c r="R4227" t="str">
        <f>_xlfn.XLOOKUP(Pipeline_tbl[[#This Row],[Rep_ID]],Dim_Reps!A:A,Dim_Reps!E:E)</f>
        <v>APAC</v>
      </c>
      <c r="S4227" t="str">
        <f>_xlfn.XLOOKUP(Pipeline_tbl[[#This Row],[Created_Date]],Dim_Date!A:A,Dim_Date!H:H)</f>
        <v>Jan 2025</v>
      </c>
      <c r="T4227" t="str">
        <f>IF(Pipeline_tbl[[#This Row],[Closed_Date]]=0,"",(_xlfn.XLOOKUP(Pipeline_tbl[[#This Row],[Closed_Date]],Dim_Date!A:A,Dim_Date!H:H)))</f>
        <v>Feb 2025</v>
      </c>
      <c r="U4227">
        <f>IF(Pipeline_tbl[[#This Row],[Closed_Date]]=0,"",Pipeline_tbl[[#This Row],[Closed_Date]]-Pipeline_tbl[[#This Row],[Created_Date]])</f>
        <v>47</v>
      </c>
    </row>
    <row r="4228" spans="1:21" ht="15" customHeight="1" x14ac:dyDescent="0.2">
      <c r="A4228" t="s">
        <v>4534</v>
      </c>
      <c r="B4228" t="s">
        <v>221</v>
      </c>
      <c r="C4228" t="s">
        <v>53</v>
      </c>
      <c r="D4228" s="49">
        <v>45675</v>
      </c>
      <c r="E4228" s="49">
        <v>45677</v>
      </c>
      <c r="F4228" s="49">
        <v>45682</v>
      </c>
      <c r="G4228" s="49">
        <v>45689</v>
      </c>
      <c r="I4228" s="49">
        <v>45698</v>
      </c>
      <c r="J4228" t="s">
        <v>49</v>
      </c>
      <c r="K4228" s="33">
        <v>2900</v>
      </c>
      <c r="L4228" t="s">
        <v>62</v>
      </c>
      <c r="M4228" t="str">
        <f>_xlfn.XLOOKUP(Pipeline_tbl[[#This Row],[Rep_ID]],Dim_Reps!A:A,Dim_Reps!K:K)</f>
        <v>MXN</v>
      </c>
      <c r="N4228" s="33">
        <f>(_xlfn.XLOOKUP(Pipeline_tbl[[#This Row],[Rate_Code_Generalized]],Lookups!A:A,Lookups!B:B))*Pipeline_tbl[[#This Row],[Pipeline_Amount_USD]]</f>
        <v>57224.83</v>
      </c>
      <c r="O4228" t="str">
        <f>_xlfn.XLOOKUP(Pipeline_tbl[[#This Row],[Rep_ID]],Dim_Reps!A:A,Dim_Reps!B:B)</f>
        <v>Casey Muller</v>
      </c>
      <c r="P4228" t="str">
        <f>_xlfn.XLOOKUP(Pipeline_tbl[[#This Row],[Rep_ID]],Dim_Reps!A:A,Dim_Reps!C:C)</f>
        <v>SDR / Inside Sales Rep</v>
      </c>
      <c r="Q4228" t="str">
        <f>_xlfn.XLOOKUP(Pipeline_tbl[[#This Row],[Rep_ID]],Dim_Reps!A:A,Dim_Reps!D:D)</f>
        <v>Inside Sales</v>
      </c>
      <c r="R4228" t="str">
        <f>_xlfn.XLOOKUP(Pipeline_tbl[[#This Row],[Rep_ID]],Dim_Reps!A:A,Dim_Reps!E:E)</f>
        <v>LATAM</v>
      </c>
      <c r="S4228" t="str">
        <f>_xlfn.XLOOKUP(Pipeline_tbl[[#This Row],[Created_Date]],Dim_Date!A:A,Dim_Date!H:H)</f>
        <v>Jan 2025</v>
      </c>
      <c r="T4228" t="str">
        <f>IF(Pipeline_tbl[[#This Row],[Closed_Date]]=0,"",(_xlfn.XLOOKUP(Pipeline_tbl[[#This Row],[Closed_Date]],Dim_Date!A:A,Dim_Date!H:H)))</f>
        <v>Feb 2025</v>
      </c>
      <c r="U4228">
        <f>IF(Pipeline_tbl[[#This Row],[Closed_Date]]=0,"",Pipeline_tbl[[#This Row],[Closed_Date]]-Pipeline_tbl[[#This Row],[Created_Date]])</f>
        <v>23</v>
      </c>
    </row>
    <row r="4229" spans="1:21" ht="15" customHeight="1" x14ac:dyDescent="0.2">
      <c r="A4229" t="s">
        <v>4535</v>
      </c>
      <c r="B4229" t="s">
        <v>221</v>
      </c>
      <c r="C4229" t="s">
        <v>53</v>
      </c>
      <c r="D4229" s="49">
        <v>45684</v>
      </c>
      <c r="E4229" s="49">
        <v>45686</v>
      </c>
      <c r="F4229" s="49">
        <v>45689</v>
      </c>
      <c r="G4229" s="49">
        <v>45693</v>
      </c>
      <c r="H4229" s="49">
        <v>45697</v>
      </c>
      <c r="I4229" s="49">
        <v>45699</v>
      </c>
      <c r="J4229" t="s">
        <v>49</v>
      </c>
      <c r="K4229" s="33">
        <v>6500</v>
      </c>
      <c r="L4229" t="s">
        <v>60</v>
      </c>
      <c r="M4229" t="str">
        <f>_xlfn.XLOOKUP(Pipeline_tbl[[#This Row],[Rep_ID]],Dim_Reps!A:A,Dim_Reps!K:K)</f>
        <v>MXN</v>
      </c>
      <c r="N4229" s="33">
        <f>(_xlfn.XLOOKUP(Pipeline_tbl[[#This Row],[Rate_Code_Generalized]],Lookups!A:A,Lookups!B:B))*Pipeline_tbl[[#This Row],[Pipeline_Amount_USD]]</f>
        <v>128262.55</v>
      </c>
      <c r="O4229" t="str">
        <f>_xlfn.XLOOKUP(Pipeline_tbl[[#This Row],[Rep_ID]],Dim_Reps!A:A,Dim_Reps!B:B)</f>
        <v>Casey Muller</v>
      </c>
      <c r="P4229" t="str">
        <f>_xlfn.XLOOKUP(Pipeline_tbl[[#This Row],[Rep_ID]],Dim_Reps!A:A,Dim_Reps!C:C)</f>
        <v>SDR / Inside Sales Rep</v>
      </c>
      <c r="Q4229" t="str">
        <f>_xlfn.XLOOKUP(Pipeline_tbl[[#This Row],[Rep_ID]],Dim_Reps!A:A,Dim_Reps!D:D)</f>
        <v>Inside Sales</v>
      </c>
      <c r="R4229" t="str">
        <f>_xlfn.XLOOKUP(Pipeline_tbl[[#This Row],[Rep_ID]],Dim_Reps!A:A,Dim_Reps!E:E)</f>
        <v>LATAM</v>
      </c>
      <c r="S4229" t="str">
        <f>_xlfn.XLOOKUP(Pipeline_tbl[[#This Row],[Created_Date]],Dim_Date!A:A,Dim_Date!H:H)</f>
        <v>Jan 2025</v>
      </c>
      <c r="T4229" t="str">
        <f>IF(Pipeline_tbl[[#This Row],[Closed_Date]]=0,"",(_xlfn.XLOOKUP(Pipeline_tbl[[#This Row],[Closed_Date]],Dim_Date!A:A,Dim_Date!H:H)))</f>
        <v>Feb 2025</v>
      </c>
      <c r="U4229">
        <f>IF(Pipeline_tbl[[#This Row],[Closed_Date]]=0,"",Pipeline_tbl[[#This Row],[Closed_Date]]-Pipeline_tbl[[#This Row],[Created_Date]])</f>
        <v>15</v>
      </c>
    </row>
    <row r="4230" spans="1:21" ht="15" customHeight="1" x14ac:dyDescent="0.2">
      <c r="A4230" t="s">
        <v>4536</v>
      </c>
      <c r="B4230" t="s">
        <v>221</v>
      </c>
      <c r="C4230" t="s">
        <v>53</v>
      </c>
      <c r="D4230" s="49">
        <v>45665</v>
      </c>
      <c r="E4230" s="49">
        <v>45667</v>
      </c>
      <c r="I4230" s="49">
        <v>45690</v>
      </c>
      <c r="J4230" t="s">
        <v>49</v>
      </c>
      <c r="K4230" s="33">
        <v>7600</v>
      </c>
      <c r="L4230" t="s">
        <v>61</v>
      </c>
      <c r="M4230" t="str">
        <f>_xlfn.XLOOKUP(Pipeline_tbl[[#This Row],[Rep_ID]],Dim_Reps!A:A,Dim_Reps!K:K)</f>
        <v>MXN</v>
      </c>
      <c r="N4230" s="33">
        <f>(_xlfn.XLOOKUP(Pipeline_tbl[[#This Row],[Rate_Code_Generalized]],Lookups!A:A,Lookups!B:B))*Pipeline_tbl[[#This Row],[Pipeline_Amount_USD]]</f>
        <v>149968.52000000002</v>
      </c>
      <c r="O4230" t="str">
        <f>_xlfn.XLOOKUP(Pipeline_tbl[[#This Row],[Rep_ID]],Dim_Reps!A:A,Dim_Reps!B:B)</f>
        <v>Casey Muller</v>
      </c>
      <c r="P4230" t="str">
        <f>_xlfn.XLOOKUP(Pipeline_tbl[[#This Row],[Rep_ID]],Dim_Reps!A:A,Dim_Reps!C:C)</f>
        <v>SDR / Inside Sales Rep</v>
      </c>
      <c r="Q4230" t="str">
        <f>_xlfn.XLOOKUP(Pipeline_tbl[[#This Row],[Rep_ID]],Dim_Reps!A:A,Dim_Reps!D:D)</f>
        <v>Inside Sales</v>
      </c>
      <c r="R4230" t="str">
        <f>_xlfn.XLOOKUP(Pipeline_tbl[[#This Row],[Rep_ID]],Dim_Reps!A:A,Dim_Reps!E:E)</f>
        <v>LATAM</v>
      </c>
      <c r="S4230" t="str">
        <f>_xlfn.XLOOKUP(Pipeline_tbl[[#This Row],[Created_Date]],Dim_Date!A:A,Dim_Date!H:H)</f>
        <v>Jan 2025</v>
      </c>
      <c r="T4230" t="str">
        <f>IF(Pipeline_tbl[[#This Row],[Closed_Date]]=0,"",(_xlfn.XLOOKUP(Pipeline_tbl[[#This Row],[Closed_Date]],Dim_Date!A:A,Dim_Date!H:H)))</f>
        <v>Feb 2025</v>
      </c>
      <c r="U4230">
        <f>IF(Pipeline_tbl[[#This Row],[Closed_Date]]=0,"",Pipeline_tbl[[#This Row],[Closed_Date]]-Pipeline_tbl[[#This Row],[Created_Date]])</f>
        <v>25</v>
      </c>
    </row>
    <row r="4231" spans="1:21" ht="15" customHeight="1" x14ac:dyDescent="0.2">
      <c r="A4231" t="s">
        <v>4537</v>
      </c>
      <c r="B4231" t="s">
        <v>259</v>
      </c>
      <c r="C4231" t="s">
        <v>53</v>
      </c>
      <c r="D4231" s="49">
        <v>45671</v>
      </c>
      <c r="E4231" s="49">
        <v>45675</v>
      </c>
      <c r="F4231" s="49">
        <v>45685</v>
      </c>
      <c r="G4231" s="49">
        <v>45698</v>
      </c>
      <c r="I4231" s="49">
        <v>45716</v>
      </c>
      <c r="J4231" t="s">
        <v>49</v>
      </c>
      <c r="K4231" s="33">
        <v>10300</v>
      </c>
      <c r="L4231" t="s">
        <v>61</v>
      </c>
      <c r="M4231" t="str">
        <f>_xlfn.XLOOKUP(Pipeline_tbl[[#This Row],[Rep_ID]],Dim_Reps!A:A,Dim_Reps!K:K)</f>
        <v>EUR</v>
      </c>
      <c r="N4231" s="33">
        <f>(_xlfn.XLOOKUP(Pipeline_tbl[[#This Row],[Rate_Code_Generalized]],Lookups!A:A,Lookups!B:B))*Pipeline_tbl[[#This Row],[Pipeline_Amount_USD]]</f>
        <v>10300</v>
      </c>
      <c r="O4231" t="str">
        <f>_xlfn.XLOOKUP(Pipeline_tbl[[#This Row],[Rep_ID]],Dim_Reps!A:A,Dim_Reps!B:B)</f>
        <v>Felix Okafor</v>
      </c>
      <c r="P4231" t="str">
        <f>_xlfn.XLOOKUP(Pipeline_tbl[[#This Row],[Rep_ID]],Dim_Reps!A:A,Dim_Reps!C:C)</f>
        <v>Mid-Market AE</v>
      </c>
      <c r="Q4231" t="str">
        <f>_xlfn.XLOOKUP(Pipeline_tbl[[#This Row],[Rep_ID]],Dim_Reps!A:A,Dim_Reps!D:D)</f>
        <v>Mid-Market</v>
      </c>
      <c r="R4231" t="str">
        <f>_xlfn.XLOOKUP(Pipeline_tbl[[#This Row],[Rep_ID]],Dim_Reps!A:A,Dim_Reps!E:E)</f>
        <v>EMEA</v>
      </c>
      <c r="S4231" t="str">
        <f>_xlfn.XLOOKUP(Pipeline_tbl[[#This Row],[Created_Date]],Dim_Date!A:A,Dim_Date!H:H)</f>
        <v>Jan 2025</v>
      </c>
      <c r="T4231" t="str">
        <f>IF(Pipeline_tbl[[#This Row],[Closed_Date]]=0,"",(_xlfn.XLOOKUP(Pipeline_tbl[[#This Row],[Closed_Date]],Dim_Date!A:A,Dim_Date!H:H)))</f>
        <v>Feb 2025</v>
      </c>
      <c r="U4231">
        <f>IF(Pipeline_tbl[[#This Row],[Closed_Date]]=0,"",Pipeline_tbl[[#This Row],[Closed_Date]]-Pipeline_tbl[[#This Row],[Created_Date]])</f>
        <v>45</v>
      </c>
    </row>
    <row r="4232" spans="1:21" ht="15" customHeight="1" x14ac:dyDescent="0.2">
      <c r="A4232" t="s">
        <v>4538</v>
      </c>
      <c r="B4232" t="s">
        <v>259</v>
      </c>
      <c r="C4232" t="s">
        <v>56</v>
      </c>
      <c r="D4232" s="49">
        <v>45667</v>
      </c>
      <c r="E4232" s="49">
        <v>45669</v>
      </c>
      <c r="F4232" s="49">
        <v>45674</v>
      </c>
      <c r="G4232" s="49">
        <v>45681</v>
      </c>
      <c r="H4232" s="49">
        <v>45687</v>
      </c>
      <c r="I4232" s="49">
        <v>45691</v>
      </c>
      <c r="J4232" t="s">
        <v>47</v>
      </c>
      <c r="K4232" s="33">
        <v>24500</v>
      </c>
      <c r="M4232" t="str">
        <f>_xlfn.XLOOKUP(Pipeline_tbl[[#This Row],[Rep_ID]],Dim_Reps!A:A,Dim_Reps!K:K)</f>
        <v>EUR</v>
      </c>
      <c r="N4232" s="33">
        <f>(_xlfn.XLOOKUP(Pipeline_tbl[[#This Row],[Rate_Code_Generalized]],Lookups!A:A,Lookups!B:B))*Pipeline_tbl[[#This Row],[Pipeline_Amount_USD]]</f>
        <v>24500</v>
      </c>
      <c r="O4232" t="str">
        <f>_xlfn.XLOOKUP(Pipeline_tbl[[#This Row],[Rep_ID]],Dim_Reps!A:A,Dim_Reps!B:B)</f>
        <v>Felix Okafor</v>
      </c>
      <c r="P4232" t="str">
        <f>_xlfn.XLOOKUP(Pipeline_tbl[[#This Row],[Rep_ID]],Dim_Reps!A:A,Dim_Reps!C:C)</f>
        <v>Mid-Market AE</v>
      </c>
      <c r="Q4232" t="str">
        <f>_xlfn.XLOOKUP(Pipeline_tbl[[#This Row],[Rep_ID]],Dim_Reps!A:A,Dim_Reps!D:D)</f>
        <v>Mid-Market</v>
      </c>
      <c r="R4232" t="str">
        <f>_xlfn.XLOOKUP(Pipeline_tbl[[#This Row],[Rep_ID]],Dim_Reps!A:A,Dim_Reps!E:E)</f>
        <v>EMEA</v>
      </c>
      <c r="S4232" t="str">
        <f>_xlfn.XLOOKUP(Pipeline_tbl[[#This Row],[Created_Date]],Dim_Date!A:A,Dim_Date!H:H)</f>
        <v>Jan 2025</v>
      </c>
      <c r="T4232" t="str">
        <f>IF(Pipeline_tbl[[#This Row],[Closed_Date]]=0,"",(_xlfn.XLOOKUP(Pipeline_tbl[[#This Row],[Closed_Date]],Dim_Date!A:A,Dim_Date!H:H)))</f>
        <v>Feb 2025</v>
      </c>
      <c r="U4232">
        <f>IF(Pipeline_tbl[[#This Row],[Closed_Date]]=0,"",Pipeline_tbl[[#This Row],[Closed_Date]]-Pipeline_tbl[[#This Row],[Created_Date]])</f>
        <v>24</v>
      </c>
    </row>
    <row r="4233" spans="1:21" ht="15" customHeight="1" x14ac:dyDescent="0.2">
      <c r="A4233" t="s">
        <v>4539</v>
      </c>
      <c r="B4233" t="s">
        <v>259</v>
      </c>
      <c r="C4233" t="s">
        <v>52</v>
      </c>
      <c r="D4233" s="49">
        <v>45662</v>
      </c>
      <c r="E4233" s="49">
        <v>45666</v>
      </c>
      <c r="F4233" s="49">
        <v>45673</v>
      </c>
      <c r="G4233" s="49">
        <v>45683</v>
      </c>
      <c r="H4233" s="49">
        <v>45692</v>
      </c>
      <c r="I4233" s="49">
        <v>45697</v>
      </c>
      <c r="J4233" t="s">
        <v>49</v>
      </c>
      <c r="K4233" s="33">
        <v>14000</v>
      </c>
      <c r="L4233" t="s">
        <v>64</v>
      </c>
      <c r="M4233" t="str">
        <f>_xlfn.XLOOKUP(Pipeline_tbl[[#This Row],[Rep_ID]],Dim_Reps!A:A,Dim_Reps!K:K)</f>
        <v>EUR</v>
      </c>
      <c r="N4233" s="33">
        <f>(_xlfn.XLOOKUP(Pipeline_tbl[[#This Row],[Rate_Code_Generalized]],Lookups!A:A,Lookups!B:B))*Pipeline_tbl[[#This Row],[Pipeline_Amount_USD]]</f>
        <v>14000</v>
      </c>
      <c r="O4233" t="str">
        <f>_xlfn.XLOOKUP(Pipeline_tbl[[#This Row],[Rep_ID]],Dim_Reps!A:A,Dim_Reps!B:B)</f>
        <v>Felix Okafor</v>
      </c>
      <c r="P4233" t="str">
        <f>_xlfn.XLOOKUP(Pipeline_tbl[[#This Row],[Rep_ID]],Dim_Reps!A:A,Dim_Reps!C:C)</f>
        <v>Mid-Market AE</v>
      </c>
      <c r="Q4233" t="str">
        <f>_xlfn.XLOOKUP(Pipeline_tbl[[#This Row],[Rep_ID]],Dim_Reps!A:A,Dim_Reps!D:D)</f>
        <v>Mid-Market</v>
      </c>
      <c r="R4233" t="str">
        <f>_xlfn.XLOOKUP(Pipeline_tbl[[#This Row],[Rep_ID]],Dim_Reps!A:A,Dim_Reps!E:E)</f>
        <v>EMEA</v>
      </c>
      <c r="S4233" t="str">
        <f>_xlfn.XLOOKUP(Pipeline_tbl[[#This Row],[Created_Date]],Dim_Date!A:A,Dim_Date!H:H)</f>
        <v>Jan 2025</v>
      </c>
      <c r="T4233" t="str">
        <f>IF(Pipeline_tbl[[#This Row],[Closed_Date]]=0,"",(_xlfn.XLOOKUP(Pipeline_tbl[[#This Row],[Closed_Date]],Dim_Date!A:A,Dim_Date!H:H)))</f>
        <v>Feb 2025</v>
      </c>
      <c r="U4233">
        <f>IF(Pipeline_tbl[[#This Row],[Closed_Date]]=0,"",Pipeline_tbl[[#This Row],[Closed_Date]]-Pipeline_tbl[[#This Row],[Created_Date]])</f>
        <v>35</v>
      </c>
    </row>
    <row r="4234" spans="1:21" ht="15" customHeight="1" x14ac:dyDescent="0.2">
      <c r="A4234" t="s">
        <v>4540</v>
      </c>
      <c r="B4234" t="s">
        <v>259</v>
      </c>
      <c r="C4234" t="s">
        <v>54</v>
      </c>
      <c r="D4234" s="49">
        <v>45668</v>
      </c>
      <c r="E4234" s="49">
        <v>45670</v>
      </c>
      <c r="F4234" s="49">
        <v>45675</v>
      </c>
      <c r="G4234" s="49">
        <v>45682</v>
      </c>
      <c r="H4234" s="49">
        <v>45688</v>
      </c>
      <c r="I4234" s="49">
        <v>45691</v>
      </c>
      <c r="J4234" t="s">
        <v>47</v>
      </c>
      <c r="K4234" s="33">
        <v>29900</v>
      </c>
      <c r="M4234" t="str">
        <f>_xlfn.XLOOKUP(Pipeline_tbl[[#This Row],[Rep_ID]],Dim_Reps!A:A,Dim_Reps!K:K)</f>
        <v>EUR</v>
      </c>
      <c r="N4234" s="33">
        <f>(_xlfn.XLOOKUP(Pipeline_tbl[[#This Row],[Rate_Code_Generalized]],Lookups!A:A,Lookups!B:B))*Pipeline_tbl[[#This Row],[Pipeline_Amount_USD]]</f>
        <v>29900</v>
      </c>
      <c r="O4234" t="str">
        <f>_xlfn.XLOOKUP(Pipeline_tbl[[#This Row],[Rep_ID]],Dim_Reps!A:A,Dim_Reps!B:B)</f>
        <v>Felix Okafor</v>
      </c>
      <c r="P4234" t="str">
        <f>_xlfn.XLOOKUP(Pipeline_tbl[[#This Row],[Rep_ID]],Dim_Reps!A:A,Dim_Reps!C:C)</f>
        <v>Mid-Market AE</v>
      </c>
      <c r="Q4234" t="str">
        <f>_xlfn.XLOOKUP(Pipeline_tbl[[#This Row],[Rep_ID]],Dim_Reps!A:A,Dim_Reps!D:D)</f>
        <v>Mid-Market</v>
      </c>
      <c r="R4234" t="str">
        <f>_xlfn.XLOOKUP(Pipeline_tbl[[#This Row],[Rep_ID]],Dim_Reps!A:A,Dim_Reps!E:E)</f>
        <v>EMEA</v>
      </c>
      <c r="S4234" t="str">
        <f>_xlfn.XLOOKUP(Pipeline_tbl[[#This Row],[Created_Date]],Dim_Date!A:A,Dim_Date!H:H)</f>
        <v>Jan 2025</v>
      </c>
      <c r="T4234" t="str">
        <f>IF(Pipeline_tbl[[#This Row],[Closed_Date]]=0,"",(_xlfn.XLOOKUP(Pipeline_tbl[[#This Row],[Closed_Date]],Dim_Date!A:A,Dim_Date!H:H)))</f>
        <v>Feb 2025</v>
      </c>
      <c r="U4234">
        <f>IF(Pipeline_tbl[[#This Row],[Closed_Date]]=0,"",Pipeline_tbl[[#This Row],[Closed_Date]]-Pipeline_tbl[[#This Row],[Created_Date]])</f>
        <v>23</v>
      </c>
    </row>
    <row r="4235" spans="1:21" ht="15" customHeight="1" x14ac:dyDescent="0.2">
      <c r="A4235" t="s">
        <v>4541</v>
      </c>
      <c r="B4235" t="s">
        <v>259</v>
      </c>
      <c r="C4235" t="s">
        <v>53</v>
      </c>
      <c r="D4235" s="49">
        <v>45670</v>
      </c>
      <c r="E4235" s="49">
        <v>45673</v>
      </c>
      <c r="F4235" s="49">
        <v>45680</v>
      </c>
      <c r="I4235" s="49">
        <v>45704</v>
      </c>
      <c r="J4235" t="s">
        <v>49</v>
      </c>
      <c r="K4235" s="33">
        <v>11800</v>
      </c>
      <c r="L4235" t="s">
        <v>61</v>
      </c>
      <c r="M4235" t="str">
        <f>_xlfn.XLOOKUP(Pipeline_tbl[[#This Row],[Rep_ID]],Dim_Reps!A:A,Dim_Reps!K:K)</f>
        <v>EUR</v>
      </c>
      <c r="N4235" s="33">
        <f>(_xlfn.XLOOKUP(Pipeline_tbl[[#This Row],[Rate_Code_Generalized]],Lookups!A:A,Lookups!B:B))*Pipeline_tbl[[#This Row],[Pipeline_Amount_USD]]</f>
        <v>11800</v>
      </c>
      <c r="O4235" t="str">
        <f>_xlfn.XLOOKUP(Pipeline_tbl[[#This Row],[Rep_ID]],Dim_Reps!A:A,Dim_Reps!B:B)</f>
        <v>Felix Okafor</v>
      </c>
      <c r="P4235" t="str">
        <f>_xlfn.XLOOKUP(Pipeline_tbl[[#This Row],[Rep_ID]],Dim_Reps!A:A,Dim_Reps!C:C)</f>
        <v>Mid-Market AE</v>
      </c>
      <c r="Q4235" t="str">
        <f>_xlfn.XLOOKUP(Pipeline_tbl[[#This Row],[Rep_ID]],Dim_Reps!A:A,Dim_Reps!D:D)</f>
        <v>Mid-Market</v>
      </c>
      <c r="R4235" t="str">
        <f>_xlfn.XLOOKUP(Pipeline_tbl[[#This Row],[Rep_ID]],Dim_Reps!A:A,Dim_Reps!E:E)</f>
        <v>EMEA</v>
      </c>
      <c r="S4235" t="str">
        <f>_xlfn.XLOOKUP(Pipeline_tbl[[#This Row],[Created_Date]],Dim_Date!A:A,Dim_Date!H:H)</f>
        <v>Jan 2025</v>
      </c>
      <c r="T4235" t="str">
        <f>IF(Pipeline_tbl[[#This Row],[Closed_Date]]=0,"",(_xlfn.XLOOKUP(Pipeline_tbl[[#This Row],[Closed_Date]],Dim_Date!A:A,Dim_Date!H:H)))</f>
        <v>Feb 2025</v>
      </c>
      <c r="U4235">
        <f>IF(Pipeline_tbl[[#This Row],[Closed_Date]]=0,"",Pipeline_tbl[[#This Row],[Closed_Date]]-Pipeline_tbl[[#This Row],[Created_Date]])</f>
        <v>34</v>
      </c>
    </row>
    <row r="4236" spans="1:21" ht="15" customHeight="1" x14ac:dyDescent="0.2">
      <c r="A4236" t="s">
        <v>4542</v>
      </c>
      <c r="B4236" t="s">
        <v>223</v>
      </c>
      <c r="C4236" t="s">
        <v>52</v>
      </c>
      <c r="D4236" s="49">
        <v>45681</v>
      </c>
      <c r="E4236" s="49">
        <v>45683</v>
      </c>
      <c r="F4236" s="49">
        <v>45689</v>
      </c>
      <c r="G4236" s="49">
        <v>45696</v>
      </c>
      <c r="I4236" s="49">
        <v>45706</v>
      </c>
      <c r="J4236" t="s">
        <v>49</v>
      </c>
      <c r="K4236" s="33">
        <v>1700</v>
      </c>
      <c r="L4236" t="s">
        <v>63</v>
      </c>
      <c r="M4236" t="str">
        <f>_xlfn.XLOOKUP(Pipeline_tbl[[#This Row],[Rep_ID]],Dim_Reps!A:A,Dim_Reps!K:K)</f>
        <v>MXN</v>
      </c>
      <c r="N4236" s="33">
        <f>(_xlfn.XLOOKUP(Pipeline_tbl[[#This Row],[Rate_Code_Generalized]],Lookups!A:A,Lookups!B:B))*Pipeline_tbl[[#This Row],[Pipeline_Amount_USD]]</f>
        <v>33545.590000000004</v>
      </c>
      <c r="O4236" t="str">
        <f>_xlfn.XLOOKUP(Pipeline_tbl[[#This Row],[Rep_ID]],Dim_Reps!A:A,Dim_Reps!B:B)</f>
        <v>Lea Petrov</v>
      </c>
      <c r="P4236" t="str">
        <f>_xlfn.XLOOKUP(Pipeline_tbl[[#This Row],[Rep_ID]],Dim_Reps!A:A,Dim_Reps!C:C)</f>
        <v>SDR / Inside Sales Rep</v>
      </c>
      <c r="Q4236" t="str">
        <f>_xlfn.XLOOKUP(Pipeline_tbl[[#This Row],[Rep_ID]],Dim_Reps!A:A,Dim_Reps!D:D)</f>
        <v>Inside Sales</v>
      </c>
      <c r="R4236" t="str">
        <f>_xlfn.XLOOKUP(Pipeline_tbl[[#This Row],[Rep_ID]],Dim_Reps!A:A,Dim_Reps!E:E)</f>
        <v>LATAM</v>
      </c>
      <c r="S4236" t="str">
        <f>_xlfn.XLOOKUP(Pipeline_tbl[[#This Row],[Created_Date]],Dim_Date!A:A,Dim_Date!H:H)</f>
        <v>Jan 2025</v>
      </c>
      <c r="T4236" t="str">
        <f>IF(Pipeline_tbl[[#This Row],[Closed_Date]]=0,"",(_xlfn.XLOOKUP(Pipeline_tbl[[#This Row],[Closed_Date]],Dim_Date!A:A,Dim_Date!H:H)))</f>
        <v>Feb 2025</v>
      </c>
      <c r="U4236">
        <f>IF(Pipeline_tbl[[#This Row],[Closed_Date]]=0,"",Pipeline_tbl[[#This Row],[Closed_Date]]-Pipeline_tbl[[#This Row],[Created_Date]])</f>
        <v>25</v>
      </c>
    </row>
    <row r="4237" spans="1:21" ht="15" customHeight="1" x14ac:dyDescent="0.2">
      <c r="A4237" t="s">
        <v>4543</v>
      </c>
      <c r="B4237" t="s">
        <v>225</v>
      </c>
      <c r="C4237" t="s">
        <v>53</v>
      </c>
      <c r="D4237" s="49">
        <v>45671</v>
      </c>
      <c r="E4237" s="49">
        <v>45673</v>
      </c>
      <c r="F4237" s="49">
        <v>45677</v>
      </c>
      <c r="G4237" s="49">
        <v>45684</v>
      </c>
      <c r="H4237" s="49">
        <v>45689</v>
      </c>
      <c r="I4237" s="49">
        <v>45692</v>
      </c>
      <c r="J4237" t="s">
        <v>49</v>
      </c>
      <c r="K4237" s="33">
        <v>6700</v>
      </c>
      <c r="L4237" t="s">
        <v>60</v>
      </c>
      <c r="M4237" t="str">
        <f>_xlfn.XLOOKUP(Pipeline_tbl[[#This Row],[Rep_ID]],Dim_Reps!A:A,Dim_Reps!K:K)</f>
        <v>USD</v>
      </c>
      <c r="N4237" s="33">
        <f>(_xlfn.XLOOKUP(Pipeline_tbl[[#This Row],[Rate_Code_Generalized]],Lookups!A:A,Lookups!B:B))*Pipeline_tbl[[#This Row],[Pipeline_Amount_USD]]</f>
        <v>7800.8099999999995</v>
      </c>
      <c r="O4237" t="str">
        <f>_xlfn.XLOOKUP(Pipeline_tbl[[#This Row],[Rep_ID]],Dim_Reps!A:A,Dim_Reps!B:B)</f>
        <v>Alex Muller</v>
      </c>
      <c r="P4237" t="str">
        <f>_xlfn.XLOOKUP(Pipeline_tbl[[#This Row],[Rep_ID]],Dim_Reps!A:A,Dim_Reps!C:C)</f>
        <v>SDR / Inside Sales Rep</v>
      </c>
      <c r="Q4237" t="str">
        <f>_xlfn.XLOOKUP(Pipeline_tbl[[#This Row],[Rep_ID]],Dim_Reps!A:A,Dim_Reps!D:D)</f>
        <v>Inside Sales</v>
      </c>
      <c r="R4237" t="str">
        <f>_xlfn.XLOOKUP(Pipeline_tbl[[#This Row],[Rep_ID]],Dim_Reps!A:A,Dim_Reps!E:E)</f>
        <v>NAMER</v>
      </c>
      <c r="S4237" t="str">
        <f>_xlfn.XLOOKUP(Pipeline_tbl[[#This Row],[Created_Date]],Dim_Date!A:A,Dim_Date!H:H)</f>
        <v>Jan 2025</v>
      </c>
      <c r="T4237" t="str">
        <f>IF(Pipeline_tbl[[#This Row],[Closed_Date]]=0,"",(_xlfn.XLOOKUP(Pipeline_tbl[[#This Row],[Closed_Date]],Dim_Date!A:A,Dim_Date!H:H)))</f>
        <v>Feb 2025</v>
      </c>
      <c r="U4237">
        <f>IF(Pipeline_tbl[[#This Row],[Closed_Date]]=0,"",Pipeline_tbl[[#This Row],[Closed_Date]]-Pipeline_tbl[[#This Row],[Created_Date]])</f>
        <v>21</v>
      </c>
    </row>
    <row r="4238" spans="1:21" ht="15" customHeight="1" x14ac:dyDescent="0.2">
      <c r="A4238" t="s">
        <v>4544</v>
      </c>
      <c r="B4238" t="s">
        <v>225</v>
      </c>
      <c r="C4238" t="s">
        <v>52</v>
      </c>
      <c r="D4238" s="49">
        <v>45683</v>
      </c>
      <c r="E4238" s="49">
        <v>45685</v>
      </c>
      <c r="F4238" s="49">
        <v>45689</v>
      </c>
      <c r="G4238" s="49">
        <v>45694</v>
      </c>
      <c r="H4238" s="49">
        <v>45699</v>
      </c>
      <c r="I4238" s="49">
        <v>45702</v>
      </c>
      <c r="J4238" t="s">
        <v>47</v>
      </c>
      <c r="K4238" s="33">
        <v>2100</v>
      </c>
      <c r="M4238" t="str">
        <f>_xlfn.XLOOKUP(Pipeline_tbl[[#This Row],[Rep_ID]],Dim_Reps!A:A,Dim_Reps!K:K)</f>
        <v>USD</v>
      </c>
      <c r="N4238" s="33">
        <f>(_xlfn.XLOOKUP(Pipeline_tbl[[#This Row],[Rate_Code_Generalized]],Lookups!A:A,Lookups!B:B))*Pipeline_tbl[[#This Row],[Pipeline_Amount_USD]]</f>
        <v>2445.0299999999997</v>
      </c>
      <c r="O4238" t="str">
        <f>_xlfn.XLOOKUP(Pipeline_tbl[[#This Row],[Rep_ID]],Dim_Reps!A:A,Dim_Reps!B:B)</f>
        <v>Alex Muller</v>
      </c>
      <c r="P4238" t="str">
        <f>_xlfn.XLOOKUP(Pipeline_tbl[[#This Row],[Rep_ID]],Dim_Reps!A:A,Dim_Reps!C:C)</f>
        <v>SDR / Inside Sales Rep</v>
      </c>
      <c r="Q4238" t="str">
        <f>_xlfn.XLOOKUP(Pipeline_tbl[[#This Row],[Rep_ID]],Dim_Reps!A:A,Dim_Reps!D:D)</f>
        <v>Inside Sales</v>
      </c>
      <c r="R4238" t="str">
        <f>_xlfn.XLOOKUP(Pipeline_tbl[[#This Row],[Rep_ID]],Dim_Reps!A:A,Dim_Reps!E:E)</f>
        <v>NAMER</v>
      </c>
      <c r="S4238" t="str">
        <f>_xlfn.XLOOKUP(Pipeline_tbl[[#This Row],[Created_Date]],Dim_Date!A:A,Dim_Date!H:H)</f>
        <v>Jan 2025</v>
      </c>
      <c r="T4238" t="str">
        <f>IF(Pipeline_tbl[[#This Row],[Closed_Date]]=0,"",(_xlfn.XLOOKUP(Pipeline_tbl[[#This Row],[Closed_Date]],Dim_Date!A:A,Dim_Date!H:H)))</f>
        <v>Feb 2025</v>
      </c>
      <c r="U4238">
        <f>IF(Pipeline_tbl[[#This Row],[Closed_Date]]=0,"",Pipeline_tbl[[#This Row],[Closed_Date]]-Pipeline_tbl[[#This Row],[Created_Date]])</f>
        <v>19</v>
      </c>
    </row>
    <row r="4239" spans="1:21" ht="15" customHeight="1" x14ac:dyDescent="0.2">
      <c r="A4239" t="s">
        <v>4545</v>
      </c>
      <c r="B4239" t="s">
        <v>227</v>
      </c>
      <c r="C4239" t="s">
        <v>53</v>
      </c>
      <c r="D4239" s="49">
        <v>45670</v>
      </c>
      <c r="E4239" s="49">
        <v>45672</v>
      </c>
      <c r="I4239" s="49">
        <v>45695</v>
      </c>
      <c r="J4239" t="s">
        <v>49</v>
      </c>
      <c r="K4239" s="33">
        <v>2800</v>
      </c>
      <c r="L4239" t="s">
        <v>61</v>
      </c>
      <c r="M4239" t="str">
        <f>_xlfn.XLOOKUP(Pipeline_tbl[[#This Row],[Rep_ID]],Dim_Reps!A:A,Dim_Reps!K:K)</f>
        <v>EUR</v>
      </c>
      <c r="N4239" s="33">
        <f>(_xlfn.XLOOKUP(Pipeline_tbl[[#This Row],[Rate_Code_Generalized]],Lookups!A:A,Lookups!B:B))*Pipeline_tbl[[#This Row],[Pipeline_Amount_USD]]</f>
        <v>2800</v>
      </c>
      <c r="O4239" t="str">
        <f>_xlfn.XLOOKUP(Pipeline_tbl[[#This Row],[Rep_ID]],Dim_Reps!A:A,Dim_Reps!B:B)</f>
        <v>Liam Muller</v>
      </c>
      <c r="P4239" t="str">
        <f>_xlfn.XLOOKUP(Pipeline_tbl[[#This Row],[Rep_ID]],Dim_Reps!A:A,Dim_Reps!C:C)</f>
        <v>SDR / Inside Sales Rep</v>
      </c>
      <c r="Q4239" t="str">
        <f>_xlfn.XLOOKUP(Pipeline_tbl[[#This Row],[Rep_ID]],Dim_Reps!A:A,Dim_Reps!D:D)</f>
        <v>Inside Sales</v>
      </c>
      <c r="R4239" t="str">
        <f>_xlfn.XLOOKUP(Pipeline_tbl[[#This Row],[Rep_ID]],Dim_Reps!A:A,Dim_Reps!E:E)</f>
        <v>EMEA</v>
      </c>
      <c r="S4239" t="str">
        <f>_xlfn.XLOOKUP(Pipeline_tbl[[#This Row],[Created_Date]],Dim_Date!A:A,Dim_Date!H:H)</f>
        <v>Jan 2025</v>
      </c>
      <c r="T4239" t="str">
        <f>IF(Pipeline_tbl[[#This Row],[Closed_Date]]=0,"",(_xlfn.XLOOKUP(Pipeline_tbl[[#This Row],[Closed_Date]],Dim_Date!A:A,Dim_Date!H:H)))</f>
        <v>Feb 2025</v>
      </c>
      <c r="U4239">
        <f>IF(Pipeline_tbl[[#This Row],[Closed_Date]]=0,"",Pipeline_tbl[[#This Row],[Closed_Date]]-Pipeline_tbl[[#This Row],[Created_Date]])</f>
        <v>25</v>
      </c>
    </row>
    <row r="4240" spans="1:21" ht="15" customHeight="1" x14ac:dyDescent="0.2">
      <c r="A4240" t="s">
        <v>4546</v>
      </c>
      <c r="B4240" t="s">
        <v>227</v>
      </c>
      <c r="C4240" t="s">
        <v>55</v>
      </c>
      <c r="D4240" s="49">
        <v>45680</v>
      </c>
      <c r="E4240" s="49">
        <v>45681</v>
      </c>
      <c r="F4240" s="49">
        <v>45684</v>
      </c>
      <c r="G4240" s="49">
        <v>45687</v>
      </c>
      <c r="H4240" s="49">
        <v>45690</v>
      </c>
      <c r="I4240" s="49">
        <v>45692</v>
      </c>
      <c r="J4240" t="s">
        <v>49</v>
      </c>
      <c r="K4240" s="33">
        <v>5400</v>
      </c>
      <c r="L4240" t="s">
        <v>62</v>
      </c>
      <c r="M4240" t="str">
        <f>_xlfn.XLOOKUP(Pipeline_tbl[[#This Row],[Rep_ID]],Dim_Reps!A:A,Dim_Reps!K:K)</f>
        <v>EUR</v>
      </c>
      <c r="N4240" s="33">
        <f>(_xlfn.XLOOKUP(Pipeline_tbl[[#This Row],[Rate_Code_Generalized]],Lookups!A:A,Lookups!B:B))*Pipeline_tbl[[#This Row],[Pipeline_Amount_USD]]</f>
        <v>5400</v>
      </c>
      <c r="O4240" t="str">
        <f>_xlfn.XLOOKUP(Pipeline_tbl[[#This Row],[Rep_ID]],Dim_Reps!A:A,Dim_Reps!B:B)</f>
        <v>Liam Muller</v>
      </c>
      <c r="P4240" t="str">
        <f>_xlfn.XLOOKUP(Pipeline_tbl[[#This Row],[Rep_ID]],Dim_Reps!A:A,Dim_Reps!C:C)</f>
        <v>SDR / Inside Sales Rep</v>
      </c>
      <c r="Q4240" t="str">
        <f>_xlfn.XLOOKUP(Pipeline_tbl[[#This Row],[Rep_ID]],Dim_Reps!A:A,Dim_Reps!D:D)</f>
        <v>Inside Sales</v>
      </c>
      <c r="R4240" t="str">
        <f>_xlfn.XLOOKUP(Pipeline_tbl[[#This Row],[Rep_ID]],Dim_Reps!A:A,Dim_Reps!E:E)</f>
        <v>EMEA</v>
      </c>
      <c r="S4240" t="str">
        <f>_xlfn.XLOOKUP(Pipeline_tbl[[#This Row],[Created_Date]],Dim_Date!A:A,Dim_Date!H:H)</f>
        <v>Jan 2025</v>
      </c>
      <c r="T4240" t="str">
        <f>IF(Pipeline_tbl[[#This Row],[Closed_Date]]=0,"",(_xlfn.XLOOKUP(Pipeline_tbl[[#This Row],[Closed_Date]],Dim_Date!A:A,Dim_Date!H:H)))</f>
        <v>Feb 2025</v>
      </c>
      <c r="U4240">
        <f>IF(Pipeline_tbl[[#This Row],[Closed_Date]]=0,"",Pipeline_tbl[[#This Row],[Closed_Date]]-Pipeline_tbl[[#This Row],[Created_Date]])</f>
        <v>12</v>
      </c>
    </row>
    <row r="4241" spans="1:21" ht="15" customHeight="1" x14ac:dyDescent="0.2">
      <c r="A4241" t="s">
        <v>4547</v>
      </c>
      <c r="B4241" t="s">
        <v>229</v>
      </c>
      <c r="C4241" t="s">
        <v>52</v>
      </c>
      <c r="D4241" s="49">
        <v>45682</v>
      </c>
      <c r="E4241" s="49">
        <v>45684</v>
      </c>
      <c r="F4241" s="49">
        <v>45689</v>
      </c>
      <c r="G4241" s="49">
        <v>45695</v>
      </c>
      <c r="H4241" s="49">
        <v>45701</v>
      </c>
      <c r="I4241" s="49">
        <v>45704</v>
      </c>
      <c r="J4241" t="s">
        <v>47</v>
      </c>
      <c r="K4241" s="33">
        <v>3600</v>
      </c>
      <c r="M4241" t="str">
        <f>_xlfn.XLOOKUP(Pipeline_tbl[[#This Row],[Rep_ID]],Dim_Reps!A:A,Dim_Reps!K:K)</f>
        <v>USD</v>
      </c>
      <c r="N4241" s="33">
        <f>(_xlfn.XLOOKUP(Pipeline_tbl[[#This Row],[Rate_Code_Generalized]],Lookups!A:A,Lookups!B:B))*Pipeline_tbl[[#This Row],[Pipeline_Amount_USD]]</f>
        <v>4191.4799999999996</v>
      </c>
      <c r="O4241" t="str">
        <f>_xlfn.XLOOKUP(Pipeline_tbl[[#This Row],[Rep_ID]],Dim_Reps!A:A,Dim_Reps!B:B)</f>
        <v>Liam Castro</v>
      </c>
      <c r="P4241" t="str">
        <f>_xlfn.XLOOKUP(Pipeline_tbl[[#This Row],[Rep_ID]],Dim_Reps!A:A,Dim_Reps!C:C)</f>
        <v>SDR / Inside Sales Rep</v>
      </c>
      <c r="Q4241" t="str">
        <f>_xlfn.XLOOKUP(Pipeline_tbl[[#This Row],[Rep_ID]],Dim_Reps!A:A,Dim_Reps!D:D)</f>
        <v>Inside Sales</v>
      </c>
      <c r="R4241" t="str">
        <f>_xlfn.XLOOKUP(Pipeline_tbl[[#This Row],[Rep_ID]],Dim_Reps!A:A,Dim_Reps!E:E)</f>
        <v>NAMER</v>
      </c>
      <c r="S4241" t="str">
        <f>_xlfn.XLOOKUP(Pipeline_tbl[[#This Row],[Created_Date]],Dim_Date!A:A,Dim_Date!H:H)</f>
        <v>Jan 2025</v>
      </c>
      <c r="T4241" t="str">
        <f>IF(Pipeline_tbl[[#This Row],[Closed_Date]]=0,"",(_xlfn.XLOOKUP(Pipeline_tbl[[#This Row],[Closed_Date]],Dim_Date!A:A,Dim_Date!H:H)))</f>
        <v>Feb 2025</v>
      </c>
      <c r="U4241">
        <f>IF(Pipeline_tbl[[#This Row],[Closed_Date]]=0,"",Pipeline_tbl[[#This Row],[Closed_Date]]-Pipeline_tbl[[#This Row],[Created_Date]])</f>
        <v>22</v>
      </c>
    </row>
    <row r="4242" spans="1:21" ht="15" customHeight="1" x14ac:dyDescent="0.2">
      <c r="A4242" t="s">
        <v>4548</v>
      </c>
      <c r="B4242" t="s">
        <v>229</v>
      </c>
      <c r="C4242" t="s">
        <v>52</v>
      </c>
      <c r="D4242" s="49">
        <v>45688</v>
      </c>
      <c r="E4242" s="49">
        <v>45690</v>
      </c>
      <c r="F4242" s="49">
        <v>45695</v>
      </c>
      <c r="G4242" s="49">
        <v>45701</v>
      </c>
      <c r="H4242" s="49">
        <v>45707</v>
      </c>
      <c r="I4242" s="49">
        <v>45710</v>
      </c>
      <c r="J4242" t="s">
        <v>47</v>
      </c>
      <c r="K4242" s="33">
        <v>5800</v>
      </c>
      <c r="M4242" t="str">
        <f>_xlfn.XLOOKUP(Pipeline_tbl[[#This Row],[Rep_ID]],Dim_Reps!A:A,Dim_Reps!K:K)</f>
        <v>USD</v>
      </c>
      <c r="N4242" s="33">
        <f>(_xlfn.XLOOKUP(Pipeline_tbl[[#This Row],[Rate_Code_Generalized]],Lookups!A:A,Lookups!B:B))*Pipeline_tbl[[#This Row],[Pipeline_Amount_USD]]</f>
        <v>6752.94</v>
      </c>
      <c r="O4242" t="str">
        <f>_xlfn.XLOOKUP(Pipeline_tbl[[#This Row],[Rep_ID]],Dim_Reps!A:A,Dim_Reps!B:B)</f>
        <v>Liam Castro</v>
      </c>
      <c r="P4242" t="str">
        <f>_xlfn.XLOOKUP(Pipeline_tbl[[#This Row],[Rep_ID]],Dim_Reps!A:A,Dim_Reps!C:C)</f>
        <v>SDR / Inside Sales Rep</v>
      </c>
      <c r="Q4242" t="str">
        <f>_xlfn.XLOOKUP(Pipeline_tbl[[#This Row],[Rep_ID]],Dim_Reps!A:A,Dim_Reps!D:D)</f>
        <v>Inside Sales</v>
      </c>
      <c r="R4242" t="str">
        <f>_xlfn.XLOOKUP(Pipeline_tbl[[#This Row],[Rep_ID]],Dim_Reps!A:A,Dim_Reps!E:E)</f>
        <v>NAMER</v>
      </c>
      <c r="S4242" t="str">
        <f>_xlfn.XLOOKUP(Pipeline_tbl[[#This Row],[Created_Date]],Dim_Date!A:A,Dim_Date!H:H)</f>
        <v>Jan 2025</v>
      </c>
      <c r="T4242" t="str">
        <f>IF(Pipeline_tbl[[#This Row],[Closed_Date]]=0,"",(_xlfn.XLOOKUP(Pipeline_tbl[[#This Row],[Closed_Date]],Dim_Date!A:A,Dim_Date!H:H)))</f>
        <v>Feb 2025</v>
      </c>
      <c r="U4242">
        <f>IF(Pipeline_tbl[[#This Row],[Closed_Date]]=0,"",Pipeline_tbl[[#This Row],[Closed_Date]]-Pipeline_tbl[[#This Row],[Created_Date]])</f>
        <v>22</v>
      </c>
    </row>
    <row r="4243" spans="1:21" ht="15" customHeight="1" x14ac:dyDescent="0.2">
      <c r="A4243" t="s">
        <v>4549</v>
      </c>
      <c r="B4243" t="s">
        <v>229</v>
      </c>
      <c r="C4243" t="s">
        <v>55</v>
      </c>
      <c r="D4243" s="49">
        <v>45682</v>
      </c>
      <c r="E4243" s="49">
        <v>45684</v>
      </c>
      <c r="F4243" s="49">
        <v>45689</v>
      </c>
      <c r="G4243" s="49">
        <v>45696</v>
      </c>
      <c r="I4243" s="49">
        <v>45706</v>
      </c>
      <c r="J4243" t="s">
        <v>49</v>
      </c>
      <c r="K4243" s="33">
        <v>3300</v>
      </c>
      <c r="L4243" t="s">
        <v>62</v>
      </c>
      <c r="M4243" t="str">
        <f>_xlfn.XLOOKUP(Pipeline_tbl[[#This Row],[Rep_ID]],Dim_Reps!A:A,Dim_Reps!K:K)</f>
        <v>USD</v>
      </c>
      <c r="N4243" s="33">
        <f>(_xlfn.XLOOKUP(Pipeline_tbl[[#This Row],[Rate_Code_Generalized]],Lookups!A:A,Lookups!B:B))*Pipeline_tbl[[#This Row],[Pipeline_Amount_USD]]</f>
        <v>3842.1899999999996</v>
      </c>
      <c r="O4243" t="str">
        <f>_xlfn.XLOOKUP(Pipeline_tbl[[#This Row],[Rep_ID]],Dim_Reps!A:A,Dim_Reps!B:B)</f>
        <v>Liam Castro</v>
      </c>
      <c r="P4243" t="str">
        <f>_xlfn.XLOOKUP(Pipeline_tbl[[#This Row],[Rep_ID]],Dim_Reps!A:A,Dim_Reps!C:C)</f>
        <v>SDR / Inside Sales Rep</v>
      </c>
      <c r="Q4243" t="str">
        <f>_xlfn.XLOOKUP(Pipeline_tbl[[#This Row],[Rep_ID]],Dim_Reps!A:A,Dim_Reps!D:D)</f>
        <v>Inside Sales</v>
      </c>
      <c r="R4243" t="str">
        <f>_xlfn.XLOOKUP(Pipeline_tbl[[#This Row],[Rep_ID]],Dim_Reps!A:A,Dim_Reps!E:E)</f>
        <v>NAMER</v>
      </c>
      <c r="S4243" t="str">
        <f>_xlfn.XLOOKUP(Pipeline_tbl[[#This Row],[Created_Date]],Dim_Date!A:A,Dim_Date!H:H)</f>
        <v>Jan 2025</v>
      </c>
      <c r="T4243" t="str">
        <f>IF(Pipeline_tbl[[#This Row],[Closed_Date]]=0,"",(_xlfn.XLOOKUP(Pipeline_tbl[[#This Row],[Closed_Date]],Dim_Date!A:A,Dim_Date!H:H)))</f>
        <v>Feb 2025</v>
      </c>
      <c r="U4243">
        <f>IF(Pipeline_tbl[[#This Row],[Closed_Date]]=0,"",Pipeline_tbl[[#This Row],[Closed_Date]]-Pipeline_tbl[[#This Row],[Created_Date]])</f>
        <v>24</v>
      </c>
    </row>
    <row r="4244" spans="1:21" ht="15" customHeight="1" x14ac:dyDescent="0.2">
      <c r="A4244" t="s">
        <v>4550</v>
      </c>
      <c r="B4244" t="s">
        <v>231</v>
      </c>
      <c r="C4244" t="s">
        <v>52</v>
      </c>
      <c r="D4244" s="49">
        <v>45681</v>
      </c>
      <c r="E4244" s="49">
        <v>45683</v>
      </c>
      <c r="F4244" s="49">
        <v>45686</v>
      </c>
      <c r="G4244" s="49">
        <v>45692</v>
      </c>
      <c r="H4244" s="49">
        <v>45696</v>
      </c>
      <c r="I4244" s="49">
        <v>45699</v>
      </c>
      <c r="J4244" t="s">
        <v>49</v>
      </c>
      <c r="K4244" s="33">
        <v>3700</v>
      </c>
      <c r="L4244" t="s">
        <v>61</v>
      </c>
      <c r="M4244" t="str">
        <f>_xlfn.XLOOKUP(Pipeline_tbl[[#This Row],[Rep_ID]],Dim_Reps!A:A,Dim_Reps!K:K)</f>
        <v>MXN</v>
      </c>
      <c r="N4244" s="33">
        <f>(_xlfn.XLOOKUP(Pipeline_tbl[[#This Row],[Rate_Code_Generalized]],Lookups!A:A,Lookups!B:B))*Pipeline_tbl[[#This Row],[Pipeline_Amount_USD]]</f>
        <v>73010.990000000005</v>
      </c>
      <c r="O4244" t="str">
        <f>_xlfn.XLOOKUP(Pipeline_tbl[[#This Row],[Rep_ID]],Dim_Reps!A:A,Dim_Reps!B:B)</f>
        <v>Ben Silva</v>
      </c>
      <c r="P4244" t="str">
        <f>_xlfn.XLOOKUP(Pipeline_tbl[[#This Row],[Rep_ID]],Dim_Reps!A:A,Dim_Reps!C:C)</f>
        <v>SDR / Inside Sales Rep</v>
      </c>
      <c r="Q4244" t="str">
        <f>_xlfn.XLOOKUP(Pipeline_tbl[[#This Row],[Rep_ID]],Dim_Reps!A:A,Dim_Reps!D:D)</f>
        <v>Inside Sales</v>
      </c>
      <c r="R4244" t="str">
        <f>_xlfn.XLOOKUP(Pipeline_tbl[[#This Row],[Rep_ID]],Dim_Reps!A:A,Dim_Reps!E:E)</f>
        <v>LATAM</v>
      </c>
      <c r="S4244" t="str">
        <f>_xlfn.XLOOKUP(Pipeline_tbl[[#This Row],[Created_Date]],Dim_Date!A:A,Dim_Date!H:H)</f>
        <v>Jan 2025</v>
      </c>
      <c r="T4244" t="str">
        <f>IF(Pipeline_tbl[[#This Row],[Closed_Date]]=0,"",(_xlfn.XLOOKUP(Pipeline_tbl[[#This Row],[Closed_Date]],Dim_Date!A:A,Dim_Date!H:H)))</f>
        <v>Feb 2025</v>
      </c>
      <c r="U4244">
        <f>IF(Pipeline_tbl[[#This Row],[Closed_Date]]=0,"",Pipeline_tbl[[#This Row],[Closed_Date]]-Pipeline_tbl[[#This Row],[Created_Date]])</f>
        <v>18</v>
      </c>
    </row>
    <row r="4245" spans="1:21" ht="15" customHeight="1" x14ac:dyDescent="0.2">
      <c r="A4245" t="s">
        <v>4551</v>
      </c>
      <c r="B4245" t="s">
        <v>231</v>
      </c>
      <c r="C4245" t="s">
        <v>54</v>
      </c>
      <c r="D4245" s="49">
        <v>45674</v>
      </c>
      <c r="E4245" s="49">
        <v>45676</v>
      </c>
      <c r="F4245" s="49">
        <v>45681</v>
      </c>
      <c r="G4245" s="49">
        <v>45688</v>
      </c>
      <c r="I4245" s="49">
        <v>45697</v>
      </c>
      <c r="J4245" t="s">
        <v>49</v>
      </c>
      <c r="K4245" s="33">
        <v>4500</v>
      </c>
      <c r="L4245" t="s">
        <v>63</v>
      </c>
      <c r="M4245" t="str">
        <f>_xlfn.XLOOKUP(Pipeline_tbl[[#This Row],[Rep_ID]],Dim_Reps!A:A,Dim_Reps!K:K)</f>
        <v>MXN</v>
      </c>
      <c r="N4245" s="33">
        <f>(_xlfn.XLOOKUP(Pipeline_tbl[[#This Row],[Rate_Code_Generalized]],Lookups!A:A,Lookups!B:B))*Pipeline_tbl[[#This Row],[Pipeline_Amount_USD]]</f>
        <v>88797.150000000009</v>
      </c>
      <c r="O4245" t="str">
        <f>_xlfn.XLOOKUP(Pipeline_tbl[[#This Row],[Rep_ID]],Dim_Reps!A:A,Dim_Reps!B:B)</f>
        <v>Ben Silva</v>
      </c>
      <c r="P4245" t="str">
        <f>_xlfn.XLOOKUP(Pipeline_tbl[[#This Row],[Rep_ID]],Dim_Reps!A:A,Dim_Reps!C:C)</f>
        <v>SDR / Inside Sales Rep</v>
      </c>
      <c r="Q4245" t="str">
        <f>_xlfn.XLOOKUP(Pipeline_tbl[[#This Row],[Rep_ID]],Dim_Reps!A:A,Dim_Reps!D:D)</f>
        <v>Inside Sales</v>
      </c>
      <c r="R4245" t="str">
        <f>_xlfn.XLOOKUP(Pipeline_tbl[[#This Row],[Rep_ID]],Dim_Reps!A:A,Dim_Reps!E:E)</f>
        <v>LATAM</v>
      </c>
      <c r="S4245" t="str">
        <f>_xlfn.XLOOKUP(Pipeline_tbl[[#This Row],[Created_Date]],Dim_Date!A:A,Dim_Date!H:H)</f>
        <v>Jan 2025</v>
      </c>
      <c r="T4245" t="str">
        <f>IF(Pipeline_tbl[[#This Row],[Closed_Date]]=0,"",(_xlfn.XLOOKUP(Pipeline_tbl[[#This Row],[Closed_Date]],Dim_Date!A:A,Dim_Date!H:H)))</f>
        <v>Feb 2025</v>
      </c>
      <c r="U4245">
        <f>IF(Pipeline_tbl[[#This Row],[Closed_Date]]=0,"",Pipeline_tbl[[#This Row],[Closed_Date]]-Pipeline_tbl[[#This Row],[Created_Date]])</f>
        <v>23</v>
      </c>
    </row>
    <row r="4246" spans="1:21" ht="15" customHeight="1" x14ac:dyDescent="0.2">
      <c r="A4246" t="s">
        <v>4552</v>
      </c>
      <c r="B4246" t="s">
        <v>263</v>
      </c>
      <c r="C4246" t="s">
        <v>55</v>
      </c>
      <c r="D4246" s="49">
        <v>45671</v>
      </c>
      <c r="E4246" s="49">
        <v>45675</v>
      </c>
      <c r="F4246" s="49">
        <v>45683</v>
      </c>
      <c r="G4246" s="49">
        <v>45696</v>
      </c>
      <c r="I4246" s="49">
        <v>45712</v>
      </c>
      <c r="J4246" t="s">
        <v>49</v>
      </c>
      <c r="K4246" s="33">
        <v>13800</v>
      </c>
      <c r="L4246" t="s">
        <v>60</v>
      </c>
      <c r="M4246" t="str">
        <f>_xlfn.XLOOKUP(Pipeline_tbl[[#This Row],[Rep_ID]],Dim_Reps!A:A,Dim_Reps!K:K)</f>
        <v>USD</v>
      </c>
      <c r="N4246" s="33">
        <f>(_xlfn.XLOOKUP(Pipeline_tbl[[#This Row],[Rate_Code_Generalized]],Lookups!A:A,Lookups!B:B))*Pipeline_tbl[[#This Row],[Pipeline_Amount_USD]]</f>
        <v>16067.339999999998</v>
      </c>
      <c r="O4246" t="str">
        <f>_xlfn.XLOOKUP(Pipeline_tbl[[#This Row],[Rep_ID]],Dim_Reps!A:A,Dim_Reps!B:B)</f>
        <v>Morgan Weber</v>
      </c>
      <c r="P4246" t="str">
        <f>_xlfn.XLOOKUP(Pipeline_tbl[[#This Row],[Rep_ID]],Dim_Reps!A:A,Dim_Reps!C:C)</f>
        <v>Mid-Market AE</v>
      </c>
      <c r="Q4246" t="str">
        <f>_xlfn.XLOOKUP(Pipeline_tbl[[#This Row],[Rep_ID]],Dim_Reps!A:A,Dim_Reps!D:D)</f>
        <v>Mid-Market</v>
      </c>
      <c r="R4246" t="str">
        <f>_xlfn.XLOOKUP(Pipeline_tbl[[#This Row],[Rep_ID]],Dim_Reps!A:A,Dim_Reps!E:E)</f>
        <v>NAMER</v>
      </c>
      <c r="S4246" t="str">
        <f>_xlfn.XLOOKUP(Pipeline_tbl[[#This Row],[Created_Date]],Dim_Date!A:A,Dim_Date!H:H)</f>
        <v>Jan 2025</v>
      </c>
      <c r="T4246" t="str">
        <f>IF(Pipeline_tbl[[#This Row],[Closed_Date]]=0,"",(_xlfn.XLOOKUP(Pipeline_tbl[[#This Row],[Closed_Date]],Dim_Date!A:A,Dim_Date!H:H)))</f>
        <v>Feb 2025</v>
      </c>
      <c r="U4246">
        <f>IF(Pipeline_tbl[[#This Row],[Closed_Date]]=0,"",Pipeline_tbl[[#This Row],[Closed_Date]]-Pipeline_tbl[[#This Row],[Created_Date]])</f>
        <v>41</v>
      </c>
    </row>
    <row r="4247" spans="1:21" ht="15" customHeight="1" x14ac:dyDescent="0.2">
      <c r="A4247" t="s">
        <v>4553</v>
      </c>
      <c r="B4247" t="s">
        <v>263</v>
      </c>
      <c r="C4247" t="s">
        <v>52</v>
      </c>
      <c r="D4247" s="49">
        <v>45675</v>
      </c>
      <c r="E4247" s="49">
        <v>45679</v>
      </c>
      <c r="I4247" s="49">
        <v>45716</v>
      </c>
      <c r="J4247" t="s">
        <v>49</v>
      </c>
      <c r="K4247" s="33">
        <v>7300</v>
      </c>
      <c r="L4247" t="s">
        <v>60</v>
      </c>
      <c r="M4247" t="str">
        <f>_xlfn.XLOOKUP(Pipeline_tbl[[#This Row],[Rep_ID]],Dim_Reps!A:A,Dim_Reps!K:K)</f>
        <v>USD</v>
      </c>
      <c r="N4247" s="33">
        <f>(_xlfn.XLOOKUP(Pipeline_tbl[[#This Row],[Rate_Code_Generalized]],Lookups!A:A,Lookups!B:B))*Pipeline_tbl[[#This Row],[Pipeline_Amount_USD]]</f>
        <v>8499.39</v>
      </c>
      <c r="O4247" t="str">
        <f>_xlfn.XLOOKUP(Pipeline_tbl[[#This Row],[Rep_ID]],Dim_Reps!A:A,Dim_Reps!B:B)</f>
        <v>Morgan Weber</v>
      </c>
      <c r="P4247" t="str">
        <f>_xlfn.XLOOKUP(Pipeline_tbl[[#This Row],[Rep_ID]],Dim_Reps!A:A,Dim_Reps!C:C)</f>
        <v>Mid-Market AE</v>
      </c>
      <c r="Q4247" t="str">
        <f>_xlfn.XLOOKUP(Pipeline_tbl[[#This Row],[Rep_ID]],Dim_Reps!A:A,Dim_Reps!D:D)</f>
        <v>Mid-Market</v>
      </c>
      <c r="R4247" t="str">
        <f>_xlfn.XLOOKUP(Pipeline_tbl[[#This Row],[Rep_ID]],Dim_Reps!A:A,Dim_Reps!E:E)</f>
        <v>NAMER</v>
      </c>
      <c r="S4247" t="str">
        <f>_xlfn.XLOOKUP(Pipeline_tbl[[#This Row],[Created_Date]],Dim_Date!A:A,Dim_Date!H:H)</f>
        <v>Jan 2025</v>
      </c>
      <c r="T4247" t="str">
        <f>IF(Pipeline_tbl[[#This Row],[Closed_Date]]=0,"",(_xlfn.XLOOKUP(Pipeline_tbl[[#This Row],[Closed_Date]],Dim_Date!A:A,Dim_Date!H:H)))</f>
        <v>Feb 2025</v>
      </c>
      <c r="U4247">
        <f>IF(Pipeline_tbl[[#This Row],[Closed_Date]]=0,"",Pipeline_tbl[[#This Row],[Closed_Date]]-Pipeline_tbl[[#This Row],[Created_Date]])</f>
        <v>41</v>
      </c>
    </row>
    <row r="4248" spans="1:21" ht="15" customHeight="1" x14ac:dyDescent="0.2">
      <c r="A4248" t="s">
        <v>4554</v>
      </c>
      <c r="B4248" t="s">
        <v>265</v>
      </c>
      <c r="C4248" t="s">
        <v>55</v>
      </c>
      <c r="D4248" s="49">
        <v>45658</v>
      </c>
      <c r="E4248" s="49">
        <v>45662</v>
      </c>
      <c r="F4248" s="49">
        <v>45670</v>
      </c>
      <c r="G4248" s="49">
        <v>45683</v>
      </c>
      <c r="H4248" s="49">
        <v>45693</v>
      </c>
      <c r="I4248" s="49">
        <v>45699</v>
      </c>
      <c r="J4248" t="s">
        <v>47</v>
      </c>
      <c r="K4248" s="33">
        <v>12800</v>
      </c>
      <c r="M4248" t="str">
        <f>_xlfn.XLOOKUP(Pipeline_tbl[[#This Row],[Rep_ID]],Dim_Reps!A:A,Dim_Reps!K:K)</f>
        <v>EUR</v>
      </c>
      <c r="N4248" s="33">
        <f>(_xlfn.XLOOKUP(Pipeline_tbl[[#This Row],[Rate_Code_Generalized]],Lookups!A:A,Lookups!B:B))*Pipeline_tbl[[#This Row],[Pipeline_Amount_USD]]</f>
        <v>12800</v>
      </c>
      <c r="O4248" t="str">
        <f>_xlfn.XLOOKUP(Pipeline_tbl[[#This Row],[Rep_ID]],Dim_Reps!A:A,Dim_Reps!B:B)</f>
        <v>Erik Duarte</v>
      </c>
      <c r="P4248" t="str">
        <f>_xlfn.XLOOKUP(Pipeline_tbl[[#This Row],[Rep_ID]],Dim_Reps!A:A,Dim_Reps!C:C)</f>
        <v>Mid-Market AE</v>
      </c>
      <c r="Q4248" t="str">
        <f>_xlfn.XLOOKUP(Pipeline_tbl[[#This Row],[Rep_ID]],Dim_Reps!A:A,Dim_Reps!D:D)</f>
        <v>Mid-Market</v>
      </c>
      <c r="R4248" t="str">
        <f>_xlfn.XLOOKUP(Pipeline_tbl[[#This Row],[Rep_ID]],Dim_Reps!A:A,Dim_Reps!E:E)</f>
        <v>EMEA</v>
      </c>
      <c r="S4248" t="str">
        <f>_xlfn.XLOOKUP(Pipeline_tbl[[#This Row],[Created_Date]],Dim_Date!A:A,Dim_Date!H:H)</f>
        <v>Jan 2025</v>
      </c>
      <c r="T4248" t="str">
        <f>IF(Pipeline_tbl[[#This Row],[Closed_Date]]=0,"",(_xlfn.XLOOKUP(Pipeline_tbl[[#This Row],[Closed_Date]],Dim_Date!A:A,Dim_Date!H:H)))</f>
        <v>Feb 2025</v>
      </c>
      <c r="U4248">
        <f>IF(Pipeline_tbl[[#This Row],[Closed_Date]]=0,"",Pipeline_tbl[[#This Row],[Closed_Date]]-Pipeline_tbl[[#This Row],[Created_Date]])</f>
        <v>41</v>
      </c>
    </row>
    <row r="4249" spans="1:21" ht="15" customHeight="1" x14ac:dyDescent="0.2">
      <c r="A4249" t="s">
        <v>4555</v>
      </c>
      <c r="B4249" t="s">
        <v>265</v>
      </c>
      <c r="C4249" t="s">
        <v>55</v>
      </c>
      <c r="D4249" s="49">
        <v>45662</v>
      </c>
      <c r="E4249" s="49">
        <v>45666</v>
      </c>
      <c r="F4249" s="49">
        <v>45673</v>
      </c>
      <c r="G4249" s="49">
        <v>45684</v>
      </c>
      <c r="I4249" s="49">
        <v>45699</v>
      </c>
      <c r="J4249" t="s">
        <v>49</v>
      </c>
      <c r="K4249" s="33">
        <v>21700</v>
      </c>
      <c r="L4249" t="s">
        <v>60</v>
      </c>
      <c r="M4249" t="str">
        <f>_xlfn.XLOOKUP(Pipeline_tbl[[#This Row],[Rep_ID]],Dim_Reps!A:A,Dim_Reps!K:K)</f>
        <v>EUR</v>
      </c>
      <c r="N4249" s="33">
        <f>(_xlfn.XLOOKUP(Pipeline_tbl[[#This Row],[Rate_Code_Generalized]],Lookups!A:A,Lookups!B:B))*Pipeline_tbl[[#This Row],[Pipeline_Amount_USD]]</f>
        <v>21700</v>
      </c>
      <c r="O4249" t="str">
        <f>_xlfn.XLOOKUP(Pipeline_tbl[[#This Row],[Rep_ID]],Dim_Reps!A:A,Dim_Reps!B:B)</f>
        <v>Erik Duarte</v>
      </c>
      <c r="P4249" t="str">
        <f>_xlfn.XLOOKUP(Pipeline_tbl[[#This Row],[Rep_ID]],Dim_Reps!A:A,Dim_Reps!C:C)</f>
        <v>Mid-Market AE</v>
      </c>
      <c r="Q4249" t="str">
        <f>_xlfn.XLOOKUP(Pipeline_tbl[[#This Row],[Rep_ID]],Dim_Reps!A:A,Dim_Reps!D:D)</f>
        <v>Mid-Market</v>
      </c>
      <c r="R4249" t="str">
        <f>_xlfn.XLOOKUP(Pipeline_tbl[[#This Row],[Rep_ID]],Dim_Reps!A:A,Dim_Reps!E:E)</f>
        <v>EMEA</v>
      </c>
      <c r="S4249" t="str">
        <f>_xlfn.XLOOKUP(Pipeline_tbl[[#This Row],[Created_Date]],Dim_Date!A:A,Dim_Date!H:H)</f>
        <v>Jan 2025</v>
      </c>
      <c r="T4249" t="str">
        <f>IF(Pipeline_tbl[[#This Row],[Closed_Date]]=0,"",(_xlfn.XLOOKUP(Pipeline_tbl[[#This Row],[Closed_Date]],Dim_Date!A:A,Dim_Date!H:H)))</f>
        <v>Feb 2025</v>
      </c>
      <c r="U4249">
        <f>IF(Pipeline_tbl[[#This Row],[Closed_Date]]=0,"",Pipeline_tbl[[#This Row],[Closed_Date]]-Pipeline_tbl[[#This Row],[Created_Date]])</f>
        <v>37</v>
      </c>
    </row>
    <row r="4250" spans="1:21" ht="15" customHeight="1" x14ac:dyDescent="0.2">
      <c r="A4250" t="s">
        <v>4556</v>
      </c>
      <c r="B4250" t="s">
        <v>265</v>
      </c>
      <c r="C4250" t="s">
        <v>53</v>
      </c>
      <c r="D4250" s="49">
        <v>45676</v>
      </c>
      <c r="E4250" s="49">
        <v>45680</v>
      </c>
      <c r="F4250" s="49">
        <v>45687</v>
      </c>
      <c r="G4250" s="49">
        <v>45698</v>
      </c>
      <c r="H4250" s="49">
        <v>45707</v>
      </c>
      <c r="I4250" s="49">
        <v>45713</v>
      </c>
      <c r="J4250" t="s">
        <v>47</v>
      </c>
      <c r="K4250" s="33">
        <v>11400</v>
      </c>
      <c r="M4250" t="str">
        <f>_xlfn.XLOOKUP(Pipeline_tbl[[#This Row],[Rep_ID]],Dim_Reps!A:A,Dim_Reps!K:K)</f>
        <v>EUR</v>
      </c>
      <c r="N4250" s="33">
        <f>(_xlfn.XLOOKUP(Pipeline_tbl[[#This Row],[Rate_Code_Generalized]],Lookups!A:A,Lookups!B:B))*Pipeline_tbl[[#This Row],[Pipeline_Amount_USD]]</f>
        <v>11400</v>
      </c>
      <c r="O4250" t="str">
        <f>_xlfn.XLOOKUP(Pipeline_tbl[[#This Row],[Rep_ID]],Dim_Reps!A:A,Dim_Reps!B:B)</f>
        <v>Erik Duarte</v>
      </c>
      <c r="P4250" t="str">
        <f>_xlfn.XLOOKUP(Pipeline_tbl[[#This Row],[Rep_ID]],Dim_Reps!A:A,Dim_Reps!C:C)</f>
        <v>Mid-Market AE</v>
      </c>
      <c r="Q4250" t="str">
        <f>_xlfn.XLOOKUP(Pipeline_tbl[[#This Row],[Rep_ID]],Dim_Reps!A:A,Dim_Reps!D:D)</f>
        <v>Mid-Market</v>
      </c>
      <c r="R4250" t="str">
        <f>_xlfn.XLOOKUP(Pipeline_tbl[[#This Row],[Rep_ID]],Dim_Reps!A:A,Dim_Reps!E:E)</f>
        <v>EMEA</v>
      </c>
      <c r="S4250" t="str">
        <f>_xlfn.XLOOKUP(Pipeline_tbl[[#This Row],[Created_Date]],Dim_Date!A:A,Dim_Date!H:H)</f>
        <v>Jan 2025</v>
      </c>
      <c r="T4250" t="str">
        <f>IF(Pipeline_tbl[[#This Row],[Closed_Date]]=0,"",(_xlfn.XLOOKUP(Pipeline_tbl[[#This Row],[Closed_Date]],Dim_Date!A:A,Dim_Date!H:H)))</f>
        <v>Feb 2025</v>
      </c>
      <c r="U4250">
        <f>IF(Pipeline_tbl[[#This Row],[Closed_Date]]=0,"",Pipeline_tbl[[#This Row],[Closed_Date]]-Pipeline_tbl[[#This Row],[Created_Date]])</f>
        <v>37</v>
      </c>
    </row>
    <row r="4251" spans="1:21" ht="15" customHeight="1" x14ac:dyDescent="0.2">
      <c r="A4251" t="s">
        <v>4557</v>
      </c>
      <c r="B4251" t="s">
        <v>265</v>
      </c>
      <c r="C4251" t="s">
        <v>55</v>
      </c>
      <c r="D4251" s="49">
        <v>45680</v>
      </c>
      <c r="E4251" s="49">
        <v>45683</v>
      </c>
      <c r="F4251" s="49">
        <v>45688</v>
      </c>
      <c r="G4251" s="49">
        <v>45696</v>
      </c>
      <c r="H4251" s="49">
        <v>45702</v>
      </c>
      <c r="I4251" s="49">
        <v>45706</v>
      </c>
      <c r="J4251" t="s">
        <v>47</v>
      </c>
      <c r="K4251" s="33">
        <v>14700</v>
      </c>
      <c r="M4251" t="str">
        <f>_xlfn.XLOOKUP(Pipeline_tbl[[#This Row],[Rep_ID]],Dim_Reps!A:A,Dim_Reps!K:K)</f>
        <v>EUR</v>
      </c>
      <c r="N4251" s="33">
        <f>(_xlfn.XLOOKUP(Pipeline_tbl[[#This Row],[Rate_Code_Generalized]],Lookups!A:A,Lookups!B:B))*Pipeline_tbl[[#This Row],[Pipeline_Amount_USD]]</f>
        <v>14700</v>
      </c>
      <c r="O4251" t="str">
        <f>_xlfn.XLOOKUP(Pipeline_tbl[[#This Row],[Rep_ID]],Dim_Reps!A:A,Dim_Reps!B:B)</f>
        <v>Erik Duarte</v>
      </c>
      <c r="P4251" t="str">
        <f>_xlfn.XLOOKUP(Pipeline_tbl[[#This Row],[Rep_ID]],Dim_Reps!A:A,Dim_Reps!C:C)</f>
        <v>Mid-Market AE</v>
      </c>
      <c r="Q4251" t="str">
        <f>_xlfn.XLOOKUP(Pipeline_tbl[[#This Row],[Rep_ID]],Dim_Reps!A:A,Dim_Reps!D:D)</f>
        <v>Mid-Market</v>
      </c>
      <c r="R4251" t="str">
        <f>_xlfn.XLOOKUP(Pipeline_tbl[[#This Row],[Rep_ID]],Dim_Reps!A:A,Dim_Reps!E:E)</f>
        <v>EMEA</v>
      </c>
      <c r="S4251" t="str">
        <f>_xlfn.XLOOKUP(Pipeline_tbl[[#This Row],[Created_Date]],Dim_Date!A:A,Dim_Date!H:H)</f>
        <v>Jan 2025</v>
      </c>
      <c r="T4251" t="str">
        <f>IF(Pipeline_tbl[[#This Row],[Closed_Date]]=0,"",(_xlfn.XLOOKUP(Pipeline_tbl[[#This Row],[Closed_Date]],Dim_Date!A:A,Dim_Date!H:H)))</f>
        <v>Feb 2025</v>
      </c>
      <c r="U4251">
        <f>IF(Pipeline_tbl[[#This Row],[Closed_Date]]=0,"",Pipeline_tbl[[#This Row],[Closed_Date]]-Pipeline_tbl[[#This Row],[Created_Date]])</f>
        <v>26</v>
      </c>
    </row>
    <row r="4252" spans="1:21" ht="15" customHeight="1" x14ac:dyDescent="0.2">
      <c r="A4252" t="s">
        <v>4558</v>
      </c>
      <c r="B4252" t="s">
        <v>265</v>
      </c>
      <c r="C4252" t="s">
        <v>53</v>
      </c>
      <c r="D4252" s="49">
        <v>45662</v>
      </c>
      <c r="E4252" s="49">
        <v>45667</v>
      </c>
      <c r="F4252" s="49">
        <v>45678</v>
      </c>
      <c r="G4252" s="49">
        <v>45694</v>
      </c>
      <c r="H4252" s="49">
        <v>45707</v>
      </c>
      <c r="I4252" s="49">
        <v>45715</v>
      </c>
      <c r="J4252" t="s">
        <v>47</v>
      </c>
      <c r="K4252" s="33">
        <v>6900</v>
      </c>
      <c r="M4252" t="str">
        <f>_xlfn.XLOOKUP(Pipeline_tbl[[#This Row],[Rep_ID]],Dim_Reps!A:A,Dim_Reps!K:K)</f>
        <v>EUR</v>
      </c>
      <c r="N4252" s="33">
        <f>(_xlfn.XLOOKUP(Pipeline_tbl[[#This Row],[Rate_Code_Generalized]],Lookups!A:A,Lookups!B:B))*Pipeline_tbl[[#This Row],[Pipeline_Amount_USD]]</f>
        <v>6900</v>
      </c>
      <c r="O4252" t="str">
        <f>_xlfn.XLOOKUP(Pipeline_tbl[[#This Row],[Rep_ID]],Dim_Reps!A:A,Dim_Reps!B:B)</f>
        <v>Erik Duarte</v>
      </c>
      <c r="P4252" t="str">
        <f>_xlfn.XLOOKUP(Pipeline_tbl[[#This Row],[Rep_ID]],Dim_Reps!A:A,Dim_Reps!C:C)</f>
        <v>Mid-Market AE</v>
      </c>
      <c r="Q4252" t="str">
        <f>_xlfn.XLOOKUP(Pipeline_tbl[[#This Row],[Rep_ID]],Dim_Reps!A:A,Dim_Reps!D:D)</f>
        <v>Mid-Market</v>
      </c>
      <c r="R4252" t="str">
        <f>_xlfn.XLOOKUP(Pipeline_tbl[[#This Row],[Rep_ID]],Dim_Reps!A:A,Dim_Reps!E:E)</f>
        <v>EMEA</v>
      </c>
      <c r="S4252" t="str">
        <f>_xlfn.XLOOKUP(Pipeline_tbl[[#This Row],[Created_Date]],Dim_Date!A:A,Dim_Date!H:H)</f>
        <v>Jan 2025</v>
      </c>
      <c r="T4252" t="str">
        <f>IF(Pipeline_tbl[[#This Row],[Closed_Date]]=0,"",(_xlfn.XLOOKUP(Pipeline_tbl[[#This Row],[Closed_Date]],Dim_Date!A:A,Dim_Date!H:H)))</f>
        <v>Feb 2025</v>
      </c>
      <c r="U4252">
        <f>IF(Pipeline_tbl[[#This Row],[Closed_Date]]=0,"",Pipeline_tbl[[#This Row],[Closed_Date]]-Pipeline_tbl[[#This Row],[Created_Date]])</f>
        <v>53</v>
      </c>
    </row>
    <row r="4253" spans="1:21" ht="15" customHeight="1" x14ac:dyDescent="0.2">
      <c r="A4253" t="s">
        <v>4559</v>
      </c>
      <c r="B4253" t="s">
        <v>265</v>
      </c>
      <c r="C4253" t="s">
        <v>56</v>
      </c>
      <c r="D4253" s="49">
        <v>45682</v>
      </c>
      <c r="E4253" s="49">
        <v>45684</v>
      </c>
      <c r="I4253" s="49">
        <v>45706</v>
      </c>
      <c r="J4253" t="s">
        <v>49</v>
      </c>
      <c r="K4253" s="33">
        <v>5400</v>
      </c>
      <c r="L4253" t="s">
        <v>60</v>
      </c>
      <c r="M4253" t="str">
        <f>_xlfn.XLOOKUP(Pipeline_tbl[[#This Row],[Rep_ID]],Dim_Reps!A:A,Dim_Reps!K:K)</f>
        <v>EUR</v>
      </c>
      <c r="N4253" s="33">
        <f>(_xlfn.XLOOKUP(Pipeline_tbl[[#This Row],[Rate_Code_Generalized]],Lookups!A:A,Lookups!B:B))*Pipeline_tbl[[#This Row],[Pipeline_Amount_USD]]</f>
        <v>5400</v>
      </c>
      <c r="O4253" t="str">
        <f>_xlfn.XLOOKUP(Pipeline_tbl[[#This Row],[Rep_ID]],Dim_Reps!A:A,Dim_Reps!B:B)</f>
        <v>Erik Duarte</v>
      </c>
      <c r="P4253" t="str">
        <f>_xlfn.XLOOKUP(Pipeline_tbl[[#This Row],[Rep_ID]],Dim_Reps!A:A,Dim_Reps!C:C)</f>
        <v>Mid-Market AE</v>
      </c>
      <c r="Q4253" t="str">
        <f>_xlfn.XLOOKUP(Pipeline_tbl[[#This Row],[Rep_ID]],Dim_Reps!A:A,Dim_Reps!D:D)</f>
        <v>Mid-Market</v>
      </c>
      <c r="R4253" t="str">
        <f>_xlfn.XLOOKUP(Pipeline_tbl[[#This Row],[Rep_ID]],Dim_Reps!A:A,Dim_Reps!E:E)</f>
        <v>EMEA</v>
      </c>
      <c r="S4253" t="str">
        <f>_xlfn.XLOOKUP(Pipeline_tbl[[#This Row],[Created_Date]],Dim_Date!A:A,Dim_Date!H:H)</f>
        <v>Jan 2025</v>
      </c>
      <c r="T4253" t="str">
        <f>IF(Pipeline_tbl[[#This Row],[Closed_Date]]=0,"",(_xlfn.XLOOKUP(Pipeline_tbl[[#This Row],[Closed_Date]],Dim_Date!A:A,Dim_Date!H:H)))</f>
        <v>Feb 2025</v>
      </c>
      <c r="U4253">
        <f>IF(Pipeline_tbl[[#This Row],[Closed_Date]]=0,"",Pipeline_tbl[[#This Row],[Closed_Date]]-Pipeline_tbl[[#This Row],[Created_Date]])</f>
        <v>24</v>
      </c>
    </row>
    <row r="4254" spans="1:21" ht="15" customHeight="1" x14ac:dyDescent="0.2">
      <c r="A4254" t="s">
        <v>4560</v>
      </c>
      <c r="B4254" t="s">
        <v>265</v>
      </c>
      <c r="C4254" t="s">
        <v>52</v>
      </c>
      <c r="D4254" s="49">
        <v>45661</v>
      </c>
      <c r="E4254" s="49">
        <v>45664</v>
      </c>
      <c r="F4254" s="49">
        <v>45670</v>
      </c>
      <c r="G4254" s="49">
        <v>45678</v>
      </c>
      <c r="I4254" s="49">
        <v>45690</v>
      </c>
      <c r="J4254" t="s">
        <v>49</v>
      </c>
      <c r="K4254" s="33">
        <v>9900</v>
      </c>
      <c r="L4254" t="s">
        <v>62</v>
      </c>
      <c r="M4254" t="str">
        <f>_xlfn.XLOOKUP(Pipeline_tbl[[#This Row],[Rep_ID]],Dim_Reps!A:A,Dim_Reps!K:K)</f>
        <v>EUR</v>
      </c>
      <c r="N4254" s="33">
        <f>(_xlfn.XLOOKUP(Pipeline_tbl[[#This Row],[Rate_Code_Generalized]],Lookups!A:A,Lookups!B:B))*Pipeline_tbl[[#This Row],[Pipeline_Amount_USD]]</f>
        <v>9900</v>
      </c>
      <c r="O4254" t="str">
        <f>_xlfn.XLOOKUP(Pipeline_tbl[[#This Row],[Rep_ID]],Dim_Reps!A:A,Dim_Reps!B:B)</f>
        <v>Erik Duarte</v>
      </c>
      <c r="P4254" t="str">
        <f>_xlfn.XLOOKUP(Pipeline_tbl[[#This Row],[Rep_ID]],Dim_Reps!A:A,Dim_Reps!C:C)</f>
        <v>Mid-Market AE</v>
      </c>
      <c r="Q4254" t="str">
        <f>_xlfn.XLOOKUP(Pipeline_tbl[[#This Row],[Rep_ID]],Dim_Reps!A:A,Dim_Reps!D:D)</f>
        <v>Mid-Market</v>
      </c>
      <c r="R4254" t="str">
        <f>_xlfn.XLOOKUP(Pipeline_tbl[[#This Row],[Rep_ID]],Dim_Reps!A:A,Dim_Reps!E:E)</f>
        <v>EMEA</v>
      </c>
      <c r="S4254" t="str">
        <f>_xlfn.XLOOKUP(Pipeline_tbl[[#This Row],[Created_Date]],Dim_Date!A:A,Dim_Date!H:H)</f>
        <v>Jan 2025</v>
      </c>
      <c r="T4254" t="str">
        <f>IF(Pipeline_tbl[[#This Row],[Closed_Date]]=0,"",(_xlfn.XLOOKUP(Pipeline_tbl[[#This Row],[Closed_Date]],Dim_Date!A:A,Dim_Date!H:H)))</f>
        <v>Feb 2025</v>
      </c>
      <c r="U4254">
        <f>IF(Pipeline_tbl[[#This Row],[Closed_Date]]=0,"",Pipeline_tbl[[#This Row],[Closed_Date]]-Pipeline_tbl[[#This Row],[Created_Date]])</f>
        <v>29</v>
      </c>
    </row>
    <row r="4255" spans="1:21" ht="15" customHeight="1" x14ac:dyDescent="0.2">
      <c r="A4255" t="s">
        <v>4561</v>
      </c>
      <c r="B4255" t="s">
        <v>233</v>
      </c>
      <c r="C4255" t="s">
        <v>53</v>
      </c>
      <c r="D4255" s="49">
        <v>45667</v>
      </c>
      <c r="E4255" s="49">
        <v>45669</v>
      </c>
      <c r="F4255" s="49">
        <v>45674</v>
      </c>
      <c r="G4255" s="49">
        <v>45681</v>
      </c>
      <c r="H4255" s="49">
        <v>45687</v>
      </c>
      <c r="I4255" s="49">
        <v>45690</v>
      </c>
      <c r="J4255" t="s">
        <v>47</v>
      </c>
      <c r="K4255" s="33">
        <v>1600</v>
      </c>
      <c r="M4255" t="str">
        <f>_xlfn.XLOOKUP(Pipeline_tbl[[#This Row],[Rep_ID]],Dim_Reps!A:A,Dim_Reps!K:K)</f>
        <v>MXN</v>
      </c>
      <c r="N4255" s="33">
        <f>(_xlfn.XLOOKUP(Pipeline_tbl[[#This Row],[Rate_Code_Generalized]],Lookups!A:A,Lookups!B:B))*Pipeline_tbl[[#This Row],[Pipeline_Amount_USD]]</f>
        <v>31572.320000000003</v>
      </c>
      <c r="O4255" t="str">
        <f>_xlfn.XLOOKUP(Pipeline_tbl[[#This Row],[Rep_ID]],Dim_Reps!A:A,Dim_Reps!B:B)</f>
        <v>Lucas Duarte</v>
      </c>
      <c r="P4255" t="str">
        <f>_xlfn.XLOOKUP(Pipeline_tbl[[#This Row],[Rep_ID]],Dim_Reps!A:A,Dim_Reps!C:C)</f>
        <v>SDR / Inside Sales Rep</v>
      </c>
      <c r="Q4255" t="str">
        <f>_xlfn.XLOOKUP(Pipeline_tbl[[#This Row],[Rep_ID]],Dim_Reps!A:A,Dim_Reps!D:D)</f>
        <v>Inside Sales</v>
      </c>
      <c r="R4255" t="str">
        <f>_xlfn.XLOOKUP(Pipeline_tbl[[#This Row],[Rep_ID]],Dim_Reps!A:A,Dim_Reps!E:E)</f>
        <v>LATAM</v>
      </c>
      <c r="S4255" t="str">
        <f>_xlfn.XLOOKUP(Pipeline_tbl[[#This Row],[Created_Date]],Dim_Date!A:A,Dim_Date!H:H)</f>
        <v>Jan 2025</v>
      </c>
      <c r="T4255" t="str">
        <f>IF(Pipeline_tbl[[#This Row],[Closed_Date]]=0,"",(_xlfn.XLOOKUP(Pipeline_tbl[[#This Row],[Closed_Date]],Dim_Date!A:A,Dim_Date!H:H)))</f>
        <v>Feb 2025</v>
      </c>
      <c r="U4255">
        <f>IF(Pipeline_tbl[[#This Row],[Closed_Date]]=0,"",Pipeline_tbl[[#This Row],[Closed_Date]]-Pipeline_tbl[[#This Row],[Created_Date]])</f>
        <v>23</v>
      </c>
    </row>
    <row r="4256" spans="1:21" ht="15" customHeight="1" x14ac:dyDescent="0.2">
      <c r="A4256" t="s">
        <v>4562</v>
      </c>
      <c r="B4256" t="s">
        <v>233</v>
      </c>
      <c r="C4256" t="s">
        <v>52</v>
      </c>
      <c r="D4256" s="49">
        <v>45683</v>
      </c>
      <c r="E4256" s="49">
        <v>45685</v>
      </c>
      <c r="F4256" s="49">
        <v>45688</v>
      </c>
      <c r="G4256" s="49">
        <v>45693</v>
      </c>
      <c r="I4256" s="49">
        <v>45700</v>
      </c>
      <c r="J4256" t="s">
        <v>49</v>
      </c>
      <c r="K4256" s="33">
        <v>4300</v>
      </c>
      <c r="L4256" t="s">
        <v>63</v>
      </c>
      <c r="M4256" t="str">
        <f>_xlfn.XLOOKUP(Pipeline_tbl[[#This Row],[Rep_ID]],Dim_Reps!A:A,Dim_Reps!K:K)</f>
        <v>MXN</v>
      </c>
      <c r="N4256" s="33">
        <f>(_xlfn.XLOOKUP(Pipeline_tbl[[#This Row],[Rate_Code_Generalized]],Lookups!A:A,Lookups!B:B))*Pipeline_tbl[[#This Row],[Pipeline_Amount_USD]]</f>
        <v>84850.61</v>
      </c>
      <c r="O4256" t="str">
        <f>_xlfn.XLOOKUP(Pipeline_tbl[[#This Row],[Rep_ID]],Dim_Reps!A:A,Dim_Reps!B:B)</f>
        <v>Lucas Duarte</v>
      </c>
      <c r="P4256" t="str">
        <f>_xlfn.XLOOKUP(Pipeline_tbl[[#This Row],[Rep_ID]],Dim_Reps!A:A,Dim_Reps!C:C)</f>
        <v>SDR / Inside Sales Rep</v>
      </c>
      <c r="Q4256" t="str">
        <f>_xlfn.XLOOKUP(Pipeline_tbl[[#This Row],[Rep_ID]],Dim_Reps!A:A,Dim_Reps!D:D)</f>
        <v>Inside Sales</v>
      </c>
      <c r="R4256" t="str">
        <f>_xlfn.XLOOKUP(Pipeline_tbl[[#This Row],[Rep_ID]],Dim_Reps!A:A,Dim_Reps!E:E)</f>
        <v>LATAM</v>
      </c>
      <c r="S4256" t="str">
        <f>_xlfn.XLOOKUP(Pipeline_tbl[[#This Row],[Created_Date]],Dim_Date!A:A,Dim_Date!H:H)</f>
        <v>Jan 2025</v>
      </c>
      <c r="T4256" t="str">
        <f>IF(Pipeline_tbl[[#This Row],[Closed_Date]]=0,"",(_xlfn.XLOOKUP(Pipeline_tbl[[#This Row],[Closed_Date]],Dim_Date!A:A,Dim_Date!H:H)))</f>
        <v>Feb 2025</v>
      </c>
      <c r="U4256">
        <f>IF(Pipeline_tbl[[#This Row],[Closed_Date]]=0,"",Pipeline_tbl[[#This Row],[Closed_Date]]-Pipeline_tbl[[#This Row],[Created_Date]])</f>
        <v>17</v>
      </c>
    </row>
    <row r="4257" spans="1:21" ht="15" customHeight="1" x14ac:dyDescent="0.2">
      <c r="A4257" t="s">
        <v>4563</v>
      </c>
      <c r="B4257" t="s">
        <v>233</v>
      </c>
      <c r="C4257" t="s">
        <v>52</v>
      </c>
      <c r="D4257" s="49">
        <v>45673</v>
      </c>
      <c r="E4257" s="49">
        <v>45675</v>
      </c>
      <c r="F4257" s="49">
        <v>45679</v>
      </c>
      <c r="G4257" s="49">
        <v>45686</v>
      </c>
      <c r="H4257" s="49">
        <v>45691</v>
      </c>
      <c r="I4257" s="49">
        <v>45694</v>
      </c>
      <c r="J4257" t="s">
        <v>47</v>
      </c>
      <c r="K4257" s="33">
        <v>3800</v>
      </c>
      <c r="M4257" t="str">
        <f>_xlfn.XLOOKUP(Pipeline_tbl[[#This Row],[Rep_ID]],Dim_Reps!A:A,Dim_Reps!K:K)</f>
        <v>MXN</v>
      </c>
      <c r="N4257" s="33">
        <f>(_xlfn.XLOOKUP(Pipeline_tbl[[#This Row],[Rate_Code_Generalized]],Lookups!A:A,Lookups!B:B))*Pipeline_tbl[[#This Row],[Pipeline_Amount_USD]]</f>
        <v>74984.260000000009</v>
      </c>
      <c r="O4257" t="str">
        <f>_xlfn.XLOOKUP(Pipeline_tbl[[#This Row],[Rep_ID]],Dim_Reps!A:A,Dim_Reps!B:B)</f>
        <v>Lucas Duarte</v>
      </c>
      <c r="P4257" t="str">
        <f>_xlfn.XLOOKUP(Pipeline_tbl[[#This Row],[Rep_ID]],Dim_Reps!A:A,Dim_Reps!C:C)</f>
        <v>SDR / Inside Sales Rep</v>
      </c>
      <c r="Q4257" t="str">
        <f>_xlfn.XLOOKUP(Pipeline_tbl[[#This Row],[Rep_ID]],Dim_Reps!A:A,Dim_Reps!D:D)</f>
        <v>Inside Sales</v>
      </c>
      <c r="R4257" t="str">
        <f>_xlfn.XLOOKUP(Pipeline_tbl[[#This Row],[Rep_ID]],Dim_Reps!A:A,Dim_Reps!E:E)</f>
        <v>LATAM</v>
      </c>
      <c r="S4257" t="str">
        <f>_xlfn.XLOOKUP(Pipeline_tbl[[#This Row],[Created_Date]],Dim_Date!A:A,Dim_Date!H:H)</f>
        <v>Jan 2025</v>
      </c>
      <c r="T4257" t="str">
        <f>IF(Pipeline_tbl[[#This Row],[Closed_Date]]=0,"",(_xlfn.XLOOKUP(Pipeline_tbl[[#This Row],[Closed_Date]],Dim_Date!A:A,Dim_Date!H:H)))</f>
        <v>Feb 2025</v>
      </c>
      <c r="U4257">
        <f>IF(Pipeline_tbl[[#This Row],[Closed_Date]]=0,"",Pipeline_tbl[[#This Row],[Closed_Date]]-Pipeline_tbl[[#This Row],[Created_Date]])</f>
        <v>21</v>
      </c>
    </row>
    <row r="4258" spans="1:21" ht="15" customHeight="1" x14ac:dyDescent="0.2">
      <c r="A4258" t="s">
        <v>4564</v>
      </c>
      <c r="B4258" t="s">
        <v>233</v>
      </c>
      <c r="C4258" t="s">
        <v>52</v>
      </c>
      <c r="D4258" s="49">
        <v>45686</v>
      </c>
      <c r="E4258" s="49">
        <v>45687</v>
      </c>
      <c r="F4258" s="49">
        <v>45689</v>
      </c>
      <c r="G4258" s="49">
        <v>45691</v>
      </c>
      <c r="H4258" s="49">
        <v>45694</v>
      </c>
      <c r="I4258" s="49">
        <v>45695</v>
      </c>
      <c r="J4258" t="s">
        <v>49</v>
      </c>
      <c r="K4258" s="33">
        <v>4700</v>
      </c>
      <c r="L4258" t="s">
        <v>60</v>
      </c>
      <c r="M4258" t="str">
        <f>_xlfn.XLOOKUP(Pipeline_tbl[[#This Row],[Rep_ID]],Dim_Reps!A:A,Dim_Reps!K:K)</f>
        <v>MXN</v>
      </c>
      <c r="N4258" s="33">
        <f>(_xlfn.XLOOKUP(Pipeline_tbl[[#This Row],[Rate_Code_Generalized]],Lookups!A:A,Lookups!B:B))*Pipeline_tbl[[#This Row],[Pipeline_Amount_USD]]</f>
        <v>92743.69</v>
      </c>
      <c r="O4258" t="str">
        <f>_xlfn.XLOOKUP(Pipeline_tbl[[#This Row],[Rep_ID]],Dim_Reps!A:A,Dim_Reps!B:B)</f>
        <v>Lucas Duarte</v>
      </c>
      <c r="P4258" t="str">
        <f>_xlfn.XLOOKUP(Pipeline_tbl[[#This Row],[Rep_ID]],Dim_Reps!A:A,Dim_Reps!C:C)</f>
        <v>SDR / Inside Sales Rep</v>
      </c>
      <c r="Q4258" t="str">
        <f>_xlfn.XLOOKUP(Pipeline_tbl[[#This Row],[Rep_ID]],Dim_Reps!A:A,Dim_Reps!D:D)</f>
        <v>Inside Sales</v>
      </c>
      <c r="R4258" t="str">
        <f>_xlfn.XLOOKUP(Pipeline_tbl[[#This Row],[Rep_ID]],Dim_Reps!A:A,Dim_Reps!E:E)</f>
        <v>LATAM</v>
      </c>
      <c r="S4258" t="str">
        <f>_xlfn.XLOOKUP(Pipeline_tbl[[#This Row],[Created_Date]],Dim_Date!A:A,Dim_Date!H:H)</f>
        <v>Jan 2025</v>
      </c>
      <c r="T4258" t="str">
        <f>IF(Pipeline_tbl[[#This Row],[Closed_Date]]=0,"",(_xlfn.XLOOKUP(Pipeline_tbl[[#This Row],[Closed_Date]],Dim_Date!A:A,Dim_Date!H:H)))</f>
        <v>Feb 2025</v>
      </c>
      <c r="U4258">
        <f>IF(Pipeline_tbl[[#This Row],[Closed_Date]]=0,"",Pipeline_tbl[[#This Row],[Closed_Date]]-Pipeline_tbl[[#This Row],[Created_Date]])</f>
        <v>9</v>
      </c>
    </row>
    <row r="4259" spans="1:21" ht="15" customHeight="1" x14ac:dyDescent="0.2">
      <c r="A4259" t="s">
        <v>4565</v>
      </c>
      <c r="B4259" t="s">
        <v>233</v>
      </c>
      <c r="C4259" t="s">
        <v>52</v>
      </c>
      <c r="D4259" s="49">
        <v>45679</v>
      </c>
      <c r="E4259" s="49">
        <v>45681</v>
      </c>
      <c r="F4259" s="49">
        <v>45685</v>
      </c>
      <c r="G4259" s="49">
        <v>45690</v>
      </c>
      <c r="H4259" s="49">
        <v>45695</v>
      </c>
      <c r="I4259" s="49">
        <v>45698</v>
      </c>
      <c r="J4259" t="s">
        <v>49</v>
      </c>
      <c r="K4259" s="33">
        <v>2900</v>
      </c>
      <c r="L4259" t="s">
        <v>61</v>
      </c>
      <c r="M4259" t="str">
        <f>_xlfn.XLOOKUP(Pipeline_tbl[[#This Row],[Rep_ID]],Dim_Reps!A:A,Dim_Reps!K:K)</f>
        <v>MXN</v>
      </c>
      <c r="N4259" s="33">
        <f>(_xlfn.XLOOKUP(Pipeline_tbl[[#This Row],[Rate_Code_Generalized]],Lookups!A:A,Lookups!B:B))*Pipeline_tbl[[#This Row],[Pipeline_Amount_USD]]</f>
        <v>57224.83</v>
      </c>
      <c r="O4259" t="str">
        <f>_xlfn.XLOOKUP(Pipeline_tbl[[#This Row],[Rep_ID]],Dim_Reps!A:A,Dim_Reps!B:B)</f>
        <v>Lucas Duarte</v>
      </c>
      <c r="P4259" t="str">
        <f>_xlfn.XLOOKUP(Pipeline_tbl[[#This Row],[Rep_ID]],Dim_Reps!A:A,Dim_Reps!C:C)</f>
        <v>SDR / Inside Sales Rep</v>
      </c>
      <c r="Q4259" t="str">
        <f>_xlfn.XLOOKUP(Pipeline_tbl[[#This Row],[Rep_ID]],Dim_Reps!A:A,Dim_Reps!D:D)</f>
        <v>Inside Sales</v>
      </c>
      <c r="R4259" t="str">
        <f>_xlfn.XLOOKUP(Pipeline_tbl[[#This Row],[Rep_ID]],Dim_Reps!A:A,Dim_Reps!E:E)</f>
        <v>LATAM</v>
      </c>
      <c r="S4259" t="str">
        <f>_xlfn.XLOOKUP(Pipeline_tbl[[#This Row],[Created_Date]],Dim_Date!A:A,Dim_Date!H:H)</f>
        <v>Jan 2025</v>
      </c>
      <c r="T4259" t="str">
        <f>IF(Pipeline_tbl[[#This Row],[Closed_Date]]=0,"",(_xlfn.XLOOKUP(Pipeline_tbl[[#This Row],[Closed_Date]],Dim_Date!A:A,Dim_Date!H:H)))</f>
        <v>Feb 2025</v>
      </c>
      <c r="U4259">
        <f>IF(Pipeline_tbl[[#This Row],[Closed_Date]]=0,"",Pipeline_tbl[[#This Row],[Closed_Date]]-Pipeline_tbl[[#This Row],[Created_Date]])</f>
        <v>19</v>
      </c>
    </row>
    <row r="4260" spans="1:21" ht="15" customHeight="1" x14ac:dyDescent="0.2">
      <c r="A4260" t="s">
        <v>4566</v>
      </c>
      <c r="B4260" t="s">
        <v>233</v>
      </c>
      <c r="C4260" t="s">
        <v>52</v>
      </c>
      <c r="D4260" s="49">
        <v>45678</v>
      </c>
      <c r="E4260" s="49">
        <v>45681</v>
      </c>
      <c r="F4260" s="49">
        <v>45686</v>
      </c>
      <c r="G4260" s="49">
        <v>45694</v>
      </c>
      <c r="H4260" s="49">
        <v>45701</v>
      </c>
      <c r="I4260" s="49">
        <v>45705</v>
      </c>
      <c r="J4260" t="s">
        <v>49</v>
      </c>
      <c r="K4260" s="33">
        <v>5400</v>
      </c>
      <c r="L4260" t="s">
        <v>61</v>
      </c>
      <c r="M4260" t="str">
        <f>_xlfn.XLOOKUP(Pipeline_tbl[[#This Row],[Rep_ID]],Dim_Reps!A:A,Dim_Reps!K:K)</f>
        <v>MXN</v>
      </c>
      <c r="N4260" s="33">
        <f>(_xlfn.XLOOKUP(Pipeline_tbl[[#This Row],[Rate_Code_Generalized]],Lookups!A:A,Lookups!B:B))*Pipeline_tbl[[#This Row],[Pipeline_Amount_USD]]</f>
        <v>106556.58</v>
      </c>
      <c r="O4260" t="str">
        <f>_xlfn.XLOOKUP(Pipeline_tbl[[#This Row],[Rep_ID]],Dim_Reps!A:A,Dim_Reps!B:B)</f>
        <v>Lucas Duarte</v>
      </c>
      <c r="P4260" t="str">
        <f>_xlfn.XLOOKUP(Pipeline_tbl[[#This Row],[Rep_ID]],Dim_Reps!A:A,Dim_Reps!C:C)</f>
        <v>SDR / Inside Sales Rep</v>
      </c>
      <c r="Q4260" t="str">
        <f>_xlfn.XLOOKUP(Pipeline_tbl[[#This Row],[Rep_ID]],Dim_Reps!A:A,Dim_Reps!D:D)</f>
        <v>Inside Sales</v>
      </c>
      <c r="R4260" t="str">
        <f>_xlfn.XLOOKUP(Pipeline_tbl[[#This Row],[Rep_ID]],Dim_Reps!A:A,Dim_Reps!E:E)</f>
        <v>LATAM</v>
      </c>
      <c r="S4260" t="str">
        <f>_xlfn.XLOOKUP(Pipeline_tbl[[#This Row],[Created_Date]],Dim_Date!A:A,Dim_Date!H:H)</f>
        <v>Jan 2025</v>
      </c>
      <c r="T4260" t="str">
        <f>IF(Pipeline_tbl[[#This Row],[Closed_Date]]=0,"",(_xlfn.XLOOKUP(Pipeline_tbl[[#This Row],[Closed_Date]],Dim_Date!A:A,Dim_Date!H:H)))</f>
        <v>Feb 2025</v>
      </c>
      <c r="U4260">
        <f>IF(Pipeline_tbl[[#This Row],[Closed_Date]]=0,"",Pipeline_tbl[[#This Row],[Closed_Date]]-Pipeline_tbl[[#This Row],[Created_Date]])</f>
        <v>27</v>
      </c>
    </row>
    <row r="4261" spans="1:21" ht="15" customHeight="1" x14ac:dyDescent="0.2">
      <c r="A4261" t="s">
        <v>4567</v>
      </c>
      <c r="B4261" t="s">
        <v>267</v>
      </c>
      <c r="C4261" t="s">
        <v>53</v>
      </c>
      <c r="D4261" s="49">
        <v>45674</v>
      </c>
      <c r="E4261" s="49">
        <v>45677</v>
      </c>
      <c r="F4261" s="49">
        <v>45683</v>
      </c>
      <c r="G4261" s="49">
        <v>45691</v>
      </c>
      <c r="I4261" s="49">
        <v>45703</v>
      </c>
      <c r="J4261" t="s">
        <v>49</v>
      </c>
      <c r="K4261" s="33">
        <v>13400</v>
      </c>
      <c r="L4261" t="s">
        <v>60</v>
      </c>
      <c r="M4261" t="str">
        <f>_xlfn.XLOOKUP(Pipeline_tbl[[#This Row],[Rep_ID]],Dim_Reps!A:A,Dim_Reps!K:K)</f>
        <v>MXN</v>
      </c>
      <c r="N4261" s="33">
        <f>(_xlfn.XLOOKUP(Pipeline_tbl[[#This Row],[Rate_Code_Generalized]],Lookups!A:A,Lookups!B:B))*Pipeline_tbl[[#This Row],[Pipeline_Amount_USD]]</f>
        <v>264418.18</v>
      </c>
      <c r="O4261" t="str">
        <f>_xlfn.XLOOKUP(Pipeline_tbl[[#This Row],[Rep_ID]],Dim_Reps!A:A,Dim_Reps!B:B)</f>
        <v>Yuki Dubois</v>
      </c>
      <c r="P4261" t="str">
        <f>_xlfn.XLOOKUP(Pipeline_tbl[[#This Row],[Rep_ID]],Dim_Reps!A:A,Dim_Reps!C:C)</f>
        <v>Mid-Market AE</v>
      </c>
      <c r="Q4261" t="str">
        <f>_xlfn.XLOOKUP(Pipeline_tbl[[#This Row],[Rep_ID]],Dim_Reps!A:A,Dim_Reps!D:D)</f>
        <v>Mid-Market</v>
      </c>
      <c r="R4261" t="str">
        <f>_xlfn.XLOOKUP(Pipeline_tbl[[#This Row],[Rep_ID]],Dim_Reps!A:A,Dim_Reps!E:E)</f>
        <v>LATAM</v>
      </c>
      <c r="S4261" t="str">
        <f>_xlfn.XLOOKUP(Pipeline_tbl[[#This Row],[Created_Date]],Dim_Date!A:A,Dim_Date!H:H)</f>
        <v>Jan 2025</v>
      </c>
      <c r="T4261" t="str">
        <f>IF(Pipeline_tbl[[#This Row],[Closed_Date]]=0,"",(_xlfn.XLOOKUP(Pipeline_tbl[[#This Row],[Closed_Date]],Dim_Date!A:A,Dim_Date!H:H)))</f>
        <v>Feb 2025</v>
      </c>
      <c r="U4261">
        <f>IF(Pipeline_tbl[[#This Row],[Closed_Date]]=0,"",Pipeline_tbl[[#This Row],[Closed_Date]]-Pipeline_tbl[[#This Row],[Created_Date]])</f>
        <v>29</v>
      </c>
    </row>
    <row r="4262" spans="1:21" ht="15" customHeight="1" x14ac:dyDescent="0.2">
      <c r="A4262" t="s">
        <v>4568</v>
      </c>
      <c r="B4262" t="s">
        <v>267</v>
      </c>
      <c r="C4262" t="s">
        <v>53</v>
      </c>
      <c r="D4262" s="49">
        <v>45683</v>
      </c>
      <c r="E4262" s="49">
        <v>45686</v>
      </c>
      <c r="F4262" s="49">
        <v>45691</v>
      </c>
      <c r="G4262" s="49">
        <v>45699</v>
      </c>
      <c r="I4262" s="49">
        <v>45710</v>
      </c>
      <c r="J4262" t="s">
        <v>49</v>
      </c>
      <c r="K4262" s="33">
        <v>13400</v>
      </c>
      <c r="L4262" t="s">
        <v>60</v>
      </c>
      <c r="M4262" t="str">
        <f>_xlfn.XLOOKUP(Pipeline_tbl[[#This Row],[Rep_ID]],Dim_Reps!A:A,Dim_Reps!K:K)</f>
        <v>MXN</v>
      </c>
      <c r="N4262" s="33">
        <f>(_xlfn.XLOOKUP(Pipeline_tbl[[#This Row],[Rate_Code_Generalized]],Lookups!A:A,Lookups!B:B))*Pipeline_tbl[[#This Row],[Pipeline_Amount_USD]]</f>
        <v>264418.18</v>
      </c>
      <c r="O4262" t="str">
        <f>_xlfn.XLOOKUP(Pipeline_tbl[[#This Row],[Rep_ID]],Dim_Reps!A:A,Dim_Reps!B:B)</f>
        <v>Yuki Dubois</v>
      </c>
      <c r="P4262" t="str">
        <f>_xlfn.XLOOKUP(Pipeline_tbl[[#This Row],[Rep_ID]],Dim_Reps!A:A,Dim_Reps!C:C)</f>
        <v>Mid-Market AE</v>
      </c>
      <c r="Q4262" t="str">
        <f>_xlfn.XLOOKUP(Pipeline_tbl[[#This Row],[Rep_ID]],Dim_Reps!A:A,Dim_Reps!D:D)</f>
        <v>Mid-Market</v>
      </c>
      <c r="R4262" t="str">
        <f>_xlfn.XLOOKUP(Pipeline_tbl[[#This Row],[Rep_ID]],Dim_Reps!A:A,Dim_Reps!E:E)</f>
        <v>LATAM</v>
      </c>
      <c r="S4262" t="str">
        <f>_xlfn.XLOOKUP(Pipeline_tbl[[#This Row],[Created_Date]],Dim_Date!A:A,Dim_Date!H:H)</f>
        <v>Jan 2025</v>
      </c>
      <c r="T4262" t="str">
        <f>IF(Pipeline_tbl[[#This Row],[Closed_Date]]=0,"",(_xlfn.XLOOKUP(Pipeline_tbl[[#This Row],[Closed_Date]],Dim_Date!A:A,Dim_Date!H:H)))</f>
        <v>Feb 2025</v>
      </c>
      <c r="U4262">
        <f>IF(Pipeline_tbl[[#This Row],[Closed_Date]]=0,"",Pipeline_tbl[[#This Row],[Closed_Date]]-Pipeline_tbl[[#This Row],[Created_Date]])</f>
        <v>27</v>
      </c>
    </row>
    <row r="4263" spans="1:21" ht="15" customHeight="1" x14ac:dyDescent="0.2">
      <c r="A4263" t="s">
        <v>4569</v>
      </c>
      <c r="B4263" t="s">
        <v>267</v>
      </c>
      <c r="C4263" t="s">
        <v>52</v>
      </c>
      <c r="D4263" s="49">
        <v>45663</v>
      </c>
      <c r="E4263" s="49">
        <v>45667</v>
      </c>
      <c r="F4263" s="49">
        <v>45674</v>
      </c>
      <c r="I4263" s="49">
        <v>45699</v>
      </c>
      <c r="J4263" t="s">
        <v>49</v>
      </c>
      <c r="K4263" s="33">
        <v>13700</v>
      </c>
      <c r="L4263" t="s">
        <v>60</v>
      </c>
      <c r="M4263" t="str">
        <f>_xlfn.XLOOKUP(Pipeline_tbl[[#This Row],[Rep_ID]],Dim_Reps!A:A,Dim_Reps!K:K)</f>
        <v>MXN</v>
      </c>
      <c r="N4263" s="33">
        <f>(_xlfn.XLOOKUP(Pipeline_tbl[[#This Row],[Rate_Code_Generalized]],Lookups!A:A,Lookups!B:B))*Pipeline_tbl[[#This Row],[Pipeline_Amount_USD]]</f>
        <v>270337.99</v>
      </c>
      <c r="O4263" t="str">
        <f>_xlfn.XLOOKUP(Pipeline_tbl[[#This Row],[Rep_ID]],Dim_Reps!A:A,Dim_Reps!B:B)</f>
        <v>Yuki Dubois</v>
      </c>
      <c r="P4263" t="str">
        <f>_xlfn.XLOOKUP(Pipeline_tbl[[#This Row],[Rep_ID]],Dim_Reps!A:A,Dim_Reps!C:C)</f>
        <v>Mid-Market AE</v>
      </c>
      <c r="Q4263" t="str">
        <f>_xlfn.XLOOKUP(Pipeline_tbl[[#This Row],[Rep_ID]],Dim_Reps!A:A,Dim_Reps!D:D)</f>
        <v>Mid-Market</v>
      </c>
      <c r="R4263" t="str">
        <f>_xlfn.XLOOKUP(Pipeline_tbl[[#This Row],[Rep_ID]],Dim_Reps!A:A,Dim_Reps!E:E)</f>
        <v>LATAM</v>
      </c>
      <c r="S4263" t="str">
        <f>_xlfn.XLOOKUP(Pipeline_tbl[[#This Row],[Created_Date]],Dim_Date!A:A,Dim_Date!H:H)</f>
        <v>Jan 2025</v>
      </c>
      <c r="T4263" t="str">
        <f>IF(Pipeline_tbl[[#This Row],[Closed_Date]]=0,"",(_xlfn.XLOOKUP(Pipeline_tbl[[#This Row],[Closed_Date]],Dim_Date!A:A,Dim_Date!H:H)))</f>
        <v>Feb 2025</v>
      </c>
      <c r="U4263">
        <f>IF(Pipeline_tbl[[#This Row],[Closed_Date]]=0,"",Pipeline_tbl[[#This Row],[Closed_Date]]-Pipeline_tbl[[#This Row],[Created_Date]])</f>
        <v>36</v>
      </c>
    </row>
    <row r="4264" spans="1:21" ht="15" customHeight="1" x14ac:dyDescent="0.2">
      <c r="A4264" t="s">
        <v>4570</v>
      </c>
      <c r="B4264" t="s">
        <v>235</v>
      </c>
      <c r="C4264" t="s">
        <v>53</v>
      </c>
      <c r="D4264" s="49">
        <v>45686</v>
      </c>
      <c r="E4264" s="49">
        <v>45687</v>
      </c>
      <c r="F4264" s="49">
        <v>45689</v>
      </c>
      <c r="G4264" s="49">
        <v>45693</v>
      </c>
      <c r="H4264" s="49">
        <v>45695</v>
      </c>
      <c r="I4264" s="49">
        <v>45697</v>
      </c>
      <c r="J4264" t="s">
        <v>47</v>
      </c>
      <c r="K4264" s="33">
        <v>4800</v>
      </c>
      <c r="M4264" t="str">
        <f>_xlfn.XLOOKUP(Pipeline_tbl[[#This Row],[Rep_ID]],Dim_Reps!A:A,Dim_Reps!K:K)</f>
        <v>MXN</v>
      </c>
      <c r="N4264" s="33">
        <f>(_xlfn.XLOOKUP(Pipeline_tbl[[#This Row],[Rate_Code_Generalized]],Lookups!A:A,Lookups!B:B))*Pipeline_tbl[[#This Row],[Pipeline_Amount_USD]]</f>
        <v>94716.96</v>
      </c>
      <c r="O4264" t="str">
        <f>_xlfn.XLOOKUP(Pipeline_tbl[[#This Row],[Rep_ID]],Dim_Reps!A:A,Dim_Reps!B:B)</f>
        <v>Milo Castro</v>
      </c>
      <c r="P4264" t="str">
        <f>_xlfn.XLOOKUP(Pipeline_tbl[[#This Row],[Rep_ID]],Dim_Reps!A:A,Dim_Reps!C:C)</f>
        <v>SDR / Inside Sales Rep</v>
      </c>
      <c r="Q4264" t="str">
        <f>_xlfn.XLOOKUP(Pipeline_tbl[[#This Row],[Rep_ID]],Dim_Reps!A:A,Dim_Reps!D:D)</f>
        <v>Inside Sales</v>
      </c>
      <c r="R4264" t="str">
        <f>_xlfn.XLOOKUP(Pipeline_tbl[[#This Row],[Rep_ID]],Dim_Reps!A:A,Dim_Reps!E:E)</f>
        <v>LATAM</v>
      </c>
      <c r="S4264" t="str">
        <f>_xlfn.XLOOKUP(Pipeline_tbl[[#This Row],[Created_Date]],Dim_Date!A:A,Dim_Date!H:H)</f>
        <v>Jan 2025</v>
      </c>
      <c r="T4264" t="str">
        <f>IF(Pipeline_tbl[[#This Row],[Closed_Date]]=0,"",(_xlfn.XLOOKUP(Pipeline_tbl[[#This Row],[Closed_Date]],Dim_Date!A:A,Dim_Date!H:H)))</f>
        <v>Feb 2025</v>
      </c>
      <c r="U4264">
        <f>IF(Pipeline_tbl[[#This Row],[Closed_Date]]=0,"",Pipeline_tbl[[#This Row],[Closed_Date]]-Pipeline_tbl[[#This Row],[Created_Date]])</f>
        <v>11</v>
      </c>
    </row>
    <row r="4265" spans="1:21" ht="15" customHeight="1" x14ac:dyDescent="0.2">
      <c r="A4265" t="s">
        <v>4571</v>
      </c>
      <c r="B4265" t="s">
        <v>235</v>
      </c>
      <c r="C4265" t="s">
        <v>53</v>
      </c>
      <c r="D4265" s="49">
        <v>45675</v>
      </c>
      <c r="E4265" s="49">
        <v>45678</v>
      </c>
      <c r="F4265" s="49">
        <v>45683</v>
      </c>
      <c r="G4265" s="49">
        <v>45691</v>
      </c>
      <c r="H4265" s="49">
        <v>45698</v>
      </c>
      <c r="I4265" s="49">
        <v>45702</v>
      </c>
      <c r="J4265" t="s">
        <v>49</v>
      </c>
      <c r="K4265" s="33">
        <v>2700</v>
      </c>
      <c r="L4265" t="s">
        <v>62</v>
      </c>
      <c r="M4265" t="str">
        <f>_xlfn.XLOOKUP(Pipeline_tbl[[#This Row],[Rep_ID]],Dim_Reps!A:A,Dim_Reps!K:K)</f>
        <v>MXN</v>
      </c>
      <c r="N4265" s="33">
        <f>(_xlfn.XLOOKUP(Pipeline_tbl[[#This Row],[Rate_Code_Generalized]],Lookups!A:A,Lookups!B:B))*Pipeline_tbl[[#This Row],[Pipeline_Amount_USD]]</f>
        <v>53278.29</v>
      </c>
      <c r="O4265" t="str">
        <f>_xlfn.XLOOKUP(Pipeline_tbl[[#This Row],[Rep_ID]],Dim_Reps!A:A,Dim_Reps!B:B)</f>
        <v>Milo Castro</v>
      </c>
      <c r="P4265" t="str">
        <f>_xlfn.XLOOKUP(Pipeline_tbl[[#This Row],[Rep_ID]],Dim_Reps!A:A,Dim_Reps!C:C)</f>
        <v>SDR / Inside Sales Rep</v>
      </c>
      <c r="Q4265" t="str">
        <f>_xlfn.XLOOKUP(Pipeline_tbl[[#This Row],[Rep_ID]],Dim_Reps!A:A,Dim_Reps!D:D)</f>
        <v>Inside Sales</v>
      </c>
      <c r="R4265" t="str">
        <f>_xlfn.XLOOKUP(Pipeline_tbl[[#This Row],[Rep_ID]],Dim_Reps!A:A,Dim_Reps!E:E)</f>
        <v>LATAM</v>
      </c>
      <c r="S4265" t="str">
        <f>_xlfn.XLOOKUP(Pipeline_tbl[[#This Row],[Created_Date]],Dim_Date!A:A,Dim_Date!H:H)</f>
        <v>Jan 2025</v>
      </c>
      <c r="T4265" t="str">
        <f>IF(Pipeline_tbl[[#This Row],[Closed_Date]]=0,"",(_xlfn.XLOOKUP(Pipeline_tbl[[#This Row],[Closed_Date]],Dim_Date!A:A,Dim_Date!H:H)))</f>
        <v>Feb 2025</v>
      </c>
      <c r="U4265">
        <f>IF(Pipeline_tbl[[#This Row],[Closed_Date]]=0,"",Pipeline_tbl[[#This Row],[Closed_Date]]-Pipeline_tbl[[#This Row],[Created_Date]])</f>
        <v>27</v>
      </c>
    </row>
    <row r="4266" spans="1:21" ht="15" customHeight="1" x14ac:dyDescent="0.2">
      <c r="A4266" t="s">
        <v>4572</v>
      </c>
      <c r="B4266" t="s">
        <v>235</v>
      </c>
      <c r="C4266" t="s">
        <v>55</v>
      </c>
      <c r="D4266" s="49">
        <v>45667</v>
      </c>
      <c r="E4266" s="49">
        <v>45669</v>
      </c>
      <c r="F4266" s="49">
        <v>45674</v>
      </c>
      <c r="G4266" s="49">
        <v>45681</v>
      </c>
      <c r="I4266" s="49">
        <v>45690</v>
      </c>
      <c r="J4266" t="s">
        <v>49</v>
      </c>
      <c r="K4266" s="33">
        <v>9800</v>
      </c>
      <c r="L4266" t="s">
        <v>60</v>
      </c>
      <c r="M4266" t="str">
        <f>_xlfn.XLOOKUP(Pipeline_tbl[[#This Row],[Rep_ID]],Dim_Reps!A:A,Dim_Reps!K:K)</f>
        <v>MXN</v>
      </c>
      <c r="N4266" s="33">
        <f>(_xlfn.XLOOKUP(Pipeline_tbl[[#This Row],[Rate_Code_Generalized]],Lookups!A:A,Lookups!B:B))*Pipeline_tbl[[#This Row],[Pipeline_Amount_USD]]</f>
        <v>193380.46000000002</v>
      </c>
      <c r="O4266" t="str">
        <f>_xlfn.XLOOKUP(Pipeline_tbl[[#This Row],[Rep_ID]],Dim_Reps!A:A,Dim_Reps!B:B)</f>
        <v>Milo Castro</v>
      </c>
      <c r="P4266" t="str">
        <f>_xlfn.XLOOKUP(Pipeline_tbl[[#This Row],[Rep_ID]],Dim_Reps!A:A,Dim_Reps!C:C)</f>
        <v>SDR / Inside Sales Rep</v>
      </c>
      <c r="Q4266" t="str">
        <f>_xlfn.XLOOKUP(Pipeline_tbl[[#This Row],[Rep_ID]],Dim_Reps!A:A,Dim_Reps!D:D)</f>
        <v>Inside Sales</v>
      </c>
      <c r="R4266" t="str">
        <f>_xlfn.XLOOKUP(Pipeline_tbl[[#This Row],[Rep_ID]],Dim_Reps!A:A,Dim_Reps!E:E)</f>
        <v>LATAM</v>
      </c>
      <c r="S4266" t="str">
        <f>_xlfn.XLOOKUP(Pipeline_tbl[[#This Row],[Created_Date]],Dim_Date!A:A,Dim_Date!H:H)</f>
        <v>Jan 2025</v>
      </c>
      <c r="T4266" t="str">
        <f>IF(Pipeline_tbl[[#This Row],[Closed_Date]]=0,"",(_xlfn.XLOOKUP(Pipeline_tbl[[#This Row],[Closed_Date]],Dim_Date!A:A,Dim_Date!H:H)))</f>
        <v>Feb 2025</v>
      </c>
      <c r="U4266">
        <f>IF(Pipeline_tbl[[#This Row],[Closed_Date]]=0,"",Pipeline_tbl[[#This Row],[Closed_Date]]-Pipeline_tbl[[#This Row],[Created_Date]])</f>
        <v>23</v>
      </c>
    </row>
    <row r="4267" spans="1:21" ht="15" customHeight="1" x14ac:dyDescent="0.2">
      <c r="A4267" t="s">
        <v>4573</v>
      </c>
      <c r="B4267" t="s">
        <v>237</v>
      </c>
      <c r="C4267" t="s">
        <v>53</v>
      </c>
      <c r="D4267" s="49">
        <v>45682</v>
      </c>
      <c r="E4267" s="49">
        <v>45685</v>
      </c>
      <c r="F4267" s="49">
        <v>45690</v>
      </c>
      <c r="G4267" s="49">
        <v>45698</v>
      </c>
      <c r="I4267" s="49">
        <v>45709</v>
      </c>
      <c r="J4267" t="s">
        <v>49</v>
      </c>
      <c r="K4267" s="33">
        <v>1600</v>
      </c>
      <c r="L4267" t="s">
        <v>64</v>
      </c>
      <c r="M4267" t="str">
        <f>_xlfn.XLOOKUP(Pipeline_tbl[[#This Row],[Rep_ID]],Dim_Reps!A:A,Dim_Reps!K:K)</f>
        <v>EUR</v>
      </c>
      <c r="N4267" s="33">
        <f>(_xlfn.XLOOKUP(Pipeline_tbl[[#This Row],[Rate_Code_Generalized]],Lookups!A:A,Lookups!B:B))*Pipeline_tbl[[#This Row],[Pipeline_Amount_USD]]</f>
        <v>1600</v>
      </c>
      <c r="O4267" t="str">
        <f>_xlfn.XLOOKUP(Pipeline_tbl[[#This Row],[Rep_ID]],Dim_Reps!A:A,Dim_Reps!B:B)</f>
        <v>Hugo Santos</v>
      </c>
      <c r="P4267" t="str">
        <f>_xlfn.XLOOKUP(Pipeline_tbl[[#This Row],[Rep_ID]],Dim_Reps!A:A,Dim_Reps!C:C)</f>
        <v>SDR / Inside Sales Rep</v>
      </c>
      <c r="Q4267" t="str">
        <f>_xlfn.XLOOKUP(Pipeline_tbl[[#This Row],[Rep_ID]],Dim_Reps!A:A,Dim_Reps!D:D)</f>
        <v>Inside Sales</v>
      </c>
      <c r="R4267" t="str">
        <f>_xlfn.XLOOKUP(Pipeline_tbl[[#This Row],[Rep_ID]],Dim_Reps!A:A,Dim_Reps!E:E)</f>
        <v>EMEA</v>
      </c>
      <c r="S4267" t="str">
        <f>_xlfn.XLOOKUP(Pipeline_tbl[[#This Row],[Created_Date]],Dim_Date!A:A,Dim_Date!H:H)</f>
        <v>Jan 2025</v>
      </c>
      <c r="T4267" t="str">
        <f>IF(Pipeline_tbl[[#This Row],[Closed_Date]]=0,"",(_xlfn.XLOOKUP(Pipeline_tbl[[#This Row],[Closed_Date]],Dim_Date!A:A,Dim_Date!H:H)))</f>
        <v>Feb 2025</v>
      </c>
      <c r="U4267">
        <f>IF(Pipeline_tbl[[#This Row],[Closed_Date]]=0,"",Pipeline_tbl[[#This Row],[Closed_Date]]-Pipeline_tbl[[#This Row],[Created_Date]])</f>
        <v>27</v>
      </c>
    </row>
    <row r="4268" spans="1:21" ht="15" customHeight="1" x14ac:dyDescent="0.2">
      <c r="A4268" t="s">
        <v>4574</v>
      </c>
      <c r="B4268" t="s">
        <v>237</v>
      </c>
      <c r="C4268" t="s">
        <v>53</v>
      </c>
      <c r="D4268" s="49">
        <v>45686</v>
      </c>
      <c r="E4268" s="49">
        <v>45688</v>
      </c>
      <c r="I4268" s="49">
        <v>45704</v>
      </c>
      <c r="J4268" t="s">
        <v>49</v>
      </c>
      <c r="K4268" s="33">
        <v>7900</v>
      </c>
      <c r="L4268" t="s">
        <v>60</v>
      </c>
      <c r="M4268" t="str">
        <f>_xlfn.XLOOKUP(Pipeline_tbl[[#This Row],[Rep_ID]],Dim_Reps!A:A,Dim_Reps!K:K)</f>
        <v>EUR</v>
      </c>
      <c r="N4268" s="33">
        <f>(_xlfn.XLOOKUP(Pipeline_tbl[[#This Row],[Rate_Code_Generalized]],Lookups!A:A,Lookups!B:B))*Pipeline_tbl[[#This Row],[Pipeline_Amount_USD]]</f>
        <v>7900</v>
      </c>
      <c r="O4268" t="str">
        <f>_xlfn.XLOOKUP(Pipeline_tbl[[#This Row],[Rep_ID]],Dim_Reps!A:A,Dim_Reps!B:B)</f>
        <v>Hugo Santos</v>
      </c>
      <c r="P4268" t="str">
        <f>_xlfn.XLOOKUP(Pipeline_tbl[[#This Row],[Rep_ID]],Dim_Reps!A:A,Dim_Reps!C:C)</f>
        <v>SDR / Inside Sales Rep</v>
      </c>
      <c r="Q4268" t="str">
        <f>_xlfn.XLOOKUP(Pipeline_tbl[[#This Row],[Rep_ID]],Dim_Reps!A:A,Dim_Reps!D:D)</f>
        <v>Inside Sales</v>
      </c>
      <c r="R4268" t="str">
        <f>_xlfn.XLOOKUP(Pipeline_tbl[[#This Row],[Rep_ID]],Dim_Reps!A:A,Dim_Reps!E:E)</f>
        <v>EMEA</v>
      </c>
      <c r="S4268" t="str">
        <f>_xlfn.XLOOKUP(Pipeline_tbl[[#This Row],[Created_Date]],Dim_Date!A:A,Dim_Date!H:H)</f>
        <v>Jan 2025</v>
      </c>
      <c r="T4268" t="str">
        <f>IF(Pipeline_tbl[[#This Row],[Closed_Date]]=0,"",(_xlfn.XLOOKUP(Pipeline_tbl[[#This Row],[Closed_Date]],Dim_Date!A:A,Dim_Date!H:H)))</f>
        <v>Feb 2025</v>
      </c>
      <c r="U4268">
        <f>IF(Pipeline_tbl[[#This Row],[Closed_Date]]=0,"",Pipeline_tbl[[#This Row],[Closed_Date]]-Pipeline_tbl[[#This Row],[Created_Date]])</f>
        <v>18</v>
      </c>
    </row>
    <row r="4269" spans="1:21" ht="15" customHeight="1" x14ac:dyDescent="0.2">
      <c r="A4269" t="s">
        <v>4575</v>
      </c>
      <c r="B4269" t="s">
        <v>237</v>
      </c>
      <c r="C4269" t="s">
        <v>52</v>
      </c>
      <c r="D4269" s="49">
        <v>45685</v>
      </c>
      <c r="E4269" s="49">
        <v>45686</v>
      </c>
      <c r="F4269" s="49">
        <v>45689</v>
      </c>
      <c r="G4269" s="49">
        <v>45693</v>
      </c>
      <c r="H4269" s="49">
        <v>45697</v>
      </c>
      <c r="I4269" s="49">
        <v>45699</v>
      </c>
      <c r="J4269" t="s">
        <v>47</v>
      </c>
      <c r="K4269" s="33">
        <v>5600</v>
      </c>
      <c r="M4269" t="str">
        <f>_xlfn.XLOOKUP(Pipeline_tbl[[#This Row],[Rep_ID]],Dim_Reps!A:A,Dim_Reps!K:K)</f>
        <v>EUR</v>
      </c>
      <c r="N4269" s="33">
        <f>(_xlfn.XLOOKUP(Pipeline_tbl[[#This Row],[Rate_Code_Generalized]],Lookups!A:A,Lookups!B:B))*Pipeline_tbl[[#This Row],[Pipeline_Amount_USD]]</f>
        <v>5600</v>
      </c>
      <c r="O4269" t="str">
        <f>_xlfn.XLOOKUP(Pipeline_tbl[[#This Row],[Rep_ID]],Dim_Reps!A:A,Dim_Reps!B:B)</f>
        <v>Hugo Santos</v>
      </c>
      <c r="P4269" t="str">
        <f>_xlfn.XLOOKUP(Pipeline_tbl[[#This Row],[Rep_ID]],Dim_Reps!A:A,Dim_Reps!C:C)</f>
        <v>SDR / Inside Sales Rep</v>
      </c>
      <c r="Q4269" t="str">
        <f>_xlfn.XLOOKUP(Pipeline_tbl[[#This Row],[Rep_ID]],Dim_Reps!A:A,Dim_Reps!D:D)</f>
        <v>Inside Sales</v>
      </c>
      <c r="R4269" t="str">
        <f>_xlfn.XLOOKUP(Pipeline_tbl[[#This Row],[Rep_ID]],Dim_Reps!A:A,Dim_Reps!E:E)</f>
        <v>EMEA</v>
      </c>
      <c r="S4269" t="str">
        <f>_xlfn.XLOOKUP(Pipeline_tbl[[#This Row],[Created_Date]],Dim_Date!A:A,Dim_Date!H:H)</f>
        <v>Jan 2025</v>
      </c>
      <c r="T4269" t="str">
        <f>IF(Pipeline_tbl[[#This Row],[Closed_Date]]=0,"",(_xlfn.XLOOKUP(Pipeline_tbl[[#This Row],[Closed_Date]],Dim_Date!A:A,Dim_Date!H:H)))</f>
        <v>Feb 2025</v>
      </c>
      <c r="U4269">
        <f>IF(Pipeline_tbl[[#This Row],[Closed_Date]]=0,"",Pipeline_tbl[[#This Row],[Closed_Date]]-Pipeline_tbl[[#This Row],[Created_Date]])</f>
        <v>14</v>
      </c>
    </row>
    <row r="4270" spans="1:21" ht="15" customHeight="1" x14ac:dyDescent="0.2">
      <c r="A4270" t="s">
        <v>4576</v>
      </c>
      <c r="B4270" t="s">
        <v>237</v>
      </c>
      <c r="C4270" t="s">
        <v>53</v>
      </c>
      <c r="D4270" s="49">
        <v>45679</v>
      </c>
      <c r="E4270" s="49">
        <v>45681</v>
      </c>
      <c r="I4270" s="49">
        <v>45700</v>
      </c>
      <c r="J4270" t="s">
        <v>49</v>
      </c>
      <c r="K4270" s="33">
        <v>4000</v>
      </c>
      <c r="L4270" t="s">
        <v>63</v>
      </c>
      <c r="M4270" t="str">
        <f>_xlfn.XLOOKUP(Pipeline_tbl[[#This Row],[Rep_ID]],Dim_Reps!A:A,Dim_Reps!K:K)</f>
        <v>EUR</v>
      </c>
      <c r="N4270" s="33">
        <f>(_xlfn.XLOOKUP(Pipeline_tbl[[#This Row],[Rate_Code_Generalized]],Lookups!A:A,Lookups!B:B))*Pipeline_tbl[[#This Row],[Pipeline_Amount_USD]]</f>
        <v>4000</v>
      </c>
      <c r="O4270" t="str">
        <f>_xlfn.XLOOKUP(Pipeline_tbl[[#This Row],[Rep_ID]],Dim_Reps!A:A,Dim_Reps!B:B)</f>
        <v>Hugo Santos</v>
      </c>
      <c r="P4270" t="str">
        <f>_xlfn.XLOOKUP(Pipeline_tbl[[#This Row],[Rep_ID]],Dim_Reps!A:A,Dim_Reps!C:C)</f>
        <v>SDR / Inside Sales Rep</v>
      </c>
      <c r="Q4270" t="str">
        <f>_xlfn.XLOOKUP(Pipeline_tbl[[#This Row],[Rep_ID]],Dim_Reps!A:A,Dim_Reps!D:D)</f>
        <v>Inside Sales</v>
      </c>
      <c r="R4270" t="str">
        <f>_xlfn.XLOOKUP(Pipeline_tbl[[#This Row],[Rep_ID]],Dim_Reps!A:A,Dim_Reps!E:E)</f>
        <v>EMEA</v>
      </c>
      <c r="S4270" t="str">
        <f>_xlfn.XLOOKUP(Pipeline_tbl[[#This Row],[Created_Date]],Dim_Date!A:A,Dim_Date!H:H)</f>
        <v>Jan 2025</v>
      </c>
      <c r="T4270" t="str">
        <f>IF(Pipeline_tbl[[#This Row],[Closed_Date]]=0,"",(_xlfn.XLOOKUP(Pipeline_tbl[[#This Row],[Closed_Date]],Dim_Date!A:A,Dim_Date!H:H)))</f>
        <v>Feb 2025</v>
      </c>
      <c r="U4270">
        <f>IF(Pipeline_tbl[[#This Row],[Closed_Date]]=0,"",Pipeline_tbl[[#This Row],[Closed_Date]]-Pipeline_tbl[[#This Row],[Created_Date]])</f>
        <v>21</v>
      </c>
    </row>
    <row r="4271" spans="1:21" ht="15" customHeight="1" x14ac:dyDescent="0.2">
      <c r="A4271" t="s">
        <v>4577</v>
      </c>
      <c r="B4271" t="s">
        <v>237</v>
      </c>
      <c r="C4271" t="s">
        <v>54</v>
      </c>
      <c r="D4271" s="49">
        <v>45686</v>
      </c>
      <c r="E4271" s="49">
        <v>45688</v>
      </c>
      <c r="F4271" s="49">
        <v>45693</v>
      </c>
      <c r="I4271" s="49">
        <v>45708</v>
      </c>
      <c r="J4271" t="s">
        <v>49</v>
      </c>
      <c r="K4271" s="33">
        <v>6200</v>
      </c>
      <c r="L4271" t="s">
        <v>62</v>
      </c>
      <c r="M4271" t="str">
        <f>_xlfn.XLOOKUP(Pipeline_tbl[[#This Row],[Rep_ID]],Dim_Reps!A:A,Dim_Reps!K:K)</f>
        <v>EUR</v>
      </c>
      <c r="N4271" s="33">
        <f>(_xlfn.XLOOKUP(Pipeline_tbl[[#This Row],[Rate_Code_Generalized]],Lookups!A:A,Lookups!B:B))*Pipeline_tbl[[#This Row],[Pipeline_Amount_USD]]</f>
        <v>6200</v>
      </c>
      <c r="O4271" t="str">
        <f>_xlfn.XLOOKUP(Pipeline_tbl[[#This Row],[Rep_ID]],Dim_Reps!A:A,Dim_Reps!B:B)</f>
        <v>Hugo Santos</v>
      </c>
      <c r="P4271" t="str">
        <f>_xlfn.XLOOKUP(Pipeline_tbl[[#This Row],[Rep_ID]],Dim_Reps!A:A,Dim_Reps!C:C)</f>
        <v>SDR / Inside Sales Rep</v>
      </c>
      <c r="Q4271" t="str">
        <f>_xlfn.XLOOKUP(Pipeline_tbl[[#This Row],[Rep_ID]],Dim_Reps!A:A,Dim_Reps!D:D)</f>
        <v>Inside Sales</v>
      </c>
      <c r="R4271" t="str">
        <f>_xlfn.XLOOKUP(Pipeline_tbl[[#This Row],[Rep_ID]],Dim_Reps!A:A,Dim_Reps!E:E)</f>
        <v>EMEA</v>
      </c>
      <c r="S4271" t="str">
        <f>_xlfn.XLOOKUP(Pipeline_tbl[[#This Row],[Created_Date]],Dim_Date!A:A,Dim_Date!H:H)</f>
        <v>Jan 2025</v>
      </c>
      <c r="T4271" t="str">
        <f>IF(Pipeline_tbl[[#This Row],[Closed_Date]]=0,"",(_xlfn.XLOOKUP(Pipeline_tbl[[#This Row],[Closed_Date]],Dim_Date!A:A,Dim_Date!H:H)))</f>
        <v>Feb 2025</v>
      </c>
      <c r="U4271">
        <f>IF(Pipeline_tbl[[#This Row],[Closed_Date]]=0,"",Pipeline_tbl[[#This Row],[Closed_Date]]-Pipeline_tbl[[#This Row],[Created_Date]])</f>
        <v>22</v>
      </c>
    </row>
    <row r="4272" spans="1:21" ht="15" customHeight="1" x14ac:dyDescent="0.2">
      <c r="A4272" t="s">
        <v>4578</v>
      </c>
      <c r="B4272" t="s">
        <v>237</v>
      </c>
      <c r="C4272" t="s">
        <v>54</v>
      </c>
      <c r="D4272" s="49">
        <v>45688</v>
      </c>
      <c r="E4272" s="49">
        <v>45689</v>
      </c>
      <c r="I4272" s="49">
        <v>45702</v>
      </c>
      <c r="J4272" t="s">
        <v>49</v>
      </c>
      <c r="K4272" s="33">
        <v>4400</v>
      </c>
      <c r="L4272" t="s">
        <v>64</v>
      </c>
      <c r="M4272" t="str">
        <f>_xlfn.XLOOKUP(Pipeline_tbl[[#This Row],[Rep_ID]],Dim_Reps!A:A,Dim_Reps!K:K)</f>
        <v>EUR</v>
      </c>
      <c r="N4272" s="33">
        <f>(_xlfn.XLOOKUP(Pipeline_tbl[[#This Row],[Rate_Code_Generalized]],Lookups!A:A,Lookups!B:B))*Pipeline_tbl[[#This Row],[Pipeline_Amount_USD]]</f>
        <v>4400</v>
      </c>
      <c r="O4272" t="str">
        <f>_xlfn.XLOOKUP(Pipeline_tbl[[#This Row],[Rep_ID]],Dim_Reps!A:A,Dim_Reps!B:B)</f>
        <v>Hugo Santos</v>
      </c>
      <c r="P4272" t="str">
        <f>_xlfn.XLOOKUP(Pipeline_tbl[[#This Row],[Rep_ID]],Dim_Reps!A:A,Dim_Reps!C:C)</f>
        <v>SDR / Inside Sales Rep</v>
      </c>
      <c r="Q4272" t="str">
        <f>_xlfn.XLOOKUP(Pipeline_tbl[[#This Row],[Rep_ID]],Dim_Reps!A:A,Dim_Reps!D:D)</f>
        <v>Inside Sales</v>
      </c>
      <c r="R4272" t="str">
        <f>_xlfn.XLOOKUP(Pipeline_tbl[[#This Row],[Rep_ID]],Dim_Reps!A:A,Dim_Reps!E:E)</f>
        <v>EMEA</v>
      </c>
      <c r="S4272" t="str">
        <f>_xlfn.XLOOKUP(Pipeline_tbl[[#This Row],[Created_Date]],Dim_Date!A:A,Dim_Date!H:H)</f>
        <v>Jan 2025</v>
      </c>
      <c r="T4272" t="str">
        <f>IF(Pipeline_tbl[[#This Row],[Closed_Date]]=0,"",(_xlfn.XLOOKUP(Pipeline_tbl[[#This Row],[Closed_Date]],Dim_Date!A:A,Dim_Date!H:H)))</f>
        <v>Feb 2025</v>
      </c>
      <c r="U4272">
        <f>IF(Pipeline_tbl[[#This Row],[Closed_Date]]=0,"",Pipeline_tbl[[#This Row],[Closed_Date]]-Pipeline_tbl[[#This Row],[Created_Date]])</f>
        <v>14</v>
      </c>
    </row>
    <row r="4273" spans="1:21" ht="15" customHeight="1" x14ac:dyDescent="0.2">
      <c r="A4273" t="s">
        <v>4579</v>
      </c>
      <c r="B4273" t="s">
        <v>237</v>
      </c>
      <c r="C4273" t="s">
        <v>56</v>
      </c>
      <c r="D4273" s="49">
        <v>45677</v>
      </c>
      <c r="E4273" s="49">
        <v>45679</v>
      </c>
      <c r="F4273" s="49">
        <v>45683</v>
      </c>
      <c r="G4273" s="49">
        <v>45688</v>
      </c>
      <c r="H4273" s="49">
        <v>45693</v>
      </c>
      <c r="I4273" s="49">
        <v>45696</v>
      </c>
      <c r="J4273" t="s">
        <v>49</v>
      </c>
      <c r="K4273" s="33">
        <v>3000</v>
      </c>
      <c r="L4273" t="s">
        <v>62</v>
      </c>
      <c r="M4273" t="str">
        <f>_xlfn.XLOOKUP(Pipeline_tbl[[#This Row],[Rep_ID]],Dim_Reps!A:A,Dim_Reps!K:K)</f>
        <v>EUR</v>
      </c>
      <c r="N4273" s="33">
        <f>(_xlfn.XLOOKUP(Pipeline_tbl[[#This Row],[Rate_Code_Generalized]],Lookups!A:A,Lookups!B:B))*Pipeline_tbl[[#This Row],[Pipeline_Amount_USD]]</f>
        <v>3000</v>
      </c>
      <c r="O4273" t="str">
        <f>_xlfn.XLOOKUP(Pipeline_tbl[[#This Row],[Rep_ID]],Dim_Reps!A:A,Dim_Reps!B:B)</f>
        <v>Hugo Santos</v>
      </c>
      <c r="P4273" t="str">
        <f>_xlfn.XLOOKUP(Pipeline_tbl[[#This Row],[Rep_ID]],Dim_Reps!A:A,Dim_Reps!C:C)</f>
        <v>SDR / Inside Sales Rep</v>
      </c>
      <c r="Q4273" t="str">
        <f>_xlfn.XLOOKUP(Pipeline_tbl[[#This Row],[Rep_ID]],Dim_Reps!A:A,Dim_Reps!D:D)</f>
        <v>Inside Sales</v>
      </c>
      <c r="R4273" t="str">
        <f>_xlfn.XLOOKUP(Pipeline_tbl[[#This Row],[Rep_ID]],Dim_Reps!A:A,Dim_Reps!E:E)</f>
        <v>EMEA</v>
      </c>
      <c r="S4273" t="str">
        <f>_xlfn.XLOOKUP(Pipeline_tbl[[#This Row],[Created_Date]],Dim_Date!A:A,Dim_Date!H:H)</f>
        <v>Jan 2025</v>
      </c>
      <c r="T4273" t="str">
        <f>IF(Pipeline_tbl[[#This Row],[Closed_Date]]=0,"",(_xlfn.XLOOKUP(Pipeline_tbl[[#This Row],[Closed_Date]],Dim_Date!A:A,Dim_Date!H:H)))</f>
        <v>Feb 2025</v>
      </c>
      <c r="U4273">
        <f>IF(Pipeline_tbl[[#This Row],[Closed_Date]]=0,"",Pipeline_tbl[[#This Row],[Closed_Date]]-Pipeline_tbl[[#This Row],[Created_Date]])</f>
        <v>19</v>
      </c>
    </row>
    <row r="4274" spans="1:21" ht="15" customHeight="1" x14ac:dyDescent="0.2">
      <c r="A4274" t="s">
        <v>4580</v>
      </c>
      <c r="B4274" t="s">
        <v>269</v>
      </c>
      <c r="C4274" t="s">
        <v>53</v>
      </c>
      <c r="D4274" s="49">
        <v>45672</v>
      </c>
      <c r="E4274" s="49">
        <v>45675</v>
      </c>
      <c r="F4274" s="49">
        <v>45682</v>
      </c>
      <c r="G4274" s="49">
        <v>45691</v>
      </c>
      <c r="H4274" s="49">
        <v>45699</v>
      </c>
      <c r="I4274" s="49">
        <v>45704</v>
      </c>
      <c r="J4274" t="s">
        <v>47</v>
      </c>
      <c r="K4274" s="33">
        <v>13700</v>
      </c>
      <c r="M4274" t="str">
        <f>_xlfn.XLOOKUP(Pipeline_tbl[[#This Row],[Rep_ID]],Dim_Reps!A:A,Dim_Reps!K:K)</f>
        <v>USD</v>
      </c>
      <c r="N4274" s="33">
        <f>(_xlfn.XLOOKUP(Pipeline_tbl[[#This Row],[Rate_Code_Generalized]],Lookups!A:A,Lookups!B:B))*Pipeline_tbl[[#This Row],[Pipeline_Amount_USD]]</f>
        <v>15950.909999999998</v>
      </c>
      <c r="O4274" t="str">
        <f>_xlfn.XLOOKUP(Pipeline_tbl[[#This Row],[Rep_ID]],Dim_Reps!A:A,Dim_Reps!B:B)</f>
        <v>Morgan Rivera</v>
      </c>
      <c r="P4274" t="str">
        <f>_xlfn.XLOOKUP(Pipeline_tbl[[#This Row],[Rep_ID]],Dim_Reps!A:A,Dim_Reps!C:C)</f>
        <v>Mid-Market AE</v>
      </c>
      <c r="Q4274" t="str">
        <f>_xlfn.XLOOKUP(Pipeline_tbl[[#This Row],[Rep_ID]],Dim_Reps!A:A,Dim_Reps!D:D)</f>
        <v>Mid-Market</v>
      </c>
      <c r="R4274" t="str">
        <f>_xlfn.XLOOKUP(Pipeline_tbl[[#This Row],[Rep_ID]],Dim_Reps!A:A,Dim_Reps!E:E)</f>
        <v>NAMER</v>
      </c>
      <c r="S4274" t="str">
        <f>_xlfn.XLOOKUP(Pipeline_tbl[[#This Row],[Created_Date]],Dim_Date!A:A,Dim_Date!H:H)</f>
        <v>Jan 2025</v>
      </c>
      <c r="T4274" t="str">
        <f>IF(Pipeline_tbl[[#This Row],[Closed_Date]]=0,"",(_xlfn.XLOOKUP(Pipeline_tbl[[#This Row],[Closed_Date]],Dim_Date!A:A,Dim_Date!H:H)))</f>
        <v>Feb 2025</v>
      </c>
      <c r="U4274">
        <f>IF(Pipeline_tbl[[#This Row],[Closed_Date]]=0,"",Pipeline_tbl[[#This Row],[Closed_Date]]-Pipeline_tbl[[#This Row],[Created_Date]])</f>
        <v>32</v>
      </c>
    </row>
    <row r="4275" spans="1:21" ht="15" customHeight="1" x14ac:dyDescent="0.2">
      <c r="A4275" t="s">
        <v>4581</v>
      </c>
      <c r="B4275" t="s">
        <v>269</v>
      </c>
      <c r="C4275" t="s">
        <v>55</v>
      </c>
      <c r="D4275" s="49">
        <v>45661</v>
      </c>
      <c r="E4275" s="49">
        <v>45666</v>
      </c>
      <c r="F4275" s="49">
        <v>45676</v>
      </c>
      <c r="G4275" s="49">
        <v>45692</v>
      </c>
      <c r="H4275" s="49">
        <v>45704</v>
      </c>
      <c r="I4275" s="49">
        <v>45712</v>
      </c>
      <c r="J4275" t="s">
        <v>47</v>
      </c>
      <c r="K4275" s="33">
        <v>8300</v>
      </c>
      <c r="M4275" t="str">
        <f>_xlfn.XLOOKUP(Pipeline_tbl[[#This Row],[Rep_ID]],Dim_Reps!A:A,Dim_Reps!K:K)</f>
        <v>USD</v>
      </c>
      <c r="N4275" s="33">
        <f>(_xlfn.XLOOKUP(Pipeline_tbl[[#This Row],[Rate_Code_Generalized]],Lookups!A:A,Lookups!B:B))*Pipeline_tbl[[#This Row],[Pipeline_Amount_USD]]</f>
        <v>9663.6899999999987</v>
      </c>
      <c r="O4275" t="str">
        <f>_xlfn.XLOOKUP(Pipeline_tbl[[#This Row],[Rep_ID]],Dim_Reps!A:A,Dim_Reps!B:B)</f>
        <v>Morgan Rivera</v>
      </c>
      <c r="P4275" t="str">
        <f>_xlfn.XLOOKUP(Pipeline_tbl[[#This Row],[Rep_ID]],Dim_Reps!A:A,Dim_Reps!C:C)</f>
        <v>Mid-Market AE</v>
      </c>
      <c r="Q4275" t="str">
        <f>_xlfn.XLOOKUP(Pipeline_tbl[[#This Row],[Rep_ID]],Dim_Reps!A:A,Dim_Reps!D:D)</f>
        <v>Mid-Market</v>
      </c>
      <c r="R4275" t="str">
        <f>_xlfn.XLOOKUP(Pipeline_tbl[[#This Row],[Rep_ID]],Dim_Reps!A:A,Dim_Reps!E:E)</f>
        <v>NAMER</v>
      </c>
      <c r="S4275" t="str">
        <f>_xlfn.XLOOKUP(Pipeline_tbl[[#This Row],[Created_Date]],Dim_Date!A:A,Dim_Date!H:H)</f>
        <v>Jan 2025</v>
      </c>
      <c r="T4275" t="str">
        <f>IF(Pipeline_tbl[[#This Row],[Closed_Date]]=0,"",(_xlfn.XLOOKUP(Pipeline_tbl[[#This Row],[Closed_Date]],Dim_Date!A:A,Dim_Date!H:H)))</f>
        <v>Feb 2025</v>
      </c>
      <c r="U4275">
        <f>IF(Pipeline_tbl[[#This Row],[Closed_Date]]=0,"",Pipeline_tbl[[#This Row],[Closed_Date]]-Pipeline_tbl[[#This Row],[Created_Date]])</f>
        <v>51</v>
      </c>
    </row>
    <row r="4276" spans="1:21" ht="15" customHeight="1" x14ac:dyDescent="0.2">
      <c r="A4276" t="s">
        <v>4582</v>
      </c>
      <c r="B4276" t="s">
        <v>269</v>
      </c>
      <c r="C4276" t="s">
        <v>52</v>
      </c>
      <c r="D4276" s="49">
        <v>45661</v>
      </c>
      <c r="E4276" s="49">
        <v>45665</v>
      </c>
      <c r="F4276" s="49">
        <v>45672</v>
      </c>
      <c r="G4276" s="49">
        <v>45684</v>
      </c>
      <c r="H4276" s="49">
        <v>45693</v>
      </c>
      <c r="I4276" s="49">
        <v>45699</v>
      </c>
      <c r="J4276" t="s">
        <v>49</v>
      </c>
      <c r="K4276" s="33">
        <v>16300</v>
      </c>
      <c r="L4276" t="s">
        <v>63</v>
      </c>
      <c r="M4276" t="str">
        <f>_xlfn.XLOOKUP(Pipeline_tbl[[#This Row],[Rep_ID]],Dim_Reps!A:A,Dim_Reps!K:K)</f>
        <v>USD</v>
      </c>
      <c r="N4276" s="33">
        <f>(_xlfn.XLOOKUP(Pipeline_tbl[[#This Row],[Rate_Code_Generalized]],Lookups!A:A,Lookups!B:B))*Pipeline_tbl[[#This Row],[Pipeline_Amount_USD]]</f>
        <v>18978.089999999997</v>
      </c>
      <c r="O4276" t="str">
        <f>_xlfn.XLOOKUP(Pipeline_tbl[[#This Row],[Rep_ID]],Dim_Reps!A:A,Dim_Reps!B:B)</f>
        <v>Morgan Rivera</v>
      </c>
      <c r="P4276" t="str">
        <f>_xlfn.XLOOKUP(Pipeline_tbl[[#This Row],[Rep_ID]],Dim_Reps!A:A,Dim_Reps!C:C)</f>
        <v>Mid-Market AE</v>
      </c>
      <c r="Q4276" t="str">
        <f>_xlfn.XLOOKUP(Pipeline_tbl[[#This Row],[Rep_ID]],Dim_Reps!A:A,Dim_Reps!D:D)</f>
        <v>Mid-Market</v>
      </c>
      <c r="R4276" t="str">
        <f>_xlfn.XLOOKUP(Pipeline_tbl[[#This Row],[Rep_ID]],Dim_Reps!A:A,Dim_Reps!E:E)</f>
        <v>NAMER</v>
      </c>
      <c r="S4276" t="str">
        <f>_xlfn.XLOOKUP(Pipeline_tbl[[#This Row],[Created_Date]],Dim_Date!A:A,Dim_Date!H:H)</f>
        <v>Jan 2025</v>
      </c>
      <c r="T4276" t="str">
        <f>IF(Pipeline_tbl[[#This Row],[Closed_Date]]=0,"",(_xlfn.XLOOKUP(Pipeline_tbl[[#This Row],[Closed_Date]],Dim_Date!A:A,Dim_Date!H:H)))</f>
        <v>Feb 2025</v>
      </c>
      <c r="U4276">
        <f>IF(Pipeline_tbl[[#This Row],[Closed_Date]]=0,"",Pipeline_tbl[[#This Row],[Closed_Date]]-Pipeline_tbl[[#This Row],[Created_Date]])</f>
        <v>38</v>
      </c>
    </row>
    <row r="4277" spans="1:21" ht="15" customHeight="1" x14ac:dyDescent="0.2">
      <c r="A4277" t="s">
        <v>4583</v>
      </c>
      <c r="B4277" t="s">
        <v>269</v>
      </c>
      <c r="C4277" t="s">
        <v>52</v>
      </c>
      <c r="D4277" s="49">
        <v>45679</v>
      </c>
      <c r="E4277" s="49">
        <v>45682</v>
      </c>
      <c r="F4277" s="49">
        <v>45687</v>
      </c>
      <c r="G4277" s="49">
        <v>45695</v>
      </c>
      <c r="H4277" s="49">
        <v>45701</v>
      </c>
      <c r="I4277" s="49">
        <v>45705</v>
      </c>
      <c r="J4277" t="s">
        <v>49</v>
      </c>
      <c r="K4277" s="33">
        <v>7700</v>
      </c>
      <c r="L4277" t="s">
        <v>60</v>
      </c>
      <c r="M4277" t="str">
        <f>_xlfn.XLOOKUP(Pipeline_tbl[[#This Row],[Rep_ID]],Dim_Reps!A:A,Dim_Reps!K:K)</f>
        <v>USD</v>
      </c>
      <c r="N4277" s="33">
        <f>(_xlfn.XLOOKUP(Pipeline_tbl[[#This Row],[Rate_Code_Generalized]],Lookups!A:A,Lookups!B:B))*Pipeline_tbl[[#This Row],[Pipeline_Amount_USD]]</f>
        <v>8965.1099999999988</v>
      </c>
      <c r="O4277" t="str">
        <f>_xlfn.XLOOKUP(Pipeline_tbl[[#This Row],[Rep_ID]],Dim_Reps!A:A,Dim_Reps!B:B)</f>
        <v>Morgan Rivera</v>
      </c>
      <c r="P4277" t="str">
        <f>_xlfn.XLOOKUP(Pipeline_tbl[[#This Row],[Rep_ID]],Dim_Reps!A:A,Dim_Reps!C:C)</f>
        <v>Mid-Market AE</v>
      </c>
      <c r="Q4277" t="str">
        <f>_xlfn.XLOOKUP(Pipeline_tbl[[#This Row],[Rep_ID]],Dim_Reps!A:A,Dim_Reps!D:D)</f>
        <v>Mid-Market</v>
      </c>
      <c r="R4277" t="str">
        <f>_xlfn.XLOOKUP(Pipeline_tbl[[#This Row],[Rep_ID]],Dim_Reps!A:A,Dim_Reps!E:E)</f>
        <v>NAMER</v>
      </c>
      <c r="S4277" t="str">
        <f>_xlfn.XLOOKUP(Pipeline_tbl[[#This Row],[Created_Date]],Dim_Date!A:A,Dim_Date!H:H)</f>
        <v>Jan 2025</v>
      </c>
      <c r="T4277" t="str">
        <f>IF(Pipeline_tbl[[#This Row],[Closed_Date]]=0,"",(_xlfn.XLOOKUP(Pipeline_tbl[[#This Row],[Closed_Date]],Dim_Date!A:A,Dim_Date!H:H)))</f>
        <v>Feb 2025</v>
      </c>
      <c r="U4277">
        <f>IF(Pipeline_tbl[[#This Row],[Closed_Date]]=0,"",Pipeline_tbl[[#This Row],[Closed_Date]]-Pipeline_tbl[[#This Row],[Created_Date]])</f>
        <v>26</v>
      </c>
    </row>
    <row r="4278" spans="1:21" ht="15" customHeight="1" x14ac:dyDescent="0.2">
      <c r="A4278" t="s">
        <v>4584</v>
      </c>
      <c r="B4278" t="s">
        <v>269</v>
      </c>
      <c r="C4278" t="s">
        <v>52</v>
      </c>
      <c r="D4278" s="49">
        <v>45665</v>
      </c>
      <c r="E4278" s="49">
        <v>45668</v>
      </c>
      <c r="F4278" s="49">
        <v>45675</v>
      </c>
      <c r="G4278" s="49">
        <v>45685</v>
      </c>
      <c r="H4278" s="49">
        <v>45694</v>
      </c>
      <c r="I4278" s="49">
        <v>45699</v>
      </c>
      <c r="J4278" t="s">
        <v>47</v>
      </c>
      <c r="K4278" s="33">
        <v>11400</v>
      </c>
      <c r="M4278" t="str">
        <f>_xlfn.XLOOKUP(Pipeline_tbl[[#This Row],[Rep_ID]],Dim_Reps!A:A,Dim_Reps!K:K)</f>
        <v>USD</v>
      </c>
      <c r="N4278" s="33">
        <f>(_xlfn.XLOOKUP(Pipeline_tbl[[#This Row],[Rate_Code_Generalized]],Lookups!A:A,Lookups!B:B))*Pipeline_tbl[[#This Row],[Pipeline_Amount_USD]]</f>
        <v>13273.019999999999</v>
      </c>
      <c r="O4278" t="str">
        <f>_xlfn.XLOOKUP(Pipeline_tbl[[#This Row],[Rep_ID]],Dim_Reps!A:A,Dim_Reps!B:B)</f>
        <v>Morgan Rivera</v>
      </c>
      <c r="P4278" t="str">
        <f>_xlfn.XLOOKUP(Pipeline_tbl[[#This Row],[Rep_ID]],Dim_Reps!A:A,Dim_Reps!C:C)</f>
        <v>Mid-Market AE</v>
      </c>
      <c r="Q4278" t="str">
        <f>_xlfn.XLOOKUP(Pipeline_tbl[[#This Row],[Rep_ID]],Dim_Reps!A:A,Dim_Reps!D:D)</f>
        <v>Mid-Market</v>
      </c>
      <c r="R4278" t="str">
        <f>_xlfn.XLOOKUP(Pipeline_tbl[[#This Row],[Rep_ID]],Dim_Reps!A:A,Dim_Reps!E:E)</f>
        <v>NAMER</v>
      </c>
      <c r="S4278" t="str">
        <f>_xlfn.XLOOKUP(Pipeline_tbl[[#This Row],[Created_Date]],Dim_Date!A:A,Dim_Date!H:H)</f>
        <v>Jan 2025</v>
      </c>
      <c r="T4278" t="str">
        <f>IF(Pipeline_tbl[[#This Row],[Closed_Date]]=0,"",(_xlfn.XLOOKUP(Pipeline_tbl[[#This Row],[Closed_Date]],Dim_Date!A:A,Dim_Date!H:H)))</f>
        <v>Feb 2025</v>
      </c>
      <c r="U4278">
        <f>IF(Pipeline_tbl[[#This Row],[Closed_Date]]=0,"",Pipeline_tbl[[#This Row],[Closed_Date]]-Pipeline_tbl[[#This Row],[Created_Date]])</f>
        <v>34</v>
      </c>
    </row>
    <row r="4279" spans="1:21" ht="15" customHeight="1" x14ac:dyDescent="0.2">
      <c r="A4279" t="s">
        <v>4585</v>
      </c>
      <c r="B4279" t="s">
        <v>269</v>
      </c>
      <c r="C4279" t="s">
        <v>52</v>
      </c>
      <c r="D4279" s="49">
        <v>45669</v>
      </c>
      <c r="E4279" s="49">
        <v>45673</v>
      </c>
      <c r="I4279" s="49">
        <v>45709</v>
      </c>
      <c r="J4279" t="s">
        <v>49</v>
      </c>
      <c r="K4279" s="33">
        <v>5300</v>
      </c>
      <c r="L4279" t="s">
        <v>64</v>
      </c>
      <c r="M4279" t="str">
        <f>_xlfn.XLOOKUP(Pipeline_tbl[[#This Row],[Rep_ID]],Dim_Reps!A:A,Dim_Reps!K:K)</f>
        <v>USD</v>
      </c>
      <c r="N4279" s="33">
        <f>(_xlfn.XLOOKUP(Pipeline_tbl[[#This Row],[Rate_Code_Generalized]],Lookups!A:A,Lookups!B:B))*Pipeline_tbl[[#This Row],[Pipeline_Amount_USD]]</f>
        <v>6170.7899999999991</v>
      </c>
      <c r="O4279" t="str">
        <f>_xlfn.XLOOKUP(Pipeline_tbl[[#This Row],[Rep_ID]],Dim_Reps!A:A,Dim_Reps!B:B)</f>
        <v>Morgan Rivera</v>
      </c>
      <c r="P4279" t="str">
        <f>_xlfn.XLOOKUP(Pipeline_tbl[[#This Row],[Rep_ID]],Dim_Reps!A:A,Dim_Reps!C:C)</f>
        <v>Mid-Market AE</v>
      </c>
      <c r="Q4279" t="str">
        <f>_xlfn.XLOOKUP(Pipeline_tbl[[#This Row],[Rep_ID]],Dim_Reps!A:A,Dim_Reps!D:D)</f>
        <v>Mid-Market</v>
      </c>
      <c r="R4279" t="str">
        <f>_xlfn.XLOOKUP(Pipeline_tbl[[#This Row],[Rep_ID]],Dim_Reps!A:A,Dim_Reps!E:E)</f>
        <v>NAMER</v>
      </c>
      <c r="S4279" t="str">
        <f>_xlfn.XLOOKUP(Pipeline_tbl[[#This Row],[Created_Date]],Dim_Date!A:A,Dim_Date!H:H)</f>
        <v>Jan 2025</v>
      </c>
      <c r="T4279" t="str">
        <f>IF(Pipeline_tbl[[#This Row],[Closed_Date]]=0,"",(_xlfn.XLOOKUP(Pipeline_tbl[[#This Row],[Closed_Date]],Dim_Date!A:A,Dim_Date!H:H)))</f>
        <v>Feb 2025</v>
      </c>
      <c r="U4279">
        <f>IF(Pipeline_tbl[[#This Row],[Closed_Date]]=0,"",Pipeline_tbl[[#This Row],[Closed_Date]]-Pipeline_tbl[[#This Row],[Created_Date]])</f>
        <v>40</v>
      </c>
    </row>
    <row r="4280" spans="1:21" ht="15" customHeight="1" x14ac:dyDescent="0.2">
      <c r="A4280" t="s">
        <v>4586</v>
      </c>
      <c r="B4280" t="s">
        <v>269</v>
      </c>
      <c r="C4280" t="s">
        <v>52</v>
      </c>
      <c r="D4280" s="49">
        <v>45684</v>
      </c>
      <c r="E4280" s="49">
        <v>45686</v>
      </c>
      <c r="F4280" s="49">
        <v>45690</v>
      </c>
      <c r="G4280" s="49">
        <v>45697</v>
      </c>
      <c r="H4280" s="49">
        <v>45702</v>
      </c>
      <c r="I4280" s="49">
        <v>45705</v>
      </c>
      <c r="J4280" t="s">
        <v>47</v>
      </c>
      <c r="K4280" s="33">
        <v>10900</v>
      </c>
      <c r="M4280" t="str">
        <f>_xlfn.XLOOKUP(Pipeline_tbl[[#This Row],[Rep_ID]],Dim_Reps!A:A,Dim_Reps!K:K)</f>
        <v>USD</v>
      </c>
      <c r="N4280" s="33">
        <f>(_xlfn.XLOOKUP(Pipeline_tbl[[#This Row],[Rate_Code_Generalized]],Lookups!A:A,Lookups!B:B))*Pipeline_tbl[[#This Row],[Pipeline_Amount_USD]]</f>
        <v>12690.869999999999</v>
      </c>
      <c r="O4280" t="str">
        <f>_xlfn.XLOOKUP(Pipeline_tbl[[#This Row],[Rep_ID]],Dim_Reps!A:A,Dim_Reps!B:B)</f>
        <v>Morgan Rivera</v>
      </c>
      <c r="P4280" t="str">
        <f>_xlfn.XLOOKUP(Pipeline_tbl[[#This Row],[Rep_ID]],Dim_Reps!A:A,Dim_Reps!C:C)</f>
        <v>Mid-Market AE</v>
      </c>
      <c r="Q4280" t="str">
        <f>_xlfn.XLOOKUP(Pipeline_tbl[[#This Row],[Rep_ID]],Dim_Reps!A:A,Dim_Reps!D:D)</f>
        <v>Mid-Market</v>
      </c>
      <c r="R4280" t="str">
        <f>_xlfn.XLOOKUP(Pipeline_tbl[[#This Row],[Rep_ID]],Dim_Reps!A:A,Dim_Reps!E:E)</f>
        <v>NAMER</v>
      </c>
      <c r="S4280" t="str">
        <f>_xlfn.XLOOKUP(Pipeline_tbl[[#This Row],[Created_Date]],Dim_Date!A:A,Dim_Date!H:H)</f>
        <v>Jan 2025</v>
      </c>
      <c r="T4280" t="str">
        <f>IF(Pipeline_tbl[[#This Row],[Closed_Date]]=0,"",(_xlfn.XLOOKUP(Pipeline_tbl[[#This Row],[Closed_Date]],Dim_Date!A:A,Dim_Date!H:H)))</f>
        <v>Feb 2025</v>
      </c>
      <c r="U4280">
        <f>IF(Pipeline_tbl[[#This Row],[Closed_Date]]=0,"",Pipeline_tbl[[#This Row],[Closed_Date]]-Pipeline_tbl[[#This Row],[Created_Date]])</f>
        <v>21</v>
      </c>
    </row>
    <row r="4281" spans="1:21" ht="15" customHeight="1" x14ac:dyDescent="0.2">
      <c r="A4281" t="s">
        <v>4587</v>
      </c>
      <c r="B4281" t="s">
        <v>271</v>
      </c>
      <c r="C4281" t="s">
        <v>53</v>
      </c>
      <c r="D4281" s="49">
        <v>45679</v>
      </c>
      <c r="E4281" s="49">
        <v>45682</v>
      </c>
      <c r="F4281" s="49">
        <v>45689</v>
      </c>
      <c r="G4281" s="49">
        <v>45699</v>
      </c>
      <c r="H4281" s="49">
        <v>45708</v>
      </c>
      <c r="I4281" s="49">
        <v>45713</v>
      </c>
      <c r="J4281" t="s">
        <v>47</v>
      </c>
      <c r="K4281" s="33">
        <v>12800</v>
      </c>
      <c r="M4281" t="str">
        <f>_xlfn.XLOOKUP(Pipeline_tbl[[#This Row],[Rep_ID]],Dim_Reps!A:A,Dim_Reps!K:K)</f>
        <v>EUR</v>
      </c>
      <c r="N4281" s="33">
        <f>(_xlfn.XLOOKUP(Pipeline_tbl[[#This Row],[Rate_Code_Generalized]],Lookups!A:A,Lookups!B:B))*Pipeline_tbl[[#This Row],[Pipeline_Amount_USD]]</f>
        <v>12800</v>
      </c>
      <c r="O4281" t="str">
        <f>_xlfn.XLOOKUP(Pipeline_tbl[[#This Row],[Rep_ID]],Dim_Reps!A:A,Dim_Reps!B:B)</f>
        <v>Ivy Adler</v>
      </c>
      <c r="P4281" t="str">
        <f>_xlfn.XLOOKUP(Pipeline_tbl[[#This Row],[Rep_ID]],Dim_Reps!A:A,Dim_Reps!C:C)</f>
        <v>Mid-Market AE</v>
      </c>
      <c r="Q4281" t="str">
        <f>_xlfn.XLOOKUP(Pipeline_tbl[[#This Row],[Rep_ID]],Dim_Reps!A:A,Dim_Reps!D:D)</f>
        <v>Mid-Market</v>
      </c>
      <c r="R4281" t="str">
        <f>_xlfn.XLOOKUP(Pipeline_tbl[[#This Row],[Rep_ID]],Dim_Reps!A:A,Dim_Reps!E:E)</f>
        <v>APAC</v>
      </c>
      <c r="S4281" t="str">
        <f>_xlfn.XLOOKUP(Pipeline_tbl[[#This Row],[Created_Date]],Dim_Date!A:A,Dim_Date!H:H)</f>
        <v>Jan 2025</v>
      </c>
      <c r="T4281" t="str">
        <f>IF(Pipeline_tbl[[#This Row],[Closed_Date]]=0,"",(_xlfn.XLOOKUP(Pipeline_tbl[[#This Row],[Closed_Date]],Dim_Date!A:A,Dim_Date!H:H)))</f>
        <v>Feb 2025</v>
      </c>
      <c r="U4281">
        <f>IF(Pipeline_tbl[[#This Row],[Closed_Date]]=0,"",Pipeline_tbl[[#This Row],[Closed_Date]]-Pipeline_tbl[[#This Row],[Created_Date]])</f>
        <v>34</v>
      </c>
    </row>
    <row r="4282" spans="1:21" ht="15" customHeight="1" x14ac:dyDescent="0.2">
      <c r="A4282" t="s">
        <v>4588</v>
      </c>
      <c r="B4282" t="s">
        <v>271</v>
      </c>
      <c r="C4282" t="s">
        <v>54</v>
      </c>
      <c r="D4282" s="49">
        <v>45684</v>
      </c>
      <c r="E4282" s="49">
        <v>45686</v>
      </c>
      <c r="I4282" s="49">
        <v>45704</v>
      </c>
      <c r="J4282" t="s">
        <v>49</v>
      </c>
      <c r="K4282" s="33">
        <v>9000</v>
      </c>
      <c r="L4282" t="s">
        <v>62</v>
      </c>
      <c r="M4282" t="str">
        <f>_xlfn.XLOOKUP(Pipeline_tbl[[#This Row],[Rep_ID]],Dim_Reps!A:A,Dim_Reps!K:K)</f>
        <v>EUR</v>
      </c>
      <c r="N4282" s="33">
        <f>(_xlfn.XLOOKUP(Pipeline_tbl[[#This Row],[Rate_Code_Generalized]],Lookups!A:A,Lookups!B:B))*Pipeline_tbl[[#This Row],[Pipeline_Amount_USD]]</f>
        <v>9000</v>
      </c>
      <c r="O4282" t="str">
        <f>_xlfn.XLOOKUP(Pipeline_tbl[[#This Row],[Rep_ID]],Dim_Reps!A:A,Dim_Reps!B:B)</f>
        <v>Ivy Adler</v>
      </c>
      <c r="P4282" t="str">
        <f>_xlfn.XLOOKUP(Pipeline_tbl[[#This Row],[Rep_ID]],Dim_Reps!A:A,Dim_Reps!C:C)</f>
        <v>Mid-Market AE</v>
      </c>
      <c r="Q4282" t="str">
        <f>_xlfn.XLOOKUP(Pipeline_tbl[[#This Row],[Rep_ID]],Dim_Reps!A:A,Dim_Reps!D:D)</f>
        <v>Mid-Market</v>
      </c>
      <c r="R4282" t="str">
        <f>_xlfn.XLOOKUP(Pipeline_tbl[[#This Row],[Rep_ID]],Dim_Reps!A:A,Dim_Reps!E:E)</f>
        <v>APAC</v>
      </c>
      <c r="S4282" t="str">
        <f>_xlfn.XLOOKUP(Pipeline_tbl[[#This Row],[Created_Date]],Dim_Date!A:A,Dim_Date!H:H)</f>
        <v>Jan 2025</v>
      </c>
      <c r="T4282" t="str">
        <f>IF(Pipeline_tbl[[#This Row],[Closed_Date]]=0,"",(_xlfn.XLOOKUP(Pipeline_tbl[[#This Row],[Closed_Date]],Dim_Date!A:A,Dim_Date!H:H)))</f>
        <v>Feb 2025</v>
      </c>
      <c r="U4282">
        <f>IF(Pipeline_tbl[[#This Row],[Closed_Date]]=0,"",Pipeline_tbl[[#This Row],[Closed_Date]]-Pipeline_tbl[[#This Row],[Created_Date]])</f>
        <v>20</v>
      </c>
    </row>
    <row r="4283" spans="1:21" ht="15" customHeight="1" x14ac:dyDescent="0.2">
      <c r="A4283" t="s">
        <v>4589</v>
      </c>
      <c r="B4283" t="s">
        <v>271</v>
      </c>
      <c r="C4283" t="s">
        <v>56</v>
      </c>
      <c r="D4283" s="49">
        <v>45667</v>
      </c>
      <c r="E4283" s="49">
        <v>45669</v>
      </c>
      <c r="F4283" s="49">
        <v>45674</v>
      </c>
      <c r="G4283" s="49">
        <v>45681</v>
      </c>
      <c r="H4283" s="49">
        <v>45687</v>
      </c>
      <c r="I4283" s="49">
        <v>45690</v>
      </c>
      <c r="J4283" t="s">
        <v>47</v>
      </c>
      <c r="K4283" s="33">
        <v>8000</v>
      </c>
      <c r="M4283" t="str">
        <f>_xlfn.XLOOKUP(Pipeline_tbl[[#This Row],[Rep_ID]],Dim_Reps!A:A,Dim_Reps!K:K)</f>
        <v>EUR</v>
      </c>
      <c r="N4283" s="33">
        <f>(_xlfn.XLOOKUP(Pipeline_tbl[[#This Row],[Rate_Code_Generalized]],Lookups!A:A,Lookups!B:B))*Pipeline_tbl[[#This Row],[Pipeline_Amount_USD]]</f>
        <v>8000</v>
      </c>
      <c r="O4283" t="str">
        <f>_xlfn.XLOOKUP(Pipeline_tbl[[#This Row],[Rep_ID]],Dim_Reps!A:A,Dim_Reps!B:B)</f>
        <v>Ivy Adler</v>
      </c>
      <c r="P4283" t="str">
        <f>_xlfn.XLOOKUP(Pipeline_tbl[[#This Row],[Rep_ID]],Dim_Reps!A:A,Dim_Reps!C:C)</f>
        <v>Mid-Market AE</v>
      </c>
      <c r="Q4283" t="str">
        <f>_xlfn.XLOOKUP(Pipeline_tbl[[#This Row],[Rep_ID]],Dim_Reps!A:A,Dim_Reps!D:D)</f>
        <v>Mid-Market</v>
      </c>
      <c r="R4283" t="str">
        <f>_xlfn.XLOOKUP(Pipeline_tbl[[#This Row],[Rep_ID]],Dim_Reps!A:A,Dim_Reps!E:E)</f>
        <v>APAC</v>
      </c>
      <c r="S4283" t="str">
        <f>_xlfn.XLOOKUP(Pipeline_tbl[[#This Row],[Created_Date]],Dim_Date!A:A,Dim_Date!H:H)</f>
        <v>Jan 2025</v>
      </c>
      <c r="T4283" t="str">
        <f>IF(Pipeline_tbl[[#This Row],[Closed_Date]]=0,"",(_xlfn.XLOOKUP(Pipeline_tbl[[#This Row],[Closed_Date]],Dim_Date!A:A,Dim_Date!H:H)))</f>
        <v>Feb 2025</v>
      </c>
      <c r="U4283">
        <f>IF(Pipeline_tbl[[#This Row],[Closed_Date]]=0,"",Pipeline_tbl[[#This Row],[Closed_Date]]-Pipeline_tbl[[#This Row],[Created_Date]])</f>
        <v>23</v>
      </c>
    </row>
    <row r="4284" spans="1:21" ht="15" customHeight="1" x14ac:dyDescent="0.2">
      <c r="A4284" t="s">
        <v>4590</v>
      </c>
      <c r="B4284" t="s">
        <v>273</v>
      </c>
      <c r="C4284" t="s">
        <v>54</v>
      </c>
      <c r="D4284" s="49">
        <v>45663</v>
      </c>
      <c r="E4284" s="49">
        <v>45666</v>
      </c>
      <c r="F4284" s="49">
        <v>45673</v>
      </c>
      <c r="G4284" s="49">
        <v>45682</v>
      </c>
      <c r="I4284" s="49">
        <v>45695</v>
      </c>
      <c r="J4284" t="s">
        <v>49</v>
      </c>
      <c r="K4284" s="33">
        <v>10700</v>
      </c>
      <c r="L4284" t="s">
        <v>60</v>
      </c>
      <c r="M4284" t="str">
        <f>_xlfn.XLOOKUP(Pipeline_tbl[[#This Row],[Rep_ID]],Dim_Reps!A:A,Dim_Reps!K:K)</f>
        <v>EUR</v>
      </c>
      <c r="N4284" s="33">
        <f>(_xlfn.XLOOKUP(Pipeline_tbl[[#This Row],[Rate_Code_Generalized]],Lookups!A:A,Lookups!B:B))*Pipeline_tbl[[#This Row],[Pipeline_Amount_USD]]</f>
        <v>10700</v>
      </c>
      <c r="O4284" t="str">
        <f>_xlfn.XLOOKUP(Pipeline_tbl[[#This Row],[Rep_ID]],Dim_Reps!A:A,Dim_Reps!B:B)</f>
        <v>Olivia Cohen</v>
      </c>
      <c r="P4284" t="str">
        <f>_xlfn.XLOOKUP(Pipeline_tbl[[#This Row],[Rep_ID]],Dim_Reps!A:A,Dim_Reps!C:C)</f>
        <v>Mid-Market AE</v>
      </c>
      <c r="Q4284" t="str">
        <f>_xlfn.XLOOKUP(Pipeline_tbl[[#This Row],[Rep_ID]],Dim_Reps!A:A,Dim_Reps!D:D)</f>
        <v>Mid-Market</v>
      </c>
      <c r="R4284" t="str">
        <f>_xlfn.XLOOKUP(Pipeline_tbl[[#This Row],[Rep_ID]],Dim_Reps!A:A,Dim_Reps!E:E)</f>
        <v>APAC</v>
      </c>
      <c r="S4284" t="str">
        <f>_xlfn.XLOOKUP(Pipeline_tbl[[#This Row],[Created_Date]],Dim_Date!A:A,Dim_Date!H:H)</f>
        <v>Jan 2025</v>
      </c>
      <c r="T4284" t="str">
        <f>IF(Pipeline_tbl[[#This Row],[Closed_Date]]=0,"",(_xlfn.XLOOKUP(Pipeline_tbl[[#This Row],[Closed_Date]],Dim_Date!A:A,Dim_Date!H:H)))</f>
        <v>Feb 2025</v>
      </c>
      <c r="U4284">
        <f>IF(Pipeline_tbl[[#This Row],[Closed_Date]]=0,"",Pipeline_tbl[[#This Row],[Closed_Date]]-Pipeline_tbl[[#This Row],[Created_Date]])</f>
        <v>32</v>
      </c>
    </row>
    <row r="4285" spans="1:21" ht="15" customHeight="1" x14ac:dyDescent="0.2">
      <c r="A4285" t="s">
        <v>4591</v>
      </c>
      <c r="B4285" t="s">
        <v>273</v>
      </c>
      <c r="C4285" t="s">
        <v>53</v>
      </c>
      <c r="D4285" s="49">
        <v>45681</v>
      </c>
      <c r="E4285" s="49">
        <v>45684</v>
      </c>
      <c r="F4285" s="49">
        <v>45691</v>
      </c>
      <c r="G4285" s="49">
        <v>45701</v>
      </c>
      <c r="H4285" s="49">
        <v>45710</v>
      </c>
      <c r="I4285" s="49">
        <v>45715</v>
      </c>
      <c r="J4285" t="s">
        <v>49</v>
      </c>
      <c r="K4285" s="33">
        <v>8900</v>
      </c>
      <c r="L4285" t="s">
        <v>61</v>
      </c>
      <c r="M4285" t="str">
        <f>_xlfn.XLOOKUP(Pipeline_tbl[[#This Row],[Rep_ID]],Dim_Reps!A:A,Dim_Reps!K:K)</f>
        <v>EUR</v>
      </c>
      <c r="N4285" s="33">
        <f>(_xlfn.XLOOKUP(Pipeline_tbl[[#This Row],[Rate_Code_Generalized]],Lookups!A:A,Lookups!B:B))*Pipeline_tbl[[#This Row],[Pipeline_Amount_USD]]</f>
        <v>8900</v>
      </c>
      <c r="O4285" t="str">
        <f>_xlfn.XLOOKUP(Pipeline_tbl[[#This Row],[Rep_ID]],Dim_Reps!A:A,Dim_Reps!B:B)</f>
        <v>Olivia Cohen</v>
      </c>
      <c r="P4285" t="str">
        <f>_xlfn.XLOOKUP(Pipeline_tbl[[#This Row],[Rep_ID]],Dim_Reps!A:A,Dim_Reps!C:C)</f>
        <v>Mid-Market AE</v>
      </c>
      <c r="Q4285" t="str">
        <f>_xlfn.XLOOKUP(Pipeline_tbl[[#This Row],[Rep_ID]],Dim_Reps!A:A,Dim_Reps!D:D)</f>
        <v>Mid-Market</v>
      </c>
      <c r="R4285" t="str">
        <f>_xlfn.XLOOKUP(Pipeline_tbl[[#This Row],[Rep_ID]],Dim_Reps!A:A,Dim_Reps!E:E)</f>
        <v>APAC</v>
      </c>
      <c r="S4285" t="str">
        <f>_xlfn.XLOOKUP(Pipeline_tbl[[#This Row],[Created_Date]],Dim_Date!A:A,Dim_Date!H:H)</f>
        <v>Jan 2025</v>
      </c>
      <c r="T4285" t="str">
        <f>IF(Pipeline_tbl[[#This Row],[Closed_Date]]=0,"",(_xlfn.XLOOKUP(Pipeline_tbl[[#This Row],[Closed_Date]],Dim_Date!A:A,Dim_Date!H:H)))</f>
        <v>Feb 2025</v>
      </c>
      <c r="U4285">
        <f>IF(Pipeline_tbl[[#This Row],[Closed_Date]]=0,"",Pipeline_tbl[[#This Row],[Closed_Date]]-Pipeline_tbl[[#This Row],[Created_Date]])</f>
        <v>34</v>
      </c>
    </row>
    <row r="4286" spans="1:21" ht="15" customHeight="1" x14ac:dyDescent="0.2">
      <c r="A4286" t="s">
        <v>4592</v>
      </c>
      <c r="B4286" t="s">
        <v>273</v>
      </c>
      <c r="C4286" t="s">
        <v>52</v>
      </c>
      <c r="D4286" s="49">
        <v>45674</v>
      </c>
      <c r="E4286" s="49">
        <v>45678</v>
      </c>
      <c r="F4286" s="49">
        <v>45686</v>
      </c>
      <c r="G4286" s="49">
        <v>45697</v>
      </c>
      <c r="H4286" s="49">
        <v>45707</v>
      </c>
      <c r="I4286" s="49">
        <v>45713</v>
      </c>
      <c r="J4286" t="s">
        <v>49</v>
      </c>
      <c r="K4286" s="33">
        <v>9700</v>
      </c>
      <c r="L4286" t="s">
        <v>62</v>
      </c>
      <c r="M4286" t="str">
        <f>_xlfn.XLOOKUP(Pipeline_tbl[[#This Row],[Rep_ID]],Dim_Reps!A:A,Dim_Reps!K:K)</f>
        <v>EUR</v>
      </c>
      <c r="N4286" s="33">
        <f>(_xlfn.XLOOKUP(Pipeline_tbl[[#This Row],[Rate_Code_Generalized]],Lookups!A:A,Lookups!B:B))*Pipeline_tbl[[#This Row],[Pipeline_Amount_USD]]</f>
        <v>9700</v>
      </c>
      <c r="O4286" t="str">
        <f>_xlfn.XLOOKUP(Pipeline_tbl[[#This Row],[Rep_ID]],Dim_Reps!A:A,Dim_Reps!B:B)</f>
        <v>Olivia Cohen</v>
      </c>
      <c r="P4286" t="str">
        <f>_xlfn.XLOOKUP(Pipeline_tbl[[#This Row],[Rep_ID]],Dim_Reps!A:A,Dim_Reps!C:C)</f>
        <v>Mid-Market AE</v>
      </c>
      <c r="Q4286" t="str">
        <f>_xlfn.XLOOKUP(Pipeline_tbl[[#This Row],[Rep_ID]],Dim_Reps!A:A,Dim_Reps!D:D)</f>
        <v>Mid-Market</v>
      </c>
      <c r="R4286" t="str">
        <f>_xlfn.XLOOKUP(Pipeline_tbl[[#This Row],[Rep_ID]],Dim_Reps!A:A,Dim_Reps!E:E)</f>
        <v>APAC</v>
      </c>
      <c r="S4286" t="str">
        <f>_xlfn.XLOOKUP(Pipeline_tbl[[#This Row],[Created_Date]],Dim_Date!A:A,Dim_Date!H:H)</f>
        <v>Jan 2025</v>
      </c>
      <c r="T4286" t="str">
        <f>IF(Pipeline_tbl[[#This Row],[Closed_Date]]=0,"",(_xlfn.XLOOKUP(Pipeline_tbl[[#This Row],[Closed_Date]],Dim_Date!A:A,Dim_Date!H:H)))</f>
        <v>Feb 2025</v>
      </c>
      <c r="U4286">
        <f>IF(Pipeline_tbl[[#This Row],[Closed_Date]]=0,"",Pipeline_tbl[[#This Row],[Closed_Date]]-Pipeline_tbl[[#This Row],[Created_Date]])</f>
        <v>39</v>
      </c>
    </row>
    <row r="4287" spans="1:21" ht="15" customHeight="1" x14ac:dyDescent="0.2">
      <c r="A4287" t="s">
        <v>4593</v>
      </c>
      <c r="B4287" t="s">
        <v>241</v>
      </c>
      <c r="C4287" t="s">
        <v>52</v>
      </c>
      <c r="D4287" s="49">
        <v>45679</v>
      </c>
      <c r="E4287" s="49">
        <v>45681</v>
      </c>
      <c r="F4287" s="49">
        <v>45685</v>
      </c>
      <c r="G4287" s="49">
        <v>45690</v>
      </c>
      <c r="H4287" s="49">
        <v>45695</v>
      </c>
      <c r="I4287" s="49">
        <v>45698</v>
      </c>
      <c r="J4287" t="s">
        <v>47</v>
      </c>
      <c r="K4287" s="33">
        <v>4900</v>
      </c>
      <c r="M4287" t="str">
        <f>_xlfn.XLOOKUP(Pipeline_tbl[[#This Row],[Rep_ID]],Dim_Reps!A:A,Dim_Reps!K:K)</f>
        <v>EUR</v>
      </c>
      <c r="N4287" s="33">
        <f>(_xlfn.XLOOKUP(Pipeline_tbl[[#This Row],[Rate_Code_Generalized]],Lookups!A:A,Lookups!B:B))*Pipeline_tbl[[#This Row],[Pipeline_Amount_USD]]</f>
        <v>4900</v>
      </c>
      <c r="O4287" t="str">
        <f>_xlfn.XLOOKUP(Pipeline_tbl[[#This Row],[Rep_ID]],Dim_Reps!A:A,Dim_Reps!B:B)</f>
        <v>Kenji Weber</v>
      </c>
      <c r="P4287" t="str">
        <f>_xlfn.XLOOKUP(Pipeline_tbl[[#This Row],[Rep_ID]],Dim_Reps!A:A,Dim_Reps!C:C)</f>
        <v>SDR / Inside Sales Rep</v>
      </c>
      <c r="Q4287" t="str">
        <f>_xlfn.XLOOKUP(Pipeline_tbl[[#This Row],[Rep_ID]],Dim_Reps!A:A,Dim_Reps!D:D)</f>
        <v>Inside Sales</v>
      </c>
      <c r="R4287" t="str">
        <f>_xlfn.XLOOKUP(Pipeline_tbl[[#This Row],[Rep_ID]],Dim_Reps!A:A,Dim_Reps!E:E)</f>
        <v>APAC</v>
      </c>
      <c r="S4287" t="str">
        <f>_xlfn.XLOOKUP(Pipeline_tbl[[#This Row],[Created_Date]],Dim_Date!A:A,Dim_Date!H:H)</f>
        <v>Jan 2025</v>
      </c>
      <c r="T4287" t="str">
        <f>IF(Pipeline_tbl[[#This Row],[Closed_Date]]=0,"",(_xlfn.XLOOKUP(Pipeline_tbl[[#This Row],[Closed_Date]],Dim_Date!A:A,Dim_Date!H:H)))</f>
        <v>Feb 2025</v>
      </c>
      <c r="U4287">
        <f>IF(Pipeline_tbl[[#This Row],[Closed_Date]]=0,"",Pipeline_tbl[[#This Row],[Closed_Date]]-Pipeline_tbl[[#This Row],[Created_Date]])</f>
        <v>19</v>
      </c>
    </row>
    <row r="4288" spans="1:21" ht="15" customHeight="1" x14ac:dyDescent="0.2">
      <c r="A4288" t="s">
        <v>4594</v>
      </c>
      <c r="B4288" t="s">
        <v>241</v>
      </c>
      <c r="C4288" t="s">
        <v>52</v>
      </c>
      <c r="D4288" s="49">
        <v>45686</v>
      </c>
      <c r="E4288" s="49">
        <v>45688</v>
      </c>
      <c r="F4288" s="49">
        <v>45691</v>
      </c>
      <c r="G4288" s="49">
        <v>45696</v>
      </c>
      <c r="I4288" s="49">
        <v>45703</v>
      </c>
      <c r="J4288" t="s">
        <v>49</v>
      </c>
      <c r="K4288" s="33">
        <v>4500</v>
      </c>
      <c r="L4288" t="s">
        <v>62</v>
      </c>
      <c r="M4288" t="str">
        <f>_xlfn.XLOOKUP(Pipeline_tbl[[#This Row],[Rep_ID]],Dim_Reps!A:A,Dim_Reps!K:K)</f>
        <v>EUR</v>
      </c>
      <c r="N4288" s="33">
        <f>(_xlfn.XLOOKUP(Pipeline_tbl[[#This Row],[Rate_Code_Generalized]],Lookups!A:A,Lookups!B:B))*Pipeline_tbl[[#This Row],[Pipeline_Amount_USD]]</f>
        <v>4500</v>
      </c>
      <c r="O4288" t="str">
        <f>_xlfn.XLOOKUP(Pipeline_tbl[[#This Row],[Rep_ID]],Dim_Reps!A:A,Dim_Reps!B:B)</f>
        <v>Kenji Weber</v>
      </c>
      <c r="P4288" t="str">
        <f>_xlfn.XLOOKUP(Pipeline_tbl[[#This Row],[Rep_ID]],Dim_Reps!A:A,Dim_Reps!C:C)</f>
        <v>SDR / Inside Sales Rep</v>
      </c>
      <c r="Q4288" t="str">
        <f>_xlfn.XLOOKUP(Pipeline_tbl[[#This Row],[Rep_ID]],Dim_Reps!A:A,Dim_Reps!D:D)</f>
        <v>Inside Sales</v>
      </c>
      <c r="R4288" t="str">
        <f>_xlfn.XLOOKUP(Pipeline_tbl[[#This Row],[Rep_ID]],Dim_Reps!A:A,Dim_Reps!E:E)</f>
        <v>APAC</v>
      </c>
      <c r="S4288" t="str">
        <f>_xlfn.XLOOKUP(Pipeline_tbl[[#This Row],[Created_Date]],Dim_Date!A:A,Dim_Date!H:H)</f>
        <v>Jan 2025</v>
      </c>
      <c r="T4288" t="str">
        <f>IF(Pipeline_tbl[[#This Row],[Closed_Date]]=0,"",(_xlfn.XLOOKUP(Pipeline_tbl[[#This Row],[Closed_Date]],Dim_Date!A:A,Dim_Date!H:H)))</f>
        <v>Feb 2025</v>
      </c>
      <c r="U4288">
        <f>IF(Pipeline_tbl[[#This Row],[Closed_Date]]=0,"",Pipeline_tbl[[#This Row],[Closed_Date]]-Pipeline_tbl[[#This Row],[Created_Date]])</f>
        <v>17</v>
      </c>
    </row>
    <row r="4289" spans="1:21" ht="15" customHeight="1" x14ac:dyDescent="0.2">
      <c r="A4289" t="s">
        <v>4595</v>
      </c>
      <c r="B4289" t="s">
        <v>241</v>
      </c>
      <c r="C4289" t="s">
        <v>52</v>
      </c>
      <c r="D4289" s="49">
        <v>45687</v>
      </c>
      <c r="E4289" s="49">
        <v>45689</v>
      </c>
      <c r="F4289" s="49">
        <v>45692</v>
      </c>
      <c r="G4289" s="49">
        <v>45697</v>
      </c>
      <c r="H4289" s="49">
        <v>45701</v>
      </c>
      <c r="I4289" s="49">
        <v>45704</v>
      </c>
      <c r="J4289" t="s">
        <v>47</v>
      </c>
      <c r="K4289" s="33">
        <v>2400</v>
      </c>
      <c r="M4289" t="str">
        <f>_xlfn.XLOOKUP(Pipeline_tbl[[#This Row],[Rep_ID]],Dim_Reps!A:A,Dim_Reps!K:K)</f>
        <v>EUR</v>
      </c>
      <c r="N4289" s="33">
        <f>(_xlfn.XLOOKUP(Pipeline_tbl[[#This Row],[Rate_Code_Generalized]],Lookups!A:A,Lookups!B:B))*Pipeline_tbl[[#This Row],[Pipeline_Amount_USD]]</f>
        <v>2400</v>
      </c>
      <c r="O4289" t="str">
        <f>_xlfn.XLOOKUP(Pipeline_tbl[[#This Row],[Rep_ID]],Dim_Reps!A:A,Dim_Reps!B:B)</f>
        <v>Kenji Weber</v>
      </c>
      <c r="P4289" t="str">
        <f>_xlfn.XLOOKUP(Pipeline_tbl[[#This Row],[Rep_ID]],Dim_Reps!A:A,Dim_Reps!C:C)</f>
        <v>SDR / Inside Sales Rep</v>
      </c>
      <c r="Q4289" t="str">
        <f>_xlfn.XLOOKUP(Pipeline_tbl[[#This Row],[Rep_ID]],Dim_Reps!A:A,Dim_Reps!D:D)</f>
        <v>Inside Sales</v>
      </c>
      <c r="R4289" t="str">
        <f>_xlfn.XLOOKUP(Pipeline_tbl[[#This Row],[Rep_ID]],Dim_Reps!A:A,Dim_Reps!E:E)</f>
        <v>APAC</v>
      </c>
      <c r="S4289" t="str">
        <f>_xlfn.XLOOKUP(Pipeline_tbl[[#This Row],[Created_Date]],Dim_Date!A:A,Dim_Date!H:H)</f>
        <v>Jan 2025</v>
      </c>
      <c r="T4289" t="str">
        <f>IF(Pipeline_tbl[[#This Row],[Closed_Date]]=0,"",(_xlfn.XLOOKUP(Pipeline_tbl[[#This Row],[Closed_Date]],Dim_Date!A:A,Dim_Date!H:H)))</f>
        <v>Feb 2025</v>
      </c>
      <c r="U4289">
        <f>IF(Pipeline_tbl[[#This Row],[Closed_Date]]=0,"",Pipeline_tbl[[#This Row],[Closed_Date]]-Pipeline_tbl[[#This Row],[Created_Date]])</f>
        <v>17</v>
      </c>
    </row>
    <row r="4290" spans="1:21" ht="15" customHeight="1" x14ac:dyDescent="0.2">
      <c r="A4290" t="s">
        <v>4596</v>
      </c>
      <c r="B4290" t="s">
        <v>241</v>
      </c>
      <c r="C4290" t="s">
        <v>55</v>
      </c>
      <c r="D4290" s="49">
        <v>45688</v>
      </c>
      <c r="E4290" s="49">
        <v>45689</v>
      </c>
      <c r="F4290" s="49">
        <v>45691</v>
      </c>
      <c r="I4290" s="49">
        <v>45699</v>
      </c>
      <c r="J4290" t="s">
        <v>49</v>
      </c>
      <c r="K4290" s="33">
        <v>3000</v>
      </c>
      <c r="L4290" t="s">
        <v>60</v>
      </c>
      <c r="M4290" t="str">
        <f>_xlfn.XLOOKUP(Pipeline_tbl[[#This Row],[Rep_ID]],Dim_Reps!A:A,Dim_Reps!K:K)</f>
        <v>EUR</v>
      </c>
      <c r="N4290" s="33">
        <f>(_xlfn.XLOOKUP(Pipeline_tbl[[#This Row],[Rate_Code_Generalized]],Lookups!A:A,Lookups!B:B))*Pipeline_tbl[[#This Row],[Pipeline_Amount_USD]]</f>
        <v>3000</v>
      </c>
      <c r="O4290" t="str">
        <f>_xlfn.XLOOKUP(Pipeline_tbl[[#This Row],[Rep_ID]],Dim_Reps!A:A,Dim_Reps!B:B)</f>
        <v>Kenji Weber</v>
      </c>
      <c r="P4290" t="str">
        <f>_xlfn.XLOOKUP(Pipeline_tbl[[#This Row],[Rep_ID]],Dim_Reps!A:A,Dim_Reps!C:C)</f>
        <v>SDR / Inside Sales Rep</v>
      </c>
      <c r="Q4290" t="str">
        <f>_xlfn.XLOOKUP(Pipeline_tbl[[#This Row],[Rep_ID]],Dim_Reps!A:A,Dim_Reps!D:D)</f>
        <v>Inside Sales</v>
      </c>
      <c r="R4290" t="str">
        <f>_xlfn.XLOOKUP(Pipeline_tbl[[#This Row],[Rep_ID]],Dim_Reps!A:A,Dim_Reps!E:E)</f>
        <v>APAC</v>
      </c>
      <c r="S4290" t="str">
        <f>_xlfn.XLOOKUP(Pipeline_tbl[[#This Row],[Created_Date]],Dim_Date!A:A,Dim_Date!H:H)</f>
        <v>Jan 2025</v>
      </c>
      <c r="T4290" t="str">
        <f>IF(Pipeline_tbl[[#This Row],[Closed_Date]]=0,"",(_xlfn.XLOOKUP(Pipeline_tbl[[#This Row],[Closed_Date]],Dim_Date!A:A,Dim_Date!H:H)))</f>
        <v>Feb 2025</v>
      </c>
      <c r="U4290">
        <f>IF(Pipeline_tbl[[#This Row],[Closed_Date]]=0,"",Pipeline_tbl[[#This Row],[Closed_Date]]-Pipeline_tbl[[#This Row],[Created_Date]])</f>
        <v>11</v>
      </c>
    </row>
    <row r="4291" spans="1:21" ht="15" customHeight="1" x14ac:dyDescent="0.2">
      <c r="A4291" t="s">
        <v>4597</v>
      </c>
      <c r="B4291" t="s">
        <v>241</v>
      </c>
      <c r="C4291" t="s">
        <v>53</v>
      </c>
      <c r="D4291" s="49">
        <v>45683</v>
      </c>
      <c r="E4291" s="49">
        <v>45685</v>
      </c>
      <c r="F4291" s="49">
        <v>45688</v>
      </c>
      <c r="G4291" s="49">
        <v>45693</v>
      </c>
      <c r="H4291" s="49">
        <v>45697</v>
      </c>
      <c r="I4291" s="49">
        <v>45700</v>
      </c>
      <c r="J4291" t="s">
        <v>49</v>
      </c>
      <c r="K4291" s="33">
        <v>3900</v>
      </c>
      <c r="L4291" t="s">
        <v>63</v>
      </c>
      <c r="M4291" t="str">
        <f>_xlfn.XLOOKUP(Pipeline_tbl[[#This Row],[Rep_ID]],Dim_Reps!A:A,Dim_Reps!K:K)</f>
        <v>EUR</v>
      </c>
      <c r="N4291" s="33">
        <f>(_xlfn.XLOOKUP(Pipeline_tbl[[#This Row],[Rate_Code_Generalized]],Lookups!A:A,Lookups!B:B))*Pipeline_tbl[[#This Row],[Pipeline_Amount_USD]]</f>
        <v>3900</v>
      </c>
      <c r="O4291" t="str">
        <f>_xlfn.XLOOKUP(Pipeline_tbl[[#This Row],[Rep_ID]],Dim_Reps!A:A,Dim_Reps!B:B)</f>
        <v>Kenji Weber</v>
      </c>
      <c r="P4291" t="str">
        <f>_xlfn.XLOOKUP(Pipeline_tbl[[#This Row],[Rep_ID]],Dim_Reps!A:A,Dim_Reps!C:C)</f>
        <v>SDR / Inside Sales Rep</v>
      </c>
      <c r="Q4291" t="str">
        <f>_xlfn.XLOOKUP(Pipeline_tbl[[#This Row],[Rep_ID]],Dim_Reps!A:A,Dim_Reps!D:D)</f>
        <v>Inside Sales</v>
      </c>
      <c r="R4291" t="str">
        <f>_xlfn.XLOOKUP(Pipeline_tbl[[#This Row],[Rep_ID]],Dim_Reps!A:A,Dim_Reps!E:E)</f>
        <v>APAC</v>
      </c>
      <c r="S4291" t="str">
        <f>_xlfn.XLOOKUP(Pipeline_tbl[[#This Row],[Created_Date]],Dim_Date!A:A,Dim_Date!H:H)</f>
        <v>Jan 2025</v>
      </c>
      <c r="T4291" t="str">
        <f>IF(Pipeline_tbl[[#This Row],[Closed_Date]]=0,"",(_xlfn.XLOOKUP(Pipeline_tbl[[#This Row],[Closed_Date]],Dim_Date!A:A,Dim_Date!H:H)))</f>
        <v>Feb 2025</v>
      </c>
      <c r="U4291">
        <f>IF(Pipeline_tbl[[#This Row],[Closed_Date]]=0,"",Pipeline_tbl[[#This Row],[Closed_Date]]-Pipeline_tbl[[#This Row],[Created_Date]])</f>
        <v>17</v>
      </c>
    </row>
    <row r="4292" spans="1:21" ht="15" customHeight="1" x14ac:dyDescent="0.2">
      <c r="A4292" t="s">
        <v>4598</v>
      </c>
      <c r="B4292" t="s">
        <v>241</v>
      </c>
      <c r="C4292" t="s">
        <v>52</v>
      </c>
      <c r="D4292" s="49">
        <v>45685</v>
      </c>
      <c r="E4292" s="49">
        <v>45687</v>
      </c>
      <c r="F4292" s="49">
        <v>45692</v>
      </c>
      <c r="G4292" s="49">
        <v>45699</v>
      </c>
      <c r="H4292" s="49">
        <v>45705</v>
      </c>
      <c r="I4292" s="49">
        <v>45708</v>
      </c>
      <c r="J4292" t="s">
        <v>47</v>
      </c>
      <c r="K4292" s="33">
        <v>2200</v>
      </c>
      <c r="M4292" t="str">
        <f>_xlfn.XLOOKUP(Pipeline_tbl[[#This Row],[Rep_ID]],Dim_Reps!A:A,Dim_Reps!K:K)</f>
        <v>EUR</v>
      </c>
      <c r="N4292" s="33">
        <f>(_xlfn.XLOOKUP(Pipeline_tbl[[#This Row],[Rate_Code_Generalized]],Lookups!A:A,Lookups!B:B))*Pipeline_tbl[[#This Row],[Pipeline_Amount_USD]]</f>
        <v>2200</v>
      </c>
      <c r="O4292" t="str">
        <f>_xlfn.XLOOKUP(Pipeline_tbl[[#This Row],[Rep_ID]],Dim_Reps!A:A,Dim_Reps!B:B)</f>
        <v>Kenji Weber</v>
      </c>
      <c r="P4292" t="str">
        <f>_xlfn.XLOOKUP(Pipeline_tbl[[#This Row],[Rep_ID]],Dim_Reps!A:A,Dim_Reps!C:C)</f>
        <v>SDR / Inside Sales Rep</v>
      </c>
      <c r="Q4292" t="str">
        <f>_xlfn.XLOOKUP(Pipeline_tbl[[#This Row],[Rep_ID]],Dim_Reps!A:A,Dim_Reps!D:D)</f>
        <v>Inside Sales</v>
      </c>
      <c r="R4292" t="str">
        <f>_xlfn.XLOOKUP(Pipeline_tbl[[#This Row],[Rep_ID]],Dim_Reps!A:A,Dim_Reps!E:E)</f>
        <v>APAC</v>
      </c>
      <c r="S4292" t="str">
        <f>_xlfn.XLOOKUP(Pipeline_tbl[[#This Row],[Created_Date]],Dim_Date!A:A,Dim_Date!H:H)</f>
        <v>Jan 2025</v>
      </c>
      <c r="T4292" t="str">
        <f>IF(Pipeline_tbl[[#This Row],[Closed_Date]]=0,"",(_xlfn.XLOOKUP(Pipeline_tbl[[#This Row],[Closed_Date]],Dim_Date!A:A,Dim_Date!H:H)))</f>
        <v>Feb 2025</v>
      </c>
      <c r="U4292">
        <f>IF(Pipeline_tbl[[#This Row],[Closed_Date]]=0,"",Pipeline_tbl[[#This Row],[Closed_Date]]-Pipeline_tbl[[#This Row],[Created_Date]])</f>
        <v>23</v>
      </c>
    </row>
    <row r="4293" spans="1:21" ht="15" customHeight="1" x14ac:dyDescent="0.2">
      <c r="A4293" t="s">
        <v>4599</v>
      </c>
      <c r="B4293" t="s">
        <v>241</v>
      </c>
      <c r="C4293" t="s">
        <v>55</v>
      </c>
      <c r="D4293" s="49">
        <v>45681</v>
      </c>
      <c r="E4293" s="49">
        <v>45682</v>
      </c>
      <c r="F4293" s="49">
        <v>45684</v>
      </c>
      <c r="G4293" s="49">
        <v>45687</v>
      </c>
      <c r="H4293" s="49">
        <v>45689</v>
      </c>
      <c r="I4293" s="49">
        <v>45691</v>
      </c>
      <c r="J4293" t="s">
        <v>47</v>
      </c>
      <c r="K4293" s="33">
        <v>2300</v>
      </c>
      <c r="M4293" t="str">
        <f>_xlfn.XLOOKUP(Pipeline_tbl[[#This Row],[Rep_ID]],Dim_Reps!A:A,Dim_Reps!K:K)</f>
        <v>EUR</v>
      </c>
      <c r="N4293" s="33">
        <f>(_xlfn.XLOOKUP(Pipeline_tbl[[#This Row],[Rate_Code_Generalized]],Lookups!A:A,Lookups!B:B))*Pipeline_tbl[[#This Row],[Pipeline_Amount_USD]]</f>
        <v>2300</v>
      </c>
      <c r="O4293" t="str">
        <f>_xlfn.XLOOKUP(Pipeline_tbl[[#This Row],[Rep_ID]],Dim_Reps!A:A,Dim_Reps!B:B)</f>
        <v>Kenji Weber</v>
      </c>
      <c r="P4293" t="str">
        <f>_xlfn.XLOOKUP(Pipeline_tbl[[#This Row],[Rep_ID]],Dim_Reps!A:A,Dim_Reps!C:C)</f>
        <v>SDR / Inside Sales Rep</v>
      </c>
      <c r="Q4293" t="str">
        <f>_xlfn.XLOOKUP(Pipeline_tbl[[#This Row],[Rep_ID]],Dim_Reps!A:A,Dim_Reps!D:D)</f>
        <v>Inside Sales</v>
      </c>
      <c r="R4293" t="str">
        <f>_xlfn.XLOOKUP(Pipeline_tbl[[#This Row],[Rep_ID]],Dim_Reps!A:A,Dim_Reps!E:E)</f>
        <v>APAC</v>
      </c>
      <c r="S4293" t="str">
        <f>_xlfn.XLOOKUP(Pipeline_tbl[[#This Row],[Created_Date]],Dim_Date!A:A,Dim_Date!H:H)</f>
        <v>Jan 2025</v>
      </c>
      <c r="T4293" t="str">
        <f>IF(Pipeline_tbl[[#This Row],[Closed_Date]]=0,"",(_xlfn.XLOOKUP(Pipeline_tbl[[#This Row],[Closed_Date]],Dim_Date!A:A,Dim_Date!H:H)))</f>
        <v>Feb 2025</v>
      </c>
      <c r="U4293">
        <f>IF(Pipeline_tbl[[#This Row],[Closed_Date]]=0,"",Pipeline_tbl[[#This Row],[Closed_Date]]-Pipeline_tbl[[#This Row],[Created_Date]])</f>
        <v>10</v>
      </c>
    </row>
    <row r="4294" spans="1:21" ht="15" customHeight="1" x14ac:dyDescent="0.2">
      <c r="A4294" t="s">
        <v>4600</v>
      </c>
      <c r="B4294" t="s">
        <v>241</v>
      </c>
      <c r="C4294" t="s">
        <v>52</v>
      </c>
      <c r="D4294" s="49">
        <v>45688</v>
      </c>
      <c r="E4294" s="49">
        <v>45689</v>
      </c>
      <c r="F4294" s="49">
        <v>45692</v>
      </c>
      <c r="G4294" s="49">
        <v>45695</v>
      </c>
      <c r="I4294" s="49">
        <v>45700</v>
      </c>
      <c r="J4294" t="s">
        <v>49</v>
      </c>
      <c r="K4294" s="33">
        <v>3600</v>
      </c>
      <c r="L4294" t="s">
        <v>60</v>
      </c>
      <c r="M4294" t="str">
        <f>_xlfn.XLOOKUP(Pipeline_tbl[[#This Row],[Rep_ID]],Dim_Reps!A:A,Dim_Reps!K:K)</f>
        <v>EUR</v>
      </c>
      <c r="N4294" s="33">
        <f>(_xlfn.XLOOKUP(Pipeline_tbl[[#This Row],[Rate_Code_Generalized]],Lookups!A:A,Lookups!B:B))*Pipeline_tbl[[#This Row],[Pipeline_Amount_USD]]</f>
        <v>3600</v>
      </c>
      <c r="O4294" t="str">
        <f>_xlfn.XLOOKUP(Pipeline_tbl[[#This Row],[Rep_ID]],Dim_Reps!A:A,Dim_Reps!B:B)</f>
        <v>Kenji Weber</v>
      </c>
      <c r="P4294" t="str">
        <f>_xlfn.XLOOKUP(Pipeline_tbl[[#This Row],[Rep_ID]],Dim_Reps!A:A,Dim_Reps!C:C)</f>
        <v>SDR / Inside Sales Rep</v>
      </c>
      <c r="Q4294" t="str">
        <f>_xlfn.XLOOKUP(Pipeline_tbl[[#This Row],[Rep_ID]],Dim_Reps!A:A,Dim_Reps!D:D)</f>
        <v>Inside Sales</v>
      </c>
      <c r="R4294" t="str">
        <f>_xlfn.XLOOKUP(Pipeline_tbl[[#This Row],[Rep_ID]],Dim_Reps!A:A,Dim_Reps!E:E)</f>
        <v>APAC</v>
      </c>
      <c r="S4294" t="str">
        <f>_xlfn.XLOOKUP(Pipeline_tbl[[#This Row],[Created_Date]],Dim_Date!A:A,Dim_Date!H:H)</f>
        <v>Jan 2025</v>
      </c>
      <c r="T4294" t="str">
        <f>IF(Pipeline_tbl[[#This Row],[Closed_Date]]=0,"",(_xlfn.XLOOKUP(Pipeline_tbl[[#This Row],[Closed_Date]],Dim_Date!A:A,Dim_Date!H:H)))</f>
        <v>Feb 2025</v>
      </c>
      <c r="U4294">
        <f>IF(Pipeline_tbl[[#This Row],[Closed_Date]]=0,"",Pipeline_tbl[[#This Row],[Closed_Date]]-Pipeline_tbl[[#This Row],[Created_Date]])</f>
        <v>12</v>
      </c>
    </row>
    <row r="4295" spans="1:21" ht="15" customHeight="1" x14ac:dyDescent="0.2">
      <c r="A4295" t="s">
        <v>4601</v>
      </c>
      <c r="B4295" t="s">
        <v>241</v>
      </c>
      <c r="C4295" t="s">
        <v>55</v>
      </c>
      <c r="D4295" s="49">
        <v>45688</v>
      </c>
      <c r="E4295" s="49">
        <v>45690</v>
      </c>
      <c r="F4295" s="49">
        <v>45695</v>
      </c>
      <c r="I4295" s="49">
        <v>45712</v>
      </c>
      <c r="J4295" t="s">
        <v>49</v>
      </c>
      <c r="K4295" s="33">
        <v>5200</v>
      </c>
      <c r="L4295" t="s">
        <v>60</v>
      </c>
      <c r="M4295" t="str">
        <f>_xlfn.XLOOKUP(Pipeline_tbl[[#This Row],[Rep_ID]],Dim_Reps!A:A,Dim_Reps!K:K)</f>
        <v>EUR</v>
      </c>
      <c r="N4295" s="33">
        <f>(_xlfn.XLOOKUP(Pipeline_tbl[[#This Row],[Rate_Code_Generalized]],Lookups!A:A,Lookups!B:B))*Pipeline_tbl[[#This Row],[Pipeline_Amount_USD]]</f>
        <v>5200</v>
      </c>
      <c r="O4295" t="str">
        <f>_xlfn.XLOOKUP(Pipeline_tbl[[#This Row],[Rep_ID]],Dim_Reps!A:A,Dim_Reps!B:B)</f>
        <v>Kenji Weber</v>
      </c>
      <c r="P4295" t="str">
        <f>_xlfn.XLOOKUP(Pipeline_tbl[[#This Row],[Rep_ID]],Dim_Reps!A:A,Dim_Reps!C:C)</f>
        <v>SDR / Inside Sales Rep</v>
      </c>
      <c r="Q4295" t="str">
        <f>_xlfn.XLOOKUP(Pipeline_tbl[[#This Row],[Rep_ID]],Dim_Reps!A:A,Dim_Reps!D:D)</f>
        <v>Inside Sales</v>
      </c>
      <c r="R4295" t="str">
        <f>_xlfn.XLOOKUP(Pipeline_tbl[[#This Row],[Rep_ID]],Dim_Reps!A:A,Dim_Reps!E:E)</f>
        <v>APAC</v>
      </c>
      <c r="S4295" t="str">
        <f>_xlfn.XLOOKUP(Pipeline_tbl[[#This Row],[Created_Date]],Dim_Date!A:A,Dim_Date!H:H)</f>
        <v>Jan 2025</v>
      </c>
      <c r="T4295" t="str">
        <f>IF(Pipeline_tbl[[#This Row],[Closed_Date]]=0,"",(_xlfn.XLOOKUP(Pipeline_tbl[[#This Row],[Closed_Date]],Dim_Date!A:A,Dim_Date!H:H)))</f>
        <v>Feb 2025</v>
      </c>
      <c r="U4295">
        <f>IF(Pipeline_tbl[[#This Row],[Closed_Date]]=0,"",Pipeline_tbl[[#This Row],[Closed_Date]]-Pipeline_tbl[[#This Row],[Created_Date]])</f>
        <v>24</v>
      </c>
    </row>
    <row r="4296" spans="1:21" ht="15" customHeight="1" x14ac:dyDescent="0.2">
      <c r="A4296" t="s">
        <v>4602</v>
      </c>
      <c r="B4296" t="s">
        <v>193</v>
      </c>
      <c r="C4296" t="s">
        <v>53</v>
      </c>
      <c r="D4296" s="49">
        <v>45664</v>
      </c>
      <c r="E4296" s="49">
        <v>45665</v>
      </c>
      <c r="F4296" s="49">
        <v>45668</v>
      </c>
      <c r="G4296" s="49">
        <v>45672</v>
      </c>
      <c r="I4296" s="49">
        <v>45678</v>
      </c>
      <c r="J4296" t="s">
        <v>49</v>
      </c>
      <c r="K4296" s="33">
        <v>5800</v>
      </c>
      <c r="L4296" t="s">
        <v>63</v>
      </c>
      <c r="M4296" t="str">
        <f>_xlfn.XLOOKUP(Pipeline_tbl[[#This Row],[Rep_ID]],Dim_Reps!A:A,Dim_Reps!K:K)</f>
        <v>USD</v>
      </c>
      <c r="N4296" s="33">
        <f>(_xlfn.XLOOKUP(Pipeline_tbl[[#This Row],[Rate_Code_Generalized]],Lookups!A:A,Lookups!B:B))*Pipeline_tbl[[#This Row],[Pipeline_Amount_USD]]</f>
        <v>6752.94</v>
      </c>
      <c r="O4296" t="str">
        <f>_xlfn.XLOOKUP(Pipeline_tbl[[#This Row],[Rep_ID]],Dim_Reps!A:A,Dim_Reps!B:B)</f>
        <v>Karim Rossi</v>
      </c>
      <c r="P4296" t="str">
        <f>_xlfn.XLOOKUP(Pipeline_tbl[[#This Row],[Rep_ID]],Dim_Reps!A:A,Dim_Reps!C:C)</f>
        <v>SDR / Inside Sales Rep</v>
      </c>
      <c r="Q4296" t="str">
        <f>_xlfn.XLOOKUP(Pipeline_tbl[[#This Row],[Rep_ID]],Dim_Reps!A:A,Dim_Reps!D:D)</f>
        <v>Inside Sales</v>
      </c>
      <c r="R4296" t="str">
        <f>_xlfn.XLOOKUP(Pipeline_tbl[[#This Row],[Rep_ID]],Dim_Reps!A:A,Dim_Reps!E:E)</f>
        <v>NAMER</v>
      </c>
      <c r="S4296" t="str">
        <f>_xlfn.XLOOKUP(Pipeline_tbl[[#This Row],[Created_Date]],Dim_Date!A:A,Dim_Date!H:H)</f>
        <v>Jan 2025</v>
      </c>
      <c r="T4296" t="str">
        <f>IF(Pipeline_tbl[[#This Row],[Closed_Date]]=0,"",(_xlfn.XLOOKUP(Pipeline_tbl[[#This Row],[Closed_Date]],Dim_Date!A:A,Dim_Date!H:H)))</f>
        <v>Jan 2025</v>
      </c>
      <c r="U4296">
        <f>IF(Pipeline_tbl[[#This Row],[Closed_Date]]=0,"",Pipeline_tbl[[#This Row],[Closed_Date]]-Pipeline_tbl[[#This Row],[Created_Date]])</f>
        <v>14</v>
      </c>
    </row>
    <row r="4297" spans="1:21" ht="15" customHeight="1" x14ac:dyDescent="0.2">
      <c r="A4297" t="s">
        <v>4603</v>
      </c>
      <c r="B4297" t="s">
        <v>193</v>
      </c>
      <c r="C4297" t="s">
        <v>53</v>
      </c>
      <c r="D4297" s="49">
        <v>45665</v>
      </c>
      <c r="E4297" s="49">
        <v>45667</v>
      </c>
      <c r="F4297" s="49">
        <v>45671</v>
      </c>
      <c r="G4297" s="49">
        <v>45678</v>
      </c>
      <c r="H4297" s="49">
        <v>45683</v>
      </c>
      <c r="I4297" s="49">
        <v>45686</v>
      </c>
      <c r="J4297" t="s">
        <v>49</v>
      </c>
      <c r="K4297" s="33">
        <v>3800</v>
      </c>
      <c r="L4297" t="s">
        <v>62</v>
      </c>
      <c r="M4297" t="str">
        <f>_xlfn.XLOOKUP(Pipeline_tbl[[#This Row],[Rep_ID]],Dim_Reps!A:A,Dim_Reps!K:K)</f>
        <v>USD</v>
      </c>
      <c r="N4297" s="33">
        <f>(_xlfn.XLOOKUP(Pipeline_tbl[[#This Row],[Rate_Code_Generalized]],Lookups!A:A,Lookups!B:B))*Pipeline_tbl[[#This Row],[Pipeline_Amount_USD]]</f>
        <v>4424.3399999999992</v>
      </c>
      <c r="O4297" t="str">
        <f>_xlfn.XLOOKUP(Pipeline_tbl[[#This Row],[Rep_ID]],Dim_Reps!A:A,Dim_Reps!B:B)</f>
        <v>Karim Rossi</v>
      </c>
      <c r="P4297" t="str">
        <f>_xlfn.XLOOKUP(Pipeline_tbl[[#This Row],[Rep_ID]],Dim_Reps!A:A,Dim_Reps!C:C)</f>
        <v>SDR / Inside Sales Rep</v>
      </c>
      <c r="Q4297" t="str">
        <f>_xlfn.XLOOKUP(Pipeline_tbl[[#This Row],[Rep_ID]],Dim_Reps!A:A,Dim_Reps!D:D)</f>
        <v>Inside Sales</v>
      </c>
      <c r="R4297" t="str">
        <f>_xlfn.XLOOKUP(Pipeline_tbl[[#This Row],[Rep_ID]],Dim_Reps!A:A,Dim_Reps!E:E)</f>
        <v>NAMER</v>
      </c>
      <c r="S4297" t="str">
        <f>_xlfn.XLOOKUP(Pipeline_tbl[[#This Row],[Created_Date]],Dim_Date!A:A,Dim_Date!H:H)</f>
        <v>Jan 2025</v>
      </c>
      <c r="T4297" t="str">
        <f>IF(Pipeline_tbl[[#This Row],[Closed_Date]]=0,"",(_xlfn.XLOOKUP(Pipeline_tbl[[#This Row],[Closed_Date]],Dim_Date!A:A,Dim_Date!H:H)))</f>
        <v>Jan 2025</v>
      </c>
      <c r="U4297">
        <f>IF(Pipeline_tbl[[#This Row],[Closed_Date]]=0,"",Pipeline_tbl[[#This Row],[Closed_Date]]-Pipeline_tbl[[#This Row],[Created_Date]])</f>
        <v>21</v>
      </c>
    </row>
    <row r="4298" spans="1:21" ht="15" customHeight="1" x14ac:dyDescent="0.2">
      <c r="A4298" t="s">
        <v>4604</v>
      </c>
      <c r="B4298" t="s">
        <v>193</v>
      </c>
      <c r="C4298" t="s">
        <v>53</v>
      </c>
      <c r="D4298" s="49">
        <v>45661</v>
      </c>
      <c r="E4298" s="49">
        <v>45663</v>
      </c>
      <c r="F4298" s="49">
        <v>45667</v>
      </c>
      <c r="G4298" s="49">
        <v>45672</v>
      </c>
      <c r="H4298" s="49">
        <v>45677</v>
      </c>
      <c r="I4298" s="49">
        <v>45680</v>
      </c>
      <c r="J4298" t="s">
        <v>47</v>
      </c>
      <c r="K4298" s="33">
        <v>2000</v>
      </c>
      <c r="M4298" t="str">
        <f>_xlfn.XLOOKUP(Pipeline_tbl[[#This Row],[Rep_ID]],Dim_Reps!A:A,Dim_Reps!K:K)</f>
        <v>USD</v>
      </c>
      <c r="N4298" s="33">
        <f>(_xlfn.XLOOKUP(Pipeline_tbl[[#This Row],[Rate_Code_Generalized]],Lookups!A:A,Lookups!B:B))*Pipeline_tbl[[#This Row],[Pipeline_Amount_USD]]</f>
        <v>2328.6</v>
      </c>
      <c r="O4298" t="str">
        <f>_xlfn.XLOOKUP(Pipeline_tbl[[#This Row],[Rep_ID]],Dim_Reps!A:A,Dim_Reps!B:B)</f>
        <v>Karim Rossi</v>
      </c>
      <c r="P4298" t="str">
        <f>_xlfn.XLOOKUP(Pipeline_tbl[[#This Row],[Rep_ID]],Dim_Reps!A:A,Dim_Reps!C:C)</f>
        <v>SDR / Inside Sales Rep</v>
      </c>
      <c r="Q4298" t="str">
        <f>_xlfn.XLOOKUP(Pipeline_tbl[[#This Row],[Rep_ID]],Dim_Reps!A:A,Dim_Reps!D:D)</f>
        <v>Inside Sales</v>
      </c>
      <c r="R4298" t="str">
        <f>_xlfn.XLOOKUP(Pipeline_tbl[[#This Row],[Rep_ID]],Dim_Reps!A:A,Dim_Reps!E:E)</f>
        <v>NAMER</v>
      </c>
      <c r="S4298" t="str">
        <f>_xlfn.XLOOKUP(Pipeline_tbl[[#This Row],[Created_Date]],Dim_Date!A:A,Dim_Date!H:H)</f>
        <v>Jan 2025</v>
      </c>
      <c r="T4298" t="str">
        <f>IF(Pipeline_tbl[[#This Row],[Closed_Date]]=0,"",(_xlfn.XLOOKUP(Pipeline_tbl[[#This Row],[Closed_Date]],Dim_Date!A:A,Dim_Date!H:H)))</f>
        <v>Jan 2025</v>
      </c>
      <c r="U4298">
        <f>IF(Pipeline_tbl[[#This Row],[Closed_Date]]=0,"",Pipeline_tbl[[#This Row],[Closed_Date]]-Pipeline_tbl[[#This Row],[Created_Date]])</f>
        <v>19</v>
      </c>
    </row>
    <row r="4299" spans="1:21" ht="15" customHeight="1" x14ac:dyDescent="0.2">
      <c r="A4299" t="s">
        <v>4605</v>
      </c>
      <c r="B4299" t="s">
        <v>196</v>
      </c>
      <c r="C4299" t="s">
        <v>52</v>
      </c>
      <c r="D4299" s="49">
        <v>45663</v>
      </c>
      <c r="E4299" s="49">
        <v>45665</v>
      </c>
      <c r="F4299" s="49">
        <v>45669</v>
      </c>
      <c r="G4299" s="49">
        <v>45674</v>
      </c>
      <c r="H4299" s="49">
        <v>45679</v>
      </c>
      <c r="I4299" s="49">
        <v>45682</v>
      </c>
      <c r="J4299" t="s">
        <v>49</v>
      </c>
      <c r="K4299" s="33">
        <v>5100</v>
      </c>
      <c r="L4299" t="s">
        <v>62</v>
      </c>
      <c r="M4299" t="str">
        <f>_xlfn.XLOOKUP(Pipeline_tbl[[#This Row],[Rep_ID]],Dim_Reps!A:A,Dim_Reps!K:K)</f>
        <v>EUR</v>
      </c>
      <c r="N4299" s="33">
        <f>(_xlfn.XLOOKUP(Pipeline_tbl[[#This Row],[Rate_Code_Generalized]],Lookups!A:A,Lookups!B:B))*Pipeline_tbl[[#This Row],[Pipeline_Amount_USD]]</f>
        <v>5100</v>
      </c>
      <c r="O4299" t="str">
        <f>_xlfn.XLOOKUP(Pipeline_tbl[[#This Row],[Rep_ID]],Dim_Reps!A:A,Dim_Reps!B:B)</f>
        <v>Alex Okafor</v>
      </c>
      <c r="P4299" t="str">
        <f>_xlfn.XLOOKUP(Pipeline_tbl[[#This Row],[Rep_ID]],Dim_Reps!A:A,Dim_Reps!C:C)</f>
        <v>SDR / Inside Sales Rep</v>
      </c>
      <c r="Q4299" t="str">
        <f>_xlfn.XLOOKUP(Pipeline_tbl[[#This Row],[Rep_ID]],Dim_Reps!A:A,Dim_Reps!D:D)</f>
        <v>Inside Sales</v>
      </c>
      <c r="R4299" t="str">
        <f>_xlfn.XLOOKUP(Pipeline_tbl[[#This Row],[Rep_ID]],Dim_Reps!A:A,Dim_Reps!E:E)</f>
        <v>EMEA</v>
      </c>
      <c r="S4299" t="str">
        <f>_xlfn.XLOOKUP(Pipeline_tbl[[#This Row],[Created_Date]],Dim_Date!A:A,Dim_Date!H:H)</f>
        <v>Jan 2025</v>
      </c>
      <c r="T4299" t="str">
        <f>IF(Pipeline_tbl[[#This Row],[Closed_Date]]=0,"",(_xlfn.XLOOKUP(Pipeline_tbl[[#This Row],[Closed_Date]],Dim_Date!A:A,Dim_Date!H:H)))</f>
        <v>Jan 2025</v>
      </c>
      <c r="U4299">
        <f>IF(Pipeline_tbl[[#This Row],[Closed_Date]]=0,"",Pipeline_tbl[[#This Row],[Closed_Date]]-Pipeline_tbl[[#This Row],[Created_Date]])</f>
        <v>19</v>
      </c>
    </row>
    <row r="4300" spans="1:21" ht="15" customHeight="1" x14ac:dyDescent="0.2">
      <c r="A4300" t="s">
        <v>4606</v>
      </c>
      <c r="B4300" t="s">
        <v>196</v>
      </c>
      <c r="C4300" t="s">
        <v>54</v>
      </c>
      <c r="D4300" s="49">
        <v>45662</v>
      </c>
      <c r="E4300" s="49">
        <v>45663</v>
      </c>
      <c r="F4300" s="49">
        <v>45666</v>
      </c>
      <c r="G4300" s="49">
        <v>45670</v>
      </c>
      <c r="H4300" s="49">
        <v>45674</v>
      </c>
      <c r="I4300" s="49">
        <v>45676</v>
      </c>
      <c r="J4300" t="s">
        <v>49</v>
      </c>
      <c r="K4300" s="33">
        <v>6600</v>
      </c>
      <c r="L4300" t="s">
        <v>61</v>
      </c>
      <c r="M4300" t="str">
        <f>_xlfn.XLOOKUP(Pipeline_tbl[[#This Row],[Rep_ID]],Dim_Reps!A:A,Dim_Reps!K:K)</f>
        <v>EUR</v>
      </c>
      <c r="N4300" s="33">
        <f>(_xlfn.XLOOKUP(Pipeline_tbl[[#This Row],[Rate_Code_Generalized]],Lookups!A:A,Lookups!B:B))*Pipeline_tbl[[#This Row],[Pipeline_Amount_USD]]</f>
        <v>6600</v>
      </c>
      <c r="O4300" t="str">
        <f>_xlfn.XLOOKUP(Pipeline_tbl[[#This Row],[Rep_ID]],Dim_Reps!A:A,Dim_Reps!B:B)</f>
        <v>Alex Okafor</v>
      </c>
      <c r="P4300" t="str">
        <f>_xlfn.XLOOKUP(Pipeline_tbl[[#This Row],[Rep_ID]],Dim_Reps!A:A,Dim_Reps!C:C)</f>
        <v>SDR / Inside Sales Rep</v>
      </c>
      <c r="Q4300" t="str">
        <f>_xlfn.XLOOKUP(Pipeline_tbl[[#This Row],[Rep_ID]],Dim_Reps!A:A,Dim_Reps!D:D)</f>
        <v>Inside Sales</v>
      </c>
      <c r="R4300" t="str">
        <f>_xlfn.XLOOKUP(Pipeline_tbl[[#This Row],[Rep_ID]],Dim_Reps!A:A,Dim_Reps!E:E)</f>
        <v>EMEA</v>
      </c>
      <c r="S4300" t="str">
        <f>_xlfn.XLOOKUP(Pipeline_tbl[[#This Row],[Created_Date]],Dim_Date!A:A,Dim_Date!H:H)</f>
        <v>Jan 2025</v>
      </c>
      <c r="T4300" t="str">
        <f>IF(Pipeline_tbl[[#This Row],[Closed_Date]]=0,"",(_xlfn.XLOOKUP(Pipeline_tbl[[#This Row],[Closed_Date]],Dim_Date!A:A,Dim_Date!H:H)))</f>
        <v>Jan 2025</v>
      </c>
      <c r="U4300">
        <f>IF(Pipeline_tbl[[#This Row],[Closed_Date]]=0,"",Pipeline_tbl[[#This Row],[Closed_Date]]-Pipeline_tbl[[#This Row],[Created_Date]])</f>
        <v>14</v>
      </c>
    </row>
    <row r="4301" spans="1:21" ht="15" customHeight="1" x14ac:dyDescent="0.2">
      <c r="A4301" t="s">
        <v>4607</v>
      </c>
      <c r="B4301" t="s">
        <v>199</v>
      </c>
      <c r="C4301" t="s">
        <v>53</v>
      </c>
      <c r="D4301" s="49">
        <v>45664</v>
      </c>
      <c r="E4301" s="49">
        <v>45665</v>
      </c>
      <c r="F4301" s="49">
        <v>45668</v>
      </c>
      <c r="G4301" s="49">
        <v>45672</v>
      </c>
      <c r="H4301" s="49">
        <v>45676</v>
      </c>
      <c r="I4301" s="49">
        <v>45678</v>
      </c>
      <c r="J4301" t="s">
        <v>49</v>
      </c>
      <c r="K4301" s="33">
        <v>1500</v>
      </c>
      <c r="L4301" t="s">
        <v>64</v>
      </c>
      <c r="M4301" t="str">
        <f>_xlfn.XLOOKUP(Pipeline_tbl[[#This Row],[Rep_ID]],Dim_Reps!A:A,Dim_Reps!K:K)</f>
        <v>EUR</v>
      </c>
      <c r="N4301" s="33">
        <f>(_xlfn.XLOOKUP(Pipeline_tbl[[#This Row],[Rate_Code_Generalized]],Lookups!A:A,Lookups!B:B))*Pipeline_tbl[[#This Row],[Pipeline_Amount_USD]]</f>
        <v>1500</v>
      </c>
      <c r="O4301" t="str">
        <f>_xlfn.XLOOKUP(Pipeline_tbl[[#This Row],[Rep_ID]],Dim_Reps!A:A,Dim_Reps!B:B)</f>
        <v>Lucas Okafor</v>
      </c>
      <c r="P4301" t="str">
        <f>_xlfn.XLOOKUP(Pipeline_tbl[[#This Row],[Rep_ID]],Dim_Reps!A:A,Dim_Reps!C:C)</f>
        <v>SDR / Inside Sales Rep</v>
      </c>
      <c r="Q4301" t="str">
        <f>_xlfn.XLOOKUP(Pipeline_tbl[[#This Row],[Rep_ID]],Dim_Reps!A:A,Dim_Reps!D:D)</f>
        <v>Inside Sales</v>
      </c>
      <c r="R4301" t="str">
        <f>_xlfn.XLOOKUP(Pipeline_tbl[[#This Row],[Rep_ID]],Dim_Reps!A:A,Dim_Reps!E:E)</f>
        <v>APAC</v>
      </c>
      <c r="S4301" t="str">
        <f>_xlfn.XLOOKUP(Pipeline_tbl[[#This Row],[Created_Date]],Dim_Date!A:A,Dim_Date!H:H)</f>
        <v>Jan 2025</v>
      </c>
      <c r="T4301" t="str">
        <f>IF(Pipeline_tbl[[#This Row],[Closed_Date]]=0,"",(_xlfn.XLOOKUP(Pipeline_tbl[[#This Row],[Closed_Date]],Dim_Date!A:A,Dim_Date!H:H)))</f>
        <v>Jan 2025</v>
      </c>
      <c r="U4301">
        <f>IF(Pipeline_tbl[[#This Row],[Closed_Date]]=0,"",Pipeline_tbl[[#This Row],[Closed_Date]]-Pipeline_tbl[[#This Row],[Created_Date]])</f>
        <v>14</v>
      </c>
    </row>
    <row r="4302" spans="1:21" ht="15" customHeight="1" x14ac:dyDescent="0.2">
      <c r="A4302" t="s">
        <v>4608</v>
      </c>
      <c r="B4302" t="s">
        <v>199</v>
      </c>
      <c r="C4302" t="s">
        <v>52</v>
      </c>
      <c r="D4302" s="49">
        <v>45664</v>
      </c>
      <c r="E4302" s="49">
        <v>45666</v>
      </c>
      <c r="F4302" s="49">
        <v>45670</v>
      </c>
      <c r="G4302" s="49">
        <v>45677</v>
      </c>
      <c r="H4302" s="49">
        <v>45682</v>
      </c>
      <c r="I4302" s="49">
        <v>45685</v>
      </c>
      <c r="J4302" t="s">
        <v>47</v>
      </c>
      <c r="K4302" s="33">
        <v>4100</v>
      </c>
      <c r="M4302" t="str">
        <f>_xlfn.XLOOKUP(Pipeline_tbl[[#This Row],[Rep_ID]],Dim_Reps!A:A,Dim_Reps!K:K)</f>
        <v>EUR</v>
      </c>
      <c r="N4302" s="33">
        <f>(_xlfn.XLOOKUP(Pipeline_tbl[[#This Row],[Rate_Code_Generalized]],Lookups!A:A,Lookups!B:B))*Pipeline_tbl[[#This Row],[Pipeline_Amount_USD]]</f>
        <v>4100</v>
      </c>
      <c r="O4302" t="str">
        <f>_xlfn.XLOOKUP(Pipeline_tbl[[#This Row],[Rep_ID]],Dim_Reps!A:A,Dim_Reps!B:B)</f>
        <v>Lucas Okafor</v>
      </c>
      <c r="P4302" t="str">
        <f>_xlfn.XLOOKUP(Pipeline_tbl[[#This Row],[Rep_ID]],Dim_Reps!A:A,Dim_Reps!C:C)</f>
        <v>SDR / Inside Sales Rep</v>
      </c>
      <c r="Q4302" t="str">
        <f>_xlfn.XLOOKUP(Pipeline_tbl[[#This Row],[Rep_ID]],Dim_Reps!A:A,Dim_Reps!D:D)</f>
        <v>Inside Sales</v>
      </c>
      <c r="R4302" t="str">
        <f>_xlfn.XLOOKUP(Pipeline_tbl[[#This Row],[Rep_ID]],Dim_Reps!A:A,Dim_Reps!E:E)</f>
        <v>APAC</v>
      </c>
      <c r="S4302" t="str">
        <f>_xlfn.XLOOKUP(Pipeline_tbl[[#This Row],[Created_Date]],Dim_Date!A:A,Dim_Date!H:H)</f>
        <v>Jan 2025</v>
      </c>
      <c r="T4302" t="str">
        <f>IF(Pipeline_tbl[[#This Row],[Closed_Date]]=0,"",(_xlfn.XLOOKUP(Pipeline_tbl[[#This Row],[Closed_Date]],Dim_Date!A:A,Dim_Date!H:H)))</f>
        <v>Jan 2025</v>
      </c>
      <c r="U4302">
        <f>IF(Pipeline_tbl[[#This Row],[Closed_Date]]=0,"",Pipeline_tbl[[#This Row],[Closed_Date]]-Pipeline_tbl[[#This Row],[Created_Date]])</f>
        <v>21</v>
      </c>
    </row>
    <row r="4303" spans="1:21" ht="15" customHeight="1" x14ac:dyDescent="0.2">
      <c r="A4303" t="s">
        <v>4609</v>
      </c>
      <c r="B4303" t="s">
        <v>203</v>
      </c>
      <c r="C4303" t="s">
        <v>52</v>
      </c>
      <c r="D4303" s="49">
        <v>45671</v>
      </c>
      <c r="E4303" s="49">
        <v>45673</v>
      </c>
      <c r="I4303" s="49">
        <v>45686</v>
      </c>
      <c r="J4303" t="s">
        <v>49</v>
      </c>
      <c r="K4303" s="33">
        <v>2400</v>
      </c>
      <c r="L4303" t="s">
        <v>61</v>
      </c>
      <c r="M4303" t="str">
        <f>_xlfn.XLOOKUP(Pipeline_tbl[[#This Row],[Rep_ID]],Dim_Reps!A:A,Dim_Reps!K:K)</f>
        <v>EUR</v>
      </c>
      <c r="N4303" s="33">
        <f>(_xlfn.XLOOKUP(Pipeline_tbl[[#This Row],[Rate_Code_Generalized]],Lookups!A:A,Lookups!B:B))*Pipeline_tbl[[#This Row],[Pipeline_Amount_USD]]</f>
        <v>2400</v>
      </c>
      <c r="O4303" t="str">
        <f>_xlfn.XLOOKUP(Pipeline_tbl[[#This Row],[Rep_ID]],Dim_Reps!A:A,Dim_Reps!B:B)</f>
        <v>Riley Haddad</v>
      </c>
      <c r="P4303" t="str">
        <f>_xlfn.XLOOKUP(Pipeline_tbl[[#This Row],[Rep_ID]],Dim_Reps!A:A,Dim_Reps!C:C)</f>
        <v>SDR / Inside Sales Rep</v>
      </c>
      <c r="Q4303" t="str">
        <f>_xlfn.XLOOKUP(Pipeline_tbl[[#This Row],[Rep_ID]],Dim_Reps!A:A,Dim_Reps!D:D)</f>
        <v>Inside Sales</v>
      </c>
      <c r="R4303" t="str">
        <f>_xlfn.XLOOKUP(Pipeline_tbl[[#This Row],[Rep_ID]],Dim_Reps!A:A,Dim_Reps!E:E)</f>
        <v>APAC</v>
      </c>
      <c r="S4303" t="str">
        <f>_xlfn.XLOOKUP(Pipeline_tbl[[#This Row],[Created_Date]],Dim_Date!A:A,Dim_Date!H:H)</f>
        <v>Jan 2025</v>
      </c>
      <c r="T4303" t="str">
        <f>IF(Pipeline_tbl[[#This Row],[Closed_Date]]=0,"",(_xlfn.XLOOKUP(Pipeline_tbl[[#This Row],[Closed_Date]],Dim_Date!A:A,Dim_Date!H:H)))</f>
        <v>Jan 2025</v>
      </c>
      <c r="U4303">
        <f>IF(Pipeline_tbl[[#This Row],[Closed_Date]]=0,"",Pipeline_tbl[[#This Row],[Closed_Date]]-Pipeline_tbl[[#This Row],[Created_Date]])</f>
        <v>15</v>
      </c>
    </row>
    <row r="4304" spans="1:21" ht="15" customHeight="1" x14ac:dyDescent="0.2">
      <c r="A4304" t="s">
        <v>4610</v>
      </c>
      <c r="B4304" t="s">
        <v>203</v>
      </c>
      <c r="C4304" t="s">
        <v>52</v>
      </c>
      <c r="D4304" s="49">
        <v>45662</v>
      </c>
      <c r="E4304" s="49">
        <v>45664</v>
      </c>
      <c r="F4304" s="49">
        <v>45668</v>
      </c>
      <c r="G4304" s="49">
        <v>45674</v>
      </c>
      <c r="I4304" s="49">
        <v>45682</v>
      </c>
      <c r="J4304" t="s">
        <v>49</v>
      </c>
      <c r="K4304" s="33">
        <v>2800</v>
      </c>
      <c r="L4304" t="s">
        <v>61</v>
      </c>
      <c r="M4304" t="str">
        <f>_xlfn.XLOOKUP(Pipeline_tbl[[#This Row],[Rep_ID]],Dim_Reps!A:A,Dim_Reps!K:K)</f>
        <v>EUR</v>
      </c>
      <c r="N4304" s="33">
        <f>(_xlfn.XLOOKUP(Pipeline_tbl[[#This Row],[Rate_Code_Generalized]],Lookups!A:A,Lookups!B:B))*Pipeline_tbl[[#This Row],[Pipeline_Amount_USD]]</f>
        <v>2800</v>
      </c>
      <c r="O4304" t="str">
        <f>_xlfn.XLOOKUP(Pipeline_tbl[[#This Row],[Rep_ID]],Dim_Reps!A:A,Dim_Reps!B:B)</f>
        <v>Riley Haddad</v>
      </c>
      <c r="P4304" t="str">
        <f>_xlfn.XLOOKUP(Pipeline_tbl[[#This Row],[Rep_ID]],Dim_Reps!A:A,Dim_Reps!C:C)</f>
        <v>SDR / Inside Sales Rep</v>
      </c>
      <c r="Q4304" t="str">
        <f>_xlfn.XLOOKUP(Pipeline_tbl[[#This Row],[Rep_ID]],Dim_Reps!A:A,Dim_Reps!D:D)</f>
        <v>Inside Sales</v>
      </c>
      <c r="R4304" t="str">
        <f>_xlfn.XLOOKUP(Pipeline_tbl[[#This Row],[Rep_ID]],Dim_Reps!A:A,Dim_Reps!E:E)</f>
        <v>APAC</v>
      </c>
      <c r="S4304" t="str">
        <f>_xlfn.XLOOKUP(Pipeline_tbl[[#This Row],[Created_Date]],Dim_Date!A:A,Dim_Date!H:H)</f>
        <v>Jan 2025</v>
      </c>
      <c r="T4304" t="str">
        <f>IF(Pipeline_tbl[[#This Row],[Closed_Date]]=0,"",(_xlfn.XLOOKUP(Pipeline_tbl[[#This Row],[Closed_Date]],Dim_Date!A:A,Dim_Date!H:H)))</f>
        <v>Jan 2025</v>
      </c>
      <c r="U4304">
        <f>IF(Pipeline_tbl[[#This Row],[Closed_Date]]=0,"",Pipeline_tbl[[#This Row],[Closed_Date]]-Pipeline_tbl[[#This Row],[Created_Date]])</f>
        <v>20</v>
      </c>
    </row>
    <row r="4305" spans="1:21" ht="15" customHeight="1" x14ac:dyDescent="0.2">
      <c r="A4305" t="s">
        <v>4611</v>
      </c>
      <c r="B4305" t="s">
        <v>203</v>
      </c>
      <c r="C4305" t="s">
        <v>52</v>
      </c>
      <c r="D4305" s="49">
        <v>45665</v>
      </c>
      <c r="E4305" s="49">
        <v>45667</v>
      </c>
      <c r="F4305" s="49">
        <v>45670</v>
      </c>
      <c r="G4305" s="49">
        <v>45675</v>
      </c>
      <c r="H4305" s="49">
        <v>45679</v>
      </c>
      <c r="I4305" s="49">
        <v>45682</v>
      </c>
      <c r="J4305" t="s">
        <v>47</v>
      </c>
      <c r="K4305" s="33">
        <v>3400</v>
      </c>
      <c r="M4305" t="str">
        <f>_xlfn.XLOOKUP(Pipeline_tbl[[#This Row],[Rep_ID]],Dim_Reps!A:A,Dim_Reps!K:K)</f>
        <v>EUR</v>
      </c>
      <c r="N4305" s="33">
        <f>(_xlfn.XLOOKUP(Pipeline_tbl[[#This Row],[Rate_Code_Generalized]],Lookups!A:A,Lookups!B:B))*Pipeline_tbl[[#This Row],[Pipeline_Amount_USD]]</f>
        <v>3400</v>
      </c>
      <c r="O4305" t="str">
        <f>_xlfn.XLOOKUP(Pipeline_tbl[[#This Row],[Rep_ID]],Dim_Reps!A:A,Dim_Reps!B:B)</f>
        <v>Riley Haddad</v>
      </c>
      <c r="P4305" t="str">
        <f>_xlfn.XLOOKUP(Pipeline_tbl[[#This Row],[Rep_ID]],Dim_Reps!A:A,Dim_Reps!C:C)</f>
        <v>SDR / Inside Sales Rep</v>
      </c>
      <c r="Q4305" t="str">
        <f>_xlfn.XLOOKUP(Pipeline_tbl[[#This Row],[Rep_ID]],Dim_Reps!A:A,Dim_Reps!D:D)</f>
        <v>Inside Sales</v>
      </c>
      <c r="R4305" t="str">
        <f>_xlfn.XLOOKUP(Pipeline_tbl[[#This Row],[Rep_ID]],Dim_Reps!A:A,Dim_Reps!E:E)</f>
        <v>APAC</v>
      </c>
      <c r="S4305" t="str">
        <f>_xlfn.XLOOKUP(Pipeline_tbl[[#This Row],[Created_Date]],Dim_Date!A:A,Dim_Date!H:H)</f>
        <v>Jan 2025</v>
      </c>
      <c r="T4305" t="str">
        <f>IF(Pipeline_tbl[[#This Row],[Closed_Date]]=0,"",(_xlfn.XLOOKUP(Pipeline_tbl[[#This Row],[Closed_Date]],Dim_Date!A:A,Dim_Date!H:H)))</f>
        <v>Jan 2025</v>
      </c>
      <c r="U4305">
        <f>IF(Pipeline_tbl[[#This Row],[Closed_Date]]=0,"",Pipeline_tbl[[#This Row],[Closed_Date]]-Pipeline_tbl[[#This Row],[Created_Date]])</f>
        <v>17</v>
      </c>
    </row>
    <row r="4306" spans="1:21" ht="15" customHeight="1" x14ac:dyDescent="0.2">
      <c r="A4306" t="s">
        <v>4612</v>
      </c>
      <c r="B4306" t="s">
        <v>203</v>
      </c>
      <c r="C4306" t="s">
        <v>53</v>
      </c>
      <c r="D4306" s="49">
        <v>45663</v>
      </c>
      <c r="E4306" s="49">
        <v>45665</v>
      </c>
      <c r="F4306" s="49">
        <v>45669</v>
      </c>
      <c r="G4306" s="49">
        <v>45674</v>
      </c>
      <c r="H4306" s="49">
        <v>45679</v>
      </c>
      <c r="I4306" s="49">
        <v>45682</v>
      </c>
      <c r="J4306" t="s">
        <v>49</v>
      </c>
      <c r="K4306" s="33">
        <v>4800</v>
      </c>
      <c r="L4306" t="s">
        <v>61</v>
      </c>
      <c r="M4306" t="str">
        <f>_xlfn.XLOOKUP(Pipeline_tbl[[#This Row],[Rep_ID]],Dim_Reps!A:A,Dim_Reps!K:K)</f>
        <v>EUR</v>
      </c>
      <c r="N4306" s="33">
        <f>(_xlfn.XLOOKUP(Pipeline_tbl[[#This Row],[Rate_Code_Generalized]],Lookups!A:A,Lookups!B:B))*Pipeline_tbl[[#This Row],[Pipeline_Amount_USD]]</f>
        <v>4800</v>
      </c>
      <c r="O4306" t="str">
        <f>_xlfn.XLOOKUP(Pipeline_tbl[[#This Row],[Rep_ID]],Dim_Reps!A:A,Dim_Reps!B:B)</f>
        <v>Riley Haddad</v>
      </c>
      <c r="P4306" t="str">
        <f>_xlfn.XLOOKUP(Pipeline_tbl[[#This Row],[Rep_ID]],Dim_Reps!A:A,Dim_Reps!C:C)</f>
        <v>SDR / Inside Sales Rep</v>
      </c>
      <c r="Q4306" t="str">
        <f>_xlfn.XLOOKUP(Pipeline_tbl[[#This Row],[Rep_ID]],Dim_Reps!A:A,Dim_Reps!D:D)</f>
        <v>Inside Sales</v>
      </c>
      <c r="R4306" t="str">
        <f>_xlfn.XLOOKUP(Pipeline_tbl[[#This Row],[Rep_ID]],Dim_Reps!A:A,Dim_Reps!E:E)</f>
        <v>APAC</v>
      </c>
      <c r="S4306" t="str">
        <f>_xlfn.XLOOKUP(Pipeline_tbl[[#This Row],[Created_Date]],Dim_Date!A:A,Dim_Date!H:H)</f>
        <v>Jan 2025</v>
      </c>
      <c r="T4306" t="str">
        <f>IF(Pipeline_tbl[[#This Row],[Closed_Date]]=0,"",(_xlfn.XLOOKUP(Pipeline_tbl[[#This Row],[Closed_Date]],Dim_Date!A:A,Dim_Date!H:H)))</f>
        <v>Jan 2025</v>
      </c>
      <c r="U4306">
        <f>IF(Pipeline_tbl[[#This Row],[Closed_Date]]=0,"",Pipeline_tbl[[#This Row],[Closed_Date]]-Pipeline_tbl[[#This Row],[Created_Date]])</f>
        <v>19</v>
      </c>
    </row>
    <row r="4307" spans="1:21" ht="15" customHeight="1" x14ac:dyDescent="0.2">
      <c r="A4307" t="s">
        <v>4613</v>
      </c>
      <c r="B4307" t="s">
        <v>205</v>
      </c>
      <c r="C4307" t="s">
        <v>56</v>
      </c>
      <c r="D4307" s="49">
        <v>45660</v>
      </c>
      <c r="E4307" s="49">
        <v>45661</v>
      </c>
      <c r="F4307" s="49">
        <v>45664</v>
      </c>
      <c r="G4307" s="49">
        <v>45667</v>
      </c>
      <c r="I4307" s="49">
        <v>45672</v>
      </c>
      <c r="J4307" t="s">
        <v>49</v>
      </c>
      <c r="K4307" s="33">
        <v>3100</v>
      </c>
      <c r="L4307" t="s">
        <v>64</v>
      </c>
      <c r="M4307" t="str">
        <f>_xlfn.XLOOKUP(Pipeline_tbl[[#This Row],[Rep_ID]],Dim_Reps!A:A,Dim_Reps!K:K)</f>
        <v>EUR</v>
      </c>
      <c r="N4307" s="33">
        <f>(_xlfn.XLOOKUP(Pipeline_tbl[[#This Row],[Rate_Code_Generalized]],Lookups!A:A,Lookups!B:B))*Pipeline_tbl[[#This Row],[Pipeline_Amount_USD]]</f>
        <v>3100</v>
      </c>
      <c r="O4307" t="str">
        <f>_xlfn.XLOOKUP(Pipeline_tbl[[#This Row],[Rep_ID]],Dim_Reps!A:A,Dim_Reps!B:B)</f>
        <v>Karim Alvarez</v>
      </c>
      <c r="P4307" t="str">
        <f>_xlfn.XLOOKUP(Pipeline_tbl[[#This Row],[Rep_ID]],Dim_Reps!A:A,Dim_Reps!C:C)</f>
        <v>SDR / Inside Sales Rep</v>
      </c>
      <c r="Q4307" t="str">
        <f>_xlfn.XLOOKUP(Pipeline_tbl[[#This Row],[Rep_ID]],Dim_Reps!A:A,Dim_Reps!D:D)</f>
        <v>Inside Sales</v>
      </c>
      <c r="R4307" t="str">
        <f>_xlfn.XLOOKUP(Pipeline_tbl[[#This Row],[Rep_ID]],Dim_Reps!A:A,Dim_Reps!E:E)</f>
        <v>EMEA</v>
      </c>
      <c r="S4307" t="str">
        <f>_xlfn.XLOOKUP(Pipeline_tbl[[#This Row],[Created_Date]],Dim_Date!A:A,Dim_Date!H:H)</f>
        <v>Jan 2025</v>
      </c>
      <c r="T4307" t="str">
        <f>IF(Pipeline_tbl[[#This Row],[Closed_Date]]=0,"",(_xlfn.XLOOKUP(Pipeline_tbl[[#This Row],[Closed_Date]],Dim_Date!A:A,Dim_Date!H:H)))</f>
        <v>Jan 2025</v>
      </c>
      <c r="U4307">
        <f>IF(Pipeline_tbl[[#This Row],[Closed_Date]]=0,"",Pipeline_tbl[[#This Row],[Closed_Date]]-Pipeline_tbl[[#This Row],[Created_Date]])</f>
        <v>12</v>
      </c>
    </row>
    <row r="4308" spans="1:21" ht="15" customHeight="1" x14ac:dyDescent="0.2">
      <c r="A4308" t="s">
        <v>4614</v>
      </c>
      <c r="B4308" t="s">
        <v>205</v>
      </c>
      <c r="C4308" t="s">
        <v>53</v>
      </c>
      <c r="D4308" s="49">
        <v>45660</v>
      </c>
      <c r="E4308" s="49">
        <v>45662</v>
      </c>
      <c r="F4308" s="49">
        <v>45666</v>
      </c>
      <c r="G4308" s="49">
        <v>45672</v>
      </c>
      <c r="H4308" s="49">
        <v>45677</v>
      </c>
      <c r="I4308" s="49">
        <v>45680</v>
      </c>
      <c r="J4308" t="s">
        <v>47</v>
      </c>
      <c r="K4308" s="33">
        <v>5100</v>
      </c>
      <c r="M4308" t="str">
        <f>_xlfn.XLOOKUP(Pipeline_tbl[[#This Row],[Rep_ID]],Dim_Reps!A:A,Dim_Reps!K:K)</f>
        <v>EUR</v>
      </c>
      <c r="N4308" s="33">
        <f>(_xlfn.XLOOKUP(Pipeline_tbl[[#This Row],[Rate_Code_Generalized]],Lookups!A:A,Lookups!B:B))*Pipeline_tbl[[#This Row],[Pipeline_Amount_USD]]</f>
        <v>5100</v>
      </c>
      <c r="O4308" t="str">
        <f>_xlfn.XLOOKUP(Pipeline_tbl[[#This Row],[Rep_ID]],Dim_Reps!A:A,Dim_Reps!B:B)</f>
        <v>Karim Alvarez</v>
      </c>
      <c r="P4308" t="str">
        <f>_xlfn.XLOOKUP(Pipeline_tbl[[#This Row],[Rep_ID]],Dim_Reps!A:A,Dim_Reps!C:C)</f>
        <v>SDR / Inside Sales Rep</v>
      </c>
      <c r="Q4308" t="str">
        <f>_xlfn.XLOOKUP(Pipeline_tbl[[#This Row],[Rep_ID]],Dim_Reps!A:A,Dim_Reps!D:D)</f>
        <v>Inside Sales</v>
      </c>
      <c r="R4308" t="str">
        <f>_xlfn.XLOOKUP(Pipeline_tbl[[#This Row],[Rep_ID]],Dim_Reps!A:A,Dim_Reps!E:E)</f>
        <v>EMEA</v>
      </c>
      <c r="S4308" t="str">
        <f>_xlfn.XLOOKUP(Pipeline_tbl[[#This Row],[Created_Date]],Dim_Date!A:A,Dim_Date!H:H)</f>
        <v>Jan 2025</v>
      </c>
      <c r="T4308" t="str">
        <f>IF(Pipeline_tbl[[#This Row],[Closed_Date]]=0,"",(_xlfn.XLOOKUP(Pipeline_tbl[[#This Row],[Closed_Date]],Dim_Date!A:A,Dim_Date!H:H)))</f>
        <v>Jan 2025</v>
      </c>
      <c r="U4308">
        <f>IF(Pipeline_tbl[[#This Row],[Closed_Date]]=0,"",Pipeline_tbl[[#This Row],[Closed_Date]]-Pipeline_tbl[[#This Row],[Created_Date]])</f>
        <v>20</v>
      </c>
    </row>
    <row r="4309" spans="1:21" ht="15" customHeight="1" x14ac:dyDescent="0.2">
      <c r="A4309" t="s">
        <v>4615</v>
      </c>
      <c r="B4309" t="s">
        <v>205</v>
      </c>
      <c r="C4309" t="s">
        <v>53</v>
      </c>
      <c r="D4309" s="49">
        <v>45660</v>
      </c>
      <c r="E4309" s="49">
        <v>45662</v>
      </c>
      <c r="F4309" s="49">
        <v>45666</v>
      </c>
      <c r="G4309" s="49">
        <v>45673</v>
      </c>
      <c r="I4309" s="49">
        <v>45681</v>
      </c>
      <c r="J4309" t="s">
        <v>49</v>
      </c>
      <c r="K4309" s="33">
        <v>5100</v>
      </c>
      <c r="L4309" t="s">
        <v>62</v>
      </c>
      <c r="M4309" t="str">
        <f>_xlfn.XLOOKUP(Pipeline_tbl[[#This Row],[Rep_ID]],Dim_Reps!A:A,Dim_Reps!K:K)</f>
        <v>EUR</v>
      </c>
      <c r="N4309" s="33">
        <f>(_xlfn.XLOOKUP(Pipeline_tbl[[#This Row],[Rate_Code_Generalized]],Lookups!A:A,Lookups!B:B))*Pipeline_tbl[[#This Row],[Pipeline_Amount_USD]]</f>
        <v>5100</v>
      </c>
      <c r="O4309" t="str">
        <f>_xlfn.XLOOKUP(Pipeline_tbl[[#This Row],[Rep_ID]],Dim_Reps!A:A,Dim_Reps!B:B)</f>
        <v>Karim Alvarez</v>
      </c>
      <c r="P4309" t="str">
        <f>_xlfn.XLOOKUP(Pipeline_tbl[[#This Row],[Rep_ID]],Dim_Reps!A:A,Dim_Reps!C:C)</f>
        <v>SDR / Inside Sales Rep</v>
      </c>
      <c r="Q4309" t="str">
        <f>_xlfn.XLOOKUP(Pipeline_tbl[[#This Row],[Rep_ID]],Dim_Reps!A:A,Dim_Reps!D:D)</f>
        <v>Inside Sales</v>
      </c>
      <c r="R4309" t="str">
        <f>_xlfn.XLOOKUP(Pipeline_tbl[[#This Row],[Rep_ID]],Dim_Reps!A:A,Dim_Reps!E:E)</f>
        <v>EMEA</v>
      </c>
      <c r="S4309" t="str">
        <f>_xlfn.XLOOKUP(Pipeline_tbl[[#This Row],[Created_Date]],Dim_Date!A:A,Dim_Date!H:H)</f>
        <v>Jan 2025</v>
      </c>
      <c r="T4309" t="str">
        <f>IF(Pipeline_tbl[[#This Row],[Closed_Date]]=0,"",(_xlfn.XLOOKUP(Pipeline_tbl[[#This Row],[Closed_Date]],Dim_Date!A:A,Dim_Date!H:H)))</f>
        <v>Jan 2025</v>
      </c>
      <c r="U4309">
        <f>IF(Pipeline_tbl[[#This Row],[Closed_Date]]=0,"",Pipeline_tbl[[#This Row],[Closed_Date]]-Pipeline_tbl[[#This Row],[Created_Date]])</f>
        <v>21</v>
      </c>
    </row>
    <row r="4310" spans="1:21" ht="15" customHeight="1" x14ac:dyDescent="0.2">
      <c r="A4310" t="s">
        <v>4616</v>
      </c>
      <c r="B4310" t="s">
        <v>205</v>
      </c>
      <c r="C4310" t="s">
        <v>55</v>
      </c>
      <c r="D4310" s="49">
        <v>45660</v>
      </c>
      <c r="E4310" s="49">
        <v>45662</v>
      </c>
      <c r="F4310" s="49">
        <v>45665</v>
      </c>
      <c r="I4310" s="49">
        <v>45678</v>
      </c>
      <c r="J4310" t="s">
        <v>49</v>
      </c>
      <c r="K4310" s="33">
        <v>3300</v>
      </c>
      <c r="L4310" t="s">
        <v>61</v>
      </c>
      <c r="M4310" t="str">
        <f>_xlfn.XLOOKUP(Pipeline_tbl[[#This Row],[Rep_ID]],Dim_Reps!A:A,Dim_Reps!K:K)</f>
        <v>EUR</v>
      </c>
      <c r="N4310" s="33">
        <f>(_xlfn.XLOOKUP(Pipeline_tbl[[#This Row],[Rate_Code_Generalized]],Lookups!A:A,Lookups!B:B))*Pipeline_tbl[[#This Row],[Pipeline_Amount_USD]]</f>
        <v>3300</v>
      </c>
      <c r="O4310" t="str">
        <f>_xlfn.XLOOKUP(Pipeline_tbl[[#This Row],[Rep_ID]],Dim_Reps!A:A,Dim_Reps!B:B)</f>
        <v>Karim Alvarez</v>
      </c>
      <c r="P4310" t="str">
        <f>_xlfn.XLOOKUP(Pipeline_tbl[[#This Row],[Rep_ID]],Dim_Reps!A:A,Dim_Reps!C:C)</f>
        <v>SDR / Inside Sales Rep</v>
      </c>
      <c r="Q4310" t="str">
        <f>_xlfn.XLOOKUP(Pipeline_tbl[[#This Row],[Rep_ID]],Dim_Reps!A:A,Dim_Reps!D:D)</f>
        <v>Inside Sales</v>
      </c>
      <c r="R4310" t="str">
        <f>_xlfn.XLOOKUP(Pipeline_tbl[[#This Row],[Rep_ID]],Dim_Reps!A:A,Dim_Reps!E:E)</f>
        <v>EMEA</v>
      </c>
      <c r="S4310" t="str">
        <f>_xlfn.XLOOKUP(Pipeline_tbl[[#This Row],[Created_Date]],Dim_Date!A:A,Dim_Date!H:H)</f>
        <v>Jan 2025</v>
      </c>
      <c r="T4310" t="str">
        <f>IF(Pipeline_tbl[[#This Row],[Closed_Date]]=0,"",(_xlfn.XLOOKUP(Pipeline_tbl[[#This Row],[Closed_Date]],Dim_Date!A:A,Dim_Date!H:H)))</f>
        <v>Jan 2025</v>
      </c>
      <c r="U4310">
        <f>IF(Pipeline_tbl[[#This Row],[Closed_Date]]=0,"",Pipeline_tbl[[#This Row],[Closed_Date]]-Pipeline_tbl[[#This Row],[Created_Date]])</f>
        <v>18</v>
      </c>
    </row>
    <row r="4311" spans="1:21" ht="15" customHeight="1" x14ac:dyDescent="0.2">
      <c r="A4311" t="s">
        <v>4617</v>
      </c>
      <c r="B4311" t="s">
        <v>205</v>
      </c>
      <c r="C4311" t="s">
        <v>55</v>
      </c>
      <c r="D4311" s="49">
        <v>45671</v>
      </c>
      <c r="E4311" s="49">
        <v>45673</v>
      </c>
      <c r="F4311" s="49">
        <v>45676</v>
      </c>
      <c r="G4311" s="49">
        <v>45681</v>
      </c>
      <c r="H4311" s="49">
        <v>45685</v>
      </c>
      <c r="I4311" s="49">
        <v>45687</v>
      </c>
      <c r="J4311" t="s">
        <v>47</v>
      </c>
      <c r="K4311" s="33">
        <v>6400</v>
      </c>
      <c r="M4311" t="str">
        <f>_xlfn.XLOOKUP(Pipeline_tbl[[#This Row],[Rep_ID]],Dim_Reps!A:A,Dim_Reps!K:K)</f>
        <v>EUR</v>
      </c>
      <c r="N4311" s="33">
        <f>(_xlfn.XLOOKUP(Pipeline_tbl[[#This Row],[Rate_Code_Generalized]],Lookups!A:A,Lookups!B:B))*Pipeline_tbl[[#This Row],[Pipeline_Amount_USD]]</f>
        <v>6400</v>
      </c>
      <c r="O4311" t="str">
        <f>_xlfn.XLOOKUP(Pipeline_tbl[[#This Row],[Rep_ID]],Dim_Reps!A:A,Dim_Reps!B:B)</f>
        <v>Karim Alvarez</v>
      </c>
      <c r="P4311" t="str">
        <f>_xlfn.XLOOKUP(Pipeline_tbl[[#This Row],[Rep_ID]],Dim_Reps!A:A,Dim_Reps!C:C)</f>
        <v>SDR / Inside Sales Rep</v>
      </c>
      <c r="Q4311" t="str">
        <f>_xlfn.XLOOKUP(Pipeline_tbl[[#This Row],[Rep_ID]],Dim_Reps!A:A,Dim_Reps!D:D)</f>
        <v>Inside Sales</v>
      </c>
      <c r="R4311" t="str">
        <f>_xlfn.XLOOKUP(Pipeline_tbl[[#This Row],[Rep_ID]],Dim_Reps!A:A,Dim_Reps!E:E)</f>
        <v>EMEA</v>
      </c>
      <c r="S4311" t="str">
        <f>_xlfn.XLOOKUP(Pipeline_tbl[[#This Row],[Created_Date]],Dim_Date!A:A,Dim_Date!H:H)</f>
        <v>Jan 2025</v>
      </c>
      <c r="T4311" t="str">
        <f>IF(Pipeline_tbl[[#This Row],[Closed_Date]]=0,"",(_xlfn.XLOOKUP(Pipeline_tbl[[#This Row],[Closed_Date]],Dim_Date!A:A,Dim_Date!H:H)))</f>
        <v>Jan 2025</v>
      </c>
      <c r="U4311">
        <f>IF(Pipeline_tbl[[#This Row],[Closed_Date]]=0,"",Pipeline_tbl[[#This Row],[Closed_Date]]-Pipeline_tbl[[#This Row],[Created_Date]])</f>
        <v>16</v>
      </c>
    </row>
    <row r="4312" spans="1:21" ht="15" customHeight="1" x14ac:dyDescent="0.2">
      <c r="A4312" t="s">
        <v>4618</v>
      </c>
      <c r="B4312" t="s">
        <v>205</v>
      </c>
      <c r="C4312" t="s">
        <v>52</v>
      </c>
      <c r="D4312" s="49">
        <v>45661</v>
      </c>
      <c r="E4312" s="49">
        <v>45663</v>
      </c>
      <c r="F4312" s="49">
        <v>45666</v>
      </c>
      <c r="G4312" s="49">
        <v>45671</v>
      </c>
      <c r="I4312" s="49">
        <v>45678</v>
      </c>
      <c r="J4312" t="s">
        <v>49</v>
      </c>
      <c r="K4312" s="33">
        <v>2300</v>
      </c>
      <c r="L4312" t="s">
        <v>60</v>
      </c>
      <c r="M4312" t="str">
        <f>_xlfn.XLOOKUP(Pipeline_tbl[[#This Row],[Rep_ID]],Dim_Reps!A:A,Dim_Reps!K:K)</f>
        <v>EUR</v>
      </c>
      <c r="N4312" s="33">
        <f>(_xlfn.XLOOKUP(Pipeline_tbl[[#This Row],[Rate_Code_Generalized]],Lookups!A:A,Lookups!B:B))*Pipeline_tbl[[#This Row],[Pipeline_Amount_USD]]</f>
        <v>2300</v>
      </c>
      <c r="O4312" t="str">
        <f>_xlfn.XLOOKUP(Pipeline_tbl[[#This Row],[Rep_ID]],Dim_Reps!A:A,Dim_Reps!B:B)</f>
        <v>Karim Alvarez</v>
      </c>
      <c r="P4312" t="str">
        <f>_xlfn.XLOOKUP(Pipeline_tbl[[#This Row],[Rep_ID]],Dim_Reps!A:A,Dim_Reps!C:C)</f>
        <v>SDR / Inside Sales Rep</v>
      </c>
      <c r="Q4312" t="str">
        <f>_xlfn.XLOOKUP(Pipeline_tbl[[#This Row],[Rep_ID]],Dim_Reps!A:A,Dim_Reps!D:D)</f>
        <v>Inside Sales</v>
      </c>
      <c r="R4312" t="str">
        <f>_xlfn.XLOOKUP(Pipeline_tbl[[#This Row],[Rep_ID]],Dim_Reps!A:A,Dim_Reps!E:E)</f>
        <v>EMEA</v>
      </c>
      <c r="S4312" t="str">
        <f>_xlfn.XLOOKUP(Pipeline_tbl[[#This Row],[Created_Date]],Dim_Date!A:A,Dim_Date!H:H)</f>
        <v>Jan 2025</v>
      </c>
      <c r="T4312" t="str">
        <f>IF(Pipeline_tbl[[#This Row],[Closed_Date]]=0,"",(_xlfn.XLOOKUP(Pipeline_tbl[[#This Row],[Closed_Date]],Dim_Date!A:A,Dim_Date!H:H)))</f>
        <v>Jan 2025</v>
      </c>
      <c r="U4312">
        <f>IF(Pipeline_tbl[[#This Row],[Closed_Date]]=0,"",Pipeline_tbl[[#This Row],[Closed_Date]]-Pipeline_tbl[[#This Row],[Created_Date]])</f>
        <v>17</v>
      </c>
    </row>
    <row r="4313" spans="1:21" ht="15" customHeight="1" x14ac:dyDescent="0.2">
      <c r="A4313" t="s">
        <v>4619</v>
      </c>
      <c r="B4313" t="s">
        <v>207</v>
      </c>
      <c r="C4313" t="s">
        <v>55</v>
      </c>
      <c r="D4313" s="49">
        <v>45668</v>
      </c>
      <c r="E4313" s="49">
        <v>45670</v>
      </c>
      <c r="F4313" s="49">
        <v>45673</v>
      </c>
      <c r="I4313" s="49">
        <v>45683</v>
      </c>
      <c r="J4313" t="s">
        <v>49</v>
      </c>
      <c r="K4313" s="33">
        <v>4400</v>
      </c>
      <c r="L4313" t="s">
        <v>61</v>
      </c>
      <c r="M4313" t="str">
        <f>_xlfn.XLOOKUP(Pipeline_tbl[[#This Row],[Rep_ID]],Dim_Reps!A:A,Dim_Reps!K:K)</f>
        <v>EUR</v>
      </c>
      <c r="N4313" s="33">
        <f>(_xlfn.XLOOKUP(Pipeline_tbl[[#This Row],[Rate_Code_Generalized]],Lookups!A:A,Lookups!B:B))*Pipeline_tbl[[#This Row],[Pipeline_Amount_USD]]</f>
        <v>4400</v>
      </c>
      <c r="O4313" t="str">
        <f>_xlfn.XLOOKUP(Pipeline_tbl[[#This Row],[Rep_ID]],Dim_Reps!A:A,Dim_Reps!B:B)</f>
        <v>Sam Castro</v>
      </c>
      <c r="P4313" t="str">
        <f>_xlfn.XLOOKUP(Pipeline_tbl[[#This Row],[Rep_ID]],Dim_Reps!A:A,Dim_Reps!C:C)</f>
        <v>SDR / Inside Sales Rep</v>
      </c>
      <c r="Q4313" t="str">
        <f>_xlfn.XLOOKUP(Pipeline_tbl[[#This Row],[Rep_ID]],Dim_Reps!A:A,Dim_Reps!D:D)</f>
        <v>Inside Sales</v>
      </c>
      <c r="R4313" t="str">
        <f>_xlfn.XLOOKUP(Pipeline_tbl[[#This Row],[Rep_ID]],Dim_Reps!A:A,Dim_Reps!E:E)</f>
        <v>APAC</v>
      </c>
      <c r="S4313" t="str">
        <f>_xlfn.XLOOKUP(Pipeline_tbl[[#This Row],[Created_Date]],Dim_Date!A:A,Dim_Date!H:H)</f>
        <v>Jan 2025</v>
      </c>
      <c r="T4313" t="str">
        <f>IF(Pipeline_tbl[[#This Row],[Closed_Date]]=0,"",(_xlfn.XLOOKUP(Pipeline_tbl[[#This Row],[Closed_Date]],Dim_Date!A:A,Dim_Date!H:H)))</f>
        <v>Jan 2025</v>
      </c>
      <c r="U4313">
        <f>IF(Pipeline_tbl[[#This Row],[Closed_Date]]=0,"",Pipeline_tbl[[#This Row],[Closed_Date]]-Pipeline_tbl[[#This Row],[Created_Date]])</f>
        <v>15</v>
      </c>
    </row>
    <row r="4314" spans="1:21" ht="15" customHeight="1" x14ac:dyDescent="0.2">
      <c r="A4314" t="s">
        <v>4620</v>
      </c>
      <c r="B4314" t="s">
        <v>207</v>
      </c>
      <c r="C4314" t="s">
        <v>52</v>
      </c>
      <c r="D4314" s="49">
        <v>45671</v>
      </c>
      <c r="E4314" s="49">
        <v>45673</v>
      </c>
      <c r="F4314" s="49">
        <v>45676</v>
      </c>
      <c r="G4314" s="49">
        <v>45681</v>
      </c>
      <c r="I4314" s="49">
        <v>45687</v>
      </c>
      <c r="J4314" t="s">
        <v>49</v>
      </c>
      <c r="K4314" s="33">
        <v>3700</v>
      </c>
      <c r="L4314" t="s">
        <v>60</v>
      </c>
      <c r="M4314" t="str">
        <f>_xlfn.XLOOKUP(Pipeline_tbl[[#This Row],[Rep_ID]],Dim_Reps!A:A,Dim_Reps!K:K)</f>
        <v>EUR</v>
      </c>
      <c r="N4314" s="33">
        <f>(_xlfn.XLOOKUP(Pipeline_tbl[[#This Row],[Rate_Code_Generalized]],Lookups!A:A,Lookups!B:B))*Pipeline_tbl[[#This Row],[Pipeline_Amount_USD]]</f>
        <v>3700</v>
      </c>
      <c r="O4314" t="str">
        <f>_xlfn.XLOOKUP(Pipeline_tbl[[#This Row],[Rep_ID]],Dim_Reps!A:A,Dim_Reps!B:B)</f>
        <v>Sam Castro</v>
      </c>
      <c r="P4314" t="str">
        <f>_xlfn.XLOOKUP(Pipeline_tbl[[#This Row],[Rep_ID]],Dim_Reps!A:A,Dim_Reps!C:C)</f>
        <v>SDR / Inside Sales Rep</v>
      </c>
      <c r="Q4314" t="str">
        <f>_xlfn.XLOOKUP(Pipeline_tbl[[#This Row],[Rep_ID]],Dim_Reps!A:A,Dim_Reps!D:D)</f>
        <v>Inside Sales</v>
      </c>
      <c r="R4314" t="str">
        <f>_xlfn.XLOOKUP(Pipeline_tbl[[#This Row],[Rep_ID]],Dim_Reps!A:A,Dim_Reps!E:E)</f>
        <v>APAC</v>
      </c>
      <c r="S4314" t="str">
        <f>_xlfn.XLOOKUP(Pipeline_tbl[[#This Row],[Created_Date]],Dim_Date!A:A,Dim_Date!H:H)</f>
        <v>Jan 2025</v>
      </c>
      <c r="T4314" t="str">
        <f>IF(Pipeline_tbl[[#This Row],[Closed_Date]]=0,"",(_xlfn.XLOOKUP(Pipeline_tbl[[#This Row],[Closed_Date]],Dim_Date!A:A,Dim_Date!H:H)))</f>
        <v>Jan 2025</v>
      </c>
      <c r="U4314">
        <f>IF(Pipeline_tbl[[#This Row],[Closed_Date]]=0,"",Pipeline_tbl[[#This Row],[Closed_Date]]-Pipeline_tbl[[#This Row],[Created_Date]])</f>
        <v>16</v>
      </c>
    </row>
    <row r="4315" spans="1:21" ht="15" customHeight="1" x14ac:dyDescent="0.2">
      <c r="A4315" t="s">
        <v>4621</v>
      </c>
      <c r="B4315" t="s">
        <v>207</v>
      </c>
      <c r="C4315" t="s">
        <v>52</v>
      </c>
      <c r="D4315" s="49">
        <v>45670</v>
      </c>
      <c r="E4315" s="49">
        <v>45671</v>
      </c>
      <c r="F4315" s="49">
        <v>45674</v>
      </c>
      <c r="I4315" s="49">
        <v>45682</v>
      </c>
      <c r="J4315" t="s">
        <v>49</v>
      </c>
      <c r="K4315" s="33">
        <v>2600</v>
      </c>
      <c r="L4315" t="s">
        <v>60</v>
      </c>
      <c r="M4315" t="str">
        <f>_xlfn.XLOOKUP(Pipeline_tbl[[#This Row],[Rep_ID]],Dim_Reps!A:A,Dim_Reps!K:K)</f>
        <v>EUR</v>
      </c>
      <c r="N4315" s="33">
        <f>(_xlfn.XLOOKUP(Pipeline_tbl[[#This Row],[Rate_Code_Generalized]],Lookups!A:A,Lookups!B:B))*Pipeline_tbl[[#This Row],[Pipeline_Amount_USD]]</f>
        <v>2600</v>
      </c>
      <c r="O4315" t="str">
        <f>_xlfn.XLOOKUP(Pipeline_tbl[[#This Row],[Rep_ID]],Dim_Reps!A:A,Dim_Reps!B:B)</f>
        <v>Sam Castro</v>
      </c>
      <c r="P4315" t="str">
        <f>_xlfn.XLOOKUP(Pipeline_tbl[[#This Row],[Rep_ID]],Dim_Reps!A:A,Dim_Reps!C:C)</f>
        <v>SDR / Inside Sales Rep</v>
      </c>
      <c r="Q4315" t="str">
        <f>_xlfn.XLOOKUP(Pipeline_tbl[[#This Row],[Rep_ID]],Dim_Reps!A:A,Dim_Reps!D:D)</f>
        <v>Inside Sales</v>
      </c>
      <c r="R4315" t="str">
        <f>_xlfn.XLOOKUP(Pipeline_tbl[[#This Row],[Rep_ID]],Dim_Reps!A:A,Dim_Reps!E:E)</f>
        <v>APAC</v>
      </c>
      <c r="S4315" t="str">
        <f>_xlfn.XLOOKUP(Pipeline_tbl[[#This Row],[Created_Date]],Dim_Date!A:A,Dim_Date!H:H)</f>
        <v>Jan 2025</v>
      </c>
      <c r="T4315" t="str">
        <f>IF(Pipeline_tbl[[#This Row],[Closed_Date]]=0,"",(_xlfn.XLOOKUP(Pipeline_tbl[[#This Row],[Closed_Date]],Dim_Date!A:A,Dim_Date!H:H)))</f>
        <v>Jan 2025</v>
      </c>
      <c r="U4315">
        <f>IF(Pipeline_tbl[[#This Row],[Closed_Date]]=0,"",Pipeline_tbl[[#This Row],[Closed_Date]]-Pipeline_tbl[[#This Row],[Created_Date]])</f>
        <v>12</v>
      </c>
    </row>
    <row r="4316" spans="1:21" ht="15" customHeight="1" x14ac:dyDescent="0.2">
      <c r="A4316" t="s">
        <v>4622</v>
      </c>
      <c r="B4316" t="s">
        <v>207</v>
      </c>
      <c r="C4316" t="s">
        <v>54</v>
      </c>
      <c r="D4316" s="49">
        <v>45671</v>
      </c>
      <c r="E4316" s="49">
        <v>45672</v>
      </c>
      <c r="F4316" s="49">
        <v>45674</v>
      </c>
      <c r="G4316" s="49">
        <v>45678</v>
      </c>
      <c r="H4316" s="49">
        <v>45680</v>
      </c>
      <c r="I4316" s="49">
        <v>45682</v>
      </c>
      <c r="J4316" t="s">
        <v>47</v>
      </c>
      <c r="K4316" s="33">
        <v>2900</v>
      </c>
      <c r="M4316" t="str">
        <f>_xlfn.XLOOKUP(Pipeline_tbl[[#This Row],[Rep_ID]],Dim_Reps!A:A,Dim_Reps!K:K)</f>
        <v>EUR</v>
      </c>
      <c r="N4316" s="33">
        <f>(_xlfn.XLOOKUP(Pipeline_tbl[[#This Row],[Rate_Code_Generalized]],Lookups!A:A,Lookups!B:B))*Pipeline_tbl[[#This Row],[Pipeline_Amount_USD]]</f>
        <v>2900</v>
      </c>
      <c r="O4316" t="str">
        <f>_xlfn.XLOOKUP(Pipeline_tbl[[#This Row],[Rep_ID]],Dim_Reps!A:A,Dim_Reps!B:B)</f>
        <v>Sam Castro</v>
      </c>
      <c r="P4316" t="str">
        <f>_xlfn.XLOOKUP(Pipeline_tbl[[#This Row],[Rep_ID]],Dim_Reps!A:A,Dim_Reps!C:C)</f>
        <v>SDR / Inside Sales Rep</v>
      </c>
      <c r="Q4316" t="str">
        <f>_xlfn.XLOOKUP(Pipeline_tbl[[#This Row],[Rep_ID]],Dim_Reps!A:A,Dim_Reps!D:D)</f>
        <v>Inside Sales</v>
      </c>
      <c r="R4316" t="str">
        <f>_xlfn.XLOOKUP(Pipeline_tbl[[#This Row],[Rep_ID]],Dim_Reps!A:A,Dim_Reps!E:E)</f>
        <v>APAC</v>
      </c>
      <c r="S4316" t="str">
        <f>_xlfn.XLOOKUP(Pipeline_tbl[[#This Row],[Created_Date]],Dim_Date!A:A,Dim_Date!H:H)</f>
        <v>Jan 2025</v>
      </c>
      <c r="T4316" t="str">
        <f>IF(Pipeline_tbl[[#This Row],[Closed_Date]]=0,"",(_xlfn.XLOOKUP(Pipeline_tbl[[#This Row],[Closed_Date]],Dim_Date!A:A,Dim_Date!H:H)))</f>
        <v>Jan 2025</v>
      </c>
      <c r="U4316">
        <f>IF(Pipeline_tbl[[#This Row],[Closed_Date]]=0,"",Pipeline_tbl[[#This Row],[Closed_Date]]-Pipeline_tbl[[#This Row],[Created_Date]])</f>
        <v>11</v>
      </c>
    </row>
    <row r="4317" spans="1:21" ht="15" customHeight="1" x14ac:dyDescent="0.2">
      <c r="A4317" t="s">
        <v>4623</v>
      </c>
      <c r="B4317" t="s">
        <v>207</v>
      </c>
      <c r="C4317" t="s">
        <v>52</v>
      </c>
      <c r="D4317" s="49">
        <v>45667</v>
      </c>
      <c r="E4317" s="49">
        <v>45669</v>
      </c>
      <c r="F4317" s="49">
        <v>45673</v>
      </c>
      <c r="I4317" s="49">
        <v>45687</v>
      </c>
      <c r="J4317" t="s">
        <v>49</v>
      </c>
      <c r="K4317" s="33">
        <v>5500</v>
      </c>
      <c r="L4317" t="s">
        <v>63</v>
      </c>
      <c r="M4317" t="str">
        <f>_xlfn.XLOOKUP(Pipeline_tbl[[#This Row],[Rep_ID]],Dim_Reps!A:A,Dim_Reps!K:K)</f>
        <v>EUR</v>
      </c>
      <c r="N4317" s="33">
        <f>(_xlfn.XLOOKUP(Pipeline_tbl[[#This Row],[Rate_Code_Generalized]],Lookups!A:A,Lookups!B:B))*Pipeline_tbl[[#This Row],[Pipeline_Amount_USD]]</f>
        <v>5500</v>
      </c>
      <c r="O4317" t="str">
        <f>_xlfn.XLOOKUP(Pipeline_tbl[[#This Row],[Rep_ID]],Dim_Reps!A:A,Dim_Reps!B:B)</f>
        <v>Sam Castro</v>
      </c>
      <c r="P4317" t="str">
        <f>_xlfn.XLOOKUP(Pipeline_tbl[[#This Row],[Rep_ID]],Dim_Reps!A:A,Dim_Reps!C:C)</f>
        <v>SDR / Inside Sales Rep</v>
      </c>
      <c r="Q4317" t="str">
        <f>_xlfn.XLOOKUP(Pipeline_tbl[[#This Row],[Rep_ID]],Dim_Reps!A:A,Dim_Reps!D:D)</f>
        <v>Inside Sales</v>
      </c>
      <c r="R4317" t="str">
        <f>_xlfn.XLOOKUP(Pipeline_tbl[[#This Row],[Rep_ID]],Dim_Reps!A:A,Dim_Reps!E:E)</f>
        <v>APAC</v>
      </c>
      <c r="S4317" t="str">
        <f>_xlfn.XLOOKUP(Pipeline_tbl[[#This Row],[Created_Date]],Dim_Date!A:A,Dim_Date!H:H)</f>
        <v>Jan 2025</v>
      </c>
      <c r="T4317" t="str">
        <f>IF(Pipeline_tbl[[#This Row],[Closed_Date]]=0,"",(_xlfn.XLOOKUP(Pipeline_tbl[[#This Row],[Closed_Date]],Dim_Date!A:A,Dim_Date!H:H)))</f>
        <v>Jan 2025</v>
      </c>
      <c r="U4317">
        <f>IF(Pipeline_tbl[[#This Row],[Closed_Date]]=0,"",Pipeline_tbl[[#This Row],[Closed_Date]]-Pipeline_tbl[[#This Row],[Created_Date]])</f>
        <v>20</v>
      </c>
    </row>
    <row r="4318" spans="1:21" ht="15" customHeight="1" x14ac:dyDescent="0.2">
      <c r="A4318" t="s">
        <v>4624</v>
      </c>
      <c r="B4318" t="s">
        <v>207</v>
      </c>
      <c r="C4318" t="s">
        <v>52</v>
      </c>
      <c r="D4318" s="49">
        <v>45661</v>
      </c>
      <c r="E4318" s="49">
        <v>45662</v>
      </c>
      <c r="F4318" s="49">
        <v>45665</v>
      </c>
      <c r="G4318" s="49">
        <v>45668</v>
      </c>
      <c r="H4318" s="49">
        <v>45671</v>
      </c>
      <c r="I4318" s="49">
        <v>45673</v>
      </c>
      <c r="J4318" t="s">
        <v>49</v>
      </c>
      <c r="K4318" s="33">
        <v>4100</v>
      </c>
      <c r="L4318" t="s">
        <v>62</v>
      </c>
      <c r="M4318" t="str">
        <f>_xlfn.XLOOKUP(Pipeline_tbl[[#This Row],[Rep_ID]],Dim_Reps!A:A,Dim_Reps!K:K)</f>
        <v>EUR</v>
      </c>
      <c r="N4318" s="33">
        <f>(_xlfn.XLOOKUP(Pipeline_tbl[[#This Row],[Rate_Code_Generalized]],Lookups!A:A,Lookups!B:B))*Pipeline_tbl[[#This Row],[Pipeline_Amount_USD]]</f>
        <v>4100</v>
      </c>
      <c r="O4318" t="str">
        <f>_xlfn.XLOOKUP(Pipeline_tbl[[#This Row],[Rep_ID]],Dim_Reps!A:A,Dim_Reps!B:B)</f>
        <v>Sam Castro</v>
      </c>
      <c r="P4318" t="str">
        <f>_xlfn.XLOOKUP(Pipeline_tbl[[#This Row],[Rep_ID]],Dim_Reps!A:A,Dim_Reps!C:C)</f>
        <v>SDR / Inside Sales Rep</v>
      </c>
      <c r="Q4318" t="str">
        <f>_xlfn.XLOOKUP(Pipeline_tbl[[#This Row],[Rep_ID]],Dim_Reps!A:A,Dim_Reps!D:D)</f>
        <v>Inside Sales</v>
      </c>
      <c r="R4318" t="str">
        <f>_xlfn.XLOOKUP(Pipeline_tbl[[#This Row],[Rep_ID]],Dim_Reps!A:A,Dim_Reps!E:E)</f>
        <v>APAC</v>
      </c>
      <c r="S4318" t="str">
        <f>_xlfn.XLOOKUP(Pipeline_tbl[[#This Row],[Created_Date]],Dim_Date!A:A,Dim_Date!H:H)</f>
        <v>Jan 2025</v>
      </c>
      <c r="T4318" t="str">
        <f>IF(Pipeline_tbl[[#This Row],[Closed_Date]]=0,"",(_xlfn.XLOOKUP(Pipeline_tbl[[#This Row],[Closed_Date]],Dim_Date!A:A,Dim_Date!H:H)))</f>
        <v>Jan 2025</v>
      </c>
      <c r="U4318">
        <f>IF(Pipeline_tbl[[#This Row],[Closed_Date]]=0,"",Pipeline_tbl[[#This Row],[Closed_Date]]-Pipeline_tbl[[#This Row],[Created_Date]])</f>
        <v>12</v>
      </c>
    </row>
    <row r="4319" spans="1:21" ht="15" customHeight="1" x14ac:dyDescent="0.2">
      <c r="A4319" t="s">
        <v>4625</v>
      </c>
      <c r="B4319" t="s">
        <v>209</v>
      </c>
      <c r="C4319" t="s">
        <v>53</v>
      </c>
      <c r="D4319" s="49">
        <v>45660</v>
      </c>
      <c r="E4319" s="49">
        <v>45662</v>
      </c>
      <c r="F4319" s="49">
        <v>45665</v>
      </c>
      <c r="G4319" s="49">
        <v>45671</v>
      </c>
      <c r="H4319" s="49">
        <v>45675</v>
      </c>
      <c r="I4319" s="49">
        <v>45678</v>
      </c>
      <c r="J4319" t="s">
        <v>47</v>
      </c>
      <c r="K4319" s="33">
        <v>5300</v>
      </c>
      <c r="M4319" t="str">
        <f>_xlfn.XLOOKUP(Pipeline_tbl[[#This Row],[Rep_ID]],Dim_Reps!A:A,Dim_Reps!K:K)</f>
        <v>EUR</v>
      </c>
      <c r="N4319" s="33">
        <f>(_xlfn.XLOOKUP(Pipeline_tbl[[#This Row],[Rate_Code_Generalized]],Lookups!A:A,Lookups!B:B))*Pipeline_tbl[[#This Row],[Pipeline_Amount_USD]]</f>
        <v>5300</v>
      </c>
      <c r="O4319" t="str">
        <f>_xlfn.XLOOKUP(Pipeline_tbl[[#This Row],[Rep_ID]],Dim_Reps!A:A,Dim_Reps!B:B)</f>
        <v>Petra Larsen</v>
      </c>
      <c r="P4319" t="str">
        <f>_xlfn.XLOOKUP(Pipeline_tbl[[#This Row],[Rep_ID]],Dim_Reps!A:A,Dim_Reps!C:C)</f>
        <v>SDR / Inside Sales Rep</v>
      </c>
      <c r="Q4319" t="str">
        <f>_xlfn.XLOOKUP(Pipeline_tbl[[#This Row],[Rep_ID]],Dim_Reps!A:A,Dim_Reps!D:D)</f>
        <v>Inside Sales</v>
      </c>
      <c r="R4319" t="str">
        <f>_xlfn.XLOOKUP(Pipeline_tbl[[#This Row],[Rep_ID]],Dim_Reps!A:A,Dim_Reps!E:E)</f>
        <v>EMEA</v>
      </c>
      <c r="S4319" t="str">
        <f>_xlfn.XLOOKUP(Pipeline_tbl[[#This Row],[Created_Date]],Dim_Date!A:A,Dim_Date!H:H)</f>
        <v>Jan 2025</v>
      </c>
      <c r="T4319" t="str">
        <f>IF(Pipeline_tbl[[#This Row],[Closed_Date]]=0,"",(_xlfn.XLOOKUP(Pipeline_tbl[[#This Row],[Closed_Date]],Dim_Date!A:A,Dim_Date!H:H)))</f>
        <v>Jan 2025</v>
      </c>
      <c r="U4319">
        <f>IF(Pipeline_tbl[[#This Row],[Closed_Date]]=0,"",Pipeline_tbl[[#This Row],[Closed_Date]]-Pipeline_tbl[[#This Row],[Created_Date]])</f>
        <v>18</v>
      </c>
    </row>
    <row r="4320" spans="1:21" ht="15" customHeight="1" x14ac:dyDescent="0.2">
      <c r="A4320" t="s">
        <v>4626</v>
      </c>
      <c r="B4320" t="s">
        <v>209</v>
      </c>
      <c r="C4320" t="s">
        <v>55</v>
      </c>
      <c r="D4320" s="49">
        <v>45673</v>
      </c>
      <c r="E4320" s="49">
        <v>45674</v>
      </c>
      <c r="F4320" s="49">
        <v>45677</v>
      </c>
      <c r="I4320" s="49">
        <v>45686</v>
      </c>
      <c r="J4320" t="s">
        <v>49</v>
      </c>
      <c r="K4320" s="33">
        <v>2200</v>
      </c>
      <c r="L4320" t="s">
        <v>61</v>
      </c>
      <c r="M4320" t="str">
        <f>_xlfn.XLOOKUP(Pipeline_tbl[[#This Row],[Rep_ID]],Dim_Reps!A:A,Dim_Reps!K:K)</f>
        <v>EUR</v>
      </c>
      <c r="N4320" s="33">
        <f>(_xlfn.XLOOKUP(Pipeline_tbl[[#This Row],[Rate_Code_Generalized]],Lookups!A:A,Lookups!B:B))*Pipeline_tbl[[#This Row],[Pipeline_Amount_USD]]</f>
        <v>2200</v>
      </c>
      <c r="O4320" t="str">
        <f>_xlfn.XLOOKUP(Pipeline_tbl[[#This Row],[Rep_ID]],Dim_Reps!A:A,Dim_Reps!B:B)</f>
        <v>Petra Larsen</v>
      </c>
      <c r="P4320" t="str">
        <f>_xlfn.XLOOKUP(Pipeline_tbl[[#This Row],[Rep_ID]],Dim_Reps!A:A,Dim_Reps!C:C)</f>
        <v>SDR / Inside Sales Rep</v>
      </c>
      <c r="Q4320" t="str">
        <f>_xlfn.XLOOKUP(Pipeline_tbl[[#This Row],[Rep_ID]],Dim_Reps!A:A,Dim_Reps!D:D)</f>
        <v>Inside Sales</v>
      </c>
      <c r="R4320" t="str">
        <f>_xlfn.XLOOKUP(Pipeline_tbl[[#This Row],[Rep_ID]],Dim_Reps!A:A,Dim_Reps!E:E)</f>
        <v>EMEA</v>
      </c>
      <c r="S4320" t="str">
        <f>_xlfn.XLOOKUP(Pipeline_tbl[[#This Row],[Created_Date]],Dim_Date!A:A,Dim_Date!H:H)</f>
        <v>Jan 2025</v>
      </c>
      <c r="T4320" t="str">
        <f>IF(Pipeline_tbl[[#This Row],[Closed_Date]]=0,"",(_xlfn.XLOOKUP(Pipeline_tbl[[#This Row],[Closed_Date]],Dim_Date!A:A,Dim_Date!H:H)))</f>
        <v>Jan 2025</v>
      </c>
      <c r="U4320">
        <f>IF(Pipeline_tbl[[#This Row],[Closed_Date]]=0,"",Pipeline_tbl[[#This Row],[Closed_Date]]-Pipeline_tbl[[#This Row],[Created_Date]])</f>
        <v>13</v>
      </c>
    </row>
    <row r="4321" spans="1:21" ht="15" customHeight="1" x14ac:dyDescent="0.2">
      <c r="A4321" t="s">
        <v>4627</v>
      </c>
      <c r="B4321" t="s">
        <v>209</v>
      </c>
      <c r="C4321" t="s">
        <v>53</v>
      </c>
      <c r="D4321" s="49">
        <v>45667</v>
      </c>
      <c r="E4321" s="49">
        <v>45669</v>
      </c>
      <c r="F4321" s="49">
        <v>45672</v>
      </c>
      <c r="G4321" s="49">
        <v>45678</v>
      </c>
      <c r="H4321" s="49">
        <v>45682</v>
      </c>
      <c r="I4321" s="49">
        <v>45685</v>
      </c>
      <c r="J4321" t="s">
        <v>47</v>
      </c>
      <c r="K4321" s="33">
        <v>3200</v>
      </c>
      <c r="M4321" t="str">
        <f>_xlfn.XLOOKUP(Pipeline_tbl[[#This Row],[Rep_ID]],Dim_Reps!A:A,Dim_Reps!K:K)</f>
        <v>EUR</v>
      </c>
      <c r="N4321" s="33">
        <f>(_xlfn.XLOOKUP(Pipeline_tbl[[#This Row],[Rate_Code_Generalized]],Lookups!A:A,Lookups!B:B))*Pipeline_tbl[[#This Row],[Pipeline_Amount_USD]]</f>
        <v>3200</v>
      </c>
      <c r="O4321" t="str">
        <f>_xlfn.XLOOKUP(Pipeline_tbl[[#This Row],[Rep_ID]],Dim_Reps!A:A,Dim_Reps!B:B)</f>
        <v>Petra Larsen</v>
      </c>
      <c r="P4321" t="str">
        <f>_xlfn.XLOOKUP(Pipeline_tbl[[#This Row],[Rep_ID]],Dim_Reps!A:A,Dim_Reps!C:C)</f>
        <v>SDR / Inside Sales Rep</v>
      </c>
      <c r="Q4321" t="str">
        <f>_xlfn.XLOOKUP(Pipeline_tbl[[#This Row],[Rep_ID]],Dim_Reps!A:A,Dim_Reps!D:D)</f>
        <v>Inside Sales</v>
      </c>
      <c r="R4321" t="str">
        <f>_xlfn.XLOOKUP(Pipeline_tbl[[#This Row],[Rep_ID]],Dim_Reps!A:A,Dim_Reps!E:E)</f>
        <v>EMEA</v>
      </c>
      <c r="S4321" t="str">
        <f>_xlfn.XLOOKUP(Pipeline_tbl[[#This Row],[Created_Date]],Dim_Date!A:A,Dim_Date!H:H)</f>
        <v>Jan 2025</v>
      </c>
      <c r="T4321" t="str">
        <f>IF(Pipeline_tbl[[#This Row],[Closed_Date]]=0,"",(_xlfn.XLOOKUP(Pipeline_tbl[[#This Row],[Closed_Date]],Dim_Date!A:A,Dim_Date!H:H)))</f>
        <v>Jan 2025</v>
      </c>
      <c r="U4321">
        <f>IF(Pipeline_tbl[[#This Row],[Closed_Date]]=0,"",Pipeline_tbl[[#This Row],[Closed_Date]]-Pipeline_tbl[[#This Row],[Created_Date]])</f>
        <v>18</v>
      </c>
    </row>
    <row r="4322" spans="1:21" ht="15" customHeight="1" x14ac:dyDescent="0.2">
      <c r="A4322" t="s">
        <v>4628</v>
      </c>
      <c r="B4322" t="s">
        <v>211</v>
      </c>
      <c r="C4322" t="s">
        <v>56</v>
      </c>
      <c r="D4322" s="49">
        <v>45671</v>
      </c>
      <c r="E4322" s="49">
        <v>45672</v>
      </c>
      <c r="F4322" s="49">
        <v>45675</v>
      </c>
      <c r="I4322" s="49">
        <v>45685</v>
      </c>
      <c r="J4322" t="s">
        <v>49</v>
      </c>
      <c r="K4322" s="33">
        <v>1300</v>
      </c>
      <c r="L4322" t="s">
        <v>62</v>
      </c>
      <c r="M4322" t="str">
        <f>_xlfn.XLOOKUP(Pipeline_tbl[[#This Row],[Rep_ID]],Dim_Reps!A:A,Dim_Reps!K:K)</f>
        <v>EUR</v>
      </c>
      <c r="N4322" s="33">
        <f>(_xlfn.XLOOKUP(Pipeline_tbl[[#This Row],[Rate_Code_Generalized]],Lookups!A:A,Lookups!B:B))*Pipeline_tbl[[#This Row],[Pipeline_Amount_USD]]</f>
        <v>1300</v>
      </c>
      <c r="O4322" t="str">
        <f>_xlfn.XLOOKUP(Pipeline_tbl[[#This Row],[Rep_ID]],Dim_Reps!A:A,Dim_Reps!B:B)</f>
        <v>Lea Weber</v>
      </c>
      <c r="P4322" t="str">
        <f>_xlfn.XLOOKUP(Pipeline_tbl[[#This Row],[Rep_ID]],Dim_Reps!A:A,Dim_Reps!C:C)</f>
        <v>SDR / Inside Sales Rep</v>
      </c>
      <c r="Q4322" t="str">
        <f>_xlfn.XLOOKUP(Pipeline_tbl[[#This Row],[Rep_ID]],Dim_Reps!A:A,Dim_Reps!D:D)</f>
        <v>Inside Sales</v>
      </c>
      <c r="R4322" t="str">
        <f>_xlfn.XLOOKUP(Pipeline_tbl[[#This Row],[Rep_ID]],Dim_Reps!A:A,Dim_Reps!E:E)</f>
        <v>EMEA</v>
      </c>
      <c r="S4322" t="str">
        <f>_xlfn.XLOOKUP(Pipeline_tbl[[#This Row],[Created_Date]],Dim_Date!A:A,Dim_Date!H:H)</f>
        <v>Jan 2025</v>
      </c>
      <c r="T4322" t="str">
        <f>IF(Pipeline_tbl[[#This Row],[Closed_Date]]=0,"",(_xlfn.XLOOKUP(Pipeline_tbl[[#This Row],[Closed_Date]],Dim_Date!A:A,Dim_Date!H:H)))</f>
        <v>Jan 2025</v>
      </c>
      <c r="U4322">
        <f>IF(Pipeline_tbl[[#This Row],[Closed_Date]]=0,"",Pipeline_tbl[[#This Row],[Closed_Date]]-Pipeline_tbl[[#This Row],[Created_Date]])</f>
        <v>14</v>
      </c>
    </row>
    <row r="4323" spans="1:21" ht="15" customHeight="1" x14ac:dyDescent="0.2">
      <c r="A4323" t="s">
        <v>4629</v>
      </c>
      <c r="B4323" t="s">
        <v>211</v>
      </c>
      <c r="C4323" t="s">
        <v>55</v>
      </c>
      <c r="D4323" s="49">
        <v>45663</v>
      </c>
      <c r="E4323" s="49">
        <v>45664</v>
      </c>
      <c r="F4323" s="49">
        <v>45667</v>
      </c>
      <c r="G4323" s="49">
        <v>45671</v>
      </c>
      <c r="H4323" s="49">
        <v>45674</v>
      </c>
      <c r="I4323" s="49">
        <v>45676</v>
      </c>
      <c r="J4323" t="s">
        <v>47</v>
      </c>
      <c r="K4323" s="33">
        <v>3700</v>
      </c>
      <c r="M4323" t="str">
        <f>_xlfn.XLOOKUP(Pipeline_tbl[[#This Row],[Rep_ID]],Dim_Reps!A:A,Dim_Reps!K:K)</f>
        <v>EUR</v>
      </c>
      <c r="N4323" s="33">
        <f>(_xlfn.XLOOKUP(Pipeline_tbl[[#This Row],[Rate_Code_Generalized]],Lookups!A:A,Lookups!B:B))*Pipeline_tbl[[#This Row],[Pipeline_Amount_USD]]</f>
        <v>3700</v>
      </c>
      <c r="O4323" t="str">
        <f>_xlfn.XLOOKUP(Pipeline_tbl[[#This Row],[Rep_ID]],Dim_Reps!A:A,Dim_Reps!B:B)</f>
        <v>Lea Weber</v>
      </c>
      <c r="P4323" t="str">
        <f>_xlfn.XLOOKUP(Pipeline_tbl[[#This Row],[Rep_ID]],Dim_Reps!A:A,Dim_Reps!C:C)</f>
        <v>SDR / Inside Sales Rep</v>
      </c>
      <c r="Q4323" t="str">
        <f>_xlfn.XLOOKUP(Pipeline_tbl[[#This Row],[Rep_ID]],Dim_Reps!A:A,Dim_Reps!D:D)</f>
        <v>Inside Sales</v>
      </c>
      <c r="R4323" t="str">
        <f>_xlfn.XLOOKUP(Pipeline_tbl[[#This Row],[Rep_ID]],Dim_Reps!A:A,Dim_Reps!E:E)</f>
        <v>EMEA</v>
      </c>
      <c r="S4323" t="str">
        <f>_xlfn.XLOOKUP(Pipeline_tbl[[#This Row],[Created_Date]],Dim_Date!A:A,Dim_Date!H:H)</f>
        <v>Jan 2025</v>
      </c>
      <c r="T4323" t="str">
        <f>IF(Pipeline_tbl[[#This Row],[Closed_Date]]=0,"",(_xlfn.XLOOKUP(Pipeline_tbl[[#This Row],[Closed_Date]],Dim_Date!A:A,Dim_Date!H:H)))</f>
        <v>Jan 2025</v>
      </c>
      <c r="U4323">
        <f>IF(Pipeline_tbl[[#This Row],[Closed_Date]]=0,"",Pipeline_tbl[[#This Row],[Closed_Date]]-Pipeline_tbl[[#This Row],[Created_Date]])</f>
        <v>13</v>
      </c>
    </row>
    <row r="4324" spans="1:21" ht="15" customHeight="1" x14ac:dyDescent="0.2">
      <c r="A4324" t="s">
        <v>4630</v>
      </c>
      <c r="B4324" t="s">
        <v>211</v>
      </c>
      <c r="C4324" t="s">
        <v>53</v>
      </c>
      <c r="D4324" s="49">
        <v>45664</v>
      </c>
      <c r="E4324" s="49">
        <v>45665</v>
      </c>
      <c r="F4324" s="49">
        <v>45668</v>
      </c>
      <c r="G4324" s="49">
        <v>45672</v>
      </c>
      <c r="H4324" s="49">
        <v>45675</v>
      </c>
      <c r="I4324" s="49">
        <v>45677</v>
      </c>
      <c r="J4324" t="s">
        <v>47</v>
      </c>
      <c r="K4324" s="33">
        <v>1400</v>
      </c>
      <c r="M4324" t="str">
        <f>_xlfn.XLOOKUP(Pipeline_tbl[[#This Row],[Rep_ID]],Dim_Reps!A:A,Dim_Reps!K:K)</f>
        <v>EUR</v>
      </c>
      <c r="N4324" s="33">
        <f>(_xlfn.XLOOKUP(Pipeline_tbl[[#This Row],[Rate_Code_Generalized]],Lookups!A:A,Lookups!B:B))*Pipeline_tbl[[#This Row],[Pipeline_Amount_USD]]</f>
        <v>1400</v>
      </c>
      <c r="O4324" t="str">
        <f>_xlfn.XLOOKUP(Pipeline_tbl[[#This Row],[Rep_ID]],Dim_Reps!A:A,Dim_Reps!B:B)</f>
        <v>Lea Weber</v>
      </c>
      <c r="P4324" t="str">
        <f>_xlfn.XLOOKUP(Pipeline_tbl[[#This Row],[Rep_ID]],Dim_Reps!A:A,Dim_Reps!C:C)</f>
        <v>SDR / Inside Sales Rep</v>
      </c>
      <c r="Q4324" t="str">
        <f>_xlfn.XLOOKUP(Pipeline_tbl[[#This Row],[Rep_ID]],Dim_Reps!A:A,Dim_Reps!D:D)</f>
        <v>Inside Sales</v>
      </c>
      <c r="R4324" t="str">
        <f>_xlfn.XLOOKUP(Pipeline_tbl[[#This Row],[Rep_ID]],Dim_Reps!A:A,Dim_Reps!E:E)</f>
        <v>EMEA</v>
      </c>
      <c r="S4324" t="str">
        <f>_xlfn.XLOOKUP(Pipeline_tbl[[#This Row],[Created_Date]],Dim_Date!A:A,Dim_Date!H:H)</f>
        <v>Jan 2025</v>
      </c>
      <c r="T4324" t="str">
        <f>IF(Pipeline_tbl[[#This Row],[Closed_Date]]=0,"",(_xlfn.XLOOKUP(Pipeline_tbl[[#This Row],[Closed_Date]],Dim_Date!A:A,Dim_Date!H:H)))</f>
        <v>Jan 2025</v>
      </c>
      <c r="U4324">
        <f>IF(Pipeline_tbl[[#This Row],[Closed_Date]]=0,"",Pipeline_tbl[[#This Row],[Closed_Date]]-Pipeline_tbl[[#This Row],[Created_Date]])</f>
        <v>13</v>
      </c>
    </row>
    <row r="4325" spans="1:21" ht="15" customHeight="1" x14ac:dyDescent="0.2">
      <c r="A4325" t="s">
        <v>4631</v>
      </c>
      <c r="B4325" t="s">
        <v>211</v>
      </c>
      <c r="C4325" t="s">
        <v>53</v>
      </c>
      <c r="D4325" s="49">
        <v>45662</v>
      </c>
      <c r="E4325" s="49">
        <v>45664</v>
      </c>
      <c r="F4325" s="49">
        <v>45670</v>
      </c>
      <c r="G4325" s="49">
        <v>45677</v>
      </c>
      <c r="I4325" s="49">
        <v>45687</v>
      </c>
      <c r="J4325" t="s">
        <v>49</v>
      </c>
      <c r="K4325" s="33">
        <v>3100</v>
      </c>
      <c r="L4325" t="s">
        <v>61</v>
      </c>
      <c r="M4325" t="str">
        <f>_xlfn.XLOOKUP(Pipeline_tbl[[#This Row],[Rep_ID]],Dim_Reps!A:A,Dim_Reps!K:K)</f>
        <v>EUR</v>
      </c>
      <c r="N4325" s="33">
        <f>(_xlfn.XLOOKUP(Pipeline_tbl[[#This Row],[Rate_Code_Generalized]],Lookups!A:A,Lookups!B:B))*Pipeline_tbl[[#This Row],[Pipeline_Amount_USD]]</f>
        <v>3100</v>
      </c>
      <c r="O4325" t="str">
        <f>_xlfn.XLOOKUP(Pipeline_tbl[[#This Row],[Rep_ID]],Dim_Reps!A:A,Dim_Reps!B:B)</f>
        <v>Lea Weber</v>
      </c>
      <c r="P4325" t="str">
        <f>_xlfn.XLOOKUP(Pipeline_tbl[[#This Row],[Rep_ID]],Dim_Reps!A:A,Dim_Reps!C:C)</f>
        <v>SDR / Inside Sales Rep</v>
      </c>
      <c r="Q4325" t="str">
        <f>_xlfn.XLOOKUP(Pipeline_tbl[[#This Row],[Rep_ID]],Dim_Reps!A:A,Dim_Reps!D:D)</f>
        <v>Inside Sales</v>
      </c>
      <c r="R4325" t="str">
        <f>_xlfn.XLOOKUP(Pipeline_tbl[[#This Row],[Rep_ID]],Dim_Reps!A:A,Dim_Reps!E:E)</f>
        <v>EMEA</v>
      </c>
      <c r="S4325" t="str">
        <f>_xlfn.XLOOKUP(Pipeline_tbl[[#This Row],[Created_Date]],Dim_Date!A:A,Dim_Date!H:H)</f>
        <v>Jan 2025</v>
      </c>
      <c r="T4325" t="str">
        <f>IF(Pipeline_tbl[[#This Row],[Closed_Date]]=0,"",(_xlfn.XLOOKUP(Pipeline_tbl[[#This Row],[Closed_Date]],Dim_Date!A:A,Dim_Date!H:H)))</f>
        <v>Jan 2025</v>
      </c>
      <c r="U4325">
        <f>IF(Pipeline_tbl[[#This Row],[Closed_Date]]=0,"",Pipeline_tbl[[#This Row],[Closed_Date]]-Pipeline_tbl[[#This Row],[Created_Date]])</f>
        <v>25</v>
      </c>
    </row>
    <row r="4326" spans="1:21" ht="15" customHeight="1" x14ac:dyDescent="0.2">
      <c r="A4326" t="s">
        <v>4632</v>
      </c>
      <c r="B4326" t="s">
        <v>211</v>
      </c>
      <c r="C4326" t="s">
        <v>52</v>
      </c>
      <c r="D4326" s="49">
        <v>45666</v>
      </c>
      <c r="E4326" s="49">
        <v>45667</v>
      </c>
      <c r="F4326" s="49">
        <v>45669</v>
      </c>
      <c r="I4326" s="49">
        <v>45676</v>
      </c>
      <c r="J4326" t="s">
        <v>49</v>
      </c>
      <c r="K4326" s="33">
        <v>4200</v>
      </c>
      <c r="L4326" t="s">
        <v>63</v>
      </c>
      <c r="M4326" t="str">
        <f>_xlfn.XLOOKUP(Pipeline_tbl[[#This Row],[Rep_ID]],Dim_Reps!A:A,Dim_Reps!K:K)</f>
        <v>EUR</v>
      </c>
      <c r="N4326" s="33">
        <f>(_xlfn.XLOOKUP(Pipeline_tbl[[#This Row],[Rate_Code_Generalized]],Lookups!A:A,Lookups!B:B))*Pipeline_tbl[[#This Row],[Pipeline_Amount_USD]]</f>
        <v>4200</v>
      </c>
      <c r="O4326" t="str">
        <f>_xlfn.XLOOKUP(Pipeline_tbl[[#This Row],[Rep_ID]],Dim_Reps!A:A,Dim_Reps!B:B)</f>
        <v>Lea Weber</v>
      </c>
      <c r="P4326" t="str">
        <f>_xlfn.XLOOKUP(Pipeline_tbl[[#This Row],[Rep_ID]],Dim_Reps!A:A,Dim_Reps!C:C)</f>
        <v>SDR / Inside Sales Rep</v>
      </c>
      <c r="Q4326" t="str">
        <f>_xlfn.XLOOKUP(Pipeline_tbl[[#This Row],[Rep_ID]],Dim_Reps!A:A,Dim_Reps!D:D)</f>
        <v>Inside Sales</v>
      </c>
      <c r="R4326" t="str">
        <f>_xlfn.XLOOKUP(Pipeline_tbl[[#This Row],[Rep_ID]],Dim_Reps!A:A,Dim_Reps!E:E)</f>
        <v>EMEA</v>
      </c>
      <c r="S4326" t="str">
        <f>_xlfn.XLOOKUP(Pipeline_tbl[[#This Row],[Created_Date]],Dim_Date!A:A,Dim_Date!H:H)</f>
        <v>Jan 2025</v>
      </c>
      <c r="T4326" t="str">
        <f>IF(Pipeline_tbl[[#This Row],[Closed_Date]]=0,"",(_xlfn.XLOOKUP(Pipeline_tbl[[#This Row],[Closed_Date]],Dim_Date!A:A,Dim_Date!H:H)))</f>
        <v>Jan 2025</v>
      </c>
      <c r="U4326">
        <f>IF(Pipeline_tbl[[#This Row],[Closed_Date]]=0,"",Pipeline_tbl[[#This Row],[Closed_Date]]-Pipeline_tbl[[#This Row],[Created_Date]])</f>
        <v>10</v>
      </c>
    </row>
    <row r="4327" spans="1:21" ht="15" customHeight="1" x14ac:dyDescent="0.2">
      <c r="A4327" t="s">
        <v>4633</v>
      </c>
      <c r="B4327" t="s">
        <v>211</v>
      </c>
      <c r="C4327" t="s">
        <v>56</v>
      </c>
      <c r="D4327" s="49">
        <v>45659</v>
      </c>
      <c r="E4327" s="49">
        <v>45662</v>
      </c>
      <c r="F4327" s="49">
        <v>45667</v>
      </c>
      <c r="G4327" s="49">
        <v>45675</v>
      </c>
      <c r="H4327" s="49">
        <v>45681</v>
      </c>
      <c r="I4327" s="49">
        <v>45685</v>
      </c>
      <c r="J4327" t="s">
        <v>49</v>
      </c>
      <c r="K4327" s="33">
        <v>1700</v>
      </c>
      <c r="L4327" t="s">
        <v>62</v>
      </c>
      <c r="M4327" t="str">
        <f>_xlfn.XLOOKUP(Pipeline_tbl[[#This Row],[Rep_ID]],Dim_Reps!A:A,Dim_Reps!K:K)</f>
        <v>EUR</v>
      </c>
      <c r="N4327" s="33">
        <f>(_xlfn.XLOOKUP(Pipeline_tbl[[#This Row],[Rate_Code_Generalized]],Lookups!A:A,Lookups!B:B))*Pipeline_tbl[[#This Row],[Pipeline_Amount_USD]]</f>
        <v>1700</v>
      </c>
      <c r="O4327" t="str">
        <f>_xlfn.XLOOKUP(Pipeline_tbl[[#This Row],[Rep_ID]],Dim_Reps!A:A,Dim_Reps!B:B)</f>
        <v>Lea Weber</v>
      </c>
      <c r="P4327" t="str">
        <f>_xlfn.XLOOKUP(Pipeline_tbl[[#This Row],[Rep_ID]],Dim_Reps!A:A,Dim_Reps!C:C)</f>
        <v>SDR / Inside Sales Rep</v>
      </c>
      <c r="Q4327" t="str">
        <f>_xlfn.XLOOKUP(Pipeline_tbl[[#This Row],[Rep_ID]],Dim_Reps!A:A,Dim_Reps!D:D)</f>
        <v>Inside Sales</v>
      </c>
      <c r="R4327" t="str">
        <f>_xlfn.XLOOKUP(Pipeline_tbl[[#This Row],[Rep_ID]],Dim_Reps!A:A,Dim_Reps!E:E)</f>
        <v>EMEA</v>
      </c>
      <c r="S4327" t="str">
        <f>_xlfn.XLOOKUP(Pipeline_tbl[[#This Row],[Created_Date]],Dim_Date!A:A,Dim_Date!H:H)</f>
        <v>Jan 2025</v>
      </c>
      <c r="T4327" t="str">
        <f>IF(Pipeline_tbl[[#This Row],[Closed_Date]]=0,"",(_xlfn.XLOOKUP(Pipeline_tbl[[#This Row],[Closed_Date]],Dim_Date!A:A,Dim_Date!H:H)))</f>
        <v>Jan 2025</v>
      </c>
      <c r="U4327">
        <f>IF(Pipeline_tbl[[#This Row],[Closed_Date]]=0,"",Pipeline_tbl[[#This Row],[Closed_Date]]-Pipeline_tbl[[#This Row],[Created_Date]])</f>
        <v>26</v>
      </c>
    </row>
    <row r="4328" spans="1:21" ht="15" customHeight="1" x14ac:dyDescent="0.2">
      <c r="A4328" t="s">
        <v>4634</v>
      </c>
      <c r="B4328" t="s">
        <v>213</v>
      </c>
      <c r="C4328" t="s">
        <v>52</v>
      </c>
      <c r="D4328" s="49">
        <v>45670</v>
      </c>
      <c r="E4328" s="49">
        <v>45672</v>
      </c>
      <c r="F4328" s="49">
        <v>45675</v>
      </c>
      <c r="G4328" s="49">
        <v>45680</v>
      </c>
      <c r="I4328" s="49">
        <v>45687</v>
      </c>
      <c r="J4328" t="s">
        <v>49</v>
      </c>
      <c r="K4328" s="33">
        <v>2800</v>
      </c>
      <c r="L4328" t="s">
        <v>60</v>
      </c>
      <c r="M4328" t="str">
        <f>_xlfn.XLOOKUP(Pipeline_tbl[[#This Row],[Rep_ID]],Dim_Reps!A:A,Dim_Reps!K:K)</f>
        <v>EUR</v>
      </c>
      <c r="N4328" s="33">
        <f>(_xlfn.XLOOKUP(Pipeline_tbl[[#This Row],[Rate_Code_Generalized]],Lookups!A:A,Lookups!B:B))*Pipeline_tbl[[#This Row],[Pipeline_Amount_USD]]</f>
        <v>2800</v>
      </c>
      <c r="O4328" t="str">
        <f>_xlfn.XLOOKUP(Pipeline_tbl[[#This Row],[Rep_ID]],Dim_Reps!A:A,Dim_Reps!B:B)</f>
        <v>Jamie Silva</v>
      </c>
      <c r="P4328" t="str">
        <f>_xlfn.XLOOKUP(Pipeline_tbl[[#This Row],[Rep_ID]],Dim_Reps!A:A,Dim_Reps!C:C)</f>
        <v>SDR / Inside Sales Rep</v>
      </c>
      <c r="Q4328" t="str">
        <f>_xlfn.XLOOKUP(Pipeline_tbl[[#This Row],[Rep_ID]],Dim_Reps!A:A,Dim_Reps!D:D)</f>
        <v>Inside Sales</v>
      </c>
      <c r="R4328" t="str">
        <f>_xlfn.XLOOKUP(Pipeline_tbl[[#This Row],[Rep_ID]],Dim_Reps!A:A,Dim_Reps!E:E)</f>
        <v>EMEA</v>
      </c>
      <c r="S4328" t="str">
        <f>_xlfn.XLOOKUP(Pipeline_tbl[[#This Row],[Created_Date]],Dim_Date!A:A,Dim_Date!H:H)</f>
        <v>Jan 2025</v>
      </c>
      <c r="T4328" t="str">
        <f>IF(Pipeline_tbl[[#This Row],[Closed_Date]]=0,"",(_xlfn.XLOOKUP(Pipeline_tbl[[#This Row],[Closed_Date]],Dim_Date!A:A,Dim_Date!H:H)))</f>
        <v>Jan 2025</v>
      </c>
      <c r="U4328">
        <f>IF(Pipeline_tbl[[#This Row],[Closed_Date]]=0,"",Pipeline_tbl[[#This Row],[Closed_Date]]-Pipeline_tbl[[#This Row],[Created_Date]])</f>
        <v>17</v>
      </c>
    </row>
    <row r="4329" spans="1:21" ht="15" customHeight="1" x14ac:dyDescent="0.2">
      <c r="A4329" t="s">
        <v>4635</v>
      </c>
      <c r="B4329" t="s">
        <v>213</v>
      </c>
      <c r="C4329" t="s">
        <v>52</v>
      </c>
      <c r="D4329" s="49">
        <v>45675</v>
      </c>
      <c r="E4329" s="49">
        <v>45676</v>
      </c>
      <c r="F4329" s="49">
        <v>45678</v>
      </c>
      <c r="G4329" s="49">
        <v>45681</v>
      </c>
      <c r="H4329" s="49">
        <v>45683</v>
      </c>
      <c r="I4329" s="49">
        <v>45685</v>
      </c>
      <c r="J4329" t="s">
        <v>49</v>
      </c>
      <c r="K4329" s="33">
        <v>3900</v>
      </c>
      <c r="L4329" t="s">
        <v>63</v>
      </c>
      <c r="M4329" t="str">
        <f>_xlfn.XLOOKUP(Pipeline_tbl[[#This Row],[Rep_ID]],Dim_Reps!A:A,Dim_Reps!K:K)</f>
        <v>EUR</v>
      </c>
      <c r="N4329" s="33">
        <f>(_xlfn.XLOOKUP(Pipeline_tbl[[#This Row],[Rate_Code_Generalized]],Lookups!A:A,Lookups!B:B))*Pipeline_tbl[[#This Row],[Pipeline_Amount_USD]]</f>
        <v>3900</v>
      </c>
      <c r="O4329" t="str">
        <f>_xlfn.XLOOKUP(Pipeline_tbl[[#This Row],[Rep_ID]],Dim_Reps!A:A,Dim_Reps!B:B)</f>
        <v>Jamie Silva</v>
      </c>
      <c r="P4329" t="str">
        <f>_xlfn.XLOOKUP(Pipeline_tbl[[#This Row],[Rep_ID]],Dim_Reps!A:A,Dim_Reps!C:C)</f>
        <v>SDR / Inside Sales Rep</v>
      </c>
      <c r="Q4329" t="str">
        <f>_xlfn.XLOOKUP(Pipeline_tbl[[#This Row],[Rep_ID]],Dim_Reps!A:A,Dim_Reps!D:D)</f>
        <v>Inside Sales</v>
      </c>
      <c r="R4329" t="str">
        <f>_xlfn.XLOOKUP(Pipeline_tbl[[#This Row],[Rep_ID]],Dim_Reps!A:A,Dim_Reps!E:E)</f>
        <v>EMEA</v>
      </c>
      <c r="S4329" t="str">
        <f>_xlfn.XLOOKUP(Pipeline_tbl[[#This Row],[Created_Date]],Dim_Date!A:A,Dim_Date!H:H)</f>
        <v>Jan 2025</v>
      </c>
      <c r="T4329" t="str">
        <f>IF(Pipeline_tbl[[#This Row],[Closed_Date]]=0,"",(_xlfn.XLOOKUP(Pipeline_tbl[[#This Row],[Closed_Date]],Dim_Date!A:A,Dim_Date!H:H)))</f>
        <v>Jan 2025</v>
      </c>
      <c r="U4329">
        <f>IF(Pipeline_tbl[[#This Row],[Closed_Date]]=0,"",Pipeline_tbl[[#This Row],[Closed_Date]]-Pipeline_tbl[[#This Row],[Created_Date]])</f>
        <v>10</v>
      </c>
    </row>
    <row r="4330" spans="1:21" ht="15" customHeight="1" x14ac:dyDescent="0.2">
      <c r="A4330" t="s">
        <v>4636</v>
      </c>
      <c r="B4330" t="s">
        <v>213</v>
      </c>
      <c r="C4330" t="s">
        <v>55</v>
      </c>
      <c r="D4330" s="49">
        <v>45659</v>
      </c>
      <c r="E4330" s="49">
        <v>45661</v>
      </c>
      <c r="F4330" s="49">
        <v>45664</v>
      </c>
      <c r="G4330" s="49">
        <v>45669</v>
      </c>
      <c r="H4330" s="49">
        <v>45673</v>
      </c>
      <c r="I4330" s="49">
        <v>45675</v>
      </c>
      <c r="J4330" t="s">
        <v>49</v>
      </c>
      <c r="K4330" s="33">
        <v>1800</v>
      </c>
      <c r="L4330" t="s">
        <v>61</v>
      </c>
      <c r="M4330" t="str">
        <f>_xlfn.XLOOKUP(Pipeline_tbl[[#This Row],[Rep_ID]],Dim_Reps!A:A,Dim_Reps!K:K)</f>
        <v>EUR</v>
      </c>
      <c r="N4330" s="33">
        <f>(_xlfn.XLOOKUP(Pipeline_tbl[[#This Row],[Rate_Code_Generalized]],Lookups!A:A,Lookups!B:B))*Pipeline_tbl[[#This Row],[Pipeline_Amount_USD]]</f>
        <v>1800</v>
      </c>
      <c r="O4330" t="str">
        <f>_xlfn.XLOOKUP(Pipeline_tbl[[#This Row],[Rep_ID]],Dim_Reps!A:A,Dim_Reps!B:B)</f>
        <v>Jamie Silva</v>
      </c>
      <c r="P4330" t="str">
        <f>_xlfn.XLOOKUP(Pipeline_tbl[[#This Row],[Rep_ID]],Dim_Reps!A:A,Dim_Reps!C:C)</f>
        <v>SDR / Inside Sales Rep</v>
      </c>
      <c r="Q4330" t="str">
        <f>_xlfn.XLOOKUP(Pipeline_tbl[[#This Row],[Rep_ID]],Dim_Reps!A:A,Dim_Reps!D:D)</f>
        <v>Inside Sales</v>
      </c>
      <c r="R4330" t="str">
        <f>_xlfn.XLOOKUP(Pipeline_tbl[[#This Row],[Rep_ID]],Dim_Reps!A:A,Dim_Reps!E:E)</f>
        <v>EMEA</v>
      </c>
      <c r="S4330" t="str">
        <f>_xlfn.XLOOKUP(Pipeline_tbl[[#This Row],[Created_Date]],Dim_Date!A:A,Dim_Date!H:H)</f>
        <v>Jan 2025</v>
      </c>
      <c r="T4330" t="str">
        <f>IF(Pipeline_tbl[[#This Row],[Closed_Date]]=0,"",(_xlfn.XLOOKUP(Pipeline_tbl[[#This Row],[Closed_Date]],Dim_Date!A:A,Dim_Date!H:H)))</f>
        <v>Jan 2025</v>
      </c>
      <c r="U4330">
        <f>IF(Pipeline_tbl[[#This Row],[Closed_Date]]=0,"",Pipeline_tbl[[#This Row],[Closed_Date]]-Pipeline_tbl[[#This Row],[Created_Date]])</f>
        <v>16</v>
      </c>
    </row>
    <row r="4331" spans="1:21" ht="15" customHeight="1" x14ac:dyDescent="0.2">
      <c r="A4331" t="s">
        <v>4637</v>
      </c>
      <c r="B4331" t="s">
        <v>215</v>
      </c>
      <c r="C4331" t="s">
        <v>53</v>
      </c>
      <c r="D4331" s="49">
        <v>45662</v>
      </c>
      <c r="E4331" s="49">
        <v>45663</v>
      </c>
      <c r="F4331" s="49">
        <v>45666</v>
      </c>
      <c r="I4331" s="49">
        <v>45674</v>
      </c>
      <c r="J4331" t="s">
        <v>49</v>
      </c>
      <c r="K4331" s="33">
        <v>2400</v>
      </c>
      <c r="L4331" t="s">
        <v>61</v>
      </c>
      <c r="M4331" t="str">
        <f>_xlfn.XLOOKUP(Pipeline_tbl[[#This Row],[Rep_ID]],Dim_Reps!A:A,Dim_Reps!K:K)</f>
        <v>EUR</v>
      </c>
      <c r="N4331" s="33">
        <f>(_xlfn.XLOOKUP(Pipeline_tbl[[#This Row],[Rate_Code_Generalized]],Lookups!A:A,Lookups!B:B))*Pipeline_tbl[[#This Row],[Pipeline_Amount_USD]]</f>
        <v>2400</v>
      </c>
      <c r="O4331" t="str">
        <f>_xlfn.XLOOKUP(Pipeline_tbl[[#This Row],[Rep_ID]],Dim_Reps!A:A,Dim_Reps!B:B)</f>
        <v>Jamie Schmidt</v>
      </c>
      <c r="P4331" t="str">
        <f>_xlfn.XLOOKUP(Pipeline_tbl[[#This Row],[Rep_ID]],Dim_Reps!A:A,Dim_Reps!C:C)</f>
        <v>SDR / Inside Sales Rep</v>
      </c>
      <c r="Q4331" t="str">
        <f>_xlfn.XLOOKUP(Pipeline_tbl[[#This Row],[Rep_ID]],Dim_Reps!A:A,Dim_Reps!D:D)</f>
        <v>Inside Sales</v>
      </c>
      <c r="R4331" t="str">
        <f>_xlfn.XLOOKUP(Pipeline_tbl[[#This Row],[Rep_ID]],Dim_Reps!A:A,Dim_Reps!E:E)</f>
        <v>APAC</v>
      </c>
      <c r="S4331" t="str">
        <f>_xlfn.XLOOKUP(Pipeline_tbl[[#This Row],[Created_Date]],Dim_Date!A:A,Dim_Date!H:H)</f>
        <v>Jan 2025</v>
      </c>
      <c r="T4331" t="str">
        <f>IF(Pipeline_tbl[[#This Row],[Closed_Date]]=0,"",(_xlfn.XLOOKUP(Pipeline_tbl[[#This Row],[Closed_Date]],Dim_Date!A:A,Dim_Date!H:H)))</f>
        <v>Jan 2025</v>
      </c>
      <c r="U4331">
        <f>IF(Pipeline_tbl[[#This Row],[Closed_Date]]=0,"",Pipeline_tbl[[#This Row],[Closed_Date]]-Pipeline_tbl[[#This Row],[Created_Date]])</f>
        <v>12</v>
      </c>
    </row>
    <row r="4332" spans="1:21" ht="15" customHeight="1" x14ac:dyDescent="0.2">
      <c r="A4332" t="s">
        <v>4638</v>
      </c>
      <c r="B4332" t="s">
        <v>215</v>
      </c>
      <c r="C4332" t="s">
        <v>54</v>
      </c>
      <c r="D4332" s="49">
        <v>45663</v>
      </c>
      <c r="E4332" s="49">
        <v>45664</v>
      </c>
      <c r="F4332" s="49">
        <v>45667</v>
      </c>
      <c r="G4332" s="49">
        <v>45670</v>
      </c>
      <c r="H4332" s="49">
        <v>45673</v>
      </c>
      <c r="I4332" s="49">
        <v>45675</v>
      </c>
      <c r="J4332" t="s">
        <v>47</v>
      </c>
      <c r="K4332" s="33">
        <v>9200</v>
      </c>
      <c r="M4332" t="str">
        <f>_xlfn.XLOOKUP(Pipeline_tbl[[#This Row],[Rep_ID]],Dim_Reps!A:A,Dim_Reps!K:K)</f>
        <v>EUR</v>
      </c>
      <c r="N4332" s="33">
        <f>(_xlfn.XLOOKUP(Pipeline_tbl[[#This Row],[Rate_Code_Generalized]],Lookups!A:A,Lookups!B:B))*Pipeline_tbl[[#This Row],[Pipeline_Amount_USD]]</f>
        <v>9200</v>
      </c>
      <c r="O4332" t="str">
        <f>_xlfn.XLOOKUP(Pipeline_tbl[[#This Row],[Rep_ID]],Dim_Reps!A:A,Dim_Reps!B:B)</f>
        <v>Jamie Schmidt</v>
      </c>
      <c r="P4332" t="str">
        <f>_xlfn.XLOOKUP(Pipeline_tbl[[#This Row],[Rep_ID]],Dim_Reps!A:A,Dim_Reps!C:C)</f>
        <v>SDR / Inside Sales Rep</v>
      </c>
      <c r="Q4332" t="str">
        <f>_xlfn.XLOOKUP(Pipeline_tbl[[#This Row],[Rep_ID]],Dim_Reps!A:A,Dim_Reps!D:D)</f>
        <v>Inside Sales</v>
      </c>
      <c r="R4332" t="str">
        <f>_xlfn.XLOOKUP(Pipeline_tbl[[#This Row],[Rep_ID]],Dim_Reps!A:A,Dim_Reps!E:E)</f>
        <v>APAC</v>
      </c>
      <c r="S4332" t="str">
        <f>_xlfn.XLOOKUP(Pipeline_tbl[[#This Row],[Created_Date]],Dim_Date!A:A,Dim_Date!H:H)</f>
        <v>Jan 2025</v>
      </c>
      <c r="T4332" t="str">
        <f>IF(Pipeline_tbl[[#This Row],[Closed_Date]]=0,"",(_xlfn.XLOOKUP(Pipeline_tbl[[#This Row],[Closed_Date]],Dim_Date!A:A,Dim_Date!H:H)))</f>
        <v>Jan 2025</v>
      </c>
      <c r="U4332">
        <f>IF(Pipeline_tbl[[#This Row],[Closed_Date]]=0,"",Pipeline_tbl[[#This Row],[Closed_Date]]-Pipeline_tbl[[#This Row],[Created_Date]])</f>
        <v>12</v>
      </c>
    </row>
    <row r="4333" spans="1:21" ht="15" customHeight="1" x14ac:dyDescent="0.2">
      <c r="A4333" t="s">
        <v>4639</v>
      </c>
      <c r="B4333" t="s">
        <v>217</v>
      </c>
      <c r="C4333" t="s">
        <v>52</v>
      </c>
      <c r="D4333" s="49">
        <v>45676</v>
      </c>
      <c r="E4333" s="49">
        <v>45677</v>
      </c>
      <c r="I4333" s="49">
        <v>45682</v>
      </c>
      <c r="J4333" t="s">
        <v>49</v>
      </c>
      <c r="K4333" s="33">
        <v>2200</v>
      </c>
      <c r="L4333" t="s">
        <v>61</v>
      </c>
      <c r="M4333" t="str">
        <f>_xlfn.XLOOKUP(Pipeline_tbl[[#This Row],[Rep_ID]],Dim_Reps!A:A,Dim_Reps!K:K)</f>
        <v>USD</v>
      </c>
      <c r="N4333" s="33">
        <f>(_xlfn.XLOOKUP(Pipeline_tbl[[#This Row],[Rate_Code_Generalized]],Lookups!A:A,Lookups!B:B))*Pipeline_tbl[[#This Row],[Pipeline_Amount_USD]]</f>
        <v>2561.4599999999996</v>
      </c>
      <c r="O4333" t="str">
        <f>_xlfn.XLOOKUP(Pipeline_tbl[[#This Row],[Rep_ID]],Dim_Reps!A:A,Dim_Reps!B:B)</f>
        <v>Priya Weber</v>
      </c>
      <c r="P4333" t="str">
        <f>_xlfn.XLOOKUP(Pipeline_tbl[[#This Row],[Rep_ID]],Dim_Reps!A:A,Dim_Reps!C:C)</f>
        <v>SDR / Inside Sales Rep</v>
      </c>
      <c r="Q4333" t="str">
        <f>_xlfn.XLOOKUP(Pipeline_tbl[[#This Row],[Rep_ID]],Dim_Reps!A:A,Dim_Reps!D:D)</f>
        <v>Inside Sales</v>
      </c>
      <c r="R4333" t="str">
        <f>_xlfn.XLOOKUP(Pipeline_tbl[[#This Row],[Rep_ID]],Dim_Reps!A:A,Dim_Reps!E:E)</f>
        <v>NAMER</v>
      </c>
      <c r="S4333" t="str">
        <f>_xlfn.XLOOKUP(Pipeline_tbl[[#This Row],[Created_Date]],Dim_Date!A:A,Dim_Date!H:H)</f>
        <v>Jan 2025</v>
      </c>
      <c r="T4333" t="str">
        <f>IF(Pipeline_tbl[[#This Row],[Closed_Date]]=0,"",(_xlfn.XLOOKUP(Pipeline_tbl[[#This Row],[Closed_Date]],Dim_Date!A:A,Dim_Date!H:H)))</f>
        <v>Jan 2025</v>
      </c>
      <c r="U4333">
        <f>IF(Pipeline_tbl[[#This Row],[Closed_Date]]=0,"",Pipeline_tbl[[#This Row],[Closed_Date]]-Pipeline_tbl[[#This Row],[Created_Date]])</f>
        <v>6</v>
      </c>
    </row>
    <row r="4334" spans="1:21" ht="15" customHeight="1" x14ac:dyDescent="0.2">
      <c r="A4334" t="s">
        <v>4640</v>
      </c>
      <c r="B4334" t="s">
        <v>217</v>
      </c>
      <c r="C4334" t="s">
        <v>54</v>
      </c>
      <c r="D4334" s="49">
        <v>45665</v>
      </c>
      <c r="E4334" s="49">
        <v>45667</v>
      </c>
      <c r="F4334" s="49">
        <v>45671</v>
      </c>
      <c r="G4334" s="49">
        <v>45678</v>
      </c>
      <c r="H4334" s="49">
        <v>45683</v>
      </c>
      <c r="I4334" s="49">
        <v>45686</v>
      </c>
      <c r="J4334" t="s">
        <v>49</v>
      </c>
      <c r="K4334" s="33">
        <v>2000</v>
      </c>
      <c r="L4334" t="s">
        <v>62</v>
      </c>
      <c r="M4334" t="str">
        <f>_xlfn.XLOOKUP(Pipeline_tbl[[#This Row],[Rep_ID]],Dim_Reps!A:A,Dim_Reps!K:K)</f>
        <v>USD</v>
      </c>
      <c r="N4334" s="33">
        <f>(_xlfn.XLOOKUP(Pipeline_tbl[[#This Row],[Rate_Code_Generalized]],Lookups!A:A,Lookups!B:B))*Pipeline_tbl[[#This Row],[Pipeline_Amount_USD]]</f>
        <v>2328.6</v>
      </c>
      <c r="O4334" t="str">
        <f>_xlfn.XLOOKUP(Pipeline_tbl[[#This Row],[Rep_ID]],Dim_Reps!A:A,Dim_Reps!B:B)</f>
        <v>Priya Weber</v>
      </c>
      <c r="P4334" t="str">
        <f>_xlfn.XLOOKUP(Pipeline_tbl[[#This Row],[Rep_ID]],Dim_Reps!A:A,Dim_Reps!C:C)</f>
        <v>SDR / Inside Sales Rep</v>
      </c>
      <c r="Q4334" t="str">
        <f>_xlfn.XLOOKUP(Pipeline_tbl[[#This Row],[Rep_ID]],Dim_Reps!A:A,Dim_Reps!D:D)</f>
        <v>Inside Sales</v>
      </c>
      <c r="R4334" t="str">
        <f>_xlfn.XLOOKUP(Pipeline_tbl[[#This Row],[Rep_ID]],Dim_Reps!A:A,Dim_Reps!E:E)</f>
        <v>NAMER</v>
      </c>
      <c r="S4334" t="str">
        <f>_xlfn.XLOOKUP(Pipeline_tbl[[#This Row],[Created_Date]],Dim_Date!A:A,Dim_Date!H:H)</f>
        <v>Jan 2025</v>
      </c>
      <c r="T4334" t="str">
        <f>IF(Pipeline_tbl[[#This Row],[Closed_Date]]=0,"",(_xlfn.XLOOKUP(Pipeline_tbl[[#This Row],[Closed_Date]],Dim_Date!A:A,Dim_Date!H:H)))</f>
        <v>Jan 2025</v>
      </c>
      <c r="U4334">
        <f>IF(Pipeline_tbl[[#This Row],[Closed_Date]]=0,"",Pipeline_tbl[[#This Row],[Closed_Date]]-Pipeline_tbl[[#This Row],[Created_Date]])</f>
        <v>21</v>
      </c>
    </row>
    <row r="4335" spans="1:21" ht="15" customHeight="1" x14ac:dyDescent="0.2">
      <c r="A4335" t="s">
        <v>4641</v>
      </c>
      <c r="B4335" t="s">
        <v>217</v>
      </c>
      <c r="C4335" t="s">
        <v>53</v>
      </c>
      <c r="D4335" s="49">
        <v>45659</v>
      </c>
      <c r="E4335" s="49">
        <v>45661</v>
      </c>
      <c r="F4335" s="49">
        <v>45664</v>
      </c>
      <c r="G4335" s="49">
        <v>45668</v>
      </c>
      <c r="H4335" s="49">
        <v>45672</v>
      </c>
      <c r="I4335" s="49">
        <v>45674</v>
      </c>
      <c r="J4335" t="s">
        <v>49</v>
      </c>
      <c r="K4335" s="33">
        <v>5300</v>
      </c>
      <c r="L4335" t="s">
        <v>62</v>
      </c>
      <c r="M4335" t="str">
        <f>_xlfn.XLOOKUP(Pipeline_tbl[[#This Row],[Rep_ID]],Dim_Reps!A:A,Dim_Reps!K:K)</f>
        <v>USD</v>
      </c>
      <c r="N4335" s="33">
        <f>(_xlfn.XLOOKUP(Pipeline_tbl[[#This Row],[Rate_Code_Generalized]],Lookups!A:A,Lookups!B:B))*Pipeline_tbl[[#This Row],[Pipeline_Amount_USD]]</f>
        <v>6170.7899999999991</v>
      </c>
      <c r="O4335" t="str">
        <f>_xlfn.XLOOKUP(Pipeline_tbl[[#This Row],[Rep_ID]],Dim_Reps!A:A,Dim_Reps!B:B)</f>
        <v>Priya Weber</v>
      </c>
      <c r="P4335" t="str">
        <f>_xlfn.XLOOKUP(Pipeline_tbl[[#This Row],[Rep_ID]],Dim_Reps!A:A,Dim_Reps!C:C)</f>
        <v>SDR / Inside Sales Rep</v>
      </c>
      <c r="Q4335" t="str">
        <f>_xlfn.XLOOKUP(Pipeline_tbl[[#This Row],[Rep_ID]],Dim_Reps!A:A,Dim_Reps!D:D)</f>
        <v>Inside Sales</v>
      </c>
      <c r="R4335" t="str">
        <f>_xlfn.XLOOKUP(Pipeline_tbl[[#This Row],[Rep_ID]],Dim_Reps!A:A,Dim_Reps!E:E)</f>
        <v>NAMER</v>
      </c>
      <c r="S4335" t="str">
        <f>_xlfn.XLOOKUP(Pipeline_tbl[[#This Row],[Created_Date]],Dim_Date!A:A,Dim_Date!H:H)</f>
        <v>Jan 2025</v>
      </c>
      <c r="T4335" t="str">
        <f>IF(Pipeline_tbl[[#This Row],[Closed_Date]]=0,"",(_xlfn.XLOOKUP(Pipeline_tbl[[#This Row],[Closed_Date]],Dim_Date!A:A,Dim_Date!H:H)))</f>
        <v>Jan 2025</v>
      </c>
      <c r="U4335">
        <f>IF(Pipeline_tbl[[#This Row],[Closed_Date]]=0,"",Pipeline_tbl[[#This Row],[Closed_Date]]-Pipeline_tbl[[#This Row],[Created_Date]])</f>
        <v>15</v>
      </c>
    </row>
    <row r="4336" spans="1:21" ht="15" customHeight="1" x14ac:dyDescent="0.2">
      <c r="A4336" t="s">
        <v>4642</v>
      </c>
      <c r="B4336" t="s">
        <v>217</v>
      </c>
      <c r="C4336" t="s">
        <v>52</v>
      </c>
      <c r="D4336" s="49">
        <v>45663</v>
      </c>
      <c r="E4336" s="49">
        <v>45665</v>
      </c>
      <c r="F4336" s="49">
        <v>45668</v>
      </c>
      <c r="G4336" s="49">
        <v>45673</v>
      </c>
      <c r="H4336" s="49">
        <v>45677</v>
      </c>
      <c r="I4336" s="49">
        <v>45680</v>
      </c>
      <c r="J4336" t="s">
        <v>47</v>
      </c>
      <c r="K4336" s="33">
        <v>4000</v>
      </c>
      <c r="M4336" t="str">
        <f>_xlfn.XLOOKUP(Pipeline_tbl[[#This Row],[Rep_ID]],Dim_Reps!A:A,Dim_Reps!K:K)</f>
        <v>USD</v>
      </c>
      <c r="N4336" s="33">
        <f>(_xlfn.XLOOKUP(Pipeline_tbl[[#This Row],[Rate_Code_Generalized]],Lookups!A:A,Lookups!B:B))*Pipeline_tbl[[#This Row],[Pipeline_Amount_USD]]</f>
        <v>4657.2</v>
      </c>
      <c r="O4336" t="str">
        <f>_xlfn.XLOOKUP(Pipeline_tbl[[#This Row],[Rep_ID]],Dim_Reps!A:A,Dim_Reps!B:B)</f>
        <v>Priya Weber</v>
      </c>
      <c r="P4336" t="str">
        <f>_xlfn.XLOOKUP(Pipeline_tbl[[#This Row],[Rep_ID]],Dim_Reps!A:A,Dim_Reps!C:C)</f>
        <v>SDR / Inside Sales Rep</v>
      </c>
      <c r="Q4336" t="str">
        <f>_xlfn.XLOOKUP(Pipeline_tbl[[#This Row],[Rep_ID]],Dim_Reps!A:A,Dim_Reps!D:D)</f>
        <v>Inside Sales</v>
      </c>
      <c r="R4336" t="str">
        <f>_xlfn.XLOOKUP(Pipeline_tbl[[#This Row],[Rep_ID]],Dim_Reps!A:A,Dim_Reps!E:E)</f>
        <v>NAMER</v>
      </c>
      <c r="S4336" t="str">
        <f>_xlfn.XLOOKUP(Pipeline_tbl[[#This Row],[Created_Date]],Dim_Date!A:A,Dim_Date!H:H)</f>
        <v>Jan 2025</v>
      </c>
      <c r="T4336" t="str">
        <f>IF(Pipeline_tbl[[#This Row],[Closed_Date]]=0,"",(_xlfn.XLOOKUP(Pipeline_tbl[[#This Row],[Closed_Date]],Dim_Date!A:A,Dim_Date!H:H)))</f>
        <v>Jan 2025</v>
      </c>
      <c r="U4336">
        <f>IF(Pipeline_tbl[[#This Row],[Closed_Date]]=0,"",Pipeline_tbl[[#This Row],[Closed_Date]]-Pipeline_tbl[[#This Row],[Created_Date]])</f>
        <v>17</v>
      </c>
    </row>
    <row r="4337" spans="1:21" ht="15" customHeight="1" x14ac:dyDescent="0.2">
      <c r="A4337" t="s">
        <v>4643</v>
      </c>
      <c r="B4337" t="s">
        <v>221</v>
      </c>
      <c r="C4337" t="s">
        <v>52</v>
      </c>
      <c r="D4337" s="49">
        <v>45670</v>
      </c>
      <c r="E4337" s="49">
        <v>45671</v>
      </c>
      <c r="F4337" s="49">
        <v>45673</v>
      </c>
      <c r="G4337" s="49">
        <v>45676</v>
      </c>
      <c r="I4337" s="49">
        <v>45680</v>
      </c>
      <c r="J4337" t="s">
        <v>49</v>
      </c>
      <c r="K4337" s="33">
        <v>4700</v>
      </c>
      <c r="L4337" t="s">
        <v>64</v>
      </c>
      <c r="M4337" t="str">
        <f>_xlfn.XLOOKUP(Pipeline_tbl[[#This Row],[Rep_ID]],Dim_Reps!A:A,Dim_Reps!K:K)</f>
        <v>MXN</v>
      </c>
      <c r="N4337" s="33">
        <f>(_xlfn.XLOOKUP(Pipeline_tbl[[#This Row],[Rate_Code_Generalized]],Lookups!A:A,Lookups!B:B))*Pipeline_tbl[[#This Row],[Pipeline_Amount_USD]]</f>
        <v>92743.69</v>
      </c>
      <c r="O4337" t="str">
        <f>_xlfn.XLOOKUP(Pipeline_tbl[[#This Row],[Rep_ID]],Dim_Reps!A:A,Dim_Reps!B:B)</f>
        <v>Casey Muller</v>
      </c>
      <c r="P4337" t="str">
        <f>_xlfn.XLOOKUP(Pipeline_tbl[[#This Row],[Rep_ID]],Dim_Reps!A:A,Dim_Reps!C:C)</f>
        <v>SDR / Inside Sales Rep</v>
      </c>
      <c r="Q4337" t="str">
        <f>_xlfn.XLOOKUP(Pipeline_tbl[[#This Row],[Rep_ID]],Dim_Reps!A:A,Dim_Reps!D:D)</f>
        <v>Inside Sales</v>
      </c>
      <c r="R4337" t="str">
        <f>_xlfn.XLOOKUP(Pipeline_tbl[[#This Row],[Rep_ID]],Dim_Reps!A:A,Dim_Reps!E:E)</f>
        <v>LATAM</v>
      </c>
      <c r="S4337" t="str">
        <f>_xlfn.XLOOKUP(Pipeline_tbl[[#This Row],[Created_Date]],Dim_Date!A:A,Dim_Date!H:H)</f>
        <v>Jan 2025</v>
      </c>
      <c r="T4337" t="str">
        <f>IF(Pipeline_tbl[[#This Row],[Closed_Date]]=0,"",(_xlfn.XLOOKUP(Pipeline_tbl[[#This Row],[Closed_Date]],Dim_Date!A:A,Dim_Date!H:H)))</f>
        <v>Jan 2025</v>
      </c>
      <c r="U4337">
        <f>IF(Pipeline_tbl[[#This Row],[Closed_Date]]=0,"",Pipeline_tbl[[#This Row],[Closed_Date]]-Pipeline_tbl[[#This Row],[Created_Date]])</f>
        <v>10</v>
      </c>
    </row>
    <row r="4338" spans="1:21" ht="15" customHeight="1" x14ac:dyDescent="0.2">
      <c r="A4338" t="s">
        <v>4644</v>
      </c>
      <c r="B4338" t="s">
        <v>221</v>
      </c>
      <c r="C4338" t="s">
        <v>55</v>
      </c>
      <c r="D4338" s="49">
        <v>45665</v>
      </c>
      <c r="E4338" s="49">
        <v>45666</v>
      </c>
      <c r="F4338" s="49">
        <v>45669</v>
      </c>
      <c r="G4338" s="49">
        <v>45673</v>
      </c>
      <c r="H4338" s="49">
        <v>45677</v>
      </c>
      <c r="I4338" s="49">
        <v>45679</v>
      </c>
      <c r="J4338" t="s">
        <v>47</v>
      </c>
      <c r="K4338" s="33">
        <v>4200</v>
      </c>
      <c r="M4338" t="str">
        <f>_xlfn.XLOOKUP(Pipeline_tbl[[#This Row],[Rep_ID]],Dim_Reps!A:A,Dim_Reps!K:K)</f>
        <v>MXN</v>
      </c>
      <c r="N4338" s="33">
        <f>(_xlfn.XLOOKUP(Pipeline_tbl[[#This Row],[Rate_Code_Generalized]],Lookups!A:A,Lookups!B:B))*Pipeline_tbl[[#This Row],[Pipeline_Amount_USD]]</f>
        <v>82877.340000000011</v>
      </c>
      <c r="O4338" t="str">
        <f>_xlfn.XLOOKUP(Pipeline_tbl[[#This Row],[Rep_ID]],Dim_Reps!A:A,Dim_Reps!B:B)</f>
        <v>Casey Muller</v>
      </c>
      <c r="P4338" t="str">
        <f>_xlfn.XLOOKUP(Pipeline_tbl[[#This Row],[Rep_ID]],Dim_Reps!A:A,Dim_Reps!C:C)</f>
        <v>SDR / Inside Sales Rep</v>
      </c>
      <c r="Q4338" t="str">
        <f>_xlfn.XLOOKUP(Pipeline_tbl[[#This Row],[Rep_ID]],Dim_Reps!A:A,Dim_Reps!D:D)</f>
        <v>Inside Sales</v>
      </c>
      <c r="R4338" t="str">
        <f>_xlfn.XLOOKUP(Pipeline_tbl[[#This Row],[Rep_ID]],Dim_Reps!A:A,Dim_Reps!E:E)</f>
        <v>LATAM</v>
      </c>
      <c r="S4338" t="str">
        <f>_xlfn.XLOOKUP(Pipeline_tbl[[#This Row],[Created_Date]],Dim_Date!A:A,Dim_Date!H:H)</f>
        <v>Jan 2025</v>
      </c>
      <c r="T4338" t="str">
        <f>IF(Pipeline_tbl[[#This Row],[Closed_Date]]=0,"",(_xlfn.XLOOKUP(Pipeline_tbl[[#This Row],[Closed_Date]],Dim_Date!A:A,Dim_Date!H:H)))</f>
        <v>Jan 2025</v>
      </c>
      <c r="U4338">
        <f>IF(Pipeline_tbl[[#This Row],[Closed_Date]]=0,"",Pipeline_tbl[[#This Row],[Closed_Date]]-Pipeline_tbl[[#This Row],[Created_Date]])</f>
        <v>14</v>
      </c>
    </row>
    <row r="4339" spans="1:21" ht="15" customHeight="1" x14ac:dyDescent="0.2">
      <c r="A4339" t="s">
        <v>4645</v>
      </c>
      <c r="B4339" t="s">
        <v>221</v>
      </c>
      <c r="C4339" t="s">
        <v>52</v>
      </c>
      <c r="D4339" s="49">
        <v>45672</v>
      </c>
      <c r="E4339" s="49">
        <v>45673</v>
      </c>
      <c r="F4339" s="49">
        <v>45676</v>
      </c>
      <c r="I4339" s="49">
        <v>45686</v>
      </c>
      <c r="J4339" t="s">
        <v>49</v>
      </c>
      <c r="K4339" s="33">
        <v>3600</v>
      </c>
      <c r="L4339" t="s">
        <v>60</v>
      </c>
      <c r="M4339" t="str">
        <f>_xlfn.XLOOKUP(Pipeline_tbl[[#This Row],[Rep_ID]],Dim_Reps!A:A,Dim_Reps!K:K)</f>
        <v>MXN</v>
      </c>
      <c r="N4339" s="33">
        <f>(_xlfn.XLOOKUP(Pipeline_tbl[[#This Row],[Rate_Code_Generalized]],Lookups!A:A,Lookups!B:B))*Pipeline_tbl[[#This Row],[Pipeline_Amount_USD]]</f>
        <v>71037.72</v>
      </c>
      <c r="O4339" t="str">
        <f>_xlfn.XLOOKUP(Pipeline_tbl[[#This Row],[Rep_ID]],Dim_Reps!A:A,Dim_Reps!B:B)</f>
        <v>Casey Muller</v>
      </c>
      <c r="P4339" t="str">
        <f>_xlfn.XLOOKUP(Pipeline_tbl[[#This Row],[Rep_ID]],Dim_Reps!A:A,Dim_Reps!C:C)</f>
        <v>SDR / Inside Sales Rep</v>
      </c>
      <c r="Q4339" t="str">
        <f>_xlfn.XLOOKUP(Pipeline_tbl[[#This Row],[Rep_ID]],Dim_Reps!A:A,Dim_Reps!D:D)</f>
        <v>Inside Sales</v>
      </c>
      <c r="R4339" t="str">
        <f>_xlfn.XLOOKUP(Pipeline_tbl[[#This Row],[Rep_ID]],Dim_Reps!A:A,Dim_Reps!E:E)</f>
        <v>LATAM</v>
      </c>
      <c r="S4339" t="str">
        <f>_xlfn.XLOOKUP(Pipeline_tbl[[#This Row],[Created_Date]],Dim_Date!A:A,Dim_Date!H:H)</f>
        <v>Jan 2025</v>
      </c>
      <c r="T4339" t="str">
        <f>IF(Pipeline_tbl[[#This Row],[Closed_Date]]=0,"",(_xlfn.XLOOKUP(Pipeline_tbl[[#This Row],[Closed_Date]],Dim_Date!A:A,Dim_Date!H:H)))</f>
        <v>Jan 2025</v>
      </c>
      <c r="U4339">
        <f>IF(Pipeline_tbl[[#This Row],[Closed_Date]]=0,"",Pipeline_tbl[[#This Row],[Closed_Date]]-Pipeline_tbl[[#This Row],[Created_Date]])</f>
        <v>14</v>
      </c>
    </row>
    <row r="4340" spans="1:21" ht="15" customHeight="1" x14ac:dyDescent="0.2">
      <c r="A4340" t="s">
        <v>4646</v>
      </c>
      <c r="B4340" t="s">
        <v>221</v>
      </c>
      <c r="C4340" t="s">
        <v>56</v>
      </c>
      <c r="D4340" s="49">
        <v>45669</v>
      </c>
      <c r="E4340" s="49">
        <v>45671</v>
      </c>
      <c r="F4340" s="49">
        <v>45674</v>
      </c>
      <c r="G4340" s="49">
        <v>45679</v>
      </c>
      <c r="H4340" s="49">
        <v>45683</v>
      </c>
      <c r="I4340" s="49">
        <v>45685</v>
      </c>
      <c r="J4340" t="s">
        <v>49</v>
      </c>
      <c r="K4340" s="33">
        <v>6500</v>
      </c>
      <c r="L4340" t="s">
        <v>64</v>
      </c>
      <c r="M4340" t="str">
        <f>_xlfn.XLOOKUP(Pipeline_tbl[[#This Row],[Rep_ID]],Dim_Reps!A:A,Dim_Reps!K:K)</f>
        <v>MXN</v>
      </c>
      <c r="N4340" s="33">
        <f>(_xlfn.XLOOKUP(Pipeline_tbl[[#This Row],[Rate_Code_Generalized]],Lookups!A:A,Lookups!B:B))*Pipeline_tbl[[#This Row],[Pipeline_Amount_USD]]</f>
        <v>128262.55</v>
      </c>
      <c r="O4340" t="str">
        <f>_xlfn.XLOOKUP(Pipeline_tbl[[#This Row],[Rep_ID]],Dim_Reps!A:A,Dim_Reps!B:B)</f>
        <v>Casey Muller</v>
      </c>
      <c r="P4340" t="str">
        <f>_xlfn.XLOOKUP(Pipeline_tbl[[#This Row],[Rep_ID]],Dim_Reps!A:A,Dim_Reps!C:C)</f>
        <v>SDR / Inside Sales Rep</v>
      </c>
      <c r="Q4340" t="str">
        <f>_xlfn.XLOOKUP(Pipeline_tbl[[#This Row],[Rep_ID]],Dim_Reps!A:A,Dim_Reps!D:D)</f>
        <v>Inside Sales</v>
      </c>
      <c r="R4340" t="str">
        <f>_xlfn.XLOOKUP(Pipeline_tbl[[#This Row],[Rep_ID]],Dim_Reps!A:A,Dim_Reps!E:E)</f>
        <v>LATAM</v>
      </c>
      <c r="S4340" t="str">
        <f>_xlfn.XLOOKUP(Pipeline_tbl[[#This Row],[Created_Date]],Dim_Date!A:A,Dim_Date!H:H)</f>
        <v>Jan 2025</v>
      </c>
      <c r="T4340" t="str">
        <f>IF(Pipeline_tbl[[#This Row],[Closed_Date]]=0,"",(_xlfn.XLOOKUP(Pipeline_tbl[[#This Row],[Closed_Date]],Dim_Date!A:A,Dim_Date!H:H)))</f>
        <v>Jan 2025</v>
      </c>
      <c r="U4340">
        <f>IF(Pipeline_tbl[[#This Row],[Closed_Date]]=0,"",Pipeline_tbl[[#This Row],[Closed_Date]]-Pipeline_tbl[[#This Row],[Created_Date]])</f>
        <v>16</v>
      </c>
    </row>
    <row r="4341" spans="1:21" ht="15" customHeight="1" x14ac:dyDescent="0.2">
      <c r="A4341" t="s">
        <v>4647</v>
      </c>
      <c r="B4341" t="s">
        <v>221</v>
      </c>
      <c r="C4341" t="s">
        <v>52</v>
      </c>
      <c r="D4341" s="49">
        <v>45662</v>
      </c>
      <c r="E4341" s="49">
        <v>45664</v>
      </c>
      <c r="F4341" s="49">
        <v>45667</v>
      </c>
      <c r="G4341" s="49">
        <v>45673</v>
      </c>
      <c r="H4341" s="49">
        <v>45677</v>
      </c>
      <c r="I4341" s="49">
        <v>45680</v>
      </c>
      <c r="J4341" t="s">
        <v>47</v>
      </c>
      <c r="K4341" s="33">
        <v>3300</v>
      </c>
      <c r="M4341" t="str">
        <f>_xlfn.XLOOKUP(Pipeline_tbl[[#This Row],[Rep_ID]],Dim_Reps!A:A,Dim_Reps!K:K)</f>
        <v>MXN</v>
      </c>
      <c r="N4341" s="33">
        <f>(_xlfn.XLOOKUP(Pipeline_tbl[[#This Row],[Rate_Code_Generalized]],Lookups!A:A,Lookups!B:B))*Pipeline_tbl[[#This Row],[Pipeline_Amount_USD]]</f>
        <v>65117.91</v>
      </c>
      <c r="O4341" t="str">
        <f>_xlfn.XLOOKUP(Pipeline_tbl[[#This Row],[Rep_ID]],Dim_Reps!A:A,Dim_Reps!B:B)</f>
        <v>Casey Muller</v>
      </c>
      <c r="P4341" t="str">
        <f>_xlfn.XLOOKUP(Pipeline_tbl[[#This Row],[Rep_ID]],Dim_Reps!A:A,Dim_Reps!C:C)</f>
        <v>SDR / Inside Sales Rep</v>
      </c>
      <c r="Q4341" t="str">
        <f>_xlfn.XLOOKUP(Pipeline_tbl[[#This Row],[Rep_ID]],Dim_Reps!A:A,Dim_Reps!D:D)</f>
        <v>Inside Sales</v>
      </c>
      <c r="R4341" t="str">
        <f>_xlfn.XLOOKUP(Pipeline_tbl[[#This Row],[Rep_ID]],Dim_Reps!A:A,Dim_Reps!E:E)</f>
        <v>LATAM</v>
      </c>
      <c r="S4341" t="str">
        <f>_xlfn.XLOOKUP(Pipeline_tbl[[#This Row],[Created_Date]],Dim_Date!A:A,Dim_Date!H:H)</f>
        <v>Jan 2025</v>
      </c>
      <c r="T4341" t="str">
        <f>IF(Pipeline_tbl[[#This Row],[Closed_Date]]=0,"",(_xlfn.XLOOKUP(Pipeline_tbl[[#This Row],[Closed_Date]],Dim_Date!A:A,Dim_Date!H:H)))</f>
        <v>Jan 2025</v>
      </c>
      <c r="U4341">
        <f>IF(Pipeline_tbl[[#This Row],[Closed_Date]]=0,"",Pipeline_tbl[[#This Row],[Closed_Date]]-Pipeline_tbl[[#This Row],[Created_Date]])</f>
        <v>18</v>
      </c>
    </row>
    <row r="4342" spans="1:21" ht="15" customHeight="1" x14ac:dyDescent="0.2">
      <c r="A4342" t="s">
        <v>4648</v>
      </c>
      <c r="B4342" t="s">
        <v>221</v>
      </c>
      <c r="C4342" t="s">
        <v>56</v>
      </c>
      <c r="D4342" s="49">
        <v>45666</v>
      </c>
      <c r="E4342" s="49">
        <v>45668</v>
      </c>
      <c r="F4342" s="49">
        <v>45671</v>
      </c>
      <c r="G4342" s="49">
        <v>45677</v>
      </c>
      <c r="I4342" s="49">
        <v>45684</v>
      </c>
      <c r="J4342" t="s">
        <v>49</v>
      </c>
      <c r="K4342" s="33">
        <v>1100</v>
      </c>
      <c r="L4342" t="s">
        <v>60</v>
      </c>
      <c r="M4342" t="str">
        <f>_xlfn.XLOOKUP(Pipeline_tbl[[#This Row],[Rep_ID]],Dim_Reps!A:A,Dim_Reps!K:K)</f>
        <v>MXN</v>
      </c>
      <c r="N4342" s="33">
        <f>(_xlfn.XLOOKUP(Pipeline_tbl[[#This Row],[Rate_Code_Generalized]],Lookups!A:A,Lookups!B:B))*Pipeline_tbl[[#This Row],[Pipeline_Amount_USD]]</f>
        <v>21705.97</v>
      </c>
      <c r="O4342" t="str">
        <f>_xlfn.XLOOKUP(Pipeline_tbl[[#This Row],[Rep_ID]],Dim_Reps!A:A,Dim_Reps!B:B)</f>
        <v>Casey Muller</v>
      </c>
      <c r="P4342" t="str">
        <f>_xlfn.XLOOKUP(Pipeline_tbl[[#This Row],[Rep_ID]],Dim_Reps!A:A,Dim_Reps!C:C)</f>
        <v>SDR / Inside Sales Rep</v>
      </c>
      <c r="Q4342" t="str">
        <f>_xlfn.XLOOKUP(Pipeline_tbl[[#This Row],[Rep_ID]],Dim_Reps!A:A,Dim_Reps!D:D)</f>
        <v>Inside Sales</v>
      </c>
      <c r="R4342" t="str">
        <f>_xlfn.XLOOKUP(Pipeline_tbl[[#This Row],[Rep_ID]],Dim_Reps!A:A,Dim_Reps!E:E)</f>
        <v>LATAM</v>
      </c>
      <c r="S4342" t="str">
        <f>_xlfn.XLOOKUP(Pipeline_tbl[[#This Row],[Created_Date]],Dim_Date!A:A,Dim_Date!H:H)</f>
        <v>Jan 2025</v>
      </c>
      <c r="T4342" t="str">
        <f>IF(Pipeline_tbl[[#This Row],[Closed_Date]]=0,"",(_xlfn.XLOOKUP(Pipeline_tbl[[#This Row],[Closed_Date]],Dim_Date!A:A,Dim_Date!H:H)))</f>
        <v>Jan 2025</v>
      </c>
      <c r="U4342">
        <f>IF(Pipeline_tbl[[#This Row],[Closed_Date]]=0,"",Pipeline_tbl[[#This Row],[Closed_Date]]-Pipeline_tbl[[#This Row],[Created_Date]])</f>
        <v>18</v>
      </c>
    </row>
    <row r="4343" spans="1:21" ht="15" customHeight="1" x14ac:dyDescent="0.2">
      <c r="A4343" t="s">
        <v>4649</v>
      </c>
      <c r="B4343" t="s">
        <v>259</v>
      </c>
      <c r="C4343" t="s">
        <v>52</v>
      </c>
      <c r="D4343" s="49">
        <v>45664</v>
      </c>
      <c r="E4343" s="49">
        <v>45666</v>
      </c>
      <c r="F4343" s="49">
        <v>45671</v>
      </c>
      <c r="G4343" s="49">
        <v>45677</v>
      </c>
      <c r="H4343" s="49">
        <v>45683</v>
      </c>
      <c r="I4343" s="49">
        <v>45686</v>
      </c>
      <c r="J4343" t="s">
        <v>49</v>
      </c>
      <c r="K4343" s="33">
        <v>25700</v>
      </c>
      <c r="L4343" t="s">
        <v>60</v>
      </c>
      <c r="M4343" t="str">
        <f>_xlfn.XLOOKUP(Pipeline_tbl[[#This Row],[Rep_ID]],Dim_Reps!A:A,Dim_Reps!K:K)</f>
        <v>EUR</v>
      </c>
      <c r="N4343" s="33">
        <f>(_xlfn.XLOOKUP(Pipeline_tbl[[#This Row],[Rate_Code_Generalized]],Lookups!A:A,Lookups!B:B))*Pipeline_tbl[[#This Row],[Pipeline_Amount_USD]]</f>
        <v>25700</v>
      </c>
      <c r="O4343" t="str">
        <f>_xlfn.XLOOKUP(Pipeline_tbl[[#This Row],[Rep_ID]],Dim_Reps!A:A,Dim_Reps!B:B)</f>
        <v>Felix Okafor</v>
      </c>
      <c r="P4343" t="str">
        <f>_xlfn.XLOOKUP(Pipeline_tbl[[#This Row],[Rep_ID]],Dim_Reps!A:A,Dim_Reps!C:C)</f>
        <v>Mid-Market AE</v>
      </c>
      <c r="Q4343" t="str">
        <f>_xlfn.XLOOKUP(Pipeline_tbl[[#This Row],[Rep_ID]],Dim_Reps!A:A,Dim_Reps!D:D)</f>
        <v>Mid-Market</v>
      </c>
      <c r="R4343" t="str">
        <f>_xlfn.XLOOKUP(Pipeline_tbl[[#This Row],[Rep_ID]],Dim_Reps!A:A,Dim_Reps!E:E)</f>
        <v>EMEA</v>
      </c>
      <c r="S4343" t="str">
        <f>_xlfn.XLOOKUP(Pipeline_tbl[[#This Row],[Created_Date]],Dim_Date!A:A,Dim_Date!H:H)</f>
        <v>Jan 2025</v>
      </c>
      <c r="T4343" t="str">
        <f>IF(Pipeline_tbl[[#This Row],[Closed_Date]]=0,"",(_xlfn.XLOOKUP(Pipeline_tbl[[#This Row],[Closed_Date]],Dim_Date!A:A,Dim_Date!H:H)))</f>
        <v>Jan 2025</v>
      </c>
      <c r="U4343">
        <f>IF(Pipeline_tbl[[#This Row],[Closed_Date]]=0,"",Pipeline_tbl[[#This Row],[Closed_Date]]-Pipeline_tbl[[#This Row],[Created_Date]])</f>
        <v>22</v>
      </c>
    </row>
    <row r="4344" spans="1:21" ht="15" customHeight="1" x14ac:dyDescent="0.2">
      <c r="A4344" t="s">
        <v>4650</v>
      </c>
      <c r="B4344" t="s">
        <v>259</v>
      </c>
      <c r="C4344" t="s">
        <v>53</v>
      </c>
      <c r="D4344" s="49">
        <v>45665</v>
      </c>
      <c r="E4344" s="49">
        <v>45666</v>
      </c>
      <c r="I4344" s="49">
        <v>45678</v>
      </c>
      <c r="J4344" t="s">
        <v>49</v>
      </c>
      <c r="K4344" s="33">
        <v>14400</v>
      </c>
      <c r="L4344" t="s">
        <v>61</v>
      </c>
      <c r="M4344" t="str">
        <f>_xlfn.XLOOKUP(Pipeline_tbl[[#This Row],[Rep_ID]],Dim_Reps!A:A,Dim_Reps!K:K)</f>
        <v>EUR</v>
      </c>
      <c r="N4344" s="33">
        <f>(_xlfn.XLOOKUP(Pipeline_tbl[[#This Row],[Rate_Code_Generalized]],Lookups!A:A,Lookups!B:B))*Pipeline_tbl[[#This Row],[Pipeline_Amount_USD]]</f>
        <v>14400</v>
      </c>
      <c r="O4344" t="str">
        <f>_xlfn.XLOOKUP(Pipeline_tbl[[#This Row],[Rep_ID]],Dim_Reps!A:A,Dim_Reps!B:B)</f>
        <v>Felix Okafor</v>
      </c>
      <c r="P4344" t="str">
        <f>_xlfn.XLOOKUP(Pipeline_tbl[[#This Row],[Rep_ID]],Dim_Reps!A:A,Dim_Reps!C:C)</f>
        <v>Mid-Market AE</v>
      </c>
      <c r="Q4344" t="str">
        <f>_xlfn.XLOOKUP(Pipeline_tbl[[#This Row],[Rep_ID]],Dim_Reps!A:A,Dim_Reps!D:D)</f>
        <v>Mid-Market</v>
      </c>
      <c r="R4344" t="str">
        <f>_xlfn.XLOOKUP(Pipeline_tbl[[#This Row],[Rep_ID]],Dim_Reps!A:A,Dim_Reps!E:E)</f>
        <v>EMEA</v>
      </c>
      <c r="S4344" t="str">
        <f>_xlfn.XLOOKUP(Pipeline_tbl[[#This Row],[Created_Date]],Dim_Date!A:A,Dim_Date!H:H)</f>
        <v>Jan 2025</v>
      </c>
      <c r="T4344" t="str">
        <f>IF(Pipeline_tbl[[#This Row],[Closed_Date]]=0,"",(_xlfn.XLOOKUP(Pipeline_tbl[[#This Row],[Closed_Date]],Dim_Date!A:A,Dim_Date!H:H)))</f>
        <v>Jan 2025</v>
      </c>
      <c r="U4344">
        <f>IF(Pipeline_tbl[[#This Row],[Closed_Date]]=0,"",Pipeline_tbl[[#This Row],[Closed_Date]]-Pipeline_tbl[[#This Row],[Created_Date]])</f>
        <v>13</v>
      </c>
    </row>
    <row r="4345" spans="1:21" ht="15" customHeight="1" x14ac:dyDescent="0.2">
      <c r="A4345" t="s">
        <v>4651</v>
      </c>
      <c r="B4345" t="s">
        <v>223</v>
      </c>
      <c r="C4345" t="s">
        <v>52</v>
      </c>
      <c r="D4345" s="49">
        <v>45666</v>
      </c>
      <c r="E4345" s="49">
        <v>45668</v>
      </c>
      <c r="F4345" s="49">
        <v>45672</v>
      </c>
      <c r="G4345" s="49">
        <v>45679</v>
      </c>
      <c r="H4345" s="49">
        <v>45684</v>
      </c>
      <c r="I4345" s="49">
        <v>45687</v>
      </c>
      <c r="J4345" t="s">
        <v>47</v>
      </c>
      <c r="K4345" s="33">
        <v>6300</v>
      </c>
      <c r="M4345" t="str">
        <f>_xlfn.XLOOKUP(Pipeline_tbl[[#This Row],[Rep_ID]],Dim_Reps!A:A,Dim_Reps!K:K)</f>
        <v>MXN</v>
      </c>
      <c r="N4345" s="33">
        <f>(_xlfn.XLOOKUP(Pipeline_tbl[[#This Row],[Rate_Code_Generalized]],Lookups!A:A,Lookups!B:B))*Pipeline_tbl[[#This Row],[Pipeline_Amount_USD]]</f>
        <v>124316.01000000001</v>
      </c>
      <c r="O4345" t="str">
        <f>_xlfn.XLOOKUP(Pipeline_tbl[[#This Row],[Rep_ID]],Dim_Reps!A:A,Dim_Reps!B:B)</f>
        <v>Lea Petrov</v>
      </c>
      <c r="P4345" t="str">
        <f>_xlfn.XLOOKUP(Pipeline_tbl[[#This Row],[Rep_ID]],Dim_Reps!A:A,Dim_Reps!C:C)</f>
        <v>SDR / Inside Sales Rep</v>
      </c>
      <c r="Q4345" t="str">
        <f>_xlfn.XLOOKUP(Pipeline_tbl[[#This Row],[Rep_ID]],Dim_Reps!A:A,Dim_Reps!D:D)</f>
        <v>Inside Sales</v>
      </c>
      <c r="R4345" t="str">
        <f>_xlfn.XLOOKUP(Pipeline_tbl[[#This Row],[Rep_ID]],Dim_Reps!A:A,Dim_Reps!E:E)</f>
        <v>LATAM</v>
      </c>
      <c r="S4345" t="str">
        <f>_xlfn.XLOOKUP(Pipeline_tbl[[#This Row],[Created_Date]],Dim_Date!A:A,Dim_Date!H:H)</f>
        <v>Jan 2025</v>
      </c>
      <c r="T4345" t="str">
        <f>IF(Pipeline_tbl[[#This Row],[Closed_Date]]=0,"",(_xlfn.XLOOKUP(Pipeline_tbl[[#This Row],[Closed_Date]],Dim_Date!A:A,Dim_Date!H:H)))</f>
        <v>Jan 2025</v>
      </c>
      <c r="U4345">
        <f>IF(Pipeline_tbl[[#This Row],[Closed_Date]]=0,"",Pipeline_tbl[[#This Row],[Closed_Date]]-Pipeline_tbl[[#This Row],[Created_Date]])</f>
        <v>21</v>
      </c>
    </row>
    <row r="4346" spans="1:21" ht="15" customHeight="1" x14ac:dyDescent="0.2">
      <c r="A4346" t="s">
        <v>4652</v>
      </c>
      <c r="B4346" t="s">
        <v>225</v>
      </c>
      <c r="C4346" t="s">
        <v>53</v>
      </c>
      <c r="D4346" s="49">
        <v>45666</v>
      </c>
      <c r="E4346" s="49">
        <v>45666</v>
      </c>
      <c r="F4346" s="49">
        <v>45668</v>
      </c>
      <c r="G4346" s="49">
        <v>45669</v>
      </c>
      <c r="I4346" s="49">
        <v>45671</v>
      </c>
      <c r="J4346" t="s">
        <v>49</v>
      </c>
      <c r="K4346" s="33">
        <v>5000</v>
      </c>
      <c r="L4346" t="s">
        <v>60</v>
      </c>
      <c r="M4346" t="str">
        <f>_xlfn.XLOOKUP(Pipeline_tbl[[#This Row],[Rep_ID]],Dim_Reps!A:A,Dim_Reps!K:K)</f>
        <v>USD</v>
      </c>
      <c r="N4346" s="33">
        <f>(_xlfn.XLOOKUP(Pipeline_tbl[[#This Row],[Rate_Code_Generalized]],Lookups!A:A,Lookups!B:B))*Pipeline_tbl[[#This Row],[Pipeline_Amount_USD]]</f>
        <v>5821.4999999999991</v>
      </c>
      <c r="O4346" t="str">
        <f>_xlfn.XLOOKUP(Pipeline_tbl[[#This Row],[Rep_ID]],Dim_Reps!A:A,Dim_Reps!B:B)</f>
        <v>Alex Muller</v>
      </c>
      <c r="P4346" t="str">
        <f>_xlfn.XLOOKUP(Pipeline_tbl[[#This Row],[Rep_ID]],Dim_Reps!A:A,Dim_Reps!C:C)</f>
        <v>SDR / Inside Sales Rep</v>
      </c>
      <c r="Q4346" t="str">
        <f>_xlfn.XLOOKUP(Pipeline_tbl[[#This Row],[Rep_ID]],Dim_Reps!A:A,Dim_Reps!D:D)</f>
        <v>Inside Sales</v>
      </c>
      <c r="R4346" t="str">
        <f>_xlfn.XLOOKUP(Pipeline_tbl[[#This Row],[Rep_ID]],Dim_Reps!A:A,Dim_Reps!E:E)</f>
        <v>NAMER</v>
      </c>
      <c r="S4346" t="str">
        <f>_xlfn.XLOOKUP(Pipeline_tbl[[#This Row],[Created_Date]],Dim_Date!A:A,Dim_Date!H:H)</f>
        <v>Jan 2025</v>
      </c>
      <c r="T4346" t="str">
        <f>IF(Pipeline_tbl[[#This Row],[Closed_Date]]=0,"",(_xlfn.XLOOKUP(Pipeline_tbl[[#This Row],[Closed_Date]],Dim_Date!A:A,Dim_Date!H:H)))</f>
        <v>Jan 2025</v>
      </c>
      <c r="U4346">
        <f>IF(Pipeline_tbl[[#This Row],[Closed_Date]]=0,"",Pipeline_tbl[[#This Row],[Closed_Date]]-Pipeline_tbl[[#This Row],[Created_Date]])</f>
        <v>5</v>
      </c>
    </row>
    <row r="4347" spans="1:21" ht="15" customHeight="1" x14ac:dyDescent="0.2">
      <c r="A4347" t="s">
        <v>4653</v>
      </c>
      <c r="B4347" t="s">
        <v>225</v>
      </c>
      <c r="C4347" t="s">
        <v>52</v>
      </c>
      <c r="D4347" s="49">
        <v>45671</v>
      </c>
      <c r="E4347" s="49">
        <v>45673</v>
      </c>
      <c r="F4347" s="49">
        <v>45676</v>
      </c>
      <c r="G4347" s="49">
        <v>45681</v>
      </c>
      <c r="H4347" s="49">
        <v>45685</v>
      </c>
      <c r="I4347" s="49">
        <v>45687</v>
      </c>
      <c r="J4347" t="s">
        <v>47</v>
      </c>
      <c r="K4347" s="33">
        <v>2600</v>
      </c>
      <c r="M4347" t="str">
        <f>_xlfn.XLOOKUP(Pipeline_tbl[[#This Row],[Rep_ID]],Dim_Reps!A:A,Dim_Reps!K:K)</f>
        <v>USD</v>
      </c>
      <c r="N4347" s="33">
        <f>(_xlfn.XLOOKUP(Pipeline_tbl[[#This Row],[Rate_Code_Generalized]],Lookups!A:A,Lookups!B:B))*Pipeline_tbl[[#This Row],[Pipeline_Amount_USD]]</f>
        <v>3027.18</v>
      </c>
      <c r="O4347" t="str">
        <f>_xlfn.XLOOKUP(Pipeline_tbl[[#This Row],[Rep_ID]],Dim_Reps!A:A,Dim_Reps!B:B)</f>
        <v>Alex Muller</v>
      </c>
      <c r="P4347" t="str">
        <f>_xlfn.XLOOKUP(Pipeline_tbl[[#This Row],[Rep_ID]],Dim_Reps!A:A,Dim_Reps!C:C)</f>
        <v>SDR / Inside Sales Rep</v>
      </c>
      <c r="Q4347" t="str">
        <f>_xlfn.XLOOKUP(Pipeline_tbl[[#This Row],[Rep_ID]],Dim_Reps!A:A,Dim_Reps!D:D)</f>
        <v>Inside Sales</v>
      </c>
      <c r="R4347" t="str">
        <f>_xlfn.XLOOKUP(Pipeline_tbl[[#This Row],[Rep_ID]],Dim_Reps!A:A,Dim_Reps!E:E)</f>
        <v>NAMER</v>
      </c>
      <c r="S4347" t="str">
        <f>_xlfn.XLOOKUP(Pipeline_tbl[[#This Row],[Created_Date]],Dim_Date!A:A,Dim_Date!H:H)</f>
        <v>Jan 2025</v>
      </c>
      <c r="T4347" t="str">
        <f>IF(Pipeline_tbl[[#This Row],[Closed_Date]]=0,"",(_xlfn.XLOOKUP(Pipeline_tbl[[#This Row],[Closed_Date]],Dim_Date!A:A,Dim_Date!H:H)))</f>
        <v>Jan 2025</v>
      </c>
      <c r="U4347">
        <f>IF(Pipeline_tbl[[#This Row],[Closed_Date]]=0,"",Pipeline_tbl[[#This Row],[Closed_Date]]-Pipeline_tbl[[#This Row],[Created_Date]])</f>
        <v>16</v>
      </c>
    </row>
    <row r="4348" spans="1:21" ht="15" customHeight="1" x14ac:dyDescent="0.2">
      <c r="A4348" t="s">
        <v>4654</v>
      </c>
      <c r="B4348" t="s">
        <v>225</v>
      </c>
      <c r="C4348" t="s">
        <v>52</v>
      </c>
      <c r="D4348" s="49">
        <v>45667</v>
      </c>
      <c r="E4348" s="49">
        <v>45669</v>
      </c>
      <c r="F4348" s="49">
        <v>45672</v>
      </c>
      <c r="G4348" s="49">
        <v>45677</v>
      </c>
      <c r="H4348" s="49">
        <v>45681</v>
      </c>
      <c r="I4348" s="49">
        <v>45683</v>
      </c>
      <c r="J4348" t="s">
        <v>47</v>
      </c>
      <c r="K4348" s="33">
        <v>5100</v>
      </c>
      <c r="M4348" t="str">
        <f>_xlfn.XLOOKUP(Pipeline_tbl[[#This Row],[Rep_ID]],Dim_Reps!A:A,Dim_Reps!K:K)</f>
        <v>USD</v>
      </c>
      <c r="N4348" s="33">
        <f>(_xlfn.XLOOKUP(Pipeline_tbl[[#This Row],[Rate_Code_Generalized]],Lookups!A:A,Lookups!B:B))*Pipeline_tbl[[#This Row],[Pipeline_Amount_USD]]</f>
        <v>5937.9299999999994</v>
      </c>
      <c r="O4348" t="str">
        <f>_xlfn.XLOOKUP(Pipeline_tbl[[#This Row],[Rep_ID]],Dim_Reps!A:A,Dim_Reps!B:B)</f>
        <v>Alex Muller</v>
      </c>
      <c r="P4348" t="str">
        <f>_xlfn.XLOOKUP(Pipeline_tbl[[#This Row],[Rep_ID]],Dim_Reps!A:A,Dim_Reps!C:C)</f>
        <v>SDR / Inside Sales Rep</v>
      </c>
      <c r="Q4348" t="str">
        <f>_xlfn.XLOOKUP(Pipeline_tbl[[#This Row],[Rep_ID]],Dim_Reps!A:A,Dim_Reps!D:D)</f>
        <v>Inside Sales</v>
      </c>
      <c r="R4348" t="str">
        <f>_xlfn.XLOOKUP(Pipeline_tbl[[#This Row],[Rep_ID]],Dim_Reps!A:A,Dim_Reps!E:E)</f>
        <v>NAMER</v>
      </c>
      <c r="S4348" t="str">
        <f>_xlfn.XLOOKUP(Pipeline_tbl[[#This Row],[Created_Date]],Dim_Date!A:A,Dim_Date!H:H)</f>
        <v>Jan 2025</v>
      </c>
      <c r="T4348" t="str">
        <f>IF(Pipeline_tbl[[#This Row],[Closed_Date]]=0,"",(_xlfn.XLOOKUP(Pipeline_tbl[[#This Row],[Closed_Date]],Dim_Date!A:A,Dim_Date!H:H)))</f>
        <v>Jan 2025</v>
      </c>
      <c r="U4348">
        <f>IF(Pipeline_tbl[[#This Row],[Closed_Date]]=0,"",Pipeline_tbl[[#This Row],[Closed_Date]]-Pipeline_tbl[[#This Row],[Created_Date]])</f>
        <v>16</v>
      </c>
    </row>
    <row r="4349" spans="1:21" ht="15" customHeight="1" x14ac:dyDescent="0.2">
      <c r="A4349" t="s">
        <v>4655</v>
      </c>
      <c r="B4349" t="s">
        <v>225</v>
      </c>
      <c r="C4349" t="s">
        <v>53</v>
      </c>
      <c r="D4349" s="49">
        <v>45673</v>
      </c>
      <c r="E4349" s="49">
        <v>45674</v>
      </c>
      <c r="F4349" s="49">
        <v>45677</v>
      </c>
      <c r="G4349" s="49">
        <v>45681</v>
      </c>
      <c r="H4349" s="49">
        <v>45685</v>
      </c>
      <c r="I4349" s="49">
        <v>45687</v>
      </c>
      <c r="J4349" t="s">
        <v>47</v>
      </c>
      <c r="K4349" s="33">
        <v>5500</v>
      </c>
      <c r="M4349" t="str">
        <f>_xlfn.XLOOKUP(Pipeline_tbl[[#This Row],[Rep_ID]],Dim_Reps!A:A,Dim_Reps!K:K)</f>
        <v>USD</v>
      </c>
      <c r="N4349" s="33">
        <f>(_xlfn.XLOOKUP(Pipeline_tbl[[#This Row],[Rate_Code_Generalized]],Lookups!A:A,Lookups!B:B))*Pipeline_tbl[[#This Row],[Pipeline_Amount_USD]]</f>
        <v>6403.65</v>
      </c>
      <c r="O4349" t="str">
        <f>_xlfn.XLOOKUP(Pipeline_tbl[[#This Row],[Rep_ID]],Dim_Reps!A:A,Dim_Reps!B:B)</f>
        <v>Alex Muller</v>
      </c>
      <c r="P4349" t="str">
        <f>_xlfn.XLOOKUP(Pipeline_tbl[[#This Row],[Rep_ID]],Dim_Reps!A:A,Dim_Reps!C:C)</f>
        <v>SDR / Inside Sales Rep</v>
      </c>
      <c r="Q4349" t="str">
        <f>_xlfn.XLOOKUP(Pipeline_tbl[[#This Row],[Rep_ID]],Dim_Reps!A:A,Dim_Reps!D:D)</f>
        <v>Inside Sales</v>
      </c>
      <c r="R4349" t="str">
        <f>_xlfn.XLOOKUP(Pipeline_tbl[[#This Row],[Rep_ID]],Dim_Reps!A:A,Dim_Reps!E:E)</f>
        <v>NAMER</v>
      </c>
      <c r="S4349" t="str">
        <f>_xlfn.XLOOKUP(Pipeline_tbl[[#This Row],[Created_Date]],Dim_Date!A:A,Dim_Date!H:H)</f>
        <v>Jan 2025</v>
      </c>
      <c r="T4349" t="str">
        <f>IF(Pipeline_tbl[[#This Row],[Closed_Date]]=0,"",(_xlfn.XLOOKUP(Pipeline_tbl[[#This Row],[Closed_Date]],Dim_Date!A:A,Dim_Date!H:H)))</f>
        <v>Jan 2025</v>
      </c>
      <c r="U4349">
        <f>IF(Pipeline_tbl[[#This Row],[Closed_Date]]=0,"",Pipeline_tbl[[#This Row],[Closed_Date]]-Pipeline_tbl[[#This Row],[Created_Date]])</f>
        <v>14</v>
      </c>
    </row>
    <row r="4350" spans="1:21" ht="15" customHeight="1" x14ac:dyDescent="0.2">
      <c r="A4350" t="s">
        <v>4656</v>
      </c>
      <c r="B4350" t="s">
        <v>225</v>
      </c>
      <c r="C4350" t="s">
        <v>52</v>
      </c>
      <c r="D4350" s="49">
        <v>45660</v>
      </c>
      <c r="E4350" s="49">
        <v>45662</v>
      </c>
      <c r="F4350" s="49">
        <v>45665</v>
      </c>
      <c r="I4350" s="49">
        <v>45676</v>
      </c>
      <c r="J4350" t="s">
        <v>49</v>
      </c>
      <c r="K4350" s="33">
        <v>3900</v>
      </c>
      <c r="L4350" t="s">
        <v>62</v>
      </c>
      <c r="M4350" t="str">
        <f>_xlfn.XLOOKUP(Pipeline_tbl[[#This Row],[Rep_ID]],Dim_Reps!A:A,Dim_Reps!K:K)</f>
        <v>USD</v>
      </c>
      <c r="N4350" s="33">
        <f>(_xlfn.XLOOKUP(Pipeline_tbl[[#This Row],[Rate_Code_Generalized]],Lookups!A:A,Lookups!B:B))*Pipeline_tbl[[#This Row],[Pipeline_Amount_USD]]</f>
        <v>4540.7699999999995</v>
      </c>
      <c r="O4350" t="str">
        <f>_xlfn.XLOOKUP(Pipeline_tbl[[#This Row],[Rep_ID]],Dim_Reps!A:A,Dim_Reps!B:B)</f>
        <v>Alex Muller</v>
      </c>
      <c r="P4350" t="str">
        <f>_xlfn.XLOOKUP(Pipeline_tbl[[#This Row],[Rep_ID]],Dim_Reps!A:A,Dim_Reps!C:C)</f>
        <v>SDR / Inside Sales Rep</v>
      </c>
      <c r="Q4350" t="str">
        <f>_xlfn.XLOOKUP(Pipeline_tbl[[#This Row],[Rep_ID]],Dim_Reps!A:A,Dim_Reps!D:D)</f>
        <v>Inside Sales</v>
      </c>
      <c r="R4350" t="str">
        <f>_xlfn.XLOOKUP(Pipeline_tbl[[#This Row],[Rep_ID]],Dim_Reps!A:A,Dim_Reps!E:E)</f>
        <v>NAMER</v>
      </c>
      <c r="S4350" t="str">
        <f>_xlfn.XLOOKUP(Pipeline_tbl[[#This Row],[Created_Date]],Dim_Date!A:A,Dim_Date!H:H)</f>
        <v>Jan 2025</v>
      </c>
      <c r="T4350" t="str">
        <f>IF(Pipeline_tbl[[#This Row],[Closed_Date]]=0,"",(_xlfn.XLOOKUP(Pipeline_tbl[[#This Row],[Closed_Date]],Dim_Date!A:A,Dim_Date!H:H)))</f>
        <v>Jan 2025</v>
      </c>
      <c r="U4350">
        <f>IF(Pipeline_tbl[[#This Row],[Closed_Date]]=0,"",Pipeline_tbl[[#This Row],[Closed_Date]]-Pipeline_tbl[[#This Row],[Created_Date]])</f>
        <v>16</v>
      </c>
    </row>
    <row r="4351" spans="1:21" ht="15" customHeight="1" x14ac:dyDescent="0.2">
      <c r="A4351" t="s">
        <v>4657</v>
      </c>
      <c r="B4351" t="s">
        <v>227</v>
      </c>
      <c r="C4351" t="s">
        <v>56</v>
      </c>
      <c r="D4351" s="49">
        <v>45658</v>
      </c>
      <c r="E4351" s="49">
        <v>45659</v>
      </c>
      <c r="F4351" s="49">
        <v>45662</v>
      </c>
      <c r="G4351" s="49">
        <v>45666</v>
      </c>
      <c r="I4351" s="49">
        <v>45671</v>
      </c>
      <c r="J4351" t="s">
        <v>49</v>
      </c>
      <c r="K4351" s="33">
        <v>3800</v>
      </c>
      <c r="L4351" t="s">
        <v>60</v>
      </c>
      <c r="M4351" t="str">
        <f>_xlfn.XLOOKUP(Pipeline_tbl[[#This Row],[Rep_ID]],Dim_Reps!A:A,Dim_Reps!K:K)</f>
        <v>EUR</v>
      </c>
      <c r="N4351" s="33">
        <f>(_xlfn.XLOOKUP(Pipeline_tbl[[#This Row],[Rate_Code_Generalized]],Lookups!A:A,Lookups!B:B))*Pipeline_tbl[[#This Row],[Pipeline_Amount_USD]]</f>
        <v>3800</v>
      </c>
      <c r="O4351" t="str">
        <f>_xlfn.XLOOKUP(Pipeline_tbl[[#This Row],[Rep_ID]],Dim_Reps!A:A,Dim_Reps!B:B)</f>
        <v>Liam Muller</v>
      </c>
      <c r="P4351" t="str">
        <f>_xlfn.XLOOKUP(Pipeline_tbl[[#This Row],[Rep_ID]],Dim_Reps!A:A,Dim_Reps!C:C)</f>
        <v>SDR / Inside Sales Rep</v>
      </c>
      <c r="Q4351" t="str">
        <f>_xlfn.XLOOKUP(Pipeline_tbl[[#This Row],[Rep_ID]],Dim_Reps!A:A,Dim_Reps!D:D)</f>
        <v>Inside Sales</v>
      </c>
      <c r="R4351" t="str">
        <f>_xlfn.XLOOKUP(Pipeline_tbl[[#This Row],[Rep_ID]],Dim_Reps!A:A,Dim_Reps!E:E)</f>
        <v>EMEA</v>
      </c>
      <c r="S4351" t="str">
        <f>_xlfn.XLOOKUP(Pipeline_tbl[[#This Row],[Created_Date]],Dim_Date!A:A,Dim_Date!H:H)</f>
        <v>Jan 2025</v>
      </c>
      <c r="T4351" t="str">
        <f>IF(Pipeline_tbl[[#This Row],[Closed_Date]]=0,"",(_xlfn.XLOOKUP(Pipeline_tbl[[#This Row],[Closed_Date]],Dim_Date!A:A,Dim_Date!H:H)))</f>
        <v>Jan 2025</v>
      </c>
      <c r="U4351">
        <f>IF(Pipeline_tbl[[#This Row],[Closed_Date]]=0,"",Pipeline_tbl[[#This Row],[Closed_Date]]-Pipeline_tbl[[#This Row],[Created_Date]])</f>
        <v>13</v>
      </c>
    </row>
    <row r="4352" spans="1:21" ht="15" customHeight="1" x14ac:dyDescent="0.2">
      <c r="A4352" t="s">
        <v>4658</v>
      </c>
      <c r="B4352" t="s">
        <v>227</v>
      </c>
      <c r="C4352" t="s">
        <v>52</v>
      </c>
      <c r="D4352" s="49">
        <v>45664</v>
      </c>
      <c r="E4352" s="49">
        <v>45665</v>
      </c>
      <c r="F4352" s="49">
        <v>45668</v>
      </c>
      <c r="G4352" s="49">
        <v>45672</v>
      </c>
      <c r="H4352" s="49">
        <v>45675</v>
      </c>
      <c r="I4352" s="49">
        <v>45677</v>
      </c>
      <c r="J4352" t="s">
        <v>49</v>
      </c>
      <c r="K4352" s="33">
        <v>4000</v>
      </c>
      <c r="L4352" t="s">
        <v>61</v>
      </c>
      <c r="M4352" t="str">
        <f>_xlfn.XLOOKUP(Pipeline_tbl[[#This Row],[Rep_ID]],Dim_Reps!A:A,Dim_Reps!K:K)</f>
        <v>EUR</v>
      </c>
      <c r="N4352" s="33">
        <f>(_xlfn.XLOOKUP(Pipeline_tbl[[#This Row],[Rate_Code_Generalized]],Lookups!A:A,Lookups!B:B))*Pipeline_tbl[[#This Row],[Pipeline_Amount_USD]]</f>
        <v>4000</v>
      </c>
      <c r="O4352" t="str">
        <f>_xlfn.XLOOKUP(Pipeline_tbl[[#This Row],[Rep_ID]],Dim_Reps!A:A,Dim_Reps!B:B)</f>
        <v>Liam Muller</v>
      </c>
      <c r="P4352" t="str">
        <f>_xlfn.XLOOKUP(Pipeline_tbl[[#This Row],[Rep_ID]],Dim_Reps!A:A,Dim_Reps!C:C)</f>
        <v>SDR / Inside Sales Rep</v>
      </c>
      <c r="Q4352" t="str">
        <f>_xlfn.XLOOKUP(Pipeline_tbl[[#This Row],[Rep_ID]],Dim_Reps!A:A,Dim_Reps!D:D)</f>
        <v>Inside Sales</v>
      </c>
      <c r="R4352" t="str">
        <f>_xlfn.XLOOKUP(Pipeline_tbl[[#This Row],[Rep_ID]],Dim_Reps!A:A,Dim_Reps!E:E)</f>
        <v>EMEA</v>
      </c>
      <c r="S4352" t="str">
        <f>_xlfn.XLOOKUP(Pipeline_tbl[[#This Row],[Created_Date]],Dim_Date!A:A,Dim_Date!H:H)</f>
        <v>Jan 2025</v>
      </c>
      <c r="T4352" t="str">
        <f>IF(Pipeline_tbl[[#This Row],[Closed_Date]]=0,"",(_xlfn.XLOOKUP(Pipeline_tbl[[#This Row],[Closed_Date]],Dim_Date!A:A,Dim_Date!H:H)))</f>
        <v>Jan 2025</v>
      </c>
      <c r="U4352">
        <f>IF(Pipeline_tbl[[#This Row],[Closed_Date]]=0,"",Pipeline_tbl[[#This Row],[Closed_Date]]-Pipeline_tbl[[#This Row],[Created_Date]])</f>
        <v>13</v>
      </c>
    </row>
    <row r="4353" spans="1:21" ht="15" customHeight="1" x14ac:dyDescent="0.2">
      <c r="A4353" t="s">
        <v>4659</v>
      </c>
      <c r="B4353" t="s">
        <v>229</v>
      </c>
      <c r="C4353" t="s">
        <v>52</v>
      </c>
      <c r="D4353" s="49">
        <v>45663</v>
      </c>
      <c r="E4353" s="49">
        <v>45665</v>
      </c>
      <c r="I4353" s="49">
        <v>45681</v>
      </c>
      <c r="J4353" t="s">
        <v>49</v>
      </c>
      <c r="K4353" s="33">
        <v>7800</v>
      </c>
      <c r="L4353" t="s">
        <v>60</v>
      </c>
      <c r="M4353" t="str">
        <f>_xlfn.XLOOKUP(Pipeline_tbl[[#This Row],[Rep_ID]],Dim_Reps!A:A,Dim_Reps!K:K)</f>
        <v>USD</v>
      </c>
      <c r="N4353" s="33">
        <f>(_xlfn.XLOOKUP(Pipeline_tbl[[#This Row],[Rate_Code_Generalized]],Lookups!A:A,Lookups!B:B))*Pipeline_tbl[[#This Row],[Pipeline_Amount_USD]]</f>
        <v>9081.5399999999991</v>
      </c>
      <c r="O4353" t="str">
        <f>_xlfn.XLOOKUP(Pipeline_tbl[[#This Row],[Rep_ID]],Dim_Reps!A:A,Dim_Reps!B:B)</f>
        <v>Liam Castro</v>
      </c>
      <c r="P4353" t="str">
        <f>_xlfn.XLOOKUP(Pipeline_tbl[[#This Row],[Rep_ID]],Dim_Reps!A:A,Dim_Reps!C:C)</f>
        <v>SDR / Inside Sales Rep</v>
      </c>
      <c r="Q4353" t="str">
        <f>_xlfn.XLOOKUP(Pipeline_tbl[[#This Row],[Rep_ID]],Dim_Reps!A:A,Dim_Reps!D:D)</f>
        <v>Inside Sales</v>
      </c>
      <c r="R4353" t="str">
        <f>_xlfn.XLOOKUP(Pipeline_tbl[[#This Row],[Rep_ID]],Dim_Reps!A:A,Dim_Reps!E:E)</f>
        <v>NAMER</v>
      </c>
      <c r="S4353" t="str">
        <f>_xlfn.XLOOKUP(Pipeline_tbl[[#This Row],[Created_Date]],Dim_Date!A:A,Dim_Date!H:H)</f>
        <v>Jan 2025</v>
      </c>
      <c r="T4353" t="str">
        <f>IF(Pipeline_tbl[[#This Row],[Closed_Date]]=0,"",(_xlfn.XLOOKUP(Pipeline_tbl[[#This Row],[Closed_Date]],Dim_Date!A:A,Dim_Date!H:H)))</f>
        <v>Jan 2025</v>
      </c>
      <c r="U4353">
        <f>IF(Pipeline_tbl[[#This Row],[Closed_Date]]=0,"",Pipeline_tbl[[#This Row],[Closed_Date]]-Pipeline_tbl[[#This Row],[Created_Date]])</f>
        <v>18</v>
      </c>
    </row>
    <row r="4354" spans="1:21" ht="15" customHeight="1" x14ac:dyDescent="0.2">
      <c r="A4354" t="s">
        <v>4660</v>
      </c>
      <c r="B4354" t="s">
        <v>229</v>
      </c>
      <c r="C4354" t="s">
        <v>52</v>
      </c>
      <c r="D4354" s="49">
        <v>45673</v>
      </c>
      <c r="E4354" s="49">
        <v>45674</v>
      </c>
      <c r="F4354" s="49">
        <v>45677</v>
      </c>
      <c r="G4354" s="49">
        <v>45680</v>
      </c>
      <c r="I4354" s="49">
        <v>45685</v>
      </c>
      <c r="J4354" t="s">
        <v>49</v>
      </c>
      <c r="K4354" s="33">
        <v>3400</v>
      </c>
      <c r="L4354" t="s">
        <v>64</v>
      </c>
      <c r="M4354" t="str">
        <f>_xlfn.XLOOKUP(Pipeline_tbl[[#This Row],[Rep_ID]],Dim_Reps!A:A,Dim_Reps!K:K)</f>
        <v>USD</v>
      </c>
      <c r="N4354" s="33">
        <f>(_xlfn.XLOOKUP(Pipeline_tbl[[#This Row],[Rate_Code_Generalized]],Lookups!A:A,Lookups!B:B))*Pipeline_tbl[[#This Row],[Pipeline_Amount_USD]]</f>
        <v>3958.6199999999994</v>
      </c>
      <c r="O4354" t="str">
        <f>_xlfn.XLOOKUP(Pipeline_tbl[[#This Row],[Rep_ID]],Dim_Reps!A:A,Dim_Reps!B:B)</f>
        <v>Liam Castro</v>
      </c>
      <c r="P4354" t="str">
        <f>_xlfn.XLOOKUP(Pipeline_tbl[[#This Row],[Rep_ID]],Dim_Reps!A:A,Dim_Reps!C:C)</f>
        <v>SDR / Inside Sales Rep</v>
      </c>
      <c r="Q4354" t="str">
        <f>_xlfn.XLOOKUP(Pipeline_tbl[[#This Row],[Rep_ID]],Dim_Reps!A:A,Dim_Reps!D:D)</f>
        <v>Inside Sales</v>
      </c>
      <c r="R4354" t="str">
        <f>_xlfn.XLOOKUP(Pipeline_tbl[[#This Row],[Rep_ID]],Dim_Reps!A:A,Dim_Reps!E:E)</f>
        <v>NAMER</v>
      </c>
      <c r="S4354" t="str">
        <f>_xlfn.XLOOKUP(Pipeline_tbl[[#This Row],[Created_Date]],Dim_Date!A:A,Dim_Date!H:H)</f>
        <v>Jan 2025</v>
      </c>
      <c r="T4354" t="str">
        <f>IF(Pipeline_tbl[[#This Row],[Closed_Date]]=0,"",(_xlfn.XLOOKUP(Pipeline_tbl[[#This Row],[Closed_Date]],Dim_Date!A:A,Dim_Date!H:H)))</f>
        <v>Jan 2025</v>
      </c>
      <c r="U4354">
        <f>IF(Pipeline_tbl[[#This Row],[Closed_Date]]=0,"",Pipeline_tbl[[#This Row],[Closed_Date]]-Pipeline_tbl[[#This Row],[Created_Date]])</f>
        <v>12</v>
      </c>
    </row>
    <row r="4355" spans="1:21" ht="15" customHeight="1" x14ac:dyDescent="0.2">
      <c r="A4355" t="s">
        <v>4661</v>
      </c>
      <c r="B4355" t="s">
        <v>229</v>
      </c>
      <c r="C4355" t="s">
        <v>52</v>
      </c>
      <c r="D4355" s="49">
        <v>45660</v>
      </c>
      <c r="E4355" s="49">
        <v>45663</v>
      </c>
      <c r="F4355" s="49">
        <v>45668</v>
      </c>
      <c r="I4355" s="49">
        <v>45686</v>
      </c>
      <c r="J4355" t="s">
        <v>49</v>
      </c>
      <c r="K4355" s="33">
        <v>3000</v>
      </c>
      <c r="L4355" t="s">
        <v>62</v>
      </c>
      <c r="M4355" t="str">
        <f>_xlfn.XLOOKUP(Pipeline_tbl[[#This Row],[Rep_ID]],Dim_Reps!A:A,Dim_Reps!K:K)</f>
        <v>USD</v>
      </c>
      <c r="N4355" s="33">
        <f>(_xlfn.XLOOKUP(Pipeline_tbl[[#This Row],[Rate_Code_Generalized]],Lookups!A:A,Lookups!B:B))*Pipeline_tbl[[#This Row],[Pipeline_Amount_USD]]</f>
        <v>3492.8999999999996</v>
      </c>
      <c r="O4355" t="str">
        <f>_xlfn.XLOOKUP(Pipeline_tbl[[#This Row],[Rep_ID]],Dim_Reps!A:A,Dim_Reps!B:B)</f>
        <v>Liam Castro</v>
      </c>
      <c r="P4355" t="str">
        <f>_xlfn.XLOOKUP(Pipeline_tbl[[#This Row],[Rep_ID]],Dim_Reps!A:A,Dim_Reps!C:C)</f>
        <v>SDR / Inside Sales Rep</v>
      </c>
      <c r="Q4355" t="str">
        <f>_xlfn.XLOOKUP(Pipeline_tbl[[#This Row],[Rep_ID]],Dim_Reps!A:A,Dim_Reps!D:D)</f>
        <v>Inside Sales</v>
      </c>
      <c r="R4355" t="str">
        <f>_xlfn.XLOOKUP(Pipeline_tbl[[#This Row],[Rep_ID]],Dim_Reps!A:A,Dim_Reps!E:E)</f>
        <v>NAMER</v>
      </c>
      <c r="S4355" t="str">
        <f>_xlfn.XLOOKUP(Pipeline_tbl[[#This Row],[Created_Date]],Dim_Date!A:A,Dim_Date!H:H)</f>
        <v>Jan 2025</v>
      </c>
      <c r="T4355" t="str">
        <f>IF(Pipeline_tbl[[#This Row],[Closed_Date]]=0,"",(_xlfn.XLOOKUP(Pipeline_tbl[[#This Row],[Closed_Date]],Dim_Date!A:A,Dim_Date!H:H)))</f>
        <v>Jan 2025</v>
      </c>
      <c r="U4355">
        <f>IF(Pipeline_tbl[[#This Row],[Closed_Date]]=0,"",Pipeline_tbl[[#This Row],[Closed_Date]]-Pipeline_tbl[[#This Row],[Created_Date]])</f>
        <v>26</v>
      </c>
    </row>
    <row r="4356" spans="1:21" ht="15" customHeight="1" x14ac:dyDescent="0.2">
      <c r="A4356" t="s">
        <v>4662</v>
      </c>
      <c r="B4356" t="s">
        <v>229</v>
      </c>
      <c r="C4356" t="s">
        <v>54</v>
      </c>
      <c r="D4356" s="49">
        <v>45658</v>
      </c>
      <c r="E4356" s="49">
        <v>45659</v>
      </c>
      <c r="F4356" s="49">
        <v>45662</v>
      </c>
      <c r="G4356" s="49">
        <v>45665</v>
      </c>
      <c r="H4356" s="49">
        <v>45668</v>
      </c>
      <c r="I4356" s="49">
        <v>45670</v>
      </c>
      <c r="J4356" t="s">
        <v>47</v>
      </c>
      <c r="K4356" s="33">
        <v>1400</v>
      </c>
      <c r="M4356" t="str">
        <f>_xlfn.XLOOKUP(Pipeline_tbl[[#This Row],[Rep_ID]],Dim_Reps!A:A,Dim_Reps!K:K)</f>
        <v>USD</v>
      </c>
      <c r="N4356" s="33">
        <f>(_xlfn.XLOOKUP(Pipeline_tbl[[#This Row],[Rate_Code_Generalized]],Lookups!A:A,Lookups!B:B))*Pipeline_tbl[[#This Row],[Pipeline_Amount_USD]]</f>
        <v>1630.0199999999998</v>
      </c>
      <c r="O4356" t="str">
        <f>_xlfn.XLOOKUP(Pipeline_tbl[[#This Row],[Rep_ID]],Dim_Reps!A:A,Dim_Reps!B:B)</f>
        <v>Liam Castro</v>
      </c>
      <c r="P4356" t="str">
        <f>_xlfn.XLOOKUP(Pipeline_tbl[[#This Row],[Rep_ID]],Dim_Reps!A:A,Dim_Reps!C:C)</f>
        <v>SDR / Inside Sales Rep</v>
      </c>
      <c r="Q4356" t="str">
        <f>_xlfn.XLOOKUP(Pipeline_tbl[[#This Row],[Rep_ID]],Dim_Reps!A:A,Dim_Reps!D:D)</f>
        <v>Inside Sales</v>
      </c>
      <c r="R4356" t="str">
        <f>_xlfn.XLOOKUP(Pipeline_tbl[[#This Row],[Rep_ID]],Dim_Reps!A:A,Dim_Reps!E:E)</f>
        <v>NAMER</v>
      </c>
      <c r="S4356" t="str">
        <f>_xlfn.XLOOKUP(Pipeline_tbl[[#This Row],[Created_Date]],Dim_Date!A:A,Dim_Date!H:H)</f>
        <v>Jan 2025</v>
      </c>
      <c r="T4356" t="str">
        <f>IF(Pipeline_tbl[[#This Row],[Closed_Date]]=0,"",(_xlfn.XLOOKUP(Pipeline_tbl[[#This Row],[Closed_Date]],Dim_Date!A:A,Dim_Date!H:H)))</f>
        <v>Jan 2025</v>
      </c>
      <c r="U4356">
        <f>IF(Pipeline_tbl[[#This Row],[Closed_Date]]=0,"",Pipeline_tbl[[#This Row],[Closed_Date]]-Pipeline_tbl[[#This Row],[Created_Date]])</f>
        <v>12</v>
      </c>
    </row>
    <row r="4357" spans="1:21" ht="15" customHeight="1" x14ac:dyDescent="0.2">
      <c r="A4357" t="s">
        <v>4663</v>
      </c>
      <c r="B4357" t="s">
        <v>229</v>
      </c>
      <c r="C4357" t="s">
        <v>56</v>
      </c>
      <c r="D4357" s="49">
        <v>45676</v>
      </c>
      <c r="E4357" s="49">
        <v>45677</v>
      </c>
      <c r="F4357" s="49">
        <v>45679</v>
      </c>
      <c r="G4357" s="49">
        <v>45681</v>
      </c>
      <c r="I4357" s="49">
        <v>45685</v>
      </c>
      <c r="J4357" t="s">
        <v>49</v>
      </c>
      <c r="K4357" s="33">
        <v>5400</v>
      </c>
      <c r="L4357" t="s">
        <v>60</v>
      </c>
      <c r="M4357" t="str">
        <f>_xlfn.XLOOKUP(Pipeline_tbl[[#This Row],[Rep_ID]],Dim_Reps!A:A,Dim_Reps!K:K)</f>
        <v>USD</v>
      </c>
      <c r="N4357" s="33">
        <f>(_xlfn.XLOOKUP(Pipeline_tbl[[#This Row],[Rate_Code_Generalized]],Lookups!A:A,Lookups!B:B))*Pipeline_tbl[[#This Row],[Pipeline_Amount_USD]]</f>
        <v>6287.2199999999993</v>
      </c>
      <c r="O4357" t="str">
        <f>_xlfn.XLOOKUP(Pipeline_tbl[[#This Row],[Rep_ID]],Dim_Reps!A:A,Dim_Reps!B:B)</f>
        <v>Liam Castro</v>
      </c>
      <c r="P4357" t="str">
        <f>_xlfn.XLOOKUP(Pipeline_tbl[[#This Row],[Rep_ID]],Dim_Reps!A:A,Dim_Reps!C:C)</f>
        <v>SDR / Inside Sales Rep</v>
      </c>
      <c r="Q4357" t="str">
        <f>_xlfn.XLOOKUP(Pipeline_tbl[[#This Row],[Rep_ID]],Dim_Reps!A:A,Dim_Reps!D:D)</f>
        <v>Inside Sales</v>
      </c>
      <c r="R4357" t="str">
        <f>_xlfn.XLOOKUP(Pipeline_tbl[[#This Row],[Rep_ID]],Dim_Reps!A:A,Dim_Reps!E:E)</f>
        <v>NAMER</v>
      </c>
      <c r="S4357" t="str">
        <f>_xlfn.XLOOKUP(Pipeline_tbl[[#This Row],[Created_Date]],Dim_Date!A:A,Dim_Date!H:H)</f>
        <v>Jan 2025</v>
      </c>
      <c r="T4357" t="str">
        <f>IF(Pipeline_tbl[[#This Row],[Closed_Date]]=0,"",(_xlfn.XLOOKUP(Pipeline_tbl[[#This Row],[Closed_Date]],Dim_Date!A:A,Dim_Date!H:H)))</f>
        <v>Jan 2025</v>
      </c>
      <c r="U4357">
        <f>IF(Pipeline_tbl[[#This Row],[Closed_Date]]=0,"",Pipeline_tbl[[#This Row],[Closed_Date]]-Pipeline_tbl[[#This Row],[Created_Date]])</f>
        <v>9</v>
      </c>
    </row>
    <row r="4358" spans="1:21" ht="15" customHeight="1" x14ac:dyDescent="0.2">
      <c r="A4358" t="s">
        <v>4664</v>
      </c>
      <c r="B4358" t="s">
        <v>229</v>
      </c>
      <c r="C4358" t="s">
        <v>52</v>
      </c>
      <c r="D4358" s="49">
        <v>45660</v>
      </c>
      <c r="E4358" s="49">
        <v>45661</v>
      </c>
      <c r="F4358" s="49">
        <v>45664</v>
      </c>
      <c r="G4358" s="49">
        <v>45668</v>
      </c>
      <c r="H4358" s="49">
        <v>45672</v>
      </c>
      <c r="I4358" s="49">
        <v>45674</v>
      </c>
      <c r="J4358" t="s">
        <v>47</v>
      </c>
      <c r="K4358" s="33">
        <v>3500</v>
      </c>
      <c r="M4358" t="str">
        <f>_xlfn.XLOOKUP(Pipeline_tbl[[#This Row],[Rep_ID]],Dim_Reps!A:A,Dim_Reps!K:K)</f>
        <v>USD</v>
      </c>
      <c r="N4358" s="33">
        <f>(_xlfn.XLOOKUP(Pipeline_tbl[[#This Row],[Rate_Code_Generalized]],Lookups!A:A,Lookups!B:B))*Pipeline_tbl[[#This Row],[Pipeline_Amount_USD]]</f>
        <v>4075.0499999999997</v>
      </c>
      <c r="O4358" t="str">
        <f>_xlfn.XLOOKUP(Pipeline_tbl[[#This Row],[Rep_ID]],Dim_Reps!A:A,Dim_Reps!B:B)</f>
        <v>Liam Castro</v>
      </c>
      <c r="P4358" t="str">
        <f>_xlfn.XLOOKUP(Pipeline_tbl[[#This Row],[Rep_ID]],Dim_Reps!A:A,Dim_Reps!C:C)</f>
        <v>SDR / Inside Sales Rep</v>
      </c>
      <c r="Q4358" t="str">
        <f>_xlfn.XLOOKUP(Pipeline_tbl[[#This Row],[Rep_ID]],Dim_Reps!A:A,Dim_Reps!D:D)</f>
        <v>Inside Sales</v>
      </c>
      <c r="R4358" t="str">
        <f>_xlfn.XLOOKUP(Pipeline_tbl[[#This Row],[Rep_ID]],Dim_Reps!A:A,Dim_Reps!E:E)</f>
        <v>NAMER</v>
      </c>
      <c r="S4358" t="str">
        <f>_xlfn.XLOOKUP(Pipeline_tbl[[#This Row],[Created_Date]],Dim_Date!A:A,Dim_Date!H:H)</f>
        <v>Jan 2025</v>
      </c>
      <c r="T4358" t="str">
        <f>IF(Pipeline_tbl[[#This Row],[Closed_Date]]=0,"",(_xlfn.XLOOKUP(Pipeline_tbl[[#This Row],[Closed_Date]],Dim_Date!A:A,Dim_Date!H:H)))</f>
        <v>Jan 2025</v>
      </c>
      <c r="U4358">
        <f>IF(Pipeline_tbl[[#This Row],[Closed_Date]]=0,"",Pipeline_tbl[[#This Row],[Closed_Date]]-Pipeline_tbl[[#This Row],[Created_Date]])</f>
        <v>14</v>
      </c>
    </row>
    <row r="4359" spans="1:21" ht="15" customHeight="1" x14ac:dyDescent="0.2">
      <c r="A4359" t="s">
        <v>4665</v>
      </c>
      <c r="B4359" t="s">
        <v>229</v>
      </c>
      <c r="C4359" t="s">
        <v>53</v>
      </c>
      <c r="D4359" s="49">
        <v>45658</v>
      </c>
      <c r="E4359" s="49">
        <v>45660</v>
      </c>
      <c r="F4359" s="49">
        <v>45663</v>
      </c>
      <c r="I4359" s="49">
        <v>45674</v>
      </c>
      <c r="J4359" t="s">
        <v>49</v>
      </c>
      <c r="K4359" s="33">
        <v>8000</v>
      </c>
      <c r="L4359" t="s">
        <v>61</v>
      </c>
      <c r="M4359" t="str">
        <f>_xlfn.XLOOKUP(Pipeline_tbl[[#This Row],[Rep_ID]],Dim_Reps!A:A,Dim_Reps!K:K)</f>
        <v>USD</v>
      </c>
      <c r="N4359" s="33">
        <f>(_xlfn.XLOOKUP(Pipeline_tbl[[#This Row],[Rate_Code_Generalized]],Lookups!A:A,Lookups!B:B))*Pipeline_tbl[[#This Row],[Pipeline_Amount_USD]]</f>
        <v>9314.4</v>
      </c>
      <c r="O4359" t="str">
        <f>_xlfn.XLOOKUP(Pipeline_tbl[[#This Row],[Rep_ID]],Dim_Reps!A:A,Dim_Reps!B:B)</f>
        <v>Liam Castro</v>
      </c>
      <c r="P4359" t="str">
        <f>_xlfn.XLOOKUP(Pipeline_tbl[[#This Row],[Rep_ID]],Dim_Reps!A:A,Dim_Reps!C:C)</f>
        <v>SDR / Inside Sales Rep</v>
      </c>
      <c r="Q4359" t="str">
        <f>_xlfn.XLOOKUP(Pipeline_tbl[[#This Row],[Rep_ID]],Dim_Reps!A:A,Dim_Reps!D:D)</f>
        <v>Inside Sales</v>
      </c>
      <c r="R4359" t="str">
        <f>_xlfn.XLOOKUP(Pipeline_tbl[[#This Row],[Rep_ID]],Dim_Reps!A:A,Dim_Reps!E:E)</f>
        <v>NAMER</v>
      </c>
      <c r="S4359" t="str">
        <f>_xlfn.XLOOKUP(Pipeline_tbl[[#This Row],[Created_Date]],Dim_Date!A:A,Dim_Date!H:H)</f>
        <v>Jan 2025</v>
      </c>
      <c r="T4359" t="str">
        <f>IF(Pipeline_tbl[[#This Row],[Closed_Date]]=0,"",(_xlfn.XLOOKUP(Pipeline_tbl[[#This Row],[Closed_Date]],Dim_Date!A:A,Dim_Date!H:H)))</f>
        <v>Jan 2025</v>
      </c>
      <c r="U4359">
        <f>IF(Pipeline_tbl[[#This Row],[Closed_Date]]=0,"",Pipeline_tbl[[#This Row],[Closed_Date]]-Pipeline_tbl[[#This Row],[Created_Date]])</f>
        <v>16</v>
      </c>
    </row>
    <row r="4360" spans="1:21" ht="15" customHeight="1" x14ac:dyDescent="0.2">
      <c r="A4360" t="s">
        <v>4666</v>
      </c>
      <c r="B4360" t="s">
        <v>229</v>
      </c>
      <c r="C4360" t="s">
        <v>52</v>
      </c>
      <c r="D4360" s="49">
        <v>45666</v>
      </c>
      <c r="E4360" s="49">
        <v>45667</v>
      </c>
      <c r="F4360" s="49">
        <v>45669</v>
      </c>
      <c r="G4360" s="49">
        <v>45671</v>
      </c>
      <c r="H4360" s="49">
        <v>45674</v>
      </c>
      <c r="I4360" s="49">
        <v>45675</v>
      </c>
      <c r="J4360" t="s">
        <v>47</v>
      </c>
      <c r="K4360" s="33">
        <v>6600</v>
      </c>
      <c r="M4360" t="str">
        <f>_xlfn.XLOOKUP(Pipeline_tbl[[#This Row],[Rep_ID]],Dim_Reps!A:A,Dim_Reps!K:K)</f>
        <v>USD</v>
      </c>
      <c r="N4360" s="33">
        <f>(_xlfn.XLOOKUP(Pipeline_tbl[[#This Row],[Rate_Code_Generalized]],Lookups!A:A,Lookups!B:B))*Pipeline_tbl[[#This Row],[Pipeline_Amount_USD]]</f>
        <v>7684.3799999999992</v>
      </c>
      <c r="O4360" t="str">
        <f>_xlfn.XLOOKUP(Pipeline_tbl[[#This Row],[Rep_ID]],Dim_Reps!A:A,Dim_Reps!B:B)</f>
        <v>Liam Castro</v>
      </c>
      <c r="P4360" t="str">
        <f>_xlfn.XLOOKUP(Pipeline_tbl[[#This Row],[Rep_ID]],Dim_Reps!A:A,Dim_Reps!C:C)</f>
        <v>SDR / Inside Sales Rep</v>
      </c>
      <c r="Q4360" t="str">
        <f>_xlfn.XLOOKUP(Pipeline_tbl[[#This Row],[Rep_ID]],Dim_Reps!A:A,Dim_Reps!D:D)</f>
        <v>Inside Sales</v>
      </c>
      <c r="R4360" t="str">
        <f>_xlfn.XLOOKUP(Pipeline_tbl[[#This Row],[Rep_ID]],Dim_Reps!A:A,Dim_Reps!E:E)</f>
        <v>NAMER</v>
      </c>
      <c r="S4360" t="str">
        <f>_xlfn.XLOOKUP(Pipeline_tbl[[#This Row],[Created_Date]],Dim_Date!A:A,Dim_Date!H:H)</f>
        <v>Jan 2025</v>
      </c>
      <c r="T4360" t="str">
        <f>IF(Pipeline_tbl[[#This Row],[Closed_Date]]=0,"",(_xlfn.XLOOKUP(Pipeline_tbl[[#This Row],[Closed_Date]],Dim_Date!A:A,Dim_Date!H:H)))</f>
        <v>Jan 2025</v>
      </c>
      <c r="U4360">
        <f>IF(Pipeline_tbl[[#This Row],[Closed_Date]]=0,"",Pipeline_tbl[[#This Row],[Closed_Date]]-Pipeline_tbl[[#This Row],[Created_Date]])</f>
        <v>9</v>
      </c>
    </row>
    <row r="4361" spans="1:21" ht="15" customHeight="1" x14ac:dyDescent="0.2">
      <c r="A4361" t="s">
        <v>4667</v>
      </c>
      <c r="B4361" t="s">
        <v>231</v>
      </c>
      <c r="C4361" t="s">
        <v>55</v>
      </c>
      <c r="D4361" s="49">
        <v>45681</v>
      </c>
      <c r="E4361" s="49">
        <v>45682</v>
      </c>
      <c r="F4361" s="49">
        <v>45683</v>
      </c>
      <c r="G4361" s="49">
        <v>45685</v>
      </c>
      <c r="I4361" s="49">
        <v>45688</v>
      </c>
      <c r="J4361" t="s">
        <v>49</v>
      </c>
      <c r="K4361" s="33">
        <v>2700</v>
      </c>
      <c r="L4361" t="s">
        <v>63</v>
      </c>
      <c r="M4361" t="str">
        <f>_xlfn.XLOOKUP(Pipeline_tbl[[#This Row],[Rep_ID]],Dim_Reps!A:A,Dim_Reps!K:K)</f>
        <v>MXN</v>
      </c>
      <c r="N4361" s="33">
        <f>(_xlfn.XLOOKUP(Pipeline_tbl[[#This Row],[Rate_Code_Generalized]],Lookups!A:A,Lookups!B:B))*Pipeline_tbl[[#This Row],[Pipeline_Amount_USD]]</f>
        <v>53278.29</v>
      </c>
      <c r="O4361" t="str">
        <f>_xlfn.XLOOKUP(Pipeline_tbl[[#This Row],[Rep_ID]],Dim_Reps!A:A,Dim_Reps!B:B)</f>
        <v>Ben Silva</v>
      </c>
      <c r="P4361" t="str">
        <f>_xlfn.XLOOKUP(Pipeline_tbl[[#This Row],[Rep_ID]],Dim_Reps!A:A,Dim_Reps!C:C)</f>
        <v>SDR / Inside Sales Rep</v>
      </c>
      <c r="Q4361" t="str">
        <f>_xlfn.XLOOKUP(Pipeline_tbl[[#This Row],[Rep_ID]],Dim_Reps!A:A,Dim_Reps!D:D)</f>
        <v>Inside Sales</v>
      </c>
      <c r="R4361" t="str">
        <f>_xlfn.XLOOKUP(Pipeline_tbl[[#This Row],[Rep_ID]],Dim_Reps!A:A,Dim_Reps!E:E)</f>
        <v>LATAM</v>
      </c>
      <c r="S4361" t="str">
        <f>_xlfn.XLOOKUP(Pipeline_tbl[[#This Row],[Created_Date]],Dim_Date!A:A,Dim_Date!H:H)</f>
        <v>Jan 2025</v>
      </c>
      <c r="T4361" t="str">
        <f>IF(Pipeline_tbl[[#This Row],[Closed_Date]]=0,"",(_xlfn.XLOOKUP(Pipeline_tbl[[#This Row],[Closed_Date]],Dim_Date!A:A,Dim_Date!H:H)))</f>
        <v>Jan 2025</v>
      </c>
      <c r="U4361">
        <f>IF(Pipeline_tbl[[#This Row],[Closed_Date]]=0,"",Pipeline_tbl[[#This Row],[Closed_Date]]-Pipeline_tbl[[#This Row],[Created_Date]])</f>
        <v>7</v>
      </c>
    </row>
    <row r="4362" spans="1:21" ht="15" customHeight="1" x14ac:dyDescent="0.2">
      <c r="A4362" t="s">
        <v>4668</v>
      </c>
      <c r="B4362" t="s">
        <v>231</v>
      </c>
      <c r="C4362" t="s">
        <v>53</v>
      </c>
      <c r="D4362" s="49">
        <v>45667</v>
      </c>
      <c r="E4362" s="49">
        <v>45669</v>
      </c>
      <c r="F4362" s="49">
        <v>45673</v>
      </c>
      <c r="G4362" s="49">
        <v>45678</v>
      </c>
      <c r="H4362" s="49">
        <v>45683</v>
      </c>
      <c r="I4362" s="49">
        <v>45686</v>
      </c>
      <c r="J4362" t="s">
        <v>49</v>
      </c>
      <c r="K4362" s="33">
        <v>4500</v>
      </c>
      <c r="L4362" t="s">
        <v>61</v>
      </c>
      <c r="M4362" t="str">
        <f>_xlfn.XLOOKUP(Pipeline_tbl[[#This Row],[Rep_ID]],Dim_Reps!A:A,Dim_Reps!K:K)</f>
        <v>MXN</v>
      </c>
      <c r="N4362" s="33">
        <f>(_xlfn.XLOOKUP(Pipeline_tbl[[#This Row],[Rate_Code_Generalized]],Lookups!A:A,Lookups!B:B))*Pipeline_tbl[[#This Row],[Pipeline_Amount_USD]]</f>
        <v>88797.150000000009</v>
      </c>
      <c r="O4362" t="str">
        <f>_xlfn.XLOOKUP(Pipeline_tbl[[#This Row],[Rep_ID]],Dim_Reps!A:A,Dim_Reps!B:B)</f>
        <v>Ben Silva</v>
      </c>
      <c r="P4362" t="str">
        <f>_xlfn.XLOOKUP(Pipeline_tbl[[#This Row],[Rep_ID]],Dim_Reps!A:A,Dim_Reps!C:C)</f>
        <v>SDR / Inside Sales Rep</v>
      </c>
      <c r="Q4362" t="str">
        <f>_xlfn.XLOOKUP(Pipeline_tbl[[#This Row],[Rep_ID]],Dim_Reps!A:A,Dim_Reps!D:D)</f>
        <v>Inside Sales</v>
      </c>
      <c r="R4362" t="str">
        <f>_xlfn.XLOOKUP(Pipeline_tbl[[#This Row],[Rep_ID]],Dim_Reps!A:A,Dim_Reps!E:E)</f>
        <v>LATAM</v>
      </c>
      <c r="S4362" t="str">
        <f>_xlfn.XLOOKUP(Pipeline_tbl[[#This Row],[Created_Date]],Dim_Date!A:A,Dim_Date!H:H)</f>
        <v>Jan 2025</v>
      </c>
      <c r="T4362" t="str">
        <f>IF(Pipeline_tbl[[#This Row],[Closed_Date]]=0,"",(_xlfn.XLOOKUP(Pipeline_tbl[[#This Row],[Closed_Date]],Dim_Date!A:A,Dim_Date!H:H)))</f>
        <v>Jan 2025</v>
      </c>
      <c r="U4362">
        <f>IF(Pipeline_tbl[[#This Row],[Closed_Date]]=0,"",Pipeline_tbl[[#This Row],[Closed_Date]]-Pipeline_tbl[[#This Row],[Created_Date]])</f>
        <v>19</v>
      </c>
    </row>
    <row r="4363" spans="1:21" ht="15" customHeight="1" x14ac:dyDescent="0.2">
      <c r="A4363" t="s">
        <v>4669</v>
      </c>
      <c r="B4363" t="s">
        <v>231</v>
      </c>
      <c r="C4363" t="s">
        <v>52</v>
      </c>
      <c r="D4363" s="49">
        <v>45661</v>
      </c>
      <c r="E4363" s="49">
        <v>45662</v>
      </c>
      <c r="F4363" s="49">
        <v>45665</v>
      </c>
      <c r="G4363" s="49">
        <v>45668</v>
      </c>
      <c r="I4363" s="49">
        <v>45673</v>
      </c>
      <c r="J4363" t="s">
        <v>49</v>
      </c>
      <c r="K4363" s="33">
        <v>3700</v>
      </c>
      <c r="L4363" t="s">
        <v>60</v>
      </c>
      <c r="M4363" t="str">
        <f>_xlfn.XLOOKUP(Pipeline_tbl[[#This Row],[Rep_ID]],Dim_Reps!A:A,Dim_Reps!K:K)</f>
        <v>MXN</v>
      </c>
      <c r="N4363" s="33">
        <f>(_xlfn.XLOOKUP(Pipeline_tbl[[#This Row],[Rate_Code_Generalized]],Lookups!A:A,Lookups!B:B))*Pipeline_tbl[[#This Row],[Pipeline_Amount_USD]]</f>
        <v>73010.990000000005</v>
      </c>
      <c r="O4363" t="str">
        <f>_xlfn.XLOOKUP(Pipeline_tbl[[#This Row],[Rep_ID]],Dim_Reps!A:A,Dim_Reps!B:B)</f>
        <v>Ben Silva</v>
      </c>
      <c r="P4363" t="str">
        <f>_xlfn.XLOOKUP(Pipeline_tbl[[#This Row],[Rep_ID]],Dim_Reps!A:A,Dim_Reps!C:C)</f>
        <v>SDR / Inside Sales Rep</v>
      </c>
      <c r="Q4363" t="str">
        <f>_xlfn.XLOOKUP(Pipeline_tbl[[#This Row],[Rep_ID]],Dim_Reps!A:A,Dim_Reps!D:D)</f>
        <v>Inside Sales</v>
      </c>
      <c r="R4363" t="str">
        <f>_xlfn.XLOOKUP(Pipeline_tbl[[#This Row],[Rep_ID]],Dim_Reps!A:A,Dim_Reps!E:E)</f>
        <v>LATAM</v>
      </c>
      <c r="S4363" t="str">
        <f>_xlfn.XLOOKUP(Pipeline_tbl[[#This Row],[Created_Date]],Dim_Date!A:A,Dim_Date!H:H)</f>
        <v>Jan 2025</v>
      </c>
      <c r="T4363" t="str">
        <f>IF(Pipeline_tbl[[#This Row],[Closed_Date]]=0,"",(_xlfn.XLOOKUP(Pipeline_tbl[[#This Row],[Closed_Date]],Dim_Date!A:A,Dim_Date!H:H)))</f>
        <v>Jan 2025</v>
      </c>
      <c r="U4363">
        <f>IF(Pipeline_tbl[[#This Row],[Closed_Date]]=0,"",Pipeline_tbl[[#This Row],[Closed_Date]]-Pipeline_tbl[[#This Row],[Created_Date]])</f>
        <v>12</v>
      </c>
    </row>
    <row r="4364" spans="1:21" ht="15" customHeight="1" x14ac:dyDescent="0.2">
      <c r="A4364" t="s">
        <v>4670</v>
      </c>
      <c r="B4364" t="s">
        <v>231</v>
      </c>
      <c r="C4364" t="s">
        <v>52</v>
      </c>
      <c r="D4364" s="49">
        <v>45664</v>
      </c>
      <c r="E4364" s="49">
        <v>45666</v>
      </c>
      <c r="F4364" s="49">
        <v>45670</v>
      </c>
      <c r="G4364" s="49">
        <v>45675</v>
      </c>
      <c r="H4364" s="49">
        <v>45680</v>
      </c>
      <c r="I4364" s="49">
        <v>45683</v>
      </c>
      <c r="J4364" t="s">
        <v>49</v>
      </c>
      <c r="K4364" s="33">
        <v>5600</v>
      </c>
      <c r="L4364" t="s">
        <v>61</v>
      </c>
      <c r="M4364" t="str">
        <f>_xlfn.XLOOKUP(Pipeline_tbl[[#This Row],[Rep_ID]],Dim_Reps!A:A,Dim_Reps!K:K)</f>
        <v>MXN</v>
      </c>
      <c r="N4364" s="33">
        <f>(_xlfn.XLOOKUP(Pipeline_tbl[[#This Row],[Rate_Code_Generalized]],Lookups!A:A,Lookups!B:B))*Pipeline_tbl[[#This Row],[Pipeline_Amount_USD]]</f>
        <v>110503.12000000001</v>
      </c>
      <c r="O4364" t="str">
        <f>_xlfn.XLOOKUP(Pipeline_tbl[[#This Row],[Rep_ID]],Dim_Reps!A:A,Dim_Reps!B:B)</f>
        <v>Ben Silva</v>
      </c>
      <c r="P4364" t="str">
        <f>_xlfn.XLOOKUP(Pipeline_tbl[[#This Row],[Rep_ID]],Dim_Reps!A:A,Dim_Reps!C:C)</f>
        <v>SDR / Inside Sales Rep</v>
      </c>
      <c r="Q4364" t="str">
        <f>_xlfn.XLOOKUP(Pipeline_tbl[[#This Row],[Rep_ID]],Dim_Reps!A:A,Dim_Reps!D:D)</f>
        <v>Inside Sales</v>
      </c>
      <c r="R4364" t="str">
        <f>_xlfn.XLOOKUP(Pipeline_tbl[[#This Row],[Rep_ID]],Dim_Reps!A:A,Dim_Reps!E:E)</f>
        <v>LATAM</v>
      </c>
      <c r="S4364" t="str">
        <f>_xlfn.XLOOKUP(Pipeline_tbl[[#This Row],[Created_Date]],Dim_Date!A:A,Dim_Date!H:H)</f>
        <v>Jan 2025</v>
      </c>
      <c r="T4364" t="str">
        <f>IF(Pipeline_tbl[[#This Row],[Closed_Date]]=0,"",(_xlfn.XLOOKUP(Pipeline_tbl[[#This Row],[Closed_Date]],Dim_Date!A:A,Dim_Date!H:H)))</f>
        <v>Jan 2025</v>
      </c>
      <c r="U4364">
        <f>IF(Pipeline_tbl[[#This Row],[Closed_Date]]=0,"",Pipeline_tbl[[#This Row],[Closed_Date]]-Pipeline_tbl[[#This Row],[Created_Date]])</f>
        <v>19</v>
      </c>
    </row>
    <row r="4365" spans="1:21" ht="15" customHeight="1" x14ac:dyDescent="0.2">
      <c r="A4365" t="s">
        <v>4671</v>
      </c>
      <c r="B4365" t="s">
        <v>265</v>
      </c>
      <c r="C4365" t="s">
        <v>52</v>
      </c>
      <c r="D4365" s="49">
        <v>45674</v>
      </c>
      <c r="E4365" s="49">
        <v>45675</v>
      </c>
      <c r="I4365" s="49">
        <v>45687</v>
      </c>
      <c r="J4365" t="s">
        <v>49</v>
      </c>
      <c r="K4365" s="33">
        <v>11400</v>
      </c>
      <c r="L4365" t="s">
        <v>61</v>
      </c>
      <c r="M4365" t="str">
        <f>_xlfn.XLOOKUP(Pipeline_tbl[[#This Row],[Rep_ID]],Dim_Reps!A:A,Dim_Reps!K:K)</f>
        <v>EUR</v>
      </c>
      <c r="N4365" s="33">
        <f>(_xlfn.XLOOKUP(Pipeline_tbl[[#This Row],[Rate_Code_Generalized]],Lookups!A:A,Lookups!B:B))*Pipeline_tbl[[#This Row],[Pipeline_Amount_USD]]</f>
        <v>11400</v>
      </c>
      <c r="O4365" t="str">
        <f>_xlfn.XLOOKUP(Pipeline_tbl[[#This Row],[Rep_ID]],Dim_Reps!A:A,Dim_Reps!B:B)</f>
        <v>Erik Duarte</v>
      </c>
      <c r="P4365" t="str">
        <f>_xlfn.XLOOKUP(Pipeline_tbl[[#This Row],[Rep_ID]],Dim_Reps!A:A,Dim_Reps!C:C)</f>
        <v>Mid-Market AE</v>
      </c>
      <c r="Q4365" t="str">
        <f>_xlfn.XLOOKUP(Pipeline_tbl[[#This Row],[Rep_ID]],Dim_Reps!A:A,Dim_Reps!D:D)</f>
        <v>Mid-Market</v>
      </c>
      <c r="R4365" t="str">
        <f>_xlfn.XLOOKUP(Pipeline_tbl[[#This Row],[Rep_ID]],Dim_Reps!A:A,Dim_Reps!E:E)</f>
        <v>EMEA</v>
      </c>
      <c r="S4365" t="str">
        <f>_xlfn.XLOOKUP(Pipeline_tbl[[#This Row],[Created_Date]],Dim_Date!A:A,Dim_Date!H:H)</f>
        <v>Jan 2025</v>
      </c>
      <c r="T4365" t="str">
        <f>IF(Pipeline_tbl[[#This Row],[Closed_Date]]=0,"",(_xlfn.XLOOKUP(Pipeline_tbl[[#This Row],[Closed_Date]],Dim_Date!A:A,Dim_Date!H:H)))</f>
        <v>Jan 2025</v>
      </c>
      <c r="U4365">
        <f>IF(Pipeline_tbl[[#This Row],[Closed_Date]]=0,"",Pipeline_tbl[[#This Row],[Closed_Date]]-Pipeline_tbl[[#This Row],[Created_Date]])</f>
        <v>13</v>
      </c>
    </row>
    <row r="4366" spans="1:21" ht="15" customHeight="1" x14ac:dyDescent="0.2">
      <c r="A4366" t="s">
        <v>4672</v>
      </c>
      <c r="B4366" t="s">
        <v>265</v>
      </c>
      <c r="C4366" t="s">
        <v>52</v>
      </c>
      <c r="D4366" s="49">
        <v>45669</v>
      </c>
      <c r="E4366" s="49">
        <v>45671</v>
      </c>
      <c r="I4366" s="49">
        <v>45686</v>
      </c>
      <c r="J4366" t="s">
        <v>49</v>
      </c>
      <c r="K4366" s="33">
        <v>11600</v>
      </c>
      <c r="L4366" t="s">
        <v>61</v>
      </c>
      <c r="M4366" t="str">
        <f>_xlfn.XLOOKUP(Pipeline_tbl[[#This Row],[Rep_ID]],Dim_Reps!A:A,Dim_Reps!K:K)</f>
        <v>EUR</v>
      </c>
      <c r="N4366" s="33">
        <f>(_xlfn.XLOOKUP(Pipeline_tbl[[#This Row],[Rate_Code_Generalized]],Lookups!A:A,Lookups!B:B))*Pipeline_tbl[[#This Row],[Pipeline_Amount_USD]]</f>
        <v>11600</v>
      </c>
      <c r="O4366" t="str">
        <f>_xlfn.XLOOKUP(Pipeline_tbl[[#This Row],[Rep_ID]],Dim_Reps!A:A,Dim_Reps!B:B)</f>
        <v>Erik Duarte</v>
      </c>
      <c r="P4366" t="str">
        <f>_xlfn.XLOOKUP(Pipeline_tbl[[#This Row],[Rep_ID]],Dim_Reps!A:A,Dim_Reps!C:C)</f>
        <v>Mid-Market AE</v>
      </c>
      <c r="Q4366" t="str">
        <f>_xlfn.XLOOKUP(Pipeline_tbl[[#This Row],[Rep_ID]],Dim_Reps!A:A,Dim_Reps!D:D)</f>
        <v>Mid-Market</v>
      </c>
      <c r="R4366" t="str">
        <f>_xlfn.XLOOKUP(Pipeline_tbl[[#This Row],[Rep_ID]],Dim_Reps!A:A,Dim_Reps!E:E)</f>
        <v>EMEA</v>
      </c>
      <c r="S4366" t="str">
        <f>_xlfn.XLOOKUP(Pipeline_tbl[[#This Row],[Created_Date]],Dim_Date!A:A,Dim_Date!H:H)</f>
        <v>Jan 2025</v>
      </c>
      <c r="T4366" t="str">
        <f>IF(Pipeline_tbl[[#This Row],[Closed_Date]]=0,"",(_xlfn.XLOOKUP(Pipeline_tbl[[#This Row],[Closed_Date]],Dim_Date!A:A,Dim_Date!H:H)))</f>
        <v>Jan 2025</v>
      </c>
      <c r="U4366">
        <f>IF(Pipeline_tbl[[#This Row],[Closed_Date]]=0,"",Pipeline_tbl[[#This Row],[Closed_Date]]-Pipeline_tbl[[#This Row],[Created_Date]])</f>
        <v>17</v>
      </c>
    </row>
    <row r="4367" spans="1:21" ht="15" customHeight="1" x14ac:dyDescent="0.2">
      <c r="A4367" t="s">
        <v>4673</v>
      </c>
      <c r="B4367" t="s">
        <v>233</v>
      </c>
      <c r="C4367" t="s">
        <v>52</v>
      </c>
      <c r="D4367" s="49">
        <v>45661</v>
      </c>
      <c r="E4367" s="49">
        <v>45664</v>
      </c>
      <c r="F4367" s="49">
        <v>45669</v>
      </c>
      <c r="I4367" s="49">
        <v>45687</v>
      </c>
      <c r="J4367" t="s">
        <v>49</v>
      </c>
      <c r="K4367" s="33">
        <v>4700</v>
      </c>
      <c r="L4367" t="s">
        <v>61</v>
      </c>
      <c r="M4367" t="str">
        <f>_xlfn.XLOOKUP(Pipeline_tbl[[#This Row],[Rep_ID]],Dim_Reps!A:A,Dim_Reps!K:K)</f>
        <v>MXN</v>
      </c>
      <c r="N4367" s="33">
        <f>(_xlfn.XLOOKUP(Pipeline_tbl[[#This Row],[Rate_Code_Generalized]],Lookups!A:A,Lookups!B:B))*Pipeline_tbl[[#This Row],[Pipeline_Amount_USD]]</f>
        <v>92743.69</v>
      </c>
      <c r="O4367" t="str">
        <f>_xlfn.XLOOKUP(Pipeline_tbl[[#This Row],[Rep_ID]],Dim_Reps!A:A,Dim_Reps!B:B)</f>
        <v>Lucas Duarte</v>
      </c>
      <c r="P4367" t="str">
        <f>_xlfn.XLOOKUP(Pipeline_tbl[[#This Row],[Rep_ID]],Dim_Reps!A:A,Dim_Reps!C:C)</f>
        <v>SDR / Inside Sales Rep</v>
      </c>
      <c r="Q4367" t="str">
        <f>_xlfn.XLOOKUP(Pipeline_tbl[[#This Row],[Rep_ID]],Dim_Reps!A:A,Dim_Reps!D:D)</f>
        <v>Inside Sales</v>
      </c>
      <c r="R4367" t="str">
        <f>_xlfn.XLOOKUP(Pipeline_tbl[[#This Row],[Rep_ID]],Dim_Reps!A:A,Dim_Reps!E:E)</f>
        <v>LATAM</v>
      </c>
      <c r="S4367" t="str">
        <f>_xlfn.XLOOKUP(Pipeline_tbl[[#This Row],[Created_Date]],Dim_Date!A:A,Dim_Date!H:H)</f>
        <v>Jan 2025</v>
      </c>
      <c r="T4367" t="str">
        <f>IF(Pipeline_tbl[[#This Row],[Closed_Date]]=0,"",(_xlfn.XLOOKUP(Pipeline_tbl[[#This Row],[Closed_Date]],Dim_Date!A:A,Dim_Date!H:H)))</f>
        <v>Jan 2025</v>
      </c>
      <c r="U4367">
        <f>IF(Pipeline_tbl[[#This Row],[Closed_Date]]=0,"",Pipeline_tbl[[#This Row],[Closed_Date]]-Pipeline_tbl[[#This Row],[Created_Date]])</f>
        <v>26</v>
      </c>
    </row>
    <row r="4368" spans="1:21" ht="15" customHeight="1" x14ac:dyDescent="0.2">
      <c r="A4368" t="s">
        <v>4674</v>
      </c>
      <c r="B4368" t="s">
        <v>233</v>
      </c>
      <c r="C4368" t="s">
        <v>53</v>
      </c>
      <c r="D4368" s="49">
        <v>45670</v>
      </c>
      <c r="E4368" s="49">
        <v>45671</v>
      </c>
      <c r="F4368" s="49">
        <v>45674</v>
      </c>
      <c r="G4368" s="49">
        <v>45678</v>
      </c>
      <c r="I4368" s="49">
        <v>45683</v>
      </c>
      <c r="J4368" t="s">
        <v>49</v>
      </c>
      <c r="K4368" s="33">
        <v>4700</v>
      </c>
      <c r="L4368" t="s">
        <v>62</v>
      </c>
      <c r="M4368" t="str">
        <f>_xlfn.XLOOKUP(Pipeline_tbl[[#This Row],[Rep_ID]],Dim_Reps!A:A,Dim_Reps!K:K)</f>
        <v>MXN</v>
      </c>
      <c r="N4368" s="33">
        <f>(_xlfn.XLOOKUP(Pipeline_tbl[[#This Row],[Rate_Code_Generalized]],Lookups!A:A,Lookups!B:B))*Pipeline_tbl[[#This Row],[Pipeline_Amount_USD]]</f>
        <v>92743.69</v>
      </c>
      <c r="O4368" t="str">
        <f>_xlfn.XLOOKUP(Pipeline_tbl[[#This Row],[Rep_ID]],Dim_Reps!A:A,Dim_Reps!B:B)</f>
        <v>Lucas Duarte</v>
      </c>
      <c r="P4368" t="str">
        <f>_xlfn.XLOOKUP(Pipeline_tbl[[#This Row],[Rep_ID]],Dim_Reps!A:A,Dim_Reps!C:C)</f>
        <v>SDR / Inside Sales Rep</v>
      </c>
      <c r="Q4368" t="str">
        <f>_xlfn.XLOOKUP(Pipeline_tbl[[#This Row],[Rep_ID]],Dim_Reps!A:A,Dim_Reps!D:D)</f>
        <v>Inside Sales</v>
      </c>
      <c r="R4368" t="str">
        <f>_xlfn.XLOOKUP(Pipeline_tbl[[#This Row],[Rep_ID]],Dim_Reps!A:A,Dim_Reps!E:E)</f>
        <v>LATAM</v>
      </c>
      <c r="S4368" t="str">
        <f>_xlfn.XLOOKUP(Pipeline_tbl[[#This Row],[Created_Date]],Dim_Date!A:A,Dim_Date!H:H)</f>
        <v>Jan 2025</v>
      </c>
      <c r="T4368" t="str">
        <f>IF(Pipeline_tbl[[#This Row],[Closed_Date]]=0,"",(_xlfn.XLOOKUP(Pipeline_tbl[[#This Row],[Closed_Date]],Dim_Date!A:A,Dim_Date!H:H)))</f>
        <v>Jan 2025</v>
      </c>
      <c r="U4368">
        <f>IF(Pipeline_tbl[[#This Row],[Closed_Date]]=0,"",Pipeline_tbl[[#This Row],[Closed_Date]]-Pipeline_tbl[[#This Row],[Created_Date]])</f>
        <v>13</v>
      </c>
    </row>
    <row r="4369" spans="1:21" ht="15" customHeight="1" x14ac:dyDescent="0.2">
      <c r="A4369" t="s">
        <v>4675</v>
      </c>
      <c r="B4369" t="s">
        <v>233</v>
      </c>
      <c r="C4369" t="s">
        <v>52</v>
      </c>
      <c r="D4369" s="49">
        <v>45673</v>
      </c>
      <c r="E4369" s="49">
        <v>45675</v>
      </c>
      <c r="F4369" s="49">
        <v>45678</v>
      </c>
      <c r="G4369" s="49">
        <v>45682</v>
      </c>
      <c r="H4369" s="49">
        <v>45686</v>
      </c>
      <c r="I4369" s="49">
        <v>45688</v>
      </c>
      <c r="J4369" t="s">
        <v>47</v>
      </c>
      <c r="K4369" s="33">
        <v>4300</v>
      </c>
      <c r="M4369" t="str">
        <f>_xlfn.XLOOKUP(Pipeline_tbl[[#This Row],[Rep_ID]],Dim_Reps!A:A,Dim_Reps!K:K)</f>
        <v>MXN</v>
      </c>
      <c r="N4369" s="33">
        <f>(_xlfn.XLOOKUP(Pipeline_tbl[[#This Row],[Rate_Code_Generalized]],Lookups!A:A,Lookups!B:B))*Pipeline_tbl[[#This Row],[Pipeline_Amount_USD]]</f>
        <v>84850.61</v>
      </c>
      <c r="O4369" t="str">
        <f>_xlfn.XLOOKUP(Pipeline_tbl[[#This Row],[Rep_ID]],Dim_Reps!A:A,Dim_Reps!B:B)</f>
        <v>Lucas Duarte</v>
      </c>
      <c r="P4369" t="str">
        <f>_xlfn.XLOOKUP(Pipeline_tbl[[#This Row],[Rep_ID]],Dim_Reps!A:A,Dim_Reps!C:C)</f>
        <v>SDR / Inside Sales Rep</v>
      </c>
      <c r="Q4369" t="str">
        <f>_xlfn.XLOOKUP(Pipeline_tbl[[#This Row],[Rep_ID]],Dim_Reps!A:A,Dim_Reps!D:D)</f>
        <v>Inside Sales</v>
      </c>
      <c r="R4369" t="str">
        <f>_xlfn.XLOOKUP(Pipeline_tbl[[#This Row],[Rep_ID]],Dim_Reps!A:A,Dim_Reps!E:E)</f>
        <v>LATAM</v>
      </c>
      <c r="S4369" t="str">
        <f>_xlfn.XLOOKUP(Pipeline_tbl[[#This Row],[Created_Date]],Dim_Date!A:A,Dim_Date!H:H)</f>
        <v>Jan 2025</v>
      </c>
      <c r="T4369" t="str">
        <f>IF(Pipeline_tbl[[#This Row],[Closed_Date]]=0,"",(_xlfn.XLOOKUP(Pipeline_tbl[[#This Row],[Closed_Date]],Dim_Date!A:A,Dim_Date!H:H)))</f>
        <v>Jan 2025</v>
      </c>
      <c r="U4369">
        <f>IF(Pipeline_tbl[[#This Row],[Closed_Date]]=0,"",Pipeline_tbl[[#This Row],[Closed_Date]]-Pipeline_tbl[[#This Row],[Created_Date]])</f>
        <v>15</v>
      </c>
    </row>
    <row r="4370" spans="1:21" ht="15" customHeight="1" x14ac:dyDescent="0.2">
      <c r="A4370" t="s">
        <v>4676</v>
      </c>
      <c r="B4370" t="s">
        <v>233</v>
      </c>
      <c r="C4370" t="s">
        <v>53</v>
      </c>
      <c r="D4370" s="49">
        <v>45666</v>
      </c>
      <c r="E4370" s="49">
        <v>45668</v>
      </c>
      <c r="I4370" s="49">
        <v>45683</v>
      </c>
      <c r="J4370" t="s">
        <v>49</v>
      </c>
      <c r="K4370" s="33">
        <v>2300</v>
      </c>
      <c r="L4370" t="s">
        <v>60</v>
      </c>
      <c r="M4370" t="str">
        <f>_xlfn.XLOOKUP(Pipeline_tbl[[#This Row],[Rep_ID]],Dim_Reps!A:A,Dim_Reps!K:K)</f>
        <v>MXN</v>
      </c>
      <c r="N4370" s="33">
        <f>(_xlfn.XLOOKUP(Pipeline_tbl[[#This Row],[Rate_Code_Generalized]],Lookups!A:A,Lookups!B:B))*Pipeline_tbl[[#This Row],[Pipeline_Amount_USD]]</f>
        <v>45385.210000000006</v>
      </c>
      <c r="O4370" t="str">
        <f>_xlfn.XLOOKUP(Pipeline_tbl[[#This Row],[Rep_ID]],Dim_Reps!A:A,Dim_Reps!B:B)</f>
        <v>Lucas Duarte</v>
      </c>
      <c r="P4370" t="str">
        <f>_xlfn.XLOOKUP(Pipeline_tbl[[#This Row],[Rep_ID]],Dim_Reps!A:A,Dim_Reps!C:C)</f>
        <v>SDR / Inside Sales Rep</v>
      </c>
      <c r="Q4370" t="str">
        <f>_xlfn.XLOOKUP(Pipeline_tbl[[#This Row],[Rep_ID]],Dim_Reps!A:A,Dim_Reps!D:D)</f>
        <v>Inside Sales</v>
      </c>
      <c r="R4370" t="str">
        <f>_xlfn.XLOOKUP(Pipeline_tbl[[#This Row],[Rep_ID]],Dim_Reps!A:A,Dim_Reps!E:E)</f>
        <v>LATAM</v>
      </c>
      <c r="S4370" t="str">
        <f>_xlfn.XLOOKUP(Pipeline_tbl[[#This Row],[Created_Date]],Dim_Date!A:A,Dim_Date!H:H)</f>
        <v>Jan 2025</v>
      </c>
      <c r="T4370" t="str">
        <f>IF(Pipeline_tbl[[#This Row],[Closed_Date]]=0,"",(_xlfn.XLOOKUP(Pipeline_tbl[[#This Row],[Closed_Date]],Dim_Date!A:A,Dim_Date!H:H)))</f>
        <v>Jan 2025</v>
      </c>
      <c r="U4370">
        <f>IF(Pipeline_tbl[[#This Row],[Closed_Date]]=0,"",Pipeline_tbl[[#This Row],[Closed_Date]]-Pipeline_tbl[[#This Row],[Created_Date]])</f>
        <v>17</v>
      </c>
    </row>
    <row r="4371" spans="1:21" ht="15" customHeight="1" x14ac:dyDescent="0.2">
      <c r="A4371" t="s">
        <v>4677</v>
      </c>
      <c r="B4371" t="s">
        <v>233</v>
      </c>
      <c r="C4371" t="s">
        <v>56</v>
      </c>
      <c r="D4371" s="49">
        <v>45660</v>
      </c>
      <c r="E4371" s="49">
        <v>45662</v>
      </c>
      <c r="I4371" s="49">
        <v>45675</v>
      </c>
      <c r="J4371" t="s">
        <v>49</v>
      </c>
      <c r="K4371" s="33">
        <v>2600</v>
      </c>
      <c r="L4371" t="s">
        <v>63</v>
      </c>
      <c r="M4371" t="str">
        <f>_xlfn.XLOOKUP(Pipeline_tbl[[#This Row],[Rep_ID]],Dim_Reps!A:A,Dim_Reps!K:K)</f>
        <v>MXN</v>
      </c>
      <c r="N4371" s="33">
        <f>(_xlfn.XLOOKUP(Pipeline_tbl[[#This Row],[Rate_Code_Generalized]],Lookups!A:A,Lookups!B:B))*Pipeline_tbl[[#This Row],[Pipeline_Amount_USD]]</f>
        <v>51305.020000000004</v>
      </c>
      <c r="O4371" t="str">
        <f>_xlfn.XLOOKUP(Pipeline_tbl[[#This Row],[Rep_ID]],Dim_Reps!A:A,Dim_Reps!B:B)</f>
        <v>Lucas Duarte</v>
      </c>
      <c r="P4371" t="str">
        <f>_xlfn.XLOOKUP(Pipeline_tbl[[#This Row],[Rep_ID]],Dim_Reps!A:A,Dim_Reps!C:C)</f>
        <v>SDR / Inside Sales Rep</v>
      </c>
      <c r="Q4371" t="str">
        <f>_xlfn.XLOOKUP(Pipeline_tbl[[#This Row],[Rep_ID]],Dim_Reps!A:A,Dim_Reps!D:D)</f>
        <v>Inside Sales</v>
      </c>
      <c r="R4371" t="str">
        <f>_xlfn.XLOOKUP(Pipeline_tbl[[#This Row],[Rep_ID]],Dim_Reps!A:A,Dim_Reps!E:E)</f>
        <v>LATAM</v>
      </c>
      <c r="S4371" t="str">
        <f>_xlfn.XLOOKUP(Pipeline_tbl[[#This Row],[Created_Date]],Dim_Date!A:A,Dim_Date!H:H)</f>
        <v>Jan 2025</v>
      </c>
      <c r="T4371" t="str">
        <f>IF(Pipeline_tbl[[#This Row],[Closed_Date]]=0,"",(_xlfn.XLOOKUP(Pipeline_tbl[[#This Row],[Closed_Date]],Dim_Date!A:A,Dim_Date!H:H)))</f>
        <v>Jan 2025</v>
      </c>
      <c r="U4371">
        <f>IF(Pipeline_tbl[[#This Row],[Closed_Date]]=0,"",Pipeline_tbl[[#This Row],[Closed_Date]]-Pipeline_tbl[[#This Row],[Created_Date]])</f>
        <v>15</v>
      </c>
    </row>
    <row r="4372" spans="1:21" ht="15" customHeight="1" x14ac:dyDescent="0.2">
      <c r="A4372" t="s">
        <v>4678</v>
      </c>
      <c r="B4372" t="s">
        <v>267</v>
      </c>
      <c r="C4372" t="s">
        <v>54</v>
      </c>
      <c r="D4372" s="49">
        <v>45659</v>
      </c>
      <c r="E4372" s="49">
        <v>45661</v>
      </c>
      <c r="F4372" s="49">
        <v>45666</v>
      </c>
      <c r="G4372" s="49">
        <v>45673</v>
      </c>
      <c r="I4372" s="49">
        <v>45682</v>
      </c>
      <c r="J4372" t="s">
        <v>49</v>
      </c>
      <c r="K4372" s="33">
        <v>8500</v>
      </c>
      <c r="L4372" t="s">
        <v>63</v>
      </c>
      <c r="M4372" t="str">
        <f>_xlfn.XLOOKUP(Pipeline_tbl[[#This Row],[Rep_ID]],Dim_Reps!A:A,Dim_Reps!K:K)</f>
        <v>MXN</v>
      </c>
      <c r="N4372" s="33">
        <f>(_xlfn.XLOOKUP(Pipeline_tbl[[#This Row],[Rate_Code_Generalized]],Lookups!A:A,Lookups!B:B))*Pipeline_tbl[[#This Row],[Pipeline_Amount_USD]]</f>
        <v>167727.95000000001</v>
      </c>
      <c r="O4372" t="str">
        <f>_xlfn.XLOOKUP(Pipeline_tbl[[#This Row],[Rep_ID]],Dim_Reps!A:A,Dim_Reps!B:B)</f>
        <v>Yuki Dubois</v>
      </c>
      <c r="P4372" t="str">
        <f>_xlfn.XLOOKUP(Pipeline_tbl[[#This Row],[Rep_ID]],Dim_Reps!A:A,Dim_Reps!C:C)</f>
        <v>Mid-Market AE</v>
      </c>
      <c r="Q4372" t="str">
        <f>_xlfn.XLOOKUP(Pipeline_tbl[[#This Row],[Rep_ID]],Dim_Reps!A:A,Dim_Reps!D:D)</f>
        <v>Mid-Market</v>
      </c>
      <c r="R4372" t="str">
        <f>_xlfn.XLOOKUP(Pipeline_tbl[[#This Row],[Rep_ID]],Dim_Reps!A:A,Dim_Reps!E:E)</f>
        <v>LATAM</v>
      </c>
      <c r="S4372" t="str">
        <f>_xlfn.XLOOKUP(Pipeline_tbl[[#This Row],[Created_Date]],Dim_Date!A:A,Dim_Date!H:H)</f>
        <v>Jan 2025</v>
      </c>
      <c r="T4372" t="str">
        <f>IF(Pipeline_tbl[[#This Row],[Closed_Date]]=0,"",(_xlfn.XLOOKUP(Pipeline_tbl[[#This Row],[Closed_Date]],Dim_Date!A:A,Dim_Date!H:H)))</f>
        <v>Jan 2025</v>
      </c>
      <c r="U4372">
        <f>IF(Pipeline_tbl[[#This Row],[Closed_Date]]=0,"",Pipeline_tbl[[#This Row],[Closed_Date]]-Pipeline_tbl[[#This Row],[Created_Date]])</f>
        <v>23</v>
      </c>
    </row>
    <row r="4373" spans="1:21" ht="15" customHeight="1" x14ac:dyDescent="0.2">
      <c r="A4373" t="s">
        <v>4679</v>
      </c>
      <c r="B4373" t="s">
        <v>235</v>
      </c>
      <c r="C4373" t="s">
        <v>52</v>
      </c>
      <c r="D4373" s="49">
        <v>45663</v>
      </c>
      <c r="E4373" s="49">
        <v>45665</v>
      </c>
      <c r="F4373" s="49">
        <v>45669</v>
      </c>
      <c r="G4373" s="49">
        <v>45676</v>
      </c>
      <c r="I4373" s="49">
        <v>45684</v>
      </c>
      <c r="J4373" t="s">
        <v>49</v>
      </c>
      <c r="K4373" s="33">
        <v>3700</v>
      </c>
      <c r="L4373" t="s">
        <v>64</v>
      </c>
      <c r="M4373" t="str">
        <f>_xlfn.XLOOKUP(Pipeline_tbl[[#This Row],[Rep_ID]],Dim_Reps!A:A,Dim_Reps!K:K)</f>
        <v>MXN</v>
      </c>
      <c r="N4373" s="33">
        <f>(_xlfn.XLOOKUP(Pipeline_tbl[[#This Row],[Rate_Code_Generalized]],Lookups!A:A,Lookups!B:B))*Pipeline_tbl[[#This Row],[Pipeline_Amount_USD]]</f>
        <v>73010.990000000005</v>
      </c>
      <c r="O4373" t="str">
        <f>_xlfn.XLOOKUP(Pipeline_tbl[[#This Row],[Rep_ID]],Dim_Reps!A:A,Dim_Reps!B:B)</f>
        <v>Milo Castro</v>
      </c>
      <c r="P4373" t="str">
        <f>_xlfn.XLOOKUP(Pipeline_tbl[[#This Row],[Rep_ID]],Dim_Reps!A:A,Dim_Reps!C:C)</f>
        <v>SDR / Inside Sales Rep</v>
      </c>
      <c r="Q4373" t="str">
        <f>_xlfn.XLOOKUP(Pipeline_tbl[[#This Row],[Rep_ID]],Dim_Reps!A:A,Dim_Reps!D:D)</f>
        <v>Inside Sales</v>
      </c>
      <c r="R4373" t="str">
        <f>_xlfn.XLOOKUP(Pipeline_tbl[[#This Row],[Rep_ID]],Dim_Reps!A:A,Dim_Reps!E:E)</f>
        <v>LATAM</v>
      </c>
      <c r="S4373" t="str">
        <f>_xlfn.XLOOKUP(Pipeline_tbl[[#This Row],[Created_Date]],Dim_Date!A:A,Dim_Date!H:H)</f>
        <v>Jan 2025</v>
      </c>
      <c r="T4373" t="str">
        <f>IF(Pipeline_tbl[[#This Row],[Closed_Date]]=0,"",(_xlfn.XLOOKUP(Pipeline_tbl[[#This Row],[Closed_Date]],Dim_Date!A:A,Dim_Date!H:H)))</f>
        <v>Jan 2025</v>
      </c>
      <c r="U4373">
        <f>IF(Pipeline_tbl[[#This Row],[Closed_Date]]=0,"",Pipeline_tbl[[#This Row],[Closed_Date]]-Pipeline_tbl[[#This Row],[Created_Date]])</f>
        <v>21</v>
      </c>
    </row>
    <row r="4374" spans="1:21" ht="15" customHeight="1" x14ac:dyDescent="0.2">
      <c r="A4374" t="s">
        <v>4680</v>
      </c>
      <c r="B4374" t="s">
        <v>235</v>
      </c>
      <c r="C4374" t="s">
        <v>56</v>
      </c>
      <c r="D4374" s="49">
        <v>45661</v>
      </c>
      <c r="E4374" s="49">
        <v>45663</v>
      </c>
      <c r="F4374" s="49">
        <v>45668</v>
      </c>
      <c r="I4374" s="49">
        <v>45683</v>
      </c>
      <c r="J4374" t="s">
        <v>49</v>
      </c>
      <c r="K4374" s="33">
        <v>4800</v>
      </c>
      <c r="L4374" t="s">
        <v>61</v>
      </c>
      <c r="M4374" t="str">
        <f>_xlfn.XLOOKUP(Pipeline_tbl[[#This Row],[Rep_ID]],Dim_Reps!A:A,Dim_Reps!K:K)</f>
        <v>MXN</v>
      </c>
      <c r="N4374" s="33">
        <f>(_xlfn.XLOOKUP(Pipeline_tbl[[#This Row],[Rate_Code_Generalized]],Lookups!A:A,Lookups!B:B))*Pipeline_tbl[[#This Row],[Pipeline_Amount_USD]]</f>
        <v>94716.96</v>
      </c>
      <c r="O4374" t="str">
        <f>_xlfn.XLOOKUP(Pipeline_tbl[[#This Row],[Rep_ID]],Dim_Reps!A:A,Dim_Reps!B:B)</f>
        <v>Milo Castro</v>
      </c>
      <c r="P4374" t="str">
        <f>_xlfn.XLOOKUP(Pipeline_tbl[[#This Row],[Rep_ID]],Dim_Reps!A:A,Dim_Reps!C:C)</f>
        <v>SDR / Inside Sales Rep</v>
      </c>
      <c r="Q4374" t="str">
        <f>_xlfn.XLOOKUP(Pipeline_tbl[[#This Row],[Rep_ID]],Dim_Reps!A:A,Dim_Reps!D:D)</f>
        <v>Inside Sales</v>
      </c>
      <c r="R4374" t="str">
        <f>_xlfn.XLOOKUP(Pipeline_tbl[[#This Row],[Rep_ID]],Dim_Reps!A:A,Dim_Reps!E:E)</f>
        <v>LATAM</v>
      </c>
      <c r="S4374" t="str">
        <f>_xlfn.XLOOKUP(Pipeline_tbl[[#This Row],[Created_Date]],Dim_Date!A:A,Dim_Date!H:H)</f>
        <v>Jan 2025</v>
      </c>
      <c r="T4374" t="str">
        <f>IF(Pipeline_tbl[[#This Row],[Closed_Date]]=0,"",(_xlfn.XLOOKUP(Pipeline_tbl[[#This Row],[Closed_Date]],Dim_Date!A:A,Dim_Date!H:H)))</f>
        <v>Jan 2025</v>
      </c>
      <c r="U4374">
        <f>IF(Pipeline_tbl[[#This Row],[Closed_Date]]=0,"",Pipeline_tbl[[#This Row],[Closed_Date]]-Pipeline_tbl[[#This Row],[Created_Date]])</f>
        <v>22</v>
      </c>
    </row>
    <row r="4375" spans="1:21" ht="15" customHeight="1" x14ac:dyDescent="0.2">
      <c r="A4375" t="s">
        <v>4681</v>
      </c>
      <c r="B4375" t="s">
        <v>237</v>
      </c>
      <c r="C4375" t="s">
        <v>56</v>
      </c>
      <c r="D4375" s="49">
        <v>45659</v>
      </c>
      <c r="E4375" s="49">
        <v>45660</v>
      </c>
      <c r="F4375" s="49">
        <v>45662</v>
      </c>
      <c r="G4375" s="49">
        <v>45665</v>
      </c>
      <c r="I4375" s="49">
        <v>45669</v>
      </c>
      <c r="J4375" t="s">
        <v>49</v>
      </c>
      <c r="K4375" s="33">
        <v>5000</v>
      </c>
      <c r="L4375" t="s">
        <v>61</v>
      </c>
      <c r="M4375" t="str">
        <f>_xlfn.XLOOKUP(Pipeline_tbl[[#This Row],[Rep_ID]],Dim_Reps!A:A,Dim_Reps!K:K)</f>
        <v>EUR</v>
      </c>
      <c r="N4375" s="33">
        <f>(_xlfn.XLOOKUP(Pipeline_tbl[[#This Row],[Rate_Code_Generalized]],Lookups!A:A,Lookups!B:B))*Pipeline_tbl[[#This Row],[Pipeline_Amount_USD]]</f>
        <v>5000</v>
      </c>
      <c r="O4375" t="str">
        <f>_xlfn.XLOOKUP(Pipeline_tbl[[#This Row],[Rep_ID]],Dim_Reps!A:A,Dim_Reps!B:B)</f>
        <v>Hugo Santos</v>
      </c>
      <c r="P4375" t="str">
        <f>_xlfn.XLOOKUP(Pipeline_tbl[[#This Row],[Rep_ID]],Dim_Reps!A:A,Dim_Reps!C:C)</f>
        <v>SDR / Inside Sales Rep</v>
      </c>
      <c r="Q4375" t="str">
        <f>_xlfn.XLOOKUP(Pipeline_tbl[[#This Row],[Rep_ID]],Dim_Reps!A:A,Dim_Reps!D:D)</f>
        <v>Inside Sales</v>
      </c>
      <c r="R4375" t="str">
        <f>_xlfn.XLOOKUP(Pipeline_tbl[[#This Row],[Rep_ID]],Dim_Reps!A:A,Dim_Reps!E:E)</f>
        <v>EMEA</v>
      </c>
      <c r="S4375" t="str">
        <f>_xlfn.XLOOKUP(Pipeline_tbl[[#This Row],[Created_Date]],Dim_Date!A:A,Dim_Date!H:H)</f>
        <v>Jan 2025</v>
      </c>
      <c r="T4375" t="str">
        <f>IF(Pipeline_tbl[[#This Row],[Closed_Date]]=0,"",(_xlfn.XLOOKUP(Pipeline_tbl[[#This Row],[Closed_Date]],Dim_Date!A:A,Dim_Date!H:H)))</f>
        <v>Jan 2025</v>
      </c>
      <c r="U4375">
        <f>IF(Pipeline_tbl[[#This Row],[Closed_Date]]=0,"",Pipeline_tbl[[#This Row],[Closed_Date]]-Pipeline_tbl[[#This Row],[Created_Date]])</f>
        <v>10</v>
      </c>
    </row>
    <row r="4376" spans="1:21" ht="15" customHeight="1" x14ac:dyDescent="0.2">
      <c r="A4376" t="s">
        <v>4682</v>
      </c>
      <c r="B4376" t="s">
        <v>237</v>
      </c>
      <c r="C4376" t="s">
        <v>52</v>
      </c>
      <c r="D4376" s="49">
        <v>45658</v>
      </c>
      <c r="E4376" s="49">
        <v>45658</v>
      </c>
      <c r="F4376" s="49">
        <v>45660</v>
      </c>
      <c r="G4376" s="49">
        <v>45661</v>
      </c>
      <c r="I4376" s="49">
        <v>45663</v>
      </c>
      <c r="J4376" t="s">
        <v>49</v>
      </c>
      <c r="K4376" s="33">
        <v>6600</v>
      </c>
      <c r="L4376" t="s">
        <v>60</v>
      </c>
      <c r="M4376" t="str">
        <f>_xlfn.XLOOKUP(Pipeline_tbl[[#This Row],[Rep_ID]],Dim_Reps!A:A,Dim_Reps!K:K)</f>
        <v>EUR</v>
      </c>
      <c r="N4376" s="33">
        <f>(_xlfn.XLOOKUP(Pipeline_tbl[[#This Row],[Rate_Code_Generalized]],Lookups!A:A,Lookups!B:B))*Pipeline_tbl[[#This Row],[Pipeline_Amount_USD]]</f>
        <v>6600</v>
      </c>
      <c r="O4376" t="str">
        <f>_xlfn.XLOOKUP(Pipeline_tbl[[#This Row],[Rep_ID]],Dim_Reps!A:A,Dim_Reps!B:B)</f>
        <v>Hugo Santos</v>
      </c>
      <c r="P4376" t="str">
        <f>_xlfn.XLOOKUP(Pipeline_tbl[[#This Row],[Rep_ID]],Dim_Reps!A:A,Dim_Reps!C:C)</f>
        <v>SDR / Inside Sales Rep</v>
      </c>
      <c r="Q4376" t="str">
        <f>_xlfn.XLOOKUP(Pipeline_tbl[[#This Row],[Rep_ID]],Dim_Reps!A:A,Dim_Reps!D:D)</f>
        <v>Inside Sales</v>
      </c>
      <c r="R4376" t="str">
        <f>_xlfn.XLOOKUP(Pipeline_tbl[[#This Row],[Rep_ID]],Dim_Reps!A:A,Dim_Reps!E:E)</f>
        <v>EMEA</v>
      </c>
      <c r="S4376" t="str">
        <f>_xlfn.XLOOKUP(Pipeline_tbl[[#This Row],[Created_Date]],Dim_Date!A:A,Dim_Date!H:H)</f>
        <v>Jan 2025</v>
      </c>
      <c r="T4376" t="str">
        <f>IF(Pipeline_tbl[[#This Row],[Closed_Date]]=0,"",(_xlfn.XLOOKUP(Pipeline_tbl[[#This Row],[Closed_Date]],Dim_Date!A:A,Dim_Date!H:H)))</f>
        <v>Jan 2025</v>
      </c>
      <c r="U4376">
        <f>IF(Pipeline_tbl[[#This Row],[Closed_Date]]=0,"",Pipeline_tbl[[#This Row],[Closed_Date]]-Pipeline_tbl[[#This Row],[Created_Date]])</f>
        <v>5</v>
      </c>
    </row>
    <row r="4377" spans="1:21" ht="15" customHeight="1" x14ac:dyDescent="0.2">
      <c r="A4377" t="s">
        <v>4683</v>
      </c>
      <c r="B4377" t="s">
        <v>237</v>
      </c>
      <c r="C4377" t="s">
        <v>54</v>
      </c>
      <c r="D4377" s="49">
        <v>45662</v>
      </c>
      <c r="E4377" s="49">
        <v>45664</v>
      </c>
      <c r="F4377" s="49">
        <v>45669</v>
      </c>
      <c r="G4377" s="49">
        <v>45676</v>
      </c>
      <c r="H4377" s="49">
        <v>45682</v>
      </c>
      <c r="I4377" s="49">
        <v>45686</v>
      </c>
      <c r="J4377" t="s">
        <v>49</v>
      </c>
      <c r="K4377" s="33">
        <v>1800</v>
      </c>
      <c r="L4377" t="s">
        <v>64</v>
      </c>
      <c r="M4377" t="str">
        <f>_xlfn.XLOOKUP(Pipeline_tbl[[#This Row],[Rep_ID]],Dim_Reps!A:A,Dim_Reps!K:K)</f>
        <v>EUR</v>
      </c>
      <c r="N4377" s="33">
        <f>(_xlfn.XLOOKUP(Pipeline_tbl[[#This Row],[Rate_Code_Generalized]],Lookups!A:A,Lookups!B:B))*Pipeline_tbl[[#This Row],[Pipeline_Amount_USD]]</f>
        <v>1800</v>
      </c>
      <c r="O4377" t="str">
        <f>_xlfn.XLOOKUP(Pipeline_tbl[[#This Row],[Rep_ID]],Dim_Reps!A:A,Dim_Reps!B:B)</f>
        <v>Hugo Santos</v>
      </c>
      <c r="P4377" t="str">
        <f>_xlfn.XLOOKUP(Pipeline_tbl[[#This Row],[Rep_ID]],Dim_Reps!A:A,Dim_Reps!C:C)</f>
        <v>SDR / Inside Sales Rep</v>
      </c>
      <c r="Q4377" t="str">
        <f>_xlfn.XLOOKUP(Pipeline_tbl[[#This Row],[Rep_ID]],Dim_Reps!A:A,Dim_Reps!D:D)</f>
        <v>Inside Sales</v>
      </c>
      <c r="R4377" t="str">
        <f>_xlfn.XLOOKUP(Pipeline_tbl[[#This Row],[Rep_ID]],Dim_Reps!A:A,Dim_Reps!E:E)</f>
        <v>EMEA</v>
      </c>
      <c r="S4377" t="str">
        <f>_xlfn.XLOOKUP(Pipeline_tbl[[#This Row],[Created_Date]],Dim_Date!A:A,Dim_Date!H:H)</f>
        <v>Jan 2025</v>
      </c>
      <c r="T4377" t="str">
        <f>IF(Pipeline_tbl[[#This Row],[Closed_Date]]=0,"",(_xlfn.XLOOKUP(Pipeline_tbl[[#This Row],[Closed_Date]],Dim_Date!A:A,Dim_Date!H:H)))</f>
        <v>Jan 2025</v>
      </c>
      <c r="U4377">
        <f>IF(Pipeline_tbl[[#This Row],[Closed_Date]]=0,"",Pipeline_tbl[[#This Row],[Closed_Date]]-Pipeline_tbl[[#This Row],[Created_Date]])</f>
        <v>24</v>
      </c>
    </row>
    <row r="4378" spans="1:21" ht="15" customHeight="1" x14ac:dyDescent="0.2">
      <c r="A4378" t="s">
        <v>4684</v>
      </c>
      <c r="B4378" t="s">
        <v>237</v>
      </c>
      <c r="C4378" t="s">
        <v>56</v>
      </c>
      <c r="D4378" s="49">
        <v>45678</v>
      </c>
      <c r="E4378" s="49">
        <v>45679</v>
      </c>
      <c r="F4378" s="49">
        <v>45680</v>
      </c>
      <c r="G4378" s="49">
        <v>45682</v>
      </c>
      <c r="H4378" s="49">
        <v>45684</v>
      </c>
      <c r="I4378" s="49">
        <v>45685</v>
      </c>
      <c r="J4378" t="s">
        <v>49</v>
      </c>
      <c r="K4378" s="33">
        <v>2600</v>
      </c>
      <c r="L4378" t="s">
        <v>62</v>
      </c>
      <c r="M4378" t="str">
        <f>_xlfn.XLOOKUP(Pipeline_tbl[[#This Row],[Rep_ID]],Dim_Reps!A:A,Dim_Reps!K:K)</f>
        <v>EUR</v>
      </c>
      <c r="N4378" s="33">
        <f>(_xlfn.XLOOKUP(Pipeline_tbl[[#This Row],[Rate_Code_Generalized]],Lookups!A:A,Lookups!B:B))*Pipeline_tbl[[#This Row],[Pipeline_Amount_USD]]</f>
        <v>2600</v>
      </c>
      <c r="O4378" t="str">
        <f>_xlfn.XLOOKUP(Pipeline_tbl[[#This Row],[Rep_ID]],Dim_Reps!A:A,Dim_Reps!B:B)</f>
        <v>Hugo Santos</v>
      </c>
      <c r="P4378" t="str">
        <f>_xlfn.XLOOKUP(Pipeline_tbl[[#This Row],[Rep_ID]],Dim_Reps!A:A,Dim_Reps!C:C)</f>
        <v>SDR / Inside Sales Rep</v>
      </c>
      <c r="Q4378" t="str">
        <f>_xlfn.XLOOKUP(Pipeline_tbl[[#This Row],[Rep_ID]],Dim_Reps!A:A,Dim_Reps!D:D)</f>
        <v>Inside Sales</v>
      </c>
      <c r="R4378" t="str">
        <f>_xlfn.XLOOKUP(Pipeline_tbl[[#This Row],[Rep_ID]],Dim_Reps!A:A,Dim_Reps!E:E)</f>
        <v>EMEA</v>
      </c>
      <c r="S4378" t="str">
        <f>_xlfn.XLOOKUP(Pipeline_tbl[[#This Row],[Created_Date]],Dim_Date!A:A,Dim_Date!H:H)</f>
        <v>Jan 2025</v>
      </c>
      <c r="T4378" t="str">
        <f>IF(Pipeline_tbl[[#This Row],[Closed_Date]]=0,"",(_xlfn.XLOOKUP(Pipeline_tbl[[#This Row],[Closed_Date]],Dim_Date!A:A,Dim_Date!H:H)))</f>
        <v>Jan 2025</v>
      </c>
      <c r="U4378">
        <f>IF(Pipeline_tbl[[#This Row],[Closed_Date]]=0,"",Pipeline_tbl[[#This Row],[Closed_Date]]-Pipeline_tbl[[#This Row],[Created_Date]])</f>
        <v>7</v>
      </c>
    </row>
    <row r="4379" spans="1:21" ht="15" customHeight="1" x14ac:dyDescent="0.2">
      <c r="A4379" t="s">
        <v>4685</v>
      </c>
      <c r="B4379" t="s">
        <v>237</v>
      </c>
      <c r="C4379" t="s">
        <v>53</v>
      </c>
      <c r="D4379" s="49">
        <v>45663</v>
      </c>
      <c r="E4379" s="49">
        <v>45665</v>
      </c>
      <c r="F4379" s="49">
        <v>45668</v>
      </c>
      <c r="I4379" s="49">
        <v>45680</v>
      </c>
      <c r="J4379" t="s">
        <v>49</v>
      </c>
      <c r="K4379" s="33">
        <v>3000</v>
      </c>
      <c r="L4379" t="s">
        <v>62</v>
      </c>
      <c r="M4379" t="str">
        <f>_xlfn.XLOOKUP(Pipeline_tbl[[#This Row],[Rep_ID]],Dim_Reps!A:A,Dim_Reps!K:K)</f>
        <v>EUR</v>
      </c>
      <c r="N4379" s="33">
        <f>(_xlfn.XLOOKUP(Pipeline_tbl[[#This Row],[Rate_Code_Generalized]],Lookups!A:A,Lookups!B:B))*Pipeline_tbl[[#This Row],[Pipeline_Amount_USD]]</f>
        <v>3000</v>
      </c>
      <c r="O4379" t="str">
        <f>_xlfn.XLOOKUP(Pipeline_tbl[[#This Row],[Rep_ID]],Dim_Reps!A:A,Dim_Reps!B:B)</f>
        <v>Hugo Santos</v>
      </c>
      <c r="P4379" t="str">
        <f>_xlfn.XLOOKUP(Pipeline_tbl[[#This Row],[Rep_ID]],Dim_Reps!A:A,Dim_Reps!C:C)</f>
        <v>SDR / Inside Sales Rep</v>
      </c>
      <c r="Q4379" t="str">
        <f>_xlfn.XLOOKUP(Pipeline_tbl[[#This Row],[Rep_ID]],Dim_Reps!A:A,Dim_Reps!D:D)</f>
        <v>Inside Sales</v>
      </c>
      <c r="R4379" t="str">
        <f>_xlfn.XLOOKUP(Pipeline_tbl[[#This Row],[Rep_ID]],Dim_Reps!A:A,Dim_Reps!E:E)</f>
        <v>EMEA</v>
      </c>
      <c r="S4379" t="str">
        <f>_xlfn.XLOOKUP(Pipeline_tbl[[#This Row],[Created_Date]],Dim_Date!A:A,Dim_Date!H:H)</f>
        <v>Jan 2025</v>
      </c>
      <c r="T4379" t="str">
        <f>IF(Pipeline_tbl[[#This Row],[Closed_Date]]=0,"",(_xlfn.XLOOKUP(Pipeline_tbl[[#This Row],[Closed_Date]],Dim_Date!A:A,Dim_Date!H:H)))</f>
        <v>Jan 2025</v>
      </c>
      <c r="U4379">
        <f>IF(Pipeline_tbl[[#This Row],[Closed_Date]]=0,"",Pipeline_tbl[[#This Row],[Closed_Date]]-Pipeline_tbl[[#This Row],[Created_Date]])</f>
        <v>17</v>
      </c>
    </row>
    <row r="4380" spans="1:21" ht="15" customHeight="1" x14ac:dyDescent="0.2">
      <c r="A4380" t="s">
        <v>4686</v>
      </c>
      <c r="B4380" t="s">
        <v>237</v>
      </c>
      <c r="C4380" t="s">
        <v>53</v>
      </c>
      <c r="D4380" s="49">
        <v>45668</v>
      </c>
      <c r="E4380" s="49">
        <v>45669</v>
      </c>
      <c r="F4380" s="49">
        <v>45672</v>
      </c>
      <c r="G4380" s="49">
        <v>45676</v>
      </c>
      <c r="H4380" s="49">
        <v>45680</v>
      </c>
      <c r="I4380" s="49">
        <v>45682</v>
      </c>
      <c r="J4380" t="s">
        <v>47</v>
      </c>
      <c r="K4380" s="33">
        <v>4800</v>
      </c>
      <c r="M4380" t="str">
        <f>_xlfn.XLOOKUP(Pipeline_tbl[[#This Row],[Rep_ID]],Dim_Reps!A:A,Dim_Reps!K:K)</f>
        <v>EUR</v>
      </c>
      <c r="N4380" s="33">
        <f>(_xlfn.XLOOKUP(Pipeline_tbl[[#This Row],[Rate_Code_Generalized]],Lookups!A:A,Lookups!B:B))*Pipeline_tbl[[#This Row],[Pipeline_Amount_USD]]</f>
        <v>4800</v>
      </c>
      <c r="O4380" t="str">
        <f>_xlfn.XLOOKUP(Pipeline_tbl[[#This Row],[Rep_ID]],Dim_Reps!A:A,Dim_Reps!B:B)</f>
        <v>Hugo Santos</v>
      </c>
      <c r="P4380" t="str">
        <f>_xlfn.XLOOKUP(Pipeline_tbl[[#This Row],[Rep_ID]],Dim_Reps!A:A,Dim_Reps!C:C)</f>
        <v>SDR / Inside Sales Rep</v>
      </c>
      <c r="Q4380" t="str">
        <f>_xlfn.XLOOKUP(Pipeline_tbl[[#This Row],[Rep_ID]],Dim_Reps!A:A,Dim_Reps!D:D)</f>
        <v>Inside Sales</v>
      </c>
      <c r="R4380" t="str">
        <f>_xlfn.XLOOKUP(Pipeline_tbl[[#This Row],[Rep_ID]],Dim_Reps!A:A,Dim_Reps!E:E)</f>
        <v>EMEA</v>
      </c>
      <c r="S4380" t="str">
        <f>_xlfn.XLOOKUP(Pipeline_tbl[[#This Row],[Created_Date]],Dim_Date!A:A,Dim_Date!H:H)</f>
        <v>Jan 2025</v>
      </c>
      <c r="T4380" t="str">
        <f>IF(Pipeline_tbl[[#This Row],[Closed_Date]]=0,"",(_xlfn.XLOOKUP(Pipeline_tbl[[#This Row],[Closed_Date]],Dim_Date!A:A,Dim_Date!H:H)))</f>
        <v>Jan 2025</v>
      </c>
      <c r="U4380">
        <f>IF(Pipeline_tbl[[#This Row],[Closed_Date]]=0,"",Pipeline_tbl[[#This Row],[Closed_Date]]-Pipeline_tbl[[#This Row],[Created_Date]])</f>
        <v>14</v>
      </c>
    </row>
    <row r="4381" spans="1:21" ht="15" customHeight="1" x14ac:dyDescent="0.2">
      <c r="A4381" t="s">
        <v>4687</v>
      </c>
      <c r="B4381" t="s">
        <v>237</v>
      </c>
      <c r="C4381" t="s">
        <v>54</v>
      </c>
      <c r="D4381" s="49">
        <v>45669</v>
      </c>
      <c r="E4381" s="49">
        <v>45671</v>
      </c>
      <c r="F4381" s="49">
        <v>45674</v>
      </c>
      <c r="G4381" s="49">
        <v>45679</v>
      </c>
      <c r="I4381" s="49">
        <v>45686</v>
      </c>
      <c r="J4381" t="s">
        <v>49</v>
      </c>
      <c r="K4381" s="33">
        <v>2900</v>
      </c>
      <c r="L4381" t="s">
        <v>61</v>
      </c>
      <c r="M4381" t="str">
        <f>_xlfn.XLOOKUP(Pipeline_tbl[[#This Row],[Rep_ID]],Dim_Reps!A:A,Dim_Reps!K:K)</f>
        <v>EUR</v>
      </c>
      <c r="N4381" s="33">
        <f>(_xlfn.XLOOKUP(Pipeline_tbl[[#This Row],[Rate_Code_Generalized]],Lookups!A:A,Lookups!B:B))*Pipeline_tbl[[#This Row],[Pipeline_Amount_USD]]</f>
        <v>2900</v>
      </c>
      <c r="O4381" t="str">
        <f>_xlfn.XLOOKUP(Pipeline_tbl[[#This Row],[Rep_ID]],Dim_Reps!A:A,Dim_Reps!B:B)</f>
        <v>Hugo Santos</v>
      </c>
      <c r="P4381" t="str">
        <f>_xlfn.XLOOKUP(Pipeline_tbl[[#This Row],[Rep_ID]],Dim_Reps!A:A,Dim_Reps!C:C)</f>
        <v>SDR / Inside Sales Rep</v>
      </c>
      <c r="Q4381" t="str">
        <f>_xlfn.XLOOKUP(Pipeline_tbl[[#This Row],[Rep_ID]],Dim_Reps!A:A,Dim_Reps!D:D)</f>
        <v>Inside Sales</v>
      </c>
      <c r="R4381" t="str">
        <f>_xlfn.XLOOKUP(Pipeline_tbl[[#This Row],[Rep_ID]],Dim_Reps!A:A,Dim_Reps!E:E)</f>
        <v>EMEA</v>
      </c>
      <c r="S4381" t="str">
        <f>_xlfn.XLOOKUP(Pipeline_tbl[[#This Row],[Created_Date]],Dim_Date!A:A,Dim_Date!H:H)</f>
        <v>Jan 2025</v>
      </c>
      <c r="T4381" t="str">
        <f>IF(Pipeline_tbl[[#This Row],[Closed_Date]]=0,"",(_xlfn.XLOOKUP(Pipeline_tbl[[#This Row],[Closed_Date]],Dim_Date!A:A,Dim_Date!H:H)))</f>
        <v>Jan 2025</v>
      </c>
      <c r="U4381">
        <f>IF(Pipeline_tbl[[#This Row],[Closed_Date]]=0,"",Pipeline_tbl[[#This Row],[Closed_Date]]-Pipeline_tbl[[#This Row],[Created_Date]])</f>
        <v>17</v>
      </c>
    </row>
    <row r="4382" spans="1:21" ht="15" customHeight="1" x14ac:dyDescent="0.2">
      <c r="A4382" t="s">
        <v>4688</v>
      </c>
      <c r="B4382" t="s">
        <v>237</v>
      </c>
      <c r="C4382" t="s">
        <v>52</v>
      </c>
      <c r="D4382" s="49">
        <v>45672</v>
      </c>
      <c r="E4382" s="49">
        <v>45674</v>
      </c>
      <c r="F4382" s="49">
        <v>45677</v>
      </c>
      <c r="G4382" s="49">
        <v>45682</v>
      </c>
      <c r="H4382" s="49">
        <v>45686</v>
      </c>
      <c r="I4382" s="49">
        <v>45688</v>
      </c>
      <c r="J4382" t="s">
        <v>47</v>
      </c>
      <c r="K4382" s="33">
        <v>2400</v>
      </c>
      <c r="M4382" t="str">
        <f>_xlfn.XLOOKUP(Pipeline_tbl[[#This Row],[Rep_ID]],Dim_Reps!A:A,Dim_Reps!K:K)</f>
        <v>EUR</v>
      </c>
      <c r="N4382" s="33">
        <f>(_xlfn.XLOOKUP(Pipeline_tbl[[#This Row],[Rate_Code_Generalized]],Lookups!A:A,Lookups!B:B))*Pipeline_tbl[[#This Row],[Pipeline_Amount_USD]]</f>
        <v>2400</v>
      </c>
      <c r="O4382" t="str">
        <f>_xlfn.XLOOKUP(Pipeline_tbl[[#This Row],[Rep_ID]],Dim_Reps!A:A,Dim_Reps!B:B)</f>
        <v>Hugo Santos</v>
      </c>
      <c r="P4382" t="str">
        <f>_xlfn.XLOOKUP(Pipeline_tbl[[#This Row],[Rep_ID]],Dim_Reps!A:A,Dim_Reps!C:C)</f>
        <v>SDR / Inside Sales Rep</v>
      </c>
      <c r="Q4382" t="str">
        <f>_xlfn.XLOOKUP(Pipeline_tbl[[#This Row],[Rep_ID]],Dim_Reps!A:A,Dim_Reps!D:D)</f>
        <v>Inside Sales</v>
      </c>
      <c r="R4382" t="str">
        <f>_xlfn.XLOOKUP(Pipeline_tbl[[#This Row],[Rep_ID]],Dim_Reps!A:A,Dim_Reps!E:E)</f>
        <v>EMEA</v>
      </c>
      <c r="S4382" t="str">
        <f>_xlfn.XLOOKUP(Pipeline_tbl[[#This Row],[Created_Date]],Dim_Date!A:A,Dim_Date!H:H)</f>
        <v>Jan 2025</v>
      </c>
      <c r="T4382" t="str">
        <f>IF(Pipeline_tbl[[#This Row],[Closed_Date]]=0,"",(_xlfn.XLOOKUP(Pipeline_tbl[[#This Row],[Closed_Date]],Dim_Date!A:A,Dim_Date!H:H)))</f>
        <v>Jan 2025</v>
      </c>
      <c r="U4382">
        <f>IF(Pipeline_tbl[[#This Row],[Closed_Date]]=0,"",Pipeline_tbl[[#This Row],[Closed_Date]]-Pipeline_tbl[[#This Row],[Created_Date]])</f>
        <v>16</v>
      </c>
    </row>
    <row r="4383" spans="1:21" ht="15" customHeight="1" x14ac:dyDescent="0.2">
      <c r="A4383" t="s">
        <v>4689</v>
      </c>
      <c r="B4383" t="s">
        <v>269</v>
      </c>
      <c r="C4383" t="s">
        <v>53</v>
      </c>
      <c r="D4383" s="49">
        <v>45658</v>
      </c>
      <c r="E4383" s="49">
        <v>45661</v>
      </c>
      <c r="F4383" s="49">
        <v>45666</v>
      </c>
      <c r="G4383" s="49">
        <v>45674</v>
      </c>
      <c r="H4383" s="49">
        <v>45680</v>
      </c>
      <c r="I4383" s="49">
        <v>45684</v>
      </c>
      <c r="J4383" t="s">
        <v>47</v>
      </c>
      <c r="K4383" s="33">
        <v>6400</v>
      </c>
      <c r="M4383" t="str">
        <f>_xlfn.XLOOKUP(Pipeline_tbl[[#This Row],[Rep_ID]],Dim_Reps!A:A,Dim_Reps!K:K)</f>
        <v>USD</v>
      </c>
      <c r="N4383" s="33">
        <f>(_xlfn.XLOOKUP(Pipeline_tbl[[#This Row],[Rate_Code_Generalized]],Lookups!A:A,Lookups!B:B))*Pipeline_tbl[[#This Row],[Pipeline_Amount_USD]]</f>
        <v>7451.5199999999995</v>
      </c>
      <c r="O4383" t="str">
        <f>_xlfn.XLOOKUP(Pipeline_tbl[[#This Row],[Rep_ID]],Dim_Reps!A:A,Dim_Reps!B:B)</f>
        <v>Morgan Rivera</v>
      </c>
      <c r="P4383" t="str">
        <f>_xlfn.XLOOKUP(Pipeline_tbl[[#This Row],[Rep_ID]],Dim_Reps!A:A,Dim_Reps!C:C)</f>
        <v>Mid-Market AE</v>
      </c>
      <c r="Q4383" t="str">
        <f>_xlfn.XLOOKUP(Pipeline_tbl[[#This Row],[Rep_ID]],Dim_Reps!A:A,Dim_Reps!D:D)</f>
        <v>Mid-Market</v>
      </c>
      <c r="R4383" t="str">
        <f>_xlfn.XLOOKUP(Pipeline_tbl[[#This Row],[Rep_ID]],Dim_Reps!A:A,Dim_Reps!E:E)</f>
        <v>NAMER</v>
      </c>
      <c r="S4383" t="str">
        <f>_xlfn.XLOOKUP(Pipeline_tbl[[#This Row],[Created_Date]],Dim_Date!A:A,Dim_Date!H:H)</f>
        <v>Jan 2025</v>
      </c>
      <c r="T4383" t="str">
        <f>IF(Pipeline_tbl[[#This Row],[Closed_Date]]=0,"",(_xlfn.XLOOKUP(Pipeline_tbl[[#This Row],[Closed_Date]],Dim_Date!A:A,Dim_Date!H:H)))</f>
        <v>Jan 2025</v>
      </c>
      <c r="U4383">
        <f>IF(Pipeline_tbl[[#This Row],[Closed_Date]]=0,"",Pipeline_tbl[[#This Row],[Closed_Date]]-Pipeline_tbl[[#This Row],[Created_Date]])</f>
        <v>26</v>
      </c>
    </row>
    <row r="4384" spans="1:21" ht="15" customHeight="1" x14ac:dyDescent="0.2">
      <c r="A4384" t="s">
        <v>4690</v>
      </c>
      <c r="B4384" t="s">
        <v>273</v>
      </c>
      <c r="C4384" t="s">
        <v>52</v>
      </c>
      <c r="D4384" s="49">
        <v>45661</v>
      </c>
      <c r="E4384" s="49">
        <v>45664</v>
      </c>
      <c r="F4384" s="49">
        <v>45669</v>
      </c>
      <c r="I4384" s="49">
        <v>45688</v>
      </c>
      <c r="J4384" t="s">
        <v>49</v>
      </c>
      <c r="K4384" s="33">
        <v>7200</v>
      </c>
      <c r="L4384" t="s">
        <v>60</v>
      </c>
      <c r="M4384" t="str">
        <f>_xlfn.XLOOKUP(Pipeline_tbl[[#This Row],[Rep_ID]],Dim_Reps!A:A,Dim_Reps!K:K)</f>
        <v>EUR</v>
      </c>
      <c r="N4384" s="33">
        <f>(_xlfn.XLOOKUP(Pipeline_tbl[[#This Row],[Rate_Code_Generalized]],Lookups!A:A,Lookups!B:B))*Pipeline_tbl[[#This Row],[Pipeline_Amount_USD]]</f>
        <v>7200</v>
      </c>
      <c r="O4384" t="str">
        <f>_xlfn.XLOOKUP(Pipeline_tbl[[#This Row],[Rep_ID]],Dim_Reps!A:A,Dim_Reps!B:B)</f>
        <v>Olivia Cohen</v>
      </c>
      <c r="P4384" t="str">
        <f>_xlfn.XLOOKUP(Pipeline_tbl[[#This Row],[Rep_ID]],Dim_Reps!A:A,Dim_Reps!C:C)</f>
        <v>Mid-Market AE</v>
      </c>
      <c r="Q4384" t="str">
        <f>_xlfn.XLOOKUP(Pipeline_tbl[[#This Row],[Rep_ID]],Dim_Reps!A:A,Dim_Reps!D:D)</f>
        <v>Mid-Market</v>
      </c>
      <c r="R4384" t="str">
        <f>_xlfn.XLOOKUP(Pipeline_tbl[[#This Row],[Rep_ID]],Dim_Reps!A:A,Dim_Reps!E:E)</f>
        <v>APAC</v>
      </c>
      <c r="S4384" t="str">
        <f>_xlfn.XLOOKUP(Pipeline_tbl[[#This Row],[Created_Date]],Dim_Date!A:A,Dim_Date!H:H)</f>
        <v>Jan 2025</v>
      </c>
      <c r="T4384" t="str">
        <f>IF(Pipeline_tbl[[#This Row],[Closed_Date]]=0,"",(_xlfn.XLOOKUP(Pipeline_tbl[[#This Row],[Closed_Date]],Dim_Date!A:A,Dim_Date!H:H)))</f>
        <v>Jan 2025</v>
      </c>
      <c r="U4384">
        <f>IF(Pipeline_tbl[[#This Row],[Closed_Date]]=0,"",Pipeline_tbl[[#This Row],[Closed_Date]]-Pipeline_tbl[[#This Row],[Created_Date]])</f>
        <v>27</v>
      </c>
    </row>
    <row r="4385" spans="1:21" ht="15" customHeight="1" x14ac:dyDescent="0.2">
      <c r="A4385" t="s">
        <v>4691</v>
      </c>
      <c r="B4385" t="s">
        <v>273</v>
      </c>
      <c r="C4385" t="s">
        <v>52</v>
      </c>
      <c r="D4385" s="49">
        <v>45670</v>
      </c>
      <c r="E4385" s="49">
        <v>45672</v>
      </c>
      <c r="F4385" s="49">
        <v>45675</v>
      </c>
      <c r="G4385" s="49">
        <v>45680</v>
      </c>
      <c r="H4385" s="49">
        <v>45684</v>
      </c>
      <c r="I4385" s="49">
        <v>45686</v>
      </c>
      <c r="J4385" t="s">
        <v>49</v>
      </c>
      <c r="K4385" s="33">
        <v>10100</v>
      </c>
      <c r="L4385" t="s">
        <v>62</v>
      </c>
      <c r="M4385" t="str">
        <f>_xlfn.XLOOKUP(Pipeline_tbl[[#This Row],[Rep_ID]],Dim_Reps!A:A,Dim_Reps!K:K)</f>
        <v>EUR</v>
      </c>
      <c r="N4385" s="33">
        <f>(_xlfn.XLOOKUP(Pipeline_tbl[[#This Row],[Rate_Code_Generalized]],Lookups!A:A,Lookups!B:B))*Pipeline_tbl[[#This Row],[Pipeline_Amount_USD]]</f>
        <v>10100</v>
      </c>
      <c r="O4385" t="str">
        <f>_xlfn.XLOOKUP(Pipeline_tbl[[#This Row],[Rep_ID]],Dim_Reps!A:A,Dim_Reps!B:B)</f>
        <v>Olivia Cohen</v>
      </c>
      <c r="P4385" t="str">
        <f>_xlfn.XLOOKUP(Pipeline_tbl[[#This Row],[Rep_ID]],Dim_Reps!A:A,Dim_Reps!C:C)</f>
        <v>Mid-Market AE</v>
      </c>
      <c r="Q4385" t="str">
        <f>_xlfn.XLOOKUP(Pipeline_tbl[[#This Row],[Rep_ID]],Dim_Reps!A:A,Dim_Reps!D:D)</f>
        <v>Mid-Market</v>
      </c>
      <c r="R4385" t="str">
        <f>_xlfn.XLOOKUP(Pipeline_tbl[[#This Row],[Rep_ID]],Dim_Reps!A:A,Dim_Reps!E:E)</f>
        <v>APAC</v>
      </c>
      <c r="S4385" t="str">
        <f>_xlfn.XLOOKUP(Pipeline_tbl[[#This Row],[Created_Date]],Dim_Date!A:A,Dim_Date!H:H)</f>
        <v>Jan 2025</v>
      </c>
      <c r="T4385" t="str">
        <f>IF(Pipeline_tbl[[#This Row],[Closed_Date]]=0,"",(_xlfn.XLOOKUP(Pipeline_tbl[[#This Row],[Closed_Date]],Dim_Date!A:A,Dim_Date!H:H)))</f>
        <v>Jan 2025</v>
      </c>
      <c r="U4385">
        <f>IF(Pipeline_tbl[[#This Row],[Closed_Date]]=0,"",Pipeline_tbl[[#This Row],[Closed_Date]]-Pipeline_tbl[[#This Row],[Created_Date]])</f>
        <v>16</v>
      </c>
    </row>
    <row r="4386" spans="1:21" ht="15" customHeight="1" x14ac:dyDescent="0.2">
      <c r="A4386" t="s">
        <v>4692</v>
      </c>
      <c r="B4386" t="s">
        <v>241</v>
      </c>
      <c r="C4386" t="s">
        <v>52</v>
      </c>
      <c r="D4386" s="49">
        <v>45662</v>
      </c>
      <c r="E4386" s="49">
        <v>45664</v>
      </c>
      <c r="F4386" s="49">
        <v>45669</v>
      </c>
      <c r="G4386" s="49">
        <v>45676</v>
      </c>
      <c r="H4386" s="49">
        <v>45682</v>
      </c>
      <c r="I4386" s="49">
        <v>45685</v>
      </c>
      <c r="J4386" t="s">
        <v>47</v>
      </c>
      <c r="K4386" s="33">
        <v>3300</v>
      </c>
      <c r="M4386" t="str">
        <f>_xlfn.XLOOKUP(Pipeline_tbl[[#This Row],[Rep_ID]],Dim_Reps!A:A,Dim_Reps!K:K)</f>
        <v>EUR</v>
      </c>
      <c r="N4386" s="33">
        <f>(_xlfn.XLOOKUP(Pipeline_tbl[[#This Row],[Rate_Code_Generalized]],Lookups!A:A,Lookups!B:B))*Pipeline_tbl[[#This Row],[Pipeline_Amount_USD]]</f>
        <v>3300</v>
      </c>
      <c r="O4386" t="str">
        <f>_xlfn.XLOOKUP(Pipeline_tbl[[#This Row],[Rep_ID]],Dim_Reps!A:A,Dim_Reps!B:B)</f>
        <v>Kenji Weber</v>
      </c>
      <c r="P4386" t="str">
        <f>_xlfn.XLOOKUP(Pipeline_tbl[[#This Row],[Rep_ID]],Dim_Reps!A:A,Dim_Reps!C:C)</f>
        <v>SDR / Inside Sales Rep</v>
      </c>
      <c r="Q4386" t="str">
        <f>_xlfn.XLOOKUP(Pipeline_tbl[[#This Row],[Rep_ID]],Dim_Reps!A:A,Dim_Reps!D:D)</f>
        <v>Inside Sales</v>
      </c>
      <c r="R4386" t="str">
        <f>_xlfn.XLOOKUP(Pipeline_tbl[[#This Row],[Rep_ID]],Dim_Reps!A:A,Dim_Reps!E:E)</f>
        <v>APAC</v>
      </c>
      <c r="S4386" t="str">
        <f>_xlfn.XLOOKUP(Pipeline_tbl[[#This Row],[Created_Date]],Dim_Date!A:A,Dim_Date!H:H)</f>
        <v>Jan 2025</v>
      </c>
      <c r="T4386" t="str">
        <f>IF(Pipeline_tbl[[#This Row],[Closed_Date]]=0,"",(_xlfn.XLOOKUP(Pipeline_tbl[[#This Row],[Closed_Date]],Dim_Date!A:A,Dim_Date!H:H)))</f>
        <v>Jan 2025</v>
      </c>
      <c r="U4386">
        <f>IF(Pipeline_tbl[[#This Row],[Closed_Date]]=0,"",Pipeline_tbl[[#This Row],[Closed_Date]]-Pipeline_tbl[[#This Row],[Created_Date]])</f>
        <v>23</v>
      </c>
    </row>
    <row r="4387" spans="1:21" ht="15" customHeight="1" x14ac:dyDescent="0.2">
      <c r="A4387" t="s">
        <v>4693</v>
      </c>
      <c r="B4387" t="s">
        <v>241</v>
      </c>
      <c r="C4387" t="s">
        <v>52</v>
      </c>
      <c r="D4387" s="49">
        <v>45667</v>
      </c>
      <c r="E4387" s="49">
        <v>45669</v>
      </c>
      <c r="F4387" s="49">
        <v>45673</v>
      </c>
      <c r="G4387" s="49">
        <v>45679</v>
      </c>
      <c r="H4387" s="49">
        <v>45684</v>
      </c>
      <c r="I4387" s="49">
        <v>45687</v>
      </c>
      <c r="J4387" t="s">
        <v>49</v>
      </c>
      <c r="K4387" s="33">
        <v>1400</v>
      </c>
      <c r="L4387" t="s">
        <v>61</v>
      </c>
      <c r="M4387" t="str">
        <f>_xlfn.XLOOKUP(Pipeline_tbl[[#This Row],[Rep_ID]],Dim_Reps!A:A,Dim_Reps!K:K)</f>
        <v>EUR</v>
      </c>
      <c r="N4387" s="33">
        <f>(_xlfn.XLOOKUP(Pipeline_tbl[[#This Row],[Rate_Code_Generalized]],Lookups!A:A,Lookups!B:B))*Pipeline_tbl[[#This Row],[Pipeline_Amount_USD]]</f>
        <v>1400</v>
      </c>
      <c r="O4387" t="str">
        <f>_xlfn.XLOOKUP(Pipeline_tbl[[#This Row],[Rep_ID]],Dim_Reps!A:A,Dim_Reps!B:B)</f>
        <v>Kenji Weber</v>
      </c>
      <c r="P4387" t="str">
        <f>_xlfn.XLOOKUP(Pipeline_tbl[[#This Row],[Rep_ID]],Dim_Reps!A:A,Dim_Reps!C:C)</f>
        <v>SDR / Inside Sales Rep</v>
      </c>
      <c r="Q4387" t="str">
        <f>_xlfn.XLOOKUP(Pipeline_tbl[[#This Row],[Rep_ID]],Dim_Reps!A:A,Dim_Reps!D:D)</f>
        <v>Inside Sales</v>
      </c>
      <c r="R4387" t="str">
        <f>_xlfn.XLOOKUP(Pipeline_tbl[[#This Row],[Rep_ID]],Dim_Reps!A:A,Dim_Reps!E:E)</f>
        <v>APAC</v>
      </c>
      <c r="S4387" t="str">
        <f>_xlfn.XLOOKUP(Pipeline_tbl[[#This Row],[Created_Date]],Dim_Date!A:A,Dim_Date!H:H)</f>
        <v>Jan 2025</v>
      </c>
      <c r="T4387" t="str">
        <f>IF(Pipeline_tbl[[#This Row],[Closed_Date]]=0,"",(_xlfn.XLOOKUP(Pipeline_tbl[[#This Row],[Closed_Date]],Dim_Date!A:A,Dim_Date!H:H)))</f>
        <v>Jan 2025</v>
      </c>
      <c r="U4387">
        <f>IF(Pipeline_tbl[[#This Row],[Closed_Date]]=0,"",Pipeline_tbl[[#This Row],[Closed_Date]]-Pipeline_tbl[[#This Row],[Created_Date]])</f>
        <v>20</v>
      </c>
    </row>
    <row r="4388" spans="1:21" ht="15" customHeight="1" x14ac:dyDescent="0.2">
      <c r="A4388" t="s">
        <v>4694</v>
      </c>
      <c r="B4388" t="s">
        <v>241</v>
      </c>
      <c r="C4388" t="s">
        <v>52</v>
      </c>
      <c r="D4388" s="49">
        <v>45678</v>
      </c>
      <c r="E4388" s="49">
        <v>45679</v>
      </c>
      <c r="F4388" s="49">
        <v>45680</v>
      </c>
      <c r="I4388" s="49">
        <v>45686</v>
      </c>
      <c r="J4388" t="s">
        <v>49</v>
      </c>
      <c r="K4388" s="33">
        <v>1500</v>
      </c>
      <c r="L4388" t="s">
        <v>64</v>
      </c>
      <c r="M4388" t="str">
        <f>_xlfn.XLOOKUP(Pipeline_tbl[[#This Row],[Rep_ID]],Dim_Reps!A:A,Dim_Reps!K:K)</f>
        <v>EUR</v>
      </c>
      <c r="N4388" s="33">
        <f>(_xlfn.XLOOKUP(Pipeline_tbl[[#This Row],[Rate_Code_Generalized]],Lookups!A:A,Lookups!B:B))*Pipeline_tbl[[#This Row],[Pipeline_Amount_USD]]</f>
        <v>1500</v>
      </c>
      <c r="O4388" t="str">
        <f>_xlfn.XLOOKUP(Pipeline_tbl[[#This Row],[Rep_ID]],Dim_Reps!A:A,Dim_Reps!B:B)</f>
        <v>Kenji Weber</v>
      </c>
      <c r="P4388" t="str">
        <f>_xlfn.XLOOKUP(Pipeline_tbl[[#This Row],[Rep_ID]],Dim_Reps!A:A,Dim_Reps!C:C)</f>
        <v>SDR / Inside Sales Rep</v>
      </c>
      <c r="Q4388" t="str">
        <f>_xlfn.XLOOKUP(Pipeline_tbl[[#This Row],[Rep_ID]],Dim_Reps!A:A,Dim_Reps!D:D)</f>
        <v>Inside Sales</v>
      </c>
      <c r="R4388" t="str">
        <f>_xlfn.XLOOKUP(Pipeline_tbl[[#This Row],[Rep_ID]],Dim_Reps!A:A,Dim_Reps!E:E)</f>
        <v>APAC</v>
      </c>
      <c r="S4388" t="str">
        <f>_xlfn.XLOOKUP(Pipeline_tbl[[#This Row],[Created_Date]],Dim_Date!A:A,Dim_Date!H:H)</f>
        <v>Jan 2025</v>
      </c>
      <c r="T4388" t="str">
        <f>IF(Pipeline_tbl[[#This Row],[Closed_Date]]=0,"",(_xlfn.XLOOKUP(Pipeline_tbl[[#This Row],[Closed_Date]],Dim_Date!A:A,Dim_Date!H:H)))</f>
        <v>Jan 2025</v>
      </c>
      <c r="U4388">
        <f>IF(Pipeline_tbl[[#This Row],[Closed_Date]]=0,"",Pipeline_tbl[[#This Row],[Closed_Date]]-Pipeline_tbl[[#This Row],[Created_Date]])</f>
        <v>8</v>
      </c>
    </row>
    <row r="4389" spans="1:21" ht="15" customHeight="1" x14ac:dyDescent="0.2">
      <c r="A4389" t="s">
        <v>4695</v>
      </c>
      <c r="B4389" t="s">
        <v>241</v>
      </c>
      <c r="C4389" t="s">
        <v>52</v>
      </c>
      <c r="D4389" s="49">
        <v>45669</v>
      </c>
      <c r="E4389" s="49">
        <v>45670</v>
      </c>
      <c r="F4389" s="49">
        <v>45673</v>
      </c>
      <c r="G4389" s="49">
        <v>45677</v>
      </c>
      <c r="I4389" s="49">
        <v>45682</v>
      </c>
      <c r="J4389" t="s">
        <v>49</v>
      </c>
      <c r="K4389" s="33">
        <v>4500</v>
      </c>
      <c r="L4389" t="s">
        <v>64</v>
      </c>
      <c r="M4389" t="str">
        <f>_xlfn.XLOOKUP(Pipeline_tbl[[#This Row],[Rep_ID]],Dim_Reps!A:A,Dim_Reps!K:K)</f>
        <v>EUR</v>
      </c>
      <c r="N4389" s="33">
        <f>(_xlfn.XLOOKUP(Pipeline_tbl[[#This Row],[Rate_Code_Generalized]],Lookups!A:A,Lookups!B:B))*Pipeline_tbl[[#This Row],[Pipeline_Amount_USD]]</f>
        <v>4500</v>
      </c>
      <c r="O4389" t="str">
        <f>_xlfn.XLOOKUP(Pipeline_tbl[[#This Row],[Rep_ID]],Dim_Reps!A:A,Dim_Reps!B:B)</f>
        <v>Kenji Weber</v>
      </c>
      <c r="P4389" t="str">
        <f>_xlfn.XLOOKUP(Pipeline_tbl[[#This Row],[Rep_ID]],Dim_Reps!A:A,Dim_Reps!C:C)</f>
        <v>SDR / Inside Sales Rep</v>
      </c>
      <c r="Q4389" t="str">
        <f>_xlfn.XLOOKUP(Pipeline_tbl[[#This Row],[Rep_ID]],Dim_Reps!A:A,Dim_Reps!D:D)</f>
        <v>Inside Sales</v>
      </c>
      <c r="R4389" t="str">
        <f>_xlfn.XLOOKUP(Pipeline_tbl[[#This Row],[Rep_ID]],Dim_Reps!A:A,Dim_Reps!E:E)</f>
        <v>APAC</v>
      </c>
      <c r="S4389" t="str">
        <f>_xlfn.XLOOKUP(Pipeline_tbl[[#This Row],[Created_Date]],Dim_Date!A:A,Dim_Date!H:H)</f>
        <v>Jan 2025</v>
      </c>
      <c r="T4389" t="str">
        <f>IF(Pipeline_tbl[[#This Row],[Closed_Date]]=0,"",(_xlfn.XLOOKUP(Pipeline_tbl[[#This Row],[Closed_Date]],Dim_Date!A:A,Dim_Date!H:H)))</f>
        <v>Jan 2025</v>
      </c>
      <c r="U4389">
        <f>IF(Pipeline_tbl[[#This Row],[Closed_Date]]=0,"",Pipeline_tbl[[#This Row],[Closed_Date]]-Pipeline_tbl[[#This Row],[Created_Date]])</f>
        <v>13</v>
      </c>
    </row>
    <row r="4390" spans="1:21" ht="15" customHeight="1" x14ac:dyDescent="0.2">
      <c r="A4390" t="s">
        <v>4696</v>
      </c>
      <c r="B4390" t="s">
        <v>243</v>
      </c>
      <c r="C4390" t="s">
        <v>52</v>
      </c>
      <c r="D4390" s="49">
        <v>45682</v>
      </c>
      <c r="E4390" s="49">
        <v>45686</v>
      </c>
      <c r="F4390" s="49">
        <v>45695</v>
      </c>
      <c r="G4390" s="49">
        <v>45707</v>
      </c>
      <c r="I4390" s="49">
        <v>45724</v>
      </c>
      <c r="J4390" t="s">
        <v>49</v>
      </c>
      <c r="K4390" s="33">
        <v>7600</v>
      </c>
      <c r="L4390" t="s">
        <v>60</v>
      </c>
      <c r="M4390" t="str">
        <f>_xlfn.XLOOKUP(Pipeline_tbl[[#This Row],[Rep_ID]],Dim_Reps!A:A,Dim_Reps!K:K)</f>
        <v>MXN</v>
      </c>
      <c r="N4390" s="33">
        <f>(_xlfn.XLOOKUP(Pipeline_tbl[[#This Row],[Rate_Code_Generalized]],Lookups!A:A,Lookups!B:B))*Pipeline_tbl[[#This Row],[Pipeline_Amount_USD]]</f>
        <v>149968.52000000002</v>
      </c>
      <c r="O4390" t="str">
        <f>_xlfn.XLOOKUP(Pipeline_tbl[[#This Row],[Rep_ID]],Dim_Reps!A:A,Dim_Reps!B:B)</f>
        <v>Jonas Sato</v>
      </c>
      <c r="P4390" t="str">
        <f>_xlfn.XLOOKUP(Pipeline_tbl[[#This Row],[Rep_ID]],Dim_Reps!A:A,Dim_Reps!C:C)</f>
        <v>Mid-Market AE</v>
      </c>
      <c r="Q4390" t="str">
        <f>_xlfn.XLOOKUP(Pipeline_tbl[[#This Row],[Rep_ID]],Dim_Reps!A:A,Dim_Reps!D:D)</f>
        <v>Mid-Market</v>
      </c>
      <c r="R4390" t="str">
        <f>_xlfn.XLOOKUP(Pipeline_tbl[[#This Row],[Rep_ID]],Dim_Reps!A:A,Dim_Reps!E:E)</f>
        <v>LATAM</v>
      </c>
      <c r="S4390" t="str">
        <f>_xlfn.XLOOKUP(Pipeline_tbl[[#This Row],[Created_Date]],Dim_Date!A:A,Dim_Date!H:H)</f>
        <v>Jan 2025</v>
      </c>
      <c r="T4390" t="str">
        <f>IF(Pipeline_tbl[[#This Row],[Closed_Date]]=0,"",(_xlfn.XLOOKUP(Pipeline_tbl[[#This Row],[Closed_Date]],Dim_Date!A:A,Dim_Date!H:H)))</f>
        <v>Mar 2025</v>
      </c>
      <c r="U4390">
        <f>IF(Pipeline_tbl[[#This Row],[Closed_Date]]=0,"",Pipeline_tbl[[#This Row],[Closed_Date]]-Pipeline_tbl[[#This Row],[Created_Date]])</f>
        <v>42</v>
      </c>
    </row>
    <row r="4391" spans="1:21" ht="15" customHeight="1" x14ac:dyDescent="0.2">
      <c r="A4391" t="s">
        <v>4697</v>
      </c>
      <c r="B4391" t="s">
        <v>181</v>
      </c>
      <c r="C4391" t="s">
        <v>53</v>
      </c>
      <c r="D4391" s="49">
        <v>45685</v>
      </c>
      <c r="E4391" s="49">
        <v>45691</v>
      </c>
      <c r="F4391" s="49">
        <v>45702</v>
      </c>
      <c r="G4391" s="49">
        <v>45718</v>
      </c>
      <c r="I4391" s="49">
        <v>45740</v>
      </c>
      <c r="J4391" t="s">
        <v>49</v>
      </c>
      <c r="K4391" s="33">
        <v>27400</v>
      </c>
      <c r="L4391" t="s">
        <v>61</v>
      </c>
      <c r="M4391" t="str">
        <f>_xlfn.XLOOKUP(Pipeline_tbl[[#This Row],[Rep_ID]],Dim_Reps!A:A,Dim_Reps!K:K)</f>
        <v>USD</v>
      </c>
      <c r="N4391" s="33">
        <f>(_xlfn.XLOOKUP(Pipeline_tbl[[#This Row],[Rate_Code_Generalized]],Lookups!A:A,Lookups!B:B))*Pipeline_tbl[[#This Row],[Pipeline_Amount_USD]]</f>
        <v>31901.819999999996</v>
      </c>
      <c r="O4391" t="str">
        <f>_xlfn.XLOOKUP(Pipeline_tbl[[#This Row],[Rep_ID]],Dim_Reps!A:A,Dim_Reps!B:B)</f>
        <v>Milo Weber</v>
      </c>
      <c r="P4391" t="str">
        <f>_xlfn.XLOOKUP(Pipeline_tbl[[#This Row],[Rep_ID]],Dim_Reps!A:A,Dim_Reps!C:C)</f>
        <v>Enterprise AE</v>
      </c>
      <c r="Q4391" t="str">
        <f>_xlfn.XLOOKUP(Pipeline_tbl[[#This Row],[Rep_ID]],Dim_Reps!A:A,Dim_Reps!D:D)</f>
        <v>Enterprise</v>
      </c>
      <c r="R4391" t="str">
        <f>_xlfn.XLOOKUP(Pipeline_tbl[[#This Row],[Rep_ID]],Dim_Reps!A:A,Dim_Reps!E:E)</f>
        <v>NAMER</v>
      </c>
      <c r="S4391" t="str">
        <f>_xlfn.XLOOKUP(Pipeline_tbl[[#This Row],[Created_Date]],Dim_Date!A:A,Dim_Date!H:H)</f>
        <v>Jan 2025</v>
      </c>
      <c r="T4391" t="str">
        <f>IF(Pipeline_tbl[[#This Row],[Closed_Date]]=0,"",(_xlfn.XLOOKUP(Pipeline_tbl[[#This Row],[Closed_Date]],Dim_Date!A:A,Dim_Date!H:H)))</f>
        <v>Mar 2025</v>
      </c>
      <c r="U4391">
        <f>IF(Pipeline_tbl[[#This Row],[Closed_Date]]=0,"",Pipeline_tbl[[#This Row],[Closed_Date]]-Pipeline_tbl[[#This Row],[Created_Date]])</f>
        <v>55</v>
      </c>
    </row>
    <row r="4392" spans="1:21" ht="15" customHeight="1" x14ac:dyDescent="0.2">
      <c r="A4392" t="s">
        <v>4698</v>
      </c>
      <c r="B4392" t="s">
        <v>181</v>
      </c>
      <c r="C4392" t="s">
        <v>52</v>
      </c>
      <c r="D4392" s="49">
        <v>45663</v>
      </c>
      <c r="E4392" s="49">
        <v>45669</v>
      </c>
      <c r="F4392" s="49">
        <v>45682</v>
      </c>
      <c r="G4392" s="49">
        <v>45700</v>
      </c>
      <c r="I4392" s="49">
        <v>45725</v>
      </c>
      <c r="J4392" t="s">
        <v>49</v>
      </c>
      <c r="K4392" s="33">
        <v>17400</v>
      </c>
      <c r="L4392" t="s">
        <v>62</v>
      </c>
      <c r="M4392" t="str">
        <f>_xlfn.XLOOKUP(Pipeline_tbl[[#This Row],[Rep_ID]],Dim_Reps!A:A,Dim_Reps!K:K)</f>
        <v>USD</v>
      </c>
      <c r="N4392" s="33">
        <f>(_xlfn.XLOOKUP(Pipeline_tbl[[#This Row],[Rate_Code_Generalized]],Lookups!A:A,Lookups!B:B))*Pipeline_tbl[[#This Row],[Pipeline_Amount_USD]]</f>
        <v>20258.82</v>
      </c>
      <c r="O4392" t="str">
        <f>_xlfn.XLOOKUP(Pipeline_tbl[[#This Row],[Rep_ID]],Dim_Reps!A:A,Dim_Reps!B:B)</f>
        <v>Milo Weber</v>
      </c>
      <c r="P4392" t="str">
        <f>_xlfn.XLOOKUP(Pipeline_tbl[[#This Row],[Rep_ID]],Dim_Reps!A:A,Dim_Reps!C:C)</f>
        <v>Enterprise AE</v>
      </c>
      <c r="Q4392" t="str">
        <f>_xlfn.XLOOKUP(Pipeline_tbl[[#This Row],[Rep_ID]],Dim_Reps!A:A,Dim_Reps!D:D)</f>
        <v>Enterprise</v>
      </c>
      <c r="R4392" t="str">
        <f>_xlfn.XLOOKUP(Pipeline_tbl[[#This Row],[Rep_ID]],Dim_Reps!A:A,Dim_Reps!E:E)</f>
        <v>NAMER</v>
      </c>
      <c r="S4392" t="str">
        <f>_xlfn.XLOOKUP(Pipeline_tbl[[#This Row],[Created_Date]],Dim_Date!A:A,Dim_Date!H:H)</f>
        <v>Jan 2025</v>
      </c>
      <c r="T4392" t="str">
        <f>IF(Pipeline_tbl[[#This Row],[Closed_Date]]=0,"",(_xlfn.XLOOKUP(Pipeline_tbl[[#This Row],[Closed_Date]],Dim_Date!A:A,Dim_Date!H:H)))</f>
        <v>Mar 2025</v>
      </c>
      <c r="U4392">
        <f>IF(Pipeline_tbl[[#This Row],[Closed_Date]]=0,"",Pipeline_tbl[[#This Row],[Closed_Date]]-Pipeline_tbl[[#This Row],[Created_Date]])</f>
        <v>62</v>
      </c>
    </row>
    <row r="4393" spans="1:21" ht="15" customHeight="1" x14ac:dyDescent="0.2">
      <c r="A4393" t="s">
        <v>4699</v>
      </c>
      <c r="B4393" t="s">
        <v>181</v>
      </c>
      <c r="C4393" t="s">
        <v>52</v>
      </c>
      <c r="D4393" s="49">
        <v>45673</v>
      </c>
      <c r="E4393" s="49">
        <v>45679</v>
      </c>
      <c r="F4393" s="49">
        <v>45690</v>
      </c>
      <c r="G4393" s="49">
        <v>45707</v>
      </c>
      <c r="H4393" s="49">
        <v>45721</v>
      </c>
      <c r="I4393" s="49">
        <v>45729</v>
      </c>
      <c r="J4393" t="s">
        <v>47</v>
      </c>
      <c r="K4393" s="33">
        <v>38500</v>
      </c>
      <c r="M4393" t="str">
        <f>_xlfn.XLOOKUP(Pipeline_tbl[[#This Row],[Rep_ID]],Dim_Reps!A:A,Dim_Reps!K:K)</f>
        <v>USD</v>
      </c>
      <c r="N4393" s="33">
        <f>(_xlfn.XLOOKUP(Pipeline_tbl[[#This Row],[Rate_Code_Generalized]],Lookups!A:A,Lookups!B:B))*Pipeline_tbl[[#This Row],[Pipeline_Amount_USD]]</f>
        <v>44825.549999999996</v>
      </c>
      <c r="O4393" t="str">
        <f>_xlfn.XLOOKUP(Pipeline_tbl[[#This Row],[Rep_ID]],Dim_Reps!A:A,Dim_Reps!B:B)</f>
        <v>Milo Weber</v>
      </c>
      <c r="P4393" t="str">
        <f>_xlfn.XLOOKUP(Pipeline_tbl[[#This Row],[Rep_ID]],Dim_Reps!A:A,Dim_Reps!C:C)</f>
        <v>Enterprise AE</v>
      </c>
      <c r="Q4393" t="str">
        <f>_xlfn.XLOOKUP(Pipeline_tbl[[#This Row],[Rep_ID]],Dim_Reps!A:A,Dim_Reps!D:D)</f>
        <v>Enterprise</v>
      </c>
      <c r="R4393" t="str">
        <f>_xlfn.XLOOKUP(Pipeline_tbl[[#This Row],[Rep_ID]],Dim_Reps!A:A,Dim_Reps!E:E)</f>
        <v>NAMER</v>
      </c>
      <c r="S4393" t="str">
        <f>_xlfn.XLOOKUP(Pipeline_tbl[[#This Row],[Created_Date]],Dim_Date!A:A,Dim_Date!H:H)</f>
        <v>Jan 2025</v>
      </c>
      <c r="T4393" t="str">
        <f>IF(Pipeline_tbl[[#This Row],[Closed_Date]]=0,"",(_xlfn.XLOOKUP(Pipeline_tbl[[#This Row],[Closed_Date]],Dim_Date!A:A,Dim_Date!H:H)))</f>
        <v>Mar 2025</v>
      </c>
      <c r="U4393">
        <f>IF(Pipeline_tbl[[#This Row],[Closed_Date]]=0,"",Pipeline_tbl[[#This Row],[Closed_Date]]-Pipeline_tbl[[#This Row],[Created_Date]])</f>
        <v>56</v>
      </c>
    </row>
    <row r="4394" spans="1:21" ht="15" customHeight="1" x14ac:dyDescent="0.2">
      <c r="A4394" t="s">
        <v>4700</v>
      </c>
      <c r="B4394" t="s">
        <v>181</v>
      </c>
      <c r="C4394" t="s">
        <v>52</v>
      </c>
      <c r="D4394" s="49">
        <v>45667</v>
      </c>
      <c r="E4394" s="49">
        <v>45674</v>
      </c>
      <c r="I4394" s="49">
        <v>45737</v>
      </c>
      <c r="J4394" t="s">
        <v>49</v>
      </c>
      <c r="K4394" s="33">
        <v>33700</v>
      </c>
      <c r="L4394" t="s">
        <v>60</v>
      </c>
      <c r="M4394" t="str">
        <f>_xlfn.XLOOKUP(Pipeline_tbl[[#This Row],[Rep_ID]],Dim_Reps!A:A,Dim_Reps!K:K)</f>
        <v>USD</v>
      </c>
      <c r="N4394" s="33">
        <f>(_xlfn.XLOOKUP(Pipeline_tbl[[#This Row],[Rate_Code_Generalized]],Lookups!A:A,Lookups!B:B))*Pipeline_tbl[[#This Row],[Pipeline_Amount_USD]]</f>
        <v>39236.909999999996</v>
      </c>
      <c r="O4394" t="str">
        <f>_xlfn.XLOOKUP(Pipeline_tbl[[#This Row],[Rep_ID]],Dim_Reps!A:A,Dim_Reps!B:B)</f>
        <v>Milo Weber</v>
      </c>
      <c r="P4394" t="str">
        <f>_xlfn.XLOOKUP(Pipeline_tbl[[#This Row],[Rep_ID]],Dim_Reps!A:A,Dim_Reps!C:C)</f>
        <v>Enterprise AE</v>
      </c>
      <c r="Q4394" t="str">
        <f>_xlfn.XLOOKUP(Pipeline_tbl[[#This Row],[Rep_ID]],Dim_Reps!A:A,Dim_Reps!D:D)</f>
        <v>Enterprise</v>
      </c>
      <c r="R4394" t="str">
        <f>_xlfn.XLOOKUP(Pipeline_tbl[[#This Row],[Rep_ID]],Dim_Reps!A:A,Dim_Reps!E:E)</f>
        <v>NAMER</v>
      </c>
      <c r="S4394" t="str">
        <f>_xlfn.XLOOKUP(Pipeline_tbl[[#This Row],[Created_Date]],Dim_Date!A:A,Dim_Date!H:H)</f>
        <v>Jan 2025</v>
      </c>
      <c r="T4394" t="str">
        <f>IF(Pipeline_tbl[[#This Row],[Closed_Date]]=0,"",(_xlfn.XLOOKUP(Pipeline_tbl[[#This Row],[Closed_Date]],Dim_Date!A:A,Dim_Date!H:H)))</f>
        <v>Mar 2025</v>
      </c>
      <c r="U4394">
        <f>IF(Pipeline_tbl[[#This Row],[Closed_Date]]=0,"",Pipeline_tbl[[#This Row],[Closed_Date]]-Pipeline_tbl[[#This Row],[Created_Date]])</f>
        <v>70</v>
      </c>
    </row>
    <row r="4395" spans="1:21" ht="15" customHeight="1" x14ac:dyDescent="0.2">
      <c r="A4395" t="s">
        <v>4701</v>
      </c>
      <c r="B4395" t="s">
        <v>183</v>
      </c>
      <c r="C4395" t="s">
        <v>54</v>
      </c>
      <c r="D4395" s="49">
        <v>45659</v>
      </c>
      <c r="E4395" s="49">
        <v>45665</v>
      </c>
      <c r="F4395" s="49">
        <v>45677</v>
      </c>
      <c r="G4395" s="49">
        <v>45694</v>
      </c>
      <c r="H4395" s="49">
        <v>45709</v>
      </c>
      <c r="I4395" s="49">
        <v>45718</v>
      </c>
      <c r="J4395" t="s">
        <v>49</v>
      </c>
      <c r="K4395" s="33">
        <v>21100</v>
      </c>
      <c r="L4395" t="s">
        <v>60</v>
      </c>
      <c r="M4395" t="str">
        <f>_xlfn.XLOOKUP(Pipeline_tbl[[#This Row],[Rep_ID]],Dim_Reps!A:A,Dim_Reps!K:K)</f>
        <v>EUR</v>
      </c>
      <c r="N4395" s="33">
        <f>(_xlfn.XLOOKUP(Pipeline_tbl[[#This Row],[Rate_Code_Generalized]],Lookups!A:A,Lookups!B:B))*Pipeline_tbl[[#This Row],[Pipeline_Amount_USD]]</f>
        <v>21100</v>
      </c>
      <c r="O4395" t="str">
        <f>_xlfn.XLOOKUP(Pipeline_tbl[[#This Row],[Rep_ID]],Dim_Reps!A:A,Dim_Reps!B:B)</f>
        <v>Sam Schmidt</v>
      </c>
      <c r="P4395" t="str">
        <f>_xlfn.XLOOKUP(Pipeline_tbl[[#This Row],[Rep_ID]],Dim_Reps!A:A,Dim_Reps!C:C)</f>
        <v>Enterprise AE</v>
      </c>
      <c r="Q4395" t="str">
        <f>_xlfn.XLOOKUP(Pipeline_tbl[[#This Row],[Rep_ID]],Dim_Reps!A:A,Dim_Reps!D:D)</f>
        <v>Enterprise</v>
      </c>
      <c r="R4395" t="str">
        <f>_xlfn.XLOOKUP(Pipeline_tbl[[#This Row],[Rep_ID]],Dim_Reps!A:A,Dim_Reps!E:E)</f>
        <v>EMEA</v>
      </c>
      <c r="S4395" t="str">
        <f>_xlfn.XLOOKUP(Pipeline_tbl[[#This Row],[Created_Date]],Dim_Date!A:A,Dim_Date!H:H)</f>
        <v>Jan 2025</v>
      </c>
      <c r="T4395" t="str">
        <f>IF(Pipeline_tbl[[#This Row],[Closed_Date]]=0,"",(_xlfn.XLOOKUP(Pipeline_tbl[[#This Row],[Closed_Date]],Dim_Date!A:A,Dim_Date!H:H)))</f>
        <v>Mar 2025</v>
      </c>
      <c r="U4395">
        <f>IF(Pipeline_tbl[[#This Row],[Closed_Date]]=0,"",Pipeline_tbl[[#This Row],[Closed_Date]]-Pipeline_tbl[[#This Row],[Created_Date]])</f>
        <v>59</v>
      </c>
    </row>
    <row r="4396" spans="1:21" ht="15" customHeight="1" x14ac:dyDescent="0.2">
      <c r="A4396" t="s">
        <v>4702</v>
      </c>
      <c r="B4396" t="s">
        <v>183</v>
      </c>
      <c r="C4396" t="s">
        <v>52</v>
      </c>
      <c r="D4396" s="49">
        <v>45668</v>
      </c>
      <c r="E4396" s="49">
        <v>45674</v>
      </c>
      <c r="F4396" s="49">
        <v>45685</v>
      </c>
      <c r="G4396" s="49">
        <v>45703</v>
      </c>
      <c r="H4396" s="49">
        <v>45717</v>
      </c>
      <c r="I4396" s="49">
        <v>45726</v>
      </c>
      <c r="J4396" t="s">
        <v>49</v>
      </c>
      <c r="K4396" s="33">
        <v>30000</v>
      </c>
      <c r="L4396" t="s">
        <v>62</v>
      </c>
      <c r="M4396" t="str">
        <f>_xlfn.XLOOKUP(Pipeline_tbl[[#This Row],[Rep_ID]],Dim_Reps!A:A,Dim_Reps!K:K)</f>
        <v>EUR</v>
      </c>
      <c r="N4396" s="33">
        <f>(_xlfn.XLOOKUP(Pipeline_tbl[[#This Row],[Rate_Code_Generalized]],Lookups!A:A,Lookups!B:B))*Pipeline_tbl[[#This Row],[Pipeline_Amount_USD]]</f>
        <v>30000</v>
      </c>
      <c r="O4396" t="str">
        <f>_xlfn.XLOOKUP(Pipeline_tbl[[#This Row],[Rep_ID]],Dim_Reps!A:A,Dim_Reps!B:B)</f>
        <v>Sam Schmidt</v>
      </c>
      <c r="P4396" t="str">
        <f>_xlfn.XLOOKUP(Pipeline_tbl[[#This Row],[Rep_ID]],Dim_Reps!A:A,Dim_Reps!C:C)</f>
        <v>Enterprise AE</v>
      </c>
      <c r="Q4396" t="str">
        <f>_xlfn.XLOOKUP(Pipeline_tbl[[#This Row],[Rep_ID]],Dim_Reps!A:A,Dim_Reps!D:D)</f>
        <v>Enterprise</v>
      </c>
      <c r="R4396" t="str">
        <f>_xlfn.XLOOKUP(Pipeline_tbl[[#This Row],[Rep_ID]],Dim_Reps!A:A,Dim_Reps!E:E)</f>
        <v>EMEA</v>
      </c>
      <c r="S4396" t="str">
        <f>_xlfn.XLOOKUP(Pipeline_tbl[[#This Row],[Created_Date]],Dim_Date!A:A,Dim_Date!H:H)</f>
        <v>Jan 2025</v>
      </c>
      <c r="T4396" t="str">
        <f>IF(Pipeline_tbl[[#This Row],[Closed_Date]]=0,"",(_xlfn.XLOOKUP(Pipeline_tbl[[#This Row],[Closed_Date]],Dim_Date!A:A,Dim_Date!H:H)))</f>
        <v>Mar 2025</v>
      </c>
      <c r="U4396">
        <f>IF(Pipeline_tbl[[#This Row],[Closed_Date]]=0,"",Pipeline_tbl[[#This Row],[Closed_Date]]-Pipeline_tbl[[#This Row],[Created_Date]])</f>
        <v>58</v>
      </c>
    </row>
    <row r="4397" spans="1:21" ht="15" customHeight="1" x14ac:dyDescent="0.2">
      <c r="A4397" t="s">
        <v>4703</v>
      </c>
      <c r="B4397" t="s">
        <v>183</v>
      </c>
      <c r="C4397" t="s">
        <v>52</v>
      </c>
      <c r="D4397" s="49">
        <v>45681</v>
      </c>
      <c r="E4397" s="49">
        <v>45686</v>
      </c>
      <c r="F4397" s="49">
        <v>45695</v>
      </c>
      <c r="G4397" s="49">
        <v>45710</v>
      </c>
      <c r="I4397" s="49">
        <v>45729</v>
      </c>
      <c r="J4397" t="s">
        <v>49</v>
      </c>
      <c r="K4397" s="33">
        <v>18900</v>
      </c>
      <c r="L4397" t="s">
        <v>61</v>
      </c>
      <c r="M4397" t="str">
        <f>_xlfn.XLOOKUP(Pipeline_tbl[[#This Row],[Rep_ID]],Dim_Reps!A:A,Dim_Reps!K:K)</f>
        <v>EUR</v>
      </c>
      <c r="N4397" s="33">
        <f>(_xlfn.XLOOKUP(Pipeline_tbl[[#This Row],[Rate_Code_Generalized]],Lookups!A:A,Lookups!B:B))*Pipeline_tbl[[#This Row],[Pipeline_Amount_USD]]</f>
        <v>18900</v>
      </c>
      <c r="O4397" t="str">
        <f>_xlfn.XLOOKUP(Pipeline_tbl[[#This Row],[Rep_ID]],Dim_Reps!A:A,Dim_Reps!B:B)</f>
        <v>Sam Schmidt</v>
      </c>
      <c r="P4397" t="str">
        <f>_xlfn.XLOOKUP(Pipeline_tbl[[#This Row],[Rep_ID]],Dim_Reps!A:A,Dim_Reps!C:C)</f>
        <v>Enterprise AE</v>
      </c>
      <c r="Q4397" t="str">
        <f>_xlfn.XLOOKUP(Pipeline_tbl[[#This Row],[Rep_ID]],Dim_Reps!A:A,Dim_Reps!D:D)</f>
        <v>Enterprise</v>
      </c>
      <c r="R4397" t="str">
        <f>_xlfn.XLOOKUP(Pipeline_tbl[[#This Row],[Rep_ID]],Dim_Reps!A:A,Dim_Reps!E:E)</f>
        <v>EMEA</v>
      </c>
      <c r="S4397" t="str">
        <f>_xlfn.XLOOKUP(Pipeline_tbl[[#This Row],[Created_Date]],Dim_Date!A:A,Dim_Date!H:H)</f>
        <v>Jan 2025</v>
      </c>
      <c r="T4397" t="str">
        <f>IF(Pipeline_tbl[[#This Row],[Closed_Date]]=0,"",(_xlfn.XLOOKUP(Pipeline_tbl[[#This Row],[Closed_Date]],Dim_Date!A:A,Dim_Date!H:H)))</f>
        <v>Mar 2025</v>
      </c>
      <c r="U4397">
        <f>IF(Pipeline_tbl[[#This Row],[Closed_Date]]=0,"",Pipeline_tbl[[#This Row],[Closed_Date]]-Pipeline_tbl[[#This Row],[Created_Date]])</f>
        <v>48</v>
      </c>
    </row>
    <row r="4398" spans="1:21" ht="15" customHeight="1" x14ac:dyDescent="0.2">
      <c r="A4398" t="s">
        <v>4704</v>
      </c>
      <c r="B4398" t="s">
        <v>183</v>
      </c>
      <c r="C4398" t="s">
        <v>52</v>
      </c>
      <c r="D4398" s="49">
        <v>45673</v>
      </c>
      <c r="E4398" s="49">
        <v>45679</v>
      </c>
      <c r="F4398" s="49">
        <v>45690</v>
      </c>
      <c r="G4398" s="49">
        <v>45707</v>
      </c>
      <c r="I4398" s="49">
        <v>45730</v>
      </c>
      <c r="J4398" t="s">
        <v>49</v>
      </c>
      <c r="K4398" s="33">
        <v>12600</v>
      </c>
      <c r="L4398" t="s">
        <v>61</v>
      </c>
      <c r="M4398" t="str">
        <f>_xlfn.XLOOKUP(Pipeline_tbl[[#This Row],[Rep_ID]],Dim_Reps!A:A,Dim_Reps!K:K)</f>
        <v>EUR</v>
      </c>
      <c r="N4398" s="33">
        <f>(_xlfn.XLOOKUP(Pipeline_tbl[[#This Row],[Rate_Code_Generalized]],Lookups!A:A,Lookups!B:B))*Pipeline_tbl[[#This Row],[Pipeline_Amount_USD]]</f>
        <v>12600</v>
      </c>
      <c r="O4398" t="str">
        <f>_xlfn.XLOOKUP(Pipeline_tbl[[#This Row],[Rep_ID]],Dim_Reps!A:A,Dim_Reps!B:B)</f>
        <v>Sam Schmidt</v>
      </c>
      <c r="P4398" t="str">
        <f>_xlfn.XLOOKUP(Pipeline_tbl[[#This Row],[Rep_ID]],Dim_Reps!A:A,Dim_Reps!C:C)</f>
        <v>Enterprise AE</v>
      </c>
      <c r="Q4398" t="str">
        <f>_xlfn.XLOOKUP(Pipeline_tbl[[#This Row],[Rep_ID]],Dim_Reps!A:A,Dim_Reps!D:D)</f>
        <v>Enterprise</v>
      </c>
      <c r="R4398" t="str">
        <f>_xlfn.XLOOKUP(Pipeline_tbl[[#This Row],[Rep_ID]],Dim_Reps!A:A,Dim_Reps!E:E)</f>
        <v>EMEA</v>
      </c>
      <c r="S4398" t="str">
        <f>_xlfn.XLOOKUP(Pipeline_tbl[[#This Row],[Created_Date]],Dim_Date!A:A,Dim_Date!H:H)</f>
        <v>Jan 2025</v>
      </c>
      <c r="T4398" t="str">
        <f>IF(Pipeline_tbl[[#This Row],[Closed_Date]]=0,"",(_xlfn.XLOOKUP(Pipeline_tbl[[#This Row],[Closed_Date]],Dim_Date!A:A,Dim_Date!H:H)))</f>
        <v>Mar 2025</v>
      </c>
      <c r="U4398">
        <f>IF(Pipeline_tbl[[#This Row],[Closed_Date]]=0,"",Pipeline_tbl[[#This Row],[Closed_Date]]-Pipeline_tbl[[#This Row],[Created_Date]])</f>
        <v>57</v>
      </c>
    </row>
    <row r="4399" spans="1:21" ht="15" customHeight="1" x14ac:dyDescent="0.2">
      <c r="A4399" t="s">
        <v>4705</v>
      </c>
      <c r="B4399" t="s">
        <v>278</v>
      </c>
      <c r="C4399" t="s">
        <v>53</v>
      </c>
      <c r="D4399" s="49">
        <v>45675</v>
      </c>
      <c r="E4399" s="49">
        <v>45679</v>
      </c>
      <c r="F4399" s="49">
        <v>45688</v>
      </c>
      <c r="G4399" s="49">
        <v>45701</v>
      </c>
      <c r="I4399" s="49">
        <v>45718</v>
      </c>
      <c r="J4399" t="s">
        <v>49</v>
      </c>
      <c r="K4399" s="33">
        <v>30800</v>
      </c>
      <c r="L4399" t="s">
        <v>64</v>
      </c>
      <c r="M4399" t="str">
        <f>_xlfn.XLOOKUP(Pipeline_tbl[[#This Row],[Rep_ID]],Dim_Reps!A:A,Dim_Reps!K:K)</f>
        <v>EUR</v>
      </c>
      <c r="N4399" s="33">
        <f>(_xlfn.XLOOKUP(Pipeline_tbl[[#This Row],[Rate_Code_Generalized]],Lookups!A:A,Lookups!B:B))*Pipeline_tbl[[#This Row],[Pipeline_Amount_USD]]</f>
        <v>30800</v>
      </c>
      <c r="O4399" t="str">
        <f>_xlfn.XLOOKUP(Pipeline_tbl[[#This Row],[Rep_ID]],Dim_Reps!A:A,Dim_Reps!B:B)</f>
        <v>Sara Andersson</v>
      </c>
      <c r="P4399" t="str">
        <f>_xlfn.XLOOKUP(Pipeline_tbl[[#This Row],[Rep_ID]],Dim_Reps!A:A,Dim_Reps!C:C)</f>
        <v>Senior Enterprise AE</v>
      </c>
      <c r="Q4399" t="str">
        <f>_xlfn.XLOOKUP(Pipeline_tbl[[#This Row],[Rep_ID]],Dim_Reps!A:A,Dim_Reps!D:D)</f>
        <v>Strategic</v>
      </c>
      <c r="R4399" t="str">
        <f>_xlfn.XLOOKUP(Pipeline_tbl[[#This Row],[Rep_ID]],Dim_Reps!A:A,Dim_Reps!E:E)</f>
        <v>APAC</v>
      </c>
      <c r="S4399" t="str">
        <f>_xlfn.XLOOKUP(Pipeline_tbl[[#This Row],[Created_Date]],Dim_Date!A:A,Dim_Date!H:H)</f>
        <v>Jan 2025</v>
      </c>
      <c r="T4399" t="str">
        <f>IF(Pipeline_tbl[[#This Row],[Closed_Date]]=0,"",(_xlfn.XLOOKUP(Pipeline_tbl[[#This Row],[Closed_Date]],Dim_Date!A:A,Dim_Date!H:H)))</f>
        <v>Mar 2025</v>
      </c>
      <c r="U4399">
        <f>IF(Pipeline_tbl[[#This Row],[Closed_Date]]=0,"",Pipeline_tbl[[#This Row],[Closed_Date]]-Pipeline_tbl[[#This Row],[Created_Date]])</f>
        <v>43</v>
      </c>
    </row>
    <row r="4400" spans="1:21" ht="15" customHeight="1" x14ac:dyDescent="0.2">
      <c r="A4400" t="s">
        <v>4706</v>
      </c>
      <c r="B4400" t="s">
        <v>185</v>
      </c>
      <c r="C4400" t="s">
        <v>53</v>
      </c>
      <c r="D4400" s="49">
        <v>45672</v>
      </c>
      <c r="E4400" s="49">
        <v>45679</v>
      </c>
      <c r="F4400" s="49">
        <v>45694</v>
      </c>
      <c r="G4400" s="49">
        <v>45716</v>
      </c>
      <c r="I4400" s="49">
        <v>45746</v>
      </c>
      <c r="J4400" t="s">
        <v>49</v>
      </c>
      <c r="K4400" s="33">
        <v>38100</v>
      </c>
      <c r="L4400" t="s">
        <v>60</v>
      </c>
      <c r="M4400" t="str">
        <f>_xlfn.XLOOKUP(Pipeline_tbl[[#This Row],[Rep_ID]],Dim_Reps!A:A,Dim_Reps!K:K)</f>
        <v>MXN</v>
      </c>
      <c r="N4400" s="33">
        <f>(_xlfn.XLOOKUP(Pipeline_tbl[[#This Row],[Rate_Code_Generalized]],Lookups!A:A,Lookups!B:B))*Pipeline_tbl[[#This Row],[Pipeline_Amount_USD]]</f>
        <v>751815.87</v>
      </c>
      <c r="O4400" t="str">
        <f>_xlfn.XLOOKUP(Pipeline_tbl[[#This Row],[Rep_ID]],Dim_Reps!A:A,Dim_Reps!B:B)</f>
        <v>Noah Kim</v>
      </c>
      <c r="P4400" t="str">
        <f>_xlfn.XLOOKUP(Pipeline_tbl[[#This Row],[Rep_ID]],Dim_Reps!A:A,Dim_Reps!C:C)</f>
        <v>Enterprise AE</v>
      </c>
      <c r="Q4400" t="str">
        <f>_xlfn.XLOOKUP(Pipeline_tbl[[#This Row],[Rep_ID]],Dim_Reps!A:A,Dim_Reps!D:D)</f>
        <v>Enterprise</v>
      </c>
      <c r="R4400" t="str">
        <f>_xlfn.XLOOKUP(Pipeline_tbl[[#This Row],[Rep_ID]],Dim_Reps!A:A,Dim_Reps!E:E)</f>
        <v>LATAM</v>
      </c>
      <c r="S4400" t="str">
        <f>_xlfn.XLOOKUP(Pipeline_tbl[[#This Row],[Created_Date]],Dim_Date!A:A,Dim_Date!H:H)</f>
        <v>Jan 2025</v>
      </c>
      <c r="T4400" t="str">
        <f>IF(Pipeline_tbl[[#This Row],[Closed_Date]]=0,"",(_xlfn.XLOOKUP(Pipeline_tbl[[#This Row],[Closed_Date]],Dim_Date!A:A,Dim_Date!H:H)))</f>
        <v>Mar 2025</v>
      </c>
      <c r="U4400">
        <f>IF(Pipeline_tbl[[#This Row],[Closed_Date]]=0,"",Pipeline_tbl[[#This Row],[Closed_Date]]-Pipeline_tbl[[#This Row],[Created_Date]])</f>
        <v>74</v>
      </c>
    </row>
    <row r="4401" spans="1:21" ht="15" customHeight="1" x14ac:dyDescent="0.2">
      <c r="A4401" t="s">
        <v>4707</v>
      </c>
      <c r="B4401" t="s">
        <v>185</v>
      </c>
      <c r="C4401" t="s">
        <v>52</v>
      </c>
      <c r="D4401" s="49">
        <v>45665</v>
      </c>
      <c r="E4401" s="49">
        <v>45671</v>
      </c>
      <c r="F4401" s="49">
        <v>45685</v>
      </c>
      <c r="G4401" s="49">
        <v>45704</v>
      </c>
      <c r="I4401" s="49">
        <v>45730</v>
      </c>
      <c r="J4401" t="s">
        <v>49</v>
      </c>
      <c r="K4401" s="33">
        <v>19400</v>
      </c>
      <c r="L4401" t="s">
        <v>64</v>
      </c>
      <c r="M4401" t="str">
        <f>_xlfn.XLOOKUP(Pipeline_tbl[[#This Row],[Rep_ID]],Dim_Reps!A:A,Dim_Reps!K:K)</f>
        <v>MXN</v>
      </c>
      <c r="N4401" s="33">
        <f>(_xlfn.XLOOKUP(Pipeline_tbl[[#This Row],[Rate_Code_Generalized]],Lookups!A:A,Lookups!B:B))*Pipeline_tbl[[#This Row],[Pipeline_Amount_USD]]</f>
        <v>382814.38</v>
      </c>
      <c r="O4401" t="str">
        <f>_xlfn.XLOOKUP(Pipeline_tbl[[#This Row],[Rep_ID]],Dim_Reps!A:A,Dim_Reps!B:B)</f>
        <v>Noah Kim</v>
      </c>
      <c r="P4401" t="str">
        <f>_xlfn.XLOOKUP(Pipeline_tbl[[#This Row],[Rep_ID]],Dim_Reps!A:A,Dim_Reps!C:C)</f>
        <v>Enterprise AE</v>
      </c>
      <c r="Q4401" t="str">
        <f>_xlfn.XLOOKUP(Pipeline_tbl[[#This Row],[Rep_ID]],Dim_Reps!A:A,Dim_Reps!D:D)</f>
        <v>Enterprise</v>
      </c>
      <c r="R4401" t="str">
        <f>_xlfn.XLOOKUP(Pipeline_tbl[[#This Row],[Rep_ID]],Dim_Reps!A:A,Dim_Reps!E:E)</f>
        <v>LATAM</v>
      </c>
      <c r="S4401" t="str">
        <f>_xlfn.XLOOKUP(Pipeline_tbl[[#This Row],[Created_Date]],Dim_Date!A:A,Dim_Date!H:H)</f>
        <v>Jan 2025</v>
      </c>
      <c r="T4401" t="str">
        <f>IF(Pipeline_tbl[[#This Row],[Closed_Date]]=0,"",(_xlfn.XLOOKUP(Pipeline_tbl[[#This Row],[Closed_Date]],Dim_Date!A:A,Dim_Date!H:H)))</f>
        <v>Mar 2025</v>
      </c>
      <c r="U4401">
        <f>IF(Pipeline_tbl[[#This Row],[Closed_Date]]=0,"",Pipeline_tbl[[#This Row],[Closed_Date]]-Pipeline_tbl[[#This Row],[Created_Date]])</f>
        <v>65</v>
      </c>
    </row>
    <row r="4402" spans="1:21" ht="15" customHeight="1" x14ac:dyDescent="0.2">
      <c r="A4402" t="s">
        <v>4708</v>
      </c>
      <c r="B4402" t="s">
        <v>259</v>
      </c>
      <c r="C4402" t="s">
        <v>52</v>
      </c>
      <c r="D4402" s="49">
        <v>45681</v>
      </c>
      <c r="E4402" s="49">
        <v>45687</v>
      </c>
      <c r="F4402" s="49">
        <v>45698</v>
      </c>
      <c r="G4402" s="49">
        <v>45715</v>
      </c>
      <c r="H4402" s="49">
        <v>45729</v>
      </c>
      <c r="I4402" s="49">
        <v>45738</v>
      </c>
      <c r="J4402" t="s">
        <v>47</v>
      </c>
      <c r="K4402" s="33">
        <v>12800</v>
      </c>
      <c r="M4402" t="str">
        <f>_xlfn.XLOOKUP(Pipeline_tbl[[#This Row],[Rep_ID]],Dim_Reps!A:A,Dim_Reps!K:K)</f>
        <v>EUR</v>
      </c>
      <c r="N4402" s="33">
        <f>(_xlfn.XLOOKUP(Pipeline_tbl[[#This Row],[Rate_Code_Generalized]],Lookups!A:A,Lookups!B:B))*Pipeline_tbl[[#This Row],[Pipeline_Amount_USD]]</f>
        <v>12800</v>
      </c>
      <c r="O4402" t="str">
        <f>_xlfn.XLOOKUP(Pipeline_tbl[[#This Row],[Rep_ID]],Dim_Reps!A:A,Dim_Reps!B:B)</f>
        <v>Felix Okafor</v>
      </c>
      <c r="P4402" t="str">
        <f>_xlfn.XLOOKUP(Pipeline_tbl[[#This Row],[Rep_ID]],Dim_Reps!A:A,Dim_Reps!C:C)</f>
        <v>Mid-Market AE</v>
      </c>
      <c r="Q4402" t="str">
        <f>_xlfn.XLOOKUP(Pipeline_tbl[[#This Row],[Rep_ID]],Dim_Reps!A:A,Dim_Reps!D:D)</f>
        <v>Mid-Market</v>
      </c>
      <c r="R4402" t="str">
        <f>_xlfn.XLOOKUP(Pipeline_tbl[[#This Row],[Rep_ID]],Dim_Reps!A:A,Dim_Reps!E:E)</f>
        <v>EMEA</v>
      </c>
      <c r="S4402" t="str">
        <f>_xlfn.XLOOKUP(Pipeline_tbl[[#This Row],[Created_Date]],Dim_Date!A:A,Dim_Date!H:H)</f>
        <v>Jan 2025</v>
      </c>
      <c r="T4402" t="str">
        <f>IF(Pipeline_tbl[[#This Row],[Closed_Date]]=0,"",(_xlfn.XLOOKUP(Pipeline_tbl[[#This Row],[Closed_Date]],Dim_Date!A:A,Dim_Date!H:H)))</f>
        <v>Mar 2025</v>
      </c>
      <c r="U4402">
        <f>IF(Pipeline_tbl[[#This Row],[Closed_Date]]=0,"",Pipeline_tbl[[#This Row],[Closed_Date]]-Pipeline_tbl[[#This Row],[Created_Date]])</f>
        <v>57</v>
      </c>
    </row>
    <row r="4403" spans="1:21" ht="15" customHeight="1" x14ac:dyDescent="0.2">
      <c r="A4403" t="s">
        <v>4709</v>
      </c>
      <c r="B4403" t="s">
        <v>191</v>
      </c>
      <c r="C4403" t="s">
        <v>52</v>
      </c>
      <c r="D4403" s="49">
        <v>45682</v>
      </c>
      <c r="E4403" s="49">
        <v>45687</v>
      </c>
      <c r="F4403" s="49">
        <v>45697</v>
      </c>
      <c r="G4403" s="49">
        <v>45711</v>
      </c>
      <c r="H4403" s="49">
        <v>45724</v>
      </c>
      <c r="I4403" s="49">
        <v>45731</v>
      </c>
      <c r="J4403" t="s">
        <v>49</v>
      </c>
      <c r="K4403" s="33">
        <v>30600</v>
      </c>
      <c r="L4403" t="s">
        <v>63</v>
      </c>
      <c r="M4403" t="str">
        <f>_xlfn.XLOOKUP(Pipeline_tbl[[#This Row],[Rep_ID]],Dim_Reps!A:A,Dim_Reps!K:K)</f>
        <v>USD</v>
      </c>
      <c r="N4403" s="33">
        <f>(_xlfn.XLOOKUP(Pipeline_tbl[[#This Row],[Rate_Code_Generalized]],Lookups!A:A,Lookups!B:B))*Pipeline_tbl[[#This Row],[Pipeline_Amount_USD]]</f>
        <v>35627.579999999994</v>
      </c>
      <c r="O4403" t="str">
        <f>_xlfn.XLOOKUP(Pipeline_tbl[[#This Row],[Rep_ID]],Dim_Reps!A:A,Dim_Reps!B:B)</f>
        <v>Zara Duarte</v>
      </c>
      <c r="P4403" t="str">
        <f>_xlfn.XLOOKUP(Pipeline_tbl[[#This Row],[Rep_ID]],Dim_Reps!A:A,Dim_Reps!C:C)</f>
        <v>Enterprise AE</v>
      </c>
      <c r="Q4403" t="str">
        <f>_xlfn.XLOOKUP(Pipeline_tbl[[#This Row],[Rep_ID]],Dim_Reps!A:A,Dim_Reps!D:D)</f>
        <v>Enterprise</v>
      </c>
      <c r="R4403" t="str">
        <f>_xlfn.XLOOKUP(Pipeline_tbl[[#This Row],[Rep_ID]],Dim_Reps!A:A,Dim_Reps!E:E)</f>
        <v>NAMER</v>
      </c>
      <c r="S4403" t="str">
        <f>_xlfn.XLOOKUP(Pipeline_tbl[[#This Row],[Created_Date]],Dim_Date!A:A,Dim_Date!H:H)</f>
        <v>Jan 2025</v>
      </c>
      <c r="T4403" t="str">
        <f>IF(Pipeline_tbl[[#This Row],[Closed_Date]]=0,"",(_xlfn.XLOOKUP(Pipeline_tbl[[#This Row],[Closed_Date]],Dim_Date!A:A,Dim_Date!H:H)))</f>
        <v>Mar 2025</v>
      </c>
      <c r="U4403">
        <f>IF(Pipeline_tbl[[#This Row],[Closed_Date]]=0,"",Pipeline_tbl[[#This Row],[Closed_Date]]-Pipeline_tbl[[#This Row],[Created_Date]])</f>
        <v>49</v>
      </c>
    </row>
    <row r="4404" spans="1:21" ht="15" customHeight="1" x14ac:dyDescent="0.2">
      <c r="A4404" t="s">
        <v>4710</v>
      </c>
      <c r="B4404" t="s">
        <v>191</v>
      </c>
      <c r="C4404" t="s">
        <v>53</v>
      </c>
      <c r="D4404" s="49">
        <v>45659</v>
      </c>
      <c r="E4404" s="49">
        <v>45665</v>
      </c>
      <c r="F4404" s="49">
        <v>45676</v>
      </c>
      <c r="I4404" s="49">
        <v>45717</v>
      </c>
      <c r="J4404" t="s">
        <v>49</v>
      </c>
      <c r="K4404" s="33">
        <v>30700</v>
      </c>
      <c r="L4404" t="s">
        <v>60</v>
      </c>
      <c r="M4404" t="str">
        <f>_xlfn.XLOOKUP(Pipeline_tbl[[#This Row],[Rep_ID]],Dim_Reps!A:A,Dim_Reps!K:K)</f>
        <v>USD</v>
      </c>
      <c r="N4404" s="33">
        <f>(_xlfn.XLOOKUP(Pipeline_tbl[[#This Row],[Rate_Code_Generalized]],Lookups!A:A,Lookups!B:B))*Pipeline_tbl[[#This Row],[Pipeline_Amount_USD]]</f>
        <v>35744.009999999995</v>
      </c>
      <c r="O4404" t="str">
        <f>_xlfn.XLOOKUP(Pipeline_tbl[[#This Row],[Rep_ID]],Dim_Reps!A:A,Dim_Reps!B:B)</f>
        <v>Zara Duarte</v>
      </c>
      <c r="P4404" t="str">
        <f>_xlfn.XLOOKUP(Pipeline_tbl[[#This Row],[Rep_ID]],Dim_Reps!A:A,Dim_Reps!C:C)</f>
        <v>Enterprise AE</v>
      </c>
      <c r="Q4404" t="str">
        <f>_xlfn.XLOOKUP(Pipeline_tbl[[#This Row],[Rep_ID]],Dim_Reps!A:A,Dim_Reps!D:D)</f>
        <v>Enterprise</v>
      </c>
      <c r="R4404" t="str">
        <f>_xlfn.XLOOKUP(Pipeline_tbl[[#This Row],[Rep_ID]],Dim_Reps!A:A,Dim_Reps!E:E)</f>
        <v>NAMER</v>
      </c>
      <c r="S4404" t="str">
        <f>_xlfn.XLOOKUP(Pipeline_tbl[[#This Row],[Created_Date]],Dim_Date!A:A,Dim_Date!H:H)</f>
        <v>Jan 2025</v>
      </c>
      <c r="T4404" t="str">
        <f>IF(Pipeline_tbl[[#This Row],[Closed_Date]]=0,"",(_xlfn.XLOOKUP(Pipeline_tbl[[#This Row],[Closed_Date]],Dim_Date!A:A,Dim_Date!H:H)))</f>
        <v>Mar 2025</v>
      </c>
      <c r="U4404">
        <f>IF(Pipeline_tbl[[#This Row],[Closed_Date]]=0,"",Pipeline_tbl[[#This Row],[Closed_Date]]-Pipeline_tbl[[#This Row],[Created_Date]])</f>
        <v>58</v>
      </c>
    </row>
    <row r="4405" spans="1:21" ht="15" customHeight="1" x14ac:dyDescent="0.2">
      <c r="A4405" t="s">
        <v>4711</v>
      </c>
      <c r="B4405" t="s">
        <v>191</v>
      </c>
      <c r="C4405" t="s">
        <v>52</v>
      </c>
      <c r="D4405" s="49">
        <v>45659</v>
      </c>
      <c r="E4405" s="49">
        <v>45665</v>
      </c>
      <c r="F4405" s="49">
        <v>45677</v>
      </c>
      <c r="G4405" s="49">
        <v>45694</v>
      </c>
      <c r="H4405" s="49">
        <v>45709</v>
      </c>
      <c r="I4405" s="49">
        <v>45718</v>
      </c>
      <c r="J4405" t="s">
        <v>47</v>
      </c>
      <c r="K4405" s="33">
        <v>16600</v>
      </c>
      <c r="M4405" t="str">
        <f>_xlfn.XLOOKUP(Pipeline_tbl[[#This Row],[Rep_ID]],Dim_Reps!A:A,Dim_Reps!K:K)</f>
        <v>USD</v>
      </c>
      <c r="N4405" s="33">
        <f>(_xlfn.XLOOKUP(Pipeline_tbl[[#This Row],[Rate_Code_Generalized]],Lookups!A:A,Lookups!B:B))*Pipeline_tbl[[#This Row],[Pipeline_Amount_USD]]</f>
        <v>19327.379999999997</v>
      </c>
      <c r="O4405" t="str">
        <f>_xlfn.XLOOKUP(Pipeline_tbl[[#This Row],[Rep_ID]],Dim_Reps!A:A,Dim_Reps!B:B)</f>
        <v>Zara Duarte</v>
      </c>
      <c r="P4405" t="str">
        <f>_xlfn.XLOOKUP(Pipeline_tbl[[#This Row],[Rep_ID]],Dim_Reps!A:A,Dim_Reps!C:C)</f>
        <v>Enterprise AE</v>
      </c>
      <c r="Q4405" t="str">
        <f>_xlfn.XLOOKUP(Pipeline_tbl[[#This Row],[Rep_ID]],Dim_Reps!A:A,Dim_Reps!D:D)</f>
        <v>Enterprise</v>
      </c>
      <c r="R4405" t="str">
        <f>_xlfn.XLOOKUP(Pipeline_tbl[[#This Row],[Rep_ID]],Dim_Reps!A:A,Dim_Reps!E:E)</f>
        <v>NAMER</v>
      </c>
      <c r="S4405" t="str">
        <f>_xlfn.XLOOKUP(Pipeline_tbl[[#This Row],[Created_Date]],Dim_Date!A:A,Dim_Date!H:H)</f>
        <v>Jan 2025</v>
      </c>
      <c r="T4405" t="str">
        <f>IF(Pipeline_tbl[[#This Row],[Closed_Date]]=0,"",(_xlfn.XLOOKUP(Pipeline_tbl[[#This Row],[Closed_Date]],Dim_Date!A:A,Dim_Date!H:H)))</f>
        <v>Mar 2025</v>
      </c>
      <c r="U4405">
        <f>IF(Pipeline_tbl[[#This Row],[Closed_Date]]=0,"",Pipeline_tbl[[#This Row],[Closed_Date]]-Pipeline_tbl[[#This Row],[Created_Date]])</f>
        <v>59</v>
      </c>
    </row>
    <row r="4406" spans="1:21" ht="15" customHeight="1" x14ac:dyDescent="0.2">
      <c r="A4406" t="s">
        <v>4712</v>
      </c>
      <c r="B4406" t="s">
        <v>263</v>
      </c>
      <c r="C4406" t="s">
        <v>54</v>
      </c>
      <c r="D4406" s="49">
        <v>45686</v>
      </c>
      <c r="E4406" s="49">
        <v>45690</v>
      </c>
      <c r="I4406" s="49">
        <v>45727</v>
      </c>
      <c r="J4406" t="s">
        <v>49</v>
      </c>
      <c r="K4406" s="33">
        <v>18500</v>
      </c>
      <c r="L4406" t="s">
        <v>61</v>
      </c>
      <c r="M4406" t="str">
        <f>_xlfn.XLOOKUP(Pipeline_tbl[[#This Row],[Rep_ID]],Dim_Reps!A:A,Dim_Reps!K:K)</f>
        <v>USD</v>
      </c>
      <c r="N4406" s="33">
        <f>(_xlfn.XLOOKUP(Pipeline_tbl[[#This Row],[Rate_Code_Generalized]],Lookups!A:A,Lookups!B:B))*Pipeline_tbl[[#This Row],[Pipeline_Amount_USD]]</f>
        <v>21539.55</v>
      </c>
      <c r="O4406" t="str">
        <f>_xlfn.XLOOKUP(Pipeline_tbl[[#This Row],[Rep_ID]],Dim_Reps!A:A,Dim_Reps!B:B)</f>
        <v>Morgan Weber</v>
      </c>
      <c r="P4406" t="str">
        <f>_xlfn.XLOOKUP(Pipeline_tbl[[#This Row],[Rep_ID]],Dim_Reps!A:A,Dim_Reps!C:C)</f>
        <v>Mid-Market AE</v>
      </c>
      <c r="Q4406" t="str">
        <f>_xlfn.XLOOKUP(Pipeline_tbl[[#This Row],[Rep_ID]],Dim_Reps!A:A,Dim_Reps!D:D)</f>
        <v>Mid-Market</v>
      </c>
      <c r="R4406" t="str">
        <f>_xlfn.XLOOKUP(Pipeline_tbl[[#This Row],[Rep_ID]],Dim_Reps!A:A,Dim_Reps!E:E)</f>
        <v>NAMER</v>
      </c>
      <c r="S4406" t="str">
        <f>_xlfn.XLOOKUP(Pipeline_tbl[[#This Row],[Created_Date]],Dim_Date!A:A,Dim_Date!H:H)</f>
        <v>Jan 2025</v>
      </c>
      <c r="T4406" t="str">
        <f>IF(Pipeline_tbl[[#This Row],[Closed_Date]]=0,"",(_xlfn.XLOOKUP(Pipeline_tbl[[#This Row],[Closed_Date]],Dim_Date!A:A,Dim_Date!H:H)))</f>
        <v>Mar 2025</v>
      </c>
      <c r="U4406">
        <f>IF(Pipeline_tbl[[#This Row],[Closed_Date]]=0,"",Pipeline_tbl[[#This Row],[Closed_Date]]-Pipeline_tbl[[#This Row],[Created_Date]])</f>
        <v>41</v>
      </c>
    </row>
    <row r="4407" spans="1:21" ht="15" customHeight="1" x14ac:dyDescent="0.2">
      <c r="A4407" t="s">
        <v>4713</v>
      </c>
      <c r="B4407" t="s">
        <v>265</v>
      </c>
      <c r="C4407" t="s">
        <v>53</v>
      </c>
      <c r="D4407" s="49">
        <v>45687</v>
      </c>
      <c r="E4407" s="49">
        <v>45692</v>
      </c>
      <c r="F4407" s="49">
        <v>45703</v>
      </c>
      <c r="I4407" s="49">
        <v>45741</v>
      </c>
      <c r="J4407" t="s">
        <v>49</v>
      </c>
      <c r="K4407" s="33">
        <v>6700</v>
      </c>
      <c r="L4407" t="s">
        <v>60</v>
      </c>
      <c r="M4407" t="str">
        <f>_xlfn.XLOOKUP(Pipeline_tbl[[#This Row],[Rep_ID]],Dim_Reps!A:A,Dim_Reps!K:K)</f>
        <v>EUR</v>
      </c>
      <c r="N4407" s="33">
        <f>(_xlfn.XLOOKUP(Pipeline_tbl[[#This Row],[Rate_Code_Generalized]],Lookups!A:A,Lookups!B:B))*Pipeline_tbl[[#This Row],[Pipeline_Amount_USD]]</f>
        <v>6700</v>
      </c>
      <c r="O4407" t="str">
        <f>_xlfn.XLOOKUP(Pipeline_tbl[[#This Row],[Rep_ID]],Dim_Reps!A:A,Dim_Reps!B:B)</f>
        <v>Erik Duarte</v>
      </c>
      <c r="P4407" t="str">
        <f>_xlfn.XLOOKUP(Pipeline_tbl[[#This Row],[Rep_ID]],Dim_Reps!A:A,Dim_Reps!C:C)</f>
        <v>Mid-Market AE</v>
      </c>
      <c r="Q4407" t="str">
        <f>_xlfn.XLOOKUP(Pipeline_tbl[[#This Row],[Rep_ID]],Dim_Reps!A:A,Dim_Reps!D:D)</f>
        <v>Mid-Market</v>
      </c>
      <c r="R4407" t="str">
        <f>_xlfn.XLOOKUP(Pipeline_tbl[[#This Row],[Rep_ID]],Dim_Reps!A:A,Dim_Reps!E:E)</f>
        <v>EMEA</v>
      </c>
      <c r="S4407" t="str">
        <f>_xlfn.XLOOKUP(Pipeline_tbl[[#This Row],[Created_Date]],Dim_Date!A:A,Dim_Date!H:H)</f>
        <v>Jan 2025</v>
      </c>
      <c r="T4407" t="str">
        <f>IF(Pipeline_tbl[[#This Row],[Closed_Date]]=0,"",(_xlfn.XLOOKUP(Pipeline_tbl[[#This Row],[Closed_Date]],Dim_Date!A:A,Dim_Date!H:H)))</f>
        <v>Mar 2025</v>
      </c>
      <c r="U4407">
        <f>IF(Pipeline_tbl[[#This Row],[Closed_Date]]=0,"",Pipeline_tbl[[#This Row],[Closed_Date]]-Pipeline_tbl[[#This Row],[Created_Date]])</f>
        <v>54</v>
      </c>
    </row>
    <row r="4408" spans="1:21" ht="15" customHeight="1" x14ac:dyDescent="0.2">
      <c r="A4408" t="s">
        <v>4714</v>
      </c>
      <c r="B4408" t="s">
        <v>265</v>
      </c>
      <c r="C4408" t="s">
        <v>52</v>
      </c>
      <c r="D4408" s="49">
        <v>45685</v>
      </c>
      <c r="E4408" s="49">
        <v>45689</v>
      </c>
      <c r="F4408" s="49">
        <v>45696</v>
      </c>
      <c r="G4408" s="49">
        <v>45708</v>
      </c>
      <c r="H4408" s="49">
        <v>45717</v>
      </c>
      <c r="I4408" s="49">
        <v>45723</v>
      </c>
      <c r="J4408" t="s">
        <v>49</v>
      </c>
      <c r="K4408" s="33">
        <v>11500</v>
      </c>
      <c r="L4408" t="s">
        <v>60</v>
      </c>
      <c r="M4408" t="str">
        <f>_xlfn.XLOOKUP(Pipeline_tbl[[#This Row],[Rep_ID]],Dim_Reps!A:A,Dim_Reps!K:K)</f>
        <v>EUR</v>
      </c>
      <c r="N4408" s="33">
        <f>(_xlfn.XLOOKUP(Pipeline_tbl[[#This Row],[Rate_Code_Generalized]],Lookups!A:A,Lookups!B:B))*Pipeline_tbl[[#This Row],[Pipeline_Amount_USD]]</f>
        <v>11500</v>
      </c>
      <c r="O4408" t="str">
        <f>_xlfn.XLOOKUP(Pipeline_tbl[[#This Row],[Rep_ID]],Dim_Reps!A:A,Dim_Reps!B:B)</f>
        <v>Erik Duarte</v>
      </c>
      <c r="P4408" t="str">
        <f>_xlfn.XLOOKUP(Pipeline_tbl[[#This Row],[Rep_ID]],Dim_Reps!A:A,Dim_Reps!C:C)</f>
        <v>Mid-Market AE</v>
      </c>
      <c r="Q4408" t="str">
        <f>_xlfn.XLOOKUP(Pipeline_tbl[[#This Row],[Rep_ID]],Dim_Reps!A:A,Dim_Reps!D:D)</f>
        <v>Mid-Market</v>
      </c>
      <c r="R4408" t="str">
        <f>_xlfn.XLOOKUP(Pipeline_tbl[[#This Row],[Rep_ID]],Dim_Reps!A:A,Dim_Reps!E:E)</f>
        <v>EMEA</v>
      </c>
      <c r="S4408" t="str">
        <f>_xlfn.XLOOKUP(Pipeline_tbl[[#This Row],[Created_Date]],Dim_Date!A:A,Dim_Date!H:H)</f>
        <v>Jan 2025</v>
      </c>
      <c r="T4408" t="str">
        <f>IF(Pipeline_tbl[[#This Row],[Closed_Date]]=0,"",(_xlfn.XLOOKUP(Pipeline_tbl[[#This Row],[Closed_Date]],Dim_Date!A:A,Dim_Date!H:H)))</f>
        <v>Mar 2025</v>
      </c>
      <c r="U4408">
        <f>IF(Pipeline_tbl[[#This Row],[Closed_Date]]=0,"",Pipeline_tbl[[#This Row],[Closed_Date]]-Pipeline_tbl[[#This Row],[Created_Date]])</f>
        <v>38</v>
      </c>
    </row>
    <row r="4409" spans="1:21" ht="15" customHeight="1" x14ac:dyDescent="0.2">
      <c r="A4409" t="s">
        <v>4715</v>
      </c>
      <c r="B4409" t="s">
        <v>265</v>
      </c>
      <c r="C4409" t="s">
        <v>53</v>
      </c>
      <c r="D4409" s="49">
        <v>45685</v>
      </c>
      <c r="E4409" s="49">
        <v>45690</v>
      </c>
      <c r="F4409" s="49">
        <v>45701</v>
      </c>
      <c r="G4409" s="49">
        <v>45717</v>
      </c>
      <c r="H4409" s="49">
        <v>45731</v>
      </c>
      <c r="I4409" s="49">
        <v>45739</v>
      </c>
      <c r="J4409" t="s">
        <v>47</v>
      </c>
      <c r="K4409" s="33">
        <v>23600</v>
      </c>
      <c r="M4409" t="str">
        <f>_xlfn.XLOOKUP(Pipeline_tbl[[#This Row],[Rep_ID]],Dim_Reps!A:A,Dim_Reps!K:K)</f>
        <v>EUR</v>
      </c>
      <c r="N4409" s="33">
        <f>(_xlfn.XLOOKUP(Pipeline_tbl[[#This Row],[Rate_Code_Generalized]],Lookups!A:A,Lookups!B:B))*Pipeline_tbl[[#This Row],[Pipeline_Amount_USD]]</f>
        <v>23600</v>
      </c>
      <c r="O4409" t="str">
        <f>_xlfn.XLOOKUP(Pipeline_tbl[[#This Row],[Rep_ID]],Dim_Reps!A:A,Dim_Reps!B:B)</f>
        <v>Erik Duarte</v>
      </c>
      <c r="P4409" t="str">
        <f>_xlfn.XLOOKUP(Pipeline_tbl[[#This Row],[Rep_ID]],Dim_Reps!A:A,Dim_Reps!C:C)</f>
        <v>Mid-Market AE</v>
      </c>
      <c r="Q4409" t="str">
        <f>_xlfn.XLOOKUP(Pipeline_tbl[[#This Row],[Rep_ID]],Dim_Reps!A:A,Dim_Reps!D:D)</f>
        <v>Mid-Market</v>
      </c>
      <c r="R4409" t="str">
        <f>_xlfn.XLOOKUP(Pipeline_tbl[[#This Row],[Rep_ID]],Dim_Reps!A:A,Dim_Reps!E:E)</f>
        <v>EMEA</v>
      </c>
      <c r="S4409" t="str">
        <f>_xlfn.XLOOKUP(Pipeline_tbl[[#This Row],[Created_Date]],Dim_Date!A:A,Dim_Date!H:H)</f>
        <v>Jan 2025</v>
      </c>
      <c r="T4409" t="str">
        <f>IF(Pipeline_tbl[[#This Row],[Closed_Date]]=0,"",(_xlfn.XLOOKUP(Pipeline_tbl[[#This Row],[Closed_Date]],Dim_Date!A:A,Dim_Date!H:H)))</f>
        <v>Mar 2025</v>
      </c>
      <c r="U4409">
        <f>IF(Pipeline_tbl[[#This Row],[Closed_Date]]=0,"",Pipeline_tbl[[#This Row],[Closed_Date]]-Pipeline_tbl[[#This Row],[Created_Date]])</f>
        <v>54</v>
      </c>
    </row>
    <row r="4410" spans="1:21" ht="15" customHeight="1" x14ac:dyDescent="0.2">
      <c r="A4410" t="s">
        <v>4716</v>
      </c>
      <c r="B4410" t="s">
        <v>269</v>
      </c>
      <c r="C4410" t="s">
        <v>53</v>
      </c>
      <c r="D4410" s="49">
        <v>45680</v>
      </c>
      <c r="E4410" s="49">
        <v>45684</v>
      </c>
      <c r="F4410" s="49">
        <v>45692</v>
      </c>
      <c r="G4410" s="49">
        <v>45703</v>
      </c>
      <c r="H4410" s="49">
        <v>45713</v>
      </c>
      <c r="I4410" s="49">
        <v>45719</v>
      </c>
      <c r="J4410" t="s">
        <v>47</v>
      </c>
      <c r="K4410" s="33">
        <v>21800</v>
      </c>
      <c r="M4410" t="str">
        <f>_xlfn.XLOOKUP(Pipeline_tbl[[#This Row],[Rep_ID]],Dim_Reps!A:A,Dim_Reps!K:K)</f>
        <v>USD</v>
      </c>
      <c r="N4410" s="33">
        <f>(_xlfn.XLOOKUP(Pipeline_tbl[[#This Row],[Rate_Code_Generalized]],Lookups!A:A,Lookups!B:B))*Pipeline_tbl[[#This Row],[Pipeline_Amount_USD]]</f>
        <v>25381.739999999998</v>
      </c>
      <c r="O4410" t="str">
        <f>_xlfn.XLOOKUP(Pipeline_tbl[[#This Row],[Rep_ID]],Dim_Reps!A:A,Dim_Reps!B:B)</f>
        <v>Morgan Rivera</v>
      </c>
      <c r="P4410" t="str">
        <f>_xlfn.XLOOKUP(Pipeline_tbl[[#This Row],[Rep_ID]],Dim_Reps!A:A,Dim_Reps!C:C)</f>
        <v>Mid-Market AE</v>
      </c>
      <c r="Q4410" t="str">
        <f>_xlfn.XLOOKUP(Pipeline_tbl[[#This Row],[Rep_ID]],Dim_Reps!A:A,Dim_Reps!D:D)</f>
        <v>Mid-Market</v>
      </c>
      <c r="R4410" t="str">
        <f>_xlfn.XLOOKUP(Pipeline_tbl[[#This Row],[Rep_ID]],Dim_Reps!A:A,Dim_Reps!E:E)</f>
        <v>NAMER</v>
      </c>
      <c r="S4410" t="str">
        <f>_xlfn.XLOOKUP(Pipeline_tbl[[#This Row],[Created_Date]],Dim_Date!A:A,Dim_Date!H:H)</f>
        <v>Jan 2025</v>
      </c>
      <c r="T4410" t="str">
        <f>IF(Pipeline_tbl[[#This Row],[Closed_Date]]=0,"",(_xlfn.XLOOKUP(Pipeline_tbl[[#This Row],[Closed_Date]],Dim_Date!A:A,Dim_Date!H:H)))</f>
        <v>Mar 2025</v>
      </c>
      <c r="U4410">
        <f>IF(Pipeline_tbl[[#This Row],[Closed_Date]]=0,"",Pipeline_tbl[[#This Row],[Closed_Date]]-Pipeline_tbl[[#This Row],[Created_Date]])</f>
        <v>39</v>
      </c>
    </row>
    <row r="4411" spans="1:21" ht="15" customHeight="1" x14ac:dyDescent="0.2">
      <c r="A4411" t="s">
        <v>4717</v>
      </c>
      <c r="B4411" t="s">
        <v>269</v>
      </c>
      <c r="C4411" t="s">
        <v>56</v>
      </c>
      <c r="D4411" s="49">
        <v>45682</v>
      </c>
      <c r="E4411" s="49">
        <v>45686</v>
      </c>
      <c r="F4411" s="49">
        <v>45695</v>
      </c>
      <c r="G4411" s="49">
        <v>45707</v>
      </c>
      <c r="H4411" s="49">
        <v>45718</v>
      </c>
      <c r="I4411" s="49">
        <v>45724</v>
      </c>
      <c r="J4411" t="s">
        <v>49</v>
      </c>
      <c r="K4411" s="33">
        <v>8600</v>
      </c>
      <c r="L4411" t="s">
        <v>61</v>
      </c>
      <c r="M4411" t="str">
        <f>_xlfn.XLOOKUP(Pipeline_tbl[[#This Row],[Rep_ID]],Dim_Reps!A:A,Dim_Reps!K:K)</f>
        <v>USD</v>
      </c>
      <c r="N4411" s="33">
        <f>(_xlfn.XLOOKUP(Pipeline_tbl[[#This Row],[Rate_Code_Generalized]],Lookups!A:A,Lookups!B:B))*Pipeline_tbl[[#This Row],[Pipeline_Amount_USD]]</f>
        <v>10012.98</v>
      </c>
      <c r="O4411" t="str">
        <f>_xlfn.XLOOKUP(Pipeline_tbl[[#This Row],[Rep_ID]],Dim_Reps!A:A,Dim_Reps!B:B)</f>
        <v>Morgan Rivera</v>
      </c>
      <c r="P4411" t="str">
        <f>_xlfn.XLOOKUP(Pipeline_tbl[[#This Row],[Rep_ID]],Dim_Reps!A:A,Dim_Reps!C:C)</f>
        <v>Mid-Market AE</v>
      </c>
      <c r="Q4411" t="str">
        <f>_xlfn.XLOOKUP(Pipeline_tbl[[#This Row],[Rep_ID]],Dim_Reps!A:A,Dim_Reps!D:D)</f>
        <v>Mid-Market</v>
      </c>
      <c r="R4411" t="str">
        <f>_xlfn.XLOOKUP(Pipeline_tbl[[#This Row],[Rep_ID]],Dim_Reps!A:A,Dim_Reps!E:E)</f>
        <v>NAMER</v>
      </c>
      <c r="S4411" t="str">
        <f>_xlfn.XLOOKUP(Pipeline_tbl[[#This Row],[Created_Date]],Dim_Date!A:A,Dim_Date!H:H)</f>
        <v>Jan 2025</v>
      </c>
      <c r="T4411" t="str">
        <f>IF(Pipeline_tbl[[#This Row],[Closed_Date]]=0,"",(_xlfn.XLOOKUP(Pipeline_tbl[[#This Row],[Closed_Date]],Dim_Date!A:A,Dim_Date!H:H)))</f>
        <v>Mar 2025</v>
      </c>
      <c r="U4411">
        <f>IF(Pipeline_tbl[[#This Row],[Closed_Date]]=0,"",Pipeline_tbl[[#This Row],[Closed_Date]]-Pipeline_tbl[[#This Row],[Created_Date]])</f>
        <v>42</v>
      </c>
    </row>
    <row r="4412" spans="1:21" ht="15" customHeight="1" x14ac:dyDescent="0.2">
      <c r="A4412" t="s">
        <v>4718</v>
      </c>
      <c r="B4412" t="s">
        <v>269</v>
      </c>
      <c r="C4412" t="s">
        <v>52</v>
      </c>
      <c r="D4412" s="49">
        <v>45668</v>
      </c>
      <c r="E4412" s="49">
        <v>45673</v>
      </c>
      <c r="F4412" s="49">
        <v>45683</v>
      </c>
      <c r="G4412" s="49">
        <v>45698</v>
      </c>
      <c r="H4412" s="49">
        <v>45711</v>
      </c>
      <c r="I4412" s="49">
        <v>45718</v>
      </c>
      <c r="J4412" t="s">
        <v>47</v>
      </c>
      <c r="K4412" s="33">
        <v>10400</v>
      </c>
      <c r="M4412" t="str">
        <f>_xlfn.XLOOKUP(Pipeline_tbl[[#This Row],[Rep_ID]],Dim_Reps!A:A,Dim_Reps!K:K)</f>
        <v>USD</v>
      </c>
      <c r="N4412" s="33">
        <f>(_xlfn.XLOOKUP(Pipeline_tbl[[#This Row],[Rate_Code_Generalized]],Lookups!A:A,Lookups!B:B))*Pipeline_tbl[[#This Row],[Pipeline_Amount_USD]]</f>
        <v>12108.72</v>
      </c>
      <c r="O4412" t="str">
        <f>_xlfn.XLOOKUP(Pipeline_tbl[[#This Row],[Rep_ID]],Dim_Reps!A:A,Dim_Reps!B:B)</f>
        <v>Morgan Rivera</v>
      </c>
      <c r="P4412" t="str">
        <f>_xlfn.XLOOKUP(Pipeline_tbl[[#This Row],[Rep_ID]],Dim_Reps!A:A,Dim_Reps!C:C)</f>
        <v>Mid-Market AE</v>
      </c>
      <c r="Q4412" t="str">
        <f>_xlfn.XLOOKUP(Pipeline_tbl[[#This Row],[Rep_ID]],Dim_Reps!A:A,Dim_Reps!D:D)</f>
        <v>Mid-Market</v>
      </c>
      <c r="R4412" t="str">
        <f>_xlfn.XLOOKUP(Pipeline_tbl[[#This Row],[Rep_ID]],Dim_Reps!A:A,Dim_Reps!E:E)</f>
        <v>NAMER</v>
      </c>
      <c r="S4412" t="str">
        <f>_xlfn.XLOOKUP(Pipeline_tbl[[#This Row],[Created_Date]],Dim_Date!A:A,Dim_Date!H:H)</f>
        <v>Jan 2025</v>
      </c>
      <c r="T4412" t="str">
        <f>IF(Pipeline_tbl[[#This Row],[Closed_Date]]=0,"",(_xlfn.XLOOKUP(Pipeline_tbl[[#This Row],[Closed_Date]],Dim_Date!A:A,Dim_Date!H:H)))</f>
        <v>Mar 2025</v>
      </c>
      <c r="U4412">
        <f>IF(Pipeline_tbl[[#This Row],[Closed_Date]]=0,"",Pipeline_tbl[[#This Row],[Closed_Date]]-Pipeline_tbl[[#This Row],[Created_Date]])</f>
        <v>50</v>
      </c>
    </row>
    <row r="4413" spans="1:21" ht="15" customHeight="1" x14ac:dyDescent="0.2">
      <c r="A4413" t="s">
        <v>4719</v>
      </c>
      <c r="B4413" t="s">
        <v>271</v>
      </c>
      <c r="C4413" t="s">
        <v>52</v>
      </c>
      <c r="D4413" s="49">
        <v>45671</v>
      </c>
      <c r="E4413" s="49">
        <v>45676</v>
      </c>
      <c r="F4413" s="49">
        <v>45687</v>
      </c>
      <c r="G4413" s="49">
        <v>45703</v>
      </c>
      <c r="H4413" s="49">
        <v>45716</v>
      </c>
      <c r="I4413" s="49">
        <v>45724</v>
      </c>
      <c r="J4413" t="s">
        <v>49</v>
      </c>
      <c r="K4413" s="33">
        <v>21100</v>
      </c>
      <c r="L4413" t="s">
        <v>60</v>
      </c>
      <c r="M4413" t="str">
        <f>_xlfn.XLOOKUP(Pipeline_tbl[[#This Row],[Rep_ID]],Dim_Reps!A:A,Dim_Reps!K:K)</f>
        <v>EUR</v>
      </c>
      <c r="N4413" s="33">
        <f>(_xlfn.XLOOKUP(Pipeline_tbl[[#This Row],[Rate_Code_Generalized]],Lookups!A:A,Lookups!B:B))*Pipeline_tbl[[#This Row],[Pipeline_Amount_USD]]</f>
        <v>21100</v>
      </c>
      <c r="O4413" t="str">
        <f>_xlfn.XLOOKUP(Pipeline_tbl[[#This Row],[Rep_ID]],Dim_Reps!A:A,Dim_Reps!B:B)</f>
        <v>Ivy Adler</v>
      </c>
      <c r="P4413" t="str">
        <f>_xlfn.XLOOKUP(Pipeline_tbl[[#This Row],[Rep_ID]],Dim_Reps!A:A,Dim_Reps!C:C)</f>
        <v>Mid-Market AE</v>
      </c>
      <c r="Q4413" t="str">
        <f>_xlfn.XLOOKUP(Pipeline_tbl[[#This Row],[Rep_ID]],Dim_Reps!A:A,Dim_Reps!D:D)</f>
        <v>Mid-Market</v>
      </c>
      <c r="R4413" t="str">
        <f>_xlfn.XLOOKUP(Pipeline_tbl[[#This Row],[Rep_ID]],Dim_Reps!A:A,Dim_Reps!E:E)</f>
        <v>APAC</v>
      </c>
      <c r="S4413" t="str">
        <f>_xlfn.XLOOKUP(Pipeline_tbl[[#This Row],[Created_Date]],Dim_Date!A:A,Dim_Date!H:H)</f>
        <v>Jan 2025</v>
      </c>
      <c r="T4413" t="str">
        <f>IF(Pipeline_tbl[[#This Row],[Closed_Date]]=0,"",(_xlfn.XLOOKUP(Pipeline_tbl[[#This Row],[Closed_Date]],Dim_Date!A:A,Dim_Date!H:H)))</f>
        <v>Mar 2025</v>
      </c>
      <c r="U4413">
        <f>IF(Pipeline_tbl[[#This Row],[Closed_Date]]=0,"",Pipeline_tbl[[#This Row],[Closed_Date]]-Pipeline_tbl[[#This Row],[Created_Date]])</f>
        <v>53</v>
      </c>
    </row>
    <row r="4414" spans="1:21" ht="15" customHeight="1" x14ac:dyDescent="0.2">
      <c r="A4414" t="s">
        <v>4720</v>
      </c>
      <c r="B4414" t="s">
        <v>271</v>
      </c>
      <c r="C4414" t="s">
        <v>52</v>
      </c>
      <c r="D4414" s="49">
        <v>45681</v>
      </c>
      <c r="E4414" s="49">
        <v>45685</v>
      </c>
      <c r="F4414" s="49">
        <v>45692</v>
      </c>
      <c r="G4414" s="49">
        <v>45704</v>
      </c>
      <c r="H4414" s="49">
        <v>45713</v>
      </c>
      <c r="I4414" s="49">
        <v>45719</v>
      </c>
      <c r="J4414" t="s">
        <v>47</v>
      </c>
      <c r="K4414" s="33">
        <v>16900</v>
      </c>
      <c r="M4414" t="str">
        <f>_xlfn.XLOOKUP(Pipeline_tbl[[#This Row],[Rep_ID]],Dim_Reps!A:A,Dim_Reps!K:K)</f>
        <v>EUR</v>
      </c>
      <c r="N4414" s="33">
        <f>(_xlfn.XLOOKUP(Pipeline_tbl[[#This Row],[Rate_Code_Generalized]],Lookups!A:A,Lookups!B:B))*Pipeline_tbl[[#This Row],[Pipeline_Amount_USD]]</f>
        <v>16900</v>
      </c>
      <c r="O4414" t="str">
        <f>_xlfn.XLOOKUP(Pipeline_tbl[[#This Row],[Rep_ID]],Dim_Reps!A:A,Dim_Reps!B:B)</f>
        <v>Ivy Adler</v>
      </c>
      <c r="P4414" t="str">
        <f>_xlfn.XLOOKUP(Pipeline_tbl[[#This Row],[Rep_ID]],Dim_Reps!A:A,Dim_Reps!C:C)</f>
        <v>Mid-Market AE</v>
      </c>
      <c r="Q4414" t="str">
        <f>_xlfn.XLOOKUP(Pipeline_tbl[[#This Row],[Rep_ID]],Dim_Reps!A:A,Dim_Reps!D:D)</f>
        <v>Mid-Market</v>
      </c>
      <c r="R4414" t="str">
        <f>_xlfn.XLOOKUP(Pipeline_tbl[[#This Row],[Rep_ID]],Dim_Reps!A:A,Dim_Reps!E:E)</f>
        <v>APAC</v>
      </c>
      <c r="S4414" t="str">
        <f>_xlfn.XLOOKUP(Pipeline_tbl[[#This Row],[Created_Date]],Dim_Date!A:A,Dim_Date!H:H)</f>
        <v>Jan 2025</v>
      </c>
      <c r="T4414" t="str">
        <f>IF(Pipeline_tbl[[#This Row],[Closed_Date]]=0,"",(_xlfn.XLOOKUP(Pipeline_tbl[[#This Row],[Closed_Date]],Dim_Date!A:A,Dim_Date!H:H)))</f>
        <v>Mar 2025</v>
      </c>
      <c r="U4414">
        <f>IF(Pipeline_tbl[[#This Row],[Closed_Date]]=0,"",Pipeline_tbl[[#This Row],[Closed_Date]]-Pipeline_tbl[[#This Row],[Created_Date]])</f>
        <v>38</v>
      </c>
    </row>
    <row r="4415" spans="1:21" ht="15" customHeight="1" x14ac:dyDescent="0.2">
      <c r="A4415" t="s">
        <v>4721</v>
      </c>
      <c r="B4415" t="s">
        <v>271</v>
      </c>
      <c r="C4415" t="s">
        <v>54</v>
      </c>
      <c r="D4415" s="49">
        <v>45686</v>
      </c>
      <c r="E4415" s="49">
        <v>45690</v>
      </c>
      <c r="F4415" s="49">
        <v>45699</v>
      </c>
      <c r="G4415" s="49">
        <v>45712</v>
      </c>
      <c r="H4415" s="49">
        <v>45723</v>
      </c>
      <c r="I4415" s="49">
        <v>45729</v>
      </c>
      <c r="J4415" t="s">
        <v>47</v>
      </c>
      <c r="K4415" s="33">
        <v>11200</v>
      </c>
      <c r="M4415" t="str">
        <f>_xlfn.XLOOKUP(Pipeline_tbl[[#This Row],[Rep_ID]],Dim_Reps!A:A,Dim_Reps!K:K)</f>
        <v>EUR</v>
      </c>
      <c r="N4415" s="33">
        <f>(_xlfn.XLOOKUP(Pipeline_tbl[[#This Row],[Rate_Code_Generalized]],Lookups!A:A,Lookups!B:B))*Pipeline_tbl[[#This Row],[Pipeline_Amount_USD]]</f>
        <v>11200</v>
      </c>
      <c r="O4415" t="str">
        <f>_xlfn.XLOOKUP(Pipeline_tbl[[#This Row],[Rep_ID]],Dim_Reps!A:A,Dim_Reps!B:B)</f>
        <v>Ivy Adler</v>
      </c>
      <c r="P4415" t="str">
        <f>_xlfn.XLOOKUP(Pipeline_tbl[[#This Row],[Rep_ID]],Dim_Reps!A:A,Dim_Reps!C:C)</f>
        <v>Mid-Market AE</v>
      </c>
      <c r="Q4415" t="str">
        <f>_xlfn.XLOOKUP(Pipeline_tbl[[#This Row],[Rep_ID]],Dim_Reps!A:A,Dim_Reps!D:D)</f>
        <v>Mid-Market</v>
      </c>
      <c r="R4415" t="str">
        <f>_xlfn.XLOOKUP(Pipeline_tbl[[#This Row],[Rep_ID]],Dim_Reps!A:A,Dim_Reps!E:E)</f>
        <v>APAC</v>
      </c>
      <c r="S4415" t="str">
        <f>_xlfn.XLOOKUP(Pipeline_tbl[[#This Row],[Created_Date]],Dim_Date!A:A,Dim_Date!H:H)</f>
        <v>Jan 2025</v>
      </c>
      <c r="T4415" t="str">
        <f>IF(Pipeline_tbl[[#This Row],[Closed_Date]]=0,"",(_xlfn.XLOOKUP(Pipeline_tbl[[#This Row],[Closed_Date]],Dim_Date!A:A,Dim_Date!H:H)))</f>
        <v>Mar 2025</v>
      </c>
      <c r="U4415">
        <f>IF(Pipeline_tbl[[#This Row],[Closed_Date]]=0,"",Pipeline_tbl[[#This Row],[Closed_Date]]-Pipeline_tbl[[#This Row],[Created_Date]])</f>
        <v>43</v>
      </c>
    </row>
    <row r="4416" spans="1:21" ht="15" customHeight="1" x14ac:dyDescent="0.2">
      <c r="A4416" t="s">
        <v>4722</v>
      </c>
      <c r="B4416" t="s">
        <v>271</v>
      </c>
      <c r="C4416" t="s">
        <v>52</v>
      </c>
      <c r="D4416" s="49">
        <v>45675</v>
      </c>
      <c r="E4416" s="49">
        <v>45681</v>
      </c>
      <c r="F4416" s="49">
        <v>45693</v>
      </c>
      <c r="G4416" s="49">
        <v>45710</v>
      </c>
      <c r="I4416" s="49">
        <v>45734</v>
      </c>
      <c r="J4416" t="s">
        <v>49</v>
      </c>
      <c r="K4416" s="33">
        <v>10300</v>
      </c>
      <c r="L4416" t="s">
        <v>62</v>
      </c>
      <c r="M4416" t="str">
        <f>_xlfn.XLOOKUP(Pipeline_tbl[[#This Row],[Rep_ID]],Dim_Reps!A:A,Dim_Reps!K:K)</f>
        <v>EUR</v>
      </c>
      <c r="N4416" s="33">
        <f>(_xlfn.XLOOKUP(Pipeline_tbl[[#This Row],[Rate_Code_Generalized]],Lookups!A:A,Lookups!B:B))*Pipeline_tbl[[#This Row],[Pipeline_Amount_USD]]</f>
        <v>10300</v>
      </c>
      <c r="O4416" t="str">
        <f>_xlfn.XLOOKUP(Pipeline_tbl[[#This Row],[Rep_ID]],Dim_Reps!A:A,Dim_Reps!B:B)</f>
        <v>Ivy Adler</v>
      </c>
      <c r="P4416" t="str">
        <f>_xlfn.XLOOKUP(Pipeline_tbl[[#This Row],[Rep_ID]],Dim_Reps!A:A,Dim_Reps!C:C)</f>
        <v>Mid-Market AE</v>
      </c>
      <c r="Q4416" t="str">
        <f>_xlfn.XLOOKUP(Pipeline_tbl[[#This Row],[Rep_ID]],Dim_Reps!A:A,Dim_Reps!D:D)</f>
        <v>Mid-Market</v>
      </c>
      <c r="R4416" t="str">
        <f>_xlfn.XLOOKUP(Pipeline_tbl[[#This Row],[Rep_ID]],Dim_Reps!A:A,Dim_Reps!E:E)</f>
        <v>APAC</v>
      </c>
      <c r="S4416" t="str">
        <f>_xlfn.XLOOKUP(Pipeline_tbl[[#This Row],[Created_Date]],Dim_Date!A:A,Dim_Date!H:H)</f>
        <v>Jan 2025</v>
      </c>
      <c r="T4416" t="str">
        <f>IF(Pipeline_tbl[[#This Row],[Closed_Date]]=0,"",(_xlfn.XLOOKUP(Pipeline_tbl[[#This Row],[Closed_Date]],Dim_Date!A:A,Dim_Date!H:H)))</f>
        <v>Mar 2025</v>
      </c>
      <c r="U4416">
        <f>IF(Pipeline_tbl[[#This Row],[Closed_Date]]=0,"",Pipeline_tbl[[#This Row],[Closed_Date]]-Pipeline_tbl[[#This Row],[Created_Date]])</f>
        <v>59</v>
      </c>
    </row>
    <row r="4417" spans="1:21" ht="15" customHeight="1" x14ac:dyDescent="0.2">
      <c r="A4417" t="s">
        <v>4723</v>
      </c>
      <c r="B4417" t="s">
        <v>271</v>
      </c>
      <c r="C4417" t="s">
        <v>52</v>
      </c>
      <c r="D4417" s="49">
        <v>45686</v>
      </c>
      <c r="E4417" s="49">
        <v>45689</v>
      </c>
      <c r="F4417" s="49">
        <v>45696</v>
      </c>
      <c r="G4417" s="49">
        <v>45706</v>
      </c>
      <c r="H4417" s="49">
        <v>45714</v>
      </c>
      <c r="I4417" s="49">
        <v>45719</v>
      </c>
      <c r="J4417" t="s">
        <v>47</v>
      </c>
      <c r="K4417" s="33">
        <v>9100</v>
      </c>
      <c r="M4417" t="str">
        <f>_xlfn.XLOOKUP(Pipeline_tbl[[#This Row],[Rep_ID]],Dim_Reps!A:A,Dim_Reps!K:K)</f>
        <v>EUR</v>
      </c>
      <c r="N4417" s="33">
        <f>(_xlfn.XLOOKUP(Pipeline_tbl[[#This Row],[Rate_Code_Generalized]],Lookups!A:A,Lookups!B:B))*Pipeline_tbl[[#This Row],[Pipeline_Amount_USD]]</f>
        <v>9100</v>
      </c>
      <c r="O4417" t="str">
        <f>_xlfn.XLOOKUP(Pipeline_tbl[[#This Row],[Rep_ID]],Dim_Reps!A:A,Dim_Reps!B:B)</f>
        <v>Ivy Adler</v>
      </c>
      <c r="P4417" t="str">
        <f>_xlfn.XLOOKUP(Pipeline_tbl[[#This Row],[Rep_ID]],Dim_Reps!A:A,Dim_Reps!C:C)</f>
        <v>Mid-Market AE</v>
      </c>
      <c r="Q4417" t="str">
        <f>_xlfn.XLOOKUP(Pipeline_tbl[[#This Row],[Rep_ID]],Dim_Reps!A:A,Dim_Reps!D:D)</f>
        <v>Mid-Market</v>
      </c>
      <c r="R4417" t="str">
        <f>_xlfn.XLOOKUP(Pipeline_tbl[[#This Row],[Rep_ID]],Dim_Reps!A:A,Dim_Reps!E:E)</f>
        <v>APAC</v>
      </c>
      <c r="S4417" t="str">
        <f>_xlfn.XLOOKUP(Pipeline_tbl[[#This Row],[Created_Date]],Dim_Date!A:A,Dim_Date!H:H)</f>
        <v>Jan 2025</v>
      </c>
      <c r="T4417" t="str">
        <f>IF(Pipeline_tbl[[#This Row],[Closed_Date]]=0,"",(_xlfn.XLOOKUP(Pipeline_tbl[[#This Row],[Closed_Date]],Dim_Date!A:A,Dim_Date!H:H)))</f>
        <v>Mar 2025</v>
      </c>
      <c r="U4417">
        <f>IF(Pipeline_tbl[[#This Row],[Closed_Date]]=0,"",Pipeline_tbl[[#This Row],[Closed_Date]]-Pipeline_tbl[[#This Row],[Created_Date]])</f>
        <v>33</v>
      </c>
    </row>
    <row r="4418" spans="1:21" ht="15" customHeight="1" x14ac:dyDescent="0.2">
      <c r="A4418" t="s">
        <v>4724</v>
      </c>
      <c r="B4418" t="s">
        <v>278</v>
      </c>
      <c r="C4418" t="s">
        <v>53</v>
      </c>
      <c r="D4418" s="49">
        <v>45666</v>
      </c>
      <c r="E4418" s="49">
        <v>45678</v>
      </c>
      <c r="F4418" s="49">
        <v>45702</v>
      </c>
      <c r="I4418" s="49">
        <v>45787</v>
      </c>
      <c r="J4418" t="s">
        <v>49</v>
      </c>
      <c r="K4418" s="33">
        <v>50900</v>
      </c>
      <c r="L4418" t="s">
        <v>64</v>
      </c>
      <c r="M4418" t="str">
        <f>_xlfn.XLOOKUP(Pipeline_tbl[[#This Row],[Rep_ID]],Dim_Reps!A:A,Dim_Reps!K:K)</f>
        <v>EUR</v>
      </c>
      <c r="N4418" s="33">
        <f>(_xlfn.XLOOKUP(Pipeline_tbl[[#This Row],[Rate_Code_Generalized]],Lookups!A:A,Lookups!B:B))*Pipeline_tbl[[#This Row],[Pipeline_Amount_USD]]</f>
        <v>50900</v>
      </c>
      <c r="O4418" t="str">
        <f>_xlfn.XLOOKUP(Pipeline_tbl[[#This Row],[Rep_ID]],Dim_Reps!A:A,Dim_Reps!B:B)</f>
        <v>Sara Andersson</v>
      </c>
      <c r="P4418" t="str">
        <f>_xlfn.XLOOKUP(Pipeline_tbl[[#This Row],[Rep_ID]],Dim_Reps!A:A,Dim_Reps!C:C)</f>
        <v>Senior Enterprise AE</v>
      </c>
      <c r="Q4418" t="str">
        <f>_xlfn.XLOOKUP(Pipeline_tbl[[#This Row],[Rep_ID]],Dim_Reps!A:A,Dim_Reps!D:D)</f>
        <v>Strategic</v>
      </c>
      <c r="R4418" t="str">
        <f>_xlfn.XLOOKUP(Pipeline_tbl[[#This Row],[Rep_ID]],Dim_Reps!A:A,Dim_Reps!E:E)</f>
        <v>APAC</v>
      </c>
      <c r="S4418" t="str">
        <f>_xlfn.XLOOKUP(Pipeline_tbl[[#This Row],[Created_Date]],Dim_Date!A:A,Dim_Date!H:H)</f>
        <v>Jan 2025</v>
      </c>
      <c r="T4418" t="str">
        <f>IF(Pipeline_tbl[[#This Row],[Closed_Date]]=0,"",(_xlfn.XLOOKUP(Pipeline_tbl[[#This Row],[Closed_Date]],Dim_Date!A:A,Dim_Date!H:H)))</f>
        <v>May 2025</v>
      </c>
      <c r="U4418">
        <f>IF(Pipeline_tbl[[#This Row],[Closed_Date]]=0,"",Pipeline_tbl[[#This Row],[Closed_Date]]-Pipeline_tbl[[#This Row],[Created_Date]])</f>
        <v>121</v>
      </c>
    </row>
    <row r="4419" spans="1:21" ht="15" customHeight="1" x14ac:dyDescent="0.2">
      <c r="A4419" t="s">
        <v>4725</v>
      </c>
      <c r="B4419" t="s">
        <v>280</v>
      </c>
      <c r="C4419" t="s">
        <v>55</v>
      </c>
      <c r="D4419" s="49">
        <v>45683</v>
      </c>
      <c r="E4419" s="49">
        <v>45694</v>
      </c>
      <c r="F4419" s="49">
        <v>45716</v>
      </c>
      <c r="G4419" s="49">
        <v>45750</v>
      </c>
      <c r="H4419" s="49">
        <v>45777</v>
      </c>
      <c r="I4419" s="49">
        <v>45794</v>
      </c>
      <c r="J4419" t="s">
        <v>47</v>
      </c>
      <c r="K4419" s="33">
        <v>55100</v>
      </c>
      <c r="M4419" t="str">
        <f>_xlfn.XLOOKUP(Pipeline_tbl[[#This Row],[Rep_ID]],Dim_Reps!A:A,Dim_Reps!K:K)</f>
        <v>MXN</v>
      </c>
      <c r="N4419" s="33">
        <f>(_xlfn.XLOOKUP(Pipeline_tbl[[#This Row],[Rate_Code_Generalized]],Lookups!A:A,Lookups!B:B))*Pipeline_tbl[[#This Row],[Pipeline_Amount_USD]]</f>
        <v>1087271.77</v>
      </c>
      <c r="O4419" t="str">
        <f>_xlfn.XLOOKUP(Pipeline_tbl[[#This Row],[Rep_ID]],Dim_Reps!A:A,Dim_Reps!B:B)</f>
        <v>Cameron Lund</v>
      </c>
      <c r="P4419" t="str">
        <f>_xlfn.XLOOKUP(Pipeline_tbl[[#This Row],[Rep_ID]],Dim_Reps!A:A,Dim_Reps!C:C)</f>
        <v>Senior Enterprise AE</v>
      </c>
      <c r="Q4419" t="str">
        <f>_xlfn.XLOOKUP(Pipeline_tbl[[#This Row],[Rep_ID]],Dim_Reps!A:A,Dim_Reps!D:D)</f>
        <v>Strategic</v>
      </c>
      <c r="R4419" t="str">
        <f>_xlfn.XLOOKUP(Pipeline_tbl[[#This Row],[Rep_ID]],Dim_Reps!A:A,Dim_Reps!E:E)</f>
        <v>LATAM</v>
      </c>
      <c r="S4419" t="str">
        <f>_xlfn.XLOOKUP(Pipeline_tbl[[#This Row],[Created_Date]],Dim_Date!A:A,Dim_Date!H:H)</f>
        <v>Jan 2025</v>
      </c>
      <c r="T4419" t="str">
        <f>IF(Pipeline_tbl[[#This Row],[Closed_Date]]=0,"",(_xlfn.XLOOKUP(Pipeline_tbl[[#This Row],[Closed_Date]],Dim_Date!A:A,Dim_Date!H:H)))</f>
        <v>May 2025</v>
      </c>
      <c r="U4419">
        <f>IF(Pipeline_tbl[[#This Row],[Closed_Date]]=0,"",Pipeline_tbl[[#This Row],[Closed_Date]]-Pipeline_tbl[[#This Row],[Created_Date]])</f>
        <v>111</v>
      </c>
    </row>
    <row r="4420" spans="1:21" ht="15" customHeight="1" x14ac:dyDescent="0.2">
      <c r="A4420" t="s">
        <v>4726</v>
      </c>
      <c r="B4420" t="s">
        <v>278</v>
      </c>
      <c r="C4420" t="s">
        <v>52</v>
      </c>
      <c r="D4420" s="49">
        <v>45321</v>
      </c>
      <c r="E4420" s="49">
        <v>45329</v>
      </c>
      <c r="F4420" s="49">
        <v>45344</v>
      </c>
      <c r="I4420" s="49">
        <v>45399</v>
      </c>
      <c r="J4420" t="s">
        <v>49</v>
      </c>
      <c r="K4420" s="33">
        <v>122700</v>
      </c>
      <c r="L4420" t="s">
        <v>61</v>
      </c>
      <c r="M4420" t="str">
        <f>_xlfn.XLOOKUP(Pipeline_tbl[[#This Row],[Rep_ID]],Dim_Reps!A:A,Dim_Reps!K:K)</f>
        <v>EUR</v>
      </c>
      <c r="N4420" s="33">
        <f>(_xlfn.XLOOKUP(Pipeline_tbl[[#This Row],[Rate_Code_Generalized]],Lookups!A:A,Lookups!B:B))*Pipeline_tbl[[#This Row],[Pipeline_Amount_USD]]</f>
        <v>122700</v>
      </c>
      <c r="O4420" t="str">
        <f>_xlfn.XLOOKUP(Pipeline_tbl[[#This Row],[Rep_ID]],Dim_Reps!A:A,Dim_Reps!B:B)</f>
        <v>Sara Andersson</v>
      </c>
      <c r="P4420" t="str">
        <f>_xlfn.XLOOKUP(Pipeline_tbl[[#This Row],[Rep_ID]],Dim_Reps!A:A,Dim_Reps!C:C)</f>
        <v>Senior Enterprise AE</v>
      </c>
      <c r="Q4420" t="str">
        <f>_xlfn.XLOOKUP(Pipeline_tbl[[#This Row],[Rep_ID]],Dim_Reps!A:A,Dim_Reps!D:D)</f>
        <v>Strategic</v>
      </c>
      <c r="R4420" t="str">
        <f>_xlfn.XLOOKUP(Pipeline_tbl[[#This Row],[Rep_ID]],Dim_Reps!A:A,Dim_Reps!E:E)</f>
        <v>APAC</v>
      </c>
      <c r="S4420" t="str">
        <f>_xlfn.XLOOKUP(Pipeline_tbl[[#This Row],[Created_Date]],Dim_Date!A:A,Dim_Date!H:H)</f>
        <v>Jan 2024</v>
      </c>
      <c r="T4420" t="str">
        <f>IF(Pipeline_tbl[[#This Row],[Closed_Date]]=0,"",(_xlfn.XLOOKUP(Pipeline_tbl[[#This Row],[Closed_Date]],Dim_Date!A:A,Dim_Date!H:H)))</f>
        <v>Apr 2024</v>
      </c>
      <c r="U4420">
        <f>IF(Pipeline_tbl[[#This Row],[Closed_Date]]=0,"",Pipeline_tbl[[#This Row],[Closed_Date]]-Pipeline_tbl[[#This Row],[Created_Date]])</f>
        <v>78</v>
      </c>
    </row>
    <row r="4421" spans="1:21" ht="15" customHeight="1" x14ac:dyDescent="0.2">
      <c r="A4421" t="s">
        <v>4727</v>
      </c>
      <c r="B4421" t="s">
        <v>278</v>
      </c>
      <c r="C4421" t="s">
        <v>53</v>
      </c>
      <c r="D4421" s="49">
        <v>45300</v>
      </c>
      <c r="E4421" s="49">
        <v>45310</v>
      </c>
      <c r="F4421" s="49">
        <v>45329</v>
      </c>
      <c r="G4421" s="49">
        <v>45358</v>
      </c>
      <c r="H4421" s="49">
        <v>45382</v>
      </c>
      <c r="I4421" s="49">
        <v>45396</v>
      </c>
      <c r="J4421" t="s">
        <v>47</v>
      </c>
      <c r="K4421" s="33">
        <v>59500</v>
      </c>
      <c r="M4421" t="str">
        <f>_xlfn.XLOOKUP(Pipeline_tbl[[#This Row],[Rep_ID]],Dim_Reps!A:A,Dim_Reps!K:K)</f>
        <v>EUR</v>
      </c>
      <c r="N4421" s="33">
        <f>(_xlfn.XLOOKUP(Pipeline_tbl[[#This Row],[Rate_Code_Generalized]],Lookups!A:A,Lookups!B:B))*Pipeline_tbl[[#This Row],[Pipeline_Amount_USD]]</f>
        <v>59500</v>
      </c>
      <c r="O4421" t="str">
        <f>_xlfn.XLOOKUP(Pipeline_tbl[[#This Row],[Rep_ID]],Dim_Reps!A:A,Dim_Reps!B:B)</f>
        <v>Sara Andersson</v>
      </c>
      <c r="P4421" t="str">
        <f>_xlfn.XLOOKUP(Pipeline_tbl[[#This Row],[Rep_ID]],Dim_Reps!A:A,Dim_Reps!C:C)</f>
        <v>Senior Enterprise AE</v>
      </c>
      <c r="Q4421" t="str">
        <f>_xlfn.XLOOKUP(Pipeline_tbl[[#This Row],[Rep_ID]],Dim_Reps!A:A,Dim_Reps!D:D)</f>
        <v>Strategic</v>
      </c>
      <c r="R4421" t="str">
        <f>_xlfn.XLOOKUP(Pipeline_tbl[[#This Row],[Rep_ID]],Dim_Reps!A:A,Dim_Reps!E:E)</f>
        <v>APAC</v>
      </c>
      <c r="S4421" t="str">
        <f>_xlfn.XLOOKUP(Pipeline_tbl[[#This Row],[Created_Date]],Dim_Date!A:A,Dim_Date!H:H)</f>
        <v>Jan 2024</v>
      </c>
      <c r="T4421" t="str">
        <f>IF(Pipeline_tbl[[#This Row],[Closed_Date]]=0,"",(_xlfn.XLOOKUP(Pipeline_tbl[[#This Row],[Closed_Date]],Dim_Date!A:A,Dim_Date!H:H)))</f>
        <v>Apr 2024</v>
      </c>
      <c r="U4421">
        <f>IF(Pipeline_tbl[[#This Row],[Closed_Date]]=0,"",Pipeline_tbl[[#This Row],[Closed_Date]]-Pipeline_tbl[[#This Row],[Created_Date]])</f>
        <v>96</v>
      </c>
    </row>
    <row r="4422" spans="1:21" ht="15" customHeight="1" x14ac:dyDescent="0.2">
      <c r="A4422" t="s">
        <v>4728</v>
      </c>
      <c r="B4422" t="s">
        <v>191</v>
      </c>
      <c r="C4422" t="s">
        <v>52</v>
      </c>
      <c r="D4422" s="49">
        <v>45320</v>
      </c>
      <c r="E4422" s="49">
        <v>45329</v>
      </c>
      <c r="F4422" s="49">
        <v>45346</v>
      </c>
      <c r="G4422" s="49">
        <v>45372</v>
      </c>
      <c r="H4422" s="49">
        <v>45393</v>
      </c>
      <c r="I4422" s="49">
        <v>45406</v>
      </c>
      <c r="J4422" t="s">
        <v>47</v>
      </c>
      <c r="K4422" s="33">
        <v>24000</v>
      </c>
      <c r="M4422" t="str">
        <f>_xlfn.XLOOKUP(Pipeline_tbl[[#This Row],[Rep_ID]],Dim_Reps!A:A,Dim_Reps!K:K)</f>
        <v>USD</v>
      </c>
      <c r="N4422" s="33">
        <f>(_xlfn.XLOOKUP(Pipeline_tbl[[#This Row],[Rate_Code_Generalized]],Lookups!A:A,Lookups!B:B))*Pipeline_tbl[[#This Row],[Pipeline_Amount_USD]]</f>
        <v>27943.199999999997</v>
      </c>
      <c r="O4422" t="str">
        <f>_xlfn.XLOOKUP(Pipeline_tbl[[#This Row],[Rep_ID]],Dim_Reps!A:A,Dim_Reps!B:B)</f>
        <v>Zara Duarte</v>
      </c>
      <c r="P4422" t="str">
        <f>_xlfn.XLOOKUP(Pipeline_tbl[[#This Row],[Rep_ID]],Dim_Reps!A:A,Dim_Reps!C:C)</f>
        <v>Enterprise AE</v>
      </c>
      <c r="Q4422" t="str">
        <f>_xlfn.XLOOKUP(Pipeline_tbl[[#This Row],[Rep_ID]],Dim_Reps!A:A,Dim_Reps!D:D)</f>
        <v>Enterprise</v>
      </c>
      <c r="R4422" t="str">
        <f>_xlfn.XLOOKUP(Pipeline_tbl[[#This Row],[Rep_ID]],Dim_Reps!A:A,Dim_Reps!E:E)</f>
        <v>NAMER</v>
      </c>
      <c r="S4422" t="str">
        <f>_xlfn.XLOOKUP(Pipeline_tbl[[#This Row],[Created_Date]],Dim_Date!A:A,Dim_Date!H:H)</f>
        <v>Jan 2024</v>
      </c>
      <c r="T4422" t="str">
        <f>IF(Pipeline_tbl[[#This Row],[Closed_Date]]=0,"",(_xlfn.XLOOKUP(Pipeline_tbl[[#This Row],[Closed_Date]],Dim_Date!A:A,Dim_Date!H:H)))</f>
        <v>Apr 2024</v>
      </c>
      <c r="U4422">
        <f>IF(Pipeline_tbl[[#This Row],[Closed_Date]]=0,"",Pipeline_tbl[[#This Row],[Closed_Date]]-Pipeline_tbl[[#This Row],[Created_Date]])</f>
        <v>86</v>
      </c>
    </row>
    <row r="4423" spans="1:21" ht="15" customHeight="1" x14ac:dyDescent="0.2">
      <c r="A4423" t="s">
        <v>4729</v>
      </c>
      <c r="B4423" t="s">
        <v>193</v>
      </c>
      <c r="C4423" t="s">
        <v>54</v>
      </c>
      <c r="D4423" s="49">
        <v>45310</v>
      </c>
      <c r="E4423" s="49">
        <v>45312</v>
      </c>
      <c r="I4423" s="49">
        <v>45330</v>
      </c>
      <c r="J4423" t="s">
        <v>49</v>
      </c>
      <c r="K4423" s="33">
        <v>4500</v>
      </c>
      <c r="L4423" t="s">
        <v>62</v>
      </c>
      <c r="M4423" t="str">
        <f>_xlfn.XLOOKUP(Pipeline_tbl[[#This Row],[Rep_ID]],Dim_Reps!A:A,Dim_Reps!K:K)</f>
        <v>USD</v>
      </c>
      <c r="N4423" s="33">
        <f>(_xlfn.XLOOKUP(Pipeline_tbl[[#This Row],[Rate_Code_Generalized]],Lookups!A:A,Lookups!B:B))*Pipeline_tbl[[#This Row],[Pipeline_Amount_USD]]</f>
        <v>5239.3499999999995</v>
      </c>
      <c r="O4423" t="str">
        <f>_xlfn.XLOOKUP(Pipeline_tbl[[#This Row],[Rep_ID]],Dim_Reps!A:A,Dim_Reps!B:B)</f>
        <v>Karim Rossi</v>
      </c>
      <c r="P4423" t="str">
        <f>_xlfn.XLOOKUP(Pipeline_tbl[[#This Row],[Rep_ID]],Dim_Reps!A:A,Dim_Reps!C:C)</f>
        <v>SDR / Inside Sales Rep</v>
      </c>
      <c r="Q4423" t="str">
        <f>_xlfn.XLOOKUP(Pipeline_tbl[[#This Row],[Rep_ID]],Dim_Reps!A:A,Dim_Reps!D:D)</f>
        <v>Inside Sales</v>
      </c>
      <c r="R4423" t="str">
        <f>_xlfn.XLOOKUP(Pipeline_tbl[[#This Row],[Rep_ID]],Dim_Reps!A:A,Dim_Reps!E:E)</f>
        <v>NAMER</v>
      </c>
      <c r="S4423" t="str">
        <f>_xlfn.XLOOKUP(Pipeline_tbl[[#This Row],[Created_Date]],Dim_Date!A:A,Dim_Date!H:H)</f>
        <v>Jan 2024</v>
      </c>
      <c r="T4423" t="str">
        <f>IF(Pipeline_tbl[[#This Row],[Closed_Date]]=0,"",(_xlfn.XLOOKUP(Pipeline_tbl[[#This Row],[Closed_Date]],Dim_Date!A:A,Dim_Date!H:H)))</f>
        <v>Feb 2024</v>
      </c>
      <c r="U4423">
        <f>IF(Pipeline_tbl[[#This Row],[Closed_Date]]=0,"",Pipeline_tbl[[#This Row],[Closed_Date]]-Pipeline_tbl[[#This Row],[Created_Date]])</f>
        <v>20</v>
      </c>
    </row>
    <row r="4424" spans="1:21" ht="15" customHeight="1" x14ac:dyDescent="0.2">
      <c r="A4424" t="s">
        <v>4730</v>
      </c>
      <c r="B4424" t="s">
        <v>193</v>
      </c>
      <c r="C4424" t="s">
        <v>53</v>
      </c>
      <c r="D4424" s="49">
        <v>45309</v>
      </c>
      <c r="E4424" s="49">
        <v>45310</v>
      </c>
      <c r="F4424" s="49">
        <v>45313</v>
      </c>
      <c r="G4424" s="49">
        <v>45317</v>
      </c>
      <c r="H4424" s="49">
        <v>45321</v>
      </c>
      <c r="I4424" s="49">
        <v>45323</v>
      </c>
      <c r="J4424" t="s">
        <v>47</v>
      </c>
      <c r="K4424" s="33">
        <v>3700</v>
      </c>
      <c r="M4424" t="str">
        <f>_xlfn.XLOOKUP(Pipeline_tbl[[#This Row],[Rep_ID]],Dim_Reps!A:A,Dim_Reps!K:K)</f>
        <v>USD</v>
      </c>
      <c r="N4424" s="33">
        <f>(_xlfn.XLOOKUP(Pipeline_tbl[[#This Row],[Rate_Code_Generalized]],Lookups!A:A,Lookups!B:B))*Pipeline_tbl[[#This Row],[Pipeline_Amount_USD]]</f>
        <v>4307.91</v>
      </c>
      <c r="O4424" t="str">
        <f>_xlfn.XLOOKUP(Pipeline_tbl[[#This Row],[Rep_ID]],Dim_Reps!A:A,Dim_Reps!B:B)</f>
        <v>Karim Rossi</v>
      </c>
      <c r="P4424" t="str">
        <f>_xlfn.XLOOKUP(Pipeline_tbl[[#This Row],[Rep_ID]],Dim_Reps!A:A,Dim_Reps!C:C)</f>
        <v>SDR / Inside Sales Rep</v>
      </c>
      <c r="Q4424" t="str">
        <f>_xlfn.XLOOKUP(Pipeline_tbl[[#This Row],[Rep_ID]],Dim_Reps!A:A,Dim_Reps!D:D)</f>
        <v>Inside Sales</v>
      </c>
      <c r="R4424" t="str">
        <f>_xlfn.XLOOKUP(Pipeline_tbl[[#This Row],[Rep_ID]],Dim_Reps!A:A,Dim_Reps!E:E)</f>
        <v>NAMER</v>
      </c>
      <c r="S4424" t="str">
        <f>_xlfn.XLOOKUP(Pipeline_tbl[[#This Row],[Created_Date]],Dim_Date!A:A,Dim_Date!H:H)</f>
        <v>Jan 2024</v>
      </c>
      <c r="T4424" t="str">
        <f>IF(Pipeline_tbl[[#This Row],[Closed_Date]]=0,"",(_xlfn.XLOOKUP(Pipeline_tbl[[#This Row],[Closed_Date]],Dim_Date!A:A,Dim_Date!H:H)))</f>
        <v>Feb 2024</v>
      </c>
      <c r="U4424">
        <f>IF(Pipeline_tbl[[#This Row],[Closed_Date]]=0,"",Pipeline_tbl[[#This Row],[Closed_Date]]-Pipeline_tbl[[#This Row],[Created_Date]])</f>
        <v>14</v>
      </c>
    </row>
    <row r="4425" spans="1:21" ht="15" customHeight="1" x14ac:dyDescent="0.2">
      <c r="A4425" t="s">
        <v>4731</v>
      </c>
      <c r="B4425" t="s">
        <v>243</v>
      </c>
      <c r="C4425" t="s">
        <v>54</v>
      </c>
      <c r="D4425" s="49">
        <v>45311</v>
      </c>
      <c r="E4425" s="49">
        <v>45315</v>
      </c>
      <c r="F4425" s="49">
        <v>45322</v>
      </c>
      <c r="G4425" s="49">
        <v>45333</v>
      </c>
      <c r="H4425" s="49">
        <v>45342</v>
      </c>
      <c r="I4425" s="49">
        <v>45347</v>
      </c>
      <c r="J4425" t="s">
        <v>47</v>
      </c>
      <c r="K4425" s="33">
        <v>15500</v>
      </c>
      <c r="M4425" t="str">
        <f>_xlfn.XLOOKUP(Pipeline_tbl[[#This Row],[Rep_ID]],Dim_Reps!A:A,Dim_Reps!K:K)</f>
        <v>MXN</v>
      </c>
      <c r="N4425" s="33">
        <f>(_xlfn.XLOOKUP(Pipeline_tbl[[#This Row],[Rate_Code_Generalized]],Lookups!A:A,Lookups!B:B))*Pipeline_tbl[[#This Row],[Pipeline_Amount_USD]]</f>
        <v>305856.85000000003</v>
      </c>
      <c r="O4425" t="str">
        <f>_xlfn.XLOOKUP(Pipeline_tbl[[#This Row],[Rep_ID]],Dim_Reps!A:A,Dim_Reps!B:B)</f>
        <v>Jonas Sato</v>
      </c>
      <c r="P4425" t="str">
        <f>_xlfn.XLOOKUP(Pipeline_tbl[[#This Row],[Rep_ID]],Dim_Reps!A:A,Dim_Reps!C:C)</f>
        <v>Mid-Market AE</v>
      </c>
      <c r="Q4425" t="str">
        <f>_xlfn.XLOOKUP(Pipeline_tbl[[#This Row],[Rep_ID]],Dim_Reps!A:A,Dim_Reps!D:D)</f>
        <v>Mid-Market</v>
      </c>
      <c r="R4425" t="str">
        <f>_xlfn.XLOOKUP(Pipeline_tbl[[#This Row],[Rep_ID]],Dim_Reps!A:A,Dim_Reps!E:E)</f>
        <v>LATAM</v>
      </c>
      <c r="S4425" t="str">
        <f>_xlfn.XLOOKUP(Pipeline_tbl[[#This Row],[Created_Date]],Dim_Date!A:A,Dim_Date!H:H)</f>
        <v>Jan 2024</v>
      </c>
      <c r="T4425" t="str">
        <f>IF(Pipeline_tbl[[#This Row],[Closed_Date]]=0,"",(_xlfn.XLOOKUP(Pipeline_tbl[[#This Row],[Closed_Date]],Dim_Date!A:A,Dim_Date!H:H)))</f>
        <v>Feb 2024</v>
      </c>
      <c r="U4425">
        <f>IF(Pipeline_tbl[[#This Row],[Closed_Date]]=0,"",Pipeline_tbl[[#This Row],[Closed_Date]]-Pipeline_tbl[[#This Row],[Created_Date]])</f>
        <v>36</v>
      </c>
    </row>
    <row r="4426" spans="1:21" ht="15" customHeight="1" x14ac:dyDescent="0.2">
      <c r="A4426" t="s">
        <v>4732</v>
      </c>
      <c r="B4426" t="s">
        <v>243</v>
      </c>
      <c r="C4426" t="s">
        <v>53</v>
      </c>
      <c r="D4426" s="49">
        <v>45302</v>
      </c>
      <c r="E4426" s="49">
        <v>45306</v>
      </c>
      <c r="F4426" s="49">
        <v>45313</v>
      </c>
      <c r="G4426" s="49">
        <v>45324</v>
      </c>
      <c r="I4426" s="49">
        <v>45338</v>
      </c>
      <c r="J4426" t="s">
        <v>49</v>
      </c>
      <c r="K4426" s="33">
        <v>4200</v>
      </c>
      <c r="L4426" t="s">
        <v>63</v>
      </c>
      <c r="M4426" t="str">
        <f>_xlfn.XLOOKUP(Pipeline_tbl[[#This Row],[Rep_ID]],Dim_Reps!A:A,Dim_Reps!K:K)</f>
        <v>MXN</v>
      </c>
      <c r="N4426" s="33">
        <f>(_xlfn.XLOOKUP(Pipeline_tbl[[#This Row],[Rate_Code_Generalized]],Lookups!A:A,Lookups!B:B))*Pipeline_tbl[[#This Row],[Pipeline_Amount_USD]]</f>
        <v>82877.340000000011</v>
      </c>
      <c r="O4426" t="str">
        <f>_xlfn.XLOOKUP(Pipeline_tbl[[#This Row],[Rep_ID]],Dim_Reps!A:A,Dim_Reps!B:B)</f>
        <v>Jonas Sato</v>
      </c>
      <c r="P4426" t="str">
        <f>_xlfn.XLOOKUP(Pipeline_tbl[[#This Row],[Rep_ID]],Dim_Reps!A:A,Dim_Reps!C:C)</f>
        <v>Mid-Market AE</v>
      </c>
      <c r="Q4426" t="str">
        <f>_xlfn.XLOOKUP(Pipeline_tbl[[#This Row],[Rep_ID]],Dim_Reps!A:A,Dim_Reps!D:D)</f>
        <v>Mid-Market</v>
      </c>
      <c r="R4426" t="str">
        <f>_xlfn.XLOOKUP(Pipeline_tbl[[#This Row],[Rep_ID]],Dim_Reps!A:A,Dim_Reps!E:E)</f>
        <v>LATAM</v>
      </c>
      <c r="S4426" t="str">
        <f>_xlfn.XLOOKUP(Pipeline_tbl[[#This Row],[Created_Date]],Dim_Date!A:A,Dim_Date!H:H)</f>
        <v>Jan 2024</v>
      </c>
      <c r="T4426" t="str">
        <f>IF(Pipeline_tbl[[#This Row],[Closed_Date]]=0,"",(_xlfn.XLOOKUP(Pipeline_tbl[[#This Row],[Closed_Date]],Dim_Date!A:A,Dim_Date!H:H)))</f>
        <v>Feb 2024</v>
      </c>
      <c r="U4426">
        <f>IF(Pipeline_tbl[[#This Row],[Closed_Date]]=0,"",Pipeline_tbl[[#This Row],[Closed_Date]]-Pipeline_tbl[[#This Row],[Created_Date]])</f>
        <v>36</v>
      </c>
    </row>
    <row r="4427" spans="1:21" ht="15" customHeight="1" x14ac:dyDescent="0.2">
      <c r="A4427" t="s">
        <v>4733</v>
      </c>
      <c r="B4427" t="s">
        <v>243</v>
      </c>
      <c r="C4427" t="s">
        <v>54</v>
      </c>
      <c r="D4427" s="49">
        <v>45306</v>
      </c>
      <c r="E4427" s="49">
        <v>45309</v>
      </c>
      <c r="F4427" s="49">
        <v>45316</v>
      </c>
      <c r="G4427" s="49">
        <v>45326</v>
      </c>
      <c r="H4427" s="49">
        <v>45335</v>
      </c>
      <c r="I4427" s="49">
        <v>45340</v>
      </c>
      <c r="J4427" t="s">
        <v>49</v>
      </c>
      <c r="K4427" s="33">
        <v>17300</v>
      </c>
      <c r="L4427" t="s">
        <v>62</v>
      </c>
      <c r="M4427" t="str">
        <f>_xlfn.XLOOKUP(Pipeline_tbl[[#This Row],[Rep_ID]],Dim_Reps!A:A,Dim_Reps!K:K)</f>
        <v>MXN</v>
      </c>
      <c r="N4427" s="33">
        <f>(_xlfn.XLOOKUP(Pipeline_tbl[[#This Row],[Rate_Code_Generalized]],Lookups!A:A,Lookups!B:B))*Pipeline_tbl[[#This Row],[Pipeline_Amount_USD]]</f>
        <v>341375.71</v>
      </c>
      <c r="O4427" t="str">
        <f>_xlfn.XLOOKUP(Pipeline_tbl[[#This Row],[Rep_ID]],Dim_Reps!A:A,Dim_Reps!B:B)</f>
        <v>Jonas Sato</v>
      </c>
      <c r="P4427" t="str">
        <f>_xlfn.XLOOKUP(Pipeline_tbl[[#This Row],[Rep_ID]],Dim_Reps!A:A,Dim_Reps!C:C)</f>
        <v>Mid-Market AE</v>
      </c>
      <c r="Q4427" t="str">
        <f>_xlfn.XLOOKUP(Pipeline_tbl[[#This Row],[Rep_ID]],Dim_Reps!A:A,Dim_Reps!D:D)</f>
        <v>Mid-Market</v>
      </c>
      <c r="R4427" t="str">
        <f>_xlfn.XLOOKUP(Pipeline_tbl[[#This Row],[Rep_ID]],Dim_Reps!A:A,Dim_Reps!E:E)</f>
        <v>LATAM</v>
      </c>
      <c r="S4427" t="str">
        <f>_xlfn.XLOOKUP(Pipeline_tbl[[#This Row],[Created_Date]],Dim_Date!A:A,Dim_Date!H:H)</f>
        <v>Jan 2024</v>
      </c>
      <c r="T4427" t="str">
        <f>IF(Pipeline_tbl[[#This Row],[Closed_Date]]=0,"",(_xlfn.XLOOKUP(Pipeline_tbl[[#This Row],[Closed_Date]],Dim_Date!A:A,Dim_Date!H:H)))</f>
        <v>Feb 2024</v>
      </c>
      <c r="U4427">
        <f>IF(Pipeline_tbl[[#This Row],[Closed_Date]]=0,"",Pipeline_tbl[[#This Row],[Closed_Date]]-Pipeline_tbl[[#This Row],[Created_Date]])</f>
        <v>34</v>
      </c>
    </row>
    <row r="4428" spans="1:21" ht="15" customHeight="1" x14ac:dyDescent="0.2">
      <c r="A4428" t="s">
        <v>4734</v>
      </c>
      <c r="B4428" t="s">
        <v>199</v>
      </c>
      <c r="C4428" t="s">
        <v>52</v>
      </c>
      <c r="D4428" s="49">
        <v>45311</v>
      </c>
      <c r="E4428" s="49">
        <v>45313</v>
      </c>
      <c r="F4428" s="49">
        <v>45316</v>
      </c>
      <c r="G4428" s="49">
        <v>45321</v>
      </c>
      <c r="H4428" s="49">
        <v>45325</v>
      </c>
      <c r="I4428" s="49">
        <v>45327</v>
      </c>
      <c r="J4428" t="s">
        <v>47</v>
      </c>
      <c r="K4428" s="33">
        <v>2500</v>
      </c>
      <c r="M4428" t="str">
        <f>_xlfn.XLOOKUP(Pipeline_tbl[[#This Row],[Rep_ID]],Dim_Reps!A:A,Dim_Reps!K:K)</f>
        <v>EUR</v>
      </c>
      <c r="N4428" s="33">
        <f>(_xlfn.XLOOKUP(Pipeline_tbl[[#This Row],[Rate_Code_Generalized]],Lookups!A:A,Lookups!B:B))*Pipeline_tbl[[#This Row],[Pipeline_Amount_USD]]</f>
        <v>2500</v>
      </c>
      <c r="O4428" t="str">
        <f>_xlfn.XLOOKUP(Pipeline_tbl[[#This Row],[Rep_ID]],Dim_Reps!A:A,Dim_Reps!B:B)</f>
        <v>Lucas Okafor</v>
      </c>
      <c r="P4428" t="str">
        <f>_xlfn.XLOOKUP(Pipeline_tbl[[#This Row],[Rep_ID]],Dim_Reps!A:A,Dim_Reps!C:C)</f>
        <v>SDR / Inside Sales Rep</v>
      </c>
      <c r="Q4428" t="str">
        <f>_xlfn.XLOOKUP(Pipeline_tbl[[#This Row],[Rep_ID]],Dim_Reps!A:A,Dim_Reps!D:D)</f>
        <v>Inside Sales</v>
      </c>
      <c r="R4428" t="str">
        <f>_xlfn.XLOOKUP(Pipeline_tbl[[#This Row],[Rep_ID]],Dim_Reps!A:A,Dim_Reps!E:E)</f>
        <v>APAC</v>
      </c>
      <c r="S4428" t="str">
        <f>_xlfn.XLOOKUP(Pipeline_tbl[[#This Row],[Created_Date]],Dim_Date!A:A,Dim_Date!H:H)</f>
        <v>Jan 2024</v>
      </c>
      <c r="T4428" t="str">
        <f>IF(Pipeline_tbl[[#This Row],[Closed_Date]]=0,"",(_xlfn.XLOOKUP(Pipeline_tbl[[#This Row],[Closed_Date]],Dim_Date!A:A,Dim_Date!H:H)))</f>
        <v>Feb 2024</v>
      </c>
      <c r="U4428">
        <f>IF(Pipeline_tbl[[#This Row],[Closed_Date]]=0,"",Pipeline_tbl[[#This Row],[Closed_Date]]-Pipeline_tbl[[#This Row],[Created_Date]])</f>
        <v>16</v>
      </c>
    </row>
    <row r="4429" spans="1:21" ht="15" customHeight="1" x14ac:dyDescent="0.2">
      <c r="A4429" t="s">
        <v>4735</v>
      </c>
      <c r="B4429" t="s">
        <v>199</v>
      </c>
      <c r="C4429" t="s">
        <v>52</v>
      </c>
      <c r="D4429" s="49">
        <v>45317</v>
      </c>
      <c r="E4429" s="49">
        <v>45319</v>
      </c>
      <c r="F4429" s="49">
        <v>45322</v>
      </c>
      <c r="G4429" s="49">
        <v>45327</v>
      </c>
      <c r="H4429" s="49">
        <v>45331</v>
      </c>
      <c r="I4429" s="49">
        <v>45333</v>
      </c>
      <c r="J4429" t="s">
        <v>47</v>
      </c>
      <c r="K4429" s="33">
        <v>3500</v>
      </c>
      <c r="M4429" t="str">
        <f>_xlfn.XLOOKUP(Pipeline_tbl[[#This Row],[Rep_ID]],Dim_Reps!A:A,Dim_Reps!K:K)</f>
        <v>EUR</v>
      </c>
      <c r="N4429" s="33">
        <f>(_xlfn.XLOOKUP(Pipeline_tbl[[#This Row],[Rate_Code_Generalized]],Lookups!A:A,Lookups!B:B))*Pipeline_tbl[[#This Row],[Pipeline_Amount_USD]]</f>
        <v>3500</v>
      </c>
      <c r="O4429" t="str">
        <f>_xlfn.XLOOKUP(Pipeline_tbl[[#This Row],[Rep_ID]],Dim_Reps!A:A,Dim_Reps!B:B)</f>
        <v>Lucas Okafor</v>
      </c>
      <c r="P4429" t="str">
        <f>_xlfn.XLOOKUP(Pipeline_tbl[[#This Row],[Rep_ID]],Dim_Reps!A:A,Dim_Reps!C:C)</f>
        <v>SDR / Inside Sales Rep</v>
      </c>
      <c r="Q4429" t="str">
        <f>_xlfn.XLOOKUP(Pipeline_tbl[[#This Row],[Rep_ID]],Dim_Reps!A:A,Dim_Reps!D:D)</f>
        <v>Inside Sales</v>
      </c>
      <c r="R4429" t="str">
        <f>_xlfn.XLOOKUP(Pipeline_tbl[[#This Row],[Rep_ID]],Dim_Reps!A:A,Dim_Reps!E:E)</f>
        <v>APAC</v>
      </c>
      <c r="S4429" t="str">
        <f>_xlfn.XLOOKUP(Pipeline_tbl[[#This Row],[Created_Date]],Dim_Date!A:A,Dim_Date!H:H)</f>
        <v>Jan 2024</v>
      </c>
      <c r="T4429" t="str">
        <f>IF(Pipeline_tbl[[#This Row],[Closed_Date]]=0,"",(_xlfn.XLOOKUP(Pipeline_tbl[[#This Row],[Closed_Date]],Dim_Date!A:A,Dim_Date!H:H)))</f>
        <v>Feb 2024</v>
      </c>
      <c r="U4429">
        <f>IF(Pipeline_tbl[[#This Row],[Closed_Date]]=0,"",Pipeline_tbl[[#This Row],[Closed_Date]]-Pipeline_tbl[[#This Row],[Created_Date]])</f>
        <v>16</v>
      </c>
    </row>
    <row r="4430" spans="1:21" ht="15" customHeight="1" x14ac:dyDescent="0.2">
      <c r="A4430" t="s">
        <v>4736</v>
      </c>
      <c r="B4430" t="s">
        <v>199</v>
      </c>
      <c r="C4430" t="s">
        <v>52</v>
      </c>
      <c r="D4430" s="49">
        <v>45317</v>
      </c>
      <c r="E4430" s="49">
        <v>45318</v>
      </c>
      <c r="F4430" s="49">
        <v>45320</v>
      </c>
      <c r="G4430" s="49">
        <v>45323</v>
      </c>
      <c r="H4430" s="49">
        <v>45325</v>
      </c>
      <c r="I4430" s="49">
        <v>45327</v>
      </c>
      <c r="J4430" t="s">
        <v>49</v>
      </c>
      <c r="K4430" s="33">
        <v>2100</v>
      </c>
      <c r="L4430" t="s">
        <v>61</v>
      </c>
      <c r="M4430" t="str">
        <f>_xlfn.XLOOKUP(Pipeline_tbl[[#This Row],[Rep_ID]],Dim_Reps!A:A,Dim_Reps!K:K)</f>
        <v>EUR</v>
      </c>
      <c r="N4430" s="33">
        <f>(_xlfn.XLOOKUP(Pipeline_tbl[[#This Row],[Rate_Code_Generalized]],Lookups!A:A,Lookups!B:B))*Pipeline_tbl[[#This Row],[Pipeline_Amount_USD]]</f>
        <v>2100</v>
      </c>
      <c r="O4430" t="str">
        <f>_xlfn.XLOOKUP(Pipeline_tbl[[#This Row],[Rep_ID]],Dim_Reps!A:A,Dim_Reps!B:B)</f>
        <v>Lucas Okafor</v>
      </c>
      <c r="P4430" t="str">
        <f>_xlfn.XLOOKUP(Pipeline_tbl[[#This Row],[Rep_ID]],Dim_Reps!A:A,Dim_Reps!C:C)</f>
        <v>SDR / Inside Sales Rep</v>
      </c>
      <c r="Q4430" t="str">
        <f>_xlfn.XLOOKUP(Pipeline_tbl[[#This Row],[Rep_ID]],Dim_Reps!A:A,Dim_Reps!D:D)</f>
        <v>Inside Sales</v>
      </c>
      <c r="R4430" t="str">
        <f>_xlfn.XLOOKUP(Pipeline_tbl[[#This Row],[Rep_ID]],Dim_Reps!A:A,Dim_Reps!E:E)</f>
        <v>APAC</v>
      </c>
      <c r="S4430" t="str">
        <f>_xlfn.XLOOKUP(Pipeline_tbl[[#This Row],[Created_Date]],Dim_Date!A:A,Dim_Date!H:H)</f>
        <v>Jan 2024</v>
      </c>
      <c r="T4430" t="str">
        <f>IF(Pipeline_tbl[[#This Row],[Closed_Date]]=0,"",(_xlfn.XLOOKUP(Pipeline_tbl[[#This Row],[Closed_Date]],Dim_Date!A:A,Dim_Date!H:H)))</f>
        <v>Feb 2024</v>
      </c>
      <c r="U4430">
        <f>IF(Pipeline_tbl[[#This Row],[Closed_Date]]=0,"",Pipeline_tbl[[#This Row],[Closed_Date]]-Pipeline_tbl[[#This Row],[Created_Date]])</f>
        <v>10</v>
      </c>
    </row>
    <row r="4431" spans="1:21" ht="15" customHeight="1" x14ac:dyDescent="0.2">
      <c r="A4431" t="s">
        <v>4737</v>
      </c>
      <c r="B4431" t="s">
        <v>183</v>
      </c>
      <c r="C4431" t="s">
        <v>54</v>
      </c>
      <c r="D4431" s="49">
        <v>45300</v>
      </c>
      <c r="E4431" s="49">
        <v>45304</v>
      </c>
      <c r="F4431" s="49">
        <v>45314</v>
      </c>
      <c r="G4431" s="49">
        <v>45327</v>
      </c>
      <c r="I4431" s="49">
        <v>45345</v>
      </c>
      <c r="J4431" t="s">
        <v>49</v>
      </c>
      <c r="K4431" s="33">
        <v>29700</v>
      </c>
      <c r="L4431" t="s">
        <v>61</v>
      </c>
      <c r="M4431" t="str">
        <f>_xlfn.XLOOKUP(Pipeline_tbl[[#This Row],[Rep_ID]],Dim_Reps!A:A,Dim_Reps!K:K)</f>
        <v>EUR</v>
      </c>
      <c r="N4431" s="33">
        <f>(_xlfn.XLOOKUP(Pipeline_tbl[[#This Row],[Rate_Code_Generalized]],Lookups!A:A,Lookups!B:B))*Pipeline_tbl[[#This Row],[Pipeline_Amount_USD]]</f>
        <v>29700</v>
      </c>
      <c r="O4431" t="str">
        <f>_xlfn.XLOOKUP(Pipeline_tbl[[#This Row],[Rep_ID]],Dim_Reps!A:A,Dim_Reps!B:B)</f>
        <v>Sam Schmidt</v>
      </c>
      <c r="P4431" t="str">
        <f>_xlfn.XLOOKUP(Pipeline_tbl[[#This Row],[Rep_ID]],Dim_Reps!A:A,Dim_Reps!C:C)</f>
        <v>Enterprise AE</v>
      </c>
      <c r="Q4431" t="str">
        <f>_xlfn.XLOOKUP(Pipeline_tbl[[#This Row],[Rep_ID]],Dim_Reps!A:A,Dim_Reps!D:D)</f>
        <v>Enterprise</v>
      </c>
      <c r="R4431" t="str">
        <f>_xlfn.XLOOKUP(Pipeline_tbl[[#This Row],[Rep_ID]],Dim_Reps!A:A,Dim_Reps!E:E)</f>
        <v>EMEA</v>
      </c>
      <c r="S4431" t="str">
        <f>_xlfn.XLOOKUP(Pipeline_tbl[[#This Row],[Created_Date]],Dim_Date!A:A,Dim_Date!H:H)</f>
        <v>Jan 2024</v>
      </c>
      <c r="T4431" t="str">
        <f>IF(Pipeline_tbl[[#This Row],[Closed_Date]]=0,"",(_xlfn.XLOOKUP(Pipeline_tbl[[#This Row],[Closed_Date]],Dim_Date!A:A,Dim_Date!H:H)))</f>
        <v>Feb 2024</v>
      </c>
      <c r="U4431">
        <f>IF(Pipeline_tbl[[#This Row],[Closed_Date]]=0,"",Pipeline_tbl[[#This Row],[Closed_Date]]-Pipeline_tbl[[#This Row],[Created_Date]])</f>
        <v>45</v>
      </c>
    </row>
    <row r="4432" spans="1:21" ht="15" customHeight="1" x14ac:dyDescent="0.2">
      <c r="A4432" t="s">
        <v>4738</v>
      </c>
      <c r="B4432" t="s">
        <v>205</v>
      </c>
      <c r="C4432" t="s">
        <v>53</v>
      </c>
      <c r="D4432" s="49">
        <v>45313</v>
      </c>
      <c r="E4432" s="49">
        <v>45315</v>
      </c>
      <c r="F4432" s="49">
        <v>45320</v>
      </c>
      <c r="G4432" s="49">
        <v>45326</v>
      </c>
      <c r="I4432" s="49">
        <v>45335</v>
      </c>
      <c r="J4432" t="s">
        <v>49</v>
      </c>
      <c r="K4432" s="33">
        <v>2200</v>
      </c>
      <c r="L4432" t="s">
        <v>62</v>
      </c>
      <c r="M4432" t="str">
        <f>_xlfn.XLOOKUP(Pipeline_tbl[[#This Row],[Rep_ID]],Dim_Reps!A:A,Dim_Reps!K:K)</f>
        <v>EUR</v>
      </c>
      <c r="N4432" s="33">
        <f>(_xlfn.XLOOKUP(Pipeline_tbl[[#This Row],[Rate_Code_Generalized]],Lookups!A:A,Lookups!B:B))*Pipeline_tbl[[#This Row],[Pipeline_Amount_USD]]</f>
        <v>2200</v>
      </c>
      <c r="O4432" t="str">
        <f>_xlfn.XLOOKUP(Pipeline_tbl[[#This Row],[Rep_ID]],Dim_Reps!A:A,Dim_Reps!B:B)</f>
        <v>Karim Alvarez</v>
      </c>
      <c r="P4432" t="str">
        <f>_xlfn.XLOOKUP(Pipeline_tbl[[#This Row],[Rep_ID]],Dim_Reps!A:A,Dim_Reps!C:C)</f>
        <v>SDR / Inside Sales Rep</v>
      </c>
      <c r="Q4432" t="str">
        <f>_xlfn.XLOOKUP(Pipeline_tbl[[#This Row],[Rep_ID]],Dim_Reps!A:A,Dim_Reps!D:D)</f>
        <v>Inside Sales</v>
      </c>
      <c r="R4432" t="str">
        <f>_xlfn.XLOOKUP(Pipeline_tbl[[#This Row],[Rep_ID]],Dim_Reps!A:A,Dim_Reps!E:E)</f>
        <v>EMEA</v>
      </c>
      <c r="S4432" t="str">
        <f>_xlfn.XLOOKUP(Pipeline_tbl[[#This Row],[Created_Date]],Dim_Date!A:A,Dim_Date!H:H)</f>
        <v>Jan 2024</v>
      </c>
      <c r="T4432" t="str">
        <f>IF(Pipeline_tbl[[#This Row],[Closed_Date]]=0,"",(_xlfn.XLOOKUP(Pipeline_tbl[[#This Row],[Closed_Date]],Dim_Date!A:A,Dim_Date!H:H)))</f>
        <v>Feb 2024</v>
      </c>
      <c r="U4432">
        <f>IF(Pipeline_tbl[[#This Row],[Closed_Date]]=0,"",Pipeline_tbl[[#This Row],[Closed_Date]]-Pipeline_tbl[[#This Row],[Created_Date]])</f>
        <v>22</v>
      </c>
    </row>
    <row r="4433" spans="1:21" ht="15" customHeight="1" x14ac:dyDescent="0.2">
      <c r="A4433" t="s">
        <v>4739</v>
      </c>
      <c r="B4433" t="s">
        <v>205</v>
      </c>
      <c r="C4433" t="s">
        <v>52</v>
      </c>
      <c r="D4433" s="49">
        <v>45319</v>
      </c>
      <c r="E4433" s="49">
        <v>45321</v>
      </c>
      <c r="F4433" s="49">
        <v>45324</v>
      </c>
      <c r="G4433" s="49">
        <v>45328</v>
      </c>
      <c r="I4433" s="49">
        <v>45334</v>
      </c>
      <c r="J4433" t="s">
        <v>49</v>
      </c>
      <c r="K4433" s="33">
        <v>10800</v>
      </c>
      <c r="L4433" t="s">
        <v>62</v>
      </c>
      <c r="M4433" t="str">
        <f>_xlfn.XLOOKUP(Pipeline_tbl[[#This Row],[Rep_ID]],Dim_Reps!A:A,Dim_Reps!K:K)</f>
        <v>EUR</v>
      </c>
      <c r="N4433" s="33">
        <f>(_xlfn.XLOOKUP(Pipeline_tbl[[#This Row],[Rate_Code_Generalized]],Lookups!A:A,Lookups!B:B))*Pipeline_tbl[[#This Row],[Pipeline_Amount_USD]]</f>
        <v>10800</v>
      </c>
      <c r="O4433" t="str">
        <f>_xlfn.XLOOKUP(Pipeline_tbl[[#This Row],[Rep_ID]],Dim_Reps!A:A,Dim_Reps!B:B)</f>
        <v>Karim Alvarez</v>
      </c>
      <c r="P4433" t="str">
        <f>_xlfn.XLOOKUP(Pipeline_tbl[[#This Row],[Rep_ID]],Dim_Reps!A:A,Dim_Reps!C:C)</f>
        <v>SDR / Inside Sales Rep</v>
      </c>
      <c r="Q4433" t="str">
        <f>_xlfn.XLOOKUP(Pipeline_tbl[[#This Row],[Rep_ID]],Dim_Reps!A:A,Dim_Reps!D:D)</f>
        <v>Inside Sales</v>
      </c>
      <c r="R4433" t="str">
        <f>_xlfn.XLOOKUP(Pipeline_tbl[[#This Row],[Rep_ID]],Dim_Reps!A:A,Dim_Reps!E:E)</f>
        <v>EMEA</v>
      </c>
      <c r="S4433" t="str">
        <f>_xlfn.XLOOKUP(Pipeline_tbl[[#This Row],[Created_Date]],Dim_Date!A:A,Dim_Date!H:H)</f>
        <v>Jan 2024</v>
      </c>
      <c r="T4433" t="str">
        <f>IF(Pipeline_tbl[[#This Row],[Closed_Date]]=0,"",(_xlfn.XLOOKUP(Pipeline_tbl[[#This Row],[Closed_Date]],Dim_Date!A:A,Dim_Date!H:H)))</f>
        <v>Feb 2024</v>
      </c>
      <c r="U4433">
        <f>IF(Pipeline_tbl[[#This Row],[Closed_Date]]=0,"",Pipeline_tbl[[#This Row],[Closed_Date]]-Pipeline_tbl[[#This Row],[Created_Date]])</f>
        <v>15</v>
      </c>
    </row>
    <row r="4434" spans="1:21" ht="15" customHeight="1" x14ac:dyDescent="0.2">
      <c r="A4434" t="s">
        <v>4740</v>
      </c>
      <c r="B4434" t="s">
        <v>211</v>
      </c>
      <c r="C4434" t="s">
        <v>53</v>
      </c>
      <c r="D4434" s="49">
        <v>45319</v>
      </c>
      <c r="E4434" s="49">
        <v>45321</v>
      </c>
      <c r="F4434" s="49">
        <v>45324</v>
      </c>
      <c r="G4434" s="49">
        <v>45330</v>
      </c>
      <c r="H4434" s="49">
        <v>45334</v>
      </c>
      <c r="I4434" s="49">
        <v>45337</v>
      </c>
      <c r="J4434" t="s">
        <v>49</v>
      </c>
      <c r="K4434" s="33">
        <v>5300</v>
      </c>
      <c r="L4434" t="s">
        <v>62</v>
      </c>
      <c r="M4434" t="str">
        <f>_xlfn.XLOOKUP(Pipeline_tbl[[#This Row],[Rep_ID]],Dim_Reps!A:A,Dim_Reps!K:K)</f>
        <v>EUR</v>
      </c>
      <c r="N4434" s="33">
        <f>(_xlfn.XLOOKUP(Pipeline_tbl[[#This Row],[Rate_Code_Generalized]],Lookups!A:A,Lookups!B:B))*Pipeline_tbl[[#This Row],[Pipeline_Amount_USD]]</f>
        <v>5300</v>
      </c>
      <c r="O4434" t="str">
        <f>_xlfn.XLOOKUP(Pipeline_tbl[[#This Row],[Rep_ID]],Dim_Reps!A:A,Dim_Reps!B:B)</f>
        <v>Lea Weber</v>
      </c>
      <c r="P4434" t="str">
        <f>_xlfn.XLOOKUP(Pipeline_tbl[[#This Row],[Rep_ID]],Dim_Reps!A:A,Dim_Reps!C:C)</f>
        <v>SDR / Inside Sales Rep</v>
      </c>
      <c r="Q4434" t="str">
        <f>_xlfn.XLOOKUP(Pipeline_tbl[[#This Row],[Rep_ID]],Dim_Reps!A:A,Dim_Reps!D:D)</f>
        <v>Inside Sales</v>
      </c>
      <c r="R4434" t="str">
        <f>_xlfn.XLOOKUP(Pipeline_tbl[[#This Row],[Rep_ID]],Dim_Reps!A:A,Dim_Reps!E:E)</f>
        <v>EMEA</v>
      </c>
      <c r="S4434" t="str">
        <f>_xlfn.XLOOKUP(Pipeline_tbl[[#This Row],[Created_Date]],Dim_Date!A:A,Dim_Date!H:H)</f>
        <v>Jan 2024</v>
      </c>
      <c r="T4434" t="str">
        <f>IF(Pipeline_tbl[[#This Row],[Closed_Date]]=0,"",(_xlfn.XLOOKUP(Pipeline_tbl[[#This Row],[Closed_Date]],Dim_Date!A:A,Dim_Date!H:H)))</f>
        <v>Feb 2024</v>
      </c>
      <c r="U4434">
        <f>IF(Pipeline_tbl[[#This Row],[Closed_Date]]=0,"",Pipeline_tbl[[#This Row],[Closed_Date]]-Pipeline_tbl[[#This Row],[Created_Date]])</f>
        <v>18</v>
      </c>
    </row>
    <row r="4435" spans="1:21" ht="15" customHeight="1" x14ac:dyDescent="0.2">
      <c r="A4435" t="s">
        <v>4741</v>
      </c>
      <c r="B4435" t="s">
        <v>211</v>
      </c>
      <c r="C4435" t="s">
        <v>54</v>
      </c>
      <c r="D4435" s="49">
        <v>45313</v>
      </c>
      <c r="E4435" s="49">
        <v>45314</v>
      </c>
      <c r="F4435" s="49">
        <v>45317</v>
      </c>
      <c r="I4435" s="49">
        <v>45326</v>
      </c>
      <c r="J4435" t="s">
        <v>49</v>
      </c>
      <c r="K4435" s="33">
        <v>3200</v>
      </c>
      <c r="L4435" t="s">
        <v>61</v>
      </c>
      <c r="M4435" t="str">
        <f>_xlfn.XLOOKUP(Pipeline_tbl[[#This Row],[Rep_ID]],Dim_Reps!A:A,Dim_Reps!K:K)</f>
        <v>EUR</v>
      </c>
      <c r="N4435" s="33">
        <f>(_xlfn.XLOOKUP(Pipeline_tbl[[#This Row],[Rate_Code_Generalized]],Lookups!A:A,Lookups!B:B))*Pipeline_tbl[[#This Row],[Pipeline_Amount_USD]]</f>
        <v>3200</v>
      </c>
      <c r="O4435" t="str">
        <f>_xlfn.XLOOKUP(Pipeline_tbl[[#This Row],[Rep_ID]],Dim_Reps!A:A,Dim_Reps!B:B)</f>
        <v>Lea Weber</v>
      </c>
      <c r="P4435" t="str">
        <f>_xlfn.XLOOKUP(Pipeline_tbl[[#This Row],[Rep_ID]],Dim_Reps!A:A,Dim_Reps!C:C)</f>
        <v>SDR / Inside Sales Rep</v>
      </c>
      <c r="Q4435" t="str">
        <f>_xlfn.XLOOKUP(Pipeline_tbl[[#This Row],[Rep_ID]],Dim_Reps!A:A,Dim_Reps!D:D)</f>
        <v>Inside Sales</v>
      </c>
      <c r="R4435" t="str">
        <f>_xlfn.XLOOKUP(Pipeline_tbl[[#This Row],[Rep_ID]],Dim_Reps!A:A,Dim_Reps!E:E)</f>
        <v>EMEA</v>
      </c>
      <c r="S4435" t="str">
        <f>_xlfn.XLOOKUP(Pipeline_tbl[[#This Row],[Created_Date]],Dim_Date!A:A,Dim_Date!H:H)</f>
        <v>Jan 2024</v>
      </c>
      <c r="T4435" t="str">
        <f>IF(Pipeline_tbl[[#This Row],[Closed_Date]]=0,"",(_xlfn.XLOOKUP(Pipeline_tbl[[#This Row],[Closed_Date]],Dim_Date!A:A,Dim_Date!H:H)))</f>
        <v>Feb 2024</v>
      </c>
      <c r="U4435">
        <f>IF(Pipeline_tbl[[#This Row],[Closed_Date]]=0,"",Pipeline_tbl[[#This Row],[Closed_Date]]-Pipeline_tbl[[#This Row],[Created_Date]])</f>
        <v>13</v>
      </c>
    </row>
    <row r="4436" spans="1:21" ht="15" customHeight="1" x14ac:dyDescent="0.2">
      <c r="A4436" t="s">
        <v>4742</v>
      </c>
      <c r="B4436" t="s">
        <v>211</v>
      </c>
      <c r="C4436" t="s">
        <v>53</v>
      </c>
      <c r="D4436" s="49">
        <v>45322</v>
      </c>
      <c r="E4436" s="49">
        <v>45324</v>
      </c>
      <c r="F4436" s="49">
        <v>45329</v>
      </c>
      <c r="G4436" s="49">
        <v>45335</v>
      </c>
      <c r="H4436" s="49">
        <v>45341</v>
      </c>
      <c r="I4436" s="49">
        <v>45344</v>
      </c>
      <c r="J4436" t="s">
        <v>49</v>
      </c>
      <c r="K4436" s="33">
        <v>4900</v>
      </c>
      <c r="L4436" t="s">
        <v>64</v>
      </c>
      <c r="M4436" t="str">
        <f>_xlfn.XLOOKUP(Pipeline_tbl[[#This Row],[Rep_ID]],Dim_Reps!A:A,Dim_Reps!K:K)</f>
        <v>EUR</v>
      </c>
      <c r="N4436" s="33">
        <f>(_xlfn.XLOOKUP(Pipeline_tbl[[#This Row],[Rate_Code_Generalized]],Lookups!A:A,Lookups!B:B))*Pipeline_tbl[[#This Row],[Pipeline_Amount_USD]]</f>
        <v>4900</v>
      </c>
      <c r="O4436" t="str">
        <f>_xlfn.XLOOKUP(Pipeline_tbl[[#This Row],[Rep_ID]],Dim_Reps!A:A,Dim_Reps!B:B)</f>
        <v>Lea Weber</v>
      </c>
      <c r="P4436" t="str">
        <f>_xlfn.XLOOKUP(Pipeline_tbl[[#This Row],[Rep_ID]],Dim_Reps!A:A,Dim_Reps!C:C)</f>
        <v>SDR / Inside Sales Rep</v>
      </c>
      <c r="Q4436" t="str">
        <f>_xlfn.XLOOKUP(Pipeline_tbl[[#This Row],[Rep_ID]],Dim_Reps!A:A,Dim_Reps!D:D)</f>
        <v>Inside Sales</v>
      </c>
      <c r="R4436" t="str">
        <f>_xlfn.XLOOKUP(Pipeline_tbl[[#This Row],[Rep_ID]],Dim_Reps!A:A,Dim_Reps!E:E)</f>
        <v>EMEA</v>
      </c>
      <c r="S4436" t="str">
        <f>_xlfn.XLOOKUP(Pipeline_tbl[[#This Row],[Created_Date]],Dim_Date!A:A,Dim_Date!H:H)</f>
        <v>Jan 2024</v>
      </c>
      <c r="T4436" t="str">
        <f>IF(Pipeline_tbl[[#This Row],[Closed_Date]]=0,"",(_xlfn.XLOOKUP(Pipeline_tbl[[#This Row],[Closed_Date]],Dim_Date!A:A,Dim_Date!H:H)))</f>
        <v>Feb 2024</v>
      </c>
      <c r="U4436">
        <f>IF(Pipeline_tbl[[#This Row],[Closed_Date]]=0,"",Pipeline_tbl[[#This Row],[Closed_Date]]-Pipeline_tbl[[#This Row],[Created_Date]])</f>
        <v>22</v>
      </c>
    </row>
    <row r="4437" spans="1:21" ht="15" customHeight="1" x14ac:dyDescent="0.2">
      <c r="A4437" t="s">
        <v>4743</v>
      </c>
      <c r="B4437" t="s">
        <v>211</v>
      </c>
      <c r="C4437" t="s">
        <v>53</v>
      </c>
      <c r="D4437" s="49">
        <v>45321</v>
      </c>
      <c r="E4437" s="49">
        <v>45322</v>
      </c>
      <c r="F4437" s="49">
        <v>45324</v>
      </c>
      <c r="G4437" s="49">
        <v>45327</v>
      </c>
      <c r="H4437" s="49">
        <v>45329</v>
      </c>
      <c r="I4437" s="49">
        <v>45331</v>
      </c>
      <c r="J4437" t="s">
        <v>49</v>
      </c>
      <c r="K4437" s="33">
        <v>3900</v>
      </c>
      <c r="L4437" t="s">
        <v>63</v>
      </c>
      <c r="M4437" t="str">
        <f>_xlfn.XLOOKUP(Pipeline_tbl[[#This Row],[Rep_ID]],Dim_Reps!A:A,Dim_Reps!K:K)</f>
        <v>EUR</v>
      </c>
      <c r="N4437" s="33">
        <f>(_xlfn.XLOOKUP(Pipeline_tbl[[#This Row],[Rate_Code_Generalized]],Lookups!A:A,Lookups!B:B))*Pipeline_tbl[[#This Row],[Pipeline_Amount_USD]]</f>
        <v>3900</v>
      </c>
      <c r="O4437" t="str">
        <f>_xlfn.XLOOKUP(Pipeline_tbl[[#This Row],[Rep_ID]],Dim_Reps!A:A,Dim_Reps!B:B)</f>
        <v>Lea Weber</v>
      </c>
      <c r="P4437" t="str">
        <f>_xlfn.XLOOKUP(Pipeline_tbl[[#This Row],[Rep_ID]],Dim_Reps!A:A,Dim_Reps!C:C)</f>
        <v>SDR / Inside Sales Rep</v>
      </c>
      <c r="Q4437" t="str">
        <f>_xlfn.XLOOKUP(Pipeline_tbl[[#This Row],[Rep_ID]],Dim_Reps!A:A,Dim_Reps!D:D)</f>
        <v>Inside Sales</v>
      </c>
      <c r="R4437" t="str">
        <f>_xlfn.XLOOKUP(Pipeline_tbl[[#This Row],[Rep_ID]],Dim_Reps!A:A,Dim_Reps!E:E)</f>
        <v>EMEA</v>
      </c>
      <c r="S4437" t="str">
        <f>_xlfn.XLOOKUP(Pipeline_tbl[[#This Row],[Created_Date]],Dim_Date!A:A,Dim_Date!H:H)</f>
        <v>Jan 2024</v>
      </c>
      <c r="T4437" t="str">
        <f>IF(Pipeline_tbl[[#This Row],[Closed_Date]]=0,"",(_xlfn.XLOOKUP(Pipeline_tbl[[#This Row],[Closed_Date]],Dim_Date!A:A,Dim_Date!H:H)))</f>
        <v>Feb 2024</v>
      </c>
      <c r="U4437">
        <f>IF(Pipeline_tbl[[#This Row],[Closed_Date]]=0,"",Pipeline_tbl[[#This Row],[Closed_Date]]-Pipeline_tbl[[#This Row],[Created_Date]])</f>
        <v>10</v>
      </c>
    </row>
    <row r="4438" spans="1:21" ht="15" customHeight="1" x14ac:dyDescent="0.2">
      <c r="A4438" t="s">
        <v>4744</v>
      </c>
      <c r="B4438" t="s">
        <v>211</v>
      </c>
      <c r="C4438" t="s">
        <v>52</v>
      </c>
      <c r="D4438" s="49">
        <v>45311</v>
      </c>
      <c r="E4438" s="49">
        <v>45313</v>
      </c>
      <c r="F4438" s="49">
        <v>45318</v>
      </c>
      <c r="G4438" s="49">
        <v>45325</v>
      </c>
      <c r="H4438" s="49">
        <v>45331</v>
      </c>
      <c r="I4438" s="49">
        <v>45334</v>
      </c>
      <c r="J4438" t="s">
        <v>47</v>
      </c>
      <c r="K4438" s="33">
        <v>1700</v>
      </c>
      <c r="M4438" t="str">
        <f>_xlfn.XLOOKUP(Pipeline_tbl[[#This Row],[Rep_ID]],Dim_Reps!A:A,Dim_Reps!K:K)</f>
        <v>EUR</v>
      </c>
      <c r="N4438" s="33">
        <f>(_xlfn.XLOOKUP(Pipeline_tbl[[#This Row],[Rate_Code_Generalized]],Lookups!A:A,Lookups!B:B))*Pipeline_tbl[[#This Row],[Pipeline_Amount_USD]]</f>
        <v>1700</v>
      </c>
      <c r="O4438" t="str">
        <f>_xlfn.XLOOKUP(Pipeline_tbl[[#This Row],[Rep_ID]],Dim_Reps!A:A,Dim_Reps!B:B)</f>
        <v>Lea Weber</v>
      </c>
      <c r="P4438" t="str">
        <f>_xlfn.XLOOKUP(Pipeline_tbl[[#This Row],[Rep_ID]],Dim_Reps!A:A,Dim_Reps!C:C)</f>
        <v>SDR / Inside Sales Rep</v>
      </c>
      <c r="Q4438" t="str">
        <f>_xlfn.XLOOKUP(Pipeline_tbl[[#This Row],[Rep_ID]],Dim_Reps!A:A,Dim_Reps!D:D)</f>
        <v>Inside Sales</v>
      </c>
      <c r="R4438" t="str">
        <f>_xlfn.XLOOKUP(Pipeline_tbl[[#This Row],[Rep_ID]],Dim_Reps!A:A,Dim_Reps!E:E)</f>
        <v>EMEA</v>
      </c>
      <c r="S4438" t="str">
        <f>_xlfn.XLOOKUP(Pipeline_tbl[[#This Row],[Created_Date]],Dim_Date!A:A,Dim_Date!H:H)</f>
        <v>Jan 2024</v>
      </c>
      <c r="T4438" t="str">
        <f>IF(Pipeline_tbl[[#This Row],[Closed_Date]]=0,"",(_xlfn.XLOOKUP(Pipeline_tbl[[#This Row],[Closed_Date]],Dim_Date!A:A,Dim_Date!H:H)))</f>
        <v>Feb 2024</v>
      </c>
      <c r="U4438">
        <f>IF(Pipeline_tbl[[#This Row],[Closed_Date]]=0,"",Pipeline_tbl[[#This Row],[Closed_Date]]-Pipeline_tbl[[#This Row],[Created_Date]])</f>
        <v>23</v>
      </c>
    </row>
    <row r="4439" spans="1:21" ht="15" customHeight="1" x14ac:dyDescent="0.2">
      <c r="A4439" t="s">
        <v>4745</v>
      </c>
      <c r="B4439" t="s">
        <v>211</v>
      </c>
      <c r="C4439" t="s">
        <v>52</v>
      </c>
      <c r="D4439" s="49">
        <v>45319</v>
      </c>
      <c r="E4439" s="49">
        <v>45320</v>
      </c>
      <c r="I4439" s="49">
        <v>45331</v>
      </c>
      <c r="J4439" t="s">
        <v>49</v>
      </c>
      <c r="K4439" s="33">
        <v>2400</v>
      </c>
      <c r="L4439" t="s">
        <v>61</v>
      </c>
      <c r="M4439" t="str">
        <f>_xlfn.XLOOKUP(Pipeline_tbl[[#This Row],[Rep_ID]],Dim_Reps!A:A,Dim_Reps!K:K)</f>
        <v>EUR</v>
      </c>
      <c r="N4439" s="33">
        <f>(_xlfn.XLOOKUP(Pipeline_tbl[[#This Row],[Rate_Code_Generalized]],Lookups!A:A,Lookups!B:B))*Pipeline_tbl[[#This Row],[Pipeline_Amount_USD]]</f>
        <v>2400</v>
      </c>
      <c r="O4439" t="str">
        <f>_xlfn.XLOOKUP(Pipeline_tbl[[#This Row],[Rep_ID]],Dim_Reps!A:A,Dim_Reps!B:B)</f>
        <v>Lea Weber</v>
      </c>
      <c r="P4439" t="str">
        <f>_xlfn.XLOOKUP(Pipeline_tbl[[#This Row],[Rep_ID]],Dim_Reps!A:A,Dim_Reps!C:C)</f>
        <v>SDR / Inside Sales Rep</v>
      </c>
      <c r="Q4439" t="str">
        <f>_xlfn.XLOOKUP(Pipeline_tbl[[#This Row],[Rep_ID]],Dim_Reps!A:A,Dim_Reps!D:D)</f>
        <v>Inside Sales</v>
      </c>
      <c r="R4439" t="str">
        <f>_xlfn.XLOOKUP(Pipeline_tbl[[#This Row],[Rep_ID]],Dim_Reps!A:A,Dim_Reps!E:E)</f>
        <v>EMEA</v>
      </c>
      <c r="S4439" t="str">
        <f>_xlfn.XLOOKUP(Pipeline_tbl[[#This Row],[Created_Date]],Dim_Date!A:A,Dim_Date!H:H)</f>
        <v>Jan 2024</v>
      </c>
      <c r="T4439" t="str">
        <f>IF(Pipeline_tbl[[#This Row],[Closed_Date]]=0,"",(_xlfn.XLOOKUP(Pipeline_tbl[[#This Row],[Closed_Date]],Dim_Date!A:A,Dim_Date!H:H)))</f>
        <v>Feb 2024</v>
      </c>
      <c r="U4439">
        <f>IF(Pipeline_tbl[[#This Row],[Closed_Date]]=0,"",Pipeline_tbl[[#This Row],[Closed_Date]]-Pipeline_tbl[[#This Row],[Created_Date]])</f>
        <v>12</v>
      </c>
    </row>
    <row r="4440" spans="1:21" ht="15" customHeight="1" x14ac:dyDescent="0.2">
      <c r="A4440" t="s">
        <v>4746</v>
      </c>
      <c r="B4440" t="s">
        <v>215</v>
      </c>
      <c r="C4440" t="s">
        <v>52</v>
      </c>
      <c r="D4440" s="49">
        <v>45320</v>
      </c>
      <c r="E4440" s="49">
        <v>45322</v>
      </c>
      <c r="I4440" s="49">
        <v>45339</v>
      </c>
      <c r="J4440" t="s">
        <v>49</v>
      </c>
      <c r="K4440" s="33">
        <v>4100</v>
      </c>
      <c r="L4440" t="s">
        <v>62</v>
      </c>
      <c r="M4440" t="str">
        <f>_xlfn.XLOOKUP(Pipeline_tbl[[#This Row],[Rep_ID]],Dim_Reps!A:A,Dim_Reps!K:K)</f>
        <v>EUR</v>
      </c>
      <c r="N4440" s="33">
        <f>(_xlfn.XLOOKUP(Pipeline_tbl[[#This Row],[Rate_Code_Generalized]],Lookups!A:A,Lookups!B:B))*Pipeline_tbl[[#This Row],[Pipeline_Amount_USD]]</f>
        <v>4100</v>
      </c>
      <c r="O4440" t="str">
        <f>_xlfn.XLOOKUP(Pipeline_tbl[[#This Row],[Rep_ID]],Dim_Reps!A:A,Dim_Reps!B:B)</f>
        <v>Jamie Schmidt</v>
      </c>
      <c r="P4440" t="str">
        <f>_xlfn.XLOOKUP(Pipeline_tbl[[#This Row],[Rep_ID]],Dim_Reps!A:A,Dim_Reps!C:C)</f>
        <v>SDR / Inside Sales Rep</v>
      </c>
      <c r="Q4440" t="str">
        <f>_xlfn.XLOOKUP(Pipeline_tbl[[#This Row],[Rep_ID]],Dim_Reps!A:A,Dim_Reps!D:D)</f>
        <v>Inside Sales</v>
      </c>
      <c r="R4440" t="str">
        <f>_xlfn.XLOOKUP(Pipeline_tbl[[#This Row],[Rep_ID]],Dim_Reps!A:A,Dim_Reps!E:E)</f>
        <v>APAC</v>
      </c>
      <c r="S4440" t="str">
        <f>_xlfn.XLOOKUP(Pipeline_tbl[[#This Row],[Created_Date]],Dim_Date!A:A,Dim_Date!H:H)</f>
        <v>Jan 2024</v>
      </c>
      <c r="T4440" t="str">
        <f>IF(Pipeline_tbl[[#This Row],[Closed_Date]]=0,"",(_xlfn.XLOOKUP(Pipeline_tbl[[#This Row],[Closed_Date]],Dim_Date!A:A,Dim_Date!H:H)))</f>
        <v>Feb 2024</v>
      </c>
      <c r="U4440">
        <f>IF(Pipeline_tbl[[#This Row],[Closed_Date]]=0,"",Pipeline_tbl[[#This Row],[Closed_Date]]-Pipeline_tbl[[#This Row],[Created_Date]])</f>
        <v>19</v>
      </c>
    </row>
    <row r="4441" spans="1:21" ht="15" customHeight="1" x14ac:dyDescent="0.2">
      <c r="A4441" t="s">
        <v>4747</v>
      </c>
      <c r="B4441" t="s">
        <v>217</v>
      </c>
      <c r="C4441" t="s">
        <v>54</v>
      </c>
      <c r="D4441" s="49">
        <v>45311</v>
      </c>
      <c r="E4441" s="49">
        <v>45313</v>
      </c>
      <c r="F4441" s="49">
        <v>45316</v>
      </c>
      <c r="G4441" s="49">
        <v>45320</v>
      </c>
      <c r="H4441" s="49">
        <v>45324</v>
      </c>
      <c r="I4441" s="49">
        <v>45326</v>
      </c>
      <c r="J4441" t="s">
        <v>47</v>
      </c>
      <c r="K4441" s="33">
        <v>1900</v>
      </c>
      <c r="M4441" t="str">
        <f>_xlfn.XLOOKUP(Pipeline_tbl[[#This Row],[Rep_ID]],Dim_Reps!A:A,Dim_Reps!K:K)</f>
        <v>USD</v>
      </c>
      <c r="N4441" s="33">
        <f>(_xlfn.XLOOKUP(Pipeline_tbl[[#This Row],[Rate_Code_Generalized]],Lookups!A:A,Lookups!B:B))*Pipeline_tbl[[#This Row],[Pipeline_Amount_USD]]</f>
        <v>2212.1699999999996</v>
      </c>
      <c r="O4441" t="str">
        <f>_xlfn.XLOOKUP(Pipeline_tbl[[#This Row],[Rep_ID]],Dim_Reps!A:A,Dim_Reps!B:B)</f>
        <v>Priya Weber</v>
      </c>
      <c r="P4441" t="str">
        <f>_xlfn.XLOOKUP(Pipeline_tbl[[#This Row],[Rep_ID]],Dim_Reps!A:A,Dim_Reps!C:C)</f>
        <v>SDR / Inside Sales Rep</v>
      </c>
      <c r="Q4441" t="str">
        <f>_xlfn.XLOOKUP(Pipeline_tbl[[#This Row],[Rep_ID]],Dim_Reps!A:A,Dim_Reps!D:D)</f>
        <v>Inside Sales</v>
      </c>
      <c r="R4441" t="str">
        <f>_xlfn.XLOOKUP(Pipeline_tbl[[#This Row],[Rep_ID]],Dim_Reps!A:A,Dim_Reps!E:E)</f>
        <v>NAMER</v>
      </c>
      <c r="S4441" t="str">
        <f>_xlfn.XLOOKUP(Pipeline_tbl[[#This Row],[Created_Date]],Dim_Date!A:A,Dim_Date!H:H)</f>
        <v>Jan 2024</v>
      </c>
      <c r="T4441" t="str">
        <f>IF(Pipeline_tbl[[#This Row],[Closed_Date]]=0,"",(_xlfn.XLOOKUP(Pipeline_tbl[[#This Row],[Closed_Date]],Dim_Date!A:A,Dim_Date!H:H)))</f>
        <v>Feb 2024</v>
      </c>
      <c r="U4441">
        <f>IF(Pipeline_tbl[[#This Row],[Closed_Date]]=0,"",Pipeline_tbl[[#This Row],[Closed_Date]]-Pipeline_tbl[[#This Row],[Created_Date]])</f>
        <v>15</v>
      </c>
    </row>
    <row r="4442" spans="1:21" ht="15" customHeight="1" x14ac:dyDescent="0.2">
      <c r="A4442" t="s">
        <v>4748</v>
      </c>
      <c r="B4442" t="s">
        <v>217</v>
      </c>
      <c r="C4442" t="s">
        <v>52</v>
      </c>
      <c r="D4442" s="49">
        <v>45320</v>
      </c>
      <c r="E4442" s="49">
        <v>45321</v>
      </c>
      <c r="F4442" s="49">
        <v>45322</v>
      </c>
      <c r="G4442" s="49">
        <v>45324</v>
      </c>
      <c r="H4442" s="49">
        <v>45326</v>
      </c>
      <c r="I4442" s="49">
        <v>45327</v>
      </c>
      <c r="J4442" t="s">
        <v>49</v>
      </c>
      <c r="K4442" s="33">
        <v>2800</v>
      </c>
      <c r="L4442" t="s">
        <v>61</v>
      </c>
      <c r="M4442" t="str">
        <f>_xlfn.XLOOKUP(Pipeline_tbl[[#This Row],[Rep_ID]],Dim_Reps!A:A,Dim_Reps!K:K)</f>
        <v>USD</v>
      </c>
      <c r="N4442" s="33">
        <f>(_xlfn.XLOOKUP(Pipeline_tbl[[#This Row],[Rate_Code_Generalized]],Lookups!A:A,Lookups!B:B))*Pipeline_tbl[[#This Row],[Pipeline_Amount_USD]]</f>
        <v>3260.0399999999995</v>
      </c>
      <c r="O4442" t="str">
        <f>_xlfn.XLOOKUP(Pipeline_tbl[[#This Row],[Rep_ID]],Dim_Reps!A:A,Dim_Reps!B:B)</f>
        <v>Priya Weber</v>
      </c>
      <c r="P4442" t="str">
        <f>_xlfn.XLOOKUP(Pipeline_tbl[[#This Row],[Rep_ID]],Dim_Reps!A:A,Dim_Reps!C:C)</f>
        <v>SDR / Inside Sales Rep</v>
      </c>
      <c r="Q4442" t="str">
        <f>_xlfn.XLOOKUP(Pipeline_tbl[[#This Row],[Rep_ID]],Dim_Reps!A:A,Dim_Reps!D:D)</f>
        <v>Inside Sales</v>
      </c>
      <c r="R4442" t="str">
        <f>_xlfn.XLOOKUP(Pipeline_tbl[[#This Row],[Rep_ID]],Dim_Reps!A:A,Dim_Reps!E:E)</f>
        <v>NAMER</v>
      </c>
      <c r="S4442" t="str">
        <f>_xlfn.XLOOKUP(Pipeline_tbl[[#This Row],[Created_Date]],Dim_Date!A:A,Dim_Date!H:H)</f>
        <v>Jan 2024</v>
      </c>
      <c r="T4442" t="str">
        <f>IF(Pipeline_tbl[[#This Row],[Closed_Date]]=0,"",(_xlfn.XLOOKUP(Pipeline_tbl[[#This Row],[Closed_Date]],Dim_Date!A:A,Dim_Date!H:H)))</f>
        <v>Feb 2024</v>
      </c>
      <c r="U4442">
        <f>IF(Pipeline_tbl[[#This Row],[Closed_Date]]=0,"",Pipeline_tbl[[#This Row],[Closed_Date]]-Pipeline_tbl[[#This Row],[Created_Date]])</f>
        <v>7</v>
      </c>
    </row>
    <row r="4443" spans="1:21" ht="15" customHeight="1" x14ac:dyDescent="0.2">
      <c r="A4443" t="s">
        <v>4749</v>
      </c>
      <c r="B4443" t="s">
        <v>217</v>
      </c>
      <c r="C4443" t="s">
        <v>52</v>
      </c>
      <c r="D4443" s="49">
        <v>45318</v>
      </c>
      <c r="E4443" s="49">
        <v>45319</v>
      </c>
      <c r="F4443" s="49">
        <v>45321</v>
      </c>
      <c r="I4443" s="49">
        <v>45328</v>
      </c>
      <c r="J4443" t="s">
        <v>49</v>
      </c>
      <c r="K4443" s="33">
        <v>3600</v>
      </c>
      <c r="L4443" t="s">
        <v>60</v>
      </c>
      <c r="M4443" t="str">
        <f>_xlfn.XLOOKUP(Pipeline_tbl[[#This Row],[Rep_ID]],Dim_Reps!A:A,Dim_Reps!K:K)</f>
        <v>USD</v>
      </c>
      <c r="N4443" s="33">
        <f>(_xlfn.XLOOKUP(Pipeline_tbl[[#This Row],[Rate_Code_Generalized]],Lookups!A:A,Lookups!B:B))*Pipeline_tbl[[#This Row],[Pipeline_Amount_USD]]</f>
        <v>4191.4799999999996</v>
      </c>
      <c r="O4443" t="str">
        <f>_xlfn.XLOOKUP(Pipeline_tbl[[#This Row],[Rep_ID]],Dim_Reps!A:A,Dim_Reps!B:B)</f>
        <v>Priya Weber</v>
      </c>
      <c r="P4443" t="str">
        <f>_xlfn.XLOOKUP(Pipeline_tbl[[#This Row],[Rep_ID]],Dim_Reps!A:A,Dim_Reps!C:C)</f>
        <v>SDR / Inside Sales Rep</v>
      </c>
      <c r="Q4443" t="str">
        <f>_xlfn.XLOOKUP(Pipeline_tbl[[#This Row],[Rep_ID]],Dim_Reps!A:A,Dim_Reps!D:D)</f>
        <v>Inside Sales</v>
      </c>
      <c r="R4443" t="str">
        <f>_xlfn.XLOOKUP(Pipeline_tbl[[#This Row],[Rep_ID]],Dim_Reps!A:A,Dim_Reps!E:E)</f>
        <v>NAMER</v>
      </c>
      <c r="S4443" t="str">
        <f>_xlfn.XLOOKUP(Pipeline_tbl[[#This Row],[Created_Date]],Dim_Date!A:A,Dim_Date!H:H)</f>
        <v>Jan 2024</v>
      </c>
      <c r="T4443" t="str">
        <f>IF(Pipeline_tbl[[#This Row],[Closed_Date]]=0,"",(_xlfn.XLOOKUP(Pipeline_tbl[[#This Row],[Closed_Date]],Dim_Date!A:A,Dim_Date!H:H)))</f>
        <v>Feb 2024</v>
      </c>
      <c r="U4443">
        <f>IF(Pipeline_tbl[[#This Row],[Closed_Date]]=0,"",Pipeline_tbl[[#This Row],[Closed_Date]]-Pipeline_tbl[[#This Row],[Created_Date]])</f>
        <v>10</v>
      </c>
    </row>
    <row r="4444" spans="1:21" ht="15" customHeight="1" x14ac:dyDescent="0.2">
      <c r="A4444" t="s">
        <v>4750</v>
      </c>
      <c r="B4444" t="s">
        <v>217</v>
      </c>
      <c r="C4444" t="s">
        <v>53</v>
      </c>
      <c r="D4444" s="49">
        <v>45312</v>
      </c>
      <c r="E4444" s="49">
        <v>45313</v>
      </c>
      <c r="F4444" s="49">
        <v>45316</v>
      </c>
      <c r="G4444" s="49">
        <v>45319</v>
      </c>
      <c r="H4444" s="49">
        <v>45322</v>
      </c>
      <c r="I4444" s="49">
        <v>45324</v>
      </c>
      <c r="J4444" t="s">
        <v>49</v>
      </c>
      <c r="K4444" s="33">
        <v>6100</v>
      </c>
      <c r="L4444" t="s">
        <v>60</v>
      </c>
      <c r="M4444" t="str">
        <f>_xlfn.XLOOKUP(Pipeline_tbl[[#This Row],[Rep_ID]],Dim_Reps!A:A,Dim_Reps!K:K)</f>
        <v>USD</v>
      </c>
      <c r="N4444" s="33">
        <f>(_xlfn.XLOOKUP(Pipeline_tbl[[#This Row],[Rate_Code_Generalized]],Lookups!A:A,Lookups!B:B))*Pipeline_tbl[[#This Row],[Pipeline_Amount_USD]]</f>
        <v>7102.23</v>
      </c>
      <c r="O4444" t="str">
        <f>_xlfn.XLOOKUP(Pipeline_tbl[[#This Row],[Rep_ID]],Dim_Reps!A:A,Dim_Reps!B:B)</f>
        <v>Priya Weber</v>
      </c>
      <c r="P4444" t="str">
        <f>_xlfn.XLOOKUP(Pipeline_tbl[[#This Row],[Rep_ID]],Dim_Reps!A:A,Dim_Reps!C:C)</f>
        <v>SDR / Inside Sales Rep</v>
      </c>
      <c r="Q4444" t="str">
        <f>_xlfn.XLOOKUP(Pipeline_tbl[[#This Row],[Rep_ID]],Dim_Reps!A:A,Dim_Reps!D:D)</f>
        <v>Inside Sales</v>
      </c>
      <c r="R4444" t="str">
        <f>_xlfn.XLOOKUP(Pipeline_tbl[[#This Row],[Rep_ID]],Dim_Reps!A:A,Dim_Reps!E:E)</f>
        <v>NAMER</v>
      </c>
      <c r="S4444" t="str">
        <f>_xlfn.XLOOKUP(Pipeline_tbl[[#This Row],[Created_Date]],Dim_Date!A:A,Dim_Date!H:H)</f>
        <v>Jan 2024</v>
      </c>
      <c r="T4444" t="str">
        <f>IF(Pipeline_tbl[[#This Row],[Closed_Date]]=0,"",(_xlfn.XLOOKUP(Pipeline_tbl[[#This Row],[Closed_Date]],Dim_Date!A:A,Dim_Date!H:H)))</f>
        <v>Feb 2024</v>
      </c>
      <c r="U4444">
        <f>IF(Pipeline_tbl[[#This Row],[Closed_Date]]=0,"",Pipeline_tbl[[#This Row],[Closed_Date]]-Pipeline_tbl[[#This Row],[Created_Date]])</f>
        <v>12</v>
      </c>
    </row>
    <row r="4445" spans="1:21" ht="15" customHeight="1" x14ac:dyDescent="0.2">
      <c r="A4445" t="s">
        <v>4751</v>
      </c>
      <c r="B4445" t="s">
        <v>217</v>
      </c>
      <c r="C4445" t="s">
        <v>52</v>
      </c>
      <c r="D4445" s="49">
        <v>45313</v>
      </c>
      <c r="E4445" s="49">
        <v>45315</v>
      </c>
      <c r="F4445" s="49">
        <v>45319</v>
      </c>
      <c r="G4445" s="49">
        <v>45326</v>
      </c>
      <c r="I4445" s="49">
        <v>45334</v>
      </c>
      <c r="J4445" t="s">
        <v>49</v>
      </c>
      <c r="K4445" s="33">
        <v>5200</v>
      </c>
      <c r="L4445" t="s">
        <v>61</v>
      </c>
      <c r="M4445" t="str">
        <f>_xlfn.XLOOKUP(Pipeline_tbl[[#This Row],[Rep_ID]],Dim_Reps!A:A,Dim_Reps!K:K)</f>
        <v>USD</v>
      </c>
      <c r="N4445" s="33">
        <f>(_xlfn.XLOOKUP(Pipeline_tbl[[#This Row],[Rate_Code_Generalized]],Lookups!A:A,Lookups!B:B))*Pipeline_tbl[[#This Row],[Pipeline_Amount_USD]]</f>
        <v>6054.36</v>
      </c>
      <c r="O4445" t="str">
        <f>_xlfn.XLOOKUP(Pipeline_tbl[[#This Row],[Rep_ID]],Dim_Reps!A:A,Dim_Reps!B:B)</f>
        <v>Priya Weber</v>
      </c>
      <c r="P4445" t="str">
        <f>_xlfn.XLOOKUP(Pipeline_tbl[[#This Row],[Rep_ID]],Dim_Reps!A:A,Dim_Reps!C:C)</f>
        <v>SDR / Inside Sales Rep</v>
      </c>
      <c r="Q4445" t="str">
        <f>_xlfn.XLOOKUP(Pipeline_tbl[[#This Row],[Rep_ID]],Dim_Reps!A:A,Dim_Reps!D:D)</f>
        <v>Inside Sales</v>
      </c>
      <c r="R4445" t="str">
        <f>_xlfn.XLOOKUP(Pipeline_tbl[[#This Row],[Rep_ID]],Dim_Reps!A:A,Dim_Reps!E:E)</f>
        <v>NAMER</v>
      </c>
      <c r="S4445" t="str">
        <f>_xlfn.XLOOKUP(Pipeline_tbl[[#This Row],[Created_Date]],Dim_Date!A:A,Dim_Date!H:H)</f>
        <v>Jan 2024</v>
      </c>
      <c r="T4445" t="str">
        <f>IF(Pipeline_tbl[[#This Row],[Closed_Date]]=0,"",(_xlfn.XLOOKUP(Pipeline_tbl[[#This Row],[Closed_Date]],Dim_Date!A:A,Dim_Date!H:H)))</f>
        <v>Feb 2024</v>
      </c>
      <c r="U4445">
        <f>IF(Pipeline_tbl[[#This Row],[Closed_Date]]=0,"",Pipeline_tbl[[#This Row],[Closed_Date]]-Pipeline_tbl[[#This Row],[Created_Date]])</f>
        <v>21</v>
      </c>
    </row>
    <row r="4446" spans="1:21" ht="15" customHeight="1" x14ac:dyDescent="0.2">
      <c r="A4446" t="s">
        <v>4752</v>
      </c>
      <c r="B4446" t="s">
        <v>217</v>
      </c>
      <c r="C4446" t="s">
        <v>52</v>
      </c>
      <c r="D4446" s="49">
        <v>45307</v>
      </c>
      <c r="E4446" s="49">
        <v>45310</v>
      </c>
      <c r="I4446" s="49">
        <v>45335</v>
      </c>
      <c r="J4446" t="s">
        <v>49</v>
      </c>
      <c r="K4446" s="33">
        <v>2900</v>
      </c>
      <c r="L4446" t="s">
        <v>63</v>
      </c>
      <c r="M4446" t="str">
        <f>_xlfn.XLOOKUP(Pipeline_tbl[[#This Row],[Rep_ID]],Dim_Reps!A:A,Dim_Reps!K:K)</f>
        <v>USD</v>
      </c>
      <c r="N4446" s="33">
        <f>(_xlfn.XLOOKUP(Pipeline_tbl[[#This Row],[Rate_Code_Generalized]],Lookups!A:A,Lookups!B:B))*Pipeline_tbl[[#This Row],[Pipeline_Amount_USD]]</f>
        <v>3376.47</v>
      </c>
      <c r="O4446" t="str">
        <f>_xlfn.XLOOKUP(Pipeline_tbl[[#This Row],[Rep_ID]],Dim_Reps!A:A,Dim_Reps!B:B)</f>
        <v>Priya Weber</v>
      </c>
      <c r="P4446" t="str">
        <f>_xlfn.XLOOKUP(Pipeline_tbl[[#This Row],[Rep_ID]],Dim_Reps!A:A,Dim_Reps!C:C)</f>
        <v>SDR / Inside Sales Rep</v>
      </c>
      <c r="Q4446" t="str">
        <f>_xlfn.XLOOKUP(Pipeline_tbl[[#This Row],[Rep_ID]],Dim_Reps!A:A,Dim_Reps!D:D)</f>
        <v>Inside Sales</v>
      </c>
      <c r="R4446" t="str">
        <f>_xlfn.XLOOKUP(Pipeline_tbl[[#This Row],[Rep_ID]],Dim_Reps!A:A,Dim_Reps!E:E)</f>
        <v>NAMER</v>
      </c>
      <c r="S4446" t="str">
        <f>_xlfn.XLOOKUP(Pipeline_tbl[[#This Row],[Created_Date]],Dim_Date!A:A,Dim_Date!H:H)</f>
        <v>Jan 2024</v>
      </c>
      <c r="T4446" t="str">
        <f>IF(Pipeline_tbl[[#This Row],[Closed_Date]]=0,"",(_xlfn.XLOOKUP(Pipeline_tbl[[#This Row],[Closed_Date]],Dim_Date!A:A,Dim_Date!H:H)))</f>
        <v>Feb 2024</v>
      </c>
      <c r="U4446">
        <f>IF(Pipeline_tbl[[#This Row],[Closed_Date]]=0,"",Pipeline_tbl[[#This Row],[Closed_Date]]-Pipeline_tbl[[#This Row],[Created_Date]])</f>
        <v>28</v>
      </c>
    </row>
    <row r="4447" spans="1:21" ht="15" customHeight="1" x14ac:dyDescent="0.2">
      <c r="A4447" t="s">
        <v>4753</v>
      </c>
      <c r="B4447" t="s">
        <v>217</v>
      </c>
      <c r="C4447" t="s">
        <v>55</v>
      </c>
      <c r="D4447" s="49">
        <v>45301</v>
      </c>
      <c r="E4447" s="49">
        <v>45303</v>
      </c>
      <c r="F4447" s="49">
        <v>45308</v>
      </c>
      <c r="G4447" s="49">
        <v>45315</v>
      </c>
      <c r="H4447" s="49">
        <v>45321</v>
      </c>
      <c r="I4447" s="49">
        <v>45325</v>
      </c>
      <c r="J4447" t="s">
        <v>49</v>
      </c>
      <c r="K4447" s="33">
        <v>3500</v>
      </c>
      <c r="L4447" t="s">
        <v>61</v>
      </c>
      <c r="M4447" t="str">
        <f>_xlfn.XLOOKUP(Pipeline_tbl[[#This Row],[Rep_ID]],Dim_Reps!A:A,Dim_Reps!K:K)</f>
        <v>USD</v>
      </c>
      <c r="N4447" s="33">
        <f>(_xlfn.XLOOKUP(Pipeline_tbl[[#This Row],[Rate_Code_Generalized]],Lookups!A:A,Lookups!B:B))*Pipeline_tbl[[#This Row],[Pipeline_Amount_USD]]</f>
        <v>4075.0499999999997</v>
      </c>
      <c r="O4447" t="str">
        <f>_xlfn.XLOOKUP(Pipeline_tbl[[#This Row],[Rep_ID]],Dim_Reps!A:A,Dim_Reps!B:B)</f>
        <v>Priya Weber</v>
      </c>
      <c r="P4447" t="str">
        <f>_xlfn.XLOOKUP(Pipeline_tbl[[#This Row],[Rep_ID]],Dim_Reps!A:A,Dim_Reps!C:C)</f>
        <v>SDR / Inside Sales Rep</v>
      </c>
      <c r="Q4447" t="str">
        <f>_xlfn.XLOOKUP(Pipeline_tbl[[#This Row],[Rep_ID]],Dim_Reps!A:A,Dim_Reps!D:D)</f>
        <v>Inside Sales</v>
      </c>
      <c r="R4447" t="str">
        <f>_xlfn.XLOOKUP(Pipeline_tbl[[#This Row],[Rep_ID]],Dim_Reps!A:A,Dim_Reps!E:E)</f>
        <v>NAMER</v>
      </c>
      <c r="S4447" t="str">
        <f>_xlfn.XLOOKUP(Pipeline_tbl[[#This Row],[Created_Date]],Dim_Date!A:A,Dim_Date!H:H)</f>
        <v>Jan 2024</v>
      </c>
      <c r="T4447" t="str">
        <f>IF(Pipeline_tbl[[#This Row],[Closed_Date]]=0,"",(_xlfn.XLOOKUP(Pipeline_tbl[[#This Row],[Closed_Date]],Dim_Date!A:A,Dim_Date!H:H)))</f>
        <v>Feb 2024</v>
      </c>
      <c r="U4447">
        <f>IF(Pipeline_tbl[[#This Row],[Closed_Date]]=0,"",Pipeline_tbl[[#This Row],[Closed_Date]]-Pipeline_tbl[[#This Row],[Created_Date]])</f>
        <v>24</v>
      </c>
    </row>
    <row r="4448" spans="1:21" ht="15" customHeight="1" x14ac:dyDescent="0.2">
      <c r="A4448" t="s">
        <v>4754</v>
      </c>
      <c r="B4448" t="s">
        <v>217</v>
      </c>
      <c r="C4448" t="s">
        <v>52</v>
      </c>
      <c r="D4448" s="49">
        <v>45309</v>
      </c>
      <c r="E4448" s="49">
        <v>45311</v>
      </c>
      <c r="F4448" s="49">
        <v>45316</v>
      </c>
      <c r="G4448" s="49">
        <v>45322</v>
      </c>
      <c r="I4448" s="49">
        <v>45331</v>
      </c>
      <c r="J4448" t="s">
        <v>49</v>
      </c>
      <c r="K4448" s="33">
        <v>7500</v>
      </c>
      <c r="L4448" t="s">
        <v>63</v>
      </c>
      <c r="M4448" t="str">
        <f>_xlfn.XLOOKUP(Pipeline_tbl[[#This Row],[Rep_ID]],Dim_Reps!A:A,Dim_Reps!K:K)</f>
        <v>USD</v>
      </c>
      <c r="N4448" s="33">
        <f>(_xlfn.XLOOKUP(Pipeline_tbl[[#This Row],[Rate_Code_Generalized]],Lookups!A:A,Lookups!B:B))*Pipeline_tbl[[#This Row],[Pipeline_Amount_USD]]</f>
        <v>8732.25</v>
      </c>
      <c r="O4448" t="str">
        <f>_xlfn.XLOOKUP(Pipeline_tbl[[#This Row],[Rep_ID]],Dim_Reps!A:A,Dim_Reps!B:B)</f>
        <v>Priya Weber</v>
      </c>
      <c r="P4448" t="str">
        <f>_xlfn.XLOOKUP(Pipeline_tbl[[#This Row],[Rep_ID]],Dim_Reps!A:A,Dim_Reps!C:C)</f>
        <v>SDR / Inside Sales Rep</v>
      </c>
      <c r="Q4448" t="str">
        <f>_xlfn.XLOOKUP(Pipeline_tbl[[#This Row],[Rep_ID]],Dim_Reps!A:A,Dim_Reps!D:D)</f>
        <v>Inside Sales</v>
      </c>
      <c r="R4448" t="str">
        <f>_xlfn.XLOOKUP(Pipeline_tbl[[#This Row],[Rep_ID]],Dim_Reps!A:A,Dim_Reps!E:E)</f>
        <v>NAMER</v>
      </c>
      <c r="S4448" t="str">
        <f>_xlfn.XLOOKUP(Pipeline_tbl[[#This Row],[Created_Date]],Dim_Date!A:A,Dim_Date!H:H)</f>
        <v>Jan 2024</v>
      </c>
      <c r="T4448" t="str">
        <f>IF(Pipeline_tbl[[#This Row],[Closed_Date]]=0,"",(_xlfn.XLOOKUP(Pipeline_tbl[[#This Row],[Closed_Date]],Dim_Date!A:A,Dim_Date!H:H)))</f>
        <v>Feb 2024</v>
      </c>
      <c r="U4448">
        <f>IF(Pipeline_tbl[[#This Row],[Closed_Date]]=0,"",Pipeline_tbl[[#This Row],[Closed_Date]]-Pipeline_tbl[[#This Row],[Created_Date]])</f>
        <v>22</v>
      </c>
    </row>
    <row r="4449" spans="1:21" ht="15" customHeight="1" x14ac:dyDescent="0.2">
      <c r="A4449" t="s">
        <v>4755</v>
      </c>
      <c r="B4449" t="s">
        <v>217</v>
      </c>
      <c r="C4449" t="s">
        <v>54</v>
      </c>
      <c r="D4449" s="49">
        <v>45319</v>
      </c>
      <c r="E4449" s="49">
        <v>45321</v>
      </c>
      <c r="F4449" s="49">
        <v>45324</v>
      </c>
      <c r="G4449" s="49">
        <v>45330</v>
      </c>
      <c r="H4449" s="49">
        <v>45334</v>
      </c>
      <c r="I4449" s="49">
        <v>45337</v>
      </c>
      <c r="J4449" t="s">
        <v>47</v>
      </c>
      <c r="K4449" s="33">
        <v>2000</v>
      </c>
      <c r="M4449" t="str">
        <f>_xlfn.XLOOKUP(Pipeline_tbl[[#This Row],[Rep_ID]],Dim_Reps!A:A,Dim_Reps!K:K)</f>
        <v>USD</v>
      </c>
      <c r="N4449" s="33">
        <f>(_xlfn.XLOOKUP(Pipeline_tbl[[#This Row],[Rate_Code_Generalized]],Lookups!A:A,Lookups!B:B))*Pipeline_tbl[[#This Row],[Pipeline_Amount_USD]]</f>
        <v>2328.6</v>
      </c>
      <c r="O4449" t="str">
        <f>_xlfn.XLOOKUP(Pipeline_tbl[[#This Row],[Rep_ID]],Dim_Reps!A:A,Dim_Reps!B:B)</f>
        <v>Priya Weber</v>
      </c>
      <c r="P4449" t="str">
        <f>_xlfn.XLOOKUP(Pipeline_tbl[[#This Row],[Rep_ID]],Dim_Reps!A:A,Dim_Reps!C:C)</f>
        <v>SDR / Inside Sales Rep</v>
      </c>
      <c r="Q4449" t="str">
        <f>_xlfn.XLOOKUP(Pipeline_tbl[[#This Row],[Rep_ID]],Dim_Reps!A:A,Dim_Reps!D:D)</f>
        <v>Inside Sales</v>
      </c>
      <c r="R4449" t="str">
        <f>_xlfn.XLOOKUP(Pipeline_tbl[[#This Row],[Rep_ID]],Dim_Reps!A:A,Dim_Reps!E:E)</f>
        <v>NAMER</v>
      </c>
      <c r="S4449" t="str">
        <f>_xlfn.XLOOKUP(Pipeline_tbl[[#This Row],[Created_Date]],Dim_Date!A:A,Dim_Date!H:H)</f>
        <v>Jan 2024</v>
      </c>
      <c r="T4449" t="str">
        <f>IF(Pipeline_tbl[[#This Row],[Closed_Date]]=0,"",(_xlfn.XLOOKUP(Pipeline_tbl[[#This Row],[Closed_Date]],Dim_Date!A:A,Dim_Date!H:H)))</f>
        <v>Feb 2024</v>
      </c>
      <c r="U4449">
        <f>IF(Pipeline_tbl[[#This Row],[Closed_Date]]=0,"",Pipeline_tbl[[#This Row],[Closed_Date]]-Pipeline_tbl[[#This Row],[Created_Date]])</f>
        <v>18</v>
      </c>
    </row>
    <row r="4450" spans="1:21" ht="15" customHeight="1" x14ac:dyDescent="0.2">
      <c r="A4450" t="s">
        <v>4756</v>
      </c>
      <c r="B4450" t="s">
        <v>188</v>
      </c>
      <c r="C4450" t="s">
        <v>52</v>
      </c>
      <c r="D4450" s="49">
        <v>45321</v>
      </c>
      <c r="E4450" s="49">
        <v>45323</v>
      </c>
      <c r="F4450" s="49">
        <v>45326</v>
      </c>
      <c r="G4450" s="49">
        <v>45331</v>
      </c>
      <c r="I4450" s="49">
        <v>45337</v>
      </c>
      <c r="J4450" t="s">
        <v>49</v>
      </c>
      <c r="K4450" s="33">
        <v>22000</v>
      </c>
      <c r="L4450" t="s">
        <v>62</v>
      </c>
      <c r="M4450" t="str">
        <f>_xlfn.XLOOKUP(Pipeline_tbl[[#This Row],[Rep_ID]],Dim_Reps!A:A,Dim_Reps!K:K)</f>
        <v>EUR</v>
      </c>
      <c r="N4450" s="33">
        <f>(_xlfn.XLOOKUP(Pipeline_tbl[[#This Row],[Rate_Code_Generalized]],Lookups!A:A,Lookups!B:B))*Pipeline_tbl[[#This Row],[Pipeline_Amount_USD]]</f>
        <v>22000</v>
      </c>
      <c r="O4450" t="str">
        <f>_xlfn.XLOOKUP(Pipeline_tbl[[#This Row],[Rep_ID]],Dim_Reps!A:A,Dim_Reps!B:B)</f>
        <v>Jamie Santos</v>
      </c>
      <c r="P4450" t="str">
        <f>_xlfn.XLOOKUP(Pipeline_tbl[[#This Row],[Rep_ID]],Dim_Reps!A:A,Dim_Reps!C:C)</f>
        <v>Enterprise AE</v>
      </c>
      <c r="Q4450" t="str">
        <f>_xlfn.XLOOKUP(Pipeline_tbl[[#This Row],[Rep_ID]],Dim_Reps!A:A,Dim_Reps!D:D)</f>
        <v>Enterprise</v>
      </c>
      <c r="R4450" t="str">
        <f>_xlfn.XLOOKUP(Pipeline_tbl[[#This Row],[Rep_ID]],Dim_Reps!A:A,Dim_Reps!E:E)</f>
        <v>APAC</v>
      </c>
      <c r="S4450" t="str">
        <f>_xlfn.XLOOKUP(Pipeline_tbl[[#This Row],[Created_Date]],Dim_Date!A:A,Dim_Date!H:H)</f>
        <v>Jan 2024</v>
      </c>
      <c r="T4450" t="str">
        <f>IF(Pipeline_tbl[[#This Row],[Closed_Date]]=0,"",(_xlfn.XLOOKUP(Pipeline_tbl[[#This Row],[Closed_Date]],Dim_Date!A:A,Dim_Date!H:H)))</f>
        <v>Feb 2024</v>
      </c>
      <c r="U4450">
        <f>IF(Pipeline_tbl[[#This Row],[Closed_Date]]=0,"",Pipeline_tbl[[#This Row],[Closed_Date]]-Pipeline_tbl[[#This Row],[Created_Date]])</f>
        <v>16</v>
      </c>
    </row>
    <row r="4451" spans="1:21" ht="15" customHeight="1" x14ac:dyDescent="0.2">
      <c r="A4451" t="s">
        <v>4757</v>
      </c>
      <c r="B4451" t="s">
        <v>188</v>
      </c>
      <c r="C4451" t="s">
        <v>52</v>
      </c>
      <c r="D4451" s="49">
        <v>45304</v>
      </c>
      <c r="E4451" s="49">
        <v>45308</v>
      </c>
      <c r="F4451" s="49">
        <v>45316</v>
      </c>
      <c r="G4451" s="49">
        <v>45328</v>
      </c>
      <c r="H4451" s="49">
        <v>45338</v>
      </c>
      <c r="I4451" s="49">
        <v>45344</v>
      </c>
      <c r="J4451" t="s">
        <v>49</v>
      </c>
      <c r="K4451" s="33">
        <v>32400</v>
      </c>
      <c r="L4451" t="s">
        <v>63</v>
      </c>
      <c r="M4451" t="str">
        <f>_xlfn.XLOOKUP(Pipeline_tbl[[#This Row],[Rep_ID]],Dim_Reps!A:A,Dim_Reps!K:K)</f>
        <v>EUR</v>
      </c>
      <c r="N4451" s="33">
        <f>(_xlfn.XLOOKUP(Pipeline_tbl[[#This Row],[Rate_Code_Generalized]],Lookups!A:A,Lookups!B:B))*Pipeline_tbl[[#This Row],[Pipeline_Amount_USD]]</f>
        <v>32400</v>
      </c>
      <c r="O4451" t="str">
        <f>_xlfn.XLOOKUP(Pipeline_tbl[[#This Row],[Rep_ID]],Dim_Reps!A:A,Dim_Reps!B:B)</f>
        <v>Jamie Santos</v>
      </c>
      <c r="P4451" t="str">
        <f>_xlfn.XLOOKUP(Pipeline_tbl[[#This Row],[Rep_ID]],Dim_Reps!A:A,Dim_Reps!C:C)</f>
        <v>Enterprise AE</v>
      </c>
      <c r="Q4451" t="str">
        <f>_xlfn.XLOOKUP(Pipeline_tbl[[#This Row],[Rep_ID]],Dim_Reps!A:A,Dim_Reps!D:D)</f>
        <v>Enterprise</v>
      </c>
      <c r="R4451" t="str">
        <f>_xlfn.XLOOKUP(Pipeline_tbl[[#This Row],[Rep_ID]],Dim_Reps!A:A,Dim_Reps!E:E)</f>
        <v>APAC</v>
      </c>
      <c r="S4451" t="str">
        <f>_xlfn.XLOOKUP(Pipeline_tbl[[#This Row],[Created_Date]],Dim_Date!A:A,Dim_Date!H:H)</f>
        <v>Jan 2024</v>
      </c>
      <c r="T4451" t="str">
        <f>IF(Pipeline_tbl[[#This Row],[Closed_Date]]=0,"",(_xlfn.XLOOKUP(Pipeline_tbl[[#This Row],[Closed_Date]],Dim_Date!A:A,Dim_Date!H:H)))</f>
        <v>Feb 2024</v>
      </c>
      <c r="U4451">
        <f>IF(Pipeline_tbl[[#This Row],[Closed_Date]]=0,"",Pipeline_tbl[[#This Row],[Closed_Date]]-Pipeline_tbl[[#This Row],[Created_Date]])</f>
        <v>40</v>
      </c>
    </row>
    <row r="4452" spans="1:21" ht="15" customHeight="1" x14ac:dyDescent="0.2">
      <c r="A4452" t="s">
        <v>4758</v>
      </c>
      <c r="B4452" t="s">
        <v>221</v>
      </c>
      <c r="C4452" t="s">
        <v>55</v>
      </c>
      <c r="D4452" s="49">
        <v>45303</v>
      </c>
      <c r="E4452" s="49">
        <v>45305</v>
      </c>
      <c r="F4452" s="49">
        <v>45310</v>
      </c>
      <c r="G4452" s="49">
        <v>45317</v>
      </c>
      <c r="H4452" s="49">
        <v>45323</v>
      </c>
      <c r="I4452" s="49">
        <v>45326</v>
      </c>
      <c r="J4452" t="s">
        <v>47</v>
      </c>
      <c r="K4452" s="33">
        <v>5000</v>
      </c>
      <c r="M4452" t="str">
        <f>_xlfn.XLOOKUP(Pipeline_tbl[[#This Row],[Rep_ID]],Dim_Reps!A:A,Dim_Reps!K:K)</f>
        <v>MXN</v>
      </c>
      <c r="N4452" s="33">
        <f>(_xlfn.XLOOKUP(Pipeline_tbl[[#This Row],[Rate_Code_Generalized]],Lookups!A:A,Lookups!B:B))*Pipeline_tbl[[#This Row],[Pipeline_Amount_USD]]</f>
        <v>98663.5</v>
      </c>
      <c r="O4452" t="str">
        <f>_xlfn.XLOOKUP(Pipeline_tbl[[#This Row],[Rep_ID]],Dim_Reps!A:A,Dim_Reps!B:B)</f>
        <v>Casey Muller</v>
      </c>
      <c r="P4452" t="str">
        <f>_xlfn.XLOOKUP(Pipeline_tbl[[#This Row],[Rep_ID]],Dim_Reps!A:A,Dim_Reps!C:C)</f>
        <v>SDR / Inside Sales Rep</v>
      </c>
      <c r="Q4452" t="str">
        <f>_xlfn.XLOOKUP(Pipeline_tbl[[#This Row],[Rep_ID]],Dim_Reps!A:A,Dim_Reps!D:D)</f>
        <v>Inside Sales</v>
      </c>
      <c r="R4452" t="str">
        <f>_xlfn.XLOOKUP(Pipeline_tbl[[#This Row],[Rep_ID]],Dim_Reps!A:A,Dim_Reps!E:E)</f>
        <v>LATAM</v>
      </c>
      <c r="S4452" t="str">
        <f>_xlfn.XLOOKUP(Pipeline_tbl[[#This Row],[Created_Date]],Dim_Date!A:A,Dim_Date!H:H)</f>
        <v>Jan 2024</v>
      </c>
      <c r="T4452" t="str">
        <f>IF(Pipeline_tbl[[#This Row],[Closed_Date]]=0,"",(_xlfn.XLOOKUP(Pipeline_tbl[[#This Row],[Closed_Date]],Dim_Date!A:A,Dim_Date!H:H)))</f>
        <v>Feb 2024</v>
      </c>
      <c r="U4452">
        <f>IF(Pipeline_tbl[[#This Row],[Closed_Date]]=0,"",Pipeline_tbl[[#This Row],[Closed_Date]]-Pipeline_tbl[[#This Row],[Created_Date]])</f>
        <v>23</v>
      </c>
    </row>
    <row r="4453" spans="1:21" ht="15" customHeight="1" x14ac:dyDescent="0.2">
      <c r="A4453" t="s">
        <v>4759</v>
      </c>
      <c r="B4453" t="s">
        <v>221</v>
      </c>
      <c r="C4453" t="s">
        <v>52</v>
      </c>
      <c r="D4453" s="49">
        <v>45311</v>
      </c>
      <c r="E4453" s="49">
        <v>45313</v>
      </c>
      <c r="I4453" s="49">
        <v>45330</v>
      </c>
      <c r="J4453" t="s">
        <v>49</v>
      </c>
      <c r="K4453" s="33">
        <v>5600</v>
      </c>
      <c r="L4453" t="s">
        <v>60</v>
      </c>
      <c r="M4453" t="str">
        <f>_xlfn.XLOOKUP(Pipeline_tbl[[#This Row],[Rep_ID]],Dim_Reps!A:A,Dim_Reps!K:K)</f>
        <v>MXN</v>
      </c>
      <c r="N4453" s="33">
        <f>(_xlfn.XLOOKUP(Pipeline_tbl[[#This Row],[Rate_Code_Generalized]],Lookups!A:A,Lookups!B:B))*Pipeline_tbl[[#This Row],[Pipeline_Amount_USD]]</f>
        <v>110503.12000000001</v>
      </c>
      <c r="O4453" t="str">
        <f>_xlfn.XLOOKUP(Pipeline_tbl[[#This Row],[Rep_ID]],Dim_Reps!A:A,Dim_Reps!B:B)</f>
        <v>Casey Muller</v>
      </c>
      <c r="P4453" t="str">
        <f>_xlfn.XLOOKUP(Pipeline_tbl[[#This Row],[Rep_ID]],Dim_Reps!A:A,Dim_Reps!C:C)</f>
        <v>SDR / Inside Sales Rep</v>
      </c>
      <c r="Q4453" t="str">
        <f>_xlfn.XLOOKUP(Pipeline_tbl[[#This Row],[Rep_ID]],Dim_Reps!A:A,Dim_Reps!D:D)</f>
        <v>Inside Sales</v>
      </c>
      <c r="R4453" t="str">
        <f>_xlfn.XLOOKUP(Pipeline_tbl[[#This Row],[Rep_ID]],Dim_Reps!A:A,Dim_Reps!E:E)</f>
        <v>LATAM</v>
      </c>
      <c r="S4453" t="str">
        <f>_xlfn.XLOOKUP(Pipeline_tbl[[#This Row],[Created_Date]],Dim_Date!A:A,Dim_Date!H:H)</f>
        <v>Jan 2024</v>
      </c>
      <c r="T4453" t="str">
        <f>IF(Pipeline_tbl[[#This Row],[Closed_Date]]=0,"",(_xlfn.XLOOKUP(Pipeline_tbl[[#This Row],[Closed_Date]],Dim_Date!A:A,Dim_Date!H:H)))</f>
        <v>Feb 2024</v>
      </c>
      <c r="U4453">
        <f>IF(Pipeline_tbl[[#This Row],[Closed_Date]]=0,"",Pipeline_tbl[[#This Row],[Closed_Date]]-Pipeline_tbl[[#This Row],[Created_Date]])</f>
        <v>19</v>
      </c>
    </row>
    <row r="4454" spans="1:21" ht="15" customHeight="1" x14ac:dyDescent="0.2">
      <c r="A4454" t="s">
        <v>4760</v>
      </c>
      <c r="B4454" t="s">
        <v>221</v>
      </c>
      <c r="C4454" t="s">
        <v>54</v>
      </c>
      <c r="D4454" s="49">
        <v>45322</v>
      </c>
      <c r="E4454" s="49">
        <v>45324</v>
      </c>
      <c r="F4454" s="49">
        <v>45328</v>
      </c>
      <c r="G4454" s="49">
        <v>45335</v>
      </c>
      <c r="I4454" s="49">
        <v>45343</v>
      </c>
      <c r="J4454" t="s">
        <v>49</v>
      </c>
      <c r="K4454" s="33">
        <v>2900</v>
      </c>
      <c r="L4454" t="s">
        <v>63</v>
      </c>
      <c r="M4454" t="str">
        <f>_xlfn.XLOOKUP(Pipeline_tbl[[#This Row],[Rep_ID]],Dim_Reps!A:A,Dim_Reps!K:K)</f>
        <v>MXN</v>
      </c>
      <c r="N4454" s="33">
        <f>(_xlfn.XLOOKUP(Pipeline_tbl[[#This Row],[Rate_Code_Generalized]],Lookups!A:A,Lookups!B:B))*Pipeline_tbl[[#This Row],[Pipeline_Amount_USD]]</f>
        <v>57224.83</v>
      </c>
      <c r="O4454" t="str">
        <f>_xlfn.XLOOKUP(Pipeline_tbl[[#This Row],[Rep_ID]],Dim_Reps!A:A,Dim_Reps!B:B)</f>
        <v>Casey Muller</v>
      </c>
      <c r="P4454" t="str">
        <f>_xlfn.XLOOKUP(Pipeline_tbl[[#This Row],[Rep_ID]],Dim_Reps!A:A,Dim_Reps!C:C)</f>
        <v>SDR / Inside Sales Rep</v>
      </c>
      <c r="Q4454" t="str">
        <f>_xlfn.XLOOKUP(Pipeline_tbl[[#This Row],[Rep_ID]],Dim_Reps!A:A,Dim_Reps!D:D)</f>
        <v>Inside Sales</v>
      </c>
      <c r="R4454" t="str">
        <f>_xlfn.XLOOKUP(Pipeline_tbl[[#This Row],[Rep_ID]],Dim_Reps!A:A,Dim_Reps!E:E)</f>
        <v>LATAM</v>
      </c>
      <c r="S4454" t="str">
        <f>_xlfn.XLOOKUP(Pipeline_tbl[[#This Row],[Created_Date]],Dim_Date!A:A,Dim_Date!H:H)</f>
        <v>Jan 2024</v>
      </c>
      <c r="T4454" t="str">
        <f>IF(Pipeline_tbl[[#This Row],[Closed_Date]]=0,"",(_xlfn.XLOOKUP(Pipeline_tbl[[#This Row],[Closed_Date]],Dim_Date!A:A,Dim_Date!H:H)))</f>
        <v>Feb 2024</v>
      </c>
      <c r="U4454">
        <f>IF(Pipeline_tbl[[#This Row],[Closed_Date]]=0,"",Pipeline_tbl[[#This Row],[Closed_Date]]-Pipeline_tbl[[#This Row],[Created_Date]])</f>
        <v>21</v>
      </c>
    </row>
    <row r="4455" spans="1:21" ht="15" customHeight="1" x14ac:dyDescent="0.2">
      <c r="A4455" t="s">
        <v>4761</v>
      </c>
      <c r="B4455" t="s">
        <v>221</v>
      </c>
      <c r="C4455" t="s">
        <v>52</v>
      </c>
      <c r="D4455" s="49">
        <v>45307</v>
      </c>
      <c r="E4455" s="49">
        <v>45310</v>
      </c>
      <c r="F4455" s="49">
        <v>45315</v>
      </c>
      <c r="G4455" s="49">
        <v>45324</v>
      </c>
      <c r="H4455" s="49">
        <v>45331</v>
      </c>
      <c r="I4455" s="49">
        <v>45335</v>
      </c>
      <c r="J4455" t="s">
        <v>47</v>
      </c>
      <c r="K4455" s="33">
        <v>2400</v>
      </c>
      <c r="M4455" t="str">
        <f>_xlfn.XLOOKUP(Pipeline_tbl[[#This Row],[Rep_ID]],Dim_Reps!A:A,Dim_Reps!K:K)</f>
        <v>MXN</v>
      </c>
      <c r="N4455" s="33">
        <f>(_xlfn.XLOOKUP(Pipeline_tbl[[#This Row],[Rate_Code_Generalized]],Lookups!A:A,Lookups!B:B))*Pipeline_tbl[[#This Row],[Pipeline_Amount_USD]]</f>
        <v>47358.48</v>
      </c>
      <c r="O4455" t="str">
        <f>_xlfn.XLOOKUP(Pipeline_tbl[[#This Row],[Rep_ID]],Dim_Reps!A:A,Dim_Reps!B:B)</f>
        <v>Casey Muller</v>
      </c>
      <c r="P4455" t="str">
        <f>_xlfn.XLOOKUP(Pipeline_tbl[[#This Row],[Rep_ID]],Dim_Reps!A:A,Dim_Reps!C:C)</f>
        <v>SDR / Inside Sales Rep</v>
      </c>
      <c r="Q4455" t="str">
        <f>_xlfn.XLOOKUP(Pipeline_tbl[[#This Row],[Rep_ID]],Dim_Reps!A:A,Dim_Reps!D:D)</f>
        <v>Inside Sales</v>
      </c>
      <c r="R4455" t="str">
        <f>_xlfn.XLOOKUP(Pipeline_tbl[[#This Row],[Rep_ID]],Dim_Reps!A:A,Dim_Reps!E:E)</f>
        <v>LATAM</v>
      </c>
      <c r="S4455" t="str">
        <f>_xlfn.XLOOKUP(Pipeline_tbl[[#This Row],[Created_Date]],Dim_Date!A:A,Dim_Date!H:H)</f>
        <v>Jan 2024</v>
      </c>
      <c r="T4455" t="str">
        <f>IF(Pipeline_tbl[[#This Row],[Closed_Date]]=0,"",(_xlfn.XLOOKUP(Pipeline_tbl[[#This Row],[Closed_Date]],Dim_Date!A:A,Dim_Date!H:H)))</f>
        <v>Feb 2024</v>
      </c>
      <c r="U4455">
        <f>IF(Pipeline_tbl[[#This Row],[Closed_Date]]=0,"",Pipeline_tbl[[#This Row],[Closed_Date]]-Pipeline_tbl[[#This Row],[Created_Date]])</f>
        <v>28</v>
      </c>
    </row>
    <row r="4456" spans="1:21" ht="15" customHeight="1" x14ac:dyDescent="0.2">
      <c r="A4456" t="s">
        <v>4762</v>
      </c>
      <c r="B4456" t="s">
        <v>221</v>
      </c>
      <c r="C4456" t="s">
        <v>52</v>
      </c>
      <c r="D4456" s="49">
        <v>45311</v>
      </c>
      <c r="E4456" s="49">
        <v>45313</v>
      </c>
      <c r="F4456" s="49">
        <v>45316</v>
      </c>
      <c r="G4456" s="49">
        <v>45320</v>
      </c>
      <c r="H4456" s="49">
        <v>45324</v>
      </c>
      <c r="I4456" s="49">
        <v>45326</v>
      </c>
      <c r="J4456" t="s">
        <v>47</v>
      </c>
      <c r="K4456" s="33">
        <v>4300</v>
      </c>
      <c r="M4456" t="str">
        <f>_xlfn.XLOOKUP(Pipeline_tbl[[#This Row],[Rep_ID]],Dim_Reps!A:A,Dim_Reps!K:K)</f>
        <v>MXN</v>
      </c>
      <c r="N4456" s="33">
        <f>(_xlfn.XLOOKUP(Pipeline_tbl[[#This Row],[Rate_Code_Generalized]],Lookups!A:A,Lookups!B:B))*Pipeline_tbl[[#This Row],[Pipeline_Amount_USD]]</f>
        <v>84850.61</v>
      </c>
      <c r="O4456" t="str">
        <f>_xlfn.XLOOKUP(Pipeline_tbl[[#This Row],[Rep_ID]],Dim_Reps!A:A,Dim_Reps!B:B)</f>
        <v>Casey Muller</v>
      </c>
      <c r="P4456" t="str">
        <f>_xlfn.XLOOKUP(Pipeline_tbl[[#This Row],[Rep_ID]],Dim_Reps!A:A,Dim_Reps!C:C)</f>
        <v>SDR / Inside Sales Rep</v>
      </c>
      <c r="Q4456" t="str">
        <f>_xlfn.XLOOKUP(Pipeline_tbl[[#This Row],[Rep_ID]],Dim_Reps!A:A,Dim_Reps!D:D)</f>
        <v>Inside Sales</v>
      </c>
      <c r="R4456" t="str">
        <f>_xlfn.XLOOKUP(Pipeline_tbl[[#This Row],[Rep_ID]],Dim_Reps!A:A,Dim_Reps!E:E)</f>
        <v>LATAM</v>
      </c>
      <c r="S4456" t="str">
        <f>_xlfn.XLOOKUP(Pipeline_tbl[[#This Row],[Created_Date]],Dim_Date!A:A,Dim_Date!H:H)</f>
        <v>Jan 2024</v>
      </c>
      <c r="T4456" t="str">
        <f>IF(Pipeline_tbl[[#This Row],[Closed_Date]]=0,"",(_xlfn.XLOOKUP(Pipeline_tbl[[#This Row],[Closed_Date]],Dim_Date!A:A,Dim_Date!H:H)))</f>
        <v>Feb 2024</v>
      </c>
      <c r="U4456">
        <f>IF(Pipeline_tbl[[#This Row],[Closed_Date]]=0,"",Pipeline_tbl[[#This Row],[Closed_Date]]-Pipeline_tbl[[#This Row],[Created_Date]])</f>
        <v>15</v>
      </c>
    </row>
    <row r="4457" spans="1:21" ht="15" customHeight="1" x14ac:dyDescent="0.2">
      <c r="A4457" t="s">
        <v>4763</v>
      </c>
      <c r="B4457" t="s">
        <v>221</v>
      </c>
      <c r="C4457" t="s">
        <v>56</v>
      </c>
      <c r="D4457" s="49">
        <v>45314</v>
      </c>
      <c r="E4457" s="49">
        <v>45316</v>
      </c>
      <c r="F4457" s="49">
        <v>45321</v>
      </c>
      <c r="G4457" s="49">
        <v>45328</v>
      </c>
      <c r="H4457" s="49">
        <v>45334</v>
      </c>
      <c r="I4457" s="49">
        <v>45337</v>
      </c>
      <c r="J4457" t="s">
        <v>49</v>
      </c>
      <c r="K4457" s="33">
        <v>3100</v>
      </c>
      <c r="L4457" t="s">
        <v>60</v>
      </c>
      <c r="M4457" t="str">
        <f>_xlfn.XLOOKUP(Pipeline_tbl[[#This Row],[Rep_ID]],Dim_Reps!A:A,Dim_Reps!K:K)</f>
        <v>MXN</v>
      </c>
      <c r="N4457" s="33">
        <f>(_xlfn.XLOOKUP(Pipeline_tbl[[#This Row],[Rate_Code_Generalized]],Lookups!A:A,Lookups!B:B))*Pipeline_tbl[[#This Row],[Pipeline_Amount_USD]]</f>
        <v>61171.37</v>
      </c>
      <c r="O4457" t="str">
        <f>_xlfn.XLOOKUP(Pipeline_tbl[[#This Row],[Rep_ID]],Dim_Reps!A:A,Dim_Reps!B:B)</f>
        <v>Casey Muller</v>
      </c>
      <c r="P4457" t="str">
        <f>_xlfn.XLOOKUP(Pipeline_tbl[[#This Row],[Rep_ID]],Dim_Reps!A:A,Dim_Reps!C:C)</f>
        <v>SDR / Inside Sales Rep</v>
      </c>
      <c r="Q4457" t="str">
        <f>_xlfn.XLOOKUP(Pipeline_tbl[[#This Row],[Rep_ID]],Dim_Reps!A:A,Dim_Reps!D:D)</f>
        <v>Inside Sales</v>
      </c>
      <c r="R4457" t="str">
        <f>_xlfn.XLOOKUP(Pipeline_tbl[[#This Row],[Rep_ID]],Dim_Reps!A:A,Dim_Reps!E:E)</f>
        <v>LATAM</v>
      </c>
      <c r="S4457" t="str">
        <f>_xlfn.XLOOKUP(Pipeline_tbl[[#This Row],[Created_Date]],Dim_Date!A:A,Dim_Date!H:H)</f>
        <v>Jan 2024</v>
      </c>
      <c r="T4457" t="str">
        <f>IF(Pipeline_tbl[[#This Row],[Closed_Date]]=0,"",(_xlfn.XLOOKUP(Pipeline_tbl[[#This Row],[Closed_Date]],Dim_Date!A:A,Dim_Date!H:H)))</f>
        <v>Feb 2024</v>
      </c>
      <c r="U4457">
        <f>IF(Pipeline_tbl[[#This Row],[Closed_Date]]=0,"",Pipeline_tbl[[#This Row],[Closed_Date]]-Pipeline_tbl[[#This Row],[Created_Date]])</f>
        <v>23</v>
      </c>
    </row>
    <row r="4458" spans="1:21" ht="15" customHeight="1" x14ac:dyDescent="0.2">
      <c r="A4458" t="s">
        <v>4764</v>
      </c>
      <c r="B4458" t="s">
        <v>259</v>
      </c>
      <c r="C4458" t="s">
        <v>52</v>
      </c>
      <c r="D4458" s="49">
        <v>45307</v>
      </c>
      <c r="E4458" s="49">
        <v>45310</v>
      </c>
      <c r="I4458" s="49">
        <v>45338</v>
      </c>
      <c r="J4458" t="s">
        <v>49</v>
      </c>
      <c r="K4458" s="33">
        <v>20300</v>
      </c>
      <c r="L4458" t="s">
        <v>62</v>
      </c>
      <c r="M4458" t="str">
        <f>_xlfn.XLOOKUP(Pipeline_tbl[[#This Row],[Rep_ID]],Dim_Reps!A:A,Dim_Reps!K:K)</f>
        <v>EUR</v>
      </c>
      <c r="N4458" s="33">
        <f>(_xlfn.XLOOKUP(Pipeline_tbl[[#This Row],[Rate_Code_Generalized]],Lookups!A:A,Lookups!B:B))*Pipeline_tbl[[#This Row],[Pipeline_Amount_USD]]</f>
        <v>20300</v>
      </c>
      <c r="O4458" t="str">
        <f>_xlfn.XLOOKUP(Pipeline_tbl[[#This Row],[Rep_ID]],Dim_Reps!A:A,Dim_Reps!B:B)</f>
        <v>Felix Okafor</v>
      </c>
      <c r="P4458" t="str">
        <f>_xlfn.XLOOKUP(Pipeline_tbl[[#This Row],[Rep_ID]],Dim_Reps!A:A,Dim_Reps!C:C)</f>
        <v>Mid-Market AE</v>
      </c>
      <c r="Q4458" t="str">
        <f>_xlfn.XLOOKUP(Pipeline_tbl[[#This Row],[Rep_ID]],Dim_Reps!A:A,Dim_Reps!D:D)</f>
        <v>Mid-Market</v>
      </c>
      <c r="R4458" t="str">
        <f>_xlfn.XLOOKUP(Pipeline_tbl[[#This Row],[Rep_ID]],Dim_Reps!A:A,Dim_Reps!E:E)</f>
        <v>EMEA</v>
      </c>
      <c r="S4458" t="str">
        <f>_xlfn.XLOOKUP(Pipeline_tbl[[#This Row],[Created_Date]],Dim_Date!A:A,Dim_Date!H:H)</f>
        <v>Jan 2024</v>
      </c>
      <c r="T4458" t="str">
        <f>IF(Pipeline_tbl[[#This Row],[Closed_Date]]=0,"",(_xlfn.XLOOKUP(Pipeline_tbl[[#This Row],[Closed_Date]],Dim_Date!A:A,Dim_Date!H:H)))</f>
        <v>Feb 2024</v>
      </c>
      <c r="U4458">
        <f>IF(Pipeline_tbl[[#This Row],[Closed_Date]]=0,"",Pipeline_tbl[[#This Row],[Closed_Date]]-Pipeline_tbl[[#This Row],[Created_Date]])</f>
        <v>31</v>
      </c>
    </row>
    <row r="4459" spans="1:21" ht="15" customHeight="1" x14ac:dyDescent="0.2">
      <c r="A4459" t="s">
        <v>4765</v>
      </c>
      <c r="B4459" t="s">
        <v>259</v>
      </c>
      <c r="C4459" t="s">
        <v>53</v>
      </c>
      <c r="D4459" s="49">
        <v>45298</v>
      </c>
      <c r="E4459" s="49">
        <v>45302</v>
      </c>
      <c r="F4459" s="49">
        <v>45309</v>
      </c>
      <c r="G4459" s="49">
        <v>45320</v>
      </c>
      <c r="H4459" s="49">
        <v>45329</v>
      </c>
      <c r="I4459" s="49">
        <v>45335</v>
      </c>
      <c r="J4459" t="s">
        <v>47</v>
      </c>
      <c r="K4459" s="33">
        <v>11000</v>
      </c>
      <c r="M4459" t="str">
        <f>_xlfn.XLOOKUP(Pipeline_tbl[[#This Row],[Rep_ID]],Dim_Reps!A:A,Dim_Reps!K:K)</f>
        <v>EUR</v>
      </c>
      <c r="N4459" s="33">
        <f>(_xlfn.XLOOKUP(Pipeline_tbl[[#This Row],[Rate_Code_Generalized]],Lookups!A:A,Lookups!B:B))*Pipeline_tbl[[#This Row],[Pipeline_Amount_USD]]</f>
        <v>11000</v>
      </c>
      <c r="O4459" t="str">
        <f>_xlfn.XLOOKUP(Pipeline_tbl[[#This Row],[Rep_ID]],Dim_Reps!A:A,Dim_Reps!B:B)</f>
        <v>Felix Okafor</v>
      </c>
      <c r="P4459" t="str">
        <f>_xlfn.XLOOKUP(Pipeline_tbl[[#This Row],[Rep_ID]],Dim_Reps!A:A,Dim_Reps!C:C)</f>
        <v>Mid-Market AE</v>
      </c>
      <c r="Q4459" t="str">
        <f>_xlfn.XLOOKUP(Pipeline_tbl[[#This Row],[Rep_ID]],Dim_Reps!A:A,Dim_Reps!D:D)</f>
        <v>Mid-Market</v>
      </c>
      <c r="R4459" t="str">
        <f>_xlfn.XLOOKUP(Pipeline_tbl[[#This Row],[Rep_ID]],Dim_Reps!A:A,Dim_Reps!E:E)</f>
        <v>EMEA</v>
      </c>
      <c r="S4459" t="str">
        <f>_xlfn.XLOOKUP(Pipeline_tbl[[#This Row],[Created_Date]],Dim_Date!A:A,Dim_Date!H:H)</f>
        <v>Jan 2024</v>
      </c>
      <c r="T4459" t="str">
        <f>IF(Pipeline_tbl[[#This Row],[Closed_Date]]=0,"",(_xlfn.XLOOKUP(Pipeline_tbl[[#This Row],[Closed_Date]],Dim_Date!A:A,Dim_Date!H:H)))</f>
        <v>Feb 2024</v>
      </c>
      <c r="U4459">
        <f>IF(Pipeline_tbl[[#This Row],[Closed_Date]]=0,"",Pipeline_tbl[[#This Row],[Closed_Date]]-Pipeline_tbl[[#This Row],[Created_Date]])</f>
        <v>37</v>
      </c>
    </row>
    <row r="4460" spans="1:21" ht="15" customHeight="1" x14ac:dyDescent="0.2">
      <c r="A4460" t="s">
        <v>4766</v>
      </c>
      <c r="B4460" t="s">
        <v>259</v>
      </c>
      <c r="C4460" t="s">
        <v>54</v>
      </c>
      <c r="D4460" s="49">
        <v>45321</v>
      </c>
      <c r="E4460" s="49">
        <v>45323</v>
      </c>
      <c r="F4460" s="49">
        <v>45328</v>
      </c>
      <c r="G4460" s="49">
        <v>45335</v>
      </c>
      <c r="H4460" s="49">
        <v>45341</v>
      </c>
      <c r="I4460" s="49">
        <v>45344</v>
      </c>
      <c r="J4460" t="s">
        <v>49</v>
      </c>
      <c r="K4460" s="33">
        <v>10400</v>
      </c>
      <c r="L4460" t="s">
        <v>63</v>
      </c>
      <c r="M4460" t="str">
        <f>_xlfn.XLOOKUP(Pipeline_tbl[[#This Row],[Rep_ID]],Dim_Reps!A:A,Dim_Reps!K:K)</f>
        <v>EUR</v>
      </c>
      <c r="N4460" s="33">
        <f>(_xlfn.XLOOKUP(Pipeline_tbl[[#This Row],[Rate_Code_Generalized]],Lookups!A:A,Lookups!B:B))*Pipeline_tbl[[#This Row],[Pipeline_Amount_USD]]</f>
        <v>10400</v>
      </c>
      <c r="O4460" t="str">
        <f>_xlfn.XLOOKUP(Pipeline_tbl[[#This Row],[Rep_ID]],Dim_Reps!A:A,Dim_Reps!B:B)</f>
        <v>Felix Okafor</v>
      </c>
      <c r="P4460" t="str">
        <f>_xlfn.XLOOKUP(Pipeline_tbl[[#This Row],[Rep_ID]],Dim_Reps!A:A,Dim_Reps!C:C)</f>
        <v>Mid-Market AE</v>
      </c>
      <c r="Q4460" t="str">
        <f>_xlfn.XLOOKUP(Pipeline_tbl[[#This Row],[Rep_ID]],Dim_Reps!A:A,Dim_Reps!D:D)</f>
        <v>Mid-Market</v>
      </c>
      <c r="R4460" t="str">
        <f>_xlfn.XLOOKUP(Pipeline_tbl[[#This Row],[Rep_ID]],Dim_Reps!A:A,Dim_Reps!E:E)</f>
        <v>EMEA</v>
      </c>
      <c r="S4460" t="str">
        <f>_xlfn.XLOOKUP(Pipeline_tbl[[#This Row],[Created_Date]],Dim_Date!A:A,Dim_Date!H:H)</f>
        <v>Jan 2024</v>
      </c>
      <c r="T4460" t="str">
        <f>IF(Pipeline_tbl[[#This Row],[Closed_Date]]=0,"",(_xlfn.XLOOKUP(Pipeline_tbl[[#This Row],[Closed_Date]],Dim_Date!A:A,Dim_Date!H:H)))</f>
        <v>Feb 2024</v>
      </c>
      <c r="U4460">
        <f>IF(Pipeline_tbl[[#This Row],[Closed_Date]]=0,"",Pipeline_tbl[[#This Row],[Closed_Date]]-Pipeline_tbl[[#This Row],[Created_Date]])</f>
        <v>23</v>
      </c>
    </row>
    <row r="4461" spans="1:21" ht="15" customHeight="1" x14ac:dyDescent="0.2">
      <c r="A4461" t="s">
        <v>4767</v>
      </c>
      <c r="B4461" t="s">
        <v>259</v>
      </c>
      <c r="C4461" t="s">
        <v>54</v>
      </c>
      <c r="D4461" s="49">
        <v>45302</v>
      </c>
      <c r="E4461" s="49">
        <v>45305</v>
      </c>
      <c r="F4461" s="49">
        <v>45311</v>
      </c>
      <c r="G4461" s="49">
        <v>45321</v>
      </c>
      <c r="H4461" s="49">
        <v>45328</v>
      </c>
      <c r="I4461" s="49">
        <v>45333</v>
      </c>
      <c r="J4461" t="s">
        <v>47</v>
      </c>
      <c r="K4461" s="33">
        <v>8100</v>
      </c>
      <c r="M4461" t="str">
        <f>_xlfn.XLOOKUP(Pipeline_tbl[[#This Row],[Rep_ID]],Dim_Reps!A:A,Dim_Reps!K:K)</f>
        <v>EUR</v>
      </c>
      <c r="N4461" s="33">
        <f>(_xlfn.XLOOKUP(Pipeline_tbl[[#This Row],[Rate_Code_Generalized]],Lookups!A:A,Lookups!B:B))*Pipeline_tbl[[#This Row],[Pipeline_Amount_USD]]</f>
        <v>8100</v>
      </c>
      <c r="O4461" t="str">
        <f>_xlfn.XLOOKUP(Pipeline_tbl[[#This Row],[Rep_ID]],Dim_Reps!A:A,Dim_Reps!B:B)</f>
        <v>Felix Okafor</v>
      </c>
      <c r="P4461" t="str">
        <f>_xlfn.XLOOKUP(Pipeline_tbl[[#This Row],[Rep_ID]],Dim_Reps!A:A,Dim_Reps!C:C)</f>
        <v>Mid-Market AE</v>
      </c>
      <c r="Q4461" t="str">
        <f>_xlfn.XLOOKUP(Pipeline_tbl[[#This Row],[Rep_ID]],Dim_Reps!A:A,Dim_Reps!D:D)</f>
        <v>Mid-Market</v>
      </c>
      <c r="R4461" t="str">
        <f>_xlfn.XLOOKUP(Pipeline_tbl[[#This Row],[Rep_ID]],Dim_Reps!A:A,Dim_Reps!E:E)</f>
        <v>EMEA</v>
      </c>
      <c r="S4461" t="str">
        <f>_xlfn.XLOOKUP(Pipeline_tbl[[#This Row],[Created_Date]],Dim_Date!A:A,Dim_Date!H:H)</f>
        <v>Jan 2024</v>
      </c>
      <c r="T4461" t="str">
        <f>IF(Pipeline_tbl[[#This Row],[Closed_Date]]=0,"",(_xlfn.XLOOKUP(Pipeline_tbl[[#This Row],[Closed_Date]],Dim_Date!A:A,Dim_Date!H:H)))</f>
        <v>Feb 2024</v>
      </c>
      <c r="U4461">
        <f>IF(Pipeline_tbl[[#This Row],[Closed_Date]]=0,"",Pipeline_tbl[[#This Row],[Closed_Date]]-Pipeline_tbl[[#This Row],[Created_Date]])</f>
        <v>31</v>
      </c>
    </row>
    <row r="4462" spans="1:21" ht="15" customHeight="1" x14ac:dyDescent="0.2">
      <c r="A4462" t="s">
        <v>4768</v>
      </c>
      <c r="B4462" t="s">
        <v>259</v>
      </c>
      <c r="C4462" t="s">
        <v>55</v>
      </c>
      <c r="D4462" s="49">
        <v>45301</v>
      </c>
      <c r="E4462" s="49">
        <v>45304</v>
      </c>
      <c r="F4462" s="49">
        <v>45309</v>
      </c>
      <c r="G4462" s="49">
        <v>45317</v>
      </c>
      <c r="I4462" s="49">
        <v>45327</v>
      </c>
      <c r="J4462" t="s">
        <v>49</v>
      </c>
      <c r="K4462" s="33">
        <v>12400</v>
      </c>
      <c r="L4462" t="s">
        <v>62</v>
      </c>
      <c r="M4462" t="str">
        <f>_xlfn.XLOOKUP(Pipeline_tbl[[#This Row],[Rep_ID]],Dim_Reps!A:A,Dim_Reps!K:K)</f>
        <v>EUR</v>
      </c>
      <c r="N4462" s="33">
        <f>(_xlfn.XLOOKUP(Pipeline_tbl[[#This Row],[Rate_Code_Generalized]],Lookups!A:A,Lookups!B:B))*Pipeline_tbl[[#This Row],[Pipeline_Amount_USD]]</f>
        <v>12400</v>
      </c>
      <c r="O4462" t="str">
        <f>_xlfn.XLOOKUP(Pipeline_tbl[[#This Row],[Rep_ID]],Dim_Reps!A:A,Dim_Reps!B:B)</f>
        <v>Felix Okafor</v>
      </c>
      <c r="P4462" t="str">
        <f>_xlfn.XLOOKUP(Pipeline_tbl[[#This Row],[Rep_ID]],Dim_Reps!A:A,Dim_Reps!C:C)</f>
        <v>Mid-Market AE</v>
      </c>
      <c r="Q4462" t="str">
        <f>_xlfn.XLOOKUP(Pipeline_tbl[[#This Row],[Rep_ID]],Dim_Reps!A:A,Dim_Reps!D:D)</f>
        <v>Mid-Market</v>
      </c>
      <c r="R4462" t="str">
        <f>_xlfn.XLOOKUP(Pipeline_tbl[[#This Row],[Rep_ID]],Dim_Reps!A:A,Dim_Reps!E:E)</f>
        <v>EMEA</v>
      </c>
      <c r="S4462" t="str">
        <f>_xlfn.XLOOKUP(Pipeline_tbl[[#This Row],[Created_Date]],Dim_Date!A:A,Dim_Date!H:H)</f>
        <v>Jan 2024</v>
      </c>
      <c r="T4462" t="str">
        <f>IF(Pipeline_tbl[[#This Row],[Closed_Date]]=0,"",(_xlfn.XLOOKUP(Pipeline_tbl[[#This Row],[Closed_Date]],Dim_Date!A:A,Dim_Date!H:H)))</f>
        <v>Feb 2024</v>
      </c>
      <c r="U4462">
        <f>IF(Pipeline_tbl[[#This Row],[Closed_Date]]=0,"",Pipeline_tbl[[#This Row],[Closed_Date]]-Pipeline_tbl[[#This Row],[Created_Date]])</f>
        <v>26</v>
      </c>
    </row>
    <row r="4463" spans="1:21" ht="15" customHeight="1" x14ac:dyDescent="0.2">
      <c r="A4463" t="s">
        <v>4769</v>
      </c>
      <c r="B4463" t="s">
        <v>259</v>
      </c>
      <c r="C4463" t="s">
        <v>54</v>
      </c>
      <c r="D4463" s="49">
        <v>45322</v>
      </c>
      <c r="E4463" s="49">
        <v>45325</v>
      </c>
      <c r="F4463" s="49">
        <v>45331</v>
      </c>
      <c r="G4463" s="49">
        <v>45339</v>
      </c>
      <c r="H4463" s="49">
        <v>45347</v>
      </c>
      <c r="I4463" s="49">
        <v>45351</v>
      </c>
      <c r="J4463" t="s">
        <v>47</v>
      </c>
      <c r="K4463" s="33">
        <v>7300</v>
      </c>
      <c r="M4463" t="str">
        <f>_xlfn.XLOOKUP(Pipeline_tbl[[#This Row],[Rep_ID]],Dim_Reps!A:A,Dim_Reps!K:K)</f>
        <v>EUR</v>
      </c>
      <c r="N4463" s="33">
        <f>(_xlfn.XLOOKUP(Pipeline_tbl[[#This Row],[Rate_Code_Generalized]],Lookups!A:A,Lookups!B:B))*Pipeline_tbl[[#This Row],[Pipeline_Amount_USD]]</f>
        <v>7300</v>
      </c>
      <c r="O4463" t="str">
        <f>_xlfn.XLOOKUP(Pipeline_tbl[[#This Row],[Rep_ID]],Dim_Reps!A:A,Dim_Reps!B:B)</f>
        <v>Felix Okafor</v>
      </c>
      <c r="P4463" t="str">
        <f>_xlfn.XLOOKUP(Pipeline_tbl[[#This Row],[Rep_ID]],Dim_Reps!A:A,Dim_Reps!C:C)</f>
        <v>Mid-Market AE</v>
      </c>
      <c r="Q4463" t="str">
        <f>_xlfn.XLOOKUP(Pipeline_tbl[[#This Row],[Rep_ID]],Dim_Reps!A:A,Dim_Reps!D:D)</f>
        <v>Mid-Market</v>
      </c>
      <c r="R4463" t="str">
        <f>_xlfn.XLOOKUP(Pipeline_tbl[[#This Row],[Rep_ID]],Dim_Reps!A:A,Dim_Reps!E:E)</f>
        <v>EMEA</v>
      </c>
      <c r="S4463" t="str">
        <f>_xlfn.XLOOKUP(Pipeline_tbl[[#This Row],[Created_Date]],Dim_Date!A:A,Dim_Date!H:H)</f>
        <v>Jan 2024</v>
      </c>
      <c r="T4463" t="str">
        <f>IF(Pipeline_tbl[[#This Row],[Closed_Date]]=0,"",(_xlfn.XLOOKUP(Pipeline_tbl[[#This Row],[Closed_Date]],Dim_Date!A:A,Dim_Date!H:H)))</f>
        <v>Feb 2024</v>
      </c>
      <c r="U4463">
        <f>IF(Pipeline_tbl[[#This Row],[Closed_Date]]=0,"",Pipeline_tbl[[#This Row],[Closed_Date]]-Pipeline_tbl[[#This Row],[Created_Date]])</f>
        <v>29</v>
      </c>
    </row>
    <row r="4464" spans="1:21" ht="15" customHeight="1" x14ac:dyDescent="0.2">
      <c r="A4464" t="s">
        <v>4770</v>
      </c>
      <c r="B4464" t="s">
        <v>225</v>
      </c>
      <c r="C4464" t="s">
        <v>55</v>
      </c>
      <c r="D4464" s="49">
        <v>45310</v>
      </c>
      <c r="E4464" s="49">
        <v>45312</v>
      </c>
      <c r="F4464" s="49">
        <v>45317</v>
      </c>
      <c r="G4464" s="49">
        <v>45324</v>
      </c>
      <c r="H4464" s="49">
        <v>45330</v>
      </c>
      <c r="I4464" s="49">
        <v>45334</v>
      </c>
      <c r="J4464" t="s">
        <v>49</v>
      </c>
      <c r="K4464" s="33">
        <v>3500</v>
      </c>
      <c r="L4464" t="s">
        <v>63</v>
      </c>
      <c r="M4464" t="str">
        <f>_xlfn.XLOOKUP(Pipeline_tbl[[#This Row],[Rep_ID]],Dim_Reps!A:A,Dim_Reps!K:K)</f>
        <v>USD</v>
      </c>
      <c r="N4464" s="33">
        <f>(_xlfn.XLOOKUP(Pipeline_tbl[[#This Row],[Rate_Code_Generalized]],Lookups!A:A,Lookups!B:B))*Pipeline_tbl[[#This Row],[Pipeline_Amount_USD]]</f>
        <v>4075.0499999999997</v>
      </c>
      <c r="O4464" t="str">
        <f>_xlfn.XLOOKUP(Pipeline_tbl[[#This Row],[Rep_ID]],Dim_Reps!A:A,Dim_Reps!B:B)</f>
        <v>Alex Muller</v>
      </c>
      <c r="P4464" t="str">
        <f>_xlfn.XLOOKUP(Pipeline_tbl[[#This Row],[Rep_ID]],Dim_Reps!A:A,Dim_Reps!C:C)</f>
        <v>SDR / Inside Sales Rep</v>
      </c>
      <c r="Q4464" t="str">
        <f>_xlfn.XLOOKUP(Pipeline_tbl[[#This Row],[Rep_ID]],Dim_Reps!A:A,Dim_Reps!D:D)</f>
        <v>Inside Sales</v>
      </c>
      <c r="R4464" t="str">
        <f>_xlfn.XLOOKUP(Pipeline_tbl[[#This Row],[Rep_ID]],Dim_Reps!A:A,Dim_Reps!E:E)</f>
        <v>NAMER</v>
      </c>
      <c r="S4464" t="str">
        <f>_xlfn.XLOOKUP(Pipeline_tbl[[#This Row],[Created_Date]],Dim_Date!A:A,Dim_Date!H:H)</f>
        <v>Jan 2024</v>
      </c>
      <c r="T4464" t="str">
        <f>IF(Pipeline_tbl[[#This Row],[Closed_Date]]=0,"",(_xlfn.XLOOKUP(Pipeline_tbl[[#This Row],[Closed_Date]],Dim_Date!A:A,Dim_Date!H:H)))</f>
        <v>Feb 2024</v>
      </c>
      <c r="U4464">
        <f>IF(Pipeline_tbl[[#This Row],[Closed_Date]]=0,"",Pipeline_tbl[[#This Row],[Closed_Date]]-Pipeline_tbl[[#This Row],[Created_Date]])</f>
        <v>24</v>
      </c>
    </row>
    <row r="4465" spans="1:21" ht="15" customHeight="1" x14ac:dyDescent="0.2">
      <c r="A4465" t="s">
        <v>4771</v>
      </c>
      <c r="B4465" t="s">
        <v>225</v>
      </c>
      <c r="C4465" t="s">
        <v>52</v>
      </c>
      <c r="D4465" s="49">
        <v>45316</v>
      </c>
      <c r="E4465" s="49">
        <v>45318</v>
      </c>
      <c r="F4465" s="49">
        <v>45323</v>
      </c>
      <c r="G4465" s="49">
        <v>45330</v>
      </c>
      <c r="H4465" s="49">
        <v>45336</v>
      </c>
      <c r="I4465" s="49">
        <v>45340</v>
      </c>
      <c r="J4465" t="s">
        <v>49</v>
      </c>
      <c r="K4465" s="33">
        <v>1600</v>
      </c>
      <c r="L4465" t="s">
        <v>63</v>
      </c>
      <c r="M4465" t="str">
        <f>_xlfn.XLOOKUP(Pipeline_tbl[[#This Row],[Rep_ID]],Dim_Reps!A:A,Dim_Reps!K:K)</f>
        <v>USD</v>
      </c>
      <c r="N4465" s="33">
        <f>(_xlfn.XLOOKUP(Pipeline_tbl[[#This Row],[Rate_Code_Generalized]],Lookups!A:A,Lookups!B:B))*Pipeline_tbl[[#This Row],[Pipeline_Amount_USD]]</f>
        <v>1862.8799999999999</v>
      </c>
      <c r="O4465" t="str">
        <f>_xlfn.XLOOKUP(Pipeline_tbl[[#This Row],[Rep_ID]],Dim_Reps!A:A,Dim_Reps!B:B)</f>
        <v>Alex Muller</v>
      </c>
      <c r="P4465" t="str">
        <f>_xlfn.XLOOKUP(Pipeline_tbl[[#This Row],[Rep_ID]],Dim_Reps!A:A,Dim_Reps!C:C)</f>
        <v>SDR / Inside Sales Rep</v>
      </c>
      <c r="Q4465" t="str">
        <f>_xlfn.XLOOKUP(Pipeline_tbl[[#This Row],[Rep_ID]],Dim_Reps!A:A,Dim_Reps!D:D)</f>
        <v>Inside Sales</v>
      </c>
      <c r="R4465" t="str">
        <f>_xlfn.XLOOKUP(Pipeline_tbl[[#This Row],[Rep_ID]],Dim_Reps!A:A,Dim_Reps!E:E)</f>
        <v>NAMER</v>
      </c>
      <c r="S4465" t="str">
        <f>_xlfn.XLOOKUP(Pipeline_tbl[[#This Row],[Created_Date]],Dim_Date!A:A,Dim_Date!H:H)</f>
        <v>Jan 2024</v>
      </c>
      <c r="T4465" t="str">
        <f>IF(Pipeline_tbl[[#This Row],[Closed_Date]]=0,"",(_xlfn.XLOOKUP(Pipeline_tbl[[#This Row],[Closed_Date]],Dim_Date!A:A,Dim_Date!H:H)))</f>
        <v>Feb 2024</v>
      </c>
      <c r="U4465">
        <f>IF(Pipeline_tbl[[#This Row],[Closed_Date]]=0,"",Pipeline_tbl[[#This Row],[Closed_Date]]-Pipeline_tbl[[#This Row],[Created_Date]])</f>
        <v>24</v>
      </c>
    </row>
    <row r="4466" spans="1:21" ht="15" customHeight="1" x14ac:dyDescent="0.2">
      <c r="A4466" t="s">
        <v>4772</v>
      </c>
      <c r="B4466" t="s">
        <v>225</v>
      </c>
      <c r="C4466" t="s">
        <v>53</v>
      </c>
      <c r="D4466" s="49">
        <v>45318</v>
      </c>
      <c r="E4466" s="49">
        <v>45319</v>
      </c>
      <c r="I4466" s="49">
        <v>45326</v>
      </c>
      <c r="J4466" t="s">
        <v>49</v>
      </c>
      <c r="K4466" s="33">
        <v>3200</v>
      </c>
      <c r="L4466" t="s">
        <v>61</v>
      </c>
      <c r="M4466" t="str">
        <f>_xlfn.XLOOKUP(Pipeline_tbl[[#This Row],[Rep_ID]],Dim_Reps!A:A,Dim_Reps!K:K)</f>
        <v>USD</v>
      </c>
      <c r="N4466" s="33">
        <f>(_xlfn.XLOOKUP(Pipeline_tbl[[#This Row],[Rate_Code_Generalized]],Lookups!A:A,Lookups!B:B))*Pipeline_tbl[[#This Row],[Pipeline_Amount_USD]]</f>
        <v>3725.7599999999998</v>
      </c>
      <c r="O4466" t="str">
        <f>_xlfn.XLOOKUP(Pipeline_tbl[[#This Row],[Rep_ID]],Dim_Reps!A:A,Dim_Reps!B:B)</f>
        <v>Alex Muller</v>
      </c>
      <c r="P4466" t="str">
        <f>_xlfn.XLOOKUP(Pipeline_tbl[[#This Row],[Rep_ID]],Dim_Reps!A:A,Dim_Reps!C:C)</f>
        <v>SDR / Inside Sales Rep</v>
      </c>
      <c r="Q4466" t="str">
        <f>_xlfn.XLOOKUP(Pipeline_tbl[[#This Row],[Rep_ID]],Dim_Reps!A:A,Dim_Reps!D:D)</f>
        <v>Inside Sales</v>
      </c>
      <c r="R4466" t="str">
        <f>_xlfn.XLOOKUP(Pipeline_tbl[[#This Row],[Rep_ID]],Dim_Reps!A:A,Dim_Reps!E:E)</f>
        <v>NAMER</v>
      </c>
      <c r="S4466" t="str">
        <f>_xlfn.XLOOKUP(Pipeline_tbl[[#This Row],[Created_Date]],Dim_Date!A:A,Dim_Date!H:H)</f>
        <v>Jan 2024</v>
      </c>
      <c r="T4466" t="str">
        <f>IF(Pipeline_tbl[[#This Row],[Closed_Date]]=0,"",(_xlfn.XLOOKUP(Pipeline_tbl[[#This Row],[Closed_Date]],Dim_Date!A:A,Dim_Date!H:H)))</f>
        <v>Feb 2024</v>
      </c>
      <c r="U4466">
        <f>IF(Pipeline_tbl[[#This Row],[Closed_Date]]=0,"",Pipeline_tbl[[#This Row],[Closed_Date]]-Pipeline_tbl[[#This Row],[Created_Date]])</f>
        <v>8</v>
      </c>
    </row>
    <row r="4467" spans="1:21" ht="15" customHeight="1" x14ac:dyDescent="0.2">
      <c r="A4467" t="s">
        <v>4773</v>
      </c>
      <c r="B4467" t="s">
        <v>225</v>
      </c>
      <c r="C4467" t="s">
        <v>53</v>
      </c>
      <c r="D4467" s="49">
        <v>45314</v>
      </c>
      <c r="E4467" s="49">
        <v>45315</v>
      </c>
      <c r="F4467" s="49">
        <v>45317</v>
      </c>
      <c r="G4467" s="49">
        <v>45321</v>
      </c>
      <c r="H4467" s="49">
        <v>45323</v>
      </c>
      <c r="I4467" s="49">
        <v>45325</v>
      </c>
      <c r="J4467" t="s">
        <v>47</v>
      </c>
      <c r="K4467" s="33">
        <v>5600</v>
      </c>
      <c r="M4467" t="str">
        <f>_xlfn.XLOOKUP(Pipeline_tbl[[#This Row],[Rep_ID]],Dim_Reps!A:A,Dim_Reps!K:K)</f>
        <v>USD</v>
      </c>
      <c r="N4467" s="33">
        <f>(_xlfn.XLOOKUP(Pipeline_tbl[[#This Row],[Rate_Code_Generalized]],Lookups!A:A,Lookups!B:B))*Pipeline_tbl[[#This Row],[Pipeline_Amount_USD]]</f>
        <v>6520.079999999999</v>
      </c>
      <c r="O4467" t="str">
        <f>_xlfn.XLOOKUP(Pipeline_tbl[[#This Row],[Rep_ID]],Dim_Reps!A:A,Dim_Reps!B:B)</f>
        <v>Alex Muller</v>
      </c>
      <c r="P4467" t="str">
        <f>_xlfn.XLOOKUP(Pipeline_tbl[[#This Row],[Rep_ID]],Dim_Reps!A:A,Dim_Reps!C:C)</f>
        <v>SDR / Inside Sales Rep</v>
      </c>
      <c r="Q4467" t="str">
        <f>_xlfn.XLOOKUP(Pipeline_tbl[[#This Row],[Rep_ID]],Dim_Reps!A:A,Dim_Reps!D:D)</f>
        <v>Inside Sales</v>
      </c>
      <c r="R4467" t="str">
        <f>_xlfn.XLOOKUP(Pipeline_tbl[[#This Row],[Rep_ID]],Dim_Reps!A:A,Dim_Reps!E:E)</f>
        <v>NAMER</v>
      </c>
      <c r="S4467" t="str">
        <f>_xlfn.XLOOKUP(Pipeline_tbl[[#This Row],[Created_Date]],Dim_Date!A:A,Dim_Date!H:H)</f>
        <v>Jan 2024</v>
      </c>
      <c r="T4467" t="str">
        <f>IF(Pipeline_tbl[[#This Row],[Closed_Date]]=0,"",(_xlfn.XLOOKUP(Pipeline_tbl[[#This Row],[Closed_Date]],Dim_Date!A:A,Dim_Date!H:H)))</f>
        <v>Feb 2024</v>
      </c>
      <c r="U4467">
        <f>IF(Pipeline_tbl[[#This Row],[Closed_Date]]=0,"",Pipeline_tbl[[#This Row],[Closed_Date]]-Pipeline_tbl[[#This Row],[Created_Date]])</f>
        <v>11</v>
      </c>
    </row>
    <row r="4468" spans="1:21" ht="15" customHeight="1" x14ac:dyDescent="0.2">
      <c r="A4468" t="s">
        <v>4774</v>
      </c>
      <c r="B4468" t="s">
        <v>225</v>
      </c>
      <c r="C4468" t="s">
        <v>53</v>
      </c>
      <c r="D4468" s="49">
        <v>45318</v>
      </c>
      <c r="E4468" s="49">
        <v>45320</v>
      </c>
      <c r="F4468" s="49">
        <v>45323</v>
      </c>
      <c r="G4468" s="49">
        <v>45329</v>
      </c>
      <c r="H4468" s="49">
        <v>45333</v>
      </c>
      <c r="I4468" s="49">
        <v>45336</v>
      </c>
      <c r="J4468" t="s">
        <v>49</v>
      </c>
      <c r="K4468" s="33">
        <v>2900</v>
      </c>
      <c r="L4468" t="s">
        <v>63</v>
      </c>
      <c r="M4468" t="str">
        <f>_xlfn.XLOOKUP(Pipeline_tbl[[#This Row],[Rep_ID]],Dim_Reps!A:A,Dim_Reps!K:K)</f>
        <v>USD</v>
      </c>
      <c r="N4468" s="33">
        <f>(_xlfn.XLOOKUP(Pipeline_tbl[[#This Row],[Rate_Code_Generalized]],Lookups!A:A,Lookups!B:B))*Pipeline_tbl[[#This Row],[Pipeline_Amount_USD]]</f>
        <v>3376.47</v>
      </c>
      <c r="O4468" t="str">
        <f>_xlfn.XLOOKUP(Pipeline_tbl[[#This Row],[Rep_ID]],Dim_Reps!A:A,Dim_Reps!B:B)</f>
        <v>Alex Muller</v>
      </c>
      <c r="P4468" t="str">
        <f>_xlfn.XLOOKUP(Pipeline_tbl[[#This Row],[Rep_ID]],Dim_Reps!A:A,Dim_Reps!C:C)</f>
        <v>SDR / Inside Sales Rep</v>
      </c>
      <c r="Q4468" t="str">
        <f>_xlfn.XLOOKUP(Pipeline_tbl[[#This Row],[Rep_ID]],Dim_Reps!A:A,Dim_Reps!D:D)</f>
        <v>Inside Sales</v>
      </c>
      <c r="R4468" t="str">
        <f>_xlfn.XLOOKUP(Pipeline_tbl[[#This Row],[Rep_ID]],Dim_Reps!A:A,Dim_Reps!E:E)</f>
        <v>NAMER</v>
      </c>
      <c r="S4468" t="str">
        <f>_xlfn.XLOOKUP(Pipeline_tbl[[#This Row],[Created_Date]],Dim_Date!A:A,Dim_Date!H:H)</f>
        <v>Jan 2024</v>
      </c>
      <c r="T4468" t="str">
        <f>IF(Pipeline_tbl[[#This Row],[Closed_Date]]=0,"",(_xlfn.XLOOKUP(Pipeline_tbl[[#This Row],[Closed_Date]],Dim_Date!A:A,Dim_Date!H:H)))</f>
        <v>Feb 2024</v>
      </c>
      <c r="U4468">
        <f>IF(Pipeline_tbl[[#This Row],[Closed_Date]]=0,"",Pipeline_tbl[[#This Row],[Closed_Date]]-Pipeline_tbl[[#This Row],[Created_Date]])</f>
        <v>18</v>
      </c>
    </row>
    <row r="4469" spans="1:21" ht="15" customHeight="1" x14ac:dyDescent="0.2">
      <c r="A4469" t="s">
        <v>4775</v>
      </c>
      <c r="B4469" t="s">
        <v>225</v>
      </c>
      <c r="C4469" t="s">
        <v>52</v>
      </c>
      <c r="D4469" s="49">
        <v>45321</v>
      </c>
      <c r="E4469" s="49">
        <v>45323</v>
      </c>
      <c r="F4469" s="49">
        <v>45326</v>
      </c>
      <c r="I4469" s="49">
        <v>45337</v>
      </c>
      <c r="J4469" t="s">
        <v>49</v>
      </c>
      <c r="K4469" s="33">
        <v>4400</v>
      </c>
      <c r="L4469" t="s">
        <v>60</v>
      </c>
      <c r="M4469" t="str">
        <f>_xlfn.XLOOKUP(Pipeline_tbl[[#This Row],[Rep_ID]],Dim_Reps!A:A,Dim_Reps!K:K)</f>
        <v>USD</v>
      </c>
      <c r="N4469" s="33">
        <f>(_xlfn.XLOOKUP(Pipeline_tbl[[#This Row],[Rate_Code_Generalized]],Lookups!A:A,Lookups!B:B))*Pipeline_tbl[[#This Row],[Pipeline_Amount_USD]]</f>
        <v>5122.9199999999992</v>
      </c>
      <c r="O4469" t="str">
        <f>_xlfn.XLOOKUP(Pipeline_tbl[[#This Row],[Rep_ID]],Dim_Reps!A:A,Dim_Reps!B:B)</f>
        <v>Alex Muller</v>
      </c>
      <c r="P4469" t="str">
        <f>_xlfn.XLOOKUP(Pipeline_tbl[[#This Row],[Rep_ID]],Dim_Reps!A:A,Dim_Reps!C:C)</f>
        <v>SDR / Inside Sales Rep</v>
      </c>
      <c r="Q4469" t="str">
        <f>_xlfn.XLOOKUP(Pipeline_tbl[[#This Row],[Rep_ID]],Dim_Reps!A:A,Dim_Reps!D:D)</f>
        <v>Inside Sales</v>
      </c>
      <c r="R4469" t="str">
        <f>_xlfn.XLOOKUP(Pipeline_tbl[[#This Row],[Rep_ID]],Dim_Reps!A:A,Dim_Reps!E:E)</f>
        <v>NAMER</v>
      </c>
      <c r="S4469" t="str">
        <f>_xlfn.XLOOKUP(Pipeline_tbl[[#This Row],[Created_Date]],Dim_Date!A:A,Dim_Date!H:H)</f>
        <v>Jan 2024</v>
      </c>
      <c r="T4469" t="str">
        <f>IF(Pipeline_tbl[[#This Row],[Closed_Date]]=0,"",(_xlfn.XLOOKUP(Pipeline_tbl[[#This Row],[Closed_Date]],Dim_Date!A:A,Dim_Date!H:H)))</f>
        <v>Feb 2024</v>
      </c>
      <c r="U4469">
        <f>IF(Pipeline_tbl[[#This Row],[Closed_Date]]=0,"",Pipeline_tbl[[#This Row],[Closed_Date]]-Pipeline_tbl[[#This Row],[Created_Date]])</f>
        <v>16</v>
      </c>
    </row>
    <row r="4470" spans="1:21" ht="15" customHeight="1" x14ac:dyDescent="0.2">
      <c r="A4470" t="s">
        <v>4776</v>
      </c>
      <c r="B4470" t="s">
        <v>227</v>
      </c>
      <c r="C4470" t="s">
        <v>56</v>
      </c>
      <c r="D4470" s="49">
        <v>45317</v>
      </c>
      <c r="E4470" s="49">
        <v>45319</v>
      </c>
      <c r="F4470" s="49">
        <v>45322</v>
      </c>
      <c r="G4470" s="49">
        <v>45326</v>
      </c>
      <c r="H4470" s="49">
        <v>45330</v>
      </c>
      <c r="I4470" s="49">
        <v>45332</v>
      </c>
      <c r="J4470" t="s">
        <v>47</v>
      </c>
      <c r="K4470" s="33">
        <v>3400</v>
      </c>
      <c r="M4470" t="str">
        <f>_xlfn.XLOOKUP(Pipeline_tbl[[#This Row],[Rep_ID]],Dim_Reps!A:A,Dim_Reps!K:K)</f>
        <v>EUR</v>
      </c>
      <c r="N4470" s="33">
        <f>(_xlfn.XLOOKUP(Pipeline_tbl[[#This Row],[Rate_Code_Generalized]],Lookups!A:A,Lookups!B:B))*Pipeline_tbl[[#This Row],[Pipeline_Amount_USD]]</f>
        <v>3400</v>
      </c>
      <c r="O4470" t="str">
        <f>_xlfn.XLOOKUP(Pipeline_tbl[[#This Row],[Rep_ID]],Dim_Reps!A:A,Dim_Reps!B:B)</f>
        <v>Liam Muller</v>
      </c>
      <c r="P4470" t="str">
        <f>_xlfn.XLOOKUP(Pipeline_tbl[[#This Row],[Rep_ID]],Dim_Reps!A:A,Dim_Reps!C:C)</f>
        <v>SDR / Inside Sales Rep</v>
      </c>
      <c r="Q4470" t="str">
        <f>_xlfn.XLOOKUP(Pipeline_tbl[[#This Row],[Rep_ID]],Dim_Reps!A:A,Dim_Reps!D:D)</f>
        <v>Inside Sales</v>
      </c>
      <c r="R4470" t="str">
        <f>_xlfn.XLOOKUP(Pipeline_tbl[[#This Row],[Rep_ID]],Dim_Reps!A:A,Dim_Reps!E:E)</f>
        <v>EMEA</v>
      </c>
      <c r="S4470" t="str">
        <f>_xlfn.XLOOKUP(Pipeline_tbl[[#This Row],[Created_Date]],Dim_Date!A:A,Dim_Date!H:H)</f>
        <v>Jan 2024</v>
      </c>
      <c r="T4470" t="str">
        <f>IF(Pipeline_tbl[[#This Row],[Closed_Date]]=0,"",(_xlfn.XLOOKUP(Pipeline_tbl[[#This Row],[Closed_Date]],Dim_Date!A:A,Dim_Date!H:H)))</f>
        <v>Feb 2024</v>
      </c>
      <c r="U4470">
        <f>IF(Pipeline_tbl[[#This Row],[Closed_Date]]=0,"",Pipeline_tbl[[#This Row],[Closed_Date]]-Pipeline_tbl[[#This Row],[Created_Date]])</f>
        <v>15</v>
      </c>
    </row>
    <row r="4471" spans="1:21" ht="15" customHeight="1" x14ac:dyDescent="0.2">
      <c r="A4471" t="s">
        <v>4777</v>
      </c>
      <c r="B4471" t="s">
        <v>227</v>
      </c>
      <c r="C4471" t="s">
        <v>52</v>
      </c>
      <c r="D4471" s="49">
        <v>45322</v>
      </c>
      <c r="E4471" s="49">
        <v>45324</v>
      </c>
      <c r="F4471" s="49">
        <v>45330</v>
      </c>
      <c r="I4471" s="49">
        <v>45347</v>
      </c>
      <c r="J4471" t="s">
        <v>49</v>
      </c>
      <c r="K4471" s="33">
        <v>3000</v>
      </c>
      <c r="L4471" t="s">
        <v>60</v>
      </c>
      <c r="M4471" t="str">
        <f>_xlfn.XLOOKUP(Pipeline_tbl[[#This Row],[Rep_ID]],Dim_Reps!A:A,Dim_Reps!K:K)</f>
        <v>EUR</v>
      </c>
      <c r="N4471" s="33">
        <f>(_xlfn.XLOOKUP(Pipeline_tbl[[#This Row],[Rate_Code_Generalized]],Lookups!A:A,Lookups!B:B))*Pipeline_tbl[[#This Row],[Pipeline_Amount_USD]]</f>
        <v>3000</v>
      </c>
      <c r="O4471" t="str">
        <f>_xlfn.XLOOKUP(Pipeline_tbl[[#This Row],[Rep_ID]],Dim_Reps!A:A,Dim_Reps!B:B)</f>
        <v>Liam Muller</v>
      </c>
      <c r="P4471" t="str">
        <f>_xlfn.XLOOKUP(Pipeline_tbl[[#This Row],[Rep_ID]],Dim_Reps!A:A,Dim_Reps!C:C)</f>
        <v>SDR / Inside Sales Rep</v>
      </c>
      <c r="Q4471" t="str">
        <f>_xlfn.XLOOKUP(Pipeline_tbl[[#This Row],[Rep_ID]],Dim_Reps!A:A,Dim_Reps!D:D)</f>
        <v>Inside Sales</v>
      </c>
      <c r="R4471" t="str">
        <f>_xlfn.XLOOKUP(Pipeline_tbl[[#This Row],[Rep_ID]],Dim_Reps!A:A,Dim_Reps!E:E)</f>
        <v>EMEA</v>
      </c>
      <c r="S4471" t="str">
        <f>_xlfn.XLOOKUP(Pipeline_tbl[[#This Row],[Created_Date]],Dim_Date!A:A,Dim_Date!H:H)</f>
        <v>Jan 2024</v>
      </c>
      <c r="T4471" t="str">
        <f>IF(Pipeline_tbl[[#This Row],[Closed_Date]]=0,"",(_xlfn.XLOOKUP(Pipeline_tbl[[#This Row],[Closed_Date]],Dim_Date!A:A,Dim_Date!H:H)))</f>
        <v>Feb 2024</v>
      </c>
      <c r="U4471">
        <f>IF(Pipeline_tbl[[#This Row],[Closed_Date]]=0,"",Pipeline_tbl[[#This Row],[Closed_Date]]-Pipeline_tbl[[#This Row],[Created_Date]])</f>
        <v>25</v>
      </c>
    </row>
    <row r="4472" spans="1:21" ht="15" customHeight="1" x14ac:dyDescent="0.2">
      <c r="A4472" t="s">
        <v>4778</v>
      </c>
      <c r="B4472" t="s">
        <v>227</v>
      </c>
      <c r="C4472" t="s">
        <v>52</v>
      </c>
      <c r="D4472" s="49">
        <v>45303</v>
      </c>
      <c r="E4472" s="49">
        <v>45305</v>
      </c>
      <c r="F4472" s="49">
        <v>45309</v>
      </c>
      <c r="G4472" s="49">
        <v>45315</v>
      </c>
      <c r="H4472" s="49">
        <v>45320</v>
      </c>
      <c r="I4472" s="49">
        <v>45323</v>
      </c>
      <c r="J4472" t="s">
        <v>49</v>
      </c>
      <c r="K4472" s="33">
        <v>6000</v>
      </c>
      <c r="L4472" t="s">
        <v>61</v>
      </c>
      <c r="M4472" t="str">
        <f>_xlfn.XLOOKUP(Pipeline_tbl[[#This Row],[Rep_ID]],Dim_Reps!A:A,Dim_Reps!K:K)</f>
        <v>EUR</v>
      </c>
      <c r="N4472" s="33">
        <f>(_xlfn.XLOOKUP(Pipeline_tbl[[#This Row],[Rate_Code_Generalized]],Lookups!A:A,Lookups!B:B))*Pipeline_tbl[[#This Row],[Pipeline_Amount_USD]]</f>
        <v>6000</v>
      </c>
      <c r="O4472" t="str">
        <f>_xlfn.XLOOKUP(Pipeline_tbl[[#This Row],[Rep_ID]],Dim_Reps!A:A,Dim_Reps!B:B)</f>
        <v>Liam Muller</v>
      </c>
      <c r="P4472" t="str">
        <f>_xlfn.XLOOKUP(Pipeline_tbl[[#This Row],[Rep_ID]],Dim_Reps!A:A,Dim_Reps!C:C)</f>
        <v>SDR / Inside Sales Rep</v>
      </c>
      <c r="Q4472" t="str">
        <f>_xlfn.XLOOKUP(Pipeline_tbl[[#This Row],[Rep_ID]],Dim_Reps!A:A,Dim_Reps!D:D)</f>
        <v>Inside Sales</v>
      </c>
      <c r="R4472" t="str">
        <f>_xlfn.XLOOKUP(Pipeline_tbl[[#This Row],[Rep_ID]],Dim_Reps!A:A,Dim_Reps!E:E)</f>
        <v>EMEA</v>
      </c>
      <c r="S4472" t="str">
        <f>_xlfn.XLOOKUP(Pipeline_tbl[[#This Row],[Created_Date]],Dim_Date!A:A,Dim_Date!H:H)</f>
        <v>Jan 2024</v>
      </c>
      <c r="T4472" t="str">
        <f>IF(Pipeline_tbl[[#This Row],[Closed_Date]]=0,"",(_xlfn.XLOOKUP(Pipeline_tbl[[#This Row],[Closed_Date]],Dim_Date!A:A,Dim_Date!H:H)))</f>
        <v>Feb 2024</v>
      </c>
      <c r="U4472">
        <f>IF(Pipeline_tbl[[#This Row],[Closed_Date]]=0,"",Pipeline_tbl[[#This Row],[Closed_Date]]-Pipeline_tbl[[#This Row],[Created_Date]])</f>
        <v>20</v>
      </c>
    </row>
    <row r="4473" spans="1:21" ht="15" customHeight="1" x14ac:dyDescent="0.2">
      <c r="A4473" t="s">
        <v>4779</v>
      </c>
      <c r="B4473" t="s">
        <v>227</v>
      </c>
      <c r="C4473" t="s">
        <v>52</v>
      </c>
      <c r="D4473" s="49">
        <v>45314</v>
      </c>
      <c r="E4473" s="49">
        <v>45316</v>
      </c>
      <c r="F4473" s="49">
        <v>45319</v>
      </c>
      <c r="G4473" s="49">
        <v>45323</v>
      </c>
      <c r="H4473" s="49">
        <v>45327</v>
      </c>
      <c r="I4473" s="49">
        <v>45329</v>
      </c>
      <c r="J4473" t="s">
        <v>47</v>
      </c>
      <c r="K4473" s="33">
        <v>1100</v>
      </c>
      <c r="M4473" t="str">
        <f>_xlfn.XLOOKUP(Pipeline_tbl[[#This Row],[Rep_ID]],Dim_Reps!A:A,Dim_Reps!K:K)</f>
        <v>EUR</v>
      </c>
      <c r="N4473" s="33">
        <f>(_xlfn.XLOOKUP(Pipeline_tbl[[#This Row],[Rate_Code_Generalized]],Lookups!A:A,Lookups!B:B))*Pipeline_tbl[[#This Row],[Pipeline_Amount_USD]]</f>
        <v>1100</v>
      </c>
      <c r="O4473" t="str">
        <f>_xlfn.XLOOKUP(Pipeline_tbl[[#This Row],[Rep_ID]],Dim_Reps!A:A,Dim_Reps!B:B)</f>
        <v>Liam Muller</v>
      </c>
      <c r="P4473" t="str">
        <f>_xlfn.XLOOKUP(Pipeline_tbl[[#This Row],[Rep_ID]],Dim_Reps!A:A,Dim_Reps!C:C)</f>
        <v>SDR / Inside Sales Rep</v>
      </c>
      <c r="Q4473" t="str">
        <f>_xlfn.XLOOKUP(Pipeline_tbl[[#This Row],[Rep_ID]],Dim_Reps!A:A,Dim_Reps!D:D)</f>
        <v>Inside Sales</v>
      </c>
      <c r="R4473" t="str">
        <f>_xlfn.XLOOKUP(Pipeline_tbl[[#This Row],[Rep_ID]],Dim_Reps!A:A,Dim_Reps!E:E)</f>
        <v>EMEA</v>
      </c>
      <c r="S4473" t="str">
        <f>_xlfn.XLOOKUP(Pipeline_tbl[[#This Row],[Created_Date]],Dim_Date!A:A,Dim_Date!H:H)</f>
        <v>Jan 2024</v>
      </c>
      <c r="T4473" t="str">
        <f>IF(Pipeline_tbl[[#This Row],[Closed_Date]]=0,"",(_xlfn.XLOOKUP(Pipeline_tbl[[#This Row],[Closed_Date]],Dim_Date!A:A,Dim_Date!H:H)))</f>
        <v>Feb 2024</v>
      </c>
      <c r="U4473">
        <f>IF(Pipeline_tbl[[#This Row],[Closed_Date]]=0,"",Pipeline_tbl[[#This Row],[Closed_Date]]-Pipeline_tbl[[#This Row],[Created_Date]])</f>
        <v>15</v>
      </c>
    </row>
    <row r="4474" spans="1:21" ht="15" customHeight="1" x14ac:dyDescent="0.2">
      <c r="A4474" t="s">
        <v>4780</v>
      </c>
      <c r="B4474" t="s">
        <v>227</v>
      </c>
      <c r="C4474" t="s">
        <v>52</v>
      </c>
      <c r="D4474" s="49">
        <v>45320</v>
      </c>
      <c r="E4474" s="49">
        <v>45322</v>
      </c>
      <c r="F4474" s="49">
        <v>45326</v>
      </c>
      <c r="G4474" s="49">
        <v>45332</v>
      </c>
      <c r="H4474" s="49">
        <v>45337</v>
      </c>
      <c r="I4474" s="49">
        <v>45340</v>
      </c>
      <c r="J4474" t="s">
        <v>49</v>
      </c>
      <c r="K4474" s="33">
        <v>6000</v>
      </c>
      <c r="L4474" t="s">
        <v>62</v>
      </c>
      <c r="M4474" t="str">
        <f>_xlfn.XLOOKUP(Pipeline_tbl[[#This Row],[Rep_ID]],Dim_Reps!A:A,Dim_Reps!K:K)</f>
        <v>EUR</v>
      </c>
      <c r="N4474" s="33">
        <f>(_xlfn.XLOOKUP(Pipeline_tbl[[#This Row],[Rate_Code_Generalized]],Lookups!A:A,Lookups!B:B))*Pipeline_tbl[[#This Row],[Pipeline_Amount_USD]]</f>
        <v>6000</v>
      </c>
      <c r="O4474" t="str">
        <f>_xlfn.XLOOKUP(Pipeline_tbl[[#This Row],[Rep_ID]],Dim_Reps!A:A,Dim_Reps!B:B)</f>
        <v>Liam Muller</v>
      </c>
      <c r="P4474" t="str">
        <f>_xlfn.XLOOKUP(Pipeline_tbl[[#This Row],[Rep_ID]],Dim_Reps!A:A,Dim_Reps!C:C)</f>
        <v>SDR / Inside Sales Rep</v>
      </c>
      <c r="Q4474" t="str">
        <f>_xlfn.XLOOKUP(Pipeline_tbl[[#This Row],[Rep_ID]],Dim_Reps!A:A,Dim_Reps!D:D)</f>
        <v>Inside Sales</v>
      </c>
      <c r="R4474" t="str">
        <f>_xlfn.XLOOKUP(Pipeline_tbl[[#This Row],[Rep_ID]],Dim_Reps!A:A,Dim_Reps!E:E)</f>
        <v>EMEA</v>
      </c>
      <c r="S4474" t="str">
        <f>_xlfn.XLOOKUP(Pipeline_tbl[[#This Row],[Created_Date]],Dim_Date!A:A,Dim_Date!H:H)</f>
        <v>Jan 2024</v>
      </c>
      <c r="T4474" t="str">
        <f>IF(Pipeline_tbl[[#This Row],[Closed_Date]]=0,"",(_xlfn.XLOOKUP(Pipeline_tbl[[#This Row],[Closed_Date]],Dim_Date!A:A,Dim_Date!H:H)))</f>
        <v>Feb 2024</v>
      </c>
      <c r="U4474">
        <f>IF(Pipeline_tbl[[#This Row],[Closed_Date]]=0,"",Pipeline_tbl[[#This Row],[Closed_Date]]-Pipeline_tbl[[#This Row],[Created_Date]])</f>
        <v>20</v>
      </c>
    </row>
    <row r="4475" spans="1:21" ht="15" customHeight="1" x14ac:dyDescent="0.2">
      <c r="A4475" t="s">
        <v>4781</v>
      </c>
      <c r="B4475" t="s">
        <v>227</v>
      </c>
      <c r="C4475" t="s">
        <v>55</v>
      </c>
      <c r="D4475" s="49">
        <v>45317</v>
      </c>
      <c r="E4475" s="49">
        <v>45318</v>
      </c>
      <c r="F4475" s="49">
        <v>45321</v>
      </c>
      <c r="G4475" s="49">
        <v>45325</v>
      </c>
      <c r="H4475" s="49">
        <v>45329</v>
      </c>
      <c r="I4475" s="49">
        <v>45331</v>
      </c>
      <c r="J4475" t="s">
        <v>49</v>
      </c>
      <c r="K4475" s="33">
        <v>3100</v>
      </c>
      <c r="L4475" t="s">
        <v>64</v>
      </c>
      <c r="M4475" t="str">
        <f>_xlfn.XLOOKUP(Pipeline_tbl[[#This Row],[Rep_ID]],Dim_Reps!A:A,Dim_Reps!K:K)</f>
        <v>EUR</v>
      </c>
      <c r="N4475" s="33">
        <f>(_xlfn.XLOOKUP(Pipeline_tbl[[#This Row],[Rate_Code_Generalized]],Lookups!A:A,Lookups!B:B))*Pipeline_tbl[[#This Row],[Pipeline_Amount_USD]]</f>
        <v>3100</v>
      </c>
      <c r="O4475" t="str">
        <f>_xlfn.XLOOKUP(Pipeline_tbl[[#This Row],[Rep_ID]],Dim_Reps!A:A,Dim_Reps!B:B)</f>
        <v>Liam Muller</v>
      </c>
      <c r="P4475" t="str">
        <f>_xlfn.XLOOKUP(Pipeline_tbl[[#This Row],[Rep_ID]],Dim_Reps!A:A,Dim_Reps!C:C)</f>
        <v>SDR / Inside Sales Rep</v>
      </c>
      <c r="Q4475" t="str">
        <f>_xlfn.XLOOKUP(Pipeline_tbl[[#This Row],[Rep_ID]],Dim_Reps!A:A,Dim_Reps!D:D)</f>
        <v>Inside Sales</v>
      </c>
      <c r="R4475" t="str">
        <f>_xlfn.XLOOKUP(Pipeline_tbl[[#This Row],[Rep_ID]],Dim_Reps!A:A,Dim_Reps!E:E)</f>
        <v>EMEA</v>
      </c>
      <c r="S4475" t="str">
        <f>_xlfn.XLOOKUP(Pipeline_tbl[[#This Row],[Created_Date]],Dim_Date!A:A,Dim_Date!H:H)</f>
        <v>Jan 2024</v>
      </c>
      <c r="T4475" t="str">
        <f>IF(Pipeline_tbl[[#This Row],[Closed_Date]]=0,"",(_xlfn.XLOOKUP(Pipeline_tbl[[#This Row],[Closed_Date]],Dim_Date!A:A,Dim_Date!H:H)))</f>
        <v>Feb 2024</v>
      </c>
      <c r="U4475">
        <f>IF(Pipeline_tbl[[#This Row],[Closed_Date]]=0,"",Pipeline_tbl[[#This Row],[Closed_Date]]-Pipeline_tbl[[#This Row],[Created_Date]])</f>
        <v>14</v>
      </c>
    </row>
    <row r="4476" spans="1:21" ht="15" customHeight="1" x14ac:dyDescent="0.2">
      <c r="A4476" t="s">
        <v>4782</v>
      </c>
      <c r="B4476" t="s">
        <v>227</v>
      </c>
      <c r="C4476" t="s">
        <v>53</v>
      </c>
      <c r="D4476" s="49">
        <v>45309</v>
      </c>
      <c r="E4476" s="49">
        <v>45311</v>
      </c>
      <c r="F4476" s="49">
        <v>45314</v>
      </c>
      <c r="I4476" s="49">
        <v>45325</v>
      </c>
      <c r="J4476" t="s">
        <v>49</v>
      </c>
      <c r="K4476" s="33">
        <v>3100</v>
      </c>
      <c r="L4476" t="s">
        <v>61</v>
      </c>
      <c r="M4476" t="str">
        <f>_xlfn.XLOOKUP(Pipeline_tbl[[#This Row],[Rep_ID]],Dim_Reps!A:A,Dim_Reps!K:K)</f>
        <v>EUR</v>
      </c>
      <c r="N4476" s="33">
        <f>(_xlfn.XLOOKUP(Pipeline_tbl[[#This Row],[Rate_Code_Generalized]],Lookups!A:A,Lookups!B:B))*Pipeline_tbl[[#This Row],[Pipeline_Amount_USD]]</f>
        <v>3100</v>
      </c>
      <c r="O4476" t="str">
        <f>_xlfn.XLOOKUP(Pipeline_tbl[[#This Row],[Rep_ID]],Dim_Reps!A:A,Dim_Reps!B:B)</f>
        <v>Liam Muller</v>
      </c>
      <c r="P4476" t="str">
        <f>_xlfn.XLOOKUP(Pipeline_tbl[[#This Row],[Rep_ID]],Dim_Reps!A:A,Dim_Reps!C:C)</f>
        <v>SDR / Inside Sales Rep</v>
      </c>
      <c r="Q4476" t="str">
        <f>_xlfn.XLOOKUP(Pipeline_tbl[[#This Row],[Rep_ID]],Dim_Reps!A:A,Dim_Reps!D:D)</f>
        <v>Inside Sales</v>
      </c>
      <c r="R4476" t="str">
        <f>_xlfn.XLOOKUP(Pipeline_tbl[[#This Row],[Rep_ID]],Dim_Reps!A:A,Dim_Reps!E:E)</f>
        <v>EMEA</v>
      </c>
      <c r="S4476" t="str">
        <f>_xlfn.XLOOKUP(Pipeline_tbl[[#This Row],[Created_Date]],Dim_Date!A:A,Dim_Date!H:H)</f>
        <v>Jan 2024</v>
      </c>
      <c r="T4476" t="str">
        <f>IF(Pipeline_tbl[[#This Row],[Closed_Date]]=0,"",(_xlfn.XLOOKUP(Pipeline_tbl[[#This Row],[Closed_Date]],Dim_Date!A:A,Dim_Date!H:H)))</f>
        <v>Feb 2024</v>
      </c>
      <c r="U4476">
        <f>IF(Pipeline_tbl[[#This Row],[Closed_Date]]=0,"",Pipeline_tbl[[#This Row],[Closed_Date]]-Pipeline_tbl[[#This Row],[Created_Date]])</f>
        <v>16</v>
      </c>
    </row>
    <row r="4477" spans="1:21" ht="15" customHeight="1" x14ac:dyDescent="0.2">
      <c r="A4477" t="s">
        <v>4783</v>
      </c>
      <c r="B4477" t="s">
        <v>227</v>
      </c>
      <c r="C4477" t="s">
        <v>56</v>
      </c>
      <c r="D4477" s="49">
        <v>45311</v>
      </c>
      <c r="E4477" s="49">
        <v>45313</v>
      </c>
      <c r="F4477" s="49">
        <v>45316</v>
      </c>
      <c r="I4477" s="49">
        <v>45326</v>
      </c>
      <c r="J4477" t="s">
        <v>49</v>
      </c>
      <c r="K4477" s="33">
        <v>4000</v>
      </c>
      <c r="L4477" t="s">
        <v>60</v>
      </c>
      <c r="M4477" t="str">
        <f>_xlfn.XLOOKUP(Pipeline_tbl[[#This Row],[Rep_ID]],Dim_Reps!A:A,Dim_Reps!K:K)</f>
        <v>EUR</v>
      </c>
      <c r="N4477" s="33">
        <f>(_xlfn.XLOOKUP(Pipeline_tbl[[#This Row],[Rate_Code_Generalized]],Lookups!A:A,Lookups!B:B))*Pipeline_tbl[[#This Row],[Pipeline_Amount_USD]]</f>
        <v>4000</v>
      </c>
      <c r="O4477" t="str">
        <f>_xlfn.XLOOKUP(Pipeline_tbl[[#This Row],[Rep_ID]],Dim_Reps!A:A,Dim_Reps!B:B)</f>
        <v>Liam Muller</v>
      </c>
      <c r="P4477" t="str">
        <f>_xlfn.XLOOKUP(Pipeline_tbl[[#This Row],[Rep_ID]],Dim_Reps!A:A,Dim_Reps!C:C)</f>
        <v>SDR / Inside Sales Rep</v>
      </c>
      <c r="Q4477" t="str">
        <f>_xlfn.XLOOKUP(Pipeline_tbl[[#This Row],[Rep_ID]],Dim_Reps!A:A,Dim_Reps!D:D)</f>
        <v>Inside Sales</v>
      </c>
      <c r="R4477" t="str">
        <f>_xlfn.XLOOKUP(Pipeline_tbl[[#This Row],[Rep_ID]],Dim_Reps!A:A,Dim_Reps!E:E)</f>
        <v>EMEA</v>
      </c>
      <c r="S4477" t="str">
        <f>_xlfn.XLOOKUP(Pipeline_tbl[[#This Row],[Created_Date]],Dim_Date!A:A,Dim_Date!H:H)</f>
        <v>Jan 2024</v>
      </c>
      <c r="T4477" t="str">
        <f>IF(Pipeline_tbl[[#This Row],[Closed_Date]]=0,"",(_xlfn.XLOOKUP(Pipeline_tbl[[#This Row],[Closed_Date]],Dim_Date!A:A,Dim_Date!H:H)))</f>
        <v>Feb 2024</v>
      </c>
      <c r="U4477">
        <f>IF(Pipeline_tbl[[#This Row],[Closed_Date]]=0,"",Pipeline_tbl[[#This Row],[Closed_Date]]-Pipeline_tbl[[#This Row],[Created_Date]])</f>
        <v>15</v>
      </c>
    </row>
    <row r="4478" spans="1:21" ht="15" customHeight="1" x14ac:dyDescent="0.2">
      <c r="A4478" t="s">
        <v>4784</v>
      </c>
      <c r="B4478" t="s">
        <v>227</v>
      </c>
      <c r="C4478" t="s">
        <v>52</v>
      </c>
      <c r="D4478" s="49">
        <v>45312</v>
      </c>
      <c r="E4478" s="49">
        <v>45315</v>
      </c>
      <c r="F4478" s="49">
        <v>45321</v>
      </c>
      <c r="G4478" s="49">
        <v>45331</v>
      </c>
      <c r="H4478" s="49">
        <v>45338</v>
      </c>
      <c r="I4478" s="49">
        <v>45343</v>
      </c>
      <c r="J4478" t="s">
        <v>47</v>
      </c>
      <c r="K4478" s="33">
        <v>2800</v>
      </c>
      <c r="M4478" t="str">
        <f>_xlfn.XLOOKUP(Pipeline_tbl[[#This Row],[Rep_ID]],Dim_Reps!A:A,Dim_Reps!K:K)</f>
        <v>EUR</v>
      </c>
      <c r="N4478" s="33">
        <f>(_xlfn.XLOOKUP(Pipeline_tbl[[#This Row],[Rate_Code_Generalized]],Lookups!A:A,Lookups!B:B))*Pipeline_tbl[[#This Row],[Pipeline_Amount_USD]]</f>
        <v>2800</v>
      </c>
      <c r="O4478" t="str">
        <f>_xlfn.XLOOKUP(Pipeline_tbl[[#This Row],[Rep_ID]],Dim_Reps!A:A,Dim_Reps!B:B)</f>
        <v>Liam Muller</v>
      </c>
      <c r="P4478" t="str">
        <f>_xlfn.XLOOKUP(Pipeline_tbl[[#This Row],[Rep_ID]],Dim_Reps!A:A,Dim_Reps!C:C)</f>
        <v>SDR / Inside Sales Rep</v>
      </c>
      <c r="Q4478" t="str">
        <f>_xlfn.XLOOKUP(Pipeline_tbl[[#This Row],[Rep_ID]],Dim_Reps!A:A,Dim_Reps!D:D)</f>
        <v>Inside Sales</v>
      </c>
      <c r="R4478" t="str">
        <f>_xlfn.XLOOKUP(Pipeline_tbl[[#This Row],[Rep_ID]],Dim_Reps!A:A,Dim_Reps!E:E)</f>
        <v>EMEA</v>
      </c>
      <c r="S4478" t="str">
        <f>_xlfn.XLOOKUP(Pipeline_tbl[[#This Row],[Created_Date]],Dim_Date!A:A,Dim_Date!H:H)</f>
        <v>Jan 2024</v>
      </c>
      <c r="T4478" t="str">
        <f>IF(Pipeline_tbl[[#This Row],[Closed_Date]]=0,"",(_xlfn.XLOOKUP(Pipeline_tbl[[#This Row],[Closed_Date]],Dim_Date!A:A,Dim_Date!H:H)))</f>
        <v>Feb 2024</v>
      </c>
      <c r="U4478">
        <f>IF(Pipeline_tbl[[#This Row],[Closed_Date]]=0,"",Pipeline_tbl[[#This Row],[Closed_Date]]-Pipeline_tbl[[#This Row],[Created_Date]])</f>
        <v>31</v>
      </c>
    </row>
    <row r="4479" spans="1:21" ht="15" customHeight="1" x14ac:dyDescent="0.2">
      <c r="A4479" t="s">
        <v>4785</v>
      </c>
      <c r="B4479" t="s">
        <v>227</v>
      </c>
      <c r="C4479" t="s">
        <v>56</v>
      </c>
      <c r="D4479" s="49">
        <v>45321</v>
      </c>
      <c r="E4479" s="49">
        <v>45322</v>
      </c>
      <c r="F4479" s="49">
        <v>45325</v>
      </c>
      <c r="G4479" s="49">
        <v>45329</v>
      </c>
      <c r="H4479" s="49">
        <v>45332</v>
      </c>
      <c r="I4479" s="49">
        <v>45334</v>
      </c>
      <c r="J4479" t="s">
        <v>47</v>
      </c>
      <c r="K4479" s="33">
        <v>2000</v>
      </c>
      <c r="M4479" t="str">
        <f>_xlfn.XLOOKUP(Pipeline_tbl[[#This Row],[Rep_ID]],Dim_Reps!A:A,Dim_Reps!K:K)</f>
        <v>EUR</v>
      </c>
      <c r="N4479" s="33">
        <f>(_xlfn.XLOOKUP(Pipeline_tbl[[#This Row],[Rate_Code_Generalized]],Lookups!A:A,Lookups!B:B))*Pipeline_tbl[[#This Row],[Pipeline_Amount_USD]]</f>
        <v>2000</v>
      </c>
      <c r="O4479" t="str">
        <f>_xlfn.XLOOKUP(Pipeline_tbl[[#This Row],[Rep_ID]],Dim_Reps!A:A,Dim_Reps!B:B)</f>
        <v>Liam Muller</v>
      </c>
      <c r="P4479" t="str">
        <f>_xlfn.XLOOKUP(Pipeline_tbl[[#This Row],[Rep_ID]],Dim_Reps!A:A,Dim_Reps!C:C)</f>
        <v>SDR / Inside Sales Rep</v>
      </c>
      <c r="Q4479" t="str">
        <f>_xlfn.XLOOKUP(Pipeline_tbl[[#This Row],[Rep_ID]],Dim_Reps!A:A,Dim_Reps!D:D)</f>
        <v>Inside Sales</v>
      </c>
      <c r="R4479" t="str">
        <f>_xlfn.XLOOKUP(Pipeline_tbl[[#This Row],[Rep_ID]],Dim_Reps!A:A,Dim_Reps!E:E)</f>
        <v>EMEA</v>
      </c>
      <c r="S4479" t="str">
        <f>_xlfn.XLOOKUP(Pipeline_tbl[[#This Row],[Created_Date]],Dim_Date!A:A,Dim_Date!H:H)</f>
        <v>Jan 2024</v>
      </c>
      <c r="T4479" t="str">
        <f>IF(Pipeline_tbl[[#This Row],[Closed_Date]]=0,"",(_xlfn.XLOOKUP(Pipeline_tbl[[#This Row],[Closed_Date]],Dim_Date!A:A,Dim_Date!H:H)))</f>
        <v>Feb 2024</v>
      </c>
      <c r="U4479">
        <f>IF(Pipeline_tbl[[#This Row],[Closed_Date]]=0,"",Pipeline_tbl[[#This Row],[Closed_Date]]-Pipeline_tbl[[#This Row],[Created_Date]])</f>
        <v>13</v>
      </c>
    </row>
    <row r="4480" spans="1:21" ht="15" customHeight="1" x14ac:dyDescent="0.2">
      <c r="A4480" t="s">
        <v>4786</v>
      </c>
      <c r="B4480" t="s">
        <v>227</v>
      </c>
      <c r="C4480" t="s">
        <v>56</v>
      </c>
      <c r="D4480" s="49">
        <v>45316</v>
      </c>
      <c r="E4480" s="49">
        <v>45318</v>
      </c>
      <c r="F4480" s="49">
        <v>45322</v>
      </c>
      <c r="G4480" s="49">
        <v>45327</v>
      </c>
      <c r="H4480" s="49">
        <v>45332</v>
      </c>
      <c r="I4480" s="49">
        <v>45335</v>
      </c>
      <c r="J4480" t="s">
        <v>47</v>
      </c>
      <c r="K4480" s="33">
        <v>2600</v>
      </c>
      <c r="M4480" t="str">
        <f>_xlfn.XLOOKUP(Pipeline_tbl[[#This Row],[Rep_ID]],Dim_Reps!A:A,Dim_Reps!K:K)</f>
        <v>EUR</v>
      </c>
      <c r="N4480" s="33">
        <f>(_xlfn.XLOOKUP(Pipeline_tbl[[#This Row],[Rate_Code_Generalized]],Lookups!A:A,Lookups!B:B))*Pipeline_tbl[[#This Row],[Pipeline_Amount_USD]]</f>
        <v>2600</v>
      </c>
      <c r="O4480" t="str">
        <f>_xlfn.XLOOKUP(Pipeline_tbl[[#This Row],[Rep_ID]],Dim_Reps!A:A,Dim_Reps!B:B)</f>
        <v>Liam Muller</v>
      </c>
      <c r="P4480" t="str">
        <f>_xlfn.XLOOKUP(Pipeline_tbl[[#This Row],[Rep_ID]],Dim_Reps!A:A,Dim_Reps!C:C)</f>
        <v>SDR / Inside Sales Rep</v>
      </c>
      <c r="Q4480" t="str">
        <f>_xlfn.XLOOKUP(Pipeline_tbl[[#This Row],[Rep_ID]],Dim_Reps!A:A,Dim_Reps!D:D)</f>
        <v>Inside Sales</v>
      </c>
      <c r="R4480" t="str">
        <f>_xlfn.XLOOKUP(Pipeline_tbl[[#This Row],[Rep_ID]],Dim_Reps!A:A,Dim_Reps!E:E)</f>
        <v>EMEA</v>
      </c>
      <c r="S4480" t="str">
        <f>_xlfn.XLOOKUP(Pipeline_tbl[[#This Row],[Created_Date]],Dim_Date!A:A,Dim_Date!H:H)</f>
        <v>Jan 2024</v>
      </c>
      <c r="T4480" t="str">
        <f>IF(Pipeline_tbl[[#This Row],[Closed_Date]]=0,"",(_xlfn.XLOOKUP(Pipeline_tbl[[#This Row],[Closed_Date]],Dim_Date!A:A,Dim_Date!H:H)))</f>
        <v>Feb 2024</v>
      </c>
      <c r="U4480">
        <f>IF(Pipeline_tbl[[#This Row],[Closed_Date]]=0,"",Pipeline_tbl[[#This Row],[Closed_Date]]-Pipeline_tbl[[#This Row],[Created_Date]])</f>
        <v>19</v>
      </c>
    </row>
    <row r="4481" spans="1:21" ht="15" customHeight="1" x14ac:dyDescent="0.2">
      <c r="A4481" t="s">
        <v>4787</v>
      </c>
      <c r="B4481" t="s">
        <v>229</v>
      </c>
      <c r="C4481" t="s">
        <v>53</v>
      </c>
      <c r="D4481" s="49">
        <v>45306</v>
      </c>
      <c r="E4481" s="49">
        <v>45308</v>
      </c>
      <c r="F4481" s="49">
        <v>45313</v>
      </c>
      <c r="I4481" s="49">
        <v>45330</v>
      </c>
      <c r="J4481" t="s">
        <v>49</v>
      </c>
      <c r="K4481" s="33">
        <v>1500</v>
      </c>
      <c r="L4481" t="s">
        <v>63</v>
      </c>
      <c r="M4481" t="str">
        <f>_xlfn.XLOOKUP(Pipeline_tbl[[#This Row],[Rep_ID]],Dim_Reps!A:A,Dim_Reps!K:K)</f>
        <v>USD</v>
      </c>
      <c r="N4481" s="33">
        <f>(_xlfn.XLOOKUP(Pipeline_tbl[[#This Row],[Rate_Code_Generalized]],Lookups!A:A,Lookups!B:B))*Pipeline_tbl[[#This Row],[Pipeline_Amount_USD]]</f>
        <v>1746.4499999999998</v>
      </c>
      <c r="O4481" t="str">
        <f>_xlfn.XLOOKUP(Pipeline_tbl[[#This Row],[Rep_ID]],Dim_Reps!A:A,Dim_Reps!B:B)</f>
        <v>Liam Castro</v>
      </c>
      <c r="P4481" t="str">
        <f>_xlfn.XLOOKUP(Pipeline_tbl[[#This Row],[Rep_ID]],Dim_Reps!A:A,Dim_Reps!C:C)</f>
        <v>SDR / Inside Sales Rep</v>
      </c>
      <c r="Q4481" t="str">
        <f>_xlfn.XLOOKUP(Pipeline_tbl[[#This Row],[Rep_ID]],Dim_Reps!A:A,Dim_Reps!D:D)</f>
        <v>Inside Sales</v>
      </c>
      <c r="R4481" t="str">
        <f>_xlfn.XLOOKUP(Pipeline_tbl[[#This Row],[Rep_ID]],Dim_Reps!A:A,Dim_Reps!E:E)</f>
        <v>NAMER</v>
      </c>
      <c r="S4481" t="str">
        <f>_xlfn.XLOOKUP(Pipeline_tbl[[#This Row],[Created_Date]],Dim_Date!A:A,Dim_Date!H:H)</f>
        <v>Jan 2024</v>
      </c>
      <c r="T4481" t="str">
        <f>IF(Pipeline_tbl[[#This Row],[Closed_Date]]=0,"",(_xlfn.XLOOKUP(Pipeline_tbl[[#This Row],[Closed_Date]],Dim_Date!A:A,Dim_Date!H:H)))</f>
        <v>Feb 2024</v>
      </c>
      <c r="U4481">
        <f>IF(Pipeline_tbl[[#This Row],[Closed_Date]]=0,"",Pipeline_tbl[[#This Row],[Closed_Date]]-Pipeline_tbl[[#This Row],[Created_Date]])</f>
        <v>24</v>
      </c>
    </row>
    <row r="4482" spans="1:21" ht="15" customHeight="1" x14ac:dyDescent="0.2">
      <c r="A4482" t="s">
        <v>4788</v>
      </c>
      <c r="B4482" t="s">
        <v>229</v>
      </c>
      <c r="C4482" t="s">
        <v>53</v>
      </c>
      <c r="D4482" s="49">
        <v>45314</v>
      </c>
      <c r="E4482" s="49">
        <v>45316</v>
      </c>
      <c r="F4482" s="49">
        <v>45319</v>
      </c>
      <c r="G4482" s="49">
        <v>45324</v>
      </c>
      <c r="H4482" s="49">
        <v>45328</v>
      </c>
      <c r="I4482" s="49">
        <v>45330</v>
      </c>
      <c r="J4482" t="s">
        <v>47</v>
      </c>
      <c r="K4482" s="33">
        <v>5800</v>
      </c>
      <c r="M4482" t="str">
        <f>_xlfn.XLOOKUP(Pipeline_tbl[[#This Row],[Rep_ID]],Dim_Reps!A:A,Dim_Reps!K:K)</f>
        <v>USD</v>
      </c>
      <c r="N4482" s="33">
        <f>(_xlfn.XLOOKUP(Pipeline_tbl[[#This Row],[Rate_Code_Generalized]],Lookups!A:A,Lookups!B:B))*Pipeline_tbl[[#This Row],[Pipeline_Amount_USD]]</f>
        <v>6752.94</v>
      </c>
      <c r="O4482" t="str">
        <f>_xlfn.XLOOKUP(Pipeline_tbl[[#This Row],[Rep_ID]],Dim_Reps!A:A,Dim_Reps!B:B)</f>
        <v>Liam Castro</v>
      </c>
      <c r="P4482" t="str">
        <f>_xlfn.XLOOKUP(Pipeline_tbl[[#This Row],[Rep_ID]],Dim_Reps!A:A,Dim_Reps!C:C)</f>
        <v>SDR / Inside Sales Rep</v>
      </c>
      <c r="Q4482" t="str">
        <f>_xlfn.XLOOKUP(Pipeline_tbl[[#This Row],[Rep_ID]],Dim_Reps!A:A,Dim_Reps!D:D)</f>
        <v>Inside Sales</v>
      </c>
      <c r="R4482" t="str">
        <f>_xlfn.XLOOKUP(Pipeline_tbl[[#This Row],[Rep_ID]],Dim_Reps!A:A,Dim_Reps!E:E)</f>
        <v>NAMER</v>
      </c>
      <c r="S4482" t="str">
        <f>_xlfn.XLOOKUP(Pipeline_tbl[[#This Row],[Created_Date]],Dim_Date!A:A,Dim_Date!H:H)</f>
        <v>Jan 2024</v>
      </c>
      <c r="T4482" t="str">
        <f>IF(Pipeline_tbl[[#This Row],[Closed_Date]]=0,"",(_xlfn.XLOOKUP(Pipeline_tbl[[#This Row],[Closed_Date]],Dim_Date!A:A,Dim_Date!H:H)))</f>
        <v>Feb 2024</v>
      </c>
      <c r="U4482">
        <f>IF(Pipeline_tbl[[#This Row],[Closed_Date]]=0,"",Pipeline_tbl[[#This Row],[Closed_Date]]-Pipeline_tbl[[#This Row],[Created_Date]])</f>
        <v>16</v>
      </c>
    </row>
    <row r="4483" spans="1:21" ht="15" customHeight="1" x14ac:dyDescent="0.2">
      <c r="A4483" t="s">
        <v>4789</v>
      </c>
      <c r="B4483" t="s">
        <v>229</v>
      </c>
      <c r="C4483" t="s">
        <v>52</v>
      </c>
      <c r="D4483" s="49">
        <v>45318</v>
      </c>
      <c r="E4483" s="49">
        <v>45320</v>
      </c>
      <c r="F4483" s="49">
        <v>45323</v>
      </c>
      <c r="I4483" s="49">
        <v>45336</v>
      </c>
      <c r="J4483" t="s">
        <v>49</v>
      </c>
      <c r="K4483" s="33">
        <v>2500</v>
      </c>
      <c r="L4483" t="s">
        <v>62</v>
      </c>
      <c r="M4483" t="str">
        <f>_xlfn.XLOOKUP(Pipeline_tbl[[#This Row],[Rep_ID]],Dim_Reps!A:A,Dim_Reps!K:K)</f>
        <v>USD</v>
      </c>
      <c r="N4483" s="33">
        <f>(_xlfn.XLOOKUP(Pipeline_tbl[[#This Row],[Rate_Code_Generalized]],Lookups!A:A,Lookups!B:B))*Pipeline_tbl[[#This Row],[Pipeline_Amount_USD]]</f>
        <v>2910.7499999999995</v>
      </c>
      <c r="O4483" t="str">
        <f>_xlfn.XLOOKUP(Pipeline_tbl[[#This Row],[Rep_ID]],Dim_Reps!A:A,Dim_Reps!B:B)</f>
        <v>Liam Castro</v>
      </c>
      <c r="P4483" t="str">
        <f>_xlfn.XLOOKUP(Pipeline_tbl[[#This Row],[Rep_ID]],Dim_Reps!A:A,Dim_Reps!C:C)</f>
        <v>SDR / Inside Sales Rep</v>
      </c>
      <c r="Q4483" t="str">
        <f>_xlfn.XLOOKUP(Pipeline_tbl[[#This Row],[Rep_ID]],Dim_Reps!A:A,Dim_Reps!D:D)</f>
        <v>Inside Sales</v>
      </c>
      <c r="R4483" t="str">
        <f>_xlfn.XLOOKUP(Pipeline_tbl[[#This Row],[Rep_ID]],Dim_Reps!A:A,Dim_Reps!E:E)</f>
        <v>NAMER</v>
      </c>
      <c r="S4483" t="str">
        <f>_xlfn.XLOOKUP(Pipeline_tbl[[#This Row],[Created_Date]],Dim_Date!A:A,Dim_Date!H:H)</f>
        <v>Jan 2024</v>
      </c>
      <c r="T4483" t="str">
        <f>IF(Pipeline_tbl[[#This Row],[Closed_Date]]=0,"",(_xlfn.XLOOKUP(Pipeline_tbl[[#This Row],[Closed_Date]],Dim_Date!A:A,Dim_Date!H:H)))</f>
        <v>Feb 2024</v>
      </c>
      <c r="U4483">
        <f>IF(Pipeline_tbl[[#This Row],[Closed_Date]]=0,"",Pipeline_tbl[[#This Row],[Closed_Date]]-Pipeline_tbl[[#This Row],[Created_Date]])</f>
        <v>18</v>
      </c>
    </row>
    <row r="4484" spans="1:21" ht="15" customHeight="1" x14ac:dyDescent="0.2">
      <c r="A4484" t="s">
        <v>4790</v>
      </c>
      <c r="B4484" t="s">
        <v>229</v>
      </c>
      <c r="C4484" t="s">
        <v>52</v>
      </c>
      <c r="D4484" s="49">
        <v>45319</v>
      </c>
      <c r="E4484" s="49">
        <v>45321</v>
      </c>
      <c r="F4484" s="49">
        <v>45324</v>
      </c>
      <c r="G4484" s="49">
        <v>45330</v>
      </c>
      <c r="H4484" s="49">
        <v>45334</v>
      </c>
      <c r="I4484" s="49">
        <v>45337</v>
      </c>
      <c r="J4484" t="s">
        <v>49</v>
      </c>
      <c r="K4484" s="33">
        <v>4400</v>
      </c>
      <c r="L4484" t="s">
        <v>61</v>
      </c>
      <c r="M4484" t="str">
        <f>_xlfn.XLOOKUP(Pipeline_tbl[[#This Row],[Rep_ID]],Dim_Reps!A:A,Dim_Reps!K:K)</f>
        <v>USD</v>
      </c>
      <c r="N4484" s="33">
        <f>(_xlfn.XLOOKUP(Pipeline_tbl[[#This Row],[Rate_Code_Generalized]],Lookups!A:A,Lookups!B:B))*Pipeline_tbl[[#This Row],[Pipeline_Amount_USD]]</f>
        <v>5122.9199999999992</v>
      </c>
      <c r="O4484" t="str">
        <f>_xlfn.XLOOKUP(Pipeline_tbl[[#This Row],[Rep_ID]],Dim_Reps!A:A,Dim_Reps!B:B)</f>
        <v>Liam Castro</v>
      </c>
      <c r="P4484" t="str">
        <f>_xlfn.XLOOKUP(Pipeline_tbl[[#This Row],[Rep_ID]],Dim_Reps!A:A,Dim_Reps!C:C)</f>
        <v>SDR / Inside Sales Rep</v>
      </c>
      <c r="Q4484" t="str">
        <f>_xlfn.XLOOKUP(Pipeline_tbl[[#This Row],[Rep_ID]],Dim_Reps!A:A,Dim_Reps!D:D)</f>
        <v>Inside Sales</v>
      </c>
      <c r="R4484" t="str">
        <f>_xlfn.XLOOKUP(Pipeline_tbl[[#This Row],[Rep_ID]],Dim_Reps!A:A,Dim_Reps!E:E)</f>
        <v>NAMER</v>
      </c>
      <c r="S4484" t="str">
        <f>_xlfn.XLOOKUP(Pipeline_tbl[[#This Row],[Created_Date]],Dim_Date!A:A,Dim_Date!H:H)</f>
        <v>Jan 2024</v>
      </c>
      <c r="T4484" t="str">
        <f>IF(Pipeline_tbl[[#This Row],[Closed_Date]]=0,"",(_xlfn.XLOOKUP(Pipeline_tbl[[#This Row],[Closed_Date]],Dim_Date!A:A,Dim_Date!H:H)))</f>
        <v>Feb 2024</v>
      </c>
      <c r="U4484">
        <f>IF(Pipeline_tbl[[#This Row],[Closed_Date]]=0,"",Pipeline_tbl[[#This Row],[Closed_Date]]-Pipeline_tbl[[#This Row],[Created_Date]])</f>
        <v>18</v>
      </c>
    </row>
    <row r="4485" spans="1:21" ht="15" customHeight="1" x14ac:dyDescent="0.2">
      <c r="A4485" t="s">
        <v>4791</v>
      </c>
      <c r="B4485" t="s">
        <v>229</v>
      </c>
      <c r="C4485" t="s">
        <v>52</v>
      </c>
      <c r="D4485" s="49">
        <v>45314</v>
      </c>
      <c r="E4485" s="49">
        <v>45315</v>
      </c>
      <c r="I4485" s="49">
        <v>45324</v>
      </c>
      <c r="J4485" t="s">
        <v>49</v>
      </c>
      <c r="K4485" s="33">
        <v>3600</v>
      </c>
      <c r="L4485" t="s">
        <v>61</v>
      </c>
      <c r="M4485" t="str">
        <f>_xlfn.XLOOKUP(Pipeline_tbl[[#This Row],[Rep_ID]],Dim_Reps!A:A,Dim_Reps!K:K)</f>
        <v>USD</v>
      </c>
      <c r="N4485" s="33">
        <f>(_xlfn.XLOOKUP(Pipeline_tbl[[#This Row],[Rate_Code_Generalized]],Lookups!A:A,Lookups!B:B))*Pipeline_tbl[[#This Row],[Pipeline_Amount_USD]]</f>
        <v>4191.4799999999996</v>
      </c>
      <c r="O4485" t="str">
        <f>_xlfn.XLOOKUP(Pipeline_tbl[[#This Row],[Rep_ID]],Dim_Reps!A:A,Dim_Reps!B:B)</f>
        <v>Liam Castro</v>
      </c>
      <c r="P4485" t="str">
        <f>_xlfn.XLOOKUP(Pipeline_tbl[[#This Row],[Rep_ID]],Dim_Reps!A:A,Dim_Reps!C:C)</f>
        <v>SDR / Inside Sales Rep</v>
      </c>
      <c r="Q4485" t="str">
        <f>_xlfn.XLOOKUP(Pipeline_tbl[[#This Row],[Rep_ID]],Dim_Reps!A:A,Dim_Reps!D:D)</f>
        <v>Inside Sales</v>
      </c>
      <c r="R4485" t="str">
        <f>_xlfn.XLOOKUP(Pipeline_tbl[[#This Row],[Rep_ID]],Dim_Reps!A:A,Dim_Reps!E:E)</f>
        <v>NAMER</v>
      </c>
      <c r="S4485" t="str">
        <f>_xlfn.XLOOKUP(Pipeline_tbl[[#This Row],[Created_Date]],Dim_Date!A:A,Dim_Date!H:H)</f>
        <v>Jan 2024</v>
      </c>
      <c r="T4485" t="str">
        <f>IF(Pipeline_tbl[[#This Row],[Closed_Date]]=0,"",(_xlfn.XLOOKUP(Pipeline_tbl[[#This Row],[Closed_Date]],Dim_Date!A:A,Dim_Date!H:H)))</f>
        <v>Feb 2024</v>
      </c>
      <c r="U4485">
        <f>IF(Pipeline_tbl[[#This Row],[Closed_Date]]=0,"",Pipeline_tbl[[#This Row],[Closed_Date]]-Pipeline_tbl[[#This Row],[Created_Date]])</f>
        <v>10</v>
      </c>
    </row>
    <row r="4486" spans="1:21" ht="15" customHeight="1" x14ac:dyDescent="0.2">
      <c r="A4486" t="s">
        <v>4792</v>
      </c>
      <c r="B4486" t="s">
        <v>231</v>
      </c>
      <c r="C4486" t="s">
        <v>52</v>
      </c>
      <c r="D4486" s="49">
        <v>45320</v>
      </c>
      <c r="E4486" s="49">
        <v>45322</v>
      </c>
      <c r="F4486" s="49">
        <v>45327</v>
      </c>
      <c r="G4486" s="49">
        <v>45334</v>
      </c>
      <c r="H4486" s="49">
        <v>45340</v>
      </c>
      <c r="I4486" s="49">
        <v>45343</v>
      </c>
      <c r="J4486" t="s">
        <v>47</v>
      </c>
      <c r="K4486" s="33">
        <v>6200</v>
      </c>
      <c r="M4486" t="str">
        <f>_xlfn.XLOOKUP(Pipeline_tbl[[#This Row],[Rep_ID]],Dim_Reps!A:A,Dim_Reps!K:K)</f>
        <v>MXN</v>
      </c>
      <c r="N4486" s="33">
        <f>(_xlfn.XLOOKUP(Pipeline_tbl[[#This Row],[Rate_Code_Generalized]],Lookups!A:A,Lookups!B:B))*Pipeline_tbl[[#This Row],[Pipeline_Amount_USD]]</f>
        <v>122342.74</v>
      </c>
      <c r="O4486" t="str">
        <f>_xlfn.XLOOKUP(Pipeline_tbl[[#This Row],[Rep_ID]],Dim_Reps!A:A,Dim_Reps!B:B)</f>
        <v>Ben Silva</v>
      </c>
      <c r="P4486" t="str">
        <f>_xlfn.XLOOKUP(Pipeline_tbl[[#This Row],[Rep_ID]],Dim_Reps!A:A,Dim_Reps!C:C)</f>
        <v>SDR / Inside Sales Rep</v>
      </c>
      <c r="Q4486" t="str">
        <f>_xlfn.XLOOKUP(Pipeline_tbl[[#This Row],[Rep_ID]],Dim_Reps!A:A,Dim_Reps!D:D)</f>
        <v>Inside Sales</v>
      </c>
      <c r="R4486" t="str">
        <f>_xlfn.XLOOKUP(Pipeline_tbl[[#This Row],[Rep_ID]],Dim_Reps!A:A,Dim_Reps!E:E)</f>
        <v>LATAM</v>
      </c>
      <c r="S4486" t="str">
        <f>_xlfn.XLOOKUP(Pipeline_tbl[[#This Row],[Created_Date]],Dim_Date!A:A,Dim_Date!H:H)</f>
        <v>Jan 2024</v>
      </c>
      <c r="T4486" t="str">
        <f>IF(Pipeline_tbl[[#This Row],[Closed_Date]]=0,"",(_xlfn.XLOOKUP(Pipeline_tbl[[#This Row],[Closed_Date]],Dim_Date!A:A,Dim_Date!H:H)))</f>
        <v>Feb 2024</v>
      </c>
      <c r="U4486">
        <f>IF(Pipeline_tbl[[#This Row],[Closed_Date]]=0,"",Pipeline_tbl[[#This Row],[Closed_Date]]-Pipeline_tbl[[#This Row],[Created_Date]])</f>
        <v>23</v>
      </c>
    </row>
    <row r="4487" spans="1:21" ht="15" customHeight="1" x14ac:dyDescent="0.2">
      <c r="A4487" t="s">
        <v>4793</v>
      </c>
      <c r="B4487" t="s">
        <v>231</v>
      </c>
      <c r="C4487" t="s">
        <v>52</v>
      </c>
      <c r="D4487" s="49">
        <v>45310</v>
      </c>
      <c r="E4487" s="49">
        <v>45311</v>
      </c>
      <c r="F4487" s="49">
        <v>45314</v>
      </c>
      <c r="G4487" s="49">
        <v>45318</v>
      </c>
      <c r="H4487" s="49">
        <v>45322</v>
      </c>
      <c r="I4487" s="49">
        <v>45324</v>
      </c>
      <c r="J4487" t="s">
        <v>47</v>
      </c>
      <c r="K4487" s="33">
        <v>2800</v>
      </c>
      <c r="M4487" t="str">
        <f>_xlfn.XLOOKUP(Pipeline_tbl[[#This Row],[Rep_ID]],Dim_Reps!A:A,Dim_Reps!K:K)</f>
        <v>MXN</v>
      </c>
      <c r="N4487" s="33">
        <f>(_xlfn.XLOOKUP(Pipeline_tbl[[#This Row],[Rate_Code_Generalized]],Lookups!A:A,Lookups!B:B))*Pipeline_tbl[[#This Row],[Pipeline_Amount_USD]]</f>
        <v>55251.560000000005</v>
      </c>
      <c r="O4487" t="str">
        <f>_xlfn.XLOOKUP(Pipeline_tbl[[#This Row],[Rep_ID]],Dim_Reps!A:A,Dim_Reps!B:B)</f>
        <v>Ben Silva</v>
      </c>
      <c r="P4487" t="str">
        <f>_xlfn.XLOOKUP(Pipeline_tbl[[#This Row],[Rep_ID]],Dim_Reps!A:A,Dim_Reps!C:C)</f>
        <v>SDR / Inside Sales Rep</v>
      </c>
      <c r="Q4487" t="str">
        <f>_xlfn.XLOOKUP(Pipeline_tbl[[#This Row],[Rep_ID]],Dim_Reps!A:A,Dim_Reps!D:D)</f>
        <v>Inside Sales</v>
      </c>
      <c r="R4487" t="str">
        <f>_xlfn.XLOOKUP(Pipeline_tbl[[#This Row],[Rep_ID]],Dim_Reps!A:A,Dim_Reps!E:E)</f>
        <v>LATAM</v>
      </c>
      <c r="S4487" t="str">
        <f>_xlfn.XLOOKUP(Pipeline_tbl[[#This Row],[Created_Date]],Dim_Date!A:A,Dim_Date!H:H)</f>
        <v>Jan 2024</v>
      </c>
      <c r="T4487" t="str">
        <f>IF(Pipeline_tbl[[#This Row],[Closed_Date]]=0,"",(_xlfn.XLOOKUP(Pipeline_tbl[[#This Row],[Closed_Date]],Dim_Date!A:A,Dim_Date!H:H)))</f>
        <v>Feb 2024</v>
      </c>
      <c r="U4487">
        <f>IF(Pipeline_tbl[[#This Row],[Closed_Date]]=0,"",Pipeline_tbl[[#This Row],[Closed_Date]]-Pipeline_tbl[[#This Row],[Created_Date]])</f>
        <v>14</v>
      </c>
    </row>
    <row r="4488" spans="1:21" ht="15" customHeight="1" x14ac:dyDescent="0.2">
      <c r="A4488" t="s">
        <v>4794</v>
      </c>
      <c r="B4488" t="s">
        <v>231</v>
      </c>
      <c r="C4488" t="s">
        <v>55</v>
      </c>
      <c r="D4488" s="49">
        <v>45315</v>
      </c>
      <c r="E4488" s="49">
        <v>45316</v>
      </c>
      <c r="F4488" s="49">
        <v>45319</v>
      </c>
      <c r="G4488" s="49">
        <v>45322</v>
      </c>
      <c r="H4488" s="49">
        <v>45325</v>
      </c>
      <c r="I4488" s="49">
        <v>45327</v>
      </c>
      <c r="J4488" t="s">
        <v>47</v>
      </c>
      <c r="K4488" s="33">
        <v>2900</v>
      </c>
      <c r="M4488" t="str">
        <f>_xlfn.XLOOKUP(Pipeline_tbl[[#This Row],[Rep_ID]],Dim_Reps!A:A,Dim_Reps!K:K)</f>
        <v>MXN</v>
      </c>
      <c r="N4488" s="33">
        <f>(_xlfn.XLOOKUP(Pipeline_tbl[[#This Row],[Rate_Code_Generalized]],Lookups!A:A,Lookups!B:B))*Pipeline_tbl[[#This Row],[Pipeline_Amount_USD]]</f>
        <v>57224.83</v>
      </c>
      <c r="O4488" t="str">
        <f>_xlfn.XLOOKUP(Pipeline_tbl[[#This Row],[Rep_ID]],Dim_Reps!A:A,Dim_Reps!B:B)</f>
        <v>Ben Silva</v>
      </c>
      <c r="P4488" t="str">
        <f>_xlfn.XLOOKUP(Pipeline_tbl[[#This Row],[Rep_ID]],Dim_Reps!A:A,Dim_Reps!C:C)</f>
        <v>SDR / Inside Sales Rep</v>
      </c>
      <c r="Q4488" t="str">
        <f>_xlfn.XLOOKUP(Pipeline_tbl[[#This Row],[Rep_ID]],Dim_Reps!A:A,Dim_Reps!D:D)</f>
        <v>Inside Sales</v>
      </c>
      <c r="R4488" t="str">
        <f>_xlfn.XLOOKUP(Pipeline_tbl[[#This Row],[Rep_ID]],Dim_Reps!A:A,Dim_Reps!E:E)</f>
        <v>LATAM</v>
      </c>
      <c r="S4488" t="str">
        <f>_xlfn.XLOOKUP(Pipeline_tbl[[#This Row],[Created_Date]],Dim_Date!A:A,Dim_Date!H:H)</f>
        <v>Jan 2024</v>
      </c>
      <c r="T4488" t="str">
        <f>IF(Pipeline_tbl[[#This Row],[Closed_Date]]=0,"",(_xlfn.XLOOKUP(Pipeline_tbl[[#This Row],[Closed_Date]],Dim_Date!A:A,Dim_Date!H:H)))</f>
        <v>Feb 2024</v>
      </c>
      <c r="U4488">
        <f>IF(Pipeline_tbl[[#This Row],[Closed_Date]]=0,"",Pipeline_tbl[[#This Row],[Closed_Date]]-Pipeline_tbl[[#This Row],[Created_Date]])</f>
        <v>12</v>
      </c>
    </row>
    <row r="4489" spans="1:21" ht="15" customHeight="1" x14ac:dyDescent="0.2">
      <c r="A4489" t="s">
        <v>4795</v>
      </c>
      <c r="B4489" t="s">
        <v>231</v>
      </c>
      <c r="C4489" t="s">
        <v>55</v>
      </c>
      <c r="D4489" s="49">
        <v>45308</v>
      </c>
      <c r="E4489" s="49">
        <v>45310</v>
      </c>
      <c r="F4489" s="49">
        <v>45315</v>
      </c>
      <c r="G4489" s="49">
        <v>45321</v>
      </c>
      <c r="H4489" s="49">
        <v>45327</v>
      </c>
      <c r="I4489" s="49">
        <v>45330</v>
      </c>
      <c r="J4489" t="s">
        <v>49</v>
      </c>
      <c r="K4489" s="33">
        <v>2500</v>
      </c>
      <c r="L4489" t="s">
        <v>62</v>
      </c>
      <c r="M4489" t="str">
        <f>_xlfn.XLOOKUP(Pipeline_tbl[[#This Row],[Rep_ID]],Dim_Reps!A:A,Dim_Reps!K:K)</f>
        <v>MXN</v>
      </c>
      <c r="N4489" s="33">
        <f>(_xlfn.XLOOKUP(Pipeline_tbl[[#This Row],[Rate_Code_Generalized]],Lookups!A:A,Lookups!B:B))*Pipeline_tbl[[#This Row],[Pipeline_Amount_USD]]</f>
        <v>49331.75</v>
      </c>
      <c r="O4489" t="str">
        <f>_xlfn.XLOOKUP(Pipeline_tbl[[#This Row],[Rep_ID]],Dim_Reps!A:A,Dim_Reps!B:B)</f>
        <v>Ben Silva</v>
      </c>
      <c r="P4489" t="str">
        <f>_xlfn.XLOOKUP(Pipeline_tbl[[#This Row],[Rep_ID]],Dim_Reps!A:A,Dim_Reps!C:C)</f>
        <v>SDR / Inside Sales Rep</v>
      </c>
      <c r="Q4489" t="str">
        <f>_xlfn.XLOOKUP(Pipeline_tbl[[#This Row],[Rep_ID]],Dim_Reps!A:A,Dim_Reps!D:D)</f>
        <v>Inside Sales</v>
      </c>
      <c r="R4489" t="str">
        <f>_xlfn.XLOOKUP(Pipeline_tbl[[#This Row],[Rep_ID]],Dim_Reps!A:A,Dim_Reps!E:E)</f>
        <v>LATAM</v>
      </c>
      <c r="S4489" t="str">
        <f>_xlfn.XLOOKUP(Pipeline_tbl[[#This Row],[Created_Date]],Dim_Date!A:A,Dim_Date!H:H)</f>
        <v>Jan 2024</v>
      </c>
      <c r="T4489" t="str">
        <f>IF(Pipeline_tbl[[#This Row],[Closed_Date]]=0,"",(_xlfn.XLOOKUP(Pipeline_tbl[[#This Row],[Closed_Date]],Dim_Date!A:A,Dim_Date!H:H)))</f>
        <v>Feb 2024</v>
      </c>
      <c r="U4489">
        <f>IF(Pipeline_tbl[[#This Row],[Closed_Date]]=0,"",Pipeline_tbl[[#This Row],[Closed_Date]]-Pipeline_tbl[[#This Row],[Created_Date]])</f>
        <v>22</v>
      </c>
    </row>
    <row r="4490" spans="1:21" ht="15" customHeight="1" x14ac:dyDescent="0.2">
      <c r="A4490" t="s">
        <v>4796</v>
      </c>
      <c r="B4490" t="s">
        <v>263</v>
      </c>
      <c r="C4490" t="s">
        <v>55</v>
      </c>
      <c r="D4490" s="49">
        <v>45296</v>
      </c>
      <c r="E4490" s="49">
        <v>45300</v>
      </c>
      <c r="F4490" s="49">
        <v>45308</v>
      </c>
      <c r="G4490" s="49">
        <v>45321</v>
      </c>
      <c r="I4490" s="49">
        <v>45337</v>
      </c>
      <c r="J4490" t="s">
        <v>49</v>
      </c>
      <c r="K4490" s="33">
        <v>7600</v>
      </c>
      <c r="L4490" t="s">
        <v>60</v>
      </c>
      <c r="M4490" t="str">
        <f>_xlfn.XLOOKUP(Pipeline_tbl[[#This Row],[Rep_ID]],Dim_Reps!A:A,Dim_Reps!K:K)</f>
        <v>USD</v>
      </c>
      <c r="N4490" s="33">
        <f>(_xlfn.XLOOKUP(Pipeline_tbl[[#This Row],[Rate_Code_Generalized]],Lookups!A:A,Lookups!B:B))*Pipeline_tbl[[#This Row],[Pipeline_Amount_USD]]</f>
        <v>8848.6799999999985</v>
      </c>
      <c r="O4490" t="str">
        <f>_xlfn.XLOOKUP(Pipeline_tbl[[#This Row],[Rep_ID]],Dim_Reps!A:A,Dim_Reps!B:B)</f>
        <v>Morgan Weber</v>
      </c>
      <c r="P4490" t="str">
        <f>_xlfn.XLOOKUP(Pipeline_tbl[[#This Row],[Rep_ID]],Dim_Reps!A:A,Dim_Reps!C:C)</f>
        <v>Mid-Market AE</v>
      </c>
      <c r="Q4490" t="str">
        <f>_xlfn.XLOOKUP(Pipeline_tbl[[#This Row],[Rep_ID]],Dim_Reps!A:A,Dim_Reps!D:D)</f>
        <v>Mid-Market</v>
      </c>
      <c r="R4490" t="str">
        <f>_xlfn.XLOOKUP(Pipeline_tbl[[#This Row],[Rep_ID]],Dim_Reps!A:A,Dim_Reps!E:E)</f>
        <v>NAMER</v>
      </c>
      <c r="S4490" t="str">
        <f>_xlfn.XLOOKUP(Pipeline_tbl[[#This Row],[Created_Date]],Dim_Date!A:A,Dim_Date!H:H)</f>
        <v>Jan 2024</v>
      </c>
      <c r="T4490" t="str">
        <f>IF(Pipeline_tbl[[#This Row],[Closed_Date]]=0,"",(_xlfn.XLOOKUP(Pipeline_tbl[[#This Row],[Closed_Date]],Dim_Date!A:A,Dim_Date!H:H)))</f>
        <v>Feb 2024</v>
      </c>
      <c r="U4490">
        <f>IF(Pipeline_tbl[[#This Row],[Closed_Date]]=0,"",Pipeline_tbl[[#This Row],[Closed_Date]]-Pipeline_tbl[[#This Row],[Created_Date]])</f>
        <v>41</v>
      </c>
    </row>
    <row r="4491" spans="1:21" ht="15" customHeight="1" x14ac:dyDescent="0.2">
      <c r="A4491" t="s">
        <v>4797</v>
      </c>
      <c r="B4491" t="s">
        <v>263</v>
      </c>
      <c r="C4491" t="s">
        <v>53</v>
      </c>
      <c r="D4491" s="49">
        <v>45298</v>
      </c>
      <c r="E4491" s="49">
        <v>45302</v>
      </c>
      <c r="F4491" s="49">
        <v>45312</v>
      </c>
      <c r="G4491" s="49">
        <v>45325</v>
      </c>
      <c r="H4491" s="49">
        <v>45336</v>
      </c>
      <c r="I4491" s="49">
        <v>45343</v>
      </c>
      <c r="J4491" t="s">
        <v>49</v>
      </c>
      <c r="K4491" s="33">
        <v>16200</v>
      </c>
      <c r="L4491" t="s">
        <v>60</v>
      </c>
      <c r="M4491" t="str">
        <f>_xlfn.XLOOKUP(Pipeline_tbl[[#This Row],[Rep_ID]],Dim_Reps!A:A,Dim_Reps!K:K)</f>
        <v>USD</v>
      </c>
      <c r="N4491" s="33">
        <f>(_xlfn.XLOOKUP(Pipeline_tbl[[#This Row],[Rate_Code_Generalized]],Lookups!A:A,Lookups!B:B))*Pipeline_tbl[[#This Row],[Pipeline_Amount_USD]]</f>
        <v>18861.66</v>
      </c>
      <c r="O4491" t="str">
        <f>_xlfn.XLOOKUP(Pipeline_tbl[[#This Row],[Rep_ID]],Dim_Reps!A:A,Dim_Reps!B:B)</f>
        <v>Morgan Weber</v>
      </c>
      <c r="P4491" t="str">
        <f>_xlfn.XLOOKUP(Pipeline_tbl[[#This Row],[Rep_ID]],Dim_Reps!A:A,Dim_Reps!C:C)</f>
        <v>Mid-Market AE</v>
      </c>
      <c r="Q4491" t="str">
        <f>_xlfn.XLOOKUP(Pipeline_tbl[[#This Row],[Rep_ID]],Dim_Reps!A:A,Dim_Reps!D:D)</f>
        <v>Mid-Market</v>
      </c>
      <c r="R4491" t="str">
        <f>_xlfn.XLOOKUP(Pipeline_tbl[[#This Row],[Rep_ID]],Dim_Reps!A:A,Dim_Reps!E:E)</f>
        <v>NAMER</v>
      </c>
      <c r="S4491" t="str">
        <f>_xlfn.XLOOKUP(Pipeline_tbl[[#This Row],[Created_Date]],Dim_Date!A:A,Dim_Date!H:H)</f>
        <v>Jan 2024</v>
      </c>
      <c r="T4491" t="str">
        <f>IF(Pipeline_tbl[[#This Row],[Closed_Date]]=0,"",(_xlfn.XLOOKUP(Pipeline_tbl[[#This Row],[Closed_Date]],Dim_Date!A:A,Dim_Date!H:H)))</f>
        <v>Feb 2024</v>
      </c>
      <c r="U4491">
        <f>IF(Pipeline_tbl[[#This Row],[Closed_Date]]=0,"",Pipeline_tbl[[#This Row],[Closed_Date]]-Pipeline_tbl[[#This Row],[Created_Date]])</f>
        <v>45</v>
      </c>
    </row>
    <row r="4492" spans="1:21" ht="15" customHeight="1" x14ac:dyDescent="0.2">
      <c r="A4492" t="s">
        <v>4798</v>
      </c>
      <c r="B4492" t="s">
        <v>263</v>
      </c>
      <c r="C4492" t="s">
        <v>53</v>
      </c>
      <c r="D4492" s="49">
        <v>45303</v>
      </c>
      <c r="E4492" s="49">
        <v>45305</v>
      </c>
      <c r="I4492" s="49">
        <v>45323</v>
      </c>
      <c r="J4492" t="s">
        <v>49</v>
      </c>
      <c r="K4492" s="33">
        <v>18700</v>
      </c>
      <c r="L4492" t="s">
        <v>60</v>
      </c>
      <c r="M4492" t="str">
        <f>_xlfn.XLOOKUP(Pipeline_tbl[[#This Row],[Rep_ID]],Dim_Reps!A:A,Dim_Reps!K:K)</f>
        <v>USD</v>
      </c>
      <c r="N4492" s="33">
        <f>(_xlfn.XLOOKUP(Pipeline_tbl[[#This Row],[Rate_Code_Generalized]],Lookups!A:A,Lookups!B:B))*Pipeline_tbl[[#This Row],[Pipeline_Amount_USD]]</f>
        <v>21772.409999999996</v>
      </c>
      <c r="O4492" t="str">
        <f>_xlfn.XLOOKUP(Pipeline_tbl[[#This Row],[Rep_ID]],Dim_Reps!A:A,Dim_Reps!B:B)</f>
        <v>Morgan Weber</v>
      </c>
      <c r="P4492" t="str">
        <f>_xlfn.XLOOKUP(Pipeline_tbl[[#This Row],[Rep_ID]],Dim_Reps!A:A,Dim_Reps!C:C)</f>
        <v>Mid-Market AE</v>
      </c>
      <c r="Q4492" t="str">
        <f>_xlfn.XLOOKUP(Pipeline_tbl[[#This Row],[Rep_ID]],Dim_Reps!A:A,Dim_Reps!D:D)</f>
        <v>Mid-Market</v>
      </c>
      <c r="R4492" t="str">
        <f>_xlfn.XLOOKUP(Pipeline_tbl[[#This Row],[Rep_ID]],Dim_Reps!A:A,Dim_Reps!E:E)</f>
        <v>NAMER</v>
      </c>
      <c r="S4492" t="str">
        <f>_xlfn.XLOOKUP(Pipeline_tbl[[#This Row],[Created_Date]],Dim_Date!A:A,Dim_Date!H:H)</f>
        <v>Jan 2024</v>
      </c>
      <c r="T4492" t="str">
        <f>IF(Pipeline_tbl[[#This Row],[Closed_Date]]=0,"",(_xlfn.XLOOKUP(Pipeline_tbl[[#This Row],[Closed_Date]],Dim_Date!A:A,Dim_Date!H:H)))</f>
        <v>Feb 2024</v>
      </c>
      <c r="U4492">
        <f>IF(Pipeline_tbl[[#This Row],[Closed_Date]]=0,"",Pipeline_tbl[[#This Row],[Closed_Date]]-Pipeline_tbl[[#This Row],[Created_Date]])</f>
        <v>20</v>
      </c>
    </row>
    <row r="4493" spans="1:21" ht="15" customHeight="1" x14ac:dyDescent="0.2">
      <c r="A4493" t="s">
        <v>4799</v>
      </c>
      <c r="B4493" t="s">
        <v>263</v>
      </c>
      <c r="C4493" t="s">
        <v>54</v>
      </c>
      <c r="D4493" s="49">
        <v>45312</v>
      </c>
      <c r="E4493" s="49">
        <v>45314</v>
      </c>
      <c r="F4493" s="49">
        <v>45319</v>
      </c>
      <c r="I4493" s="49">
        <v>45335</v>
      </c>
      <c r="J4493" t="s">
        <v>49</v>
      </c>
      <c r="K4493" s="33">
        <v>10100</v>
      </c>
      <c r="L4493" t="s">
        <v>60</v>
      </c>
      <c r="M4493" t="str">
        <f>_xlfn.XLOOKUP(Pipeline_tbl[[#This Row],[Rep_ID]],Dim_Reps!A:A,Dim_Reps!K:K)</f>
        <v>USD</v>
      </c>
      <c r="N4493" s="33">
        <f>(_xlfn.XLOOKUP(Pipeline_tbl[[#This Row],[Rate_Code_Generalized]],Lookups!A:A,Lookups!B:B))*Pipeline_tbl[[#This Row],[Pipeline_Amount_USD]]</f>
        <v>11759.429999999998</v>
      </c>
      <c r="O4493" t="str">
        <f>_xlfn.XLOOKUP(Pipeline_tbl[[#This Row],[Rep_ID]],Dim_Reps!A:A,Dim_Reps!B:B)</f>
        <v>Morgan Weber</v>
      </c>
      <c r="P4493" t="str">
        <f>_xlfn.XLOOKUP(Pipeline_tbl[[#This Row],[Rep_ID]],Dim_Reps!A:A,Dim_Reps!C:C)</f>
        <v>Mid-Market AE</v>
      </c>
      <c r="Q4493" t="str">
        <f>_xlfn.XLOOKUP(Pipeline_tbl[[#This Row],[Rep_ID]],Dim_Reps!A:A,Dim_Reps!D:D)</f>
        <v>Mid-Market</v>
      </c>
      <c r="R4493" t="str">
        <f>_xlfn.XLOOKUP(Pipeline_tbl[[#This Row],[Rep_ID]],Dim_Reps!A:A,Dim_Reps!E:E)</f>
        <v>NAMER</v>
      </c>
      <c r="S4493" t="str">
        <f>_xlfn.XLOOKUP(Pipeline_tbl[[#This Row],[Created_Date]],Dim_Date!A:A,Dim_Date!H:H)</f>
        <v>Jan 2024</v>
      </c>
      <c r="T4493" t="str">
        <f>IF(Pipeline_tbl[[#This Row],[Closed_Date]]=0,"",(_xlfn.XLOOKUP(Pipeline_tbl[[#This Row],[Closed_Date]],Dim_Date!A:A,Dim_Date!H:H)))</f>
        <v>Feb 2024</v>
      </c>
      <c r="U4493">
        <f>IF(Pipeline_tbl[[#This Row],[Closed_Date]]=0,"",Pipeline_tbl[[#This Row],[Closed_Date]]-Pipeline_tbl[[#This Row],[Created_Date]])</f>
        <v>23</v>
      </c>
    </row>
    <row r="4494" spans="1:21" ht="15" customHeight="1" x14ac:dyDescent="0.2">
      <c r="A4494" t="s">
        <v>4800</v>
      </c>
      <c r="B4494" t="s">
        <v>263</v>
      </c>
      <c r="C4494" t="s">
        <v>52</v>
      </c>
      <c r="D4494" s="49">
        <v>45322</v>
      </c>
      <c r="E4494" s="49">
        <v>45324</v>
      </c>
      <c r="F4494" s="49">
        <v>45329</v>
      </c>
      <c r="I4494" s="49">
        <v>45345</v>
      </c>
      <c r="J4494" t="s">
        <v>49</v>
      </c>
      <c r="K4494" s="33">
        <v>9200</v>
      </c>
      <c r="L4494" t="s">
        <v>60</v>
      </c>
      <c r="M4494" t="str">
        <f>_xlfn.XLOOKUP(Pipeline_tbl[[#This Row],[Rep_ID]],Dim_Reps!A:A,Dim_Reps!K:K)</f>
        <v>USD</v>
      </c>
      <c r="N4494" s="33">
        <f>(_xlfn.XLOOKUP(Pipeline_tbl[[#This Row],[Rate_Code_Generalized]],Lookups!A:A,Lookups!B:B))*Pipeline_tbl[[#This Row],[Pipeline_Amount_USD]]</f>
        <v>10711.56</v>
      </c>
      <c r="O4494" t="str">
        <f>_xlfn.XLOOKUP(Pipeline_tbl[[#This Row],[Rep_ID]],Dim_Reps!A:A,Dim_Reps!B:B)</f>
        <v>Morgan Weber</v>
      </c>
      <c r="P4494" t="str">
        <f>_xlfn.XLOOKUP(Pipeline_tbl[[#This Row],[Rep_ID]],Dim_Reps!A:A,Dim_Reps!C:C)</f>
        <v>Mid-Market AE</v>
      </c>
      <c r="Q4494" t="str">
        <f>_xlfn.XLOOKUP(Pipeline_tbl[[#This Row],[Rep_ID]],Dim_Reps!A:A,Dim_Reps!D:D)</f>
        <v>Mid-Market</v>
      </c>
      <c r="R4494" t="str">
        <f>_xlfn.XLOOKUP(Pipeline_tbl[[#This Row],[Rep_ID]],Dim_Reps!A:A,Dim_Reps!E:E)</f>
        <v>NAMER</v>
      </c>
      <c r="S4494" t="str">
        <f>_xlfn.XLOOKUP(Pipeline_tbl[[#This Row],[Created_Date]],Dim_Date!A:A,Dim_Date!H:H)</f>
        <v>Jan 2024</v>
      </c>
      <c r="T4494" t="str">
        <f>IF(Pipeline_tbl[[#This Row],[Closed_Date]]=0,"",(_xlfn.XLOOKUP(Pipeline_tbl[[#This Row],[Closed_Date]],Dim_Date!A:A,Dim_Date!H:H)))</f>
        <v>Feb 2024</v>
      </c>
      <c r="U4494">
        <f>IF(Pipeline_tbl[[#This Row],[Closed_Date]]=0,"",Pipeline_tbl[[#This Row],[Closed_Date]]-Pipeline_tbl[[#This Row],[Created_Date]])</f>
        <v>23</v>
      </c>
    </row>
    <row r="4495" spans="1:21" ht="15" customHeight="1" x14ac:dyDescent="0.2">
      <c r="A4495" t="s">
        <v>4801</v>
      </c>
      <c r="B4495" t="s">
        <v>265</v>
      </c>
      <c r="C4495" t="s">
        <v>56</v>
      </c>
      <c r="D4495" s="49">
        <v>45299</v>
      </c>
      <c r="E4495" s="49">
        <v>45303</v>
      </c>
      <c r="F4495" s="49">
        <v>45310</v>
      </c>
      <c r="G4495" s="49">
        <v>45320</v>
      </c>
      <c r="H4495" s="49">
        <v>45329</v>
      </c>
      <c r="I4495" s="49">
        <v>45334</v>
      </c>
      <c r="J4495" t="s">
        <v>47</v>
      </c>
      <c r="K4495" s="33">
        <v>6600</v>
      </c>
      <c r="M4495" t="str">
        <f>_xlfn.XLOOKUP(Pipeline_tbl[[#This Row],[Rep_ID]],Dim_Reps!A:A,Dim_Reps!K:K)</f>
        <v>EUR</v>
      </c>
      <c r="N4495" s="33">
        <f>(_xlfn.XLOOKUP(Pipeline_tbl[[#This Row],[Rate_Code_Generalized]],Lookups!A:A,Lookups!B:B))*Pipeline_tbl[[#This Row],[Pipeline_Amount_USD]]</f>
        <v>6600</v>
      </c>
      <c r="O4495" t="str">
        <f>_xlfn.XLOOKUP(Pipeline_tbl[[#This Row],[Rep_ID]],Dim_Reps!A:A,Dim_Reps!B:B)</f>
        <v>Erik Duarte</v>
      </c>
      <c r="P4495" t="str">
        <f>_xlfn.XLOOKUP(Pipeline_tbl[[#This Row],[Rep_ID]],Dim_Reps!A:A,Dim_Reps!C:C)</f>
        <v>Mid-Market AE</v>
      </c>
      <c r="Q4495" t="str">
        <f>_xlfn.XLOOKUP(Pipeline_tbl[[#This Row],[Rep_ID]],Dim_Reps!A:A,Dim_Reps!D:D)</f>
        <v>Mid-Market</v>
      </c>
      <c r="R4495" t="str">
        <f>_xlfn.XLOOKUP(Pipeline_tbl[[#This Row],[Rep_ID]],Dim_Reps!A:A,Dim_Reps!E:E)</f>
        <v>EMEA</v>
      </c>
      <c r="S4495" t="str">
        <f>_xlfn.XLOOKUP(Pipeline_tbl[[#This Row],[Created_Date]],Dim_Date!A:A,Dim_Date!H:H)</f>
        <v>Jan 2024</v>
      </c>
      <c r="T4495" t="str">
        <f>IF(Pipeline_tbl[[#This Row],[Closed_Date]]=0,"",(_xlfn.XLOOKUP(Pipeline_tbl[[#This Row],[Closed_Date]],Dim_Date!A:A,Dim_Date!H:H)))</f>
        <v>Feb 2024</v>
      </c>
      <c r="U4495">
        <f>IF(Pipeline_tbl[[#This Row],[Closed_Date]]=0,"",Pipeline_tbl[[#This Row],[Closed_Date]]-Pipeline_tbl[[#This Row],[Created_Date]])</f>
        <v>35</v>
      </c>
    </row>
    <row r="4496" spans="1:21" ht="15" customHeight="1" x14ac:dyDescent="0.2">
      <c r="A4496" t="s">
        <v>4802</v>
      </c>
      <c r="B4496" t="s">
        <v>265</v>
      </c>
      <c r="C4496" t="s">
        <v>53</v>
      </c>
      <c r="D4496" s="49">
        <v>45313</v>
      </c>
      <c r="E4496" s="49">
        <v>45316</v>
      </c>
      <c r="F4496" s="49">
        <v>45322</v>
      </c>
      <c r="G4496" s="49">
        <v>45330</v>
      </c>
      <c r="H4496" s="49">
        <v>45338</v>
      </c>
      <c r="I4496" s="49">
        <v>45342</v>
      </c>
      <c r="J4496" t="s">
        <v>47</v>
      </c>
      <c r="K4496" s="33">
        <v>7000</v>
      </c>
      <c r="M4496" t="str">
        <f>_xlfn.XLOOKUP(Pipeline_tbl[[#This Row],[Rep_ID]],Dim_Reps!A:A,Dim_Reps!K:K)</f>
        <v>EUR</v>
      </c>
      <c r="N4496" s="33">
        <f>(_xlfn.XLOOKUP(Pipeline_tbl[[#This Row],[Rate_Code_Generalized]],Lookups!A:A,Lookups!B:B))*Pipeline_tbl[[#This Row],[Pipeline_Amount_USD]]</f>
        <v>7000</v>
      </c>
      <c r="O4496" t="str">
        <f>_xlfn.XLOOKUP(Pipeline_tbl[[#This Row],[Rep_ID]],Dim_Reps!A:A,Dim_Reps!B:B)</f>
        <v>Erik Duarte</v>
      </c>
      <c r="P4496" t="str">
        <f>_xlfn.XLOOKUP(Pipeline_tbl[[#This Row],[Rep_ID]],Dim_Reps!A:A,Dim_Reps!C:C)</f>
        <v>Mid-Market AE</v>
      </c>
      <c r="Q4496" t="str">
        <f>_xlfn.XLOOKUP(Pipeline_tbl[[#This Row],[Rep_ID]],Dim_Reps!A:A,Dim_Reps!D:D)</f>
        <v>Mid-Market</v>
      </c>
      <c r="R4496" t="str">
        <f>_xlfn.XLOOKUP(Pipeline_tbl[[#This Row],[Rep_ID]],Dim_Reps!A:A,Dim_Reps!E:E)</f>
        <v>EMEA</v>
      </c>
      <c r="S4496" t="str">
        <f>_xlfn.XLOOKUP(Pipeline_tbl[[#This Row],[Created_Date]],Dim_Date!A:A,Dim_Date!H:H)</f>
        <v>Jan 2024</v>
      </c>
      <c r="T4496" t="str">
        <f>IF(Pipeline_tbl[[#This Row],[Closed_Date]]=0,"",(_xlfn.XLOOKUP(Pipeline_tbl[[#This Row],[Closed_Date]],Dim_Date!A:A,Dim_Date!H:H)))</f>
        <v>Feb 2024</v>
      </c>
      <c r="U4496">
        <f>IF(Pipeline_tbl[[#This Row],[Closed_Date]]=0,"",Pipeline_tbl[[#This Row],[Closed_Date]]-Pipeline_tbl[[#This Row],[Created_Date]])</f>
        <v>29</v>
      </c>
    </row>
    <row r="4497" spans="1:21" ht="15" customHeight="1" x14ac:dyDescent="0.2">
      <c r="A4497" t="s">
        <v>4803</v>
      </c>
      <c r="B4497" t="s">
        <v>265</v>
      </c>
      <c r="C4497" t="s">
        <v>53</v>
      </c>
      <c r="D4497" s="49">
        <v>45299</v>
      </c>
      <c r="E4497" s="49">
        <v>45303</v>
      </c>
      <c r="F4497" s="49">
        <v>45310</v>
      </c>
      <c r="G4497" s="49">
        <v>45322</v>
      </c>
      <c r="H4497" s="49">
        <v>45331</v>
      </c>
      <c r="I4497" s="49">
        <v>45337</v>
      </c>
      <c r="J4497" t="s">
        <v>49</v>
      </c>
      <c r="K4497" s="33">
        <v>7500</v>
      </c>
      <c r="L4497" t="s">
        <v>64</v>
      </c>
      <c r="M4497" t="str">
        <f>_xlfn.XLOOKUP(Pipeline_tbl[[#This Row],[Rep_ID]],Dim_Reps!A:A,Dim_Reps!K:K)</f>
        <v>EUR</v>
      </c>
      <c r="N4497" s="33">
        <f>(_xlfn.XLOOKUP(Pipeline_tbl[[#This Row],[Rate_Code_Generalized]],Lookups!A:A,Lookups!B:B))*Pipeline_tbl[[#This Row],[Pipeline_Amount_USD]]</f>
        <v>7500</v>
      </c>
      <c r="O4497" t="str">
        <f>_xlfn.XLOOKUP(Pipeline_tbl[[#This Row],[Rep_ID]],Dim_Reps!A:A,Dim_Reps!B:B)</f>
        <v>Erik Duarte</v>
      </c>
      <c r="P4497" t="str">
        <f>_xlfn.XLOOKUP(Pipeline_tbl[[#This Row],[Rep_ID]],Dim_Reps!A:A,Dim_Reps!C:C)</f>
        <v>Mid-Market AE</v>
      </c>
      <c r="Q4497" t="str">
        <f>_xlfn.XLOOKUP(Pipeline_tbl[[#This Row],[Rep_ID]],Dim_Reps!A:A,Dim_Reps!D:D)</f>
        <v>Mid-Market</v>
      </c>
      <c r="R4497" t="str">
        <f>_xlfn.XLOOKUP(Pipeline_tbl[[#This Row],[Rep_ID]],Dim_Reps!A:A,Dim_Reps!E:E)</f>
        <v>EMEA</v>
      </c>
      <c r="S4497" t="str">
        <f>_xlfn.XLOOKUP(Pipeline_tbl[[#This Row],[Created_Date]],Dim_Date!A:A,Dim_Date!H:H)</f>
        <v>Jan 2024</v>
      </c>
      <c r="T4497" t="str">
        <f>IF(Pipeline_tbl[[#This Row],[Closed_Date]]=0,"",(_xlfn.XLOOKUP(Pipeline_tbl[[#This Row],[Closed_Date]],Dim_Date!A:A,Dim_Date!H:H)))</f>
        <v>Feb 2024</v>
      </c>
      <c r="U4497">
        <f>IF(Pipeline_tbl[[#This Row],[Closed_Date]]=0,"",Pipeline_tbl[[#This Row],[Closed_Date]]-Pipeline_tbl[[#This Row],[Created_Date]])</f>
        <v>38</v>
      </c>
    </row>
    <row r="4498" spans="1:21" ht="15" customHeight="1" x14ac:dyDescent="0.2">
      <c r="A4498" t="s">
        <v>4804</v>
      </c>
      <c r="B4498" t="s">
        <v>265</v>
      </c>
      <c r="C4498" t="s">
        <v>55</v>
      </c>
      <c r="D4498" s="49">
        <v>45300</v>
      </c>
      <c r="E4498" s="49">
        <v>45304</v>
      </c>
      <c r="F4498" s="49">
        <v>45312</v>
      </c>
      <c r="G4498" s="49">
        <v>45325</v>
      </c>
      <c r="H4498" s="49">
        <v>45335</v>
      </c>
      <c r="I4498" s="49">
        <v>45341</v>
      </c>
      <c r="J4498" t="s">
        <v>47</v>
      </c>
      <c r="K4498" s="33">
        <v>9300</v>
      </c>
      <c r="M4498" t="str">
        <f>_xlfn.XLOOKUP(Pipeline_tbl[[#This Row],[Rep_ID]],Dim_Reps!A:A,Dim_Reps!K:K)</f>
        <v>EUR</v>
      </c>
      <c r="N4498" s="33">
        <f>(_xlfn.XLOOKUP(Pipeline_tbl[[#This Row],[Rate_Code_Generalized]],Lookups!A:A,Lookups!B:B))*Pipeline_tbl[[#This Row],[Pipeline_Amount_USD]]</f>
        <v>9300</v>
      </c>
      <c r="O4498" t="str">
        <f>_xlfn.XLOOKUP(Pipeline_tbl[[#This Row],[Rep_ID]],Dim_Reps!A:A,Dim_Reps!B:B)</f>
        <v>Erik Duarte</v>
      </c>
      <c r="P4498" t="str">
        <f>_xlfn.XLOOKUP(Pipeline_tbl[[#This Row],[Rep_ID]],Dim_Reps!A:A,Dim_Reps!C:C)</f>
        <v>Mid-Market AE</v>
      </c>
      <c r="Q4498" t="str">
        <f>_xlfn.XLOOKUP(Pipeline_tbl[[#This Row],[Rep_ID]],Dim_Reps!A:A,Dim_Reps!D:D)</f>
        <v>Mid-Market</v>
      </c>
      <c r="R4498" t="str">
        <f>_xlfn.XLOOKUP(Pipeline_tbl[[#This Row],[Rep_ID]],Dim_Reps!A:A,Dim_Reps!E:E)</f>
        <v>EMEA</v>
      </c>
      <c r="S4498" t="str">
        <f>_xlfn.XLOOKUP(Pipeline_tbl[[#This Row],[Created_Date]],Dim_Date!A:A,Dim_Date!H:H)</f>
        <v>Jan 2024</v>
      </c>
      <c r="T4498" t="str">
        <f>IF(Pipeline_tbl[[#This Row],[Closed_Date]]=0,"",(_xlfn.XLOOKUP(Pipeline_tbl[[#This Row],[Closed_Date]],Dim_Date!A:A,Dim_Date!H:H)))</f>
        <v>Feb 2024</v>
      </c>
      <c r="U4498">
        <f>IF(Pipeline_tbl[[#This Row],[Closed_Date]]=0,"",Pipeline_tbl[[#This Row],[Closed_Date]]-Pipeline_tbl[[#This Row],[Created_Date]])</f>
        <v>41</v>
      </c>
    </row>
    <row r="4499" spans="1:21" ht="15" customHeight="1" x14ac:dyDescent="0.2">
      <c r="A4499" t="s">
        <v>4805</v>
      </c>
      <c r="B4499" t="s">
        <v>265</v>
      </c>
      <c r="C4499" t="s">
        <v>53</v>
      </c>
      <c r="D4499" s="49">
        <v>45309</v>
      </c>
      <c r="E4499" s="49">
        <v>45313</v>
      </c>
      <c r="F4499" s="49">
        <v>45320</v>
      </c>
      <c r="G4499" s="49">
        <v>45332</v>
      </c>
      <c r="H4499" s="49">
        <v>45341</v>
      </c>
      <c r="I4499" s="49">
        <v>45347</v>
      </c>
      <c r="J4499" t="s">
        <v>47</v>
      </c>
      <c r="K4499" s="33">
        <v>19100</v>
      </c>
      <c r="M4499" t="str">
        <f>_xlfn.XLOOKUP(Pipeline_tbl[[#This Row],[Rep_ID]],Dim_Reps!A:A,Dim_Reps!K:K)</f>
        <v>EUR</v>
      </c>
      <c r="N4499" s="33">
        <f>(_xlfn.XLOOKUP(Pipeline_tbl[[#This Row],[Rate_Code_Generalized]],Lookups!A:A,Lookups!B:B))*Pipeline_tbl[[#This Row],[Pipeline_Amount_USD]]</f>
        <v>19100</v>
      </c>
      <c r="O4499" t="str">
        <f>_xlfn.XLOOKUP(Pipeline_tbl[[#This Row],[Rep_ID]],Dim_Reps!A:A,Dim_Reps!B:B)</f>
        <v>Erik Duarte</v>
      </c>
      <c r="P4499" t="str">
        <f>_xlfn.XLOOKUP(Pipeline_tbl[[#This Row],[Rep_ID]],Dim_Reps!A:A,Dim_Reps!C:C)</f>
        <v>Mid-Market AE</v>
      </c>
      <c r="Q4499" t="str">
        <f>_xlfn.XLOOKUP(Pipeline_tbl[[#This Row],[Rep_ID]],Dim_Reps!A:A,Dim_Reps!D:D)</f>
        <v>Mid-Market</v>
      </c>
      <c r="R4499" t="str">
        <f>_xlfn.XLOOKUP(Pipeline_tbl[[#This Row],[Rep_ID]],Dim_Reps!A:A,Dim_Reps!E:E)</f>
        <v>EMEA</v>
      </c>
      <c r="S4499" t="str">
        <f>_xlfn.XLOOKUP(Pipeline_tbl[[#This Row],[Created_Date]],Dim_Date!A:A,Dim_Date!H:H)</f>
        <v>Jan 2024</v>
      </c>
      <c r="T4499" t="str">
        <f>IF(Pipeline_tbl[[#This Row],[Closed_Date]]=0,"",(_xlfn.XLOOKUP(Pipeline_tbl[[#This Row],[Closed_Date]],Dim_Date!A:A,Dim_Date!H:H)))</f>
        <v>Feb 2024</v>
      </c>
      <c r="U4499">
        <f>IF(Pipeline_tbl[[#This Row],[Closed_Date]]=0,"",Pipeline_tbl[[#This Row],[Closed_Date]]-Pipeline_tbl[[#This Row],[Created_Date]])</f>
        <v>38</v>
      </c>
    </row>
    <row r="4500" spans="1:21" ht="15" customHeight="1" x14ac:dyDescent="0.2">
      <c r="A4500" t="s">
        <v>4806</v>
      </c>
      <c r="B4500" t="s">
        <v>233</v>
      </c>
      <c r="C4500" t="s">
        <v>54</v>
      </c>
      <c r="D4500" s="49">
        <v>45321</v>
      </c>
      <c r="E4500" s="49">
        <v>45324</v>
      </c>
      <c r="F4500" s="49">
        <v>45329</v>
      </c>
      <c r="G4500" s="49">
        <v>45338</v>
      </c>
      <c r="H4500" s="49">
        <v>45345</v>
      </c>
      <c r="I4500" s="49">
        <v>45349</v>
      </c>
      <c r="J4500" t="s">
        <v>49</v>
      </c>
      <c r="K4500" s="33">
        <v>4000</v>
      </c>
      <c r="L4500" t="s">
        <v>63</v>
      </c>
      <c r="M4500" t="str">
        <f>_xlfn.XLOOKUP(Pipeline_tbl[[#This Row],[Rep_ID]],Dim_Reps!A:A,Dim_Reps!K:K)</f>
        <v>MXN</v>
      </c>
      <c r="N4500" s="33">
        <f>(_xlfn.XLOOKUP(Pipeline_tbl[[#This Row],[Rate_Code_Generalized]],Lookups!A:A,Lookups!B:B))*Pipeline_tbl[[#This Row],[Pipeline_Amount_USD]]</f>
        <v>78930.8</v>
      </c>
      <c r="O4500" t="str">
        <f>_xlfn.XLOOKUP(Pipeline_tbl[[#This Row],[Rep_ID]],Dim_Reps!A:A,Dim_Reps!B:B)</f>
        <v>Lucas Duarte</v>
      </c>
      <c r="P4500" t="str">
        <f>_xlfn.XLOOKUP(Pipeline_tbl[[#This Row],[Rep_ID]],Dim_Reps!A:A,Dim_Reps!C:C)</f>
        <v>SDR / Inside Sales Rep</v>
      </c>
      <c r="Q4500" t="str">
        <f>_xlfn.XLOOKUP(Pipeline_tbl[[#This Row],[Rep_ID]],Dim_Reps!A:A,Dim_Reps!D:D)</f>
        <v>Inside Sales</v>
      </c>
      <c r="R4500" t="str">
        <f>_xlfn.XLOOKUP(Pipeline_tbl[[#This Row],[Rep_ID]],Dim_Reps!A:A,Dim_Reps!E:E)</f>
        <v>LATAM</v>
      </c>
      <c r="S4500" t="str">
        <f>_xlfn.XLOOKUP(Pipeline_tbl[[#This Row],[Created_Date]],Dim_Date!A:A,Dim_Date!H:H)</f>
        <v>Jan 2024</v>
      </c>
      <c r="T4500" t="str">
        <f>IF(Pipeline_tbl[[#This Row],[Closed_Date]]=0,"",(_xlfn.XLOOKUP(Pipeline_tbl[[#This Row],[Closed_Date]],Dim_Date!A:A,Dim_Date!H:H)))</f>
        <v>Feb 2024</v>
      </c>
      <c r="U4500">
        <f>IF(Pipeline_tbl[[#This Row],[Closed_Date]]=0,"",Pipeline_tbl[[#This Row],[Closed_Date]]-Pipeline_tbl[[#This Row],[Created_Date]])</f>
        <v>28</v>
      </c>
    </row>
    <row r="4501" spans="1:21" ht="15" customHeight="1" x14ac:dyDescent="0.2">
      <c r="A4501" t="s">
        <v>4807</v>
      </c>
      <c r="B4501" t="s">
        <v>233</v>
      </c>
      <c r="C4501" t="s">
        <v>52</v>
      </c>
      <c r="D4501" s="49">
        <v>45307</v>
      </c>
      <c r="E4501" s="49">
        <v>45309</v>
      </c>
      <c r="F4501" s="49">
        <v>45313</v>
      </c>
      <c r="G4501" s="49">
        <v>45319</v>
      </c>
      <c r="H4501" s="49">
        <v>45324</v>
      </c>
      <c r="I4501" s="49">
        <v>45327</v>
      </c>
      <c r="J4501" t="s">
        <v>47</v>
      </c>
      <c r="K4501" s="33">
        <v>4100</v>
      </c>
      <c r="M4501" t="str">
        <f>_xlfn.XLOOKUP(Pipeline_tbl[[#This Row],[Rep_ID]],Dim_Reps!A:A,Dim_Reps!K:K)</f>
        <v>MXN</v>
      </c>
      <c r="N4501" s="33">
        <f>(_xlfn.XLOOKUP(Pipeline_tbl[[#This Row],[Rate_Code_Generalized]],Lookups!A:A,Lookups!B:B))*Pipeline_tbl[[#This Row],[Pipeline_Amount_USD]]</f>
        <v>80904.070000000007</v>
      </c>
      <c r="O4501" t="str">
        <f>_xlfn.XLOOKUP(Pipeline_tbl[[#This Row],[Rep_ID]],Dim_Reps!A:A,Dim_Reps!B:B)</f>
        <v>Lucas Duarte</v>
      </c>
      <c r="P4501" t="str">
        <f>_xlfn.XLOOKUP(Pipeline_tbl[[#This Row],[Rep_ID]],Dim_Reps!A:A,Dim_Reps!C:C)</f>
        <v>SDR / Inside Sales Rep</v>
      </c>
      <c r="Q4501" t="str">
        <f>_xlfn.XLOOKUP(Pipeline_tbl[[#This Row],[Rep_ID]],Dim_Reps!A:A,Dim_Reps!D:D)</f>
        <v>Inside Sales</v>
      </c>
      <c r="R4501" t="str">
        <f>_xlfn.XLOOKUP(Pipeline_tbl[[#This Row],[Rep_ID]],Dim_Reps!A:A,Dim_Reps!E:E)</f>
        <v>LATAM</v>
      </c>
      <c r="S4501" t="str">
        <f>_xlfn.XLOOKUP(Pipeline_tbl[[#This Row],[Created_Date]],Dim_Date!A:A,Dim_Date!H:H)</f>
        <v>Jan 2024</v>
      </c>
      <c r="T4501" t="str">
        <f>IF(Pipeline_tbl[[#This Row],[Closed_Date]]=0,"",(_xlfn.XLOOKUP(Pipeline_tbl[[#This Row],[Closed_Date]],Dim_Date!A:A,Dim_Date!H:H)))</f>
        <v>Feb 2024</v>
      </c>
      <c r="U4501">
        <f>IF(Pipeline_tbl[[#This Row],[Closed_Date]]=0,"",Pipeline_tbl[[#This Row],[Closed_Date]]-Pipeline_tbl[[#This Row],[Created_Date]])</f>
        <v>20</v>
      </c>
    </row>
    <row r="4502" spans="1:21" ht="15" customHeight="1" x14ac:dyDescent="0.2">
      <c r="A4502" t="s">
        <v>4808</v>
      </c>
      <c r="B4502" t="s">
        <v>233</v>
      </c>
      <c r="C4502" t="s">
        <v>54</v>
      </c>
      <c r="D4502" s="49">
        <v>45315</v>
      </c>
      <c r="E4502" s="49">
        <v>45317</v>
      </c>
      <c r="F4502" s="49">
        <v>45320</v>
      </c>
      <c r="G4502" s="49">
        <v>45325</v>
      </c>
      <c r="H4502" s="49">
        <v>45329</v>
      </c>
      <c r="I4502" s="49">
        <v>45331</v>
      </c>
      <c r="J4502" t="s">
        <v>47</v>
      </c>
      <c r="K4502" s="33">
        <v>5800</v>
      </c>
      <c r="M4502" t="str">
        <f>_xlfn.XLOOKUP(Pipeline_tbl[[#This Row],[Rep_ID]],Dim_Reps!A:A,Dim_Reps!K:K)</f>
        <v>MXN</v>
      </c>
      <c r="N4502" s="33">
        <f>(_xlfn.XLOOKUP(Pipeline_tbl[[#This Row],[Rate_Code_Generalized]],Lookups!A:A,Lookups!B:B))*Pipeline_tbl[[#This Row],[Pipeline_Amount_USD]]</f>
        <v>114449.66</v>
      </c>
      <c r="O4502" t="str">
        <f>_xlfn.XLOOKUP(Pipeline_tbl[[#This Row],[Rep_ID]],Dim_Reps!A:A,Dim_Reps!B:B)</f>
        <v>Lucas Duarte</v>
      </c>
      <c r="P4502" t="str">
        <f>_xlfn.XLOOKUP(Pipeline_tbl[[#This Row],[Rep_ID]],Dim_Reps!A:A,Dim_Reps!C:C)</f>
        <v>SDR / Inside Sales Rep</v>
      </c>
      <c r="Q4502" t="str">
        <f>_xlfn.XLOOKUP(Pipeline_tbl[[#This Row],[Rep_ID]],Dim_Reps!A:A,Dim_Reps!D:D)</f>
        <v>Inside Sales</v>
      </c>
      <c r="R4502" t="str">
        <f>_xlfn.XLOOKUP(Pipeline_tbl[[#This Row],[Rep_ID]],Dim_Reps!A:A,Dim_Reps!E:E)</f>
        <v>LATAM</v>
      </c>
      <c r="S4502" t="str">
        <f>_xlfn.XLOOKUP(Pipeline_tbl[[#This Row],[Created_Date]],Dim_Date!A:A,Dim_Date!H:H)</f>
        <v>Jan 2024</v>
      </c>
      <c r="T4502" t="str">
        <f>IF(Pipeline_tbl[[#This Row],[Closed_Date]]=0,"",(_xlfn.XLOOKUP(Pipeline_tbl[[#This Row],[Closed_Date]],Dim_Date!A:A,Dim_Date!H:H)))</f>
        <v>Feb 2024</v>
      </c>
      <c r="U4502">
        <f>IF(Pipeline_tbl[[#This Row],[Closed_Date]]=0,"",Pipeline_tbl[[#This Row],[Closed_Date]]-Pipeline_tbl[[#This Row],[Created_Date]])</f>
        <v>16</v>
      </c>
    </row>
    <row r="4503" spans="1:21" ht="15" customHeight="1" x14ac:dyDescent="0.2">
      <c r="A4503" t="s">
        <v>4809</v>
      </c>
      <c r="B4503" t="s">
        <v>267</v>
      </c>
      <c r="C4503" t="s">
        <v>53</v>
      </c>
      <c r="D4503" s="49">
        <v>45307</v>
      </c>
      <c r="E4503" s="49">
        <v>45310</v>
      </c>
      <c r="F4503" s="49">
        <v>45315</v>
      </c>
      <c r="G4503" s="49">
        <v>45323</v>
      </c>
      <c r="I4503" s="49">
        <v>45334</v>
      </c>
      <c r="J4503" t="s">
        <v>49</v>
      </c>
      <c r="K4503" s="33">
        <v>6400</v>
      </c>
      <c r="L4503" t="s">
        <v>61</v>
      </c>
      <c r="M4503" t="str">
        <f>_xlfn.XLOOKUP(Pipeline_tbl[[#This Row],[Rep_ID]],Dim_Reps!A:A,Dim_Reps!K:K)</f>
        <v>MXN</v>
      </c>
      <c r="N4503" s="33">
        <f>(_xlfn.XLOOKUP(Pipeline_tbl[[#This Row],[Rate_Code_Generalized]],Lookups!A:A,Lookups!B:B))*Pipeline_tbl[[#This Row],[Pipeline_Amount_USD]]</f>
        <v>126289.28000000001</v>
      </c>
      <c r="O4503" t="str">
        <f>_xlfn.XLOOKUP(Pipeline_tbl[[#This Row],[Rep_ID]],Dim_Reps!A:A,Dim_Reps!B:B)</f>
        <v>Yuki Dubois</v>
      </c>
      <c r="P4503" t="str">
        <f>_xlfn.XLOOKUP(Pipeline_tbl[[#This Row],[Rep_ID]],Dim_Reps!A:A,Dim_Reps!C:C)</f>
        <v>Mid-Market AE</v>
      </c>
      <c r="Q4503" t="str">
        <f>_xlfn.XLOOKUP(Pipeline_tbl[[#This Row],[Rep_ID]],Dim_Reps!A:A,Dim_Reps!D:D)</f>
        <v>Mid-Market</v>
      </c>
      <c r="R4503" t="str">
        <f>_xlfn.XLOOKUP(Pipeline_tbl[[#This Row],[Rep_ID]],Dim_Reps!A:A,Dim_Reps!E:E)</f>
        <v>LATAM</v>
      </c>
      <c r="S4503" t="str">
        <f>_xlfn.XLOOKUP(Pipeline_tbl[[#This Row],[Created_Date]],Dim_Date!A:A,Dim_Date!H:H)</f>
        <v>Jan 2024</v>
      </c>
      <c r="T4503" t="str">
        <f>IF(Pipeline_tbl[[#This Row],[Closed_Date]]=0,"",(_xlfn.XLOOKUP(Pipeline_tbl[[#This Row],[Closed_Date]],Dim_Date!A:A,Dim_Date!H:H)))</f>
        <v>Feb 2024</v>
      </c>
      <c r="U4503">
        <f>IF(Pipeline_tbl[[#This Row],[Closed_Date]]=0,"",Pipeline_tbl[[#This Row],[Closed_Date]]-Pipeline_tbl[[#This Row],[Created_Date]])</f>
        <v>27</v>
      </c>
    </row>
    <row r="4504" spans="1:21" ht="15" customHeight="1" x14ac:dyDescent="0.2">
      <c r="A4504" t="s">
        <v>4810</v>
      </c>
      <c r="B4504" t="s">
        <v>267</v>
      </c>
      <c r="C4504" t="s">
        <v>52</v>
      </c>
      <c r="D4504" s="49">
        <v>45293</v>
      </c>
      <c r="E4504" s="49">
        <v>45297</v>
      </c>
      <c r="F4504" s="49">
        <v>45304</v>
      </c>
      <c r="G4504" s="49">
        <v>45315</v>
      </c>
      <c r="H4504" s="49">
        <v>45324</v>
      </c>
      <c r="I4504" s="49">
        <v>45330</v>
      </c>
      <c r="J4504" t="s">
        <v>47</v>
      </c>
      <c r="K4504" s="33">
        <v>7700</v>
      </c>
      <c r="M4504" t="str">
        <f>_xlfn.XLOOKUP(Pipeline_tbl[[#This Row],[Rep_ID]],Dim_Reps!A:A,Dim_Reps!K:K)</f>
        <v>MXN</v>
      </c>
      <c r="N4504" s="33">
        <f>(_xlfn.XLOOKUP(Pipeline_tbl[[#This Row],[Rate_Code_Generalized]],Lookups!A:A,Lookups!B:B))*Pipeline_tbl[[#This Row],[Pipeline_Amount_USD]]</f>
        <v>151941.79</v>
      </c>
      <c r="O4504" t="str">
        <f>_xlfn.XLOOKUP(Pipeline_tbl[[#This Row],[Rep_ID]],Dim_Reps!A:A,Dim_Reps!B:B)</f>
        <v>Yuki Dubois</v>
      </c>
      <c r="P4504" t="str">
        <f>_xlfn.XLOOKUP(Pipeline_tbl[[#This Row],[Rep_ID]],Dim_Reps!A:A,Dim_Reps!C:C)</f>
        <v>Mid-Market AE</v>
      </c>
      <c r="Q4504" t="str">
        <f>_xlfn.XLOOKUP(Pipeline_tbl[[#This Row],[Rep_ID]],Dim_Reps!A:A,Dim_Reps!D:D)</f>
        <v>Mid-Market</v>
      </c>
      <c r="R4504" t="str">
        <f>_xlfn.XLOOKUP(Pipeline_tbl[[#This Row],[Rep_ID]],Dim_Reps!A:A,Dim_Reps!E:E)</f>
        <v>LATAM</v>
      </c>
      <c r="S4504" t="str">
        <f>_xlfn.XLOOKUP(Pipeline_tbl[[#This Row],[Created_Date]],Dim_Date!A:A,Dim_Date!H:H)</f>
        <v>Jan 2024</v>
      </c>
      <c r="T4504" t="str">
        <f>IF(Pipeline_tbl[[#This Row],[Closed_Date]]=0,"",(_xlfn.XLOOKUP(Pipeline_tbl[[#This Row],[Closed_Date]],Dim_Date!A:A,Dim_Date!H:H)))</f>
        <v>Feb 2024</v>
      </c>
      <c r="U4504">
        <f>IF(Pipeline_tbl[[#This Row],[Closed_Date]]=0,"",Pipeline_tbl[[#This Row],[Closed_Date]]-Pipeline_tbl[[#This Row],[Created_Date]])</f>
        <v>37</v>
      </c>
    </row>
    <row r="4505" spans="1:21" ht="15" customHeight="1" x14ac:dyDescent="0.2">
      <c r="A4505" t="s">
        <v>4811</v>
      </c>
      <c r="B4505" t="s">
        <v>267</v>
      </c>
      <c r="C4505" t="s">
        <v>54</v>
      </c>
      <c r="D4505" s="49">
        <v>45297</v>
      </c>
      <c r="E4505" s="49">
        <v>45300</v>
      </c>
      <c r="F4505" s="49">
        <v>45306</v>
      </c>
      <c r="I4505" s="49">
        <v>45326</v>
      </c>
      <c r="J4505" t="s">
        <v>49</v>
      </c>
      <c r="K4505" s="33">
        <v>8000</v>
      </c>
      <c r="L4505" t="s">
        <v>60</v>
      </c>
      <c r="M4505" t="str">
        <f>_xlfn.XLOOKUP(Pipeline_tbl[[#This Row],[Rep_ID]],Dim_Reps!A:A,Dim_Reps!K:K)</f>
        <v>MXN</v>
      </c>
      <c r="N4505" s="33">
        <f>(_xlfn.XLOOKUP(Pipeline_tbl[[#This Row],[Rate_Code_Generalized]],Lookups!A:A,Lookups!B:B))*Pipeline_tbl[[#This Row],[Pipeline_Amount_USD]]</f>
        <v>157861.6</v>
      </c>
      <c r="O4505" t="str">
        <f>_xlfn.XLOOKUP(Pipeline_tbl[[#This Row],[Rep_ID]],Dim_Reps!A:A,Dim_Reps!B:B)</f>
        <v>Yuki Dubois</v>
      </c>
      <c r="P4505" t="str">
        <f>_xlfn.XLOOKUP(Pipeline_tbl[[#This Row],[Rep_ID]],Dim_Reps!A:A,Dim_Reps!C:C)</f>
        <v>Mid-Market AE</v>
      </c>
      <c r="Q4505" t="str">
        <f>_xlfn.XLOOKUP(Pipeline_tbl[[#This Row],[Rep_ID]],Dim_Reps!A:A,Dim_Reps!D:D)</f>
        <v>Mid-Market</v>
      </c>
      <c r="R4505" t="str">
        <f>_xlfn.XLOOKUP(Pipeline_tbl[[#This Row],[Rep_ID]],Dim_Reps!A:A,Dim_Reps!E:E)</f>
        <v>LATAM</v>
      </c>
      <c r="S4505" t="str">
        <f>_xlfn.XLOOKUP(Pipeline_tbl[[#This Row],[Created_Date]],Dim_Date!A:A,Dim_Date!H:H)</f>
        <v>Jan 2024</v>
      </c>
      <c r="T4505" t="str">
        <f>IF(Pipeline_tbl[[#This Row],[Closed_Date]]=0,"",(_xlfn.XLOOKUP(Pipeline_tbl[[#This Row],[Closed_Date]],Dim_Date!A:A,Dim_Date!H:H)))</f>
        <v>Feb 2024</v>
      </c>
      <c r="U4505">
        <f>IF(Pipeline_tbl[[#This Row],[Closed_Date]]=0,"",Pipeline_tbl[[#This Row],[Closed_Date]]-Pipeline_tbl[[#This Row],[Created_Date]])</f>
        <v>29</v>
      </c>
    </row>
    <row r="4506" spans="1:21" ht="15" customHeight="1" x14ac:dyDescent="0.2">
      <c r="A4506" t="s">
        <v>4812</v>
      </c>
      <c r="B4506" t="s">
        <v>235</v>
      </c>
      <c r="C4506" t="s">
        <v>52</v>
      </c>
      <c r="D4506" s="49">
        <v>45319</v>
      </c>
      <c r="E4506" s="49">
        <v>45321</v>
      </c>
      <c r="F4506" s="49">
        <v>45325</v>
      </c>
      <c r="G4506" s="49">
        <v>45330</v>
      </c>
      <c r="H4506" s="49">
        <v>45335</v>
      </c>
      <c r="I4506" s="49">
        <v>45338</v>
      </c>
      <c r="J4506" t="s">
        <v>47</v>
      </c>
      <c r="K4506" s="33">
        <v>2400</v>
      </c>
      <c r="M4506" t="str">
        <f>_xlfn.XLOOKUP(Pipeline_tbl[[#This Row],[Rep_ID]],Dim_Reps!A:A,Dim_Reps!K:K)</f>
        <v>MXN</v>
      </c>
      <c r="N4506" s="33">
        <f>(_xlfn.XLOOKUP(Pipeline_tbl[[#This Row],[Rate_Code_Generalized]],Lookups!A:A,Lookups!B:B))*Pipeline_tbl[[#This Row],[Pipeline_Amount_USD]]</f>
        <v>47358.48</v>
      </c>
      <c r="O4506" t="str">
        <f>_xlfn.XLOOKUP(Pipeline_tbl[[#This Row],[Rep_ID]],Dim_Reps!A:A,Dim_Reps!B:B)</f>
        <v>Milo Castro</v>
      </c>
      <c r="P4506" t="str">
        <f>_xlfn.XLOOKUP(Pipeline_tbl[[#This Row],[Rep_ID]],Dim_Reps!A:A,Dim_Reps!C:C)</f>
        <v>SDR / Inside Sales Rep</v>
      </c>
      <c r="Q4506" t="str">
        <f>_xlfn.XLOOKUP(Pipeline_tbl[[#This Row],[Rep_ID]],Dim_Reps!A:A,Dim_Reps!D:D)</f>
        <v>Inside Sales</v>
      </c>
      <c r="R4506" t="str">
        <f>_xlfn.XLOOKUP(Pipeline_tbl[[#This Row],[Rep_ID]],Dim_Reps!A:A,Dim_Reps!E:E)</f>
        <v>LATAM</v>
      </c>
      <c r="S4506" t="str">
        <f>_xlfn.XLOOKUP(Pipeline_tbl[[#This Row],[Created_Date]],Dim_Date!A:A,Dim_Date!H:H)</f>
        <v>Jan 2024</v>
      </c>
      <c r="T4506" t="str">
        <f>IF(Pipeline_tbl[[#This Row],[Closed_Date]]=0,"",(_xlfn.XLOOKUP(Pipeline_tbl[[#This Row],[Closed_Date]],Dim_Date!A:A,Dim_Date!H:H)))</f>
        <v>Feb 2024</v>
      </c>
      <c r="U4506">
        <f>IF(Pipeline_tbl[[#This Row],[Closed_Date]]=0,"",Pipeline_tbl[[#This Row],[Closed_Date]]-Pipeline_tbl[[#This Row],[Created_Date]])</f>
        <v>19</v>
      </c>
    </row>
    <row r="4507" spans="1:21" ht="15" customHeight="1" x14ac:dyDescent="0.2">
      <c r="A4507" t="s">
        <v>4813</v>
      </c>
      <c r="B4507" t="s">
        <v>235</v>
      </c>
      <c r="C4507" t="s">
        <v>53</v>
      </c>
      <c r="D4507" s="49">
        <v>45316</v>
      </c>
      <c r="E4507" s="49">
        <v>45317</v>
      </c>
      <c r="F4507" s="49">
        <v>45318</v>
      </c>
      <c r="G4507" s="49">
        <v>45320</v>
      </c>
      <c r="H4507" s="49">
        <v>45322</v>
      </c>
      <c r="I4507" s="49">
        <v>45323</v>
      </c>
      <c r="J4507" t="s">
        <v>49</v>
      </c>
      <c r="K4507" s="33">
        <v>2400</v>
      </c>
      <c r="L4507" t="s">
        <v>64</v>
      </c>
      <c r="M4507" t="str">
        <f>_xlfn.XLOOKUP(Pipeline_tbl[[#This Row],[Rep_ID]],Dim_Reps!A:A,Dim_Reps!K:K)</f>
        <v>MXN</v>
      </c>
      <c r="N4507" s="33">
        <f>(_xlfn.XLOOKUP(Pipeline_tbl[[#This Row],[Rate_Code_Generalized]],Lookups!A:A,Lookups!B:B))*Pipeline_tbl[[#This Row],[Pipeline_Amount_USD]]</f>
        <v>47358.48</v>
      </c>
      <c r="O4507" t="str">
        <f>_xlfn.XLOOKUP(Pipeline_tbl[[#This Row],[Rep_ID]],Dim_Reps!A:A,Dim_Reps!B:B)</f>
        <v>Milo Castro</v>
      </c>
      <c r="P4507" t="str">
        <f>_xlfn.XLOOKUP(Pipeline_tbl[[#This Row],[Rep_ID]],Dim_Reps!A:A,Dim_Reps!C:C)</f>
        <v>SDR / Inside Sales Rep</v>
      </c>
      <c r="Q4507" t="str">
        <f>_xlfn.XLOOKUP(Pipeline_tbl[[#This Row],[Rep_ID]],Dim_Reps!A:A,Dim_Reps!D:D)</f>
        <v>Inside Sales</v>
      </c>
      <c r="R4507" t="str">
        <f>_xlfn.XLOOKUP(Pipeline_tbl[[#This Row],[Rep_ID]],Dim_Reps!A:A,Dim_Reps!E:E)</f>
        <v>LATAM</v>
      </c>
      <c r="S4507" t="str">
        <f>_xlfn.XLOOKUP(Pipeline_tbl[[#This Row],[Created_Date]],Dim_Date!A:A,Dim_Date!H:H)</f>
        <v>Jan 2024</v>
      </c>
      <c r="T4507" t="str">
        <f>IF(Pipeline_tbl[[#This Row],[Closed_Date]]=0,"",(_xlfn.XLOOKUP(Pipeline_tbl[[#This Row],[Closed_Date]],Dim_Date!A:A,Dim_Date!H:H)))</f>
        <v>Feb 2024</v>
      </c>
      <c r="U4507">
        <f>IF(Pipeline_tbl[[#This Row],[Closed_Date]]=0,"",Pipeline_tbl[[#This Row],[Closed_Date]]-Pipeline_tbl[[#This Row],[Created_Date]])</f>
        <v>7</v>
      </c>
    </row>
    <row r="4508" spans="1:21" ht="15" customHeight="1" x14ac:dyDescent="0.2">
      <c r="A4508" t="s">
        <v>4814</v>
      </c>
      <c r="B4508" t="s">
        <v>235</v>
      </c>
      <c r="C4508" t="s">
        <v>54</v>
      </c>
      <c r="D4508" s="49">
        <v>45322</v>
      </c>
      <c r="E4508" s="49">
        <v>45323</v>
      </c>
      <c r="F4508" s="49">
        <v>45325</v>
      </c>
      <c r="G4508" s="49">
        <v>45329</v>
      </c>
      <c r="I4508" s="49">
        <v>45333</v>
      </c>
      <c r="J4508" t="s">
        <v>49</v>
      </c>
      <c r="K4508" s="33">
        <v>4300</v>
      </c>
      <c r="L4508" t="s">
        <v>62</v>
      </c>
      <c r="M4508" t="str">
        <f>_xlfn.XLOOKUP(Pipeline_tbl[[#This Row],[Rep_ID]],Dim_Reps!A:A,Dim_Reps!K:K)</f>
        <v>MXN</v>
      </c>
      <c r="N4508" s="33">
        <f>(_xlfn.XLOOKUP(Pipeline_tbl[[#This Row],[Rate_Code_Generalized]],Lookups!A:A,Lookups!B:B))*Pipeline_tbl[[#This Row],[Pipeline_Amount_USD]]</f>
        <v>84850.61</v>
      </c>
      <c r="O4508" t="str">
        <f>_xlfn.XLOOKUP(Pipeline_tbl[[#This Row],[Rep_ID]],Dim_Reps!A:A,Dim_Reps!B:B)</f>
        <v>Milo Castro</v>
      </c>
      <c r="P4508" t="str">
        <f>_xlfn.XLOOKUP(Pipeline_tbl[[#This Row],[Rep_ID]],Dim_Reps!A:A,Dim_Reps!C:C)</f>
        <v>SDR / Inside Sales Rep</v>
      </c>
      <c r="Q4508" t="str">
        <f>_xlfn.XLOOKUP(Pipeline_tbl[[#This Row],[Rep_ID]],Dim_Reps!A:A,Dim_Reps!D:D)</f>
        <v>Inside Sales</v>
      </c>
      <c r="R4508" t="str">
        <f>_xlfn.XLOOKUP(Pipeline_tbl[[#This Row],[Rep_ID]],Dim_Reps!A:A,Dim_Reps!E:E)</f>
        <v>LATAM</v>
      </c>
      <c r="S4508" t="str">
        <f>_xlfn.XLOOKUP(Pipeline_tbl[[#This Row],[Created_Date]],Dim_Date!A:A,Dim_Date!H:H)</f>
        <v>Jan 2024</v>
      </c>
      <c r="T4508" t="str">
        <f>IF(Pipeline_tbl[[#This Row],[Closed_Date]]=0,"",(_xlfn.XLOOKUP(Pipeline_tbl[[#This Row],[Closed_Date]],Dim_Date!A:A,Dim_Date!H:H)))</f>
        <v>Feb 2024</v>
      </c>
      <c r="U4508">
        <f>IF(Pipeline_tbl[[#This Row],[Closed_Date]]=0,"",Pipeline_tbl[[#This Row],[Closed_Date]]-Pipeline_tbl[[#This Row],[Created_Date]])</f>
        <v>11</v>
      </c>
    </row>
    <row r="4509" spans="1:21" ht="15" customHeight="1" x14ac:dyDescent="0.2">
      <c r="A4509" t="s">
        <v>4815</v>
      </c>
      <c r="B4509" t="s">
        <v>235</v>
      </c>
      <c r="C4509" t="s">
        <v>52</v>
      </c>
      <c r="D4509" s="49">
        <v>45298</v>
      </c>
      <c r="E4509" s="49">
        <v>45301</v>
      </c>
      <c r="F4509" s="49">
        <v>45306</v>
      </c>
      <c r="G4509" s="49">
        <v>45315</v>
      </c>
      <c r="I4509" s="49">
        <v>45326</v>
      </c>
      <c r="J4509" t="s">
        <v>49</v>
      </c>
      <c r="K4509" s="33">
        <v>2700</v>
      </c>
      <c r="L4509" t="s">
        <v>61</v>
      </c>
      <c r="M4509" t="str">
        <f>_xlfn.XLOOKUP(Pipeline_tbl[[#This Row],[Rep_ID]],Dim_Reps!A:A,Dim_Reps!K:K)</f>
        <v>MXN</v>
      </c>
      <c r="N4509" s="33">
        <f>(_xlfn.XLOOKUP(Pipeline_tbl[[#This Row],[Rate_Code_Generalized]],Lookups!A:A,Lookups!B:B))*Pipeline_tbl[[#This Row],[Pipeline_Amount_USD]]</f>
        <v>53278.29</v>
      </c>
      <c r="O4509" t="str">
        <f>_xlfn.XLOOKUP(Pipeline_tbl[[#This Row],[Rep_ID]],Dim_Reps!A:A,Dim_Reps!B:B)</f>
        <v>Milo Castro</v>
      </c>
      <c r="P4509" t="str">
        <f>_xlfn.XLOOKUP(Pipeline_tbl[[#This Row],[Rep_ID]],Dim_Reps!A:A,Dim_Reps!C:C)</f>
        <v>SDR / Inside Sales Rep</v>
      </c>
      <c r="Q4509" t="str">
        <f>_xlfn.XLOOKUP(Pipeline_tbl[[#This Row],[Rep_ID]],Dim_Reps!A:A,Dim_Reps!D:D)</f>
        <v>Inside Sales</v>
      </c>
      <c r="R4509" t="str">
        <f>_xlfn.XLOOKUP(Pipeline_tbl[[#This Row],[Rep_ID]],Dim_Reps!A:A,Dim_Reps!E:E)</f>
        <v>LATAM</v>
      </c>
      <c r="S4509" t="str">
        <f>_xlfn.XLOOKUP(Pipeline_tbl[[#This Row],[Created_Date]],Dim_Date!A:A,Dim_Date!H:H)</f>
        <v>Jan 2024</v>
      </c>
      <c r="T4509" t="str">
        <f>IF(Pipeline_tbl[[#This Row],[Closed_Date]]=0,"",(_xlfn.XLOOKUP(Pipeline_tbl[[#This Row],[Closed_Date]],Dim_Date!A:A,Dim_Date!H:H)))</f>
        <v>Feb 2024</v>
      </c>
      <c r="U4509">
        <f>IF(Pipeline_tbl[[#This Row],[Closed_Date]]=0,"",Pipeline_tbl[[#This Row],[Closed_Date]]-Pipeline_tbl[[#This Row],[Created_Date]])</f>
        <v>28</v>
      </c>
    </row>
    <row r="4510" spans="1:21" ht="15" customHeight="1" x14ac:dyDescent="0.2">
      <c r="A4510" t="s">
        <v>4816</v>
      </c>
      <c r="B4510" t="s">
        <v>235</v>
      </c>
      <c r="C4510" t="s">
        <v>53</v>
      </c>
      <c r="D4510" s="49">
        <v>45319</v>
      </c>
      <c r="E4510" s="49">
        <v>45321</v>
      </c>
      <c r="F4510" s="49">
        <v>45325</v>
      </c>
      <c r="G4510" s="49">
        <v>45330</v>
      </c>
      <c r="H4510" s="49">
        <v>45335</v>
      </c>
      <c r="I4510" s="49">
        <v>45338</v>
      </c>
      <c r="J4510" t="s">
        <v>49</v>
      </c>
      <c r="K4510" s="33">
        <v>2100</v>
      </c>
      <c r="L4510" t="s">
        <v>61</v>
      </c>
      <c r="M4510" t="str">
        <f>_xlfn.XLOOKUP(Pipeline_tbl[[#This Row],[Rep_ID]],Dim_Reps!A:A,Dim_Reps!K:K)</f>
        <v>MXN</v>
      </c>
      <c r="N4510" s="33">
        <f>(_xlfn.XLOOKUP(Pipeline_tbl[[#This Row],[Rate_Code_Generalized]],Lookups!A:A,Lookups!B:B))*Pipeline_tbl[[#This Row],[Pipeline_Amount_USD]]</f>
        <v>41438.670000000006</v>
      </c>
      <c r="O4510" t="str">
        <f>_xlfn.XLOOKUP(Pipeline_tbl[[#This Row],[Rep_ID]],Dim_Reps!A:A,Dim_Reps!B:B)</f>
        <v>Milo Castro</v>
      </c>
      <c r="P4510" t="str">
        <f>_xlfn.XLOOKUP(Pipeline_tbl[[#This Row],[Rep_ID]],Dim_Reps!A:A,Dim_Reps!C:C)</f>
        <v>SDR / Inside Sales Rep</v>
      </c>
      <c r="Q4510" t="str">
        <f>_xlfn.XLOOKUP(Pipeline_tbl[[#This Row],[Rep_ID]],Dim_Reps!A:A,Dim_Reps!D:D)</f>
        <v>Inside Sales</v>
      </c>
      <c r="R4510" t="str">
        <f>_xlfn.XLOOKUP(Pipeline_tbl[[#This Row],[Rep_ID]],Dim_Reps!A:A,Dim_Reps!E:E)</f>
        <v>LATAM</v>
      </c>
      <c r="S4510" t="str">
        <f>_xlfn.XLOOKUP(Pipeline_tbl[[#This Row],[Created_Date]],Dim_Date!A:A,Dim_Date!H:H)</f>
        <v>Jan 2024</v>
      </c>
      <c r="T4510" t="str">
        <f>IF(Pipeline_tbl[[#This Row],[Closed_Date]]=0,"",(_xlfn.XLOOKUP(Pipeline_tbl[[#This Row],[Closed_Date]],Dim_Date!A:A,Dim_Date!H:H)))</f>
        <v>Feb 2024</v>
      </c>
      <c r="U4510">
        <f>IF(Pipeline_tbl[[#This Row],[Closed_Date]]=0,"",Pipeline_tbl[[#This Row],[Closed_Date]]-Pipeline_tbl[[#This Row],[Created_Date]])</f>
        <v>19</v>
      </c>
    </row>
    <row r="4511" spans="1:21" ht="15" customHeight="1" x14ac:dyDescent="0.2">
      <c r="A4511" t="s">
        <v>4817</v>
      </c>
      <c r="B4511" t="s">
        <v>235</v>
      </c>
      <c r="C4511" t="s">
        <v>54</v>
      </c>
      <c r="D4511" s="49">
        <v>45312</v>
      </c>
      <c r="E4511" s="49">
        <v>45314</v>
      </c>
      <c r="F4511" s="49">
        <v>45317</v>
      </c>
      <c r="I4511" s="49">
        <v>45329</v>
      </c>
      <c r="J4511" t="s">
        <v>49</v>
      </c>
      <c r="K4511" s="33">
        <v>1900</v>
      </c>
      <c r="L4511" t="s">
        <v>60</v>
      </c>
      <c r="M4511" t="str">
        <f>_xlfn.XLOOKUP(Pipeline_tbl[[#This Row],[Rep_ID]],Dim_Reps!A:A,Dim_Reps!K:K)</f>
        <v>MXN</v>
      </c>
      <c r="N4511" s="33">
        <f>(_xlfn.XLOOKUP(Pipeline_tbl[[#This Row],[Rate_Code_Generalized]],Lookups!A:A,Lookups!B:B))*Pipeline_tbl[[#This Row],[Pipeline_Amount_USD]]</f>
        <v>37492.130000000005</v>
      </c>
      <c r="O4511" t="str">
        <f>_xlfn.XLOOKUP(Pipeline_tbl[[#This Row],[Rep_ID]],Dim_Reps!A:A,Dim_Reps!B:B)</f>
        <v>Milo Castro</v>
      </c>
      <c r="P4511" t="str">
        <f>_xlfn.XLOOKUP(Pipeline_tbl[[#This Row],[Rep_ID]],Dim_Reps!A:A,Dim_Reps!C:C)</f>
        <v>SDR / Inside Sales Rep</v>
      </c>
      <c r="Q4511" t="str">
        <f>_xlfn.XLOOKUP(Pipeline_tbl[[#This Row],[Rep_ID]],Dim_Reps!A:A,Dim_Reps!D:D)</f>
        <v>Inside Sales</v>
      </c>
      <c r="R4511" t="str">
        <f>_xlfn.XLOOKUP(Pipeline_tbl[[#This Row],[Rep_ID]],Dim_Reps!A:A,Dim_Reps!E:E)</f>
        <v>LATAM</v>
      </c>
      <c r="S4511" t="str">
        <f>_xlfn.XLOOKUP(Pipeline_tbl[[#This Row],[Created_Date]],Dim_Date!A:A,Dim_Date!H:H)</f>
        <v>Jan 2024</v>
      </c>
      <c r="T4511" t="str">
        <f>IF(Pipeline_tbl[[#This Row],[Closed_Date]]=0,"",(_xlfn.XLOOKUP(Pipeline_tbl[[#This Row],[Closed_Date]],Dim_Date!A:A,Dim_Date!H:H)))</f>
        <v>Feb 2024</v>
      </c>
      <c r="U4511">
        <f>IF(Pipeline_tbl[[#This Row],[Closed_Date]]=0,"",Pipeline_tbl[[#This Row],[Closed_Date]]-Pipeline_tbl[[#This Row],[Created_Date]])</f>
        <v>17</v>
      </c>
    </row>
    <row r="4512" spans="1:21" ht="15" customHeight="1" x14ac:dyDescent="0.2">
      <c r="A4512" t="s">
        <v>4818</v>
      </c>
      <c r="B4512" t="s">
        <v>235</v>
      </c>
      <c r="C4512" t="s">
        <v>55</v>
      </c>
      <c r="D4512" s="49">
        <v>45313</v>
      </c>
      <c r="E4512" s="49">
        <v>45315</v>
      </c>
      <c r="I4512" s="49">
        <v>45333</v>
      </c>
      <c r="J4512" t="s">
        <v>49</v>
      </c>
      <c r="K4512" s="33">
        <v>5000</v>
      </c>
      <c r="L4512" t="s">
        <v>61</v>
      </c>
      <c r="M4512" t="str">
        <f>_xlfn.XLOOKUP(Pipeline_tbl[[#This Row],[Rep_ID]],Dim_Reps!A:A,Dim_Reps!K:K)</f>
        <v>MXN</v>
      </c>
      <c r="N4512" s="33">
        <f>(_xlfn.XLOOKUP(Pipeline_tbl[[#This Row],[Rate_Code_Generalized]],Lookups!A:A,Lookups!B:B))*Pipeline_tbl[[#This Row],[Pipeline_Amount_USD]]</f>
        <v>98663.5</v>
      </c>
      <c r="O4512" t="str">
        <f>_xlfn.XLOOKUP(Pipeline_tbl[[#This Row],[Rep_ID]],Dim_Reps!A:A,Dim_Reps!B:B)</f>
        <v>Milo Castro</v>
      </c>
      <c r="P4512" t="str">
        <f>_xlfn.XLOOKUP(Pipeline_tbl[[#This Row],[Rep_ID]],Dim_Reps!A:A,Dim_Reps!C:C)</f>
        <v>SDR / Inside Sales Rep</v>
      </c>
      <c r="Q4512" t="str">
        <f>_xlfn.XLOOKUP(Pipeline_tbl[[#This Row],[Rep_ID]],Dim_Reps!A:A,Dim_Reps!D:D)</f>
        <v>Inside Sales</v>
      </c>
      <c r="R4512" t="str">
        <f>_xlfn.XLOOKUP(Pipeline_tbl[[#This Row],[Rep_ID]],Dim_Reps!A:A,Dim_Reps!E:E)</f>
        <v>LATAM</v>
      </c>
      <c r="S4512" t="str">
        <f>_xlfn.XLOOKUP(Pipeline_tbl[[#This Row],[Created_Date]],Dim_Date!A:A,Dim_Date!H:H)</f>
        <v>Jan 2024</v>
      </c>
      <c r="T4512" t="str">
        <f>IF(Pipeline_tbl[[#This Row],[Closed_Date]]=0,"",(_xlfn.XLOOKUP(Pipeline_tbl[[#This Row],[Closed_Date]],Dim_Date!A:A,Dim_Date!H:H)))</f>
        <v>Feb 2024</v>
      </c>
      <c r="U4512">
        <f>IF(Pipeline_tbl[[#This Row],[Closed_Date]]=0,"",Pipeline_tbl[[#This Row],[Closed_Date]]-Pipeline_tbl[[#This Row],[Created_Date]])</f>
        <v>20</v>
      </c>
    </row>
    <row r="4513" spans="1:21" ht="15" customHeight="1" x14ac:dyDescent="0.2">
      <c r="A4513" t="s">
        <v>4819</v>
      </c>
      <c r="B4513" t="s">
        <v>237</v>
      </c>
      <c r="C4513" t="s">
        <v>52</v>
      </c>
      <c r="D4513" s="49">
        <v>45315</v>
      </c>
      <c r="E4513" s="49">
        <v>45317</v>
      </c>
      <c r="F4513" s="49">
        <v>45320</v>
      </c>
      <c r="G4513" s="49">
        <v>45326</v>
      </c>
      <c r="H4513" s="49">
        <v>45330</v>
      </c>
      <c r="I4513" s="49">
        <v>45333</v>
      </c>
      <c r="J4513" t="s">
        <v>47</v>
      </c>
      <c r="K4513" s="33">
        <v>1500</v>
      </c>
      <c r="M4513" t="str">
        <f>_xlfn.XLOOKUP(Pipeline_tbl[[#This Row],[Rep_ID]],Dim_Reps!A:A,Dim_Reps!K:K)</f>
        <v>EUR</v>
      </c>
      <c r="N4513" s="33">
        <f>(_xlfn.XLOOKUP(Pipeline_tbl[[#This Row],[Rate_Code_Generalized]],Lookups!A:A,Lookups!B:B))*Pipeline_tbl[[#This Row],[Pipeline_Amount_USD]]</f>
        <v>1500</v>
      </c>
      <c r="O4513" t="str">
        <f>_xlfn.XLOOKUP(Pipeline_tbl[[#This Row],[Rep_ID]],Dim_Reps!A:A,Dim_Reps!B:B)</f>
        <v>Hugo Santos</v>
      </c>
      <c r="P4513" t="str">
        <f>_xlfn.XLOOKUP(Pipeline_tbl[[#This Row],[Rep_ID]],Dim_Reps!A:A,Dim_Reps!C:C)</f>
        <v>SDR / Inside Sales Rep</v>
      </c>
      <c r="Q4513" t="str">
        <f>_xlfn.XLOOKUP(Pipeline_tbl[[#This Row],[Rep_ID]],Dim_Reps!A:A,Dim_Reps!D:D)</f>
        <v>Inside Sales</v>
      </c>
      <c r="R4513" t="str">
        <f>_xlfn.XLOOKUP(Pipeline_tbl[[#This Row],[Rep_ID]],Dim_Reps!A:A,Dim_Reps!E:E)</f>
        <v>EMEA</v>
      </c>
      <c r="S4513" t="str">
        <f>_xlfn.XLOOKUP(Pipeline_tbl[[#This Row],[Created_Date]],Dim_Date!A:A,Dim_Date!H:H)</f>
        <v>Jan 2024</v>
      </c>
      <c r="T4513" t="str">
        <f>IF(Pipeline_tbl[[#This Row],[Closed_Date]]=0,"",(_xlfn.XLOOKUP(Pipeline_tbl[[#This Row],[Closed_Date]],Dim_Date!A:A,Dim_Date!H:H)))</f>
        <v>Feb 2024</v>
      </c>
      <c r="U4513">
        <f>IF(Pipeline_tbl[[#This Row],[Closed_Date]]=0,"",Pipeline_tbl[[#This Row],[Closed_Date]]-Pipeline_tbl[[#This Row],[Created_Date]])</f>
        <v>18</v>
      </c>
    </row>
    <row r="4514" spans="1:21" ht="15" customHeight="1" x14ac:dyDescent="0.2">
      <c r="A4514" t="s">
        <v>4820</v>
      </c>
      <c r="B4514" t="s">
        <v>237</v>
      </c>
      <c r="C4514" t="s">
        <v>53</v>
      </c>
      <c r="D4514" s="49">
        <v>45298</v>
      </c>
      <c r="E4514" s="49">
        <v>45300</v>
      </c>
      <c r="F4514" s="49">
        <v>45306</v>
      </c>
      <c r="I4514" s="49">
        <v>45323</v>
      </c>
      <c r="J4514" t="s">
        <v>49</v>
      </c>
      <c r="K4514" s="33">
        <v>2200</v>
      </c>
      <c r="L4514" t="s">
        <v>60</v>
      </c>
      <c r="M4514" t="str">
        <f>_xlfn.XLOOKUP(Pipeline_tbl[[#This Row],[Rep_ID]],Dim_Reps!A:A,Dim_Reps!K:K)</f>
        <v>EUR</v>
      </c>
      <c r="N4514" s="33">
        <f>(_xlfn.XLOOKUP(Pipeline_tbl[[#This Row],[Rate_Code_Generalized]],Lookups!A:A,Lookups!B:B))*Pipeline_tbl[[#This Row],[Pipeline_Amount_USD]]</f>
        <v>2200</v>
      </c>
      <c r="O4514" t="str">
        <f>_xlfn.XLOOKUP(Pipeline_tbl[[#This Row],[Rep_ID]],Dim_Reps!A:A,Dim_Reps!B:B)</f>
        <v>Hugo Santos</v>
      </c>
      <c r="P4514" t="str">
        <f>_xlfn.XLOOKUP(Pipeline_tbl[[#This Row],[Rep_ID]],Dim_Reps!A:A,Dim_Reps!C:C)</f>
        <v>SDR / Inside Sales Rep</v>
      </c>
      <c r="Q4514" t="str">
        <f>_xlfn.XLOOKUP(Pipeline_tbl[[#This Row],[Rep_ID]],Dim_Reps!A:A,Dim_Reps!D:D)</f>
        <v>Inside Sales</v>
      </c>
      <c r="R4514" t="str">
        <f>_xlfn.XLOOKUP(Pipeline_tbl[[#This Row],[Rep_ID]],Dim_Reps!A:A,Dim_Reps!E:E)</f>
        <v>EMEA</v>
      </c>
      <c r="S4514" t="str">
        <f>_xlfn.XLOOKUP(Pipeline_tbl[[#This Row],[Created_Date]],Dim_Date!A:A,Dim_Date!H:H)</f>
        <v>Jan 2024</v>
      </c>
      <c r="T4514" t="str">
        <f>IF(Pipeline_tbl[[#This Row],[Closed_Date]]=0,"",(_xlfn.XLOOKUP(Pipeline_tbl[[#This Row],[Closed_Date]],Dim_Date!A:A,Dim_Date!H:H)))</f>
        <v>Feb 2024</v>
      </c>
      <c r="U4514">
        <f>IF(Pipeline_tbl[[#This Row],[Closed_Date]]=0,"",Pipeline_tbl[[#This Row],[Closed_Date]]-Pipeline_tbl[[#This Row],[Created_Date]])</f>
        <v>25</v>
      </c>
    </row>
    <row r="4515" spans="1:21" ht="15" customHeight="1" x14ac:dyDescent="0.2">
      <c r="A4515" t="s">
        <v>4821</v>
      </c>
      <c r="B4515" t="s">
        <v>237</v>
      </c>
      <c r="C4515" t="s">
        <v>52</v>
      </c>
      <c r="D4515" s="49">
        <v>45315</v>
      </c>
      <c r="E4515" s="49">
        <v>45317</v>
      </c>
      <c r="F4515" s="49">
        <v>45321</v>
      </c>
      <c r="I4515" s="49">
        <v>45336</v>
      </c>
      <c r="J4515" t="s">
        <v>49</v>
      </c>
      <c r="K4515" s="33">
        <v>2700</v>
      </c>
      <c r="L4515" t="s">
        <v>60</v>
      </c>
      <c r="M4515" t="str">
        <f>_xlfn.XLOOKUP(Pipeline_tbl[[#This Row],[Rep_ID]],Dim_Reps!A:A,Dim_Reps!K:K)</f>
        <v>EUR</v>
      </c>
      <c r="N4515" s="33">
        <f>(_xlfn.XLOOKUP(Pipeline_tbl[[#This Row],[Rate_Code_Generalized]],Lookups!A:A,Lookups!B:B))*Pipeline_tbl[[#This Row],[Pipeline_Amount_USD]]</f>
        <v>2700</v>
      </c>
      <c r="O4515" t="str">
        <f>_xlfn.XLOOKUP(Pipeline_tbl[[#This Row],[Rep_ID]],Dim_Reps!A:A,Dim_Reps!B:B)</f>
        <v>Hugo Santos</v>
      </c>
      <c r="P4515" t="str">
        <f>_xlfn.XLOOKUP(Pipeline_tbl[[#This Row],[Rep_ID]],Dim_Reps!A:A,Dim_Reps!C:C)</f>
        <v>SDR / Inside Sales Rep</v>
      </c>
      <c r="Q4515" t="str">
        <f>_xlfn.XLOOKUP(Pipeline_tbl[[#This Row],[Rep_ID]],Dim_Reps!A:A,Dim_Reps!D:D)</f>
        <v>Inside Sales</v>
      </c>
      <c r="R4515" t="str">
        <f>_xlfn.XLOOKUP(Pipeline_tbl[[#This Row],[Rep_ID]],Dim_Reps!A:A,Dim_Reps!E:E)</f>
        <v>EMEA</v>
      </c>
      <c r="S4515" t="str">
        <f>_xlfn.XLOOKUP(Pipeline_tbl[[#This Row],[Created_Date]],Dim_Date!A:A,Dim_Date!H:H)</f>
        <v>Jan 2024</v>
      </c>
      <c r="T4515" t="str">
        <f>IF(Pipeline_tbl[[#This Row],[Closed_Date]]=0,"",(_xlfn.XLOOKUP(Pipeline_tbl[[#This Row],[Closed_Date]],Dim_Date!A:A,Dim_Date!H:H)))</f>
        <v>Feb 2024</v>
      </c>
      <c r="U4515">
        <f>IF(Pipeline_tbl[[#This Row],[Closed_Date]]=0,"",Pipeline_tbl[[#This Row],[Closed_Date]]-Pipeline_tbl[[#This Row],[Created_Date]])</f>
        <v>21</v>
      </c>
    </row>
    <row r="4516" spans="1:21" ht="15" customHeight="1" x14ac:dyDescent="0.2">
      <c r="A4516" t="s">
        <v>4822</v>
      </c>
      <c r="B4516" t="s">
        <v>237</v>
      </c>
      <c r="C4516" t="s">
        <v>54</v>
      </c>
      <c r="D4516" s="49">
        <v>45310</v>
      </c>
      <c r="E4516" s="49">
        <v>45312</v>
      </c>
      <c r="F4516" s="49">
        <v>45315</v>
      </c>
      <c r="G4516" s="49">
        <v>45319</v>
      </c>
      <c r="H4516" s="49">
        <v>45323</v>
      </c>
      <c r="I4516" s="49">
        <v>45325</v>
      </c>
      <c r="J4516" t="s">
        <v>47</v>
      </c>
      <c r="K4516" s="33">
        <v>3000</v>
      </c>
      <c r="M4516" t="str">
        <f>_xlfn.XLOOKUP(Pipeline_tbl[[#This Row],[Rep_ID]],Dim_Reps!A:A,Dim_Reps!K:K)</f>
        <v>EUR</v>
      </c>
      <c r="N4516" s="33">
        <f>(_xlfn.XLOOKUP(Pipeline_tbl[[#This Row],[Rate_Code_Generalized]],Lookups!A:A,Lookups!B:B))*Pipeline_tbl[[#This Row],[Pipeline_Amount_USD]]</f>
        <v>3000</v>
      </c>
      <c r="O4516" t="str">
        <f>_xlfn.XLOOKUP(Pipeline_tbl[[#This Row],[Rep_ID]],Dim_Reps!A:A,Dim_Reps!B:B)</f>
        <v>Hugo Santos</v>
      </c>
      <c r="P4516" t="str">
        <f>_xlfn.XLOOKUP(Pipeline_tbl[[#This Row],[Rep_ID]],Dim_Reps!A:A,Dim_Reps!C:C)</f>
        <v>SDR / Inside Sales Rep</v>
      </c>
      <c r="Q4516" t="str">
        <f>_xlfn.XLOOKUP(Pipeline_tbl[[#This Row],[Rep_ID]],Dim_Reps!A:A,Dim_Reps!D:D)</f>
        <v>Inside Sales</v>
      </c>
      <c r="R4516" t="str">
        <f>_xlfn.XLOOKUP(Pipeline_tbl[[#This Row],[Rep_ID]],Dim_Reps!A:A,Dim_Reps!E:E)</f>
        <v>EMEA</v>
      </c>
      <c r="S4516" t="str">
        <f>_xlfn.XLOOKUP(Pipeline_tbl[[#This Row],[Created_Date]],Dim_Date!A:A,Dim_Date!H:H)</f>
        <v>Jan 2024</v>
      </c>
      <c r="T4516" t="str">
        <f>IF(Pipeline_tbl[[#This Row],[Closed_Date]]=0,"",(_xlfn.XLOOKUP(Pipeline_tbl[[#This Row],[Closed_Date]],Dim_Date!A:A,Dim_Date!H:H)))</f>
        <v>Feb 2024</v>
      </c>
      <c r="U4516">
        <f>IF(Pipeline_tbl[[#This Row],[Closed_Date]]=0,"",Pipeline_tbl[[#This Row],[Closed_Date]]-Pipeline_tbl[[#This Row],[Created_Date]])</f>
        <v>15</v>
      </c>
    </row>
    <row r="4517" spans="1:21" ht="15" customHeight="1" x14ac:dyDescent="0.2">
      <c r="A4517" t="s">
        <v>4823</v>
      </c>
      <c r="B4517" t="s">
        <v>237</v>
      </c>
      <c r="C4517" t="s">
        <v>54</v>
      </c>
      <c r="D4517" s="49">
        <v>45308</v>
      </c>
      <c r="E4517" s="49">
        <v>45310</v>
      </c>
      <c r="F4517" s="49">
        <v>45314</v>
      </c>
      <c r="I4517" s="49">
        <v>45328</v>
      </c>
      <c r="J4517" t="s">
        <v>49</v>
      </c>
      <c r="K4517" s="33">
        <v>2100</v>
      </c>
      <c r="L4517" t="s">
        <v>62</v>
      </c>
      <c r="M4517" t="str">
        <f>_xlfn.XLOOKUP(Pipeline_tbl[[#This Row],[Rep_ID]],Dim_Reps!A:A,Dim_Reps!K:K)</f>
        <v>EUR</v>
      </c>
      <c r="N4517" s="33">
        <f>(_xlfn.XLOOKUP(Pipeline_tbl[[#This Row],[Rate_Code_Generalized]],Lookups!A:A,Lookups!B:B))*Pipeline_tbl[[#This Row],[Pipeline_Amount_USD]]</f>
        <v>2100</v>
      </c>
      <c r="O4517" t="str">
        <f>_xlfn.XLOOKUP(Pipeline_tbl[[#This Row],[Rep_ID]],Dim_Reps!A:A,Dim_Reps!B:B)</f>
        <v>Hugo Santos</v>
      </c>
      <c r="P4517" t="str">
        <f>_xlfn.XLOOKUP(Pipeline_tbl[[#This Row],[Rep_ID]],Dim_Reps!A:A,Dim_Reps!C:C)</f>
        <v>SDR / Inside Sales Rep</v>
      </c>
      <c r="Q4517" t="str">
        <f>_xlfn.XLOOKUP(Pipeline_tbl[[#This Row],[Rep_ID]],Dim_Reps!A:A,Dim_Reps!D:D)</f>
        <v>Inside Sales</v>
      </c>
      <c r="R4517" t="str">
        <f>_xlfn.XLOOKUP(Pipeline_tbl[[#This Row],[Rep_ID]],Dim_Reps!A:A,Dim_Reps!E:E)</f>
        <v>EMEA</v>
      </c>
      <c r="S4517" t="str">
        <f>_xlfn.XLOOKUP(Pipeline_tbl[[#This Row],[Created_Date]],Dim_Date!A:A,Dim_Date!H:H)</f>
        <v>Jan 2024</v>
      </c>
      <c r="T4517" t="str">
        <f>IF(Pipeline_tbl[[#This Row],[Closed_Date]]=0,"",(_xlfn.XLOOKUP(Pipeline_tbl[[#This Row],[Closed_Date]],Dim_Date!A:A,Dim_Date!H:H)))</f>
        <v>Feb 2024</v>
      </c>
      <c r="U4517">
        <f>IF(Pipeline_tbl[[#This Row],[Closed_Date]]=0,"",Pipeline_tbl[[#This Row],[Closed_Date]]-Pipeline_tbl[[#This Row],[Created_Date]])</f>
        <v>20</v>
      </c>
    </row>
    <row r="4518" spans="1:21" ht="15" customHeight="1" x14ac:dyDescent="0.2">
      <c r="A4518" t="s">
        <v>4824</v>
      </c>
      <c r="B4518" t="s">
        <v>237</v>
      </c>
      <c r="C4518" t="s">
        <v>52</v>
      </c>
      <c r="D4518" s="49">
        <v>45297</v>
      </c>
      <c r="E4518" s="49">
        <v>45300</v>
      </c>
      <c r="F4518" s="49">
        <v>45305</v>
      </c>
      <c r="G4518" s="49">
        <v>45313</v>
      </c>
      <c r="H4518" s="49">
        <v>45319</v>
      </c>
      <c r="I4518" s="49">
        <v>45323</v>
      </c>
      <c r="J4518" t="s">
        <v>47</v>
      </c>
      <c r="K4518" s="33">
        <v>5400</v>
      </c>
      <c r="M4518" t="str">
        <f>_xlfn.XLOOKUP(Pipeline_tbl[[#This Row],[Rep_ID]],Dim_Reps!A:A,Dim_Reps!K:K)</f>
        <v>EUR</v>
      </c>
      <c r="N4518" s="33">
        <f>(_xlfn.XLOOKUP(Pipeline_tbl[[#This Row],[Rate_Code_Generalized]],Lookups!A:A,Lookups!B:B))*Pipeline_tbl[[#This Row],[Pipeline_Amount_USD]]</f>
        <v>5400</v>
      </c>
      <c r="O4518" t="str">
        <f>_xlfn.XLOOKUP(Pipeline_tbl[[#This Row],[Rep_ID]],Dim_Reps!A:A,Dim_Reps!B:B)</f>
        <v>Hugo Santos</v>
      </c>
      <c r="P4518" t="str">
        <f>_xlfn.XLOOKUP(Pipeline_tbl[[#This Row],[Rep_ID]],Dim_Reps!A:A,Dim_Reps!C:C)</f>
        <v>SDR / Inside Sales Rep</v>
      </c>
      <c r="Q4518" t="str">
        <f>_xlfn.XLOOKUP(Pipeline_tbl[[#This Row],[Rep_ID]],Dim_Reps!A:A,Dim_Reps!D:D)</f>
        <v>Inside Sales</v>
      </c>
      <c r="R4518" t="str">
        <f>_xlfn.XLOOKUP(Pipeline_tbl[[#This Row],[Rep_ID]],Dim_Reps!A:A,Dim_Reps!E:E)</f>
        <v>EMEA</v>
      </c>
      <c r="S4518" t="str">
        <f>_xlfn.XLOOKUP(Pipeline_tbl[[#This Row],[Created_Date]],Dim_Date!A:A,Dim_Date!H:H)</f>
        <v>Jan 2024</v>
      </c>
      <c r="T4518" t="str">
        <f>IF(Pipeline_tbl[[#This Row],[Closed_Date]]=0,"",(_xlfn.XLOOKUP(Pipeline_tbl[[#This Row],[Closed_Date]],Dim_Date!A:A,Dim_Date!H:H)))</f>
        <v>Feb 2024</v>
      </c>
      <c r="U4518">
        <f>IF(Pipeline_tbl[[#This Row],[Closed_Date]]=0,"",Pipeline_tbl[[#This Row],[Closed_Date]]-Pipeline_tbl[[#This Row],[Created_Date]])</f>
        <v>26</v>
      </c>
    </row>
    <row r="4519" spans="1:21" ht="15" customHeight="1" x14ac:dyDescent="0.2">
      <c r="A4519" t="s">
        <v>4825</v>
      </c>
      <c r="B4519" t="s">
        <v>237</v>
      </c>
      <c r="C4519" t="s">
        <v>52</v>
      </c>
      <c r="D4519" s="49">
        <v>45303</v>
      </c>
      <c r="E4519" s="49">
        <v>45306</v>
      </c>
      <c r="F4519" s="49">
        <v>45313</v>
      </c>
      <c r="G4519" s="49">
        <v>45323</v>
      </c>
      <c r="H4519" s="49">
        <v>45331</v>
      </c>
      <c r="I4519" s="49">
        <v>45336</v>
      </c>
      <c r="J4519" t="s">
        <v>47</v>
      </c>
      <c r="K4519" s="33">
        <v>2000</v>
      </c>
      <c r="M4519" t="str">
        <f>_xlfn.XLOOKUP(Pipeline_tbl[[#This Row],[Rep_ID]],Dim_Reps!A:A,Dim_Reps!K:K)</f>
        <v>EUR</v>
      </c>
      <c r="N4519" s="33">
        <f>(_xlfn.XLOOKUP(Pipeline_tbl[[#This Row],[Rate_Code_Generalized]],Lookups!A:A,Lookups!B:B))*Pipeline_tbl[[#This Row],[Pipeline_Amount_USD]]</f>
        <v>2000</v>
      </c>
      <c r="O4519" t="str">
        <f>_xlfn.XLOOKUP(Pipeline_tbl[[#This Row],[Rep_ID]],Dim_Reps!A:A,Dim_Reps!B:B)</f>
        <v>Hugo Santos</v>
      </c>
      <c r="P4519" t="str">
        <f>_xlfn.XLOOKUP(Pipeline_tbl[[#This Row],[Rep_ID]],Dim_Reps!A:A,Dim_Reps!C:C)</f>
        <v>SDR / Inside Sales Rep</v>
      </c>
      <c r="Q4519" t="str">
        <f>_xlfn.XLOOKUP(Pipeline_tbl[[#This Row],[Rep_ID]],Dim_Reps!A:A,Dim_Reps!D:D)</f>
        <v>Inside Sales</v>
      </c>
      <c r="R4519" t="str">
        <f>_xlfn.XLOOKUP(Pipeline_tbl[[#This Row],[Rep_ID]],Dim_Reps!A:A,Dim_Reps!E:E)</f>
        <v>EMEA</v>
      </c>
      <c r="S4519" t="str">
        <f>_xlfn.XLOOKUP(Pipeline_tbl[[#This Row],[Created_Date]],Dim_Date!A:A,Dim_Date!H:H)</f>
        <v>Jan 2024</v>
      </c>
      <c r="T4519" t="str">
        <f>IF(Pipeline_tbl[[#This Row],[Closed_Date]]=0,"",(_xlfn.XLOOKUP(Pipeline_tbl[[#This Row],[Closed_Date]],Dim_Date!A:A,Dim_Date!H:H)))</f>
        <v>Feb 2024</v>
      </c>
      <c r="U4519">
        <f>IF(Pipeline_tbl[[#This Row],[Closed_Date]]=0,"",Pipeline_tbl[[#This Row],[Closed_Date]]-Pipeline_tbl[[#This Row],[Created_Date]])</f>
        <v>33</v>
      </c>
    </row>
    <row r="4520" spans="1:21" ht="15" customHeight="1" x14ac:dyDescent="0.2">
      <c r="A4520" t="s">
        <v>4826</v>
      </c>
      <c r="B4520" t="s">
        <v>269</v>
      </c>
      <c r="C4520" t="s">
        <v>52</v>
      </c>
      <c r="D4520" s="49">
        <v>45308</v>
      </c>
      <c r="E4520" s="49">
        <v>45311</v>
      </c>
      <c r="F4520" s="49">
        <v>45316</v>
      </c>
      <c r="G4520" s="49">
        <v>45324</v>
      </c>
      <c r="H4520" s="49">
        <v>45331</v>
      </c>
      <c r="I4520" s="49">
        <v>45335</v>
      </c>
      <c r="J4520" t="s">
        <v>47</v>
      </c>
      <c r="K4520" s="33">
        <v>7800</v>
      </c>
      <c r="M4520" t="str">
        <f>_xlfn.XLOOKUP(Pipeline_tbl[[#This Row],[Rep_ID]],Dim_Reps!A:A,Dim_Reps!K:K)</f>
        <v>USD</v>
      </c>
      <c r="N4520" s="33">
        <f>(_xlfn.XLOOKUP(Pipeline_tbl[[#This Row],[Rate_Code_Generalized]],Lookups!A:A,Lookups!B:B))*Pipeline_tbl[[#This Row],[Pipeline_Amount_USD]]</f>
        <v>9081.5399999999991</v>
      </c>
      <c r="O4520" t="str">
        <f>_xlfn.XLOOKUP(Pipeline_tbl[[#This Row],[Rep_ID]],Dim_Reps!A:A,Dim_Reps!B:B)</f>
        <v>Morgan Rivera</v>
      </c>
      <c r="P4520" t="str">
        <f>_xlfn.XLOOKUP(Pipeline_tbl[[#This Row],[Rep_ID]],Dim_Reps!A:A,Dim_Reps!C:C)</f>
        <v>Mid-Market AE</v>
      </c>
      <c r="Q4520" t="str">
        <f>_xlfn.XLOOKUP(Pipeline_tbl[[#This Row],[Rep_ID]],Dim_Reps!A:A,Dim_Reps!D:D)</f>
        <v>Mid-Market</v>
      </c>
      <c r="R4520" t="str">
        <f>_xlfn.XLOOKUP(Pipeline_tbl[[#This Row],[Rep_ID]],Dim_Reps!A:A,Dim_Reps!E:E)</f>
        <v>NAMER</v>
      </c>
      <c r="S4520" t="str">
        <f>_xlfn.XLOOKUP(Pipeline_tbl[[#This Row],[Created_Date]],Dim_Date!A:A,Dim_Date!H:H)</f>
        <v>Jan 2024</v>
      </c>
      <c r="T4520" t="str">
        <f>IF(Pipeline_tbl[[#This Row],[Closed_Date]]=0,"",(_xlfn.XLOOKUP(Pipeline_tbl[[#This Row],[Closed_Date]],Dim_Date!A:A,Dim_Date!H:H)))</f>
        <v>Feb 2024</v>
      </c>
      <c r="U4520">
        <f>IF(Pipeline_tbl[[#This Row],[Closed_Date]]=0,"",Pipeline_tbl[[#This Row],[Closed_Date]]-Pipeline_tbl[[#This Row],[Created_Date]])</f>
        <v>27</v>
      </c>
    </row>
    <row r="4521" spans="1:21" ht="15" customHeight="1" x14ac:dyDescent="0.2">
      <c r="A4521" t="s">
        <v>4827</v>
      </c>
      <c r="B4521" t="s">
        <v>269</v>
      </c>
      <c r="C4521" t="s">
        <v>56</v>
      </c>
      <c r="D4521" s="49">
        <v>45299</v>
      </c>
      <c r="E4521" s="49">
        <v>45302</v>
      </c>
      <c r="F4521" s="49">
        <v>45309</v>
      </c>
      <c r="G4521" s="49">
        <v>45319</v>
      </c>
      <c r="H4521" s="49">
        <v>45328</v>
      </c>
      <c r="I4521" s="49">
        <v>45333</v>
      </c>
      <c r="J4521" t="s">
        <v>47</v>
      </c>
      <c r="K4521" s="33">
        <v>20600</v>
      </c>
      <c r="M4521" t="str">
        <f>_xlfn.XLOOKUP(Pipeline_tbl[[#This Row],[Rep_ID]],Dim_Reps!A:A,Dim_Reps!K:K)</f>
        <v>USD</v>
      </c>
      <c r="N4521" s="33">
        <f>(_xlfn.XLOOKUP(Pipeline_tbl[[#This Row],[Rate_Code_Generalized]],Lookups!A:A,Lookups!B:B))*Pipeline_tbl[[#This Row],[Pipeline_Amount_USD]]</f>
        <v>23984.579999999998</v>
      </c>
      <c r="O4521" t="str">
        <f>_xlfn.XLOOKUP(Pipeline_tbl[[#This Row],[Rep_ID]],Dim_Reps!A:A,Dim_Reps!B:B)</f>
        <v>Morgan Rivera</v>
      </c>
      <c r="P4521" t="str">
        <f>_xlfn.XLOOKUP(Pipeline_tbl[[#This Row],[Rep_ID]],Dim_Reps!A:A,Dim_Reps!C:C)</f>
        <v>Mid-Market AE</v>
      </c>
      <c r="Q4521" t="str">
        <f>_xlfn.XLOOKUP(Pipeline_tbl[[#This Row],[Rep_ID]],Dim_Reps!A:A,Dim_Reps!D:D)</f>
        <v>Mid-Market</v>
      </c>
      <c r="R4521" t="str">
        <f>_xlfn.XLOOKUP(Pipeline_tbl[[#This Row],[Rep_ID]],Dim_Reps!A:A,Dim_Reps!E:E)</f>
        <v>NAMER</v>
      </c>
      <c r="S4521" t="str">
        <f>_xlfn.XLOOKUP(Pipeline_tbl[[#This Row],[Created_Date]],Dim_Date!A:A,Dim_Date!H:H)</f>
        <v>Jan 2024</v>
      </c>
      <c r="T4521" t="str">
        <f>IF(Pipeline_tbl[[#This Row],[Closed_Date]]=0,"",(_xlfn.XLOOKUP(Pipeline_tbl[[#This Row],[Closed_Date]],Dim_Date!A:A,Dim_Date!H:H)))</f>
        <v>Feb 2024</v>
      </c>
      <c r="U4521">
        <f>IF(Pipeline_tbl[[#This Row],[Closed_Date]]=0,"",Pipeline_tbl[[#This Row],[Closed_Date]]-Pipeline_tbl[[#This Row],[Created_Date]])</f>
        <v>34</v>
      </c>
    </row>
    <row r="4522" spans="1:21" ht="15" customHeight="1" x14ac:dyDescent="0.2">
      <c r="A4522" t="s">
        <v>4828</v>
      </c>
      <c r="B4522" t="s">
        <v>271</v>
      </c>
      <c r="C4522" t="s">
        <v>52</v>
      </c>
      <c r="D4522" s="49">
        <v>45313</v>
      </c>
      <c r="E4522" s="49">
        <v>45317</v>
      </c>
      <c r="I4522" s="49">
        <v>45349</v>
      </c>
      <c r="J4522" t="s">
        <v>49</v>
      </c>
      <c r="K4522" s="33">
        <v>3500</v>
      </c>
      <c r="L4522" t="s">
        <v>64</v>
      </c>
      <c r="M4522" t="str">
        <f>_xlfn.XLOOKUP(Pipeline_tbl[[#This Row],[Rep_ID]],Dim_Reps!A:A,Dim_Reps!K:K)</f>
        <v>EUR</v>
      </c>
      <c r="N4522" s="33">
        <f>(_xlfn.XLOOKUP(Pipeline_tbl[[#This Row],[Rate_Code_Generalized]],Lookups!A:A,Lookups!B:B))*Pipeline_tbl[[#This Row],[Pipeline_Amount_USD]]</f>
        <v>3500</v>
      </c>
      <c r="O4522" t="str">
        <f>_xlfn.XLOOKUP(Pipeline_tbl[[#This Row],[Rep_ID]],Dim_Reps!A:A,Dim_Reps!B:B)</f>
        <v>Ivy Adler</v>
      </c>
      <c r="P4522" t="str">
        <f>_xlfn.XLOOKUP(Pipeline_tbl[[#This Row],[Rep_ID]],Dim_Reps!A:A,Dim_Reps!C:C)</f>
        <v>Mid-Market AE</v>
      </c>
      <c r="Q4522" t="str">
        <f>_xlfn.XLOOKUP(Pipeline_tbl[[#This Row],[Rep_ID]],Dim_Reps!A:A,Dim_Reps!D:D)</f>
        <v>Mid-Market</v>
      </c>
      <c r="R4522" t="str">
        <f>_xlfn.XLOOKUP(Pipeline_tbl[[#This Row],[Rep_ID]],Dim_Reps!A:A,Dim_Reps!E:E)</f>
        <v>APAC</v>
      </c>
      <c r="S4522" t="str">
        <f>_xlfn.XLOOKUP(Pipeline_tbl[[#This Row],[Created_Date]],Dim_Date!A:A,Dim_Date!H:H)</f>
        <v>Jan 2024</v>
      </c>
      <c r="T4522" t="str">
        <f>IF(Pipeline_tbl[[#This Row],[Closed_Date]]=0,"",(_xlfn.XLOOKUP(Pipeline_tbl[[#This Row],[Closed_Date]],Dim_Date!A:A,Dim_Date!H:H)))</f>
        <v>Feb 2024</v>
      </c>
      <c r="U4522">
        <f>IF(Pipeline_tbl[[#This Row],[Closed_Date]]=0,"",Pipeline_tbl[[#This Row],[Closed_Date]]-Pipeline_tbl[[#This Row],[Created_Date]])</f>
        <v>36</v>
      </c>
    </row>
    <row r="4523" spans="1:21" ht="15" customHeight="1" x14ac:dyDescent="0.2">
      <c r="A4523" t="s">
        <v>4829</v>
      </c>
      <c r="B4523" t="s">
        <v>271</v>
      </c>
      <c r="C4523" t="s">
        <v>52</v>
      </c>
      <c r="D4523" s="49">
        <v>45311</v>
      </c>
      <c r="E4523" s="49">
        <v>45314</v>
      </c>
      <c r="F4523" s="49">
        <v>45320</v>
      </c>
      <c r="G4523" s="49">
        <v>45329</v>
      </c>
      <c r="H4523" s="49">
        <v>45337</v>
      </c>
      <c r="I4523" s="49">
        <v>45341</v>
      </c>
      <c r="J4523" t="s">
        <v>47</v>
      </c>
      <c r="K4523" s="33">
        <v>10200</v>
      </c>
      <c r="M4523" t="str">
        <f>_xlfn.XLOOKUP(Pipeline_tbl[[#This Row],[Rep_ID]],Dim_Reps!A:A,Dim_Reps!K:K)</f>
        <v>EUR</v>
      </c>
      <c r="N4523" s="33">
        <f>(_xlfn.XLOOKUP(Pipeline_tbl[[#This Row],[Rate_Code_Generalized]],Lookups!A:A,Lookups!B:B))*Pipeline_tbl[[#This Row],[Pipeline_Amount_USD]]</f>
        <v>10200</v>
      </c>
      <c r="O4523" t="str">
        <f>_xlfn.XLOOKUP(Pipeline_tbl[[#This Row],[Rep_ID]],Dim_Reps!A:A,Dim_Reps!B:B)</f>
        <v>Ivy Adler</v>
      </c>
      <c r="P4523" t="str">
        <f>_xlfn.XLOOKUP(Pipeline_tbl[[#This Row],[Rep_ID]],Dim_Reps!A:A,Dim_Reps!C:C)</f>
        <v>Mid-Market AE</v>
      </c>
      <c r="Q4523" t="str">
        <f>_xlfn.XLOOKUP(Pipeline_tbl[[#This Row],[Rep_ID]],Dim_Reps!A:A,Dim_Reps!D:D)</f>
        <v>Mid-Market</v>
      </c>
      <c r="R4523" t="str">
        <f>_xlfn.XLOOKUP(Pipeline_tbl[[#This Row],[Rep_ID]],Dim_Reps!A:A,Dim_Reps!E:E)</f>
        <v>APAC</v>
      </c>
      <c r="S4523" t="str">
        <f>_xlfn.XLOOKUP(Pipeline_tbl[[#This Row],[Created_Date]],Dim_Date!A:A,Dim_Date!H:H)</f>
        <v>Jan 2024</v>
      </c>
      <c r="T4523" t="str">
        <f>IF(Pipeline_tbl[[#This Row],[Closed_Date]]=0,"",(_xlfn.XLOOKUP(Pipeline_tbl[[#This Row],[Closed_Date]],Dim_Date!A:A,Dim_Date!H:H)))</f>
        <v>Feb 2024</v>
      </c>
      <c r="U4523">
        <f>IF(Pipeline_tbl[[#This Row],[Closed_Date]]=0,"",Pipeline_tbl[[#This Row],[Closed_Date]]-Pipeline_tbl[[#This Row],[Created_Date]])</f>
        <v>30</v>
      </c>
    </row>
    <row r="4524" spans="1:21" ht="15" customHeight="1" x14ac:dyDescent="0.2">
      <c r="A4524" t="s">
        <v>4830</v>
      </c>
      <c r="B4524" t="s">
        <v>241</v>
      </c>
      <c r="C4524" t="s">
        <v>52</v>
      </c>
      <c r="D4524" s="49">
        <v>45318</v>
      </c>
      <c r="E4524" s="49">
        <v>45320</v>
      </c>
      <c r="F4524" s="49">
        <v>45326</v>
      </c>
      <c r="G4524" s="49">
        <v>45333</v>
      </c>
      <c r="H4524" s="49">
        <v>45339</v>
      </c>
      <c r="I4524" s="49">
        <v>45343</v>
      </c>
      <c r="J4524" t="s">
        <v>49</v>
      </c>
      <c r="K4524" s="33">
        <v>2600</v>
      </c>
      <c r="L4524" t="s">
        <v>61</v>
      </c>
      <c r="M4524" t="str">
        <f>_xlfn.XLOOKUP(Pipeline_tbl[[#This Row],[Rep_ID]],Dim_Reps!A:A,Dim_Reps!K:K)</f>
        <v>EUR</v>
      </c>
      <c r="N4524" s="33">
        <f>(_xlfn.XLOOKUP(Pipeline_tbl[[#This Row],[Rate_Code_Generalized]],Lookups!A:A,Lookups!B:B))*Pipeline_tbl[[#This Row],[Pipeline_Amount_USD]]</f>
        <v>2600</v>
      </c>
      <c r="O4524" t="str">
        <f>_xlfn.XLOOKUP(Pipeline_tbl[[#This Row],[Rep_ID]],Dim_Reps!A:A,Dim_Reps!B:B)</f>
        <v>Kenji Weber</v>
      </c>
      <c r="P4524" t="str">
        <f>_xlfn.XLOOKUP(Pipeline_tbl[[#This Row],[Rep_ID]],Dim_Reps!A:A,Dim_Reps!C:C)</f>
        <v>SDR / Inside Sales Rep</v>
      </c>
      <c r="Q4524" t="str">
        <f>_xlfn.XLOOKUP(Pipeline_tbl[[#This Row],[Rep_ID]],Dim_Reps!A:A,Dim_Reps!D:D)</f>
        <v>Inside Sales</v>
      </c>
      <c r="R4524" t="str">
        <f>_xlfn.XLOOKUP(Pipeline_tbl[[#This Row],[Rep_ID]],Dim_Reps!A:A,Dim_Reps!E:E)</f>
        <v>APAC</v>
      </c>
      <c r="S4524" t="str">
        <f>_xlfn.XLOOKUP(Pipeline_tbl[[#This Row],[Created_Date]],Dim_Date!A:A,Dim_Date!H:H)</f>
        <v>Jan 2024</v>
      </c>
      <c r="T4524" t="str">
        <f>IF(Pipeline_tbl[[#This Row],[Closed_Date]]=0,"",(_xlfn.XLOOKUP(Pipeline_tbl[[#This Row],[Closed_Date]],Dim_Date!A:A,Dim_Date!H:H)))</f>
        <v>Feb 2024</v>
      </c>
      <c r="U4524">
        <f>IF(Pipeline_tbl[[#This Row],[Closed_Date]]=0,"",Pipeline_tbl[[#This Row],[Closed_Date]]-Pipeline_tbl[[#This Row],[Created_Date]])</f>
        <v>25</v>
      </c>
    </row>
    <row r="4525" spans="1:21" ht="15" customHeight="1" x14ac:dyDescent="0.2">
      <c r="A4525" t="s">
        <v>4831</v>
      </c>
      <c r="B4525" t="s">
        <v>241</v>
      </c>
      <c r="C4525" t="s">
        <v>53</v>
      </c>
      <c r="D4525" s="49">
        <v>45316</v>
      </c>
      <c r="E4525" s="49">
        <v>45318</v>
      </c>
      <c r="I4525" s="49">
        <v>45331</v>
      </c>
      <c r="J4525" t="s">
        <v>49</v>
      </c>
      <c r="K4525" s="33">
        <v>4300</v>
      </c>
      <c r="L4525" t="s">
        <v>64</v>
      </c>
      <c r="M4525" t="str">
        <f>_xlfn.XLOOKUP(Pipeline_tbl[[#This Row],[Rep_ID]],Dim_Reps!A:A,Dim_Reps!K:K)</f>
        <v>EUR</v>
      </c>
      <c r="N4525" s="33">
        <f>(_xlfn.XLOOKUP(Pipeline_tbl[[#This Row],[Rate_Code_Generalized]],Lookups!A:A,Lookups!B:B))*Pipeline_tbl[[#This Row],[Pipeline_Amount_USD]]</f>
        <v>4300</v>
      </c>
      <c r="O4525" t="str">
        <f>_xlfn.XLOOKUP(Pipeline_tbl[[#This Row],[Rep_ID]],Dim_Reps!A:A,Dim_Reps!B:B)</f>
        <v>Kenji Weber</v>
      </c>
      <c r="P4525" t="str">
        <f>_xlfn.XLOOKUP(Pipeline_tbl[[#This Row],[Rep_ID]],Dim_Reps!A:A,Dim_Reps!C:C)</f>
        <v>SDR / Inside Sales Rep</v>
      </c>
      <c r="Q4525" t="str">
        <f>_xlfn.XLOOKUP(Pipeline_tbl[[#This Row],[Rep_ID]],Dim_Reps!A:A,Dim_Reps!D:D)</f>
        <v>Inside Sales</v>
      </c>
      <c r="R4525" t="str">
        <f>_xlfn.XLOOKUP(Pipeline_tbl[[#This Row],[Rep_ID]],Dim_Reps!A:A,Dim_Reps!E:E)</f>
        <v>APAC</v>
      </c>
      <c r="S4525" t="str">
        <f>_xlfn.XLOOKUP(Pipeline_tbl[[#This Row],[Created_Date]],Dim_Date!A:A,Dim_Date!H:H)</f>
        <v>Jan 2024</v>
      </c>
      <c r="T4525" t="str">
        <f>IF(Pipeline_tbl[[#This Row],[Closed_Date]]=0,"",(_xlfn.XLOOKUP(Pipeline_tbl[[#This Row],[Closed_Date]],Dim_Date!A:A,Dim_Date!H:H)))</f>
        <v>Feb 2024</v>
      </c>
      <c r="U4525">
        <f>IF(Pipeline_tbl[[#This Row],[Closed_Date]]=0,"",Pipeline_tbl[[#This Row],[Closed_Date]]-Pipeline_tbl[[#This Row],[Created_Date]])</f>
        <v>15</v>
      </c>
    </row>
    <row r="4526" spans="1:21" ht="15" customHeight="1" x14ac:dyDescent="0.2">
      <c r="A4526" t="s">
        <v>4832</v>
      </c>
      <c r="B4526" t="s">
        <v>241</v>
      </c>
      <c r="C4526" t="s">
        <v>53</v>
      </c>
      <c r="D4526" s="49">
        <v>45312</v>
      </c>
      <c r="E4526" s="49">
        <v>45314</v>
      </c>
      <c r="F4526" s="49">
        <v>45317</v>
      </c>
      <c r="G4526" s="49">
        <v>45322</v>
      </c>
      <c r="I4526" s="49">
        <v>45329</v>
      </c>
      <c r="J4526" t="s">
        <v>49</v>
      </c>
      <c r="K4526" s="33">
        <v>8900</v>
      </c>
      <c r="L4526" t="s">
        <v>61</v>
      </c>
      <c r="M4526" t="str">
        <f>_xlfn.XLOOKUP(Pipeline_tbl[[#This Row],[Rep_ID]],Dim_Reps!A:A,Dim_Reps!K:K)</f>
        <v>EUR</v>
      </c>
      <c r="N4526" s="33">
        <f>(_xlfn.XLOOKUP(Pipeline_tbl[[#This Row],[Rate_Code_Generalized]],Lookups!A:A,Lookups!B:B))*Pipeline_tbl[[#This Row],[Pipeline_Amount_USD]]</f>
        <v>8900</v>
      </c>
      <c r="O4526" t="str">
        <f>_xlfn.XLOOKUP(Pipeline_tbl[[#This Row],[Rep_ID]],Dim_Reps!A:A,Dim_Reps!B:B)</f>
        <v>Kenji Weber</v>
      </c>
      <c r="P4526" t="str">
        <f>_xlfn.XLOOKUP(Pipeline_tbl[[#This Row],[Rep_ID]],Dim_Reps!A:A,Dim_Reps!C:C)</f>
        <v>SDR / Inside Sales Rep</v>
      </c>
      <c r="Q4526" t="str">
        <f>_xlfn.XLOOKUP(Pipeline_tbl[[#This Row],[Rep_ID]],Dim_Reps!A:A,Dim_Reps!D:D)</f>
        <v>Inside Sales</v>
      </c>
      <c r="R4526" t="str">
        <f>_xlfn.XLOOKUP(Pipeline_tbl[[#This Row],[Rep_ID]],Dim_Reps!A:A,Dim_Reps!E:E)</f>
        <v>APAC</v>
      </c>
      <c r="S4526" t="str">
        <f>_xlfn.XLOOKUP(Pipeline_tbl[[#This Row],[Created_Date]],Dim_Date!A:A,Dim_Date!H:H)</f>
        <v>Jan 2024</v>
      </c>
      <c r="T4526" t="str">
        <f>IF(Pipeline_tbl[[#This Row],[Closed_Date]]=0,"",(_xlfn.XLOOKUP(Pipeline_tbl[[#This Row],[Closed_Date]],Dim_Date!A:A,Dim_Date!H:H)))</f>
        <v>Feb 2024</v>
      </c>
      <c r="U4526">
        <f>IF(Pipeline_tbl[[#This Row],[Closed_Date]]=0,"",Pipeline_tbl[[#This Row],[Closed_Date]]-Pipeline_tbl[[#This Row],[Created_Date]])</f>
        <v>17</v>
      </c>
    </row>
    <row r="4527" spans="1:21" ht="15" customHeight="1" x14ac:dyDescent="0.2">
      <c r="A4527" t="s">
        <v>4833</v>
      </c>
      <c r="B4527" t="s">
        <v>241</v>
      </c>
      <c r="C4527" t="s">
        <v>53</v>
      </c>
      <c r="D4527" s="49">
        <v>45313</v>
      </c>
      <c r="E4527" s="49">
        <v>45315</v>
      </c>
      <c r="F4527" s="49">
        <v>45318</v>
      </c>
      <c r="G4527" s="49">
        <v>45322</v>
      </c>
      <c r="H4527" s="49">
        <v>45326</v>
      </c>
      <c r="I4527" s="49">
        <v>45328</v>
      </c>
      <c r="J4527" t="s">
        <v>47</v>
      </c>
      <c r="K4527" s="33">
        <v>4500</v>
      </c>
      <c r="M4527" t="str">
        <f>_xlfn.XLOOKUP(Pipeline_tbl[[#This Row],[Rep_ID]],Dim_Reps!A:A,Dim_Reps!K:K)</f>
        <v>EUR</v>
      </c>
      <c r="N4527" s="33">
        <f>(_xlfn.XLOOKUP(Pipeline_tbl[[#This Row],[Rate_Code_Generalized]],Lookups!A:A,Lookups!B:B))*Pipeline_tbl[[#This Row],[Pipeline_Amount_USD]]</f>
        <v>4500</v>
      </c>
      <c r="O4527" t="str">
        <f>_xlfn.XLOOKUP(Pipeline_tbl[[#This Row],[Rep_ID]],Dim_Reps!A:A,Dim_Reps!B:B)</f>
        <v>Kenji Weber</v>
      </c>
      <c r="P4527" t="str">
        <f>_xlfn.XLOOKUP(Pipeline_tbl[[#This Row],[Rep_ID]],Dim_Reps!A:A,Dim_Reps!C:C)</f>
        <v>SDR / Inside Sales Rep</v>
      </c>
      <c r="Q4527" t="str">
        <f>_xlfn.XLOOKUP(Pipeline_tbl[[#This Row],[Rep_ID]],Dim_Reps!A:A,Dim_Reps!D:D)</f>
        <v>Inside Sales</v>
      </c>
      <c r="R4527" t="str">
        <f>_xlfn.XLOOKUP(Pipeline_tbl[[#This Row],[Rep_ID]],Dim_Reps!A:A,Dim_Reps!E:E)</f>
        <v>APAC</v>
      </c>
      <c r="S4527" t="str">
        <f>_xlfn.XLOOKUP(Pipeline_tbl[[#This Row],[Created_Date]],Dim_Date!A:A,Dim_Date!H:H)</f>
        <v>Jan 2024</v>
      </c>
      <c r="T4527" t="str">
        <f>IF(Pipeline_tbl[[#This Row],[Closed_Date]]=0,"",(_xlfn.XLOOKUP(Pipeline_tbl[[#This Row],[Closed_Date]],Dim_Date!A:A,Dim_Date!H:H)))</f>
        <v>Feb 2024</v>
      </c>
      <c r="U4527">
        <f>IF(Pipeline_tbl[[#This Row],[Closed_Date]]=0,"",Pipeline_tbl[[#This Row],[Closed_Date]]-Pipeline_tbl[[#This Row],[Created_Date]])</f>
        <v>15</v>
      </c>
    </row>
    <row r="4528" spans="1:21" ht="15" customHeight="1" x14ac:dyDescent="0.2">
      <c r="A4528" t="s">
        <v>4834</v>
      </c>
      <c r="B4528" t="s">
        <v>241</v>
      </c>
      <c r="C4528" t="s">
        <v>52</v>
      </c>
      <c r="D4528" s="49">
        <v>45320</v>
      </c>
      <c r="E4528" s="49">
        <v>45322</v>
      </c>
      <c r="F4528" s="49">
        <v>45328</v>
      </c>
      <c r="I4528" s="49">
        <v>45345</v>
      </c>
      <c r="J4528" t="s">
        <v>49</v>
      </c>
      <c r="K4528" s="33">
        <v>5000</v>
      </c>
      <c r="L4528" t="s">
        <v>60</v>
      </c>
      <c r="M4528" t="str">
        <f>_xlfn.XLOOKUP(Pipeline_tbl[[#This Row],[Rep_ID]],Dim_Reps!A:A,Dim_Reps!K:K)</f>
        <v>EUR</v>
      </c>
      <c r="N4528" s="33">
        <f>(_xlfn.XLOOKUP(Pipeline_tbl[[#This Row],[Rate_Code_Generalized]],Lookups!A:A,Lookups!B:B))*Pipeline_tbl[[#This Row],[Pipeline_Amount_USD]]</f>
        <v>5000</v>
      </c>
      <c r="O4528" t="str">
        <f>_xlfn.XLOOKUP(Pipeline_tbl[[#This Row],[Rep_ID]],Dim_Reps!A:A,Dim_Reps!B:B)</f>
        <v>Kenji Weber</v>
      </c>
      <c r="P4528" t="str">
        <f>_xlfn.XLOOKUP(Pipeline_tbl[[#This Row],[Rep_ID]],Dim_Reps!A:A,Dim_Reps!C:C)</f>
        <v>SDR / Inside Sales Rep</v>
      </c>
      <c r="Q4528" t="str">
        <f>_xlfn.XLOOKUP(Pipeline_tbl[[#This Row],[Rep_ID]],Dim_Reps!A:A,Dim_Reps!D:D)</f>
        <v>Inside Sales</v>
      </c>
      <c r="R4528" t="str">
        <f>_xlfn.XLOOKUP(Pipeline_tbl[[#This Row],[Rep_ID]],Dim_Reps!A:A,Dim_Reps!E:E)</f>
        <v>APAC</v>
      </c>
      <c r="S4528" t="str">
        <f>_xlfn.XLOOKUP(Pipeline_tbl[[#This Row],[Created_Date]],Dim_Date!A:A,Dim_Date!H:H)</f>
        <v>Jan 2024</v>
      </c>
      <c r="T4528" t="str">
        <f>IF(Pipeline_tbl[[#This Row],[Closed_Date]]=0,"",(_xlfn.XLOOKUP(Pipeline_tbl[[#This Row],[Closed_Date]],Dim_Date!A:A,Dim_Date!H:H)))</f>
        <v>Feb 2024</v>
      </c>
      <c r="U4528">
        <f>IF(Pipeline_tbl[[#This Row],[Closed_Date]]=0,"",Pipeline_tbl[[#This Row],[Closed_Date]]-Pipeline_tbl[[#This Row],[Created_Date]])</f>
        <v>25</v>
      </c>
    </row>
    <row r="4529" spans="1:21" ht="15" customHeight="1" x14ac:dyDescent="0.2">
      <c r="A4529" t="s">
        <v>4835</v>
      </c>
      <c r="B4529" t="s">
        <v>193</v>
      </c>
      <c r="C4529" t="s">
        <v>52</v>
      </c>
      <c r="D4529" s="49">
        <v>45295</v>
      </c>
      <c r="E4529" s="49">
        <v>45297</v>
      </c>
      <c r="I4529" s="49">
        <v>45316</v>
      </c>
      <c r="J4529" t="s">
        <v>49</v>
      </c>
      <c r="K4529" s="33">
        <v>3800</v>
      </c>
      <c r="L4529" t="s">
        <v>61</v>
      </c>
      <c r="M4529" t="str">
        <f>_xlfn.XLOOKUP(Pipeline_tbl[[#This Row],[Rep_ID]],Dim_Reps!A:A,Dim_Reps!K:K)</f>
        <v>USD</v>
      </c>
      <c r="N4529" s="33">
        <f>(_xlfn.XLOOKUP(Pipeline_tbl[[#This Row],[Rate_Code_Generalized]],Lookups!A:A,Lookups!B:B))*Pipeline_tbl[[#This Row],[Pipeline_Amount_USD]]</f>
        <v>4424.3399999999992</v>
      </c>
      <c r="O4529" t="str">
        <f>_xlfn.XLOOKUP(Pipeline_tbl[[#This Row],[Rep_ID]],Dim_Reps!A:A,Dim_Reps!B:B)</f>
        <v>Karim Rossi</v>
      </c>
      <c r="P4529" t="str">
        <f>_xlfn.XLOOKUP(Pipeline_tbl[[#This Row],[Rep_ID]],Dim_Reps!A:A,Dim_Reps!C:C)</f>
        <v>SDR / Inside Sales Rep</v>
      </c>
      <c r="Q4529" t="str">
        <f>_xlfn.XLOOKUP(Pipeline_tbl[[#This Row],[Rep_ID]],Dim_Reps!A:A,Dim_Reps!D:D)</f>
        <v>Inside Sales</v>
      </c>
      <c r="R4529" t="str">
        <f>_xlfn.XLOOKUP(Pipeline_tbl[[#This Row],[Rep_ID]],Dim_Reps!A:A,Dim_Reps!E:E)</f>
        <v>NAMER</v>
      </c>
      <c r="S4529" t="str">
        <f>_xlfn.XLOOKUP(Pipeline_tbl[[#This Row],[Created_Date]],Dim_Date!A:A,Dim_Date!H:H)</f>
        <v>Jan 2024</v>
      </c>
      <c r="T4529" t="str">
        <f>IF(Pipeline_tbl[[#This Row],[Closed_Date]]=0,"",(_xlfn.XLOOKUP(Pipeline_tbl[[#This Row],[Closed_Date]],Dim_Date!A:A,Dim_Date!H:H)))</f>
        <v>Jan 2024</v>
      </c>
      <c r="U4529">
        <f>IF(Pipeline_tbl[[#This Row],[Closed_Date]]=0,"",Pipeline_tbl[[#This Row],[Closed_Date]]-Pipeline_tbl[[#This Row],[Created_Date]])</f>
        <v>21</v>
      </c>
    </row>
    <row r="4530" spans="1:21" ht="15" customHeight="1" x14ac:dyDescent="0.2">
      <c r="A4530" t="s">
        <v>4836</v>
      </c>
      <c r="B4530" t="s">
        <v>193</v>
      </c>
      <c r="C4530" t="s">
        <v>52</v>
      </c>
      <c r="D4530" s="49">
        <v>45294</v>
      </c>
      <c r="E4530" s="49">
        <v>45297</v>
      </c>
      <c r="F4530" s="49">
        <v>45302</v>
      </c>
      <c r="G4530" s="49">
        <v>45310</v>
      </c>
      <c r="H4530" s="49">
        <v>45317</v>
      </c>
      <c r="I4530" s="49">
        <v>45321</v>
      </c>
      <c r="J4530" t="s">
        <v>47</v>
      </c>
      <c r="K4530" s="33">
        <v>2600</v>
      </c>
      <c r="M4530" t="str">
        <f>_xlfn.XLOOKUP(Pipeline_tbl[[#This Row],[Rep_ID]],Dim_Reps!A:A,Dim_Reps!K:K)</f>
        <v>USD</v>
      </c>
      <c r="N4530" s="33">
        <f>(_xlfn.XLOOKUP(Pipeline_tbl[[#This Row],[Rate_Code_Generalized]],Lookups!A:A,Lookups!B:B))*Pipeline_tbl[[#This Row],[Pipeline_Amount_USD]]</f>
        <v>3027.18</v>
      </c>
      <c r="O4530" t="str">
        <f>_xlfn.XLOOKUP(Pipeline_tbl[[#This Row],[Rep_ID]],Dim_Reps!A:A,Dim_Reps!B:B)</f>
        <v>Karim Rossi</v>
      </c>
      <c r="P4530" t="str">
        <f>_xlfn.XLOOKUP(Pipeline_tbl[[#This Row],[Rep_ID]],Dim_Reps!A:A,Dim_Reps!C:C)</f>
        <v>SDR / Inside Sales Rep</v>
      </c>
      <c r="Q4530" t="str">
        <f>_xlfn.XLOOKUP(Pipeline_tbl[[#This Row],[Rep_ID]],Dim_Reps!A:A,Dim_Reps!D:D)</f>
        <v>Inside Sales</v>
      </c>
      <c r="R4530" t="str">
        <f>_xlfn.XLOOKUP(Pipeline_tbl[[#This Row],[Rep_ID]],Dim_Reps!A:A,Dim_Reps!E:E)</f>
        <v>NAMER</v>
      </c>
      <c r="S4530" t="str">
        <f>_xlfn.XLOOKUP(Pipeline_tbl[[#This Row],[Created_Date]],Dim_Date!A:A,Dim_Date!H:H)</f>
        <v>Jan 2024</v>
      </c>
      <c r="T4530" t="str">
        <f>IF(Pipeline_tbl[[#This Row],[Closed_Date]]=0,"",(_xlfn.XLOOKUP(Pipeline_tbl[[#This Row],[Closed_Date]],Dim_Date!A:A,Dim_Date!H:H)))</f>
        <v>Jan 2024</v>
      </c>
      <c r="U4530">
        <f>IF(Pipeline_tbl[[#This Row],[Closed_Date]]=0,"",Pipeline_tbl[[#This Row],[Closed_Date]]-Pipeline_tbl[[#This Row],[Created_Date]])</f>
        <v>27</v>
      </c>
    </row>
    <row r="4531" spans="1:21" ht="15" customHeight="1" x14ac:dyDescent="0.2">
      <c r="A4531" t="s">
        <v>4837</v>
      </c>
      <c r="B4531" t="s">
        <v>193</v>
      </c>
      <c r="C4531" t="s">
        <v>54</v>
      </c>
      <c r="D4531" s="49">
        <v>45298</v>
      </c>
      <c r="E4531" s="49">
        <v>45299</v>
      </c>
      <c r="F4531" s="49">
        <v>45300</v>
      </c>
      <c r="G4531" s="49">
        <v>45302</v>
      </c>
      <c r="H4531" s="49">
        <v>45304</v>
      </c>
      <c r="I4531" s="49">
        <v>45305</v>
      </c>
      <c r="J4531" t="s">
        <v>47</v>
      </c>
      <c r="K4531" s="33">
        <v>2900</v>
      </c>
      <c r="M4531" t="str">
        <f>_xlfn.XLOOKUP(Pipeline_tbl[[#This Row],[Rep_ID]],Dim_Reps!A:A,Dim_Reps!K:K)</f>
        <v>USD</v>
      </c>
      <c r="N4531" s="33">
        <f>(_xlfn.XLOOKUP(Pipeline_tbl[[#This Row],[Rate_Code_Generalized]],Lookups!A:A,Lookups!B:B))*Pipeline_tbl[[#This Row],[Pipeline_Amount_USD]]</f>
        <v>3376.47</v>
      </c>
      <c r="O4531" t="str">
        <f>_xlfn.XLOOKUP(Pipeline_tbl[[#This Row],[Rep_ID]],Dim_Reps!A:A,Dim_Reps!B:B)</f>
        <v>Karim Rossi</v>
      </c>
      <c r="P4531" t="str">
        <f>_xlfn.XLOOKUP(Pipeline_tbl[[#This Row],[Rep_ID]],Dim_Reps!A:A,Dim_Reps!C:C)</f>
        <v>SDR / Inside Sales Rep</v>
      </c>
      <c r="Q4531" t="str">
        <f>_xlfn.XLOOKUP(Pipeline_tbl[[#This Row],[Rep_ID]],Dim_Reps!A:A,Dim_Reps!D:D)</f>
        <v>Inside Sales</v>
      </c>
      <c r="R4531" t="str">
        <f>_xlfn.XLOOKUP(Pipeline_tbl[[#This Row],[Rep_ID]],Dim_Reps!A:A,Dim_Reps!E:E)</f>
        <v>NAMER</v>
      </c>
      <c r="S4531" t="str">
        <f>_xlfn.XLOOKUP(Pipeline_tbl[[#This Row],[Created_Date]],Dim_Date!A:A,Dim_Date!H:H)</f>
        <v>Jan 2024</v>
      </c>
      <c r="T4531" t="str">
        <f>IF(Pipeline_tbl[[#This Row],[Closed_Date]]=0,"",(_xlfn.XLOOKUP(Pipeline_tbl[[#This Row],[Closed_Date]],Dim_Date!A:A,Dim_Date!H:H)))</f>
        <v>Jan 2024</v>
      </c>
      <c r="U4531">
        <f>IF(Pipeline_tbl[[#This Row],[Closed_Date]]=0,"",Pipeline_tbl[[#This Row],[Closed_Date]]-Pipeline_tbl[[#This Row],[Created_Date]])</f>
        <v>7</v>
      </c>
    </row>
    <row r="4532" spans="1:21" ht="15" customHeight="1" x14ac:dyDescent="0.2">
      <c r="A4532" t="s">
        <v>4838</v>
      </c>
      <c r="B4532" t="s">
        <v>193</v>
      </c>
      <c r="C4532" t="s">
        <v>52</v>
      </c>
      <c r="D4532" s="49">
        <v>45308</v>
      </c>
      <c r="E4532" s="49">
        <v>45308</v>
      </c>
      <c r="F4532" s="49">
        <v>45310</v>
      </c>
      <c r="G4532" s="49">
        <v>45311</v>
      </c>
      <c r="I4532" s="49">
        <v>45313</v>
      </c>
      <c r="J4532" t="s">
        <v>49</v>
      </c>
      <c r="K4532" s="33">
        <v>2900</v>
      </c>
      <c r="L4532" t="s">
        <v>60</v>
      </c>
      <c r="M4532" t="str">
        <f>_xlfn.XLOOKUP(Pipeline_tbl[[#This Row],[Rep_ID]],Dim_Reps!A:A,Dim_Reps!K:K)</f>
        <v>USD</v>
      </c>
      <c r="N4532" s="33">
        <f>(_xlfn.XLOOKUP(Pipeline_tbl[[#This Row],[Rate_Code_Generalized]],Lookups!A:A,Lookups!B:B))*Pipeline_tbl[[#This Row],[Pipeline_Amount_USD]]</f>
        <v>3376.47</v>
      </c>
      <c r="O4532" t="str">
        <f>_xlfn.XLOOKUP(Pipeline_tbl[[#This Row],[Rep_ID]],Dim_Reps!A:A,Dim_Reps!B:B)</f>
        <v>Karim Rossi</v>
      </c>
      <c r="P4532" t="str">
        <f>_xlfn.XLOOKUP(Pipeline_tbl[[#This Row],[Rep_ID]],Dim_Reps!A:A,Dim_Reps!C:C)</f>
        <v>SDR / Inside Sales Rep</v>
      </c>
      <c r="Q4532" t="str">
        <f>_xlfn.XLOOKUP(Pipeline_tbl[[#This Row],[Rep_ID]],Dim_Reps!A:A,Dim_Reps!D:D)</f>
        <v>Inside Sales</v>
      </c>
      <c r="R4532" t="str">
        <f>_xlfn.XLOOKUP(Pipeline_tbl[[#This Row],[Rep_ID]],Dim_Reps!A:A,Dim_Reps!E:E)</f>
        <v>NAMER</v>
      </c>
      <c r="S4532" t="str">
        <f>_xlfn.XLOOKUP(Pipeline_tbl[[#This Row],[Created_Date]],Dim_Date!A:A,Dim_Date!H:H)</f>
        <v>Jan 2024</v>
      </c>
      <c r="T4532" t="str">
        <f>IF(Pipeline_tbl[[#This Row],[Closed_Date]]=0,"",(_xlfn.XLOOKUP(Pipeline_tbl[[#This Row],[Closed_Date]],Dim_Date!A:A,Dim_Date!H:H)))</f>
        <v>Jan 2024</v>
      </c>
      <c r="U4532">
        <f>IF(Pipeline_tbl[[#This Row],[Closed_Date]]=0,"",Pipeline_tbl[[#This Row],[Closed_Date]]-Pipeline_tbl[[#This Row],[Created_Date]])</f>
        <v>5</v>
      </c>
    </row>
    <row r="4533" spans="1:21" ht="15" customHeight="1" x14ac:dyDescent="0.2">
      <c r="A4533" t="s">
        <v>4839</v>
      </c>
      <c r="B4533" t="s">
        <v>193</v>
      </c>
      <c r="C4533" t="s">
        <v>55</v>
      </c>
      <c r="D4533" s="49">
        <v>45300</v>
      </c>
      <c r="E4533" s="49">
        <v>45302</v>
      </c>
      <c r="F4533" s="49">
        <v>45305</v>
      </c>
      <c r="G4533" s="49">
        <v>45310</v>
      </c>
      <c r="H4533" s="49">
        <v>45314</v>
      </c>
      <c r="I4533" s="49">
        <v>45317</v>
      </c>
      <c r="J4533" t="s">
        <v>47</v>
      </c>
      <c r="K4533" s="33">
        <v>2300</v>
      </c>
      <c r="M4533" t="str">
        <f>_xlfn.XLOOKUP(Pipeline_tbl[[#This Row],[Rep_ID]],Dim_Reps!A:A,Dim_Reps!K:K)</f>
        <v>USD</v>
      </c>
      <c r="N4533" s="33">
        <f>(_xlfn.XLOOKUP(Pipeline_tbl[[#This Row],[Rate_Code_Generalized]],Lookups!A:A,Lookups!B:B))*Pipeline_tbl[[#This Row],[Pipeline_Amount_USD]]</f>
        <v>2677.89</v>
      </c>
      <c r="O4533" t="str">
        <f>_xlfn.XLOOKUP(Pipeline_tbl[[#This Row],[Rep_ID]],Dim_Reps!A:A,Dim_Reps!B:B)</f>
        <v>Karim Rossi</v>
      </c>
      <c r="P4533" t="str">
        <f>_xlfn.XLOOKUP(Pipeline_tbl[[#This Row],[Rep_ID]],Dim_Reps!A:A,Dim_Reps!C:C)</f>
        <v>SDR / Inside Sales Rep</v>
      </c>
      <c r="Q4533" t="str">
        <f>_xlfn.XLOOKUP(Pipeline_tbl[[#This Row],[Rep_ID]],Dim_Reps!A:A,Dim_Reps!D:D)</f>
        <v>Inside Sales</v>
      </c>
      <c r="R4533" t="str">
        <f>_xlfn.XLOOKUP(Pipeline_tbl[[#This Row],[Rep_ID]],Dim_Reps!A:A,Dim_Reps!E:E)</f>
        <v>NAMER</v>
      </c>
      <c r="S4533" t="str">
        <f>_xlfn.XLOOKUP(Pipeline_tbl[[#This Row],[Created_Date]],Dim_Date!A:A,Dim_Date!H:H)</f>
        <v>Jan 2024</v>
      </c>
      <c r="T4533" t="str">
        <f>IF(Pipeline_tbl[[#This Row],[Closed_Date]]=0,"",(_xlfn.XLOOKUP(Pipeline_tbl[[#This Row],[Closed_Date]],Dim_Date!A:A,Dim_Date!H:H)))</f>
        <v>Jan 2024</v>
      </c>
      <c r="U4533">
        <f>IF(Pipeline_tbl[[#This Row],[Closed_Date]]=0,"",Pipeline_tbl[[#This Row],[Closed_Date]]-Pipeline_tbl[[#This Row],[Created_Date]])</f>
        <v>17</v>
      </c>
    </row>
    <row r="4534" spans="1:21" ht="15" customHeight="1" x14ac:dyDescent="0.2">
      <c r="A4534" t="s">
        <v>4840</v>
      </c>
      <c r="B4534" t="s">
        <v>193</v>
      </c>
      <c r="C4534" t="s">
        <v>56</v>
      </c>
      <c r="D4534" s="49">
        <v>45296</v>
      </c>
      <c r="E4534" s="49">
        <v>45297</v>
      </c>
      <c r="F4534" s="49">
        <v>45299</v>
      </c>
      <c r="G4534" s="49">
        <v>45303</v>
      </c>
      <c r="I4534" s="49">
        <v>45307</v>
      </c>
      <c r="J4534" t="s">
        <v>49</v>
      </c>
      <c r="K4534" s="33">
        <v>3500</v>
      </c>
      <c r="L4534" t="s">
        <v>62</v>
      </c>
      <c r="M4534" t="str">
        <f>_xlfn.XLOOKUP(Pipeline_tbl[[#This Row],[Rep_ID]],Dim_Reps!A:A,Dim_Reps!K:K)</f>
        <v>USD</v>
      </c>
      <c r="N4534" s="33">
        <f>(_xlfn.XLOOKUP(Pipeline_tbl[[#This Row],[Rate_Code_Generalized]],Lookups!A:A,Lookups!B:B))*Pipeline_tbl[[#This Row],[Pipeline_Amount_USD]]</f>
        <v>4075.0499999999997</v>
      </c>
      <c r="O4534" t="str">
        <f>_xlfn.XLOOKUP(Pipeline_tbl[[#This Row],[Rep_ID]],Dim_Reps!A:A,Dim_Reps!B:B)</f>
        <v>Karim Rossi</v>
      </c>
      <c r="P4534" t="str">
        <f>_xlfn.XLOOKUP(Pipeline_tbl[[#This Row],[Rep_ID]],Dim_Reps!A:A,Dim_Reps!C:C)</f>
        <v>SDR / Inside Sales Rep</v>
      </c>
      <c r="Q4534" t="str">
        <f>_xlfn.XLOOKUP(Pipeline_tbl[[#This Row],[Rep_ID]],Dim_Reps!A:A,Dim_Reps!D:D)</f>
        <v>Inside Sales</v>
      </c>
      <c r="R4534" t="str">
        <f>_xlfn.XLOOKUP(Pipeline_tbl[[#This Row],[Rep_ID]],Dim_Reps!A:A,Dim_Reps!E:E)</f>
        <v>NAMER</v>
      </c>
      <c r="S4534" t="str">
        <f>_xlfn.XLOOKUP(Pipeline_tbl[[#This Row],[Created_Date]],Dim_Date!A:A,Dim_Date!H:H)</f>
        <v>Jan 2024</v>
      </c>
      <c r="T4534" t="str">
        <f>IF(Pipeline_tbl[[#This Row],[Closed_Date]]=0,"",(_xlfn.XLOOKUP(Pipeline_tbl[[#This Row],[Closed_Date]],Dim_Date!A:A,Dim_Date!H:H)))</f>
        <v>Jan 2024</v>
      </c>
      <c r="U4534">
        <f>IF(Pipeline_tbl[[#This Row],[Closed_Date]]=0,"",Pipeline_tbl[[#This Row],[Closed_Date]]-Pipeline_tbl[[#This Row],[Created_Date]])</f>
        <v>11</v>
      </c>
    </row>
    <row r="4535" spans="1:21" ht="15" customHeight="1" x14ac:dyDescent="0.2">
      <c r="A4535" t="s">
        <v>4841</v>
      </c>
      <c r="B4535" t="s">
        <v>199</v>
      </c>
      <c r="C4535" t="s">
        <v>52</v>
      </c>
      <c r="D4535" s="49">
        <v>45295</v>
      </c>
      <c r="E4535" s="49">
        <v>45298</v>
      </c>
      <c r="F4535" s="49">
        <v>45303</v>
      </c>
      <c r="G4535" s="49">
        <v>45311</v>
      </c>
      <c r="I4535" s="49">
        <v>45321</v>
      </c>
      <c r="J4535" t="s">
        <v>49</v>
      </c>
      <c r="K4535" s="33">
        <v>4000</v>
      </c>
      <c r="L4535" t="s">
        <v>61</v>
      </c>
      <c r="M4535" t="str">
        <f>_xlfn.XLOOKUP(Pipeline_tbl[[#This Row],[Rep_ID]],Dim_Reps!A:A,Dim_Reps!K:K)</f>
        <v>EUR</v>
      </c>
      <c r="N4535" s="33">
        <f>(_xlfn.XLOOKUP(Pipeline_tbl[[#This Row],[Rate_Code_Generalized]],Lookups!A:A,Lookups!B:B))*Pipeline_tbl[[#This Row],[Pipeline_Amount_USD]]</f>
        <v>4000</v>
      </c>
      <c r="O4535" t="str">
        <f>_xlfn.XLOOKUP(Pipeline_tbl[[#This Row],[Rep_ID]],Dim_Reps!A:A,Dim_Reps!B:B)</f>
        <v>Lucas Okafor</v>
      </c>
      <c r="P4535" t="str">
        <f>_xlfn.XLOOKUP(Pipeline_tbl[[#This Row],[Rep_ID]],Dim_Reps!A:A,Dim_Reps!C:C)</f>
        <v>SDR / Inside Sales Rep</v>
      </c>
      <c r="Q4535" t="str">
        <f>_xlfn.XLOOKUP(Pipeline_tbl[[#This Row],[Rep_ID]],Dim_Reps!A:A,Dim_Reps!D:D)</f>
        <v>Inside Sales</v>
      </c>
      <c r="R4535" t="str">
        <f>_xlfn.XLOOKUP(Pipeline_tbl[[#This Row],[Rep_ID]],Dim_Reps!A:A,Dim_Reps!E:E)</f>
        <v>APAC</v>
      </c>
      <c r="S4535" t="str">
        <f>_xlfn.XLOOKUP(Pipeline_tbl[[#This Row],[Created_Date]],Dim_Date!A:A,Dim_Date!H:H)</f>
        <v>Jan 2024</v>
      </c>
      <c r="T4535" t="str">
        <f>IF(Pipeline_tbl[[#This Row],[Closed_Date]]=0,"",(_xlfn.XLOOKUP(Pipeline_tbl[[#This Row],[Closed_Date]],Dim_Date!A:A,Dim_Date!H:H)))</f>
        <v>Jan 2024</v>
      </c>
      <c r="U4535">
        <f>IF(Pipeline_tbl[[#This Row],[Closed_Date]]=0,"",Pipeline_tbl[[#This Row],[Closed_Date]]-Pipeline_tbl[[#This Row],[Created_Date]])</f>
        <v>26</v>
      </c>
    </row>
    <row r="4536" spans="1:21" ht="15" customHeight="1" x14ac:dyDescent="0.2">
      <c r="A4536" t="s">
        <v>4842</v>
      </c>
      <c r="B4536" t="s">
        <v>205</v>
      </c>
      <c r="C4536" t="s">
        <v>52</v>
      </c>
      <c r="D4536" s="49">
        <v>45292</v>
      </c>
      <c r="E4536" s="49">
        <v>45293</v>
      </c>
      <c r="F4536" s="49">
        <v>45296</v>
      </c>
      <c r="G4536" s="49">
        <v>45300</v>
      </c>
      <c r="H4536" s="49">
        <v>45303</v>
      </c>
      <c r="I4536" s="49">
        <v>45305</v>
      </c>
      <c r="J4536" t="s">
        <v>49</v>
      </c>
      <c r="K4536" s="33">
        <v>5600</v>
      </c>
      <c r="L4536" t="s">
        <v>60</v>
      </c>
      <c r="M4536" t="str">
        <f>_xlfn.XLOOKUP(Pipeline_tbl[[#This Row],[Rep_ID]],Dim_Reps!A:A,Dim_Reps!K:K)</f>
        <v>EUR</v>
      </c>
      <c r="N4536" s="33">
        <f>(_xlfn.XLOOKUP(Pipeline_tbl[[#This Row],[Rate_Code_Generalized]],Lookups!A:A,Lookups!B:B))*Pipeline_tbl[[#This Row],[Pipeline_Amount_USD]]</f>
        <v>5600</v>
      </c>
      <c r="O4536" t="str">
        <f>_xlfn.XLOOKUP(Pipeline_tbl[[#This Row],[Rep_ID]],Dim_Reps!A:A,Dim_Reps!B:B)</f>
        <v>Karim Alvarez</v>
      </c>
      <c r="P4536" t="str">
        <f>_xlfn.XLOOKUP(Pipeline_tbl[[#This Row],[Rep_ID]],Dim_Reps!A:A,Dim_Reps!C:C)</f>
        <v>SDR / Inside Sales Rep</v>
      </c>
      <c r="Q4536" t="str">
        <f>_xlfn.XLOOKUP(Pipeline_tbl[[#This Row],[Rep_ID]],Dim_Reps!A:A,Dim_Reps!D:D)</f>
        <v>Inside Sales</v>
      </c>
      <c r="R4536" t="str">
        <f>_xlfn.XLOOKUP(Pipeline_tbl[[#This Row],[Rep_ID]],Dim_Reps!A:A,Dim_Reps!E:E)</f>
        <v>EMEA</v>
      </c>
      <c r="S4536" t="str">
        <f>_xlfn.XLOOKUP(Pipeline_tbl[[#This Row],[Created_Date]],Dim_Date!A:A,Dim_Date!H:H)</f>
        <v>Jan 2024</v>
      </c>
      <c r="T4536" t="str">
        <f>IF(Pipeline_tbl[[#This Row],[Closed_Date]]=0,"",(_xlfn.XLOOKUP(Pipeline_tbl[[#This Row],[Closed_Date]],Dim_Date!A:A,Dim_Date!H:H)))</f>
        <v>Jan 2024</v>
      </c>
      <c r="U4536">
        <f>IF(Pipeline_tbl[[#This Row],[Closed_Date]]=0,"",Pipeline_tbl[[#This Row],[Closed_Date]]-Pipeline_tbl[[#This Row],[Created_Date]])</f>
        <v>13</v>
      </c>
    </row>
    <row r="4537" spans="1:21" ht="15" customHeight="1" x14ac:dyDescent="0.2">
      <c r="A4537" t="s">
        <v>4843</v>
      </c>
      <c r="B4537" t="s">
        <v>205</v>
      </c>
      <c r="C4537" t="s">
        <v>53</v>
      </c>
      <c r="D4537" s="49">
        <v>45296</v>
      </c>
      <c r="E4537" s="49">
        <v>45298</v>
      </c>
      <c r="F4537" s="49">
        <v>45302</v>
      </c>
      <c r="I4537" s="49">
        <v>45316</v>
      </c>
      <c r="J4537" t="s">
        <v>49</v>
      </c>
      <c r="K4537" s="33">
        <v>3900</v>
      </c>
      <c r="L4537" t="s">
        <v>60</v>
      </c>
      <c r="M4537" t="str">
        <f>_xlfn.XLOOKUP(Pipeline_tbl[[#This Row],[Rep_ID]],Dim_Reps!A:A,Dim_Reps!K:K)</f>
        <v>EUR</v>
      </c>
      <c r="N4537" s="33">
        <f>(_xlfn.XLOOKUP(Pipeline_tbl[[#This Row],[Rate_Code_Generalized]],Lookups!A:A,Lookups!B:B))*Pipeline_tbl[[#This Row],[Pipeline_Amount_USD]]</f>
        <v>3900</v>
      </c>
      <c r="O4537" t="str">
        <f>_xlfn.XLOOKUP(Pipeline_tbl[[#This Row],[Rep_ID]],Dim_Reps!A:A,Dim_Reps!B:B)</f>
        <v>Karim Alvarez</v>
      </c>
      <c r="P4537" t="str">
        <f>_xlfn.XLOOKUP(Pipeline_tbl[[#This Row],[Rep_ID]],Dim_Reps!A:A,Dim_Reps!C:C)</f>
        <v>SDR / Inside Sales Rep</v>
      </c>
      <c r="Q4537" t="str">
        <f>_xlfn.XLOOKUP(Pipeline_tbl[[#This Row],[Rep_ID]],Dim_Reps!A:A,Dim_Reps!D:D)</f>
        <v>Inside Sales</v>
      </c>
      <c r="R4537" t="str">
        <f>_xlfn.XLOOKUP(Pipeline_tbl[[#This Row],[Rep_ID]],Dim_Reps!A:A,Dim_Reps!E:E)</f>
        <v>EMEA</v>
      </c>
      <c r="S4537" t="str">
        <f>_xlfn.XLOOKUP(Pipeline_tbl[[#This Row],[Created_Date]],Dim_Date!A:A,Dim_Date!H:H)</f>
        <v>Jan 2024</v>
      </c>
      <c r="T4537" t="str">
        <f>IF(Pipeline_tbl[[#This Row],[Closed_Date]]=0,"",(_xlfn.XLOOKUP(Pipeline_tbl[[#This Row],[Closed_Date]],Dim_Date!A:A,Dim_Date!H:H)))</f>
        <v>Jan 2024</v>
      </c>
      <c r="U4537">
        <f>IF(Pipeline_tbl[[#This Row],[Closed_Date]]=0,"",Pipeline_tbl[[#This Row],[Closed_Date]]-Pipeline_tbl[[#This Row],[Created_Date]])</f>
        <v>20</v>
      </c>
    </row>
    <row r="4538" spans="1:21" ht="15" customHeight="1" x14ac:dyDescent="0.2">
      <c r="A4538" t="s">
        <v>4844</v>
      </c>
      <c r="B4538" t="s">
        <v>211</v>
      </c>
      <c r="C4538" t="s">
        <v>52</v>
      </c>
      <c r="D4538" s="49">
        <v>45296</v>
      </c>
      <c r="E4538" s="49">
        <v>45297</v>
      </c>
      <c r="F4538" s="49">
        <v>45300</v>
      </c>
      <c r="G4538" s="49">
        <v>45304</v>
      </c>
      <c r="H4538" s="49">
        <v>45307</v>
      </c>
      <c r="I4538" s="49">
        <v>45309</v>
      </c>
      <c r="J4538" t="s">
        <v>47</v>
      </c>
      <c r="K4538" s="33">
        <v>3800</v>
      </c>
      <c r="M4538" t="str">
        <f>_xlfn.XLOOKUP(Pipeline_tbl[[#This Row],[Rep_ID]],Dim_Reps!A:A,Dim_Reps!K:K)</f>
        <v>EUR</v>
      </c>
      <c r="N4538" s="33">
        <f>(_xlfn.XLOOKUP(Pipeline_tbl[[#This Row],[Rate_Code_Generalized]],Lookups!A:A,Lookups!B:B))*Pipeline_tbl[[#This Row],[Pipeline_Amount_USD]]</f>
        <v>3800</v>
      </c>
      <c r="O4538" t="str">
        <f>_xlfn.XLOOKUP(Pipeline_tbl[[#This Row],[Rep_ID]],Dim_Reps!A:A,Dim_Reps!B:B)</f>
        <v>Lea Weber</v>
      </c>
      <c r="P4538" t="str">
        <f>_xlfn.XLOOKUP(Pipeline_tbl[[#This Row],[Rep_ID]],Dim_Reps!A:A,Dim_Reps!C:C)</f>
        <v>SDR / Inside Sales Rep</v>
      </c>
      <c r="Q4538" t="str">
        <f>_xlfn.XLOOKUP(Pipeline_tbl[[#This Row],[Rep_ID]],Dim_Reps!A:A,Dim_Reps!D:D)</f>
        <v>Inside Sales</v>
      </c>
      <c r="R4538" t="str">
        <f>_xlfn.XLOOKUP(Pipeline_tbl[[#This Row],[Rep_ID]],Dim_Reps!A:A,Dim_Reps!E:E)</f>
        <v>EMEA</v>
      </c>
      <c r="S4538" t="str">
        <f>_xlfn.XLOOKUP(Pipeline_tbl[[#This Row],[Created_Date]],Dim_Date!A:A,Dim_Date!H:H)</f>
        <v>Jan 2024</v>
      </c>
      <c r="T4538" t="str">
        <f>IF(Pipeline_tbl[[#This Row],[Closed_Date]]=0,"",(_xlfn.XLOOKUP(Pipeline_tbl[[#This Row],[Closed_Date]],Dim_Date!A:A,Dim_Date!H:H)))</f>
        <v>Jan 2024</v>
      </c>
      <c r="U4538">
        <f>IF(Pipeline_tbl[[#This Row],[Closed_Date]]=0,"",Pipeline_tbl[[#This Row],[Closed_Date]]-Pipeline_tbl[[#This Row],[Created_Date]])</f>
        <v>13</v>
      </c>
    </row>
    <row r="4539" spans="1:21" ht="15" customHeight="1" x14ac:dyDescent="0.2">
      <c r="A4539" t="s">
        <v>4845</v>
      </c>
      <c r="B4539" t="s">
        <v>215</v>
      </c>
      <c r="C4539" t="s">
        <v>55</v>
      </c>
      <c r="D4539" s="49">
        <v>45301</v>
      </c>
      <c r="E4539" s="49">
        <v>45303</v>
      </c>
      <c r="F4539" s="49">
        <v>45307</v>
      </c>
      <c r="G4539" s="49">
        <v>45312</v>
      </c>
      <c r="I4539" s="49">
        <v>45320</v>
      </c>
      <c r="J4539" t="s">
        <v>49</v>
      </c>
      <c r="K4539" s="33">
        <v>6700</v>
      </c>
      <c r="L4539" t="s">
        <v>60</v>
      </c>
      <c r="M4539" t="str">
        <f>_xlfn.XLOOKUP(Pipeline_tbl[[#This Row],[Rep_ID]],Dim_Reps!A:A,Dim_Reps!K:K)</f>
        <v>EUR</v>
      </c>
      <c r="N4539" s="33">
        <f>(_xlfn.XLOOKUP(Pipeline_tbl[[#This Row],[Rate_Code_Generalized]],Lookups!A:A,Lookups!B:B))*Pipeline_tbl[[#This Row],[Pipeline_Amount_USD]]</f>
        <v>6700</v>
      </c>
      <c r="O4539" t="str">
        <f>_xlfn.XLOOKUP(Pipeline_tbl[[#This Row],[Rep_ID]],Dim_Reps!A:A,Dim_Reps!B:B)</f>
        <v>Jamie Schmidt</v>
      </c>
      <c r="P4539" t="str">
        <f>_xlfn.XLOOKUP(Pipeline_tbl[[#This Row],[Rep_ID]],Dim_Reps!A:A,Dim_Reps!C:C)</f>
        <v>SDR / Inside Sales Rep</v>
      </c>
      <c r="Q4539" t="str">
        <f>_xlfn.XLOOKUP(Pipeline_tbl[[#This Row],[Rep_ID]],Dim_Reps!A:A,Dim_Reps!D:D)</f>
        <v>Inside Sales</v>
      </c>
      <c r="R4539" t="str">
        <f>_xlfn.XLOOKUP(Pipeline_tbl[[#This Row],[Rep_ID]],Dim_Reps!A:A,Dim_Reps!E:E)</f>
        <v>APAC</v>
      </c>
      <c r="S4539" t="str">
        <f>_xlfn.XLOOKUP(Pipeline_tbl[[#This Row],[Created_Date]],Dim_Date!A:A,Dim_Date!H:H)</f>
        <v>Jan 2024</v>
      </c>
      <c r="T4539" t="str">
        <f>IF(Pipeline_tbl[[#This Row],[Closed_Date]]=0,"",(_xlfn.XLOOKUP(Pipeline_tbl[[#This Row],[Closed_Date]],Dim_Date!A:A,Dim_Date!H:H)))</f>
        <v>Jan 2024</v>
      </c>
      <c r="U4539">
        <f>IF(Pipeline_tbl[[#This Row],[Closed_Date]]=0,"",Pipeline_tbl[[#This Row],[Closed_Date]]-Pipeline_tbl[[#This Row],[Created_Date]])</f>
        <v>19</v>
      </c>
    </row>
    <row r="4540" spans="1:21" ht="15" customHeight="1" x14ac:dyDescent="0.2">
      <c r="A4540" t="s">
        <v>4846</v>
      </c>
      <c r="B4540" t="s">
        <v>217</v>
      </c>
      <c r="C4540" t="s">
        <v>52</v>
      </c>
      <c r="D4540" s="49">
        <v>45292</v>
      </c>
      <c r="E4540" s="49">
        <v>45294</v>
      </c>
      <c r="F4540" s="49">
        <v>45297</v>
      </c>
      <c r="G4540" s="49">
        <v>45302</v>
      </c>
      <c r="H4540" s="49">
        <v>45306</v>
      </c>
      <c r="I4540" s="49">
        <v>45308</v>
      </c>
      <c r="J4540" t="s">
        <v>49</v>
      </c>
      <c r="K4540" s="33">
        <v>2300</v>
      </c>
      <c r="L4540" t="s">
        <v>62</v>
      </c>
      <c r="M4540" t="str">
        <f>_xlfn.XLOOKUP(Pipeline_tbl[[#This Row],[Rep_ID]],Dim_Reps!A:A,Dim_Reps!K:K)</f>
        <v>USD</v>
      </c>
      <c r="N4540" s="33">
        <f>(_xlfn.XLOOKUP(Pipeline_tbl[[#This Row],[Rate_Code_Generalized]],Lookups!A:A,Lookups!B:B))*Pipeline_tbl[[#This Row],[Pipeline_Amount_USD]]</f>
        <v>2677.89</v>
      </c>
      <c r="O4540" t="str">
        <f>_xlfn.XLOOKUP(Pipeline_tbl[[#This Row],[Rep_ID]],Dim_Reps!A:A,Dim_Reps!B:B)</f>
        <v>Priya Weber</v>
      </c>
      <c r="P4540" t="str">
        <f>_xlfn.XLOOKUP(Pipeline_tbl[[#This Row],[Rep_ID]],Dim_Reps!A:A,Dim_Reps!C:C)</f>
        <v>SDR / Inside Sales Rep</v>
      </c>
      <c r="Q4540" t="str">
        <f>_xlfn.XLOOKUP(Pipeline_tbl[[#This Row],[Rep_ID]],Dim_Reps!A:A,Dim_Reps!D:D)</f>
        <v>Inside Sales</v>
      </c>
      <c r="R4540" t="str">
        <f>_xlfn.XLOOKUP(Pipeline_tbl[[#This Row],[Rep_ID]],Dim_Reps!A:A,Dim_Reps!E:E)</f>
        <v>NAMER</v>
      </c>
      <c r="S4540" t="str">
        <f>_xlfn.XLOOKUP(Pipeline_tbl[[#This Row],[Created_Date]],Dim_Date!A:A,Dim_Date!H:H)</f>
        <v>Jan 2024</v>
      </c>
      <c r="T4540" t="str">
        <f>IF(Pipeline_tbl[[#This Row],[Closed_Date]]=0,"",(_xlfn.XLOOKUP(Pipeline_tbl[[#This Row],[Closed_Date]],Dim_Date!A:A,Dim_Date!H:H)))</f>
        <v>Jan 2024</v>
      </c>
      <c r="U4540">
        <f>IF(Pipeline_tbl[[#This Row],[Closed_Date]]=0,"",Pipeline_tbl[[#This Row],[Closed_Date]]-Pipeline_tbl[[#This Row],[Created_Date]])</f>
        <v>16</v>
      </c>
    </row>
    <row r="4541" spans="1:21" ht="15" customHeight="1" x14ac:dyDescent="0.2">
      <c r="A4541" t="s">
        <v>4847</v>
      </c>
      <c r="B4541" t="s">
        <v>217</v>
      </c>
      <c r="C4541" t="s">
        <v>52</v>
      </c>
      <c r="D4541" s="49">
        <v>45295</v>
      </c>
      <c r="E4541" s="49">
        <v>45297</v>
      </c>
      <c r="F4541" s="49">
        <v>45301</v>
      </c>
      <c r="G4541" s="49">
        <v>45307</v>
      </c>
      <c r="I4541" s="49">
        <v>45315</v>
      </c>
      <c r="J4541" t="s">
        <v>49</v>
      </c>
      <c r="K4541" s="33">
        <v>2500</v>
      </c>
      <c r="L4541" t="s">
        <v>62</v>
      </c>
      <c r="M4541" t="str">
        <f>_xlfn.XLOOKUP(Pipeline_tbl[[#This Row],[Rep_ID]],Dim_Reps!A:A,Dim_Reps!K:K)</f>
        <v>USD</v>
      </c>
      <c r="N4541" s="33">
        <f>(_xlfn.XLOOKUP(Pipeline_tbl[[#This Row],[Rate_Code_Generalized]],Lookups!A:A,Lookups!B:B))*Pipeline_tbl[[#This Row],[Pipeline_Amount_USD]]</f>
        <v>2910.7499999999995</v>
      </c>
      <c r="O4541" t="str">
        <f>_xlfn.XLOOKUP(Pipeline_tbl[[#This Row],[Rep_ID]],Dim_Reps!A:A,Dim_Reps!B:B)</f>
        <v>Priya Weber</v>
      </c>
      <c r="P4541" t="str">
        <f>_xlfn.XLOOKUP(Pipeline_tbl[[#This Row],[Rep_ID]],Dim_Reps!A:A,Dim_Reps!C:C)</f>
        <v>SDR / Inside Sales Rep</v>
      </c>
      <c r="Q4541" t="str">
        <f>_xlfn.XLOOKUP(Pipeline_tbl[[#This Row],[Rep_ID]],Dim_Reps!A:A,Dim_Reps!D:D)</f>
        <v>Inside Sales</v>
      </c>
      <c r="R4541" t="str">
        <f>_xlfn.XLOOKUP(Pipeline_tbl[[#This Row],[Rep_ID]],Dim_Reps!A:A,Dim_Reps!E:E)</f>
        <v>NAMER</v>
      </c>
      <c r="S4541" t="str">
        <f>_xlfn.XLOOKUP(Pipeline_tbl[[#This Row],[Created_Date]],Dim_Date!A:A,Dim_Date!H:H)</f>
        <v>Jan 2024</v>
      </c>
      <c r="T4541" t="str">
        <f>IF(Pipeline_tbl[[#This Row],[Closed_Date]]=0,"",(_xlfn.XLOOKUP(Pipeline_tbl[[#This Row],[Closed_Date]],Dim_Date!A:A,Dim_Date!H:H)))</f>
        <v>Jan 2024</v>
      </c>
      <c r="U4541">
        <f>IF(Pipeline_tbl[[#This Row],[Closed_Date]]=0,"",Pipeline_tbl[[#This Row],[Closed_Date]]-Pipeline_tbl[[#This Row],[Created_Date]])</f>
        <v>20</v>
      </c>
    </row>
    <row r="4542" spans="1:21" ht="15" customHeight="1" x14ac:dyDescent="0.2">
      <c r="A4542" t="s">
        <v>4848</v>
      </c>
      <c r="B4542" t="s">
        <v>217</v>
      </c>
      <c r="C4542" t="s">
        <v>52</v>
      </c>
      <c r="D4542" s="49">
        <v>45305</v>
      </c>
      <c r="E4542" s="49">
        <v>45306</v>
      </c>
      <c r="F4542" s="49">
        <v>45308</v>
      </c>
      <c r="G4542" s="49">
        <v>45312</v>
      </c>
      <c r="H4542" s="49">
        <v>45314</v>
      </c>
      <c r="I4542" s="49">
        <v>45316</v>
      </c>
      <c r="J4542" t="s">
        <v>49</v>
      </c>
      <c r="K4542" s="33">
        <v>2100</v>
      </c>
      <c r="L4542" t="s">
        <v>60</v>
      </c>
      <c r="M4542" t="str">
        <f>_xlfn.XLOOKUP(Pipeline_tbl[[#This Row],[Rep_ID]],Dim_Reps!A:A,Dim_Reps!K:K)</f>
        <v>USD</v>
      </c>
      <c r="N4542" s="33">
        <f>(_xlfn.XLOOKUP(Pipeline_tbl[[#This Row],[Rate_Code_Generalized]],Lookups!A:A,Lookups!B:B))*Pipeline_tbl[[#This Row],[Pipeline_Amount_USD]]</f>
        <v>2445.0299999999997</v>
      </c>
      <c r="O4542" t="str">
        <f>_xlfn.XLOOKUP(Pipeline_tbl[[#This Row],[Rep_ID]],Dim_Reps!A:A,Dim_Reps!B:B)</f>
        <v>Priya Weber</v>
      </c>
      <c r="P4542" t="str">
        <f>_xlfn.XLOOKUP(Pipeline_tbl[[#This Row],[Rep_ID]],Dim_Reps!A:A,Dim_Reps!C:C)</f>
        <v>SDR / Inside Sales Rep</v>
      </c>
      <c r="Q4542" t="str">
        <f>_xlfn.XLOOKUP(Pipeline_tbl[[#This Row],[Rep_ID]],Dim_Reps!A:A,Dim_Reps!D:D)</f>
        <v>Inside Sales</v>
      </c>
      <c r="R4542" t="str">
        <f>_xlfn.XLOOKUP(Pipeline_tbl[[#This Row],[Rep_ID]],Dim_Reps!A:A,Dim_Reps!E:E)</f>
        <v>NAMER</v>
      </c>
      <c r="S4542" t="str">
        <f>_xlfn.XLOOKUP(Pipeline_tbl[[#This Row],[Created_Date]],Dim_Date!A:A,Dim_Date!H:H)</f>
        <v>Jan 2024</v>
      </c>
      <c r="T4542" t="str">
        <f>IF(Pipeline_tbl[[#This Row],[Closed_Date]]=0,"",(_xlfn.XLOOKUP(Pipeline_tbl[[#This Row],[Closed_Date]],Dim_Date!A:A,Dim_Date!H:H)))</f>
        <v>Jan 2024</v>
      </c>
      <c r="U4542">
        <f>IF(Pipeline_tbl[[#This Row],[Closed_Date]]=0,"",Pipeline_tbl[[#This Row],[Closed_Date]]-Pipeline_tbl[[#This Row],[Created_Date]])</f>
        <v>11</v>
      </c>
    </row>
    <row r="4543" spans="1:21" ht="15" customHeight="1" x14ac:dyDescent="0.2">
      <c r="A4543" t="s">
        <v>4849</v>
      </c>
      <c r="B4543" t="s">
        <v>217</v>
      </c>
      <c r="C4543" t="s">
        <v>54</v>
      </c>
      <c r="D4543" s="49">
        <v>45296</v>
      </c>
      <c r="E4543" s="49">
        <v>45297</v>
      </c>
      <c r="F4543" s="49">
        <v>45300</v>
      </c>
      <c r="I4543" s="49">
        <v>45309</v>
      </c>
      <c r="J4543" t="s">
        <v>49</v>
      </c>
      <c r="K4543" s="33">
        <v>4600</v>
      </c>
      <c r="L4543" t="s">
        <v>62</v>
      </c>
      <c r="M4543" t="str">
        <f>_xlfn.XLOOKUP(Pipeline_tbl[[#This Row],[Rep_ID]],Dim_Reps!A:A,Dim_Reps!K:K)</f>
        <v>USD</v>
      </c>
      <c r="N4543" s="33">
        <f>(_xlfn.XLOOKUP(Pipeline_tbl[[#This Row],[Rate_Code_Generalized]],Lookups!A:A,Lookups!B:B))*Pipeline_tbl[[#This Row],[Pipeline_Amount_USD]]</f>
        <v>5355.78</v>
      </c>
      <c r="O4543" t="str">
        <f>_xlfn.XLOOKUP(Pipeline_tbl[[#This Row],[Rep_ID]],Dim_Reps!A:A,Dim_Reps!B:B)</f>
        <v>Priya Weber</v>
      </c>
      <c r="P4543" t="str">
        <f>_xlfn.XLOOKUP(Pipeline_tbl[[#This Row],[Rep_ID]],Dim_Reps!A:A,Dim_Reps!C:C)</f>
        <v>SDR / Inside Sales Rep</v>
      </c>
      <c r="Q4543" t="str">
        <f>_xlfn.XLOOKUP(Pipeline_tbl[[#This Row],[Rep_ID]],Dim_Reps!A:A,Dim_Reps!D:D)</f>
        <v>Inside Sales</v>
      </c>
      <c r="R4543" t="str">
        <f>_xlfn.XLOOKUP(Pipeline_tbl[[#This Row],[Rep_ID]],Dim_Reps!A:A,Dim_Reps!E:E)</f>
        <v>NAMER</v>
      </c>
      <c r="S4543" t="str">
        <f>_xlfn.XLOOKUP(Pipeline_tbl[[#This Row],[Created_Date]],Dim_Date!A:A,Dim_Date!H:H)</f>
        <v>Jan 2024</v>
      </c>
      <c r="T4543" t="str">
        <f>IF(Pipeline_tbl[[#This Row],[Closed_Date]]=0,"",(_xlfn.XLOOKUP(Pipeline_tbl[[#This Row],[Closed_Date]],Dim_Date!A:A,Dim_Date!H:H)))</f>
        <v>Jan 2024</v>
      </c>
      <c r="U4543">
        <f>IF(Pipeline_tbl[[#This Row],[Closed_Date]]=0,"",Pipeline_tbl[[#This Row],[Closed_Date]]-Pipeline_tbl[[#This Row],[Created_Date]])</f>
        <v>13</v>
      </c>
    </row>
    <row r="4544" spans="1:21" ht="15" customHeight="1" x14ac:dyDescent="0.2">
      <c r="A4544" t="s">
        <v>4850</v>
      </c>
      <c r="B4544" t="s">
        <v>221</v>
      </c>
      <c r="C4544" t="s">
        <v>54</v>
      </c>
      <c r="D4544" s="49">
        <v>45299</v>
      </c>
      <c r="E4544" s="49">
        <v>45301</v>
      </c>
      <c r="F4544" s="49">
        <v>45305</v>
      </c>
      <c r="G4544" s="49">
        <v>45311</v>
      </c>
      <c r="H4544" s="49">
        <v>45316</v>
      </c>
      <c r="I4544" s="49">
        <v>45319</v>
      </c>
      <c r="J4544" t="s">
        <v>47</v>
      </c>
      <c r="K4544" s="33">
        <v>2400</v>
      </c>
      <c r="M4544" t="str">
        <f>_xlfn.XLOOKUP(Pipeline_tbl[[#This Row],[Rep_ID]],Dim_Reps!A:A,Dim_Reps!K:K)</f>
        <v>MXN</v>
      </c>
      <c r="N4544" s="33">
        <f>(_xlfn.XLOOKUP(Pipeline_tbl[[#This Row],[Rate_Code_Generalized]],Lookups!A:A,Lookups!B:B))*Pipeline_tbl[[#This Row],[Pipeline_Amount_USD]]</f>
        <v>47358.48</v>
      </c>
      <c r="O4544" t="str">
        <f>_xlfn.XLOOKUP(Pipeline_tbl[[#This Row],[Rep_ID]],Dim_Reps!A:A,Dim_Reps!B:B)</f>
        <v>Casey Muller</v>
      </c>
      <c r="P4544" t="str">
        <f>_xlfn.XLOOKUP(Pipeline_tbl[[#This Row],[Rep_ID]],Dim_Reps!A:A,Dim_Reps!C:C)</f>
        <v>SDR / Inside Sales Rep</v>
      </c>
      <c r="Q4544" t="str">
        <f>_xlfn.XLOOKUP(Pipeline_tbl[[#This Row],[Rep_ID]],Dim_Reps!A:A,Dim_Reps!D:D)</f>
        <v>Inside Sales</v>
      </c>
      <c r="R4544" t="str">
        <f>_xlfn.XLOOKUP(Pipeline_tbl[[#This Row],[Rep_ID]],Dim_Reps!A:A,Dim_Reps!E:E)</f>
        <v>LATAM</v>
      </c>
      <c r="S4544" t="str">
        <f>_xlfn.XLOOKUP(Pipeline_tbl[[#This Row],[Created_Date]],Dim_Date!A:A,Dim_Date!H:H)</f>
        <v>Jan 2024</v>
      </c>
      <c r="T4544" t="str">
        <f>IF(Pipeline_tbl[[#This Row],[Closed_Date]]=0,"",(_xlfn.XLOOKUP(Pipeline_tbl[[#This Row],[Closed_Date]],Dim_Date!A:A,Dim_Date!H:H)))</f>
        <v>Jan 2024</v>
      </c>
      <c r="U4544">
        <f>IF(Pipeline_tbl[[#This Row],[Closed_Date]]=0,"",Pipeline_tbl[[#This Row],[Closed_Date]]-Pipeline_tbl[[#This Row],[Created_Date]])</f>
        <v>20</v>
      </c>
    </row>
    <row r="4545" spans="1:21" ht="15" customHeight="1" x14ac:dyDescent="0.2">
      <c r="A4545" t="s">
        <v>4851</v>
      </c>
      <c r="B4545" t="s">
        <v>221</v>
      </c>
      <c r="C4545" t="s">
        <v>53</v>
      </c>
      <c r="D4545" s="49">
        <v>45299</v>
      </c>
      <c r="E4545" s="49">
        <v>45301</v>
      </c>
      <c r="I4545" s="49">
        <v>45320</v>
      </c>
      <c r="J4545" t="s">
        <v>49</v>
      </c>
      <c r="K4545" s="33">
        <v>7400</v>
      </c>
      <c r="L4545" t="s">
        <v>62</v>
      </c>
      <c r="M4545" t="str">
        <f>_xlfn.XLOOKUP(Pipeline_tbl[[#This Row],[Rep_ID]],Dim_Reps!A:A,Dim_Reps!K:K)</f>
        <v>MXN</v>
      </c>
      <c r="N4545" s="33">
        <f>(_xlfn.XLOOKUP(Pipeline_tbl[[#This Row],[Rate_Code_Generalized]],Lookups!A:A,Lookups!B:B))*Pipeline_tbl[[#This Row],[Pipeline_Amount_USD]]</f>
        <v>146021.98000000001</v>
      </c>
      <c r="O4545" t="str">
        <f>_xlfn.XLOOKUP(Pipeline_tbl[[#This Row],[Rep_ID]],Dim_Reps!A:A,Dim_Reps!B:B)</f>
        <v>Casey Muller</v>
      </c>
      <c r="P4545" t="str">
        <f>_xlfn.XLOOKUP(Pipeline_tbl[[#This Row],[Rep_ID]],Dim_Reps!A:A,Dim_Reps!C:C)</f>
        <v>SDR / Inside Sales Rep</v>
      </c>
      <c r="Q4545" t="str">
        <f>_xlfn.XLOOKUP(Pipeline_tbl[[#This Row],[Rep_ID]],Dim_Reps!A:A,Dim_Reps!D:D)</f>
        <v>Inside Sales</v>
      </c>
      <c r="R4545" t="str">
        <f>_xlfn.XLOOKUP(Pipeline_tbl[[#This Row],[Rep_ID]],Dim_Reps!A:A,Dim_Reps!E:E)</f>
        <v>LATAM</v>
      </c>
      <c r="S4545" t="str">
        <f>_xlfn.XLOOKUP(Pipeline_tbl[[#This Row],[Created_Date]],Dim_Date!A:A,Dim_Date!H:H)</f>
        <v>Jan 2024</v>
      </c>
      <c r="T4545" t="str">
        <f>IF(Pipeline_tbl[[#This Row],[Closed_Date]]=0,"",(_xlfn.XLOOKUP(Pipeline_tbl[[#This Row],[Closed_Date]],Dim_Date!A:A,Dim_Date!H:H)))</f>
        <v>Jan 2024</v>
      </c>
      <c r="U4545">
        <f>IF(Pipeline_tbl[[#This Row],[Closed_Date]]=0,"",Pipeline_tbl[[#This Row],[Closed_Date]]-Pipeline_tbl[[#This Row],[Created_Date]])</f>
        <v>21</v>
      </c>
    </row>
    <row r="4546" spans="1:21" ht="15" customHeight="1" x14ac:dyDescent="0.2">
      <c r="A4546" t="s">
        <v>4852</v>
      </c>
      <c r="B4546" t="s">
        <v>221</v>
      </c>
      <c r="C4546" t="s">
        <v>52</v>
      </c>
      <c r="D4546" s="49">
        <v>45296</v>
      </c>
      <c r="E4546" s="49">
        <v>45298</v>
      </c>
      <c r="F4546" s="49">
        <v>45302</v>
      </c>
      <c r="G4546" s="49">
        <v>45309</v>
      </c>
      <c r="H4546" s="49">
        <v>45314</v>
      </c>
      <c r="I4546" s="49">
        <v>45317</v>
      </c>
      <c r="J4546" t="s">
        <v>47</v>
      </c>
      <c r="K4546" s="33">
        <v>3400</v>
      </c>
      <c r="M4546" t="str">
        <f>_xlfn.XLOOKUP(Pipeline_tbl[[#This Row],[Rep_ID]],Dim_Reps!A:A,Dim_Reps!K:K)</f>
        <v>MXN</v>
      </c>
      <c r="N4546" s="33">
        <f>(_xlfn.XLOOKUP(Pipeline_tbl[[#This Row],[Rate_Code_Generalized]],Lookups!A:A,Lookups!B:B))*Pipeline_tbl[[#This Row],[Pipeline_Amount_USD]]</f>
        <v>67091.180000000008</v>
      </c>
      <c r="O4546" t="str">
        <f>_xlfn.XLOOKUP(Pipeline_tbl[[#This Row],[Rep_ID]],Dim_Reps!A:A,Dim_Reps!B:B)</f>
        <v>Casey Muller</v>
      </c>
      <c r="P4546" t="str">
        <f>_xlfn.XLOOKUP(Pipeline_tbl[[#This Row],[Rep_ID]],Dim_Reps!A:A,Dim_Reps!C:C)</f>
        <v>SDR / Inside Sales Rep</v>
      </c>
      <c r="Q4546" t="str">
        <f>_xlfn.XLOOKUP(Pipeline_tbl[[#This Row],[Rep_ID]],Dim_Reps!A:A,Dim_Reps!D:D)</f>
        <v>Inside Sales</v>
      </c>
      <c r="R4546" t="str">
        <f>_xlfn.XLOOKUP(Pipeline_tbl[[#This Row],[Rep_ID]],Dim_Reps!A:A,Dim_Reps!E:E)</f>
        <v>LATAM</v>
      </c>
      <c r="S4546" t="str">
        <f>_xlfn.XLOOKUP(Pipeline_tbl[[#This Row],[Created_Date]],Dim_Date!A:A,Dim_Date!H:H)</f>
        <v>Jan 2024</v>
      </c>
      <c r="T4546" t="str">
        <f>IF(Pipeline_tbl[[#This Row],[Closed_Date]]=0,"",(_xlfn.XLOOKUP(Pipeline_tbl[[#This Row],[Closed_Date]],Dim_Date!A:A,Dim_Date!H:H)))</f>
        <v>Jan 2024</v>
      </c>
      <c r="U4546">
        <f>IF(Pipeline_tbl[[#This Row],[Closed_Date]]=0,"",Pipeline_tbl[[#This Row],[Closed_Date]]-Pipeline_tbl[[#This Row],[Created_Date]])</f>
        <v>21</v>
      </c>
    </row>
    <row r="4547" spans="1:21" ht="15" customHeight="1" x14ac:dyDescent="0.2">
      <c r="A4547" t="s">
        <v>4853</v>
      </c>
      <c r="B4547" t="s">
        <v>221</v>
      </c>
      <c r="C4547" t="s">
        <v>54</v>
      </c>
      <c r="D4547" s="49">
        <v>45296</v>
      </c>
      <c r="E4547" s="49">
        <v>45298</v>
      </c>
      <c r="F4547" s="49">
        <v>45303</v>
      </c>
      <c r="G4547" s="49">
        <v>45309</v>
      </c>
      <c r="H4547" s="49">
        <v>45315</v>
      </c>
      <c r="I4547" s="49">
        <v>45318</v>
      </c>
      <c r="J4547" t="s">
        <v>47</v>
      </c>
      <c r="K4547" s="33">
        <v>4700</v>
      </c>
      <c r="M4547" t="str">
        <f>_xlfn.XLOOKUP(Pipeline_tbl[[#This Row],[Rep_ID]],Dim_Reps!A:A,Dim_Reps!K:K)</f>
        <v>MXN</v>
      </c>
      <c r="N4547" s="33">
        <f>(_xlfn.XLOOKUP(Pipeline_tbl[[#This Row],[Rate_Code_Generalized]],Lookups!A:A,Lookups!B:B))*Pipeline_tbl[[#This Row],[Pipeline_Amount_USD]]</f>
        <v>92743.69</v>
      </c>
      <c r="O4547" t="str">
        <f>_xlfn.XLOOKUP(Pipeline_tbl[[#This Row],[Rep_ID]],Dim_Reps!A:A,Dim_Reps!B:B)</f>
        <v>Casey Muller</v>
      </c>
      <c r="P4547" t="str">
        <f>_xlfn.XLOOKUP(Pipeline_tbl[[#This Row],[Rep_ID]],Dim_Reps!A:A,Dim_Reps!C:C)</f>
        <v>SDR / Inside Sales Rep</v>
      </c>
      <c r="Q4547" t="str">
        <f>_xlfn.XLOOKUP(Pipeline_tbl[[#This Row],[Rep_ID]],Dim_Reps!A:A,Dim_Reps!D:D)</f>
        <v>Inside Sales</v>
      </c>
      <c r="R4547" t="str">
        <f>_xlfn.XLOOKUP(Pipeline_tbl[[#This Row],[Rep_ID]],Dim_Reps!A:A,Dim_Reps!E:E)</f>
        <v>LATAM</v>
      </c>
      <c r="S4547" t="str">
        <f>_xlfn.XLOOKUP(Pipeline_tbl[[#This Row],[Created_Date]],Dim_Date!A:A,Dim_Date!H:H)</f>
        <v>Jan 2024</v>
      </c>
      <c r="T4547" t="str">
        <f>IF(Pipeline_tbl[[#This Row],[Closed_Date]]=0,"",(_xlfn.XLOOKUP(Pipeline_tbl[[#This Row],[Closed_Date]],Dim_Date!A:A,Dim_Date!H:H)))</f>
        <v>Jan 2024</v>
      </c>
      <c r="U4547">
        <f>IF(Pipeline_tbl[[#This Row],[Closed_Date]]=0,"",Pipeline_tbl[[#This Row],[Closed_Date]]-Pipeline_tbl[[#This Row],[Created_Date]])</f>
        <v>22</v>
      </c>
    </row>
    <row r="4548" spans="1:21" ht="15" customHeight="1" x14ac:dyDescent="0.2">
      <c r="A4548" t="s">
        <v>4854</v>
      </c>
      <c r="B4548" t="s">
        <v>221</v>
      </c>
      <c r="C4548" t="s">
        <v>54</v>
      </c>
      <c r="D4548" s="49">
        <v>45306</v>
      </c>
      <c r="E4548" s="49">
        <v>45308</v>
      </c>
      <c r="F4548" s="49">
        <v>45311</v>
      </c>
      <c r="G4548" s="49">
        <v>45316</v>
      </c>
      <c r="H4548" s="49">
        <v>45320</v>
      </c>
      <c r="I4548" s="49">
        <v>45322</v>
      </c>
      <c r="J4548" t="s">
        <v>47</v>
      </c>
      <c r="K4548" s="33">
        <v>5900</v>
      </c>
      <c r="M4548" t="str">
        <f>_xlfn.XLOOKUP(Pipeline_tbl[[#This Row],[Rep_ID]],Dim_Reps!A:A,Dim_Reps!K:K)</f>
        <v>MXN</v>
      </c>
      <c r="N4548" s="33">
        <f>(_xlfn.XLOOKUP(Pipeline_tbl[[#This Row],[Rate_Code_Generalized]],Lookups!A:A,Lookups!B:B))*Pipeline_tbl[[#This Row],[Pipeline_Amount_USD]]</f>
        <v>116422.93000000001</v>
      </c>
      <c r="O4548" t="str">
        <f>_xlfn.XLOOKUP(Pipeline_tbl[[#This Row],[Rep_ID]],Dim_Reps!A:A,Dim_Reps!B:B)</f>
        <v>Casey Muller</v>
      </c>
      <c r="P4548" t="str">
        <f>_xlfn.XLOOKUP(Pipeline_tbl[[#This Row],[Rep_ID]],Dim_Reps!A:A,Dim_Reps!C:C)</f>
        <v>SDR / Inside Sales Rep</v>
      </c>
      <c r="Q4548" t="str">
        <f>_xlfn.XLOOKUP(Pipeline_tbl[[#This Row],[Rep_ID]],Dim_Reps!A:A,Dim_Reps!D:D)</f>
        <v>Inside Sales</v>
      </c>
      <c r="R4548" t="str">
        <f>_xlfn.XLOOKUP(Pipeline_tbl[[#This Row],[Rep_ID]],Dim_Reps!A:A,Dim_Reps!E:E)</f>
        <v>LATAM</v>
      </c>
      <c r="S4548" t="str">
        <f>_xlfn.XLOOKUP(Pipeline_tbl[[#This Row],[Created_Date]],Dim_Date!A:A,Dim_Date!H:H)</f>
        <v>Jan 2024</v>
      </c>
      <c r="T4548" t="str">
        <f>IF(Pipeline_tbl[[#This Row],[Closed_Date]]=0,"",(_xlfn.XLOOKUP(Pipeline_tbl[[#This Row],[Closed_Date]],Dim_Date!A:A,Dim_Date!H:H)))</f>
        <v>Jan 2024</v>
      </c>
      <c r="U4548">
        <f>IF(Pipeline_tbl[[#This Row],[Closed_Date]]=0,"",Pipeline_tbl[[#This Row],[Closed_Date]]-Pipeline_tbl[[#This Row],[Created_Date]])</f>
        <v>16</v>
      </c>
    </row>
    <row r="4549" spans="1:21" ht="15" customHeight="1" x14ac:dyDescent="0.2">
      <c r="A4549" t="s">
        <v>4855</v>
      </c>
      <c r="B4549" t="s">
        <v>221</v>
      </c>
      <c r="C4549" t="s">
        <v>52</v>
      </c>
      <c r="D4549" s="49">
        <v>45315</v>
      </c>
      <c r="E4549" s="49">
        <v>45316</v>
      </c>
      <c r="F4549" s="49">
        <v>45317</v>
      </c>
      <c r="I4549" s="49">
        <v>45321</v>
      </c>
      <c r="J4549" t="s">
        <v>49</v>
      </c>
      <c r="K4549" s="33">
        <v>3500</v>
      </c>
      <c r="L4549" t="s">
        <v>64</v>
      </c>
      <c r="M4549" t="str">
        <f>_xlfn.XLOOKUP(Pipeline_tbl[[#This Row],[Rep_ID]],Dim_Reps!A:A,Dim_Reps!K:K)</f>
        <v>MXN</v>
      </c>
      <c r="N4549" s="33">
        <f>(_xlfn.XLOOKUP(Pipeline_tbl[[#This Row],[Rate_Code_Generalized]],Lookups!A:A,Lookups!B:B))*Pipeline_tbl[[#This Row],[Pipeline_Amount_USD]]</f>
        <v>69064.45</v>
      </c>
      <c r="O4549" t="str">
        <f>_xlfn.XLOOKUP(Pipeline_tbl[[#This Row],[Rep_ID]],Dim_Reps!A:A,Dim_Reps!B:B)</f>
        <v>Casey Muller</v>
      </c>
      <c r="P4549" t="str">
        <f>_xlfn.XLOOKUP(Pipeline_tbl[[#This Row],[Rep_ID]],Dim_Reps!A:A,Dim_Reps!C:C)</f>
        <v>SDR / Inside Sales Rep</v>
      </c>
      <c r="Q4549" t="str">
        <f>_xlfn.XLOOKUP(Pipeline_tbl[[#This Row],[Rep_ID]],Dim_Reps!A:A,Dim_Reps!D:D)</f>
        <v>Inside Sales</v>
      </c>
      <c r="R4549" t="str">
        <f>_xlfn.XLOOKUP(Pipeline_tbl[[#This Row],[Rep_ID]],Dim_Reps!A:A,Dim_Reps!E:E)</f>
        <v>LATAM</v>
      </c>
      <c r="S4549" t="str">
        <f>_xlfn.XLOOKUP(Pipeline_tbl[[#This Row],[Created_Date]],Dim_Date!A:A,Dim_Date!H:H)</f>
        <v>Jan 2024</v>
      </c>
      <c r="T4549" t="str">
        <f>IF(Pipeline_tbl[[#This Row],[Closed_Date]]=0,"",(_xlfn.XLOOKUP(Pipeline_tbl[[#This Row],[Closed_Date]],Dim_Date!A:A,Dim_Date!H:H)))</f>
        <v>Jan 2024</v>
      </c>
      <c r="U4549">
        <f>IF(Pipeline_tbl[[#This Row],[Closed_Date]]=0,"",Pipeline_tbl[[#This Row],[Closed_Date]]-Pipeline_tbl[[#This Row],[Created_Date]])</f>
        <v>6</v>
      </c>
    </row>
    <row r="4550" spans="1:21" ht="15" customHeight="1" x14ac:dyDescent="0.2">
      <c r="A4550" t="s">
        <v>4856</v>
      </c>
      <c r="B4550" t="s">
        <v>221</v>
      </c>
      <c r="C4550" t="s">
        <v>52</v>
      </c>
      <c r="D4550" s="49">
        <v>45303</v>
      </c>
      <c r="E4550" s="49">
        <v>45305</v>
      </c>
      <c r="F4550" s="49">
        <v>45309</v>
      </c>
      <c r="G4550" s="49">
        <v>45314</v>
      </c>
      <c r="H4550" s="49">
        <v>45319</v>
      </c>
      <c r="I4550" s="49">
        <v>45322</v>
      </c>
      <c r="J4550" t="s">
        <v>47</v>
      </c>
      <c r="K4550" s="33">
        <v>1700</v>
      </c>
      <c r="M4550" t="str">
        <f>_xlfn.XLOOKUP(Pipeline_tbl[[#This Row],[Rep_ID]],Dim_Reps!A:A,Dim_Reps!K:K)</f>
        <v>MXN</v>
      </c>
      <c r="N4550" s="33">
        <f>(_xlfn.XLOOKUP(Pipeline_tbl[[#This Row],[Rate_Code_Generalized]],Lookups!A:A,Lookups!B:B))*Pipeline_tbl[[#This Row],[Pipeline_Amount_USD]]</f>
        <v>33545.590000000004</v>
      </c>
      <c r="O4550" t="str">
        <f>_xlfn.XLOOKUP(Pipeline_tbl[[#This Row],[Rep_ID]],Dim_Reps!A:A,Dim_Reps!B:B)</f>
        <v>Casey Muller</v>
      </c>
      <c r="P4550" t="str">
        <f>_xlfn.XLOOKUP(Pipeline_tbl[[#This Row],[Rep_ID]],Dim_Reps!A:A,Dim_Reps!C:C)</f>
        <v>SDR / Inside Sales Rep</v>
      </c>
      <c r="Q4550" t="str">
        <f>_xlfn.XLOOKUP(Pipeline_tbl[[#This Row],[Rep_ID]],Dim_Reps!A:A,Dim_Reps!D:D)</f>
        <v>Inside Sales</v>
      </c>
      <c r="R4550" t="str">
        <f>_xlfn.XLOOKUP(Pipeline_tbl[[#This Row],[Rep_ID]],Dim_Reps!A:A,Dim_Reps!E:E)</f>
        <v>LATAM</v>
      </c>
      <c r="S4550" t="str">
        <f>_xlfn.XLOOKUP(Pipeline_tbl[[#This Row],[Created_Date]],Dim_Date!A:A,Dim_Date!H:H)</f>
        <v>Jan 2024</v>
      </c>
      <c r="T4550" t="str">
        <f>IF(Pipeline_tbl[[#This Row],[Closed_Date]]=0,"",(_xlfn.XLOOKUP(Pipeline_tbl[[#This Row],[Closed_Date]],Dim_Date!A:A,Dim_Date!H:H)))</f>
        <v>Jan 2024</v>
      </c>
      <c r="U4550">
        <f>IF(Pipeline_tbl[[#This Row],[Closed_Date]]=0,"",Pipeline_tbl[[#This Row],[Closed_Date]]-Pipeline_tbl[[#This Row],[Created_Date]])</f>
        <v>19</v>
      </c>
    </row>
    <row r="4551" spans="1:21" ht="15" customHeight="1" x14ac:dyDescent="0.2">
      <c r="A4551" t="s">
        <v>4857</v>
      </c>
      <c r="B4551" t="s">
        <v>221</v>
      </c>
      <c r="C4551" t="s">
        <v>52</v>
      </c>
      <c r="D4551" s="49">
        <v>45305</v>
      </c>
      <c r="E4551" s="49">
        <v>45306</v>
      </c>
      <c r="F4551" s="49">
        <v>45307</v>
      </c>
      <c r="I4551" s="49">
        <v>45313</v>
      </c>
      <c r="J4551" t="s">
        <v>49</v>
      </c>
      <c r="K4551" s="33">
        <v>3600</v>
      </c>
      <c r="L4551" t="s">
        <v>60</v>
      </c>
      <c r="M4551" t="str">
        <f>_xlfn.XLOOKUP(Pipeline_tbl[[#This Row],[Rep_ID]],Dim_Reps!A:A,Dim_Reps!K:K)</f>
        <v>MXN</v>
      </c>
      <c r="N4551" s="33">
        <f>(_xlfn.XLOOKUP(Pipeline_tbl[[#This Row],[Rate_Code_Generalized]],Lookups!A:A,Lookups!B:B))*Pipeline_tbl[[#This Row],[Pipeline_Amount_USD]]</f>
        <v>71037.72</v>
      </c>
      <c r="O4551" t="str">
        <f>_xlfn.XLOOKUP(Pipeline_tbl[[#This Row],[Rep_ID]],Dim_Reps!A:A,Dim_Reps!B:B)</f>
        <v>Casey Muller</v>
      </c>
      <c r="P4551" t="str">
        <f>_xlfn.XLOOKUP(Pipeline_tbl[[#This Row],[Rep_ID]],Dim_Reps!A:A,Dim_Reps!C:C)</f>
        <v>SDR / Inside Sales Rep</v>
      </c>
      <c r="Q4551" t="str">
        <f>_xlfn.XLOOKUP(Pipeline_tbl[[#This Row],[Rep_ID]],Dim_Reps!A:A,Dim_Reps!D:D)</f>
        <v>Inside Sales</v>
      </c>
      <c r="R4551" t="str">
        <f>_xlfn.XLOOKUP(Pipeline_tbl[[#This Row],[Rep_ID]],Dim_Reps!A:A,Dim_Reps!E:E)</f>
        <v>LATAM</v>
      </c>
      <c r="S4551" t="str">
        <f>_xlfn.XLOOKUP(Pipeline_tbl[[#This Row],[Created_Date]],Dim_Date!A:A,Dim_Date!H:H)</f>
        <v>Jan 2024</v>
      </c>
      <c r="T4551" t="str">
        <f>IF(Pipeline_tbl[[#This Row],[Closed_Date]]=0,"",(_xlfn.XLOOKUP(Pipeline_tbl[[#This Row],[Closed_Date]],Dim_Date!A:A,Dim_Date!H:H)))</f>
        <v>Jan 2024</v>
      </c>
      <c r="U4551">
        <f>IF(Pipeline_tbl[[#This Row],[Closed_Date]]=0,"",Pipeline_tbl[[#This Row],[Closed_Date]]-Pipeline_tbl[[#This Row],[Created_Date]])</f>
        <v>8</v>
      </c>
    </row>
    <row r="4552" spans="1:21" ht="15" customHeight="1" x14ac:dyDescent="0.2">
      <c r="A4552" t="s">
        <v>4858</v>
      </c>
      <c r="B4552" t="s">
        <v>225</v>
      </c>
      <c r="C4552" t="s">
        <v>52</v>
      </c>
      <c r="D4552" s="49">
        <v>45298</v>
      </c>
      <c r="E4552" s="49">
        <v>45299</v>
      </c>
      <c r="F4552" s="49">
        <v>45302</v>
      </c>
      <c r="G4552" s="49">
        <v>45306</v>
      </c>
      <c r="I4552" s="49">
        <v>45311</v>
      </c>
      <c r="J4552" t="s">
        <v>49</v>
      </c>
      <c r="K4552" s="33">
        <v>4800</v>
      </c>
      <c r="L4552" t="s">
        <v>62</v>
      </c>
      <c r="M4552" t="str">
        <f>_xlfn.XLOOKUP(Pipeline_tbl[[#This Row],[Rep_ID]],Dim_Reps!A:A,Dim_Reps!K:K)</f>
        <v>USD</v>
      </c>
      <c r="N4552" s="33">
        <f>(_xlfn.XLOOKUP(Pipeline_tbl[[#This Row],[Rate_Code_Generalized]],Lookups!A:A,Lookups!B:B))*Pipeline_tbl[[#This Row],[Pipeline_Amount_USD]]</f>
        <v>5588.6399999999994</v>
      </c>
      <c r="O4552" t="str">
        <f>_xlfn.XLOOKUP(Pipeline_tbl[[#This Row],[Rep_ID]],Dim_Reps!A:A,Dim_Reps!B:B)</f>
        <v>Alex Muller</v>
      </c>
      <c r="P4552" t="str">
        <f>_xlfn.XLOOKUP(Pipeline_tbl[[#This Row],[Rep_ID]],Dim_Reps!A:A,Dim_Reps!C:C)</f>
        <v>SDR / Inside Sales Rep</v>
      </c>
      <c r="Q4552" t="str">
        <f>_xlfn.XLOOKUP(Pipeline_tbl[[#This Row],[Rep_ID]],Dim_Reps!A:A,Dim_Reps!D:D)</f>
        <v>Inside Sales</v>
      </c>
      <c r="R4552" t="str">
        <f>_xlfn.XLOOKUP(Pipeline_tbl[[#This Row],[Rep_ID]],Dim_Reps!A:A,Dim_Reps!E:E)</f>
        <v>NAMER</v>
      </c>
      <c r="S4552" t="str">
        <f>_xlfn.XLOOKUP(Pipeline_tbl[[#This Row],[Created_Date]],Dim_Date!A:A,Dim_Date!H:H)</f>
        <v>Jan 2024</v>
      </c>
      <c r="T4552" t="str">
        <f>IF(Pipeline_tbl[[#This Row],[Closed_Date]]=0,"",(_xlfn.XLOOKUP(Pipeline_tbl[[#This Row],[Closed_Date]],Dim_Date!A:A,Dim_Date!H:H)))</f>
        <v>Jan 2024</v>
      </c>
      <c r="U4552">
        <f>IF(Pipeline_tbl[[#This Row],[Closed_Date]]=0,"",Pipeline_tbl[[#This Row],[Closed_Date]]-Pipeline_tbl[[#This Row],[Created_Date]])</f>
        <v>13</v>
      </c>
    </row>
    <row r="4553" spans="1:21" ht="15" customHeight="1" x14ac:dyDescent="0.2">
      <c r="A4553" t="s">
        <v>4859</v>
      </c>
      <c r="B4553" t="s">
        <v>225</v>
      </c>
      <c r="C4553" t="s">
        <v>53</v>
      </c>
      <c r="D4553" s="49">
        <v>45296</v>
      </c>
      <c r="E4553" s="49">
        <v>45299</v>
      </c>
      <c r="F4553" s="49">
        <v>45304</v>
      </c>
      <c r="G4553" s="49">
        <v>45312</v>
      </c>
      <c r="H4553" s="49">
        <v>45318</v>
      </c>
      <c r="I4553" s="49">
        <v>45322</v>
      </c>
      <c r="J4553" t="s">
        <v>47</v>
      </c>
      <c r="K4553" s="33">
        <v>3900</v>
      </c>
      <c r="M4553" t="str">
        <f>_xlfn.XLOOKUP(Pipeline_tbl[[#This Row],[Rep_ID]],Dim_Reps!A:A,Dim_Reps!K:K)</f>
        <v>USD</v>
      </c>
      <c r="N4553" s="33">
        <f>(_xlfn.XLOOKUP(Pipeline_tbl[[#This Row],[Rate_Code_Generalized]],Lookups!A:A,Lookups!B:B))*Pipeline_tbl[[#This Row],[Pipeline_Amount_USD]]</f>
        <v>4540.7699999999995</v>
      </c>
      <c r="O4553" t="str">
        <f>_xlfn.XLOOKUP(Pipeline_tbl[[#This Row],[Rep_ID]],Dim_Reps!A:A,Dim_Reps!B:B)</f>
        <v>Alex Muller</v>
      </c>
      <c r="P4553" t="str">
        <f>_xlfn.XLOOKUP(Pipeline_tbl[[#This Row],[Rep_ID]],Dim_Reps!A:A,Dim_Reps!C:C)</f>
        <v>SDR / Inside Sales Rep</v>
      </c>
      <c r="Q4553" t="str">
        <f>_xlfn.XLOOKUP(Pipeline_tbl[[#This Row],[Rep_ID]],Dim_Reps!A:A,Dim_Reps!D:D)</f>
        <v>Inside Sales</v>
      </c>
      <c r="R4553" t="str">
        <f>_xlfn.XLOOKUP(Pipeline_tbl[[#This Row],[Rep_ID]],Dim_Reps!A:A,Dim_Reps!E:E)</f>
        <v>NAMER</v>
      </c>
      <c r="S4553" t="str">
        <f>_xlfn.XLOOKUP(Pipeline_tbl[[#This Row],[Created_Date]],Dim_Date!A:A,Dim_Date!H:H)</f>
        <v>Jan 2024</v>
      </c>
      <c r="T4553" t="str">
        <f>IF(Pipeline_tbl[[#This Row],[Closed_Date]]=0,"",(_xlfn.XLOOKUP(Pipeline_tbl[[#This Row],[Closed_Date]],Dim_Date!A:A,Dim_Date!H:H)))</f>
        <v>Jan 2024</v>
      </c>
      <c r="U4553">
        <f>IF(Pipeline_tbl[[#This Row],[Closed_Date]]=0,"",Pipeline_tbl[[#This Row],[Closed_Date]]-Pipeline_tbl[[#This Row],[Created_Date]])</f>
        <v>26</v>
      </c>
    </row>
    <row r="4554" spans="1:21" ht="15" customHeight="1" x14ac:dyDescent="0.2">
      <c r="A4554" t="s">
        <v>4860</v>
      </c>
      <c r="B4554" t="s">
        <v>225</v>
      </c>
      <c r="C4554" t="s">
        <v>54</v>
      </c>
      <c r="D4554" s="49">
        <v>45304</v>
      </c>
      <c r="E4554" s="49">
        <v>45305</v>
      </c>
      <c r="F4554" s="49">
        <v>45308</v>
      </c>
      <c r="G4554" s="49">
        <v>45312</v>
      </c>
      <c r="H4554" s="49">
        <v>45315</v>
      </c>
      <c r="I4554" s="49">
        <v>45317</v>
      </c>
      <c r="J4554" t="s">
        <v>49</v>
      </c>
      <c r="K4554" s="33">
        <v>4200</v>
      </c>
      <c r="L4554" t="s">
        <v>61</v>
      </c>
      <c r="M4554" t="str">
        <f>_xlfn.XLOOKUP(Pipeline_tbl[[#This Row],[Rep_ID]],Dim_Reps!A:A,Dim_Reps!K:K)</f>
        <v>USD</v>
      </c>
      <c r="N4554" s="33">
        <f>(_xlfn.XLOOKUP(Pipeline_tbl[[#This Row],[Rate_Code_Generalized]],Lookups!A:A,Lookups!B:B))*Pipeline_tbl[[#This Row],[Pipeline_Amount_USD]]</f>
        <v>4890.0599999999995</v>
      </c>
      <c r="O4554" t="str">
        <f>_xlfn.XLOOKUP(Pipeline_tbl[[#This Row],[Rep_ID]],Dim_Reps!A:A,Dim_Reps!B:B)</f>
        <v>Alex Muller</v>
      </c>
      <c r="P4554" t="str">
        <f>_xlfn.XLOOKUP(Pipeline_tbl[[#This Row],[Rep_ID]],Dim_Reps!A:A,Dim_Reps!C:C)</f>
        <v>SDR / Inside Sales Rep</v>
      </c>
      <c r="Q4554" t="str">
        <f>_xlfn.XLOOKUP(Pipeline_tbl[[#This Row],[Rep_ID]],Dim_Reps!A:A,Dim_Reps!D:D)</f>
        <v>Inside Sales</v>
      </c>
      <c r="R4554" t="str">
        <f>_xlfn.XLOOKUP(Pipeline_tbl[[#This Row],[Rep_ID]],Dim_Reps!A:A,Dim_Reps!E:E)</f>
        <v>NAMER</v>
      </c>
      <c r="S4554" t="str">
        <f>_xlfn.XLOOKUP(Pipeline_tbl[[#This Row],[Created_Date]],Dim_Date!A:A,Dim_Date!H:H)</f>
        <v>Jan 2024</v>
      </c>
      <c r="T4554" t="str">
        <f>IF(Pipeline_tbl[[#This Row],[Closed_Date]]=0,"",(_xlfn.XLOOKUP(Pipeline_tbl[[#This Row],[Closed_Date]],Dim_Date!A:A,Dim_Date!H:H)))</f>
        <v>Jan 2024</v>
      </c>
      <c r="U4554">
        <f>IF(Pipeline_tbl[[#This Row],[Closed_Date]]=0,"",Pipeline_tbl[[#This Row],[Closed_Date]]-Pipeline_tbl[[#This Row],[Created_Date]])</f>
        <v>13</v>
      </c>
    </row>
    <row r="4555" spans="1:21" ht="15" customHeight="1" x14ac:dyDescent="0.2">
      <c r="A4555" t="s">
        <v>4861</v>
      </c>
      <c r="B4555" t="s">
        <v>225</v>
      </c>
      <c r="C4555" t="s">
        <v>55</v>
      </c>
      <c r="D4555" s="49">
        <v>45294</v>
      </c>
      <c r="E4555" s="49">
        <v>45296</v>
      </c>
      <c r="F4555" s="49">
        <v>45299</v>
      </c>
      <c r="G4555" s="49">
        <v>45304</v>
      </c>
      <c r="I4555" s="49">
        <v>45310</v>
      </c>
      <c r="J4555" t="s">
        <v>49</v>
      </c>
      <c r="K4555" s="33">
        <v>4300</v>
      </c>
      <c r="L4555" t="s">
        <v>61</v>
      </c>
      <c r="M4555" t="str">
        <f>_xlfn.XLOOKUP(Pipeline_tbl[[#This Row],[Rep_ID]],Dim_Reps!A:A,Dim_Reps!K:K)</f>
        <v>USD</v>
      </c>
      <c r="N4555" s="33">
        <f>(_xlfn.XLOOKUP(Pipeline_tbl[[#This Row],[Rate_Code_Generalized]],Lookups!A:A,Lookups!B:B))*Pipeline_tbl[[#This Row],[Pipeline_Amount_USD]]</f>
        <v>5006.49</v>
      </c>
      <c r="O4555" t="str">
        <f>_xlfn.XLOOKUP(Pipeline_tbl[[#This Row],[Rep_ID]],Dim_Reps!A:A,Dim_Reps!B:B)</f>
        <v>Alex Muller</v>
      </c>
      <c r="P4555" t="str">
        <f>_xlfn.XLOOKUP(Pipeline_tbl[[#This Row],[Rep_ID]],Dim_Reps!A:A,Dim_Reps!C:C)</f>
        <v>SDR / Inside Sales Rep</v>
      </c>
      <c r="Q4555" t="str">
        <f>_xlfn.XLOOKUP(Pipeline_tbl[[#This Row],[Rep_ID]],Dim_Reps!A:A,Dim_Reps!D:D)</f>
        <v>Inside Sales</v>
      </c>
      <c r="R4555" t="str">
        <f>_xlfn.XLOOKUP(Pipeline_tbl[[#This Row],[Rep_ID]],Dim_Reps!A:A,Dim_Reps!E:E)</f>
        <v>NAMER</v>
      </c>
      <c r="S4555" t="str">
        <f>_xlfn.XLOOKUP(Pipeline_tbl[[#This Row],[Created_Date]],Dim_Date!A:A,Dim_Date!H:H)</f>
        <v>Jan 2024</v>
      </c>
      <c r="T4555" t="str">
        <f>IF(Pipeline_tbl[[#This Row],[Closed_Date]]=0,"",(_xlfn.XLOOKUP(Pipeline_tbl[[#This Row],[Closed_Date]],Dim_Date!A:A,Dim_Date!H:H)))</f>
        <v>Jan 2024</v>
      </c>
      <c r="U4555">
        <f>IF(Pipeline_tbl[[#This Row],[Closed_Date]]=0,"",Pipeline_tbl[[#This Row],[Closed_Date]]-Pipeline_tbl[[#This Row],[Created_Date]])</f>
        <v>16</v>
      </c>
    </row>
    <row r="4556" spans="1:21" ht="15" customHeight="1" x14ac:dyDescent="0.2">
      <c r="A4556" t="s">
        <v>4862</v>
      </c>
      <c r="B4556" t="s">
        <v>225</v>
      </c>
      <c r="C4556" t="s">
        <v>52</v>
      </c>
      <c r="D4556" s="49">
        <v>45301</v>
      </c>
      <c r="E4556" s="49">
        <v>45302</v>
      </c>
      <c r="F4556" s="49">
        <v>45305</v>
      </c>
      <c r="G4556" s="49">
        <v>45309</v>
      </c>
      <c r="H4556" s="49">
        <v>45313</v>
      </c>
      <c r="I4556" s="49">
        <v>45315</v>
      </c>
      <c r="J4556" t="s">
        <v>47</v>
      </c>
      <c r="K4556" s="33">
        <v>4800</v>
      </c>
      <c r="M4556" t="str">
        <f>_xlfn.XLOOKUP(Pipeline_tbl[[#This Row],[Rep_ID]],Dim_Reps!A:A,Dim_Reps!K:K)</f>
        <v>USD</v>
      </c>
      <c r="N4556" s="33">
        <f>(_xlfn.XLOOKUP(Pipeline_tbl[[#This Row],[Rate_Code_Generalized]],Lookups!A:A,Lookups!B:B))*Pipeline_tbl[[#This Row],[Pipeline_Amount_USD]]</f>
        <v>5588.6399999999994</v>
      </c>
      <c r="O4556" t="str">
        <f>_xlfn.XLOOKUP(Pipeline_tbl[[#This Row],[Rep_ID]],Dim_Reps!A:A,Dim_Reps!B:B)</f>
        <v>Alex Muller</v>
      </c>
      <c r="P4556" t="str">
        <f>_xlfn.XLOOKUP(Pipeline_tbl[[#This Row],[Rep_ID]],Dim_Reps!A:A,Dim_Reps!C:C)</f>
        <v>SDR / Inside Sales Rep</v>
      </c>
      <c r="Q4556" t="str">
        <f>_xlfn.XLOOKUP(Pipeline_tbl[[#This Row],[Rep_ID]],Dim_Reps!A:A,Dim_Reps!D:D)</f>
        <v>Inside Sales</v>
      </c>
      <c r="R4556" t="str">
        <f>_xlfn.XLOOKUP(Pipeline_tbl[[#This Row],[Rep_ID]],Dim_Reps!A:A,Dim_Reps!E:E)</f>
        <v>NAMER</v>
      </c>
      <c r="S4556" t="str">
        <f>_xlfn.XLOOKUP(Pipeline_tbl[[#This Row],[Created_Date]],Dim_Date!A:A,Dim_Date!H:H)</f>
        <v>Jan 2024</v>
      </c>
      <c r="T4556" t="str">
        <f>IF(Pipeline_tbl[[#This Row],[Closed_Date]]=0,"",(_xlfn.XLOOKUP(Pipeline_tbl[[#This Row],[Closed_Date]],Dim_Date!A:A,Dim_Date!H:H)))</f>
        <v>Jan 2024</v>
      </c>
      <c r="U4556">
        <f>IF(Pipeline_tbl[[#This Row],[Closed_Date]]=0,"",Pipeline_tbl[[#This Row],[Closed_Date]]-Pipeline_tbl[[#This Row],[Created_Date]])</f>
        <v>14</v>
      </c>
    </row>
    <row r="4557" spans="1:21" ht="15" customHeight="1" x14ac:dyDescent="0.2">
      <c r="A4557" t="s">
        <v>4863</v>
      </c>
      <c r="B4557" t="s">
        <v>225</v>
      </c>
      <c r="C4557" t="s">
        <v>53</v>
      </c>
      <c r="D4557" s="49">
        <v>45297</v>
      </c>
      <c r="E4557" s="49">
        <v>45299</v>
      </c>
      <c r="F4557" s="49">
        <v>45303</v>
      </c>
      <c r="G4557" s="49">
        <v>45308</v>
      </c>
      <c r="H4557" s="49">
        <v>45313</v>
      </c>
      <c r="I4557" s="49">
        <v>45316</v>
      </c>
      <c r="J4557" t="s">
        <v>49</v>
      </c>
      <c r="K4557" s="33">
        <v>2400</v>
      </c>
      <c r="L4557" t="s">
        <v>61</v>
      </c>
      <c r="M4557" t="str">
        <f>_xlfn.XLOOKUP(Pipeline_tbl[[#This Row],[Rep_ID]],Dim_Reps!A:A,Dim_Reps!K:K)</f>
        <v>USD</v>
      </c>
      <c r="N4557" s="33">
        <f>(_xlfn.XLOOKUP(Pipeline_tbl[[#This Row],[Rate_Code_Generalized]],Lookups!A:A,Lookups!B:B))*Pipeline_tbl[[#This Row],[Pipeline_Amount_USD]]</f>
        <v>2794.3199999999997</v>
      </c>
      <c r="O4557" t="str">
        <f>_xlfn.XLOOKUP(Pipeline_tbl[[#This Row],[Rep_ID]],Dim_Reps!A:A,Dim_Reps!B:B)</f>
        <v>Alex Muller</v>
      </c>
      <c r="P4557" t="str">
        <f>_xlfn.XLOOKUP(Pipeline_tbl[[#This Row],[Rep_ID]],Dim_Reps!A:A,Dim_Reps!C:C)</f>
        <v>SDR / Inside Sales Rep</v>
      </c>
      <c r="Q4557" t="str">
        <f>_xlfn.XLOOKUP(Pipeline_tbl[[#This Row],[Rep_ID]],Dim_Reps!A:A,Dim_Reps!D:D)</f>
        <v>Inside Sales</v>
      </c>
      <c r="R4557" t="str">
        <f>_xlfn.XLOOKUP(Pipeline_tbl[[#This Row],[Rep_ID]],Dim_Reps!A:A,Dim_Reps!E:E)</f>
        <v>NAMER</v>
      </c>
      <c r="S4557" t="str">
        <f>_xlfn.XLOOKUP(Pipeline_tbl[[#This Row],[Created_Date]],Dim_Date!A:A,Dim_Date!H:H)</f>
        <v>Jan 2024</v>
      </c>
      <c r="T4557" t="str">
        <f>IF(Pipeline_tbl[[#This Row],[Closed_Date]]=0,"",(_xlfn.XLOOKUP(Pipeline_tbl[[#This Row],[Closed_Date]],Dim_Date!A:A,Dim_Date!H:H)))</f>
        <v>Jan 2024</v>
      </c>
      <c r="U4557">
        <f>IF(Pipeline_tbl[[#This Row],[Closed_Date]]=0,"",Pipeline_tbl[[#This Row],[Closed_Date]]-Pipeline_tbl[[#This Row],[Created_Date]])</f>
        <v>19</v>
      </c>
    </row>
    <row r="4558" spans="1:21" ht="15" customHeight="1" x14ac:dyDescent="0.2">
      <c r="A4558" t="s">
        <v>4864</v>
      </c>
      <c r="B4558" t="s">
        <v>225</v>
      </c>
      <c r="C4558" t="s">
        <v>52</v>
      </c>
      <c r="D4558" s="49">
        <v>45310</v>
      </c>
      <c r="E4558" s="49">
        <v>45311</v>
      </c>
      <c r="F4558" s="49">
        <v>45312</v>
      </c>
      <c r="G4558" s="49">
        <v>45315</v>
      </c>
      <c r="H4558" s="49">
        <v>45317</v>
      </c>
      <c r="I4558" s="49">
        <v>45318</v>
      </c>
      <c r="J4558" t="s">
        <v>49</v>
      </c>
      <c r="K4558" s="33">
        <v>4500</v>
      </c>
      <c r="L4558" t="s">
        <v>60</v>
      </c>
      <c r="M4558" t="str">
        <f>_xlfn.XLOOKUP(Pipeline_tbl[[#This Row],[Rep_ID]],Dim_Reps!A:A,Dim_Reps!K:K)</f>
        <v>USD</v>
      </c>
      <c r="N4558" s="33">
        <f>(_xlfn.XLOOKUP(Pipeline_tbl[[#This Row],[Rate_Code_Generalized]],Lookups!A:A,Lookups!B:B))*Pipeline_tbl[[#This Row],[Pipeline_Amount_USD]]</f>
        <v>5239.3499999999995</v>
      </c>
      <c r="O4558" t="str">
        <f>_xlfn.XLOOKUP(Pipeline_tbl[[#This Row],[Rep_ID]],Dim_Reps!A:A,Dim_Reps!B:B)</f>
        <v>Alex Muller</v>
      </c>
      <c r="P4558" t="str">
        <f>_xlfn.XLOOKUP(Pipeline_tbl[[#This Row],[Rep_ID]],Dim_Reps!A:A,Dim_Reps!C:C)</f>
        <v>SDR / Inside Sales Rep</v>
      </c>
      <c r="Q4558" t="str">
        <f>_xlfn.XLOOKUP(Pipeline_tbl[[#This Row],[Rep_ID]],Dim_Reps!A:A,Dim_Reps!D:D)</f>
        <v>Inside Sales</v>
      </c>
      <c r="R4558" t="str">
        <f>_xlfn.XLOOKUP(Pipeline_tbl[[#This Row],[Rep_ID]],Dim_Reps!A:A,Dim_Reps!E:E)</f>
        <v>NAMER</v>
      </c>
      <c r="S4558" t="str">
        <f>_xlfn.XLOOKUP(Pipeline_tbl[[#This Row],[Created_Date]],Dim_Date!A:A,Dim_Date!H:H)</f>
        <v>Jan 2024</v>
      </c>
      <c r="T4558" t="str">
        <f>IF(Pipeline_tbl[[#This Row],[Closed_Date]]=0,"",(_xlfn.XLOOKUP(Pipeline_tbl[[#This Row],[Closed_Date]],Dim_Date!A:A,Dim_Date!H:H)))</f>
        <v>Jan 2024</v>
      </c>
      <c r="U4558">
        <f>IF(Pipeline_tbl[[#This Row],[Closed_Date]]=0,"",Pipeline_tbl[[#This Row],[Closed_Date]]-Pipeline_tbl[[#This Row],[Created_Date]])</f>
        <v>8</v>
      </c>
    </row>
    <row r="4559" spans="1:21" ht="15" customHeight="1" x14ac:dyDescent="0.2">
      <c r="A4559" t="s">
        <v>4865</v>
      </c>
      <c r="B4559" t="s">
        <v>227</v>
      </c>
      <c r="C4559" t="s">
        <v>52</v>
      </c>
      <c r="D4559" s="49">
        <v>45294</v>
      </c>
      <c r="E4559" s="49">
        <v>45296</v>
      </c>
      <c r="F4559" s="49">
        <v>45299</v>
      </c>
      <c r="G4559" s="49">
        <v>45304</v>
      </c>
      <c r="H4559" s="49">
        <v>45308</v>
      </c>
      <c r="I4559" s="49">
        <v>45310</v>
      </c>
      <c r="J4559" t="s">
        <v>49</v>
      </c>
      <c r="K4559" s="33">
        <v>5500</v>
      </c>
      <c r="L4559" t="s">
        <v>61</v>
      </c>
      <c r="M4559" t="str">
        <f>_xlfn.XLOOKUP(Pipeline_tbl[[#This Row],[Rep_ID]],Dim_Reps!A:A,Dim_Reps!K:K)</f>
        <v>EUR</v>
      </c>
      <c r="N4559" s="33">
        <f>(_xlfn.XLOOKUP(Pipeline_tbl[[#This Row],[Rate_Code_Generalized]],Lookups!A:A,Lookups!B:B))*Pipeline_tbl[[#This Row],[Pipeline_Amount_USD]]</f>
        <v>5500</v>
      </c>
      <c r="O4559" t="str">
        <f>_xlfn.XLOOKUP(Pipeline_tbl[[#This Row],[Rep_ID]],Dim_Reps!A:A,Dim_Reps!B:B)</f>
        <v>Liam Muller</v>
      </c>
      <c r="P4559" t="str">
        <f>_xlfn.XLOOKUP(Pipeline_tbl[[#This Row],[Rep_ID]],Dim_Reps!A:A,Dim_Reps!C:C)</f>
        <v>SDR / Inside Sales Rep</v>
      </c>
      <c r="Q4559" t="str">
        <f>_xlfn.XLOOKUP(Pipeline_tbl[[#This Row],[Rep_ID]],Dim_Reps!A:A,Dim_Reps!D:D)</f>
        <v>Inside Sales</v>
      </c>
      <c r="R4559" t="str">
        <f>_xlfn.XLOOKUP(Pipeline_tbl[[#This Row],[Rep_ID]],Dim_Reps!A:A,Dim_Reps!E:E)</f>
        <v>EMEA</v>
      </c>
      <c r="S4559" t="str">
        <f>_xlfn.XLOOKUP(Pipeline_tbl[[#This Row],[Created_Date]],Dim_Date!A:A,Dim_Date!H:H)</f>
        <v>Jan 2024</v>
      </c>
      <c r="T4559" t="str">
        <f>IF(Pipeline_tbl[[#This Row],[Closed_Date]]=0,"",(_xlfn.XLOOKUP(Pipeline_tbl[[#This Row],[Closed_Date]],Dim_Date!A:A,Dim_Date!H:H)))</f>
        <v>Jan 2024</v>
      </c>
      <c r="U4559">
        <f>IF(Pipeline_tbl[[#This Row],[Closed_Date]]=0,"",Pipeline_tbl[[#This Row],[Closed_Date]]-Pipeline_tbl[[#This Row],[Created_Date]])</f>
        <v>16</v>
      </c>
    </row>
    <row r="4560" spans="1:21" ht="15" customHeight="1" x14ac:dyDescent="0.2">
      <c r="A4560" t="s">
        <v>4866</v>
      </c>
      <c r="B4560" t="s">
        <v>227</v>
      </c>
      <c r="C4560" t="s">
        <v>54</v>
      </c>
      <c r="D4560" s="49">
        <v>45295</v>
      </c>
      <c r="E4560" s="49">
        <v>45296</v>
      </c>
      <c r="F4560" s="49">
        <v>45298</v>
      </c>
      <c r="G4560" s="49">
        <v>45302</v>
      </c>
      <c r="H4560" s="49">
        <v>45304</v>
      </c>
      <c r="I4560" s="49">
        <v>45306</v>
      </c>
      <c r="J4560" t="s">
        <v>49</v>
      </c>
      <c r="K4560" s="33">
        <v>4700</v>
      </c>
      <c r="L4560" t="s">
        <v>61</v>
      </c>
      <c r="M4560" t="str">
        <f>_xlfn.XLOOKUP(Pipeline_tbl[[#This Row],[Rep_ID]],Dim_Reps!A:A,Dim_Reps!K:K)</f>
        <v>EUR</v>
      </c>
      <c r="N4560" s="33">
        <f>(_xlfn.XLOOKUP(Pipeline_tbl[[#This Row],[Rate_Code_Generalized]],Lookups!A:A,Lookups!B:B))*Pipeline_tbl[[#This Row],[Pipeline_Amount_USD]]</f>
        <v>4700</v>
      </c>
      <c r="O4560" t="str">
        <f>_xlfn.XLOOKUP(Pipeline_tbl[[#This Row],[Rep_ID]],Dim_Reps!A:A,Dim_Reps!B:B)</f>
        <v>Liam Muller</v>
      </c>
      <c r="P4560" t="str">
        <f>_xlfn.XLOOKUP(Pipeline_tbl[[#This Row],[Rep_ID]],Dim_Reps!A:A,Dim_Reps!C:C)</f>
        <v>SDR / Inside Sales Rep</v>
      </c>
      <c r="Q4560" t="str">
        <f>_xlfn.XLOOKUP(Pipeline_tbl[[#This Row],[Rep_ID]],Dim_Reps!A:A,Dim_Reps!D:D)</f>
        <v>Inside Sales</v>
      </c>
      <c r="R4560" t="str">
        <f>_xlfn.XLOOKUP(Pipeline_tbl[[#This Row],[Rep_ID]],Dim_Reps!A:A,Dim_Reps!E:E)</f>
        <v>EMEA</v>
      </c>
      <c r="S4560" t="str">
        <f>_xlfn.XLOOKUP(Pipeline_tbl[[#This Row],[Created_Date]],Dim_Date!A:A,Dim_Date!H:H)</f>
        <v>Jan 2024</v>
      </c>
      <c r="T4560" t="str">
        <f>IF(Pipeline_tbl[[#This Row],[Closed_Date]]=0,"",(_xlfn.XLOOKUP(Pipeline_tbl[[#This Row],[Closed_Date]],Dim_Date!A:A,Dim_Date!H:H)))</f>
        <v>Jan 2024</v>
      </c>
      <c r="U4560">
        <f>IF(Pipeline_tbl[[#This Row],[Closed_Date]]=0,"",Pipeline_tbl[[#This Row],[Closed_Date]]-Pipeline_tbl[[#This Row],[Created_Date]])</f>
        <v>11</v>
      </c>
    </row>
    <row r="4561" spans="1:21" ht="15" customHeight="1" x14ac:dyDescent="0.2">
      <c r="A4561" t="s">
        <v>4867</v>
      </c>
      <c r="B4561" t="s">
        <v>227</v>
      </c>
      <c r="C4561" t="s">
        <v>53</v>
      </c>
      <c r="D4561" s="49">
        <v>45299</v>
      </c>
      <c r="E4561" s="49">
        <v>45299</v>
      </c>
      <c r="F4561" s="49">
        <v>45301</v>
      </c>
      <c r="I4561" s="49">
        <v>45304</v>
      </c>
      <c r="J4561" t="s">
        <v>49</v>
      </c>
      <c r="K4561" s="33">
        <v>2200</v>
      </c>
      <c r="L4561" t="s">
        <v>61</v>
      </c>
      <c r="M4561" t="str">
        <f>_xlfn.XLOOKUP(Pipeline_tbl[[#This Row],[Rep_ID]],Dim_Reps!A:A,Dim_Reps!K:K)</f>
        <v>EUR</v>
      </c>
      <c r="N4561" s="33">
        <f>(_xlfn.XLOOKUP(Pipeline_tbl[[#This Row],[Rate_Code_Generalized]],Lookups!A:A,Lookups!B:B))*Pipeline_tbl[[#This Row],[Pipeline_Amount_USD]]</f>
        <v>2200</v>
      </c>
      <c r="O4561" t="str">
        <f>_xlfn.XLOOKUP(Pipeline_tbl[[#This Row],[Rep_ID]],Dim_Reps!A:A,Dim_Reps!B:B)</f>
        <v>Liam Muller</v>
      </c>
      <c r="P4561" t="str">
        <f>_xlfn.XLOOKUP(Pipeline_tbl[[#This Row],[Rep_ID]],Dim_Reps!A:A,Dim_Reps!C:C)</f>
        <v>SDR / Inside Sales Rep</v>
      </c>
      <c r="Q4561" t="str">
        <f>_xlfn.XLOOKUP(Pipeline_tbl[[#This Row],[Rep_ID]],Dim_Reps!A:A,Dim_Reps!D:D)</f>
        <v>Inside Sales</v>
      </c>
      <c r="R4561" t="str">
        <f>_xlfn.XLOOKUP(Pipeline_tbl[[#This Row],[Rep_ID]],Dim_Reps!A:A,Dim_Reps!E:E)</f>
        <v>EMEA</v>
      </c>
      <c r="S4561" t="str">
        <f>_xlfn.XLOOKUP(Pipeline_tbl[[#This Row],[Created_Date]],Dim_Date!A:A,Dim_Date!H:H)</f>
        <v>Jan 2024</v>
      </c>
      <c r="T4561" t="str">
        <f>IF(Pipeline_tbl[[#This Row],[Closed_Date]]=0,"",(_xlfn.XLOOKUP(Pipeline_tbl[[#This Row],[Closed_Date]],Dim_Date!A:A,Dim_Date!H:H)))</f>
        <v>Jan 2024</v>
      </c>
      <c r="U4561">
        <f>IF(Pipeline_tbl[[#This Row],[Closed_Date]]=0,"",Pipeline_tbl[[#This Row],[Closed_Date]]-Pipeline_tbl[[#This Row],[Created_Date]])</f>
        <v>5</v>
      </c>
    </row>
    <row r="4562" spans="1:21" ht="15" customHeight="1" x14ac:dyDescent="0.2">
      <c r="A4562" t="s">
        <v>4868</v>
      </c>
      <c r="B4562" t="s">
        <v>229</v>
      </c>
      <c r="C4562" t="s">
        <v>55</v>
      </c>
      <c r="D4562" s="49">
        <v>45292</v>
      </c>
      <c r="E4562" s="49">
        <v>45294</v>
      </c>
      <c r="F4562" s="49">
        <v>45299</v>
      </c>
      <c r="G4562" s="49">
        <v>45305</v>
      </c>
      <c r="I4562" s="49">
        <v>45314</v>
      </c>
      <c r="J4562" t="s">
        <v>49</v>
      </c>
      <c r="K4562" s="33">
        <v>4000</v>
      </c>
      <c r="L4562" t="s">
        <v>62</v>
      </c>
      <c r="M4562" t="str">
        <f>_xlfn.XLOOKUP(Pipeline_tbl[[#This Row],[Rep_ID]],Dim_Reps!A:A,Dim_Reps!K:K)</f>
        <v>USD</v>
      </c>
      <c r="N4562" s="33">
        <f>(_xlfn.XLOOKUP(Pipeline_tbl[[#This Row],[Rate_Code_Generalized]],Lookups!A:A,Lookups!B:B))*Pipeline_tbl[[#This Row],[Pipeline_Amount_USD]]</f>
        <v>4657.2</v>
      </c>
      <c r="O4562" t="str">
        <f>_xlfn.XLOOKUP(Pipeline_tbl[[#This Row],[Rep_ID]],Dim_Reps!A:A,Dim_Reps!B:B)</f>
        <v>Liam Castro</v>
      </c>
      <c r="P4562" t="str">
        <f>_xlfn.XLOOKUP(Pipeline_tbl[[#This Row],[Rep_ID]],Dim_Reps!A:A,Dim_Reps!C:C)</f>
        <v>SDR / Inside Sales Rep</v>
      </c>
      <c r="Q4562" t="str">
        <f>_xlfn.XLOOKUP(Pipeline_tbl[[#This Row],[Rep_ID]],Dim_Reps!A:A,Dim_Reps!D:D)</f>
        <v>Inside Sales</v>
      </c>
      <c r="R4562" t="str">
        <f>_xlfn.XLOOKUP(Pipeline_tbl[[#This Row],[Rep_ID]],Dim_Reps!A:A,Dim_Reps!E:E)</f>
        <v>NAMER</v>
      </c>
      <c r="S4562" t="str">
        <f>_xlfn.XLOOKUP(Pipeline_tbl[[#This Row],[Created_Date]],Dim_Date!A:A,Dim_Date!H:H)</f>
        <v>Jan 2024</v>
      </c>
      <c r="T4562" t="str">
        <f>IF(Pipeline_tbl[[#This Row],[Closed_Date]]=0,"",(_xlfn.XLOOKUP(Pipeline_tbl[[#This Row],[Closed_Date]],Dim_Date!A:A,Dim_Date!H:H)))</f>
        <v>Jan 2024</v>
      </c>
      <c r="U4562">
        <f>IF(Pipeline_tbl[[#This Row],[Closed_Date]]=0,"",Pipeline_tbl[[#This Row],[Closed_Date]]-Pipeline_tbl[[#This Row],[Created_Date]])</f>
        <v>22</v>
      </c>
    </row>
    <row r="4563" spans="1:21" ht="15" customHeight="1" x14ac:dyDescent="0.2">
      <c r="A4563" t="s">
        <v>4869</v>
      </c>
      <c r="B4563" t="s">
        <v>229</v>
      </c>
      <c r="C4563" t="s">
        <v>56</v>
      </c>
      <c r="D4563" s="49">
        <v>45292</v>
      </c>
      <c r="E4563" s="49">
        <v>45294</v>
      </c>
      <c r="F4563" s="49">
        <v>45297</v>
      </c>
      <c r="G4563" s="49">
        <v>45301</v>
      </c>
      <c r="H4563" s="49">
        <v>45305</v>
      </c>
      <c r="I4563" s="49">
        <v>45307</v>
      </c>
      <c r="J4563" t="s">
        <v>47</v>
      </c>
      <c r="K4563" s="33">
        <v>2500</v>
      </c>
      <c r="M4563" t="str">
        <f>_xlfn.XLOOKUP(Pipeline_tbl[[#This Row],[Rep_ID]],Dim_Reps!A:A,Dim_Reps!K:K)</f>
        <v>USD</v>
      </c>
      <c r="N4563" s="33">
        <f>(_xlfn.XLOOKUP(Pipeline_tbl[[#This Row],[Rate_Code_Generalized]],Lookups!A:A,Lookups!B:B))*Pipeline_tbl[[#This Row],[Pipeline_Amount_USD]]</f>
        <v>2910.7499999999995</v>
      </c>
      <c r="O4563" t="str">
        <f>_xlfn.XLOOKUP(Pipeline_tbl[[#This Row],[Rep_ID]],Dim_Reps!A:A,Dim_Reps!B:B)</f>
        <v>Liam Castro</v>
      </c>
      <c r="P4563" t="str">
        <f>_xlfn.XLOOKUP(Pipeline_tbl[[#This Row],[Rep_ID]],Dim_Reps!A:A,Dim_Reps!C:C)</f>
        <v>SDR / Inside Sales Rep</v>
      </c>
      <c r="Q4563" t="str">
        <f>_xlfn.XLOOKUP(Pipeline_tbl[[#This Row],[Rep_ID]],Dim_Reps!A:A,Dim_Reps!D:D)</f>
        <v>Inside Sales</v>
      </c>
      <c r="R4563" t="str">
        <f>_xlfn.XLOOKUP(Pipeline_tbl[[#This Row],[Rep_ID]],Dim_Reps!A:A,Dim_Reps!E:E)</f>
        <v>NAMER</v>
      </c>
      <c r="S4563" t="str">
        <f>_xlfn.XLOOKUP(Pipeline_tbl[[#This Row],[Created_Date]],Dim_Date!A:A,Dim_Date!H:H)</f>
        <v>Jan 2024</v>
      </c>
      <c r="T4563" t="str">
        <f>IF(Pipeline_tbl[[#This Row],[Closed_Date]]=0,"",(_xlfn.XLOOKUP(Pipeline_tbl[[#This Row],[Closed_Date]],Dim_Date!A:A,Dim_Date!H:H)))</f>
        <v>Jan 2024</v>
      </c>
      <c r="U4563">
        <f>IF(Pipeline_tbl[[#This Row],[Closed_Date]]=0,"",Pipeline_tbl[[#This Row],[Closed_Date]]-Pipeline_tbl[[#This Row],[Created_Date]])</f>
        <v>15</v>
      </c>
    </row>
    <row r="4564" spans="1:21" ht="15" customHeight="1" x14ac:dyDescent="0.2">
      <c r="A4564" t="s">
        <v>4870</v>
      </c>
      <c r="B4564" t="s">
        <v>229</v>
      </c>
      <c r="C4564" t="s">
        <v>52</v>
      </c>
      <c r="D4564" s="49">
        <v>45302</v>
      </c>
      <c r="E4564" s="49">
        <v>45304</v>
      </c>
      <c r="F4564" s="49">
        <v>45307</v>
      </c>
      <c r="G4564" s="49">
        <v>45312</v>
      </c>
      <c r="I4564" s="49">
        <v>45319</v>
      </c>
      <c r="J4564" t="s">
        <v>49</v>
      </c>
      <c r="K4564" s="33">
        <v>4700</v>
      </c>
      <c r="L4564" t="s">
        <v>62</v>
      </c>
      <c r="M4564" t="str">
        <f>_xlfn.XLOOKUP(Pipeline_tbl[[#This Row],[Rep_ID]],Dim_Reps!A:A,Dim_Reps!K:K)</f>
        <v>USD</v>
      </c>
      <c r="N4564" s="33">
        <f>(_xlfn.XLOOKUP(Pipeline_tbl[[#This Row],[Rate_Code_Generalized]],Lookups!A:A,Lookups!B:B))*Pipeline_tbl[[#This Row],[Pipeline_Amount_USD]]</f>
        <v>5472.2099999999991</v>
      </c>
      <c r="O4564" t="str">
        <f>_xlfn.XLOOKUP(Pipeline_tbl[[#This Row],[Rep_ID]],Dim_Reps!A:A,Dim_Reps!B:B)</f>
        <v>Liam Castro</v>
      </c>
      <c r="P4564" t="str">
        <f>_xlfn.XLOOKUP(Pipeline_tbl[[#This Row],[Rep_ID]],Dim_Reps!A:A,Dim_Reps!C:C)</f>
        <v>SDR / Inside Sales Rep</v>
      </c>
      <c r="Q4564" t="str">
        <f>_xlfn.XLOOKUP(Pipeline_tbl[[#This Row],[Rep_ID]],Dim_Reps!A:A,Dim_Reps!D:D)</f>
        <v>Inside Sales</v>
      </c>
      <c r="R4564" t="str">
        <f>_xlfn.XLOOKUP(Pipeline_tbl[[#This Row],[Rep_ID]],Dim_Reps!A:A,Dim_Reps!E:E)</f>
        <v>NAMER</v>
      </c>
      <c r="S4564" t="str">
        <f>_xlfn.XLOOKUP(Pipeline_tbl[[#This Row],[Created_Date]],Dim_Date!A:A,Dim_Date!H:H)</f>
        <v>Jan 2024</v>
      </c>
      <c r="T4564" t="str">
        <f>IF(Pipeline_tbl[[#This Row],[Closed_Date]]=0,"",(_xlfn.XLOOKUP(Pipeline_tbl[[#This Row],[Closed_Date]],Dim_Date!A:A,Dim_Date!H:H)))</f>
        <v>Jan 2024</v>
      </c>
      <c r="U4564">
        <f>IF(Pipeline_tbl[[#This Row],[Closed_Date]]=0,"",Pipeline_tbl[[#This Row],[Closed_Date]]-Pipeline_tbl[[#This Row],[Created_Date]])</f>
        <v>17</v>
      </c>
    </row>
    <row r="4565" spans="1:21" ht="15" customHeight="1" x14ac:dyDescent="0.2">
      <c r="A4565" t="s">
        <v>4871</v>
      </c>
      <c r="B4565" t="s">
        <v>229</v>
      </c>
      <c r="C4565" t="s">
        <v>53</v>
      </c>
      <c r="D4565" s="49">
        <v>45295</v>
      </c>
      <c r="E4565" s="49">
        <v>45296</v>
      </c>
      <c r="F4565" s="49">
        <v>45299</v>
      </c>
      <c r="I4565" s="49">
        <v>45309</v>
      </c>
      <c r="J4565" t="s">
        <v>49</v>
      </c>
      <c r="K4565" s="33">
        <v>4100</v>
      </c>
      <c r="L4565" t="s">
        <v>63</v>
      </c>
      <c r="M4565" t="str">
        <f>_xlfn.XLOOKUP(Pipeline_tbl[[#This Row],[Rep_ID]],Dim_Reps!A:A,Dim_Reps!K:K)</f>
        <v>USD</v>
      </c>
      <c r="N4565" s="33">
        <f>(_xlfn.XLOOKUP(Pipeline_tbl[[#This Row],[Rate_Code_Generalized]],Lookups!A:A,Lookups!B:B))*Pipeline_tbl[[#This Row],[Pipeline_Amount_USD]]</f>
        <v>4773.6299999999992</v>
      </c>
      <c r="O4565" t="str">
        <f>_xlfn.XLOOKUP(Pipeline_tbl[[#This Row],[Rep_ID]],Dim_Reps!A:A,Dim_Reps!B:B)</f>
        <v>Liam Castro</v>
      </c>
      <c r="P4565" t="str">
        <f>_xlfn.XLOOKUP(Pipeline_tbl[[#This Row],[Rep_ID]],Dim_Reps!A:A,Dim_Reps!C:C)</f>
        <v>SDR / Inside Sales Rep</v>
      </c>
      <c r="Q4565" t="str">
        <f>_xlfn.XLOOKUP(Pipeline_tbl[[#This Row],[Rep_ID]],Dim_Reps!A:A,Dim_Reps!D:D)</f>
        <v>Inside Sales</v>
      </c>
      <c r="R4565" t="str">
        <f>_xlfn.XLOOKUP(Pipeline_tbl[[#This Row],[Rep_ID]],Dim_Reps!A:A,Dim_Reps!E:E)</f>
        <v>NAMER</v>
      </c>
      <c r="S4565" t="str">
        <f>_xlfn.XLOOKUP(Pipeline_tbl[[#This Row],[Created_Date]],Dim_Date!A:A,Dim_Date!H:H)</f>
        <v>Jan 2024</v>
      </c>
      <c r="T4565" t="str">
        <f>IF(Pipeline_tbl[[#This Row],[Closed_Date]]=0,"",(_xlfn.XLOOKUP(Pipeline_tbl[[#This Row],[Closed_Date]],Dim_Date!A:A,Dim_Date!H:H)))</f>
        <v>Jan 2024</v>
      </c>
      <c r="U4565">
        <f>IF(Pipeline_tbl[[#This Row],[Closed_Date]]=0,"",Pipeline_tbl[[#This Row],[Closed_Date]]-Pipeline_tbl[[#This Row],[Created_Date]])</f>
        <v>14</v>
      </c>
    </row>
    <row r="4566" spans="1:21" ht="15" customHeight="1" x14ac:dyDescent="0.2">
      <c r="A4566" t="s">
        <v>4872</v>
      </c>
      <c r="B4566" t="s">
        <v>229</v>
      </c>
      <c r="C4566" t="s">
        <v>56</v>
      </c>
      <c r="D4566" s="49">
        <v>45305</v>
      </c>
      <c r="E4566" s="49">
        <v>45307</v>
      </c>
      <c r="F4566" s="49">
        <v>45310</v>
      </c>
      <c r="G4566" s="49">
        <v>45314</v>
      </c>
      <c r="H4566" s="49">
        <v>45318</v>
      </c>
      <c r="I4566" s="49">
        <v>45320</v>
      </c>
      <c r="J4566" t="s">
        <v>47</v>
      </c>
      <c r="K4566" s="33">
        <v>4900</v>
      </c>
      <c r="M4566" t="str">
        <f>_xlfn.XLOOKUP(Pipeline_tbl[[#This Row],[Rep_ID]],Dim_Reps!A:A,Dim_Reps!K:K)</f>
        <v>USD</v>
      </c>
      <c r="N4566" s="33">
        <f>(_xlfn.XLOOKUP(Pipeline_tbl[[#This Row],[Rate_Code_Generalized]],Lookups!A:A,Lookups!B:B))*Pipeline_tbl[[#This Row],[Pipeline_Amount_USD]]</f>
        <v>5705.07</v>
      </c>
      <c r="O4566" t="str">
        <f>_xlfn.XLOOKUP(Pipeline_tbl[[#This Row],[Rep_ID]],Dim_Reps!A:A,Dim_Reps!B:B)</f>
        <v>Liam Castro</v>
      </c>
      <c r="P4566" t="str">
        <f>_xlfn.XLOOKUP(Pipeline_tbl[[#This Row],[Rep_ID]],Dim_Reps!A:A,Dim_Reps!C:C)</f>
        <v>SDR / Inside Sales Rep</v>
      </c>
      <c r="Q4566" t="str">
        <f>_xlfn.XLOOKUP(Pipeline_tbl[[#This Row],[Rep_ID]],Dim_Reps!A:A,Dim_Reps!D:D)</f>
        <v>Inside Sales</v>
      </c>
      <c r="R4566" t="str">
        <f>_xlfn.XLOOKUP(Pipeline_tbl[[#This Row],[Rep_ID]],Dim_Reps!A:A,Dim_Reps!E:E)</f>
        <v>NAMER</v>
      </c>
      <c r="S4566" t="str">
        <f>_xlfn.XLOOKUP(Pipeline_tbl[[#This Row],[Created_Date]],Dim_Date!A:A,Dim_Date!H:H)</f>
        <v>Jan 2024</v>
      </c>
      <c r="T4566" t="str">
        <f>IF(Pipeline_tbl[[#This Row],[Closed_Date]]=0,"",(_xlfn.XLOOKUP(Pipeline_tbl[[#This Row],[Closed_Date]],Dim_Date!A:A,Dim_Date!H:H)))</f>
        <v>Jan 2024</v>
      </c>
      <c r="U4566">
        <f>IF(Pipeline_tbl[[#This Row],[Closed_Date]]=0,"",Pipeline_tbl[[#This Row],[Closed_Date]]-Pipeline_tbl[[#This Row],[Created_Date]])</f>
        <v>15</v>
      </c>
    </row>
    <row r="4567" spans="1:21" ht="15" customHeight="1" x14ac:dyDescent="0.2">
      <c r="A4567" t="s">
        <v>4873</v>
      </c>
      <c r="B4567" t="s">
        <v>229</v>
      </c>
      <c r="C4567" t="s">
        <v>52</v>
      </c>
      <c r="D4567" s="49">
        <v>45296</v>
      </c>
      <c r="E4567" s="49">
        <v>45299</v>
      </c>
      <c r="F4567" s="49">
        <v>45304</v>
      </c>
      <c r="G4567" s="49">
        <v>45312</v>
      </c>
      <c r="H4567" s="49">
        <v>45318</v>
      </c>
      <c r="I4567" s="49">
        <v>45322</v>
      </c>
      <c r="J4567" t="s">
        <v>49</v>
      </c>
      <c r="K4567" s="33">
        <v>8600</v>
      </c>
      <c r="L4567" t="s">
        <v>60</v>
      </c>
      <c r="M4567" t="str">
        <f>_xlfn.XLOOKUP(Pipeline_tbl[[#This Row],[Rep_ID]],Dim_Reps!A:A,Dim_Reps!K:K)</f>
        <v>USD</v>
      </c>
      <c r="N4567" s="33">
        <f>(_xlfn.XLOOKUP(Pipeline_tbl[[#This Row],[Rate_Code_Generalized]],Lookups!A:A,Lookups!B:B))*Pipeline_tbl[[#This Row],[Pipeline_Amount_USD]]</f>
        <v>10012.98</v>
      </c>
      <c r="O4567" t="str">
        <f>_xlfn.XLOOKUP(Pipeline_tbl[[#This Row],[Rep_ID]],Dim_Reps!A:A,Dim_Reps!B:B)</f>
        <v>Liam Castro</v>
      </c>
      <c r="P4567" t="str">
        <f>_xlfn.XLOOKUP(Pipeline_tbl[[#This Row],[Rep_ID]],Dim_Reps!A:A,Dim_Reps!C:C)</f>
        <v>SDR / Inside Sales Rep</v>
      </c>
      <c r="Q4567" t="str">
        <f>_xlfn.XLOOKUP(Pipeline_tbl[[#This Row],[Rep_ID]],Dim_Reps!A:A,Dim_Reps!D:D)</f>
        <v>Inside Sales</v>
      </c>
      <c r="R4567" t="str">
        <f>_xlfn.XLOOKUP(Pipeline_tbl[[#This Row],[Rep_ID]],Dim_Reps!A:A,Dim_Reps!E:E)</f>
        <v>NAMER</v>
      </c>
      <c r="S4567" t="str">
        <f>_xlfn.XLOOKUP(Pipeline_tbl[[#This Row],[Created_Date]],Dim_Date!A:A,Dim_Date!H:H)</f>
        <v>Jan 2024</v>
      </c>
      <c r="T4567" t="str">
        <f>IF(Pipeline_tbl[[#This Row],[Closed_Date]]=0,"",(_xlfn.XLOOKUP(Pipeline_tbl[[#This Row],[Closed_Date]],Dim_Date!A:A,Dim_Date!H:H)))</f>
        <v>Jan 2024</v>
      </c>
      <c r="U4567">
        <f>IF(Pipeline_tbl[[#This Row],[Closed_Date]]=0,"",Pipeline_tbl[[#This Row],[Closed_Date]]-Pipeline_tbl[[#This Row],[Created_Date]])</f>
        <v>26</v>
      </c>
    </row>
    <row r="4568" spans="1:21" ht="15" customHeight="1" x14ac:dyDescent="0.2">
      <c r="A4568" t="s">
        <v>4874</v>
      </c>
      <c r="B4568" t="s">
        <v>231</v>
      </c>
      <c r="C4568" t="s">
        <v>52</v>
      </c>
      <c r="D4568" s="49">
        <v>45295</v>
      </c>
      <c r="E4568" s="49">
        <v>45297</v>
      </c>
      <c r="F4568" s="49">
        <v>45302</v>
      </c>
      <c r="G4568" s="49">
        <v>45309</v>
      </c>
      <c r="H4568" s="49">
        <v>45315</v>
      </c>
      <c r="I4568" s="49">
        <v>45319</v>
      </c>
      <c r="J4568" t="s">
        <v>49</v>
      </c>
      <c r="K4568" s="33">
        <v>1800</v>
      </c>
      <c r="L4568" t="s">
        <v>60</v>
      </c>
      <c r="M4568" t="str">
        <f>_xlfn.XLOOKUP(Pipeline_tbl[[#This Row],[Rep_ID]],Dim_Reps!A:A,Dim_Reps!K:K)</f>
        <v>MXN</v>
      </c>
      <c r="N4568" s="33">
        <f>(_xlfn.XLOOKUP(Pipeline_tbl[[#This Row],[Rate_Code_Generalized]],Lookups!A:A,Lookups!B:B))*Pipeline_tbl[[#This Row],[Pipeline_Amount_USD]]</f>
        <v>35518.86</v>
      </c>
      <c r="O4568" t="str">
        <f>_xlfn.XLOOKUP(Pipeline_tbl[[#This Row],[Rep_ID]],Dim_Reps!A:A,Dim_Reps!B:B)</f>
        <v>Ben Silva</v>
      </c>
      <c r="P4568" t="str">
        <f>_xlfn.XLOOKUP(Pipeline_tbl[[#This Row],[Rep_ID]],Dim_Reps!A:A,Dim_Reps!C:C)</f>
        <v>SDR / Inside Sales Rep</v>
      </c>
      <c r="Q4568" t="str">
        <f>_xlfn.XLOOKUP(Pipeline_tbl[[#This Row],[Rep_ID]],Dim_Reps!A:A,Dim_Reps!D:D)</f>
        <v>Inside Sales</v>
      </c>
      <c r="R4568" t="str">
        <f>_xlfn.XLOOKUP(Pipeline_tbl[[#This Row],[Rep_ID]],Dim_Reps!A:A,Dim_Reps!E:E)</f>
        <v>LATAM</v>
      </c>
      <c r="S4568" t="str">
        <f>_xlfn.XLOOKUP(Pipeline_tbl[[#This Row],[Created_Date]],Dim_Date!A:A,Dim_Date!H:H)</f>
        <v>Jan 2024</v>
      </c>
      <c r="T4568" t="str">
        <f>IF(Pipeline_tbl[[#This Row],[Closed_Date]]=0,"",(_xlfn.XLOOKUP(Pipeline_tbl[[#This Row],[Closed_Date]],Dim_Date!A:A,Dim_Date!H:H)))</f>
        <v>Jan 2024</v>
      </c>
      <c r="U4568">
        <f>IF(Pipeline_tbl[[#This Row],[Closed_Date]]=0,"",Pipeline_tbl[[#This Row],[Closed_Date]]-Pipeline_tbl[[#This Row],[Created_Date]])</f>
        <v>24</v>
      </c>
    </row>
    <row r="4569" spans="1:21" ht="15" customHeight="1" x14ac:dyDescent="0.2">
      <c r="A4569" t="s">
        <v>4875</v>
      </c>
      <c r="B4569" t="s">
        <v>231</v>
      </c>
      <c r="C4569" t="s">
        <v>54</v>
      </c>
      <c r="D4569" s="49">
        <v>45313</v>
      </c>
      <c r="E4569" s="49">
        <v>45313</v>
      </c>
      <c r="F4569" s="49">
        <v>45315</v>
      </c>
      <c r="G4569" s="49">
        <v>45316</v>
      </c>
      <c r="H4569" s="49">
        <v>45317</v>
      </c>
      <c r="I4569" s="49">
        <v>45318</v>
      </c>
      <c r="J4569" t="s">
        <v>47</v>
      </c>
      <c r="K4569" s="33">
        <v>5800</v>
      </c>
      <c r="M4569" t="str">
        <f>_xlfn.XLOOKUP(Pipeline_tbl[[#This Row],[Rep_ID]],Dim_Reps!A:A,Dim_Reps!K:K)</f>
        <v>MXN</v>
      </c>
      <c r="N4569" s="33">
        <f>(_xlfn.XLOOKUP(Pipeline_tbl[[#This Row],[Rate_Code_Generalized]],Lookups!A:A,Lookups!B:B))*Pipeline_tbl[[#This Row],[Pipeline_Amount_USD]]</f>
        <v>114449.66</v>
      </c>
      <c r="O4569" t="str">
        <f>_xlfn.XLOOKUP(Pipeline_tbl[[#This Row],[Rep_ID]],Dim_Reps!A:A,Dim_Reps!B:B)</f>
        <v>Ben Silva</v>
      </c>
      <c r="P4569" t="str">
        <f>_xlfn.XLOOKUP(Pipeline_tbl[[#This Row],[Rep_ID]],Dim_Reps!A:A,Dim_Reps!C:C)</f>
        <v>SDR / Inside Sales Rep</v>
      </c>
      <c r="Q4569" t="str">
        <f>_xlfn.XLOOKUP(Pipeline_tbl[[#This Row],[Rep_ID]],Dim_Reps!A:A,Dim_Reps!D:D)</f>
        <v>Inside Sales</v>
      </c>
      <c r="R4569" t="str">
        <f>_xlfn.XLOOKUP(Pipeline_tbl[[#This Row],[Rep_ID]],Dim_Reps!A:A,Dim_Reps!E:E)</f>
        <v>LATAM</v>
      </c>
      <c r="S4569" t="str">
        <f>_xlfn.XLOOKUP(Pipeline_tbl[[#This Row],[Created_Date]],Dim_Date!A:A,Dim_Date!H:H)</f>
        <v>Jan 2024</v>
      </c>
      <c r="T4569" t="str">
        <f>IF(Pipeline_tbl[[#This Row],[Closed_Date]]=0,"",(_xlfn.XLOOKUP(Pipeline_tbl[[#This Row],[Closed_Date]],Dim_Date!A:A,Dim_Date!H:H)))</f>
        <v>Jan 2024</v>
      </c>
      <c r="U4569">
        <f>IF(Pipeline_tbl[[#This Row],[Closed_Date]]=0,"",Pipeline_tbl[[#This Row],[Closed_Date]]-Pipeline_tbl[[#This Row],[Created_Date]])</f>
        <v>5</v>
      </c>
    </row>
    <row r="4570" spans="1:21" ht="15" customHeight="1" x14ac:dyDescent="0.2">
      <c r="A4570" t="s">
        <v>4876</v>
      </c>
      <c r="B4570" t="s">
        <v>231</v>
      </c>
      <c r="C4570" t="s">
        <v>52</v>
      </c>
      <c r="D4570" s="49">
        <v>45295</v>
      </c>
      <c r="E4570" s="49">
        <v>45297</v>
      </c>
      <c r="F4570" s="49">
        <v>45302</v>
      </c>
      <c r="G4570" s="49">
        <v>45309</v>
      </c>
      <c r="H4570" s="49">
        <v>45315</v>
      </c>
      <c r="I4570" s="49">
        <v>45318</v>
      </c>
      <c r="J4570" t="s">
        <v>49</v>
      </c>
      <c r="K4570" s="33">
        <v>6100</v>
      </c>
      <c r="L4570" t="s">
        <v>61</v>
      </c>
      <c r="M4570" t="str">
        <f>_xlfn.XLOOKUP(Pipeline_tbl[[#This Row],[Rep_ID]],Dim_Reps!A:A,Dim_Reps!K:K)</f>
        <v>MXN</v>
      </c>
      <c r="N4570" s="33">
        <f>(_xlfn.XLOOKUP(Pipeline_tbl[[#This Row],[Rate_Code_Generalized]],Lookups!A:A,Lookups!B:B))*Pipeline_tbl[[#This Row],[Pipeline_Amount_USD]]</f>
        <v>120369.47</v>
      </c>
      <c r="O4570" t="str">
        <f>_xlfn.XLOOKUP(Pipeline_tbl[[#This Row],[Rep_ID]],Dim_Reps!A:A,Dim_Reps!B:B)</f>
        <v>Ben Silva</v>
      </c>
      <c r="P4570" t="str">
        <f>_xlfn.XLOOKUP(Pipeline_tbl[[#This Row],[Rep_ID]],Dim_Reps!A:A,Dim_Reps!C:C)</f>
        <v>SDR / Inside Sales Rep</v>
      </c>
      <c r="Q4570" t="str">
        <f>_xlfn.XLOOKUP(Pipeline_tbl[[#This Row],[Rep_ID]],Dim_Reps!A:A,Dim_Reps!D:D)</f>
        <v>Inside Sales</v>
      </c>
      <c r="R4570" t="str">
        <f>_xlfn.XLOOKUP(Pipeline_tbl[[#This Row],[Rep_ID]],Dim_Reps!A:A,Dim_Reps!E:E)</f>
        <v>LATAM</v>
      </c>
      <c r="S4570" t="str">
        <f>_xlfn.XLOOKUP(Pipeline_tbl[[#This Row],[Created_Date]],Dim_Date!A:A,Dim_Date!H:H)</f>
        <v>Jan 2024</v>
      </c>
      <c r="T4570" t="str">
        <f>IF(Pipeline_tbl[[#This Row],[Closed_Date]]=0,"",(_xlfn.XLOOKUP(Pipeline_tbl[[#This Row],[Closed_Date]],Dim_Date!A:A,Dim_Date!H:H)))</f>
        <v>Jan 2024</v>
      </c>
      <c r="U4570">
        <f>IF(Pipeline_tbl[[#This Row],[Closed_Date]]=0,"",Pipeline_tbl[[#This Row],[Closed_Date]]-Pipeline_tbl[[#This Row],[Created_Date]])</f>
        <v>23</v>
      </c>
    </row>
    <row r="4571" spans="1:21" ht="15" customHeight="1" x14ac:dyDescent="0.2">
      <c r="A4571" t="s">
        <v>4877</v>
      </c>
      <c r="B4571" t="s">
        <v>231</v>
      </c>
      <c r="C4571" t="s">
        <v>53</v>
      </c>
      <c r="D4571" s="49">
        <v>45299</v>
      </c>
      <c r="E4571" s="49">
        <v>45301</v>
      </c>
      <c r="F4571" s="49">
        <v>45304</v>
      </c>
      <c r="G4571" s="49">
        <v>45309</v>
      </c>
      <c r="H4571" s="49">
        <v>45313</v>
      </c>
      <c r="I4571" s="49">
        <v>45315</v>
      </c>
      <c r="J4571" t="s">
        <v>47</v>
      </c>
      <c r="K4571" s="33">
        <v>1700</v>
      </c>
      <c r="M4571" t="str">
        <f>_xlfn.XLOOKUP(Pipeline_tbl[[#This Row],[Rep_ID]],Dim_Reps!A:A,Dim_Reps!K:K)</f>
        <v>MXN</v>
      </c>
      <c r="N4571" s="33">
        <f>(_xlfn.XLOOKUP(Pipeline_tbl[[#This Row],[Rate_Code_Generalized]],Lookups!A:A,Lookups!B:B))*Pipeline_tbl[[#This Row],[Pipeline_Amount_USD]]</f>
        <v>33545.590000000004</v>
      </c>
      <c r="O4571" t="str">
        <f>_xlfn.XLOOKUP(Pipeline_tbl[[#This Row],[Rep_ID]],Dim_Reps!A:A,Dim_Reps!B:B)</f>
        <v>Ben Silva</v>
      </c>
      <c r="P4571" t="str">
        <f>_xlfn.XLOOKUP(Pipeline_tbl[[#This Row],[Rep_ID]],Dim_Reps!A:A,Dim_Reps!C:C)</f>
        <v>SDR / Inside Sales Rep</v>
      </c>
      <c r="Q4571" t="str">
        <f>_xlfn.XLOOKUP(Pipeline_tbl[[#This Row],[Rep_ID]],Dim_Reps!A:A,Dim_Reps!D:D)</f>
        <v>Inside Sales</v>
      </c>
      <c r="R4571" t="str">
        <f>_xlfn.XLOOKUP(Pipeline_tbl[[#This Row],[Rep_ID]],Dim_Reps!A:A,Dim_Reps!E:E)</f>
        <v>LATAM</v>
      </c>
      <c r="S4571" t="str">
        <f>_xlfn.XLOOKUP(Pipeline_tbl[[#This Row],[Created_Date]],Dim_Date!A:A,Dim_Date!H:H)</f>
        <v>Jan 2024</v>
      </c>
      <c r="T4571" t="str">
        <f>IF(Pipeline_tbl[[#This Row],[Closed_Date]]=0,"",(_xlfn.XLOOKUP(Pipeline_tbl[[#This Row],[Closed_Date]],Dim_Date!A:A,Dim_Date!H:H)))</f>
        <v>Jan 2024</v>
      </c>
      <c r="U4571">
        <f>IF(Pipeline_tbl[[#This Row],[Closed_Date]]=0,"",Pipeline_tbl[[#This Row],[Closed_Date]]-Pipeline_tbl[[#This Row],[Created_Date]])</f>
        <v>16</v>
      </c>
    </row>
    <row r="4572" spans="1:21" ht="15" customHeight="1" x14ac:dyDescent="0.2">
      <c r="A4572" t="s">
        <v>4878</v>
      </c>
      <c r="B4572" t="s">
        <v>231</v>
      </c>
      <c r="C4572" t="s">
        <v>53</v>
      </c>
      <c r="D4572" s="49">
        <v>45315</v>
      </c>
      <c r="E4572" s="49">
        <v>45316</v>
      </c>
      <c r="F4572" s="49">
        <v>45317</v>
      </c>
      <c r="G4572" s="49">
        <v>45319</v>
      </c>
      <c r="H4572" s="49">
        <v>45321</v>
      </c>
      <c r="I4572" s="49">
        <v>45322</v>
      </c>
      <c r="J4572" t="s">
        <v>47</v>
      </c>
      <c r="K4572" s="33">
        <v>3900</v>
      </c>
      <c r="M4572" t="str">
        <f>_xlfn.XLOOKUP(Pipeline_tbl[[#This Row],[Rep_ID]],Dim_Reps!A:A,Dim_Reps!K:K)</f>
        <v>MXN</v>
      </c>
      <c r="N4572" s="33">
        <f>(_xlfn.XLOOKUP(Pipeline_tbl[[#This Row],[Rate_Code_Generalized]],Lookups!A:A,Lookups!B:B))*Pipeline_tbl[[#This Row],[Pipeline_Amount_USD]]</f>
        <v>76957.53</v>
      </c>
      <c r="O4572" t="str">
        <f>_xlfn.XLOOKUP(Pipeline_tbl[[#This Row],[Rep_ID]],Dim_Reps!A:A,Dim_Reps!B:B)</f>
        <v>Ben Silva</v>
      </c>
      <c r="P4572" t="str">
        <f>_xlfn.XLOOKUP(Pipeline_tbl[[#This Row],[Rep_ID]],Dim_Reps!A:A,Dim_Reps!C:C)</f>
        <v>SDR / Inside Sales Rep</v>
      </c>
      <c r="Q4572" t="str">
        <f>_xlfn.XLOOKUP(Pipeline_tbl[[#This Row],[Rep_ID]],Dim_Reps!A:A,Dim_Reps!D:D)</f>
        <v>Inside Sales</v>
      </c>
      <c r="R4572" t="str">
        <f>_xlfn.XLOOKUP(Pipeline_tbl[[#This Row],[Rep_ID]],Dim_Reps!A:A,Dim_Reps!E:E)</f>
        <v>LATAM</v>
      </c>
      <c r="S4572" t="str">
        <f>_xlfn.XLOOKUP(Pipeline_tbl[[#This Row],[Created_Date]],Dim_Date!A:A,Dim_Date!H:H)</f>
        <v>Jan 2024</v>
      </c>
      <c r="T4572" t="str">
        <f>IF(Pipeline_tbl[[#This Row],[Closed_Date]]=0,"",(_xlfn.XLOOKUP(Pipeline_tbl[[#This Row],[Closed_Date]],Dim_Date!A:A,Dim_Date!H:H)))</f>
        <v>Jan 2024</v>
      </c>
      <c r="U4572">
        <f>IF(Pipeline_tbl[[#This Row],[Closed_Date]]=0,"",Pipeline_tbl[[#This Row],[Closed_Date]]-Pipeline_tbl[[#This Row],[Created_Date]])</f>
        <v>7</v>
      </c>
    </row>
    <row r="4573" spans="1:21" ht="15" customHeight="1" x14ac:dyDescent="0.2">
      <c r="A4573" t="s">
        <v>4879</v>
      </c>
      <c r="B4573" t="s">
        <v>233</v>
      </c>
      <c r="C4573" t="s">
        <v>52</v>
      </c>
      <c r="D4573" s="49">
        <v>45296</v>
      </c>
      <c r="E4573" s="49">
        <v>45298</v>
      </c>
      <c r="F4573" s="49">
        <v>45302</v>
      </c>
      <c r="G4573" s="49">
        <v>45308</v>
      </c>
      <c r="H4573" s="49">
        <v>45313</v>
      </c>
      <c r="I4573" s="49">
        <v>45316</v>
      </c>
      <c r="J4573" t="s">
        <v>47</v>
      </c>
      <c r="K4573" s="33">
        <v>2400</v>
      </c>
      <c r="M4573" t="str">
        <f>_xlfn.XLOOKUP(Pipeline_tbl[[#This Row],[Rep_ID]],Dim_Reps!A:A,Dim_Reps!K:K)</f>
        <v>MXN</v>
      </c>
      <c r="N4573" s="33">
        <f>(_xlfn.XLOOKUP(Pipeline_tbl[[#This Row],[Rate_Code_Generalized]],Lookups!A:A,Lookups!B:B))*Pipeline_tbl[[#This Row],[Pipeline_Amount_USD]]</f>
        <v>47358.48</v>
      </c>
      <c r="O4573" t="str">
        <f>_xlfn.XLOOKUP(Pipeline_tbl[[#This Row],[Rep_ID]],Dim_Reps!A:A,Dim_Reps!B:B)</f>
        <v>Lucas Duarte</v>
      </c>
      <c r="P4573" t="str">
        <f>_xlfn.XLOOKUP(Pipeline_tbl[[#This Row],[Rep_ID]],Dim_Reps!A:A,Dim_Reps!C:C)</f>
        <v>SDR / Inside Sales Rep</v>
      </c>
      <c r="Q4573" t="str">
        <f>_xlfn.XLOOKUP(Pipeline_tbl[[#This Row],[Rep_ID]],Dim_Reps!A:A,Dim_Reps!D:D)</f>
        <v>Inside Sales</v>
      </c>
      <c r="R4573" t="str">
        <f>_xlfn.XLOOKUP(Pipeline_tbl[[#This Row],[Rep_ID]],Dim_Reps!A:A,Dim_Reps!E:E)</f>
        <v>LATAM</v>
      </c>
      <c r="S4573" t="str">
        <f>_xlfn.XLOOKUP(Pipeline_tbl[[#This Row],[Created_Date]],Dim_Date!A:A,Dim_Date!H:H)</f>
        <v>Jan 2024</v>
      </c>
      <c r="T4573" t="str">
        <f>IF(Pipeline_tbl[[#This Row],[Closed_Date]]=0,"",(_xlfn.XLOOKUP(Pipeline_tbl[[#This Row],[Closed_Date]],Dim_Date!A:A,Dim_Date!H:H)))</f>
        <v>Jan 2024</v>
      </c>
      <c r="U4573">
        <f>IF(Pipeline_tbl[[#This Row],[Closed_Date]]=0,"",Pipeline_tbl[[#This Row],[Closed_Date]]-Pipeline_tbl[[#This Row],[Created_Date]])</f>
        <v>20</v>
      </c>
    </row>
    <row r="4574" spans="1:21" ht="15" customHeight="1" x14ac:dyDescent="0.2">
      <c r="A4574" t="s">
        <v>4880</v>
      </c>
      <c r="B4574" t="s">
        <v>233</v>
      </c>
      <c r="C4574" t="s">
        <v>53</v>
      </c>
      <c r="D4574" s="49">
        <v>45302</v>
      </c>
      <c r="E4574" s="49">
        <v>45304</v>
      </c>
      <c r="F4574" s="49">
        <v>45308</v>
      </c>
      <c r="I4574" s="49">
        <v>45321</v>
      </c>
      <c r="J4574" t="s">
        <v>49</v>
      </c>
      <c r="K4574" s="33">
        <v>4400</v>
      </c>
      <c r="L4574" t="s">
        <v>62</v>
      </c>
      <c r="M4574" t="str">
        <f>_xlfn.XLOOKUP(Pipeline_tbl[[#This Row],[Rep_ID]],Dim_Reps!A:A,Dim_Reps!K:K)</f>
        <v>MXN</v>
      </c>
      <c r="N4574" s="33">
        <f>(_xlfn.XLOOKUP(Pipeline_tbl[[#This Row],[Rate_Code_Generalized]],Lookups!A:A,Lookups!B:B))*Pipeline_tbl[[#This Row],[Pipeline_Amount_USD]]</f>
        <v>86823.88</v>
      </c>
      <c r="O4574" t="str">
        <f>_xlfn.XLOOKUP(Pipeline_tbl[[#This Row],[Rep_ID]],Dim_Reps!A:A,Dim_Reps!B:B)</f>
        <v>Lucas Duarte</v>
      </c>
      <c r="P4574" t="str">
        <f>_xlfn.XLOOKUP(Pipeline_tbl[[#This Row],[Rep_ID]],Dim_Reps!A:A,Dim_Reps!C:C)</f>
        <v>SDR / Inside Sales Rep</v>
      </c>
      <c r="Q4574" t="str">
        <f>_xlfn.XLOOKUP(Pipeline_tbl[[#This Row],[Rep_ID]],Dim_Reps!A:A,Dim_Reps!D:D)</f>
        <v>Inside Sales</v>
      </c>
      <c r="R4574" t="str">
        <f>_xlfn.XLOOKUP(Pipeline_tbl[[#This Row],[Rep_ID]],Dim_Reps!A:A,Dim_Reps!E:E)</f>
        <v>LATAM</v>
      </c>
      <c r="S4574" t="str">
        <f>_xlfn.XLOOKUP(Pipeline_tbl[[#This Row],[Created_Date]],Dim_Date!A:A,Dim_Date!H:H)</f>
        <v>Jan 2024</v>
      </c>
      <c r="T4574" t="str">
        <f>IF(Pipeline_tbl[[#This Row],[Closed_Date]]=0,"",(_xlfn.XLOOKUP(Pipeline_tbl[[#This Row],[Closed_Date]],Dim_Date!A:A,Dim_Date!H:H)))</f>
        <v>Jan 2024</v>
      </c>
      <c r="U4574">
        <f>IF(Pipeline_tbl[[#This Row],[Closed_Date]]=0,"",Pipeline_tbl[[#This Row],[Closed_Date]]-Pipeline_tbl[[#This Row],[Created_Date]])</f>
        <v>19</v>
      </c>
    </row>
    <row r="4575" spans="1:21" ht="15" customHeight="1" x14ac:dyDescent="0.2">
      <c r="A4575" t="s">
        <v>4881</v>
      </c>
      <c r="B4575" t="s">
        <v>233</v>
      </c>
      <c r="C4575" t="s">
        <v>53</v>
      </c>
      <c r="D4575" s="49">
        <v>45294</v>
      </c>
      <c r="E4575" s="49">
        <v>45296</v>
      </c>
      <c r="F4575" s="49">
        <v>45299</v>
      </c>
      <c r="G4575" s="49">
        <v>45304</v>
      </c>
      <c r="I4575" s="49">
        <v>45310</v>
      </c>
      <c r="J4575" t="s">
        <v>49</v>
      </c>
      <c r="K4575" s="33">
        <v>6300</v>
      </c>
      <c r="L4575" t="s">
        <v>61</v>
      </c>
      <c r="M4575" t="str">
        <f>_xlfn.XLOOKUP(Pipeline_tbl[[#This Row],[Rep_ID]],Dim_Reps!A:A,Dim_Reps!K:K)</f>
        <v>MXN</v>
      </c>
      <c r="N4575" s="33">
        <f>(_xlfn.XLOOKUP(Pipeline_tbl[[#This Row],[Rate_Code_Generalized]],Lookups!A:A,Lookups!B:B))*Pipeline_tbl[[#This Row],[Pipeline_Amount_USD]]</f>
        <v>124316.01000000001</v>
      </c>
      <c r="O4575" t="str">
        <f>_xlfn.XLOOKUP(Pipeline_tbl[[#This Row],[Rep_ID]],Dim_Reps!A:A,Dim_Reps!B:B)</f>
        <v>Lucas Duarte</v>
      </c>
      <c r="P4575" t="str">
        <f>_xlfn.XLOOKUP(Pipeline_tbl[[#This Row],[Rep_ID]],Dim_Reps!A:A,Dim_Reps!C:C)</f>
        <v>SDR / Inside Sales Rep</v>
      </c>
      <c r="Q4575" t="str">
        <f>_xlfn.XLOOKUP(Pipeline_tbl[[#This Row],[Rep_ID]],Dim_Reps!A:A,Dim_Reps!D:D)</f>
        <v>Inside Sales</v>
      </c>
      <c r="R4575" t="str">
        <f>_xlfn.XLOOKUP(Pipeline_tbl[[#This Row],[Rep_ID]],Dim_Reps!A:A,Dim_Reps!E:E)</f>
        <v>LATAM</v>
      </c>
      <c r="S4575" t="str">
        <f>_xlfn.XLOOKUP(Pipeline_tbl[[#This Row],[Created_Date]],Dim_Date!A:A,Dim_Date!H:H)</f>
        <v>Jan 2024</v>
      </c>
      <c r="T4575" t="str">
        <f>IF(Pipeline_tbl[[#This Row],[Closed_Date]]=0,"",(_xlfn.XLOOKUP(Pipeline_tbl[[#This Row],[Closed_Date]],Dim_Date!A:A,Dim_Date!H:H)))</f>
        <v>Jan 2024</v>
      </c>
      <c r="U4575">
        <f>IF(Pipeline_tbl[[#This Row],[Closed_Date]]=0,"",Pipeline_tbl[[#This Row],[Closed_Date]]-Pipeline_tbl[[#This Row],[Created_Date]])</f>
        <v>16</v>
      </c>
    </row>
    <row r="4576" spans="1:21" ht="15" customHeight="1" x14ac:dyDescent="0.2">
      <c r="A4576" t="s">
        <v>4882</v>
      </c>
      <c r="B4576" t="s">
        <v>235</v>
      </c>
      <c r="C4576" t="s">
        <v>53</v>
      </c>
      <c r="D4576" s="49">
        <v>45310</v>
      </c>
      <c r="E4576" s="49">
        <v>45311</v>
      </c>
      <c r="F4576" s="49">
        <v>45313</v>
      </c>
      <c r="G4576" s="49">
        <v>45316</v>
      </c>
      <c r="I4576" s="49">
        <v>45320</v>
      </c>
      <c r="J4576" t="s">
        <v>49</v>
      </c>
      <c r="K4576" s="33">
        <v>2000</v>
      </c>
      <c r="L4576" t="s">
        <v>60</v>
      </c>
      <c r="M4576" t="str">
        <f>_xlfn.XLOOKUP(Pipeline_tbl[[#This Row],[Rep_ID]],Dim_Reps!A:A,Dim_Reps!K:K)</f>
        <v>MXN</v>
      </c>
      <c r="N4576" s="33">
        <f>(_xlfn.XLOOKUP(Pipeline_tbl[[#This Row],[Rate_Code_Generalized]],Lookups!A:A,Lookups!B:B))*Pipeline_tbl[[#This Row],[Pipeline_Amount_USD]]</f>
        <v>39465.4</v>
      </c>
      <c r="O4576" t="str">
        <f>_xlfn.XLOOKUP(Pipeline_tbl[[#This Row],[Rep_ID]],Dim_Reps!A:A,Dim_Reps!B:B)</f>
        <v>Milo Castro</v>
      </c>
      <c r="P4576" t="str">
        <f>_xlfn.XLOOKUP(Pipeline_tbl[[#This Row],[Rep_ID]],Dim_Reps!A:A,Dim_Reps!C:C)</f>
        <v>SDR / Inside Sales Rep</v>
      </c>
      <c r="Q4576" t="str">
        <f>_xlfn.XLOOKUP(Pipeline_tbl[[#This Row],[Rep_ID]],Dim_Reps!A:A,Dim_Reps!D:D)</f>
        <v>Inside Sales</v>
      </c>
      <c r="R4576" t="str">
        <f>_xlfn.XLOOKUP(Pipeline_tbl[[#This Row],[Rep_ID]],Dim_Reps!A:A,Dim_Reps!E:E)</f>
        <v>LATAM</v>
      </c>
      <c r="S4576" t="str">
        <f>_xlfn.XLOOKUP(Pipeline_tbl[[#This Row],[Created_Date]],Dim_Date!A:A,Dim_Date!H:H)</f>
        <v>Jan 2024</v>
      </c>
      <c r="T4576" t="str">
        <f>IF(Pipeline_tbl[[#This Row],[Closed_Date]]=0,"",(_xlfn.XLOOKUP(Pipeline_tbl[[#This Row],[Closed_Date]],Dim_Date!A:A,Dim_Date!H:H)))</f>
        <v>Jan 2024</v>
      </c>
      <c r="U4576">
        <f>IF(Pipeline_tbl[[#This Row],[Closed_Date]]=0,"",Pipeline_tbl[[#This Row],[Closed_Date]]-Pipeline_tbl[[#This Row],[Created_Date]])</f>
        <v>10</v>
      </c>
    </row>
    <row r="4577" spans="1:21" ht="15" customHeight="1" x14ac:dyDescent="0.2">
      <c r="A4577" t="s">
        <v>4883</v>
      </c>
      <c r="B4577" t="s">
        <v>235</v>
      </c>
      <c r="C4577" t="s">
        <v>54</v>
      </c>
      <c r="D4577" s="49">
        <v>45299</v>
      </c>
      <c r="E4577" s="49">
        <v>45301</v>
      </c>
      <c r="F4577" s="49">
        <v>45306</v>
      </c>
      <c r="G4577" s="49">
        <v>45312</v>
      </c>
      <c r="H4577" s="49">
        <v>45318</v>
      </c>
      <c r="I4577" s="49">
        <v>45321</v>
      </c>
      <c r="J4577" t="s">
        <v>47</v>
      </c>
      <c r="K4577" s="33">
        <v>3900</v>
      </c>
      <c r="M4577" t="str">
        <f>_xlfn.XLOOKUP(Pipeline_tbl[[#This Row],[Rep_ID]],Dim_Reps!A:A,Dim_Reps!K:K)</f>
        <v>MXN</v>
      </c>
      <c r="N4577" s="33">
        <f>(_xlfn.XLOOKUP(Pipeline_tbl[[#This Row],[Rate_Code_Generalized]],Lookups!A:A,Lookups!B:B))*Pipeline_tbl[[#This Row],[Pipeline_Amount_USD]]</f>
        <v>76957.53</v>
      </c>
      <c r="O4577" t="str">
        <f>_xlfn.XLOOKUP(Pipeline_tbl[[#This Row],[Rep_ID]],Dim_Reps!A:A,Dim_Reps!B:B)</f>
        <v>Milo Castro</v>
      </c>
      <c r="P4577" t="str">
        <f>_xlfn.XLOOKUP(Pipeline_tbl[[#This Row],[Rep_ID]],Dim_Reps!A:A,Dim_Reps!C:C)</f>
        <v>SDR / Inside Sales Rep</v>
      </c>
      <c r="Q4577" t="str">
        <f>_xlfn.XLOOKUP(Pipeline_tbl[[#This Row],[Rep_ID]],Dim_Reps!A:A,Dim_Reps!D:D)</f>
        <v>Inside Sales</v>
      </c>
      <c r="R4577" t="str">
        <f>_xlfn.XLOOKUP(Pipeline_tbl[[#This Row],[Rep_ID]],Dim_Reps!A:A,Dim_Reps!E:E)</f>
        <v>LATAM</v>
      </c>
      <c r="S4577" t="str">
        <f>_xlfn.XLOOKUP(Pipeline_tbl[[#This Row],[Created_Date]],Dim_Date!A:A,Dim_Date!H:H)</f>
        <v>Jan 2024</v>
      </c>
      <c r="T4577" t="str">
        <f>IF(Pipeline_tbl[[#This Row],[Closed_Date]]=0,"",(_xlfn.XLOOKUP(Pipeline_tbl[[#This Row],[Closed_Date]],Dim_Date!A:A,Dim_Date!H:H)))</f>
        <v>Jan 2024</v>
      </c>
      <c r="U4577">
        <f>IF(Pipeline_tbl[[#This Row],[Closed_Date]]=0,"",Pipeline_tbl[[#This Row],[Closed_Date]]-Pipeline_tbl[[#This Row],[Created_Date]])</f>
        <v>22</v>
      </c>
    </row>
    <row r="4578" spans="1:21" ht="15" customHeight="1" x14ac:dyDescent="0.2">
      <c r="A4578" t="s">
        <v>4884</v>
      </c>
      <c r="B4578" t="s">
        <v>235</v>
      </c>
      <c r="C4578" t="s">
        <v>54</v>
      </c>
      <c r="D4578" s="49">
        <v>45299</v>
      </c>
      <c r="E4578" s="49">
        <v>45301</v>
      </c>
      <c r="F4578" s="49">
        <v>45305</v>
      </c>
      <c r="G4578" s="49">
        <v>45312</v>
      </c>
      <c r="H4578" s="49">
        <v>45317</v>
      </c>
      <c r="I4578" s="49">
        <v>45320</v>
      </c>
      <c r="J4578" t="s">
        <v>47</v>
      </c>
      <c r="K4578" s="33">
        <v>4800</v>
      </c>
      <c r="M4578" t="str">
        <f>_xlfn.XLOOKUP(Pipeline_tbl[[#This Row],[Rep_ID]],Dim_Reps!A:A,Dim_Reps!K:K)</f>
        <v>MXN</v>
      </c>
      <c r="N4578" s="33">
        <f>(_xlfn.XLOOKUP(Pipeline_tbl[[#This Row],[Rate_Code_Generalized]],Lookups!A:A,Lookups!B:B))*Pipeline_tbl[[#This Row],[Pipeline_Amount_USD]]</f>
        <v>94716.96</v>
      </c>
      <c r="O4578" t="str">
        <f>_xlfn.XLOOKUP(Pipeline_tbl[[#This Row],[Rep_ID]],Dim_Reps!A:A,Dim_Reps!B:B)</f>
        <v>Milo Castro</v>
      </c>
      <c r="P4578" t="str">
        <f>_xlfn.XLOOKUP(Pipeline_tbl[[#This Row],[Rep_ID]],Dim_Reps!A:A,Dim_Reps!C:C)</f>
        <v>SDR / Inside Sales Rep</v>
      </c>
      <c r="Q4578" t="str">
        <f>_xlfn.XLOOKUP(Pipeline_tbl[[#This Row],[Rep_ID]],Dim_Reps!A:A,Dim_Reps!D:D)</f>
        <v>Inside Sales</v>
      </c>
      <c r="R4578" t="str">
        <f>_xlfn.XLOOKUP(Pipeline_tbl[[#This Row],[Rep_ID]],Dim_Reps!A:A,Dim_Reps!E:E)</f>
        <v>LATAM</v>
      </c>
      <c r="S4578" t="str">
        <f>_xlfn.XLOOKUP(Pipeline_tbl[[#This Row],[Created_Date]],Dim_Date!A:A,Dim_Date!H:H)</f>
        <v>Jan 2024</v>
      </c>
      <c r="T4578" t="str">
        <f>IF(Pipeline_tbl[[#This Row],[Closed_Date]]=0,"",(_xlfn.XLOOKUP(Pipeline_tbl[[#This Row],[Closed_Date]],Dim_Date!A:A,Dim_Date!H:H)))</f>
        <v>Jan 2024</v>
      </c>
      <c r="U4578">
        <f>IF(Pipeline_tbl[[#This Row],[Closed_Date]]=0,"",Pipeline_tbl[[#This Row],[Closed_Date]]-Pipeline_tbl[[#This Row],[Created_Date]])</f>
        <v>21</v>
      </c>
    </row>
    <row r="4579" spans="1:21" ht="15" customHeight="1" x14ac:dyDescent="0.2">
      <c r="A4579" t="s">
        <v>4885</v>
      </c>
      <c r="B4579" t="s">
        <v>235</v>
      </c>
      <c r="C4579" t="s">
        <v>54</v>
      </c>
      <c r="D4579" s="49">
        <v>45298</v>
      </c>
      <c r="E4579" s="49">
        <v>45300</v>
      </c>
      <c r="F4579" s="49">
        <v>45305</v>
      </c>
      <c r="G4579" s="49">
        <v>45312</v>
      </c>
      <c r="I4579" s="49">
        <v>45322</v>
      </c>
      <c r="J4579" t="s">
        <v>49</v>
      </c>
      <c r="K4579" s="33">
        <v>2100</v>
      </c>
      <c r="L4579" t="s">
        <v>61</v>
      </c>
      <c r="M4579" t="str">
        <f>_xlfn.XLOOKUP(Pipeline_tbl[[#This Row],[Rep_ID]],Dim_Reps!A:A,Dim_Reps!K:K)</f>
        <v>MXN</v>
      </c>
      <c r="N4579" s="33">
        <f>(_xlfn.XLOOKUP(Pipeline_tbl[[#This Row],[Rate_Code_Generalized]],Lookups!A:A,Lookups!B:B))*Pipeline_tbl[[#This Row],[Pipeline_Amount_USD]]</f>
        <v>41438.670000000006</v>
      </c>
      <c r="O4579" t="str">
        <f>_xlfn.XLOOKUP(Pipeline_tbl[[#This Row],[Rep_ID]],Dim_Reps!A:A,Dim_Reps!B:B)</f>
        <v>Milo Castro</v>
      </c>
      <c r="P4579" t="str">
        <f>_xlfn.XLOOKUP(Pipeline_tbl[[#This Row],[Rep_ID]],Dim_Reps!A:A,Dim_Reps!C:C)</f>
        <v>SDR / Inside Sales Rep</v>
      </c>
      <c r="Q4579" t="str">
        <f>_xlfn.XLOOKUP(Pipeline_tbl[[#This Row],[Rep_ID]],Dim_Reps!A:A,Dim_Reps!D:D)</f>
        <v>Inside Sales</v>
      </c>
      <c r="R4579" t="str">
        <f>_xlfn.XLOOKUP(Pipeline_tbl[[#This Row],[Rep_ID]],Dim_Reps!A:A,Dim_Reps!E:E)</f>
        <v>LATAM</v>
      </c>
      <c r="S4579" t="str">
        <f>_xlfn.XLOOKUP(Pipeline_tbl[[#This Row],[Created_Date]],Dim_Date!A:A,Dim_Date!H:H)</f>
        <v>Jan 2024</v>
      </c>
      <c r="T4579" t="str">
        <f>IF(Pipeline_tbl[[#This Row],[Closed_Date]]=0,"",(_xlfn.XLOOKUP(Pipeline_tbl[[#This Row],[Closed_Date]],Dim_Date!A:A,Dim_Date!H:H)))</f>
        <v>Jan 2024</v>
      </c>
      <c r="U4579">
        <f>IF(Pipeline_tbl[[#This Row],[Closed_Date]]=0,"",Pipeline_tbl[[#This Row],[Closed_Date]]-Pipeline_tbl[[#This Row],[Created_Date]])</f>
        <v>24</v>
      </c>
    </row>
    <row r="4580" spans="1:21" ht="15" customHeight="1" x14ac:dyDescent="0.2">
      <c r="A4580" t="s">
        <v>4886</v>
      </c>
      <c r="B4580" t="s">
        <v>235</v>
      </c>
      <c r="C4580" t="s">
        <v>52</v>
      </c>
      <c r="D4580" s="49">
        <v>45300</v>
      </c>
      <c r="E4580" s="49">
        <v>45302</v>
      </c>
      <c r="I4580" s="49">
        <v>45316</v>
      </c>
      <c r="J4580" t="s">
        <v>49</v>
      </c>
      <c r="K4580" s="33">
        <v>3100</v>
      </c>
      <c r="L4580" t="s">
        <v>60</v>
      </c>
      <c r="M4580" t="str">
        <f>_xlfn.XLOOKUP(Pipeline_tbl[[#This Row],[Rep_ID]],Dim_Reps!A:A,Dim_Reps!K:K)</f>
        <v>MXN</v>
      </c>
      <c r="N4580" s="33">
        <f>(_xlfn.XLOOKUP(Pipeline_tbl[[#This Row],[Rate_Code_Generalized]],Lookups!A:A,Lookups!B:B))*Pipeline_tbl[[#This Row],[Pipeline_Amount_USD]]</f>
        <v>61171.37</v>
      </c>
      <c r="O4580" t="str">
        <f>_xlfn.XLOOKUP(Pipeline_tbl[[#This Row],[Rep_ID]],Dim_Reps!A:A,Dim_Reps!B:B)</f>
        <v>Milo Castro</v>
      </c>
      <c r="P4580" t="str">
        <f>_xlfn.XLOOKUP(Pipeline_tbl[[#This Row],[Rep_ID]],Dim_Reps!A:A,Dim_Reps!C:C)</f>
        <v>SDR / Inside Sales Rep</v>
      </c>
      <c r="Q4580" t="str">
        <f>_xlfn.XLOOKUP(Pipeline_tbl[[#This Row],[Rep_ID]],Dim_Reps!A:A,Dim_Reps!D:D)</f>
        <v>Inside Sales</v>
      </c>
      <c r="R4580" t="str">
        <f>_xlfn.XLOOKUP(Pipeline_tbl[[#This Row],[Rep_ID]],Dim_Reps!A:A,Dim_Reps!E:E)</f>
        <v>LATAM</v>
      </c>
      <c r="S4580" t="str">
        <f>_xlfn.XLOOKUP(Pipeline_tbl[[#This Row],[Created_Date]],Dim_Date!A:A,Dim_Date!H:H)</f>
        <v>Jan 2024</v>
      </c>
      <c r="T4580" t="str">
        <f>IF(Pipeline_tbl[[#This Row],[Closed_Date]]=0,"",(_xlfn.XLOOKUP(Pipeline_tbl[[#This Row],[Closed_Date]],Dim_Date!A:A,Dim_Date!H:H)))</f>
        <v>Jan 2024</v>
      </c>
      <c r="U4580">
        <f>IF(Pipeline_tbl[[#This Row],[Closed_Date]]=0,"",Pipeline_tbl[[#This Row],[Closed_Date]]-Pipeline_tbl[[#This Row],[Created_Date]])</f>
        <v>16</v>
      </c>
    </row>
    <row r="4581" spans="1:21" ht="15" customHeight="1" x14ac:dyDescent="0.2">
      <c r="A4581" t="s">
        <v>4887</v>
      </c>
      <c r="B4581" t="s">
        <v>237</v>
      </c>
      <c r="C4581" t="s">
        <v>52</v>
      </c>
      <c r="D4581" s="49">
        <v>45296</v>
      </c>
      <c r="E4581" s="49">
        <v>45297</v>
      </c>
      <c r="I4581" s="49">
        <v>45305</v>
      </c>
      <c r="J4581" t="s">
        <v>49</v>
      </c>
      <c r="K4581" s="33">
        <v>3000</v>
      </c>
      <c r="L4581" t="s">
        <v>61</v>
      </c>
      <c r="M4581" t="str">
        <f>_xlfn.XLOOKUP(Pipeline_tbl[[#This Row],[Rep_ID]],Dim_Reps!A:A,Dim_Reps!K:K)</f>
        <v>EUR</v>
      </c>
      <c r="N4581" s="33">
        <f>(_xlfn.XLOOKUP(Pipeline_tbl[[#This Row],[Rate_Code_Generalized]],Lookups!A:A,Lookups!B:B))*Pipeline_tbl[[#This Row],[Pipeline_Amount_USD]]</f>
        <v>3000</v>
      </c>
      <c r="O4581" t="str">
        <f>_xlfn.XLOOKUP(Pipeline_tbl[[#This Row],[Rep_ID]],Dim_Reps!A:A,Dim_Reps!B:B)</f>
        <v>Hugo Santos</v>
      </c>
      <c r="P4581" t="str">
        <f>_xlfn.XLOOKUP(Pipeline_tbl[[#This Row],[Rep_ID]],Dim_Reps!A:A,Dim_Reps!C:C)</f>
        <v>SDR / Inside Sales Rep</v>
      </c>
      <c r="Q4581" t="str">
        <f>_xlfn.XLOOKUP(Pipeline_tbl[[#This Row],[Rep_ID]],Dim_Reps!A:A,Dim_Reps!D:D)</f>
        <v>Inside Sales</v>
      </c>
      <c r="R4581" t="str">
        <f>_xlfn.XLOOKUP(Pipeline_tbl[[#This Row],[Rep_ID]],Dim_Reps!A:A,Dim_Reps!E:E)</f>
        <v>EMEA</v>
      </c>
      <c r="S4581" t="str">
        <f>_xlfn.XLOOKUP(Pipeline_tbl[[#This Row],[Created_Date]],Dim_Date!A:A,Dim_Date!H:H)</f>
        <v>Jan 2024</v>
      </c>
      <c r="T4581" t="str">
        <f>IF(Pipeline_tbl[[#This Row],[Closed_Date]]=0,"",(_xlfn.XLOOKUP(Pipeline_tbl[[#This Row],[Closed_Date]],Dim_Date!A:A,Dim_Date!H:H)))</f>
        <v>Jan 2024</v>
      </c>
      <c r="U4581">
        <f>IF(Pipeline_tbl[[#This Row],[Closed_Date]]=0,"",Pipeline_tbl[[#This Row],[Closed_Date]]-Pipeline_tbl[[#This Row],[Created_Date]])</f>
        <v>9</v>
      </c>
    </row>
    <row r="4582" spans="1:21" ht="15" customHeight="1" x14ac:dyDescent="0.2">
      <c r="A4582" t="s">
        <v>4888</v>
      </c>
      <c r="B4582" t="s">
        <v>237</v>
      </c>
      <c r="C4582" t="s">
        <v>52</v>
      </c>
      <c r="D4582" s="49">
        <v>45292</v>
      </c>
      <c r="E4582" s="49">
        <v>45295</v>
      </c>
      <c r="I4582" s="49">
        <v>45321</v>
      </c>
      <c r="J4582" t="s">
        <v>49</v>
      </c>
      <c r="K4582" s="33">
        <v>4200</v>
      </c>
      <c r="L4582" t="s">
        <v>60</v>
      </c>
      <c r="M4582" t="str">
        <f>_xlfn.XLOOKUP(Pipeline_tbl[[#This Row],[Rep_ID]],Dim_Reps!A:A,Dim_Reps!K:K)</f>
        <v>EUR</v>
      </c>
      <c r="N4582" s="33">
        <f>(_xlfn.XLOOKUP(Pipeline_tbl[[#This Row],[Rate_Code_Generalized]],Lookups!A:A,Lookups!B:B))*Pipeline_tbl[[#This Row],[Pipeline_Amount_USD]]</f>
        <v>4200</v>
      </c>
      <c r="O4582" t="str">
        <f>_xlfn.XLOOKUP(Pipeline_tbl[[#This Row],[Rep_ID]],Dim_Reps!A:A,Dim_Reps!B:B)</f>
        <v>Hugo Santos</v>
      </c>
      <c r="P4582" t="str">
        <f>_xlfn.XLOOKUP(Pipeline_tbl[[#This Row],[Rep_ID]],Dim_Reps!A:A,Dim_Reps!C:C)</f>
        <v>SDR / Inside Sales Rep</v>
      </c>
      <c r="Q4582" t="str">
        <f>_xlfn.XLOOKUP(Pipeline_tbl[[#This Row],[Rep_ID]],Dim_Reps!A:A,Dim_Reps!D:D)</f>
        <v>Inside Sales</v>
      </c>
      <c r="R4582" t="str">
        <f>_xlfn.XLOOKUP(Pipeline_tbl[[#This Row],[Rep_ID]],Dim_Reps!A:A,Dim_Reps!E:E)</f>
        <v>EMEA</v>
      </c>
      <c r="S4582" t="str">
        <f>_xlfn.XLOOKUP(Pipeline_tbl[[#This Row],[Created_Date]],Dim_Date!A:A,Dim_Date!H:H)</f>
        <v>Jan 2024</v>
      </c>
      <c r="T4582" t="str">
        <f>IF(Pipeline_tbl[[#This Row],[Closed_Date]]=0,"",(_xlfn.XLOOKUP(Pipeline_tbl[[#This Row],[Closed_Date]],Dim_Date!A:A,Dim_Date!H:H)))</f>
        <v>Jan 2024</v>
      </c>
      <c r="U4582">
        <f>IF(Pipeline_tbl[[#This Row],[Closed_Date]]=0,"",Pipeline_tbl[[#This Row],[Closed_Date]]-Pipeline_tbl[[#This Row],[Created_Date]])</f>
        <v>29</v>
      </c>
    </row>
    <row r="4583" spans="1:21" ht="15" customHeight="1" x14ac:dyDescent="0.2">
      <c r="A4583" t="s">
        <v>4889</v>
      </c>
      <c r="B4583" t="s">
        <v>237</v>
      </c>
      <c r="C4583" t="s">
        <v>54</v>
      </c>
      <c r="D4583" s="49">
        <v>45295</v>
      </c>
      <c r="E4583" s="49">
        <v>45297</v>
      </c>
      <c r="F4583" s="49">
        <v>45300</v>
      </c>
      <c r="G4583" s="49">
        <v>45305</v>
      </c>
      <c r="H4583" s="49">
        <v>45309</v>
      </c>
      <c r="I4583" s="49">
        <v>45312</v>
      </c>
      <c r="J4583" t="s">
        <v>47</v>
      </c>
      <c r="K4583" s="33">
        <v>7300</v>
      </c>
      <c r="M4583" t="str">
        <f>_xlfn.XLOOKUP(Pipeline_tbl[[#This Row],[Rep_ID]],Dim_Reps!A:A,Dim_Reps!K:K)</f>
        <v>EUR</v>
      </c>
      <c r="N4583" s="33">
        <f>(_xlfn.XLOOKUP(Pipeline_tbl[[#This Row],[Rate_Code_Generalized]],Lookups!A:A,Lookups!B:B))*Pipeline_tbl[[#This Row],[Pipeline_Amount_USD]]</f>
        <v>7300</v>
      </c>
      <c r="O4583" t="str">
        <f>_xlfn.XLOOKUP(Pipeline_tbl[[#This Row],[Rep_ID]],Dim_Reps!A:A,Dim_Reps!B:B)</f>
        <v>Hugo Santos</v>
      </c>
      <c r="P4583" t="str">
        <f>_xlfn.XLOOKUP(Pipeline_tbl[[#This Row],[Rep_ID]],Dim_Reps!A:A,Dim_Reps!C:C)</f>
        <v>SDR / Inside Sales Rep</v>
      </c>
      <c r="Q4583" t="str">
        <f>_xlfn.XLOOKUP(Pipeline_tbl[[#This Row],[Rep_ID]],Dim_Reps!A:A,Dim_Reps!D:D)</f>
        <v>Inside Sales</v>
      </c>
      <c r="R4583" t="str">
        <f>_xlfn.XLOOKUP(Pipeline_tbl[[#This Row],[Rep_ID]],Dim_Reps!A:A,Dim_Reps!E:E)</f>
        <v>EMEA</v>
      </c>
      <c r="S4583" t="str">
        <f>_xlfn.XLOOKUP(Pipeline_tbl[[#This Row],[Created_Date]],Dim_Date!A:A,Dim_Date!H:H)</f>
        <v>Jan 2024</v>
      </c>
      <c r="T4583" t="str">
        <f>IF(Pipeline_tbl[[#This Row],[Closed_Date]]=0,"",(_xlfn.XLOOKUP(Pipeline_tbl[[#This Row],[Closed_Date]],Dim_Date!A:A,Dim_Date!H:H)))</f>
        <v>Jan 2024</v>
      </c>
      <c r="U4583">
        <f>IF(Pipeline_tbl[[#This Row],[Closed_Date]]=0,"",Pipeline_tbl[[#This Row],[Closed_Date]]-Pipeline_tbl[[#This Row],[Created_Date]])</f>
        <v>17</v>
      </c>
    </row>
    <row r="4584" spans="1:21" ht="15" customHeight="1" x14ac:dyDescent="0.2">
      <c r="A4584" t="s">
        <v>4890</v>
      </c>
      <c r="B4584" t="s">
        <v>271</v>
      </c>
      <c r="C4584" t="s">
        <v>55</v>
      </c>
      <c r="D4584" s="49">
        <v>45304</v>
      </c>
      <c r="E4584" s="49">
        <v>45305</v>
      </c>
      <c r="F4584" s="49">
        <v>45308</v>
      </c>
      <c r="G4584" s="49">
        <v>45312</v>
      </c>
      <c r="H4584" s="49">
        <v>45316</v>
      </c>
      <c r="I4584" s="49">
        <v>45318</v>
      </c>
      <c r="J4584" t="s">
        <v>49</v>
      </c>
      <c r="K4584" s="33">
        <v>11000</v>
      </c>
      <c r="L4584" t="s">
        <v>62</v>
      </c>
      <c r="M4584" t="str">
        <f>_xlfn.XLOOKUP(Pipeline_tbl[[#This Row],[Rep_ID]],Dim_Reps!A:A,Dim_Reps!K:K)</f>
        <v>EUR</v>
      </c>
      <c r="N4584" s="33">
        <f>(_xlfn.XLOOKUP(Pipeline_tbl[[#This Row],[Rate_Code_Generalized]],Lookups!A:A,Lookups!B:B))*Pipeline_tbl[[#This Row],[Pipeline_Amount_USD]]</f>
        <v>11000</v>
      </c>
      <c r="O4584" t="str">
        <f>_xlfn.XLOOKUP(Pipeline_tbl[[#This Row],[Rep_ID]],Dim_Reps!A:A,Dim_Reps!B:B)</f>
        <v>Ivy Adler</v>
      </c>
      <c r="P4584" t="str">
        <f>_xlfn.XLOOKUP(Pipeline_tbl[[#This Row],[Rep_ID]],Dim_Reps!A:A,Dim_Reps!C:C)</f>
        <v>Mid-Market AE</v>
      </c>
      <c r="Q4584" t="str">
        <f>_xlfn.XLOOKUP(Pipeline_tbl[[#This Row],[Rep_ID]],Dim_Reps!A:A,Dim_Reps!D:D)</f>
        <v>Mid-Market</v>
      </c>
      <c r="R4584" t="str">
        <f>_xlfn.XLOOKUP(Pipeline_tbl[[#This Row],[Rep_ID]],Dim_Reps!A:A,Dim_Reps!E:E)</f>
        <v>APAC</v>
      </c>
      <c r="S4584" t="str">
        <f>_xlfn.XLOOKUP(Pipeline_tbl[[#This Row],[Created_Date]],Dim_Date!A:A,Dim_Date!H:H)</f>
        <v>Jan 2024</v>
      </c>
      <c r="T4584" t="str">
        <f>IF(Pipeline_tbl[[#This Row],[Closed_Date]]=0,"",(_xlfn.XLOOKUP(Pipeline_tbl[[#This Row],[Closed_Date]],Dim_Date!A:A,Dim_Date!H:H)))</f>
        <v>Jan 2024</v>
      </c>
      <c r="U4584">
        <f>IF(Pipeline_tbl[[#This Row],[Closed_Date]]=0,"",Pipeline_tbl[[#This Row],[Closed_Date]]-Pipeline_tbl[[#This Row],[Created_Date]])</f>
        <v>14</v>
      </c>
    </row>
    <row r="4585" spans="1:21" ht="15" customHeight="1" x14ac:dyDescent="0.2">
      <c r="A4585" t="s">
        <v>4891</v>
      </c>
      <c r="B4585" t="s">
        <v>241</v>
      </c>
      <c r="C4585" t="s">
        <v>52</v>
      </c>
      <c r="D4585" s="49">
        <v>45292</v>
      </c>
      <c r="E4585" s="49">
        <v>45293</v>
      </c>
      <c r="F4585" s="49">
        <v>45295</v>
      </c>
      <c r="G4585" s="49">
        <v>45299</v>
      </c>
      <c r="H4585" s="49">
        <v>45301</v>
      </c>
      <c r="I4585" s="49">
        <v>45303</v>
      </c>
      <c r="J4585" t="s">
        <v>47</v>
      </c>
      <c r="K4585" s="33">
        <v>2200</v>
      </c>
      <c r="M4585" t="str">
        <f>_xlfn.XLOOKUP(Pipeline_tbl[[#This Row],[Rep_ID]],Dim_Reps!A:A,Dim_Reps!K:K)</f>
        <v>EUR</v>
      </c>
      <c r="N4585" s="33">
        <f>(_xlfn.XLOOKUP(Pipeline_tbl[[#This Row],[Rate_Code_Generalized]],Lookups!A:A,Lookups!B:B))*Pipeline_tbl[[#This Row],[Pipeline_Amount_USD]]</f>
        <v>2200</v>
      </c>
      <c r="O4585" t="str">
        <f>_xlfn.XLOOKUP(Pipeline_tbl[[#This Row],[Rep_ID]],Dim_Reps!A:A,Dim_Reps!B:B)</f>
        <v>Kenji Weber</v>
      </c>
      <c r="P4585" t="str">
        <f>_xlfn.XLOOKUP(Pipeline_tbl[[#This Row],[Rep_ID]],Dim_Reps!A:A,Dim_Reps!C:C)</f>
        <v>SDR / Inside Sales Rep</v>
      </c>
      <c r="Q4585" t="str">
        <f>_xlfn.XLOOKUP(Pipeline_tbl[[#This Row],[Rep_ID]],Dim_Reps!A:A,Dim_Reps!D:D)</f>
        <v>Inside Sales</v>
      </c>
      <c r="R4585" t="str">
        <f>_xlfn.XLOOKUP(Pipeline_tbl[[#This Row],[Rep_ID]],Dim_Reps!A:A,Dim_Reps!E:E)</f>
        <v>APAC</v>
      </c>
      <c r="S4585" t="str">
        <f>_xlfn.XLOOKUP(Pipeline_tbl[[#This Row],[Created_Date]],Dim_Date!A:A,Dim_Date!H:H)</f>
        <v>Jan 2024</v>
      </c>
      <c r="T4585" t="str">
        <f>IF(Pipeline_tbl[[#This Row],[Closed_Date]]=0,"",(_xlfn.XLOOKUP(Pipeline_tbl[[#This Row],[Closed_Date]],Dim_Date!A:A,Dim_Date!H:H)))</f>
        <v>Jan 2024</v>
      </c>
      <c r="U4585">
        <f>IF(Pipeline_tbl[[#This Row],[Closed_Date]]=0,"",Pipeline_tbl[[#This Row],[Closed_Date]]-Pipeline_tbl[[#This Row],[Created_Date]])</f>
        <v>11</v>
      </c>
    </row>
    <row r="4586" spans="1:21" ht="15" customHeight="1" x14ac:dyDescent="0.2">
      <c r="A4586" t="s">
        <v>4892</v>
      </c>
      <c r="B4586" t="s">
        <v>241</v>
      </c>
      <c r="C4586" t="s">
        <v>52</v>
      </c>
      <c r="D4586" s="49">
        <v>45295</v>
      </c>
      <c r="E4586" s="49">
        <v>45296</v>
      </c>
      <c r="F4586" s="49">
        <v>45298</v>
      </c>
      <c r="G4586" s="49">
        <v>45302</v>
      </c>
      <c r="I4586" s="49">
        <v>45306</v>
      </c>
      <c r="J4586" t="s">
        <v>49</v>
      </c>
      <c r="K4586" s="33">
        <v>3200</v>
      </c>
      <c r="L4586" t="s">
        <v>62</v>
      </c>
      <c r="M4586" t="str">
        <f>_xlfn.XLOOKUP(Pipeline_tbl[[#This Row],[Rep_ID]],Dim_Reps!A:A,Dim_Reps!K:K)</f>
        <v>EUR</v>
      </c>
      <c r="N4586" s="33">
        <f>(_xlfn.XLOOKUP(Pipeline_tbl[[#This Row],[Rate_Code_Generalized]],Lookups!A:A,Lookups!B:B))*Pipeline_tbl[[#This Row],[Pipeline_Amount_USD]]</f>
        <v>3200</v>
      </c>
      <c r="O4586" t="str">
        <f>_xlfn.XLOOKUP(Pipeline_tbl[[#This Row],[Rep_ID]],Dim_Reps!A:A,Dim_Reps!B:B)</f>
        <v>Kenji Weber</v>
      </c>
      <c r="P4586" t="str">
        <f>_xlfn.XLOOKUP(Pipeline_tbl[[#This Row],[Rep_ID]],Dim_Reps!A:A,Dim_Reps!C:C)</f>
        <v>SDR / Inside Sales Rep</v>
      </c>
      <c r="Q4586" t="str">
        <f>_xlfn.XLOOKUP(Pipeline_tbl[[#This Row],[Rep_ID]],Dim_Reps!A:A,Dim_Reps!D:D)</f>
        <v>Inside Sales</v>
      </c>
      <c r="R4586" t="str">
        <f>_xlfn.XLOOKUP(Pipeline_tbl[[#This Row],[Rep_ID]],Dim_Reps!A:A,Dim_Reps!E:E)</f>
        <v>APAC</v>
      </c>
      <c r="S4586" t="str">
        <f>_xlfn.XLOOKUP(Pipeline_tbl[[#This Row],[Created_Date]],Dim_Date!A:A,Dim_Date!H:H)</f>
        <v>Jan 2024</v>
      </c>
      <c r="T4586" t="str">
        <f>IF(Pipeline_tbl[[#This Row],[Closed_Date]]=0,"",(_xlfn.XLOOKUP(Pipeline_tbl[[#This Row],[Closed_Date]],Dim_Date!A:A,Dim_Date!H:H)))</f>
        <v>Jan 2024</v>
      </c>
      <c r="U4586">
        <f>IF(Pipeline_tbl[[#This Row],[Closed_Date]]=0,"",Pipeline_tbl[[#This Row],[Closed_Date]]-Pipeline_tbl[[#This Row],[Created_Date]])</f>
        <v>11</v>
      </c>
    </row>
    <row r="4587" spans="1:21" ht="15" customHeight="1" x14ac:dyDescent="0.2">
      <c r="A4587" t="s">
        <v>4893</v>
      </c>
      <c r="B4587" t="s">
        <v>241</v>
      </c>
      <c r="C4587" t="s">
        <v>56</v>
      </c>
      <c r="D4587" s="49">
        <v>45303</v>
      </c>
      <c r="E4587" s="49">
        <v>45305</v>
      </c>
      <c r="F4587" s="49">
        <v>45308</v>
      </c>
      <c r="G4587" s="49">
        <v>45313</v>
      </c>
      <c r="H4587" s="49">
        <v>45317</v>
      </c>
      <c r="I4587" s="49">
        <v>45320</v>
      </c>
      <c r="J4587" t="s">
        <v>47</v>
      </c>
      <c r="K4587" s="33">
        <v>1900</v>
      </c>
      <c r="M4587" t="str">
        <f>_xlfn.XLOOKUP(Pipeline_tbl[[#This Row],[Rep_ID]],Dim_Reps!A:A,Dim_Reps!K:K)</f>
        <v>EUR</v>
      </c>
      <c r="N4587" s="33">
        <f>(_xlfn.XLOOKUP(Pipeline_tbl[[#This Row],[Rate_Code_Generalized]],Lookups!A:A,Lookups!B:B))*Pipeline_tbl[[#This Row],[Pipeline_Amount_USD]]</f>
        <v>1900</v>
      </c>
      <c r="O4587" t="str">
        <f>_xlfn.XLOOKUP(Pipeline_tbl[[#This Row],[Rep_ID]],Dim_Reps!A:A,Dim_Reps!B:B)</f>
        <v>Kenji Weber</v>
      </c>
      <c r="P4587" t="str">
        <f>_xlfn.XLOOKUP(Pipeline_tbl[[#This Row],[Rep_ID]],Dim_Reps!A:A,Dim_Reps!C:C)</f>
        <v>SDR / Inside Sales Rep</v>
      </c>
      <c r="Q4587" t="str">
        <f>_xlfn.XLOOKUP(Pipeline_tbl[[#This Row],[Rep_ID]],Dim_Reps!A:A,Dim_Reps!D:D)</f>
        <v>Inside Sales</v>
      </c>
      <c r="R4587" t="str">
        <f>_xlfn.XLOOKUP(Pipeline_tbl[[#This Row],[Rep_ID]],Dim_Reps!A:A,Dim_Reps!E:E)</f>
        <v>APAC</v>
      </c>
      <c r="S4587" t="str">
        <f>_xlfn.XLOOKUP(Pipeline_tbl[[#This Row],[Created_Date]],Dim_Date!A:A,Dim_Date!H:H)</f>
        <v>Jan 2024</v>
      </c>
      <c r="T4587" t="str">
        <f>IF(Pipeline_tbl[[#This Row],[Closed_Date]]=0,"",(_xlfn.XLOOKUP(Pipeline_tbl[[#This Row],[Closed_Date]],Dim_Date!A:A,Dim_Date!H:H)))</f>
        <v>Jan 2024</v>
      </c>
      <c r="U4587">
        <f>IF(Pipeline_tbl[[#This Row],[Closed_Date]]=0,"",Pipeline_tbl[[#This Row],[Closed_Date]]-Pipeline_tbl[[#This Row],[Created_Date]])</f>
        <v>17</v>
      </c>
    </row>
    <row r="4588" spans="1:21" ht="15" customHeight="1" x14ac:dyDescent="0.2">
      <c r="A4588" t="s">
        <v>4894</v>
      </c>
      <c r="B4588" t="s">
        <v>241</v>
      </c>
      <c r="C4588" t="s">
        <v>52</v>
      </c>
      <c r="D4588" s="49">
        <v>45306</v>
      </c>
      <c r="E4588" s="49">
        <v>45307</v>
      </c>
      <c r="F4588" s="49">
        <v>45310</v>
      </c>
      <c r="G4588" s="49">
        <v>45313</v>
      </c>
      <c r="I4588" s="49">
        <v>45318</v>
      </c>
      <c r="J4588" t="s">
        <v>49</v>
      </c>
      <c r="K4588" s="33">
        <v>2800</v>
      </c>
      <c r="L4588" t="s">
        <v>60</v>
      </c>
      <c r="M4588" t="str">
        <f>_xlfn.XLOOKUP(Pipeline_tbl[[#This Row],[Rep_ID]],Dim_Reps!A:A,Dim_Reps!K:K)</f>
        <v>EUR</v>
      </c>
      <c r="N4588" s="33">
        <f>(_xlfn.XLOOKUP(Pipeline_tbl[[#This Row],[Rate_Code_Generalized]],Lookups!A:A,Lookups!B:B))*Pipeline_tbl[[#This Row],[Pipeline_Amount_USD]]</f>
        <v>2800</v>
      </c>
      <c r="O4588" t="str">
        <f>_xlfn.XLOOKUP(Pipeline_tbl[[#This Row],[Rep_ID]],Dim_Reps!A:A,Dim_Reps!B:B)</f>
        <v>Kenji Weber</v>
      </c>
      <c r="P4588" t="str">
        <f>_xlfn.XLOOKUP(Pipeline_tbl[[#This Row],[Rep_ID]],Dim_Reps!A:A,Dim_Reps!C:C)</f>
        <v>SDR / Inside Sales Rep</v>
      </c>
      <c r="Q4588" t="str">
        <f>_xlfn.XLOOKUP(Pipeline_tbl[[#This Row],[Rep_ID]],Dim_Reps!A:A,Dim_Reps!D:D)</f>
        <v>Inside Sales</v>
      </c>
      <c r="R4588" t="str">
        <f>_xlfn.XLOOKUP(Pipeline_tbl[[#This Row],[Rep_ID]],Dim_Reps!A:A,Dim_Reps!E:E)</f>
        <v>APAC</v>
      </c>
      <c r="S4588" t="str">
        <f>_xlfn.XLOOKUP(Pipeline_tbl[[#This Row],[Created_Date]],Dim_Date!A:A,Dim_Date!H:H)</f>
        <v>Jan 2024</v>
      </c>
      <c r="T4588" t="str">
        <f>IF(Pipeline_tbl[[#This Row],[Closed_Date]]=0,"",(_xlfn.XLOOKUP(Pipeline_tbl[[#This Row],[Closed_Date]],Dim_Date!A:A,Dim_Date!H:H)))</f>
        <v>Jan 2024</v>
      </c>
      <c r="U4588">
        <f>IF(Pipeline_tbl[[#This Row],[Closed_Date]]=0,"",Pipeline_tbl[[#This Row],[Closed_Date]]-Pipeline_tbl[[#This Row],[Created_Date]])</f>
        <v>12</v>
      </c>
    </row>
    <row r="4589" spans="1:21" ht="15" customHeight="1" x14ac:dyDescent="0.2">
      <c r="A4589" t="s">
        <v>4895</v>
      </c>
      <c r="B4589" t="s">
        <v>241</v>
      </c>
      <c r="C4589" t="s">
        <v>55</v>
      </c>
      <c r="D4589" s="49">
        <v>45299</v>
      </c>
      <c r="E4589" s="49">
        <v>45301</v>
      </c>
      <c r="F4589" s="49">
        <v>45305</v>
      </c>
      <c r="G4589" s="49">
        <v>45312</v>
      </c>
      <c r="H4589" s="49">
        <v>45317</v>
      </c>
      <c r="I4589" s="49">
        <v>45320</v>
      </c>
      <c r="J4589" t="s">
        <v>47</v>
      </c>
      <c r="K4589" s="33">
        <v>1600</v>
      </c>
      <c r="M4589" t="str">
        <f>_xlfn.XLOOKUP(Pipeline_tbl[[#This Row],[Rep_ID]],Dim_Reps!A:A,Dim_Reps!K:K)</f>
        <v>EUR</v>
      </c>
      <c r="N4589" s="33">
        <f>(_xlfn.XLOOKUP(Pipeline_tbl[[#This Row],[Rate_Code_Generalized]],Lookups!A:A,Lookups!B:B))*Pipeline_tbl[[#This Row],[Pipeline_Amount_USD]]</f>
        <v>1600</v>
      </c>
      <c r="O4589" t="str">
        <f>_xlfn.XLOOKUP(Pipeline_tbl[[#This Row],[Rep_ID]],Dim_Reps!A:A,Dim_Reps!B:B)</f>
        <v>Kenji Weber</v>
      </c>
      <c r="P4589" t="str">
        <f>_xlfn.XLOOKUP(Pipeline_tbl[[#This Row],[Rep_ID]],Dim_Reps!A:A,Dim_Reps!C:C)</f>
        <v>SDR / Inside Sales Rep</v>
      </c>
      <c r="Q4589" t="str">
        <f>_xlfn.XLOOKUP(Pipeline_tbl[[#This Row],[Rep_ID]],Dim_Reps!A:A,Dim_Reps!D:D)</f>
        <v>Inside Sales</v>
      </c>
      <c r="R4589" t="str">
        <f>_xlfn.XLOOKUP(Pipeline_tbl[[#This Row],[Rep_ID]],Dim_Reps!A:A,Dim_Reps!E:E)</f>
        <v>APAC</v>
      </c>
      <c r="S4589" t="str">
        <f>_xlfn.XLOOKUP(Pipeline_tbl[[#This Row],[Created_Date]],Dim_Date!A:A,Dim_Date!H:H)</f>
        <v>Jan 2024</v>
      </c>
      <c r="T4589" t="str">
        <f>IF(Pipeline_tbl[[#This Row],[Closed_Date]]=0,"",(_xlfn.XLOOKUP(Pipeline_tbl[[#This Row],[Closed_Date]],Dim_Date!A:A,Dim_Date!H:H)))</f>
        <v>Jan 2024</v>
      </c>
      <c r="U4589">
        <f>IF(Pipeline_tbl[[#This Row],[Closed_Date]]=0,"",Pipeline_tbl[[#This Row],[Closed_Date]]-Pipeline_tbl[[#This Row],[Created_Date]])</f>
        <v>21</v>
      </c>
    </row>
    <row r="4590" spans="1:21" ht="15" customHeight="1" x14ac:dyDescent="0.2">
      <c r="A4590" t="s">
        <v>4896</v>
      </c>
      <c r="B4590" t="s">
        <v>243</v>
      </c>
      <c r="C4590" t="s">
        <v>52</v>
      </c>
      <c r="D4590" s="49">
        <v>45312</v>
      </c>
      <c r="E4590" s="49">
        <v>45316</v>
      </c>
      <c r="I4590" s="49">
        <v>45355</v>
      </c>
      <c r="J4590" t="s">
        <v>49</v>
      </c>
      <c r="K4590" s="33">
        <v>5900</v>
      </c>
      <c r="L4590" t="s">
        <v>62</v>
      </c>
      <c r="M4590" t="str">
        <f>_xlfn.XLOOKUP(Pipeline_tbl[[#This Row],[Rep_ID]],Dim_Reps!A:A,Dim_Reps!K:K)</f>
        <v>MXN</v>
      </c>
      <c r="N4590" s="33">
        <f>(_xlfn.XLOOKUP(Pipeline_tbl[[#This Row],[Rate_Code_Generalized]],Lookups!A:A,Lookups!B:B))*Pipeline_tbl[[#This Row],[Pipeline_Amount_USD]]</f>
        <v>116422.93000000001</v>
      </c>
      <c r="O4590" t="str">
        <f>_xlfn.XLOOKUP(Pipeline_tbl[[#This Row],[Rep_ID]],Dim_Reps!A:A,Dim_Reps!B:B)</f>
        <v>Jonas Sato</v>
      </c>
      <c r="P4590" t="str">
        <f>_xlfn.XLOOKUP(Pipeline_tbl[[#This Row],[Rep_ID]],Dim_Reps!A:A,Dim_Reps!C:C)</f>
        <v>Mid-Market AE</v>
      </c>
      <c r="Q4590" t="str">
        <f>_xlfn.XLOOKUP(Pipeline_tbl[[#This Row],[Rep_ID]],Dim_Reps!A:A,Dim_Reps!D:D)</f>
        <v>Mid-Market</v>
      </c>
      <c r="R4590" t="str">
        <f>_xlfn.XLOOKUP(Pipeline_tbl[[#This Row],[Rep_ID]],Dim_Reps!A:A,Dim_Reps!E:E)</f>
        <v>LATAM</v>
      </c>
      <c r="S4590" t="str">
        <f>_xlfn.XLOOKUP(Pipeline_tbl[[#This Row],[Created_Date]],Dim_Date!A:A,Dim_Date!H:H)</f>
        <v>Jan 2024</v>
      </c>
      <c r="T4590" t="str">
        <f>IF(Pipeline_tbl[[#This Row],[Closed_Date]]=0,"",(_xlfn.XLOOKUP(Pipeline_tbl[[#This Row],[Closed_Date]],Dim_Date!A:A,Dim_Date!H:H)))</f>
        <v>Mar 2024</v>
      </c>
      <c r="U4590">
        <f>IF(Pipeline_tbl[[#This Row],[Closed_Date]]=0,"",Pipeline_tbl[[#This Row],[Closed_Date]]-Pipeline_tbl[[#This Row],[Created_Date]])</f>
        <v>43</v>
      </c>
    </row>
    <row r="4591" spans="1:21" ht="15" customHeight="1" x14ac:dyDescent="0.2">
      <c r="A4591" t="s">
        <v>4897</v>
      </c>
      <c r="B4591" t="s">
        <v>183</v>
      </c>
      <c r="C4591" t="s">
        <v>52</v>
      </c>
      <c r="D4591" s="49">
        <v>45296</v>
      </c>
      <c r="E4591" s="49">
        <v>45303</v>
      </c>
      <c r="I4591" s="49">
        <v>45363</v>
      </c>
      <c r="J4591" t="s">
        <v>49</v>
      </c>
      <c r="K4591" s="33">
        <v>64200</v>
      </c>
      <c r="L4591" t="s">
        <v>63</v>
      </c>
      <c r="M4591" t="str">
        <f>_xlfn.XLOOKUP(Pipeline_tbl[[#This Row],[Rep_ID]],Dim_Reps!A:A,Dim_Reps!K:K)</f>
        <v>EUR</v>
      </c>
      <c r="N4591" s="33">
        <f>(_xlfn.XLOOKUP(Pipeline_tbl[[#This Row],[Rate_Code_Generalized]],Lookups!A:A,Lookups!B:B))*Pipeline_tbl[[#This Row],[Pipeline_Amount_USD]]</f>
        <v>64200</v>
      </c>
      <c r="O4591" t="str">
        <f>_xlfn.XLOOKUP(Pipeline_tbl[[#This Row],[Rep_ID]],Dim_Reps!A:A,Dim_Reps!B:B)</f>
        <v>Sam Schmidt</v>
      </c>
      <c r="P4591" t="str">
        <f>_xlfn.XLOOKUP(Pipeline_tbl[[#This Row],[Rep_ID]],Dim_Reps!A:A,Dim_Reps!C:C)</f>
        <v>Enterprise AE</v>
      </c>
      <c r="Q4591" t="str">
        <f>_xlfn.XLOOKUP(Pipeline_tbl[[#This Row],[Rep_ID]],Dim_Reps!A:A,Dim_Reps!D:D)</f>
        <v>Enterprise</v>
      </c>
      <c r="R4591" t="str">
        <f>_xlfn.XLOOKUP(Pipeline_tbl[[#This Row],[Rep_ID]],Dim_Reps!A:A,Dim_Reps!E:E)</f>
        <v>EMEA</v>
      </c>
      <c r="S4591" t="str">
        <f>_xlfn.XLOOKUP(Pipeline_tbl[[#This Row],[Created_Date]],Dim_Date!A:A,Dim_Date!H:H)</f>
        <v>Jan 2024</v>
      </c>
      <c r="T4591" t="str">
        <f>IF(Pipeline_tbl[[#This Row],[Closed_Date]]=0,"",(_xlfn.XLOOKUP(Pipeline_tbl[[#This Row],[Closed_Date]],Dim_Date!A:A,Dim_Date!H:H)))</f>
        <v>Mar 2024</v>
      </c>
      <c r="U4591">
        <f>IF(Pipeline_tbl[[#This Row],[Closed_Date]]=0,"",Pipeline_tbl[[#This Row],[Closed_Date]]-Pipeline_tbl[[#This Row],[Created_Date]])</f>
        <v>67</v>
      </c>
    </row>
    <row r="4592" spans="1:21" ht="15" customHeight="1" x14ac:dyDescent="0.2">
      <c r="A4592" t="s">
        <v>4898</v>
      </c>
      <c r="B4592" t="s">
        <v>183</v>
      </c>
      <c r="C4592" t="s">
        <v>52</v>
      </c>
      <c r="D4592" s="49">
        <v>45319</v>
      </c>
      <c r="E4592" s="49">
        <v>45322</v>
      </c>
      <c r="F4592" s="49">
        <v>45329</v>
      </c>
      <c r="G4592" s="49">
        <v>45339</v>
      </c>
      <c r="H4592" s="49">
        <v>45347</v>
      </c>
      <c r="I4592" s="49">
        <v>45352</v>
      </c>
      <c r="J4592" t="s">
        <v>47</v>
      </c>
      <c r="K4592" s="33">
        <v>27800</v>
      </c>
      <c r="M4592" t="str">
        <f>_xlfn.XLOOKUP(Pipeline_tbl[[#This Row],[Rep_ID]],Dim_Reps!A:A,Dim_Reps!K:K)</f>
        <v>EUR</v>
      </c>
      <c r="N4592" s="33">
        <f>(_xlfn.XLOOKUP(Pipeline_tbl[[#This Row],[Rate_Code_Generalized]],Lookups!A:A,Lookups!B:B))*Pipeline_tbl[[#This Row],[Pipeline_Amount_USD]]</f>
        <v>27800</v>
      </c>
      <c r="O4592" t="str">
        <f>_xlfn.XLOOKUP(Pipeline_tbl[[#This Row],[Rep_ID]],Dim_Reps!A:A,Dim_Reps!B:B)</f>
        <v>Sam Schmidt</v>
      </c>
      <c r="P4592" t="str">
        <f>_xlfn.XLOOKUP(Pipeline_tbl[[#This Row],[Rep_ID]],Dim_Reps!A:A,Dim_Reps!C:C)</f>
        <v>Enterprise AE</v>
      </c>
      <c r="Q4592" t="str">
        <f>_xlfn.XLOOKUP(Pipeline_tbl[[#This Row],[Rep_ID]],Dim_Reps!A:A,Dim_Reps!D:D)</f>
        <v>Enterprise</v>
      </c>
      <c r="R4592" t="str">
        <f>_xlfn.XLOOKUP(Pipeline_tbl[[#This Row],[Rep_ID]],Dim_Reps!A:A,Dim_Reps!E:E)</f>
        <v>EMEA</v>
      </c>
      <c r="S4592" t="str">
        <f>_xlfn.XLOOKUP(Pipeline_tbl[[#This Row],[Created_Date]],Dim_Date!A:A,Dim_Date!H:H)</f>
        <v>Jan 2024</v>
      </c>
      <c r="T4592" t="str">
        <f>IF(Pipeline_tbl[[#This Row],[Closed_Date]]=0,"",(_xlfn.XLOOKUP(Pipeline_tbl[[#This Row],[Closed_Date]],Dim_Date!A:A,Dim_Date!H:H)))</f>
        <v>Mar 2024</v>
      </c>
      <c r="U4592">
        <f>IF(Pipeline_tbl[[#This Row],[Closed_Date]]=0,"",Pipeline_tbl[[#This Row],[Closed_Date]]-Pipeline_tbl[[#This Row],[Created_Date]])</f>
        <v>33</v>
      </c>
    </row>
    <row r="4593" spans="1:21" ht="15" customHeight="1" x14ac:dyDescent="0.2">
      <c r="A4593" t="s">
        <v>4899</v>
      </c>
      <c r="B4593" t="s">
        <v>183</v>
      </c>
      <c r="C4593" t="s">
        <v>56</v>
      </c>
      <c r="D4593" s="49">
        <v>45294</v>
      </c>
      <c r="E4593" s="49">
        <v>45300</v>
      </c>
      <c r="I4593" s="49">
        <v>45355</v>
      </c>
      <c r="J4593" t="s">
        <v>49</v>
      </c>
      <c r="K4593" s="33">
        <v>36000</v>
      </c>
      <c r="L4593" t="s">
        <v>64</v>
      </c>
      <c r="M4593" t="str">
        <f>_xlfn.XLOOKUP(Pipeline_tbl[[#This Row],[Rep_ID]],Dim_Reps!A:A,Dim_Reps!K:K)</f>
        <v>EUR</v>
      </c>
      <c r="N4593" s="33">
        <f>(_xlfn.XLOOKUP(Pipeline_tbl[[#This Row],[Rate_Code_Generalized]],Lookups!A:A,Lookups!B:B))*Pipeline_tbl[[#This Row],[Pipeline_Amount_USD]]</f>
        <v>36000</v>
      </c>
      <c r="O4593" t="str">
        <f>_xlfn.XLOOKUP(Pipeline_tbl[[#This Row],[Rep_ID]],Dim_Reps!A:A,Dim_Reps!B:B)</f>
        <v>Sam Schmidt</v>
      </c>
      <c r="P4593" t="str">
        <f>_xlfn.XLOOKUP(Pipeline_tbl[[#This Row],[Rep_ID]],Dim_Reps!A:A,Dim_Reps!C:C)</f>
        <v>Enterprise AE</v>
      </c>
      <c r="Q4593" t="str">
        <f>_xlfn.XLOOKUP(Pipeline_tbl[[#This Row],[Rep_ID]],Dim_Reps!A:A,Dim_Reps!D:D)</f>
        <v>Enterprise</v>
      </c>
      <c r="R4593" t="str">
        <f>_xlfn.XLOOKUP(Pipeline_tbl[[#This Row],[Rep_ID]],Dim_Reps!A:A,Dim_Reps!E:E)</f>
        <v>EMEA</v>
      </c>
      <c r="S4593" t="str">
        <f>_xlfn.XLOOKUP(Pipeline_tbl[[#This Row],[Created_Date]],Dim_Date!A:A,Dim_Date!H:H)</f>
        <v>Jan 2024</v>
      </c>
      <c r="T4593" t="str">
        <f>IF(Pipeline_tbl[[#This Row],[Closed_Date]]=0,"",(_xlfn.XLOOKUP(Pipeline_tbl[[#This Row],[Closed_Date]],Dim_Date!A:A,Dim_Date!H:H)))</f>
        <v>Mar 2024</v>
      </c>
      <c r="U4593">
        <f>IF(Pipeline_tbl[[#This Row],[Closed_Date]]=0,"",Pipeline_tbl[[#This Row],[Closed_Date]]-Pipeline_tbl[[#This Row],[Created_Date]])</f>
        <v>61</v>
      </c>
    </row>
    <row r="4594" spans="1:21" ht="15" customHeight="1" x14ac:dyDescent="0.2">
      <c r="A4594" t="s">
        <v>4900</v>
      </c>
      <c r="B4594" t="s">
        <v>188</v>
      </c>
      <c r="C4594" t="s">
        <v>52</v>
      </c>
      <c r="D4594" s="49">
        <v>45293</v>
      </c>
      <c r="E4594" s="49">
        <v>45300</v>
      </c>
      <c r="F4594" s="49">
        <v>45313</v>
      </c>
      <c r="G4594" s="49">
        <v>45334</v>
      </c>
      <c r="H4594" s="49">
        <v>45351</v>
      </c>
      <c r="I4594" s="49">
        <v>45361</v>
      </c>
      <c r="J4594" t="s">
        <v>47</v>
      </c>
      <c r="K4594" s="33">
        <v>27500</v>
      </c>
      <c r="M4594" t="str">
        <f>_xlfn.XLOOKUP(Pipeline_tbl[[#This Row],[Rep_ID]],Dim_Reps!A:A,Dim_Reps!K:K)</f>
        <v>EUR</v>
      </c>
      <c r="N4594" s="33">
        <f>(_xlfn.XLOOKUP(Pipeline_tbl[[#This Row],[Rate_Code_Generalized]],Lookups!A:A,Lookups!B:B))*Pipeline_tbl[[#This Row],[Pipeline_Amount_USD]]</f>
        <v>27500</v>
      </c>
      <c r="O4594" t="str">
        <f>_xlfn.XLOOKUP(Pipeline_tbl[[#This Row],[Rep_ID]],Dim_Reps!A:A,Dim_Reps!B:B)</f>
        <v>Jamie Santos</v>
      </c>
      <c r="P4594" t="str">
        <f>_xlfn.XLOOKUP(Pipeline_tbl[[#This Row],[Rep_ID]],Dim_Reps!A:A,Dim_Reps!C:C)</f>
        <v>Enterprise AE</v>
      </c>
      <c r="Q4594" t="str">
        <f>_xlfn.XLOOKUP(Pipeline_tbl[[#This Row],[Rep_ID]],Dim_Reps!A:A,Dim_Reps!D:D)</f>
        <v>Enterprise</v>
      </c>
      <c r="R4594" t="str">
        <f>_xlfn.XLOOKUP(Pipeline_tbl[[#This Row],[Rep_ID]],Dim_Reps!A:A,Dim_Reps!E:E)</f>
        <v>APAC</v>
      </c>
      <c r="S4594" t="str">
        <f>_xlfn.XLOOKUP(Pipeline_tbl[[#This Row],[Created_Date]],Dim_Date!A:A,Dim_Date!H:H)</f>
        <v>Jan 2024</v>
      </c>
      <c r="T4594" t="str">
        <f>IF(Pipeline_tbl[[#This Row],[Closed_Date]]=0,"",(_xlfn.XLOOKUP(Pipeline_tbl[[#This Row],[Closed_Date]],Dim_Date!A:A,Dim_Date!H:H)))</f>
        <v>Mar 2024</v>
      </c>
      <c r="U4594">
        <f>IF(Pipeline_tbl[[#This Row],[Closed_Date]]=0,"",Pipeline_tbl[[#This Row],[Closed_Date]]-Pipeline_tbl[[#This Row],[Created_Date]])</f>
        <v>68</v>
      </c>
    </row>
    <row r="4595" spans="1:21" ht="15" customHeight="1" x14ac:dyDescent="0.2">
      <c r="A4595" t="s">
        <v>4901</v>
      </c>
      <c r="B4595" t="s">
        <v>188</v>
      </c>
      <c r="C4595" t="s">
        <v>52</v>
      </c>
      <c r="D4595" s="49">
        <v>45318</v>
      </c>
      <c r="E4595" s="49">
        <v>45322</v>
      </c>
      <c r="F4595" s="49">
        <v>45331</v>
      </c>
      <c r="G4595" s="49">
        <v>45344</v>
      </c>
      <c r="I4595" s="49">
        <v>45361</v>
      </c>
      <c r="J4595" t="s">
        <v>49</v>
      </c>
      <c r="K4595" s="33">
        <v>21200</v>
      </c>
      <c r="L4595" t="s">
        <v>60</v>
      </c>
      <c r="M4595" t="str">
        <f>_xlfn.XLOOKUP(Pipeline_tbl[[#This Row],[Rep_ID]],Dim_Reps!A:A,Dim_Reps!K:K)</f>
        <v>EUR</v>
      </c>
      <c r="N4595" s="33">
        <f>(_xlfn.XLOOKUP(Pipeline_tbl[[#This Row],[Rate_Code_Generalized]],Lookups!A:A,Lookups!B:B))*Pipeline_tbl[[#This Row],[Pipeline_Amount_USD]]</f>
        <v>21200</v>
      </c>
      <c r="O4595" t="str">
        <f>_xlfn.XLOOKUP(Pipeline_tbl[[#This Row],[Rep_ID]],Dim_Reps!A:A,Dim_Reps!B:B)</f>
        <v>Jamie Santos</v>
      </c>
      <c r="P4595" t="str">
        <f>_xlfn.XLOOKUP(Pipeline_tbl[[#This Row],[Rep_ID]],Dim_Reps!A:A,Dim_Reps!C:C)</f>
        <v>Enterprise AE</v>
      </c>
      <c r="Q4595" t="str">
        <f>_xlfn.XLOOKUP(Pipeline_tbl[[#This Row],[Rep_ID]],Dim_Reps!A:A,Dim_Reps!D:D)</f>
        <v>Enterprise</v>
      </c>
      <c r="R4595" t="str">
        <f>_xlfn.XLOOKUP(Pipeline_tbl[[#This Row],[Rep_ID]],Dim_Reps!A:A,Dim_Reps!E:E)</f>
        <v>APAC</v>
      </c>
      <c r="S4595" t="str">
        <f>_xlfn.XLOOKUP(Pipeline_tbl[[#This Row],[Created_Date]],Dim_Date!A:A,Dim_Date!H:H)</f>
        <v>Jan 2024</v>
      </c>
      <c r="T4595" t="str">
        <f>IF(Pipeline_tbl[[#This Row],[Closed_Date]]=0,"",(_xlfn.XLOOKUP(Pipeline_tbl[[#This Row],[Closed_Date]],Dim_Date!A:A,Dim_Date!H:H)))</f>
        <v>Mar 2024</v>
      </c>
      <c r="U4595">
        <f>IF(Pipeline_tbl[[#This Row],[Closed_Date]]=0,"",Pipeline_tbl[[#This Row],[Closed_Date]]-Pipeline_tbl[[#This Row],[Created_Date]])</f>
        <v>43</v>
      </c>
    </row>
    <row r="4596" spans="1:21" ht="15" customHeight="1" x14ac:dyDescent="0.2">
      <c r="A4596" t="s">
        <v>4902</v>
      </c>
      <c r="B4596" t="s">
        <v>259</v>
      </c>
      <c r="C4596" t="s">
        <v>53</v>
      </c>
      <c r="D4596" s="49">
        <v>45319</v>
      </c>
      <c r="E4596" s="49">
        <v>45324</v>
      </c>
      <c r="F4596" s="49">
        <v>45335</v>
      </c>
      <c r="I4596" s="49">
        <v>45373</v>
      </c>
      <c r="J4596" t="s">
        <v>49</v>
      </c>
      <c r="K4596" s="33">
        <v>10000</v>
      </c>
      <c r="L4596" t="s">
        <v>62</v>
      </c>
      <c r="M4596" t="str">
        <f>_xlfn.XLOOKUP(Pipeline_tbl[[#This Row],[Rep_ID]],Dim_Reps!A:A,Dim_Reps!K:K)</f>
        <v>EUR</v>
      </c>
      <c r="N4596" s="33">
        <f>(_xlfn.XLOOKUP(Pipeline_tbl[[#This Row],[Rate_Code_Generalized]],Lookups!A:A,Lookups!B:B))*Pipeline_tbl[[#This Row],[Pipeline_Amount_USD]]</f>
        <v>10000</v>
      </c>
      <c r="O4596" t="str">
        <f>_xlfn.XLOOKUP(Pipeline_tbl[[#This Row],[Rep_ID]],Dim_Reps!A:A,Dim_Reps!B:B)</f>
        <v>Felix Okafor</v>
      </c>
      <c r="P4596" t="str">
        <f>_xlfn.XLOOKUP(Pipeline_tbl[[#This Row],[Rep_ID]],Dim_Reps!A:A,Dim_Reps!C:C)</f>
        <v>Mid-Market AE</v>
      </c>
      <c r="Q4596" t="str">
        <f>_xlfn.XLOOKUP(Pipeline_tbl[[#This Row],[Rep_ID]],Dim_Reps!A:A,Dim_Reps!D:D)</f>
        <v>Mid-Market</v>
      </c>
      <c r="R4596" t="str">
        <f>_xlfn.XLOOKUP(Pipeline_tbl[[#This Row],[Rep_ID]],Dim_Reps!A:A,Dim_Reps!E:E)</f>
        <v>EMEA</v>
      </c>
      <c r="S4596" t="str">
        <f>_xlfn.XLOOKUP(Pipeline_tbl[[#This Row],[Created_Date]],Dim_Date!A:A,Dim_Date!H:H)</f>
        <v>Jan 2024</v>
      </c>
      <c r="T4596" t="str">
        <f>IF(Pipeline_tbl[[#This Row],[Closed_Date]]=0,"",(_xlfn.XLOOKUP(Pipeline_tbl[[#This Row],[Closed_Date]],Dim_Date!A:A,Dim_Date!H:H)))</f>
        <v>Mar 2024</v>
      </c>
      <c r="U4596">
        <f>IF(Pipeline_tbl[[#This Row],[Closed_Date]]=0,"",Pipeline_tbl[[#This Row],[Closed_Date]]-Pipeline_tbl[[#This Row],[Created_Date]])</f>
        <v>54</v>
      </c>
    </row>
    <row r="4597" spans="1:21" ht="15" customHeight="1" x14ac:dyDescent="0.2">
      <c r="A4597" t="s">
        <v>4903</v>
      </c>
      <c r="B4597" t="s">
        <v>259</v>
      </c>
      <c r="C4597" t="s">
        <v>52</v>
      </c>
      <c r="D4597" s="49">
        <v>45321</v>
      </c>
      <c r="E4597" s="49">
        <v>45324</v>
      </c>
      <c r="F4597" s="49">
        <v>45331</v>
      </c>
      <c r="G4597" s="49">
        <v>45340</v>
      </c>
      <c r="H4597" s="49">
        <v>45348</v>
      </c>
      <c r="I4597" s="49">
        <v>45353</v>
      </c>
      <c r="J4597" t="s">
        <v>49</v>
      </c>
      <c r="K4597" s="33">
        <v>8800</v>
      </c>
      <c r="L4597" t="s">
        <v>62</v>
      </c>
      <c r="M4597" t="str">
        <f>_xlfn.XLOOKUP(Pipeline_tbl[[#This Row],[Rep_ID]],Dim_Reps!A:A,Dim_Reps!K:K)</f>
        <v>EUR</v>
      </c>
      <c r="N4597" s="33">
        <f>(_xlfn.XLOOKUP(Pipeline_tbl[[#This Row],[Rate_Code_Generalized]],Lookups!A:A,Lookups!B:B))*Pipeline_tbl[[#This Row],[Pipeline_Amount_USD]]</f>
        <v>8800</v>
      </c>
      <c r="O4597" t="str">
        <f>_xlfn.XLOOKUP(Pipeline_tbl[[#This Row],[Rep_ID]],Dim_Reps!A:A,Dim_Reps!B:B)</f>
        <v>Felix Okafor</v>
      </c>
      <c r="P4597" t="str">
        <f>_xlfn.XLOOKUP(Pipeline_tbl[[#This Row],[Rep_ID]],Dim_Reps!A:A,Dim_Reps!C:C)</f>
        <v>Mid-Market AE</v>
      </c>
      <c r="Q4597" t="str">
        <f>_xlfn.XLOOKUP(Pipeline_tbl[[#This Row],[Rep_ID]],Dim_Reps!A:A,Dim_Reps!D:D)</f>
        <v>Mid-Market</v>
      </c>
      <c r="R4597" t="str">
        <f>_xlfn.XLOOKUP(Pipeline_tbl[[#This Row],[Rep_ID]],Dim_Reps!A:A,Dim_Reps!E:E)</f>
        <v>EMEA</v>
      </c>
      <c r="S4597" t="str">
        <f>_xlfn.XLOOKUP(Pipeline_tbl[[#This Row],[Created_Date]],Dim_Date!A:A,Dim_Date!H:H)</f>
        <v>Jan 2024</v>
      </c>
      <c r="T4597" t="str">
        <f>IF(Pipeline_tbl[[#This Row],[Closed_Date]]=0,"",(_xlfn.XLOOKUP(Pipeline_tbl[[#This Row],[Closed_Date]],Dim_Date!A:A,Dim_Date!H:H)))</f>
        <v>Mar 2024</v>
      </c>
      <c r="U4597">
        <f>IF(Pipeline_tbl[[#This Row],[Closed_Date]]=0,"",Pipeline_tbl[[#This Row],[Closed_Date]]-Pipeline_tbl[[#This Row],[Created_Date]])</f>
        <v>32</v>
      </c>
    </row>
    <row r="4598" spans="1:21" ht="15" customHeight="1" x14ac:dyDescent="0.2">
      <c r="A4598" t="s">
        <v>4904</v>
      </c>
      <c r="B4598" t="s">
        <v>280</v>
      </c>
      <c r="C4598" t="s">
        <v>55</v>
      </c>
      <c r="D4598" s="49">
        <v>45309</v>
      </c>
      <c r="E4598" s="49">
        <v>45315</v>
      </c>
      <c r="F4598" s="49">
        <v>45326</v>
      </c>
      <c r="G4598" s="49">
        <v>45343</v>
      </c>
      <c r="I4598" s="49">
        <v>45366</v>
      </c>
      <c r="J4598" t="s">
        <v>49</v>
      </c>
      <c r="K4598" s="33">
        <v>55700</v>
      </c>
      <c r="L4598" t="s">
        <v>61</v>
      </c>
      <c r="M4598" t="str">
        <f>_xlfn.XLOOKUP(Pipeline_tbl[[#This Row],[Rep_ID]],Dim_Reps!A:A,Dim_Reps!K:K)</f>
        <v>MXN</v>
      </c>
      <c r="N4598" s="33">
        <f>(_xlfn.XLOOKUP(Pipeline_tbl[[#This Row],[Rate_Code_Generalized]],Lookups!A:A,Lookups!B:B))*Pipeline_tbl[[#This Row],[Pipeline_Amount_USD]]</f>
        <v>1099111.3900000001</v>
      </c>
      <c r="O4598" t="str">
        <f>_xlfn.XLOOKUP(Pipeline_tbl[[#This Row],[Rep_ID]],Dim_Reps!A:A,Dim_Reps!B:B)</f>
        <v>Cameron Lund</v>
      </c>
      <c r="P4598" t="str">
        <f>_xlfn.XLOOKUP(Pipeline_tbl[[#This Row],[Rep_ID]],Dim_Reps!A:A,Dim_Reps!C:C)</f>
        <v>Senior Enterprise AE</v>
      </c>
      <c r="Q4598" t="str">
        <f>_xlfn.XLOOKUP(Pipeline_tbl[[#This Row],[Rep_ID]],Dim_Reps!A:A,Dim_Reps!D:D)</f>
        <v>Strategic</v>
      </c>
      <c r="R4598" t="str">
        <f>_xlfn.XLOOKUP(Pipeline_tbl[[#This Row],[Rep_ID]],Dim_Reps!A:A,Dim_Reps!E:E)</f>
        <v>LATAM</v>
      </c>
      <c r="S4598" t="str">
        <f>_xlfn.XLOOKUP(Pipeline_tbl[[#This Row],[Created_Date]],Dim_Date!A:A,Dim_Date!H:H)</f>
        <v>Jan 2024</v>
      </c>
      <c r="T4598" t="str">
        <f>IF(Pipeline_tbl[[#This Row],[Closed_Date]]=0,"",(_xlfn.XLOOKUP(Pipeline_tbl[[#This Row],[Closed_Date]],Dim_Date!A:A,Dim_Date!H:H)))</f>
        <v>Mar 2024</v>
      </c>
      <c r="U4598">
        <f>IF(Pipeline_tbl[[#This Row],[Closed_Date]]=0,"",Pipeline_tbl[[#This Row],[Closed_Date]]-Pipeline_tbl[[#This Row],[Created_Date]])</f>
        <v>57</v>
      </c>
    </row>
    <row r="4599" spans="1:21" ht="15" customHeight="1" x14ac:dyDescent="0.2">
      <c r="A4599" t="s">
        <v>4905</v>
      </c>
      <c r="B4599" t="s">
        <v>191</v>
      </c>
      <c r="C4599" t="s">
        <v>55</v>
      </c>
      <c r="D4599" s="49">
        <v>45294</v>
      </c>
      <c r="E4599" s="49">
        <v>45301</v>
      </c>
      <c r="F4599" s="49">
        <v>45316</v>
      </c>
      <c r="I4599" s="49">
        <v>45368</v>
      </c>
      <c r="J4599" t="s">
        <v>49</v>
      </c>
      <c r="K4599" s="33">
        <v>39800</v>
      </c>
      <c r="L4599" t="s">
        <v>62</v>
      </c>
      <c r="M4599" t="str">
        <f>_xlfn.XLOOKUP(Pipeline_tbl[[#This Row],[Rep_ID]],Dim_Reps!A:A,Dim_Reps!K:K)</f>
        <v>USD</v>
      </c>
      <c r="N4599" s="33">
        <f>(_xlfn.XLOOKUP(Pipeline_tbl[[#This Row],[Rate_Code_Generalized]],Lookups!A:A,Lookups!B:B))*Pipeline_tbl[[#This Row],[Pipeline_Amount_USD]]</f>
        <v>46339.139999999992</v>
      </c>
      <c r="O4599" t="str">
        <f>_xlfn.XLOOKUP(Pipeline_tbl[[#This Row],[Rep_ID]],Dim_Reps!A:A,Dim_Reps!B:B)</f>
        <v>Zara Duarte</v>
      </c>
      <c r="P4599" t="str">
        <f>_xlfn.XLOOKUP(Pipeline_tbl[[#This Row],[Rep_ID]],Dim_Reps!A:A,Dim_Reps!C:C)</f>
        <v>Enterprise AE</v>
      </c>
      <c r="Q4599" t="str">
        <f>_xlfn.XLOOKUP(Pipeline_tbl[[#This Row],[Rep_ID]],Dim_Reps!A:A,Dim_Reps!D:D)</f>
        <v>Enterprise</v>
      </c>
      <c r="R4599" t="str">
        <f>_xlfn.XLOOKUP(Pipeline_tbl[[#This Row],[Rep_ID]],Dim_Reps!A:A,Dim_Reps!E:E)</f>
        <v>NAMER</v>
      </c>
      <c r="S4599" t="str">
        <f>_xlfn.XLOOKUP(Pipeline_tbl[[#This Row],[Created_Date]],Dim_Date!A:A,Dim_Date!H:H)</f>
        <v>Jan 2024</v>
      </c>
      <c r="T4599" t="str">
        <f>IF(Pipeline_tbl[[#This Row],[Closed_Date]]=0,"",(_xlfn.XLOOKUP(Pipeline_tbl[[#This Row],[Closed_Date]],Dim_Date!A:A,Dim_Date!H:H)))</f>
        <v>Mar 2024</v>
      </c>
      <c r="U4599">
        <f>IF(Pipeline_tbl[[#This Row],[Closed_Date]]=0,"",Pipeline_tbl[[#This Row],[Closed_Date]]-Pipeline_tbl[[#This Row],[Created_Date]])</f>
        <v>74</v>
      </c>
    </row>
    <row r="4600" spans="1:21" ht="15" customHeight="1" x14ac:dyDescent="0.2">
      <c r="A4600" t="s">
        <v>4906</v>
      </c>
      <c r="B4600" t="s">
        <v>191</v>
      </c>
      <c r="C4600" t="s">
        <v>53</v>
      </c>
      <c r="D4600" s="49">
        <v>45312</v>
      </c>
      <c r="E4600" s="49">
        <v>45318</v>
      </c>
      <c r="F4600" s="49">
        <v>45329</v>
      </c>
      <c r="G4600" s="49">
        <v>45347</v>
      </c>
      <c r="H4600" s="49">
        <v>45361</v>
      </c>
      <c r="I4600" s="49">
        <v>45370</v>
      </c>
      <c r="J4600" t="s">
        <v>47</v>
      </c>
      <c r="K4600" s="33">
        <v>44800</v>
      </c>
      <c r="M4600" t="str">
        <f>_xlfn.XLOOKUP(Pipeline_tbl[[#This Row],[Rep_ID]],Dim_Reps!A:A,Dim_Reps!K:K)</f>
        <v>USD</v>
      </c>
      <c r="N4600" s="33">
        <f>(_xlfn.XLOOKUP(Pipeline_tbl[[#This Row],[Rate_Code_Generalized]],Lookups!A:A,Lookups!B:B))*Pipeline_tbl[[#This Row],[Pipeline_Amount_USD]]</f>
        <v>52160.639999999992</v>
      </c>
      <c r="O4600" t="str">
        <f>_xlfn.XLOOKUP(Pipeline_tbl[[#This Row],[Rep_ID]],Dim_Reps!A:A,Dim_Reps!B:B)</f>
        <v>Zara Duarte</v>
      </c>
      <c r="P4600" t="str">
        <f>_xlfn.XLOOKUP(Pipeline_tbl[[#This Row],[Rep_ID]],Dim_Reps!A:A,Dim_Reps!C:C)</f>
        <v>Enterprise AE</v>
      </c>
      <c r="Q4600" t="str">
        <f>_xlfn.XLOOKUP(Pipeline_tbl[[#This Row],[Rep_ID]],Dim_Reps!A:A,Dim_Reps!D:D)</f>
        <v>Enterprise</v>
      </c>
      <c r="R4600" t="str">
        <f>_xlfn.XLOOKUP(Pipeline_tbl[[#This Row],[Rep_ID]],Dim_Reps!A:A,Dim_Reps!E:E)</f>
        <v>NAMER</v>
      </c>
      <c r="S4600" t="str">
        <f>_xlfn.XLOOKUP(Pipeline_tbl[[#This Row],[Created_Date]],Dim_Date!A:A,Dim_Date!H:H)</f>
        <v>Jan 2024</v>
      </c>
      <c r="T4600" t="str">
        <f>IF(Pipeline_tbl[[#This Row],[Closed_Date]]=0,"",(_xlfn.XLOOKUP(Pipeline_tbl[[#This Row],[Closed_Date]],Dim_Date!A:A,Dim_Date!H:H)))</f>
        <v>Mar 2024</v>
      </c>
      <c r="U4600">
        <f>IF(Pipeline_tbl[[#This Row],[Closed_Date]]=0,"",Pipeline_tbl[[#This Row],[Closed_Date]]-Pipeline_tbl[[#This Row],[Created_Date]])</f>
        <v>58</v>
      </c>
    </row>
    <row r="4601" spans="1:21" ht="15" customHeight="1" x14ac:dyDescent="0.2">
      <c r="A4601" t="s">
        <v>4907</v>
      </c>
      <c r="B4601" t="s">
        <v>191</v>
      </c>
      <c r="C4601" t="s">
        <v>53</v>
      </c>
      <c r="D4601" s="49">
        <v>45317</v>
      </c>
      <c r="E4601" s="49">
        <v>45321</v>
      </c>
      <c r="I4601" s="49">
        <v>45356</v>
      </c>
      <c r="J4601" t="s">
        <v>49</v>
      </c>
      <c r="K4601" s="33">
        <v>60100</v>
      </c>
      <c r="L4601" t="s">
        <v>64</v>
      </c>
      <c r="M4601" t="str">
        <f>_xlfn.XLOOKUP(Pipeline_tbl[[#This Row],[Rep_ID]],Dim_Reps!A:A,Dim_Reps!K:K)</f>
        <v>USD</v>
      </c>
      <c r="N4601" s="33">
        <f>(_xlfn.XLOOKUP(Pipeline_tbl[[#This Row],[Rate_Code_Generalized]],Lookups!A:A,Lookups!B:B))*Pipeline_tbl[[#This Row],[Pipeline_Amount_USD]]</f>
        <v>69974.429999999993</v>
      </c>
      <c r="O4601" t="str">
        <f>_xlfn.XLOOKUP(Pipeline_tbl[[#This Row],[Rep_ID]],Dim_Reps!A:A,Dim_Reps!B:B)</f>
        <v>Zara Duarte</v>
      </c>
      <c r="P4601" t="str">
        <f>_xlfn.XLOOKUP(Pipeline_tbl[[#This Row],[Rep_ID]],Dim_Reps!A:A,Dim_Reps!C:C)</f>
        <v>Enterprise AE</v>
      </c>
      <c r="Q4601" t="str">
        <f>_xlfn.XLOOKUP(Pipeline_tbl[[#This Row],[Rep_ID]],Dim_Reps!A:A,Dim_Reps!D:D)</f>
        <v>Enterprise</v>
      </c>
      <c r="R4601" t="str">
        <f>_xlfn.XLOOKUP(Pipeline_tbl[[#This Row],[Rep_ID]],Dim_Reps!A:A,Dim_Reps!E:E)</f>
        <v>NAMER</v>
      </c>
      <c r="S4601" t="str">
        <f>_xlfn.XLOOKUP(Pipeline_tbl[[#This Row],[Created_Date]],Dim_Date!A:A,Dim_Date!H:H)</f>
        <v>Jan 2024</v>
      </c>
      <c r="T4601" t="str">
        <f>IF(Pipeline_tbl[[#This Row],[Closed_Date]]=0,"",(_xlfn.XLOOKUP(Pipeline_tbl[[#This Row],[Closed_Date]],Dim_Date!A:A,Dim_Date!H:H)))</f>
        <v>Mar 2024</v>
      </c>
      <c r="U4601">
        <f>IF(Pipeline_tbl[[#This Row],[Closed_Date]]=0,"",Pipeline_tbl[[#This Row],[Closed_Date]]-Pipeline_tbl[[#This Row],[Created_Date]])</f>
        <v>39</v>
      </c>
    </row>
    <row r="4602" spans="1:21" ht="15" customHeight="1" x14ac:dyDescent="0.2">
      <c r="A4602" t="s">
        <v>4908</v>
      </c>
      <c r="B4602" t="s">
        <v>191</v>
      </c>
      <c r="C4602" t="s">
        <v>53</v>
      </c>
      <c r="D4602" s="49">
        <v>45316</v>
      </c>
      <c r="E4602" s="49">
        <v>45322</v>
      </c>
      <c r="F4602" s="49">
        <v>45335</v>
      </c>
      <c r="G4602" s="49">
        <v>45354</v>
      </c>
      <c r="I4602" s="49">
        <v>45380</v>
      </c>
      <c r="J4602" t="s">
        <v>49</v>
      </c>
      <c r="K4602" s="33">
        <v>26900</v>
      </c>
      <c r="L4602" t="s">
        <v>63</v>
      </c>
      <c r="M4602" t="str">
        <f>_xlfn.XLOOKUP(Pipeline_tbl[[#This Row],[Rep_ID]],Dim_Reps!A:A,Dim_Reps!K:K)</f>
        <v>USD</v>
      </c>
      <c r="N4602" s="33">
        <f>(_xlfn.XLOOKUP(Pipeline_tbl[[#This Row],[Rate_Code_Generalized]],Lookups!A:A,Lookups!B:B))*Pipeline_tbl[[#This Row],[Pipeline_Amount_USD]]</f>
        <v>31319.67</v>
      </c>
      <c r="O4602" t="str">
        <f>_xlfn.XLOOKUP(Pipeline_tbl[[#This Row],[Rep_ID]],Dim_Reps!A:A,Dim_Reps!B:B)</f>
        <v>Zara Duarte</v>
      </c>
      <c r="P4602" t="str">
        <f>_xlfn.XLOOKUP(Pipeline_tbl[[#This Row],[Rep_ID]],Dim_Reps!A:A,Dim_Reps!C:C)</f>
        <v>Enterprise AE</v>
      </c>
      <c r="Q4602" t="str">
        <f>_xlfn.XLOOKUP(Pipeline_tbl[[#This Row],[Rep_ID]],Dim_Reps!A:A,Dim_Reps!D:D)</f>
        <v>Enterprise</v>
      </c>
      <c r="R4602" t="str">
        <f>_xlfn.XLOOKUP(Pipeline_tbl[[#This Row],[Rep_ID]],Dim_Reps!A:A,Dim_Reps!E:E)</f>
        <v>NAMER</v>
      </c>
      <c r="S4602" t="str">
        <f>_xlfn.XLOOKUP(Pipeline_tbl[[#This Row],[Created_Date]],Dim_Date!A:A,Dim_Date!H:H)</f>
        <v>Jan 2024</v>
      </c>
      <c r="T4602" t="str">
        <f>IF(Pipeline_tbl[[#This Row],[Closed_Date]]=0,"",(_xlfn.XLOOKUP(Pipeline_tbl[[#This Row],[Closed_Date]],Dim_Date!A:A,Dim_Date!H:H)))</f>
        <v>Mar 2024</v>
      </c>
      <c r="U4602">
        <f>IF(Pipeline_tbl[[#This Row],[Closed_Date]]=0,"",Pipeline_tbl[[#This Row],[Closed_Date]]-Pipeline_tbl[[#This Row],[Created_Date]])</f>
        <v>64</v>
      </c>
    </row>
    <row r="4603" spans="1:21" ht="15" customHeight="1" x14ac:dyDescent="0.2">
      <c r="A4603" t="s">
        <v>4909</v>
      </c>
      <c r="B4603" t="s">
        <v>263</v>
      </c>
      <c r="C4603" t="s">
        <v>55</v>
      </c>
      <c r="D4603" s="49">
        <v>45318</v>
      </c>
      <c r="E4603" s="49">
        <v>45322</v>
      </c>
      <c r="F4603" s="49">
        <v>45329</v>
      </c>
      <c r="G4603" s="49">
        <v>45340</v>
      </c>
      <c r="H4603" s="49">
        <v>45349</v>
      </c>
      <c r="I4603" s="49">
        <v>45354</v>
      </c>
      <c r="J4603" t="s">
        <v>49</v>
      </c>
      <c r="K4603" s="33">
        <v>13100</v>
      </c>
      <c r="L4603" t="s">
        <v>61</v>
      </c>
      <c r="M4603" t="str">
        <f>_xlfn.XLOOKUP(Pipeline_tbl[[#This Row],[Rep_ID]],Dim_Reps!A:A,Dim_Reps!K:K)</f>
        <v>USD</v>
      </c>
      <c r="N4603" s="33">
        <f>(_xlfn.XLOOKUP(Pipeline_tbl[[#This Row],[Rate_Code_Generalized]],Lookups!A:A,Lookups!B:B))*Pipeline_tbl[[#This Row],[Pipeline_Amount_USD]]</f>
        <v>15252.329999999998</v>
      </c>
      <c r="O4603" t="str">
        <f>_xlfn.XLOOKUP(Pipeline_tbl[[#This Row],[Rep_ID]],Dim_Reps!A:A,Dim_Reps!B:B)</f>
        <v>Morgan Weber</v>
      </c>
      <c r="P4603" t="str">
        <f>_xlfn.XLOOKUP(Pipeline_tbl[[#This Row],[Rep_ID]],Dim_Reps!A:A,Dim_Reps!C:C)</f>
        <v>Mid-Market AE</v>
      </c>
      <c r="Q4603" t="str">
        <f>_xlfn.XLOOKUP(Pipeline_tbl[[#This Row],[Rep_ID]],Dim_Reps!A:A,Dim_Reps!D:D)</f>
        <v>Mid-Market</v>
      </c>
      <c r="R4603" t="str">
        <f>_xlfn.XLOOKUP(Pipeline_tbl[[#This Row],[Rep_ID]],Dim_Reps!A:A,Dim_Reps!E:E)</f>
        <v>NAMER</v>
      </c>
      <c r="S4603" t="str">
        <f>_xlfn.XLOOKUP(Pipeline_tbl[[#This Row],[Created_Date]],Dim_Date!A:A,Dim_Date!H:H)</f>
        <v>Jan 2024</v>
      </c>
      <c r="T4603" t="str">
        <f>IF(Pipeline_tbl[[#This Row],[Closed_Date]]=0,"",(_xlfn.XLOOKUP(Pipeline_tbl[[#This Row],[Closed_Date]],Dim_Date!A:A,Dim_Date!H:H)))</f>
        <v>Mar 2024</v>
      </c>
      <c r="U4603">
        <f>IF(Pipeline_tbl[[#This Row],[Closed_Date]]=0,"",Pipeline_tbl[[#This Row],[Closed_Date]]-Pipeline_tbl[[#This Row],[Created_Date]])</f>
        <v>36</v>
      </c>
    </row>
    <row r="4604" spans="1:21" ht="15" customHeight="1" x14ac:dyDescent="0.2">
      <c r="A4604" t="s">
        <v>4910</v>
      </c>
      <c r="B4604" t="s">
        <v>263</v>
      </c>
      <c r="C4604" t="s">
        <v>53</v>
      </c>
      <c r="D4604" s="49">
        <v>45304</v>
      </c>
      <c r="E4604" s="49">
        <v>45309</v>
      </c>
      <c r="F4604" s="49">
        <v>45319</v>
      </c>
      <c r="G4604" s="49">
        <v>45334</v>
      </c>
      <c r="I4604" s="49">
        <v>45354</v>
      </c>
      <c r="J4604" t="s">
        <v>49</v>
      </c>
      <c r="K4604" s="33">
        <v>6600</v>
      </c>
      <c r="L4604" t="s">
        <v>62</v>
      </c>
      <c r="M4604" t="str">
        <f>_xlfn.XLOOKUP(Pipeline_tbl[[#This Row],[Rep_ID]],Dim_Reps!A:A,Dim_Reps!K:K)</f>
        <v>USD</v>
      </c>
      <c r="N4604" s="33">
        <f>(_xlfn.XLOOKUP(Pipeline_tbl[[#This Row],[Rate_Code_Generalized]],Lookups!A:A,Lookups!B:B))*Pipeline_tbl[[#This Row],[Pipeline_Amount_USD]]</f>
        <v>7684.3799999999992</v>
      </c>
      <c r="O4604" t="str">
        <f>_xlfn.XLOOKUP(Pipeline_tbl[[#This Row],[Rep_ID]],Dim_Reps!A:A,Dim_Reps!B:B)</f>
        <v>Morgan Weber</v>
      </c>
      <c r="P4604" t="str">
        <f>_xlfn.XLOOKUP(Pipeline_tbl[[#This Row],[Rep_ID]],Dim_Reps!A:A,Dim_Reps!C:C)</f>
        <v>Mid-Market AE</v>
      </c>
      <c r="Q4604" t="str">
        <f>_xlfn.XLOOKUP(Pipeline_tbl[[#This Row],[Rep_ID]],Dim_Reps!A:A,Dim_Reps!D:D)</f>
        <v>Mid-Market</v>
      </c>
      <c r="R4604" t="str">
        <f>_xlfn.XLOOKUP(Pipeline_tbl[[#This Row],[Rep_ID]],Dim_Reps!A:A,Dim_Reps!E:E)</f>
        <v>NAMER</v>
      </c>
      <c r="S4604" t="str">
        <f>_xlfn.XLOOKUP(Pipeline_tbl[[#This Row],[Created_Date]],Dim_Date!A:A,Dim_Date!H:H)</f>
        <v>Jan 2024</v>
      </c>
      <c r="T4604" t="str">
        <f>IF(Pipeline_tbl[[#This Row],[Closed_Date]]=0,"",(_xlfn.XLOOKUP(Pipeline_tbl[[#This Row],[Closed_Date]],Dim_Date!A:A,Dim_Date!H:H)))</f>
        <v>Mar 2024</v>
      </c>
      <c r="U4604">
        <f>IF(Pipeline_tbl[[#This Row],[Closed_Date]]=0,"",Pipeline_tbl[[#This Row],[Closed_Date]]-Pipeline_tbl[[#This Row],[Created_Date]])</f>
        <v>50</v>
      </c>
    </row>
    <row r="4605" spans="1:21" ht="15" customHeight="1" x14ac:dyDescent="0.2">
      <c r="A4605" t="s">
        <v>4911</v>
      </c>
      <c r="B4605" t="s">
        <v>263</v>
      </c>
      <c r="C4605" t="s">
        <v>52</v>
      </c>
      <c r="D4605" s="49">
        <v>45313</v>
      </c>
      <c r="E4605" s="49">
        <v>45317</v>
      </c>
      <c r="F4605" s="49">
        <v>45325</v>
      </c>
      <c r="G4605" s="49">
        <v>45338</v>
      </c>
      <c r="I4605" s="49">
        <v>45354</v>
      </c>
      <c r="J4605" t="s">
        <v>49</v>
      </c>
      <c r="K4605" s="33">
        <v>13300</v>
      </c>
      <c r="L4605" t="s">
        <v>62</v>
      </c>
      <c r="M4605" t="str">
        <f>_xlfn.XLOOKUP(Pipeline_tbl[[#This Row],[Rep_ID]],Dim_Reps!A:A,Dim_Reps!K:K)</f>
        <v>USD</v>
      </c>
      <c r="N4605" s="33">
        <f>(_xlfn.XLOOKUP(Pipeline_tbl[[#This Row],[Rate_Code_Generalized]],Lookups!A:A,Lookups!B:B))*Pipeline_tbl[[#This Row],[Pipeline_Amount_USD]]</f>
        <v>15485.189999999999</v>
      </c>
      <c r="O4605" t="str">
        <f>_xlfn.XLOOKUP(Pipeline_tbl[[#This Row],[Rep_ID]],Dim_Reps!A:A,Dim_Reps!B:B)</f>
        <v>Morgan Weber</v>
      </c>
      <c r="P4605" t="str">
        <f>_xlfn.XLOOKUP(Pipeline_tbl[[#This Row],[Rep_ID]],Dim_Reps!A:A,Dim_Reps!C:C)</f>
        <v>Mid-Market AE</v>
      </c>
      <c r="Q4605" t="str">
        <f>_xlfn.XLOOKUP(Pipeline_tbl[[#This Row],[Rep_ID]],Dim_Reps!A:A,Dim_Reps!D:D)</f>
        <v>Mid-Market</v>
      </c>
      <c r="R4605" t="str">
        <f>_xlfn.XLOOKUP(Pipeline_tbl[[#This Row],[Rep_ID]],Dim_Reps!A:A,Dim_Reps!E:E)</f>
        <v>NAMER</v>
      </c>
      <c r="S4605" t="str">
        <f>_xlfn.XLOOKUP(Pipeline_tbl[[#This Row],[Created_Date]],Dim_Date!A:A,Dim_Date!H:H)</f>
        <v>Jan 2024</v>
      </c>
      <c r="T4605" t="str">
        <f>IF(Pipeline_tbl[[#This Row],[Closed_Date]]=0,"",(_xlfn.XLOOKUP(Pipeline_tbl[[#This Row],[Closed_Date]],Dim_Date!A:A,Dim_Date!H:H)))</f>
        <v>Mar 2024</v>
      </c>
      <c r="U4605">
        <f>IF(Pipeline_tbl[[#This Row],[Closed_Date]]=0,"",Pipeline_tbl[[#This Row],[Closed_Date]]-Pipeline_tbl[[#This Row],[Created_Date]])</f>
        <v>41</v>
      </c>
    </row>
    <row r="4606" spans="1:21" ht="15" customHeight="1" x14ac:dyDescent="0.2">
      <c r="A4606" t="s">
        <v>4912</v>
      </c>
      <c r="B4606" t="s">
        <v>263</v>
      </c>
      <c r="C4606" t="s">
        <v>52</v>
      </c>
      <c r="D4606" s="49">
        <v>45312</v>
      </c>
      <c r="E4606" s="49">
        <v>45317</v>
      </c>
      <c r="F4606" s="49">
        <v>45326</v>
      </c>
      <c r="I4606" s="49">
        <v>45358</v>
      </c>
      <c r="J4606" t="s">
        <v>49</v>
      </c>
      <c r="K4606" s="33">
        <v>30800</v>
      </c>
      <c r="L4606" t="s">
        <v>63</v>
      </c>
      <c r="M4606" t="str">
        <f>_xlfn.XLOOKUP(Pipeline_tbl[[#This Row],[Rep_ID]],Dim_Reps!A:A,Dim_Reps!K:K)</f>
        <v>USD</v>
      </c>
      <c r="N4606" s="33">
        <f>(_xlfn.XLOOKUP(Pipeline_tbl[[#This Row],[Rate_Code_Generalized]],Lookups!A:A,Lookups!B:B))*Pipeline_tbl[[#This Row],[Pipeline_Amount_USD]]</f>
        <v>35860.439999999995</v>
      </c>
      <c r="O4606" t="str">
        <f>_xlfn.XLOOKUP(Pipeline_tbl[[#This Row],[Rep_ID]],Dim_Reps!A:A,Dim_Reps!B:B)</f>
        <v>Morgan Weber</v>
      </c>
      <c r="P4606" t="str">
        <f>_xlfn.XLOOKUP(Pipeline_tbl[[#This Row],[Rep_ID]],Dim_Reps!A:A,Dim_Reps!C:C)</f>
        <v>Mid-Market AE</v>
      </c>
      <c r="Q4606" t="str">
        <f>_xlfn.XLOOKUP(Pipeline_tbl[[#This Row],[Rep_ID]],Dim_Reps!A:A,Dim_Reps!D:D)</f>
        <v>Mid-Market</v>
      </c>
      <c r="R4606" t="str">
        <f>_xlfn.XLOOKUP(Pipeline_tbl[[#This Row],[Rep_ID]],Dim_Reps!A:A,Dim_Reps!E:E)</f>
        <v>NAMER</v>
      </c>
      <c r="S4606" t="str">
        <f>_xlfn.XLOOKUP(Pipeline_tbl[[#This Row],[Created_Date]],Dim_Date!A:A,Dim_Date!H:H)</f>
        <v>Jan 2024</v>
      </c>
      <c r="T4606" t="str">
        <f>IF(Pipeline_tbl[[#This Row],[Closed_Date]]=0,"",(_xlfn.XLOOKUP(Pipeline_tbl[[#This Row],[Closed_Date]],Dim_Date!A:A,Dim_Date!H:H)))</f>
        <v>Mar 2024</v>
      </c>
      <c r="U4606">
        <f>IF(Pipeline_tbl[[#This Row],[Closed_Date]]=0,"",Pipeline_tbl[[#This Row],[Closed_Date]]-Pipeline_tbl[[#This Row],[Created_Date]])</f>
        <v>46</v>
      </c>
    </row>
    <row r="4607" spans="1:21" ht="15" customHeight="1" x14ac:dyDescent="0.2">
      <c r="A4607" t="s">
        <v>4913</v>
      </c>
      <c r="B4607" t="s">
        <v>271</v>
      </c>
      <c r="C4607" t="s">
        <v>52</v>
      </c>
      <c r="D4607" s="49">
        <v>45311</v>
      </c>
      <c r="E4607" s="49">
        <v>45315</v>
      </c>
      <c r="F4607" s="49">
        <v>45324</v>
      </c>
      <c r="I4607" s="49">
        <v>45355</v>
      </c>
      <c r="J4607" t="s">
        <v>49</v>
      </c>
      <c r="K4607" s="33">
        <v>8000</v>
      </c>
      <c r="L4607" t="s">
        <v>63</v>
      </c>
      <c r="M4607" t="str">
        <f>_xlfn.XLOOKUP(Pipeline_tbl[[#This Row],[Rep_ID]],Dim_Reps!A:A,Dim_Reps!K:K)</f>
        <v>EUR</v>
      </c>
      <c r="N4607" s="33">
        <f>(_xlfn.XLOOKUP(Pipeline_tbl[[#This Row],[Rate_Code_Generalized]],Lookups!A:A,Lookups!B:B))*Pipeline_tbl[[#This Row],[Pipeline_Amount_USD]]</f>
        <v>8000</v>
      </c>
      <c r="O4607" t="str">
        <f>_xlfn.XLOOKUP(Pipeline_tbl[[#This Row],[Rep_ID]],Dim_Reps!A:A,Dim_Reps!B:B)</f>
        <v>Ivy Adler</v>
      </c>
      <c r="P4607" t="str">
        <f>_xlfn.XLOOKUP(Pipeline_tbl[[#This Row],[Rep_ID]],Dim_Reps!A:A,Dim_Reps!C:C)</f>
        <v>Mid-Market AE</v>
      </c>
      <c r="Q4607" t="str">
        <f>_xlfn.XLOOKUP(Pipeline_tbl[[#This Row],[Rep_ID]],Dim_Reps!A:A,Dim_Reps!D:D)</f>
        <v>Mid-Market</v>
      </c>
      <c r="R4607" t="str">
        <f>_xlfn.XLOOKUP(Pipeline_tbl[[#This Row],[Rep_ID]],Dim_Reps!A:A,Dim_Reps!E:E)</f>
        <v>APAC</v>
      </c>
      <c r="S4607" t="str">
        <f>_xlfn.XLOOKUP(Pipeline_tbl[[#This Row],[Created_Date]],Dim_Date!A:A,Dim_Date!H:H)</f>
        <v>Jan 2024</v>
      </c>
      <c r="T4607" t="str">
        <f>IF(Pipeline_tbl[[#This Row],[Closed_Date]]=0,"",(_xlfn.XLOOKUP(Pipeline_tbl[[#This Row],[Closed_Date]],Dim_Date!A:A,Dim_Date!H:H)))</f>
        <v>Mar 2024</v>
      </c>
      <c r="U4607">
        <f>IF(Pipeline_tbl[[#This Row],[Closed_Date]]=0,"",Pipeline_tbl[[#This Row],[Closed_Date]]-Pipeline_tbl[[#This Row],[Created_Date]])</f>
        <v>44</v>
      </c>
    </row>
    <row r="4608" spans="1:21" ht="15" customHeight="1" x14ac:dyDescent="0.2">
      <c r="A4608" t="s">
        <v>4914</v>
      </c>
      <c r="B4608" t="s">
        <v>271</v>
      </c>
      <c r="C4608" t="s">
        <v>55</v>
      </c>
      <c r="D4608" s="49">
        <v>45320</v>
      </c>
      <c r="E4608" s="49">
        <v>45324</v>
      </c>
      <c r="F4608" s="49">
        <v>45332</v>
      </c>
      <c r="G4608" s="49">
        <v>45343</v>
      </c>
      <c r="H4608" s="49">
        <v>45353</v>
      </c>
      <c r="I4608" s="49">
        <v>45359</v>
      </c>
      <c r="J4608" t="s">
        <v>47</v>
      </c>
      <c r="K4608" s="33">
        <v>7800</v>
      </c>
      <c r="M4608" t="str">
        <f>_xlfn.XLOOKUP(Pipeline_tbl[[#This Row],[Rep_ID]],Dim_Reps!A:A,Dim_Reps!K:K)</f>
        <v>EUR</v>
      </c>
      <c r="N4608" s="33">
        <f>(_xlfn.XLOOKUP(Pipeline_tbl[[#This Row],[Rate_Code_Generalized]],Lookups!A:A,Lookups!B:B))*Pipeline_tbl[[#This Row],[Pipeline_Amount_USD]]</f>
        <v>7800</v>
      </c>
      <c r="O4608" t="str">
        <f>_xlfn.XLOOKUP(Pipeline_tbl[[#This Row],[Rep_ID]],Dim_Reps!A:A,Dim_Reps!B:B)</f>
        <v>Ivy Adler</v>
      </c>
      <c r="P4608" t="str">
        <f>_xlfn.XLOOKUP(Pipeline_tbl[[#This Row],[Rep_ID]],Dim_Reps!A:A,Dim_Reps!C:C)</f>
        <v>Mid-Market AE</v>
      </c>
      <c r="Q4608" t="str">
        <f>_xlfn.XLOOKUP(Pipeline_tbl[[#This Row],[Rep_ID]],Dim_Reps!A:A,Dim_Reps!D:D)</f>
        <v>Mid-Market</v>
      </c>
      <c r="R4608" t="str">
        <f>_xlfn.XLOOKUP(Pipeline_tbl[[#This Row],[Rep_ID]],Dim_Reps!A:A,Dim_Reps!E:E)</f>
        <v>APAC</v>
      </c>
      <c r="S4608" t="str">
        <f>_xlfn.XLOOKUP(Pipeline_tbl[[#This Row],[Created_Date]],Dim_Date!A:A,Dim_Date!H:H)</f>
        <v>Jan 2024</v>
      </c>
      <c r="T4608" t="str">
        <f>IF(Pipeline_tbl[[#This Row],[Closed_Date]]=0,"",(_xlfn.XLOOKUP(Pipeline_tbl[[#This Row],[Closed_Date]],Dim_Date!A:A,Dim_Date!H:H)))</f>
        <v>Mar 2024</v>
      </c>
      <c r="U4608">
        <f>IF(Pipeline_tbl[[#This Row],[Closed_Date]]=0,"",Pipeline_tbl[[#This Row],[Closed_Date]]-Pipeline_tbl[[#This Row],[Created_Date]])</f>
        <v>39</v>
      </c>
    </row>
    <row r="4609" spans="1:21" ht="15" customHeight="1" x14ac:dyDescent="0.2">
      <c r="A4609" t="s">
        <v>4915</v>
      </c>
      <c r="B4609" t="s">
        <v>243</v>
      </c>
      <c r="C4609" t="s">
        <v>52</v>
      </c>
      <c r="D4609" s="49">
        <v>45714</v>
      </c>
      <c r="E4609" s="49">
        <v>45718</v>
      </c>
      <c r="F4609" s="49">
        <v>45726</v>
      </c>
      <c r="I4609" s="49">
        <v>45755</v>
      </c>
      <c r="J4609" t="s">
        <v>49</v>
      </c>
      <c r="K4609" s="33">
        <v>16900</v>
      </c>
      <c r="L4609" t="s">
        <v>64</v>
      </c>
      <c r="M4609" t="str">
        <f>_xlfn.XLOOKUP(Pipeline_tbl[[#This Row],[Rep_ID]],Dim_Reps!A:A,Dim_Reps!K:K)</f>
        <v>MXN</v>
      </c>
      <c r="N4609" s="33">
        <f>(_xlfn.XLOOKUP(Pipeline_tbl[[#This Row],[Rate_Code_Generalized]],Lookups!A:A,Lookups!B:B))*Pipeline_tbl[[#This Row],[Pipeline_Amount_USD]]</f>
        <v>333482.63</v>
      </c>
      <c r="O4609" t="str">
        <f>_xlfn.XLOOKUP(Pipeline_tbl[[#This Row],[Rep_ID]],Dim_Reps!A:A,Dim_Reps!B:B)</f>
        <v>Jonas Sato</v>
      </c>
      <c r="P4609" t="str">
        <f>_xlfn.XLOOKUP(Pipeline_tbl[[#This Row],[Rep_ID]],Dim_Reps!A:A,Dim_Reps!C:C)</f>
        <v>Mid-Market AE</v>
      </c>
      <c r="Q4609" t="str">
        <f>_xlfn.XLOOKUP(Pipeline_tbl[[#This Row],[Rep_ID]],Dim_Reps!A:A,Dim_Reps!D:D)</f>
        <v>Mid-Market</v>
      </c>
      <c r="R4609" t="str">
        <f>_xlfn.XLOOKUP(Pipeline_tbl[[#This Row],[Rep_ID]],Dim_Reps!A:A,Dim_Reps!E:E)</f>
        <v>LATAM</v>
      </c>
      <c r="S4609" t="str">
        <f>_xlfn.XLOOKUP(Pipeline_tbl[[#This Row],[Created_Date]],Dim_Date!A:A,Dim_Date!H:H)</f>
        <v>Feb 2025</v>
      </c>
      <c r="T4609" t="str">
        <f>IF(Pipeline_tbl[[#This Row],[Closed_Date]]=0,"",(_xlfn.XLOOKUP(Pipeline_tbl[[#This Row],[Closed_Date]],Dim_Date!A:A,Dim_Date!H:H)))</f>
        <v>Apr 2025</v>
      </c>
      <c r="U4609">
        <f>IF(Pipeline_tbl[[#This Row],[Closed_Date]]=0,"",Pipeline_tbl[[#This Row],[Closed_Date]]-Pipeline_tbl[[#This Row],[Created_Date]])</f>
        <v>41</v>
      </c>
    </row>
    <row r="4610" spans="1:21" ht="15" customHeight="1" x14ac:dyDescent="0.2">
      <c r="A4610" t="s">
        <v>4916</v>
      </c>
      <c r="B4610" t="s">
        <v>243</v>
      </c>
      <c r="C4610" t="s">
        <v>52</v>
      </c>
      <c r="D4610" s="49">
        <v>45705</v>
      </c>
      <c r="E4610" s="49">
        <v>45710</v>
      </c>
      <c r="F4610" s="49">
        <v>45720</v>
      </c>
      <c r="G4610" s="49">
        <v>45735</v>
      </c>
      <c r="H4610" s="49">
        <v>45748</v>
      </c>
      <c r="I4610" s="49">
        <v>45755</v>
      </c>
      <c r="J4610" t="s">
        <v>47</v>
      </c>
      <c r="K4610" s="33">
        <v>13900</v>
      </c>
      <c r="M4610" t="str">
        <f>_xlfn.XLOOKUP(Pipeline_tbl[[#This Row],[Rep_ID]],Dim_Reps!A:A,Dim_Reps!K:K)</f>
        <v>MXN</v>
      </c>
      <c r="N4610" s="33">
        <f>(_xlfn.XLOOKUP(Pipeline_tbl[[#This Row],[Rate_Code_Generalized]],Lookups!A:A,Lookups!B:B))*Pipeline_tbl[[#This Row],[Pipeline_Amount_USD]]</f>
        <v>274284.53000000003</v>
      </c>
      <c r="O4610" t="str">
        <f>_xlfn.XLOOKUP(Pipeline_tbl[[#This Row],[Rep_ID]],Dim_Reps!A:A,Dim_Reps!B:B)</f>
        <v>Jonas Sato</v>
      </c>
      <c r="P4610" t="str">
        <f>_xlfn.XLOOKUP(Pipeline_tbl[[#This Row],[Rep_ID]],Dim_Reps!A:A,Dim_Reps!C:C)</f>
        <v>Mid-Market AE</v>
      </c>
      <c r="Q4610" t="str">
        <f>_xlfn.XLOOKUP(Pipeline_tbl[[#This Row],[Rep_ID]],Dim_Reps!A:A,Dim_Reps!D:D)</f>
        <v>Mid-Market</v>
      </c>
      <c r="R4610" t="str">
        <f>_xlfn.XLOOKUP(Pipeline_tbl[[#This Row],[Rep_ID]],Dim_Reps!A:A,Dim_Reps!E:E)</f>
        <v>LATAM</v>
      </c>
      <c r="S4610" t="str">
        <f>_xlfn.XLOOKUP(Pipeline_tbl[[#This Row],[Created_Date]],Dim_Date!A:A,Dim_Date!H:H)</f>
        <v>Feb 2025</v>
      </c>
      <c r="T4610" t="str">
        <f>IF(Pipeline_tbl[[#This Row],[Closed_Date]]=0,"",(_xlfn.XLOOKUP(Pipeline_tbl[[#This Row],[Closed_Date]],Dim_Date!A:A,Dim_Date!H:H)))</f>
        <v>Apr 2025</v>
      </c>
      <c r="U4610">
        <f>IF(Pipeline_tbl[[#This Row],[Closed_Date]]=0,"",Pipeline_tbl[[#This Row],[Closed_Date]]-Pipeline_tbl[[#This Row],[Created_Date]])</f>
        <v>50</v>
      </c>
    </row>
    <row r="4611" spans="1:21" ht="15" customHeight="1" x14ac:dyDescent="0.2">
      <c r="A4611" t="s">
        <v>4917</v>
      </c>
      <c r="B4611" t="s">
        <v>243</v>
      </c>
      <c r="C4611" t="s">
        <v>54</v>
      </c>
      <c r="D4611" s="49">
        <v>45703</v>
      </c>
      <c r="E4611" s="49">
        <v>45708</v>
      </c>
      <c r="F4611" s="49">
        <v>45717</v>
      </c>
      <c r="G4611" s="49">
        <v>45732</v>
      </c>
      <c r="H4611" s="49">
        <v>45744</v>
      </c>
      <c r="I4611" s="49">
        <v>45751</v>
      </c>
      <c r="J4611" t="s">
        <v>49</v>
      </c>
      <c r="K4611" s="33">
        <v>15900</v>
      </c>
      <c r="L4611" t="s">
        <v>60</v>
      </c>
      <c r="M4611" t="str">
        <f>_xlfn.XLOOKUP(Pipeline_tbl[[#This Row],[Rep_ID]],Dim_Reps!A:A,Dim_Reps!K:K)</f>
        <v>MXN</v>
      </c>
      <c r="N4611" s="33">
        <f>(_xlfn.XLOOKUP(Pipeline_tbl[[#This Row],[Rate_Code_Generalized]],Lookups!A:A,Lookups!B:B))*Pipeline_tbl[[#This Row],[Pipeline_Amount_USD]]</f>
        <v>313749.93</v>
      </c>
      <c r="O4611" t="str">
        <f>_xlfn.XLOOKUP(Pipeline_tbl[[#This Row],[Rep_ID]],Dim_Reps!A:A,Dim_Reps!B:B)</f>
        <v>Jonas Sato</v>
      </c>
      <c r="P4611" t="str">
        <f>_xlfn.XLOOKUP(Pipeline_tbl[[#This Row],[Rep_ID]],Dim_Reps!A:A,Dim_Reps!C:C)</f>
        <v>Mid-Market AE</v>
      </c>
      <c r="Q4611" t="str">
        <f>_xlfn.XLOOKUP(Pipeline_tbl[[#This Row],[Rep_ID]],Dim_Reps!A:A,Dim_Reps!D:D)</f>
        <v>Mid-Market</v>
      </c>
      <c r="R4611" t="str">
        <f>_xlfn.XLOOKUP(Pipeline_tbl[[#This Row],[Rep_ID]],Dim_Reps!A:A,Dim_Reps!E:E)</f>
        <v>LATAM</v>
      </c>
      <c r="S4611" t="str">
        <f>_xlfn.XLOOKUP(Pipeline_tbl[[#This Row],[Created_Date]],Dim_Date!A:A,Dim_Date!H:H)</f>
        <v>Feb 2025</v>
      </c>
      <c r="T4611" t="str">
        <f>IF(Pipeline_tbl[[#This Row],[Closed_Date]]=0,"",(_xlfn.XLOOKUP(Pipeline_tbl[[#This Row],[Closed_Date]],Dim_Date!A:A,Dim_Date!H:H)))</f>
        <v>Apr 2025</v>
      </c>
      <c r="U4611">
        <f>IF(Pipeline_tbl[[#This Row],[Closed_Date]]=0,"",Pipeline_tbl[[#This Row],[Closed_Date]]-Pipeline_tbl[[#This Row],[Created_Date]])</f>
        <v>48</v>
      </c>
    </row>
    <row r="4612" spans="1:21" ht="15" customHeight="1" x14ac:dyDescent="0.2">
      <c r="A4612" t="s">
        <v>4918</v>
      </c>
      <c r="B4612" t="s">
        <v>243</v>
      </c>
      <c r="C4612" t="s">
        <v>56</v>
      </c>
      <c r="D4612" s="49">
        <v>45706</v>
      </c>
      <c r="E4612" s="49">
        <v>45711</v>
      </c>
      <c r="F4612" s="49">
        <v>45721</v>
      </c>
      <c r="I4612" s="49">
        <v>45757</v>
      </c>
      <c r="J4612" t="s">
        <v>49</v>
      </c>
      <c r="K4612" s="33">
        <v>10200</v>
      </c>
      <c r="L4612" t="s">
        <v>61</v>
      </c>
      <c r="M4612" t="str">
        <f>_xlfn.XLOOKUP(Pipeline_tbl[[#This Row],[Rep_ID]],Dim_Reps!A:A,Dim_Reps!K:K)</f>
        <v>MXN</v>
      </c>
      <c r="N4612" s="33">
        <f>(_xlfn.XLOOKUP(Pipeline_tbl[[#This Row],[Rate_Code_Generalized]],Lookups!A:A,Lookups!B:B))*Pipeline_tbl[[#This Row],[Pipeline_Amount_USD]]</f>
        <v>201273.54</v>
      </c>
      <c r="O4612" t="str">
        <f>_xlfn.XLOOKUP(Pipeline_tbl[[#This Row],[Rep_ID]],Dim_Reps!A:A,Dim_Reps!B:B)</f>
        <v>Jonas Sato</v>
      </c>
      <c r="P4612" t="str">
        <f>_xlfn.XLOOKUP(Pipeline_tbl[[#This Row],[Rep_ID]],Dim_Reps!A:A,Dim_Reps!C:C)</f>
        <v>Mid-Market AE</v>
      </c>
      <c r="Q4612" t="str">
        <f>_xlfn.XLOOKUP(Pipeline_tbl[[#This Row],[Rep_ID]],Dim_Reps!A:A,Dim_Reps!D:D)</f>
        <v>Mid-Market</v>
      </c>
      <c r="R4612" t="str">
        <f>_xlfn.XLOOKUP(Pipeline_tbl[[#This Row],[Rep_ID]],Dim_Reps!A:A,Dim_Reps!E:E)</f>
        <v>LATAM</v>
      </c>
      <c r="S4612" t="str">
        <f>_xlfn.XLOOKUP(Pipeline_tbl[[#This Row],[Created_Date]],Dim_Date!A:A,Dim_Date!H:H)</f>
        <v>Feb 2025</v>
      </c>
      <c r="T4612" t="str">
        <f>IF(Pipeline_tbl[[#This Row],[Closed_Date]]=0,"",(_xlfn.XLOOKUP(Pipeline_tbl[[#This Row],[Closed_Date]],Dim_Date!A:A,Dim_Date!H:H)))</f>
        <v>Apr 2025</v>
      </c>
      <c r="U4612">
        <f>IF(Pipeline_tbl[[#This Row],[Closed_Date]]=0,"",Pipeline_tbl[[#This Row],[Closed_Date]]-Pipeline_tbl[[#This Row],[Created_Date]])</f>
        <v>51</v>
      </c>
    </row>
    <row r="4613" spans="1:21" ht="15" customHeight="1" x14ac:dyDescent="0.2">
      <c r="A4613" t="s">
        <v>4919</v>
      </c>
      <c r="B4613" t="s">
        <v>243</v>
      </c>
      <c r="C4613" t="s">
        <v>56</v>
      </c>
      <c r="D4613" s="49">
        <v>45716</v>
      </c>
      <c r="E4613" s="49">
        <v>45720</v>
      </c>
      <c r="F4613" s="49">
        <v>45729</v>
      </c>
      <c r="G4613" s="49">
        <v>45742</v>
      </c>
      <c r="I4613" s="49">
        <v>45760</v>
      </c>
      <c r="J4613" t="s">
        <v>49</v>
      </c>
      <c r="K4613" s="33">
        <v>15900</v>
      </c>
      <c r="L4613" t="s">
        <v>60</v>
      </c>
      <c r="M4613" t="str">
        <f>_xlfn.XLOOKUP(Pipeline_tbl[[#This Row],[Rep_ID]],Dim_Reps!A:A,Dim_Reps!K:K)</f>
        <v>MXN</v>
      </c>
      <c r="N4613" s="33">
        <f>(_xlfn.XLOOKUP(Pipeline_tbl[[#This Row],[Rate_Code_Generalized]],Lookups!A:A,Lookups!B:B))*Pipeline_tbl[[#This Row],[Pipeline_Amount_USD]]</f>
        <v>313749.93</v>
      </c>
      <c r="O4613" t="str">
        <f>_xlfn.XLOOKUP(Pipeline_tbl[[#This Row],[Rep_ID]],Dim_Reps!A:A,Dim_Reps!B:B)</f>
        <v>Jonas Sato</v>
      </c>
      <c r="P4613" t="str">
        <f>_xlfn.XLOOKUP(Pipeline_tbl[[#This Row],[Rep_ID]],Dim_Reps!A:A,Dim_Reps!C:C)</f>
        <v>Mid-Market AE</v>
      </c>
      <c r="Q4613" t="str">
        <f>_xlfn.XLOOKUP(Pipeline_tbl[[#This Row],[Rep_ID]],Dim_Reps!A:A,Dim_Reps!D:D)</f>
        <v>Mid-Market</v>
      </c>
      <c r="R4613" t="str">
        <f>_xlfn.XLOOKUP(Pipeline_tbl[[#This Row],[Rep_ID]],Dim_Reps!A:A,Dim_Reps!E:E)</f>
        <v>LATAM</v>
      </c>
      <c r="S4613" t="str">
        <f>_xlfn.XLOOKUP(Pipeline_tbl[[#This Row],[Created_Date]],Dim_Date!A:A,Dim_Date!H:H)</f>
        <v>Feb 2025</v>
      </c>
      <c r="T4613" t="str">
        <f>IF(Pipeline_tbl[[#This Row],[Closed_Date]]=0,"",(_xlfn.XLOOKUP(Pipeline_tbl[[#This Row],[Closed_Date]],Dim_Date!A:A,Dim_Date!H:H)))</f>
        <v>Apr 2025</v>
      </c>
      <c r="U4613">
        <f>IF(Pipeline_tbl[[#This Row],[Closed_Date]]=0,"",Pipeline_tbl[[#This Row],[Closed_Date]]-Pipeline_tbl[[#This Row],[Created_Date]])</f>
        <v>44</v>
      </c>
    </row>
    <row r="4614" spans="1:21" ht="15" customHeight="1" x14ac:dyDescent="0.2">
      <c r="A4614" t="s">
        <v>4920</v>
      </c>
      <c r="B4614" t="s">
        <v>243</v>
      </c>
      <c r="C4614" t="s">
        <v>54</v>
      </c>
      <c r="D4614" s="49">
        <v>45703</v>
      </c>
      <c r="E4614" s="49">
        <v>45708</v>
      </c>
      <c r="F4614" s="49">
        <v>45718</v>
      </c>
      <c r="G4614" s="49">
        <v>45732</v>
      </c>
      <c r="H4614" s="49">
        <v>45745</v>
      </c>
      <c r="I4614" s="49">
        <v>45752</v>
      </c>
      <c r="J4614" t="s">
        <v>47</v>
      </c>
      <c r="K4614" s="33">
        <v>18900</v>
      </c>
      <c r="M4614" t="str">
        <f>_xlfn.XLOOKUP(Pipeline_tbl[[#This Row],[Rep_ID]],Dim_Reps!A:A,Dim_Reps!K:K)</f>
        <v>MXN</v>
      </c>
      <c r="N4614" s="33">
        <f>(_xlfn.XLOOKUP(Pipeline_tbl[[#This Row],[Rate_Code_Generalized]],Lookups!A:A,Lookups!B:B))*Pipeline_tbl[[#This Row],[Pipeline_Amount_USD]]</f>
        <v>372948.03</v>
      </c>
      <c r="O4614" t="str">
        <f>_xlfn.XLOOKUP(Pipeline_tbl[[#This Row],[Rep_ID]],Dim_Reps!A:A,Dim_Reps!B:B)</f>
        <v>Jonas Sato</v>
      </c>
      <c r="P4614" t="str">
        <f>_xlfn.XLOOKUP(Pipeline_tbl[[#This Row],[Rep_ID]],Dim_Reps!A:A,Dim_Reps!C:C)</f>
        <v>Mid-Market AE</v>
      </c>
      <c r="Q4614" t="str">
        <f>_xlfn.XLOOKUP(Pipeline_tbl[[#This Row],[Rep_ID]],Dim_Reps!A:A,Dim_Reps!D:D)</f>
        <v>Mid-Market</v>
      </c>
      <c r="R4614" t="str">
        <f>_xlfn.XLOOKUP(Pipeline_tbl[[#This Row],[Rep_ID]],Dim_Reps!A:A,Dim_Reps!E:E)</f>
        <v>LATAM</v>
      </c>
      <c r="S4614" t="str">
        <f>_xlfn.XLOOKUP(Pipeline_tbl[[#This Row],[Created_Date]],Dim_Date!A:A,Dim_Date!H:H)</f>
        <v>Feb 2025</v>
      </c>
      <c r="T4614" t="str">
        <f>IF(Pipeline_tbl[[#This Row],[Closed_Date]]=0,"",(_xlfn.XLOOKUP(Pipeline_tbl[[#This Row],[Closed_Date]],Dim_Date!A:A,Dim_Date!H:H)))</f>
        <v>Apr 2025</v>
      </c>
      <c r="U4614">
        <f>IF(Pipeline_tbl[[#This Row],[Closed_Date]]=0,"",Pipeline_tbl[[#This Row],[Closed_Date]]-Pipeline_tbl[[#This Row],[Created_Date]])</f>
        <v>49</v>
      </c>
    </row>
    <row r="4615" spans="1:21" ht="15" customHeight="1" x14ac:dyDescent="0.2">
      <c r="A4615" t="s">
        <v>4921</v>
      </c>
      <c r="B4615" t="s">
        <v>181</v>
      </c>
      <c r="C4615" t="s">
        <v>53</v>
      </c>
      <c r="D4615" s="49">
        <v>45710</v>
      </c>
      <c r="E4615" s="49">
        <v>45715</v>
      </c>
      <c r="I4615" s="49">
        <v>45764</v>
      </c>
      <c r="J4615" t="s">
        <v>49</v>
      </c>
      <c r="K4615" s="33">
        <v>34800</v>
      </c>
      <c r="L4615" t="s">
        <v>64</v>
      </c>
      <c r="M4615" t="str">
        <f>_xlfn.XLOOKUP(Pipeline_tbl[[#This Row],[Rep_ID]],Dim_Reps!A:A,Dim_Reps!K:K)</f>
        <v>USD</v>
      </c>
      <c r="N4615" s="33">
        <f>(_xlfn.XLOOKUP(Pipeline_tbl[[#This Row],[Rate_Code_Generalized]],Lookups!A:A,Lookups!B:B))*Pipeline_tbl[[#This Row],[Pipeline_Amount_USD]]</f>
        <v>40517.64</v>
      </c>
      <c r="O4615" t="str">
        <f>_xlfn.XLOOKUP(Pipeline_tbl[[#This Row],[Rep_ID]],Dim_Reps!A:A,Dim_Reps!B:B)</f>
        <v>Milo Weber</v>
      </c>
      <c r="P4615" t="str">
        <f>_xlfn.XLOOKUP(Pipeline_tbl[[#This Row],[Rep_ID]],Dim_Reps!A:A,Dim_Reps!C:C)</f>
        <v>Enterprise AE</v>
      </c>
      <c r="Q4615" t="str">
        <f>_xlfn.XLOOKUP(Pipeline_tbl[[#This Row],[Rep_ID]],Dim_Reps!A:A,Dim_Reps!D:D)</f>
        <v>Enterprise</v>
      </c>
      <c r="R4615" t="str">
        <f>_xlfn.XLOOKUP(Pipeline_tbl[[#This Row],[Rep_ID]],Dim_Reps!A:A,Dim_Reps!E:E)</f>
        <v>NAMER</v>
      </c>
      <c r="S4615" t="str">
        <f>_xlfn.XLOOKUP(Pipeline_tbl[[#This Row],[Created_Date]],Dim_Date!A:A,Dim_Date!H:H)</f>
        <v>Feb 2025</v>
      </c>
      <c r="T4615" t="str">
        <f>IF(Pipeline_tbl[[#This Row],[Closed_Date]]=0,"",(_xlfn.XLOOKUP(Pipeline_tbl[[#This Row],[Closed_Date]],Dim_Date!A:A,Dim_Date!H:H)))</f>
        <v>Apr 2025</v>
      </c>
      <c r="U4615">
        <f>IF(Pipeline_tbl[[#This Row],[Closed_Date]]=0,"",Pipeline_tbl[[#This Row],[Closed_Date]]-Pipeline_tbl[[#This Row],[Created_Date]])</f>
        <v>54</v>
      </c>
    </row>
    <row r="4616" spans="1:21" ht="15" customHeight="1" x14ac:dyDescent="0.2">
      <c r="A4616" t="s">
        <v>4922</v>
      </c>
      <c r="B4616" t="s">
        <v>181</v>
      </c>
      <c r="C4616" t="s">
        <v>56</v>
      </c>
      <c r="D4616" s="49">
        <v>45706</v>
      </c>
      <c r="E4616" s="49">
        <v>45711</v>
      </c>
      <c r="F4616" s="49">
        <v>45722</v>
      </c>
      <c r="G4616" s="49">
        <v>45738</v>
      </c>
      <c r="H4616" s="49">
        <v>45751</v>
      </c>
      <c r="I4616" s="49">
        <v>45759</v>
      </c>
      <c r="J4616" t="s">
        <v>49</v>
      </c>
      <c r="K4616" s="33">
        <v>37500</v>
      </c>
      <c r="L4616" t="s">
        <v>64</v>
      </c>
      <c r="M4616" t="str">
        <f>_xlfn.XLOOKUP(Pipeline_tbl[[#This Row],[Rep_ID]],Dim_Reps!A:A,Dim_Reps!K:K)</f>
        <v>USD</v>
      </c>
      <c r="N4616" s="33">
        <f>(_xlfn.XLOOKUP(Pipeline_tbl[[#This Row],[Rate_Code_Generalized]],Lookups!A:A,Lookups!B:B))*Pipeline_tbl[[#This Row],[Pipeline_Amount_USD]]</f>
        <v>43661.249999999993</v>
      </c>
      <c r="O4616" t="str">
        <f>_xlfn.XLOOKUP(Pipeline_tbl[[#This Row],[Rep_ID]],Dim_Reps!A:A,Dim_Reps!B:B)</f>
        <v>Milo Weber</v>
      </c>
      <c r="P4616" t="str">
        <f>_xlfn.XLOOKUP(Pipeline_tbl[[#This Row],[Rep_ID]],Dim_Reps!A:A,Dim_Reps!C:C)</f>
        <v>Enterprise AE</v>
      </c>
      <c r="Q4616" t="str">
        <f>_xlfn.XLOOKUP(Pipeline_tbl[[#This Row],[Rep_ID]],Dim_Reps!A:A,Dim_Reps!D:D)</f>
        <v>Enterprise</v>
      </c>
      <c r="R4616" t="str">
        <f>_xlfn.XLOOKUP(Pipeline_tbl[[#This Row],[Rep_ID]],Dim_Reps!A:A,Dim_Reps!E:E)</f>
        <v>NAMER</v>
      </c>
      <c r="S4616" t="str">
        <f>_xlfn.XLOOKUP(Pipeline_tbl[[#This Row],[Created_Date]],Dim_Date!A:A,Dim_Date!H:H)</f>
        <v>Feb 2025</v>
      </c>
      <c r="T4616" t="str">
        <f>IF(Pipeline_tbl[[#This Row],[Closed_Date]]=0,"",(_xlfn.XLOOKUP(Pipeline_tbl[[#This Row],[Closed_Date]],Dim_Date!A:A,Dim_Date!H:H)))</f>
        <v>Apr 2025</v>
      </c>
      <c r="U4616">
        <f>IF(Pipeline_tbl[[#This Row],[Closed_Date]]=0,"",Pipeline_tbl[[#This Row],[Closed_Date]]-Pipeline_tbl[[#This Row],[Created_Date]])</f>
        <v>53</v>
      </c>
    </row>
    <row r="4617" spans="1:21" ht="15" customHeight="1" x14ac:dyDescent="0.2">
      <c r="A4617" t="s">
        <v>4923</v>
      </c>
      <c r="B4617" t="s">
        <v>183</v>
      </c>
      <c r="C4617" t="s">
        <v>52</v>
      </c>
      <c r="D4617" s="49">
        <v>45714</v>
      </c>
      <c r="E4617" s="49">
        <v>45719</v>
      </c>
      <c r="F4617" s="49">
        <v>45729</v>
      </c>
      <c r="G4617" s="49">
        <v>45743</v>
      </c>
      <c r="H4617" s="49">
        <v>45756</v>
      </c>
      <c r="I4617" s="49">
        <v>45763</v>
      </c>
      <c r="J4617" t="s">
        <v>49</v>
      </c>
      <c r="K4617" s="33">
        <v>36900</v>
      </c>
      <c r="L4617" t="s">
        <v>64</v>
      </c>
      <c r="M4617" t="str">
        <f>_xlfn.XLOOKUP(Pipeline_tbl[[#This Row],[Rep_ID]],Dim_Reps!A:A,Dim_Reps!K:K)</f>
        <v>EUR</v>
      </c>
      <c r="N4617" s="33">
        <f>(_xlfn.XLOOKUP(Pipeline_tbl[[#This Row],[Rate_Code_Generalized]],Lookups!A:A,Lookups!B:B))*Pipeline_tbl[[#This Row],[Pipeline_Amount_USD]]</f>
        <v>36900</v>
      </c>
      <c r="O4617" t="str">
        <f>_xlfn.XLOOKUP(Pipeline_tbl[[#This Row],[Rep_ID]],Dim_Reps!A:A,Dim_Reps!B:B)</f>
        <v>Sam Schmidt</v>
      </c>
      <c r="P4617" t="str">
        <f>_xlfn.XLOOKUP(Pipeline_tbl[[#This Row],[Rep_ID]],Dim_Reps!A:A,Dim_Reps!C:C)</f>
        <v>Enterprise AE</v>
      </c>
      <c r="Q4617" t="str">
        <f>_xlfn.XLOOKUP(Pipeline_tbl[[#This Row],[Rep_ID]],Dim_Reps!A:A,Dim_Reps!D:D)</f>
        <v>Enterprise</v>
      </c>
      <c r="R4617" t="str">
        <f>_xlfn.XLOOKUP(Pipeline_tbl[[#This Row],[Rep_ID]],Dim_Reps!A:A,Dim_Reps!E:E)</f>
        <v>EMEA</v>
      </c>
      <c r="S4617" t="str">
        <f>_xlfn.XLOOKUP(Pipeline_tbl[[#This Row],[Created_Date]],Dim_Date!A:A,Dim_Date!H:H)</f>
        <v>Feb 2025</v>
      </c>
      <c r="T4617" t="str">
        <f>IF(Pipeline_tbl[[#This Row],[Closed_Date]]=0,"",(_xlfn.XLOOKUP(Pipeline_tbl[[#This Row],[Closed_Date]],Dim_Date!A:A,Dim_Date!H:H)))</f>
        <v>Apr 2025</v>
      </c>
      <c r="U4617">
        <f>IF(Pipeline_tbl[[#This Row],[Closed_Date]]=0,"",Pipeline_tbl[[#This Row],[Closed_Date]]-Pipeline_tbl[[#This Row],[Created_Date]])</f>
        <v>49</v>
      </c>
    </row>
    <row r="4618" spans="1:21" ht="15" customHeight="1" x14ac:dyDescent="0.2">
      <c r="A4618" t="s">
        <v>4924</v>
      </c>
      <c r="B4618" t="s">
        <v>278</v>
      </c>
      <c r="C4618" t="s">
        <v>53</v>
      </c>
      <c r="D4618" s="49">
        <v>45692</v>
      </c>
      <c r="E4618" s="49">
        <v>45700</v>
      </c>
      <c r="F4618" s="49">
        <v>45718</v>
      </c>
      <c r="G4618" s="49">
        <v>45743</v>
      </c>
      <c r="H4618" s="49">
        <v>45764</v>
      </c>
      <c r="I4618" s="49">
        <v>45777</v>
      </c>
      <c r="J4618" t="s">
        <v>47</v>
      </c>
      <c r="K4618" s="33">
        <v>47100</v>
      </c>
      <c r="M4618" t="str">
        <f>_xlfn.XLOOKUP(Pipeline_tbl[[#This Row],[Rep_ID]],Dim_Reps!A:A,Dim_Reps!K:K)</f>
        <v>EUR</v>
      </c>
      <c r="N4618" s="33">
        <f>(_xlfn.XLOOKUP(Pipeline_tbl[[#This Row],[Rate_Code_Generalized]],Lookups!A:A,Lookups!B:B))*Pipeline_tbl[[#This Row],[Pipeline_Amount_USD]]</f>
        <v>47100</v>
      </c>
      <c r="O4618" t="str">
        <f>_xlfn.XLOOKUP(Pipeline_tbl[[#This Row],[Rep_ID]],Dim_Reps!A:A,Dim_Reps!B:B)</f>
        <v>Sara Andersson</v>
      </c>
      <c r="P4618" t="str">
        <f>_xlfn.XLOOKUP(Pipeline_tbl[[#This Row],[Rep_ID]],Dim_Reps!A:A,Dim_Reps!C:C)</f>
        <v>Senior Enterprise AE</v>
      </c>
      <c r="Q4618" t="str">
        <f>_xlfn.XLOOKUP(Pipeline_tbl[[#This Row],[Rep_ID]],Dim_Reps!A:A,Dim_Reps!D:D)</f>
        <v>Strategic</v>
      </c>
      <c r="R4618" t="str">
        <f>_xlfn.XLOOKUP(Pipeline_tbl[[#This Row],[Rep_ID]],Dim_Reps!A:A,Dim_Reps!E:E)</f>
        <v>APAC</v>
      </c>
      <c r="S4618" t="str">
        <f>_xlfn.XLOOKUP(Pipeline_tbl[[#This Row],[Created_Date]],Dim_Date!A:A,Dim_Date!H:H)</f>
        <v>Feb 2025</v>
      </c>
      <c r="T4618" t="str">
        <f>IF(Pipeline_tbl[[#This Row],[Closed_Date]]=0,"",(_xlfn.XLOOKUP(Pipeline_tbl[[#This Row],[Closed_Date]],Dim_Date!A:A,Dim_Date!H:H)))</f>
        <v>Apr 2025</v>
      </c>
      <c r="U4618">
        <f>IF(Pipeline_tbl[[#This Row],[Closed_Date]]=0,"",Pipeline_tbl[[#This Row],[Closed_Date]]-Pipeline_tbl[[#This Row],[Created_Date]])</f>
        <v>85</v>
      </c>
    </row>
    <row r="4619" spans="1:21" ht="15" customHeight="1" x14ac:dyDescent="0.2">
      <c r="A4619" t="s">
        <v>4925</v>
      </c>
      <c r="B4619" t="s">
        <v>185</v>
      </c>
      <c r="C4619" t="s">
        <v>54</v>
      </c>
      <c r="D4619" s="49">
        <v>45700</v>
      </c>
      <c r="E4619" s="49">
        <v>45706</v>
      </c>
      <c r="F4619" s="49">
        <v>45717</v>
      </c>
      <c r="G4619" s="49">
        <v>45734</v>
      </c>
      <c r="H4619" s="49">
        <v>45748</v>
      </c>
      <c r="I4619" s="49">
        <v>45757</v>
      </c>
      <c r="J4619" t="s">
        <v>49</v>
      </c>
      <c r="K4619" s="33">
        <v>22200</v>
      </c>
      <c r="L4619" t="s">
        <v>63</v>
      </c>
      <c r="M4619" t="str">
        <f>_xlfn.XLOOKUP(Pipeline_tbl[[#This Row],[Rep_ID]],Dim_Reps!A:A,Dim_Reps!K:K)</f>
        <v>MXN</v>
      </c>
      <c r="N4619" s="33">
        <f>(_xlfn.XLOOKUP(Pipeline_tbl[[#This Row],[Rate_Code_Generalized]],Lookups!A:A,Lookups!B:B))*Pipeline_tbl[[#This Row],[Pipeline_Amount_USD]]</f>
        <v>438065.94</v>
      </c>
      <c r="O4619" t="str">
        <f>_xlfn.XLOOKUP(Pipeline_tbl[[#This Row],[Rep_ID]],Dim_Reps!A:A,Dim_Reps!B:B)</f>
        <v>Noah Kim</v>
      </c>
      <c r="P4619" t="str">
        <f>_xlfn.XLOOKUP(Pipeline_tbl[[#This Row],[Rep_ID]],Dim_Reps!A:A,Dim_Reps!C:C)</f>
        <v>Enterprise AE</v>
      </c>
      <c r="Q4619" t="str">
        <f>_xlfn.XLOOKUP(Pipeline_tbl[[#This Row],[Rep_ID]],Dim_Reps!A:A,Dim_Reps!D:D)</f>
        <v>Enterprise</v>
      </c>
      <c r="R4619" t="str">
        <f>_xlfn.XLOOKUP(Pipeline_tbl[[#This Row],[Rep_ID]],Dim_Reps!A:A,Dim_Reps!E:E)</f>
        <v>LATAM</v>
      </c>
      <c r="S4619" t="str">
        <f>_xlfn.XLOOKUP(Pipeline_tbl[[#This Row],[Created_Date]],Dim_Date!A:A,Dim_Date!H:H)</f>
        <v>Feb 2025</v>
      </c>
      <c r="T4619" t="str">
        <f>IF(Pipeline_tbl[[#This Row],[Closed_Date]]=0,"",(_xlfn.XLOOKUP(Pipeline_tbl[[#This Row],[Closed_Date]],Dim_Date!A:A,Dim_Date!H:H)))</f>
        <v>Apr 2025</v>
      </c>
      <c r="U4619">
        <f>IF(Pipeline_tbl[[#This Row],[Closed_Date]]=0,"",Pipeline_tbl[[#This Row],[Closed_Date]]-Pipeline_tbl[[#This Row],[Created_Date]])</f>
        <v>57</v>
      </c>
    </row>
    <row r="4620" spans="1:21" ht="15" customHeight="1" x14ac:dyDescent="0.2">
      <c r="A4620" t="s">
        <v>4926</v>
      </c>
      <c r="B4620" t="s">
        <v>188</v>
      </c>
      <c r="C4620" t="s">
        <v>53</v>
      </c>
      <c r="D4620" s="49">
        <v>45701</v>
      </c>
      <c r="E4620" s="49">
        <v>45709</v>
      </c>
      <c r="F4620" s="49">
        <v>45724</v>
      </c>
      <c r="G4620" s="49">
        <v>45746</v>
      </c>
      <c r="H4620" s="49">
        <v>45765</v>
      </c>
      <c r="I4620" s="49">
        <v>45776</v>
      </c>
      <c r="J4620" t="s">
        <v>49</v>
      </c>
      <c r="K4620" s="33">
        <v>29200</v>
      </c>
      <c r="L4620" t="s">
        <v>61</v>
      </c>
      <c r="M4620" t="str">
        <f>_xlfn.XLOOKUP(Pipeline_tbl[[#This Row],[Rep_ID]],Dim_Reps!A:A,Dim_Reps!K:K)</f>
        <v>EUR</v>
      </c>
      <c r="N4620" s="33">
        <f>(_xlfn.XLOOKUP(Pipeline_tbl[[#This Row],[Rate_Code_Generalized]],Lookups!A:A,Lookups!B:B))*Pipeline_tbl[[#This Row],[Pipeline_Amount_USD]]</f>
        <v>29200</v>
      </c>
      <c r="O4620" t="str">
        <f>_xlfn.XLOOKUP(Pipeline_tbl[[#This Row],[Rep_ID]],Dim_Reps!A:A,Dim_Reps!B:B)</f>
        <v>Jamie Santos</v>
      </c>
      <c r="P4620" t="str">
        <f>_xlfn.XLOOKUP(Pipeline_tbl[[#This Row],[Rep_ID]],Dim_Reps!A:A,Dim_Reps!C:C)</f>
        <v>Enterprise AE</v>
      </c>
      <c r="Q4620" t="str">
        <f>_xlfn.XLOOKUP(Pipeline_tbl[[#This Row],[Rep_ID]],Dim_Reps!A:A,Dim_Reps!D:D)</f>
        <v>Enterprise</v>
      </c>
      <c r="R4620" t="str">
        <f>_xlfn.XLOOKUP(Pipeline_tbl[[#This Row],[Rep_ID]],Dim_Reps!A:A,Dim_Reps!E:E)</f>
        <v>APAC</v>
      </c>
      <c r="S4620" t="str">
        <f>_xlfn.XLOOKUP(Pipeline_tbl[[#This Row],[Created_Date]],Dim_Date!A:A,Dim_Date!H:H)</f>
        <v>Feb 2025</v>
      </c>
      <c r="T4620" t="str">
        <f>IF(Pipeline_tbl[[#This Row],[Closed_Date]]=0,"",(_xlfn.XLOOKUP(Pipeline_tbl[[#This Row],[Closed_Date]],Dim_Date!A:A,Dim_Date!H:H)))</f>
        <v>Apr 2025</v>
      </c>
      <c r="U4620">
        <f>IF(Pipeline_tbl[[#This Row],[Closed_Date]]=0,"",Pipeline_tbl[[#This Row],[Closed_Date]]-Pipeline_tbl[[#This Row],[Created_Date]])</f>
        <v>75</v>
      </c>
    </row>
    <row r="4621" spans="1:21" ht="15" customHeight="1" x14ac:dyDescent="0.2">
      <c r="A4621" t="s">
        <v>4927</v>
      </c>
      <c r="B4621" t="s">
        <v>188</v>
      </c>
      <c r="C4621" t="s">
        <v>53</v>
      </c>
      <c r="D4621" s="49">
        <v>45705</v>
      </c>
      <c r="E4621" s="49">
        <v>45712</v>
      </c>
      <c r="F4621" s="49">
        <v>45726</v>
      </c>
      <c r="I4621" s="49">
        <v>45774</v>
      </c>
      <c r="J4621" t="s">
        <v>49</v>
      </c>
      <c r="K4621" s="33">
        <v>29400</v>
      </c>
      <c r="L4621" t="s">
        <v>60</v>
      </c>
      <c r="M4621" t="str">
        <f>_xlfn.XLOOKUP(Pipeline_tbl[[#This Row],[Rep_ID]],Dim_Reps!A:A,Dim_Reps!K:K)</f>
        <v>EUR</v>
      </c>
      <c r="N4621" s="33">
        <f>(_xlfn.XLOOKUP(Pipeline_tbl[[#This Row],[Rate_Code_Generalized]],Lookups!A:A,Lookups!B:B))*Pipeline_tbl[[#This Row],[Pipeline_Amount_USD]]</f>
        <v>29400</v>
      </c>
      <c r="O4621" t="str">
        <f>_xlfn.XLOOKUP(Pipeline_tbl[[#This Row],[Rep_ID]],Dim_Reps!A:A,Dim_Reps!B:B)</f>
        <v>Jamie Santos</v>
      </c>
      <c r="P4621" t="str">
        <f>_xlfn.XLOOKUP(Pipeline_tbl[[#This Row],[Rep_ID]],Dim_Reps!A:A,Dim_Reps!C:C)</f>
        <v>Enterprise AE</v>
      </c>
      <c r="Q4621" t="str">
        <f>_xlfn.XLOOKUP(Pipeline_tbl[[#This Row],[Rep_ID]],Dim_Reps!A:A,Dim_Reps!D:D)</f>
        <v>Enterprise</v>
      </c>
      <c r="R4621" t="str">
        <f>_xlfn.XLOOKUP(Pipeline_tbl[[#This Row],[Rep_ID]],Dim_Reps!A:A,Dim_Reps!E:E)</f>
        <v>APAC</v>
      </c>
      <c r="S4621" t="str">
        <f>_xlfn.XLOOKUP(Pipeline_tbl[[#This Row],[Created_Date]],Dim_Date!A:A,Dim_Date!H:H)</f>
        <v>Feb 2025</v>
      </c>
      <c r="T4621" t="str">
        <f>IF(Pipeline_tbl[[#This Row],[Closed_Date]]=0,"",(_xlfn.XLOOKUP(Pipeline_tbl[[#This Row],[Closed_Date]],Dim_Date!A:A,Dim_Date!H:H)))</f>
        <v>Apr 2025</v>
      </c>
      <c r="U4621">
        <f>IF(Pipeline_tbl[[#This Row],[Closed_Date]]=0,"",Pipeline_tbl[[#This Row],[Closed_Date]]-Pipeline_tbl[[#This Row],[Created_Date]])</f>
        <v>69</v>
      </c>
    </row>
    <row r="4622" spans="1:21" ht="15" customHeight="1" x14ac:dyDescent="0.2">
      <c r="A4622" t="s">
        <v>4928</v>
      </c>
      <c r="B4622" t="s">
        <v>259</v>
      </c>
      <c r="C4622" t="s">
        <v>52</v>
      </c>
      <c r="D4622" s="49">
        <v>45707</v>
      </c>
      <c r="E4622" s="49">
        <v>45712</v>
      </c>
      <c r="F4622" s="49">
        <v>45722</v>
      </c>
      <c r="G4622" s="49">
        <v>45737</v>
      </c>
      <c r="H4622" s="49">
        <v>45750</v>
      </c>
      <c r="I4622" s="49">
        <v>45757</v>
      </c>
      <c r="J4622" t="s">
        <v>47</v>
      </c>
      <c r="K4622" s="33">
        <v>21500</v>
      </c>
      <c r="M4622" t="str">
        <f>_xlfn.XLOOKUP(Pipeline_tbl[[#This Row],[Rep_ID]],Dim_Reps!A:A,Dim_Reps!K:K)</f>
        <v>EUR</v>
      </c>
      <c r="N4622" s="33">
        <f>(_xlfn.XLOOKUP(Pipeline_tbl[[#This Row],[Rate_Code_Generalized]],Lookups!A:A,Lookups!B:B))*Pipeline_tbl[[#This Row],[Pipeline_Amount_USD]]</f>
        <v>21500</v>
      </c>
      <c r="O4622" t="str">
        <f>_xlfn.XLOOKUP(Pipeline_tbl[[#This Row],[Rep_ID]],Dim_Reps!A:A,Dim_Reps!B:B)</f>
        <v>Felix Okafor</v>
      </c>
      <c r="P4622" t="str">
        <f>_xlfn.XLOOKUP(Pipeline_tbl[[#This Row],[Rep_ID]],Dim_Reps!A:A,Dim_Reps!C:C)</f>
        <v>Mid-Market AE</v>
      </c>
      <c r="Q4622" t="str">
        <f>_xlfn.XLOOKUP(Pipeline_tbl[[#This Row],[Rep_ID]],Dim_Reps!A:A,Dim_Reps!D:D)</f>
        <v>Mid-Market</v>
      </c>
      <c r="R4622" t="str">
        <f>_xlfn.XLOOKUP(Pipeline_tbl[[#This Row],[Rep_ID]],Dim_Reps!A:A,Dim_Reps!E:E)</f>
        <v>EMEA</v>
      </c>
      <c r="S4622" t="str">
        <f>_xlfn.XLOOKUP(Pipeline_tbl[[#This Row],[Created_Date]],Dim_Date!A:A,Dim_Date!H:H)</f>
        <v>Feb 2025</v>
      </c>
      <c r="T4622" t="str">
        <f>IF(Pipeline_tbl[[#This Row],[Closed_Date]]=0,"",(_xlfn.XLOOKUP(Pipeline_tbl[[#This Row],[Closed_Date]],Dim_Date!A:A,Dim_Date!H:H)))</f>
        <v>Apr 2025</v>
      </c>
      <c r="U4622">
        <f>IF(Pipeline_tbl[[#This Row],[Closed_Date]]=0,"",Pipeline_tbl[[#This Row],[Closed_Date]]-Pipeline_tbl[[#This Row],[Created_Date]])</f>
        <v>50</v>
      </c>
    </row>
    <row r="4623" spans="1:21" ht="15" customHeight="1" x14ac:dyDescent="0.2">
      <c r="A4623" t="s">
        <v>4929</v>
      </c>
      <c r="B4623" t="s">
        <v>259</v>
      </c>
      <c r="C4623" t="s">
        <v>53</v>
      </c>
      <c r="D4623" s="49">
        <v>45704</v>
      </c>
      <c r="E4623" s="49">
        <v>45710</v>
      </c>
      <c r="F4623" s="49">
        <v>45721</v>
      </c>
      <c r="G4623" s="49">
        <v>45738</v>
      </c>
      <c r="H4623" s="49">
        <v>45752</v>
      </c>
      <c r="I4623" s="49">
        <v>45761</v>
      </c>
      <c r="J4623" t="s">
        <v>47</v>
      </c>
      <c r="K4623" s="33">
        <v>16000</v>
      </c>
      <c r="M4623" t="str">
        <f>_xlfn.XLOOKUP(Pipeline_tbl[[#This Row],[Rep_ID]],Dim_Reps!A:A,Dim_Reps!K:K)</f>
        <v>EUR</v>
      </c>
      <c r="N4623" s="33">
        <f>(_xlfn.XLOOKUP(Pipeline_tbl[[#This Row],[Rate_Code_Generalized]],Lookups!A:A,Lookups!B:B))*Pipeline_tbl[[#This Row],[Pipeline_Amount_USD]]</f>
        <v>16000</v>
      </c>
      <c r="O4623" t="str">
        <f>_xlfn.XLOOKUP(Pipeline_tbl[[#This Row],[Rep_ID]],Dim_Reps!A:A,Dim_Reps!B:B)</f>
        <v>Felix Okafor</v>
      </c>
      <c r="P4623" t="str">
        <f>_xlfn.XLOOKUP(Pipeline_tbl[[#This Row],[Rep_ID]],Dim_Reps!A:A,Dim_Reps!C:C)</f>
        <v>Mid-Market AE</v>
      </c>
      <c r="Q4623" t="str">
        <f>_xlfn.XLOOKUP(Pipeline_tbl[[#This Row],[Rep_ID]],Dim_Reps!A:A,Dim_Reps!D:D)</f>
        <v>Mid-Market</v>
      </c>
      <c r="R4623" t="str">
        <f>_xlfn.XLOOKUP(Pipeline_tbl[[#This Row],[Rep_ID]],Dim_Reps!A:A,Dim_Reps!E:E)</f>
        <v>EMEA</v>
      </c>
      <c r="S4623" t="str">
        <f>_xlfn.XLOOKUP(Pipeline_tbl[[#This Row],[Created_Date]],Dim_Date!A:A,Dim_Date!H:H)</f>
        <v>Feb 2025</v>
      </c>
      <c r="T4623" t="str">
        <f>IF(Pipeline_tbl[[#This Row],[Closed_Date]]=0,"",(_xlfn.XLOOKUP(Pipeline_tbl[[#This Row],[Closed_Date]],Dim_Date!A:A,Dim_Date!H:H)))</f>
        <v>Apr 2025</v>
      </c>
      <c r="U4623">
        <f>IF(Pipeline_tbl[[#This Row],[Closed_Date]]=0,"",Pipeline_tbl[[#This Row],[Closed_Date]]-Pipeline_tbl[[#This Row],[Created_Date]])</f>
        <v>57</v>
      </c>
    </row>
    <row r="4624" spans="1:21" ht="15" customHeight="1" x14ac:dyDescent="0.2">
      <c r="A4624" t="s">
        <v>4930</v>
      </c>
      <c r="B4624" t="s">
        <v>259</v>
      </c>
      <c r="C4624" t="s">
        <v>56</v>
      </c>
      <c r="D4624" s="49">
        <v>45710</v>
      </c>
      <c r="E4624" s="49">
        <v>45714</v>
      </c>
      <c r="F4624" s="49">
        <v>45723</v>
      </c>
      <c r="G4624" s="49">
        <v>45735</v>
      </c>
      <c r="H4624" s="49">
        <v>45746</v>
      </c>
      <c r="I4624" s="49">
        <v>45752</v>
      </c>
      <c r="J4624" t="s">
        <v>47</v>
      </c>
      <c r="K4624" s="33">
        <v>20200</v>
      </c>
      <c r="M4624" t="str">
        <f>_xlfn.XLOOKUP(Pipeline_tbl[[#This Row],[Rep_ID]],Dim_Reps!A:A,Dim_Reps!K:K)</f>
        <v>EUR</v>
      </c>
      <c r="N4624" s="33">
        <f>(_xlfn.XLOOKUP(Pipeline_tbl[[#This Row],[Rate_Code_Generalized]],Lookups!A:A,Lookups!B:B))*Pipeline_tbl[[#This Row],[Pipeline_Amount_USD]]</f>
        <v>20200</v>
      </c>
      <c r="O4624" t="str">
        <f>_xlfn.XLOOKUP(Pipeline_tbl[[#This Row],[Rep_ID]],Dim_Reps!A:A,Dim_Reps!B:B)</f>
        <v>Felix Okafor</v>
      </c>
      <c r="P4624" t="str">
        <f>_xlfn.XLOOKUP(Pipeline_tbl[[#This Row],[Rep_ID]],Dim_Reps!A:A,Dim_Reps!C:C)</f>
        <v>Mid-Market AE</v>
      </c>
      <c r="Q4624" t="str">
        <f>_xlfn.XLOOKUP(Pipeline_tbl[[#This Row],[Rep_ID]],Dim_Reps!A:A,Dim_Reps!D:D)</f>
        <v>Mid-Market</v>
      </c>
      <c r="R4624" t="str">
        <f>_xlfn.XLOOKUP(Pipeline_tbl[[#This Row],[Rep_ID]],Dim_Reps!A:A,Dim_Reps!E:E)</f>
        <v>EMEA</v>
      </c>
      <c r="S4624" t="str">
        <f>_xlfn.XLOOKUP(Pipeline_tbl[[#This Row],[Created_Date]],Dim_Date!A:A,Dim_Date!H:H)</f>
        <v>Feb 2025</v>
      </c>
      <c r="T4624" t="str">
        <f>IF(Pipeline_tbl[[#This Row],[Closed_Date]]=0,"",(_xlfn.XLOOKUP(Pipeline_tbl[[#This Row],[Closed_Date]],Dim_Date!A:A,Dim_Date!H:H)))</f>
        <v>Apr 2025</v>
      </c>
      <c r="U4624">
        <f>IF(Pipeline_tbl[[#This Row],[Closed_Date]]=0,"",Pipeline_tbl[[#This Row],[Closed_Date]]-Pipeline_tbl[[#This Row],[Created_Date]])</f>
        <v>42</v>
      </c>
    </row>
    <row r="4625" spans="1:21" ht="15" customHeight="1" x14ac:dyDescent="0.2">
      <c r="A4625" t="s">
        <v>4931</v>
      </c>
      <c r="B4625" t="s">
        <v>280</v>
      </c>
      <c r="C4625" t="s">
        <v>53</v>
      </c>
      <c r="D4625" s="49">
        <v>45695</v>
      </c>
      <c r="E4625" s="49">
        <v>45703</v>
      </c>
      <c r="F4625" s="49">
        <v>45719</v>
      </c>
      <c r="I4625" s="49">
        <v>45776</v>
      </c>
      <c r="J4625" t="s">
        <v>49</v>
      </c>
      <c r="K4625" s="33">
        <v>78200</v>
      </c>
      <c r="L4625" t="s">
        <v>61</v>
      </c>
      <c r="M4625" t="str">
        <f>_xlfn.XLOOKUP(Pipeline_tbl[[#This Row],[Rep_ID]],Dim_Reps!A:A,Dim_Reps!K:K)</f>
        <v>MXN</v>
      </c>
      <c r="N4625" s="33">
        <f>(_xlfn.XLOOKUP(Pipeline_tbl[[#This Row],[Rate_Code_Generalized]],Lookups!A:A,Lookups!B:B))*Pipeline_tbl[[#This Row],[Pipeline_Amount_USD]]</f>
        <v>1543097.1400000001</v>
      </c>
      <c r="O4625" t="str">
        <f>_xlfn.XLOOKUP(Pipeline_tbl[[#This Row],[Rep_ID]],Dim_Reps!A:A,Dim_Reps!B:B)</f>
        <v>Cameron Lund</v>
      </c>
      <c r="P4625" t="str">
        <f>_xlfn.XLOOKUP(Pipeline_tbl[[#This Row],[Rep_ID]],Dim_Reps!A:A,Dim_Reps!C:C)</f>
        <v>Senior Enterprise AE</v>
      </c>
      <c r="Q4625" t="str">
        <f>_xlfn.XLOOKUP(Pipeline_tbl[[#This Row],[Rep_ID]],Dim_Reps!A:A,Dim_Reps!D:D)</f>
        <v>Strategic</v>
      </c>
      <c r="R4625" t="str">
        <f>_xlfn.XLOOKUP(Pipeline_tbl[[#This Row],[Rep_ID]],Dim_Reps!A:A,Dim_Reps!E:E)</f>
        <v>LATAM</v>
      </c>
      <c r="S4625" t="str">
        <f>_xlfn.XLOOKUP(Pipeline_tbl[[#This Row],[Created_Date]],Dim_Date!A:A,Dim_Date!H:H)</f>
        <v>Feb 2025</v>
      </c>
      <c r="T4625" t="str">
        <f>IF(Pipeline_tbl[[#This Row],[Closed_Date]]=0,"",(_xlfn.XLOOKUP(Pipeline_tbl[[#This Row],[Closed_Date]],Dim_Date!A:A,Dim_Date!H:H)))</f>
        <v>Apr 2025</v>
      </c>
      <c r="U4625">
        <f>IF(Pipeline_tbl[[#This Row],[Closed_Date]]=0,"",Pipeline_tbl[[#This Row],[Closed_Date]]-Pipeline_tbl[[#This Row],[Created_Date]])</f>
        <v>81</v>
      </c>
    </row>
    <row r="4626" spans="1:21" ht="15" customHeight="1" x14ac:dyDescent="0.2">
      <c r="A4626" t="s">
        <v>4932</v>
      </c>
      <c r="B4626" t="s">
        <v>282</v>
      </c>
      <c r="C4626" t="s">
        <v>53</v>
      </c>
      <c r="D4626" s="49">
        <v>45714</v>
      </c>
      <c r="E4626" s="49">
        <v>45720</v>
      </c>
      <c r="F4626" s="49">
        <v>45731</v>
      </c>
      <c r="G4626" s="49">
        <v>45748</v>
      </c>
      <c r="H4626" s="49">
        <v>45762</v>
      </c>
      <c r="I4626" s="49">
        <v>45770</v>
      </c>
      <c r="J4626" t="s">
        <v>47</v>
      </c>
      <c r="K4626" s="33">
        <v>22500</v>
      </c>
      <c r="M4626" t="str">
        <f>_xlfn.XLOOKUP(Pipeline_tbl[[#This Row],[Rep_ID]],Dim_Reps!A:A,Dim_Reps!K:K)</f>
        <v>USD</v>
      </c>
      <c r="N4626" s="33">
        <f>(_xlfn.XLOOKUP(Pipeline_tbl[[#This Row],[Rate_Code_Generalized]],Lookups!A:A,Lookups!B:B))*Pipeline_tbl[[#This Row],[Pipeline_Amount_USD]]</f>
        <v>26196.749999999996</v>
      </c>
      <c r="O4626" t="str">
        <f>_xlfn.XLOOKUP(Pipeline_tbl[[#This Row],[Rep_ID]],Dim_Reps!A:A,Dim_Reps!B:B)</f>
        <v>Fatima Rossi</v>
      </c>
      <c r="P4626" t="str">
        <f>_xlfn.XLOOKUP(Pipeline_tbl[[#This Row],[Rep_ID]],Dim_Reps!A:A,Dim_Reps!C:C)</f>
        <v>Senior Enterprise AE</v>
      </c>
      <c r="Q4626" t="str">
        <f>_xlfn.XLOOKUP(Pipeline_tbl[[#This Row],[Rep_ID]],Dim_Reps!A:A,Dim_Reps!D:D)</f>
        <v>Strategic</v>
      </c>
      <c r="R4626" t="str">
        <f>_xlfn.XLOOKUP(Pipeline_tbl[[#This Row],[Rep_ID]],Dim_Reps!A:A,Dim_Reps!E:E)</f>
        <v>NAMER</v>
      </c>
      <c r="S4626" t="str">
        <f>_xlfn.XLOOKUP(Pipeline_tbl[[#This Row],[Created_Date]],Dim_Date!A:A,Dim_Date!H:H)</f>
        <v>Feb 2025</v>
      </c>
      <c r="T4626" t="str">
        <f>IF(Pipeline_tbl[[#This Row],[Closed_Date]]=0,"",(_xlfn.XLOOKUP(Pipeline_tbl[[#This Row],[Closed_Date]],Dim_Date!A:A,Dim_Date!H:H)))</f>
        <v>Apr 2025</v>
      </c>
      <c r="U4626">
        <f>IF(Pipeline_tbl[[#This Row],[Closed_Date]]=0,"",Pipeline_tbl[[#This Row],[Closed_Date]]-Pipeline_tbl[[#This Row],[Created_Date]])</f>
        <v>56</v>
      </c>
    </row>
    <row r="4627" spans="1:21" ht="15" customHeight="1" x14ac:dyDescent="0.2">
      <c r="A4627" t="s">
        <v>4933</v>
      </c>
      <c r="B4627" t="s">
        <v>191</v>
      </c>
      <c r="C4627" t="s">
        <v>53</v>
      </c>
      <c r="D4627" s="49">
        <v>45714</v>
      </c>
      <c r="E4627" s="49">
        <v>45719</v>
      </c>
      <c r="F4627" s="49">
        <v>45729</v>
      </c>
      <c r="G4627" s="49">
        <v>45743</v>
      </c>
      <c r="H4627" s="49">
        <v>45756</v>
      </c>
      <c r="I4627" s="49">
        <v>45763</v>
      </c>
      <c r="J4627" t="s">
        <v>49</v>
      </c>
      <c r="K4627" s="33">
        <v>39300</v>
      </c>
      <c r="L4627" t="s">
        <v>60</v>
      </c>
      <c r="M4627" t="str">
        <f>_xlfn.XLOOKUP(Pipeline_tbl[[#This Row],[Rep_ID]],Dim_Reps!A:A,Dim_Reps!K:K)</f>
        <v>USD</v>
      </c>
      <c r="N4627" s="33">
        <f>(_xlfn.XLOOKUP(Pipeline_tbl[[#This Row],[Rate_Code_Generalized]],Lookups!A:A,Lookups!B:B))*Pipeline_tbl[[#This Row],[Pipeline_Amount_USD]]</f>
        <v>45756.99</v>
      </c>
      <c r="O4627" t="str">
        <f>_xlfn.XLOOKUP(Pipeline_tbl[[#This Row],[Rep_ID]],Dim_Reps!A:A,Dim_Reps!B:B)</f>
        <v>Zara Duarte</v>
      </c>
      <c r="P4627" t="str">
        <f>_xlfn.XLOOKUP(Pipeline_tbl[[#This Row],[Rep_ID]],Dim_Reps!A:A,Dim_Reps!C:C)</f>
        <v>Enterprise AE</v>
      </c>
      <c r="Q4627" t="str">
        <f>_xlfn.XLOOKUP(Pipeline_tbl[[#This Row],[Rep_ID]],Dim_Reps!A:A,Dim_Reps!D:D)</f>
        <v>Enterprise</v>
      </c>
      <c r="R4627" t="str">
        <f>_xlfn.XLOOKUP(Pipeline_tbl[[#This Row],[Rep_ID]],Dim_Reps!A:A,Dim_Reps!E:E)</f>
        <v>NAMER</v>
      </c>
      <c r="S4627" t="str">
        <f>_xlfn.XLOOKUP(Pipeline_tbl[[#This Row],[Created_Date]],Dim_Date!A:A,Dim_Date!H:H)</f>
        <v>Feb 2025</v>
      </c>
      <c r="T4627" t="str">
        <f>IF(Pipeline_tbl[[#This Row],[Closed_Date]]=0,"",(_xlfn.XLOOKUP(Pipeline_tbl[[#This Row],[Closed_Date]],Dim_Date!A:A,Dim_Date!H:H)))</f>
        <v>Apr 2025</v>
      </c>
      <c r="U4627">
        <f>IF(Pipeline_tbl[[#This Row],[Closed_Date]]=0,"",Pipeline_tbl[[#This Row],[Closed_Date]]-Pipeline_tbl[[#This Row],[Created_Date]])</f>
        <v>49</v>
      </c>
    </row>
    <row r="4628" spans="1:21" ht="15" customHeight="1" x14ac:dyDescent="0.2">
      <c r="A4628" t="s">
        <v>4934</v>
      </c>
      <c r="B4628" t="s">
        <v>191</v>
      </c>
      <c r="C4628" t="s">
        <v>53</v>
      </c>
      <c r="D4628" s="49">
        <v>45715</v>
      </c>
      <c r="E4628" s="49">
        <v>45721</v>
      </c>
      <c r="F4628" s="49">
        <v>45733</v>
      </c>
      <c r="G4628" s="49">
        <v>45751</v>
      </c>
      <c r="H4628" s="49">
        <v>45766</v>
      </c>
      <c r="I4628" s="49">
        <v>45775</v>
      </c>
      <c r="J4628" t="s">
        <v>49</v>
      </c>
      <c r="K4628" s="33">
        <v>28400</v>
      </c>
      <c r="L4628" t="s">
        <v>61</v>
      </c>
      <c r="M4628" t="str">
        <f>_xlfn.XLOOKUP(Pipeline_tbl[[#This Row],[Rep_ID]],Dim_Reps!A:A,Dim_Reps!K:K)</f>
        <v>USD</v>
      </c>
      <c r="N4628" s="33">
        <f>(_xlfn.XLOOKUP(Pipeline_tbl[[#This Row],[Rate_Code_Generalized]],Lookups!A:A,Lookups!B:B))*Pipeline_tbl[[#This Row],[Pipeline_Amount_USD]]</f>
        <v>33066.119999999995</v>
      </c>
      <c r="O4628" t="str">
        <f>_xlfn.XLOOKUP(Pipeline_tbl[[#This Row],[Rep_ID]],Dim_Reps!A:A,Dim_Reps!B:B)</f>
        <v>Zara Duarte</v>
      </c>
      <c r="P4628" t="str">
        <f>_xlfn.XLOOKUP(Pipeline_tbl[[#This Row],[Rep_ID]],Dim_Reps!A:A,Dim_Reps!C:C)</f>
        <v>Enterprise AE</v>
      </c>
      <c r="Q4628" t="str">
        <f>_xlfn.XLOOKUP(Pipeline_tbl[[#This Row],[Rep_ID]],Dim_Reps!A:A,Dim_Reps!D:D)</f>
        <v>Enterprise</v>
      </c>
      <c r="R4628" t="str">
        <f>_xlfn.XLOOKUP(Pipeline_tbl[[#This Row],[Rep_ID]],Dim_Reps!A:A,Dim_Reps!E:E)</f>
        <v>NAMER</v>
      </c>
      <c r="S4628" t="str">
        <f>_xlfn.XLOOKUP(Pipeline_tbl[[#This Row],[Created_Date]],Dim_Date!A:A,Dim_Date!H:H)</f>
        <v>Feb 2025</v>
      </c>
      <c r="T4628" t="str">
        <f>IF(Pipeline_tbl[[#This Row],[Closed_Date]]=0,"",(_xlfn.XLOOKUP(Pipeline_tbl[[#This Row],[Closed_Date]],Dim_Date!A:A,Dim_Date!H:H)))</f>
        <v>Apr 2025</v>
      </c>
      <c r="U4628">
        <f>IF(Pipeline_tbl[[#This Row],[Closed_Date]]=0,"",Pipeline_tbl[[#This Row],[Closed_Date]]-Pipeline_tbl[[#This Row],[Created_Date]])</f>
        <v>60</v>
      </c>
    </row>
    <row r="4629" spans="1:21" ht="15" customHeight="1" x14ac:dyDescent="0.2">
      <c r="A4629" t="s">
        <v>4935</v>
      </c>
      <c r="B4629" t="s">
        <v>265</v>
      </c>
      <c r="C4629" t="s">
        <v>52</v>
      </c>
      <c r="D4629" s="49">
        <v>45707</v>
      </c>
      <c r="E4629" s="49">
        <v>45711</v>
      </c>
      <c r="F4629" s="49">
        <v>45720</v>
      </c>
      <c r="G4629" s="49">
        <v>45733</v>
      </c>
      <c r="H4629" s="49">
        <v>45744</v>
      </c>
      <c r="I4629" s="49">
        <v>45750</v>
      </c>
      <c r="J4629" t="s">
        <v>47</v>
      </c>
      <c r="K4629" s="33">
        <v>7900</v>
      </c>
      <c r="M4629" t="str">
        <f>_xlfn.XLOOKUP(Pipeline_tbl[[#This Row],[Rep_ID]],Dim_Reps!A:A,Dim_Reps!K:K)</f>
        <v>EUR</v>
      </c>
      <c r="N4629" s="33">
        <f>(_xlfn.XLOOKUP(Pipeline_tbl[[#This Row],[Rate_Code_Generalized]],Lookups!A:A,Lookups!B:B))*Pipeline_tbl[[#This Row],[Pipeline_Amount_USD]]</f>
        <v>7900</v>
      </c>
      <c r="O4629" t="str">
        <f>_xlfn.XLOOKUP(Pipeline_tbl[[#This Row],[Rep_ID]],Dim_Reps!A:A,Dim_Reps!B:B)</f>
        <v>Erik Duarte</v>
      </c>
      <c r="P4629" t="str">
        <f>_xlfn.XLOOKUP(Pipeline_tbl[[#This Row],[Rep_ID]],Dim_Reps!A:A,Dim_Reps!C:C)</f>
        <v>Mid-Market AE</v>
      </c>
      <c r="Q4629" t="str">
        <f>_xlfn.XLOOKUP(Pipeline_tbl[[#This Row],[Rep_ID]],Dim_Reps!A:A,Dim_Reps!D:D)</f>
        <v>Mid-Market</v>
      </c>
      <c r="R4629" t="str">
        <f>_xlfn.XLOOKUP(Pipeline_tbl[[#This Row],[Rep_ID]],Dim_Reps!A:A,Dim_Reps!E:E)</f>
        <v>EMEA</v>
      </c>
      <c r="S4629" t="str">
        <f>_xlfn.XLOOKUP(Pipeline_tbl[[#This Row],[Created_Date]],Dim_Date!A:A,Dim_Date!H:H)</f>
        <v>Feb 2025</v>
      </c>
      <c r="T4629" t="str">
        <f>IF(Pipeline_tbl[[#This Row],[Closed_Date]]=0,"",(_xlfn.XLOOKUP(Pipeline_tbl[[#This Row],[Closed_Date]],Dim_Date!A:A,Dim_Date!H:H)))</f>
        <v>Apr 2025</v>
      </c>
      <c r="U4629">
        <f>IF(Pipeline_tbl[[#This Row],[Closed_Date]]=0,"",Pipeline_tbl[[#This Row],[Closed_Date]]-Pipeline_tbl[[#This Row],[Created_Date]])</f>
        <v>43</v>
      </c>
    </row>
    <row r="4630" spans="1:21" ht="15" customHeight="1" x14ac:dyDescent="0.2">
      <c r="A4630" t="s">
        <v>4936</v>
      </c>
      <c r="B4630" t="s">
        <v>271</v>
      </c>
      <c r="C4630" t="s">
        <v>52</v>
      </c>
      <c r="D4630" s="49">
        <v>45716</v>
      </c>
      <c r="E4630" s="49">
        <v>45720</v>
      </c>
      <c r="F4630" s="49">
        <v>45728</v>
      </c>
      <c r="G4630" s="49">
        <v>45741</v>
      </c>
      <c r="H4630" s="49">
        <v>45751</v>
      </c>
      <c r="I4630" s="49">
        <v>45757</v>
      </c>
      <c r="J4630" t="s">
        <v>49</v>
      </c>
      <c r="K4630" s="33">
        <v>6400</v>
      </c>
      <c r="L4630" t="s">
        <v>60</v>
      </c>
      <c r="M4630" t="str">
        <f>_xlfn.XLOOKUP(Pipeline_tbl[[#This Row],[Rep_ID]],Dim_Reps!A:A,Dim_Reps!K:K)</f>
        <v>EUR</v>
      </c>
      <c r="N4630" s="33">
        <f>(_xlfn.XLOOKUP(Pipeline_tbl[[#This Row],[Rate_Code_Generalized]],Lookups!A:A,Lookups!B:B))*Pipeline_tbl[[#This Row],[Pipeline_Amount_USD]]</f>
        <v>6400</v>
      </c>
      <c r="O4630" t="str">
        <f>_xlfn.XLOOKUP(Pipeline_tbl[[#This Row],[Rep_ID]],Dim_Reps!A:A,Dim_Reps!B:B)</f>
        <v>Ivy Adler</v>
      </c>
      <c r="P4630" t="str">
        <f>_xlfn.XLOOKUP(Pipeline_tbl[[#This Row],[Rep_ID]],Dim_Reps!A:A,Dim_Reps!C:C)</f>
        <v>Mid-Market AE</v>
      </c>
      <c r="Q4630" t="str">
        <f>_xlfn.XLOOKUP(Pipeline_tbl[[#This Row],[Rep_ID]],Dim_Reps!A:A,Dim_Reps!D:D)</f>
        <v>Mid-Market</v>
      </c>
      <c r="R4630" t="str">
        <f>_xlfn.XLOOKUP(Pipeline_tbl[[#This Row],[Rep_ID]],Dim_Reps!A:A,Dim_Reps!E:E)</f>
        <v>APAC</v>
      </c>
      <c r="S4630" t="str">
        <f>_xlfn.XLOOKUP(Pipeline_tbl[[#This Row],[Created_Date]],Dim_Date!A:A,Dim_Date!H:H)</f>
        <v>Feb 2025</v>
      </c>
      <c r="T4630" t="str">
        <f>IF(Pipeline_tbl[[#This Row],[Closed_Date]]=0,"",(_xlfn.XLOOKUP(Pipeline_tbl[[#This Row],[Closed_Date]],Dim_Date!A:A,Dim_Date!H:H)))</f>
        <v>Apr 2025</v>
      </c>
      <c r="U4630">
        <f>IF(Pipeline_tbl[[#This Row],[Closed_Date]]=0,"",Pipeline_tbl[[#This Row],[Closed_Date]]-Pipeline_tbl[[#This Row],[Created_Date]])</f>
        <v>41</v>
      </c>
    </row>
    <row r="4631" spans="1:21" ht="15" customHeight="1" x14ac:dyDescent="0.2">
      <c r="A4631" t="s">
        <v>4937</v>
      </c>
      <c r="B4631" t="s">
        <v>273</v>
      </c>
      <c r="C4631" t="s">
        <v>54</v>
      </c>
      <c r="D4631" s="49">
        <v>45702</v>
      </c>
      <c r="E4631" s="49">
        <v>45707</v>
      </c>
      <c r="F4631" s="49">
        <v>45718</v>
      </c>
      <c r="G4631" s="49">
        <v>45734</v>
      </c>
      <c r="I4631" s="49">
        <v>45756</v>
      </c>
      <c r="J4631" t="s">
        <v>49</v>
      </c>
      <c r="K4631" s="33">
        <v>13500</v>
      </c>
      <c r="L4631" t="s">
        <v>60</v>
      </c>
      <c r="M4631" t="str">
        <f>_xlfn.XLOOKUP(Pipeline_tbl[[#This Row],[Rep_ID]],Dim_Reps!A:A,Dim_Reps!K:K)</f>
        <v>EUR</v>
      </c>
      <c r="N4631" s="33">
        <f>(_xlfn.XLOOKUP(Pipeline_tbl[[#This Row],[Rate_Code_Generalized]],Lookups!A:A,Lookups!B:B))*Pipeline_tbl[[#This Row],[Pipeline_Amount_USD]]</f>
        <v>13500</v>
      </c>
      <c r="O4631" t="str">
        <f>_xlfn.XLOOKUP(Pipeline_tbl[[#This Row],[Rep_ID]],Dim_Reps!A:A,Dim_Reps!B:B)</f>
        <v>Olivia Cohen</v>
      </c>
      <c r="P4631" t="str">
        <f>_xlfn.XLOOKUP(Pipeline_tbl[[#This Row],[Rep_ID]],Dim_Reps!A:A,Dim_Reps!C:C)</f>
        <v>Mid-Market AE</v>
      </c>
      <c r="Q4631" t="str">
        <f>_xlfn.XLOOKUP(Pipeline_tbl[[#This Row],[Rep_ID]],Dim_Reps!A:A,Dim_Reps!D:D)</f>
        <v>Mid-Market</v>
      </c>
      <c r="R4631" t="str">
        <f>_xlfn.XLOOKUP(Pipeline_tbl[[#This Row],[Rep_ID]],Dim_Reps!A:A,Dim_Reps!E:E)</f>
        <v>APAC</v>
      </c>
      <c r="S4631" t="str">
        <f>_xlfn.XLOOKUP(Pipeline_tbl[[#This Row],[Created_Date]],Dim_Date!A:A,Dim_Date!H:H)</f>
        <v>Feb 2025</v>
      </c>
      <c r="T4631" t="str">
        <f>IF(Pipeline_tbl[[#This Row],[Closed_Date]]=0,"",(_xlfn.XLOOKUP(Pipeline_tbl[[#This Row],[Closed_Date]],Dim_Date!A:A,Dim_Date!H:H)))</f>
        <v>Apr 2025</v>
      </c>
      <c r="U4631">
        <f>IF(Pipeline_tbl[[#This Row],[Closed_Date]]=0,"",Pipeline_tbl[[#This Row],[Closed_Date]]-Pipeline_tbl[[#This Row],[Created_Date]])</f>
        <v>54</v>
      </c>
    </row>
    <row r="4632" spans="1:21" ht="15" customHeight="1" x14ac:dyDescent="0.2">
      <c r="A4632" t="s">
        <v>4938</v>
      </c>
      <c r="B4632" t="s">
        <v>193</v>
      </c>
      <c r="C4632" t="s">
        <v>52</v>
      </c>
      <c r="D4632" s="49">
        <v>45693</v>
      </c>
      <c r="E4632" s="49">
        <v>45695</v>
      </c>
      <c r="I4632" s="49">
        <v>45711</v>
      </c>
      <c r="J4632" t="s">
        <v>49</v>
      </c>
      <c r="K4632" s="33">
        <v>3900</v>
      </c>
      <c r="L4632" t="s">
        <v>64</v>
      </c>
      <c r="M4632" t="str">
        <f>_xlfn.XLOOKUP(Pipeline_tbl[[#This Row],[Rep_ID]],Dim_Reps!A:A,Dim_Reps!K:K)</f>
        <v>USD</v>
      </c>
      <c r="N4632" s="33">
        <f>(_xlfn.XLOOKUP(Pipeline_tbl[[#This Row],[Rate_Code_Generalized]],Lookups!A:A,Lookups!B:B))*Pipeline_tbl[[#This Row],[Pipeline_Amount_USD]]</f>
        <v>4540.7699999999995</v>
      </c>
      <c r="O4632" t="str">
        <f>_xlfn.XLOOKUP(Pipeline_tbl[[#This Row],[Rep_ID]],Dim_Reps!A:A,Dim_Reps!B:B)</f>
        <v>Karim Rossi</v>
      </c>
      <c r="P4632" t="str">
        <f>_xlfn.XLOOKUP(Pipeline_tbl[[#This Row],[Rep_ID]],Dim_Reps!A:A,Dim_Reps!C:C)</f>
        <v>SDR / Inside Sales Rep</v>
      </c>
      <c r="Q4632" t="str">
        <f>_xlfn.XLOOKUP(Pipeline_tbl[[#This Row],[Rep_ID]],Dim_Reps!A:A,Dim_Reps!D:D)</f>
        <v>Inside Sales</v>
      </c>
      <c r="R4632" t="str">
        <f>_xlfn.XLOOKUP(Pipeline_tbl[[#This Row],[Rep_ID]],Dim_Reps!A:A,Dim_Reps!E:E)</f>
        <v>NAMER</v>
      </c>
      <c r="S4632" t="str">
        <f>_xlfn.XLOOKUP(Pipeline_tbl[[#This Row],[Created_Date]],Dim_Date!A:A,Dim_Date!H:H)</f>
        <v>Feb 2025</v>
      </c>
      <c r="T4632" t="str">
        <f>IF(Pipeline_tbl[[#This Row],[Closed_Date]]=0,"",(_xlfn.XLOOKUP(Pipeline_tbl[[#This Row],[Closed_Date]],Dim_Date!A:A,Dim_Date!H:H)))</f>
        <v>Feb 2025</v>
      </c>
      <c r="U4632">
        <f>IF(Pipeline_tbl[[#This Row],[Closed_Date]]=0,"",Pipeline_tbl[[#This Row],[Closed_Date]]-Pipeline_tbl[[#This Row],[Created_Date]])</f>
        <v>18</v>
      </c>
    </row>
    <row r="4633" spans="1:21" ht="15" customHeight="1" x14ac:dyDescent="0.2">
      <c r="A4633" t="s">
        <v>4939</v>
      </c>
      <c r="B4633" t="s">
        <v>243</v>
      </c>
      <c r="C4633" t="s">
        <v>53</v>
      </c>
      <c r="D4633" s="49">
        <v>45696</v>
      </c>
      <c r="E4633" s="49">
        <v>45697</v>
      </c>
      <c r="F4633" s="49">
        <v>45700</v>
      </c>
      <c r="G4633" s="49">
        <v>45703</v>
      </c>
      <c r="H4633" s="49">
        <v>45706</v>
      </c>
      <c r="I4633" s="49">
        <v>45708</v>
      </c>
      <c r="J4633" t="s">
        <v>47</v>
      </c>
      <c r="K4633" s="33">
        <v>14200</v>
      </c>
      <c r="M4633" t="str">
        <f>_xlfn.XLOOKUP(Pipeline_tbl[[#This Row],[Rep_ID]],Dim_Reps!A:A,Dim_Reps!K:K)</f>
        <v>MXN</v>
      </c>
      <c r="N4633" s="33">
        <f>(_xlfn.XLOOKUP(Pipeline_tbl[[#This Row],[Rate_Code_Generalized]],Lookups!A:A,Lookups!B:B))*Pipeline_tbl[[#This Row],[Pipeline_Amount_USD]]</f>
        <v>280204.34000000003</v>
      </c>
      <c r="O4633" t="str">
        <f>_xlfn.XLOOKUP(Pipeline_tbl[[#This Row],[Rep_ID]],Dim_Reps!A:A,Dim_Reps!B:B)</f>
        <v>Jonas Sato</v>
      </c>
      <c r="P4633" t="str">
        <f>_xlfn.XLOOKUP(Pipeline_tbl[[#This Row],[Rep_ID]],Dim_Reps!A:A,Dim_Reps!C:C)</f>
        <v>Mid-Market AE</v>
      </c>
      <c r="Q4633" t="str">
        <f>_xlfn.XLOOKUP(Pipeline_tbl[[#This Row],[Rep_ID]],Dim_Reps!A:A,Dim_Reps!D:D)</f>
        <v>Mid-Market</v>
      </c>
      <c r="R4633" t="str">
        <f>_xlfn.XLOOKUP(Pipeline_tbl[[#This Row],[Rep_ID]],Dim_Reps!A:A,Dim_Reps!E:E)</f>
        <v>LATAM</v>
      </c>
      <c r="S4633" t="str">
        <f>_xlfn.XLOOKUP(Pipeline_tbl[[#This Row],[Created_Date]],Dim_Date!A:A,Dim_Date!H:H)</f>
        <v>Feb 2025</v>
      </c>
      <c r="T4633" t="str">
        <f>IF(Pipeline_tbl[[#This Row],[Closed_Date]]=0,"",(_xlfn.XLOOKUP(Pipeline_tbl[[#This Row],[Closed_Date]],Dim_Date!A:A,Dim_Date!H:H)))</f>
        <v>Feb 2025</v>
      </c>
      <c r="U4633">
        <f>IF(Pipeline_tbl[[#This Row],[Closed_Date]]=0,"",Pipeline_tbl[[#This Row],[Closed_Date]]-Pipeline_tbl[[#This Row],[Created_Date]])</f>
        <v>12</v>
      </c>
    </row>
    <row r="4634" spans="1:21" ht="15" customHeight="1" x14ac:dyDescent="0.2">
      <c r="A4634" t="s">
        <v>4940</v>
      </c>
      <c r="B4634" t="s">
        <v>196</v>
      </c>
      <c r="C4634" t="s">
        <v>55</v>
      </c>
      <c r="D4634" s="49">
        <v>45689</v>
      </c>
      <c r="E4634" s="49">
        <v>45691</v>
      </c>
      <c r="F4634" s="49">
        <v>45695</v>
      </c>
      <c r="G4634" s="49">
        <v>45701</v>
      </c>
      <c r="I4634" s="49">
        <v>45709</v>
      </c>
      <c r="J4634" t="s">
        <v>49</v>
      </c>
      <c r="K4634" s="33">
        <v>3800</v>
      </c>
      <c r="L4634" t="s">
        <v>60</v>
      </c>
      <c r="M4634" t="str">
        <f>_xlfn.XLOOKUP(Pipeline_tbl[[#This Row],[Rep_ID]],Dim_Reps!A:A,Dim_Reps!K:K)</f>
        <v>EUR</v>
      </c>
      <c r="N4634" s="33">
        <f>(_xlfn.XLOOKUP(Pipeline_tbl[[#This Row],[Rate_Code_Generalized]],Lookups!A:A,Lookups!B:B))*Pipeline_tbl[[#This Row],[Pipeline_Amount_USD]]</f>
        <v>3800</v>
      </c>
      <c r="O4634" t="str">
        <f>_xlfn.XLOOKUP(Pipeline_tbl[[#This Row],[Rep_ID]],Dim_Reps!A:A,Dim_Reps!B:B)</f>
        <v>Alex Okafor</v>
      </c>
      <c r="P4634" t="str">
        <f>_xlfn.XLOOKUP(Pipeline_tbl[[#This Row],[Rep_ID]],Dim_Reps!A:A,Dim_Reps!C:C)</f>
        <v>SDR / Inside Sales Rep</v>
      </c>
      <c r="Q4634" t="str">
        <f>_xlfn.XLOOKUP(Pipeline_tbl[[#This Row],[Rep_ID]],Dim_Reps!A:A,Dim_Reps!D:D)</f>
        <v>Inside Sales</v>
      </c>
      <c r="R4634" t="str">
        <f>_xlfn.XLOOKUP(Pipeline_tbl[[#This Row],[Rep_ID]],Dim_Reps!A:A,Dim_Reps!E:E)</f>
        <v>EMEA</v>
      </c>
      <c r="S4634" t="str">
        <f>_xlfn.XLOOKUP(Pipeline_tbl[[#This Row],[Created_Date]],Dim_Date!A:A,Dim_Date!H:H)</f>
        <v>Feb 2025</v>
      </c>
      <c r="T4634" t="str">
        <f>IF(Pipeline_tbl[[#This Row],[Closed_Date]]=0,"",(_xlfn.XLOOKUP(Pipeline_tbl[[#This Row],[Closed_Date]],Dim_Date!A:A,Dim_Date!H:H)))</f>
        <v>Feb 2025</v>
      </c>
      <c r="U4634">
        <f>IF(Pipeline_tbl[[#This Row],[Closed_Date]]=0,"",Pipeline_tbl[[#This Row],[Closed_Date]]-Pipeline_tbl[[#This Row],[Created_Date]])</f>
        <v>20</v>
      </c>
    </row>
    <row r="4635" spans="1:21" ht="15" customHeight="1" x14ac:dyDescent="0.2">
      <c r="A4635" t="s">
        <v>4941</v>
      </c>
      <c r="B4635" t="s">
        <v>199</v>
      </c>
      <c r="C4635" t="s">
        <v>52</v>
      </c>
      <c r="D4635" s="49">
        <v>45698</v>
      </c>
      <c r="E4635" s="49">
        <v>45699</v>
      </c>
      <c r="F4635" s="49">
        <v>45702</v>
      </c>
      <c r="G4635" s="49">
        <v>45705</v>
      </c>
      <c r="H4635" s="49">
        <v>45708</v>
      </c>
      <c r="I4635" s="49">
        <v>45710</v>
      </c>
      <c r="J4635" t="s">
        <v>49</v>
      </c>
      <c r="K4635" s="33">
        <v>3800</v>
      </c>
      <c r="L4635" t="s">
        <v>61</v>
      </c>
      <c r="M4635" t="str">
        <f>_xlfn.XLOOKUP(Pipeline_tbl[[#This Row],[Rep_ID]],Dim_Reps!A:A,Dim_Reps!K:K)</f>
        <v>EUR</v>
      </c>
      <c r="N4635" s="33">
        <f>(_xlfn.XLOOKUP(Pipeline_tbl[[#This Row],[Rate_Code_Generalized]],Lookups!A:A,Lookups!B:B))*Pipeline_tbl[[#This Row],[Pipeline_Amount_USD]]</f>
        <v>3800</v>
      </c>
      <c r="O4635" t="str">
        <f>_xlfn.XLOOKUP(Pipeline_tbl[[#This Row],[Rep_ID]],Dim_Reps!A:A,Dim_Reps!B:B)</f>
        <v>Lucas Okafor</v>
      </c>
      <c r="P4635" t="str">
        <f>_xlfn.XLOOKUP(Pipeline_tbl[[#This Row],[Rep_ID]],Dim_Reps!A:A,Dim_Reps!C:C)</f>
        <v>SDR / Inside Sales Rep</v>
      </c>
      <c r="Q4635" t="str">
        <f>_xlfn.XLOOKUP(Pipeline_tbl[[#This Row],[Rep_ID]],Dim_Reps!A:A,Dim_Reps!D:D)</f>
        <v>Inside Sales</v>
      </c>
      <c r="R4635" t="str">
        <f>_xlfn.XLOOKUP(Pipeline_tbl[[#This Row],[Rep_ID]],Dim_Reps!A:A,Dim_Reps!E:E)</f>
        <v>APAC</v>
      </c>
      <c r="S4635" t="str">
        <f>_xlfn.XLOOKUP(Pipeline_tbl[[#This Row],[Created_Date]],Dim_Date!A:A,Dim_Date!H:H)</f>
        <v>Feb 2025</v>
      </c>
      <c r="T4635" t="str">
        <f>IF(Pipeline_tbl[[#This Row],[Closed_Date]]=0,"",(_xlfn.XLOOKUP(Pipeline_tbl[[#This Row],[Closed_Date]],Dim_Date!A:A,Dim_Date!H:H)))</f>
        <v>Feb 2025</v>
      </c>
      <c r="U4635">
        <f>IF(Pipeline_tbl[[#This Row],[Closed_Date]]=0,"",Pipeline_tbl[[#This Row],[Closed_Date]]-Pipeline_tbl[[#This Row],[Created_Date]])</f>
        <v>12</v>
      </c>
    </row>
    <row r="4636" spans="1:21" ht="15" customHeight="1" x14ac:dyDescent="0.2">
      <c r="A4636" t="s">
        <v>4942</v>
      </c>
      <c r="B4636" t="s">
        <v>199</v>
      </c>
      <c r="C4636" t="s">
        <v>53</v>
      </c>
      <c r="D4636" s="49">
        <v>45692</v>
      </c>
      <c r="E4636" s="49">
        <v>45694</v>
      </c>
      <c r="F4636" s="49">
        <v>45699</v>
      </c>
      <c r="G4636" s="49">
        <v>45705</v>
      </c>
      <c r="H4636" s="49">
        <v>45711</v>
      </c>
      <c r="I4636" s="49">
        <v>45714</v>
      </c>
      <c r="J4636" t="s">
        <v>47</v>
      </c>
      <c r="K4636" s="33">
        <v>5500</v>
      </c>
      <c r="M4636" t="str">
        <f>_xlfn.XLOOKUP(Pipeline_tbl[[#This Row],[Rep_ID]],Dim_Reps!A:A,Dim_Reps!K:K)</f>
        <v>EUR</v>
      </c>
      <c r="N4636" s="33">
        <f>(_xlfn.XLOOKUP(Pipeline_tbl[[#This Row],[Rate_Code_Generalized]],Lookups!A:A,Lookups!B:B))*Pipeline_tbl[[#This Row],[Pipeline_Amount_USD]]</f>
        <v>5500</v>
      </c>
      <c r="O4636" t="str">
        <f>_xlfn.XLOOKUP(Pipeline_tbl[[#This Row],[Rep_ID]],Dim_Reps!A:A,Dim_Reps!B:B)</f>
        <v>Lucas Okafor</v>
      </c>
      <c r="P4636" t="str">
        <f>_xlfn.XLOOKUP(Pipeline_tbl[[#This Row],[Rep_ID]],Dim_Reps!A:A,Dim_Reps!C:C)</f>
        <v>SDR / Inside Sales Rep</v>
      </c>
      <c r="Q4636" t="str">
        <f>_xlfn.XLOOKUP(Pipeline_tbl[[#This Row],[Rep_ID]],Dim_Reps!A:A,Dim_Reps!D:D)</f>
        <v>Inside Sales</v>
      </c>
      <c r="R4636" t="str">
        <f>_xlfn.XLOOKUP(Pipeline_tbl[[#This Row],[Rep_ID]],Dim_Reps!A:A,Dim_Reps!E:E)</f>
        <v>APAC</v>
      </c>
      <c r="S4636" t="str">
        <f>_xlfn.XLOOKUP(Pipeline_tbl[[#This Row],[Created_Date]],Dim_Date!A:A,Dim_Date!H:H)</f>
        <v>Feb 2025</v>
      </c>
      <c r="T4636" t="str">
        <f>IF(Pipeline_tbl[[#This Row],[Closed_Date]]=0,"",(_xlfn.XLOOKUP(Pipeline_tbl[[#This Row],[Closed_Date]],Dim_Date!A:A,Dim_Date!H:H)))</f>
        <v>Feb 2025</v>
      </c>
      <c r="U4636">
        <f>IF(Pipeline_tbl[[#This Row],[Closed_Date]]=0,"",Pipeline_tbl[[#This Row],[Closed_Date]]-Pipeline_tbl[[#This Row],[Created_Date]])</f>
        <v>22</v>
      </c>
    </row>
    <row r="4637" spans="1:21" ht="15" customHeight="1" x14ac:dyDescent="0.2">
      <c r="A4637" t="s">
        <v>4943</v>
      </c>
      <c r="B4637" t="s">
        <v>199</v>
      </c>
      <c r="C4637" t="s">
        <v>53</v>
      </c>
      <c r="D4637" s="49">
        <v>45695</v>
      </c>
      <c r="E4637" s="49">
        <v>45697</v>
      </c>
      <c r="F4637" s="49">
        <v>45700</v>
      </c>
      <c r="G4637" s="49">
        <v>45706</v>
      </c>
      <c r="H4637" s="49">
        <v>45710</v>
      </c>
      <c r="I4637" s="49">
        <v>45713</v>
      </c>
      <c r="J4637" t="s">
        <v>49</v>
      </c>
      <c r="K4637" s="33">
        <v>3500</v>
      </c>
      <c r="L4637" t="s">
        <v>61</v>
      </c>
      <c r="M4637" t="str">
        <f>_xlfn.XLOOKUP(Pipeline_tbl[[#This Row],[Rep_ID]],Dim_Reps!A:A,Dim_Reps!K:K)</f>
        <v>EUR</v>
      </c>
      <c r="N4637" s="33">
        <f>(_xlfn.XLOOKUP(Pipeline_tbl[[#This Row],[Rate_Code_Generalized]],Lookups!A:A,Lookups!B:B))*Pipeline_tbl[[#This Row],[Pipeline_Amount_USD]]</f>
        <v>3500</v>
      </c>
      <c r="O4637" t="str">
        <f>_xlfn.XLOOKUP(Pipeline_tbl[[#This Row],[Rep_ID]],Dim_Reps!A:A,Dim_Reps!B:B)</f>
        <v>Lucas Okafor</v>
      </c>
      <c r="P4637" t="str">
        <f>_xlfn.XLOOKUP(Pipeline_tbl[[#This Row],[Rep_ID]],Dim_Reps!A:A,Dim_Reps!C:C)</f>
        <v>SDR / Inside Sales Rep</v>
      </c>
      <c r="Q4637" t="str">
        <f>_xlfn.XLOOKUP(Pipeline_tbl[[#This Row],[Rep_ID]],Dim_Reps!A:A,Dim_Reps!D:D)</f>
        <v>Inside Sales</v>
      </c>
      <c r="R4637" t="str">
        <f>_xlfn.XLOOKUP(Pipeline_tbl[[#This Row],[Rep_ID]],Dim_Reps!A:A,Dim_Reps!E:E)</f>
        <v>APAC</v>
      </c>
      <c r="S4637" t="str">
        <f>_xlfn.XLOOKUP(Pipeline_tbl[[#This Row],[Created_Date]],Dim_Date!A:A,Dim_Date!H:H)</f>
        <v>Feb 2025</v>
      </c>
      <c r="T4637" t="str">
        <f>IF(Pipeline_tbl[[#This Row],[Closed_Date]]=0,"",(_xlfn.XLOOKUP(Pipeline_tbl[[#This Row],[Closed_Date]],Dim_Date!A:A,Dim_Date!H:H)))</f>
        <v>Feb 2025</v>
      </c>
      <c r="U4637">
        <f>IF(Pipeline_tbl[[#This Row],[Closed_Date]]=0,"",Pipeline_tbl[[#This Row],[Closed_Date]]-Pipeline_tbl[[#This Row],[Created_Date]])</f>
        <v>18</v>
      </c>
    </row>
    <row r="4638" spans="1:21" ht="15" customHeight="1" x14ac:dyDescent="0.2">
      <c r="A4638" t="s">
        <v>4944</v>
      </c>
      <c r="B4638" t="s">
        <v>199</v>
      </c>
      <c r="C4638" t="s">
        <v>52</v>
      </c>
      <c r="D4638" s="49">
        <v>45696</v>
      </c>
      <c r="E4638" s="49">
        <v>45698</v>
      </c>
      <c r="F4638" s="49">
        <v>45702</v>
      </c>
      <c r="G4638" s="49">
        <v>45708</v>
      </c>
      <c r="H4638" s="49">
        <v>45713</v>
      </c>
      <c r="I4638" s="49">
        <v>45716</v>
      </c>
      <c r="J4638" t="s">
        <v>47</v>
      </c>
      <c r="K4638" s="33">
        <v>3000</v>
      </c>
      <c r="M4638" t="str">
        <f>_xlfn.XLOOKUP(Pipeline_tbl[[#This Row],[Rep_ID]],Dim_Reps!A:A,Dim_Reps!K:K)</f>
        <v>EUR</v>
      </c>
      <c r="N4638" s="33">
        <f>(_xlfn.XLOOKUP(Pipeline_tbl[[#This Row],[Rate_Code_Generalized]],Lookups!A:A,Lookups!B:B))*Pipeline_tbl[[#This Row],[Pipeline_Amount_USD]]</f>
        <v>3000</v>
      </c>
      <c r="O4638" t="str">
        <f>_xlfn.XLOOKUP(Pipeline_tbl[[#This Row],[Rep_ID]],Dim_Reps!A:A,Dim_Reps!B:B)</f>
        <v>Lucas Okafor</v>
      </c>
      <c r="P4638" t="str">
        <f>_xlfn.XLOOKUP(Pipeline_tbl[[#This Row],[Rep_ID]],Dim_Reps!A:A,Dim_Reps!C:C)</f>
        <v>SDR / Inside Sales Rep</v>
      </c>
      <c r="Q4638" t="str">
        <f>_xlfn.XLOOKUP(Pipeline_tbl[[#This Row],[Rep_ID]],Dim_Reps!A:A,Dim_Reps!D:D)</f>
        <v>Inside Sales</v>
      </c>
      <c r="R4638" t="str">
        <f>_xlfn.XLOOKUP(Pipeline_tbl[[#This Row],[Rep_ID]],Dim_Reps!A:A,Dim_Reps!E:E)</f>
        <v>APAC</v>
      </c>
      <c r="S4638" t="str">
        <f>_xlfn.XLOOKUP(Pipeline_tbl[[#This Row],[Created_Date]],Dim_Date!A:A,Dim_Date!H:H)</f>
        <v>Feb 2025</v>
      </c>
      <c r="T4638" t="str">
        <f>IF(Pipeline_tbl[[#This Row],[Closed_Date]]=0,"",(_xlfn.XLOOKUP(Pipeline_tbl[[#This Row],[Closed_Date]],Dim_Date!A:A,Dim_Date!H:H)))</f>
        <v>Feb 2025</v>
      </c>
      <c r="U4638">
        <f>IF(Pipeline_tbl[[#This Row],[Closed_Date]]=0,"",Pipeline_tbl[[#This Row],[Closed_Date]]-Pipeline_tbl[[#This Row],[Created_Date]])</f>
        <v>20</v>
      </c>
    </row>
    <row r="4639" spans="1:21" ht="15" customHeight="1" x14ac:dyDescent="0.2">
      <c r="A4639" t="s">
        <v>4945</v>
      </c>
      <c r="B4639" t="s">
        <v>199</v>
      </c>
      <c r="C4639" t="s">
        <v>54</v>
      </c>
      <c r="D4639" s="49">
        <v>45700</v>
      </c>
      <c r="E4639" s="49">
        <v>45701</v>
      </c>
      <c r="F4639" s="49">
        <v>45702</v>
      </c>
      <c r="G4639" s="49">
        <v>45704</v>
      </c>
      <c r="H4639" s="49">
        <v>45706</v>
      </c>
      <c r="I4639" s="49">
        <v>45707</v>
      </c>
      <c r="J4639" t="s">
        <v>47</v>
      </c>
      <c r="K4639" s="33">
        <v>3600</v>
      </c>
      <c r="M4639" t="str">
        <f>_xlfn.XLOOKUP(Pipeline_tbl[[#This Row],[Rep_ID]],Dim_Reps!A:A,Dim_Reps!K:K)</f>
        <v>EUR</v>
      </c>
      <c r="N4639" s="33">
        <f>(_xlfn.XLOOKUP(Pipeline_tbl[[#This Row],[Rate_Code_Generalized]],Lookups!A:A,Lookups!B:B))*Pipeline_tbl[[#This Row],[Pipeline_Amount_USD]]</f>
        <v>3600</v>
      </c>
      <c r="O4639" t="str">
        <f>_xlfn.XLOOKUP(Pipeline_tbl[[#This Row],[Rep_ID]],Dim_Reps!A:A,Dim_Reps!B:B)</f>
        <v>Lucas Okafor</v>
      </c>
      <c r="P4639" t="str">
        <f>_xlfn.XLOOKUP(Pipeline_tbl[[#This Row],[Rep_ID]],Dim_Reps!A:A,Dim_Reps!C:C)</f>
        <v>SDR / Inside Sales Rep</v>
      </c>
      <c r="Q4639" t="str">
        <f>_xlfn.XLOOKUP(Pipeline_tbl[[#This Row],[Rep_ID]],Dim_Reps!A:A,Dim_Reps!D:D)</f>
        <v>Inside Sales</v>
      </c>
      <c r="R4639" t="str">
        <f>_xlfn.XLOOKUP(Pipeline_tbl[[#This Row],[Rep_ID]],Dim_Reps!A:A,Dim_Reps!E:E)</f>
        <v>APAC</v>
      </c>
      <c r="S4639" t="str">
        <f>_xlfn.XLOOKUP(Pipeline_tbl[[#This Row],[Created_Date]],Dim_Date!A:A,Dim_Date!H:H)</f>
        <v>Feb 2025</v>
      </c>
      <c r="T4639" t="str">
        <f>IF(Pipeline_tbl[[#This Row],[Closed_Date]]=0,"",(_xlfn.XLOOKUP(Pipeline_tbl[[#This Row],[Closed_Date]],Dim_Date!A:A,Dim_Date!H:H)))</f>
        <v>Feb 2025</v>
      </c>
      <c r="U4639">
        <f>IF(Pipeline_tbl[[#This Row],[Closed_Date]]=0,"",Pipeline_tbl[[#This Row],[Closed_Date]]-Pipeline_tbl[[#This Row],[Created_Date]])</f>
        <v>7</v>
      </c>
    </row>
    <row r="4640" spans="1:21" ht="15" customHeight="1" x14ac:dyDescent="0.2">
      <c r="A4640" t="s">
        <v>4946</v>
      </c>
      <c r="B4640" t="s">
        <v>199</v>
      </c>
      <c r="C4640" t="s">
        <v>56</v>
      </c>
      <c r="D4640" s="49">
        <v>45694</v>
      </c>
      <c r="E4640" s="49">
        <v>45696</v>
      </c>
      <c r="F4640" s="49">
        <v>45699</v>
      </c>
      <c r="G4640" s="49">
        <v>45703</v>
      </c>
      <c r="H4640" s="49">
        <v>45707</v>
      </c>
      <c r="I4640" s="49">
        <v>45709</v>
      </c>
      <c r="J4640" t="s">
        <v>47</v>
      </c>
      <c r="K4640" s="33">
        <v>6700</v>
      </c>
      <c r="M4640" t="str">
        <f>_xlfn.XLOOKUP(Pipeline_tbl[[#This Row],[Rep_ID]],Dim_Reps!A:A,Dim_Reps!K:K)</f>
        <v>EUR</v>
      </c>
      <c r="N4640" s="33">
        <f>(_xlfn.XLOOKUP(Pipeline_tbl[[#This Row],[Rate_Code_Generalized]],Lookups!A:A,Lookups!B:B))*Pipeline_tbl[[#This Row],[Pipeline_Amount_USD]]</f>
        <v>6700</v>
      </c>
      <c r="O4640" t="str">
        <f>_xlfn.XLOOKUP(Pipeline_tbl[[#This Row],[Rep_ID]],Dim_Reps!A:A,Dim_Reps!B:B)</f>
        <v>Lucas Okafor</v>
      </c>
      <c r="P4640" t="str">
        <f>_xlfn.XLOOKUP(Pipeline_tbl[[#This Row],[Rep_ID]],Dim_Reps!A:A,Dim_Reps!C:C)</f>
        <v>SDR / Inside Sales Rep</v>
      </c>
      <c r="Q4640" t="str">
        <f>_xlfn.XLOOKUP(Pipeline_tbl[[#This Row],[Rep_ID]],Dim_Reps!A:A,Dim_Reps!D:D)</f>
        <v>Inside Sales</v>
      </c>
      <c r="R4640" t="str">
        <f>_xlfn.XLOOKUP(Pipeline_tbl[[#This Row],[Rep_ID]],Dim_Reps!A:A,Dim_Reps!E:E)</f>
        <v>APAC</v>
      </c>
      <c r="S4640" t="str">
        <f>_xlfn.XLOOKUP(Pipeline_tbl[[#This Row],[Created_Date]],Dim_Date!A:A,Dim_Date!H:H)</f>
        <v>Feb 2025</v>
      </c>
      <c r="T4640" t="str">
        <f>IF(Pipeline_tbl[[#This Row],[Closed_Date]]=0,"",(_xlfn.XLOOKUP(Pipeline_tbl[[#This Row],[Closed_Date]],Dim_Date!A:A,Dim_Date!H:H)))</f>
        <v>Feb 2025</v>
      </c>
      <c r="U4640">
        <f>IF(Pipeline_tbl[[#This Row],[Closed_Date]]=0,"",Pipeline_tbl[[#This Row],[Closed_Date]]-Pipeline_tbl[[#This Row],[Created_Date]])</f>
        <v>15</v>
      </c>
    </row>
    <row r="4641" spans="1:21" ht="15" customHeight="1" x14ac:dyDescent="0.2">
      <c r="A4641" t="s">
        <v>4947</v>
      </c>
      <c r="B4641" t="s">
        <v>203</v>
      </c>
      <c r="C4641" t="s">
        <v>54</v>
      </c>
      <c r="D4641" s="49">
        <v>45694</v>
      </c>
      <c r="E4641" s="49">
        <v>45695</v>
      </c>
      <c r="F4641" s="49">
        <v>45697</v>
      </c>
      <c r="I4641" s="49">
        <v>45703</v>
      </c>
      <c r="J4641" t="s">
        <v>49</v>
      </c>
      <c r="K4641" s="33">
        <v>3100</v>
      </c>
      <c r="L4641" t="s">
        <v>64</v>
      </c>
      <c r="M4641" t="str">
        <f>_xlfn.XLOOKUP(Pipeline_tbl[[#This Row],[Rep_ID]],Dim_Reps!A:A,Dim_Reps!K:K)</f>
        <v>EUR</v>
      </c>
      <c r="N4641" s="33">
        <f>(_xlfn.XLOOKUP(Pipeline_tbl[[#This Row],[Rate_Code_Generalized]],Lookups!A:A,Lookups!B:B))*Pipeline_tbl[[#This Row],[Pipeline_Amount_USD]]</f>
        <v>3100</v>
      </c>
      <c r="O4641" t="str">
        <f>_xlfn.XLOOKUP(Pipeline_tbl[[#This Row],[Rep_ID]],Dim_Reps!A:A,Dim_Reps!B:B)</f>
        <v>Riley Haddad</v>
      </c>
      <c r="P4641" t="str">
        <f>_xlfn.XLOOKUP(Pipeline_tbl[[#This Row],[Rep_ID]],Dim_Reps!A:A,Dim_Reps!C:C)</f>
        <v>SDR / Inside Sales Rep</v>
      </c>
      <c r="Q4641" t="str">
        <f>_xlfn.XLOOKUP(Pipeline_tbl[[#This Row],[Rep_ID]],Dim_Reps!A:A,Dim_Reps!D:D)</f>
        <v>Inside Sales</v>
      </c>
      <c r="R4641" t="str">
        <f>_xlfn.XLOOKUP(Pipeline_tbl[[#This Row],[Rep_ID]],Dim_Reps!A:A,Dim_Reps!E:E)</f>
        <v>APAC</v>
      </c>
      <c r="S4641" t="str">
        <f>_xlfn.XLOOKUP(Pipeline_tbl[[#This Row],[Created_Date]],Dim_Date!A:A,Dim_Date!H:H)</f>
        <v>Feb 2025</v>
      </c>
      <c r="T4641" t="str">
        <f>IF(Pipeline_tbl[[#This Row],[Closed_Date]]=0,"",(_xlfn.XLOOKUP(Pipeline_tbl[[#This Row],[Closed_Date]],Dim_Date!A:A,Dim_Date!H:H)))</f>
        <v>Feb 2025</v>
      </c>
      <c r="U4641">
        <f>IF(Pipeline_tbl[[#This Row],[Closed_Date]]=0,"",Pipeline_tbl[[#This Row],[Closed_Date]]-Pipeline_tbl[[#This Row],[Created_Date]])</f>
        <v>9</v>
      </c>
    </row>
    <row r="4642" spans="1:21" ht="15" customHeight="1" x14ac:dyDescent="0.2">
      <c r="A4642" t="s">
        <v>4948</v>
      </c>
      <c r="B4642" t="s">
        <v>203</v>
      </c>
      <c r="C4642" t="s">
        <v>52</v>
      </c>
      <c r="D4642" s="49">
        <v>45694</v>
      </c>
      <c r="E4642" s="49">
        <v>45695</v>
      </c>
      <c r="F4642" s="49">
        <v>45698</v>
      </c>
      <c r="G4642" s="49">
        <v>45702</v>
      </c>
      <c r="I4642" s="49">
        <v>45707</v>
      </c>
      <c r="J4642" t="s">
        <v>49</v>
      </c>
      <c r="K4642" s="33">
        <v>3800</v>
      </c>
      <c r="L4642" t="s">
        <v>61</v>
      </c>
      <c r="M4642" t="str">
        <f>_xlfn.XLOOKUP(Pipeline_tbl[[#This Row],[Rep_ID]],Dim_Reps!A:A,Dim_Reps!K:K)</f>
        <v>EUR</v>
      </c>
      <c r="N4642" s="33">
        <f>(_xlfn.XLOOKUP(Pipeline_tbl[[#This Row],[Rate_Code_Generalized]],Lookups!A:A,Lookups!B:B))*Pipeline_tbl[[#This Row],[Pipeline_Amount_USD]]</f>
        <v>3800</v>
      </c>
      <c r="O4642" t="str">
        <f>_xlfn.XLOOKUP(Pipeline_tbl[[#This Row],[Rep_ID]],Dim_Reps!A:A,Dim_Reps!B:B)</f>
        <v>Riley Haddad</v>
      </c>
      <c r="P4642" t="str">
        <f>_xlfn.XLOOKUP(Pipeline_tbl[[#This Row],[Rep_ID]],Dim_Reps!A:A,Dim_Reps!C:C)</f>
        <v>SDR / Inside Sales Rep</v>
      </c>
      <c r="Q4642" t="str">
        <f>_xlfn.XLOOKUP(Pipeline_tbl[[#This Row],[Rep_ID]],Dim_Reps!A:A,Dim_Reps!D:D)</f>
        <v>Inside Sales</v>
      </c>
      <c r="R4642" t="str">
        <f>_xlfn.XLOOKUP(Pipeline_tbl[[#This Row],[Rep_ID]],Dim_Reps!A:A,Dim_Reps!E:E)</f>
        <v>APAC</v>
      </c>
      <c r="S4642" t="str">
        <f>_xlfn.XLOOKUP(Pipeline_tbl[[#This Row],[Created_Date]],Dim_Date!A:A,Dim_Date!H:H)</f>
        <v>Feb 2025</v>
      </c>
      <c r="T4642" t="str">
        <f>IF(Pipeline_tbl[[#This Row],[Closed_Date]]=0,"",(_xlfn.XLOOKUP(Pipeline_tbl[[#This Row],[Closed_Date]],Dim_Date!A:A,Dim_Date!H:H)))</f>
        <v>Feb 2025</v>
      </c>
      <c r="U4642">
        <f>IF(Pipeline_tbl[[#This Row],[Closed_Date]]=0,"",Pipeline_tbl[[#This Row],[Closed_Date]]-Pipeline_tbl[[#This Row],[Created_Date]])</f>
        <v>13</v>
      </c>
    </row>
    <row r="4643" spans="1:21" ht="15" customHeight="1" x14ac:dyDescent="0.2">
      <c r="A4643" t="s">
        <v>4949</v>
      </c>
      <c r="B4643" t="s">
        <v>205</v>
      </c>
      <c r="C4643" t="s">
        <v>53</v>
      </c>
      <c r="D4643" s="49">
        <v>45693</v>
      </c>
      <c r="E4643" s="49">
        <v>45695</v>
      </c>
      <c r="F4643" s="49">
        <v>45698</v>
      </c>
      <c r="G4643" s="49">
        <v>45702</v>
      </c>
      <c r="H4643" s="49">
        <v>45706</v>
      </c>
      <c r="I4643" s="49">
        <v>45708</v>
      </c>
      <c r="J4643" t="s">
        <v>49</v>
      </c>
      <c r="K4643" s="33">
        <v>3000</v>
      </c>
      <c r="L4643" t="s">
        <v>61</v>
      </c>
      <c r="M4643" t="str">
        <f>_xlfn.XLOOKUP(Pipeline_tbl[[#This Row],[Rep_ID]],Dim_Reps!A:A,Dim_Reps!K:K)</f>
        <v>EUR</v>
      </c>
      <c r="N4643" s="33">
        <f>(_xlfn.XLOOKUP(Pipeline_tbl[[#This Row],[Rate_Code_Generalized]],Lookups!A:A,Lookups!B:B))*Pipeline_tbl[[#This Row],[Pipeline_Amount_USD]]</f>
        <v>3000</v>
      </c>
      <c r="O4643" t="str">
        <f>_xlfn.XLOOKUP(Pipeline_tbl[[#This Row],[Rep_ID]],Dim_Reps!A:A,Dim_Reps!B:B)</f>
        <v>Karim Alvarez</v>
      </c>
      <c r="P4643" t="str">
        <f>_xlfn.XLOOKUP(Pipeline_tbl[[#This Row],[Rep_ID]],Dim_Reps!A:A,Dim_Reps!C:C)</f>
        <v>SDR / Inside Sales Rep</v>
      </c>
      <c r="Q4643" t="str">
        <f>_xlfn.XLOOKUP(Pipeline_tbl[[#This Row],[Rep_ID]],Dim_Reps!A:A,Dim_Reps!D:D)</f>
        <v>Inside Sales</v>
      </c>
      <c r="R4643" t="str">
        <f>_xlfn.XLOOKUP(Pipeline_tbl[[#This Row],[Rep_ID]],Dim_Reps!A:A,Dim_Reps!E:E)</f>
        <v>EMEA</v>
      </c>
      <c r="S4643" t="str">
        <f>_xlfn.XLOOKUP(Pipeline_tbl[[#This Row],[Created_Date]],Dim_Date!A:A,Dim_Date!H:H)</f>
        <v>Feb 2025</v>
      </c>
      <c r="T4643" t="str">
        <f>IF(Pipeline_tbl[[#This Row],[Closed_Date]]=0,"",(_xlfn.XLOOKUP(Pipeline_tbl[[#This Row],[Closed_Date]],Dim_Date!A:A,Dim_Date!H:H)))</f>
        <v>Feb 2025</v>
      </c>
      <c r="U4643">
        <f>IF(Pipeline_tbl[[#This Row],[Closed_Date]]=0,"",Pipeline_tbl[[#This Row],[Closed_Date]]-Pipeline_tbl[[#This Row],[Created_Date]])</f>
        <v>15</v>
      </c>
    </row>
    <row r="4644" spans="1:21" ht="15" customHeight="1" x14ac:dyDescent="0.2">
      <c r="A4644" t="s">
        <v>4950</v>
      </c>
      <c r="B4644" t="s">
        <v>205</v>
      </c>
      <c r="C4644" t="s">
        <v>52</v>
      </c>
      <c r="D4644" s="49">
        <v>45690</v>
      </c>
      <c r="E4644" s="49">
        <v>45692</v>
      </c>
      <c r="F4644" s="49">
        <v>45695</v>
      </c>
      <c r="G4644" s="49">
        <v>45700</v>
      </c>
      <c r="H4644" s="49">
        <v>45704</v>
      </c>
      <c r="I4644" s="49">
        <v>45706</v>
      </c>
      <c r="J4644" t="s">
        <v>47</v>
      </c>
      <c r="K4644" s="33">
        <v>5000</v>
      </c>
      <c r="M4644" t="str">
        <f>_xlfn.XLOOKUP(Pipeline_tbl[[#This Row],[Rep_ID]],Dim_Reps!A:A,Dim_Reps!K:K)</f>
        <v>EUR</v>
      </c>
      <c r="N4644" s="33">
        <f>(_xlfn.XLOOKUP(Pipeline_tbl[[#This Row],[Rate_Code_Generalized]],Lookups!A:A,Lookups!B:B))*Pipeline_tbl[[#This Row],[Pipeline_Amount_USD]]</f>
        <v>5000</v>
      </c>
      <c r="O4644" t="str">
        <f>_xlfn.XLOOKUP(Pipeline_tbl[[#This Row],[Rep_ID]],Dim_Reps!A:A,Dim_Reps!B:B)</f>
        <v>Karim Alvarez</v>
      </c>
      <c r="P4644" t="str">
        <f>_xlfn.XLOOKUP(Pipeline_tbl[[#This Row],[Rep_ID]],Dim_Reps!A:A,Dim_Reps!C:C)</f>
        <v>SDR / Inside Sales Rep</v>
      </c>
      <c r="Q4644" t="str">
        <f>_xlfn.XLOOKUP(Pipeline_tbl[[#This Row],[Rep_ID]],Dim_Reps!A:A,Dim_Reps!D:D)</f>
        <v>Inside Sales</v>
      </c>
      <c r="R4644" t="str">
        <f>_xlfn.XLOOKUP(Pipeline_tbl[[#This Row],[Rep_ID]],Dim_Reps!A:A,Dim_Reps!E:E)</f>
        <v>EMEA</v>
      </c>
      <c r="S4644" t="str">
        <f>_xlfn.XLOOKUP(Pipeline_tbl[[#This Row],[Created_Date]],Dim_Date!A:A,Dim_Date!H:H)</f>
        <v>Feb 2025</v>
      </c>
      <c r="T4644" t="str">
        <f>IF(Pipeline_tbl[[#This Row],[Closed_Date]]=0,"",(_xlfn.XLOOKUP(Pipeline_tbl[[#This Row],[Closed_Date]],Dim_Date!A:A,Dim_Date!H:H)))</f>
        <v>Feb 2025</v>
      </c>
      <c r="U4644">
        <f>IF(Pipeline_tbl[[#This Row],[Closed_Date]]=0,"",Pipeline_tbl[[#This Row],[Closed_Date]]-Pipeline_tbl[[#This Row],[Created_Date]])</f>
        <v>16</v>
      </c>
    </row>
    <row r="4645" spans="1:21" ht="15" customHeight="1" x14ac:dyDescent="0.2">
      <c r="A4645" t="s">
        <v>4951</v>
      </c>
      <c r="B4645" t="s">
        <v>205</v>
      </c>
      <c r="C4645" t="s">
        <v>53</v>
      </c>
      <c r="D4645" s="49">
        <v>45692</v>
      </c>
      <c r="E4645" s="49">
        <v>45694</v>
      </c>
      <c r="F4645" s="49">
        <v>45699</v>
      </c>
      <c r="G4645" s="49">
        <v>45706</v>
      </c>
      <c r="H4645" s="49">
        <v>45712</v>
      </c>
      <c r="I4645" s="49">
        <v>45715</v>
      </c>
      <c r="J4645" t="s">
        <v>47</v>
      </c>
      <c r="K4645" s="33">
        <v>2300</v>
      </c>
      <c r="M4645" t="str">
        <f>_xlfn.XLOOKUP(Pipeline_tbl[[#This Row],[Rep_ID]],Dim_Reps!A:A,Dim_Reps!K:K)</f>
        <v>EUR</v>
      </c>
      <c r="N4645" s="33">
        <f>(_xlfn.XLOOKUP(Pipeline_tbl[[#This Row],[Rate_Code_Generalized]],Lookups!A:A,Lookups!B:B))*Pipeline_tbl[[#This Row],[Pipeline_Amount_USD]]</f>
        <v>2300</v>
      </c>
      <c r="O4645" t="str">
        <f>_xlfn.XLOOKUP(Pipeline_tbl[[#This Row],[Rep_ID]],Dim_Reps!A:A,Dim_Reps!B:B)</f>
        <v>Karim Alvarez</v>
      </c>
      <c r="P4645" t="str">
        <f>_xlfn.XLOOKUP(Pipeline_tbl[[#This Row],[Rep_ID]],Dim_Reps!A:A,Dim_Reps!C:C)</f>
        <v>SDR / Inside Sales Rep</v>
      </c>
      <c r="Q4645" t="str">
        <f>_xlfn.XLOOKUP(Pipeline_tbl[[#This Row],[Rep_ID]],Dim_Reps!A:A,Dim_Reps!D:D)</f>
        <v>Inside Sales</v>
      </c>
      <c r="R4645" t="str">
        <f>_xlfn.XLOOKUP(Pipeline_tbl[[#This Row],[Rep_ID]],Dim_Reps!A:A,Dim_Reps!E:E)</f>
        <v>EMEA</v>
      </c>
      <c r="S4645" t="str">
        <f>_xlfn.XLOOKUP(Pipeline_tbl[[#This Row],[Created_Date]],Dim_Date!A:A,Dim_Date!H:H)</f>
        <v>Feb 2025</v>
      </c>
      <c r="T4645" t="str">
        <f>IF(Pipeline_tbl[[#This Row],[Closed_Date]]=0,"",(_xlfn.XLOOKUP(Pipeline_tbl[[#This Row],[Closed_Date]],Dim_Date!A:A,Dim_Date!H:H)))</f>
        <v>Feb 2025</v>
      </c>
      <c r="U4645">
        <f>IF(Pipeline_tbl[[#This Row],[Closed_Date]]=0,"",Pipeline_tbl[[#This Row],[Closed_Date]]-Pipeline_tbl[[#This Row],[Created_Date]])</f>
        <v>23</v>
      </c>
    </row>
    <row r="4646" spans="1:21" ht="15" customHeight="1" x14ac:dyDescent="0.2">
      <c r="A4646" t="s">
        <v>4952</v>
      </c>
      <c r="B4646" t="s">
        <v>207</v>
      </c>
      <c r="C4646" t="s">
        <v>52</v>
      </c>
      <c r="D4646" s="49">
        <v>45689</v>
      </c>
      <c r="E4646" s="49">
        <v>45691</v>
      </c>
      <c r="F4646" s="49">
        <v>45695</v>
      </c>
      <c r="G4646" s="49">
        <v>45700</v>
      </c>
      <c r="H4646" s="49">
        <v>45705</v>
      </c>
      <c r="I4646" s="49">
        <v>45708</v>
      </c>
      <c r="J4646" t="s">
        <v>47</v>
      </c>
      <c r="K4646" s="33">
        <v>6600</v>
      </c>
      <c r="M4646" t="str">
        <f>_xlfn.XLOOKUP(Pipeline_tbl[[#This Row],[Rep_ID]],Dim_Reps!A:A,Dim_Reps!K:K)</f>
        <v>EUR</v>
      </c>
      <c r="N4646" s="33">
        <f>(_xlfn.XLOOKUP(Pipeline_tbl[[#This Row],[Rate_Code_Generalized]],Lookups!A:A,Lookups!B:B))*Pipeline_tbl[[#This Row],[Pipeline_Amount_USD]]</f>
        <v>6600</v>
      </c>
      <c r="O4646" t="str">
        <f>_xlfn.XLOOKUP(Pipeline_tbl[[#This Row],[Rep_ID]],Dim_Reps!A:A,Dim_Reps!B:B)</f>
        <v>Sam Castro</v>
      </c>
      <c r="P4646" t="str">
        <f>_xlfn.XLOOKUP(Pipeline_tbl[[#This Row],[Rep_ID]],Dim_Reps!A:A,Dim_Reps!C:C)</f>
        <v>SDR / Inside Sales Rep</v>
      </c>
      <c r="Q4646" t="str">
        <f>_xlfn.XLOOKUP(Pipeline_tbl[[#This Row],[Rep_ID]],Dim_Reps!A:A,Dim_Reps!D:D)</f>
        <v>Inside Sales</v>
      </c>
      <c r="R4646" t="str">
        <f>_xlfn.XLOOKUP(Pipeline_tbl[[#This Row],[Rep_ID]],Dim_Reps!A:A,Dim_Reps!E:E)</f>
        <v>APAC</v>
      </c>
      <c r="S4646" t="str">
        <f>_xlfn.XLOOKUP(Pipeline_tbl[[#This Row],[Created_Date]],Dim_Date!A:A,Dim_Date!H:H)</f>
        <v>Feb 2025</v>
      </c>
      <c r="T4646" t="str">
        <f>IF(Pipeline_tbl[[#This Row],[Closed_Date]]=0,"",(_xlfn.XLOOKUP(Pipeline_tbl[[#This Row],[Closed_Date]],Dim_Date!A:A,Dim_Date!H:H)))</f>
        <v>Feb 2025</v>
      </c>
      <c r="U4646">
        <f>IF(Pipeline_tbl[[#This Row],[Closed_Date]]=0,"",Pipeline_tbl[[#This Row],[Closed_Date]]-Pipeline_tbl[[#This Row],[Created_Date]])</f>
        <v>19</v>
      </c>
    </row>
    <row r="4647" spans="1:21" ht="15" customHeight="1" x14ac:dyDescent="0.2">
      <c r="A4647" t="s">
        <v>4953</v>
      </c>
      <c r="B4647" t="s">
        <v>207</v>
      </c>
      <c r="C4647" t="s">
        <v>56</v>
      </c>
      <c r="D4647" s="49">
        <v>45699</v>
      </c>
      <c r="E4647" s="49">
        <v>45700</v>
      </c>
      <c r="F4647" s="49">
        <v>45703</v>
      </c>
      <c r="G4647" s="49">
        <v>45707</v>
      </c>
      <c r="H4647" s="49">
        <v>45711</v>
      </c>
      <c r="I4647" s="49">
        <v>45713</v>
      </c>
      <c r="J4647" t="s">
        <v>47</v>
      </c>
      <c r="K4647" s="33">
        <v>1400</v>
      </c>
      <c r="M4647" t="str">
        <f>_xlfn.XLOOKUP(Pipeline_tbl[[#This Row],[Rep_ID]],Dim_Reps!A:A,Dim_Reps!K:K)</f>
        <v>EUR</v>
      </c>
      <c r="N4647" s="33">
        <f>(_xlfn.XLOOKUP(Pipeline_tbl[[#This Row],[Rate_Code_Generalized]],Lookups!A:A,Lookups!B:B))*Pipeline_tbl[[#This Row],[Pipeline_Amount_USD]]</f>
        <v>1400</v>
      </c>
      <c r="O4647" t="str">
        <f>_xlfn.XLOOKUP(Pipeline_tbl[[#This Row],[Rep_ID]],Dim_Reps!A:A,Dim_Reps!B:B)</f>
        <v>Sam Castro</v>
      </c>
      <c r="P4647" t="str">
        <f>_xlfn.XLOOKUP(Pipeline_tbl[[#This Row],[Rep_ID]],Dim_Reps!A:A,Dim_Reps!C:C)</f>
        <v>SDR / Inside Sales Rep</v>
      </c>
      <c r="Q4647" t="str">
        <f>_xlfn.XLOOKUP(Pipeline_tbl[[#This Row],[Rep_ID]],Dim_Reps!A:A,Dim_Reps!D:D)</f>
        <v>Inside Sales</v>
      </c>
      <c r="R4647" t="str">
        <f>_xlfn.XLOOKUP(Pipeline_tbl[[#This Row],[Rep_ID]],Dim_Reps!A:A,Dim_Reps!E:E)</f>
        <v>APAC</v>
      </c>
      <c r="S4647" t="str">
        <f>_xlfn.XLOOKUP(Pipeline_tbl[[#This Row],[Created_Date]],Dim_Date!A:A,Dim_Date!H:H)</f>
        <v>Feb 2025</v>
      </c>
      <c r="T4647" t="str">
        <f>IF(Pipeline_tbl[[#This Row],[Closed_Date]]=0,"",(_xlfn.XLOOKUP(Pipeline_tbl[[#This Row],[Closed_Date]],Dim_Date!A:A,Dim_Date!H:H)))</f>
        <v>Feb 2025</v>
      </c>
      <c r="U4647">
        <f>IF(Pipeline_tbl[[#This Row],[Closed_Date]]=0,"",Pipeline_tbl[[#This Row],[Closed_Date]]-Pipeline_tbl[[#This Row],[Created_Date]])</f>
        <v>14</v>
      </c>
    </row>
    <row r="4648" spans="1:21" ht="15" customHeight="1" x14ac:dyDescent="0.2">
      <c r="A4648" t="s">
        <v>4954</v>
      </c>
      <c r="B4648" t="s">
        <v>207</v>
      </c>
      <c r="C4648" t="s">
        <v>52</v>
      </c>
      <c r="D4648" s="49">
        <v>45694</v>
      </c>
      <c r="E4648" s="49">
        <v>45696</v>
      </c>
      <c r="F4648" s="49">
        <v>45699</v>
      </c>
      <c r="G4648" s="49">
        <v>45704</v>
      </c>
      <c r="I4648" s="49">
        <v>45711</v>
      </c>
      <c r="J4648" t="s">
        <v>49</v>
      </c>
      <c r="K4648" s="33">
        <v>4500</v>
      </c>
      <c r="L4648" t="s">
        <v>61</v>
      </c>
      <c r="M4648" t="str">
        <f>_xlfn.XLOOKUP(Pipeline_tbl[[#This Row],[Rep_ID]],Dim_Reps!A:A,Dim_Reps!K:K)</f>
        <v>EUR</v>
      </c>
      <c r="N4648" s="33">
        <f>(_xlfn.XLOOKUP(Pipeline_tbl[[#This Row],[Rate_Code_Generalized]],Lookups!A:A,Lookups!B:B))*Pipeline_tbl[[#This Row],[Pipeline_Amount_USD]]</f>
        <v>4500</v>
      </c>
      <c r="O4648" t="str">
        <f>_xlfn.XLOOKUP(Pipeline_tbl[[#This Row],[Rep_ID]],Dim_Reps!A:A,Dim_Reps!B:B)</f>
        <v>Sam Castro</v>
      </c>
      <c r="P4648" t="str">
        <f>_xlfn.XLOOKUP(Pipeline_tbl[[#This Row],[Rep_ID]],Dim_Reps!A:A,Dim_Reps!C:C)</f>
        <v>SDR / Inside Sales Rep</v>
      </c>
      <c r="Q4648" t="str">
        <f>_xlfn.XLOOKUP(Pipeline_tbl[[#This Row],[Rep_ID]],Dim_Reps!A:A,Dim_Reps!D:D)</f>
        <v>Inside Sales</v>
      </c>
      <c r="R4648" t="str">
        <f>_xlfn.XLOOKUP(Pipeline_tbl[[#This Row],[Rep_ID]],Dim_Reps!A:A,Dim_Reps!E:E)</f>
        <v>APAC</v>
      </c>
      <c r="S4648" t="str">
        <f>_xlfn.XLOOKUP(Pipeline_tbl[[#This Row],[Created_Date]],Dim_Date!A:A,Dim_Date!H:H)</f>
        <v>Feb 2025</v>
      </c>
      <c r="T4648" t="str">
        <f>IF(Pipeline_tbl[[#This Row],[Closed_Date]]=0,"",(_xlfn.XLOOKUP(Pipeline_tbl[[#This Row],[Closed_Date]],Dim_Date!A:A,Dim_Date!H:H)))</f>
        <v>Feb 2025</v>
      </c>
      <c r="U4648">
        <f>IF(Pipeline_tbl[[#This Row],[Closed_Date]]=0,"",Pipeline_tbl[[#This Row],[Closed_Date]]-Pipeline_tbl[[#This Row],[Created_Date]])</f>
        <v>17</v>
      </c>
    </row>
    <row r="4649" spans="1:21" ht="15" customHeight="1" x14ac:dyDescent="0.2">
      <c r="A4649" t="s">
        <v>4955</v>
      </c>
      <c r="B4649" t="s">
        <v>207</v>
      </c>
      <c r="C4649" t="s">
        <v>52</v>
      </c>
      <c r="D4649" s="49">
        <v>45700</v>
      </c>
      <c r="E4649" s="49">
        <v>45702</v>
      </c>
      <c r="F4649" s="49">
        <v>45705</v>
      </c>
      <c r="G4649" s="49">
        <v>45710</v>
      </c>
      <c r="H4649" s="49">
        <v>45714</v>
      </c>
      <c r="I4649" s="49">
        <v>45716</v>
      </c>
      <c r="J4649" t="s">
        <v>47</v>
      </c>
      <c r="K4649" s="33">
        <v>2400</v>
      </c>
      <c r="M4649" t="str">
        <f>_xlfn.XLOOKUP(Pipeline_tbl[[#This Row],[Rep_ID]],Dim_Reps!A:A,Dim_Reps!K:K)</f>
        <v>EUR</v>
      </c>
      <c r="N4649" s="33">
        <f>(_xlfn.XLOOKUP(Pipeline_tbl[[#This Row],[Rate_Code_Generalized]],Lookups!A:A,Lookups!B:B))*Pipeline_tbl[[#This Row],[Pipeline_Amount_USD]]</f>
        <v>2400</v>
      </c>
      <c r="O4649" t="str">
        <f>_xlfn.XLOOKUP(Pipeline_tbl[[#This Row],[Rep_ID]],Dim_Reps!A:A,Dim_Reps!B:B)</f>
        <v>Sam Castro</v>
      </c>
      <c r="P4649" t="str">
        <f>_xlfn.XLOOKUP(Pipeline_tbl[[#This Row],[Rep_ID]],Dim_Reps!A:A,Dim_Reps!C:C)</f>
        <v>SDR / Inside Sales Rep</v>
      </c>
      <c r="Q4649" t="str">
        <f>_xlfn.XLOOKUP(Pipeline_tbl[[#This Row],[Rep_ID]],Dim_Reps!A:A,Dim_Reps!D:D)</f>
        <v>Inside Sales</v>
      </c>
      <c r="R4649" t="str">
        <f>_xlfn.XLOOKUP(Pipeline_tbl[[#This Row],[Rep_ID]],Dim_Reps!A:A,Dim_Reps!E:E)</f>
        <v>APAC</v>
      </c>
      <c r="S4649" t="str">
        <f>_xlfn.XLOOKUP(Pipeline_tbl[[#This Row],[Created_Date]],Dim_Date!A:A,Dim_Date!H:H)</f>
        <v>Feb 2025</v>
      </c>
      <c r="T4649" t="str">
        <f>IF(Pipeline_tbl[[#This Row],[Closed_Date]]=0,"",(_xlfn.XLOOKUP(Pipeline_tbl[[#This Row],[Closed_Date]],Dim_Date!A:A,Dim_Date!H:H)))</f>
        <v>Feb 2025</v>
      </c>
      <c r="U4649">
        <f>IF(Pipeline_tbl[[#This Row],[Closed_Date]]=0,"",Pipeline_tbl[[#This Row],[Closed_Date]]-Pipeline_tbl[[#This Row],[Created_Date]])</f>
        <v>16</v>
      </c>
    </row>
    <row r="4650" spans="1:21" ht="15" customHeight="1" x14ac:dyDescent="0.2">
      <c r="A4650" t="s">
        <v>4956</v>
      </c>
      <c r="B4650" t="s">
        <v>207</v>
      </c>
      <c r="C4650" t="s">
        <v>52</v>
      </c>
      <c r="D4650" s="49">
        <v>45691</v>
      </c>
      <c r="E4650" s="49">
        <v>45692</v>
      </c>
      <c r="F4650" s="49">
        <v>45693</v>
      </c>
      <c r="G4650" s="49">
        <v>45696</v>
      </c>
      <c r="H4650" s="49">
        <v>45698</v>
      </c>
      <c r="I4650" s="49">
        <v>45699</v>
      </c>
      <c r="J4650" t="s">
        <v>47</v>
      </c>
      <c r="K4650" s="33">
        <v>2000</v>
      </c>
      <c r="M4650" t="str">
        <f>_xlfn.XLOOKUP(Pipeline_tbl[[#This Row],[Rep_ID]],Dim_Reps!A:A,Dim_Reps!K:K)</f>
        <v>EUR</v>
      </c>
      <c r="N4650" s="33">
        <f>(_xlfn.XLOOKUP(Pipeline_tbl[[#This Row],[Rate_Code_Generalized]],Lookups!A:A,Lookups!B:B))*Pipeline_tbl[[#This Row],[Pipeline_Amount_USD]]</f>
        <v>2000</v>
      </c>
      <c r="O4650" t="str">
        <f>_xlfn.XLOOKUP(Pipeline_tbl[[#This Row],[Rep_ID]],Dim_Reps!A:A,Dim_Reps!B:B)</f>
        <v>Sam Castro</v>
      </c>
      <c r="P4650" t="str">
        <f>_xlfn.XLOOKUP(Pipeline_tbl[[#This Row],[Rep_ID]],Dim_Reps!A:A,Dim_Reps!C:C)</f>
        <v>SDR / Inside Sales Rep</v>
      </c>
      <c r="Q4650" t="str">
        <f>_xlfn.XLOOKUP(Pipeline_tbl[[#This Row],[Rep_ID]],Dim_Reps!A:A,Dim_Reps!D:D)</f>
        <v>Inside Sales</v>
      </c>
      <c r="R4650" t="str">
        <f>_xlfn.XLOOKUP(Pipeline_tbl[[#This Row],[Rep_ID]],Dim_Reps!A:A,Dim_Reps!E:E)</f>
        <v>APAC</v>
      </c>
      <c r="S4650" t="str">
        <f>_xlfn.XLOOKUP(Pipeline_tbl[[#This Row],[Created_Date]],Dim_Date!A:A,Dim_Date!H:H)</f>
        <v>Feb 2025</v>
      </c>
      <c r="T4650" t="str">
        <f>IF(Pipeline_tbl[[#This Row],[Closed_Date]]=0,"",(_xlfn.XLOOKUP(Pipeline_tbl[[#This Row],[Closed_Date]],Dim_Date!A:A,Dim_Date!H:H)))</f>
        <v>Feb 2025</v>
      </c>
      <c r="U4650">
        <f>IF(Pipeline_tbl[[#This Row],[Closed_Date]]=0,"",Pipeline_tbl[[#This Row],[Closed_Date]]-Pipeline_tbl[[#This Row],[Created_Date]])</f>
        <v>8</v>
      </c>
    </row>
    <row r="4651" spans="1:21" ht="15" customHeight="1" x14ac:dyDescent="0.2">
      <c r="A4651" t="s">
        <v>4957</v>
      </c>
      <c r="B4651" t="s">
        <v>209</v>
      </c>
      <c r="C4651" t="s">
        <v>53</v>
      </c>
      <c r="D4651" s="49">
        <v>45697</v>
      </c>
      <c r="E4651" s="49">
        <v>45699</v>
      </c>
      <c r="F4651" s="49">
        <v>45702</v>
      </c>
      <c r="G4651" s="49">
        <v>45707</v>
      </c>
      <c r="H4651" s="49">
        <v>45711</v>
      </c>
      <c r="I4651" s="49">
        <v>45714</v>
      </c>
      <c r="J4651" t="s">
        <v>47</v>
      </c>
      <c r="K4651" s="33">
        <v>2700</v>
      </c>
      <c r="M4651" t="str">
        <f>_xlfn.XLOOKUP(Pipeline_tbl[[#This Row],[Rep_ID]],Dim_Reps!A:A,Dim_Reps!K:K)</f>
        <v>EUR</v>
      </c>
      <c r="N4651" s="33">
        <f>(_xlfn.XLOOKUP(Pipeline_tbl[[#This Row],[Rate_Code_Generalized]],Lookups!A:A,Lookups!B:B))*Pipeline_tbl[[#This Row],[Pipeline_Amount_USD]]</f>
        <v>2700</v>
      </c>
      <c r="O4651" t="str">
        <f>_xlfn.XLOOKUP(Pipeline_tbl[[#This Row],[Rep_ID]],Dim_Reps!A:A,Dim_Reps!B:B)</f>
        <v>Petra Larsen</v>
      </c>
      <c r="P4651" t="str">
        <f>_xlfn.XLOOKUP(Pipeline_tbl[[#This Row],[Rep_ID]],Dim_Reps!A:A,Dim_Reps!C:C)</f>
        <v>SDR / Inside Sales Rep</v>
      </c>
      <c r="Q4651" t="str">
        <f>_xlfn.XLOOKUP(Pipeline_tbl[[#This Row],[Rep_ID]],Dim_Reps!A:A,Dim_Reps!D:D)</f>
        <v>Inside Sales</v>
      </c>
      <c r="R4651" t="str">
        <f>_xlfn.XLOOKUP(Pipeline_tbl[[#This Row],[Rep_ID]],Dim_Reps!A:A,Dim_Reps!E:E)</f>
        <v>EMEA</v>
      </c>
      <c r="S4651" t="str">
        <f>_xlfn.XLOOKUP(Pipeline_tbl[[#This Row],[Created_Date]],Dim_Date!A:A,Dim_Date!H:H)</f>
        <v>Feb 2025</v>
      </c>
      <c r="T4651" t="str">
        <f>IF(Pipeline_tbl[[#This Row],[Closed_Date]]=0,"",(_xlfn.XLOOKUP(Pipeline_tbl[[#This Row],[Closed_Date]],Dim_Date!A:A,Dim_Date!H:H)))</f>
        <v>Feb 2025</v>
      </c>
      <c r="U4651">
        <f>IF(Pipeline_tbl[[#This Row],[Closed_Date]]=0,"",Pipeline_tbl[[#This Row],[Closed_Date]]-Pipeline_tbl[[#This Row],[Created_Date]])</f>
        <v>17</v>
      </c>
    </row>
    <row r="4652" spans="1:21" ht="15" customHeight="1" x14ac:dyDescent="0.2">
      <c r="A4652" t="s">
        <v>4958</v>
      </c>
      <c r="B4652" t="s">
        <v>209</v>
      </c>
      <c r="C4652" t="s">
        <v>53</v>
      </c>
      <c r="D4652" s="49">
        <v>45690</v>
      </c>
      <c r="E4652" s="49">
        <v>45692</v>
      </c>
      <c r="F4652" s="49">
        <v>45695</v>
      </c>
      <c r="I4652" s="49">
        <v>45708</v>
      </c>
      <c r="J4652" t="s">
        <v>49</v>
      </c>
      <c r="K4652" s="33">
        <v>3300</v>
      </c>
      <c r="L4652" t="s">
        <v>60</v>
      </c>
      <c r="M4652" t="str">
        <f>_xlfn.XLOOKUP(Pipeline_tbl[[#This Row],[Rep_ID]],Dim_Reps!A:A,Dim_Reps!K:K)</f>
        <v>EUR</v>
      </c>
      <c r="N4652" s="33">
        <f>(_xlfn.XLOOKUP(Pipeline_tbl[[#This Row],[Rate_Code_Generalized]],Lookups!A:A,Lookups!B:B))*Pipeline_tbl[[#This Row],[Pipeline_Amount_USD]]</f>
        <v>3300</v>
      </c>
      <c r="O4652" t="str">
        <f>_xlfn.XLOOKUP(Pipeline_tbl[[#This Row],[Rep_ID]],Dim_Reps!A:A,Dim_Reps!B:B)</f>
        <v>Petra Larsen</v>
      </c>
      <c r="P4652" t="str">
        <f>_xlfn.XLOOKUP(Pipeline_tbl[[#This Row],[Rep_ID]],Dim_Reps!A:A,Dim_Reps!C:C)</f>
        <v>SDR / Inside Sales Rep</v>
      </c>
      <c r="Q4652" t="str">
        <f>_xlfn.XLOOKUP(Pipeline_tbl[[#This Row],[Rep_ID]],Dim_Reps!A:A,Dim_Reps!D:D)</f>
        <v>Inside Sales</v>
      </c>
      <c r="R4652" t="str">
        <f>_xlfn.XLOOKUP(Pipeline_tbl[[#This Row],[Rep_ID]],Dim_Reps!A:A,Dim_Reps!E:E)</f>
        <v>EMEA</v>
      </c>
      <c r="S4652" t="str">
        <f>_xlfn.XLOOKUP(Pipeline_tbl[[#This Row],[Created_Date]],Dim_Date!A:A,Dim_Date!H:H)</f>
        <v>Feb 2025</v>
      </c>
      <c r="T4652" t="str">
        <f>IF(Pipeline_tbl[[#This Row],[Closed_Date]]=0,"",(_xlfn.XLOOKUP(Pipeline_tbl[[#This Row],[Closed_Date]],Dim_Date!A:A,Dim_Date!H:H)))</f>
        <v>Feb 2025</v>
      </c>
      <c r="U4652">
        <f>IF(Pipeline_tbl[[#This Row],[Closed_Date]]=0,"",Pipeline_tbl[[#This Row],[Closed_Date]]-Pipeline_tbl[[#This Row],[Created_Date]])</f>
        <v>18</v>
      </c>
    </row>
    <row r="4653" spans="1:21" ht="15" customHeight="1" x14ac:dyDescent="0.2">
      <c r="A4653" t="s">
        <v>4959</v>
      </c>
      <c r="B4653" t="s">
        <v>209</v>
      </c>
      <c r="C4653" t="s">
        <v>52</v>
      </c>
      <c r="D4653" s="49">
        <v>45691</v>
      </c>
      <c r="E4653" s="49">
        <v>45693</v>
      </c>
      <c r="F4653" s="49">
        <v>45698</v>
      </c>
      <c r="G4653" s="49">
        <v>45704</v>
      </c>
      <c r="H4653" s="49">
        <v>45710</v>
      </c>
      <c r="I4653" s="49">
        <v>45713</v>
      </c>
      <c r="J4653" t="s">
        <v>47</v>
      </c>
      <c r="K4653" s="33">
        <v>2500</v>
      </c>
      <c r="M4653" t="str">
        <f>_xlfn.XLOOKUP(Pipeline_tbl[[#This Row],[Rep_ID]],Dim_Reps!A:A,Dim_Reps!K:K)</f>
        <v>EUR</v>
      </c>
      <c r="N4653" s="33">
        <f>(_xlfn.XLOOKUP(Pipeline_tbl[[#This Row],[Rate_Code_Generalized]],Lookups!A:A,Lookups!B:B))*Pipeline_tbl[[#This Row],[Pipeline_Amount_USD]]</f>
        <v>2500</v>
      </c>
      <c r="O4653" t="str">
        <f>_xlfn.XLOOKUP(Pipeline_tbl[[#This Row],[Rep_ID]],Dim_Reps!A:A,Dim_Reps!B:B)</f>
        <v>Petra Larsen</v>
      </c>
      <c r="P4653" t="str">
        <f>_xlfn.XLOOKUP(Pipeline_tbl[[#This Row],[Rep_ID]],Dim_Reps!A:A,Dim_Reps!C:C)</f>
        <v>SDR / Inside Sales Rep</v>
      </c>
      <c r="Q4653" t="str">
        <f>_xlfn.XLOOKUP(Pipeline_tbl[[#This Row],[Rep_ID]],Dim_Reps!A:A,Dim_Reps!D:D)</f>
        <v>Inside Sales</v>
      </c>
      <c r="R4653" t="str">
        <f>_xlfn.XLOOKUP(Pipeline_tbl[[#This Row],[Rep_ID]],Dim_Reps!A:A,Dim_Reps!E:E)</f>
        <v>EMEA</v>
      </c>
      <c r="S4653" t="str">
        <f>_xlfn.XLOOKUP(Pipeline_tbl[[#This Row],[Created_Date]],Dim_Date!A:A,Dim_Date!H:H)</f>
        <v>Feb 2025</v>
      </c>
      <c r="T4653" t="str">
        <f>IF(Pipeline_tbl[[#This Row],[Closed_Date]]=0,"",(_xlfn.XLOOKUP(Pipeline_tbl[[#This Row],[Closed_Date]],Dim_Date!A:A,Dim_Date!H:H)))</f>
        <v>Feb 2025</v>
      </c>
      <c r="U4653">
        <f>IF(Pipeline_tbl[[#This Row],[Closed_Date]]=0,"",Pipeline_tbl[[#This Row],[Closed_Date]]-Pipeline_tbl[[#This Row],[Created_Date]])</f>
        <v>22</v>
      </c>
    </row>
    <row r="4654" spans="1:21" ht="15" customHeight="1" x14ac:dyDescent="0.2">
      <c r="A4654" t="s">
        <v>4960</v>
      </c>
      <c r="B4654" t="s">
        <v>211</v>
      </c>
      <c r="C4654" t="s">
        <v>53</v>
      </c>
      <c r="D4654" s="49">
        <v>45700</v>
      </c>
      <c r="E4654" s="49">
        <v>45701</v>
      </c>
      <c r="I4654" s="49">
        <v>45714</v>
      </c>
      <c r="J4654" t="s">
        <v>49</v>
      </c>
      <c r="K4654" s="33">
        <v>6700</v>
      </c>
      <c r="L4654" t="s">
        <v>62</v>
      </c>
      <c r="M4654" t="str">
        <f>_xlfn.XLOOKUP(Pipeline_tbl[[#This Row],[Rep_ID]],Dim_Reps!A:A,Dim_Reps!K:K)</f>
        <v>EUR</v>
      </c>
      <c r="N4654" s="33">
        <f>(_xlfn.XLOOKUP(Pipeline_tbl[[#This Row],[Rate_Code_Generalized]],Lookups!A:A,Lookups!B:B))*Pipeline_tbl[[#This Row],[Pipeline_Amount_USD]]</f>
        <v>6700</v>
      </c>
      <c r="O4654" t="str">
        <f>_xlfn.XLOOKUP(Pipeline_tbl[[#This Row],[Rep_ID]],Dim_Reps!A:A,Dim_Reps!B:B)</f>
        <v>Lea Weber</v>
      </c>
      <c r="P4654" t="str">
        <f>_xlfn.XLOOKUP(Pipeline_tbl[[#This Row],[Rep_ID]],Dim_Reps!A:A,Dim_Reps!C:C)</f>
        <v>SDR / Inside Sales Rep</v>
      </c>
      <c r="Q4654" t="str">
        <f>_xlfn.XLOOKUP(Pipeline_tbl[[#This Row],[Rep_ID]],Dim_Reps!A:A,Dim_Reps!D:D)</f>
        <v>Inside Sales</v>
      </c>
      <c r="R4654" t="str">
        <f>_xlfn.XLOOKUP(Pipeline_tbl[[#This Row],[Rep_ID]],Dim_Reps!A:A,Dim_Reps!E:E)</f>
        <v>EMEA</v>
      </c>
      <c r="S4654" t="str">
        <f>_xlfn.XLOOKUP(Pipeline_tbl[[#This Row],[Created_Date]],Dim_Date!A:A,Dim_Date!H:H)</f>
        <v>Feb 2025</v>
      </c>
      <c r="T4654" t="str">
        <f>IF(Pipeline_tbl[[#This Row],[Closed_Date]]=0,"",(_xlfn.XLOOKUP(Pipeline_tbl[[#This Row],[Closed_Date]],Dim_Date!A:A,Dim_Date!H:H)))</f>
        <v>Feb 2025</v>
      </c>
      <c r="U4654">
        <f>IF(Pipeline_tbl[[#This Row],[Closed_Date]]=0,"",Pipeline_tbl[[#This Row],[Closed_Date]]-Pipeline_tbl[[#This Row],[Created_Date]])</f>
        <v>14</v>
      </c>
    </row>
    <row r="4655" spans="1:21" ht="15" customHeight="1" x14ac:dyDescent="0.2">
      <c r="A4655" t="s">
        <v>4961</v>
      </c>
      <c r="B4655" t="s">
        <v>211</v>
      </c>
      <c r="C4655" t="s">
        <v>55</v>
      </c>
      <c r="D4655" s="49">
        <v>45692</v>
      </c>
      <c r="E4655" s="49">
        <v>45694</v>
      </c>
      <c r="F4655" s="49">
        <v>45697</v>
      </c>
      <c r="G4655" s="49">
        <v>45702</v>
      </c>
      <c r="I4655" s="49">
        <v>45709</v>
      </c>
      <c r="J4655" t="s">
        <v>49</v>
      </c>
      <c r="K4655" s="33">
        <v>2500</v>
      </c>
      <c r="L4655" t="s">
        <v>64</v>
      </c>
      <c r="M4655" t="str">
        <f>_xlfn.XLOOKUP(Pipeline_tbl[[#This Row],[Rep_ID]],Dim_Reps!A:A,Dim_Reps!K:K)</f>
        <v>EUR</v>
      </c>
      <c r="N4655" s="33">
        <f>(_xlfn.XLOOKUP(Pipeline_tbl[[#This Row],[Rate_Code_Generalized]],Lookups!A:A,Lookups!B:B))*Pipeline_tbl[[#This Row],[Pipeline_Amount_USD]]</f>
        <v>2500</v>
      </c>
      <c r="O4655" t="str">
        <f>_xlfn.XLOOKUP(Pipeline_tbl[[#This Row],[Rep_ID]],Dim_Reps!A:A,Dim_Reps!B:B)</f>
        <v>Lea Weber</v>
      </c>
      <c r="P4655" t="str">
        <f>_xlfn.XLOOKUP(Pipeline_tbl[[#This Row],[Rep_ID]],Dim_Reps!A:A,Dim_Reps!C:C)</f>
        <v>SDR / Inside Sales Rep</v>
      </c>
      <c r="Q4655" t="str">
        <f>_xlfn.XLOOKUP(Pipeline_tbl[[#This Row],[Rep_ID]],Dim_Reps!A:A,Dim_Reps!D:D)</f>
        <v>Inside Sales</v>
      </c>
      <c r="R4655" t="str">
        <f>_xlfn.XLOOKUP(Pipeline_tbl[[#This Row],[Rep_ID]],Dim_Reps!A:A,Dim_Reps!E:E)</f>
        <v>EMEA</v>
      </c>
      <c r="S4655" t="str">
        <f>_xlfn.XLOOKUP(Pipeline_tbl[[#This Row],[Created_Date]],Dim_Date!A:A,Dim_Date!H:H)</f>
        <v>Feb 2025</v>
      </c>
      <c r="T4655" t="str">
        <f>IF(Pipeline_tbl[[#This Row],[Closed_Date]]=0,"",(_xlfn.XLOOKUP(Pipeline_tbl[[#This Row],[Closed_Date]],Dim_Date!A:A,Dim_Date!H:H)))</f>
        <v>Feb 2025</v>
      </c>
      <c r="U4655">
        <f>IF(Pipeline_tbl[[#This Row],[Closed_Date]]=0,"",Pipeline_tbl[[#This Row],[Closed_Date]]-Pipeline_tbl[[#This Row],[Created_Date]])</f>
        <v>17</v>
      </c>
    </row>
    <row r="4656" spans="1:21" ht="15" customHeight="1" x14ac:dyDescent="0.2">
      <c r="A4656" t="s">
        <v>4962</v>
      </c>
      <c r="B4656" t="s">
        <v>211</v>
      </c>
      <c r="C4656" t="s">
        <v>52</v>
      </c>
      <c r="D4656" s="49">
        <v>45692</v>
      </c>
      <c r="E4656" s="49">
        <v>45694</v>
      </c>
      <c r="F4656" s="49">
        <v>45699</v>
      </c>
      <c r="G4656" s="49">
        <v>45706</v>
      </c>
      <c r="H4656" s="49">
        <v>45712</v>
      </c>
      <c r="I4656" s="49">
        <v>45716</v>
      </c>
      <c r="J4656" t="s">
        <v>49</v>
      </c>
      <c r="K4656" s="33">
        <v>2700</v>
      </c>
      <c r="L4656" t="s">
        <v>61</v>
      </c>
      <c r="M4656" t="str">
        <f>_xlfn.XLOOKUP(Pipeline_tbl[[#This Row],[Rep_ID]],Dim_Reps!A:A,Dim_Reps!K:K)</f>
        <v>EUR</v>
      </c>
      <c r="N4656" s="33">
        <f>(_xlfn.XLOOKUP(Pipeline_tbl[[#This Row],[Rate_Code_Generalized]],Lookups!A:A,Lookups!B:B))*Pipeline_tbl[[#This Row],[Pipeline_Amount_USD]]</f>
        <v>2700</v>
      </c>
      <c r="O4656" t="str">
        <f>_xlfn.XLOOKUP(Pipeline_tbl[[#This Row],[Rep_ID]],Dim_Reps!A:A,Dim_Reps!B:B)</f>
        <v>Lea Weber</v>
      </c>
      <c r="P4656" t="str">
        <f>_xlfn.XLOOKUP(Pipeline_tbl[[#This Row],[Rep_ID]],Dim_Reps!A:A,Dim_Reps!C:C)</f>
        <v>SDR / Inside Sales Rep</v>
      </c>
      <c r="Q4656" t="str">
        <f>_xlfn.XLOOKUP(Pipeline_tbl[[#This Row],[Rep_ID]],Dim_Reps!A:A,Dim_Reps!D:D)</f>
        <v>Inside Sales</v>
      </c>
      <c r="R4656" t="str">
        <f>_xlfn.XLOOKUP(Pipeline_tbl[[#This Row],[Rep_ID]],Dim_Reps!A:A,Dim_Reps!E:E)</f>
        <v>EMEA</v>
      </c>
      <c r="S4656" t="str">
        <f>_xlfn.XLOOKUP(Pipeline_tbl[[#This Row],[Created_Date]],Dim_Date!A:A,Dim_Date!H:H)</f>
        <v>Feb 2025</v>
      </c>
      <c r="T4656" t="str">
        <f>IF(Pipeline_tbl[[#This Row],[Closed_Date]]=0,"",(_xlfn.XLOOKUP(Pipeline_tbl[[#This Row],[Closed_Date]],Dim_Date!A:A,Dim_Date!H:H)))</f>
        <v>Feb 2025</v>
      </c>
      <c r="U4656">
        <f>IF(Pipeline_tbl[[#This Row],[Closed_Date]]=0,"",Pipeline_tbl[[#This Row],[Closed_Date]]-Pipeline_tbl[[#This Row],[Created_Date]])</f>
        <v>24</v>
      </c>
    </row>
    <row r="4657" spans="1:21" ht="15" customHeight="1" x14ac:dyDescent="0.2">
      <c r="A4657" t="s">
        <v>4963</v>
      </c>
      <c r="B4657" t="s">
        <v>211</v>
      </c>
      <c r="C4657" t="s">
        <v>53</v>
      </c>
      <c r="D4657" s="49">
        <v>45691</v>
      </c>
      <c r="E4657" s="49">
        <v>45692</v>
      </c>
      <c r="F4657" s="49">
        <v>45695</v>
      </c>
      <c r="G4657" s="49">
        <v>45698</v>
      </c>
      <c r="H4657" s="49">
        <v>45701</v>
      </c>
      <c r="I4657" s="49">
        <v>45703</v>
      </c>
      <c r="J4657" t="s">
        <v>47</v>
      </c>
      <c r="K4657" s="33">
        <v>3200</v>
      </c>
      <c r="M4657" t="str">
        <f>_xlfn.XLOOKUP(Pipeline_tbl[[#This Row],[Rep_ID]],Dim_Reps!A:A,Dim_Reps!K:K)</f>
        <v>EUR</v>
      </c>
      <c r="N4657" s="33">
        <f>(_xlfn.XLOOKUP(Pipeline_tbl[[#This Row],[Rate_Code_Generalized]],Lookups!A:A,Lookups!B:B))*Pipeline_tbl[[#This Row],[Pipeline_Amount_USD]]</f>
        <v>3200</v>
      </c>
      <c r="O4657" t="str">
        <f>_xlfn.XLOOKUP(Pipeline_tbl[[#This Row],[Rep_ID]],Dim_Reps!A:A,Dim_Reps!B:B)</f>
        <v>Lea Weber</v>
      </c>
      <c r="P4657" t="str">
        <f>_xlfn.XLOOKUP(Pipeline_tbl[[#This Row],[Rep_ID]],Dim_Reps!A:A,Dim_Reps!C:C)</f>
        <v>SDR / Inside Sales Rep</v>
      </c>
      <c r="Q4657" t="str">
        <f>_xlfn.XLOOKUP(Pipeline_tbl[[#This Row],[Rep_ID]],Dim_Reps!A:A,Dim_Reps!D:D)</f>
        <v>Inside Sales</v>
      </c>
      <c r="R4657" t="str">
        <f>_xlfn.XLOOKUP(Pipeline_tbl[[#This Row],[Rep_ID]],Dim_Reps!A:A,Dim_Reps!E:E)</f>
        <v>EMEA</v>
      </c>
      <c r="S4657" t="str">
        <f>_xlfn.XLOOKUP(Pipeline_tbl[[#This Row],[Created_Date]],Dim_Date!A:A,Dim_Date!H:H)</f>
        <v>Feb 2025</v>
      </c>
      <c r="T4657" t="str">
        <f>IF(Pipeline_tbl[[#This Row],[Closed_Date]]=0,"",(_xlfn.XLOOKUP(Pipeline_tbl[[#This Row],[Closed_Date]],Dim_Date!A:A,Dim_Date!H:H)))</f>
        <v>Feb 2025</v>
      </c>
      <c r="U4657">
        <f>IF(Pipeline_tbl[[#This Row],[Closed_Date]]=0,"",Pipeline_tbl[[#This Row],[Closed_Date]]-Pipeline_tbl[[#This Row],[Created_Date]])</f>
        <v>12</v>
      </c>
    </row>
    <row r="4658" spans="1:21" ht="15" customHeight="1" x14ac:dyDescent="0.2">
      <c r="A4658" t="s">
        <v>4964</v>
      </c>
      <c r="B4658" t="s">
        <v>211</v>
      </c>
      <c r="C4658" t="s">
        <v>56</v>
      </c>
      <c r="D4658" s="49">
        <v>45694</v>
      </c>
      <c r="E4658" s="49">
        <v>45696</v>
      </c>
      <c r="F4658" s="49">
        <v>45700</v>
      </c>
      <c r="G4658" s="49">
        <v>45706</v>
      </c>
      <c r="H4658" s="49">
        <v>45711</v>
      </c>
      <c r="I4658" s="49">
        <v>45714</v>
      </c>
      <c r="J4658" t="s">
        <v>47</v>
      </c>
      <c r="K4658" s="33">
        <v>4500</v>
      </c>
      <c r="M4658" t="str">
        <f>_xlfn.XLOOKUP(Pipeline_tbl[[#This Row],[Rep_ID]],Dim_Reps!A:A,Dim_Reps!K:K)</f>
        <v>EUR</v>
      </c>
      <c r="N4658" s="33">
        <f>(_xlfn.XLOOKUP(Pipeline_tbl[[#This Row],[Rate_Code_Generalized]],Lookups!A:A,Lookups!B:B))*Pipeline_tbl[[#This Row],[Pipeline_Amount_USD]]</f>
        <v>4500</v>
      </c>
      <c r="O4658" t="str">
        <f>_xlfn.XLOOKUP(Pipeline_tbl[[#This Row],[Rep_ID]],Dim_Reps!A:A,Dim_Reps!B:B)</f>
        <v>Lea Weber</v>
      </c>
      <c r="P4658" t="str">
        <f>_xlfn.XLOOKUP(Pipeline_tbl[[#This Row],[Rep_ID]],Dim_Reps!A:A,Dim_Reps!C:C)</f>
        <v>SDR / Inside Sales Rep</v>
      </c>
      <c r="Q4658" t="str">
        <f>_xlfn.XLOOKUP(Pipeline_tbl[[#This Row],[Rep_ID]],Dim_Reps!A:A,Dim_Reps!D:D)</f>
        <v>Inside Sales</v>
      </c>
      <c r="R4658" t="str">
        <f>_xlfn.XLOOKUP(Pipeline_tbl[[#This Row],[Rep_ID]],Dim_Reps!A:A,Dim_Reps!E:E)</f>
        <v>EMEA</v>
      </c>
      <c r="S4658" t="str">
        <f>_xlfn.XLOOKUP(Pipeline_tbl[[#This Row],[Created_Date]],Dim_Date!A:A,Dim_Date!H:H)</f>
        <v>Feb 2025</v>
      </c>
      <c r="T4658" t="str">
        <f>IF(Pipeline_tbl[[#This Row],[Closed_Date]]=0,"",(_xlfn.XLOOKUP(Pipeline_tbl[[#This Row],[Closed_Date]],Dim_Date!A:A,Dim_Date!H:H)))</f>
        <v>Feb 2025</v>
      </c>
      <c r="U4658">
        <f>IF(Pipeline_tbl[[#This Row],[Closed_Date]]=0,"",Pipeline_tbl[[#This Row],[Closed_Date]]-Pipeline_tbl[[#This Row],[Created_Date]])</f>
        <v>20</v>
      </c>
    </row>
    <row r="4659" spans="1:21" ht="15" customHeight="1" x14ac:dyDescent="0.2">
      <c r="A4659" t="s">
        <v>4965</v>
      </c>
      <c r="B4659" t="s">
        <v>213</v>
      </c>
      <c r="C4659" t="s">
        <v>52</v>
      </c>
      <c r="D4659" s="49">
        <v>45695</v>
      </c>
      <c r="E4659" s="49">
        <v>45697</v>
      </c>
      <c r="F4659" s="49">
        <v>45700</v>
      </c>
      <c r="I4659" s="49">
        <v>45712</v>
      </c>
      <c r="J4659" t="s">
        <v>49</v>
      </c>
      <c r="K4659" s="33">
        <v>3300</v>
      </c>
      <c r="L4659" t="s">
        <v>60</v>
      </c>
      <c r="M4659" t="str">
        <f>_xlfn.XLOOKUP(Pipeline_tbl[[#This Row],[Rep_ID]],Dim_Reps!A:A,Dim_Reps!K:K)</f>
        <v>EUR</v>
      </c>
      <c r="N4659" s="33">
        <f>(_xlfn.XLOOKUP(Pipeline_tbl[[#This Row],[Rate_Code_Generalized]],Lookups!A:A,Lookups!B:B))*Pipeline_tbl[[#This Row],[Pipeline_Amount_USD]]</f>
        <v>3300</v>
      </c>
      <c r="O4659" t="str">
        <f>_xlfn.XLOOKUP(Pipeline_tbl[[#This Row],[Rep_ID]],Dim_Reps!A:A,Dim_Reps!B:B)</f>
        <v>Jamie Silva</v>
      </c>
      <c r="P4659" t="str">
        <f>_xlfn.XLOOKUP(Pipeline_tbl[[#This Row],[Rep_ID]],Dim_Reps!A:A,Dim_Reps!C:C)</f>
        <v>SDR / Inside Sales Rep</v>
      </c>
      <c r="Q4659" t="str">
        <f>_xlfn.XLOOKUP(Pipeline_tbl[[#This Row],[Rep_ID]],Dim_Reps!A:A,Dim_Reps!D:D)</f>
        <v>Inside Sales</v>
      </c>
      <c r="R4659" t="str">
        <f>_xlfn.XLOOKUP(Pipeline_tbl[[#This Row],[Rep_ID]],Dim_Reps!A:A,Dim_Reps!E:E)</f>
        <v>EMEA</v>
      </c>
      <c r="S4659" t="str">
        <f>_xlfn.XLOOKUP(Pipeline_tbl[[#This Row],[Created_Date]],Dim_Date!A:A,Dim_Date!H:H)</f>
        <v>Feb 2025</v>
      </c>
      <c r="T4659" t="str">
        <f>IF(Pipeline_tbl[[#This Row],[Closed_Date]]=0,"",(_xlfn.XLOOKUP(Pipeline_tbl[[#This Row],[Closed_Date]],Dim_Date!A:A,Dim_Date!H:H)))</f>
        <v>Feb 2025</v>
      </c>
      <c r="U4659">
        <f>IF(Pipeline_tbl[[#This Row],[Closed_Date]]=0,"",Pipeline_tbl[[#This Row],[Closed_Date]]-Pipeline_tbl[[#This Row],[Created_Date]])</f>
        <v>17</v>
      </c>
    </row>
    <row r="4660" spans="1:21" ht="15" customHeight="1" x14ac:dyDescent="0.2">
      <c r="A4660" t="s">
        <v>4966</v>
      </c>
      <c r="B4660" t="s">
        <v>213</v>
      </c>
      <c r="C4660" t="s">
        <v>52</v>
      </c>
      <c r="D4660" s="49">
        <v>45698</v>
      </c>
      <c r="E4660" s="49">
        <v>45700</v>
      </c>
      <c r="F4660" s="49">
        <v>45703</v>
      </c>
      <c r="G4660" s="49">
        <v>45708</v>
      </c>
      <c r="H4660" s="49">
        <v>45712</v>
      </c>
      <c r="I4660" s="49">
        <v>45715</v>
      </c>
      <c r="J4660" t="s">
        <v>49</v>
      </c>
      <c r="K4660" s="33">
        <v>3400</v>
      </c>
      <c r="L4660" t="s">
        <v>64</v>
      </c>
      <c r="M4660" t="str">
        <f>_xlfn.XLOOKUP(Pipeline_tbl[[#This Row],[Rep_ID]],Dim_Reps!A:A,Dim_Reps!K:K)</f>
        <v>EUR</v>
      </c>
      <c r="N4660" s="33">
        <f>(_xlfn.XLOOKUP(Pipeline_tbl[[#This Row],[Rate_Code_Generalized]],Lookups!A:A,Lookups!B:B))*Pipeline_tbl[[#This Row],[Pipeline_Amount_USD]]</f>
        <v>3400</v>
      </c>
      <c r="O4660" t="str">
        <f>_xlfn.XLOOKUP(Pipeline_tbl[[#This Row],[Rep_ID]],Dim_Reps!A:A,Dim_Reps!B:B)</f>
        <v>Jamie Silva</v>
      </c>
      <c r="P4660" t="str">
        <f>_xlfn.XLOOKUP(Pipeline_tbl[[#This Row],[Rep_ID]],Dim_Reps!A:A,Dim_Reps!C:C)</f>
        <v>SDR / Inside Sales Rep</v>
      </c>
      <c r="Q4660" t="str">
        <f>_xlfn.XLOOKUP(Pipeline_tbl[[#This Row],[Rep_ID]],Dim_Reps!A:A,Dim_Reps!D:D)</f>
        <v>Inside Sales</v>
      </c>
      <c r="R4660" t="str">
        <f>_xlfn.XLOOKUP(Pipeline_tbl[[#This Row],[Rep_ID]],Dim_Reps!A:A,Dim_Reps!E:E)</f>
        <v>EMEA</v>
      </c>
      <c r="S4660" t="str">
        <f>_xlfn.XLOOKUP(Pipeline_tbl[[#This Row],[Created_Date]],Dim_Date!A:A,Dim_Date!H:H)</f>
        <v>Feb 2025</v>
      </c>
      <c r="T4660" t="str">
        <f>IF(Pipeline_tbl[[#This Row],[Closed_Date]]=0,"",(_xlfn.XLOOKUP(Pipeline_tbl[[#This Row],[Closed_Date]],Dim_Date!A:A,Dim_Date!H:H)))</f>
        <v>Feb 2025</v>
      </c>
      <c r="U4660">
        <f>IF(Pipeline_tbl[[#This Row],[Closed_Date]]=0,"",Pipeline_tbl[[#This Row],[Closed_Date]]-Pipeline_tbl[[#This Row],[Created_Date]])</f>
        <v>17</v>
      </c>
    </row>
    <row r="4661" spans="1:21" ht="15" customHeight="1" x14ac:dyDescent="0.2">
      <c r="A4661" t="s">
        <v>4967</v>
      </c>
      <c r="B4661" t="s">
        <v>213</v>
      </c>
      <c r="C4661" t="s">
        <v>55</v>
      </c>
      <c r="D4661" s="49">
        <v>45700</v>
      </c>
      <c r="E4661" s="49">
        <v>45701</v>
      </c>
      <c r="F4661" s="49">
        <v>45704</v>
      </c>
      <c r="G4661" s="49">
        <v>45708</v>
      </c>
      <c r="H4661" s="49">
        <v>45711</v>
      </c>
      <c r="I4661" s="49">
        <v>45713</v>
      </c>
      <c r="J4661" t="s">
        <v>47</v>
      </c>
      <c r="K4661" s="33">
        <v>2700</v>
      </c>
      <c r="M4661" t="str">
        <f>_xlfn.XLOOKUP(Pipeline_tbl[[#This Row],[Rep_ID]],Dim_Reps!A:A,Dim_Reps!K:K)</f>
        <v>EUR</v>
      </c>
      <c r="N4661" s="33">
        <f>(_xlfn.XLOOKUP(Pipeline_tbl[[#This Row],[Rate_Code_Generalized]],Lookups!A:A,Lookups!B:B))*Pipeline_tbl[[#This Row],[Pipeline_Amount_USD]]</f>
        <v>2700</v>
      </c>
      <c r="O4661" t="str">
        <f>_xlfn.XLOOKUP(Pipeline_tbl[[#This Row],[Rep_ID]],Dim_Reps!A:A,Dim_Reps!B:B)</f>
        <v>Jamie Silva</v>
      </c>
      <c r="P4661" t="str">
        <f>_xlfn.XLOOKUP(Pipeline_tbl[[#This Row],[Rep_ID]],Dim_Reps!A:A,Dim_Reps!C:C)</f>
        <v>SDR / Inside Sales Rep</v>
      </c>
      <c r="Q4661" t="str">
        <f>_xlfn.XLOOKUP(Pipeline_tbl[[#This Row],[Rep_ID]],Dim_Reps!A:A,Dim_Reps!D:D)</f>
        <v>Inside Sales</v>
      </c>
      <c r="R4661" t="str">
        <f>_xlfn.XLOOKUP(Pipeline_tbl[[#This Row],[Rep_ID]],Dim_Reps!A:A,Dim_Reps!E:E)</f>
        <v>EMEA</v>
      </c>
      <c r="S4661" t="str">
        <f>_xlfn.XLOOKUP(Pipeline_tbl[[#This Row],[Created_Date]],Dim_Date!A:A,Dim_Date!H:H)</f>
        <v>Feb 2025</v>
      </c>
      <c r="T4661" t="str">
        <f>IF(Pipeline_tbl[[#This Row],[Closed_Date]]=0,"",(_xlfn.XLOOKUP(Pipeline_tbl[[#This Row],[Closed_Date]],Dim_Date!A:A,Dim_Date!H:H)))</f>
        <v>Feb 2025</v>
      </c>
      <c r="U4661">
        <f>IF(Pipeline_tbl[[#This Row],[Closed_Date]]=0,"",Pipeline_tbl[[#This Row],[Closed_Date]]-Pipeline_tbl[[#This Row],[Created_Date]])</f>
        <v>13</v>
      </c>
    </row>
    <row r="4662" spans="1:21" ht="15" customHeight="1" x14ac:dyDescent="0.2">
      <c r="A4662" t="s">
        <v>4968</v>
      </c>
      <c r="B4662" t="s">
        <v>213</v>
      </c>
      <c r="C4662" t="s">
        <v>52</v>
      </c>
      <c r="D4662" s="49">
        <v>45690</v>
      </c>
      <c r="E4662" s="49">
        <v>45692</v>
      </c>
      <c r="F4662" s="49">
        <v>45697</v>
      </c>
      <c r="G4662" s="49">
        <v>45703</v>
      </c>
      <c r="H4662" s="49">
        <v>45709</v>
      </c>
      <c r="I4662" s="49">
        <v>45712</v>
      </c>
      <c r="J4662" t="s">
        <v>49</v>
      </c>
      <c r="K4662" s="33">
        <v>7400</v>
      </c>
      <c r="L4662" t="s">
        <v>63</v>
      </c>
      <c r="M4662" t="str">
        <f>_xlfn.XLOOKUP(Pipeline_tbl[[#This Row],[Rep_ID]],Dim_Reps!A:A,Dim_Reps!K:K)</f>
        <v>EUR</v>
      </c>
      <c r="N4662" s="33">
        <f>(_xlfn.XLOOKUP(Pipeline_tbl[[#This Row],[Rate_Code_Generalized]],Lookups!A:A,Lookups!B:B))*Pipeline_tbl[[#This Row],[Pipeline_Amount_USD]]</f>
        <v>7400</v>
      </c>
      <c r="O4662" t="str">
        <f>_xlfn.XLOOKUP(Pipeline_tbl[[#This Row],[Rep_ID]],Dim_Reps!A:A,Dim_Reps!B:B)</f>
        <v>Jamie Silva</v>
      </c>
      <c r="P4662" t="str">
        <f>_xlfn.XLOOKUP(Pipeline_tbl[[#This Row],[Rep_ID]],Dim_Reps!A:A,Dim_Reps!C:C)</f>
        <v>SDR / Inside Sales Rep</v>
      </c>
      <c r="Q4662" t="str">
        <f>_xlfn.XLOOKUP(Pipeline_tbl[[#This Row],[Rep_ID]],Dim_Reps!A:A,Dim_Reps!D:D)</f>
        <v>Inside Sales</v>
      </c>
      <c r="R4662" t="str">
        <f>_xlfn.XLOOKUP(Pipeline_tbl[[#This Row],[Rep_ID]],Dim_Reps!A:A,Dim_Reps!E:E)</f>
        <v>EMEA</v>
      </c>
      <c r="S4662" t="str">
        <f>_xlfn.XLOOKUP(Pipeline_tbl[[#This Row],[Created_Date]],Dim_Date!A:A,Dim_Date!H:H)</f>
        <v>Feb 2025</v>
      </c>
      <c r="T4662" t="str">
        <f>IF(Pipeline_tbl[[#This Row],[Closed_Date]]=0,"",(_xlfn.XLOOKUP(Pipeline_tbl[[#This Row],[Closed_Date]],Dim_Date!A:A,Dim_Date!H:H)))</f>
        <v>Feb 2025</v>
      </c>
      <c r="U4662">
        <f>IF(Pipeline_tbl[[#This Row],[Closed_Date]]=0,"",Pipeline_tbl[[#This Row],[Closed_Date]]-Pipeline_tbl[[#This Row],[Created_Date]])</f>
        <v>22</v>
      </c>
    </row>
    <row r="4663" spans="1:21" ht="15" customHeight="1" x14ac:dyDescent="0.2">
      <c r="A4663" t="s">
        <v>4969</v>
      </c>
      <c r="B4663" t="s">
        <v>213</v>
      </c>
      <c r="C4663" t="s">
        <v>53</v>
      </c>
      <c r="D4663" s="49">
        <v>45709</v>
      </c>
      <c r="E4663" s="49">
        <v>45710</v>
      </c>
      <c r="F4663" s="49">
        <v>45711</v>
      </c>
      <c r="I4663" s="49">
        <v>45716</v>
      </c>
      <c r="J4663" t="s">
        <v>49</v>
      </c>
      <c r="K4663" s="33">
        <v>3000</v>
      </c>
      <c r="L4663" t="s">
        <v>60</v>
      </c>
      <c r="M4663" t="str">
        <f>_xlfn.XLOOKUP(Pipeline_tbl[[#This Row],[Rep_ID]],Dim_Reps!A:A,Dim_Reps!K:K)</f>
        <v>EUR</v>
      </c>
      <c r="N4663" s="33">
        <f>(_xlfn.XLOOKUP(Pipeline_tbl[[#This Row],[Rate_Code_Generalized]],Lookups!A:A,Lookups!B:B))*Pipeline_tbl[[#This Row],[Pipeline_Amount_USD]]</f>
        <v>3000</v>
      </c>
      <c r="O4663" t="str">
        <f>_xlfn.XLOOKUP(Pipeline_tbl[[#This Row],[Rep_ID]],Dim_Reps!A:A,Dim_Reps!B:B)</f>
        <v>Jamie Silva</v>
      </c>
      <c r="P4663" t="str">
        <f>_xlfn.XLOOKUP(Pipeline_tbl[[#This Row],[Rep_ID]],Dim_Reps!A:A,Dim_Reps!C:C)</f>
        <v>SDR / Inside Sales Rep</v>
      </c>
      <c r="Q4663" t="str">
        <f>_xlfn.XLOOKUP(Pipeline_tbl[[#This Row],[Rep_ID]],Dim_Reps!A:A,Dim_Reps!D:D)</f>
        <v>Inside Sales</v>
      </c>
      <c r="R4663" t="str">
        <f>_xlfn.XLOOKUP(Pipeline_tbl[[#This Row],[Rep_ID]],Dim_Reps!A:A,Dim_Reps!E:E)</f>
        <v>EMEA</v>
      </c>
      <c r="S4663" t="str">
        <f>_xlfn.XLOOKUP(Pipeline_tbl[[#This Row],[Created_Date]],Dim_Date!A:A,Dim_Date!H:H)</f>
        <v>Feb 2025</v>
      </c>
      <c r="T4663" t="str">
        <f>IF(Pipeline_tbl[[#This Row],[Closed_Date]]=0,"",(_xlfn.XLOOKUP(Pipeline_tbl[[#This Row],[Closed_Date]],Dim_Date!A:A,Dim_Date!H:H)))</f>
        <v>Feb 2025</v>
      </c>
      <c r="U4663">
        <f>IF(Pipeline_tbl[[#This Row],[Closed_Date]]=0,"",Pipeline_tbl[[#This Row],[Closed_Date]]-Pipeline_tbl[[#This Row],[Created_Date]])</f>
        <v>7</v>
      </c>
    </row>
    <row r="4664" spans="1:21" ht="15" customHeight="1" x14ac:dyDescent="0.2">
      <c r="A4664" t="s">
        <v>4970</v>
      </c>
      <c r="B4664" t="s">
        <v>213</v>
      </c>
      <c r="C4664" t="s">
        <v>52</v>
      </c>
      <c r="D4664" s="49">
        <v>45699</v>
      </c>
      <c r="E4664" s="49">
        <v>45700</v>
      </c>
      <c r="F4664" s="49">
        <v>45702</v>
      </c>
      <c r="G4664" s="49">
        <v>45706</v>
      </c>
      <c r="H4664" s="49">
        <v>45708</v>
      </c>
      <c r="I4664" s="49">
        <v>45710</v>
      </c>
      <c r="J4664" t="s">
        <v>49</v>
      </c>
      <c r="K4664" s="33">
        <v>2600</v>
      </c>
      <c r="L4664" t="s">
        <v>63</v>
      </c>
      <c r="M4664" t="str">
        <f>_xlfn.XLOOKUP(Pipeline_tbl[[#This Row],[Rep_ID]],Dim_Reps!A:A,Dim_Reps!K:K)</f>
        <v>EUR</v>
      </c>
      <c r="N4664" s="33">
        <f>(_xlfn.XLOOKUP(Pipeline_tbl[[#This Row],[Rate_Code_Generalized]],Lookups!A:A,Lookups!B:B))*Pipeline_tbl[[#This Row],[Pipeline_Amount_USD]]</f>
        <v>2600</v>
      </c>
      <c r="O4664" t="str">
        <f>_xlfn.XLOOKUP(Pipeline_tbl[[#This Row],[Rep_ID]],Dim_Reps!A:A,Dim_Reps!B:B)</f>
        <v>Jamie Silva</v>
      </c>
      <c r="P4664" t="str">
        <f>_xlfn.XLOOKUP(Pipeline_tbl[[#This Row],[Rep_ID]],Dim_Reps!A:A,Dim_Reps!C:C)</f>
        <v>SDR / Inside Sales Rep</v>
      </c>
      <c r="Q4664" t="str">
        <f>_xlfn.XLOOKUP(Pipeline_tbl[[#This Row],[Rep_ID]],Dim_Reps!A:A,Dim_Reps!D:D)</f>
        <v>Inside Sales</v>
      </c>
      <c r="R4664" t="str">
        <f>_xlfn.XLOOKUP(Pipeline_tbl[[#This Row],[Rep_ID]],Dim_Reps!A:A,Dim_Reps!E:E)</f>
        <v>EMEA</v>
      </c>
      <c r="S4664" t="str">
        <f>_xlfn.XLOOKUP(Pipeline_tbl[[#This Row],[Created_Date]],Dim_Date!A:A,Dim_Date!H:H)</f>
        <v>Feb 2025</v>
      </c>
      <c r="T4664" t="str">
        <f>IF(Pipeline_tbl[[#This Row],[Closed_Date]]=0,"",(_xlfn.XLOOKUP(Pipeline_tbl[[#This Row],[Closed_Date]],Dim_Date!A:A,Dim_Date!H:H)))</f>
        <v>Feb 2025</v>
      </c>
      <c r="U4664">
        <f>IF(Pipeline_tbl[[#This Row],[Closed_Date]]=0,"",Pipeline_tbl[[#This Row],[Closed_Date]]-Pipeline_tbl[[#This Row],[Created_Date]])</f>
        <v>11</v>
      </c>
    </row>
    <row r="4665" spans="1:21" ht="15" customHeight="1" x14ac:dyDescent="0.2">
      <c r="A4665" t="s">
        <v>4971</v>
      </c>
      <c r="B4665" t="s">
        <v>213</v>
      </c>
      <c r="C4665" t="s">
        <v>56</v>
      </c>
      <c r="D4665" s="49">
        <v>45697</v>
      </c>
      <c r="E4665" s="49">
        <v>45698</v>
      </c>
      <c r="F4665" s="49">
        <v>45701</v>
      </c>
      <c r="G4665" s="49">
        <v>45704</v>
      </c>
      <c r="H4665" s="49">
        <v>45707</v>
      </c>
      <c r="I4665" s="49">
        <v>45709</v>
      </c>
      <c r="J4665" t="s">
        <v>47</v>
      </c>
      <c r="K4665" s="33">
        <v>2000</v>
      </c>
      <c r="M4665" t="str">
        <f>_xlfn.XLOOKUP(Pipeline_tbl[[#This Row],[Rep_ID]],Dim_Reps!A:A,Dim_Reps!K:K)</f>
        <v>EUR</v>
      </c>
      <c r="N4665" s="33">
        <f>(_xlfn.XLOOKUP(Pipeline_tbl[[#This Row],[Rate_Code_Generalized]],Lookups!A:A,Lookups!B:B))*Pipeline_tbl[[#This Row],[Pipeline_Amount_USD]]</f>
        <v>2000</v>
      </c>
      <c r="O4665" t="str">
        <f>_xlfn.XLOOKUP(Pipeline_tbl[[#This Row],[Rep_ID]],Dim_Reps!A:A,Dim_Reps!B:B)</f>
        <v>Jamie Silva</v>
      </c>
      <c r="P4665" t="str">
        <f>_xlfn.XLOOKUP(Pipeline_tbl[[#This Row],[Rep_ID]],Dim_Reps!A:A,Dim_Reps!C:C)</f>
        <v>SDR / Inside Sales Rep</v>
      </c>
      <c r="Q4665" t="str">
        <f>_xlfn.XLOOKUP(Pipeline_tbl[[#This Row],[Rep_ID]],Dim_Reps!A:A,Dim_Reps!D:D)</f>
        <v>Inside Sales</v>
      </c>
      <c r="R4665" t="str">
        <f>_xlfn.XLOOKUP(Pipeline_tbl[[#This Row],[Rep_ID]],Dim_Reps!A:A,Dim_Reps!E:E)</f>
        <v>EMEA</v>
      </c>
      <c r="S4665" t="str">
        <f>_xlfn.XLOOKUP(Pipeline_tbl[[#This Row],[Created_Date]],Dim_Date!A:A,Dim_Date!H:H)</f>
        <v>Feb 2025</v>
      </c>
      <c r="T4665" t="str">
        <f>IF(Pipeline_tbl[[#This Row],[Closed_Date]]=0,"",(_xlfn.XLOOKUP(Pipeline_tbl[[#This Row],[Closed_Date]],Dim_Date!A:A,Dim_Date!H:H)))</f>
        <v>Feb 2025</v>
      </c>
      <c r="U4665">
        <f>IF(Pipeline_tbl[[#This Row],[Closed_Date]]=0,"",Pipeline_tbl[[#This Row],[Closed_Date]]-Pipeline_tbl[[#This Row],[Created_Date]])</f>
        <v>12</v>
      </c>
    </row>
    <row r="4666" spans="1:21" ht="15" customHeight="1" x14ac:dyDescent="0.2">
      <c r="A4666" t="s">
        <v>4972</v>
      </c>
      <c r="B4666" t="s">
        <v>213</v>
      </c>
      <c r="C4666" t="s">
        <v>55</v>
      </c>
      <c r="D4666" s="49">
        <v>45692</v>
      </c>
      <c r="E4666" s="49">
        <v>45694</v>
      </c>
      <c r="F4666" s="49">
        <v>45699</v>
      </c>
      <c r="G4666" s="49">
        <v>45705</v>
      </c>
      <c r="I4666" s="49">
        <v>45714</v>
      </c>
      <c r="J4666" t="s">
        <v>49</v>
      </c>
      <c r="K4666" s="33">
        <v>2100</v>
      </c>
      <c r="L4666" t="s">
        <v>61</v>
      </c>
      <c r="M4666" t="str">
        <f>_xlfn.XLOOKUP(Pipeline_tbl[[#This Row],[Rep_ID]],Dim_Reps!A:A,Dim_Reps!K:K)</f>
        <v>EUR</v>
      </c>
      <c r="N4666" s="33">
        <f>(_xlfn.XLOOKUP(Pipeline_tbl[[#This Row],[Rate_Code_Generalized]],Lookups!A:A,Lookups!B:B))*Pipeline_tbl[[#This Row],[Pipeline_Amount_USD]]</f>
        <v>2100</v>
      </c>
      <c r="O4666" t="str">
        <f>_xlfn.XLOOKUP(Pipeline_tbl[[#This Row],[Rep_ID]],Dim_Reps!A:A,Dim_Reps!B:B)</f>
        <v>Jamie Silva</v>
      </c>
      <c r="P4666" t="str">
        <f>_xlfn.XLOOKUP(Pipeline_tbl[[#This Row],[Rep_ID]],Dim_Reps!A:A,Dim_Reps!C:C)</f>
        <v>SDR / Inside Sales Rep</v>
      </c>
      <c r="Q4666" t="str">
        <f>_xlfn.XLOOKUP(Pipeline_tbl[[#This Row],[Rep_ID]],Dim_Reps!A:A,Dim_Reps!D:D)</f>
        <v>Inside Sales</v>
      </c>
      <c r="R4666" t="str">
        <f>_xlfn.XLOOKUP(Pipeline_tbl[[#This Row],[Rep_ID]],Dim_Reps!A:A,Dim_Reps!E:E)</f>
        <v>EMEA</v>
      </c>
      <c r="S4666" t="str">
        <f>_xlfn.XLOOKUP(Pipeline_tbl[[#This Row],[Created_Date]],Dim_Date!A:A,Dim_Date!H:H)</f>
        <v>Feb 2025</v>
      </c>
      <c r="T4666" t="str">
        <f>IF(Pipeline_tbl[[#This Row],[Closed_Date]]=0,"",(_xlfn.XLOOKUP(Pipeline_tbl[[#This Row],[Closed_Date]],Dim_Date!A:A,Dim_Date!H:H)))</f>
        <v>Feb 2025</v>
      </c>
      <c r="U4666">
        <f>IF(Pipeline_tbl[[#This Row],[Closed_Date]]=0,"",Pipeline_tbl[[#This Row],[Closed_Date]]-Pipeline_tbl[[#This Row],[Created_Date]])</f>
        <v>22</v>
      </c>
    </row>
    <row r="4667" spans="1:21" ht="15" customHeight="1" x14ac:dyDescent="0.2">
      <c r="A4667" t="s">
        <v>4973</v>
      </c>
      <c r="B4667" t="s">
        <v>215</v>
      </c>
      <c r="C4667" t="s">
        <v>52</v>
      </c>
      <c r="D4667" s="49">
        <v>45699</v>
      </c>
      <c r="E4667" s="49">
        <v>45700</v>
      </c>
      <c r="F4667" s="49">
        <v>45702</v>
      </c>
      <c r="G4667" s="49">
        <v>45706</v>
      </c>
      <c r="H4667" s="49">
        <v>45708</v>
      </c>
      <c r="I4667" s="49">
        <v>45710</v>
      </c>
      <c r="J4667" t="s">
        <v>47</v>
      </c>
      <c r="K4667" s="33">
        <v>6500</v>
      </c>
      <c r="M4667" t="str">
        <f>_xlfn.XLOOKUP(Pipeline_tbl[[#This Row],[Rep_ID]],Dim_Reps!A:A,Dim_Reps!K:K)</f>
        <v>EUR</v>
      </c>
      <c r="N4667" s="33">
        <f>(_xlfn.XLOOKUP(Pipeline_tbl[[#This Row],[Rate_Code_Generalized]],Lookups!A:A,Lookups!B:B))*Pipeline_tbl[[#This Row],[Pipeline_Amount_USD]]</f>
        <v>6500</v>
      </c>
      <c r="O4667" t="str">
        <f>_xlfn.XLOOKUP(Pipeline_tbl[[#This Row],[Rep_ID]],Dim_Reps!A:A,Dim_Reps!B:B)</f>
        <v>Jamie Schmidt</v>
      </c>
      <c r="P4667" t="str">
        <f>_xlfn.XLOOKUP(Pipeline_tbl[[#This Row],[Rep_ID]],Dim_Reps!A:A,Dim_Reps!C:C)</f>
        <v>SDR / Inside Sales Rep</v>
      </c>
      <c r="Q4667" t="str">
        <f>_xlfn.XLOOKUP(Pipeline_tbl[[#This Row],[Rep_ID]],Dim_Reps!A:A,Dim_Reps!D:D)</f>
        <v>Inside Sales</v>
      </c>
      <c r="R4667" t="str">
        <f>_xlfn.XLOOKUP(Pipeline_tbl[[#This Row],[Rep_ID]],Dim_Reps!A:A,Dim_Reps!E:E)</f>
        <v>APAC</v>
      </c>
      <c r="S4667" t="str">
        <f>_xlfn.XLOOKUP(Pipeline_tbl[[#This Row],[Created_Date]],Dim_Date!A:A,Dim_Date!H:H)</f>
        <v>Feb 2025</v>
      </c>
      <c r="T4667" t="str">
        <f>IF(Pipeline_tbl[[#This Row],[Closed_Date]]=0,"",(_xlfn.XLOOKUP(Pipeline_tbl[[#This Row],[Closed_Date]],Dim_Date!A:A,Dim_Date!H:H)))</f>
        <v>Feb 2025</v>
      </c>
      <c r="U4667">
        <f>IF(Pipeline_tbl[[#This Row],[Closed_Date]]=0,"",Pipeline_tbl[[#This Row],[Closed_Date]]-Pipeline_tbl[[#This Row],[Created_Date]])</f>
        <v>11</v>
      </c>
    </row>
    <row r="4668" spans="1:21" ht="15" customHeight="1" x14ac:dyDescent="0.2">
      <c r="A4668" t="s">
        <v>4974</v>
      </c>
      <c r="B4668" t="s">
        <v>215</v>
      </c>
      <c r="C4668" t="s">
        <v>52</v>
      </c>
      <c r="D4668" s="49">
        <v>45690</v>
      </c>
      <c r="E4668" s="49">
        <v>45692</v>
      </c>
      <c r="F4668" s="49">
        <v>45695</v>
      </c>
      <c r="G4668" s="49">
        <v>45699</v>
      </c>
      <c r="H4668" s="49">
        <v>45703</v>
      </c>
      <c r="I4668" s="49">
        <v>45705</v>
      </c>
      <c r="J4668" t="s">
        <v>47</v>
      </c>
      <c r="K4668" s="33">
        <v>1300</v>
      </c>
      <c r="M4668" t="str">
        <f>_xlfn.XLOOKUP(Pipeline_tbl[[#This Row],[Rep_ID]],Dim_Reps!A:A,Dim_Reps!K:K)</f>
        <v>EUR</v>
      </c>
      <c r="N4668" s="33">
        <f>(_xlfn.XLOOKUP(Pipeline_tbl[[#This Row],[Rate_Code_Generalized]],Lookups!A:A,Lookups!B:B))*Pipeline_tbl[[#This Row],[Pipeline_Amount_USD]]</f>
        <v>1300</v>
      </c>
      <c r="O4668" t="str">
        <f>_xlfn.XLOOKUP(Pipeline_tbl[[#This Row],[Rep_ID]],Dim_Reps!A:A,Dim_Reps!B:B)</f>
        <v>Jamie Schmidt</v>
      </c>
      <c r="P4668" t="str">
        <f>_xlfn.XLOOKUP(Pipeline_tbl[[#This Row],[Rep_ID]],Dim_Reps!A:A,Dim_Reps!C:C)</f>
        <v>SDR / Inside Sales Rep</v>
      </c>
      <c r="Q4668" t="str">
        <f>_xlfn.XLOOKUP(Pipeline_tbl[[#This Row],[Rep_ID]],Dim_Reps!A:A,Dim_Reps!D:D)</f>
        <v>Inside Sales</v>
      </c>
      <c r="R4668" t="str">
        <f>_xlfn.XLOOKUP(Pipeline_tbl[[#This Row],[Rep_ID]],Dim_Reps!A:A,Dim_Reps!E:E)</f>
        <v>APAC</v>
      </c>
      <c r="S4668" t="str">
        <f>_xlfn.XLOOKUP(Pipeline_tbl[[#This Row],[Created_Date]],Dim_Date!A:A,Dim_Date!H:H)</f>
        <v>Feb 2025</v>
      </c>
      <c r="T4668" t="str">
        <f>IF(Pipeline_tbl[[#This Row],[Closed_Date]]=0,"",(_xlfn.XLOOKUP(Pipeline_tbl[[#This Row],[Closed_Date]],Dim_Date!A:A,Dim_Date!H:H)))</f>
        <v>Feb 2025</v>
      </c>
      <c r="U4668">
        <f>IF(Pipeline_tbl[[#This Row],[Closed_Date]]=0,"",Pipeline_tbl[[#This Row],[Closed_Date]]-Pipeline_tbl[[#This Row],[Created_Date]])</f>
        <v>15</v>
      </c>
    </row>
    <row r="4669" spans="1:21" ht="15" customHeight="1" x14ac:dyDescent="0.2">
      <c r="A4669" t="s">
        <v>4975</v>
      </c>
      <c r="B4669" t="s">
        <v>217</v>
      </c>
      <c r="C4669" t="s">
        <v>55</v>
      </c>
      <c r="D4669" s="49">
        <v>45693</v>
      </c>
      <c r="E4669" s="49">
        <v>45695</v>
      </c>
      <c r="F4669" s="49">
        <v>45700</v>
      </c>
      <c r="G4669" s="49">
        <v>45707</v>
      </c>
      <c r="H4669" s="49">
        <v>45713</v>
      </c>
      <c r="I4669" s="49">
        <v>45716</v>
      </c>
      <c r="J4669" t="s">
        <v>47</v>
      </c>
      <c r="K4669" s="33">
        <v>5300</v>
      </c>
      <c r="M4669" t="str">
        <f>_xlfn.XLOOKUP(Pipeline_tbl[[#This Row],[Rep_ID]],Dim_Reps!A:A,Dim_Reps!K:K)</f>
        <v>USD</v>
      </c>
      <c r="N4669" s="33">
        <f>(_xlfn.XLOOKUP(Pipeline_tbl[[#This Row],[Rate_Code_Generalized]],Lookups!A:A,Lookups!B:B))*Pipeline_tbl[[#This Row],[Pipeline_Amount_USD]]</f>
        <v>6170.7899999999991</v>
      </c>
      <c r="O4669" t="str">
        <f>_xlfn.XLOOKUP(Pipeline_tbl[[#This Row],[Rep_ID]],Dim_Reps!A:A,Dim_Reps!B:B)</f>
        <v>Priya Weber</v>
      </c>
      <c r="P4669" t="str">
        <f>_xlfn.XLOOKUP(Pipeline_tbl[[#This Row],[Rep_ID]],Dim_Reps!A:A,Dim_Reps!C:C)</f>
        <v>SDR / Inside Sales Rep</v>
      </c>
      <c r="Q4669" t="str">
        <f>_xlfn.XLOOKUP(Pipeline_tbl[[#This Row],[Rep_ID]],Dim_Reps!A:A,Dim_Reps!D:D)</f>
        <v>Inside Sales</v>
      </c>
      <c r="R4669" t="str">
        <f>_xlfn.XLOOKUP(Pipeline_tbl[[#This Row],[Rep_ID]],Dim_Reps!A:A,Dim_Reps!E:E)</f>
        <v>NAMER</v>
      </c>
      <c r="S4669" t="str">
        <f>_xlfn.XLOOKUP(Pipeline_tbl[[#This Row],[Created_Date]],Dim_Date!A:A,Dim_Date!H:H)</f>
        <v>Feb 2025</v>
      </c>
      <c r="T4669" t="str">
        <f>IF(Pipeline_tbl[[#This Row],[Closed_Date]]=0,"",(_xlfn.XLOOKUP(Pipeline_tbl[[#This Row],[Closed_Date]],Dim_Date!A:A,Dim_Date!H:H)))</f>
        <v>Feb 2025</v>
      </c>
      <c r="U4669">
        <f>IF(Pipeline_tbl[[#This Row],[Closed_Date]]=0,"",Pipeline_tbl[[#This Row],[Closed_Date]]-Pipeline_tbl[[#This Row],[Created_Date]])</f>
        <v>23</v>
      </c>
    </row>
    <row r="4670" spans="1:21" ht="15" customHeight="1" x14ac:dyDescent="0.2">
      <c r="A4670" t="s">
        <v>4976</v>
      </c>
      <c r="B4670" t="s">
        <v>217</v>
      </c>
      <c r="C4670" t="s">
        <v>53</v>
      </c>
      <c r="D4670" s="49">
        <v>45696</v>
      </c>
      <c r="E4670" s="49">
        <v>45697</v>
      </c>
      <c r="F4670" s="49">
        <v>45700</v>
      </c>
      <c r="G4670" s="49">
        <v>45704</v>
      </c>
      <c r="H4670" s="49">
        <v>45707</v>
      </c>
      <c r="I4670" s="49">
        <v>45709</v>
      </c>
      <c r="J4670" t="s">
        <v>49</v>
      </c>
      <c r="K4670" s="33">
        <v>5500</v>
      </c>
      <c r="L4670" t="s">
        <v>60</v>
      </c>
      <c r="M4670" t="str">
        <f>_xlfn.XLOOKUP(Pipeline_tbl[[#This Row],[Rep_ID]],Dim_Reps!A:A,Dim_Reps!K:K)</f>
        <v>USD</v>
      </c>
      <c r="N4670" s="33">
        <f>(_xlfn.XLOOKUP(Pipeline_tbl[[#This Row],[Rate_Code_Generalized]],Lookups!A:A,Lookups!B:B))*Pipeline_tbl[[#This Row],[Pipeline_Amount_USD]]</f>
        <v>6403.65</v>
      </c>
      <c r="O4670" t="str">
        <f>_xlfn.XLOOKUP(Pipeline_tbl[[#This Row],[Rep_ID]],Dim_Reps!A:A,Dim_Reps!B:B)</f>
        <v>Priya Weber</v>
      </c>
      <c r="P4670" t="str">
        <f>_xlfn.XLOOKUP(Pipeline_tbl[[#This Row],[Rep_ID]],Dim_Reps!A:A,Dim_Reps!C:C)</f>
        <v>SDR / Inside Sales Rep</v>
      </c>
      <c r="Q4670" t="str">
        <f>_xlfn.XLOOKUP(Pipeline_tbl[[#This Row],[Rep_ID]],Dim_Reps!A:A,Dim_Reps!D:D)</f>
        <v>Inside Sales</v>
      </c>
      <c r="R4670" t="str">
        <f>_xlfn.XLOOKUP(Pipeline_tbl[[#This Row],[Rep_ID]],Dim_Reps!A:A,Dim_Reps!E:E)</f>
        <v>NAMER</v>
      </c>
      <c r="S4670" t="str">
        <f>_xlfn.XLOOKUP(Pipeline_tbl[[#This Row],[Created_Date]],Dim_Date!A:A,Dim_Date!H:H)</f>
        <v>Feb 2025</v>
      </c>
      <c r="T4670" t="str">
        <f>IF(Pipeline_tbl[[#This Row],[Closed_Date]]=0,"",(_xlfn.XLOOKUP(Pipeline_tbl[[#This Row],[Closed_Date]],Dim_Date!A:A,Dim_Date!H:H)))</f>
        <v>Feb 2025</v>
      </c>
      <c r="U4670">
        <f>IF(Pipeline_tbl[[#This Row],[Closed_Date]]=0,"",Pipeline_tbl[[#This Row],[Closed_Date]]-Pipeline_tbl[[#This Row],[Created_Date]])</f>
        <v>13</v>
      </c>
    </row>
    <row r="4671" spans="1:21" ht="15" customHeight="1" x14ac:dyDescent="0.2">
      <c r="A4671" t="s">
        <v>4977</v>
      </c>
      <c r="B4671" t="s">
        <v>217</v>
      </c>
      <c r="C4671" t="s">
        <v>53</v>
      </c>
      <c r="D4671" s="49">
        <v>45690</v>
      </c>
      <c r="E4671" s="49">
        <v>45690</v>
      </c>
      <c r="F4671" s="49">
        <v>45692</v>
      </c>
      <c r="G4671" s="49">
        <v>45693</v>
      </c>
      <c r="H4671" s="49">
        <v>45694</v>
      </c>
      <c r="I4671" s="49">
        <v>45695</v>
      </c>
      <c r="J4671" t="s">
        <v>49</v>
      </c>
      <c r="K4671" s="33">
        <v>4200</v>
      </c>
      <c r="L4671" t="s">
        <v>61</v>
      </c>
      <c r="M4671" t="str">
        <f>_xlfn.XLOOKUP(Pipeline_tbl[[#This Row],[Rep_ID]],Dim_Reps!A:A,Dim_Reps!K:K)</f>
        <v>USD</v>
      </c>
      <c r="N4671" s="33">
        <f>(_xlfn.XLOOKUP(Pipeline_tbl[[#This Row],[Rate_Code_Generalized]],Lookups!A:A,Lookups!B:B))*Pipeline_tbl[[#This Row],[Pipeline_Amount_USD]]</f>
        <v>4890.0599999999995</v>
      </c>
      <c r="O4671" t="str">
        <f>_xlfn.XLOOKUP(Pipeline_tbl[[#This Row],[Rep_ID]],Dim_Reps!A:A,Dim_Reps!B:B)</f>
        <v>Priya Weber</v>
      </c>
      <c r="P4671" t="str">
        <f>_xlfn.XLOOKUP(Pipeline_tbl[[#This Row],[Rep_ID]],Dim_Reps!A:A,Dim_Reps!C:C)</f>
        <v>SDR / Inside Sales Rep</v>
      </c>
      <c r="Q4671" t="str">
        <f>_xlfn.XLOOKUP(Pipeline_tbl[[#This Row],[Rep_ID]],Dim_Reps!A:A,Dim_Reps!D:D)</f>
        <v>Inside Sales</v>
      </c>
      <c r="R4671" t="str">
        <f>_xlfn.XLOOKUP(Pipeline_tbl[[#This Row],[Rep_ID]],Dim_Reps!A:A,Dim_Reps!E:E)</f>
        <v>NAMER</v>
      </c>
      <c r="S4671" t="str">
        <f>_xlfn.XLOOKUP(Pipeline_tbl[[#This Row],[Created_Date]],Dim_Date!A:A,Dim_Date!H:H)</f>
        <v>Feb 2025</v>
      </c>
      <c r="T4671" t="str">
        <f>IF(Pipeline_tbl[[#This Row],[Closed_Date]]=0,"",(_xlfn.XLOOKUP(Pipeline_tbl[[#This Row],[Closed_Date]],Dim_Date!A:A,Dim_Date!H:H)))</f>
        <v>Feb 2025</v>
      </c>
      <c r="U4671">
        <f>IF(Pipeline_tbl[[#This Row],[Closed_Date]]=0,"",Pipeline_tbl[[#This Row],[Closed_Date]]-Pipeline_tbl[[#This Row],[Created_Date]])</f>
        <v>5</v>
      </c>
    </row>
    <row r="4672" spans="1:21" ht="15" customHeight="1" x14ac:dyDescent="0.2">
      <c r="A4672" t="s">
        <v>4978</v>
      </c>
      <c r="B4672" t="s">
        <v>217</v>
      </c>
      <c r="C4672" t="s">
        <v>54</v>
      </c>
      <c r="D4672" s="49">
        <v>45692</v>
      </c>
      <c r="E4672" s="49">
        <v>45694</v>
      </c>
      <c r="F4672" s="49">
        <v>45699</v>
      </c>
      <c r="G4672" s="49">
        <v>45705</v>
      </c>
      <c r="H4672" s="49">
        <v>45711</v>
      </c>
      <c r="I4672" s="49">
        <v>45714</v>
      </c>
      <c r="J4672" t="s">
        <v>47</v>
      </c>
      <c r="K4672" s="33">
        <v>2500</v>
      </c>
      <c r="M4672" t="str">
        <f>_xlfn.XLOOKUP(Pipeline_tbl[[#This Row],[Rep_ID]],Dim_Reps!A:A,Dim_Reps!K:K)</f>
        <v>USD</v>
      </c>
      <c r="N4672" s="33">
        <f>(_xlfn.XLOOKUP(Pipeline_tbl[[#This Row],[Rate_Code_Generalized]],Lookups!A:A,Lookups!B:B))*Pipeline_tbl[[#This Row],[Pipeline_Amount_USD]]</f>
        <v>2910.7499999999995</v>
      </c>
      <c r="O4672" t="str">
        <f>_xlfn.XLOOKUP(Pipeline_tbl[[#This Row],[Rep_ID]],Dim_Reps!A:A,Dim_Reps!B:B)</f>
        <v>Priya Weber</v>
      </c>
      <c r="P4672" t="str">
        <f>_xlfn.XLOOKUP(Pipeline_tbl[[#This Row],[Rep_ID]],Dim_Reps!A:A,Dim_Reps!C:C)</f>
        <v>SDR / Inside Sales Rep</v>
      </c>
      <c r="Q4672" t="str">
        <f>_xlfn.XLOOKUP(Pipeline_tbl[[#This Row],[Rep_ID]],Dim_Reps!A:A,Dim_Reps!D:D)</f>
        <v>Inside Sales</v>
      </c>
      <c r="R4672" t="str">
        <f>_xlfn.XLOOKUP(Pipeline_tbl[[#This Row],[Rep_ID]],Dim_Reps!A:A,Dim_Reps!E:E)</f>
        <v>NAMER</v>
      </c>
      <c r="S4672" t="str">
        <f>_xlfn.XLOOKUP(Pipeline_tbl[[#This Row],[Created_Date]],Dim_Date!A:A,Dim_Date!H:H)</f>
        <v>Feb 2025</v>
      </c>
      <c r="T4672" t="str">
        <f>IF(Pipeline_tbl[[#This Row],[Closed_Date]]=0,"",(_xlfn.XLOOKUP(Pipeline_tbl[[#This Row],[Closed_Date]],Dim_Date!A:A,Dim_Date!H:H)))</f>
        <v>Feb 2025</v>
      </c>
      <c r="U4672">
        <f>IF(Pipeline_tbl[[#This Row],[Closed_Date]]=0,"",Pipeline_tbl[[#This Row],[Closed_Date]]-Pipeline_tbl[[#This Row],[Created_Date]])</f>
        <v>22</v>
      </c>
    </row>
    <row r="4673" spans="1:21" ht="15" customHeight="1" x14ac:dyDescent="0.2">
      <c r="A4673" t="s">
        <v>4979</v>
      </c>
      <c r="B4673" t="s">
        <v>217</v>
      </c>
      <c r="C4673" t="s">
        <v>52</v>
      </c>
      <c r="D4673" s="49">
        <v>45695</v>
      </c>
      <c r="E4673" s="49">
        <v>45697</v>
      </c>
      <c r="F4673" s="49">
        <v>45700</v>
      </c>
      <c r="G4673" s="49">
        <v>45706</v>
      </c>
      <c r="I4673" s="49">
        <v>45713</v>
      </c>
      <c r="J4673" t="s">
        <v>49</v>
      </c>
      <c r="K4673" s="33">
        <v>1300</v>
      </c>
      <c r="L4673" t="s">
        <v>60</v>
      </c>
      <c r="M4673" t="str">
        <f>_xlfn.XLOOKUP(Pipeline_tbl[[#This Row],[Rep_ID]],Dim_Reps!A:A,Dim_Reps!K:K)</f>
        <v>USD</v>
      </c>
      <c r="N4673" s="33">
        <f>(_xlfn.XLOOKUP(Pipeline_tbl[[#This Row],[Rate_Code_Generalized]],Lookups!A:A,Lookups!B:B))*Pipeline_tbl[[#This Row],[Pipeline_Amount_USD]]</f>
        <v>1513.59</v>
      </c>
      <c r="O4673" t="str">
        <f>_xlfn.XLOOKUP(Pipeline_tbl[[#This Row],[Rep_ID]],Dim_Reps!A:A,Dim_Reps!B:B)</f>
        <v>Priya Weber</v>
      </c>
      <c r="P4673" t="str">
        <f>_xlfn.XLOOKUP(Pipeline_tbl[[#This Row],[Rep_ID]],Dim_Reps!A:A,Dim_Reps!C:C)</f>
        <v>SDR / Inside Sales Rep</v>
      </c>
      <c r="Q4673" t="str">
        <f>_xlfn.XLOOKUP(Pipeline_tbl[[#This Row],[Rep_ID]],Dim_Reps!A:A,Dim_Reps!D:D)</f>
        <v>Inside Sales</v>
      </c>
      <c r="R4673" t="str">
        <f>_xlfn.XLOOKUP(Pipeline_tbl[[#This Row],[Rep_ID]],Dim_Reps!A:A,Dim_Reps!E:E)</f>
        <v>NAMER</v>
      </c>
      <c r="S4673" t="str">
        <f>_xlfn.XLOOKUP(Pipeline_tbl[[#This Row],[Created_Date]],Dim_Date!A:A,Dim_Date!H:H)</f>
        <v>Feb 2025</v>
      </c>
      <c r="T4673" t="str">
        <f>IF(Pipeline_tbl[[#This Row],[Closed_Date]]=0,"",(_xlfn.XLOOKUP(Pipeline_tbl[[#This Row],[Closed_Date]],Dim_Date!A:A,Dim_Date!H:H)))</f>
        <v>Feb 2025</v>
      </c>
      <c r="U4673">
        <f>IF(Pipeline_tbl[[#This Row],[Closed_Date]]=0,"",Pipeline_tbl[[#This Row],[Closed_Date]]-Pipeline_tbl[[#This Row],[Created_Date]])</f>
        <v>18</v>
      </c>
    </row>
    <row r="4674" spans="1:21" ht="15" customHeight="1" x14ac:dyDescent="0.2">
      <c r="A4674" t="s">
        <v>4980</v>
      </c>
      <c r="B4674" t="s">
        <v>217</v>
      </c>
      <c r="C4674" t="s">
        <v>52</v>
      </c>
      <c r="D4674" s="49">
        <v>45689</v>
      </c>
      <c r="E4674" s="49">
        <v>45691</v>
      </c>
      <c r="F4674" s="49">
        <v>45696</v>
      </c>
      <c r="G4674" s="49">
        <v>45703</v>
      </c>
      <c r="H4674" s="49">
        <v>45709</v>
      </c>
      <c r="I4674" s="49">
        <v>45712</v>
      </c>
      <c r="J4674" t="s">
        <v>47</v>
      </c>
      <c r="K4674" s="33">
        <v>1200</v>
      </c>
      <c r="M4674" t="str">
        <f>_xlfn.XLOOKUP(Pipeline_tbl[[#This Row],[Rep_ID]],Dim_Reps!A:A,Dim_Reps!K:K)</f>
        <v>USD</v>
      </c>
      <c r="N4674" s="33">
        <f>(_xlfn.XLOOKUP(Pipeline_tbl[[#This Row],[Rate_Code_Generalized]],Lookups!A:A,Lookups!B:B))*Pipeline_tbl[[#This Row],[Pipeline_Amount_USD]]</f>
        <v>1397.1599999999999</v>
      </c>
      <c r="O4674" t="str">
        <f>_xlfn.XLOOKUP(Pipeline_tbl[[#This Row],[Rep_ID]],Dim_Reps!A:A,Dim_Reps!B:B)</f>
        <v>Priya Weber</v>
      </c>
      <c r="P4674" t="str">
        <f>_xlfn.XLOOKUP(Pipeline_tbl[[#This Row],[Rep_ID]],Dim_Reps!A:A,Dim_Reps!C:C)</f>
        <v>SDR / Inside Sales Rep</v>
      </c>
      <c r="Q4674" t="str">
        <f>_xlfn.XLOOKUP(Pipeline_tbl[[#This Row],[Rep_ID]],Dim_Reps!A:A,Dim_Reps!D:D)</f>
        <v>Inside Sales</v>
      </c>
      <c r="R4674" t="str">
        <f>_xlfn.XLOOKUP(Pipeline_tbl[[#This Row],[Rep_ID]],Dim_Reps!A:A,Dim_Reps!E:E)</f>
        <v>NAMER</v>
      </c>
      <c r="S4674" t="str">
        <f>_xlfn.XLOOKUP(Pipeline_tbl[[#This Row],[Created_Date]],Dim_Date!A:A,Dim_Date!H:H)</f>
        <v>Feb 2025</v>
      </c>
      <c r="T4674" t="str">
        <f>IF(Pipeline_tbl[[#This Row],[Closed_Date]]=0,"",(_xlfn.XLOOKUP(Pipeline_tbl[[#This Row],[Closed_Date]],Dim_Date!A:A,Dim_Date!H:H)))</f>
        <v>Feb 2025</v>
      </c>
      <c r="U4674">
        <f>IF(Pipeline_tbl[[#This Row],[Closed_Date]]=0,"",Pipeline_tbl[[#This Row],[Closed_Date]]-Pipeline_tbl[[#This Row],[Created_Date]])</f>
        <v>23</v>
      </c>
    </row>
    <row r="4675" spans="1:21" ht="15" customHeight="1" x14ac:dyDescent="0.2">
      <c r="A4675" t="s">
        <v>4981</v>
      </c>
      <c r="B4675" t="s">
        <v>217</v>
      </c>
      <c r="C4675" t="s">
        <v>55</v>
      </c>
      <c r="D4675" s="49">
        <v>45703</v>
      </c>
      <c r="E4675" s="49">
        <v>45704</v>
      </c>
      <c r="F4675" s="49">
        <v>45707</v>
      </c>
      <c r="G4675" s="49">
        <v>45710</v>
      </c>
      <c r="H4675" s="49">
        <v>45713</v>
      </c>
      <c r="I4675" s="49">
        <v>45715</v>
      </c>
      <c r="J4675" t="s">
        <v>49</v>
      </c>
      <c r="K4675" s="33">
        <v>4500</v>
      </c>
      <c r="L4675" t="s">
        <v>61</v>
      </c>
      <c r="M4675" t="str">
        <f>_xlfn.XLOOKUP(Pipeline_tbl[[#This Row],[Rep_ID]],Dim_Reps!A:A,Dim_Reps!K:K)</f>
        <v>USD</v>
      </c>
      <c r="N4675" s="33">
        <f>(_xlfn.XLOOKUP(Pipeline_tbl[[#This Row],[Rate_Code_Generalized]],Lookups!A:A,Lookups!B:B))*Pipeline_tbl[[#This Row],[Pipeline_Amount_USD]]</f>
        <v>5239.3499999999995</v>
      </c>
      <c r="O4675" t="str">
        <f>_xlfn.XLOOKUP(Pipeline_tbl[[#This Row],[Rep_ID]],Dim_Reps!A:A,Dim_Reps!B:B)</f>
        <v>Priya Weber</v>
      </c>
      <c r="P4675" t="str">
        <f>_xlfn.XLOOKUP(Pipeline_tbl[[#This Row],[Rep_ID]],Dim_Reps!A:A,Dim_Reps!C:C)</f>
        <v>SDR / Inside Sales Rep</v>
      </c>
      <c r="Q4675" t="str">
        <f>_xlfn.XLOOKUP(Pipeline_tbl[[#This Row],[Rep_ID]],Dim_Reps!A:A,Dim_Reps!D:D)</f>
        <v>Inside Sales</v>
      </c>
      <c r="R4675" t="str">
        <f>_xlfn.XLOOKUP(Pipeline_tbl[[#This Row],[Rep_ID]],Dim_Reps!A:A,Dim_Reps!E:E)</f>
        <v>NAMER</v>
      </c>
      <c r="S4675" t="str">
        <f>_xlfn.XLOOKUP(Pipeline_tbl[[#This Row],[Created_Date]],Dim_Date!A:A,Dim_Date!H:H)</f>
        <v>Feb 2025</v>
      </c>
      <c r="T4675" t="str">
        <f>IF(Pipeline_tbl[[#This Row],[Closed_Date]]=0,"",(_xlfn.XLOOKUP(Pipeline_tbl[[#This Row],[Closed_Date]],Dim_Date!A:A,Dim_Date!H:H)))</f>
        <v>Feb 2025</v>
      </c>
      <c r="U4675">
        <f>IF(Pipeline_tbl[[#This Row],[Closed_Date]]=0,"",Pipeline_tbl[[#This Row],[Closed_Date]]-Pipeline_tbl[[#This Row],[Created_Date]])</f>
        <v>12</v>
      </c>
    </row>
    <row r="4676" spans="1:21" ht="15" customHeight="1" x14ac:dyDescent="0.2">
      <c r="A4676" t="s">
        <v>4982</v>
      </c>
      <c r="B4676" t="s">
        <v>221</v>
      </c>
      <c r="C4676" t="s">
        <v>52</v>
      </c>
      <c r="D4676" s="49">
        <v>45695</v>
      </c>
      <c r="E4676" s="49">
        <v>45697</v>
      </c>
      <c r="F4676" s="49">
        <v>45700</v>
      </c>
      <c r="G4676" s="49">
        <v>45704</v>
      </c>
      <c r="I4676" s="49">
        <v>45710</v>
      </c>
      <c r="J4676" t="s">
        <v>49</v>
      </c>
      <c r="K4676" s="33">
        <v>2700</v>
      </c>
      <c r="L4676" t="s">
        <v>64</v>
      </c>
      <c r="M4676" t="str">
        <f>_xlfn.XLOOKUP(Pipeline_tbl[[#This Row],[Rep_ID]],Dim_Reps!A:A,Dim_Reps!K:K)</f>
        <v>MXN</v>
      </c>
      <c r="N4676" s="33">
        <f>(_xlfn.XLOOKUP(Pipeline_tbl[[#This Row],[Rate_Code_Generalized]],Lookups!A:A,Lookups!B:B))*Pipeline_tbl[[#This Row],[Pipeline_Amount_USD]]</f>
        <v>53278.29</v>
      </c>
      <c r="O4676" t="str">
        <f>_xlfn.XLOOKUP(Pipeline_tbl[[#This Row],[Rep_ID]],Dim_Reps!A:A,Dim_Reps!B:B)</f>
        <v>Casey Muller</v>
      </c>
      <c r="P4676" t="str">
        <f>_xlfn.XLOOKUP(Pipeline_tbl[[#This Row],[Rep_ID]],Dim_Reps!A:A,Dim_Reps!C:C)</f>
        <v>SDR / Inside Sales Rep</v>
      </c>
      <c r="Q4676" t="str">
        <f>_xlfn.XLOOKUP(Pipeline_tbl[[#This Row],[Rep_ID]],Dim_Reps!A:A,Dim_Reps!D:D)</f>
        <v>Inside Sales</v>
      </c>
      <c r="R4676" t="str">
        <f>_xlfn.XLOOKUP(Pipeline_tbl[[#This Row],[Rep_ID]],Dim_Reps!A:A,Dim_Reps!E:E)</f>
        <v>LATAM</v>
      </c>
      <c r="S4676" t="str">
        <f>_xlfn.XLOOKUP(Pipeline_tbl[[#This Row],[Created_Date]],Dim_Date!A:A,Dim_Date!H:H)</f>
        <v>Feb 2025</v>
      </c>
      <c r="T4676" t="str">
        <f>IF(Pipeline_tbl[[#This Row],[Closed_Date]]=0,"",(_xlfn.XLOOKUP(Pipeline_tbl[[#This Row],[Closed_Date]],Dim_Date!A:A,Dim_Date!H:H)))</f>
        <v>Feb 2025</v>
      </c>
      <c r="U4676">
        <f>IF(Pipeline_tbl[[#This Row],[Closed_Date]]=0,"",Pipeline_tbl[[#This Row],[Closed_Date]]-Pipeline_tbl[[#This Row],[Created_Date]])</f>
        <v>15</v>
      </c>
    </row>
    <row r="4677" spans="1:21" ht="15" customHeight="1" x14ac:dyDescent="0.2">
      <c r="A4677" t="s">
        <v>4983</v>
      </c>
      <c r="B4677" t="s">
        <v>221</v>
      </c>
      <c r="C4677" t="s">
        <v>52</v>
      </c>
      <c r="D4677" s="49">
        <v>45690</v>
      </c>
      <c r="E4677" s="49">
        <v>45691</v>
      </c>
      <c r="F4677" s="49">
        <v>45693</v>
      </c>
      <c r="G4677" s="49">
        <v>45695</v>
      </c>
      <c r="H4677" s="49">
        <v>45698</v>
      </c>
      <c r="I4677" s="49">
        <v>45699</v>
      </c>
      <c r="J4677" t="s">
        <v>47</v>
      </c>
      <c r="K4677" s="33">
        <v>14100</v>
      </c>
      <c r="M4677" t="str">
        <f>_xlfn.XLOOKUP(Pipeline_tbl[[#This Row],[Rep_ID]],Dim_Reps!A:A,Dim_Reps!K:K)</f>
        <v>MXN</v>
      </c>
      <c r="N4677" s="33">
        <f>(_xlfn.XLOOKUP(Pipeline_tbl[[#This Row],[Rate_Code_Generalized]],Lookups!A:A,Lookups!B:B))*Pipeline_tbl[[#This Row],[Pipeline_Amount_USD]]</f>
        <v>278231.07</v>
      </c>
      <c r="O4677" t="str">
        <f>_xlfn.XLOOKUP(Pipeline_tbl[[#This Row],[Rep_ID]],Dim_Reps!A:A,Dim_Reps!B:B)</f>
        <v>Casey Muller</v>
      </c>
      <c r="P4677" t="str">
        <f>_xlfn.XLOOKUP(Pipeline_tbl[[#This Row],[Rep_ID]],Dim_Reps!A:A,Dim_Reps!C:C)</f>
        <v>SDR / Inside Sales Rep</v>
      </c>
      <c r="Q4677" t="str">
        <f>_xlfn.XLOOKUP(Pipeline_tbl[[#This Row],[Rep_ID]],Dim_Reps!A:A,Dim_Reps!D:D)</f>
        <v>Inside Sales</v>
      </c>
      <c r="R4677" t="str">
        <f>_xlfn.XLOOKUP(Pipeline_tbl[[#This Row],[Rep_ID]],Dim_Reps!A:A,Dim_Reps!E:E)</f>
        <v>LATAM</v>
      </c>
      <c r="S4677" t="str">
        <f>_xlfn.XLOOKUP(Pipeline_tbl[[#This Row],[Created_Date]],Dim_Date!A:A,Dim_Date!H:H)</f>
        <v>Feb 2025</v>
      </c>
      <c r="T4677" t="str">
        <f>IF(Pipeline_tbl[[#This Row],[Closed_Date]]=0,"",(_xlfn.XLOOKUP(Pipeline_tbl[[#This Row],[Closed_Date]],Dim_Date!A:A,Dim_Date!H:H)))</f>
        <v>Feb 2025</v>
      </c>
      <c r="U4677">
        <f>IF(Pipeline_tbl[[#This Row],[Closed_Date]]=0,"",Pipeline_tbl[[#This Row],[Closed_Date]]-Pipeline_tbl[[#This Row],[Created_Date]])</f>
        <v>9</v>
      </c>
    </row>
    <row r="4678" spans="1:21" ht="15" customHeight="1" x14ac:dyDescent="0.2">
      <c r="A4678" t="s">
        <v>4984</v>
      </c>
      <c r="B4678" t="s">
        <v>223</v>
      </c>
      <c r="C4678" t="s">
        <v>53</v>
      </c>
      <c r="D4678" s="49">
        <v>45689</v>
      </c>
      <c r="E4678" s="49">
        <v>45691</v>
      </c>
      <c r="F4678" s="49">
        <v>45694</v>
      </c>
      <c r="I4678" s="49">
        <v>45706</v>
      </c>
      <c r="J4678" t="s">
        <v>49</v>
      </c>
      <c r="K4678" s="33">
        <v>3000</v>
      </c>
      <c r="L4678" t="s">
        <v>64</v>
      </c>
      <c r="M4678" t="str">
        <f>_xlfn.XLOOKUP(Pipeline_tbl[[#This Row],[Rep_ID]],Dim_Reps!A:A,Dim_Reps!K:K)</f>
        <v>MXN</v>
      </c>
      <c r="N4678" s="33">
        <f>(_xlfn.XLOOKUP(Pipeline_tbl[[#This Row],[Rate_Code_Generalized]],Lookups!A:A,Lookups!B:B))*Pipeline_tbl[[#This Row],[Pipeline_Amount_USD]]</f>
        <v>59198.100000000006</v>
      </c>
      <c r="O4678" t="str">
        <f>_xlfn.XLOOKUP(Pipeline_tbl[[#This Row],[Rep_ID]],Dim_Reps!A:A,Dim_Reps!B:B)</f>
        <v>Lea Petrov</v>
      </c>
      <c r="P4678" t="str">
        <f>_xlfn.XLOOKUP(Pipeline_tbl[[#This Row],[Rep_ID]],Dim_Reps!A:A,Dim_Reps!C:C)</f>
        <v>SDR / Inside Sales Rep</v>
      </c>
      <c r="Q4678" t="str">
        <f>_xlfn.XLOOKUP(Pipeline_tbl[[#This Row],[Rep_ID]],Dim_Reps!A:A,Dim_Reps!D:D)</f>
        <v>Inside Sales</v>
      </c>
      <c r="R4678" t="str">
        <f>_xlfn.XLOOKUP(Pipeline_tbl[[#This Row],[Rep_ID]],Dim_Reps!A:A,Dim_Reps!E:E)</f>
        <v>LATAM</v>
      </c>
      <c r="S4678" t="str">
        <f>_xlfn.XLOOKUP(Pipeline_tbl[[#This Row],[Created_Date]],Dim_Date!A:A,Dim_Date!H:H)</f>
        <v>Feb 2025</v>
      </c>
      <c r="T4678" t="str">
        <f>IF(Pipeline_tbl[[#This Row],[Closed_Date]]=0,"",(_xlfn.XLOOKUP(Pipeline_tbl[[#This Row],[Closed_Date]],Dim_Date!A:A,Dim_Date!H:H)))</f>
        <v>Feb 2025</v>
      </c>
      <c r="U4678">
        <f>IF(Pipeline_tbl[[#This Row],[Closed_Date]]=0,"",Pipeline_tbl[[#This Row],[Closed_Date]]-Pipeline_tbl[[#This Row],[Created_Date]])</f>
        <v>17</v>
      </c>
    </row>
    <row r="4679" spans="1:21" ht="15" customHeight="1" x14ac:dyDescent="0.2">
      <c r="A4679" t="s">
        <v>4985</v>
      </c>
      <c r="B4679" t="s">
        <v>225</v>
      </c>
      <c r="C4679" t="s">
        <v>55</v>
      </c>
      <c r="D4679" s="49">
        <v>45697</v>
      </c>
      <c r="E4679" s="49">
        <v>45698</v>
      </c>
      <c r="I4679" s="49">
        <v>45711</v>
      </c>
      <c r="J4679" t="s">
        <v>49</v>
      </c>
      <c r="K4679" s="33">
        <v>3200</v>
      </c>
      <c r="L4679" t="s">
        <v>61</v>
      </c>
      <c r="M4679" t="str">
        <f>_xlfn.XLOOKUP(Pipeline_tbl[[#This Row],[Rep_ID]],Dim_Reps!A:A,Dim_Reps!K:K)</f>
        <v>USD</v>
      </c>
      <c r="N4679" s="33">
        <f>(_xlfn.XLOOKUP(Pipeline_tbl[[#This Row],[Rate_Code_Generalized]],Lookups!A:A,Lookups!B:B))*Pipeline_tbl[[#This Row],[Pipeline_Amount_USD]]</f>
        <v>3725.7599999999998</v>
      </c>
      <c r="O4679" t="str">
        <f>_xlfn.XLOOKUP(Pipeline_tbl[[#This Row],[Rep_ID]],Dim_Reps!A:A,Dim_Reps!B:B)</f>
        <v>Alex Muller</v>
      </c>
      <c r="P4679" t="str">
        <f>_xlfn.XLOOKUP(Pipeline_tbl[[#This Row],[Rep_ID]],Dim_Reps!A:A,Dim_Reps!C:C)</f>
        <v>SDR / Inside Sales Rep</v>
      </c>
      <c r="Q4679" t="str">
        <f>_xlfn.XLOOKUP(Pipeline_tbl[[#This Row],[Rep_ID]],Dim_Reps!A:A,Dim_Reps!D:D)</f>
        <v>Inside Sales</v>
      </c>
      <c r="R4679" t="str">
        <f>_xlfn.XLOOKUP(Pipeline_tbl[[#This Row],[Rep_ID]],Dim_Reps!A:A,Dim_Reps!E:E)</f>
        <v>NAMER</v>
      </c>
      <c r="S4679" t="str">
        <f>_xlfn.XLOOKUP(Pipeline_tbl[[#This Row],[Created_Date]],Dim_Date!A:A,Dim_Date!H:H)</f>
        <v>Feb 2025</v>
      </c>
      <c r="T4679" t="str">
        <f>IF(Pipeline_tbl[[#This Row],[Closed_Date]]=0,"",(_xlfn.XLOOKUP(Pipeline_tbl[[#This Row],[Closed_Date]],Dim_Date!A:A,Dim_Date!H:H)))</f>
        <v>Feb 2025</v>
      </c>
      <c r="U4679">
        <f>IF(Pipeline_tbl[[#This Row],[Closed_Date]]=0,"",Pipeline_tbl[[#This Row],[Closed_Date]]-Pipeline_tbl[[#This Row],[Created_Date]])</f>
        <v>14</v>
      </c>
    </row>
    <row r="4680" spans="1:21" ht="15" customHeight="1" x14ac:dyDescent="0.2">
      <c r="A4680" t="s">
        <v>4986</v>
      </c>
      <c r="B4680" t="s">
        <v>225</v>
      </c>
      <c r="C4680" t="s">
        <v>56</v>
      </c>
      <c r="D4680" s="49">
        <v>45703</v>
      </c>
      <c r="E4680" s="49">
        <v>45704</v>
      </c>
      <c r="F4680" s="49">
        <v>45706</v>
      </c>
      <c r="G4680" s="49">
        <v>45710</v>
      </c>
      <c r="H4680" s="49">
        <v>45712</v>
      </c>
      <c r="I4680" s="49">
        <v>45714</v>
      </c>
      <c r="J4680" t="s">
        <v>49</v>
      </c>
      <c r="K4680" s="33">
        <v>3000</v>
      </c>
      <c r="L4680" t="s">
        <v>60</v>
      </c>
      <c r="M4680" t="str">
        <f>_xlfn.XLOOKUP(Pipeline_tbl[[#This Row],[Rep_ID]],Dim_Reps!A:A,Dim_Reps!K:K)</f>
        <v>USD</v>
      </c>
      <c r="N4680" s="33">
        <f>(_xlfn.XLOOKUP(Pipeline_tbl[[#This Row],[Rate_Code_Generalized]],Lookups!A:A,Lookups!B:B))*Pipeline_tbl[[#This Row],[Pipeline_Amount_USD]]</f>
        <v>3492.8999999999996</v>
      </c>
      <c r="O4680" t="str">
        <f>_xlfn.XLOOKUP(Pipeline_tbl[[#This Row],[Rep_ID]],Dim_Reps!A:A,Dim_Reps!B:B)</f>
        <v>Alex Muller</v>
      </c>
      <c r="P4680" t="str">
        <f>_xlfn.XLOOKUP(Pipeline_tbl[[#This Row],[Rep_ID]],Dim_Reps!A:A,Dim_Reps!C:C)</f>
        <v>SDR / Inside Sales Rep</v>
      </c>
      <c r="Q4680" t="str">
        <f>_xlfn.XLOOKUP(Pipeline_tbl[[#This Row],[Rep_ID]],Dim_Reps!A:A,Dim_Reps!D:D)</f>
        <v>Inside Sales</v>
      </c>
      <c r="R4680" t="str">
        <f>_xlfn.XLOOKUP(Pipeline_tbl[[#This Row],[Rep_ID]],Dim_Reps!A:A,Dim_Reps!E:E)</f>
        <v>NAMER</v>
      </c>
      <c r="S4680" t="str">
        <f>_xlfn.XLOOKUP(Pipeline_tbl[[#This Row],[Created_Date]],Dim_Date!A:A,Dim_Date!H:H)</f>
        <v>Feb 2025</v>
      </c>
      <c r="T4680" t="str">
        <f>IF(Pipeline_tbl[[#This Row],[Closed_Date]]=0,"",(_xlfn.XLOOKUP(Pipeline_tbl[[#This Row],[Closed_Date]],Dim_Date!A:A,Dim_Date!H:H)))</f>
        <v>Feb 2025</v>
      </c>
      <c r="U4680">
        <f>IF(Pipeline_tbl[[#This Row],[Closed_Date]]=0,"",Pipeline_tbl[[#This Row],[Closed_Date]]-Pipeline_tbl[[#This Row],[Created_Date]])</f>
        <v>11</v>
      </c>
    </row>
    <row r="4681" spans="1:21" ht="15" customHeight="1" x14ac:dyDescent="0.2">
      <c r="A4681" t="s">
        <v>4987</v>
      </c>
      <c r="B4681" t="s">
        <v>225</v>
      </c>
      <c r="C4681" t="s">
        <v>53</v>
      </c>
      <c r="D4681" s="49">
        <v>45692</v>
      </c>
      <c r="E4681" s="49">
        <v>45693</v>
      </c>
      <c r="F4681" s="49">
        <v>45695</v>
      </c>
      <c r="G4681" s="49">
        <v>45699</v>
      </c>
      <c r="H4681" s="49">
        <v>45701</v>
      </c>
      <c r="I4681" s="49">
        <v>45703</v>
      </c>
      <c r="J4681" t="s">
        <v>47</v>
      </c>
      <c r="K4681" s="33">
        <v>6700</v>
      </c>
      <c r="M4681" t="str">
        <f>_xlfn.XLOOKUP(Pipeline_tbl[[#This Row],[Rep_ID]],Dim_Reps!A:A,Dim_Reps!K:K)</f>
        <v>USD</v>
      </c>
      <c r="N4681" s="33">
        <f>(_xlfn.XLOOKUP(Pipeline_tbl[[#This Row],[Rate_Code_Generalized]],Lookups!A:A,Lookups!B:B))*Pipeline_tbl[[#This Row],[Pipeline_Amount_USD]]</f>
        <v>7800.8099999999995</v>
      </c>
      <c r="O4681" t="str">
        <f>_xlfn.XLOOKUP(Pipeline_tbl[[#This Row],[Rep_ID]],Dim_Reps!A:A,Dim_Reps!B:B)</f>
        <v>Alex Muller</v>
      </c>
      <c r="P4681" t="str">
        <f>_xlfn.XLOOKUP(Pipeline_tbl[[#This Row],[Rep_ID]],Dim_Reps!A:A,Dim_Reps!C:C)</f>
        <v>SDR / Inside Sales Rep</v>
      </c>
      <c r="Q4681" t="str">
        <f>_xlfn.XLOOKUP(Pipeline_tbl[[#This Row],[Rep_ID]],Dim_Reps!A:A,Dim_Reps!D:D)</f>
        <v>Inside Sales</v>
      </c>
      <c r="R4681" t="str">
        <f>_xlfn.XLOOKUP(Pipeline_tbl[[#This Row],[Rep_ID]],Dim_Reps!A:A,Dim_Reps!E:E)</f>
        <v>NAMER</v>
      </c>
      <c r="S4681" t="str">
        <f>_xlfn.XLOOKUP(Pipeline_tbl[[#This Row],[Created_Date]],Dim_Date!A:A,Dim_Date!H:H)</f>
        <v>Feb 2025</v>
      </c>
      <c r="T4681" t="str">
        <f>IF(Pipeline_tbl[[#This Row],[Closed_Date]]=0,"",(_xlfn.XLOOKUP(Pipeline_tbl[[#This Row],[Closed_Date]],Dim_Date!A:A,Dim_Date!H:H)))</f>
        <v>Feb 2025</v>
      </c>
      <c r="U4681">
        <f>IF(Pipeline_tbl[[#This Row],[Closed_Date]]=0,"",Pipeline_tbl[[#This Row],[Closed_Date]]-Pipeline_tbl[[#This Row],[Created_Date]])</f>
        <v>11</v>
      </c>
    </row>
    <row r="4682" spans="1:21" ht="15" customHeight="1" x14ac:dyDescent="0.2">
      <c r="A4682" t="s">
        <v>4988</v>
      </c>
      <c r="B4682" t="s">
        <v>227</v>
      </c>
      <c r="C4682" t="s">
        <v>52</v>
      </c>
      <c r="D4682" s="49">
        <v>45695</v>
      </c>
      <c r="E4682" s="49">
        <v>45697</v>
      </c>
      <c r="F4682" s="49">
        <v>45701</v>
      </c>
      <c r="G4682" s="49">
        <v>45708</v>
      </c>
      <c r="H4682" s="49">
        <v>45713</v>
      </c>
      <c r="I4682" s="49">
        <v>45716</v>
      </c>
      <c r="J4682" t="s">
        <v>47</v>
      </c>
      <c r="K4682" s="33">
        <v>3900</v>
      </c>
      <c r="M4682" t="str">
        <f>_xlfn.XLOOKUP(Pipeline_tbl[[#This Row],[Rep_ID]],Dim_Reps!A:A,Dim_Reps!K:K)</f>
        <v>EUR</v>
      </c>
      <c r="N4682" s="33">
        <f>(_xlfn.XLOOKUP(Pipeline_tbl[[#This Row],[Rate_Code_Generalized]],Lookups!A:A,Lookups!B:B))*Pipeline_tbl[[#This Row],[Pipeline_Amount_USD]]</f>
        <v>3900</v>
      </c>
      <c r="O4682" t="str">
        <f>_xlfn.XLOOKUP(Pipeline_tbl[[#This Row],[Rep_ID]],Dim_Reps!A:A,Dim_Reps!B:B)</f>
        <v>Liam Muller</v>
      </c>
      <c r="P4682" t="str">
        <f>_xlfn.XLOOKUP(Pipeline_tbl[[#This Row],[Rep_ID]],Dim_Reps!A:A,Dim_Reps!C:C)</f>
        <v>SDR / Inside Sales Rep</v>
      </c>
      <c r="Q4682" t="str">
        <f>_xlfn.XLOOKUP(Pipeline_tbl[[#This Row],[Rep_ID]],Dim_Reps!A:A,Dim_Reps!D:D)</f>
        <v>Inside Sales</v>
      </c>
      <c r="R4682" t="str">
        <f>_xlfn.XLOOKUP(Pipeline_tbl[[#This Row],[Rep_ID]],Dim_Reps!A:A,Dim_Reps!E:E)</f>
        <v>EMEA</v>
      </c>
      <c r="S4682" t="str">
        <f>_xlfn.XLOOKUP(Pipeline_tbl[[#This Row],[Created_Date]],Dim_Date!A:A,Dim_Date!H:H)</f>
        <v>Feb 2025</v>
      </c>
      <c r="T4682" t="str">
        <f>IF(Pipeline_tbl[[#This Row],[Closed_Date]]=0,"",(_xlfn.XLOOKUP(Pipeline_tbl[[#This Row],[Closed_Date]],Dim_Date!A:A,Dim_Date!H:H)))</f>
        <v>Feb 2025</v>
      </c>
      <c r="U4682">
        <f>IF(Pipeline_tbl[[#This Row],[Closed_Date]]=0,"",Pipeline_tbl[[#This Row],[Closed_Date]]-Pipeline_tbl[[#This Row],[Created_Date]])</f>
        <v>21</v>
      </c>
    </row>
    <row r="4683" spans="1:21" ht="15" customHeight="1" x14ac:dyDescent="0.2">
      <c r="A4683" t="s">
        <v>4989</v>
      </c>
      <c r="B4683" t="s">
        <v>227</v>
      </c>
      <c r="C4683" t="s">
        <v>54</v>
      </c>
      <c r="D4683" s="49">
        <v>45697</v>
      </c>
      <c r="E4683" s="49">
        <v>45699</v>
      </c>
      <c r="F4683" s="49">
        <v>45702</v>
      </c>
      <c r="G4683" s="49">
        <v>45707</v>
      </c>
      <c r="I4683" s="49">
        <v>45714</v>
      </c>
      <c r="J4683" t="s">
        <v>49</v>
      </c>
      <c r="K4683" s="33">
        <v>2100</v>
      </c>
      <c r="L4683" t="s">
        <v>61</v>
      </c>
      <c r="M4683" t="str">
        <f>_xlfn.XLOOKUP(Pipeline_tbl[[#This Row],[Rep_ID]],Dim_Reps!A:A,Dim_Reps!K:K)</f>
        <v>EUR</v>
      </c>
      <c r="N4683" s="33">
        <f>(_xlfn.XLOOKUP(Pipeline_tbl[[#This Row],[Rate_Code_Generalized]],Lookups!A:A,Lookups!B:B))*Pipeline_tbl[[#This Row],[Pipeline_Amount_USD]]</f>
        <v>2100</v>
      </c>
      <c r="O4683" t="str">
        <f>_xlfn.XLOOKUP(Pipeline_tbl[[#This Row],[Rep_ID]],Dim_Reps!A:A,Dim_Reps!B:B)</f>
        <v>Liam Muller</v>
      </c>
      <c r="P4683" t="str">
        <f>_xlfn.XLOOKUP(Pipeline_tbl[[#This Row],[Rep_ID]],Dim_Reps!A:A,Dim_Reps!C:C)</f>
        <v>SDR / Inside Sales Rep</v>
      </c>
      <c r="Q4683" t="str">
        <f>_xlfn.XLOOKUP(Pipeline_tbl[[#This Row],[Rep_ID]],Dim_Reps!A:A,Dim_Reps!D:D)</f>
        <v>Inside Sales</v>
      </c>
      <c r="R4683" t="str">
        <f>_xlfn.XLOOKUP(Pipeline_tbl[[#This Row],[Rep_ID]],Dim_Reps!A:A,Dim_Reps!E:E)</f>
        <v>EMEA</v>
      </c>
      <c r="S4683" t="str">
        <f>_xlfn.XLOOKUP(Pipeline_tbl[[#This Row],[Created_Date]],Dim_Date!A:A,Dim_Date!H:H)</f>
        <v>Feb 2025</v>
      </c>
      <c r="T4683" t="str">
        <f>IF(Pipeline_tbl[[#This Row],[Closed_Date]]=0,"",(_xlfn.XLOOKUP(Pipeline_tbl[[#This Row],[Closed_Date]],Dim_Date!A:A,Dim_Date!H:H)))</f>
        <v>Feb 2025</v>
      </c>
      <c r="U4683">
        <f>IF(Pipeline_tbl[[#This Row],[Closed_Date]]=0,"",Pipeline_tbl[[#This Row],[Closed_Date]]-Pipeline_tbl[[#This Row],[Created_Date]])</f>
        <v>17</v>
      </c>
    </row>
    <row r="4684" spans="1:21" ht="15" customHeight="1" x14ac:dyDescent="0.2">
      <c r="A4684" t="s">
        <v>4990</v>
      </c>
      <c r="B4684" t="s">
        <v>229</v>
      </c>
      <c r="C4684" t="s">
        <v>52</v>
      </c>
      <c r="D4684" s="49">
        <v>45695</v>
      </c>
      <c r="E4684" s="49">
        <v>45697</v>
      </c>
      <c r="F4684" s="49">
        <v>45700</v>
      </c>
      <c r="G4684" s="49">
        <v>45706</v>
      </c>
      <c r="H4684" s="49">
        <v>45710</v>
      </c>
      <c r="I4684" s="49">
        <v>45713</v>
      </c>
      <c r="J4684" t="s">
        <v>47</v>
      </c>
      <c r="K4684" s="33">
        <v>4500</v>
      </c>
      <c r="M4684" t="str">
        <f>_xlfn.XLOOKUP(Pipeline_tbl[[#This Row],[Rep_ID]],Dim_Reps!A:A,Dim_Reps!K:K)</f>
        <v>USD</v>
      </c>
      <c r="N4684" s="33">
        <f>(_xlfn.XLOOKUP(Pipeline_tbl[[#This Row],[Rate_Code_Generalized]],Lookups!A:A,Lookups!B:B))*Pipeline_tbl[[#This Row],[Pipeline_Amount_USD]]</f>
        <v>5239.3499999999995</v>
      </c>
      <c r="O4684" t="str">
        <f>_xlfn.XLOOKUP(Pipeline_tbl[[#This Row],[Rep_ID]],Dim_Reps!A:A,Dim_Reps!B:B)</f>
        <v>Liam Castro</v>
      </c>
      <c r="P4684" t="str">
        <f>_xlfn.XLOOKUP(Pipeline_tbl[[#This Row],[Rep_ID]],Dim_Reps!A:A,Dim_Reps!C:C)</f>
        <v>SDR / Inside Sales Rep</v>
      </c>
      <c r="Q4684" t="str">
        <f>_xlfn.XLOOKUP(Pipeline_tbl[[#This Row],[Rep_ID]],Dim_Reps!A:A,Dim_Reps!D:D)</f>
        <v>Inside Sales</v>
      </c>
      <c r="R4684" t="str">
        <f>_xlfn.XLOOKUP(Pipeline_tbl[[#This Row],[Rep_ID]],Dim_Reps!A:A,Dim_Reps!E:E)</f>
        <v>NAMER</v>
      </c>
      <c r="S4684" t="str">
        <f>_xlfn.XLOOKUP(Pipeline_tbl[[#This Row],[Created_Date]],Dim_Date!A:A,Dim_Date!H:H)</f>
        <v>Feb 2025</v>
      </c>
      <c r="T4684" t="str">
        <f>IF(Pipeline_tbl[[#This Row],[Closed_Date]]=0,"",(_xlfn.XLOOKUP(Pipeline_tbl[[#This Row],[Closed_Date]],Dim_Date!A:A,Dim_Date!H:H)))</f>
        <v>Feb 2025</v>
      </c>
      <c r="U4684">
        <f>IF(Pipeline_tbl[[#This Row],[Closed_Date]]=0,"",Pipeline_tbl[[#This Row],[Closed_Date]]-Pipeline_tbl[[#This Row],[Created_Date]])</f>
        <v>18</v>
      </c>
    </row>
    <row r="4685" spans="1:21" ht="15" customHeight="1" x14ac:dyDescent="0.2">
      <c r="A4685" t="s">
        <v>4991</v>
      </c>
      <c r="B4685" t="s">
        <v>229</v>
      </c>
      <c r="C4685" t="s">
        <v>52</v>
      </c>
      <c r="D4685" s="49">
        <v>45690</v>
      </c>
      <c r="E4685" s="49">
        <v>45691</v>
      </c>
      <c r="F4685" s="49">
        <v>45694</v>
      </c>
      <c r="G4685" s="49">
        <v>45698</v>
      </c>
      <c r="H4685" s="49">
        <v>45701</v>
      </c>
      <c r="I4685" s="49">
        <v>45703</v>
      </c>
      <c r="J4685" t="s">
        <v>47</v>
      </c>
      <c r="K4685" s="33">
        <v>8900</v>
      </c>
      <c r="M4685" t="str">
        <f>_xlfn.XLOOKUP(Pipeline_tbl[[#This Row],[Rep_ID]],Dim_Reps!A:A,Dim_Reps!K:K)</f>
        <v>USD</v>
      </c>
      <c r="N4685" s="33">
        <f>(_xlfn.XLOOKUP(Pipeline_tbl[[#This Row],[Rate_Code_Generalized]],Lookups!A:A,Lookups!B:B))*Pipeline_tbl[[#This Row],[Pipeline_Amount_USD]]</f>
        <v>10362.269999999999</v>
      </c>
      <c r="O4685" t="str">
        <f>_xlfn.XLOOKUP(Pipeline_tbl[[#This Row],[Rep_ID]],Dim_Reps!A:A,Dim_Reps!B:B)</f>
        <v>Liam Castro</v>
      </c>
      <c r="P4685" t="str">
        <f>_xlfn.XLOOKUP(Pipeline_tbl[[#This Row],[Rep_ID]],Dim_Reps!A:A,Dim_Reps!C:C)</f>
        <v>SDR / Inside Sales Rep</v>
      </c>
      <c r="Q4685" t="str">
        <f>_xlfn.XLOOKUP(Pipeline_tbl[[#This Row],[Rep_ID]],Dim_Reps!A:A,Dim_Reps!D:D)</f>
        <v>Inside Sales</v>
      </c>
      <c r="R4685" t="str">
        <f>_xlfn.XLOOKUP(Pipeline_tbl[[#This Row],[Rep_ID]],Dim_Reps!A:A,Dim_Reps!E:E)</f>
        <v>NAMER</v>
      </c>
      <c r="S4685" t="str">
        <f>_xlfn.XLOOKUP(Pipeline_tbl[[#This Row],[Created_Date]],Dim_Date!A:A,Dim_Date!H:H)</f>
        <v>Feb 2025</v>
      </c>
      <c r="T4685" t="str">
        <f>IF(Pipeline_tbl[[#This Row],[Closed_Date]]=0,"",(_xlfn.XLOOKUP(Pipeline_tbl[[#This Row],[Closed_Date]],Dim_Date!A:A,Dim_Date!H:H)))</f>
        <v>Feb 2025</v>
      </c>
      <c r="U4685">
        <f>IF(Pipeline_tbl[[#This Row],[Closed_Date]]=0,"",Pipeline_tbl[[#This Row],[Closed_Date]]-Pipeline_tbl[[#This Row],[Created_Date]])</f>
        <v>13</v>
      </c>
    </row>
    <row r="4686" spans="1:21" ht="15" customHeight="1" x14ac:dyDescent="0.2">
      <c r="A4686" t="s">
        <v>4992</v>
      </c>
      <c r="B4686" t="s">
        <v>229</v>
      </c>
      <c r="C4686" t="s">
        <v>56</v>
      </c>
      <c r="D4686" s="49">
        <v>45690</v>
      </c>
      <c r="E4686" s="49">
        <v>45692</v>
      </c>
      <c r="F4686" s="49">
        <v>45696</v>
      </c>
      <c r="G4686" s="49">
        <v>45701</v>
      </c>
      <c r="H4686" s="49">
        <v>45706</v>
      </c>
      <c r="I4686" s="49">
        <v>45709</v>
      </c>
      <c r="J4686" t="s">
        <v>47</v>
      </c>
      <c r="K4686" s="33">
        <v>5200</v>
      </c>
      <c r="M4686" t="str">
        <f>_xlfn.XLOOKUP(Pipeline_tbl[[#This Row],[Rep_ID]],Dim_Reps!A:A,Dim_Reps!K:K)</f>
        <v>USD</v>
      </c>
      <c r="N4686" s="33">
        <f>(_xlfn.XLOOKUP(Pipeline_tbl[[#This Row],[Rate_Code_Generalized]],Lookups!A:A,Lookups!B:B))*Pipeline_tbl[[#This Row],[Pipeline_Amount_USD]]</f>
        <v>6054.36</v>
      </c>
      <c r="O4686" t="str">
        <f>_xlfn.XLOOKUP(Pipeline_tbl[[#This Row],[Rep_ID]],Dim_Reps!A:A,Dim_Reps!B:B)</f>
        <v>Liam Castro</v>
      </c>
      <c r="P4686" t="str">
        <f>_xlfn.XLOOKUP(Pipeline_tbl[[#This Row],[Rep_ID]],Dim_Reps!A:A,Dim_Reps!C:C)</f>
        <v>SDR / Inside Sales Rep</v>
      </c>
      <c r="Q4686" t="str">
        <f>_xlfn.XLOOKUP(Pipeline_tbl[[#This Row],[Rep_ID]],Dim_Reps!A:A,Dim_Reps!D:D)</f>
        <v>Inside Sales</v>
      </c>
      <c r="R4686" t="str">
        <f>_xlfn.XLOOKUP(Pipeline_tbl[[#This Row],[Rep_ID]],Dim_Reps!A:A,Dim_Reps!E:E)</f>
        <v>NAMER</v>
      </c>
      <c r="S4686" t="str">
        <f>_xlfn.XLOOKUP(Pipeline_tbl[[#This Row],[Created_Date]],Dim_Date!A:A,Dim_Date!H:H)</f>
        <v>Feb 2025</v>
      </c>
      <c r="T4686" t="str">
        <f>IF(Pipeline_tbl[[#This Row],[Closed_Date]]=0,"",(_xlfn.XLOOKUP(Pipeline_tbl[[#This Row],[Closed_Date]],Dim_Date!A:A,Dim_Date!H:H)))</f>
        <v>Feb 2025</v>
      </c>
      <c r="U4686">
        <f>IF(Pipeline_tbl[[#This Row],[Closed_Date]]=0,"",Pipeline_tbl[[#This Row],[Closed_Date]]-Pipeline_tbl[[#This Row],[Created_Date]])</f>
        <v>19</v>
      </c>
    </row>
    <row r="4687" spans="1:21" ht="15" customHeight="1" x14ac:dyDescent="0.2">
      <c r="A4687" t="s">
        <v>4993</v>
      </c>
      <c r="B4687" t="s">
        <v>229</v>
      </c>
      <c r="C4687" t="s">
        <v>52</v>
      </c>
      <c r="D4687" s="49">
        <v>45702</v>
      </c>
      <c r="E4687" s="49">
        <v>45703</v>
      </c>
      <c r="F4687" s="49">
        <v>45706</v>
      </c>
      <c r="G4687" s="49">
        <v>45710</v>
      </c>
      <c r="I4687" s="49">
        <v>45715</v>
      </c>
      <c r="J4687" t="s">
        <v>49</v>
      </c>
      <c r="K4687" s="33">
        <v>2500</v>
      </c>
      <c r="L4687" t="s">
        <v>63</v>
      </c>
      <c r="M4687" t="str">
        <f>_xlfn.XLOOKUP(Pipeline_tbl[[#This Row],[Rep_ID]],Dim_Reps!A:A,Dim_Reps!K:K)</f>
        <v>USD</v>
      </c>
      <c r="N4687" s="33">
        <f>(_xlfn.XLOOKUP(Pipeline_tbl[[#This Row],[Rate_Code_Generalized]],Lookups!A:A,Lookups!B:B))*Pipeline_tbl[[#This Row],[Pipeline_Amount_USD]]</f>
        <v>2910.7499999999995</v>
      </c>
      <c r="O4687" t="str">
        <f>_xlfn.XLOOKUP(Pipeline_tbl[[#This Row],[Rep_ID]],Dim_Reps!A:A,Dim_Reps!B:B)</f>
        <v>Liam Castro</v>
      </c>
      <c r="P4687" t="str">
        <f>_xlfn.XLOOKUP(Pipeline_tbl[[#This Row],[Rep_ID]],Dim_Reps!A:A,Dim_Reps!C:C)</f>
        <v>SDR / Inside Sales Rep</v>
      </c>
      <c r="Q4687" t="str">
        <f>_xlfn.XLOOKUP(Pipeline_tbl[[#This Row],[Rep_ID]],Dim_Reps!A:A,Dim_Reps!D:D)</f>
        <v>Inside Sales</v>
      </c>
      <c r="R4687" t="str">
        <f>_xlfn.XLOOKUP(Pipeline_tbl[[#This Row],[Rep_ID]],Dim_Reps!A:A,Dim_Reps!E:E)</f>
        <v>NAMER</v>
      </c>
      <c r="S4687" t="str">
        <f>_xlfn.XLOOKUP(Pipeline_tbl[[#This Row],[Created_Date]],Dim_Date!A:A,Dim_Date!H:H)</f>
        <v>Feb 2025</v>
      </c>
      <c r="T4687" t="str">
        <f>IF(Pipeline_tbl[[#This Row],[Closed_Date]]=0,"",(_xlfn.XLOOKUP(Pipeline_tbl[[#This Row],[Closed_Date]],Dim_Date!A:A,Dim_Date!H:H)))</f>
        <v>Feb 2025</v>
      </c>
      <c r="U4687">
        <f>IF(Pipeline_tbl[[#This Row],[Closed_Date]]=0,"",Pipeline_tbl[[#This Row],[Closed_Date]]-Pipeline_tbl[[#This Row],[Created_Date]])</f>
        <v>13</v>
      </c>
    </row>
    <row r="4688" spans="1:21" ht="15" customHeight="1" x14ac:dyDescent="0.2">
      <c r="A4688" t="s">
        <v>4994</v>
      </c>
      <c r="B4688" t="s">
        <v>231</v>
      </c>
      <c r="C4688" t="s">
        <v>54</v>
      </c>
      <c r="D4688" s="49">
        <v>45690</v>
      </c>
      <c r="E4688" s="49">
        <v>45692</v>
      </c>
      <c r="F4688" s="49">
        <v>45695</v>
      </c>
      <c r="G4688" s="49">
        <v>45699</v>
      </c>
      <c r="H4688" s="49">
        <v>45703</v>
      </c>
      <c r="I4688" s="49">
        <v>45705</v>
      </c>
      <c r="J4688" t="s">
        <v>49</v>
      </c>
      <c r="K4688" s="33">
        <v>3700</v>
      </c>
      <c r="L4688" t="s">
        <v>61</v>
      </c>
      <c r="M4688" t="str">
        <f>_xlfn.XLOOKUP(Pipeline_tbl[[#This Row],[Rep_ID]],Dim_Reps!A:A,Dim_Reps!K:K)</f>
        <v>MXN</v>
      </c>
      <c r="N4688" s="33">
        <f>(_xlfn.XLOOKUP(Pipeline_tbl[[#This Row],[Rate_Code_Generalized]],Lookups!A:A,Lookups!B:B))*Pipeline_tbl[[#This Row],[Pipeline_Amount_USD]]</f>
        <v>73010.990000000005</v>
      </c>
      <c r="O4688" t="str">
        <f>_xlfn.XLOOKUP(Pipeline_tbl[[#This Row],[Rep_ID]],Dim_Reps!A:A,Dim_Reps!B:B)</f>
        <v>Ben Silva</v>
      </c>
      <c r="P4688" t="str">
        <f>_xlfn.XLOOKUP(Pipeline_tbl[[#This Row],[Rep_ID]],Dim_Reps!A:A,Dim_Reps!C:C)</f>
        <v>SDR / Inside Sales Rep</v>
      </c>
      <c r="Q4688" t="str">
        <f>_xlfn.XLOOKUP(Pipeline_tbl[[#This Row],[Rep_ID]],Dim_Reps!A:A,Dim_Reps!D:D)</f>
        <v>Inside Sales</v>
      </c>
      <c r="R4688" t="str">
        <f>_xlfn.XLOOKUP(Pipeline_tbl[[#This Row],[Rep_ID]],Dim_Reps!A:A,Dim_Reps!E:E)</f>
        <v>LATAM</v>
      </c>
      <c r="S4688" t="str">
        <f>_xlfn.XLOOKUP(Pipeline_tbl[[#This Row],[Created_Date]],Dim_Date!A:A,Dim_Date!H:H)</f>
        <v>Feb 2025</v>
      </c>
      <c r="T4688" t="str">
        <f>IF(Pipeline_tbl[[#This Row],[Closed_Date]]=0,"",(_xlfn.XLOOKUP(Pipeline_tbl[[#This Row],[Closed_Date]],Dim_Date!A:A,Dim_Date!H:H)))</f>
        <v>Feb 2025</v>
      </c>
      <c r="U4688">
        <f>IF(Pipeline_tbl[[#This Row],[Closed_Date]]=0,"",Pipeline_tbl[[#This Row],[Closed_Date]]-Pipeline_tbl[[#This Row],[Created_Date]])</f>
        <v>15</v>
      </c>
    </row>
    <row r="4689" spans="1:21" ht="15" customHeight="1" x14ac:dyDescent="0.2">
      <c r="A4689" t="s">
        <v>4995</v>
      </c>
      <c r="B4689" t="s">
        <v>231</v>
      </c>
      <c r="C4689" t="s">
        <v>53</v>
      </c>
      <c r="D4689" s="49">
        <v>45693</v>
      </c>
      <c r="E4689" s="49">
        <v>45694</v>
      </c>
      <c r="F4689" s="49">
        <v>45697</v>
      </c>
      <c r="G4689" s="49">
        <v>45701</v>
      </c>
      <c r="H4689" s="49">
        <v>45705</v>
      </c>
      <c r="I4689" s="49">
        <v>45707</v>
      </c>
      <c r="J4689" t="s">
        <v>47</v>
      </c>
      <c r="K4689" s="33">
        <v>3000</v>
      </c>
      <c r="M4689" t="str">
        <f>_xlfn.XLOOKUP(Pipeline_tbl[[#This Row],[Rep_ID]],Dim_Reps!A:A,Dim_Reps!K:K)</f>
        <v>MXN</v>
      </c>
      <c r="N4689" s="33">
        <f>(_xlfn.XLOOKUP(Pipeline_tbl[[#This Row],[Rate_Code_Generalized]],Lookups!A:A,Lookups!B:B))*Pipeline_tbl[[#This Row],[Pipeline_Amount_USD]]</f>
        <v>59198.100000000006</v>
      </c>
      <c r="O4689" t="str">
        <f>_xlfn.XLOOKUP(Pipeline_tbl[[#This Row],[Rep_ID]],Dim_Reps!A:A,Dim_Reps!B:B)</f>
        <v>Ben Silva</v>
      </c>
      <c r="P4689" t="str">
        <f>_xlfn.XLOOKUP(Pipeline_tbl[[#This Row],[Rep_ID]],Dim_Reps!A:A,Dim_Reps!C:C)</f>
        <v>SDR / Inside Sales Rep</v>
      </c>
      <c r="Q4689" t="str">
        <f>_xlfn.XLOOKUP(Pipeline_tbl[[#This Row],[Rep_ID]],Dim_Reps!A:A,Dim_Reps!D:D)</f>
        <v>Inside Sales</v>
      </c>
      <c r="R4689" t="str">
        <f>_xlfn.XLOOKUP(Pipeline_tbl[[#This Row],[Rep_ID]],Dim_Reps!A:A,Dim_Reps!E:E)</f>
        <v>LATAM</v>
      </c>
      <c r="S4689" t="str">
        <f>_xlfn.XLOOKUP(Pipeline_tbl[[#This Row],[Created_Date]],Dim_Date!A:A,Dim_Date!H:H)</f>
        <v>Feb 2025</v>
      </c>
      <c r="T4689" t="str">
        <f>IF(Pipeline_tbl[[#This Row],[Closed_Date]]=0,"",(_xlfn.XLOOKUP(Pipeline_tbl[[#This Row],[Closed_Date]],Dim_Date!A:A,Dim_Date!H:H)))</f>
        <v>Feb 2025</v>
      </c>
      <c r="U4689">
        <f>IF(Pipeline_tbl[[#This Row],[Closed_Date]]=0,"",Pipeline_tbl[[#This Row],[Closed_Date]]-Pipeline_tbl[[#This Row],[Created_Date]])</f>
        <v>14</v>
      </c>
    </row>
    <row r="4690" spans="1:21" ht="15" customHeight="1" x14ac:dyDescent="0.2">
      <c r="A4690" t="s">
        <v>4996</v>
      </c>
      <c r="B4690" t="s">
        <v>231</v>
      </c>
      <c r="C4690" t="s">
        <v>52</v>
      </c>
      <c r="D4690" s="49">
        <v>45697</v>
      </c>
      <c r="E4690" s="49">
        <v>45698</v>
      </c>
      <c r="F4690" s="49">
        <v>45700</v>
      </c>
      <c r="G4690" s="49">
        <v>45704</v>
      </c>
      <c r="H4690" s="49">
        <v>45706</v>
      </c>
      <c r="I4690" s="49">
        <v>45708</v>
      </c>
      <c r="J4690" t="s">
        <v>47</v>
      </c>
      <c r="K4690" s="33">
        <v>5100</v>
      </c>
      <c r="M4690" t="str">
        <f>_xlfn.XLOOKUP(Pipeline_tbl[[#This Row],[Rep_ID]],Dim_Reps!A:A,Dim_Reps!K:K)</f>
        <v>MXN</v>
      </c>
      <c r="N4690" s="33">
        <f>(_xlfn.XLOOKUP(Pipeline_tbl[[#This Row],[Rate_Code_Generalized]],Lookups!A:A,Lookups!B:B))*Pipeline_tbl[[#This Row],[Pipeline_Amount_USD]]</f>
        <v>100636.77</v>
      </c>
      <c r="O4690" t="str">
        <f>_xlfn.XLOOKUP(Pipeline_tbl[[#This Row],[Rep_ID]],Dim_Reps!A:A,Dim_Reps!B:B)</f>
        <v>Ben Silva</v>
      </c>
      <c r="P4690" t="str">
        <f>_xlfn.XLOOKUP(Pipeline_tbl[[#This Row],[Rep_ID]],Dim_Reps!A:A,Dim_Reps!C:C)</f>
        <v>SDR / Inside Sales Rep</v>
      </c>
      <c r="Q4690" t="str">
        <f>_xlfn.XLOOKUP(Pipeline_tbl[[#This Row],[Rep_ID]],Dim_Reps!A:A,Dim_Reps!D:D)</f>
        <v>Inside Sales</v>
      </c>
      <c r="R4690" t="str">
        <f>_xlfn.XLOOKUP(Pipeline_tbl[[#This Row],[Rep_ID]],Dim_Reps!A:A,Dim_Reps!E:E)</f>
        <v>LATAM</v>
      </c>
      <c r="S4690" t="str">
        <f>_xlfn.XLOOKUP(Pipeline_tbl[[#This Row],[Created_Date]],Dim_Date!A:A,Dim_Date!H:H)</f>
        <v>Feb 2025</v>
      </c>
      <c r="T4690" t="str">
        <f>IF(Pipeline_tbl[[#This Row],[Closed_Date]]=0,"",(_xlfn.XLOOKUP(Pipeline_tbl[[#This Row],[Closed_Date]],Dim_Date!A:A,Dim_Date!H:H)))</f>
        <v>Feb 2025</v>
      </c>
      <c r="U4690">
        <f>IF(Pipeline_tbl[[#This Row],[Closed_Date]]=0,"",Pipeline_tbl[[#This Row],[Closed_Date]]-Pipeline_tbl[[#This Row],[Created_Date]])</f>
        <v>11</v>
      </c>
    </row>
    <row r="4691" spans="1:21" ht="15" customHeight="1" x14ac:dyDescent="0.2">
      <c r="A4691" t="s">
        <v>4997</v>
      </c>
      <c r="B4691" t="s">
        <v>231</v>
      </c>
      <c r="C4691" t="s">
        <v>55</v>
      </c>
      <c r="D4691" s="49">
        <v>45690</v>
      </c>
      <c r="E4691" s="49">
        <v>45692</v>
      </c>
      <c r="F4691" s="49">
        <v>45697</v>
      </c>
      <c r="G4691" s="49">
        <v>45704</v>
      </c>
      <c r="I4691" s="49">
        <v>45714</v>
      </c>
      <c r="J4691" t="s">
        <v>49</v>
      </c>
      <c r="K4691" s="33">
        <v>3600</v>
      </c>
      <c r="L4691" t="s">
        <v>61</v>
      </c>
      <c r="M4691" t="str">
        <f>_xlfn.XLOOKUP(Pipeline_tbl[[#This Row],[Rep_ID]],Dim_Reps!A:A,Dim_Reps!K:K)</f>
        <v>MXN</v>
      </c>
      <c r="N4691" s="33">
        <f>(_xlfn.XLOOKUP(Pipeline_tbl[[#This Row],[Rate_Code_Generalized]],Lookups!A:A,Lookups!B:B))*Pipeline_tbl[[#This Row],[Pipeline_Amount_USD]]</f>
        <v>71037.72</v>
      </c>
      <c r="O4691" t="str">
        <f>_xlfn.XLOOKUP(Pipeline_tbl[[#This Row],[Rep_ID]],Dim_Reps!A:A,Dim_Reps!B:B)</f>
        <v>Ben Silva</v>
      </c>
      <c r="P4691" t="str">
        <f>_xlfn.XLOOKUP(Pipeline_tbl[[#This Row],[Rep_ID]],Dim_Reps!A:A,Dim_Reps!C:C)</f>
        <v>SDR / Inside Sales Rep</v>
      </c>
      <c r="Q4691" t="str">
        <f>_xlfn.XLOOKUP(Pipeline_tbl[[#This Row],[Rep_ID]],Dim_Reps!A:A,Dim_Reps!D:D)</f>
        <v>Inside Sales</v>
      </c>
      <c r="R4691" t="str">
        <f>_xlfn.XLOOKUP(Pipeline_tbl[[#This Row],[Rep_ID]],Dim_Reps!A:A,Dim_Reps!E:E)</f>
        <v>LATAM</v>
      </c>
      <c r="S4691" t="str">
        <f>_xlfn.XLOOKUP(Pipeline_tbl[[#This Row],[Created_Date]],Dim_Date!A:A,Dim_Date!H:H)</f>
        <v>Feb 2025</v>
      </c>
      <c r="T4691" t="str">
        <f>IF(Pipeline_tbl[[#This Row],[Closed_Date]]=0,"",(_xlfn.XLOOKUP(Pipeline_tbl[[#This Row],[Closed_Date]],Dim_Date!A:A,Dim_Date!H:H)))</f>
        <v>Feb 2025</v>
      </c>
      <c r="U4691">
        <f>IF(Pipeline_tbl[[#This Row],[Closed_Date]]=0,"",Pipeline_tbl[[#This Row],[Closed_Date]]-Pipeline_tbl[[#This Row],[Created_Date]])</f>
        <v>24</v>
      </c>
    </row>
    <row r="4692" spans="1:21" ht="15" customHeight="1" x14ac:dyDescent="0.2">
      <c r="A4692" t="s">
        <v>4998</v>
      </c>
      <c r="B4692" t="s">
        <v>263</v>
      </c>
      <c r="C4692" t="s">
        <v>52</v>
      </c>
      <c r="D4692" s="49">
        <v>45691</v>
      </c>
      <c r="E4692" s="49">
        <v>45693</v>
      </c>
      <c r="F4692" s="49">
        <v>45696</v>
      </c>
      <c r="G4692" s="49">
        <v>45701</v>
      </c>
      <c r="H4692" s="49">
        <v>45705</v>
      </c>
      <c r="I4692" s="49">
        <v>45707</v>
      </c>
      <c r="J4692" t="s">
        <v>49</v>
      </c>
      <c r="K4692" s="33">
        <v>9100</v>
      </c>
      <c r="L4692" t="s">
        <v>62</v>
      </c>
      <c r="M4692" t="str">
        <f>_xlfn.XLOOKUP(Pipeline_tbl[[#This Row],[Rep_ID]],Dim_Reps!A:A,Dim_Reps!K:K)</f>
        <v>USD</v>
      </c>
      <c r="N4692" s="33">
        <f>(_xlfn.XLOOKUP(Pipeline_tbl[[#This Row],[Rate_Code_Generalized]],Lookups!A:A,Lookups!B:B))*Pipeline_tbl[[#This Row],[Pipeline_Amount_USD]]</f>
        <v>10595.13</v>
      </c>
      <c r="O4692" t="str">
        <f>_xlfn.XLOOKUP(Pipeline_tbl[[#This Row],[Rep_ID]],Dim_Reps!A:A,Dim_Reps!B:B)</f>
        <v>Morgan Weber</v>
      </c>
      <c r="P4692" t="str">
        <f>_xlfn.XLOOKUP(Pipeline_tbl[[#This Row],[Rep_ID]],Dim_Reps!A:A,Dim_Reps!C:C)</f>
        <v>Mid-Market AE</v>
      </c>
      <c r="Q4692" t="str">
        <f>_xlfn.XLOOKUP(Pipeline_tbl[[#This Row],[Rep_ID]],Dim_Reps!A:A,Dim_Reps!D:D)</f>
        <v>Mid-Market</v>
      </c>
      <c r="R4692" t="str">
        <f>_xlfn.XLOOKUP(Pipeline_tbl[[#This Row],[Rep_ID]],Dim_Reps!A:A,Dim_Reps!E:E)</f>
        <v>NAMER</v>
      </c>
      <c r="S4692" t="str">
        <f>_xlfn.XLOOKUP(Pipeline_tbl[[#This Row],[Created_Date]],Dim_Date!A:A,Dim_Date!H:H)</f>
        <v>Feb 2025</v>
      </c>
      <c r="T4692" t="str">
        <f>IF(Pipeline_tbl[[#This Row],[Closed_Date]]=0,"",(_xlfn.XLOOKUP(Pipeline_tbl[[#This Row],[Closed_Date]],Dim_Date!A:A,Dim_Date!H:H)))</f>
        <v>Feb 2025</v>
      </c>
      <c r="U4692">
        <f>IF(Pipeline_tbl[[#This Row],[Closed_Date]]=0,"",Pipeline_tbl[[#This Row],[Closed_Date]]-Pipeline_tbl[[#This Row],[Created_Date]])</f>
        <v>16</v>
      </c>
    </row>
    <row r="4693" spans="1:21" ht="15" customHeight="1" x14ac:dyDescent="0.2">
      <c r="A4693" t="s">
        <v>4999</v>
      </c>
      <c r="B4693" t="s">
        <v>233</v>
      </c>
      <c r="C4693" t="s">
        <v>55</v>
      </c>
      <c r="D4693" s="49">
        <v>45694</v>
      </c>
      <c r="E4693" s="49">
        <v>45696</v>
      </c>
      <c r="F4693" s="49">
        <v>45699</v>
      </c>
      <c r="G4693" s="49">
        <v>45703</v>
      </c>
      <c r="H4693" s="49">
        <v>45707</v>
      </c>
      <c r="I4693" s="49">
        <v>45709</v>
      </c>
      <c r="J4693" t="s">
        <v>47</v>
      </c>
      <c r="K4693" s="33">
        <v>6000</v>
      </c>
      <c r="M4693" t="str">
        <f>_xlfn.XLOOKUP(Pipeline_tbl[[#This Row],[Rep_ID]],Dim_Reps!A:A,Dim_Reps!K:K)</f>
        <v>MXN</v>
      </c>
      <c r="N4693" s="33">
        <f>(_xlfn.XLOOKUP(Pipeline_tbl[[#This Row],[Rate_Code_Generalized]],Lookups!A:A,Lookups!B:B))*Pipeline_tbl[[#This Row],[Pipeline_Amount_USD]]</f>
        <v>118396.20000000001</v>
      </c>
      <c r="O4693" t="str">
        <f>_xlfn.XLOOKUP(Pipeline_tbl[[#This Row],[Rep_ID]],Dim_Reps!A:A,Dim_Reps!B:B)</f>
        <v>Lucas Duarte</v>
      </c>
      <c r="P4693" t="str">
        <f>_xlfn.XLOOKUP(Pipeline_tbl[[#This Row],[Rep_ID]],Dim_Reps!A:A,Dim_Reps!C:C)</f>
        <v>SDR / Inside Sales Rep</v>
      </c>
      <c r="Q4693" t="str">
        <f>_xlfn.XLOOKUP(Pipeline_tbl[[#This Row],[Rep_ID]],Dim_Reps!A:A,Dim_Reps!D:D)</f>
        <v>Inside Sales</v>
      </c>
      <c r="R4693" t="str">
        <f>_xlfn.XLOOKUP(Pipeline_tbl[[#This Row],[Rep_ID]],Dim_Reps!A:A,Dim_Reps!E:E)</f>
        <v>LATAM</v>
      </c>
      <c r="S4693" t="str">
        <f>_xlfn.XLOOKUP(Pipeline_tbl[[#This Row],[Created_Date]],Dim_Date!A:A,Dim_Date!H:H)</f>
        <v>Feb 2025</v>
      </c>
      <c r="T4693" t="str">
        <f>IF(Pipeline_tbl[[#This Row],[Closed_Date]]=0,"",(_xlfn.XLOOKUP(Pipeline_tbl[[#This Row],[Closed_Date]],Dim_Date!A:A,Dim_Date!H:H)))</f>
        <v>Feb 2025</v>
      </c>
      <c r="U4693">
        <f>IF(Pipeline_tbl[[#This Row],[Closed_Date]]=0,"",Pipeline_tbl[[#This Row],[Closed_Date]]-Pipeline_tbl[[#This Row],[Created_Date]])</f>
        <v>15</v>
      </c>
    </row>
    <row r="4694" spans="1:21" ht="15" customHeight="1" x14ac:dyDescent="0.2">
      <c r="A4694" t="s">
        <v>5000</v>
      </c>
      <c r="B4694" t="s">
        <v>233</v>
      </c>
      <c r="C4694" t="s">
        <v>52</v>
      </c>
      <c r="D4694" s="49">
        <v>45700</v>
      </c>
      <c r="E4694" s="49">
        <v>45701</v>
      </c>
      <c r="F4694" s="49">
        <v>45703</v>
      </c>
      <c r="G4694" s="49">
        <v>45707</v>
      </c>
      <c r="H4694" s="49">
        <v>45709</v>
      </c>
      <c r="I4694" s="49">
        <v>45711</v>
      </c>
      <c r="J4694" t="s">
        <v>47</v>
      </c>
      <c r="K4694" s="33">
        <v>6300</v>
      </c>
      <c r="M4694" t="str">
        <f>_xlfn.XLOOKUP(Pipeline_tbl[[#This Row],[Rep_ID]],Dim_Reps!A:A,Dim_Reps!K:K)</f>
        <v>MXN</v>
      </c>
      <c r="N4694" s="33">
        <f>(_xlfn.XLOOKUP(Pipeline_tbl[[#This Row],[Rate_Code_Generalized]],Lookups!A:A,Lookups!B:B))*Pipeline_tbl[[#This Row],[Pipeline_Amount_USD]]</f>
        <v>124316.01000000001</v>
      </c>
      <c r="O4694" t="str">
        <f>_xlfn.XLOOKUP(Pipeline_tbl[[#This Row],[Rep_ID]],Dim_Reps!A:A,Dim_Reps!B:B)</f>
        <v>Lucas Duarte</v>
      </c>
      <c r="P4694" t="str">
        <f>_xlfn.XLOOKUP(Pipeline_tbl[[#This Row],[Rep_ID]],Dim_Reps!A:A,Dim_Reps!C:C)</f>
        <v>SDR / Inside Sales Rep</v>
      </c>
      <c r="Q4694" t="str">
        <f>_xlfn.XLOOKUP(Pipeline_tbl[[#This Row],[Rep_ID]],Dim_Reps!A:A,Dim_Reps!D:D)</f>
        <v>Inside Sales</v>
      </c>
      <c r="R4694" t="str">
        <f>_xlfn.XLOOKUP(Pipeline_tbl[[#This Row],[Rep_ID]],Dim_Reps!A:A,Dim_Reps!E:E)</f>
        <v>LATAM</v>
      </c>
      <c r="S4694" t="str">
        <f>_xlfn.XLOOKUP(Pipeline_tbl[[#This Row],[Created_Date]],Dim_Date!A:A,Dim_Date!H:H)</f>
        <v>Feb 2025</v>
      </c>
      <c r="T4694" t="str">
        <f>IF(Pipeline_tbl[[#This Row],[Closed_Date]]=0,"",(_xlfn.XLOOKUP(Pipeline_tbl[[#This Row],[Closed_Date]],Dim_Date!A:A,Dim_Date!H:H)))</f>
        <v>Feb 2025</v>
      </c>
      <c r="U4694">
        <f>IF(Pipeline_tbl[[#This Row],[Closed_Date]]=0,"",Pipeline_tbl[[#This Row],[Closed_Date]]-Pipeline_tbl[[#This Row],[Created_Date]])</f>
        <v>11</v>
      </c>
    </row>
    <row r="4695" spans="1:21" ht="15" customHeight="1" x14ac:dyDescent="0.2">
      <c r="A4695" t="s">
        <v>5001</v>
      </c>
      <c r="B4695" t="s">
        <v>233</v>
      </c>
      <c r="C4695" t="s">
        <v>52</v>
      </c>
      <c r="D4695" s="49">
        <v>45701</v>
      </c>
      <c r="E4695" s="49">
        <v>45702</v>
      </c>
      <c r="F4695" s="49">
        <v>45705</v>
      </c>
      <c r="G4695" s="49">
        <v>45709</v>
      </c>
      <c r="H4695" s="49">
        <v>45713</v>
      </c>
      <c r="I4695" s="49">
        <v>45715</v>
      </c>
      <c r="J4695" t="s">
        <v>47</v>
      </c>
      <c r="K4695" s="33">
        <v>2700</v>
      </c>
      <c r="M4695" t="str">
        <f>_xlfn.XLOOKUP(Pipeline_tbl[[#This Row],[Rep_ID]],Dim_Reps!A:A,Dim_Reps!K:K)</f>
        <v>MXN</v>
      </c>
      <c r="N4695" s="33">
        <f>(_xlfn.XLOOKUP(Pipeline_tbl[[#This Row],[Rate_Code_Generalized]],Lookups!A:A,Lookups!B:B))*Pipeline_tbl[[#This Row],[Pipeline_Amount_USD]]</f>
        <v>53278.29</v>
      </c>
      <c r="O4695" t="str">
        <f>_xlfn.XLOOKUP(Pipeline_tbl[[#This Row],[Rep_ID]],Dim_Reps!A:A,Dim_Reps!B:B)</f>
        <v>Lucas Duarte</v>
      </c>
      <c r="P4695" t="str">
        <f>_xlfn.XLOOKUP(Pipeline_tbl[[#This Row],[Rep_ID]],Dim_Reps!A:A,Dim_Reps!C:C)</f>
        <v>SDR / Inside Sales Rep</v>
      </c>
      <c r="Q4695" t="str">
        <f>_xlfn.XLOOKUP(Pipeline_tbl[[#This Row],[Rep_ID]],Dim_Reps!A:A,Dim_Reps!D:D)</f>
        <v>Inside Sales</v>
      </c>
      <c r="R4695" t="str">
        <f>_xlfn.XLOOKUP(Pipeline_tbl[[#This Row],[Rep_ID]],Dim_Reps!A:A,Dim_Reps!E:E)</f>
        <v>LATAM</v>
      </c>
      <c r="S4695" t="str">
        <f>_xlfn.XLOOKUP(Pipeline_tbl[[#This Row],[Created_Date]],Dim_Date!A:A,Dim_Date!H:H)</f>
        <v>Feb 2025</v>
      </c>
      <c r="T4695" t="str">
        <f>IF(Pipeline_tbl[[#This Row],[Closed_Date]]=0,"",(_xlfn.XLOOKUP(Pipeline_tbl[[#This Row],[Closed_Date]],Dim_Date!A:A,Dim_Date!H:H)))</f>
        <v>Feb 2025</v>
      </c>
      <c r="U4695">
        <f>IF(Pipeline_tbl[[#This Row],[Closed_Date]]=0,"",Pipeline_tbl[[#This Row],[Closed_Date]]-Pipeline_tbl[[#This Row],[Created_Date]])</f>
        <v>14</v>
      </c>
    </row>
    <row r="4696" spans="1:21" ht="15" customHeight="1" x14ac:dyDescent="0.2">
      <c r="A4696" t="s">
        <v>5002</v>
      </c>
      <c r="B4696" t="s">
        <v>233</v>
      </c>
      <c r="C4696" t="s">
        <v>56</v>
      </c>
      <c r="D4696" s="49">
        <v>45694</v>
      </c>
      <c r="E4696" s="49">
        <v>45696</v>
      </c>
      <c r="F4696" s="49">
        <v>45699</v>
      </c>
      <c r="G4696" s="49">
        <v>45704</v>
      </c>
      <c r="H4696" s="49">
        <v>45708</v>
      </c>
      <c r="I4696" s="49">
        <v>45711</v>
      </c>
      <c r="J4696" t="s">
        <v>47</v>
      </c>
      <c r="K4696" s="33">
        <v>4900</v>
      </c>
      <c r="M4696" t="str">
        <f>_xlfn.XLOOKUP(Pipeline_tbl[[#This Row],[Rep_ID]],Dim_Reps!A:A,Dim_Reps!K:K)</f>
        <v>MXN</v>
      </c>
      <c r="N4696" s="33">
        <f>(_xlfn.XLOOKUP(Pipeline_tbl[[#This Row],[Rate_Code_Generalized]],Lookups!A:A,Lookups!B:B))*Pipeline_tbl[[#This Row],[Pipeline_Amount_USD]]</f>
        <v>96690.23000000001</v>
      </c>
      <c r="O4696" t="str">
        <f>_xlfn.XLOOKUP(Pipeline_tbl[[#This Row],[Rep_ID]],Dim_Reps!A:A,Dim_Reps!B:B)</f>
        <v>Lucas Duarte</v>
      </c>
      <c r="P4696" t="str">
        <f>_xlfn.XLOOKUP(Pipeline_tbl[[#This Row],[Rep_ID]],Dim_Reps!A:A,Dim_Reps!C:C)</f>
        <v>SDR / Inside Sales Rep</v>
      </c>
      <c r="Q4696" t="str">
        <f>_xlfn.XLOOKUP(Pipeline_tbl[[#This Row],[Rep_ID]],Dim_Reps!A:A,Dim_Reps!D:D)</f>
        <v>Inside Sales</v>
      </c>
      <c r="R4696" t="str">
        <f>_xlfn.XLOOKUP(Pipeline_tbl[[#This Row],[Rep_ID]],Dim_Reps!A:A,Dim_Reps!E:E)</f>
        <v>LATAM</v>
      </c>
      <c r="S4696" t="str">
        <f>_xlfn.XLOOKUP(Pipeline_tbl[[#This Row],[Created_Date]],Dim_Date!A:A,Dim_Date!H:H)</f>
        <v>Feb 2025</v>
      </c>
      <c r="T4696" t="str">
        <f>IF(Pipeline_tbl[[#This Row],[Closed_Date]]=0,"",(_xlfn.XLOOKUP(Pipeline_tbl[[#This Row],[Closed_Date]],Dim_Date!A:A,Dim_Date!H:H)))</f>
        <v>Feb 2025</v>
      </c>
      <c r="U4696">
        <f>IF(Pipeline_tbl[[#This Row],[Closed_Date]]=0,"",Pipeline_tbl[[#This Row],[Closed_Date]]-Pipeline_tbl[[#This Row],[Created_Date]])</f>
        <v>17</v>
      </c>
    </row>
    <row r="4697" spans="1:21" ht="15" customHeight="1" x14ac:dyDescent="0.2">
      <c r="A4697" t="s">
        <v>5003</v>
      </c>
      <c r="B4697" t="s">
        <v>233</v>
      </c>
      <c r="C4697" t="s">
        <v>53</v>
      </c>
      <c r="D4697" s="49">
        <v>45703</v>
      </c>
      <c r="E4697" s="49">
        <v>45703</v>
      </c>
      <c r="F4697" s="49">
        <v>45705</v>
      </c>
      <c r="G4697" s="49">
        <v>45706</v>
      </c>
      <c r="H4697" s="49">
        <v>45707</v>
      </c>
      <c r="I4697" s="49">
        <v>45708</v>
      </c>
      <c r="J4697" t="s">
        <v>49</v>
      </c>
      <c r="K4697" s="33">
        <v>5500</v>
      </c>
      <c r="L4697" t="s">
        <v>60</v>
      </c>
      <c r="M4697" t="str">
        <f>_xlfn.XLOOKUP(Pipeline_tbl[[#This Row],[Rep_ID]],Dim_Reps!A:A,Dim_Reps!K:K)</f>
        <v>MXN</v>
      </c>
      <c r="N4697" s="33">
        <f>(_xlfn.XLOOKUP(Pipeline_tbl[[#This Row],[Rate_Code_Generalized]],Lookups!A:A,Lookups!B:B))*Pipeline_tbl[[#This Row],[Pipeline_Amount_USD]]</f>
        <v>108529.85</v>
      </c>
      <c r="O4697" t="str">
        <f>_xlfn.XLOOKUP(Pipeline_tbl[[#This Row],[Rep_ID]],Dim_Reps!A:A,Dim_Reps!B:B)</f>
        <v>Lucas Duarte</v>
      </c>
      <c r="P4697" t="str">
        <f>_xlfn.XLOOKUP(Pipeline_tbl[[#This Row],[Rep_ID]],Dim_Reps!A:A,Dim_Reps!C:C)</f>
        <v>SDR / Inside Sales Rep</v>
      </c>
      <c r="Q4697" t="str">
        <f>_xlfn.XLOOKUP(Pipeline_tbl[[#This Row],[Rep_ID]],Dim_Reps!A:A,Dim_Reps!D:D)</f>
        <v>Inside Sales</v>
      </c>
      <c r="R4697" t="str">
        <f>_xlfn.XLOOKUP(Pipeline_tbl[[#This Row],[Rep_ID]],Dim_Reps!A:A,Dim_Reps!E:E)</f>
        <v>LATAM</v>
      </c>
      <c r="S4697" t="str">
        <f>_xlfn.XLOOKUP(Pipeline_tbl[[#This Row],[Created_Date]],Dim_Date!A:A,Dim_Date!H:H)</f>
        <v>Feb 2025</v>
      </c>
      <c r="T4697" t="str">
        <f>IF(Pipeline_tbl[[#This Row],[Closed_Date]]=0,"",(_xlfn.XLOOKUP(Pipeline_tbl[[#This Row],[Closed_Date]],Dim_Date!A:A,Dim_Date!H:H)))</f>
        <v>Feb 2025</v>
      </c>
      <c r="U4697">
        <f>IF(Pipeline_tbl[[#This Row],[Closed_Date]]=0,"",Pipeline_tbl[[#This Row],[Closed_Date]]-Pipeline_tbl[[#This Row],[Created_Date]])</f>
        <v>5</v>
      </c>
    </row>
    <row r="4698" spans="1:21" ht="15" customHeight="1" x14ac:dyDescent="0.2">
      <c r="A4698" t="s">
        <v>5004</v>
      </c>
      <c r="B4698" t="s">
        <v>233</v>
      </c>
      <c r="C4698" t="s">
        <v>53</v>
      </c>
      <c r="D4698" s="49">
        <v>45690</v>
      </c>
      <c r="E4698" s="49">
        <v>45692</v>
      </c>
      <c r="F4698" s="49">
        <v>45697</v>
      </c>
      <c r="G4698" s="49">
        <v>45703</v>
      </c>
      <c r="H4698" s="49">
        <v>45709</v>
      </c>
      <c r="I4698" s="49">
        <v>45712</v>
      </c>
      <c r="J4698" t="s">
        <v>47</v>
      </c>
      <c r="K4698" s="33">
        <v>2600</v>
      </c>
      <c r="M4698" t="str">
        <f>_xlfn.XLOOKUP(Pipeline_tbl[[#This Row],[Rep_ID]],Dim_Reps!A:A,Dim_Reps!K:K)</f>
        <v>MXN</v>
      </c>
      <c r="N4698" s="33">
        <f>(_xlfn.XLOOKUP(Pipeline_tbl[[#This Row],[Rate_Code_Generalized]],Lookups!A:A,Lookups!B:B))*Pipeline_tbl[[#This Row],[Pipeline_Amount_USD]]</f>
        <v>51305.020000000004</v>
      </c>
      <c r="O4698" t="str">
        <f>_xlfn.XLOOKUP(Pipeline_tbl[[#This Row],[Rep_ID]],Dim_Reps!A:A,Dim_Reps!B:B)</f>
        <v>Lucas Duarte</v>
      </c>
      <c r="P4698" t="str">
        <f>_xlfn.XLOOKUP(Pipeline_tbl[[#This Row],[Rep_ID]],Dim_Reps!A:A,Dim_Reps!C:C)</f>
        <v>SDR / Inside Sales Rep</v>
      </c>
      <c r="Q4698" t="str">
        <f>_xlfn.XLOOKUP(Pipeline_tbl[[#This Row],[Rep_ID]],Dim_Reps!A:A,Dim_Reps!D:D)</f>
        <v>Inside Sales</v>
      </c>
      <c r="R4698" t="str">
        <f>_xlfn.XLOOKUP(Pipeline_tbl[[#This Row],[Rep_ID]],Dim_Reps!A:A,Dim_Reps!E:E)</f>
        <v>LATAM</v>
      </c>
      <c r="S4698" t="str">
        <f>_xlfn.XLOOKUP(Pipeline_tbl[[#This Row],[Created_Date]],Dim_Date!A:A,Dim_Date!H:H)</f>
        <v>Feb 2025</v>
      </c>
      <c r="T4698" t="str">
        <f>IF(Pipeline_tbl[[#This Row],[Closed_Date]]=0,"",(_xlfn.XLOOKUP(Pipeline_tbl[[#This Row],[Closed_Date]],Dim_Date!A:A,Dim_Date!H:H)))</f>
        <v>Feb 2025</v>
      </c>
      <c r="U4698">
        <f>IF(Pipeline_tbl[[#This Row],[Closed_Date]]=0,"",Pipeline_tbl[[#This Row],[Closed_Date]]-Pipeline_tbl[[#This Row],[Created_Date]])</f>
        <v>22</v>
      </c>
    </row>
    <row r="4699" spans="1:21" ht="15" customHeight="1" x14ac:dyDescent="0.2">
      <c r="A4699" t="s">
        <v>5005</v>
      </c>
      <c r="B4699" t="s">
        <v>235</v>
      </c>
      <c r="C4699" t="s">
        <v>52</v>
      </c>
      <c r="D4699" s="49">
        <v>45693</v>
      </c>
      <c r="E4699" s="49">
        <v>45694</v>
      </c>
      <c r="F4699" s="49">
        <v>45695</v>
      </c>
      <c r="G4699" s="49">
        <v>45698</v>
      </c>
      <c r="H4699" s="49">
        <v>45700</v>
      </c>
      <c r="I4699" s="49">
        <v>45701</v>
      </c>
      <c r="J4699" t="s">
        <v>47</v>
      </c>
      <c r="K4699" s="33">
        <v>2900</v>
      </c>
      <c r="M4699" t="str">
        <f>_xlfn.XLOOKUP(Pipeline_tbl[[#This Row],[Rep_ID]],Dim_Reps!A:A,Dim_Reps!K:K)</f>
        <v>MXN</v>
      </c>
      <c r="N4699" s="33">
        <f>(_xlfn.XLOOKUP(Pipeline_tbl[[#This Row],[Rate_Code_Generalized]],Lookups!A:A,Lookups!B:B))*Pipeline_tbl[[#This Row],[Pipeline_Amount_USD]]</f>
        <v>57224.83</v>
      </c>
      <c r="O4699" t="str">
        <f>_xlfn.XLOOKUP(Pipeline_tbl[[#This Row],[Rep_ID]],Dim_Reps!A:A,Dim_Reps!B:B)</f>
        <v>Milo Castro</v>
      </c>
      <c r="P4699" t="str">
        <f>_xlfn.XLOOKUP(Pipeline_tbl[[#This Row],[Rep_ID]],Dim_Reps!A:A,Dim_Reps!C:C)</f>
        <v>SDR / Inside Sales Rep</v>
      </c>
      <c r="Q4699" t="str">
        <f>_xlfn.XLOOKUP(Pipeline_tbl[[#This Row],[Rep_ID]],Dim_Reps!A:A,Dim_Reps!D:D)</f>
        <v>Inside Sales</v>
      </c>
      <c r="R4699" t="str">
        <f>_xlfn.XLOOKUP(Pipeline_tbl[[#This Row],[Rep_ID]],Dim_Reps!A:A,Dim_Reps!E:E)</f>
        <v>LATAM</v>
      </c>
      <c r="S4699" t="str">
        <f>_xlfn.XLOOKUP(Pipeline_tbl[[#This Row],[Created_Date]],Dim_Date!A:A,Dim_Date!H:H)</f>
        <v>Feb 2025</v>
      </c>
      <c r="T4699" t="str">
        <f>IF(Pipeline_tbl[[#This Row],[Closed_Date]]=0,"",(_xlfn.XLOOKUP(Pipeline_tbl[[#This Row],[Closed_Date]],Dim_Date!A:A,Dim_Date!H:H)))</f>
        <v>Feb 2025</v>
      </c>
      <c r="U4699">
        <f>IF(Pipeline_tbl[[#This Row],[Closed_Date]]=0,"",Pipeline_tbl[[#This Row],[Closed_Date]]-Pipeline_tbl[[#This Row],[Created_Date]])</f>
        <v>8</v>
      </c>
    </row>
    <row r="4700" spans="1:21" ht="15" customHeight="1" x14ac:dyDescent="0.2">
      <c r="A4700" t="s">
        <v>5006</v>
      </c>
      <c r="B4700" t="s">
        <v>235</v>
      </c>
      <c r="C4700" t="s">
        <v>55</v>
      </c>
      <c r="D4700" s="49">
        <v>45697</v>
      </c>
      <c r="E4700" s="49">
        <v>45699</v>
      </c>
      <c r="I4700" s="49">
        <v>45714</v>
      </c>
      <c r="J4700" t="s">
        <v>49</v>
      </c>
      <c r="K4700" s="33">
        <v>3500</v>
      </c>
      <c r="L4700" t="s">
        <v>61</v>
      </c>
      <c r="M4700" t="str">
        <f>_xlfn.XLOOKUP(Pipeline_tbl[[#This Row],[Rep_ID]],Dim_Reps!A:A,Dim_Reps!K:K)</f>
        <v>MXN</v>
      </c>
      <c r="N4700" s="33">
        <f>(_xlfn.XLOOKUP(Pipeline_tbl[[#This Row],[Rate_Code_Generalized]],Lookups!A:A,Lookups!B:B))*Pipeline_tbl[[#This Row],[Pipeline_Amount_USD]]</f>
        <v>69064.45</v>
      </c>
      <c r="O4700" t="str">
        <f>_xlfn.XLOOKUP(Pipeline_tbl[[#This Row],[Rep_ID]],Dim_Reps!A:A,Dim_Reps!B:B)</f>
        <v>Milo Castro</v>
      </c>
      <c r="P4700" t="str">
        <f>_xlfn.XLOOKUP(Pipeline_tbl[[#This Row],[Rep_ID]],Dim_Reps!A:A,Dim_Reps!C:C)</f>
        <v>SDR / Inside Sales Rep</v>
      </c>
      <c r="Q4700" t="str">
        <f>_xlfn.XLOOKUP(Pipeline_tbl[[#This Row],[Rep_ID]],Dim_Reps!A:A,Dim_Reps!D:D)</f>
        <v>Inside Sales</v>
      </c>
      <c r="R4700" t="str">
        <f>_xlfn.XLOOKUP(Pipeline_tbl[[#This Row],[Rep_ID]],Dim_Reps!A:A,Dim_Reps!E:E)</f>
        <v>LATAM</v>
      </c>
      <c r="S4700" t="str">
        <f>_xlfn.XLOOKUP(Pipeline_tbl[[#This Row],[Created_Date]],Dim_Date!A:A,Dim_Date!H:H)</f>
        <v>Feb 2025</v>
      </c>
      <c r="T4700" t="str">
        <f>IF(Pipeline_tbl[[#This Row],[Closed_Date]]=0,"",(_xlfn.XLOOKUP(Pipeline_tbl[[#This Row],[Closed_Date]],Dim_Date!A:A,Dim_Date!H:H)))</f>
        <v>Feb 2025</v>
      </c>
      <c r="U4700">
        <f>IF(Pipeline_tbl[[#This Row],[Closed_Date]]=0,"",Pipeline_tbl[[#This Row],[Closed_Date]]-Pipeline_tbl[[#This Row],[Created_Date]])</f>
        <v>17</v>
      </c>
    </row>
    <row r="4701" spans="1:21" ht="15" customHeight="1" x14ac:dyDescent="0.2">
      <c r="A4701" t="s">
        <v>5007</v>
      </c>
      <c r="B4701" t="s">
        <v>237</v>
      </c>
      <c r="C4701" t="s">
        <v>53</v>
      </c>
      <c r="D4701" s="49">
        <v>45697</v>
      </c>
      <c r="E4701" s="49">
        <v>45698</v>
      </c>
      <c r="F4701" s="49">
        <v>45701</v>
      </c>
      <c r="G4701" s="49">
        <v>45704</v>
      </c>
      <c r="H4701" s="49">
        <v>45707</v>
      </c>
      <c r="I4701" s="49">
        <v>45709</v>
      </c>
      <c r="J4701" t="s">
        <v>49</v>
      </c>
      <c r="K4701" s="33">
        <v>2500</v>
      </c>
      <c r="L4701" t="s">
        <v>62</v>
      </c>
      <c r="M4701" t="str">
        <f>_xlfn.XLOOKUP(Pipeline_tbl[[#This Row],[Rep_ID]],Dim_Reps!A:A,Dim_Reps!K:K)</f>
        <v>EUR</v>
      </c>
      <c r="N4701" s="33">
        <f>(_xlfn.XLOOKUP(Pipeline_tbl[[#This Row],[Rate_Code_Generalized]],Lookups!A:A,Lookups!B:B))*Pipeline_tbl[[#This Row],[Pipeline_Amount_USD]]</f>
        <v>2500</v>
      </c>
      <c r="O4701" t="str">
        <f>_xlfn.XLOOKUP(Pipeline_tbl[[#This Row],[Rep_ID]],Dim_Reps!A:A,Dim_Reps!B:B)</f>
        <v>Hugo Santos</v>
      </c>
      <c r="P4701" t="str">
        <f>_xlfn.XLOOKUP(Pipeline_tbl[[#This Row],[Rep_ID]],Dim_Reps!A:A,Dim_Reps!C:C)</f>
        <v>SDR / Inside Sales Rep</v>
      </c>
      <c r="Q4701" t="str">
        <f>_xlfn.XLOOKUP(Pipeline_tbl[[#This Row],[Rep_ID]],Dim_Reps!A:A,Dim_Reps!D:D)</f>
        <v>Inside Sales</v>
      </c>
      <c r="R4701" t="str">
        <f>_xlfn.XLOOKUP(Pipeline_tbl[[#This Row],[Rep_ID]],Dim_Reps!A:A,Dim_Reps!E:E)</f>
        <v>EMEA</v>
      </c>
      <c r="S4701" t="str">
        <f>_xlfn.XLOOKUP(Pipeline_tbl[[#This Row],[Created_Date]],Dim_Date!A:A,Dim_Date!H:H)</f>
        <v>Feb 2025</v>
      </c>
      <c r="T4701" t="str">
        <f>IF(Pipeline_tbl[[#This Row],[Closed_Date]]=0,"",(_xlfn.XLOOKUP(Pipeline_tbl[[#This Row],[Closed_Date]],Dim_Date!A:A,Dim_Date!H:H)))</f>
        <v>Feb 2025</v>
      </c>
      <c r="U4701">
        <f>IF(Pipeline_tbl[[#This Row],[Closed_Date]]=0,"",Pipeline_tbl[[#This Row],[Closed_Date]]-Pipeline_tbl[[#This Row],[Created_Date]])</f>
        <v>12</v>
      </c>
    </row>
    <row r="4702" spans="1:21" ht="15" customHeight="1" x14ac:dyDescent="0.2">
      <c r="A4702" t="s">
        <v>5008</v>
      </c>
      <c r="B4702" t="s">
        <v>237</v>
      </c>
      <c r="C4702" t="s">
        <v>55</v>
      </c>
      <c r="D4702" s="49">
        <v>45691</v>
      </c>
      <c r="E4702" s="49">
        <v>45693</v>
      </c>
      <c r="F4702" s="49">
        <v>45696</v>
      </c>
      <c r="I4702" s="49">
        <v>45709</v>
      </c>
      <c r="J4702" t="s">
        <v>49</v>
      </c>
      <c r="K4702" s="33">
        <v>4400</v>
      </c>
      <c r="L4702" t="s">
        <v>60</v>
      </c>
      <c r="M4702" t="str">
        <f>_xlfn.XLOOKUP(Pipeline_tbl[[#This Row],[Rep_ID]],Dim_Reps!A:A,Dim_Reps!K:K)</f>
        <v>EUR</v>
      </c>
      <c r="N4702" s="33">
        <f>(_xlfn.XLOOKUP(Pipeline_tbl[[#This Row],[Rate_Code_Generalized]],Lookups!A:A,Lookups!B:B))*Pipeline_tbl[[#This Row],[Pipeline_Amount_USD]]</f>
        <v>4400</v>
      </c>
      <c r="O4702" t="str">
        <f>_xlfn.XLOOKUP(Pipeline_tbl[[#This Row],[Rep_ID]],Dim_Reps!A:A,Dim_Reps!B:B)</f>
        <v>Hugo Santos</v>
      </c>
      <c r="P4702" t="str">
        <f>_xlfn.XLOOKUP(Pipeline_tbl[[#This Row],[Rep_ID]],Dim_Reps!A:A,Dim_Reps!C:C)</f>
        <v>SDR / Inside Sales Rep</v>
      </c>
      <c r="Q4702" t="str">
        <f>_xlfn.XLOOKUP(Pipeline_tbl[[#This Row],[Rep_ID]],Dim_Reps!A:A,Dim_Reps!D:D)</f>
        <v>Inside Sales</v>
      </c>
      <c r="R4702" t="str">
        <f>_xlfn.XLOOKUP(Pipeline_tbl[[#This Row],[Rep_ID]],Dim_Reps!A:A,Dim_Reps!E:E)</f>
        <v>EMEA</v>
      </c>
      <c r="S4702" t="str">
        <f>_xlfn.XLOOKUP(Pipeline_tbl[[#This Row],[Created_Date]],Dim_Date!A:A,Dim_Date!H:H)</f>
        <v>Feb 2025</v>
      </c>
      <c r="T4702" t="str">
        <f>IF(Pipeline_tbl[[#This Row],[Closed_Date]]=0,"",(_xlfn.XLOOKUP(Pipeline_tbl[[#This Row],[Closed_Date]],Dim_Date!A:A,Dim_Date!H:H)))</f>
        <v>Feb 2025</v>
      </c>
      <c r="U4702">
        <f>IF(Pipeline_tbl[[#This Row],[Closed_Date]]=0,"",Pipeline_tbl[[#This Row],[Closed_Date]]-Pipeline_tbl[[#This Row],[Created_Date]])</f>
        <v>18</v>
      </c>
    </row>
    <row r="4703" spans="1:21" ht="15" customHeight="1" x14ac:dyDescent="0.2">
      <c r="A4703" t="s">
        <v>5009</v>
      </c>
      <c r="B4703" t="s">
        <v>237</v>
      </c>
      <c r="C4703" t="s">
        <v>52</v>
      </c>
      <c r="D4703" s="49">
        <v>45699</v>
      </c>
      <c r="E4703" s="49">
        <v>45700</v>
      </c>
      <c r="F4703" s="49">
        <v>45701</v>
      </c>
      <c r="G4703" s="49">
        <v>45703</v>
      </c>
      <c r="I4703" s="49">
        <v>45706</v>
      </c>
      <c r="J4703" t="s">
        <v>49</v>
      </c>
      <c r="K4703" s="33">
        <v>3600</v>
      </c>
      <c r="L4703" t="s">
        <v>64</v>
      </c>
      <c r="M4703" t="str">
        <f>_xlfn.XLOOKUP(Pipeline_tbl[[#This Row],[Rep_ID]],Dim_Reps!A:A,Dim_Reps!K:K)</f>
        <v>EUR</v>
      </c>
      <c r="N4703" s="33">
        <f>(_xlfn.XLOOKUP(Pipeline_tbl[[#This Row],[Rate_Code_Generalized]],Lookups!A:A,Lookups!B:B))*Pipeline_tbl[[#This Row],[Pipeline_Amount_USD]]</f>
        <v>3600</v>
      </c>
      <c r="O4703" t="str">
        <f>_xlfn.XLOOKUP(Pipeline_tbl[[#This Row],[Rep_ID]],Dim_Reps!A:A,Dim_Reps!B:B)</f>
        <v>Hugo Santos</v>
      </c>
      <c r="P4703" t="str">
        <f>_xlfn.XLOOKUP(Pipeline_tbl[[#This Row],[Rep_ID]],Dim_Reps!A:A,Dim_Reps!C:C)</f>
        <v>SDR / Inside Sales Rep</v>
      </c>
      <c r="Q4703" t="str">
        <f>_xlfn.XLOOKUP(Pipeline_tbl[[#This Row],[Rep_ID]],Dim_Reps!A:A,Dim_Reps!D:D)</f>
        <v>Inside Sales</v>
      </c>
      <c r="R4703" t="str">
        <f>_xlfn.XLOOKUP(Pipeline_tbl[[#This Row],[Rep_ID]],Dim_Reps!A:A,Dim_Reps!E:E)</f>
        <v>EMEA</v>
      </c>
      <c r="S4703" t="str">
        <f>_xlfn.XLOOKUP(Pipeline_tbl[[#This Row],[Created_Date]],Dim_Date!A:A,Dim_Date!H:H)</f>
        <v>Feb 2025</v>
      </c>
      <c r="T4703" t="str">
        <f>IF(Pipeline_tbl[[#This Row],[Closed_Date]]=0,"",(_xlfn.XLOOKUP(Pipeline_tbl[[#This Row],[Closed_Date]],Dim_Date!A:A,Dim_Date!H:H)))</f>
        <v>Feb 2025</v>
      </c>
      <c r="U4703">
        <f>IF(Pipeline_tbl[[#This Row],[Closed_Date]]=0,"",Pipeline_tbl[[#This Row],[Closed_Date]]-Pipeline_tbl[[#This Row],[Created_Date]])</f>
        <v>7</v>
      </c>
    </row>
    <row r="4704" spans="1:21" ht="15" customHeight="1" x14ac:dyDescent="0.2">
      <c r="A4704" t="s">
        <v>5010</v>
      </c>
      <c r="B4704" t="s">
        <v>237</v>
      </c>
      <c r="C4704" t="s">
        <v>52</v>
      </c>
      <c r="D4704" s="49">
        <v>45694</v>
      </c>
      <c r="E4704" s="49">
        <v>45696</v>
      </c>
      <c r="F4704" s="49">
        <v>45701</v>
      </c>
      <c r="G4704" s="49">
        <v>45707</v>
      </c>
      <c r="H4704" s="49">
        <v>45713</v>
      </c>
      <c r="I4704" s="49">
        <v>45716</v>
      </c>
      <c r="J4704" t="s">
        <v>47</v>
      </c>
      <c r="K4704" s="33">
        <v>2000</v>
      </c>
      <c r="M4704" t="str">
        <f>_xlfn.XLOOKUP(Pipeline_tbl[[#This Row],[Rep_ID]],Dim_Reps!A:A,Dim_Reps!K:K)</f>
        <v>EUR</v>
      </c>
      <c r="N4704" s="33">
        <f>(_xlfn.XLOOKUP(Pipeline_tbl[[#This Row],[Rate_Code_Generalized]],Lookups!A:A,Lookups!B:B))*Pipeline_tbl[[#This Row],[Pipeline_Amount_USD]]</f>
        <v>2000</v>
      </c>
      <c r="O4704" t="str">
        <f>_xlfn.XLOOKUP(Pipeline_tbl[[#This Row],[Rep_ID]],Dim_Reps!A:A,Dim_Reps!B:B)</f>
        <v>Hugo Santos</v>
      </c>
      <c r="P4704" t="str">
        <f>_xlfn.XLOOKUP(Pipeline_tbl[[#This Row],[Rep_ID]],Dim_Reps!A:A,Dim_Reps!C:C)</f>
        <v>SDR / Inside Sales Rep</v>
      </c>
      <c r="Q4704" t="str">
        <f>_xlfn.XLOOKUP(Pipeline_tbl[[#This Row],[Rep_ID]],Dim_Reps!A:A,Dim_Reps!D:D)</f>
        <v>Inside Sales</v>
      </c>
      <c r="R4704" t="str">
        <f>_xlfn.XLOOKUP(Pipeline_tbl[[#This Row],[Rep_ID]],Dim_Reps!A:A,Dim_Reps!E:E)</f>
        <v>EMEA</v>
      </c>
      <c r="S4704" t="str">
        <f>_xlfn.XLOOKUP(Pipeline_tbl[[#This Row],[Created_Date]],Dim_Date!A:A,Dim_Date!H:H)</f>
        <v>Feb 2025</v>
      </c>
      <c r="T4704" t="str">
        <f>IF(Pipeline_tbl[[#This Row],[Closed_Date]]=0,"",(_xlfn.XLOOKUP(Pipeline_tbl[[#This Row],[Closed_Date]],Dim_Date!A:A,Dim_Date!H:H)))</f>
        <v>Feb 2025</v>
      </c>
      <c r="U4704">
        <f>IF(Pipeline_tbl[[#This Row],[Closed_Date]]=0,"",Pipeline_tbl[[#This Row],[Closed_Date]]-Pipeline_tbl[[#This Row],[Created_Date]])</f>
        <v>22</v>
      </c>
    </row>
    <row r="4705" spans="1:21" ht="15" customHeight="1" x14ac:dyDescent="0.2">
      <c r="A4705" t="s">
        <v>5011</v>
      </c>
      <c r="B4705" t="s">
        <v>241</v>
      </c>
      <c r="C4705" t="s">
        <v>54</v>
      </c>
      <c r="D4705" s="49">
        <v>45689</v>
      </c>
      <c r="E4705" s="49">
        <v>45691</v>
      </c>
      <c r="F4705" s="49">
        <v>45697</v>
      </c>
      <c r="G4705" s="49">
        <v>45704</v>
      </c>
      <c r="I4705" s="49">
        <v>45714</v>
      </c>
      <c r="J4705" t="s">
        <v>49</v>
      </c>
      <c r="K4705" s="33">
        <v>5600</v>
      </c>
      <c r="L4705" t="s">
        <v>61</v>
      </c>
      <c r="M4705" t="str">
        <f>_xlfn.XLOOKUP(Pipeline_tbl[[#This Row],[Rep_ID]],Dim_Reps!A:A,Dim_Reps!K:K)</f>
        <v>EUR</v>
      </c>
      <c r="N4705" s="33">
        <f>(_xlfn.XLOOKUP(Pipeline_tbl[[#This Row],[Rate_Code_Generalized]],Lookups!A:A,Lookups!B:B))*Pipeline_tbl[[#This Row],[Pipeline_Amount_USD]]</f>
        <v>5600</v>
      </c>
      <c r="O4705" t="str">
        <f>_xlfn.XLOOKUP(Pipeline_tbl[[#This Row],[Rep_ID]],Dim_Reps!A:A,Dim_Reps!B:B)</f>
        <v>Kenji Weber</v>
      </c>
      <c r="P4705" t="str">
        <f>_xlfn.XLOOKUP(Pipeline_tbl[[#This Row],[Rep_ID]],Dim_Reps!A:A,Dim_Reps!C:C)</f>
        <v>SDR / Inside Sales Rep</v>
      </c>
      <c r="Q4705" t="str">
        <f>_xlfn.XLOOKUP(Pipeline_tbl[[#This Row],[Rep_ID]],Dim_Reps!A:A,Dim_Reps!D:D)</f>
        <v>Inside Sales</v>
      </c>
      <c r="R4705" t="str">
        <f>_xlfn.XLOOKUP(Pipeline_tbl[[#This Row],[Rep_ID]],Dim_Reps!A:A,Dim_Reps!E:E)</f>
        <v>APAC</v>
      </c>
      <c r="S4705" t="str">
        <f>_xlfn.XLOOKUP(Pipeline_tbl[[#This Row],[Created_Date]],Dim_Date!A:A,Dim_Date!H:H)</f>
        <v>Feb 2025</v>
      </c>
      <c r="T4705" t="str">
        <f>IF(Pipeline_tbl[[#This Row],[Closed_Date]]=0,"",(_xlfn.XLOOKUP(Pipeline_tbl[[#This Row],[Closed_Date]],Dim_Date!A:A,Dim_Date!H:H)))</f>
        <v>Feb 2025</v>
      </c>
      <c r="U4705">
        <f>IF(Pipeline_tbl[[#This Row],[Closed_Date]]=0,"",Pipeline_tbl[[#This Row],[Closed_Date]]-Pipeline_tbl[[#This Row],[Created_Date]])</f>
        <v>25</v>
      </c>
    </row>
    <row r="4706" spans="1:21" ht="15" customHeight="1" x14ac:dyDescent="0.2">
      <c r="A4706" t="s">
        <v>5012</v>
      </c>
      <c r="B4706" t="s">
        <v>241</v>
      </c>
      <c r="C4706" t="s">
        <v>53</v>
      </c>
      <c r="D4706" s="49">
        <v>45693</v>
      </c>
      <c r="E4706" s="49">
        <v>45695</v>
      </c>
      <c r="F4706" s="49">
        <v>45700</v>
      </c>
      <c r="G4706" s="49">
        <v>45706</v>
      </c>
      <c r="H4706" s="49">
        <v>45712</v>
      </c>
      <c r="I4706" s="49">
        <v>45715</v>
      </c>
      <c r="J4706" t="s">
        <v>47</v>
      </c>
      <c r="K4706" s="33">
        <v>6900</v>
      </c>
      <c r="M4706" t="str">
        <f>_xlfn.XLOOKUP(Pipeline_tbl[[#This Row],[Rep_ID]],Dim_Reps!A:A,Dim_Reps!K:K)</f>
        <v>EUR</v>
      </c>
      <c r="N4706" s="33">
        <f>(_xlfn.XLOOKUP(Pipeline_tbl[[#This Row],[Rate_Code_Generalized]],Lookups!A:A,Lookups!B:B))*Pipeline_tbl[[#This Row],[Pipeline_Amount_USD]]</f>
        <v>6900</v>
      </c>
      <c r="O4706" t="str">
        <f>_xlfn.XLOOKUP(Pipeline_tbl[[#This Row],[Rep_ID]],Dim_Reps!A:A,Dim_Reps!B:B)</f>
        <v>Kenji Weber</v>
      </c>
      <c r="P4706" t="str">
        <f>_xlfn.XLOOKUP(Pipeline_tbl[[#This Row],[Rep_ID]],Dim_Reps!A:A,Dim_Reps!C:C)</f>
        <v>SDR / Inside Sales Rep</v>
      </c>
      <c r="Q4706" t="str">
        <f>_xlfn.XLOOKUP(Pipeline_tbl[[#This Row],[Rep_ID]],Dim_Reps!A:A,Dim_Reps!D:D)</f>
        <v>Inside Sales</v>
      </c>
      <c r="R4706" t="str">
        <f>_xlfn.XLOOKUP(Pipeline_tbl[[#This Row],[Rep_ID]],Dim_Reps!A:A,Dim_Reps!E:E)</f>
        <v>APAC</v>
      </c>
      <c r="S4706" t="str">
        <f>_xlfn.XLOOKUP(Pipeline_tbl[[#This Row],[Created_Date]],Dim_Date!A:A,Dim_Date!H:H)</f>
        <v>Feb 2025</v>
      </c>
      <c r="T4706" t="str">
        <f>IF(Pipeline_tbl[[#This Row],[Closed_Date]]=0,"",(_xlfn.XLOOKUP(Pipeline_tbl[[#This Row],[Closed_Date]],Dim_Date!A:A,Dim_Date!H:H)))</f>
        <v>Feb 2025</v>
      </c>
      <c r="U4706">
        <f>IF(Pipeline_tbl[[#This Row],[Closed_Date]]=0,"",Pipeline_tbl[[#This Row],[Closed_Date]]-Pipeline_tbl[[#This Row],[Created_Date]])</f>
        <v>22</v>
      </c>
    </row>
    <row r="4707" spans="1:21" ht="15" customHeight="1" x14ac:dyDescent="0.2">
      <c r="A4707" t="s">
        <v>5013</v>
      </c>
      <c r="B4707" t="s">
        <v>241</v>
      </c>
      <c r="C4707" t="s">
        <v>53</v>
      </c>
      <c r="D4707" s="49">
        <v>45692</v>
      </c>
      <c r="E4707" s="49">
        <v>45694</v>
      </c>
      <c r="F4707" s="49">
        <v>45697</v>
      </c>
      <c r="I4707" s="49">
        <v>45707</v>
      </c>
      <c r="J4707" t="s">
        <v>49</v>
      </c>
      <c r="K4707" s="33">
        <v>5100</v>
      </c>
      <c r="L4707" t="s">
        <v>63</v>
      </c>
      <c r="M4707" t="str">
        <f>_xlfn.XLOOKUP(Pipeline_tbl[[#This Row],[Rep_ID]],Dim_Reps!A:A,Dim_Reps!K:K)</f>
        <v>EUR</v>
      </c>
      <c r="N4707" s="33">
        <f>(_xlfn.XLOOKUP(Pipeline_tbl[[#This Row],[Rate_Code_Generalized]],Lookups!A:A,Lookups!B:B))*Pipeline_tbl[[#This Row],[Pipeline_Amount_USD]]</f>
        <v>5100</v>
      </c>
      <c r="O4707" t="str">
        <f>_xlfn.XLOOKUP(Pipeline_tbl[[#This Row],[Rep_ID]],Dim_Reps!A:A,Dim_Reps!B:B)</f>
        <v>Kenji Weber</v>
      </c>
      <c r="P4707" t="str">
        <f>_xlfn.XLOOKUP(Pipeline_tbl[[#This Row],[Rep_ID]],Dim_Reps!A:A,Dim_Reps!C:C)</f>
        <v>SDR / Inside Sales Rep</v>
      </c>
      <c r="Q4707" t="str">
        <f>_xlfn.XLOOKUP(Pipeline_tbl[[#This Row],[Rep_ID]],Dim_Reps!A:A,Dim_Reps!D:D)</f>
        <v>Inside Sales</v>
      </c>
      <c r="R4707" t="str">
        <f>_xlfn.XLOOKUP(Pipeline_tbl[[#This Row],[Rep_ID]],Dim_Reps!A:A,Dim_Reps!E:E)</f>
        <v>APAC</v>
      </c>
      <c r="S4707" t="str">
        <f>_xlfn.XLOOKUP(Pipeline_tbl[[#This Row],[Created_Date]],Dim_Date!A:A,Dim_Date!H:H)</f>
        <v>Feb 2025</v>
      </c>
      <c r="T4707" t="str">
        <f>IF(Pipeline_tbl[[#This Row],[Closed_Date]]=0,"",(_xlfn.XLOOKUP(Pipeline_tbl[[#This Row],[Closed_Date]],Dim_Date!A:A,Dim_Date!H:H)))</f>
        <v>Feb 2025</v>
      </c>
      <c r="U4707">
        <f>IF(Pipeline_tbl[[#This Row],[Closed_Date]]=0,"",Pipeline_tbl[[#This Row],[Closed_Date]]-Pipeline_tbl[[#This Row],[Created_Date]])</f>
        <v>15</v>
      </c>
    </row>
    <row r="4708" spans="1:21" ht="15" customHeight="1" x14ac:dyDescent="0.2">
      <c r="A4708" t="s">
        <v>5014</v>
      </c>
      <c r="B4708" t="s">
        <v>241</v>
      </c>
      <c r="C4708" t="s">
        <v>52</v>
      </c>
      <c r="D4708" s="49">
        <v>45690</v>
      </c>
      <c r="E4708" s="49">
        <v>45692</v>
      </c>
      <c r="F4708" s="49">
        <v>45697</v>
      </c>
      <c r="G4708" s="49">
        <v>45704</v>
      </c>
      <c r="H4708" s="49">
        <v>45710</v>
      </c>
      <c r="I4708" s="49">
        <v>45713</v>
      </c>
      <c r="J4708" t="s">
        <v>47</v>
      </c>
      <c r="K4708" s="33">
        <v>3000</v>
      </c>
      <c r="M4708" t="str">
        <f>_xlfn.XLOOKUP(Pipeline_tbl[[#This Row],[Rep_ID]],Dim_Reps!A:A,Dim_Reps!K:K)</f>
        <v>EUR</v>
      </c>
      <c r="N4708" s="33">
        <f>(_xlfn.XLOOKUP(Pipeline_tbl[[#This Row],[Rate_Code_Generalized]],Lookups!A:A,Lookups!B:B))*Pipeline_tbl[[#This Row],[Pipeline_Amount_USD]]</f>
        <v>3000</v>
      </c>
      <c r="O4708" t="str">
        <f>_xlfn.XLOOKUP(Pipeline_tbl[[#This Row],[Rep_ID]],Dim_Reps!A:A,Dim_Reps!B:B)</f>
        <v>Kenji Weber</v>
      </c>
      <c r="P4708" t="str">
        <f>_xlfn.XLOOKUP(Pipeline_tbl[[#This Row],[Rep_ID]],Dim_Reps!A:A,Dim_Reps!C:C)</f>
        <v>SDR / Inside Sales Rep</v>
      </c>
      <c r="Q4708" t="str">
        <f>_xlfn.XLOOKUP(Pipeline_tbl[[#This Row],[Rep_ID]],Dim_Reps!A:A,Dim_Reps!D:D)</f>
        <v>Inside Sales</v>
      </c>
      <c r="R4708" t="str">
        <f>_xlfn.XLOOKUP(Pipeline_tbl[[#This Row],[Rep_ID]],Dim_Reps!A:A,Dim_Reps!E:E)</f>
        <v>APAC</v>
      </c>
      <c r="S4708" t="str">
        <f>_xlfn.XLOOKUP(Pipeline_tbl[[#This Row],[Created_Date]],Dim_Date!A:A,Dim_Date!H:H)</f>
        <v>Feb 2025</v>
      </c>
      <c r="T4708" t="str">
        <f>IF(Pipeline_tbl[[#This Row],[Closed_Date]]=0,"",(_xlfn.XLOOKUP(Pipeline_tbl[[#This Row],[Closed_Date]],Dim_Date!A:A,Dim_Date!H:H)))</f>
        <v>Feb 2025</v>
      </c>
      <c r="U4708">
        <f>IF(Pipeline_tbl[[#This Row],[Closed_Date]]=0,"",Pipeline_tbl[[#This Row],[Closed_Date]]-Pipeline_tbl[[#This Row],[Created_Date]])</f>
        <v>23</v>
      </c>
    </row>
    <row r="4709" spans="1:21" ht="15" customHeight="1" x14ac:dyDescent="0.2">
      <c r="A4709" t="s">
        <v>5015</v>
      </c>
      <c r="B4709" t="s">
        <v>241</v>
      </c>
      <c r="C4709" t="s">
        <v>52</v>
      </c>
      <c r="D4709" s="49">
        <v>45689</v>
      </c>
      <c r="E4709" s="49">
        <v>45691</v>
      </c>
      <c r="F4709" s="49">
        <v>45694</v>
      </c>
      <c r="G4709" s="49">
        <v>45700</v>
      </c>
      <c r="I4709" s="49">
        <v>45707</v>
      </c>
      <c r="J4709" t="s">
        <v>49</v>
      </c>
      <c r="K4709" s="33">
        <v>2000</v>
      </c>
      <c r="L4709" t="s">
        <v>62</v>
      </c>
      <c r="M4709" t="str">
        <f>_xlfn.XLOOKUP(Pipeline_tbl[[#This Row],[Rep_ID]],Dim_Reps!A:A,Dim_Reps!K:K)</f>
        <v>EUR</v>
      </c>
      <c r="N4709" s="33">
        <f>(_xlfn.XLOOKUP(Pipeline_tbl[[#This Row],[Rate_Code_Generalized]],Lookups!A:A,Lookups!B:B))*Pipeline_tbl[[#This Row],[Pipeline_Amount_USD]]</f>
        <v>2000</v>
      </c>
      <c r="O4709" t="str">
        <f>_xlfn.XLOOKUP(Pipeline_tbl[[#This Row],[Rep_ID]],Dim_Reps!A:A,Dim_Reps!B:B)</f>
        <v>Kenji Weber</v>
      </c>
      <c r="P4709" t="str">
        <f>_xlfn.XLOOKUP(Pipeline_tbl[[#This Row],[Rep_ID]],Dim_Reps!A:A,Dim_Reps!C:C)</f>
        <v>SDR / Inside Sales Rep</v>
      </c>
      <c r="Q4709" t="str">
        <f>_xlfn.XLOOKUP(Pipeline_tbl[[#This Row],[Rep_ID]],Dim_Reps!A:A,Dim_Reps!D:D)</f>
        <v>Inside Sales</v>
      </c>
      <c r="R4709" t="str">
        <f>_xlfn.XLOOKUP(Pipeline_tbl[[#This Row],[Rep_ID]],Dim_Reps!A:A,Dim_Reps!E:E)</f>
        <v>APAC</v>
      </c>
      <c r="S4709" t="str">
        <f>_xlfn.XLOOKUP(Pipeline_tbl[[#This Row],[Created_Date]],Dim_Date!A:A,Dim_Date!H:H)</f>
        <v>Feb 2025</v>
      </c>
      <c r="T4709" t="str">
        <f>IF(Pipeline_tbl[[#This Row],[Closed_Date]]=0,"",(_xlfn.XLOOKUP(Pipeline_tbl[[#This Row],[Closed_Date]],Dim_Date!A:A,Dim_Date!H:H)))</f>
        <v>Feb 2025</v>
      </c>
      <c r="U4709">
        <f>IF(Pipeline_tbl[[#This Row],[Closed_Date]]=0,"",Pipeline_tbl[[#This Row],[Closed_Date]]-Pipeline_tbl[[#This Row],[Created_Date]])</f>
        <v>18</v>
      </c>
    </row>
    <row r="4710" spans="1:21" ht="15" customHeight="1" x14ac:dyDescent="0.2">
      <c r="A4710" t="s">
        <v>5016</v>
      </c>
      <c r="B4710" t="s">
        <v>241</v>
      </c>
      <c r="C4710" t="s">
        <v>54</v>
      </c>
      <c r="D4710" s="49">
        <v>45691</v>
      </c>
      <c r="E4710" s="49">
        <v>45692</v>
      </c>
      <c r="F4710" s="49">
        <v>45695</v>
      </c>
      <c r="G4710" s="49">
        <v>45698</v>
      </c>
      <c r="H4710" s="49">
        <v>45701</v>
      </c>
      <c r="I4710" s="49">
        <v>45703</v>
      </c>
      <c r="J4710" t="s">
        <v>49</v>
      </c>
      <c r="K4710" s="33">
        <v>1800</v>
      </c>
      <c r="L4710" t="s">
        <v>64</v>
      </c>
      <c r="M4710" t="str">
        <f>_xlfn.XLOOKUP(Pipeline_tbl[[#This Row],[Rep_ID]],Dim_Reps!A:A,Dim_Reps!K:K)</f>
        <v>EUR</v>
      </c>
      <c r="N4710" s="33">
        <f>(_xlfn.XLOOKUP(Pipeline_tbl[[#This Row],[Rate_Code_Generalized]],Lookups!A:A,Lookups!B:B))*Pipeline_tbl[[#This Row],[Pipeline_Amount_USD]]</f>
        <v>1800</v>
      </c>
      <c r="O4710" t="str">
        <f>_xlfn.XLOOKUP(Pipeline_tbl[[#This Row],[Rep_ID]],Dim_Reps!A:A,Dim_Reps!B:B)</f>
        <v>Kenji Weber</v>
      </c>
      <c r="P4710" t="str">
        <f>_xlfn.XLOOKUP(Pipeline_tbl[[#This Row],[Rep_ID]],Dim_Reps!A:A,Dim_Reps!C:C)</f>
        <v>SDR / Inside Sales Rep</v>
      </c>
      <c r="Q4710" t="str">
        <f>_xlfn.XLOOKUP(Pipeline_tbl[[#This Row],[Rep_ID]],Dim_Reps!A:A,Dim_Reps!D:D)</f>
        <v>Inside Sales</v>
      </c>
      <c r="R4710" t="str">
        <f>_xlfn.XLOOKUP(Pipeline_tbl[[#This Row],[Rep_ID]],Dim_Reps!A:A,Dim_Reps!E:E)</f>
        <v>APAC</v>
      </c>
      <c r="S4710" t="str">
        <f>_xlfn.XLOOKUP(Pipeline_tbl[[#This Row],[Created_Date]],Dim_Date!A:A,Dim_Date!H:H)</f>
        <v>Feb 2025</v>
      </c>
      <c r="T4710" t="str">
        <f>IF(Pipeline_tbl[[#This Row],[Closed_Date]]=0,"",(_xlfn.XLOOKUP(Pipeline_tbl[[#This Row],[Closed_Date]],Dim_Date!A:A,Dim_Date!H:H)))</f>
        <v>Feb 2025</v>
      </c>
      <c r="U4710">
        <f>IF(Pipeline_tbl[[#This Row],[Closed_Date]]=0,"",Pipeline_tbl[[#This Row],[Closed_Date]]-Pipeline_tbl[[#This Row],[Created_Date]])</f>
        <v>12</v>
      </c>
    </row>
    <row r="4711" spans="1:21" ht="15" customHeight="1" x14ac:dyDescent="0.2">
      <c r="A4711" t="s">
        <v>5017</v>
      </c>
      <c r="B4711" t="s">
        <v>284</v>
      </c>
      <c r="C4711" t="s">
        <v>53</v>
      </c>
      <c r="D4711" s="49">
        <v>45712</v>
      </c>
      <c r="E4711" s="49">
        <v>45723</v>
      </c>
      <c r="F4711" s="49">
        <v>45745</v>
      </c>
      <c r="I4711" s="49">
        <v>45821</v>
      </c>
      <c r="J4711" t="s">
        <v>49</v>
      </c>
      <c r="K4711" s="33">
        <v>29800</v>
      </c>
      <c r="L4711" t="s">
        <v>60</v>
      </c>
      <c r="M4711" t="str">
        <f>_xlfn.XLOOKUP(Pipeline_tbl[[#This Row],[Rep_ID]],Dim_Reps!A:A,Dim_Reps!K:K)</f>
        <v>USD</v>
      </c>
      <c r="N4711" s="33">
        <f>(_xlfn.XLOOKUP(Pipeline_tbl[[#This Row],[Rate_Code_Generalized]],Lookups!A:A,Lookups!B:B))*Pipeline_tbl[[#This Row],[Pipeline_Amount_USD]]</f>
        <v>34696.14</v>
      </c>
      <c r="O4711" t="str">
        <f>_xlfn.XLOOKUP(Pipeline_tbl[[#This Row],[Rep_ID]],Dim_Reps!A:A,Dim_Reps!B:B)</f>
        <v>Taylor Adler</v>
      </c>
      <c r="P4711" t="str">
        <f>_xlfn.XLOOKUP(Pipeline_tbl[[#This Row],[Rep_ID]],Dim_Reps!A:A,Dim_Reps!C:C)</f>
        <v>Senior Enterprise AE</v>
      </c>
      <c r="Q4711" t="str">
        <f>_xlfn.XLOOKUP(Pipeline_tbl[[#This Row],[Rep_ID]],Dim_Reps!A:A,Dim_Reps!D:D)</f>
        <v>Strategic</v>
      </c>
      <c r="R4711" t="str">
        <f>_xlfn.XLOOKUP(Pipeline_tbl[[#This Row],[Rep_ID]],Dim_Reps!A:A,Dim_Reps!E:E)</f>
        <v>NAMER</v>
      </c>
      <c r="S4711" t="str">
        <f>_xlfn.XLOOKUP(Pipeline_tbl[[#This Row],[Created_Date]],Dim_Date!A:A,Dim_Date!H:H)</f>
        <v>Feb 2025</v>
      </c>
      <c r="T4711" t="str">
        <f>IF(Pipeline_tbl[[#This Row],[Closed_Date]]=0,"",(_xlfn.XLOOKUP(Pipeline_tbl[[#This Row],[Closed_Date]],Dim_Date!A:A,Dim_Date!H:H)))</f>
        <v>Jun 2025</v>
      </c>
      <c r="U4711">
        <f>IF(Pipeline_tbl[[#This Row],[Closed_Date]]=0,"",Pipeline_tbl[[#This Row],[Closed_Date]]-Pipeline_tbl[[#This Row],[Created_Date]])</f>
        <v>109</v>
      </c>
    </row>
    <row r="4712" spans="1:21" ht="15" customHeight="1" x14ac:dyDescent="0.2">
      <c r="A4712" t="s">
        <v>5018</v>
      </c>
      <c r="B4712" t="s">
        <v>284</v>
      </c>
      <c r="C4712" t="s">
        <v>52</v>
      </c>
      <c r="D4712" s="49">
        <v>45708</v>
      </c>
      <c r="E4712" s="49">
        <v>45718</v>
      </c>
      <c r="F4712" s="49">
        <v>45739</v>
      </c>
      <c r="G4712" s="49">
        <v>45770</v>
      </c>
      <c r="I4712" s="49">
        <v>45812</v>
      </c>
      <c r="J4712" t="s">
        <v>49</v>
      </c>
      <c r="K4712" s="33">
        <v>78400</v>
      </c>
      <c r="L4712" t="s">
        <v>64</v>
      </c>
      <c r="M4712" t="str">
        <f>_xlfn.XLOOKUP(Pipeline_tbl[[#This Row],[Rep_ID]],Dim_Reps!A:A,Dim_Reps!K:K)</f>
        <v>USD</v>
      </c>
      <c r="N4712" s="33">
        <f>(_xlfn.XLOOKUP(Pipeline_tbl[[#This Row],[Rate_Code_Generalized]],Lookups!A:A,Lookups!B:B))*Pipeline_tbl[[#This Row],[Pipeline_Amount_USD]]</f>
        <v>91281.12</v>
      </c>
      <c r="O4712" t="str">
        <f>_xlfn.XLOOKUP(Pipeline_tbl[[#This Row],[Rep_ID]],Dim_Reps!A:A,Dim_Reps!B:B)</f>
        <v>Taylor Adler</v>
      </c>
      <c r="P4712" t="str">
        <f>_xlfn.XLOOKUP(Pipeline_tbl[[#This Row],[Rep_ID]],Dim_Reps!A:A,Dim_Reps!C:C)</f>
        <v>Senior Enterprise AE</v>
      </c>
      <c r="Q4712" t="str">
        <f>_xlfn.XLOOKUP(Pipeline_tbl[[#This Row],[Rep_ID]],Dim_Reps!A:A,Dim_Reps!D:D)</f>
        <v>Strategic</v>
      </c>
      <c r="R4712" t="str">
        <f>_xlfn.XLOOKUP(Pipeline_tbl[[#This Row],[Rep_ID]],Dim_Reps!A:A,Dim_Reps!E:E)</f>
        <v>NAMER</v>
      </c>
      <c r="S4712" t="str">
        <f>_xlfn.XLOOKUP(Pipeline_tbl[[#This Row],[Created_Date]],Dim_Date!A:A,Dim_Date!H:H)</f>
        <v>Feb 2025</v>
      </c>
      <c r="T4712" t="str">
        <f>IF(Pipeline_tbl[[#This Row],[Closed_Date]]=0,"",(_xlfn.XLOOKUP(Pipeline_tbl[[#This Row],[Closed_Date]],Dim_Date!A:A,Dim_Date!H:H)))</f>
        <v>Jun 2025</v>
      </c>
      <c r="U4712">
        <f>IF(Pipeline_tbl[[#This Row],[Closed_Date]]=0,"",Pipeline_tbl[[#This Row],[Closed_Date]]-Pipeline_tbl[[#This Row],[Created_Date]])</f>
        <v>104</v>
      </c>
    </row>
    <row r="4713" spans="1:21" ht="15" customHeight="1" x14ac:dyDescent="0.2">
      <c r="A4713" t="s">
        <v>5019</v>
      </c>
      <c r="B4713" t="s">
        <v>193</v>
      </c>
      <c r="C4713" t="s">
        <v>52</v>
      </c>
      <c r="D4713" s="49">
        <v>45702</v>
      </c>
      <c r="E4713" s="49">
        <v>45704</v>
      </c>
      <c r="F4713" s="49">
        <v>45707</v>
      </c>
      <c r="G4713" s="49">
        <v>45712</v>
      </c>
      <c r="H4713" s="49">
        <v>45716</v>
      </c>
      <c r="I4713" s="49">
        <v>45718</v>
      </c>
      <c r="J4713" t="s">
        <v>47</v>
      </c>
      <c r="K4713" s="33">
        <v>4100</v>
      </c>
      <c r="M4713" t="str">
        <f>_xlfn.XLOOKUP(Pipeline_tbl[[#This Row],[Rep_ID]],Dim_Reps!A:A,Dim_Reps!K:K)</f>
        <v>USD</v>
      </c>
      <c r="N4713" s="33">
        <f>(_xlfn.XLOOKUP(Pipeline_tbl[[#This Row],[Rate_Code_Generalized]],Lookups!A:A,Lookups!B:B))*Pipeline_tbl[[#This Row],[Pipeline_Amount_USD]]</f>
        <v>4773.6299999999992</v>
      </c>
      <c r="O4713" t="str">
        <f>_xlfn.XLOOKUP(Pipeline_tbl[[#This Row],[Rep_ID]],Dim_Reps!A:A,Dim_Reps!B:B)</f>
        <v>Karim Rossi</v>
      </c>
      <c r="P4713" t="str">
        <f>_xlfn.XLOOKUP(Pipeline_tbl[[#This Row],[Rep_ID]],Dim_Reps!A:A,Dim_Reps!C:C)</f>
        <v>SDR / Inside Sales Rep</v>
      </c>
      <c r="Q4713" t="str">
        <f>_xlfn.XLOOKUP(Pipeline_tbl[[#This Row],[Rep_ID]],Dim_Reps!A:A,Dim_Reps!D:D)</f>
        <v>Inside Sales</v>
      </c>
      <c r="R4713" t="str">
        <f>_xlfn.XLOOKUP(Pipeline_tbl[[#This Row],[Rep_ID]],Dim_Reps!A:A,Dim_Reps!E:E)</f>
        <v>NAMER</v>
      </c>
      <c r="S4713" t="str">
        <f>_xlfn.XLOOKUP(Pipeline_tbl[[#This Row],[Created_Date]],Dim_Date!A:A,Dim_Date!H:H)</f>
        <v>Feb 2025</v>
      </c>
      <c r="T4713" t="str">
        <f>IF(Pipeline_tbl[[#This Row],[Closed_Date]]=0,"",(_xlfn.XLOOKUP(Pipeline_tbl[[#This Row],[Closed_Date]],Dim_Date!A:A,Dim_Date!H:H)))</f>
        <v>Mar 2025</v>
      </c>
      <c r="U4713">
        <f>IF(Pipeline_tbl[[#This Row],[Closed_Date]]=0,"",Pipeline_tbl[[#This Row],[Closed_Date]]-Pipeline_tbl[[#This Row],[Created_Date]])</f>
        <v>16</v>
      </c>
    </row>
    <row r="4714" spans="1:21" ht="15" customHeight="1" x14ac:dyDescent="0.2">
      <c r="A4714" t="s">
        <v>5020</v>
      </c>
      <c r="B4714" t="s">
        <v>193</v>
      </c>
      <c r="C4714" t="s">
        <v>52</v>
      </c>
      <c r="D4714" s="49">
        <v>45708</v>
      </c>
      <c r="E4714" s="49">
        <v>45711</v>
      </c>
      <c r="F4714" s="49">
        <v>45716</v>
      </c>
      <c r="G4714" s="49">
        <v>45724</v>
      </c>
      <c r="I4714" s="49">
        <v>45734</v>
      </c>
      <c r="J4714" t="s">
        <v>49</v>
      </c>
      <c r="K4714" s="33">
        <v>3100</v>
      </c>
      <c r="L4714" t="s">
        <v>60</v>
      </c>
      <c r="M4714" t="str">
        <f>_xlfn.XLOOKUP(Pipeline_tbl[[#This Row],[Rep_ID]],Dim_Reps!A:A,Dim_Reps!K:K)</f>
        <v>USD</v>
      </c>
      <c r="N4714" s="33">
        <f>(_xlfn.XLOOKUP(Pipeline_tbl[[#This Row],[Rate_Code_Generalized]],Lookups!A:A,Lookups!B:B))*Pipeline_tbl[[#This Row],[Pipeline_Amount_USD]]</f>
        <v>3609.3299999999995</v>
      </c>
      <c r="O4714" t="str">
        <f>_xlfn.XLOOKUP(Pipeline_tbl[[#This Row],[Rep_ID]],Dim_Reps!A:A,Dim_Reps!B:B)</f>
        <v>Karim Rossi</v>
      </c>
      <c r="P4714" t="str">
        <f>_xlfn.XLOOKUP(Pipeline_tbl[[#This Row],[Rep_ID]],Dim_Reps!A:A,Dim_Reps!C:C)</f>
        <v>SDR / Inside Sales Rep</v>
      </c>
      <c r="Q4714" t="str">
        <f>_xlfn.XLOOKUP(Pipeline_tbl[[#This Row],[Rep_ID]],Dim_Reps!A:A,Dim_Reps!D:D)</f>
        <v>Inside Sales</v>
      </c>
      <c r="R4714" t="str">
        <f>_xlfn.XLOOKUP(Pipeline_tbl[[#This Row],[Rep_ID]],Dim_Reps!A:A,Dim_Reps!E:E)</f>
        <v>NAMER</v>
      </c>
      <c r="S4714" t="str">
        <f>_xlfn.XLOOKUP(Pipeline_tbl[[#This Row],[Created_Date]],Dim_Date!A:A,Dim_Date!H:H)</f>
        <v>Feb 2025</v>
      </c>
      <c r="T4714" t="str">
        <f>IF(Pipeline_tbl[[#This Row],[Closed_Date]]=0,"",(_xlfn.XLOOKUP(Pipeline_tbl[[#This Row],[Closed_Date]],Dim_Date!A:A,Dim_Date!H:H)))</f>
        <v>Mar 2025</v>
      </c>
      <c r="U4714">
        <f>IF(Pipeline_tbl[[#This Row],[Closed_Date]]=0,"",Pipeline_tbl[[#This Row],[Closed_Date]]-Pipeline_tbl[[#This Row],[Created_Date]])</f>
        <v>26</v>
      </c>
    </row>
    <row r="4715" spans="1:21" ht="15" customHeight="1" x14ac:dyDescent="0.2">
      <c r="A4715" t="s">
        <v>5021</v>
      </c>
      <c r="B4715" t="s">
        <v>193</v>
      </c>
      <c r="C4715" t="s">
        <v>52</v>
      </c>
      <c r="D4715" s="49">
        <v>45712</v>
      </c>
      <c r="E4715" s="49">
        <v>45713</v>
      </c>
      <c r="F4715" s="49">
        <v>45715</v>
      </c>
      <c r="G4715" s="49">
        <v>45719</v>
      </c>
      <c r="H4715" s="49">
        <v>45721</v>
      </c>
      <c r="I4715" s="49">
        <v>45723</v>
      </c>
      <c r="J4715" t="s">
        <v>49</v>
      </c>
      <c r="K4715" s="33">
        <v>3700</v>
      </c>
      <c r="L4715" t="s">
        <v>61</v>
      </c>
      <c r="M4715" t="str">
        <f>_xlfn.XLOOKUP(Pipeline_tbl[[#This Row],[Rep_ID]],Dim_Reps!A:A,Dim_Reps!K:K)</f>
        <v>USD</v>
      </c>
      <c r="N4715" s="33">
        <f>(_xlfn.XLOOKUP(Pipeline_tbl[[#This Row],[Rate_Code_Generalized]],Lookups!A:A,Lookups!B:B))*Pipeline_tbl[[#This Row],[Pipeline_Amount_USD]]</f>
        <v>4307.91</v>
      </c>
      <c r="O4715" t="str">
        <f>_xlfn.XLOOKUP(Pipeline_tbl[[#This Row],[Rep_ID]],Dim_Reps!A:A,Dim_Reps!B:B)</f>
        <v>Karim Rossi</v>
      </c>
      <c r="P4715" t="str">
        <f>_xlfn.XLOOKUP(Pipeline_tbl[[#This Row],[Rep_ID]],Dim_Reps!A:A,Dim_Reps!C:C)</f>
        <v>SDR / Inside Sales Rep</v>
      </c>
      <c r="Q4715" t="str">
        <f>_xlfn.XLOOKUP(Pipeline_tbl[[#This Row],[Rep_ID]],Dim_Reps!A:A,Dim_Reps!D:D)</f>
        <v>Inside Sales</v>
      </c>
      <c r="R4715" t="str">
        <f>_xlfn.XLOOKUP(Pipeline_tbl[[#This Row],[Rep_ID]],Dim_Reps!A:A,Dim_Reps!E:E)</f>
        <v>NAMER</v>
      </c>
      <c r="S4715" t="str">
        <f>_xlfn.XLOOKUP(Pipeline_tbl[[#This Row],[Created_Date]],Dim_Date!A:A,Dim_Date!H:H)</f>
        <v>Feb 2025</v>
      </c>
      <c r="T4715" t="str">
        <f>IF(Pipeline_tbl[[#This Row],[Closed_Date]]=0,"",(_xlfn.XLOOKUP(Pipeline_tbl[[#This Row],[Closed_Date]],Dim_Date!A:A,Dim_Date!H:H)))</f>
        <v>Mar 2025</v>
      </c>
      <c r="U4715">
        <f>IF(Pipeline_tbl[[#This Row],[Closed_Date]]=0,"",Pipeline_tbl[[#This Row],[Closed_Date]]-Pipeline_tbl[[#This Row],[Created_Date]])</f>
        <v>11</v>
      </c>
    </row>
    <row r="4716" spans="1:21" ht="15" customHeight="1" x14ac:dyDescent="0.2">
      <c r="A4716" t="s">
        <v>5022</v>
      </c>
      <c r="B4716" t="s">
        <v>243</v>
      </c>
      <c r="C4716" t="s">
        <v>52</v>
      </c>
      <c r="D4716" s="49">
        <v>45711</v>
      </c>
      <c r="E4716" s="49">
        <v>45714</v>
      </c>
      <c r="F4716" s="49">
        <v>45721</v>
      </c>
      <c r="G4716" s="49">
        <v>45730</v>
      </c>
      <c r="H4716" s="49">
        <v>45738</v>
      </c>
      <c r="I4716" s="49">
        <v>45743</v>
      </c>
      <c r="J4716" t="s">
        <v>47</v>
      </c>
      <c r="K4716" s="33">
        <v>7600</v>
      </c>
      <c r="M4716" t="str">
        <f>_xlfn.XLOOKUP(Pipeline_tbl[[#This Row],[Rep_ID]],Dim_Reps!A:A,Dim_Reps!K:K)</f>
        <v>MXN</v>
      </c>
      <c r="N4716" s="33">
        <f>(_xlfn.XLOOKUP(Pipeline_tbl[[#This Row],[Rate_Code_Generalized]],Lookups!A:A,Lookups!B:B))*Pipeline_tbl[[#This Row],[Pipeline_Amount_USD]]</f>
        <v>149968.52000000002</v>
      </c>
      <c r="O4716" t="str">
        <f>_xlfn.XLOOKUP(Pipeline_tbl[[#This Row],[Rep_ID]],Dim_Reps!A:A,Dim_Reps!B:B)</f>
        <v>Jonas Sato</v>
      </c>
      <c r="P4716" t="str">
        <f>_xlfn.XLOOKUP(Pipeline_tbl[[#This Row],[Rep_ID]],Dim_Reps!A:A,Dim_Reps!C:C)</f>
        <v>Mid-Market AE</v>
      </c>
      <c r="Q4716" t="str">
        <f>_xlfn.XLOOKUP(Pipeline_tbl[[#This Row],[Rep_ID]],Dim_Reps!A:A,Dim_Reps!D:D)</f>
        <v>Mid-Market</v>
      </c>
      <c r="R4716" t="str">
        <f>_xlfn.XLOOKUP(Pipeline_tbl[[#This Row],[Rep_ID]],Dim_Reps!A:A,Dim_Reps!E:E)</f>
        <v>LATAM</v>
      </c>
      <c r="S4716" t="str">
        <f>_xlfn.XLOOKUP(Pipeline_tbl[[#This Row],[Created_Date]],Dim_Date!A:A,Dim_Date!H:H)</f>
        <v>Feb 2025</v>
      </c>
      <c r="T4716" t="str">
        <f>IF(Pipeline_tbl[[#This Row],[Closed_Date]]=0,"",(_xlfn.XLOOKUP(Pipeline_tbl[[#This Row],[Closed_Date]],Dim_Date!A:A,Dim_Date!H:H)))</f>
        <v>Mar 2025</v>
      </c>
      <c r="U4716">
        <f>IF(Pipeline_tbl[[#This Row],[Closed_Date]]=0,"",Pipeline_tbl[[#This Row],[Closed_Date]]-Pipeline_tbl[[#This Row],[Created_Date]])</f>
        <v>32</v>
      </c>
    </row>
    <row r="4717" spans="1:21" ht="15" customHeight="1" x14ac:dyDescent="0.2">
      <c r="A4717" t="s">
        <v>5023</v>
      </c>
      <c r="B4717" t="s">
        <v>243</v>
      </c>
      <c r="C4717" t="s">
        <v>53</v>
      </c>
      <c r="D4717" s="49">
        <v>45690</v>
      </c>
      <c r="E4717" s="49">
        <v>45694</v>
      </c>
      <c r="F4717" s="49">
        <v>45704</v>
      </c>
      <c r="G4717" s="49">
        <v>45717</v>
      </c>
      <c r="I4717" s="49">
        <v>45735</v>
      </c>
      <c r="J4717" t="s">
        <v>49</v>
      </c>
      <c r="K4717" s="33">
        <v>29700</v>
      </c>
      <c r="L4717" t="s">
        <v>62</v>
      </c>
      <c r="M4717" t="str">
        <f>_xlfn.XLOOKUP(Pipeline_tbl[[#This Row],[Rep_ID]],Dim_Reps!A:A,Dim_Reps!K:K)</f>
        <v>MXN</v>
      </c>
      <c r="N4717" s="33">
        <f>(_xlfn.XLOOKUP(Pipeline_tbl[[#This Row],[Rate_Code_Generalized]],Lookups!A:A,Lookups!B:B))*Pipeline_tbl[[#This Row],[Pipeline_Amount_USD]]</f>
        <v>586061.19000000006</v>
      </c>
      <c r="O4717" t="str">
        <f>_xlfn.XLOOKUP(Pipeline_tbl[[#This Row],[Rep_ID]],Dim_Reps!A:A,Dim_Reps!B:B)</f>
        <v>Jonas Sato</v>
      </c>
      <c r="P4717" t="str">
        <f>_xlfn.XLOOKUP(Pipeline_tbl[[#This Row],[Rep_ID]],Dim_Reps!A:A,Dim_Reps!C:C)</f>
        <v>Mid-Market AE</v>
      </c>
      <c r="Q4717" t="str">
        <f>_xlfn.XLOOKUP(Pipeline_tbl[[#This Row],[Rep_ID]],Dim_Reps!A:A,Dim_Reps!D:D)</f>
        <v>Mid-Market</v>
      </c>
      <c r="R4717" t="str">
        <f>_xlfn.XLOOKUP(Pipeline_tbl[[#This Row],[Rep_ID]],Dim_Reps!A:A,Dim_Reps!E:E)</f>
        <v>LATAM</v>
      </c>
      <c r="S4717" t="str">
        <f>_xlfn.XLOOKUP(Pipeline_tbl[[#This Row],[Created_Date]],Dim_Date!A:A,Dim_Date!H:H)</f>
        <v>Feb 2025</v>
      </c>
      <c r="T4717" t="str">
        <f>IF(Pipeline_tbl[[#This Row],[Closed_Date]]=0,"",(_xlfn.XLOOKUP(Pipeline_tbl[[#This Row],[Closed_Date]],Dim_Date!A:A,Dim_Date!H:H)))</f>
        <v>Mar 2025</v>
      </c>
      <c r="U4717">
        <f>IF(Pipeline_tbl[[#This Row],[Closed_Date]]=0,"",Pipeline_tbl[[#This Row],[Closed_Date]]-Pipeline_tbl[[#This Row],[Created_Date]])</f>
        <v>45</v>
      </c>
    </row>
    <row r="4718" spans="1:21" ht="15" customHeight="1" x14ac:dyDescent="0.2">
      <c r="A4718" t="s">
        <v>5024</v>
      </c>
      <c r="B4718" t="s">
        <v>243</v>
      </c>
      <c r="C4718" t="s">
        <v>54</v>
      </c>
      <c r="D4718" s="49">
        <v>45692</v>
      </c>
      <c r="E4718" s="49">
        <v>45697</v>
      </c>
      <c r="F4718" s="49">
        <v>45707</v>
      </c>
      <c r="G4718" s="49">
        <v>45722</v>
      </c>
      <c r="I4718" s="49">
        <v>45742</v>
      </c>
      <c r="J4718" t="s">
        <v>49</v>
      </c>
      <c r="K4718" s="33">
        <v>7500</v>
      </c>
      <c r="L4718" t="s">
        <v>60</v>
      </c>
      <c r="M4718" t="str">
        <f>_xlfn.XLOOKUP(Pipeline_tbl[[#This Row],[Rep_ID]],Dim_Reps!A:A,Dim_Reps!K:K)</f>
        <v>MXN</v>
      </c>
      <c r="N4718" s="33">
        <f>(_xlfn.XLOOKUP(Pipeline_tbl[[#This Row],[Rate_Code_Generalized]],Lookups!A:A,Lookups!B:B))*Pipeline_tbl[[#This Row],[Pipeline_Amount_USD]]</f>
        <v>147995.25</v>
      </c>
      <c r="O4718" t="str">
        <f>_xlfn.XLOOKUP(Pipeline_tbl[[#This Row],[Rep_ID]],Dim_Reps!A:A,Dim_Reps!B:B)</f>
        <v>Jonas Sato</v>
      </c>
      <c r="P4718" t="str">
        <f>_xlfn.XLOOKUP(Pipeline_tbl[[#This Row],[Rep_ID]],Dim_Reps!A:A,Dim_Reps!C:C)</f>
        <v>Mid-Market AE</v>
      </c>
      <c r="Q4718" t="str">
        <f>_xlfn.XLOOKUP(Pipeline_tbl[[#This Row],[Rep_ID]],Dim_Reps!A:A,Dim_Reps!D:D)</f>
        <v>Mid-Market</v>
      </c>
      <c r="R4718" t="str">
        <f>_xlfn.XLOOKUP(Pipeline_tbl[[#This Row],[Rep_ID]],Dim_Reps!A:A,Dim_Reps!E:E)</f>
        <v>LATAM</v>
      </c>
      <c r="S4718" t="str">
        <f>_xlfn.XLOOKUP(Pipeline_tbl[[#This Row],[Created_Date]],Dim_Date!A:A,Dim_Date!H:H)</f>
        <v>Feb 2025</v>
      </c>
      <c r="T4718" t="str">
        <f>IF(Pipeline_tbl[[#This Row],[Closed_Date]]=0,"",(_xlfn.XLOOKUP(Pipeline_tbl[[#This Row],[Closed_Date]],Dim_Date!A:A,Dim_Date!H:H)))</f>
        <v>Mar 2025</v>
      </c>
      <c r="U4718">
        <f>IF(Pipeline_tbl[[#This Row],[Closed_Date]]=0,"",Pipeline_tbl[[#This Row],[Closed_Date]]-Pipeline_tbl[[#This Row],[Created_Date]])</f>
        <v>50</v>
      </c>
    </row>
    <row r="4719" spans="1:21" ht="15" customHeight="1" x14ac:dyDescent="0.2">
      <c r="A4719" t="s">
        <v>5025</v>
      </c>
      <c r="B4719" t="s">
        <v>196</v>
      </c>
      <c r="C4719" t="s">
        <v>52</v>
      </c>
      <c r="D4719" s="49">
        <v>45708</v>
      </c>
      <c r="E4719" s="49">
        <v>45709</v>
      </c>
      <c r="F4719" s="49">
        <v>45712</v>
      </c>
      <c r="G4719" s="49">
        <v>45716</v>
      </c>
      <c r="H4719" s="49">
        <v>45720</v>
      </c>
      <c r="I4719" s="49">
        <v>45722</v>
      </c>
      <c r="J4719" t="s">
        <v>49</v>
      </c>
      <c r="K4719" s="33">
        <v>1400</v>
      </c>
      <c r="L4719" t="s">
        <v>60</v>
      </c>
      <c r="M4719" t="str">
        <f>_xlfn.XLOOKUP(Pipeline_tbl[[#This Row],[Rep_ID]],Dim_Reps!A:A,Dim_Reps!K:K)</f>
        <v>EUR</v>
      </c>
      <c r="N4719" s="33">
        <f>(_xlfn.XLOOKUP(Pipeline_tbl[[#This Row],[Rate_Code_Generalized]],Lookups!A:A,Lookups!B:B))*Pipeline_tbl[[#This Row],[Pipeline_Amount_USD]]</f>
        <v>1400</v>
      </c>
      <c r="O4719" t="str">
        <f>_xlfn.XLOOKUP(Pipeline_tbl[[#This Row],[Rep_ID]],Dim_Reps!A:A,Dim_Reps!B:B)</f>
        <v>Alex Okafor</v>
      </c>
      <c r="P4719" t="str">
        <f>_xlfn.XLOOKUP(Pipeline_tbl[[#This Row],[Rep_ID]],Dim_Reps!A:A,Dim_Reps!C:C)</f>
        <v>SDR / Inside Sales Rep</v>
      </c>
      <c r="Q4719" t="str">
        <f>_xlfn.XLOOKUP(Pipeline_tbl[[#This Row],[Rep_ID]],Dim_Reps!A:A,Dim_Reps!D:D)</f>
        <v>Inside Sales</v>
      </c>
      <c r="R4719" t="str">
        <f>_xlfn.XLOOKUP(Pipeline_tbl[[#This Row],[Rep_ID]],Dim_Reps!A:A,Dim_Reps!E:E)</f>
        <v>EMEA</v>
      </c>
      <c r="S4719" t="str">
        <f>_xlfn.XLOOKUP(Pipeline_tbl[[#This Row],[Created_Date]],Dim_Date!A:A,Dim_Date!H:H)</f>
        <v>Feb 2025</v>
      </c>
      <c r="T4719" t="str">
        <f>IF(Pipeline_tbl[[#This Row],[Closed_Date]]=0,"",(_xlfn.XLOOKUP(Pipeline_tbl[[#This Row],[Closed_Date]],Dim_Date!A:A,Dim_Date!H:H)))</f>
        <v>Mar 2025</v>
      </c>
      <c r="U4719">
        <f>IF(Pipeline_tbl[[#This Row],[Closed_Date]]=0,"",Pipeline_tbl[[#This Row],[Closed_Date]]-Pipeline_tbl[[#This Row],[Created_Date]])</f>
        <v>14</v>
      </c>
    </row>
    <row r="4720" spans="1:21" ht="15" customHeight="1" x14ac:dyDescent="0.2">
      <c r="A4720" t="s">
        <v>5026</v>
      </c>
      <c r="B4720" t="s">
        <v>196</v>
      </c>
      <c r="C4720" t="s">
        <v>53</v>
      </c>
      <c r="D4720" s="49">
        <v>45706</v>
      </c>
      <c r="E4720" s="49">
        <v>45707</v>
      </c>
      <c r="I4720" s="49">
        <v>45717</v>
      </c>
      <c r="J4720" t="s">
        <v>49</v>
      </c>
      <c r="K4720" s="33">
        <v>7100</v>
      </c>
      <c r="L4720" t="s">
        <v>62</v>
      </c>
      <c r="M4720" t="str">
        <f>_xlfn.XLOOKUP(Pipeline_tbl[[#This Row],[Rep_ID]],Dim_Reps!A:A,Dim_Reps!K:K)</f>
        <v>EUR</v>
      </c>
      <c r="N4720" s="33">
        <f>(_xlfn.XLOOKUP(Pipeline_tbl[[#This Row],[Rate_Code_Generalized]],Lookups!A:A,Lookups!B:B))*Pipeline_tbl[[#This Row],[Pipeline_Amount_USD]]</f>
        <v>7100</v>
      </c>
      <c r="O4720" t="str">
        <f>_xlfn.XLOOKUP(Pipeline_tbl[[#This Row],[Rep_ID]],Dim_Reps!A:A,Dim_Reps!B:B)</f>
        <v>Alex Okafor</v>
      </c>
      <c r="P4720" t="str">
        <f>_xlfn.XLOOKUP(Pipeline_tbl[[#This Row],[Rep_ID]],Dim_Reps!A:A,Dim_Reps!C:C)</f>
        <v>SDR / Inside Sales Rep</v>
      </c>
      <c r="Q4720" t="str">
        <f>_xlfn.XLOOKUP(Pipeline_tbl[[#This Row],[Rep_ID]],Dim_Reps!A:A,Dim_Reps!D:D)</f>
        <v>Inside Sales</v>
      </c>
      <c r="R4720" t="str">
        <f>_xlfn.XLOOKUP(Pipeline_tbl[[#This Row],[Rep_ID]],Dim_Reps!A:A,Dim_Reps!E:E)</f>
        <v>EMEA</v>
      </c>
      <c r="S4720" t="str">
        <f>_xlfn.XLOOKUP(Pipeline_tbl[[#This Row],[Created_Date]],Dim_Date!A:A,Dim_Date!H:H)</f>
        <v>Feb 2025</v>
      </c>
      <c r="T4720" t="str">
        <f>IF(Pipeline_tbl[[#This Row],[Closed_Date]]=0,"",(_xlfn.XLOOKUP(Pipeline_tbl[[#This Row],[Closed_Date]],Dim_Date!A:A,Dim_Date!H:H)))</f>
        <v>Mar 2025</v>
      </c>
      <c r="U4720">
        <f>IF(Pipeline_tbl[[#This Row],[Closed_Date]]=0,"",Pipeline_tbl[[#This Row],[Closed_Date]]-Pipeline_tbl[[#This Row],[Created_Date]])</f>
        <v>11</v>
      </c>
    </row>
    <row r="4721" spans="1:21" ht="15" customHeight="1" x14ac:dyDescent="0.2">
      <c r="A4721" t="s">
        <v>5027</v>
      </c>
      <c r="B4721" t="s">
        <v>196</v>
      </c>
      <c r="C4721" t="s">
        <v>53</v>
      </c>
      <c r="D4721" s="49">
        <v>45701</v>
      </c>
      <c r="E4721" s="49">
        <v>45704</v>
      </c>
      <c r="F4721" s="49">
        <v>45709</v>
      </c>
      <c r="G4721" s="49">
        <v>45717</v>
      </c>
      <c r="H4721" s="49">
        <v>45723</v>
      </c>
      <c r="I4721" s="49">
        <v>45727</v>
      </c>
      <c r="J4721" t="s">
        <v>47</v>
      </c>
      <c r="K4721" s="33">
        <v>1600</v>
      </c>
      <c r="M4721" t="str">
        <f>_xlfn.XLOOKUP(Pipeline_tbl[[#This Row],[Rep_ID]],Dim_Reps!A:A,Dim_Reps!K:K)</f>
        <v>EUR</v>
      </c>
      <c r="N4721" s="33">
        <f>(_xlfn.XLOOKUP(Pipeline_tbl[[#This Row],[Rate_Code_Generalized]],Lookups!A:A,Lookups!B:B))*Pipeline_tbl[[#This Row],[Pipeline_Amount_USD]]</f>
        <v>1600</v>
      </c>
      <c r="O4721" t="str">
        <f>_xlfn.XLOOKUP(Pipeline_tbl[[#This Row],[Rep_ID]],Dim_Reps!A:A,Dim_Reps!B:B)</f>
        <v>Alex Okafor</v>
      </c>
      <c r="P4721" t="str">
        <f>_xlfn.XLOOKUP(Pipeline_tbl[[#This Row],[Rep_ID]],Dim_Reps!A:A,Dim_Reps!C:C)</f>
        <v>SDR / Inside Sales Rep</v>
      </c>
      <c r="Q4721" t="str">
        <f>_xlfn.XLOOKUP(Pipeline_tbl[[#This Row],[Rep_ID]],Dim_Reps!A:A,Dim_Reps!D:D)</f>
        <v>Inside Sales</v>
      </c>
      <c r="R4721" t="str">
        <f>_xlfn.XLOOKUP(Pipeline_tbl[[#This Row],[Rep_ID]],Dim_Reps!A:A,Dim_Reps!E:E)</f>
        <v>EMEA</v>
      </c>
      <c r="S4721" t="str">
        <f>_xlfn.XLOOKUP(Pipeline_tbl[[#This Row],[Created_Date]],Dim_Date!A:A,Dim_Date!H:H)</f>
        <v>Feb 2025</v>
      </c>
      <c r="T4721" t="str">
        <f>IF(Pipeline_tbl[[#This Row],[Closed_Date]]=0,"",(_xlfn.XLOOKUP(Pipeline_tbl[[#This Row],[Closed_Date]],Dim_Date!A:A,Dim_Date!H:H)))</f>
        <v>Mar 2025</v>
      </c>
      <c r="U4721">
        <f>IF(Pipeline_tbl[[#This Row],[Closed_Date]]=0,"",Pipeline_tbl[[#This Row],[Closed_Date]]-Pipeline_tbl[[#This Row],[Created_Date]])</f>
        <v>26</v>
      </c>
    </row>
    <row r="4722" spans="1:21" ht="15" customHeight="1" x14ac:dyDescent="0.2">
      <c r="A4722" t="s">
        <v>5028</v>
      </c>
      <c r="B4722" t="s">
        <v>196</v>
      </c>
      <c r="C4722" t="s">
        <v>52</v>
      </c>
      <c r="D4722" s="49">
        <v>45707</v>
      </c>
      <c r="E4722" s="49">
        <v>45709</v>
      </c>
      <c r="I4722" s="49">
        <v>45723</v>
      </c>
      <c r="J4722" t="s">
        <v>49</v>
      </c>
      <c r="K4722" s="33">
        <v>2100</v>
      </c>
      <c r="L4722" t="s">
        <v>60</v>
      </c>
      <c r="M4722" t="str">
        <f>_xlfn.XLOOKUP(Pipeline_tbl[[#This Row],[Rep_ID]],Dim_Reps!A:A,Dim_Reps!K:K)</f>
        <v>EUR</v>
      </c>
      <c r="N4722" s="33">
        <f>(_xlfn.XLOOKUP(Pipeline_tbl[[#This Row],[Rate_Code_Generalized]],Lookups!A:A,Lookups!B:B))*Pipeline_tbl[[#This Row],[Pipeline_Amount_USD]]</f>
        <v>2100</v>
      </c>
      <c r="O4722" t="str">
        <f>_xlfn.XLOOKUP(Pipeline_tbl[[#This Row],[Rep_ID]],Dim_Reps!A:A,Dim_Reps!B:B)</f>
        <v>Alex Okafor</v>
      </c>
      <c r="P4722" t="str">
        <f>_xlfn.XLOOKUP(Pipeline_tbl[[#This Row],[Rep_ID]],Dim_Reps!A:A,Dim_Reps!C:C)</f>
        <v>SDR / Inside Sales Rep</v>
      </c>
      <c r="Q4722" t="str">
        <f>_xlfn.XLOOKUP(Pipeline_tbl[[#This Row],[Rep_ID]],Dim_Reps!A:A,Dim_Reps!D:D)</f>
        <v>Inside Sales</v>
      </c>
      <c r="R4722" t="str">
        <f>_xlfn.XLOOKUP(Pipeline_tbl[[#This Row],[Rep_ID]],Dim_Reps!A:A,Dim_Reps!E:E)</f>
        <v>EMEA</v>
      </c>
      <c r="S4722" t="str">
        <f>_xlfn.XLOOKUP(Pipeline_tbl[[#This Row],[Created_Date]],Dim_Date!A:A,Dim_Date!H:H)</f>
        <v>Feb 2025</v>
      </c>
      <c r="T4722" t="str">
        <f>IF(Pipeline_tbl[[#This Row],[Closed_Date]]=0,"",(_xlfn.XLOOKUP(Pipeline_tbl[[#This Row],[Closed_Date]],Dim_Date!A:A,Dim_Date!H:H)))</f>
        <v>Mar 2025</v>
      </c>
      <c r="U4722">
        <f>IF(Pipeline_tbl[[#This Row],[Closed_Date]]=0,"",Pipeline_tbl[[#This Row],[Closed_Date]]-Pipeline_tbl[[#This Row],[Created_Date]])</f>
        <v>16</v>
      </c>
    </row>
    <row r="4723" spans="1:21" ht="15" customHeight="1" x14ac:dyDescent="0.2">
      <c r="A4723" t="s">
        <v>5029</v>
      </c>
      <c r="B4723" t="s">
        <v>196</v>
      </c>
      <c r="C4723" t="s">
        <v>53</v>
      </c>
      <c r="D4723" s="49">
        <v>45707</v>
      </c>
      <c r="E4723" s="49">
        <v>45709</v>
      </c>
      <c r="F4723" s="49">
        <v>45713</v>
      </c>
      <c r="G4723" s="49">
        <v>45718</v>
      </c>
      <c r="H4723" s="49">
        <v>45723</v>
      </c>
      <c r="I4723" s="49">
        <v>45726</v>
      </c>
      <c r="J4723" t="s">
        <v>49</v>
      </c>
      <c r="K4723" s="33">
        <v>5500</v>
      </c>
      <c r="L4723" t="s">
        <v>61</v>
      </c>
      <c r="M4723" t="str">
        <f>_xlfn.XLOOKUP(Pipeline_tbl[[#This Row],[Rep_ID]],Dim_Reps!A:A,Dim_Reps!K:K)</f>
        <v>EUR</v>
      </c>
      <c r="N4723" s="33">
        <f>(_xlfn.XLOOKUP(Pipeline_tbl[[#This Row],[Rate_Code_Generalized]],Lookups!A:A,Lookups!B:B))*Pipeline_tbl[[#This Row],[Pipeline_Amount_USD]]</f>
        <v>5500</v>
      </c>
      <c r="O4723" t="str">
        <f>_xlfn.XLOOKUP(Pipeline_tbl[[#This Row],[Rep_ID]],Dim_Reps!A:A,Dim_Reps!B:B)</f>
        <v>Alex Okafor</v>
      </c>
      <c r="P4723" t="str">
        <f>_xlfn.XLOOKUP(Pipeline_tbl[[#This Row],[Rep_ID]],Dim_Reps!A:A,Dim_Reps!C:C)</f>
        <v>SDR / Inside Sales Rep</v>
      </c>
      <c r="Q4723" t="str">
        <f>_xlfn.XLOOKUP(Pipeline_tbl[[#This Row],[Rep_ID]],Dim_Reps!A:A,Dim_Reps!D:D)</f>
        <v>Inside Sales</v>
      </c>
      <c r="R4723" t="str">
        <f>_xlfn.XLOOKUP(Pipeline_tbl[[#This Row],[Rep_ID]],Dim_Reps!A:A,Dim_Reps!E:E)</f>
        <v>EMEA</v>
      </c>
      <c r="S4723" t="str">
        <f>_xlfn.XLOOKUP(Pipeline_tbl[[#This Row],[Created_Date]],Dim_Date!A:A,Dim_Date!H:H)</f>
        <v>Feb 2025</v>
      </c>
      <c r="T4723" t="str">
        <f>IF(Pipeline_tbl[[#This Row],[Closed_Date]]=0,"",(_xlfn.XLOOKUP(Pipeline_tbl[[#This Row],[Closed_Date]],Dim_Date!A:A,Dim_Date!H:H)))</f>
        <v>Mar 2025</v>
      </c>
      <c r="U4723">
        <f>IF(Pipeline_tbl[[#This Row],[Closed_Date]]=0,"",Pipeline_tbl[[#This Row],[Closed_Date]]-Pipeline_tbl[[#This Row],[Created_Date]])</f>
        <v>19</v>
      </c>
    </row>
    <row r="4724" spans="1:21" ht="15" customHeight="1" x14ac:dyDescent="0.2">
      <c r="A4724" t="s">
        <v>5030</v>
      </c>
      <c r="B4724" t="s">
        <v>196</v>
      </c>
      <c r="C4724" t="s">
        <v>53</v>
      </c>
      <c r="D4724" s="49">
        <v>45710</v>
      </c>
      <c r="E4724" s="49">
        <v>45711</v>
      </c>
      <c r="F4724" s="49">
        <v>45714</v>
      </c>
      <c r="I4724" s="49">
        <v>45723</v>
      </c>
      <c r="J4724" t="s">
        <v>49</v>
      </c>
      <c r="K4724" s="33">
        <v>3700</v>
      </c>
      <c r="L4724" t="s">
        <v>61</v>
      </c>
      <c r="M4724" t="str">
        <f>_xlfn.XLOOKUP(Pipeline_tbl[[#This Row],[Rep_ID]],Dim_Reps!A:A,Dim_Reps!K:K)</f>
        <v>EUR</v>
      </c>
      <c r="N4724" s="33">
        <f>(_xlfn.XLOOKUP(Pipeline_tbl[[#This Row],[Rate_Code_Generalized]],Lookups!A:A,Lookups!B:B))*Pipeline_tbl[[#This Row],[Pipeline_Amount_USD]]</f>
        <v>3700</v>
      </c>
      <c r="O4724" t="str">
        <f>_xlfn.XLOOKUP(Pipeline_tbl[[#This Row],[Rep_ID]],Dim_Reps!A:A,Dim_Reps!B:B)</f>
        <v>Alex Okafor</v>
      </c>
      <c r="P4724" t="str">
        <f>_xlfn.XLOOKUP(Pipeline_tbl[[#This Row],[Rep_ID]],Dim_Reps!A:A,Dim_Reps!C:C)</f>
        <v>SDR / Inside Sales Rep</v>
      </c>
      <c r="Q4724" t="str">
        <f>_xlfn.XLOOKUP(Pipeline_tbl[[#This Row],[Rep_ID]],Dim_Reps!A:A,Dim_Reps!D:D)</f>
        <v>Inside Sales</v>
      </c>
      <c r="R4724" t="str">
        <f>_xlfn.XLOOKUP(Pipeline_tbl[[#This Row],[Rep_ID]],Dim_Reps!A:A,Dim_Reps!E:E)</f>
        <v>EMEA</v>
      </c>
      <c r="S4724" t="str">
        <f>_xlfn.XLOOKUP(Pipeline_tbl[[#This Row],[Created_Date]],Dim_Date!A:A,Dim_Date!H:H)</f>
        <v>Feb 2025</v>
      </c>
      <c r="T4724" t="str">
        <f>IF(Pipeline_tbl[[#This Row],[Closed_Date]]=0,"",(_xlfn.XLOOKUP(Pipeline_tbl[[#This Row],[Closed_Date]],Dim_Date!A:A,Dim_Date!H:H)))</f>
        <v>Mar 2025</v>
      </c>
      <c r="U4724">
        <f>IF(Pipeline_tbl[[#This Row],[Closed_Date]]=0,"",Pipeline_tbl[[#This Row],[Closed_Date]]-Pipeline_tbl[[#This Row],[Created_Date]])</f>
        <v>13</v>
      </c>
    </row>
    <row r="4725" spans="1:21" ht="15" customHeight="1" x14ac:dyDescent="0.2">
      <c r="A4725" t="s">
        <v>5031</v>
      </c>
      <c r="B4725" t="s">
        <v>199</v>
      </c>
      <c r="C4725" t="s">
        <v>52</v>
      </c>
      <c r="D4725" s="49">
        <v>45715</v>
      </c>
      <c r="E4725" s="49">
        <v>45717</v>
      </c>
      <c r="F4725" s="49">
        <v>45721</v>
      </c>
      <c r="G4725" s="49">
        <v>45726</v>
      </c>
      <c r="H4725" s="49">
        <v>45731</v>
      </c>
      <c r="I4725" s="49">
        <v>45734</v>
      </c>
      <c r="J4725" t="s">
        <v>47</v>
      </c>
      <c r="K4725" s="33">
        <v>2700</v>
      </c>
      <c r="M4725" t="str">
        <f>_xlfn.XLOOKUP(Pipeline_tbl[[#This Row],[Rep_ID]],Dim_Reps!A:A,Dim_Reps!K:K)</f>
        <v>EUR</v>
      </c>
      <c r="N4725" s="33">
        <f>(_xlfn.XLOOKUP(Pipeline_tbl[[#This Row],[Rate_Code_Generalized]],Lookups!A:A,Lookups!B:B))*Pipeline_tbl[[#This Row],[Pipeline_Amount_USD]]</f>
        <v>2700</v>
      </c>
      <c r="O4725" t="str">
        <f>_xlfn.XLOOKUP(Pipeline_tbl[[#This Row],[Rep_ID]],Dim_Reps!A:A,Dim_Reps!B:B)</f>
        <v>Lucas Okafor</v>
      </c>
      <c r="P4725" t="str">
        <f>_xlfn.XLOOKUP(Pipeline_tbl[[#This Row],[Rep_ID]],Dim_Reps!A:A,Dim_Reps!C:C)</f>
        <v>SDR / Inside Sales Rep</v>
      </c>
      <c r="Q4725" t="str">
        <f>_xlfn.XLOOKUP(Pipeline_tbl[[#This Row],[Rep_ID]],Dim_Reps!A:A,Dim_Reps!D:D)</f>
        <v>Inside Sales</v>
      </c>
      <c r="R4725" t="str">
        <f>_xlfn.XLOOKUP(Pipeline_tbl[[#This Row],[Rep_ID]],Dim_Reps!A:A,Dim_Reps!E:E)</f>
        <v>APAC</v>
      </c>
      <c r="S4725" t="str">
        <f>_xlfn.XLOOKUP(Pipeline_tbl[[#This Row],[Created_Date]],Dim_Date!A:A,Dim_Date!H:H)</f>
        <v>Feb 2025</v>
      </c>
      <c r="T4725" t="str">
        <f>IF(Pipeline_tbl[[#This Row],[Closed_Date]]=0,"",(_xlfn.XLOOKUP(Pipeline_tbl[[#This Row],[Closed_Date]],Dim_Date!A:A,Dim_Date!H:H)))</f>
        <v>Mar 2025</v>
      </c>
      <c r="U4725">
        <f>IF(Pipeline_tbl[[#This Row],[Closed_Date]]=0,"",Pipeline_tbl[[#This Row],[Closed_Date]]-Pipeline_tbl[[#This Row],[Created_Date]])</f>
        <v>19</v>
      </c>
    </row>
    <row r="4726" spans="1:21" ht="15" customHeight="1" x14ac:dyDescent="0.2">
      <c r="A4726" t="s">
        <v>5032</v>
      </c>
      <c r="B4726" t="s">
        <v>199</v>
      </c>
      <c r="C4726" t="s">
        <v>53</v>
      </c>
      <c r="D4726" s="49">
        <v>45698</v>
      </c>
      <c r="E4726" s="49">
        <v>45700</v>
      </c>
      <c r="F4726" s="49">
        <v>45705</v>
      </c>
      <c r="G4726" s="49">
        <v>45712</v>
      </c>
      <c r="I4726" s="49">
        <v>45721</v>
      </c>
      <c r="J4726" t="s">
        <v>49</v>
      </c>
      <c r="K4726" s="33">
        <v>3200</v>
      </c>
      <c r="L4726" t="s">
        <v>62</v>
      </c>
      <c r="M4726" t="str">
        <f>_xlfn.XLOOKUP(Pipeline_tbl[[#This Row],[Rep_ID]],Dim_Reps!A:A,Dim_Reps!K:K)</f>
        <v>EUR</v>
      </c>
      <c r="N4726" s="33">
        <f>(_xlfn.XLOOKUP(Pipeline_tbl[[#This Row],[Rate_Code_Generalized]],Lookups!A:A,Lookups!B:B))*Pipeline_tbl[[#This Row],[Pipeline_Amount_USD]]</f>
        <v>3200</v>
      </c>
      <c r="O4726" t="str">
        <f>_xlfn.XLOOKUP(Pipeline_tbl[[#This Row],[Rep_ID]],Dim_Reps!A:A,Dim_Reps!B:B)</f>
        <v>Lucas Okafor</v>
      </c>
      <c r="P4726" t="str">
        <f>_xlfn.XLOOKUP(Pipeline_tbl[[#This Row],[Rep_ID]],Dim_Reps!A:A,Dim_Reps!C:C)</f>
        <v>SDR / Inside Sales Rep</v>
      </c>
      <c r="Q4726" t="str">
        <f>_xlfn.XLOOKUP(Pipeline_tbl[[#This Row],[Rep_ID]],Dim_Reps!A:A,Dim_Reps!D:D)</f>
        <v>Inside Sales</v>
      </c>
      <c r="R4726" t="str">
        <f>_xlfn.XLOOKUP(Pipeline_tbl[[#This Row],[Rep_ID]],Dim_Reps!A:A,Dim_Reps!E:E)</f>
        <v>APAC</v>
      </c>
      <c r="S4726" t="str">
        <f>_xlfn.XLOOKUP(Pipeline_tbl[[#This Row],[Created_Date]],Dim_Date!A:A,Dim_Date!H:H)</f>
        <v>Feb 2025</v>
      </c>
      <c r="T4726" t="str">
        <f>IF(Pipeline_tbl[[#This Row],[Closed_Date]]=0,"",(_xlfn.XLOOKUP(Pipeline_tbl[[#This Row],[Closed_Date]],Dim_Date!A:A,Dim_Date!H:H)))</f>
        <v>Mar 2025</v>
      </c>
      <c r="U4726">
        <f>IF(Pipeline_tbl[[#This Row],[Closed_Date]]=0,"",Pipeline_tbl[[#This Row],[Closed_Date]]-Pipeline_tbl[[#This Row],[Created_Date]])</f>
        <v>23</v>
      </c>
    </row>
    <row r="4727" spans="1:21" ht="15" customHeight="1" x14ac:dyDescent="0.2">
      <c r="A4727" t="s">
        <v>5033</v>
      </c>
      <c r="B4727" t="s">
        <v>181</v>
      </c>
      <c r="C4727" t="s">
        <v>54</v>
      </c>
      <c r="D4727" s="49">
        <v>45690</v>
      </c>
      <c r="E4727" s="49">
        <v>45693</v>
      </c>
      <c r="I4727" s="49">
        <v>45724</v>
      </c>
      <c r="J4727" t="s">
        <v>49</v>
      </c>
      <c r="K4727" s="33">
        <v>28000</v>
      </c>
      <c r="L4727" t="s">
        <v>62</v>
      </c>
      <c r="M4727" t="str">
        <f>_xlfn.XLOOKUP(Pipeline_tbl[[#This Row],[Rep_ID]],Dim_Reps!A:A,Dim_Reps!K:K)</f>
        <v>USD</v>
      </c>
      <c r="N4727" s="33">
        <f>(_xlfn.XLOOKUP(Pipeline_tbl[[#This Row],[Rate_Code_Generalized]],Lookups!A:A,Lookups!B:B))*Pipeline_tbl[[#This Row],[Pipeline_Amount_USD]]</f>
        <v>32600.399999999998</v>
      </c>
      <c r="O4727" t="str">
        <f>_xlfn.XLOOKUP(Pipeline_tbl[[#This Row],[Rep_ID]],Dim_Reps!A:A,Dim_Reps!B:B)</f>
        <v>Milo Weber</v>
      </c>
      <c r="P4727" t="str">
        <f>_xlfn.XLOOKUP(Pipeline_tbl[[#This Row],[Rep_ID]],Dim_Reps!A:A,Dim_Reps!C:C)</f>
        <v>Enterprise AE</v>
      </c>
      <c r="Q4727" t="str">
        <f>_xlfn.XLOOKUP(Pipeline_tbl[[#This Row],[Rep_ID]],Dim_Reps!A:A,Dim_Reps!D:D)</f>
        <v>Enterprise</v>
      </c>
      <c r="R4727" t="str">
        <f>_xlfn.XLOOKUP(Pipeline_tbl[[#This Row],[Rep_ID]],Dim_Reps!A:A,Dim_Reps!E:E)</f>
        <v>NAMER</v>
      </c>
      <c r="S4727" t="str">
        <f>_xlfn.XLOOKUP(Pipeline_tbl[[#This Row],[Created_Date]],Dim_Date!A:A,Dim_Date!H:H)</f>
        <v>Feb 2025</v>
      </c>
      <c r="T4727" t="str">
        <f>IF(Pipeline_tbl[[#This Row],[Closed_Date]]=0,"",(_xlfn.XLOOKUP(Pipeline_tbl[[#This Row],[Closed_Date]],Dim_Date!A:A,Dim_Date!H:H)))</f>
        <v>Mar 2025</v>
      </c>
      <c r="U4727">
        <f>IF(Pipeline_tbl[[#This Row],[Closed_Date]]=0,"",Pipeline_tbl[[#This Row],[Closed_Date]]-Pipeline_tbl[[#This Row],[Created_Date]])</f>
        <v>34</v>
      </c>
    </row>
    <row r="4728" spans="1:21" ht="15" customHeight="1" x14ac:dyDescent="0.2">
      <c r="A4728" t="s">
        <v>5034</v>
      </c>
      <c r="B4728" t="s">
        <v>183</v>
      </c>
      <c r="C4728" t="s">
        <v>52</v>
      </c>
      <c r="D4728" s="49">
        <v>45701</v>
      </c>
      <c r="E4728" s="49">
        <v>45705</v>
      </c>
      <c r="F4728" s="49">
        <v>45712</v>
      </c>
      <c r="G4728" s="49">
        <v>45723</v>
      </c>
      <c r="H4728" s="49">
        <v>45732</v>
      </c>
      <c r="I4728" s="49">
        <v>45737</v>
      </c>
      <c r="J4728" t="s">
        <v>49</v>
      </c>
      <c r="K4728" s="33">
        <v>82300</v>
      </c>
      <c r="L4728" t="s">
        <v>61</v>
      </c>
      <c r="M4728" t="str">
        <f>_xlfn.XLOOKUP(Pipeline_tbl[[#This Row],[Rep_ID]],Dim_Reps!A:A,Dim_Reps!K:K)</f>
        <v>EUR</v>
      </c>
      <c r="N4728" s="33">
        <f>(_xlfn.XLOOKUP(Pipeline_tbl[[#This Row],[Rate_Code_Generalized]],Lookups!A:A,Lookups!B:B))*Pipeline_tbl[[#This Row],[Pipeline_Amount_USD]]</f>
        <v>82300</v>
      </c>
      <c r="O4728" t="str">
        <f>_xlfn.XLOOKUP(Pipeline_tbl[[#This Row],[Rep_ID]],Dim_Reps!A:A,Dim_Reps!B:B)</f>
        <v>Sam Schmidt</v>
      </c>
      <c r="P4728" t="str">
        <f>_xlfn.XLOOKUP(Pipeline_tbl[[#This Row],[Rep_ID]],Dim_Reps!A:A,Dim_Reps!C:C)</f>
        <v>Enterprise AE</v>
      </c>
      <c r="Q4728" t="str">
        <f>_xlfn.XLOOKUP(Pipeline_tbl[[#This Row],[Rep_ID]],Dim_Reps!A:A,Dim_Reps!D:D)</f>
        <v>Enterprise</v>
      </c>
      <c r="R4728" t="str">
        <f>_xlfn.XLOOKUP(Pipeline_tbl[[#This Row],[Rep_ID]],Dim_Reps!A:A,Dim_Reps!E:E)</f>
        <v>EMEA</v>
      </c>
      <c r="S4728" t="str">
        <f>_xlfn.XLOOKUP(Pipeline_tbl[[#This Row],[Created_Date]],Dim_Date!A:A,Dim_Date!H:H)</f>
        <v>Feb 2025</v>
      </c>
      <c r="T4728" t="str">
        <f>IF(Pipeline_tbl[[#This Row],[Closed_Date]]=0,"",(_xlfn.XLOOKUP(Pipeline_tbl[[#This Row],[Closed_Date]],Dim_Date!A:A,Dim_Date!H:H)))</f>
        <v>Mar 2025</v>
      </c>
      <c r="U4728">
        <f>IF(Pipeline_tbl[[#This Row],[Closed_Date]]=0,"",Pipeline_tbl[[#This Row],[Closed_Date]]-Pipeline_tbl[[#This Row],[Created_Date]])</f>
        <v>36</v>
      </c>
    </row>
    <row r="4729" spans="1:21" ht="15" customHeight="1" x14ac:dyDescent="0.2">
      <c r="A4729" t="s">
        <v>5035</v>
      </c>
      <c r="B4729" t="s">
        <v>183</v>
      </c>
      <c r="C4729" t="s">
        <v>52</v>
      </c>
      <c r="D4729" s="49">
        <v>45701</v>
      </c>
      <c r="E4729" s="49">
        <v>45705</v>
      </c>
      <c r="F4729" s="49">
        <v>45712</v>
      </c>
      <c r="G4729" s="49">
        <v>45723</v>
      </c>
      <c r="H4729" s="49">
        <v>45732</v>
      </c>
      <c r="I4729" s="49">
        <v>45738</v>
      </c>
      <c r="J4729" t="s">
        <v>49</v>
      </c>
      <c r="K4729" s="33">
        <v>28500</v>
      </c>
      <c r="L4729" t="s">
        <v>63</v>
      </c>
      <c r="M4729" t="str">
        <f>_xlfn.XLOOKUP(Pipeline_tbl[[#This Row],[Rep_ID]],Dim_Reps!A:A,Dim_Reps!K:K)</f>
        <v>EUR</v>
      </c>
      <c r="N4729" s="33">
        <f>(_xlfn.XLOOKUP(Pipeline_tbl[[#This Row],[Rate_Code_Generalized]],Lookups!A:A,Lookups!B:B))*Pipeline_tbl[[#This Row],[Pipeline_Amount_USD]]</f>
        <v>28500</v>
      </c>
      <c r="O4729" t="str">
        <f>_xlfn.XLOOKUP(Pipeline_tbl[[#This Row],[Rep_ID]],Dim_Reps!A:A,Dim_Reps!B:B)</f>
        <v>Sam Schmidt</v>
      </c>
      <c r="P4729" t="str">
        <f>_xlfn.XLOOKUP(Pipeline_tbl[[#This Row],[Rep_ID]],Dim_Reps!A:A,Dim_Reps!C:C)</f>
        <v>Enterprise AE</v>
      </c>
      <c r="Q4729" t="str">
        <f>_xlfn.XLOOKUP(Pipeline_tbl[[#This Row],[Rep_ID]],Dim_Reps!A:A,Dim_Reps!D:D)</f>
        <v>Enterprise</v>
      </c>
      <c r="R4729" t="str">
        <f>_xlfn.XLOOKUP(Pipeline_tbl[[#This Row],[Rep_ID]],Dim_Reps!A:A,Dim_Reps!E:E)</f>
        <v>EMEA</v>
      </c>
      <c r="S4729" t="str">
        <f>_xlfn.XLOOKUP(Pipeline_tbl[[#This Row],[Created_Date]],Dim_Date!A:A,Dim_Date!H:H)</f>
        <v>Feb 2025</v>
      </c>
      <c r="T4729" t="str">
        <f>IF(Pipeline_tbl[[#This Row],[Closed_Date]]=0,"",(_xlfn.XLOOKUP(Pipeline_tbl[[#This Row],[Closed_Date]],Dim_Date!A:A,Dim_Date!H:H)))</f>
        <v>Mar 2025</v>
      </c>
      <c r="U4729">
        <f>IF(Pipeline_tbl[[#This Row],[Closed_Date]]=0,"",Pipeline_tbl[[#This Row],[Closed_Date]]-Pipeline_tbl[[#This Row],[Created_Date]])</f>
        <v>37</v>
      </c>
    </row>
    <row r="4730" spans="1:21" ht="15" customHeight="1" x14ac:dyDescent="0.2">
      <c r="A4730" t="s">
        <v>5036</v>
      </c>
      <c r="B4730" t="s">
        <v>203</v>
      </c>
      <c r="C4730" t="s">
        <v>52</v>
      </c>
      <c r="D4730" s="49">
        <v>45691</v>
      </c>
      <c r="E4730" s="49">
        <v>45695</v>
      </c>
      <c r="F4730" s="49">
        <v>45702</v>
      </c>
      <c r="G4730" s="49">
        <v>45713</v>
      </c>
      <c r="H4730" s="49">
        <v>45722</v>
      </c>
      <c r="I4730" s="49">
        <v>45728</v>
      </c>
      <c r="J4730" t="s">
        <v>47</v>
      </c>
      <c r="K4730" s="33">
        <v>5500</v>
      </c>
      <c r="M4730" t="str">
        <f>_xlfn.XLOOKUP(Pipeline_tbl[[#This Row],[Rep_ID]],Dim_Reps!A:A,Dim_Reps!K:K)</f>
        <v>EUR</v>
      </c>
      <c r="N4730" s="33">
        <f>(_xlfn.XLOOKUP(Pipeline_tbl[[#This Row],[Rate_Code_Generalized]],Lookups!A:A,Lookups!B:B))*Pipeline_tbl[[#This Row],[Pipeline_Amount_USD]]</f>
        <v>5500</v>
      </c>
      <c r="O4730" t="str">
        <f>_xlfn.XLOOKUP(Pipeline_tbl[[#This Row],[Rep_ID]],Dim_Reps!A:A,Dim_Reps!B:B)</f>
        <v>Riley Haddad</v>
      </c>
      <c r="P4730" t="str">
        <f>_xlfn.XLOOKUP(Pipeline_tbl[[#This Row],[Rep_ID]],Dim_Reps!A:A,Dim_Reps!C:C)</f>
        <v>SDR / Inside Sales Rep</v>
      </c>
      <c r="Q4730" t="str">
        <f>_xlfn.XLOOKUP(Pipeline_tbl[[#This Row],[Rep_ID]],Dim_Reps!A:A,Dim_Reps!D:D)</f>
        <v>Inside Sales</v>
      </c>
      <c r="R4730" t="str">
        <f>_xlfn.XLOOKUP(Pipeline_tbl[[#This Row],[Rep_ID]],Dim_Reps!A:A,Dim_Reps!E:E)</f>
        <v>APAC</v>
      </c>
      <c r="S4730" t="str">
        <f>_xlfn.XLOOKUP(Pipeline_tbl[[#This Row],[Created_Date]],Dim_Date!A:A,Dim_Date!H:H)</f>
        <v>Feb 2025</v>
      </c>
      <c r="T4730" t="str">
        <f>IF(Pipeline_tbl[[#This Row],[Closed_Date]]=0,"",(_xlfn.XLOOKUP(Pipeline_tbl[[#This Row],[Closed_Date]],Dim_Date!A:A,Dim_Date!H:H)))</f>
        <v>Mar 2025</v>
      </c>
      <c r="U4730">
        <f>IF(Pipeline_tbl[[#This Row],[Closed_Date]]=0,"",Pipeline_tbl[[#This Row],[Closed_Date]]-Pipeline_tbl[[#This Row],[Created_Date]])</f>
        <v>37</v>
      </c>
    </row>
    <row r="4731" spans="1:21" ht="15" customHeight="1" x14ac:dyDescent="0.2">
      <c r="A4731" t="s">
        <v>5037</v>
      </c>
      <c r="B4731" t="s">
        <v>203</v>
      </c>
      <c r="C4731" t="s">
        <v>52</v>
      </c>
      <c r="D4731" s="49">
        <v>45708</v>
      </c>
      <c r="E4731" s="49">
        <v>45710</v>
      </c>
      <c r="F4731" s="49">
        <v>45714</v>
      </c>
      <c r="G4731" s="49">
        <v>45720</v>
      </c>
      <c r="H4731" s="49">
        <v>45725</v>
      </c>
      <c r="I4731" s="49">
        <v>45728</v>
      </c>
      <c r="J4731" t="s">
        <v>47</v>
      </c>
      <c r="K4731" s="33">
        <v>2000</v>
      </c>
      <c r="M4731" t="str">
        <f>_xlfn.XLOOKUP(Pipeline_tbl[[#This Row],[Rep_ID]],Dim_Reps!A:A,Dim_Reps!K:K)</f>
        <v>EUR</v>
      </c>
      <c r="N4731" s="33">
        <f>(_xlfn.XLOOKUP(Pipeline_tbl[[#This Row],[Rate_Code_Generalized]],Lookups!A:A,Lookups!B:B))*Pipeline_tbl[[#This Row],[Pipeline_Amount_USD]]</f>
        <v>2000</v>
      </c>
      <c r="O4731" t="str">
        <f>_xlfn.XLOOKUP(Pipeline_tbl[[#This Row],[Rep_ID]],Dim_Reps!A:A,Dim_Reps!B:B)</f>
        <v>Riley Haddad</v>
      </c>
      <c r="P4731" t="str">
        <f>_xlfn.XLOOKUP(Pipeline_tbl[[#This Row],[Rep_ID]],Dim_Reps!A:A,Dim_Reps!C:C)</f>
        <v>SDR / Inside Sales Rep</v>
      </c>
      <c r="Q4731" t="str">
        <f>_xlfn.XLOOKUP(Pipeline_tbl[[#This Row],[Rep_ID]],Dim_Reps!A:A,Dim_Reps!D:D)</f>
        <v>Inside Sales</v>
      </c>
      <c r="R4731" t="str">
        <f>_xlfn.XLOOKUP(Pipeline_tbl[[#This Row],[Rep_ID]],Dim_Reps!A:A,Dim_Reps!E:E)</f>
        <v>APAC</v>
      </c>
      <c r="S4731" t="str">
        <f>_xlfn.XLOOKUP(Pipeline_tbl[[#This Row],[Created_Date]],Dim_Date!A:A,Dim_Date!H:H)</f>
        <v>Feb 2025</v>
      </c>
      <c r="T4731" t="str">
        <f>IF(Pipeline_tbl[[#This Row],[Closed_Date]]=0,"",(_xlfn.XLOOKUP(Pipeline_tbl[[#This Row],[Closed_Date]],Dim_Date!A:A,Dim_Date!H:H)))</f>
        <v>Mar 2025</v>
      </c>
      <c r="U4731">
        <f>IF(Pipeline_tbl[[#This Row],[Closed_Date]]=0,"",Pipeline_tbl[[#This Row],[Closed_Date]]-Pipeline_tbl[[#This Row],[Created_Date]])</f>
        <v>20</v>
      </c>
    </row>
    <row r="4732" spans="1:21" ht="15" customHeight="1" x14ac:dyDescent="0.2">
      <c r="A4732" t="s">
        <v>5038</v>
      </c>
      <c r="B4732" t="s">
        <v>203</v>
      </c>
      <c r="C4732" t="s">
        <v>52</v>
      </c>
      <c r="D4732" s="49">
        <v>45716</v>
      </c>
      <c r="E4732" s="49">
        <v>45717</v>
      </c>
      <c r="F4732" s="49">
        <v>45719</v>
      </c>
      <c r="G4732" s="49">
        <v>45723</v>
      </c>
      <c r="H4732" s="49">
        <v>45725</v>
      </c>
      <c r="I4732" s="49">
        <v>45727</v>
      </c>
      <c r="J4732" t="s">
        <v>47</v>
      </c>
      <c r="K4732" s="33">
        <v>2500</v>
      </c>
      <c r="M4732" t="str">
        <f>_xlfn.XLOOKUP(Pipeline_tbl[[#This Row],[Rep_ID]],Dim_Reps!A:A,Dim_Reps!K:K)</f>
        <v>EUR</v>
      </c>
      <c r="N4732" s="33">
        <f>(_xlfn.XLOOKUP(Pipeline_tbl[[#This Row],[Rate_Code_Generalized]],Lookups!A:A,Lookups!B:B))*Pipeline_tbl[[#This Row],[Pipeline_Amount_USD]]</f>
        <v>2500</v>
      </c>
      <c r="O4732" t="str">
        <f>_xlfn.XLOOKUP(Pipeline_tbl[[#This Row],[Rep_ID]],Dim_Reps!A:A,Dim_Reps!B:B)</f>
        <v>Riley Haddad</v>
      </c>
      <c r="P4732" t="str">
        <f>_xlfn.XLOOKUP(Pipeline_tbl[[#This Row],[Rep_ID]],Dim_Reps!A:A,Dim_Reps!C:C)</f>
        <v>SDR / Inside Sales Rep</v>
      </c>
      <c r="Q4732" t="str">
        <f>_xlfn.XLOOKUP(Pipeline_tbl[[#This Row],[Rep_ID]],Dim_Reps!A:A,Dim_Reps!D:D)</f>
        <v>Inside Sales</v>
      </c>
      <c r="R4732" t="str">
        <f>_xlfn.XLOOKUP(Pipeline_tbl[[#This Row],[Rep_ID]],Dim_Reps!A:A,Dim_Reps!E:E)</f>
        <v>APAC</v>
      </c>
      <c r="S4732" t="str">
        <f>_xlfn.XLOOKUP(Pipeline_tbl[[#This Row],[Created_Date]],Dim_Date!A:A,Dim_Date!H:H)</f>
        <v>Feb 2025</v>
      </c>
      <c r="T4732" t="str">
        <f>IF(Pipeline_tbl[[#This Row],[Closed_Date]]=0,"",(_xlfn.XLOOKUP(Pipeline_tbl[[#This Row],[Closed_Date]],Dim_Date!A:A,Dim_Date!H:H)))</f>
        <v>Mar 2025</v>
      </c>
      <c r="U4732">
        <f>IF(Pipeline_tbl[[#This Row],[Closed_Date]]=0,"",Pipeline_tbl[[#This Row],[Closed_Date]]-Pipeline_tbl[[#This Row],[Created_Date]])</f>
        <v>11</v>
      </c>
    </row>
    <row r="4733" spans="1:21" ht="15" customHeight="1" x14ac:dyDescent="0.2">
      <c r="A4733" t="s">
        <v>5039</v>
      </c>
      <c r="B4733" t="s">
        <v>203</v>
      </c>
      <c r="C4733" t="s">
        <v>53</v>
      </c>
      <c r="D4733" s="49">
        <v>45701</v>
      </c>
      <c r="E4733" s="49">
        <v>45703</v>
      </c>
      <c r="F4733" s="49">
        <v>45706</v>
      </c>
      <c r="G4733" s="49">
        <v>45712</v>
      </c>
      <c r="H4733" s="49">
        <v>45716</v>
      </c>
      <c r="I4733" s="49">
        <v>45719</v>
      </c>
      <c r="J4733" t="s">
        <v>47</v>
      </c>
      <c r="K4733" s="33">
        <v>5400</v>
      </c>
      <c r="M4733" t="str">
        <f>_xlfn.XLOOKUP(Pipeline_tbl[[#This Row],[Rep_ID]],Dim_Reps!A:A,Dim_Reps!K:K)</f>
        <v>EUR</v>
      </c>
      <c r="N4733" s="33">
        <f>(_xlfn.XLOOKUP(Pipeline_tbl[[#This Row],[Rate_Code_Generalized]],Lookups!A:A,Lookups!B:B))*Pipeline_tbl[[#This Row],[Pipeline_Amount_USD]]</f>
        <v>5400</v>
      </c>
      <c r="O4733" t="str">
        <f>_xlfn.XLOOKUP(Pipeline_tbl[[#This Row],[Rep_ID]],Dim_Reps!A:A,Dim_Reps!B:B)</f>
        <v>Riley Haddad</v>
      </c>
      <c r="P4733" t="str">
        <f>_xlfn.XLOOKUP(Pipeline_tbl[[#This Row],[Rep_ID]],Dim_Reps!A:A,Dim_Reps!C:C)</f>
        <v>SDR / Inside Sales Rep</v>
      </c>
      <c r="Q4733" t="str">
        <f>_xlfn.XLOOKUP(Pipeline_tbl[[#This Row],[Rep_ID]],Dim_Reps!A:A,Dim_Reps!D:D)</f>
        <v>Inside Sales</v>
      </c>
      <c r="R4733" t="str">
        <f>_xlfn.XLOOKUP(Pipeline_tbl[[#This Row],[Rep_ID]],Dim_Reps!A:A,Dim_Reps!E:E)</f>
        <v>APAC</v>
      </c>
      <c r="S4733" t="str">
        <f>_xlfn.XLOOKUP(Pipeline_tbl[[#This Row],[Created_Date]],Dim_Date!A:A,Dim_Date!H:H)</f>
        <v>Feb 2025</v>
      </c>
      <c r="T4733" t="str">
        <f>IF(Pipeline_tbl[[#This Row],[Closed_Date]]=0,"",(_xlfn.XLOOKUP(Pipeline_tbl[[#This Row],[Closed_Date]],Dim_Date!A:A,Dim_Date!H:H)))</f>
        <v>Mar 2025</v>
      </c>
      <c r="U4733">
        <f>IF(Pipeline_tbl[[#This Row],[Closed_Date]]=0,"",Pipeline_tbl[[#This Row],[Closed_Date]]-Pipeline_tbl[[#This Row],[Created_Date]])</f>
        <v>18</v>
      </c>
    </row>
    <row r="4734" spans="1:21" ht="15" customHeight="1" x14ac:dyDescent="0.2">
      <c r="A4734" t="s">
        <v>5040</v>
      </c>
      <c r="B4734" t="s">
        <v>203</v>
      </c>
      <c r="C4734" t="s">
        <v>55</v>
      </c>
      <c r="D4734" s="49">
        <v>45708</v>
      </c>
      <c r="E4734" s="49">
        <v>45710</v>
      </c>
      <c r="F4734" s="49">
        <v>45714</v>
      </c>
      <c r="I4734" s="49">
        <v>45727</v>
      </c>
      <c r="J4734" t="s">
        <v>49</v>
      </c>
      <c r="K4734" s="33">
        <v>3000</v>
      </c>
      <c r="L4734" t="s">
        <v>60</v>
      </c>
      <c r="M4734" t="str">
        <f>_xlfn.XLOOKUP(Pipeline_tbl[[#This Row],[Rep_ID]],Dim_Reps!A:A,Dim_Reps!K:K)</f>
        <v>EUR</v>
      </c>
      <c r="N4734" s="33">
        <f>(_xlfn.XLOOKUP(Pipeline_tbl[[#This Row],[Rate_Code_Generalized]],Lookups!A:A,Lookups!B:B))*Pipeline_tbl[[#This Row],[Pipeline_Amount_USD]]</f>
        <v>3000</v>
      </c>
      <c r="O4734" t="str">
        <f>_xlfn.XLOOKUP(Pipeline_tbl[[#This Row],[Rep_ID]],Dim_Reps!A:A,Dim_Reps!B:B)</f>
        <v>Riley Haddad</v>
      </c>
      <c r="P4734" t="str">
        <f>_xlfn.XLOOKUP(Pipeline_tbl[[#This Row],[Rep_ID]],Dim_Reps!A:A,Dim_Reps!C:C)</f>
        <v>SDR / Inside Sales Rep</v>
      </c>
      <c r="Q4734" t="str">
        <f>_xlfn.XLOOKUP(Pipeline_tbl[[#This Row],[Rep_ID]],Dim_Reps!A:A,Dim_Reps!D:D)</f>
        <v>Inside Sales</v>
      </c>
      <c r="R4734" t="str">
        <f>_xlfn.XLOOKUP(Pipeline_tbl[[#This Row],[Rep_ID]],Dim_Reps!A:A,Dim_Reps!E:E)</f>
        <v>APAC</v>
      </c>
      <c r="S4734" t="str">
        <f>_xlfn.XLOOKUP(Pipeline_tbl[[#This Row],[Created_Date]],Dim_Date!A:A,Dim_Date!H:H)</f>
        <v>Feb 2025</v>
      </c>
      <c r="T4734" t="str">
        <f>IF(Pipeline_tbl[[#This Row],[Closed_Date]]=0,"",(_xlfn.XLOOKUP(Pipeline_tbl[[#This Row],[Closed_Date]],Dim_Date!A:A,Dim_Date!H:H)))</f>
        <v>Mar 2025</v>
      </c>
      <c r="U4734">
        <f>IF(Pipeline_tbl[[#This Row],[Closed_Date]]=0,"",Pipeline_tbl[[#This Row],[Closed_Date]]-Pipeline_tbl[[#This Row],[Created_Date]])</f>
        <v>19</v>
      </c>
    </row>
    <row r="4735" spans="1:21" ht="15" customHeight="1" x14ac:dyDescent="0.2">
      <c r="A4735" t="s">
        <v>5041</v>
      </c>
      <c r="B4735" t="s">
        <v>203</v>
      </c>
      <c r="C4735" t="s">
        <v>52</v>
      </c>
      <c r="D4735" s="49">
        <v>45710</v>
      </c>
      <c r="E4735" s="49">
        <v>45712</v>
      </c>
      <c r="F4735" s="49">
        <v>45718</v>
      </c>
      <c r="G4735" s="49">
        <v>45725</v>
      </c>
      <c r="H4735" s="49">
        <v>45731</v>
      </c>
      <c r="I4735" s="49">
        <v>45735</v>
      </c>
      <c r="J4735" t="s">
        <v>49</v>
      </c>
      <c r="K4735" s="33">
        <v>1400</v>
      </c>
      <c r="L4735" t="s">
        <v>60</v>
      </c>
      <c r="M4735" t="str">
        <f>_xlfn.XLOOKUP(Pipeline_tbl[[#This Row],[Rep_ID]],Dim_Reps!A:A,Dim_Reps!K:K)</f>
        <v>EUR</v>
      </c>
      <c r="N4735" s="33">
        <f>(_xlfn.XLOOKUP(Pipeline_tbl[[#This Row],[Rate_Code_Generalized]],Lookups!A:A,Lookups!B:B))*Pipeline_tbl[[#This Row],[Pipeline_Amount_USD]]</f>
        <v>1400</v>
      </c>
      <c r="O4735" t="str">
        <f>_xlfn.XLOOKUP(Pipeline_tbl[[#This Row],[Rep_ID]],Dim_Reps!A:A,Dim_Reps!B:B)</f>
        <v>Riley Haddad</v>
      </c>
      <c r="P4735" t="str">
        <f>_xlfn.XLOOKUP(Pipeline_tbl[[#This Row],[Rep_ID]],Dim_Reps!A:A,Dim_Reps!C:C)</f>
        <v>SDR / Inside Sales Rep</v>
      </c>
      <c r="Q4735" t="str">
        <f>_xlfn.XLOOKUP(Pipeline_tbl[[#This Row],[Rep_ID]],Dim_Reps!A:A,Dim_Reps!D:D)</f>
        <v>Inside Sales</v>
      </c>
      <c r="R4735" t="str">
        <f>_xlfn.XLOOKUP(Pipeline_tbl[[#This Row],[Rep_ID]],Dim_Reps!A:A,Dim_Reps!E:E)</f>
        <v>APAC</v>
      </c>
      <c r="S4735" t="str">
        <f>_xlfn.XLOOKUP(Pipeline_tbl[[#This Row],[Created_Date]],Dim_Date!A:A,Dim_Date!H:H)</f>
        <v>Feb 2025</v>
      </c>
      <c r="T4735" t="str">
        <f>IF(Pipeline_tbl[[#This Row],[Closed_Date]]=0,"",(_xlfn.XLOOKUP(Pipeline_tbl[[#This Row],[Closed_Date]],Dim_Date!A:A,Dim_Date!H:H)))</f>
        <v>Mar 2025</v>
      </c>
      <c r="U4735">
        <f>IF(Pipeline_tbl[[#This Row],[Closed_Date]]=0,"",Pipeline_tbl[[#This Row],[Closed_Date]]-Pipeline_tbl[[#This Row],[Created_Date]])</f>
        <v>25</v>
      </c>
    </row>
    <row r="4736" spans="1:21" ht="15" customHeight="1" x14ac:dyDescent="0.2">
      <c r="A4736" t="s">
        <v>5042</v>
      </c>
      <c r="B4736" t="s">
        <v>185</v>
      </c>
      <c r="C4736" t="s">
        <v>56</v>
      </c>
      <c r="D4736" s="49">
        <v>45692</v>
      </c>
      <c r="E4736" s="49">
        <v>45697</v>
      </c>
      <c r="F4736" s="49">
        <v>45708</v>
      </c>
      <c r="G4736" s="49">
        <v>45724</v>
      </c>
      <c r="I4736" s="49">
        <v>45745</v>
      </c>
      <c r="J4736" t="s">
        <v>49</v>
      </c>
      <c r="K4736" s="33">
        <v>54000</v>
      </c>
      <c r="L4736" t="s">
        <v>62</v>
      </c>
      <c r="M4736" t="str">
        <f>_xlfn.XLOOKUP(Pipeline_tbl[[#This Row],[Rep_ID]],Dim_Reps!A:A,Dim_Reps!K:K)</f>
        <v>MXN</v>
      </c>
      <c r="N4736" s="33">
        <f>(_xlfn.XLOOKUP(Pipeline_tbl[[#This Row],[Rate_Code_Generalized]],Lookups!A:A,Lookups!B:B))*Pipeline_tbl[[#This Row],[Pipeline_Amount_USD]]</f>
        <v>1065565.8</v>
      </c>
      <c r="O4736" t="str">
        <f>_xlfn.XLOOKUP(Pipeline_tbl[[#This Row],[Rep_ID]],Dim_Reps!A:A,Dim_Reps!B:B)</f>
        <v>Noah Kim</v>
      </c>
      <c r="P4736" t="str">
        <f>_xlfn.XLOOKUP(Pipeline_tbl[[#This Row],[Rep_ID]],Dim_Reps!A:A,Dim_Reps!C:C)</f>
        <v>Enterprise AE</v>
      </c>
      <c r="Q4736" t="str">
        <f>_xlfn.XLOOKUP(Pipeline_tbl[[#This Row],[Rep_ID]],Dim_Reps!A:A,Dim_Reps!D:D)</f>
        <v>Enterprise</v>
      </c>
      <c r="R4736" t="str">
        <f>_xlfn.XLOOKUP(Pipeline_tbl[[#This Row],[Rep_ID]],Dim_Reps!A:A,Dim_Reps!E:E)</f>
        <v>LATAM</v>
      </c>
      <c r="S4736" t="str">
        <f>_xlfn.XLOOKUP(Pipeline_tbl[[#This Row],[Created_Date]],Dim_Date!A:A,Dim_Date!H:H)</f>
        <v>Feb 2025</v>
      </c>
      <c r="T4736" t="str">
        <f>IF(Pipeline_tbl[[#This Row],[Closed_Date]]=0,"",(_xlfn.XLOOKUP(Pipeline_tbl[[#This Row],[Closed_Date]],Dim_Date!A:A,Dim_Date!H:H)))</f>
        <v>Mar 2025</v>
      </c>
      <c r="U4736">
        <f>IF(Pipeline_tbl[[#This Row],[Closed_Date]]=0,"",Pipeline_tbl[[#This Row],[Closed_Date]]-Pipeline_tbl[[#This Row],[Created_Date]])</f>
        <v>53</v>
      </c>
    </row>
    <row r="4737" spans="1:21" ht="15" customHeight="1" x14ac:dyDescent="0.2">
      <c r="A4737" t="s">
        <v>5043</v>
      </c>
      <c r="B4737" t="s">
        <v>205</v>
      </c>
      <c r="C4737" t="s">
        <v>56</v>
      </c>
      <c r="D4737" s="49">
        <v>45706</v>
      </c>
      <c r="E4737" s="49">
        <v>45708</v>
      </c>
      <c r="F4737" s="49">
        <v>45713</v>
      </c>
      <c r="I4737" s="49">
        <v>45730</v>
      </c>
      <c r="J4737" t="s">
        <v>49</v>
      </c>
      <c r="K4737" s="33">
        <v>2800</v>
      </c>
      <c r="L4737" t="s">
        <v>61</v>
      </c>
      <c r="M4737" t="str">
        <f>_xlfn.XLOOKUP(Pipeline_tbl[[#This Row],[Rep_ID]],Dim_Reps!A:A,Dim_Reps!K:K)</f>
        <v>EUR</v>
      </c>
      <c r="N4737" s="33">
        <f>(_xlfn.XLOOKUP(Pipeline_tbl[[#This Row],[Rate_Code_Generalized]],Lookups!A:A,Lookups!B:B))*Pipeline_tbl[[#This Row],[Pipeline_Amount_USD]]</f>
        <v>2800</v>
      </c>
      <c r="O4737" t="str">
        <f>_xlfn.XLOOKUP(Pipeline_tbl[[#This Row],[Rep_ID]],Dim_Reps!A:A,Dim_Reps!B:B)</f>
        <v>Karim Alvarez</v>
      </c>
      <c r="P4737" t="str">
        <f>_xlfn.XLOOKUP(Pipeline_tbl[[#This Row],[Rep_ID]],Dim_Reps!A:A,Dim_Reps!C:C)</f>
        <v>SDR / Inside Sales Rep</v>
      </c>
      <c r="Q4737" t="str">
        <f>_xlfn.XLOOKUP(Pipeline_tbl[[#This Row],[Rep_ID]],Dim_Reps!A:A,Dim_Reps!D:D)</f>
        <v>Inside Sales</v>
      </c>
      <c r="R4737" t="str">
        <f>_xlfn.XLOOKUP(Pipeline_tbl[[#This Row],[Rep_ID]],Dim_Reps!A:A,Dim_Reps!E:E)</f>
        <v>EMEA</v>
      </c>
      <c r="S4737" t="str">
        <f>_xlfn.XLOOKUP(Pipeline_tbl[[#This Row],[Created_Date]],Dim_Date!A:A,Dim_Date!H:H)</f>
        <v>Feb 2025</v>
      </c>
      <c r="T4737" t="str">
        <f>IF(Pipeline_tbl[[#This Row],[Closed_Date]]=0,"",(_xlfn.XLOOKUP(Pipeline_tbl[[#This Row],[Closed_Date]],Dim_Date!A:A,Dim_Date!H:H)))</f>
        <v>Mar 2025</v>
      </c>
      <c r="U4737">
        <f>IF(Pipeline_tbl[[#This Row],[Closed_Date]]=0,"",Pipeline_tbl[[#This Row],[Closed_Date]]-Pipeline_tbl[[#This Row],[Created_Date]])</f>
        <v>24</v>
      </c>
    </row>
    <row r="4738" spans="1:21" ht="15" customHeight="1" x14ac:dyDescent="0.2">
      <c r="A4738" t="s">
        <v>5044</v>
      </c>
      <c r="B4738" t="s">
        <v>205</v>
      </c>
      <c r="C4738" t="s">
        <v>52</v>
      </c>
      <c r="D4738" s="49">
        <v>45707</v>
      </c>
      <c r="E4738" s="49">
        <v>45709</v>
      </c>
      <c r="F4738" s="49">
        <v>45714</v>
      </c>
      <c r="G4738" s="49">
        <v>45721</v>
      </c>
      <c r="H4738" s="49">
        <v>45727</v>
      </c>
      <c r="I4738" s="49">
        <v>45730</v>
      </c>
      <c r="J4738" t="s">
        <v>47</v>
      </c>
      <c r="K4738" s="33">
        <v>2600</v>
      </c>
      <c r="M4738" t="str">
        <f>_xlfn.XLOOKUP(Pipeline_tbl[[#This Row],[Rep_ID]],Dim_Reps!A:A,Dim_Reps!K:K)</f>
        <v>EUR</v>
      </c>
      <c r="N4738" s="33">
        <f>(_xlfn.XLOOKUP(Pipeline_tbl[[#This Row],[Rate_Code_Generalized]],Lookups!A:A,Lookups!B:B))*Pipeline_tbl[[#This Row],[Pipeline_Amount_USD]]</f>
        <v>2600</v>
      </c>
      <c r="O4738" t="str">
        <f>_xlfn.XLOOKUP(Pipeline_tbl[[#This Row],[Rep_ID]],Dim_Reps!A:A,Dim_Reps!B:B)</f>
        <v>Karim Alvarez</v>
      </c>
      <c r="P4738" t="str">
        <f>_xlfn.XLOOKUP(Pipeline_tbl[[#This Row],[Rep_ID]],Dim_Reps!A:A,Dim_Reps!C:C)</f>
        <v>SDR / Inside Sales Rep</v>
      </c>
      <c r="Q4738" t="str">
        <f>_xlfn.XLOOKUP(Pipeline_tbl[[#This Row],[Rep_ID]],Dim_Reps!A:A,Dim_Reps!D:D)</f>
        <v>Inside Sales</v>
      </c>
      <c r="R4738" t="str">
        <f>_xlfn.XLOOKUP(Pipeline_tbl[[#This Row],[Rep_ID]],Dim_Reps!A:A,Dim_Reps!E:E)</f>
        <v>EMEA</v>
      </c>
      <c r="S4738" t="str">
        <f>_xlfn.XLOOKUP(Pipeline_tbl[[#This Row],[Created_Date]],Dim_Date!A:A,Dim_Date!H:H)</f>
        <v>Feb 2025</v>
      </c>
      <c r="T4738" t="str">
        <f>IF(Pipeline_tbl[[#This Row],[Closed_Date]]=0,"",(_xlfn.XLOOKUP(Pipeline_tbl[[#This Row],[Closed_Date]],Dim_Date!A:A,Dim_Date!H:H)))</f>
        <v>Mar 2025</v>
      </c>
      <c r="U4738">
        <f>IF(Pipeline_tbl[[#This Row],[Closed_Date]]=0,"",Pipeline_tbl[[#This Row],[Closed_Date]]-Pipeline_tbl[[#This Row],[Created_Date]])</f>
        <v>23</v>
      </c>
    </row>
    <row r="4739" spans="1:21" ht="15" customHeight="1" x14ac:dyDescent="0.2">
      <c r="A4739" t="s">
        <v>5045</v>
      </c>
      <c r="B4739" t="s">
        <v>205</v>
      </c>
      <c r="C4739" t="s">
        <v>55</v>
      </c>
      <c r="D4739" s="49">
        <v>45706</v>
      </c>
      <c r="E4739" s="49">
        <v>45707</v>
      </c>
      <c r="F4739" s="49">
        <v>45709</v>
      </c>
      <c r="G4739" s="49">
        <v>45713</v>
      </c>
      <c r="H4739" s="49">
        <v>45715</v>
      </c>
      <c r="I4739" s="49">
        <v>45717</v>
      </c>
      <c r="J4739" t="s">
        <v>47</v>
      </c>
      <c r="K4739" s="33">
        <v>3800</v>
      </c>
      <c r="M4739" t="str">
        <f>_xlfn.XLOOKUP(Pipeline_tbl[[#This Row],[Rep_ID]],Dim_Reps!A:A,Dim_Reps!K:K)</f>
        <v>EUR</v>
      </c>
      <c r="N4739" s="33">
        <f>(_xlfn.XLOOKUP(Pipeline_tbl[[#This Row],[Rate_Code_Generalized]],Lookups!A:A,Lookups!B:B))*Pipeline_tbl[[#This Row],[Pipeline_Amount_USD]]</f>
        <v>3800</v>
      </c>
      <c r="O4739" t="str">
        <f>_xlfn.XLOOKUP(Pipeline_tbl[[#This Row],[Rep_ID]],Dim_Reps!A:A,Dim_Reps!B:B)</f>
        <v>Karim Alvarez</v>
      </c>
      <c r="P4739" t="str">
        <f>_xlfn.XLOOKUP(Pipeline_tbl[[#This Row],[Rep_ID]],Dim_Reps!A:A,Dim_Reps!C:C)</f>
        <v>SDR / Inside Sales Rep</v>
      </c>
      <c r="Q4739" t="str">
        <f>_xlfn.XLOOKUP(Pipeline_tbl[[#This Row],[Rep_ID]],Dim_Reps!A:A,Dim_Reps!D:D)</f>
        <v>Inside Sales</v>
      </c>
      <c r="R4739" t="str">
        <f>_xlfn.XLOOKUP(Pipeline_tbl[[#This Row],[Rep_ID]],Dim_Reps!A:A,Dim_Reps!E:E)</f>
        <v>EMEA</v>
      </c>
      <c r="S4739" t="str">
        <f>_xlfn.XLOOKUP(Pipeline_tbl[[#This Row],[Created_Date]],Dim_Date!A:A,Dim_Date!H:H)</f>
        <v>Feb 2025</v>
      </c>
      <c r="T4739" t="str">
        <f>IF(Pipeline_tbl[[#This Row],[Closed_Date]]=0,"",(_xlfn.XLOOKUP(Pipeline_tbl[[#This Row],[Closed_Date]],Dim_Date!A:A,Dim_Date!H:H)))</f>
        <v>Mar 2025</v>
      </c>
      <c r="U4739">
        <f>IF(Pipeline_tbl[[#This Row],[Closed_Date]]=0,"",Pipeline_tbl[[#This Row],[Closed_Date]]-Pipeline_tbl[[#This Row],[Created_Date]])</f>
        <v>11</v>
      </c>
    </row>
    <row r="4740" spans="1:21" ht="15" customHeight="1" x14ac:dyDescent="0.2">
      <c r="A4740" t="s">
        <v>5046</v>
      </c>
      <c r="B4740" t="s">
        <v>205</v>
      </c>
      <c r="C4740" t="s">
        <v>52</v>
      </c>
      <c r="D4740" s="49">
        <v>45706</v>
      </c>
      <c r="E4740" s="49">
        <v>45708</v>
      </c>
      <c r="F4740" s="49">
        <v>45711</v>
      </c>
      <c r="G4740" s="49">
        <v>45716</v>
      </c>
      <c r="H4740" s="49">
        <v>45720</v>
      </c>
      <c r="I4740" s="49">
        <v>45722</v>
      </c>
      <c r="J4740" t="s">
        <v>49</v>
      </c>
      <c r="K4740" s="33">
        <v>1300</v>
      </c>
      <c r="L4740" t="s">
        <v>64</v>
      </c>
      <c r="M4740" t="str">
        <f>_xlfn.XLOOKUP(Pipeline_tbl[[#This Row],[Rep_ID]],Dim_Reps!A:A,Dim_Reps!K:K)</f>
        <v>EUR</v>
      </c>
      <c r="N4740" s="33">
        <f>(_xlfn.XLOOKUP(Pipeline_tbl[[#This Row],[Rate_Code_Generalized]],Lookups!A:A,Lookups!B:B))*Pipeline_tbl[[#This Row],[Pipeline_Amount_USD]]</f>
        <v>1300</v>
      </c>
      <c r="O4740" t="str">
        <f>_xlfn.XLOOKUP(Pipeline_tbl[[#This Row],[Rep_ID]],Dim_Reps!A:A,Dim_Reps!B:B)</f>
        <v>Karim Alvarez</v>
      </c>
      <c r="P4740" t="str">
        <f>_xlfn.XLOOKUP(Pipeline_tbl[[#This Row],[Rep_ID]],Dim_Reps!A:A,Dim_Reps!C:C)</f>
        <v>SDR / Inside Sales Rep</v>
      </c>
      <c r="Q4740" t="str">
        <f>_xlfn.XLOOKUP(Pipeline_tbl[[#This Row],[Rep_ID]],Dim_Reps!A:A,Dim_Reps!D:D)</f>
        <v>Inside Sales</v>
      </c>
      <c r="R4740" t="str">
        <f>_xlfn.XLOOKUP(Pipeline_tbl[[#This Row],[Rep_ID]],Dim_Reps!A:A,Dim_Reps!E:E)</f>
        <v>EMEA</v>
      </c>
      <c r="S4740" t="str">
        <f>_xlfn.XLOOKUP(Pipeline_tbl[[#This Row],[Created_Date]],Dim_Date!A:A,Dim_Date!H:H)</f>
        <v>Feb 2025</v>
      </c>
      <c r="T4740" t="str">
        <f>IF(Pipeline_tbl[[#This Row],[Closed_Date]]=0,"",(_xlfn.XLOOKUP(Pipeline_tbl[[#This Row],[Closed_Date]],Dim_Date!A:A,Dim_Date!H:H)))</f>
        <v>Mar 2025</v>
      </c>
      <c r="U4740">
        <f>IF(Pipeline_tbl[[#This Row],[Closed_Date]]=0,"",Pipeline_tbl[[#This Row],[Closed_Date]]-Pipeline_tbl[[#This Row],[Created_Date]])</f>
        <v>16</v>
      </c>
    </row>
    <row r="4741" spans="1:21" ht="15" customHeight="1" x14ac:dyDescent="0.2">
      <c r="A4741" t="s">
        <v>5047</v>
      </c>
      <c r="B4741" t="s">
        <v>205</v>
      </c>
      <c r="C4741" t="s">
        <v>54</v>
      </c>
      <c r="D4741" s="49">
        <v>45699</v>
      </c>
      <c r="E4741" s="49">
        <v>45701</v>
      </c>
      <c r="F4741" s="49">
        <v>45705</v>
      </c>
      <c r="G4741" s="49">
        <v>45712</v>
      </c>
      <c r="H4741" s="49">
        <v>45717</v>
      </c>
      <c r="I4741" s="49">
        <v>45720</v>
      </c>
      <c r="J4741" t="s">
        <v>47</v>
      </c>
      <c r="K4741" s="33">
        <v>3000</v>
      </c>
      <c r="M4741" t="str">
        <f>_xlfn.XLOOKUP(Pipeline_tbl[[#This Row],[Rep_ID]],Dim_Reps!A:A,Dim_Reps!K:K)</f>
        <v>EUR</v>
      </c>
      <c r="N4741" s="33">
        <f>(_xlfn.XLOOKUP(Pipeline_tbl[[#This Row],[Rate_Code_Generalized]],Lookups!A:A,Lookups!B:B))*Pipeline_tbl[[#This Row],[Pipeline_Amount_USD]]</f>
        <v>3000</v>
      </c>
      <c r="O4741" t="str">
        <f>_xlfn.XLOOKUP(Pipeline_tbl[[#This Row],[Rep_ID]],Dim_Reps!A:A,Dim_Reps!B:B)</f>
        <v>Karim Alvarez</v>
      </c>
      <c r="P4741" t="str">
        <f>_xlfn.XLOOKUP(Pipeline_tbl[[#This Row],[Rep_ID]],Dim_Reps!A:A,Dim_Reps!C:C)</f>
        <v>SDR / Inside Sales Rep</v>
      </c>
      <c r="Q4741" t="str">
        <f>_xlfn.XLOOKUP(Pipeline_tbl[[#This Row],[Rep_ID]],Dim_Reps!A:A,Dim_Reps!D:D)</f>
        <v>Inside Sales</v>
      </c>
      <c r="R4741" t="str">
        <f>_xlfn.XLOOKUP(Pipeline_tbl[[#This Row],[Rep_ID]],Dim_Reps!A:A,Dim_Reps!E:E)</f>
        <v>EMEA</v>
      </c>
      <c r="S4741" t="str">
        <f>_xlfn.XLOOKUP(Pipeline_tbl[[#This Row],[Created_Date]],Dim_Date!A:A,Dim_Date!H:H)</f>
        <v>Feb 2025</v>
      </c>
      <c r="T4741" t="str">
        <f>IF(Pipeline_tbl[[#This Row],[Closed_Date]]=0,"",(_xlfn.XLOOKUP(Pipeline_tbl[[#This Row],[Closed_Date]],Dim_Date!A:A,Dim_Date!H:H)))</f>
        <v>Mar 2025</v>
      </c>
      <c r="U4741">
        <f>IF(Pipeline_tbl[[#This Row],[Closed_Date]]=0,"",Pipeline_tbl[[#This Row],[Closed_Date]]-Pipeline_tbl[[#This Row],[Created_Date]])</f>
        <v>21</v>
      </c>
    </row>
    <row r="4742" spans="1:21" ht="15" customHeight="1" x14ac:dyDescent="0.2">
      <c r="A4742" t="s">
        <v>5048</v>
      </c>
      <c r="B4742" t="s">
        <v>205</v>
      </c>
      <c r="C4742" t="s">
        <v>53</v>
      </c>
      <c r="D4742" s="49">
        <v>45710</v>
      </c>
      <c r="E4742" s="49">
        <v>45713</v>
      </c>
      <c r="F4742" s="49">
        <v>45719</v>
      </c>
      <c r="G4742" s="49">
        <v>45728</v>
      </c>
      <c r="H4742" s="49">
        <v>45736</v>
      </c>
      <c r="I4742" s="49">
        <v>45740</v>
      </c>
      <c r="J4742" t="s">
        <v>49</v>
      </c>
      <c r="K4742" s="33">
        <v>3000</v>
      </c>
      <c r="L4742" t="s">
        <v>64</v>
      </c>
      <c r="M4742" t="str">
        <f>_xlfn.XLOOKUP(Pipeline_tbl[[#This Row],[Rep_ID]],Dim_Reps!A:A,Dim_Reps!K:K)</f>
        <v>EUR</v>
      </c>
      <c r="N4742" s="33">
        <f>(_xlfn.XLOOKUP(Pipeline_tbl[[#This Row],[Rate_Code_Generalized]],Lookups!A:A,Lookups!B:B))*Pipeline_tbl[[#This Row],[Pipeline_Amount_USD]]</f>
        <v>3000</v>
      </c>
      <c r="O4742" t="str">
        <f>_xlfn.XLOOKUP(Pipeline_tbl[[#This Row],[Rep_ID]],Dim_Reps!A:A,Dim_Reps!B:B)</f>
        <v>Karim Alvarez</v>
      </c>
      <c r="P4742" t="str">
        <f>_xlfn.XLOOKUP(Pipeline_tbl[[#This Row],[Rep_ID]],Dim_Reps!A:A,Dim_Reps!C:C)</f>
        <v>SDR / Inside Sales Rep</v>
      </c>
      <c r="Q4742" t="str">
        <f>_xlfn.XLOOKUP(Pipeline_tbl[[#This Row],[Rep_ID]],Dim_Reps!A:A,Dim_Reps!D:D)</f>
        <v>Inside Sales</v>
      </c>
      <c r="R4742" t="str">
        <f>_xlfn.XLOOKUP(Pipeline_tbl[[#This Row],[Rep_ID]],Dim_Reps!A:A,Dim_Reps!E:E)</f>
        <v>EMEA</v>
      </c>
      <c r="S4742" t="str">
        <f>_xlfn.XLOOKUP(Pipeline_tbl[[#This Row],[Created_Date]],Dim_Date!A:A,Dim_Date!H:H)</f>
        <v>Feb 2025</v>
      </c>
      <c r="T4742" t="str">
        <f>IF(Pipeline_tbl[[#This Row],[Closed_Date]]=0,"",(_xlfn.XLOOKUP(Pipeline_tbl[[#This Row],[Closed_Date]],Dim_Date!A:A,Dim_Date!H:H)))</f>
        <v>Mar 2025</v>
      </c>
      <c r="U4742">
        <f>IF(Pipeline_tbl[[#This Row],[Closed_Date]]=0,"",Pipeline_tbl[[#This Row],[Closed_Date]]-Pipeline_tbl[[#This Row],[Created_Date]])</f>
        <v>30</v>
      </c>
    </row>
    <row r="4743" spans="1:21" ht="15" customHeight="1" x14ac:dyDescent="0.2">
      <c r="A4743" t="s">
        <v>5049</v>
      </c>
      <c r="B4743" t="s">
        <v>205</v>
      </c>
      <c r="C4743" t="s">
        <v>52</v>
      </c>
      <c r="D4743" s="49">
        <v>45702</v>
      </c>
      <c r="E4743" s="49">
        <v>45704</v>
      </c>
      <c r="F4743" s="49">
        <v>45707</v>
      </c>
      <c r="G4743" s="49">
        <v>45712</v>
      </c>
      <c r="I4743" s="49">
        <v>45719</v>
      </c>
      <c r="J4743" t="s">
        <v>49</v>
      </c>
      <c r="K4743" s="33">
        <v>3200</v>
      </c>
      <c r="L4743" t="s">
        <v>61</v>
      </c>
      <c r="M4743" t="str">
        <f>_xlfn.XLOOKUP(Pipeline_tbl[[#This Row],[Rep_ID]],Dim_Reps!A:A,Dim_Reps!K:K)</f>
        <v>EUR</v>
      </c>
      <c r="N4743" s="33">
        <f>(_xlfn.XLOOKUP(Pipeline_tbl[[#This Row],[Rate_Code_Generalized]],Lookups!A:A,Lookups!B:B))*Pipeline_tbl[[#This Row],[Pipeline_Amount_USD]]</f>
        <v>3200</v>
      </c>
      <c r="O4743" t="str">
        <f>_xlfn.XLOOKUP(Pipeline_tbl[[#This Row],[Rep_ID]],Dim_Reps!A:A,Dim_Reps!B:B)</f>
        <v>Karim Alvarez</v>
      </c>
      <c r="P4743" t="str">
        <f>_xlfn.XLOOKUP(Pipeline_tbl[[#This Row],[Rep_ID]],Dim_Reps!A:A,Dim_Reps!C:C)</f>
        <v>SDR / Inside Sales Rep</v>
      </c>
      <c r="Q4743" t="str">
        <f>_xlfn.XLOOKUP(Pipeline_tbl[[#This Row],[Rep_ID]],Dim_Reps!A:A,Dim_Reps!D:D)</f>
        <v>Inside Sales</v>
      </c>
      <c r="R4743" t="str">
        <f>_xlfn.XLOOKUP(Pipeline_tbl[[#This Row],[Rep_ID]],Dim_Reps!A:A,Dim_Reps!E:E)</f>
        <v>EMEA</v>
      </c>
      <c r="S4743" t="str">
        <f>_xlfn.XLOOKUP(Pipeline_tbl[[#This Row],[Created_Date]],Dim_Date!A:A,Dim_Date!H:H)</f>
        <v>Feb 2025</v>
      </c>
      <c r="T4743" t="str">
        <f>IF(Pipeline_tbl[[#This Row],[Closed_Date]]=0,"",(_xlfn.XLOOKUP(Pipeline_tbl[[#This Row],[Closed_Date]],Dim_Date!A:A,Dim_Date!H:H)))</f>
        <v>Mar 2025</v>
      </c>
      <c r="U4743">
        <f>IF(Pipeline_tbl[[#This Row],[Closed_Date]]=0,"",Pipeline_tbl[[#This Row],[Closed_Date]]-Pipeline_tbl[[#This Row],[Created_Date]])</f>
        <v>17</v>
      </c>
    </row>
    <row r="4744" spans="1:21" ht="15" customHeight="1" x14ac:dyDescent="0.2">
      <c r="A4744" t="s">
        <v>5050</v>
      </c>
      <c r="B4744" t="s">
        <v>205</v>
      </c>
      <c r="C4744" t="s">
        <v>52</v>
      </c>
      <c r="D4744" s="49">
        <v>45700</v>
      </c>
      <c r="E4744" s="49">
        <v>45702</v>
      </c>
      <c r="F4744" s="49">
        <v>45705</v>
      </c>
      <c r="I4744" s="49">
        <v>45718</v>
      </c>
      <c r="J4744" t="s">
        <v>49</v>
      </c>
      <c r="K4744" s="33">
        <v>4500</v>
      </c>
      <c r="L4744" t="s">
        <v>61</v>
      </c>
      <c r="M4744" t="str">
        <f>_xlfn.XLOOKUP(Pipeline_tbl[[#This Row],[Rep_ID]],Dim_Reps!A:A,Dim_Reps!K:K)</f>
        <v>EUR</v>
      </c>
      <c r="N4744" s="33">
        <f>(_xlfn.XLOOKUP(Pipeline_tbl[[#This Row],[Rate_Code_Generalized]],Lookups!A:A,Lookups!B:B))*Pipeline_tbl[[#This Row],[Pipeline_Amount_USD]]</f>
        <v>4500</v>
      </c>
      <c r="O4744" t="str">
        <f>_xlfn.XLOOKUP(Pipeline_tbl[[#This Row],[Rep_ID]],Dim_Reps!A:A,Dim_Reps!B:B)</f>
        <v>Karim Alvarez</v>
      </c>
      <c r="P4744" t="str">
        <f>_xlfn.XLOOKUP(Pipeline_tbl[[#This Row],[Rep_ID]],Dim_Reps!A:A,Dim_Reps!C:C)</f>
        <v>SDR / Inside Sales Rep</v>
      </c>
      <c r="Q4744" t="str">
        <f>_xlfn.XLOOKUP(Pipeline_tbl[[#This Row],[Rep_ID]],Dim_Reps!A:A,Dim_Reps!D:D)</f>
        <v>Inside Sales</v>
      </c>
      <c r="R4744" t="str">
        <f>_xlfn.XLOOKUP(Pipeline_tbl[[#This Row],[Rep_ID]],Dim_Reps!A:A,Dim_Reps!E:E)</f>
        <v>EMEA</v>
      </c>
      <c r="S4744" t="str">
        <f>_xlfn.XLOOKUP(Pipeline_tbl[[#This Row],[Created_Date]],Dim_Date!A:A,Dim_Date!H:H)</f>
        <v>Feb 2025</v>
      </c>
      <c r="T4744" t="str">
        <f>IF(Pipeline_tbl[[#This Row],[Closed_Date]]=0,"",(_xlfn.XLOOKUP(Pipeline_tbl[[#This Row],[Closed_Date]],Dim_Date!A:A,Dim_Date!H:H)))</f>
        <v>Mar 2025</v>
      </c>
      <c r="U4744">
        <f>IF(Pipeline_tbl[[#This Row],[Closed_Date]]=0,"",Pipeline_tbl[[#This Row],[Closed_Date]]-Pipeline_tbl[[#This Row],[Created_Date]])</f>
        <v>18</v>
      </c>
    </row>
    <row r="4745" spans="1:21" ht="15" customHeight="1" x14ac:dyDescent="0.2">
      <c r="A4745" t="s">
        <v>5051</v>
      </c>
      <c r="B4745" t="s">
        <v>205</v>
      </c>
      <c r="C4745" t="s">
        <v>55</v>
      </c>
      <c r="D4745" s="49">
        <v>45716</v>
      </c>
      <c r="E4745" s="49">
        <v>45718</v>
      </c>
      <c r="F4745" s="49">
        <v>45722</v>
      </c>
      <c r="G4745" s="49">
        <v>45729</v>
      </c>
      <c r="H4745" s="49">
        <v>45734</v>
      </c>
      <c r="I4745" s="49">
        <v>45737</v>
      </c>
      <c r="J4745" t="s">
        <v>47</v>
      </c>
      <c r="K4745" s="33">
        <v>4600</v>
      </c>
      <c r="M4745" t="str">
        <f>_xlfn.XLOOKUP(Pipeline_tbl[[#This Row],[Rep_ID]],Dim_Reps!A:A,Dim_Reps!K:K)</f>
        <v>EUR</v>
      </c>
      <c r="N4745" s="33">
        <f>(_xlfn.XLOOKUP(Pipeline_tbl[[#This Row],[Rate_Code_Generalized]],Lookups!A:A,Lookups!B:B))*Pipeline_tbl[[#This Row],[Pipeline_Amount_USD]]</f>
        <v>4600</v>
      </c>
      <c r="O4745" t="str">
        <f>_xlfn.XLOOKUP(Pipeline_tbl[[#This Row],[Rep_ID]],Dim_Reps!A:A,Dim_Reps!B:B)</f>
        <v>Karim Alvarez</v>
      </c>
      <c r="P4745" t="str">
        <f>_xlfn.XLOOKUP(Pipeline_tbl[[#This Row],[Rep_ID]],Dim_Reps!A:A,Dim_Reps!C:C)</f>
        <v>SDR / Inside Sales Rep</v>
      </c>
      <c r="Q4745" t="str">
        <f>_xlfn.XLOOKUP(Pipeline_tbl[[#This Row],[Rep_ID]],Dim_Reps!A:A,Dim_Reps!D:D)</f>
        <v>Inside Sales</v>
      </c>
      <c r="R4745" t="str">
        <f>_xlfn.XLOOKUP(Pipeline_tbl[[#This Row],[Rep_ID]],Dim_Reps!A:A,Dim_Reps!E:E)</f>
        <v>EMEA</v>
      </c>
      <c r="S4745" t="str">
        <f>_xlfn.XLOOKUP(Pipeline_tbl[[#This Row],[Created_Date]],Dim_Date!A:A,Dim_Date!H:H)</f>
        <v>Feb 2025</v>
      </c>
      <c r="T4745" t="str">
        <f>IF(Pipeline_tbl[[#This Row],[Closed_Date]]=0,"",(_xlfn.XLOOKUP(Pipeline_tbl[[#This Row],[Closed_Date]],Dim_Date!A:A,Dim_Date!H:H)))</f>
        <v>Mar 2025</v>
      </c>
      <c r="U4745">
        <f>IF(Pipeline_tbl[[#This Row],[Closed_Date]]=0,"",Pipeline_tbl[[#This Row],[Closed_Date]]-Pipeline_tbl[[#This Row],[Created_Date]])</f>
        <v>21</v>
      </c>
    </row>
    <row r="4746" spans="1:21" ht="15" customHeight="1" x14ac:dyDescent="0.2">
      <c r="A4746" t="s">
        <v>5052</v>
      </c>
      <c r="B4746" t="s">
        <v>205</v>
      </c>
      <c r="C4746" t="s">
        <v>53</v>
      </c>
      <c r="D4746" s="49">
        <v>45710</v>
      </c>
      <c r="E4746" s="49">
        <v>45712</v>
      </c>
      <c r="F4746" s="49">
        <v>45717</v>
      </c>
      <c r="G4746" s="49">
        <v>45723</v>
      </c>
      <c r="H4746" s="49">
        <v>45729</v>
      </c>
      <c r="I4746" s="49">
        <v>45732</v>
      </c>
      <c r="J4746" t="s">
        <v>47</v>
      </c>
      <c r="K4746" s="33">
        <v>4400</v>
      </c>
      <c r="M4746" t="str">
        <f>_xlfn.XLOOKUP(Pipeline_tbl[[#This Row],[Rep_ID]],Dim_Reps!A:A,Dim_Reps!K:K)</f>
        <v>EUR</v>
      </c>
      <c r="N4746" s="33">
        <f>(_xlfn.XLOOKUP(Pipeline_tbl[[#This Row],[Rate_Code_Generalized]],Lookups!A:A,Lookups!B:B))*Pipeline_tbl[[#This Row],[Pipeline_Amount_USD]]</f>
        <v>4400</v>
      </c>
      <c r="O4746" t="str">
        <f>_xlfn.XLOOKUP(Pipeline_tbl[[#This Row],[Rep_ID]],Dim_Reps!A:A,Dim_Reps!B:B)</f>
        <v>Karim Alvarez</v>
      </c>
      <c r="P4746" t="str">
        <f>_xlfn.XLOOKUP(Pipeline_tbl[[#This Row],[Rep_ID]],Dim_Reps!A:A,Dim_Reps!C:C)</f>
        <v>SDR / Inside Sales Rep</v>
      </c>
      <c r="Q4746" t="str">
        <f>_xlfn.XLOOKUP(Pipeline_tbl[[#This Row],[Rep_ID]],Dim_Reps!A:A,Dim_Reps!D:D)</f>
        <v>Inside Sales</v>
      </c>
      <c r="R4746" t="str">
        <f>_xlfn.XLOOKUP(Pipeline_tbl[[#This Row],[Rep_ID]],Dim_Reps!A:A,Dim_Reps!E:E)</f>
        <v>EMEA</v>
      </c>
      <c r="S4746" t="str">
        <f>_xlfn.XLOOKUP(Pipeline_tbl[[#This Row],[Created_Date]],Dim_Date!A:A,Dim_Date!H:H)</f>
        <v>Feb 2025</v>
      </c>
      <c r="T4746" t="str">
        <f>IF(Pipeline_tbl[[#This Row],[Closed_Date]]=0,"",(_xlfn.XLOOKUP(Pipeline_tbl[[#This Row],[Closed_Date]],Dim_Date!A:A,Dim_Date!H:H)))</f>
        <v>Mar 2025</v>
      </c>
      <c r="U4746">
        <f>IF(Pipeline_tbl[[#This Row],[Closed_Date]]=0,"",Pipeline_tbl[[#This Row],[Closed_Date]]-Pipeline_tbl[[#This Row],[Created_Date]])</f>
        <v>22</v>
      </c>
    </row>
    <row r="4747" spans="1:21" ht="15" customHeight="1" x14ac:dyDescent="0.2">
      <c r="A4747" t="s">
        <v>5053</v>
      </c>
      <c r="B4747" t="s">
        <v>205</v>
      </c>
      <c r="C4747" t="s">
        <v>52</v>
      </c>
      <c r="D4747" s="49">
        <v>45713</v>
      </c>
      <c r="E4747" s="49">
        <v>45715</v>
      </c>
      <c r="F4747" s="49">
        <v>45718</v>
      </c>
      <c r="I4747" s="49">
        <v>45728</v>
      </c>
      <c r="J4747" t="s">
        <v>49</v>
      </c>
      <c r="K4747" s="33">
        <v>2900</v>
      </c>
      <c r="L4747" t="s">
        <v>60</v>
      </c>
      <c r="M4747" t="str">
        <f>_xlfn.XLOOKUP(Pipeline_tbl[[#This Row],[Rep_ID]],Dim_Reps!A:A,Dim_Reps!K:K)</f>
        <v>EUR</v>
      </c>
      <c r="N4747" s="33">
        <f>(_xlfn.XLOOKUP(Pipeline_tbl[[#This Row],[Rate_Code_Generalized]],Lookups!A:A,Lookups!B:B))*Pipeline_tbl[[#This Row],[Pipeline_Amount_USD]]</f>
        <v>2900</v>
      </c>
      <c r="O4747" t="str">
        <f>_xlfn.XLOOKUP(Pipeline_tbl[[#This Row],[Rep_ID]],Dim_Reps!A:A,Dim_Reps!B:B)</f>
        <v>Karim Alvarez</v>
      </c>
      <c r="P4747" t="str">
        <f>_xlfn.XLOOKUP(Pipeline_tbl[[#This Row],[Rep_ID]],Dim_Reps!A:A,Dim_Reps!C:C)</f>
        <v>SDR / Inside Sales Rep</v>
      </c>
      <c r="Q4747" t="str">
        <f>_xlfn.XLOOKUP(Pipeline_tbl[[#This Row],[Rep_ID]],Dim_Reps!A:A,Dim_Reps!D:D)</f>
        <v>Inside Sales</v>
      </c>
      <c r="R4747" t="str">
        <f>_xlfn.XLOOKUP(Pipeline_tbl[[#This Row],[Rep_ID]],Dim_Reps!A:A,Dim_Reps!E:E)</f>
        <v>EMEA</v>
      </c>
      <c r="S4747" t="str">
        <f>_xlfn.XLOOKUP(Pipeline_tbl[[#This Row],[Created_Date]],Dim_Date!A:A,Dim_Date!H:H)</f>
        <v>Feb 2025</v>
      </c>
      <c r="T4747" t="str">
        <f>IF(Pipeline_tbl[[#This Row],[Closed_Date]]=0,"",(_xlfn.XLOOKUP(Pipeline_tbl[[#This Row],[Closed_Date]],Dim_Date!A:A,Dim_Date!H:H)))</f>
        <v>Mar 2025</v>
      </c>
      <c r="U4747">
        <f>IF(Pipeline_tbl[[#This Row],[Closed_Date]]=0,"",Pipeline_tbl[[#This Row],[Closed_Date]]-Pipeline_tbl[[#This Row],[Created_Date]])</f>
        <v>15</v>
      </c>
    </row>
    <row r="4748" spans="1:21" ht="15" customHeight="1" x14ac:dyDescent="0.2">
      <c r="A4748" t="s">
        <v>5054</v>
      </c>
      <c r="B4748" t="s">
        <v>207</v>
      </c>
      <c r="C4748" t="s">
        <v>56</v>
      </c>
      <c r="D4748" s="49">
        <v>45701</v>
      </c>
      <c r="E4748" s="49">
        <v>45704</v>
      </c>
      <c r="I4748" s="49">
        <v>45727</v>
      </c>
      <c r="J4748" t="s">
        <v>49</v>
      </c>
      <c r="K4748" s="33">
        <v>3300</v>
      </c>
      <c r="L4748" t="s">
        <v>63</v>
      </c>
      <c r="M4748" t="str">
        <f>_xlfn.XLOOKUP(Pipeline_tbl[[#This Row],[Rep_ID]],Dim_Reps!A:A,Dim_Reps!K:K)</f>
        <v>EUR</v>
      </c>
      <c r="N4748" s="33">
        <f>(_xlfn.XLOOKUP(Pipeline_tbl[[#This Row],[Rate_Code_Generalized]],Lookups!A:A,Lookups!B:B))*Pipeline_tbl[[#This Row],[Pipeline_Amount_USD]]</f>
        <v>3300</v>
      </c>
      <c r="O4748" t="str">
        <f>_xlfn.XLOOKUP(Pipeline_tbl[[#This Row],[Rep_ID]],Dim_Reps!A:A,Dim_Reps!B:B)</f>
        <v>Sam Castro</v>
      </c>
      <c r="P4748" t="str">
        <f>_xlfn.XLOOKUP(Pipeline_tbl[[#This Row],[Rep_ID]],Dim_Reps!A:A,Dim_Reps!C:C)</f>
        <v>SDR / Inside Sales Rep</v>
      </c>
      <c r="Q4748" t="str">
        <f>_xlfn.XLOOKUP(Pipeline_tbl[[#This Row],[Rep_ID]],Dim_Reps!A:A,Dim_Reps!D:D)</f>
        <v>Inside Sales</v>
      </c>
      <c r="R4748" t="str">
        <f>_xlfn.XLOOKUP(Pipeline_tbl[[#This Row],[Rep_ID]],Dim_Reps!A:A,Dim_Reps!E:E)</f>
        <v>APAC</v>
      </c>
      <c r="S4748" t="str">
        <f>_xlfn.XLOOKUP(Pipeline_tbl[[#This Row],[Created_Date]],Dim_Date!A:A,Dim_Date!H:H)</f>
        <v>Feb 2025</v>
      </c>
      <c r="T4748" t="str">
        <f>IF(Pipeline_tbl[[#This Row],[Closed_Date]]=0,"",(_xlfn.XLOOKUP(Pipeline_tbl[[#This Row],[Closed_Date]],Dim_Date!A:A,Dim_Date!H:H)))</f>
        <v>Mar 2025</v>
      </c>
      <c r="U4748">
        <f>IF(Pipeline_tbl[[#This Row],[Closed_Date]]=0,"",Pipeline_tbl[[#This Row],[Closed_Date]]-Pipeline_tbl[[#This Row],[Created_Date]])</f>
        <v>26</v>
      </c>
    </row>
    <row r="4749" spans="1:21" ht="15" customHeight="1" x14ac:dyDescent="0.2">
      <c r="A4749" t="s">
        <v>5055</v>
      </c>
      <c r="B4749" t="s">
        <v>207</v>
      </c>
      <c r="C4749" t="s">
        <v>53</v>
      </c>
      <c r="D4749" s="49">
        <v>45714</v>
      </c>
      <c r="E4749" s="49">
        <v>45716</v>
      </c>
      <c r="F4749" s="49">
        <v>45719</v>
      </c>
      <c r="G4749" s="49">
        <v>45725</v>
      </c>
      <c r="H4749" s="49">
        <v>45729</v>
      </c>
      <c r="I4749" s="49">
        <v>45732</v>
      </c>
      <c r="J4749" t="s">
        <v>49</v>
      </c>
      <c r="K4749" s="33">
        <v>2600</v>
      </c>
      <c r="L4749" t="s">
        <v>60</v>
      </c>
      <c r="M4749" t="str">
        <f>_xlfn.XLOOKUP(Pipeline_tbl[[#This Row],[Rep_ID]],Dim_Reps!A:A,Dim_Reps!K:K)</f>
        <v>EUR</v>
      </c>
      <c r="N4749" s="33">
        <f>(_xlfn.XLOOKUP(Pipeline_tbl[[#This Row],[Rate_Code_Generalized]],Lookups!A:A,Lookups!B:B))*Pipeline_tbl[[#This Row],[Pipeline_Amount_USD]]</f>
        <v>2600</v>
      </c>
      <c r="O4749" t="str">
        <f>_xlfn.XLOOKUP(Pipeline_tbl[[#This Row],[Rep_ID]],Dim_Reps!A:A,Dim_Reps!B:B)</f>
        <v>Sam Castro</v>
      </c>
      <c r="P4749" t="str">
        <f>_xlfn.XLOOKUP(Pipeline_tbl[[#This Row],[Rep_ID]],Dim_Reps!A:A,Dim_Reps!C:C)</f>
        <v>SDR / Inside Sales Rep</v>
      </c>
      <c r="Q4749" t="str">
        <f>_xlfn.XLOOKUP(Pipeline_tbl[[#This Row],[Rep_ID]],Dim_Reps!A:A,Dim_Reps!D:D)</f>
        <v>Inside Sales</v>
      </c>
      <c r="R4749" t="str">
        <f>_xlfn.XLOOKUP(Pipeline_tbl[[#This Row],[Rep_ID]],Dim_Reps!A:A,Dim_Reps!E:E)</f>
        <v>APAC</v>
      </c>
      <c r="S4749" t="str">
        <f>_xlfn.XLOOKUP(Pipeline_tbl[[#This Row],[Created_Date]],Dim_Date!A:A,Dim_Date!H:H)</f>
        <v>Feb 2025</v>
      </c>
      <c r="T4749" t="str">
        <f>IF(Pipeline_tbl[[#This Row],[Closed_Date]]=0,"",(_xlfn.XLOOKUP(Pipeline_tbl[[#This Row],[Closed_Date]],Dim_Date!A:A,Dim_Date!H:H)))</f>
        <v>Mar 2025</v>
      </c>
      <c r="U4749">
        <f>IF(Pipeline_tbl[[#This Row],[Closed_Date]]=0,"",Pipeline_tbl[[#This Row],[Closed_Date]]-Pipeline_tbl[[#This Row],[Created_Date]])</f>
        <v>18</v>
      </c>
    </row>
    <row r="4750" spans="1:21" ht="15" customHeight="1" x14ac:dyDescent="0.2">
      <c r="A4750" t="s">
        <v>5056</v>
      </c>
      <c r="B4750" t="s">
        <v>207</v>
      </c>
      <c r="C4750" t="s">
        <v>55</v>
      </c>
      <c r="D4750" s="49">
        <v>45708</v>
      </c>
      <c r="E4750" s="49">
        <v>45709</v>
      </c>
      <c r="F4750" s="49">
        <v>45711</v>
      </c>
      <c r="I4750" s="49">
        <v>45719</v>
      </c>
      <c r="J4750" t="s">
        <v>49</v>
      </c>
      <c r="K4750" s="33">
        <v>2500</v>
      </c>
      <c r="L4750" t="s">
        <v>62</v>
      </c>
      <c r="M4750" t="str">
        <f>_xlfn.XLOOKUP(Pipeline_tbl[[#This Row],[Rep_ID]],Dim_Reps!A:A,Dim_Reps!K:K)</f>
        <v>EUR</v>
      </c>
      <c r="N4750" s="33">
        <f>(_xlfn.XLOOKUP(Pipeline_tbl[[#This Row],[Rate_Code_Generalized]],Lookups!A:A,Lookups!B:B))*Pipeline_tbl[[#This Row],[Pipeline_Amount_USD]]</f>
        <v>2500</v>
      </c>
      <c r="O4750" t="str">
        <f>_xlfn.XLOOKUP(Pipeline_tbl[[#This Row],[Rep_ID]],Dim_Reps!A:A,Dim_Reps!B:B)</f>
        <v>Sam Castro</v>
      </c>
      <c r="P4750" t="str">
        <f>_xlfn.XLOOKUP(Pipeline_tbl[[#This Row],[Rep_ID]],Dim_Reps!A:A,Dim_Reps!C:C)</f>
        <v>SDR / Inside Sales Rep</v>
      </c>
      <c r="Q4750" t="str">
        <f>_xlfn.XLOOKUP(Pipeline_tbl[[#This Row],[Rep_ID]],Dim_Reps!A:A,Dim_Reps!D:D)</f>
        <v>Inside Sales</v>
      </c>
      <c r="R4750" t="str">
        <f>_xlfn.XLOOKUP(Pipeline_tbl[[#This Row],[Rep_ID]],Dim_Reps!A:A,Dim_Reps!E:E)</f>
        <v>APAC</v>
      </c>
      <c r="S4750" t="str">
        <f>_xlfn.XLOOKUP(Pipeline_tbl[[#This Row],[Created_Date]],Dim_Date!A:A,Dim_Date!H:H)</f>
        <v>Feb 2025</v>
      </c>
      <c r="T4750" t="str">
        <f>IF(Pipeline_tbl[[#This Row],[Closed_Date]]=0,"",(_xlfn.XLOOKUP(Pipeline_tbl[[#This Row],[Closed_Date]],Dim_Date!A:A,Dim_Date!H:H)))</f>
        <v>Mar 2025</v>
      </c>
      <c r="U4750">
        <f>IF(Pipeline_tbl[[#This Row],[Closed_Date]]=0,"",Pipeline_tbl[[#This Row],[Closed_Date]]-Pipeline_tbl[[#This Row],[Created_Date]])</f>
        <v>11</v>
      </c>
    </row>
    <row r="4751" spans="1:21" ht="15" customHeight="1" x14ac:dyDescent="0.2">
      <c r="A4751" t="s">
        <v>5057</v>
      </c>
      <c r="B4751" t="s">
        <v>207</v>
      </c>
      <c r="C4751" t="s">
        <v>53</v>
      </c>
      <c r="D4751" s="49">
        <v>45703</v>
      </c>
      <c r="E4751" s="49">
        <v>45705</v>
      </c>
      <c r="F4751" s="49">
        <v>45708</v>
      </c>
      <c r="G4751" s="49">
        <v>45713</v>
      </c>
      <c r="H4751" s="49">
        <v>45717</v>
      </c>
      <c r="I4751" s="49">
        <v>45720</v>
      </c>
      <c r="J4751" t="s">
        <v>47</v>
      </c>
      <c r="K4751" s="33">
        <v>3100</v>
      </c>
      <c r="M4751" t="str">
        <f>_xlfn.XLOOKUP(Pipeline_tbl[[#This Row],[Rep_ID]],Dim_Reps!A:A,Dim_Reps!K:K)</f>
        <v>EUR</v>
      </c>
      <c r="N4751" s="33">
        <f>(_xlfn.XLOOKUP(Pipeline_tbl[[#This Row],[Rate_Code_Generalized]],Lookups!A:A,Lookups!B:B))*Pipeline_tbl[[#This Row],[Pipeline_Amount_USD]]</f>
        <v>3100</v>
      </c>
      <c r="O4751" t="str">
        <f>_xlfn.XLOOKUP(Pipeline_tbl[[#This Row],[Rep_ID]],Dim_Reps!A:A,Dim_Reps!B:B)</f>
        <v>Sam Castro</v>
      </c>
      <c r="P4751" t="str">
        <f>_xlfn.XLOOKUP(Pipeline_tbl[[#This Row],[Rep_ID]],Dim_Reps!A:A,Dim_Reps!C:C)</f>
        <v>SDR / Inside Sales Rep</v>
      </c>
      <c r="Q4751" t="str">
        <f>_xlfn.XLOOKUP(Pipeline_tbl[[#This Row],[Rep_ID]],Dim_Reps!A:A,Dim_Reps!D:D)</f>
        <v>Inside Sales</v>
      </c>
      <c r="R4751" t="str">
        <f>_xlfn.XLOOKUP(Pipeline_tbl[[#This Row],[Rep_ID]],Dim_Reps!A:A,Dim_Reps!E:E)</f>
        <v>APAC</v>
      </c>
      <c r="S4751" t="str">
        <f>_xlfn.XLOOKUP(Pipeline_tbl[[#This Row],[Created_Date]],Dim_Date!A:A,Dim_Date!H:H)</f>
        <v>Feb 2025</v>
      </c>
      <c r="T4751" t="str">
        <f>IF(Pipeline_tbl[[#This Row],[Closed_Date]]=0,"",(_xlfn.XLOOKUP(Pipeline_tbl[[#This Row],[Closed_Date]],Dim_Date!A:A,Dim_Date!H:H)))</f>
        <v>Mar 2025</v>
      </c>
      <c r="U4751">
        <f>IF(Pipeline_tbl[[#This Row],[Closed_Date]]=0,"",Pipeline_tbl[[#This Row],[Closed_Date]]-Pipeline_tbl[[#This Row],[Created_Date]])</f>
        <v>17</v>
      </c>
    </row>
    <row r="4752" spans="1:21" ht="15" customHeight="1" x14ac:dyDescent="0.2">
      <c r="A4752" t="s">
        <v>5058</v>
      </c>
      <c r="B4752" t="s">
        <v>207</v>
      </c>
      <c r="C4752" t="s">
        <v>52</v>
      </c>
      <c r="D4752" s="49">
        <v>45715</v>
      </c>
      <c r="E4752" s="49">
        <v>45715</v>
      </c>
      <c r="F4752" s="49">
        <v>45717</v>
      </c>
      <c r="G4752" s="49">
        <v>45718</v>
      </c>
      <c r="H4752" s="49">
        <v>45719</v>
      </c>
      <c r="I4752" s="49">
        <v>45720</v>
      </c>
      <c r="J4752" t="s">
        <v>47</v>
      </c>
      <c r="K4752" s="33">
        <v>4300</v>
      </c>
      <c r="M4752" t="str">
        <f>_xlfn.XLOOKUP(Pipeline_tbl[[#This Row],[Rep_ID]],Dim_Reps!A:A,Dim_Reps!K:K)</f>
        <v>EUR</v>
      </c>
      <c r="N4752" s="33">
        <f>(_xlfn.XLOOKUP(Pipeline_tbl[[#This Row],[Rate_Code_Generalized]],Lookups!A:A,Lookups!B:B))*Pipeline_tbl[[#This Row],[Pipeline_Amount_USD]]</f>
        <v>4300</v>
      </c>
      <c r="O4752" t="str">
        <f>_xlfn.XLOOKUP(Pipeline_tbl[[#This Row],[Rep_ID]],Dim_Reps!A:A,Dim_Reps!B:B)</f>
        <v>Sam Castro</v>
      </c>
      <c r="P4752" t="str">
        <f>_xlfn.XLOOKUP(Pipeline_tbl[[#This Row],[Rep_ID]],Dim_Reps!A:A,Dim_Reps!C:C)</f>
        <v>SDR / Inside Sales Rep</v>
      </c>
      <c r="Q4752" t="str">
        <f>_xlfn.XLOOKUP(Pipeline_tbl[[#This Row],[Rep_ID]],Dim_Reps!A:A,Dim_Reps!D:D)</f>
        <v>Inside Sales</v>
      </c>
      <c r="R4752" t="str">
        <f>_xlfn.XLOOKUP(Pipeline_tbl[[#This Row],[Rep_ID]],Dim_Reps!A:A,Dim_Reps!E:E)</f>
        <v>APAC</v>
      </c>
      <c r="S4752" t="str">
        <f>_xlfn.XLOOKUP(Pipeline_tbl[[#This Row],[Created_Date]],Dim_Date!A:A,Dim_Date!H:H)</f>
        <v>Feb 2025</v>
      </c>
      <c r="T4752" t="str">
        <f>IF(Pipeline_tbl[[#This Row],[Closed_Date]]=0,"",(_xlfn.XLOOKUP(Pipeline_tbl[[#This Row],[Closed_Date]],Dim_Date!A:A,Dim_Date!H:H)))</f>
        <v>Mar 2025</v>
      </c>
      <c r="U4752">
        <f>IF(Pipeline_tbl[[#This Row],[Closed_Date]]=0,"",Pipeline_tbl[[#This Row],[Closed_Date]]-Pipeline_tbl[[#This Row],[Created_Date]])</f>
        <v>5</v>
      </c>
    </row>
    <row r="4753" spans="1:21" ht="15" customHeight="1" x14ac:dyDescent="0.2">
      <c r="A4753" t="s">
        <v>5059</v>
      </c>
      <c r="B4753" t="s">
        <v>207</v>
      </c>
      <c r="C4753" t="s">
        <v>53</v>
      </c>
      <c r="D4753" s="49">
        <v>45711</v>
      </c>
      <c r="E4753" s="49">
        <v>45712</v>
      </c>
      <c r="F4753" s="49">
        <v>45715</v>
      </c>
      <c r="G4753" s="49">
        <v>45718</v>
      </c>
      <c r="H4753" s="49">
        <v>45721</v>
      </c>
      <c r="I4753" s="49">
        <v>45723</v>
      </c>
      <c r="J4753" t="s">
        <v>49</v>
      </c>
      <c r="K4753" s="33">
        <v>4100</v>
      </c>
      <c r="L4753" t="s">
        <v>60</v>
      </c>
      <c r="M4753" t="str">
        <f>_xlfn.XLOOKUP(Pipeline_tbl[[#This Row],[Rep_ID]],Dim_Reps!A:A,Dim_Reps!K:K)</f>
        <v>EUR</v>
      </c>
      <c r="N4753" s="33">
        <f>(_xlfn.XLOOKUP(Pipeline_tbl[[#This Row],[Rate_Code_Generalized]],Lookups!A:A,Lookups!B:B))*Pipeline_tbl[[#This Row],[Pipeline_Amount_USD]]</f>
        <v>4100</v>
      </c>
      <c r="O4753" t="str">
        <f>_xlfn.XLOOKUP(Pipeline_tbl[[#This Row],[Rep_ID]],Dim_Reps!A:A,Dim_Reps!B:B)</f>
        <v>Sam Castro</v>
      </c>
      <c r="P4753" t="str">
        <f>_xlfn.XLOOKUP(Pipeline_tbl[[#This Row],[Rep_ID]],Dim_Reps!A:A,Dim_Reps!C:C)</f>
        <v>SDR / Inside Sales Rep</v>
      </c>
      <c r="Q4753" t="str">
        <f>_xlfn.XLOOKUP(Pipeline_tbl[[#This Row],[Rep_ID]],Dim_Reps!A:A,Dim_Reps!D:D)</f>
        <v>Inside Sales</v>
      </c>
      <c r="R4753" t="str">
        <f>_xlfn.XLOOKUP(Pipeline_tbl[[#This Row],[Rep_ID]],Dim_Reps!A:A,Dim_Reps!E:E)</f>
        <v>APAC</v>
      </c>
      <c r="S4753" t="str">
        <f>_xlfn.XLOOKUP(Pipeline_tbl[[#This Row],[Created_Date]],Dim_Date!A:A,Dim_Date!H:H)</f>
        <v>Feb 2025</v>
      </c>
      <c r="T4753" t="str">
        <f>IF(Pipeline_tbl[[#This Row],[Closed_Date]]=0,"",(_xlfn.XLOOKUP(Pipeline_tbl[[#This Row],[Closed_Date]],Dim_Date!A:A,Dim_Date!H:H)))</f>
        <v>Mar 2025</v>
      </c>
      <c r="U4753">
        <f>IF(Pipeline_tbl[[#This Row],[Closed_Date]]=0,"",Pipeline_tbl[[#This Row],[Closed_Date]]-Pipeline_tbl[[#This Row],[Created_Date]])</f>
        <v>12</v>
      </c>
    </row>
    <row r="4754" spans="1:21" ht="15" customHeight="1" x14ac:dyDescent="0.2">
      <c r="A4754" t="s">
        <v>5060</v>
      </c>
      <c r="B4754" t="s">
        <v>209</v>
      </c>
      <c r="C4754" t="s">
        <v>52</v>
      </c>
      <c r="D4754" s="49">
        <v>45714</v>
      </c>
      <c r="E4754" s="49">
        <v>45715</v>
      </c>
      <c r="F4754" s="49">
        <v>45718</v>
      </c>
      <c r="I4754" s="49">
        <v>45728</v>
      </c>
      <c r="J4754" t="s">
        <v>49</v>
      </c>
      <c r="K4754" s="33">
        <v>2100</v>
      </c>
      <c r="L4754" t="s">
        <v>60</v>
      </c>
      <c r="M4754" t="str">
        <f>_xlfn.XLOOKUP(Pipeline_tbl[[#This Row],[Rep_ID]],Dim_Reps!A:A,Dim_Reps!K:K)</f>
        <v>EUR</v>
      </c>
      <c r="N4754" s="33">
        <f>(_xlfn.XLOOKUP(Pipeline_tbl[[#This Row],[Rate_Code_Generalized]],Lookups!A:A,Lookups!B:B))*Pipeline_tbl[[#This Row],[Pipeline_Amount_USD]]</f>
        <v>2100</v>
      </c>
      <c r="O4754" t="str">
        <f>_xlfn.XLOOKUP(Pipeline_tbl[[#This Row],[Rep_ID]],Dim_Reps!A:A,Dim_Reps!B:B)</f>
        <v>Petra Larsen</v>
      </c>
      <c r="P4754" t="str">
        <f>_xlfn.XLOOKUP(Pipeline_tbl[[#This Row],[Rep_ID]],Dim_Reps!A:A,Dim_Reps!C:C)</f>
        <v>SDR / Inside Sales Rep</v>
      </c>
      <c r="Q4754" t="str">
        <f>_xlfn.XLOOKUP(Pipeline_tbl[[#This Row],[Rep_ID]],Dim_Reps!A:A,Dim_Reps!D:D)</f>
        <v>Inside Sales</v>
      </c>
      <c r="R4754" t="str">
        <f>_xlfn.XLOOKUP(Pipeline_tbl[[#This Row],[Rep_ID]],Dim_Reps!A:A,Dim_Reps!E:E)</f>
        <v>EMEA</v>
      </c>
      <c r="S4754" t="str">
        <f>_xlfn.XLOOKUP(Pipeline_tbl[[#This Row],[Created_Date]],Dim_Date!A:A,Dim_Date!H:H)</f>
        <v>Feb 2025</v>
      </c>
      <c r="T4754" t="str">
        <f>IF(Pipeline_tbl[[#This Row],[Closed_Date]]=0,"",(_xlfn.XLOOKUP(Pipeline_tbl[[#This Row],[Closed_Date]],Dim_Date!A:A,Dim_Date!H:H)))</f>
        <v>Mar 2025</v>
      </c>
      <c r="U4754">
        <f>IF(Pipeline_tbl[[#This Row],[Closed_Date]]=0,"",Pipeline_tbl[[#This Row],[Closed_Date]]-Pipeline_tbl[[#This Row],[Created_Date]])</f>
        <v>14</v>
      </c>
    </row>
    <row r="4755" spans="1:21" ht="15" customHeight="1" x14ac:dyDescent="0.2">
      <c r="A4755" t="s">
        <v>5061</v>
      </c>
      <c r="B4755" t="s">
        <v>209</v>
      </c>
      <c r="C4755" t="s">
        <v>56</v>
      </c>
      <c r="D4755" s="49">
        <v>45707</v>
      </c>
      <c r="E4755" s="49">
        <v>45709</v>
      </c>
      <c r="F4755" s="49">
        <v>45715</v>
      </c>
      <c r="I4755" s="49">
        <v>45732</v>
      </c>
      <c r="J4755" t="s">
        <v>49</v>
      </c>
      <c r="K4755" s="33">
        <v>2000</v>
      </c>
      <c r="L4755" t="s">
        <v>60</v>
      </c>
      <c r="M4755" t="str">
        <f>_xlfn.XLOOKUP(Pipeline_tbl[[#This Row],[Rep_ID]],Dim_Reps!A:A,Dim_Reps!K:K)</f>
        <v>EUR</v>
      </c>
      <c r="N4755" s="33">
        <f>(_xlfn.XLOOKUP(Pipeline_tbl[[#This Row],[Rate_Code_Generalized]],Lookups!A:A,Lookups!B:B))*Pipeline_tbl[[#This Row],[Pipeline_Amount_USD]]</f>
        <v>2000</v>
      </c>
      <c r="O4755" t="str">
        <f>_xlfn.XLOOKUP(Pipeline_tbl[[#This Row],[Rep_ID]],Dim_Reps!A:A,Dim_Reps!B:B)</f>
        <v>Petra Larsen</v>
      </c>
      <c r="P4755" t="str">
        <f>_xlfn.XLOOKUP(Pipeline_tbl[[#This Row],[Rep_ID]],Dim_Reps!A:A,Dim_Reps!C:C)</f>
        <v>SDR / Inside Sales Rep</v>
      </c>
      <c r="Q4755" t="str">
        <f>_xlfn.XLOOKUP(Pipeline_tbl[[#This Row],[Rep_ID]],Dim_Reps!A:A,Dim_Reps!D:D)</f>
        <v>Inside Sales</v>
      </c>
      <c r="R4755" t="str">
        <f>_xlfn.XLOOKUP(Pipeline_tbl[[#This Row],[Rep_ID]],Dim_Reps!A:A,Dim_Reps!E:E)</f>
        <v>EMEA</v>
      </c>
      <c r="S4755" t="str">
        <f>_xlfn.XLOOKUP(Pipeline_tbl[[#This Row],[Created_Date]],Dim_Date!A:A,Dim_Date!H:H)</f>
        <v>Feb 2025</v>
      </c>
      <c r="T4755" t="str">
        <f>IF(Pipeline_tbl[[#This Row],[Closed_Date]]=0,"",(_xlfn.XLOOKUP(Pipeline_tbl[[#This Row],[Closed_Date]],Dim_Date!A:A,Dim_Date!H:H)))</f>
        <v>Mar 2025</v>
      </c>
      <c r="U4755">
        <f>IF(Pipeline_tbl[[#This Row],[Closed_Date]]=0,"",Pipeline_tbl[[#This Row],[Closed_Date]]-Pipeline_tbl[[#This Row],[Created_Date]])</f>
        <v>25</v>
      </c>
    </row>
    <row r="4756" spans="1:21" ht="15" customHeight="1" x14ac:dyDescent="0.2">
      <c r="A4756" t="s">
        <v>5062</v>
      </c>
      <c r="B4756" t="s">
        <v>209</v>
      </c>
      <c r="C4756" t="s">
        <v>52</v>
      </c>
      <c r="D4756" s="49">
        <v>45700</v>
      </c>
      <c r="E4756" s="49">
        <v>45702</v>
      </c>
      <c r="F4756" s="49">
        <v>45705</v>
      </c>
      <c r="G4756" s="49">
        <v>45710</v>
      </c>
      <c r="H4756" s="49">
        <v>45714</v>
      </c>
      <c r="I4756" s="49">
        <v>45717</v>
      </c>
      <c r="J4756" t="s">
        <v>49</v>
      </c>
      <c r="K4756" s="33">
        <v>2400</v>
      </c>
      <c r="L4756" t="s">
        <v>63</v>
      </c>
      <c r="M4756" t="str">
        <f>_xlfn.XLOOKUP(Pipeline_tbl[[#This Row],[Rep_ID]],Dim_Reps!A:A,Dim_Reps!K:K)</f>
        <v>EUR</v>
      </c>
      <c r="N4756" s="33">
        <f>(_xlfn.XLOOKUP(Pipeline_tbl[[#This Row],[Rate_Code_Generalized]],Lookups!A:A,Lookups!B:B))*Pipeline_tbl[[#This Row],[Pipeline_Amount_USD]]</f>
        <v>2400</v>
      </c>
      <c r="O4756" t="str">
        <f>_xlfn.XLOOKUP(Pipeline_tbl[[#This Row],[Rep_ID]],Dim_Reps!A:A,Dim_Reps!B:B)</f>
        <v>Petra Larsen</v>
      </c>
      <c r="P4756" t="str">
        <f>_xlfn.XLOOKUP(Pipeline_tbl[[#This Row],[Rep_ID]],Dim_Reps!A:A,Dim_Reps!C:C)</f>
        <v>SDR / Inside Sales Rep</v>
      </c>
      <c r="Q4756" t="str">
        <f>_xlfn.XLOOKUP(Pipeline_tbl[[#This Row],[Rep_ID]],Dim_Reps!A:A,Dim_Reps!D:D)</f>
        <v>Inside Sales</v>
      </c>
      <c r="R4756" t="str">
        <f>_xlfn.XLOOKUP(Pipeline_tbl[[#This Row],[Rep_ID]],Dim_Reps!A:A,Dim_Reps!E:E)</f>
        <v>EMEA</v>
      </c>
      <c r="S4756" t="str">
        <f>_xlfn.XLOOKUP(Pipeline_tbl[[#This Row],[Created_Date]],Dim_Date!A:A,Dim_Date!H:H)</f>
        <v>Feb 2025</v>
      </c>
      <c r="T4756" t="str">
        <f>IF(Pipeline_tbl[[#This Row],[Closed_Date]]=0,"",(_xlfn.XLOOKUP(Pipeline_tbl[[#This Row],[Closed_Date]],Dim_Date!A:A,Dim_Date!H:H)))</f>
        <v>Mar 2025</v>
      </c>
      <c r="U4756">
        <f>IF(Pipeline_tbl[[#This Row],[Closed_Date]]=0,"",Pipeline_tbl[[#This Row],[Closed_Date]]-Pipeline_tbl[[#This Row],[Created_Date]])</f>
        <v>17</v>
      </c>
    </row>
    <row r="4757" spans="1:21" ht="15" customHeight="1" x14ac:dyDescent="0.2">
      <c r="A4757" t="s">
        <v>5063</v>
      </c>
      <c r="B4757" t="s">
        <v>209</v>
      </c>
      <c r="C4757" t="s">
        <v>56</v>
      </c>
      <c r="D4757" s="49">
        <v>45705</v>
      </c>
      <c r="E4757" s="49">
        <v>45707</v>
      </c>
      <c r="F4757" s="49">
        <v>45710</v>
      </c>
      <c r="G4757" s="49">
        <v>45714</v>
      </c>
      <c r="H4757" s="49">
        <v>45718</v>
      </c>
      <c r="I4757" s="49">
        <v>45720</v>
      </c>
      <c r="J4757" t="s">
        <v>49</v>
      </c>
      <c r="K4757" s="33">
        <v>4500</v>
      </c>
      <c r="L4757" t="s">
        <v>63</v>
      </c>
      <c r="M4757" t="str">
        <f>_xlfn.XLOOKUP(Pipeline_tbl[[#This Row],[Rep_ID]],Dim_Reps!A:A,Dim_Reps!K:K)</f>
        <v>EUR</v>
      </c>
      <c r="N4757" s="33">
        <f>(_xlfn.XLOOKUP(Pipeline_tbl[[#This Row],[Rate_Code_Generalized]],Lookups!A:A,Lookups!B:B))*Pipeline_tbl[[#This Row],[Pipeline_Amount_USD]]</f>
        <v>4500</v>
      </c>
      <c r="O4757" t="str">
        <f>_xlfn.XLOOKUP(Pipeline_tbl[[#This Row],[Rep_ID]],Dim_Reps!A:A,Dim_Reps!B:B)</f>
        <v>Petra Larsen</v>
      </c>
      <c r="P4757" t="str">
        <f>_xlfn.XLOOKUP(Pipeline_tbl[[#This Row],[Rep_ID]],Dim_Reps!A:A,Dim_Reps!C:C)</f>
        <v>SDR / Inside Sales Rep</v>
      </c>
      <c r="Q4757" t="str">
        <f>_xlfn.XLOOKUP(Pipeline_tbl[[#This Row],[Rep_ID]],Dim_Reps!A:A,Dim_Reps!D:D)</f>
        <v>Inside Sales</v>
      </c>
      <c r="R4757" t="str">
        <f>_xlfn.XLOOKUP(Pipeline_tbl[[#This Row],[Rep_ID]],Dim_Reps!A:A,Dim_Reps!E:E)</f>
        <v>EMEA</v>
      </c>
      <c r="S4757" t="str">
        <f>_xlfn.XLOOKUP(Pipeline_tbl[[#This Row],[Created_Date]],Dim_Date!A:A,Dim_Date!H:H)</f>
        <v>Feb 2025</v>
      </c>
      <c r="T4757" t="str">
        <f>IF(Pipeline_tbl[[#This Row],[Closed_Date]]=0,"",(_xlfn.XLOOKUP(Pipeline_tbl[[#This Row],[Closed_Date]],Dim_Date!A:A,Dim_Date!H:H)))</f>
        <v>Mar 2025</v>
      </c>
      <c r="U4757">
        <f>IF(Pipeline_tbl[[#This Row],[Closed_Date]]=0,"",Pipeline_tbl[[#This Row],[Closed_Date]]-Pipeline_tbl[[#This Row],[Created_Date]])</f>
        <v>15</v>
      </c>
    </row>
    <row r="4758" spans="1:21" ht="15" customHeight="1" x14ac:dyDescent="0.2">
      <c r="A4758" t="s">
        <v>5064</v>
      </c>
      <c r="B4758" t="s">
        <v>211</v>
      </c>
      <c r="C4758" t="s">
        <v>53</v>
      </c>
      <c r="D4758" s="49">
        <v>45704</v>
      </c>
      <c r="E4758" s="49">
        <v>45705</v>
      </c>
      <c r="F4758" s="49">
        <v>45708</v>
      </c>
      <c r="G4758" s="49">
        <v>45712</v>
      </c>
      <c r="I4758" s="49">
        <v>45718</v>
      </c>
      <c r="J4758" t="s">
        <v>49</v>
      </c>
      <c r="K4758" s="33">
        <v>4100</v>
      </c>
      <c r="L4758" t="s">
        <v>60</v>
      </c>
      <c r="M4758" t="str">
        <f>_xlfn.XLOOKUP(Pipeline_tbl[[#This Row],[Rep_ID]],Dim_Reps!A:A,Dim_Reps!K:K)</f>
        <v>EUR</v>
      </c>
      <c r="N4758" s="33">
        <f>(_xlfn.XLOOKUP(Pipeline_tbl[[#This Row],[Rate_Code_Generalized]],Lookups!A:A,Lookups!B:B))*Pipeline_tbl[[#This Row],[Pipeline_Amount_USD]]</f>
        <v>4100</v>
      </c>
      <c r="O4758" t="str">
        <f>_xlfn.XLOOKUP(Pipeline_tbl[[#This Row],[Rep_ID]],Dim_Reps!A:A,Dim_Reps!B:B)</f>
        <v>Lea Weber</v>
      </c>
      <c r="P4758" t="str">
        <f>_xlfn.XLOOKUP(Pipeline_tbl[[#This Row],[Rep_ID]],Dim_Reps!A:A,Dim_Reps!C:C)</f>
        <v>SDR / Inside Sales Rep</v>
      </c>
      <c r="Q4758" t="str">
        <f>_xlfn.XLOOKUP(Pipeline_tbl[[#This Row],[Rep_ID]],Dim_Reps!A:A,Dim_Reps!D:D)</f>
        <v>Inside Sales</v>
      </c>
      <c r="R4758" t="str">
        <f>_xlfn.XLOOKUP(Pipeline_tbl[[#This Row],[Rep_ID]],Dim_Reps!A:A,Dim_Reps!E:E)</f>
        <v>EMEA</v>
      </c>
      <c r="S4758" t="str">
        <f>_xlfn.XLOOKUP(Pipeline_tbl[[#This Row],[Created_Date]],Dim_Date!A:A,Dim_Date!H:H)</f>
        <v>Feb 2025</v>
      </c>
      <c r="T4758" t="str">
        <f>IF(Pipeline_tbl[[#This Row],[Closed_Date]]=0,"",(_xlfn.XLOOKUP(Pipeline_tbl[[#This Row],[Closed_Date]],Dim_Date!A:A,Dim_Date!H:H)))</f>
        <v>Mar 2025</v>
      </c>
      <c r="U4758">
        <f>IF(Pipeline_tbl[[#This Row],[Closed_Date]]=0,"",Pipeline_tbl[[#This Row],[Closed_Date]]-Pipeline_tbl[[#This Row],[Created_Date]])</f>
        <v>14</v>
      </c>
    </row>
    <row r="4759" spans="1:21" ht="15" customHeight="1" x14ac:dyDescent="0.2">
      <c r="A4759" t="s">
        <v>5065</v>
      </c>
      <c r="B4759" t="s">
        <v>211</v>
      </c>
      <c r="C4759" t="s">
        <v>53</v>
      </c>
      <c r="D4759" s="49">
        <v>45716</v>
      </c>
      <c r="E4759" s="49">
        <v>45717</v>
      </c>
      <c r="F4759" s="49">
        <v>45720</v>
      </c>
      <c r="G4759" s="49">
        <v>45723</v>
      </c>
      <c r="H4759" s="49">
        <v>45726</v>
      </c>
      <c r="I4759" s="49">
        <v>45728</v>
      </c>
      <c r="J4759" t="s">
        <v>47</v>
      </c>
      <c r="K4759" s="33">
        <v>3200</v>
      </c>
      <c r="M4759" t="str">
        <f>_xlfn.XLOOKUP(Pipeline_tbl[[#This Row],[Rep_ID]],Dim_Reps!A:A,Dim_Reps!K:K)</f>
        <v>EUR</v>
      </c>
      <c r="N4759" s="33">
        <f>(_xlfn.XLOOKUP(Pipeline_tbl[[#This Row],[Rate_Code_Generalized]],Lookups!A:A,Lookups!B:B))*Pipeline_tbl[[#This Row],[Pipeline_Amount_USD]]</f>
        <v>3200</v>
      </c>
      <c r="O4759" t="str">
        <f>_xlfn.XLOOKUP(Pipeline_tbl[[#This Row],[Rep_ID]],Dim_Reps!A:A,Dim_Reps!B:B)</f>
        <v>Lea Weber</v>
      </c>
      <c r="P4759" t="str">
        <f>_xlfn.XLOOKUP(Pipeline_tbl[[#This Row],[Rep_ID]],Dim_Reps!A:A,Dim_Reps!C:C)</f>
        <v>SDR / Inside Sales Rep</v>
      </c>
      <c r="Q4759" t="str">
        <f>_xlfn.XLOOKUP(Pipeline_tbl[[#This Row],[Rep_ID]],Dim_Reps!A:A,Dim_Reps!D:D)</f>
        <v>Inside Sales</v>
      </c>
      <c r="R4759" t="str">
        <f>_xlfn.XLOOKUP(Pipeline_tbl[[#This Row],[Rep_ID]],Dim_Reps!A:A,Dim_Reps!E:E)</f>
        <v>EMEA</v>
      </c>
      <c r="S4759" t="str">
        <f>_xlfn.XLOOKUP(Pipeline_tbl[[#This Row],[Created_Date]],Dim_Date!A:A,Dim_Date!H:H)</f>
        <v>Feb 2025</v>
      </c>
      <c r="T4759" t="str">
        <f>IF(Pipeline_tbl[[#This Row],[Closed_Date]]=0,"",(_xlfn.XLOOKUP(Pipeline_tbl[[#This Row],[Closed_Date]],Dim_Date!A:A,Dim_Date!H:H)))</f>
        <v>Mar 2025</v>
      </c>
      <c r="U4759">
        <f>IF(Pipeline_tbl[[#This Row],[Closed_Date]]=0,"",Pipeline_tbl[[#This Row],[Closed_Date]]-Pipeline_tbl[[#This Row],[Created_Date]])</f>
        <v>12</v>
      </c>
    </row>
    <row r="4760" spans="1:21" ht="15" customHeight="1" x14ac:dyDescent="0.2">
      <c r="A4760" t="s">
        <v>5066</v>
      </c>
      <c r="B4760" t="s">
        <v>211</v>
      </c>
      <c r="C4760" t="s">
        <v>56</v>
      </c>
      <c r="D4760" s="49">
        <v>45706</v>
      </c>
      <c r="E4760" s="49">
        <v>45708</v>
      </c>
      <c r="F4760" s="49">
        <v>45712</v>
      </c>
      <c r="G4760" s="49">
        <v>45718</v>
      </c>
      <c r="I4760" s="49">
        <v>45726</v>
      </c>
      <c r="J4760" t="s">
        <v>49</v>
      </c>
      <c r="K4760" s="33">
        <v>2800</v>
      </c>
      <c r="L4760" t="s">
        <v>61</v>
      </c>
      <c r="M4760" t="str">
        <f>_xlfn.XLOOKUP(Pipeline_tbl[[#This Row],[Rep_ID]],Dim_Reps!A:A,Dim_Reps!K:K)</f>
        <v>EUR</v>
      </c>
      <c r="N4760" s="33">
        <f>(_xlfn.XLOOKUP(Pipeline_tbl[[#This Row],[Rate_Code_Generalized]],Lookups!A:A,Lookups!B:B))*Pipeline_tbl[[#This Row],[Pipeline_Amount_USD]]</f>
        <v>2800</v>
      </c>
      <c r="O4760" t="str">
        <f>_xlfn.XLOOKUP(Pipeline_tbl[[#This Row],[Rep_ID]],Dim_Reps!A:A,Dim_Reps!B:B)</f>
        <v>Lea Weber</v>
      </c>
      <c r="P4760" t="str">
        <f>_xlfn.XLOOKUP(Pipeline_tbl[[#This Row],[Rep_ID]],Dim_Reps!A:A,Dim_Reps!C:C)</f>
        <v>SDR / Inside Sales Rep</v>
      </c>
      <c r="Q4760" t="str">
        <f>_xlfn.XLOOKUP(Pipeline_tbl[[#This Row],[Rep_ID]],Dim_Reps!A:A,Dim_Reps!D:D)</f>
        <v>Inside Sales</v>
      </c>
      <c r="R4760" t="str">
        <f>_xlfn.XLOOKUP(Pipeline_tbl[[#This Row],[Rep_ID]],Dim_Reps!A:A,Dim_Reps!E:E)</f>
        <v>EMEA</v>
      </c>
      <c r="S4760" t="str">
        <f>_xlfn.XLOOKUP(Pipeline_tbl[[#This Row],[Created_Date]],Dim_Date!A:A,Dim_Date!H:H)</f>
        <v>Feb 2025</v>
      </c>
      <c r="T4760" t="str">
        <f>IF(Pipeline_tbl[[#This Row],[Closed_Date]]=0,"",(_xlfn.XLOOKUP(Pipeline_tbl[[#This Row],[Closed_Date]],Dim_Date!A:A,Dim_Date!H:H)))</f>
        <v>Mar 2025</v>
      </c>
      <c r="U4760">
        <f>IF(Pipeline_tbl[[#This Row],[Closed_Date]]=0,"",Pipeline_tbl[[#This Row],[Closed_Date]]-Pipeline_tbl[[#This Row],[Created_Date]])</f>
        <v>20</v>
      </c>
    </row>
    <row r="4761" spans="1:21" ht="15" customHeight="1" x14ac:dyDescent="0.2">
      <c r="A4761" t="s">
        <v>5067</v>
      </c>
      <c r="B4761" t="s">
        <v>211</v>
      </c>
      <c r="C4761" t="s">
        <v>53</v>
      </c>
      <c r="D4761" s="49">
        <v>45711</v>
      </c>
      <c r="E4761" s="49">
        <v>45713</v>
      </c>
      <c r="F4761" s="49">
        <v>45716</v>
      </c>
      <c r="G4761" s="49">
        <v>45722</v>
      </c>
      <c r="H4761" s="49">
        <v>45726</v>
      </c>
      <c r="I4761" s="49">
        <v>45729</v>
      </c>
      <c r="J4761" t="s">
        <v>47</v>
      </c>
      <c r="K4761" s="33">
        <v>2000</v>
      </c>
      <c r="M4761" t="str">
        <f>_xlfn.XLOOKUP(Pipeline_tbl[[#This Row],[Rep_ID]],Dim_Reps!A:A,Dim_Reps!K:K)</f>
        <v>EUR</v>
      </c>
      <c r="N4761" s="33">
        <f>(_xlfn.XLOOKUP(Pipeline_tbl[[#This Row],[Rate_Code_Generalized]],Lookups!A:A,Lookups!B:B))*Pipeline_tbl[[#This Row],[Pipeline_Amount_USD]]</f>
        <v>2000</v>
      </c>
      <c r="O4761" t="str">
        <f>_xlfn.XLOOKUP(Pipeline_tbl[[#This Row],[Rep_ID]],Dim_Reps!A:A,Dim_Reps!B:B)</f>
        <v>Lea Weber</v>
      </c>
      <c r="P4761" t="str">
        <f>_xlfn.XLOOKUP(Pipeline_tbl[[#This Row],[Rep_ID]],Dim_Reps!A:A,Dim_Reps!C:C)</f>
        <v>SDR / Inside Sales Rep</v>
      </c>
      <c r="Q4761" t="str">
        <f>_xlfn.XLOOKUP(Pipeline_tbl[[#This Row],[Rep_ID]],Dim_Reps!A:A,Dim_Reps!D:D)</f>
        <v>Inside Sales</v>
      </c>
      <c r="R4761" t="str">
        <f>_xlfn.XLOOKUP(Pipeline_tbl[[#This Row],[Rep_ID]],Dim_Reps!A:A,Dim_Reps!E:E)</f>
        <v>EMEA</v>
      </c>
      <c r="S4761" t="str">
        <f>_xlfn.XLOOKUP(Pipeline_tbl[[#This Row],[Created_Date]],Dim_Date!A:A,Dim_Date!H:H)</f>
        <v>Feb 2025</v>
      </c>
      <c r="T4761" t="str">
        <f>IF(Pipeline_tbl[[#This Row],[Closed_Date]]=0,"",(_xlfn.XLOOKUP(Pipeline_tbl[[#This Row],[Closed_Date]],Dim_Date!A:A,Dim_Date!H:H)))</f>
        <v>Mar 2025</v>
      </c>
      <c r="U4761">
        <f>IF(Pipeline_tbl[[#This Row],[Closed_Date]]=0,"",Pipeline_tbl[[#This Row],[Closed_Date]]-Pipeline_tbl[[#This Row],[Created_Date]])</f>
        <v>18</v>
      </c>
    </row>
    <row r="4762" spans="1:21" ht="15" customHeight="1" x14ac:dyDescent="0.2">
      <c r="A4762" t="s">
        <v>5068</v>
      </c>
      <c r="B4762" t="s">
        <v>211</v>
      </c>
      <c r="C4762" t="s">
        <v>53</v>
      </c>
      <c r="D4762" s="49">
        <v>45716</v>
      </c>
      <c r="E4762" s="49">
        <v>45718</v>
      </c>
      <c r="F4762" s="49">
        <v>45721</v>
      </c>
      <c r="G4762" s="49">
        <v>45726</v>
      </c>
      <c r="H4762" s="49">
        <v>45730</v>
      </c>
      <c r="I4762" s="49">
        <v>45733</v>
      </c>
      <c r="J4762" t="s">
        <v>47</v>
      </c>
      <c r="K4762" s="33">
        <v>3300</v>
      </c>
      <c r="M4762" t="str">
        <f>_xlfn.XLOOKUP(Pipeline_tbl[[#This Row],[Rep_ID]],Dim_Reps!A:A,Dim_Reps!K:K)</f>
        <v>EUR</v>
      </c>
      <c r="N4762" s="33">
        <f>(_xlfn.XLOOKUP(Pipeline_tbl[[#This Row],[Rate_Code_Generalized]],Lookups!A:A,Lookups!B:B))*Pipeline_tbl[[#This Row],[Pipeline_Amount_USD]]</f>
        <v>3300</v>
      </c>
      <c r="O4762" t="str">
        <f>_xlfn.XLOOKUP(Pipeline_tbl[[#This Row],[Rep_ID]],Dim_Reps!A:A,Dim_Reps!B:B)</f>
        <v>Lea Weber</v>
      </c>
      <c r="P4762" t="str">
        <f>_xlfn.XLOOKUP(Pipeline_tbl[[#This Row],[Rep_ID]],Dim_Reps!A:A,Dim_Reps!C:C)</f>
        <v>SDR / Inside Sales Rep</v>
      </c>
      <c r="Q4762" t="str">
        <f>_xlfn.XLOOKUP(Pipeline_tbl[[#This Row],[Rep_ID]],Dim_Reps!A:A,Dim_Reps!D:D)</f>
        <v>Inside Sales</v>
      </c>
      <c r="R4762" t="str">
        <f>_xlfn.XLOOKUP(Pipeline_tbl[[#This Row],[Rep_ID]],Dim_Reps!A:A,Dim_Reps!E:E)</f>
        <v>EMEA</v>
      </c>
      <c r="S4762" t="str">
        <f>_xlfn.XLOOKUP(Pipeline_tbl[[#This Row],[Created_Date]],Dim_Date!A:A,Dim_Date!H:H)</f>
        <v>Feb 2025</v>
      </c>
      <c r="T4762" t="str">
        <f>IF(Pipeline_tbl[[#This Row],[Closed_Date]]=0,"",(_xlfn.XLOOKUP(Pipeline_tbl[[#This Row],[Closed_Date]],Dim_Date!A:A,Dim_Date!H:H)))</f>
        <v>Mar 2025</v>
      </c>
      <c r="U4762">
        <f>IF(Pipeline_tbl[[#This Row],[Closed_Date]]=0,"",Pipeline_tbl[[#This Row],[Closed_Date]]-Pipeline_tbl[[#This Row],[Created_Date]])</f>
        <v>17</v>
      </c>
    </row>
    <row r="4763" spans="1:21" ht="15" customHeight="1" x14ac:dyDescent="0.2">
      <c r="A4763" t="s">
        <v>5069</v>
      </c>
      <c r="B4763" t="s">
        <v>211</v>
      </c>
      <c r="C4763" t="s">
        <v>52</v>
      </c>
      <c r="D4763" s="49">
        <v>45705</v>
      </c>
      <c r="E4763" s="49">
        <v>45707</v>
      </c>
      <c r="I4763" s="49">
        <v>45726</v>
      </c>
      <c r="J4763" t="s">
        <v>49</v>
      </c>
      <c r="K4763" s="33">
        <v>5200</v>
      </c>
      <c r="L4763" t="s">
        <v>61</v>
      </c>
      <c r="M4763" t="str">
        <f>_xlfn.XLOOKUP(Pipeline_tbl[[#This Row],[Rep_ID]],Dim_Reps!A:A,Dim_Reps!K:K)</f>
        <v>EUR</v>
      </c>
      <c r="N4763" s="33">
        <f>(_xlfn.XLOOKUP(Pipeline_tbl[[#This Row],[Rate_Code_Generalized]],Lookups!A:A,Lookups!B:B))*Pipeline_tbl[[#This Row],[Pipeline_Amount_USD]]</f>
        <v>5200</v>
      </c>
      <c r="O4763" t="str">
        <f>_xlfn.XLOOKUP(Pipeline_tbl[[#This Row],[Rep_ID]],Dim_Reps!A:A,Dim_Reps!B:B)</f>
        <v>Lea Weber</v>
      </c>
      <c r="P4763" t="str">
        <f>_xlfn.XLOOKUP(Pipeline_tbl[[#This Row],[Rep_ID]],Dim_Reps!A:A,Dim_Reps!C:C)</f>
        <v>SDR / Inside Sales Rep</v>
      </c>
      <c r="Q4763" t="str">
        <f>_xlfn.XLOOKUP(Pipeline_tbl[[#This Row],[Rep_ID]],Dim_Reps!A:A,Dim_Reps!D:D)</f>
        <v>Inside Sales</v>
      </c>
      <c r="R4763" t="str">
        <f>_xlfn.XLOOKUP(Pipeline_tbl[[#This Row],[Rep_ID]],Dim_Reps!A:A,Dim_Reps!E:E)</f>
        <v>EMEA</v>
      </c>
      <c r="S4763" t="str">
        <f>_xlfn.XLOOKUP(Pipeline_tbl[[#This Row],[Created_Date]],Dim_Date!A:A,Dim_Date!H:H)</f>
        <v>Feb 2025</v>
      </c>
      <c r="T4763" t="str">
        <f>IF(Pipeline_tbl[[#This Row],[Closed_Date]]=0,"",(_xlfn.XLOOKUP(Pipeline_tbl[[#This Row],[Closed_Date]],Dim_Date!A:A,Dim_Date!H:H)))</f>
        <v>Mar 2025</v>
      </c>
      <c r="U4763">
        <f>IF(Pipeline_tbl[[#This Row],[Closed_Date]]=0,"",Pipeline_tbl[[#This Row],[Closed_Date]]-Pipeline_tbl[[#This Row],[Created_Date]])</f>
        <v>21</v>
      </c>
    </row>
    <row r="4764" spans="1:21" ht="15" customHeight="1" x14ac:dyDescent="0.2">
      <c r="A4764" t="s">
        <v>5070</v>
      </c>
      <c r="B4764" t="s">
        <v>211</v>
      </c>
      <c r="C4764" t="s">
        <v>52</v>
      </c>
      <c r="D4764" s="49">
        <v>45716</v>
      </c>
      <c r="E4764" s="49">
        <v>45717</v>
      </c>
      <c r="F4764" s="49">
        <v>45719</v>
      </c>
      <c r="I4764" s="49">
        <v>45725</v>
      </c>
      <c r="J4764" t="s">
        <v>49</v>
      </c>
      <c r="K4764" s="33">
        <v>4000</v>
      </c>
      <c r="L4764" t="s">
        <v>62</v>
      </c>
      <c r="M4764" t="str">
        <f>_xlfn.XLOOKUP(Pipeline_tbl[[#This Row],[Rep_ID]],Dim_Reps!A:A,Dim_Reps!K:K)</f>
        <v>EUR</v>
      </c>
      <c r="N4764" s="33">
        <f>(_xlfn.XLOOKUP(Pipeline_tbl[[#This Row],[Rate_Code_Generalized]],Lookups!A:A,Lookups!B:B))*Pipeline_tbl[[#This Row],[Pipeline_Amount_USD]]</f>
        <v>4000</v>
      </c>
      <c r="O4764" t="str">
        <f>_xlfn.XLOOKUP(Pipeline_tbl[[#This Row],[Rep_ID]],Dim_Reps!A:A,Dim_Reps!B:B)</f>
        <v>Lea Weber</v>
      </c>
      <c r="P4764" t="str">
        <f>_xlfn.XLOOKUP(Pipeline_tbl[[#This Row],[Rep_ID]],Dim_Reps!A:A,Dim_Reps!C:C)</f>
        <v>SDR / Inside Sales Rep</v>
      </c>
      <c r="Q4764" t="str">
        <f>_xlfn.XLOOKUP(Pipeline_tbl[[#This Row],[Rep_ID]],Dim_Reps!A:A,Dim_Reps!D:D)</f>
        <v>Inside Sales</v>
      </c>
      <c r="R4764" t="str">
        <f>_xlfn.XLOOKUP(Pipeline_tbl[[#This Row],[Rep_ID]],Dim_Reps!A:A,Dim_Reps!E:E)</f>
        <v>EMEA</v>
      </c>
      <c r="S4764" t="str">
        <f>_xlfn.XLOOKUP(Pipeline_tbl[[#This Row],[Created_Date]],Dim_Date!A:A,Dim_Date!H:H)</f>
        <v>Feb 2025</v>
      </c>
      <c r="T4764" t="str">
        <f>IF(Pipeline_tbl[[#This Row],[Closed_Date]]=0,"",(_xlfn.XLOOKUP(Pipeline_tbl[[#This Row],[Closed_Date]],Dim_Date!A:A,Dim_Date!H:H)))</f>
        <v>Mar 2025</v>
      </c>
      <c r="U4764">
        <f>IF(Pipeline_tbl[[#This Row],[Closed_Date]]=0,"",Pipeline_tbl[[#This Row],[Closed_Date]]-Pipeline_tbl[[#This Row],[Created_Date]])</f>
        <v>9</v>
      </c>
    </row>
    <row r="4765" spans="1:21" ht="15" customHeight="1" x14ac:dyDescent="0.2">
      <c r="A4765" t="s">
        <v>5071</v>
      </c>
      <c r="B4765" t="s">
        <v>211</v>
      </c>
      <c r="C4765" t="s">
        <v>55</v>
      </c>
      <c r="D4765" s="49">
        <v>45698</v>
      </c>
      <c r="E4765" s="49">
        <v>45700</v>
      </c>
      <c r="F4765" s="49">
        <v>45705</v>
      </c>
      <c r="G4765" s="49">
        <v>45711</v>
      </c>
      <c r="H4765" s="49">
        <v>45717</v>
      </c>
      <c r="I4765" s="49">
        <v>45720</v>
      </c>
      <c r="J4765" t="s">
        <v>49</v>
      </c>
      <c r="K4765" s="33">
        <v>3600</v>
      </c>
      <c r="L4765" t="s">
        <v>60</v>
      </c>
      <c r="M4765" t="str">
        <f>_xlfn.XLOOKUP(Pipeline_tbl[[#This Row],[Rep_ID]],Dim_Reps!A:A,Dim_Reps!K:K)</f>
        <v>EUR</v>
      </c>
      <c r="N4765" s="33">
        <f>(_xlfn.XLOOKUP(Pipeline_tbl[[#This Row],[Rate_Code_Generalized]],Lookups!A:A,Lookups!B:B))*Pipeline_tbl[[#This Row],[Pipeline_Amount_USD]]</f>
        <v>3600</v>
      </c>
      <c r="O4765" t="str">
        <f>_xlfn.XLOOKUP(Pipeline_tbl[[#This Row],[Rep_ID]],Dim_Reps!A:A,Dim_Reps!B:B)</f>
        <v>Lea Weber</v>
      </c>
      <c r="P4765" t="str">
        <f>_xlfn.XLOOKUP(Pipeline_tbl[[#This Row],[Rep_ID]],Dim_Reps!A:A,Dim_Reps!C:C)</f>
        <v>SDR / Inside Sales Rep</v>
      </c>
      <c r="Q4765" t="str">
        <f>_xlfn.XLOOKUP(Pipeline_tbl[[#This Row],[Rep_ID]],Dim_Reps!A:A,Dim_Reps!D:D)</f>
        <v>Inside Sales</v>
      </c>
      <c r="R4765" t="str">
        <f>_xlfn.XLOOKUP(Pipeline_tbl[[#This Row],[Rep_ID]],Dim_Reps!A:A,Dim_Reps!E:E)</f>
        <v>EMEA</v>
      </c>
      <c r="S4765" t="str">
        <f>_xlfn.XLOOKUP(Pipeline_tbl[[#This Row],[Created_Date]],Dim_Date!A:A,Dim_Date!H:H)</f>
        <v>Feb 2025</v>
      </c>
      <c r="T4765" t="str">
        <f>IF(Pipeline_tbl[[#This Row],[Closed_Date]]=0,"",(_xlfn.XLOOKUP(Pipeline_tbl[[#This Row],[Closed_Date]],Dim_Date!A:A,Dim_Date!H:H)))</f>
        <v>Mar 2025</v>
      </c>
      <c r="U4765">
        <f>IF(Pipeline_tbl[[#This Row],[Closed_Date]]=0,"",Pipeline_tbl[[#This Row],[Closed_Date]]-Pipeline_tbl[[#This Row],[Created_Date]])</f>
        <v>22</v>
      </c>
    </row>
    <row r="4766" spans="1:21" ht="15" customHeight="1" x14ac:dyDescent="0.2">
      <c r="A4766" t="s">
        <v>5072</v>
      </c>
      <c r="B4766" t="s">
        <v>211</v>
      </c>
      <c r="C4766" t="s">
        <v>53</v>
      </c>
      <c r="D4766" s="49">
        <v>45713</v>
      </c>
      <c r="E4766" s="49">
        <v>45715</v>
      </c>
      <c r="F4766" s="49">
        <v>45719</v>
      </c>
      <c r="G4766" s="49">
        <v>45726</v>
      </c>
      <c r="H4766" s="49">
        <v>45731</v>
      </c>
      <c r="I4766" s="49">
        <v>45734</v>
      </c>
      <c r="J4766" t="s">
        <v>47</v>
      </c>
      <c r="K4766" s="33">
        <v>1500</v>
      </c>
      <c r="M4766" t="str">
        <f>_xlfn.XLOOKUP(Pipeline_tbl[[#This Row],[Rep_ID]],Dim_Reps!A:A,Dim_Reps!K:K)</f>
        <v>EUR</v>
      </c>
      <c r="N4766" s="33">
        <f>(_xlfn.XLOOKUP(Pipeline_tbl[[#This Row],[Rate_Code_Generalized]],Lookups!A:A,Lookups!B:B))*Pipeline_tbl[[#This Row],[Pipeline_Amount_USD]]</f>
        <v>1500</v>
      </c>
      <c r="O4766" t="str">
        <f>_xlfn.XLOOKUP(Pipeline_tbl[[#This Row],[Rep_ID]],Dim_Reps!A:A,Dim_Reps!B:B)</f>
        <v>Lea Weber</v>
      </c>
      <c r="P4766" t="str">
        <f>_xlfn.XLOOKUP(Pipeline_tbl[[#This Row],[Rep_ID]],Dim_Reps!A:A,Dim_Reps!C:C)</f>
        <v>SDR / Inside Sales Rep</v>
      </c>
      <c r="Q4766" t="str">
        <f>_xlfn.XLOOKUP(Pipeline_tbl[[#This Row],[Rep_ID]],Dim_Reps!A:A,Dim_Reps!D:D)</f>
        <v>Inside Sales</v>
      </c>
      <c r="R4766" t="str">
        <f>_xlfn.XLOOKUP(Pipeline_tbl[[#This Row],[Rep_ID]],Dim_Reps!A:A,Dim_Reps!E:E)</f>
        <v>EMEA</v>
      </c>
      <c r="S4766" t="str">
        <f>_xlfn.XLOOKUP(Pipeline_tbl[[#This Row],[Created_Date]],Dim_Date!A:A,Dim_Date!H:H)</f>
        <v>Feb 2025</v>
      </c>
      <c r="T4766" t="str">
        <f>IF(Pipeline_tbl[[#This Row],[Closed_Date]]=0,"",(_xlfn.XLOOKUP(Pipeline_tbl[[#This Row],[Closed_Date]],Dim_Date!A:A,Dim_Date!H:H)))</f>
        <v>Mar 2025</v>
      </c>
      <c r="U4766">
        <f>IF(Pipeline_tbl[[#This Row],[Closed_Date]]=0,"",Pipeline_tbl[[#This Row],[Closed_Date]]-Pipeline_tbl[[#This Row],[Created_Date]])</f>
        <v>21</v>
      </c>
    </row>
    <row r="4767" spans="1:21" ht="15" customHeight="1" x14ac:dyDescent="0.2">
      <c r="A4767" t="s">
        <v>5073</v>
      </c>
      <c r="B4767" t="s">
        <v>213</v>
      </c>
      <c r="C4767" t="s">
        <v>55</v>
      </c>
      <c r="D4767" s="49">
        <v>45709</v>
      </c>
      <c r="E4767" s="49">
        <v>45711</v>
      </c>
      <c r="I4767" s="49">
        <v>45733</v>
      </c>
      <c r="J4767" t="s">
        <v>49</v>
      </c>
      <c r="K4767" s="33">
        <v>2600</v>
      </c>
      <c r="L4767" t="s">
        <v>61</v>
      </c>
      <c r="M4767" t="str">
        <f>_xlfn.XLOOKUP(Pipeline_tbl[[#This Row],[Rep_ID]],Dim_Reps!A:A,Dim_Reps!K:K)</f>
        <v>EUR</v>
      </c>
      <c r="N4767" s="33">
        <f>(_xlfn.XLOOKUP(Pipeline_tbl[[#This Row],[Rate_Code_Generalized]],Lookups!A:A,Lookups!B:B))*Pipeline_tbl[[#This Row],[Pipeline_Amount_USD]]</f>
        <v>2600</v>
      </c>
      <c r="O4767" t="str">
        <f>_xlfn.XLOOKUP(Pipeline_tbl[[#This Row],[Rep_ID]],Dim_Reps!A:A,Dim_Reps!B:B)</f>
        <v>Jamie Silva</v>
      </c>
      <c r="P4767" t="str">
        <f>_xlfn.XLOOKUP(Pipeline_tbl[[#This Row],[Rep_ID]],Dim_Reps!A:A,Dim_Reps!C:C)</f>
        <v>SDR / Inside Sales Rep</v>
      </c>
      <c r="Q4767" t="str">
        <f>_xlfn.XLOOKUP(Pipeline_tbl[[#This Row],[Rep_ID]],Dim_Reps!A:A,Dim_Reps!D:D)</f>
        <v>Inside Sales</v>
      </c>
      <c r="R4767" t="str">
        <f>_xlfn.XLOOKUP(Pipeline_tbl[[#This Row],[Rep_ID]],Dim_Reps!A:A,Dim_Reps!E:E)</f>
        <v>EMEA</v>
      </c>
      <c r="S4767" t="str">
        <f>_xlfn.XLOOKUP(Pipeline_tbl[[#This Row],[Created_Date]],Dim_Date!A:A,Dim_Date!H:H)</f>
        <v>Feb 2025</v>
      </c>
      <c r="T4767" t="str">
        <f>IF(Pipeline_tbl[[#This Row],[Closed_Date]]=0,"",(_xlfn.XLOOKUP(Pipeline_tbl[[#This Row],[Closed_Date]],Dim_Date!A:A,Dim_Date!H:H)))</f>
        <v>Mar 2025</v>
      </c>
      <c r="U4767">
        <f>IF(Pipeline_tbl[[#This Row],[Closed_Date]]=0,"",Pipeline_tbl[[#This Row],[Closed_Date]]-Pipeline_tbl[[#This Row],[Created_Date]])</f>
        <v>24</v>
      </c>
    </row>
    <row r="4768" spans="1:21" ht="15" customHeight="1" x14ac:dyDescent="0.2">
      <c r="A4768" t="s">
        <v>5074</v>
      </c>
      <c r="B4768" t="s">
        <v>213</v>
      </c>
      <c r="C4768" t="s">
        <v>54</v>
      </c>
      <c r="D4768" s="49">
        <v>45716</v>
      </c>
      <c r="E4768" s="49">
        <v>45717</v>
      </c>
      <c r="F4768" s="49">
        <v>45720</v>
      </c>
      <c r="G4768" s="49">
        <v>45724</v>
      </c>
      <c r="H4768" s="49">
        <v>45727</v>
      </c>
      <c r="I4768" s="49">
        <v>45729</v>
      </c>
      <c r="J4768" t="s">
        <v>47</v>
      </c>
      <c r="K4768" s="33">
        <v>3700</v>
      </c>
      <c r="M4768" t="str">
        <f>_xlfn.XLOOKUP(Pipeline_tbl[[#This Row],[Rep_ID]],Dim_Reps!A:A,Dim_Reps!K:K)</f>
        <v>EUR</v>
      </c>
      <c r="N4768" s="33">
        <f>(_xlfn.XLOOKUP(Pipeline_tbl[[#This Row],[Rate_Code_Generalized]],Lookups!A:A,Lookups!B:B))*Pipeline_tbl[[#This Row],[Pipeline_Amount_USD]]</f>
        <v>3700</v>
      </c>
      <c r="O4768" t="str">
        <f>_xlfn.XLOOKUP(Pipeline_tbl[[#This Row],[Rep_ID]],Dim_Reps!A:A,Dim_Reps!B:B)</f>
        <v>Jamie Silva</v>
      </c>
      <c r="P4768" t="str">
        <f>_xlfn.XLOOKUP(Pipeline_tbl[[#This Row],[Rep_ID]],Dim_Reps!A:A,Dim_Reps!C:C)</f>
        <v>SDR / Inside Sales Rep</v>
      </c>
      <c r="Q4768" t="str">
        <f>_xlfn.XLOOKUP(Pipeline_tbl[[#This Row],[Rep_ID]],Dim_Reps!A:A,Dim_Reps!D:D)</f>
        <v>Inside Sales</v>
      </c>
      <c r="R4768" t="str">
        <f>_xlfn.XLOOKUP(Pipeline_tbl[[#This Row],[Rep_ID]],Dim_Reps!A:A,Dim_Reps!E:E)</f>
        <v>EMEA</v>
      </c>
      <c r="S4768" t="str">
        <f>_xlfn.XLOOKUP(Pipeline_tbl[[#This Row],[Created_Date]],Dim_Date!A:A,Dim_Date!H:H)</f>
        <v>Feb 2025</v>
      </c>
      <c r="T4768" t="str">
        <f>IF(Pipeline_tbl[[#This Row],[Closed_Date]]=0,"",(_xlfn.XLOOKUP(Pipeline_tbl[[#This Row],[Closed_Date]],Dim_Date!A:A,Dim_Date!H:H)))</f>
        <v>Mar 2025</v>
      </c>
      <c r="U4768">
        <f>IF(Pipeline_tbl[[#This Row],[Closed_Date]]=0,"",Pipeline_tbl[[#This Row],[Closed_Date]]-Pipeline_tbl[[#This Row],[Created_Date]])</f>
        <v>13</v>
      </c>
    </row>
    <row r="4769" spans="1:21" ht="15" customHeight="1" x14ac:dyDescent="0.2">
      <c r="A4769" t="s">
        <v>5075</v>
      </c>
      <c r="B4769" t="s">
        <v>213</v>
      </c>
      <c r="C4769" t="s">
        <v>52</v>
      </c>
      <c r="D4769" s="49">
        <v>45713</v>
      </c>
      <c r="E4769" s="49">
        <v>45715</v>
      </c>
      <c r="F4769" s="49">
        <v>45720</v>
      </c>
      <c r="G4769" s="49">
        <v>45727</v>
      </c>
      <c r="H4769" s="49">
        <v>45733</v>
      </c>
      <c r="I4769" s="49">
        <v>45737</v>
      </c>
      <c r="J4769" t="s">
        <v>49</v>
      </c>
      <c r="K4769" s="33">
        <v>3900</v>
      </c>
      <c r="L4769" t="s">
        <v>62</v>
      </c>
      <c r="M4769" t="str">
        <f>_xlfn.XLOOKUP(Pipeline_tbl[[#This Row],[Rep_ID]],Dim_Reps!A:A,Dim_Reps!K:K)</f>
        <v>EUR</v>
      </c>
      <c r="N4769" s="33">
        <f>(_xlfn.XLOOKUP(Pipeline_tbl[[#This Row],[Rate_Code_Generalized]],Lookups!A:A,Lookups!B:B))*Pipeline_tbl[[#This Row],[Pipeline_Amount_USD]]</f>
        <v>3900</v>
      </c>
      <c r="O4769" t="str">
        <f>_xlfn.XLOOKUP(Pipeline_tbl[[#This Row],[Rep_ID]],Dim_Reps!A:A,Dim_Reps!B:B)</f>
        <v>Jamie Silva</v>
      </c>
      <c r="P4769" t="str">
        <f>_xlfn.XLOOKUP(Pipeline_tbl[[#This Row],[Rep_ID]],Dim_Reps!A:A,Dim_Reps!C:C)</f>
        <v>SDR / Inside Sales Rep</v>
      </c>
      <c r="Q4769" t="str">
        <f>_xlfn.XLOOKUP(Pipeline_tbl[[#This Row],[Rep_ID]],Dim_Reps!A:A,Dim_Reps!D:D)</f>
        <v>Inside Sales</v>
      </c>
      <c r="R4769" t="str">
        <f>_xlfn.XLOOKUP(Pipeline_tbl[[#This Row],[Rep_ID]],Dim_Reps!A:A,Dim_Reps!E:E)</f>
        <v>EMEA</v>
      </c>
      <c r="S4769" t="str">
        <f>_xlfn.XLOOKUP(Pipeline_tbl[[#This Row],[Created_Date]],Dim_Date!A:A,Dim_Date!H:H)</f>
        <v>Feb 2025</v>
      </c>
      <c r="T4769" t="str">
        <f>IF(Pipeline_tbl[[#This Row],[Closed_Date]]=0,"",(_xlfn.XLOOKUP(Pipeline_tbl[[#This Row],[Closed_Date]],Dim_Date!A:A,Dim_Date!H:H)))</f>
        <v>Mar 2025</v>
      </c>
      <c r="U4769">
        <f>IF(Pipeline_tbl[[#This Row],[Closed_Date]]=0,"",Pipeline_tbl[[#This Row],[Closed_Date]]-Pipeline_tbl[[#This Row],[Created_Date]])</f>
        <v>24</v>
      </c>
    </row>
    <row r="4770" spans="1:21" ht="15" customHeight="1" x14ac:dyDescent="0.2">
      <c r="A4770" t="s">
        <v>5076</v>
      </c>
      <c r="B4770" t="s">
        <v>213</v>
      </c>
      <c r="C4770" t="s">
        <v>53</v>
      </c>
      <c r="D4770" s="49">
        <v>45716</v>
      </c>
      <c r="E4770" s="49">
        <v>45716</v>
      </c>
      <c r="I4770" s="49">
        <v>45721</v>
      </c>
      <c r="J4770" t="s">
        <v>49</v>
      </c>
      <c r="K4770" s="33">
        <v>2700</v>
      </c>
      <c r="L4770" t="s">
        <v>62</v>
      </c>
      <c r="M4770" t="str">
        <f>_xlfn.XLOOKUP(Pipeline_tbl[[#This Row],[Rep_ID]],Dim_Reps!A:A,Dim_Reps!K:K)</f>
        <v>EUR</v>
      </c>
      <c r="N4770" s="33">
        <f>(_xlfn.XLOOKUP(Pipeline_tbl[[#This Row],[Rate_Code_Generalized]],Lookups!A:A,Lookups!B:B))*Pipeline_tbl[[#This Row],[Pipeline_Amount_USD]]</f>
        <v>2700</v>
      </c>
      <c r="O4770" t="str">
        <f>_xlfn.XLOOKUP(Pipeline_tbl[[#This Row],[Rep_ID]],Dim_Reps!A:A,Dim_Reps!B:B)</f>
        <v>Jamie Silva</v>
      </c>
      <c r="P4770" t="str">
        <f>_xlfn.XLOOKUP(Pipeline_tbl[[#This Row],[Rep_ID]],Dim_Reps!A:A,Dim_Reps!C:C)</f>
        <v>SDR / Inside Sales Rep</v>
      </c>
      <c r="Q4770" t="str">
        <f>_xlfn.XLOOKUP(Pipeline_tbl[[#This Row],[Rep_ID]],Dim_Reps!A:A,Dim_Reps!D:D)</f>
        <v>Inside Sales</v>
      </c>
      <c r="R4770" t="str">
        <f>_xlfn.XLOOKUP(Pipeline_tbl[[#This Row],[Rep_ID]],Dim_Reps!A:A,Dim_Reps!E:E)</f>
        <v>EMEA</v>
      </c>
      <c r="S4770" t="str">
        <f>_xlfn.XLOOKUP(Pipeline_tbl[[#This Row],[Created_Date]],Dim_Date!A:A,Dim_Date!H:H)</f>
        <v>Feb 2025</v>
      </c>
      <c r="T4770" t="str">
        <f>IF(Pipeline_tbl[[#This Row],[Closed_Date]]=0,"",(_xlfn.XLOOKUP(Pipeline_tbl[[#This Row],[Closed_Date]],Dim_Date!A:A,Dim_Date!H:H)))</f>
        <v>Mar 2025</v>
      </c>
      <c r="U4770">
        <f>IF(Pipeline_tbl[[#This Row],[Closed_Date]]=0,"",Pipeline_tbl[[#This Row],[Closed_Date]]-Pipeline_tbl[[#This Row],[Created_Date]])</f>
        <v>5</v>
      </c>
    </row>
    <row r="4771" spans="1:21" ht="15" customHeight="1" x14ac:dyDescent="0.2">
      <c r="A4771" t="s">
        <v>5077</v>
      </c>
      <c r="B4771" t="s">
        <v>215</v>
      </c>
      <c r="C4771" t="s">
        <v>53</v>
      </c>
      <c r="D4771" s="49">
        <v>45708</v>
      </c>
      <c r="E4771" s="49">
        <v>45709</v>
      </c>
      <c r="F4771" s="49">
        <v>45712</v>
      </c>
      <c r="G4771" s="49">
        <v>45716</v>
      </c>
      <c r="H4771" s="49">
        <v>45720</v>
      </c>
      <c r="I4771" s="49">
        <v>45722</v>
      </c>
      <c r="J4771" t="s">
        <v>47</v>
      </c>
      <c r="K4771" s="33">
        <v>4100</v>
      </c>
      <c r="M4771" t="str">
        <f>_xlfn.XLOOKUP(Pipeline_tbl[[#This Row],[Rep_ID]],Dim_Reps!A:A,Dim_Reps!K:K)</f>
        <v>EUR</v>
      </c>
      <c r="N4771" s="33">
        <f>(_xlfn.XLOOKUP(Pipeline_tbl[[#This Row],[Rate_Code_Generalized]],Lookups!A:A,Lookups!B:B))*Pipeline_tbl[[#This Row],[Pipeline_Amount_USD]]</f>
        <v>4100</v>
      </c>
      <c r="O4771" t="str">
        <f>_xlfn.XLOOKUP(Pipeline_tbl[[#This Row],[Rep_ID]],Dim_Reps!A:A,Dim_Reps!B:B)</f>
        <v>Jamie Schmidt</v>
      </c>
      <c r="P4771" t="str">
        <f>_xlfn.XLOOKUP(Pipeline_tbl[[#This Row],[Rep_ID]],Dim_Reps!A:A,Dim_Reps!C:C)</f>
        <v>SDR / Inside Sales Rep</v>
      </c>
      <c r="Q4771" t="str">
        <f>_xlfn.XLOOKUP(Pipeline_tbl[[#This Row],[Rep_ID]],Dim_Reps!A:A,Dim_Reps!D:D)</f>
        <v>Inside Sales</v>
      </c>
      <c r="R4771" t="str">
        <f>_xlfn.XLOOKUP(Pipeline_tbl[[#This Row],[Rep_ID]],Dim_Reps!A:A,Dim_Reps!E:E)</f>
        <v>APAC</v>
      </c>
      <c r="S4771" t="str">
        <f>_xlfn.XLOOKUP(Pipeline_tbl[[#This Row],[Created_Date]],Dim_Date!A:A,Dim_Date!H:H)</f>
        <v>Feb 2025</v>
      </c>
      <c r="T4771" t="str">
        <f>IF(Pipeline_tbl[[#This Row],[Closed_Date]]=0,"",(_xlfn.XLOOKUP(Pipeline_tbl[[#This Row],[Closed_Date]],Dim_Date!A:A,Dim_Date!H:H)))</f>
        <v>Mar 2025</v>
      </c>
      <c r="U4771">
        <f>IF(Pipeline_tbl[[#This Row],[Closed_Date]]=0,"",Pipeline_tbl[[#This Row],[Closed_Date]]-Pipeline_tbl[[#This Row],[Created_Date]])</f>
        <v>14</v>
      </c>
    </row>
    <row r="4772" spans="1:21" ht="15" customHeight="1" x14ac:dyDescent="0.2">
      <c r="A4772" t="s">
        <v>5078</v>
      </c>
      <c r="B4772" t="s">
        <v>215</v>
      </c>
      <c r="C4772" t="s">
        <v>52</v>
      </c>
      <c r="D4772" s="49">
        <v>45715</v>
      </c>
      <c r="E4772" s="49">
        <v>45717</v>
      </c>
      <c r="I4772" s="49">
        <v>45731</v>
      </c>
      <c r="J4772" t="s">
        <v>49</v>
      </c>
      <c r="K4772" s="33">
        <v>3500</v>
      </c>
      <c r="L4772" t="s">
        <v>60</v>
      </c>
      <c r="M4772" t="str">
        <f>_xlfn.XLOOKUP(Pipeline_tbl[[#This Row],[Rep_ID]],Dim_Reps!A:A,Dim_Reps!K:K)</f>
        <v>EUR</v>
      </c>
      <c r="N4772" s="33">
        <f>(_xlfn.XLOOKUP(Pipeline_tbl[[#This Row],[Rate_Code_Generalized]],Lookups!A:A,Lookups!B:B))*Pipeline_tbl[[#This Row],[Pipeline_Amount_USD]]</f>
        <v>3500</v>
      </c>
      <c r="O4772" t="str">
        <f>_xlfn.XLOOKUP(Pipeline_tbl[[#This Row],[Rep_ID]],Dim_Reps!A:A,Dim_Reps!B:B)</f>
        <v>Jamie Schmidt</v>
      </c>
      <c r="P4772" t="str">
        <f>_xlfn.XLOOKUP(Pipeline_tbl[[#This Row],[Rep_ID]],Dim_Reps!A:A,Dim_Reps!C:C)</f>
        <v>SDR / Inside Sales Rep</v>
      </c>
      <c r="Q4772" t="str">
        <f>_xlfn.XLOOKUP(Pipeline_tbl[[#This Row],[Rep_ID]],Dim_Reps!A:A,Dim_Reps!D:D)</f>
        <v>Inside Sales</v>
      </c>
      <c r="R4772" t="str">
        <f>_xlfn.XLOOKUP(Pipeline_tbl[[#This Row],[Rep_ID]],Dim_Reps!A:A,Dim_Reps!E:E)</f>
        <v>APAC</v>
      </c>
      <c r="S4772" t="str">
        <f>_xlfn.XLOOKUP(Pipeline_tbl[[#This Row],[Created_Date]],Dim_Date!A:A,Dim_Date!H:H)</f>
        <v>Feb 2025</v>
      </c>
      <c r="T4772" t="str">
        <f>IF(Pipeline_tbl[[#This Row],[Closed_Date]]=0,"",(_xlfn.XLOOKUP(Pipeline_tbl[[#This Row],[Closed_Date]],Dim_Date!A:A,Dim_Date!H:H)))</f>
        <v>Mar 2025</v>
      </c>
      <c r="U4772">
        <f>IF(Pipeline_tbl[[#This Row],[Closed_Date]]=0,"",Pipeline_tbl[[#This Row],[Closed_Date]]-Pipeline_tbl[[#This Row],[Created_Date]])</f>
        <v>16</v>
      </c>
    </row>
    <row r="4773" spans="1:21" ht="15" customHeight="1" x14ac:dyDescent="0.2">
      <c r="A4773" t="s">
        <v>5079</v>
      </c>
      <c r="B4773" t="s">
        <v>215</v>
      </c>
      <c r="C4773" t="s">
        <v>53</v>
      </c>
      <c r="D4773" s="49">
        <v>45707</v>
      </c>
      <c r="E4773" s="49">
        <v>45709</v>
      </c>
      <c r="F4773" s="49">
        <v>45714</v>
      </c>
      <c r="G4773" s="49">
        <v>45720</v>
      </c>
      <c r="H4773" s="49">
        <v>45726</v>
      </c>
      <c r="I4773" s="49">
        <v>45729</v>
      </c>
      <c r="J4773" t="s">
        <v>49</v>
      </c>
      <c r="K4773" s="33">
        <v>4800</v>
      </c>
      <c r="L4773" t="s">
        <v>60</v>
      </c>
      <c r="M4773" t="str">
        <f>_xlfn.XLOOKUP(Pipeline_tbl[[#This Row],[Rep_ID]],Dim_Reps!A:A,Dim_Reps!K:K)</f>
        <v>EUR</v>
      </c>
      <c r="N4773" s="33">
        <f>(_xlfn.XLOOKUP(Pipeline_tbl[[#This Row],[Rate_Code_Generalized]],Lookups!A:A,Lookups!B:B))*Pipeline_tbl[[#This Row],[Pipeline_Amount_USD]]</f>
        <v>4800</v>
      </c>
      <c r="O4773" t="str">
        <f>_xlfn.XLOOKUP(Pipeline_tbl[[#This Row],[Rep_ID]],Dim_Reps!A:A,Dim_Reps!B:B)</f>
        <v>Jamie Schmidt</v>
      </c>
      <c r="P4773" t="str">
        <f>_xlfn.XLOOKUP(Pipeline_tbl[[#This Row],[Rep_ID]],Dim_Reps!A:A,Dim_Reps!C:C)</f>
        <v>SDR / Inside Sales Rep</v>
      </c>
      <c r="Q4773" t="str">
        <f>_xlfn.XLOOKUP(Pipeline_tbl[[#This Row],[Rep_ID]],Dim_Reps!A:A,Dim_Reps!D:D)</f>
        <v>Inside Sales</v>
      </c>
      <c r="R4773" t="str">
        <f>_xlfn.XLOOKUP(Pipeline_tbl[[#This Row],[Rep_ID]],Dim_Reps!A:A,Dim_Reps!E:E)</f>
        <v>APAC</v>
      </c>
      <c r="S4773" t="str">
        <f>_xlfn.XLOOKUP(Pipeline_tbl[[#This Row],[Created_Date]],Dim_Date!A:A,Dim_Date!H:H)</f>
        <v>Feb 2025</v>
      </c>
      <c r="T4773" t="str">
        <f>IF(Pipeline_tbl[[#This Row],[Closed_Date]]=0,"",(_xlfn.XLOOKUP(Pipeline_tbl[[#This Row],[Closed_Date]],Dim_Date!A:A,Dim_Date!H:H)))</f>
        <v>Mar 2025</v>
      </c>
      <c r="U4773">
        <f>IF(Pipeline_tbl[[#This Row],[Closed_Date]]=0,"",Pipeline_tbl[[#This Row],[Closed_Date]]-Pipeline_tbl[[#This Row],[Created_Date]])</f>
        <v>22</v>
      </c>
    </row>
    <row r="4774" spans="1:21" ht="15" customHeight="1" x14ac:dyDescent="0.2">
      <c r="A4774" t="s">
        <v>5080</v>
      </c>
      <c r="B4774" t="s">
        <v>215</v>
      </c>
      <c r="C4774" t="s">
        <v>55</v>
      </c>
      <c r="D4774" s="49">
        <v>45715</v>
      </c>
      <c r="E4774" s="49">
        <v>45718</v>
      </c>
      <c r="F4774" s="49">
        <v>45724</v>
      </c>
      <c r="G4774" s="49">
        <v>45733</v>
      </c>
      <c r="H4774" s="49">
        <v>45741</v>
      </c>
      <c r="I4774" s="49">
        <v>45745</v>
      </c>
      <c r="J4774" t="s">
        <v>47</v>
      </c>
      <c r="K4774" s="33">
        <v>2500</v>
      </c>
      <c r="M4774" t="str">
        <f>_xlfn.XLOOKUP(Pipeline_tbl[[#This Row],[Rep_ID]],Dim_Reps!A:A,Dim_Reps!K:K)</f>
        <v>EUR</v>
      </c>
      <c r="N4774" s="33">
        <f>(_xlfn.XLOOKUP(Pipeline_tbl[[#This Row],[Rate_Code_Generalized]],Lookups!A:A,Lookups!B:B))*Pipeline_tbl[[#This Row],[Pipeline_Amount_USD]]</f>
        <v>2500</v>
      </c>
      <c r="O4774" t="str">
        <f>_xlfn.XLOOKUP(Pipeline_tbl[[#This Row],[Rep_ID]],Dim_Reps!A:A,Dim_Reps!B:B)</f>
        <v>Jamie Schmidt</v>
      </c>
      <c r="P4774" t="str">
        <f>_xlfn.XLOOKUP(Pipeline_tbl[[#This Row],[Rep_ID]],Dim_Reps!A:A,Dim_Reps!C:C)</f>
        <v>SDR / Inside Sales Rep</v>
      </c>
      <c r="Q4774" t="str">
        <f>_xlfn.XLOOKUP(Pipeline_tbl[[#This Row],[Rep_ID]],Dim_Reps!A:A,Dim_Reps!D:D)</f>
        <v>Inside Sales</v>
      </c>
      <c r="R4774" t="str">
        <f>_xlfn.XLOOKUP(Pipeline_tbl[[#This Row],[Rep_ID]],Dim_Reps!A:A,Dim_Reps!E:E)</f>
        <v>APAC</v>
      </c>
      <c r="S4774" t="str">
        <f>_xlfn.XLOOKUP(Pipeline_tbl[[#This Row],[Created_Date]],Dim_Date!A:A,Dim_Date!H:H)</f>
        <v>Feb 2025</v>
      </c>
      <c r="T4774" t="str">
        <f>IF(Pipeline_tbl[[#This Row],[Closed_Date]]=0,"",(_xlfn.XLOOKUP(Pipeline_tbl[[#This Row],[Closed_Date]],Dim_Date!A:A,Dim_Date!H:H)))</f>
        <v>Mar 2025</v>
      </c>
      <c r="U4774">
        <f>IF(Pipeline_tbl[[#This Row],[Closed_Date]]=0,"",Pipeline_tbl[[#This Row],[Closed_Date]]-Pipeline_tbl[[#This Row],[Created_Date]])</f>
        <v>30</v>
      </c>
    </row>
    <row r="4775" spans="1:21" ht="15" customHeight="1" x14ac:dyDescent="0.2">
      <c r="A4775" t="s">
        <v>5081</v>
      </c>
      <c r="B4775" t="s">
        <v>215</v>
      </c>
      <c r="C4775" t="s">
        <v>56</v>
      </c>
      <c r="D4775" s="49">
        <v>45716</v>
      </c>
      <c r="E4775" s="49">
        <v>45718</v>
      </c>
      <c r="F4775" s="49">
        <v>45722</v>
      </c>
      <c r="G4775" s="49">
        <v>45728</v>
      </c>
      <c r="H4775" s="49">
        <v>45733</v>
      </c>
      <c r="I4775" s="49">
        <v>45736</v>
      </c>
      <c r="J4775" t="s">
        <v>49</v>
      </c>
      <c r="K4775" s="33">
        <v>7900</v>
      </c>
      <c r="L4775" t="s">
        <v>61</v>
      </c>
      <c r="M4775" t="str">
        <f>_xlfn.XLOOKUP(Pipeline_tbl[[#This Row],[Rep_ID]],Dim_Reps!A:A,Dim_Reps!K:K)</f>
        <v>EUR</v>
      </c>
      <c r="N4775" s="33">
        <f>(_xlfn.XLOOKUP(Pipeline_tbl[[#This Row],[Rate_Code_Generalized]],Lookups!A:A,Lookups!B:B))*Pipeline_tbl[[#This Row],[Pipeline_Amount_USD]]</f>
        <v>7900</v>
      </c>
      <c r="O4775" t="str">
        <f>_xlfn.XLOOKUP(Pipeline_tbl[[#This Row],[Rep_ID]],Dim_Reps!A:A,Dim_Reps!B:B)</f>
        <v>Jamie Schmidt</v>
      </c>
      <c r="P4775" t="str">
        <f>_xlfn.XLOOKUP(Pipeline_tbl[[#This Row],[Rep_ID]],Dim_Reps!A:A,Dim_Reps!C:C)</f>
        <v>SDR / Inside Sales Rep</v>
      </c>
      <c r="Q4775" t="str">
        <f>_xlfn.XLOOKUP(Pipeline_tbl[[#This Row],[Rep_ID]],Dim_Reps!A:A,Dim_Reps!D:D)</f>
        <v>Inside Sales</v>
      </c>
      <c r="R4775" t="str">
        <f>_xlfn.XLOOKUP(Pipeline_tbl[[#This Row],[Rep_ID]],Dim_Reps!A:A,Dim_Reps!E:E)</f>
        <v>APAC</v>
      </c>
      <c r="S4775" t="str">
        <f>_xlfn.XLOOKUP(Pipeline_tbl[[#This Row],[Created_Date]],Dim_Date!A:A,Dim_Date!H:H)</f>
        <v>Feb 2025</v>
      </c>
      <c r="T4775" t="str">
        <f>IF(Pipeline_tbl[[#This Row],[Closed_Date]]=0,"",(_xlfn.XLOOKUP(Pipeline_tbl[[#This Row],[Closed_Date]],Dim_Date!A:A,Dim_Date!H:H)))</f>
        <v>Mar 2025</v>
      </c>
      <c r="U4775">
        <f>IF(Pipeline_tbl[[#This Row],[Closed_Date]]=0,"",Pipeline_tbl[[#This Row],[Closed_Date]]-Pipeline_tbl[[#This Row],[Created_Date]])</f>
        <v>20</v>
      </c>
    </row>
    <row r="4776" spans="1:21" ht="15" customHeight="1" x14ac:dyDescent="0.2">
      <c r="A4776" t="s">
        <v>5082</v>
      </c>
      <c r="B4776" t="s">
        <v>217</v>
      </c>
      <c r="C4776" t="s">
        <v>54</v>
      </c>
      <c r="D4776" s="49">
        <v>45713</v>
      </c>
      <c r="E4776" s="49">
        <v>45714</v>
      </c>
      <c r="I4776" s="49">
        <v>45723</v>
      </c>
      <c r="J4776" t="s">
        <v>49</v>
      </c>
      <c r="K4776" s="33">
        <v>4100</v>
      </c>
      <c r="L4776" t="s">
        <v>64</v>
      </c>
      <c r="M4776" t="str">
        <f>_xlfn.XLOOKUP(Pipeline_tbl[[#This Row],[Rep_ID]],Dim_Reps!A:A,Dim_Reps!K:K)</f>
        <v>USD</v>
      </c>
      <c r="N4776" s="33">
        <f>(_xlfn.XLOOKUP(Pipeline_tbl[[#This Row],[Rate_Code_Generalized]],Lookups!A:A,Lookups!B:B))*Pipeline_tbl[[#This Row],[Pipeline_Amount_USD]]</f>
        <v>4773.6299999999992</v>
      </c>
      <c r="O4776" t="str">
        <f>_xlfn.XLOOKUP(Pipeline_tbl[[#This Row],[Rep_ID]],Dim_Reps!A:A,Dim_Reps!B:B)</f>
        <v>Priya Weber</v>
      </c>
      <c r="P4776" t="str">
        <f>_xlfn.XLOOKUP(Pipeline_tbl[[#This Row],[Rep_ID]],Dim_Reps!A:A,Dim_Reps!C:C)</f>
        <v>SDR / Inside Sales Rep</v>
      </c>
      <c r="Q4776" t="str">
        <f>_xlfn.XLOOKUP(Pipeline_tbl[[#This Row],[Rep_ID]],Dim_Reps!A:A,Dim_Reps!D:D)</f>
        <v>Inside Sales</v>
      </c>
      <c r="R4776" t="str">
        <f>_xlfn.XLOOKUP(Pipeline_tbl[[#This Row],[Rep_ID]],Dim_Reps!A:A,Dim_Reps!E:E)</f>
        <v>NAMER</v>
      </c>
      <c r="S4776" t="str">
        <f>_xlfn.XLOOKUP(Pipeline_tbl[[#This Row],[Created_Date]],Dim_Date!A:A,Dim_Date!H:H)</f>
        <v>Feb 2025</v>
      </c>
      <c r="T4776" t="str">
        <f>IF(Pipeline_tbl[[#This Row],[Closed_Date]]=0,"",(_xlfn.XLOOKUP(Pipeline_tbl[[#This Row],[Closed_Date]],Dim_Date!A:A,Dim_Date!H:H)))</f>
        <v>Mar 2025</v>
      </c>
      <c r="U4776">
        <f>IF(Pipeline_tbl[[#This Row],[Closed_Date]]=0,"",Pipeline_tbl[[#This Row],[Closed_Date]]-Pipeline_tbl[[#This Row],[Created_Date]])</f>
        <v>10</v>
      </c>
    </row>
    <row r="4777" spans="1:21" ht="15" customHeight="1" x14ac:dyDescent="0.2">
      <c r="A4777" t="s">
        <v>5083</v>
      </c>
      <c r="B4777" t="s">
        <v>217</v>
      </c>
      <c r="C4777" t="s">
        <v>52</v>
      </c>
      <c r="D4777" s="49">
        <v>45715</v>
      </c>
      <c r="E4777" s="49">
        <v>45716</v>
      </c>
      <c r="F4777" s="49">
        <v>45719</v>
      </c>
      <c r="G4777" s="49">
        <v>45723</v>
      </c>
      <c r="H4777" s="49">
        <v>45727</v>
      </c>
      <c r="I4777" s="49">
        <v>45729</v>
      </c>
      <c r="J4777" t="s">
        <v>49</v>
      </c>
      <c r="K4777" s="33">
        <v>3200</v>
      </c>
      <c r="L4777" t="s">
        <v>63</v>
      </c>
      <c r="M4777" t="str">
        <f>_xlfn.XLOOKUP(Pipeline_tbl[[#This Row],[Rep_ID]],Dim_Reps!A:A,Dim_Reps!K:K)</f>
        <v>USD</v>
      </c>
      <c r="N4777" s="33">
        <f>(_xlfn.XLOOKUP(Pipeline_tbl[[#This Row],[Rate_Code_Generalized]],Lookups!A:A,Lookups!B:B))*Pipeline_tbl[[#This Row],[Pipeline_Amount_USD]]</f>
        <v>3725.7599999999998</v>
      </c>
      <c r="O4777" t="str">
        <f>_xlfn.XLOOKUP(Pipeline_tbl[[#This Row],[Rep_ID]],Dim_Reps!A:A,Dim_Reps!B:B)</f>
        <v>Priya Weber</v>
      </c>
      <c r="P4777" t="str">
        <f>_xlfn.XLOOKUP(Pipeline_tbl[[#This Row],[Rep_ID]],Dim_Reps!A:A,Dim_Reps!C:C)</f>
        <v>SDR / Inside Sales Rep</v>
      </c>
      <c r="Q4777" t="str">
        <f>_xlfn.XLOOKUP(Pipeline_tbl[[#This Row],[Rep_ID]],Dim_Reps!A:A,Dim_Reps!D:D)</f>
        <v>Inside Sales</v>
      </c>
      <c r="R4777" t="str">
        <f>_xlfn.XLOOKUP(Pipeline_tbl[[#This Row],[Rep_ID]],Dim_Reps!A:A,Dim_Reps!E:E)</f>
        <v>NAMER</v>
      </c>
      <c r="S4777" t="str">
        <f>_xlfn.XLOOKUP(Pipeline_tbl[[#This Row],[Created_Date]],Dim_Date!A:A,Dim_Date!H:H)</f>
        <v>Feb 2025</v>
      </c>
      <c r="T4777" t="str">
        <f>IF(Pipeline_tbl[[#This Row],[Closed_Date]]=0,"",(_xlfn.XLOOKUP(Pipeline_tbl[[#This Row],[Closed_Date]],Dim_Date!A:A,Dim_Date!H:H)))</f>
        <v>Mar 2025</v>
      </c>
      <c r="U4777">
        <f>IF(Pipeline_tbl[[#This Row],[Closed_Date]]=0,"",Pipeline_tbl[[#This Row],[Closed_Date]]-Pipeline_tbl[[#This Row],[Created_Date]])</f>
        <v>14</v>
      </c>
    </row>
    <row r="4778" spans="1:21" ht="15" customHeight="1" x14ac:dyDescent="0.2">
      <c r="A4778" t="s">
        <v>5084</v>
      </c>
      <c r="B4778" t="s">
        <v>217</v>
      </c>
      <c r="C4778" t="s">
        <v>55</v>
      </c>
      <c r="D4778" s="49">
        <v>45701</v>
      </c>
      <c r="E4778" s="49">
        <v>45703</v>
      </c>
      <c r="F4778" s="49">
        <v>45706</v>
      </c>
      <c r="G4778" s="49">
        <v>45711</v>
      </c>
      <c r="H4778" s="49">
        <v>45715</v>
      </c>
      <c r="I4778" s="49">
        <v>45717</v>
      </c>
      <c r="J4778" t="s">
        <v>47</v>
      </c>
      <c r="K4778" s="33">
        <v>2700</v>
      </c>
      <c r="M4778" t="str">
        <f>_xlfn.XLOOKUP(Pipeline_tbl[[#This Row],[Rep_ID]],Dim_Reps!A:A,Dim_Reps!K:K)</f>
        <v>USD</v>
      </c>
      <c r="N4778" s="33">
        <f>(_xlfn.XLOOKUP(Pipeline_tbl[[#This Row],[Rate_Code_Generalized]],Lookups!A:A,Lookups!B:B))*Pipeline_tbl[[#This Row],[Pipeline_Amount_USD]]</f>
        <v>3143.6099999999997</v>
      </c>
      <c r="O4778" t="str">
        <f>_xlfn.XLOOKUP(Pipeline_tbl[[#This Row],[Rep_ID]],Dim_Reps!A:A,Dim_Reps!B:B)</f>
        <v>Priya Weber</v>
      </c>
      <c r="P4778" t="str">
        <f>_xlfn.XLOOKUP(Pipeline_tbl[[#This Row],[Rep_ID]],Dim_Reps!A:A,Dim_Reps!C:C)</f>
        <v>SDR / Inside Sales Rep</v>
      </c>
      <c r="Q4778" t="str">
        <f>_xlfn.XLOOKUP(Pipeline_tbl[[#This Row],[Rep_ID]],Dim_Reps!A:A,Dim_Reps!D:D)</f>
        <v>Inside Sales</v>
      </c>
      <c r="R4778" t="str">
        <f>_xlfn.XLOOKUP(Pipeline_tbl[[#This Row],[Rep_ID]],Dim_Reps!A:A,Dim_Reps!E:E)</f>
        <v>NAMER</v>
      </c>
      <c r="S4778" t="str">
        <f>_xlfn.XLOOKUP(Pipeline_tbl[[#This Row],[Created_Date]],Dim_Date!A:A,Dim_Date!H:H)</f>
        <v>Feb 2025</v>
      </c>
      <c r="T4778" t="str">
        <f>IF(Pipeline_tbl[[#This Row],[Closed_Date]]=0,"",(_xlfn.XLOOKUP(Pipeline_tbl[[#This Row],[Closed_Date]],Dim_Date!A:A,Dim_Date!H:H)))</f>
        <v>Mar 2025</v>
      </c>
      <c r="U4778">
        <f>IF(Pipeline_tbl[[#This Row],[Closed_Date]]=0,"",Pipeline_tbl[[#This Row],[Closed_Date]]-Pipeline_tbl[[#This Row],[Created_Date]])</f>
        <v>16</v>
      </c>
    </row>
    <row r="4779" spans="1:21" ht="15" customHeight="1" x14ac:dyDescent="0.2">
      <c r="A4779" t="s">
        <v>5085</v>
      </c>
      <c r="B4779" t="s">
        <v>217</v>
      </c>
      <c r="C4779" t="s">
        <v>52</v>
      </c>
      <c r="D4779" s="49">
        <v>45715</v>
      </c>
      <c r="E4779" s="49">
        <v>45717</v>
      </c>
      <c r="F4779" s="49">
        <v>45722</v>
      </c>
      <c r="G4779" s="49">
        <v>45729</v>
      </c>
      <c r="H4779" s="49">
        <v>45735</v>
      </c>
      <c r="I4779" s="49">
        <v>45738</v>
      </c>
      <c r="J4779" t="s">
        <v>47</v>
      </c>
      <c r="K4779" s="33">
        <v>2500</v>
      </c>
      <c r="M4779" t="str">
        <f>_xlfn.XLOOKUP(Pipeline_tbl[[#This Row],[Rep_ID]],Dim_Reps!A:A,Dim_Reps!K:K)</f>
        <v>USD</v>
      </c>
      <c r="N4779" s="33">
        <f>(_xlfn.XLOOKUP(Pipeline_tbl[[#This Row],[Rate_Code_Generalized]],Lookups!A:A,Lookups!B:B))*Pipeline_tbl[[#This Row],[Pipeline_Amount_USD]]</f>
        <v>2910.7499999999995</v>
      </c>
      <c r="O4779" t="str">
        <f>_xlfn.XLOOKUP(Pipeline_tbl[[#This Row],[Rep_ID]],Dim_Reps!A:A,Dim_Reps!B:B)</f>
        <v>Priya Weber</v>
      </c>
      <c r="P4779" t="str">
        <f>_xlfn.XLOOKUP(Pipeline_tbl[[#This Row],[Rep_ID]],Dim_Reps!A:A,Dim_Reps!C:C)</f>
        <v>SDR / Inside Sales Rep</v>
      </c>
      <c r="Q4779" t="str">
        <f>_xlfn.XLOOKUP(Pipeline_tbl[[#This Row],[Rep_ID]],Dim_Reps!A:A,Dim_Reps!D:D)</f>
        <v>Inside Sales</v>
      </c>
      <c r="R4779" t="str">
        <f>_xlfn.XLOOKUP(Pipeline_tbl[[#This Row],[Rep_ID]],Dim_Reps!A:A,Dim_Reps!E:E)</f>
        <v>NAMER</v>
      </c>
      <c r="S4779" t="str">
        <f>_xlfn.XLOOKUP(Pipeline_tbl[[#This Row],[Created_Date]],Dim_Date!A:A,Dim_Date!H:H)</f>
        <v>Feb 2025</v>
      </c>
      <c r="T4779" t="str">
        <f>IF(Pipeline_tbl[[#This Row],[Closed_Date]]=0,"",(_xlfn.XLOOKUP(Pipeline_tbl[[#This Row],[Closed_Date]],Dim_Date!A:A,Dim_Date!H:H)))</f>
        <v>Mar 2025</v>
      </c>
      <c r="U4779">
        <f>IF(Pipeline_tbl[[#This Row],[Closed_Date]]=0,"",Pipeline_tbl[[#This Row],[Closed_Date]]-Pipeline_tbl[[#This Row],[Created_Date]])</f>
        <v>23</v>
      </c>
    </row>
    <row r="4780" spans="1:21" ht="15" customHeight="1" x14ac:dyDescent="0.2">
      <c r="A4780" t="s">
        <v>5086</v>
      </c>
      <c r="B4780" t="s">
        <v>217</v>
      </c>
      <c r="C4780" t="s">
        <v>54</v>
      </c>
      <c r="D4780" s="49">
        <v>45710</v>
      </c>
      <c r="E4780" s="49">
        <v>45711</v>
      </c>
      <c r="F4780" s="49">
        <v>45714</v>
      </c>
      <c r="G4780" s="49">
        <v>45718</v>
      </c>
      <c r="H4780" s="49">
        <v>45721</v>
      </c>
      <c r="I4780" s="49">
        <v>45723</v>
      </c>
      <c r="J4780" t="s">
        <v>49</v>
      </c>
      <c r="K4780" s="33">
        <v>6000</v>
      </c>
      <c r="L4780" t="s">
        <v>61</v>
      </c>
      <c r="M4780" t="str">
        <f>_xlfn.XLOOKUP(Pipeline_tbl[[#This Row],[Rep_ID]],Dim_Reps!A:A,Dim_Reps!K:K)</f>
        <v>USD</v>
      </c>
      <c r="N4780" s="33">
        <f>(_xlfn.XLOOKUP(Pipeline_tbl[[#This Row],[Rate_Code_Generalized]],Lookups!A:A,Lookups!B:B))*Pipeline_tbl[[#This Row],[Pipeline_Amount_USD]]</f>
        <v>6985.7999999999993</v>
      </c>
      <c r="O4780" t="str">
        <f>_xlfn.XLOOKUP(Pipeline_tbl[[#This Row],[Rep_ID]],Dim_Reps!A:A,Dim_Reps!B:B)</f>
        <v>Priya Weber</v>
      </c>
      <c r="P4780" t="str">
        <f>_xlfn.XLOOKUP(Pipeline_tbl[[#This Row],[Rep_ID]],Dim_Reps!A:A,Dim_Reps!C:C)</f>
        <v>SDR / Inside Sales Rep</v>
      </c>
      <c r="Q4780" t="str">
        <f>_xlfn.XLOOKUP(Pipeline_tbl[[#This Row],[Rep_ID]],Dim_Reps!A:A,Dim_Reps!D:D)</f>
        <v>Inside Sales</v>
      </c>
      <c r="R4780" t="str">
        <f>_xlfn.XLOOKUP(Pipeline_tbl[[#This Row],[Rep_ID]],Dim_Reps!A:A,Dim_Reps!E:E)</f>
        <v>NAMER</v>
      </c>
      <c r="S4780" t="str">
        <f>_xlfn.XLOOKUP(Pipeline_tbl[[#This Row],[Created_Date]],Dim_Date!A:A,Dim_Date!H:H)</f>
        <v>Feb 2025</v>
      </c>
      <c r="T4780" t="str">
        <f>IF(Pipeline_tbl[[#This Row],[Closed_Date]]=0,"",(_xlfn.XLOOKUP(Pipeline_tbl[[#This Row],[Closed_Date]],Dim_Date!A:A,Dim_Date!H:H)))</f>
        <v>Mar 2025</v>
      </c>
      <c r="U4780">
        <f>IF(Pipeline_tbl[[#This Row],[Closed_Date]]=0,"",Pipeline_tbl[[#This Row],[Closed_Date]]-Pipeline_tbl[[#This Row],[Created_Date]])</f>
        <v>13</v>
      </c>
    </row>
    <row r="4781" spans="1:21" ht="15" customHeight="1" x14ac:dyDescent="0.2">
      <c r="A4781" t="s">
        <v>5087</v>
      </c>
      <c r="B4781" t="s">
        <v>217</v>
      </c>
      <c r="C4781" t="s">
        <v>54</v>
      </c>
      <c r="D4781" s="49">
        <v>45707</v>
      </c>
      <c r="E4781" s="49">
        <v>45708</v>
      </c>
      <c r="F4781" s="49">
        <v>45711</v>
      </c>
      <c r="G4781" s="49">
        <v>45714</v>
      </c>
      <c r="H4781" s="49">
        <v>45717</v>
      </c>
      <c r="I4781" s="49">
        <v>45719</v>
      </c>
      <c r="J4781" t="s">
        <v>49</v>
      </c>
      <c r="K4781" s="33">
        <v>4000</v>
      </c>
      <c r="L4781" t="s">
        <v>62</v>
      </c>
      <c r="M4781" t="str">
        <f>_xlfn.XLOOKUP(Pipeline_tbl[[#This Row],[Rep_ID]],Dim_Reps!A:A,Dim_Reps!K:K)</f>
        <v>USD</v>
      </c>
      <c r="N4781" s="33">
        <f>(_xlfn.XLOOKUP(Pipeline_tbl[[#This Row],[Rate_Code_Generalized]],Lookups!A:A,Lookups!B:B))*Pipeline_tbl[[#This Row],[Pipeline_Amount_USD]]</f>
        <v>4657.2</v>
      </c>
      <c r="O4781" t="str">
        <f>_xlfn.XLOOKUP(Pipeline_tbl[[#This Row],[Rep_ID]],Dim_Reps!A:A,Dim_Reps!B:B)</f>
        <v>Priya Weber</v>
      </c>
      <c r="P4781" t="str">
        <f>_xlfn.XLOOKUP(Pipeline_tbl[[#This Row],[Rep_ID]],Dim_Reps!A:A,Dim_Reps!C:C)</f>
        <v>SDR / Inside Sales Rep</v>
      </c>
      <c r="Q4781" t="str">
        <f>_xlfn.XLOOKUP(Pipeline_tbl[[#This Row],[Rep_ID]],Dim_Reps!A:A,Dim_Reps!D:D)</f>
        <v>Inside Sales</v>
      </c>
      <c r="R4781" t="str">
        <f>_xlfn.XLOOKUP(Pipeline_tbl[[#This Row],[Rep_ID]],Dim_Reps!A:A,Dim_Reps!E:E)</f>
        <v>NAMER</v>
      </c>
      <c r="S4781" t="str">
        <f>_xlfn.XLOOKUP(Pipeline_tbl[[#This Row],[Created_Date]],Dim_Date!A:A,Dim_Date!H:H)</f>
        <v>Feb 2025</v>
      </c>
      <c r="T4781" t="str">
        <f>IF(Pipeline_tbl[[#This Row],[Closed_Date]]=0,"",(_xlfn.XLOOKUP(Pipeline_tbl[[#This Row],[Closed_Date]],Dim_Date!A:A,Dim_Date!H:H)))</f>
        <v>Mar 2025</v>
      </c>
      <c r="U4781">
        <f>IF(Pipeline_tbl[[#This Row],[Closed_Date]]=0,"",Pipeline_tbl[[#This Row],[Closed_Date]]-Pipeline_tbl[[#This Row],[Created_Date]])</f>
        <v>12</v>
      </c>
    </row>
    <row r="4782" spans="1:21" ht="15" customHeight="1" x14ac:dyDescent="0.2">
      <c r="A4782" t="s">
        <v>5088</v>
      </c>
      <c r="B4782" t="s">
        <v>217</v>
      </c>
      <c r="C4782" t="s">
        <v>54</v>
      </c>
      <c r="D4782" s="49">
        <v>45711</v>
      </c>
      <c r="E4782" s="49">
        <v>45712</v>
      </c>
      <c r="F4782" s="49">
        <v>45714</v>
      </c>
      <c r="G4782" s="49">
        <v>45717</v>
      </c>
      <c r="I4782" s="49">
        <v>45721</v>
      </c>
      <c r="J4782" t="s">
        <v>49</v>
      </c>
      <c r="K4782" s="33">
        <v>2000</v>
      </c>
      <c r="L4782" t="s">
        <v>61</v>
      </c>
      <c r="M4782" t="str">
        <f>_xlfn.XLOOKUP(Pipeline_tbl[[#This Row],[Rep_ID]],Dim_Reps!A:A,Dim_Reps!K:K)</f>
        <v>USD</v>
      </c>
      <c r="N4782" s="33">
        <f>(_xlfn.XLOOKUP(Pipeline_tbl[[#This Row],[Rate_Code_Generalized]],Lookups!A:A,Lookups!B:B))*Pipeline_tbl[[#This Row],[Pipeline_Amount_USD]]</f>
        <v>2328.6</v>
      </c>
      <c r="O4782" t="str">
        <f>_xlfn.XLOOKUP(Pipeline_tbl[[#This Row],[Rep_ID]],Dim_Reps!A:A,Dim_Reps!B:B)</f>
        <v>Priya Weber</v>
      </c>
      <c r="P4782" t="str">
        <f>_xlfn.XLOOKUP(Pipeline_tbl[[#This Row],[Rep_ID]],Dim_Reps!A:A,Dim_Reps!C:C)</f>
        <v>SDR / Inside Sales Rep</v>
      </c>
      <c r="Q4782" t="str">
        <f>_xlfn.XLOOKUP(Pipeline_tbl[[#This Row],[Rep_ID]],Dim_Reps!A:A,Dim_Reps!D:D)</f>
        <v>Inside Sales</v>
      </c>
      <c r="R4782" t="str">
        <f>_xlfn.XLOOKUP(Pipeline_tbl[[#This Row],[Rep_ID]],Dim_Reps!A:A,Dim_Reps!E:E)</f>
        <v>NAMER</v>
      </c>
      <c r="S4782" t="str">
        <f>_xlfn.XLOOKUP(Pipeline_tbl[[#This Row],[Created_Date]],Dim_Date!A:A,Dim_Date!H:H)</f>
        <v>Feb 2025</v>
      </c>
      <c r="T4782" t="str">
        <f>IF(Pipeline_tbl[[#This Row],[Closed_Date]]=0,"",(_xlfn.XLOOKUP(Pipeline_tbl[[#This Row],[Closed_Date]],Dim_Date!A:A,Dim_Date!H:H)))</f>
        <v>Mar 2025</v>
      </c>
      <c r="U4782">
        <f>IF(Pipeline_tbl[[#This Row],[Closed_Date]]=0,"",Pipeline_tbl[[#This Row],[Closed_Date]]-Pipeline_tbl[[#This Row],[Created_Date]])</f>
        <v>10</v>
      </c>
    </row>
    <row r="4783" spans="1:21" ht="15" customHeight="1" x14ac:dyDescent="0.2">
      <c r="A4783" t="s">
        <v>5089</v>
      </c>
      <c r="B4783" t="s">
        <v>188</v>
      </c>
      <c r="C4783" t="s">
        <v>54</v>
      </c>
      <c r="D4783" s="49">
        <v>45715</v>
      </c>
      <c r="E4783" s="49">
        <v>45718</v>
      </c>
      <c r="F4783" s="49">
        <v>45724</v>
      </c>
      <c r="I4783" s="49">
        <v>45744</v>
      </c>
      <c r="J4783" t="s">
        <v>49</v>
      </c>
      <c r="K4783" s="33">
        <v>26600</v>
      </c>
      <c r="L4783" t="s">
        <v>64</v>
      </c>
      <c r="M4783" t="str">
        <f>_xlfn.XLOOKUP(Pipeline_tbl[[#This Row],[Rep_ID]],Dim_Reps!A:A,Dim_Reps!K:K)</f>
        <v>EUR</v>
      </c>
      <c r="N4783" s="33">
        <f>(_xlfn.XLOOKUP(Pipeline_tbl[[#This Row],[Rate_Code_Generalized]],Lookups!A:A,Lookups!B:B))*Pipeline_tbl[[#This Row],[Pipeline_Amount_USD]]</f>
        <v>26600</v>
      </c>
      <c r="O4783" t="str">
        <f>_xlfn.XLOOKUP(Pipeline_tbl[[#This Row],[Rep_ID]],Dim_Reps!A:A,Dim_Reps!B:B)</f>
        <v>Jamie Santos</v>
      </c>
      <c r="P4783" t="str">
        <f>_xlfn.XLOOKUP(Pipeline_tbl[[#This Row],[Rep_ID]],Dim_Reps!A:A,Dim_Reps!C:C)</f>
        <v>Enterprise AE</v>
      </c>
      <c r="Q4783" t="str">
        <f>_xlfn.XLOOKUP(Pipeline_tbl[[#This Row],[Rep_ID]],Dim_Reps!A:A,Dim_Reps!D:D)</f>
        <v>Enterprise</v>
      </c>
      <c r="R4783" t="str">
        <f>_xlfn.XLOOKUP(Pipeline_tbl[[#This Row],[Rep_ID]],Dim_Reps!A:A,Dim_Reps!E:E)</f>
        <v>APAC</v>
      </c>
      <c r="S4783" t="str">
        <f>_xlfn.XLOOKUP(Pipeline_tbl[[#This Row],[Created_Date]],Dim_Date!A:A,Dim_Date!H:H)</f>
        <v>Feb 2025</v>
      </c>
      <c r="T4783" t="str">
        <f>IF(Pipeline_tbl[[#This Row],[Closed_Date]]=0,"",(_xlfn.XLOOKUP(Pipeline_tbl[[#This Row],[Closed_Date]],Dim_Date!A:A,Dim_Date!H:H)))</f>
        <v>Mar 2025</v>
      </c>
      <c r="U4783">
        <f>IF(Pipeline_tbl[[#This Row],[Closed_Date]]=0,"",Pipeline_tbl[[#This Row],[Closed_Date]]-Pipeline_tbl[[#This Row],[Created_Date]])</f>
        <v>29</v>
      </c>
    </row>
    <row r="4784" spans="1:21" ht="15" customHeight="1" x14ac:dyDescent="0.2">
      <c r="A4784" t="s">
        <v>5090</v>
      </c>
      <c r="B4784" t="s">
        <v>221</v>
      </c>
      <c r="C4784" t="s">
        <v>52</v>
      </c>
      <c r="D4784" s="49">
        <v>45712</v>
      </c>
      <c r="E4784" s="49">
        <v>45714</v>
      </c>
      <c r="F4784" s="49">
        <v>45717</v>
      </c>
      <c r="I4784" s="49">
        <v>45728</v>
      </c>
      <c r="J4784" t="s">
        <v>49</v>
      </c>
      <c r="K4784" s="33">
        <v>4000</v>
      </c>
      <c r="L4784" t="s">
        <v>61</v>
      </c>
      <c r="M4784" t="str">
        <f>_xlfn.XLOOKUP(Pipeline_tbl[[#This Row],[Rep_ID]],Dim_Reps!A:A,Dim_Reps!K:K)</f>
        <v>MXN</v>
      </c>
      <c r="N4784" s="33">
        <f>(_xlfn.XLOOKUP(Pipeline_tbl[[#This Row],[Rate_Code_Generalized]],Lookups!A:A,Lookups!B:B))*Pipeline_tbl[[#This Row],[Pipeline_Amount_USD]]</f>
        <v>78930.8</v>
      </c>
      <c r="O4784" t="str">
        <f>_xlfn.XLOOKUP(Pipeline_tbl[[#This Row],[Rep_ID]],Dim_Reps!A:A,Dim_Reps!B:B)</f>
        <v>Casey Muller</v>
      </c>
      <c r="P4784" t="str">
        <f>_xlfn.XLOOKUP(Pipeline_tbl[[#This Row],[Rep_ID]],Dim_Reps!A:A,Dim_Reps!C:C)</f>
        <v>SDR / Inside Sales Rep</v>
      </c>
      <c r="Q4784" t="str">
        <f>_xlfn.XLOOKUP(Pipeline_tbl[[#This Row],[Rep_ID]],Dim_Reps!A:A,Dim_Reps!D:D)</f>
        <v>Inside Sales</v>
      </c>
      <c r="R4784" t="str">
        <f>_xlfn.XLOOKUP(Pipeline_tbl[[#This Row],[Rep_ID]],Dim_Reps!A:A,Dim_Reps!E:E)</f>
        <v>LATAM</v>
      </c>
      <c r="S4784" t="str">
        <f>_xlfn.XLOOKUP(Pipeline_tbl[[#This Row],[Created_Date]],Dim_Date!A:A,Dim_Date!H:H)</f>
        <v>Feb 2025</v>
      </c>
      <c r="T4784" t="str">
        <f>IF(Pipeline_tbl[[#This Row],[Closed_Date]]=0,"",(_xlfn.XLOOKUP(Pipeline_tbl[[#This Row],[Closed_Date]],Dim_Date!A:A,Dim_Date!H:H)))</f>
        <v>Mar 2025</v>
      </c>
      <c r="U4784">
        <f>IF(Pipeline_tbl[[#This Row],[Closed_Date]]=0,"",Pipeline_tbl[[#This Row],[Closed_Date]]-Pipeline_tbl[[#This Row],[Created_Date]])</f>
        <v>16</v>
      </c>
    </row>
    <row r="4785" spans="1:21" ht="15" customHeight="1" x14ac:dyDescent="0.2">
      <c r="A4785" t="s">
        <v>5091</v>
      </c>
      <c r="B4785" t="s">
        <v>221</v>
      </c>
      <c r="C4785" t="s">
        <v>53</v>
      </c>
      <c r="D4785" s="49">
        <v>45713</v>
      </c>
      <c r="E4785" s="49">
        <v>45716</v>
      </c>
      <c r="F4785" s="49">
        <v>45721</v>
      </c>
      <c r="G4785" s="49">
        <v>45729</v>
      </c>
      <c r="H4785" s="49">
        <v>45735</v>
      </c>
      <c r="I4785" s="49">
        <v>45739</v>
      </c>
      <c r="J4785" t="s">
        <v>49</v>
      </c>
      <c r="K4785" s="33">
        <v>3100</v>
      </c>
      <c r="L4785" t="s">
        <v>62</v>
      </c>
      <c r="M4785" t="str">
        <f>_xlfn.XLOOKUP(Pipeline_tbl[[#This Row],[Rep_ID]],Dim_Reps!A:A,Dim_Reps!K:K)</f>
        <v>MXN</v>
      </c>
      <c r="N4785" s="33">
        <f>(_xlfn.XLOOKUP(Pipeline_tbl[[#This Row],[Rate_Code_Generalized]],Lookups!A:A,Lookups!B:B))*Pipeline_tbl[[#This Row],[Pipeline_Amount_USD]]</f>
        <v>61171.37</v>
      </c>
      <c r="O4785" t="str">
        <f>_xlfn.XLOOKUP(Pipeline_tbl[[#This Row],[Rep_ID]],Dim_Reps!A:A,Dim_Reps!B:B)</f>
        <v>Casey Muller</v>
      </c>
      <c r="P4785" t="str">
        <f>_xlfn.XLOOKUP(Pipeline_tbl[[#This Row],[Rep_ID]],Dim_Reps!A:A,Dim_Reps!C:C)</f>
        <v>SDR / Inside Sales Rep</v>
      </c>
      <c r="Q4785" t="str">
        <f>_xlfn.XLOOKUP(Pipeline_tbl[[#This Row],[Rep_ID]],Dim_Reps!A:A,Dim_Reps!D:D)</f>
        <v>Inside Sales</v>
      </c>
      <c r="R4785" t="str">
        <f>_xlfn.XLOOKUP(Pipeline_tbl[[#This Row],[Rep_ID]],Dim_Reps!A:A,Dim_Reps!E:E)</f>
        <v>LATAM</v>
      </c>
      <c r="S4785" t="str">
        <f>_xlfn.XLOOKUP(Pipeline_tbl[[#This Row],[Created_Date]],Dim_Date!A:A,Dim_Date!H:H)</f>
        <v>Feb 2025</v>
      </c>
      <c r="T4785" t="str">
        <f>IF(Pipeline_tbl[[#This Row],[Closed_Date]]=0,"",(_xlfn.XLOOKUP(Pipeline_tbl[[#This Row],[Closed_Date]],Dim_Date!A:A,Dim_Date!H:H)))</f>
        <v>Mar 2025</v>
      </c>
      <c r="U4785">
        <f>IF(Pipeline_tbl[[#This Row],[Closed_Date]]=0,"",Pipeline_tbl[[#This Row],[Closed_Date]]-Pipeline_tbl[[#This Row],[Created_Date]])</f>
        <v>26</v>
      </c>
    </row>
    <row r="4786" spans="1:21" ht="15" customHeight="1" x14ac:dyDescent="0.2">
      <c r="A4786" t="s">
        <v>5092</v>
      </c>
      <c r="B4786" t="s">
        <v>221</v>
      </c>
      <c r="C4786" t="s">
        <v>52</v>
      </c>
      <c r="D4786" s="49">
        <v>45692</v>
      </c>
      <c r="E4786" s="49">
        <v>45695</v>
      </c>
      <c r="F4786" s="49">
        <v>45700</v>
      </c>
      <c r="I4786" s="49">
        <v>45718</v>
      </c>
      <c r="J4786" t="s">
        <v>49</v>
      </c>
      <c r="K4786" s="33">
        <v>4500</v>
      </c>
      <c r="L4786" t="s">
        <v>62</v>
      </c>
      <c r="M4786" t="str">
        <f>_xlfn.XLOOKUP(Pipeline_tbl[[#This Row],[Rep_ID]],Dim_Reps!A:A,Dim_Reps!K:K)</f>
        <v>MXN</v>
      </c>
      <c r="N4786" s="33">
        <f>(_xlfn.XLOOKUP(Pipeline_tbl[[#This Row],[Rate_Code_Generalized]],Lookups!A:A,Lookups!B:B))*Pipeline_tbl[[#This Row],[Pipeline_Amount_USD]]</f>
        <v>88797.150000000009</v>
      </c>
      <c r="O4786" t="str">
        <f>_xlfn.XLOOKUP(Pipeline_tbl[[#This Row],[Rep_ID]],Dim_Reps!A:A,Dim_Reps!B:B)</f>
        <v>Casey Muller</v>
      </c>
      <c r="P4786" t="str">
        <f>_xlfn.XLOOKUP(Pipeline_tbl[[#This Row],[Rep_ID]],Dim_Reps!A:A,Dim_Reps!C:C)</f>
        <v>SDR / Inside Sales Rep</v>
      </c>
      <c r="Q4786" t="str">
        <f>_xlfn.XLOOKUP(Pipeline_tbl[[#This Row],[Rep_ID]],Dim_Reps!A:A,Dim_Reps!D:D)</f>
        <v>Inside Sales</v>
      </c>
      <c r="R4786" t="str">
        <f>_xlfn.XLOOKUP(Pipeline_tbl[[#This Row],[Rep_ID]],Dim_Reps!A:A,Dim_Reps!E:E)</f>
        <v>LATAM</v>
      </c>
      <c r="S4786" t="str">
        <f>_xlfn.XLOOKUP(Pipeline_tbl[[#This Row],[Created_Date]],Dim_Date!A:A,Dim_Date!H:H)</f>
        <v>Feb 2025</v>
      </c>
      <c r="T4786" t="str">
        <f>IF(Pipeline_tbl[[#This Row],[Closed_Date]]=0,"",(_xlfn.XLOOKUP(Pipeline_tbl[[#This Row],[Closed_Date]],Dim_Date!A:A,Dim_Date!H:H)))</f>
        <v>Mar 2025</v>
      </c>
      <c r="U4786">
        <f>IF(Pipeline_tbl[[#This Row],[Closed_Date]]=0,"",Pipeline_tbl[[#This Row],[Closed_Date]]-Pipeline_tbl[[#This Row],[Created_Date]])</f>
        <v>26</v>
      </c>
    </row>
    <row r="4787" spans="1:21" ht="15" customHeight="1" x14ac:dyDescent="0.2">
      <c r="A4787" t="s">
        <v>5093</v>
      </c>
      <c r="B4787" t="s">
        <v>221</v>
      </c>
      <c r="C4787" t="s">
        <v>56</v>
      </c>
      <c r="D4787" s="49">
        <v>45714</v>
      </c>
      <c r="E4787" s="49">
        <v>45715</v>
      </c>
      <c r="F4787" s="49">
        <v>45717</v>
      </c>
      <c r="G4787" s="49">
        <v>45720</v>
      </c>
      <c r="H4787" s="49">
        <v>45722</v>
      </c>
      <c r="I4787" s="49">
        <v>45724</v>
      </c>
      <c r="J4787" t="s">
        <v>47</v>
      </c>
      <c r="K4787" s="33">
        <v>2800</v>
      </c>
      <c r="M4787" t="str">
        <f>_xlfn.XLOOKUP(Pipeline_tbl[[#This Row],[Rep_ID]],Dim_Reps!A:A,Dim_Reps!K:K)</f>
        <v>MXN</v>
      </c>
      <c r="N4787" s="33">
        <f>(_xlfn.XLOOKUP(Pipeline_tbl[[#This Row],[Rate_Code_Generalized]],Lookups!A:A,Lookups!B:B))*Pipeline_tbl[[#This Row],[Pipeline_Amount_USD]]</f>
        <v>55251.560000000005</v>
      </c>
      <c r="O4787" t="str">
        <f>_xlfn.XLOOKUP(Pipeline_tbl[[#This Row],[Rep_ID]],Dim_Reps!A:A,Dim_Reps!B:B)</f>
        <v>Casey Muller</v>
      </c>
      <c r="P4787" t="str">
        <f>_xlfn.XLOOKUP(Pipeline_tbl[[#This Row],[Rep_ID]],Dim_Reps!A:A,Dim_Reps!C:C)</f>
        <v>SDR / Inside Sales Rep</v>
      </c>
      <c r="Q4787" t="str">
        <f>_xlfn.XLOOKUP(Pipeline_tbl[[#This Row],[Rep_ID]],Dim_Reps!A:A,Dim_Reps!D:D)</f>
        <v>Inside Sales</v>
      </c>
      <c r="R4787" t="str">
        <f>_xlfn.XLOOKUP(Pipeline_tbl[[#This Row],[Rep_ID]],Dim_Reps!A:A,Dim_Reps!E:E)</f>
        <v>LATAM</v>
      </c>
      <c r="S4787" t="str">
        <f>_xlfn.XLOOKUP(Pipeline_tbl[[#This Row],[Created_Date]],Dim_Date!A:A,Dim_Date!H:H)</f>
        <v>Feb 2025</v>
      </c>
      <c r="T4787" t="str">
        <f>IF(Pipeline_tbl[[#This Row],[Closed_Date]]=0,"",(_xlfn.XLOOKUP(Pipeline_tbl[[#This Row],[Closed_Date]],Dim_Date!A:A,Dim_Date!H:H)))</f>
        <v>Mar 2025</v>
      </c>
      <c r="U4787">
        <f>IF(Pipeline_tbl[[#This Row],[Closed_Date]]=0,"",Pipeline_tbl[[#This Row],[Closed_Date]]-Pipeline_tbl[[#This Row],[Created_Date]])</f>
        <v>10</v>
      </c>
    </row>
    <row r="4788" spans="1:21" ht="15" customHeight="1" x14ac:dyDescent="0.2">
      <c r="A4788" t="s">
        <v>5094</v>
      </c>
      <c r="B4788" t="s">
        <v>221</v>
      </c>
      <c r="C4788" t="s">
        <v>53</v>
      </c>
      <c r="D4788" s="49">
        <v>45710</v>
      </c>
      <c r="E4788" s="49">
        <v>45711</v>
      </c>
      <c r="F4788" s="49">
        <v>45712</v>
      </c>
      <c r="G4788" s="49">
        <v>45714</v>
      </c>
      <c r="H4788" s="49">
        <v>45716</v>
      </c>
      <c r="I4788" s="49">
        <v>45717</v>
      </c>
      <c r="J4788" t="s">
        <v>47</v>
      </c>
      <c r="K4788" s="33">
        <v>3300</v>
      </c>
      <c r="M4788" t="str">
        <f>_xlfn.XLOOKUP(Pipeline_tbl[[#This Row],[Rep_ID]],Dim_Reps!A:A,Dim_Reps!K:K)</f>
        <v>MXN</v>
      </c>
      <c r="N4788" s="33">
        <f>(_xlfn.XLOOKUP(Pipeline_tbl[[#This Row],[Rate_Code_Generalized]],Lookups!A:A,Lookups!B:B))*Pipeline_tbl[[#This Row],[Pipeline_Amount_USD]]</f>
        <v>65117.91</v>
      </c>
      <c r="O4788" t="str">
        <f>_xlfn.XLOOKUP(Pipeline_tbl[[#This Row],[Rep_ID]],Dim_Reps!A:A,Dim_Reps!B:B)</f>
        <v>Casey Muller</v>
      </c>
      <c r="P4788" t="str">
        <f>_xlfn.XLOOKUP(Pipeline_tbl[[#This Row],[Rep_ID]],Dim_Reps!A:A,Dim_Reps!C:C)</f>
        <v>SDR / Inside Sales Rep</v>
      </c>
      <c r="Q4788" t="str">
        <f>_xlfn.XLOOKUP(Pipeline_tbl[[#This Row],[Rep_ID]],Dim_Reps!A:A,Dim_Reps!D:D)</f>
        <v>Inside Sales</v>
      </c>
      <c r="R4788" t="str">
        <f>_xlfn.XLOOKUP(Pipeline_tbl[[#This Row],[Rep_ID]],Dim_Reps!A:A,Dim_Reps!E:E)</f>
        <v>LATAM</v>
      </c>
      <c r="S4788" t="str">
        <f>_xlfn.XLOOKUP(Pipeline_tbl[[#This Row],[Created_Date]],Dim_Date!A:A,Dim_Date!H:H)</f>
        <v>Feb 2025</v>
      </c>
      <c r="T4788" t="str">
        <f>IF(Pipeline_tbl[[#This Row],[Closed_Date]]=0,"",(_xlfn.XLOOKUP(Pipeline_tbl[[#This Row],[Closed_Date]],Dim_Date!A:A,Dim_Date!H:H)))</f>
        <v>Mar 2025</v>
      </c>
      <c r="U4788">
        <f>IF(Pipeline_tbl[[#This Row],[Closed_Date]]=0,"",Pipeline_tbl[[#This Row],[Closed_Date]]-Pipeline_tbl[[#This Row],[Created_Date]])</f>
        <v>7</v>
      </c>
    </row>
    <row r="4789" spans="1:21" ht="15" customHeight="1" x14ac:dyDescent="0.2">
      <c r="A4789" t="s">
        <v>5095</v>
      </c>
      <c r="B4789" t="s">
        <v>221</v>
      </c>
      <c r="C4789" t="s">
        <v>52</v>
      </c>
      <c r="D4789" s="49">
        <v>45702</v>
      </c>
      <c r="E4789" s="49">
        <v>45704</v>
      </c>
      <c r="F4789" s="49">
        <v>45709</v>
      </c>
      <c r="G4789" s="49">
        <v>45716</v>
      </c>
      <c r="H4789" s="49">
        <v>45722</v>
      </c>
      <c r="I4789" s="49">
        <v>45726</v>
      </c>
      <c r="J4789" t="s">
        <v>47</v>
      </c>
      <c r="K4789" s="33">
        <v>4600</v>
      </c>
      <c r="M4789" t="str">
        <f>_xlfn.XLOOKUP(Pipeline_tbl[[#This Row],[Rep_ID]],Dim_Reps!A:A,Dim_Reps!K:K)</f>
        <v>MXN</v>
      </c>
      <c r="N4789" s="33">
        <f>(_xlfn.XLOOKUP(Pipeline_tbl[[#This Row],[Rate_Code_Generalized]],Lookups!A:A,Lookups!B:B))*Pipeline_tbl[[#This Row],[Pipeline_Amount_USD]]</f>
        <v>90770.420000000013</v>
      </c>
      <c r="O4789" t="str">
        <f>_xlfn.XLOOKUP(Pipeline_tbl[[#This Row],[Rep_ID]],Dim_Reps!A:A,Dim_Reps!B:B)</f>
        <v>Casey Muller</v>
      </c>
      <c r="P4789" t="str">
        <f>_xlfn.XLOOKUP(Pipeline_tbl[[#This Row],[Rep_ID]],Dim_Reps!A:A,Dim_Reps!C:C)</f>
        <v>SDR / Inside Sales Rep</v>
      </c>
      <c r="Q4789" t="str">
        <f>_xlfn.XLOOKUP(Pipeline_tbl[[#This Row],[Rep_ID]],Dim_Reps!A:A,Dim_Reps!D:D)</f>
        <v>Inside Sales</v>
      </c>
      <c r="R4789" t="str">
        <f>_xlfn.XLOOKUP(Pipeline_tbl[[#This Row],[Rep_ID]],Dim_Reps!A:A,Dim_Reps!E:E)</f>
        <v>LATAM</v>
      </c>
      <c r="S4789" t="str">
        <f>_xlfn.XLOOKUP(Pipeline_tbl[[#This Row],[Created_Date]],Dim_Date!A:A,Dim_Date!H:H)</f>
        <v>Feb 2025</v>
      </c>
      <c r="T4789" t="str">
        <f>IF(Pipeline_tbl[[#This Row],[Closed_Date]]=0,"",(_xlfn.XLOOKUP(Pipeline_tbl[[#This Row],[Closed_Date]],Dim_Date!A:A,Dim_Date!H:H)))</f>
        <v>Mar 2025</v>
      </c>
      <c r="U4789">
        <f>IF(Pipeline_tbl[[#This Row],[Closed_Date]]=0,"",Pipeline_tbl[[#This Row],[Closed_Date]]-Pipeline_tbl[[#This Row],[Created_Date]])</f>
        <v>24</v>
      </c>
    </row>
    <row r="4790" spans="1:21" ht="15" customHeight="1" x14ac:dyDescent="0.2">
      <c r="A4790" t="s">
        <v>5096</v>
      </c>
      <c r="B4790" t="s">
        <v>221</v>
      </c>
      <c r="C4790" t="s">
        <v>52</v>
      </c>
      <c r="D4790" s="49">
        <v>45708</v>
      </c>
      <c r="E4790" s="49">
        <v>45710</v>
      </c>
      <c r="F4790" s="49">
        <v>45713</v>
      </c>
      <c r="I4790" s="49">
        <v>45726</v>
      </c>
      <c r="J4790" t="s">
        <v>49</v>
      </c>
      <c r="K4790" s="33">
        <v>3300</v>
      </c>
      <c r="L4790" t="s">
        <v>61</v>
      </c>
      <c r="M4790" t="str">
        <f>_xlfn.XLOOKUP(Pipeline_tbl[[#This Row],[Rep_ID]],Dim_Reps!A:A,Dim_Reps!K:K)</f>
        <v>MXN</v>
      </c>
      <c r="N4790" s="33">
        <f>(_xlfn.XLOOKUP(Pipeline_tbl[[#This Row],[Rate_Code_Generalized]],Lookups!A:A,Lookups!B:B))*Pipeline_tbl[[#This Row],[Pipeline_Amount_USD]]</f>
        <v>65117.91</v>
      </c>
      <c r="O4790" t="str">
        <f>_xlfn.XLOOKUP(Pipeline_tbl[[#This Row],[Rep_ID]],Dim_Reps!A:A,Dim_Reps!B:B)</f>
        <v>Casey Muller</v>
      </c>
      <c r="P4790" t="str">
        <f>_xlfn.XLOOKUP(Pipeline_tbl[[#This Row],[Rep_ID]],Dim_Reps!A:A,Dim_Reps!C:C)</f>
        <v>SDR / Inside Sales Rep</v>
      </c>
      <c r="Q4790" t="str">
        <f>_xlfn.XLOOKUP(Pipeline_tbl[[#This Row],[Rep_ID]],Dim_Reps!A:A,Dim_Reps!D:D)</f>
        <v>Inside Sales</v>
      </c>
      <c r="R4790" t="str">
        <f>_xlfn.XLOOKUP(Pipeline_tbl[[#This Row],[Rep_ID]],Dim_Reps!A:A,Dim_Reps!E:E)</f>
        <v>LATAM</v>
      </c>
      <c r="S4790" t="str">
        <f>_xlfn.XLOOKUP(Pipeline_tbl[[#This Row],[Created_Date]],Dim_Date!A:A,Dim_Date!H:H)</f>
        <v>Feb 2025</v>
      </c>
      <c r="T4790" t="str">
        <f>IF(Pipeline_tbl[[#This Row],[Closed_Date]]=0,"",(_xlfn.XLOOKUP(Pipeline_tbl[[#This Row],[Closed_Date]],Dim_Date!A:A,Dim_Date!H:H)))</f>
        <v>Mar 2025</v>
      </c>
      <c r="U4790">
        <f>IF(Pipeline_tbl[[#This Row],[Closed_Date]]=0,"",Pipeline_tbl[[#This Row],[Closed_Date]]-Pipeline_tbl[[#This Row],[Created_Date]])</f>
        <v>18</v>
      </c>
    </row>
    <row r="4791" spans="1:21" ht="15" customHeight="1" x14ac:dyDescent="0.2">
      <c r="A4791" t="s">
        <v>5097</v>
      </c>
      <c r="B4791" t="s">
        <v>257</v>
      </c>
      <c r="C4791" t="s">
        <v>56</v>
      </c>
      <c r="D4791" s="49">
        <v>45690</v>
      </c>
      <c r="E4791" s="49">
        <v>45693</v>
      </c>
      <c r="F4791" s="49">
        <v>45698</v>
      </c>
      <c r="G4791" s="49">
        <v>45706</v>
      </c>
      <c r="H4791" s="49">
        <v>45713</v>
      </c>
      <c r="I4791" s="49">
        <v>45717</v>
      </c>
      <c r="J4791" t="s">
        <v>49</v>
      </c>
      <c r="K4791" s="33">
        <v>18100</v>
      </c>
      <c r="L4791" t="s">
        <v>64</v>
      </c>
      <c r="M4791" t="str">
        <f>_xlfn.XLOOKUP(Pipeline_tbl[[#This Row],[Rep_ID]],Dim_Reps!A:A,Dim_Reps!K:K)</f>
        <v>EUR</v>
      </c>
      <c r="N4791" s="33">
        <f>(_xlfn.XLOOKUP(Pipeline_tbl[[#This Row],[Rate_Code_Generalized]],Lookups!A:A,Lookups!B:B))*Pipeline_tbl[[#This Row],[Pipeline_Amount_USD]]</f>
        <v>18100</v>
      </c>
      <c r="O4791" t="str">
        <f>_xlfn.XLOOKUP(Pipeline_tbl[[#This Row],[Rep_ID]],Dim_Reps!A:A,Dim_Reps!B:B)</f>
        <v>Ana Kim</v>
      </c>
      <c r="P4791" t="str">
        <f>_xlfn.XLOOKUP(Pipeline_tbl[[#This Row],[Rep_ID]],Dim_Reps!A:A,Dim_Reps!C:C)</f>
        <v>Mid-Market AE</v>
      </c>
      <c r="Q4791" t="str">
        <f>_xlfn.XLOOKUP(Pipeline_tbl[[#This Row],[Rep_ID]],Dim_Reps!A:A,Dim_Reps!D:D)</f>
        <v>Mid-Market</v>
      </c>
      <c r="R4791" t="str">
        <f>_xlfn.XLOOKUP(Pipeline_tbl[[#This Row],[Rep_ID]],Dim_Reps!A:A,Dim_Reps!E:E)</f>
        <v>APAC</v>
      </c>
      <c r="S4791" t="str">
        <f>_xlfn.XLOOKUP(Pipeline_tbl[[#This Row],[Created_Date]],Dim_Date!A:A,Dim_Date!H:H)</f>
        <v>Feb 2025</v>
      </c>
      <c r="T4791" t="str">
        <f>IF(Pipeline_tbl[[#This Row],[Closed_Date]]=0,"",(_xlfn.XLOOKUP(Pipeline_tbl[[#This Row],[Closed_Date]],Dim_Date!A:A,Dim_Date!H:H)))</f>
        <v>Mar 2025</v>
      </c>
      <c r="U4791">
        <f>IF(Pipeline_tbl[[#This Row],[Closed_Date]]=0,"",Pipeline_tbl[[#This Row],[Closed_Date]]-Pipeline_tbl[[#This Row],[Created_Date]])</f>
        <v>27</v>
      </c>
    </row>
    <row r="4792" spans="1:21" ht="15" customHeight="1" x14ac:dyDescent="0.2">
      <c r="A4792" t="s">
        <v>5098</v>
      </c>
      <c r="B4792" t="s">
        <v>257</v>
      </c>
      <c r="C4792" t="s">
        <v>56</v>
      </c>
      <c r="D4792" s="49">
        <v>45700</v>
      </c>
      <c r="E4792" s="49">
        <v>45704</v>
      </c>
      <c r="F4792" s="49">
        <v>45712</v>
      </c>
      <c r="G4792" s="49">
        <v>45723</v>
      </c>
      <c r="H4792" s="49">
        <v>45733</v>
      </c>
      <c r="I4792" s="49">
        <v>45739</v>
      </c>
      <c r="J4792" t="s">
        <v>49</v>
      </c>
      <c r="K4792" s="33">
        <v>6600</v>
      </c>
      <c r="L4792" t="s">
        <v>62</v>
      </c>
      <c r="M4792" t="str">
        <f>_xlfn.XLOOKUP(Pipeline_tbl[[#This Row],[Rep_ID]],Dim_Reps!A:A,Dim_Reps!K:K)</f>
        <v>EUR</v>
      </c>
      <c r="N4792" s="33">
        <f>(_xlfn.XLOOKUP(Pipeline_tbl[[#This Row],[Rate_Code_Generalized]],Lookups!A:A,Lookups!B:B))*Pipeline_tbl[[#This Row],[Pipeline_Amount_USD]]</f>
        <v>6600</v>
      </c>
      <c r="O4792" t="str">
        <f>_xlfn.XLOOKUP(Pipeline_tbl[[#This Row],[Rep_ID]],Dim_Reps!A:A,Dim_Reps!B:B)</f>
        <v>Ana Kim</v>
      </c>
      <c r="P4792" t="str">
        <f>_xlfn.XLOOKUP(Pipeline_tbl[[#This Row],[Rep_ID]],Dim_Reps!A:A,Dim_Reps!C:C)</f>
        <v>Mid-Market AE</v>
      </c>
      <c r="Q4792" t="str">
        <f>_xlfn.XLOOKUP(Pipeline_tbl[[#This Row],[Rep_ID]],Dim_Reps!A:A,Dim_Reps!D:D)</f>
        <v>Mid-Market</v>
      </c>
      <c r="R4792" t="str">
        <f>_xlfn.XLOOKUP(Pipeline_tbl[[#This Row],[Rep_ID]],Dim_Reps!A:A,Dim_Reps!E:E)</f>
        <v>APAC</v>
      </c>
      <c r="S4792" t="str">
        <f>_xlfn.XLOOKUP(Pipeline_tbl[[#This Row],[Created_Date]],Dim_Date!A:A,Dim_Date!H:H)</f>
        <v>Feb 2025</v>
      </c>
      <c r="T4792" t="str">
        <f>IF(Pipeline_tbl[[#This Row],[Closed_Date]]=0,"",(_xlfn.XLOOKUP(Pipeline_tbl[[#This Row],[Closed_Date]],Dim_Date!A:A,Dim_Date!H:H)))</f>
        <v>Mar 2025</v>
      </c>
      <c r="U4792">
        <f>IF(Pipeline_tbl[[#This Row],[Closed_Date]]=0,"",Pipeline_tbl[[#This Row],[Closed_Date]]-Pipeline_tbl[[#This Row],[Created_Date]])</f>
        <v>39</v>
      </c>
    </row>
    <row r="4793" spans="1:21" ht="15" customHeight="1" x14ac:dyDescent="0.2">
      <c r="A4793" t="s">
        <v>5099</v>
      </c>
      <c r="B4793" t="s">
        <v>257</v>
      </c>
      <c r="C4793" t="s">
        <v>52</v>
      </c>
      <c r="D4793" s="49">
        <v>45709</v>
      </c>
      <c r="E4793" s="49">
        <v>45713</v>
      </c>
      <c r="F4793" s="49">
        <v>45720</v>
      </c>
      <c r="G4793" s="49">
        <v>45730</v>
      </c>
      <c r="I4793" s="49">
        <v>45744</v>
      </c>
      <c r="J4793" t="s">
        <v>49</v>
      </c>
      <c r="K4793" s="33">
        <v>5900</v>
      </c>
      <c r="L4793" t="s">
        <v>60</v>
      </c>
      <c r="M4793" t="str">
        <f>_xlfn.XLOOKUP(Pipeline_tbl[[#This Row],[Rep_ID]],Dim_Reps!A:A,Dim_Reps!K:K)</f>
        <v>EUR</v>
      </c>
      <c r="N4793" s="33">
        <f>(_xlfn.XLOOKUP(Pipeline_tbl[[#This Row],[Rate_Code_Generalized]],Lookups!A:A,Lookups!B:B))*Pipeline_tbl[[#This Row],[Pipeline_Amount_USD]]</f>
        <v>5900</v>
      </c>
      <c r="O4793" t="str">
        <f>_xlfn.XLOOKUP(Pipeline_tbl[[#This Row],[Rep_ID]],Dim_Reps!A:A,Dim_Reps!B:B)</f>
        <v>Ana Kim</v>
      </c>
      <c r="P4793" t="str">
        <f>_xlfn.XLOOKUP(Pipeline_tbl[[#This Row],[Rep_ID]],Dim_Reps!A:A,Dim_Reps!C:C)</f>
        <v>Mid-Market AE</v>
      </c>
      <c r="Q4793" t="str">
        <f>_xlfn.XLOOKUP(Pipeline_tbl[[#This Row],[Rep_ID]],Dim_Reps!A:A,Dim_Reps!D:D)</f>
        <v>Mid-Market</v>
      </c>
      <c r="R4793" t="str">
        <f>_xlfn.XLOOKUP(Pipeline_tbl[[#This Row],[Rep_ID]],Dim_Reps!A:A,Dim_Reps!E:E)</f>
        <v>APAC</v>
      </c>
      <c r="S4793" t="str">
        <f>_xlfn.XLOOKUP(Pipeline_tbl[[#This Row],[Created_Date]],Dim_Date!A:A,Dim_Date!H:H)</f>
        <v>Feb 2025</v>
      </c>
      <c r="T4793" t="str">
        <f>IF(Pipeline_tbl[[#This Row],[Closed_Date]]=0,"",(_xlfn.XLOOKUP(Pipeline_tbl[[#This Row],[Closed_Date]],Dim_Date!A:A,Dim_Date!H:H)))</f>
        <v>Mar 2025</v>
      </c>
      <c r="U4793">
        <f>IF(Pipeline_tbl[[#This Row],[Closed_Date]]=0,"",Pipeline_tbl[[#This Row],[Closed_Date]]-Pipeline_tbl[[#This Row],[Created_Date]])</f>
        <v>35</v>
      </c>
    </row>
    <row r="4794" spans="1:21" ht="15" customHeight="1" x14ac:dyDescent="0.2">
      <c r="A4794" t="s">
        <v>5100</v>
      </c>
      <c r="B4794" t="s">
        <v>257</v>
      </c>
      <c r="C4794" t="s">
        <v>52</v>
      </c>
      <c r="D4794" s="49">
        <v>45710</v>
      </c>
      <c r="E4794" s="49">
        <v>45713</v>
      </c>
      <c r="F4794" s="49">
        <v>45720</v>
      </c>
      <c r="G4794" s="49">
        <v>45730</v>
      </c>
      <c r="H4794" s="49">
        <v>45738</v>
      </c>
      <c r="I4794" s="49">
        <v>45743</v>
      </c>
      <c r="J4794" t="s">
        <v>47</v>
      </c>
      <c r="K4794" s="33">
        <v>15200</v>
      </c>
      <c r="M4794" t="str">
        <f>_xlfn.XLOOKUP(Pipeline_tbl[[#This Row],[Rep_ID]],Dim_Reps!A:A,Dim_Reps!K:K)</f>
        <v>EUR</v>
      </c>
      <c r="N4794" s="33">
        <f>(_xlfn.XLOOKUP(Pipeline_tbl[[#This Row],[Rate_Code_Generalized]],Lookups!A:A,Lookups!B:B))*Pipeline_tbl[[#This Row],[Pipeline_Amount_USD]]</f>
        <v>15200</v>
      </c>
      <c r="O4794" t="str">
        <f>_xlfn.XLOOKUP(Pipeline_tbl[[#This Row],[Rep_ID]],Dim_Reps!A:A,Dim_Reps!B:B)</f>
        <v>Ana Kim</v>
      </c>
      <c r="P4794" t="str">
        <f>_xlfn.XLOOKUP(Pipeline_tbl[[#This Row],[Rep_ID]],Dim_Reps!A:A,Dim_Reps!C:C)</f>
        <v>Mid-Market AE</v>
      </c>
      <c r="Q4794" t="str">
        <f>_xlfn.XLOOKUP(Pipeline_tbl[[#This Row],[Rep_ID]],Dim_Reps!A:A,Dim_Reps!D:D)</f>
        <v>Mid-Market</v>
      </c>
      <c r="R4794" t="str">
        <f>_xlfn.XLOOKUP(Pipeline_tbl[[#This Row],[Rep_ID]],Dim_Reps!A:A,Dim_Reps!E:E)</f>
        <v>APAC</v>
      </c>
      <c r="S4794" t="str">
        <f>_xlfn.XLOOKUP(Pipeline_tbl[[#This Row],[Created_Date]],Dim_Date!A:A,Dim_Date!H:H)</f>
        <v>Feb 2025</v>
      </c>
      <c r="T4794" t="str">
        <f>IF(Pipeline_tbl[[#This Row],[Closed_Date]]=0,"",(_xlfn.XLOOKUP(Pipeline_tbl[[#This Row],[Closed_Date]],Dim_Date!A:A,Dim_Date!H:H)))</f>
        <v>Mar 2025</v>
      </c>
      <c r="U4794">
        <f>IF(Pipeline_tbl[[#This Row],[Closed_Date]]=0,"",Pipeline_tbl[[#This Row],[Closed_Date]]-Pipeline_tbl[[#This Row],[Created_Date]])</f>
        <v>33</v>
      </c>
    </row>
    <row r="4795" spans="1:21" ht="15" customHeight="1" x14ac:dyDescent="0.2">
      <c r="A4795" t="s">
        <v>5101</v>
      </c>
      <c r="B4795" t="s">
        <v>259</v>
      </c>
      <c r="C4795" t="s">
        <v>53</v>
      </c>
      <c r="D4795" s="49">
        <v>45715</v>
      </c>
      <c r="E4795" s="49">
        <v>45716</v>
      </c>
      <c r="F4795" s="49">
        <v>45719</v>
      </c>
      <c r="G4795" s="49">
        <v>45722</v>
      </c>
      <c r="H4795" s="49">
        <v>45725</v>
      </c>
      <c r="I4795" s="49">
        <v>45727</v>
      </c>
      <c r="J4795" t="s">
        <v>49</v>
      </c>
      <c r="K4795" s="33">
        <v>4700</v>
      </c>
      <c r="L4795" t="s">
        <v>63</v>
      </c>
      <c r="M4795" t="str">
        <f>_xlfn.XLOOKUP(Pipeline_tbl[[#This Row],[Rep_ID]],Dim_Reps!A:A,Dim_Reps!K:K)</f>
        <v>EUR</v>
      </c>
      <c r="N4795" s="33">
        <f>(_xlfn.XLOOKUP(Pipeline_tbl[[#This Row],[Rate_Code_Generalized]],Lookups!A:A,Lookups!B:B))*Pipeline_tbl[[#This Row],[Pipeline_Amount_USD]]</f>
        <v>4700</v>
      </c>
      <c r="O4795" t="str">
        <f>_xlfn.XLOOKUP(Pipeline_tbl[[#This Row],[Rep_ID]],Dim_Reps!A:A,Dim_Reps!B:B)</f>
        <v>Felix Okafor</v>
      </c>
      <c r="P4795" t="str">
        <f>_xlfn.XLOOKUP(Pipeline_tbl[[#This Row],[Rep_ID]],Dim_Reps!A:A,Dim_Reps!C:C)</f>
        <v>Mid-Market AE</v>
      </c>
      <c r="Q4795" t="str">
        <f>_xlfn.XLOOKUP(Pipeline_tbl[[#This Row],[Rep_ID]],Dim_Reps!A:A,Dim_Reps!D:D)</f>
        <v>Mid-Market</v>
      </c>
      <c r="R4795" t="str">
        <f>_xlfn.XLOOKUP(Pipeline_tbl[[#This Row],[Rep_ID]],Dim_Reps!A:A,Dim_Reps!E:E)</f>
        <v>EMEA</v>
      </c>
      <c r="S4795" t="str">
        <f>_xlfn.XLOOKUP(Pipeline_tbl[[#This Row],[Created_Date]],Dim_Date!A:A,Dim_Date!H:H)</f>
        <v>Feb 2025</v>
      </c>
      <c r="T4795" t="str">
        <f>IF(Pipeline_tbl[[#This Row],[Closed_Date]]=0,"",(_xlfn.XLOOKUP(Pipeline_tbl[[#This Row],[Closed_Date]],Dim_Date!A:A,Dim_Date!H:H)))</f>
        <v>Mar 2025</v>
      </c>
      <c r="U4795">
        <f>IF(Pipeline_tbl[[#This Row],[Closed_Date]]=0,"",Pipeline_tbl[[#This Row],[Closed_Date]]-Pipeline_tbl[[#This Row],[Created_Date]])</f>
        <v>12</v>
      </c>
    </row>
    <row r="4796" spans="1:21" ht="15" customHeight="1" x14ac:dyDescent="0.2">
      <c r="A4796" t="s">
        <v>5102</v>
      </c>
      <c r="B4796" t="s">
        <v>259</v>
      </c>
      <c r="C4796" t="s">
        <v>52</v>
      </c>
      <c r="D4796" s="49">
        <v>45696</v>
      </c>
      <c r="E4796" s="49">
        <v>45699</v>
      </c>
      <c r="F4796" s="49">
        <v>45704</v>
      </c>
      <c r="G4796" s="49">
        <v>45713</v>
      </c>
      <c r="H4796" s="49">
        <v>45720</v>
      </c>
      <c r="I4796" s="49">
        <v>45724</v>
      </c>
      <c r="J4796" t="s">
        <v>49</v>
      </c>
      <c r="K4796" s="33">
        <v>10900</v>
      </c>
      <c r="L4796" t="s">
        <v>62</v>
      </c>
      <c r="M4796" t="str">
        <f>_xlfn.XLOOKUP(Pipeline_tbl[[#This Row],[Rep_ID]],Dim_Reps!A:A,Dim_Reps!K:K)</f>
        <v>EUR</v>
      </c>
      <c r="N4796" s="33">
        <f>(_xlfn.XLOOKUP(Pipeline_tbl[[#This Row],[Rate_Code_Generalized]],Lookups!A:A,Lookups!B:B))*Pipeline_tbl[[#This Row],[Pipeline_Amount_USD]]</f>
        <v>10900</v>
      </c>
      <c r="O4796" t="str">
        <f>_xlfn.XLOOKUP(Pipeline_tbl[[#This Row],[Rep_ID]],Dim_Reps!A:A,Dim_Reps!B:B)</f>
        <v>Felix Okafor</v>
      </c>
      <c r="P4796" t="str">
        <f>_xlfn.XLOOKUP(Pipeline_tbl[[#This Row],[Rep_ID]],Dim_Reps!A:A,Dim_Reps!C:C)</f>
        <v>Mid-Market AE</v>
      </c>
      <c r="Q4796" t="str">
        <f>_xlfn.XLOOKUP(Pipeline_tbl[[#This Row],[Rep_ID]],Dim_Reps!A:A,Dim_Reps!D:D)</f>
        <v>Mid-Market</v>
      </c>
      <c r="R4796" t="str">
        <f>_xlfn.XLOOKUP(Pipeline_tbl[[#This Row],[Rep_ID]],Dim_Reps!A:A,Dim_Reps!E:E)</f>
        <v>EMEA</v>
      </c>
      <c r="S4796" t="str">
        <f>_xlfn.XLOOKUP(Pipeline_tbl[[#This Row],[Created_Date]],Dim_Date!A:A,Dim_Date!H:H)</f>
        <v>Feb 2025</v>
      </c>
      <c r="T4796" t="str">
        <f>IF(Pipeline_tbl[[#This Row],[Closed_Date]]=0,"",(_xlfn.XLOOKUP(Pipeline_tbl[[#This Row],[Closed_Date]],Dim_Date!A:A,Dim_Date!H:H)))</f>
        <v>Mar 2025</v>
      </c>
      <c r="U4796">
        <f>IF(Pipeline_tbl[[#This Row],[Closed_Date]]=0,"",Pipeline_tbl[[#This Row],[Closed_Date]]-Pipeline_tbl[[#This Row],[Created_Date]])</f>
        <v>28</v>
      </c>
    </row>
    <row r="4797" spans="1:21" ht="15" customHeight="1" x14ac:dyDescent="0.2">
      <c r="A4797" t="s">
        <v>5103</v>
      </c>
      <c r="B4797" t="s">
        <v>259</v>
      </c>
      <c r="C4797" t="s">
        <v>53</v>
      </c>
      <c r="D4797" s="49">
        <v>45706</v>
      </c>
      <c r="E4797" s="49">
        <v>45710</v>
      </c>
      <c r="F4797" s="49">
        <v>45717</v>
      </c>
      <c r="G4797" s="49">
        <v>45727</v>
      </c>
      <c r="I4797" s="49">
        <v>45741</v>
      </c>
      <c r="J4797" t="s">
        <v>49</v>
      </c>
      <c r="K4797" s="33">
        <v>15900</v>
      </c>
      <c r="L4797" t="s">
        <v>64</v>
      </c>
      <c r="M4797" t="str">
        <f>_xlfn.XLOOKUP(Pipeline_tbl[[#This Row],[Rep_ID]],Dim_Reps!A:A,Dim_Reps!K:K)</f>
        <v>EUR</v>
      </c>
      <c r="N4797" s="33">
        <f>(_xlfn.XLOOKUP(Pipeline_tbl[[#This Row],[Rate_Code_Generalized]],Lookups!A:A,Lookups!B:B))*Pipeline_tbl[[#This Row],[Pipeline_Amount_USD]]</f>
        <v>15900</v>
      </c>
      <c r="O4797" t="str">
        <f>_xlfn.XLOOKUP(Pipeline_tbl[[#This Row],[Rep_ID]],Dim_Reps!A:A,Dim_Reps!B:B)</f>
        <v>Felix Okafor</v>
      </c>
      <c r="P4797" t="str">
        <f>_xlfn.XLOOKUP(Pipeline_tbl[[#This Row],[Rep_ID]],Dim_Reps!A:A,Dim_Reps!C:C)</f>
        <v>Mid-Market AE</v>
      </c>
      <c r="Q4797" t="str">
        <f>_xlfn.XLOOKUP(Pipeline_tbl[[#This Row],[Rep_ID]],Dim_Reps!A:A,Dim_Reps!D:D)</f>
        <v>Mid-Market</v>
      </c>
      <c r="R4797" t="str">
        <f>_xlfn.XLOOKUP(Pipeline_tbl[[#This Row],[Rep_ID]],Dim_Reps!A:A,Dim_Reps!E:E)</f>
        <v>EMEA</v>
      </c>
      <c r="S4797" t="str">
        <f>_xlfn.XLOOKUP(Pipeline_tbl[[#This Row],[Created_Date]],Dim_Date!A:A,Dim_Date!H:H)</f>
        <v>Feb 2025</v>
      </c>
      <c r="T4797" t="str">
        <f>IF(Pipeline_tbl[[#This Row],[Closed_Date]]=0,"",(_xlfn.XLOOKUP(Pipeline_tbl[[#This Row],[Closed_Date]],Dim_Date!A:A,Dim_Date!H:H)))</f>
        <v>Mar 2025</v>
      </c>
      <c r="U4797">
        <f>IF(Pipeline_tbl[[#This Row],[Closed_Date]]=0,"",Pipeline_tbl[[#This Row],[Closed_Date]]-Pipeline_tbl[[#This Row],[Created_Date]])</f>
        <v>35</v>
      </c>
    </row>
    <row r="4798" spans="1:21" ht="15" customHeight="1" x14ac:dyDescent="0.2">
      <c r="A4798" t="s">
        <v>5104</v>
      </c>
      <c r="B4798" t="s">
        <v>259</v>
      </c>
      <c r="C4798" t="s">
        <v>52</v>
      </c>
      <c r="D4798" s="49">
        <v>45709</v>
      </c>
      <c r="E4798" s="49">
        <v>45712</v>
      </c>
      <c r="F4798" s="49">
        <v>45718</v>
      </c>
      <c r="G4798" s="49">
        <v>45728</v>
      </c>
      <c r="I4798" s="49">
        <v>45740</v>
      </c>
      <c r="J4798" t="s">
        <v>49</v>
      </c>
      <c r="K4798" s="33">
        <v>10200</v>
      </c>
      <c r="L4798" t="s">
        <v>60</v>
      </c>
      <c r="M4798" t="str">
        <f>_xlfn.XLOOKUP(Pipeline_tbl[[#This Row],[Rep_ID]],Dim_Reps!A:A,Dim_Reps!K:K)</f>
        <v>EUR</v>
      </c>
      <c r="N4798" s="33">
        <f>(_xlfn.XLOOKUP(Pipeline_tbl[[#This Row],[Rate_Code_Generalized]],Lookups!A:A,Lookups!B:B))*Pipeline_tbl[[#This Row],[Pipeline_Amount_USD]]</f>
        <v>10200</v>
      </c>
      <c r="O4798" t="str">
        <f>_xlfn.XLOOKUP(Pipeline_tbl[[#This Row],[Rep_ID]],Dim_Reps!A:A,Dim_Reps!B:B)</f>
        <v>Felix Okafor</v>
      </c>
      <c r="P4798" t="str">
        <f>_xlfn.XLOOKUP(Pipeline_tbl[[#This Row],[Rep_ID]],Dim_Reps!A:A,Dim_Reps!C:C)</f>
        <v>Mid-Market AE</v>
      </c>
      <c r="Q4798" t="str">
        <f>_xlfn.XLOOKUP(Pipeline_tbl[[#This Row],[Rep_ID]],Dim_Reps!A:A,Dim_Reps!D:D)</f>
        <v>Mid-Market</v>
      </c>
      <c r="R4798" t="str">
        <f>_xlfn.XLOOKUP(Pipeline_tbl[[#This Row],[Rep_ID]],Dim_Reps!A:A,Dim_Reps!E:E)</f>
        <v>EMEA</v>
      </c>
      <c r="S4798" t="str">
        <f>_xlfn.XLOOKUP(Pipeline_tbl[[#This Row],[Created_Date]],Dim_Date!A:A,Dim_Date!H:H)</f>
        <v>Feb 2025</v>
      </c>
      <c r="T4798" t="str">
        <f>IF(Pipeline_tbl[[#This Row],[Closed_Date]]=0,"",(_xlfn.XLOOKUP(Pipeline_tbl[[#This Row],[Closed_Date]],Dim_Date!A:A,Dim_Date!H:H)))</f>
        <v>Mar 2025</v>
      </c>
      <c r="U4798">
        <f>IF(Pipeline_tbl[[#This Row],[Closed_Date]]=0,"",Pipeline_tbl[[#This Row],[Closed_Date]]-Pipeline_tbl[[#This Row],[Created_Date]])</f>
        <v>31</v>
      </c>
    </row>
    <row r="4799" spans="1:21" ht="15" customHeight="1" x14ac:dyDescent="0.2">
      <c r="A4799" t="s">
        <v>5105</v>
      </c>
      <c r="B4799" t="s">
        <v>223</v>
      </c>
      <c r="C4799" t="s">
        <v>53</v>
      </c>
      <c r="D4799" s="49">
        <v>45706</v>
      </c>
      <c r="E4799" s="49">
        <v>45708</v>
      </c>
      <c r="F4799" s="49">
        <v>45712</v>
      </c>
      <c r="G4799" s="49">
        <v>45718</v>
      </c>
      <c r="H4799" s="49">
        <v>45723</v>
      </c>
      <c r="I4799" s="49">
        <v>45726</v>
      </c>
      <c r="J4799" t="s">
        <v>47</v>
      </c>
      <c r="K4799" s="33">
        <v>3700</v>
      </c>
      <c r="M4799" t="str">
        <f>_xlfn.XLOOKUP(Pipeline_tbl[[#This Row],[Rep_ID]],Dim_Reps!A:A,Dim_Reps!K:K)</f>
        <v>MXN</v>
      </c>
      <c r="N4799" s="33">
        <f>(_xlfn.XLOOKUP(Pipeline_tbl[[#This Row],[Rate_Code_Generalized]],Lookups!A:A,Lookups!B:B))*Pipeline_tbl[[#This Row],[Pipeline_Amount_USD]]</f>
        <v>73010.990000000005</v>
      </c>
      <c r="O4799" t="str">
        <f>_xlfn.XLOOKUP(Pipeline_tbl[[#This Row],[Rep_ID]],Dim_Reps!A:A,Dim_Reps!B:B)</f>
        <v>Lea Petrov</v>
      </c>
      <c r="P4799" t="str">
        <f>_xlfn.XLOOKUP(Pipeline_tbl[[#This Row],[Rep_ID]],Dim_Reps!A:A,Dim_Reps!C:C)</f>
        <v>SDR / Inside Sales Rep</v>
      </c>
      <c r="Q4799" t="str">
        <f>_xlfn.XLOOKUP(Pipeline_tbl[[#This Row],[Rep_ID]],Dim_Reps!A:A,Dim_Reps!D:D)</f>
        <v>Inside Sales</v>
      </c>
      <c r="R4799" t="str">
        <f>_xlfn.XLOOKUP(Pipeline_tbl[[#This Row],[Rep_ID]],Dim_Reps!A:A,Dim_Reps!E:E)</f>
        <v>LATAM</v>
      </c>
      <c r="S4799" t="str">
        <f>_xlfn.XLOOKUP(Pipeline_tbl[[#This Row],[Created_Date]],Dim_Date!A:A,Dim_Date!H:H)</f>
        <v>Feb 2025</v>
      </c>
      <c r="T4799" t="str">
        <f>IF(Pipeline_tbl[[#This Row],[Closed_Date]]=0,"",(_xlfn.XLOOKUP(Pipeline_tbl[[#This Row],[Closed_Date]],Dim_Date!A:A,Dim_Date!H:H)))</f>
        <v>Mar 2025</v>
      </c>
      <c r="U4799">
        <f>IF(Pipeline_tbl[[#This Row],[Closed_Date]]=0,"",Pipeline_tbl[[#This Row],[Closed_Date]]-Pipeline_tbl[[#This Row],[Created_Date]])</f>
        <v>20</v>
      </c>
    </row>
    <row r="4800" spans="1:21" ht="15" customHeight="1" x14ac:dyDescent="0.2">
      <c r="A4800" t="s">
        <v>5106</v>
      </c>
      <c r="B4800" t="s">
        <v>223</v>
      </c>
      <c r="C4800" t="s">
        <v>53</v>
      </c>
      <c r="D4800" s="49">
        <v>45698</v>
      </c>
      <c r="E4800" s="49">
        <v>45701</v>
      </c>
      <c r="F4800" s="49">
        <v>45706</v>
      </c>
      <c r="G4800" s="49">
        <v>45714</v>
      </c>
      <c r="H4800" s="49">
        <v>45721</v>
      </c>
      <c r="I4800" s="49">
        <v>45725</v>
      </c>
      <c r="J4800" t="s">
        <v>47</v>
      </c>
      <c r="K4800" s="33">
        <v>6300</v>
      </c>
      <c r="M4800" t="str">
        <f>_xlfn.XLOOKUP(Pipeline_tbl[[#This Row],[Rep_ID]],Dim_Reps!A:A,Dim_Reps!K:K)</f>
        <v>MXN</v>
      </c>
      <c r="N4800" s="33">
        <f>(_xlfn.XLOOKUP(Pipeline_tbl[[#This Row],[Rate_Code_Generalized]],Lookups!A:A,Lookups!B:B))*Pipeline_tbl[[#This Row],[Pipeline_Amount_USD]]</f>
        <v>124316.01000000001</v>
      </c>
      <c r="O4800" t="str">
        <f>_xlfn.XLOOKUP(Pipeline_tbl[[#This Row],[Rep_ID]],Dim_Reps!A:A,Dim_Reps!B:B)</f>
        <v>Lea Petrov</v>
      </c>
      <c r="P4800" t="str">
        <f>_xlfn.XLOOKUP(Pipeline_tbl[[#This Row],[Rep_ID]],Dim_Reps!A:A,Dim_Reps!C:C)</f>
        <v>SDR / Inside Sales Rep</v>
      </c>
      <c r="Q4800" t="str">
        <f>_xlfn.XLOOKUP(Pipeline_tbl[[#This Row],[Rep_ID]],Dim_Reps!A:A,Dim_Reps!D:D)</f>
        <v>Inside Sales</v>
      </c>
      <c r="R4800" t="str">
        <f>_xlfn.XLOOKUP(Pipeline_tbl[[#This Row],[Rep_ID]],Dim_Reps!A:A,Dim_Reps!E:E)</f>
        <v>LATAM</v>
      </c>
      <c r="S4800" t="str">
        <f>_xlfn.XLOOKUP(Pipeline_tbl[[#This Row],[Created_Date]],Dim_Date!A:A,Dim_Date!H:H)</f>
        <v>Feb 2025</v>
      </c>
      <c r="T4800" t="str">
        <f>IF(Pipeline_tbl[[#This Row],[Closed_Date]]=0,"",(_xlfn.XLOOKUP(Pipeline_tbl[[#This Row],[Closed_Date]],Dim_Date!A:A,Dim_Date!H:H)))</f>
        <v>Mar 2025</v>
      </c>
      <c r="U4800">
        <f>IF(Pipeline_tbl[[#This Row],[Closed_Date]]=0,"",Pipeline_tbl[[#This Row],[Closed_Date]]-Pipeline_tbl[[#This Row],[Created_Date]])</f>
        <v>27</v>
      </c>
    </row>
    <row r="4801" spans="1:21" ht="15" customHeight="1" x14ac:dyDescent="0.2">
      <c r="A4801" t="s">
        <v>5107</v>
      </c>
      <c r="B4801" t="s">
        <v>223</v>
      </c>
      <c r="C4801" t="s">
        <v>56</v>
      </c>
      <c r="D4801" s="49">
        <v>45705</v>
      </c>
      <c r="E4801" s="49">
        <v>45707</v>
      </c>
      <c r="F4801" s="49">
        <v>45710</v>
      </c>
      <c r="G4801" s="49">
        <v>45714</v>
      </c>
      <c r="H4801" s="49">
        <v>45718</v>
      </c>
      <c r="I4801" s="49">
        <v>45720</v>
      </c>
      <c r="J4801" t="s">
        <v>47</v>
      </c>
      <c r="K4801" s="33">
        <v>3900</v>
      </c>
      <c r="M4801" t="str">
        <f>_xlfn.XLOOKUP(Pipeline_tbl[[#This Row],[Rep_ID]],Dim_Reps!A:A,Dim_Reps!K:K)</f>
        <v>MXN</v>
      </c>
      <c r="N4801" s="33">
        <f>(_xlfn.XLOOKUP(Pipeline_tbl[[#This Row],[Rate_Code_Generalized]],Lookups!A:A,Lookups!B:B))*Pipeline_tbl[[#This Row],[Pipeline_Amount_USD]]</f>
        <v>76957.53</v>
      </c>
      <c r="O4801" t="str">
        <f>_xlfn.XLOOKUP(Pipeline_tbl[[#This Row],[Rep_ID]],Dim_Reps!A:A,Dim_Reps!B:B)</f>
        <v>Lea Petrov</v>
      </c>
      <c r="P4801" t="str">
        <f>_xlfn.XLOOKUP(Pipeline_tbl[[#This Row],[Rep_ID]],Dim_Reps!A:A,Dim_Reps!C:C)</f>
        <v>SDR / Inside Sales Rep</v>
      </c>
      <c r="Q4801" t="str">
        <f>_xlfn.XLOOKUP(Pipeline_tbl[[#This Row],[Rep_ID]],Dim_Reps!A:A,Dim_Reps!D:D)</f>
        <v>Inside Sales</v>
      </c>
      <c r="R4801" t="str">
        <f>_xlfn.XLOOKUP(Pipeline_tbl[[#This Row],[Rep_ID]],Dim_Reps!A:A,Dim_Reps!E:E)</f>
        <v>LATAM</v>
      </c>
      <c r="S4801" t="str">
        <f>_xlfn.XLOOKUP(Pipeline_tbl[[#This Row],[Created_Date]],Dim_Date!A:A,Dim_Date!H:H)</f>
        <v>Feb 2025</v>
      </c>
      <c r="T4801" t="str">
        <f>IF(Pipeline_tbl[[#This Row],[Closed_Date]]=0,"",(_xlfn.XLOOKUP(Pipeline_tbl[[#This Row],[Closed_Date]],Dim_Date!A:A,Dim_Date!H:H)))</f>
        <v>Mar 2025</v>
      </c>
      <c r="U4801">
        <f>IF(Pipeline_tbl[[#This Row],[Closed_Date]]=0,"",Pipeline_tbl[[#This Row],[Closed_Date]]-Pipeline_tbl[[#This Row],[Created_Date]])</f>
        <v>15</v>
      </c>
    </row>
    <row r="4802" spans="1:21" ht="15" customHeight="1" x14ac:dyDescent="0.2">
      <c r="A4802" t="s">
        <v>5108</v>
      </c>
      <c r="B4802" t="s">
        <v>225</v>
      </c>
      <c r="C4802" t="s">
        <v>52</v>
      </c>
      <c r="D4802" s="49">
        <v>45700</v>
      </c>
      <c r="E4802" s="49">
        <v>45702</v>
      </c>
      <c r="I4802" s="49">
        <v>45720</v>
      </c>
      <c r="J4802" t="s">
        <v>49</v>
      </c>
      <c r="K4802" s="33">
        <v>2300</v>
      </c>
      <c r="L4802" t="s">
        <v>63</v>
      </c>
      <c r="M4802" t="str">
        <f>_xlfn.XLOOKUP(Pipeline_tbl[[#This Row],[Rep_ID]],Dim_Reps!A:A,Dim_Reps!K:K)</f>
        <v>USD</v>
      </c>
      <c r="N4802" s="33">
        <f>(_xlfn.XLOOKUP(Pipeline_tbl[[#This Row],[Rate_Code_Generalized]],Lookups!A:A,Lookups!B:B))*Pipeline_tbl[[#This Row],[Pipeline_Amount_USD]]</f>
        <v>2677.89</v>
      </c>
      <c r="O4802" t="str">
        <f>_xlfn.XLOOKUP(Pipeline_tbl[[#This Row],[Rep_ID]],Dim_Reps!A:A,Dim_Reps!B:B)</f>
        <v>Alex Muller</v>
      </c>
      <c r="P4802" t="str">
        <f>_xlfn.XLOOKUP(Pipeline_tbl[[#This Row],[Rep_ID]],Dim_Reps!A:A,Dim_Reps!C:C)</f>
        <v>SDR / Inside Sales Rep</v>
      </c>
      <c r="Q4802" t="str">
        <f>_xlfn.XLOOKUP(Pipeline_tbl[[#This Row],[Rep_ID]],Dim_Reps!A:A,Dim_Reps!D:D)</f>
        <v>Inside Sales</v>
      </c>
      <c r="R4802" t="str">
        <f>_xlfn.XLOOKUP(Pipeline_tbl[[#This Row],[Rep_ID]],Dim_Reps!A:A,Dim_Reps!E:E)</f>
        <v>NAMER</v>
      </c>
      <c r="S4802" t="str">
        <f>_xlfn.XLOOKUP(Pipeline_tbl[[#This Row],[Created_Date]],Dim_Date!A:A,Dim_Date!H:H)</f>
        <v>Feb 2025</v>
      </c>
      <c r="T4802" t="str">
        <f>IF(Pipeline_tbl[[#This Row],[Closed_Date]]=0,"",(_xlfn.XLOOKUP(Pipeline_tbl[[#This Row],[Closed_Date]],Dim_Date!A:A,Dim_Date!H:H)))</f>
        <v>Mar 2025</v>
      </c>
      <c r="U4802">
        <f>IF(Pipeline_tbl[[#This Row],[Closed_Date]]=0,"",Pipeline_tbl[[#This Row],[Closed_Date]]-Pipeline_tbl[[#This Row],[Created_Date]])</f>
        <v>20</v>
      </c>
    </row>
    <row r="4803" spans="1:21" ht="15" customHeight="1" x14ac:dyDescent="0.2">
      <c r="A4803" t="s">
        <v>5109</v>
      </c>
      <c r="B4803" t="s">
        <v>225</v>
      </c>
      <c r="C4803" t="s">
        <v>54</v>
      </c>
      <c r="D4803" s="49">
        <v>45696</v>
      </c>
      <c r="E4803" s="49">
        <v>45698</v>
      </c>
      <c r="F4803" s="49">
        <v>45703</v>
      </c>
      <c r="G4803" s="49">
        <v>45710</v>
      </c>
      <c r="H4803" s="49">
        <v>45716</v>
      </c>
      <c r="I4803" s="49">
        <v>45719</v>
      </c>
      <c r="J4803" t="s">
        <v>49</v>
      </c>
      <c r="K4803" s="33">
        <v>3700</v>
      </c>
      <c r="L4803" t="s">
        <v>60</v>
      </c>
      <c r="M4803" t="str">
        <f>_xlfn.XLOOKUP(Pipeline_tbl[[#This Row],[Rep_ID]],Dim_Reps!A:A,Dim_Reps!K:K)</f>
        <v>USD</v>
      </c>
      <c r="N4803" s="33">
        <f>(_xlfn.XLOOKUP(Pipeline_tbl[[#This Row],[Rate_Code_Generalized]],Lookups!A:A,Lookups!B:B))*Pipeline_tbl[[#This Row],[Pipeline_Amount_USD]]</f>
        <v>4307.91</v>
      </c>
      <c r="O4803" t="str">
        <f>_xlfn.XLOOKUP(Pipeline_tbl[[#This Row],[Rep_ID]],Dim_Reps!A:A,Dim_Reps!B:B)</f>
        <v>Alex Muller</v>
      </c>
      <c r="P4803" t="str">
        <f>_xlfn.XLOOKUP(Pipeline_tbl[[#This Row],[Rep_ID]],Dim_Reps!A:A,Dim_Reps!C:C)</f>
        <v>SDR / Inside Sales Rep</v>
      </c>
      <c r="Q4803" t="str">
        <f>_xlfn.XLOOKUP(Pipeline_tbl[[#This Row],[Rep_ID]],Dim_Reps!A:A,Dim_Reps!D:D)</f>
        <v>Inside Sales</v>
      </c>
      <c r="R4803" t="str">
        <f>_xlfn.XLOOKUP(Pipeline_tbl[[#This Row],[Rep_ID]],Dim_Reps!A:A,Dim_Reps!E:E)</f>
        <v>NAMER</v>
      </c>
      <c r="S4803" t="str">
        <f>_xlfn.XLOOKUP(Pipeline_tbl[[#This Row],[Created_Date]],Dim_Date!A:A,Dim_Date!H:H)</f>
        <v>Feb 2025</v>
      </c>
      <c r="T4803" t="str">
        <f>IF(Pipeline_tbl[[#This Row],[Closed_Date]]=0,"",(_xlfn.XLOOKUP(Pipeline_tbl[[#This Row],[Closed_Date]],Dim_Date!A:A,Dim_Date!H:H)))</f>
        <v>Mar 2025</v>
      </c>
      <c r="U4803">
        <f>IF(Pipeline_tbl[[#This Row],[Closed_Date]]=0,"",Pipeline_tbl[[#This Row],[Closed_Date]]-Pipeline_tbl[[#This Row],[Created_Date]])</f>
        <v>23</v>
      </c>
    </row>
    <row r="4804" spans="1:21" ht="15" customHeight="1" x14ac:dyDescent="0.2">
      <c r="A4804" t="s">
        <v>5110</v>
      </c>
      <c r="B4804" t="s">
        <v>225</v>
      </c>
      <c r="C4804" t="s">
        <v>52</v>
      </c>
      <c r="D4804" s="49">
        <v>45712</v>
      </c>
      <c r="E4804" s="49">
        <v>45714</v>
      </c>
      <c r="F4804" s="49">
        <v>45719</v>
      </c>
      <c r="G4804" s="49">
        <v>45725</v>
      </c>
      <c r="H4804" s="49">
        <v>45731</v>
      </c>
      <c r="I4804" s="49">
        <v>45734</v>
      </c>
      <c r="J4804" t="s">
        <v>47</v>
      </c>
      <c r="K4804" s="33">
        <v>4100</v>
      </c>
      <c r="M4804" t="str">
        <f>_xlfn.XLOOKUP(Pipeline_tbl[[#This Row],[Rep_ID]],Dim_Reps!A:A,Dim_Reps!K:K)</f>
        <v>USD</v>
      </c>
      <c r="N4804" s="33">
        <f>(_xlfn.XLOOKUP(Pipeline_tbl[[#This Row],[Rate_Code_Generalized]],Lookups!A:A,Lookups!B:B))*Pipeline_tbl[[#This Row],[Pipeline_Amount_USD]]</f>
        <v>4773.6299999999992</v>
      </c>
      <c r="O4804" t="str">
        <f>_xlfn.XLOOKUP(Pipeline_tbl[[#This Row],[Rep_ID]],Dim_Reps!A:A,Dim_Reps!B:B)</f>
        <v>Alex Muller</v>
      </c>
      <c r="P4804" t="str">
        <f>_xlfn.XLOOKUP(Pipeline_tbl[[#This Row],[Rep_ID]],Dim_Reps!A:A,Dim_Reps!C:C)</f>
        <v>SDR / Inside Sales Rep</v>
      </c>
      <c r="Q4804" t="str">
        <f>_xlfn.XLOOKUP(Pipeline_tbl[[#This Row],[Rep_ID]],Dim_Reps!A:A,Dim_Reps!D:D)</f>
        <v>Inside Sales</v>
      </c>
      <c r="R4804" t="str">
        <f>_xlfn.XLOOKUP(Pipeline_tbl[[#This Row],[Rep_ID]],Dim_Reps!A:A,Dim_Reps!E:E)</f>
        <v>NAMER</v>
      </c>
      <c r="S4804" t="str">
        <f>_xlfn.XLOOKUP(Pipeline_tbl[[#This Row],[Created_Date]],Dim_Date!A:A,Dim_Date!H:H)</f>
        <v>Feb 2025</v>
      </c>
      <c r="T4804" t="str">
        <f>IF(Pipeline_tbl[[#This Row],[Closed_Date]]=0,"",(_xlfn.XLOOKUP(Pipeline_tbl[[#This Row],[Closed_Date]],Dim_Date!A:A,Dim_Date!H:H)))</f>
        <v>Mar 2025</v>
      </c>
      <c r="U4804">
        <f>IF(Pipeline_tbl[[#This Row],[Closed_Date]]=0,"",Pipeline_tbl[[#This Row],[Closed_Date]]-Pipeline_tbl[[#This Row],[Created_Date]])</f>
        <v>22</v>
      </c>
    </row>
    <row r="4805" spans="1:21" ht="15" customHeight="1" x14ac:dyDescent="0.2">
      <c r="A4805" t="s">
        <v>5111</v>
      </c>
      <c r="B4805" t="s">
        <v>225</v>
      </c>
      <c r="C4805" t="s">
        <v>52</v>
      </c>
      <c r="D4805" s="49">
        <v>45709</v>
      </c>
      <c r="E4805" s="49">
        <v>45711</v>
      </c>
      <c r="F4805" s="49">
        <v>45716</v>
      </c>
      <c r="G4805" s="49">
        <v>45723</v>
      </c>
      <c r="H4805" s="49">
        <v>45729</v>
      </c>
      <c r="I4805" s="49">
        <v>45733</v>
      </c>
      <c r="J4805" t="s">
        <v>47</v>
      </c>
      <c r="K4805" s="33">
        <v>4200</v>
      </c>
      <c r="M4805" t="str">
        <f>_xlfn.XLOOKUP(Pipeline_tbl[[#This Row],[Rep_ID]],Dim_Reps!A:A,Dim_Reps!K:K)</f>
        <v>USD</v>
      </c>
      <c r="N4805" s="33">
        <f>(_xlfn.XLOOKUP(Pipeline_tbl[[#This Row],[Rate_Code_Generalized]],Lookups!A:A,Lookups!B:B))*Pipeline_tbl[[#This Row],[Pipeline_Amount_USD]]</f>
        <v>4890.0599999999995</v>
      </c>
      <c r="O4805" t="str">
        <f>_xlfn.XLOOKUP(Pipeline_tbl[[#This Row],[Rep_ID]],Dim_Reps!A:A,Dim_Reps!B:B)</f>
        <v>Alex Muller</v>
      </c>
      <c r="P4805" t="str">
        <f>_xlfn.XLOOKUP(Pipeline_tbl[[#This Row],[Rep_ID]],Dim_Reps!A:A,Dim_Reps!C:C)</f>
        <v>SDR / Inside Sales Rep</v>
      </c>
      <c r="Q4805" t="str">
        <f>_xlfn.XLOOKUP(Pipeline_tbl[[#This Row],[Rep_ID]],Dim_Reps!A:A,Dim_Reps!D:D)</f>
        <v>Inside Sales</v>
      </c>
      <c r="R4805" t="str">
        <f>_xlfn.XLOOKUP(Pipeline_tbl[[#This Row],[Rep_ID]],Dim_Reps!A:A,Dim_Reps!E:E)</f>
        <v>NAMER</v>
      </c>
      <c r="S4805" t="str">
        <f>_xlfn.XLOOKUP(Pipeline_tbl[[#This Row],[Created_Date]],Dim_Date!A:A,Dim_Date!H:H)</f>
        <v>Feb 2025</v>
      </c>
      <c r="T4805" t="str">
        <f>IF(Pipeline_tbl[[#This Row],[Closed_Date]]=0,"",(_xlfn.XLOOKUP(Pipeline_tbl[[#This Row],[Closed_Date]],Dim_Date!A:A,Dim_Date!H:H)))</f>
        <v>Mar 2025</v>
      </c>
      <c r="U4805">
        <f>IF(Pipeline_tbl[[#This Row],[Closed_Date]]=0,"",Pipeline_tbl[[#This Row],[Closed_Date]]-Pipeline_tbl[[#This Row],[Created_Date]])</f>
        <v>24</v>
      </c>
    </row>
    <row r="4806" spans="1:21" ht="15" customHeight="1" x14ac:dyDescent="0.2">
      <c r="A4806" t="s">
        <v>5112</v>
      </c>
      <c r="B4806" t="s">
        <v>225</v>
      </c>
      <c r="C4806" t="s">
        <v>53</v>
      </c>
      <c r="D4806" s="49">
        <v>45704</v>
      </c>
      <c r="E4806" s="49">
        <v>45706</v>
      </c>
      <c r="F4806" s="49">
        <v>45711</v>
      </c>
      <c r="G4806" s="49">
        <v>45718</v>
      </c>
      <c r="H4806" s="49">
        <v>45724</v>
      </c>
      <c r="I4806" s="49">
        <v>45727</v>
      </c>
      <c r="J4806" t="s">
        <v>47</v>
      </c>
      <c r="K4806" s="33">
        <v>2800</v>
      </c>
      <c r="M4806" t="str">
        <f>_xlfn.XLOOKUP(Pipeline_tbl[[#This Row],[Rep_ID]],Dim_Reps!A:A,Dim_Reps!K:K)</f>
        <v>USD</v>
      </c>
      <c r="N4806" s="33">
        <f>(_xlfn.XLOOKUP(Pipeline_tbl[[#This Row],[Rate_Code_Generalized]],Lookups!A:A,Lookups!B:B))*Pipeline_tbl[[#This Row],[Pipeline_Amount_USD]]</f>
        <v>3260.0399999999995</v>
      </c>
      <c r="O4806" t="str">
        <f>_xlfn.XLOOKUP(Pipeline_tbl[[#This Row],[Rep_ID]],Dim_Reps!A:A,Dim_Reps!B:B)</f>
        <v>Alex Muller</v>
      </c>
      <c r="P4806" t="str">
        <f>_xlfn.XLOOKUP(Pipeline_tbl[[#This Row],[Rep_ID]],Dim_Reps!A:A,Dim_Reps!C:C)</f>
        <v>SDR / Inside Sales Rep</v>
      </c>
      <c r="Q4806" t="str">
        <f>_xlfn.XLOOKUP(Pipeline_tbl[[#This Row],[Rep_ID]],Dim_Reps!A:A,Dim_Reps!D:D)</f>
        <v>Inside Sales</v>
      </c>
      <c r="R4806" t="str">
        <f>_xlfn.XLOOKUP(Pipeline_tbl[[#This Row],[Rep_ID]],Dim_Reps!A:A,Dim_Reps!E:E)</f>
        <v>NAMER</v>
      </c>
      <c r="S4806" t="str">
        <f>_xlfn.XLOOKUP(Pipeline_tbl[[#This Row],[Created_Date]],Dim_Date!A:A,Dim_Date!H:H)</f>
        <v>Feb 2025</v>
      </c>
      <c r="T4806" t="str">
        <f>IF(Pipeline_tbl[[#This Row],[Closed_Date]]=0,"",(_xlfn.XLOOKUP(Pipeline_tbl[[#This Row],[Closed_Date]],Dim_Date!A:A,Dim_Date!H:H)))</f>
        <v>Mar 2025</v>
      </c>
      <c r="U4806">
        <f>IF(Pipeline_tbl[[#This Row],[Closed_Date]]=0,"",Pipeline_tbl[[#This Row],[Closed_Date]]-Pipeline_tbl[[#This Row],[Created_Date]])</f>
        <v>23</v>
      </c>
    </row>
    <row r="4807" spans="1:21" ht="15" customHeight="1" x14ac:dyDescent="0.2">
      <c r="A4807" t="s">
        <v>5113</v>
      </c>
      <c r="B4807" t="s">
        <v>225</v>
      </c>
      <c r="C4807" t="s">
        <v>55</v>
      </c>
      <c r="D4807" s="49">
        <v>45708</v>
      </c>
      <c r="E4807" s="49">
        <v>45709</v>
      </c>
      <c r="F4807" s="49">
        <v>45711</v>
      </c>
      <c r="G4807" s="49">
        <v>45715</v>
      </c>
      <c r="H4807" s="49">
        <v>45717</v>
      </c>
      <c r="I4807" s="49">
        <v>45719</v>
      </c>
      <c r="J4807" t="s">
        <v>47</v>
      </c>
      <c r="K4807" s="33">
        <v>1700</v>
      </c>
      <c r="M4807" t="str">
        <f>_xlfn.XLOOKUP(Pipeline_tbl[[#This Row],[Rep_ID]],Dim_Reps!A:A,Dim_Reps!K:K)</f>
        <v>USD</v>
      </c>
      <c r="N4807" s="33">
        <f>(_xlfn.XLOOKUP(Pipeline_tbl[[#This Row],[Rate_Code_Generalized]],Lookups!A:A,Lookups!B:B))*Pipeline_tbl[[#This Row],[Pipeline_Amount_USD]]</f>
        <v>1979.3099999999997</v>
      </c>
      <c r="O4807" t="str">
        <f>_xlfn.XLOOKUP(Pipeline_tbl[[#This Row],[Rep_ID]],Dim_Reps!A:A,Dim_Reps!B:B)</f>
        <v>Alex Muller</v>
      </c>
      <c r="P4807" t="str">
        <f>_xlfn.XLOOKUP(Pipeline_tbl[[#This Row],[Rep_ID]],Dim_Reps!A:A,Dim_Reps!C:C)</f>
        <v>SDR / Inside Sales Rep</v>
      </c>
      <c r="Q4807" t="str">
        <f>_xlfn.XLOOKUP(Pipeline_tbl[[#This Row],[Rep_ID]],Dim_Reps!A:A,Dim_Reps!D:D)</f>
        <v>Inside Sales</v>
      </c>
      <c r="R4807" t="str">
        <f>_xlfn.XLOOKUP(Pipeline_tbl[[#This Row],[Rep_ID]],Dim_Reps!A:A,Dim_Reps!E:E)</f>
        <v>NAMER</v>
      </c>
      <c r="S4807" t="str">
        <f>_xlfn.XLOOKUP(Pipeline_tbl[[#This Row],[Created_Date]],Dim_Date!A:A,Dim_Date!H:H)</f>
        <v>Feb 2025</v>
      </c>
      <c r="T4807" t="str">
        <f>IF(Pipeline_tbl[[#This Row],[Closed_Date]]=0,"",(_xlfn.XLOOKUP(Pipeline_tbl[[#This Row],[Closed_Date]],Dim_Date!A:A,Dim_Date!H:H)))</f>
        <v>Mar 2025</v>
      </c>
      <c r="U4807">
        <f>IF(Pipeline_tbl[[#This Row],[Closed_Date]]=0,"",Pipeline_tbl[[#This Row],[Closed_Date]]-Pipeline_tbl[[#This Row],[Created_Date]])</f>
        <v>11</v>
      </c>
    </row>
    <row r="4808" spans="1:21" ht="15" customHeight="1" x14ac:dyDescent="0.2">
      <c r="A4808" t="s">
        <v>5114</v>
      </c>
      <c r="B4808" t="s">
        <v>225</v>
      </c>
      <c r="C4808" t="s">
        <v>55</v>
      </c>
      <c r="D4808" s="49">
        <v>45708</v>
      </c>
      <c r="E4808" s="49">
        <v>45709</v>
      </c>
      <c r="F4808" s="49">
        <v>45711</v>
      </c>
      <c r="G4808" s="49">
        <v>45715</v>
      </c>
      <c r="H4808" s="49">
        <v>45717</v>
      </c>
      <c r="I4808" s="49">
        <v>45719</v>
      </c>
      <c r="J4808" t="s">
        <v>49</v>
      </c>
      <c r="K4808" s="33">
        <v>4600</v>
      </c>
      <c r="L4808" t="s">
        <v>60</v>
      </c>
      <c r="M4808" t="str">
        <f>_xlfn.XLOOKUP(Pipeline_tbl[[#This Row],[Rep_ID]],Dim_Reps!A:A,Dim_Reps!K:K)</f>
        <v>USD</v>
      </c>
      <c r="N4808" s="33">
        <f>(_xlfn.XLOOKUP(Pipeline_tbl[[#This Row],[Rate_Code_Generalized]],Lookups!A:A,Lookups!B:B))*Pipeline_tbl[[#This Row],[Pipeline_Amount_USD]]</f>
        <v>5355.78</v>
      </c>
      <c r="O4808" t="str">
        <f>_xlfn.XLOOKUP(Pipeline_tbl[[#This Row],[Rep_ID]],Dim_Reps!A:A,Dim_Reps!B:B)</f>
        <v>Alex Muller</v>
      </c>
      <c r="P4808" t="str">
        <f>_xlfn.XLOOKUP(Pipeline_tbl[[#This Row],[Rep_ID]],Dim_Reps!A:A,Dim_Reps!C:C)</f>
        <v>SDR / Inside Sales Rep</v>
      </c>
      <c r="Q4808" t="str">
        <f>_xlfn.XLOOKUP(Pipeline_tbl[[#This Row],[Rep_ID]],Dim_Reps!A:A,Dim_Reps!D:D)</f>
        <v>Inside Sales</v>
      </c>
      <c r="R4808" t="str">
        <f>_xlfn.XLOOKUP(Pipeline_tbl[[#This Row],[Rep_ID]],Dim_Reps!A:A,Dim_Reps!E:E)</f>
        <v>NAMER</v>
      </c>
      <c r="S4808" t="str">
        <f>_xlfn.XLOOKUP(Pipeline_tbl[[#This Row],[Created_Date]],Dim_Date!A:A,Dim_Date!H:H)</f>
        <v>Feb 2025</v>
      </c>
      <c r="T4808" t="str">
        <f>IF(Pipeline_tbl[[#This Row],[Closed_Date]]=0,"",(_xlfn.XLOOKUP(Pipeline_tbl[[#This Row],[Closed_Date]],Dim_Date!A:A,Dim_Date!H:H)))</f>
        <v>Mar 2025</v>
      </c>
      <c r="U4808">
        <f>IF(Pipeline_tbl[[#This Row],[Closed_Date]]=0,"",Pipeline_tbl[[#This Row],[Closed_Date]]-Pipeline_tbl[[#This Row],[Created_Date]])</f>
        <v>11</v>
      </c>
    </row>
    <row r="4809" spans="1:21" ht="15" customHeight="1" x14ac:dyDescent="0.2">
      <c r="A4809" t="s">
        <v>5115</v>
      </c>
      <c r="B4809" t="s">
        <v>225</v>
      </c>
      <c r="C4809" t="s">
        <v>53</v>
      </c>
      <c r="D4809" s="49">
        <v>45695</v>
      </c>
      <c r="E4809" s="49">
        <v>45697</v>
      </c>
      <c r="I4809" s="49">
        <v>45720</v>
      </c>
      <c r="J4809" t="s">
        <v>49</v>
      </c>
      <c r="K4809" s="33">
        <v>2000</v>
      </c>
      <c r="L4809" t="s">
        <v>60</v>
      </c>
      <c r="M4809" t="str">
        <f>_xlfn.XLOOKUP(Pipeline_tbl[[#This Row],[Rep_ID]],Dim_Reps!A:A,Dim_Reps!K:K)</f>
        <v>USD</v>
      </c>
      <c r="N4809" s="33">
        <f>(_xlfn.XLOOKUP(Pipeline_tbl[[#This Row],[Rate_Code_Generalized]],Lookups!A:A,Lookups!B:B))*Pipeline_tbl[[#This Row],[Pipeline_Amount_USD]]</f>
        <v>2328.6</v>
      </c>
      <c r="O4809" t="str">
        <f>_xlfn.XLOOKUP(Pipeline_tbl[[#This Row],[Rep_ID]],Dim_Reps!A:A,Dim_Reps!B:B)</f>
        <v>Alex Muller</v>
      </c>
      <c r="P4809" t="str">
        <f>_xlfn.XLOOKUP(Pipeline_tbl[[#This Row],[Rep_ID]],Dim_Reps!A:A,Dim_Reps!C:C)</f>
        <v>SDR / Inside Sales Rep</v>
      </c>
      <c r="Q4809" t="str">
        <f>_xlfn.XLOOKUP(Pipeline_tbl[[#This Row],[Rep_ID]],Dim_Reps!A:A,Dim_Reps!D:D)</f>
        <v>Inside Sales</v>
      </c>
      <c r="R4809" t="str">
        <f>_xlfn.XLOOKUP(Pipeline_tbl[[#This Row],[Rep_ID]],Dim_Reps!A:A,Dim_Reps!E:E)</f>
        <v>NAMER</v>
      </c>
      <c r="S4809" t="str">
        <f>_xlfn.XLOOKUP(Pipeline_tbl[[#This Row],[Created_Date]],Dim_Date!A:A,Dim_Date!H:H)</f>
        <v>Feb 2025</v>
      </c>
      <c r="T4809" t="str">
        <f>IF(Pipeline_tbl[[#This Row],[Closed_Date]]=0,"",(_xlfn.XLOOKUP(Pipeline_tbl[[#This Row],[Closed_Date]],Dim_Date!A:A,Dim_Date!H:H)))</f>
        <v>Mar 2025</v>
      </c>
      <c r="U4809">
        <f>IF(Pipeline_tbl[[#This Row],[Closed_Date]]=0,"",Pipeline_tbl[[#This Row],[Closed_Date]]-Pipeline_tbl[[#This Row],[Created_Date]])</f>
        <v>25</v>
      </c>
    </row>
    <row r="4810" spans="1:21" ht="15" customHeight="1" x14ac:dyDescent="0.2">
      <c r="A4810" t="s">
        <v>5116</v>
      </c>
      <c r="B4810" t="s">
        <v>227</v>
      </c>
      <c r="C4810" t="s">
        <v>52</v>
      </c>
      <c r="D4810" s="49">
        <v>45713</v>
      </c>
      <c r="E4810" s="49">
        <v>45715</v>
      </c>
      <c r="F4810" s="49">
        <v>45718</v>
      </c>
      <c r="G4810" s="49">
        <v>45724</v>
      </c>
      <c r="H4810" s="49">
        <v>45728</v>
      </c>
      <c r="I4810" s="49">
        <v>45731</v>
      </c>
      <c r="J4810" t="s">
        <v>47</v>
      </c>
      <c r="K4810" s="33">
        <v>6400</v>
      </c>
      <c r="M4810" t="str">
        <f>_xlfn.XLOOKUP(Pipeline_tbl[[#This Row],[Rep_ID]],Dim_Reps!A:A,Dim_Reps!K:K)</f>
        <v>EUR</v>
      </c>
      <c r="N4810" s="33">
        <f>(_xlfn.XLOOKUP(Pipeline_tbl[[#This Row],[Rate_Code_Generalized]],Lookups!A:A,Lookups!B:B))*Pipeline_tbl[[#This Row],[Pipeline_Amount_USD]]</f>
        <v>6400</v>
      </c>
      <c r="O4810" t="str">
        <f>_xlfn.XLOOKUP(Pipeline_tbl[[#This Row],[Rep_ID]],Dim_Reps!A:A,Dim_Reps!B:B)</f>
        <v>Liam Muller</v>
      </c>
      <c r="P4810" t="str">
        <f>_xlfn.XLOOKUP(Pipeline_tbl[[#This Row],[Rep_ID]],Dim_Reps!A:A,Dim_Reps!C:C)</f>
        <v>SDR / Inside Sales Rep</v>
      </c>
      <c r="Q4810" t="str">
        <f>_xlfn.XLOOKUP(Pipeline_tbl[[#This Row],[Rep_ID]],Dim_Reps!A:A,Dim_Reps!D:D)</f>
        <v>Inside Sales</v>
      </c>
      <c r="R4810" t="str">
        <f>_xlfn.XLOOKUP(Pipeline_tbl[[#This Row],[Rep_ID]],Dim_Reps!A:A,Dim_Reps!E:E)</f>
        <v>EMEA</v>
      </c>
      <c r="S4810" t="str">
        <f>_xlfn.XLOOKUP(Pipeline_tbl[[#This Row],[Created_Date]],Dim_Date!A:A,Dim_Date!H:H)</f>
        <v>Feb 2025</v>
      </c>
      <c r="T4810" t="str">
        <f>IF(Pipeline_tbl[[#This Row],[Closed_Date]]=0,"",(_xlfn.XLOOKUP(Pipeline_tbl[[#This Row],[Closed_Date]],Dim_Date!A:A,Dim_Date!H:H)))</f>
        <v>Mar 2025</v>
      </c>
      <c r="U4810">
        <f>IF(Pipeline_tbl[[#This Row],[Closed_Date]]=0,"",Pipeline_tbl[[#This Row],[Closed_Date]]-Pipeline_tbl[[#This Row],[Created_Date]])</f>
        <v>18</v>
      </c>
    </row>
    <row r="4811" spans="1:21" ht="15" customHeight="1" x14ac:dyDescent="0.2">
      <c r="A4811" t="s">
        <v>5117</v>
      </c>
      <c r="B4811" t="s">
        <v>227</v>
      </c>
      <c r="C4811" t="s">
        <v>56</v>
      </c>
      <c r="D4811" s="49">
        <v>45711</v>
      </c>
      <c r="E4811" s="49">
        <v>45712</v>
      </c>
      <c r="F4811" s="49">
        <v>45715</v>
      </c>
      <c r="I4811" s="49">
        <v>45724</v>
      </c>
      <c r="J4811" t="s">
        <v>49</v>
      </c>
      <c r="K4811" s="33">
        <v>3600</v>
      </c>
      <c r="L4811" t="s">
        <v>64</v>
      </c>
      <c r="M4811" t="str">
        <f>_xlfn.XLOOKUP(Pipeline_tbl[[#This Row],[Rep_ID]],Dim_Reps!A:A,Dim_Reps!K:K)</f>
        <v>EUR</v>
      </c>
      <c r="N4811" s="33">
        <f>(_xlfn.XLOOKUP(Pipeline_tbl[[#This Row],[Rate_Code_Generalized]],Lookups!A:A,Lookups!B:B))*Pipeline_tbl[[#This Row],[Pipeline_Amount_USD]]</f>
        <v>3600</v>
      </c>
      <c r="O4811" t="str">
        <f>_xlfn.XLOOKUP(Pipeline_tbl[[#This Row],[Rep_ID]],Dim_Reps!A:A,Dim_Reps!B:B)</f>
        <v>Liam Muller</v>
      </c>
      <c r="P4811" t="str">
        <f>_xlfn.XLOOKUP(Pipeline_tbl[[#This Row],[Rep_ID]],Dim_Reps!A:A,Dim_Reps!C:C)</f>
        <v>SDR / Inside Sales Rep</v>
      </c>
      <c r="Q4811" t="str">
        <f>_xlfn.XLOOKUP(Pipeline_tbl[[#This Row],[Rep_ID]],Dim_Reps!A:A,Dim_Reps!D:D)</f>
        <v>Inside Sales</v>
      </c>
      <c r="R4811" t="str">
        <f>_xlfn.XLOOKUP(Pipeline_tbl[[#This Row],[Rep_ID]],Dim_Reps!A:A,Dim_Reps!E:E)</f>
        <v>EMEA</v>
      </c>
      <c r="S4811" t="str">
        <f>_xlfn.XLOOKUP(Pipeline_tbl[[#This Row],[Created_Date]],Dim_Date!A:A,Dim_Date!H:H)</f>
        <v>Feb 2025</v>
      </c>
      <c r="T4811" t="str">
        <f>IF(Pipeline_tbl[[#This Row],[Closed_Date]]=0,"",(_xlfn.XLOOKUP(Pipeline_tbl[[#This Row],[Closed_Date]],Dim_Date!A:A,Dim_Date!H:H)))</f>
        <v>Mar 2025</v>
      </c>
      <c r="U4811">
        <f>IF(Pipeline_tbl[[#This Row],[Closed_Date]]=0,"",Pipeline_tbl[[#This Row],[Closed_Date]]-Pipeline_tbl[[#This Row],[Created_Date]])</f>
        <v>13</v>
      </c>
    </row>
    <row r="4812" spans="1:21" ht="15" customHeight="1" x14ac:dyDescent="0.2">
      <c r="A4812" t="s">
        <v>5118</v>
      </c>
      <c r="B4812" t="s">
        <v>227</v>
      </c>
      <c r="C4812" t="s">
        <v>52</v>
      </c>
      <c r="D4812" s="49">
        <v>45714</v>
      </c>
      <c r="E4812" s="49">
        <v>45716</v>
      </c>
      <c r="F4812" s="49">
        <v>45719</v>
      </c>
      <c r="G4812" s="49">
        <v>45724</v>
      </c>
      <c r="I4812" s="49">
        <v>45731</v>
      </c>
      <c r="J4812" t="s">
        <v>49</v>
      </c>
      <c r="K4812" s="33">
        <v>6700</v>
      </c>
      <c r="L4812" t="s">
        <v>60</v>
      </c>
      <c r="M4812" t="str">
        <f>_xlfn.XLOOKUP(Pipeline_tbl[[#This Row],[Rep_ID]],Dim_Reps!A:A,Dim_Reps!K:K)</f>
        <v>EUR</v>
      </c>
      <c r="N4812" s="33">
        <f>(_xlfn.XLOOKUP(Pipeline_tbl[[#This Row],[Rate_Code_Generalized]],Lookups!A:A,Lookups!B:B))*Pipeline_tbl[[#This Row],[Pipeline_Amount_USD]]</f>
        <v>6700</v>
      </c>
      <c r="O4812" t="str">
        <f>_xlfn.XLOOKUP(Pipeline_tbl[[#This Row],[Rep_ID]],Dim_Reps!A:A,Dim_Reps!B:B)</f>
        <v>Liam Muller</v>
      </c>
      <c r="P4812" t="str">
        <f>_xlfn.XLOOKUP(Pipeline_tbl[[#This Row],[Rep_ID]],Dim_Reps!A:A,Dim_Reps!C:C)</f>
        <v>SDR / Inside Sales Rep</v>
      </c>
      <c r="Q4812" t="str">
        <f>_xlfn.XLOOKUP(Pipeline_tbl[[#This Row],[Rep_ID]],Dim_Reps!A:A,Dim_Reps!D:D)</f>
        <v>Inside Sales</v>
      </c>
      <c r="R4812" t="str">
        <f>_xlfn.XLOOKUP(Pipeline_tbl[[#This Row],[Rep_ID]],Dim_Reps!A:A,Dim_Reps!E:E)</f>
        <v>EMEA</v>
      </c>
      <c r="S4812" t="str">
        <f>_xlfn.XLOOKUP(Pipeline_tbl[[#This Row],[Created_Date]],Dim_Date!A:A,Dim_Date!H:H)</f>
        <v>Feb 2025</v>
      </c>
      <c r="T4812" t="str">
        <f>IF(Pipeline_tbl[[#This Row],[Closed_Date]]=0,"",(_xlfn.XLOOKUP(Pipeline_tbl[[#This Row],[Closed_Date]],Dim_Date!A:A,Dim_Date!H:H)))</f>
        <v>Mar 2025</v>
      </c>
      <c r="U4812">
        <f>IF(Pipeline_tbl[[#This Row],[Closed_Date]]=0,"",Pipeline_tbl[[#This Row],[Closed_Date]]-Pipeline_tbl[[#This Row],[Created_Date]])</f>
        <v>17</v>
      </c>
    </row>
    <row r="4813" spans="1:21" ht="15" customHeight="1" x14ac:dyDescent="0.2">
      <c r="A4813" t="s">
        <v>5119</v>
      </c>
      <c r="B4813" t="s">
        <v>227</v>
      </c>
      <c r="C4813" t="s">
        <v>56</v>
      </c>
      <c r="D4813" s="49">
        <v>45714</v>
      </c>
      <c r="E4813" s="49">
        <v>45716</v>
      </c>
      <c r="F4813" s="49">
        <v>45721</v>
      </c>
      <c r="G4813" s="49">
        <v>45727</v>
      </c>
      <c r="H4813" s="49">
        <v>45733</v>
      </c>
      <c r="I4813" s="49">
        <v>45736</v>
      </c>
      <c r="J4813" t="s">
        <v>47</v>
      </c>
      <c r="K4813" s="33">
        <v>6800</v>
      </c>
      <c r="M4813" t="str">
        <f>_xlfn.XLOOKUP(Pipeline_tbl[[#This Row],[Rep_ID]],Dim_Reps!A:A,Dim_Reps!K:K)</f>
        <v>EUR</v>
      </c>
      <c r="N4813" s="33">
        <f>(_xlfn.XLOOKUP(Pipeline_tbl[[#This Row],[Rate_Code_Generalized]],Lookups!A:A,Lookups!B:B))*Pipeline_tbl[[#This Row],[Pipeline_Amount_USD]]</f>
        <v>6800</v>
      </c>
      <c r="O4813" t="str">
        <f>_xlfn.XLOOKUP(Pipeline_tbl[[#This Row],[Rep_ID]],Dim_Reps!A:A,Dim_Reps!B:B)</f>
        <v>Liam Muller</v>
      </c>
      <c r="P4813" t="str">
        <f>_xlfn.XLOOKUP(Pipeline_tbl[[#This Row],[Rep_ID]],Dim_Reps!A:A,Dim_Reps!C:C)</f>
        <v>SDR / Inside Sales Rep</v>
      </c>
      <c r="Q4813" t="str">
        <f>_xlfn.XLOOKUP(Pipeline_tbl[[#This Row],[Rep_ID]],Dim_Reps!A:A,Dim_Reps!D:D)</f>
        <v>Inside Sales</v>
      </c>
      <c r="R4813" t="str">
        <f>_xlfn.XLOOKUP(Pipeline_tbl[[#This Row],[Rep_ID]],Dim_Reps!A:A,Dim_Reps!E:E)</f>
        <v>EMEA</v>
      </c>
      <c r="S4813" t="str">
        <f>_xlfn.XLOOKUP(Pipeline_tbl[[#This Row],[Created_Date]],Dim_Date!A:A,Dim_Date!H:H)</f>
        <v>Feb 2025</v>
      </c>
      <c r="T4813" t="str">
        <f>IF(Pipeline_tbl[[#This Row],[Closed_Date]]=0,"",(_xlfn.XLOOKUP(Pipeline_tbl[[#This Row],[Closed_Date]],Dim_Date!A:A,Dim_Date!H:H)))</f>
        <v>Mar 2025</v>
      </c>
      <c r="U4813">
        <f>IF(Pipeline_tbl[[#This Row],[Closed_Date]]=0,"",Pipeline_tbl[[#This Row],[Closed_Date]]-Pipeline_tbl[[#This Row],[Created_Date]])</f>
        <v>22</v>
      </c>
    </row>
    <row r="4814" spans="1:21" ht="15" customHeight="1" x14ac:dyDescent="0.2">
      <c r="A4814" t="s">
        <v>5120</v>
      </c>
      <c r="B4814" t="s">
        <v>280</v>
      </c>
      <c r="C4814" t="s">
        <v>54</v>
      </c>
      <c r="D4814" s="49">
        <v>45696</v>
      </c>
      <c r="E4814" s="49">
        <v>45700</v>
      </c>
      <c r="F4814" s="49">
        <v>45709</v>
      </c>
      <c r="G4814" s="49">
        <v>45722</v>
      </c>
      <c r="H4814" s="49">
        <v>45733</v>
      </c>
      <c r="I4814" s="49">
        <v>45739</v>
      </c>
      <c r="J4814" t="s">
        <v>47</v>
      </c>
      <c r="K4814" s="33">
        <v>38100</v>
      </c>
      <c r="M4814" t="str">
        <f>_xlfn.XLOOKUP(Pipeline_tbl[[#This Row],[Rep_ID]],Dim_Reps!A:A,Dim_Reps!K:K)</f>
        <v>MXN</v>
      </c>
      <c r="N4814" s="33">
        <f>(_xlfn.XLOOKUP(Pipeline_tbl[[#This Row],[Rate_Code_Generalized]],Lookups!A:A,Lookups!B:B))*Pipeline_tbl[[#This Row],[Pipeline_Amount_USD]]</f>
        <v>751815.87</v>
      </c>
      <c r="O4814" t="str">
        <f>_xlfn.XLOOKUP(Pipeline_tbl[[#This Row],[Rep_ID]],Dim_Reps!A:A,Dim_Reps!B:B)</f>
        <v>Cameron Lund</v>
      </c>
      <c r="P4814" t="str">
        <f>_xlfn.XLOOKUP(Pipeline_tbl[[#This Row],[Rep_ID]],Dim_Reps!A:A,Dim_Reps!C:C)</f>
        <v>Senior Enterprise AE</v>
      </c>
      <c r="Q4814" t="str">
        <f>_xlfn.XLOOKUP(Pipeline_tbl[[#This Row],[Rep_ID]],Dim_Reps!A:A,Dim_Reps!D:D)</f>
        <v>Strategic</v>
      </c>
      <c r="R4814" t="str">
        <f>_xlfn.XLOOKUP(Pipeline_tbl[[#This Row],[Rep_ID]],Dim_Reps!A:A,Dim_Reps!E:E)</f>
        <v>LATAM</v>
      </c>
      <c r="S4814" t="str">
        <f>_xlfn.XLOOKUP(Pipeline_tbl[[#This Row],[Created_Date]],Dim_Date!A:A,Dim_Date!H:H)</f>
        <v>Feb 2025</v>
      </c>
      <c r="T4814" t="str">
        <f>IF(Pipeline_tbl[[#This Row],[Closed_Date]]=0,"",(_xlfn.XLOOKUP(Pipeline_tbl[[#This Row],[Closed_Date]],Dim_Date!A:A,Dim_Date!H:H)))</f>
        <v>Mar 2025</v>
      </c>
      <c r="U4814">
        <f>IF(Pipeline_tbl[[#This Row],[Closed_Date]]=0,"",Pipeline_tbl[[#This Row],[Closed_Date]]-Pipeline_tbl[[#This Row],[Created_Date]])</f>
        <v>43</v>
      </c>
    </row>
    <row r="4815" spans="1:21" ht="15" customHeight="1" x14ac:dyDescent="0.2">
      <c r="A4815" t="s">
        <v>5121</v>
      </c>
      <c r="B4815" t="s">
        <v>191</v>
      </c>
      <c r="C4815" t="s">
        <v>52</v>
      </c>
      <c r="D4815" s="49">
        <v>45692</v>
      </c>
      <c r="E4815" s="49">
        <v>45696</v>
      </c>
      <c r="F4815" s="49">
        <v>45703</v>
      </c>
      <c r="I4815" s="49">
        <v>45728</v>
      </c>
      <c r="J4815" t="s">
        <v>49</v>
      </c>
      <c r="K4815" s="33">
        <v>82300</v>
      </c>
      <c r="L4815" t="s">
        <v>61</v>
      </c>
      <c r="M4815" t="str">
        <f>_xlfn.XLOOKUP(Pipeline_tbl[[#This Row],[Rep_ID]],Dim_Reps!A:A,Dim_Reps!K:K)</f>
        <v>USD</v>
      </c>
      <c r="N4815" s="33">
        <f>(_xlfn.XLOOKUP(Pipeline_tbl[[#This Row],[Rate_Code_Generalized]],Lookups!A:A,Lookups!B:B))*Pipeline_tbl[[#This Row],[Pipeline_Amount_USD]]</f>
        <v>95821.889999999985</v>
      </c>
      <c r="O4815" t="str">
        <f>_xlfn.XLOOKUP(Pipeline_tbl[[#This Row],[Rep_ID]],Dim_Reps!A:A,Dim_Reps!B:B)</f>
        <v>Zara Duarte</v>
      </c>
      <c r="P4815" t="str">
        <f>_xlfn.XLOOKUP(Pipeline_tbl[[#This Row],[Rep_ID]],Dim_Reps!A:A,Dim_Reps!C:C)</f>
        <v>Enterprise AE</v>
      </c>
      <c r="Q4815" t="str">
        <f>_xlfn.XLOOKUP(Pipeline_tbl[[#This Row],[Rep_ID]],Dim_Reps!A:A,Dim_Reps!D:D)</f>
        <v>Enterprise</v>
      </c>
      <c r="R4815" t="str">
        <f>_xlfn.XLOOKUP(Pipeline_tbl[[#This Row],[Rep_ID]],Dim_Reps!A:A,Dim_Reps!E:E)</f>
        <v>NAMER</v>
      </c>
      <c r="S4815" t="str">
        <f>_xlfn.XLOOKUP(Pipeline_tbl[[#This Row],[Created_Date]],Dim_Date!A:A,Dim_Date!H:H)</f>
        <v>Feb 2025</v>
      </c>
      <c r="T4815" t="str">
        <f>IF(Pipeline_tbl[[#This Row],[Closed_Date]]=0,"",(_xlfn.XLOOKUP(Pipeline_tbl[[#This Row],[Closed_Date]],Dim_Date!A:A,Dim_Date!H:H)))</f>
        <v>Mar 2025</v>
      </c>
      <c r="U4815">
        <f>IF(Pipeline_tbl[[#This Row],[Closed_Date]]=0,"",Pipeline_tbl[[#This Row],[Closed_Date]]-Pipeline_tbl[[#This Row],[Created_Date]])</f>
        <v>36</v>
      </c>
    </row>
    <row r="4816" spans="1:21" ht="15" customHeight="1" x14ac:dyDescent="0.2">
      <c r="A4816" t="s">
        <v>5122</v>
      </c>
      <c r="B4816" t="s">
        <v>191</v>
      </c>
      <c r="C4816" t="s">
        <v>53</v>
      </c>
      <c r="D4816" s="49">
        <v>45709</v>
      </c>
      <c r="E4816" s="49">
        <v>45711</v>
      </c>
      <c r="F4816" s="49">
        <v>45714</v>
      </c>
      <c r="G4816" s="49">
        <v>45719</v>
      </c>
      <c r="H4816" s="49">
        <v>45723</v>
      </c>
      <c r="I4816" s="49">
        <v>45725</v>
      </c>
      <c r="J4816" t="s">
        <v>47</v>
      </c>
      <c r="K4816" s="33">
        <v>25700</v>
      </c>
      <c r="M4816" t="str">
        <f>_xlfn.XLOOKUP(Pipeline_tbl[[#This Row],[Rep_ID]],Dim_Reps!A:A,Dim_Reps!K:K)</f>
        <v>USD</v>
      </c>
      <c r="N4816" s="33">
        <f>(_xlfn.XLOOKUP(Pipeline_tbl[[#This Row],[Rate_Code_Generalized]],Lookups!A:A,Lookups!B:B))*Pipeline_tbl[[#This Row],[Pipeline_Amount_USD]]</f>
        <v>29922.51</v>
      </c>
      <c r="O4816" t="str">
        <f>_xlfn.XLOOKUP(Pipeline_tbl[[#This Row],[Rep_ID]],Dim_Reps!A:A,Dim_Reps!B:B)</f>
        <v>Zara Duarte</v>
      </c>
      <c r="P4816" t="str">
        <f>_xlfn.XLOOKUP(Pipeline_tbl[[#This Row],[Rep_ID]],Dim_Reps!A:A,Dim_Reps!C:C)</f>
        <v>Enterprise AE</v>
      </c>
      <c r="Q4816" t="str">
        <f>_xlfn.XLOOKUP(Pipeline_tbl[[#This Row],[Rep_ID]],Dim_Reps!A:A,Dim_Reps!D:D)</f>
        <v>Enterprise</v>
      </c>
      <c r="R4816" t="str">
        <f>_xlfn.XLOOKUP(Pipeline_tbl[[#This Row],[Rep_ID]],Dim_Reps!A:A,Dim_Reps!E:E)</f>
        <v>NAMER</v>
      </c>
      <c r="S4816" t="str">
        <f>_xlfn.XLOOKUP(Pipeline_tbl[[#This Row],[Created_Date]],Dim_Date!A:A,Dim_Date!H:H)</f>
        <v>Feb 2025</v>
      </c>
      <c r="T4816" t="str">
        <f>IF(Pipeline_tbl[[#This Row],[Closed_Date]]=0,"",(_xlfn.XLOOKUP(Pipeline_tbl[[#This Row],[Closed_Date]],Dim_Date!A:A,Dim_Date!H:H)))</f>
        <v>Mar 2025</v>
      </c>
      <c r="U4816">
        <f>IF(Pipeline_tbl[[#This Row],[Closed_Date]]=0,"",Pipeline_tbl[[#This Row],[Closed_Date]]-Pipeline_tbl[[#This Row],[Created_Date]])</f>
        <v>16</v>
      </c>
    </row>
    <row r="4817" spans="1:21" ht="15" customHeight="1" x14ac:dyDescent="0.2">
      <c r="A4817" t="s">
        <v>5123</v>
      </c>
      <c r="B4817" t="s">
        <v>229</v>
      </c>
      <c r="C4817" t="s">
        <v>55</v>
      </c>
      <c r="D4817" s="49">
        <v>45714</v>
      </c>
      <c r="E4817" s="49">
        <v>45715</v>
      </c>
      <c r="F4817" s="49">
        <v>45718</v>
      </c>
      <c r="G4817" s="49">
        <v>45722</v>
      </c>
      <c r="H4817" s="49">
        <v>45726</v>
      </c>
      <c r="I4817" s="49">
        <v>45728</v>
      </c>
      <c r="J4817" t="s">
        <v>49</v>
      </c>
      <c r="K4817" s="33">
        <v>1900</v>
      </c>
      <c r="L4817" t="s">
        <v>60</v>
      </c>
      <c r="M4817" t="str">
        <f>_xlfn.XLOOKUP(Pipeline_tbl[[#This Row],[Rep_ID]],Dim_Reps!A:A,Dim_Reps!K:K)</f>
        <v>USD</v>
      </c>
      <c r="N4817" s="33">
        <f>(_xlfn.XLOOKUP(Pipeline_tbl[[#This Row],[Rate_Code_Generalized]],Lookups!A:A,Lookups!B:B))*Pipeline_tbl[[#This Row],[Pipeline_Amount_USD]]</f>
        <v>2212.1699999999996</v>
      </c>
      <c r="O4817" t="str">
        <f>_xlfn.XLOOKUP(Pipeline_tbl[[#This Row],[Rep_ID]],Dim_Reps!A:A,Dim_Reps!B:B)</f>
        <v>Liam Castro</v>
      </c>
      <c r="P4817" t="str">
        <f>_xlfn.XLOOKUP(Pipeline_tbl[[#This Row],[Rep_ID]],Dim_Reps!A:A,Dim_Reps!C:C)</f>
        <v>SDR / Inside Sales Rep</v>
      </c>
      <c r="Q4817" t="str">
        <f>_xlfn.XLOOKUP(Pipeline_tbl[[#This Row],[Rep_ID]],Dim_Reps!A:A,Dim_Reps!D:D)</f>
        <v>Inside Sales</v>
      </c>
      <c r="R4817" t="str">
        <f>_xlfn.XLOOKUP(Pipeline_tbl[[#This Row],[Rep_ID]],Dim_Reps!A:A,Dim_Reps!E:E)</f>
        <v>NAMER</v>
      </c>
      <c r="S4817" t="str">
        <f>_xlfn.XLOOKUP(Pipeline_tbl[[#This Row],[Created_Date]],Dim_Date!A:A,Dim_Date!H:H)</f>
        <v>Feb 2025</v>
      </c>
      <c r="T4817" t="str">
        <f>IF(Pipeline_tbl[[#This Row],[Closed_Date]]=0,"",(_xlfn.XLOOKUP(Pipeline_tbl[[#This Row],[Closed_Date]],Dim_Date!A:A,Dim_Date!H:H)))</f>
        <v>Mar 2025</v>
      </c>
      <c r="U4817">
        <f>IF(Pipeline_tbl[[#This Row],[Closed_Date]]=0,"",Pipeline_tbl[[#This Row],[Closed_Date]]-Pipeline_tbl[[#This Row],[Created_Date]])</f>
        <v>14</v>
      </c>
    </row>
    <row r="4818" spans="1:21" ht="15" customHeight="1" x14ac:dyDescent="0.2">
      <c r="A4818" t="s">
        <v>5124</v>
      </c>
      <c r="B4818" t="s">
        <v>229</v>
      </c>
      <c r="C4818" t="s">
        <v>53</v>
      </c>
      <c r="D4818" s="49">
        <v>45701</v>
      </c>
      <c r="E4818" s="49">
        <v>45703</v>
      </c>
      <c r="F4818" s="49">
        <v>45707</v>
      </c>
      <c r="G4818" s="49">
        <v>45712</v>
      </c>
      <c r="I4818" s="49">
        <v>45720</v>
      </c>
      <c r="J4818" t="s">
        <v>49</v>
      </c>
      <c r="K4818" s="33">
        <v>3500</v>
      </c>
      <c r="L4818" t="s">
        <v>60</v>
      </c>
      <c r="M4818" t="str">
        <f>_xlfn.XLOOKUP(Pipeline_tbl[[#This Row],[Rep_ID]],Dim_Reps!A:A,Dim_Reps!K:K)</f>
        <v>USD</v>
      </c>
      <c r="N4818" s="33">
        <f>(_xlfn.XLOOKUP(Pipeline_tbl[[#This Row],[Rate_Code_Generalized]],Lookups!A:A,Lookups!B:B))*Pipeline_tbl[[#This Row],[Pipeline_Amount_USD]]</f>
        <v>4075.0499999999997</v>
      </c>
      <c r="O4818" t="str">
        <f>_xlfn.XLOOKUP(Pipeline_tbl[[#This Row],[Rep_ID]],Dim_Reps!A:A,Dim_Reps!B:B)</f>
        <v>Liam Castro</v>
      </c>
      <c r="P4818" t="str">
        <f>_xlfn.XLOOKUP(Pipeline_tbl[[#This Row],[Rep_ID]],Dim_Reps!A:A,Dim_Reps!C:C)</f>
        <v>SDR / Inside Sales Rep</v>
      </c>
      <c r="Q4818" t="str">
        <f>_xlfn.XLOOKUP(Pipeline_tbl[[#This Row],[Rep_ID]],Dim_Reps!A:A,Dim_Reps!D:D)</f>
        <v>Inside Sales</v>
      </c>
      <c r="R4818" t="str">
        <f>_xlfn.XLOOKUP(Pipeline_tbl[[#This Row],[Rep_ID]],Dim_Reps!A:A,Dim_Reps!E:E)</f>
        <v>NAMER</v>
      </c>
      <c r="S4818" t="str">
        <f>_xlfn.XLOOKUP(Pipeline_tbl[[#This Row],[Created_Date]],Dim_Date!A:A,Dim_Date!H:H)</f>
        <v>Feb 2025</v>
      </c>
      <c r="T4818" t="str">
        <f>IF(Pipeline_tbl[[#This Row],[Closed_Date]]=0,"",(_xlfn.XLOOKUP(Pipeline_tbl[[#This Row],[Closed_Date]],Dim_Date!A:A,Dim_Date!H:H)))</f>
        <v>Mar 2025</v>
      </c>
      <c r="U4818">
        <f>IF(Pipeline_tbl[[#This Row],[Closed_Date]]=0,"",Pipeline_tbl[[#This Row],[Closed_Date]]-Pipeline_tbl[[#This Row],[Created_Date]])</f>
        <v>19</v>
      </c>
    </row>
    <row r="4819" spans="1:21" ht="15" customHeight="1" x14ac:dyDescent="0.2">
      <c r="A4819" t="s">
        <v>5125</v>
      </c>
      <c r="B4819" t="s">
        <v>229</v>
      </c>
      <c r="C4819" t="s">
        <v>54</v>
      </c>
      <c r="D4819" s="49">
        <v>45705</v>
      </c>
      <c r="E4819" s="49">
        <v>45707</v>
      </c>
      <c r="I4819" s="49">
        <v>45725</v>
      </c>
      <c r="J4819" t="s">
        <v>49</v>
      </c>
      <c r="K4819" s="33">
        <v>2800</v>
      </c>
      <c r="L4819" t="s">
        <v>61</v>
      </c>
      <c r="M4819" t="str">
        <f>_xlfn.XLOOKUP(Pipeline_tbl[[#This Row],[Rep_ID]],Dim_Reps!A:A,Dim_Reps!K:K)</f>
        <v>USD</v>
      </c>
      <c r="N4819" s="33">
        <f>(_xlfn.XLOOKUP(Pipeline_tbl[[#This Row],[Rate_Code_Generalized]],Lookups!A:A,Lookups!B:B))*Pipeline_tbl[[#This Row],[Pipeline_Amount_USD]]</f>
        <v>3260.0399999999995</v>
      </c>
      <c r="O4819" t="str">
        <f>_xlfn.XLOOKUP(Pipeline_tbl[[#This Row],[Rep_ID]],Dim_Reps!A:A,Dim_Reps!B:B)</f>
        <v>Liam Castro</v>
      </c>
      <c r="P4819" t="str">
        <f>_xlfn.XLOOKUP(Pipeline_tbl[[#This Row],[Rep_ID]],Dim_Reps!A:A,Dim_Reps!C:C)</f>
        <v>SDR / Inside Sales Rep</v>
      </c>
      <c r="Q4819" t="str">
        <f>_xlfn.XLOOKUP(Pipeline_tbl[[#This Row],[Rep_ID]],Dim_Reps!A:A,Dim_Reps!D:D)</f>
        <v>Inside Sales</v>
      </c>
      <c r="R4819" t="str">
        <f>_xlfn.XLOOKUP(Pipeline_tbl[[#This Row],[Rep_ID]],Dim_Reps!A:A,Dim_Reps!E:E)</f>
        <v>NAMER</v>
      </c>
      <c r="S4819" t="str">
        <f>_xlfn.XLOOKUP(Pipeline_tbl[[#This Row],[Created_Date]],Dim_Date!A:A,Dim_Date!H:H)</f>
        <v>Feb 2025</v>
      </c>
      <c r="T4819" t="str">
        <f>IF(Pipeline_tbl[[#This Row],[Closed_Date]]=0,"",(_xlfn.XLOOKUP(Pipeline_tbl[[#This Row],[Closed_Date]],Dim_Date!A:A,Dim_Date!H:H)))</f>
        <v>Mar 2025</v>
      </c>
      <c r="U4819">
        <f>IF(Pipeline_tbl[[#This Row],[Closed_Date]]=0,"",Pipeline_tbl[[#This Row],[Closed_Date]]-Pipeline_tbl[[#This Row],[Created_Date]])</f>
        <v>20</v>
      </c>
    </row>
    <row r="4820" spans="1:21" ht="15" customHeight="1" x14ac:dyDescent="0.2">
      <c r="A4820" t="s">
        <v>5126</v>
      </c>
      <c r="B4820" t="s">
        <v>229</v>
      </c>
      <c r="C4820" t="s">
        <v>53</v>
      </c>
      <c r="D4820" s="49">
        <v>45698</v>
      </c>
      <c r="E4820" s="49">
        <v>45700</v>
      </c>
      <c r="I4820" s="49">
        <v>45721</v>
      </c>
      <c r="J4820" t="s">
        <v>49</v>
      </c>
      <c r="K4820" s="33">
        <v>2700</v>
      </c>
      <c r="L4820" t="s">
        <v>64</v>
      </c>
      <c r="M4820" t="str">
        <f>_xlfn.XLOOKUP(Pipeline_tbl[[#This Row],[Rep_ID]],Dim_Reps!A:A,Dim_Reps!K:K)</f>
        <v>USD</v>
      </c>
      <c r="N4820" s="33">
        <f>(_xlfn.XLOOKUP(Pipeline_tbl[[#This Row],[Rate_Code_Generalized]],Lookups!A:A,Lookups!B:B))*Pipeline_tbl[[#This Row],[Pipeline_Amount_USD]]</f>
        <v>3143.6099999999997</v>
      </c>
      <c r="O4820" t="str">
        <f>_xlfn.XLOOKUP(Pipeline_tbl[[#This Row],[Rep_ID]],Dim_Reps!A:A,Dim_Reps!B:B)</f>
        <v>Liam Castro</v>
      </c>
      <c r="P4820" t="str">
        <f>_xlfn.XLOOKUP(Pipeline_tbl[[#This Row],[Rep_ID]],Dim_Reps!A:A,Dim_Reps!C:C)</f>
        <v>SDR / Inside Sales Rep</v>
      </c>
      <c r="Q4820" t="str">
        <f>_xlfn.XLOOKUP(Pipeline_tbl[[#This Row],[Rep_ID]],Dim_Reps!A:A,Dim_Reps!D:D)</f>
        <v>Inside Sales</v>
      </c>
      <c r="R4820" t="str">
        <f>_xlfn.XLOOKUP(Pipeline_tbl[[#This Row],[Rep_ID]],Dim_Reps!A:A,Dim_Reps!E:E)</f>
        <v>NAMER</v>
      </c>
      <c r="S4820" t="str">
        <f>_xlfn.XLOOKUP(Pipeline_tbl[[#This Row],[Created_Date]],Dim_Date!A:A,Dim_Date!H:H)</f>
        <v>Feb 2025</v>
      </c>
      <c r="T4820" t="str">
        <f>IF(Pipeline_tbl[[#This Row],[Closed_Date]]=0,"",(_xlfn.XLOOKUP(Pipeline_tbl[[#This Row],[Closed_Date]],Dim_Date!A:A,Dim_Date!H:H)))</f>
        <v>Mar 2025</v>
      </c>
      <c r="U4820">
        <f>IF(Pipeline_tbl[[#This Row],[Closed_Date]]=0,"",Pipeline_tbl[[#This Row],[Closed_Date]]-Pipeline_tbl[[#This Row],[Created_Date]])</f>
        <v>23</v>
      </c>
    </row>
    <row r="4821" spans="1:21" ht="15" customHeight="1" x14ac:dyDescent="0.2">
      <c r="A4821" t="s">
        <v>5127</v>
      </c>
      <c r="B4821" t="s">
        <v>229</v>
      </c>
      <c r="C4821" t="s">
        <v>53</v>
      </c>
      <c r="D4821" s="49">
        <v>45709</v>
      </c>
      <c r="E4821" s="49">
        <v>45711</v>
      </c>
      <c r="I4821" s="49">
        <v>45731</v>
      </c>
      <c r="J4821" t="s">
        <v>49</v>
      </c>
      <c r="K4821" s="33">
        <v>5100</v>
      </c>
      <c r="L4821" t="s">
        <v>62</v>
      </c>
      <c r="M4821" t="str">
        <f>_xlfn.XLOOKUP(Pipeline_tbl[[#This Row],[Rep_ID]],Dim_Reps!A:A,Dim_Reps!K:K)</f>
        <v>USD</v>
      </c>
      <c r="N4821" s="33">
        <f>(_xlfn.XLOOKUP(Pipeline_tbl[[#This Row],[Rate_Code_Generalized]],Lookups!A:A,Lookups!B:B))*Pipeline_tbl[[#This Row],[Pipeline_Amount_USD]]</f>
        <v>5937.9299999999994</v>
      </c>
      <c r="O4821" t="str">
        <f>_xlfn.XLOOKUP(Pipeline_tbl[[#This Row],[Rep_ID]],Dim_Reps!A:A,Dim_Reps!B:B)</f>
        <v>Liam Castro</v>
      </c>
      <c r="P4821" t="str">
        <f>_xlfn.XLOOKUP(Pipeline_tbl[[#This Row],[Rep_ID]],Dim_Reps!A:A,Dim_Reps!C:C)</f>
        <v>SDR / Inside Sales Rep</v>
      </c>
      <c r="Q4821" t="str">
        <f>_xlfn.XLOOKUP(Pipeline_tbl[[#This Row],[Rep_ID]],Dim_Reps!A:A,Dim_Reps!D:D)</f>
        <v>Inside Sales</v>
      </c>
      <c r="R4821" t="str">
        <f>_xlfn.XLOOKUP(Pipeline_tbl[[#This Row],[Rep_ID]],Dim_Reps!A:A,Dim_Reps!E:E)</f>
        <v>NAMER</v>
      </c>
      <c r="S4821" t="str">
        <f>_xlfn.XLOOKUP(Pipeline_tbl[[#This Row],[Created_Date]],Dim_Date!A:A,Dim_Date!H:H)</f>
        <v>Feb 2025</v>
      </c>
      <c r="T4821" t="str">
        <f>IF(Pipeline_tbl[[#This Row],[Closed_Date]]=0,"",(_xlfn.XLOOKUP(Pipeline_tbl[[#This Row],[Closed_Date]],Dim_Date!A:A,Dim_Date!H:H)))</f>
        <v>Mar 2025</v>
      </c>
      <c r="U4821">
        <f>IF(Pipeline_tbl[[#This Row],[Closed_Date]]=0,"",Pipeline_tbl[[#This Row],[Closed_Date]]-Pipeline_tbl[[#This Row],[Created_Date]])</f>
        <v>22</v>
      </c>
    </row>
    <row r="4822" spans="1:21" ht="15" customHeight="1" x14ac:dyDescent="0.2">
      <c r="A4822" t="s">
        <v>5128</v>
      </c>
      <c r="B4822" t="s">
        <v>229</v>
      </c>
      <c r="C4822" t="s">
        <v>53</v>
      </c>
      <c r="D4822" s="49">
        <v>45711</v>
      </c>
      <c r="E4822" s="49">
        <v>45713</v>
      </c>
      <c r="F4822" s="49">
        <v>45716</v>
      </c>
      <c r="G4822" s="49">
        <v>45722</v>
      </c>
      <c r="H4822" s="49">
        <v>45726</v>
      </c>
      <c r="I4822" s="49">
        <v>45729</v>
      </c>
      <c r="J4822" t="s">
        <v>47</v>
      </c>
      <c r="K4822" s="33">
        <v>3200</v>
      </c>
      <c r="M4822" t="str">
        <f>_xlfn.XLOOKUP(Pipeline_tbl[[#This Row],[Rep_ID]],Dim_Reps!A:A,Dim_Reps!K:K)</f>
        <v>USD</v>
      </c>
      <c r="N4822" s="33">
        <f>(_xlfn.XLOOKUP(Pipeline_tbl[[#This Row],[Rate_Code_Generalized]],Lookups!A:A,Lookups!B:B))*Pipeline_tbl[[#This Row],[Pipeline_Amount_USD]]</f>
        <v>3725.7599999999998</v>
      </c>
      <c r="O4822" t="str">
        <f>_xlfn.XLOOKUP(Pipeline_tbl[[#This Row],[Rep_ID]],Dim_Reps!A:A,Dim_Reps!B:B)</f>
        <v>Liam Castro</v>
      </c>
      <c r="P4822" t="str">
        <f>_xlfn.XLOOKUP(Pipeline_tbl[[#This Row],[Rep_ID]],Dim_Reps!A:A,Dim_Reps!C:C)</f>
        <v>SDR / Inside Sales Rep</v>
      </c>
      <c r="Q4822" t="str">
        <f>_xlfn.XLOOKUP(Pipeline_tbl[[#This Row],[Rep_ID]],Dim_Reps!A:A,Dim_Reps!D:D)</f>
        <v>Inside Sales</v>
      </c>
      <c r="R4822" t="str">
        <f>_xlfn.XLOOKUP(Pipeline_tbl[[#This Row],[Rep_ID]],Dim_Reps!A:A,Dim_Reps!E:E)</f>
        <v>NAMER</v>
      </c>
      <c r="S4822" t="str">
        <f>_xlfn.XLOOKUP(Pipeline_tbl[[#This Row],[Created_Date]],Dim_Date!A:A,Dim_Date!H:H)</f>
        <v>Feb 2025</v>
      </c>
      <c r="T4822" t="str">
        <f>IF(Pipeline_tbl[[#This Row],[Closed_Date]]=0,"",(_xlfn.XLOOKUP(Pipeline_tbl[[#This Row],[Closed_Date]],Dim_Date!A:A,Dim_Date!H:H)))</f>
        <v>Mar 2025</v>
      </c>
      <c r="U4822">
        <f>IF(Pipeline_tbl[[#This Row],[Closed_Date]]=0,"",Pipeline_tbl[[#This Row],[Closed_Date]]-Pipeline_tbl[[#This Row],[Created_Date]])</f>
        <v>18</v>
      </c>
    </row>
    <row r="4823" spans="1:21" ht="15" customHeight="1" x14ac:dyDescent="0.2">
      <c r="A4823" t="s">
        <v>5129</v>
      </c>
      <c r="B4823" t="s">
        <v>229</v>
      </c>
      <c r="C4823" t="s">
        <v>55</v>
      </c>
      <c r="D4823" s="49">
        <v>45705</v>
      </c>
      <c r="E4823" s="49">
        <v>45708</v>
      </c>
      <c r="F4823" s="49">
        <v>45713</v>
      </c>
      <c r="G4823" s="49">
        <v>45721</v>
      </c>
      <c r="H4823" s="49">
        <v>45727</v>
      </c>
      <c r="I4823" s="49">
        <v>45731</v>
      </c>
      <c r="J4823" t="s">
        <v>49</v>
      </c>
      <c r="K4823" s="33">
        <v>2600</v>
      </c>
      <c r="L4823" t="s">
        <v>62</v>
      </c>
      <c r="M4823" t="str">
        <f>_xlfn.XLOOKUP(Pipeline_tbl[[#This Row],[Rep_ID]],Dim_Reps!A:A,Dim_Reps!K:K)</f>
        <v>USD</v>
      </c>
      <c r="N4823" s="33">
        <f>(_xlfn.XLOOKUP(Pipeline_tbl[[#This Row],[Rate_Code_Generalized]],Lookups!A:A,Lookups!B:B))*Pipeline_tbl[[#This Row],[Pipeline_Amount_USD]]</f>
        <v>3027.18</v>
      </c>
      <c r="O4823" t="str">
        <f>_xlfn.XLOOKUP(Pipeline_tbl[[#This Row],[Rep_ID]],Dim_Reps!A:A,Dim_Reps!B:B)</f>
        <v>Liam Castro</v>
      </c>
      <c r="P4823" t="str">
        <f>_xlfn.XLOOKUP(Pipeline_tbl[[#This Row],[Rep_ID]],Dim_Reps!A:A,Dim_Reps!C:C)</f>
        <v>SDR / Inside Sales Rep</v>
      </c>
      <c r="Q4823" t="str">
        <f>_xlfn.XLOOKUP(Pipeline_tbl[[#This Row],[Rep_ID]],Dim_Reps!A:A,Dim_Reps!D:D)</f>
        <v>Inside Sales</v>
      </c>
      <c r="R4823" t="str">
        <f>_xlfn.XLOOKUP(Pipeline_tbl[[#This Row],[Rep_ID]],Dim_Reps!A:A,Dim_Reps!E:E)</f>
        <v>NAMER</v>
      </c>
      <c r="S4823" t="str">
        <f>_xlfn.XLOOKUP(Pipeline_tbl[[#This Row],[Created_Date]],Dim_Date!A:A,Dim_Date!H:H)</f>
        <v>Feb 2025</v>
      </c>
      <c r="T4823" t="str">
        <f>IF(Pipeline_tbl[[#This Row],[Closed_Date]]=0,"",(_xlfn.XLOOKUP(Pipeline_tbl[[#This Row],[Closed_Date]],Dim_Date!A:A,Dim_Date!H:H)))</f>
        <v>Mar 2025</v>
      </c>
      <c r="U4823">
        <f>IF(Pipeline_tbl[[#This Row],[Closed_Date]]=0,"",Pipeline_tbl[[#This Row],[Closed_Date]]-Pipeline_tbl[[#This Row],[Created_Date]])</f>
        <v>26</v>
      </c>
    </row>
    <row r="4824" spans="1:21" ht="15" customHeight="1" x14ac:dyDescent="0.2">
      <c r="A4824" t="s">
        <v>5130</v>
      </c>
      <c r="B4824" t="s">
        <v>229</v>
      </c>
      <c r="C4824" t="s">
        <v>56</v>
      </c>
      <c r="D4824" s="49">
        <v>45713</v>
      </c>
      <c r="E4824" s="49">
        <v>45715</v>
      </c>
      <c r="F4824" s="49">
        <v>45718</v>
      </c>
      <c r="G4824" s="49">
        <v>45723</v>
      </c>
      <c r="H4824" s="49">
        <v>45727</v>
      </c>
      <c r="I4824" s="49">
        <v>45730</v>
      </c>
      <c r="J4824" t="s">
        <v>49</v>
      </c>
      <c r="K4824" s="33">
        <v>7300</v>
      </c>
      <c r="L4824" t="s">
        <v>63</v>
      </c>
      <c r="M4824" t="str">
        <f>_xlfn.XLOOKUP(Pipeline_tbl[[#This Row],[Rep_ID]],Dim_Reps!A:A,Dim_Reps!K:K)</f>
        <v>USD</v>
      </c>
      <c r="N4824" s="33">
        <f>(_xlfn.XLOOKUP(Pipeline_tbl[[#This Row],[Rate_Code_Generalized]],Lookups!A:A,Lookups!B:B))*Pipeline_tbl[[#This Row],[Pipeline_Amount_USD]]</f>
        <v>8499.39</v>
      </c>
      <c r="O4824" t="str">
        <f>_xlfn.XLOOKUP(Pipeline_tbl[[#This Row],[Rep_ID]],Dim_Reps!A:A,Dim_Reps!B:B)</f>
        <v>Liam Castro</v>
      </c>
      <c r="P4824" t="str">
        <f>_xlfn.XLOOKUP(Pipeline_tbl[[#This Row],[Rep_ID]],Dim_Reps!A:A,Dim_Reps!C:C)</f>
        <v>SDR / Inside Sales Rep</v>
      </c>
      <c r="Q4824" t="str">
        <f>_xlfn.XLOOKUP(Pipeline_tbl[[#This Row],[Rep_ID]],Dim_Reps!A:A,Dim_Reps!D:D)</f>
        <v>Inside Sales</v>
      </c>
      <c r="R4824" t="str">
        <f>_xlfn.XLOOKUP(Pipeline_tbl[[#This Row],[Rep_ID]],Dim_Reps!A:A,Dim_Reps!E:E)</f>
        <v>NAMER</v>
      </c>
      <c r="S4824" t="str">
        <f>_xlfn.XLOOKUP(Pipeline_tbl[[#This Row],[Created_Date]],Dim_Date!A:A,Dim_Date!H:H)</f>
        <v>Feb 2025</v>
      </c>
      <c r="T4824" t="str">
        <f>IF(Pipeline_tbl[[#This Row],[Closed_Date]]=0,"",(_xlfn.XLOOKUP(Pipeline_tbl[[#This Row],[Closed_Date]],Dim_Date!A:A,Dim_Date!H:H)))</f>
        <v>Mar 2025</v>
      </c>
      <c r="U4824">
        <f>IF(Pipeline_tbl[[#This Row],[Closed_Date]]=0,"",Pipeline_tbl[[#This Row],[Closed_Date]]-Pipeline_tbl[[#This Row],[Created_Date]])</f>
        <v>17</v>
      </c>
    </row>
    <row r="4825" spans="1:21" ht="15" customHeight="1" x14ac:dyDescent="0.2">
      <c r="A4825" t="s">
        <v>5131</v>
      </c>
      <c r="B4825" t="s">
        <v>229</v>
      </c>
      <c r="C4825" t="s">
        <v>53</v>
      </c>
      <c r="D4825" s="49">
        <v>45702</v>
      </c>
      <c r="E4825" s="49">
        <v>45704</v>
      </c>
      <c r="F4825" s="49">
        <v>45709</v>
      </c>
      <c r="G4825" s="49">
        <v>45715</v>
      </c>
      <c r="H4825" s="49">
        <v>45721</v>
      </c>
      <c r="I4825" s="49">
        <v>45724</v>
      </c>
      <c r="J4825" t="s">
        <v>47</v>
      </c>
      <c r="K4825" s="33">
        <v>2800</v>
      </c>
      <c r="M4825" t="str">
        <f>_xlfn.XLOOKUP(Pipeline_tbl[[#This Row],[Rep_ID]],Dim_Reps!A:A,Dim_Reps!K:K)</f>
        <v>USD</v>
      </c>
      <c r="N4825" s="33">
        <f>(_xlfn.XLOOKUP(Pipeline_tbl[[#This Row],[Rate_Code_Generalized]],Lookups!A:A,Lookups!B:B))*Pipeline_tbl[[#This Row],[Pipeline_Amount_USD]]</f>
        <v>3260.0399999999995</v>
      </c>
      <c r="O4825" t="str">
        <f>_xlfn.XLOOKUP(Pipeline_tbl[[#This Row],[Rep_ID]],Dim_Reps!A:A,Dim_Reps!B:B)</f>
        <v>Liam Castro</v>
      </c>
      <c r="P4825" t="str">
        <f>_xlfn.XLOOKUP(Pipeline_tbl[[#This Row],[Rep_ID]],Dim_Reps!A:A,Dim_Reps!C:C)</f>
        <v>SDR / Inside Sales Rep</v>
      </c>
      <c r="Q4825" t="str">
        <f>_xlfn.XLOOKUP(Pipeline_tbl[[#This Row],[Rep_ID]],Dim_Reps!A:A,Dim_Reps!D:D)</f>
        <v>Inside Sales</v>
      </c>
      <c r="R4825" t="str">
        <f>_xlfn.XLOOKUP(Pipeline_tbl[[#This Row],[Rep_ID]],Dim_Reps!A:A,Dim_Reps!E:E)</f>
        <v>NAMER</v>
      </c>
      <c r="S4825" t="str">
        <f>_xlfn.XLOOKUP(Pipeline_tbl[[#This Row],[Created_Date]],Dim_Date!A:A,Dim_Date!H:H)</f>
        <v>Feb 2025</v>
      </c>
      <c r="T4825" t="str">
        <f>IF(Pipeline_tbl[[#This Row],[Closed_Date]]=0,"",(_xlfn.XLOOKUP(Pipeline_tbl[[#This Row],[Closed_Date]],Dim_Date!A:A,Dim_Date!H:H)))</f>
        <v>Mar 2025</v>
      </c>
      <c r="U4825">
        <f>IF(Pipeline_tbl[[#This Row],[Closed_Date]]=0,"",Pipeline_tbl[[#This Row],[Closed_Date]]-Pipeline_tbl[[#This Row],[Created_Date]])</f>
        <v>22</v>
      </c>
    </row>
    <row r="4826" spans="1:21" ht="15" customHeight="1" x14ac:dyDescent="0.2">
      <c r="A4826" t="s">
        <v>5132</v>
      </c>
      <c r="B4826" t="s">
        <v>229</v>
      </c>
      <c r="C4826" t="s">
        <v>53</v>
      </c>
      <c r="D4826" s="49">
        <v>45711</v>
      </c>
      <c r="E4826" s="49">
        <v>45713</v>
      </c>
      <c r="F4826" s="49">
        <v>45716</v>
      </c>
      <c r="G4826" s="49">
        <v>45721</v>
      </c>
      <c r="I4826" s="49">
        <v>45728</v>
      </c>
      <c r="J4826" t="s">
        <v>49</v>
      </c>
      <c r="K4826" s="33">
        <v>2700</v>
      </c>
      <c r="L4826" t="s">
        <v>63</v>
      </c>
      <c r="M4826" t="str">
        <f>_xlfn.XLOOKUP(Pipeline_tbl[[#This Row],[Rep_ID]],Dim_Reps!A:A,Dim_Reps!K:K)</f>
        <v>USD</v>
      </c>
      <c r="N4826" s="33">
        <f>(_xlfn.XLOOKUP(Pipeline_tbl[[#This Row],[Rate_Code_Generalized]],Lookups!A:A,Lookups!B:B))*Pipeline_tbl[[#This Row],[Pipeline_Amount_USD]]</f>
        <v>3143.6099999999997</v>
      </c>
      <c r="O4826" t="str">
        <f>_xlfn.XLOOKUP(Pipeline_tbl[[#This Row],[Rep_ID]],Dim_Reps!A:A,Dim_Reps!B:B)</f>
        <v>Liam Castro</v>
      </c>
      <c r="P4826" t="str">
        <f>_xlfn.XLOOKUP(Pipeline_tbl[[#This Row],[Rep_ID]],Dim_Reps!A:A,Dim_Reps!C:C)</f>
        <v>SDR / Inside Sales Rep</v>
      </c>
      <c r="Q4826" t="str">
        <f>_xlfn.XLOOKUP(Pipeline_tbl[[#This Row],[Rep_ID]],Dim_Reps!A:A,Dim_Reps!D:D)</f>
        <v>Inside Sales</v>
      </c>
      <c r="R4826" t="str">
        <f>_xlfn.XLOOKUP(Pipeline_tbl[[#This Row],[Rep_ID]],Dim_Reps!A:A,Dim_Reps!E:E)</f>
        <v>NAMER</v>
      </c>
      <c r="S4826" t="str">
        <f>_xlfn.XLOOKUP(Pipeline_tbl[[#This Row],[Created_Date]],Dim_Date!A:A,Dim_Date!H:H)</f>
        <v>Feb 2025</v>
      </c>
      <c r="T4826" t="str">
        <f>IF(Pipeline_tbl[[#This Row],[Closed_Date]]=0,"",(_xlfn.XLOOKUP(Pipeline_tbl[[#This Row],[Closed_Date]],Dim_Date!A:A,Dim_Date!H:H)))</f>
        <v>Mar 2025</v>
      </c>
      <c r="U4826">
        <f>IF(Pipeline_tbl[[#This Row],[Closed_Date]]=0,"",Pipeline_tbl[[#This Row],[Closed_Date]]-Pipeline_tbl[[#This Row],[Created_Date]])</f>
        <v>17</v>
      </c>
    </row>
    <row r="4827" spans="1:21" ht="15" customHeight="1" x14ac:dyDescent="0.2">
      <c r="A4827" t="s">
        <v>5133</v>
      </c>
      <c r="B4827" t="s">
        <v>231</v>
      </c>
      <c r="C4827" t="s">
        <v>53</v>
      </c>
      <c r="D4827" s="49">
        <v>45696</v>
      </c>
      <c r="E4827" s="49">
        <v>45698</v>
      </c>
      <c r="F4827" s="49">
        <v>45703</v>
      </c>
      <c r="G4827" s="49">
        <v>45710</v>
      </c>
      <c r="H4827" s="49">
        <v>45716</v>
      </c>
      <c r="I4827" s="49">
        <v>45720</v>
      </c>
      <c r="J4827" t="s">
        <v>49</v>
      </c>
      <c r="K4827" s="33">
        <v>1800</v>
      </c>
      <c r="L4827" t="s">
        <v>61</v>
      </c>
      <c r="M4827" t="str">
        <f>_xlfn.XLOOKUP(Pipeline_tbl[[#This Row],[Rep_ID]],Dim_Reps!A:A,Dim_Reps!K:K)</f>
        <v>MXN</v>
      </c>
      <c r="N4827" s="33">
        <f>(_xlfn.XLOOKUP(Pipeline_tbl[[#This Row],[Rate_Code_Generalized]],Lookups!A:A,Lookups!B:B))*Pipeline_tbl[[#This Row],[Pipeline_Amount_USD]]</f>
        <v>35518.86</v>
      </c>
      <c r="O4827" t="str">
        <f>_xlfn.XLOOKUP(Pipeline_tbl[[#This Row],[Rep_ID]],Dim_Reps!A:A,Dim_Reps!B:B)</f>
        <v>Ben Silva</v>
      </c>
      <c r="P4827" t="str">
        <f>_xlfn.XLOOKUP(Pipeline_tbl[[#This Row],[Rep_ID]],Dim_Reps!A:A,Dim_Reps!C:C)</f>
        <v>SDR / Inside Sales Rep</v>
      </c>
      <c r="Q4827" t="str">
        <f>_xlfn.XLOOKUP(Pipeline_tbl[[#This Row],[Rep_ID]],Dim_Reps!A:A,Dim_Reps!D:D)</f>
        <v>Inside Sales</v>
      </c>
      <c r="R4827" t="str">
        <f>_xlfn.XLOOKUP(Pipeline_tbl[[#This Row],[Rep_ID]],Dim_Reps!A:A,Dim_Reps!E:E)</f>
        <v>LATAM</v>
      </c>
      <c r="S4827" t="str">
        <f>_xlfn.XLOOKUP(Pipeline_tbl[[#This Row],[Created_Date]],Dim_Date!A:A,Dim_Date!H:H)</f>
        <v>Feb 2025</v>
      </c>
      <c r="T4827" t="str">
        <f>IF(Pipeline_tbl[[#This Row],[Closed_Date]]=0,"",(_xlfn.XLOOKUP(Pipeline_tbl[[#This Row],[Closed_Date]],Dim_Date!A:A,Dim_Date!H:H)))</f>
        <v>Mar 2025</v>
      </c>
      <c r="U4827">
        <f>IF(Pipeline_tbl[[#This Row],[Closed_Date]]=0,"",Pipeline_tbl[[#This Row],[Closed_Date]]-Pipeline_tbl[[#This Row],[Created_Date]])</f>
        <v>24</v>
      </c>
    </row>
    <row r="4828" spans="1:21" ht="15" customHeight="1" x14ac:dyDescent="0.2">
      <c r="A4828" t="s">
        <v>5134</v>
      </c>
      <c r="B4828" t="s">
        <v>231</v>
      </c>
      <c r="C4828" t="s">
        <v>54</v>
      </c>
      <c r="D4828" s="49">
        <v>45702</v>
      </c>
      <c r="E4828" s="49">
        <v>45704</v>
      </c>
      <c r="F4828" s="49">
        <v>45707</v>
      </c>
      <c r="G4828" s="49">
        <v>45711</v>
      </c>
      <c r="H4828" s="49">
        <v>45715</v>
      </c>
      <c r="I4828" s="49">
        <v>45717</v>
      </c>
      <c r="J4828" t="s">
        <v>47</v>
      </c>
      <c r="K4828" s="33">
        <v>3000</v>
      </c>
      <c r="M4828" t="str">
        <f>_xlfn.XLOOKUP(Pipeline_tbl[[#This Row],[Rep_ID]],Dim_Reps!A:A,Dim_Reps!K:K)</f>
        <v>MXN</v>
      </c>
      <c r="N4828" s="33">
        <f>(_xlfn.XLOOKUP(Pipeline_tbl[[#This Row],[Rate_Code_Generalized]],Lookups!A:A,Lookups!B:B))*Pipeline_tbl[[#This Row],[Pipeline_Amount_USD]]</f>
        <v>59198.100000000006</v>
      </c>
      <c r="O4828" t="str">
        <f>_xlfn.XLOOKUP(Pipeline_tbl[[#This Row],[Rep_ID]],Dim_Reps!A:A,Dim_Reps!B:B)</f>
        <v>Ben Silva</v>
      </c>
      <c r="P4828" t="str">
        <f>_xlfn.XLOOKUP(Pipeline_tbl[[#This Row],[Rep_ID]],Dim_Reps!A:A,Dim_Reps!C:C)</f>
        <v>SDR / Inside Sales Rep</v>
      </c>
      <c r="Q4828" t="str">
        <f>_xlfn.XLOOKUP(Pipeline_tbl[[#This Row],[Rep_ID]],Dim_Reps!A:A,Dim_Reps!D:D)</f>
        <v>Inside Sales</v>
      </c>
      <c r="R4828" t="str">
        <f>_xlfn.XLOOKUP(Pipeline_tbl[[#This Row],[Rep_ID]],Dim_Reps!A:A,Dim_Reps!E:E)</f>
        <v>LATAM</v>
      </c>
      <c r="S4828" t="str">
        <f>_xlfn.XLOOKUP(Pipeline_tbl[[#This Row],[Created_Date]],Dim_Date!A:A,Dim_Date!H:H)</f>
        <v>Feb 2025</v>
      </c>
      <c r="T4828" t="str">
        <f>IF(Pipeline_tbl[[#This Row],[Closed_Date]]=0,"",(_xlfn.XLOOKUP(Pipeline_tbl[[#This Row],[Closed_Date]],Dim_Date!A:A,Dim_Date!H:H)))</f>
        <v>Mar 2025</v>
      </c>
      <c r="U4828">
        <f>IF(Pipeline_tbl[[#This Row],[Closed_Date]]=0,"",Pipeline_tbl[[#This Row],[Closed_Date]]-Pipeline_tbl[[#This Row],[Created_Date]])</f>
        <v>15</v>
      </c>
    </row>
    <row r="4829" spans="1:21" ht="15" customHeight="1" x14ac:dyDescent="0.2">
      <c r="A4829" t="s">
        <v>5135</v>
      </c>
      <c r="B4829" t="s">
        <v>231</v>
      </c>
      <c r="C4829" t="s">
        <v>52</v>
      </c>
      <c r="D4829" s="49">
        <v>45704</v>
      </c>
      <c r="E4829" s="49">
        <v>45705</v>
      </c>
      <c r="F4829" s="49">
        <v>45708</v>
      </c>
      <c r="G4829" s="49">
        <v>45712</v>
      </c>
      <c r="I4829" s="49">
        <v>45718</v>
      </c>
      <c r="J4829" t="s">
        <v>49</v>
      </c>
      <c r="K4829" s="33">
        <v>4700</v>
      </c>
      <c r="L4829" t="s">
        <v>61</v>
      </c>
      <c r="M4829" t="str">
        <f>_xlfn.XLOOKUP(Pipeline_tbl[[#This Row],[Rep_ID]],Dim_Reps!A:A,Dim_Reps!K:K)</f>
        <v>MXN</v>
      </c>
      <c r="N4829" s="33">
        <f>(_xlfn.XLOOKUP(Pipeline_tbl[[#This Row],[Rate_Code_Generalized]],Lookups!A:A,Lookups!B:B))*Pipeline_tbl[[#This Row],[Pipeline_Amount_USD]]</f>
        <v>92743.69</v>
      </c>
      <c r="O4829" t="str">
        <f>_xlfn.XLOOKUP(Pipeline_tbl[[#This Row],[Rep_ID]],Dim_Reps!A:A,Dim_Reps!B:B)</f>
        <v>Ben Silva</v>
      </c>
      <c r="P4829" t="str">
        <f>_xlfn.XLOOKUP(Pipeline_tbl[[#This Row],[Rep_ID]],Dim_Reps!A:A,Dim_Reps!C:C)</f>
        <v>SDR / Inside Sales Rep</v>
      </c>
      <c r="Q4829" t="str">
        <f>_xlfn.XLOOKUP(Pipeline_tbl[[#This Row],[Rep_ID]],Dim_Reps!A:A,Dim_Reps!D:D)</f>
        <v>Inside Sales</v>
      </c>
      <c r="R4829" t="str">
        <f>_xlfn.XLOOKUP(Pipeline_tbl[[#This Row],[Rep_ID]],Dim_Reps!A:A,Dim_Reps!E:E)</f>
        <v>LATAM</v>
      </c>
      <c r="S4829" t="str">
        <f>_xlfn.XLOOKUP(Pipeline_tbl[[#This Row],[Created_Date]],Dim_Date!A:A,Dim_Date!H:H)</f>
        <v>Feb 2025</v>
      </c>
      <c r="T4829" t="str">
        <f>IF(Pipeline_tbl[[#This Row],[Closed_Date]]=0,"",(_xlfn.XLOOKUP(Pipeline_tbl[[#This Row],[Closed_Date]],Dim_Date!A:A,Dim_Date!H:H)))</f>
        <v>Mar 2025</v>
      </c>
      <c r="U4829">
        <f>IF(Pipeline_tbl[[#This Row],[Closed_Date]]=0,"",Pipeline_tbl[[#This Row],[Closed_Date]]-Pipeline_tbl[[#This Row],[Created_Date]])</f>
        <v>14</v>
      </c>
    </row>
    <row r="4830" spans="1:21" ht="15" customHeight="1" x14ac:dyDescent="0.2">
      <c r="A4830" t="s">
        <v>5136</v>
      </c>
      <c r="B4830" t="s">
        <v>231</v>
      </c>
      <c r="C4830" t="s">
        <v>54</v>
      </c>
      <c r="D4830" s="49">
        <v>45711</v>
      </c>
      <c r="E4830" s="49">
        <v>45713</v>
      </c>
      <c r="F4830" s="49">
        <v>45716</v>
      </c>
      <c r="G4830" s="49">
        <v>45721</v>
      </c>
      <c r="H4830" s="49">
        <v>45725</v>
      </c>
      <c r="I4830" s="49">
        <v>45728</v>
      </c>
      <c r="J4830" t="s">
        <v>49</v>
      </c>
      <c r="K4830" s="33">
        <v>4200</v>
      </c>
      <c r="L4830" t="s">
        <v>61</v>
      </c>
      <c r="M4830" t="str">
        <f>_xlfn.XLOOKUP(Pipeline_tbl[[#This Row],[Rep_ID]],Dim_Reps!A:A,Dim_Reps!K:K)</f>
        <v>MXN</v>
      </c>
      <c r="N4830" s="33">
        <f>(_xlfn.XLOOKUP(Pipeline_tbl[[#This Row],[Rate_Code_Generalized]],Lookups!A:A,Lookups!B:B))*Pipeline_tbl[[#This Row],[Pipeline_Amount_USD]]</f>
        <v>82877.340000000011</v>
      </c>
      <c r="O4830" t="str">
        <f>_xlfn.XLOOKUP(Pipeline_tbl[[#This Row],[Rep_ID]],Dim_Reps!A:A,Dim_Reps!B:B)</f>
        <v>Ben Silva</v>
      </c>
      <c r="P4830" t="str">
        <f>_xlfn.XLOOKUP(Pipeline_tbl[[#This Row],[Rep_ID]],Dim_Reps!A:A,Dim_Reps!C:C)</f>
        <v>SDR / Inside Sales Rep</v>
      </c>
      <c r="Q4830" t="str">
        <f>_xlfn.XLOOKUP(Pipeline_tbl[[#This Row],[Rep_ID]],Dim_Reps!A:A,Dim_Reps!D:D)</f>
        <v>Inside Sales</v>
      </c>
      <c r="R4830" t="str">
        <f>_xlfn.XLOOKUP(Pipeline_tbl[[#This Row],[Rep_ID]],Dim_Reps!A:A,Dim_Reps!E:E)</f>
        <v>LATAM</v>
      </c>
      <c r="S4830" t="str">
        <f>_xlfn.XLOOKUP(Pipeline_tbl[[#This Row],[Created_Date]],Dim_Date!A:A,Dim_Date!H:H)</f>
        <v>Feb 2025</v>
      </c>
      <c r="T4830" t="str">
        <f>IF(Pipeline_tbl[[#This Row],[Closed_Date]]=0,"",(_xlfn.XLOOKUP(Pipeline_tbl[[#This Row],[Closed_Date]],Dim_Date!A:A,Dim_Date!H:H)))</f>
        <v>Mar 2025</v>
      </c>
      <c r="U4830">
        <f>IF(Pipeline_tbl[[#This Row],[Closed_Date]]=0,"",Pipeline_tbl[[#This Row],[Closed_Date]]-Pipeline_tbl[[#This Row],[Created_Date]])</f>
        <v>17</v>
      </c>
    </row>
    <row r="4831" spans="1:21" ht="15" customHeight="1" x14ac:dyDescent="0.2">
      <c r="A4831" t="s">
        <v>5137</v>
      </c>
      <c r="B4831" t="s">
        <v>231</v>
      </c>
      <c r="C4831" t="s">
        <v>52</v>
      </c>
      <c r="D4831" s="49">
        <v>45691</v>
      </c>
      <c r="E4831" s="49">
        <v>45694</v>
      </c>
      <c r="F4831" s="49">
        <v>45699</v>
      </c>
      <c r="G4831" s="49">
        <v>45707</v>
      </c>
      <c r="H4831" s="49">
        <v>45714</v>
      </c>
      <c r="I4831" s="49">
        <v>45718</v>
      </c>
      <c r="J4831" t="s">
        <v>49</v>
      </c>
      <c r="K4831" s="33">
        <v>2400</v>
      </c>
      <c r="L4831" t="s">
        <v>61</v>
      </c>
      <c r="M4831" t="str">
        <f>_xlfn.XLOOKUP(Pipeline_tbl[[#This Row],[Rep_ID]],Dim_Reps!A:A,Dim_Reps!K:K)</f>
        <v>MXN</v>
      </c>
      <c r="N4831" s="33">
        <f>(_xlfn.XLOOKUP(Pipeline_tbl[[#This Row],[Rate_Code_Generalized]],Lookups!A:A,Lookups!B:B))*Pipeline_tbl[[#This Row],[Pipeline_Amount_USD]]</f>
        <v>47358.48</v>
      </c>
      <c r="O4831" t="str">
        <f>_xlfn.XLOOKUP(Pipeline_tbl[[#This Row],[Rep_ID]],Dim_Reps!A:A,Dim_Reps!B:B)</f>
        <v>Ben Silva</v>
      </c>
      <c r="P4831" t="str">
        <f>_xlfn.XLOOKUP(Pipeline_tbl[[#This Row],[Rep_ID]],Dim_Reps!A:A,Dim_Reps!C:C)</f>
        <v>SDR / Inside Sales Rep</v>
      </c>
      <c r="Q4831" t="str">
        <f>_xlfn.XLOOKUP(Pipeline_tbl[[#This Row],[Rep_ID]],Dim_Reps!A:A,Dim_Reps!D:D)</f>
        <v>Inside Sales</v>
      </c>
      <c r="R4831" t="str">
        <f>_xlfn.XLOOKUP(Pipeline_tbl[[#This Row],[Rep_ID]],Dim_Reps!A:A,Dim_Reps!E:E)</f>
        <v>LATAM</v>
      </c>
      <c r="S4831" t="str">
        <f>_xlfn.XLOOKUP(Pipeline_tbl[[#This Row],[Created_Date]],Dim_Date!A:A,Dim_Date!H:H)</f>
        <v>Feb 2025</v>
      </c>
      <c r="T4831" t="str">
        <f>IF(Pipeline_tbl[[#This Row],[Closed_Date]]=0,"",(_xlfn.XLOOKUP(Pipeline_tbl[[#This Row],[Closed_Date]],Dim_Date!A:A,Dim_Date!H:H)))</f>
        <v>Mar 2025</v>
      </c>
      <c r="U4831">
        <f>IF(Pipeline_tbl[[#This Row],[Closed_Date]]=0,"",Pipeline_tbl[[#This Row],[Closed_Date]]-Pipeline_tbl[[#This Row],[Created_Date]])</f>
        <v>27</v>
      </c>
    </row>
    <row r="4832" spans="1:21" ht="15" customHeight="1" x14ac:dyDescent="0.2">
      <c r="A4832" t="s">
        <v>5138</v>
      </c>
      <c r="B4832" t="s">
        <v>263</v>
      </c>
      <c r="C4832" t="s">
        <v>54</v>
      </c>
      <c r="D4832" s="49">
        <v>45704</v>
      </c>
      <c r="E4832" s="49">
        <v>45707</v>
      </c>
      <c r="F4832" s="49">
        <v>45714</v>
      </c>
      <c r="I4832" s="49">
        <v>45736</v>
      </c>
      <c r="J4832" t="s">
        <v>49</v>
      </c>
      <c r="K4832" s="33">
        <v>16900</v>
      </c>
      <c r="L4832" t="s">
        <v>61</v>
      </c>
      <c r="M4832" t="str">
        <f>_xlfn.XLOOKUP(Pipeline_tbl[[#This Row],[Rep_ID]],Dim_Reps!A:A,Dim_Reps!K:K)</f>
        <v>USD</v>
      </c>
      <c r="N4832" s="33">
        <f>(_xlfn.XLOOKUP(Pipeline_tbl[[#This Row],[Rate_Code_Generalized]],Lookups!A:A,Lookups!B:B))*Pipeline_tbl[[#This Row],[Pipeline_Amount_USD]]</f>
        <v>19676.669999999998</v>
      </c>
      <c r="O4832" t="str">
        <f>_xlfn.XLOOKUP(Pipeline_tbl[[#This Row],[Rep_ID]],Dim_Reps!A:A,Dim_Reps!B:B)</f>
        <v>Morgan Weber</v>
      </c>
      <c r="P4832" t="str">
        <f>_xlfn.XLOOKUP(Pipeline_tbl[[#This Row],[Rep_ID]],Dim_Reps!A:A,Dim_Reps!C:C)</f>
        <v>Mid-Market AE</v>
      </c>
      <c r="Q4832" t="str">
        <f>_xlfn.XLOOKUP(Pipeline_tbl[[#This Row],[Rep_ID]],Dim_Reps!A:A,Dim_Reps!D:D)</f>
        <v>Mid-Market</v>
      </c>
      <c r="R4832" t="str">
        <f>_xlfn.XLOOKUP(Pipeline_tbl[[#This Row],[Rep_ID]],Dim_Reps!A:A,Dim_Reps!E:E)</f>
        <v>NAMER</v>
      </c>
      <c r="S4832" t="str">
        <f>_xlfn.XLOOKUP(Pipeline_tbl[[#This Row],[Created_Date]],Dim_Date!A:A,Dim_Date!H:H)</f>
        <v>Feb 2025</v>
      </c>
      <c r="T4832" t="str">
        <f>IF(Pipeline_tbl[[#This Row],[Closed_Date]]=0,"",(_xlfn.XLOOKUP(Pipeline_tbl[[#This Row],[Closed_Date]],Dim_Date!A:A,Dim_Date!H:H)))</f>
        <v>Mar 2025</v>
      </c>
      <c r="U4832">
        <f>IF(Pipeline_tbl[[#This Row],[Closed_Date]]=0,"",Pipeline_tbl[[#This Row],[Closed_Date]]-Pipeline_tbl[[#This Row],[Created_Date]])</f>
        <v>32</v>
      </c>
    </row>
    <row r="4833" spans="1:21" ht="15" customHeight="1" x14ac:dyDescent="0.2">
      <c r="A4833" t="s">
        <v>5139</v>
      </c>
      <c r="B4833" t="s">
        <v>263</v>
      </c>
      <c r="C4833" t="s">
        <v>52</v>
      </c>
      <c r="D4833" s="49">
        <v>45690</v>
      </c>
      <c r="E4833" s="49">
        <v>45695</v>
      </c>
      <c r="F4833" s="49">
        <v>45706</v>
      </c>
      <c r="I4833" s="49">
        <v>45743</v>
      </c>
      <c r="J4833" t="s">
        <v>49</v>
      </c>
      <c r="K4833" s="33">
        <v>24100</v>
      </c>
      <c r="L4833" t="s">
        <v>60</v>
      </c>
      <c r="M4833" t="str">
        <f>_xlfn.XLOOKUP(Pipeline_tbl[[#This Row],[Rep_ID]],Dim_Reps!A:A,Dim_Reps!K:K)</f>
        <v>USD</v>
      </c>
      <c r="N4833" s="33">
        <f>(_xlfn.XLOOKUP(Pipeline_tbl[[#This Row],[Rate_Code_Generalized]],Lookups!A:A,Lookups!B:B))*Pipeline_tbl[[#This Row],[Pipeline_Amount_USD]]</f>
        <v>28059.629999999997</v>
      </c>
      <c r="O4833" t="str">
        <f>_xlfn.XLOOKUP(Pipeline_tbl[[#This Row],[Rep_ID]],Dim_Reps!A:A,Dim_Reps!B:B)</f>
        <v>Morgan Weber</v>
      </c>
      <c r="P4833" t="str">
        <f>_xlfn.XLOOKUP(Pipeline_tbl[[#This Row],[Rep_ID]],Dim_Reps!A:A,Dim_Reps!C:C)</f>
        <v>Mid-Market AE</v>
      </c>
      <c r="Q4833" t="str">
        <f>_xlfn.XLOOKUP(Pipeline_tbl[[#This Row],[Rep_ID]],Dim_Reps!A:A,Dim_Reps!D:D)</f>
        <v>Mid-Market</v>
      </c>
      <c r="R4833" t="str">
        <f>_xlfn.XLOOKUP(Pipeline_tbl[[#This Row],[Rep_ID]],Dim_Reps!A:A,Dim_Reps!E:E)</f>
        <v>NAMER</v>
      </c>
      <c r="S4833" t="str">
        <f>_xlfn.XLOOKUP(Pipeline_tbl[[#This Row],[Created_Date]],Dim_Date!A:A,Dim_Date!H:H)</f>
        <v>Feb 2025</v>
      </c>
      <c r="T4833" t="str">
        <f>IF(Pipeline_tbl[[#This Row],[Closed_Date]]=0,"",(_xlfn.XLOOKUP(Pipeline_tbl[[#This Row],[Closed_Date]],Dim_Date!A:A,Dim_Date!H:H)))</f>
        <v>Mar 2025</v>
      </c>
      <c r="U4833">
        <f>IF(Pipeline_tbl[[#This Row],[Closed_Date]]=0,"",Pipeline_tbl[[#This Row],[Closed_Date]]-Pipeline_tbl[[#This Row],[Created_Date]])</f>
        <v>53</v>
      </c>
    </row>
    <row r="4834" spans="1:21" ht="15" customHeight="1" x14ac:dyDescent="0.2">
      <c r="A4834" t="s">
        <v>5140</v>
      </c>
      <c r="B4834" t="s">
        <v>263</v>
      </c>
      <c r="C4834" t="s">
        <v>52</v>
      </c>
      <c r="D4834" s="49">
        <v>45697</v>
      </c>
      <c r="E4834" s="49">
        <v>45700</v>
      </c>
      <c r="F4834" s="49">
        <v>45705</v>
      </c>
      <c r="G4834" s="49">
        <v>45714</v>
      </c>
      <c r="H4834" s="49">
        <v>45721</v>
      </c>
      <c r="I4834" s="49">
        <v>45725</v>
      </c>
      <c r="J4834" t="s">
        <v>47</v>
      </c>
      <c r="K4834" s="33">
        <v>9900</v>
      </c>
      <c r="M4834" t="str">
        <f>_xlfn.XLOOKUP(Pipeline_tbl[[#This Row],[Rep_ID]],Dim_Reps!A:A,Dim_Reps!K:K)</f>
        <v>USD</v>
      </c>
      <c r="N4834" s="33">
        <f>(_xlfn.XLOOKUP(Pipeline_tbl[[#This Row],[Rate_Code_Generalized]],Lookups!A:A,Lookups!B:B))*Pipeline_tbl[[#This Row],[Pipeline_Amount_USD]]</f>
        <v>11526.57</v>
      </c>
      <c r="O4834" t="str">
        <f>_xlfn.XLOOKUP(Pipeline_tbl[[#This Row],[Rep_ID]],Dim_Reps!A:A,Dim_Reps!B:B)</f>
        <v>Morgan Weber</v>
      </c>
      <c r="P4834" t="str">
        <f>_xlfn.XLOOKUP(Pipeline_tbl[[#This Row],[Rep_ID]],Dim_Reps!A:A,Dim_Reps!C:C)</f>
        <v>Mid-Market AE</v>
      </c>
      <c r="Q4834" t="str">
        <f>_xlfn.XLOOKUP(Pipeline_tbl[[#This Row],[Rep_ID]],Dim_Reps!A:A,Dim_Reps!D:D)</f>
        <v>Mid-Market</v>
      </c>
      <c r="R4834" t="str">
        <f>_xlfn.XLOOKUP(Pipeline_tbl[[#This Row],[Rep_ID]],Dim_Reps!A:A,Dim_Reps!E:E)</f>
        <v>NAMER</v>
      </c>
      <c r="S4834" t="str">
        <f>_xlfn.XLOOKUP(Pipeline_tbl[[#This Row],[Created_Date]],Dim_Date!A:A,Dim_Date!H:H)</f>
        <v>Feb 2025</v>
      </c>
      <c r="T4834" t="str">
        <f>IF(Pipeline_tbl[[#This Row],[Closed_Date]]=0,"",(_xlfn.XLOOKUP(Pipeline_tbl[[#This Row],[Closed_Date]],Dim_Date!A:A,Dim_Date!H:H)))</f>
        <v>Mar 2025</v>
      </c>
      <c r="U4834">
        <f>IF(Pipeline_tbl[[#This Row],[Closed_Date]]=0,"",Pipeline_tbl[[#This Row],[Closed_Date]]-Pipeline_tbl[[#This Row],[Created_Date]])</f>
        <v>28</v>
      </c>
    </row>
    <row r="4835" spans="1:21" ht="15" customHeight="1" x14ac:dyDescent="0.2">
      <c r="A4835" t="s">
        <v>5141</v>
      </c>
      <c r="B4835" t="s">
        <v>263</v>
      </c>
      <c r="C4835" t="s">
        <v>53</v>
      </c>
      <c r="D4835" s="49">
        <v>45701</v>
      </c>
      <c r="E4835" s="49">
        <v>45704</v>
      </c>
      <c r="F4835" s="49">
        <v>45710</v>
      </c>
      <c r="G4835" s="49">
        <v>45719</v>
      </c>
      <c r="H4835" s="49">
        <v>45727</v>
      </c>
      <c r="I4835" s="49">
        <v>45731</v>
      </c>
      <c r="J4835" t="s">
        <v>49</v>
      </c>
      <c r="K4835" s="33">
        <v>18000</v>
      </c>
      <c r="L4835" t="s">
        <v>61</v>
      </c>
      <c r="M4835" t="str">
        <f>_xlfn.XLOOKUP(Pipeline_tbl[[#This Row],[Rep_ID]],Dim_Reps!A:A,Dim_Reps!K:K)</f>
        <v>USD</v>
      </c>
      <c r="N4835" s="33">
        <f>(_xlfn.XLOOKUP(Pipeline_tbl[[#This Row],[Rate_Code_Generalized]],Lookups!A:A,Lookups!B:B))*Pipeline_tbl[[#This Row],[Pipeline_Amount_USD]]</f>
        <v>20957.399999999998</v>
      </c>
      <c r="O4835" t="str">
        <f>_xlfn.XLOOKUP(Pipeline_tbl[[#This Row],[Rep_ID]],Dim_Reps!A:A,Dim_Reps!B:B)</f>
        <v>Morgan Weber</v>
      </c>
      <c r="P4835" t="str">
        <f>_xlfn.XLOOKUP(Pipeline_tbl[[#This Row],[Rep_ID]],Dim_Reps!A:A,Dim_Reps!C:C)</f>
        <v>Mid-Market AE</v>
      </c>
      <c r="Q4835" t="str">
        <f>_xlfn.XLOOKUP(Pipeline_tbl[[#This Row],[Rep_ID]],Dim_Reps!A:A,Dim_Reps!D:D)</f>
        <v>Mid-Market</v>
      </c>
      <c r="R4835" t="str">
        <f>_xlfn.XLOOKUP(Pipeline_tbl[[#This Row],[Rep_ID]],Dim_Reps!A:A,Dim_Reps!E:E)</f>
        <v>NAMER</v>
      </c>
      <c r="S4835" t="str">
        <f>_xlfn.XLOOKUP(Pipeline_tbl[[#This Row],[Created_Date]],Dim_Date!A:A,Dim_Date!H:H)</f>
        <v>Feb 2025</v>
      </c>
      <c r="T4835" t="str">
        <f>IF(Pipeline_tbl[[#This Row],[Closed_Date]]=0,"",(_xlfn.XLOOKUP(Pipeline_tbl[[#This Row],[Closed_Date]],Dim_Date!A:A,Dim_Date!H:H)))</f>
        <v>Mar 2025</v>
      </c>
      <c r="U4835">
        <f>IF(Pipeline_tbl[[#This Row],[Closed_Date]]=0,"",Pipeline_tbl[[#This Row],[Closed_Date]]-Pipeline_tbl[[#This Row],[Created_Date]])</f>
        <v>30</v>
      </c>
    </row>
    <row r="4836" spans="1:21" ht="15" customHeight="1" x14ac:dyDescent="0.2">
      <c r="A4836" t="s">
        <v>5142</v>
      </c>
      <c r="B4836" t="s">
        <v>263</v>
      </c>
      <c r="C4836" t="s">
        <v>54</v>
      </c>
      <c r="D4836" s="49">
        <v>45693</v>
      </c>
      <c r="E4836" s="49">
        <v>45696</v>
      </c>
      <c r="F4836" s="49">
        <v>45701</v>
      </c>
      <c r="G4836" s="49">
        <v>45709</v>
      </c>
      <c r="I4836" s="49">
        <v>45719</v>
      </c>
      <c r="J4836" t="s">
        <v>49</v>
      </c>
      <c r="K4836" s="33">
        <v>16000</v>
      </c>
      <c r="L4836" t="s">
        <v>61</v>
      </c>
      <c r="M4836" t="str">
        <f>_xlfn.XLOOKUP(Pipeline_tbl[[#This Row],[Rep_ID]],Dim_Reps!A:A,Dim_Reps!K:K)</f>
        <v>USD</v>
      </c>
      <c r="N4836" s="33">
        <f>(_xlfn.XLOOKUP(Pipeline_tbl[[#This Row],[Rate_Code_Generalized]],Lookups!A:A,Lookups!B:B))*Pipeline_tbl[[#This Row],[Pipeline_Amount_USD]]</f>
        <v>18628.8</v>
      </c>
      <c r="O4836" t="str">
        <f>_xlfn.XLOOKUP(Pipeline_tbl[[#This Row],[Rep_ID]],Dim_Reps!A:A,Dim_Reps!B:B)</f>
        <v>Morgan Weber</v>
      </c>
      <c r="P4836" t="str">
        <f>_xlfn.XLOOKUP(Pipeline_tbl[[#This Row],[Rep_ID]],Dim_Reps!A:A,Dim_Reps!C:C)</f>
        <v>Mid-Market AE</v>
      </c>
      <c r="Q4836" t="str">
        <f>_xlfn.XLOOKUP(Pipeline_tbl[[#This Row],[Rep_ID]],Dim_Reps!A:A,Dim_Reps!D:D)</f>
        <v>Mid-Market</v>
      </c>
      <c r="R4836" t="str">
        <f>_xlfn.XLOOKUP(Pipeline_tbl[[#This Row],[Rep_ID]],Dim_Reps!A:A,Dim_Reps!E:E)</f>
        <v>NAMER</v>
      </c>
      <c r="S4836" t="str">
        <f>_xlfn.XLOOKUP(Pipeline_tbl[[#This Row],[Created_Date]],Dim_Date!A:A,Dim_Date!H:H)</f>
        <v>Feb 2025</v>
      </c>
      <c r="T4836" t="str">
        <f>IF(Pipeline_tbl[[#This Row],[Closed_Date]]=0,"",(_xlfn.XLOOKUP(Pipeline_tbl[[#This Row],[Closed_Date]],Dim_Date!A:A,Dim_Date!H:H)))</f>
        <v>Mar 2025</v>
      </c>
      <c r="U4836">
        <f>IF(Pipeline_tbl[[#This Row],[Closed_Date]]=0,"",Pipeline_tbl[[#This Row],[Closed_Date]]-Pipeline_tbl[[#This Row],[Created_Date]])</f>
        <v>26</v>
      </c>
    </row>
    <row r="4837" spans="1:21" ht="15" customHeight="1" x14ac:dyDescent="0.2">
      <c r="A4837" t="s">
        <v>5143</v>
      </c>
      <c r="B4837" t="s">
        <v>265</v>
      </c>
      <c r="C4837" t="s">
        <v>52</v>
      </c>
      <c r="D4837" s="49">
        <v>45691</v>
      </c>
      <c r="E4837" s="49">
        <v>45695</v>
      </c>
      <c r="F4837" s="49">
        <v>45702</v>
      </c>
      <c r="I4837" s="49">
        <v>45726</v>
      </c>
      <c r="J4837" t="s">
        <v>49</v>
      </c>
      <c r="K4837" s="33">
        <v>9000</v>
      </c>
      <c r="L4837" t="s">
        <v>62</v>
      </c>
      <c r="M4837" t="str">
        <f>_xlfn.XLOOKUP(Pipeline_tbl[[#This Row],[Rep_ID]],Dim_Reps!A:A,Dim_Reps!K:K)</f>
        <v>EUR</v>
      </c>
      <c r="N4837" s="33">
        <f>(_xlfn.XLOOKUP(Pipeline_tbl[[#This Row],[Rate_Code_Generalized]],Lookups!A:A,Lookups!B:B))*Pipeline_tbl[[#This Row],[Pipeline_Amount_USD]]</f>
        <v>9000</v>
      </c>
      <c r="O4837" t="str">
        <f>_xlfn.XLOOKUP(Pipeline_tbl[[#This Row],[Rep_ID]],Dim_Reps!A:A,Dim_Reps!B:B)</f>
        <v>Erik Duarte</v>
      </c>
      <c r="P4837" t="str">
        <f>_xlfn.XLOOKUP(Pipeline_tbl[[#This Row],[Rep_ID]],Dim_Reps!A:A,Dim_Reps!C:C)</f>
        <v>Mid-Market AE</v>
      </c>
      <c r="Q4837" t="str">
        <f>_xlfn.XLOOKUP(Pipeline_tbl[[#This Row],[Rep_ID]],Dim_Reps!A:A,Dim_Reps!D:D)</f>
        <v>Mid-Market</v>
      </c>
      <c r="R4837" t="str">
        <f>_xlfn.XLOOKUP(Pipeline_tbl[[#This Row],[Rep_ID]],Dim_Reps!A:A,Dim_Reps!E:E)</f>
        <v>EMEA</v>
      </c>
      <c r="S4837" t="str">
        <f>_xlfn.XLOOKUP(Pipeline_tbl[[#This Row],[Created_Date]],Dim_Date!A:A,Dim_Date!H:H)</f>
        <v>Feb 2025</v>
      </c>
      <c r="T4837" t="str">
        <f>IF(Pipeline_tbl[[#This Row],[Closed_Date]]=0,"",(_xlfn.XLOOKUP(Pipeline_tbl[[#This Row],[Closed_Date]],Dim_Date!A:A,Dim_Date!H:H)))</f>
        <v>Mar 2025</v>
      </c>
      <c r="U4837">
        <f>IF(Pipeline_tbl[[#This Row],[Closed_Date]]=0,"",Pipeline_tbl[[#This Row],[Closed_Date]]-Pipeline_tbl[[#This Row],[Created_Date]])</f>
        <v>35</v>
      </c>
    </row>
    <row r="4838" spans="1:21" ht="15" customHeight="1" x14ac:dyDescent="0.2">
      <c r="A4838" t="s">
        <v>5144</v>
      </c>
      <c r="B4838" t="s">
        <v>265</v>
      </c>
      <c r="C4838" t="s">
        <v>53</v>
      </c>
      <c r="D4838" s="49">
        <v>45700</v>
      </c>
      <c r="E4838" s="49">
        <v>45704</v>
      </c>
      <c r="F4838" s="49">
        <v>45713</v>
      </c>
      <c r="G4838" s="49">
        <v>45726</v>
      </c>
      <c r="H4838" s="49">
        <v>45737</v>
      </c>
      <c r="I4838" s="49">
        <v>45743</v>
      </c>
      <c r="J4838" t="s">
        <v>49</v>
      </c>
      <c r="K4838" s="33">
        <v>11700</v>
      </c>
      <c r="L4838" t="s">
        <v>60</v>
      </c>
      <c r="M4838" t="str">
        <f>_xlfn.XLOOKUP(Pipeline_tbl[[#This Row],[Rep_ID]],Dim_Reps!A:A,Dim_Reps!K:K)</f>
        <v>EUR</v>
      </c>
      <c r="N4838" s="33">
        <f>(_xlfn.XLOOKUP(Pipeline_tbl[[#This Row],[Rate_Code_Generalized]],Lookups!A:A,Lookups!B:B))*Pipeline_tbl[[#This Row],[Pipeline_Amount_USD]]</f>
        <v>11700</v>
      </c>
      <c r="O4838" t="str">
        <f>_xlfn.XLOOKUP(Pipeline_tbl[[#This Row],[Rep_ID]],Dim_Reps!A:A,Dim_Reps!B:B)</f>
        <v>Erik Duarte</v>
      </c>
      <c r="P4838" t="str">
        <f>_xlfn.XLOOKUP(Pipeline_tbl[[#This Row],[Rep_ID]],Dim_Reps!A:A,Dim_Reps!C:C)</f>
        <v>Mid-Market AE</v>
      </c>
      <c r="Q4838" t="str">
        <f>_xlfn.XLOOKUP(Pipeline_tbl[[#This Row],[Rep_ID]],Dim_Reps!A:A,Dim_Reps!D:D)</f>
        <v>Mid-Market</v>
      </c>
      <c r="R4838" t="str">
        <f>_xlfn.XLOOKUP(Pipeline_tbl[[#This Row],[Rep_ID]],Dim_Reps!A:A,Dim_Reps!E:E)</f>
        <v>EMEA</v>
      </c>
      <c r="S4838" t="str">
        <f>_xlfn.XLOOKUP(Pipeline_tbl[[#This Row],[Created_Date]],Dim_Date!A:A,Dim_Date!H:H)</f>
        <v>Feb 2025</v>
      </c>
      <c r="T4838" t="str">
        <f>IF(Pipeline_tbl[[#This Row],[Closed_Date]]=0,"",(_xlfn.XLOOKUP(Pipeline_tbl[[#This Row],[Closed_Date]],Dim_Date!A:A,Dim_Date!H:H)))</f>
        <v>Mar 2025</v>
      </c>
      <c r="U4838">
        <f>IF(Pipeline_tbl[[#This Row],[Closed_Date]]=0,"",Pipeline_tbl[[#This Row],[Closed_Date]]-Pipeline_tbl[[#This Row],[Created_Date]])</f>
        <v>43</v>
      </c>
    </row>
    <row r="4839" spans="1:21" ht="15" customHeight="1" x14ac:dyDescent="0.2">
      <c r="A4839" t="s">
        <v>5145</v>
      </c>
      <c r="B4839" t="s">
        <v>265</v>
      </c>
      <c r="C4839" t="s">
        <v>54</v>
      </c>
      <c r="D4839" s="49">
        <v>45711</v>
      </c>
      <c r="E4839" s="49">
        <v>45714</v>
      </c>
      <c r="F4839" s="49">
        <v>45720</v>
      </c>
      <c r="G4839" s="49">
        <v>45729</v>
      </c>
      <c r="H4839" s="49">
        <v>45737</v>
      </c>
      <c r="I4839" s="49">
        <v>45741</v>
      </c>
      <c r="J4839" t="s">
        <v>49</v>
      </c>
      <c r="K4839" s="33">
        <v>8900</v>
      </c>
      <c r="L4839" t="s">
        <v>61</v>
      </c>
      <c r="M4839" t="str">
        <f>_xlfn.XLOOKUP(Pipeline_tbl[[#This Row],[Rep_ID]],Dim_Reps!A:A,Dim_Reps!K:K)</f>
        <v>EUR</v>
      </c>
      <c r="N4839" s="33">
        <f>(_xlfn.XLOOKUP(Pipeline_tbl[[#This Row],[Rate_Code_Generalized]],Lookups!A:A,Lookups!B:B))*Pipeline_tbl[[#This Row],[Pipeline_Amount_USD]]</f>
        <v>8900</v>
      </c>
      <c r="O4839" t="str">
        <f>_xlfn.XLOOKUP(Pipeline_tbl[[#This Row],[Rep_ID]],Dim_Reps!A:A,Dim_Reps!B:B)</f>
        <v>Erik Duarte</v>
      </c>
      <c r="P4839" t="str">
        <f>_xlfn.XLOOKUP(Pipeline_tbl[[#This Row],[Rep_ID]],Dim_Reps!A:A,Dim_Reps!C:C)</f>
        <v>Mid-Market AE</v>
      </c>
      <c r="Q4839" t="str">
        <f>_xlfn.XLOOKUP(Pipeline_tbl[[#This Row],[Rep_ID]],Dim_Reps!A:A,Dim_Reps!D:D)</f>
        <v>Mid-Market</v>
      </c>
      <c r="R4839" t="str">
        <f>_xlfn.XLOOKUP(Pipeline_tbl[[#This Row],[Rep_ID]],Dim_Reps!A:A,Dim_Reps!E:E)</f>
        <v>EMEA</v>
      </c>
      <c r="S4839" t="str">
        <f>_xlfn.XLOOKUP(Pipeline_tbl[[#This Row],[Created_Date]],Dim_Date!A:A,Dim_Date!H:H)</f>
        <v>Feb 2025</v>
      </c>
      <c r="T4839" t="str">
        <f>IF(Pipeline_tbl[[#This Row],[Closed_Date]]=0,"",(_xlfn.XLOOKUP(Pipeline_tbl[[#This Row],[Closed_Date]],Dim_Date!A:A,Dim_Date!H:H)))</f>
        <v>Mar 2025</v>
      </c>
      <c r="U4839">
        <f>IF(Pipeline_tbl[[#This Row],[Closed_Date]]=0,"",Pipeline_tbl[[#This Row],[Closed_Date]]-Pipeline_tbl[[#This Row],[Created_Date]])</f>
        <v>30</v>
      </c>
    </row>
    <row r="4840" spans="1:21" ht="15" customHeight="1" x14ac:dyDescent="0.2">
      <c r="A4840" t="s">
        <v>5146</v>
      </c>
      <c r="B4840" t="s">
        <v>265</v>
      </c>
      <c r="C4840" t="s">
        <v>52</v>
      </c>
      <c r="D4840" s="49">
        <v>45710</v>
      </c>
      <c r="E4840" s="49">
        <v>45713</v>
      </c>
      <c r="F4840" s="49">
        <v>45718</v>
      </c>
      <c r="I4840" s="49">
        <v>45737</v>
      </c>
      <c r="J4840" t="s">
        <v>49</v>
      </c>
      <c r="K4840" s="33">
        <v>10100</v>
      </c>
      <c r="L4840" t="s">
        <v>63</v>
      </c>
      <c r="M4840" t="str">
        <f>_xlfn.XLOOKUP(Pipeline_tbl[[#This Row],[Rep_ID]],Dim_Reps!A:A,Dim_Reps!K:K)</f>
        <v>EUR</v>
      </c>
      <c r="N4840" s="33">
        <f>(_xlfn.XLOOKUP(Pipeline_tbl[[#This Row],[Rate_Code_Generalized]],Lookups!A:A,Lookups!B:B))*Pipeline_tbl[[#This Row],[Pipeline_Amount_USD]]</f>
        <v>10100</v>
      </c>
      <c r="O4840" t="str">
        <f>_xlfn.XLOOKUP(Pipeline_tbl[[#This Row],[Rep_ID]],Dim_Reps!A:A,Dim_Reps!B:B)</f>
        <v>Erik Duarte</v>
      </c>
      <c r="P4840" t="str">
        <f>_xlfn.XLOOKUP(Pipeline_tbl[[#This Row],[Rep_ID]],Dim_Reps!A:A,Dim_Reps!C:C)</f>
        <v>Mid-Market AE</v>
      </c>
      <c r="Q4840" t="str">
        <f>_xlfn.XLOOKUP(Pipeline_tbl[[#This Row],[Rep_ID]],Dim_Reps!A:A,Dim_Reps!D:D)</f>
        <v>Mid-Market</v>
      </c>
      <c r="R4840" t="str">
        <f>_xlfn.XLOOKUP(Pipeline_tbl[[#This Row],[Rep_ID]],Dim_Reps!A:A,Dim_Reps!E:E)</f>
        <v>EMEA</v>
      </c>
      <c r="S4840" t="str">
        <f>_xlfn.XLOOKUP(Pipeline_tbl[[#This Row],[Created_Date]],Dim_Date!A:A,Dim_Date!H:H)</f>
        <v>Feb 2025</v>
      </c>
      <c r="T4840" t="str">
        <f>IF(Pipeline_tbl[[#This Row],[Closed_Date]]=0,"",(_xlfn.XLOOKUP(Pipeline_tbl[[#This Row],[Closed_Date]],Dim_Date!A:A,Dim_Date!H:H)))</f>
        <v>Mar 2025</v>
      </c>
      <c r="U4840">
        <f>IF(Pipeline_tbl[[#This Row],[Closed_Date]]=0,"",Pipeline_tbl[[#This Row],[Closed_Date]]-Pipeline_tbl[[#This Row],[Created_Date]])</f>
        <v>27</v>
      </c>
    </row>
    <row r="4841" spans="1:21" ht="15" customHeight="1" x14ac:dyDescent="0.2">
      <c r="A4841" t="s">
        <v>5147</v>
      </c>
      <c r="B4841" t="s">
        <v>265</v>
      </c>
      <c r="C4841" t="s">
        <v>55</v>
      </c>
      <c r="D4841" s="49">
        <v>45701</v>
      </c>
      <c r="E4841" s="49">
        <v>45703</v>
      </c>
      <c r="I4841" s="49">
        <v>45724</v>
      </c>
      <c r="J4841" t="s">
        <v>49</v>
      </c>
      <c r="K4841" s="33">
        <v>17200</v>
      </c>
      <c r="L4841" t="s">
        <v>60</v>
      </c>
      <c r="M4841" t="str">
        <f>_xlfn.XLOOKUP(Pipeline_tbl[[#This Row],[Rep_ID]],Dim_Reps!A:A,Dim_Reps!K:K)</f>
        <v>EUR</v>
      </c>
      <c r="N4841" s="33">
        <f>(_xlfn.XLOOKUP(Pipeline_tbl[[#This Row],[Rate_Code_Generalized]],Lookups!A:A,Lookups!B:B))*Pipeline_tbl[[#This Row],[Pipeline_Amount_USD]]</f>
        <v>17200</v>
      </c>
      <c r="O4841" t="str">
        <f>_xlfn.XLOOKUP(Pipeline_tbl[[#This Row],[Rep_ID]],Dim_Reps!A:A,Dim_Reps!B:B)</f>
        <v>Erik Duarte</v>
      </c>
      <c r="P4841" t="str">
        <f>_xlfn.XLOOKUP(Pipeline_tbl[[#This Row],[Rep_ID]],Dim_Reps!A:A,Dim_Reps!C:C)</f>
        <v>Mid-Market AE</v>
      </c>
      <c r="Q4841" t="str">
        <f>_xlfn.XLOOKUP(Pipeline_tbl[[#This Row],[Rep_ID]],Dim_Reps!A:A,Dim_Reps!D:D)</f>
        <v>Mid-Market</v>
      </c>
      <c r="R4841" t="str">
        <f>_xlfn.XLOOKUP(Pipeline_tbl[[#This Row],[Rep_ID]],Dim_Reps!A:A,Dim_Reps!E:E)</f>
        <v>EMEA</v>
      </c>
      <c r="S4841" t="str">
        <f>_xlfn.XLOOKUP(Pipeline_tbl[[#This Row],[Created_Date]],Dim_Date!A:A,Dim_Date!H:H)</f>
        <v>Feb 2025</v>
      </c>
      <c r="T4841" t="str">
        <f>IF(Pipeline_tbl[[#This Row],[Closed_Date]]=0,"",(_xlfn.XLOOKUP(Pipeline_tbl[[#This Row],[Closed_Date]],Dim_Date!A:A,Dim_Date!H:H)))</f>
        <v>Mar 2025</v>
      </c>
      <c r="U4841">
        <f>IF(Pipeline_tbl[[#This Row],[Closed_Date]]=0,"",Pipeline_tbl[[#This Row],[Closed_Date]]-Pipeline_tbl[[#This Row],[Created_Date]])</f>
        <v>23</v>
      </c>
    </row>
    <row r="4842" spans="1:21" ht="15" customHeight="1" x14ac:dyDescent="0.2">
      <c r="A4842" t="s">
        <v>5148</v>
      </c>
      <c r="B4842" t="s">
        <v>233</v>
      </c>
      <c r="C4842" t="s">
        <v>53</v>
      </c>
      <c r="D4842" s="49">
        <v>45706</v>
      </c>
      <c r="E4842" s="49">
        <v>45708</v>
      </c>
      <c r="F4842" s="49">
        <v>45711</v>
      </c>
      <c r="G4842" s="49">
        <v>45716</v>
      </c>
      <c r="H4842" s="49">
        <v>45720</v>
      </c>
      <c r="I4842" s="49">
        <v>45722</v>
      </c>
      <c r="J4842" t="s">
        <v>47</v>
      </c>
      <c r="K4842" s="33">
        <v>5900</v>
      </c>
      <c r="M4842" t="str">
        <f>_xlfn.XLOOKUP(Pipeline_tbl[[#This Row],[Rep_ID]],Dim_Reps!A:A,Dim_Reps!K:K)</f>
        <v>MXN</v>
      </c>
      <c r="N4842" s="33">
        <f>(_xlfn.XLOOKUP(Pipeline_tbl[[#This Row],[Rate_Code_Generalized]],Lookups!A:A,Lookups!B:B))*Pipeline_tbl[[#This Row],[Pipeline_Amount_USD]]</f>
        <v>116422.93000000001</v>
      </c>
      <c r="O4842" t="str">
        <f>_xlfn.XLOOKUP(Pipeline_tbl[[#This Row],[Rep_ID]],Dim_Reps!A:A,Dim_Reps!B:B)</f>
        <v>Lucas Duarte</v>
      </c>
      <c r="P4842" t="str">
        <f>_xlfn.XLOOKUP(Pipeline_tbl[[#This Row],[Rep_ID]],Dim_Reps!A:A,Dim_Reps!C:C)</f>
        <v>SDR / Inside Sales Rep</v>
      </c>
      <c r="Q4842" t="str">
        <f>_xlfn.XLOOKUP(Pipeline_tbl[[#This Row],[Rep_ID]],Dim_Reps!A:A,Dim_Reps!D:D)</f>
        <v>Inside Sales</v>
      </c>
      <c r="R4842" t="str">
        <f>_xlfn.XLOOKUP(Pipeline_tbl[[#This Row],[Rep_ID]],Dim_Reps!A:A,Dim_Reps!E:E)</f>
        <v>LATAM</v>
      </c>
      <c r="S4842" t="str">
        <f>_xlfn.XLOOKUP(Pipeline_tbl[[#This Row],[Created_Date]],Dim_Date!A:A,Dim_Date!H:H)</f>
        <v>Feb 2025</v>
      </c>
      <c r="T4842" t="str">
        <f>IF(Pipeline_tbl[[#This Row],[Closed_Date]]=0,"",(_xlfn.XLOOKUP(Pipeline_tbl[[#This Row],[Closed_Date]],Dim_Date!A:A,Dim_Date!H:H)))</f>
        <v>Mar 2025</v>
      </c>
      <c r="U4842">
        <f>IF(Pipeline_tbl[[#This Row],[Closed_Date]]=0,"",Pipeline_tbl[[#This Row],[Closed_Date]]-Pipeline_tbl[[#This Row],[Created_Date]])</f>
        <v>16</v>
      </c>
    </row>
    <row r="4843" spans="1:21" ht="15" customHeight="1" x14ac:dyDescent="0.2">
      <c r="A4843" t="s">
        <v>5149</v>
      </c>
      <c r="B4843" t="s">
        <v>233</v>
      </c>
      <c r="C4843" t="s">
        <v>53</v>
      </c>
      <c r="D4843" s="49">
        <v>45701</v>
      </c>
      <c r="E4843" s="49">
        <v>45703</v>
      </c>
      <c r="F4843" s="49">
        <v>45708</v>
      </c>
      <c r="I4843" s="49">
        <v>45723</v>
      </c>
      <c r="J4843" t="s">
        <v>49</v>
      </c>
      <c r="K4843" s="33">
        <v>5300</v>
      </c>
      <c r="L4843" t="s">
        <v>61</v>
      </c>
      <c r="M4843" t="str">
        <f>_xlfn.XLOOKUP(Pipeline_tbl[[#This Row],[Rep_ID]],Dim_Reps!A:A,Dim_Reps!K:K)</f>
        <v>MXN</v>
      </c>
      <c r="N4843" s="33">
        <f>(_xlfn.XLOOKUP(Pipeline_tbl[[#This Row],[Rate_Code_Generalized]],Lookups!A:A,Lookups!B:B))*Pipeline_tbl[[#This Row],[Pipeline_Amount_USD]]</f>
        <v>104583.31000000001</v>
      </c>
      <c r="O4843" t="str">
        <f>_xlfn.XLOOKUP(Pipeline_tbl[[#This Row],[Rep_ID]],Dim_Reps!A:A,Dim_Reps!B:B)</f>
        <v>Lucas Duarte</v>
      </c>
      <c r="P4843" t="str">
        <f>_xlfn.XLOOKUP(Pipeline_tbl[[#This Row],[Rep_ID]],Dim_Reps!A:A,Dim_Reps!C:C)</f>
        <v>SDR / Inside Sales Rep</v>
      </c>
      <c r="Q4843" t="str">
        <f>_xlfn.XLOOKUP(Pipeline_tbl[[#This Row],[Rep_ID]],Dim_Reps!A:A,Dim_Reps!D:D)</f>
        <v>Inside Sales</v>
      </c>
      <c r="R4843" t="str">
        <f>_xlfn.XLOOKUP(Pipeline_tbl[[#This Row],[Rep_ID]],Dim_Reps!A:A,Dim_Reps!E:E)</f>
        <v>LATAM</v>
      </c>
      <c r="S4843" t="str">
        <f>_xlfn.XLOOKUP(Pipeline_tbl[[#This Row],[Created_Date]],Dim_Date!A:A,Dim_Date!H:H)</f>
        <v>Feb 2025</v>
      </c>
      <c r="T4843" t="str">
        <f>IF(Pipeline_tbl[[#This Row],[Closed_Date]]=0,"",(_xlfn.XLOOKUP(Pipeline_tbl[[#This Row],[Closed_Date]],Dim_Date!A:A,Dim_Date!H:H)))</f>
        <v>Mar 2025</v>
      </c>
      <c r="U4843">
        <f>IF(Pipeline_tbl[[#This Row],[Closed_Date]]=0,"",Pipeline_tbl[[#This Row],[Closed_Date]]-Pipeline_tbl[[#This Row],[Created_Date]])</f>
        <v>22</v>
      </c>
    </row>
    <row r="4844" spans="1:21" ht="15" customHeight="1" x14ac:dyDescent="0.2">
      <c r="A4844" t="s">
        <v>5150</v>
      </c>
      <c r="B4844" t="s">
        <v>233</v>
      </c>
      <c r="C4844" t="s">
        <v>52</v>
      </c>
      <c r="D4844" s="49">
        <v>45700</v>
      </c>
      <c r="E4844" s="49">
        <v>45702</v>
      </c>
      <c r="F4844" s="49">
        <v>45708</v>
      </c>
      <c r="G4844" s="49">
        <v>45715</v>
      </c>
      <c r="H4844" s="49">
        <v>45721</v>
      </c>
      <c r="I4844" s="49">
        <v>45725</v>
      </c>
      <c r="J4844" t="s">
        <v>47</v>
      </c>
      <c r="K4844" s="33">
        <v>2800</v>
      </c>
      <c r="M4844" t="str">
        <f>_xlfn.XLOOKUP(Pipeline_tbl[[#This Row],[Rep_ID]],Dim_Reps!A:A,Dim_Reps!K:K)</f>
        <v>MXN</v>
      </c>
      <c r="N4844" s="33">
        <f>(_xlfn.XLOOKUP(Pipeline_tbl[[#This Row],[Rate_Code_Generalized]],Lookups!A:A,Lookups!B:B))*Pipeline_tbl[[#This Row],[Pipeline_Amount_USD]]</f>
        <v>55251.560000000005</v>
      </c>
      <c r="O4844" t="str">
        <f>_xlfn.XLOOKUP(Pipeline_tbl[[#This Row],[Rep_ID]],Dim_Reps!A:A,Dim_Reps!B:B)</f>
        <v>Lucas Duarte</v>
      </c>
      <c r="P4844" t="str">
        <f>_xlfn.XLOOKUP(Pipeline_tbl[[#This Row],[Rep_ID]],Dim_Reps!A:A,Dim_Reps!C:C)</f>
        <v>SDR / Inside Sales Rep</v>
      </c>
      <c r="Q4844" t="str">
        <f>_xlfn.XLOOKUP(Pipeline_tbl[[#This Row],[Rep_ID]],Dim_Reps!A:A,Dim_Reps!D:D)</f>
        <v>Inside Sales</v>
      </c>
      <c r="R4844" t="str">
        <f>_xlfn.XLOOKUP(Pipeline_tbl[[#This Row],[Rep_ID]],Dim_Reps!A:A,Dim_Reps!E:E)</f>
        <v>LATAM</v>
      </c>
      <c r="S4844" t="str">
        <f>_xlfn.XLOOKUP(Pipeline_tbl[[#This Row],[Created_Date]],Dim_Date!A:A,Dim_Date!H:H)</f>
        <v>Feb 2025</v>
      </c>
      <c r="T4844" t="str">
        <f>IF(Pipeline_tbl[[#This Row],[Closed_Date]]=0,"",(_xlfn.XLOOKUP(Pipeline_tbl[[#This Row],[Closed_Date]],Dim_Date!A:A,Dim_Date!H:H)))</f>
        <v>Mar 2025</v>
      </c>
      <c r="U4844">
        <f>IF(Pipeline_tbl[[#This Row],[Closed_Date]]=0,"",Pipeline_tbl[[#This Row],[Closed_Date]]-Pipeline_tbl[[#This Row],[Created_Date]])</f>
        <v>25</v>
      </c>
    </row>
    <row r="4845" spans="1:21" ht="15" customHeight="1" x14ac:dyDescent="0.2">
      <c r="A4845" t="s">
        <v>5151</v>
      </c>
      <c r="B4845" t="s">
        <v>233</v>
      </c>
      <c r="C4845" t="s">
        <v>55</v>
      </c>
      <c r="D4845" s="49">
        <v>45697</v>
      </c>
      <c r="E4845" s="49">
        <v>45699</v>
      </c>
      <c r="F4845" s="49">
        <v>45703</v>
      </c>
      <c r="G4845" s="49">
        <v>45709</v>
      </c>
      <c r="H4845" s="49">
        <v>45714</v>
      </c>
      <c r="I4845" s="49">
        <v>45717</v>
      </c>
      <c r="J4845" t="s">
        <v>49</v>
      </c>
      <c r="K4845" s="33">
        <v>3200</v>
      </c>
      <c r="L4845" t="s">
        <v>62</v>
      </c>
      <c r="M4845" t="str">
        <f>_xlfn.XLOOKUP(Pipeline_tbl[[#This Row],[Rep_ID]],Dim_Reps!A:A,Dim_Reps!K:K)</f>
        <v>MXN</v>
      </c>
      <c r="N4845" s="33">
        <f>(_xlfn.XLOOKUP(Pipeline_tbl[[#This Row],[Rate_Code_Generalized]],Lookups!A:A,Lookups!B:B))*Pipeline_tbl[[#This Row],[Pipeline_Amount_USD]]</f>
        <v>63144.640000000007</v>
      </c>
      <c r="O4845" t="str">
        <f>_xlfn.XLOOKUP(Pipeline_tbl[[#This Row],[Rep_ID]],Dim_Reps!A:A,Dim_Reps!B:B)</f>
        <v>Lucas Duarte</v>
      </c>
      <c r="P4845" t="str">
        <f>_xlfn.XLOOKUP(Pipeline_tbl[[#This Row],[Rep_ID]],Dim_Reps!A:A,Dim_Reps!C:C)</f>
        <v>SDR / Inside Sales Rep</v>
      </c>
      <c r="Q4845" t="str">
        <f>_xlfn.XLOOKUP(Pipeline_tbl[[#This Row],[Rep_ID]],Dim_Reps!A:A,Dim_Reps!D:D)</f>
        <v>Inside Sales</v>
      </c>
      <c r="R4845" t="str">
        <f>_xlfn.XLOOKUP(Pipeline_tbl[[#This Row],[Rep_ID]],Dim_Reps!A:A,Dim_Reps!E:E)</f>
        <v>LATAM</v>
      </c>
      <c r="S4845" t="str">
        <f>_xlfn.XLOOKUP(Pipeline_tbl[[#This Row],[Created_Date]],Dim_Date!A:A,Dim_Date!H:H)</f>
        <v>Feb 2025</v>
      </c>
      <c r="T4845" t="str">
        <f>IF(Pipeline_tbl[[#This Row],[Closed_Date]]=0,"",(_xlfn.XLOOKUP(Pipeline_tbl[[#This Row],[Closed_Date]],Dim_Date!A:A,Dim_Date!H:H)))</f>
        <v>Mar 2025</v>
      </c>
      <c r="U4845">
        <f>IF(Pipeline_tbl[[#This Row],[Closed_Date]]=0,"",Pipeline_tbl[[#This Row],[Closed_Date]]-Pipeline_tbl[[#This Row],[Created_Date]])</f>
        <v>20</v>
      </c>
    </row>
    <row r="4846" spans="1:21" ht="15" customHeight="1" x14ac:dyDescent="0.2">
      <c r="A4846" t="s">
        <v>5152</v>
      </c>
      <c r="B4846" t="s">
        <v>233</v>
      </c>
      <c r="C4846" t="s">
        <v>54</v>
      </c>
      <c r="D4846" s="49">
        <v>45703</v>
      </c>
      <c r="E4846" s="49">
        <v>45705</v>
      </c>
      <c r="F4846" s="49">
        <v>45708</v>
      </c>
      <c r="I4846" s="49">
        <v>45721</v>
      </c>
      <c r="J4846" t="s">
        <v>49</v>
      </c>
      <c r="K4846" s="33">
        <v>2100</v>
      </c>
      <c r="L4846" t="s">
        <v>64</v>
      </c>
      <c r="M4846" t="str">
        <f>_xlfn.XLOOKUP(Pipeline_tbl[[#This Row],[Rep_ID]],Dim_Reps!A:A,Dim_Reps!K:K)</f>
        <v>MXN</v>
      </c>
      <c r="N4846" s="33">
        <f>(_xlfn.XLOOKUP(Pipeline_tbl[[#This Row],[Rate_Code_Generalized]],Lookups!A:A,Lookups!B:B))*Pipeline_tbl[[#This Row],[Pipeline_Amount_USD]]</f>
        <v>41438.670000000006</v>
      </c>
      <c r="O4846" t="str">
        <f>_xlfn.XLOOKUP(Pipeline_tbl[[#This Row],[Rep_ID]],Dim_Reps!A:A,Dim_Reps!B:B)</f>
        <v>Lucas Duarte</v>
      </c>
      <c r="P4846" t="str">
        <f>_xlfn.XLOOKUP(Pipeline_tbl[[#This Row],[Rep_ID]],Dim_Reps!A:A,Dim_Reps!C:C)</f>
        <v>SDR / Inside Sales Rep</v>
      </c>
      <c r="Q4846" t="str">
        <f>_xlfn.XLOOKUP(Pipeline_tbl[[#This Row],[Rep_ID]],Dim_Reps!A:A,Dim_Reps!D:D)</f>
        <v>Inside Sales</v>
      </c>
      <c r="R4846" t="str">
        <f>_xlfn.XLOOKUP(Pipeline_tbl[[#This Row],[Rep_ID]],Dim_Reps!A:A,Dim_Reps!E:E)</f>
        <v>LATAM</v>
      </c>
      <c r="S4846" t="str">
        <f>_xlfn.XLOOKUP(Pipeline_tbl[[#This Row],[Created_Date]],Dim_Date!A:A,Dim_Date!H:H)</f>
        <v>Feb 2025</v>
      </c>
      <c r="T4846" t="str">
        <f>IF(Pipeline_tbl[[#This Row],[Closed_Date]]=0,"",(_xlfn.XLOOKUP(Pipeline_tbl[[#This Row],[Closed_Date]],Dim_Date!A:A,Dim_Date!H:H)))</f>
        <v>Mar 2025</v>
      </c>
      <c r="U4846">
        <f>IF(Pipeline_tbl[[#This Row],[Closed_Date]]=0,"",Pipeline_tbl[[#This Row],[Closed_Date]]-Pipeline_tbl[[#This Row],[Created_Date]])</f>
        <v>18</v>
      </c>
    </row>
    <row r="4847" spans="1:21" ht="15" customHeight="1" x14ac:dyDescent="0.2">
      <c r="A4847" t="s">
        <v>5153</v>
      </c>
      <c r="B4847" t="s">
        <v>267</v>
      </c>
      <c r="C4847" t="s">
        <v>54</v>
      </c>
      <c r="D4847" s="49">
        <v>45691</v>
      </c>
      <c r="E4847" s="49">
        <v>45696</v>
      </c>
      <c r="F4847" s="49">
        <v>45705</v>
      </c>
      <c r="G4847" s="49">
        <v>45719</v>
      </c>
      <c r="H4847" s="49">
        <v>45731</v>
      </c>
      <c r="I4847" s="49">
        <v>45738</v>
      </c>
      <c r="J4847" t="s">
        <v>47</v>
      </c>
      <c r="K4847" s="33">
        <v>18100</v>
      </c>
      <c r="M4847" t="str">
        <f>_xlfn.XLOOKUP(Pipeline_tbl[[#This Row],[Rep_ID]],Dim_Reps!A:A,Dim_Reps!K:K)</f>
        <v>MXN</v>
      </c>
      <c r="N4847" s="33">
        <f>(_xlfn.XLOOKUP(Pipeline_tbl[[#This Row],[Rate_Code_Generalized]],Lookups!A:A,Lookups!B:B))*Pipeline_tbl[[#This Row],[Pipeline_Amount_USD]]</f>
        <v>357161.87</v>
      </c>
      <c r="O4847" t="str">
        <f>_xlfn.XLOOKUP(Pipeline_tbl[[#This Row],[Rep_ID]],Dim_Reps!A:A,Dim_Reps!B:B)</f>
        <v>Yuki Dubois</v>
      </c>
      <c r="P4847" t="str">
        <f>_xlfn.XLOOKUP(Pipeline_tbl[[#This Row],[Rep_ID]],Dim_Reps!A:A,Dim_Reps!C:C)</f>
        <v>Mid-Market AE</v>
      </c>
      <c r="Q4847" t="str">
        <f>_xlfn.XLOOKUP(Pipeline_tbl[[#This Row],[Rep_ID]],Dim_Reps!A:A,Dim_Reps!D:D)</f>
        <v>Mid-Market</v>
      </c>
      <c r="R4847" t="str">
        <f>_xlfn.XLOOKUP(Pipeline_tbl[[#This Row],[Rep_ID]],Dim_Reps!A:A,Dim_Reps!E:E)</f>
        <v>LATAM</v>
      </c>
      <c r="S4847" t="str">
        <f>_xlfn.XLOOKUP(Pipeline_tbl[[#This Row],[Created_Date]],Dim_Date!A:A,Dim_Date!H:H)</f>
        <v>Feb 2025</v>
      </c>
      <c r="T4847" t="str">
        <f>IF(Pipeline_tbl[[#This Row],[Closed_Date]]=0,"",(_xlfn.XLOOKUP(Pipeline_tbl[[#This Row],[Closed_Date]],Dim_Date!A:A,Dim_Date!H:H)))</f>
        <v>Mar 2025</v>
      </c>
      <c r="U4847">
        <f>IF(Pipeline_tbl[[#This Row],[Closed_Date]]=0,"",Pipeline_tbl[[#This Row],[Closed_Date]]-Pipeline_tbl[[#This Row],[Created_Date]])</f>
        <v>47</v>
      </c>
    </row>
    <row r="4848" spans="1:21" ht="15" customHeight="1" x14ac:dyDescent="0.2">
      <c r="A4848" t="s">
        <v>5154</v>
      </c>
      <c r="B4848" t="s">
        <v>235</v>
      </c>
      <c r="C4848" t="s">
        <v>54</v>
      </c>
      <c r="D4848" s="49">
        <v>45704</v>
      </c>
      <c r="E4848" s="49">
        <v>45706</v>
      </c>
      <c r="F4848" s="49">
        <v>45711</v>
      </c>
      <c r="G4848" s="49">
        <v>45717</v>
      </c>
      <c r="H4848" s="49">
        <v>45723</v>
      </c>
      <c r="I4848" s="49">
        <v>45726</v>
      </c>
      <c r="J4848" t="s">
        <v>47</v>
      </c>
      <c r="K4848" s="33">
        <v>2700</v>
      </c>
      <c r="M4848" t="str">
        <f>_xlfn.XLOOKUP(Pipeline_tbl[[#This Row],[Rep_ID]],Dim_Reps!A:A,Dim_Reps!K:K)</f>
        <v>MXN</v>
      </c>
      <c r="N4848" s="33">
        <f>(_xlfn.XLOOKUP(Pipeline_tbl[[#This Row],[Rate_Code_Generalized]],Lookups!A:A,Lookups!B:B))*Pipeline_tbl[[#This Row],[Pipeline_Amount_USD]]</f>
        <v>53278.29</v>
      </c>
      <c r="O4848" t="str">
        <f>_xlfn.XLOOKUP(Pipeline_tbl[[#This Row],[Rep_ID]],Dim_Reps!A:A,Dim_Reps!B:B)</f>
        <v>Milo Castro</v>
      </c>
      <c r="P4848" t="str">
        <f>_xlfn.XLOOKUP(Pipeline_tbl[[#This Row],[Rep_ID]],Dim_Reps!A:A,Dim_Reps!C:C)</f>
        <v>SDR / Inside Sales Rep</v>
      </c>
      <c r="Q4848" t="str">
        <f>_xlfn.XLOOKUP(Pipeline_tbl[[#This Row],[Rep_ID]],Dim_Reps!A:A,Dim_Reps!D:D)</f>
        <v>Inside Sales</v>
      </c>
      <c r="R4848" t="str">
        <f>_xlfn.XLOOKUP(Pipeline_tbl[[#This Row],[Rep_ID]],Dim_Reps!A:A,Dim_Reps!E:E)</f>
        <v>LATAM</v>
      </c>
      <c r="S4848" t="str">
        <f>_xlfn.XLOOKUP(Pipeline_tbl[[#This Row],[Created_Date]],Dim_Date!A:A,Dim_Date!H:H)</f>
        <v>Feb 2025</v>
      </c>
      <c r="T4848" t="str">
        <f>IF(Pipeline_tbl[[#This Row],[Closed_Date]]=0,"",(_xlfn.XLOOKUP(Pipeline_tbl[[#This Row],[Closed_Date]],Dim_Date!A:A,Dim_Date!H:H)))</f>
        <v>Mar 2025</v>
      </c>
      <c r="U4848">
        <f>IF(Pipeline_tbl[[#This Row],[Closed_Date]]=0,"",Pipeline_tbl[[#This Row],[Closed_Date]]-Pipeline_tbl[[#This Row],[Created_Date]])</f>
        <v>22</v>
      </c>
    </row>
    <row r="4849" spans="1:21" ht="15" customHeight="1" x14ac:dyDescent="0.2">
      <c r="A4849" t="s">
        <v>5155</v>
      </c>
      <c r="B4849" t="s">
        <v>235</v>
      </c>
      <c r="C4849" t="s">
        <v>52</v>
      </c>
      <c r="D4849" s="49">
        <v>45712</v>
      </c>
      <c r="E4849" s="49">
        <v>45714</v>
      </c>
      <c r="F4849" s="49">
        <v>45718</v>
      </c>
      <c r="I4849" s="49">
        <v>45733</v>
      </c>
      <c r="J4849" t="s">
        <v>49</v>
      </c>
      <c r="K4849" s="33">
        <v>3100</v>
      </c>
      <c r="L4849" t="s">
        <v>62</v>
      </c>
      <c r="M4849" t="str">
        <f>_xlfn.XLOOKUP(Pipeline_tbl[[#This Row],[Rep_ID]],Dim_Reps!A:A,Dim_Reps!K:K)</f>
        <v>MXN</v>
      </c>
      <c r="N4849" s="33">
        <f>(_xlfn.XLOOKUP(Pipeline_tbl[[#This Row],[Rate_Code_Generalized]],Lookups!A:A,Lookups!B:B))*Pipeline_tbl[[#This Row],[Pipeline_Amount_USD]]</f>
        <v>61171.37</v>
      </c>
      <c r="O4849" t="str">
        <f>_xlfn.XLOOKUP(Pipeline_tbl[[#This Row],[Rep_ID]],Dim_Reps!A:A,Dim_Reps!B:B)</f>
        <v>Milo Castro</v>
      </c>
      <c r="P4849" t="str">
        <f>_xlfn.XLOOKUP(Pipeline_tbl[[#This Row],[Rep_ID]],Dim_Reps!A:A,Dim_Reps!C:C)</f>
        <v>SDR / Inside Sales Rep</v>
      </c>
      <c r="Q4849" t="str">
        <f>_xlfn.XLOOKUP(Pipeline_tbl[[#This Row],[Rep_ID]],Dim_Reps!A:A,Dim_Reps!D:D)</f>
        <v>Inside Sales</v>
      </c>
      <c r="R4849" t="str">
        <f>_xlfn.XLOOKUP(Pipeline_tbl[[#This Row],[Rep_ID]],Dim_Reps!A:A,Dim_Reps!E:E)</f>
        <v>LATAM</v>
      </c>
      <c r="S4849" t="str">
        <f>_xlfn.XLOOKUP(Pipeline_tbl[[#This Row],[Created_Date]],Dim_Date!A:A,Dim_Date!H:H)</f>
        <v>Feb 2025</v>
      </c>
      <c r="T4849" t="str">
        <f>IF(Pipeline_tbl[[#This Row],[Closed_Date]]=0,"",(_xlfn.XLOOKUP(Pipeline_tbl[[#This Row],[Closed_Date]],Dim_Date!A:A,Dim_Date!H:H)))</f>
        <v>Mar 2025</v>
      </c>
      <c r="U4849">
        <f>IF(Pipeline_tbl[[#This Row],[Closed_Date]]=0,"",Pipeline_tbl[[#This Row],[Closed_Date]]-Pipeline_tbl[[#This Row],[Created_Date]])</f>
        <v>21</v>
      </c>
    </row>
    <row r="4850" spans="1:21" ht="15" customHeight="1" x14ac:dyDescent="0.2">
      <c r="A4850" t="s">
        <v>5156</v>
      </c>
      <c r="B4850" t="s">
        <v>235</v>
      </c>
      <c r="C4850" t="s">
        <v>52</v>
      </c>
      <c r="D4850" s="49">
        <v>45712</v>
      </c>
      <c r="E4850" s="49">
        <v>45714</v>
      </c>
      <c r="F4850" s="49">
        <v>45718</v>
      </c>
      <c r="G4850" s="49">
        <v>45724</v>
      </c>
      <c r="H4850" s="49">
        <v>45729</v>
      </c>
      <c r="I4850" s="49">
        <v>45732</v>
      </c>
      <c r="J4850" t="s">
        <v>49</v>
      </c>
      <c r="K4850" s="33">
        <v>4400</v>
      </c>
      <c r="L4850" t="s">
        <v>60</v>
      </c>
      <c r="M4850" t="str">
        <f>_xlfn.XLOOKUP(Pipeline_tbl[[#This Row],[Rep_ID]],Dim_Reps!A:A,Dim_Reps!K:K)</f>
        <v>MXN</v>
      </c>
      <c r="N4850" s="33">
        <f>(_xlfn.XLOOKUP(Pipeline_tbl[[#This Row],[Rate_Code_Generalized]],Lookups!A:A,Lookups!B:B))*Pipeline_tbl[[#This Row],[Pipeline_Amount_USD]]</f>
        <v>86823.88</v>
      </c>
      <c r="O4850" t="str">
        <f>_xlfn.XLOOKUP(Pipeline_tbl[[#This Row],[Rep_ID]],Dim_Reps!A:A,Dim_Reps!B:B)</f>
        <v>Milo Castro</v>
      </c>
      <c r="P4850" t="str">
        <f>_xlfn.XLOOKUP(Pipeline_tbl[[#This Row],[Rep_ID]],Dim_Reps!A:A,Dim_Reps!C:C)</f>
        <v>SDR / Inside Sales Rep</v>
      </c>
      <c r="Q4850" t="str">
        <f>_xlfn.XLOOKUP(Pipeline_tbl[[#This Row],[Rep_ID]],Dim_Reps!A:A,Dim_Reps!D:D)</f>
        <v>Inside Sales</v>
      </c>
      <c r="R4850" t="str">
        <f>_xlfn.XLOOKUP(Pipeline_tbl[[#This Row],[Rep_ID]],Dim_Reps!A:A,Dim_Reps!E:E)</f>
        <v>LATAM</v>
      </c>
      <c r="S4850" t="str">
        <f>_xlfn.XLOOKUP(Pipeline_tbl[[#This Row],[Created_Date]],Dim_Date!A:A,Dim_Date!H:H)</f>
        <v>Feb 2025</v>
      </c>
      <c r="T4850" t="str">
        <f>IF(Pipeline_tbl[[#This Row],[Closed_Date]]=0,"",(_xlfn.XLOOKUP(Pipeline_tbl[[#This Row],[Closed_Date]],Dim_Date!A:A,Dim_Date!H:H)))</f>
        <v>Mar 2025</v>
      </c>
      <c r="U4850">
        <f>IF(Pipeline_tbl[[#This Row],[Closed_Date]]=0,"",Pipeline_tbl[[#This Row],[Closed_Date]]-Pipeline_tbl[[#This Row],[Created_Date]])</f>
        <v>20</v>
      </c>
    </row>
    <row r="4851" spans="1:21" ht="15" customHeight="1" x14ac:dyDescent="0.2">
      <c r="A4851" t="s">
        <v>5157</v>
      </c>
      <c r="B4851" t="s">
        <v>235</v>
      </c>
      <c r="C4851" t="s">
        <v>53</v>
      </c>
      <c r="D4851" s="49">
        <v>45714</v>
      </c>
      <c r="E4851" s="49">
        <v>45716</v>
      </c>
      <c r="F4851" s="49">
        <v>45719</v>
      </c>
      <c r="G4851" s="49">
        <v>45724</v>
      </c>
      <c r="H4851" s="49">
        <v>45728</v>
      </c>
      <c r="I4851" s="49">
        <v>45731</v>
      </c>
      <c r="J4851" t="s">
        <v>47</v>
      </c>
      <c r="K4851" s="33">
        <v>5700</v>
      </c>
      <c r="M4851" t="str">
        <f>_xlfn.XLOOKUP(Pipeline_tbl[[#This Row],[Rep_ID]],Dim_Reps!A:A,Dim_Reps!K:K)</f>
        <v>MXN</v>
      </c>
      <c r="N4851" s="33">
        <f>(_xlfn.XLOOKUP(Pipeline_tbl[[#This Row],[Rate_Code_Generalized]],Lookups!A:A,Lookups!B:B))*Pipeline_tbl[[#This Row],[Pipeline_Amount_USD]]</f>
        <v>112476.39000000001</v>
      </c>
      <c r="O4851" t="str">
        <f>_xlfn.XLOOKUP(Pipeline_tbl[[#This Row],[Rep_ID]],Dim_Reps!A:A,Dim_Reps!B:B)</f>
        <v>Milo Castro</v>
      </c>
      <c r="P4851" t="str">
        <f>_xlfn.XLOOKUP(Pipeline_tbl[[#This Row],[Rep_ID]],Dim_Reps!A:A,Dim_Reps!C:C)</f>
        <v>SDR / Inside Sales Rep</v>
      </c>
      <c r="Q4851" t="str">
        <f>_xlfn.XLOOKUP(Pipeline_tbl[[#This Row],[Rep_ID]],Dim_Reps!A:A,Dim_Reps!D:D)</f>
        <v>Inside Sales</v>
      </c>
      <c r="R4851" t="str">
        <f>_xlfn.XLOOKUP(Pipeline_tbl[[#This Row],[Rep_ID]],Dim_Reps!A:A,Dim_Reps!E:E)</f>
        <v>LATAM</v>
      </c>
      <c r="S4851" t="str">
        <f>_xlfn.XLOOKUP(Pipeline_tbl[[#This Row],[Created_Date]],Dim_Date!A:A,Dim_Date!H:H)</f>
        <v>Feb 2025</v>
      </c>
      <c r="T4851" t="str">
        <f>IF(Pipeline_tbl[[#This Row],[Closed_Date]]=0,"",(_xlfn.XLOOKUP(Pipeline_tbl[[#This Row],[Closed_Date]],Dim_Date!A:A,Dim_Date!H:H)))</f>
        <v>Mar 2025</v>
      </c>
      <c r="U4851">
        <f>IF(Pipeline_tbl[[#This Row],[Closed_Date]]=0,"",Pipeline_tbl[[#This Row],[Closed_Date]]-Pipeline_tbl[[#This Row],[Created_Date]])</f>
        <v>17</v>
      </c>
    </row>
    <row r="4852" spans="1:21" ht="15" customHeight="1" x14ac:dyDescent="0.2">
      <c r="A4852" t="s">
        <v>5158</v>
      </c>
      <c r="B4852" t="s">
        <v>235</v>
      </c>
      <c r="C4852" t="s">
        <v>54</v>
      </c>
      <c r="D4852" s="49">
        <v>45706</v>
      </c>
      <c r="E4852" s="49">
        <v>45708</v>
      </c>
      <c r="F4852" s="49">
        <v>45712</v>
      </c>
      <c r="G4852" s="49">
        <v>45718</v>
      </c>
      <c r="H4852" s="49">
        <v>45723</v>
      </c>
      <c r="I4852" s="49">
        <v>45726</v>
      </c>
      <c r="J4852" t="s">
        <v>49</v>
      </c>
      <c r="K4852" s="33">
        <v>2300</v>
      </c>
      <c r="L4852" t="s">
        <v>60</v>
      </c>
      <c r="M4852" t="str">
        <f>_xlfn.XLOOKUP(Pipeline_tbl[[#This Row],[Rep_ID]],Dim_Reps!A:A,Dim_Reps!K:K)</f>
        <v>MXN</v>
      </c>
      <c r="N4852" s="33">
        <f>(_xlfn.XLOOKUP(Pipeline_tbl[[#This Row],[Rate_Code_Generalized]],Lookups!A:A,Lookups!B:B))*Pipeline_tbl[[#This Row],[Pipeline_Amount_USD]]</f>
        <v>45385.210000000006</v>
      </c>
      <c r="O4852" t="str">
        <f>_xlfn.XLOOKUP(Pipeline_tbl[[#This Row],[Rep_ID]],Dim_Reps!A:A,Dim_Reps!B:B)</f>
        <v>Milo Castro</v>
      </c>
      <c r="P4852" t="str">
        <f>_xlfn.XLOOKUP(Pipeline_tbl[[#This Row],[Rep_ID]],Dim_Reps!A:A,Dim_Reps!C:C)</f>
        <v>SDR / Inside Sales Rep</v>
      </c>
      <c r="Q4852" t="str">
        <f>_xlfn.XLOOKUP(Pipeline_tbl[[#This Row],[Rep_ID]],Dim_Reps!A:A,Dim_Reps!D:D)</f>
        <v>Inside Sales</v>
      </c>
      <c r="R4852" t="str">
        <f>_xlfn.XLOOKUP(Pipeline_tbl[[#This Row],[Rep_ID]],Dim_Reps!A:A,Dim_Reps!E:E)</f>
        <v>LATAM</v>
      </c>
      <c r="S4852" t="str">
        <f>_xlfn.XLOOKUP(Pipeline_tbl[[#This Row],[Created_Date]],Dim_Date!A:A,Dim_Date!H:H)</f>
        <v>Feb 2025</v>
      </c>
      <c r="T4852" t="str">
        <f>IF(Pipeline_tbl[[#This Row],[Closed_Date]]=0,"",(_xlfn.XLOOKUP(Pipeline_tbl[[#This Row],[Closed_Date]],Dim_Date!A:A,Dim_Date!H:H)))</f>
        <v>Mar 2025</v>
      </c>
      <c r="U4852">
        <f>IF(Pipeline_tbl[[#This Row],[Closed_Date]]=0,"",Pipeline_tbl[[#This Row],[Closed_Date]]-Pipeline_tbl[[#This Row],[Created_Date]])</f>
        <v>20</v>
      </c>
    </row>
    <row r="4853" spans="1:21" ht="15" customHeight="1" x14ac:dyDescent="0.2">
      <c r="A4853" t="s">
        <v>5159</v>
      </c>
      <c r="B4853" t="s">
        <v>235</v>
      </c>
      <c r="C4853" t="s">
        <v>56</v>
      </c>
      <c r="D4853" s="49">
        <v>45713</v>
      </c>
      <c r="E4853" s="49">
        <v>45715</v>
      </c>
      <c r="I4853" s="49">
        <v>45733</v>
      </c>
      <c r="J4853" t="s">
        <v>49</v>
      </c>
      <c r="K4853" s="33">
        <v>8600</v>
      </c>
      <c r="L4853" t="s">
        <v>60</v>
      </c>
      <c r="M4853" t="str">
        <f>_xlfn.XLOOKUP(Pipeline_tbl[[#This Row],[Rep_ID]],Dim_Reps!A:A,Dim_Reps!K:K)</f>
        <v>MXN</v>
      </c>
      <c r="N4853" s="33">
        <f>(_xlfn.XLOOKUP(Pipeline_tbl[[#This Row],[Rate_Code_Generalized]],Lookups!A:A,Lookups!B:B))*Pipeline_tbl[[#This Row],[Pipeline_Amount_USD]]</f>
        <v>169701.22</v>
      </c>
      <c r="O4853" t="str">
        <f>_xlfn.XLOOKUP(Pipeline_tbl[[#This Row],[Rep_ID]],Dim_Reps!A:A,Dim_Reps!B:B)</f>
        <v>Milo Castro</v>
      </c>
      <c r="P4853" t="str">
        <f>_xlfn.XLOOKUP(Pipeline_tbl[[#This Row],[Rep_ID]],Dim_Reps!A:A,Dim_Reps!C:C)</f>
        <v>SDR / Inside Sales Rep</v>
      </c>
      <c r="Q4853" t="str">
        <f>_xlfn.XLOOKUP(Pipeline_tbl[[#This Row],[Rep_ID]],Dim_Reps!A:A,Dim_Reps!D:D)</f>
        <v>Inside Sales</v>
      </c>
      <c r="R4853" t="str">
        <f>_xlfn.XLOOKUP(Pipeline_tbl[[#This Row],[Rep_ID]],Dim_Reps!A:A,Dim_Reps!E:E)</f>
        <v>LATAM</v>
      </c>
      <c r="S4853" t="str">
        <f>_xlfn.XLOOKUP(Pipeline_tbl[[#This Row],[Created_Date]],Dim_Date!A:A,Dim_Date!H:H)</f>
        <v>Feb 2025</v>
      </c>
      <c r="T4853" t="str">
        <f>IF(Pipeline_tbl[[#This Row],[Closed_Date]]=0,"",(_xlfn.XLOOKUP(Pipeline_tbl[[#This Row],[Closed_Date]],Dim_Date!A:A,Dim_Date!H:H)))</f>
        <v>Mar 2025</v>
      </c>
      <c r="U4853">
        <f>IF(Pipeline_tbl[[#This Row],[Closed_Date]]=0,"",Pipeline_tbl[[#This Row],[Closed_Date]]-Pipeline_tbl[[#This Row],[Created_Date]])</f>
        <v>20</v>
      </c>
    </row>
    <row r="4854" spans="1:21" ht="15" customHeight="1" x14ac:dyDescent="0.2">
      <c r="A4854" t="s">
        <v>5160</v>
      </c>
      <c r="B4854" t="s">
        <v>237</v>
      </c>
      <c r="C4854" t="s">
        <v>55</v>
      </c>
      <c r="D4854" s="49">
        <v>45712</v>
      </c>
      <c r="E4854" s="49">
        <v>45713</v>
      </c>
      <c r="F4854" s="49">
        <v>45716</v>
      </c>
      <c r="G4854" s="49">
        <v>45720</v>
      </c>
      <c r="H4854" s="49">
        <v>45723</v>
      </c>
      <c r="I4854" s="49">
        <v>45725</v>
      </c>
      <c r="J4854" t="s">
        <v>47</v>
      </c>
      <c r="K4854" s="33">
        <v>4800</v>
      </c>
      <c r="M4854" t="str">
        <f>_xlfn.XLOOKUP(Pipeline_tbl[[#This Row],[Rep_ID]],Dim_Reps!A:A,Dim_Reps!K:K)</f>
        <v>EUR</v>
      </c>
      <c r="N4854" s="33">
        <f>(_xlfn.XLOOKUP(Pipeline_tbl[[#This Row],[Rate_Code_Generalized]],Lookups!A:A,Lookups!B:B))*Pipeline_tbl[[#This Row],[Pipeline_Amount_USD]]</f>
        <v>4800</v>
      </c>
      <c r="O4854" t="str">
        <f>_xlfn.XLOOKUP(Pipeline_tbl[[#This Row],[Rep_ID]],Dim_Reps!A:A,Dim_Reps!B:B)</f>
        <v>Hugo Santos</v>
      </c>
      <c r="P4854" t="str">
        <f>_xlfn.XLOOKUP(Pipeline_tbl[[#This Row],[Rep_ID]],Dim_Reps!A:A,Dim_Reps!C:C)</f>
        <v>SDR / Inside Sales Rep</v>
      </c>
      <c r="Q4854" t="str">
        <f>_xlfn.XLOOKUP(Pipeline_tbl[[#This Row],[Rep_ID]],Dim_Reps!A:A,Dim_Reps!D:D)</f>
        <v>Inside Sales</v>
      </c>
      <c r="R4854" t="str">
        <f>_xlfn.XLOOKUP(Pipeline_tbl[[#This Row],[Rep_ID]],Dim_Reps!A:A,Dim_Reps!E:E)</f>
        <v>EMEA</v>
      </c>
      <c r="S4854" t="str">
        <f>_xlfn.XLOOKUP(Pipeline_tbl[[#This Row],[Created_Date]],Dim_Date!A:A,Dim_Date!H:H)</f>
        <v>Feb 2025</v>
      </c>
      <c r="T4854" t="str">
        <f>IF(Pipeline_tbl[[#This Row],[Closed_Date]]=0,"",(_xlfn.XLOOKUP(Pipeline_tbl[[#This Row],[Closed_Date]],Dim_Date!A:A,Dim_Date!H:H)))</f>
        <v>Mar 2025</v>
      </c>
      <c r="U4854">
        <f>IF(Pipeline_tbl[[#This Row],[Closed_Date]]=0,"",Pipeline_tbl[[#This Row],[Closed_Date]]-Pipeline_tbl[[#This Row],[Created_Date]])</f>
        <v>13</v>
      </c>
    </row>
    <row r="4855" spans="1:21" ht="15" customHeight="1" x14ac:dyDescent="0.2">
      <c r="A4855" t="s">
        <v>5161</v>
      </c>
      <c r="B4855" t="s">
        <v>237</v>
      </c>
      <c r="C4855" t="s">
        <v>53</v>
      </c>
      <c r="D4855" s="49">
        <v>45700</v>
      </c>
      <c r="E4855" s="49">
        <v>45702</v>
      </c>
      <c r="F4855" s="49">
        <v>45705</v>
      </c>
      <c r="I4855" s="49">
        <v>45718</v>
      </c>
      <c r="J4855" t="s">
        <v>49</v>
      </c>
      <c r="K4855" s="33">
        <v>3700</v>
      </c>
      <c r="L4855" t="s">
        <v>62</v>
      </c>
      <c r="M4855" t="str">
        <f>_xlfn.XLOOKUP(Pipeline_tbl[[#This Row],[Rep_ID]],Dim_Reps!A:A,Dim_Reps!K:K)</f>
        <v>EUR</v>
      </c>
      <c r="N4855" s="33">
        <f>(_xlfn.XLOOKUP(Pipeline_tbl[[#This Row],[Rate_Code_Generalized]],Lookups!A:A,Lookups!B:B))*Pipeline_tbl[[#This Row],[Pipeline_Amount_USD]]</f>
        <v>3700</v>
      </c>
      <c r="O4855" t="str">
        <f>_xlfn.XLOOKUP(Pipeline_tbl[[#This Row],[Rep_ID]],Dim_Reps!A:A,Dim_Reps!B:B)</f>
        <v>Hugo Santos</v>
      </c>
      <c r="P4855" t="str">
        <f>_xlfn.XLOOKUP(Pipeline_tbl[[#This Row],[Rep_ID]],Dim_Reps!A:A,Dim_Reps!C:C)</f>
        <v>SDR / Inside Sales Rep</v>
      </c>
      <c r="Q4855" t="str">
        <f>_xlfn.XLOOKUP(Pipeline_tbl[[#This Row],[Rep_ID]],Dim_Reps!A:A,Dim_Reps!D:D)</f>
        <v>Inside Sales</v>
      </c>
      <c r="R4855" t="str">
        <f>_xlfn.XLOOKUP(Pipeline_tbl[[#This Row],[Rep_ID]],Dim_Reps!A:A,Dim_Reps!E:E)</f>
        <v>EMEA</v>
      </c>
      <c r="S4855" t="str">
        <f>_xlfn.XLOOKUP(Pipeline_tbl[[#This Row],[Created_Date]],Dim_Date!A:A,Dim_Date!H:H)</f>
        <v>Feb 2025</v>
      </c>
      <c r="T4855" t="str">
        <f>IF(Pipeline_tbl[[#This Row],[Closed_Date]]=0,"",(_xlfn.XLOOKUP(Pipeline_tbl[[#This Row],[Closed_Date]],Dim_Date!A:A,Dim_Date!H:H)))</f>
        <v>Mar 2025</v>
      </c>
      <c r="U4855">
        <f>IF(Pipeline_tbl[[#This Row],[Closed_Date]]=0,"",Pipeline_tbl[[#This Row],[Closed_Date]]-Pipeline_tbl[[#This Row],[Created_Date]])</f>
        <v>18</v>
      </c>
    </row>
    <row r="4856" spans="1:21" ht="15" customHeight="1" x14ac:dyDescent="0.2">
      <c r="A4856" t="s">
        <v>5162</v>
      </c>
      <c r="B4856" t="s">
        <v>237</v>
      </c>
      <c r="C4856" t="s">
        <v>52</v>
      </c>
      <c r="D4856" s="49">
        <v>45715</v>
      </c>
      <c r="E4856" s="49">
        <v>45716</v>
      </c>
      <c r="F4856" s="49">
        <v>45719</v>
      </c>
      <c r="G4856" s="49">
        <v>45722</v>
      </c>
      <c r="H4856" s="49">
        <v>45725</v>
      </c>
      <c r="I4856" s="49">
        <v>45727</v>
      </c>
      <c r="J4856" t="s">
        <v>49</v>
      </c>
      <c r="K4856" s="33">
        <v>4800</v>
      </c>
      <c r="L4856" t="s">
        <v>61</v>
      </c>
      <c r="M4856" t="str">
        <f>_xlfn.XLOOKUP(Pipeline_tbl[[#This Row],[Rep_ID]],Dim_Reps!A:A,Dim_Reps!K:K)</f>
        <v>EUR</v>
      </c>
      <c r="N4856" s="33">
        <f>(_xlfn.XLOOKUP(Pipeline_tbl[[#This Row],[Rate_Code_Generalized]],Lookups!A:A,Lookups!B:B))*Pipeline_tbl[[#This Row],[Pipeline_Amount_USD]]</f>
        <v>4800</v>
      </c>
      <c r="O4856" t="str">
        <f>_xlfn.XLOOKUP(Pipeline_tbl[[#This Row],[Rep_ID]],Dim_Reps!A:A,Dim_Reps!B:B)</f>
        <v>Hugo Santos</v>
      </c>
      <c r="P4856" t="str">
        <f>_xlfn.XLOOKUP(Pipeline_tbl[[#This Row],[Rep_ID]],Dim_Reps!A:A,Dim_Reps!C:C)</f>
        <v>SDR / Inside Sales Rep</v>
      </c>
      <c r="Q4856" t="str">
        <f>_xlfn.XLOOKUP(Pipeline_tbl[[#This Row],[Rep_ID]],Dim_Reps!A:A,Dim_Reps!D:D)</f>
        <v>Inside Sales</v>
      </c>
      <c r="R4856" t="str">
        <f>_xlfn.XLOOKUP(Pipeline_tbl[[#This Row],[Rep_ID]],Dim_Reps!A:A,Dim_Reps!E:E)</f>
        <v>EMEA</v>
      </c>
      <c r="S4856" t="str">
        <f>_xlfn.XLOOKUP(Pipeline_tbl[[#This Row],[Created_Date]],Dim_Date!A:A,Dim_Date!H:H)</f>
        <v>Feb 2025</v>
      </c>
      <c r="T4856" t="str">
        <f>IF(Pipeline_tbl[[#This Row],[Closed_Date]]=0,"",(_xlfn.XLOOKUP(Pipeline_tbl[[#This Row],[Closed_Date]],Dim_Date!A:A,Dim_Date!H:H)))</f>
        <v>Mar 2025</v>
      </c>
      <c r="U4856">
        <f>IF(Pipeline_tbl[[#This Row],[Closed_Date]]=0,"",Pipeline_tbl[[#This Row],[Closed_Date]]-Pipeline_tbl[[#This Row],[Created_Date]])</f>
        <v>12</v>
      </c>
    </row>
    <row r="4857" spans="1:21" ht="15" customHeight="1" x14ac:dyDescent="0.2">
      <c r="A4857" t="s">
        <v>5163</v>
      </c>
      <c r="B4857" t="s">
        <v>269</v>
      </c>
      <c r="C4857" t="s">
        <v>54</v>
      </c>
      <c r="D4857" s="49">
        <v>45709</v>
      </c>
      <c r="E4857" s="49">
        <v>45713</v>
      </c>
      <c r="F4857" s="49">
        <v>45720</v>
      </c>
      <c r="G4857" s="49">
        <v>45731</v>
      </c>
      <c r="H4857" s="49">
        <v>45740</v>
      </c>
      <c r="I4857" s="49">
        <v>45745</v>
      </c>
      <c r="J4857" t="s">
        <v>47</v>
      </c>
      <c r="K4857" s="33">
        <v>25800</v>
      </c>
      <c r="M4857" t="str">
        <f>_xlfn.XLOOKUP(Pipeline_tbl[[#This Row],[Rep_ID]],Dim_Reps!A:A,Dim_Reps!K:K)</f>
        <v>USD</v>
      </c>
      <c r="N4857" s="33">
        <f>(_xlfn.XLOOKUP(Pipeline_tbl[[#This Row],[Rate_Code_Generalized]],Lookups!A:A,Lookups!B:B))*Pipeline_tbl[[#This Row],[Pipeline_Amount_USD]]</f>
        <v>30038.94</v>
      </c>
      <c r="O4857" t="str">
        <f>_xlfn.XLOOKUP(Pipeline_tbl[[#This Row],[Rep_ID]],Dim_Reps!A:A,Dim_Reps!B:B)</f>
        <v>Morgan Rivera</v>
      </c>
      <c r="P4857" t="str">
        <f>_xlfn.XLOOKUP(Pipeline_tbl[[#This Row],[Rep_ID]],Dim_Reps!A:A,Dim_Reps!C:C)</f>
        <v>Mid-Market AE</v>
      </c>
      <c r="Q4857" t="str">
        <f>_xlfn.XLOOKUP(Pipeline_tbl[[#This Row],[Rep_ID]],Dim_Reps!A:A,Dim_Reps!D:D)</f>
        <v>Mid-Market</v>
      </c>
      <c r="R4857" t="str">
        <f>_xlfn.XLOOKUP(Pipeline_tbl[[#This Row],[Rep_ID]],Dim_Reps!A:A,Dim_Reps!E:E)</f>
        <v>NAMER</v>
      </c>
      <c r="S4857" t="str">
        <f>_xlfn.XLOOKUP(Pipeline_tbl[[#This Row],[Created_Date]],Dim_Date!A:A,Dim_Date!H:H)</f>
        <v>Feb 2025</v>
      </c>
      <c r="T4857" t="str">
        <f>IF(Pipeline_tbl[[#This Row],[Closed_Date]]=0,"",(_xlfn.XLOOKUP(Pipeline_tbl[[#This Row],[Closed_Date]],Dim_Date!A:A,Dim_Date!H:H)))</f>
        <v>Mar 2025</v>
      </c>
      <c r="U4857">
        <f>IF(Pipeline_tbl[[#This Row],[Closed_Date]]=0,"",Pipeline_tbl[[#This Row],[Closed_Date]]-Pipeline_tbl[[#This Row],[Created_Date]])</f>
        <v>36</v>
      </c>
    </row>
    <row r="4858" spans="1:21" ht="15" customHeight="1" x14ac:dyDescent="0.2">
      <c r="A4858" t="s">
        <v>5164</v>
      </c>
      <c r="B4858" t="s">
        <v>269</v>
      </c>
      <c r="C4858" t="s">
        <v>52</v>
      </c>
      <c r="D4858" s="49">
        <v>45714</v>
      </c>
      <c r="E4858" s="49">
        <v>45717</v>
      </c>
      <c r="F4858" s="49">
        <v>45724</v>
      </c>
      <c r="G4858" s="49">
        <v>45733</v>
      </c>
      <c r="H4858" s="49">
        <v>45741</v>
      </c>
      <c r="I4858" s="49">
        <v>45746</v>
      </c>
      <c r="J4858" t="s">
        <v>49</v>
      </c>
      <c r="K4858" s="33">
        <v>13700</v>
      </c>
      <c r="L4858" t="s">
        <v>60</v>
      </c>
      <c r="M4858" t="str">
        <f>_xlfn.XLOOKUP(Pipeline_tbl[[#This Row],[Rep_ID]],Dim_Reps!A:A,Dim_Reps!K:K)</f>
        <v>USD</v>
      </c>
      <c r="N4858" s="33">
        <f>(_xlfn.XLOOKUP(Pipeline_tbl[[#This Row],[Rate_Code_Generalized]],Lookups!A:A,Lookups!B:B))*Pipeline_tbl[[#This Row],[Pipeline_Amount_USD]]</f>
        <v>15950.909999999998</v>
      </c>
      <c r="O4858" t="str">
        <f>_xlfn.XLOOKUP(Pipeline_tbl[[#This Row],[Rep_ID]],Dim_Reps!A:A,Dim_Reps!B:B)</f>
        <v>Morgan Rivera</v>
      </c>
      <c r="P4858" t="str">
        <f>_xlfn.XLOOKUP(Pipeline_tbl[[#This Row],[Rep_ID]],Dim_Reps!A:A,Dim_Reps!C:C)</f>
        <v>Mid-Market AE</v>
      </c>
      <c r="Q4858" t="str">
        <f>_xlfn.XLOOKUP(Pipeline_tbl[[#This Row],[Rep_ID]],Dim_Reps!A:A,Dim_Reps!D:D)</f>
        <v>Mid-Market</v>
      </c>
      <c r="R4858" t="str">
        <f>_xlfn.XLOOKUP(Pipeline_tbl[[#This Row],[Rep_ID]],Dim_Reps!A:A,Dim_Reps!E:E)</f>
        <v>NAMER</v>
      </c>
      <c r="S4858" t="str">
        <f>_xlfn.XLOOKUP(Pipeline_tbl[[#This Row],[Created_Date]],Dim_Date!A:A,Dim_Date!H:H)</f>
        <v>Feb 2025</v>
      </c>
      <c r="T4858" t="str">
        <f>IF(Pipeline_tbl[[#This Row],[Closed_Date]]=0,"",(_xlfn.XLOOKUP(Pipeline_tbl[[#This Row],[Closed_Date]],Dim_Date!A:A,Dim_Date!H:H)))</f>
        <v>Mar 2025</v>
      </c>
      <c r="U4858">
        <f>IF(Pipeline_tbl[[#This Row],[Closed_Date]]=0,"",Pipeline_tbl[[#This Row],[Closed_Date]]-Pipeline_tbl[[#This Row],[Created_Date]])</f>
        <v>32</v>
      </c>
    </row>
    <row r="4859" spans="1:21" ht="15" customHeight="1" x14ac:dyDescent="0.2">
      <c r="A4859" t="s">
        <v>5165</v>
      </c>
      <c r="B4859" t="s">
        <v>269</v>
      </c>
      <c r="C4859" t="s">
        <v>54</v>
      </c>
      <c r="D4859" s="49">
        <v>45698</v>
      </c>
      <c r="E4859" s="49">
        <v>45703</v>
      </c>
      <c r="F4859" s="49">
        <v>45712</v>
      </c>
      <c r="I4859" s="49">
        <v>45744</v>
      </c>
      <c r="J4859" t="s">
        <v>49</v>
      </c>
      <c r="K4859" s="33">
        <v>11200</v>
      </c>
      <c r="L4859" t="s">
        <v>60</v>
      </c>
      <c r="M4859" t="str">
        <f>_xlfn.XLOOKUP(Pipeline_tbl[[#This Row],[Rep_ID]],Dim_Reps!A:A,Dim_Reps!K:K)</f>
        <v>USD</v>
      </c>
      <c r="N4859" s="33">
        <f>(_xlfn.XLOOKUP(Pipeline_tbl[[#This Row],[Rate_Code_Generalized]],Lookups!A:A,Lookups!B:B))*Pipeline_tbl[[#This Row],[Pipeline_Amount_USD]]</f>
        <v>13040.159999999998</v>
      </c>
      <c r="O4859" t="str">
        <f>_xlfn.XLOOKUP(Pipeline_tbl[[#This Row],[Rep_ID]],Dim_Reps!A:A,Dim_Reps!B:B)</f>
        <v>Morgan Rivera</v>
      </c>
      <c r="P4859" t="str">
        <f>_xlfn.XLOOKUP(Pipeline_tbl[[#This Row],[Rep_ID]],Dim_Reps!A:A,Dim_Reps!C:C)</f>
        <v>Mid-Market AE</v>
      </c>
      <c r="Q4859" t="str">
        <f>_xlfn.XLOOKUP(Pipeline_tbl[[#This Row],[Rep_ID]],Dim_Reps!A:A,Dim_Reps!D:D)</f>
        <v>Mid-Market</v>
      </c>
      <c r="R4859" t="str">
        <f>_xlfn.XLOOKUP(Pipeline_tbl[[#This Row],[Rep_ID]],Dim_Reps!A:A,Dim_Reps!E:E)</f>
        <v>NAMER</v>
      </c>
      <c r="S4859" t="str">
        <f>_xlfn.XLOOKUP(Pipeline_tbl[[#This Row],[Created_Date]],Dim_Date!A:A,Dim_Date!H:H)</f>
        <v>Feb 2025</v>
      </c>
      <c r="T4859" t="str">
        <f>IF(Pipeline_tbl[[#This Row],[Closed_Date]]=0,"",(_xlfn.XLOOKUP(Pipeline_tbl[[#This Row],[Closed_Date]],Dim_Date!A:A,Dim_Date!H:H)))</f>
        <v>Mar 2025</v>
      </c>
      <c r="U4859">
        <f>IF(Pipeline_tbl[[#This Row],[Closed_Date]]=0,"",Pipeline_tbl[[#This Row],[Closed_Date]]-Pipeline_tbl[[#This Row],[Created_Date]])</f>
        <v>46</v>
      </c>
    </row>
    <row r="4860" spans="1:21" ht="15" customHeight="1" x14ac:dyDescent="0.2">
      <c r="A4860" t="s">
        <v>5166</v>
      </c>
      <c r="B4860" t="s">
        <v>271</v>
      </c>
      <c r="C4860" t="s">
        <v>52</v>
      </c>
      <c r="D4860" s="49">
        <v>45702</v>
      </c>
      <c r="E4860" s="49">
        <v>45704</v>
      </c>
      <c r="F4860" s="49">
        <v>45707</v>
      </c>
      <c r="G4860" s="49">
        <v>45713</v>
      </c>
      <c r="I4860" s="49">
        <v>45720</v>
      </c>
      <c r="J4860" t="s">
        <v>49</v>
      </c>
      <c r="K4860" s="33">
        <v>10900</v>
      </c>
      <c r="L4860" t="s">
        <v>64</v>
      </c>
      <c r="M4860" t="str">
        <f>_xlfn.XLOOKUP(Pipeline_tbl[[#This Row],[Rep_ID]],Dim_Reps!A:A,Dim_Reps!K:K)</f>
        <v>EUR</v>
      </c>
      <c r="N4860" s="33">
        <f>(_xlfn.XLOOKUP(Pipeline_tbl[[#This Row],[Rate_Code_Generalized]],Lookups!A:A,Lookups!B:B))*Pipeline_tbl[[#This Row],[Pipeline_Amount_USD]]</f>
        <v>10900</v>
      </c>
      <c r="O4860" t="str">
        <f>_xlfn.XLOOKUP(Pipeline_tbl[[#This Row],[Rep_ID]],Dim_Reps!A:A,Dim_Reps!B:B)</f>
        <v>Ivy Adler</v>
      </c>
      <c r="P4860" t="str">
        <f>_xlfn.XLOOKUP(Pipeline_tbl[[#This Row],[Rep_ID]],Dim_Reps!A:A,Dim_Reps!C:C)</f>
        <v>Mid-Market AE</v>
      </c>
      <c r="Q4860" t="str">
        <f>_xlfn.XLOOKUP(Pipeline_tbl[[#This Row],[Rep_ID]],Dim_Reps!A:A,Dim_Reps!D:D)</f>
        <v>Mid-Market</v>
      </c>
      <c r="R4860" t="str">
        <f>_xlfn.XLOOKUP(Pipeline_tbl[[#This Row],[Rep_ID]],Dim_Reps!A:A,Dim_Reps!E:E)</f>
        <v>APAC</v>
      </c>
      <c r="S4860" t="str">
        <f>_xlfn.XLOOKUP(Pipeline_tbl[[#This Row],[Created_Date]],Dim_Date!A:A,Dim_Date!H:H)</f>
        <v>Feb 2025</v>
      </c>
      <c r="T4860" t="str">
        <f>IF(Pipeline_tbl[[#This Row],[Closed_Date]]=0,"",(_xlfn.XLOOKUP(Pipeline_tbl[[#This Row],[Closed_Date]],Dim_Date!A:A,Dim_Date!H:H)))</f>
        <v>Mar 2025</v>
      </c>
      <c r="U4860">
        <f>IF(Pipeline_tbl[[#This Row],[Closed_Date]]=0,"",Pipeline_tbl[[#This Row],[Closed_Date]]-Pipeline_tbl[[#This Row],[Created_Date]])</f>
        <v>18</v>
      </c>
    </row>
    <row r="4861" spans="1:21" ht="15" customHeight="1" x14ac:dyDescent="0.2">
      <c r="A4861" t="s">
        <v>5167</v>
      </c>
      <c r="B4861" t="s">
        <v>273</v>
      </c>
      <c r="C4861" t="s">
        <v>54</v>
      </c>
      <c r="D4861" s="49">
        <v>45690</v>
      </c>
      <c r="E4861" s="49">
        <v>45694</v>
      </c>
      <c r="F4861" s="49">
        <v>45701</v>
      </c>
      <c r="G4861" s="49">
        <v>45711</v>
      </c>
      <c r="H4861" s="49">
        <v>45720</v>
      </c>
      <c r="I4861" s="49">
        <v>45725</v>
      </c>
      <c r="J4861" t="s">
        <v>47</v>
      </c>
      <c r="K4861" s="33">
        <v>6500</v>
      </c>
      <c r="M4861" t="str">
        <f>_xlfn.XLOOKUP(Pipeline_tbl[[#This Row],[Rep_ID]],Dim_Reps!A:A,Dim_Reps!K:K)</f>
        <v>EUR</v>
      </c>
      <c r="N4861" s="33">
        <f>(_xlfn.XLOOKUP(Pipeline_tbl[[#This Row],[Rate_Code_Generalized]],Lookups!A:A,Lookups!B:B))*Pipeline_tbl[[#This Row],[Pipeline_Amount_USD]]</f>
        <v>6500</v>
      </c>
      <c r="O4861" t="str">
        <f>_xlfn.XLOOKUP(Pipeline_tbl[[#This Row],[Rep_ID]],Dim_Reps!A:A,Dim_Reps!B:B)</f>
        <v>Olivia Cohen</v>
      </c>
      <c r="P4861" t="str">
        <f>_xlfn.XLOOKUP(Pipeline_tbl[[#This Row],[Rep_ID]],Dim_Reps!A:A,Dim_Reps!C:C)</f>
        <v>Mid-Market AE</v>
      </c>
      <c r="Q4861" t="str">
        <f>_xlfn.XLOOKUP(Pipeline_tbl[[#This Row],[Rep_ID]],Dim_Reps!A:A,Dim_Reps!D:D)</f>
        <v>Mid-Market</v>
      </c>
      <c r="R4861" t="str">
        <f>_xlfn.XLOOKUP(Pipeline_tbl[[#This Row],[Rep_ID]],Dim_Reps!A:A,Dim_Reps!E:E)</f>
        <v>APAC</v>
      </c>
      <c r="S4861" t="str">
        <f>_xlfn.XLOOKUP(Pipeline_tbl[[#This Row],[Created_Date]],Dim_Date!A:A,Dim_Date!H:H)</f>
        <v>Feb 2025</v>
      </c>
      <c r="T4861" t="str">
        <f>IF(Pipeline_tbl[[#This Row],[Closed_Date]]=0,"",(_xlfn.XLOOKUP(Pipeline_tbl[[#This Row],[Closed_Date]],Dim_Date!A:A,Dim_Date!H:H)))</f>
        <v>Mar 2025</v>
      </c>
      <c r="U4861">
        <f>IF(Pipeline_tbl[[#This Row],[Closed_Date]]=0,"",Pipeline_tbl[[#This Row],[Closed_Date]]-Pipeline_tbl[[#This Row],[Created_Date]])</f>
        <v>35</v>
      </c>
    </row>
    <row r="4862" spans="1:21" ht="15" customHeight="1" x14ac:dyDescent="0.2">
      <c r="A4862" t="s">
        <v>5168</v>
      </c>
      <c r="B4862" t="s">
        <v>273</v>
      </c>
      <c r="C4862" t="s">
        <v>55</v>
      </c>
      <c r="D4862" s="49">
        <v>45697</v>
      </c>
      <c r="E4862" s="49">
        <v>45701</v>
      </c>
      <c r="I4862" s="49">
        <v>45741</v>
      </c>
      <c r="J4862" t="s">
        <v>49</v>
      </c>
      <c r="K4862" s="33">
        <v>14500</v>
      </c>
      <c r="L4862" t="s">
        <v>63</v>
      </c>
      <c r="M4862" t="str">
        <f>_xlfn.XLOOKUP(Pipeline_tbl[[#This Row],[Rep_ID]],Dim_Reps!A:A,Dim_Reps!K:K)</f>
        <v>EUR</v>
      </c>
      <c r="N4862" s="33">
        <f>(_xlfn.XLOOKUP(Pipeline_tbl[[#This Row],[Rate_Code_Generalized]],Lookups!A:A,Lookups!B:B))*Pipeline_tbl[[#This Row],[Pipeline_Amount_USD]]</f>
        <v>14500</v>
      </c>
      <c r="O4862" t="str">
        <f>_xlfn.XLOOKUP(Pipeline_tbl[[#This Row],[Rep_ID]],Dim_Reps!A:A,Dim_Reps!B:B)</f>
        <v>Olivia Cohen</v>
      </c>
      <c r="P4862" t="str">
        <f>_xlfn.XLOOKUP(Pipeline_tbl[[#This Row],[Rep_ID]],Dim_Reps!A:A,Dim_Reps!C:C)</f>
        <v>Mid-Market AE</v>
      </c>
      <c r="Q4862" t="str">
        <f>_xlfn.XLOOKUP(Pipeline_tbl[[#This Row],[Rep_ID]],Dim_Reps!A:A,Dim_Reps!D:D)</f>
        <v>Mid-Market</v>
      </c>
      <c r="R4862" t="str">
        <f>_xlfn.XLOOKUP(Pipeline_tbl[[#This Row],[Rep_ID]],Dim_Reps!A:A,Dim_Reps!E:E)</f>
        <v>APAC</v>
      </c>
      <c r="S4862" t="str">
        <f>_xlfn.XLOOKUP(Pipeline_tbl[[#This Row],[Created_Date]],Dim_Date!A:A,Dim_Date!H:H)</f>
        <v>Feb 2025</v>
      </c>
      <c r="T4862" t="str">
        <f>IF(Pipeline_tbl[[#This Row],[Closed_Date]]=0,"",(_xlfn.XLOOKUP(Pipeline_tbl[[#This Row],[Closed_Date]],Dim_Date!A:A,Dim_Date!H:H)))</f>
        <v>Mar 2025</v>
      </c>
      <c r="U4862">
        <f>IF(Pipeline_tbl[[#This Row],[Closed_Date]]=0,"",Pipeline_tbl[[#This Row],[Closed_Date]]-Pipeline_tbl[[#This Row],[Created_Date]])</f>
        <v>44</v>
      </c>
    </row>
    <row r="4863" spans="1:21" ht="15" customHeight="1" x14ac:dyDescent="0.2">
      <c r="A4863" t="s">
        <v>5169</v>
      </c>
      <c r="B4863" t="s">
        <v>273</v>
      </c>
      <c r="C4863" t="s">
        <v>52</v>
      </c>
      <c r="D4863" s="49">
        <v>45706</v>
      </c>
      <c r="E4863" s="49">
        <v>45708</v>
      </c>
      <c r="F4863" s="49">
        <v>45713</v>
      </c>
      <c r="G4863" s="49">
        <v>45720</v>
      </c>
      <c r="H4863" s="49">
        <v>45726</v>
      </c>
      <c r="I4863" s="49">
        <v>45729</v>
      </c>
      <c r="J4863" t="s">
        <v>49</v>
      </c>
      <c r="K4863" s="33">
        <v>11500</v>
      </c>
      <c r="L4863" t="s">
        <v>60</v>
      </c>
      <c r="M4863" t="str">
        <f>_xlfn.XLOOKUP(Pipeline_tbl[[#This Row],[Rep_ID]],Dim_Reps!A:A,Dim_Reps!K:K)</f>
        <v>EUR</v>
      </c>
      <c r="N4863" s="33">
        <f>(_xlfn.XLOOKUP(Pipeline_tbl[[#This Row],[Rate_Code_Generalized]],Lookups!A:A,Lookups!B:B))*Pipeline_tbl[[#This Row],[Pipeline_Amount_USD]]</f>
        <v>11500</v>
      </c>
      <c r="O4863" t="str">
        <f>_xlfn.XLOOKUP(Pipeline_tbl[[#This Row],[Rep_ID]],Dim_Reps!A:A,Dim_Reps!B:B)</f>
        <v>Olivia Cohen</v>
      </c>
      <c r="P4863" t="str">
        <f>_xlfn.XLOOKUP(Pipeline_tbl[[#This Row],[Rep_ID]],Dim_Reps!A:A,Dim_Reps!C:C)</f>
        <v>Mid-Market AE</v>
      </c>
      <c r="Q4863" t="str">
        <f>_xlfn.XLOOKUP(Pipeline_tbl[[#This Row],[Rep_ID]],Dim_Reps!A:A,Dim_Reps!D:D)</f>
        <v>Mid-Market</v>
      </c>
      <c r="R4863" t="str">
        <f>_xlfn.XLOOKUP(Pipeline_tbl[[#This Row],[Rep_ID]],Dim_Reps!A:A,Dim_Reps!E:E)</f>
        <v>APAC</v>
      </c>
      <c r="S4863" t="str">
        <f>_xlfn.XLOOKUP(Pipeline_tbl[[#This Row],[Created_Date]],Dim_Date!A:A,Dim_Date!H:H)</f>
        <v>Feb 2025</v>
      </c>
      <c r="T4863" t="str">
        <f>IF(Pipeline_tbl[[#This Row],[Closed_Date]]=0,"",(_xlfn.XLOOKUP(Pipeline_tbl[[#This Row],[Closed_Date]],Dim_Date!A:A,Dim_Date!H:H)))</f>
        <v>Mar 2025</v>
      </c>
      <c r="U4863">
        <f>IF(Pipeline_tbl[[#This Row],[Closed_Date]]=0,"",Pipeline_tbl[[#This Row],[Closed_Date]]-Pipeline_tbl[[#This Row],[Created_Date]])</f>
        <v>23</v>
      </c>
    </row>
    <row r="4864" spans="1:21" ht="15" customHeight="1" x14ac:dyDescent="0.2">
      <c r="A4864" t="s">
        <v>5170</v>
      </c>
      <c r="B4864" t="s">
        <v>273</v>
      </c>
      <c r="C4864" t="s">
        <v>53</v>
      </c>
      <c r="D4864" s="49">
        <v>45697</v>
      </c>
      <c r="E4864" s="49">
        <v>45700</v>
      </c>
      <c r="F4864" s="49">
        <v>45705</v>
      </c>
      <c r="G4864" s="49">
        <v>45713</v>
      </c>
      <c r="I4864" s="49">
        <v>45723</v>
      </c>
      <c r="J4864" t="s">
        <v>49</v>
      </c>
      <c r="K4864" s="33">
        <v>13300</v>
      </c>
      <c r="L4864" t="s">
        <v>63</v>
      </c>
      <c r="M4864" t="str">
        <f>_xlfn.XLOOKUP(Pipeline_tbl[[#This Row],[Rep_ID]],Dim_Reps!A:A,Dim_Reps!K:K)</f>
        <v>EUR</v>
      </c>
      <c r="N4864" s="33">
        <f>(_xlfn.XLOOKUP(Pipeline_tbl[[#This Row],[Rate_Code_Generalized]],Lookups!A:A,Lookups!B:B))*Pipeline_tbl[[#This Row],[Pipeline_Amount_USD]]</f>
        <v>13300</v>
      </c>
      <c r="O4864" t="str">
        <f>_xlfn.XLOOKUP(Pipeline_tbl[[#This Row],[Rep_ID]],Dim_Reps!A:A,Dim_Reps!B:B)</f>
        <v>Olivia Cohen</v>
      </c>
      <c r="P4864" t="str">
        <f>_xlfn.XLOOKUP(Pipeline_tbl[[#This Row],[Rep_ID]],Dim_Reps!A:A,Dim_Reps!C:C)</f>
        <v>Mid-Market AE</v>
      </c>
      <c r="Q4864" t="str">
        <f>_xlfn.XLOOKUP(Pipeline_tbl[[#This Row],[Rep_ID]],Dim_Reps!A:A,Dim_Reps!D:D)</f>
        <v>Mid-Market</v>
      </c>
      <c r="R4864" t="str">
        <f>_xlfn.XLOOKUP(Pipeline_tbl[[#This Row],[Rep_ID]],Dim_Reps!A:A,Dim_Reps!E:E)</f>
        <v>APAC</v>
      </c>
      <c r="S4864" t="str">
        <f>_xlfn.XLOOKUP(Pipeline_tbl[[#This Row],[Created_Date]],Dim_Date!A:A,Dim_Date!H:H)</f>
        <v>Feb 2025</v>
      </c>
      <c r="T4864" t="str">
        <f>IF(Pipeline_tbl[[#This Row],[Closed_Date]]=0,"",(_xlfn.XLOOKUP(Pipeline_tbl[[#This Row],[Closed_Date]],Dim_Date!A:A,Dim_Date!H:H)))</f>
        <v>Mar 2025</v>
      </c>
      <c r="U4864">
        <f>IF(Pipeline_tbl[[#This Row],[Closed_Date]]=0,"",Pipeline_tbl[[#This Row],[Closed_Date]]-Pipeline_tbl[[#This Row],[Created_Date]])</f>
        <v>26</v>
      </c>
    </row>
    <row r="4865" spans="1:21" ht="15" customHeight="1" x14ac:dyDescent="0.2">
      <c r="A4865" t="s">
        <v>5171</v>
      </c>
      <c r="B4865" t="s">
        <v>273</v>
      </c>
      <c r="C4865" t="s">
        <v>52</v>
      </c>
      <c r="D4865" s="49">
        <v>45693</v>
      </c>
      <c r="E4865" s="49">
        <v>45696</v>
      </c>
      <c r="F4865" s="49">
        <v>45703</v>
      </c>
      <c r="G4865" s="49">
        <v>45712</v>
      </c>
      <c r="H4865" s="49">
        <v>45720</v>
      </c>
      <c r="I4865" s="49">
        <v>45725</v>
      </c>
      <c r="J4865" t="s">
        <v>47</v>
      </c>
      <c r="K4865" s="33">
        <v>13400</v>
      </c>
      <c r="M4865" t="str">
        <f>_xlfn.XLOOKUP(Pipeline_tbl[[#This Row],[Rep_ID]],Dim_Reps!A:A,Dim_Reps!K:K)</f>
        <v>EUR</v>
      </c>
      <c r="N4865" s="33">
        <f>(_xlfn.XLOOKUP(Pipeline_tbl[[#This Row],[Rate_Code_Generalized]],Lookups!A:A,Lookups!B:B))*Pipeline_tbl[[#This Row],[Pipeline_Amount_USD]]</f>
        <v>13400</v>
      </c>
      <c r="O4865" t="str">
        <f>_xlfn.XLOOKUP(Pipeline_tbl[[#This Row],[Rep_ID]],Dim_Reps!A:A,Dim_Reps!B:B)</f>
        <v>Olivia Cohen</v>
      </c>
      <c r="P4865" t="str">
        <f>_xlfn.XLOOKUP(Pipeline_tbl[[#This Row],[Rep_ID]],Dim_Reps!A:A,Dim_Reps!C:C)</f>
        <v>Mid-Market AE</v>
      </c>
      <c r="Q4865" t="str">
        <f>_xlfn.XLOOKUP(Pipeline_tbl[[#This Row],[Rep_ID]],Dim_Reps!A:A,Dim_Reps!D:D)</f>
        <v>Mid-Market</v>
      </c>
      <c r="R4865" t="str">
        <f>_xlfn.XLOOKUP(Pipeline_tbl[[#This Row],[Rep_ID]],Dim_Reps!A:A,Dim_Reps!E:E)</f>
        <v>APAC</v>
      </c>
      <c r="S4865" t="str">
        <f>_xlfn.XLOOKUP(Pipeline_tbl[[#This Row],[Created_Date]],Dim_Date!A:A,Dim_Date!H:H)</f>
        <v>Feb 2025</v>
      </c>
      <c r="T4865" t="str">
        <f>IF(Pipeline_tbl[[#This Row],[Closed_Date]]=0,"",(_xlfn.XLOOKUP(Pipeline_tbl[[#This Row],[Closed_Date]],Dim_Date!A:A,Dim_Date!H:H)))</f>
        <v>Mar 2025</v>
      </c>
      <c r="U4865">
        <f>IF(Pipeline_tbl[[#This Row],[Closed_Date]]=0,"",Pipeline_tbl[[#This Row],[Closed_Date]]-Pipeline_tbl[[#This Row],[Created_Date]])</f>
        <v>32</v>
      </c>
    </row>
    <row r="4866" spans="1:21" ht="15" customHeight="1" x14ac:dyDescent="0.2">
      <c r="A4866" t="s">
        <v>5172</v>
      </c>
      <c r="B4866" t="s">
        <v>273</v>
      </c>
      <c r="C4866" t="s">
        <v>54</v>
      </c>
      <c r="D4866" s="49">
        <v>45694</v>
      </c>
      <c r="E4866" s="49">
        <v>45698</v>
      </c>
      <c r="F4866" s="49">
        <v>45708</v>
      </c>
      <c r="G4866" s="49">
        <v>45721</v>
      </c>
      <c r="H4866" s="49">
        <v>45732</v>
      </c>
      <c r="I4866" s="49">
        <v>45739</v>
      </c>
      <c r="J4866" t="s">
        <v>49</v>
      </c>
      <c r="K4866" s="33">
        <v>4000</v>
      </c>
      <c r="L4866" t="s">
        <v>64</v>
      </c>
      <c r="M4866" t="str">
        <f>_xlfn.XLOOKUP(Pipeline_tbl[[#This Row],[Rep_ID]],Dim_Reps!A:A,Dim_Reps!K:K)</f>
        <v>EUR</v>
      </c>
      <c r="N4866" s="33">
        <f>(_xlfn.XLOOKUP(Pipeline_tbl[[#This Row],[Rate_Code_Generalized]],Lookups!A:A,Lookups!B:B))*Pipeline_tbl[[#This Row],[Pipeline_Amount_USD]]</f>
        <v>4000</v>
      </c>
      <c r="O4866" t="str">
        <f>_xlfn.XLOOKUP(Pipeline_tbl[[#This Row],[Rep_ID]],Dim_Reps!A:A,Dim_Reps!B:B)</f>
        <v>Olivia Cohen</v>
      </c>
      <c r="P4866" t="str">
        <f>_xlfn.XLOOKUP(Pipeline_tbl[[#This Row],[Rep_ID]],Dim_Reps!A:A,Dim_Reps!C:C)</f>
        <v>Mid-Market AE</v>
      </c>
      <c r="Q4866" t="str">
        <f>_xlfn.XLOOKUP(Pipeline_tbl[[#This Row],[Rep_ID]],Dim_Reps!A:A,Dim_Reps!D:D)</f>
        <v>Mid-Market</v>
      </c>
      <c r="R4866" t="str">
        <f>_xlfn.XLOOKUP(Pipeline_tbl[[#This Row],[Rep_ID]],Dim_Reps!A:A,Dim_Reps!E:E)</f>
        <v>APAC</v>
      </c>
      <c r="S4866" t="str">
        <f>_xlfn.XLOOKUP(Pipeline_tbl[[#This Row],[Created_Date]],Dim_Date!A:A,Dim_Date!H:H)</f>
        <v>Feb 2025</v>
      </c>
      <c r="T4866" t="str">
        <f>IF(Pipeline_tbl[[#This Row],[Closed_Date]]=0,"",(_xlfn.XLOOKUP(Pipeline_tbl[[#This Row],[Closed_Date]],Dim_Date!A:A,Dim_Date!H:H)))</f>
        <v>Mar 2025</v>
      </c>
      <c r="U4866">
        <f>IF(Pipeline_tbl[[#This Row],[Closed_Date]]=0,"",Pipeline_tbl[[#This Row],[Closed_Date]]-Pipeline_tbl[[#This Row],[Created_Date]])</f>
        <v>45</v>
      </c>
    </row>
    <row r="4867" spans="1:21" ht="15" customHeight="1" x14ac:dyDescent="0.2">
      <c r="A4867" t="s">
        <v>5173</v>
      </c>
      <c r="B4867" t="s">
        <v>273</v>
      </c>
      <c r="C4867" t="s">
        <v>55</v>
      </c>
      <c r="D4867" s="49">
        <v>45707</v>
      </c>
      <c r="E4867" s="49">
        <v>45710</v>
      </c>
      <c r="F4867" s="49">
        <v>45717</v>
      </c>
      <c r="G4867" s="49">
        <v>45726</v>
      </c>
      <c r="I4867" s="49">
        <v>45739</v>
      </c>
      <c r="J4867" t="s">
        <v>49</v>
      </c>
      <c r="K4867" s="33">
        <v>8000</v>
      </c>
      <c r="L4867" t="s">
        <v>60</v>
      </c>
      <c r="M4867" t="str">
        <f>_xlfn.XLOOKUP(Pipeline_tbl[[#This Row],[Rep_ID]],Dim_Reps!A:A,Dim_Reps!K:K)</f>
        <v>EUR</v>
      </c>
      <c r="N4867" s="33">
        <f>(_xlfn.XLOOKUP(Pipeline_tbl[[#This Row],[Rate_Code_Generalized]],Lookups!A:A,Lookups!B:B))*Pipeline_tbl[[#This Row],[Pipeline_Amount_USD]]</f>
        <v>8000</v>
      </c>
      <c r="O4867" t="str">
        <f>_xlfn.XLOOKUP(Pipeline_tbl[[#This Row],[Rep_ID]],Dim_Reps!A:A,Dim_Reps!B:B)</f>
        <v>Olivia Cohen</v>
      </c>
      <c r="P4867" t="str">
        <f>_xlfn.XLOOKUP(Pipeline_tbl[[#This Row],[Rep_ID]],Dim_Reps!A:A,Dim_Reps!C:C)</f>
        <v>Mid-Market AE</v>
      </c>
      <c r="Q4867" t="str">
        <f>_xlfn.XLOOKUP(Pipeline_tbl[[#This Row],[Rep_ID]],Dim_Reps!A:A,Dim_Reps!D:D)</f>
        <v>Mid-Market</v>
      </c>
      <c r="R4867" t="str">
        <f>_xlfn.XLOOKUP(Pipeline_tbl[[#This Row],[Rep_ID]],Dim_Reps!A:A,Dim_Reps!E:E)</f>
        <v>APAC</v>
      </c>
      <c r="S4867" t="str">
        <f>_xlfn.XLOOKUP(Pipeline_tbl[[#This Row],[Created_Date]],Dim_Date!A:A,Dim_Date!H:H)</f>
        <v>Feb 2025</v>
      </c>
      <c r="T4867" t="str">
        <f>IF(Pipeline_tbl[[#This Row],[Closed_Date]]=0,"",(_xlfn.XLOOKUP(Pipeline_tbl[[#This Row],[Closed_Date]],Dim_Date!A:A,Dim_Date!H:H)))</f>
        <v>Mar 2025</v>
      </c>
      <c r="U4867">
        <f>IF(Pipeline_tbl[[#This Row],[Closed_Date]]=0,"",Pipeline_tbl[[#This Row],[Closed_Date]]-Pipeline_tbl[[#This Row],[Created_Date]])</f>
        <v>32</v>
      </c>
    </row>
    <row r="4868" spans="1:21" ht="15" customHeight="1" x14ac:dyDescent="0.2">
      <c r="A4868" t="s">
        <v>5174</v>
      </c>
      <c r="B4868" t="s">
        <v>241</v>
      </c>
      <c r="C4868" t="s">
        <v>55</v>
      </c>
      <c r="D4868" s="49">
        <v>45706</v>
      </c>
      <c r="E4868" s="49">
        <v>45708</v>
      </c>
      <c r="F4868" s="49">
        <v>45711</v>
      </c>
      <c r="G4868" s="49">
        <v>45716</v>
      </c>
      <c r="H4868" s="49">
        <v>45720</v>
      </c>
      <c r="I4868" s="49">
        <v>45723</v>
      </c>
      <c r="J4868" t="s">
        <v>49</v>
      </c>
      <c r="K4868" s="33">
        <v>1400</v>
      </c>
      <c r="L4868" t="s">
        <v>64</v>
      </c>
      <c r="M4868" t="str">
        <f>_xlfn.XLOOKUP(Pipeline_tbl[[#This Row],[Rep_ID]],Dim_Reps!A:A,Dim_Reps!K:K)</f>
        <v>EUR</v>
      </c>
      <c r="N4868" s="33">
        <f>(_xlfn.XLOOKUP(Pipeline_tbl[[#This Row],[Rate_Code_Generalized]],Lookups!A:A,Lookups!B:B))*Pipeline_tbl[[#This Row],[Pipeline_Amount_USD]]</f>
        <v>1400</v>
      </c>
      <c r="O4868" t="str">
        <f>_xlfn.XLOOKUP(Pipeline_tbl[[#This Row],[Rep_ID]],Dim_Reps!A:A,Dim_Reps!B:B)</f>
        <v>Kenji Weber</v>
      </c>
      <c r="P4868" t="str">
        <f>_xlfn.XLOOKUP(Pipeline_tbl[[#This Row],[Rep_ID]],Dim_Reps!A:A,Dim_Reps!C:C)</f>
        <v>SDR / Inside Sales Rep</v>
      </c>
      <c r="Q4868" t="str">
        <f>_xlfn.XLOOKUP(Pipeline_tbl[[#This Row],[Rep_ID]],Dim_Reps!A:A,Dim_Reps!D:D)</f>
        <v>Inside Sales</v>
      </c>
      <c r="R4868" t="str">
        <f>_xlfn.XLOOKUP(Pipeline_tbl[[#This Row],[Rep_ID]],Dim_Reps!A:A,Dim_Reps!E:E)</f>
        <v>APAC</v>
      </c>
      <c r="S4868" t="str">
        <f>_xlfn.XLOOKUP(Pipeline_tbl[[#This Row],[Created_Date]],Dim_Date!A:A,Dim_Date!H:H)</f>
        <v>Feb 2025</v>
      </c>
      <c r="T4868" t="str">
        <f>IF(Pipeline_tbl[[#This Row],[Closed_Date]]=0,"",(_xlfn.XLOOKUP(Pipeline_tbl[[#This Row],[Closed_Date]],Dim_Date!A:A,Dim_Date!H:H)))</f>
        <v>Mar 2025</v>
      </c>
      <c r="U4868">
        <f>IF(Pipeline_tbl[[#This Row],[Closed_Date]]=0,"",Pipeline_tbl[[#This Row],[Closed_Date]]-Pipeline_tbl[[#This Row],[Created_Date]])</f>
        <v>17</v>
      </c>
    </row>
    <row r="4869" spans="1:21" ht="15" customHeight="1" x14ac:dyDescent="0.2">
      <c r="A4869" t="s">
        <v>5175</v>
      </c>
      <c r="B4869" t="s">
        <v>241</v>
      </c>
      <c r="C4869" t="s">
        <v>55</v>
      </c>
      <c r="D4869" s="49">
        <v>45716</v>
      </c>
      <c r="E4869" s="49">
        <v>45717</v>
      </c>
      <c r="F4869" s="49">
        <v>45720</v>
      </c>
      <c r="G4869" s="49">
        <v>45724</v>
      </c>
      <c r="I4869" s="49">
        <v>45730</v>
      </c>
      <c r="J4869" t="s">
        <v>49</v>
      </c>
      <c r="K4869" s="33">
        <v>1900</v>
      </c>
      <c r="L4869" t="s">
        <v>63</v>
      </c>
      <c r="M4869" t="str">
        <f>_xlfn.XLOOKUP(Pipeline_tbl[[#This Row],[Rep_ID]],Dim_Reps!A:A,Dim_Reps!K:K)</f>
        <v>EUR</v>
      </c>
      <c r="N4869" s="33">
        <f>(_xlfn.XLOOKUP(Pipeline_tbl[[#This Row],[Rate_Code_Generalized]],Lookups!A:A,Lookups!B:B))*Pipeline_tbl[[#This Row],[Pipeline_Amount_USD]]</f>
        <v>1900</v>
      </c>
      <c r="O4869" t="str">
        <f>_xlfn.XLOOKUP(Pipeline_tbl[[#This Row],[Rep_ID]],Dim_Reps!A:A,Dim_Reps!B:B)</f>
        <v>Kenji Weber</v>
      </c>
      <c r="P4869" t="str">
        <f>_xlfn.XLOOKUP(Pipeline_tbl[[#This Row],[Rep_ID]],Dim_Reps!A:A,Dim_Reps!C:C)</f>
        <v>SDR / Inside Sales Rep</v>
      </c>
      <c r="Q4869" t="str">
        <f>_xlfn.XLOOKUP(Pipeline_tbl[[#This Row],[Rep_ID]],Dim_Reps!A:A,Dim_Reps!D:D)</f>
        <v>Inside Sales</v>
      </c>
      <c r="R4869" t="str">
        <f>_xlfn.XLOOKUP(Pipeline_tbl[[#This Row],[Rep_ID]],Dim_Reps!A:A,Dim_Reps!E:E)</f>
        <v>APAC</v>
      </c>
      <c r="S4869" t="str">
        <f>_xlfn.XLOOKUP(Pipeline_tbl[[#This Row],[Created_Date]],Dim_Date!A:A,Dim_Date!H:H)</f>
        <v>Feb 2025</v>
      </c>
      <c r="T4869" t="str">
        <f>IF(Pipeline_tbl[[#This Row],[Closed_Date]]=0,"",(_xlfn.XLOOKUP(Pipeline_tbl[[#This Row],[Closed_Date]],Dim_Date!A:A,Dim_Date!H:H)))</f>
        <v>Mar 2025</v>
      </c>
      <c r="U4869">
        <f>IF(Pipeline_tbl[[#This Row],[Closed_Date]]=0,"",Pipeline_tbl[[#This Row],[Closed_Date]]-Pipeline_tbl[[#This Row],[Created_Date]])</f>
        <v>14</v>
      </c>
    </row>
    <row r="4870" spans="1:21" ht="15" customHeight="1" x14ac:dyDescent="0.2">
      <c r="A4870" t="s">
        <v>5176</v>
      </c>
      <c r="B4870" t="s">
        <v>241</v>
      </c>
      <c r="C4870" t="s">
        <v>55</v>
      </c>
      <c r="D4870" s="49">
        <v>45706</v>
      </c>
      <c r="E4870" s="49">
        <v>45708</v>
      </c>
      <c r="F4870" s="49">
        <v>45712</v>
      </c>
      <c r="G4870" s="49">
        <v>45718</v>
      </c>
      <c r="H4870" s="49">
        <v>45723</v>
      </c>
      <c r="I4870" s="49">
        <v>45726</v>
      </c>
      <c r="J4870" t="s">
        <v>47</v>
      </c>
      <c r="K4870" s="33">
        <v>3500</v>
      </c>
      <c r="M4870" t="str">
        <f>_xlfn.XLOOKUP(Pipeline_tbl[[#This Row],[Rep_ID]],Dim_Reps!A:A,Dim_Reps!K:K)</f>
        <v>EUR</v>
      </c>
      <c r="N4870" s="33">
        <f>(_xlfn.XLOOKUP(Pipeline_tbl[[#This Row],[Rate_Code_Generalized]],Lookups!A:A,Lookups!B:B))*Pipeline_tbl[[#This Row],[Pipeline_Amount_USD]]</f>
        <v>3500</v>
      </c>
      <c r="O4870" t="str">
        <f>_xlfn.XLOOKUP(Pipeline_tbl[[#This Row],[Rep_ID]],Dim_Reps!A:A,Dim_Reps!B:B)</f>
        <v>Kenji Weber</v>
      </c>
      <c r="P4870" t="str">
        <f>_xlfn.XLOOKUP(Pipeline_tbl[[#This Row],[Rep_ID]],Dim_Reps!A:A,Dim_Reps!C:C)</f>
        <v>SDR / Inside Sales Rep</v>
      </c>
      <c r="Q4870" t="str">
        <f>_xlfn.XLOOKUP(Pipeline_tbl[[#This Row],[Rep_ID]],Dim_Reps!A:A,Dim_Reps!D:D)</f>
        <v>Inside Sales</v>
      </c>
      <c r="R4870" t="str">
        <f>_xlfn.XLOOKUP(Pipeline_tbl[[#This Row],[Rep_ID]],Dim_Reps!A:A,Dim_Reps!E:E)</f>
        <v>APAC</v>
      </c>
      <c r="S4870" t="str">
        <f>_xlfn.XLOOKUP(Pipeline_tbl[[#This Row],[Created_Date]],Dim_Date!A:A,Dim_Date!H:H)</f>
        <v>Feb 2025</v>
      </c>
      <c r="T4870" t="str">
        <f>IF(Pipeline_tbl[[#This Row],[Closed_Date]]=0,"",(_xlfn.XLOOKUP(Pipeline_tbl[[#This Row],[Closed_Date]],Dim_Date!A:A,Dim_Date!H:H)))</f>
        <v>Mar 2025</v>
      </c>
      <c r="U4870">
        <f>IF(Pipeline_tbl[[#This Row],[Closed_Date]]=0,"",Pipeline_tbl[[#This Row],[Closed_Date]]-Pipeline_tbl[[#This Row],[Created_Date]])</f>
        <v>20</v>
      </c>
    </row>
    <row r="4871" spans="1:21" ht="15" customHeight="1" x14ac:dyDescent="0.2">
      <c r="A4871" t="s">
        <v>5177</v>
      </c>
      <c r="B4871" t="s">
        <v>241</v>
      </c>
      <c r="C4871" t="s">
        <v>55</v>
      </c>
      <c r="D4871" s="49">
        <v>45707</v>
      </c>
      <c r="E4871" s="49">
        <v>45708</v>
      </c>
      <c r="F4871" s="49">
        <v>45710</v>
      </c>
      <c r="G4871" s="49">
        <v>45714</v>
      </c>
      <c r="H4871" s="49">
        <v>45716</v>
      </c>
      <c r="I4871" s="49">
        <v>45718</v>
      </c>
      <c r="J4871" t="s">
        <v>47</v>
      </c>
      <c r="K4871" s="33">
        <v>3500</v>
      </c>
      <c r="M4871" t="str">
        <f>_xlfn.XLOOKUP(Pipeline_tbl[[#This Row],[Rep_ID]],Dim_Reps!A:A,Dim_Reps!K:K)</f>
        <v>EUR</v>
      </c>
      <c r="N4871" s="33">
        <f>(_xlfn.XLOOKUP(Pipeline_tbl[[#This Row],[Rate_Code_Generalized]],Lookups!A:A,Lookups!B:B))*Pipeline_tbl[[#This Row],[Pipeline_Amount_USD]]</f>
        <v>3500</v>
      </c>
      <c r="O4871" t="str">
        <f>_xlfn.XLOOKUP(Pipeline_tbl[[#This Row],[Rep_ID]],Dim_Reps!A:A,Dim_Reps!B:B)</f>
        <v>Kenji Weber</v>
      </c>
      <c r="P4871" t="str">
        <f>_xlfn.XLOOKUP(Pipeline_tbl[[#This Row],[Rep_ID]],Dim_Reps!A:A,Dim_Reps!C:C)</f>
        <v>SDR / Inside Sales Rep</v>
      </c>
      <c r="Q4871" t="str">
        <f>_xlfn.XLOOKUP(Pipeline_tbl[[#This Row],[Rep_ID]],Dim_Reps!A:A,Dim_Reps!D:D)</f>
        <v>Inside Sales</v>
      </c>
      <c r="R4871" t="str">
        <f>_xlfn.XLOOKUP(Pipeline_tbl[[#This Row],[Rep_ID]],Dim_Reps!A:A,Dim_Reps!E:E)</f>
        <v>APAC</v>
      </c>
      <c r="S4871" t="str">
        <f>_xlfn.XLOOKUP(Pipeline_tbl[[#This Row],[Created_Date]],Dim_Date!A:A,Dim_Date!H:H)</f>
        <v>Feb 2025</v>
      </c>
      <c r="T4871" t="str">
        <f>IF(Pipeline_tbl[[#This Row],[Closed_Date]]=0,"",(_xlfn.XLOOKUP(Pipeline_tbl[[#This Row],[Closed_Date]],Dim_Date!A:A,Dim_Date!H:H)))</f>
        <v>Mar 2025</v>
      </c>
      <c r="U4871">
        <f>IF(Pipeline_tbl[[#This Row],[Closed_Date]]=0,"",Pipeline_tbl[[#This Row],[Closed_Date]]-Pipeline_tbl[[#This Row],[Created_Date]])</f>
        <v>11</v>
      </c>
    </row>
    <row r="4872" spans="1:21" ht="15" customHeight="1" x14ac:dyDescent="0.2">
      <c r="A4872" t="s">
        <v>5178</v>
      </c>
      <c r="B4872" t="s">
        <v>241</v>
      </c>
      <c r="C4872" t="s">
        <v>55</v>
      </c>
      <c r="D4872" s="49">
        <v>45708</v>
      </c>
      <c r="E4872" s="49">
        <v>45710</v>
      </c>
      <c r="F4872" s="49">
        <v>45714</v>
      </c>
      <c r="G4872" s="49">
        <v>45721</v>
      </c>
      <c r="H4872" s="49">
        <v>45726</v>
      </c>
      <c r="I4872" s="49">
        <v>45729</v>
      </c>
      <c r="J4872" t="s">
        <v>47</v>
      </c>
      <c r="K4872" s="33">
        <v>3300</v>
      </c>
      <c r="M4872" t="str">
        <f>_xlfn.XLOOKUP(Pipeline_tbl[[#This Row],[Rep_ID]],Dim_Reps!A:A,Dim_Reps!K:K)</f>
        <v>EUR</v>
      </c>
      <c r="N4872" s="33">
        <f>(_xlfn.XLOOKUP(Pipeline_tbl[[#This Row],[Rate_Code_Generalized]],Lookups!A:A,Lookups!B:B))*Pipeline_tbl[[#This Row],[Pipeline_Amount_USD]]</f>
        <v>3300</v>
      </c>
      <c r="O4872" t="str">
        <f>_xlfn.XLOOKUP(Pipeline_tbl[[#This Row],[Rep_ID]],Dim_Reps!A:A,Dim_Reps!B:B)</f>
        <v>Kenji Weber</v>
      </c>
      <c r="P4872" t="str">
        <f>_xlfn.XLOOKUP(Pipeline_tbl[[#This Row],[Rep_ID]],Dim_Reps!A:A,Dim_Reps!C:C)</f>
        <v>SDR / Inside Sales Rep</v>
      </c>
      <c r="Q4872" t="str">
        <f>_xlfn.XLOOKUP(Pipeline_tbl[[#This Row],[Rep_ID]],Dim_Reps!A:A,Dim_Reps!D:D)</f>
        <v>Inside Sales</v>
      </c>
      <c r="R4872" t="str">
        <f>_xlfn.XLOOKUP(Pipeline_tbl[[#This Row],[Rep_ID]],Dim_Reps!A:A,Dim_Reps!E:E)</f>
        <v>APAC</v>
      </c>
      <c r="S4872" t="str">
        <f>_xlfn.XLOOKUP(Pipeline_tbl[[#This Row],[Created_Date]],Dim_Date!A:A,Dim_Date!H:H)</f>
        <v>Feb 2025</v>
      </c>
      <c r="T4872" t="str">
        <f>IF(Pipeline_tbl[[#This Row],[Closed_Date]]=0,"",(_xlfn.XLOOKUP(Pipeline_tbl[[#This Row],[Closed_Date]],Dim_Date!A:A,Dim_Date!H:H)))</f>
        <v>Mar 2025</v>
      </c>
      <c r="U4872">
        <f>IF(Pipeline_tbl[[#This Row],[Closed_Date]]=0,"",Pipeline_tbl[[#This Row],[Closed_Date]]-Pipeline_tbl[[#This Row],[Created_Date]])</f>
        <v>21</v>
      </c>
    </row>
    <row r="4873" spans="1:21" ht="15" customHeight="1" x14ac:dyDescent="0.2">
      <c r="A4873" t="s">
        <v>5179</v>
      </c>
      <c r="B4873" t="s">
        <v>241</v>
      </c>
      <c r="C4873" t="s">
        <v>52</v>
      </c>
      <c r="D4873" s="49">
        <v>45701</v>
      </c>
      <c r="E4873" s="49">
        <v>45703</v>
      </c>
      <c r="F4873" s="49">
        <v>45708</v>
      </c>
      <c r="G4873" s="49">
        <v>45714</v>
      </c>
      <c r="I4873" s="49">
        <v>45723</v>
      </c>
      <c r="J4873" t="s">
        <v>49</v>
      </c>
      <c r="K4873" s="33">
        <v>4200</v>
      </c>
      <c r="L4873" t="s">
        <v>60</v>
      </c>
      <c r="M4873" t="str">
        <f>_xlfn.XLOOKUP(Pipeline_tbl[[#This Row],[Rep_ID]],Dim_Reps!A:A,Dim_Reps!K:K)</f>
        <v>EUR</v>
      </c>
      <c r="N4873" s="33">
        <f>(_xlfn.XLOOKUP(Pipeline_tbl[[#This Row],[Rate_Code_Generalized]],Lookups!A:A,Lookups!B:B))*Pipeline_tbl[[#This Row],[Pipeline_Amount_USD]]</f>
        <v>4200</v>
      </c>
      <c r="O4873" t="str">
        <f>_xlfn.XLOOKUP(Pipeline_tbl[[#This Row],[Rep_ID]],Dim_Reps!A:A,Dim_Reps!B:B)</f>
        <v>Kenji Weber</v>
      </c>
      <c r="P4873" t="str">
        <f>_xlfn.XLOOKUP(Pipeline_tbl[[#This Row],[Rep_ID]],Dim_Reps!A:A,Dim_Reps!C:C)</f>
        <v>SDR / Inside Sales Rep</v>
      </c>
      <c r="Q4873" t="str">
        <f>_xlfn.XLOOKUP(Pipeline_tbl[[#This Row],[Rep_ID]],Dim_Reps!A:A,Dim_Reps!D:D)</f>
        <v>Inside Sales</v>
      </c>
      <c r="R4873" t="str">
        <f>_xlfn.XLOOKUP(Pipeline_tbl[[#This Row],[Rep_ID]],Dim_Reps!A:A,Dim_Reps!E:E)</f>
        <v>APAC</v>
      </c>
      <c r="S4873" t="str">
        <f>_xlfn.XLOOKUP(Pipeline_tbl[[#This Row],[Created_Date]],Dim_Date!A:A,Dim_Date!H:H)</f>
        <v>Feb 2025</v>
      </c>
      <c r="T4873" t="str">
        <f>IF(Pipeline_tbl[[#This Row],[Closed_Date]]=0,"",(_xlfn.XLOOKUP(Pipeline_tbl[[#This Row],[Closed_Date]],Dim_Date!A:A,Dim_Date!H:H)))</f>
        <v>Mar 2025</v>
      </c>
      <c r="U4873">
        <f>IF(Pipeline_tbl[[#This Row],[Closed_Date]]=0,"",Pipeline_tbl[[#This Row],[Closed_Date]]-Pipeline_tbl[[#This Row],[Created_Date]])</f>
        <v>22</v>
      </c>
    </row>
    <row r="4874" spans="1:21" ht="15" customHeight="1" x14ac:dyDescent="0.2">
      <c r="A4874" t="s">
        <v>5180</v>
      </c>
      <c r="B4874" t="s">
        <v>241</v>
      </c>
      <c r="C4874" t="s">
        <v>54</v>
      </c>
      <c r="D4874" s="49">
        <v>45706</v>
      </c>
      <c r="E4874" s="49">
        <v>45708</v>
      </c>
      <c r="F4874" s="49">
        <v>45713</v>
      </c>
      <c r="G4874" s="49">
        <v>45719</v>
      </c>
      <c r="H4874" s="49">
        <v>45725</v>
      </c>
      <c r="I4874" s="49">
        <v>45728</v>
      </c>
      <c r="J4874" t="s">
        <v>47</v>
      </c>
      <c r="K4874" s="33">
        <v>3100</v>
      </c>
      <c r="M4874" t="str">
        <f>_xlfn.XLOOKUP(Pipeline_tbl[[#This Row],[Rep_ID]],Dim_Reps!A:A,Dim_Reps!K:K)</f>
        <v>EUR</v>
      </c>
      <c r="N4874" s="33">
        <f>(_xlfn.XLOOKUP(Pipeline_tbl[[#This Row],[Rate_Code_Generalized]],Lookups!A:A,Lookups!B:B))*Pipeline_tbl[[#This Row],[Pipeline_Amount_USD]]</f>
        <v>3100</v>
      </c>
      <c r="O4874" t="str">
        <f>_xlfn.XLOOKUP(Pipeline_tbl[[#This Row],[Rep_ID]],Dim_Reps!A:A,Dim_Reps!B:B)</f>
        <v>Kenji Weber</v>
      </c>
      <c r="P4874" t="str">
        <f>_xlfn.XLOOKUP(Pipeline_tbl[[#This Row],[Rep_ID]],Dim_Reps!A:A,Dim_Reps!C:C)</f>
        <v>SDR / Inside Sales Rep</v>
      </c>
      <c r="Q4874" t="str">
        <f>_xlfn.XLOOKUP(Pipeline_tbl[[#This Row],[Rep_ID]],Dim_Reps!A:A,Dim_Reps!D:D)</f>
        <v>Inside Sales</v>
      </c>
      <c r="R4874" t="str">
        <f>_xlfn.XLOOKUP(Pipeline_tbl[[#This Row],[Rep_ID]],Dim_Reps!A:A,Dim_Reps!E:E)</f>
        <v>APAC</v>
      </c>
      <c r="S4874" t="str">
        <f>_xlfn.XLOOKUP(Pipeline_tbl[[#This Row],[Created_Date]],Dim_Date!A:A,Dim_Date!H:H)</f>
        <v>Feb 2025</v>
      </c>
      <c r="T4874" t="str">
        <f>IF(Pipeline_tbl[[#This Row],[Closed_Date]]=0,"",(_xlfn.XLOOKUP(Pipeline_tbl[[#This Row],[Closed_Date]],Dim_Date!A:A,Dim_Date!H:H)))</f>
        <v>Mar 2025</v>
      </c>
      <c r="U4874">
        <f>IF(Pipeline_tbl[[#This Row],[Closed_Date]]=0,"",Pipeline_tbl[[#This Row],[Closed_Date]]-Pipeline_tbl[[#This Row],[Created_Date]])</f>
        <v>22</v>
      </c>
    </row>
    <row r="4875" spans="1:21" ht="15" customHeight="1" x14ac:dyDescent="0.2">
      <c r="A4875" t="s">
        <v>5181</v>
      </c>
      <c r="B4875" t="s">
        <v>241</v>
      </c>
      <c r="C4875" t="s">
        <v>55</v>
      </c>
      <c r="D4875" s="49">
        <v>45706</v>
      </c>
      <c r="E4875" s="49">
        <v>45707</v>
      </c>
      <c r="F4875" s="49">
        <v>45710</v>
      </c>
      <c r="I4875" s="49">
        <v>45720</v>
      </c>
      <c r="J4875" t="s">
        <v>49</v>
      </c>
      <c r="K4875" s="33">
        <v>3500</v>
      </c>
      <c r="L4875" t="s">
        <v>60</v>
      </c>
      <c r="M4875" t="str">
        <f>_xlfn.XLOOKUP(Pipeline_tbl[[#This Row],[Rep_ID]],Dim_Reps!A:A,Dim_Reps!K:K)</f>
        <v>EUR</v>
      </c>
      <c r="N4875" s="33">
        <f>(_xlfn.XLOOKUP(Pipeline_tbl[[#This Row],[Rate_Code_Generalized]],Lookups!A:A,Lookups!B:B))*Pipeline_tbl[[#This Row],[Pipeline_Amount_USD]]</f>
        <v>3500</v>
      </c>
      <c r="O4875" t="str">
        <f>_xlfn.XLOOKUP(Pipeline_tbl[[#This Row],[Rep_ID]],Dim_Reps!A:A,Dim_Reps!B:B)</f>
        <v>Kenji Weber</v>
      </c>
      <c r="P4875" t="str">
        <f>_xlfn.XLOOKUP(Pipeline_tbl[[#This Row],[Rep_ID]],Dim_Reps!A:A,Dim_Reps!C:C)</f>
        <v>SDR / Inside Sales Rep</v>
      </c>
      <c r="Q4875" t="str">
        <f>_xlfn.XLOOKUP(Pipeline_tbl[[#This Row],[Rep_ID]],Dim_Reps!A:A,Dim_Reps!D:D)</f>
        <v>Inside Sales</v>
      </c>
      <c r="R4875" t="str">
        <f>_xlfn.XLOOKUP(Pipeline_tbl[[#This Row],[Rep_ID]],Dim_Reps!A:A,Dim_Reps!E:E)</f>
        <v>APAC</v>
      </c>
      <c r="S4875" t="str">
        <f>_xlfn.XLOOKUP(Pipeline_tbl[[#This Row],[Created_Date]],Dim_Date!A:A,Dim_Date!H:H)</f>
        <v>Feb 2025</v>
      </c>
      <c r="T4875" t="str">
        <f>IF(Pipeline_tbl[[#This Row],[Closed_Date]]=0,"",(_xlfn.XLOOKUP(Pipeline_tbl[[#This Row],[Closed_Date]],Dim_Date!A:A,Dim_Date!H:H)))</f>
        <v>Mar 2025</v>
      </c>
      <c r="U4875">
        <f>IF(Pipeline_tbl[[#This Row],[Closed_Date]]=0,"",Pipeline_tbl[[#This Row],[Closed_Date]]-Pipeline_tbl[[#This Row],[Created_Date]])</f>
        <v>14</v>
      </c>
    </row>
    <row r="4876" spans="1:21" ht="15" customHeight="1" x14ac:dyDescent="0.2">
      <c r="A4876" t="s">
        <v>5182</v>
      </c>
      <c r="B4876" t="s">
        <v>241</v>
      </c>
      <c r="C4876" t="s">
        <v>55</v>
      </c>
      <c r="D4876" s="49">
        <v>45698</v>
      </c>
      <c r="E4876" s="49">
        <v>45700</v>
      </c>
      <c r="F4876" s="49">
        <v>45705</v>
      </c>
      <c r="G4876" s="49">
        <v>45712</v>
      </c>
      <c r="H4876" s="49">
        <v>45718</v>
      </c>
      <c r="I4876" s="49">
        <v>45721</v>
      </c>
      <c r="J4876" t="s">
        <v>49</v>
      </c>
      <c r="K4876" s="33">
        <v>6200</v>
      </c>
      <c r="L4876" t="s">
        <v>62</v>
      </c>
      <c r="M4876" t="str">
        <f>_xlfn.XLOOKUP(Pipeline_tbl[[#This Row],[Rep_ID]],Dim_Reps!A:A,Dim_Reps!K:K)</f>
        <v>EUR</v>
      </c>
      <c r="N4876" s="33">
        <f>(_xlfn.XLOOKUP(Pipeline_tbl[[#This Row],[Rate_Code_Generalized]],Lookups!A:A,Lookups!B:B))*Pipeline_tbl[[#This Row],[Pipeline_Amount_USD]]</f>
        <v>6200</v>
      </c>
      <c r="O4876" t="str">
        <f>_xlfn.XLOOKUP(Pipeline_tbl[[#This Row],[Rep_ID]],Dim_Reps!A:A,Dim_Reps!B:B)</f>
        <v>Kenji Weber</v>
      </c>
      <c r="P4876" t="str">
        <f>_xlfn.XLOOKUP(Pipeline_tbl[[#This Row],[Rep_ID]],Dim_Reps!A:A,Dim_Reps!C:C)</f>
        <v>SDR / Inside Sales Rep</v>
      </c>
      <c r="Q4876" t="str">
        <f>_xlfn.XLOOKUP(Pipeline_tbl[[#This Row],[Rep_ID]],Dim_Reps!A:A,Dim_Reps!D:D)</f>
        <v>Inside Sales</v>
      </c>
      <c r="R4876" t="str">
        <f>_xlfn.XLOOKUP(Pipeline_tbl[[#This Row],[Rep_ID]],Dim_Reps!A:A,Dim_Reps!E:E)</f>
        <v>APAC</v>
      </c>
      <c r="S4876" t="str">
        <f>_xlfn.XLOOKUP(Pipeline_tbl[[#This Row],[Created_Date]],Dim_Date!A:A,Dim_Date!H:H)</f>
        <v>Feb 2025</v>
      </c>
      <c r="T4876" t="str">
        <f>IF(Pipeline_tbl[[#This Row],[Closed_Date]]=0,"",(_xlfn.XLOOKUP(Pipeline_tbl[[#This Row],[Closed_Date]],Dim_Date!A:A,Dim_Date!H:H)))</f>
        <v>Mar 2025</v>
      </c>
      <c r="U4876">
        <f>IF(Pipeline_tbl[[#This Row],[Closed_Date]]=0,"",Pipeline_tbl[[#This Row],[Closed_Date]]-Pipeline_tbl[[#This Row],[Created_Date]])</f>
        <v>23</v>
      </c>
    </row>
    <row r="4877" spans="1:21" ht="15" customHeight="1" x14ac:dyDescent="0.2">
      <c r="A4877" t="s">
        <v>5183</v>
      </c>
      <c r="B4877" t="s">
        <v>241</v>
      </c>
      <c r="C4877" t="s">
        <v>52</v>
      </c>
      <c r="D4877" s="49">
        <v>45695</v>
      </c>
      <c r="E4877" s="49">
        <v>45697</v>
      </c>
      <c r="F4877" s="49">
        <v>45702</v>
      </c>
      <c r="G4877" s="49">
        <v>45708</v>
      </c>
      <c r="H4877" s="49">
        <v>45714</v>
      </c>
      <c r="I4877" s="49">
        <v>45717</v>
      </c>
      <c r="J4877" t="s">
        <v>47</v>
      </c>
      <c r="K4877" s="33">
        <v>3300</v>
      </c>
      <c r="M4877" t="str">
        <f>_xlfn.XLOOKUP(Pipeline_tbl[[#This Row],[Rep_ID]],Dim_Reps!A:A,Dim_Reps!K:K)</f>
        <v>EUR</v>
      </c>
      <c r="N4877" s="33">
        <f>(_xlfn.XLOOKUP(Pipeline_tbl[[#This Row],[Rate_Code_Generalized]],Lookups!A:A,Lookups!B:B))*Pipeline_tbl[[#This Row],[Pipeline_Amount_USD]]</f>
        <v>3300</v>
      </c>
      <c r="O4877" t="str">
        <f>_xlfn.XLOOKUP(Pipeline_tbl[[#This Row],[Rep_ID]],Dim_Reps!A:A,Dim_Reps!B:B)</f>
        <v>Kenji Weber</v>
      </c>
      <c r="P4877" t="str">
        <f>_xlfn.XLOOKUP(Pipeline_tbl[[#This Row],[Rep_ID]],Dim_Reps!A:A,Dim_Reps!C:C)</f>
        <v>SDR / Inside Sales Rep</v>
      </c>
      <c r="Q4877" t="str">
        <f>_xlfn.XLOOKUP(Pipeline_tbl[[#This Row],[Rep_ID]],Dim_Reps!A:A,Dim_Reps!D:D)</f>
        <v>Inside Sales</v>
      </c>
      <c r="R4877" t="str">
        <f>_xlfn.XLOOKUP(Pipeline_tbl[[#This Row],[Rep_ID]],Dim_Reps!A:A,Dim_Reps!E:E)</f>
        <v>APAC</v>
      </c>
      <c r="S4877" t="str">
        <f>_xlfn.XLOOKUP(Pipeline_tbl[[#This Row],[Created_Date]],Dim_Date!A:A,Dim_Date!H:H)</f>
        <v>Feb 2025</v>
      </c>
      <c r="T4877" t="str">
        <f>IF(Pipeline_tbl[[#This Row],[Closed_Date]]=0,"",(_xlfn.XLOOKUP(Pipeline_tbl[[#This Row],[Closed_Date]],Dim_Date!A:A,Dim_Date!H:H)))</f>
        <v>Mar 2025</v>
      </c>
      <c r="U4877">
        <f>IF(Pipeline_tbl[[#This Row],[Closed_Date]]=0,"",Pipeline_tbl[[#This Row],[Closed_Date]]-Pipeline_tbl[[#This Row],[Created_Date]])</f>
        <v>22</v>
      </c>
    </row>
    <row r="4878" spans="1:21" ht="15" customHeight="1" x14ac:dyDescent="0.2">
      <c r="A4878" t="s">
        <v>5184</v>
      </c>
      <c r="B4878" t="s">
        <v>181</v>
      </c>
      <c r="C4878" t="s">
        <v>53</v>
      </c>
      <c r="D4878" s="49">
        <v>45701</v>
      </c>
      <c r="E4878" s="49">
        <v>45709</v>
      </c>
      <c r="F4878" s="49">
        <v>45725</v>
      </c>
      <c r="I4878" s="49">
        <v>45781</v>
      </c>
      <c r="J4878" t="s">
        <v>49</v>
      </c>
      <c r="K4878" s="33">
        <v>28900</v>
      </c>
      <c r="L4878" t="s">
        <v>60</v>
      </c>
      <c r="M4878" t="str">
        <f>_xlfn.XLOOKUP(Pipeline_tbl[[#This Row],[Rep_ID]],Dim_Reps!A:A,Dim_Reps!K:K)</f>
        <v>USD</v>
      </c>
      <c r="N4878" s="33">
        <f>(_xlfn.XLOOKUP(Pipeline_tbl[[#This Row],[Rate_Code_Generalized]],Lookups!A:A,Lookups!B:B))*Pipeline_tbl[[#This Row],[Pipeline_Amount_USD]]</f>
        <v>33648.269999999997</v>
      </c>
      <c r="O4878" t="str">
        <f>_xlfn.XLOOKUP(Pipeline_tbl[[#This Row],[Rep_ID]],Dim_Reps!A:A,Dim_Reps!B:B)</f>
        <v>Milo Weber</v>
      </c>
      <c r="P4878" t="str">
        <f>_xlfn.XLOOKUP(Pipeline_tbl[[#This Row],[Rep_ID]],Dim_Reps!A:A,Dim_Reps!C:C)</f>
        <v>Enterprise AE</v>
      </c>
      <c r="Q4878" t="str">
        <f>_xlfn.XLOOKUP(Pipeline_tbl[[#This Row],[Rep_ID]],Dim_Reps!A:A,Dim_Reps!D:D)</f>
        <v>Enterprise</v>
      </c>
      <c r="R4878" t="str">
        <f>_xlfn.XLOOKUP(Pipeline_tbl[[#This Row],[Rep_ID]],Dim_Reps!A:A,Dim_Reps!E:E)</f>
        <v>NAMER</v>
      </c>
      <c r="S4878" t="str">
        <f>_xlfn.XLOOKUP(Pipeline_tbl[[#This Row],[Created_Date]],Dim_Date!A:A,Dim_Date!H:H)</f>
        <v>Feb 2025</v>
      </c>
      <c r="T4878" t="str">
        <f>IF(Pipeline_tbl[[#This Row],[Closed_Date]]=0,"",(_xlfn.XLOOKUP(Pipeline_tbl[[#This Row],[Closed_Date]],Dim_Date!A:A,Dim_Date!H:H)))</f>
        <v>May 2025</v>
      </c>
      <c r="U4878">
        <f>IF(Pipeline_tbl[[#This Row],[Closed_Date]]=0,"",Pipeline_tbl[[#This Row],[Closed_Date]]-Pipeline_tbl[[#This Row],[Created_Date]])</f>
        <v>80</v>
      </c>
    </row>
    <row r="4879" spans="1:21" ht="15" customHeight="1" x14ac:dyDescent="0.2">
      <c r="A4879" t="s">
        <v>5185</v>
      </c>
      <c r="B4879" t="s">
        <v>181</v>
      </c>
      <c r="C4879" t="s">
        <v>52</v>
      </c>
      <c r="D4879" s="49">
        <v>45715</v>
      </c>
      <c r="E4879" s="49">
        <v>45721</v>
      </c>
      <c r="F4879" s="49">
        <v>45735</v>
      </c>
      <c r="I4879" s="49">
        <v>45780</v>
      </c>
      <c r="J4879" t="s">
        <v>49</v>
      </c>
      <c r="K4879" s="33">
        <v>30800</v>
      </c>
      <c r="L4879" t="s">
        <v>62</v>
      </c>
      <c r="M4879" t="str">
        <f>_xlfn.XLOOKUP(Pipeline_tbl[[#This Row],[Rep_ID]],Dim_Reps!A:A,Dim_Reps!K:K)</f>
        <v>USD</v>
      </c>
      <c r="N4879" s="33">
        <f>(_xlfn.XLOOKUP(Pipeline_tbl[[#This Row],[Rate_Code_Generalized]],Lookups!A:A,Lookups!B:B))*Pipeline_tbl[[#This Row],[Pipeline_Amount_USD]]</f>
        <v>35860.439999999995</v>
      </c>
      <c r="O4879" t="str">
        <f>_xlfn.XLOOKUP(Pipeline_tbl[[#This Row],[Rep_ID]],Dim_Reps!A:A,Dim_Reps!B:B)</f>
        <v>Milo Weber</v>
      </c>
      <c r="P4879" t="str">
        <f>_xlfn.XLOOKUP(Pipeline_tbl[[#This Row],[Rep_ID]],Dim_Reps!A:A,Dim_Reps!C:C)</f>
        <v>Enterprise AE</v>
      </c>
      <c r="Q4879" t="str">
        <f>_xlfn.XLOOKUP(Pipeline_tbl[[#This Row],[Rep_ID]],Dim_Reps!A:A,Dim_Reps!D:D)</f>
        <v>Enterprise</v>
      </c>
      <c r="R4879" t="str">
        <f>_xlfn.XLOOKUP(Pipeline_tbl[[#This Row],[Rep_ID]],Dim_Reps!A:A,Dim_Reps!E:E)</f>
        <v>NAMER</v>
      </c>
      <c r="S4879" t="str">
        <f>_xlfn.XLOOKUP(Pipeline_tbl[[#This Row],[Created_Date]],Dim_Date!A:A,Dim_Date!H:H)</f>
        <v>Feb 2025</v>
      </c>
      <c r="T4879" t="str">
        <f>IF(Pipeline_tbl[[#This Row],[Closed_Date]]=0,"",(_xlfn.XLOOKUP(Pipeline_tbl[[#This Row],[Closed_Date]],Dim_Date!A:A,Dim_Date!H:H)))</f>
        <v>May 2025</v>
      </c>
      <c r="U4879">
        <f>IF(Pipeline_tbl[[#This Row],[Closed_Date]]=0,"",Pipeline_tbl[[#This Row],[Closed_Date]]-Pipeline_tbl[[#This Row],[Created_Date]])</f>
        <v>65</v>
      </c>
    </row>
    <row r="4880" spans="1:21" ht="15" customHeight="1" x14ac:dyDescent="0.2">
      <c r="A4880" t="s">
        <v>5186</v>
      </c>
      <c r="B4880" t="s">
        <v>181</v>
      </c>
      <c r="C4880" t="s">
        <v>53</v>
      </c>
      <c r="D4880" s="49">
        <v>45713</v>
      </c>
      <c r="E4880" s="49">
        <v>45720</v>
      </c>
      <c r="I4880" s="49">
        <v>45782</v>
      </c>
      <c r="J4880" t="s">
        <v>49</v>
      </c>
      <c r="K4880" s="33">
        <v>42200</v>
      </c>
      <c r="L4880" t="s">
        <v>62</v>
      </c>
      <c r="M4880" t="str">
        <f>_xlfn.XLOOKUP(Pipeline_tbl[[#This Row],[Rep_ID]],Dim_Reps!A:A,Dim_Reps!K:K)</f>
        <v>USD</v>
      </c>
      <c r="N4880" s="33">
        <f>(_xlfn.XLOOKUP(Pipeline_tbl[[#This Row],[Rate_Code_Generalized]],Lookups!A:A,Lookups!B:B))*Pipeline_tbl[[#This Row],[Pipeline_Amount_USD]]</f>
        <v>49133.459999999992</v>
      </c>
      <c r="O4880" t="str">
        <f>_xlfn.XLOOKUP(Pipeline_tbl[[#This Row],[Rep_ID]],Dim_Reps!A:A,Dim_Reps!B:B)</f>
        <v>Milo Weber</v>
      </c>
      <c r="P4880" t="str">
        <f>_xlfn.XLOOKUP(Pipeline_tbl[[#This Row],[Rep_ID]],Dim_Reps!A:A,Dim_Reps!C:C)</f>
        <v>Enterprise AE</v>
      </c>
      <c r="Q4880" t="str">
        <f>_xlfn.XLOOKUP(Pipeline_tbl[[#This Row],[Rep_ID]],Dim_Reps!A:A,Dim_Reps!D:D)</f>
        <v>Enterprise</v>
      </c>
      <c r="R4880" t="str">
        <f>_xlfn.XLOOKUP(Pipeline_tbl[[#This Row],[Rep_ID]],Dim_Reps!A:A,Dim_Reps!E:E)</f>
        <v>NAMER</v>
      </c>
      <c r="S4880" t="str">
        <f>_xlfn.XLOOKUP(Pipeline_tbl[[#This Row],[Created_Date]],Dim_Date!A:A,Dim_Date!H:H)</f>
        <v>Feb 2025</v>
      </c>
      <c r="T4880" t="str">
        <f>IF(Pipeline_tbl[[#This Row],[Closed_Date]]=0,"",(_xlfn.XLOOKUP(Pipeline_tbl[[#This Row],[Closed_Date]],Dim_Date!A:A,Dim_Date!H:H)))</f>
        <v>May 2025</v>
      </c>
      <c r="U4880">
        <f>IF(Pipeline_tbl[[#This Row],[Closed_Date]]=0,"",Pipeline_tbl[[#This Row],[Closed_Date]]-Pipeline_tbl[[#This Row],[Created_Date]])</f>
        <v>69</v>
      </c>
    </row>
    <row r="4881" spans="1:21" ht="15" customHeight="1" x14ac:dyDescent="0.2">
      <c r="A4881" t="s">
        <v>5187</v>
      </c>
      <c r="B4881" t="s">
        <v>183</v>
      </c>
      <c r="C4881" t="s">
        <v>52</v>
      </c>
      <c r="D4881" s="49">
        <v>45710</v>
      </c>
      <c r="E4881" s="49">
        <v>45717</v>
      </c>
      <c r="F4881" s="49">
        <v>45731</v>
      </c>
      <c r="G4881" s="49">
        <v>45752</v>
      </c>
      <c r="H4881" s="49">
        <v>45770</v>
      </c>
      <c r="I4881" s="49">
        <v>45780</v>
      </c>
      <c r="J4881" t="s">
        <v>49</v>
      </c>
      <c r="K4881" s="33">
        <v>18100</v>
      </c>
      <c r="L4881" t="s">
        <v>62</v>
      </c>
      <c r="M4881" t="str">
        <f>_xlfn.XLOOKUP(Pipeline_tbl[[#This Row],[Rep_ID]],Dim_Reps!A:A,Dim_Reps!K:K)</f>
        <v>EUR</v>
      </c>
      <c r="N4881" s="33">
        <f>(_xlfn.XLOOKUP(Pipeline_tbl[[#This Row],[Rate_Code_Generalized]],Lookups!A:A,Lookups!B:B))*Pipeline_tbl[[#This Row],[Pipeline_Amount_USD]]</f>
        <v>18100</v>
      </c>
      <c r="O4881" t="str">
        <f>_xlfn.XLOOKUP(Pipeline_tbl[[#This Row],[Rep_ID]],Dim_Reps!A:A,Dim_Reps!B:B)</f>
        <v>Sam Schmidt</v>
      </c>
      <c r="P4881" t="str">
        <f>_xlfn.XLOOKUP(Pipeline_tbl[[#This Row],[Rep_ID]],Dim_Reps!A:A,Dim_Reps!C:C)</f>
        <v>Enterprise AE</v>
      </c>
      <c r="Q4881" t="str">
        <f>_xlfn.XLOOKUP(Pipeline_tbl[[#This Row],[Rep_ID]],Dim_Reps!A:A,Dim_Reps!D:D)</f>
        <v>Enterprise</v>
      </c>
      <c r="R4881" t="str">
        <f>_xlfn.XLOOKUP(Pipeline_tbl[[#This Row],[Rep_ID]],Dim_Reps!A:A,Dim_Reps!E:E)</f>
        <v>EMEA</v>
      </c>
      <c r="S4881" t="str">
        <f>_xlfn.XLOOKUP(Pipeline_tbl[[#This Row],[Created_Date]],Dim_Date!A:A,Dim_Date!H:H)</f>
        <v>Feb 2025</v>
      </c>
      <c r="T4881" t="str">
        <f>IF(Pipeline_tbl[[#This Row],[Closed_Date]]=0,"",(_xlfn.XLOOKUP(Pipeline_tbl[[#This Row],[Closed_Date]],Dim_Date!A:A,Dim_Date!H:H)))</f>
        <v>May 2025</v>
      </c>
      <c r="U4881">
        <f>IF(Pipeline_tbl[[#This Row],[Closed_Date]]=0,"",Pipeline_tbl[[#This Row],[Closed_Date]]-Pipeline_tbl[[#This Row],[Created_Date]])</f>
        <v>70</v>
      </c>
    </row>
    <row r="4882" spans="1:21" ht="15" customHeight="1" x14ac:dyDescent="0.2">
      <c r="A4882" t="s">
        <v>5188</v>
      </c>
      <c r="B4882" t="s">
        <v>278</v>
      </c>
      <c r="C4882" t="s">
        <v>53</v>
      </c>
      <c r="D4882" s="49">
        <v>45703</v>
      </c>
      <c r="E4882" s="49">
        <v>45712</v>
      </c>
      <c r="F4882" s="49">
        <v>45729</v>
      </c>
      <c r="G4882" s="49">
        <v>45756</v>
      </c>
      <c r="H4882" s="49">
        <v>45778</v>
      </c>
      <c r="I4882" s="49">
        <v>45791</v>
      </c>
      <c r="J4882" t="s">
        <v>49</v>
      </c>
      <c r="K4882" s="33">
        <v>77200</v>
      </c>
      <c r="L4882" t="s">
        <v>61</v>
      </c>
      <c r="M4882" t="str">
        <f>_xlfn.XLOOKUP(Pipeline_tbl[[#This Row],[Rep_ID]],Dim_Reps!A:A,Dim_Reps!K:K)</f>
        <v>EUR</v>
      </c>
      <c r="N4882" s="33">
        <f>(_xlfn.XLOOKUP(Pipeline_tbl[[#This Row],[Rate_Code_Generalized]],Lookups!A:A,Lookups!B:B))*Pipeline_tbl[[#This Row],[Pipeline_Amount_USD]]</f>
        <v>77200</v>
      </c>
      <c r="O4882" t="str">
        <f>_xlfn.XLOOKUP(Pipeline_tbl[[#This Row],[Rep_ID]],Dim_Reps!A:A,Dim_Reps!B:B)</f>
        <v>Sara Andersson</v>
      </c>
      <c r="P4882" t="str">
        <f>_xlfn.XLOOKUP(Pipeline_tbl[[#This Row],[Rep_ID]],Dim_Reps!A:A,Dim_Reps!C:C)</f>
        <v>Senior Enterprise AE</v>
      </c>
      <c r="Q4882" t="str">
        <f>_xlfn.XLOOKUP(Pipeline_tbl[[#This Row],[Rep_ID]],Dim_Reps!A:A,Dim_Reps!D:D)</f>
        <v>Strategic</v>
      </c>
      <c r="R4882" t="str">
        <f>_xlfn.XLOOKUP(Pipeline_tbl[[#This Row],[Rep_ID]],Dim_Reps!A:A,Dim_Reps!E:E)</f>
        <v>APAC</v>
      </c>
      <c r="S4882" t="str">
        <f>_xlfn.XLOOKUP(Pipeline_tbl[[#This Row],[Created_Date]],Dim_Date!A:A,Dim_Date!H:H)</f>
        <v>Feb 2025</v>
      </c>
      <c r="T4882" t="str">
        <f>IF(Pipeline_tbl[[#This Row],[Closed_Date]]=0,"",(_xlfn.XLOOKUP(Pipeline_tbl[[#This Row],[Closed_Date]],Dim_Date!A:A,Dim_Date!H:H)))</f>
        <v>May 2025</v>
      </c>
      <c r="U4882">
        <f>IF(Pipeline_tbl[[#This Row],[Closed_Date]]=0,"",Pipeline_tbl[[#This Row],[Closed_Date]]-Pipeline_tbl[[#This Row],[Created_Date]])</f>
        <v>88</v>
      </c>
    </row>
    <row r="4883" spans="1:21" ht="15" customHeight="1" x14ac:dyDescent="0.2">
      <c r="A4883" t="s">
        <v>5189</v>
      </c>
      <c r="B4883" t="s">
        <v>185</v>
      </c>
      <c r="C4883" t="s">
        <v>52</v>
      </c>
      <c r="D4883" s="49">
        <v>45710</v>
      </c>
      <c r="E4883" s="49">
        <v>45718</v>
      </c>
      <c r="F4883" s="49">
        <v>45734</v>
      </c>
      <c r="G4883" s="49">
        <v>45757</v>
      </c>
      <c r="I4883" s="49">
        <v>45789</v>
      </c>
      <c r="J4883" t="s">
        <v>49</v>
      </c>
      <c r="K4883" s="33">
        <v>32100</v>
      </c>
      <c r="L4883" t="s">
        <v>64</v>
      </c>
      <c r="M4883" t="str">
        <f>_xlfn.XLOOKUP(Pipeline_tbl[[#This Row],[Rep_ID]],Dim_Reps!A:A,Dim_Reps!K:K)</f>
        <v>MXN</v>
      </c>
      <c r="N4883" s="33">
        <f>(_xlfn.XLOOKUP(Pipeline_tbl[[#This Row],[Rate_Code_Generalized]],Lookups!A:A,Lookups!B:B))*Pipeline_tbl[[#This Row],[Pipeline_Amount_USD]]</f>
        <v>633419.67000000004</v>
      </c>
      <c r="O4883" t="str">
        <f>_xlfn.XLOOKUP(Pipeline_tbl[[#This Row],[Rep_ID]],Dim_Reps!A:A,Dim_Reps!B:B)</f>
        <v>Noah Kim</v>
      </c>
      <c r="P4883" t="str">
        <f>_xlfn.XLOOKUP(Pipeline_tbl[[#This Row],[Rep_ID]],Dim_Reps!A:A,Dim_Reps!C:C)</f>
        <v>Enterprise AE</v>
      </c>
      <c r="Q4883" t="str">
        <f>_xlfn.XLOOKUP(Pipeline_tbl[[#This Row],[Rep_ID]],Dim_Reps!A:A,Dim_Reps!D:D)</f>
        <v>Enterprise</v>
      </c>
      <c r="R4883" t="str">
        <f>_xlfn.XLOOKUP(Pipeline_tbl[[#This Row],[Rep_ID]],Dim_Reps!A:A,Dim_Reps!E:E)</f>
        <v>LATAM</v>
      </c>
      <c r="S4883" t="str">
        <f>_xlfn.XLOOKUP(Pipeline_tbl[[#This Row],[Created_Date]],Dim_Date!A:A,Dim_Date!H:H)</f>
        <v>Feb 2025</v>
      </c>
      <c r="T4883" t="str">
        <f>IF(Pipeline_tbl[[#This Row],[Closed_Date]]=0,"",(_xlfn.XLOOKUP(Pipeline_tbl[[#This Row],[Closed_Date]],Dim_Date!A:A,Dim_Date!H:H)))</f>
        <v>May 2025</v>
      </c>
      <c r="U4883">
        <f>IF(Pipeline_tbl[[#This Row],[Closed_Date]]=0,"",Pipeline_tbl[[#This Row],[Closed_Date]]-Pipeline_tbl[[#This Row],[Created_Date]])</f>
        <v>79</v>
      </c>
    </row>
    <row r="4884" spans="1:21" ht="15" customHeight="1" x14ac:dyDescent="0.2">
      <c r="A4884" t="s">
        <v>5190</v>
      </c>
      <c r="B4884" t="s">
        <v>188</v>
      </c>
      <c r="C4884" t="s">
        <v>55</v>
      </c>
      <c r="D4884" s="49">
        <v>45709</v>
      </c>
      <c r="E4884" s="49">
        <v>45716</v>
      </c>
      <c r="F4884" s="49">
        <v>45731</v>
      </c>
      <c r="I4884" s="49">
        <v>45782</v>
      </c>
      <c r="J4884" t="s">
        <v>49</v>
      </c>
      <c r="K4884" s="33">
        <v>24800</v>
      </c>
      <c r="L4884" t="s">
        <v>60</v>
      </c>
      <c r="M4884" t="str">
        <f>_xlfn.XLOOKUP(Pipeline_tbl[[#This Row],[Rep_ID]],Dim_Reps!A:A,Dim_Reps!K:K)</f>
        <v>EUR</v>
      </c>
      <c r="N4884" s="33">
        <f>(_xlfn.XLOOKUP(Pipeline_tbl[[#This Row],[Rate_Code_Generalized]],Lookups!A:A,Lookups!B:B))*Pipeline_tbl[[#This Row],[Pipeline_Amount_USD]]</f>
        <v>24800</v>
      </c>
      <c r="O4884" t="str">
        <f>_xlfn.XLOOKUP(Pipeline_tbl[[#This Row],[Rep_ID]],Dim_Reps!A:A,Dim_Reps!B:B)</f>
        <v>Jamie Santos</v>
      </c>
      <c r="P4884" t="str">
        <f>_xlfn.XLOOKUP(Pipeline_tbl[[#This Row],[Rep_ID]],Dim_Reps!A:A,Dim_Reps!C:C)</f>
        <v>Enterprise AE</v>
      </c>
      <c r="Q4884" t="str">
        <f>_xlfn.XLOOKUP(Pipeline_tbl[[#This Row],[Rep_ID]],Dim_Reps!A:A,Dim_Reps!D:D)</f>
        <v>Enterprise</v>
      </c>
      <c r="R4884" t="str">
        <f>_xlfn.XLOOKUP(Pipeline_tbl[[#This Row],[Rep_ID]],Dim_Reps!A:A,Dim_Reps!E:E)</f>
        <v>APAC</v>
      </c>
      <c r="S4884" t="str">
        <f>_xlfn.XLOOKUP(Pipeline_tbl[[#This Row],[Created_Date]],Dim_Date!A:A,Dim_Date!H:H)</f>
        <v>Feb 2025</v>
      </c>
      <c r="T4884" t="str">
        <f>IF(Pipeline_tbl[[#This Row],[Closed_Date]]=0,"",(_xlfn.XLOOKUP(Pipeline_tbl[[#This Row],[Closed_Date]],Dim_Date!A:A,Dim_Date!H:H)))</f>
        <v>May 2025</v>
      </c>
      <c r="U4884">
        <f>IF(Pipeline_tbl[[#This Row],[Closed_Date]]=0,"",Pipeline_tbl[[#This Row],[Closed_Date]]-Pipeline_tbl[[#This Row],[Created_Date]])</f>
        <v>73</v>
      </c>
    </row>
    <row r="4885" spans="1:21" ht="15" customHeight="1" x14ac:dyDescent="0.2">
      <c r="A4885" t="s">
        <v>5191</v>
      </c>
      <c r="B4885" t="s">
        <v>188</v>
      </c>
      <c r="C4885" t="s">
        <v>52</v>
      </c>
      <c r="D4885" s="49">
        <v>45702</v>
      </c>
      <c r="E4885" s="49">
        <v>45710</v>
      </c>
      <c r="I4885" s="49">
        <v>45784</v>
      </c>
      <c r="J4885" t="s">
        <v>49</v>
      </c>
      <c r="K4885" s="33">
        <v>32500</v>
      </c>
      <c r="L4885" t="s">
        <v>61</v>
      </c>
      <c r="M4885" t="str">
        <f>_xlfn.XLOOKUP(Pipeline_tbl[[#This Row],[Rep_ID]],Dim_Reps!A:A,Dim_Reps!K:K)</f>
        <v>EUR</v>
      </c>
      <c r="N4885" s="33">
        <f>(_xlfn.XLOOKUP(Pipeline_tbl[[#This Row],[Rate_Code_Generalized]],Lookups!A:A,Lookups!B:B))*Pipeline_tbl[[#This Row],[Pipeline_Amount_USD]]</f>
        <v>32500</v>
      </c>
      <c r="O4885" t="str">
        <f>_xlfn.XLOOKUP(Pipeline_tbl[[#This Row],[Rep_ID]],Dim_Reps!A:A,Dim_Reps!B:B)</f>
        <v>Jamie Santos</v>
      </c>
      <c r="P4885" t="str">
        <f>_xlfn.XLOOKUP(Pipeline_tbl[[#This Row],[Rep_ID]],Dim_Reps!A:A,Dim_Reps!C:C)</f>
        <v>Enterprise AE</v>
      </c>
      <c r="Q4885" t="str">
        <f>_xlfn.XLOOKUP(Pipeline_tbl[[#This Row],[Rep_ID]],Dim_Reps!A:A,Dim_Reps!D:D)</f>
        <v>Enterprise</v>
      </c>
      <c r="R4885" t="str">
        <f>_xlfn.XLOOKUP(Pipeline_tbl[[#This Row],[Rep_ID]],Dim_Reps!A:A,Dim_Reps!E:E)</f>
        <v>APAC</v>
      </c>
      <c r="S4885" t="str">
        <f>_xlfn.XLOOKUP(Pipeline_tbl[[#This Row],[Created_Date]],Dim_Date!A:A,Dim_Date!H:H)</f>
        <v>Feb 2025</v>
      </c>
      <c r="T4885" t="str">
        <f>IF(Pipeline_tbl[[#This Row],[Closed_Date]]=0,"",(_xlfn.XLOOKUP(Pipeline_tbl[[#This Row],[Closed_Date]],Dim_Date!A:A,Dim_Date!H:H)))</f>
        <v>May 2025</v>
      </c>
      <c r="U4885">
        <f>IF(Pipeline_tbl[[#This Row],[Closed_Date]]=0,"",Pipeline_tbl[[#This Row],[Closed_Date]]-Pipeline_tbl[[#This Row],[Created_Date]])</f>
        <v>82</v>
      </c>
    </row>
    <row r="4886" spans="1:21" ht="15" customHeight="1" x14ac:dyDescent="0.2">
      <c r="A4886" t="s">
        <v>5192</v>
      </c>
      <c r="B4886" t="s">
        <v>282</v>
      </c>
      <c r="C4886" t="s">
        <v>53</v>
      </c>
      <c r="D4886" s="49">
        <v>45713</v>
      </c>
      <c r="E4886" s="49">
        <v>45722</v>
      </c>
      <c r="F4886" s="49">
        <v>45741</v>
      </c>
      <c r="G4886" s="49">
        <v>45768</v>
      </c>
      <c r="H4886" s="49">
        <v>45791</v>
      </c>
      <c r="I4886" s="49">
        <v>45805</v>
      </c>
      <c r="J4886" t="s">
        <v>47</v>
      </c>
      <c r="K4886" s="33">
        <v>71800</v>
      </c>
      <c r="M4886" t="str">
        <f>_xlfn.XLOOKUP(Pipeline_tbl[[#This Row],[Rep_ID]],Dim_Reps!A:A,Dim_Reps!K:K)</f>
        <v>USD</v>
      </c>
      <c r="N4886" s="33">
        <f>(_xlfn.XLOOKUP(Pipeline_tbl[[#This Row],[Rate_Code_Generalized]],Lookups!A:A,Lookups!B:B))*Pipeline_tbl[[#This Row],[Pipeline_Amount_USD]]</f>
        <v>83596.739999999991</v>
      </c>
      <c r="O4886" t="str">
        <f>_xlfn.XLOOKUP(Pipeline_tbl[[#This Row],[Rep_ID]],Dim_Reps!A:A,Dim_Reps!B:B)</f>
        <v>Fatima Rossi</v>
      </c>
      <c r="P4886" t="str">
        <f>_xlfn.XLOOKUP(Pipeline_tbl[[#This Row],[Rep_ID]],Dim_Reps!A:A,Dim_Reps!C:C)</f>
        <v>Senior Enterprise AE</v>
      </c>
      <c r="Q4886" t="str">
        <f>_xlfn.XLOOKUP(Pipeline_tbl[[#This Row],[Rep_ID]],Dim_Reps!A:A,Dim_Reps!D:D)</f>
        <v>Strategic</v>
      </c>
      <c r="R4886" t="str">
        <f>_xlfn.XLOOKUP(Pipeline_tbl[[#This Row],[Rep_ID]],Dim_Reps!A:A,Dim_Reps!E:E)</f>
        <v>NAMER</v>
      </c>
      <c r="S4886" t="str">
        <f>_xlfn.XLOOKUP(Pipeline_tbl[[#This Row],[Created_Date]],Dim_Date!A:A,Dim_Date!H:H)</f>
        <v>Feb 2025</v>
      </c>
      <c r="T4886" t="str">
        <f>IF(Pipeline_tbl[[#This Row],[Closed_Date]]=0,"",(_xlfn.XLOOKUP(Pipeline_tbl[[#This Row],[Closed_Date]],Dim_Date!A:A,Dim_Date!H:H)))</f>
        <v>May 2025</v>
      </c>
      <c r="U4886">
        <f>IF(Pipeline_tbl[[#This Row],[Closed_Date]]=0,"",Pipeline_tbl[[#This Row],[Closed_Date]]-Pipeline_tbl[[#This Row],[Created_Date]])</f>
        <v>92</v>
      </c>
    </row>
    <row r="4887" spans="1:21" ht="15" customHeight="1" x14ac:dyDescent="0.2">
      <c r="A4887" t="s">
        <v>5193</v>
      </c>
      <c r="B4887" t="s">
        <v>191</v>
      </c>
      <c r="C4887" t="s">
        <v>52</v>
      </c>
      <c r="D4887" s="49">
        <v>45703</v>
      </c>
      <c r="E4887" s="49">
        <v>45711</v>
      </c>
      <c r="I4887" s="49">
        <v>45778</v>
      </c>
      <c r="J4887" t="s">
        <v>49</v>
      </c>
      <c r="K4887" s="33">
        <v>21000</v>
      </c>
      <c r="L4887" t="s">
        <v>63</v>
      </c>
      <c r="M4887" t="str">
        <f>_xlfn.XLOOKUP(Pipeline_tbl[[#This Row],[Rep_ID]],Dim_Reps!A:A,Dim_Reps!K:K)</f>
        <v>USD</v>
      </c>
      <c r="N4887" s="33">
        <f>(_xlfn.XLOOKUP(Pipeline_tbl[[#This Row],[Rate_Code_Generalized]],Lookups!A:A,Lookups!B:B))*Pipeline_tbl[[#This Row],[Pipeline_Amount_USD]]</f>
        <v>24450.3</v>
      </c>
      <c r="O4887" t="str">
        <f>_xlfn.XLOOKUP(Pipeline_tbl[[#This Row],[Rep_ID]],Dim_Reps!A:A,Dim_Reps!B:B)</f>
        <v>Zara Duarte</v>
      </c>
      <c r="P4887" t="str">
        <f>_xlfn.XLOOKUP(Pipeline_tbl[[#This Row],[Rep_ID]],Dim_Reps!A:A,Dim_Reps!C:C)</f>
        <v>Enterprise AE</v>
      </c>
      <c r="Q4887" t="str">
        <f>_xlfn.XLOOKUP(Pipeline_tbl[[#This Row],[Rep_ID]],Dim_Reps!A:A,Dim_Reps!D:D)</f>
        <v>Enterprise</v>
      </c>
      <c r="R4887" t="str">
        <f>_xlfn.XLOOKUP(Pipeline_tbl[[#This Row],[Rep_ID]],Dim_Reps!A:A,Dim_Reps!E:E)</f>
        <v>NAMER</v>
      </c>
      <c r="S4887" t="str">
        <f>_xlfn.XLOOKUP(Pipeline_tbl[[#This Row],[Created_Date]],Dim_Date!A:A,Dim_Date!H:H)</f>
        <v>Feb 2025</v>
      </c>
      <c r="T4887" t="str">
        <f>IF(Pipeline_tbl[[#This Row],[Closed_Date]]=0,"",(_xlfn.XLOOKUP(Pipeline_tbl[[#This Row],[Closed_Date]],Dim_Date!A:A,Dim_Date!H:H)))</f>
        <v>May 2025</v>
      </c>
      <c r="U4887">
        <f>IF(Pipeline_tbl[[#This Row],[Closed_Date]]=0,"",Pipeline_tbl[[#This Row],[Closed_Date]]-Pipeline_tbl[[#This Row],[Created_Date]])</f>
        <v>75</v>
      </c>
    </row>
    <row r="4888" spans="1:21" ht="15" customHeight="1" x14ac:dyDescent="0.2">
      <c r="A4888" t="s">
        <v>5194</v>
      </c>
      <c r="B4888" t="s">
        <v>284</v>
      </c>
      <c r="C4888" t="s">
        <v>53</v>
      </c>
      <c r="D4888" s="49">
        <v>45705</v>
      </c>
      <c r="E4888" s="49">
        <v>45713</v>
      </c>
      <c r="F4888" s="49">
        <v>45729</v>
      </c>
      <c r="G4888" s="49">
        <v>45752</v>
      </c>
      <c r="I4888" s="49">
        <v>45784</v>
      </c>
      <c r="J4888" t="s">
        <v>49</v>
      </c>
      <c r="K4888" s="33">
        <v>70000</v>
      </c>
      <c r="L4888" t="s">
        <v>61</v>
      </c>
      <c r="M4888" t="str">
        <f>_xlfn.XLOOKUP(Pipeline_tbl[[#This Row],[Rep_ID]],Dim_Reps!A:A,Dim_Reps!K:K)</f>
        <v>USD</v>
      </c>
      <c r="N4888" s="33">
        <f>(_xlfn.XLOOKUP(Pipeline_tbl[[#This Row],[Rate_Code_Generalized]],Lookups!A:A,Lookups!B:B))*Pipeline_tbl[[#This Row],[Pipeline_Amount_USD]]</f>
        <v>81500.999999999985</v>
      </c>
      <c r="O4888" t="str">
        <f>_xlfn.XLOOKUP(Pipeline_tbl[[#This Row],[Rep_ID]],Dim_Reps!A:A,Dim_Reps!B:B)</f>
        <v>Taylor Adler</v>
      </c>
      <c r="P4888" t="str">
        <f>_xlfn.XLOOKUP(Pipeline_tbl[[#This Row],[Rep_ID]],Dim_Reps!A:A,Dim_Reps!C:C)</f>
        <v>Senior Enterprise AE</v>
      </c>
      <c r="Q4888" t="str">
        <f>_xlfn.XLOOKUP(Pipeline_tbl[[#This Row],[Rep_ID]],Dim_Reps!A:A,Dim_Reps!D:D)</f>
        <v>Strategic</v>
      </c>
      <c r="R4888" t="str">
        <f>_xlfn.XLOOKUP(Pipeline_tbl[[#This Row],[Rep_ID]],Dim_Reps!A:A,Dim_Reps!E:E)</f>
        <v>NAMER</v>
      </c>
      <c r="S4888" t="str">
        <f>_xlfn.XLOOKUP(Pipeline_tbl[[#This Row],[Created_Date]],Dim_Date!A:A,Dim_Date!H:H)</f>
        <v>Feb 2025</v>
      </c>
      <c r="T4888" t="str">
        <f>IF(Pipeline_tbl[[#This Row],[Closed_Date]]=0,"",(_xlfn.XLOOKUP(Pipeline_tbl[[#This Row],[Closed_Date]],Dim_Date!A:A,Dim_Date!H:H)))</f>
        <v>May 2025</v>
      </c>
      <c r="U4888">
        <f>IF(Pipeline_tbl[[#This Row],[Closed_Date]]=0,"",Pipeline_tbl[[#This Row],[Closed_Date]]-Pipeline_tbl[[#This Row],[Created_Date]])</f>
        <v>79</v>
      </c>
    </row>
    <row r="4889" spans="1:21" ht="15" customHeight="1" x14ac:dyDescent="0.2">
      <c r="A4889" t="s">
        <v>5195</v>
      </c>
      <c r="B4889" t="s">
        <v>243</v>
      </c>
      <c r="C4889" t="s">
        <v>54</v>
      </c>
      <c r="D4889" s="49">
        <v>45337</v>
      </c>
      <c r="E4889" s="49">
        <v>45342</v>
      </c>
      <c r="F4889" s="49">
        <v>45353</v>
      </c>
      <c r="I4889" s="49">
        <v>45389</v>
      </c>
      <c r="J4889" t="s">
        <v>49</v>
      </c>
      <c r="K4889" s="33">
        <v>14700</v>
      </c>
      <c r="L4889" t="s">
        <v>61</v>
      </c>
      <c r="M4889" t="str">
        <f>_xlfn.XLOOKUP(Pipeline_tbl[[#This Row],[Rep_ID]],Dim_Reps!A:A,Dim_Reps!K:K)</f>
        <v>MXN</v>
      </c>
      <c r="N4889" s="33">
        <f>(_xlfn.XLOOKUP(Pipeline_tbl[[#This Row],[Rate_Code_Generalized]],Lookups!A:A,Lookups!B:B))*Pipeline_tbl[[#This Row],[Pipeline_Amount_USD]]</f>
        <v>290070.69</v>
      </c>
      <c r="O4889" t="str">
        <f>_xlfn.XLOOKUP(Pipeline_tbl[[#This Row],[Rep_ID]],Dim_Reps!A:A,Dim_Reps!B:B)</f>
        <v>Jonas Sato</v>
      </c>
      <c r="P4889" t="str">
        <f>_xlfn.XLOOKUP(Pipeline_tbl[[#This Row],[Rep_ID]],Dim_Reps!A:A,Dim_Reps!C:C)</f>
        <v>Mid-Market AE</v>
      </c>
      <c r="Q4889" t="str">
        <f>_xlfn.XLOOKUP(Pipeline_tbl[[#This Row],[Rep_ID]],Dim_Reps!A:A,Dim_Reps!D:D)</f>
        <v>Mid-Market</v>
      </c>
      <c r="R4889" t="str">
        <f>_xlfn.XLOOKUP(Pipeline_tbl[[#This Row],[Rep_ID]],Dim_Reps!A:A,Dim_Reps!E:E)</f>
        <v>LATAM</v>
      </c>
      <c r="S4889" t="str">
        <f>_xlfn.XLOOKUP(Pipeline_tbl[[#This Row],[Created_Date]],Dim_Date!A:A,Dim_Date!H:H)</f>
        <v>Feb 2024</v>
      </c>
      <c r="T4889" t="str">
        <f>IF(Pipeline_tbl[[#This Row],[Closed_Date]]=0,"",(_xlfn.XLOOKUP(Pipeline_tbl[[#This Row],[Closed_Date]],Dim_Date!A:A,Dim_Date!H:H)))</f>
        <v>Apr 2024</v>
      </c>
      <c r="U4889">
        <f>IF(Pipeline_tbl[[#This Row],[Closed_Date]]=0,"",Pipeline_tbl[[#This Row],[Closed_Date]]-Pipeline_tbl[[#This Row],[Created_Date]])</f>
        <v>52</v>
      </c>
    </row>
    <row r="4890" spans="1:21" ht="15" customHeight="1" x14ac:dyDescent="0.2">
      <c r="A4890" t="s">
        <v>5196</v>
      </c>
      <c r="B4890" t="s">
        <v>243</v>
      </c>
      <c r="C4890" t="s">
        <v>55</v>
      </c>
      <c r="D4890" s="49">
        <v>45339</v>
      </c>
      <c r="E4890" s="49">
        <v>45344</v>
      </c>
      <c r="F4890" s="49">
        <v>45353</v>
      </c>
      <c r="G4890" s="49">
        <v>45367</v>
      </c>
      <c r="H4890" s="49">
        <v>45378</v>
      </c>
      <c r="I4890" s="49">
        <v>45385</v>
      </c>
      <c r="J4890" t="s">
        <v>47</v>
      </c>
      <c r="K4890" s="33">
        <v>4600</v>
      </c>
      <c r="M4890" t="str">
        <f>_xlfn.XLOOKUP(Pipeline_tbl[[#This Row],[Rep_ID]],Dim_Reps!A:A,Dim_Reps!K:K)</f>
        <v>MXN</v>
      </c>
      <c r="N4890" s="33">
        <f>(_xlfn.XLOOKUP(Pipeline_tbl[[#This Row],[Rate_Code_Generalized]],Lookups!A:A,Lookups!B:B))*Pipeline_tbl[[#This Row],[Pipeline_Amount_USD]]</f>
        <v>90770.420000000013</v>
      </c>
      <c r="O4890" t="str">
        <f>_xlfn.XLOOKUP(Pipeline_tbl[[#This Row],[Rep_ID]],Dim_Reps!A:A,Dim_Reps!B:B)</f>
        <v>Jonas Sato</v>
      </c>
      <c r="P4890" t="str">
        <f>_xlfn.XLOOKUP(Pipeline_tbl[[#This Row],[Rep_ID]],Dim_Reps!A:A,Dim_Reps!C:C)</f>
        <v>Mid-Market AE</v>
      </c>
      <c r="Q4890" t="str">
        <f>_xlfn.XLOOKUP(Pipeline_tbl[[#This Row],[Rep_ID]],Dim_Reps!A:A,Dim_Reps!D:D)</f>
        <v>Mid-Market</v>
      </c>
      <c r="R4890" t="str">
        <f>_xlfn.XLOOKUP(Pipeline_tbl[[#This Row],[Rep_ID]],Dim_Reps!A:A,Dim_Reps!E:E)</f>
        <v>LATAM</v>
      </c>
      <c r="S4890" t="str">
        <f>_xlfn.XLOOKUP(Pipeline_tbl[[#This Row],[Created_Date]],Dim_Date!A:A,Dim_Date!H:H)</f>
        <v>Feb 2024</v>
      </c>
      <c r="T4890" t="str">
        <f>IF(Pipeline_tbl[[#This Row],[Closed_Date]]=0,"",(_xlfn.XLOOKUP(Pipeline_tbl[[#This Row],[Closed_Date]],Dim_Date!A:A,Dim_Date!H:H)))</f>
        <v>Apr 2024</v>
      </c>
      <c r="U4890">
        <f>IF(Pipeline_tbl[[#This Row],[Closed_Date]]=0,"",Pipeline_tbl[[#This Row],[Closed_Date]]-Pipeline_tbl[[#This Row],[Created_Date]])</f>
        <v>46</v>
      </c>
    </row>
    <row r="4891" spans="1:21" ht="15" customHeight="1" x14ac:dyDescent="0.2">
      <c r="A4891" t="s">
        <v>5197</v>
      </c>
      <c r="B4891" t="s">
        <v>183</v>
      </c>
      <c r="C4891" t="s">
        <v>55</v>
      </c>
      <c r="D4891" s="49">
        <v>45347</v>
      </c>
      <c r="E4891" s="49">
        <v>45352</v>
      </c>
      <c r="F4891" s="49">
        <v>45361</v>
      </c>
      <c r="G4891" s="49">
        <v>45376</v>
      </c>
      <c r="I4891" s="49">
        <v>45395</v>
      </c>
      <c r="J4891" t="s">
        <v>49</v>
      </c>
      <c r="K4891" s="33">
        <v>35500</v>
      </c>
      <c r="L4891" t="s">
        <v>60</v>
      </c>
      <c r="M4891" t="str">
        <f>_xlfn.XLOOKUP(Pipeline_tbl[[#This Row],[Rep_ID]],Dim_Reps!A:A,Dim_Reps!K:K)</f>
        <v>EUR</v>
      </c>
      <c r="N4891" s="33">
        <f>(_xlfn.XLOOKUP(Pipeline_tbl[[#This Row],[Rate_Code_Generalized]],Lookups!A:A,Lookups!B:B))*Pipeline_tbl[[#This Row],[Pipeline_Amount_USD]]</f>
        <v>35500</v>
      </c>
      <c r="O4891" t="str">
        <f>_xlfn.XLOOKUP(Pipeline_tbl[[#This Row],[Rep_ID]],Dim_Reps!A:A,Dim_Reps!B:B)</f>
        <v>Sam Schmidt</v>
      </c>
      <c r="P4891" t="str">
        <f>_xlfn.XLOOKUP(Pipeline_tbl[[#This Row],[Rep_ID]],Dim_Reps!A:A,Dim_Reps!C:C)</f>
        <v>Enterprise AE</v>
      </c>
      <c r="Q4891" t="str">
        <f>_xlfn.XLOOKUP(Pipeline_tbl[[#This Row],[Rep_ID]],Dim_Reps!A:A,Dim_Reps!D:D)</f>
        <v>Enterprise</v>
      </c>
      <c r="R4891" t="str">
        <f>_xlfn.XLOOKUP(Pipeline_tbl[[#This Row],[Rep_ID]],Dim_Reps!A:A,Dim_Reps!E:E)</f>
        <v>EMEA</v>
      </c>
      <c r="S4891" t="str">
        <f>_xlfn.XLOOKUP(Pipeline_tbl[[#This Row],[Created_Date]],Dim_Date!A:A,Dim_Date!H:H)</f>
        <v>Feb 2024</v>
      </c>
      <c r="T4891" t="str">
        <f>IF(Pipeline_tbl[[#This Row],[Closed_Date]]=0,"",(_xlfn.XLOOKUP(Pipeline_tbl[[#This Row],[Closed_Date]],Dim_Date!A:A,Dim_Date!H:H)))</f>
        <v>Apr 2024</v>
      </c>
      <c r="U4891">
        <f>IF(Pipeline_tbl[[#This Row],[Closed_Date]]=0,"",Pipeline_tbl[[#This Row],[Closed_Date]]-Pipeline_tbl[[#This Row],[Created_Date]])</f>
        <v>48</v>
      </c>
    </row>
    <row r="4892" spans="1:21" ht="15" customHeight="1" x14ac:dyDescent="0.2">
      <c r="A4892" t="s">
        <v>5198</v>
      </c>
      <c r="B4892" t="s">
        <v>188</v>
      </c>
      <c r="C4892" t="s">
        <v>52</v>
      </c>
      <c r="D4892" s="49">
        <v>45338</v>
      </c>
      <c r="E4892" s="49">
        <v>45343</v>
      </c>
      <c r="I4892" s="49">
        <v>45389</v>
      </c>
      <c r="J4892" t="s">
        <v>49</v>
      </c>
      <c r="K4892" s="33">
        <v>27400</v>
      </c>
      <c r="L4892" t="s">
        <v>61</v>
      </c>
      <c r="M4892" t="str">
        <f>_xlfn.XLOOKUP(Pipeline_tbl[[#This Row],[Rep_ID]],Dim_Reps!A:A,Dim_Reps!K:K)</f>
        <v>EUR</v>
      </c>
      <c r="N4892" s="33">
        <f>(_xlfn.XLOOKUP(Pipeline_tbl[[#This Row],[Rate_Code_Generalized]],Lookups!A:A,Lookups!B:B))*Pipeline_tbl[[#This Row],[Pipeline_Amount_USD]]</f>
        <v>27400</v>
      </c>
      <c r="O4892" t="str">
        <f>_xlfn.XLOOKUP(Pipeline_tbl[[#This Row],[Rep_ID]],Dim_Reps!A:A,Dim_Reps!B:B)</f>
        <v>Jamie Santos</v>
      </c>
      <c r="P4892" t="str">
        <f>_xlfn.XLOOKUP(Pipeline_tbl[[#This Row],[Rep_ID]],Dim_Reps!A:A,Dim_Reps!C:C)</f>
        <v>Enterprise AE</v>
      </c>
      <c r="Q4892" t="str">
        <f>_xlfn.XLOOKUP(Pipeline_tbl[[#This Row],[Rep_ID]],Dim_Reps!A:A,Dim_Reps!D:D)</f>
        <v>Enterprise</v>
      </c>
      <c r="R4892" t="str">
        <f>_xlfn.XLOOKUP(Pipeline_tbl[[#This Row],[Rep_ID]],Dim_Reps!A:A,Dim_Reps!E:E)</f>
        <v>APAC</v>
      </c>
      <c r="S4892" t="str">
        <f>_xlfn.XLOOKUP(Pipeline_tbl[[#This Row],[Created_Date]],Dim_Date!A:A,Dim_Date!H:H)</f>
        <v>Feb 2024</v>
      </c>
      <c r="T4892" t="str">
        <f>IF(Pipeline_tbl[[#This Row],[Closed_Date]]=0,"",(_xlfn.XLOOKUP(Pipeline_tbl[[#This Row],[Closed_Date]],Dim_Date!A:A,Dim_Date!H:H)))</f>
        <v>Apr 2024</v>
      </c>
      <c r="U4892">
        <f>IF(Pipeline_tbl[[#This Row],[Closed_Date]]=0,"",Pipeline_tbl[[#This Row],[Closed_Date]]-Pipeline_tbl[[#This Row],[Created_Date]])</f>
        <v>51</v>
      </c>
    </row>
    <row r="4893" spans="1:21" ht="15" customHeight="1" x14ac:dyDescent="0.2">
      <c r="A4893" t="s">
        <v>5199</v>
      </c>
      <c r="B4893" t="s">
        <v>188</v>
      </c>
      <c r="C4893" t="s">
        <v>52</v>
      </c>
      <c r="D4893" s="49">
        <v>45328</v>
      </c>
      <c r="E4893" s="49">
        <v>45334</v>
      </c>
      <c r="F4893" s="49">
        <v>45345</v>
      </c>
      <c r="G4893" s="49">
        <v>45362</v>
      </c>
      <c r="H4893" s="49">
        <v>45376</v>
      </c>
      <c r="I4893" s="49">
        <v>45385</v>
      </c>
      <c r="J4893" t="s">
        <v>47</v>
      </c>
      <c r="K4893" s="33">
        <v>29300</v>
      </c>
      <c r="M4893" t="str">
        <f>_xlfn.XLOOKUP(Pipeline_tbl[[#This Row],[Rep_ID]],Dim_Reps!A:A,Dim_Reps!K:K)</f>
        <v>EUR</v>
      </c>
      <c r="N4893" s="33">
        <f>(_xlfn.XLOOKUP(Pipeline_tbl[[#This Row],[Rate_Code_Generalized]],Lookups!A:A,Lookups!B:B))*Pipeline_tbl[[#This Row],[Pipeline_Amount_USD]]</f>
        <v>29300</v>
      </c>
      <c r="O4893" t="str">
        <f>_xlfn.XLOOKUP(Pipeline_tbl[[#This Row],[Rep_ID]],Dim_Reps!A:A,Dim_Reps!B:B)</f>
        <v>Jamie Santos</v>
      </c>
      <c r="P4893" t="str">
        <f>_xlfn.XLOOKUP(Pipeline_tbl[[#This Row],[Rep_ID]],Dim_Reps!A:A,Dim_Reps!C:C)</f>
        <v>Enterprise AE</v>
      </c>
      <c r="Q4893" t="str">
        <f>_xlfn.XLOOKUP(Pipeline_tbl[[#This Row],[Rep_ID]],Dim_Reps!A:A,Dim_Reps!D:D)</f>
        <v>Enterprise</v>
      </c>
      <c r="R4893" t="str">
        <f>_xlfn.XLOOKUP(Pipeline_tbl[[#This Row],[Rep_ID]],Dim_Reps!A:A,Dim_Reps!E:E)</f>
        <v>APAC</v>
      </c>
      <c r="S4893" t="str">
        <f>_xlfn.XLOOKUP(Pipeline_tbl[[#This Row],[Created_Date]],Dim_Date!A:A,Dim_Date!H:H)</f>
        <v>Feb 2024</v>
      </c>
      <c r="T4893" t="str">
        <f>IF(Pipeline_tbl[[#This Row],[Closed_Date]]=0,"",(_xlfn.XLOOKUP(Pipeline_tbl[[#This Row],[Closed_Date]],Dim_Date!A:A,Dim_Date!H:H)))</f>
        <v>Apr 2024</v>
      </c>
      <c r="U4893">
        <f>IF(Pipeline_tbl[[#This Row],[Closed_Date]]=0,"",Pipeline_tbl[[#This Row],[Closed_Date]]-Pipeline_tbl[[#This Row],[Created_Date]])</f>
        <v>57</v>
      </c>
    </row>
    <row r="4894" spans="1:21" ht="15" customHeight="1" x14ac:dyDescent="0.2">
      <c r="A4894" t="s">
        <v>5200</v>
      </c>
      <c r="B4894" t="s">
        <v>188</v>
      </c>
      <c r="C4894" t="s">
        <v>55</v>
      </c>
      <c r="D4894" s="49">
        <v>45350</v>
      </c>
      <c r="E4894" s="49">
        <v>45356</v>
      </c>
      <c r="F4894" s="49">
        <v>45368</v>
      </c>
      <c r="G4894" s="49">
        <v>45386</v>
      </c>
      <c r="H4894" s="49">
        <v>45401</v>
      </c>
      <c r="I4894" s="49">
        <v>45410</v>
      </c>
      <c r="J4894" t="s">
        <v>49</v>
      </c>
      <c r="K4894" s="33">
        <v>56200</v>
      </c>
      <c r="L4894" t="s">
        <v>61</v>
      </c>
      <c r="M4894" t="str">
        <f>_xlfn.XLOOKUP(Pipeline_tbl[[#This Row],[Rep_ID]],Dim_Reps!A:A,Dim_Reps!K:K)</f>
        <v>EUR</v>
      </c>
      <c r="N4894" s="33">
        <f>(_xlfn.XLOOKUP(Pipeline_tbl[[#This Row],[Rate_Code_Generalized]],Lookups!A:A,Lookups!B:B))*Pipeline_tbl[[#This Row],[Pipeline_Amount_USD]]</f>
        <v>56200</v>
      </c>
      <c r="O4894" t="str">
        <f>_xlfn.XLOOKUP(Pipeline_tbl[[#This Row],[Rep_ID]],Dim_Reps!A:A,Dim_Reps!B:B)</f>
        <v>Jamie Santos</v>
      </c>
      <c r="P4894" t="str">
        <f>_xlfn.XLOOKUP(Pipeline_tbl[[#This Row],[Rep_ID]],Dim_Reps!A:A,Dim_Reps!C:C)</f>
        <v>Enterprise AE</v>
      </c>
      <c r="Q4894" t="str">
        <f>_xlfn.XLOOKUP(Pipeline_tbl[[#This Row],[Rep_ID]],Dim_Reps!A:A,Dim_Reps!D:D)</f>
        <v>Enterprise</v>
      </c>
      <c r="R4894" t="str">
        <f>_xlfn.XLOOKUP(Pipeline_tbl[[#This Row],[Rep_ID]],Dim_Reps!A:A,Dim_Reps!E:E)</f>
        <v>APAC</v>
      </c>
      <c r="S4894" t="str">
        <f>_xlfn.XLOOKUP(Pipeline_tbl[[#This Row],[Created_Date]],Dim_Date!A:A,Dim_Date!H:H)</f>
        <v>Feb 2024</v>
      </c>
      <c r="T4894" t="str">
        <f>IF(Pipeline_tbl[[#This Row],[Closed_Date]]=0,"",(_xlfn.XLOOKUP(Pipeline_tbl[[#This Row],[Closed_Date]],Dim_Date!A:A,Dim_Date!H:H)))</f>
        <v>Apr 2024</v>
      </c>
      <c r="U4894">
        <f>IF(Pipeline_tbl[[#This Row],[Closed_Date]]=0,"",Pipeline_tbl[[#This Row],[Closed_Date]]-Pipeline_tbl[[#This Row],[Created_Date]])</f>
        <v>60</v>
      </c>
    </row>
    <row r="4895" spans="1:21" ht="15" customHeight="1" x14ac:dyDescent="0.2">
      <c r="A4895" t="s">
        <v>5201</v>
      </c>
      <c r="B4895" t="s">
        <v>191</v>
      </c>
      <c r="C4895" t="s">
        <v>52</v>
      </c>
      <c r="D4895" s="49">
        <v>45325</v>
      </c>
      <c r="E4895" s="49">
        <v>45333</v>
      </c>
      <c r="F4895" s="49">
        <v>45349</v>
      </c>
      <c r="I4895" s="49">
        <v>45404</v>
      </c>
      <c r="J4895" t="s">
        <v>49</v>
      </c>
      <c r="K4895" s="33">
        <v>40400</v>
      </c>
      <c r="L4895" t="s">
        <v>64</v>
      </c>
      <c r="M4895" t="str">
        <f>_xlfn.XLOOKUP(Pipeline_tbl[[#This Row],[Rep_ID]],Dim_Reps!A:A,Dim_Reps!K:K)</f>
        <v>USD</v>
      </c>
      <c r="N4895" s="33">
        <f>(_xlfn.XLOOKUP(Pipeline_tbl[[#This Row],[Rate_Code_Generalized]],Lookups!A:A,Lookups!B:B))*Pipeline_tbl[[#This Row],[Pipeline_Amount_USD]]</f>
        <v>47037.719999999994</v>
      </c>
      <c r="O4895" t="str">
        <f>_xlfn.XLOOKUP(Pipeline_tbl[[#This Row],[Rep_ID]],Dim_Reps!A:A,Dim_Reps!B:B)</f>
        <v>Zara Duarte</v>
      </c>
      <c r="P4895" t="str">
        <f>_xlfn.XLOOKUP(Pipeline_tbl[[#This Row],[Rep_ID]],Dim_Reps!A:A,Dim_Reps!C:C)</f>
        <v>Enterprise AE</v>
      </c>
      <c r="Q4895" t="str">
        <f>_xlfn.XLOOKUP(Pipeline_tbl[[#This Row],[Rep_ID]],Dim_Reps!A:A,Dim_Reps!D:D)</f>
        <v>Enterprise</v>
      </c>
      <c r="R4895" t="str">
        <f>_xlfn.XLOOKUP(Pipeline_tbl[[#This Row],[Rep_ID]],Dim_Reps!A:A,Dim_Reps!E:E)</f>
        <v>NAMER</v>
      </c>
      <c r="S4895" t="str">
        <f>_xlfn.XLOOKUP(Pipeline_tbl[[#This Row],[Created_Date]],Dim_Date!A:A,Dim_Date!H:H)</f>
        <v>Feb 2024</v>
      </c>
      <c r="T4895" t="str">
        <f>IF(Pipeline_tbl[[#This Row],[Closed_Date]]=0,"",(_xlfn.XLOOKUP(Pipeline_tbl[[#This Row],[Closed_Date]],Dim_Date!A:A,Dim_Date!H:H)))</f>
        <v>Apr 2024</v>
      </c>
      <c r="U4895">
        <f>IF(Pipeline_tbl[[#This Row],[Closed_Date]]=0,"",Pipeline_tbl[[#This Row],[Closed_Date]]-Pipeline_tbl[[#This Row],[Created_Date]])</f>
        <v>79</v>
      </c>
    </row>
    <row r="4896" spans="1:21" ht="15" customHeight="1" x14ac:dyDescent="0.2">
      <c r="A4896" t="s">
        <v>5202</v>
      </c>
      <c r="B4896" t="s">
        <v>265</v>
      </c>
      <c r="C4896" t="s">
        <v>52</v>
      </c>
      <c r="D4896" s="49">
        <v>45349</v>
      </c>
      <c r="E4896" s="49">
        <v>45353</v>
      </c>
      <c r="F4896" s="49">
        <v>45360</v>
      </c>
      <c r="G4896" s="49">
        <v>45371</v>
      </c>
      <c r="H4896" s="49">
        <v>45380</v>
      </c>
      <c r="I4896" s="49">
        <v>45385</v>
      </c>
      <c r="J4896" t="s">
        <v>47</v>
      </c>
      <c r="K4896" s="33">
        <v>5600</v>
      </c>
      <c r="M4896" t="str">
        <f>_xlfn.XLOOKUP(Pipeline_tbl[[#This Row],[Rep_ID]],Dim_Reps!A:A,Dim_Reps!K:K)</f>
        <v>EUR</v>
      </c>
      <c r="N4896" s="33">
        <f>(_xlfn.XLOOKUP(Pipeline_tbl[[#This Row],[Rate_Code_Generalized]],Lookups!A:A,Lookups!B:B))*Pipeline_tbl[[#This Row],[Pipeline_Amount_USD]]</f>
        <v>5600</v>
      </c>
      <c r="O4896" t="str">
        <f>_xlfn.XLOOKUP(Pipeline_tbl[[#This Row],[Rep_ID]],Dim_Reps!A:A,Dim_Reps!B:B)</f>
        <v>Erik Duarte</v>
      </c>
      <c r="P4896" t="str">
        <f>_xlfn.XLOOKUP(Pipeline_tbl[[#This Row],[Rep_ID]],Dim_Reps!A:A,Dim_Reps!C:C)</f>
        <v>Mid-Market AE</v>
      </c>
      <c r="Q4896" t="str">
        <f>_xlfn.XLOOKUP(Pipeline_tbl[[#This Row],[Rep_ID]],Dim_Reps!A:A,Dim_Reps!D:D)</f>
        <v>Mid-Market</v>
      </c>
      <c r="R4896" t="str">
        <f>_xlfn.XLOOKUP(Pipeline_tbl[[#This Row],[Rep_ID]],Dim_Reps!A:A,Dim_Reps!E:E)</f>
        <v>EMEA</v>
      </c>
      <c r="S4896" t="str">
        <f>_xlfn.XLOOKUP(Pipeline_tbl[[#This Row],[Created_Date]],Dim_Date!A:A,Dim_Date!H:H)</f>
        <v>Feb 2024</v>
      </c>
      <c r="T4896" t="str">
        <f>IF(Pipeline_tbl[[#This Row],[Closed_Date]]=0,"",(_xlfn.XLOOKUP(Pipeline_tbl[[#This Row],[Closed_Date]],Dim_Date!A:A,Dim_Date!H:H)))</f>
        <v>Apr 2024</v>
      </c>
      <c r="U4896">
        <f>IF(Pipeline_tbl[[#This Row],[Closed_Date]]=0,"",Pipeline_tbl[[#This Row],[Closed_Date]]-Pipeline_tbl[[#This Row],[Created_Date]])</f>
        <v>36</v>
      </c>
    </row>
    <row r="4897" spans="1:21" ht="15" customHeight="1" x14ac:dyDescent="0.2">
      <c r="A4897" t="s">
        <v>5203</v>
      </c>
      <c r="B4897" t="s">
        <v>265</v>
      </c>
      <c r="C4897" t="s">
        <v>52</v>
      </c>
      <c r="D4897" s="49">
        <v>45346</v>
      </c>
      <c r="E4897" s="49">
        <v>45350</v>
      </c>
      <c r="F4897" s="49">
        <v>45358</v>
      </c>
      <c r="G4897" s="49">
        <v>45370</v>
      </c>
      <c r="I4897" s="49">
        <v>45386</v>
      </c>
      <c r="J4897" t="s">
        <v>49</v>
      </c>
      <c r="K4897" s="33">
        <v>14900</v>
      </c>
      <c r="L4897" t="s">
        <v>62</v>
      </c>
      <c r="M4897" t="str">
        <f>_xlfn.XLOOKUP(Pipeline_tbl[[#This Row],[Rep_ID]],Dim_Reps!A:A,Dim_Reps!K:K)</f>
        <v>EUR</v>
      </c>
      <c r="N4897" s="33">
        <f>(_xlfn.XLOOKUP(Pipeline_tbl[[#This Row],[Rate_Code_Generalized]],Lookups!A:A,Lookups!B:B))*Pipeline_tbl[[#This Row],[Pipeline_Amount_USD]]</f>
        <v>14900</v>
      </c>
      <c r="O4897" t="str">
        <f>_xlfn.XLOOKUP(Pipeline_tbl[[#This Row],[Rep_ID]],Dim_Reps!A:A,Dim_Reps!B:B)</f>
        <v>Erik Duarte</v>
      </c>
      <c r="P4897" t="str">
        <f>_xlfn.XLOOKUP(Pipeline_tbl[[#This Row],[Rep_ID]],Dim_Reps!A:A,Dim_Reps!C:C)</f>
        <v>Mid-Market AE</v>
      </c>
      <c r="Q4897" t="str">
        <f>_xlfn.XLOOKUP(Pipeline_tbl[[#This Row],[Rep_ID]],Dim_Reps!A:A,Dim_Reps!D:D)</f>
        <v>Mid-Market</v>
      </c>
      <c r="R4897" t="str">
        <f>_xlfn.XLOOKUP(Pipeline_tbl[[#This Row],[Rep_ID]],Dim_Reps!A:A,Dim_Reps!E:E)</f>
        <v>EMEA</v>
      </c>
      <c r="S4897" t="str">
        <f>_xlfn.XLOOKUP(Pipeline_tbl[[#This Row],[Created_Date]],Dim_Date!A:A,Dim_Date!H:H)</f>
        <v>Feb 2024</v>
      </c>
      <c r="T4897" t="str">
        <f>IF(Pipeline_tbl[[#This Row],[Closed_Date]]=0,"",(_xlfn.XLOOKUP(Pipeline_tbl[[#This Row],[Closed_Date]],Dim_Date!A:A,Dim_Date!H:H)))</f>
        <v>Apr 2024</v>
      </c>
      <c r="U4897">
        <f>IF(Pipeline_tbl[[#This Row],[Closed_Date]]=0,"",Pipeline_tbl[[#This Row],[Closed_Date]]-Pipeline_tbl[[#This Row],[Created_Date]])</f>
        <v>40</v>
      </c>
    </row>
    <row r="4898" spans="1:21" ht="15" customHeight="1" x14ac:dyDescent="0.2">
      <c r="A4898" t="s">
        <v>5204</v>
      </c>
      <c r="B4898" t="s">
        <v>265</v>
      </c>
      <c r="C4898" t="s">
        <v>54</v>
      </c>
      <c r="D4898" s="49">
        <v>45347</v>
      </c>
      <c r="E4898" s="49">
        <v>45353</v>
      </c>
      <c r="F4898" s="49">
        <v>45364</v>
      </c>
      <c r="G4898" s="49">
        <v>45380</v>
      </c>
      <c r="H4898" s="49">
        <v>45394</v>
      </c>
      <c r="I4898" s="49">
        <v>45402</v>
      </c>
      <c r="J4898" t="s">
        <v>49</v>
      </c>
      <c r="K4898" s="33">
        <v>15100</v>
      </c>
      <c r="L4898" t="s">
        <v>62</v>
      </c>
      <c r="M4898" t="str">
        <f>_xlfn.XLOOKUP(Pipeline_tbl[[#This Row],[Rep_ID]],Dim_Reps!A:A,Dim_Reps!K:K)</f>
        <v>EUR</v>
      </c>
      <c r="N4898" s="33">
        <f>(_xlfn.XLOOKUP(Pipeline_tbl[[#This Row],[Rate_Code_Generalized]],Lookups!A:A,Lookups!B:B))*Pipeline_tbl[[#This Row],[Pipeline_Amount_USD]]</f>
        <v>15100</v>
      </c>
      <c r="O4898" t="str">
        <f>_xlfn.XLOOKUP(Pipeline_tbl[[#This Row],[Rep_ID]],Dim_Reps!A:A,Dim_Reps!B:B)</f>
        <v>Erik Duarte</v>
      </c>
      <c r="P4898" t="str">
        <f>_xlfn.XLOOKUP(Pipeline_tbl[[#This Row],[Rep_ID]],Dim_Reps!A:A,Dim_Reps!C:C)</f>
        <v>Mid-Market AE</v>
      </c>
      <c r="Q4898" t="str">
        <f>_xlfn.XLOOKUP(Pipeline_tbl[[#This Row],[Rep_ID]],Dim_Reps!A:A,Dim_Reps!D:D)</f>
        <v>Mid-Market</v>
      </c>
      <c r="R4898" t="str">
        <f>_xlfn.XLOOKUP(Pipeline_tbl[[#This Row],[Rep_ID]],Dim_Reps!A:A,Dim_Reps!E:E)</f>
        <v>EMEA</v>
      </c>
      <c r="S4898" t="str">
        <f>_xlfn.XLOOKUP(Pipeline_tbl[[#This Row],[Created_Date]],Dim_Date!A:A,Dim_Date!H:H)</f>
        <v>Feb 2024</v>
      </c>
      <c r="T4898" t="str">
        <f>IF(Pipeline_tbl[[#This Row],[Closed_Date]]=0,"",(_xlfn.XLOOKUP(Pipeline_tbl[[#This Row],[Closed_Date]],Dim_Date!A:A,Dim_Date!H:H)))</f>
        <v>Apr 2024</v>
      </c>
      <c r="U4898">
        <f>IF(Pipeline_tbl[[#This Row],[Closed_Date]]=0,"",Pipeline_tbl[[#This Row],[Closed_Date]]-Pipeline_tbl[[#This Row],[Created_Date]])</f>
        <v>55</v>
      </c>
    </row>
    <row r="4899" spans="1:21" ht="15" customHeight="1" x14ac:dyDescent="0.2">
      <c r="A4899" t="s">
        <v>5205</v>
      </c>
      <c r="B4899" t="s">
        <v>267</v>
      </c>
      <c r="C4899" t="s">
        <v>54</v>
      </c>
      <c r="D4899" s="49">
        <v>45345</v>
      </c>
      <c r="E4899" s="49">
        <v>45351</v>
      </c>
      <c r="F4899" s="49">
        <v>45362</v>
      </c>
      <c r="G4899" s="49">
        <v>45378</v>
      </c>
      <c r="H4899" s="49">
        <v>45392</v>
      </c>
      <c r="I4899" s="49">
        <v>45400</v>
      </c>
      <c r="J4899" t="s">
        <v>47</v>
      </c>
      <c r="K4899" s="33">
        <v>11500</v>
      </c>
      <c r="M4899" t="str">
        <f>_xlfn.XLOOKUP(Pipeline_tbl[[#This Row],[Rep_ID]],Dim_Reps!A:A,Dim_Reps!K:K)</f>
        <v>MXN</v>
      </c>
      <c r="N4899" s="33">
        <f>(_xlfn.XLOOKUP(Pipeline_tbl[[#This Row],[Rate_Code_Generalized]],Lookups!A:A,Lookups!B:B))*Pipeline_tbl[[#This Row],[Pipeline_Amount_USD]]</f>
        <v>226926.05000000002</v>
      </c>
      <c r="O4899" t="str">
        <f>_xlfn.XLOOKUP(Pipeline_tbl[[#This Row],[Rep_ID]],Dim_Reps!A:A,Dim_Reps!B:B)</f>
        <v>Yuki Dubois</v>
      </c>
      <c r="P4899" t="str">
        <f>_xlfn.XLOOKUP(Pipeline_tbl[[#This Row],[Rep_ID]],Dim_Reps!A:A,Dim_Reps!C:C)</f>
        <v>Mid-Market AE</v>
      </c>
      <c r="Q4899" t="str">
        <f>_xlfn.XLOOKUP(Pipeline_tbl[[#This Row],[Rep_ID]],Dim_Reps!A:A,Dim_Reps!D:D)</f>
        <v>Mid-Market</v>
      </c>
      <c r="R4899" t="str">
        <f>_xlfn.XLOOKUP(Pipeline_tbl[[#This Row],[Rep_ID]],Dim_Reps!A:A,Dim_Reps!E:E)</f>
        <v>LATAM</v>
      </c>
      <c r="S4899" t="str">
        <f>_xlfn.XLOOKUP(Pipeline_tbl[[#This Row],[Created_Date]],Dim_Date!A:A,Dim_Date!H:H)</f>
        <v>Feb 2024</v>
      </c>
      <c r="T4899" t="str">
        <f>IF(Pipeline_tbl[[#This Row],[Closed_Date]]=0,"",(_xlfn.XLOOKUP(Pipeline_tbl[[#This Row],[Closed_Date]],Dim_Date!A:A,Dim_Date!H:H)))</f>
        <v>Apr 2024</v>
      </c>
      <c r="U4899">
        <f>IF(Pipeline_tbl[[#This Row],[Closed_Date]]=0,"",Pipeline_tbl[[#This Row],[Closed_Date]]-Pipeline_tbl[[#This Row],[Created_Date]])</f>
        <v>55</v>
      </c>
    </row>
    <row r="4900" spans="1:21" ht="15" customHeight="1" x14ac:dyDescent="0.2">
      <c r="A4900" t="s">
        <v>5206</v>
      </c>
      <c r="B4900" t="s">
        <v>269</v>
      </c>
      <c r="C4900" t="s">
        <v>56</v>
      </c>
      <c r="D4900" s="49">
        <v>45343</v>
      </c>
      <c r="E4900" s="49">
        <v>45348</v>
      </c>
      <c r="F4900" s="49">
        <v>45357</v>
      </c>
      <c r="G4900" s="49">
        <v>45371</v>
      </c>
      <c r="H4900" s="49">
        <v>45383</v>
      </c>
      <c r="I4900" s="49">
        <v>45390</v>
      </c>
      <c r="J4900" t="s">
        <v>47</v>
      </c>
      <c r="K4900" s="33">
        <v>7400</v>
      </c>
      <c r="M4900" t="str">
        <f>_xlfn.XLOOKUP(Pipeline_tbl[[#This Row],[Rep_ID]],Dim_Reps!A:A,Dim_Reps!K:K)</f>
        <v>USD</v>
      </c>
      <c r="N4900" s="33">
        <f>(_xlfn.XLOOKUP(Pipeline_tbl[[#This Row],[Rate_Code_Generalized]],Lookups!A:A,Lookups!B:B))*Pipeline_tbl[[#This Row],[Pipeline_Amount_USD]]</f>
        <v>8615.82</v>
      </c>
      <c r="O4900" t="str">
        <f>_xlfn.XLOOKUP(Pipeline_tbl[[#This Row],[Rep_ID]],Dim_Reps!A:A,Dim_Reps!B:B)</f>
        <v>Morgan Rivera</v>
      </c>
      <c r="P4900" t="str">
        <f>_xlfn.XLOOKUP(Pipeline_tbl[[#This Row],[Rep_ID]],Dim_Reps!A:A,Dim_Reps!C:C)</f>
        <v>Mid-Market AE</v>
      </c>
      <c r="Q4900" t="str">
        <f>_xlfn.XLOOKUP(Pipeline_tbl[[#This Row],[Rep_ID]],Dim_Reps!A:A,Dim_Reps!D:D)</f>
        <v>Mid-Market</v>
      </c>
      <c r="R4900" t="str">
        <f>_xlfn.XLOOKUP(Pipeline_tbl[[#This Row],[Rep_ID]],Dim_Reps!A:A,Dim_Reps!E:E)</f>
        <v>NAMER</v>
      </c>
      <c r="S4900" t="str">
        <f>_xlfn.XLOOKUP(Pipeline_tbl[[#This Row],[Created_Date]],Dim_Date!A:A,Dim_Date!H:H)</f>
        <v>Feb 2024</v>
      </c>
      <c r="T4900" t="str">
        <f>IF(Pipeline_tbl[[#This Row],[Closed_Date]]=0,"",(_xlfn.XLOOKUP(Pipeline_tbl[[#This Row],[Closed_Date]],Dim_Date!A:A,Dim_Date!H:H)))</f>
        <v>Apr 2024</v>
      </c>
      <c r="U4900">
        <f>IF(Pipeline_tbl[[#This Row],[Closed_Date]]=0,"",Pipeline_tbl[[#This Row],[Closed_Date]]-Pipeline_tbl[[#This Row],[Created_Date]])</f>
        <v>47</v>
      </c>
    </row>
    <row r="4901" spans="1:21" ht="15" customHeight="1" x14ac:dyDescent="0.2">
      <c r="A4901" t="s">
        <v>5207</v>
      </c>
      <c r="B4901" t="s">
        <v>271</v>
      </c>
      <c r="C4901" t="s">
        <v>52</v>
      </c>
      <c r="D4901" s="49">
        <v>45351</v>
      </c>
      <c r="E4901" s="49">
        <v>45356</v>
      </c>
      <c r="F4901" s="49">
        <v>45365</v>
      </c>
      <c r="G4901" s="49">
        <v>45379</v>
      </c>
      <c r="I4901" s="49">
        <v>45398</v>
      </c>
      <c r="J4901" t="s">
        <v>49</v>
      </c>
      <c r="K4901" s="33">
        <v>23500</v>
      </c>
      <c r="L4901" t="s">
        <v>60</v>
      </c>
      <c r="M4901" t="str">
        <f>_xlfn.XLOOKUP(Pipeline_tbl[[#This Row],[Rep_ID]],Dim_Reps!A:A,Dim_Reps!K:K)</f>
        <v>EUR</v>
      </c>
      <c r="N4901" s="33">
        <f>(_xlfn.XLOOKUP(Pipeline_tbl[[#This Row],[Rate_Code_Generalized]],Lookups!A:A,Lookups!B:B))*Pipeline_tbl[[#This Row],[Pipeline_Amount_USD]]</f>
        <v>23500</v>
      </c>
      <c r="O4901" t="str">
        <f>_xlfn.XLOOKUP(Pipeline_tbl[[#This Row],[Rep_ID]],Dim_Reps!A:A,Dim_Reps!B:B)</f>
        <v>Ivy Adler</v>
      </c>
      <c r="P4901" t="str">
        <f>_xlfn.XLOOKUP(Pipeline_tbl[[#This Row],[Rep_ID]],Dim_Reps!A:A,Dim_Reps!C:C)</f>
        <v>Mid-Market AE</v>
      </c>
      <c r="Q4901" t="str">
        <f>_xlfn.XLOOKUP(Pipeline_tbl[[#This Row],[Rep_ID]],Dim_Reps!A:A,Dim_Reps!D:D)</f>
        <v>Mid-Market</v>
      </c>
      <c r="R4901" t="str">
        <f>_xlfn.XLOOKUP(Pipeline_tbl[[#This Row],[Rep_ID]],Dim_Reps!A:A,Dim_Reps!E:E)</f>
        <v>APAC</v>
      </c>
      <c r="S4901" t="str">
        <f>_xlfn.XLOOKUP(Pipeline_tbl[[#This Row],[Created_Date]],Dim_Date!A:A,Dim_Date!H:H)</f>
        <v>Feb 2024</v>
      </c>
      <c r="T4901" t="str">
        <f>IF(Pipeline_tbl[[#This Row],[Closed_Date]]=0,"",(_xlfn.XLOOKUP(Pipeline_tbl[[#This Row],[Closed_Date]],Dim_Date!A:A,Dim_Date!H:H)))</f>
        <v>Apr 2024</v>
      </c>
      <c r="U4901">
        <f>IF(Pipeline_tbl[[#This Row],[Closed_Date]]=0,"",Pipeline_tbl[[#This Row],[Closed_Date]]-Pipeline_tbl[[#This Row],[Created_Date]])</f>
        <v>47</v>
      </c>
    </row>
    <row r="4902" spans="1:21" ht="15" customHeight="1" x14ac:dyDescent="0.2">
      <c r="A4902" t="s">
        <v>5208</v>
      </c>
      <c r="B4902" t="s">
        <v>193</v>
      </c>
      <c r="C4902" t="s">
        <v>52</v>
      </c>
      <c r="D4902" s="49">
        <v>45334</v>
      </c>
      <c r="E4902" s="49">
        <v>45335</v>
      </c>
      <c r="F4902" s="49">
        <v>45338</v>
      </c>
      <c r="G4902" s="49">
        <v>45342</v>
      </c>
      <c r="H4902" s="49">
        <v>45346</v>
      </c>
      <c r="I4902" s="49">
        <v>45348</v>
      </c>
      <c r="J4902" t="s">
        <v>47</v>
      </c>
      <c r="K4902" s="33">
        <v>3200</v>
      </c>
      <c r="M4902" t="str">
        <f>_xlfn.XLOOKUP(Pipeline_tbl[[#This Row],[Rep_ID]],Dim_Reps!A:A,Dim_Reps!K:K)</f>
        <v>USD</v>
      </c>
      <c r="N4902" s="33">
        <f>(_xlfn.XLOOKUP(Pipeline_tbl[[#This Row],[Rate_Code_Generalized]],Lookups!A:A,Lookups!B:B))*Pipeline_tbl[[#This Row],[Pipeline_Amount_USD]]</f>
        <v>3725.7599999999998</v>
      </c>
      <c r="O4902" t="str">
        <f>_xlfn.XLOOKUP(Pipeline_tbl[[#This Row],[Rep_ID]],Dim_Reps!A:A,Dim_Reps!B:B)</f>
        <v>Karim Rossi</v>
      </c>
      <c r="P4902" t="str">
        <f>_xlfn.XLOOKUP(Pipeline_tbl[[#This Row],[Rep_ID]],Dim_Reps!A:A,Dim_Reps!C:C)</f>
        <v>SDR / Inside Sales Rep</v>
      </c>
      <c r="Q4902" t="str">
        <f>_xlfn.XLOOKUP(Pipeline_tbl[[#This Row],[Rep_ID]],Dim_Reps!A:A,Dim_Reps!D:D)</f>
        <v>Inside Sales</v>
      </c>
      <c r="R4902" t="str">
        <f>_xlfn.XLOOKUP(Pipeline_tbl[[#This Row],[Rep_ID]],Dim_Reps!A:A,Dim_Reps!E:E)</f>
        <v>NAMER</v>
      </c>
      <c r="S4902" t="str">
        <f>_xlfn.XLOOKUP(Pipeline_tbl[[#This Row],[Created_Date]],Dim_Date!A:A,Dim_Date!H:H)</f>
        <v>Feb 2024</v>
      </c>
      <c r="T4902" t="str">
        <f>IF(Pipeline_tbl[[#This Row],[Closed_Date]]=0,"",(_xlfn.XLOOKUP(Pipeline_tbl[[#This Row],[Closed_Date]],Dim_Date!A:A,Dim_Date!H:H)))</f>
        <v>Feb 2024</v>
      </c>
      <c r="U4902">
        <f>IF(Pipeline_tbl[[#This Row],[Closed_Date]]=0,"",Pipeline_tbl[[#This Row],[Closed_Date]]-Pipeline_tbl[[#This Row],[Created_Date]])</f>
        <v>14</v>
      </c>
    </row>
    <row r="4903" spans="1:21" ht="15" customHeight="1" x14ac:dyDescent="0.2">
      <c r="A4903" t="s">
        <v>5209</v>
      </c>
      <c r="B4903" t="s">
        <v>193</v>
      </c>
      <c r="C4903" t="s">
        <v>52</v>
      </c>
      <c r="D4903" s="49">
        <v>45325</v>
      </c>
      <c r="E4903" s="49">
        <v>45326</v>
      </c>
      <c r="F4903" s="49">
        <v>45329</v>
      </c>
      <c r="G4903" s="49">
        <v>45333</v>
      </c>
      <c r="H4903" s="49">
        <v>45336</v>
      </c>
      <c r="I4903" s="49">
        <v>45338</v>
      </c>
      <c r="J4903" t="s">
        <v>49</v>
      </c>
      <c r="K4903" s="33">
        <v>4000</v>
      </c>
      <c r="L4903" t="s">
        <v>60</v>
      </c>
      <c r="M4903" t="str">
        <f>_xlfn.XLOOKUP(Pipeline_tbl[[#This Row],[Rep_ID]],Dim_Reps!A:A,Dim_Reps!K:K)</f>
        <v>USD</v>
      </c>
      <c r="N4903" s="33">
        <f>(_xlfn.XLOOKUP(Pipeline_tbl[[#This Row],[Rate_Code_Generalized]],Lookups!A:A,Lookups!B:B))*Pipeline_tbl[[#This Row],[Pipeline_Amount_USD]]</f>
        <v>4657.2</v>
      </c>
      <c r="O4903" t="str">
        <f>_xlfn.XLOOKUP(Pipeline_tbl[[#This Row],[Rep_ID]],Dim_Reps!A:A,Dim_Reps!B:B)</f>
        <v>Karim Rossi</v>
      </c>
      <c r="P4903" t="str">
        <f>_xlfn.XLOOKUP(Pipeline_tbl[[#This Row],[Rep_ID]],Dim_Reps!A:A,Dim_Reps!C:C)</f>
        <v>SDR / Inside Sales Rep</v>
      </c>
      <c r="Q4903" t="str">
        <f>_xlfn.XLOOKUP(Pipeline_tbl[[#This Row],[Rep_ID]],Dim_Reps!A:A,Dim_Reps!D:D)</f>
        <v>Inside Sales</v>
      </c>
      <c r="R4903" t="str">
        <f>_xlfn.XLOOKUP(Pipeline_tbl[[#This Row],[Rep_ID]],Dim_Reps!A:A,Dim_Reps!E:E)</f>
        <v>NAMER</v>
      </c>
      <c r="S4903" t="str">
        <f>_xlfn.XLOOKUP(Pipeline_tbl[[#This Row],[Created_Date]],Dim_Date!A:A,Dim_Date!H:H)</f>
        <v>Feb 2024</v>
      </c>
      <c r="T4903" t="str">
        <f>IF(Pipeline_tbl[[#This Row],[Closed_Date]]=0,"",(_xlfn.XLOOKUP(Pipeline_tbl[[#This Row],[Closed_Date]],Dim_Date!A:A,Dim_Date!H:H)))</f>
        <v>Feb 2024</v>
      </c>
      <c r="U4903">
        <f>IF(Pipeline_tbl[[#This Row],[Closed_Date]]=0,"",Pipeline_tbl[[#This Row],[Closed_Date]]-Pipeline_tbl[[#This Row],[Created_Date]])</f>
        <v>13</v>
      </c>
    </row>
    <row r="4904" spans="1:21" ht="15" customHeight="1" x14ac:dyDescent="0.2">
      <c r="A4904" t="s">
        <v>5210</v>
      </c>
      <c r="B4904" t="s">
        <v>199</v>
      </c>
      <c r="C4904" t="s">
        <v>53</v>
      </c>
      <c r="D4904" s="49">
        <v>45324</v>
      </c>
      <c r="E4904" s="49">
        <v>45326</v>
      </c>
      <c r="F4904" s="49">
        <v>45330</v>
      </c>
      <c r="G4904" s="49">
        <v>45337</v>
      </c>
      <c r="H4904" s="49">
        <v>45342</v>
      </c>
      <c r="I4904" s="49">
        <v>45345</v>
      </c>
      <c r="J4904" t="s">
        <v>47</v>
      </c>
      <c r="K4904" s="33">
        <v>4800</v>
      </c>
      <c r="M4904" t="str">
        <f>_xlfn.XLOOKUP(Pipeline_tbl[[#This Row],[Rep_ID]],Dim_Reps!A:A,Dim_Reps!K:K)</f>
        <v>EUR</v>
      </c>
      <c r="N4904" s="33">
        <f>(_xlfn.XLOOKUP(Pipeline_tbl[[#This Row],[Rate_Code_Generalized]],Lookups!A:A,Lookups!B:B))*Pipeline_tbl[[#This Row],[Pipeline_Amount_USD]]</f>
        <v>4800</v>
      </c>
      <c r="O4904" t="str">
        <f>_xlfn.XLOOKUP(Pipeline_tbl[[#This Row],[Rep_ID]],Dim_Reps!A:A,Dim_Reps!B:B)</f>
        <v>Lucas Okafor</v>
      </c>
      <c r="P4904" t="str">
        <f>_xlfn.XLOOKUP(Pipeline_tbl[[#This Row],[Rep_ID]],Dim_Reps!A:A,Dim_Reps!C:C)</f>
        <v>SDR / Inside Sales Rep</v>
      </c>
      <c r="Q4904" t="str">
        <f>_xlfn.XLOOKUP(Pipeline_tbl[[#This Row],[Rep_ID]],Dim_Reps!A:A,Dim_Reps!D:D)</f>
        <v>Inside Sales</v>
      </c>
      <c r="R4904" t="str">
        <f>_xlfn.XLOOKUP(Pipeline_tbl[[#This Row],[Rep_ID]],Dim_Reps!A:A,Dim_Reps!E:E)</f>
        <v>APAC</v>
      </c>
      <c r="S4904" t="str">
        <f>_xlfn.XLOOKUP(Pipeline_tbl[[#This Row],[Created_Date]],Dim_Date!A:A,Dim_Date!H:H)</f>
        <v>Feb 2024</v>
      </c>
      <c r="T4904" t="str">
        <f>IF(Pipeline_tbl[[#This Row],[Closed_Date]]=0,"",(_xlfn.XLOOKUP(Pipeline_tbl[[#This Row],[Closed_Date]],Dim_Date!A:A,Dim_Date!H:H)))</f>
        <v>Feb 2024</v>
      </c>
      <c r="U4904">
        <f>IF(Pipeline_tbl[[#This Row],[Closed_Date]]=0,"",Pipeline_tbl[[#This Row],[Closed_Date]]-Pipeline_tbl[[#This Row],[Created_Date]])</f>
        <v>21</v>
      </c>
    </row>
    <row r="4905" spans="1:21" ht="15" customHeight="1" x14ac:dyDescent="0.2">
      <c r="A4905" t="s">
        <v>5211</v>
      </c>
      <c r="B4905" t="s">
        <v>199</v>
      </c>
      <c r="C4905" t="s">
        <v>52</v>
      </c>
      <c r="D4905" s="49">
        <v>45336</v>
      </c>
      <c r="E4905" s="49">
        <v>45337</v>
      </c>
      <c r="F4905" s="49">
        <v>45340</v>
      </c>
      <c r="I4905" s="49">
        <v>45348</v>
      </c>
      <c r="J4905" t="s">
        <v>49</v>
      </c>
      <c r="K4905" s="33">
        <v>7400</v>
      </c>
      <c r="L4905" t="s">
        <v>62</v>
      </c>
      <c r="M4905" t="str">
        <f>_xlfn.XLOOKUP(Pipeline_tbl[[#This Row],[Rep_ID]],Dim_Reps!A:A,Dim_Reps!K:K)</f>
        <v>EUR</v>
      </c>
      <c r="N4905" s="33">
        <f>(_xlfn.XLOOKUP(Pipeline_tbl[[#This Row],[Rate_Code_Generalized]],Lookups!A:A,Lookups!B:B))*Pipeline_tbl[[#This Row],[Pipeline_Amount_USD]]</f>
        <v>7400</v>
      </c>
      <c r="O4905" t="str">
        <f>_xlfn.XLOOKUP(Pipeline_tbl[[#This Row],[Rep_ID]],Dim_Reps!A:A,Dim_Reps!B:B)</f>
        <v>Lucas Okafor</v>
      </c>
      <c r="P4905" t="str">
        <f>_xlfn.XLOOKUP(Pipeline_tbl[[#This Row],[Rep_ID]],Dim_Reps!A:A,Dim_Reps!C:C)</f>
        <v>SDR / Inside Sales Rep</v>
      </c>
      <c r="Q4905" t="str">
        <f>_xlfn.XLOOKUP(Pipeline_tbl[[#This Row],[Rep_ID]],Dim_Reps!A:A,Dim_Reps!D:D)</f>
        <v>Inside Sales</v>
      </c>
      <c r="R4905" t="str">
        <f>_xlfn.XLOOKUP(Pipeline_tbl[[#This Row],[Rep_ID]],Dim_Reps!A:A,Dim_Reps!E:E)</f>
        <v>APAC</v>
      </c>
      <c r="S4905" t="str">
        <f>_xlfn.XLOOKUP(Pipeline_tbl[[#This Row],[Created_Date]],Dim_Date!A:A,Dim_Date!H:H)</f>
        <v>Feb 2024</v>
      </c>
      <c r="T4905" t="str">
        <f>IF(Pipeline_tbl[[#This Row],[Closed_Date]]=0,"",(_xlfn.XLOOKUP(Pipeline_tbl[[#This Row],[Closed_Date]],Dim_Date!A:A,Dim_Date!H:H)))</f>
        <v>Feb 2024</v>
      </c>
      <c r="U4905">
        <f>IF(Pipeline_tbl[[#This Row],[Closed_Date]]=0,"",Pipeline_tbl[[#This Row],[Closed_Date]]-Pipeline_tbl[[#This Row],[Created_Date]])</f>
        <v>12</v>
      </c>
    </row>
    <row r="4906" spans="1:21" ht="15" customHeight="1" x14ac:dyDescent="0.2">
      <c r="A4906" t="s">
        <v>5212</v>
      </c>
      <c r="B4906" t="s">
        <v>199</v>
      </c>
      <c r="C4906" t="s">
        <v>54</v>
      </c>
      <c r="D4906" s="49">
        <v>45334</v>
      </c>
      <c r="E4906" s="49">
        <v>45336</v>
      </c>
      <c r="F4906" s="49">
        <v>45339</v>
      </c>
      <c r="G4906" s="49">
        <v>45344</v>
      </c>
      <c r="H4906" s="49">
        <v>45348</v>
      </c>
      <c r="I4906" s="49">
        <v>45351</v>
      </c>
      <c r="J4906" t="s">
        <v>49</v>
      </c>
      <c r="K4906" s="33">
        <v>1800</v>
      </c>
      <c r="L4906" t="s">
        <v>62</v>
      </c>
      <c r="M4906" t="str">
        <f>_xlfn.XLOOKUP(Pipeline_tbl[[#This Row],[Rep_ID]],Dim_Reps!A:A,Dim_Reps!K:K)</f>
        <v>EUR</v>
      </c>
      <c r="N4906" s="33">
        <f>(_xlfn.XLOOKUP(Pipeline_tbl[[#This Row],[Rate_Code_Generalized]],Lookups!A:A,Lookups!B:B))*Pipeline_tbl[[#This Row],[Pipeline_Amount_USD]]</f>
        <v>1800</v>
      </c>
      <c r="O4906" t="str">
        <f>_xlfn.XLOOKUP(Pipeline_tbl[[#This Row],[Rep_ID]],Dim_Reps!A:A,Dim_Reps!B:B)</f>
        <v>Lucas Okafor</v>
      </c>
      <c r="P4906" t="str">
        <f>_xlfn.XLOOKUP(Pipeline_tbl[[#This Row],[Rep_ID]],Dim_Reps!A:A,Dim_Reps!C:C)</f>
        <v>SDR / Inside Sales Rep</v>
      </c>
      <c r="Q4906" t="str">
        <f>_xlfn.XLOOKUP(Pipeline_tbl[[#This Row],[Rep_ID]],Dim_Reps!A:A,Dim_Reps!D:D)</f>
        <v>Inside Sales</v>
      </c>
      <c r="R4906" t="str">
        <f>_xlfn.XLOOKUP(Pipeline_tbl[[#This Row],[Rep_ID]],Dim_Reps!A:A,Dim_Reps!E:E)</f>
        <v>APAC</v>
      </c>
      <c r="S4906" t="str">
        <f>_xlfn.XLOOKUP(Pipeline_tbl[[#This Row],[Created_Date]],Dim_Date!A:A,Dim_Date!H:H)</f>
        <v>Feb 2024</v>
      </c>
      <c r="T4906" t="str">
        <f>IF(Pipeline_tbl[[#This Row],[Closed_Date]]=0,"",(_xlfn.XLOOKUP(Pipeline_tbl[[#This Row],[Closed_Date]],Dim_Date!A:A,Dim_Date!H:H)))</f>
        <v>Feb 2024</v>
      </c>
      <c r="U4906">
        <f>IF(Pipeline_tbl[[#This Row],[Closed_Date]]=0,"",Pipeline_tbl[[#This Row],[Closed_Date]]-Pipeline_tbl[[#This Row],[Created_Date]])</f>
        <v>17</v>
      </c>
    </row>
    <row r="4907" spans="1:21" ht="15" customHeight="1" x14ac:dyDescent="0.2">
      <c r="A4907" t="s">
        <v>5213</v>
      </c>
      <c r="B4907" t="s">
        <v>199</v>
      </c>
      <c r="C4907" t="s">
        <v>53</v>
      </c>
      <c r="D4907" s="49">
        <v>45325</v>
      </c>
      <c r="E4907" s="49">
        <v>45327</v>
      </c>
      <c r="F4907" s="49">
        <v>45330</v>
      </c>
      <c r="I4907" s="49">
        <v>45342</v>
      </c>
      <c r="J4907" t="s">
        <v>49</v>
      </c>
      <c r="K4907" s="33">
        <v>5400</v>
      </c>
      <c r="L4907" t="s">
        <v>62</v>
      </c>
      <c r="M4907" t="str">
        <f>_xlfn.XLOOKUP(Pipeline_tbl[[#This Row],[Rep_ID]],Dim_Reps!A:A,Dim_Reps!K:K)</f>
        <v>EUR</v>
      </c>
      <c r="N4907" s="33">
        <f>(_xlfn.XLOOKUP(Pipeline_tbl[[#This Row],[Rate_Code_Generalized]],Lookups!A:A,Lookups!B:B))*Pipeline_tbl[[#This Row],[Pipeline_Amount_USD]]</f>
        <v>5400</v>
      </c>
      <c r="O4907" t="str">
        <f>_xlfn.XLOOKUP(Pipeline_tbl[[#This Row],[Rep_ID]],Dim_Reps!A:A,Dim_Reps!B:B)</f>
        <v>Lucas Okafor</v>
      </c>
      <c r="P4907" t="str">
        <f>_xlfn.XLOOKUP(Pipeline_tbl[[#This Row],[Rep_ID]],Dim_Reps!A:A,Dim_Reps!C:C)</f>
        <v>SDR / Inside Sales Rep</v>
      </c>
      <c r="Q4907" t="str">
        <f>_xlfn.XLOOKUP(Pipeline_tbl[[#This Row],[Rep_ID]],Dim_Reps!A:A,Dim_Reps!D:D)</f>
        <v>Inside Sales</v>
      </c>
      <c r="R4907" t="str">
        <f>_xlfn.XLOOKUP(Pipeline_tbl[[#This Row],[Rep_ID]],Dim_Reps!A:A,Dim_Reps!E:E)</f>
        <v>APAC</v>
      </c>
      <c r="S4907" t="str">
        <f>_xlfn.XLOOKUP(Pipeline_tbl[[#This Row],[Created_Date]],Dim_Date!A:A,Dim_Date!H:H)</f>
        <v>Feb 2024</v>
      </c>
      <c r="T4907" t="str">
        <f>IF(Pipeline_tbl[[#This Row],[Closed_Date]]=0,"",(_xlfn.XLOOKUP(Pipeline_tbl[[#This Row],[Closed_Date]],Dim_Date!A:A,Dim_Date!H:H)))</f>
        <v>Feb 2024</v>
      </c>
      <c r="U4907">
        <f>IF(Pipeline_tbl[[#This Row],[Closed_Date]]=0,"",Pipeline_tbl[[#This Row],[Closed_Date]]-Pipeline_tbl[[#This Row],[Created_Date]])</f>
        <v>17</v>
      </c>
    </row>
    <row r="4908" spans="1:21" ht="15" customHeight="1" x14ac:dyDescent="0.2">
      <c r="A4908" t="s">
        <v>5214</v>
      </c>
      <c r="B4908" t="s">
        <v>199</v>
      </c>
      <c r="C4908" t="s">
        <v>53</v>
      </c>
      <c r="D4908" s="49">
        <v>45323</v>
      </c>
      <c r="E4908" s="49">
        <v>45324</v>
      </c>
      <c r="F4908" s="49">
        <v>45327</v>
      </c>
      <c r="I4908" s="49">
        <v>45336</v>
      </c>
      <c r="J4908" t="s">
        <v>49</v>
      </c>
      <c r="K4908" s="33">
        <v>3000</v>
      </c>
      <c r="L4908" t="s">
        <v>62</v>
      </c>
      <c r="M4908" t="str">
        <f>_xlfn.XLOOKUP(Pipeline_tbl[[#This Row],[Rep_ID]],Dim_Reps!A:A,Dim_Reps!K:K)</f>
        <v>EUR</v>
      </c>
      <c r="N4908" s="33">
        <f>(_xlfn.XLOOKUP(Pipeline_tbl[[#This Row],[Rate_Code_Generalized]],Lookups!A:A,Lookups!B:B))*Pipeline_tbl[[#This Row],[Pipeline_Amount_USD]]</f>
        <v>3000</v>
      </c>
      <c r="O4908" t="str">
        <f>_xlfn.XLOOKUP(Pipeline_tbl[[#This Row],[Rep_ID]],Dim_Reps!A:A,Dim_Reps!B:B)</f>
        <v>Lucas Okafor</v>
      </c>
      <c r="P4908" t="str">
        <f>_xlfn.XLOOKUP(Pipeline_tbl[[#This Row],[Rep_ID]],Dim_Reps!A:A,Dim_Reps!C:C)</f>
        <v>SDR / Inside Sales Rep</v>
      </c>
      <c r="Q4908" t="str">
        <f>_xlfn.XLOOKUP(Pipeline_tbl[[#This Row],[Rep_ID]],Dim_Reps!A:A,Dim_Reps!D:D)</f>
        <v>Inside Sales</v>
      </c>
      <c r="R4908" t="str">
        <f>_xlfn.XLOOKUP(Pipeline_tbl[[#This Row],[Rep_ID]],Dim_Reps!A:A,Dim_Reps!E:E)</f>
        <v>APAC</v>
      </c>
      <c r="S4908" t="str">
        <f>_xlfn.XLOOKUP(Pipeline_tbl[[#This Row],[Created_Date]],Dim_Date!A:A,Dim_Date!H:H)</f>
        <v>Feb 2024</v>
      </c>
      <c r="T4908" t="str">
        <f>IF(Pipeline_tbl[[#This Row],[Closed_Date]]=0,"",(_xlfn.XLOOKUP(Pipeline_tbl[[#This Row],[Closed_Date]],Dim_Date!A:A,Dim_Date!H:H)))</f>
        <v>Feb 2024</v>
      </c>
      <c r="U4908">
        <f>IF(Pipeline_tbl[[#This Row],[Closed_Date]]=0,"",Pipeline_tbl[[#This Row],[Closed_Date]]-Pipeline_tbl[[#This Row],[Created_Date]])</f>
        <v>13</v>
      </c>
    </row>
    <row r="4909" spans="1:21" ht="15" customHeight="1" x14ac:dyDescent="0.2">
      <c r="A4909" t="s">
        <v>5215</v>
      </c>
      <c r="B4909" t="s">
        <v>205</v>
      </c>
      <c r="C4909" t="s">
        <v>55</v>
      </c>
      <c r="D4909" s="49">
        <v>45323</v>
      </c>
      <c r="E4909" s="49">
        <v>45325</v>
      </c>
      <c r="F4909" s="49">
        <v>45328</v>
      </c>
      <c r="I4909" s="49">
        <v>45340</v>
      </c>
      <c r="J4909" t="s">
        <v>49</v>
      </c>
      <c r="K4909" s="33">
        <v>3300</v>
      </c>
      <c r="L4909" t="s">
        <v>61</v>
      </c>
      <c r="M4909" t="str">
        <f>_xlfn.XLOOKUP(Pipeline_tbl[[#This Row],[Rep_ID]],Dim_Reps!A:A,Dim_Reps!K:K)</f>
        <v>EUR</v>
      </c>
      <c r="N4909" s="33">
        <f>(_xlfn.XLOOKUP(Pipeline_tbl[[#This Row],[Rate_Code_Generalized]],Lookups!A:A,Lookups!B:B))*Pipeline_tbl[[#This Row],[Pipeline_Amount_USD]]</f>
        <v>3300</v>
      </c>
      <c r="O4909" t="str">
        <f>_xlfn.XLOOKUP(Pipeline_tbl[[#This Row],[Rep_ID]],Dim_Reps!A:A,Dim_Reps!B:B)</f>
        <v>Karim Alvarez</v>
      </c>
      <c r="P4909" t="str">
        <f>_xlfn.XLOOKUP(Pipeline_tbl[[#This Row],[Rep_ID]],Dim_Reps!A:A,Dim_Reps!C:C)</f>
        <v>SDR / Inside Sales Rep</v>
      </c>
      <c r="Q4909" t="str">
        <f>_xlfn.XLOOKUP(Pipeline_tbl[[#This Row],[Rep_ID]],Dim_Reps!A:A,Dim_Reps!D:D)</f>
        <v>Inside Sales</v>
      </c>
      <c r="R4909" t="str">
        <f>_xlfn.XLOOKUP(Pipeline_tbl[[#This Row],[Rep_ID]],Dim_Reps!A:A,Dim_Reps!E:E)</f>
        <v>EMEA</v>
      </c>
      <c r="S4909" t="str">
        <f>_xlfn.XLOOKUP(Pipeline_tbl[[#This Row],[Created_Date]],Dim_Date!A:A,Dim_Date!H:H)</f>
        <v>Feb 2024</v>
      </c>
      <c r="T4909" t="str">
        <f>IF(Pipeline_tbl[[#This Row],[Closed_Date]]=0,"",(_xlfn.XLOOKUP(Pipeline_tbl[[#This Row],[Closed_Date]],Dim_Date!A:A,Dim_Date!H:H)))</f>
        <v>Feb 2024</v>
      </c>
      <c r="U4909">
        <f>IF(Pipeline_tbl[[#This Row],[Closed_Date]]=0,"",Pipeline_tbl[[#This Row],[Closed_Date]]-Pipeline_tbl[[#This Row],[Created_Date]])</f>
        <v>17</v>
      </c>
    </row>
    <row r="4910" spans="1:21" ht="15" customHeight="1" x14ac:dyDescent="0.2">
      <c r="A4910" t="s">
        <v>5216</v>
      </c>
      <c r="B4910" t="s">
        <v>205</v>
      </c>
      <c r="C4910" t="s">
        <v>54</v>
      </c>
      <c r="D4910" s="49">
        <v>45334</v>
      </c>
      <c r="E4910" s="49">
        <v>45335</v>
      </c>
      <c r="F4910" s="49">
        <v>45338</v>
      </c>
      <c r="G4910" s="49">
        <v>45342</v>
      </c>
      <c r="H4910" s="49">
        <v>45346</v>
      </c>
      <c r="I4910" s="49">
        <v>45348</v>
      </c>
      <c r="J4910" t="s">
        <v>49</v>
      </c>
      <c r="K4910" s="33">
        <v>3100</v>
      </c>
      <c r="L4910" t="s">
        <v>60</v>
      </c>
      <c r="M4910" t="str">
        <f>_xlfn.XLOOKUP(Pipeline_tbl[[#This Row],[Rep_ID]],Dim_Reps!A:A,Dim_Reps!K:K)</f>
        <v>EUR</v>
      </c>
      <c r="N4910" s="33">
        <f>(_xlfn.XLOOKUP(Pipeline_tbl[[#This Row],[Rate_Code_Generalized]],Lookups!A:A,Lookups!B:B))*Pipeline_tbl[[#This Row],[Pipeline_Amount_USD]]</f>
        <v>3100</v>
      </c>
      <c r="O4910" t="str">
        <f>_xlfn.XLOOKUP(Pipeline_tbl[[#This Row],[Rep_ID]],Dim_Reps!A:A,Dim_Reps!B:B)</f>
        <v>Karim Alvarez</v>
      </c>
      <c r="P4910" t="str">
        <f>_xlfn.XLOOKUP(Pipeline_tbl[[#This Row],[Rep_ID]],Dim_Reps!A:A,Dim_Reps!C:C)</f>
        <v>SDR / Inside Sales Rep</v>
      </c>
      <c r="Q4910" t="str">
        <f>_xlfn.XLOOKUP(Pipeline_tbl[[#This Row],[Rep_ID]],Dim_Reps!A:A,Dim_Reps!D:D)</f>
        <v>Inside Sales</v>
      </c>
      <c r="R4910" t="str">
        <f>_xlfn.XLOOKUP(Pipeline_tbl[[#This Row],[Rep_ID]],Dim_Reps!A:A,Dim_Reps!E:E)</f>
        <v>EMEA</v>
      </c>
      <c r="S4910" t="str">
        <f>_xlfn.XLOOKUP(Pipeline_tbl[[#This Row],[Created_Date]],Dim_Date!A:A,Dim_Date!H:H)</f>
        <v>Feb 2024</v>
      </c>
      <c r="T4910" t="str">
        <f>IF(Pipeline_tbl[[#This Row],[Closed_Date]]=0,"",(_xlfn.XLOOKUP(Pipeline_tbl[[#This Row],[Closed_Date]],Dim_Date!A:A,Dim_Date!H:H)))</f>
        <v>Feb 2024</v>
      </c>
      <c r="U4910">
        <f>IF(Pipeline_tbl[[#This Row],[Closed_Date]]=0,"",Pipeline_tbl[[#This Row],[Closed_Date]]-Pipeline_tbl[[#This Row],[Created_Date]])</f>
        <v>14</v>
      </c>
    </row>
    <row r="4911" spans="1:21" ht="15" customHeight="1" x14ac:dyDescent="0.2">
      <c r="A4911" t="s">
        <v>5217</v>
      </c>
      <c r="B4911" t="s">
        <v>211</v>
      </c>
      <c r="C4911" t="s">
        <v>53</v>
      </c>
      <c r="D4911" s="49">
        <v>45333</v>
      </c>
      <c r="E4911" s="49">
        <v>45334</v>
      </c>
      <c r="F4911" s="49">
        <v>45335</v>
      </c>
      <c r="G4911" s="49">
        <v>45338</v>
      </c>
      <c r="H4911" s="49">
        <v>45340</v>
      </c>
      <c r="I4911" s="49">
        <v>45341</v>
      </c>
      <c r="J4911" t="s">
        <v>49</v>
      </c>
      <c r="K4911" s="33">
        <v>6700</v>
      </c>
      <c r="L4911" t="s">
        <v>64</v>
      </c>
      <c r="M4911" t="str">
        <f>_xlfn.XLOOKUP(Pipeline_tbl[[#This Row],[Rep_ID]],Dim_Reps!A:A,Dim_Reps!K:K)</f>
        <v>EUR</v>
      </c>
      <c r="N4911" s="33">
        <f>(_xlfn.XLOOKUP(Pipeline_tbl[[#This Row],[Rate_Code_Generalized]],Lookups!A:A,Lookups!B:B))*Pipeline_tbl[[#This Row],[Pipeline_Amount_USD]]</f>
        <v>6700</v>
      </c>
      <c r="O4911" t="str">
        <f>_xlfn.XLOOKUP(Pipeline_tbl[[#This Row],[Rep_ID]],Dim_Reps!A:A,Dim_Reps!B:B)</f>
        <v>Lea Weber</v>
      </c>
      <c r="P4911" t="str">
        <f>_xlfn.XLOOKUP(Pipeline_tbl[[#This Row],[Rep_ID]],Dim_Reps!A:A,Dim_Reps!C:C)</f>
        <v>SDR / Inside Sales Rep</v>
      </c>
      <c r="Q4911" t="str">
        <f>_xlfn.XLOOKUP(Pipeline_tbl[[#This Row],[Rep_ID]],Dim_Reps!A:A,Dim_Reps!D:D)</f>
        <v>Inside Sales</v>
      </c>
      <c r="R4911" t="str">
        <f>_xlfn.XLOOKUP(Pipeline_tbl[[#This Row],[Rep_ID]],Dim_Reps!A:A,Dim_Reps!E:E)</f>
        <v>EMEA</v>
      </c>
      <c r="S4911" t="str">
        <f>_xlfn.XLOOKUP(Pipeline_tbl[[#This Row],[Created_Date]],Dim_Date!A:A,Dim_Date!H:H)</f>
        <v>Feb 2024</v>
      </c>
      <c r="T4911" t="str">
        <f>IF(Pipeline_tbl[[#This Row],[Closed_Date]]=0,"",(_xlfn.XLOOKUP(Pipeline_tbl[[#This Row],[Closed_Date]],Dim_Date!A:A,Dim_Date!H:H)))</f>
        <v>Feb 2024</v>
      </c>
      <c r="U4911">
        <f>IF(Pipeline_tbl[[#This Row],[Closed_Date]]=0,"",Pipeline_tbl[[#This Row],[Closed_Date]]-Pipeline_tbl[[#This Row],[Created_Date]])</f>
        <v>8</v>
      </c>
    </row>
    <row r="4912" spans="1:21" ht="15" customHeight="1" x14ac:dyDescent="0.2">
      <c r="A4912" t="s">
        <v>5218</v>
      </c>
      <c r="B4912" t="s">
        <v>211</v>
      </c>
      <c r="C4912" t="s">
        <v>55</v>
      </c>
      <c r="D4912" s="49">
        <v>45325</v>
      </c>
      <c r="E4912" s="49">
        <v>45326</v>
      </c>
      <c r="F4912" s="49">
        <v>45329</v>
      </c>
      <c r="G4912" s="49">
        <v>45333</v>
      </c>
      <c r="H4912" s="49">
        <v>45336</v>
      </c>
      <c r="I4912" s="49">
        <v>45338</v>
      </c>
      <c r="J4912" t="s">
        <v>47</v>
      </c>
      <c r="K4912" s="33">
        <v>5100</v>
      </c>
      <c r="M4912" t="str">
        <f>_xlfn.XLOOKUP(Pipeline_tbl[[#This Row],[Rep_ID]],Dim_Reps!A:A,Dim_Reps!K:K)</f>
        <v>EUR</v>
      </c>
      <c r="N4912" s="33">
        <f>(_xlfn.XLOOKUP(Pipeline_tbl[[#This Row],[Rate_Code_Generalized]],Lookups!A:A,Lookups!B:B))*Pipeline_tbl[[#This Row],[Pipeline_Amount_USD]]</f>
        <v>5100</v>
      </c>
      <c r="O4912" t="str">
        <f>_xlfn.XLOOKUP(Pipeline_tbl[[#This Row],[Rep_ID]],Dim_Reps!A:A,Dim_Reps!B:B)</f>
        <v>Lea Weber</v>
      </c>
      <c r="P4912" t="str">
        <f>_xlfn.XLOOKUP(Pipeline_tbl[[#This Row],[Rep_ID]],Dim_Reps!A:A,Dim_Reps!C:C)</f>
        <v>SDR / Inside Sales Rep</v>
      </c>
      <c r="Q4912" t="str">
        <f>_xlfn.XLOOKUP(Pipeline_tbl[[#This Row],[Rep_ID]],Dim_Reps!A:A,Dim_Reps!D:D)</f>
        <v>Inside Sales</v>
      </c>
      <c r="R4912" t="str">
        <f>_xlfn.XLOOKUP(Pipeline_tbl[[#This Row],[Rep_ID]],Dim_Reps!A:A,Dim_Reps!E:E)</f>
        <v>EMEA</v>
      </c>
      <c r="S4912" t="str">
        <f>_xlfn.XLOOKUP(Pipeline_tbl[[#This Row],[Created_Date]],Dim_Date!A:A,Dim_Date!H:H)</f>
        <v>Feb 2024</v>
      </c>
      <c r="T4912" t="str">
        <f>IF(Pipeline_tbl[[#This Row],[Closed_Date]]=0,"",(_xlfn.XLOOKUP(Pipeline_tbl[[#This Row],[Closed_Date]],Dim_Date!A:A,Dim_Date!H:H)))</f>
        <v>Feb 2024</v>
      </c>
      <c r="U4912">
        <f>IF(Pipeline_tbl[[#This Row],[Closed_Date]]=0,"",Pipeline_tbl[[#This Row],[Closed_Date]]-Pipeline_tbl[[#This Row],[Created_Date]])</f>
        <v>13</v>
      </c>
    </row>
    <row r="4913" spans="1:21" ht="15" customHeight="1" x14ac:dyDescent="0.2">
      <c r="A4913" t="s">
        <v>5219</v>
      </c>
      <c r="B4913" t="s">
        <v>211</v>
      </c>
      <c r="C4913" t="s">
        <v>52</v>
      </c>
      <c r="D4913" s="49">
        <v>45327</v>
      </c>
      <c r="E4913" s="49">
        <v>45329</v>
      </c>
      <c r="F4913" s="49">
        <v>45332</v>
      </c>
      <c r="G4913" s="49">
        <v>45337</v>
      </c>
      <c r="I4913" s="49">
        <v>45343</v>
      </c>
      <c r="J4913" t="s">
        <v>49</v>
      </c>
      <c r="K4913" s="33">
        <v>6200</v>
      </c>
      <c r="L4913" t="s">
        <v>60</v>
      </c>
      <c r="M4913" t="str">
        <f>_xlfn.XLOOKUP(Pipeline_tbl[[#This Row],[Rep_ID]],Dim_Reps!A:A,Dim_Reps!K:K)</f>
        <v>EUR</v>
      </c>
      <c r="N4913" s="33">
        <f>(_xlfn.XLOOKUP(Pipeline_tbl[[#This Row],[Rate_Code_Generalized]],Lookups!A:A,Lookups!B:B))*Pipeline_tbl[[#This Row],[Pipeline_Amount_USD]]</f>
        <v>6200</v>
      </c>
      <c r="O4913" t="str">
        <f>_xlfn.XLOOKUP(Pipeline_tbl[[#This Row],[Rep_ID]],Dim_Reps!A:A,Dim_Reps!B:B)</f>
        <v>Lea Weber</v>
      </c>
      <c r="P4913" t="str">
        <f>_xlfn.XLOOKUP(Pipeline_tbl[[#This Row],[Rep_ID]],Dim_Reps!A:A,Dim_Reps!C:C)</f>
        <v>SDR / Inside Sales Rep</v>
      </c>
      <c r="Q4913" t="str">
        <f>_xlfn.XLOOKUP(Pipeline_tbl[[#This Row],[Rep_ID]],Dim_Reps!A:A,Dim_Reps!D:D)</f>
        <v>Inside Sales</v>
      </c>
      <c r="R4913" t="str">
        <f>_xlfn.XLOOKUP(Pipeline_tbl[[#This Row],[Rep_ID]],Dim_Reps!A:A,Dim_Reps!E:E)</f>
        <v>EMEA</v>
      </c>
      <c r="S4913" t="str">
        <f>_xlfn.XLOOKUP(Pipeline_tbl[[#This Row],[Created_Date]],Dim_Date!A:A,Dim_Date!H:H)</f>
        <v>Feb 2024</v>
      </c>
      <c r="T4913" t="str">
        <f>IF(Pipeline_tbl[[#This Row],[Closed_Date]]=0,"",(_xlfn.XLOOKUP(Pipeline_tbl[[#This Row],[Closed_Date]],Dim_Date!A:A,Dim_Date!H:H)))</f>
        <v>Feb 2024</v>
      </c>
      <c r="U4913">
        <f>IF(Pipeline_tbl[[#This Row],[Closed_Date]]=0,"",Pipeline_tbl[[#This Row],[Closed_Date]]-Pipeline_tbl[[#This Row],[Created_Date]])</f>
        <v>16</v>
      </c>
    </row>
    <row r="4914" spans="1:21" ht="15" customHeight="1" x14ac:dyDescent="0.2">
      <c r="A4914" t="s">
        <v>5220</v>
      </c>
      <c r="B4914" t="s">
        <v>211</v>
      </c>
      <c r="C4914" t="s">
        <v>54</v>
      </c>
      <c r="D4914" s="49">
        <v>45334</v>
      </c>
      <c r="E4914" s="49">
        <v>45335</v>
      </c>
      <c r="I4914" s="49">
        <v>45343</v>
      </c>
      <c r="J4914" t="s">
        <v>49</v>
      </c>
      <c r="K4914" s="33">
        <v>2600</v>
      </c>
      <c r="L4914" t="s">
        <v>60</v>
      </c>
      <c r="M4914" t="str">
        <f>_xlfn.XLOOKUP(Pipeline_tbl[[#This Row],[Rep_ID]],Dim_Reps!A:A,Dim_Reps!K:K)</f>
        <v>EUR</v>
      </c>
      <c r="N4914" s="33">
        <f>(_xlfn.XLOOKUP(Pipeline_tbl[[#This Row],[Rate_Code_Generalized]],Lookups!A:A,Lookups!B:B))*Pipeline_tbl[[#This Row],[Pipeline_Amount_USD]]</f>
        <v>2600</v>
      </c>
      <c r="O4914" t="str">
        <f>_xlfn.XLOOKUP(Pipeline_tbl[[#This Row],[Rep_ID]],Dim_Reps!A:A,Dim_Reps!B:B)</f>
        <v>Lea Weber</v>
      </c>
      <c r="P4914" t="str">
        <f>_xlfn.XLOOKUP(Pipeline_tbl[[#This Row],[Rep_ID]],Dim_Reps!A:A,Dim_Reps!C:C)</f>
        <v>SDR / Inside Sales Rep</v>
      </c>
      <c r="Q4914" t="str">
        <f>_xlfn.XLOOKUP(Pipeline_tbl[[#This Row],[Rep_ID]],Dim_Reps!A:A,Dim_Reps!D:D)</f>
        <v>Inside Sales</v>
      </c>
      <c r="R4914" t="str">
        <f>_xlfn.XLOOKUP(Pipeline_tbl[[#This Row],[Rep_ID]],Dim_Reps!A:A,Dim_Reps!E:E)</f>
        <v>EMEA</v>
      </c>
      <c r="S4914" t="str">
        <f>_xlfn.XLOOKUP(Pipeline_tbl[[#This Row],[Created_Date]],Dim_Date!A:A,Dim_Date!H:H)</f>
        <v>Feb 2024</v>
      </c>
      <c r="T4914" t="str">
        <f>IF(Pipeline_tbl[[#This Row],[Closed_Date]]=0,"",(_xlfn.XLOOKUP(Pipeline_tbl[[#This Row],[Closed_Date]],Dim_Date!A:A,Dim_Date!H:H)))</f>
        <v>Feb 2024</v>
      </c>
      <c r="U4914">
        <f>IF(Pipeline_tbl[[#This Row],[Closed_Date]]=0,"",Pipeline_tbl[[#This Row],[Closed_Date]]-Pipeline_tbl[[#This Row],[Created_Date]])</f>
        <v>9</v>
      </c>
    </row>
    <row r="4915" spans="1:21" ht="15" customHeight="1" x14ac:dyDescent="0.2">
      <c r="A4915" t="s">
        <v>5221</v>
      </c>
      <c r="B4915" t="s">
        <v>211</v>
      </c>
      <c r="C4915" t="s">
        <v>52</v>
      </c>
      <c r="D4915" s="49">
        <v>45332</v>
      </c>
      <c r="E4915" s="49">
        <v>45334</v>
      </c>
      <c r="F4915" s="49">
        <v>45338</v>
      </c>
      <c r="G4915" s="49">
        <v>45343</v>
      </c>
      <c r="H4915" s="49">
        <v>45348</v>
      </c>
      <c r="I4915" s="49">
        <v>45351</v>
      </c>
      <c r="J4915" t="s">
        <v>47</v>
      </c>
      <c r="K4915" s="33">
        <v>2600</v>
      </c>
      <c r="M4915" t="str">
        <f>_xlfn.XLOOKUP(Pipeline_tbl[[#This Row],[Rep_ID]],Dim_Reps!A:A,Dim_Reps!K:K)</f>
        <v>EUR</v>
      </c>
      <c r="N4915" s="33">
        <f>(_xlfn.XLOOKUP(Pipeline_tbl[[#This Row],[Rate_Code_Generalized]],Lookups!A:A,Lookups!B:B))*Pipeline_tbl[[#This Row],[Pipeline_Amount_USD]]</f>
        <v>2600</v>
      </c>
      <c r="O4915" t="str">
        <f>_xlfn.XLOOKUP(Pipeline_tbl[[#This Row],[Rep_ID]],Dim_Reps!A:A,Dim_Reps!B:B)</f>
        <v>Lea Weber</v>
      </c>
      <c r="P4915" t="str">
        <f>_xlfn.XLOOKUP(Pipeline_tbl[[#This Row],[Rep_ID]],Dim_Reps!A:A,Dim_Reps!C:C)</f>
        <v>SDR / Inside Sales Rep</v>
      </c>
      <c r="Q4915" t="str">
        <f>_xlfn.XLOOKUP(Pipeline_tbl[[#This Row],[Rep_ID]],Dim_Reps!A:A,Dim_Reps!D:D)</f>
        <v>Inside Sales</v>
      </c>
      <c r="R4915" t="str">
        <f>_xlfn.XLOOKUP(Pipeline_tbl[[#This Row],[Rep_ID]],Dim_Reps!A:A,Dim_Reps!E:E)</f>
        <v>EMEA</v>
      </c>
      <c r="S4915" t="str">
        <f>_xlfn.XLOOKUP(Pipeline_tbl[[#This Row],[Created_Date]],Dim_Date!A:A,Dim_Date!H:H)</f>
        <v>Feb 2024</v>
      </c>
      <c r="T4915" t="str">
        <f>IF(Pipeline_tbl[[#This Row],[Closed_Date]]=0,"",(_xlfn.XLOOKUP(Pipeline_tbl[[#This Row],[Closed_Date]],Dim_Date!A:A,Dim_Date!H:H)))</f>
        <v>Feb 2024</v>
      </c>
      <c r="U4915">
        <f>IF(Pipeline_tbl[[#This Row],[Closed_Date]]=0,"",Pipeline_tbl[[#This Row],[Closed_Date]]-Pipeline_tbl[[#This Row],[Created_Date]])</f>
        <v>19</v>
      </c>
    </row>
    <row r="4916" spans="1:21" ht="15" customHeight="1" x14ac:dyDescent="0.2">
      <c r="A4916" t="s">
        <v>5222</v>
      </c>
      <c r="B4916" t="s">
        <v>215</v>
      </c>
      <c r="C4916" t="s">
        <v>52</v>
      </c>
      <c r="D4916" s="49">
        <v>45328</v>
      </c>
      <c r="E4916" s="49">
        <v>45330</v>
      </c>
      <c r="F4916" s="49">
        <v>45333</v>
      </c>
      <c r="G4916" s="49">
        <v>45338</v>
      </c>
      <c r="H4916" s="49">
        <v>45342</v>
      </c>
      <c r="I4916" s="49">
        <v>45344</v>
      </c>
      <c r="J4916" t="s">
        <v>49</v>
      </c>
      <c r="K4916" s="33">
        <v>3700</v>
      </c>
      <c r="L4916" t="s">
        <v>64</v>
      </c>
      <c r="M4916" t="str">
        <f>_xlfn.XLOOKUP(Pipeline_tbl[[#This Row],[Rep_ID]],Dim_Reps!A:A,Dim_Reps!K:K)</f>
        <v>EUR</v>
      </c>
      <c r="N4916" s="33">
        <f>(_xlfn.XLOOKUP(Pipeline_tbl[[#This Row],[Rate_Code_Generalized]],Lookups!A:A,Lookups!B:B))*Pipeline_tbl[[#This Row],[Pipeline_Amount_USD]]</f>
        <v>3700</v>
      </c>
      <c r="O4916" t="str">
        <f>_xlfn.XLOOKUP(Pipeline_tbl[[#This Row],[Rep_ID]],Dim_Reps!A:A,Dim_Reps!B:B)</f>
        <v>Jamie Schmidt</v>
      </c>
      <c r="P4916" t="str">
        <f>_xlfn.XLOOKUP(Pipeline_tbl[[#This Row],[Rep_ID]],Dim_Reps!A:A,Dim_Reps!C:C)</f>
        <v>SDR / Inside Sales Rep</v>
      </c>
      <c r="Q4916" t="str">
        <f>_xlfn.XLOOKUP(Pipeline_tbl[[#This Row],[Rep_ID]],Dim_Reps!A:A,Dim_Reps!D:D)</f>
        <v>Inside Sales</v>
      </c>
      <c r="R4916" t="str">
        <f>_xlfn.XLOOKUP(Pipeline_tbl[[#This Row],[Rep_ID]],Dim_Reps!A:A,Dim_Reps!E:E)</f>
        <v>APAC</v>
      </c>
      <c r="S4916" t="str">
        <f>_xlfn.XLOOKUP(Pipeline_tbl[[#This Row],[Created_Date]],Dim_Date!A:A,Dim_Date!H:H)</f>
        <v>Feb 2024</v>
      </c>
      <c r="T4916" t="str">
        <f>IF(Pipeline_tbl[[#This Row],[Closed_Date]]=0,"",(_xlfn.XLOOKUP(Pipeline_tbl[[#This Row],[Closed_Date]],Dim_Date!A:A,Dim_Date!H:H)))</f>
        <v>Feb 2024</v>
      </c>
      <c r="U4916">
        <f>IF(Pipeline_tbl[[#This Row],[Closed_Date]]=0,"",Pipeline_tbl[[#This Row],[Closed_Date]]-Pipeline_tbl[[#This Row],[Created_Date]])</f>
        <v>16</v>
      </c>
    </row>
    <row r="4917" spans="1:21" ht="15" customHeight="1" x14ac:dyDescent="0.2">
      <c r="A4917" t="s">
        <v>5223</v>
      </c>
      <c r="B4917" t="s">
        <v>215</v>
      </c>
      <c r="C4917" t="s">
        <v>52</v>
      </c>
      <c r="D4917" s="49">
        <v>45328</v>
      </c>
      <c r="E4917" s="49">
        <v>45330</v>
      </c>
      <c r="F4917" s="49">
        <v>45334</v>
      </c>
      <c r="G4917" s="49">
        <v>45341</v>
      </c>
      <c r="I4917" s="49">
        <v>45349</v>
      </c>
      <c r="J4917" t="s">
        <v>49</v>
      </c>
      <c r="K4917" s="33">
        <v>7800</v>
      </c>
      <c r="L4917" t="s">
        <v>62</v>
      </c>
      <c r="M4917" t="str">
        <f>_xlfn.XLOOKUP(Pipeline_tbl[[#This Row],[Rep_ID]],Dim_Reps!A:A,Dim_Reps!K:K)</f>
        <v>EUR</v>
      </c>
      <c r="N4917" s="33">
        <f>(_xlfn.XLOOKUP(Pipeline_tbl[[#This Row],[Rate_Code_Generalized]],Lookups!A:A,Lookups!B:B))*Pipeline_tbl[[#This Row],[Pipeline_Amount_USD]]</f>
        <v>7800</v>
      </c>
      <c r="O4917" t="str">
        <f>_xlfn.XLOOKUP(Pipeline_tbl[[#This Row],[Rep_ID]],Dim_Reps!A:A,Dim_Reps!B:B)</f>
        <v>Jamie Schmidt</v>
      </c>
      <c r="P4917" t="str">
        <f>_xlfn.XLOOKUP(Pipeline_tbl[[#This Row],[Rep_ID]],Dim_Reps!A:A,Dim_Reps!C:C)</f>
        <v>SDR / Inside Sales Rep</v>
      </c>
      <c r="Q4917" t="str">
        <f>_xlfn.XLOOKUP(Pipeline_tbl[[#This Row],[Rep_ID]],Dim_Reps!A:A,Dim_Reps!D:D)</f>
        <v>Inside Sales</v>
      </c>
      <c r="R4917" t="str">
        <f>_xlfn.XLOOKUP(Pipeline_tbl[[#This Row],[Rep_ID]],Dim_Reps!A:A,Dim_Reps!E:E)</f>
        <v>APAC</v>
      </c>
      <c r="S4917" t="str">
        <f>_xlfn.XLOOKUP(Pipeline_tbl[[#This Row],[Created_Date]],Dim_Date!A:A,Dim_Date!H:H)</f>
        <v>Feb 2024</v>
      </c>
      <c r="T4917" t="str">
        <f>IF(Pipeline_tbl[[#This Row],[Closed_Date]]=0,"",(_xlfn.XLOOKUP(Pipeline_tbl[[#This Row],[Closed_Date]],Dim_Date!A:A,Dim_Date!H:H)))</f>
        <v>Feb 2024</v>
      </c>
      <c r="U4917">
        <f>IF(Pipeline_tbl[[#This Row],[Closed_Date]]=0,"",Pipeline_tbl[[#This Row],[Closed_Date]]-Pipeline_tbl[[#This Row],[Created_Date]])</f>
        <v>21</v>
      </c>
    </row>
    <row r="4918" spans="1:21" ht="15" customHeight="1" x14ac:dyDescent="0.2">
      <c r="A4918" t="s">
        <v>5224</v>
      </c>
      <c r="B4918" t="s">
        <v>217</v>
      </c>
      <c r="C4918" t="s">
        <v>52</v>
      </c>
      <c r="D4918" s="49">
        <v>45331</v>
      </c>
      <c r="E4918" s="49">
        <v>45333</v>
      </c>
      <c r="F4918" s="49">
        <v>45337</v>
      </c>
      <c r="G4918" s="49">
        <v>45343</v>
      </c>
      <c r="H4918" s="49">
        <v>45348</v>
      </c>
      <c r="I4918" s="49">
        <v>45351</v>
      </c>
      <c r="J4918" t="s">
        <v>47</v>
      </c>
      <c r="K4918" s="33">
        <v>5700</v>
      </c>
      <c r="M4918" t="str">
        <f>_xlfn.XLOOKUP(Pipeline_tbl[[#This Row],[Rep_ID]],Dim_Reps!A:A,Dim_Reps!K:K)</f>
        <v>USD</v>
      </c>
      <c r="N4918" s="33">
        <f>(_xlfn.XLOOKUP(Pipeline_tbl[[#This Row],[Rate_Code_Generalized]],Lookups!A:A,Lookups!B:B))*Pipeline_tbl[[#This Row],[Pipeline_Amount_USD]]</f>
        <v>6636.5099999999993</v>
      </c>
      <c r="O4918" t="str">
        <f>_xlfn.XLOOKUP(Pipeline_tbl[[#This Row],[Rep_ID]],Dim_Reps!A:A,Dim_Reps!B:B)</f>
        <v>Priya Weber</v>
      </c>
      <c r="P4918" t="str">
        <f>_xlfn.XLOOKUP(Pipeline_tbl[[#This Row],[Rep_ID]],Dim_Reps!A:A,Dim_Reps!C:C)</f>
        <v>SDR / Inside Sales Rep</v>
      </c>
      <c r="Q4918" t="str">
        <f>_xlfn.XLOOKUP(Pipeline_tbl[[#This Row],[Rep_ID]],Dim_Reps!A:A,Dim_Reps!D:D)</f>
        <v>Inside Sales</v>
      </c>
      <c r="R4918" t="str">
        <f>_xlfn.XLOOKUP(Pipeline_tbl[[#This Row],[Rep_ID]],Dim_Reps!A:A,Dim_Reps!E:E)</f>
        <v>NAMER</v>
      </c>
      <c r="S4918" t="str">
        <f>_xlfn.XLOOKUP(Pipeline_tbl[[#This Row],[Created_Date]],Dim_Date!A:A,Dim_Date!H:H)</f>
        <v>Feb 2024</v>
      </c>
      <c r="T4918" t="str">
        <f>IF(Pipeline_tbl[[#This Row],[Closed_Date]]=0,"",(_xlfn.XLOOKUP(Pipeline_tbl[[#This Row],[Closed_Date]],Dim_Date!A:A,Dim_Date!H:H)))</f>
        <v>Feb 2024</v>
      </c>
      <c r="U4918">
        <f>IF(Pipeline_tbl[[#This Row],[Closed_Date]]=0,"",Pipeline_tbl[[#This Row],[Closed_Date]]-Pipeline_tbl[[#This Row],[Created_Date]])</f>
        <v>20</v>
      </c>
    </row>
    <row r="4919" spans="1:21" ht="15" customHeight="1" x14ac:dyDescent="0.2">
      <c r="A4919" t="s">
        <v>5225</v>
      </c>
      <c r="B4919" t="s">
        <v>217</v>
      </c>
      <c r="C4919" t="s">
        <v>53</v>
      </c>
      <c r="D4919" s="49">
        <v>45334</v>
      </c>
      <c r="E4919" s="49">
        <v>45336</v>
      </c>
      <c r="F4919" s="49">
        <v>45339</v>
      </c>
      <c r="G4919" s="49">
        <v>45343</v>
      </c>
      <c r="H4919" s="49">
        <v>45347</v>
      </c>
      <c r="I4919" s="49">
        <v>45349</v>
      </c>
      <c r="J4919" t="s">
        <v>49</v>
      </c>
      <c r="K4919" s="33">
        <v>6500</v>
      </c>
      <c r="L4919" t="s">
        <v>61</v>
      </c>
      <c r="M4919" t="str">
        <f>_xlfn.XLOOKUP(Pipeline_tbl[[#This Row],[Rep_ID]],Dim_Reps!A:A,Dim_Reps!K:K)</f>
        <v>USD</v>
      </c>
      <c r="N4919" s="33">
        <f>(_xlfn.XLOOKUP(Pipeline_tbl[[#This Row],[Rate_Code_Generalized]],Lookups!A:A,Lookups!B:B))*Pipeline_tbl[[#This Row],[Pipeline_Amount_USD]]</f>
        <v>7567.9499999999989</v>
      </c>
      <c r="O4919" t="str">
        <f>_xlfn.XLOOKUP(Pipeline_tbl[[#This Row],[Rep_ID]],Dim_Reps!A:A,Dim_Reps!B:B)</f>
        <v>Priya Weber</v>
      </c>
      <c r="P4919" t="str">
        <f>_xlfn.XLOOKUP(Pipeline_tbl[[#This Row],[Rep_ID]],Dim_Reps!A:A,Dim_Reps!C:C)</f>
        <v>SDR / Inside Sales Rep</v>
      </c>
      <c r="Q4919" t="str">
        <f>_xlfn.XLOOKUP(Pipeline_tbl[[#This Row],[Rep_ID]],Dim_Reps!A:A,Dim_Reps!D:D)</f>
        <v>Inside Sales</v>
      </c>
      <c r="R4919" t="str">
        <f>_xlfn.XLOOKUP(Pipeline_tbl[[#This Row],[Rep_ID]],Dim_Reps!A:A,Dim_Reps!E:E)</f>
        <v>NAMER</v>
      </c>
      <c r="S4919" t="str">
        <f>_xlfn.XLOOKUP(Pipeline_tbl[[#This Row],[Created_Date]],Dim_Date!A:A,Dim_Date!H:H)</f>
        <v>Feb 2024</v>
      </c>
      <c r="T4919" t="str">
        <f>IF(Pipeline_tbl[[#This Row],[Closed_Date]]=0,"",(_xlfn.XLOOKUP(Pipeline_tbl[[#This Row],[Closed_Date]],Dim_Date!A:A,Dim_Date!H:H)))</f>
        <v>Feb 2024</v>
      </c>
      <c r="U4919">
        <f>IF(Pipeline_tbl[[#This Row],[Closed_Date]]=0,"",Pipeline_tbl[[#This Row],[Closed_Date]]-Pipeline_tbl[[#This Row],[Created_Date]])</f>
        <v>15</v>
      </c>
    </row>
    <row r="4920" spans="1:21" ht="15" customHeight="1" x14ac:dyDescent="0.2">
      <c r="A4920" t="s">
        <v>5226</v>
      </c>
      <c r="B4920" t="s">
        <v>221</v>
      </c>
      <c r="C4920" t="s">
        <v>54</v>
      </c>
      <c r="D4920" s="49">
        <v>45330</v>
      </c>
      <c r="E4920" s="49">
        <v>45332</v>
      </c>
      <c r="F4920" s="49">
        <v>45335</v>
      </c>
      <c r="G4920" s="49">
        <v>45339</v>
      </c>
      <c r="H4920" s="49">
        <v>45343</v>
      </c>
      <c r="I4920" s="49">
        <v>45345</v>
      </c>
      <c r="J4920" t="s">
        <v>47</v>
      </c>
      <c r="K4920" s="33">
        <v>2300</v>
      </c>
      <c r="M4920" t="str">
        <f>_xlfn.XLOOKUP(Pipeline_tbl[[#This Row],[Rep_ID]],Dim_Reps!A:A,Dim_Reps!K:K)</f>
        <v>MXN</v>
      </c>
      <c r="N4920" s="33">
        <f>(_xlfn.XLOOKUP(Pipeline_tbl[[#This Row],[Rate_Code_Generalized]],Lookups!A:A,Lookups!B:B))*Pipeline_tbl[[#This Row],[Pipeline_Amount_USD]]</f>
        <v>45385.210000000006</v>
      </c>
      <c r="O4920" t="str">
        <f>_xlfn.XLOOKUP(Pipeline_tbl[[#This Row],[Rep_ID]],Dim_Reps!A:A,Dim_Reps!B:B)</f>
        <v>Casey Muller</v>
      </c>
      <c r="P4920" t="str">
        <f>_xlfn.XLOOKUP(Pipeline_tbl[[#This Row],[Rep_ID]],Dim_Reps!A:A,Dim_Reps!C:C)</f>
        <v>SDR / Inside Sales Rep</v>
      </c>
      <c r="Q4920" t="str">
        <f>_xlfn.XLOOKUP(Pipeline_tbl[[#This Row],[Rep_ID]],Dim_Reps!A:A,Dim_Reps!D:D)</f>
        <v>Inside Sales</v>
      </c>
      <c r="R4920" t="str">
        <f>_xlfn.XLOOKUP(Pipeline_tbl[[#This Row],[Rep_ID]],Dim_Reps!A:A,Dim_Reps!E:E)</f>
        <v>LATAM</v>
      </c>
      <c r="S4920" t="str">
        <f>_xlfn.XLOOKUP(Pipeline_tbl[[#This Row],[Created_Date]],Dim_Date!A:A,Dim_Date!H:H)</f>
        <v>Feb 2024</v>
      </c>
      <c r="T4920" t="str">
        <f>IF(Pipeline_tbl[[#This Row],[Closed_Date]]=0,"",(_xlfn.XLOOKUP(Pipeline_tbl[[#This Row],[Closed_Date]],Dim_Date!A:A,Dim_Date!H:H)))</f>
        <v>Feb 2024</v>
      </c>
      <c r="U4920">
        <f>IF(Pipeline_tbl[[#This Row],[Closed_Date]]=0,"",Pipeline_tbl[[#This Row],[Closed_Date]]-Pipeline_tbl[[#This Row],[Created_Date]])</f>
        <v>15</v>
      </c>
    </row>
    <row r="4921" spans="1:21" ht="15" customHeight="1" x14ac:dyDescent="0.2">
      <c r="A4921" t="s">
        <v>5227</v>
      </c>
      <c r="B4921" t="s">
        <v>259</v>
      </c>
      <c r="C4921" t="s">
        <v>52</v>
      </c>
      <c r="D4921" s="49">
        <v>45329</v>
      </c>
      <c r="E4921" s="49">
        <v>45330</v>
      </c>
      <c r="F4921" s="49">
        <v>45331</v>
      </c>
      <c r="G4921" s="49">
        <v>45334</v>
      </c>
      <c r="I4921" s="49">
        <v>45337</v>
      </c>
      <c r="J4921" t="s">
        <v>49</v>
      </c>
      <c r="K4921" s="33">
        <v>12600</v>
      </c>
      <c r="L4921" t="s">
        <v>63</v>
      </c>
      <c r="M4921" t="str">
        <f>_xlfn.XLOOKUP(Pipeline_tbl[[#This Row],[Rep_ID]],Dim_Reps!A:A,Dim_Reps!K:K)</f>
        <v>EUR</v>
      </c>
      <c r="N4921" s="33">
        <f>(_xlfn.XLOOKUP(Pipeline_tbl[[#This Row],[Rate_Code_Generalized]],Lookups!A:A,Lookups!B:B))*Pipeline_tbl[[#This Row],[Pipeline_Amount_USD]]</f>
        <v>12600</v>
      </c>
      <c r="O4921" t="str">
        <f>_xlfn.XLOOKUP(Pipeline_tbl[[#This Row],[Rep_ID]],Dim_Reps!A:A,Dim_Reps!B:B)</f>
        <v>Felix Okafor</v>
      </c>
      <c r="P4921" t="str">
        <f>_xlfn.XLOOKUP(Pipeline_tbl[[#This Row],[Rep_ID]],Dim_Reps!A:A,Dim_Reps!C:C)</f>
        <v>Mid-Market AE</v>
      </c>
      <c r="Q4921" t="str">
        <f>_xlfn.XLOOKUP(Pipeline_tbl[[#This Row],[Rep_ID]],Dim_Reps!A:A,Dim_Reps!D:D)</f>
        <v>Mid-Market</v>
      </c>
      <c r="R4921" t="str">
        <f>_xlfn.XLOOKUP(Pipeline_tbl[[#This Row],[Rep_ID]],Dim_Reps!A:A,Dim_Reps!E:E)</f>
        <v>EMEA</v>
      </c>
      <c r="S4921" t="str">
        <f>_xlfn.XLOOKUP(Pipeline_tbl[[#This Row],[Created_Date]],Dim_Date!A:A,Dim_Date!H:H)</f>
        <v>Feb 2024</v>
      </c>
      <c r="T4921" t="str">
        <f>IF(Pipeline_tbl[[#This Row],[Closed_Date]]=0,"",(_xlfn.XLOOKUP(Pipeline_tbl[[#This Row],[Closed_Date]],Dim_Date!A:A,Dim_Date!H:H)))</f>
        <v>Feb 2024</v>
      </c>
      <c r="U4921">
        <f>IF(Pipeline_tbl[[#This Row],[Closed_Date]]=0,"",Pipeline_tbl[[#This Row],[Closed_Date]]-Pipeline_tbl[[#This Row],[Created_Date]])</f>
        <v>8</v>
      </c>
    </row>
    <row r="4922" spans="1:21" ht="15" customHeight="1" x14ac:dyDescent="0.2">
      <c r="A4922" t="s">
        <v>5228</v>
      </c>
      <c r="B4922" t="s">
        <v>225</v>
      </c>
      <c r="C4922" t="s">
        <v>53</v>
      </c>
      <c r="D4922" s="49">
        <v>45330</v>
      </c>
      <c r="E4922" s="49">
        <v>45332</v>
      </c>
      <c r="F4922" s="49">
        <v>45335</v>
      </c>
      <c r="G4922" s="49">
        <v>45340</v>
      </c>
      <c r="H4922" s="49">
        <v>45344</v>
      </c>
      <c r="I4922" s="49">
        <v>45346</v>
      </c>
      <c r="J4922" t="s">
        <v>47</v>
      </c>
      <c r="K4922" s="33">
        <v>3000</v>
      </c>
      <c r="M4922" t="str">
        <f>_xlfn.XLOOKUP(Pipeline_tbl[[#This Row],[Rep_ID]],Dim_Reps!A:A,Dim_Reps!K:K)</f>
        <v>USD</v>
      </c>
      <c r="N4922" s="33">
        <f>(_xlfn.XLOOKUP(Pipeline_tbl[[#This Row],[Rate_Code_Generalized]],Lookups!A:A,Lookups!B:B))*Pipeline_tbl[[#This Row],[Pipeline_Amount_USD]]</f>
        <v>3492.8999999999996</v>
      </c>
      <c r="O4922" t="str">
        <f>_xlfn.XLOOKUP(Pipeline_tbl[[#This Row],[Rep_ID]],Dim_Reps!A:A,Dim_Reps!B:B)</f>
        <v>Alex Muller</v>
      </c>
      <c r="P4922" t="str">
        <f>_xlfn.XLOOKUP(Pipeline_tbl[[#This Row],[Rep_ID]],Dim_Reps!A:A,Dim_Reps!C:C)</f>
        <v>SDR / Inside Sales Rep</v>
      </c>
      <c r="Q4922" t="str">
        <f>_xlfn.XLOOKUP(Pipeline_tbl[[#This Row],[Rep_ID]],Dim_Reps!A:A,Dim_Reps!D:D)</f>
        <v>Inside Sales</v>
      </c>
      <c r="R4922" t="str">
        <f>_xlfn.XLOOKUP(Pipeline_tbl[[#This Row],[Rep_ID]],Dim_Reps!A:A,Dim_Reps!E:E)</f>
        <v>NAMER</v>
      </c>
      <c r="S4922" t="str">
        <f>_xlfn.XLOOKUP(Pipeline_tbl[[#This Row],[Created_Date]],Dim_Date!A:A,Dim_Date!H:H)</f>
        <v>Feb 2024</v>
      </c>
      <c r="T4922" t="str">
        <f>IF(Pipeline_tbl[[#This Row],[Closed_Date]]=0,"",(_xlfn.XLOOKUP(Pipeline_tbl[[#This Row],[Closed_Date]],Dim_Date!A:A,Dim_Date!H:H)))</f>
        <v>Feb 2024</v>
      </c>
      <c r="U4922">
        <f>IF(Pipeline_tbl[[#This Row],[Closed_Date]]=0,"",Pipeline_tbl[[#This Row],[Closed_Date]]-Pipeline_tbl[[#This Row],[Created_Date]])</f>
        <v>16</v>
      </c>
    </row>
    <row r="4923" spans="1:21" ht="15" customHeight="1" x14ac:dyDescent="0.2">
      <c r="A4923" t="s">
        <v>5229</v>
      </c>
      <c r="B4923" t="s">
        <v>227</v>
      </c>
      <c r="C4923" t="s">
        <v>52</v>
      </c>
      <c r="D4923" s="49">
        <v>45324</v>
      </c>
      <c r="E4923" s="49">
        <v>45325</v>
      </c>
      <c r="F4923" s="49">
        <v>45328</v>
      </c>
      <c r="I4923" s="49">
        <v>45337</v>
      </c>
      <c r="J4923" t="s">
        <v>49</v>
      </c>
      <c r="K4923" s="33">
        <v>5800</v>
      </c>
      <c r="L4923" t="s">
        <v>64</v>
      </c>
      <c r="M4923" t="str">
        <f>_xlfn.XLOOKUP(Pipeline_tbl[[#This Row],[Rep_ID]],Dim_Reps!A:A,Dim_Reps!K:K)</f>
        <v>EUR</v>
      </c>
      <c r="N4923" s="33">
        <f>(_xlfn.XLOOKUP(Pipeline_tbl[[#This Row],[Rate_Code_Generalized]],Lookups!A:A,Lookups!B:B))*Pipeline_tbl[[#This Row],[Pipeline_Amount_USD]]</f>
        <v>5800</v>
      </c>
      <c r="O4923" t="str">
        <f>_xlfn.XLOOKUP(Pipeline_tbl[[#This Row],[Rep_ID]],Dim_Reps!A:A,Dim_Reps!B:B)</f>
        <v>Liam Muller</v>
      </c>
      <c r="P4923" t="str">
        <f>_xlfn.XLOOKUP(Pipeline_tbl[[#This Row],[Rep_ID]],Dim_Reps!A:A,Dim_Reps!C:C)</f>
        <v>SDR / Inside Sales Rep</v>
      </c>
      <c r="Q4923" t="str">
        <f>_xlfn.XLOOKUP(Pipeline_tbl[[#This Row],[Rep_ID]],Dim_Reps!A:A,Dim_Reps!D:D)</f>
        <v>Inside Sales</v>
      </c>
      <c r="R4923" t="str">
        <f>_xlfn.XLOOKUP(Pipeline_tbl[[#This Row],[Rep_ID]],Dim_Reps!A:A,Dim_Reps!E:E)</f>
        <v>EMEA</v>
      </c>
      <c r="S4923" t="str">
        <f>_xlfn.XLOOKUP(Pipeline_tbl[[#This Row],[Created_Date]],Dim_Date!A:A,Dim_Date!H:H)</f>
        <v>Feb 2024</v>
      </c>
      <c r="T4923" t="str">
        <f>IF(Pipeline_tbl[[#This Row],[Closed_Date]]=0,"",(_xlfn.XLOOKUP(Pipeline_tbl[[#This Row],[Closed_Date]],Dim_Date!A:A,Dim_Date!H:H)))</f>
        <v>Feb 2024</v>
      </c>
      <c r="U4923">
        <f>IF(Pipeline_tbl[[#This Row],[Closed_Date]]=0,"",Pipeline_tbl[[#This Row],[Closed_Date]]-Pipeline_tbl[[#This Row],[Created_Date]])</f>
        <v>13</v>
      </c>
    </row>
    <row r="4924" spans="1:21" ht="15" customHeight="1" x14ac:dyDescent="0.2">
      <c r="A4924" t="s">
        <v>5230</v>
      </c>
      <c r="B4924" t="s">
        <v>229</v>
      </c>
      <c r="C4924" t="s">
        <v>55</v>
      </c>
      <c r="D4924" s="49">
        <v>45325</v>
      </c>
      <c r="E4924" s="49">
        <v>45327</v>
      </c>
      <c r="I4924" s="49">
        <v>45343</v>
      </c>
      <c r="J4924" t="s">
        <v>49</v>
      </c>
      <c r="K4924" s="33">
        <v>4700</v>
      </c>
      <c r="L4924" t="s">
        <v>60</v>
      </c>
      <c r="M4924" t="str">
        <f>_xlfn.XLOOKUP(Pipeline_tbl[[#This Row],[Rep_ID]],Dim_Reps!A:A,Dim_Reps!K:K)</f>
        <v>USD</v>
      </c>
      <c r="N4924" s="33">
        <f>(_xlfn.XLOOKUP(Pipeline_tbl[[#This Row],[Rate_Code_Generalized]],Lookups!A:A,Lookups!B:B))*Pipeline_tbl[[#This Row],[Pipeline_Amount_USD]]</f>
        <v>5472.2099999999991</v>
      </c>
      <c r="O4924" t="str">
        <f>_xlfn.XLOOKUP(Pipeline_tbl[[#This Row],[Rep_ID]],Dim_Reps!A:A,Dim_Reps!B:B)</f>
        <v>Liam Castro</v>
      </c>
      <c r="P4924" t="str">
        <f>_xlfn.XLOOKUP(Pipeline_tbl[[#This Row],[Rep_ID]],Dim_Reps!A:A,Dim_Reps!C:C)</f>
        <v>SDR / Inside Sales Rep</v>
      </c>
      <c r="Q4924" t="str">
        <f>_xlfn.XLOOKUP(Pipeline_tbl[[#This Row],[Rep_ID]],Dim_Reps!A:A,Dim_Reps!D:D)</f>
        <v>Inside Sales</v>
      </c>
      <c r="R4924" t="str">
        <f>_xlfn.XLOOKUP(Pipeline_tbl[[#This Row],[Rep_ID]],Dim_Reps!A:A,Dim_Reps!E:E)</f>
        <v>NAMER</v>
      </c>
      <c r="S4924" t="str">
        <f>_xlfn.XLOOKUP(Pipeline_tbl[[#This Row],[Created_Date]],Dim_Date!A:A,Dim_Date!H:H)</f>
        <v>Feb 2024</v>
      </c>
      <c r="T4924" t="str">
        <f>IF(Pipeline_tbl[[#This Row],[Closed_Date]]=0,"",(_xlfn.XLOOKUP(Pipeline_tbl[[#This Row],[Closed_Date]],Dim_Date!A:A,Dim_Date!H:H)))</f>
        <v>Feb 2024</v>
      </c>
      <c r="U4924">
        <f>IF(Pipeline_tbl[[#This Row],[Closed_Date]]=0,"",Pipeline_tbl[[#This Row],[Closed_Date]]-Pipeline_tbl[[#This Row],[Created_Date]])</f>
        <v>18</v>
      </c>
    </row>
    <row r="4925" spans="1:21" ht="15" customHeight="1" x14ac:dyDescent="0.2">
      <c r="A4925" t="s">
        <v>5231</v>
      </c>
      <c r="B4925" t="s">
        <v>229</v>
      </c>
      <c r="C4925" t="s">
        <v>53</v>
      </c>
      <c r="D4925" s="49">
        <v>45330</v>
      </c>
      <c r="E4925" s="49">
        <v>45332</v>
      </c>
      <c r="F4925" s="49">
        <v>45335</v>
      </c>
      <c r="G4925" s="49">
        <v>45341</v>
      </c>
      <c r="H4925" s="49">
        <v>45345</v>
      </c>
      <c r="I4925" s="49">
        <v>45348</v>
      </c>
      <c r="J4925" t="s">
        <v>47</v>
      </c>
      <c r="K4925" s="33">
        <v>2000</v>
      </c>
      <c r="M4925" t="str">
        <f>_xlfn.XLOOKUP(Pipeline_tbl[[#This Row],[Rep_ID]],Dim_Reps!A:A,Dim_Reps!K:K)</f>
        <v>USD</v>
      </c>
      <c r="N4925" s="33">
        <f>(_xlfn.XLOOKUP(Pipeline_tbl[[#This Row],[Rate_Code_Generalized]],Lookups!A:A,Lookups!B:B))*Pipeline_tbl[[#This Row],[Pipeline_Amount_USD]]</f>
        <v>2328.6</v>
      </c>
      <c r="O4925" t="str">
        <f>_xlfn.XLOOKUP(Pipeline_tbl[[#This Row],[Rep_ID]],Dim_Reps!A:A,Dim_Reps!B:B)</f>
        <v>Liam Castro</v>
      </c>
      <c r="P4925" t="str">
        <f>_xlfn.XLOOKUP(Pipeline_tbl[[#This Row],[Rep_ID]],Dim_Reps!A:A,Dim_Reps!C:C)</f>
        <v>SDR / Inside Sales Rep</v>
      </c>
      <c r="Q4925" t="str">
        <f>_xlfn.XLOOKUP(Pipeline_tbl[[#This Row],[Rep_ID]],Dim_Reps!A:A,Dim_Reps!D:D)</f>
        <v>Inside Sales</v>
      </c>
      <c r="R4925" t="str">
        <f>_xlfn.XLOOKUP(Pipeline_tbl[[#This Row],[Rep_ID]],Dim_Reps!A:A,Dim_Reps!E:E)</f>
        <v>NAMER</v>
      </c>
      <c r="S4925" t="str">
        <f>_xlfn.XLOOKUP(Pipeline_tbl[[#This Row],[Created_Date]],Dim_Date!A:A,Dim_Date!H:H)</f>
        <v>Feb 2024</v>
      </c>
      <c r="T4925" t="str">
        <f>IF(Pipeline_tbl[[#This Row],[Closed_Date]]=0,"",(_xlfn.XLOOKUP(Pipeline_tbl[[#This Row],[Closed_Date]],Dim_Date!A:A,Dim_Date!H:H)))</f>
        <v>Feb 2024</v>
      </c>
      <c r="U4925">
        <f>IF(Pipeline_tbl[[#This Row],[Closed_Date]]=0,"",Pipeline_tbl[[#This Row],[Closed_Date]]-Pipeline_tbl[[#This Row],[Created_Date]])</f>
        <v>18</v>
      </c>
    </row>
    <row r="4926" spans="1:21" ht="15" customHeight="1" x14ac:dyDescent="0.2">
      <c r="A4926" t="s">
        <v>5232</v>
      </c>
      <c r="B4926" t="s">
        <v>229</v>
      </c>
      <c r="C4926" t="s">
        <v>52</v>
      </c>
      <c r="D4926" s="49">
        <v>45325</v>
      </c>
      <c r="E4926" s="49">
        <v>45327</v>
      </c>
      <c r="F4926" s="49">
        <v>45330</v>
      </c>
      <c r="G4926" s="49">
        <v>45336</v>
      </c>
      <c r="H4926" s="49">
        <v>45340</v>
      </c>
      <c r="I4926" s="49">
        <v>45343</v>
      </c>
      <c r="J4926" t="s">
        <v>47</v>
      </c>
      <c r="K4926" s="33">
        <v>3800</v>
      </c>
      <c r="M4926" t="str">
        <f>_xlfn.XLOOKUP(Pipeline_tbl[[#This Row],[Rep_ID]],Dim_Reps!A:A,Dim_Reps!K:K)</f>
        <v>USD</v>
      </c>
      <c r="N4926" s="33">
        <f>(_xlfn.XLOOKUP(Pipeline_tbl[[#This Row],[Rate_Code_Generalized]],Lookups!A:A,Lookups!B:B))*Pipeline_tbl[[#This Row],[Pipeline_Amount_USD]]</f>
        <v>4424.3399999999992</v>
      </c>
      <c r="O4926" t="str">
        <f>_xlfn.XLOOKUP(Pipeline_tbl[[#This Row],[Rep_ID]],Dim_Reps!A:A,Dim_Reps!B:B)</f>
        <v>Liam Castro</v>
      </c>
      <c r="P4926" t="str">
        <f>_xlfn.XLOOKUP(Pipeline_tbl[[#This Row],[Rep_ID]],Dim_Reps!A:A,Dim_Reps!C:C)</f>
        <v>SDR / Inside Sales Rep</v>
      </c>
      <c r="Q4926" t="str">
        <f>_xlfn.XLOOKUP(Pipeline_tbl[[#This Row],[Rep_ID]],Dim_Reps!A:A,Dim_Reps!D:D)</f>
        <v>Inside Sales</v>
      </c>
      <c r="R4926" t="str">
        <f>_xlfn.XLOOKUP(Pipeline_tbl[[#This Row],[Rep_ID]],Dim_Reps!A:A,Dim_Reps!E:E)</f>
        <v>NAMER</v>
      </c>
      <c r="S4926" t="str">
        <f>_xlfn.XLOOKUP(Pipeline_tbl[[#This Row],[Created_Date]],Dim_Date!A:A,Dim_Date!H:H)</f>
        <v>Feb 2024</v>
      </c>
      <c r="T4926" t="str">
        <f>IF(Pipeline_tbl[[#This Row],[Closed_Date]]=0,"",(_xlfn.XLOOKUP(Pipeline_tbl[[#This Row],[Closed_Date]],Dim_Date!A:A,Dim_Date!H:H)))</f>
        <v>Feb 2024</v>
      </c>
      <c r="U4926">
        <f>IF(Pipeline_tbl[[#This Row],[Closed_Date]]=0,"",Pipeline_tbl[[#This Row],[Closed_Date]]-Pipeline_tbl[[#This Row],[Created_Date]])</f>
        <v>18</v>
      </c>
    </row>
    <row r="4927" spans="1:21" ht="15" customHeight="1" x14ac:dyDescent="0.2">
      <c r="A4927" t="s">
        <v>5233</v>
      </c>
      <c r="B4927" t="s">
        <v>229</v>
      </c>
      <c r="C4927" t="s">
        <v>55</v>
      </c>
      <c r="D4927" s="49">
        <v>45326</v>
      </c>
      <c r="E4927" s="49">
        <v>45328</v>
      </c>
      <c r="F4927" s="49">
        <v>45333</v>
      </c>
      <c r="G4927" s="49">
        <v>45339</v>
      </c>
      <c r="H4927" s="49">
        <v>45345</v>
      </c>
      <c r="I4927" s="49">
        <v>45348</v>
      </c>
      <c r="J4927" t="s">
        <v>47</v>
      </c>
      <c r="K4927" s="33">
        <v>3200</v>
      </c>
      <c r="M4927" t="str">
        <f>_xlfn.XLOOKUP(Pipeline_tbl[[#This Row],[Rep_ID]],Dim_Reps!A:A,Dim_Reps!K:K)</f>
        <v>USD</v>
      </c>
      <c r="N4927" s="33">
        <f>(_xlfn.XLOOKUP(Pipeline_tbl[[#This Row],[Rate_Code_Generalized]],Lookups!A:A,Lookups!B:B))*Pipeline_tbl[[#This Row],[Pipeline_Amount_USD]]</f>
        <v>3725.7599999999998</v>
      </c>
      <c r="O4927" t="str">
        <f>_xlfn.XLOOKUP(Pipeline_tbl[[#This Row],[Rep_ID]],Dim_Reps!A:A,Dim_Reps!B:B)</f>
        <v>Liam Castro</v>
      </c>
      <c r="P4927" t="str">
        <f>_xlfn.XLOOKUP(Pipeline_tbl[[#This Row],[Rep_ID]],Dim_Reps!A:A,Dim_Reps!C:C)</f>
        <v>SDR / Inside Sales Rep</v>
      </c>
      <c r="Q4927" t="str">
        <f>_xlfn.XLOOKUP(Pipeline_tbl[[#This Row],[Rep_ID]],Dim_Reps!A:A,Dim_Reps!D:D)</f>
        <v>Inside Sales</v>
      </c>
      <c r="R4927" t="str">
        <f>_xlfn.XLOOKUP(Pipeline_tbl[[#This Row],[Rep_ID]],Dim_Reps!A:A,Dim_Reps!E:E)</f>
        <v>NAMER</v>
      </c>
      <c r="S4927" t="str">
        <f>_xlfn.XLOOKUP(Pipeline_tbl[[#This Row],[Created_Date]],Dim_Date!A:A,Dim_Date!H:H)</f>
        <v>Feb 2024</v>
      </c>
      <c r="T4927" t="str">
        <f>IF(Pipeline_tbl[[#This Row],[Closed_Date]]=0,"",(_xlfn.XLOOKUP(Pipeline_tbl[[#This Row],[Closed_Date]],Dim_Date!A:A,Dim_Date!H:H)))</f>
        <v>Feb 2024</v>
      </c>
      <c r="U4927">
        <f>IF(Pipeline_tbl[[#This Row],[Closed_Date]]=0,"",Pipeline_tbl[[#This Row],[Closed_Date]]-Pipeline_tbl[[#This Row],[Created_Date]])</f>
        <v>22</v>
      </c>
    </row>
    <row r="4928" spans="1:21" ht="15" customHeight="1" x14ac:dyDescent="0.2">
      <c r="A4928" t="s">
        <v>5234</v>
      </c>
      <c r="B4928" t="s">
        <v>229</v>
      </c>
      <c r="C4928" t="s">
        <v>55</v>
      </c>
      <c r="D4928" s="49">
        <v>45326</v>
      </c>
      <c r="E4928" s="49">
        <v>45328</v>
      </c>
      <c r="F4928" s="49">
        <v>45332</v>
      </c>
      <c r="I4928" s="49">
        <v>45346</v>
      </c>
      <c r="J4928" t="s">
        <v>49</v>
      </c>
      <c r="K4928" s="33">
        <v>6600</v>
      </c>
      <c r="L4928" t="s">
        <v>64</v>
      </c>
      <c r="M4928" t="str">
        <f>_xlfn.XLOOKUP(Pipeline_tbl[[#This Row],[Rep_ID]],Dim_Reps!A:A,Dim_Reps!K:K)</f>
        <v>USD</v>
      </c>
      <c r="N4928" s="33">
        <f>(_xlfn.XLOOKUP(Pipeline_tbl[[#This Row],[Rate_Code_Generalized]],Lookups!A:A,Lookups!B:B))*Pipeline_tbl[[#This Row],[Pipeline_Amount_USD]]</f>
        <v>7684.3799999999992</v>
      </c>
      <c r="O4928" t="str">
        <f>_xlfn.XLOOKUP(Pipeline_tbl[[#This Row],[Rep_ID]],Dim_Reps!A:A,Dim_Reps!B:B)</f>
        <v>Liam Castro</v>
      </c>
      <c r="P4928" t="str">
        <f>_xlfn.XLOOKUP(Pipeline_tbl[[#This Row],[Rep_ID]],Dim_Reps!A:A,Dim_Reps!C:C)</f>
        <v>SDR / Inside Sales Rep</v>
      </c>
      <c r="Q4928" t="str">
        <f>_xlfn.XLOOKUP(Pipeline_tbl[[#This Row],[Rep_ID]],Dim_Reps!A:A,Dim_Reps!D:D)</f>
        <v>Inside Sales</v>
      </c>
      <c r="R4928" t="str">
        <f>_xlfn.XLOOKUP(Pipeline_tbl[[#This Row],[Rep_ID]],Dim_Reps!A:A,Dim_Reps!E:E)</f>
        <v>NAMER</v>
      </c>
      <c r="S4928" t="str">
        <f>_xlfn.XLOOKUP(Pipeline_tbl[[#This Row],[Created_Date]],Dim_Date!A:A,Dim_Date!H:H)</f>
        <v>Feb 2024</v>
      </c>
      <c r="T4928" t="str">
        <f>IF(Pipeline_tbl[[#This Row],[Closed_Date]]=0,"",(_xlfn.XLOOKUP(Pipeline_tbl[[#This Row],[Closed_Date]],Dim_Date!A:A,Dim_Date!H:H)))</f>
        <v>Feb 2024</v>
      </c>
      <c r="U4928">
        <f>IF(Pipeline_tbl[[#This Row],[Closed_Date]]=0,"",Pipeline_tbl[[#This Row],[Closed_Date]]-Pipeline_tbl[[#This Row],[Created_Date]])</f>
        <v>20</v>
      </c>
    </row>
    <row r="4929" spans="1:21" ht="15" customHeight="1" x14ac:dyDescent="0.2">
      <c r="A4929" t="s">
        <v>5235</v>
      </c>
      <c r="B4929" t="s">
        <v>229</v>
      </c>
      <c r="C4929" t="s">
        <v>52</v>
      </c>
      <c r="D4929" s="49">
        <v>45333</v>
      </c>
      <c r="E4929" s="49">
        <v>45335</v>
      </c>
      <c r="F4929" s="49">
        <v>45338</v>
      </c>
      <c r="G4929" s="49">
        <v>45342</v>
      </c>
      <c r="I4929" s="49">
        <v>45348</v>
      </c>
      <c r="J4929" t="s">
        <v>49</v>
      </c>
      <c r="K4929" s="33">
        <v>8500</v>
      </c>
      <c r="L4929" t="s">
        <v>63</v>
      </c>
      <c r="M4929" t="str">
        <f>_xlfn.XLOOKUP(Pipeline_tbl[[#This Row],[Rep_ID]],Dim_Reps!A:A,Dim_Reps!K:K)</f>
        <v>USD</v>
      </c>
      <c r="N4929" s="33">
        <f>(_xlfn.XLOOKUP(Pipeline_tbl[[#This Row],[Rate_Code_Generalized]],Lookups!A:A,Lookups!B:B))*Pipeline_tbl[[#This Row],[Pipeline_Amount_USD]]</f>
        <v>9896.5499999999993</v>
      </c>
      <c r="O4929" t="str">
        <f>_xlfn.XLOOKUP(Pipeline_tbl[[#This Row],[Rep_ID]],Dim_Reps!A:A,Dim_Reps!B:B)</f>
        <v>Liam Castro</v>
      </c>
      <c r="P4929" t="str">
        <f>_xlfn.XLOOKUP(Pipeline_tbl[[#This Row],[Rep_ID]],Dim_Reps!A:A,Dim_Reps!C:C)</f>
        <v>SDR / Inside Sales Rep</v>
      </c>
      <c r="Q4929" t="str">
        <f>_xlfn.XLOOKUP(Pipeline_tbl[[#This Row],[Rep_ID]],Dim_Reps!A:A,Dim_Reps!D:D)</f>
        <v>Inside Sales</v>
      </c>
      <c r="R4929" t="str">
        <f>_xlfn.XLOOKUP(Pipeline_tbl[[#This Row],[Rep_ID]],Dim_Reps!A:A,Dim_Reps!E:E)</f>
        <v>NAMER</v>
      </c>
      <c r="S4929" t="str">
        <f>_xlfn.XLOOKUP(Pipeline_tbl[[#This Row],[Created_Date]],Dim_Date!A:A,Dim_Date!H:H)</f>
        <v>Feb 2024</v>
      </c>
      <c r="T4929" t="str">
        <f>IF(Pipeline_tbl[[#This Row],[Closed_Date]]=0,"",(_xlfn.XLOOKUP(Pipeline_tbl[[#This Row],[Closed_Date]],Dim_Date!A:A,Dim_Date!H:H)))</f>
        <v>Feb 2024</v>
      </c>
      <c r="U4929">
        <f>IF(Pipeline_tbl[[#This Row],[Closed_Date]]=0,"",Pipeline_tbl[[#This Row],[Closed_Date]]-Pipeline_tbl[[#This Row],[Created_Date]])</f>
        <v>15</v>
      </c>
    </row>
    <row r="4930" spans="1:21" ht="15" customHeight="1" x14ac:dyDescent="0.2">
      <c r="A4930" t="s">
        <v>5236</v>
      </c>
      <c r="B4930" t="s">
        <v>229</v>
      </c>
      <c r="C4930" t="s">
        <v>53</v>
      </c>
      <c r="D4930" s="49">
        <v>45327</v>
      </c>
      <c r="E4930" s="49">
        <v>45329</v>
      </c>
      <c r="F4930" s="49">
        <v>45332</v>
      </c>
      <c r="G4930" s="49">
        <v>45338</v>
      </c>
      <c r="H4930" s="49">
        <v>45342</v>
      </c>
      <c r="I4930" s="49">
        <v>45345</v>
      </c>
      <c r="J4930" t="s">
        <v>47</v>
      </c>
      <c r="K4930" s="33">
        <v>2600</v>
      </c>
      <c r="M4930" t="str">
        <f>_xlfn.XLOOKUP(Pipeline_tbl[[#This Row],[Rep_ID]],Dim_Reps!A:A,Dim_Reps!K:K)</f>
        <v>USD</v>
      </c>
      <c r="N4930" s="33">
        <f>(_xlfn.XLOOKUP(Pipeline_tbl[[#This Row],[Rate_Code_Generalized]],Lookups!A:A,Lookups!B:B))*Pipeline_tbl[[#This Row],[Pipeline_Amount_USD]]</f>
        <v>3027.18</v>
      </c>
      <c r="O4930" t="str">
        <f>_xlfn.XLOOKUP(Pipeline_tbl[[#This Row],[Rep_ID]],Dim_Reps!A:A,Dim_Reps!B:B)</f>
        <v>Liam Castro</v>
      </c>
      <c r="P4930" t="str">
        <f>_xlfn.XLOOKUP(Pipeline_tbl[[#This Row],[Rep_ID]],Dim_Reps!A:A,Dim_Reps!C:C)</f>
        <v>SDR / Inside Sales Rep</v>
      </c>
      <c r="Q4930" t="str">
        <f>_xlfn.XLOOKUP(Pipeline_tbl[[#This Row],[Rep_ID]],Dim_Reps!A:A,Dim_Reps!D:D)</f>
        <v>Inside Sales</v>
      </c>
      <c r="R4930" t="str">
        <f>_xlfn.XLOOKUP(Pipeline_tbl[[#This Row],[Rep_ID]],Dim_Reps!A:A,Dim_Reps!E:E)</f>
        <v>NAMER</v>
      </c>
      <c r="S4930" t="str">
        <f>_xlfn.XLOOKUP(Pipeline_tbl[[#This Row],[Created_Date]],Dim_Date!A:A,Dim_Date!H:H)</f>
        <v>Feb 2024</v>
      </c>
      <c r="T4930" t="str">
        <f>IF(Pipeline_tbl[[#This Row],[Closed_Date]]=0,"",(_xlfn.XLOOKUP(Pipeline_tbl[[#This Row],[Closed_Date]],Dim_Date!A:A,Dim_Date!H:H)))</f>
        <v>Feb 2024</v>
      </c>
      <c r="U4930">
        <f>IF(Pipeline_tbl[[#This Row],[Closed_Date]]=0,"",Pipeline_tbl[[#This Row],[Closed_Date]]-Pipeline_tbl[[#This Row],[Created_Date]])</f>
        <v>18</v>
      </c>
    </row>
    <row r="4931" spans="1:21" ht="15" customHeight="1" x14ac:dyDescent="0.2">
      <c r="A4931" t="s">
        <v>5237</v>
      </c>
      <c r="B4931" t="s">
        <v>231</v>
      </c>
      <c r="C4931" t="s">
        <v>52</v>
      </c>
      <c r="D4931" s="49">
        <v>45323</v>
      </c>
      <c r="E4931" s="49">
        <v>45324</v>
      </c>
      <c r="F4931" s="49">
        <v>45326</v>
      </c>
      <c r="G4931" s="49">
        <v>45330</v>
      </c>
      <c r="H4931" s="49">
        <v>45332</v>
      </c>
      <c r="I4931" s="49">
        <v>45334</v>
      </c>
      <c r="J4931" t="s">
        <v>47</v>
      </c>
      <c r="K4931" s="33">
        <v>1700</v>
      </c>
      <c r="M4931" t="str">
        <f>_xlfn.XLOOKUP(Pipeline_tbl[[#This Row],[Rep_ID]],Dim_Reps!A:A,Dim_Reps!K:K)</f>
        <v>MXN</v>
      </c>
      <c r="N4931" s="33">
        <f>(_xlfn.XLOOKUP(Pipeline_tbl[[#This Row],[Rate_Code_Generalized]],Lookups!A:A,Lookups!B:B))*Pipeline_tbl[[#This Row],[Pipeline_Amount_USD]]</f>
        <v>33545.590000000004</v>
      </c>
      <c r="O4931" t="str">
        <f>_xlfn.XLOOKUP(Pipeline_tbl[[#This Row],[Rep_ID]],Dim_Reps!A:A,Dim_Reps!B:B)</f>
        <v>Ben Silva</v>
      </c>
      <c r="P4931" t="str">
        <f>_xlfn.XLOOKUP(Pipeline_tbl[[#This Row],[Rep_ID]],Dim_Reps!A:A,Dim_Reps!C:C)</f>
        <v>SDR / Inside Sales Rep</v>
      </c>
      <c r="Q4931" t="str">
        <f>_xlfn.XLOOKUP(Pipeline_tbl[[#This Row],[Rep_ID]],Dim_Reps!A:A,Dim_Reps!D:D)</f>
        <v>Inside Sales</v>
      </c>
      <c r="R4931" t="str">
        <f>_xlfn.XLOOKUP(Pipeline_tbl[[#This Row],[Rep_ID]],Dim_Reps!A:A,Dim_Reps!E:E)</f>
        <v>LATAM</v>
      </c>
      <c r="S4931" t="str">
        <f>_xlfn.XLOOKUP(Pipeline_tbl[[#This Row],[Created_Date]],Dim_Date!A:A,Dim_Date!H:H)</f>
        <v>Feb 2024</v>
      </c>
      <c r="T4931" t="str">
        <f>IF(Pipeline_tbl[[#This Row],[Closed_Date]]=0,"",(_xlfn.XLOOKUP(Pipeline_tbl[[#This Row],[Closed_Date]],Dim_Date!A:A,Dim_Date!H:H)))</f>
        <v>Feb 2024</v>
      </c>
      <c r="U4931">
        <f>IF(Pipeline_tbl[[#This Row],[Closed_Date]]=0,"",Pipeline_tbl[[#This Row],[Closed_Date]]-Pipeline_tbl[[#This Row],[Created_Date]])</f>
        <v>11</v>
      </c>
    </row>
    <row r="4932" spans="1:21" ht="15" customHeight="1" x14ac:dyDescent="0.2">
      <c r="A4932" t="s">
        <v>5238</v>
      </c>
      <c r="B4932" t="s">
        <v>231</v>
      </c>
      <c r="C4932" t="s">
        <v>55</v>
      </c>
      <c r="D4932" s="49">
        <v>45324</v>
      </c>
      <c r="E4932" s="49">
        <v>45326</v>
      </c>
      <c r="F4932" s="49">
        <v>45330</v>
      </c>
      <c r="G4932" s="49">
        <v>45336</v>
      </c>
      <c r="H4932" s="49">
        <v>45341</v>
      </c>
      <c r="I4932" s="49">
        <v>45344</v>
      </c>
      <c r="J4932" t="s">
        <v>47</v>
      </c>
      <c r="K4932" s="33">
        <v>6200</v>
      </c>
      <c r="M4932" t="str">
        <f>_xlfn.XLOOKUP(Pipeline_tbl[[#This Row],[Rep_ID]],Dim_Reps!A:A,Dim_Reps!K:K)</f>
        <v>MXN</v>
      </c>
      <c r="N4932" s="33">
        <f>(_xlfn.XLOOKUP(Pipeline_tbl[[#This Row],[Rate_Code_Generalized]],Lookups!A:A,Lookups!B:B))*Pipeline_tbl[[#This Row],[Pipeline_Amount_USD]]</f>
        <v>122342.74</v>
      </c>
      <c r="O4932" t="str">
        <f>_xlfn.XLOOKUP(Pipeline_tbl[[#This Row],[Rep_ID]],Dim_Reps!A:A,Dim_Reps!B:B)</f>
        <v>Ben Silva</v>
      </c>
      <c r="P4932" t="str">
        <f>_xlfn.XLOOKUP(Pipeline_tbl[[#This Row],[Rep_ID]],Dim_Reps!A:A,Dim_Reps!C:C)</f>
        <v>SDR / Inside Sales Rep</v>
      </c>
      <c r="Q4932" t="str">
        <f>_xlfn.XLOOKUP(Pipeline_tbl[[#This Row],[Rep_ID]],Dim_Reps!A:A,Dim_Reps!D:D)</f>
        <v>Inside Sales</v>
      </c>
      <c r="R4932" t="str">
        <f>_xlfn.XLOOKUP(Pipeline_tbl[[#This Row],[Rep_ID]],Dim_Reps!A:A,Dim_Reps!E:E)</f>
        <v>LATAM</v>
      </c>
      <c r="S4932" t="str">
        <f>_xlfn.XLOOKUP(Pipeline_tbl[[#This Row],[Created_Date]],Dim_Date!A:A,Dim_Date!H:H)</f>
        <v>Feb 2024</v>
      </c>
      <c r="T4932" t="str">
        <f>IF(Pipeline_tbl[[#This Row],[Closed_Date]]=0,"",(_xlfn.XLOOKUP(Pipeline_tbl[[#This Row],[Closed_Date]],Dim_Date!A:A,Dim_Date!H:H)))</f>
        <v>Feb 2024</v>
      </c>
      <c r="U4932">
        <f>IF(Pipeline_tbl[[#This Row],[Closed_Date]]=0,"",Pipeline_tbl[[#This Row],[Closed_Date]]-Pipeline_tbl[[#This Row],[Created_Date]])</f>
        <v>20</v>
      </c>
    </row>
    <row r="4933" spans="1:21" ht="15" customHeight="1" x14ac:dyDescent="0.2">
      <c r="A4933" t="s">
        <v>5239</v>
      </c>
      <c r="B4933" t="s">
        <v>231</v>
      </c>
      <c r="C4933" t="s">
        <v>54</v>
      </c>
      <c r="D4933" s="49">
        <v>45323</v>
      </c>
      <c r="E4933" s="49">
        <v>45325</v>
      </c>
      <c r="F4933" s="49">
        <v>45328</v>
      </c>
      <c r="G4933" s="49">
        <v>45333</v>
      </c>
      <c r="H4933" s="49">
        <v>45337</v>
      </c>
      <c r="I4933" s="49">
        <v>45340</v>
      </c>
      <c r="J4933" t="s">
        <v>49</v>
      </c>
      <c r="K4933" s="33">
        <v>3300</v>
      </c>
      <c r="L4933" t="s">
        <v>60</v>
      </c>
      <c r="M4933" t="str">
        <f>_xlfn.XLOOKUP(Pipeline_tbl[[#This Row],[Rep_ID]],Dim_Reps!A:A,Dim_Reps!K:K)</f>
        <v>MXN</v>
      </c>
      <c r="N4933" s="33">
        <f>(_xlfn.XLOOKUP(Pipeline_tbl[[#This Row],[Rate_Code_Generalized]],Lookups!A:A,Lookups!B:B))*Pipeline_tbl[[#This Row],[Pipeline_Amount_USD]]</f>
        <v>65117.91</v>
      </c>
      <c r="O4933" t="str">
        <f>_xlfn.XLOOKUP(Pipeline_tbl[[#This Row],[Rep_ID]],Dim_Reps!A:A,Dim_Reps!B:B)</f>
        <v>Ben Silva</v>
      </c>
      <c r="P4933" t="str">
        <f>_xlfn.XLOOKUP(Pipeline_tbl[[#This Row],[Rep_ID]],Dim_Reps!A:A,Dim_Reps!C:C)</f>
        <v>SDR / Inside Sales Rep</v>
      </c>
      <c r="Q4933" t="str">
        <f>_xlfn.XLOOKUP(Pipeline_tbl[[#This Row],[Rep_ID]],Dim_Reps!A:A,Dim_Reps!D:D)</f>
        <v>Inside Sales</v>
      </c>
      <c r="R4933" t="str">
        <f>_xlfn.XLOOKUP(Pipeline_tbl[[#This Row],[Rep_ID]],Dim_Reps!A:A,Dim_Reps!E:E)</f>
        <v>LATAM</v>
      </c>
      <c r="S4933" t="str">
        <f>_xlfn.XLOOKUP(Pipeline_tbl[[#This Row],[Created_Date]],Dim_Date!A:A,Dim_Date!H:H)</f>
        <v>Feb 2024</v>
      </c>
      <c r="T4933" t="str">
        <f>IF(Pipeline_tbl[[#This Row],[Closed_Date]]=0,"",(_xlfn.XLOOKUP(Pipeline_tbl[[#This Row],[Closed_Date]],Dim_Date!A:A,Dim_Date!H:H)))</f>
        <v>Feb 2024</v>
      </c>
      <c r="U4933">
        <f>IF(Pipeline_tbl[[#This Row],[Closed_Date]]=0,"",Pipeline_tbl[[#This Row],[Closed_Date]]-Pipeline_tbl[[#This Row],[Created_Date]])</f>
        <v>17</v>
      </c>
    </row>
    <row r="4934" spans="1:21" ht="15" customHeight="1" x14ac:dyDescent="0.2">
      <c r="A4934" t="s">
        <v>5240</v>
      </c>
      <c r="B4934" t="s">
        <v>231</v>
      </c>
      <c r="C4934" t="s">
        <v>53</v>
      </c>
      <c r="D4934" s="49">
        <v>45330</v>
      </c>
      <c r="E4934" s="49">
        <v>45332</v>
      </c>
      <c r="F4934" s="49">
        <v>45335</v>
      </c>
      <c r="G4934" s="49">
        <v>45340</v>
      </c>
      <c r="H4934" s="49">
        <v>45344</v>
      </c>
      <c r="I4934" s="49">
        <v>45346</v>
      </c>
      <c r="J4934" t="s">
        <v>49</v>
      </c>
      <c r="K4934" s="33">
        <v>2600</v>
      </c>
      <c r="L4934" t="s">
        <v>60</v>
      </c>
      <c r="M4934" t="str">
        <f>_xlfn.XLOOKUP(Pipeline_tbl[[#This Row],[Rep_ID]],Dim_Reps!A:A,Dim_Reps!K:K)</f>
        <v>MXN</v>
      </c>
      <c r="N4934" s="33">
        <f>(_xlfn.XLOOKUP(Pipeline_tbl[[#This Row],[Rate_Code_Generalized]],Lookups!A:A,Lookups!B:B))*Pipeline_tbl[[#This Row],[Pipeline_Amount_USD]]</f>
        <v>51305.020000000004</v>
      </c>
      <c r="O4934" t="str">
        <f>_xlfn.XLOOKUP(Pipeline_tbl[[#This Row],[Rep_ID]],Dim_Reps!A:A,Dim_Reps!B:B)</f>
        <v>Ben Silva</v>
      </c>
      <c r="P4934" t="str">
        <f>_xlfn.XLOOKUP(Pipeline_tbl[[#This Row],[Rep_ID]],Dim_Reps!A:A,Dim_Reps!C:C)</f>
        <v>SDR / Inside Sales Rep</v>
      </c>
      <c r="Q4934" t="str">
        <f>_xlfn.XLOOKUP(Pipeline_tbl[[#This Row],[Rep_ID]],Dim_Reps!A:A,Dim_Reps!D:D)</f>
        <v>Inside Sales</v>
      </c>
      <c r="R4934" t="str">
        <f>_xlfn.XLOOKUP(Pipeline_tbl[[#This Row],[Rep_ID]],Dim_Reps!A:A,Dim_Reps!E:E)</f>
        <v>LATAM</v>
      </c>
      <c r="S4934" t="str">
        <f>_xlfn.XLOOKUP(Pipeline_tbl[[#This Row],[Created_Date]],Dim_Date!A:A,Dim_Date!H:H)</f>
        <v>Feb 2024</v>
      </c>
      <c r="T4934" t="str">
        <f>IF(Pipeline_tbl[[#This Row],[Closed_Date]]=0,"",(_xlfn.XLOOKUP(Pipeline_tbl[[#This Row],[Closed_Date]],Dim_Date!A:A,Dim_Date!H:H)))</f>
        <v>Feb 2024</v>
      </c>
      <c r="U4934">
        <f>IF(Pipeline_tbl[[#This Row],[Closed_Date]]=0,"",Pipeline_tbl[[#This Row],[Closed_Date]]-Pipeline_tbl[[#This Row],[Created_Date]])</f>
        <v>16</v>
      </c>
    </row>
    <row r="4935" spans="1:21" ht="15" customHeight="1" x14ac:dyDescent="0.2">
      <c r="A4935" t="s">
        <v>5241</v>
      </c>
      <c r="B4935" t="s">
        <v>231</v>
      </c>
      <c r="C4935" t="s">
        <v>55</v>
      </c>
      <c r="D4935" s="49">
        <v>45324</v>
      </c>
      <c r="E4935" s="49">
        <v>45326</v>
      </c>
      <c r="F4935" s="49">
        <v>45329</v>
      </c>
      <c r="I4935" s="49">
        <v>45342</v>
      </c>
      <c r="J4935" t="s">
        <v>49</v>
      </c>
      <c r="K4935" s="33">
        <v>2100</v>
      </c>
      <c r="L4935" t="s">
        <v>61</v>
      </c>
      <c r="M4935" t="str">
        <f>_xlfn.XLOOKUP(Pipeline_tbl[[#This Row],[Rep_ID]],Dim_Reps!A:A,Dim_Reps!K:K)</f>
        <v>MXN</v>
      </c>
      <c r="N4935" s="33">
        <f>(_xlfn.XLOOKUP(Pipeline_tbl[[#This Row],[Rate_Code_Generalized]],Lookups!A:A,Lookups!B:B))*Pipeline_tbl[[#This Row],[Pipeline_Amount_USD]]</f>
        <v>41438.670000000006</v>
      </c>
      <c r="O4935" t="str">
        <f>_xlfn.XLOOKUP(Pipeline_tbl[[#This Row],[Rep_ID]],Dim_Reps!A:A,Dim_Reps!B:B)</f>
        <v>Ben Silva</v>
      </c>
      <c r="P4935" t="str">
        <f>_xlfn.XLOOKUP(Pipeline_tbl[[#This Row],[Rep_ID]],Dim_Reps!A:A,Dim_Reps!C:C)</f>
        <v>SDR / Inside Sales Rep</v>
      </c>
      <c r="Q4935" t="str">
        <f>_xlfn.XLOOKUP(Pipeline_tbl[[#This Row],[Rep_ID]],Dim_Reps!A:A,Dim_Reps!D:D)</f>
        <v>Inside Sales</v>
      </c>
      <c r="R4935" t="str">
        <f>_xlfn.XLOOKUP(Pipeline_tbl[[#This Row],[Rep_ID]],Dim_Reps!A:A,Dim_Reps!E:E)</f>
        <v>LATAM</v>
      </c>
      <c r="S4935" t="str">
        <f>_xlfn.XLOOKUP(Pipeline_tbl[[#This Row],[Created_Date]],Dim_Date!A:A,Dim_Date!H:H)</f>
        <v>Feb 2024</v>
      </c>
      <c r="T4935" t="str">
        <f>IF(Pipeline_tbl[[#This Row],[Closed_Date]]=0,"",(_xlfn.XLOOKUP(Pipeline_tbl[[#This Row],[Closed_Date]],Dim_Date!A:A,Dim_Date!H:H)))</f>
        <v>Feb 2024</v>
      </c>
      <c r="U4935">
        <f>IF(Pipeline_tbl[[#This Row],[Closed_Date]]=0,"",Pipeline_tbl[[#This Row],[Closed_Date]]-Pipeline_tbl[[#This Row],[Created_Date]])</f>
        <v>18</v>
      </c>
    </row>
    <row r="4936" spans="1:21" ht="15" customHeight="1" x14ac:dyDescent="0.2">
      <c r="A4936" t="s">
        <v>5242</v>
      </c>
      <c r="B4936" t="s">
        <v>265</v>
      </c>
      <c r="C4936" t="s">
        <v>55</v>
      </c>
      <c r="D4936" s="49">
        <v>45324</v>
      </c>
      <c r="E4936" s="49">
        <v>45326</v>
      </c>
      <c r="F4936" s="49">
        <v>45331</v>
      </c>
      <c r="G4936" s="49">
        <v>45337</v>
      </c>
      <c r="H4936" s="49">
        <v>45343</v>
      </c>
      <c r="I4936" s="49">
        <v>45346</v>
      </c>
      <c r="J4936" t="s">
        <v>47</v>
      </c>
      <c r="K4936" s="33">
        <v>10100</v>
      </c>
      <c r="M4936" t="str">
        <f>_xlfn.XLOOKUP(Pipeline_tbl[[#This Row],[Rep_ID]],Dim_Reps!A:A,Dim_Reps!K:K)</f>
        <v>EUR</v>
      </c>
      <c r="N4936" s="33">
        <f>(_xlfn.XLOOKUP(Pipeline_tbl[[#This Row],[Rate_Code_Generalized]],Lookups!A:A,Lookups!B:B))*Pipeline_tbl[[#This Row],[Pipeline_Amount_USD]]</f>
        <v>10100</v>
      </c>
      <c r="O4936" t="str">
        <f>_xlfn.XLOOKUP(Pipeline_tbl[[#This Row],[Rep_ID]],Dim_Reps!A:A,Dim_Reps!B:B)</f>
        <v>Erik Duarte</v>
      </c>
      <c r="P4936" t="str">
        <f>_xlfn.XLOOKUP(Pipeline_tbl[[#This Row],[Rep_ID]],Dim_Reps!A:A,Dim_Reps!C:C)</f>
        <v>Mid-Market AE</v>
      </c>
      <c r="Q4936" t="str">
        <f>_xlfn.XLOOKUP(Pipeline_tbl[[#This Row],[Rep_ID]],Dim_Reps!A:A,Dim_Reps!D:D)</f>
        <v>Mid-Market</v>
      </c>
      <c r="R4936" t="str">
        <f>_xlfn.XLOOKUP(Pipeline_tbl[[#This Row],[Rep_ID]],Dim_Reps!A:A,Dim_Reps!E:E)</f>
        <v>EMEA</v>
      </c>
      <c r="S4936" t="str">
        <f>_xlfn.XLOOKUP(Pipeline_tbl[[#This Row],[Created_Date]],Dim_Date!A:A,Dim_Date!H:H)</f>
        <v>Feb 2024</v>
      </c>
      <c r="T4936" t="str">
        <f>IF(Pipeline_tbl[[#This Row],[Closed_Date]]=0,"",(_xlfn.XLOOKUP(Pipeline_tbl[[#This Row],[Closed_Date]],Dim_Date!A:A,Dim_Date!H:H)))</f>
        <v>Feb 2024</v>
      </c>
      <c r="U4936">
        <f>IF(Pipeline_tbl[[#This Row],[Closed_Date]]=0,"",Pipeline_tbl[[#This Row],[Closed_Date]]-Pipeline_tbl[[#This Row],[Created_Date]])</f>
        <v>22</v>
      </c>
    </row>
    <row r="4937" spans="1:21" ht="15" customHeight="1" x14ac:dyDescent="0.2">
      <c r="A4937" t="s">
        <v>5243</v>
      </c>
      <c r="B4937" t="s">
        <v>233</v>
      </c>
      <c r="C4937" t="s">
        <v>54</v>
      </c>
      <c r="D4937" s="49">
        <v>45328</v>
      </c>
      <c r="E4937" s="49">
        <v>45330</v>
      </c>
      <c r="F4937" s="49">
        <v>45333</v>
      </c>
      <c r="G4937" s="49">
        <v>45338</v>
      </c>
      <c r="H4937" s="49">
        <v>45342</v>
      </c>
      <c r="I4937" s="49">
        <v>45344</v>
      </c>
      <c r="J4937" t="s">
        <v>47</v>
      </c>
      <c r="K4937" s="33">
        <v>4600</v>
      </c>
      <c r="M4937" t="str">
        <f>_xlfn.XLOOKUP(Pipeline_tbl[[#This Row],[Rep_ID]],Dim_Reps!A:A,Dim_Reps!K:K)</f>
        <v>MXN</v>
      </c>
      <c r="N4937" s="33">
        <f>(_xlfn.XLOOKUP(Pipeline_tbl[[#This Row],[Rate_Code_Generalized]],Lookups!A:A,Lookups!B:B))*Pipeline_tbl[[#This Row],[Pipeline_Amount_USD]]</f>
        <v>90770.420000000013</v>
      </c>
      <c r="O4937" t="str">
        <f>_xlfn.XLOOKUP(Pipeline_tbl[[#This Row],[Rep_ID]],Dim_Reps!A:A,Dim_Reps!B:B)</f>
        <v>Lucas Duarte</v>
      </c>
      <c r="P4937" t="str">
        <f>_xlfn.XLOOKUP(Pipeline_tbl[[#This Row],[Rep_ID]],Dim_Reps!A:A,Dim_Reps!C:C)</f>
        <v>SDR / Inside Sales Rep</v>
      </c>
      <c r="Q4937" t="str">
        <f>_xlfn.XLOOKUP(Pipeline_tbl[[#This Row],[Rep_ID]],Dim_Reps!A:A,Dim_Reps!D:D)</f>
        <v>Inside Sales</v>
      </c>
      <c r="R4937" t="str">
        <f>_xlfn.XLOOKUP(Pipeline_tbl[[#This Row],[Rep_ID]],Dim_Reps!A:A,Dim_Reps!E:E)</f>
        <v>LATAM</v>
      </c>
      <c r="S4937" t="str">
        <f>_xlfn.XLOOKUP(Pipeline_tbl[[#This Row],[Created_Date]],Dim_Date!A:A,Dim_Date!H:H)</f>
        <v>Feb 2024</v>
      </c>
      <c r="T4937" t="str">
        <f>IF(Pipeline_tbl[[#This Row],[Closed_Date]]=0,"",(_xlfn.XLOOKUP(Pipeline_tbl[[#This Row],[Closed_Date]],Dim_Date!A:A,Dim_Date!H:H)))</f>
        <v>Feb 2024</v>
      </c>
      <c r="U4937">
        <f>IF(Pipeline_tbl[[#This Row],[Closed_Date]]=0,"",Pipeline_tbl[[#This Row],[Closed_Date]]-Pipeline_tbl[[#This Row],[Created_Date]])</f>
        <v>16</v>
      </c>
    </row>
    <row r="4938" spans="1:21" ht="15" customHeight="1" x14ac:dyDescent="0.2">
      <c r="A4938" t="s">
        <v>5244</v>
      </c>
      <c r="B4938" t="s">
        <v>233</v>
      </c>
      <c r="C4938" t="s">
        <v>53</v>
      </c>
      <c r="D4938" s="49">
        <v>45325</v>
      </c>
      <c r="E4938" s="49">
        <v>45327</v>
      </c>
      <c r="F4938" s="49">
        <v>45330</v>
      </c>
      <c r="G4938" s="49">
        <v>45334</v>
      </c>
      <c r="H4938" s="49">
        <v>45338</v>
      </c>
      <c r="I4938" s="49">
        <v>45340</v>
      </c>
      <c r="J4938" t="s">
        <v>47</v>
      </c>
      <c r="K4938" s="33">
        <v>3300</v>
      </c>
      <c r="M4938" t="str">
        <f>_xlfn.XLOOKUP(Pipeline_tbl[[#This Row],[Rep_ID]],Dim_Reps!A:A,Dim_Reps!K:K)</f>
        <v>MXN</v>
      </c>
      <c r="N4938" s="33">
        <f>(_xlfn.XLOOKUP(Pipeline_tbl[[#This Row],[Rate_Code_Generalized]],Lookups!A:A,Lookups!B:B))*Pipeline_tbl[[#This Row],[Pipeline_Amount_USD]]</f>
        <v>65117.91</v>
      </c>
      <c r="O4938" t="str">
        <f>_xlfn.XLOOKUP(Pipeline_tbl[[#This Row],[Rep_ID]],Dim_Reps!A:A,Dim_Reps!B:B)</f>
        <v>Lucas Duarte</v>
      </c>
      <c r="P4938" t="str">
        <f>_xlfn.XLOOKUP(Pipeline_tbl[[#This Row],[Rep_ID]],Dim_Reps!A:A,Dim_Reps!C:C)</f>
        <v>SDR / Inside Sales Rep</v>
      </c>
      <c r="Q4938" t="str">
        <f>_xlfn.XLOOKUP(Pipeline_tbl[[#This Row],[Rep_ID]],Dim_Reps!A:A,Dim_Reps!D:D)</f>
        <v>Inside Sales</v>
      </c>
      <c r="R4938" t="str">
        <f>_xlfn.XLOOKUP(Pipeline_tbl[[#This Row],[Rep_ID]],Dim_Reps!A:A,Dim_Reps!E:E)</f>
        <v>LATAM</v>
      </c>
      <c r="S4938" t="str">
        <f>_xlfn.XLOOKUP(Pipeline_tbl[[#This Row],[Created_Date]],Dim_Date!A:A,Dim_Date!H:H)</f>
        <v>Feb 2024</v>
      </c>
      <c r="T4938" t="str">
        <f>IF(Pipeline_tbl[[#This Row],[Closed_Date]]=0,"",(_xlfn.XLOOKUP(Pipeline_tbl[[#This Row],[Closed_Date]],Dim_Date!A:A,Dim_Date!H:H)))</f>
        <v>Feb 2024</v>
      </c>
      <c r="U4938">
        <f>IF(Pipeline_tbl[[#This Row],[Closed_Date]]=0,"",Pipeline_tbl[[#This Row],[Closed_Date]]-Pipeline_tbl[[#This Row],[Created_Date]])</f>
        <v>15</v>
      </c>
    </row>
    <row r="4939" spans="1:21" ht="15" customHeight="1" x14ac:dyDescent="0.2">
      <c r="A4939" t="s">
        <v>5245</v>
      </c>
      <c r="B4939" t="s">
        <v>235</v>
      </c>
      <c r="C4939" t="s">
        <v>52</v>
      </c>
      <c r="D4939" s="49">
        <v>45339</v>
      </c>
      <c r="E4939" s="49">
        <v>45340</v>
      </c>
      <c r="F4939" s="49">
        <v>45342</v>
      </c>
      <c r="G4939" s="49">
        <v>45346</v>
      </c>
      <c r="H4939" s="49">
        <v>45348</v>
      </c>
      <c r="I4939" s="49">
        <v>45350</v>
      </c>
      <c r="J4939" t="s">
        <v>49</v>
      </c>
      <c r="K4939" s="33">
        <v>2300</v>
      </c>
      <c r="L4939" t="s">
        <v>60</v>
      </c>
      <c r="M4939" t="str">
        <f>_xlfn.XLOOKUP(Pipeline_tbl[[#This Row],[Rep_ID]],Dim_Reps!A:A,Dim_Reps!K:K)</f>
        <v>MXN</v>
      </c>
      <c r="N4939" s="33">
        <f>(_xlfn.XLOOKUP(Pipeline_tbl[[#This Row],[Rate_Code_Generalized]],Lookups!A:A,Lookups!B:B))*Pipeline_tbl[[#This Row],[Pipeline_Amount_USD]]</f>
        <v>45385.210000000006</v>
      </c>
      <c r="O4939" t="str">
        <f>_xlfn.XLOOKUP(Pipeline_tbl[[#This Row],[Rep_ID]],Dim_Reps!A:A,Dim_Reps!B:B)</f>
        <v>Milo Castro</v>
      </c>
      <c r="P4939" t="str">
        <f>_xlfn.XLOOKUP(Pipeline_tbl[[#This Row],[Rep_ID]],Dim_Reps!A:A,Dim_Reps!C:C)</f>
        <v>SDR / Inside Sales Rep</v>
      </c>
      <c r="Q4939" t="str">
        <f>_xlfn.XLOOKUP(Pipeline_tbl[[#This Row],[Rep_ID]],Dim_Reps!A:A,Dim_Reps!D:D)</f>
        <v>Inside Sales</v>
      </c>
      <c r="R4939" t="str">
        <f>_xlfn.XLOOKUP(Pipeline_tbl[[#This Row],[Rep_ID]],Dim_Reps!A:A,Dim_Reps!E:E)</f>
        <v>LATAM</v>
      </c>
      <c r="S4939" t="str">
        <f>_xlfn.XLOOKUP(Pipeline_tbl[[#This Row],[Created_Date]],Dim_Date!A:A,Dim_Date!H:H)</f>
        <v>Feb 2024</v>
      </c>
      <c r="T4939" t="str">
        <f>IF(Pipeline_tbl[[#This Row],[Closed_Date]]=0,"",(_xlfn.XLOOKUP(Pipeline_tbl[[#This Row],[Closed_Date]],Dim_Date!A:A,Dim_Date!H:H)))</f>
        <v>Feb 2024</v>
      </c>
      <c r="U4939">
        <f>IF(Pipeline_tbl[[#This Row],[Closed_Date]]=0,"",Pipeline_tbl[[#This Row],[Closed_Date]]-Pipeline_tbl[[#This Row],[Created_Date]])</f>
        <v>11</v>
      </c>
    </row>
    <row r="4940" spans="1:21" ht="15" customHeight="1" x14ac:dyDescent="0.2">
      <c r="A4940" t="s">
        <v>5246</v>
      </c>
      <c r="B4940" t="s">
        <v>235</v>
      </c>
      <c r="C4940" t="s">
        <v>52</v>
      </c>
      <c r="D4940" s="49">
        <v>45323</v>
      </c>
      <c r="E4940" s="49">
        <v>45325</v>
      </c>
      <c r="F4940" s="49">
        <v>45329</v>
      </c>
      <c r="G4940" s="49">
        <v>45336</v>
      </c>
      <c r="H4940" s="49">
        <v>45341</v>
      </c>
      <c r="I4940" s="49">
        <v>45344</v>
      </c>
      <c r="J4940" t="s">
        <v>47</v>
      </c>
      <c r="K4940" s="33">
        <v>3400</v>
      </c>
      <c r="M4940" t="str">
        <f>_xlfn.XLOOKUP(Pipeline_tbl[[#This Row],[Rep_ID]],Dim_Reps!A:A,Dim_Reps!K:K)</f>
        <v>MXN</v>
      </c>
      <c r="N4940" s="33">
        <f>(_xlfn.XLOOKUP(Pipeline_tbl[[#This Row],[Rate_Code_Generalized]],Lookups!A:A,Lookups!B:B))*Pipeline_tbl[[#This Row],[Pipeline_Amount_USD]]</f>
        <v>67091.180000000008</v>
      </c>
      <c r="O4940" t="str">
        <f>_xlfn.XLOOKUP(Pipeline_tbl[[#This Row],[Rep_ID]],Dim_Reps!A:A,Dim_Reps!B:B)</f>
        <v>Milo Castro</v>
      </c>
      <c r="P4940" t="str">
        <f>_xlfn.XLOOKUP(Pipeline_tbl[[#This Row],[Rep_ID]],Dim_Reps!A:A,Dim_Reps!C:C)</f>
        <v>SDR / Inside Sales Rep</v>
      </c>
      <c r="Q4940" t="str">
        <f>_xlfn.XLOOKUP(Pipeline_tbl[[#This Row],[Rep_ID]],Dim_Reps!A:A,Dim_Reps!D:D)</f>
        <v>Inside Sales</v>
      </c>
      <c r="R4940" t="str">
        <f>_xlfn.XLOOKUP(Pipeline_tbl[[#This Row],[Rep_ID]],Dim_Reps!A:A,Dim_Reps!E:E)</f>
        <v>LATAM</v>
      </c>
      <c r="S4940" t="str">
        <f>_xlfn.XLOOKUP(Pipeline_tbl[[#This Row],[Created_Date]],Dim_Date!A:A,Dim_Date!H:H)</f>
        <v>Feb 2024</v>
      </c>
      <c r="T4940" t="str">
        <f>IF(Pipeline_tbl[[#This Row],[Closed_Date]]=0,"",(_xlfn.XLOOKUP(Pipeline_tbl[[#This Row],[Closed_Date]],Dim_Date!A:A,Dim_Date!H:H)))</f>
        <v>Feb 2024</v>
      </c>
      <c r="U4940">
        <f>IF(Pipeline_tbl[[#This Row],[Closed_Date]]=0,"",Pipeline_tbl[[#This Row],[Closed_Date]]-Pipeline_tbl[[#This Row],[Created_Date]])</f>
        <v>21</v>
      </c>
    </row>
    <row r="4941" spans="1:21" ht="15" customHeight="1" x14ac:dyDescent="0.2">
      <c r="A4941" t="s">
        <v>5247</v>
      </c>
      <c r="B4941" t="s">
        <v>235</v>
      </c>
      <c r="C4941" t="s">
        <v>52</v>
      </c>
      <c r="D4941" s="49">
        <v>45323</v>
      </c>
      <c r="E4941" s="49">
        <v>45325</v>
      </c>
      <c r="I4941" s="49">
        <v>45348</v>
      </c>
      <c r="J4941" t="s">
        <v>49</v>
      </c>
      <c r="K4941" s="33">
        <v>3500</v>
      </c>
      <c r="L4941" t="s">
        <v>64</v>
      </c>
      <c r="M4941" t="str">
        <f>_xlfn.XLOOKUP(Pipeline_tbl[[#This Row],[Rep_ID]],Dim_Reps!A:A,Dim_Reps!K:K)</f>
        <v>MXN</v>
      </c>
      <c r="N4941" s="33">
        <f>(_xlfn.XLOOKUP(Pipeline_tbl[[#This Row],[Rate_Code_Generalized]],Lookups!A:A,Lookups!B:B))*Pipeline_tbl[[#This Row],[Pipeline_Amount_USD]]</f>
        <v>69064.45</v>
      </c>
      <c r="O4941" t="str">
        <f>_xlfn.XLOOKUP(Pipeline_tbl[[#This Row],[Rep_ID]],Dim_Reps!A:A,Dim_Reps!B:B)</f>
        <v>Milo Castro</v>
      </c>
      <c r="P4941" t="str">
        <f>_xlfn.XLOOKUP(Pipeline_tbl[[#This Row],[Rep_ID]],Dim_Reps!A:A,Dim_Reps!C:C)</f>
        <v>SDR / Inside Sales Rep</v>
      </c>
      <c r="Q4941" t="str">
        <f>_xlfn.XLOOKUP(Pipeline_tbl[[#This Row],[Rep_ID]],Dim_Reps!A:A,Dim_Reps!D:D)</f>
        <v>Inside Sales</v>
      </c>
      <c r="R4941" t="str">
        <f>_xlfn.XLOOKUP(Pipeline_tbl[[#This Row],[Rep_ID]],Dim_Reps!A:A,Dim_Reps!E:E)</f>
        <v>LATAM</v>
      </c>
      <c r="S4941" t="str">
        <f>_xlfn.XLOOKUP(Pipeline_tbl[[#This Row],[Created_Date]],Dim_Date!A:A,Dim_Date!H:H)</f>
        <v>Feb 2024</v>
      </c>
      <c r="T4941" t="str">
        <f>IF(Pipeline_tbl[[#This Row],[Closed_Date]]=0,"",(_xlfn.XLOOKUP(Pipeline_tbl[[#This Row],[Closed_Date]],Dim_Date!A:A,Dim_Date!H:H)))</f>
        <v>Feb 2024</v>
      </c>
      <c r="U4941">
        <f>IF(Pipeline_tbl[[#This Row],[Closed_Date]]=0,"",Pipeline_tbl[[#This Row],[Closed_Date]]-Pipeline_tbl[[#This Row],[Created_Date]])</f>
        <v>25</v>
      </c>
    </row>
    <row r="4942" spans="1:21" ht="15" customHeight="1" x14ac:dyDescent="0.2">
      <c r="A4942" t="s">
        <v>5248</v>
      </c>
      <c r="B4942" t="s">
        <v>235</v>
      </c>
      <c r="C4942" t="s">
        <v>53</v>
      </c>
      <c r="D4942" s="49">
        <v>45327</v>
      </c>
      <c r="E4942" s="49">
        <v>45329</v>
      </c>
      <c r="F4942" s="49">
        <v>45332</v>
      </c>
      <c r="I4942" s="49">
        <v>45342</v>
      </c>
      <c r="J4942" t="s">
        <v>49</v>
      </c>
      <c r="K4942" s="33">
        <v>3600</v>
      </c>
      <c r="L4942" t="s">
        <v>63</v>
      </c>
      <c r="M4942" t="str">
        <f>_xlfn.XLOOKUP(Pipeline_tbl[[#This Row],[Rep_ID]],Dim_Reps!A:A,Dim_Reps!K:K)</f>
        <v>MXN</v>
      </c>
      <c r="N4942" s="33">
        <f>(_xlfn.XLOOKUP(Pipeline_tbl[[#This Row],[Rate_Code_Generalized]],Lookups!A:A,Lookups!B:B))*Pipeline_tbl[[#This Row],[Pipeline_Amount_USD]]</f>
        <v>71037.72</v>
      </c>
      <c r="O4942" t="str">
        <f>_xlfn.XLOOKUP(Pipeline_tbl[[#This Row],[Rep_ID]],Dim_Reps!A:A,Dim_Reps!B:B)</f>
        <v>Milo Castro</v>
      </c>
      <c r="P4942" t="str">
        <f>_xlfn.XLOOKUP(Pipeline_tbl[[#This Row],[Rep_ID]],Dim_Reps!A:A,Dim_Reps!C:C)</f>
        <v>SDR / Inside Sales Rep</v>
      </c>
      <c r="Q4942" t="str">
        <f>_xlfn.XLOOKUP(Pipeline_tbl[[#This Row],[Rep_ID]],Dim_Reps!A:A,Dim_Reps!D:D)</f>
        <v>Inside Sales</v>
      </c>
      <c r="R4942" t="str">
        <f>_xlfn.XLOOKUP(Pipeline_tbl[[#This Row],[Rep_ID]],Dim_Reps!A:A,Dim_Reps!E:E)</f>
        <v>LATAM</v>
      </c>
      <c r="S4942" t="str">
        <f>_xlfn.XLOOKUP(Pipeline_tbl[[#This Row],[Created_Date]],Dim_Date!A:A,Dim_Date!H:H)</f>
        <v>Feb 2024</v>
      </c>
      <c r="T4942" t="str">
        <f>IF(Pipeline_tbl[[#This Row],[Closed_Date]]=0,"",(_xlfn.XLOOKUP(Pipeline_tbl[[#This Row],[Closed_Date]],Dim_Date!A:A,Dim_Date!H:H)))</f>
        <v>Feb 2024</v>
      </c>
      <c r="U4942">
        <f>IF(Pipeline_tbl[[#This Row],[Closed_Date]]=0,"",Pipeline_tbl[[#This Row],[Closed_Date]]-Pipeline_tbl[[#This Row],[Created_Date]])</f>
        <v>15</v>
      </c>
    </row>
    <row r="4943" spans="1:21" ht="15" customHeight="1" x14ac:dyDescent="0.2">
      <c r="A4943" t="s">
        <v>5249</v>
      </c>
      <c r="B4943" t="s">
        <v>237</v>
      </c>
      <c r="C4943" t="s">
        <v>52</v>
      </c>
      <c r="D4943" s="49">
        <v>45324</v>
      </c>
      <c r="E4943" s="49">
        <v>45326</v>
      </c>
      <c r="F4943" s="49">
        <v>45329</v>
      </c>
      <c r="I4943" s="49">
        <v>45342</v>
      </c>
      <c r="J4943" t="s">
        <v>49</v>
      </c>
      <c r="K4943" s="33">
        <v>2300</v>
      </c>
      <c r="L4943" t="s">
        <v>64</v>
      </c>
      <c r="M4943" t="str">
        <f>_xlfn.XLOOKUP(Pipeline_tbl[[#This Row],[Rep_ID]],Dim_Reps!A:A,Dim_Reps!K:K)</f>
        <v>EUR</v>
      </c>
      <c r="N4943" s="33">
        <f>(_xlfn.XLOOKUP(Pipeline_tbl[[#This Row],[Rate_Code_Generalized]],Lookups!A:A,Lookups!B:B))*Pipeline_tbl[[#This Row],[Pipeline_Amount_USD]]</f>
        <v>2300</v>
      </c>
      <c r="O4943" t="str">
        <f>_xlfn.XLOOKUP(Pipeline_tbl[[#This Row],[Rep_ID]],Dim_Reps!A:A,Dim_Reps!B:B)</f>
        <v>Hugo Santos</v>
      </c>
      <c r="P4943" t="str">
        <f>_xlfn.XLOOKUP(Pipeline_tbl[[#This Row],[Rep_ID]],Dim_Reps!A:A,Dim_Reps!C:C)</f>
        <v>SDR / Inside Sales Rep</v>
      </c>
      <c r="Q4943" t="str">
        <f>_xlfn.XLOOKUP(Pipeline_tbl[[#This Row],[Rep_ID]],Dim_Reps!A:A,Dim_Reps!D:D)</f>
        <v>Inside Sales</v>
      </c>
      <c r="R4943" t="str">
        <f>_xlfn.XLOOKUP(Pipeline_tbl[[#This Row],[Rep_ID]],Dim_Reps!A:A,Dim_Reps!E:E)</f>
        <v>EMEA</v>
      </c>
      <c r="S4943" t="str">
        <f>_xlfn.XLOOKUP(Pipeline_tbl[[#This Row],[Created_Date]],Dim_Date!A:A,Dim_Date!H:H)</f>
        <v>Feb 2024</v>
      </c>
      <c r="T4943" t="str">
        <f>IF(Pipeline_tbl[[#This Row],[Closed_Date]]=0,"",(_xlfn.XLOOKUP(Pipeline_tbl[[#This Row],[Closed_Date]],Dim_Date!A:A,Dim_Date!H:H)))</f>
        <v>Feb 2024</v>
      </c>
      <c r="U4943">
        <f>IF(Pipeline_tbl[[#This Row],[Closed_Date]]=0,"",Pipeline_tbl[[#This Row],[Closed_Date]]-Pipeline_tbl[[#This Row],[Created_Date]])</f>
        <v>18</v>
      </c>
    </row>
    <row r="4944" spans="1:21" ht="15" customHeight="1" x14ac:dyDescent="0.2">
      <c r="A4944" t="s">
        <v>5250</v>
      </c>
      <c r="B4944" t="s">
        <v>237</v>
      </c>
      <c r="C4944" t="s">
        <v>53</v>
      </c>
      <c r="D4944" s="49">
        <v>45331</v>
      </c>
      <c r="E4944" s="49">
        <v>45333</v>
      </c>
      <c r="F4944" s="49">
        <v>45336</v>
      </c>
      <c r="G4944" s="49">
        <v>45341</v>
      </c>
      <c r="I4944" s="49">
        <v>45348</v>
      </c>
      <c r="J4944" t="s">
        <v>49</v>
      </c>
      <c r="K4944" s="33">
        <v>7200</v>
      </c>
      <c r="L4944" t="s">
        <v>61</v>
      </c>
      <c r="M4944" t="str">
        <f>_xlfn.XLOOKUP(Pipeline_tbl[[#This Row],[Rep_ID]],Dim_Reps!A:A,Dim_Reps!K:K)</f>
        <v>EUR</v>
      </c>
      <c r="N4944" s="33">
        <f>(_xlfn.XLOOKUP(Pipeline_tbl[[#This Row],[Rate_Code_Generalized]],Lookups!A:A,Lookups!B:B))*Pipeline_tbl[[#This Row],[Pipeline_Amount_USD]]</f>
        <v>7200</v>
      </c>
      <c r="O4944" t="str">
        <f>_xlfn.XLOOKUP(Pipeline_tbl[[#This Row],[Rep_ID]],Dim_Reps!A:A,Dim_Reps!B:B)</f>
        <v>Hugo Santos</v>
      </c>
      <c r="P4944" t="str">
        <f>_xlfn.XLOOKUP(Pipeline_tbl[[#This Row],[Rep_ID]],Dim_Reps!A:A,Dim_Reps!C:C)</f>
        <v>SDR / Inside Sales Rep</v>
      </c>
      <c r="Q4944" t="str">
        <f>_xlfn.XLOOKUP(Pipeline_tbl[[#This Row],[Rep_ID]],Dim_Reps!A:A,Dim_Reps!D:D)</f>
        <v>Inside Sales</v>
      </c>
      <c r="R4944" t="str">
        <f>_xlfn.XLOOKUP(Pipeline_tbl[[#This Row],[Rep_ID]],Dim_Reps!A:A,Dim_Reps!E:E)</f>
        <v>EMEA</v>
      </c>
      <c r="S4944" t="str">
        <f>_xlfn.XLOOKUP(Pipeline_tbl[[#This Row],[Created_Date]],Dim_Date!A:A,Dim_Date!H:H)</f>
        <v>Feb 2024</v>
      </c>
      <c r="T4944" t="str">
        <f>IF(Pipeline_tbl[[#This Row],[Closed_Date]]=0,"",(_xlfn.XLOOKUP(Pipeline_tbl[[#This Row],[Closed_Date]],Dim_Date!A:A,Dim_Date!H:H)))</f>
        <v>Feb 2024</v>
      </c>
      <c r="U4944">
        <f>IF(Pipeline_tbl[[#This Row],[Closed_Date]]=0,"",Pipeline_tbl[[#This Row],[Closed_Date]]-Pipeline_tbl[[#This Row],[Created_Date]])</f>
        <v>17</v>
      </c>
    </row>
    <row r="4945" spans="1:21" ht="15" customHeight="1" x14ac:dyDescent="0.2">
      <c r="A4945" t="s">
        <v>5251</v>
      </c>
      <c r="B4945" t="s">
        <v>237</v>
      </c>
      <c r="C4945" t="s">
        <v>53</v>
      </c>
      <c r="D4945" s="49">
        <v>45324</v>
      </c>
      <c r="E4945" s="49">
        <v>45325</v>
      </c>
      <c r="F4945" s="49">
        <v>45327</v>
      </c>
      <c r="G4945" s="49">
        <v>45329</v>
      </c>
      <c r="I4945" s="49">
        <v>45333</v>
      </c>
      <c r="J4945" t="s">
        <v>49</v>
      </c>
      <c r="K4945" s="33">
        <v>2300</v>
      </c>
      <c r="L4945" t="s">
        <v>62</v>
      </c>
      <c r="M4945" t="str">
        <f>_xlfn.XLOOKUP(Pipeline_tbl[[#This Row],[Rep_ID]],Dim_Reps!A:A,Dim_Reps!K:K)</f>
        <v>EUR</v>
      </c>
      <c r="N4945" s="33">
        <f>(_xlfn.XLOOKUP(Pipeline_tbl[[#This Row],[Rate_Code_Generalized]],Lookups!A:A,Lookups!B:B))*Pipeline_tbl[[#This Row],[Pipeline_Amount_USD]]</f>
        <v>2300</v>
      </c>
      <c r="O4945" t="str">
        <f>_xlfn.XLOOKUP(Pipeline_tbl[[#This Row],[Rep_ID]],Dim_Reps!A:A,Dim_Reps!B:B)</f>
        <v>Hugo Santos</v>
      </c>
      <c r="P4945" t="str">
        <f>_xlfn.XLOOKUP(Pipeline_tbl[[#This Row],[Rep_ID]],Dim_Reps!A:A,Dim_Reps!C:C)</f>
        <v>SDR / Inside Sales Rep</v>
      </c>
      <c r="Q4945" t="str">
        <f>_xlfn.XLOOKUP(Pipeline_tbl[[#This Row],[Rep_ID]],Dim_Reps!A:A,Dim_Reps!D:D)</f>
        <v>Inside Sales</v>
      </c>
      <c r="R4945" t="str">
        <f>_xlfn.XLOOKUP(Pipeline_tbl[[#This Row],[Rep_ID]],Dim_Reps!A:A,Dim_Reps!E:E)</f>
        <v>EMEA</v>
      </c>
      <c r="S4945" t="str">
        <f>_xlfn.XLOOKUP(Pipeline_tbl[[#This Row],[Created_Date]],Dim_Date!A:A,Dim_Date!H:H)</f>
        <v>Feb 2024</v>
      </c>
      <c r="T4945" t="str">
        <f>IF(Pipeline_tbl[[#This Row],[Closed_Date]]=0,"",(_xlfn.XLOOKUP(Pipeline_tbl[[#This Row],[Closed_Date]],Dim_Date!A:A,Dim_Date!H:H)))</f>
        <v>Feb 2024</v>
      </c>
      <c r="U4945">
        <f>IF(Pipeline_tbl[[#This Row],[Closed_Date]]=0,"",Pipeline_tbl[[#This Row],[Closed_Date]]-Pipeline_tbl[[#This Row],[Created_Date]])</f>
        <v>9</v>
      </c>
    </row>
    <row r="4946" spans="1:21" ht="15" customHeight="1" x14ac:dyDescent="0.2">
      <c r="A4946" t="s">
        <v>5252</v>
      </c>
      <c r="B4946" t="s">
        <v>241</v>
      </c>
      <c r="C4946" t="s">
        <v>52</v>
      </c>
      <c r="D4946" s="49">
        <v>45324</v>
      </c>
      <c r="E4946" s="49">
        <v>45326</v>
      </c>
      <c r="F4946" s="49">
        <v>45331</v>
      </c>
      <c r="G4946" s="49">
        <v>45337</v>
      </c>
      <c r="H4946" s="49">
        <v>45343</v>
      </c>
      <c r="I4946" s="49">
        <v>45346</v>
      </c>
      <c r="J4946" t="s">
        <v>47</v>
      </c>
      <c r="K4946" s="33">
        <v>8700</v>
      </c>
      <c r="M4946" t="str">
        <f>_xlfn.XLOOKUP(Pipeline_tbl[[#This Row],[Rep_ID]],Dim_Reps!A:A,Dim_Reps!K:K)</f>
        <v>EUR</v>
      </c>
      <c r="N4946" s="33">
        <f>(_xlfn.XLOOKUP(Pipeline_tbl[[#This Row],[Rate_Code_Generalized]],Lookups!A:A,Lookups!B:B))*Pipeline_tbl[[#This Row],[Pipeline_Amount_USD]]</f>
        <v>8700</v>
      </c>
      <c r="O4946" t="str">
        <f>_xlfn.XLOOKUP(Pipeline_tbl[[#This Row],[Rep_ID]],Dim_Reps!A:A,Dim_Reps!B:B)</f>
        <v>Kenji Weber</v>
      </c>
      <c r="P4946" t="str">
        <f>_xlfn.XLOOKUP(Pipeline_tbl[[#This Row],[Rep_ID]],Dim_Reps!A:A,Dim_Reps!C:C)</f>
        <v>SDR / Inside Sales Rep</v>
      </c>
      <c r="Q4946" t="str">
        <f>_xlfn.XLOOKUP(Pipeline_tbl[[#This Row],[Rep_ID]],Dim_Reps!A:A,Dim_Reps!D:D)</f>
        <v>Inside Sales</v>
      </c>
      <c r="R4946" t="str">
        <f>_xlfn.XLOOKUP(Pipeline_tbl[[#This Row],[Rep_ID]],Dim_Reps!A:A,Dim_Reps!E:E)</f>
        <v>APAC</v>
      </c>
      <c r="S4946" t="str">
        <f>_xlfn.XLOOKUP(Pipeline_tbl[[#This Row],[Created_Date]],Dim_Date!A:A,Dim_Date!H:H)</f>
        <v>Feb 2024</v>
      </c>
      <c r="T4946" t="str">
        <f>IF(Pipeline_tbl[[#This Row],[Closed_Date]]=0,"",(_xlfn.XLOOKUP(Pipeline_tbl[[#This Row],[Closed_Date]],Dim_Date!A:A,Dim_Date!H:H)))</f>
        <v>Feb 2024</v>
      </c>
      <c r="U4946">
        <f>IF(Pipeline_tbl[[#This Row],[Closed_Date]]=0,"",Pipeline_tbl[[#This Row],[Closed_Date]]-Pipeline_tbl[[#This Row],[Created_Date]])</f>
        <v>22</v>
      </c>
    </row>
    <row r="4947" spans="1:21" ht="15" customHeight="1" x14ac:dyDescent="0.2">
      <c r="A4947" t="s">
        <v>5253</v>
      </c>
      <c r="B4947" t="s">
        <v>241</v>
      </c>
      <c r="C4947" t="s">
        <v>54</v>
      </c>
      <c r="D4947" s="49">
        <v>45333</v>
      </c>
      <c r="E4947" s="49">
        <v>45335</v>
      </c>
      <c r="F4947" s="49">
        <v>45338</v>
      </c>
      <c r="G4947" s="49">
        <v>45343</v>
      </c>
      <c r="I4947" s="49">
        <v>45350</v>
      </c>
      <c r="J4947" t="s">
        <v>49</v>
      </c>
      <c r="K4947" s="33">
        <v>3200</v>
      </c>
      <c r="L4947" t="s">
        <v>60</v>
      </c>
      <c r="M4947" t="str">
        <f>_xlfn.XLOOKUP(Pipeline_tbl[[#This Row],[Rep_ID]],Dim_Reps!A:A,Dim_Reps!K:K)</f>
        <v>EUR</v>
      </c>
      <c r="N4947" s="33">
        <f>(_xlfn.XLOOKUP(Pipeline_tbl[[#This Row],[Rate_Code_Generalized]],Lookups!A:A,Lookups!B:B))*Pipeline_tbl[[#This Row],[Pipeline_Amount_USD]]</f>
        <v>3200</v>
      </c>
      <c r="O4947" t="str">
        <f>_xlfn.XLOOKUP(Pipeline_tbl[[#This Row],[Rep_ID]],Dim_Reps!A:A,Dim_Reps!B:B)</f>
        <v>Kenji Weber</v>
      </c>
      <c r="P4947" t="str">
        <f>_xlfn.XLOOKUP(Pipeline_tbl[[#This Row],[Rep_ID]],Dim_Reps!A:A,Dim_Reps!C:C)</f>
        <v>SDR / Inside Sales Rep</v>
      </c>
      <c r="Q4947" t="str">
        <f>_xlfn.XLOOKUP(Pipeline_tbl[[#This Row],[Rep_ID]],Dim_Reps!A:A,Dim_Reps!D:D)</f>
        <v>Inside Sales</v>
      </c>
      <c r="R4947" t="str">
        <f>_xlfn.XLOOKUP(Pipeline_tbl[[#This Row],[Rep_ID]],Dim_Reps!A:A,Dim_Reps!E:E)</f>
        <v>APAC</v>
      </c>
      <c r="S4947" t="str">
        <f>_xlfn.XLOOKUP(Pipeline_tbl[[#This Row],[Created_Date]],Dim_Date!A:A,Dim_Date!H:H)</f>
        <v>Feb 2024</v>
      </c>
      <c r="T4947" t="str">
        <f>IF(Pipeline_tbl[[#This Row],[Closed_Date]]=0,"",(_xlfn.XLOOKUP(Pipeline_tbl[[#This Row],[Closed_Date]],Dim_Date!A:A,Dim_Date!H:H)))</f>
        <v>Feb 2024</v>
      </c>
      <c r="U4947">
        <f>IF(Pipeline_tbl[[#This Row],[Closed_Date]]=0,"",Pipeline_tbl[[#This Row],[Closed_Date]]-Pipeline_tbl[[#This Row],[Created_Date]])</f>
        <v>17</v>
      </c>
    </row>
    <row r="4948" spans="1:21" ht="15" customHeight="1" x14ac:dyDescent="0.2">
      <c r="A4948" t="s">
        <v>5254</v>
      </c>
      <c r="B4948" t="s">
        <v>241</v>
      </c>
      <c r="C4948" t="s">
        <v>52</v>
      </c>
      <c r="D4948" s="49">
        <v>45326</v>
      </c>
      <c r="E4948" s="49">
        <v>45327</v>
      </c>
      <c r="F4948" s="49">
        <v>45330</v>
      </c>
      <c r="G4948" s="49">
        <v>45333</v>
      </c>
      <c r="H4948" s="49">
        <v>45336</v>
      </c>
      <c r="I4948" s="49">
        <v>45338</v>
      </c>
      <c r="J4948" t="s">
        <v>47</v>
      </c>
      <c r="K4948" s="33">
        <v>2000</v>
      </c>
      <c r="M4948" t="str">
        <f>_xlfn.XLOOKUP(Pipeline_tbl[[#This Row],[Rep_ID]],Dim_Reps!A:A,Dim_Reps!K:K)</f>
        <v>EUR</v>
      </c>
      <c r="N4948" s="33">
        <f>(_xlfn.XLOOKUP(Pipeline_tbl[[#This Row],[Rate_Code_Generalized]],Lookups!A:A,Lookups!B:B))*Pipeline_tbl[[#This Row],[Pipeline_Amount_USD]]</f>
        <v>2000</v>
      </c>
      <c r="O4948" t="str">
        <f>_xlfn.XLOOKUP(Pipeline_tbl[[#This Row],[Rep_ID]],Dim_Reps!A:A,Dim_Reps!B:B)</f>
        <v>Kenji Weber</v>
      </c>
      <c r="P4948" t="str">
        <f>_xlfn.XLOOKUP(Pipeline_tbl[[#This Row],[Rep_ID]],Dim_Reps!A:A,Dim_Reps!C:C)</f>
        <v>SDR / Inside Sales Rep</v>
      </c>
      <c r="Q4948" t="str">
        <f>_xlfn.XLOOKUP(Pipeline_tbl[[#This Row],[Rep_ID]],Dim_Reps!A:A,Dim_Reps!D:D)</f>
        <v>Inside Sales</v>
      </c>
      <c r="R4948" t="str">
        <f>_xlfn.XLOOKUP(Pipeline_tbl[[#This Row],[Rep_ID]],Dim_Reps!A:A,Dim_Reps!E:E)</f>
        <v>APAC</v>
      </c>
      <c r="S4948" t="str">
        <f>_xlfn.XLOOKUP(Pipeline_tbl[[#This Row],[Created_Date]],Dim_Date!A:A,Dim_Date!H:H)</f>
        <v>Feb 2024</v>
      </c>
      <c r="T4948" t="str">
        <f>IF(Pipeline_tbl[[#This Row],[Closed_Date]]=0,"",(_xlfn.XLOOKUP(Pipeline_tbl[[#This Row],[Closed_Date]],Dim_Date!A:A,Dim_Date!H:H)))</f>
        <v>Feb 2024</v>
      </c>
      <c r="U4948">
        <f>IF(Pipeline_tbl[[#This Row],[Closed_Date]]=0,"",Pipeline_tbl[[#This Row],[Closed_Date]]-Pipeline_tbl[[#This Row],[Created_Date]])</f>
        <v>12</v>
      </c>
    </row>
    <row r="4949" spans="1:21" ht="15" customHeight="1" x14ac:dyDescent="0.2">
      <c r="A4949" t="s">
        <v>5255</v>
      </c>
      <c r="B4949" t="s">
        <v>241</v>
      </c>
      <c r="C4949" t="s">
        <v>54</v>
      </c>
      <c r="D4949" s="49">
        <v>45335</v>
      </c>
      <c r="E4949" s="49">
        <v>45336</v>
      </c>
      <c r="F4949" s="49">
        <v>45339</v>
      </c>
      <c r="G4949" s="49">
        <v>45343</v>
      </c>
      <c r="H4949" s="49">
        <v>45346</v>
      </c>
      <c r="I4949" s="49">
        <v>45348</v>
      </c>
      <c r="J4949" t="s">
        <v>49</v>
      </c>
      <c r="K4949" s="33">
        <v>5100</v>
      </c>
      <c r="L4949" t="s">
        <v>64</v>
      </c>
      <c r="M4949" t="str">
        <f>_xlfn.XLOOKUP(Pipeline_tbl[[#This Row],[Rep_ID]],Dim_Reps!A:A,Dim_Reps!K:K)</f>
        <v>EUR</v>
      </c>
      <c r="N4949" s="33">
        <f>(_xlfn.XLOOKUP(Pipeline_tbl[[#This Row],[Rate_Code_Generalized]],Lookups!A:A,Lookups!B:B))*Pipeline_tbl[[#This Row],[Pipeline_Amount_USD]]</f>
        <v>5100</v>
      </c>
      <c r="O4949" t="str">
        <f>_xlfn.XLOOKUP(Pipeline_tbl[[#This Row],[Rep_ID]],Dim_Reps!A:A,Dim_Reps!B:B)</f>
        <v>Kenji Weber</v>
      </c>
      <c r="P4949" t="str">
        <f>_xlfn.XLOOKUP(Pipeline_tbl[[#This Row],[Rep_ID]],Dim_Reps!A:A,Dim_Reps!C:C)</f>
        <v>SDR / Inside Sales Rep</v>
      </c>
      <c r="Q4949" t="str">
        <f>_xlfn.XLOOKUP(Pipeline_tbl[[#This Row],[Rep_ID]],Dim_Reps!A:A,Dim_Reps!D:D)</f>
        <v>Inside Sales</v>
      </c>
      <c r="R4949" t="str">
        <f>_xlfn.XLOOKUP(Pipeline_tbl[[#This Row],[Rep_ID]],Dim_Reps!A:A,Dim_Reps!E:E)</f>
        <v>APAC</v>
      </c>
      <c r="S4949" t="str">
        <f>_xlfn.XLOOKUP(Pipeline_tbl[[#This Row],[Created_Date]],Dim_Date!A:A,Dim_Date!H:H)</f>
        <v>Feb 2024</v>
      </c>
      <c r="T4949" t="str">
        <f>IF(Pipeline_tbl[[#This Row],[Closed_Date]]=0,"",(_xlfn.XLOOKUP(Pipeline_tbl[[#This Row],[Closed_Date]],Dim_Date!A:A,Dim_Date!H:H)))</f>
        <v>Feb 2024</v>
      </c>
      <c r="U4949">
        <f>IF(Pipeline_tbl[[#This Row],[Closed_Date]]=0,"",Pipeline_tbl[[#This Row],[Closed_Date]]-Pipeline_tbl[[#This Row],[Created_Date]])</f>
        <v>13</v>
      </c>
    </row>
    <row r="4950" spans="1:21" ht="15" customHeight="1" x14ac:dyDescent="0.2">
      <c r="A4950" t="s">
        <v>5256</v>
      </c>
      <c r="B4950" t="s">
        <v>241</v>
      </c>
      <c r="C4950" t="s">
        <v>54</v>
      </c>
      <c r="D4950" s="49">
        <v>45331</v>
      </c>
      <c r="E4950" s="49">
        <v>45333</v>
      </c>
      <c r="F4950" s="49">
        <v>45336</v>
      </c>
      <c r="G4950" s="49">
        <v>45341</v>
      </c>
      <c r="H4950" s="49">
        <v>45345</v>
      </c>
      <c r="I4950" s="49">
        <v>45347</v>
      </c>
      <c r="J4950" t="s">
        <v>49</v>
      </c>
      <c r="K4950" s="33">
        <v>2800</v>
      </c>
      <c r="L4950" t="s">
        <v>60</v>
      </c>
      <c r="M4950" t="str">
        <f>_xlfn.XLOOKUP(Pipeline_tbl[[#This Row],[Rep_ID]],Dim_Reps!A:A,Dim_Reps!K:K)</f>
        <v>EUR</v>
      </c>
      <c r="N4950" s="33">
        <f>(_xlfn.XLOOKUP(Pipeline_tbl[[#This Row],[Rate_Code_Generalized]],Lookups!A:A,Lookups!B:B))*Pipeline_tbl[[#This Row],[Pipeline_Amount_USD]]</f>
        <v>2800</v>
      </c>
      <c r="O4950" t="str">
        <f>_xlfn.XLOOKUP(Pipeline_tbl[[#This Row],[Rep_ID]],Dim_Reps!A:A,Dim_Reps!B:B)</f>
        <v>Kenji Weber</v>
      </c>
      <c r="P4950" t="str">
        <f>_xlfn.XLOOKUP(Pipeline_tbl[[#This Row],[Rep_ID]],Dim_Reps!A:A,Dim_Reps!C:C)</f>
        <v>SDR / Inside Sales Rep</v>
      </c>
      <c r="Q4950" t="str">
        <f>_xlfn.XLOOKUP(Pipeline_tbl[[#This Row],[Rep_ID]],Dim_Reps!A:A,Dim_Reps!D:D)</f>
        <v>Inside Sales</v>
      </c>
      <c r="R4950" t="str">
        <f>_xlfn.XLOOKUP(Pipeline_tbl[[#This Row],[Rep_ID]],Dim_Reps!A:A,Dim_Reps!E:E)</f>
        <v>APAC</v>
      </c>
      <c r="S4950" t="str">
        <f>_xlfn.XLOOKUP(Pipeline_tbl[[#This Row],[Created_Date]],Dim_Date!A:A,Dim_Date!H:H)</f>
        <v>Feb 2024</v>
      </c>
      <c r="T4950" t="str">
        <f>IF(Pipeline_tbl[[#This Row],[Closed_Date]]=0,"",(_xlfn.XLOOKUP(Pipeline_tbl[[#This Row],[Closed_Date]],Dim_Date!A:A,Dim_Date!H:H)))</f>
        <v>Feb 2024</v>
      </c>
      <c r="U4950">
        <f>IF(Pipeline_tbl[[#This Row],[Closed_Date]]=0,"",Pipeline_tbl[[#This Row],[Closed_Date]]-Pipeline_tbl[[#This Row],[Created_Date]])</f>
        <v>16</v>
      </c>
    </row>
    <row r="4951" spans="1:21" ht="15" customHeight="1" x14ac:dyDescent="0.2">
      <c r="A4951" t="s">
        <v>5257</v>
      </c>
      <c r="B4951" t="s">
        <v>278</v>
      </c>
      <c r="C4951" t="s">
        <v>56</v>
      </c>
      <c r="D4951" s="49">
        <v>45349</v>
      </c>
      <c r="E4951" s="49">
        <v>45359</v>
      </c>
      <c r="F4951" s="49">
        <v>45379</v>
      </c>
      <c r="G4951" s="49">
        <v>45409</v>
      </c>
      <c r="I4951" s="49">
        <v>45449</v>
      </c>
      <c r="J4951" t="s">
        <v>49</v>
      </c>
      <c r="K4951" s="33">
        <v>50600</v>
      </c>
      <c r="L4951" t="s">
        <v>61</v>
      </c>
      <c r="M4951" t="str">
        <f>_xlfn.XLOOKUP(Pipeline_tbl[[#This Row],[Rep_ID]],Dim_Reps!A:A,Dim_Reps!K:K)</f>
        <v>EUR</v>
      </c>
      <c r="N4951" s="33">
        <f>(_xlfn.XLOOKUP(Pipeline_tbl[[#This Row],[Rate_Code_Generalized]],Lookups!A:A,Lookups!B:B))*Pipeline_tbl[[#This Row],[Pipeline_Amount_USD]]</f>
        <v>50600</v>
      </c>
      <c r="O4951" t="str">
        <f>_xlfn.XLOOKUP(Pipeline_tbl[[#This Row],[Rep_ID]],Dim_Reps!A:A,Dim_Reps!B:B)</f>
        <v>Sara Andersson</v>
      </c>
      <c r="P4951" t="str">
        <f>_xlfn.XLOOKUP(Pipeline_tbl[[#This Row],[Rep_ID]],Dim_Reps!A:A,Dim_Reps!C:C)</f>
        <v>Senior Enterprise AE</v>
      </c>
      <c r="Q4951" t="str">
        <f>_xlfn.XLOOKUP(Pipeline_tbl[[#This Row],[Rep_ID]],Dim_Reps!A:A,Dim_Reps!D:D)</f>
        <v>Strategic</v>
      </c>
      <c r="R4951" t="str">
        <f>_xlfn.XLOOKUP(Pipeline_tbl[[#This Row],[Rep_ID]],Dim_Reps!A:A,Dim_Reps!E:E)</f>
        <v>APAC</v>
      </c>
      <c r="S4951" t="str">
        <f>_xlfn.XLOOKUP(Pipeline_tbl[[#This Row],[Created_Date]],Dim_Date!A:A,Dim_Date!H:H)</f>
        <v>Feb 2024</v>
      </c>
      <c r="T4951" t="str">
        <f>IF(Pipeline_tbl[[#This Row],[Closed_Date]]=0,"",(_xlfn.XLOOKUP(Pipeline_tbl[[#This Row],[Closed_Date]],Dim_Date!A:A,Dim_Date!H:H)))</f>
        <v>Jun 2024</v>
      </c>
      <c r="U4951">
        <f>IF(Pipeline_tbl[[#This Row],[Closed_Date]]=0,"",Pipeline_tbl[[#This Row],[Closed_Date]]-Pipeline_tbl[[#This Row],[Created_Date]])</f>
        <v>100</v>
      </c>
    </row>
    <row r="4952" spans="1:21" ht="15" customHeight="1" x14ac:dyDescent="0.2">
      <c r="A4952" t="s">
        <v>5258</v>
      </c>
      <c r="B4952" t="s">
        <v>280</v>
      </c>
      <c r="C4952" t="s">
        <v>52</v>
      </c>
      <c r="D4952" s="49">
        <v>45347</v>
      </c>
      <c r="E4952" s="49">
        <v>45357</v>
      </c>
      <c r="F4952" s="49">
        <v>45379</v>
      </c>
      <c r="G4952" s="49">
        <v>45410</v>
      </c>
      <c r="H4952" s="49">
        <v>45436</v>
      </c>
      <c r="I4952" s="49">
        <v>45452</v>
      </c>
      <c r="J4952" t="s">
        <v>47</v>
      </c>
      <c r="K4952" s="33">
        <v>59300</v>
      </c>
      <c r="M4952" t="str">
        <f>_xlfn.XLOOKUP(Pipeline_tbl[[#This Row],[Rep_ID]],Dim_Reps!A:A,Dim_Reps!K:K)</f>
        <v>MXN</v>
      </c>
      <c r="N4952" s="33">
        <f>(_xlfn.XLOOKUP(Pipeline_tbl[[#This Row],[Rate_Code_Generalized]],Lookups!A:A,Lookups!B:B))*Pipeline_tbl[[#This Row],[Pipeline_Amount_USD]]</f>
        <v>1170149.1100000001</v>
      </c>
      <c r="O4952" t="str">
        <f>_xlfn.XLOOKUP(Pipeline_tbl[[#This Row],[Rep_ID]],Dim_Reps!A:A,Dim_Reps!B:B)</f>
        <v>Cameron Lund</v>
      </c>
      <c r="P4952" t="str">
        <f>_xlfn.XLOOKUP(Pipeline_tbl[[#This Row],[Rep_ID]],Dim_Reps!A:A,Dim_Reps!C:C)</f>
        <v>Senior Enterprise AE</v>
      </c>
      <c r="Q4952" t="str">
        <f>_xlfn.XLOOKUP(Pipeline_tbl[[#This Row],[Rep_ID]],Dim_Reps!A:A,Dim_Reps!D:D)</f>
        <v>Strategic</v>
      </c>
      <c r="R4952" t="str">
        <f>_xlfn.XLOOKUP(Pipeline_tbl[[#This Row],[Rep_ID]],Dim_Reps!A:A,Dim_Reps!E:E)</f>
        <v>LATAM</v>
      </c>
      <c r="S4952" t="str">
        <f>_xlfn.XLOOKUP(Pipeline_tbl[[#This Row],[Created_Date]],Dim_Date!A:A,Dim_Date!H:H)</f>
        <v>Feb 2024</v>
      </c>
      <c r="T4952" t="str">
        <f>IF(Pipeline_tbl[[#This Row],[Closed_Date]]=0,"",(_xlfn.XLOOKUP(Pipeline_tbl[[#This Row],[Closed_Date]],Dim_Date!A:A,Dim_Date!H:H)))</f>
        <v>Jun 2024</v>
      </c>
      <c r="U4952">
        <f>IF(Pipeline_tbl[[#This Row],[Closed_Date]]=0,"",Pipeline_tbl[[#This Row],[Closed_Date]]-Pipeline_tbl[[#This Row],[Created_Date]])</f>
        <v>105</v>
      </c>
    </row>
    <row r="4953" spans="1:21" ht="15" customHeight="1" x14ac:dyDescent="0.2">
      <c r="A4953" t="s">
        <v>5259</v>
      </c>
      <c r="B4953" t="s">
        <v>284</v>
      </c>
      <c r="C4953" t="s">
        <v>53</v>
      </c>
      <c r="D4953" s="49">
        <v>45344</v>
      </c>
      <c r="E4953" s="49">
        <v>45356</v>
      </c>
      <c r="F4953" s="49">
        <v>45379</v>
      </c>
      <c r="G4953" s="49">
        <v>45414</v>
      </c>
      <c r="I4953" s="49">
        <v>45460</v>
      </c>
      <c r="J4953" t="s">
        <v>49</v>
      </c>
      <c r="K4953" s="33">
        <v>53500</v>
      </c>
      <c r="L4953" t="s">
        <v>61</v>
      </c>
      <c r="M4953" t="str">
        <f>_xlfn.XLOOKUP(Pipeline_tbl[[#This Row],[Rep_ID]],Dim_Reps!A:A,Dim_Reps!K:K)</f>
        <v>USD</v>
      </c>
      <c r="N4953" s="33">
        <f>(_xlfn.XLOOKUP(Pipeline_tbl[[#This Row],[Rate_Code_Generalized]],Lookups!A:A,Lookups!B:B))*Pipeline_tbl[[#This Row],[Pipeline_Amount_USD]]</f>
        <v>62290.049999999996</v>
      </c>
      <c r="O4953" t="str">
        <f>_xlfn.XLOOKUP(Pipeline_tbl[[#This Row],[Rep_ID]],Dim_Reps!A:A,Dim_Reps!B:B)</f>
        <v>Taylor Adler</v>
      </c>
      <c r="P4953" t="str">
        <f>_xlfn.XLOOKUP(Pipeline_tbl[[#This Row],[Rep_ID]],Dim_Reps!A:A,Dim_Reps!C:C)</f>
        <v>Senior Enterprise AE</v>
      </c>
      <c r="Q4953" t="str">
        <f>_xlfn.XLOOKUP(Pipeline_tbl[[#This Row],[Rep_ID]],Dim_Reps!A:A,Dim_Reps!D:D)</f>
        <v>Strategic</v>
      </c>
      <c r="R4953" t="str">
        <f>_xlfn.XLOOKUP(Pipeline_tbl[[#This Row],[Rep_ID]],Dim_Reps!A:A,Dim_Reps!E:E)</f>
        <v>NAMER</v>
      </c>
      <c r="S4953" t="str">
        <f>_xlfn.XLOOKUP(Pipeline_tbl[[#This Row],[Created_Date]],Dim_Date!A:A,Dim_Date!H:H)</f>
        <v>Feb 2024</v>
      </c>
      <c r="T4953" t="str">
        <f>IF(Pipeline_tbl[[#This Row],[Closed_Date]]=0,"",(_xlfn.XLOOKUP(Pipeline_tbl[[#This Row],[Closed_Date]],Dim_Date!A:A,Dim_Date!H:H)))</f>
        <v>Jun 2024</v>
      </c>
      <c r="U4953">
        <f>IF(Pipeline_tbl[[#This Row],[Closed_Date]]=0,"",Pipeline_tbl[[#This Row],[Closed_Date]]-Pipeline_tbl[[#This Row],[Created_Date]])</f>
        <v>116</v>
      </c>
    </row>
    <row r="4954" spans="1:21" ht="15" customHeight="1" x14ac:dyDescent="0.2">
      <c r="A4954" t="s">
        <v>5260</v>
      </c>
      <c r="B4954" t="s">
        <v>193</v>
      </c>
      <c r="C4954" t="s">
        <v>53</v>
      </c>
      <c r="D4954" s="49">
        <v>45351</v>
      </c>
      <c r="E4954" s="49">
        <v>45353</v>
      </c>
      <c r="F4954" s="49">
        <v>45357</v>
      </c>
      <c r="G4954" s="49">
        <v>45364</v>
      </c>
      <c r="H4954" s="49">
        <v>45369</v>
      </c>
      <c r="I4954" s="49">
        <v>45372</v>
      </c>
      <c r="J4954" t="s">
        <v>47</v>
      </c>
      <c r="K4954" s="33">
        <v>5500</v>
      </c>
      <c r="M4954" t="str">
        <f>_xlfn.XLOOKUP(Pipeline_tbl[[#This Row],[Rep_ID]],Dim_Reps!A:A,Dim_Reps!K:K)</f>
        <v>USD</v>
      </c>
      <c r="N4954" s="33">
        <f>(_xlfn.XLOOKUP(Pipeline_tbl[[#This Row],[Rate_Code_Generalized]],Lookups!A:A,Lookups!B:B))*Pipeline_tbl[[#This Row],[Pipeline_Amount_USD]]</f>
        <v>6403.65</v>
      </c>
      <c r="O4954" t="str">
        <f>_xlfn.XLOOKUP(Pipeline_tbl[[#This Row],[Rep_ID]],Dim_Reps!A:A,Dim_Reps!B:B)</f>
        <v>Karim Rossi</v>
      </c>
      <c r="P4954" t="str">
        <f>_xlfn.XLOOKUP(Pipeline_tbl[[#This Row],[Rep_ID]],Dim_Reps!A:A,Dim_Reps!C:C)</f>
        <v>SDR / Inside Sales Rep</v>
      </c>
      <c r="Q4954" t="str">
        <f>_xlfn.XLOOKUP(Pipeline_tbl[[#This Row],[Rep_ID]],Dim_Reps!A:A,Dim_Reps!D:D)</f>
        <v>Inside Sales</v>
      </c>
      <c r="R4954" t="str">
        <f>_xlfn.XLOOKUP(Pipeline_tbl[[#This Row],[Rep_ID]],Dim_Reps!A:A,Dim_Reps!E:E)</f>
        <v>NAMER</v>
      </c>
      <c r="S4954" t="str">
        <f>_xlfn.XLOOKUP(Pipeline_tbl[[#This Row],[Created_Date]],Dim_Date!A:A,Dim_Date!H:H)</f>
        <v>Feb 2024</v>
      </c>
      <c r="T4954" t="str">
        <f>IF(Pipeline_tbl[[#This Row],[Closed_Date]]=0,"",(_xlfn.XLOOKUP(Pipeline_tbl[[#This Row],[Closed_Date]],Dim_Date!A:A,Dim_Date!H:H)))</f>
        <v>Mar 2024</v>
      </c>
      <c r="U4954">
        <f>IF(Pipeline_tbl[[#This Row],[Closed_Date]]=0,"",Pipeline_tbl[[#This Row],[Closed_Date]]-Pipeline_tbl[[#This Row],[Created_Date]])</f>
        <v>21</v>
      </c>
    </row>
    <row r="4955" spans="1:21" ht="15" customHeight="1" x14ac:dyDescent="0.2">
      <c r="A4955" t="s">
        <v>5261</v>
      </c>
      <c r="B4955" t="s">
        <v>193</v>
      </c>
      <c r="C4955" t="s">
        <v>52</v>
      </c>
      <c r="D4955" s="49">
        <v>45351</v>
      </c>
      <c r="E4955" s="49">
        <v>45353</v>
      </c>
      <c r="F4955" s="49">
        <v>45357</v>
      </c>
      <c r="G4955" s="49">
        <v>45362</v>
      </c>
      <c r="H4955" s="49">
        <v>45367</v>
      </c>
      <c r="I4955" s="49">
        <v>45370</v>
      </c>
      <c r="J4955" t="s">
        <v>49</v>
      </c>
      <c r="K4955" s="33">
        <v>7900</v>
      </c>
      <c r="L4955" t="s">
        <v>62</v>
      </c>
      <c r="M4955" t="str">
        <f>_xlfn.XLOOKUP(Pipeline_tbl[[#This Row],[Rep_ID]],Dim_Reps!A:A,Dim_Reps!K:K)</f>
        <v>USD</v>
      </c>
      <c r="N4955" s="33">
        <f>(_xlfn.XLOOKUP(Pipeline_tbl[[#This Row],[Rate_Code_Generalized]],Lookups!A:A,Lookups!B:B))*Pipeline_tbl[[#This Row],[Pipeline_Amount_USD]]</f>
        <v>9197.9699999999993</v>
      </c>
      <c r="O4955" t="str">
        <f>_xlfn.XLOOKUP(Pipeline_tbl[[#This Row],[Rep_ID]],Dim_Reps!A:A,Dim_Reps!B:B)</f>
        <v>Karim Rossi</v>
      </c>
      <c r="P4955" t="str">
        <f>_xlfn.XLOOKUP(Pipeline_tbl[[#This Row],[Rep_ID]],Dim_Reps!A:A,Dim_Reps!C:C)</f>
        <v>SDR / Inside Sales Rep</v>
      </c>
      <c r="Q4955" t="str">
        <f>_xlfn.XLOOKUP(Pipeline_tbl[[#This Row],[Rep_ID]],Dim_Reps!A:A,Dim_Reps!D:D)</f>
        <v>Inside Sales</v>
      </c>
      <c r="R4955" t="str">
        <f>_xlfn.XLOOKUP(Pipeline_tbl[[#This Row],[Rep_ID]],Dim_Reps!A:A,Dim_Reps!E:E)</f>
        <v>NAMER</v>
      </c>
      <c r="S4955" t="str">
        <f>_xlfn.XLOOKUP(Pipeline_tbl[[#This Row],[Created_Date]],Dim_Date!A:A,Dim_Date!H:H)</f>
        <v>Feb 2024</v>
      </c>
      <c r="T4955" t="str">
        <f>IF(Pipeline_tbl[[#This Row],[Closed_Date]]=0,"",(_xlfn.XLOOKUP(Pipeline_tbl[[#This Row],[Closed_Date]],Dim_Date!A:A,Dim_Date!H:H)))</f>
        <v>Mar 2024</v>
      </c>
      <c r="U4955">
        <f>IF(Pipeline_tbl[[#This Row],[Closed_Date]]=0,"",Pipeline_tbl[[#This Row],[Closed_Date]]-Pipeline_tbl[[#This Row],[Created_Date]])</f>
        <v>19</v>
      </c>
    </row>
    <row r="4956" spans="1:21" ht="15" customHeight="1" x14ac:dyDescent="0.2">
      <c r="A4956" t="s">
        <v>5262</v>
      </c>
      <c r="B4956" t="s">
        <v>243</v>
      </c>
      <c r="C4956" t="s">
        <v>52</v>
      </c>
      <c r="D4956" s="49">
        <v>45337</v>
      </c>
      <c r="E4956" s="49">
        <v>45341</v>
      </c>
      <c r="F4956" s="49">
        <v>45350</v>
      </c>
      <c r="G4956" s="49">
        <v>45363</v>
      </c>
      <c r="H4956" s="49">
        <v>45374</v>
      </c>
      <c r="I4956" s="49">
        <v>45380</v>
      </c>
      <c r="J4956" t="s">
        <v>49</v>
      </c>
      <c r="K4956" s="33">
        <v>16400</v>
      </c>
      <c r="L4956" t="s">
        <v>60</v>
      </c>
      <c r="M4956" t="str">
        <f>_xlfn.XLOOKUP(Pipeline_tbl[[#This Row],[Rep_ID]],Dim_Reps!A:A,Dim_Reps!K:K)</f>
        <v>MXN</v>
      </c>
      <c r="N4956" s="33">
        <f>(_xlfn.XLOOKUP(Pipeline_tbl[[#This Row],[Rate_Code_Generalized]],Lookups!A:A,Lookups!B:B))*Pipeline_tbl[[#This Row],[Pipeline_Amount_USD]]</f>
        <v>323616.28000000003</v>
      </c>
      <c r="O4956" t="str">
        <f>_xlfn.XLOOKUP(Pipeline_tbl[[#This Row],[Rep_ID]],Dim_Reps!A:A,Dim_Reps!B:B)</f>
        <v>Jonas Sato</v>
      </c>
      <c r="P4956" t="str">
        <f>_xlfn.XLOOKUP(Pipeline_tbl[[#This Row],[Rep_ID]],Dim_Reps!A:A,Dim_Reps!C:C)</f>
        <v>Mid-Market AE</v>
      </c>
      <c r="Q4956" t="str">
        <f>_xlfn.XLOOKUP(Pipeline_tbl[[#This Row],[Rep_ID]],Dim_Reps!A:A,Dim_Reps!D:D)</f>
        <v>Mid-Market</v>
      </c>
      <c r="R4956" t="str">
        <f>_xlfn.XLOOKUP(Pipeline_tbl[[#This Row],[Rep_ID]],Dim_Reps!A:A,Dim_Reps!E:E)</f>
        <v>LATAM</v>
      </c>
      <c r="S4956" t="str">
        <f>_xlfn.XLOOKUP(Pipeline_tbl[[#This Row],[Created_Date]],Dim_Date!A:A,Dim_Date!H:H)</f>
        <v>Feb 2024</v>
      </c>
      <c r="T4956" t="str">
        <f>IF(Pipeline_tbl[[#This Row],[Closed_Date]]=0,"",(_xlfn.XLOOKUP(Pipeline_tbl[[#This Row],[Closed_Date]],Dim_Date!A:A,Dim_Date!H:H)))</f>
        <v>Mar 2024</v>
      </c>
      <c r="U4956">
        <f>IF(Pipeline_tbl[[#This Row],[Closed_Date]]=0,"",Pipeline_tbl[[#This Row],[Closed_Date]]-Pipeline_tbl[[#This Row],[Created_Date]])</f>
        <v>43</v>
      </c>
    </row>
    <row r="4957" spans="1:21" ht="15" customHeight="1" x14ac:dyDescent="0.2">
      <c r="A4957" t="s">
        <v>5263</v>
      </c>
      <c r="B4957" t="s">
        <v>243</v>
      </c>
      <c r="C4957" t="s">
        <v>52</v>
      </c>
      <c r="D4957" s="49">
        <v>45344</v>
      </c>
      <c r="E4957" s="49">
        <v>45347</v>
      </c>
      <c r="F4957" s="49">
        <v>45353</v>
      </c>
      <c r="G4957" s="49">
        <v>45363</v>
      </c>
      <c r="I4957" s="49">
        <v>45375</v>
      </c>
      <c r="J4957" t="s">
        <v>49</v>
      </c>
      <c r="K4957" s="33">
        <v>6100</v>
      </c>
      <c r="L4957" t="s">
        <v>63</v>
      </c>
      <c r="M4957" t="str">
        <f>_xlfn.XLOOKUP(Pipeline_tbl[[#This Row],[Rep_ID]],Dim_Reps!A:A,Dim_Reps!K:K)</f>
        <v>MXN</v>
      </c>
      <c r="N4957" s="33">
        <f>(_xlfn.XLOOKUP(Pipeline_tbl[[#This Row],[Rate_Code_Generalized]],Lookups!A:A,Lookups!B:B))*Pipeline_tbl[[#This Row],[Pipeline_Amount_USD]]</f>
        <v>120369.47</v>
      </c>
      <c r="O4957" t="str">
        <f>_xlfn.XLOOKUP(Pipeline_tbl[[#This Row],[Rep_ID]],Dim_Reps!A:A,Dim_Reps!B:B)</f>
        <v>Jonas Sato</v>
      </c>
      <c r="P4957" t="str">
        <f>_xlfn.XLOOKUP(Pipeline_tbl[[#This Row],[Rep_ID]],Dim_Reps!A:A,Dim_Reps!C:C)</f>
        <v>Mid-Market AE</v>
      </c>
      <c r="Q4957" t="str">
        <f>_xlfn.XLOOKUP(Pipeline_tbl[[#This Row],[Rep_ID]],Dim_Reps!A:A,Dim_Reps!D:D)</f>
        <v>Mid-Market</v>
      </c>
      <c r="R4957" t="str">
        <f>_xlfn.XLOOKUP(Pipeline_tbl[[#This Row],[Rep_ID]],Dim_Reps!A:A,Dim_Reps!E:E)</f>
        <v>LATAM</v>
      </c>
      <c r="S4957" t="str">
        <f>_xlfn.XLOOKUP(Pipeline_tbl[[#This Row],[Created_Date]],Dim_Date!A:A,Dim_Date!H:H)</f>
        <v>Feb 2024</v>
      </c>
      <c r="T4957" t="str">
        <f>IF(Pipeline_tbl[[#This Row],[Closed_Date]]=0,"",(_xlfn.XLOOKUP(Pipeline_tbl[[#This Row],[Closed_Date]],Dim_Date!A:A,Dim_Date!H:H)))</f>
        <v>Mar 2024</v>
      </c>
      <c r="U4957">
        <f>IF(Pipeline_tbl[[#This Row],[Closed_Date]]=0,"",Pipeline_tbl[[#This Row],[Closed_Date]]-Pipeline_tbl[[#This Row],[Created_Date]])</f>
        <v>31</v>
      </c>
    </row>
    <row r="4958" spans="1:21" ht="15" customHeight="1" x14ac:dyDescent="0.2">
      <c r="A4958" t="s">
        <v>5264</v>
      </c>
      <c r="B4958" t="s">
        <v>243</v>
      </c>
      <c r="C4958" t="s">
        <v>56</v>
      </c>
      <c r="D4958" s="49">
        <v>45329</v>
      </c>
      <c r="E4958" s="49">
        <v>45332</v>
      </c>
      <c r="F4958" s="49">
        <v>45337</v>
      </c>
      <c r="I4958" s="49">
        <v>45357</v>
      </c>
      <c r="J4958" t="s">
        <v>49</v>
      </c>
      <c r="K4958" s="33">
        <v>12000</v>
      </c>
      <c r="L4958" t="s">
        <v>63</v>
      </c>
      <c r="M4958" t="str">
        <f>_xlfn.XLOOKUP(Pipeline_tbl[[#This Row],[Rep_ID]],Dim_Reps!A:A,Dim_Reps!K:K)</f>
        <v>MXN</v>
      </c>
      <c r="N4958" s="33">
        <f>(_xlfn.XLOOKUP(Pipeline_tbl[[#This Row],[Rate_Code_Generalized]],Lookups!A:A,Lookups!B:B))*Pipeline_tbl[[#This Row],[Pipeline_Amount_USD]]</f>
        <v>236792.40000000002</v>
      </c>
      <c r="O4958" t="str">
        <f>_xlfn.XLOOKUP(Pipeline_tbl[[#This Row],[Rep_ID]],Dim_Reps!A:A,Dim_Reps!B:B)</f>
        <v>Jonas Sato</v>
      </c>
      <c r="P4958" t="str">
        <f>_xlfn.XLOOKUP(Pipeline_tbl[[#This Row],[Rep_ID]],Dim_Reps!A:A,Dim_Reps!C:C)</f>
        <v>Mid-Market AE</v>
      </c>
      <c r="Q4958" t="str">
        <f>_xlfn.XLOOKUP(Pipeline_tbl[[#This Row],[Rep_ID]],Dim_Reps!A:A,Dim_Reps!D:D)</f>
        <v>Mid-Market</v>
      </c>
      <c r="R4958" t="str">
        <f>_xlfn.XLOOKUP(Pipeline_tbl[[#This Row],[Rep_ID]],Dim_Reps!A:A,Dim_Reps!E:E)</f>
        <v>LATAM</v>
      </c>
      <c r="S4958" t="str">
        <f>_xlfn.XLOOKUP(Pipeline_tbl[[#This Row],[Created_Date]],Dim_Date!A:A,Dim_Date!H:H)</f>
        <v>Feb 2024</v>
      </c>
      <c r="T4958" t="str">
        <f>IF(Pipeline_tbl[[#This Row],[Closed_Date]]=0,"",(_xlfn.XLOOKUP(Pipeline_tbl[[#This Row],[Closed_Date]],Dim_Date!A:A,Dim_Date!H:H)))</f>
        <v>Mar 2024</v>
      </c>
      <c r="U4958">
        <f>IF(Pipeline_tbl[[#This Row],[Closed_Date]]=0,"",Pipeline_tbl[[#This Row],[Closed_Date]]-Pipeline_tbl[[#This Row],[Created_Date]])</f>
        <v>28</v>
      </c>
    </row>
    <row r="4959" spans="1:21" ht="15" customHeight="1" x14ac:dyDescent="0.2">
      <c r="A4959" t="s">
        <v>5265</v>
      </c>
      <c r="B4959" t="s">
        <v>243</v>
      </c>
      <c r="C4959" t="s">
        <v>55</v>
      </c>
      <c r="D4959" s="49">
        <v>45338</v>
      </c>
      <c r="E4959" s="49">
        <v>45340</v>
      </c>
      <c r="F4959" s="49">
        <v>45346</v>
      </c>
      <c r="G4959" s="49">
        <v>45353</v>
      </c>
      <c r="I4959" s="49">
        <v>45363</v>
      </c>
      <c r="J4959" t="s">
        <v>49</v>
      </c>
      <c r="K4959" s="33">
        <v>9700</v>
      </c>
      <c r="L4959" t="s">
        <v>63</v>
      </c>
      <c r="M4959" t="str">
        <f>_xlfn.XLOOKUP(Pipeline_tbl[[#This Row],[Rep_ID]],Dim_Reps!A:A,Dim_Reps!K:K)</f>
        <v>MXN</v>
      </c>
      <c r="N4959" s="33">
        <f>(_xlfn.XLOOKUP(Pipeline_tbl[[#This Row],[Rate_Code_Generalized]],Lookups!A:A,Lookups!B:B))*Pipeline_tbl[[#This Row],[Pipeline_Amount_USD]]</f>
        <v>191407.19</v>
      </c>
      <c r="O4959" t="str">
        <f>_xlfn.XLOOKUP(Pipeline_tbl[[#This Row],[Rep_ID]],Dim_Reps!A:A,Dim_Reps!B:B)</f>
        <v>Jonas Sato</v>
      </c>
      <c r="P4959" t="str">
        <f>_xlfn.XLOOKUP(Pipeline_tbl[[#This Row],[Rep_ID]],Dim_Reps!A:A,Dim_Reps!C:C)</f>
        <v>Mid-Market AE</v>
      </c>
      <c r="Q4959" t="str">
        <f>_xlfn.XLOOKUP(Pipeline_tbl[[#This Row],[Rep_ID]],Dim_Reps!A:A,Dim_Reps!D:D)</f>
        <v>Mid-Market</v>
      </c>
      <c r="R4959" t="str">
        <f>_xlfn.XLOOKUP(Pipeline_tbl[[#This Row],[Rep_ID]],Dim_Reps!A:A,Dim_Reps!E:E)</f>
        <v>LATAM</v>
      </c>
      <c r="S4959" t="str">
        <f>_xlfn.XLOOKUP(Pipeline_tbl[[#This Row],[Created_Date]],Dim_Date!A:A,Dim_Date!H:H)</f>
        <v>Feb 2024</v>
      </c>
      <c r="T4959" t="str">
        <f>IF(Pipeline_tbl[[#This Row],[Closed_Date]]=0,"",(_xlfn.XLOOKUP(Pipeline_tbl[[#This Row],[Closed_Date]],Dim_Date!A:A,Dim_Date!H:H)))</f>
        <v>Mar 2024</v>
      </c>
      <c r="U4959">
        <f>IF(Pipeline_tbl[[#This Row],[Closed_Date]]=0,"",Pipeline_tbl[[#This Row],[Closed_Date]]-Pipeline_tbl[[#This Row],[Created_Date]])</f>
        <v>25</v>
      </c>
    </row>
    <row r="4960" spans="1:21" ht="15" customHeight="1" x14ac:dyDescent="0.2">
      <c r="A4960" t="s">
        <v>5266</v>
      </c>
      <c r="B4960" t="s">
        <v>199</v>
      </c>
      <c r="C4960" t="s">
        <v>55</v>
      </c>
      <c r="D4960" s="49">
        <v>45341</v>
      </c>
      <c r="E4960" s="49">
        <v>45343</v>
      </c>
      <c r="F4960" s="49">
        <v>45346</v>
      </c>
      <c r="G4960" s="49">
        <v>45351</v>
      </c>
      <c r="I4960" s="49">
        <v>45357</v>
      </c>
      <c r="J4960" t="s">
        <v>49</v>
      </c>
      <c r="K4960" s="33">
        <v>1800</v>
      </c>
      <c r="L4960" t="s">
        <v>64</v>
      </c>
      <c r="M4960" t="str">
        <f>_xlfn.XLOOKUP(Pipeline_tbl[[#This Row],[Rep_ID]],Dim_Reps!A:A,Dim_Reps!K:K)</f>
        <v>EUR</v>
      </c>
      <c r="N4960" s="33">
        <f>(_xlfn.XLOOKUP(Pipeline_tbl[[#This Row],[Rate_Code_Generalized]],Lookups!A:A,Lookups!B:B))*Pipeline_tbl[[#This Row],[Pipeline_Amount_USD]]</f>
        <v>1800</v>
      </c>
      <c r="O4960" t="str">
        <f>_xlfn.XLOOKUP(Pipeline_tbl[[#This Row],[Rep_ID]],Dim_Reps!A:A,Dim_Reps!B:B)</f>
        <v>Lucas Okafor</v>
      </c>
      <c r="P4960" t="str">
        <f>_xlfn.XLOOKUP(Pipeline_tbl[[#This Row],[Rep_ID]],Dim_Reps!A:A,Dim_Reps!C:C)</f>
        <v>SDR / Inside Sales Rep</v>
      </c>
      <c r="Q4960" t="str">
        <f>_xlfn.XLOOKUP(Pipeline_tbl[[#This Row],[Rep_ID]],Dim_Reps!A:A,Dim_Reps!D:D)</f>
        <v>Inside Sales</v>
      </c>
      <c r="R4960" t="str">
        <f>_xlfn.XLOOKUP(Pipeline_tbl[[#This Row],[Rep_ID]],Dim_Reps!A:A,Dim_Reps!E:E)</f>
        <v>APAC</v>
      </c>
      <c r="S4960" t="str">
        <f>_xlfn.XLOOKUP(Pipeline_tbl[[#This Row],[Created_Date]],Dim_Date!A:A,Dim_Date!H:H)</f>
        <v>Feb 2024</v>
      </c>
      <c r="T4960" t="str">
        <f>IF(Pipeline_tbl[[#This Row],[Closed_Date]]=0,"",(_xlfn.XLOOKUP(Pipeline_tbl[[#This Row],[Closed_Date]],Dim_Date!A:A,Dim_Date!H:H)))</f>
        <v>Mar 2024</v>
      </c>
      <c r="U4960">
        <f>IF(Pipeline_tbl[[#This Row],[Closed_Date]]=0,"",Pipeline_tbl[[#This Row],[Closed_Date]]-Pipeline_tbl[[#This Row],[Created_Date]])</f>
        <v>16</v>
      </c>
    </row>
    <row r="4961" spans="1:21" ht="15" customHeight="1" x14ac:dyDescent="0.2">
      <c r="A4961" t="s">
        <v>5267</v>
      </c>
      <c r="B4961" t="s">
        <v>199</v>
      </c>
      <c r="C4961" t="s">
        <v>52</v>
      </c>
      <c r="D4961" s="49">
        <v>45348</v>
      </c>
      <c r="E4961" s="49">
        <v>45350</v>
      </c>
      <c r="F4961" s="49">
        <v>45354</v>
      </c>
      <c r="G4961" s="49">
        <v>45360</v>
      </c>
      <c r="H4961" s="49">
        <v>45365</v>
      </c>
      <c r="I4961" s="49">
        <v>45368</v>
      </c>
      <c r="J4961" t="s">
        <v>49</v>
      </c>
      <c r="K4961" s="33">
        <v>3400</v>
      </c>
      <c r="L4961" t="s">
        <v>61</v>
      </c>
      <c r="M4961" t="str">
        <f>_xlfn.XLOOKUP(Pipeline_tbl[[#This Row],[Rep_ID]],Dim_Reps!A:A,Dim_Reps!K:K)</f>
        <v>EUR</v>
      </c>
      <c r="N4961" s="33">
        <f>(_xlfn.XLOOKUP(Pipeline_tbl[[#This Row],[Rate_Code_Generalized]],Lookups!A:A,Lookups!B:B))*Pipeline_tbl[[#This Row],[Pipeline_Amount_USD]]</f>
        <v>3400</v>
      </c>
      <c r="O4961" t="str">
        <f>_xlfn.XLOOKUP(Pipeline_tbl[[#This Row],[Rep_ID]],Dim_Reps!A:A,Dim_Reps!B:B)</f>
        <v>Lucas Okafor</v>
      </c>
      <c r="P4961" t="str">
        <f>_xlfn.XLOOKUP(Pipeline_tbl[[#This Row],[Rep_ID]],Dim_Reps!A:A,Dim_Reps!C:C)</f>
        <v>SDR / Inside Sales Rep</v>
      </c>
      <c r="Q4961" t="str">
        <f>_xlfn.XLOOKUP(Pipeline_tbl[[#This Row],[Rep_ID]],Dim_Reps!A:A,Dim_Reps!D:D)</f>
        <v>Inside Sales</v>
      </c>
      <c r="R4961" t="str">
        <f>_xlfn.XLOOKUP(Pipeline_tbl[[#This Row],[Rep_ID]],Dim_Reps!A:A,Dim_Reps!E:E)</f>
        <v>APAC</v>
      </c>
      <c r="S4961" t="str">
        <f>_xlfn.XLOOKUP(Pipeline_tbl[[#This Row],[Created_Date]],Dim_Date!A:A,Dim_Date!H:H)</f>
        <v>Feb 2024</v>
      </c>
      <c r="T4961" t="str">
        <f>IF(Pipeline_tbl[[#This Row],[Closed_Date]]=0,"",(_xlfn.XLOOKUP(Pipeline_tbl[[#This Row],[Closed_Date]],Dim_Date!A:A,Dim_Date!H:H)))</f>
        <v>Mar 2024</v>
      </c>
      <c r="U4961">
        <f>IF(Pipeline_tbl[[#This Row],[Closed_Date]]=0,"",Pipeline_tbl[[#This Row],[Closed_Date]]-Pipeline_tbl[[#This Row],[Created_Date]])</f>
        <v>20</v>
      </c>
    </row>
    <row r="4962" spans="1:21" ht="15" customHeight="1" x14ac:dyDescent="0.2">
      <c r="A4962" t="s">
        <v>5268</v>
      </c>
      <c r="B4962" t="s">
        <v>199</v>
      </c>
      <c r="C4962" t="s">
        <v>53</v>
      </c>
      <c r="D4962" s="49">
        <v>45334</v>
      </c>
      <c r="E4962" s="49">
        <v>45336</v>
      </c>
      <c r="F4962" s="49">
        <v>45341</v>
      </c>
      <c r="G4962" s="49">
        <v>45348</v>
      </c>
      <c r="I4962" s="49">
        <v>45357</v>
      </c>
      <c r="J4962" t="s">
        <v>49</v>
      </c>
      <c r="K4962" s="33">
        <v>2900</v>
      </c>
      <c r="L4962" t="s">
        <v>64</v>
      </c>
      <c r="M4962" t="str">
        <f>_xlfn.XLOOKUP(Pipeline_tbl[[#This Row],[Rep_ID]],Dim_Reps!A:A,Dim_Reps!K:K)</f>
        <v>EUR</v>
      </c>
      <c r="N4962" s="33">
        <f>(_xlfn.XLOOKUP(Pipeline_tbl[[#This Row],[Rate_Code_Generalized]],Lookups!A:A,Lookups!B:B))*Pipeline_tbl[[#This Row],[Pipeline_Amount_USD]]</f>
        <v>2900</v>
      </c>
      <c r="O4962" t="str">
        <f>_xlfn.XLOOKUP(Pipeline_tbl[[#This Row],[Rep_ID]],Dim_Reps!A:A,Dim_Reps!B:B)</f>
        <v>Lucas Okafor</v>
      </c>
      <c r="P4962" t="str">
        <f>_xlfn.XLOOKUP(Pipeline_tbl[[#This Row],[Rep_ID]],Dim_Reps!A:A,Dim_Reps!C:C)</f>
        <v>SDR / Inside Sales Rep</v>
      </c>
      <c r="Q4962" t="str">
        <f>_xlfn.XLOOKUP(Pipeline_tbl[[#This Row],[Rep_ID]],Dim_Reps!A:A,Dim_Reps!D:D)</f>
        <v>Inside Sales</v>
      </c>
      <c r="R4962" t="str">
        <f>_xlfn.XLOOKUP(Pipeline_tbl[[#This Row],[Rep_ID]],Dim_Reps!A:A,Dim_Reps!E:E)</f>
        <v>APAC</v>
      </c>
      <c r="S4962" t="str">
        <f>_xlfn.XLOOKUP(Pipeline_tbl[[#This Row],[Created_Date]],Dim_Date!A:A,Dim_Date!H:H)</f>
        <v>Feb 2024</v>
      </c>
      <c r="T4962" t="str">
        <f>IF(Pipeline_tbl[[#This Row],[Closed_Date]]=0,"",(_xlfn.XLOOKUP(Pipeline_tbl[[#This Row],[Closed_Date]],Dim_Date!A:A,Dim_Date!H:H)))</f>
        <v>Mar 2024</v>
      </c>
      <c r="U4962">
        <f>IF(Pipeline_tbl[[#This Row],[Closed_Date]]=0,"",Pipeline_tbl[[#This Row],[Closed_Date]]-Pipeline_tbl[[#This Row],[Created_Date]])</f>
        <v>23</v>
      </c>
    </row>
    <row r="4963" spans="1:21" ht="15" customHeight="1" x14ac:dyDescent="0.2">
      <c r="A4963" t="s">
        <v>5269</v>
      </c>
      <c r="B4963" t="s">
        <v>199</v>
      </c>
      <c r="C4963" t="s">
        <v>54</v>
      </c>
      <c r="D4963" s="49">
        <v>45340</v>
      </c>
      <c r="E4963" s="49">
        <v>45342</v>
      </c>
      <c r="F4963" s="49">
        <v>45346</v>
      </c>
      <c r="G4963" s="49">
        <v>45352</v>
      </c>
      <c r="H4963" s="49">
        <v>45357</v>
      </c>
      <c r="I4963" s="49">
        <v>45360</v>
      </c>
      <c r="J4963" t="s">
        <v>47</v>
      </c>
      <c r="K4963" s="33">
        <v>4200</v>
      </c>
      <c r="M4963" t="str">
        <f>_xlfn.XLOOKUP(Pipeline_tbl[[#This Row],[Rep_ID]],Dim_Reps!A:A,Dim_Reps!K:K)</f>
        <v>EUR</v>
      </c>
      <c r="N4963" s="33">
        <f>(_xlfn.XLOOKUP(Pipeline_tbl[[#This Row],[Rate_Code_Generalized]],Lookups!A:A,Lookups!B:B))*Pipeline_tbl[[#This Row],[Pipeline_Amount_USD]]</f>
        <v>4200</v>
      </c>
      <c r="O4963" t="str">
        <f>_xlfn.XLOOKUP(Pipeline_tbl[[#This Row],[Rep_ID]],Dim_Reps!A:A,Dim_Reps!B:B)</f>
        <v>Lucas Okafor</v>
      </c>
      <c r="P4963" t="str">
        <f>_xlfn.XLOOKUP(Pipeline_tbl[[#This Row],[Rep_ID]],Dim_Reps!A:A,Dim_Reps!C:C)</f>
        <v>SDR / Inside Sales Rep</v>
      </c>
      <c r="Q4963" t="str">
        <f>_xlfn.XLOOKUP(Pipeline_tbl[[#This Row],[Rep_ID]],Dim_Reps!A:A,Dim_Reps!D:D)</f>
        <v>Inside Sales</v>
      </c>
      <c r="R4963" t="str">
        <f>_xlfn.XLOOKUP(Pipeline_tbl[[#This Row],[Rep_ID]],Dim_Reps!A:A,Dim_Reps!E:E)</f>
        <v>APAC</v>
      </c>
      <c r="S4963" t="str">
        <f>_xlfn.XLOOKUP(Pipeline_tbl[[#This Row],[Created_Date]],Dim_Date!A:A,Dim_Date!H:H)</f>
        <v>Feb 2024</v>
      </c>
      <c r="T4963" t="str">
        <f>IF(Pipeline_tbl[[#This Row],[Closed_Date]]=0,"",(_xlfn.XLOOKUP(Pipeline_tbl[[#This Row],[Closed_Date]],Dim_Date!A:A,Dim_Date!H:H)))</f>
        <v>Mar 2024</v>
      </c>
      <c r="U4963">
        <f>IF(Pipeline_tbl[[#This Row],[Closed_Date]]=0,"",Pipeline_tbl[[#This Row],[Closed_Date]]-Pipeline_tbl[[#This Row],[Created_Date]])</f>
        <v>20</v>
      </c>
    </row>
    <row r="4964" spans="1:21" ht="15" customHeight="1" x14ac:dyDescent="0.2">
      <c r="A4964" t="s">
        <v>5270</v>
      </c>
      <c r="B4964" t="s">
        <v>199</v>
      </c>
      <c r="C4964" t="s">
        <v>53</v>
      </c>
      <c r="D4964" s="49">
        <v>45344</v>
      </c>
      <c r="E4964" s="49">
        <v>45345</v>
      </c>
      <c r="F4964" s="49">
        <v>45348</v>
      </c>
      <c r="I4964" s="49">
        <v>45358</v>
      </c>
      <c r="J4964" t="s">
        <v>49</v>
      </c>
      <c r="K4964" s="33">
        <v>4600</v>
      </c>
      <c r="L4964" t="s">
        <v>60</v>
      </c>
      <c r="M4964" t="str">
        <f>_xlfn.XLOOKUP(Pipeline_tbl[[#This Row],[Rep_ID]],Dim_Reps!A:A,Dim_Reps!K:K)</f>
        <v>EUR</v>
      </c>
      <c r="N4964" s="33">
        <f>(_xlfn.XLOOKUP(Pipeline_tbl[[#This Row],[Rate_Code_Generalized]],Lookups!A:A,Lookups!B:B))*Pipeline_tbl[[#This Row],[Pipeline_Amount_USD]]</f>
        <v>4600</v>
      </c>
      <c r="O4964" t="str">
        <f>_xlfn.XLOOKUP(Pipeline_tbl[[#This Row],[Rep_ID]],Dim_Reps!A:A,Dim_Reps!B:B)</f>
        <v>Lucas Okafor</v>
      </c>
      <c r="P4964" t="str">
        <f>_xlfn.XLOOKUP(Pipeline_tbl[[#This Row],[Rep_ID]],Dim_Reps!A:A,Dim_Reps!C:C)</f>
        <v>SDR / Inside Sales Rep</v>
      </c>
      <c r="Q4964" t="str">
        <f>_xlfn.XLOOKUP(Pipeline_tbl[[#This Row],[Rep_ID]],Dim_Reps!A:A,Dim_Reps!D:D)</f>
        <v>Inside Sales</v>
      </c>
      <c r="R4964" t="str">
        <f>_xlfn.XLOOKUP(Pipeline_tbl[[#This Row],[Rep_ID]],Dim_Reps!A:A,Dim_Reps!E:E)</f>
        <v>APAC</v>
      </c>
      <c r="S4964" t="str">
        <f>_xlfn.XLOOKUP(Pipeline_tbl[[#This Row],[Created_Date]],Dim_Date!A:A,Dim_Date!H:H)</f>
        <v>Feb 2024</v>
      </c>
      <c r="T4964" t="str">
        <f>IF(Pipeline_tbl[[#This Row],[Closed_Date]]=0,"",(_xlfn.XLOOKUP(Pipeline_tbl[[#This Row],[Closed_Date]],Dim_Date!A:A,Dim_Date!H:H)))</f>
        <v>Mar 2024</v>
      </c>
      <c r="U4964">
        <f>IF(Pipeline_tbl[[#This Row],[Closed_Date]]=0,"",Pipeline_tbl[[#This Row],[Closed_Date]]-Pipeline_tbl[[#This Row],[Created_Date]])</f>
        <v>14</v>
      </c>
    </row>
    <row r="4965" spans="1:21" ht="15" customHeight="1" x14ac:dyDescent="0.2">
      <c r="A4965" t="s">
        <v>5271</v>
      </c>
      <c r="B4965" t="s">
        <v>199</v>
      </c>
      <c r="C4965" t="s">
        <v>53</v>
      </c>
      <c r="D4965" s="49">
        <v>45339</v>
      </c>
      <c r="E4965" s="49">
        <v>45341</v>
      </c>
      <c r="F4965" s="49">
        <v>45344</v>
      </c>
      <c r="G4965" s="49">
        <v>45349</v>
      </c>
      <c r="H4965" s="49">
        <v>45353</v>
      </c>
      <c r="I4965" s="49">
        <v>45355</v>
      </c>
      <c r="J4965" t="s">
        <v>47</v>
      </c>
      <c r="K4965" s="33">
        <v>3100</v>
      </c>
      <c r="M4965" t="str">
        <f>_xlfn.XLOOKUP(Pipeline_tbl[[#This Row],[Rep_ID]],Dim_Reps!A:A,Dim_Reps!K:K)</f>
        <v>EUR</v>
      </c>
      <c r="N4965" s="33">
        <f>(_xlfn.XLOOKUP(Pipeline_tbl[[#This Row],[Rate_Code_Generalized]],Lookups!A:A,Lookups!B:B))*Pipeline_tbl[[#This Row],[Pipeline_Amount_USD]]</f>
        <v>3100</v>
      </c>
      <c r="O4965" t="str">
        <f>_xlfn.XLOOKUP(Pipeline_tbl[[#This Row],[Rep_ID]],Dim_Reps!A:A,Dim_Reps!B:B)</f>
        <v>Lucas Okafor</v>
      </c>
      <c r="P4965" t="str">
        <f>_xlfn.XLOOKUP(Pipeline_tbl[[#This Row],[Rep_ID]],Dim_Reps!A:A,Dim_Reps!C:C)</f>
        <v>SDR / Inside Sales Rep</v>
      </c>
      <c r="Q4965" t="str">
        <f>_xlfn.XLOOKUP(Pipeline_tbl[[#This Row],[Rep_ID]],Dim_Reps!A:A,Dim_Reps!D:D)</f>
        <v>Inside Sales</v>
      </c>
      <c r="R4965" t="str">
        <f>_xlfn.XLOOKUP(Pipeline_tbl[[#This Row],[Rep_ID]],Dim_Reps!A:A,Dim_Reps!E:E)</f>
        <v>APAC</v>
      </c>
      <c r="S4965" t="str">
        <f>_xlfn.XLOOKUP(Pipeline_tbl[[#This Row],[Created_Date]],Dim_Date!A:A,Dim_Date!H:H)</f>
        <v>Feb 2024</v>
      </c>
      <c r="T4965" t="str">
        <f>IF(Pipeline_tbl[[#This Row],[Closed_Date]]=0,"",(_xlfn.XLOOKUP(Pipeline_tbl[[#This Row],[Closed_Date]],Dim_Date!A:A,Dim_Date!H:H)))</f>
        <v>Mar 2024</v>
      </c>
      <c r="U4965">
        <f>IF(Pipeline_tbl[[#This Row],[Closed_Date]]=0,"",Pipeline_tbl[[#This Row],[Closed_Date]]-Pipeline_tbl[[#This Row],[Created_Date]])</f>
        <v>16</v>
      </c>
    </row>
    <row r="4966" spans="1:21" ht="15" customHeight="1" x14ac:dyDescent="0.2">
      <c r="A4966" t="s">
        <v>5272</v>
      </c>
      <c r="B4966" t="s">
        <v>199</v>
      </c>
      <c r="C4966" t="s">
        <v>52</v>
      </c>
      <c r="D4966" s="49">
        <v>45343</v>
      </c>
      <c r="E4966" s="49">
        <v>45345</v>
      </c>
      <c r="F4966" s="49">
        <v>45349</v>
      </c>
      <c r="G4966" s="49">
        <v>45355</v>
      </c>
      <c r="H4966" s="49">
        <v>45360</v>
      </c>
      <c r="I4966" s="49">
        <v>45363</v>
      </c>
      <c r="J4966" t="s">
        <v>49</v>
      </c>
      <c r="K4966" s="33">
        <v>5400</v>
      </c>
      <c r="L4966" t="s">
        <v>60</v>
      </c>
      <c r="M4966" t="str">
        <f>_xlfn.XLOOKUP(Pipeline_tbl[[#This Row],[Rep_ID]],Dim_Reps!A:A,Dim_Reps!K:K)</f>
        <v>EUR</v>
      </c>
      <c r="N4966" s="33">
        <f>(_xlfn.XLOOKUP(Pipeline_tbl[[#This Row],[Rate_Code_Generalized]],Lookups!A:A,Lookups!B:B))*Pipeline_tbl[[#This Row],[Pipeline_Amount_USD]]</f>
        <v>5400</v>
      </c>
      <c r="O4966" t="str">
        <f>_xlfn.XLOOKUP(Pipeline_tbl[[#This Row],[Rep_ID]],Dim_Reps!A:A,Dim_Reps!B:B)</f>
        <v>Lucas Okafor</v>
      </c>
      <c r="P4966" t="str">
        <f>_xlfn.XLOOKUP(Pipeline_tbl[[#This Row],[Rep_ID]],Dim_Reps!A:A,Dim_Reps!C:C)</f>
        <v>SDR / Inside Sales Rep</v>
      </c>
      <c r="Q4966" t="str">
        <f>_xlfn.XLOOKUP(Pipeline_tbl[[#This Row],[Rep_ID]],Dim_Reps!A:A,Dim_Reps!D:D)</f>
        <v>Inside Sales</v>
      </c>
      <c r="R4966" t="str">
        <f>_xlfn.XLOOKUP(Pipeline_tbl[[#This Row],[Rep_ID]],Dim_Reps!A:A,Dim_Reps!E:E)</f>
        <v>APAC</v>
      </c>
      <c r="S4966" t="str">
        <f>_xlfn.XLOOKUP(Pipeline_tbl[[#This Row],[Created_Date]],Dim_Date!A:A,Dim_Date!H:H)</f>
        <v>Feb 2024</v>
      </c>
      <c r="T4966" t="str">
        <f>IF(Pipeline_tbl[[#This Row],[Closed_Date]]=0,"",(_xlfn.XLOOKUP(Pipeline_tbl[[#This Row],[Closed_Date]],Dim_Date!A:A,Dim_Date!H:H)))</f>
        <v>Mar 2024</v>
      </c>
      <c r="U4966">
        <f>IF(Pipeline_tbl[[#This Row],[Closed_Date]]=0,"",Pipeline_tbl[[#This Row],[Closed_Date]]-Pipeline_tbl[[#This Row],[Created_Date]])</f>
        <v>20</v>
      </c>
    </row>
    <row r="4967" spans="1:21" ht="15" customHeight="1" x14ac:dyDescent="0.2">
      <c r="A4967" t="s">
        <v>5273</v>
      </c>
      <c r="B4967" t="s">
        <v>199</v>
      </c>
      <c r="C4967" t="s">
        <v>53</v>
      </c>
      <c r="D4967" s="49">
        <v>45333</v>
      </c>
      <c r="E4967" s="49">
        <v>45335</v>
      </c>
      <c r="F4967" s="49">
        <v>45340</v>
      </c>
      <c r="I4967" s="49">
        <v>45355</v>
      </c>
      <c r="J4967" t="s">
        <v>49</v>
      </c>
      <c r="K4967" s="33">
        <v>5200</v>
      </c>
      <c r="L4967" t="s">
        <v>61</v>
      </c>
      <c r="M4967" t="str">
        <f>_xlfn.XLOOKUP(Pipeline_tbl[[#This Row],[Rep_ID]],Dim_Reps!A:A,Dim_Reps!K:K)</f>
        <v>EUR</v>
      </c>
      <c r="N4967" s="33">
        <f>(_xlfn.XLOOKUP(Pipeline_tbl[[#This Row],[Rate_Code_Generalized]],Lookups!A:A,Lookups!B:B))*Pipeline_tbl[[#This Row],[Pipeline_Amount_USD]]</f>
        <v>5200</v>
      </c>
      <c r="O4967" t="str">
        <f>_xlfn.XLOOKUP(Pipeline_tbl[[#This Row],[Rep_ID]],Dim_Reps!A:A,Dim_Reps!B:B)</f>
        <v>Lucas Okafor</v>
      </c>
      <c r="P4967" t="str">
        <f>_xlfn.XLOOKUP(Pipeline_tbl[[#This Row],[Rep_ID]],Dim_Reps!A:A,Dim_Reps!C:C)</f>
        <v>SDR / Inside Sales Rep</v>
      </c>
      <c r="Q4967" t="str">
        <f>_xlfn.XLOOKUP(Pipeline_tbl[[#This Row],[Rep_ID]],Dim_Reps!A:A,Dim_Reps!D:D)</f>
        <v>Inside Sales</v>
      </c>
      <c r="R4967" t="str">
        <f>_xlfn.XLOOKUP(Pipeline_tbl[[#This Row],[Rep_ID]],Dim_Reps!A:A,Dim_Reps!E:E)</f>
        <v>APAC</v>
      </c>
      <c r="S4967" t="str">
        <f>_xlfn.XLOOKUP(Pipeline_tbl[[#This Row],[Created_Date]],Dim_Date!A:A,Dim_Date!H:H)</f>
        <v>Feb 2024</v>
      </c>
      <c r="T4967" t="str">
        <f>IF(Pipeline_tbl[[#This Row],[Closed_Date]]=0,"",(_xlfn.XLOOKUP(Pipeline_tbl[[#This Row],[Closed_Date]],Dim_Date!A:A,Dim_Date!H:H)))</f>
        <v>Mar 2024</v>
      </c>
      <c r="U4967">
        <f>IF(Pipeline_tbl[[#This Row],[Closed_Date]]=0,"",Pipeline_tbl[[#This Row],[Closed_Date]]-Pipeline_tbl[[#This Row],[Created_Date]])</f>
        <v>22</v>
      </c>
    </row>
    <row r="4968" spans="1:21" ht="15" customHeight="1" x14ac:dyDescent="0.2">
      <c r="A4968" t="s">
        <v>5274</v>
      </c>
      <c r="B4968" t="s">
        <v>205</v>
      </c>
      <c r="C4968" t="s">
        <v>56</v>
      </c>
      <c r="D4968" s="49">
        <v>45348</v>
      </c>
      <c r="E4968" s="49">
        <v>45350</v>
      </c>
      <c r="F4968" s="49">
        <v>45353</v>
      </c>
      <c r="G4968" s="49">
        <v>45357</v>
      </c>
      <c r="I4968" s="49">
        <v>45363</v>
      </c>
      <c r="J4968" t="s">
        <v>49</v>
      </c>
      <c r="K4968" s="33">
        <v>3100</v>
      </c>
      <c r="L4968" t="s">
        <v>62</v>
      </c>
      <c r="M4968" t="str">
        <f>_xlfn.XLOOKUP(Pipeline_tbl[[#This Row],[Rep_ID]],Dim_Reps!A:A,Dim_Reps!K:K)</f>
        <v>EUR</v>
      </c>
      <c r="N4968" s="33">
        <f>(_xlfn.XLOOKUP(Pipeline_tbl[[#This Row],[Rate_Code_Generalized]],Lookups!A:A,Lookups!B:B))*Pipeline_tbl[[#This Row],[Pipeline_Amount_USD]]</f>
        <v>3100</v>
      </c>
      <c r="O4968" t="str">
        <f>_xlfn.XLOOKUP(Pipeline_tbl[[#This Row],[Rep_ID]],Dim_Reps!A:A,Dim_Reps!B:B)</f>
        <v>Karim Alvarez</v>
      </c>
      <c r="P4968" t="str">
        <f>_xlfn.XLOOKUP(Pipeline_tbl[[#This Row],[Rep_ID]],Dim_Reps!A:A,Dim_Reps!C:C)</f>
        <v>SDR / Inside Sales Rep</v>
      </c>
      <c r="Q4968" t="str">
        <f>_xlfn.XLOOKUP(Pipeline_tbl[[#This Row],[Rep_ID]],Dim_Reps!A:A,Dim_Reps!D:D)</f>
        <v>Inside Sales</v>
      </c>
      <c r="R4968" t="str">
        <f>_xlfn.XLOOKUP(Pipeline_tbl[[#This Row],[Rep_ID]],Dim_Reps!A:A,Dim_Reps!E:E)</f>
        <v>EMEA</v>
      </c>
      <c r="S4968" t="str">
        <f>_xlfn.XLOOKUP(Pipeline_tbl[[#This Row],[Created_Date]],Dim_Date!A:A,Dim_Date!H:H)</f>
        <v>Feb 2024</v>
      </c>
      <c r="T4968" t="str">
        <f>IF(Pipeline_tbl[[#This Row],[Closed_Date]]=0,"",(_xlfn.XLOOKUP(Pipeline_tbl[[#This Row],[Closed_Date]],Dim_Date!A:A,Dim_Date!H:H)))</f>
        <v>Mar 2024</v>
      </c>
      <c r="U4968">
        <f>IF(Pipeline_tbl[[#This Row],[Closed_Date]]=0,"",Pipeline_tbl[[#This Row],[Closed_Date]]-Pipeline_tbl[[#This Row],[Created_Date]])</f>
        <v>15</v>
      </c>
    </row>
    <row r="4969" spans="1:21" ht="15" customHeight="1" x14ac:dyDescent="0.2">
      <c r="A4969" t="s">
        <v>5275</v>
      </c>
      <c r="B4969" t="s">
        <v>205</v>
      </c>
      <c r="C4969" t="s">
        <v>53</v>
      </c>
      <c r="D4969" s="49">
        <v>45348</v>
      </c>
      <c r="E4969" s="49">
        <v>45350</v>
      </c>
      <c r="F4969" s="49">
        <v>45354</v>
      </c>
      <c r="G4969" s="49">
        <v>45359</v>
      </c>
      <c r="I4969" s="49">
        <v>45367</v>
      </c>
      <c r="J4969" t="s">
        <v>49</v>
      </c>
      <c r="K4969" s="33">
        <v>2800</v>
      </c>
      <c r="L4969" t="s">
        <v>62</v>
      </c>
      <c r="M4969" t="str">
        <f>_xlfn.XLOOKUP(Pipeline_tbl[[#This Row],[Rep_ID]],Dim_Reps!A:A,Dim_Reps!K:K)</f>
        <v>EUR</v>
      </c>
      <c r="N4969" s="33">
        <f>(_xlfn.XLOOKUP(Pipeline_tbl[[#This Row],[Rate_Code_Generalized]],Lookups!A:A,Lookups!B:B))*Pipeline_tbl[[#This Row],[Pipeline_Amount_USD]]</f>
        <v>2800</v>
      </c>
      <c r="O4969" t="str">
        <f>_xlfn.XLOOKUP(Pipeline_tbl[[#This Row],[Rep_ID]],Dim_Reps!A:A,Dim_Reps!B:B)</f>
        <v>Karim Alvarez</v>
      </c>
      <c r="P4969" t="str">
        <f>_xlfn.XLOOKUP(Pipeline_tbl[[#This Row],[Rep_ID]],Dim_Reps!A:A,Dim_Reps!C:C)</f>
        <v>SDR / Inside Sales Rep</v>
      </c>
      <c r="Q4969" t="str">
        <f>_xlfn.XLOOKUP(Pipeline_tbl[[#This Row],[Rep_ID]],Dim_Reps!A:A,Dim_Reps!D:D)</f>
        <v>Inside Sales</v>
      </c>
      <c r="R4969" t="str">
        <f>_xlfn.XLOOKUP(Pipeline_tbl[[#This Row],[Rep_ID]],Dim_Reps!A:A,Dim_Reps!E:E)</f>
        <v>EMEA</v>
      </c>
      <c r="S4969" t="str">
        <f>_xlfn.XLOOKUP(Pipeline_tbl[[#This Row],[Created_Date]],Dim_Date!A:A,Dim_Date!H:H)</f>
        <v>Feb 2024</v>
      </c>
      <c r="T4969" t="str">
        <f>IF(Pipeline_tbl[[#This Row],[Closed_Date]]=0,"",(_xlfn.XLOOKUP(Pipeline_tbl[[#This Row],[Closed_Date]],Dim_Date!A:A,Dim_Date!H:H)))</f>
        <v>Mar 2024</v>
      </c>
      <c r="U4969">
        <f>IF(Pipeline_tbl[[#This Row],[Closed_Date]]=0,"",Pipeline_tbl[[#This Row],[Closed_Date]]-Pipeline_tbl[[#This Row],[Created_Date]])</f>
        <v>19</v>
      </c>
    </row>
    <row r="4970" spans="1:21" ht="15" customHeight="1" x14ac:dyDescent="0.2">
      <c r="A4970" t="s">
        <v>5276</v>
      </c>
      <c r="B4970" t="s">
        <v>211</v>
      </c>
      <c r="C4970" t="s">
        <v>52</v>
      </c>
      <c r="D4970" s="49">
        <v>45341</v>
      </c>
      <c r="E4970" s="49">
        <v>45343</v>
      </c>
      <c r="F4970" s="49">
        <v>45348</v>
      </c>
      <c r="G4970" s="49">
        <v>45354</v>
      </c>
      <c r="H4970" s="49">
        <v>45360</v>
      </c>
      <c r="I4970" s="49">
        <v>45363</v>
      </c>
      <c r="J4970" t="s">
        <v>47</v>
      </c>
      <c r="K4970" s="33">
        <v>2700</v>
      </c>
      <c r="M4970" t="str">
        <f>_xlfn.XLOOKUP(Pipeline_tbl[[#This Row],[Rep_ID]],Dim_Reps!A:A,Dim_Reps!K:K)</f>
        <v>EUR</v>
      </c>
      <c r="N4970" s="33">
        <f>(_xlfn.XLOOKUP(Pipeline_tbl[[#This Row],[Rate_Code_Generalized]],Lookups!A:A,Lookups!B:B))*Pipeline_tbl[[#This Row],[Pipeline_Amount_USD]]</f>
        <v>2700</v>
      </c>
      <c r="O4970" t="str">
        <f>_xlfn.XLOOKUP(Pipeline_tbl[[#This Row],[Rep_ID]],Dim_Reps!A:A,Dim_Reps!B:B)</f>
        <v>Lea Weber</v>
      </c>
      <c r="P4970" t="str">
        <f>_xlfn.XLOOKUP(Pipeline_tbl[[#This Row],[Rep_ID]],Dim_Reps!A:A,Dim_Reps!C:C)</f>
        <v>SDR / Inside Sales Rep</v>
      </c>
      <c r="Q4970" t="str">
        <f>_xlfn.XLOOKUP(Pipeline_tbl[[#This Row],[Rep_ID]],Dim_Reps!A:A,Dim_Reps!D:D)</f>
        <v>Inside Sales</v>
      </c>
      <c r="R4970" t="str">
        <f>_xlfn.XLOOKUP(Pipeline_tbl[[#This Row],[Rep_ID]],Dim_Reps!A:A,Dim_Reps!E:E)</f>
        <v>EMEA</v>
      </c>
      <c r="S4970" t="str">
        <f>_xlfn.XLOOKUP(Pipeline_tbl[[#This Row],[Created_Date]],Dim_Date!A:A,Dim_Date!H:H)</f>
        <v>Feb 2024</v>
      </c>
      <c r="T4970" t="str">
        <f>IF(Pipeline_tbl[[#This Row],[Closed_Date]]=0,"",(_xlfn.XLOOKUP(Pipeline_tbl[[#This Row],[Closed_Date]],Dim_Date!A:A,Dim_Date!H:H)))</f>
        <v>Mar 2024</v>
      </c>
      <c r="U4970">
        <f>IF(Pipeline_tbl[[#This Row],[Closed_Date]]=0,"",Pipeline_tbl[[#This Row],[Closed_Date]]-Pipeline_tbl[[#This Row],[Created_Date]])</f>
        <v>22</v>
      </c>
    </row>
    <row r="4971" spans="1:21" ht="15" customHeight="1" x14ac:dyDescent="0.2">
      <c r="A4971" t="s">
        <v>5277</v>
      </c>
      <c r="B4971" t="s">
        <v>211</v>
      </c>
      <c r="C4971" t="s">
        <v>52</v>
      </c>
      <c r="D4971" s="49">
        <v>45344</v>
      </c>
      <c r="E4971" s="49">
        <v>45346</v>
      </c>
      <c r="I4971" s="49">
        <v>45367</v>
      </c>
      <c r="J4971" t="s">
        <v>49</v>
      </c>
      <c r="K4971" s="33">
        <v>1600</v>
      </c>
      <c r="L4971" t="s">
        <v>60</v>
      </c>
      <c r="M4971" t="str">
        <f>_xlfn.XLOOKUP(Pipeline_tbl[[#This Row],[Rep_ID]],Dim_Reps!A:A,Dim_Reps!K:K)</f>
        <v>EUR</v>
      </c>
      <c r="N4971" s="33">
        <f>(_xlfn.XLOOKUP(Pipeline_tbl[[#This Row],[Rate_Code_Generalized]],Lookups!A:A,Lookups!B:B))*Pipeline_tbl[[#This Row],[Pipeline_Amount_USD]]</f>
        <v>1600</v>
      </c>
      <c r="O4971" t="str">
        <f>_xlfn.XLOOKUP(Pipeline_tbl[[#This Row],[Rep_ID]],Dim_Reps!A:A,Dim_Reps!B:B)</f>
        <v>Lea Weber</v>
      </c>
      <c r="P4971" t="str">
        <f>_xlfn.XLOOKUP(Pipeline_tbl[[#This Row],[Rep_ID]],Dim_Reps!A:A,Dim_Reps!C:C)</f>
        <v>SDR / Inside Sales Rep</v>
      </c>
      <c r="Q4971" t="str">
        <f>_xlfn.XLOOKUP(Pipeline_tbl[[#This Row],[Rep_ID]],Dim_Reps!A:A,Dim_Reps!D:D)</f>
        <v>Inside Sales</v>
      </c>
      <c r="R4971" t="str">
        <f>_xlfn.XLOOKUP(Pipeline_tbl[[#This Row],[Rep_ID]],Dim_Reps!A:A,Dim_Reps!E:E)</f>
        <v>EMEA</v>
      </c>
      <c r="S4971" t="str">
        <f>_xlfn.XLOOKUP(Pipeline_tbl[[#This Row],[Created_Date]],Dim_Date!A:A,Dim_Date!H:H)</f>
        <v>Feb 2024</v>
      </c>
      <c r="T4971" t="str">
        <f>IF(Pipeline_tbl[[#This Row],[Closed_Date]]=0,"",(_xlfn.XLOOKUP(Pipeline_tbl[[#This Row],[Closed_Date]],Dim_Date!A:A,Dim_Date!H:H)))</f>
        <v>Mar 2024</v>
      </c>
      <c r="U4971">
        <f>IF(Pipeline_tbl[[#This Row],[Closed_Date]]=0,"",Pipeline_tbl[[#This Row],[Closed_Date]]-Pipeline_tbl[[#This Row],[Created_Date]])</f>
        <v>23</v>
      </c>
    </row>
    <row r="4972" spans="1:21" ht="15" customHeight="1" x14ac:dyDescent="0.2">
      <c r="A4972" t="s">
        <v>5278</v>
      </c>
      <c r="B4972" t="s">
        <v>211</v>
      </c>
      <c r="C4972" t="s">
        <v>52</v>
      </c>
      <c r="D4972" s="49">
        <v>45343</v>
      </c>
      <c r="E4972" s="49">
        <v>45346</v>
      </c>
      <c r="F4972" s="49">
        <v>45351</v>
      </c>
      <c r="I4972" s="49">
        <v>45369</v>
      </c>
      <c r="J4972" t="s">
        <v>49</v>
      </c>
      <c r="K4972" s="33">
        <v>2100</v>
      </c>
      <c r="L4972" t="s">
        <v>62</v>
      </c>
      <c r="M4972" t="str">
        <f>_xlfn.XLOOKUP(Pipeline_tbl[[#This Row],[Rep_ID]],Dim_Reps!A:A,Dim_Reps!K:K)</f>
        <v>EUR</v>
      </c>
      <c r="N4972" s="33">
        <f>(_xlfn.XLOOKUP(Pipeline_tbl[[#This Row],[Rate_Code_Generalized]],Lookups!A:A,Lookups!B:B))*Pipeline_tbl[[#This Row],[Pipeline_Amount_USD]]</f>
        <v>2100</v>
      </c>
      <c r="O4972" t="str">
        <f>_xlfn.XLOOKUP(Pipeline_tbl[[#This Row],[Rep_ID]],Dim_Reps!A:A,Dim_Reps!B:B)</f>
        <v>Lea Weber</v>
      </c>
      <c r="P4972" t="str">
        <f>_xlfn.XLOOKUP(Pipeline_tbl[[#This Row],[Rep_ID]],Dim_Reps!A:A,Dim_Reps!C:C)</f>
        <v>SDR / Inside Sales Rep</v>
      </c>
      <c r="Q4972" t="str">
        <f>_xlfn.XLOOKUP(Pipeline_tbl[[#This Row],[Rep_ID]],Dim_Reps!A:A,Dim_Reps!D:D)</f>
        <v>Inside Sales</v>
      </c>
      <c r="R4972" t="str">
        <f>_xlfn.XLOOKUP(Pipeline_tbl[[#This Row],[Rep_ID]],Dim_Reps!A:A,Dim_Reps!E:E)</f>
        <v>EMEA</v>
      </c>
      <c r="S4972" t="str">
        <f>_xlfn.XLOOKUP(Pipeline_tbl[[#This Row],[Created_Date]],Dim_Date!A:A,Dim_Date!H:H)</f>
        <v>Feb 2024</v>
      </c>
      <c r="T4972" t="str">
        <f>IF(Pipeline_tbl[[#This Row],[Closed_Date]]=0,"",(_xlfn.XLOOKUP(Pipeline_tbl[[#This Row],[Closed_Date]],Dim_Date!A:A,Dim_Date!H:H)))</f>
        <v>Mar 2024</v>
      </c>
      <c r="U4972">
        <f>IF(Pipeline_tbl[[#This Row],[Closed_Date]]=0,"",Pipeline_tbl[[#This Row],[Closed_Date]]-Pipeline_tbl[[#This Row],[Created_Date]])</f>
        <v>26</v>
      </c>
    </row>
    <row r="4973" spans="1:21" ht="15" customHeight="1" x14ac:dyDescent="0.2">
      <c r="A4973" t="s">
        <v>5279</v>
      </c>
      <c r="B4973" t="s">
        <v>211</v>
      </c>
      <c r="C4973" t="s">
        <v>55</v>
      </c>
      <c r="D4973" s="49">
        <v>45345</v>
      </c>
      <c r="E4973" s="49">
        <v>45347</v>
      </c>
      <c r="F4973" s="49">
        <v>45350</v>
      </c>
      <c r="G4973" s="49">
        <v>45355</v>
      </c>
      <c r="H4973" s="49">
        <v>45359</v>
      </c>
      <c r="I4973" s="49">
        <v>45362</v>
      </c>
      <c r="J4973" t="s">
        <v>49</v>
      </c>
      <c r="K4973" s="33">
        <v>6300</v>
      </c>
      <c r="L4973" t="s">
        <v>64</v>
      </c>
      <c r="M4973" t="str">
        <f>_xlfn.XLOOKUP(Pipeline_tbl[[#This Row],[Rep_ID]],Dim_Reps!A:A,Dim_Reps!K:K)</f>
        <v>EUR</v>
      </c>
      <c r="N4973" s="33">
        <f>(_xlfn.XLOOKUP(Pipeline_tbl[[#This Row],[Rate_Code_Generalized]],Lookups!A:A,Lookups!B:B))*Pipeline_tbl[[#This Row],[Pipeline_Amount_USD]]</f>
        <v>6300</v>
      </c>
      <c r="O4973" t="str">
        <f>_xlfn.XLOOKUP(Pipeline_tbl[[#This Row],[Rep_ID]],Dim_Reps!A:A,Dim_Reps!B:B)</f>
        <v>Lea Weber</v>
      </c>
      <c r="P4973" t="str">
        <f>_xlfn.XLOOKUP(Pipeline_tbl[[#This Row],[Rep_ID]],Dim_Reps!A:A,Dim_Reps!C:C)</f>
        <v>SDR / Inside Sales Rep</v>
      </c>
      <c r="Q4973" t="str">
        <f>_xlfn.XLOOKUP(Pipeline_tbl[[#This Row],[Rep_ID]],Dim_Reps!A:A,Dim_Reps!D:D)</f>
        <v>Inside Sales</v>
      </c>
      <c r="R4973" t="str">
        <f>_xlfn.XLOOKUP(Pipeline_tbl[[#This Row],[Rep_ID]],Dim_Reps!A:A,Dim_Reps!E:E)</f>
        <v>EMEA</v>
      </c>
      <c r="S4973" t="str">
        <f>_xlfn.XLOOKUP(Pipeline_tbl[[#This Row],[Created_Date]],Dim_Date!A:A,Dim_Date!H:H)</f>
        <v>Feb 2024</v>
      </c>
      <c r="T4973" t="str">
        <f>IF(Pipeline_tbl[[#This Row],[Closed_Date]]=0,"",(_xlfn.XLOOKUP(Pipeline_tbl[[#This Row],[Closed_Date]],Dim_Date!A:A,Dim_Date!H:H)))</f>
        <v>Mar 2024</v>
      </c>
      <c r="U4973">
        <f>IF(Pipeline_tbl[[#This Row],[Closed_Date]]=0,"",Pipeline_tbl[[#This Row],[Closed_Date]]-Pipeline_tbl[[#This Row],[Created_Date]])</f>
        <v>17</v>
      </c>
    </row>
    <row r="4974" spans="1:21" ht="15" customHeight="1" x14ac:dyDescent="0.2">
      <c r="A4974" t="s">
        <v>5280</v>
      </c>
      <c r="B4974" t="s">
        <v>215</v>
      </c>
      <c r="C4974" t="s">
        <v>52</v>
      </c>
      <c r="D4974" s="49">
        <v>45350</v>
      </c>
      <c r="E4974" s="49">
        <v>45352</v>
      </c>
      <c r="F4974" s="49">
        <v>45355</v>
      </c>
      <c r="G4974" s="49">
        <v>45360</v>
      </c>
      <c r="I4974" s="49">
        <v>45367</v>
      </c>
      <c r="J4974" t="s">
        <v>49</v>
      </c>
      <c r="K4974" s="33">
        <v>3200</v>
      </c>
      <c r="L4974" t="s">
        <v>63</v>
      </c>
      <c r="M4974" t="str">
        <f>_xlfn.XLOOKUP(Pipeline_tbl[[#This Row],[Rep_ID]],Dim_Reps!A:A,Dim_Reps!K:K)</f>
        <v>EUR</v>
      </c>
      <c r="N4974" s="33">
        <f>(_xlfn.XLOOKUP(Pipeline_tbl[[#This Row],[Rate_Code_Generalized]],Lookups!A:A,Lookups!B:B))*Pipeline_tbl[[#This Row],[Pipeline_Amount_USD]]</f>
        <v>3200</v>
      </c>
      <c r="O4974" t="str">
        <f>_xlfn.XLOOKUP(Pipeline_tbl[[#This Row],[Rep_ID]],Dim_Reps!A:A,Dim_Reps!B:B)</f>
        <v>Jamie Schmidt</v>
      </c>
      <c r="P4974" t="str">
        <f>_xlfn.XLOOKUP(Pipeline_tbl[[#This Row],[Rep_ID]],Dim_Reps!A:A,Dim_Reps!C:C)</f>
        <v>SDR / Inside Sales Rep</v>
      </c>
      <c r="Q4974" t="str">
        <f>_xlfn.XLOOKUP(Pipeline_tbl[[#This Row],[Rep_ID]],Dim_Reps!A:A,Dim_Reps!D:D)</f>
        <v>Inside Sales</v>
      </c>
      <c r="R4974" t="str">
        <f>_xlfn.XLOOKUP(Pipeline_tbl[[#This Row],[Rep_ID]],Dim_Reps!A:A,Dim_Reps!E:E)</f>
        <v>APAC</v>
      </c>
      <c r="S4974" t="str">
        <f>_xlfn.XLOOKUP(Pipeline_tbl[[#This Row],[Created_Date]],Dim_Date!A:A,Dim_Date!H:H)</f>
        <v>Feb 2024</v>
      </c>
      <c r="T4974" t="str">
        <f>IF(Pipeline_tbl[[#This Row],[Closed_Date]]=0,"",(_xlfn.XLOOKUP(Pipeline_tbl[[#This Row],[Closed_Date]],Dim_Date!A:A,Dim_Date!H:H)))</f>
        <v>Mar 2024</v>
      </c>
      <c r="U4974">
        <f>IF(Pipeline_tbl[[#This Row],[Closed_Date]]=0,"",Pipeline_tbl[[#This Row],[Closed_Date]]-Pipeline_tbl[[#This Row],[Created_Date]])</f>
        <v>17</v>
      </c>
    </row>
    <row r="4975" spans="1:21" ht="15" customHeight="1" x14ac:dyDescent="0.2">
      <c r="A4975" t="s">
        <v>5281</v>
      </c>
      <c r="B4975" t="s">
        <v>215</v>
      </c>
      <c r="C4975" t="s">
        <v>55</v>
      </c>
      <c r="D4975" s="49">
        <v>45345</v>
      </c>
      <c r="E4975" s="49">
        <v>45347</v>
      </c>
      <c r="F4975" s="49">
        <v>45353</v>
      </c>
      <c r="G4975" s="49">
        <v>45360</v>
      </c>
      <c r="I4975" s="49">
        <v>45370</v>
      </c>
      <c r="J4975" t="s">
        <v>49</v>
      </c>
      <c r="K4975" s="33">
        <v>4800</v>
      </c>
      <c r="L4975" t="s">
        <v>64</v>
      </c>
      <c r="M4975" t="str">
        <f>_xlfn.XLOOKUP(Pipeline_tbl[[#This Row],[Rep_ID]],Dim_Reps!A:A,Dim_Reps!K:K)</f>
        <v>EUR</v>
      </c>
      <c r="N4975" s="33">
        <f>(_xlfn.XLOOKUP(Pipeline_tbl[[#This Row],[Rate_Code_Generalized]],Lookups!A:A,Lookups!B:B))*Pipeline_tbl[[#This Row],[Pipeline_Amount_USD]]</f>
        <v>4800</v>
      </c>
      <c r="O4975" t="str">
        <f>_xlfn.XLOOKUP(Pipeline_tbl[[#This Row],[Rep_ID]],Dim_Reps!A:A,Dim_Reps!B:B)</f>
        <v>Jamie Schmidt</v>
      </c>
      <c r="P4975" t="str">
        <f>_xlfn.XLOOKUP(Pipeline_tbl[[#This Row],[Rep_ID]],Dim_Reps!A:A,Dim_Reps!C:C)</f>
        <v>SDR / Inside Sales Rep</v>
      </c>
      <c r="Q4975" t="str">
        <f>_xlfn.XLOOKUP(Pipeline_tbl[[#This Row],[Rep_ID]],Dim_Reps!A:A,Dim_Reps!D:D)</f>
        <v>Inside Sales</v>
      </c>
      <c r="R4975" t="str">
        <f>_xlfn.XLOOKUP(Pipeline_tbl[[#This Row],[Rep_ID]],Dim_Reps!A:A,Dim_Reps!E:E)</f>
        <v>APAC</v>
      </c>
      <c r="S4975" t="str">
        <f>_xlfn.XLOOKUP(Pipeline_tbl[[#This Row],[Created_Date]],Dim_Date!A:A,Dim_Date!H:H)</f>
        <v>Feb 2024</v>
      </c>
      <c r="T4975" t="str">
        <f>IF(Pipeline_tbl[[#This Row],[Closed_Date]]=0,"",(_xlfn.XLOOKUP(Pipeline_tbl[[#This Row],[Closed_Date]],Dim_Date!A:A,Dim_Date!H:H)))</f>
        <v>Mar 2024</v>
      </c>
      <c r="U4975">
        <f>IF(Pipeline_tbl[[#This Row],[Closed_Date]]=0,"",Pipeline_tbl[[#This Row],[Closed_Date]]-Pipeline_tbl[[#This Row],[Created_Date]])</f>
        <v>25</v>
      </c>
    </row>
    <row r="4976" spans="1:21" ht="15" customHeight="1" x14ac:dyDescent="0.2">
      <c r="A4976" t="s">
        <v>5282</v>
      </c>
      <c r="B4976" t="s">
        <v>215</v>
      </c>
      <c r="C4976" t="s">
        <v>52</v>
      </c>
      <c r="D4976" s="49">
        <v>45345</v>
      </c>
      <c r="E4976" s="49">
        <v>45347</v>
      </c>
      <c r="F4976" s="49">
        <v>45350</v>
      </c>
      <c r="I4976" s="49">
        <v>45360</v>
      </c>
      <c r="J4976" t="s">
        <v>49</v>
      </c>
      <c r="K4976" s="33">
        <v>3100</v>
      </c>
      <c r="L4976" t="s">
        <v>60</v>
      </c>
      <c r="M4976" t="str">
        <f>_xlfn.XLOOKUP(Pipeline_tbl[[#This Row],[Rep_ID]],Dim_Reps!A:A,Dim_Reps!K:K)</f>
        <v>EUR</v>
      </c>
      <c r="N4976" s="33">
        <f>(_xlfn.XLOOKUP(Pipeline_tbl[[#This Row],[Rate_Code_Generalized]],Lookups!A:A,Lookups!B:B))*Pipeline_tbl[[#This Row],[Pipeline_Amount_USD]]</f>
        <v>3100</v>
      </c>
      <c r="O4976" t="str">
        <f>_xlfn.XLOOKUP(Pipeline_tbl[[#This Row],[Rep_ID]],Dim_Reps!A:A,Dim_Reps!B:B)</f>
        <v>Jamie Schmidt</v>
      </c>
      <c r="P4976" t="str">
        <f>_xlfn.XLOOKUP(Pipeline_tbl[[#This Row],[Rep_ID]],Dim_Reps!A:A,Dim_Reps!C:C)</f>
        <v>SDR / Inside Sales Rep</v>
      </c>
      <c r="Q4976" t="str">
        <f>_xlfn.XLOOKUP(Pipeline_tbl[[#This Row],[Rep_ID]],Dim_Reps!A:A,Dim_Reps!D:D)</f>
        <v>Inside Sales</v>
      </c>
      <c r="R4976" t="str">
        <f>_xlfn.XLOOKUP(Pipeline_tbl[[#This Row],[Rep_ID]],Dim_Reps!A:A,Dim_Reps!E:E)</f>
        <v>APAC</v>
      </c>
      <c r="S4976" t="str">
        <f>_xlfn.XLOOKUP(Pipeline_tbl[[#This Row],[Created_Date]],Dim_Date!A:A,Dim_Date!H:H)</f>
        <v>Feb 2024</v>
      </c>
      <c r="T4976" t="str">
        <f>IF(Pipeline_tbl[[#This Row],[Closed_Date]]=0,"",(_xlfn.XLOOKUP(Pipeline_tbl[[#This Row],[Closed_Date]],Dim_Date!A:A,Dim_Date!H:H)))</f>
        <v>Mar 2024</v>
      </c>
      <c r="U4976">
        <f>IF(Pipeline_tbl[[#This Row],[Closed_Date]]=0,"",Pipeline_tbl[[#This Row],[Closed_Date]]-Pipeline_tbl[[#This Row],[Created_Date]])</f>
        <v>15</v>
      </c>
    </row>
    <row r="4977" spans="1:21" ht="15" customHeight="1" x14ac:dyDescent="0.2">
      <c r="A4977" t="s">
        <v>5283</v>
      </c>
      <c r="B4977" t="s">
        <v>215</v>
      </c>
      <c r="C4977" t="s">
        <v>53</v>
      </c>
      <c r="D4977" s="49">
        <v>45345</v>
      </c>
      <c r="E4977" s="49">
        <v>45347</v>
      </c>
      <c r="I4977" s="49">
        <v>45360</v>
      </c>
      <c r="J4977" t="s">
        <v>49</v>
      </c>
      <c r="K4977" s="33">
        <v>4300</v>
      </c>
      <c r="L4977" t="s">
        <v>61</v>
      </c>
      <c r="M4977" t="str">
        <f>_xlfn.XLOOKUP(Pipeline_tbl[[#This Row],[Rep_ID]],Dim_Reps!A:A,Dim_Reps!K:K)</f>
        <v>EUR</v>
      </c>
      <c r="N4977" s="33">
        <f>(_xlfn.XLOOKUP(Pipeline_tbl[[#This Row],[Rate_Code_Generalized]],Lookups!A:A,Lookups!B:B))*Pipeline_tbl[[#This Row],[Pipeline_Amount_USD]]</f>
        <v>4300</v>
      </c>
      <c r="O4977" t="str">
        <f>_xlfn.XLOOKUP(Pipeline_tbl[[#This Row],[Rep_ID]],Dim_Reps!A:A,Dim_Reps!B:B)</f>
        <v>Jamie Schmidt</v>
      </c>
      <c r="P4977" t="str">
        <f>_xlfn.XLOOKUP(Pipeline_tbl[[#This Row],[Rep_ID]],Dim_Reps!A:A,Dim_Reps!C:C)</f>
        <v>SDR / Inside Sales Rep</v>
      </c>
      <c r="Q4977" t="str">
        <f>_xlfn.XLOOKUP(Pipeline_tbl[[#This Row],[Rep_ID]],Dim_Reps!A:A,Dim_Reps!D:D)</f>
        <v>Inside Sales</v>
      </c>
      <c r="R4977" t="str">
        <f>_xlfn.XLOOKUP(Pipeline_tbl[[#This Row],[Rep_ID]],Dim_Reps!A:A,Dim_Reps!E:E)</f>
        <v>APAC</v>
      </c>
      <c r="S4977" t="str">
        <f>_xlfn.XLOOKUP(Pipeline_tbl[[#This Row],[Created_Date]],Dim_Date!A:A,Dim_Date!H:H)</f>
        <v>Feb 2024</v>
      </c>
      <c r="T4977" t="str">
        <f>IF(Pipeline_tbl[[#This Row],[Closed_Date]]=0,"",(_xlfn.XLOOKUP(Pipeline_tbl[[#This Row],[Closed_Date]],Dim_Date!A:A,Dim_Date!H:H)))</f>
        <v>Mar 2024</v>
      </c>
      <c r="U4977">
        <f>IF(Pipeline_tbl[[#This Row],[Closed_Date]]=0,"",Pipeline_tbl[[#This Row],[Closed_Date]]-Pipeline_tbl[[#This Row],[Created_Date]])</f>
        <v>15</v>
      </c>
    </row>
    <row r="4978" spans="1:21" ht="15" customHeight="1" x14ac:dyDescent="0.2">
      <c r="A4978" t="s">
        <v>5284</v>
      </c>
      <c r="B4978" t="s">
        <v>215</v>
      </c>
      <c r="C4978" t="s">
        <v>52</v>
      </c>
      <c r="D4978" s="49">
        <v>45343</v>
      </c>
      <c r="E4978" s="49">
        <v>45345</v>
      </c>
      <c r="F4978" s="49">
        <v>45348</v>
      </c>
      <c r="G4978" s="49">
        <v>45352</v>
      </c>
      <c r="I4978" s="49">
        <v>45358</v>
      </c>
      <c r="J4978" t="s">
        <v>49</v>
      </c>
      <c r="K4978" s="33">
        <v>6200</v>
      </c>
      <c r="L4978" t="s">
        <v>60</v>
      </c>
      <c r="M4978" t="str">
        <f>_xlfn.XLOOKUP(Pipeline_tbl[[#This Row],[Rep_ID]],Dim_Reps!A:A,Dim_Reps!K:K)</f>
        <v>EUR</v>
      </c>
      <c r="N4978" s="33">
        <f>(_xlfn.XLOOKUP(Pipeline_tbl[[#This Row],[Rate_Code_Generalized]],Lookups!A:A,Lookups!B:B))*Pipeline_tbl[[#This Row],[Pipeline_Amount_USD]]</f>
        <v>6200</v>
      </c>
      <c r="O4978" t="str">
        <f>_xlfn.XLOOKUP(Pipeline_tbl[[#This Row],[Rep_ID]],Dim_Reps!A:A,Dim_Reps!B:B)</f>
        <v>Jamie Schmidt</v>
      </c>
      <c r="P4978" t="str">
        <f>_xlfn.XLOOKUP(Pipeline_tbl[[#This Row],[Rep_ID]],Dim_Reps!A:A,Dim_Reps!C:C)</f>
        <v>SDR / Inside Sales Rep</v>
      </c>
      <c r="Q4978" t="str">
        <f>_xlfn.XLOOKUP(Pipeline_tbl[[#This Row],[Rep_ID]],Dim_Reps!A:A,Dim_Reps!D:D)</f>
        <v>Inside Sales</v>
      </c>
      <c r="R4978" t="str">
        <f>_xlfn.XLOOKUP(Pipeline_tbl[[#This Row],[Rep_ID]],Dim_Reps!A:A,Dim_Reps!E:E)</f>
        <v>APAC</v>
      </c>
      <c r="S4978" t="str">
        <f>_xlfn.XLOOKUP(Pipeline_tbl[[#This Row],[Created_Date]],Dim_Date!A:A,Dim_Date!H:H)</f>
        <v>Feb 2024</v>
      </c>
      <c r="T4978" t="str">
        <f>IF(Pipeline_tbl[[#This Row],[Closed_Date]]=0,"",(_xlfn.XLOOKUP(Pipeline_tbl[[#This Row],[Closed_Date]],Dim_Date!A:A,Dim_Date!H:H)))</f>
        <v>Mar 2024</v>
      </c>
      <c r="U4978">
        <f>IF(Pipeline_tbl[[#This Row],[Closed_Date]]=0,"",Pipeline_tbl[[#This Row],[Closed_Date]]-Pipeline_tbl[[#This Row],[Created_Date]])</f>
        <v>15</v>
      </c>
    </row>
    <row r="4979" spans="1:21" ht="15" customHeight="1" x14ac:dyDescent="0.2">
      <c r="A4979" t="s">
        <v>5285</v>
      </c>
      <c r="B4979" t="s">
        <v>217</v>
      </c>
      <c r="C4979" t="s">
        <v>54</v>
      </c>
      <c r="D4979" s="49">
        <v>45351</v>
      </c>
      <c r="E4979" s="49">
        <v>45352</v>
      </c>
      <c r="F4979" s="49">
        <v>45354</v>
      </c>
      <c r="G4979" s="49">
        <v>45358</v>
      </c>
      <c r="I4979" s="49">
        <v>45362</v>
      </c>
      <c r="J4979" t="s">
        <v>49</v>
      </c>
      <c r="K4979" s="33">
        <v>2300</v>
      </c>
      <c r="L4979" t="s">
        <v>60</v>
      </c>
      <c r="M4979" t="str">
        <f>_xlfn.XLOOKUP(Pipeline_tbl[[#This Row],[Rep_ID]],Dim_Reps!A:A,Dim_Reps!K:K)</f>
        <v>USD</v>
      </c>
      <c r="N4979" s="33">
        <f>(_xlfn.XLOOKUP(Pipeline_tbl[[#This Row],[Rate_Code_Generalized]],Lookups!A:A,Lookups!B:B))*Pipeline_tbl[[#This Row],[Pipeline_Amount_USD]]</f>
        <v>2677.89</v>
      </c>
      <c r="O4979" t="str">
        <f>_xlfn.XLOOKUP(Pipeline_tbl[[#This Row],[Rep_ID]],Dim_Reps!A:A,Dim_Reps!B:B)</f>
        <v>Priya Weber</v>
      </c>
      <c r="P4979" t="str">
        <f>_xlfn.XLOOKUP(Pipeline_tbl[[#This Row],[Rep_ID]],Dim_Reps!A:A,Dim_Reps!C:C)</f>
        <v>SDR / Inside Sales Rep</v>
      </c>
      <c r="Q4979" t="str">
        <f>_xlfn.XLOOKUP(Pipeline_tbl[[#This Row],[Rep_ID]],Dim_Reps!A:A,Dim_Reps!D:D)</f>
        <v>Inside Sales</v>
      </c>
      <c r="R4979" t="str">
        <f>_xlfn.XLOOKUP(Pipeline_tbl[[#This Row],[Rep_ID]],Dim_Reps!A:A,Dim_Reps!E:E)</f>
        <v>NAMER</v>
      </c>
      <c r="S4979" t="str">
        <f>_xlfn.XLOOKUP(Pipeline_tbl[[#This Row],[Created_Date]],Dim_Date!A:A,Dim_Date!H:H)</f>
        <v>Feb 2024</v>
      </c>
      <c r="T4979" t="str">
        <f>IF(Pipeline_tbl[[#This Row],[Closed_Date]]=0,"",(_xlfn.XLOOKUP(Pipeline_tbl[[#This Row],[Closed_Date]],Dim_Date!A:A,Dim_Date!H:H)))</f>
        <v>Mar 2024</v>
      </c>
      <c r="U4979">
        <f>IF(Pipeline_tbl[[#This Row],[Closed_Date]]=0,"",Pipeline_tbl[[#This Row],[Closed_Date]]-Pipeline_tbl[[#This Row],[Created_Date]])</f>
        <v>11</v>
      </c>
    </row>
    <row r="4980" spans="1:21" ht="15" customHeight="1" x14ac:dyDescent="0.2">
      <c r="A4980" t="s">
        <v>5286</v>
      </c>
      <c r="B4980" t="s">
        <v>217</v>
      </c>
      <c r="C4980" t="s">
        <v>56</v>
      </c>
      <c r="D4980" s="49">
        <v>45346</v>
      </c>
      <c r="E4980" s="49">
        <v>45348</v>
      </c>
      <c r="F4980" s="49">
        <v>45351</v>
      </c>
      <c r="G4980" s="49">
        <v>45357</v>
      </c>
      <c r="H4980" s="49">
        <v>45361</v>
      </c>
      <c r="I4980" s="49">
        <v>45364</v>
      </c>
      <c r="J4980" t="s">
        <v>47</v>
      </c>
      <c r="K4980" s="33">
        <v>5000</v>
      </c>
      <c r="M4980" t="str">
        <f>_xlfn.XLOOKUP(Pipeline_tbl[[#This Row],[Rep_ID]],Dim_Reps!A:A,Dim_Reps!K:K)</f>
        <v>USD</v>
      </c>
      <c r="N4980" s="33">
        <f>(_xlfn.XLOOKUP(Pipeline_tbl[[#This Row],[Rate_Code_Generalized]],Lookups!A:A,Lookups!B:B))*Pipeline_tbl[[#This Row],[Pipeline_Amount_USD]]</f>
        <v>5821.4999999999991</v>
      </c>
      <c r="O4980" t="str">
        <f>_xlfn.XLOOKUP(Pipeline_tbl[[#This Row],[Rep_ID]],Dim_Reps!A:A,Dim_Reps!B:B)</f>
        <v>Priya Weber</v>
      </c>
      <c r="P4980" t="str">
        <f>_xlfn.XLOOKUP(Pipeline_tbl[[#This Row],[Rep_ID]],Dim_Reps!A:A,Dim_Reps!C:C)</f>
        <v>SDR / Inside Sales Rep</v>
      </c>
      <c r="Q4980" t="str">
        <f>_xlfn.XLOOKUP(Pipeline_tbl[[#This Row],[Rep_ID]],Dim_Reps!A:A,Dim_Reps!D:D)</f>
        <v>Inside Sales</v>
      </c>
      <c r="R4980" t="str">
        <f>_xlfn.XLOOKUP(Pipeline_tbl[[#This Row],[Rep_ID]],Dim_Reps!A:A,Dim_Reps!E:E)</f>
        <v>NAMER</v>
      </c>
      <c r="S4980" t="str">
        <f>_xlfn.XLOOKUP(Pipeline_tbl[[#This Row],[Created_Date]],Dim_Date!A:A,Dim_Date!H:H)</f>
        <v>Feb 2024</v>
      </c>
      <c r="T4980" t="str">
        <f>IF(Pipeline_tbl[[#This Row],[Closed_Date]]=0,"",(_xlfn.XLOOKUP(Pipeline_tbl[[#This Row],[Closed_Date]],Dim_Date!A:A,Dim_Date!H:H)))</f>
        <v>Mar 2024</v>
      </c>
      <c r="U4980">
        <f>IF(Pipeline_tbl[[#This Row],[Closed_Date]]=0,"",Pipeline_tbl[[#This Row],[Closed_Date]]-Pipeline_tbl[[#This Row],[Created_Date]])</f>
        <v>18</v>
      </c>
    </row>
    <row r="4981" spans="1:21" ht="15" customHeight="1" x14ac:dyDescent="0.2">
      <c r="A4981" t="s">
        <v>5287</v>
      </c>
      <c r="B4981" t="s">
        <v>217</v>
      </c>
      <c r="C4981" t="s">
        <v>52</v>
      </c>
      <c r="D4981" s="49">
        <v>45347</v>
      </c>
      <c r="E4981" s="49">
        <v>45348</v>
      </c>
      <c r="F4981" s="49">
        <v>45350</v>
      </c>
      <c r="G4981" s="49">
        <v>45353</v>
      </c>
      <c r="I4981" s="49">
        <v>45357</v>
      </c>
      <c r="J4981" t="s">
        <v>49</v>
      </c>
      <c r="K4981" s="33">
        <v>4400</v>
      </c>
      <c r="L4981" t="s">
        <v>61</v>
      </c>
      <c r="M4981" t="str">
        <f>_xlfn.XLOOKUP(Pipeline_tbl[[#This Row],[Rep_ID]],Dim_Reps!A:A,Dim_Reps!K:K)</f>
        <v>USD</v>
      </c>
      <c r="N4981" s="33">
        <f>(_xlfn.XLOOKUP(Pipeline_tbl[[#This Row],[Rate_Code_Generalized]],Lookups!A:A,Lookups!B:B))*Pipeline_tbl[[#This Row],[Pipeline_Amount_USD]]</f>
        <v>5122.9199999999992</v>
      </c>
      <c r="O4981" t="str">
        <f>_xlfn.XLOOKUP(Pipeline_tbl[[#This Row],[Rep_ID]],Dim_Reps!A:A,Dim_Reps!B:B)</f>
        <v>Priya Weber</v>
      </c>
      <c r="P4981" t="str">
        <f>_xlfn.XLOOKUP(Pipeline_tbl[[#This Row],[Rep_ID]],Dim_Reps!A:A,Dim_Reps!C:C)</f>
        <v>SDR / Inside Sales Rep</v>
      </c>
      <c r="Q4981" t="str">
        <f>_xlfn.XLOOKUP(Pipeline_tbl[[#This Row],[Rep_ID]],Dim_Reps!A:A,Dim_Reps!D:D)</f>
        <v>Inside Sales</v>
      </c>
      <c r="R4981" t="str">
        <f>_xlfn.XLOOKUP(Pipeline_tbl[[#This Row],[Rep_ID]],Dim_Reps!A:A,Dim_Reps!E:E)</f>
        <v>NAMER</v>
      </c>
      <c r="S4981" t="str">
        <f>_xlfn.XLOOKUP(Pipeline_tbl[[#This Row],[Created_Date]],Dim_Date!A:A,Dim_Date!H:H)</f>
        <v>Feb 2024</v>
      </c>
      <c r="T4981" t="str">
        <f>IF(Pipeline_tbl[[#This Row],[Closed_Date]]=0,"",(_xlfn.XLOOKUP(Pipeline_tbl[[#This Row],[Closed_Date]],Dim_Date!A:A,Dim_Date!H:H)))</f>
        <v>Mar 2024</v>
      </c>
      <c r="U4981">
        <f>IF(Pipeline_tbl[[#This Row],[Closed_Date]]=0,"",Pipeline_tbl[[#This Row],[Closed_Date]]-Pipeline_tbl[[#This Row],[Created_Date]])</f>
        <v>10</v>
      </c>
    </row>
    <row r="4982" spans="1:21" ht="15" customHeight="1" x14ac:dyDescent="0.2">
      <c r="A4982" t="s">
        <v>5288</v>
      </c>
      <c r="B4982" t="s">
        <v>217</v>
      </c>
      <c r="C4982" t="s">
        <v>56</v>
      </c>
      <c r="D4982" s="49">
        <v>45335</v>
      </c>
      <c r="E4982" s="49">
        <v>45337</v>
      </c>
      <c r="F4982" s="49">
        <v>45341</v>
      </c>
      <c r="G4982" s="49">
        <v>45346</v>
      </c>
      <c r="H4982" s="49">
        <v>45351</v>
      </c>
      <c r="I4982" s="49">
        <v>45354</v>
      </c>
      <c r="J4982" t="s">
        <v>47</v>
      </c>
      <c r="K4982" s="33">
        <v>2800</v>
      </c>
      <c r="M4982" t="str">
        <f>_xlfn.XLOOKUP(Pipeline_tbl[[#This Row],[Rep_ID]],Dim_Reps!A:A,Dim_Reps!K:K)</f>
        <v>USD</v>
      </c>
      <c r="N4982" s="33">
        <f>(_xlfn.XLOOKUP(Pipeline_tbl[[#This Row],[Rate_Code_Generalized]],Lookups!A:A,Lookups!B:B))*Pipeline_tbl[[#This Row],[Pipeline_Amount_USD]]</f>
        <v>3260.0399999999995</v>
      </c>
      <c r="O4982" t="str">
        <f>_xlfn.XLOOKUP(Pipeline_tbl[[#This Row],[Rep_ID]],Dim_Reps!A:A,Dim_Reps!B:B)</f>
        <v>Priya Weber</v>
      </c>
      <c r="P4982" t="str">
        <f>_xlfn.XLOOKUP(Pipeline_tbl[[#This Row],[Rep_ID]],Dim_Reps!A:A,Dim_Reps!C:C)</f>
        <v>SDR / Inside Sales Rep</v>
      </c>
      <c r="Q4982" t="str">
        <f>_xlfn.XLOOKUP(Pipeline_tbl[[#This Row],[Rep_ID]],Dim_Reps!A:A,Dim_Reps!D:D)</f>
        <v>Inside Sales</v>
      </c>
      <c r="R4982" t="str">
        <f>_xlfn.XLOOKUP(Pipeline_tbl[[#This Row],[Rep_ID]],Dim_Reps!A:A,Dim_Reps!E:E)</f>
        <v>NAMER</v>
      </c>
      <c r="S4982" t="str">
        <f>_xlfn.XLOOKUP(Pipeline_tbl[[#This Row],[Created_Date]],Dim_Date!A:A,Dim_Date!H:H)</f>
        <v>Feb 2024</v>
      </c>
      <c r="T4982" t="str">
        <f>IF(Pipeline_tbl[[#This Row],[Closed_Date]]=0,"",(_xlfn.XLOOKUP(Pipeline_tbl[[#This Row],[Closed_Date]],Dim_Date!A:A,Dim_Date!H:H)))</f>
        <v>Mar 2024</v>
      </c>
      <c r="U4982">
        <f>IF(Pipeline_tbl[[#This Row],[Closed_Date]]=0,"",Pipeline_tbl[[#This Row],[Closed_Date]]-Pipeline_tbl[[#This Row],[Created_Date]])</f>
        <v>19</v>
      </c>
    </row>
    <row r="4983" spans="1:21" ht="15" customHeight="1" x14ac:dyDescent="0.2">
      <c r="A4983" t="s">
        <v>5289</v>
      </c>
      <c r="B4983" t="s">
        <v>217</v>
      </c>
      <c r="C4983" t="s">
        <v>56</v>
      </c>
      <c r="D4983" s="49">
        <v>45334</v>
      </c>
      <c r="E4983" s="49">
        <v>45336</v>
      </c>
      <c r="F4983" s="49">
        <v>45340</v>
      </c>
      <c r="G4983" s="49">
        <v>45345</v>
      </c>
      <c r="H4983" s="49">
        <v>45350</v>
      </c>
      <c r="I4983" s="49">
        <v>45353</v>
      </c>
      <c r="J4983" t="s">
        <v>47</v>
      </c>
      <c r="K4983" s="33">
        <v>4200</v>
      </c>
      <c r="M4983" t="str">
        <f>_xlfn.XLOOKUP(Pipeline_tbl[[#This Row],[Rep_ID]],Dim_Reps!A:A,Dim_Reps!K:K)</f>
        <v>USD</v>
      </c>
      <c r="N4983" s="33">
        <f>(_xlfn.XLOOKUP(Pipeline_tbl[[#This Row],[Rate_Code_Generalized]],Lookups!A:A,Lookups!B:B))*Pipeline_tbl[[#This Row],[Pipeline_Amount_USD]]</f>
        <v>4890.0599999999995</v>
      </c>
      <c r="O4983" t="str">
        <f>_xlfn.XLOOKUP(Pipeline_tbl[[#This Row],[Rep_ID]],Dim_Reps!A:A,Dim_Reps!B:B)</f>
        <v>Priya Weber</v>
      </c>
      <c r="P4983" t="str">
        <f>_xlfn.XLOOKUP(Pipeline_tbl[[#This Row],[Rep_ID]],Dim_Reps!A:A,Dim_Reps!C:C)</f>
        <v>SDR / Inside Sales Rep</v>
      </c>
      <c r="Q4983" t="str">
        <f>_xlfn.XLOOKUP(Pipeline_tbl[[#This Row],[Rep_ID]],Dim_Reps!A:A,Dim_Reps!D:D)</f>
        <v>Inside Sales</v>
      </c>
      <c r="R4983" t="str">
        <f>_xlfn.XLOOKUP(Pipeline_tbl[[#This Row],[Rep_ID]],Dim_Reps!A:A,Dim_Reps!E:E)</f>
        <v>NAMER</v>
      </c>
      <c r="S4983" t="str">
        <f>_xlfn.XLOOKUP(Pipeline_tbl[[#This Row],[Created_Date]],Dim_Date!A:A,Dim_Date!H:H)</f>
        <v>Feb 2024</v>
      </c>
      <c r="T4983" t="str">
        <f>IF(Pipeline_tbl[[#This Row],[Closed_Date]]=0,"",(_xlfn.XLOOKUP(Pipeline_tbl[[#This Row],[Closed_Date]],Dim_Date!A:A,Dim_Date!H:H)))</f>
        <v>Mar 2024</v>
      </c>
      <c r="U4983">
        <f>IF(Pipeline_tbl[[#This Row],[Closed_Date]]=0,"",Pipeline_tbl[[#This Row],[Closed_Date]]-Pipeline_tbl[[#This Row],[Created_Date]])</f>
        <v>19</v>
      </c>
    </row>
    <row r="4984" spans="1:21" ht="15" customHeight="1" x14ac:dyDescent="0.2">
      <c r="A4984" t="s">
        <v>5290</v>
      </c>
      <c r="B4984" t="s">
        <v>188</v>
      </c>
      <c r="C4984" t="s">
        <v>52</v>
      </c>
      <c r="D4984" s="49">
        <v>45348</v>
      </c>
      <c r="E4984" s="49">
        <v>45349</v>
      </c>
      <c r="F4984" s="49">
        <v>45352</v>
      </c>
      <c r="G4984" s="49">
        <v>45355</v>
      </c>
      <c r="H4984" s="49">
        <v>45358</v>
      </c>
      <c r="I4984" s="49">
        <v>45360</v>
      </c>
      <c r="J4984" t="s">
        <v>47</v>
      </c>
      <c r="K4984" s="33">
        <v>52400</v>
      </c>
      <c r="M4984" t="str">
        <f>_xlfn.XLOOKUP(Pipeline_tbl[[#This Row],[Rep_ID]],Dim_Reps!A:A,Dim_Reps!K:K)</f>
        <v>EUR</v>
      </c>
      <c r="N4984" s="33">
        <f>(_xlfn.XLOOKUP(Pipeline_tbl[[#This Row],[Rate_Code_Generalized]],Lookups!A:A,Lookups!B:B))*Pipeline_tbl[[#This Row],[Pipeline_Amount_USD]]</f>
        <v>52400</v>
      </c>
      <c r="O4984" t="str">
        <f>_xlfn.XLOOKUP(Pipeline_tbl[[#This Row],[Rep_ID]],Dim_Reps!A:A,Dim_Reps!B:B)</f>
        <v>Jamie Santos</v>
      </c>
      <c r="P4984" t="str">
        <f>_xlfn.XLOOKUP(Pipeline_tbl[[#This Row],[Rep_ID]],Dim_Reps!A:A,Dim_Reps!C:C)</f>
        <v>Enterprise AE</v>
      </c>
      <c r="Q4984" t="str">
        <f>_xlfn.XLOOKUP(Pipeline_tbl[[#This Row],[Rep_ID]],Dim_Reps!A:A,Dim_Reps!D:D)</f>
        <v>Enterprise</v>
      </c>
      <c r="R4984" t="str">
        <f>_xlfn.XLOOKUP(Pipeline_tbl[[#This Row],[Rep_ID]],Dim_Reps!A:A,Dim_Reps!E:E)</f>
        <v>APAC</v>
      </c>
      <c r="S4984" t="str">
        <f>_xlfn.XLOOKUP(Pipeline_tbl[[#This Row],[Created_Date]],Dim_Date!A:A,Dim_Date!H:H)</f>
        <v>Feb 2024</v>
      </c>
      <c r="T4984" t="str">
        <f>IF(Pipeline_tbl[[#This Row],[Closed_Date]]=0,"",(_xlfn.XLOOKUP(Pipeline_tbl[[#This Row],[Closed_Date]],Dim_Date!A:A,Dim_Date!H:H)))</f>
        <v>Mar 2024</v>
      </c>
      <c r="U4984">
        <f>IF(Pipeline_tbl[[#This Row],[Closed_Date]]=0,"",Pipeline_tbl[[#This Row],[Closed_Date]]-Pipeline_tbl[[#This Row],[Created_Date]])</f>
        <v>12</v>
      </c>
    </row>
    <row r="4985" spans="1:21" ht="15" customHeight="1" x14ac:dyDescent="0.2">
      <c r="A4985" t="s">
        <v>5291</v>
      </c>
      <c r="B4985" t="s">
        <v>221</v>
      </c>
      <c r="C4985" t="s">
        <v>53</v>
      </c>
      <c r="D4985" s="49">
        <v>45340</v>
      </c>
      <c r="E4985" s="49">
        <v>45342</v>
      </c>
      <c r="F4985" s="49">
        <v>45347</v>
      </c>
      <c r="G4985" s="49">
        <v>45354</v>
      </c>
      <c r="H4985" s="49">
        <v>45360</v>
      </c>
      <c r="I4985" s="49">
        <v>45363</v>
      </c>
      <c r="J4985" t="s">
        <v>47</v>
      </c>
      <c r="K4985" s="33">
        <v>7700</v>
      </c>
      <c r="M4985" t="str">
        <f>_xlfn.XLOOKUP(Pipeline_tbl[[#This Row],[Rep_ID]],Dim_Reps!A:A,Dim_Reps!K:K)</f>
        <v>MXN</v>
      </c>
      <c r="N4985" s="33">
        <f>(_xlfn.XLOOKUP(Pipeline_tbl[[#This Row],[Rate_Code_Generalized]],Lookups!A:A,Lookups!B:B))*Pipeline_tbl[[#This Row],[Pipeline_Amount_USD]]</f>
        <v>151941.79</v>
      </c>
      <c r="O4985" t="str">
        <f>_xlfn.XLOOKUP(Pipeline_tbl[[#This Row],[Rep_ID]],Dim_Reps!A:A,Dim_Reps!B:B)</f>
        <v>Casey Muller</v>
      </c>
      <c r="P4985" t="str">
        <f>_xlfn.XLOOKUP(Pipeline_tbl[[#This Row],[Rep_ID]],Dim_Reps!A:A,Dim_Reps!C:C)</f>
        <v>SDR / Inside Sales Rep</v>
      </c>
      <c r="Q4985" t="str">
        <f>_xlfn.XLOOKUP(Pipeline_tbl[[#This Row],[Rep_ID]],Dim_Reps!A:A,Dim_Reps!D:D)</f>
        <v>Inside Sales</v>
      </c>
      <c r="R4985" t="str">
        <f>_xlfn.XLOOKUP(Pipeline_tbl[[#This Row],[Rep_ID]],Dim_Reps!A:A,Dim_Reps!E:E)</f>
        <v>LATAM</v>
      </c>
      <c r="S4985" t="str">
        <f>_xlfn.XLOOKUP(Pipeline_tbl[[#This Row],[Created_Date]],Dim_Date!A:A,Dim_Date!H:H)</f>
        <v>Feb 2024</v>
      </c>
      <c r="T4985" t="str">
        <f>IF(Pipeline_tbl[[#This Row],[Closed_Date]]=0,"",(_xlfn.XLOOKUP(Pipeline_tbl[[#This Row],[Closed_Date]],Dim_Date!A:A,Dim_Date!H:H)))</f>
        <v>Mar 2024</v>
      </c>
      <c r="U4985">
        <f>IF(Pipeline_tbl[[#This Row],[Closed_Date]]=0,"",Pipeline_tbl[[#This Row],[Closed_Date]]-Pipeline_tbl[[#This Row],[Created_Date]])</f>
        <v>23</v>
      </c>
    </row>
    <row r="4986" spans="1:21" ht="15" customHeight="1" x14ac:dyDescent="0.2">
      <c r="A4986" t="s">
        <v>5292</v>
      </c>
      <c r="B4986" t="s">
        <v>221</v>
      </c>
      <c r="C4986" t="s">
        <v>53</v>
      </c>
      <c r="D4986" s="49">
        <v>45338</v>
      </c>
      <c r="E4986" s="49">
        <v>45340</v>
      </c>
      <c r="F4986" s="49">
        <v>45344</v>
      </c>
      <c r="G4986" s="49">
        <v>45350</v>
      </c>
      <c r="H4986" s="49">
        <v>45355</v>
      </c>
      <c r="I4986" s="49">
        <v>45358</v>
      </c>
      <c r="J4986" t="s">
        <v>47</v>
      </c>
      <c r="K4986" s="33">
        <v>1900</v>
      </c>
      <c r="M4986" t="str">
        <f>_xlfn.XLOOKUP(Pipeline_tbl[[#This Row],[Rep_ID]],Dim_Reps!A:A,Dim_Reps!K:K)</f>
        <v>MXN</v>
      </c>
      <c r="N4986" s="33">
        <f>(_xlfn.XLOOKUP(Pipeline_tbl[[#This Row],[Rate_Code_Generalized]],Lookups!A:A,Lookups!B:B))*Pipeline_tbl[[#This Row],[Pipeline_Amount_USD]]</f>
        <v>37492.130000000005</v>
      </c>
      <c r="O4986" t="str">
        <f>_xlfn.XLOOKUP(Pipeline_tbl[[#This Row],[Rep_ID]],Dim_Reps!A:A,Dim_Reps!B:B)</f>
        <v>Casey Muller</v>
      </c>
      <c r="P4986" t="str">
        <f>_xlfn.XLOOKUP(Pipeline_tbl[[#This Row],[Rep_ID]],Dim_Reps!A:A,Dim_Reps!C:C)</f>
        <v>SDR / Inside Sales Rep</v>
      </c>
      <c r="Q4986" t="str">
        <f>_xlfn.XLOOKUP(Pipeline_tbl[[#This Row],[Rep_ID]],Dim_Reps!A:A,Dim_Reps!D:D)</f>
        <v>Inside Sales</v>
      </c>
      <c r="R4986" t="str">
        <f>_xlfn.XLOOKUP(Pipeline_tbl[[#This Row],[Rep_ID]],Dim_Reps!A:A,Dim_Reps!E:E)</f>
        <v>LATAM</v>
      </c>
      <c r="S4986" t="str">
        <f>_xlfn.XLOOKUP(Pipeline_tbl[[#This Row],[Created_Date]],Dim_Date!A:A,Dim_Date!H:H)</f>
        <v>Feb 2024</v>
      </c>
      <c r="T4986" t="str">
        <f>IF(Pipeline_tbl[[#This Row],[Closed_Date]]=0,"",(_xlfn.XLOOKUP(Pipeline_tbl[[#This Row],[Closed_Date]],Dim_Date!A:A,Dim_Date!H:H)))</f>
        <v>Mar 2024</v>
      </c>
      <c r="U4986">
        <f>IF(Pipeline_tbl[[#This Row],[Closed_Date]]=0,"",Pipeline_tbl[[#This Row],[Closed_Date]]-Pipeline_tbl[[#This Row],[Created_Date]])</f>
        <v>20</v>
      </c>
    </row>
    <row r="4987" spans="1:21" ht="15" customHeight="1" x14ac:dyDescent="0.2">
      <c r="A4987" t="s">
        <v>5293</v>
      </c>
      <c r="B4987" t="s">
        <v>221</v>
      </c>
      <c r="C4987" t="s">
        <v>52</v>
      </c>
      <c r="D4987" s="49">
        <v>45347</v>
      </c>
      <c r="E4987" s="49">
        <v>45350</v>
      </c>
      <c r="F4987" s="49">
        <v>45355</v>
      </c>
      <c r="G4987" s="49">
        <v>45363</v>
      </c>
      <c r="H4987" s="49">
        <v>45369</v>
      </c>
      <c r="I4987" s="49">
        <v>45373</v>
      </c>
      <c r="J4987" t="s">
        <v>49</v>
      </c>
      <c r="K4987" s="33">
        <v>5000</v>
      </c>
      <c r="L4987" t="s">
        <v>60</v>
      </c>
      <c r="M4987" t="str">
        <f>_xlfn.XLOOKUP(Pipeline_tbl[[#This Row],[Rep_ID]],Dim_Reps!A:A,Dim_Reps!K:K)</f>
        <v>MXN</v>
      </c>
      <c r="N4987" s="33">
        <f>(_xlfn.XLOOKUP(Pipeline_tbl[[#This Row],[Rate_Code_Generalized]],Lookups!A:A,Lookups!B:B))*Pipeline_tbl[[#This Row],[Pipeline_Amount_USD]]</f>
        <v>98663.5</v>
      </c>
      <c r="O4987" t="str">
        <f>_xlfn.XLOOKUP(Pipeline_tbl[[#This Row],[Rep_ID]],Dim_Reps!A:A,Dim_Reps!B:B)</f>
        <v>Casey Muller</v>
      </c>
      <c r="P4987" t="str">
        <f>_xlfn.XLOOKUP(Pipeline_tbl[[#This Row],[Rep_ID]],Dim_Reps!A:A,Dim_Reps!C:C)</f>
        <v>SDR / Inside Sales Rep</v>
      </c>
      <c r="Q4987" t="str">
        <f>_xlfn.XLOOKUP(Pipeline_tbl[[#This Row],[Rep_ID]],Dim_Reps!A:A,Dim_Reps!D:D)</f>
        <v>Inside Sales</v>
      </c>
      <c r="R4987" t="str">
        <f>_xlfn.XLOOKUP(Pipeline_tbl[[#This Row],[Rep_ID]],Dim_Reps!A:A,Dim_Reps!E:E)</f>
        <v>LATAM</v>
      </c>
      <c r="S4987" t="str">
        <f>_xlfn.XLOOKUP(Pipeline_tbl[[#This Row],[Created_Date]],Dim_Date!A:A,Dim_Date!H:H)</f>
        <v>Feb 2024</v>
      </c>
      <c r="T4987" t="str">
        <f>IF(Pipeline_tbl[[#This Row],[Closed_Date]]=0,"",(_xlfn.XLOOKUP(Pipeline_tbl[[#This Row],[Closed_Date]],Dim_Date!A:A,Dim_Date!H:H)))</f>
        <v>Mar 2024</v>
      </c>
      <c r="U4987">
        <f>IF(Pipeline_tbl[[#This Row],[Closed_Date]]=0,"",Pipeline_tbl[[#This Row],[Closed_Date]]-Pipeline_tbl[[#This Row],[Created_Date]])</f>
        <v>26</v>
      </c>
    </row>
    <row r="4988" spans="1:21" ht="15" customHeight="1" x14ac:dyDescent="0.2">
      <c r="A4988" t="s">
        <v>5294</v>
      </c>
      <c r="B4988" t="s">
        <v>221</v>
      </c>
      <c r="C4988" t="s">
        <v>54</v>
      </c>
      <c r="D4988" s="49">
        <v>45340</v>
      </c>
      <c r="E4988" s="49">
        <v>45342</v>
      </c>
      <c r="F4988" s="49">
        <v>45345</v>
      </c>
      <c r="G4988" s="49">
        <v>45350</v>
      </c>
      <c r="H4988" s="49">
        <v>45354</v>
      </c>
      <c r="I4988" s="49">
        <v>45356</v>
      </c>
      <c r="J4988" t="s">
        <v>47</v>
      </c>
      <c r="K4988" s="33">
        <v>2400</v>
      </c>
      <c r="M4988" t="str">
        <f>_xlfn.XLOOKUP(Pipeline_tbl[[#This Row],[Rep_ID]],Dim_Reps!A:A,Dim_Reps!K:K)</f>
        <v>MXN</v>
      </c>
      <c r="N4988" s="33">
        <f>(_xlfn.XLOOKUP(Pipeline_tbl[[#This Row],[Rate_Code_Generalized]],Lookups!A:A,Lookups!B:B))*Pipeline_tbl[[#This Row],[Pipeline_Amount_USD]]</f>
        <v>47358.48</v>
      </c>
      <c r="O4988" t="str">
        <f>_xlfn.XLOOKUP(Pipeline_tbl[[#This Row],[Rep_ID]],Dim_Reps!A:A,Dim_Reps!B:B)</f>
        <v>Casey Muller</v>
      </c>
      <c r="P4988" t="str">
        <f>_xlfn.XLOOKUP(Pipeline_tbl[[#This Row],[Rep_ID]],Dim_Reps!A:A,Dim_Reps!C:C)</f>
        <v>SDR / Inside Sales Rep</v>
      </c>
      <c r="Q4988" t="str">
        <f>_xlfn.XLOOKUP(Pipeline_tbl[[#This Row],[Rep_ID]],Dim_Reps!A:A,Dim_Reps!D:D)</f>
        <v>Inside Sales</v>
      </c>
      <c r="R4988" t="str">
        <f>_xlfn.XLOOKUP(Pipeline_tbl[[#This Row],[Rep_ID]],Dim_Reps!A:A,Dim_Reps!E:E)</f>
        <v>LATAM</v>
      </c>
      <c r="S4988" t="str">
        <f>_xlfn.XLOOKUP(Pipeline_tbl[[#This Row],[Created_Date]],Dim_Date!A:A,Dim_Date!H:H)</f>
        <v>Feb 2024</v>
      </c>
      <c r="T4988" t="str">
        <f>IF(Pipeline_tbl[[#This Row],[Closed_Date]]=0,"",(_xlfn.XLOOKUP(Pipeline_tbl[[#This Row],[Closed_Date]],Dim_Date!A:A,Dim_Date!H:H)))</f>
        <v>Mar 2024</v>
      </c>
      <c r="U4988">
        <f>IF(Pipeline_tbl[[#This Row],[Closed_Date]]=0,"",Pipeline_tbl[[#This Row],[Closed_Date]]-Pipeline_tbl[[#This Row],[Created_Date]])</f>
        <v>16</v>
      </c>
    </row>
    <row r="4989" spans="1:21" ht="15" customHeight="1" x14ac:dyDescent="0.2">
      <c r="A4989" t="s">
        <v>5295</v>
      </c>
      <c r="B4989" t="s">
        <v>221</v>
      </c>
      <c r="C4989" t="s">
        <v>56</v>
      </c>
      <c r="D4989" s="49">
        <v>45348</v>
      </c>
      <c r="E4989" s="49">
        <v>45349</v>
      </c>
      <c r="F4989" s="49">
        <v>45351</v>
      </c>
      <c r="G4989" s="49">
        <v>45355</v>
      </c>
      <c r="H4989" s="49">
        <v>45357</v>
      </c>
      <c r="I4989" s="49">
        <v>45359</v>
      </c>
      <c r="J4989" t="s">
        <v>47</v>
      </c>
      <c r="K4989" s="33">
        <v>2100</v>
      </c>
      <c r="M4989" t="str">
        <f>_xlfn.XLOOKUP(Pipeline_tbl[[#This Row],[Rep_ID]],Dim_Reps!A:A,Dim_Reps!K:K)</f>
        <v>MXN</v>
      </c>
      <c r="N4989" s="33">
        <f>(_xlfn.XLOOKUP(Pipeline_tbl[[#This Row],[Rate_Code_Generalized]],Lookups!A:A,Lookups!B:B))*Pipeline_tbl[[#This Row],[Pipeline_Amount_USD]]</f>
        <v>41438.670000000006</v>
      </c>
      <c r="O4989" t="str">
        <f>_xlfn.XLOOKUP(Pipeline_tbl[[#This Row],[Rep_ID]],Dim_Reps!A:A,Dim_Reps!B:B)</f>
        <v>Casey Muller</v>
      </c>
      <c r="P4989" t="str">
        <f>_xlfn.XLOOKUP(Pipeline_tbl[[#This Row],[Rep_ID]],Dim_Reps!A:A,Dim_Reps!C:C)</f>
        <v>SDR / Inside Sales Rep</v>
      </c>
      <c r="Q4989" t="str">
        <f>_xlfn.XLOOKUP(Pipeline_tbl[[#This Row],[Rep_ID]],Dim_Reps!A:A,Dim_Reps!D:D)</f>
        <v>Inside Sales</v>
      </c>
      <c r="R4989" t="str">
        <f>_xlfn.XLOOKUP(Pipeline_tbl[[#This Row],[Rep_ID]],Dim_Reps!A:A,Dim_Reps!E:E)</f>
        <v>LATAM</v>
      </c>
      <c r="S4989" t="str">
        <f>_xlfn.XLOOKUP(Pipeline_tbl[[#This Row],[Created_Date]],Dim_Date!A:A,Dim_Date!H:H)</f>
        <v>Feb 2024</v>
      </c>
      <c r="T4989" t="str">
        <f>IF(Pipeline_tbl[[#This Row],[Closed_Date]]=0,"",(_xlfn.XLOOKUP(Pipeline_tbl[[#This Row],[Closed_Date]],Dim_Date!A:A,Dim_Date!H:H)))</f>
        <v>Mar 2024</v>
      </c>
      <c r="U4989">
        <f>IF(Pipeline_tbl[[#This Row],[Closed_Date]]=0,"",Pipeline_tbl[[#This Row],[Closed_Date]]-Pipeline_tbl[[#This Row],[Created_Date]])</f>
        <v>11</v>
      </c>
    </row>
    <row r="4990" spans="1:21" ht="15" customHeight="1" x14ac:dyDescent="0.2">
      <c r="A4990" t="s">
        <v>5296</v>
      </c>
      <c r="B4990" t="s">
        <v>221</v>
      </c>
      <c r="C4990" t="s">
        <v>55</v>
      </c>
      <c r="D4990" s="49">
        <v>45344</v>
      </c>
      <c r="E4990" s="49">
        <v>45345</v>
      </c>
      <c r="F4990" s="49">
        <v>45347</v>
      </c>
      <c r="G4990" s="49">
        <v>45351</v>
      </c>
      <c r="I4990" s="49">
        <v>45355</v>
      </c>
      <c r="J4990" t="s">
        <v>49</v>
      </c>
      <c r="K4990" s="33">
        <v>2300</v>
      </c>
      <c r="L4990" t="s">
        <v>61</v>
      </c>
      <c r="M4990" t="str">
        <f>_xlfn.XLOOKUP(Pipeline_tbl[[#This Row],[Rep_ID]],Dim_Reps!A:A,Dim_Reps!K:K)</f>
        <v>MXN</v>
      </c>
      <c r="N4990" s="33">
        <f>(_xlfn.XLOOKUP(Pipeline_tbl[[#This Row],[Rate_Code_Generalized]],Lookups!A:A,Lookups!B:B))*Pipeline_tbl[[#This Row],[Pipeline_Amount_USD]]</f>
        <v>45385.210000000006</v>
      </c>
      <c r="O4990" t="str">
        <f>_xlfn.XLOOKUP(Pipeline_tbl[[#This Row],[Rep_ID]],Dim_Reps!A:A,Dim_Reps!B:B)</f>
        <v>Casey Muller</v>
      </c>
      <c r="P4990" t="str">
        <f>_xlfn.XLOOKUP(Pipeline_tbl[[#This Row],[Rep_ID]],Dim_Reps!A:A,Dim_Reps!C:C)</f>
        <v>SDR / Inside Sales Rep</v>
      </c>
      <c r="Q4990" t="str">
        <f>_xlfn.XLOOKUP(Pipeline_tbl[[#This Row],[Rep_ID]],Dim_Reps!A:A,Dim_Reps!D:D)</f>
        <v>Inside Sales</v>
      </c>
      <c r="R4990" t="str">
        <f>_xlfn.XLOOKUP(Pipeline_tbl[[#This Row],[Rep_ID]],Dim_Reps!A:A,Dim_Reps!E:E)</f>
        <v>LATAM</v>
      </c>
      <c r="S4990" t="str">
        <f>_xlfn.XLOOKUP(Pipeline_tbl[[#This Row],[Created_Date]],Dim_Date!A:A,Dim_Date!H:H)</f>
        <v>Feb 2024</v>
      </c>
      <c r="T4990" t="str">
        <f>IF(Pipeline_tbl[[#This Row],[Closed_Date]]=0,"",(_xlfn.XLOOKUP(Pipeline_tbl[[#This Row],[Closed_Date]],Dim_Date!A:A,Dim_Date!H:H)))</f>
        <v>Mar 2024</v>
      </c>
      <c r="U4990">
        <f>IF(Pipeline_tbl[[#This Row],[Closed_Date]]=0,"",Pipeline_tbl[[#This Row],[Closed_Date]]-Pipeline_tbl[[#This Row],[Created_Date]])</f>
        <v>11</v>
      </c>
    </row>
    <row r="4991" spans="1:21" ht="15" customHeight="1" x14ac:dyDescent="0.2">
      <c r="A4991" t="s">
        <v>5297</v>
      </c>
      <c r="B4991" t="s">
        <v>221</v>
      </c>
      <c r="C4991" t="s">
        <v>53</v>
      </c>
      <c r="D4991" s="49">
        <v>45349</v>
      </c>
      <c r="E4991" s="49">
        <v>45351</v>
      </c>
      <c r="F4991" s="49">
        <v>45355</v>
      </c>
      <c r="G4991" s="49">
        <v>45361</v>
      </c>
      <c r="H4991" s="49">
        <v>45366</v>
      </c>
      <c r="I4991" s="49">
        <v>45369</v>
      </c>
      <c r="J4991" t="s">
        <v>49</v>
      </c>
      <c r="K4991" s="33">
        <v>4300</v>
      </c>
      <c r="L4991" t="s">
        <v>60</v>
      </c>
      <c r="M4991" t="str">
        <f>_xlfn.XLOOKUP(Pipeline_tbl[[#This Row],[Rep_ID]],Dim_Reps!A:A,Dim_Reps!K:K)</f>
        <v>MXN</v>
      </c>
      <c r="N4991" s="33">
        <f>(_xlfn.XLOOKUP(Pipeline_tbl[[#This Row],[Rate_Code_Generalized]],Lookups!A:A,Lookups!B:B))*Pipeline_tbl[[#This Row],[Pipeline_Amount_USD]]</f>
        <v>84850.61</v>
      </c>
      <c r="O4991" t="str">
        <f>_xlfn.XLOOKUP(Pipeline_tbl[[#This Row],[Rep_ID]],Dim_Reps!A:A,Dim_Reps!B:B)</f>
        <v>Casey Muller</v>
      </c>
      <c r="P4991" t="str">
        <f>_xlfn.XLOOKUP(Pipeline_tbl[[#This Row],[Rep_ID]],Dim_Reps!A:A,Dim_Reps!C:C)</f>
        <v>SDR / Inside Sales Rep</v>
      </c>
      <c r="Q4991" t="str">
        <f>_xlfn.XLOOKUP(Pipeline_tbl[[#This Row],[Rep_ID]],Dim_Reps!A:A,Dim_Reps!D:D)</f>
        <v>Inside Sales</v>
      </c>
      <c r="R4991" t="str">
        <f>_xlfn.XLOOKUP(Pipeline_tbl[[#This Row],[Rep_ID]],Dim_Reps!A:A,Dim_Reps!E:E)</f>
        <v>LATAM</v>
      </c>
      <c r="S4991" t="str">
        <f>_xlfn.XLOOKUP(Pipeline_tbl[[#This Row],[Created_Date]],Dim_Date!A:A,Dim_Date!H:H)</f>
        <v>Feb 2024</v>
      </c>
      <c r="T4991" t="str">
        <f>IF(Pipeline_tbl[[#This Row],[Closed_Date]]=0,"",(_xlfn.XLOOKUP(Pipeline_tbl[[#This Row],[Closed_Date]],Dim_Date!A:A,Dim_Date!H:H)))</f>
        <v>Mar 2024</v>
      </c>
      <c r="U4991">
        <f>IF(Pipeline_tbl[[#This Row],[Closed_Date]]=0,"",Pipeline_tbl[[#This Row],[Closed_Date]]-Pipeline_tbl[[#This Row],[Created_Date]])</f>
        <v>20</v>
      </c>
    </row>
    <row r="4992" spans="1:21" ht="15" customHeight="1" x14ac:dyDescent="0.2">
      <c r="A4992" t="s">
        <v>5298</v>
      </c>
      <c r="B4992" t="s">
        <v>221</v>
      </c>
      <c r="C4992" t="s">
        <v>52</v>
      </c>
      <c r="D4992" s="49">
        <v>45329</v>
      </c>
      <c r="E4992" s="49">
        <v>45331</v>
      </c>
      <c r="F4992" s="49">
        <v>45337</v>
      </c>
      <c r="G4992" s="49">
        <v>45344</v>
      </c>
      <c r="I4992" s="49">
        <v>45354</v>
      </c>
      <c r="J4992" t="s">
        <v>49</v>
      </c>
      <c r="K4992" s="33">
        <v>3900</v>
      </c>
      <c r="L4992" t="s">
        <v>64</v>
      </c>
      <c r="M4992" t="str">
        <f>_xlfn.XLOOKUP(Pipeline_tbl[[#This Row],[Rep_ID]],Dim_Reps!A:A,Dim_Reps!K:K)</f>
        <v>MXN</v>
      </c>
      <c r="N4992" s="33">
        <f>(_xlfn.XLOOKUP(Pipeline_tbl[[#This Row],[Rate_Code_Generalized]],Lookups!A:A,Lookups!B:B))*Pipeline_tbl[[#This Row],[Pipeline_Amount_USD]]</f>
        <v>76957.53</v>
      </c>
      <c r="O4992" t="str">
        <f>_xlfn.XLOOKUP(Pipeline_tbl[[#This Row],[Rep_ID]],Dim_Reps!A:A,Dim_Reps!B:B)</f>
        <v>Casey Muller</v>
      </c>
      <c r="P4992" t="str">
        <f>_xlfn.XLOOKUP(Pipeline_tbl[[#This Row],[Rep_ID]],Dim_Reps!A:A,Dim_Reps!C:C)</f>
        <v>SDR / Inside Sales Rep</v>
      </c>
      <c r="Q4992" t="str">
        <f>_xlfn.XLOOKUP(Pipeline_tbl[[#This Row],[Rep_ID]],Dim_Reps!A:A,Dim_Reps!D:D)</f>
        <v>Inside Sales</v>
      </c>
      <c r="R4992" t="str">
        <f>_xlfn.XLOOKUP(Pipeline_tbl[[#This Row],[Rep_ID]],Dim_Reps!A:A,Dim_Reps!E:E)</f>
        <v>LATAM</v>
      </c>
      <c r="S4992" t="str">
        <f>_xlfn.XLOOKUP(Pipeline_tbl[[#This Row],[Created_Date]],Dim_Date!A:A,Dim_Date!H:H)</f>
        <v>Feb 2024</v>
      </c>
      <c r="T4992" t="str">
        <f>IF(Pipeline_tbl[[#This Row],[Closed_Date]]=0,"",(_xlfn.XLOOKUP(Pipeline_tbl[[#This Row],[Closed_Date]],Dim_Date!A:A,Dim_Date!H:H)))</f>
        <v>Mar 2024</v>
      </c>
      <c r="U4992">
        <f>IF(Pipeline_tbl[[#This Row],[Closed_Date]]=0,"",Pipeline_tbl[[#This Row],[Closed_Date]]-Pipeline_tbl[[#This Row],[Created_Date]])</f>
        <v>25</v>
      </c>
    </row>
    <row r="4993" spans="1:21" ht="15" customHeight="1" x14ac:dyDescent="0.2">
      <c r="A4993" t="s">
        <v>5299</v>
      </c>
      <c r="B4993" t="s">
        <v>221</v>
      </c>
      <c r="C4993" t="s">
        <v>53</v>
      </c>
      <c r="D4993" s="49">
        <v>45347</v>
      </c>
      <c r="E4993" s="49">
        <v>45349</v>
      </c>
      <c r="F4993" s="49">
        <v>45354</v>
      </c>
      <c r="G4993" s="49">
        <v>45360</v>
      </c>
      <c r="H4993" s="49">
        <v>45366</v>
      </c>
      <c r="I4993" s="49">
        <v>45369</v>
      </c>
      <c r="J4993" t="s">
        <v>47</v>
      </c>
      <c r="K4993" s="33">
        <v>2400</v>
      </c>
      <c r="M4993" t="str">
        <f>_xlfn.XLOOKUP(Pipeline_tbl[[#This Row],[Rep_ID]],Dim_Reps!A:A,Dim_Reps!K:K)</f>
        <v>MXN</v>
      </c>
      <c r="N4993" s="33">
        <f>(_xlfn.XLOOKUP(Pipeline_tbl[[#This Row],[Rate_Code_Generalized]],Lookups!A:A,Lookups!B:B))*Pipeline_tbl[[#This Row],[Pipeline_Amount_USD]]</f>
        <v>47358.48</v>
      </c>
      <c r="O4993" t="str">
        <f>_xlfn.XLOOKUP(Pipeline_tbl[[#This Row],[Rep_ID]],Dim_Reps!A:A,Dim_Reps!B:B)</f>
        <v>Casey Muller</v>
      </c>
      <c r="P4993" t="str">
        <f>_xlfn.XLOOKUP(Pipeline_tbl[[#This Row],[Rep_ID]],Dim_Reps!A:A,Dim_Reps!C:C)</f>
        <v>SDR / Inside Sales Rep</v>
      </c>
      <c r="Q4993" t="str">
        <f>_xlfn.XLOOKUP(Pipeline_tbl[[#This Row],[Rep_ID]],Dim_Reps!A:A,Dim_Reps!D:D)</f>
        <v>Inside Sales</v>
      </c>
      <c r="R4993" t="str">
        <f>_xlfn.XLOOKUP(Pipeline_tbl[[#This Row],[Rep_ID]],Dim_Reps!A:A,Dim_Reps!E:E)</f>
        <v>LATAM</v>
      </c>
      <c r="S4993" t="str">
        <f>_xlfn.XLOOKUP(Pipeline_tbl[[#This Row],[Created_Date]],Dim_Date!A:A,Dim_Date!H:H)</f>
        <v>Feb 2024</v>
      </c>
      <c r="T4993" t="str">
        <f>IF(Pipeline_tbl[[#This Row],[Closed_Date]]=0,"",(_xlfn.XLOOKUP(Pipeline_tbl[[#This Row],[Closed_Date]],Dim_Date!A:A,Dim_Date!H:H)))</f>
        <v>Mar 2024</v>
      </c>
      <c r="U4993">
        <f>IF(Pipeline_tbl[[#This Row],[Closed_Date]]=0,"",Pipeline_tbl[[#This Row],[Closed_Date]]-Pipeline_tbl[[#This Row],[Created_Date]])</f>
        <v>22</v>
      </c>
    </row>
    <row r="4994" spans="1:21" ht="15" customHeight="1" x14ac:dyDescent="0.2">
      <c r="A4994" t="s">
        <v>5300</v>
      </c>
      <c r="B4994" t="s">
        <v>221</v>
      </c>
      <c r="C4994" t="s">
        <v>52</v>
      </c>
      <c r="D4994" s="49">
        <v>45344</v>
      </c>
      <c r="E4994" s="49">
        <v>45346</v>
      </c>
      <c r="F4994" s="49">
        <v>45349</v>
      </c>
      <c r="G4994" s="49">
        <v>45355</v>
      </c>
      <c r="H4994" s="49">
        <v>45359</v>
      </c>
      <c r="I4994" s="49">
        <v>45362</v>
      </c>
      <c r="J4994" t="s">
        <v>49</v>
      </c>
      <c r="K4994" s="33">
        <v>4400</v>
      </c>
      <c r="L4994" t="s">
        <v>61</v>
      </c>
      <c r="M4994" t="str">
        <f>_xlfn.XLOOKUP(Pipeline_tbl[[#This Row],[Rep_ID]],Dim_Reps!A:A,Dim_Reps!K:K)</f>
        <v>MXN</v>
      </c>
      <c r="N4994" s="33">
        <f>(_xlfn.XLOOKUP(Pipeline_tbl[[#This Row],[Rate_Code_Generalized]],Lookups!A:A,Lookups!B:B))*Pipeline_tbl[[#This Row],[Pipeline_Amount_USD]]</f>
        <v>86823.88</v>
      </c>
      <c r="O4994" t="str">
        <f>_xlfn.XLOOKUP(Pipeline_tbl[[#This Row],[Rep_ID]],Dim_Reps!A:A,Dim_Reps!B:B)</f>
        <v>Casey Muller</v>
      </c>
      <c r="P4994" t="str">
        <f>_xlfn.XLOOKUP(Pipeline_tbl[[#This Row],[Rep_ID]],Dim_Reps!A:A,Dim_Reps!C:C)</f>
        <v>SDR / Inside Sales Rep</v>
      </c>
      <c r="Q4994" t="str">
        <f>_xlfn.XLOOKUP(Pipeline_tbl[[#This Row],[Rep_ID]],Dim_Reps!A:A,Dim_Reps!D:D)</f>
        <v>Inside Sales</v>
      </c>
      <c r="R4994" t="str">
        <f>_xlfn.XLOOKUP(Pipeline_tbl[[#This Row],[Rep_ID]],Dim_Reps!A:A,Dim_Reps!E:E)</f>
        <v>LATAM</v>
      </c>
      <c r="S4994" t="str">
        <f>_xlfn.XLOOKUP(Pipeline_tbl[[#This Row],[Created_Date]],Dim_Date!A:A,Dim_Date!H:H)</f>
        <v>Feb 2024</v>
      </c>
      <c r="T4994" t="str">
        <f>IF(Pipeline_tbl[[#This Row],[Closed_Date]]=0,"",(_xlfn.XLOOKUP(Pipeline_tbl[[#This Row],[Closed_Date]],Dim_Date!A:A,Dim_Date!H:H)))</f>
        <v>Mar 2024</v>
      </c>
      <c r="U4994">
        <f>IF(Pipeline_tbl[[#This Row],[Closed_Date]]=0,"",Pipeline_tbl[[#This Row],[Closed_Date]]-Pipeline_tbl[[#This Row],[Created_Date]])</f>
        <v>18</v>
      </c>
    </row>
    <row r="4995" spans="1:21" ht="15" customHeight="1" x14ac:dyDescent="0.2">
      <c r="A4995" t="s">
        <v>5301</v>
      </c>
      <c r="B4995" t="s">
        <v>259</v>
      </c>
      <c r="C4995" t="s">
        <v>56</v>
      </c>
      <c r="D4995" s="49">
        <v>45323</v>
      </c>
      <c r="E4995" s="49">
        <v>45327</v>
      </c>
      <c r="F4995" s="49">
        <v>45334</v>
      </c>
      <c r="G4995" s="49">
        <v>45345</v>
      </c>
      <c r="H4995" s="49">
        <v>45354</v>
      </c>
      <c r="I4995" s="49">
        <v>45360</v>
      </c>
      <c r="J4995" t="s">
        <v>49</v>
      </c>
      <c r="K4995" s="33">
        <v>6600</v>
      </c>
      <c r="L4995" t="s">
        <v>61</v>
      </c>
      <c r="M4995" t="str">
        <f>_xlfn.XLOOKUP(Pipeline_tbl[[#This Row],[Rep_ID]],Dim_Reps!A:A,Dim_Reps!K:K)</f>
        <v>EUR</v>
      </c>
      <c r="N4995" s="33">
        <f>(_xlfn.XLOOKUP(Pipeline_tbl[[#This Row],[Rate_Code_Generalized]],Lookups!A:A,Lookups!B:B))*Pipeline_tbl[[#This Row],[Pipeline_Amount_USD]]</f>
        <v>6600</v>
      </c>
      <c r="O4995" t="str">
        <f>_xlfn.XLOOKUP(Pipeline_tbl[[#This Row],[Rep_ID]],Dim_Reps!A:A,Dim_Reps!B:B)</f>
        <v>Felix Okafor</v>
      </c>
      <c r="P4995" t="str">
        <f>_xlfn.XLOOKUP(Pipeline_tbl[[#This Row],[Rep_ID]],Dim_Reps!A:A,Dim_Reps!C:C)</f>
        <v>Mid-Market AE</v>
      </c>
      <c r="Q4995" t="str">
        <f>_xlfn.XLOOKUP(Pipeline_tbl[[#This Row],[Rep_ID]],Dim_Reps!A:A,Dim_Reps!D:D)</f>
        <v>Mid-Market</v>
      </c>
      <c r="R4995" t="str">
        <f>_xlfn.XLOOKUP(Pipeline_tbl[[#This Row],[Rep_ID]],Dim_Reps!A:A,Dim_Reps!E:E)</f>
        <v>EMEA</v>
      </c>
      <c r="S4995" t="str">
        <f>_xlfn.XLOOKUP(Pipeline_tbl[[#This Row],[Created_Date]],Dim_Date!A:A,Dim_Date!H:H)</f>
        <v>Feb 2024</v>
      </c>
      <c r="T4995" t="str">
        <f>IF(Pipeline_tbl[[#This Row],[Closed_Date]]=0,"",(_xlfn.XLOOKUP(Pipeline_tbl[[#This Row],[Closed_Date]],Dim_Date!A:A,Dim_Date!H:H)))</f>
        <v>Mar 2024</v>
      </c>
      <c r="U4995">
        <f>IF(Pipeline_tbl[[#This Row],[Closed_Date]]=0,"",Pipeline_tbl[[#This Row],[Closed_Date]]-Pipeline_tbl[[#This Row],[Created_Date]])</f>
        <v>37</v>
      </c>
    </row>
    <row r="4996" spans="1:21" ht="15" customHeight="1" x14ac:dyDescent="0.2">
      <c r="A4996" t="s">
        <v>5302</v>
      </c>
      <c r="B4996" t="s">
        <v>259</v>
      </c>
      <c r="C4996" t="s">
        <v>52</v>
      </c>
      <c r="D4996" s="49">
        <v>45329</v>
      </c>
      <c r="E4996" s="49">
        <v>45332</v>
      </c>
      <c r="F4996" s="49">
        <v>45339</v>
      </c>
      <c r="G4996" s="49">
        <v>45349</v>
      </c>
      <c r="I4996" s="49">
        <v>45363</v>
      </c>
      <c r="J4996" t="s">
        <v>49</v>
      </c>
      <c r="K4996" s="33">
        <v>14000</v>
      </c>
      <c r="L4996" t="s">
        <v>63</v>
      </c>
      <c r="M4996" t="str">
        <f>_xlfn.XLOOKUP(Pipeline_tbl[[#This Row],[Rep_ID]],Dim_Reps!A:A,Dim_Reps!K:K)</f>
        <v>EUR</v>
      </c>
      <c r="N4996" s="33">
        <f>(_xlfn.XLOOKUP(Pipeline_tbl[[#This Row],[Rate_Code_Generalized]],Lookups!A:A,Lookups!B:B))*Pipeline_tbl[[#This Row],[Pipeline_Amount_USD]]</f>
        <v>14000</v>
      </c>
      <c r="O4996" t="str">
        <f>_xlfn.XLOOKUP(Pipeline_tbl[[#This Row],[Rep_ID]],Dim_Reps!A:A,Dim_Reps!B:B)</f>
        <v>Felix Okafor</v>
      </c>
      <c r="P4996" t="str">
        <f>_xlfn.XLOOKUP(Pipeline_tbl[[#This Row],[Rep_ID]],Dim_Reps!A:A,Dim_Reps!C:C)</f>
        <v>Mid-Market AE</v>
      </c>
      <c r="Q4996" t="str">
        <f>_xlfn.XLOOKUP(Pipeline_tbl[[#This Row],[Rep_ID]],Dim_Reps!A:A,Dim_Reps!D:D)</f>
        <v>Mid-Market</v>
      </c>
      <c r="R4996" t="str">
        <f>_xlfn.XLOOKUP(Pipeline_tbl[[#This Row],[Rep_ID]],Dim_Reps!A:A,Dim_Reps!E:E)</f>
        <v>EMEA</v>
      </c>
      <c r="S4996" t="str">
        <f>_xlfn.XLOOKUP(Pipeline_tbl[[#This Row],[Created_Date]],Dim_Date!A:A,Dim_Date!H:H)</f>
        <v>Feb 2024</v>
      </c>
      <c r="T4996" t="str">
        <f>IF(Pipeline_tbl[[#This Row],[Closed_Date]]=0,"",(_xlfn.XLOOKUP(Pipeline_tbl[[#This Row],[Closed_Date]],Dim_Date!A:A,Dim_Date!H:H)))</f>
        <v>Mar 2024</v>
      </c>
      <c r="U4996">
        <f>IF(Pipeline_tbl[[#This Row],[Closed_Date]]=0,"",Pipeline_tbl[[#This Row],[Closed_Date]]-Pipeline_tbl[[#This Row],[Created_Date]])</f>
        <v>34</v>
      </c>
    </row>
    <row r="4997" spans="1:21" ht="15" customHeight="1" x14ac:dyDescent="0.2">
      <c r="A4997" t="s">
        <v>5303</v>
      </c>
      <c r="B4997" t="s">
        <v>225</v>
      </c>
      <c r="C4997" t="s">
        <v>54</v>
      </c>
      <c r="D4997" s="49">
        <v>45341</v>
      </c>
      <c r="E4997" s="49">
        <v>45343</v>
      </c>
      <c r="F4997" s="49">
        <v>45346</v>
      </c>
      <c r="G4997" s="49">
        <v>45351</v>
      </c>
      <c r="H4997" s="49">
        <v>45355</v>
      </c>
      <c r="I4997" s="49">
        <v>45357</v>
      </c>
      <c r="J4997" t="s">
        <v>47</v>
      </c>
      <c r="K4997" s="33">
        <v>3100</v>
      </c>
      <c r="M4997" t="str">
        <f>_xlfn.XLOOKUP(Pipeline_tbl[[#This Row],[Rep_ID]],Dim_Reps!A:A,Dim_Reps!K:K)</f>
        <v>USD</v>
      </c>
      <c r="N4997" s="33">
        <f>(_xlfn.XLOOKUP(Pipeline_tbl[[#This Row],[Rate_Code_Generalized]],Lookups!A:A,Lookups!B:B))*Pipeline_tbl[[#This Row],[Pipeline_Amount_USD]]</f>
        <v>3609.3299999999995</v>
      </c>
      <c r="O4997" t="str">
        <f>_xlfn.XLOOKUP(Pipeline_tbl[[#This Row],[Rep_ID]],Dim_Reps!A:A,Dim_Reps!B:B)</f>
        <v>Alex Muller</v>
      </c>
      <c r="P4997" t="str">
        <f>_xlfn.XLOOKUP(Pipeline_tbl[[#This Row],[Rep_ID]],Dim_Reps!A:A,Dim_Reps!C:C)</f>
        <v>SDR / Inside Sales Rep</v>
      </c>
      <c r="Q4997" t="str">
        <f>_xlfn.XLOOKUP(Pipeline_tbl[[#This Row],[Rep_ID]],Dim_Reps!A:A,Dim_Reps!D:D)</f>
        <v>Inside Sales</v>
      </c>
      <c r="R4997" t="str">
        <f>_xlfn.XLOOKUP(Pipeline_tbl[[#This Row],[Rep_ID]],Dim_Reps!A:A,Dim_Reps!E:E)</f>
        <v>NAMER</v>
      </c>
      <c r="S4997" t="str">
        <f>_xlfn.XLOOKUP(Pipeline_tbl[[#This Row],[Created_Date]],Dim_Date!A:A,Dim_Date!H:H)</f>
        <v>Feb 2024</v>
      </c>
      <c r="T4997" t="str">
        <f>IF(Pipeline_tbl[[#This Row],[Closed_Date]]=0,"",(_xlfn.XLOOKUP(Pipeline_tbl[[#This Row],[Closed_Date]],Dim_Date!A:A,Dim_Date!H:H)))</f>
        <v>Mar 2024</v>
      </c>
      <c r="U4997">
        <f>IF(Pipeline_tbl[[#This Row],[Closed_Date]]=0,"",Pipeline_tbl[[#This Row],[Closed_Date]]-Pipeline_tbl[[#This Row],[Created_Date]])</f>
        <v>16</v>
      </c>
    </row>
    <row r="4998" spans="1:21" ht="15" customHeight="1" x14ac:dyDescent="0.2">
      <c r="A4998" t="s">
        <v>5304</v>
      </c>
      <c r="B4998" t="s">
        <v>225</v>
      </c>
      <c r="C4998" t="s">
        <v>56</v>
      </c>
      <c r="D4998" s="49">
        <v>45349</v>
      </c>
      <c r="E4998" s="49">
        <v>45351</v>
      </c>
      <c r="F4998" s="49">
        <v>45355</v>
      </c>
      <c r="G4998" s="49">
        <v>45362</v>
      </c>
      <c r="I4998" s="49">
        <v>45370</v>
      </c>
      <c r="J4998" t="s">
        <v>49</v>
      </c>
      <c r="K4998" s="33">
        <v>7100</v>
      </c>
      <c r="L4998" t="s">
        <v>60</v>
      </c>
      <c r="M4998" t="str">
        <f>_xlfn.XLOOKUP(Pipeline_tbl[[#This Row],[Rep_ID]],Dim_Reps!A:A,Dim_Reps!K:K)</f>
        <v>USD</v>
      </c>
      <c r="N4998" s="33">
        <f>(_xlfn.XLOOKUP(Pipeline_tbl[[#This Row],[Rate_Code_Generalized]],Lookups!A:A,Lookups!B:B))*Pipeline_tbl[[#This Row],[Pipeline_Amount_USD]]</f>
        <v>8266.5299999999988</v>
      </c>
      <c r="O4998" t="str">
        <f>_xlfn.XLOOKUP(Pipeline_tbl[[#This Row],[Rep_ID]],Dim_Reps!A:A,Dim_Reps!B:B)</f>
        <v>Alex Muller</v>
      </c>
      <c r="P4998" t="str">
        <f>_xlfn.XLOOKUP(Pipeline_tbl[[#This Row],[Rep_ID]],Dim_Reps!A:A,Dim_Reps!C:C)</f>
        <v>SDR / Inside Sales Rep</v>
      </c>
      <c r="Q4998" t="str">
        <f>_xlfn.XLOOKUP(Pipeline_tbl[[#This Row],[Rep_ID]],Dim_Reps!A:A,Dim_Reps!D:D)</f>
        <v>Inside Sales</v>
      </c>
      <c r="R4998" t="str">
        <f>_xlfn.XLOOKUP(Pipeline_tbl[[#This Row],[Rep_ID]],Dim_Reps!A:A,Dim_Reps!E:E)</f>
        <v>NAMER</v>
      </c>
      <c r="S4998" t="str">
        <f>_xlfn.XLOOKUP(Pipeline_tbl[[#This Row],[Created_Date]],Dim_Date!A:A,Dim_Date!H:H)</f>
        <v>Feb 2024</v>
      </c>
      <c r="T4998" t="str">
        <f>IF(Pipeline_tbl[[#This Row],[Closed_Date]]=0,"",(_xlfn.XLOOKUP(Pipeline_tbl[[#This Row],[Closed_Date]],Dim_Date!A:A,Dim_Date!H:H)))</f>
        <v>Mar 2024</v>
      </c>
      <c r="U4998">
        <f>IF(Pipeline_tbl[[#This Row],[Closed_Date]]=0,"",Pipeline_tbl[[#This Row],[Closed_Date]]-Pipeline_tbl[[#This Row],[Created_Date]])</f>
        <v>21</v>
      </c>
    </row>
    <row r="4999" spans="1:21" ht="15" customHeight="1" x14ac:dyDescent="0.2">
      <c r="A4999" t="s">
        <v>5305</v>
      </c>
      <c r="B4999" t="s">
        <v>225</v>
      </c>
      <c r="C4999" t="s">
        <v>52</v>
      </c>
      <c r="D4999" s="49">
        <v>45350</v>
      </c>
      <c r="E4999" s="49">
        <v>45351</v>
      </c>
      <c r="I4999" s="49">
        <v>45357</v>
      </c>
      <c r="J4999" t="s">
        <v>49</v>
      </c>
      <c r="K4999" s="33">
        <v>6500</v>
      </c>
      <c r="L4999" t="s">
        <v>60</v>
      </c>
      <c r="M4999" t="str">
        <f>_xlfn.XLOOKUP(Pipeline_tbl[[#This Row],[Rep_ID]],Dim_Reps!A:A,Dim_Reps!K:K)</f>
        <v>USD</v>
      </c>
      <c r="N4999" s="33">
        <f>(_xlfn.XLOOKUP(Pipeline_tbl[[#This Row],[Rate_Code_Generalized]],Lookups!A:A,Lookups!B:B))*Pipeline_tbl[[#This Row],[Pipeline_Amount_USD]]</f>
        <v>7567.9499999999989</v>
      </c>
      <c r="O4999" t="str">
        <f>_xlfn.XLOOKUP(Pipeline_tbl[[#This Row],[Rep_ID]],Dim_Reps!A:A,Dim_Reps!B:B)</f>
        <v>Alex Muller</v>
      </c>
      <c r="P4999" t="str">
        <f>_xlfn.XLOOKUP(Pipeline_tbl[[#This Row],[Rep_ID]],Dim_Reps!A:A,Dim_Reps!C:C)</f>
        <v>SDR / Inside Sales Rep</v>
      </c>
      <c r="Q4999" t="str">
        <f>_xlfn.XLOOKUP(Pipeline_tbl[[#This Row],[Rep_ID]],Dim_Reps!A:A,Dim_Reps!D:D)</f>
        <v>Inside Sales</v>
      </c>
      <c r="R4999" t="str">
        <f>_xlfn.XLOOKUP(Pipeline_tbl[[#This Row],[Rep_ID]],Dim_Reps!A:A,Dim_Reps!E:E)</f>
        <v>NAMER</v>
      </c>
      <c r="S4999" t="str">
        <f>_xlfn.XLOOKUP(Pipeline_tbl[[#This Row],[Created_Date]],Dim_Date!A:A,Dim_Date!H:H)</f>
        <v>Feb 2024</v>
      </c>
      <c r="T4999" t="str">
        <f>IF(Pipeline_tbl[[#This Row],[Closed_Date]]=0,"",(_xlfn.XLOOKUP(Pipeline_tbl[[#This Row],[Closed_Date]],Dim_Date!A:A,Dim_Date!H:H)))</f>
        <v>Mar 2024</v>
      </c>
      <c r="U4999">
        <f>IF(Pipeline_tbl[[#This Row],[Closed_Date]]=0,"",Pipeline_tbl[[#This Row],[Closed_Date]]-Pipeline_tbl[[#This Row],[Created_Date]])</f>
        <v>7</v>
      </c>
    </row>
    <row r="5000" spans="1:21" ht="15" customHeight="1" x14ac:dyDescent="0.2">
      <c r="A5000" t="s">
        <v>5306</v>
      </c>
      <c r="B5000" t="s">
        <v>225</v>
      </c>
      <c r="C5000" t="s">
        <v>54</v>
      </c>
      <c r="D5000" s="49">
        <v>45335</v>
      </c>
      <c r="E5000" s="49">
        <v>45337</v>
      </c>
      <c r="F5000" s="49">
        <v>45341</v>
      </c>
      <c r="G5000" s="49">
        <v>45346</v>
      </c>
      <c r="H5000" s="49">
        <v>45351</v>
      </c>
      <c r="I5000" s="49">
        <v>45354</v>
      </c>
      <c r="J5000" t="s">
        <v>47</v>
      </c>
      <c r="K5000" s="33">
        <v>2900</v>
      </c>
      <c r="M5000" t="str">
        <f>_xlfn.XLOOKUP(Pipeline_tbl[[#This Row],[Rep_ID]],Dim_Reps!A:A,Dim_Reps!K:K)</f>
        <v>USD</v>
      </c>
      <c r="N5000" s="33">
        <f>(_xlfn.XLOOKUP(Pipeline_tbl[[#This Row],[Rate_Code_Generalized]],Lookups!A:A,Lookups!B:B))*Pipeline_tbl[[#This Row],[Pipeline_Amount_USD]]</f>
        <v>3376.47</v>
      </c>
      <c r="O5000" t="str">
        <f>_xlfn.XLOOKUP(Pipeline_tbl[[#This Row],[Rep_ID]],Dim_Reps!A:A,Dim_Reps!B:B)</f>
        <v>Alex Muller</v>
      </c>
      <c r="P5000" t="str">
        <f>_xlfn.XLOOKUP(Pipeline_tbl[[#This Row],[Rep_ID]],Dim_Reps!A:A,Dim_Reps!C:C)</f>
        <v>SDR / Inside Sales Rep</v>
      </c>
      <c r="Q5000" t="str">
        <f>_xlfn.XLOOKUP(Pipeline_tbl[[#This Row],[Rep_ID]],Dim_Reps!A:A,Dim_Reps!D:D)</f>
        <v>Inside Sales</v>
      </c>
      <c r="R5000" t="str">
        <f>_xlfn.XLOOKUP(Pipeline_tbl[[#This Row],[Rep_ID]],Dim_Reps!A:A,Dim_Reps!E:E)</f>
        <v>NAMER</v>
      </c>
      <c r="S5000" t="str">
        <f>_xlfn.XLOOKUP(Pipeline_tbl[[#This Row],[Created_Date]],Dim_Date!A:A,Dim_Date!H:H)</f>
        <v>Feb 2024</v>
      </c>
      <c r="T5000" t="str">
        <f>IF(Pipeline_tbl[[#This Row],[Closed_Date]]=0,"",(_xlfn.XLOOKUP(Pipeline_tbl[[#This Row],[Closed_Date]],Dim_Date!A:A,Dim_Date!H:H)))</f>
        <v>Mar 2024</v>
      </c>
      <c r="U5000">
        <f>IF(Pipeline_tbl[[#This Row],[Closed_Date]]=0,"",Pipeline_tbl[[#This Row],[Closed_Date]]-Pipeline_tbl[[#This Row],[Created_Date]])</f>
        <v>19</v>
      </c>
    </row>
    <row r="5001" spans="1:21" ht="15" customHeight="1" x14ac:dyDescent="0.2">
      <c r="A5001" t="s">
        <v>5307</v>
      </c>
      <c r="B5001" t="s">
        <v>225</v>
      </c>
      <c r="C5001" t="s">
        <v>55</v>
      </c>
      <c r="D5001" s="49">
        <v>45344</v>
      </c>
      <c r="E5001" s="49">
        <v>45345</v>
      </c>
      <c r="F5001" s="49">
        <v>45346</v>
      </c>
      <c r="G5001" s="49">
        <v>45349</v>
      </c>
      <c r="H5001" s="49">
        <v>45351</v>
      </c>
      <c r="I5001" s="49">
        <v>45352</v>
      </c>
      <c r="J5001" t="s">
        <v>47</v>
      </c>
      <c r="K5001" s="33">
        <v>3400</v>
      </c>
      <c r="M5001" t="str">
        <f>_xlfn.XLOOKUP(Pipeline_tbl[[#This Row],[Rep_ID]],Dim_Reps!A:A,Dim_Reps!K:K)</f>
        <v>USD</v>
      </c>
      <c r="N5001" s="33">
        <f>(_xlfn.XLOOKUP(Pipeline_tbl[[#This Row],[Rate_Code_Generalized]],Lookups!A:A,Lookups!B:B))*Pipeline_tbl[[#This Row],[Pipeline_Amount_USD]]</f>
        <v>3958.6199999999994</v>
      </c>
      <c r="O5001" t="str">
        <f>_xlfn.XLOOKUP(Pipeline_tbl[[#This Row],[Rep_ID]],Dim_Reps!A:A,Dim_Reps!B:B)</f>
        <v>Alex Muller</v>
      </c>
      <c r="P5001" t="str">
        <f>_xlfn.XLOOKUP(Pipeline_tbl[[#This Row],[Rep_ID]],Dim_Reps!A:A,Dim_Reps!C:C)</f>
        <v>SDR / Inside Sales Rep</v>
      </c>
      <c r="Q5001" t="str">
        <f>_xlfn.XLOOKUP(Pipeline_tbl[[#This Row],[Rep_ID]],Dim_Reps!A:A,Dim_Reps!D:D)</f>
        <v>Inside Sales</v>
      </c>
      <c r="R5001" t="str">
        <f>_xlfn.XLOOKUP(Pipeline_tbl[[#This Row],[Rep_ID]],Dim_Reps!A:A,Dim_Reps!E:E)</f>
        <v>NAMER</v>
      </c>
      <c r="S5001" t="str">
        <f>_xlfn.XLOOKUP(Pipeline_tbl[[#This Row],[Created_Date]],Dim_Date!A:A,Dim_Date!H:H)</f>
        <v>Feb 2024</v>
      </c>
      <c r="T5001" t="str">
        <f>IF(Pipeline_tbl[[#This Row],[Closed_Date]]=0,"",(_xlfn.XLOOKUP(Pipeline_tbl[[#This Row],[Closed_Date]],Dim_Date!A:A,Dim_Date!H:H)))</f>
        <v>Mar 2024</v>
      </c>
      <c r="U5001">
        <f>IF(Pipeline_tbl[[#This Row],[Closed_Date]]=0,"",Pipeline_tbl[[#This Row],[Closed_Date]]-Pipeline_tbl[[#This Row],[Created_Date]])</f>
        <v>8</v>
      </c>
    </row>
    <row r="5002" spans="1:21" ht="15" customHeight="1" x14ac:dyDescent="0.2">
      <c r="A5002" t="s">
        <v>5308</v>
      </c>
      <c r="B5002" t="s">
        <v>225</v>
      </c>
      <c r="C5002" t="s">
        <v>53</v>
      </c>
      <c r="D5002" s="49">
        <v>45351</v>
      </c>
      <c r="E5002" s="49">
        <v>45353</v>
      </c>
      <c r="F5002" s="49">
        <v>45356</v>
      </c>
      <c r="G5002" s="49">
        <v>45360</v>
      </c>
      <c r="H5002" s="49">
        <v>45364</v>
      </c>
      <c r="I5002" s="49">
        <v>45366</v>
      </c>
      <c r="J5002" t="s">
        <v>49</v>
      </c>
      <c r="K5002" s="33">
        <v>3800</v>
      </c>
      <c r="L5002" t="s">
        <v>62</v>
      </c>
      <c r="M5002" t="str">
        <f>_xlfn.XLOOKUP(Pipeline_tbl[[#This Row],[Rep_ID]],Dim_Reps!A:A,Dim_Reps!K:K)</f>
        <v>USD</v>
      </c>
      <c r="N5002" s="33">
        <f>(_xlfn.XLOOKUP(Pipeline_tbl[[#This Row],[Rate_Code_Generalized]],Lookups!A:A,Lookups!B:B))*Pipeline_tbl[[#This Row],[Pipeline_Amount_USD]]</f>
        <v>4424.3399999999992</v>
      </c>
      <c r="O5002" t="str">
        <f>_xlfn.XLOOKUP(Pipeline_tbl[[#This Row],[Rep_ID]],Dim_Reps!A:A,Dim_Reps!B:B)</f>
        <v>Alex Muller</v>
      </c>
      <c r="P5002" t="str">
        <f>_xlfn.XLOOKUP(Pipeline_tbl[[#This Row],[Rep_ID]],Dim_Reps!A:A,Dim_Reps!C:C)</f>
        <v>SDR / Inside Sales Rep</v>
      </c>
      <c r="Q5002" t="str">
        <f>_xlfn.XLOOKUP(Pipeline_tbl[[#This Row],[Rep_ID]],Dim_Reps!A:A,Dim_Reps!D:D)</f>
        <v>Inside Sales</v>
      </c>
      <c r="R5002" t="str">
        <f>_xlfn.XLOOKUP(Pipeline_tbl[[#This Row],[Rep_ID]],Dim_Reps!A:A,Dim_Reps!E:E)</f>
        <v>NAMER</v>
      </c>
      <c r="S5002" t="str">
        <f>_xlfn.XLOOKUP(Pipeline_tbl[[#This Row],[Created_Date]],Dim_Date!A:A,Dim_Date!H:H)</f>
        <v>Feb 2024</v>
      </c>
      <c r="T5002" t="str">
        <f>IF(Pipeline_tbl[[#This Row],[Closed_Date]]=0,"",(_xlfn.XLOOKUP(Pipeline_tbl[[#This Row],[Closed_Date]],Dim_Date!A:A,Dim_Date!H:H)))</f>
        <v>Mar 2024</v>
      </c>
      <c r="U5002">
        <f>IF(Pipeline_tbl[[#This Row],[Closed_Date]]=0,"",Pipeline_tbl[[#This Row],[Closed_Date]]-Pipeline_tbl[[#This Row],[Created_Date]])</f>
        <v>15</v>
      </c>
    </row>
    <row r="5003" spans="1:21" ht="15" customHeight="1" x14ac:dyDescent="0.2">
      <c r="A5003" t="s">
        <v>5309</v>
      </c>
      <c r="B5003" t="s">
        <v>227</v>
      </c>
      <c r="C5003" t="s">
        <v>55</v>
      </c>
      <c r="D5003" s="49">
        <v>45344</v>
      </c>
      <c r="E5003" s="49">
        <v>45345</v>
      </c>
      <c r="F5003" s="49">
        <v>45348</v>
      </c>
      <c r="G5003" s="49">
        <v>45352</v>
      </c>
      <c r="H5003" s="49">
        <v>45355</v>
      </c>
      <c r="I5003" s="49">
        <v>45357</v>
      </c>
      <c r="J5003" t="s">
        <v>47</v>
      </c>
      <c r="K5003" s="33">
        <v>3600</v>
      </c>
      <c r="M5003" t="str">
        <f>_xlfn.XLOOKUP(Pipeline_tbl[[#This Row],[Rep_ID]],Dim_Reps!A:A,Dim_Reps!K:K)</f>
        <v>EUR</v>
      </c>
      <c r="N5003" s="33">
        <f>(_xlfn.XLOOKUP(Pipeline_tbl[[#This Row],[Rate_Code_Generalized]],Lookups!A:A,Lookups!B:B))*Pipeline_tbl[[#This Row],[Pipeline_Amount_USD]]</f>
        <v>3600</v>
      </c>
      <c r="O5003" t="str">
        <f>_xlfn.XLOOKUP(Pipeline_tbl[[#This Row],[Rep_ID]],Dim_Reps!A:A,Dim_Reps!B:B)</f>
        <v>Liam Muller</v>
      </c>
      <c r="P5003" t="str">
        <f>_xlfn.XLOOKUP(Pipeline_tbl[[#This Row],[Rep_ID]],Dim_Reps!A:A,Dim_Reps!C:C)</f>
        <v>SDR / Inside Sales Rep</v>
      </c>
      <c r="Q5003" t="str">
        <f>_xlfn.XLOOKUP(Pipeline_tbl[[#This Row],[Rep_ID]],Dim_Reps!A:A,Dim_Reps!D:D)</f>
        <v>Inside Sales</v>
      </c>
      <c r="R5003" t="str">
        <f>_xlfn.XLOOKUP(Pipeline_tbl[[#This Row],[Rep_ID]],Dim_Reps!A:A,Dim_Reps!E:E)</f>
        <v>EMEA</v>
      </c>
      <c r="S5003" t="str">
        <f>_xlfn.XLOOKUP(Pipeline_tbl[[#This Row],[Created_Date]],Dim_Date!A:A,Dim_Date!H:H)</f>
        <v>Feb 2024</v>
      </c>
      <c r="T5003" t="str">
        <f>IF(Pipeline_tbl[[#This Row],[Closed_Date]]=0,"",(_xlfn.XLOOKUP(Pipeline_tbl[[#This Row],[Closed_Date]],Dim_Date!A:A,Dim_Date!H:H)))</f>
        <v>Mar 2024</v>
      </c>
      <c r="U5003">
        <f>IF(Pipeline_tbl[[#This Row],[Closed_Date]]=0,"",Pipeline_tbl[[#This Row],[Closed_Date]]-Pipeline_tbl[[#This Row],[Created_Date]])</f>
        <v>13</v>
      </c>
    </row>
    <row r="5004" spans="1:21" ht="15" customHeight="1" x14ac:dyDescent="0.2">
      <c r="A5004" t="s">
        <v>5310</v>
      </c>
      <c r="B5004" t="s">
        <v>227</v>
      </c>
      <c r="C5004" t="s">
        <v>52</v>
      </c>
      <c r="D5004" s="49">
        <v>45344</v>
      </c>
      <c r="E5004" s="49">
        <v>45346</v>
      </c>
      <c r="F5004" s="49">
        <v>45349</v>
      </c>
      <c r="G5004" s="49">
        <v>45355</v>
      </c>
      <c r="I5004" s="49">
        <v>45362</v>
      </c>
      <c r="J5004" t="s">
        <v>49</v>
      </c>
      <c r="K5004" s="33">
        <v>3200</v>
      </c>
      <c r="L5004" t="s">
        <v>60</v>
      </c>
      <c r="M5004" t="str">
        <f>_xlfn.XLOOKUP(Pipeline_tbl[[#This Row],[Rep_ID]],Dim_Reps!A:A,Dim_Reps!K:K)</f>
        <v>EUR</v>
      </c>
      <c r="N5004" s="33">
        <f>(_xlfn.XLOOKUP(Pipeline_tbl[[#This Row],[Rate_Code_Generalized]],Lookups!A:A,Lookups!B:B))*Pipeline_tbl[[#This Row],[Pipeline_Amount_USD]]</f>
        <v>3200</v>
      </c>
      <c r="O5004" t="str">
        <f>_xlfn.XLOOKUP(Pipeline_tbl[[#This Row],[Rep_ID]],Dim_Reps!A:A,Dim_Reps!B:B)</f>
        <v>Liam Muller</v>
      </c>
      <c r="P5004" t="str">
        <f>_xlfn.XLOOKUP(Pipeline_tbl[[#This Row],[Rep_ID]],Dim_Reps!A:A,Dim_Reps!C:C)</f>
        <v>SDR / Inside Sales Rep</v>
      </c>
      <c r="Q5004" t="str">
        <f>_xlfn.XLOOKUP(Pipeline_tbl[[#This Row],[Rep_ID]],Dim_Reps!A:A,Dim_Reps!D:D)</f>
        <v>Inside Sales</v>
      </c>
      <c r="R5004" t="str">
        <f>_xlfn.XLOOKUP(Pipeline_tbl[[#This Row],[Rep_ID]],Dim_Reps!A:A,Dim_Reps!E:E)</f>
        <v>EMEA</v>
      </c>
      <c r="S5004" t="str">
        <f>_xlfn.XLOOKUP(Pipeline_tbl[[#This Row],[Created_Date]],Dim_Date!A:A,Dim_Date!H:H)</f>
        <v>Feb 2024</v>
      </c>
      <c r="T5004" t="str">
        <f>IF(Pipeline_tbl[[#This Row],[Closed_Date]]=0,"",(_xlfn.XLOOKUP(Pipeline_tbl[[#This Row],[Closed_Date]],Dim_Date!A:A,Dim_Date!H:H)))</f>
        <v>Mar 2024</v>
      </c>
      <c r="U5004">
        <f>IF(Pipeline_tbl[[#This Row],[Closed_Date]]=0,"",Pipeline_tbl[[#This Row],[Closed_Date]]-Pipeline_tbl[[#This Row],[Created_Date]])</f>
        <v>18</v>
      </c>
    </row>
    <row r="5005" spans="1:21" ht="15" customHeight="1" x14ac:dyDescent="0.2">
      <c r="A5005" t="s">
        <v>5311</v>
      </c>
      <c r="B5005" t="s">
        <v>227</v>
      </c>
      <c r="C5005" t="s">
        <v>52</v>
      </c>
      <c r="D5005" s="49">
        <v>45334</v>
      </c>
      <c r="E5005" s="49">
        <v>45336</v>
      </c>
      <c r="F5005" s="49">
        <v>45342</v>
      </c>
      <c r="I5005" s="49">
        <v>45359</v>
      </c>
      <c r="J5005" t="s">
        <v>49</v>
      </c>
      <c r="K5005" s="33">
        <v>5000</v>
      </c>
      <c r="L5005" t="s">
        <v>64</v>
      </c>
      <c r="M5005" t="str">
        <f>_xlfn.XLOOKUP(Pipeline_tbl[[#This Row],[Rep_ID]],Dim_Reps!A:A,Dim_Reps!K:K)</f>
        <v>EUR</v>
      </c>
      <c r="N5005" s="33">
        <f>(_xlfn.XLOOKUP(Pipeline_tbl[[#This Row],[Rate_Code_Generalized]],Lookups!A:A,Lookups!B:B))*Pipeline_tbl[[#This Row],[Pipeline_Amount_USD]]</f>
        <v>5000</v>
      </c>
      <c r="O5005" t="str">
        <f>_xlfn.XLOOKUP(Pipeline_tbl[[#This Row],[Rep_ID]],Dim_Reps!A:A,Dim_Reps!B:B)</f>
        <v>Liam Muller</v>
      </c>
      <c r="P5005" t="str">
        <f>_xlfn.XLOOKUP(Pipeline_tbl[[#This Row],[Rep_ID]],Dim_Reps!A:A,Dim_Reps!C:C)</f>
        <v>SDR / Inside Sales Rep</v>
      </c>
      <c r="Q5005" t="str">
        <f>_xlfn.XLOOKUP(Pipeline_tbl[[#This Row],[Rep_ID]],Dim_Reps!A:A,Dim_Reps!D:D)</f>
        <v>Inside Sales</v>
      </c>
      <c r="R5005" t="str">
        <f>_xlfn.XLOOKUP(Pipeline_tbl[[#This Row],[Rep_ID]],Dim_Reps!A:A,Dim_Reps!E:E)</f>
        <v>EMEA</v>
      </c>
      <c r="S5005" t="str">
        <f>_xlfn.XLOOKUP(Pipeline_tbl[[#This Row],[Created_Date]],Dim_Date!A:A,Dim_Date!H:H)</f>
        <v>Feb 2024</v>
      </c>
      <c r="T5005" t="str">
        <f>IF(Pipeline_tbl[[#This Row],[Closed_Date]]=0,"",(_xlfn.XLOOKUP(Pipeline_tbl[[#This Row],[Closed_Date]],Dim_Date!A:A,Dim_Date!H:H)))</f>
        <v>Mar 2024</v>
      </c>
      <c r="U5005">
        <f>IF(Pipeline_tbl[[#This Row],[Closed_Date]]=0,"",Pipeline_tbl[[#This Row],[Closed_Date]]-Pipeline_tbl[[#This Row],[Created_Date]])</f>
        <v>25</v>
      </c>
    </row>
    <row r="5006" spans="1:21" ht="15" customHeight="1" x14ac:dyDescent="0.2">
      <c r="A5006" t="s">
        <v>5312</v>
      </c>
      <c r="B5006" t="s">
        <v>227</v>
      </c>
      <c r="C5006" t="s">
        <v>52</v>
      </c>
      <c r="D5006" s="49">
        <v>45328</v>
      </c>
      <c r="E5006" s="49">
        <v>45331</v>
      </c>
      <c r="F5006" s="49">
        <v>45336</v>
      </c>
      <c r="G5006" s="49">
        <v>45344</v>
      </c>
      <c r="H5006" s="49">
        <v>45350</v>
      </c>
      <c r="I5006" s="49">
        <v>45354</v>
      </c>
      <c r="J5006" t="s">
        <v>47</v>
      </c>
      <c r="K5006" s="33">
        <v>5700</v>
      </c>
      <c r="M5006" t="str">
        <f>_xlfn.XLOOKUP(Pipeline_tbl[[#This Row],[Rep_ID]],Dim_Reps!A:A,Dim_Reps!K:K)</f>
        <v>EUR</v>
      </c>
      <c r="N5006" s="33">
        <f>(_xlfn.XLOOKUP(Pipeline_tbl[[#This Row],[Rate_Code_Generalized]],Lookups!A:A,Lookups!B:B))*Pipeline_tbl[[#This Row],[Pipeline_Amount_USD]]</f>
        <v>5700</v>
      </c>
      <c r="O5006" t="str">
        <f>_xlfn.XLOOKUP(Pipeline_tbl[[#This Row],[Rep_ID]],Dim_Reps!A:A,Dim_Reps!B:B)</f>
        <v>Liam Muller</v>
      </c>
      <c r="P5006" t="str">
        <f>_xlfn.XLOOKUP(Pipeline_tbl[[#This Row],[Rep_ID]],Dim_Reps!A:A,Dim_Reps!C:C)</f>
        <v>SDR / Inside Sales Rep</v>
      </c>
      <c r="Q5006" t="str">
        <f>_xlfn.XLOOKUP(Pipeline_tbl[[#This Row],[Rep_ID]],Dim_Reps!A:A,Dim_Reps!D:D)</f>
        <v>Inside Sales</v>
      </c>
      <c r="R5006" t="str">
        <f>_xlfn.XLOOKUP(Pipeline_tbl[[#This Row],[Rep_ID]],Dim_Reps!A:A,Dim_Reps!E:E)</f>
        <v>EMEA</v>
      </c>
      <c r="S5006" t="str">
        <f>_xlfn.XLOOKUP(Pipeline_tbl[[#This Row],[Created_Date]],Dim_Date!A:A,Dim_Date!H:H)</f>
        <v>Feb 2024</v>
      </c>
      <c r="T5006" t="str">
        <f>IF(Pipeline_tbl[[#This Row],[Closed_Date]]=0,"",(_xlfn.XLOOKUP(Pipeline_tbl[[#This Row],[Closed_Date]],Dim_Date!A:A,Dim_Date!H:H)))</f>
        <v>Mar 2024</v>
      </c>
      <c r="U5006">
        <f>IF(Pipeline_tbl[[#This Row],[Closed_Date]]=0,"",Pipeline_tbl[[#This Row],[Closed_Date]]-Pipeline_tbl[[#This Row],[Created_Date]])</f>
        <v>26</v>
      </c>
    </row>
    <row r="5007" spans="1:21" ht="15" customHeight="1" x14ac:dyDescent="0.2">
      <c r="A5007" t="s">
        <v>5313</v>
      </c>
      <c r="B5007" t="s">
        <v>227</v>
      </c>
      <c r="C5007" t="s">
        <v>52</v>
      </c>
      <c r="D5007" s="49">
        <v>45343</v>
      </c>
      <c r="E5007" s="49">
        <v>45345</v>
      </c>
      <c r="F5007" s="49">
        <v>45348</v>
      </c>
      <c r="I5007" s="49">
        <v>45361</v>
      </c>
      <c r="J5007" t="s">
        <v>49</v>
      </c>
      <c r="K5007" s="33">
        <v>5100</v>
      </c>
      <c r="L5007" t="s">
        <v>60</v>
      </c>
      <c r="M5007" t="str">
        <f>_xlfn.XLOOKUP(Pipeline_tbl[[#This Row],[Rep_ID]],Dim_Reps!A:A,Dim_Reps!K:K)</f>
        <v>EUR</v>
      </c>
      <c r="N5007" s="33">
        <f>(_xlfn.XLOOKUP(Pipeline_tbl[[#This Row],[Rate_Code_Generalized]],Lookups!A:A,Lookups!B:B))*Pipeline_tbl[[#This Row],[Pipeline_Amount_USD]]</f>
        <v>5100</v>
      </c>
      <c r="O5007" t="str">
        <f>_xlfn.XLOOKUP(Pipeline_tbl[[#This Row],[Rep_ID]],Dim_Reps!A:A,Dim_Reps!B:B)</f>
        <v>Liam Muller</v>
      </c>
      <c r="P5007" t="str">
        <f>_xlfn.XLOOKUP(Pipeline_tbl[[#This Row],[Rep_ID]],Dim_Reps!A:A,Dim_Reps!C:C)</f>
        <v>SDR / Inside Sales Rep</v>
      </c>
      <c r="Q5007" t="str">
        <f>_xlfn.XLOOKUP(Pipeline_tbl[[#This Row],[Rep_ID]],Dim_Reps!A:A,Dim_Reps!D:D)</f>
        <v>Inside Sales</v>
      </c>
      <c r="R5007" t="str">
        <f>_xlfn.XLOOKUP(Pipeline_tbl[[#This Row],[Rep_ID]],Dim_Reps!A:A,Dim_Reps!E:E)</f>
        <v>EMEA</v>
      </c>
      <c r="S5007" t="str">
        <f>_xlfn.XLOOKUP(Pipeline_tbl[[#This Row],[Created_Date]],Dim_Date!A:A,Dim_Date!H:H)</f>
        <v>Feb 2024</v>
      </c>
      <c r="T5007" t="str">
        <f>IF(Pipeline_tbl[[#This Row],[Closed_Date]]=0,"",(_xlfn.XLOOKUP(Pipeline_tbl[[#This Row],[Closed_Date]],Dim_Date!A:A,Dim_Date!H:H)))</f>
        <v>Mar 2024</v>
      </c>
      <c r="U5007">
        <f>IF(Pipeline_tbl[[#This Row],[Closed_Date]]=0,"",Pipeline_tbl[[#This Row],[Closed_Date]]-Pipeline_tbl[[#This Row],[Created_Date]])</f>
        <v>18</v>
      </c>
    </row>
    <row r="5008" spans="1:21" ht="15" customHeight="1" x14ac:dyDescent="0.2">
      <c r="A5008" t="s">
        <v>5314</v>
      </c>
      <c r="B5008" t="s">
        <v>227</v>
      </c>
      <c r="C5008" t="s">
        <v>52</v>
      </c>
      <c r="D5008" s="49">
        <v>45342</v>
      </c>
      <c r="E5008" s="49">
        <v>45344</v>
      </c>
      <c r="I5008" s="49">
        <v>45358</v>
      </c>
      <c r="J5008" t="s">
        <v>49</v>
      </c>
      <c r="K5008" s="33">
        <v>7300</v>
      </c>
      <c r="L5008" t="s">
        <v>61</v>
      </c>
      <c r="M5008" t="str">
        <f>_xlfn.XLOOKUP(Pipeline_tbl[[#This Row],[Rep_ID]],Dim_Reps!A:A,Dim_Reps!K:K)</f>
        <v>EUR</v>
      </c>
      <c r="N5008" s="33">
        <f>(_xlfn.XLOOKUP(Pipeline_tbl[[#This Row],[Rate_Code_Generalized]],Lookups!A:A,Lookups!B:B))*Pipeline_tbl[[#This Row],[Pipeline_Amount_USD]]</f>
        <v>7300</v>
      </c>
      <c r="O5008" t="str">
        <f>_xlfn.XLOOKUP(Pipeline_tbl[[#This Row],[Rep_ID]],Dim_Reps!A:A,Dim_Reps!B:B)</f>
        <v>Liam Muller</v>
      </c>
      <c r="P5008" t="str">
        <f>_xlfn.XLOOKUP(Pipeline_tbl[[#This Row],[Rep_ID]],Dim_Reps!A:A,Dim_Reps!C:C)</f>
        <v>SDR / Inside Sales Rep</v>
      </c>
      <c r="Q5008" t="str">
        <f>_xlfn.XLOOKUP(Pipeline_tbl[[#This Row],[Rep_ID]],Dim_Reps!A:A,Dim_Reps!D:D)</f>
        <v>Inside Sales</v>
      </c>
      <c r="R5008" t="str">
        <f>_xlfn.XLOOKUP(Pipeline_tbl[[#This Row],[Rep_ID]],Dim_Reps!A:A,Dim_Reps!E:E)</f>
        <v>EMEA</v>
      </c>
      <c r="S5008" t="str">
        <f>_xlfn.XLOOKUP(Pipeline_tbl[[#This Row],[Created_Date]],Dim_Date!A:A,Dim_Date!H:H)</f>
        <v>Feb 2024</v>
      </c>
      <c r="T5008" t="str">
        <f>IF(Pipeline_tbl[[#This Row],[Closed_Date]]=0,"",(_xlfn.XLOOKUP(Pipeline_tbl[[#This Row],[Closed_Date]],Dim_Date!A:A,Dim_Date!H:H)))</f>
        <v>Mar 2024</v>
      </c>
      <c r="U5008">
        <f>IF(Pipeline_tbl[[#This Row],[Closed_Date]]=0,"",Pipeline_tbl[[#This Row],[Closed_Date]]-Pipeline_tbl[[#This Row],[Created_Date]])</f>
        <v>16</v>
      </c>
    </row>
    <row r="5009" spans="1:21" ht="15" customHeight="1" x14ac:dyDescent="0.2">
      <c r="A5009" t="s">
        <v>5315</v>
      </c>
      <c r="B5009" t="s">
        <v>227</v>
      </c>
      <c r="C5009" t="s">
        <v>53</v>
      </c>
      <c r="D5009" s="49">
        <v>45341</v>
      </c>
      <c r="E5009" s="49">
        <v>45343</v>
      </c>
      <c r="I5009" s="49">
        <v>45358</v>
      </c>
      <c r="J5009" t="s">
        <v>49</v>
      </c>
      <c r="K5009" s="33">
        <v>5000</v>
      </c>
      <c r="L5009" t="s">
        <v>63</v>
      </c>
      <c r="M5009" t="str">
        <f>_xlfn.XLOOKUP(Pipeline_tbl[[#This Row],[Rep_ID]],Dim_Reps!A:A,Dim_Reps!K:K)</f>
        <v>EUR</v>
      </c>
      <c r="N5009" s="33">
        <f>(_xlfn.XLOOKUP(Pipeline_tbl[[#This Row],[Rate_Code_Generalized]],Lookups!A:A,Lookups!B:B))*Pipeline_tbl[[#This Row],[Pipeline_Amount_USD]]</f>
        <v>5000</v>
      </c>
      <c r="O5009" t="str">
        <f>_xlfn.XLOOKUP(Pipeline_tbl[[#This Row],[Rep_ID]],Dim_Reps!A:A,Dim_Reps!B:B)</f>
        <v>Liam Muller</v>
      </c>
      <c r="P5009" t="str">
        <f>_xlfn.XLOOKUP(Pipeline_tbl[[#This Row],[Rep_ID]],Dim_Reps!A:A,Dim_Reps!C:C)</f>
        <v>SDR / Inside Sales Rep</v>
      </c>
      <c r="Q5009" t="str">
        <f>_xlfn.XLOOKUP(Pipeline_tbl[[#This Row],[Rep_ID]],Dim_Reps!A:A,Dim_Reps!D:D)</f>
        <v>Inside Sales</v>
      </c>
      <c r="R5009" t="str">
        <f>_xlfn.XLOOKUP(Pipeline_tbl[[#This Row],[Rep_ID]],Dim_Reps!A:A,Dim_Reps!E:E)</f>
        <v>EMEA</v>
      </c>
      <c r="S5009" t="str">
        <f>_xlfn.XLOOKUP(Pipeline_tbl[[#This Row],[Created_Date]],Dim_Date!A:A,Dim_Date!H:H)</f>
        <v>Feb 2024</v>
      </c>
      <c r="T5009" t="str">
        <f>IF(Pipeline_tbl[[#This Row],[Closed_Date]]=0,"",(_xlfn.XLOOKUP(Pipeline_tbl[[#This Row],[Closed_Date]],Dim_Date!A:A,Dim_Date!H:H)))</f>
        <v>Mar 2024</v>
      </c>
      <c r="U5009">
        <f>IF(Pipeline_tbl[[#This Row],[Closed_Date]]=0,"",Pipeline_tbl[[#This Row],[Closed_Date]]-Pipeline_tbl[[#This Row],[Created_Date]])</f>
        <v>17</v>
      </c>
    </row>
    <row r="5010" spans="1:21" ht="15" customHeight="1" x14ac:dyDescent="0.2">
      <c r="A5010" t="s">
        <v>5316</v>
      </c>
      <c r="B5010" t="s">
        <v>227</v>
      </c>
      <c r="C5010" t="s">
        <v>54</v>
      </c>
      <c r="D5010" s="49">
        <v>45343</v>
      </c>
      <c r="E5010" s="49">
        <v>45345</v>
      </c>
      <c r="F5010" s="49">
        <v>45348</v>
      </c>
      <c r="G5010" s="49">
        <v>45353</v>
      </c>
      <c r="H5010" s="49">
        <v>45357</v>
      </c>
      <c r="I5010" s="49">
        <v>45360</v>
      </c>
      <c r="J5010" t="s">
        <v>47</v>
      </c>
      <c r="K5010" s="33">
        <v>2900</v>
      </c>
      <c r="M5010" t="str">
        <f>_xlfn.XLOOKUP(Pipeline_tbl[[#This Row],[Rep_ID]],Dim_Reps!A:A,Dim_Reps!K:K)</f>
        <v>EUR</v>
      </c>
      <c r="N5010" s="33">
        <f>(_xlfn.XLOOKUP(Pipeline_tbl[[#This Row],[Rate_Code_Generalized]],Lookups!A:A,Lookups!B:B))*Pipeline_tbl[[#This Row],[Pipeline_Amount_USD]]</f>
        <v>2900</v>
      </c>
      <c r="O5010" t="str">
        <f>_xlfn.XLOOKUP(Pipeline_tbl[[#This Row],[Rep_ID]],Dim_Reps!A:A,Dim_Reps!B:B)</f>
        <v>Liam Muller</v>
      </c>
      <c r="P5010" t="str">
        <f>_xlfn.XLOOKUP(Pipeline_tbl[[#This Row],[Rep_ID]],Dim_Reps!A:A,Dim_Reps!C:C)</f>
        <v>SDR / Inside Sales Rep</v>
      </c>
      <c r="Q5010" t="str">
        <f>_xlfn.XLOOKUP(Pipeline_tbl[[#This Row],[Rep_ID]],Dim_Reps!A:A,Dim_Reps!D:D)</f>
        <v>Inside Sales</v>
      </c>
      <c r="R5010" t="str">
        <f>_xlfn.XLOOKUP(Pipeline_tbl[[#This Row],[Rep_ID]],Dim_Reps!A:A,Dim_Reps!E:E)</f>
        <v>EMEA</v>
      </c>
      <c r="S5010" t="str">
        <f>_xlfn.XLOOKUP(Pipeline_tbl[[#This Row],[Created_Date]],Dim_Date!A:A,Dim_Date!H:H)</f>
        <v>Feb 2024</v>
      </c>
      <c r="T5010" t="str">
        <f>IF(Pipeline_tbl[[#This Row],[Closed_Date]]=0,"",(_xlfn.XLOOKUP(Pipeline_tbl[[#This Row],[Closed_Date]],Dim_Date!A:A,Dim_Date!H:H)))</f>
        <v>Mar 2024</v>
      </c>
      <c r="U5010">
        <f>IF(Pipeline_tbl[[#This Row],[Closed_Date]]=0,"",Pipeline_tbl[[#This Row],[Closed_Date]]-Pipeline_tbl[[#This Row],[Created_Date]])</f>
        <v>17</v>
      </c>
    </row>
    <row r="5011" spans="1:21" ht="15" customHeight="1" x14ac:dyDescent="0.2">
      <c r="A5011" t="s">
        <v>5317</v>
      </c>
      <c r="B5011" t="s">
        <v>227</v>
      </c>
      <c r="C5011" t="s">
        <v>54</v>
      </c>
      <c r="D5011" s="49">
        <v>45344</v>
      </c>
      <c r="E5011" s="49">
        <v>45346</v>
      </c>
      <c r="F5011" s="49">
        <v>45349</v>
      </c>
      <c r="G5011" s="49">
        <v>45354</v>
      </c>
      <c r="I5011" s="49">
        <v>45360</v>
      </c>
      <c r="J5011" t="s">
        <v>49</v>
      </c>
      <c r="K5011" s="33">
        <v>5300</v>
      </c>
      <c r="L5011" t="s">
        <v>60</v>
      </c>
      <c r="M5011" t="str">
        <f>_xlfn.XLOOKUP(Pipeline_tbl[[#This Row],[Rep_ID]],Dim_Reps!A:A,Dim_Reps!K:K)</f>
        <v>EUR</v>
      </c>
      <c r="N5011" s="33">
        <f>(_xlfn.XLOOKUP(Pipeline_tbl[[#This Row],[Rate_Code_Generalized]],Lookups!A:A,Lookups!B:B))*Pipeline_tbl[[#This Row],[Pipeline_Amount_USD]]</f>
        <v>5300</v>
      </c>
      <c r="O5011" t="str">
        <f>_xlfn.XLOOKUP(Pipeline_tbl[[#This Row],[Rep_ID]],Dim_Reps!A:A,Dim_Reps!B:B)</f>
        <v>Liam Muller</v>
      </c>
      <c r="P5011" t="str">
        <f>_xlfn.XLOOKUP(Pipeline_tbl[[#This Row],[Rep_ID]],Dim_Reps!A:A,Dim_Reps!C:C)</f>
        <v>SDR / Inside Sales Rep</v>
      </c>
      <c r="Q5011" t="str">
        <f>_xlfn.XLOOKUP(Pipeline_tbl[[#This Row],[Rep_ID]],Dim_Reps!A:A,Dim_Reps!D:D)</f>
        <v>Inside Sales</v>
      </c>
      <c r="R5011" t="str">
        <f>_xlfn.XLOOKUP(Pipeline_tbl[[#This Row],[Rep_ID]],Dim_Reps!A:A,Dim_Reps!E:E)</f>
        <v>EMEA</v>
      </c>
      <c r="S5011" t="str">
        <f>_xlfn.XLOOKUP(Pipeline_tbl[[#This Row],[Created_Date]],Dim_Date!A:A,Dim_Date!H:H)</f>
        <v>Feb 2024</v>
      </c>
      <c r="T5011" t="str">
        <f>IF(Pipeline_tbl[[#This Row],[Closed_Date]]=0,"",(_xlfn.XLOOKUP(Pipeline_tbl[[#This Row],[Closed_Date]],Dim_Date!A:A,Dim_Date!H:H)))</f>
        <v>Mar 2024</v>
      </c>
      <c r="U5011">
        <f>IF(Pipeline_tbl[[#This Row],[Closed_Date]]=0,"",Pipeline_tbl[[#This Row],[Closed_Date]]-Pipeline_tbl[[#This Row],[Created_Date]])</f>
        <v>16</v>
      </c>
    </row>
    <row r="5012" spans="1:21" ht="15" customHeight="1" x14ac:dyDescent="0.2">
      <c r="A5012" t="s">
        <v>5318</v>
      </c>
      <c r="B5012" t="s">
        <v>227</v>
      </c>
      <c r="C5012" t="s">
        <v>52</v>
      </c>
      <c r="D5012" s="49">
        <v>45343</v>
      </c>
      <c r="E5012" s="49">
        <v>45344</v>
      </c>
      <c r="F5012" s="49">
        <v>45346</v>
      </c>
      <c r="G5012" s="49">
        <v>45350</v>
      </c>
      <c r="H5012" s="49">
        <v>45352</v>
      </c>
      <c r="I5012" s="49">
        <v>45354</v>
      </c>
      <c r="J5012" t="s">
        <v>49</v>
      </c>
      <c r="K5012" s="33">
        <v>8200</v>
      </c>
      <c r="L5012" t="s">
        <v>61</v>
      </c>
      <c r="M5012" t="str">
        <f>_xlfn.XLOOKUP(Pipeline_tbl[[#This Row],[Rep_ID]],Dim_Reps!A:A,Dim_Reps!K:K)</f>
        <v>EUR</v>
      </c>
      <c r="N5012" s="33">
        <f>(_xlfn.XLOOKUP(Pipeline_tbl[[#This Row],[Rate_Code_Generalized]],Lookups!A:A,Lookups!B:B))*Pipeline_tbl[[#This Row],[Pipeline_Amount_USD]]</f>
        <v>8200</v>
      </c>
      <c r="O5012" t="str">
        <f>_xlfn.XLOOKUP(Pipeline_tbl[[#This Row],[Rep_ID]],Dim_Reps!A:A,Dim_Reps!B:B)</f>
        <v>Liam Muller</v>
      </c>
      <c r="P5012" t="str">
        <f>_xlfn.XLOOKUP(Pipeline_tbl[[#This Row],[Rep_ID]],Dim_Reps!A:A,Dim_Reps!C:C)</f>
        <v>SDR / Inside Sales Rep</v>
      </c>
      <c r="Q5012" t="str">
        <f>_xlfn.XLOOKUP(Pipeline_tbl[[#This Row],[Rep_ID]],Dim_Reps!A:A,Dim_Reps!D:D)</f>
        <v>Inside Sales</v>
      </c>
      <c r="R5012" t="str">
        <f>_xlfn.XLOOKUP(Pipeline_tbl[[#This Row],[Rep_ID]],Dim_Reps!A:A,Dim_Reps!E:E)</f>
        <v>EMEA</v>
      </c>
      <c r="S5012" t="str">
        <f>_xlfn.XLOOKUP(Pipeline_tbl[[#This Row],[Created_Date]],Dim_Date!A:A,Dim_Date!H:H)</f>
        <v>Feb 2024</v>
      </c>
      <c r="T5012" t="str">
        <f>IF(Pipeline_tbl[[#This Row],[Closed_Date]]=0,"",(_xlfn.XLOOKUP(Pipeline_tbl[[#This Row],[Closed_Date]],Dim_Date!A:A,Dim_Date!H:H)))</f>
        <v>Mar 2024</v>
      </c>
      <c r="U5012">
        <f>IF(Pipeline_tbl[[#This Row],[Closed_Date]]=0,"",Pipeline_tbl[[#This Row],[Closed_Date]]-Pipeline_tbl[[#This Row],[Created_Date]])</f>
        <v>11</v>
      </c>
    </row>
    <row r="5013" spans="1:21" ht="15" customHeight="1" x14ac:dyDescent="0.2">
      <c r="A5013" t="s">
        <v>5319</v>
      </c>
      <c r="B5013" t="s">
        <v>280</v>
      </c>
      <c r="C5013" t="s">
        <v>56</v>
      </c>
      <c r="D5013" s="49">
        <v>45324</v>
      </c>
      <c r="E5013" s="49">
        <v>45328</v>
      </c>
      <c r="F5013" s="49">
        <v>45335</v>
      </c>
      <c r="G5013" s="49">
        <v>45346</v>
      </c>
      <c r="I5013" s="49">
        <v>45361</v>
      </c>
      <c r="J5013" t="s">
        <v>49</v>
      </c>
      <c r="K5013" s="33">
        <v>44200</v>
      </c>
      <c r="L5013" t="s">
        <v>62</v>
      </c>
      <c r="M5013" t="str">
        <f>_xlfn.XLOOKUP(Pipeline_tbl[[#This Row],[Rep_ID]],Dim_Reps!A:A,Dim_Reps!K:K)</f>
        <v>MXN</v>
      </c>
      <c r="N5013" s="33">
        <f>(_xlfn.XLOOKUP(Pipeline_tbl[[#This Row],[Rate_Code_Generalized]],Lookups!A:A,Lookups!B:B))*Pipeline_tbl[[#This Row],[Pipeline_Amount_USD]]</f>
        <v>872185.34000000008</v>
      </c>
      <c r="O5013" t="str">
        <f>_xlfn.XLOOKUP(Pipeline_tbl[[#This Row],[Rep_ID]],Dim_Reps!A:A,Dim_Reps!B:B)</f>
        <v>Cameron Lund</v>
      </c>
      <c r="P5013" t="str">
        <f>_xlfn.XLOOKUP(Pipeline_tbl[[#This Row],[Rep_ID]],Dim_Reps!A:A,Dim_Reps!C:C)</f>
        <v>Senior Enterprise AE</v>
      </c>
      <c r="Q5013" t="str">
        <f>_xlfn.XLOOKUP(Pipeline_tbl[[#This Row],[Rep_ID]],Dim_Reps!A:A,Dim_Reps!D:D)</f>
        <v>Strategic</v>
      </c>
      <c r="R5013" t="str">
        <f>_xlfn.XLOOKUP(Pipeline_tbl[[#This Row],[Rep_ID]],Dim_Reps!A:A,Dim_Reps!E:E)</f>
        <v>LATAM</v>
      </c>
      <c r="S5013" t="str">
        <f>_xlfn.XLOOKUP(Pipeline_tbl[[#This Row],[Created_Date]],Dim_Date!A:A,Dim_Date!H:H)</f>
        <v>Feb 2024</v>
      </c>
      <c r="T5013" t="str">
        <f>IF(Pipeline_tbl[[#This Row],[Closed_Date]]=0,"",(_xlfn.XLOOKUP(Pipeline_tbl[[#This Row],[Closed_Date]],Dim_Date!A:A,Dim_Date!H:H)))</f>
        <v>Mar 2024</v>
      </c>
      <c r="U5013">
        <f>IF(Pipeline_tbl[[#This Row],[Closed_Date]]=0,"",Pipeline_tbl[[#This Row],[Closed_Date]]-Pipeline_tbl[[#This Row],[Created_Date]])</f>
        <v>37</v>
      </c>
    </row>
    <row r="5014" spans="1:21" ht="15" customHeight="1" x14ac:dyDescent="0.2">
      <c r="A5014" t="s">
        <v>5320</v>
      </c>
      <c r="B5014" t="s">
        <v>229</v>
      </c>
      <c r="C5014" t="s">
        <v>53</v>
      </c>
      <c r="D5014" s="49">
        <v>45338</v>
      </c>
      <c r="E5014" s="49">
        <v>45339</v>
      </c>
      <c r="F5014" s="49">
        <v>45342</v>
      </c>
      <c r="G5014" s="49">
        <v>45346</v>
      </c>
      <c r="H5014" s="49">
        <v>45350</v>
      </c>
      <c r="I5014" s="49">
        <v>45352</v>
      </c>
      <c r="J5014" t="s">
        <v>47</v>
      </c>
      <c r="K5014" s="33">
        <v>4300</v>
      </c>
      <c r="M5014" t="str">
        <f>_xlfn.XLOOKUP(Pipeline_tbl[[#This Row],[Rep_ID]],Dim_Reps!A:A,Dim_Reps!K:K)</f>
        <v>USD</v>
      </c>
      <c r="N5014" s="33">
        <f>(_xlfn.XLOOKUP(Pipeline_tbl[[#This Row],[Rate_Code_Generalized]],Lookups!A:A,Lookups!B:B))*Pipeline_tbl[[#This Row],[Pipeline_Amount_USD]]</f>
        <v>5006.49</v>
      </c>
      <c r="O5014" t="str">
        <f>_xlfn.XLOOKUP(Pipeline_tbl[[#This Row],[Rep_ID]],Dim_Reps!A:A,Dim_Reps!B:B)</f>
        <v>Liam Castro</v>
      </c>
      <c r="P5014" t="str">
        <f>_xlfn.XLOOKUP(Pipeline_tbl[[#This Row],[Rep_ID]],Dim_Reps!A:A,Dim_Reps!C:C)</f>
        <v>SDR / Inside Sales Rep</v>
      </c>
      <c r="Q5014" t="str">
        <f>_xlfn.XLOOKUP(Pipeline_tbl[[#This Row],[Rep_ID]],Dim_Reps!A:A,Dim_Reps!D:D)</f>
        <v>Inside Sales</v>
      </c>
      <c r="R5014" t="str">
        <f>_xlfn.XLOOKUP(Pipeline_tbl[[#This Row],[Rep_ID]],Dim_Reps!A:A,Dim_Reps!E:E)</f>
        <v>NAMER</v>
      </c>
      <c r="S5014" t="str">
        <f>_xlfn.XLOOKUP(Pipeline_tbl[[#This Row],[Created_Date]],Dim_Date!A:A,Dim_Date!H:H)</f>
        <v>Feb 2024</v>
      </c>
      <c r="T5014" t="str">
        <f>IF(Pipeline_tbl[[#This Row],[Closed_Date]]=0,"",(_xlfn.XLOOKUP(Pipeline_tbl[[#This Row],[Closed_Date]],Dim_Date!A:A,Dim_Date!H:H)))</f>
        <v>Mar 2024</v>
      </c>
      <c r="U5014">
        <f>IF(Pipeline_tbl[[#This Row],[Closed_Date]]=0,"",Pipeline_tbl[[#This Row],[Closed_Date]]-Pipeline_tbl[[#This Row],[Created_Date]])</f>
        <v>14</v>
      </c>
    </row>
    <row r="5015" spans="1:21" ht="15" customHeight="1" x14ac:dyDescent="0.2">
      <c r="A5015" t="s">
        <v>5321</v>
      </c>
      <c r="B5015" t="s">
        <v>229</v>
      </c>
      <c r="C5015" t="s">
        <v>53</v>
      </c>
      <c r="D5015" s="49">
        <v>45335</v>
      </c>
      <c r="E5015" s="49">
        <v>45337</v>
      </c>
      <c r="F5015" s="49">
        <v>45341</v>
      </c>
      <c r="G5015" s="49">
        <v>45348</v>
      </c>
      <c r="H5015" s="49">
        <v>45353</v>
      </c>
      <c r="I5015" s="49">
        <v>45356</v>
      </c>
      <c r="J5015" t="s">
        <v>47</v>
      </c>
      <c r="K5015" s="33">
        <v>4500</v>
      </c>
      <c r="M5015" t="str">
        <f>_xlfn.XLOOKUP(Pipeline_tbl[[#This Row],[Rep_ID]],Dim_Reps!A:A,Dim_Reps!K:K)</f>
        <v>USD</v>
      </c>
      <c r="N5015" s="33">
        <f>(_xlfn.XLOOKUP(Pipeline_tbl[[#This Row],[Rate_Code_Generalized]],Lookups!A:A,Lookups!B:B))*Pipeline_tbl[[#This Row],[Pipeline_Amount_USD]]</f>
        <v>5239.3499999999995</v>
      </c>
      <c r="O5015" t="str">
        <f>_xlfn.XLOOKUP(Pipeline_tbl[[#This Row],[Rep_ID]],Dim_Reps!A:A,Dim_Reps!B:B)</f>
        <v>Liam Castro</v>
      </c>
      <c r="P5015" t="str">
        <f>_xlfn.XLOOKUP(Pipeline_tbl[[#This Row],[Rep_ID]],Dim_Reps!A:A,Dim_Reps!C:C)</f>
        <v>SDR / Inside Sales Rep</v>
      </c>
      <c r="Q5015" t="str">
        <f>_xlfn.XLOOKUP(Pipeline_tbl[[#This Row],[Rep_ID]],Dim_Reps!A:A,Dim_Reps!D:D)</f>
        <v>Inside Sales</v>
      </c>
      <c r="R5015" t="str">
        <f>_xlfn.XLOOKUP(Pipeline_tbl[[#This Row],[Rep_ID]],Dim_Reps!A:A,Dim_Reps!E:E)</f>
        <v>NAMER</v>
      </c>
      <c r="S5015" t="str">
        <f>_xlfn.XLOOKUP(Pipeline_tbl[[#This Row],[Created_Date]],Dim_Date!A:A,Dim_Date!H:H)</f>
        <v>Feb 2024</v>
      </c>
      <c r="T5015" t="str">
        <f>IF(Pipeline_tbl[[#This Row],[Closed_Date]]=0,"",(_xlfn.XLOOKUP(Pipeline_tbl[[#This Row],[Closed_Date]],Dim_Date!A:A,Dim_Date!H:H)))</f>
        <v>Mar 2024</v>
      </c>
      <c r="U5015">
        <f>IF(Pipeline_tbl[[#This Row],[Closed_Date]]=0,"",Pipeline_tbl[[#This Row],[Closed_Date]]-Pipeline_tbl[[#This Row],[Created_Date]])</f>
        <v>21</v>
      </c>
    </row>
    <row r="5016" spans="1:21" ht="15" customHeight="1" x14ac:dyDescent="0.2">
      <c r="A5016" t="s">
        <v>5322</v>
      </c>
      <c r="B5016" t="s">
        <v>229</v>
      </c>
      <c r="C5016" t="s">
        <v>52</v>
      </c>
      <c r="D5016" s="49">
        <v>45346</v>
      </c>
      <c r="E5016" s="49">
        <v>45347</v>
      </c>
      <c r="F5016" s="49">
        <v>45350</v>
      </c>
      <c r="G5016" s="49">
        <v>45354</v>
      </c>
      <c r="I5016" s="49">
        <v>45359</v>
      </c>
      <c r="J5016" t="s">
        <v>49</v>
      </c>
      <c r="K5016" s="33">
        <v>4200</v>
      </c>
      <c r="L5016" t="s">
        <v>60</v>
      </c>
      <c r="M5016" t="str">
        <f>_xlfn.XLOOKUP(Pipeline_tbl[[#This Row],[Rep_ID]],Dim_Reps!A:A,Dim_Reps!K:K)</f>
        <v>USD</v>
      </c>
      <c r="N5016" s="33">
        <f>(_xlfn.XLOOKUP(Pipeline_tbl[[#This Row],[Rate_Code_Generalized]],Lookups!A:A,Lookups!B:B))*Pipeline_tbl[[#This Row],[Pipeline_Amount_USD]]</f>
        <v>4890.0599999999995</v>
      </c>
      <c r="O5016" t="str">
        <f>_xlfn.XLOOKUP(Pipeline_tbl[[#This Row],[Rep_ID]],Dim_Reps!A:A,Dim_Reps!B:B)</f>
        <v>Liam Castro</v>
      </c>
      <c r="P5016" t="str">
        <f>_xlfn.XLOOKUP(Pipeline_tbl[[#This Row],[Rep_ID]],Dim_Reps!A:A,Dim_Reps!C:C)</f>
        <v>SDR / Inside Sales Rep</v>
      </c>
      <c r="Q5016" t="str">
        <f>_xlfn.XLOOKUP(Pipeline_tbl[[#This Row],[Rep_ID]],Dim_Reps!A:A,Dim_Reps!D:D)</f>
        <v>Inside Sales</v>
      </c>
      <c r="R5016" t="str">
        <f>_xlfn.XLOOKUP(Pipeline_tbl[[#This Row],[Rep_ID]],Dim_Reps!A:A,Dim_Reps!E:E)</f>
        <v>NAMER</v>
      </c>
      <c r="S5016" t="str">
        <f>_xlfn.XLOOKUP(Pipeline_tbl[[#This Row],[Created_Date]],Dim_Date!A:A,Dim_Date!H:H)</f>
        <v>Feb 2024</v>
      </c>
      <c r="T5016" t="str">
        <f>IF(Pipeline_tbl[[#This Row],[Closed_Date]]=0,"",(_xlfn.XLOOKUP(Pipeline_tbl[[#This Row],[Closed_Date]],Dim_Date!A:A,Dim_Date!H:H)))</f>
        <v>Mar 2024</v>
      </c>
      <c r="U5016">
        <f>IF(Pipeline_tbl[[#This Row],[Closed_Date]]=0,"",Pipeline_tbl[[#This Row],[Closed_Date]]-Pipeline_tbl[[#This Row],[Created_Date]])</f>
        <v>13</v>
      </c>
    </row>
    <row r="5017" spans="1:21" ht="15" customHeight="1" x14ac:dyDescent="0.2">
      <c r="A5017" t="s">
        <v>5323</v>
      </c>
      <c r="B5017" t="s">
        <v>229</v>
      </c>
      <c r="C5017" t="s">
        <v>54</v>
      </c>
      <c r="D5017" s="49">
        <v>45348</v>
      </c>
      <c r="E5017" s="49">
        <v>45350</v>
      </c>
      <c r="F5017" s="49">
        <v>45353</v>
      </c>
      <c r="G5017" s="49">
        <v>45358</v>
      </c>
      <c r="I5017" s="49">
        <v>45365</v>
      </c>
      <c r="J5017" t="s">
        <v>49</v>
      </c>
      <c r="K5017" s="33">
        <v>8800</v>
      </c>
      <c r="L5017" t="s">
        <v>62</v>
      </c>
      <c r="M5017" t="str">
        <f>_xlfn.XLOOKUP(Pipeline_tbl[[#This Row],[Rep_ID]],Dim_Reps!A:A,Dim_Reps!K:K)</f>
        <v>USD</v>
      </c>
      <c r="N5017" s="33">
        <f>(_xlfn.XLOOKUP(Pipeline_tbl[[#This Row],[Rate_Code_Generalized]],Lookups!A:A,Lookups!B:B))*Pipeline_tbl[[#This Row],[Pipeline_Amount_USD]]</f>
        <v>10245.839999999998</v>
      </c>
      <c r="O5017" t="str">
        <f>_xlfn.XLOOKUP(Pipeline_tbl[[#This Row],[Rep_ID]],Dim_Reps!A:A,Dim_Reps!B:B)</f>
        <v>Liam Castro</v>
      </c>
      <c r="P5017" t="str">
        <f>_xlfn.XLOOKUP(Pipeline_tbl[[#This Row],[Rep_ID]],Dim_Reps!A:A,Dim_Reps!C:C)</f>
        <v>SDR / Inside Sales Rep</v>
      </c>
      <c r="Q5017" t="str">
        <f>_xlfn.XLOOKUP(Pipeline_tbl[[#This Row],[Rep_ID]],Dim_Reps!A:A,Dim_Reps!D:D)</f>
        <v>Inside Sales</v>
      </c>
      <c r="R5017" t="str">
        <f>_xlfn.XLOOKUP(Pipeline_tbl[[#This Row],[Rep_ID]],Dim_Reps!A:A,Dim_Reps!E:E)</f>
        <v>NAMER</v>
      </c>
      <c r="S5017" t="str">
        <f>_xlfn.XLOOKUP(Pipeline_tbl[[#This Row],[Created_Date]],Dim_Date!A:A,Dim_Date!H:H)</f>
        <v>Feb 2024</v>
      </c>
      <c r="T5017" t="str">
        <f>IF(Pipeline_tbl[[#This Row],[Closed_Date]]=0,"",(_xlfn.XLOOKUP(Pipeline_tbl[[#This Row],[Closed_Date]],Dim_Date!A:A,Dim_Date!H:H)))</f>
        <v>Mar 2024</v>
      </c>
      <c r="U5017">
        <f>IF(Pipeline_tbl[[#This Row],[Closed_Date]]=0,"",Pipeline_tbl[[#This Row],[Closed_Date]]-Pipeline_tbl[[#This Row],[Created_Date]])</f>
        <v>17</v>
      </c>
    </row>
    <row r="5018" spans="1:21" ht="15" customHeight="1" x14ac:dyDescent="0.2">
      <c r="A5018" t="s">
        <v>5324</v>
      </c>
      <c r="B5018" t="s">
        <v>229</v>
      </c>
      <c r="C5018" t="s">
        <v>53</v>
      </c>
      <c r="D5018" s="49">
        <v>45334</v>
      </c>
      <c r="E5018" s="49">
        <v>45336</v>
      </c>
      <c r="F5018" s="49">
        <v>45341</v>
      </c>
      <c r="G5018" s="49">
        <v>45347</v>
      </c>
      <c r="H5018" s="49">
        <v>45353</v>
      </c>
      <c r="I5018" s="49">
        <v>45356</v>
      </c>
      <c r="J5018" t="s">
        <v>47</v>
      </c>
      <c r="K5018" s="33">
        <v>5500</v>
      </c>
      <c r="M5018" t="str">
        <f>_xlfn.XLOOKUP(Pipeline_tbl[[#This Row],[Rep_ID]],Dim_Reps!A:A,Dim_Reps!K:K)</f>
        <v>USD</v>
      </c>
      <c r="N5018" s="33">
        <f>(_xlfn.XLOOKUP(Pipeline_tbl[[#This Row],[Rate_Code_Generalized]],Lookups!A:A,Lookups!B:B))*Pipeline_tbl[[#This Row],[Pipeline_Amount_USD]]</f>
        <v>6403.65</v>
      </c>
      <c r="O5018" t="str">
        <f>_xlfn.XLOOKUP(Pipeline_tbl[[#This Row],[Rep_ID]],Dim_Reps!A:A,Dim_Reps!B:B)</f>
        <v>Liam Castro</v>
      </c>
      <c r="P5018" t="str">
        <f>_xlfn.XLOOKUP(Pipeline_tbl[[#This Row],[Rep_ID]],Dim_Reps!A:A,Dim_Reps!C:C)</f>
        <v>SDR / Inside Sales Rep</v>
      </c>
      <c r="Q5018" t="str">
        <f>_xlfn.XLOOKUP(Pipeline_tbl[[#This Row],[Rep_ID]],Dim_Reps!A:A,Dim_Reps!D:D)</f>
        <v>Inside Sales</v>
      </c>
      <c r="R5018" t="str">
        <f>_xlfn.XLOOKUP(Pipeline_tbl[[#This Row],[Rep_ID]],Dim_Reps!A:A,Dim_Reps!E:E)</f>
        <v>NAMER</v>
      </c>
      <c r="S5018" t="str">
        <f>_xlfn.XLOOKUP(Pipeline_tbl[[#This Row],[Created_Date]],Dim_Date!A:A,Dim_Date!H:H)</f>
        <v>Feb 2024</v>
      </c>
      <c r="T5018" t="str">
        <f>IF(Pipeline_tbl[[#This Row],[Closed_Date]]=0,"",(_xlfn.XLOOKUP(Pipeline_tbl[[#This Row],[Closed_Date]],Dim_Date!A:A,Dim_Date!H:H)))</f>
        <v>Mar 2024</v>
      </c>
      <c r="U5018">
        <f>IF(Pipeline_tbl[[#This Row],[Closed_Date]]=0,"",Pipeline_tbl[[#This Row],[Closed_Date]]-Pipeline_tbl[[#This Row],[Created_Date]])</f>
        <v>22</v>
      </c>
    </row>
    <row r="5019" spans="1:21" ht="15" customHeight="1" x14ac:dyDescent="0.2">
      <c r="A5019" t="s">
        <v>5325</v>
      </c>
      <c r="B5019" t="s">
        <v>229</v>
      </c>
      <c r="C5019" t="s">
        <v>52</v>
      </c>
      <c r="D5019" s="49">
        <v>45351</v>
      </c>
      <c r="E5019" s="49">
        <v>45352</v>
      </c>
      <c r="F5019" s="49">
        <v>45355</v>
      </c>
      <c r="G5019" s="49">
        <v>45359</v>
      </c>
      <c r="H5019" s="49">
        <v>45363</v>
      </c>
      <c r="I5019" s="49">
        <v>45365</v>
      </c>
      <c r="J5019" t="s">
        <v>49</v>
      </c>
      <c r="K5019" s="33">
        <v>3200</v>
      </c>
      <c r="L5019" t="s">
        <v>62</v>
      </c>
      <c r="M5019" t="str">
        <f>_xlfn.XLOOKUP(Pipeline_tbl[[#This Row],[Rep_ID]],Dim_Reps!A:A,Dim_Reps!K:K)</f>
        <v>USD</v>
      </c>
      <c r="N5019" s="33">
        <f>(_xlfn.XLOOKUP(Pipeline_tbl[[#This Row],[Rate_Code_Generalized]],Lookups!A:A,Lookups!B:B))*Pipeline_tbl[[#This Row],[Pipeline_Amount_USD]]</f>
        <v>3725.7599999999998</v>
      </c>
      <c r="O5019" t="str">
        <f>_xlfn.XLOOKUP(Pipeline_tbl[[#This Row],[Rep_ID]],Dim_Reps!A:A,Dim_Reps!B:B)</f>
        <v>Liam Castro</v>
      </c>
      <c r="P5019" t="str">
        <f>_xlfn.XLOOKUP(Pipeline_tbl[[#This Row],[Rep_ID]],Dim_Reps!A:A,Dim_Reps!C:C)</f>
        <v>SDR / Inside Sales Rep</v>
      </c>
      <c r="Q5019" t="str">
        <f>_xlfn.XLOOKUP(Pipeline_tbl[[#This Row],[Rep_ID]],Dim_Reps!A:A,Dim_Reps!D:D)</f>
        <v>Inside Sales</v>
      </c>
      <c r="R5019" t="str">
        <f>_xlfn.XLOOKUP(Pipeline_tbl[[#This Row],[Rep_ID]],Dim_Reps!A:A,Dim_Reps!E:E)</f>
        <v>NAMER</v>
      </c>
      <c r="S5019" t="str">
        <f>_xlfn.XLOOKUP(Pipeline_tbl[[#This Row],[Created_Date]],Dim_Date!A:A,Dim_Date!H:H)</f>
        <v>Feb 2024</v>
      </c>
      <c r="T5019" t="str">
        <f>IF(Pipeline_tbl[[#This Row],[Closed_Date]]=0,"",(_xlfn.XLOOKUP(Pipeline_tbl[[#This Row],[Closed_Date]],Dim_Date!A:A,Dim_Date!H:H)))</f>
        <v>Mar 2024</v>
      </c>
      <c r="U5019">
        <f>IF(Pipeline_tbl[[#This Row],[Closed_Date]]=0,"",Pipeline_tbl[[#This Row],[Closed_Date]]-Pipeline_tbl[[#This Row],[Created_Date]])</f>
        <v>14</v>
      </c>
    </row>
    <row r="5020" spans="1:21" ht="15" customHeight="1" x14ac:dyDescent="0.2">
      <c r="A5020" t="s">
        <v>5326</v>
      </c>
      <c r="B5020" t="s">
        <v>229</v>
      </c>
      <c r="C5020" t="s">
        <v>52</v>
      </c>
      <c r="D5020" s="49">
        <v>45332</v>
      </c>
      <c r="E5020" s="49">
        <v>45335</v>
      </c>
      <c r="F5020" s="49">
        <v>45340</v>
      </c>
      <c r="G5020" s="49">
        <v>45348</v>
      </c>
      <c r="H5020" s="49">
        <v>45354</v>
      </c>
      <c r="I5020" s="49">
        <v>45358</v>
      </c>
      <c r="J5020" t="s">
        <v>47</v>
      </c>
      <c r="K5020" s="33">
        <v>3800</v>
      </c>
      <c r="M5020" t="str">
        <f>_xlfn.XLOOKUP(Pipeline_tbl[[#This Row],[Rep_ID]],Dim_Reps!A:A,Dim_Reps!K:K)</f>
        <v>USD</v>
      </c>
      <c r="N5020" s="33">
        <f>(_xlfn.XLOOKUP(Pipeline_tbl[[#This Row],[Rate_Code_Generalized]],Lookups!A:A,Lookups!B:B))*Pipeline_tbl[[#This Row],[Pipeline_Amount_USD]]</f>
        <v>4424.3399999999992</v>
      </c>
      <c r="O5020" t="str">
        <f>_xlfn.XLOOKUP(Pipeline_tbl[[#This Row],[Rep_ID]],Dim_Reps!A:A,Dim_Reps!B:B)</f>
        <v>Liam Castro</v>
      </c>
      <c r="P5020" t="str">
        <f>_xlfn.XLOOKUP(Pipeline_tbl[[#This Row],[Rep_ID]],Dim_Reps!A:A,Dim_Reps!C:C)</f>
        <v>SDR / Inside Sales Rep</v>
      </c>
      <c r="Q5020" t="str">
        <f>_xlfn.XLOOKUP(Pipeline_tbl[[#This Row],[Rep_ID]],Dim_Reps!A:A,Dim_Reps!D:D)</f>
        <v>Inside Sales</v>
      </c>
      <c r="R5020" t="str">
        <f>_xlfn.XLOOKUP(Pipeline_tbl[[#This Row],[Rep_ID]],Dim_Reps!A:A,Dim_Reps!E:E)</f>
        <v>NAMER</v>
      </c>
      <c r="S5020" t="str">
        <f>_xlfn.XLOOKUP(Pipeline_tbl[[#This Row],[Created_Date]],Dim_Date!A:A,Dim_Date!H:H)</f>
        <v>Feb 2024</v>
      </c>
      <c r="T5020" t="str">
        <f>IF(Pipeline_tbl[[#This Row],[Closed_Date]]=0,"",(_xlfn.XLOOKUP(Pipeline_tbl[[#This Row],[Closed_Date]],Dim_Date!A:A,Dim_Date!H:H)))</f>
        <v>Mar 2024</v>
      </c>
      <c r="U5020">
        <f>IF(Pipeline_tbl[[#This Row],[Closed_Date]]=0,"",Pipeline_tbl[[#This Row],[Closed_Date]]-Pipeline_tbl[[#This Row],[Created_Date]])</f>
        <v>26</v>
      </c>
    </row>
    <row r="5021" spans="1:21" ht="15" customHeight="1" x14ac:dyDescent="0.2">
      <c r="A5021" t="s">
        <v>5327</v>
      </c>
      <c r="B5021" t="s">
        <v>229</v>
      </c>
      <c r="C5021" t="s">
        <v>53</v>
      </c>
      <c r="D5021" s="49">
        <v>45335</v>
      </c>
      <c r="E5021" s="49">
        <v>45337</v>
      </c>
      <c r="F5021" s="49">
        <v>45341</v>
      </c>
      <c r="I5021" s="49">
        <v>45356</v>
      </c>
      <c r="J5021" t="s">
        <v>49</v>
      </c>
      <c r="K5021" s="33">
        <v>4400</v>
      </c>
      <c r="L5021" t="s">
        <v>64</v>
      </c>
      <c r="M5021" t="str">
        <f>_xlfn.XLOOKUP(Pipeline_tbl[[#This Row],[Rep_ID]],Dim_Reps!A:A,Dim_Reps!K:K)</f>
        <v>USD</v>
      </c>
      <c r="N5021" s="33">
        <f>(_xlfn.XLOOKUP(Pipeline_tbl[[#This Row],[Rate_Code_Generalized]],Lookups!A:A,Lookups!B:B))*Pipeline_tbl[[#This Row],[Pipeline_Amount_USD]]</f>
        <v>5122.9199999999992</v>
      </c>
      <c r="O5021" t="str">
        <f>_xlfn.XLOOKUP(Pipeline_tbl[[#This Row],[Rep_ID]],Dim_Reps!A:A,Dim_Reps!B:B)</f>
        <v>Liam Castro</v>
      </c>
      <c r="P5021" t="str">
        <f>_xlfn.XLOOKUP(Pipeline_tbl[[#This Row],[Rep_ID]],Dim_Reps!A:A,Dim_Reps!C:C)</f>
        <v>SDR / Inside Sales Rep</v>
      </c>
      <c r="Q5021" t="str">
        <f>_xlfn.XLOOKUP(Pipeline_tbl[[#This Row],[Rep_ID]],Dim_Reps!A:A,Dim_Reps!D:D)</f>
        <v>Inside Sales</v>
      </c>
      <c r="R5021" t="str">
        <f>_xlfn.XLOOKUP(Pipeline_tbl[[#This Row],[Rep_ID]],Dim_Reps!A:A,Dim_Reps!E:E)</f>
        <v>NAMER</v>
      </c>
      <c r="S5021" t="str">
        <f>_xlfn.XLOOKUP(Pipeline_tbl[[#This Row],[Created_Date]],Dim_Date!A:A,Dim_Date!H:H)</f>
        <v>Feb 2024</v>
      </c>
      <c r="T5021" t="str">
        <f>IF(Pipeline_tbl[[#This Row],[Closed_Date]]=0,"",(_xlfn.XLOOKUP(Pipeline_tbl[[#This Row],[Closed_Date]],Dim_Date!A:A,Dim_Date!H:H)))</f>
        <v>Mar 2024</v>
      </c>
      <c r="U5021">
        <f>IF(Pipeline_tbl[[#This Row],[Closed_Date]]=0,"",Pipeline_tbl[[#This Row],[Closed_Date]]-Pipeline_tbl[[#This Row],[Created_Date]])</f>
        <v>21</v>
      </c>
    </row>
    <row r="5022" spans="1:21" ht="15" customHeight="1" x14ac:dyDescent="0.2">
      <c r="A5022" t="s">
        <v>5328</v>
      </c>
      <c r="B5022" t="s">
        <v>229</v>
      </c>
      <c r="C5022" t="s">
        <v>54</v>
      </c>
      <c r="D5022" s="49">
        <v>45347</v>
      </c>
      <c r="E5022" s="49">
        <v>45349</v>
      </c>
      <c r="F5022" s="49">
        <v>45352</v>
      </c>
      <c r="I5022" s="49">
        <v>45364</v>
      </c>
      <c r="J5022" t="s">
        <v>49</v>
      </c>
      <c r="K5022" s="33">
        <v>5400</v>
      </c>
      <c r="L5022" t="s">
        <v>64</v>
      </c>
      <c r="M5022" t="str">
        <f>_xlfn.XLOOKUP(Pipeline_tbl[[#This Row],[Rep_ID]],Dim_Reps!A:A,Dim_Reps!K:K)</f>
        <v>USD</v>
      </c>
      <c r="N5022" s="33">
        <f>(_xlfn.XLOOKUP(Pipeline_tbl[[#This Row],[Rate_Code_Generalized]],Lookups!A:A,Lookups!B:B))*Pipeline_tbl[[#This Row],[Pipeline_Amount_USD]]</f>
        <v>6287.2199999999993</v>
      </c>
      <c r="O5022" t="str">
        <f>_xlfn.XLOOKUP(Pipeline_tbl[[#This Row],[Rep_ID]],Dim_Reps!A:A,Dim_Reps!B:B)</f>
        <v>Liam Castro</v>
      </c>
      <c r="P5022" t="str">
        <f>_xlfn.XLOOKUP(Pipeline_tbl[[#This Row],[Rep_ID]],Dim_Reps!A:A,Dim_Reps!C:C)</f>
        <v>SDR / Inside Sales Rep</v>
      </c>
      <c r="Q5022" t="str">
        <f>_xlfn.XLOOKUP(Pipeline_tbl[[#This Row],[Rep_ID]],Dim_Reps!A:A,Dim_Reps!D:D)</f>
        <v>Inside Sales</v>
      </c>
      <c r="R5022" t="str">
        <f>_xlfn.XLOOKUP(Pipeline_tbl[[#This Row],[Rep_ID]],Dim_Reps!A:A,Dim_Reps!E:E)</f>
        <v>NAMER</v>
      </c>
      <c r="S5022" t="str">
        <f>_xlfn.XLOOKUP(Pipeline_tbl[[#This Row],[Created_Date]],Dim_Date!A:A,Dim_Date!H:H)</f>
        <v>Feb 2024</v>
      </c>
      <c r="T5022" t="str">
        <f>IF(Pipeline_tbl[[#This Row],[Closed_Date]]=0,"",(_xlfn.XLOOKUP(Pipeline_tbl[[#This Row],[Closed_Date]],Dim_Date!A:A,Dim_Date!H:H)))</f>
        <v>Mar 2024</v>
      </c>
      <c r="U5022">
        <f>IF(Pipeline_tbl[[#This Row],[Closed_Date]]=0,"",Pipeline_tbl[[#This Row],[Closed_Date]]-Pipeline_tbl[[#This Row],[Created_Date]])</f>
        <v>17</v>
      </c>
    </row>
    <row r="5023" spans="1:21" ht="15" customHeight="1" x14ac:dyDescent="0.2">
      <c r="A5023" t="s">
        <v>5329</v>
      </c>
      <c r="B5023" t="s">
        <v>229</v>
      </c>
      <c r="C5023" t="s">
        <v>54</v>
      </c>
      <c r="D5023" s="49">
        <v>45349</v>
      </c>
      <c r="E5023" s="49">
        <v>45351</v>
      </c>
      <c r="F5023" s="49">
        <v>45356</v>
      </c>
      <c r="I5023" s="49">
        <v>45371</v>
      </c>
      <c r="J5023" t="s">
        <v>49</v>
      </c>
      <c r="K5023" s="33">
        <v>5200</v>
      </c>
      <c r="L5023" t="s">
        <v>60</v>
      </c>
      <c r="M5023" t="str">
        <f>_xlfn.XLOOKUP(Pipeline_tbl[[#This Row],[Rep_ID]],Dim_Reps!A:A,Dim_Reps!K:K)</f>
        <v>USD</v>
      </c>
      <c r="N5023" s="33">
        <f>(_xlfn.XLOOKUP(Pipeline_tbl[[#This Row],[Rate_Code_Generalized]],Lookups!A:A,Lookups!B:B))*Pipeline_tbl[[#This Row],[Pipeline_Amount_USD]]</f>
        <v>6054.36</v>
      </c>
      <c r="O5023" t="str">
        <f>_xlfn.XLOOKUP(Pipeline_tbl[[#This Row],[Rep_ID]],Dim_Reps!A:A,Dim_Reps!B:B)</f>
        <v>Liam Castro</v>
      </c>
      <c r="P5023" t="str">
        <f>_xlfn.XLOOKUP(Pipeline_tbl[[#This Row],[Rep_ID]],Dim_Reps!A:A,Dim_Reps!C:C)</f>
        <v>SDR / Inside Sales Rep</v>
      </c>
      <c r="Q5023" t="str">
        <f>_xlfn.XLOOKUP(Pipeline_tbl[[#This Row],[Rep_ID]],Dim_Reps!A:A,Dim_Reps!D:D)</f>
        <v>Inside Sales</v>
      </c>
      <c r="R5023" t="str">
        <f>_xlfn.XLOOKUP(Pipeline_tbl[[#This Row],[Rep_ID]],Dim_Reps!A:A,Dim_Reps!E:E)</f>
        <v>NAMER</v>
      </c>
      <c r="S5023" t="str">
        <f>_xlfn.XLOOKUP(Pipeline_tbl[[#This Row],[Created_Date]],Dim_Date!A:A,Dim_Date!H:H)</f>
        <v>Feb 2024</v>
      </c>
      <c r="T5023" t="str">
        <f>IF(Pipeline_tbl[[#This Row],[Closed_Date]]=0,"",(_xlfn.XLOOKUP(Pipeline_tbl[[#This Row],[Closed_Date]],Dim_Date!A:A,Dim_Date!H:H)))</f>
        <v>Mar 2024</v>
      </c>
      <c r="U5023">
        <f>IF(Pipeline_tbl[[#This Row],[Closed_Date]]=0,"",Pipeline_tbl[[#This Row],[Closed_Date]]-Pipeline_tbl[[#This Row],[Created_Date]])</f>
        <v>22</v>
      </c>
    </row>
    <row r="5024" spans="1:21" ht="15" customHeight="1" x14ac:dyDescent="0.2">
      <c r="A5024" t="s">
        <v>5330</v>
      </c>
      <c r="B5024" t="s">
        <v>229</v>
      </c>
      <c r="C5024" t="s">
        <v>52</v>
      </c>
      <c r="D5024" s="49">
        <v>45347</v>
      </c>
      <c r="E5024" s="49">
        <v>45349</v>
      </c>
      <c r="F5024" s="49">
        <v>45353</v>
      </c>
      <c r="G5024" s="49">
        <v>45358</v>
      </c>
      <c r="H5024" s="49">
        <v>45363</v>
      </c>
      <c r="I5024" s="49">
        <v>45366</v>
      </c>
      <c r="J5024" t="s">
        <v>47</v>
      </c>
      <c r="K5024" s="33">
        <v>3800</v>
      </c>
      <c r="M5024" t="str">
        <f>_xlfn.XLOOKUP(Pipeline_tbl[[#This Row],[Rep_ID]],Dim_Reps!A:A,Dim_Reps!K:K)</f>
        <v>USD</v>
      </c>
      <c r="N5024" s="33">
        <f>(_xlfn.XLOOKUP(Pipeline_tbl[[#This Row],[Rate_Code_Generalized]],Lookups!A:A,Lookups!B:B))*Pipeline_tbl[[#This Row],[Pipeline_Amount_USD]]</f>
        <v>4424.3399999999992</v>
      </c>
      <c r="O5024" t="str">
        <f>_xlfn.XLOOKUP(Pipeline_tbl[[#This Row],[Rep_ID]],Dim_Reps!A:A,Dim_Reps!B:B)</f>
        <v>Liam Castro</v>
      </c>
      <c r="P5024" t="str">
        <f>_xlfn.XLOOKUP(Pipeline_tbl[[#This Row],[Rep_ID]],Dim_Reps!A:A,Dim_Reps!C:C)</f>
        <v>SDR / Inside Sales Rep</v>
      </c>
      <c r="Q5024" t="str">
        <f>_xlfn.XLOOKUP(Pipeline_tbl[[#This Row],[Rep_ID]],Dim_Reps!A:A,Dim_Reps!D:D)</f>
        <v>Inside Sales</v>
      </c>
      <c r="R5024" t="str">
        <f>_xlfn.XLOOKUP(Pipeline_tbl[[#This Row],[Rep_ID]],Dim_Reps!A:A,Dim_Reps!E:E)</f>
        <v>NAMER</v>
      </c>
      <c r="S5024" t="str">
        <f>_xlfn.XLOOKUP(Pipeline_tbl[[#This Row],[Created_Date]],Dim_Date!A:A,Dim_Date!H:H)</f>
        <v>Feb 2024</v>
      </c>
      <c r="T5024" t="str">
        <f>IF(Pipeline_tbl[[#This Row],[Closed_Date]]=0,"",(_xlfn.XLOOKUP(Pipeline_tbl[[#This Row],[Closed_Date]],Dim_Date!A:A,Dim_Date!H:H)))</f>
        <v>Mar 2024</v>
      </c>
      <c r="U5024">
        <f>IF(Pipeline_tbl[[#This Row],[Closed_Date]]=0,"",Pipeline_tbl[[#This Row],[Closed_Date]]-Pipeline_tbl[[#This Row],[Created_Date]])</f>
        <v>19</v>
      </c>
    </row>
    <row r="5025" spans="1:21" ht="15" customHeight="1" x14ac:dyDescent="0.2">
      <c r="A5025" t="s">
        <v>5331</v>
      </c>
      <c r="B5025" t="s">
        <v>231</v>
      </c>
      <c r="C5025" t="s">
        <v>53</v>
      </c>
      <c r="D5025" s="49">
        <v>45350</v>
      </c>
      <c r="E5025" s="49">
        <v>45351</v>
      </c>
      <c r="F5025" s="49">
        <v>45352</v>
      </c>
      <c r="G5025" s="49">
        <v>45355</v>
      </c>
      <c r="H5025" s="49">
        <v>45357</v>
      </c>
      <c r="I5025" s="49">
        <v>45358</v>
      </c>
      <c r="J5025" t="s">
        <v>49</v>
      </c>
      <c r="K5025" s="33">
        <v>2600</v>
      </c>
      <c r="L5025" t="s">
        <v>61</v>
      </c>
      <c r="M5025" t="str">
        <f>_xlfn.XLOOKUP(Pipeline_tbl[[#This Row],[Rep_ID]],Dim_Reps!A:A,Dim_Reps!K:K)</f>
        <v>MXN</v>
      </c>
      <c r="N5025" s="33">
        <f>(_xlfn.XLOOKUP(Pipeline_tbl[[#This Row],[Rate_Code_Generalized]],Lookups!A:A,Lookups!B:B))*Pipeline_tbl[[#This Row],[Pipeline_Amount_USD]]</f>
        <v>51305.020000000004</v>
      </c>
      <c r="O5025" t="str">
        <f>_xlfn.XLOOKUP(Pipeline_tbl[[#This Row],[Rep_ID]],Dim_Reps!A:A,Dim_Reps!B:B)</f>
        <v>Ben Silva</v>
      </c>
      <c r="P5025" t="str">
        <f>_xlfn.XLOOKUP(Pipeline_tbl[[#This Row],[Rep_ID]],Dim_Reps!A:A,Dim_Reps!C:C)</f>
        <v>SDR / Inside Sales Rep</v>
      </c>
      <c r="Q5025" t="str">
        <f>_xlfn.XLOOKUP(Pipeline_tbl[[#This Row],[Rep_ID]],Dim_Reps!A:A,Dim_Reps!D:D)</f>
        <v>Inside Sales</v>
      </c>
      <c r="R5025" t="str">
        <f>_xlfn.XLOOKUP(Pipeline_tbl[[#This Row],[Rep_ID]],Dim_Reps!A:A,Dim_Reps!E:E)</f>
        <v>LATAM</v>
      </c>
      <c r="S5025" t="str">
        <f>_xlfn.XLOOKUP(Pipeline_tbl[[#This Row],[Created_Date]],Dim_Date!A:A,Dim_Date!H:H)</f>
        <v>Feb 2024</v>
      </c>
      <c r="T5025" t="str">
        <f>IF(Pipeline_tbl[[#This Row],[Closed_Date]]=0,"",(_xlfn.XLOOKUP(Pipeline_tbl[[#This Row],[Closed_Date]],Dim_Date!A:A,Dim_Date!H:H)))</f>
        <v>Mar 2024</v>
      </c>
      <c r="U5025">
        <f>IF(Pipeline_tbl[[#This Row],[Closed_Date]]=0,"",Pipeline_tbl[[#This Row],[Closed_Date]]-Pipeline_tbl[[#This Row],[Created_Date]])</f>
        <v>8</v>
      </c>
    </row>
    <row r="5026" spans="1:21" ht="15" customHeight="1" x14ac:dyDescent="0.2">
      <c r="A5026" t="s">
        <v>5332</v>
      </c>
      <c r="B5026" t="s">
        <v>231</v>
      </c>
      <c r="C5026" t="s">
        <v>55</v>
      </c>
      <c r="D5026" s="49">
        <v>45350</v>
      </c>
      <c r="E5026" s="49">
        <v>45352</v>
      </c>
      <c r="F5026" s="49">
        <v>45355</v>
      </c>
      <c r="G5026" s="49">
        <v>45360</v>
      </c>
      <c r="I5026" s="49">
        <v>45366</v>
      </c>
      <c r="J5026" t="s">
        <v>49</v>
      </c>
      <c r="K5026" s="33">
        <v>1700</v>
      </c>
      <c r="L5026" t="s">
        <v>62</v>
      </c>
      <c r="M5026" t="str">
        <f>_xlfn.XLOOKUP(Pipeline_tbl[[#This Row],[Rep_ID]],Dim_Reps!A:A,Dim_Reps!K:K)</f>
        <v>MXN</v>
      </c>
      <c r="N5026" s="33">
        <f>(_xlfn.XLOOKUP(Pipeline_tbl[[#This Row],[Rate_Code_Generalized]],Lookups!A:A,Lookups!B:B))*Pipeline_tbl[[#This Row],[Pipeline_Amount_USD]]</f>
        <v>33545.590000000004</v>
      </c>
      <c r="O5026" t="str">
        <f>_xlfn.XLOOKUP(Pipeline_tbl[[#This Row],[Rep_ID]],Dim_Reps!A:A,Dim_Reps!B:B)</f>
        <v>Ben Silva</v>
      </c>
      <c r="P5026" t="str">
        <f>_xlfn.XLOOKUP(Pipeline_tbl[[#This Row],[Rep_ID]],Dim_Reps!A:A,Dim_Reps!C:C)</f>
        <v>SDR / Inside Sales Rep</v>
      </c>
      <c r="Q5026" t="str">
        <f>_xlfn.XLOOKUP(Pipeline_tbl[[#This Row],[Rep_ID]],Dim_Reps!A:A,Dim_Reps!D:D)</f>
        <v>Inside Sales</v>
      </c>
      <c r="R5026" t="str">
        <f>_xlfn.XLOOKUP(Pipeline_tbl[[#This Row],[Rep_ID]],Dim_Reps!A:A,Dim_Reps!E:E)</f>
        <v>LATAM</v>
      </c>
      <c r="S5026" t="str">
        <f>_xlfn.XLOOKUP(Pipeline_tbl[[#This Row],[Created_Date]],Dim_Date!A:A,Dim_Date!H:H)</f>
        <v>Feb 2024</v>
      </c>
      <c r="T5026" t="str">
        <f>IF(Pipeline_tbl[[#This Row],[Closed_Date]]=0,"",(_xlfn.XLOOKUP(Pipeline_tbl[[#This Row],[Closed_Date]],Dim_Date!A:A,Dim_Date!H:H)))</f>
        <v>Mar 2024</v>
      </c>
      <c r="U5026">
        <f>IF(Pipeline_tbl[[#This Row],[Closed_Date]]=0,"",Pipeline_tbl[[#This Row],[Closed_Date]]-Pipeline_tbl[[#This Row],[Created_Date]])</f>
        <v>16</v>
      </c>
    </row>
    <row r="5027" spans="1:21" ht="15" customHeight="1" x14ac:dyDescent="0.2">
      <c r="A5027" t="s">
        <v>5333</v>
      </c>
      <c r="B5027" t="s">
        <v>231</v>
      </c>
      <c r="C5027" t="s">
        <v>53</v>
      </c>
      <c r="D5027" s="49">
        <v>45338</v>
      </c>
      <c r="E5027" s="49">
        <v>45340</v>
      </c>
      <c r="I5027" s="49">
        <v>45358</v>
      </c>
      <c r="J5027" t="s">
        <v>49</v>
      </c>
      <c r="K5027" s="33">
        <v>3200</v>
      </c>
      <c r="L5027" t="s">
        <v>60</v>
      </c>
      <c r="M5027" t="str">
        <f>_xlfn.XLOOKUP(Pipeline_tbl[[#This Row],[Rep_ID]],Dim_Reps!A:A,Dim_Reps!K:K)</f>
        <v>MXN</v>
      </c>
      <c r="N5027" s="33">
        <f>(_xlfn.XLOOKUP(Pipeline_tbl[[#This Row],[Rate_Code_Generalized]],Lookups!A:A,Lookups!B:B))*Pipeline_tbl[[#This Row],[Pipeline_Amount_USD]]</f>
        <v>63144.640000000007</v>
      </c>
      <c r="O5027" t="str">
        <f>_xlfn.XLOOKUP(Pipeline_tbl[[#This Row],[Rep_ID]],Dim_Reps!A:A,Dim_Reps!B:B)</f>
        <v>Ben Silva</v>
      </c>
      <c r="P5027" t="str">
        <f>_xlfn.XLOOKUP(Pipeline_tbl[[#This Row],[Rep_ID]],Dim_Reps!A:A,Dim_Reps!C:C)</f>
        <v>SDR / Inside Sales Rep</v>
      </c>
      <c r="Q5027" t="str">
        <f>_xlfn.XLOOKUP(Pipeline_tbl[[#This Row],[Rep_ID]],Dim_Reps!A:A,Dim_Reps!D:D)</f>
        <v>Inside Sales</v>
      </c>
      <c r="R5027" t="str">
        <f>_xlfn.XLOOKUP(Pipeline_tbl[[#This Row],[Rep_ID]],Dim_Reps!A:A,Dim_Reps!E:E)</f>
        <v>LATAM</v>
      </c>
      <c r="S5027" t="str">
        <f>_xlfn.XLOOKUP(Pipeline_tbl[[#This Row],[Created_Date]],Dim_Date!A:A,Dim_Date!H:H)</f>
        <v>Feb 2024</v>
      </c>
      <c r="T5027" t="str">
        <f>IF(Pipeline_tbl[[#This Row],[Closed_Date]]=0,"",(_xlfn.XLOOKUP(Pipeline_tbl[[#This Row],[Closed_Date]],Dim_Date!A:A,Dim_Date!H:H)))</f>
        <v>Mar 2024</v>
      </c>
      <c r="U5027">
        <f>IF(Pipeline_tbl[[#This Row],[Closed_Date]]=0,"",Pipeline_tbl[[#This Row],[Closed_Date]]-Pipeline_tbl[[#This Row],[Created_Date]])</f>
        <v>20</v>
      </c>
    </row>
    <row r="5028" spans="1:21" ht="15" customHeight="1" x14ac:dyDescent="0.2">
      <c r="A5028" t="s">
        <v>5334</v>
      </c>
      <c r="B5028" t="s">
        <v>263</v>
      </c>
      <c r="C5028" t="s">
        <v>52</v>
      </c>
      <c r="D5028" s="49">
        <v>45325</v>
      </c>
      <c r="E5028" s="49">
        <v>45328</v>
      </c>
      <c r="F5028" s="49">
        <v>45335</v>
      </c>
      <c r="G5028" s="49">
        <v>45345</v>
      </c>
      <c r="I5028" s="49">
        <v>45359</v>
      </c>
      <c r="J5028" t="s">
        <v>49</v>
      </c>
      <c r="K5028" s="33">
        <v>6200</v>
      </c>
      <c r="L5028" t="s">
        <v>61</v>
      </c>
      <c r="M5028" t="str">
        <f>_xlfn.XLOOKUP(Pipeline_tbl[[#This Row],[Rep_ID]],Dim_Reps!A:A,Dim_Reps!K:K)</f>
        <v>USD</v>
      </c>
      <c r="N5028" s="33">
        <f>(_xlfn.XLOOKUP(Pipeline_tbl[[#This Row],[Rate_Code_Generalized]],Lookups!A:A,Lookups!B:B))*Pipeline_tbl[[#This Row],[Pipeline_Amount_USD]]</f>
        <v>7218.6599999999989</v>
      </c>
      <c r="O5028" t="str">
        <f>_xlfn.XLOOKUP(Pipeline_tbl[[#This Row],[Rep_ID]],Dim_Reps!A:A,Dim_Reps!B:B)</f>
        <v>Morgan Weber</v>
      </c>
      <c r="P5028" t="str">
        <f>_xlfn.XLOOKUP(Pipeline_tbl[[#This Row],[Rep_ID]],Dim_Reps!A:A,Dim_Reps!C:C)</f>
        <v>Mid-Market AE</v>
      </c>
      <c r="Q5028" t="str">
        <f>_xlfn.XLOOKUP(Pipeline_tbl[[#This Row],[Rep_ID]],Dim_Reps!A:A,Dim_Reps!D:D)</f>
        <v>Mid-Market</v>
      </c>
      <c r="R5028" t="str">
        <f>_xlfn.XLOOKUP(Pipeline_tbl[[#This Row],[Rep_ID]],Dim_Reps!A:A,Dim_Reps!E:E)</f>
        <v>NAMER</v>
      </c>
      <c r="S5028" t="str">
        <f>_xlfn.XLOOKUP(Pipeline_tbl[[#This Row],[Created_Date]],Dim_Date!A:A,Dim_Date!H:H)</f>
        <v>Feb 2024</v>
      </c>
      <c r="T5028" t="str">
        <f>IF(Pipeline_tbl[[#This Row],[Closed_Date]]=0,"",(_xlfn.XLOOKUP(Pipeline_tbl[[#This Row],[Closed_Date]],Dim_Date!A:A,Dim_Date!H:H)))</f>
        <v>Mar 2024</v>
      </c>
      <c r="U5028">
        <f>IF(Pipeline_tbl[[#This Row],[Closed_Date]]=0,"",Pipeline_tbl[[#This Row],[Closed_Date]]-Pipeline_tbl[[#This Row],[Created_Date]])</f>
        <v>34</v>
      </c>
    </row>
    <row r="5029" spans="1:21" ht="15" customHeight="1" x14ac:dyDescent="0.2">
      <c r="A5029" t="s">
        <v>5335</v>
      </c>
      <c r="B5029" t="s">
        <v>263</v>
      </c>
      <c r="C5029" t="s">
        <v>53</v>
      </c>
      <c r="D5029" s="49">
        <v>45341</v>
      </c>
      <c r="E5029" s="49">
        <v>45343</v>
      </c>
      <c r="F5029" s="49">
        <v>45347</v>
      </c>
      <c r="G5029" s="49">
        <v>45352</v>
      </c>
      <c r="I5029" s="49">
        <v>45360</v>
      </c>
      <c r="J5029" t="s">
        <v>49</v>
      </c>
      <c r="K5029" s="33">
        <v>15400</v>
      </c>
      <c r="L5029" t="s">
        <v>61</v>
      </c>
      <c r="M5029" t="str">
        <f>_xlfn.XLOOKUP(Pipeline_tbl[[#This Row],[Rep_ID]],Dim_Reps!A:A,Dim_Reps!K:K)</f>
        <v>USD</v>
      </c>
      <c r="N5029" s="33">
        <f>(_xlfn.XLOOKUP(Pipeline_tbl[[#This Row],[Rate_Code_Generalized]],Lookups!A:A,Lookups!B:B))*Pipeline_tbl[[#This Row],[Pipeline_Amount_USD]]</f>
        <v>17930.219999999998</v>
      </c>
      <c r="O5029" t="str">
        <f>_xlfn.XLOOKUP(Pipeline_tbl[[#This Row],[Rep_ID]],Dim_Reps!A:A,Dim_Reps!B:B)</f>
        <v>Morgan Weber</v>
      </c>
      <c r="P5029" t="str">
        <f>_xlfn.XLOOKUP(Pipeline_tbl[[#This Row],[Rep_ID]],Dim_Reps!A:A,Dim_Reps!C:C)</f>
        <v>Mid-Market AE</v>
      </c>
      <c r="Q5029" t="str">
        <f>_xlfn.XLOOKUP(Pipeline_tbl[[#This Row],[Rep_ID]],Dim_Reps!A:A,Dim_Reps!D:D)</f>
        <v>Mid-Market</v>
      </c>
      <c r="R5029" t="str">
        <f>_xlfn.XLOOKUP(Pipeline_tbl[[#This Row],[Rep_ID]],Dim_Reps!A:A,Dim_Reps!E:E)</f>
        <v>NAMER</v>
      </c>
      <c r="S5029" t="str">
        <f>_xlfn.XLOOKUP(Pipeline_tbl[[#This Row],[Created_Date]],Dim_Date!A:A,Dim_Date!H:H)</f>
        <v>Feb 2024</v>
      </c>
      <c r="T5029" t="str">
        <f>IF(Pipeline_tbl[[#This Row],[Closed_Date]]=0,"",(_xlfn.XLOOKUP(Pipeline_tbl[[#This Row],[Closed_Date]],Dim_Date!A:A,Dim_Date!H:H)))</f>
        <v>Mar 2024</v>
      </c>
      <c r="U5029">
        <f>IF(Pipeline_tbl[[#This Row],[Closed_Date]]=0,"",Pipeline_tbl[[#This Row],[Closed_Date]]-Pipeline_tbl[[#This Row],[Created_Date]])</f>
        <v>19</v>
      </c>
    </row>
    <row r="5030" spans="1:21" ht="15" customHeight="1" x14ac:dyDescent="0.2">
      <c r="A5030" t="s">
        <v>5336</v>
      </c>
      <c r="B5030" t="s">
        <v>263</v>
      </c>
      <c r="C5030" t="s">
        <v>55</v>
      </c>
      <c r="D5030" s="49">
        <v>45341</v>
      </c>
      <c r="E5030" s="49">
        <v>45343</v>
      </c>
      <c r="I5030" s="49">
        <v>45363</v>
      </c>
      <c r="J5030" t="s">
        <v>49</v>
      </c>
      <c r="K5030" s="33">
        <v>12800</v>
      </c>
      <c r="L5030" t="s">
        <v>62</v>
      </c>
      <c r="M5030" t="str">
        <f>_xlfn.XLOOKUP(Pipeline_tbl[[#This Row],[Rep_ID]],Dim_Reps!A:A,Dim_Reps!K:K)</f>
        <v>USD</v>
      </c>
      <c r="N5030" s="33">
        <f>(_xlfn.XLOOKUP(Pipeline_tbl[[#This Row],[Rate_Code_Generalized]],Lookups!A:A,Lookups!B:B))*Pipeline_tbl[[#This Row],[Pipeline_Amount_USD]]</f>
        <v>14903.039999999999</v>
      </c>
      <c r="O5030" t="str">
        <f>_xlfn.XLOOKUP(Pipeline_tbl[[#This Row],[Rep_ID]],Dim_Reps!A:A,Dim_Reps!B:B)</f>
        <v>Morgan Weber</v>
      </c>
      <c r="P5030" t="str">
        <f>_xlfn.XLOOKUP(Pipeline_tbl[[#This Row],[Rep_ID]],Dim_Reps!A:A,Dim_Reps!C:C)</f>
        <v>Mid-Market AE</v>
      </c>
      <c r="Q5030" t="str">
        <f>_xlfn.XLOOKUP(Pipeline_tbl[[#This Row],[Rep_ID]],Dim_Reps!A:A,Dim_Reps!D:D)</f>
        <v>Mid-Market</v>
      </c>
      <c r="R5030" t="str">
        <f>_xlfn.XLOOKUP(Pipeline_tbl[[#This Row],[Rep_ID]],Dim_Reps!A:A,Dim_Reps!E:E)</f>
        <v>NAMER</v>
      </c>
      <c r="S5030" t="str">
        <f>_xlfn.XLOOKUP(Pipeline_tbl[[#This Row],[Created_Date]],Dim_Date!A:A,Dim_Date!H:H)</f>
        <v>Feb 2024</v>
      </c>
      <c r="T5030" t="str">
        <f>IF(Pipeline_tbl[[#This Row],[Closed_Date]]=0,"",(_xlfn.XLOOKUP(Pipeline_tbl[[#This Row],[Closed_Date]],Dim_Date!A:A,Dim_Date!H:H)))</f>
        <v>Mar 2024</v>
      </c>
      <c r="U5030">
        <f>IF(Pipeline_tbl[[#This Row],[Closed_Date]]=0,"",Pipeline_tbl[[#This Row],[Closed_Date]]-Pipeline_tbl[[#This Row],[Created_Date]])</f>
        <v>22</v>
      </c>
    </row>
    <row r="5031" spans="1:21" ht="15" customHeight="1" x14ac:dyDescent="0.2">
      <c r="A5031" t="s">
        <v>5337</v>
      </c>
      <c r="B5031" t="s">
        <v>263</v>
      </c>
      <c r="C5031" t="s">
        <v>54</v>
      </c>
      <c r="D5031" s="49">
        <v>45331</v>
      </c>
      <c r="E5031" s="49">
        <v>45336</v>
      </c>
      <c r="F5031" s="49">
        <v>45346</v>
      </c>
      <c r="G5031" s="49">
        <v>45360</v>
      </c>
      <c r="I5031" s="49">
        <v>45380</v>
      </c>
      <c r="J5031" t="s">
        <v>49</v>
      </c>
      <c r="K5031" s="33">
        <v>17500</v>
      </c>
      <c r="L5031" t="s">
        <v>61</v>
      </c>
      <c r="M5031" t="str">
        <f>_xlfn.XLOOKUP(Pipeline_tbl[[#This Row],[Rep_ID]],Dim_Reps!A:A,Dim_Reps!K:K)</f>
        <v>USD</v>
      </c>
      <c r="N5031" s="33">
        <f>(_xlfn.XLOOKUP(Pipeline_tbl[[#This Row],[Rate_Code_Generalized]],Lookups!A:A,Lookups!B:B))*Pipeline_tbl[[#This Row],[Pipeline_Amount_USD]]</f>
        <v>20375.249999999996</v>
      </c>
      <c r="O5031" t="str">
        <f>_xlfn.XLOOKUP(Pipeline_tbl[[#This Row],[Rep_ID]],Dim_Reps!A:A,Dim_Reps!B:B)</f>
        <v>Morgan Weber</v>
      </c>
      <c r="P5031" t="str">
        <f>_xlfn.XLOOKUP(Pipeline_tbl[[#This Row],[Rep_ID]],Dim_Reps!A:A,Dim_Reps!C:C)</f>
        <v>Mid-Market AE</v>
      </c>
      <c r="Q5031" t="str">
        <f>_xlfn.XLOOKUP(Pipeline_tbl[[#This Row],[Rep_ID]],Dim_Reps!A:A,Dim_Reps!D:D)</f>
        <v>Mid-Market</v>
      </c>
      <c r="R5031" t="str">
        <f>_xlfn.XLOOKUP(Pipeline_tbl[[#This Row],[Rep_ID]],Dim_Reps!A:A,Dim_Reps!E:E)</f>
        <v>NAMER</v>
      </c>
      <c r="S5031" t="str">
        <f>_xlfn.XLOOKUP(Pipeline_tbl[[#This Row],[Created_Date]],Dim_Date!A:A,Dim_Date!H:H)</f>
        <v>Feb 2024</v>
      </c>
      <c r="T5031" t="str">
        <f>IF(Pipeline_tbl[[#This Row],[Closed_Date]]=0,"",(_xlfn.XLOOKUP(Pipeline_tbl[[#This Row],[Closed_Date]],Dim_Date!A:A,Dim_Date!H:H)))</f>
        <v>Mar 2024</v>
      </c>
      <c r="U5031">
        <f>IF(Pipeline_tbl[[#This Row],[Closed_Date]]=0,"",Pipeline_tbl[[#This Row],[Closed_Date]]-Pipeline_tbl[[#This Row],[Created_Date]])</f>
        <v>49</v>
      </c>
    </row>
    <row r="5032" spans="1:21" ht="15" customHeight="1" x14ac:dyDescent="0.2">
      <c r="A5032" t="s">
        <v>5338</v>
      </c>
      <c r="B5032" t="s">
        <v>265</v>
      </c>
      <c r="C5032" t="s">
        <v>52</v>
      </c>
      <c r="D5032" s="49">
        <v>45348</v>
      </c>
      <c r="E5032" s="49">
        <v>45351</v>
      </c>
      <c r="F5032" s="49">
        <v>45358</v>
      </c>
      <c r="G5032" s="49">
        <v>45367</v>
      </c>
      <c r="H5032" s="49">
        <v>45375</v>
      </c>
      <c r="I5032" s="49">
        <v>45380</v>
      </c>
      <c r="J5032" t="s">
        <v>47</v>
      </c>
      <c r="K5032" s="33">
        <v>17500</v>
      </c>
      <c r="M5032" t="str">
        <f>_xlfn.XLOOKUP(Pipeline_tbl[[#This Row],[Rep_ID]],Dim_Reps!A:A,Dim_Reps!K:K)</f>
        <v>EUR</v>
      </c>
      <c r="N5032" s="33">
        <f>(_xlfn.XLOOKUP(Pipeline_tbl[[#This Row],[Rate_Code_Generalized]],Lookups!A:A,Lookups!B:B))*Pipeline_tbl[[#This Row],[Pipeline_Amount_USD]]</f>
        <v>17500</v>
      </c>
      <c r="O5032" t="str">
        <f>_xlfn.XLOOKUP(Pipeline_tbl[[#This Row],[Rep_ID]],Dim_Reps!A:A,Dim_Reps!B:B)</f>
        <v>Erik Duarte</v>
      </c>
      <c r="P5032" t="str">
        <f>_xlfn.XLOOKUP(Pipeline_tbl[[#This Row],[Rep_ID]],Dim_Reps!A:A,Dim_Reps!C:C)</f>
        <v>Mid-Market AE</v>
      </c>
      <c r="Q5032" t="str">
        <f>_xlfn.XLOOKUP(Pipeline_tbl[[#This Row],[Rep_ID]],Dim_Reps!A:A,Dim_Reps!D:D)</f>
        <v>Mid-Market</v>
      </c>
      <c r="R5032" t="str">
        <f>_xlfn.XLOOKUP(Pipeline_tbl[[#This Row],[Rep_ID]],Dim_Reps!A:A,Dim_Reps!E:E)</f>
        <v>EMEA</v>
      </c>
      <c r="S5032" t="str">
        <f>_xlfn.XLOOKUP(Pipeline_tbl[[#This Row],[Created_Date]],Dim_Date!A:A,Dim_Date!H:H)</f>
        <v>Feb 2024</v>
      </c>
      <c r="T5032" t="str">
        <f>IF(Pipeline_tbl[[#This Row],[Closed_Date]]=0,"",(_xlfn.XLOOKUP(Pipeline_tbl[[#This Row],[Closed_Date]],Dim_Date!A:A,Dim_Date!H:H)))</f>
        <v>Mar 2024</v>
      </c>
      <c r="U5032">
        <f>IF(Pipeline_tbl[[#This Row],[Closed_Date]]=0,"",Pipeline_tbl[[#This Row],[Closed_Date]]-Pipeline_tbl[[#This Row],[Created_Date]])</f>
        <v>32</v>
      </c>
    </row>
    <row r="5033" spans="1:21" ht="15" customHeight="1" x14ac:dyDescent="0.2">
      <c r="A5033" t="s">
        <v>5339</v>
      </c>
      <c r="B5033" t="s">
        <v>265</v>
      </c>
      <c r="C5033" t="s">
        <v>52</v>
      </c>
      <c r="D5033" s="49">
        <v>45330</v>
      </c>
      <c r="E5033" s="49">
        <v>45333</v>
      </c>
      <c r="F5033" s="49">
        <v>45340</v>
      </c>
      <c r="G5033" s="49">
        <v>45349</v>
      </c>
      <c r="I5033" s="49">
        <v>45362</v>
      </c>
      <c r="J5033" t="s">
        <v>49</v>
      </c>
      <c r="K5033" s="33">
        <v>7200</v>
      </c>
      <c r="L5033" t="s">
        <v>62</v>
      </c>
      <c r="M5033" t="str">
        <f>_xlfn.XLOOKUP(Pipeline_tbl[[#This Row],[Rep_ID]],Dim_Reps!A:A,Dim_Reps!K:K)</f>
        <v>EUR</v>
      </c>
      <c r="N5033" s="33">
        <f>(_xlfn.XLOOKUP(Pipeline_tbl[[#This Row],[Rate_Code_Generalized]],Lookups!A:A,Lookups!B:B))*Pipeline_tbl[[#This Row],[Pipeline_Amount_USD]]</f>
        <v>7200</v>
      </c>
      <c r="O5033" t="str">
        <f>_xlfn.XLOOKUP(Pipeline_tbl[[#This Row],[Rep_ID]],Dim_Reps!A:A,Dim_Reps!B:B)</f>
        <v>Erik Duarte</v>
      </c>
      <c r="P5033" t="str">
        <f>_xlfn.XLOOKUP(Pipeline_tbl[[#This Row],[Rep_ID]],Dim_Reps!A:A,Dim_Reps!C:C)</f>
        <v>Mid-Market AE</v>
      </c>
      <c r="Q5033" t="str">
        <f>_xlfn.XLOOKUP(Pipeline_tbl[[#This Row],[Rep_ID]],Dim_Reps!A:A,Dim_Reps!D:D)</f>
        <v>Mid-Market</v>
      </c>
      <c r="R5033" t="str">
        <f>_xlfn.XLOOKUP(Pipeline_tbl[[#This Row],[Rep_ID]],Dim_Reps!A:A,Dim_Reps!E:E)</f>
        <v>EMEA</v>
      </c>
      <c r="S5033" t="str">
        <f>_xlfn.XLOOKUP(Pipeline_tbl[[#This Row],[Created_Date]],Dim_Date!A:A,Dim_Date!H:H)</f>
        <v>Feb 2024</v>
      </c>
      <c r="T5033" t="str">
        <f>IF(Pipeline_tbl[[#This Row],[Closed_Date]]=0,"",(_xlfn.XLOOKUP(Pipeline_tbl[[#This Row],[Closed_Date]],Dim_Date!A:A,Dim_Date!H:H)))</f>
        <v>Mar 2024</v>
      </c>
      <c r="U5033">
        <f>IF(Pipeline_tbl[[#This Row],[Closed_Date]]=0,"",Pipeline_tbl[[#This Row],[Closed_Date]]-Pipeline_tbl[[#This Row],[Created_Date]])</f>
        <v>32</v>
      </c>
    </row>
    <row r="5034" spans="1:21" ht="15" customHeight="1" x14ac:dyDescent="0.2">
      <c r="A5034" t="s">
        <v>5340</v>
      </c>
      <c r="B5034" t="s">
        <v>265</v>
      </c>
      <c r="C5034" t="s">
        <v>54</v>
      </c>
      <c r="D5034" s="49">
        <v>45341</v>
      </c>
      <c r="E5034" s="49">
        <v>45343</v>
      </c>
      <c r="F5034" s="49">
        <v>45347</v>
      </c>
      <c r="I5034" s="49">
        <v>45362</v>
      </c>
      <c r="J5034" t="s">
        <v>49</v>
      </c>
      <c r="K5034" s="33">
        <v>19500</v>
      </c>
      <c r="L5034" t="s">
        <v>64</v>
      </c>
      <c r="M5034" t="str">
        <f>_xlfn.XLOOKUP(Pipeline_tbl[[#This Row],[Rep_ID]],Dim_Reps!A:A,Dim_Reps!K:K)</f>
        <v>EUR</v>
      </c>
      <c r="N5034" s="33">
        <f>(_xlfn.XLOOKUP(Pipeline_tbl[[#This Row],[Rate_Code_Generalized]],Lookups!A:A,Lookups!B:B))*Pipeline_tbl[[#This Row],[Pipeline_Amount_USD]]</f>
        <v>19500</v>
      </c>
      <c r="O5034" t="str">
        <f>_xlfn.XLOOKUP(Pipeline_tbl[[#This Row],[Rep_ID]],Dim_Reps!A:A,Dim_Reps!B:B)</f>
        <v>Erik Duarte</v>
      </c>
      <c r="P5034" t="str">
        <f>_xlfn.XLOOKUP(Pipeline_tbl[[#This Row],[Rep_ID]],Dim_Reps!A:A,Dim_Reps!C:C)</f>
        <v>Mid-Market AE</v>
      </c>
      <c r="Q5034" t="str">
        <f>_xlfn.XLOOKUP(Pipeline_tbl[[#This Row],[Rep_ID]],Dim_Reps!A:A,Dim_Reps!D:D)</f>
        <v>Mid-Market</v>
      </c>
      <c r="R5034" t="str">
        <f>_xlfn.XLOOKUP(Pipeline_tbl[[#This Row],[Rep_ID]],Dim_Reps!A:A,Dim_Reps!E:E)</f>
        <v>EMEA</v>
      </c>
      <c r="S5034" t="str">
        <f>_xlfn.XLOOKUP(Pipeline_tbl[[#This Row],[Created_Date]],Dim_Date!A:A,Dim_Date!H:H)</f>
        <v>Feb 2024</v>
      </c>
      <c r="T5034" t="str">
        <f>IF(Pipeline_tbl[[#This Row],[Closed_Date]]=0,"",(_xlfn.XLOOKUP(Pipeline_tbl[[#This Row],[Closed_Date]],Dim_Date!A:A,Dim_Date!H:H)))</f>
        <v>Mar 2024</v>
      </c>
      <c r="U5034">
        <f>IF(Pipeline_tbl[[#This Row],[Closed_Date]]=0,"",Pipeline_tbl[[#This Row],[Closed_Date]]-Pipeline_tbl[[#This Row],[Created_Date]])</f>
        <v>21</v>
      </c>
    </row>
    <row r="5035" spans="1:21" ht="15" customHeight="1" x14ac:dyDescent="0.2">
      <c r="A5035" t="s">
        <v>5341</v>
      </c>
      <c r="B5035" t="s">
        <v>233</v>
      </c>
      <c r="C5035" t="s">
        <v>52</v>
      </c>
      <c r="D5035" s="49">
        <v>45330</v>
      </c>
      <c r="E5035" s="49">
        <v>45332</v>
      </c>
      <c r="F5035" s="49">
        <v>45338</v>
      </c>
      <c r="G5035" s="49">
        <v>45345</v>
      </c>
      <c r="H5035" s="49">
        <v>45351</v>
      </c>
      <c r="I5035" s="49">
        <v>45355</v>
      </c>
      <c r="J5035" t="s">
        <v>47</v>
      </c>
      <c r="K5035" s="33">
        <v>1300</v>
      </c>
      <c r="M5035" t="str">
        <f>_xlfn.XLOOKUP(Pipeline_tbl[[#This Row],[Rep_ID]],Dim_Reps!A:A,Dim_Reps!K:K)</f>
        <v>MXN</v>
      </c>
      <c r="N5035" s="33">
        <f>(_xlfn.XLOOKUP(Pipeline_tbl[[#This Row],[Rate_Code_Generalized]],Lookups!A:A,Lookups!B:B))*Pipeline_tbl[[#This Row],[Pipeline_Amount_USD]]</f>
        <v>25652.510000000002</v>
      </c>
      <c r="O5035" t="str">
        <f>_xlfn.XLOOKUP(Pipeline_tbl[[#This Row],[Rep_ID]],Dim_Reps!A:A,Dim_Reps!B:B)</f>
        <v>Lucas Duarte</v>
      </c>
      <c r="P5035" t="str">
        <f>_xlfn.XLOOKUP(Pipeline_tbl[[#This Row],[Rep_ID]],Dim_Reps!A:A,Dim_Reps!C:C)</f>
        <v>SDR / Inside Sales Rep</v>
      </c>
      <c r="Q5035" t="str">
        <f>_xlfn.XLOOKUP(Pipeline_tbl[[#This Row],[Rep_ID]],Dim_Reps!A:A,Dim_Reps!D:D)</f>
        <v>Inside Sales</v>
      </c>
      <c r="R5035" t="str">
        <f>_xlfn.XLOOKUP(Pipeline_tbl[[#This Row],[Rep_ID]],Dim_Reps!A:A,Dim_Reps!E:E)</f>
        <v>LATAM</v>
      </c>
      <c r="S5035" t="str">
        <f>_xlfn.XLOOKUP(Pipeline_tbl[[#This Row],[Created_Date]],Dim_Date!A:A,Dim_Date!H:H)</f>
        <v>Feb 2024</v>
      </c>
      <c r="T5035" t="str">
        <f>IF(Pipeline_tbl[[#This Row],[Closed_Date]]=0,"",(_xlfn.XLOOKUP(Pipeline_tbl[[#This Row],[Closed_Date]],Dim_Date!A:A,Dim_Date!H:H)))</f>
        <v>Mar 2024</v>
      </c>
      <c r="U5035">
        <f>IF(Pipeline_tbl[[#This Row],[Closed_Date]]=0,"",Pipeline_tbl[[#This Row],[Closed_Date]]-Pipeline_tbl[[#This Row],[Created_Date]])</f>
        <v>25</v>
      </c>
    </row>
    <row r="5036" spans="1:21" ht="15" customHeight="1" x14ac:dyDescent="0.2">
      <c r="A5036" t="s">
        <v>5342</v>
      </c>
      <c r="B5036" t="s">
        <v>233</v>
      </c>
      <c r="C5036" t="s">
        <v>52</v>
      </c>
      <c r="D5036" s="49">
        <v>45334</v>
      </c>
      <c r="E5036" s="49">
        <v>45336</v>
      </c>
      <c r="F5036" s="49">
        <v>45340</v>
      </c>
      <c r="G5036" s="49">
        <v>45346</v>
      </c>
      <c r="I5036" s="49">
        <v>45354</v>
      </c>
      <c r="J5036" t="s">
        <v>49</v>
      </c>
      <c r="K5036" s="33">
        <v>3900</v>
      </c>
      <c r="L5036" t="s">
        <v>60</v>
      </c>
      <c r="M5036" t="str">
        <f>_xlfn.XLOOKUP(Pipeline_tbl[[#This Row],[Rep_ID]],Dim_Reps!A:A,Dim_Reps!K:K)</f>
        <v>MXN</v>
      </c>
      <c r="N5036" s="33">
        <f>(_xlfn.XLOOKUP(Pipeline_tbl[[#This Row],[Rate_Code_Generalized]],Lookups!A:A,Lookups!B:B))*Pipeline_tbl[[#This Row],[Pipeline_Amount_USD]]</f>
        <v>76957.53</v>
      </c>
      <c r="O5036" t="str">
        <f>_xlfn.XLOOKUP(Pipeline_tbl[[#This Row],[Rep_ID]],Dim_Reps!A:A,Dim_Reps!B:B)</f>
        <v>Lucas Duarte</v>
      </c>
      <c r="P5036" t="str">
        <f>_xlfn.XLOOKUP(Pipeline_tbl[[#This Row],[Rep_ID]],Dim_Reps!A:A,Dim_Reps!C:C)</f>
        <v>SDR / Inside Sales Rep</v>
      </c>
      <c r="Q5036" t="str">
        <f>_xlfn.XLOOKUP(Pipeline_tbl[[#This Row],[Rep_ID]],Dim_Reps!A:A,Dim_Reps!D:D)</f>
        <v>Inside Sales</v>
      </c>
      <c r="R5036" t="str">
        <f>_xlfn.XLOOKUP(Pipeline_tbl[[#This Row],[Rep_ID]],Dim_Reps!A:A,Dim_Reps!E:E)</f>
        <v>LATAM</v>
      </c>
      <c r="S5036" t="str">
        <f>_xlfn.XLOOKUP(Pipeline_tbl[[#This Row],[Created_Date]],Dim_Date!A:A,Dim_Date!H:H)</f>
        <v>Feb 2024</v>
      </c>
      <c r="T5036" t="str">
        <f>IF(Pipeline_tbl[[#This Row],[Closed_Date]]=0,"",(_xlfn.XLOOKUP(Pipeline_tbl[[#This Row],[Closed_Date]],Dim_Date!A:A,Dim_Date!H:H)))</f>
        <v>Mar 2024</v>
      </c>
      <c r="U5036">
        <f>IF(Pipeline_tbl[[#This Row],[Closed_Date]]=0,"",Pipeline_tbl[[#This Row],[Closed_Date]]-Pipeline_tbl[[#This Row],[Created_Date]])</f>
        <v>20</v>
      </c>
    </row>
    <row r="5037" spans="1:21" ht="15" customHeight="1" x14ac:dyDescent="0.2">
      <c r="A5037" t="s">
        <v>5343</v>
      </c>
      <c r="B5037" t="s">
        <v>233</v>
      </c>
      <c r="C5037" t="s">
        <v>52</v>
      </c>
      <c r="D5037" s="49">
        <v>45333</v>
      </c>
      <c r="E5037" s="49">
        <v>45335</v>
      </c>
      <c r="F5037" s="49">
        <v>45340</v>
      </c>
      <c r="I5037" s="49">
        <v>45357</v>
      </c>
      <c r="J5037" t="s">
        <v>49</v>
      </c>
      <c r="K5037" s="33">
        <v>3700</v>
      </c>
      <c r="L5037" t="s">
        <v>64</v>
      </c>
      <c r="M5037" t="str">
        <f>_xlfn.XLOOKUP(Pipeline_tbl[[#This Row],[Rep_ID]],Dim_Reps!A:A,Dim_Reps!K:K)</f>
        <v>MXN</v>
      </c>
      <c r="N5037" s="33">
        <f>(_xlfn.XLOOKUP(Pipeline_tbl[[#This Row],[Rate_Code_Generalized]],Lookups!A:A,Lookups!B:B))*Pipeline_tbl[[#This Row],[Pipeline_Amount_USD]]</f>
        <v>73010.990000000005</v>
      </c>
      <c r="O5037" t="str">
        <f>_xlfn.XLOOKUP(Pipeline_tbl[[#This Row],[Rep_ID]],Dim_Reps!A:A,Dim_Reps!B:B)</f>
        <v>Lucas Duarte</v>
      </c>
      <c r="P5037" t="str">
        <f>_xlfn.XLOOKUP(Pipeline_tbl[[#This Row],[Rep_ID]],Dim_Reps!A:A,Dim_Reps!C:C)</f>
        <v>SDR / Inside Sales Rep</v>
      </c>
      <c r="Q5037" t="str">
        <f>_xlfn.XLOOKUP(Pipeline_tbl[[#This Row],[Rep_ID]],Dim_Reps!A:A,Dim_Reps!D:D)</f>
        <v>Inside Sales</v>
      </c>
      <c r="R5037" t="str">
        <f>_xlfn.XLOOKUP(Pipeline_tbl[[#This Row],[Rep_ID]],Dim_Reps!A:A,Dim_Reps!E:E)</f>
        <v>LATAM</v>
      </c>
      <c r="S5037" t="str">
        <f>_xlfn.XLOOKUP(Pipeline_tbl[[#This Row],[Created_Date]],Dim_Date!A:A,Dim_Date!H:H)</f>
        <v>Feb 2024</v>
      </c>
      <c r="T5037" t="str">
        <f>IF(Pipeline_tbl[[#This Row],[Closed_Date]]=0,"",(_xlfn.XLOOKUP(Pipeline_tbl[[#This Row],[Closed_Date]],Dim_Date!A:A,Dim_Date!H:H)))</f>
        <v>Mar 2024</v>
      </c>
      <c r="U5037">
        <f>IF(Pipeline_tbl[[#This Row],[Closed_Date]]=0,"",Pipeline_tbl[[#This Row],[Closed_Date]]-Pipeline_tbl[[#This Row],[Created_Date]])</f>
        <v>24</v>
      </c>
    </row>
    <row r="5038" spans="1:21" ht="15" customHeight="1" x14ac:dyDescent="0.2">
      <c r="A5038" t="s">
        <v>5344</v>
      </c>
      <c r="B5038" t="s">
        <v>233</v>
      </c>
      <c r="C5038" t="s">
        <v>52</v>
      </c>
      <c r="D5038" s="49">
        <v>45343</v>
      </c>
      <c r="E5038" s="49">
        <v>45345</v>
      </c>
      <c r="F5038" s="49">
        <v>45349</v>
      </c>
      <c r="G5038" s="49">
        <v>45355</v>
      </c>
      <c r="H5038" s="49">
        <v>45360</v>
      </c>
      <c r="I5038" s="49">
        <v>45363</v>
      </c>
      <c r="J5038" t="s">
        <v>47</v>
      </c>
      <c r="K5038" s="33">
        <v>2400</v>
      </c>
      <c r="M5038" t="str">
        <f>_xlfn.XLOOKUP(Pipeline_tbl[[#This Row],[Rep_ID]],Dim_Reps!A:A,Dim_Reps!K:K)</f>
        <v>MXN</v>
      </c>
      <c r="N5038" s="33">
        <f>(_xlfn.XLOOKUP(Pipeline_tbl[[#This Row],[Rate_Code_Generalized]],Lookups!A:A,Lookups!B:B))*Pipeline_tbl[[#This Row],[Pipeline_Amount_USD]]</f>
        <v>47358.48</v>
      </c>
      <c r="O5038" t="str">
        <f>_xlfn.XLOOKUP(Pipeline_tbl[[#This Row],[Rep_ID]],Dim_Reps!A:A,Dim_Reps!B:B)</f>
        <v>Lucas Duarte</v>
      </c>
      <c r="P5038" t="str">
        <f>_xlfn.XLOOKUP(Pipeline_tbl[[#This Row],[Rep_ID]],Dim_Reps!A:A,Dim_Reps!C:C)</f>
        <v>SDR / Inside Sales Rep</v>
      </c>
      <c r="Q5038" t="str">
        <f>_xlfn.XLOOKUP(Pipeline_tbl[[#This Row],[Rep_ID]],Dim_Reps!A:A,Dim_Reps!D:D)</f>
        <v>Inside Sales</v>
      </c>
      <c r="R5038" t="str">
        <f>_xlfn.XLOOKUP(Pipeline_tbl[[#This Row],[Rep_ID]],Dim_Reps!A:A,Dim_Reps!E:E)</f>
        <v>LATAM</v>
      </c>
      <c r="S5038" t="str">
        <f>_xlfn.XLOOKUP(Pipeline_tbl[[#This Row],[Created_Date]],Dim_Date!A:A,Dim_Date!H:H)</f>
        <v>Feb 2024</v>
      </c>
      <c r="T5038" t="str">
        <f>IF(Pipeline_tbl[[#This Row],[Closed_Date]]=0,"",(_xlfn.XLOOKUP(Pipeline_tbl[[#This Row],[Closed_Date]],Dim_Date!A:A,Dim_Date!H:H)))</f>
        <v>Mar 2024</v>
      </c>
      <c r="U5038">
        <f>IF(Pipeline_tbl[[#This Row],[Closed_Date]]=0,"",Pipeline_tbl[[#This Row],[Closed_Date]]-Pipeline_tbl[[#This Row],[Created_Date]])</f>
        <v>20</v>
      </c>
    </row>
    <row r="5039" spans="1:21" ht="15" customHeight="1" x14ac:dyDescent="0.2">
      <c r="A5039" t="s">
        <v>5345</v>
      </c>
      <c r="B5039" t="s">
        <v>233</v>
      </c>
      <c r="C5039" t="s">
        <v>53</v>
      </c>
      <c r="D5039" s="49">
        <v>45351</v>
      </c>
      <c r="E5039" s="49">
        <v>45353</v>
      </c>
      <c r="F5039" s="49">
        <v>45358</v>
      </c>
      <c r="G5039" s="49">
        <v>45364</v>
      </c>
      <c r="I5039" s="49">
        <v>45373</v>
      </c>
      <c r="J5039" t="s">
        <v>49</v>
      </c>
      <c r="K5039" s="33">
        <v>2800</v>
      </c>
      <c r="L5039" t="s">
        <v>63</v>
      </c>
      <c r="M5039" t="str">
        <f>_xlfn.XLOOKUP(Pipeline_tbl[[#This Row],[Rep_ID]],Dim_Reps!A:A,Dim_Reps!K:K)</f>
        <v>MXN</v>
      </c>
      <c r="N5039" s="33">
        <f>(_xlfn.XLOOKUP(Pipeline_tbl[[#This Row],[Rate_Code_Generalized]],Lookups!A:A,Lookups!B:B))*Pipeline_tbl[[#This Row],[Pipeline_Amount_USD]]</f>
        <v>55251.560000000005</v>
      </c>
      <c r="O5039" t="str">
        <f>_xlfn.XLOOKUP(Pipeline_tbl[[#This Row],[Rep_ID]],Dim_Reps!A:A,Dim_Reps!B:B)</f>
        <v>Lucas Duarte</v>
      </c>
      <c r="P5039" t="str">
        <f>_xlfn.XLOOKUP(Pipeline_tbl[[#This Row],[Rep_ID]],Dim_Reps!A:A,Dim_Reps!C:C)</f>
        <v>SDR / Inside Sales Rep</v>
      </c>
      <c r="Q5039" t="str">
        <f>_xlfn.XLOOKUP(Pipeline_tbl[[#This Row],[Rep_ID]],Dim_Reps!A:A,Dim_Reps!D:D)</f>
        <v>Inside Sales</v>
      </c>
      <c r="R5039" t="str">
        <f>_xlfn.XLOOKUP(Pipeline_tbl[[#This Row],[Rep_ID]],Dim_Reps!A:A,Dim_Reps!E:E)</f>
        <v>LATAM</v>
      </c>
      <c r="S5039" t="str">
        <f>_xlfn.XLOOKUP(Pipeline_tbl[[#This Row],[Created_Date]],Dim_Date!A:A,Dim_Date!H:H)</f>
        <v>Feb 2024</v>
      </c>
      <c r="T5039" t="str">
        <f>IF(Pipeline_tbl[[#This Row],[Closed_Date]]=0,"",(_xlfn.XLOOKUP(Pipeline_tbl[[#This Row],[Closed_Date]],Dim_Date!A:A,Dim_Date!H:H)))</f>
        <v>Mar 2024</v>
      </c>
      <c r="U5039">
        <f>IF(Pipeline_tbl[[#This Row],[Closed_Date]]=0,"",Pipeline_tbl[[#This Row],[Closed_Date]]-Pipeline_tbl[[#This Row],[Created_Date]])</f>
        <v>22</v>
      </c>
    </row>
    <row r="5040" spans="1:21" ht="15" customHeight="1" x14ac:dyDescent="0.2">
      <c r="A5040" t="s">
        <v>5346</v>
      </c>
      <c r="B5040" t="s">
        <v>233</v>
      </c>
      <c r="C5040" t="s">
        <v>52</v>
      </c>
      <c r="D5040" s="49">
        <v>45349</v>
      </c>
      <c r="E5040" s="49">
        <v>45350</v>
      </c>
      <c r="F5040" s="49">
        <v>45352</v>
      </c>
      <c r="G5040" s="49">
        <v>45356</v>
      </c>
      <c r="H5040" s="49">
        <v>45358</v>
      </c>
      <c r="I5040" s="49">
        <v>45360</v>
      </c>
      <c r="J5040" t="s">
        <v>49</v>
      </c>
      <c r="K5040" s="33">
        <v>1700</v>
      </c>
      <c r="L5040" t="s">
        <v>62</v>
      </c>
      <c r="M5040" t="str">
        <f>_xlfn.XLOOKUP(Pipeline_tbl[[#This Row],[Rep_ID]],Dim_Reps!A:A,Dim_Reps!K:K)</f>
        <v>MXN</v>
      </c>
      <c r="N5040" s="33">
        <f>(_xlfn.XLOOKUP(Pipeline_tbl[[#This Row],[Rate_Code_Generalized]],Lookups!A:A,Lookups!B:B))*Pipeline_tbl[[#This Row],[Pipeline_Amount_USD]]</f>
        <v>33545.590000000004</v>
      </c>
      <c r="O5040" t="str">
        <f>_xlfn.XLOOKUP(Pipeline_tbl[[#This Row],[Rep_ID]],Dim_Reps!A:A,Dim_Reps!B:B)</f>
        <v>Lucas Duarte</v>
      </c>
      <c r="P5040" t="str">
        <f>_xlfn.XLOOKUP(Pipeline_tbl[[#This Row],[Rep_ID]],Dim_Reps!A:A,Dim_Reps!C:C)</f>
        <v>SDR / Inside Sales Rep</v>
      </c>
      <c r="Q5040" t="str">
        <f>_xlfn.XLOOKUP(Pipeline_tbl[[#This Row],[Rep_ID]],Dim_Reps!A:A,Dim_Reps!D:D)</f>
        <v>Inside Sales</v>
      </c>
      <c r="R5040" t="str">
        <f>_xlfn.XLOOKUP(Pipeline_tbl[[#This Row],[Rep_ID]],Dim_Reps!A:A,Dim_Reps!E:E)</f>
        <v>LATAM</v>
      </c>
      <c r="S5040" t="str">
        <f>_xlfn.XLOOKUP(Pipeline_tbl[[#This Row],[Created_Date]],Dim_Date!A:A,Dim_Date!H:H)</f>
        <v>Feb 2024</v>
      </c>
      <c r="T5040" t="str">
        <f>IF(Pipeline_tbl[[#This Row],[Closed_Date]]=0,"",(_xlfn.XLOOKUP(Pipeline_tbl[[#This Row],[Closed_Date]],Dim_Date!A:A,Dim_Date!H:H)))</f>
        <v>Mar 2024</v>
      </c>
      <c r="U5040">
        <f>IF(Pipeline_tbl[[#This Row],[Closed_Date]]=0,"",Pipeline_tbl[[#This Row],[Closed_Date]]-Pipeline_tbl[[#This Row],[Created_Date]])</f>
        <v>11</v>
      </c>
    </row>
    <row r="5041" spans="1:21" ht="15" customHeight="1" x14ac:dyDescent="0.2">
      <c r="A5041" t="s">
        <v>5347</v>
      </c>
      <c r="B5041" t="s">
        <v>233</v>
      </c>
      <c r="C5041" t="s">
        <v>52</v>
      </c>
      <c r="D5041" s="49">
        <v>45345</v>
      </c>
      <c r="E5041" s="49">
        <v>45346</v>
      </c>
      <c r="F5041" s="49">
        <v>45349</v>
      </c>
      <c r="G5041" s="49">
        <v>45353</v>
      </c>
      <c r="H5041" s="49">
        <v>45357</v>
      </c>
      <c r="I5041" s="49">
        <v>45359</v>
      </c>
      <c r="J5041" t="s">
        <v>47</v>
      </c>
      <c r="K5041" s="33">
        <v>3600</v>
      </c>
      <c r="M5041" t="str">
        <f>_xlfn.XLOOKUP(Pipeline_tbl[[#This Row],[Rep_ID]],Dim_Reps!A:A,Dim_Reps!K:K)</f>
        <v>MXN</v>
      </c>
      <c r="N5041" s="33">
        <f>(_xlfn.XLOOKUP(Pipeline_tbl[[#This Row],[Rate_Code_Generalized]],Lookups!A:A,Lookups!B:B))*Pipeline_tbl[[#This Row],[Pipeline_Amount_USD]]</f>
        <v>71037.72</v>
      </c>
      <c r="O5041" t="str">
        <f>_xlfn.XLOOKUP(Pipeline_tbl[[#This Row],[Rep_ID]],Dim_Reps!A:A,Dim_Reps!B:B)</f>
        <v>Lucas Duarte</v>
      </c>
      <c r="P5041" t="str">
        <f>_xlfn.XLOOKUP(Pipeline_tbl[[#This Row],[Rep_ID]],Dim_Reps!A:A,Dim_Reps!C:C)</f>
        <v>SDR / Inside Sales Rep</v>
      </c>
      <c r="Q5041" t="str">
        <f>_xlfn.XLOOKUP(Pipeline_tbl[[#This Row],[Rep_ID]],Dim_Reps!A:A,Dim_Reps!D:D)</f>
        <v>Inside Sales</v>
      </c>
      <c r="R5041" t="str">
        <f>_xlfn.XLOOKUP(Pipeline_tbl[[#This Row],[Rep_ID]],Dim_Reps!A:A,Dim_Reps!E:E)</f>
        <v>LATAM</v>
      </c>
      <c r="S5041" t="str">
        <f>_xlfn.XLOOKUP(Pipeline_tbl[[#This Row],[Created_Date]],Dim_Date!A:A,Dim_Date!H:H)</f>
        <v>Feb 2024</v>
      </c>
      <c r="T5041" t="str">
        <f>IF(Pipeline_tbl[[#This Row],[Closed_Date]]=0,"",(_xlfn.XLOOKUP(Pipeline_tbl[[#This Row],[Closed_Date]],Dim_Date!A:A,Dim_Date!H:H)))</f>
        <v>Mar 2024</v>
      </c>
      <c r="U5041">
        <f>IF(Pipeline_tbl[[#This Row],[Closed_Date]]=0,"",Pipeline_tbl[[#This Row],[Closed_Date]]-Pipeline_tbl[[#This Row],[Created_Date]])</f>
        <v>14</v>
      </c>
    </row>
    <row r="5042" spans="1:21" ht="15" customHeight="1" x14ac:dyDescent="0.2">
      <c r="A5042" t="s">
        <v>5348</v>
      </c>
      <c r="B5042" t="s">
        <v>233</v>
      </c>
      <c r="C5042" t="s">
        <v>54</v>
      </c>
      <c r="D5042" s="49">
        <v>45344</v>
      </c>
      <c r="E5042" s="49">
        <v>45347</v>
      </c>
      <c r="F5042" s="49">
        <v>45352</v>
      </c>
      <c r="G5042" s="49">
        <v>45360</v>
      </c>
      <c r="H5042" s="49">
        <v>45367</v>
      </c>
      <c r="I5042" s="49">
        <v>45371</v>
      </c>
      <c r="J5042" t="s">
        <v>47</v>
      </c>
      <c r="K5042" s="33">
        <v>800</v>
      </c>
      <c r="M5042" t="str">
        <f>_xlfn.XLOOKUP(Pipeline_tbl[[#This Row],[Rep_ID]],Dim_Reps!A:A,Dim_Reps!K:K)</f>
        <v>MXN</v>
      </c>
      <c r="N5042" s="33">
        <f>(_xlfn.XLOOKUP(Pipeline_tbl[[#This Row],[Rate_Code_Generalized]],Lookups!A:A,Lookups!B:B))*Pipeline_tbl[[#This Row],[Pipeline_Amount_USD]]</f>
        <v>15786.160000000002</v>
      </c>
      <c r="O5042" t="str">
        <f>_xlfn.XLOOKUP(Pipeline_tbl[[#This Row],[Rep_ID]],Dim_Reps!A:A,Dim_Reps!B:B)</f>
        <v>Lucas Duarte</v>
      </c>
      <c r="P5042" t="str">
        <f>_xlfn.XLOOKUP(Pipeline_tbl[[#This Row],[Rep_ID]],Dim_Reps!A:A,Dim_Reps!C:C)</f>
        <v>SDR / Inside Sales Rep</v>
      </c>
      <c r="Q5042" t="str">
        <f>_xlfn.XLOOKUP(Pipeline_tbl[[#This Row],[Rep_ID]],Dim_Reps!A:A,Dim_Reps!D:D)</f>
        <v>Inside Sales</v>
      </c>
      <c r="R5042" t="str">
        <f>_xlfn.XLOOKUP(Pipeline_tbl[[#This Row],[Rep_ID]],Dim_Reps!A:A,Dim_Reps!E:E)</f>
        <v>LATAM</v>
      </c>
      <c r="S5042" t="str">
        <f>_xlfn.XLOOKUP(Pipeline_tbl[[#This Row],[Created_Date]],Dim_Date!A:A,Dim_Date!H:H)</f>
        <v>Feb 2024</v>
      </c>
      <c r="T5042" t="str">
        <f>IF(Pipeline_tbl[[#This Row],[Closed_Date]]=0,"",(_xlfn.XLOOKUP(Pipeline_tbl[[#This Row],[Closed_Date]],Dim_Date!A:A,Dim_Date!H:H)))</f>
        <v>Mar 2024</v>
      </c>
      <c r="U5042">
        <f>IF(Pipeline_tbl[[#This Row],[Closed_Date]]=0,"",Pipeline_tbl[[#This Row],[Closed_Date]]-Pipeline_tbl[[#This Row],[Created_Date]])</f>
        <v>27</v>
      </c>
    </row>
    <row r="5043" spans="1:21" ht="15" customHeight="1" x14ac:dyDescent="0.2">
      <c r="A5043" t="s">
        <v>5349</v>
      </c>
      <c r="B5043" t="s">
        <v>233</v>
      </c>
      <c r="C5043" t="s">
        <v>52</v>
      </c>
      <c r="D5043" s="49">
        <v>45343</v>
      </c>
      <c r="E5043" s="49">
        <v>45345</v>
      </c>
      <c r="F5043" s="49">
        <v>45348</v>
      </c>
      <c r="G5043" s="49">
        <v>45353</v>
      </c>
      <c r="H5043" s="49">
        <v>45357</v>
      </c>
      <c r="I5043" s="49">
        <v>45360</v>
      </c>
      <c r="J5043" t="s">
        <v>47</v>
      </c>
      <c r="K5043" s="33">
        <v>3100</v>
      </c>
      <c r="M5043" t="str">
        <f>_xlfn.XLOOKUP(Pipeline_tbl[[#This Row],[Rep_ID]],Dim_Reps!A:A,Dim_Reps!K:K)</f>
        <v>MXN</v>
      </c>
      <c r="N5043" s="33">
        <f>(_xlfn.XLOOKUP(Pipeline_tbl[[#This Row],[Rate_Code_Generalized]],Lookups!A:A,Lookups!B:B))*Pipeline_tbl[[#This Row],[Pipeline_Amount_USD]]</f>
        <v>61171.37</v>
      </c>
      <c r="O5043" t="str">
        <f>_xlfn.XLOOKUP(Pipeline_tbl[[#This Row],[Rep_ID]],Dim_Reps!A:A,Dim_Reps!B:B)</f>
        <v>Lucas Duarte</v>
      </c>
      <c r="P5043" t="str">
        <f>_xlfn.XLOOKUP(Pipeline_tbl[[#This Row],[Rep_ID]],Dim_Reps!A:A,Dim_Reps!C:C)</f>
        <v>SDR / Inside Sales Rep</v>
      </c>
      <c r="Q5043" t="str">
        <f>_xlfn.XLOOKUP(Pipeline_tbl[[#This Row],[Rep_ID]],Dim_Reps!A:A,Dim_Reps!D:D)</f>
        <v>Inside Sales</v>
      </c>
      <c r="R5043" t="str">
        <f>_xlfn.XLOOKUP(Pipeline_tbl[[#This Row],[Rep_ID]],Dim_Reps!A:A,Dim_Reps!E:E)</f>
        <v>LATAM</v>
      </c>
      <c r="S5043" t="str">
        <f>_xlfn.XLOOKUP(Pipeline_tbl[[#This Row],[Created_Date]],Dim_Date!A:A,Dim_Date!H:H)</f>
        <v>Feb 2024</v>
      </c>
      <c r="T5043" t="str">
        <f>IF(Pipeline_tbl[[#This Row],[Closed_Date]]=0,"",(_xlfn.XLOOKUP(Pipeline_tbl[[#This Row],[Closed_Date]],Dim_Date!A:A,Dim_Date!H:H)))</f>
        <v>Mar 2024</v>
      </c>
      <c r="U5043">
        <f>IF(Pipeline_tbl[[#This Row],[Closed_Date]]=0,"",Pipeline_tbl[[#This Row],[Closed_Date]]-Pipeline_tbl[[#This Row],[Created_Date]])</f>
        <v>17</v>
      </c>
    </row>
    <row r="5044" spans="1:21" ht="15" customHeight="1" x14ac:dyDescent="0.2">
      <c r="A5044" t="s">
        <v>5350</v>
      </c>
      <c r="B5044" t="s">
        <v>267</v>
      </c>
      <c r="C5044" t="s">
        <v>54</v>
      </c>
      <c r="D5044" s="49">
        <v>45331</v>
      </c>
      <c r="E5044" s="49">
        <v>45334</v>
      </c>
      <c r="F5044" s="49">
        <v>45339</v>
      </c>
      <c r="G5044" s="49">
        <v>45347</v>
      </c>
      <c r="H5044" s="49">
        <v>45354</v>
      </c>
      <c r="I5044" s="49">
        <v>45358</v>
      </c>
      <c r="J5044" t="s">
        <v>47</v>
      </c>
      <c r="K5044" s="33">
        <v>24900</v>
      </c>
      <c r="M5044" t="str">
        <f>_xlfn.XLOOKUP(Pipeline_tbl[[#This Row],[Rep_ID]],Dim_Reps!A:A,Dim_Reps!K:K)</f>
        <v>MXN</v>
      </c>
      <c r="N5044" s="33">
        <f>(_xlfn.XLOOKUP(Pipeline_tbl[[#This Row],[Rate_Code_Generalized]],Lookups!A:A,Lookups!B:B))*Pipeline_tbl[[#This Row],[Pipeline_Amount_USD]]</f>
        <v>491344.23000000004</v>
      </c>
      <c r="O5044" t="str">
        <f>_xlfn.XLOOKUP(Pipeline_tbl[[#This Row],[Rep_ID]],Dim_Reps!A:A,Dim_Reps!B:B)</f>
        <v>Yuki Dubois</v>
      </c>
      <c r="P5044" t="str">
        <f>_xlfn.XLOOKUP(Pipeline_tbl[[#This Row],[Rep_ID]],Dim_Reps!A:A,Dim_Reps!C:C)</f>
        <v>Mid-Market AE</v>
      </c>
      <c r="Q5044" t="str">
        <f>_xlfn.XLOOKUP(Pipeline_tbl[[#This Row],[Rep_ID]],Dim_Reps!A:A,Dim_Reps!D:D)</f>
        <v>Mid-Market</v>
      </c>
      <c r="R5044" t="str">
        <f>_xlfn.XLOOKUP(Pipeline_tbl[[#This Row],[Rep_ID]],Dim_Reps!A:A,Dim_Reps!E:E)</f>
        <v>LATAM</v>
      </c>
      <c r="S5044" t="str">
        <f>_xlfn.XLOOKUP(Pipeline_tbl[[#This Row],[Created_Date]],Dim_Date!A:A,Dim_Date!H:H)</f>
        <v>Feb 2024</v>
      </c>
      <c r="T5044" t="str">
        <f>IF(Pipeline_tbl[[#This Row],[Closed_Date]]=0,"",(_xlfn.XLOOKUP(Pipeline_tbl[[#This Row],[Closed_Date]],Dim_Date!A:A,Dim_Date!H:H)))</f>
        <v>Mar 2024</v>
      </c>
      <c r="U5044">
        <f>IF(Pipeline_tbl[[#This Row],[Closed_Date]]=0,"",Pipeline_tbl[[#This Row],[Closed_Date]]-Pipeline_tbl[[#This Row],[Created_Date]])</f>
        <v>27</v>
      </c>
    </row>
    <row r="5045" spans="1:21" ht="15" customHeight="1" x14ac:dyDescent="0.2">
      <c r="A5045" t="s">
        <v>5351</v>
      </c>
      <c r="B5045" t="s">
        <v>267</v>
      </c>
      <c r="C5045" t="s">
        <v>52</v>
      </c>
      <c r="D5045" s="49">
        <v>45335</v>
      </c>
      <c r="E5045" s="49">
        <v>45339</v>
      </c>
      <c r="F5045" s="49">
        <v>45348</v>
      </c>
      <c r="I5045" s="49">
        <v>45379</v>
      </c>
      <c r="J5045" t="s">
        <v>49</v>
      </c>
      <c r="K5045" s="33">
        <v>11100</v>
      </c>
      <c r="L5045" t="s">
        <v>60</v>
      </c>
      <c r="M5045" t="str">
        <f>_xlfn.XLOOKUP(Pipeline_tbl[[#This Row],[Rep_ID]],Dim_Reps!A:A,Dim_Reps!K:K)</f>
        <v>MXN</v>
      </c>
      <c r="N5045" s="33">
        <f>(_xlfn.XLOOKUP(Pipeline_tbl[[#This Row],[Rate_Code_Generalized]],Lookups!A:A,Lookups!B:B))*Pipeline_tbl[[#This Row],[Pipeline_Amount_USD]]</f>
        <v>219032.97</v>
      </c>
      <c r="O5045" t="str">
        <f>_xlfn.XLOOKUP(Pipeline_tbl[[#This Row],[Rep_ID]],Dim_Reps!A:A,Dim_Reps!B:B)</f>
        <v>Yuki Dubois</v>
      </c>
      <c r="P5045" t="str">
        <f>_xlfn.XLOOKUP(Pipeline_tbl[[#This Row],[Rep_ID]],Dim_Reps!A:A,Dim_Reps!C:C)</f>
        <v>Mid-Market AE</v>
      </c>
      <c r="Q5045" t="str">
        <f>_xlfn.XLOOKUP(Pipeline_tbl[[#This Row],[Rep_ID]],Dim_Reps!A:A,Dim_Reps!D:D)</f>
        <v>Mid-Market</v>
      </c>
      <c r="R5045" t="str">
        <f>_xlfn.XLOOKUP(Pipeline_tbl[[#This Row],[Rep_ID]],Dim_Reps!A:A,Dim_Reps!E:E)</f>
        <v>LATAM</v>
      </c>
      <c r="S5045" t="str">
        <f>_xlfn.XLOOKUP(Pipeline_tbl[[#This Row],[Created_Date]],Dim_Date!A:A,Dim_Date!H:H)</f>
        <v>Feb 2024</v>
      </c>
      <c r="T5045" t="str">
        <f>IF(Pipeline_tbl[[#This Row],[Closed_Date]]=0,"",(_xlfn.XLOOKUP(Pipeline_tbl[[#This Row],[Closed_Date]],Dim_Date!A:A,Dim_Date!H:H)))</f>
        <v>Mar 2024</v>
      </c>
      <c r="U5045">
        <f>IF(Pipeline_tbl[[#This Row],[Closed_Date]]=0,"",Pipeline_tbl[[#This Row],[Closed_Date]]-Pipeline_tbl[[#This Row],[Created_Date]])</f>
        <v>44</v>
      </c>
    </row>
    <row r="5046" spans="1:21" ht="15" customHeight="1" x14ac:dyDescent="0.2">
      <c r="A5046" t="s">
        <v>5352</v>
      </c>
      <c r="B5046" t="s">
        <v>267</v>
      </c>
      <c r="C5046" t="s">
        <v>52</v>
      </c>
      <c r="D5046" s="49">
        <v>45327</v>
      </c>
      <c r="E5046" s="49">
        <v>45330</v>
      </c>
      <c r="F5046" s="49">
        <v>45337</v>
      </c>
      <c r="G5046" s="49">
        <v>45347</v>
      </c>
      <c r="H5046" s="49">
        <v>45356</v>
      </c>
      <c r="I5046" s="49">
        <v>45361</v>
      </c>
      <c r="J5046" t="s">
        <v>49</v>
      </c>
      <c r="K5046" s="33">
        <v>13100</v>
      </c>
      <c r="L5046" t="s">
        <v>62</v>
      </c>
      <c r="M5046" t="str">
        <f>_xlfn.XLOOKUP(Pipeline_tbl[[#This Row],[Rep_ID]],Dim_Reps!A:A,Dim_Reps!K:K)</f>
        <v>MXN</v>
      </c>
      <c r="N5046" s="33">
        <f>(_xlfn.XLOOKUP(Pipeline_tbl[[#This Row],[Rate_Code_Generalized]],Lookups!A:A,Lookups!B:B))*Pipeline_tbl[[#This Row],[Pipeline_Amount_USD]]</f>
        <v>258498.37000000002</v>
      </c>
      <c r="O5046" t="str">
        <f>_xlfn.XLOOKUP(Pipeline_tbl[[#This Row],[Rep_ID]],Dim_Reps!A:A,Dim_Reps!B:B)</f>
        <v>Yuki Dubois</v>
      </c>
      <c r="P5046" t="str">
        <f>_xlfn.XLOOKUP(Pipeline_tbl[[#This Row],[Rep_ID]],Dim_Reps!A:A,Dim_Reps!C:C)</f>
        <v>Mid-Market AE</v>
      </c>
      <c r="Q5046" t="str">
        <f>_xlfn.XLOOKUP(Pipeline_tbl[[#This Row],[Rep_ID]],Dim_Reps!A:A,Dim_Reps!D:D)</f>
        <v>Mid-Market</v>
      </c>
      <c r="R5046" t="str">
        <f>_xlfn.XLOOKUP(Pipeline_tbl[[#This Row],[Rep_ID]],Dim_Reps!A:A,Dim_Reps!E:E)</f>
        <v>LATAM</v>
      </c>
      <c r="S5046" t="str">
        <f>_xlfn.XLOOKUP(Pipeline_tbl[[#This Row],[Created_Date]],Dim_Date!A:A,Dim_Date!H:H)</f>
        <v>Feb 2024</v>
      </c>
      <c r="T5046" t="str">
        <f>IF(Pipeline_tbl[[#This Row],[Closed_Date]]=0,"",(_xlfn.XLOOKUP(Pipeline_tbl[[#This Row],[Closed_Date]],Dim_Date!A:A,Dim_Date!H:H)))</f>
        <v>Mar 2024</v>
      </c>
      <c r="U5046">
        <f>IF(Pipeline_tbl[[#This Row],[Closed_Date]]=0,"",Pipeline_tbl[[#This Row],[Closed_Date]]-Pipeline_tbl[[#This Row],[Created_Date]])</f>
        <v>34</v>
      </c>
    </row>
    <row r="5047" spans="1:21" ht="15" customHeight="1" x14ac:dyDescent="0.2">
      <c r="A5047" t="s">
        <v>5353</v>
      </c>
      <c r="B5047" t="s">
        <v>267</v>
      </c>
      <c r="C5047" t="s">
        <v>53</v>
      </c>
      <c r="D5047" s="49">
        <v>45342</v>
      </c>
      <c r="E5047" s="49">
        <v>45345</v>
      </c>
      <c r="F5047" s="49">
        <v>45351</v>
      </c>
      <c r="G5047" s="49">
        <v>45360</v>
      </c>
      <c r="I5047" s="49">
        <v>45372</v>
      </c>
      <c r="J5047" t="s">
        <v>49</v>
      </c>
      <c r="K5047" s="33">
        <v>7300</v>
      </c>
      <c r="L5047" t="s">
        <v>60</v>
      </c>
      <c r="M5047" t="str">
        <f>_xlfn.XLOOKUP(Pipeline_tbl[[#This Row],[Rep_ID]],Dim_Reps!A:A,Dim_Reps!K:K)</f>
        <v>MXN</v>
      </c>
      <c r="N5047" s="33">
        <f>(_xlfn.XLOOKUP(Pipeline_tbl[[#This Row],[Rate_Code_Generalized]],Lookups!A:A,Lookups!B:B))*Pipeline_tbl[[#This Row],[Pipeline_Amount_USD]]</f>
        <v>144048.71000000002</v>
      </c>
      <c r="O5047" t="str">
        <f>_xlfn.XLOOKUP(Pipeline_tbl[[#This Row],[Rep_ID]],Dim_Reps!A:A,Dim_Reps!B:B)</f>
        <v>Yuki Dubois</v>
      </c>
      <c r="P5047" t="str">
        <f>_xlfn.XLOOKUP(Pipeline_tbl[[#This Row],[Rep_ID]],Dim_Reps!A:A,Dim_Reps!C:C)</f>
        <v>Mid-Market AE</v>
      </c>
      <c r="Q5047" t="str">
        <f>_xlfn.XLOOKUP(Pipeline_tbl[[#This Row],[Rep_ID]],Dim_Reps!A:A,Dim_Reps!D:D)</f>
        <v>Mid-Market</v>
      </c>
      <c r="R5047" t="str">
        <f>_xlfn.XLOOKUP(Pipeline_tbl[[#This Row],[Rep_ID]],Dim_Reps!A:A,Dim_Reps!E:E)</f>
        <v>LATAM</v>
      </c>
      <c r="S5047" t="str">
        <f>_xlfn.XLOOKUP(Pipeline_tbl[[#This Row],[Created_Date]],Dim_Date!A:A,Dim_Date!H:H)</f>
        <v>Feb 2024</v>
      </c>
      <c r="T5047" t="str">
        <f>IF(Pipeline_tbl[[#This Row],[Closed_Date]]=0,"",(_xlfn.XLOOKUP(Pipeline_tbl[[#This Row],[Closed_Date]],Dim_Date!A:A,Dim_Date!H:H)))</f>
        <v>Mar 2024</v>
      </c>
      <c r="U5047">
        <f>IF(Pipeline_tbl[[#This Row],[Closed_Date]]=0,"",Pipeline_tbl[[#This Row],[Closed_Date]]-Pipeline_tbl[[#This Row],[Created_Date]])</f>
        <v>30</v>
      </c>
    </row>
    <row r="5048" spans="1:21" ht="15" customHeight="1" x14ac:dyDescent="0.2">
      <c r="A5048" t="s">
        <v>5354</v>
      </c>
      <c r="B5048" t="s">
        <v>267</v>
      </c>
      <c r="C5048" t="s">
        <v>55</v>
      </c>
      <c r="D5048" s="49">
        <v>45342</v>
      </c>
      <c r="E5048" s="49">
        <v>45344</v>
      </c>
      <c r="F5048" s="49">
        <v>45348</v>
      </c>
      <c r="G5048" s="49">
        <v>45353</v>
      </c>
      <c r="H5048" s="49">
        <v>45358</v>
      </c>
      <c r="I5048" s="49">
        <v>45361</v>
      </c>
      <c r="J5048" t="s">
        <v>47</v>
      </c>
      <c r="K5048" s="33">
        <v>13600</v>
      </c>
      <c r="M5048" t="str">
        <f>_xlfn.XLOOKUP(Pipeline_tbl[[#This Row],[Rep_ID]],Dim_Reps!A:A,Dim_Reps!K:K)</f>
        <v>MXN</v>
      </c>
      <c r="N5048" s="33">
        <f>(_xlfn.XLOOKUP(Pipeline_tbl[[#This Row],[Rate_Code_Generalized]],Lookups!A:A,Lookups!B:B))*Pipeline_tbl[[#This Row],[Pipeline_Amount_USD]]</f>
        <v>268364.72000000003</v>
      </c>
      <c r="O5048" t="str">
        <f>_xlfn.XLOOKUP(Pipeline_tbl[[#This Row],[Rep_ID]],Dim_Reps!A:A,Dim_Reps!B:B)</f>
        <v>Yuki Dubois</v>
      </c>
      <c r="P5048" t="str">
        <f>_xlfn.XLOOKUP(Pipeline_tbl[[#This Row],[Rep_ID]],Dim_Reps!A:A,Dim_Reps!C:C)</f>
        <v>Mid-Market AE</v>
      </c>
      <c r="Q5048" t="str">
        <f>_xlfn.XLOOKUP(Pipeline_tbl[[#This Row],[Rep_ID]],Dim_Reps!A:A,Dim_Reps!D:D)</f>
        <v>Mid-Market</v>
      </c>
      <c r="R5048" t="str">
        <f>_xlfn.XLOOKUP(Pipeline_tbl[[#This Row],[Rep_ID]],Dim_Reps!A:A,Dim_Reps!E:E)</f>
        <v>LATAM</v>
      </c>
      <c r="S5048" t="str">
        <f>_xlfn.XLOOKUP(Pipeline_tbl[[#This Row],[Created_Date]],Dim_Date!A:A,Dim_Date!H:H)</f>
        <v>Feb 2024</v>
      </c>
      <c r="T5048" t="str">
        <f>IF(Pipeline_tbl[[#This Row],[Closed_Date]]=0,"",(_xlfn.XLOOKUP(Pipeline_tbl[[#This Row],[Closed_Date]],Dim_Date!A:A,Dim_Date!H:H)))</f>
        <v>Mar 2024</v>
      </c>
      <c r="U5048">
        <f>IF(Pipeline_tbl[[#This Row],[Closed_Date]]=0,"",Pipeline_tbl[[#This Row],[Closed_Date]]-Pipeline_tbl[[#This Row],[Created_Date]])</f>
        <v>19</v>
      </c>
    </row>
    <row r="5049" spans="1:21" ht="15" customHeight="1" x14ac:dyDescent="0.2">
      <c r="A5049" t="s">
        <v>5355</v>
      </c>
      <c r="B5049" t="s">
        <v>267</v>
      </c>
      <c r="C5049" t="s">
        <v>53</v>
      </c>
      <c r="D5049" s="49">
        <v>45344</v>
      </c>
      <c r="E5049" s="49">
        <v>45345</v>
      </c>
      <c r="F5049" s="49">
        <v>45348</v>
      </c>
      <c r="G5049" s="49">
        <v>45352</v>
      </c>
      <c r="I5049" s="49">
        <v>45358</v>
      </c>
      <c r="J5049" t="s">
        <v>49</v>
      </c>
      <c r="K5049" s="33">
        <v>12300</v>
      </c>
      <c r="L5049" t="s">
        <v>64</v>
      </c>
      <c r="M5049" t="str">
        <f>_xlfn.XLOOKUP(Pipeline_tbl[[#This Row],[Rep_ID]],Dim_Reps!A:A,Dim_Reps!K:K)</f>
        <v>MXN</v>
      </c>
      <c r="N5049" s="33">
        <f>(_xlfn.XLOOKUP(Pipeline_tbl[[#This Row],[Rate_Code_Generalized]],Lookups!A:A,Lookups!B:B))*Pipeline_tbl[[#This Row],[Pipeline_Amount_USD]]</f>
        <v>242712.21000000002</v>
      </c>
      <c r="O5049" t="str">
        <f>_xlfn.XLOOKUP(Pipeline_tbl[[#This Row],[Rep_ID]],Dim_Reps!A:A,Dim_Reps!B:B)</f>
        <v>Yuki Dubois</v>
      </c>
      <c r="P5049" t="str">
        <f>_xlfn.XLOOKUP(Pipeline_tbl[[#This Row],[Rep_ID]],Dim_Reps!A:A,Dim_Reps!C:C)</f>
        <v>Mid-Market AE</v>
      </c>
      <c r="Q5049" t="str">
        <f>_xlfn.XLOOKUP(Pipeline_tbl[[#This Row],[Rep_ID]],Dim_Reps!A:A,Dim_Reps!D:D)</f>
        <v>Mid-Market</v>
      </c>
      <c r="R5049" t="str">
        <f>_xlfn.XLOOKUP(Pipeline_tbl[[#This Row],[Rep_ID]],Dim_Reps!A:A,Dim_Reps!E:E)</f>
        <v>LATAM</v>
      </c>
      <c r="S5049" t="str">
        <f>_xlfn.XLOOKUP(Pipeline_tbl[[#This Row],[Created_Date]],Dim_Date!A:A,Dim_Date!H:H)</f>
        <v>Feb 2024</v>
      </c>
      <c r="T5049" t="str">
        <f>IF(Pipeline_tbl[[#This Row],[Closed_Date]]=0,"",(_xlfn.XLOOKUP(Pipeline_tbl[[#This Row],[Closed_Date]],Dim_Date!A:A,Dim_Date!H:H)))</f>
        <v>Mar 2024</v>
      </c>
      <c r="U5049">
        <f>IF(Pipeline_tbl[[#This Row],[Closed_Date]]=0,"",Pipeline_tbl[[#This Row],[Closed_Date]]-Pipeline_tbl[[#This Row],[Created_Date]])</f>
        <v>14</v>
      </c>
    </row>
    <row r="5050" spans="1:21" ht="15" customHeight="1" x14ac:dyDescent="0.2">
      <c r="A5050" t="s">
        <v>5356</v>
      </c>
      <c r="B5050" t="s">
        <v>235</v>
      </c>
      <c r="C5050" t="s">
        <v>56</v>
      </c>
      <c r="D5050" s="49">
        <v>45343</v>
      </c>
      <c r="E5050" s="49">
        <v>45345</v>
      </c>
      <c r="F5050" s="49">
        <v>45350</v>
      </c>
      <c r="G5050" s="49">
        <v>45357</v>
      </c>
      <c r="H5050" s="49">
        <v>45363</v>
      </c>
      <c r="I5050" s="49">
        <v>45366</v>
      </c>
      <c r="J5050" t="s">
        <v>47</v>
      </c>
      <c r="K5050" s="33">
        <v>3800</v>
      </c>
      <c r="M5050" t="str">
        <f>_xlfn.XLOOKUP(Pipeline_tbl[[#This Row],[Rep_ID]],Dim_Reps!A:A,Dim_Reps!K:K)</f>
        <v>MXN</v>
      </c>
      <c r="N5050" s="33">
        <f>(_xlfn.XLOOKUP(Pipeline_tbl[[#This Row],[Rate_Code_Generalized]],Lookups!A:A,Lookups!B:B))*Pipeline_tbl[[#This Row],[Pipeline_Amount_USD]]</f>
        <v>74984.260000000009</v>
      </c>
      <c r="O5050" t="str">
        <f>_xlfn.XLOOKUP(Pipeline_tbl[[#This Row],[Rep_ID]],Dim_Reps!A:A,Dim_Reps!B:B)</f>
        <v>Milo Castro</v>
      </c>
      <c r="P5050" t="str">
        <f>_xlfn.XLOOKUP(Pipeline_tbl[[#This Row],[Rep_ID]],Dim_Reps!A:A,Dim_Reps!C:C)</f>
        <v>SDR / Inside Sales Rep</v>
      </c>
      <c r="Q5050" t="str">
        <f>_xlfn.XLOOKUP(Pipeline_tbl[[#This Row],[Rep_ID]],Dim_Reps!A:A,Dim_Reps!D:D)</f>
        <v>Inside Sales</v>
      </c>
      <c r="R5050" t="str">
        <f>_xlfn.XLOOKUP(Pipeline_tbl[[#This Row],[Rep_ID]],Dim_Reps!A:A,Dim_Reps!E:E)</f>
        <v>LATAM</v>
      </c>
      <c r="S5050" t="str">
        <f>_xlfn.XLOOKUP(Pipeline_tbl[[#This Row],[Created_Date]],Dim_Date!A:A,Dim_Date!H:H)</f>
        <v>Feb 2024</v>
      </c>
      <c r="T5050" t="str">
        <f>IF(Pipeline_tbl[[#This Row],[Closed_Date]]=0,"",(_xlfn.XLOOKUP(Pipeline_tbl[[#This Row],[Closed_Date]],Dim_Date!A:A,Dim_Date!H:H)))</f>
        <v>Mar 2024</v>
      </c>
      <c r="U5050">
        <f>IF(Pipeline_tbl[[#This Row],[Closed_Date]]=0,"",Pipeline_tbl[[#This Row],[Closed_Date]]-Pipeline_tbl[[#This Row],[Created_Date]])</f>
        <v>23</v>
      </c>
    </row>
    <row r="5051" spans="1:21" ht="15" customHeight="1" x14ac:dyDescent="0.2">
      <c r="A5051" t="s">
        <v>5357</v>
      </c>
      <c r="B5051" t="s">
        <v>235</v>
      </c>
      <c r="C5051" t="s">
        <v>53</v>
      </c>
      <c r="D5051" s="49">
        <v>45336</v>
      </c>
      <c r="E5051" s="49">
        <v>45338</v>
      </c>
      <c r="F5051" s="49">
        <v>45341</v>
      </c>
      <c r="G5051" s="49">
        <v>45347</v>
      </c>
      <c r="I5051" s="49">
        <v>45354</v>
      </c>
      <c r="J5051" t="s">
        <v>49</v>
      </c>
      <c r="K5051" s="33">
        <v>3800</v>
      </c>
      <c r="L5051" t="s">
        <v>62</v>
      </c>
      <c r="M5051" t="str">
        <f>_xlfn.XLOOKUP(Pipeline_tbl[[#This Row],[Rep_ID]],Dim_Reps!A:A,Dim_Reps!K:K)</f>
        <v>MXN</v>
      </c>
      <c r="N5051" s="33">
        <f>(_xlfn.XLOOKUP(Pipeline_tbl[[#This Row],[Rate_Code_Generalized]],Lookups!A:A,Lookups!B:B))*Pipeline_tbl[[#This Row],[Pipeline_Amount_USD]]</f>
        <v>74984.260000000009</v>
      </c>
      <c r="O5051" t="str">
        <f>_xlfn.XLOOKUP(Pipeline_tbl[[#This Row],[Rep_ID]],Dim_Reps!A:A,Dim_Reps!B:B)</f>
        <v>Milo Castro</v>
      </c>
      <c r="P5051" t="str">
        <f>_xlfn.XLOOKUP(Pipeline_tbl[[#This Row],[Rep_ID]],Dim_Reps!A:A,Dim_Reps!C:C)</f>
        <v>SDR / Inside Sales Rep</v>
      </c>
      <c r="Q5051" t="str">
        <f>_xlfn.XLOOKUP(Pipeline_tbl[[#This Row],[Rep_ID]],Dim_Reps!A:A,Dim_Reps!D:D)</f>
        <v>Inside Sales</v>
      </c>
      <c r="R5051" t="str">
        <f>_xlfn.XLOOKUP(Pipeline_tbl[[#This Row],[Rep_ID]],Dim_Reps!A:A,Dim_Reps!E:E)</f>
        <v>LATAM</v>
      </c>
      <c r="S5051" t="str">
        <f>_xlfn.XLOOKUP(Pipeline_tbl[[#This Row],[Created_Date]],Dim_Date!A:A,Dim_Date!H:H)</f>
        <v>Feb 2024</v>
      </c>
      <c r="T5051" t="str">
        <f>IF(Pipeline_tbl[[#This Row],[Closed_Date]]=0,"",(_xlfn.XLOOKUP(Pipeline_tbl[[#This Row],[Closed_Date]],Dim_Date!A:A,Dim_Date!H:H)))</f>
        <v>Mar 2024</v>
      </c>
      <c r="U5051">
        <f>IF(Pipeline_tbl[[#This Row],[Closed_Date]]=0,"",Pipeline_tbl[[#This Row],[Closed_Date]]-Pipeline_tbl[[#This Row],[Created_Date]])</f>
        <v>18</v>
      </c>
    </row>
    <row r="5052" spans="1:21" ht="15" customHeight="1" x14ac:dyDescent="0.2">
      <c r="A5052" t="s">
        <v>5358</v>
      </c>
      <c r="B5052" t="s">
        <v>235</v>
      </c>
      <c r="C5052" t="s">
        <v>54</v>
      </c>
      <c r="D5052" s="49">
        <v>45350</v>
      </c>
      <c r="E5052" s="49">
        <v>45352</v>
      </c>
      <c r="F5052" s="49">
        <v>45357</v>
      </c>
      <c r="I5052" s="49">
        <v>45373</v>
      </c>
      <c r="J5052" t="s">
        <v>49</v>
      </c>
      <c r="K5052" s="33">
        <v>3300</v>
      </c>
      <c r="L5052" t="s">
        <v>64</v>
      </c>
      <c r="M5052" t="str">
        <f>_xlfn.XLOOKUP(Pipeline_tbl[[#This Row],[Rep_ID]],Dim_Reps!A:A,Dim_Reps!K:K)</f>
        <v>MXN</v>
      </c>
      <c r="N5052" s="33">
        <f>(_xlfn.XLOOKUP(Pipeline_tbl[[#This Row],[Rate_Code_Generalized]],Lookups!A:A,Lookups!B:B))*Pipeline_tbl[[#This Row],[Pipeline_Amount_USD]]</f>
        <v>65117.91</v>
      </c>
      <c r="O5052" t="str">
        <f>_xlfn.XLOOKUP(Pipeline_tbl[[#This Row],[Rep_ID]],Dim_Reps!A:A,Dim_Reps!B:B)</f>
        <v>Milo Castro</v>
      </c>
      <c r="P5052" t="str">
        <f>_xlfn.XLOOKUP(Pipeline_tbl[[#This Row],[Rep_ID]],Dim_Reps!A:A,Dim_Reps!C:C)</f>
        <v>SDR / Inside Sales Rep</v>
      </c>
      <c r="Q5052" t="str">
        <f>_xlfn.XLOOKUP(Pipeline_tbl[[#This Row],[Rep_ID]],Dim_Reps!A:A,Dim_Reps!D:D)</f>
        <v>Inside Sales</v>
      </c>
      <c r="R5052" t="str">
        <f>_xlfn.XLOOKUP(Pipeline_tbl[[#This Row],[Rep_ID]],Dim_Reps!A:A,Dim_Reps!E:E)</f>
        <v>LATAM</v>
      </c>
      <c r="S5052" t="str">
        <f>_xlfn.XLOOKUP(Pipeline_tbl[[#This Row],[Created_Date]],Dim_Date!A:A,Dim_Date!H:H)</f>
        <v>Feb 2024</v>
      </c>
      <c r="T5052" t="str">
        <f>IF(Pipeline_tbl[[#This Row],[Closed_Date]]=0,"",(_xlfn.XLOOKUP(Pipeline_tbl[[#This Row],[Closed_Date]],Dim_Date!A:A,Dim_Date!H:H)))</f>
        <v>Mar 2024</v>
      </c>
      <c r="U5052">
        <f>IF(Pipeline_tbl[[#This Row],[Closed_Date]]=0,"",Pipeline_tbl[[#This Row],[Closed_Date]]-Pipeline_tbl[[#This Row],[Created_Date]])</f>
        <v>23</v>
      </c>
    </row>
    <row r="5053" spans="1:21" ht="15" customHeight="1" x14ac:dyDescent="0.2">
      <c r="A5053" t="s">
        <v>5359</v>
      </c>
      <c r="B5053" t="s">
        <v>235</v>
      </c>
      <c r="C5053" t="s">
        <v>55</v>
      </c>
      <c r="D5053" s="49">
        <v>45347</v>
      </c>
      <c r="E5053" s="49">
        <v>45348</v>
      </c>
      <c r="F5053" s="49">
        <v>45349</v>
      </c>
      <c r="G5053" s="49">
        <v>45352</v>
      </c>
      <c r="H5053" s="49">
        <v>45354</v>
      </c>
      <c r="I5053" s="49">
        <v>45355</v>
      </c>
      <c r="J5053" t="s">
        <v>47</v>
      </c>
      <c r="K5053" s="33">
        <v>2700</v>
      </c>
      <c r="M5053" t="str">
        <f>_xlfn.XLOOKUP(Pipeline_tbl[[#This Row],[Rep_ID]],Dim_Reps!A:A,Dim_Reps!K:K)</f>
        <v>MXN</v>
      </c>
      <c r="N5053" s="33">
        <f>(_xlfn.XLOOKUP(Pipeline_tbl[[#This Row],[Rate_Code_Generalized]],Lookups!A:A,Lookups!B:B))*Pipeline_tbl[[#This Row],[Pipeline_Amount_USD]]</f>
        <v>53278.29</v>
      </c>
      <c r="O5053" t="str">
        <f>_xlfn.XLOOKUP(Pipeline_tbl[[#This Row],[Rep_ID]],Dim_Reps!A:A,Dim_Reps!B:B)</f>
        <v>Milo Castro</v>
      </c>
      <c r="P5053" t="str">
        <f>_xlfn.XLOOKUP(Pipeline_tbl[[#This Row],[Rep_ID]],Dim_Reps!A:A,Dim_Reps!C:C)</f>
        <v>SDR / Inside Sales Rep</v>
      </c>
      <c r="Q5053" t="str">
        <f>_xlfn.XLOOKUP(Pipeline_tbl[[#This Row],[Rep_ID]],Dim_Reps!A:A,Dim_Reps!D:D)</f>
        <v>Inside Sales</v>
      </c>
      <c r="R5053" t="str">
        <f>_xlfn.XLOOKUP(Pipeline_tbl[[#This Row],[Rep_ID]],Dim_Reps!A:A,Dim_Reps!E:E)</f>
        <v>LATAM</v>
      </c>
      <c r="S5053" t="str">
        <f>_xlfn.XLOOKUP(Pipeline_tbl[[#This Row],[Created_Date]],Dim_Date!A:A,Dim_Date!H:H)</f>
        <v>Feb 2024</v>
      </c>
      <c r="T5053" t="str">
        <f>IF(Pipeline_tbl[[#This Row],[Closed_Date]]=0,"",(_xlfn.XLOOKUP(Pipeline_tbl[[#This Row],[Closed_Date]],Dim_Date!A:A,Dim_Date!H:H)))</f>
        <v>Mar 2024</v>
      </c>
      <c r="U5053">
        <f>IF(Pipeline_tbl[[#This Row],[Closed_Date]]=0,"",Pipeline_tbl[[#This Row],[Closed_Date]]-Pipeline_tbl[[#This Row],[Created_Date]])</f>
        <v>8</v>
      </c>
    </row>
    <row r="5054" spans="1:21" ht="15" customHeight="1" x14ac:dyDescent="0.2">
      <c r="A5054" t="s">
        <v>5360</v>
      </c>
      <c r="B5054" t="s">
        <v>235</v>
      </c>
      <c r="C5054" t="s">
        <v>53</v>
      </c>
      <c r="D5054" s="49">
        <v>45347</v>
      </c>
      <c r="E5054" s="49">
        <v>45348</v>
      </c>
      <c r="F5054" s="49">
        <v>45351</v>
      </c>
      <c r="I5054" s="49">
        <v>45360</v>
      </c>
      <c r="J5054" t="s">
        <v>49</v>
      </c>
      <c r="K5054" s="33">
        <v>8900</v>
      </c>
      <c r="L5054" t="s">
        <v>62</v>
      </c>
      <c r="M5054" t="str">
        <f>_xlfn.XLOOKUP(Pipeline_tbl[[#This Row],[Rep_ID]],Dim_Reps!A:A,Dim_Reps!K:K)</f>
        <v>MXN</v>
      </c>
      <c r="N5054" s="33">
        <f>(_xlfn.XLOOKUP(Pipeline_tbl[[#This Row],[Rate_Code_Generalized]],Lookups!A:A,Lookups!B:B))*Pipeline_tbl[[#This Row],[Pipeline_Amount_USD]]</f>
        <v>175621.03</v>
      </c>
      <c r="O5054" t="str">
        <f>_xlfn.XLOOKUP(Pipeline_tbl[[#This Row],[Rep_ID]],Dim_Reps!A:A,Dim_Reps!B:B)</f>
        <v>Milo Castro</v>
      </c>
      <c r="P5054" t="str">
        <f>_xlfn.XLOOKUP(Pipeline_tbl[[#This Row],[Rep_ID]],Dim_Reps!A:A,Dim_Reps!C:C)</f>
        <v>SDR / Inside Sales Rep</v>
      </c>
      <c r="Q5054" t="str">
        <f>_xlfn.XLOOKUP(Pipeline_tbl[[#This Row],[Rep_ID]],Dim_Reps!A:A,Dim_Reps!D:D)</f>
        <v>Inside Sales</v>
      </c>
      <c r="R5054" t="str">
        <f>_xlfn.XLOOKUP(Pipeline_tbl[[#This Row],[Rep_ID]],Dim_Reps!A:A,Dim_Reps!E:E)</f>
        <v>LATAM</v>
      </c>
      <c r="S5054" t="str">
        <f>_xlfn.XLOOKUP(Pipeline_tbl[[#This Row],[Created_Date]],Dim_Date!A:A,Dim_Date!H:H)</f>
        <v>Feb 2024</v>
      </c>
      <c r="T5054" t="str">
        <f>IF(Pipeline_tbl[[#This Row],[Closed_Date]]=0,"",(_xlfn.XLOOKUP(Pipeline_tbl[[#This Row],[Closed_Date]],Dim_Date!A:A,Dim_Date!H:H)))</f>
        <v>Mar 2024</v>
      </c>
      <c r="U5054">
        <f>IF(Pipeline_tbl[[#This Row],[Closed_Date]]=0,"",Pipeline_tbl[[#This Row],[Closed_Date]]-Pipeline_tbl[[#This Row],[Created_Date]])</f>
        <v>13</v>
      </c>
    </row>
    <row r="5055" spans="1:21" ht="15" customHeight="1" x14ac:dyDescent="0.2">
      <c r="A5055" t="s">
        <v>5361</v>
      </c>
      <c r="B5055" t="s">
        <v>235</v>
      </c>
      <c r="C5055" t="s">
        <v>56</v>
      </c>
      <c r="D5055" s="49">
        <v>45344</v>
      </c>
      <c r="E5055" s="49">
        <v>45346</v>
      </c>
      <c r="I5055" s="49">
        <v>45359</v>
      </c>
      <c r="J5055" t="s">
        <v>49</v>
      </c>
      <c r="K5055" s="33">
        <v>1900</v>
      </c>
      <c r="L5055" t="s">
        <v>62</v>
      </c>
      <c r="M5055" t="str">
        <f>_xlfn.XLOOKUP(Pipeline_tbl[[#This Row],[Rep_ID]],Dim_Reps!A:A,Dim_Reps!K:K)</f>
        <v>MXN</v>
      </c>
      <c r="N5055" s="33">
        <f>(_xlfn.XLOOKUP(Pipeline_tbl[[#This Row],[Rate_Code_Generalized]],Lookups!A:A,Lookups!B:B))*Pipeline_tbl[[#This Row],[Pipeline_Amount_USD]]</f>
        <v>37492.130000000005</v>
      </c>
      <c r="O5055" t="str">
        <f>_xlfn.XLOOKUP(Pipeline_tbl[[#This Row],[Rep_ID]],Dim_Reps!A:A,Dim_Reps!B:B)</f>
        <v>Milo Castro</v>
      </c>
      <c r="P5055" t="str">
        <f>_xlfn.XLOOKUP(Pipeline_tbl[[#This Row],[Rep_ID]],Dim_Reps!A:A,Dim_Reps!C:C)</f>
        <v>SDR / Inside Sales Rep</v>
      </c>
      <c r="Q5055" t="str">
        <f>_xlfn.XLOOKUP(Pipeline_tbl[[#This Row],[Rep_ID]],Dim_Reps!A:A,Dim_Reps!D:D)</f>
        <v>Inside Sales</v>
      </c>
      <c r="R5055" t="str">
        <f>_xlfn.XLOOKUP(Pipeline_tbl[[#This Row],[Rep_ID]],Dim_Reps!A:A,Dim_Reps!E:E)</f>
        <v>LATAM</v>
      </c>
      <c r="S5055" t="str">
        <f>_xlfn.XLOOKUP(Pipeline_tbl[[#This Row],[Created_Date]],Dim_Date!A:A,Dim_Date!H:H)</f>
        <v>Feb 2024</v>
      </c>
      <c r="T5055" t="str">
        <f>IF(Pipeline_tbl[[#This Row],[Closed_Date]]=0,"",(_xlfn.XLOOKUP(Pipeline_tbl[[#This Row],[Closed_Date]],Dim_Date!A:A,Dim_Date!H:H)))</f>
        <v>Mar 2024</v>
      </c>
      <c r="U5055">
        <f>IF(Pipeline_tbl[[#This Row],[Closed_Date]]=0,"",Pipeline_tbl[[#This Row],[Closed_Date]]-Pipeline_tbl[[#This Row],[Created_Date]])</f>
        <v>15</v>
      </c>
    </row>
    <row r="5056" spans="1:21" ht="15" customHeight="1" x14ac:dyDescent="0.2">
      <c r="A5056" t="s">
        <v>5362</v>
      </c>
      <c r="B5056" t="s">
        <v>235</v>
      </c>
      <c r="C5056" t="s">
        <v>53</v>
      </c>
      <c r="D5056" s="49">
        <v>45338</v>
      </c>
      <c r="E5056" s="49">
        <v>45340</v>
      </c>
      <c r="F5056" s="49">
        <v>45343</v>
      </c>
      <c r="G5056" s="49">
        <v>45348</v>
      </c>
      <c r="H5056" s="49">
        <v>45352</v>
      </c>
      <c r="I5056" s="49">
        <v>45354</v>
      </c>
      <c r="J5056" t="s">
        <v>47</v>
      </c>
      <c r="K5056" s="33">
        <v>2700</v>
      </c>
      <c r="M5056" t="str">
        <f>_xlfn.XLOOKUP(Pipeline_tbl[[#This Row],[Rep_ID]],Dim_Reps!A:A,Dim_Reps!K:K)</f>
        <v>MXN</v>
      </c>
      <c r="N5056" s="33">
        <f>(_xlfn.XLOOKUP(Pipeline_tbl[[#This Row],[Rate_Code_Generalized]],Lookups!A:A,Lookups!B:B))*Pipeline_tbl[[#This Row],[Pipeline_Amount_USD]]</f>
        <v>53278.29</v>
      </c>
      <c r="O5056" t="str">
        <f>_xlfn.XLOOKUP(Pipeline_tbl[[#This Row],[Rep_ID]],Dim_Reps!A:A,Dim_Reps!B:B)</f>
        <v>Milo Castro</v>
      </c>
      <c r="P5056" t="str">
        <f>_xlfn.XLOOKUP(Pipeline_tbl[[#This Row],[Rep_ID]],Dim_Reps!A:A,Dim_Reps!C:C)</f>
        <v>SDR / Inside Sales Rep</v>
      </c>
      <c r="Q5056" t="str">
        <f>_xlfn.XLOOKUP(Pipeline_tbl[[#This Row],[Rep_ID]],Dim_Reps!A:A,Dim_Reps!D:D)</f>
        <v>Inside Sales</v>
      </c>
      <c r="R5056" t="str">
        <f>_xlfn.XLOOKUP(Pipeline_tbl[[#This Row],[Rep_ID]],Dim_Reps!A:A,Dim_Reps!E:E)</f>
        <v>LATAM</v>
      </c>
      <c r="S5056" t="str">
        <f>_xlfn.XLOOKUP(Pipeline_tbl[[#This Row],[Created_Date]],Dim_Date!A:A,Dim_Date!H:H)</f>
        <v>Feb 2024</v>
      </c>
      <c r="T5056" t="str">
        <f>IF(Pipeline_tbl[[#This Row],[Closed_Date]]=0,"",(_xlfn.XLOOKUP(Pipeline_tbl[[#This Row],[Closed_Date]],Dim_Date!A:A,Dim_Date!H:H)))</f>
        <v>Mar 2024</v>
      </c>
      <c r="U5056">
        <f>IF(Pipeline_tbl[[#This Row],[Closed_Date]]=0,"",Pipeline_tbl[[#This Row],[Closed_Date]]-Pipeline_tbl[[#This Row],[Created_Date]])</f>
        <v>16</v>
      </c>
    </row>
    <row r="5057" spans="1:21" ht="15" customHeight="1" x14ac:dyDescent="0.2">
      <c r="A5057" t="s">
        <v>5363</v>
      </c>
      <c r="B5057" t="s">
        <v>284</v>
      </c>
      <c r="C5057" t="s">
        <v>52</v>
      </c>
      <c r="D5057" s="49">
        <v>45323</v>
      </c>
      <c r="E5057" s="49">
        <v>45326</v>
      </c>
      <c r="I5057" s="49">
        <v>45356</v>
      </c>
      <c r="J5057" t="s">
        <v>49</v>
      </c>
      <c r="K5057" s="33">
        <v>106600</v>
      </c>
      <c r="L5057" t="s">
        <v>60</v>
      </c>
      <c r="M5057" t="str">
        <f>_xlfn.XLOOKUP(Pipeline_tbl[[#This Row],[Rep_ID]],Dim_Reps!A:A,Dim_Reps!K:K)</f>
        <v>USD</v>
      </c>
      <c r="N5057" s="33">
        <f>(_xlfn.XLOOKUP(Pipeline_tbl[[#This Row],[Rate_Code_Generalized]],Lookups!A:A,Lookups!B:B))*Pipeline_tbl[[#This Row],[Pipeline_Amount_USD]]</f>
        <v>124114.37999999999</v>
      </c>
      <c r="O5057" t="str">
        <f>_xlfn.XLOOKUP(Pipeline_tbl[[#This Row],[Rep_ID]],Dim_Reps!A:A,Dim_Reps!B:B)</f>
        <v>Taylor Adler</v>
      </c>
      <c r="P5057" t="str">
        <f>_xlfn.XLOOKUP(Pipeline_tbl[[#This Row],[Rep_ID]],Dim_Reps!A:A,Dim_Reps!C:C)</f>
        <v>Senior Enterprise AE</v>
      </c>
      <c r="Q5057" t="str">
        <f>_xlfn.XLOOKUP(Pipeline_tbl[[#This Row],[Rep_ID]],Dim_Reps!A:A,Dim_Reps!D:D)</f>
        <v>Strategic</v>
      </c>
      <c r="R5057" t="str">
        <f>_xlfn.XLOOKUP(Pipeline_tbl[[#This Row],[Rep_ID]],Dim_Reps!A:A,Dim_Reps!E:E)</f>
        <v>NAMER</v>
      </c>
      <c r="S5057" t="str">
        <f>_xlfn.XLOOKUP(Pipeline_tbl[[#This Row],[Created_Date]],Dim_Date!A:A,Dim_Date!H:H)</f>
        <v>Feb 2024</v>
      </c>
      <c r="T5057" t="str">
        <f>IF(Pipeline_tbl[[#This Row],[Closed_Date]]=0,"",(_xlfn.XLOOKUP(Pipeline_tbl[[#This Row],[Closed_Date]],Dim_Date!A:A,Dim_Date!H:H)))</f>
        <v>Mar 2024</v>
      </c>
      <c r="U5057">
        <f>IF(Pipeline_tbl[[#This Row],[Closed_Date]]=0,"",Pipeline_tbl[[#This Row],[Closed_Date]]-Pipeline_tbl[[#This Row],[Created_Date]])</f>
        <v>33</v>
      </c>
    </row>
    <row r="5058" spans="1:21" ht="15" customHeight="1" x14ac:dyDescent="0.2">
      <c r="A5058" t="s">
        <v>5364</v>
      </c>
      <c r="B5058" t="s">
        <v>237</v>
      </c>
      <c r="C5058" t="s">
        <v>54</v>
      </c>
      <c r="D5058" s="49">
        <v>45345</v>
      </c>
      <c r="E5058" s="49">
        <v>45346</v>
      </c>
      <c r="F5058" s="49">
        <v>45349</v>
      </c>
      <c r="I5058" s="49">
        <v>45359</v>
      </c>
      <c r="J5058" t="s">
        <v>49</v>
      </c>
      <c r="K5058" s="33">
        <v>4300</v>
      </c>
      <c r="L5058" t="s">
        <v>60</v>
      </c>
      <c r="M5058" t="str">
        <f>_xlfn.XLOOKUP(Pipeline_tbl[[#This Row],[Rep_ID]],Dim_Reps!A:A,Dim_Reps!K:K)</f>
        <v>EUR</v>
      </c>
      <c r="N5058" s="33">
        <f>(_xlfn.XLOOKUP(Pipeline_tbl[[#This Row],[Rate_Code_Generalized]],Lookups!A:A,Lookups!B:B))*Pipeline_tbl[[#This Row],[Pipeline_Amount_USD]]</f>
        <v>4300</v>
      </c>
      <c r="O5058" t="str">
        <f>_xlfn.XLOOKUP(Pipeline_tbl[[#This Row],[Rep_ID]],Dim_Reps!A:A,Dim_Reps!B:B)</f>
        <v>Hugo Santos</v>
      </c>
      <c r="P5058" t="str">
        <f>_xlfn.XLOOKUP(Pipeline_tbl[[#This Row],[Rep_ID]],Dim_Reps!A:A,Dim_Reps!C:C)</f>
        <v>SDR / Inside Sales Rep</v>
      </c>
      <c r="Q5058" t="str">
        <f>_xlfn.XLOOKUP(Pipeline_tbl[[#This Row],[Rep_ID]],Dim_Reps!A:A,Dim_Reps!D:D)</f>
        <v>Inside Sales</v>
      </c>
      <c r="R5058" t="str">
        <f>_xlfn.XLOOKUP(Pipeline_tbl[[#This Row],[Rep_ID]],Dim_Reps!A:A,Dim_Reps!E:E)</f>
        <v>EMEA</v>
      </c>
      <c r="S5058" t="str">
        <f>_xlfn.XLOOKUP(Pipeline_tbl[[#This Row],[Created_Date]],Dim_Date!A:A,Dim_Date!H:H)</f>
        <v>Feb 2024</v>
      </c>
      <c r="T5058" t="str">
        <f>IF(Pipeline_tbl[[#This Row],[Closed_Date]]=0,"",(_xlfn.XLOOKUP(Pipeline_tbl[[#This Row],[Closed_Date]],Dim_Date!A:A,Dim_Date!H:H)))</f>
        <v>Mar 2024</v>
      </c>
      <c r="U5058">
        <f>IF(Pipeline_tbl[[#This Row],[Closed_Date]]=0,"",Pipeline_tbl[[#This Row],[Closed_Date]]-Pipeline_tbl[[#This Row],[Created_Date]])</f>
        <v>14</v>
      </c>
    </row>
    <row r="5059" spans="1:21" ht="15" customHeight="1" x14ac:dyDescent="0.2">
      <c r="A5059" t="s">
        <v>5365</v>
      </c>
      <c r="B5059" t="s">
        <v>237</v>
      </c>
      <c r="C5059" t="s">
        <v>52</v>
      </c>
      <c r="D5059" s="49">
        <v>45343</v>
      </c>
      <c r="E5059" s="49">
        <v>45345</v>
      </c>
      <c r="F5059" s="49">
        <v>45348</v>
      </c>
      <c r="G5059" s="49">
        <v>45352</v>
      </c>
      <c r="H5059" s="49">
        <v>45356</v>
      </c>
      <c r="I5059" s="49">
        <v>45358</v>
      </c>
      <c r="J5059" t="s">
        <v>49</v>
      </c>
      <c r="K5059" s="33">
        <v>1400</v>
      </c>
      <c r="L5059" t="s">
        <v>63</v>
      </c>
      <c r="M5059" t="str">
        <f>_xlfn.XLOOKUP(Pipeline_tbl[[#This Row],[Rep_ID]],Dim_Reps!A:A,Dim_Reps!K:K)</f>
        <v>EUR</v>
      </c>
      <c r="N5059" s="33">
        <f>(_xlfn.XLOOKUP(Pipeline_tbl[[#This Row],[Rate_Code_Generalized]],Lookups!A:A,Lookups!B:B))*Pipeline_tbl[[#This Row],[Pipeline_Amount_USD]]</f>
        <v>1400</v>
      </c>
      <c r="O5059" t="str">
        <f>_xlfn.XLOOKUP(Pipeline_tbl[[#This Row],[Rep_ID]],Dim_Reps!A:A,Dim_Reps!B:B)</f>
        <v>Hugo Santos</v>
      </c>
      <c r="P5059" t="str">
        <f>_xlfn.XLOOKUP(Pipeline_tbl[[#This Row],[Rep_ID]],Dim_Reps!A:A,Dim_Reps!C:C)</f>
        <v>SDR / Inside Sales Rep</v>
      </c>
      <c r="Q5059" t="str">
        <f>_xlfn.XLOOKUP(Pipeline_tbl[[#This Row],[Rep_ID]],Dim_Reps!A:A,Dim_Reps!D:D)</f>
        <v>Inside Sales</v>
      </c>
      <c r="R5059" t="str">
        <f>_xlfn.XLOOKUP(Pipeline_tbl[[#This Row],[Rep_ID]],Dim_Reps!A:A,Dim_Reps!E:E)</f>
        <v>EMEA</v>
      </c>
      <c r="S5059" t="str">
        <f>_xlfn.XLOOKUP(Pipeline_tbl[[#This Row],[Created_Date]],Dim_Date!A:A,Dim_Date!H:H)</f>
        <v>Feb 2024</v>
      </c>
      <c r="T5059" t="str">
        <f>IF(Pipeline_tbl[[#This Row],[Closed_Date]]=0,"",(_xlfn.XLOOKUP(Pipeline_tbl[[#This Row],[Closed_Date]],Dim_Date!A:A,Dim_Date!H:H)))</f>
        <v>Mar 2024</v>
      </c>
      <c r="U5059">
        <f>IF(Pipeline_tbl[[#This Row],[Closed_Date]]=0,"",Pipeline_tbl[[#This Row],[Closed_Date]]-Pipeline_tbl[[#This Row],[Created_Date]])</f>
        <v>15</v>
      </c>
    </row>
    <row r="5060" spans="1:21" ht="15" customHeight="1" x14ac:dyDescent="0.2">
      <c r="A5060" t="s">
        <v>5366</v>
      </c>
      <c r="B5060" t="s">
        <v>237</v>
      </c>
      <c r="C5060" t="s">
        <v>53</v>
      </c>
      <c r="D5060" s="49">
        <v>45348</v>
      </c>
      <c r="E5060" s="49">
        <v>45350</v>
      </c>
      <c r="F5060" s="49">
        <v>45355</v>
      </c>
      <c r="I5060" s="49">
        <v>45370</v>
      </c>
      <c r="J5060" t="s">
        <v>49</v>
      </c>
      <c r="K5060" s="33">
        <v>2700</v>
      </c>
      <c r="L5060" t="s">
        <v>61</v>
      </c>
      <c r="M5060" t="str">
        <f>_xlfn.XLOOKUP(Pipeline_tbl[[#This Row],[Rep_ID]],Dim_Reps!A:A,Dim_Reps!K:K)</f>
        <v>EUR</v>
      </c>
      <c r="N5060" s="33">
        <f>(_xlfn.XLOOKUP(Pipeline_tbl[[#This Row],[Rate_Code_Generalized]],Lookups!A:A,Lookups!B:B))*Pipeline_tbl[[#This Row],[Pipeline_Amount_USD]]</f>
        <v>2700</v>
      </c>
      <c r="O5060" t="str">
        <f>_xlfn.XLOOKUP(Pipeline_tbl[[#This Row],[Rep_ID]],Dim_Reps!A:A,Dim_Reps!B:B)</f>
        <v>Hugo Santos</v>
      </c>
      <c r="P5060" t="str">
        <f>_xlfn.XLOOKUP(Pipeline_tbl[[#This Row],[Rep_ID]],Dim_Reps!A:A,Dim_Reps!C:C)</f>
        <v>SDR / Inside Sales Rep</v>
      </c>
      <c r="Q5060" t="str">
        <f>_xlfn.XLOOKUP(Pipeline_tbl[[#This Row],[Rep_ID]],Dim_Reps!A:A,Dim_Reps!D:D)</f>
        <v>Inside Sales</v>
      </c>
      <c r="R5060" t="str">
        <f>_xlfn.XLOOKUP(Pipeline_tbl[[#This Row],[Rep_ID]],Dim_Reps!A:A,Dim_Reps!E:E)</f>
        <v>EMEA</v>
      </c>
      <c r="S5060" t="str">
        <f>_xlfn.XLOOKUP(Pipeline_tbl[[#This Row],[Created_Date]],Dim_Date!A:A,Dim_Date!H:H)</f>
        <v>Feb 2024</v>
      </c>
      <c r="T5060" t="str">
        <f>IF(Pipeline_tbl[[#This Row],[Closed_Date]]=0,"",(_xlfn.XLOOKUP(Pipeline_tbl[[#This Row],[Closed_Date]],Dim_Date!A:A,Dim_Date!H:H)))</f>
        <v>Mar 2024</v>
      </c>
      <c r="U5060">
        <f>IF(Pipeline_tbl[[#This Row],[Closed_Date]]=0,"",Pipeline_tbl[[#This Row],[Closed_Date]]-Pipeline_tbl[[#This Row],[Created_Date]])</f>
        <v>22</v>
      </c>
    </row>
    <row r="5061" spans="1:21" ht="15" customHeight="1" x14ac:dyDescent="0.2">
      <c r="A5061" t="s">
        <v>5367</v>
      </c>
      <c r="B5061" t="s">
        <v>237</v>
      </c>
      <c r="C5061" t="s">
        <v>53</v>
      </c>
      <c r="D5061" s="49">
        <v>45335</v>
      </c>
      <c r="E5061" s="49">
        <v>45337</v>
      </c>
      <c r="I5061" s="49">
        <v>45358</v>
      </c>
      <c r="J5061" t="s">
        <v>49</v>
      </c>
      <c r="K5061" s="33">
        <v>2300</v>
      </c>
      <c r="L5061" t="s">
        <v>63</v>
      </c>
      <c r="M5061" t="str">
        <f>_xlfn.XLOOKUP(Pipeline_tbl[[#This Row],[Rep_ID]],Dim_Reps!A:A,Dim_Reps!K:K)</f>
        <v>EUR</v>
      </c>
      <c r="N5061" s="33">
        <f>(_xlfn.XLOOKUP(Pipeline_tbl[[#This Row],[Rate_Code_Generalized]],Lookups!A:A,Lookups!B:B))*Pipeline_tbl[[#This Row],[Pipeline_Amount_USD]]</f>
        <v>2300</v>
      </c>
      <c r="O5061" t="str">
        <f>_xlfn.XLOOKUP(Pipeline_tbl[[#This Row],[Rep_ID]],Dim_Reps!A:A,Dim_Reps!B:B)</f>
        <v>Hugo Santos</v>
      </c>
      <c r="P5061" t="str">
        <f>_xlfn.XLOOKUP(Pipeline_tbl[[#This Row],[Rep_ID]],Dim_Reps!A:A,Dim_Reps!C:C)</f>
        <v>SDR / Inside Sales Rep</v>
      </c>
      <c r="Q5061" t="str">
        <f>_xlfn.XLOOKUP(Pipeline_tbl[[#This Row],[Rep_ID]],Dim_Reps!A:A,Dim_Reps!D:D)</f>
        <v>Inside Sales</v>
      </c>
      <c r="R5061" t="str">
        <f>_xlfn.XLOOKUP(Pipeline_tbl[[#This Row],[Rep_ID]],Dim_Reps!A:A,Dim_Reps!E:E)</f>
        <v>EMEA</v>
      </c>
      <c r="S5061" t="str">
        <f>_xlfn.XLOOKUP(Pipeline_tbl[[#This Row],[Created_Date]],Dim_Date!A:A,Dim_Date!H:H)</f>
        <v>Feb 2024</v>
      </c>
      <c r="T5061" t="str">
        <f>IF(Pipeline_tbl[[#This Row],[Closed_Date]]=0,"",(_xlfn.XLOOKUP(Pipeline_tbl[[#This Row],[Closed_Date]],Dim_Date!A:A,Dim_Date!H:H)))</f>
        <v>Mar 2024</v>
      </c>
      <c r="U5061">
        <f>IF(Pipeline_tbl[[#This Row],[Closed_Date]]=0,"",Pipeline_tbl[[#This Row],[Closed_Date]]-Pipeline_tbl[[#This Row],[Created_Date]])</f>
        <v>23</v>
      </c>
    </row>
    <row r="5062" spans="1:21" ht="15" customHeight="1" x14ac:dyDescent="0.2">
      <c r="A5062" t="s">
        <v>5368</v>
      </c>
      <c r="B5062" t="s">
        <v>237</v>
      </c>
      <c r="C5062" t="s">
        <v>52</v>
      </c>
      <c r="D5062" s="49">
        <v>45351</v>
      </c>
      <c r="E5062" s="49">
        <v>45353</v>
      </c>
      <c r="F5062" s="49">
        <v>45356</v>
      </c>
      <c r="G5062" s="49">
        <v>45361</v>
      </c>
      <c r="H5062" s="49">
        <v>45365</v>
      </c>
      <c r="I5062" s="49">
        <v>45368</v>
      </c>
      <c r="J5062" t="s">
        <v>49</v>
      </c>
      <c r="K5062" s="33">
        <v>2700</v>
      </c>
      <c r="L5062" t="s">
        <v>60</v>
      </c>
      <c r="M5062" t="str">
        <f>_xlfn.XLOOKUP(Pipeline_tbl[[#This Row],[Rep_ID]],Dim_Reps!A:A,Dim_Reps!K:K)</f>
        <v>EUR</v>
      </c>
      <c r="N5062" s="33">
        <f>(_xlfn.XLOOKUP(Pipeline_tbl[[#This Row],[Rate_Code_Generalized]],Lookups!A:A,Lookups!B:B))*Pipeline_tbl[[#This Row],[Pipeline_Amount_USD]]</f>
        <v>2700</v>
      </c>
      <c r="O5062" t="str">
        <f>_xlfn.XLOOKUP(Pipeline_tbl[[#This Row],[Rep_ID]],Dim_Reps!A:A,Dim_Reps!B:B)</f>
        <v>Hugo Santos</v>
      </c>
      <c r="P5062" t="str">
        <f>_xlfn.XLOOKUP(Pipeline_tbl[[#This Row],[Rep_ID]],Dim_Reps!A:A,Dim_Reps!C:C)</f>
        <v>SDR / Inside Sales Rep</v>
      </c>
      <c r="Q5062" t="str">
        <f>_xlfn.XLOOKUP(Pipeline_tbl[[#This Row],[Rep_ID]],Dim_Reps!A:A,Dim_Reps!D:D)</f>
        <v>Inside Sales</v>
      </c>
      <c r="R5062" t="str">
        <f>_xlfn.XLOOKUP(Pipeline_tbl[[#This Row],[Rep_ID]],Dim_Reps!A:A,Dim_Reps!E:E)</f>
        <v>EMEA</v>
      </c>
      <c r="S5062" t="str">
        <f>_xlfn.XLOOKUP(Pipeline_tbl[[#This Row],[Created_Date]],Dim_Date!A:A,Dim_Date!H:H)</f>
        <v>Feb 2024</v>
      </c>
      <c r="T5062" t="str">
        <f>IF(Pipeline_tbl[[#This Row],[Closed_Date]]=0,"",(_xlfn.XLOOKUP(Pipeline_tbl[[#This Row],[Closed_Date]],Dim_Date!A:A,Dim_Date!H:H)))</f>
        <v>Mar 2024</v>
      </c>
      <c r="U5062">
        <f>IF(Pipeline_tbl[[#This Row],[Closed_Date]]=0,"",Pipeline_tbl[[#This Row],[Closed_Date]]-Pipeline_tbl[[#This Row],[Created_Date]])</f>
        <v>17</v>
      </c>
    </row>
    <row r="5063" spans="1:21" ht="15" customHeight="1" x14ac:dyDescent="0.2">
      <c r="A5063" t="s">
        <v>5369</v>
      </c>
      <c r="B5063" t="s">
        <v>237</v>
      </c>
      <c r="C5063" t="s">
        <v>54</v>
      </c>
      <c r="D5063" s="49">
        <v>45343</v>
      </c>
      <c r="E5063" s="49">
        <v>45345</v>
      </c>
      <c r="I5063" s="49">
        <v>45365</v>
      </c>
      <c r="J5063" t="s">
        <v>49</v>
      </c>
      <c r="K5063" s="33">
        <v>1900</v>
      </c>
      <c r="L5063" t="s">
        <v>60</v>
      </c>
      <c r="M5063" t="str">
        <f>_xlfn.XLOOKUP(Pipeline_tbl[[#This Row],[Rep_ID]],Dim_Reps!A:A,Dim_Reps!K:K)</f>
        <v>EUR</v>
      </c>
      <c r="N5063" s="33">
        <f>(_xlfn.XLOOKUP(Pipeline_tbl[[#This Row],[Rate_Code_Generalized]],Lookups!A:A,Lookups!B:B))*Pipeline_tbl[[#This Row],[Pipeline_Amount_USD]]</f>
        <v>1900</v>
      </c>
      <c r="O5063" t="str">
        <f>_xlfn.XLOOKUP(Pipeline_tbl[[#This Row],[Rep_ID]],Dim_Reps!A:A,Dim_Reps!B:B)</f>
        <v>Hugo Santos</v>
      </c>
      <c r="P5063" t="str">
        <f>_xlfn.XLOOKUP(Pipeline_tbl[[#This Row],[Rep_ID]],Dim_Reps!A:A,Dim_Reps!C:C)</f>
        <v>SDR / Inside Sales Rep</v>
      </c>
      <c r="Q5063" t="str">
        <f>_xlfn.XLOOKUP(Pipeline_tbl[[#This Row],[Rep_ID]],Dim_Reps!A:A,Dim_Reps!D:D)</f>
        <v>Inside Sales</v>
      </c>
      <c r="R5063" t="str">
        <f>_xlfn.XLOOKUP(Pipeline_tbl[[#This Row],[Rep_ID]],Dim_Reps!A:A,Dim_Reps!E:E)</f>
        <v>EMEA</v>
      </c>
      <c r="S5063" t="str">
        <f>_xlfn.XLOOKUP(Pipeline_tbl[[#This Row],[Created_Date]],Dim_Date!A:A,Dim_Date!H:H)</f>
        <v>Feb 2024</v>
      </c>
      <c r="T5063" t="str">
        <f>IF(Pipeline_tbl[[#This Row],[Closed_Date]]=0,"",(_xlfn.XLOOKUP(Pipeline_tbl[[#This Row],[Closed_Date]],Dim_Date!A:A,Dim_Date!H:H)))</f>
        <v>Mar 2024</v>
      </c>
      <c r="U5063">
        <f>IF(Pipeline_tbl[[#This Row],[Closed_Date]]=0,"",Pipeline_tbl[[#This Row],[Closed_Date]]-Pipeline_tbl[[#This Row],[Created_Date]])</f>
        <v>22</v>
      </c>
    </row>
    <row r="5064" spans="1:21" ht="15" customHeight="1" x14ac:dyDescent="0.2">
      <c r="A5064" t="s">
        <v>5370</v>
      </c>
      <c r="B5064" t="s">
        <v>237</v>
      </c>
      <c r="C5064" t="s">
        <v>53</v>
      </c>
      <c r="D5064" s="49">
        <v>45347</v>
      </c>
      <c r="E5064" s="49">
        <v>45348</v>
      </c>
      <c r="F5064" s="49">
        <v>45351</v>
      </c>
      <c r="G5064" s="49">
        <v>45355</v>
      </c>
      <c r="I5064" s="49">
        <v>45360</v>
      </c>
      <c r="J5064" t="s">
        <v>49</v>
      </c>
      <c r="K5064" s="33">
        <v>5900</v>
      </c>
      <c r="L5064" t="s">
        <v>64</v>
      </c>
      <c r="M5064" t="str">
        <f>_xlfn.XLOOKUP(Pipeline_tbl[[#This Row],[Rep_ID]],Dim_Reps!A:A,Dim_Reps!K:K)</f>
        <v>EUR</v>
      </c>
      <c r="N5064" s="33">
        <f>(_xlfn.XLOOKUP(Pipeline_tbl[[#This Row],[Rate_Code_Generalized]],Lookups!A:A,Lookups!B:B))*Pipeline_tbl[[#This Row],[Pipeline_Amount_USD]]</f>
        <v>5900</v>
      </c>
      <c r="O5064" t="str">
        <f>_xlfn.XLOOKUP(Pipeline_tbl[[#This Row],[Rep_ID]],Dim_Reps!A:A,Dim_Reps!B:B)</f>
        <v>Hugo Santos</v>
      </c>
      <c r="P5064" t="str">
        <f>_xlfn.XLOOKUP(Pipeline_tbl[[#This Row],[Rep_ID]],Dim_Reps!A:A,Dim_Reps!C:C)</f>
        <v>SDR / Inside Sales Rep</v>
      </c>
      <c r="Q5064" t="str">
        <f>_xlfn.XLOOKUP(Pipeline_tbl[[#This Row],[Rep_ID]],Dim_Reps!A:A,Dim_Reps!D:D)</f>
        <v>Inside Sales</v>
      </c>
      <c r="R5064" t="str">
        <f>_xlfn.XLOOKUP(Pipeline_tbl[[#This Row],[Rep_ID]],Dim_Reps!A:A,Dim_Reps!E:E)</f>
        <v>EMEA</v>
      </c>
      <c r="S5064" t="str">
        <f>_xlfn.XLOOKUP(Pipeline_tbl[[#This Row],[Created_Date]],Dim_Date!A:A,Dim_Date!H:H)</f>
        <v>Feb 2024</v>
      </c>
      <c r="T5064" t="str">
        <f>IF(Pipeline_tbl[[#This Row],[Closed_Date]]=0,"",(_xlfn.XLOOKUP(Pipeline_tbl[[#This Row],[Closed_Date]],Dim_Date!A:A,Dim_Date!H:H)))</f>
        <v>Mar 2024</v>
      </c>
      <c r="U5064">
        <f>IF(Pipeline_tbl[[#This Row],[Closed_Date]]=0,"",Pipeline_tbl[[#This Row],[Closed_Date]]-Pipeline_tbl[[#This Row],[Created_Date]])</f>
        <v>13</v>
      </c>
    </row>
    <row r="5065" spans="1:21" ht="15" customHeight="1" x14ac:dyDescent="0.2">
      <c r="A5065" t="s">
        <v>5371</v>
      </c>
      <c r="B5065" t="s">
        <v>237</v>
      </c>
      <c r="C5065" t="s">
        <v>52</v>
      </c>
      <c r="D5065" s="49">
        <v>45340</v>
      </c>
      <c r="E5065" s="49">
        <v>45341</v>
      </c>
      <c r="F5065" s="49">
        <v>45344</v>
      </c>
      <c r="G5065" s="49">
        <v>45347</v>
      </c>
      <c r="H5065" s="49">
        <v>45350</v>
      </c>
      <c r="I5065" s="49">
        <v>45352</v>
      </c>
      <c r="J5065" t="s">
        <v>47</v>
      </c>
      <c r="K5065" s="33">
        <v>2900</v>
      </c>
      <c r="M5065" t="str">
        <f>_xlfn.XLOOKUP(Pipeline_tbl[[#This Row],[Rep_ID]],Dim_Reps!A:A,Dim_Reps!K:K)</f>
        <v>EUR</v>
      </c>
      <c r="N5065" s="33">
        <f>(_xlfn.XLOOKUP(Pipeline_tbl[[#This Row],[Rate_Code_Generalized]],Lookups!A:A,Lookups!B:B))*Pipeline_tbl[[#This Row],[Pipeline_Amount_USD]]</f>
        <v>2900</v>
      </c>
      <c r="O5065" t="str">
        <f>_xlfn.XLOOKUP(Pipeline_tbl[[#This Row],[Rep_ID]],Dim_Reps!A:A,Dim_Reps!B:B)</f>
        <v>Hugo Santos</v>
      </c>
      <c r="P5065" t="str">
        <f>_xlfn.XLOOKUP(Pipeline_tbl[[#This Row],[Rep_ID]],Dim_Reps!A:A,Dim_Reps!C:C)</f>
        <v>SDR / Inside Sales Rep</v>
      </c>
      <c r="Q5065" t="str">
        <f>_xlfn.XLOOKUP(Pipeline_tbl[[#This Row],[Rep_ID]],Dim_Reps!A:A,Dim_Reps!D:D)</f>
        <v>Inside Sales</v>
      </c>
      <c r="R5065" t="str">
        <f>_xlfn.XLOOKUP(Pipeline_tbl[[#This Row],[Rep_ID]],Dim_Reps!A:A,Dim_Reps!E:E)</f>
        <v>EMEA</v>
      </c>
      <c r="S5065" t="str">
        <f>_xlfn.XLOOKUP(Pipeline_tbl[[#This Row],[Created_Date]],Dim_Date!A:A,Dim_Date!H:H)</f>
        <v>Feb 2024</v>
      </c>
      <c r="T5065" t="str">
        <f>IF(Pipeline_tbl[[#This Row],[Closed_Date]]=0,"",(_xlfn.XLOOKUP(Pipeline_tbl[[#This Row],[Closed_Date]],Dim_Date!A:A,Dim_Date!H:H)))</f>
        <v>Mar 2024</v>
      </c>
      <c r="U5065">
        <f>IF(Pipeline_tbl[[#This Row],[Closed_Date]]=0,"",Pipeline_tbl[[#This Row],[Closed_Date]]-Pipeline_tbl[[#This Row],[Created_Date]])</f>
        <v>12</v>
      </c>
    </row>
    <row r="5066" spans="1:21" ht="15" customHeight="1" x14ac:dyDescent="0.2">
      <c r="A5066" t="s">
        <v>5372</v>
      </c>
      <c r="B5066" t="s">
        <v>237</v>
      </c>
      <c r="C5066" t="s">
        <v>53</v>
      </c>
      <c r="D5066" s="49">
        <v>45342</v>
      </c>
      <c r="E5066" s="49">
        <v>45343</v>
      </c>
      <c r="F5066" s="49">
        <v>45346</v>
      </c>
      <c r="G5066" s="49">
        <v>45349</v>
      </c>
      <c r="H5066" s="49">
        <v>45352</v>
      </c>
      <c r="I5066" s="49">
        <v>45354</v>
      </c>
      <c r="J5066" t="s">
        <v>47</v>
      </c>
      <c r="K5066" s="33">
        <v>4200</v>
      </c>
      <c r="M5066" t="str">
        <f>_xlfn.XLOOKUP(Pipeline_tbl[[#This Row],[Rep_ID]],Dim_Reps!A:A,Dim_Reps!K:K)</f>
        <v>EUR</v>
      </c>
      <c r="N5066" s="33">
        <f>(_xlfn.XLOOKUP(Pipeline_tbl[[#This Row],[Rate_Code_Generalized]],Lookups!A:A,Lookups!B:B))*Pipeline_tbl[[#This Row],[Pipeline_Amount_USD]]</f>
        <v>4200</v>
      </c>
      <c r="O5066" t="str">
        <f>_xlfn.XLOOKUP(Pipeline_tbl[[#This Row],[Rep_ID]],Dim_Reps!A:A,Dim_Reps!B:B)</f>
        <v>Hugo Santos</v>
      </c>
      <c r="P5066" t="str">
        <f>_xlfn.XLOOKUP(Pipeline_tbl[[#This Row],[Rep_ID]],Dim_Reps!A:A,Dim_Reps!C:C)</f>
        <v>SDR / Inside Sales Rep</v>
      </c>
      <c r="Q5066" t="str">
        <f>_xlfn.XLOOKUP(Pipeline_tbl[[#This Row],[Rep_ID]],Dim_Reps!A:A,Dim_Reps!D:D)</f>
        <v>Inside Sales</v>
      </c>
      <c r="R5066" t="str">
        <f>_xlfn.XLOOKUP(Pipeline_tbl[[#This Row],[Rep_ID]],Dim_Reps!A:A,Dim_Reps!E:E)</f>
        <v>EMEA</v>
      </c>
      <c r="S5066" t="str">
        <f>_xlfn.XLOOKUP(Pipeline_tbl[[#This Row],[Created_Date]],Dim_Date!A:A,Dim_Date!H:H)</f>
        <v>Feb 2024</v>
      </c>
      <c r="T5066" t="str">
        <f>IF(Pipeline_tbl[[#This Row],[Closed_Date]]=0,"",(_xlfn.XLOOKUP(Pipeline_tbl[[#This Row],[Closed_Date]],Dim_Date!A:A,Dim_Date!H:H)))</f>
        <v>Mar 2024</v>
      </c>
      <c r="U5066">
        <f>IF(Pipeline_tbl[[#This Row],[Closed_Date]]=0,"",Pipeline_tbl[[#This Row],[Closed_Date]]-Pipeline_tbl[[#This Row],[Created_Date]])</f>
        <v>12</v>
      </c>
    </row>
    <row r="5067" spans="1:21" ht="15" customHeight="1" x14ac:dyDescent="0.2">
      <c r="A5067" t="s">
        <v>5373</v>
      </c>
      <c r="B5067" t="s">
        <v>237</v>
      </c>
      <c r="C5067" t="s">
        <v>53</v>
      </c>
      <c r="D5067" s="49">
        <v>45342</v>
      </c>
      <c r="E5067" s="49">
        <v>45344</v>
      </c>
      <c r="F5067" s="49">
        <v>45347</v>
      </c>
      <c r="G5067" s="49">
        <v>45353</v>
      </c>
      <c r="H5067" s="49">
        <v>45357</v>
      </c>
      <c r="I5067" s="49">
        <v>45360</v>
      </c>
      <c r="J5067" t="s">
        <v>49</v>
      </c>
      <c r="K5067" s="33">
        <v>3000</v>
      </c>
      <c r="L5067" t="s">
        <v>64</v>
      </c>
      <c r="M5067" t="str">
        <f>_xlfn.XLOOKUP(Pipeline_tbl[[#This Row],[Rep_ID]],Dim_Reps!A:A,Dim_Reps!K:K)</f>
        <v>EUR</v>
      </c>
      <c r="N5067" s="33">
        <f>(_xlfn.XLOOKUP(Pipeline_tbl[[#This Row],[Rate_Code_Generalized]],Lookups!A:A,Lookups!B:B))*Pipeline_tbl[[#This Row],[Pipeline_Amount_USD]]</f>
        <v>3000</v>
      </c>
      <c r="O5067" t="str">
        <f>_xlfn.XLOOKUP(Pipeline_tbl[[#This Row],[Rep_ID]],Dim_Reps!A:A,Dim_Reps!B:B)</f>
        <v>Hugo Santos</v>
      </c>
      <c r="P5067" t="str">
        <f>_xlfn.XLOOKUP(Pipeline_tbl[[#This Row],[Rep_ID]],Dim_Reps!A:A,Dim_Reps!C:C)</f>
        <v>SDR / Inside Sales Rep</v>
      </c>
      <c r="Q5067" t="str">
        <f>_xlfn.XLOOKUP(Pipeline_tbl[[#This Row],[Rep_ID]],Dim_Reps!A:A,Dim_Reps!D:D)</f>
        <v>Inside Sales</v>
      </c>
      <c r="R5067" t="str">
        <f>_xlfn.XLOOKUP(Pipeline_tbl[[#This Row],[Rep_ID]],Dim_Reps!A:A,Dim_Reps!E:E)</f>
        <v>EMEA</v>
      </c>
      <c r="S5067" t="str">
        <f>_xlfn.XLOOKUP(Pipeline_tbl[[#This Row],[Created_Date]],Dim_Date!A:A,Dim_Date!H:H)</f>
        <v>Feb 2024</v>
      </c>
      <c r="T5067" t="str">
        <f>IF(Pipeline_tbl[[#This Row],[Closed_Date]]=0,"",(_xlfn.XLOOKUP(Pipeline_tbl[[#This Row],[Closed_Date]],Dim_Date!A:A,Dim_Date!H:H)))</f>
        <v>Mar 2024</v>
      </c>
      <c r="U5067">
        <f>IF(Pipeline_tbl[[#This Row],[Closed_Date]]=0,"",Pipeline_tbl[[#This Row],[Closed_Date]]-Pipeline_tbl[[#This Row],[Created_Date]])</f>
        <v>18</v>
      </c>
    </row>
    <row r="5068" spans="1:21" ht="15" customHeight="1" x14ac:dyDescent="0.2">
      <c r="A5068" t="s">
        <v>5374</v>
      </c>
      <c r="B5068" t="s">
        <v>269</v>
      </c>
      <c r="C5068" t="s">
        <v>55</v>
      </c>
      <c r="D5068" s="49">
        <v>45340</v>
      </c>
      <c r="E5068" s="49">
        <v>45343</v>
      </c>
      <c r="I5068" s="49">
        <v>45372</v>
      </c>
      <c r="J5068" t="s">
        <v>49</v>
      </c>
      <c r="K5068" s="33">
        <v>7200</v>
      </c>
      <c r="L5068" t="s">
        <v>63</v>
      </c>
      <c r="M5068" t="str">
        <f>_xlfn.XLOOKUP(Pipeline_tbl[[#This Row],[Rep_ID]],Dim_Reps!A:A,Dim_Reps!K:K)</f>
        <v>USD</v>
      </c>
      <c r="N5068" s="33">
        <f>(_xlfn.XLOOKUP(Pipeline_tbl[[#This Row],[Rate_Code_Generalized]],Lookups!A:A,Lookups!B:B))*Pipeline_tbl[[#This Row],[Pipeline_Amount_USD]]</f>
        <v>8382.9599999999991</v>
      </c>
      <c r="O5068" t="str">
        <f>_xlfn.XLOOKUP(Pipeline_tbl[[#This Row],[Rep_ID]],Dim_Reps!A:A,Dim_Reps!B:B)</f>
        <v>Morgan Rivera</v>
      </c>
      <c r="P5068" t="str">
        <f>_xlfn.XLOOKUP(Pipeline_tbl[[#This Row],[Rep_ID]],Dim_Reps!A:A,Dim_Reps!C:C)</f>
        <v>Mid-Market AE</v>
      </c>
      <c r="Q5068" t="str">
        <f>_xlfn.XLOOKUP(Pipeline_tbl[[#This Row],[Rep_ID]],Dim_Reps!A:A,Dim_Reps!D:D)</f>
        <v>Mid-Market</v>
      </c>
      <c r="R5068" t="str">
        <f>_xlfn.XLOOKUP(Pipeline_tbl[[#This Row],[Rep_ID]],Dim_Reps!A:A,Dim_Reps!E:E)</f>
        <v>NAMER</v>
      </c>
      <c r="S5068" t="str">
        <f>_xlfn.XLOOKUP(Pipeline_tbl[[#This Row],[Created_Date]],Dim_Date!A:A,Dim_Date!H:H)</f>
        <v>Feb 2024</v>
      </c>
      <c r="T5068" t="str">
        <f>IF(Pipeline_tbl[[#This Row],[Closed_Date]]=0,"",(_xlfn.XLOOKUP(Pipeline_tbl[[#This Row],[Closed_Date]],Dim_Date!A:A,Dim_Date!H:H)))</f>
        <v>Mar 2024</v>
      </c>
      <c r="U5068">
        <f>IF(Pipeline_tbl[[#This Row],[Closed_Date]]=0,"",Pipeline_tbl[[#This Row],[Closed_Date]]-Pipeline_tbl[[#This Row],[Created_Date]])</f>
        <v>32</v>
      </c>
    </row>
    <row r="5069" spans="1:21" ht="15" customHeight="1" x14ac:dyDescent="0.2">
      <c r="A5069" t="s">
        <v>5375</v>
      </c>
      <c r="B5069" t="s">
        <v>269</v>
      </c>
      <c r="C5069" t="s">
        <v>52</v>
      </c>
      <c r="D5069" s="49">
        <v>45335</v>
      </c>
      <c r="E5069" s="49">
        <v>45337</v>
      </c>
      <c r="F5069" s="49">
        <v>45340</v>
      </c>
      <c r="G5069" s="49">
        <v>45346</v>
      </c>
      <c r="I5069" s="49">
        <v>45353</v>
      </c>
      <c r="J5069" t="s">
        <v>49</v>
      </c>
      <c r="K5069" s="33">
        <v>11800</v>
      </c>
      <c r="L5069" t="s">
        <v>62</v>
      </c>
      <c r="M5069" t="str">
        <f>_xlfn.XLOOKUP(Pipeline_tbl[[#This Row],[Rep_ID]],Dim_Reps!A:A,Dim_Reps!K:K)</f>
        <v>USD</v>
      </c>
      <c r="N5069" s="33">
        <f>(_xlfn.XLOOKUP(Pipeline_tbl[[#This Row],[Rate_Code_Generalized]],Lookups!A:A,Lookups!B:B))*Pipeline_tbl[[#This Row],[Pipeline_Amount_USD]]</f>
        <v>13738.739999999998</v>
      </c>
      <c r="O5069" t="str">
        <f>_xlfn.XLOOKUP(Pipeline_tbl[[#This Row],[Rep_ID]],Dim_Reps!A:A,Dim_Reps!B:B)</f>
        <v>Morgan Rivera</v>
      </c>
      <c r="P5069" t="str">
        <f>_xlfn.XLOOKUP(Pipeline_tbl[[#This Row],[Rep_ID]],Dim_Reps!A:A,Dim_Reps!C:C)</f>
        <v>Mid-Market AE</v>
      </c>
      <c r="Q5069" t="str">
        <f>_xlfn.XLOOKUP(Pipeline_tbl[[#This Row],[Rep_ID]],Dim_Reps!A:A,Dim_Reps!D:D)</f>
        <v>Mid-Market</v>
      </c>
      <c r="R5069" t="str">
        <f>_xlfn.XLOOKUP(Pipeline_tbl[[#This Row],[Rep_ID]],Dim_Reps!A:A,Dim_Reps!E:E)</f>
        <v>NAMER</v>
      </c>
      <c r="S5069" t="str">
        <f>_xlfn.XLOOKUP(Pipeline_tbl[[#This Row],[Created_Date]],Dim_Date!A:A,Dim_Date!H:H)</f>
        <v>Feb 2024</v>
      </c>
      <c r="T5069" t="str">
        <f>IF(Pipeline_tbl[[#This Row],[Closed_Date]]=0,"",(_xlfn.XLOOKUP(Pipeline_tbl[[#This Row],[Closed_Date]],Dim_Date!A:A,Dim_Date!H:H)))</f>
        <v>Mar 2024</v>
      </c>
      <c r="U5069">
        <f>IF(Pipeline_tbl[[#This Row],[Closed_Date]]=0,"",Pipeline_tbl[[#This Row],[Closed_Date]]-Pipeline_tbl[[#This Row],[Created_Date]])</f>
        <v>18</v>
      </c>
    </row>
    <row r="5070" spans="1:21" ht="15" customHeight="1" x14ac:dyDescent="0.2">
      <c r="A5070" t="s">
        <v>5376</v>
      </c>
      <c r="B5070" t="s">
        <v>269</v>
      </c>
      <c r="C5070" t="s">
        <v>52</v>
      </c>
      <c r="D5070" s="49">
        <v>45335</v>
      </c>
      <c r="E5070" s="49">
        <v>45337</v>
      </c>
      <c r="F5070" s="49">
        <v>45341</v>
      </c>
      <c r="G5070" s="49">
        <v>45348</v>
      </c>
      <c r="H5070" s="49">
        <v>45353</v>
      </c>
      <c r="I5070" s="49">
        <v>45356</v>
      </c>
      <c r="J5070" t="s">
        <v>49</v>
      </c>
      <c r="K5070" s="33">
        <v>17800</v>
      </c>
      <c r="L5070" t="s">
        <v>64</v>
      </c>
      <c r="M5070" t="str">
        <f>_xlfn.XLOOKUP(Pipeline_tbl[[#This Row],[Rep_ID]],Dim_Reps!A:A,Dim_Reps!K:K)</f>
        <v>USD</v>
      </c>
      <c r="N5070" s="33">
        <f>(_xlfn.XLOOKUP(Pipeline_tbl[[#This Row],[Rate_Code_Generalized]],Lookups!A:A,Lookups!B:B))*Pipeline_tbl[[#This Row],[Pipeline_Amount_USD]]</f>
        <v>20724.539999999997</v>
      </c>
      <c r="O5070" t="str">
        <f>_xlfn.XLOOKUP(Pipeline_tbl[[#This Row],[Rep_ID]],Dim_Reps!A:A,Dim_Reps!B:B)</f>
        <v>Morgan Rivera</v>
      </c>
      <c r="P5070" t="str">
        <f>_xlfn.XLOOKUP(Pipeline_tbl[[#This Row],[Rep_ID]],Dim_Reps!A:A,Dim_Reps!C:C)</f>
        <v>Mid-Market AE</v>
      </c>
      <c r="Q5070" t="str">
        <f>_xlfn.XLOOKUP(Pipeline_tbl[[#This Row],[Rep_ID]],Dim_Reps!A:A,Dim_Reps!D:D)</f>
        <v>Mid-Market</v>
      </c>
      <c r="R5070" t="str">
        <f>_xlfn.XLOOKUP(Pipeline_tbl[[#This Row],[Rep_ID]],Dim_Reps!A:A,Dim_Reps!E:E)</f>
        <v>NAMER</v>
      </c>
      <c r="S5070" t="str">
        <f>_xlfn.XLOOKUP(Pipeline_tbl[[#This Row],[Created_Date]],Dim_Date!A:A,Dim_Date!H:H)</f>
        <v>Feb 2024</v>
      </c>
      <c r="T5070" t="str">
        <f>IF(Pipeline_tbl[[#This Row],[Closed_Date]]=0,"",(_xlfn.XLOOKUP(Pipeline_tbl[[#This Row],[Closed_Date]],Dim_Date!A:A,Dim_Date!H:H)))</f>
        <v>Mar 2024</v>
      </c>
      <c r="U5070">
        <f>IF(Pipeline_tbl[[#This Row],[Closed_Date]]=0,"",Pipeline_tbl[[#This Row],[Closed_Date]]-Pipeline_tbl[[#This Row],[Created_Date]])</f>
        <v>21</v>
      </c>
    </row>
    <row r="5071" spans="1:21" ht="15" customHeight="1" x14ac:dyDescent="0.2">
      <c r="A5071" t="s">
        <v>5377</v>
      </c>
      <c r="B5071" t="s">
        <v>271</v>
      </c>
      <c r="C5071" t="s">
        <v>55</v>
      </c>
      <c r="D5071" s="49">
        <v>45333</v>
      </c>
      <c r="E5071" s="49">
        <v>45336</v>
      </c>
      <c r="F5071" s="49">
        <v>45342</v>
      </c>
      <c r="G5071" s="49">
        <v>45351</v>
      </c>
      <c r="I5071" s="49">
        <v>45363</v>
      </c>
      <c r="J5071" t="s">
        <v>49</v>
      </c>
      <c r="K5071" s="33">
        <v>11400</v>
      </c>
      <c r="L5071" t="s">
        <v>62</v>
      </c>
      <c r="M5071" t="str">
        <f>_xlfn.XLOOKUP(Pipeline_tbl[[#This Row],[Rep_ID]],Dim_Reps!A:A,Dim_Reps!K:K)</f>
        <v>EUR</v>
      </c>
      <c r="N5071" s="33">
        <f>(_xlfn.XLOOKUP(Pipeline_tbl[[#This Row],[Rate_Code_Generalized]],Lookups!A:A,Lookups!B:B))*Pipeline_tbl[[#This Row],[Pipeline_Amount_USD]]</f>
        <v>11400</v>
      </c>
      <c r="O5071" t="str">
        <f>_xlfn.XLOOKUP(Pipeline_tbl[[#This Row],[Rep_ID]],Dim_Reps!A:A,Dim_Reps!B:B)</f>
        <v>Ivy Adler</v>
      </c>
      <c r="P5071" t="str">
        <f>_xlfn.XLOOKUP(Pipeline_tbl[[#This Row],[Rep_ID]],Dim_Reps!A:A,Dim_Reps!C:C)</f>
        <v>Mid-Market AE</v>
      </c>
      <c r="Q5071" t="str">
        <f>_xlfn.XLOOKUP(Pipeline_tbl[[#This Row],[Rep_ID]],Dim_Reps!A:A,Dim_Reps!D:D)</f>
        <v>Mid-Market</v>
      </c>
      <c r="R5071" t="str">
        <f>_xlfn.XLOOKUP(Pipeline_tbl[[#This Row],[Rep_ID]],Dim_Reps!A:A,Dim_Reps!E:E)</f>
        <v>APAC</v>
      </c>
      <c r="S5071" t="str">
        <f>_xlfn.XLOOKUP(Pipeline_tbl[[#This Row],[Created_Date]],Dim_Date!A:A,Dim_Date!H:H)</f>
        <v>Feb 2024</v>
      </c>
      <c r="T5071" t="str">
        <f>IF(Pipeline_tbl[[#This Row],[Closed_Date]]=0,"",(_xlfn.XLOOKUP(Pipeline_tbl[[#This Row],[Closed_Date]],Dim_Date!A:A,Dim_Date!H:H)))</f>
        <v>Mar 2024</v>
      </c>
      <c r="U5071">
        <f>IF(Pipeline_tbl[[#This Row],[Closed_Date]]=0,"",Pipeline_tbl[[#This Row],[Closed_Date]]-Pipeline_tbl[[#This Row],[Created_Date]])</f>
        <v>30</v>
      </c>
    </row>
    <row r="5072" spans="1:21" ht="15" customHeight="1" x14ac:dyDescent="0.2">
      <c r="A5072" t="s">
        <v>5378</v>
      </c>
      <c r="B5072" t="s">
        <v>271</v>
      </c>
      <c r="C5072" t="s">
        <v>54</v>
      </c>
      <c r="D5072" s="49">
        <v>45339</v>
      </c>
      <c r="E5072" s="49">
        <v>45343</v>
      </c>
      <c r="F5072" s="49">
        <v>45351</v>
      </c>
      <c r="G5072" s="49">
        <v>45362</v>
      </c>
      <c r="I5072" s="49">
        <v>45378</v>
      </c>
      <c r="J5072" t="s">
        <v>49</v>
      </c>
      <c r="K5072" s="33">
        <v>11500</v>
      </c>
      <c r="L5072" t="s">
        <v>62</v>
      </c>
      <c r="M5072" t="str">
        <f>_xlfn.XLOOKUP(Pipeline_tbl[[#This Row],[Rep_ID]],Dim_Reps!A:A,Dim_Reps!K:K)</f>
        <v>EUR</v>
      </c>
      <c r="N5072" s="33">
        <f>(_xlfn.XLOOKUP(Pipeline_tbl[[#This Row],[Rate_Code_Generalized]],Lookups!A:A,Lookups!B:B))*Pipeline_tbl[[#This Row],[Pipeline_Amount_USD]]</f>
        <v>11500</v>
      </c>
      <c r="O5072" t="str">
        <f>_xlfn.XLOOKUP(Pipeline_tbl[[#This Row],[Rep_ID]],Dim_Reps!A:A,Dim_Reps!B:B)</f>
        <v>Ivy Adler</v>
      </c>
      <c r="P5072" t="str">
        <f>_xlfn.XLOOKUP(Pipeline_tbl[[#This Row],[Rep_ID]],Dim_Reps!A:A,Dim_Reps!C:C)</f>
        <v>Mid-Market AE</v>
      </c>
      <c r="Q5072" t="str">
        <f>_xlfn.XLOOKUP(Pipeline_tbl[[#This Row],[Rep_ID]],Dim_Reps!A:A,Dim_Reps!D:D)</f>
        <v>Mid-Market</v>
      </c>
      <c r="R5072" t="str">
        <f>_xlfn.XLOOKUP(Pipeline_tbl[[#This Row],[Rep_ID]],Dim_Reps!A:A,Dim_Reps!E:E)</f>
        <v>APAC</v>
      </c>
      <c r="S5072" t="str">
        <f>_xlfn.XLOOKUP(Pipeline_tbl[[#This Row],[Created_Date]],Dim_Date!A:A,Dim_Date!H:H)</f>
        <v>Feb 2024</v>
      </c>
      <c r="T5072" t="str">
        <f>IF(Pipeline_tbl[[#This Row],[Closed_Date]]=0,"",(_xlfn.XLOOKUP(Pipeline_tbl[[#This Row],[Closed_Date]],Dim_Date!A:A,Dim_Date!H:H)))</f>
        <v>Mar 2024</v>
      </c>
      <c r="U5072">
        <f>IF(Pipeline_tbl[[#This Row],[Closed_Date]]=0,"",Pipeline_tbl[[#This Row],[Closed_Date]]-Pipeline_tbl[[#This Row],[Created_Date]])</f>
        <v>39</v>
      </c>
    </row>
    <row r="5073" spans="1:21" ht="15" customHeight="1" x14ac:dyDescent="0.2">
      <c r="A5073" t="s">
        <v>5379</v>
      </c>
      <c r="B5073" t="s">
        <v>271</v>
      </c>
      <c r="C5073" t="s">
        <v>55</v>
      </c>
      <c r="D5073" s="49">
        <v>45335</v>
      </c>
      <c r="E5073" s="49">
        <v>45339</v>
      </c>
      <c r="F5073" s="49">
        <v>45347</v>
      </c>
      <c r="G5073" s="49">
        <v>45359</v>
      </c>
      <c r="I5073" s="49">
        <v>45375</v>
      </c>
      <c r="J5073" t="s">
        <v>49</v>
      </c>
      <c r="K5073" s="33">
        <v>14200</v>
      </c>
      <c r="L5073" t="s">
        <v>60</v>
      </c>
      <c r="M5073" t="str">
        <f>_xlfn.XLOOKUP(Pipeline_tbl[[#This Row],[Rep_ID]],Dim_Reps!A:A,Dim_Reps!K:K)</f>
        <v>EUR</v>
      </c>
      <c r="N5073" s="33">
        <f>(_xlfn.XLOOKUP(Pipeline_tbl[[#This Row],[Rate_Code_Generalized]],Lookups!A:A,Lookups!B:B))*Pipeline_tbl[[#This Row],[Pipeline_Amount_USD]]</f>
        <v>14200</v>
      </c>
      <c r="O5073" t="str">
        <f>_xlfn.XLOOKUP(Pipeline_tbl[[#This Row],[Rep_ID]],Dim_Reps!A:A,Dim_Reps!B:B)</f>
        <v>Ivy Adler</v>
      </c>
      <c r="P5073" t="str">
        <f>_xlfn.XLOOKUP(Pipeline_tbl[[#This Row],[Rep_ID]],Dim_Reps!A:A,Dim_Reps!C:C)</f>
        <v>Mid-Market AE</v>
      </c>
      <c r="Q5073" t="str">
        <f>_xlfn.XLOOKUP(Pipeline_tbl[[#This Row],[Rep_ID]],Dim_Reps!A:A,Dim_Reps!D:D)</f>
        <v>Mid-Market</v>
      </c>
      <c r="R5073" t="str">
        <f>_xlfn.XLOOKUP(Pipeline_tbl[[#This Row],[Rep_ID]],Dim_Reps!A:A,Dim_Reps!E:E)</f>
        <v>APAC</v>
      </c>
      <c r="S5073" t="str">
        <f>_xlfn.XLOOKUP(Pipeline_tbl[[#This Row],[Created_Date]],Dim_Date!A:A,Dim_Date!H:H)</f>
        <v>Feb 2024</v>
      </c>
      <c r="T5073" t="str">
        <f>IF(Pipeline_tbl[[#This Row],[Closed_Date]]=0,"",(_xlfn.XLOOKUP(Pipeline_tbl[[#This Row],[Closed_Date]],Dim_Date!A:A,Dim_Date!H:H)))</f>
        <v>Mar 2024</v>
      </c>
      <c r="U5073">
        <f>IF(Pipeline_tbl[[#This Row],[Closed_Date]]=0,"",Pipeline_tbl[[#This Row],[Closed_Date]]-Pipeline_tbl[[#This Row],[Created_Date]])</f>
        <v>40</v>
      </c>
    </row>
    <row r="5074" spans="1:21" ht="15" customHeight="1" x14ac:dyDescent="0.2">
      <c r="A5074" t="s">
        <v>5380</v>
      </c>
      <c r="B5074" t="s">
        <v>271</v>
      </c>
      <c r="C5074" t="s">
        <v>52</v>
      </c>
      <c r="D5074" s="49">
        <v>45336</v>
      </c>
      <c r="E5074" s="49">
        <v>45340</v>
      </c>
      <c r="F5074" s="49">
        <v>45349</v>
      </c>
      <c r="G5074" s="49">
        <v>45362</v>
      </c>
      <c r="H5074" s="49">
        <v>45373</v>
      </c>
      <c r="I5074" s="49">
        <v>45380</v>
      </c>
      <c r="J5074" t="s">
        <v>49</v>
      </c>
      <c r="K5074" s="33">
        <v>9300</v>
      </c>
      <c r="L5074" t="s">
        <v>63</v>
      </c>
      <c r="M5074" t="str">
        <f>_xlfn.XLOOKUP(Pipeline_tbl[[#This Row],[Rep_ID]],Dim_Reps!A:A,Dim_Reps!K:K)</f>
        <v>EUR</v>
      </c>
      <c r="N5074" s="33">
        <f>(_xlfn.XLOOKUP(Pipeline_tbl[[#This Row],[Rate_Code_Generalized]],Lookups!A:A,Lookups!B:B))*Pipeline_tbl[[#This Row],[Pipeline_Amount_USD]]</f>
        <v>9300</v>
      </c>
      <c r="O5074" t="str">
        <f>_xlfn.XLOOKUP(Pipeline_tbl[[#This Row],[Rep_ID]],Dim_Reps!A:A,Dim_Reps!B:B)</f>
        <v>Ivy Adler</v>
      </c>
      <c r="P5074" t="str">
        <f>_xlfn.XLOOKUP(Pipeline_tbl[[#This Row],[Rep_ID]],Dim_Reps!A:A,Dim_Reps!C:C)</f>
        <v>Mid-Market AE</v>
      </c>
      <c r="Q5074" t="str">
        <f>_xlfn.XLOOKUP(Pipeline_tbl[[#This Row],[Rep_ID]],Dim_Reps!A:A,Dim_Reps!D:D)</f>
        <v>Mid-Market</v>
      </c>
      <c r="R5074" t="str">
        <f>_xlfn.XLOOKUP(Pipeline_tbl[[#This Row],[Rep_ID]],Dim_Reps!A:A,Dim_Reps!E:E)</f>
        <v>APAC</v>
      </c>
      <c r="S5074" t="str">
        <f>_xlfn.XLOOKUP(Pipeline_tbl[[#This Row],[Created_Date]],Dim_Date!A:A,Dim_Date!H:H)</f>
        <v>Feb 2024</v>
      </c>
      <c r="T5074" t="str">
        <f>IF(Pipeline_tbl[[#This Row],[Closed_Date]]=0,"",(_xlfn.XLOOKUP(Pipeline_tbl[[#This Row],[Closed_Date]],Dim_Date!A:A,Dim_Date!H:H)))</f>
        <v>Mar 2024</v>
      </c>
      <c r="U5074">
        <f>IF(Pipeline_tbl[[#This Row],[Closed_Date]]=0,"",Pipeline_tbl[[#This Row],[Closed_Date]]-Pipeline_tbl[[#This Row],[Created_Date]])</f>
        <v>44</v>
      </c>
    </row>
    <row r="5075" spans="1:21" ht="15" customHeight="1" x14ac:dyDescent="0.2">
      <c r="A5075" t="s">
        <v>5381</v>
      </c>
      <c r="B5075" t="s">
        <v>241</v>
      </c>
      <c r="C5075" t="s">
        <v>56</v>
      </c>
      <c r="D5075" s="49">
        <v>45343</v>
      </c>
      <c r="E5075" s="49">
        <v>45344</v>
      </c>
      <c r="F5075" s="49">
        <v>45347</v>
      </c>
      <c r="G5075" s="49">
        <v>45351</v>
      </c>
      <c r="H5075" s="49">
        <v>45354</v>
      </c>
      <c r="I5075" s="49">
        <v>45356</v>
      </c>
      <c r="J5075" t="s">
        <v>47</v>
      </c>
      <c r="K5075" s="33">
        <v>2400</v>
      </c>
      <c r="M5075" t="str">
        <f>_xlfn.XLOOKUP(Pipeline_tbl[[#This Row],[Rep_ID]],Dim_Reps!A:A,Dim_Reps!K:K)</f>
        <v>EUR</v>
      </c>
      <c r="N5075" s="33">
        <f>(_xlfn.XLOOKUP(Pipeline_tbl[[#This Row],[Rate_Code_Generalized]],Lookups!A:A,Lookups!B:B))*Pipeline_tbl[[#This Row],[Pipeline_Amount_USD]]</f>
        <v>2400</v>
      </c>
      <c r="O5075" t="str">
        <f>_xlfn.XLOOKUP(Pipeline_tbl[[#This Row],[Rep_ID]],Dim_Reps!A:A,Dim_Reps!B:B)</f>
        <v>Kenji Weber</v>
      </c>
      <c r="P5075" t="str">
        <f>_xlfn.XLOOKUP(Pipeline_tbl[[#This Row],[Rep_ID]],Dim_Reps!A:A,Dim_Reps!C:C)</f>
        <v>SDR / Inside Sales Rep</v>
      </c>
      <c r="Q5075" t="str">
        <f>_xlfn.XLOOKUP(Pipeline_tbl[[#This Row],[Rep_ID]],Dim_Reps!A:A,Dim_Reps!D:D)</f>
        <v>Inside Sales</v>
      </c>
      <c r="R5075" t="str">
        <f>_xlfn.XLOOKUP(Pipeline_tbl[[#This Row],[Rep_ID]],Dim_Reps!A:A,Dim_Reps!E:E)</f>
        <v>APAC</v>
      </c>
      <c r="S5075" t="str">
        <f>_xlfn.XLOOKUP(Pipeline_tbl[[#This Row],[Created_Date]],Dim_Date!A:A,Dim_Date!H:H)</f>
        <v>Feb 2024</v>
      </c>
      <c r="T5075" t="str">
        <f>IF(Pipeline_tbl[[#This Row],[Closed_Date]]=0,"",(_xlfn.XLOOKUP(Pipeline_tbl[[#This Row],[Closed_Date]],Dim_Date!A:A,Dim_Date!H:H)))</f>
        <v>Mar 2024</v>
      </c>
      <c r="U5075">
        <f>IF(Pipeline_tbl[[#This Row],[Closed_Date]]=0,"",Pipeline_tbl[[#This Row],[Closed_Date]]-Pipeline_tbl[[#This Row],[Created_Date]])</f>
        <v>13</v>
      </c>
    </row>
    <row r="5076" spans="1:21" ht="15" customHeight="1" x14ac:dyDescent="0.2">
      <c r="A5076" t="s">
        <v>5382</v>
      </c>
      <c r="B5076" t="s">
        <v>241</v>
      </c>
      <c r="C5076" t="s">
        <v>56</v>
      </c>
      <c r="D5076" s="49">
        <v>45342</v>
      </c>
      <c r="E5076" s="49">
        <v>45343</v>
      </c>
      <c r="F5076" s="49">
        <v>45346</v>
      </c>
      <c r="G5076" s="49">
        <v>45349</v>
      </c>
      <c r="I5076" s="49">
        <v>45354</v>
      </c>
      <c r="J5076" t="s">
        <v>49</v>
      </c>
      <c r="K5076" s="33">
        <v>6100</v>
      </c>
      <c r="L5076" t="s">
        <v>63</v>
      </c>
      <c r="M5076" t="str">
        <f>_xlfn.XLOOKUP(Pipeline_tbl[[#This Row],[Rep_ID]],Dim_Reps!A:A,Dim_Reps!K:K)</f>
        <v>EUR</v>
      </c>
      <c r="N5076" s="33">
        <f>(_xlfn.XLOOKUP(Pipeline_tbl[[#This Row],[Rate_Code_Generalized]],Lookups!A:A,Lookups!B:B))*Pipeline_tbl[[#This Row],[Pipeline_Amount_USD]]</f>
        <v>6100</v>
      </c>
      <c r="O5076" t="str">
        <f>_xlfn.XLOOKUP(Pipeline_tbl[[#This Row],[Rep_ID]],Dim_Reps!A:A,Dim_Reps!B:B)</f>
        <v>Kenji Weber</v>
      </c>
      <c r="P5076" t="str">
        <f>_xlfn.XLOOKUP(Pipeline_tbl[[#This Row],[Rep_ID]],Dim_Reps!A:A,Dim_Reps!C:C)</f>
        <v>SDR / Inside Sales Rep</v>
      </c>
      <c r="Q5076" t="str">
        <f>_xlfn.XLOOKUP(Pipeline_tbl[[#This Row],[Rep_ID]],Dim_Reps!A:A,Dim_Reps!D:D)</f>
        <v>Inside Sales</v>
      </c>
      <c r="R5076" t="str">
        <f>_xlfn.XLOOKUP(Pipeline_tbl[[#This Row],[Rep_ID]],Dim_Reps!A:A,Dim_Reps!E:E)</f>
        <v>APAC</v>
      </c>
      <c r="S5076" t="str">
        <f>_xlfn.XLOOKUP(Pipeline_tbl[[#This Row],[Created_Date]],Dim_Date!A:A,Dim_Date!H:H)</f>
        <v>Feb 2024</v>
      </c>
      <c r="T5076" t="str">
        <f>IF(Pipeline_tbl[[#This Row],[Closed_Date]]=0,"",(_xlfn.XLOOKUP(Pipeline_tbl[[#This Row],[Closed_Date]],Dim_Date!A:A,Dim_Date!H:H)))</f>
        <v>Mar 2024</v>
      </c>
      <c r="U5076">
        <f>IF(Pipeline_tbl[[#This Row],[Closed_Date]]=0,"",Pipeline_tbl[[#This Row],[Closed_Date]]-Pipeline_tbl[[#This Row],[Created_Date]])</f>
        <v>12</v>
      </c>
    </row>
    <row r="5077" spans="1:21" ht="15" customHeight="1" x14ac:dyDescent="0.2">
      <c r="A5077" t="s">
        <v>5383</v>
      </c>
      <c r="B5077" t="s">
        <v>241</v>
      </c>
      <c r="C5077" t="s">
        <v>52</v>
      </c>
      <c r="D5077" s="49">
        <v>45342</v>
      </c>
      <c r="E5077" s="49">
        <v>45343</v>
      </c>
      <c r="F5077" s="49">
        <v>45345</v>
      </c>
      <c r="I5077" s="49">
        <v>45352</v>
      </c>
      <c r="J5077" t="s">
        <v>49</v>
      </c>
      <c r="K5077" s="33">
        <v>3500</v>
      </c>
      <c r="L5077" t="s">
        <v>64</v>
      </c>
      <c r="M5077" t="str">
        <f>_xlfn.XLOOKUP(Pipeline_tbl[[#This Row],[Rep_ID]],Dim_Reps!A:A,Dim_Reps!K:K)</f>
        <v>EUR</v>
      </c>
      <c r="N5077" s="33">
        <f>(_xlfn.XLOOKUP(Pipeline_tbl[[#This Row],[Rate_Code_Generalized]],Lookups!A:A,Lookups!B:B))*Pipeline_tbl[[#This Row],[Pipeline_Amount_USD]]</f>
        <v>3500</v>
      </c>
      <c r="O5077" t="str">
        <f>_xlfn.XLOOKUP(Pipeline_tbl[[#This Row],[Rep_ID]],Dim_Reps!A:A,Dim_Reps!B:B)</f>
        <v>Kenji Weber</v>
      </c>
      <c r="P5077" t="str">
        <f>_xlfn.XLOOKUP(Pipeline_tbl[[#This Row],[Rep_ID]],Dim_Reps!A:A,Dim_Reps!C:C)</f>
        <v>SDR / Inside Sales Rep</v>
      </c>
      <c r="Q5077" t="str">
        <f>_xlfn.XLOOKUP(Pipeline_tbl[[#This Row],[Rep_ID]],Dim_Reps!A:A,Dim_Reps!D:D)</f>
        <v>Inside Sales</v>
      </c>
      <c r="R5077" t="str">
        <f>_xlfn.XLOOKUP(Pipeline_tbl[[#This Row],[Rep_ID]],Dim_Reps!A:A,Dim_Reps!E:E)</f>
        <v>APAC</v>
      </c>
      <c r="S5077" t="str">
        <f>_xlfn.XLOOKUP(Pipeline_tbl[[#This Row],[Created_Date]],Dim_Date!A:A,Dim_Date!H:H)</f>
        <v>Feb 2024</v>
      </c>
      <c r="T5077" t="str">
        <f>IF(Pipeline_tbl[[#This Row],[Closed_Date]]=0,"",(_xlfn.XLOOKUP(Pipeline_tbl[[#This Row],[Closed_Date]],Dim_Date!A:A,Dim_Date!H:H)))</f>
        <v>Mar 2024</v>
      </c>
      <c r="U5077">
        <f>IF(Pipeline_tbl[[#This Row],[Closed_Date]]=0,"",Pipeline_tbl[[#This Row],[Closed_Date]]-Pipeline_tbl[[#This Row],[Created_Date]])</f>
        <v>10</v>
      </c>
    </row>
    <row r="5078" spans="1:21" ht="15" customHeight="1" x14ac:dyDescent="0.2">
      <c r="A5078" t="s">
        <v>5384</v>
      </c>
      <c r="B5078" t="s">
        <v>241</v>
      </c>
      <c r="C5078" t="s">
        <v>52</v>
      </c>
      <c r="D5078" s="49">
        <v>45330</v>
      </c>
      <c r="E5078" s="49">
        <v>45333</v>
      </c>
      <c r="F5078" s="49">
        <v>45339</v>
      </c>
      <c r="G5078" s="49">
        <v>45349</v>
      </c>
      <c r="H5078" s="49">
        <v>45356</v>
      </c>
      <c r="I5078" s="49">
        <v>45361</v>
      </c>
      <c r="J5078" t="s">
        <v>47</v>
      </c>
      <c r="K5078" s="33">
        <v>2600</v>
      </c>
      <c r="M5078" t="str">
        <f>_xlfn.XLOOKUP(Pipeline_tbl[[#This Row],[Rep_ID]],Dim_Reps!A:A,Dim_Reps!K:K)</f>
        <v>EUR</v>
      </c>
      <c r="N5078" s="33">
        <f>(_xlfn.XLOOKUP(Pipeline_tbl[[#This Row],[Rate_Code_Generalized]],Lookups!A:A,Lookups!B:B))*Pipeline_tbl[[#This Row],[Pipeline_Amount_USD]]</f>
        <v>2600</v>
      </c>
      <c r="O5078" t="str">
        <f>_xlfn.XLOOKUP(Pipeline_tbl[[#This Row],[Rep_ID]],Dim_Reps!A:A,Dim_Reps!B:B)</f>
        <v>Kenji Weber</v>
      </c>
      <c r="P5078" t="str">
        <f>_xlfn.XLOOKUP(Pipeline_tbl[[#This Row],[Rep_ID]],Dim_Reps!A:A,Dim_Reps!C:C)</f>
        <v>SDR / Inside Sales Rep</v>
      </c>
      <c r="Q5078" t="str">
        <f>_xlfn.XLOOKUP(Pipeline_tbl[[#This Row],[Rep_ID]],Dim_Reps!A:A,Dim_Reps!D:D)</f>
        <v>Inside Sales</v>
      </c>
      <c r="R5078" t="str">
        <f>_xlfn.XLOOKUP(Pipeline_tbl[[#This Row],[Rep_ID]],Dim_Reps!A:A,Dim_Reps!E:E)</f>
        <v>APAC</v>
      </c>
      <c r="S5078" t="str">
        <f>_xlfn.XLOOKUP(Pipeline_tbl[[#This Row],[Created_Date]],Dim_Date!A:A,Dim_Date!H:H)</f>
        <v>Feb 2024</v>
      </c>
      <c r="T5078" t="str">
        <f>IF(Pipeline_tbl[[#This Row],[Closed_Date]]=0,"",(_xlfn.XLOOKUP(Pipeline_tbl[[#This Row],[Closed_Date]],Dim_Date!A:A,Dim_Date!H:H)))</f>
        <v>Mar 2024</v>
      </c>
      <c r="U5078">
        <f>IF(Pipeline_tbl[[#This Row],[Closed_Date]]=0,"",Pipeline_tbl[[#This Row],[Closed_Date]]-Pipeline_tbl[[#This Row],[Created_Date]])</f>
        <v>31</v>
      </c>
    </row>
    <row r="5079" spans="1:21" ht="15" customHeight="1" x14ac:dyDescent="0.2">
      <c r="A5079" t="s">
        <v>5385</v>
      </c>
      <c r="B5079" t="s">
        <v>241</v>
      </c>
      <c r="C5079" t="s">
        <v>54</v>
      </c>
      <c r="D5079" s="49">
        <v>45344</v>
      </c>
      <c r="E5079" s="49">
        <v>45346</v>
      </c>
      <c r="F5079" s="49">
        <v>45351</v>
      </c>
      <c r="G5079" s="49">
        <v>45357</v>
      </c>
      <c r="H5079" s="49">
        <v>45363</v>
      </c>
      <c r="I5079" s="49">
        <v>45366</v>
      </c>
      <c r="J5079" t="s">
        <v>47</v>
      </c>
      <c r="K5079" s="33">
        <v>6000</v>
      </c>
      <c r="M5079" t="str">
        <f>_xlfn.XLOOKUP(Pipeline_tbl[[#This Row],[Rep_ID]],Dim_Reps!A:A,Dim_Reps!K:K)</f>
        <v>EUR</v>
      </c>
      <c r="N5079" s="33">
        <f>(_xlfn.XLOOKUP(Pipeline_tbl[[#This Row],[Rate_Code_Generalized]],Lookups!A:A,Lookups!B:B))*Pipeline_tbl[[#This Row],[Pipeline_Amount_USD]]</f>
        <v>6000</v>
      </c>
      <c r="O5079" t="str">
        <f>_xlfn.XLOOKUP(Pipeline_tbl[[#This Row],[Rep_ID]],Dim_Reps!A:A,Dim_Reps!B:B)</f>
        <v>Kenji Weber</v>
      </c>
      <c r="P5079" t="str">
        <f>_xlfn.XLOOKUP(Pipeline_tbl[[#This Row],[Rep_ID]],Dim_Reps!A:A,Dim_Reps!C:C)</f>
        <v>SDR / Inside Sales Rep</v>
      </c>
      <c r="Q5079" t="str">
        <f>_xlfn.XLOOKUP(Pipeline_tbl[[#This Row],[Rep_ID]],Dim_Reps!A:A,Dim_Reps!D:D)</f>
        <v>Inside Sales</v>
      </c>
      <c r="R5079" t="str">
        <f>_xlfn.XLOOKUP(Pipeline_tbl[[#This Row],[Rep_ID]],Dim_Reps!A:A,Dim_Reps!E:E)</f>
        <v>APAC</v>
      </c>
      <c r="S5079" t="str">
        <f>_xlfn.XLOOKUP(Pipeline_tbl[[#This Row],[Created_Date]],Dim_Date!A:A,Dim_Date!H:H)</f>
        <v>Feb 2024</v>
      </c>
      <c r="T5079" t="str">
        <f>IF(Pipeline_tbl[[#This Row],[Closed_Date]]=0,"",(_xlfn.XLOOKUP(Pipeline_tbl[[#This Row],[Closed_Date]],Dim_Date!A:A,Dim_Date!H:H)))</f>
        <v>Mar 2024</v>
      </c>
      <c r="U5079">
        <f>IF(Pipeline_tbl[[#This Row],[Closed_Date]]=0,"",Pipeline_tbl[[#This Row],[Closed_Date]]-Pipeline_tbl[[#This Row],[Created_Date]])</f>
        <v>22</v>
      </c>
    </row>
    <row r="5080" spans="1:21" ht="15" customHeight="1" x14ac:dyDescent="0.2">
      <c r="A5080" t="s">
        <v>5386</v>
      </c>
      <c r="B5080" t="s">
        <v>241</v>
      </c>
      <c r="C5080" t="s">
        <v>53</v>
      </c>
      <c r="D5080" s="49">
        <v>45351</v>
      </c>
      <c r="E5080" s="49">
        <v>45354</v>
      </c>
      <c r="F5080" s="49">
        <v>45359</v>
      </c>
      <c r="G5080" s="49">
        <v>45367</v>
      </c>
      <c r="H5080" s="49">
        <v>45374</v>
      </c>
      <c r="I5080" s="49">
        <v>45378</v>
      </c>
      <c r="J5080" t="s">
        <v>47</v>
      </c>
      <c r="K5080" s="33">
        <v>3500</v>
      </c>
      <c r="M5080" t="str">
        <f>_xlfn.XLOOKUP(Pipeline_tbl[[#This Row],[Rep_ID]],Dim_Reps!A:A,Dim_Reps!K:K)</f>
        <v>EUR</v>
      </c>
      <c r="N5080" s="33">
        <f>(_xlfn.XLOOKUP(Pipeline_tbl[[#This Row],[Rate_Code_Generalized]],Lookups!A:A,Lookups!B:B))*Pipeline_tbl[[#This Row],[Pipeline_Amount_USD]]</f>
        <v>3500</v>
      </c>
      <c r="O5080" t="str">
        <f>_xlfn.XLOOKUP(Pipeline_tbl[[#This Row],[Rep_ID]],Dim_Reps!A:A,Dim_Reps!B:B)</f>
        <v>Kenji Weber</v>
      </c>
      <c r="P5080" t="str">
        <f>_xlfn.XLOOKUP(Pipeline_tbl[[#This Row],[Rep_ID]],Dim_Reps!A:A,Dim_Reps!C:C)</f>
        <v>SDR / Inside Sales Rep</v>
      </c>
      <c r="Q5080" t="str">
        <f>_xlfn.XLOOKUP(Pipeline_tbl[[#This Row],[Rep_ID]],Dim_Reps!A:A,Dim_Reps!D:D)</f>
        <v>Inside Sales</v>
      </c>
      <c r="R5080" t="str">
        <f>_xlfn.XLOOKUP(Pipeline_tbl[[#This Row],[Rep_ID]],Dim_Reps!A:A,Dim_Reps!E:E)</f>
        <v>APAC</v>
      </c>
      <c r="S5080" t="str">
        <f>_xlfn.XLOOKUP(Pipeline_tbl[[#This Row],[Created_Date]],Dim_Date!A:A,Dim_Date!H:H)</f>
        <v>Feb 2024</v>
      </c>
      <c r="T5080" t="str">
        <f>IF(Pipeline_tbl[[#This Row],[Closed_Date]]=0,"",(_xlfn.XLOOKUP(Pipeline_tbl[[#This Row],[Closed_Date]],Dim_Date!A:A,Dim_Date!H:H)))</f>
        <v>Mar 2024</v>
      </c>
      <c r="U5080">
        <f>IF(Pipeline_tbl[[#This Row],[Closed_Date]]=0,"",Pipeline_tbl[[#This Row],[Closed_Date]]-Pipeline_tbl[[#This Row],[Created_Date]])</f>
        <v>27</v>
      </c>
    </row>
    <row r="5081" spans="1:21" ht="15" customHeight="1" x14ac:dyDescent="0.2">
      <c r="A5081" t="s">
        <v>5387</v>
      </c>
      <c r="B5081" t="s">
        <v>241</v>
      </c>
      <c r="C5081" t="s">
        <v>53</v>
      </c>
      <c r="D5081" s="49">
        <v>45335</v>
      </c>
      <c r="E5081" s="49">
        <v>45337</v>
      </c>
      <c r="F5081" s="49">
        <v>45342</v>
      </c>
      <c r="I5081" s="49">
        <v>45359</v>
      </c>
      <c r="J5081" t="s">
        <v>49</v>
      </c>
      <c r="K5081" s="33">
        <v>2500</v>
      </c>
      <c r="L5081" t="s">
        <v>63</v>
      </c>
      <c r="M5081" t="str">
        <f>_xlfn.XLOOKUP(Pipeline_tbl[[#This Row],[Rep_ID]],Dim_Reps!A:A,Dim_Reps!K:K)</f>
        <v>EUR</v>
      </c>
      <c r="N5081" s="33">
        <f>(_xlfn.XLOOKUP(Pipeline_tbl[[#This Row],[Rate_Code_Generalized]],Lookups!A:A,Lookups!B:B))*Pipeline_tbl[[#This Row],[Pipeline_Amount_USD]]</f>
        <v>2500</v>
      </c>
      <c r="O5081" t="str">
        <f>_xlfn.XLOOKUP(Pipeline_tbl[[#This Row],[Rep_ID]],Dim_Reps!A:A,Dim_Reps!B:B)</f>
        <v>Kenji Weber</v>
      </c>
      <c r="P5081" t="str">
        <f>_xlfn.XLOOKUP(Pipeline_tbl[[#This Row],[Rep_ID]],Dim_Reps!A:A,Dim_Reps!C:C)</f>
        <v>SDR / Inside Sales Rep</v>
      </c>
      <c r="Q5081" t="str">
        <f>_xlfn.XLOOKUP(Pipeline_tbl[[#This Row],[Rep_ID]],Dim_Reps!A:A,Dim_Reps!D:D)</f>
        <v>Inside Sales</v>
      </c>
      <c r="R5081" t="str">
        <f>_xlfn.XLOOKUP(Pipeline_tbl[[#This Row],[Rep_ID]],Dim_Reps!A:A,Dim_Reps!E:E)</f>
        <v>APAC</v>
      </c>
      <c r="S5081" t="str">
        <f>_xlfn.XLOOKUP(Pipeline_tbl[[#This Row],[Created_Date]],Dim_Date!A:A,Dim_Date!H:H)</f>
        <v>Feb 2024</v>
      </c>
      <c r="T5081" t="str">
        <f>IF(Pipeline_tbl[[#This Row],[Closed_Date]]=0,"",(_xlfn.XLOOKUP(Pipeline_tbl[[#This Row],[Closed_Date]],Dim_Date!A:A,Dim_Date!H:H)))</f>
        <v>Mar 2024</v>
      </c>
      <c r="U5081">
        <f>IF(Pipeline_tbl[[#This Row],[Closed_Date]]=0,"",Pipeline_tbl[[#This Row],[Closed_Date]]-Pipeline_tbl[[#This Row],[Created_Date]])</f>
        <v>24</v>
      </c>
    </row>
    <row r="5082" spans="1:21" ht="15" customHeight="1" x14ac:dyDescent="0.2">
      <c r="A5082" t="s">
        <v>5388</v>
      </c>
      <c r="B5082" t="s">
        <v>241</v>
      </c>
      <c r="C5082" t="s">
        <v>54</v>
      </c>
      <c r="D5082" s="49">
        <v>45348</v>
      </c>
      <c r="E5082" s="49">
        <v>45350</v>
      </c>
      <c r="F5082" s="49">
        <v>45355</v>
      </c>
      <c r="G5082" s="49">
        <v>45361</v>
      </c>
      <c r="H5082" s="49">
        <v>45367</v>
      </c>
      <c r="I5082" s="49">
        <v>45370</v>
      </c>
      <c r="J5082" t="s">
        <v>47</v>
      </c>
      <c r="K5082" s="33">
        <v>2900</v>
      </c>
      <c r="M5082" t="str">
        <f>_xlfn.XLOOKUP(Pipeline_tbl[[#This Row],[Rep_ID]],Dim_Reps!A:A,Dim_Reps!K:K)</f>
        <v>EUR</v>
      </c>
      <c r="N5082" s="33">
        <f>(_xlfn.XLOOKUP(Pipeline_tbl[[#This Row],[Rate_Code_Generalized]],Lookups!A:A,Lookups!B:B))*Pipeline_tbl[[#This Row],[Pipeline_Amount_USD]]</f>
        <v>2900</v>
      </c>
      <c r="O5082" t="str">
        <f>_xlfn.XLOOKUP(Pipeline_tbl[[#This Row],[Rep_ID]],Dim_Reps!A:A,Dim_Reps!B:B)</f>
        <v>Kenji Weber</v>
      </c>
      <c r="P5082" t="str">
        <f>_xlfn.XLOOKUP(Pipeline_tbl[[#This Row],[Rep_ID]],Dim_Reps!A:A,Dim_Reps!C:C)</f>
        <v>SDR / Inside Sales Rep</v>
      </c>
      <c r="Q5082" t="str">
        <f>_xlfn.XLOOKUP(Pipeline_tbl[[#This Row],[Rep_ID]],Dim_Reps!A:A,Dim_Reps!D:D)</f>
        <v>Inside Sales</v>
      </c>
      <c r="R5082" t="str">
        <f>_xlfn.XLOOKUP(Pipeline_tbl[[#This Row],[Rep_ID]],Dim_Reps!A:A,Dim_Reps!E:E)</f>
        <v>APAC</v>
      </c>
      <c r="S5082" t="str">
        <f>_xlfn.XLOOKUP(Pipeline_tbl[[#This Row],[Created_Date]],Dim_Date!A:A,Dim_Date!H:H)</f>
        <v>Feb 2024</v>
      </c>
      <c r="T5082" t="str">
        <f>IF(Pipeline_tbl[[#This Row],[Closed_Date]]=0,"",(_xlfn.XLOOKUP(Pipeline_tbl[[#This Row],[Closed_Date]],Dim_Date!A:A,Dim_Date!H:H)))</f>
        <v>Mar 2024</v>
      </c>
      <c r="U5082">
        <f>IF(Pipeline_tbl[[#This Row],[Closed_Date]]=0,"",Pipeline_tbl[[#This Row],[Closed_Date]]-Pipeline_tbl[[#This Row],[Created_Date]])</f>
        <v>22</v>
      </c>
    </row>
    <row r="5083" spans="1:21" ht="15" customHeight="1" x14ac:dyDescent="0.2">
      <c r="A5083" t="s">
        <v>5389</v>
      </c>
      <c r="B5083" t="s">
        <v>241</v>
      </c>
      <c r="C5083" t="s">
        <v>52</v>
      </c>
      <c r="D5083" s="49">
        <v>45340</v>
      </c>
      <c r="E5083" s="49">
        <v>45342</v>
      </c>
      <c r="F5083" s="49">
        <v>45345</v>
      </c>
      <c r="G5083" s="49">
        <v>45350</v>
      </c>
      <c r="H5083" s="49">
        <v>45354</v>
      </c>
      <c r="I5083" s="49">
        <v>45356</v>
      </c>
      <c r="J5083" t="s">
        <v>47</v>
      </c>
      <c r="K5083" s="33">
        <v>2300</v>
      </c>
      <c r="M5083" t="str">
        <f>_xlfn.XLOOKUP(Pipeline_tbl[[#This Row],[Rep_ID]],Dim_Reps!A:A,Dim_Reps!K:K)</f>
        <v>EUR</v>
      </c>
      <c r="N5083" s="33">
        <f>(_xlfn.XLOOKUP(Pipeline_tbl[[#This Row],[Rate_Code_Generalized]],Lookups!A:A,Lookups!B:B))*Pipeline_tbl[[#This Row],[Pipeline_Amount_USD]]</f>
        <v>2300</v>
      </c>
      <c r="O5083" t="str">
        <f>_xlfn.XLOOKUP(Pipeline_tbl[[#This Row],[Rep_ID]],Dim_Reps!A:A,Dim_Reps!B:B)</f>
        <v>Kenji Weber</v>
      </c>
      <c r="P5083" t="str">
        <f>_xlfn.XLOOKUP(Pipeline_tbl[[#This Row],[Rep_ID]],Dim_Reps!A:A,Dim_Reps!C:C)</f>
        <v>SDR / Inside Sales Rep</v>
      </c>
      <c r="Q5083" t="str">
        <f>_xlfn.XLOOKUP(Pipeline_tbl[[#This Row],[Rep_ID]],Dim_Reps!A:A,Dim_Reps!D:D)</f>
        <v>Inside Sales</v>
      </c>
      <c r="R5083" t="str">
        <f>_xlfn.XLOOKUP(Pipeline_tbl[[#This Row],[Rep_ID]],Dim_Reps!A:A,Dim_Reps!E:E)</f>
        <v>APAC</v>
      </c>
      <c r="S5083" t="str">
        <f>_xlfn.XLOOKUP(Pipeline_tbl[[#This Row],[Created_Date]],Dim_Date!A:A,Dim_Date!H:H)</f>
        <v>Feb 2024</v>
      </c>
      <c r="T5083" t="str">
        <f>IF(Pipeline_tbl[[#This Row],[Closed_Date]]=0,"",(_xlfn.XLOOKUP(Pipeline_tbl[[#This Row],[Closed_Date]],Dim_Date!A:A,Dim_Date!H:H)))</f>
        <v>Mar 2024</v>
      </c>
      <c r="U5083">
        <f>IF(Pipeline_tbl[[#This Row],[Closed_Date]]=0,"",Pipeline_tbl[[#This Row],[Closed_Date]]-Pipeline_tbl[[#This Row],[Created_Date]])</f>
        <v>16</v>
      </c>
    </row>
    <row r="5084" spans="1:21" ht="15" customHeight="1" x14ac:dyDescent="0.2">
      <c r="A5084" t="s">
        <v>5390</v>
      </c>
      <c r="B5084" t="s">
        <v>278</v>
      </c>
      <c r="C5084" t="s">
        <v>53</v>
      </c>
      <c r="D5084" s="49">
        <v>45328</v>
      </c>
      <c r="E5084" s="49">
        <v>45337</v>
      </c>
      <c r="F5084" s="49">
        <v>45356</v>
      </c>
      <c r="G5084" s="49">
        <v>45384</v>
      </c>
      <c r="I5084" s="49">
        <v>45422</v>
      </c>
      <c r="J5084" t="s">
        <v>49</v>
      </c>
      <c r="K5084" s="33">
        <v>31300</v>
      </c>
      <c r="L5084" t="s">
        <v>61</v>
      </c>
      <c r="M5084" t="str">
        <f>_xlfn.XLOOKUP(Pipeline_tbl[[#This Row],[Rep_ID]],Dim_Reps!A:A,Dim_Reps!K:K)</f>
        <v>EUR</v>
      </c>
      <c r="N5084" s="33">
        <f>(_xlfn.XLOOKUP(Pipeline_tbl[[#This Row],[Rate_Code_Generalized]],Lookups!A:A,Lookups!B:B))*Pipeline_tbl[[#This Row],[Pipeline_Amount_USD]]</f>
        <v>31300</v>
      </c>
      <c r="O5084" t="str">
        <f>_xlfn.XLOOKUP(Pipeline_tbl[[#This Row],[Rep_ID]],Dim_Reps!A:A,Dim_Reps!B:B)</f>
        <v>Sara Andersson</v>
      </c>
      <c r="P5084" t="str">
        <f>_xlfn.XLOOKUP(Pipeline_tbl[[#This Row],[Rep_ID]],Dim_Reps!A:A,Dim_Reps!C:C)</f>
        <v>Senior Enterprise AE</v>
      </c>
      <c r="Q5084" t="str">
        <f>_xlfn.XLOOKUP(Pipeline_tbl[[#This Row],[Rep_ID]],Dim_Reps!A:A,Dim_Reps!D:D)</f>
        <v>Strategic</v>
      </c>
      <c r="R5084" t="str">
        <f>_xlfn.XLOOKUP(Pipeline_tbl[[#This Row],[Rep_ID]],Dim_Reps!A:A,Dim_Reps!E:E)</f>
        <v>APAC</v>
      </c>
      <c r="S5084" t="str">
        <f>_xlfn.XLOOKUP(Pipeline_tbl[[#This Row],[Created_Date]],Dim_Date!A:A,Dim_Date!H:H)</f>
        <v>Feb 2024</v>
      </c>
      <c r="T5084" t="str">
        <f>IF(Pipeline_tbl[[#This Row],[Closed_Date]]=0,"",(_xlfn.XLOOKUP(Pipeline_tbl[[#This Row],[Closed_Date]],Dim_Date!A:A,Dim_Date!H:H)))</f>
        <v>May 2024</v>
      </c>
      <c r="U5084">
        <f>IF(Pipeline_tbl[[#This Row],[Closed_Date]]=0,"",Pipeline_tbl[[#This Row],[Closed_Date]]-Pipeline_tbl[[#This Row],[Created_Date]])</f>
        <v>94</v>
      </c>
    </row>
    <row r="5085" spans="1:21" ht="15" customHeight="1" x14ac:dyDescent="0.2">
      <c r="A5085" t="s">
        <v>5391</v>
      </c>
      <c r="B5085" t="s">
        <v>188</v>
      </c>
      <c r="C5085" t="s">
        <v>53</v>
      </c>
      <c r="D5085" s="49">
        <v>45346</v>
      </c>
      <c r="E5085" s="49">
        <v>45355</v>
      </c>
      <c r="F5085" s="49">
        <v>45372</v>
      </c>
      <c r="I5085" s="49">
        <v>45432</v>
      </c>
      <c r="J5085" t="s">
        <v>49</v>
      </c>
      <c r="K5085" s="33">
        <v>37700</v>
      </c>
      <c r="L5085" t="s">
        <v>60</v>
      </c>
      <c r="M5085" t="str">
        <f>_xlfn.XLOOKUP(Pipeline_tbl[[#This Row],[Rep_ID]],Dim_Reps!A:A,Dim_Reps!K:K)</f>
        <v>EUR</v>
      </c>
      <c r="N5085" s="33">
        <f>(_xlfn.XLOOKUP(Pipeline_tbl[[#This Row],[Rate_Code_Generalized]],Lookups!A:A,Lookups!B:B))*Pipeline_tbl[[#This Row],[Pipeline_Amount_USD]]</f>
        <v>37700</v>
      </c>
      <c r="O5085" t="str">
        <f>_xlfn.XLOOKUP(Pipeline_tbl[[#This Row],[Rep_ID]],Dim_Reps!A:A,Dim_Reps!B:B)</f>
        <v>Jamie Santos</v>
      </c>
      <c r="P5085" t="str">
        <f>_xlfn.XLOOKUP(Pipeline_tbl[[#This Row],[Rep_ID]],Dim_Reps!A:A,Dim_Reps!C:C)</f>
        <v>Enterprise AE</v>
      </c>
      <c r="Q5085" t="str">
        <f>_xlfn.XLOOKUP(Pipeline_tbl[[#This Row],[Rep_ID]],Dim_Reps!A:A,Dim_Reps!D:D)</f>
        <v>Enterprise</v>
      </c>
      <c r="R5085" t="str">
        <f>_xlfn.XLOOKUP(Pipeline_tbl[[#This Row],[Rep_ID]],Dim_Reps!A:A,Dim_Reps!E:E)</f>
        <v>APAC</v>
      </c>
      <c r="S5085" t="str">
        <f>_xlfn.XLOOKUP(Pipeline_tbl[[#This Row],[Created_Date]],Dim_Date!A:A,Dim_Date!H:H)</f>
        <v>Feb 2024</v>
      </c>
      <c r="T5085" t="str">
        <f>IF(Pipeline_tbl[[#This Row],[Closed_Date]]=0,"",(_xlfn.XLOOKUP(Pipeline_tbl[[#This Row],[Closed_Date]],Dim_Date!A:A,Dim_Date!H:H)))</f>
        <v>May 2024</v>
      </c>
      <c r="U5085">
        <f>IF(Pipeline_tbl[[#This Row],[Closed_Date]]=0,"",Pipeline_tbl[[#This Row],[Closed_Date]]-Pipeline_tbl[[#This Row],[Created_Date]])</f>
        <v>86</v>
      </c>
    </row>
    <row r="5086" spans="1:21" ht="15" customHeight="1" x14ac:dyDescent="0.2">
      <c r="A5086" t="s">
        <v>5392</v>
      </c>
      <c r="B5086" t="s">
        <v>280</v>
      </c>
      <c r="C5086" t="s">
        <v>52</v>
      </c>
      <c r="D5086" s="49">
        <v>45349</v>
      </c>
      <c r="E5086" s="49">
        <v>45357</v>
      </c>
      <c r="F5086" s="49">
        <v>45372</v>
      </c>
      <c r="G5086" s="49">
        <v>45394</v>
      </c>
      <c r="H5086" s="49">
        <v>45413</v>
      </c>
      <c r="I5086" s="49">
        <v>45424</v>
      </c>
      <c r="J5086" t="s">
        <v>49</v>
      </c>
      <c r="K5086" s="33">
        <v>53700</v>
      </c>
      <c r="L5086" t="s">
        <v>60</v>
      </c>
      <c r="M5086" t="str">
        <f>_xlfn.XLOOKUP(Pipeline_tbl[[#This Row],[Rep_ID]],Dim_Reps!A:A,Dim_Reps!K:K)</f>
        <v>MXN</v>
      </c>
      <c r="N5086" s="33">
        <f>(_xlfn.XLOOKUP(Pipeline_tbl[[#This Row],[Rate_Code_Generalized]],Lookups!A:A,Lookups!B:B))*Pipeline_tbl[[#This Row],[Pipeline_Amount_USD]]</f>
        <v>1059645.99</v>
      </c>
      <c r="O5086" t="str">
        <f>_xlfn.XLOOKUP(Pipeline_tbl[[#This Row],[Rep_ID]],Dim_Reps!A:A,Dim_Reps!B:B)</f>
        <v>Cameron Lund</v>
      </c>
      <c r="P5086" t="str">
        <f>_xlfn.XLOOKUP(Pipeline_tbl[[#This Row],[Rep_ID]],Dim_Reps!A:A,Dim_Reps!C:C)</f>
        <v>Senior Enterprise AE</v>
      </c>
      <c r="Q5086" t="str">
        <f>_xlfn.XLOOKUP(Pipeline_tbl[[#This Row],[Rep_ID]],Dim_Reps!A:A,Dim_Reps!D:D)</f>
        <v>Strategic</v>
      </c>
      <c r="R5086" t="str">
        <f>_xlfn.XLOOKUP(Pipeline_tbl[[#This Row],[Rep_ID]],Dim_Reps!A:A,Dim_Reps!E:E)</f>
        <v>LATAM</v>
      </c>
      <c r="S5086" t="str">
        <f>_xlfn.XLOOKUP(Pipeline_tbl[[#This Row],[Created_Date]],Dim_Date!A:A,Dim_Date!H:H)</f>
        <v>Feb 2024</v>
      </c>
      <c r="T5086" t="str">
        <f>IF(Pipeline_tbl[[#This Row],[Closed_Date]]=0,"",(_xlfn.XLOOKUP(Pipeline_tbl[[#This Row],[Closed_Date]],Dim_Date!A:A,Dim_Date!H:H)))</f>
        <v>May 2024</v>
      </c>
      <c r="U5086">
        <f>IF(Pipeline_tbl[[#This Row],[Closed_Date]]=0,"",Pipeline_tbl[[#This Row],[Closed_Date]]-Pipeline_tbl[[#This Row],[Created_Date]])</f>
        <v>75</v>
      </c>
    </row>
    <row r="5087" spans="1:21" ht="15" customHeight="1" x14ac:dyDescent="0.2">
      <c r="A5087" t="s">
        <v>5393</v>
      </c>
      <c r="B5087" t="s">
        <v>191</v>
      </c>
      <c r="C5087" t="s">
        <v>52</v>
      </c>
      <c r="D5087" s="49">
        <v>45335</v>
      </c>
      <c r="E5087" s="49">
        <v>45345</v>
      </c>
      <c r="F5087" s="49">
        <v>45364</v>
      </c>
      <c r="I5087" s="49">
        <v>45431</v>
      </c>
      <c r="J5087" t="s">
        <v>49</v>
      </c>
      <c r="K5087" s="33">
        <v>46700</v>
      </c>
      <c r="L5087" t="s">
        <v>61</v>
      </c>
      <c r="M5087" t="str">
        <f>_xlfn.XLOOKUP(Pipeline_tbl[[#This Row],[Rep_ID]],Dim_Reps!A:A,Dim_Reps!K:K)</f>
        <v>USD</v>
      </c>
      <c r="N5087" s="33">
        <f>(_xlfn.XLOOKUP(Pipeline_tbl[[#This Row],[Rate_Code_Generalized]],Lookups!A:A,Lookups!B:B))*Pipeline_tbl[[#This Row],[Pipeline_Amount_USD]]</f>
        <v>54372.81</v>
      </c>
      <c r="O5087" t="str">
        <f>_xlfn.XLOOKUP(Pipeline_tbl[[#This Row],[Rep_ID]],Dim_Reps!A:A,Dim_Reps!B:B)</f>
        <v>Zara Duarte</v>
      </c>
      <c r="P5087" t="str">
        <f>_xlfn.XLOOKUP(Pipeline_tbl[[#This Row],[Rep_ID]],Dim_Reps!A:A,Dim_Reps!C:C)</f>
        <v>Enterprise AE</v>
      </c>
      <c r="Q5087" t="str">
        <f>_xlfn.XLOOKUP(Pipeline_tbl[[#This Row],[Rep_ID]],Dim_Reps!A:A,Dim_Reps!D:D)</f>
        <v>Enterprise</v>
      </c>
      <c r="R5087" t="str">
        <f>_xlfn.XLOOKUP(Pipeline_tbl[[#This Row],[Rep_ID]],Dim_Reps!A:A,Dim_Reps!E:E)</f>
        <v>NAMER</v>
      </c>
      <c r="S5087" t="str">
        <f>_xlfn.XLOOKUP(Pipeline_tbl[[#This Row],[Created_Date]],Dim_Date!A:A,Dim_Date!H:H)</f>
        <v>Feb 2024</v>
      </c>
      <c r="T5087" t="str">
        <f>IF(Pipeline_tbl[[#This Row],[Closed_Date]]=0,"",(_xlfn.XLOOKUP(Pipeline_tbl[[#This Row],[Closed_Date]],Dim_Date!A:A,Dim_Date!H:H)))</f>
        <v>May 2024</v>
      </c>
      <c r="U5087">
        <f>IF(Pipeline_tbl[[#This Row],[Closed_Date]]=0,"",Pipeline_tbl[[#This Row],[Closed_Date]]-Pipeline_tbl[[#This Row],[Created_Date]])</f>
        <v>96</v>
      </c>
    </row>
    <row r="5088" spans="1:21" ht="15" customHeight="1" x14ac:dyDescent="0.2">
      <c r="A5088" t="s">
        <v>5394</v>
      </c>
      <c r="B5088" t="s">
        <v>284</v>
      </c>
      <c r="C5088" t="s">
        <v>52</v>
      </c>
      <c r="D5088" s="49">
        <v>45323</v>
      </c>
      <c r="E5088" s="49">
        <v>45335</v>
      </c>
      <c r="F5088" s="49">
        <v>45358</v>
      </c>
      <c r="G5088" s="49">
        <v>45393</v>
      </c>
      <c r="I5088" s="49">
        <v>45439</v>
      </c>
      <c r="J5088" t="s">
        <v>49</v>
      </c>
      <c r="K5088" s="33">
        <v>33300</v>
      </c>
      <c r="L5088" t="s">
        <v>61</v>
      </c>
      <c r="M5088" t="str">
        <f>_xlfn.XLOOKUP(Pipeline_tbl[[#This Row],[Rep_ID]],Dim_Reps!A:A,Dim_Reps!K:K)</f>
        <v>USD</v>
      </c>
      <c r="N5088" s="33">
        <f>(_xlfn.XLOOKUP(Pipeline_tbl[[#This Row],[Rate_Code_Generalized]],Lookups!A:A,Lookups!B:B))*Pipeline_tbl[[#This Row],[Pipeline_Amount_USD]]</f>
        <v>38771.189999999995</v>
      </c>
      <c r="O5088" t="str">
        <f>_xlfn.XLOOKUP(Pipeline_tbl[[#This Row],[Rep_ID]],Dim_Reps!A:A,Dim_Reps!B:B)</f>
        <v>Taylor Adler</v>
      </c>
      <c r="P5088" t="str">
        <f>_xlfn.XLOOKUP(Pipeline_tbl[[#This Row],[Rep_ID]],Dim_Reps!A:A,Dim_Reps!C:C)</f>
        <v>Senior Enterprise AE</v>
      </c>
      <c r="Q5088" t="str">
        <f>_xlfn.XLOOKUP(Pipeline_tbl[[#This Row],[Rep_ID]],Dim_Reps!A:A,Dim_Reps!D:D)</f>
        <v>Strategic</v>
      </c>
      <c r="R5088" t="str">
        <f>_xlfn.XLOOKUP(Pipeline_tbl[[#This Row],[Rep_ID]],Dim_Reps!A:A,Dim_Reps!E:E)</f>
        <v>NAMER</v>
      </c>
      <c r="S5088" t="str">
        <f>_xlfn.XLOOKUP(Pipeline_tbl[[#This Row],[Created_Date]],Dim_Date!A:A,Dim_Date!H:H)</f>
        <v>Feb 2024</v>
      </c>
      <c r="T5088" t="str">
        <f>IF(Pipeline_tbl[[#This Row],[Closed_Date]]=0,"",(_xlfn.XLOOKUP(Pipeline_tbl[[#This Row],[Closed_Date]],Dim_Date!A:A,Dim_Date!H:H)))</f>
        <v>May 2024</v>
      </c>
      <c r="U5088">
        <f>IF(Pipeline_tbl[[#This Row],[Closed_Date]]=0,"",Pipeline_tbl[[#This Row],[Closed_Date]]-Pipeline_tbl[[#This Row],[Created_Date]])</f>
        <v>116</v>
      </c>
    </row>
    <row r="5089" spans="1:21" ht="15" customHeight="1" x14ac:dyDescent="0.2">
      <c r="A5089" t="s">
        <v>5395</v>
      </c>
      <c r="B5089" t="s">
        <v>193</v>
      </c>
      <c r="C5089" t="s">
        <v>54</v>
      </c>
      <c r="D5089" s="49">
        <v>46013</v>
      </c>
      <c r="E5089" s="49">
        <v>46015</v>
      </c>
      <c r="F5089" s="49">
        <v>46019</v>
      </c>
      <c r="J5089" t="s">
        <v>308</v>
      </c>
      <c r="K5089" s="33">
        <v>3600</v>
      </c>
      <c r="M5089" t="str">
        <f>_xlfn.XLOOKUP(Pipeline_tbl[[#This Row],[Rep_ID]],Dim_Reps!A:A,Dim_Reps!K:K)</f>
        <v>USD</v>
      </c>
      <c r="N5089" s="33">
        <f>(_xlfn.XLOOKUP(Pipeline_tbl[[#This Row],[Rate_Code_Generalized]],Lookups!A:A,Lookups!B:B))*Pipeline_tbl[[#This Row],[Pipeline_Amount_USD]]</f>
        <v>4191.4799999999996</v>
      </c>
      <c r="O5089" t="str">
        <f>_xlfn.XLOOKUP(Pipeline_tbl[[#This Row],[Rep_ID]],Dim_Reps!A:A,Dim_Reps!B:B)</f>
        <v>Karim Rossi</v>
      </c>
      <c r="P5089" t="str">
        <f>_xlfn.XLOOKUP(Pipeline_tbl[[#This Row],[Rep_ID]],Dim_Reps!A:A,Dim_Reps!C:C)</f>
        <v>SDR / Inside Sales Rep</v>
      </c>
      <c r="Q5089" t="str">
        <f>_xlfn.XLOOKUP(Pipeline_tbl[[#This Row],[Rep_ID]],Dim_Reps!A:A,Dim_Reps!D:D)</f>
        <v>Inside Sales</v>
      </c>
      <c r="R5089" t="str">
        <f>_xlfn.XLOOKUP(Pipeline_tbl[[#This Row],[Rep_ID]],Dim_Reps!A:A,Dim_Reps!E:E)</f>
        <v>NAMER</v>
      </c>
      <c r="S5089" t="str">
        <f>_xlfn.XLOOKUP(Pipeline_tbl[[#This Row],[Created_Date]],Dim_Date!A:A,Dim_Date!H:H)</f>
        <v>Dec 2025</v>
      </c>
      <c r="T5089" t="str">
        <f>IF(Pipeline_tbl[[#This Row],[Closed_Date]]=0,"",(_xlfn.XLOOKUP(Pipeline_tbl[[#This Row],[Closed_Date]],Dim_Date!A:A,Dim_Date!H:H)))</f>
        <v/>
      </c>
      <c r="U5089" t="str">
        <f>IF(Pipeline_tbl[[#This Row],[Closed_Date]]=0,"",Pipeline_tbl[[#This Row],[Closed_Date]]-Pipeline_tbl[[#This Row],[Created_Date]])</f>
        <v/>
      </c>
    </row>
    <row r="5090" spans="1:21" ht="15" customHeight="1" x14ac:dyDescent="0.2">
      <c r="A5090" t="s">
        <v>5396</v>
      </c>
      <c r="B5090" t="s">
        <v>193</v>
      </c>
      <c r="C5090" t="s">
        <v>52</v>
      </c>
      <c r="D5090" s="49">
        <v>46022</v>
      </c>
      <c r="J5090" t="s">
        <v>308</v>
      </c>
      <c r="K5090" s="33">
        <v>6200</v>
      </c>
      <c r="M5090" t="str">
        <f>_xlfn.XLOOKUP(Pipeline_tbl[[#This Row],[Rep_ID]],Dim_Reps!A:A,Dim_Reps!K:K)</f>
        <v>USD</v>
      </c>
      <c r="N5090" s="33">
        <f>(_xlfn.XLOOKUP(Pipeline_tbl[[#This Row],[Rate_Code_Generalized]],Lookups!A:A,Lookups!B:B))*Pipeline_tbl[[#This Row],[Pipeline_Amount_USD]]</f>
        <v>7218.6599999999989</v>
      </c>
      <c r="O5090" t="str">
        <f>_xlfn.XLOOKUP(Pipeline_tbl[[#This Row],[Rep_ID]],Dim_Reps!A:A,Dim_Reps!B:B)</f>
        <v>Karim Rossi</v>
      </c>
      <c r="P5090" t="str">
        <f>_xlfn.XLOOKUP(Pipeline_tbl[[#This Row],[Rep_ID]],Dim_Reps!A:A,Dim_Reps!C:C)</f>
        <v>SDR / Inside Sales Rep</v>
      </c>
      <c r="Q5090" t="str">
        <f>_xlfn.XLOOKUP(Pipeline_tbl[[#This Row],[Rep_ID]],Dim_Reps!A:A,Dim_Reps!D:D)</f>
        <v>Inside Sales</v>
      </c>
      <c r="R5090" t="str">
        <f>_xlfn.XLOOKUP(Pipeline_tbl[[#This Row],[Rep_ID]],Dim_Reps!A:A,Dim_Reps!E:E)</f>
        <v>NAMER</v>
      </c>
      <c r="S5090" t="str">
        <f>_xlfn.XLOOKUP(Pipeline_tbl[[#This Row],[Created_Date]],Dim_Date!A:A,Dim_Date!H:H)</f>
        <v>Dec 2025</v>
      </c>
      <c r="T5090" t="str">
        <f>IF(Pipeline_tbl[[#This Row],[Closed_Date]]=0,"",(_xlfn.XLOOKUP(Pipeline_tbl[[#This Row],[Closed_Date]],Dim_Date!A:A,Dim_Date!H:H)))</f>
        <v/>
      </c>
      <c r="U5090" t="str">
        <f>IF(Pipeline_tbl[[#This Row],[Closed_Date]]=0,"",Pipeline_tbl[[#This Row],[Closed_Date]]-Pipeline_tbl[[#This Row],[Created_Date]])</f>
        <v/>
      </c>
    </row>
    <row r="5091" spans="1:21" ht="15" customHeight="1" x14ac:dyDescent="0.2">
      <c r="A5091" t="s">
        <v>5397</v>
      </c>
      <c r="B5091" t="s">
        <v>193</v>
      </c>
      <c r="C5091" t="s">
        <v>52</v>
      </c>
      <c r="D5091" s="49">
        <v>46013</v>
      </c>
      <c r="E5091" s="49">
        <v>46016</v>
      </c>
      <c r="F5091" s="49">
        <v>46021</v>
      </c>
      <c r="J5091" t="s">
        <v>308</v>
      </c>
      <c r="K5091" s="33">
        <v>2000</v>
      </c>
      <c r="M5091" t="str">
        <f>_xlfn.XLOOKUP(Pipeline_tbl[[#This Row],[Rep_ID]],Dim_Reps!A:A,Dim_Reps!K:K)</f>
        <v>USD</v>
      </c>
      <c r="N5091" s="33">
        <f>(_xlfn.XLOOKUP(Pipeline_tbl[[#This Row],[Rate_Code_Generalized]],Lookups!A:A,Lookups!B:B))*Pipeline_tbl[[#This Row],[Pipeline_Amount_USD]]</f>
        <v>2328.6</v>
      </c>
      <c r="O5091" t="str">
        <f>_xlfn.XLOOKUP(Pipeline_tbl[[#This Row],[Rep_ID]],Dim_Reps!A:A,Dim_Reps!B:B)</f>
        <v>Karim Rossi</v>
      </c>
      <c r="P5091" t="str">
        <f>_xlfn.XLOOKUP(Pipeline_tbl[[#This Row],[Rep_ID]],Dim_Reps!A:A,Dim_Reps!C:C)</f>
        <v>SDR / Inside Sales Rep</v>
      </c>
      <c r="Q5091" t="str">
        <f>_xlfn.XLOOKUP(Pipeline_tbl[[#This Row],[Rep_ID]],Dim_Reps!A:A,Dim_Reps!D:D)</f>
        <v>Inside Sales</v>
      </c>
      <c r="R5091" t="str">
        <f>_xlfn.XLOOKUP(Pipeline_tbl[[#This Row],[Rep_ID]],Dim_Reps!A:A,Dim_Reps!E:E)</f>
        <v>NAMER</v>
      </c>
      <c r="S5091" t="str">
        <f>_xlfn.XLOOKUP(Pipeline_tbl[[#This Row],[Created_Date]],Dim_Date!A:A,Dim_Date!H:H)</f>
        <v>Dec 2025</v>
      </c>
      <c r="T5091" t="str">
        <f>IF(Pipeline_tbl[[#This Row],[Closed_Date]]=0,"",(_xlfn.XLOOKUP(Pipeline_tbl[[#This Row],[Closed_Date]],Dim_Date!A:A,Dim_Date!H:H)))</f>
        <v/>
      </c>
      <c r="U5091" t="str">
        <f>IF(Pipeline_tbl[[#This Row],[Closed_Date]]=0,"",Pipeline_tbl[[#This Row],[Closed_Date]]-Pipeline_tbl[[#This Row],[Created_Date]])</f>
        <v/>
      </c>
    </row>
    <row r="5092" spans="1:21" ht="15" customHeight="1" x14ac:dyDescent="0.2">
      <c r="A5092" t="s">
        <v>5398</v>
      </c>
      <c r="B5092" t="s">
        <v>193</v>
      </c>
      <c r="C5092" t="s">
        <v>54</v>
      </c>
      <c r="D5092" s="49">
        <v>46021</v>
      </c>
      <c r="J5092" t="s">
        <v>308</v>
      </c>
      <c r="K5092" s="33">
        <v>3800</v>
      </c>
      <c r="M5092" t="str">
        <f>_xlfn.XLOOKUP(Pipeline_tbl[[#This Row],[Rep_ID]],Dim_Reps!A:A,Dim_Reps!K:K)</f>
        <v>USD</v>
      </c>
      <c r="N5092" s="33">
        <f>(_xlfn.XLOOKUP(Pipeline_tbl[[#This Row],[Rate_Code_Generalized]],Lookups!A:A,Lookups!B:B))*Pipeline_tbl[[#This Row],[Pipeline_Amount_USD]]</f>
        <v>4424.3399999999992</v>
      </c>
      <c r="O5092" t="str">
        <f>_xlfn.XLOOKUP(Pipeline_tbl[[#This Row],[Rep_ID]],Dim_Reps!A:A,Dim_Reps!B:B)</f>
        <v>Karim Rossi</v>
      </c>
      <c r="P5092" t="str">
        <f>_xlfn.XLOOKUP(Pipeline_tbl[[#This Row],[Rep_ID]],Dim_Reps!A:A,Dim_Reps!C:C)</f>
        <v>SDR / Inside Sales Rep</v>
      </c>
      <c r="Q5092" t="str">
        <f>_xlfn.XLOOKUP(Pipeline_tbl[[#This Row],[Rep_ID]],Dim_Reps!A:A,Dim_Reps!D:D)</f>
        <v>Inside Sales</v>
      </c>
      <c r="R5092" t="str">
        <f>_xlfn.XLOOKUP(Pipeline_tbl[[#This Row],[Rep_ID]],Dim_Reps!A:A,Dim_Reps!E:E)</f>
        <v>NAMER</v>
      </c>
      <c r="S5092" t="str">
        <f>_xlfn.XLOOKUP(Pipeline_tbl[[#This Row],[Created_Date]],Dim_Date!A:A,Dim_Date!H:H)</f>
        <v>Dec 2025</v>
      </c>
      <c r="T5092" t="str">
        <f>IF(Pipeline_tbl[[#This Row],[Closed_Date]]=0,"",(_xlfn.XLOOKUP(Pipeline_tbl[[#This Row],[Closed_Date]],Dim_Date!A:A,Dim_Date!H:H)))</f>
        <v/>
      </c>
      <c r="U5092" t="str">
        <f>IF(Pipeline_tbl[[#This Row],[Closed_Date]]=0,"",Pipeline_tbl[[#This Row],[Closed_Date]]-Pipeline_tbl[[#This Row],[Created_Date]])</f>
        <v/>
      </c>
    </row>
    <row r="5093" spans="1:21" ht="15" customHeight="1" x14ac:dyDescent="0.2">
      <c r="A5093" t="s">
        <v>5399</v>
      </c>
      <c r="B5093" t="s">
        <v>275</v>
      </c>
      <c r="C5093" t="s">
        <v>52</v>
      </c>
      <c r="D5093" s="49">
        <v>46001</v>
      </c>
      <c r="E5093" s="49">
        <v>46009</v>
      </c>
      <c r="J5093" t="s">
        <v>308</v>
      </c>
      <c r="K5093" s="33">
        <v>46500</v>
      </c>
      <c r="M5093" t="str">
        <f>_xlfn.XLOOKUP(Pipeline_tbl[[#This Row],[Rep_ID]],Dim_Reps!A:A,Dim_Reps!K:K)</f>
        <v>USD</v>
      </c>
      <c r="N5093" s="33">
        <f>(_xlfn.XLOOKUP(Pipeline_tbl[[#This Row],[Rate_Code_Generalized]],Lookups!A:A,Lookups!B:B))*Pipeline_tbl[[#This Row],[Pipeline_Amount_USD]]</f>
        <v>54139.95</v>
      </c>
      <c r="O5093" t="str">
        <f>_xlfn.XLOOKUP(Pipeline_tbl[[#This Row],[Rep_ID]],Dim_Reps!A:A,Dim_Reps!B:B)</f>
        <v>Sana Rossi</v>
      </c>
      <c r="P5093" t="str">
        <f>_xlfn.XLOOKUP(Pipeline_tbl[[#This Row],[Rep_ID]],Dim_Reps!A:A,Dim_Reps!C:C)</f>
        <v>Senior Enterprise AE</v>
      </c>
      <c r="Q5093" t="str">
        <f>_xlfn.XLOOKUP(Pipeline_tbl[[#This Row],[Rep_ID]],Dim_Reps!A:A,Dim_Reps!D:D)</f>
        <v>Strategic</v>
      </c>
      <c r="R5093" t="str">
        <f>_xlfn.XLOOKUP(Pipeline_tbl[[#This Row],[Rep_ID]],Dim_Reps!A:A,Dim_Reps!E:E)</f>
        <v>NAMER</v>
      </c>
      <c r="S5093" t="str">
        <f>_xlfn.XLOOKUP(Pipeline_tbl[[#This Row],[Created_Date]],Dim_Date!A:A,Dim_Date!H:H)</f>
        <v>Dec 2025</v>
      </c>
      <c r="T5093" t="str">
        <f>IF(Pipeline_tbl[[#This Row],[Closed_Date]]=0,"",(_xlfn.XLOOKUP(Pipeline_tbl[[#This Row],[Closed_Date]],Dim_Date!A:A,Dim_Date!H:H)))</f>
        <v/>
      </c>
      <c r="U5093" t="str">
        <f>IF(Pipeline_tbl[[#This Row],[Closed_Date]]=0,"",Pipeline_tbl[[#This Row],[Closed_Date]]-Pipeline_tbl[[#This Row],[Created_Date]])</f>
        <v/>
      </c>
    </row>
    <row r="5094" spans="1:21" ht="15" customHeight="1" x14ac:dyDescent="0.2">
      <c r="A5094" t="s">
        <v>5400</v>
      </c>
      <c r="B5094" t="s">
        <v>275</v>
      </c>
      <c r="C5094" t="s">
        <v>53</v>
      </c>
      <c r="D5094" s="49">
        <v>46013</v>
      </c>
      <c r="J5094" t="s">
        <v>308</v>
      </c>
      <c r="K5094" s="33">
        <v>65600</v>
      </c>
      <c r="M5094" t="str">
        <f>_xlfn.XLOOKUP(Pipeline_tbl[[#This Row],[Rep_ID]],Dim_Reps!A:A,Dim_Reps!K:K)</f>
        <v>USD</v>
      </c>
      <c r="N5094" s="33">
        <f>(_xlfn.XLOOKUP(Pipeline_tbl[[#This Row],[Rate_Code_Generalized]],Lookups!A:A,Lookups!B:B))*Pipeline_tbl[[#This Row],[Pipeline_Amount_USD]]</f>
        <v>76378.079999999987</v>
      </c>
      <c r="O5094" t="str">
        <f>_xlfn.XLOOKUP(Pipeline_tbl[[#This Row],[Rep_ID]],Dim_Reps!A:A,Dim_Reps!B:B)</f>
        <v>Sana Rossi</v>
      </c>
      <c r="P5094" t="str">
        <f>_xlfn.XLOOKUP(Pipeline_tbl[[#This Row],[Rep_ID]],Dim_Reps!A:A,Dim_Reps!C:C)</f>
        <v>Senior Enterprise AE</v>
      </c>
      <c r="Q5094" t="str">
        <f>_xlfn.XLOOKUP(Pipeline_tbl[[#This Row],[Rep_ID]],Dim_Reps!A:A,Dim_Reps!D:D)</f>
        <v>Strategic</v>
      </c>
      <c r="R5094" t="str">
        <f>_xlfn.XLOOKUP(Pipeline_tbl[[#This Row],[Rep_ID]],Dim_Reps!A:A,Dim_Reps!E:E)</f>
        <v>NAMER</v>
      </c>
      <c r="S5094" t="str">
        <f>_xlfn.XLOOKUP(Pipeline_tbl[[#This Row],[Created_Date]],Dim_Date!A:A,Dim_Date!H:H)</f>
        <v>Dec 2025</v>
      </c>
      <c r="T5094" t="str">
        <f>IF(Pipeline_tbl[[#This Row],[Closed_Date]]=0,"",(_xlfn.XLOOKUP(Pipeline_tbl[[#This Row],[Closed_Date]],Dim_Date!A:A,Dim_Date!H:H)))</f>
        <v/>
      </c>
      <c r="U5094" t="str">
        <f>IF(Pipeline_tbl[[#This Row],[Closed_Date]]=0,"",Pipeline_tbl[[#This Row],[Closed_Date]]-Pipeline_tbl[[#This Row],[Created_Date]])</f>
        <v/>
      </c>
    </row>
    <row r="5095" spans="1:21" ht="15" customHeight="1" x14ac:dyDescent="0.2">
      <c r="A5095" t="s">
        <v>5401</v>
      </c>
      <c r="B5095" t="s">
        <v>177</v>
      </c>
      <c r="C5095" t="s">
        <v>54</v>
      </c>
      <c r="D5095" s="49">
        <v>46001</v>
      </c>
      <c r="E5095" s="49">
        <v>46009</v>
      </c>
      <c r="J5095" t="s">
        <v>308</v>
      </c>
      <c r="K5095" s="33">
        <v>55300</v>
      </c>
      <c r="M5095" t="str">
        <f>_xlfn.XLOOKUP(Pipeline_tbl[[#This Row],[Rep_ID]],Dim_Reps!A:A,Dim_Reps!K:K)</f>
        <v>USD</v>
      </c>
      <c r="N5095" s="33">
        <f>(_xlfn.XLOOKUP(Pipeline_tbl[[#This Row],[Rate_Code_Generalized]],Lookups!A:A,Lookups!B:B))*Pipeline_tbl[[#This Row],[Pipeline_Amount_USD]]</f>
        <v>64385.789999999994</v>
      </c>
      <c r="O5095" t="str">
        <f>_xlfn.XLOOKUP(Pipeline_tbl[[#This Row],[Rep_ID]],Dim_Reps!A:A,Dim_Reps!B:B)</f>
        <v>Lucas Cohen</v>
      </c>
      <c r="P5095" t="str">
        <f>_xlfn.XLOOKUP(Pipeline_tbl[[#This Row],[Rep_ID]],Dim_Reps!A:A,Dim_Reps!C:C)</f>
        <v>Enterprise AE</v>
      </c>
      <c r="Q5095" t="str">
        <f>_xlfn.XLOOKUP(Pipeline_tbl[[#This Row],[Rep_ID]],Dim_Reps!A:A,Dim_Reps!D:D)</f>
        <v>Enterprise</v>
      </c>
      <c r="R5095" t="str">
        <f>_xlfn.XLOOKUP(Pipeline_tbl[[#This Row],[Rep_ID]],Dim_Reps!A:A,Dim_Reps!E:E)</f>
        <v>NAMER</v>
      </c>
      <c r="S5095" t="str">
        <f>_xlfn.XLOOKUP(Pipeline_tbl[[#This Row],[Created_Date]],Dim_Date!A:A,Dim_Date!H:H)</f>
        <v>Dec 2025</v>
      </c>
      <c r="T5095" t="str">
        <f>IF(Pipeline_tbl[[#This Row],[Closed_Date]]=0,"",(_xlfn.XLOOKUP(Pipeline_tbl[[#This Row],[Closed_Date]],Dim_Date!A:A,Dim_Date!H:H)))</f>
        <v/>
      </c>
      <c r="U5095" t="str">
        <f>IF(Pipeline_tbl[[#This Row],[Closed_Date]]=0,"",Pipeline_tbl[[#This Row],[Closed_Date]]-Pipeline_tbl[[#This Row],[Created_Date]])</f>
        <v/>
      </c>
    </row>
    <row r="5096" spans="1:21" ht="15" customHeight="1" x14ac:dyDescent="0.2">
      <c r="A5096" t="s">
        <v>5402</v>
      </c>
      <c r="B5096" t="s">
        <v>177</v>
      </c>
      <c r="C5096" t="s">
        <v>55</v>
      </c>
      <c r="D5096" s="49">
        <v>45998</v>
      </c>
      <c r="E5096" s="49">
        <v>46003</v>
      </c>
      <c r="F5096" s="49">
        <v>46013</v>
      </c>
      <c r="J5096" t="s">
        <v>308</v>
      </c>
      <c r="K5096" s="33">
        <v>14700</v>
      </c>
      <c r="M5096" t="str">
        <f>_xlfn.XLOOKUP(Pipeline_tbl[[#This Row],[Rep_ID]],Dim_Reps!A:A,Dim_Reps!K:K)</f>
        <v>USD</v>
      </c>
      <c r="N5096" s="33">
        <f>(_xlfn.XLOOKUP(Pipeline_tbl[[#This Row],[Rate_Code_Generalized]],Lookups!A:A,Lookups!B:B))*Pipeline_tbl[[#This Row],[Pipeline_Amount_USD]]</f>
        <v>17115.21</v>
      </c>
      <c r="O5096" t="str">
        <f>_xlfn.XLOOKUP(Pipeline_tbl[[#This Row],[Rep_ID]],Dim_Reps!A:A,Dim_Reps!B:B)</f>
        <v>Lucas Cohen</v>
      </c>
      <c r="P5096" t="str">
        <f>_xlfn.XLOOKUP(Pipeline_tbl[[#This Row],[Rep_ID]],Dim_Reps!A:A,Dim_Reps!C:C)</f>
        <v>Enterprise AE</v>
      </c>
      <c r="Q5096" t="str">
        <f>_xlfn.XLOOKUP(Pipeline_tbl[[#This Row],[Rep_ID]],Dim_Reps!A:A,Dim_Reps!D:D)</f>
        <v>Enterprise</v>
      </c>
      <c r="R5096" t="str">
        <f>_xlfn.XLOOKUP(Pipeline_tbl[[#This Row],[Rep_ID]],Dim_Reps!A:A,Dim_Reps!E:E)</f>
        <v>NAMER</v>
      </c>
      <c r="S5096" t="str">
        <f>_xlfn.XLOOKUP(Pipeline_tbl[[#This Row],[Created_Date]],Dim_Date!A:A,Dim_Date!H:H)</f>
        <v>Dec 2025</v>
      </c>
      <c r="T5096" t="str">
        <f>IF(Pipeline_tbl[[#This Row],[Closed_Date]]=0,"",(_xlfn.XLOOKUP(Pipeline_tbl[[#This Row],[Closed_Date]],Dim_Date!A:A,Dim_Date!H:H)))</f>
        <v/>
      </c>
      <c r="U5096" t="str">
        <f>IF(Pipeline_tbl[[#This Row],[Closed_Date]]=0,"",Pipeline_tbl[[#This Row],[Closed_Date]]-Pipeline_tbl[[#This Row],[Created_Date]])</f>
        <v/>
      </c>
    </row>
    <row r="5097" spans="1:21" ht="15" customHeight="1" x14ac:dyDescent="0.2">
      <c r="A5097" t="s">
        <v>5403</v>
      </c>
      <c r="B5097" t="s">
        <v>177</v>
      </c>
      <c r="C5097" t="s">
        <v>52</v>
      </c>
      <c r="D5097" s="49">
        <v>46005</v>
      </c>
      <c r="E5097" s="49">
        <v>46012</v>
      </c>
      <c r="J5097" t="s">
        <v>308</v>
      </c>
      <c r="K5097" s="33">
        <v>47200</v>
      </c>
      <c r="M5097" t="str">
        <f>_xlfn.XLOOKUP(Pipeline_tbl[[#This Row],[Rep_ID]],Dim_Reps!A:A,Dim_Reps!K:K)</f>
        <v>USD</v>
      </c>
      <c r="N5097" s="33">
        <f>(_xlfn.XLOOKUP(Pipeline_tbl[[#This Row],[Rate_Code_Generalized]],Lookups!A:A,Lookups!B:B))*Pipeline_tbl[[#This Row],[Pipeline_Amount_USD]]</f>
        <v>54954.959999999992</v>
      </c>
      <c r="O5097" t="str">
        <f>_xlfn.XLOOKUP(Pipeline_tbl[[#This Row],[Rep_ID]],Dim_Reps!A:A,Dim_Reps!B:B)</f>
        <v>Lucas Cohen</v>
      </c>
      <c r="P5097" t="str">
        <f>_xlfn.XLOOKUP(Pipeline_tbl[[#This Row],[Rep_ID]],Dim_Reps!A:A,Dim_Reps!C:C)</f>
        <v>Enterprise AE</v>
      </c>
      <c r="Q5097" t="str">
        <f>_xlfn.XLOOKUP(Pipeline_tbl[[#This Row],[Rep_ID]],Dim_Reps!A:A,Dim_Reps!D:D)</f>
        <v>Enterprise</v>
      </c>
      <c r="R5097" t="str">
        <f>_xlfn.XLOOKUP(Pipeline_tbl[[#This Row],[Rep_ID]],Dim_Reps!A:A,Dim_Reps!E:E)</f>
        <v>NAMER</v>
      </c>
      <c r="S5097" t="str">
        <f>_xlfn.XLOOKUP(Pipeline_tbl[[#This Row],[Created_Date]],Dim_Date!A:A,Dim_Date!H:H)</f>
        <v>Dec 2025</v>
      </c>
      <c r="T5097" t="str">
        <f>IF(Pipeline_tbl[[#This Row],[Closed_Date]]=0,"",(_xlfn.XLOOKUP(Pipeline_tbl[[#This Row],[Closed_Date]],Dim_Date!A:A,Dim_Date!H:H)))</f>
        <v/>
      </c>
      <c r="U5097" t="str">
        <f>IF(Pipeline_tbl[[#This Row],[Closed_Date]]=0,"",Pipeline_tbl[[#This Row],[Closed_Date]]-Pipeline_tbl[[#This Row],[Created_Date]])</f>
        <v/>
      </c>
    </row>
    <row r="5098" spans="1:21" ht="15" customHeight="1" x14ac:dyDescent="0.2">
      <c r="A5098" t="s">
        <v>5404</v>
      </c>
      <c r="B5098" t="s">
        <v>177</v>
      </c>
      <c r="C5098" t="s">
        <v>52</v>
      </c>
      <c r="D5098" s="49">
        <v>46017</v>
      </c>
      <c r="J5098" t="s">
        <v>308</v>
      </c>
      <c r="K5098" s="33">
        <v>45500</v>
      </c>
      <c r="M5098" t="str">
        <f>_xlfn.XLOOKUP(Pipeline_tbl[[#This Row],[Rep_ID]],Dim_Reps!A:A,Dim_Reps!K:K)</f>
        <v>USD</v>
      </c>
      <c r="N5098" s="33">
        <f>(_xlfn.XLOOKUP(Pipeline_tbl[[#This Row],[Rate_Code_Generalized]],Lookups!A:A,Lookups!B:B))*Pipeline_tbl[[#This Row],[Pipeline_Amount_USD]]</f>
        <v>52975.649999999994</v>
      </c>
      <c r="O5098" t="str">
        <f>_xlfn.XLOOKUP(Pipeline_tbl[[#This Row],[Rep_ID]],Dim_Reps!A:A,Dim_Reps!B:B)</f>
        <v>Lucas Cohen</v>
      </c>
      <c r="P5098" t="str">
        <f>_xlfn.XLOOKUP(Pipeline_tbl[[#This Row],[Rep_ID]],Dim_Reps!A:A,Dim_Reps!C:C)</f>
        <v>Enterprise AE</v>
      </c>
      <c r="Q5098" t="str">
        <f>_xlfn.XLOOKUP(Pipeline_tbl[[#This Row],[Rep_ID]],Dim_Reps!A:A,Dim_Reps!D:D)</f>
        <v>Enterprise</v>
      </c>
      <c r="R5098" t="str">
        <f>_xlfn.XLOOKUP(Pipeline_tbl[[#This Row],[Rep_ID]],Dim_Reps!A:A,Dim_Reps!E:E)</f>
        <v>NAMER</v>
      </c>
      <c r="S5098" t="str">
        <f>_xlfn.XLOOKUP(Pipeline_tbl[[#This Row],[Created_Date]],Dim_Date!A:A,Dim_Date!H:H)</f>
        <v>Dec 2025</v>
      </c>
      <c r="T5098" t="str">
        <f>IF(Pipeline_tbl[[#This Row],[Closed_Date]]=0,"",(_xlfn.XLOOKUP(Pipeline_tbl[[#This Row],[Closed_Date]],Dim_Date!A:A,Dim_Date!H:H)))</f>
        <v/>
      </c>
      <c r="U5098" t="str">
        <f>IF(Pipeline_tbl[[#This Row],[Closed_Date]]=0,"",Pipeline_tbl[[#This Row],[Closed_Date]]-Pipeline_tbl[[#This Row],[Created_Date]])</f>
        <v/>
      </c>
    </row>
    <row r="5099" spans="1:21" ht="15" customHeight="1" x14ac:dyDescent="0.2">
      <c r="A5099" t="s">
        <v>5405</v>
      </c>
      <c r="B5099" t="s">
        <v>177</v>
      </c>
      <c r="C5099" t="s">
        <v>55</v>
      </c>
      <c r="D5099" s="49">
        <v>46010</v>
      </c>
      <c r="E5099" s="49">
        <v>46013</v>
      </c>
      <c r="F5099" s="49">
        <v>46019</v>
      </c>
      <c r="J5099" t="s">
        <v>308</v>
      </c>
      <c r="K5099" s="33">
        <v>61700</v>
      </c>
      <c r="M5099" t="str">
        <f>_xlfn.XLOOKUP(Pipeline_tbl[[#This Row],[Rep_ID]],Dim_Reps!A:A,Dim_Reps!K:K)</f>
        <v>USD</v>
      </c>
      <c r="N5099" s="33">
        <f>(_xlfn.XLOOKUP(Pipeline_tbl[[#This Row],[Rate_Code_Generalized]],Lookups!A:A,Lookups!B:B))*Pipeline_tbl[[#This Row],[Pipeline_Amount_USD]]</f>
        <v>71837.31</v>
      </c>
      <c r="O5099" t="str">
        <f>_xlfn.XLOOKUP(Pipeline_tbl[[#This Row],[Rep_ID]],Dim_Reps!A:A,Dim_Reps!B:B)</f>
        <v>Lucas Cohen</v>
      </c>
      <c r="P5099" t="str">
        <f>_xlfn.XLOOKUP(Pipeline_tbl[[#This Row],[Rep_ID]],Dim_Reps!A:A,Dim_Reps!C:C)</f>
        <v>Enterprise AE</v>
      </c>
      <c r="Q5099" t="str">
        <f>_xlfn.XLOOKUP(Pipeline_tbl[[#This Row],[Rep_ID]],Dim_Reps!A:A,Dim_Reps!D:D)</f>
        <v>Enterprise</v>
      </c>
      <c r="R5099" t="str">
        <f>_xlfn.XLOOKUP(Pipeline_tbl[[#This Row],[Rep_ID]],Dim_Reps!A:A,Dim_Reps!E:E)</f>
        <v>NAMER</v>
      </c>
      <c r="S5099" t="str">
        <f>_xlfn.XLOOKUP(Pipeline_tbl[[#This Row],[Created_Date]],Dim_Date!A:A,Dim_Date!H:H)</f>
        <v>Dec 2025</v>
      </c>
      <c r="T5099" t="str">
        <f>IF(Pipeline_tbl[[#This Row],[Closed_Date]]=0,"",(_xlfn.XLOOKUP(Pipeline_tbl[[#This Row],[Closed_Date]],Dim_Date!A:A,Dim_Date!H:H)))</f>
        <v/>
      </c>
      <c r="U5099" t="str">
        <f>IF(Pipeline_tbl[[#This Row],[Closed_Date]]=0,"",Pipeline_tbl[[#This Row],[Closed_Date]]-Pipeline_tbl[[#This Row],[Created_Date]])</f>
        <v/>
      </c>
    </row>
    <row r="5100" spans="1:21" ht="15" customHeight="1" x14ac:dyDescent="0.2">
      <c r="A5100" t="s">
        <v>5406</v>
      </c>
      <c r="B5100" t="s">
        <v>243</v>
      </c>
      <c r="C5100" t="s">
        <v>53</v>
      </c>
      <c r="D5100" s="49">
        <v>45996</v>
      </c>
      <c r="E5100" s="49">
        <v>45999</v>
      </c>
      <c r="F5100" s="49">
        <v>46006</v>
      </c>
      <c r="G5100" s="49">
        <v>46016</v>
      </c>
      <c r="J5100" t="s">
        <v>308</v>
      </c>
      <c r="K5100" s="33">
        <v>20900</v>
      </c>
      <c r="M5100" t="str">
        <f>_xlfn.XLOOKUP(Pipeline_tbl[[#This Row],[Rep_ID]],Dim_Reps!A:A,Dim_Reps!K:K)</f>
        <v>MXN</v>
      </c>
      <c r="N5100" s="33">
        <f>(_xlfn.XLOOKUP(Pipeline_tbl[[#This Row],[Rate_Code_Generalized]],Lookups!A:A,Lookups!B:B))*Pipeline_tbl[[#This Row],[Pipeline_Amount_USD]]</f>
        <v>412413.43000000005</v>
      </c>
      <c r="O5100" t="str">
        <f>_xlfn.XLOOKUP(Pipeline_tbl[[#This Row],[Rep_ID]],Dim_Reps!A:A,Dim_Reps!B:B)</f>
        <v>Jonas Sato</v>
      </c>
      <c r="P5100" t="str">
        <f>_xlfn.XLOOKUP(Pipeline_tbl[[#This Row],[Rep_ID]],Dim_Reps!A:A,Dim_Reps!C:C)</f>
        <v>Mid-Market AE</v>
      </c>
      <c r="Q5100" t="str">
        <f>_xlfn.XLOOKUP(Pipeline_tbl[[#This Row],[Rep_ID]],Dim_Reps!A:A,Dim_Reps!D:D)</f>
        <v>Mid-Market</v>
      </c>
      <c r="R5100" t="str">
        <f>_xlfn.XLOOKUP(Pipeline_tbl[[#This Row],[Rep_ID]],Dim_Reps!A:A,Dim_Reps!E:E)</f>
        <v>LATAM</v>
      </c>
      <c r="S5100" t="str">
        <f>_xlfn.XLOOKUP(Pipeline_tbl[[#This Row],[Created_Date]],Dim_Date!A:A,Dim_Date!H:H)</f>
        <v>Dec 2025</v>
      </c>
      <c r="T5100" t="str">
        <f>IF(Pipeline_tbl[[#This Row],[Closed_Date]]=0,"",(_xlfn.XLOOKUP(Pipeline_tbl[[#This Row],[Closed_Date]],Dim_Date!A:A,Dim_Date!H:H)))</f>
        <v/>
      </c>
      <c r="U5100" t="str">
        <f>IF(Pipeline_tbl[[#This Row],[Closed_Date]]=0,"",Pipeline_tbl[[#This Row],[Closed_Date]]-Pipeline_tbl[[#This Row],[Created_Date]])</f>
        <v/>
      </c>
    </row>
    <row r="5101" spans="1:21" ht="15" customHeight="1" x14ac:dyDescent="0.2">
      <c r="A5101" t="s">
        <v>5407</v>
      </c>
      <c r="B5101" t="s">
        <v>243</v>
      </c>
      <c r="C5101" t="s">
        <v>52</v>
      </c>
      <c r="D5101" s="49">
        <v>45996</v>
      </c>
      <c r="E5101" s="49">
        <v>45999</v>
      </c>
      <c r="F5101" s="49">
        <v>46005</v>
      </c>
      <c r="G5101" s="49">
        <v>46014</v>
      </c>
      <c r="H5101" s="49">
        <v>46022</v>
      </c>
      <c r="J5101" t="s">
        <v>308</v>
      </c>
      <c r="K5101" s="33">
        <v>20600</v>
      </c>
      <c r="M5101" t="str">
        <f>_xlfn.XLOOKUP(Pipeline_tbl[[#This Row],[Rep_ID]],Dim_Reps!A:A,Dim_Reps!K:K)</f>
        <v>MXN</v>
      </c>
      <c r="N5101" s="33">
        <f>(_xlfn.XLOOKUP(Pipeline_tbl[[#This Row],[Rate_Code_Generalized]],Lookups!A:A,Lookups!B:B))*Pipeline_tbl[[#This Row],[Pipeline_Amount_USD]]</f>
        <v>406493.62000000005</v>
      </c>
      <c r="O5101" t="str">
        <f>_xlfn.XLOOKUP(Pipeline_tbl[[#This Row],[Rep_ID]],Dim_Reps!A:A,Dim_Reps!B:B)</f>
        <v>Jonas Sato</v>
      </c>
      <c r="P5101" t="str">
        <f>_xlfn.XLOOKUP(Pipeline_tbl[[#This Row],[Rep_ID]],Dim_Reps!A:A,Dim_Reps!C:C)</f>
        <v>Mid-Market AE</v>
      </c>
      <c r="Q5101" t="str">
        <f>_xlfn.XLOOKUP(Pipeline_tbl[[#This Row],[Rep_ID]],Dim_Reps!A:A,Dim_Reps!D:D)</f>
        <v>Mid-Market</v>
      </c>
      <c r="R5101" t="str">
        <f>_xlfn.XLOOKUP(Pipeline_tbl[[#This Row],[Rep_ID]],Dim_Reps!A:A,Dim_Reps!E:E)</f>
        <v>LATAM</v>
      </c>
      <c r="S5101" t="str">
        <f>_xlfn.XLOOKUP(Pipeline_tbl[[#This Row],[Created_Date]],Dim_Date!A:A,Dim_Date!H:H)</f>
        <v>Dec 2025</v>
      </c>
      <c r="T5101" t="str">
        <f>IF(Pipeline_tbl[[#This Row],[Closed_Date]]=0,"",(_xlfn.XLOOKUP(Pipeline_tbl[[#This Row],[Closed_Date]],Dim_Date!A:A,Dim_Date!H:H)))</f>
        <v/>
      </c>
      <c r="U5101" t="str">
        <f>IF(Pipeline_tbl[[#This Row],[Closed_Date]]=0,"",Pipeline_tbl[[#This Row],[Closed_Date]]-Pipeline_tbl[[#This Row],[Created_Date]])</f>
        <v/>
      </c>
    </row>
    <row r="5102" spans="1:21" ht="15" customHeight="1" x14ac:dyDescent="0.2">
      <c r="A5102" t="s">
        <v>5408</v>
      </c>
      <c r="B5102" t="s">
        <v>243</v>
      </c>
      <c r="C5102" t="s">
        <v>56</v>
      </c>
      <c r="D5102" s="49">
        <v>46004</v>
      </c>
      <c r="E5102" s="49">
        <v>46010</v>
      </c>
      <c r="F5102" s="49">
        <v>46021</v>
      </c>
      <c r="J5102" t="s">
        <v>308</v>
      </c>
      <c r="K5102" s="33">
        <v>14000</v>
      </c>
      <c r="M5102" t="str">
        <f>_xlfn.XLOOKUP(Pipeline_tbl[[#This Row],[Rep_ID]],Dim_Reps!A:A,Dim_Reps!K:K)</f>
        <v>MXN</v>
      </c>
      <c r="N5102" s="33">
        <f>(_xlfn.XLOOKUP(Pipeline_tbl[[#This Row],[Rate_Code_Generalized]],Lookups!A:A,Lookups!B:B))*Pipeline_tbl[[#This Row],[Pipeline_Amount_USD]]</f>
        <v>276257.8</v>
      </c>
      <c r="O5102" t="str">
        <f>_xlfn.XLOOKUP(Pipeline_tbl[[#This Row],[Rep_ID]],Dim_Reps!A:A,Dim_Reps!B:B)</f>
        <v>Jonas Sato</v>
      </c>
      <c r="P5102" t="str">
        <f>_xlfn.XLOOKUP(Pipeline_tbl[[#This Row],[Rep_ID]],Dim_Reps!A:A,Dim_Reps!C:C)</f>
        <v>Mid-Market AE</v>
      </c>
      <c r="Q5102" t="str">
        <f>_xlfn.XLOOKUP(Pipeline_tbl[[#This Row],[Rep_ID]],Dim_Reps!A:A,Dim_Reps!D:D)</f>
        <v>Mid-Market</v>
      </c>
      <c r="R5102" t="str">
        <f>_xlfn.XLOOKUP(Pipeline_tbl[[#This Row],[Rep_ID]],Dim_Reps!A:A,Dim_Reps!E:E)</f>
        <v>LATAM</v>
      </c>
      <c r="S5102" t="str">
        <f>_xlfn.XLOOKUP(Pipeline_tbl[[#This Row],[Created_Date]],Dim_Date!A:A,Dim_Date!H:H)</f>
        <v>Dec 2025</v>
      </c>
      <c r="T5102" t="str">
        <f>IF(Pipeline_tbl[[#This Row],[Closed_Date]]=0,"",(_xlfn.XLOOKUP(Pipeline_tbl[[#This Row],[Closed_Date]],Dim_Date!A:A,Dim_Date!H:H)))</f>
        <v/>
      </c>
      <c r="U5102" t="str">
        <f>IF(Pipeline_tbl[[#This Row],[Closed_Date]]=0,"",Pipeline_tbl[[#This Row],[Closed_Date]]-Pipeline_tbl[[#This Row],[Created_Date]])</f>
        <v/>
      </c>
    </row>
    <row r="5103" spans="1:21" ht="15" customHeight="1" x14ac:dyDescent="0.2">
      <c r="A5103" t="s">
        <v>5409</v>
      </c>
      <c r="B5103" t="s">
        <v>243</v>
      </c>
      <c r="C5103" t="s">
        <v>52</v>
      </c>
      <c r="D5103" s="49">
        <v>46014</v>
      </c>
      <c r="E5103" s="49">
        <v>46017</v>
      </c>
      <c r="F5103" s="49">
        <v>46022</v>
      </c>
      <c r="J5103" t="s">
        <v>308</v>
      </c>
      <c r="K5103" s="33">
        <v>3900</v>
      </c>
      <c r="M5103" t="str">
        <f>_xlfn.XLOOKUP(Pipeline_tbl[[#This Row],[Rep_ID]],Dim_Reps!A:A,Dim_Reps!K:K)</f>
        <v>MXN</v>
      </c>
      <c r="N5103" s="33">
        <f>(_xlfn.XLOOKUP(Pipeline_tbl[[#This Row],[Rate_Code_Generalized]],Lookups!A:A,Lookups!B:B))*Pipeline_tbl[[#This Row],[Pipeline_Amount_USD]]</f>
        <v>76957.53</v>
      </c>
      <c r="O5103" t="str">
        <f>_xlfn.XLOOKUP(Pipeline_tbl[[#This Row],[Rep_ID]],Dim_Reps!A:A,Dim_Reps!B:B)</f>
        <v>Jonas Sato</v>
      </c>
      <c r="P5103" t="str">
        <f>_xlfn.XLOOKUP(Pipeline_tbl[[#This Row],[Rep_ID]],Dim_Reps!A:A,Dim_Reps!C:C)</f>
        <v>Mid-Market AE</v>
      </c>
      <c r="Q5103" t="str">
        <f>_xlfn.XLOOKUP(Pipeline_tbl[[#This Row],[Rep_ID]],Dim_Reps!A:A,Dim_Reps!D:D)</f>
        <v>Mid-Market</v>
      </c>
      <c r="R5103" t="str">
        <f>_xlfn.XLOOKUP(Pipeline_tbl[[#This Row],[Rep_ID]],Dim_Reps!A:A,Dim_Reps!E:E)</f>
        <v>LATAM</v>
      </c>
      <c r="S5103" t="str">
        <f>_xlfn.XLOOKUP(Pipeline_tbl[[#This Row],[Created_Date]],Dim_Date!A:A,Dim_Date!H:H)</f>
        <v>Dec 2025</v>
      </c>
      <c r="T5103" t="str">
        <f>IF(Pipeline_tbl[[#This Row],[Closed_Date]]=0,"",(_xlfn.XLOOKUP(Pipeline_tbl[[#This Row],[Closed_Date]],Dim_Date!A:A,Dim_Date!H:H)))</f>
        <v/>
      </c>
      <c r="U5103" t="str">
        <f>IF(Pipeline_tbl[[#This Row],[Closed_Date]]=0,"",Pipeline_tbl[[#This Row],[Closed_Date]]-Pipeline_tbl[[#This Row],[Created_Date]])</f>
        <v/>
      </c>
    </row>
    <row r="5104" spans="1:21" ht="15" customHeight="1" x14ac:dyDescent="0.2">
      <c r="A5104" t="s">
        <v>5410</v>
      </c>
      <c r="B5104" t="s">
        <v>243</v>
      </c>
      <c r="C5104" t="s">
        <v>52</v>
      </c>
      <c r="D5104" s="49">
        <v>45996</v>
      </c>
      <c r="E5104" s="49">
        <v>46000</v>
      </c>
      <c r="F5104" s="49">
        <v>46007</v>
      </c>
      <c r="G5104" s="49">
        <v>46017</v>
      </c>
      <c r="J5104" t="s">
        <v>308</v>
      </c>
      <c r="K5104" s="33">
        <v>12900</v>
      </c>
      <c r="M5104" t="str">
        <f>_xlfn.XLOOKUP(Pipeline_tbl[[#This Row],[Rep_ID]],Dim_Reps!A:A,Dim_Reps!K:K)</f>
        <v>MXN</v>
      </c>
      <c r="N5104" s="33">
        <f>(_xlfn.XLOOKUP(Pipeline_tbl[[#This Row],[Rate_Code_Generalized]],Lookups!A:A,Lookups!B:B))*Pipeline_tbl[[#This Row],[Pipeline_Amount_USD]]</f>
        <v>254551.83000000002</v>
      </c>
      <c r="O5104" t="str">
        <f>_xlfn.XLOOKUP(Pipeline_tbl[[#This Row],[Rep_ID]],Dim_Reps!A:A,Dim_Reps!B:B)</f>
        <v>Jonas Sato</v>
      </c>
      <c r="P5104" t="str">
        <f>_xlfn.XLOOKUP(Pipeline_tbl[[#This Row],[Rep_ID]],Dim_Reps!A:A,Dim_Reps!C:C)</f>
        <v>Mid-Market AE</v>
      </c>
      <c r="Q5104" t="str">
        <f>_xlfn.XLOOKUP(Pipeline_tbl[[#This Row],[Rep_ID]],Dim_Reps!A:A,Dim_Reps!D:D)</f>
        <v>Mid-Market</v>
      </c>
      <c r="R5104" t="str">
        <f>_xlfn.XLOOKUP(Pipeline_tbl[[#This Row],[Rep_ID]],Dim_Reps!A:A,Dim_Reps!E:E)</f>
        <v>LATAM</v>
      </c>
      <c r="S5104" t="str">
        <f>_xlfn.XLOOKUP(Pipeline_tbl[[#This Row],[Created_Date]],Dim_Date!A:A,Dim_Date!H:H)</f>
        <v>Dec 2025</v>
      </c>
      <c r="T5104" t="str">
        <f>IF(Pipeline_tbl[[#This Row],[Closed_Date]]=0,"",(_xlfn.XLOOKUP(Pipeline_tbl[[#This Row],[Closed_Date]],Dim_Date!A:A,Dim_Date!H:H)))</f>
        <v/>
      </c>
      <c r="U5104" t="str">
        <f>IF(Pipeline_tbl[[#This Row],[Closed_Date]]=0,"",Pipeline_tbl[[#This Row],[Closed_Date]]-Pipeline_tbl[[#This Row],[Created_Date]])</f>
        <v/>
      </c>
    </row>
    <row r="5105" spans="1:21" ht="15" customHeight="1" x14ac:dyDescent="0.2">
      <c r="A5105" t="s">
        <v>5411</v>
      </c>
      <c r="B5105" t="s">
        <v>243</v>
      </c>
      <c r="C5105" t="s">
        <v>53</v>
      </c>
      <c r="D5105" s="49">
        <v>46014</v>
      </c>
      <c r="E5105" s="49">
        <v>46018</v>
      </c>
      <c r="J5105" t="s">
        <v>308</v>
      </c>
      <c r="K5105" s="33">
        <v>10300</v>
      </c>
      <c r="M5105" t="str">
        <f>_xlfn.XLOOKUP(Pipeline_tbl[[#This Row],[Rep_ID]],Dim_Reps!A:A,Dim_Reps!K:K)</f>
        <v>MXN</v>
      </c>
      <c r="N5105" s="33">
        <f>(_xlfn.XLOOKUP(Pipeline_tbl[[#This Row],[Rate_Code_Generalized]],Lookups!A:A,Lookups!B:B))*Pipeline_tbl[[#This Row],[Pipeline_Amount_USD]]</f>
        <v>203246.81000000003</v>
      </c>
      <c r="O5105" t="str">
        <f>_xlfn.XLOOKUP(Pipeline_tbl[[#This Row],[Rep_ID]],Dim_Reps!A:A,Dim_Reps!B:B)</f>
        <v>Jonas Sato</v>
      </c>
      <c r="P5105" t="str">
        <f>_xlfn.XLOOKUP(Pipeline_tbl[[#This Row],[Rep_ID]],Dim_Reps!A:A,Dim_Reps!C:C)</f>
        <v>Mid-Market AE</v>
      </c>
      <c r="Q5105" t="str">
        <f>_xlfn.XLOOKUP(Pipeline_tbl[[#This Row],[Rep_ID]],Dim_Reps!A:A,Dim_Reps!D:D)</f>
        <v>Mid-Market</v>
      </c>
      <c r="R5105" t="str">
        <f>_xlfn.XLOOKUP(Pipeline_tbl[[#This Row],[Rep_ID]],Dim_Reps!A:A,Dim_Reps!E:E)</f>
        <v>LATAM</v>
      </c>
      <c r="S5105" t="str">
        <f>_xlfn.XLOOKUP(Pipeline_tbl[[#This Row],[Created_Date]],Dim_Date!A:A,Dim_Date!H:H)</f>
        <v>Dec 2025</v>
      </c>
      <c r="T5105" t="str">
        <f>IF(Pipeline_tbl[[#This Row],[Closed_Date]]=0,"",(_xlfn.XLOOKUP(Pipeline_tbl[[#This Row],[Closed_Date]],Dim_Date!A:A,Dim_Date!H:H)))</f>
        <v/>
      </c>
      <c r="U5105" t="str">
        <f>IF(Pipeline_tbl[[#This Row],[Closed_Date]]=0,"",Pipeline_tbl[[#This Row],[Closed_Date]]-Pipeline_tbl[[#This Row],[Created_Date]])</f>
        <v/>
      </c>
    </row>
    <row r="5106" spans="1:21" ht="15" customHeight="1" x14ac:dyDescent="0.2">
      <c r="A5106" t="s">
        <v>5412</v>
      </c>
      <c r="B5106" t="s">
        <v>196</v>
      </c>
      <c r="C5106" t="s">
        <v>52</v>
      </c>
      <c r="D5106" s="49">
        <v>46022</v>
      </c>
      <c r="J5106" t="s">
        <v>308</v>
      </c>
      <c r="K5106" s="33">
        <v>2400</v>
      </c>
      <c r="M5106" t="str">
        <f>_xlfn.XLOOKUP(Pipeline_tbl[[#This Row],[Rep_ID]],Dim_Reps!A:A,Dim_Reps!K:K)</f>
        <v>EUR</v>
      </c>
      <c r="N5106" s="33">
        <f>(_xlfn.XLOOKUP(Pipeline_tbl[[#This Row],[Rate_Code_Generalized]],Lookups!A:A,Lookups!B:B))*Pipeline_tbl[[#This Row],[Pipeline_Amount_USD]]</f>
        <v>2400</v>
      </c>
      <c r="O5106" t="str">
        <f>_xlfn.XLOOKUP(Pipeline_tbl[[#This Row],[Rep_ID]],Dim_Reps!A:A,Dim_Reps!B:B)</f>
        <v>Alex Okafor</v>
      </c>
      <c r="P5106" t="str">
        <f>_xlfn.XLOOKUP(Pipeline_tbl[[#This Row],[Rep_ID]],Dim_Reps!A:A,Dim_Reps!C:C)</f>
        <v>SDR / Inside Sales Rep</v>
      </c>
      <c r="Q5106" t="str">
        <f>_xlfn.XLOOKUP(Pipeline_tbl[[#This Row],[Rep_ID]],Dim_Reps!A:A,Dim_Reps!D:D)</f>
        <v>Inside Sales</v>
      </c>
      <c r="R5106" t="str">
        <f>_xlfn.XLOOKUP(Pipeline_tbl[[#This Row],[Rep_ID]],Dim_Reps!A:A,Dim_Reps!E:E)</f>
        <v>EMEA</v>
      </c>
      <c r="S5106" t="str">
        <f>_xlfn.XLOOKUP(Pipeline_tbl[[#This Row],[Created_Date]],Dim_Date!A:A,Dim_Date!H:H)</f>
        <v>Dec 2025</v>
      </c>
      <c r="T5106" t="str">
        <f>IF(Pipeline_tbl[[#This Row],[Closed_Date]]=0,"",(_xlfn.XLOOKUP(Pipeline_tbl[[#This Row],[Closed_Date]],Dim_Date!A:A,Dim_Date!H:H)))</f>
        <v/>
      </c>
      <c r="U5106" t="str">
        <f>IF(Pipeline_tbl[[#This Row],[Closed_Date]]=0,"",Pipeline_tbl[[#This Row],[Closed_Date]]-Pipeline_tbl[[#This Row],[Created_Date]])</f>
        <v/>
      </c>
    </row>
    <row r="5107" spans="1:21" ht="15" customHeight="1" x14ac:dyDescent="0.2">
      <c r="A5107" t="s">
        <v>5413</v>
      </c>
      <c r="B5107" t="s">
        <v>196</v>
      </c>
      <c r="C5107" t="s">
        <v>53</v>
      </c>
      <c r="D5107" s="49">
        <v>46004</v>
      </c>
      <c r="E5107" s="49">
        <v>46006</v>
      </c>
      <c r="F5107" s="49">
        <v>46011</v>
      </c>
      <c r="G5107" s="49">
        <v>46017</v>
      </c>
      <c r="J5107" t="s">
        <v>308</v>
      </c>
      <c r="K5107" s="33">
        <v>4700</v>
      </c>
      <c r="M5107" t="str">
        <f>_xlfn.XLOOKUP(Pipeline_tbl[[#This Row],[Rep_ID]],Dim_Reps!A:A,Dim_Reps!K:K)</f>
        <v>EUR</v>
      </c>
      <c r="N5107" s="33">
        <f>(_xlfn.XLOOKUP(Pipeline_tbl[[#This Row],[Rate_Code_Generalized]],Lookups!A:A,Lookups!B:B))*Pipeline_tbl[[#This Row],[Pipeline_Amount_USD]]</f>
        <v>4700</v>
      </c>
      <c r="O5107" t="str">
        <f>_xlfn.XLOOKUP(Pipeline_tbl[[#This Row],[Rep_ID]],Dim_Reps!A:A,Dim_Reps!B:B)</f>
        <v>Alex Okafor</v>
      </c>
      <c r="P5107" t="str">
        <f>_xlfn.XLOOKUP(Pipeline_tbl[[#This Row],[Rep_ID]],Dim_Reps!A:A,Dim_Reps!C:C)</f>
        <v>SDR / Inside Sales Rep</v>
      </c>
      <c r="Q5107" t="str">
        <f>_xlfn.XLOOKUP(Pipeline_tbl[[#This Row],[Rep_ID]],Dim_Reps!A:A,Dim_Reps!D:D)</f>
        <v>Inside Sales</v>
      </c>
      <c r="R5107" t="str">
        <f>_xlfn.XLOOKUP(Pipeline_tbl[[#This Row],[Rep_ID]],Dim_Reps!A:A,Dim_Reps!E:E)</f>
        <v>EMEA</v>
      </c>
      <c r="S5107" t="str">
        <f>_xlfn.XLOOKUP(Pipeline_tbl[[#This Row],[Created_Date]],Dim_Date!A:A,Dim_Date!H:H)</f>
        <v>Dec 2025</v>
      </c>
      <c r="T5107" t="str">
        <f>IF(Pipeline_tbl[[#This Row],[Closed_Date]]=0,"",(_xlfn.XLOOKUP(Pipeline_tbl[[#This Row],[Closed_Date]],Dim_Date!A:A,Dim_Date!H:H)))</f>
        <v/>
      </c>
      <c r="U5107" t="str">
        <f>IF(Pipeline_tbl[[#This Row],[Closed_Date]]=0,"",Pipeline_tbl[[#This Row],[Closed_Date]]-Pipeline_tbl[[#This Row],[Created_Date]])</f>
        <v/>
      </c>
    </row>
    <row r="5108" spans="1:21" ht="15" customHeight="1" x14ac:dyDescent="0.2">
      <c r="A5108" t="s">
        <v>5414</v>
      </c>
      <c r="B5108" t="s">
        <v>196</v>
      </c>
      <c r="C5108" t="s">
        <v>53</v>
      </c>
      <c r="D5108" s="49">
        <v>46022</v>
      </c>
      <c r="J5108" t="s">
        <v>308</v>
      </c>
      <c r="K5108" s="33">
        <v>3800</v>
      </c>
      <c r="M5108" t="str">
        <f>_xlfn.XLOOKUP(Pipeline_tbl[[#This Row],[Rep_ID]],Dim_Reps!A:A,Dim_Reps!K:K)</f>
        <v>EUR</v>
      </c>
      <c r="N5108" s="33">
        <f>(_xlfn.XLOOKUP(Pipeline_tbl[[#This Row],[Rate_Code_Generalized]],Lookups!A:A,Lookups!B:B))*Pipeline_tbl[[#This Row],[Pipeline_Amount_USD]]</f>
        <v>3800</v>
      </c>
      <c r="O5108" t="str">
        <f>_xlfn.XLOOKUP(Pipeline_tbl[[#This Row],[Rep_ID]],Dim_Reps!A:A,Dim_Reps!B:B)</f>
        <v>Alex Okafor</v>
      </c>
      <c r="P5108" t="str">
        <f>_xlfn.XLOOKUP(Pipeline_tbl[[#This Row],[Rep_ID]],Dim_Reps!A:A,Dim_Reps!C:C)</f>
        <v>SDR / Inside Sales Rep</v>
      </c>
      <c r="Q5108" t="str">
        <f>_xlfn.XLOOKUP(Pipeline_tbl[[#This Row],[Rep_ID]],Dim_Reps!A:A,Dim_Reps!D:D)</f>
        <v>Inside Sales</v>
      </c>
      <c r="R5108" t="str">
        <f>_xlfn.XLOOKUP(Pipeline_tbl[[#This Row],[Rep_ID]],Dim_Reps!A:A,Dim_Reps!E:E)</f>
        <v>EMEA</v>
      </c>
      <c r="S5108" t="str">
        <f>_xlfn.XLOOKUP(Pipeline_tbl[[#This Row],[Created_Date]],Dim_Date!A:A,Dim_Date!H:H)</f>
        <v>Dec 2025</v>
      </c>
      <c r="T5108" t="str">
        <f>IF(Pipeline_tbl[[#This Row],[Closed_Date]]=0,"",(_xlfn.XLOOKUP(Pipeline_tbl[[#This Row],[Closed_Date]],Dim_Date!A:A,Dim_Date!H:H)))</f>
        <v/>
      </c>
      <c r="U5108" t="str">
        <f>IF(Pipeline_tbl[[#This Row],[Closed_Date]]=0,"",Pipeline_tbl[[#This Row],[Closed_Date]]-Pipeline_tbl[[#This Row],[Created_Date]])</f>
        <v/>
      </c>
    </row>
    <row r="5109" spans="1:21" ht="15" customHeight="1" x14ac:dyDescent="0.2">
      <c r="A5109" t="s">
        <v>5415</v>
      </c>
      <c r="B5109" t="s">
        <v>196</v>
      </c>
      <c r="C5109" t="s">
        <v>52</v>
      </c>
      <c r="D5109" s="49">
        <v>46010</v>
      </c>
      <c r="E5109" s="49">
        <v>46012</v>
      </c>
      <c r="F5109" s="49">
        <v>46016</v>
      </c>
      <c r="G5109" s="49">
        <v>46022</v>
      </c>
      <c r="J5109" t="s">
        <v>308</v>
      </c>
      <c r="K5109" s="33">
        <v>2100</v>
      </c>
      <c r="M5109" t="str">
        <f>_xlfn.XLOOKUP(Pipeline_tbl[[#This Row],[Rep_ID]],Dim_Reps!A:A,Dim_Reps!K:K)</f>
        <v>EUR</v>
      </c>
      <c r="N5109" s="33">
        <f>(_xlfn.XLOOKUP(Pipeline_tbl[[#This Row],[Rate_Code_Generalized]],Lookups!A:A,Lookups!B:B))*Pipeline_tbl[[#This Row],[Pipeline_Amount_USD]]</f>
        <v>2100</v>
      </c>
      <c r="O5109" t="str">
        <f>_xlfn.XLOOKUP(Pipeline_tbl[[#This Row],[Rep_ID]],Dim_Reps!A:A,Dim_Reps!B:B)</f>
        <v>Alex Okafor</v>
      </c>
      <c r="P5109" t="str">
        <f>_xlfn.XLOOKUP(Pipeline_tbl[[#This Row],[Rep_ID]],Dim_Reps!A:A,Dim_Reps!C:C)</f>
        <v>SDR / Inside Sales Rep</v>
      </c>
      <c r="Q5109" t="str">
        <f>_xlfn.XLOOKUP(Pipeline_tbl[[#This Row],[Rep_ID]],Dim_Reps!A:A,Dim_Reps!D:D)</f>
        <v>Inside Sales</v>
      </c>
      <c r="R5109" t="str">
        <f>_xlfn.XLOOKUP(Pipeline_tbl[[#This Row],[Rep_ID]],Dim_Reps!A:A,Dim_Reps!E:E)</f>
        <v>EMEA</v>
      </c>
      <c r="S5109" t="str">
        <f>_xlfn.XLOOKUP(Pipeline_tbl[[#This Row],[Created_Date]],Dim_Date!A:A,Dim_Date!H:H)</f>
        <v>Dec 2025</v>
      </c>
      <c r="T5109" t="str">
        <f>IF(Pipeline_tbl[[#This Row],[Closed_Date]]=0,"",(_xlfn.XLOOKUP(Pipeline_tbl[[#This Row],[Closed_Date]],Dim_Date!A:A,Dim_Date!H:H)))</f>
        <v/>
      </c>
      <c r="U5109" t="str">
        <f>IF(Pipeline_tbl[[#This Row],[Closed_Date]]=0,"",Pipeline_tbl[[#This Row],[Closed_Date]]-Pipeline_tbl[[#This Row],[Created_Date]])</f>
        <v/>
      </c>
    </row>
    <row r="5110" spans="1:21" ht="15" customHeight="1" x14ac:dyDescent="0.2">
      <c r="A5110" t="s">
        <v>5416</v>
      </c>
      <c r="B5110" t="s">
        <v>196</v>
      </c>
      <c r="C5110" t="s">
        <v>52</v>
      </c>
      <c r="D5110" s="49">
        <v>46014</v>
      </c>
      <c r="E5110" s="49">
        <v>46016</v>
      </c>
      <c r="F5110" s="49">
        <v>46021</v>
      </c>
      <c r="J5110" t="s">
        <v>308</v>
      </c>
      <c r="K5110" s="33">
        <v>4000</v>
      </c>
      <c r="M5110" t="str">
        <f>_xlfn.XLOOKUP(Pipeline_tbl[[#This Row],[Rep_ID]],Dim_Reps!A:A,Dim_Reps!K:K)</f>
        <v>EUR</v>
      </c>
      <c r="N5110" s="33">
        <f>(_xlfn.XLOOKUP(Pipeline_tbl[[#This Row],[Rate_Code_Generalized]],Lookups!A:A,Lookups!B:B))*Pipeline_tbl[[#This Row],[Pipeline_Amount_USD]]</f>
        <v>4000</v>
      </c>
      <c r="O5110" t="str">
        <f>_xlfn.XLOOKUP(Pipeline_tbl[[#This Row],[Rep_ID]],Dim_Reps!A:A,Dim_Reps!B:B)</f>
        <v>Alex Okafor</v>
      </c>
      <c r="P5110" t="str">
        <f>_xlfn.XLOOKUP(Pipeline_tbl[[#This Row],[Rep_ID]],Dim_Reps!A:A,Dim_Reps!C:C)</f>
        <v>SDR / Inside Sales Rep</v>
      </c>
      <c r="Q5110" t="str">
        <f>_xlfn.XLOOKUP(Pipeline_tbl[[#This Row],[Rep_ID]],Dim_Reps!A:A,Dim_Reps!D:D)</f>
        <v>Inside Sales</v>
      </c>
      <c r="R5110" t="str">
        <f>_xlfn.XLOOKUP(Pipeline_tbl[[#This Row],[Rep_ID]],Dim_Reps!A:A,Dim_Reps!E:E)</f>
        <v>EMEA</v>
      </c>
      <c r="S5110" t="str">
        <f>_xlfn.XLOOKUP(Pipeline_tbl[[#This Row],[Created_Date]],Dim_Date!A:A,Dim_Date!H:H)</f>
        <v>Dec 2025</v>
      </c>
      <c r="T5110" t="str">
        <f>IF(Pipeline_tbl[[#This Row],[Closed_Date]]=0,"",(_xlfn.XLOOKUP(Pipeline_tbl[[#This Row],[Closed_Date]],Dim_Date!A:A,Dim_Date!H:H)))</f>
        <v/>
      </c>
      <c r="U5110" t="str">
        <f>IF(Pipeline_tbl[[#This Row],[Closed_Date]]=0,"",Pipeline_tbl[[#This Row],[Closed_Date]]-Pipeline_tbl[[#This Row],[Created_Date]])</f>
        <v/>
      </c>
    </row>
    <row r="5111" spans="1:21" ht="15" customHeight="1" x14ac:dyDescent="0.2">
      <c r="A5111" t="s">
        <v>5417</v>
      </c>
      <c r="B5111" t="s">
        <v>196</v>
      </c>
      <c r="C5111" t="s">
        <v>55</v>
      </c>
      <c r="D5111" s="49">
        <v>46018</v>
      </c>
      <c r="E5111" s="49">
        <v>46020</v>
      </c>
      <c r="J5111" t="s">
        <v>308</v>
      </c>
      <c r="K5111" s="33">
        <v>3200</v>
      </c>
      <c r="M5111" t="str">
        <f>_xlfn.XLOOKUP(Pipeline_tbl[[#This Row],[Rep_ID]],Dim_Reps!A:A,Dim_Reps!K:K)</f>
        <v>EUR</v>
      </c>
      <c r="N5111" s="33">
        <f>(_xlfn.XLOOKUP(Pipeline_tbl[[#This Row],[Rate_Code_Generalized]],Lookups!A:A,Lookups!B:B))*Pipeline_tbl[[#This Row],[Pipeline_Amount_USD]]</f>
        <v>3200</v>
      </c>
      <c r="O5111" t="str">
        <f>_xlfn.XLOOKUP(Pipeline_tbl[[#This Row],[Rep_ID]],Dim_Reps!A:A,Dim_Reps!B:B)</f>
        <v>Alex Okafor</v>
      </c>
      <c r="P5111" t="str">
        <f>_xlfn.XLOOKUP(Pipeline_tbl[[#This Row],[Rep_ID]],Dim_Reps!A:A,Dim_Reps!C:C)</f>
        <v>SDR / Inside Sales Rep</v>
      </c>
      <c r="Q5111" t="str">
        <f>_xlfn.XLOOKUP(Pipeline_tbl[[#This Row],[Rep_ID]],Dim_Reps!A:A,Dim_Reps!D:D)</f>
        <v>Inside Sales</v>
      </c>
      <c r="R5111" t="str">
        <f>_xlfn.XLOOKUP(Pipeline_tbl[[#This Row],[Rep_ID]],Dim_Reps!A:A,Dim_Reps!E:E)</f>
        <v>EMEA</v>
      </c>
      <c r="S5111" t="str">
        <f>_xlfn.XLOOKUP(Pipeline_tbl[[#This Row],[Created_Date]],Dim_Date!A:A,Dim_Date!H:H)</f>
        <v>Dec 2025</v>
      </c>
      <c r="T5111" t="str">
        <f>IF(Pipeline_tbl[[#This Row],[Closed_Date]]=0,"",(_xlfn.XLOOKUP(Pipeline_tbl[[#This Row],[Closed_Date]],Dim_Date!A:A,Dim_Date!H:H)))</f>
        <v/>
      </c>
      <c r="U5111" t="str">
        <f>IF(Pipeline_tbl[[#This Row],[Closed_Date]]=0,"",Pipeline_tbl[[#This Row],[Closed_Date]]-Pipeline_tbl[[#This Row],[Created_Date]])</f>
        <v/>
      </c>
    </row>
    <row r="5112" spans="1:21" ht="15" customHeight="1" x14ac:dyDescent="0.2">
      <c r="A5112" t="s">
        <v>5418</v>
      </c>
      <c r="B5112" t="s">
        <v>196</v>
      </c>
      <c r="C5112" t="s">
        <v>52</v>
      </c>
      <c r="D5112" s="49">
        <v>46012</v>
      </c>
      <c r="E5112" s="49">
        <v>46014</v>
      </c>
      <c r="F5112" s="49">
        <v>46020</v>
      </c>
      <c r="J5112" t="s">
        <v>308</v>
      </c>
      <c r="K5112" s="33">
        <v>1900</v>
      </c>
      <c r="M5112" t="str">
        <f>_xlfn.XLOOKUP(Pipeline_tbl[[#This Row],[Rep_ID]],Dim_Reps!A:A,Dim_Reps!K:K)</f>
        <v>EUR</v>
      </c>
      <c r="N5112" s="33">
        <f>(_xlfn.XLOOKUP(Pipeline_tbl[[#This Row],[Rate_Code_Generalized]],Lookups!A:A,Lookups!B:B))*Pipeline_tbl[[#This Row],[Pipeline_Amount_USD]]</f>
        <v>1900</v>
      </c>
      <c r="O5112" t="str">
        <f>_xlfn.XLOOKUP(Pipeline_tbl[[#This Row],[Rep_ID]],Dim_Reps!A:A,Dim_Reps!B:B)</f>
        <v>Alex Okafor</v>
      </c>
      <c r="P5112" t="str">
        <f>_xlfn.XLOOKUP(Pipeline_tbl[[#This Row],[Rep_ID]],Dim_Reps!A:A,Dim_Reps!C:C)</f>
        <v>SDR / Inside Sales Rep</v>
      </c>
      <c r="Q5112" t="str">
        <f>_xlfn.XLOOKUP(Pipeline_tbl[[#This Row],[Rep_ID]],Dim_Reps!A:A,Dim_Reps!D:D)</f>
        <v>Inside Sales</v>
      </c>
      <c r="R5112" t="str">
        <f>_xlfn.XLOOKUP(Pipeline_tbl[[#This Row],[Rep_ID]],Dim_Reps!A:A,Dim_Reps!E:E)</f>
        <v>EMEA</v>
      </c>
      <c r="S5112" t="str">
        <f>_xlfn.XLOOKUP(Pipeline_tbl[[#This Row],[Created_Date]],Dim_Date!A:A,Dim_Date!H:H)</f>
        <v>Dec 2025</v>
      </c>
      <c r="T5112" t="str">
        <f>IF(Pipeline_tbl[[#This Row],[Closed_Date]]=0,"",(_xlfn.XLOOKUP(Pipeline_tbl[[#This Row],[Closed_Date]],Dim_Date!A:A,Dim_Date!H:H)))</f>
        <v/>
      </c>
      <c r="U5112" t="str">
        <f>IF(Pipeline_tbl[[#This Row],[Closed_Date]]=0,"",Pipeline_tbl[[#This Row],[Closed_Date]]-Pipeline_tbl[[#This Row],[Created_Date]])</f>
        <v/>
      </c>
    </row>
    <row r="5113" spans="1:21" ht="15" customHeight="1" x14ac:dyDescent="0.2">
      <c r="A5113" t="s">
        <v>5419</v>
      </c>
      <c r="B5113" t="s">
        <v>196</v>
      </c>
      <c r="C5113" t="s">
        <v>53</v>
      </c>
      <c r="D5113" s="49">
        <v>46014</v>
      </c>
      <c r="E5113" s="49">
        <v>46016</v>
      </c>
      <c r="F5113" s="49">
        <v>46021</v>
      </c>
      <c r="J5113" t="s">
        <v>308</v>
      </c>
      <c r="K5113" s="33">
        <v>7200</v>
      </c>
      <c r="M5113" t="str">
        <f>_xlfn.XLOOKUP(Pipeline_tbl[[#This Row],[Rep_ID]],Dim_Reps!A:A,Dim_Reps!K:K)</f>
        <v>EUR</v>
      </c>
      <c r="N5113" s="33">
        <f>(_xlfn.XLOOKUP(Pipeline_tbl[[#This Row],[Rate_Code_Generalized]],Lookups!A:A,Lookups!B:B))*Pipeline_tbl[[#This Row],[Pipeline_Amount_USD]]</f>
        <v>7200</v>
      </c>
      <c r="O5113" t="str">
        <f>_xlfn.XLOOKUP(Pipeline_tbl[[#This Row],[Rep_ID]],Dim_Reps!A:A,Dim_Reps!B:B)</f>
        <v>Alex Okafor</v>
      </c>
      <c r="P5113" t="str">
        <f>_xlfn.XLOOKUP(Pipeline_tbl[[#This Row],[Rep_ID]],Dim_Reps!A:A,Dim_Reps!C:C)</f>
        <v>SDR / Inside Sales Rep</v>
      </c>
      <c r="Q5113" t="str">
        <f>_xlfn.XLOOKUP(Pipeline_tbl[[#This Row],[Rep_ID]],Dim_Reps!A:A,Dim_Reps!D:D)</f>
        <v>Inside Sales</v>
      </c>
      <c r="R5113" t="str">
        <f>_xlfn.XLOOKUP(Pipeline_tbl[[#This Row],[Rep_ID]],Dim_Reps!A:A,Dim_Reps!E:E)</f>
        <v>EMEA</v>
      </c>
      <c r="S5113" t="str">
        <f>_xlfn.XLOOKUP(Pipeline_tbl[[#This Row],[Created_Date]],Dim_Date!A:A,Dim_Date!H:H)</f>
        <v>Dec 2025</v>
      </c>
      <c r="T5113" t="str">
        <f>IF(Pipeline_tbl[[#This Row],[Closed_Date]]=0,"",(_xlfn.XLOOKUP(Pipeline_tbl[[#This Row],[Closed_Date]],Dim_Date!A:A,Dim_Date!H:H)))</f>
        <v/>
      </c>
      <c r="U5113" t="str">
        <f>IF(Pipeline_tbl[[#This Row],[Closed_Date]]=0,"",Pipeline_tbl[[#This Row],[Closed_Date]]-Pipeline_tbl[[#This Row],[Created_Date]])</f>
        <v/>
      </c>
    </row>
    <row r="5114" spans="1:21" ht="15" customHeight="1" x14ac:dyDescent="0.2">
      <c r="A5114" t="s">
        <v>5420</v>
      </c>
      <c r="B5114" t="s">
        <v>196</v>
      </c>
      <c r="C5114" t="s">
        <v>52</v>
      </c>
      <c r="D5114" s="49">
        <v>46016</v>
      </c>
      <c r="E5114" s="49">
        <v>46018</v>
      </c>
      <c r="F5114" s="49">
        <v>46022</v>
      </c>
      <c r="J5114" t="s">
        <v>308</v>
      </c>
      <c r="K5114" s="33">
        <v>2800</v>
      </c>
      <c r="M5114" t="str">
        <f>_xlfn.XLOOKUP(Pipeline_tbl[[#This Row],[Rep_ID]],Dim_Reps!A:A,Dim_Reps!K:K)</f>
        <v>EUR</v>
      </c>
      <c r="N5114" s="33">
        <f>(_xlfn.XLOOKUP(Pipeline_tbl[[#This Row],[Rate_Code_Generalized]],Lookups!A:A,Lookups!B:B))*Pipeline_tbl[[#This Row],[Pipeline_Amount_USD]]</f>
        <v>2800</v>
      </c>
      <c r="O5114" t="str">
        <f>_xlfn.XLOOKUP(Pipeline_tbl[[#This Row],[Rep_ID]],Dim_Reps!A:A,Dim_Reps!B:B)</f>
        <v>Alex Okafor</v>
      </c>
      <c r="P5114" t="str">
        <f>_xlfn.XLOOKUP(Pipeline_tbl[[#This Row],[Rep_ID]],Dim_Reps!A:A,Dim_Reps!C:C)</f>
        <v>SDR / Inside Sales Rep</v>
      </c>
      <c r="Q5114" t="str">
        <f>_xlfn.XLOOKUP(Pipeline_tbl[[#This Row],[Rep_ID]],Dim_Reps!A:A,Dim_Reps!D:D)</f>
        <v>Inside Sales</v>
      </c>
      <c r="R5114" t="str">
        <f>_xlfn.XLOOKUP(Pipeline_tbl[[#This Row],[Rep_ID]],Dim_Reps!A:A,Dim_Reps!E:E)</f>
        <v>EMEA</v>
      </c>
      <c r="S5114" t="str">
        <f>_xlfn.XLOOKUP(Pipeline_tbl[[#This Row],[Created_Date]],Dim_Date!A:A,Dim_Date!H:H)</f>
        <v>Dec 2025</v>
      </c>
      <c r="T5114" t="str">
        <f>IF(Pipeline_tbl[[#This Row],[Closed_Date]]=0,"",(_xlfn.XLOOKUP(Pipeline_tbl[[#This Row],[Closed_Date]],Dim_Date!A:A,Dim_Date!H:H)))</f>
        <v/>
      </c>
      <c r="U5114" t="str">
        <f>IF(Pipeline_tbl[[#This Row],[Closed_Date]]=0,"",Pipeline_tbl[[#This Row],[Closed_Date]]-Pipeline_tbl[[#This Row],[Created_Date]])</f>
        <v/>
      </c>
    </row>
    <row r="5115" spans="1:21" ht="15" customHeight="1" x14ac:dyDescent="0.2">
      <c r="A5115" t="s">
        <v>5421</v>
      </c>
      <c r="B5115" t="s">
        <v>196</v>
      </c>
      <c r="C5115" t="s">
        <v>55</v>
      </c>
      <c r="D5115" s="49">
        <v>46019</v>
      </c>
      <c r="E5115" s="49">
        <v>46020</v>
      </c>
      <c r="J5115" t="s">
        <v>308</v>
      </c>
      <c r="K5115" s="33">
        <v>6300</v>
      </c>
      <c r="M5115" t="str">
        <f>_xlfn.XLOOKUP(Pipeline_tbl[[#This Row],[Rep_ID]],Dim_Reps!A:A,Dim_Reps!K:K)</f>
        <v>EUR</v>
      </c>
      <c r="N5115" s="33">
        <f>(_xlfn.XLOOKUP(Pipeline_tbl[[#This Row],[Rate_Code_Generalized]],Lookups!A:A,Lookups!B:B))*Pipeline_tbl[[#This Row],[Pipeline_Amount_USD]]</f>
        <v>6300</v>
      </c>
      <c r="O5115" t="str">
        <f>_xlfn.XLOOKUP(Pipeline_tbl[[#This Row],[Rep_ID]],Dim_Reps!A:A,Dim_Reps!B:B)</f>
        <v>Alex Okafor</v>
      </c>
      <c r="P5115" t="str">
        <f>_xlfn.XLOOKUP(Pipeline_tbl[[#This Row],[Rep_ID]],Dim_Reps!A:A,Dim_Reps!C:C)</f>
        <v>SDR / Inside Sales Rep</v>
      </c>
      <c r="Q5115" t="str">
        <f>_xlfn.XLOOKUP(Pipeline_tbl[[#This Row],[Rep_ID]],Dim_Reps!A:A,Dim_Reps!D:D)</f>
        <v>Inside Sales</v>
      </c>
      <c r="R5115" t="str">
        <f>_xlfn.XLOOKUP(Pipeline_tbl[[#This Row],[Rep_ID]],Dim_Reps!A:A,Dim_Reps!E:E)</f>
        <v>EMEA</v>
      </c>
      <c r="S5115" t="str">
        <f>_xlfn.XLOOKUP(Pipeline_tbl[[#This Row],[Created_Date]],Dim_Date!A:A,Dim_Date!H:H)</f>
        <v>Dec 2025</v>
      </c>
      <c r="T5115" t="str">
        <f>IF(Pipeline_tbl[[#This Row],[Closed_Date]]=0,"",(_xlfn.XLOOKUP(Pipeline_tbl[[#This Row],[Closed_Date]],Dim_Date!A:A,Dim_Date!H:H)))</f>
        <v/>
      </c>
      <c r="U5115" t="str">
        <f>IF(Pipeline_tbl[[#This Row],[Closed_Date]]=0,"",Pipeline_tbl[[#This Row],[Closed_Date]]-Pipeline_tbl[[#This Row],[Created_Date]])</f>
        <v/>
      </c>
    </row>
    <row r="5116" spans="1:21" ht="15" customHeight="1" x14ac:dyDescent="0.2">
      <c r="A5116" t="s">
        <v>5422</v>
      </c>
      <c r="B5116" t="s">
        <v>196</v>
      </c>
      <c r="C5116" t="s">
        <v>52</v>
      </c>
      <c r="D5116" s="49">
        <v>46013</v>
      </c>
      <c r="E5116" s="49">
        <v>46015</v>
      </c>
      <c r="F5116" s="49">
        <v>46020</v>
      </c>
      <c r="J5116" t="s">
        <v>308</v>
      </c>
      <c r="K5116" s="33">
        <v>2100</v>
      </c>
      <c r="M5116" t="str">
        <f>_xlfn.XLOOKUP(Pipeline_tbl[[#This Row],[Rep_ID]],Dim_Reps!A:A,Dim_Reps!K:K)</f>
        <v>EUR</v>
      </c>
      <c r="N5116" s="33">
        <f>(_xlfn.XLOOKUP(Pipeline_tbl[[#This Row],[Rate_Code_Generalized]],Lookups!A:A,Lookups!B:B))*Pipeline_tbl[[#This Row],[Pipeline_Amount_USD]]</f>
        <v>2100</v>
      </c>
      <c r="O5116" t="str">
        <f>_xlfn.XLOOKUP(Pipeline_tbl[[#This Row],[Rep_ID]],Dim_Reps!A:A,Dim_Reps!B:B)</f>
        <v>Alex Okafor</v>
      </c>
      <c r="P5116" t="str">
        <f>_xlfn.XLOOKUP(Pipeline_tbl[[#This Row],[Rep_ID]],Dim_Reps!A:A,Dim_Reps!C:C)</f>
        <v>SDR / Inside Sales Rep</v>
      </c>
      <c r="Q5116" t="str">
        <f>_xlfn.XLOOKUP(Pipeline_tbl[[#This Row],[Rep_ID]],Dim_Reps!A:A,Dim_Reps!D:D)</f>
        <v>Inside Sales</v>
      </c>
      <c r="R5116" t="str">
        <f>_xlfn.XLOOKUP(Pipeline_tbl[[#This Row],[Rep_ID]],Dim_Reps!A:A,Dim_Reps!E:E)</f>
        <v>EMEA</v>
      </c>
      <c r="S5116" t="str">
        <f>_xlfn.XLOOKUP(Pipeline_tbl[[#This Row],[Created_Date]],Dim_Date!A:A,Dim_Date!H:H)</f>
        <v>Dec 2025</v>
      </c>
      <c r="T5116" t="str">
        <f>IF(Pipeline_tbl[[#This Row],[Closed_Date]]=0,"",(_xlfn.XLOOKUP(Pipeline_tbl[[#This Row],[Closed_Date]],Dim_Date!A:A,Dim_Date!H:H)))</f>
        <v/>
      </c>
      <c r="U5116" t="str">
        <f>IF(Pipeline_tbl[[#This Row],[Closed_Date]]=0,"",Pipeline_tbl[[#This Row],[Closed_Date]]-Pipeline_tbl[[#This Row],[Created_Date]])</f>
        <v/>
      </c>
    </row>
    <row r="5117" spans="1:21" ht="15" customHeight="1" x14ac:dyDescent="0.2">
      <c r="A5117" t="s">
        <v>5423</v>
      </c>
      <c r="B5117" t="s">
        <v>199</v>
      </c>
      <c r="C5117" t="s">
        <v>53</v>
      </c>
      <c r="D5117" s="49">
        <v>46014</v>
      </c>
      <c r="E5117" s="49">
        <v>46016</v>
      </c>
      <c r="F5117" s="49">
        <v>46019</v>
      </c>
      <c r="J5117" t="s">
        <v>308</v>
      </c>
      <c r="K5117" s="33">
        <v>2800</v>
      </c>
      <c r="M5117" t="str">
        <f>_xlfn.XLOOKUP(Pipeline_tbl[[#This Row],[Rep_ID]],Dim_Reps!A:A,Dim_Reps!K:K)</f>
        <v>EUR</v>
      </c>
      <c r="N5117" s="33">
        <f>(_xlfn.XLOOKUP(Pipeline_tbl[[#This Row],[Rate_Code_Generalized]],Lookups!A:A,Lookups!B:B))*Pipeline_tbl[[#This Row],[Pipeline_Amount_USD]]</f>
        <v>2800</v>
      </c>
      <c r="O5117" t="str">
        <f>_xlfn.XLOOKUP(Pipeline_tbl[[#This Row],[Rep_ID]],Dim_Reps!A:A,Dim_Reps!B:B)</f>
        <v>Lucas Okafor</v>
      </c>
      <c r="P5117" t="str">
        <f>_xlfn.XLOOKUP(Pipeline_tbl[[#This Row],[Rep_ID]],Dim_Reps!A:A,Dim_Reps!C:C)</f>
        <v>SDR / Inside Sales Rep</v>
      </c>
      <c r="Q5117" t="str">
        <f>_xlfn.XLOOKUP(Pipeline_tbl[[#This Row],[Rep_ID]],Dim_Reps!A:A,Dim_Reps!D:D)</f>
        <v>Inside Sales</v>
      </c>
      <c r="R5117" t="str">
        <f>_xlfn.XLOOKUP(Pipeline_tbl[[#This Row],[Rep_ID]],Dim_Reps!A:A,Dim_Reps!E:E)</f>
        <v>APAC</v>
      </c>
      <c r="S5117" t="str">
        <f>_xlfn.XLOOKUP(Pipeline_tbl[[#This Row],[Created_Date]],Dim_Date!A:A,Dim_Date!H:H)</f>
        <v>Dec 2025</v>
      </c>
      <c r="T5117" t="str">
        <f>IF(Pipeline_tbl[[#This Row],[Closed_Date]]=0,"",(_xlfn.XLOOKUP(Pipeline_tbl[[#This Row],[Closed_Date]],Dim_Date!A:A,Dim_Date!H:H)))</f>
        <v/>
      </c>
      <c r="U5117" t="str">
        <f>IF(Pipeline_tbl[[#This Row],[Closed_Date]]=0,"",Pipeline_tbl[[#This Row],[Closed_Date]]-Pipeline_tbl[[#This Row],[Created_Date]])</f>
        <v/>
      </c>
    </row>
    <row r="5118" spans="1:21" ht="15" customHeight="1" x14ac:dyDescent="0.2">
      <c r="A5118" t="s">
        <v>5424</v>
      </c>
      <c r="B5118" t="s">
        <v>199</v>
      </c>
      <c r="C5118" t="s">
        <v>52</v>
      </c>
      <c r="D5118" s="49">
        <v>46014</v>
      </c>
      <c r="E5118" s="49">
        <v>46016</v>
      </c>
      <c r="F5118" s="49">
        <v>46019</v>
      </c>
      <c r="J5118" t="s">
        <v>308</v>
      </c>
      <c r="K5118" s="33">
        <v>2500</v>
      </c>
      <c r="M5118" t="str">
        <f>_xlfn.XLOOKUP(Pipeline_tbl[[#This Row],[Rep_ID]],Dim_Reps!A:A,Dim_Reps!K:K)</f>
        <v>EUR</v>
      </c>
      <c r="N5118" s="33">
        <f>(_xlfn.XLOOKUP(Pipeline_tbl[[#This Row],[Rate_Code_Generalized]],Lookups!A:A,Lookups!B:B))*Pipeline_tbl[[#This Row],[Pipeline_Amount_USD]]</f>
        <v>2500</v>
      </c>
      <c r="O5118" t="str">
        <f>_xlfn.XLOOKUP(Pipeline_tbl[[#This Row],[Rep_ID]],Dim_Reps!A:A,Dim_Reps!B:B)</f>
        <v>Lucas Okafor</v>
      </c>
      <c r="P5118" t="str">
        <f>_xlfn.XLOOKUP(Pipeline_tbl[[#This Row],[Rep_ID]],Dim_Reps!A:A,Dim_Reps!C:C)</f>
        <v>SDR / Inside Sales Rep</v>
      </c>
      <c r="Q5118" t="str">
        <f>_xlfn.XLOOKUP(Pipeline_tbl[[#This Row],[Rep_ID]],Dim_Reps!A:A,Dim_Reps!D:D)</f>
        <v>Inside Sales</v>
      </c>
      <c r="R5118" t="str">
        <f>_xlfn.XLOOKUP(Pipeline_tbl[[#This Row],[Rep_ID]],Dim_Reps!A:A,Dim_Reps!E:E)</f>
        <v>APAC</v>
      </c>
      <c r="S5118" t="str">
        <f>_xlfn.XLOOKUP(Pipeline_tbl[[#This Row],[Created_Date]],Dim_Date!A:A,Dim_Date!H:H)</f>
        <v>Dec 2025</v>
      </c>
      <c r="T5118" t="str">
        <f>IF(Pipeline_tbl[[#This Row],[Closed_Date]]=0,"",(_xlfn.XLOOKUP(Pipeline_tbl[[#This Row],[Closed_Date]],Dim_Date!A:A,Dim_Date!H:H)))</f>
        <v/>
      </c>
      <c r="U5118" t="str">
        <f>IF(Pipeline_tbl[[#This Row],[Closed_Date]]=0,"",Pipeline_tbl[[#This Row],[Closed_Date]]-Pipeline_tbl[[#This Row],[Created_Date]])</f>
        <v/>
      </c>
    </row>
    <row r="5119" spans="1:21" ht="15" customHeight="1" x14ac:dyDescent="0.2">
      <c r="A5119" t="s">
        <v>5425</v>
      </c>
      <c r="B5119" t="s">
        <v>199</v>
      </c>
      <c r="C5119" t="s">
        <v>56</v>
      </c>
      <c r="D5119" s="49">
        <v>46019</v>
      </c>
      <c r="E5119" s="49">
        <v>46021</v>
      </c>
      <c r="J5119" t="s">
        <v>308</v>
      </c>
      <c r="K5119" s="33">
        <v>4800</v>
      </c>
      <c r="M5119" t="str">
        <f>_xlfn.XLOOKUP(Pipeline_tbl[[#This Row],[Rep_ID]],Dim_Reps!A:A,Dim_Reps!K:K)</f>
        <v>EUR</v>
      </c>
      <c r="N5119" s="33">
        <f>(_xlfn.XLOOKUP(Pipeline_tbl[[#This Row],[Rate_Code_Generalized]],Lookups!A:A,Lookups!B:B))*Pipeline_tbl[[#This Row],[Pipeline_Amount_USD]]</f>
        <v>4800</v>
      </c>
      <c r="O5119" t="str">
        <f>_xlfn.XLOOKUP(Pipeline_tbl[[#This Row],[Rep_ID]],Dim_Reps!A:A,Dim_Reps!B:B)</f>
        <v>Lucas Okafor</v>
      </c>
      <c r="P5119" t="str">
        <f>_xlfn.XLOOKUP(Pipeline_tbl[[#This Row],[Rep_ID]],Dim_Reps!A:A,Dim_Reps!C:C)</f>
        <v>SDR / Inside Sales Rep</v>
      </c>
      <c r="Q5119" t="str">
        <f>_xlfn.XLOOKUP(Pipeline_tbl[[#This Row],[Rep_ID]],Dim_Reps!A:A,Dim_Reps!D:D)</f>
        <v>Inside Sales</v>
      </c>
      <c r="R5119" t="str">
        <f>_xlfn.XLOOKUP(Pipeline_tbl[[#This Row],[Rep_ID]],Dim_Reps!A:A,Dim_Reps!E:E)</f>
        <v>APAC</v>
      </c>
      <c r="S5119" t="str">
        <f>_xlfn.XLOOKUP(Pipeline_tbl[[#This Row],[Created_Date]],Dim_Date!A:A,Dim_Date!H:H)</f>
        <v>Dec 2025</v>
      </c>
      <c r="T5119" t="str">
        <f>IF(Pipeline_tbl[[#This Row],[Closed_Date]]=0,"",(_xlfn.XLOOKUP(Pipeline_tbl[[#This Row],[Closed_Date]],Dim_Date!A:A,Dim_Date!H:H)))</f>
        <v/>
      </c>
      <c r="U5119" t="str">
        <f>IF(Pipeline_tbl[[#This Row],[Closed_Date]]=0,"",Pipeline_tbl[[#This Row],[Closed_Date]]-Pipeline_tbl[[#This Row],[Created_Date]])</f>
        <v/>
      </c>
    </row>
    <row r="5120" spans="1:21" ht="15" customHeight="1" x14ac:dyDescent="0.2">
      <c r="A5120" t="s">
        <v>5426</v>
      </c>
      <c r="B5120" t="s">
        <v>199</v>
      </c>
      <c r="C5120" t="s">
        <v>55</v>
      </c>
      <c r="D5120" s="49">
        <v>46006</v>
      </c>
      <c r="E5120" s="49">
        <v>46008</v>
      </c>
      <c r="F5120" s="49">
        <v>46011</v>
      </c>
      <c r="G5120" s="49">
        <v>46017</v>
      </c>
      <c r="H5120" s="49">
        <v>46021</v>
      </c>
      <c r="J5120" t="s">
        <v>308</v>
      </c>
      <c r="K5120" s="33">
        <v>3900</v>
      </c>
      <c r="M5120" t="str">
        <f>_xlfn.XLOOKUP(Pipeline_tbl[[#This Row],[Rep_ID]],Dim_Reps!A:A,Dim_Reps!K:K)</f>
        <v>EUR</v>
      </c>
      <c r="N5120" s="33">
        <f>(_xlfn.XLOOKUP(Pipeline_tbl[[#This Row],[Rate_Code_Generalized]],Lookups!A:A,Lookups!B:B))*Pipeline_tbl[[#This Row],[Pipeline_Amount_USD]]</f>
        <v>3900</v>
      </c>
      <c r="O5120" t="str">
        <f>_xlfn.XLOOKUP(Pipeline_tbl[[#This Row],[Rep_ID]],Dim_Reps!A:A,Dim_Reps!B:B)</f>
        <v>Lucas Okafor</v>
      </c>
      <c r="P5120" t="str">
        <f>_xlfn.XLOOKUP(Pipeline_tbl[[#This Row],[Rep_ID]],Dim_Reps!A:A,Dim_Reps!C:C)</f>
        <v>SDR / Inside Sales Rep</v>
      </c>
      <c r="Q5120" t="str">
        <f>_xlfn.XLOOKUP(Pipeline_tbl[[#This Row],[Rep_ID]],Dim_Reps!A:A,Dim_Reps!D:D)</f>
        <v>Inside Sales</v>
      </c>
      <c r="R5120" t="str">
        <f>_xlfn.XLOOKUP(Pipeline_tbl[[#This Row],[Rep_ID]],Dim_Reps!A:A,Dim_Reps!E:E)</f>
        <v>APAC</v>
      </c>
      <c r="S5120" t="str">
        <f>_xlfn.XLOOKUP(Pipeline_tbl[[#This Row],[Created_Date]],Dim_Date!A:A,Dim_Date!H:H)</f>
        <v>Dec 2025</v>
      </c>
      <c r="T5120" t="str">
        <f>IF(Pipeline_tbl[[#This Row],[Closed_Date]]=0,"",(_xlfn.XLOOKUP(Pipeline_tbl[[#This Row],[Closed_Date]],Dim_Date!A:A,Dim_Date!H:H)))</f>
        <v/>
      </c>
      <c r="U5120" t="str">
        <f>IF(Pipeline_tbl[[#This Row],[Closed_Date]]=0,"",Pipeline_tbl[[#This Row],[Closed_Date]]-Pipeline_tbl[[#This Row],[Created_Date]])</f>
        <v/>
      </c>
    </row>
    <row r="5121" spans="1:21" ht="15" customHeight="1" x14ac:dyDescent="0.2">
      <c r="A5121" t="s">
        <v>5427</v>
      </c>
      <c r="B5121" t="s">
        <v>199</v>
      </c>
      <c r="C5121" t="s">
        <v>53</v>
      </c>
      <c r="D5121" s="49">
        <v>46013</v>
      </c>
      <c r="E5121" s="49">
        <v>46014</v>
      </c>
      <c r="F5121" s="49">
        <v>46017</v>
      </c>
      <c r="G5121" s="49">
        <v>46020</v>
      </c>
      <c r="J5121" t="s">
        <v>308</v>
      </c>
      <c r="K5121" s="33">
        <v>3900</v>
      </c>
      <c r="M5121" t="str">
        <f>_xlfn.XLOOKUP(Pipeline_tbl[[#This Row],[Rep_ID]],Dim_Reps!A:A,Dim_Reps!K:K)</f>
        <v>EUR</v>
      </c>
      <c r="N5121" s="33">
        <f>(_xlfn.XLOOKUP(Pipeline_tbl[[#This Row],[Rate_Code_Generalized]],Lookups!A:A,Lookups!B:B))*Pipeline_tbl[[#This Row],[Pipeline_Amount_USD]]</f>
        <v>3900</v>
      </c>
      <c r="O5121" t="str">
        <f>_xlfn.XLOOKUP(Pipeline_tbl[[#This Row],[Rep_ID]],Dim_Reps!A:A,Dim_Reps!B:B)</f>
        <v>Lucas Okafor</v>
      </c>
      <c r="P5121" t="str">
        <f>_xlfn.XLOOKUP(Pipeline_tbl[[#This Row],[Rep_ID]],Dim_Reps!A:A,Dim_Reps!C:C)</f>
        <v>SDR / Inside Sales Rep</v>
      </c>
      <c r="Q5121" t="str">
        <f>_xlfn.XLOOKUP(Pipeline_tbl[[#This Row],[Rep_ID]],Dim_Reps!A:A,Dim_Reps!D:D)</f>
        <v>Inside Sales</v>
      </c>
      <c r="R5121" t="str">
        <f>_xlfn.XLOOKUP(Pipeline_tbl[[#This Row],[Rep_ID]],Dim_Reps!A:A,Dim_Reps!E:E)</f>
        <v>APAC</v>
      </c>
      <c r="S5121" t="str">
        <f>_xlfn.XLOOKUP(Pipeline_tbl[[#This Row],[Created_Date]],Dim_Date!A:A,Dim_Date!H:H)</f>
        <v>Dec 2025</v>
      </c>
      <c r="T5121" t="str">
        <f>IF(Pipeline_tbl[[#This Row],[Closed_Date]]=0,"",(_xlfn.XLOOKUP(Pipeline_tbl[[#This Row],[Closed_Date]],Dim_Date!A:A,Dim_Date!H:H)))</f>
        <v/>
      </c>
      <c r="U5121" t="str">
        <f>IF(Pipeline_tbl[[#This Row],[Closed_Date]]=0,"",Pipeline_tbl[[#This Row],[Closed_Date]]-Pipeline_tbl[[#This Row],[Created_Date]])</f>
        <v/>
      </c>
    </row>
    <row r="5122" spans="1:21" ht="15" customHeight="1" x14ac:dyDescent="0.2">
      <c r="A5122" t="s">
        <v>5428</v>
      </c>
      <c r="B5122" t="s">
        <v>199</v>
      </c>
      <c r="C5122" t="s">
        <v>54</v>
      </c>
      <c r="D5122" s="49">
        <v>46021</v>
      </c>
      <c r="J5122" t="s">
        <v>308</v>
      </c>
      <c r="K5122" s="33">
        <v>1700</v>
      </c>
      <c r="M5122" t="str">
        <f>_xlfn.XLOOKUP(Pipeline_tbl[[#This Row],[Rep_ID]],Dim_Reps!A:A,Dim_Reps!K:K)</f>
        <v>EUR</v>
      </c>
      <c r="N5122" s="33">
        <f>(_xlfn.XLOOKUP(Pipeline_tbl[[#This Row],[Rate_Code_Generalized]],Lookups!A:A,Lookups!B:B))*Pipeline_tbl[[#This Row],[Pipeline_Amount_USD]]</f>
        <v>1700</v>
      </c>
      <c r="O5122" t="str">
        <f>_xlfn.XLOOKUP(Pipeline_tbl[[#This Row],[Rep_ID]],Dim_Reps!A:A,Dim_Reps!B:B)</f>
        <v>Lucas Okafor</v>
      </c>
      <c r="P5122" t="str">
        <f>_xlfn.XLOOKUP(Pipeline_tbl[[#This Row],[Rep_ID]],Dim_Reps!A:A,Dim_Reps!C:C)</f>
        <v>SDR / Inside Sales Rep</v>
      </c>
      <c r="Q5122" t="str">
        <f>_xlfn.XLOOKUP(Pipeline_tbl[[#This Row],[Rep_ID]],Dim_Reps!A:A,Dim_Reps!D:D)</f>
        <v>Inside Sales</v>
      </c>
      <c r="R5122" t="str">
        <f>_xlfn.XLOOKUP(Pipeline_tbl[[#This Row],[Rep_ID]],Dim_Reps!A:A,Dim_Reps!E:E)</f>
        <v>APAC</v>
      </c>
      <c r="S5122" t="str">
        <f>_xlfn.XLOOKUP(Pipeline_tbl[[#This Row],[Created_Date]],Dim_Date!A:A,Dim_Date!H:H)</f>
        <v>Dec 2025</v>
      </c>
      <c r="T5122" t="str">
        <f>IF(Pipeline_tbl[[#This Row],[Closed_Date]]=0,"",(_xlfn.XLOOKUP(Pipeline_tbl[[#This Row],[Closed_Date]],Dim_Date!A:A,Dim_Date!H:H)))</f>
        <v/>
      </c>
      <c r="U5122" t="str">
        <f>IF(Pipeline_tbl[[#This Row],[Closed_Date]]=0,"",Pipeline_tbl[[#This Row],[Closed_Date]]-Pipeline_tbl[[#This Row],[Created_Date]])</f>
        <v/>
      </c>
    </row>
    <row r="5123" spans="1:21" ht="15" customHeight="1" x14ac:dyDescent="0.2">
      <c r="A5123" t="s">
        <v>5429</v>
      </c>
      <c r="B5123" t="s">
        <v>199</v>
      </c>
      <c r="C5123" t="s">
        <v>52</v>
      </c>
      <c r="D5123" s="49">
        <v>46017</v>
      </c>
      <c r="E5123" s="49">
        <v>46019</v>
      </c>
      <c r="J5123" t="s">
        <v>308</v>
      </c>
      <c r="K5123" s="33">
        <v>2600</v>
      </c>
      <c r="M5123" t="str">
        <f>_xlfn.XLOOKUP(Pipeline_tbl[[#This Row],[Rep_ID]],Dim_Reps!A:A,Dim_Reps!K:K)</f>
        <v>EUR</v>
      </c>
      <c r="N5123" s="33">
        <f>(_xlfn.XLOOKUP(Pipeline_tbl[[#This Row],[Rate_Code_Generalized]],Lookups!A:A,Lookups!B:B))*Pipeline_tbl[[#This Row],[Pipeline_Amount_USD]]</f>
        <v>2600</v>
      </c>
      <c r="O5123" t="str">
        <f>_xlfn.XLOOKUP(Pipeline_tbl[[#This Row],[Rep_ID]],Dim_Reps!A:A,Dim_Reps!B:B)</f>
        <v>Lucas Okafor</v>
      </c>
      <c r="P5123" t="str">
        <f>_xlfn.XLOOKUP(Pipeline_tbl[[#This Row],[Rep_ID]],Dim_Reps!A:A,Dim_Reps!C:C)</f>
        <v>SDR / Inside Sales Rep</v>
      </c>
      <c r="Q5123" t="str">
        <f>_xlfn.XLOOKUP(Pipeline_tbl[[#This Row],[Rep_ID]],Dim_Reps!A:A,Dim_Reps!D:D)</f>
        <v>Inside Sales</v>
      </c>
      <c r="R5123" t="str">
        <f>_xlfn.XLOOKUP(Pipeline_tbl[[#This Row],[Rep_ID]],Dim_Reps!A:A,Dim_Reps!E:E)</f>
        <v>APAC</v>
      </c>
      <c r="S5123" t="str">
        <f>_xlfn.XLOOKUP(Pipeline_tbl[[#This Row],[Created_Date]],Dim_Date!A:A,Dim_Date!H:H)</f>
        <v>Dec 2025</v>
      </c>
      <c r="T5123" t="str">
        <f>IF(Pipeline_tbl[[#This Row],[Closed_Date]]=0,"",(_xlfn.XLOOKUP(Pipeline_tbl[[#This Row],[Closed_Date]],Dim_Date!A:A,Dim_Date!H:H)))</f>
        <v/>
      </c>
      <c r="U5123" t="str">
        <f>IF(Pipeline_tbl[[#This Row],[Closed_Date]]=0,"",Pipeline_tbl[[#This Row],[Closed_Date]]-Pipeline_tbl[[#This Row],[Created_Date]])</f>
        <v/>
      </c>
    </row>
    <row r="5124" spans="1:21" ht="15" customHeight="1" x14ac:dyDescent="0.2">
      <c r="A5124" t="s">
        <v>5430</v>
      </c>
      <c r="B5124" t="s">
        <v>199</v>
      </c>
      <c r="C5124" t="s">
        <v>52</v>
      </c>
      <c r="D5124" s="49">
        <v>46017</v>
      </c>
      <c r="E5124" s="49">
        <v>46019</v>
      </c>
      <c r="F5124" s="49">
        <v>46022</v>
      </c>
      <c r="J5124" t="s">
        <v>308</v>
      </c>
      <c r="K5124" s="33">
        <v>3100</v>
      </c>
      <c r="M5124" t="str">
        <f>_xlfn.XLOOKUP(Pipeline_tbl[[#This Row],[Rep_ID]],Dim_Reps!A:A,Dim_Reps!K:K)</f>
        <v>EUR</v>
      </c>
      <c r="N5124" s="33">
        <f>(_xlfn.XLOOKUP(Pipeline_tbl[[#This Row],[Rate_Code_Generalized]],Lookups!A:A,Lookups!B:B))*Pipeline_tbl[[#This Row],[Pipeline_Amount_USD]]</f>
        <v>3100</v>
      </c>
      <c r="O5124" t="str">
        <f>_xlfn.XLOOKUP(Pipeline_tbl[[#This Row],[Rep_ID]],Dim_Reps!A:A,Dim_Reps!B:B)</f>
        <v>Lucas Okafor</v>
      </c>
      <c r="P5124" t="str">
        <f>_xlfn.XLOOKUP(Pipeline_tbl[[#This Row],[Rep_ID]],Dim_Reps!A:A,Dim_Reps!C:C)</f>
        <v>SDR / Inside Sales Rep</v>
      </c>
      <c r="Q5124" t="str">
        <f>_xlfn.XLOOKUP(Pipeline_tbl[[#This Row],[Rep_ID]],Dim_Reps!A:A,Dim_Reps!D:D)</f>
        <v>Inside Sales</v>
      </c>
      <c r="R5124" t="str">
        <f>_xlfn.XLOOKUP(Pipeline_tbl[[#This Row],[Rep_ID]],Dim_Reps!A:A,Dim_Reps!E:E)</f>
        <v>APAC</v>
      </c>
      <c r="S5124" t="str">
        <f>_xlfn.XLOOKUP(Pipeline_tbl[[#This Row],[Created_Date]],Dim_Date!A:A,Dim_Date!H:H)</f>
        <v>Dec 2025</v>
      </c>
      <c r="T5124" t="str">
        <f>IF(Pipeline_tbl[[#This Row],[Closed_Date]]=0,"",(_xlfn.XLOOKUP(Pipeline_tbl[[#This Row],[Closed_Date]],Dim_Date!A:A,Dim_Date!H:H)))</f>
        <v/>
      </c>
      <c r="U5124" t="str">
        <f>IF(Pipeline_tbl[[#This Row],[Closed_Date]]=0,"",Pipeline_tbl[[#This Row],[Closed_Date]]-Pipeline_tbl[[#This Row],[Created_Date]])</f>
        <v/>
      </c>
    </row>
    <row r="5125" spans="1:21" ht="15" customHeight="1" x14ac:dyDescent="0.2">
      <c r="A5125" t="s">
        <v>5431</v>
      </c>
      <c r="B5125" t="s">
        <v>199</v>
      </c>
      <c r="C5125" t="s">
        <v>52</v>
      </c>
      <c r="D5125" s="49">
        <v>46012</v>
      </c>
      <c r="E5125" s="49">
        <v>46014</v>
      </c>
      <c r="F5125" s="49">
        <v>46018</v>
      </c>
      <c r="J5125" t="s">
        <v>308</v>
      </c>
      <c r="K5125" s="33">
        <v>4600</v>
      </c>
      <c r="M5125" t="str">
        <f>_xlfn.XLOOKUP(Pipeline_tbl[[#This Row],[Rep_ID]],Dim_Reps!A:A,Dim_Reps!K:K)</f>
        <v>EUR</v>
      </c>
      <c r="N5125" s="33">
        <f>(_xlfn.XLOOKUP(Pipeline_tbl[[#This Row],[Rate_Code_Generalized]],Lookups!A:A,Lookups!B:B))*Pipeline_tbl[[#This Row],[Pipeline_Amount_USD]]</f>
        <v>4600</v>
      </c>
      <c r="O5125" t="str">
        <f>_xlfn.XLOOKUP(Pipeline_tbl[[#This Row],[Rep_ID]],Dim_Reps!A:A,Dim_Reps!B:B)</f>
        <v>Lucas Okafor</v>
      </c>
      <c r="P5125" t="str">
        <f>_xlfn.XLOOKUP(Pipeline_tbl[[#This Row],[Rep_ID]],Dim_Reps!A:A,Dim_Reps!C:C)</f>
        <v>SDR / Inside Sales Rep</v>
      </c>
      <c r="Q5125" t="str">
        <f>_xlfn.XLOOKUP(Pipeline_tbl[[#This Row],[Rep_ID]],Dim_Reps!A:A,Dim_Reps!D:D)</f>
        <v>Inside Sales</v>
      </c>
      <c r="R5125" t="str">
        <f>_xlfn.XLOOKUP(Pipeline_tbl[[#This Row],[Rep_ID]],Dim_Reps!A:A,Dim_Reps!E:E)</f>
        <v>APAC</v>
      </c>
      <c r="S5125" t="str">
        <f>_xlfn.XLOOKUP(Pipeline_tbl[[#This Row],[Created_Date]],Dim_Date!A:A,Dim_Date!H:H)</f>
        <v>Dec 2025</v>
      </c>
      <c r="T5125" t="str">
        <f>IF(Pipeline_tbl[[#This Row],[Closed_Date]]=0,"",(_xlfn.XLOOKUP(Pipeline_tbl[[#This Row],[Closed_Date]],Dim_Date!A:A,Dim_Date!H:H)))</f>
        <v/>
      </c>
      <c r="U5125" t="str">
        <f>IF(Pipeline_tbl[[#This Row],[Closed_Date]]=0,"",Pipeline_tbl[[#This Row],[Closed_Date]]-Pipeline_tbl[[#This Row],[Created_Date]])</f>
        <v/>
      </c>
    </row>
    <row r="5126" spans="1:21" ht="15" customHeight="1" x14ac:dyDescent="0.2">
      <c r="A5126" t="s">
        <v>5432</v>
      </c>
      <c r="B5126" t="s">
        <v>199</v>
      </c>
      <c r="C5126" t="s">
        <v>55</v>
      </c>
      <c r="D5126" s="49">
        <v>46010</v>
      </c>
      <c r="E5126" s="49">
        <v>46012</v>
      </c>
      <c r="F5126" s="49">
        <v>46017</v>
      </c>
      <c r="J5126" t="s">
        <v>308</v>
      </c>
      <c r="K5126" s="33">
        <v>4300</v>
      </c>
      <c r="M5126" t="str">
        <f>_xlfn.XLOOKUP(Pipeline_tbl[[#This Row],[Rep_ID]],Dim_Reps!A:A,Dim_Reps!K:K)</f>
        <v>EUR</v>
      </c>
      <c r="N5126" s="33">
        <f>(_xlfn.XLOOKUP(Pipeline_tbl[[#This Row],[Rate_Code_Generalized]],Lookups!A:A,Lookups!B:B))*Pipeline_tbl[[#This Row],[Pipeline_Amount_USD]]</f>
        <v>4300</v>
      </c>
      <c r="O5126" t="str">
        <f>_xlfn.XLOOKUP(Pipeline_tbl[[#This Row],[Rep_ID]],Dim_Reps!A:A,Dim_Reps!B:B)</f>
        <v>Lucas Okafor</v>
      </c>
      <c r="P5126" t="str">
        <f>_xlfn.XLOOKUP(Pipeline_tbl[[#This Row],[Rep_ID]],Dim_Reps!A:A,Dim_Reps!C:C)</f>
        <v>SDR / Inside Sales Rep</v>
      </c>
      <c r="Q5126" t="str">
        <f>_xlfn.XLOOKUP(Pipeline_tbl[[#This Row],[Rep_ID]],Dim_Reps!A:A,Dim_Reps!D:D)</f>
        <v>Inside Sales</v>
      </c>
      <c r="R5126" t="str">
        <f>_xlfn.XLOOKUP(Pipeline_tbl[[#This Row],[Rep_ID]],Dim_Reps!A:A,Dim_Reps!E:E)</f>
        <v>APAC</v>
      </c>
      <c r="S5126" t="str">
        <f>_xlfn.XLOOKUP(Pipeline_tbl[[#This Row],[Created_Date]],Dim_Date!A:A,Dim_Date!H:H)</f>
        <v>Dec 2025</v>
      </c>
      <c r="T5126" t="str">
        <f>IF(Pipeline_tbl[[#This Row],[Closed_Date]]=0,"",(_xlfn.XLOOKUP(Pipeline_tbl[[#This Row],[Closed_Date]],Dim_Date!A:A,Dim_Date!H:H)))</f>
        <v/>
      </c>
      <c r="U5126" t="str">
        <f>IF(Pipeline_tbl[[#This Row],[Closed_Date]]=0,"",Pipeline_tbl[[#This Row],[Closed_Date]]-Pipeline_tbl[[#This Row],[Created_Date]])</f>
        <v/>
      </c>
    </row>
    <row r="5127" spans="1:21" ht="15" customHeight="1" x14ac:dyDescent="0.2">
      <c r="A5127" t="s">
        <v>5433</v>
      </c>
      <c r="B5127" t="s">
        <v>201</v>
      </c>
      <c r="C5127" t="s">
        <v>54</v>
      </c>
      <c r="D5127" s="49">
        <v>46014</v>
      </c>
      <c r="E5127" s="49">
        <v>46016</v>
      </c>
      <c r="F5127" s="49">
        <v>46022</v>
      </c>
      <c r="J5127" t="s">
        <v>308</v>
      </c>
      <c r="K5127" s="33">
        <v>4000</v>
      </c>
      <c r="M5127" t="str">
        <f>_xlfn.XLOOKUP(Pipeline_tbl[[#This Row],[Rep_ID]],Dim_Reps!A:A,Dim_Reps!K:K)</f>
        <v>EUR</v>
      </c>
      <c r="N5127" s="33">
        <f>(_xlfn.XLOOKUP(Pipeline_tbl[[#This Row],[Rate_Code_Generalized]],Lookups!A:A,Lookups!B:B))*Pipeline_tbl[[#This Row],[Pipeline_Amount_USD]]</f>
        <v>4000</v>
      </c>
      <c r="O5127" t="str">
        <f>_xlfn.XLOOKUP(Pipeline_tbl[[#This Row],[Rep_ID]],Dim_Reps!A:A,Dim_Reps!B:B)</f>
        <v>Sara Duarte</v>
      </c>
      <c r="P5127" t="str">
        <f>_xlfn.XLOOKUP(Pipeline_tbl[[#This Row],[Rep_ID]],Dim_Reps!A:A,Dim_Reps!C:C)</f>
        <v>SDR / Inside Sales Rep</v>
      </c>
      <c r="Q5127" t="str">
        <f>_xlfn.XLOOKUP(Pipeline_tbl[[#This Row],[Rep_ID]],Dim_Reps!A:A,Dim_Reps!D:D)</f>
        <v>Inside Sales</v>
      </c>
      <c r="R5127" t="str">
        <f>_xlfn.XLOOKUP(Pipeline_tbl[[#This Row],[Rep_ID]],Dim_Reps!A:A,Dim_Reps!E:E)</f>
        <v>APAC</v>
      </c>
      <c r="S5127" t="str">
        <f>_xlfn.XLOOKUP(Pipeline_tbl[[#This Row],[Created_Date]],Dim_Date!A:A,Dim_Date!H:H)</f>
        <v>Dec 2025</v>
      </c>
      <c r="T5127" t="str">
        <f>IF(Pipeline_tbl[[#This Row],[Closed_Date]]=0,"",(_xlfn.XLOOKUP(Pipeline_tbl[[#This Row],[Closed_Date]],Dim_Date!A:A,Dim_Date!H:H)))</f>
        <v/>
      </c>
      <c r="U5127" t="str">
        <f>IF(Pipeline_tbl[[#This Row],[Closed_Date]]=0,"",Pipeline_tbl[[#This Row],[Closed_Date]]-Pipeline_tbl[[#This Row],[Created_Date]])</f>
        <v/>
      </c>
    </row>
    <row r="5128" spans="1:21" ht="15" customHeight="1" x14ac:dyDescent="0.2">
      <c r="A5128" t="s">
        <v>5434</v>
      </c>
      <c r="B5128" t="s">
        <v>201</v>
      </c>
      <c r="C5128" t="s">
        <v>54</v>
      </c>
      <c r="D5128" s="49">
        <v>46004</v>
      </c>
      <c r="E5128" s="49">
        <v>46006</v>
      </c>
      <c r="F5128" s="49">
        <v>46012</v>
      </c>
      <c r="G5128" s="49">
        <v>46019</v>
      </c>
      <c r="J5128" t="s">
        <v>308</v>
      </c>
      <c r="K5128" s="33">
        <v>2000</v>
      </c>
      <c r="M5128" t="str">
        <f>_xlfn.XLOOKUP(Pipeline_tbl[[#This Row],[Rep_ID]],Dim_Reps!A:A,Dim_Reps!K:K)</f>
        <v>EUR</v>
      </c>
      <c r="N5128" s="33">
        <f>(_xlfn.XLOOKUP(Pipeline_tbl[[#This Row],[Rate_Code_Generalized]],Lookups!A:A,Lookups!B:B))*Pipeline_tbl[[#This Row],[Pipeline_Amount_USD]]</f>
        <v>2000</v>
      </c>
      <c r="O5128" t="str">
        <f>_xlfn.XLOOKUP(Pipeline_tbl[[#This Row],[Rep_ID]],Dim_Reps!A:A,Dim_Reps!B:B)</f>
        <v>Sara Duarte</v>
      </c>
      <c r="P5128" t="str">
        <f>_xlfn.XLOOKUP(Pipeline_tbl[[#This Row],[Rep_ID]],Dim_Reps!A:A,Dim_Reps!C:C)</f>
        <v>SDR / Inside Sales Rep</v>
      </c>
      <c r="Q5128" t="str">
        <f>_xlfn.XLOOKUP(Pipeline_tbl[[#This Row],[Rep_ID]],Dim_Reps!A:A,Dim_Reps!D:D)</f>
        <v>Inside Sales</v>
      </c>
      <c r="R5128" t="str">
        <f>_xlfn.XLOOKUP(Pipeline_tbl[[#This Row],[Rep_ID]],Dim_Reps!A:A,Dim_Reps!E:E)</f>
        <v>APAC</v>
      </c>
      <c r="S5128" t="str">
        <f>_xlfn.XLOOKUP(Pipeline_tbl[[#This Row],[Created_Date]],Dim_Date!A:A,Dim_Date!H:H)</f>
        <v>Dec 2025</v>
      </c>
      <c r="T5128" t="str">
        <f>IF(Pipeline_tbl[[#This Row],[Closed_Date]]=0,"",(_xlfn.XLOOKUP(Pipeline_tbl[[#This Row],[Closed_Date]],Dim_Date!A:A,Dim_Date!H:H)))</f>
        <v/>
      </c>
      <c r="U5128" t="str">
        <f>IF(Pipeline_tbl[[#This Row],[Closed_Date]]=0,"",Pipeline_tbl[[#This Row],[Closed_Date]]-Pipeline_tbl[[#This Row],[Created_Date]])</f>
        <v/>
      </c>
    </row>
    <row r="5129" spans="1:21" ht="15" customHeight="1" x14ac:dyDescent="0.2">
      <c r="A5129" t="s">
        <v>5435</v>
      </c>
      <c r="B5129" t="s">
        <v>201</v>
      </c>
      <c r="C5129" t="s">
        <v>55</v>
      </c>
      <c r="D5129" s="49">
        <v>46022</v>
      </c>
      <c r="J5129" t="s">
        <v>308</v>
      </c>
      <c r="K5129" s="33">
        <v>4600</v>
      </c>
      <c r="M5129" t="str">
        <f>_xlfn.XLOOKUP(Pipeline_tbl[[#This Row],[Rep_ID]],Dim_Reps!A:A,Dim_Reps!K:K)</f>
        <v>EUR</v>
      </c>
      <c r="N5129" s="33">
        <f>(_xlfn.XLOOKUP(Pipeline_tbl[[#This Row],[Rate_Code_Generalized]],Lookups!A:A,Lookups!B:B))*Pipeline_tbl[[#This Row],[Pipeline_Amount_USD]]</f>
        <v>4600</v>
      </c>
      <c r="O5129" t="str">
        <f>_xlfn.XLOOKUP(Pipeline_tbl[[#This Row],[Rep_ID]],Dim_Reps!A:A,Dim_Reps!B:B)</f>
        <v>Sara Duarte</v>
      </c>
      <c r="P5129" t="str">
        <f>_xlfn.XLOOKUP(Pipeline_tbl[[#This Row],[Rep_ID]],Dim_Reps!A:A,Dim_Reps!C:C)</f>
        <v>SDR / Inside Sales Rep</v>
      </c>
      <c r="Q5129" t="str">
        <f>_xlfn.XLOOKUP(Pipeline_tbl[[#This Row],[Rep_ID]],Dim_Reps!A:A,Dim_Reps!D:D)</f>
        <v>Inside Sales</v>
      </c>
      <c r="R5129" t="str">
        <f>_xlfn.XLOOKUP(Pipeline_tbl[[#This Row],[Rep_ID]],Dim_Reps!A:A,Dim_Reps!E:E)</f>
        <v>APAC</v>
      </c>
      <c r="S5129" t="str">
        <f>_xlfn.XLOOKUP(Pipeline_tbl[[#This Row],[Created_Date]],Dim_Date!A:A,Dim_Date!H:H)</f>
        <v>Dec 2025</v>
      </c>
      <c r="T5129" t="str">
        <f>IF(Pipeline_tbl[[#This Row],[Closed_Date]]=0,"",(_xlfn.XLOOKUP(Pipeline_tbl[[#This Row],[Closed_Date]],Dim_Date!A:A,Dim_Date!H:H)))</f>
        <v/>
      </c>
      <c r="U5129" t="str">
        <f>IF(Pipeline_tbl[[#This Row],[Closed_Date]]=0,"",Pipeline_tbl[[#This Row],[Closed_Date]]-Pipeline_tbl[[#This Row],[Created_Date]])</f>
        <v/>
      </c>
    </row>
    <row r="5130" spans="1:21" ht="15" customHeight="1" x14ac:dyDescent="0.2">
      <c r="A5130" t="s">
        <v>5436</v>
      </c>
      <c r="B5130" t="s">
        <v>201</v>
      </c>
      <c r="C5130" t="s">
        <v>53</v>
      </c>
      <c r="D5130" s="49">
        <v>46008</v>
      </c>
      <c r="E5130" s="49">
        <v>46010</v>
      </c>
      <c r="F5130" s="49">
        <v>46014</v>
      </c>
      <c r="G5130" s="49">
        <v>46019</v>
      </c>
      <c r="J5130" t="s">
        <v>308</v>
      </c>
      <c r="K5130" s="33">
        <v>4800</v>
      </c>
      <c r="M5130" t="str">
        <f>_xlfn.XLOOKUP(Pipeline_tbl[[#This Row],[Rep_ID]],Dim_Reps!A:A,Dim_Reps!K:K)</f>
        <v>EUR</v>
      </c>
      <c r="N5130" s="33">
        <f>(_xlfn.XLOOKUP(Pipeline_tbl[[#This Row],[Rate_Code_Generalized]],Lookups!A:A,Lookups!B:B))*Pipeline_tbl[[#This Row],[Pipeline_Amount_USD]]</f>
        <v>4800</v>
      </c>
      <c r="O5130" t="str">
        <f>_xlfn.XLOOKUP(Pipeline_tbl[[#This Row],[Rep_ID]],Dim_Reps!A:A,Dim_Reps!B:B)</f>
        <v>Sara Duarte</v>
      </c>
      <c r="P5130" t="str">
        <f>_xlfn.XLOOKUP(Pipeline_tbl[[#This Row],[Rep_ID]],Dim_Reps!A:A,Dim_Reps!C:C)</f>
        <v>SDR / Inside Sales Rep</v>
      </c>
      <c r="Q5130" t="str">
        <f>_xlfn.XLOOKUP(Pipeline_tbl[[#This Row],[Rep_ID]],Dim_Reps!A:A,Dim_Reps!D:D)</f>
        <v>Inside Sales</v>
      </c>
      <c r="R5130" t="str">
        <f>_xlfn.XLOOKUP(Pipeline_tbl[[#This Row],[Rep_ID]],Dim_Reps!A:A,Dim_Reps!E:E)</f>
        <v>APAC</v>
      </c>
      <c r="S5130" t="str">
        <f>_xlfn.XLOOKUP(Pipeline_tbl[[#This Row],[Created_Date]],Dim_Date!A:A,Dim_Date!H:H)</f>
        <v>Dec 2025</v>
      </c>
      <c r="T5130" t="str">
        <f>IF(Pipeline_tbl[[#This Row],[Closed_Date]]=0,"",(_xlfn.XLOOKUP(Pipeline_tbl[[#This Row],[Closed_Date]],Dim_Date!A:A,Dim_Date!H:H)))</f>
        <v/>
      </c>
      <c r="U5130" t="str">
        <f>IF(Pipeline_tbl[[#This Row],[Closed_Date]]=0,"",Pipeline_tbl[[#This Row],[Closed_Date]]-Pipeline_tbl[[#This Row],[Created_Date]])</f>
        <v/>
      </c>
    </row>
    <row r="5131" spans="1:21" ht="15" customHeight="1" x14ac:dyDescent="0.2">
      <c r="A5131" t="s">
        <v>5437</v>
      </c>
      <c r="B5131" t="s">
        <v>201</v>
      </c>
      <c r="C5131" t="s">
        <v>52</v>
      </c>
      <c r="D5131" s="49">
        <v>46007</v>
      </c>
      <c r="E5131" s="49">
        <v>46009</v>
      </c>
      <c r="F5131" s="49">
        <v>46012</v>
      </c>
      <c r="G5131" s="49">
        <v>46017</v>
      </c>
      <c r="H5131" s="49">
        <v>46021</v>
      </c>
      <c r="J5131" t="s">
        <v>308</v>
      </c>
      <c r="K5131" s="33">
        <v>1800</v>
      </c>
      <c r="M5131" t="str">
        <f>_xlfn.XLOOKUP(Pipeline_tbl[[#This Row],[Rep_ID]],Dim_Reps!A:A,Dim_Reps!K:K)</f>
        <v>EUR</v>
      </c>
      <c r="N5131" s="33">
        <f>(_xlfn.XLOOKUP(Pipeline_tbl[[#This Row],[Rate_Code_Generalized]],Lookups!A:A,Lookups!B:B))*Pipeline_tbl[[#This Row],[Pipeline_Amount_USD]]</f>
        <v>1800</v>
      </c>
      <c r="O5131" t="str">
        <f>_xlfn.XLOOKUP(Pipeline_tbl[[#This Row],[Rep_ID]],Dim_Reps!A:A,Dim_Reps!B:B)</f>
        <v>Sara Duarte</v>
      </c>
      <c r="P5131" t="str">
        <f>_xlfn.XLOOKUP(Pipeline_tbl[[#This Row],[Rep_ID]],Dim_Reps!A:A,Dim_Reps!C:C)</f>
        <v>SDR / Inside Sales Rep</v>
      </c>
      <c r="Q5131" t="str">
        <f>_xlfn.XLOOKUP(Pipeline_tbl[[#This Row],[Rep_ID]],Dim_Reps!A:A,Dim_Reps!D:D)</f>
        <v>Inside Sales</v>
      </c>
      <c r="R5131" t="str">
        <f>_xlfn.XLOOKUP(Pipeline_tbl[[#This Row],[Rep_ID]],Dim_Reps!A:A,Dim_Reps!E:E)</f>
        <v>APAC</v>
      </c>
      <c r="S5131" t="str">
        <f>_xlfn.XLOOKUP(Pipeline_tbl[[#This Row],[Created_Date]],Dim_Date!A:A,Dim_Date!H:H)</f>
        <v>Dec 2025</v>
      </c>
      <c r="T5131" t="str">
        <f>IF(Pipeline_tbl[[#This Row],[Closed_Date]]=0,"",(_xlfn.XLOOKUP(Pipeline_tbl[[#This Row],[Closed_Date]],Dim_Date!A:A,Dim_Date!H:H)))</f>
        <v/>
      </c>
      <c r="U5131" t="str">
        <f>IF(Pipeline_tbl[[#This Row],[Closed_Date]]=0,"",Pipeline_tbl[[#This Row],[Closed_Date]]-Pipeline_tbl[[#This Row],[Created_Date]])</f>
        <v/>
      </c>
    </row>
    <row r="5132" spans="1:21" ht="15" customHeight="1" x14ac:dyDescent="0.2">
      <c r="A5132" t="s">
        <v>5438</v>
      </c>
      <c r="B5132" t="s">
        <v>201</v>
      </c>
      <c r="C5132" t="s">
        <v>52</v>
      </c>
      <c r="D5132" s="49">
        <v>46006</v>
      </c>
      <c r="E5132" s="49">
        <v>46008</v>
      </c>
      <c r="F5132" s="49">
        <v>46013</v>
      </c>
      <c r="G5132" s="49">
        <v>46020</v>
      </c>
      <c r="J5132" t="s">
        <v>308</v>
      </c>
      <c r="K5132" s="33">
        <v>3100</v>
      </c>
      <c r="M5132" t="str">
        <f>_xlfn.XLOOKUP(Pipeline_tbl[[#This Row],[Rep_ID]],Dim_Reps!A:A,Dim_Reps!K:K)</f>
        <v>EUR</v>
      </c>
      <c r="N5132" s="33">
        <f>(_xlfn.XLOOKUP(Pipeline_tbl[[#This Row],[Rate_Code_Generalized]],Lookups!A:A,Lookups!B:B))*Pipeline_tbl[[#This Row],[Pipeline_Amount_USD]]</f>
        <v>3100</v>
      </c>
      <c r="O5132" t="str">
        <f>_xlfn.XLOOKUP(Pipeline_tbl[[#This Row],[Rep_ID]],Dim_Reps!A:A,Dim_Reps!B:B)</f>
        <v>Sara Duarte</v>
      </c>
      <c r="P5132" t="str">
        <f>_xlfn.XLOOKUP(Pipeline_tbl[[#This Row],[Rep_ID]],Dim_Reps!A:A,Dim_Reps!C:C)</f>
        <v>SDR / Inside Sales Rep</v>
      </c>
      <c r="Q5132" t="str">
        <f>_xlfn.XLOOKUP(Pipeline_tbl[[#This Row],[Rep_ID]],Dim_Reps!A:A,Dim_Reps!D:D)</f>
        <v>Inside Sales</v>
      </c>
      <c r="R5132" t="str">
        <f>_xlfn.XLOOKUP(Pipeline_tbl[[#This Row],[Rep_ID]],Dim_Reps!A:A,Dim_Reps!E:E)</f>
        <v>APAC</v>
      </c>
      <c r="S5132" t="str">
        <f>_xlfn.XLOOKUP(Pipeline_tbl[[#This Row],[Created_Date]],Dim_Date!A:A,Dim_Date!H:H)</f>
        <v>Dec 2025</v>
      </c>
      <c r="T5132" t="str">
        <f>IF(Pipeline_tbl[[#This Row],[Closed_Date]]=0,"",(_xlfn.XLOOKUP(Pipeline_tbl[[#This Row],[Closed_Date]],Dim_Date!A:A,Dim_Date!H:H)))</f>
        <v/>
      </c>
      <c r="U5132" t="str">
        <f>IF(Pipeline_tbl[[#This Row],[Closed_Date]]=0,"",Pipeline_tbl[[#This Row],[Closed_Date]]-Pipeline_tbl[[#This Row],[Created_Date]])</f>
        <v/>
      </c>
    </row>
    <row r="5133" spans="1:21" ht="15" customHeight="1" x14ac:dyDescent="0.2">
      <c r="A5133" t="s">
        <v>5439</v>
      </c>
      <c r="B5133" t="s">
        <v>201</v>
      </c>
      <c r="C5133" t="s">
        <v>56</v>
      </c>
      <c r="D5133" s="49">
        <v>46011</v>
      </c>
      <c r="E5133" s="49">
        <v>46013</v>
      </c>
      <c r="F5133" s="49">
        <v>46019</v>
      </c>
      <c r="J5133" t="s">
        <v>308</v>
      </c>
      <c r="K5133" s="33">
        <v>3200</v>
      </c>
      <c r="M5133" t="str">
        <f>_xlfn.XLOOKUP(Pipeline_tbl[[#This Row],[Rep_ID]],Dim_Reps!A:A,Dim_Reps!K:K)</f>
        <v>EUR</v>
      </c>
      <c r="N5133" s="33">
        <f>(_xlfn.XLOOKUP(Pipeline_tbl[[#This Row],[Rate_Code_Generalized]],Lookups!A:A,Lookups!B:B))*Pipeline_tbl[[#This Row],[Pipeline_Amount_USD]]</f>
        <v>3200</v>
      </c>
      <c r="O5133" t="str">
        <f>_xlfn.XLOOKUP(Pipeline_tbl[[#This Row],[Rep_ID]],Dim_Reps!A:A,Dim_Reps!B:B)</f>
        <v>Sara Duarte</v>
      </c>
      <c r="P5133" t="str">
        <f>_xlfn.XLOOKUP(Pipeline_tbl[[#This Row],[Rep_ID]],Dim_Reps!A:A,Dim_Reps!C:C)</f>
        <v>SDR / Inside Sales Rep</v>
      </c>
      <c r="Q5133" t="str">
        <f>_xlfn.XLOOKUP(Pipeline_tbl[[#This Row],[Rep_ID]],Dim_Reps!A:A,Dim_Reps!D:D)</f>
        <v>Inside Sales</v>
      </c>
      <c r="R5133" t="str">
        <f>_xlfn.XLOOKUP(Pipeline_tbl[[#This Row],[Rep_ID]],Dim_Reps!A:A,Dim_Reps!E:E)</f>
        <v>APAC</v>
      </c>
      <c r="S5133" t="str">
        <f>_xlfn.XLOOKUP(Pipeline_tbl[[#This Row],[Created_Date]],Dim_Date!A:A,Dim_Date!H:H)</f>
        <v>Dec 2025</v>
      </c>
      <c r="T5133" t="str">
        <f>IF(Pipeline_tbl[[#This Row],[Closed_Date]]=0,"",(_xlfn.XLOOKUP(Pipeline_tbl[[#This Row],[Closed_Date]],Dim_Date!A:A,Dim_Date!H:H)))</f>
        <v/>
      </c>
      <c r="U5133" t="str">
        <f>IF(Pipeline_tbl[[#This Row],[Closed_Date]]=0,"",Pipeline_tbl[[#This Row],[Closed_Date]]-Pipeline_tbl[[#This Row],[Created_Date]])</f>
        <v/>
      </c>
    </row>
    <row r="5134" spans="1:21" ht="15" customHeight="1" x14ac:dyDescent="0.2">
      <c r="A5134" t="s">
        <v>5440</v>
      </c>
      <c r="B5134" t="s">
        <v>201</v>
      </c>
      <c r="C5134" t="s">
        <v>53</v>
      </c>
      <c r="D5134" s="49">
        <v>46020</v>
      </c>
      <c r="E5134" s="49">
        <v>46022</v>
      </c>
      <c r="J5134" t="s">
        <v>308</v>
      </c>
      <c r="K5134" s="33">
        <v>5700</v>
      </c>
      <c r="M5134" t="str">
        <f>_xlfn.XLOOKUP(Pipeline_tbl[[#This Row],[Rep_ID]],Dim_Reps!A:A,Dim_Reps!K:K)</f>
        <v>EUR</v>
      </c>
      <c r="N5134" s="33">
        <f>(_xlfn.XLOOKUP(Pipeline_tbl[[#This Row],[Rate_Code_Generalized]],Lookups!A:A,Lookups!B:B))*Pipeline_tbl[[#This Row],[Pipeline_Amount_USD]]</f>
        <v>5700</v>
      </c>
      <c r="O5134" t="str">
        <f>_xlfn.XLOOKUP(Pipeline_tbl[[#This Row],[Rep_ID]],Dim_Reps!A:A,Dim_Reps!B:B)</f>
        <v>Sara Duarte</v>
      </c>
      <c r="P5134" t="str">
        <f>_xlfn.XLOOKUP(Pipeline_tbl[[#This Row],[Rep_ID]],Dim_Reps!A:A,Dim_Reps!C:C)</f>
        <v>SDR / Inside Sales Rep</v>
      </c>
      <c r="Q5134" t="str">
        <f>_xlfn.XLOOKUP(Pipeline_tbl[[#This Row],[Rep_ID]],Dim_Reps!A:A,Dim_Reps!D:D)</f>
        <v>Inside Sales</v>
      </c>
      <c r="R5134" t="str">
        <f>_xlfn.XLOOKUP(Pipeline_tbl[[#This Row],[Rep_ID]],Dim_Reps!A:A,Dim_Reps!E:E)</f>
        <v>APAC</v>
      </c>
      <c r="S5134" t="str">
        <f>_xlfn.XLOOKUP(Pipeline_tbl[[#This Row],[Created_Date]],Dim_Date!A:A,Dim_Date!H:H)</f>
        <v>Dec 2025</v>
      </c>
      <c r="T5134" t="str">
        <f>IF(Pipeline_tbl[[#This Row],[Closed_Date]]=0,"",(_xlfn.XLOOKUP(Pipeline_tbl[[#This Row],[Closed_Date]],Dim_Date!A:A,Dim_Date!H:H)))</f>
        <v/>
      </c>
      <c r="U5134" t="str">
        <f>IF(Pipeline_tbl[[#This Row],[Closed_Date]]=0,"",Pipeline_tbl[[#This Row],[Closed_Date]]-Pipeline_tbl[[#This Row],[Created_Date]])</f>
        <v/>
      </c>
    </row>
    <row r="5135" spans="1:21" ht="15" customHeight="1" x14ac:dyDescent="0.2">
      <c r="A5135" t="s">
        <v>5441</v>
      </c>
      <c r="B5135" t="s">
        <v>201</v>
      </c>
      <c r="C5135" t="s">
        <v>52</v>
      </c>
      <c r="D5135" s="49">
        <v>46015</v>
      </c>
      <c r="E5135" s="49">
        <v>46017</v>
      </c>
      <c r="F5135" s="49">
        <v>46020</v>
      </c>
      <c r="J5135" t="s">
        <v>308</v>
      </c>
      <c r="K5135" s="33">
        <v>6100</v>
      </c>
      <c r="M5135" t="str">
        <f>_xlfn.XLOOKUP(Pipeline_tbl[[#This Row],[Rep_ID]],Dim_Reps!A:A,Dim_Reps!K:K)</f>
        <v>EUR</v>
      </c>
      <c r="N5135" s="33">
        <f>(_xlfn.XLOOKUP(Pipeline_tbl[[#This Row],[Rate_Code_Generalized]],Lookups!A:A,Lookups!B:B))*Pipeline_tbl[[#This Row],[Pipeline_Amount_USD]]</f>
        <v>6100</v>
      </c>
      <c r="O5135" t="str">
        <f>_xlfn.XLOOKUP(Pipeline_tbl[[#This Row],[Rep_ID]],Dim_Reps!A:A,Dim_Reps!B:B)</f>
        <v>Sara Duarte</v>
      </c>
      <c r="P5135" t="str">
        <f>_xlfn.XLOOKUP(Pipeline_tbl[[#This Row],[Rep_ID]],Dim_Reps!A:A,Dim_Reps!C:C)</f>
        <v>SDR / Inside Sales Rep</v>
      </c>
      <c r="Q5135" t="str">
        <f>_xlfn.XLOOKUP(Pipeline_tbl[[#This Row],[Rep_ID]],Dim_Reps!A:A,Dim_Reps!D:D)</f>
        <v>Inside Sales</v>
      </c>
      <c r="R5135" t="str">
        <f>_xlfn.XLOOKUP(Pipeline_tbl[[#This Row],[Rep_ID]],Dim_Reps!A:A,Dim_Reps!E:E)</f>
        <v>APAC</v>
      </c>
      <c r="S5135" t="str">
        <f>_xlfn.XLOOKUP(Pipeline_tbl[[#This Row],[Created_Date]],Dim_Date!A:A,Dim_Date!H:H)</f>
        <v>Dec 2025</v>
      </c>
      <c r="T5135" t="str">
        <f>IF(Pipeline_tbl[[#This Row],[Closed_Date]]=0,"",(_xlfn.XLOOKUP(Pipeline_tbl[[#This Row],[Closed_Date]],Dim_Date!A:A,Dim_Date!H:H)))</f>
        <v/>
      </c>
      <c r="U5135" t="str">
        <f>IF(Pipeline_tbl[[#This Row],[Closed_Date]]=0,"",Pipeline_tbl[[#This Row],[Closed_Date]]-Pipeline_tbl[[#This Row],[Created_Date]])</f>
        <v/>
      </c>
    </row>
    <row r="5136" spans="1:21" ht="15" customHeight="1" x14ac:dyDescent="0.2">
      <c r="A5136" t="s">
        <v>5442</v>
      </c>
      <c r="B5136" t="s">
        <v>181</v>
      </c>
      <c r="C5136" t="s">
        <v>52</v>
      </c>
      <c r="D5136" s="49">
        <v>46014</v>
      </c>
      <c r="E5136" s="49">
        <v>46022</v>
      </c>
      <c r="J5136" t="s">
        <v>308</v>
      </c>
      <c r="K5136" s="33">
        <v>17400</v>
      </c>
      <c r="M5136" t="str">
        <f>_xlfn.XLOOKUP(Pipeline_tbl[[#This Row],[Rep_ID]],Dim_Reps!A:A,Dim_Reps!K:K)</f>
        <v>USD</v>
      </c>
      <c r="N5136" s="33">
        <f>(_xlfn.XLOOKUP(Pipeline_tbl[[#This Row],[Rate_Code_Generalized]],Lookups!A:A,Lookups!B:B))*Pipeline_tbl[[#This Row],[Pipeline_Amount_USD]]</f>
        <v>20258.82</v>
      </c>
      <c r="O5136" t="str">
        <f>_xlfn.XLOOKUP(Pipeline_tbl[[#This Row],[Rep_ID]],Dim_Reps!A:A,Dim_Reps!B:B)</f>
        <v>Milo Weber</v>
      </c>
      <c r="P5136" t="str">
        <f>_xlfn.XLOOKUP(Pipeline_tbl[[#This Row],[Rep_ID]],Dim_Reps!A:A,Dim_Reps!C:C)</f>
        <v>Enterprise AE</v>
      </c>
      <c r="Q5136" t="str">
        <f>_xlfn.XLOOKUP(Pipeline_tbl[[#This Row],[Rep_ID]],Dim_Reps!A:A,Dim_Reps!D:D)</f>
        <v>Enterprise</v>
      </c>
      <c r="R5136" t="str">
        <f>_xlfn.XLOOKUP(Pipeline_tbl[[#This Row],[Rep_ID]],Dim_Reps!A:A,Dim_Reps!E:E)</f>
        <v>NAMER</v>
      </c>
      <c r="S5136" t="str">
        <f>_xlfn.XLOOKUP(Pipeline_tbl[[#This Row],[Created_Date]],Dim_Date!A:A,Dim_Date!H:H)</f>
        <v>Dec 2025</v>
      </c>
      <c r="T5136" t="str">
        <f>IF(Pipeline_tbl[[#This Row],[Closed_Date]]=0,"",(_xlfn.XLOOKUP(Pipeline_tbl[[#This Row],[Closed_Date]],Dim_Date!A:A,Dim_Date!H:H)))</f>
        <v/>
      </c>
      <c r="U5136" t="str">
        <f>IF(Pipeline_tbl[[#This Row],[Closed_Date]]=0,"",Pipeline_tbl[[#This Row],[Closed_Date]]-Pipeline_tbl[[#This Row],[Created_Date]])</f>
        <v/>
      </c>
    </row>
    <row r="5137" spans="1:21" ht="15" customHeight="1" x14ac:dyDescent="0.2">
      <c r="A5137" t="s">
        <v>5443</v>
      </c>
      <c r="B5137" t="s">
        <v>181</v>
      </c>
      <c r="C5137" t="s">
        <v>54</v>
      </c>
      <c r="D5137" s="49">
        <v>45997</v>
      </c>
      <c r="E5137" s="49">
        <v>46004</v>
      </c>
      <c r="F5137" s="49">
        <v>46018</v>
      </c>
      <c r="J5137" t="s">
        <v>308</v>
      </c>
      <c r="K5137" s="33">
        <v>15500</v>
      </c>
      <c r="M5137" t="str">
        <f>_xlfn.XLOOKUP(Pipeline_tbl[[#This Row],[Rep_ID]],Dim_Reps!A:A,Dim_Reps!K:K)</f>
        <v>USD</v>
      </c>
      <c r="N5137" s="33">
        <f>(_xlfn.XLOOKUP(Pipeline_tbl[[#This Row],[Rate_Code_Generalized]],Lookups!A:A,Lookups!B:B))*Pipeline_tbl[[#This Row],[Pipeline_Amount_USD]]</f>
        <v>18046.649999999998</v>
      </c>
      <c r="O5137" t="str">
        <f>_xlfn.XLOOKUP(Pipeline_tbl[[#This Row],[Rep_ID]],Dim_Reps!A:A,Dim_Reps!B:B)</f>
        <v>Milo Weber</v>
      </c>
      <c r="P5137" t="str">
        <f>_xlfn.XLOOKUP(Pipeline_tbl[[#This Row],[Rep_ID]],Dim_Reps!A:A,Dim_Reps!C:C)</f>
        <v>Enterprise AE</v>
      </c>
      <c r="Q5137" t="str">
        <f>_xlfn.XLOOKUP(Pipeline_tbl[[#This Row],[Rep_ID]],Dim_Reps!A:A,Dim_Reps!D:D)</f>
        <v>Enterprise</v>
      </c>
      <c r="R5137" t="str">
        <f>_xlfn.XLOOKUP(Pipeline_tbl[[#This Row],[Rep_ID]],Dim_Reps!A:A,Dim_Reps!E:E)</f>
        <v>NAMER</v>
      </c>
      <c r="S5137" t="str">
        <f>_xlfn.XLOOKUP(Pipeline_tbl[[#This Row],[Created_Date]],Dim_Date!A:A,Dim_Date!H:H)</f>
        <v>Dec 2025</v>
      </c>
      <c r="T5137" t="str">
        <f>IF(Pipeline_tbl[[#This Row],[Closed_Date]]=0,"",(_xlfn.XLOOKUP(Pipeline_tbl[[#This Row],[Closed_Date]],Dim_Date!A:A,Dim_Date!H:H)))</f>
        <v/>
      </c>
      <c r="U5137" t="str">
        <f>IF(Pipeline_tbl[[#This Row],[Closed_Date]]=0,"",Pipeline_tbl[[#This Row],[Closed_Date]]-Pipeline_tbl[[#This Row],[Created_Date]])</f>
        <v/>
      </c>
    </row>
    <row r="5138" spans="1:21" ht="15" customHeight="1" x14ac:dyDescent="0.2">
      <c r="A5138" t="s">
        <v>5444</v>
      </c>
      <c r="B5138" t="s">
        <v>181</v>
      </c>
      <c r="C5138" t="s">
        <v>54</v>
      </c>
      <c r="D5138" s="49">
        <v>46001</v>
      </c>
      <c r="E5138" s="49">
        <v>46005</v>
      </c>
      <c r="F5138" s="49">
        <v>46014</v>
      </c>
      <c r="J5138" t="s">
        <v>308</v>
      </c>
      <c r="K5138" s="33">
        <v>33400</v>
      </c>
      <c r="M5138" t="str">
        <f>_xlfn.XLOOKUP(Pipeline_tbl[[#This Row],[Rep_ID]],Dim_Reps!A:A,Dim_Reps!K:K)</f>
        <v>USD</v>
      </c>
      <c r="N5138" s="33">
        <f>(_xlfn.XLOOKUP(Pipeline_tbl[[#This Row],[Rate_Code_Generalized]],Lookups!A:A,Lookups!B:B))*Pipeline_tbl[[#This Row],[Pipeline_Amount_USD]]</f>
        <v>38887.619999999995</v>
      </c>
      <c r="O5138" t="str">
        <f>_xlfn.XLOOKUP(Pipeline_tbl[[#This Row],[Rep_ID]],Dim_Reps!A:A,Dim_Reps!B:B)</f>
        <v>Milo Weber</v>
      </c>
      <c r="P5138" t="str">
        <f>_xlfn.XLOOKUP(Pipeline_tbl[[#This Row],[Rep_ID]],Dim_Reps!A:A,Dim_Reps!C:C)</f>
        <v>Enterprise AE</v>
      </c>
      <c r="Q5138" t="str">
        <f>_xlfn.XLOOKUP(Pipeline_tbl[[#This Row],[Rep_ID]],Dim_Reps!A:A,Dim_Reps!D:D)</f>
        <v>Enterprise</v>
      </c>
      <c r="R5138" t="str">
        <f>_xlfn.XLOOKUP(Pipeline_tbl[[#This Row],[Rep_ID]],Dim_Reps!A:A,Dim_Reps!E:E)</f>
        <v>NAMER</v>
      </c>
      <c r="S5138" t="str">
        <f>_xlfn.XLOOKUP(Pipeline_tbl[[#This Row],[Created_Date]],Dim_Date!A:A,Dim_Date!H:H)</f>
        <v>Dec 2025</v>
      </c>
      <c r="T5138" t="str">
        <f>IF(Pipeline_tbl[[#This Row],[Closed_Date]]=0,"",(_xlfn.XLOOKUP(Pipeline_tbl[[#This Row],[Closed_Date]],Dim_Date!A:A,Dim_Date!H:H)))</f>
        <v/>
      </c>
      <c r="U5138" t="str">
        <f>IF(Pipeline_tbl[[#This Row],[Closed_Date]]=0,"",Pipeline_tbl[[#This Row],[Closed_Date]]-Pipeline_tbl[[#This Row],[Created_Date]])</f>
        <v/>
      </c>
    </row>
    <row r="5139" spans="1:21" ht="15" customHeight="1" x14ac:dyDescent="0.2">
      <c r="A5139" t="s">
        <v>5445</v>
      </c>
      <c r="B5139" t="s">
        <v>181</v>
      </c>
      <c r="C5139" t="s">
        <v>53</v>
      </c>
      <c r="D5139" s="49">
        <v>46009</v>
      </c>
      <c r="E5139" s="49">
        <v>46012</v>
      </c>
      <c r="F5139" s="49">
        <v>46019</v>
      </c>
      <c r="J5139" t="s">
        <v>308</v>
      </c>
      <c r="K5139" s="33">
        <v>43300</v>
      </c>
      <c r="M5139" t="str">
        <f>_xlfn.XLOOKUP(Pipeline_tbl[[#This Row],[Rep_ID]],Dim_Reps!A:A,Dim_Reps!K:K)</f>
        <v>USD</v>
      </c>
      <c r="N5139" s="33">
        <f>(_xlfn.XLOOKUP(Pipeline_tbl[[#This Row],[Rate_Code_Generalized]],Lookups!A:A,Lookups!B:B))*Pipeline_tbl[[#This Row],[Pipeline_Amount_USD]]</f>
        <v>50414.189999999995</v>
      </c>
      <c r="O5139" t="str">
        <f>_xlfn.XLOOKUP(Pipeline_tbl[[#This Row],[Rep_ID]],Dim_Reps!A:A,Dim_Reps!B:B)</f>
        <v>Milo Weber</v>
      </c>
      <c r="P5139" t="str">
        <f>_xlfn.XLOOKUP(Pipeline_tbl[[#This Row],[Rep_ID]],Dim_Reps!A:A,Dim_Reps!C:C)</f>
        <v>Enterprise AE</v>
      </c>
      <c r="Q5139" t="str">
        <f>_xlfn.XLOOKUP(Pipeline_tbl[[#This Row],[Rep_ID]],Dim_Reps!A:A,Dim_Reps!D:D)</f>
        <v>Enterprise</v>
      </c>
      <c r="R5139" t="str">
        <f>_xlfn.XLOOKUP(Pipeline_tbl[[#This Row],[Rep_ID]],Dim_Reps!A:A,Dim_Reps!E:E)</f>
        <v>NAMER</v>
      </c>
      <c r="S5139" t="str">
        <f>_xlfn.XLOOKUP(Pipeline_tbl[[#This Row],[Created_Date]],Dim_Date!A:A,Dim_Date!H:H)</f>
        <v>Dec 2025</v>
      </c>
      <c r="T5139" t="str">
        <f>IF(Pipeline_tbl[[#This Row],[Closed_Date]]=0,"",(_xlfn.XLOOKUP(Pipeline_tbl[[#This Row],[Closed_Date]],Dim_Date!A:A,Dim_Date!H:H)))</f>
        <v/>
      </c>
      <c r="U5139" t="str">
        <f>IF(Pipeline_tbl[[#This Row],[Closed_Date]]=0,"",Pipeline_tbl[[#This Row],[Closed_Date]]-Pipeline_tbl[[#This Row],[Created_Date]])</f>
        <v/>
      </c>
    </row>
    <row r="5140" spans="1:21" ht="15" customHeight="1" x14ac:dyDescent="0.2">
      <c r="A5140" t="s">
        <v>5446</v>
      </c>
      <c r="B5140" t="s">
        <v>246</v>
      </c>
      <c r="C5140" t="s">
        <v>53</v>
      </c>
      <c r="D5140" s="49">
        <v>46021</v>
      </c>
      <c r="J5140" t="s">
        <v>308</v>
      </c>
      <c r="K5140" s="33">
        <v>13000</v>
      </c>
      <c r="M5140" t="str">
        <f>_xlfn.XLOOKUP(Pipeline_tbl[[#This Row],[Rep_ID]],Dim_Reps!A:A,Dim_Reps!K:K)</f>
        <v>EUR</v>
      </c>
      <c r="N5140" s="33">
        <f>(_xlfn.XLOOKUP(Pipeline_tbl[[#This Row],[Rate_Code_Generalized]],Lookups!A:A,Lookups!B:B))*Pipeline_tbl[[#This Row],[Pipeline_Amount_USD]]</f>
        <v>13000</v>
      </c>
      <c r="O5140" t="str">
        <f>_xlfn.XLOOKUP(Pipeline_tbl[[#This Row],[Rep_ID]],Dim_Reps!A:A,Dim_Reps!B:B)</f>
        <v>Karim Rivera</v>
      </c>
      <c r="P5140" t="str">
        <f>_xlfn.XLOOKUP(Pipeline_tbl[[#This Row],[Rep_ID]],Dim_Reps!A:A,Dim_Reps!C:C)</f>
        <v>Mid-Market AE</v>
      </c>
      <c r="Q5140" t="str">
        <f>_xlfn.XLOOKUP(Pipeline_tbl[[#This Row],[Rep_ID]],Dim_Reps!A:A,Dim_Reps!D:D)</f>
        <v>Mid-Market</v>
      </c>
      <c r="R5140" t="str">
        <f>_xlfn.XLOOKUP(Pipeline_tbl[[#This Row],[Rep_ID]],Dim_Reps!A:A,Dim_Reps!E:E)</f>
        <v>APAC</v>
      </c>
      <c r="S5140" t="str">
        <f>_xlfn.XLOOKUP(Pipeline_tbl[[#This Row],[Created_Date]],Dim_Date!A:A,Dim_Date!H:H)</f>
        <v>Dec 2025</v>
      </c>
      <c r="T5140" t="str">
        <f>IF(Pipeline_tbl[[#This Row],[Closed_Date]]=0,"",(_xlfn.XLOOKUP(Pipeline_tbl[[#This Row],[Closed_Date]],Dim_Date!A:A,Dim_Date!H:H)))</f>
        <v/>
      </c>
      <c r="U5140" t="str">
        <f>IF(Pipeline_tbl[[#This Row],[Closed_Date]]=0,"",Pipeline_tbl[[#This Row],[Closed_Date]]-Pipeline_tbl[[#This Row],[Created_Date]])</f>
        <v/>
      </c>
    </row>
    <row r="5141" spans="1:21" ht="15" customHeight="1" x14ac:dyDescent="0.2">
      <c r="A5141" t="s">
        <v>5447</v>
      </c>
      <c r="B5141" t="s">
        <v>246</v>
      </c>
      <c r="C5141" t="s">
        <v>54</v>
      </c>
      <c r="D5141" s="49">
        <v>46011</v>
      </c>
      <c r="E5141" s="49">
        <v>46013</v>
      </c>
      <c r="F5141" s="49">
        <v>46018</v>
      </c>
      <c r="J5141" t="s">
        <v>308</v>
      </c>
      <c r="K5141" s="33">
        <v>7200</v>
      </c>
      <c r="M5141" t="str">
        <f>_xlfn.XLOOKUP(Pipeline_tbl[[#This Row],[Rep_ID]],Dim_Reps!A:A,Dim_Reps!K:K)</f>
        <v>EUR</v>
      </c>
      <c r="N5141" s="33">
        <f>(_xlfn.XLOOKUP(Pipeline_tbl[[#This Row],[Rate_Code_Generalized]],Lookups!A:A,Lookups!B:B))*Pipeline_tbl[[#This Row],[Pipeline_Amount_USD]]</f>
        <v>7200</v>
      </c>
      <c r="O5141" t="str">
        <f>_xlfn.XLOOKUP(Pipeline_tbl[[#This Row],[Rep_ID]],Dim_Reps!A:A,Dim_Reps!B:B)</f>
        <v>Karim Rivera</v>
      </c>
      <c r="P5141" t="str">
        <f>_xlfn.XLOOKUP(Pipeline_tbl[[#This Row],[Rep_ID]],Dim_Reps!A:A,Dim_Reps!C:C)</f>
        <v>Mid-Market AE</v>
      </c>
      <c r="Q5141" t="str">
        <f>_xlfn.XLOOKUP(Pipeline_tbl[[#This Row],[Rep_ID]],Dim_Reps!A:A,Dim_Reps!D:D)</f>
        <v>Mid-Market</v>
      </c>
      <c r="R5141" t="str">
        <f>_xlfn.XLOOKUP(Pipeline_tbl[[#This Row],[Rep_ID]],Dim_Reps!A:A,Dim_Reps!E:E)</f>
        <v>APAC</v>
      </c>
      <c r="S5141" t="str">
        <f>_xlfn.XLOOKUP(Pipeline_tbl[[#This Row],[Created_Date]],Dim_Date!A:A,Dim_Date!H:H)</f>
        <v>Dec 2025</v>
      </c>
      <c r="T5141" t="str">
        <f>IF(Pipeline_tbl[[#This Row],[Closed_Date]]=0,"",(_xlfn.XLOOKUP(Pipeline_tbl[[#This Row],[Closed_Date]],Dim_Date!A:A,Dim_Date!H:H)))</f>
        <v/>
      </c>
      <c r="U5141" t="str">
        <f>IF(Pipeline_tbl[[#This Row],[Closed_Date]]=0,"",Pipeline_tbl[[#This Row],[Closed_Date]]-Pipeline_tbl[[#This Row],[Created_Date]])</f>
        <v/>
      </c>
    </row>
    <row r="5142" spans="1:21" ht="15" customHeight="1" x14ac:dyDescent="0.2">
      <c r="A5142" t="s">
        <v>5448</v>
      </c>
      <c r="B5142" t="s">
        <v>246</v>
      </c>
      <c r="C5142" t="s">
        <v>55</v>
      </c>
      <c r="D5142" s="49">
        <v>46008</v>
      </c>
      <c r="E5142" s="49">
        <v>46010</v>
      </c>
      <c r="F5142" s="49">
        <v>46014</v>
      </c>
      <c r="G5142" s="49">
        <v>46019</v>
      </c>
      <c r="J5142" t="s">
        <v>308</v>
      </c>
      <c r="K5142" s="33">
        <v>15600</v>
      </c>
      <c r="M5142" t="str">
        <f>_xlfn.XLOOKUP(Pipeline_tbl[[#This Row],[Rep_ID]],Dim_Reps!A:A,Dim_Reps!K:K)</f>
        <v>EUR</v>
      </c>
      <c r="N5142" s="33">
        <f>(_xlfn.XLOOKUP(Pipeline_tbl[[#This Row],[Rate_Code_Generalized]],Lookups!A:A,Lookups!B:B))*Pipeline_tbl[[#This Row],[Pipeline_Amount_USD]]</f>
        <v>15600</v>
      </c>
      <c r="O5142" t="str">
        <f>_xlfn.XLOOKUP(Pipeline_tbl[[#This Row],[Rep_ID]],Dim_Reps!A:A,Dim_Reps!B:B)</f>
        <v>Karim Rivera</v>
      </c>
      <c r="P5142" t="str">
        <f>_xlfn.XLOOKUP(Pipeline_tbl[[#This Row],[Rep_ID]],Dim_Reps!A:A,Dim_Reps!C:C)</f>
        <v>Mid-Market AE</v>
      </c>
      <c r="Q5142" t="str">
        <f>_xlfn.XLOOKUP(Pipeline_tbl[[#This Row],[Rep_ID]],Dim_Reps!A:A,Dim_Reps!D:D)</f>
        <v>Mid-Market</v>
      </c>
      <c r="R5142" t="str">
        <f>_xlfn.XLOOKUP(Pipeline_tbl[[#This Row],[Rep_ID]],Dim_Reps!A:A,Dim_Reps!E:E)</f>
        <v>APAC</v>
      </c>
      <c r="S5142" t="str">
        <f>_xlfn.XLOOKUP(Pipeline_tbl[[#This Row],[Created_Date]],Dim_Date!A:A,Dim_Date!H:H)</f>
        <v>Dec 2025</v>
      </c>
      <c r="T5142" t="str">
        <f>IF(Pipeline_tbl[[#This Row],[Closed_Date]]=0,"",(_xlfn.XLOOKUP(Pipeline_tbl[[#This Row],[Closed_Date]],Dim_Date!A:A,Dim_Date!H:H)))</f>
        <v/>
      </c>
      <c r="U5142" t="str">
        <f>IF(Pipeline_tbl[[#This Row],[Closed_Date]]=0,"",Pipeline_tbl[[#This Row],[Closed_Date]]-Pipeline_tbl[[#This Row],[Created_Date]])</f>
        <v/>
      </c>
    </row>
    <row r="5143" spans="1:21" ht="15" customHeight="1" x14ac:dyDescent="0.2">
      <c r="A5143" t="s">
        <v>5449</v>
      </c>
      <c r="B5143" t="s">
        <v>246</v>
      </c>
      <c r="C5143" t="s">
        <v>56</v>
      </c>
      <c r="D5143" s="49">
        <v>46015</v>
      </c>
      <c r="E5143" s="49">
        <v>46020</v>
      </c>
      <c r="J5143" t="s">
        <v>308</v>
      </c>
      <c r="K5143" s="33">
        <v>8200</v>
      </c>
      <c r="M5143" t="str">
        <f>_xlfn.XLOOKUP(Pipeline_tbl[[#This Row],[Rep_ID]],Dim_Reps!A:A,Dim_Reps!K:K)</f>
        <v>EUR</v>
      </c>
      <c r="N5143" s="33">
        <f>(_xlfn.XLOOKUP(Pipeline_tbl[[#This Row],[Rate_Code_Generalized]],Lookups!A:A,Lookups!B:B))*Pipeline_tbl[[#This Row],[Pipeline_Amount_USD]]</f>
        <v>8200</v>
      </c>
      <c r="O5143" t="str">
        <f>_xlfn.XLOOKUP(Pipeline_tbl[[#This Row],[Rep_ID]],Dim_Reps!A:A,Dim_Reps!B:B)</f>
        <v>Karim Rivera</v>
      </c>
      <c r="P5143" t="str">
        <f>_xlfn.XLOOKUP(Pipeline_tbl[[#This Row],[Rep_ID]],Dim_Reps!A:A,Dim_Reps!C:C)</f>
        <v>Mid-Market AE</v>
      </c>
      <c r="Q5143" t="str">
        <f>_xlfn.XLOOKUP(Pipeline_tbl[[#This Row],[Rep_ID]],Dim_Reps!A:A,Dim_Reps!D:D)</f>
        <v>Mid-Market</v>
      </c>
      <c r="R5143" t="str">
        <f>_xlfn.XLOOKUP(Pipeline_tbl[[#This Row],[Rep_ID]],Dim_Reps!A:A,Dim_Reps!E:E)</f>
        <v>APAC</v>
      </c>
      <c r="S5143" t="str">
        <f>_xlfn.XLOOKUP(Pipeline_tbl[[#This Row],[Created_Date]],Dim_Date!A:A,Dim_Date!H:H)</f>
        <v>Dec 2025</v>
      </c>
      <c r="T5143" t="str">
        <f>IF(Pipeline_tbl[[#This Row],[Closed_Date]]=0,"",(_xlfn.XLOOKUP(Pipeline_tbl[[#This Row],[Closed_Date]],Dim_Date!A:A,Dim_Date!H:H)))</f>
        <v/>
      </c>
      <c r="U5143" t="str">
        <f>IF(Pipeline_tbl[[#This Row],[Closed_Date]]=0,"",Pipeline_tbl[[#This Row],[Closed_Date]]-Pipeline_tbl[[#This Row],[Created_Date]])</f>
        <v/>
      </c>
    </row>
    <row r="5144" spans="1:21" ht="15" customHeight="1" x14ac:dyDescent="0.2">
      <c r="A5144" t="s">
        <v>5450</v>
      </c>
      <c r="B5144" t="s">
        <v>246</v>
      </c>
      <c r="C5144" t="s">
        <v>54</v>
      </c>
      <c r="D5144" s="49">
        <v>46020</v>
      </c>
      <c r="E5144" s="49">
        <v>46022</v>
      </c>
      <c r="J5144" t="s">
        <v>308</v>
      </c>
      <c r="K5144" s="33">
        <v>6800</v>
      </c>
      <c r="M5144" t="str">
        <f>_xlfn.XLOOKUP(Pipeline_tbl[[#This Row],[Rep_ID]],Dim_Reps!A:A,Dim_Reps!K:K)</f>
        <v>EUR</v>
      </c>
      <c r="N5144" s="33">
        <f>(_xlfn.XLOOKUP(Pipeline_tbl[[#This Row],[Rate_Code_Generalized]],Lookups!A:A,Lookups!B:B))*Pipeline_tbl[[#This Row],[Pipeline_Amount_USD]]</f>
        <v>6800</v>
      </c>
      <c r="O5144" t="str">
        <f>_xlfn.XLOOKUP(Pipeline_tbl[[#This Row],[Rep_ID]],Dim_Reps!A:A,Dim_Reps!B:B)</f>
        <v>Karim Rivera</v>
      </c>
      <c r="P5144" t="str">
        <f>_xlfn.XLOOKUP(Pipeline_tbl[[#This Row],[Rep_ID]],Dim_Reps!A:A,Dim_Reps!C:C)</f>
        <v>Mid-Market AE</v>
      </c>
      <c r="Q5144" t="str">
        <f>_xlfn.XLOOKUP(Pipeline_tbl[[#This Row],[Rep_ID]],Dim_Reps!A:A,Dim_Reps!D:D)</f>
        <v>Mid-Market</v>
      </c>
      <c r="R5144" t="str">
        <f>_xlfn.XLOOKUP(Pipeline_tbl[[#This Row],[Rep_ID]],Dim_Reps!A:A,Dim_Reps!E:E)</f>
        <v>APAC</v>
      </c>
      <c r="S5144" t="str">
        <f>_xlfn.XLOOKUP(Pipeline_tbl[[#This Row],[Created_Date]],Dim_Date!A:A,Dim_Date!H:H)</f>
        <v>Dec 2025</v>
      </c>
      <c r="T5144" t="str">
        <f>IF(Pipeline_tbl[[#This Row],[Closed_Date]]=0,"",(_xlfn.XLOOKUP(Pipeline_tbl[[#This Row],[Closed_Date]],Dim_Date!A:A,Dim_Date!H:H)))</f>
        <v/>
      </c>
      <c r="U5144" t="str">
        <f>IF(Pipeline_tbl[[#This Row],[Closed_Date]]=0,"",Pipeline_tbl[[#This Row],[Closed_Date]]-Pipeline_tbl[[#This Row],[Created_Date]])</f>
        <v/>
      </c>
    </row>
    <row r="5145" spans="1:21" ht="15" customHeight="1" x14ac:dyDescent="0.2">
      <c r="A5145" t="s">
        <v>5451</v>
      </c>
      <c r="B5145" t="s">
        <v>183</v>
      </c>
      <c r="C5145" t="s">
        <v>52</v>
      </c>
      <c r="D5145" s="49">
        <v>46016</v>
      </c>
      <c r="J5145" t="s">
        <v>308</v>
      </c>
      <c r="K5145" s="33">
        <v>18100</v>
      </c>
      <c r="M5145" t="str">
        <f>_xlfn.XLOOKUP(Pipeline_tbl[[#This Row],[Rep_ID]],Dim_Reps!A:A,Dim_Reps!K:K)</f>
        <v>EUR</v>
      </c>
      <c r="N5145" s="33">
        <f>(_xlfn.XLOOKUP(Pipeline_tbl[[#This Row],[Rate_Code_Generalized]],Lookups!A:A,Lookups!B:B))*Pipeline_tbl[[#This Row],[Pipeline_Amount_USD]]</f>
        <v>18100</v>
      </c>
      <c r="O5145" t="str">
        <f>_xlfn.XLOOKUP(Pipeline_tbl[[#This Row],[Rep_ID]],Dim_Reps!A:A,Dim_Reps!B:B)</f>
        <v>Sam Schmidt</v>
      </c>
      <c r="P5145" t="str">
        <f>_xlfn.XLOOKUP(Pipeline_tbl[[#This Row],[Rep_ID]],Dim_Reps!A:A,Dim_Reps!C:C)</f>
        <v>Enterprise AE</v>
      </c>
      <c r="Q5145" t="str">
        <f>_xlfn.XLOOKUP(Pipeline_tbl[[#This Row],[Rep_ID]],Dim_Reps!A:A,Dim_Reps!D:D)</f>
        <v>Enterprise</v>
      </c>
      <c r="R5145" t="str">
        <f>_xlfn.XLOOKUP(Pipeline_tbl[[#This Row],[Rep_ID]],Dim_Reps!A:A,Dim_Reps!E:E)</f>
        <v>EMEA</v>
      </c>
      <c r="S5145" t="str">
        <f>_xlfn.XLOOKUP(Pipeline_tbl[[#This Row],[Created_Date]],Dim_Date!A:A,Dim_Date!H:H)</f>
        <v>Dec 2025</v>
      </c>
      <c r="T5145" t="str">
        <f>IF(Pipeline_tbl[[#This Row],[Closed_Date]]=0,"",(_xlfn.XLOOKUP(Pipeline_tbl[[#This Row],[Closed_Date]],Dim_Date!A:A,Dim_Date!H:H)))</f>
        <v/>
      </c>
      <c r="U5145" t="str">
        <f>IF(Pipeline_tbl[[#This Row],[Closed_Date]]=0,"",Pipeline_tbl[[#This Row],[Closed_Date]]-Pipeline_tbl[[#This Row],[Created_Date]])</f>
        <v/>
      </c>
    </row>
    <row r="5146" spans="1:21" ht="15" customHeight="1" x14ac:dyDescent="0.2">
      <c r="A5146" t="s">
        <v>5452</v>
      </c>
      <c r="B5146" t="s">
        <v>183</v>
      </c>
      <c r="C5146" t="s">
        <v>56</v>
      </c>
      <c r="D5146" s="49">
        <v>46007</v>
      </c>
      <c r="E5146" s="49">
        <v>46013</v>
      </c>
      <c r="J5146" t="s">
        <v>308</v>
      </c>
      <c r="K5146" s="33">
        <v>35500</v>
      </c>
      <c r="M5146" t="str">
        <f>_xlfn.XLOOKUP(Pipeline_tbl[[#This Row],[Rep_ID]],Dim_Reps!A:A,Dim_Reps!K:K)</f>
        <v>EUR</v>
      </c>
      <c r="N5146" s="33">
        <f>(_xlfn.XLOOKUP(Pipeline_tbl[[#This Row],[Rate_Code_Generalized]],Lookups!A:A,Lookups!B:B))*Pipeline_tbl[[#This Row],[Pipeline_Amount_USD]]</f>
        <v>35500</v>
      </c>
      <c r="O5146" t="str">
        <f>_xlfn.XLOOKUP(Pipeline_tbl[[#This Row],[Rep_ID]],Dim_Reps!A:A,Dim_Reps!B:B)</f>
        <v>Sam Schmidt</v>
      </c>
      <c r="P5146" t="str">
        <f>_xlfn.XLOOKUP(Pipeline_tbl[[#This Row],[Rep_ID]],Dim_Reps!A:A,Dim_Reps!C:C)</f>
        <v>Enterprise AE</v>
      </c>
      <c r="Q5146" t="str">
        <f>_xlfn.XLOOKUP(Pipeline_tbl[[#This Row],[Rep_ID]],Dim_Reps!A:A,Dim_Reps!D:D)</f>
        <v>Enterprise</v>
      </c>
      <c r="R5146" t="str">
        <f>_xlfn.XLOOKUP(Pipeline_tbl[[#This Row],[Rep_ID]],Dim_Reps!A:A,Dim_Reps!E:E)</f>
        <v>EMEA</v>
      </c>
      <c r="S5146" t="str">
        <f>_xlfn.XLOOKUP(Pipeline_tbl[[#This Row],[Created_Date]],Dim_Date!A:A,Dim_Date!H:H)</f>
        <v>Dec 2025</v>
      </c>
      <c r="T5146" t="str">
        <f>IF(Pipeline_tbl[[#This Row],[Closed_Date]]=0,"",(_xlfn.XLOOKUP(Pipeline_tbl[[#This Row],[Closed_Date]],Dim_Date!A:A,Dim_Date!H:H)))</f>
        <v/>
      </c>
      <c r="U5146" t="str">
        <f>IF(Pipeline_tbl[[#This Row],[Closed_Date]]=0,"",Pipeline_tbl[[#This Row],[Closed_Date]]-Pipeline_tbl[[#This Row],[Created_Date]])</f>
        <v/>
      </c>
    </row>
    <row r="5147" spans="1:21" ht="15" customHeight="1" x14ac:dyDescent="0.2">
      <c r="A5147" t="s">
        <v>5453</v>
      </c>
      <c r="B5147" t="s">
        <v>183</v>
      </c>
      <c r="C5147" t="s">
        <v>55</v>
      </c>
      <c r="D5147" s="49">
        <v>46019</v>
      </c>
      <c r="J5147" t="s">
        <v>308</v>
      </c>
      <c r="K5147" s="33">
        <v>46600</v>
      </c>
      <c r="M5147" t="str">
        <f>_xlfn.XLOOKUP(Pipeline_tbl[[#This Row],[Rep_ID]],Dim_Reps!A:A,Dim_Reps!K:K)</f>
        <v>EUR</v>
      </c>
      <c r="N5147" s="33">
        <f>(_xlfn.XLOOKUP(Pipeline_tbl[[#This Row],[Rate_Code_Generalized]],Lookups!A:A,Lookups!B:B))*Pipeline_tbl[[#This Row],[Pipeline_Amount_USD]]</f>
        <v>46600</v>
      </c>
      <c r="O5147" t="str">
        <f>_xlfn.XLOOKUP(Pipeline_tbl[[#This Row],[Rep_ID]],Dim_Reps!A:A,Dim_Reps!B:B)</f>
        <v>Sam Schmidt</v>
      </c>
      <c r="P5147" t="str">
        <f>_xlfn.XLOOKUP(Pipeline_tbl[[#This Row],[Rep_ID]],Dim_Reps!A:A,Dim_Reps!C:C)</f>
        <v>Enterprise AE</v>
      </c>
      <c r="Q5147" t="str">
        <f>_xlfn.XLOOKUP(Pipeline_tbl[[#This Row],[Rep_ID]],Dim_Reps!A:A,Dim_Reps!D:D)</f>
        <v>Enterprise</v>
      </c>
      <c r="R5147" t="str">
        <f>_xlfn.XLOOKUP(Pipeline_tbl[[#This Row],[Rep_ID]],Dim_Reps!A:A,Dim_Reps!E:E)</f>
        <v>EMEA</v>
      </c>
      <c r="S5147" t="str">
        <f>_xlfn.XLOOKUP(Pipeline_tbl[[#This Row],[Created_Date]],Dim_Date!A:A,Dim_Date!H:H)</f>
        <v>Dec 2025</v>
      </c>
      <c r="T5147" t="str">
        <f>IF(Pipeline_tbl[[#This Row],[Closed_Date]]=0,"",(_xlfn.XLOOKUP(Pipeline_tbl[[#This Row],[Closed_Date]],Dim_Date!A:A,Dim_Date!H:H)))</f>
        <v/>
      </c>
      <c r="U5147" t="str">
        <f>IF(Pipeline_tbl[[#This Row],[Closed_Date]]=0,"",Pipeline_tbl[[#This Row],[Closed_Date]]-Pipeline_tbl[[#This Row],[Created_Date]])</f>
        <v/>
      </c>
    </row>
    <row r="5148" spans="1:21" ht="15" customHeight="1" x14ac:dyDescent="0.2">
      <c r="A5148" t="s">
        <v>5454</v>
      </c>
      <c r="B5148" t="s">
        <v>183</v>
      </c>
      <c r="C5148" t="s">
        <v>56</v>
      </c>
      <c r="D5148" s="49">
        <v>46009</v>
      </c>
      <c r="E5148" s="49">
        <v>46012</v>
      </c>
      <c r="F5148" s="49">
        <v>46019</v>
      </c>
      <c r="J5148" t="s">
        <v>308</v>
      </c>
      <c r="K5148" s="33">
        <v>26700</v>
      </c>
      <c r="M5148" t="str">
        <f>_xlfn.XLOOKUP(Pipeline_tbl[[#This Row],[Rep_ID]],Dim_Reps!A:A,Dim_Reps!K:K)</f>
        <v>EUR</v>
      </c>
      <c r="N5148" s="33">
        <f>(_xlfn.XLOOKUP(Pipeline_tbl[[#This Row],[Rate_Code_Generalized]],Lookups!A:A,Lookups!B:B))*Pipeline_tbl[[#This Row],[Pipeline_Amount_USD]]</f>
        <v>26700</v>
      </c>
      <c r="O5148" t="str">
        <f>_xlfn.XLOOKUP(Pipeline_tbl[[#This Row],[Rep_ID]],Dim_Reps!A:A,Dim_Reps!B:B)</f>
        <v>Sam Schmidt</v>
      </c>
      <c r="P5148" t="str">
        <f>_xlfn.XLOOKUP(Pipeline_tbl[[#This Row],[Rep_ID]],Dim_Reps!A:A,Dim_Reps!C:C)</f>
        <v>Enterprise AE</v>
      </c>
      <c r="Q5148" t="str">
        <f>_xlfn.XLOOKUP(Pipeline_tbl[[#This Row],[Rep_ID]],Dim_Reps!A:A,Dim_Reps!D:D)</f>
        <v>Enterprise</v>
      </c>
      <c r="R5148" t="str">
        <f>_xlfn.XLOOKUP(Pipeline_tbl[[#This Row],[Rep_ID]],Dim_Reps!A:A,Dim_Reps!E:E)</f>
        <v>EMEA</v>
      </c>
      <c r="S5148" t="str">
        <f>_xlfn.XLOOKUP(Pipeline_tbl[[#This Row],[Created_Date]],Dim_Date!A:A,Dim_Date!H:H)</f>
        <v>Dec 2025</v>
      </c>
      <c r="T5148" t="str">
        <f>IF(Pipeline_tbl[[#This Row],[Closed_Date]]=0,"",(_xlfn.XLOOKUP(Pipeline_tbl[[#This Row],[Closed_Date]],Dim_Date!A:A,Dim_Date!H:H)))</f>
        <v/>
      </c>
      <c r="U5148" t="str">
        <f>IF(Pipeline_tbl[[#This Row],[Closed_Date]]=0,"",Pipeline_tbl[[#This Row],[Closed_Date]]-Pipeline_tbl[[#This Row],[Created_Date]])</f>
        <v/>
      </c>
    </row>
    <row r="5149" spans="1:21" ht="15" customHeight="1" x14ac:dyDescent="0.2">
      <c r="A5149" t="s">
        <v>5455</v>
      </c>
      <c r="B5149" t="s">
        <v>183</v>
      </c>
      <c r="C5149" t="s">
        <v>53</v>
      </c>
      <c r="D5149" s="49">
        <v>45993</v>
      </c>
      <c r="E5149" s="49">
        <v>45997</v>
      </c>
      <c r="F5149" s="49">
        <v>46006</v>
      </c>
      <c r="G5149" s="49">
        <v>46019</v>
      </c>
      <c r="J5149" t="s">
        <v>308</v>
      </c>
      <c r="K5149" s="33">
        <v>23100</v>
      </c>
      <c r="M5149" t="str">
        <f>_xlfn.XLOOKUP(Pipeline_tbl[[#This Row],[Rep_ID]],Dim_Reps!A:A,Dim_Reps!K:K)</f>
        <v>EUR</v>
      </c>
      <c r="N5149" s="33">
        <f>(_xlfn.XLOOKUP(Pipeline_tbl[[#This Row],[Rate_Code_Generalized]],Lookups!A:A,Lookups!B:B))*Pipeline_tbl[[#This Row],[Pipeline_Amount_USD]]</f>
        <v>23100</v>
      </c>
      <c r="O5149" t="str">
        <f>_xlfn.XLOOKUP(Pipeline_tbl[[#This Row],[Rep_ID]],Dim_Reps!A:A,Dim_Reps!B:B)</f>
        <v>Sam Schmidt</v>
      </c>
      <c r="P5149" t="str">
        <f>_xlfn.XLOOKUP(Pipeline_tbl[[#This Row],[Rep_ID]],Dim_Reps!A:A,Dim_Reps!C:C)</f>
        <v>Enterprise AE</v>
      </c>
      <c r="Q5149" t="str">
        <f>_xlfn.XLOOKUP(Pipeline_tbl[[#This Row],[Rep_ID]],Dim_Reps!A:A,Dim_Reps!D:D)</f>
        <v>Enterprise</v>
      </c>
      <c r="R5149" t="str">
        <f>_xlfn.XLOOKUP(Pipeline_tbl[[#This Row],[Rep_ID]],Dim_Reps!A:A,Dim_Reps!E:E)</f>
        <v>EMEA</v>
      </c>
      <c r="S5149" t="str">
        <f>_xlfn.XLOOKUP(Pipeline_tbl[[#This Row],[Created_Date]],Dim_Date!A:A,Dim_Date!H:H)</f>
        <v>Dec 2025</v>
      </c>
      <c r="T5149" t="str">
        <f>IF(Pipeline_tbl[[#This Row],[Closed_Date]]=0,"",(_xlfn.XLOOKUP(Pipeline_tbl[[#This Row],[Closed_Date]],Dim_Date!A:A,Dim_Date!H:H)))</f>
        <v/>
      </c>
      <c r="U5149" t="str">
        <f>IF(Pipeline_tbl[[#This Row],[Closed_Date]]=0,"",Pipeline_tbl[[#This Row],[Closed_Date]]-Pipeline_tbl[[#This Row],[Created_Date]])</f>
        <v/>
      </c>
    </row>
    <row r="5150" spans="1:21" ht="15" customHeight="1" x14ac:dyDescent="0.2">
      <c r="A5150" t="s">
        <v>5456</v>
      </c>
      <c r="B5150" t="s">
        <v>183</v>
      </c>
      <c r="C5150" t="s">
        <v>53</v>
      </c>
      <c r="D5150" s="49">
        <v>46011</v>
      </c>
      <c r="E5150" s="49">
        <v>46017</v>
      </c>
      <c r="J5150" t="s">
        <v>308</v>
      </c>
      <c r="K5150" s="33">
        <v>33600</v>
      </c>
      <c r="M5150" t="str">
        <f>_xlfn.XLOOKUP(Pipeline_tbl[[#This Row],[Rep_ID]],Dim_Reps!A:A,Dim_Reps!K:K)</f>
        <v>EUR</v>
      </c>
      <c r="N5150" s="33">
        <f>(_xlfn.XLOOKUP(Pipeline_tbl[[#This Row],[Rate_Code_Generalized]],Lookups!A:A,Lookups!B:B))*Pipeline_tbl[[#This Row],[Pipeline_Amount_USD]]</f>
        <v>33600</v>
      </c>
      <c r="O5150" t="str">
        <f>_xlfn.XLOOKUP(Pipeline_tbl[[#This Row],[Rep_ID]],Dim_Reps!A:A,Dim_Reps!B:B)</f>
        <v>Sam Schmidt</v>
      </c>
      <c r="P5150" t="str">
        <f>_xlfn.XLOOKUP(Pipeline_tbl[[#This Row],[Rep_ID]],Dim_Reps!A:A,Dim_Reps!C:C)</f>
        <v>Enterprise AE</v>
      </c>
      <c r="Q5150" t="str">
        <f>_xlfn.XLOOKUP(Pipeline_tbl[[#This Row],[Rep_ID]],Dim_Reps!A:A,Dim_Reps!D:D)</f>
        <v>Enterprise</v>
      </c>
      <c r="R5150" t="str">
        <f>_xlfn.XLOOKUP(Pipeline_tbl[[#This Row],[Rep_ID]],Dim_Reps!A:A,Dim_Reps!E:E)</f>
        <v>EMEA</v>
      </c>
      <c r="S5150" t="str">
        <f>_xlfn.XLOOKUP(Pipeline_tbl[[#This Row],[Created_Date]],Dim_Date!A:A,Dim_Date!H:H)</f>
        <v>Dec 2025</v>
      </c>
      <c r="T5150" t="str">
        <f>IF(Pipeline_tbl[[#This Row],[Closed_Date]]=0,"",(_xlfn.XLOOKUP(Pipeline_tbl[[#This Row],[Closed_Date]],Dim_Date!A:A,Dim_Date!H:H)))</f>
        <v/>
      </c>
      <c r="U5150" t="str">
        <f>IF(Pipeline_tbl[[#This Row],[Closed_Date]]=0,"",Pipeline_tbl[[#This Row],[Closed_Date]]-Pipeline_tbl[[#This Row],[Created_Date]])</f>
        <v/>
      </c>
    </row>
    <row r="5151" spans="1:21" ht="15" customHeight="1" x14ac:dyDescent="0.2">
      <c r="A5151" t="s">
        <v>5457</v>
      </c>
      <c r="B5151" t="s">
        <v>183</v>
      </c>
      <c r="C5151" t="s">
        <v>54</v>
      </c>
      <c r="D5151" s="49">
        <v>45994</v>
      </c>
      <c r="E5151" s="49">
        <v>45999</v>
      </c>
      <c r="F5151" s="49">
        <v>46009</v>
      </c>
      <c r="J5151" t="s">
        <v>308</v>
      </c>
      <c r="K5151" s="33">
        <v>35700</v>
      </c>
      <c r="M5151" t="str">
        <f>_xlfn.XLOOKUP(Pipeline_tbl[[#This Row],[Rep_ID]],Dim_Reps!A:A,Dim_Reps!K:K)</f>
        <v>EUR</v>
      </c>
      <c r="N5151" s="33">
        <f>(_xlfn.XLOOKUP(Pipeline_tbl[[#This Row],[Rate_Code_Generalized]],Lookups!A:A,Lookups!B:B))*Pipeline_tbl[[#This Row],[Pipeline_Amount_USD]]</f>
        <v>35700</v>
      </c>
      <c r="O5151" t="str">
        <f>_xlfn.XLOOKUP(Pipeline_tbl[[#This Row],[Rep_ID]],Dim_Reps!A:A,Dim_Reps!B:B)</f>
        <v>Sam Schmidt</v>
      </c>
      <c r="P5151" t="str">
        <f>_xlfn.XLOOKUP(Pipeline_tbl[[#This Row],[Rep_ID]],Dim_Reps!A:A,Dim_Reps!C:C)</f>
        <v>Enterprise AE</v>
      </c>
      <c r="Q5151" t="str">
        <f>_xlfn.XLOOKUP(Pipeline_tbl[[#This Row],[Rep_ID]],Dim_Reps!A:A,Dim_Reps!D:D)</f>
        <v>Enterprise</v>
      </c>
      <c r="R5151" t="str">
        <f>_xlfn.XLOOKUP(Pipeline_tbl[[#This Row],[Rep_ID]],Dim_Reps!A:A,Dim_Reps!E:E)</f>
        <v>EMEA</v>
      </c>
      <c r="S5151" t="str">
        <f>_xlfn.XLOOKUP(Pipeline_tbl[[#This Row],[Created_Date]],Dim_Date!A:A,Dim_Date!H:H)</f>
        <v>Dec 2025</v>
      </c>
      <c r="T5151" t="str">
        <f>IF(Pipeline_tbl[[#This Row],[Closed_Date]]=0,"",(_xlfn.XLOOKUP(Pipeline_tbl[[#This Row],[Closed_Date]],Dim_Date!A:A,Dim_Date!H:H)))</f>
        <v/>
      </c>
      <c r="U5151" t="str">
        <f>IF(Pipeline_tbl[[#This Row],[Closed_Date]]=0,"",Pipeline_tbl[[#This Row],[Closed_Date]]-Pipeline_tbl[[#This Row],[Created_Date]])</f>
        <v/>
      </c>
    </row>
    <row r="5152" spans="1:21" ht="15" customHeight="1" x14ac:dyDescent="0.2">
      <c r="A5152" t="s">
        <v>5458</v>
      </c>
      <c r="B5152" t="s">
        <v>203</v>
      </c>
      <c r="C5152" t="s">
        <v>52</v>
      </c>
      <c r="D5152" s="49">
        <v>46021</v>
      </c>
      <c r="J5152" t="s">
        <v>308</v>
      </c>
      <c r="K5152" s="33">
        <v>2900</v>
      </c>
      <c r="M5152" t="str">
        <f>_xlfn.XLOOKUP(Pipeline_tbl[[#This Row],[Rep_ID]],Dim_Reps!A:A,Dim_Reps!K:K)</f>
        <v>EUR</v>
      </c>
      <c r="N5152" s="33">
        <f>(_xlfn.XLOOKUP(Pipeline_tbl[[#This Row],[Rate_Code_Generalized]],Lookups!A:A,Lookups!B:B))*Pipeline_tbl[[#This Row],[Pipeline_Amount_USD]]</f>
        <v>2900</v>
      </c>
      <c r="O5152" t="str">
        <f>_xlfn.XLOOKUP(Pipeline_tbl[[#This Row],[Rep_ID]],Dim_Reps!A:A,Dim_Reps!B:B)</f>
        <v>Riley Haddad</v>
      </c>
      <c r="P5152" t="str">
        <f>_xlfn.XLOOKUP(Pipeline_tbl[[#This Row],[Rep_ID]],Dim_Reps!A:A,Dim_Reps!C:C)</f>
        <v>SDR / Inside Sales Rep</v>
      </c>
      <c r="Q5152" t="str">
        <f>_xlfn.XLOOKUP(Pipeline_tbl[[#This Row],[Rep_ID]],Dim_Reps!A:A,Dim_Reps!D:D)</f>
        <v>Inside Sales</v>
      </c>
      <c r="R5152" t="str">
        <f>_xlfn.XLOOKUP(Pipeline_tbl[[#This Row],[Rep_ID]],Dim_Reps!A:A,Dim_Reps!E:E)</f>
        <v>APAC</v>
      </c>
      <c r="S5152" t="str">
        <f>_xlfn.XLOOKUP(Pipeline_tbl[[#This Row],[Created_Date]],Dim_Date!A:A,Dim_Date!H:H)</f>
        <v>Dec 2025</v>
      </c>
      <c r="T5152" t="str">
        <f>IF(Pipeline_tbl[[#This Row],[Closed_Date]]=0,"",(_xlfn.XLOOKUP(Pipeline_tbl[[#This Row],[Closed_Date]],Dim_Date!A:A,Dim_Date!H:H)))</f>
        <v/>
      </c>
      <c r="U5152" t="str">
        <f>IF(Pipeline_tbl[[#This Row],[Closed_Date]]=0,"",Pipeline_tbl[[#This Row],[Closed_Date]]-Pipeline_tbl[[#This Row],[Created_Date]])</f>
        <v/>
      </c>
    </row>
    <row r="5153" spans="1:21" ht="15" customHeight="1" x14ac:dyDescent="0.2">
      <c r="A5153" t="s">
        <v>5459</v>
      </c>
      <c r="B5153" t="s">
        <v>203</v>
      </c>
      <c r="C5153" t="s">
        <v>52</v>
      </c>
      <c r="D5153" s="49">
        <v>46001</v>
      </c>
      <c r="E5153" s="49">
        <v>46003</v>
      </c>
      <c r="F5153" s="49">
        <v>46008</v>
      </c>
      <c r="G5153" s="49">
        <v>46014</v>
      </c>
      <c r="H5153" s="49">
        <v>46020</v>
      </c>
      <c r="J5153" t="s">
        <v>308</v>
      </c>
      <c r="K5153" s="33">
        <v>4100</v>
      </c>
      <c r="M5153" t="str">
        <f>_xlfn.XLOOKUP(Pipeline_tbl[[#This Row],[Rep_ID]],Dim_Reps!A:A,Dim_Reps!K:K)</f>
        <v>EUR</v>
      </c>
      <c r="N5153" s="33">
        <f>(_xlfn.XLOOKUP(Pipeline_tbl[[#This Row],[Rate_Code_Generalized]],Lookups!A:A,Lookups!B:B))*Pipeline_tbl[[#This Row],[Pipeline_Amount_USD]]</f>
        <v>4100</v>
      </c>
      <c r="O5153" t="str">
        <f>_xlfn.XLOOKUP(Pipeline_tbl[[#This Row],[Rep_ID]],Dim_Reps!A:A,Dim_Reps!B:B)</f>
        <v>Riley Haddad</v>
      </c>
      <c r="P5153" t="str">
        <f>_xlfn.XLOOKUP(Pipeline_tbl[[#This Row],[Rep_ID]],Dim_Reps!A:A,Dim_Reps!C:C)</f>
        <v>SDR / Inside Sales Rep</v>
      </c>
      <c r="Q5153" t="str">
        <f>_xlfn.XLOOKUP(Pipeline_tbl[[#This Row],[Rep_ID]],Dim_Reps!A:A,Dim_Reps!D:D)</f>
        <v>Inside Sales</v>
      </c>
      <c r="R5153" t="str">
        <f>_xlfn.XLOOKUP(Pipeline_tbl[[#This Row],[Rep_ID]],Dim_Reps!A:A,Dim_Reps!E:E)</f>
        <v>APAC</v>
      </c>
      <c r="S5153" t="str">
        <f>_xlfn.XLOOKUP(Pipeline_tbl[[#This Row],[Created_Date]],Dim_Date!A:A,Dim_Date!H:H)</f>
        <v>Dec 2025</v>
      </c>
      <c r="T5153" t="str">
        <f>IF(Pipeline_tbl[[#This Row],[Closed_Date]]=0,"",(_xlfn.XLOOKUP(Pipeline_tbl[[#This Row],[Closed_Date]],Dim_Date!A:A,Dim_Date!H:H)))</f>
        <v/>
      </c>
      <c r="U5153" t="str">
        <f>IF(Pipeline_tbl[[#This Row],[Closed_Date]]=0,"",Pipeline_tbl[[#This Row],[Closed_Date]]-Pipeline_tbl[[#This Row],[Created_Date]])</f>
        <v/>
      </c>
    </row>
    <row r="5154" spans="1:21" ht="15" customHeight="1" x14ac:dyDescent="0.2">
      <c r="A5154" t="s">
        <v>5460</v>
      </c>
      <c r="B5154" t="s">
        <v>203</v>
      </c>
      <c r="C5154" t="s">
        <v>52</v>
      </c>
      <c r="D5154" s="49">
        <v>46002</v>
      </c>
      <c r="E5154" s="49">
        <v>46005</v>
      </c>
      <c r="F5154" s="49">
        <v>46010</v>
      </c>
      <c r="G5154" s="49">
        <v>46018</v>
      </c>
      <c r="J5154" t="s">
        <v>308</v>
      </c>
      <c r="K5154" s="33">
        <v>3400</v>
      </c>
      <c r="M5154" t="str">
        <f>_xlfn.XLOOKUP(Pipeline_tbl[[#This Row],[Rep_ID]],Dim_Reps!A:A,Dim_Reps!K:K)</f>
        <v>EUR</v>
      </c>
      <c r="N5154" s="33">
        <f>(_xlfn.XLOOKUP(Pipeline_tbl[[#This Row],[Rate_Code_Generalized]],Lookups!A:A,Lookups!B:B))*Pipeline_tbl[[#This Row],[Pipeline_Amount_USD]]</f>
        <v>3400</v>
      </c>
      <c r="O5154" t="str">
        <f>_xlfn.XLOOKUP(Pipeline_tbl[[#This Row],[Rep_ID]],Dim_Reps!A:A,Dim_Reps!B:B)</f>
        <v>Riley Haddad</v>
      </c>
      <c r="P5154" t="str">
        <f>_xlfn.XLOOKUP(Pipeline_tbl[[#This Row],[Rep_ID]],Dim_Reps!A:A,Dim_Reps!C:C)</f>
        <v>SDR / Inside Sales Rep</v>
      </c>
      <c r="Q5154" t="str">
        <f>_xlfn.XLOOKUP(Pipeline_tbl[[#This Row],[Rep_ID]],Dim_Reps!A:A,Dim_Reps!D:D)</f>
        <v>Inside Sales</v>
      </c>
      <c r="R5154" t="str">
        <f>_xlfn.XLOOKUP(Pipeline_tbl[[#This Row],[Rep_ID]],Dim_Reps!A:A,Dim_Reps!E:E)</f>
        <v>APAC</v>
      </c>
      <c r="S5154" t="str">
        <f>_xlfn.XLOOKUP(Pipeline_tbl[[#This Row],[Created_Date]],Dim_Date!A:A,Dim_Date!H:H)</f>
        <v>Dec 2025</v>
      </c>
      <c r="T5154" t="str">
        <f>IF(Pipeline_tbl[[#This Row],[Closed_Date]]=0,"",(_xlfn.XLOOKUP(Pipeline_tbl[[#This Row],[Closed_Date]],Dim_Date!A:A,Dim_Date!H:H)))</f>
        <v/>
      </c>
      <c r="U5154" t="str">
        <f>IF(Pipeline_tbl[[#This Row],[Closed_Date]]=0,"",Pipeline_tbl[[#This Row],[Closed_Date]]-Pipeline_tbl[[#This Row],[Created_Date]])</f>
        <v/>
      </c>
    </row>
    <row r="5155" spans="1:21" ht="15" customHeight="1" x14ac:dyDescent="0.2">
      <c r="A5155" t="s">
        <v>5461</v>
      </c>
      <c r="B5155" t="s">
        <v>203</v>
      </c>
      <c r="C5155" t="s">
        <v>55</v>
      </c>
      <c r="D5155" s="49">
        <v>46015</v>
      </c>
      <c r="E5155" s="49">
        <v>46017</v>
      </c>
      <c r="F5155" s="49">
        <v>46022</v>
      </c>
      <c r="J5155" t="s">
        <v>308</v>
      </c>
      <c r="K5155" s="33">
        <v>3500</v>
      </c>
      <c r="M5155" t="str">
        <f>_xlfn.XLOOKUP(Pipeline_tbl[[#This Row],[Rep_ID]],Dim_Reps!A:A,Dim_Reps!K:K)</f>
        <v>EUR</v>
      </c>
      <c r="N5155" s="33">
        <f>(_xlfn.XLOOKUP(Pipeline_tbl[[#This Row],[Rate_Code_Generalized]],Lookups!A:A,Lookups!B:B))*Pipeline_tbl[[#This Row],[Pipeline_Amount_USD]]</f>
        <v>3500</v>
      </c>
      <c r="O5155" t="str">
        <f>_xlfn.XLOOKUP(Pipeline_tbl[[#This Row],[Rep_ID]],Dim_Reps!A:A,Dim_Reps!B:B)</f>
        <v>Riley Haddad</v>
      </c>
      <c r="P5155" t="str">
        <f>_xlfn.XLOOKUP(Pipeline_tbl[[#This Row],[Rep_ID]],Dim_Reps!A:A,Dim_Reps!C:C)</f>
        <v>SDR / Inside Sales Rep</v>
      </c>
      <c r="Q5155" t="str">
        <f>_xlfn.XLOOKUP(Pipeline_tbl[[#This Row],[Rep_ID]],Dim_Reps!A:A,Dim_Reps!D:D)</f>
        <v>Inside Sales</v>
      </c>
      <c r="R5155" t="str">
        <f>_xlfn.XLOOKUP(Pipeline_tbl[[#This Row],[Rep_ID]],Dim_Reps!A:A,Dim_Reps!E:E)</f>
        <v>APAC</v>
      </c>
      <c r="S5155" t="str">
        <f>_xlfn.XLOOKUP(Pipeline_tbl[[#This Row],[Created_Date]],Dim_Date!A:A,Dim_Date!H:H)</f>
        <v>Dec 2025</v>
      </c>
      <c r="T5155" t="str">
        <f>IF(Pipeline_tbl[[#This Row],[Closed_Date]]=0,"",(_xlfn.XLOOKUP(Pipeline_tbl[[#This Row],[Closed_Date]],Dim_Date!A:A,Dim_Date!H:H)))</f>
        <v/>
      </c>
      <c r="U5155" t="str">
        <f>IF(Pipeline_tbl[[#This Row],[Closed_Date]]=0,"",Pipeline_tbl[[#This Row],[Closed_Date]]-Pipeline_tbl[[#This Row],[Created_Date]])</f>
        <v/>
      </c>
    </row>
    <row r="5156" spans="1:21" ht="15" customHeight="1" x14ac:dyDescent="0.2">
      <c r="A5156" t="s">
        <v>5462</v>
      </c>
      <c r="B5156" t="s">
        <v>203</v>
      </c>
      <c r="C5156" t="s">
        <v>52</v>
      </c>
      <c r="D5156" s="49">
        <v>46017</v>
      </c>
      <c r="E5156" s="49">
        <v>46020</v>
      </c>
      <c r="J5156" t="s">
        <v>308</v>
      </c>
      <c r="K5156" s="33">
        <v>2800</v>
      </c>
      <c r="M5156" t="str">
        <f>_xlfn.XLOOKUP(Pipeline_tbl[[#This Row],[Rep_ID]],Dim_Reps!A:A,Dim_Reps!K:K)</f>
        <v>EUR</v>
      </c>
      <c r="N5156" s="33">
        <f>(_xlfn.XLOOKUP(Pipeline_tbl[[#This Row],[Rate_Code_Generalized]],Lookups!A:A,Lookups!B:B))*Pipeline_tbl[[#This Row],[Pipeline_Amount_USD]]</f>
        <v>2800</v>
      </c>
      <c r="O5156" t="str">
        <f>_xlfn.XLOOKUP(Pipeline_tbl[[#This Row],[Rep_ID]],Dim_Reps!A:A,Dim_Reps!B:B)</f>
        <v>Riley Haddad</v>
      </c>
      <c r="P5156" t="str">
        <f>_xlfn.XLOOKUP(Pipeline_tbl[[#This Row],[Rep_ID]],Dim_Reps!A:A,Dim_Reps!C:C)</f>
        <v>SDR / Inside Sales Rep</v>
      </c>
      <c r="Q5156" t="str">
        <f>_xlfn.XLOOKUP(Pipeline_tbl[[#This Row],[Rep_ID]],Dim_Reps!A:A,Dim_Reps!D:D)</f>
        <v>Inside Sales</v>
      </c>
      <c r="R5156" t="str">
        <f>_xlfn.XLOOKUP(Pipeline_tbl[[#This Row],[Rep_ID]],Dim_Reps!A:A,Dim_Reps!E:E)</f>
        <v>APAC</v>
      </c>
      <c r="S5156" t="str">
        <f>_xlfn.XLOOKUP(Pipeline_tbl[[#This Row],[Created_Date]],Dim_Date!A:A,Dim_Date!H:H)</f>
        <v>Dec 2025</v>
      </c>
      <c r="T5156" t="str">
        <f>IF(Pipeline_tbl[[#This Row],[Closed_Date]]=0,"",(_xlfn.XLOOKUP(Pipeline_tbl[[#This Row],[Closed_Date]],Dim_Date!A:A,Dim_Date!H:H)))</f>
        <v/>
      </c>
      <c r="U5156" t="str">
        <f>IF(Pipeline_tbl[[#This Row],[Closed_Date]]=0,"",Pipeline_tbl[[#This Row],[Closed_Date]]-Pipeline_tbl[[#This Row],[Created_Date]])</f>
        <v/>
      </c>
    </row>
    <row r="5157" spans="1:21" ht="15" customHeight="1" x14ac:dyDescent="0.2">
      <c r="A5157" t="s">
        <v>5463</v>
      </c>
      <c r="B5157" t="s">
        <v>203</v>
      </c>
      <c r="C5157" t="s">
        <v>53</v>
      </c>
      <c r="D5157" s="49">
        <v>46009</v>
      </c>
      <c r="E5157" s="49">
        <v>46011</v>
      </c>
      <c r="F5157" s="49">
        <v>46014</v>
      </c>
      <c r="G5157" s="49">
        <v>46019</v>
      </c>
      <c r="J5157" t="s">
        <v>308</v>
      </c>
      <c r="K5157" s="33">
        <v>4500</v>
      </c>
      <c r="M5157" t="str">
        <f>_xlfn.XLOOKUP(Pipeline_tbl[[#This Row],[Rep_ID]],Dim_Reps!A:A,Dim_Reps!K:K)</f>
        <v>EUR</v>
      </c>
      <c r="N5157" s="33">
        <f>(_xlfn.XLOOKUP(Pipeline_tbl[[#This Row],[Rate_Code_Generalized]],Lookups!A:A,Lookups!B:B))*Pipeline_tbl[[#This Row],[Pipeline_Amount_USD]]</f>
        <v>4500</v>
      </c>
      <c r="O5157" t="str">
        <f>_xlfn.XLOOKUP(Pipeline_tbl[[#This Row],[Rep_ID]],Dim_Reps!A:A,Dim_Reps!B:B)</f>
        <v>Riley Haddad</v>
      </c>
      <c r="P5157" t="str">
        <f>_xlfn.XLOOKUP(Pipeline_tbl[[#This Row],[Rep_ID]],Dim_Reps!A:A,Dim_Reps!C:C)</f>
        <v>SDR / Inside Sales Rep</v>
      </c>
      <c r="Q5157" t="str">
        <f>_xlfn.XLOOKUP(Pipeline_tbl[[#This Row],[Rep_ID]],Dim_Reps!A:A,Dim_Reps!D:D)</f>
        <v>Inside Sales</v>
      </c>
      <c r="R5157" t="str">
        <f>_xlfn.XLOOKUP(Pipeline_tbl[[#This Row],[Rep_ID]],Dim_Reps!A:A,Dim_Reps!E:E)</f>
        <v>APAC</v>
      </c>
      <c r="S5157" t="str">
        <f>_xlfn.XLOOKUP(Pipeline_tbl[[#This Row],[Created_Date]],Dim_Date!A:A,Dim_Date!H:H)</f>
        <v>Dec 2025</v>
      </c>
      <c r="T5157" t="str">
        <f>IF(Pipeline_tbl[[#This Row],[Closed_Date]]=0,"",(_xlfn.XLOOKUP(Pipeline_tbl[[#This Row],[Closed_Date]],Dim_Date!A:A,Dim_Date!H:H)))</f>
        <v/>
      </c>
      <c r="U5157" t="str">
        <f>IF(Pipeline_tbl[[#This Row],[Closed_Date]]=0,"",Pipeline_tbl[[#This Row],[Closed_Date]]-Pipeline_tbl[[#This Row],[Created_Date]])</f>
        <v/>
      </c>
    </row>
    <row r="5158" spans="1:21" ht="15" customHeight="1" x14ac:dyDescent="0.2">
      <c r="A5158" t="s">
        <v>5464</v>
      </c>
      <c r="B5158" t="s">
        <v>203</v>
      </c>
      <c r="C5158" t="s">
        <v>52</v>
      </c>
      <c r="D5158" s="49">
        <v>46020</v>
      </c>
      <c r="E5158" s="49">
        <v>46022</v>
      </c>
      <c r="J5158" t="s">
        <v>308</v>
      </c>
      <c r="K5158" s="33">
        <v>7600</v>
      </c>
      <c r="M5158" t="str">
        <f>_xlfn.XLOOKUP(Pipeline_tbl[[#This Row],[Rep_ID]],Dim_Reps!A:A,Dim_Reps!K:K)</f>
        <v>EUR</v>
      </c>
      <c r="N5158" s="33">
        <f>(_xlfn.XLOOKUP(Pipeline_tbl[[#This Row],[Rate_Code_Generalized]],Lookups!A:A,Lookups!B:B))*Pipeline_tbl[[#This Row],[Pipeline_Amount_USD]]</f>
        <v>7600</v>
      </c>
      <c r="O5158" t="str">
        <f>_xlfn.XLOOKUP(Pipeline_tbl[[#This Row],[Rep_ID]],Dim_Reps!A:A,Dim_Reps!B:B)</f>
        <v>Riley Haddad</v>
      </c>
      <c r="P5158" t="str">
        <f>_xlfn.XLOOKUP(Pipeline_tbl[[#This Row],[Rep_ID]],Dim_Reps!A:A,Dim_Reps!C:C)</f>
        <v>SDR / Inside Sales Rep</v>
      </c>
      <c r="Q5158" t="str">
        <f>_xlfn.XLOOKUP(Pipeline_tbl[[#This Row],[Rep_ID]],Dim_Reps!A:A,Dim_Reps!D:D)</f>
        <v>Inside Sales</v>
      </c>
      <c r="R5158" t="str">
        <f>_xlfn.XLOOKUP(Pipeline_tbl[[#This Row],[Rep_ID]],Dim_Reps!A:A,Dim_Reps!E:E)</f>
        <v>APAC</v>
      </c>
      <c r="S5158" t="str">
        <f>_xlfn.XLOOKUP(Pipeline_tbl[[#This Row],[Created_Date]],Dim_Date!A:A,Dim_Date!H:H)</f>
        <v>Dec 2025</v>
      </c>
      <c r="T5158" t="str">
        <f>IF(Pipeline_tbl[[#This Row],[Closed_Date]]=0,"",(_xlfn.XLOOKUP(Pipeline_tbl[[#This Row],[Closed_Date]],Dim_Date!A:A,Dim_Date!H:H)))</f>
        <v/>
      </c>
      <c r="U5158" t="str">
        <f>IF(Pipeline_tbl[[#This Row],[Closed_Date]]=0,"",Pipeline_tbl[[#This Row],[Closed_Date]]-Pipeline_tbl[[#This Row],[Created_Date]])</f>
        <v/>
      </c>
    </row>
    <row r="5159" spans="1:21" ht="15" customHeight="1" x14ac:dyDescent="0.2">
      <c r="A5159" t="s">
        <v>5465</v>
      </c>
      <c r="B5159" t="s">
        <v>203</v>
      </c>
      <c r="C5159" t="s">
        <v>53</v>
      </c>
      <c r="D5159" s="49">
        <v>46003</v>
      </c>
      <c r="E5159" s="49">
        <v>46005</v>
      </c>
      <c r="F5159" s="49">
        <v>46009</v>
      </c>
      <c r="G5159" s="49">
        <v>46016</v>
      </c>
      <c r="H5159" s="49">
        <v>46021</v>
      </c>
      <c r="J5159" t="s">
        <v>308</v>
      </c>
      <c r="K5159" s="33">
        <v>3200</v>
      </c>
      <c r="M5159" t="str">
        <f>_xlfn.XLOOKUP(Pipeline_tbl[[#This Row],[Rep_ID]],Dim_Reps!A:A,Dim_Reps!K:K)</f>
        <v>EUR</v>
      </c>
      <c r="N5159" s="33">
        <f>(_xlfn.XLOOKUP(Pipeline_tbl[[#This Row],[Rate_Code_Generalized]],Lookups!A:A,Lookups!B:B))*Pipeline_tbl[[#This Row],[Pipeline_Amount_USD]]</f>
        <v>3200</v>
      </c>
      <c r="O5159" t="str">
        <f>_xlfn.XLOOKUP(Pipeline_tbl[[#This Row],[Rep_ID]],Dim_Reps!A:A,Dim_Reps!B:B)</f>
        <v>Riley Haddad</v>
      </c>
      <c r="P5159" t="str">
        <f>_xlfn.XLOOKUP(Pipeline_tbl[[#This Row],[Rep_ID]],Dim_Reps!A:A,Dim_Reps!C:C)</f>
        <v>SDR / Inside Sales Rep</v>
      </c>
      <c r="Q5159" t="str">
        <f>_xlfn.XLOOKUP(Pipeline_tbl[[#This Row],[Rep_ID]],Dim_Reps!A:A,Dim_Reps!D:D)</f>
        <v>Inside Sales</v>
      </c>
      <c r="R5159" t="str">
        <f>_xlfn.XLOOKUP(Pipeline_tbl[[#This Row],[Rep_ID]],Dim_Reps!A:A,Dim_Reps!E:E)</f>
        <v>APAC</v>
      </c>
      <c r="S5159" t="str">
        <f>_xlfn.XLOOKUP(Pipeline_tbl[[#This Row],[Created_Date]],Dim_Date!A:A,Dim_Date!H:H)</f>
        <v>Dec 2025</v>
      </c>
      <c r="T5159" t="str">
        <f>IF(Pipeline_tbl[[#This Row],[Closed_Date]]=0,"",(_xlfn.XLOOKUP(Pipeline_tbl[[#This Row],[Closed_Date]],Dim_Date!A:A,Dim_Date!H:H)))</f>
        <v/>
      </c>
      <c r="U5159" t="str">
        <f>IF(Pipeline_tbl[[#This Row],[Closed_Date]]=0,"",Pipeline_tbl[[#This Row],[Closed_Date]]-Pipeline_tbl[[#This Row],[Created_Date]])</f>
        <v/>
      </c>
    </row>
    <row r="5160" spans="1:21" ht="15" customHeight="1" x14ac:dyDescent="0.2">
      <c r="A5160" t="s">
        <v>5466</v>
      </c>
      <c r="B5160" t="s">
        <v>203</v>
      </c>
      <c r="C5160" t="s">
        <v>52</v>
      </c>
      <c r="D5160" s="49">
        <v>46008</v>
      </c>
      <c r="E5160" s="49">
        <v>46011</v>
      </c>
      <c r="F5160" s="49">
        <v>46017</v>
      </c>
      <c r="J5160" t="s">
        <v>308</v>
      </c>
      <c r="K5160" s="33">
        <v>7700</v>
      </c>
      <c r="M5160" t="str">
        <f>_xlfn.XLOOKUP(Pipeline_tbl[[#This Row],[Rep_ID]],Dim_Reps!A:A,Dim_Reps!K:K)</f>
        <v>EUR</v>
      </c>
      <c r="N5160" s="33">
        <f>(_xlfn.XLOOKUP(Pipeline_tbl[[#This Row],[Rate_Code_Generalized]],Lookups!A:A,Lookups!B:B))*Pipeline_tbl[[#This Row],[Pipeline_Amount_USD]]</f>
        <v>7700</v>
      </c>
      <c r="O5160" t="str">
        <f>_xlfn.XLOOKUP(Pipeline_tbl[[#This Row],[Rep_ID]],Dim_Reps!A:A,Dim_Reps!B:B)</f>
        <v>Riley Haddad</v>
      </c>
      <c r="P5160" t="str">
        <f>_xlfn.XLOOKUP(Pipeline_tbl[[#This Row],[Rep_ID]],Dim_Reps!A:A,Dim_Reps!C:C)</f>
        <v>SDR / Inside Sales Rep</v>
      </c>
      <c r="Q5160" t="str">
        <f>_xlfn.XLOOKUP(Pipeline_tbl[[#This Row],[Rep_ID]],Dim_Reps!A:A,Dim_Reps!D:D)</f>
        <v>Inside Sales</v>
      </c>
      <c r="R5160" t="str">
        <f>_xlfn.XLOOKUP(Pipeline_tbl[[#This Row],[Rep_ID]],Dim_Reps!A:A,Dim_Reps!E:E)</f>
        <v>APAC</v>
      </c>
      <c r="S5160" t="str">
        <f>_xlfn.XLOOKUP(Pipeline_tbl[[#This Row],[Created_Date]],Dim_Date!A:A,Dim_Date!H:H)</f>
        <v>Dec 2025</v>
      </c>
      <c r="T5160" t="str">
        <f>IF(Pipeline_tbl[[#This Row],[Closed_Date]]=0,"",(_xlfn.XLOOKUP(Pipeline_tbl[[#This Row],[Closed_Date]],Dim_Date!A:A,Dim_Date!H:H)))</f>
        <v/>
      </c>
      <c r="U5160" t="str">
        <f>IF(Pipeline_tbl[[#This Row],[Closed_Date]]=0,"",Pipeline_tbl[[#This Row],[Closed_Date]]-Pipeline_tbl[[#This Row],[Created_Date]])</f>
        <v/>
      </c>
    </row>
    <row r="5161" spans="1:21" ht="15" customHeight="1" x14ac:dyDescent="0.2">
      <c r="A5161" t="s">
        <v>5467</v>
      </c>
      <c r="B5161" t="s">
        <v>278</v>
      </c>
      <c r="C5161" t="s">
        <v>52</v>
      </c>
      <c r="D5161" s="49">
        <v>46012</v>
      </c>
      <c r="J5161" t="s">
        <v>308</v>
      </c>
      <c r="K5161" s="33">
        <v>50100</v>
      </c>
      <c r="M5161" t="str">
        <f>_xlfn.XLOOKUP(Pipeline_tbl[[#This Row],[Rep_ID]],Dim_Reps!A:A,Dim_Reps!K:K)</f>
        <v>EUR</v>
      </c>
      <c r="N5161" s="33">
        <f>(_xlfn.XLOOKUP(Pipeline_tbl[[#This Row],[Rate_Code_Generalized]],Lookups!A:A,Lookups!B:B))*Pipeline_tbl[[#This Row],[Pipeline_Amount_USD]]</f>
        <v>50100</v>
      </c>
      <c r="O5161" t="str">
        <f>_xlfn.XLOOKUP(Pipeline_tbl[[#This Row],[Rep_ID]],Dim_Reps!A:A,Dim_Reps!B:B)</f>
        <v>Sara Andersson</v>
      </c>
      <c r="P5161" t="str">
        <f>_xlfn.XLOOKUP(Pipeline_tbl[[#This Row],[Rep_ID]],Dim_Reps!A:A,Dim_Reps!C:C)</f>
        <v>Senior Enterprise AE</v>
      </c>
      <c r="Q5161" t="str">
        <f>_xlfn.XLOOKUP(Pipeline_tbl[[#This Row],[Rep_ID]],Dim_Reps!A:A,Dim_Reps!D:D)</f>
        <v>Strategic</v>
      </c>
      <c r="R5161" t="str">
        <f>_xlfn.XLOOKUP(Pipeline_tbl[[#This Row],[Rep_ID]],Dim_Reps!A:A,Dim_Reps!E:E)</f>
        <v>APAC</v>
      </c>
      <c r="S5161" t="str">
        <f>_xlfn.XLOOKUP(Pipeline_tbl[[#This Row],[Created_Date]],Dim_Date!A:A,Dim_Date!H:H)</f>
        <v>Dec 2025</v>
      </c>
      <c r="T5161" t="str">
        <f>IF(Pipeline_tbl[[#This Row],[Closed_Date]]=0,"",(_xlfn.XLOOKUP(Pipeline_tbl[[#This Row],[Closed_Date]],Dim_Date!A:A,Dim_Date!H:H)))</f>
        <v/>
      </c>
      <c r="U5161" t="str">
        <f>IF(Pipeline_tbl[[#This Row],[Closed_Date]]=0,"",Pipeline_tbl[[#This Row],[Closed_Date]]-Pipeline_tbl[[#This Row],[Created_Date]])</f>
        <v/>
      </c>
    </row>
    <row r="5162" spans="1:21" ht="15" customHeight="1" x14ac:dyDescent="0.2">
      <c r="A5162" t="s">
        <v>5468</v>
      </c>
      <c r="B5162" t="s">
        <v>278</v>
      </c>
      <c r="C5162" t="s">
        <v>52</v>
      </c>
      <c r="D5162" s="49">
        <v>46018</v>
      </c>
      <c r="J5162" t="s">
        <v>308</v>
      </c>
      <c r="K5162" s="33">
        <v>100100</v>
      </c>
      <c r="M5162" t="str">
        <f>_xlfn.XLOOKUP(Pipeline_tbl[[#This Row],[Rep_ID]],Dim_Reps!A:A,Dim_Reps!K:K)</f>
        <v>EUR</v>
      </c>
      <c r="N5162" s="33">
        <f>(_xlfn.XLOOKUP(Pipeline_tbl[[#This Row],[Rate_Code_Generalized]],Lookups!A:A,Lookups!B:B))*Pipeline_tbl[[#This Row],[Pipeline_Amount_USD]]</f>
        <v>100100</v>
      </c>
      <c r="O5162" t="str">
        <f>_xlfn.XLOOKUP(Pipeline_tbl[[#This Row],[Rep_ID]],Dim_Reps!A:A,Dim_Reps!B:B)</f>
        <v>Sara Andersson</v>
      </c>
      <c r="P5162" t="str">
        <f>_xlfn.XLOOKUP(Pipeline_tbl[[#This Row],[Rep_ID]],Dim_Reps!A:A,Dim_Reps!C:C)</f>
        <v>Senior Enterprise AE</v>
      </c>
      <c r="Q5162" t="str">
        <f>_xlfn.XLOOKUP(Pipeline_tbl[[#This Row],[Rep_ID]],Dim_Reps!A:A,Dim_Reps!D:D)</f>
        <v>Strategic</v>
      </c>
      <c r="R5162" t="str">
        <f>_xlfn.XLOOKUP(Pipeline_tbl[[#This Row],[Rep_ID]],Dim_Reps!A:A,Dim_Reps!E:E)</f>
        <v>APAC</v>
      </c>
      <c r="S5162" t="str">
        <f>_xlfn.XLOOKUP(Pipeline_tbl[[#This Row],[Created_Date]],Dim_Date!A:A,Dim_Date!H:H)</f>
        <v>Dec 2025</v>
      </c>
      <c r="T5162" t="str">
        <f>IF(Pipeline_tbl[[#This Row],[Closed_Date]]=0,"",(_xlfn.XLOOKUP(Pipeline_tbl[[#This Row],[Closed_Date]],Dim_Date!A:A,Dim_Date!H:H)))</f>
        <v/>
      </c>
      <c r="U5162" t="str">
        <f>IF(Pipeline_tbl[[#This Row],[Closed_Date]]=0,"",Pipeline_tbl[[#This Row],[Closed_Date]]-Pipeline_tbl[[#This Row],[Created_Date]])</f>
        <v/>
      </c>
    </row>
    <row r="5163" spans="1:21" ht="15" customHeight="1" x14ac:dyDescent="0.2">
      <c r="A5163" t="s">
        <v>5469</v>
      </c>
      <c r="B5163" t="s">
        <v>278</v>
      </c>
      <c r="C5163" t="s">
        <v>52</v>
      </c>
      <c r="D5163" s="49">
        <v>46006</v>
      </c>
      <c r="E5163" s="49">
        <v>46016</v>
      </c>
      <c r="J5163" t="s">
        <v>308</v>
      </c>
      <c r="K5163" s="33">
        <v>51800</v>
      </c>
      <c r="M5163" t="str">
        <f>_xlfn.XLOOKUP(Pipeline_tbl[[#This Row],[Rep_ID]],Dim_Reps!A:A,Dim_Reps!K:K)</f>
        <v>EUR</v>
      </c>
      <c r="N5163" s="33">
        <f>(_xlfn.XLOOKUP(Pipeline_tbl[[#This Row],[Rate_Code_Generalized]],Lookups!A:A,Lookups!B:B))*Pipeline_tbl[[#This Row],[Pipeline_Amount_USD]]</f>
        <v>51800</v>
      </c>
      <c r="O5163" t="str">
        <f>_xlfn.XLOOKUP(Pipeline_tbl[[#This Row],[Rep_ID]],Dim_Reps!A:A,Dim_Reps!B:B)</f>
        <v>Sara Andersson</v>
      </c>
      <c r="P5163" t="str">
        <f>_xlfn.XLOOKUP(Pipeline_tbl[[#This Row],[Rep_ID]],Dim_Reps!A:A,Dim_Reps!C:C)</f>
        <v>Senior Enterprise AE</v>
      </c>
      <c r="Q5163" t="str">
        <f>_xlfn.XLOOKUP(Pipeline_tbl[[#This Row],[Rep_ID]],Dim_Reps!A:A,Dim_Reps!D:D)</f>
        <v>Strategic</v>
      </c>
      <c r="R5163" t="str">
        <f>_xlfn.XLOOKUP(Pipeline_tbl[[#This Row],[Rep_ID]],Dim_Reps!A:A,Dim_Reps!E:E)</f>
        <v>APAC</v>
      </c>
      <c r="S5163" t="str">
        <f>_xlfn.XLOOKUP(Pipeline_tbl[[#This Row],[Created_Date]],Dim_Date!A:A,Dim_Date!H:H)</f>
        <v>Dec 2025</v>
      </c>
      <c r="T5163" t="str">
        <f>IF(Pipeline_tbl[[#This Row],[Closed_Date]]=0,"",(_xlfn.XLOOKUP(Pipeline_tbl[[#This Row],[Closed_Date]],Dim_Date!A:A,Dim_Date!H:H)))</f>
        <v/>
      </c>
      <c r="U5163" t="str">
        <f>IF(Pipeline_tbl[[#This Row],[Closed_Date]]=0,"",Pipeline_tbl[[#This Row],[Closed_Date]]-Pipeline_tbl[[#This Row],[Created_Date]])</f>
        <v/>
      </c>
    </row>
    <row r="5164" spans="1:21" ht="15" customHeight="1" x14ac:dyDescent="0.2">
      <c r="A5164" t="s">
        <v>5470</v>
      </c>
      <c r="B5164" t="s">
        <v>278</v>
      </c>
      <c r="C5164" t="s">
        <v>52</v>
      </c>
      <c r="D5164" s="49">
        <v>46021</v>
      </c>
      <c r="J5164" t="s">
        <v>308</v>
      </c>
      <c r="K5164" s="33">
        <v>28200</v>
      </c>
      <c r="M5164" t="str">
        <f>_xlfn.XLOOKUP(Pipeline_tbl[[#This Row],[Rep_ID]],Dim_Reps!A:A,Dim_Reps!K:K)</f>
        <v>EUR</v>
      </c>
      <c r="N5164" s="33">
        <f>(_xlfn.XLOOKUP(Pipeline_tbl[[#This Row],[Rate_Code_Generalized]],Lookups!A:A,Lookups!B:B))*Pipeline_tbl[[#This Row],[Pipeline_Amount_USD]]</f>
        <v>28200</v>
      </c>
      <c r="O5164" t="str">
        <f>_xlfn.XLOOKUP(Pipeline_tbl[[#This Row],[Rep_ID]],Dim_Reps!A:A,Dim_Reps!B:B)</f>
        <v>Sara Andersson</v>
      </c>
      <c r="P5164" t="str">
        <f>_xlfn.XLOOKUP(Pipeline_tbl[[#This Row],[Rep_ID]],Dim_Reps!A:A,Dim_Reps!C:C)</f>
        <v>Senior Enterprise AE</v>
      </c>
      <c r="Q5164" t="str">
        <f>_xlfn.XLOOKUP(Pipeline_tbl[[#This Row],[Rep_ID]],Dim_Reps!A:A,Dim_Reps!D:D)</f>
        <v>Strategic</v>
      </c>
      <c r="R5164" t="str">
        <f>_xlfn.XLOOKUP(Pipeline_tbl[[#This Row],[Rep_ID]],Dim_Reps!A:A,Dim_Reps!E:E)</f>
        <v>APAC</v>
      </c>
      <c r="S5164" t="str">
        <f>_xlfn.XLOOKUP(Pipeline_tbl[[#This Row],[Created_Date]],Dim_Date!A:A,Dim_Date!H:H)</f>
        <v>Dec 2025</v>
      </c>
      <c r="T5164" t="str">
        <f>IF(Pipeline_tbl[[#This Row],[Closed_Date]]=0,"",(_xlfn.XLOOKUP(Pipeline_tbl[[#This Row],[Closed_Date]],Dim_Date!A:A,Dim_Date!H:H)))</f>
        <v/>
      </c>
      <c r="U5164" t="str">
        <f>IF(Pipeline_tbl[[#This Row],[Closed_Date]]=0,"",Pipeline_tbl[[#This Row],[Closed_Date]]-Pipeline_tbl[[#This Row],[Created_Date]])</f>
        <v/>
      </c>
    </row>
    <row r="5165" spans="1:21" ht="15" customHeight="1" x14ac:dyDescent="0.2">
      <c r="A5165" t="s">
        <v>5471</v>
      </c>
      <c r="B5165" t="s">
        <v>278</v>
      </c>
      <c r="C5165" t="s">
        <v>52</v>
      </c>
      <c r="D5165" s="49">
        <v>46014</v>
      </c>
      <c r="J5165" t="s">
        <v>308</v>
      </c>
      <c r="K5165" s="33">
        <v>43400</v>
      </c>
      <c r="M5165" t="str">
        <f>_xlfn.XLOOKUP(Pipeline_tbl[[#This Row],[Rep_ID]],Dim_Reps!A:A,Dim_Reps!K:K)</f>
        <v>EUR</v>
      </c>
      <c r="N5165" s="33">
        <f>(_xlfn.XLOOKUP(Pipeline_tbl[[#This Row],[Rate_Code_Generalized]],Lookups!A:A,Lookups!B:B))*Pipeline_tbl[[#This Row],[Pipeline_Amount_USD]]</f>
        <v>43400</v>
      </c>
      <c r="O5165" t="str">
        <f>_xlfn.XLOOKUP(Pipeline_tbl[[#This Row],[Rep_ID]],Dim_Reps!A:A,Dim_Reps!B:B)</f>
        <v>Sara Andersson</v>
      </c>
      <c r="P5165" t="str">
        <f>_xlfn.XLOOKUP(Pipeline_tbl[[#This Row],[Rep_ID]],Dim_Reps!A:A,Dim_Reps!C:C)</f>
        <v>Senior Enterprise AE</v>
      </c>
      <c r="Q5165" t="str">
        <f>_xlfn.XLOOKUP(Pipeline_tbl[[#This Row],[Rep_ID]],Dim_Reps!A:A,Dim_Reps!D:D)</f>
        <v>Strategic</v>
      </c>
      <c r="R5165" t="str">
        <f>_xlfn.XLOOKUP(Pipeline_tbl[[#This Row],[Rep_ID]],Dim_Reps!A:A,Dim_Reps!E:E)</f>
        <v>APAC</v>
      </c>
      <c r="S5165" t="str">
        <f>_xlfn.XLOOKUP(Pipeline_tbl[[#This Row],[Created_Date]],Dim_Date!A:A,Dim_Date!H:H)</f>
        <v>Dec 2025</v>
      </c>
      <c r="T5165" t="str">
        <f>IF(Pipeline_tbl[[#This Row],[Closed_Date]]=0,"",(_xlfn.XLOOKUP(Pipeline_tbl[[#This Row],[Closed_Date]],Dim_Date!A:A,Dim_Date!H:H)))</f>
        <v/>
      </c>
      <c r="U5165" t="str">
        <f>IF(Pipeline_tbl[[#This Row],[Closed_Date]]=0,"",Pipeline_tbl[[#This Row],[Closed_Date]]-Pipeline_tbl[[#This Row],[Created_Date]])</f>
        <v/>
      </c>
    </row>
    <row r="5166" spans="1:21" ht="15" customHeight="1" x14ac:dyDescent="0.2">
      <c r="A5166" t="s">
        <v>5472</v>
      </c>
      <c r="B5166" t="s">
        <v>278</v>
      </c>
      <c r="C5166" t="s">
        <v>55</v>
      </c>
      <c r="D5166" s="49">
        <v>46001</v>
      </c>
      <c r="E5166" s="49">
        <v>46009</v>
      </c>
      <c r="J5166" t="s">
        <v>308</v>
      </c>
      <c r="K5166" s="33">
        <v>57200</v>
      </c>
      <c r="M5166" t="str">
        <f>_xlfn.XLOOKUP(Pipeline_tbl[[#This Row],[Rep_ID]],Dim_Reps!A:A,Dim_Reps!K:K)</f>
        <v>EUR</v>
      </c>
      <c r="N5166" s="33">
        <f>(_xlfn.XLOOKUP(Pipeline_tbl[[#This Row],[Rate_Code_Generalized]],Lookups!A:A,Lookups!B:B))*Pipeline_tbl[[#This Row],[Pipeline_Amount_USD]]</f>
        <v>57200</v>
      </c>
      <c r="O5166" t="str">
        <f>_xlfn.XLOOKUP(Pipeline_tbl[[#This Row],[Rep_ID]],Dim_Reps!A:A,Dim_Reps!B:B)</f>
        <v>Sara Andersson</v>
      </c>
      <c r="P5166" t="str">
        <f>_xlfn.XLOOKUP(Pipeline_tbl[[#This Row],[Rep_ID]],Dim_Reps!A:A,Dim_Reps!C:C)</f>
        <v>Senior Enterprise AE</v>
      </c>
      <c r="Q5166" t="str">
        <f>_xlfn.XLOOKUP(Pipeline_tbl[[#This Row],[Rep_ID]],Dim_Reps!A:A,Dim_Reps!D:D)</f>
        <v>Strategic</v>
      </c>
      <c r="R5166" t="str">
        <f>_xlfn.XLOOKUP(Pipeline_tbl[[#This Row],[Rep_ID]],Dim_Reps!A:A,Dim_Reps!E:E)</f>
        <v>APAC</v>
      </c>
      <c r="S5166" t="str">
        <f>_xlfn.XLOOKUP(Pipeline_tbl[[#This Row],[Created_Date]],Dim_Date!A:A,Dim_Date!H:H)</f>
        <v>Dec 2025</v>
      </c>
      <c r="T5166" t="str">
        <f>IF(Pipeline_tbl[[#This Row],[Closed_Date]]=0,"",(_xlfn.XLOOKUP(Pipeline_tbl[[#This Row],[Closed_Date]],Dim_Date!A:A,Dim_Date!H:H)))</f>
        <v/>
      </c>
      <c r="U5166" t="str">
        <f>IF(Pipeline_tbl[[#This Row],[Closed_Date]]=0,"",Pipeline_tbl[[#This Row],[Closed_Date]]-Pipeline_tbl[[#This Row],[Created_Date]])</f>
        <v/>
      </c>
    </row>
    <row r="5167" spans="1:21" ht="15" customHeight="1" x14ac:dyDescent="0.2">
      <c r="A5167" t="s">
        <v>5473</v>
      </c>
      <c r="B5167" t="s">
        <v>185</v>
      </c>
      <c r="C5167" t="s">
        <v>54</v>
      </c>
      <c r="D5167" s="49">
        <v>46009</v>
      </c>
      <c r="E5167" s="49">
        <v>46012</v>
      </c>
      <c r="F5167" s="49">
        <v>46019</v>
      </c>
      <c r="J5167" t="s">
        <v>308</v>
      </c>
      <c r="K5167" s="33">
        <v>34300</v>
      </c>
      <c r="M5167" t="str">
        <f>_xlfn.XLOOKUP(Pipeline_tbl[[#This Row],[Rep_ID]],Dim_Reps!A:A,Dim_Reps!K:K)</f>
        <v>MXN</v>
      </c>
      <c r="N5167" s="33">
        <f>(_xlfn.XLOOKUP(Pipeline_tbl[[#This Row],[Rate_Code_Generalized]],Lookups!A:A,Lookups!B:B))*Pipeline_tbl[[#This Row],[Pipeline_Amount_USD]]</f>
        <v>676831.61</v>
      </c>
      <c r="O5167" t="str">
        <f>_xlfn.XLOOKUP(Pipeline_tbl[[#This Row],[Rep_ID]],Dim_Reps!A:A,Dim_Reps!B:B)</f>
        <v>Noah Kim</v>
      </c>
      <c r="P5167" t="str">
        <f>_xlfn.XLOOKUP(Pipeline_tbl[[#This Row],[Rep_ID]],Dim_Reps!A:A,Dim_Reps!C:C)</f>
        <v>Enterprise AE</v>
      </c>
      <c r="Q5167" t="str">
        <f>_xlfn.XLOOKUP(Pipeline_tbl[[#This Row],[Rep_ID]],Dim_Reps!A:A,Dim_Reps!D:D)</f>
        <v>Enterprise</v>
      </c>
      <c r="R5167" t="str">
        <f>_xlfn.XLOOKUP(Pipeline_tbl[[#This Row],[Rep_ID]],Dim_Reps!A:A,Dim_Reps!E:E)</f>
        <v>LATAM</v>
      </c>
      <c r="S5167" t="str">
        <f>_xlfn.XLOOKUP(Pipeline_tbl[[#This Row],[Created_Date]],Dim_Date!A:A,Dim_Date!H:H)</f>
        <v>Dec 2025</v>
      </c>
      <c r="T5167" t="str">
        <f>IF(Pipeline_tbl[[#This Row],[Closed_Date]]=0,"",(_xlfn.XLOOKUP(Pipeline_tbl[[#This Row],[Closed_Date]],Dim_Date!A:A,Dim_Date!H:H)))</f>
        <v/>
      </c>
      <c r="U5167" t="str">
        <f>IF(Pipeline_tbl[[#This Row],[Closed_Date]]=0,"",Pipeline_tbl[[#This Row],[Closed_Date]]-Pipeline_tbl[[#This Row],[Created_Date]])</f>
        <v/>
      </c>
    </row>
    <row r="5168" spans="1:21" ht="15" customHeight="1" x14ac:dyDescent="0.2">
      <c r="A5168" t="s">
        <v>5474</v>
      </c>
      <c r="B5168" t="s">
        <v>185</v>
      </c>
      <c r="C5168" t="s">
        <v>53</v>
      </c>
      <c r="D5168" s="49">
        <v>46000</v>
      </c>
      <c r="E5168" s="49">
        <v>46006</v>
      </c>
      <c r="F5168" s="49">
        <v>46020</v>
      </c>
      <c r="J5168" t="s">
        <v>308</v>
      </c>
      <c r="K5168" s="33">
        <v>50100</v>
      </c>
      <c r="M5168" t="str">
        <f>_xlfn.XLOOKUP(Pipeline_tbl[[#This Row],[Rep_ID]],Dim_Reps!A:A,Dim_Reps!K:K)</f>
        <v>MXN</v>
      </c>
      <c r="N5168" s="33">
        <f>(_xlfn.XLOOKUP(Pipeline_tbl[[#This Row],[Rate_Code_Generalized]],Lookups!A:A,Lookups!B:B))*Pipeline_tbl[[#This Row],[Pipeline_Amount_USD]]</f>
        <v>988608.27</v>
      </c>
      <c r="O5168" t="str">
        <f>_xlfn.XLOOKUP(Pipeline_tbl[[#This Row],[Rep_ID]],Dim_Reps!A:A,Dim_Reps!B:B)</f>
        <v>Noah Kim</v>
      </c>
      <c r="P5168" t="str">
        <f>_xlfn.XLOOKUP(Pipeline_tbl[[#This Row],[Rep_ID]],Dim_Reps!A:A,Dim_Reps!C:C)</f>
        <v>Enterprise AE</v>
      </c>
      <c r="Q5168" t="str">
        <f>_xlfn.XLOOKUP(Pipeline_tbl[[#This Row],[Rep_ID]],Dim_Reps!A:A,Dim_Reps!D:D)</f>
        <v>Enterprise</v>
      </c>
      <c r="R5168" t="str">
        <f>_xlfn.XLOOKUP(Pipeline_tbl[[#This Row],[Rep_ID]],Dim_Reps!A:A,Dim_Reps!E:E)</f>
        <v>LATAM</v>
      </c>
      <c r="S5168" t="str">
        <f>_xlfn.XLOOKUP(Pipeline_tbl[[#This Row],[Created_Date]],Dim_Date!A:A,Dim_Date!H:H)</f>
        <v>Dec 2025</v>
      </c>
      <c r="T5168" t="str">
        <f>IF(Pipeline_tbl[[#This Row],[Closed_Date]]=0,"",(_xlfn.XLOOKUP(Pipeline_tbl[[#This Row],[Closed_Date]],Dim_Date!A:A,Dim_Date!H:H)))</f>
        <v/>
      </c>
      <c r="U5168" t="str">
        <f>IF(Pipeline_tbl[[#This Row],[Closed_Date]]=0,"",Pipeline_tbl[[#This Row],[Closed_Date]]-Pipeline_tbl[[#This Row],[Created_Date]])</f>
        <v/>
      </c>
    </row>
    <row r="5169" spans="1:21" ht="15" customHeight="1" x14ac:dyDescent="0.2">
      <c r="A5169" t="s">
        <v>5475</v>
      </c>
      <c r="B5169" t="s">
        <v>185</v>
      </c>
      <c r="C5169" t="s">
        <v>55</v>
      </c>
      <c r="D5169" s="49">
        <v>46017</v>
      </c>
      <c r="J5169" t="s">
        <v>308</v>
      </c>
      <c r="K5169" s="33">
        <v>27700</v>
      </c>
      <c r="M5169" t="str">
        <f>_xlfn.XLOOKUP(Pipeline_tbl[[#This Row],[Rep_ID]],Dim_Reps!A:A,Dim_Reps!K:K)</f>
        <v>MXN</v>
      </c>
      <c r="N5169" s="33">
        <f>(_xlfn.XLOOKUP(Pipeline_tbl[[#This Row],[Rate_Code_Generalized]],Lookups!A:A,Lookups!B:B))*Pipeline_tbl[[#This Row],[Pipeline_Amount_USD]]</f>
        <v>546595.79</v>
      </c>
      <c r="O5169" t="str">
        <f>_xlfn.XLOOKUP(Pipeline_tbl[[#This Row],[Rep_ID]],Dim_Reps!A:A,Dim_Reps!B:B)</f>
        <v>Noah Kim</v>
      </c>
      <c r="P5169" t="str">
        <f>_xlfn.XLOOKUP(Pipeline_tbl[[#This Row],[Rep_ID]],Dim_Reps!A:A,Dim_Reps!C:C)</f>
        <v>Enterprise AE</v>
      </c>
      <c r="Q5169" t="str">
        <f>_xlfn.XLOOKUP(Pipeline_tbl[[#This Row],[Rep_ID]],Dim_Reps!A:A,Dim_Reps!D:D)</f>
        <v>Enterprise</v>
      </c>
      <c r="R5169" t="str">
        <f>_xlfn.XLOOKUP(Pipeline_tbl[[#This Row],[Rep_ID]],Dim_Reps!A:A,Dim_Reps!E:E)</f>
        <v>LATAM</v>
      </c>
      <c r="S5169" t="str">
        <f>_xlfn.XLOOKUP(Pipeline_tbl[[#This Row],[Created_Date]],Dim_Date!A:A,Dim_Date!H:H)</f>
        <v>Dec 2025</v>
      </c>
      <c r="T5169" t="str">
        <f>IF(Pipeline_tbl[[#This Row],[Closed_Date]]=0,"",(_xlfn.XLOOKUP(Pipeline_tbl[[#This Row],[Closed_Date]],Dim_Date!A:A,Dim_Date!H:H)))</f>
        <v/>
      </c>
      <c r="U5169" t="str">
        <f>IF(Pipeline_tbl[[#This Row],[Closed_Date]]=0,"",Pipeline_tbl[[#This Row],[Closed_Date]]-Pipeline_tbl[[#This Row],[Created_Date]])</f>
        <v/>
      </c>
    </row>
    <row r="5170" spans="1:21" ht="15" customHeight="1" x14ac:dyDescent="0.2">
      <c r="A5170" t="s">
        <v>5476</v>
      </c>
      <c r="B5170" t="s">
        <v>185</v>
      </c>
      <c r="C5170" t="s">
        <v>53</v>
      </c>
      <c r="D5170" s="49">
        <v>45997</v>
      </c>
      <c r="E5170" s="49">
        <v>46007</v>
      </c>
      <c r="J5170" t="s">
        <v>308</v>
      </c>
      <c r="K5170" s="33">
        <v>53400</v>
      </c>
      <c r="M5170" t="str">
        <f>_xlfn.XLOOKUP(Pipeline_tbl[[#This Row],[Rep_ID]],Dim_Reps!A:A,Dim_Reps!K:K)</f>
        <v>MXN</v>
      </c>
      <c r="N5170" s="33">
        <f>(_xlfn.XLOOKUP(Pipeline_tbl[[#This Row],[Rate_Code_Generalized]],Lookups!A:A,Lookups!B:B))*Pipeline_tbl[[#This Row],[Pipeline_Amount_USD]]</f>
        <v>1053726.1800000002</v>
      </c>
      <c r="O5170" t="str">
        <f>_xlfn.XLOOKUP(Pipeline_tbl[[#This Row],[Rep_ID]],Dim_Reps!A:A,Dim_Reps!B:B)</f>
        <v>Noah Kim</v>
      </c>
      <c r="P5170" t="str">
        <f>_xlfn.XLOOKUP(Pipeline_tbl[[#This Row],[Rep_ID]],Dim_Reps!A:A,Dim_Reps!C:C)</f>
        <v>Enterprise AE</v>
      </c>
      <c r="Q5170" t="str">
        <f>_xlfn.XLOOKUP(Pipeline_tbl[[#This Row],[Rep_ID]],Dim_Reps!A:A,Dim_Reps!D:D)</f>
        <v>Enterprise</v>
      </c>
      <c r="R5170" t="str">
        <f>_xlfn.XLOOKUP(Pipeline_tbl[[#This Row],[Rep_ID]],Dim_Reps!A:A,Dim_Reps!E:E)</f>
        <v>LATAM</v>
      </c>
      <c r="S5170" t="str">
        <f>_xlfn.XLOOKUP(Pipeline_tbl[[#This Row],[Created_Date]],Dim_Date!A:A,Dim_Date!H:H)</f>
        <v>Dec 2025</v>
      </c>
      <c r="T5170" t="str">
        <f>IF(Pipeline_tbl[[#This Row],[Closed_Date]]=0,"",(_xlfn.XLOOKUP(Pipeline_tbl[[#This Row],[Closed_Date]],Dim_Date!A:A,Dim_Date!H:H)))</f>
        <v/>
      </c>
      <c r="U5170" t="str">
        <f>IF(Pipeline_tbl[[#This Row],[Closed_Date]]=0,"",Pipeline_tbl[[#This Row],[Closed_Date]]-Pipeline_tbl[[#This Row],[Created_Date]])</f>
        <v/>
      </c>
    </row>
    <row r="5171" spans="1:21" ht="15" customHeight="1" x14ac:dyDescent="0.2">
      <c r="A5171" t="s">
        <v>5477</v>
      </c>
      <c r="B5171" t="s">
        <v>185</v>
      </c>
      <c r="C5171" t="s">
        <v>54</v>
      </c>
      <c r="D5171" s="49">
        <v>45995</v>
      </c>
      <c r="E5171" s="49">
        <v>45999</v>
      </c>
      <c r="F5171" s="49">
        <v>46008</v>
      </c>
      <c r="G5171" s="49">
        <v>46021</v>
      </c>
      <c r="J5171" t="s">
        <v>308</v>
      </c>
      <c r="K5171" s="33">
        <v>38600</v>
      </c>
      <c r="M5171" t="str">
        <f>_xlfn.XLOOKUP(Pipeline_tbl[[#This Row],[Rep_ID]],Dim_Reps!A:A,Dim_Reps!K:K)</f>
        <v>MXN</v>
      </c>
      <c r="N5171" s="33">
        <f>(_xlfn.XLOOKUP(Pipeline_tbl[[#This Row],[Rate_Code_Generalized]],Lookups!A:A,Lookups!B:B))*Pipeline_tbl[[#This Row],[Pipeline_Amount_USD]]</f>
        <v>761682.22000000009</v>
      </c>
      <c r="O5171" t="str">
        <f>_xlfn.XLOOKUP(Pipeline_tbl[[#This Row],[Rep_ID]],Dim_Reps!A:A,Dim_Reps!B:B)</f>
        <v>Noah Kim</v>
      </c>
      <c r="P5171" t="str">
        <f>_xlfn.XLOOKUP(Pipeline_tbl[[#This Row],[Rep_ID]],Dim_Reps!A:A,Dim_Reps!C:C)</f>
        <v>Enterprise AE</v>
      </c>
      <c r="Q5171" t="str">
        <f>_xlfn.XLOOKUP(Pipeline_tbl[[#This Row],[Rep_ID]],Dim_Reps!A:A,Dim_Reps!D:D)</f>
        <v>Enterprise</v>
      </c>
      <c r="R5171" t="str">
        <f>_xlfn.XLOOKUP(Pipeline_tbl[[#This Row],[Rep_ID]],Dim_Reps!A:A,Dim_Reps!E:E)</f>
        <v>LATAM</v>
      </c>
      <c r="S5171" t="str">
        <f>_xlfn.XLOOKUP(Pipeline_tbl[[#This Row],[Created_Date]],Dim_Date!A:A,Dim_Date!H:H)</f>
        <v>Dec 2025</v>
      </c>
      <c r="T5171" t="str">
        <f>IF(Pipeline_tbl[[#This Row],[Closed_Date]]=0,"",(_xlfn.XLOOKUP(Pipeline_tbl[[#This Row],[Closed_Date]],Dim_Date!A:A,Dim_Date!H:H)))</f>
        <v/>
      </c>
      <c r="U5171" t="str">
        <f>IF(Pipeline_tbl[[#This Row],[Closed_Date]]=0,"",Pipeline_tbl[[#This Row],[Closed_Date]]-Pipeline_tbl[[#This Row],[Created_Date]])</f>
        <v/>
      </c>
    </row>
    <row r="5172" spans="1:21" ht="15" customHeight="1" x14ac:dyDescent="0.2">
      <c r="A5172" t="s">
        <v>5478</v>
      </c>
      <c r="B5172" t="s">
        <v>205</v>
      </c>
      <c r="C5172" t="s">
        <v>52</v>
      </c>
      <c r="D5172" s="49">
        <v>46016</v>
      </c>
      <c r="E5172" s="49">
        <v>46018</v>
      </c>
      <c r="F5172" s="49">
        <v>46021</v>
      </c>
      <c r="J5172" t="s">
        <v>308</v>
      </c>
      <c r="K5172" s="33">
        <v>6500</v>
      </c>
      <c r="M5172" t="str">
        <f>_xlfn.XLOOKUP(Pipeline_tbl[[#This Row],[Rep_ID]],Dim_Reps!A:A,Dim_Reps!K:K)</f>
        <v>EUR</v>
      </c>
      <c r="N5172" s="33">
        <f>(_xlfn.XLOOKUP(Pipeline_tbl[[#This Row],[Rate_Code_Generalized]],Lookups!A:A,Lookups!B:B))*Pipeline_tbl[[#This Row],[Pipeline_Amount_USD]]</f>
        <v>6500</v>
      </c>
      <c r="O5172" t="str">
        <f>_xlfn.XLOOKUP(Pipeline_tbl[[#This Row],[Rep_ID]],Dim_Reps!A:A,Dim_Reps!B:B)</f>
        <v>Karim Alvarez</v>
      </c>
      <c r="P5172" t="str">
        <f>_xlfn.XLOOKUP(Pipeline_tbl[[#This Row],[Rep_ID]],Dim_Reps!A:A,Dim_Reps!C:C)</f>
        <v>SDR / Inside Sales Rep</v>
      </c>
      <c r="Q5172" t="str">
        <f>_xlfn.XLOOKUP(Pipeline_tbl[[#This Row],[Rep_ID]],Dim_Reps!A:A,Dim_Reps!D:D)</f>
        <v>Inside Sales</v>
      </c>
      <c r="R5172" t="str">
        <f>_xlfn.XLOOKUP(Pipeline_tbl[[#This Row],[Rep_ID]],Dim_Reps!A:A,Dim_Reps!E:E)</f>
        <v>EMEA</v>
      </c>
      <c r="S5172" t="str">
        <f>_xlfn.XLOOKUP(Pipeline_tbl[[#This Row],[Created_Date]],Dim_Date!A:A,Dim_Date!H:H)</f>
        <v>Dec 2025</v>
      </c>
      <c r="T5172" t="str">
        <f>IF(Pipeline_tbl[[#This Row],[Closed_Date]]=0,"",(_xlfn.XLOOKUP(Pipeline_tbl[[#This Row],[Closed_Date]],Dim_Date!A:A,Dim_Date!H:H)))</f>
        <v/>
      </c>
      <c r="U5172" t="str">
        <f>IF(Pipeline_tbl[[#This Row],[Closed_Date]]=0,"",Pipeline_tbl[[#This Row],[Closed_Date]]-Pipeline_tbl[[#This Row],[Created_Date]])</f>
        <v/>
      </c>
    </row>
    <row r="5173" spans="1:21" ht="15" customHeight="1" x14ac:dyDescent="0.2">
      <c r="A5173" t="s">
        <v>5479</v>
      </c>
      <c r="B5173" t="s">
        <v>205</v>
      </c>
      <c r="C5173" t="s">
        <v>52</v>
      </c>
      <c r="D5173" s="49">
        <v>46022</v>
      </c>
      <c r="J5173" t="s">
        <v>308</v>
      </c>
      <c r="K5173" s="33">
        <v>5500</v>
      </c>
      <c r="M5173" t="str">
        <f>_xlfn.XLOOKUP(Pipeline_tbl[[#This Row],[Rep_ID]],Dim_Reps!A:A,Dim_Reps!K:K)</f>
        <v>EUR</v>
      </c>
      <c r="N5173" s="33">
        <f>(_xlfn.XLOOKUP(Pipeline_tbl[[#This Row],[Rate_Code_Generalized]],Lookups!A:A,Lookups!B:B))*Pipeline_tbl[[#This Row],[Pipeline_Amount_USD]]</f>
        <v>5500</v>
      </c>
      <c r="O5173" t="str">
        <f>_xlfn.XLOOKUP(Pipeline_tbl[[#This Row],[Rep_ID]],Dim_Reps!A:A,Dim_Reps!B:B)</f>
        <v>Karim Alvarez</v>
      </c>
      <c r="P5173" t="str">
        <f>_xlfn.XLOOKUP(Pipeline_tbl[[#This Row],[Rep_ID]],Dim_Reps!A:A,Dim_Reps!C:C)</f>
        <v>SDR / Inside Sales Rep</v>
      </c>
      <c r="Q5173" t="str">
        <f>_xlfn.XLOOKUP(Pipeline_tbl[[#This Row],[Rep_ID]],Dim_Reps!A:A,Dim_Reps!D:D)</f>
        <v>Inside Sales</v>
      </c>
      <c r="R5173" t="str">
        <f>_xlfn.XLOOKUP(Pipeline_tbl[[#This Row],[Rep_ID]],Dim_Reps!A:A,Dim_Reps!E:E)</f>
        <v>EMEA</v>
      </c>
      <c r="S5173" t="str">
        <f>_xlfn.XLOOKUP(Pipeline_tbl[[#This Row],[Created_Date]],Dim_Date!A:A,Dim_Date!H:H)</f>
        <v>Dec 2025</v>
      </c>
      <c r="T5173" t="str">
        <f>IF(Pipeline_tbl[[#This Row],[Closed_Date]]=0,"",(_xlfn.XLOOKUP(Pipeline_tbl[[#This Row],[Closed_Date]],Dim_Date!A:A,Dim_Date!H:H)))</f>
        <v/>
      </c>
      <c r="U5173" t="str">
        <f>IF(Pipeline_tbl[[#This Row],[Closed_Date]]=0,"",Pipeline_tbl[[#This Row],[Closed_Date]]-Pipeline_tbl[[#This Row],[Created_Date]])</f>
        <v/>
      </c>
    </row>
    <row r="5174" spans="1:21" ht="15" customHeight="1" x14ac:dyDescent="0.2">
      <c r="A5174" t="s">
        <v>5480</v>
      </c>
      <c r="B5174" t="s">
        <v>205</v>
      </c>
      <c r="C5174" t="s">
        <v>52</v>
      </c>
      <c r="D5174" s="49">
        <v>46010</v>
      </c>
      <c r="E5174" s="49">
        <v>46012</v>
      </c>
      <c r="F5174" s="49">
        <v>46016</v>
      </c>
      <c r="G5174" s="49">
        <v>46021</v>
      </c>
      <c r="J5174" t="s">
        <v>308</v>
      </c>
      <c r="K5174" s="33">
        <v>2900</v>
      </c>
      <c r="M5174" t="str">
        <f>_xlfn.XLOOKUP(Pipeline_tbl[[#This Row],[Rep_ID]],Dim_Reps!A:A,Dim_Reps!K:K)</f>
        <v>EUR</v>
      </c>
      <c r="N5174" s="33">
        <f>(_xlfn.XLOOKUP(Pipeline_tbl[[#This Row],[Rate_Code_Generalized]],Lookups!A:A,Lookups!B:B))*Pipeline_tbl[[#This Row],[Pipeline_Amount_USD]]</f>
        <v>2900</v>
      </c>
      <c r="O5174" t="str">
        <f>_xlfn.XLOOKUP(Pipeline_tbl[[#This Row],[Rep_ID]],Dim_Reps!A:A,Dim_Reps!B:B)</f>
        <v>Karim Alvarez</v>
      </c>
      <c r="P5174" t="str">
        <f>_xlfn.XLOOKUP(Pipeline_tbl[[#This Row],[Rep_ID]],Dim_Reps!A:A,Dim_Reps!C:C)</f>
        <v>SDR / Inside Sales Rep</v>
      </c>
      <c r="Q5174" t="str">
        <f>_xlfn.XLOOKUP(Pipeline_tbl[[#This Row],[Rep_ID]],Dim_Reps!A:A,Dim_Reps!D:D)</f>
        <v>Inside Sales</v>
      </c>
      <c r="R5174" t="str">
        <f>_xlfn.XLOOKUP(Pipeline_tbl[[#This Row],[Rep_ID]],Dim_Reps!A:A,Dim_Reps!E:E)</f>
        <v>EMEA</v>
      </c>
      <c r="S5174" t="str">
        <f>_xlfn.XLOOKUP(Pipeline_tbl[[#This Row],[Created_Date]],Dim_Date!A:A,Dim_Date!H:H)</f>
        <v>Dec 2025</v>
      </c>
      <c r="T5174" t="str">
        <f>IF(Pipeline_tbl[[#This Row],[Closed_Date]]=0,"",(_xlfn.XLOOKUP(Pipeline_tbl[[#This Row],[Closed_Date]],Dim_Date!A:A,Dim_Date!H:H)))</f>
        <v/>
      </c>
      <c r="U5174" t="str">
        <f>IF(Pipeline_tbl[[#This Row],[Closed_Date]]=0,"",Pipeline_tbl[[#This Row],[Closed_Date]]-Pipeline_tbl[[#This Row],[Created_Date]])</f>
        <v/>
      </c>
    </row>
    <row r="5175" spans="1:21" ht="15" customHeight="1" x14ac:dyDescent="0.2">
      <c r="A5175" t="s">
        <v>5481</v>
      </c>
      <c r="B5175" t="s">
        <v>205</v>
      </c>
      <c r="C5175" t="s">
        <v>54</v>
      </c>
      <c r="D5175" s="49">
        <v>46011</v>
      </c>
      <c r="E5175" s="49">
        <v>46013</v>
      </c>
      <c r="F5175" s="49">
        <v>46018</v>
      </c>
      <c r="J5175" t="s">
        <v>308</v>
      </c>
      <c r="K5175" s="33">
        <v>3800</v>
      </c>
      <c r="M5175" t="str">
        <f>_xlfn.XLOOKUP(Pipeline_tbl[[#This Row],[Rep_ID]],Dim_Reps!A:A,Dim_Reps!K:K)</f>
        <v>EUR</v>
      </c>
      <c r="N5175" s="33">
        <f>(_xlfn.XLOOKUP(Pipeline_tbl[[#This Row],[Rate_Code_Generalized]],Lookups!A:A,Lookups!B:B))*Pipeline_tbl[[#This Row],[Pipeline_Amount_USD]]</f>
        <v>3800</v>
      </c>
      <c r="O5175" t="str">
        <f>_xlfn.XLOOKUP(Pipeline_tbl[[#This Row],[Rep_ID]],Dim_Reps!A:A,Dim_Reps!B:B)</f>
        <v>Karim Alvarez</v>
      </c>
      <c r="P5175" t="str">
        <f>_xlfn.XLOOKUP(Pipeline_tbl[[#This Row],[Rep_ID]],Dim_Reps!A:A,Dim_Reps!C:C)</f>
        <v>SDR / Inside Sales Rep</v>
      </c>
      <c r="Q5175" t="str">
        <f>_xlfn.XLOOKUP(Pipeline_tbl[[#This Row],[Rep_ID]],Dim_Reps!A:A,Dim_Reps!D:D)</f>
        <v>Inside Sales</v>
      </c>
      <c r="R5175" t="str">
        <f>_xlfn.XLOOKUP(Pipeline_tbl[[#This Row],[Rep_ID]],Dim_Reps!A:A,Dim_Reps!E:E)</f>
        <v>EMEA</v>
      </c>
      <c r="S5175" t="str">
        <f>_xlfn.XLOOKUP(Pipeline_tbl[[#This Row],[Created_Date]],Dim_Date!A:A,Dim_Date!H:H)</f>
        <v>Dec 2025</v>
      </c>
      <c r="T5175" t="str">
        <f>IF(Pipeline_tbl[[#This Row],[Closed_Date]]=0,"",(_xlfn.XLOOKUP(Pipeline_tbl[[#This Row],[Closed_Date]],Dim_Date!A:A,Dim_Date!H:H)))</f>
        <v/>
      </c>
      <c r="U5175" t="str">
        <f>IF(Pipeline_tbl[[#This Row],[Closed_Date]]=0,"",Pipeline_tbl[[#This Row],[Closed_Date]]-Pipeline_tbl[[#This Row],[Created_Date]])</f>
        <v/>
      </c>
    </row>
    <row r="5176" spans="1:21" ht="15" customHeight="1" x14ac:dyDescent="0.2">
      <c r="A5176" t="s">
        <v>5482</v>
      </c>
      <c r="B5176" t="s">
        <v>205</v>
      </c>
      <c r="C5176" t="s">
        <v>53</v>
      </c>
      <c r="D5176" s="49">
        <v>46020</v>
      </c>
      <c r="E5176" s="49">
        <v>46020</v>
      </c>
      <c r="F5176" s="49">
        <v>46022</v>
      </c>
      <c r="J5176" t="s">
        <v>308</v>
      </c>
      <c r="K5176" s="33">
        <v>2900</v>
      </c>
      <c r="M5176" t="str">
        <f>_xlfn.XLOOKUP(Pipeline_tbl[[#This Row],[Rep_ID]],Dim_Reps!A:A,Dim_Reps!K:K)</f>
        <v>EUR</v>
      </c>
      <c r="N5176" s="33">
        <f>(_xlfn.XLOOKUP(Pipeline_tbl[[#This Row],[Rate_Code_Generalized]],Lookups!A:A,Lookups!B:B))*Pipeline_tbl[[#This Row],[Pipeline_Amount_USD]]</f>
        <v>2900</v>
      </c>
      <c r="O5176" t="str">
        <f>_xlfn.XLOOKUP(Pipeline_tbl[[#This Row],[Rep_ID]],Dim_Reps!A:A,Dim_Reps!B:B)</f>
        <v>Karim Alvarez</v>
      </c>
      <c r="P5176" t="str">
        <f>_xlfn.XLOOKUP(Pipeline_tbl[[#This Row],[Rep_ID]],Dim_Reps!A:A,Dim_Reps!C:C)</f>
        <v>SDR / Inside Sales Rep</v>
      </c>
      <c r="Q5176" t="str">
        <f>_xlfn.XLOOKUP(Pipeline_tbl[[#This Row],[Rep_ID]],Dim_Reps!A:A,Dim_Reps!D:D)</f>
        <v>Inside Sales</v>
      </c>
      <c r="R5176" t="str">
        <f>_xlfn.XLOOKUP(Pipeline_tbl[[#This Row],[Rep_ID]],Dim_Reps!A:A,Dim_Reps!E:E)</f>
        <v>EMEA</v>
      </c>
      <c r="S5176" t="str">
        <f>_xlfn.XLOOKUP(Pipeline_tbl[[#This Row],[Created_Date]],Dim_Date!A:A,Dim_Date!H:H)</f>
        <v>Dec 2025</v>
      </c>
      <c r="T5176" t="str">
        <f>IF(Pipeline_tbl[[#This Row],[Closed_Date]]=0,"",(_xlfn.XLOOKUP(Pipeline_tbl[[#This Row],[Closed_Date]],Dim_Date!A:A,Dim_Date!H:H)))</f>
        <v/>
      </c>
      <c r="U5176" t="str">
        <f>IF(Pipeline_tbl[[#This Row],[Closed_Date]]=0,"",Pipeline_tbl[[#This Row],[Closed_Date]]-Pipeline_tbl[[#This Row],[Created_Date]])</f>
        <v/>
      </c>
    </row>
    <row r="5177" spans="1:21" ht="15" customHeight="1" x14ac:dyDescent="0.2">
      <c r="A5177" t="s">
        <v>5483</v>
      </c>
      <c r="B5177" t="s">
        <v>205</v>
      </c>
      <c r="C5177" t="s">
        <v>52</v>
      </c>
      <c r="D5177" s="49">
        <v>46016</v>
      </c>
      <c r="E5177" s="49">
        <v>46018</v>
      </c>
      <c r="F5177" s="49">
        <v>46021</v>
      </c>
      <c r="J5177" t="s">
        <v>308</v>
      </c>
      <c r="K5177" s="33">
        <v>4400</v>
      </c>
      <c r="M5177" t="str">
        <f>_xlfn.XLOOKUP(Pipeline_tbl[[#This Row],[Rep_ID]],Dim_Reps!A:A,Dim_Reps!K:K)</f>
        <v>EUR</v>
      </c>
      <c r="N5177" s="33">
        <f>(_xlfn.XLOOKUP(Pipeline_tbl[[#This Row],[Rate_Code_Generalized]],Lookups!A:A,Lookups!B:B))*Pipeline_tbl[[#This Row],[Pipeline_Amount_USD]]</f>
        <v>4400</v>
      </c>
      <c r="O5177" t="str">
        <f>_xlfn.XLOOKUP(Pipeline_tbl[[#This Row],[Rep_ID]],Dim_Reps!A:A,Dim_Reps!B:B)</f>
        <v>Karim Alvarez</v>
      </c>
      <c r="P5177" t="str">
        <f>_xlfn.XLOOKUP(Pipeline_tbl[[#This Row],[Rep_ID]],Dim_Reps!A:A,Dim_Reps!C:C)</f>
        <v>SDR / Inside Sales Rep</v>
      </c>
      <c r="Q5177" t="str">
        <f>_xlfn.XLOOKUP(Pipeline_tbl[[#This Row],[Rep_ID]],Dim_Reps!A:A,Dim_Reps!D:D)</f>
        <v>Inside Sales</v>
      </c>
      <c r="R5177" t="str">
        <f>_xlfn.XLOOKUP(Pipeline_tbl[[#This Row],[Rep_ID]],Dim_Reps!A:A,Dim_Reps!E:E)</f>
        <v>EMEA</v>
      </c>
      <c r="S5177" t="str">
        <f>_xlfn.XLOOKUP(Pipeline_tbl[[#This Row],[Created_Date]],Dim_Date!A:A,Dim_Date!H:H)</f>
        <v>Dec 2025</v>
      </c>
      <c r="T5177" t="str">
        <f>IF(Pipeline_tbl[[#This Row],[Closed_Date]]=0,"",(_xlfn.XLOOKUP(Pipeline_tbl[[#This Row],[Closed_Date]],Dim_Date!A:A,Dim_Date!H:H)))</f>
        <v/>
      </c>
      <c r="U5177" t="str">
        <f>IF(Pipeline_tbl[[#This Row],[Closed_Date]]=0,"",Pipeline_tbl[[#This Row],[Closed_Date]]-Pipeline_tbl[[#This Row],[Created_Date]])</f>
        <v/>
      </c>
    </row>
    <row r="5178" spans="1:21" ht="15" customHeight="1" x14ac:dyDescent="0.2">
      <c r="A5178" t="s">
        <v>5484</v>
      </c>
      <c r="B5178" t="s">
        <v>205</v>
      </c>
      <c r="C5178" t="s">
        <v>54</v>
      </c>
      <c r="D5178" s="49">
        <v>46011</v>
      </c>
      <c r="E5178" s="49">
        <v>46013</v>
      </c>
      <c r="F5178" s="49">
        <v>46017</v>
      </c>
      <c r="J5178" t="s">
        <v>308</v>
      </c>
      <c r="K5178" s="33">
        <v>3100</v>
      </c>
      <c r="M5178" t="str">
        <f>_xlfn.XLOOKUP(Pipeline_tbl[[#This Row],[Rep_ID]],Dim_Reps!A:A,Dim_Reps!K:K)</f>
        <v>EUR</v>
      </c>
      <c r="N5178" s="33">
        <f>(_xlfn.XLOOKUP(Pipeline_tbl[[#This Row],[Rate_Code_Generalized]],Lookups!A:A,Lookups!B:B))*Pipeline_tbl[[#This Row],[Pipeline_Amount_USD]]</f>
        <v>3100</v>
      </c>
      <c r="O5178" t="str">
        <f>_xlfn.XLOOKUP(Pipeline_tbl[[#This Row],[Rep_ID]],Dim_Reps!A:A,Dim_Reps!B:B)</f>
        <v>Karim Alvarez</v>
      </c>
      <c r="P5178" t="str">
        <f>_xlfn.XLOOKUP(Pipeline_tbl[[#This Row],[Rep_ID]],Dim_Reps!A:A,Dim_Reps!C:C)</f>
        <v>SDR / Inside Sales Rep</v>
      </c>
      <c r="Q5178" t="str">
        <f>_xlfn.XLOOKUP(Pipeline_tbl[[#This Row],[Rep_ID]],Dim_Reps!A:A,Dim_Reps!D:D)</f>
        <v>Inside Sales</v>
      </c>
      <c r="R5178" t="str">
        <f>_xlfn.XLOOKUP(Pipeline_tbl[[#This Row],[Rep_ID]],Dim_Reps!A:A,Dim_Reps!E:E)</f>
        <v>EMEA</v>
      </c>
      <c r="S5178" t="str">
        <f>_xlfn.XLOOKUP(Pipeline_tbl[[#This Row],[Created_Date]],Dim_Date!A:A,Dim_Date!H:H)</f>
        <v>Dec 2025</v>
      </c>
      <c r="T5178" t="str">
        <f>IF(Pipeline_tbl[[#This Row],[Closed_Date]]=0,"",(_xlfn.XLOOKUP(Pipeline_tbl[[#This Row],[Closed_Date]],Dim_Date!A:A,Dim_Date!H:H)))</f>
        <v/>
      </c>
      <c r="U5178" t="str">
        <f>IF(Pipeline_tbl[[#This Row],[Closed_Date]]=0,"",Pipeline_tbl[[#This Row],[Closed_Date]]-Pipeline_tbl[[#This Row],[Created_Date]])</f>
        <v/>
      </c>
    </row>
    <row r="5179" spans="1:21" ht="15" customHeight="1" x14ac:dyDescent="0.2">
      <c r="A5179" t="s">
        <v>5485</v>
      </c>
      <c r="B5179" t="s">
        <v>205</v>
      </c>
      <c r="C5179" t="s">
        <v>52</v>
      </c>
      <c r="D5179" s="49">
        <v>46013</v>
      </c>
      <c r="E5179" s="49">
        <v>46015</v>
      </c>
      <c r="F5179" s="49">
        <v>46018</v>
      </c>
      <c r="J5179" t="s">
        <v>308</v>
      </c>
      <c r="K5179" s="33">
        <v>4000</v>
      </c>
      <c r="M5179" t="str">
        <f>_xlfn.XLOOKUP(Pipeline_tbl[[#This Row],[Rep_ID]],Dim_Reps!A:A,Dim_Reps!K:K)</f>
        <v>EUR</v>
      </c>
      <c r="N5179" s="33">
        <f>(_xlfn.XLOOKUP(Pipeline_tbl[[#This Row],[Rate_Code_Generalized]],Lookups!A:A,Lookups!B:B))*Pipeline_tbl[[#This Row],[Pipeline_Amount_USD]]</f>
        <v>4000</v>
      </c>
      <c r="O5179" t="str">
        <f>_xlfn.XLOOKUP(Pipeline_tbl[[#This Row],[Rep_ID]],Dim_Reps!A:A,Dim_Reps!B:B)</f>
        <v>Karim Alvarez</v>
      </c>
      <c r="P5179" t="str">
        <f>_xlfn.XLOOKUP(Pipeline_tbl[[#This Row],[Rep_ID]],Dim_Reps!A:A,Dim_Reps!C:C)</f>
        <v>SDR / Inside Sales Rep</v>
      </c>
      <c r="Q5179" t="str">
        <f>_xlfn.XLOOKUP(Pipeline_tbl[[#This Row],[Rep_ID]],Dim_Reps!A:A,Dim_Reps!D:D)</f>
        <v>Inside Sales</v>
      </c>
      <c r="R5179" t="str">
        <f>_xlfn.XLOOKUP(Pipeline_tbl[[#This Row],[Rep_ID]],Dim_Reps!A:A,Dim_Reps!E:E)</f>
        <v>EMEA</v>
      </c>
      <c r="S5179" t="str">
        <f>_xlfn.XLOOKUP(Pipeline_tbl[[#This Row],[Created_Date]],Dim_Date!A:A,Dim_Date!H:H)</f>
        <v>Dec 2025</v>
      </c>
      <c r="T5179" t="str">
        <f>IF(Pipeline_tbl[[#This Row],[Closed_Date]]=0,"",(_xlfn.XLOOKUP(Pipeline_tbl[[#This Row],[Closed_Date]],Dim_Date!A:A,Dim_Date!H:H)))</f>
        <v/>
      </c>
      <c r="U5179" t="str">
        <f>IF(Pipeline_tbl[[#This Row],[Closed_Date]]=0,"",Pipeline_tbl[[#This Row],[Closed_Date]]-Pipeline_tbl[[#This Row],[Created_Date]])</f>
        <v/>
      </c>
    </row>
    <row r="5180" spans="1:21" ht="15" customHeight="1" x14ac:dyDescent="0.2">
      <c r="A5180" t="s">
        <v>5486</v>
      </c>
      <c r="B5180" t="s">
        <v>205</v>
      </c>
      <c r="C5180" t="s">
        <v>52</v>
      </c>
      <c r="D5180" s="49">
        <v>46007</v>
      </c>
      <c r="E5180" s="49">
        <v>46009</v>
      </c>
      <c r="F5180" s="49">
        <v>46012</v>
      </c>
      <c r="G5180" s="49">
        <v>46017</v>
      </c>
      <c r="H5180" s="49">
        <v>46021</v>
      </c>
      <c r="J5180" t="s">
        <v>308</v>
      </c>
      <c r="K5180" s="33">
        <v>3400</v>
      </c>
      <c r="M5180" t="str">
        <f>_xlfn.XLOOKUP(Pipeline_tbl[[#This Row],[Rep_ID]],Dim_Reps!A:A,Dim_Reps!K:K)</f>
        <v>EUR</v>
      </c>
      <c r="N5180" s="33">
        <f>(_xlfn.XLOOKUP(Pipeline_tbl[[#This Row],[Rate_Code_Generalized]],Lookups!A:A,Lookups!B:B))*Pipeline_tbl[[#This Row],[Pipeline_Amount_USD]]</f>
        <v>3400</v>
      </c>
      <c r="O5180" t="str">
        <f>_xlfn.XLOOKUP(Pipeline_tbl[[#This Row],[Rep_ID]],Dim_Reps!A:A,Dim_Reps!B:B)</f>
        <v>Karim Alvarez</v>
      </c>
      <c r="P5180" t="str">
        <f>_xlfn.XLOOKUP(Pipeline_tbl[[#This Row],[Rep_ID]],Dim_Reps!A:A,Dim_Reps!C:C)</f>
        <v>SDR / Inside Sales Rep</v>
      </c>
      <c r="Q5180" t="str">
        <f>_xlfn.XLOOKUP(Pipeline_tbl[[#This Row],[Rep_ID]],Dim_Reps!A:A,Dim_Reps!D:D)</f>
        <v>Inside Sales</v>
      </c>
      <c r="R5180" t="str">
        <f>_xlfn.XLOOKUP(Pipeline_tbl[[#This Row],[Rep_ID]],Dim_Reps!A:A,Dim_Reps!E:E)</f>
        <v>EMEA</v>
      </c>
      <c r="S5180" t="str">
        <f>_xlfn.XLOOKUP(Pipeline_tbl[[#This Row],[Created_Date]],Dim_Date!A:A,Dim_Date!H:H)</f>
        <v>Dec 2025</v>
      </c>
      <c r="T5180" t="str">
        <f>IF(Pipeline_tbl[[#This Row],[Closed_Date]]=0,"",(_xlfn.XLOOKUP(Pipeline_tbl[[#This Row],[Closed_Date]],Dim_Date!A:A,Dim_Date!H:H)))</f>
        <v/>
      </c>
      <c r="U5180" t="str">
        <f>IF(Pipeline_tbl[[#This Row],[Closed_Date]]=0,"",Pipeline_tbl[[#This Row],[Closed_Date]]-Pipeline_tbl[[#This Row],[Created_Date]])</f>
        <v/>
      </c>
    </row>
    <row r="5181" spans="1:21" ht="15" customHeight="1" x14ac:dyDescent="0.2">
      <c r="A5181" t="s">
        <v>5487</v>
      </c>
      <c r="B5181" t="s">
        <v>205</v>
      </c>
      <c r="C5181" t="s">
        <v>53</v>
      </c>
      <c r="D5181" s="49">
        <v>46011</v>
      </c>
      <c r="E5181" s="49">
        <v>46013</v>
      </c>
      <c r="F5181" s="49">
        <v>46017</v>
      </c>
      <c r="G5181" s="49">
        <v>46022</v>
      </c>
      <c r="J5181" t="s">
        <v>308</v>
      </c>
      <c r="K5181" s="33">
        <v>3500</v>
      </c>
      <c r="M5181" t="str">
        <f>_xlfn.XLOOKUP(Pipeline_tbl[[#This Row],[Rep_ID]],Dim_Reps!A:A,Dim_Reps!K:K)</f>
        <v>EUR</v>
      </c>
      <c r="N5181" s="33">
        <f>(_xlfn.XLOOKUP(Pipeline_tbl[[#This Row],[Rate_Code_Generalized]],Lookups!A:A,Lookups!B:B))*Pipeline_tbl[[#This Row],[Pipeline_Amount_USD]]</f>
        <v>3500</v>
      </c>
      <c r="O5181" t="str">
        <f>_xlfn.XLOOKUP(Pipeline_tbl[[#This Row],[Rep_ID]],Dim_Reps!A:A,Dim_Reps!B:B)</f>
        <v>Karim Alvarez</v>
      </c>
      <c r="P5181" t="str">
        <f>_xlfn.XLOOKUP(Pipeline_tbl[[#This Row],[Rep_ID]],Dim_Reps!A:A,Dim_Reps!C:C)</f>
        <v>SDR / Inside Sales Rep</v>
      </c>
      <c r="Q5181" t="str">
        <f>_xlfn.XLOOKUP(Pipeline_tbl[[#This Row],[Rep_ID]],Dim_Reps!A:A,Dim_Reps!D:D)</f>
        <v>Inside Sales</v>
      </c>
      <c r="R5181" t="str">
        <f>_xlfn.XLOOKUP(Pipeline_tbl[[#This Row],[Rep_ID]],Dim_Reps!A:A,Dim_Reps!E:E)</f>
        <v>EMEA</v>
      </c>
      <c r="S5181" t="str">
        <f>_xlfn.XLOOKUP(Pipeline_tbl[[#This Row],[Created_Date]],Dim_Date!A:A,Dim_Date!H:H)</f>
        <v>Dec 2025</v>
      </c>
      <c r="T5181" t="str">
        <f>IF(Pipeline_tbl[[#This Row],[Closed_Date]]=0,"",(_xlfn.XLOOKUP(Pipeline_tbl[[#This Row],[Closed_Date]],Dim_Date!A:A,Dim_Date!H:H)))</f>
        <v/>
      </c>
      <c r="U5181" t="str">
        <f>IF(Pipeline_tbl[[#This Row],[Closed_Date]]=0,"",Pipeline_tbl[[#This Row],[Closed_Date]]-Pipeline_tbl[[#This Row],[Created_Date]])</f>
        <v/>
      </c>
    </row>
    <row r="5182" spans="1:21" ht="15" customHeight="1" x14ac:dyDescent="0.2">
      <c r="A5182" t="s">
        <v>5488</v>
      </c>
      <c r="B5182" t="s">
        <v>205</v>
      </c>
      <c r="C5182" t="s">
        <v>52</v>
      </c>
      <c r="D5182" s="49">
        <v>46006</v>
      </c>
      <c r="E5182" s="49">
        <v>46008</v>
      </c>
      <c r="F5182" s="49">
        <v>46013</v>
      </c>
      <c r="G5182" s="49">
        <v>46020</v>
      </c>
      <c r="J5182" t="s">
        <v>308</v>
      </c>
      <c r="K5182" s="33">
        <v>3500</v>
      </c>
      <c r="M5182" t="str">
        <f>_xlfn.XLOOKUP(Pipeline_tbl[[#This Row],[Rep_ID]],Dim_Reps!A:A,Dim_Reps!K:K)</f>
        <v>EUR</v>
      </c>
      <c r="N5182" s="33">
        <f>(_xlfn.XLOOKUP(Pipeline_tbl[[#This Row],[Rate_Code_Generalized]],Lookups!A:A,Lookups!B:B))*Pipeline_tbl[[#This Row],[Pipeline_Amount_USD]]</f>
        <v>3500</v>
      </c>
      <c r="O5182" t="str">
        <f>_xlfn.XLOOKUP(Pipeline_tbl[[#This Row],[Rep_ID]],Dim_Reps!A:A,Dim_Reps!B:B)</f>
        <v>Karim Alvarez</v>
      </c>
      <c r="P5182" t="str">
        <f>_xlfn.XLOOKUP(Pipeline_tbl[[#This Row],[Rep_ID]],Dim_Reps!A:A,Dim_Reps!C:C)</f>
        <v>SDR / Inside Sales Rep</v>
      </c>
      <c r="Q5182" t="str">
        <f>_xlfn.XLOOKUP(Pipeline_tbl[[#This Row],[Rep_ID]],Dim_Reps!A:A,Dim_Reps!D:D)</f>
        <v>Inside Sales</v>
      </c>
      <c r="R5182" t="str">
        <f>_xlfn.XLOOKUP(Pipeline_tbl[[#This Row],[Rep_ID]],Dim_Reps!A:A,Dim_Reps!E:E)</f>
        <v>EMEA</v>
      </c>
      <c r="S5182" t="str">
        <f>_xlfn.XLOOKUP(Pipeline_tbl[[#This Row],[Created_Date]],Dim_Date!A:A,Dim_Date!H:H)</f>
        <v>Dec 2025</v>
      </c>
      <c r="T5182" t="str">
        <f>IF(Pipeline_tbl[[#This Row],[Closed_Date]]=0,"",(_xlfn.XLOOKUP(Pipeline_tbl[[#This Row],[Closed_Date]],Dim_Date!A:A,Dim_Date!H:H)))</f>
        <v/>
      </c>
      <c r="U5182" t="str">
        <f>IF(Pipeline_tbl[[#This Row],[Closed_Date]]=0,"",Pipeline_tbl[[#This Row],[Closed_Date]]-Pipeline_tbl[[#This Row],[Created_Date]])</f>
        <v/>
      </c>
    </row>
    <row r="5183" spans="1:21" ht="15" customHeight="1" x14ac:dyDescent="0.2">
      <c r="A5183" t="s">
        <v>5489</v>
      </c>
      <c r="B5183" t="s">
        <v>209</v>
      </c>
      <c r="C5183" t="s">
        <v>53</v>
      </c>
      <c r="D5183" s="49">
        <v>46017</v>
      </c>
      <c r="E5183" s="49">
        <v>46018</v>
      </c>
      <c r="F5183" s="49">
        <v>46020</v>
      </c>
      <c r="J5183" t="s">
        <v>308</v>
      </c>
      <c r="K5183" s="33">
        <v>6300</v>
      </c>
      <c r="M5183" t="str">
        <f>_xlfn.XLOOKUP(Pipeline_tbl[[#This Row],[Rep_ID]],Dim_Reps!A:A,Dim_Reps!K:K)</f>
        <v>EUR</v>
      </c>
      <c r="N5183" s="33">
        <f>(_xlfn.XLOOKUP(Pipeline_tbl[[#This Row],[Rate_Code_Generalized]],Lookups!A:A,Lookups!B:B))*Pipeline_tbl[[#This Row],[Pipeline_Amount_USD]]</f>
        <v>6300</v>
      </c>
      <c r="O5183" t="str">
        <f>_xlfn.XLOOKUP(Pipeline_tbl[[#This Row],[Rep_ID]],Dim_Reps!A:A,Dim_Reps!B:B)</f>
        <v>Petra Larsen</v>
      </c>
      <c r="P5183" t="str">
        <f>_xlfn.XLOOKUP(Pipeline_tbl[[#This Row],[Rep_ID]],Dim_Reps!A:A,Dim_Reps!C:C)</f>
        <v>SDR / Inside Sales Rep</v>
      </c>
      <c r="Q5183" t="str">
        <f>_xlfn.XLOOKUP(Pipeline_tbl[[#This Row],[Rep_ID]],Dim_Reps!A:A,Dim_Reps!D:D)</f>
        <v>Inside Sales</v>
      </c>
      <c r="R5183" t="str">
        <f>_xlfn.XLOOKUP(Pipeline_tbl[[#This Row],[Rep_ID]],Dim_Reps!A:A,Dim_Reps!E:E)</f>
        <v>EMEA</v>
      </c>
      <c r="S5183" t="str">
        <f>_xlfn.XLOOKUP(Pipeline_tbl[[#This Row],[Created_Date]],Dim_Date!A:A,Dim_Date!H:H)</f>
        <v>Dec 2025</v>
      </c>
      <c r="T5183" t="str">
        <f>IF(Pipeline_tbl[[#This Row],[Closed_Date]]=0,"",(_xlfn.XLOOKUP(Pipeline_tbl[[#This Row],[Closed_Date]],Dim_Date!A:A,Dim_Date!H:H)))</f>
        <v/>
      </c>
      <c r="U5183" t="str">
        <f>IF(Pipeline_tbl[[#This Row],[Closed_Date]]=0,"",Pipeline_tbl[[#This Row],[Closed_Date]]-Pipeline_tbl[[#This Row],[Created_Date]])</f>
        <v/>
      </c>
    </row>
    <row r="5184" spans="1:21" ht="15" customHeight="1" x14ac:dyDescent="0.2">
      <c r="A5184" t="s">
        <v>5490</v>
      </c>
      <c r="B5184" t="s">
        <v>209</v>
      </c>
      <c r="C5184" t="s">
        <v>56</v>
      </c>
      <c r="D5184" s="49">
        <v>46012</v>
      </c>
      <c r="E5184" s="49">
        <v>46013</v>
      </c>
      <c r="F5184" s="49">
        <v>46015</v>
      </c>
      <c r="G5184" s="49">
        <v>46019</v>
      </c>
      <c r="H5184" s="49">
        <v>46021</v>
      </c>
      <c r="J5184" t="s">
        <v>308</v>
      </c>
      <c r="K5184" s="33">
        <v>900</v>
      </c>
      <c r="M5184" t="str">
        <f>_xlfn.XLOOKUP(Pipeline_tbl[[#This Row],[Rep_ID]],Dim_Reps!A:A,Dim_Reps!K:K)</f>
        <v>EUR</v>
      </c>
      <c r="N5184" s="33">
        <f>(_xlfn.XLOOKUP(Pipeline_tbl[[#This Row],[Rate_Code_Generalized]],Lookups!A:A,Lookups!B:B))*Pipeline_tbl[[#This Row],[Pipeline_Amount_USD]]</f>
        <v>900</v>
      </c>
      <c r="O5184" t="str">
        <f>_xlfn.XLOOKUP(Pipeline_tbl[[#This Row],[Rep_ID]],Dim_Reps!A:A,Dim_Reps!B:B)</f>
        <v>Petra Larsen</v>
      </c>
      <c r="P5184" t="str">
        <f>_xlfn.XLOOKUP(Pipeline_tbl[[#This Row],[Rep_ID]],Dim_Reps!A:A,Dim_Reps!C:C)</f>
        <v>SDR / Inside Sales Rep</v>
      </c>
      <c r="Q5184" t="str">
        <f>_xlfn.XLOOKUP(Pipeline_tbl[[#This Row],[Rep_ID]],Dim_Reps!A:A,Dim_Reps!D:D)</f>
        <v>Inside Sales</v>
      </c>
      <c r="R5184" t="str">
        <f>_xlfn.XLOOKUP(Pipeline_tbl[[#This Row],[Rep_ID]],Dim_Reps!A:A,Dim_Reps!E:E)</f>
        <v>EMEA</v>
      </c>
      <c r="S5184" t="str">
        <f>_xlfn.XLOOKUP(Pipeline_tbl[[#This Row],[Created_Date]],Dim_Date!A:A,Dim_Date!H:H)</f>
        <v>Dec 2025</v>
      </c>
      <c r="T5184" t="str">
        <f>IF(Pipeline_tbl[[#This Row],[Closed_Date]]=0,"",(_xlfn.XLOOKUP(Pipeline_tbl[[#This Row],[Closed_Date]],Dim_Date!A:A,Dim_Date!H:H)))</f>
        <v/>
      </c>
      <c r="U5184" t="str">
        <f>IF(Pipeline_tbl[[#This Row],[Closed_Date]]=0,"",Pipeline_tbl[[#This Row],[Closed_Date]]-Pipeline_tbl[[#This Row],[Created_Date]])</f>
        <v/>
      </c>
    </row>
    <row r="5185" spans="1:21" ht="15" customHeight="1" x14ac:dyDescent="0.2">
      <c r="A5185" t="s">
        <v>5491</v>
      </c>
      <c r="B5185" t="s">
        <v>209</v>
      </c>
      <c r="C5185" t="s">
        <v>54</v>
      </c>
      <c r="D5185" s="49">
        <v>46012</v>
      </c>
      <c r="E5185" s="49">
        <v>46014</v>
      </c>
      <c r="F5185" s="49">
        <v>46017</v>
      </c>
      <c r="G5185" s="49">
        <v>46021</v>
      </c>
      <c r="J5185" t="s">
        <v>308</v>
      </c>
      <c r="K5185" s="33">
        <v>3100</v>
      </c>
      <c r="M5185" t="str">
        <f>_xlfn.XLOOKUP(Pipeline_tbl[[#This Row],[Rep_ID]],Dim_Reps!A:A,Dim_Reps!K:K)</f>
        <v>EUR</v>
      </c>
      <c r="N5185" s="33">
        <f>(_xlfn.XLOOKUP(Pipeline_tbl[[#This Row],[Rate_Code_Generalized]],Lookups!A:A,Lookups!B:B))*Pipeline_tbl[[#This Row],[Pipeline_Amount_USD]]</f>
        <v>3100</v>
      </c>
      <c r="O5185" t="str">
        <f>_xlfn.XLOOKUP(Pipeline_tbl[[#This Row],[Rep_ID]],Dim_Reps!A:A,Dim_Reps!B:B)</f>
        <v>Petra Larsen</v>
      </c>
      <c r="P5185" t="str">
        <f>_xlfn.XLOOKUP(Pipeline_tbl[[#This Row],[Rep_ID]],Dim_Reps!A:A,Dim_Reps!C:C)</f>
        <v>SDR / Inside Sales Rep</v>
      </c>
      <c r="Q5185" t="str">
        <f>_xlfn.XLOOKUP(Pipeline_tbl[[#This Row],[Rep_ID]],Dim_Reps!A:A,Dim_Reps!D:D)</f>
        <v>Inside Sales</v>
      </c>
      <c r="R5185" t="str">
        <f>_xlfn.XLOOKUP(Pipeline_tbl[[#This Row],[Rep_ID]],Dim_Reps!A:A,Dim_Reps!E:E)</f>
        <v>EMEA</v>
      </c>
      <c r="S5185" t="str">
        <f>_xlfn.XLOOKUP(Pipeline_tbl[[#This Row],[Created_Date]],Dim_Date!A:A,Dim_Date!H:H)</f>
        <v>Dec 2025</v>
      </c>
      <c r="T5185" t="str">
        <f>IF(Pipeline_tbl[[#This Row],[Closed_Date]]=0,"",(_xlfn.XLOOKUP(Pipeline_tbl[[#This Row],[Closed_Date]],Dim_Date!A:A,Dim_Date!H:H)))</f>
        <v/>
      </c>
      <c r="U5185" t="str">
        <f>IF(Pipeline_tbl[[#This Row],[Closed_Date]]=0,"",Pipeline_tbl[[#This Row],[Closed_Date]]-Pipeline_tbl[[#This Row],[Created_Date]])</f>
        <v/>
      </c>
    </row>
    <row r="5186" spans="1:21" ht="15" customHeight="1" x14ac:dyDescent="0.2">
      <c r="A5186" t="s">
        <v>5492</v>
      </c>
      <c r="B5186" t="s">
        <v>209</v>
      </c>
      <c r="C5186" t="s">
        <v>55</v>
      </c>
      <c r="D5186" s="49">
        <v>46009</v>
      </c>
      <c r="E5186" s="49">
        <v>46011</v>
      </c>
      <c r="F5186" s="49">
        <v>46014</v>
      </c>
      <c r="G5186" s="49">
        <v>46019</v>
      </c>
      <c r="J5186" t="s">
        <v>308</v>
      </c>
      <c r="K5186" s="33">
        <v>7400</v>
      </c>
      <c r="M5186" t="str">
        <f>_xlfn.XLOOKUP(Pipeline_tbl[[#This Row],[Rep_ID]],Dim_Reps!A:A,Dim_Reps!K:K)</f>
        <v>EUR</v>
      </c>
      <c r="N5186" s="33">
        <f>(_xlfn.XLOOKUP(Pipeline_tbl[[#This Row],[Rate_Code_Generalized]],Lookups!A:A,Lookups!B:B))*Pipeline_tbl[[#This Row],[Pipeline_Amount_USD]]</f>
        <v>7400</v>
      </c>
      <c r="O5186" t="str">
        <f>_xlfn.XLOOKUP(Pipeline_tbl[[#This Row],[Rep_ID]],Dim_Reps!A:A,Dim_Reps!B:B)</f>
        <v>Petra Larsen</v>
      </c>
      <c r="P5186" t="str">
        <f>_xlfn.XLOOKUP(Pipeline_tbl[[#This Row],[Rep_ID]],Dim_Reps!A:A,Dim_Reps!C:C)</f>
        <v>SDR / Inside Sales Rep</v>
      </c>
      <c r="Q5186" t="str">
        <f>_xlfn.XLOOKUP(Pipeline_tbl[[#This Row],[Rep_ID]],Dim_Reps!A:A,Dim_Reps!D:D)</f>
        <v>Inside Sales</v>
      </c>
      <c r="R5186" t="str">
        <f>_xlfn.XLOOKUP(Pipeline_tbl[[#This Row],[Rep_ID]],Dim_Reps!A:A,Dim_Reps!E:E)</f>
        <v>EMEA</v>
      </c>
      <c r="S5186" t="str">
        <f>_xlfn.XLOOKUP(Pipeline_tbl[[#This Row],[Created_Date]],Dim_Date!A:A,Dim_Date!H:H)</f>
        <v>Dec 2025</v>
      </c>
      <c r="T5186" t="str">
        <f>IF(Pipeline_tbl[[#This Row],[Closed_Date]]=0,"",(_xlfn.XLOOKUP(Pipeline_tbl[[#This Row],[Closed_Date]],Dim_Date!A:A,Dim_Date!H:H)))</f>
        <v/>
      </c>
      <c r="U5186" t="str">
        <f>IF(Pipeline_tbl[[#This Row],[Closed_Date]]=0,"",Pipeline_tbl[[#This Row],[Closed_Date]]-Pipeline_tbl[[#This Row],[Created_Date]])</f>
        <v/>
      </c>
    </row>
    <row r="5187" spans="1:21" ht="15" customHeight="1" x14ac:dyDescent="0.2">
      <c r="A5187" t="s">
        <v>5493</v>
      </c>
      <c r="B5187" t="s">
        <v>209</v>
      </c>
      <c r="C5187" t="s">
        <v>55</v>
      </c>
      <c r="D5187" s="49">
        <v>46013</v>
      </c>
      <c r="E5187" s="49">
        <v>46015</v>
      </c>
      <c r="F5187" s="49">
        <v>46018</v>
      </c>
      <c r="J5187" t="s">
        <v>308</v>
      </c>
      <c r="K5187" s="33">
        <v>4000</v>
      </c>
      <c r="M5187" t="str">
        <f>_xlfn.XLOOKUP(Pipeline_tbl[[#This Row],[Rep_ID]],Dim_Reps!A:A,Dim_Reps!K:K)</f>
        <v>EUR</v>
      </c>
      <c r="N5187" s="33">
        <f>(_xlfn.XLOOKUP(Pipeline_tbl[[#This Row],[Rate_Code_Generalized]],Lookups!A:A,Lookups!B:B))*Pipeline_tbl[[#This Row],[Pipeline_Amount_USD]]</f>
        <v>4000</v>
      </c>
      <c r="O5187" t="str">
        <f>_xlfn.XLOOKUP(Pipeline_tbl[[#This Row],[Rep_ID]],Dim_Reps!A:A,Dim_Reps!B:B)</f>
        <v>Petra Larsen</v>
      </c>
      <c r="P5187" t="str">
        <f>_xlfn.XLOOKUP(Pipeline_tbl[[#This Row],[Rep_ID]],Dim_Reps!A:A,Dim_Reps!C:C)</f>
        <v>SDR / Inside Sales Rep</v>
      </c>
      <c r="Q5187" t="str">
        <f>_xlfn.XLOOKUP(Pipeline_tbl[[#This Row],[Rep_ID]],Dim_Reps!A:A,Dim_Reps!D:D)</f>
        <v>Inside Sales</v>
      </c>
      <c r="R5187" t="str">
        <f>_xlfn.XLOOKUP(Pipeline_tbl[[#This Row],[Rep_ID]],Dim_Reps!A:A,Dim_Reps!E:E)</f>
        <v>EMEA</v>
      </c>
      <c r="S5187" t="str">
        <f>_xlfn.XLOOKUP(Pipeline_tbl[[#This Row],[Created_Date]],Dim_Date!A:A,Dim_Date!H:H)</f>
        <v>Dec 2025</v>
      </c>
      <c r="T5187" t="str">
        <f>IF(Pipeline_tbl[[#This Row],[Closed_Date]]=0,"",(_xlfn.XLOOKUP(Pipeline_tbl[[#This Row],[Closed_Date]],Dim_Date!A:A,Dim_Date!H:H)))</f>
        <v/>
      </c>
      <c r="U5187" t="str">
        <f>IF(Pipeline_tbl[[#This Row],[Closed_Date]]=0,"",Pipeline_tbl[[#This Row],[Closed_Date]]-Pipeline_tbl[[#This Row],[Created_Date]])</f>
        <v/>
      </c>
    </row>
    <row r="5188" spans="1:21" ht="15" customHeight="1" x14ac:dyDescent="0.2">
      <c r="A5188" t="s">
        <v>5494</v>
      </c>
      <c r="B5188" t="s">
        <v>209</v>
      </c>
      <c r="C5188" t="s">
        <v>52</v>
      </c>
      <c r="D5188" s="49">
        <v>46001</v>
      </c>
      <c r="E5188" s="49">
        <v>46003</v>
      </c>
      <c r="F5188" s="49">
        <v>46008</v>
      </c>
      <c r="G5188" s="49">
        <v>46015</v>
      </c>
      <c r="H5188" s="49">
        <v>46021</v>
      </c>
      <c r="J5188" t="s">
        <v>308</v>
      </c>
      <c r="K5188" s="33">
        <v>4100</v>
      </c>
      <c r="M5188" t="str">
        <f>_xlfn.XLOOKUP(Pipeline_tbl[[#This Row],[Rep_ID]],Dim_Reps!A:A,Dim_Reps!K:K)</f>
        <v>EUR</v>
      </c>
      <c r="N5188" s="33">
        <f>(_xlfn.XLOOKUP(Pipeline_tbl[[#This Row],[Rate_Code_Generalized]],Lookups!A:A,Lookups!B:B))*Pipeline_tbl[[#This Row],[Pipeline_Amount_USD]]</f>
        <v>4100</v>
      </c>
      <c r="O5188" t="str">
        <f>_xlfn.XLOOKUP(Pipeline_tbl[[#This Row],[Rep_ID]],Dim_Reps!A:A,Dim_Reps!B:B)</f>
        <v>Petra Larsen</v>
      </c>
      <c r="P5188" t="str">
        <f>_xlfn.XLOOKUP(Pipeline_tbl[[#This Row],[Rep_ID]],Dim_Reps!A:A,Dim_Reps!C:C)</f>
        <v>SDR / Inside Sales Rep</v>
      </c>
      <c r="Q5188" t="str">
        <f>_xlfn.XLOOKUP(Pipeline_tbl[[#This Row],[Rep_ID]],Dim_Reps!A:A,Dim_Reps!D:D)</f>
        <v>Inside Sales</v>
      </c>
      <c r="R5188" t="str">
        <f>_xlfn.XLOOKUP(Pipeline_tbl[[#This Row],[Rep_ID]],Dim_Reps!A:A,Dim_Reps!E:E)</f>
        <v>EMEA</v>
      </c>
      <c r="S5188" t="str">
        <f>_xlfn.XLOOKUP(Pipeline_tbl[[#This Row],[Created_Date]],Dim_Date!A:A,Dim_Date!H:H)</f>
        <v>Dec 2025</v>
      </c>
      <c r="T5188" t="str">
        <f>IF(Pipeline_tbl[[#This Row],[Closed_Date]]=0,"",(_xlfn.XLOOKUP(Pipeline_tbl[[#This Row],[Closed_Date]],Dim_Date!A:A,Dim_Date!H:H)))</f>
        <v/>
      </c>
      <c r="U5188" t="str">
        <f>IF(Pipeline_tbl[[#This Row],[Closed_Date]]=0,"",Pipeline_tbl[[#This Row],[Closed_Date]]-Pipeline_tbl[[#This Row],[Created_Date]])</f>
        <v/>
      </c>
    </row>
    <row r="5189" spans="1:21" ht="15" customHeight="1" x14ac:dyDescent="0.2">
      <c r="A5189" t="s">
        <v>5495</v>
      </c>
      <c r="B5189" t="s">
        <v>209</v>
      </c>
      <c r="C5189" t="s">
        <v>54</v>
      </c>
      <c r="D5189" s="49">
        <v>46015</v>
      </c>
      <c r="E5189" s="49">
        <v>46018</v>
      </c>
      <c r="J5189" t="s">
        <v>308</v>
      </c>
      <c r="K5189" s="33">
        <v>2900</v>
      </c>
      <c r="M5189" t="str">
        <f>_xlfn.XLOOKUP(Pipeline_tbl[[#This Row],[Rep_ID]],Dim_Reps!A:A,Dim_Reps!K:K)</f>
        <v>EUR</v>
      </c>
      <c r="N5189" s="33">
        <f>(_xlfn.XLOOKUP(Pipeline_tbl[[#This Row],[Rate_Code_Generalized]],Lookups!A:A,Lookups!B:B))*Pipeline_tbl[[#This Row],[Pipeline_Amount_USD]]</f>
        <v>2900</v>
      </c>
      <c r="O5189" t="str">
        <f>_xlfn.XLOOKUP(Pipeline_tbl[[#This Row],[Rep_ID]],Dim_Reps!A:A,Dim_Reps!B:B)</f>
        <v>Petra Larsen</v>
      </c>
      <c r="P5189" t="str">
        <f>_xlfn.XLOOKUP(Pipeline_tbl[[#This Row],[Rep_ID]],Dim_Reps!A:A,Dim_Reps!C:C)</f>
        <v>SDR / Inside Sales Rep</v>
      </c>
      <c r="Q5189" t="str">
        <f>_xlfn.XLOOKUP(Pipeline_tbl[[#This Row],[Rep_ID]],Dim_Reps!A:A,Dim_Reps!D:D)</f>
        <v>Inside Sales</v>
      </c>
      <c r="R5189" t="str">
        <f>_xlfn.XLOOKUP(Pipeline_tbl[[#This Row],[Rep_ID]],Dim_Reps!A:A,Dim_Reps!E:E)</f>
        <v>EMEA</v>
      </c>
      <c r="S5189" t="str">
        <f>_xlfn.XLOOKUP(Pipeline_tbl[[#This Row],[Created_Date]],Dim_Date!A:A,Dim_Date!H:H)</f>
        <v>Dec 2025</v>
      </c>
      <c r="T5189" t="str">
        <f>IF(Pipeline_tbl[[#This Row],[Closed_Date]]=0,"",(_xlfn.XLOOKUP(Pipeline_tbl[[#This Row],[Closed_Date]],Dim_Date!A:A,Dim_Date!H:H)))</f>
        <v/>
      </c>
      <c r="U5189" t="str">
        <f>IF(Pipeline_tbl[[#This Row],[Closed_Date]]=0,"",Pipeline_tbl[[#This Row],[Closed_Date]]-Pipeline_tbl[[#This Row],[Created_Date]])</f>
        <v/>
      </c>
    </row>
    <row r="5190" spans="1:21" ht="15" customHeight="1" x14ac:dyDescent="0.2">
      <c r="A5190" t="s">
        <v>5496</v>
      </c>
      <c r="B5190" t="s">
        <v>211</v>
      </c>
      <c r="C5190" t="s">
        <v>53</v>
      </c>
      <c r="D5190" s="49">
        <v>46005</v>
      </c>
      <c r="E5190" s="49">
        <v>46007</v>
      </c>
      <c r="F5190" s="49">
        <v>46012</v>
      </c>
      <c r="G5190" s="49">
        <v>46019</v>
      </c>
      <c r="J5190" t="s">
        <v>308</v>
      </c>
      <c r="K5190" s="33">
        <v>3700</v>
      </c>
      <c r="M5190" t="str">
        <f>_xlfn.XLOOKUP(Pipeline_tbl[[#This Row],[Rep_ID]],Dim_Reps!A:A,Dim_Reps!K:K)</f>
        <v>EUR</v>
      </c>
      <c r="N5190" s="33">
        <f>(_xlfn.XLOOKUP(Pipeline_tbl[[#This Row],[Rate_Code_Generalized]],Lookups!A:A,Lookups!B:B))*Pipeline_tbl[[#This Row],[Pipeline_Amount_USD]]</f>
        <v>3700</v>
      </c>
      <c r="O5190" t="str">
        <f>_xlfn.XLOOKUP(Pipeline_tbl[[#This Row],[Rep_ID]],Dim_Reps!A:A,Dim_Reps!B:B)</f>
        <v>Lea Weber</v>
      </c>
      <c r="P5190" t="str">
        <f>_xlfn.XLOOKUP(Pipeline_tbl[[#This Row],[Rep_ID]],Dim_Reps!A:A,Dim_Reps!C:C)</f>
        <v>SDR / Inside Sales Rep</v>
      </c>
      <c r="Q5190" t="str">
        <f>_xlfn.XLOOKUP(Pipeline_tbl[[#This Row],[Rep_ID]],Dim_Reps!A:A,Dim_Reps!D:D)</f>
        <v>Inside Sales</v>
      </c>
      <c r="R5190" t="str">
        <f>_xlfn.XLOOKUP(Pipeline_tbl[[#This Row],[Rep_ID]],Dim_Reps!A:A,Dim_Reps!E:E)</f>
        <v>EMEA</v>
      </c>
      <c r="S5190" t="str">
        <f>_xlfn.XLOOKUP(Pipeline_tbl[[#This Row],[Created_Date]],Dim_Date!A:A,Dim_Date!H:H)</f>
        <v>Dec 2025</v>
      </c>
      <c r="T5190" t="str">
        <f>IF(Pipeline_tbl[[#This Row],[Closed_Date]]=0,"",(_xlfn.XLOOKUP(Pipeline_tbl[[#This Row],[Closed_Date]],Dim_Date!A:A,Dim_Date!H:H)))</f>
        <v/>
      </c>
      <c r="U5190" t="str">
        <f>IF(Pipeline_tbl[[#This Row],[Closed_Date]]=0,"",Pipeline_tbl[[#This Row],[Closed_Date]]-Pipeline_tbl[[#This Row],[Created_Date]])</f>
        <v/>
      </c>
    </row>
    <row r="5191" spans="1:21" ht="15" customHeight="1" x14ac:dyDescent="0.2">
      <c r="A5191" t="s">
        <v>5497</v>
      </c>
      <c r="B5191" t="s">
        <v>211</v>
      </c>
      <c r="C5191" t="s">
        <v>54</v>
      </c>
      <c r="D5191" s="49">
        <v>46011</v>
      </c>
      <c r="E5191" s="49">
        <v>46013</v>
      </c>
      <c r="F5191" s="49">
        <v>46016</v>
      </c>
      <c r="G5191" s="49">
        <v>46021</v>
      </c>
      <c r="J5191" t="s">
        <v>308</v>
      </c>
      <c r="K5191" s="33">
        <v>4300</v>
      </c>
      <c r="M5191" t="str">
        <f>_xlfn.XLOOKUP(Pipeline_tbl[[#This Row],[Rep_ID]],Dim_Reps!A:A,Dim_Reps!K:K)</f>
        <v>EUR</v>
      </c>
      <c r="N5191" s="33">
        <f>(_xlfn.XLOOKUP(Pipeline_tbl[[#This Row],[Rate_Code_Generalized]],Lookups!A:A,Lookups!B:B))*Pipeline_tbl[[#This Row],[Pipeline_Amount_USD]]</f>
        <v>4300</v>
      </c>
      <c r="O5191" t="str">
        <f>_xlfn.XLOOKUP(Pipeline_tbl[[#This Row],[Rep_ID]],Dim_Reps!A:A,Dim_Reps!B:B)</f>
        <v>Lea Weber</v>
      </c>
      <c r="P5191" t="str">
        <f>_xlfn.XLOOKUP(Pipeline_tbl[[#This Row],[Rep_ID]],Dim_Reps!A:A,Dim_Reps!C:C)</f>
        <v>SDR / Inside Sales Rep</v>
      </c>
      <c r="Q5191" t="str">
        <f>_xlfn.XLOOKUP(Pipeline_tbl[[#This Row],[Rep_ID]],Dim_Reps!A:A,Dim_Reps!D:D)</f>
        <v>Inside Sales</v>
      </c>
      <c r="R5191" t="str">
        <f>_xlfn.XLOOKUP(Pipeline_tbl[[#This Row],[Rep_ID]],Dim_Reps!A:A,Dim_Reps!E:E)</f>
        <v>EMEA</v>
      </c>
      <c r="S5191" t="str">
        <f>_xlfn.XLOOKUP(Pipeline_tbl[[#This Row],[Created_Date]],Dim_Date!A:A,Dim_Date!H:H)</f>
        <v>Dec 2025</v>
      </c>
      <c r="T5191" t="str">
        <f>IF(Pipeline_tbl[[#This Row],[Closed_Date]]=0,"",(_xlfn.XLOOKUP(Pipeline_tbl[[#This Row],[Closed_Date]],Dim_Date!A:A,Dim_Date!H:H)))</f>
        <v/>
      </c>
      <c r="U5191" t="str">
        <f>IF(Pipeline_tbl[[#This Row],[Closed_Date]]=0,"",Pipeline_tbl[[#This Row],[Closed_Date]]-Pipeline_tbl[[#This Row],[Created_Date]])</f>
        <v/>
      </c>
    </row>
    <row r="5192" spans="1:21" ht="15" customHeight="1" x14ac:dyDescent="0.2">
      <c r="A5192" t="s">
        <v>5498</v>
      </c>
      <c r="B5192" t="s">
        <v>211</v>
      </c>
      <c r="C5192" t="s">
        <v>52</v>
      </c>
      <c r="D5192" s="49">
        <v>46003</v>
      </c>
      <c r="E5192" s="49">
        <v>46006</v>
      </c>
      <c r="F5192" s="49">
        <v>46012</v>
      </c>
      <c r="G5192" s="49">
        <v>46020</v>
      </c>
      <c r="J5192" t="s">
        <v>308</v>
      </c>
      <c r="K5192" s="33">
        <v>4300</v>
      </c>
      <c r="M5192" t="str">
        <f>_xlfn.XLOOKUP(Pipeline_tbl[[#This Row],[Rep_ID]],Dim_Reps!A:A,Dim_Reps!K:K)</f>
        <v>EUR</v>
      </c>
      <c r="N5192" s="33">
        <f>(_xlfn.XLOOKUP(Pipeline_tbl[[#This Row],[Rate_Code_Generalized]],Lookups!A:A,Lookups!B:B))*Pipeline_tbl[[#This Row],[Pipeline_Amount_USD]]</f>
        <v>4300</v>
      </c>
      <c r="O5192" t="str">
        <f>_xlfn.XLOOKUP(Pipeline_tbl[[#This Row],[Rep_ID]],Dim_Reps!A:A,Dim_Reps!B:B)</f>
        <v>Lea Weber</v>
      </c>
      <c r="P5192" t="str">
        <f>_xlfn.XLOOKUP(Pipeline_tbl[[#This Row],[Rep_ID]],Dim_Reps!A:A,Dim_Reps!C:C)</f>
        <v>SDR / Inside Sales Rep</v>
      </c>
      <c r="Q5192" t="str">
        <f>_xlfn.XLOOKUP(Pipeline_tbl[[#This Row],[Rep_ID]],Dim_Reps!A:A,Dim_Reps!D:D)</f>
        <v>Inside Sales</v>
      </c>
      <c r="R5192" t="str">
        <f>_xlfn.XLOOKUP(Pipeline_tbl[[#This Row],[Rep_ID]],Dim_Reps!A:A,Dim_Reps!E:E)</f>
        <v>EMEA</v>
      </c>
      <c r="S5192" t="str">
        <f>_xlfn.XLOOKUP(Pipeline_tbl[[#This Row],[Created_Date]],Dim_Date!A:A,Dim_Date!H:H)</f>
        <v>Dec 2025</v>
      </c>
      <c r="T5192" t="str">
        <f>IF(Pipeline_tbl[[#This Row],[Closed_Date]]=0,"",(_xlfn.XLOOKUP(Pipeline_tbl[[#This Row],[Closed_Date]],Dim_Date!A:A,Dim_Date!H:H)))</f>
        <v/>
      </c>
      <c r="U5192" t="str">
        <f>IF(Pipeline_tbl[[#This Row],[Closed_Date]]=0,"",Pipeline_tbl[[#This Row],[Closed_Date]]-Pipeline_tbl[[#This Row],[Created_Date]])</f>
        <v/>
      </c>
    </row>
    <row r="5193" spans="1:21" ht="15" customHeight="1" x14ac:dyDescent="0.2">
      <c r="A5193" t="s">
        <v>5499</v>
      </c>
      <c r="B5193" t="s">
        <v>211</v>
      </c>
      <c r="C5193" t="s">
        <v>54</v>
      </c>
      <c r="D5193" s="49">
        <v>46010</v>
      </c>
      <c r="E5193" s="49">
        <v>46012</v>
      </c>
      <c r="F5193" s="49">
        <v>46017</v>
      </c>
      <c r="J5193" t="s">
        <v>308</v>
      </c>
      <c r="K5193" s="33">
        <v>5100</v>
      </c>
      <c r="M5193" t="str">
        <f>_xlfn.XLOOKUP(Pipeline_tbl[[#This Row],[Rep_ID]],Dim_Reps!A:A,Dim_Reps!K:K)</f>
        <v>EUR</v>
      </c>
      <c r="N5193" s="33">
        <f>(_xlfn.XLOOKUP(Pipeline_tbl[[#This Row],[Rate_Code_Generalized]],Lookups!A:A,Lookups!B:B))*Pipeline_tbl[[#This Row],[Pipeline_Amount_USD]]</f>
        <v>5100</v>
      </c>
      <c r="O5193" t="str">
        <f>_xlfn.XLOOKUP(Pipeline_tbl[[#This Row],[Rep_ID]],Dim_Reps!A:A,Dim_Reps!B:B)</f>
        <v>Lea Weber</v>
      </c>
      <c r="P5193" t="str">
        <f>_xlfn.XLOOKUP(Pipeline_tbl[[#This Row],[Rep_ID]],Dim_Reps!A:A,Dim_Reps!C:C)</f>
        <v>SDR / Inside Sales Rep</v>
      </c>
      <c r="Q5193" t="str">
        <f>_xlfn.XLOOKUP(Pipeline_tbl[[#This Row],[Rep_ID]],Dim_Reps!A:A,Dim_Reps!D:D)</f>
        <v>Inside Sales</v>
      </c>
      <c r="R5193" t="str">
        <f>_xlfn.XLOOKUP(Pipeline_tbl[[#This Row],[Rep_ID]],Dim_Reps!A:A,Dim_Reps!E:E)</f>
        <v>EMEA</v>
      </c>
      <c r="S5193" t="str">
        <f>_xlfn.XLOOKUP(Pipeline_tbl[[#This Row],[Created_Date]],Dim_Date!A:A,Dim_Date!H:H)</f>
        <v>Dec 2025</v>
      </c>
      <c r="T5193" t="str">
        <f>IF(Pipeline_tbl[[#This Row],[Closed_Date]]=0,"",(_xlfn.XLOOKUP(Pipeline_tbl[[#This Row],[Closed_Date]],Dim_Date!A:A,Dim_Date!H:H)))</f>
        <v/>
      </c>
      <c r="U5193" t="str">
        <f>IF(Pipeline_tbl[[#This Row],[Closed_Date]]=0,"",Pipeline_tbl[[#This Row],[Closed_Date]]-Pipeline_tbl[[#This Row],[Created_Date]])</f>
        <v/>
      </c>
    </row>
    <row r="5194" spans="1:21" ht="15" customHeight="1" x14ac:dyDescent="0.2">
      <c r="A5194" t="s">
        <v>5500</v>
      </c>
      <c r="B5194" t="s">
        <v>249</v>
      </c>
      <c r="C5194" t="s">
        <v>52</v>
      </c>
      <c r="D5194" s="49">
        <v>46015</v>
      </c>
      <c r="E5194" s="49">
        <v>46018</v>
      </c>
      <c r="J5194" t="s">
        <v>308</v>
      </c>
      <c r="K5194" s="33">
        <v>11700</v>
      </c>
      <c r="M5194" t="str">
        <f>_xlfn.XLOOKUP(Pipeline_tbl[[#This Row],[Rep_ID]],Dim_Reps!A:A,Dim_Reps!K:K)</f>
        <v>EUR</v>
      </c>
      <c r="N5194" s="33">
        <f>(_xlfn.XLOOKUP(Pipeline_tbl[[#This Row],[Rate_Code_Generalized]],Lookups!A:A,Lookups!B:B))*Pipeline_tbl[[#This Row],[Pipeline_Amount_USD]]</f>
        <v>11700</v>
      </c>
      <c r="O5194" t="str">
        <f>_xlfn.XLOOKUP(Pipeline_tbl[[#This Row],[Rep_ID]],Dim_Reps!A:A,Dim_Reps!B:B)</f>
        <v>Ana Sato</v>
      </c>
      <c r="P5194" t="str">
        <f>_xlfn.XLOOKUP(Pipeline_tbl[[#This Row],[Rep_ID]],Dim_Reps!A:A,Dim_Reps!C:C)</f>
        <v>Mid-Market AE</v>
      </c>
      <c r="Q5194" t="str">
        <f>_xlfn.XLOOKUP(Pipeline_tbl[[#This Row],[Rep_ID]],Dim_Reps!A:A,Dim_Reps!D:D)</f>
        <v>Mid-Market</v>
      </c>
      <c r="R5194" t="str">
        <f>_xlfn.XLOOKUP(Pipeline_tbl[[#This Row],[Rep_ID]],Dim_Reps!A:A,Dim_Reps!E:E)</f>
        <v>APAC</v>
      </c>
      <c r="S5194" t="str">
        <f>_xlfn.XLOOKUP(Pipeline_tbl[[#This Row],[Created_Date]],Dim_Date!A:A,Dim_Date!H:H)</f>
        <v>Dec 2025</v>
      </c>
      <c r="T5194" t="str">
        <f>IF(Pipeline_tbl[[#This Row],[Closed_Date]]=0,"",(_xlfn.XLOOKUP(Pipeline_tbl[[#This Row],[Closed_Date]],Dim_Date!A:A,Dim_Date!H:H)))</f>
        <v/>
      </c>
      <c r="U5194" t="str">
        <f>IF(Pipeline_tbl[[#This Row],[Closed_Date]]=0,"",Pipeline_tbl[[#This Row],[Closed_Date]]-Pipeline_tbl[[#This Row],[Created_Date]])</f>
        <v/>
      </c>
    </row>
    <row r="5195" spans="1:21" ht="15" customHeight="1" x14ac:dyDescent="0.2">
      <c r="A5195" t="s">
        <v>5501</v>
      </c>
      <c r="B5195" t="s">
        <v>249</v>
      </c>
      <c r="C5195" t="s">
        <v>55</v>
      </c>
      <c r="D5195" s="49">
        <v>46013</v>
      </c>
      <c r="E5195" s="49">
        <v>46015</v>
      </c>
      <c r="F5195" s="49">
        <v>46018</v>
      </c>
      <c r="J5195" t="s">
        <v>308</v>
      </c>
      <c r="K5195" s="33">
        <v>7800</v>
      </c>
      <c r="M5195" t="str">
        <f>_xlfn.XLOOKUP(Pipeline_tbl[[#This Row],[Rep_ID]],Dim_Reps!A:A,Dim_Reps!K:K)</f>
        <v>EUR</v>
      </c>
      <c r="N5195" s="33">
        <f>(_xlfn.XLOOKUP(Pipeline_tbl[[#This Row],[Rate_Code_Generalized]],Lookups!A:A,Lookups!B:B))*Pipeline_tbl[[#This Row],[Pipeline_Amount_USD]]</f>
        <v>7800</v>
      </c>
      <c r="O5195" t="str">
        <f>_xlfn.XLOOKUP(Pipeline_tbl[[#This Row],[Rep_ID]],Dim_Reps!A:A,Dim_Reps!B:B)</f>
        <v>Ana Sato</v>
      </c>
      <c r="P5195" t="str">
        <f>_xlfn.XLOOKUP(Pipeline_tbl[[#This Row],[Rep_ID]],Dim_Reps!A:A,Dim_Reps!C:C)</f>
        <v>Mid-Market AE</v>
      </c>
      <c r="Q5195" t="str">
        <f>_xlfn.XLOOKUP(Pipeline_tbl[[#This Row],[Rep_ID]],Dim_Reps!A:A,Dim_Reps!D:D)</f>
        <v>Mid-Market</v>
      </c>
      <c r="R5195" t="str">
        <f>_xlfn.XLOOKUP(Pipeline_tbl[[#This Row],[Rep_ID]],Dim_Reps!A:A,Dim_Reps!E:E)</f>
        <v>APAC</v>
      </c>
      <c r="S5195" t="str">
        <f>_xlfn.XLOOKUP(Pipeline_tbl[[#This Row],[Created_Date]],Dim_Date!A:A,Dim_Date!H:H)</f>
        <v>Dec 2025</v>
      </c>
      <c r="T5195" t="str">
        <f>IF(Pipeline_tbl[[#This Row],[Closed_Date]]=0,"",(_xlfn.XLOOKUP(Pipeline_tbl[[#This Row],[Closed_Date]],Dim_Date!A:A,Dim_Date!H:H)))</f>
        <v/>
      </c>
      <c r="U5195" t="str">
        <f>IF(Pipeline_tbl[[#This Row],[Closed_Date]]=0,"",Pipeline_tbl[[#This Row],[Closed_Date]]-Pipeline_tbl[[#This Row],[Created_Date]])</f>
        <v/>
      </c>
    </row>
    <row r="5196" spans="1:21" ht="15" customHeight="1" x14ac:dyDescent="0.2">
      <c r="A5196" t="s">
        <v>5502</v>
      </c>
      <c r="B5196" t="s">
        <v>249</v>
      </c>
      <c r="C5196" t="s">
        <v>55</v>
      </c>
      <c r="D5196" s="49">
        <v>46012</v>
      </c>
      <c r="E5196" s="49">
        <v>46016</v>
      </c>
      <c r="J5196" t="s">
        <v>308</v>
      </c>
      <c r="K5196" s="33">
        <v>14800</v>
      </c>
      <c r="M5196" t="str">
        <f>_xlfn.XLOOKUP(Pipeline_tbl[[#This Row],[Rep_ID]],Dim_Reps!A:A,Dim_Reps!K:K)</f>
        <v>EUR</v>
      </c>
      <c r="N5196" s="33">
        <f>(_xlfn.XLOOKUP(Pipeline_tbl[[#This Row],[Rate_Code_Generalized]],Lookups!A:A,Lookups!B:B))*Pipeline_tbl[[#This Row],[Pipeline_Amount_USD]]</f>
        <v>14800</v>
      </c>
      <c r="O5196" t="str">
        <f>_xlfn.XLOOKUP(Pipeline_tbl[[#This Row],[Rep_ID]],Dim_Reps!A:A,Dim_Reps!B:B)</f>
        <v>Ana Sato</v>
      </c>
      <c r="P5196" t="str">
        <f>_xlfn.XLOOKUP(Pipeline_tbl[[#This Row],[Rep_ID]],Dim_Reps!A:A,Dim_Reps!C:C)</f>
        <v>Mid-Market AE</v>
      </c>
      <c r="Q5196" t="str">
        <f>_xlfn.XLOOKUP(Pipeline_tbl[[#This Row],[Rep_ID]],Dim_Reps!A:A,Dim_Reps!D:D)</f>
        <v>Mid-Market</v>
      </c>
      <c r="R5196" t="str">
        <f>_xlfn.XLOOKUP(Pipeline_tbl[[#This Row],[Rep_ID]],Dim_Reps!A:A,Dim_Reps!E:E)</f>
        <v>APAC</v>
      </c>
      <c r="S5196" t="str">
        <f>_xlfn.XLOOKUP(Pipeline_tbl[[#This Row],[Created_Date]],Dim_Date!A:A,Dim_Date!H:H)</f>
        <v>Dec 2025</v>
      </c>
      <c r="T5196" t="str">
        <f>IF(Pipeline_tbl[[#This Row],[Closed_Date]]=0,"",(_xlfn.XLOOKUP(Pipeline_tbl[[#This Row],[Closed_Date]],Dim_Date!A:A,Dim_Date!H:H)))</f>
        <v/>
      </c>
      <c r="U5196" t="str">
        <f>IF(Pipeline_tbl[[#This Row],[Closed_Date]]=0,"",Pipeline_tbl[[#This Row],[Closed_Date]]-Pipeline_tbl[[#This Row],[Created_Date]])</f>
        <v/>
      </c>
    </row>
    <row r="5197" spans="1:21" ht="15" customHeight="1" x14ac:dyDescent="0.2">
      <c r="A5197" t="s">
        <v>5503</v>
      </c>
      <c r="B5197" t="s">
        <v>249</v>
      </c>
      <c r="C5197" t="s">
        <v>52</v>
      </c>
      <c r="D5197" s="49">
        <v>45995</v>
      </c>
      <c r="E5197" s="49">
        <v>45998</v>
      </c>
      <c r="F5197" s="49">
        <v>46003</v>
      </c>
      <c r="G5197" s="49">
        <v>46012</v>
      </c>
      <c r="H5197" s="49">
        <v>46019</v>
      </c>
      <c r="J5197" t="s">
        <v>308</v>
      </c>
      <c r="K5197" s="33">
        <v>10400</v>
      </c>
      <c r="M5197" t="str">
        <f>_xlfn.XLOOKUP(Pipeline_tbl[[#This Row],[Rep_ID]],Dim_Reps!A:A,Dim_Reps!K:K)</f>
        <v>EUR</v>
      </c>
      <c r="N5197" s="33">
        <f>(_xlfn.XLOOKUP(Pipeline_tbl[[#This Row],[Rate_Code_Generalized]],Lookups!A:A,Lookups!B:B))*Pipeline_tbl[[#This Row],[Pipeline_Amount_USD]]</f>
        <v>10400</v>
      </c>
      <c r="O5197" t="str">
        <f>_xlfn.XLOOKUP(Pipeline_tbl[[#This Row],[Rep_ID]],Dim_Reps!A:A,Dim_Reps!B:B)</f>
        <v>Ana Sato</v>
      </c>
      <c r="P5197" t="str">
        <f>_xlfn.XLOOKUP(Pipeline_tbl[[#This Row],[Rep_ID]],Dim_Reps!A:A,Dim_Reps!C:C)</f>
        <v>Mid-Market AE</v>
      </c>
      <c r="Q5197" t="str">
        <f>_xlfn.XLOOKUP(Pipeline_tbl[[#This Row],[Rep_ID]],Dim_Reps!A:A,Dim_Reps!D:D)</f>
        <v>Mid-Market</v>
      </c>
      <c r="R5197" t="str">
        <f>_xlfn.XLOOKUP(Pipeline_tbl[[#This Row],[Rep_ID]],Dim_Reps!A:A,Dim_Reps!E:E)</f>
        <v>APAC</v>
      </c>
      <c r="S5197" t="str">
        <f>_xlfn.XLOOKUP(Pipeline_tbl[[#This Row],[Created_Date]],Dim_Date!A:A,Dim_Date!H:H)</f>
        <v>Dec 2025</v>
      </c>
      <c r="T5197" t="str">
        <f>IF(Pipeline_tbl[[#This Row],[Closed_Date]]=0,"",(_xlfn.XLOOKUP(Pipeline_tbl[[#This Row],[Closed_Date]],Dim_Date!A:A,Dim_Date!H:H)))</f>
        <v/>
      </c>
      <c r="U5197" t="str">
        <f>IF(Pipeline_tbl[[#This Row],[Closed_Date]]=0,"",Pipeline_tbl[[#This Row],[Closed_Date]]-Pipeline_tbl[[#This Row],[Created_Date]])</f>
        <v/>
      </c>
    </row>
    <row r="5198" spans="1:21" ht="15" customHeight="1" x14ac:dyDescent="0.2">
      <c r="A5198" t="s">
        <v>5504</v>
      </c>
      <c r="B5198" t="s">
        <v>249</v>
      </c>
      <c r="C5198" t="s">
        <v>53</v>
      </c>
      <c r="D5198" s="49">
        <v>46016</v>
      </c>
      <c r="E5198" s="49">
        <v>46018</v>
      </c>
      <c r="J5198" t="s">
        <v>308</v>
      </c>
      <c r="K5198" s="33">
        <v>14800</v>
      </c>
      <c r="M5198" t="str">
        <f>_xlfn.XLOOKUP(Pipeline_tbl[[#This Row],[Rep_ID]],Dim_Reps!A:A,Dim_Reps!K:K)</f>
        <v>EUR</v>
      </c>
      <c r="N5198" s="33">
        <f>(_xlfn.XLOOKUP(Pipeline_tbl[[#This Row],[Rate_Code_Generalized]],Lookups!A:A,Lookups!B:B))*Pipeline_tbl[[#This Row],[Pipeline_Amount_USD]]</f>
        <v>14800</v>
      </c>
      <c r="O5198" t="str">
        <f>_xlfn.XLOOKUP(Pipeline_tbl[[#This Row],[Rep_ID]],Dim_Reps!A:A,Dim_Reps!B:B)</f>
        <v>Ana Sato</v>
      </c>
      <c r="P5198" t="str">
        <f>_xlfn.XLOOKUP(Pipeline_tbl[[#This Row],[Rep_ID]],Dim_Reps!A:A,Dim_Reps!C:C)</f>
        <v>Mid-Market AE</v>
      </c>
      <c r="Q5198" t="str">
        <f>_xlfn.XLOOKUP(Pipeline_tbl[[#This Row],[Rep_ID]],Dim_Reps!A:A,Dim_Reps!D:D)</f>
        <v>Mid-Market</v>
      </c>
      <c r="R5198" t="str">
        <f>_xlfn.XLOOKUP(Pipeline_tbl[[#This Row],[Rep_ID]],Dim_Reps!A:A,Dim_Reps!E:E)</f>
        <v>APAC</v>
      </c>
      <c r="S5198" t="str">
        <f>_xlfn.XLOOKUP(Pipeline_tbl[[#This Row],[Created_Date]],Dim_Date!A:A,Dim_Date!H:H)</f>
        <v>Dec 2025</v>
      </c>
      <c r="T5198" t="str">
        <f>IF(Pipeline_tbl[[#This Row],[Closed_Date]]=0,"",(_xlfn.XLOOKUP(Pipeline_tbl[[#This Row],[Closed_Date]],Dim_Date!A:A,Dim_Date!H:H)))</f>
        <v/>
      </c>
      <c r="U5198" t="str">
        <f>IF(Pipeline_tbl[[#This Row],[Closed_Date]]=0,"",Pipeline_tbl[[#This Row],[Closed_Date]]-Pipeline_tbl[[#This Row],[Created_Date]])</f>
        <v/>
      </c>
    </row>
    <row r="5199" spans="1:21" ht="15" customHeight="1" x14ac:dyDescent="0.2">
      <c r="A5199" t="s">
        <v>5505</v>
      </c>
      <c r="B5199" t="s">
        <v>249</v>
      </c>
      <c r="C5199" t="s">
        <v>53</v>
      </c>
      <c r="D5199" s="49">
        <v>46010</v>
      </c>
      <c r="E5199" s="49">
        <v>46014</v>
      </c>
      <c r="F5199" s="49">
        <v>46021</v>
      </c>
      <c r="J5199" t="s">
        <v>308</v>
      </c>
      <c r="K5199" s="33">
        <v>5800</v>
      </c>
      <c r="M5199" t="str">
        <f>_xlfn.XLOOKUP(Pipeline_tbl[[#This Row],[Rep_ID]],Dim_Reps!A:A,Dim_Reps!K:K)</f>
        <v>EUR</v>
      </c>
      <c r="N5199" s="33">
        <f>(_xlfn.XLOOKUP(Pipeline_tbl[[#This Row],[Rate_Code_Generalized]],Lookups!A:A,Lookups!B:B))*Pipeline_tbl[[#This Row],[Pipeline_Amount_USD]]</f>
        <v>5800</v>
      </c>
      <c r="O5199" t="str">
        <f>_xlfn.XLOOKUP(Pipeline_tbl[[#This Row],[Rep_ID]],Dim_Reps!A:A,Dim_Reps!B:B)</f>
        <v>Ana Sato</v>
      </c>
      <c r="P5199" t="str">
        <f>_xlfn.XLOOKUP(Pipeline_tbl[[#This Row],[Rep_ID]],Dim_Reps!A:A,Dim_Reps!C:C)</f>
        <v>Mid-Market AE</v>
      </c>
      <c r="Q5199" t="str">
        <f>_xlfn.XLOOKUP(Pipeline_tbl[[#This Row],[Rep_ID]],Dim_Reps!A:A,Dim_Reps!D:D)</f>
        <v>Mid-Market</v>
      </c>
      <c r="R5199" t="str">
        <f>_xlfn.XLOOKUP(Pipeline_tbl[[#This Row],[Rep_ID]],Dim_Reps!A:A,Dim_Reps!E:E)</f>
        <v>APAC</v>
      </c>
      <c r="S5199" t="str">
        <f>_xlfn.XLOOKUP(Pipeline_tbl[[#This Row],[Created_Date]],Dim_Date!A:A,Dim_Date!H:H)</f>
        <v>Dec 2025</v>
      </c>
      <c r="T5199" t="str">
        <f>IF(Pipeline_tbl[[#This Row],[Closed_Date]]=0,"",(_xlfn.XLOOKUP(Pipeline_tbl[[#This Row],[Closed_Date]],Dim_Date!A:A,Dim_Date!H:H)))</f>
        <v/>
      </c>
      <c r="U5199" t="str">
        <f>IF(Pipeline_tbl[[#This Row],[Closed_Date]]=0,"",Pipeline_tbl[[#This Row],[Closed_Date]]-Pipeline_tbl[[#This Row],[Created_Date]])</f>
        <v/>
      </c>
    </row>
    <row r="5200" spans="1:21" ht="15" customHeight="1" x14ac:dyDescent="0.2">
      <c r="A5200" t="s">
        <v>5506</v>
      </c>
      <c r="B5200" t="s">
        <v>249</v>
      </c>
      <c r="C5200" t="s">
        <v>52</v>
      </c>
      <c r="D5200" s="49">
        <v>46015</v>
      </c>
      <c r="E5200" s="49">
        <v>46018</v>
      </c>
      <c r="J5200" t="s">
        <v>308</v>
      </c>
      <c r="K5200" s="33">
        <v>11100</v>
      </c>
      <c r="M5200" t="str">
        <f>_xlfn.XLOOKUP(Pipeline_tbl[[#This Row],[Rep_ID]],Dim_Reps!A:A,Dim_Reps!K:K)</f>
        <v>EUR</v>
      </c>
      <c r="N5200" s="33">
        <f>(_xlfn.XLOOKUP(Pipeline_tbl[[#This Row],[Rate_Code_Generalized]],Lookups!A:A,Lookups!B:B))*Pipeline_tbl[[#This Row],[Pipeline_Amount_USD]]</f>
        <v>11100</v>
      </c>
      <c r="O5200" t="str">
        <f>_xlfn.XLOOKUP(Pipeline_tbl[[#This Row],[Rep_ID]],Dim_Reps!A:A,Dim_Reps!B:B)</f>
        <v>Ana Sato</v>
      </c>
      <c r="P5200" t="str">
        <f>_xlfn.XLOOKUP(Pipeline_tbl[[#This Row],[Rep_ID]],Dim_Reps!A:A,Dim_Reps!C:C)</f>
        <v>Mid-Market AE</v>
      </c>
      <c r="Q5200" t="str">
        <f>_xlfn.XLOOKUP(Pipeline_tbl[[#This Row],[Rep_ID]],Dim_Reps!A:A,Dim_Reps!D:D)</f>
        <v>Mid-Market</v>
      </c>
      <c r="R5200" t="str">
        <f>_xlfn.XLOOKUP(Pipeline_tbl[[#This Row],[Rep_ID]],Dim_Reps!A:A,Dim_Reps!E:E)</f>
        <v>APAC</v>
      </c>
      <c r="S5200" t="str">
        <f>_xlfn.XLOOKUP(Pipeline_tbl[[#This Row],[Created_Date]],Dim_Date!A:A,Dim_Date!H:H)</f>
        <v>Dec 2025</v>
      </c>
      <c r="T5200" t="str">
        <f>IF(Pipeline_tbl[[#This Row],[Closed_Date]]=0,"",(_xlfn.XLOOKUP(Pipeline_tbl[[#This Row],[Closed_Date]],Dim_Date!A:A,Dim_Date!H:H)))</f>
        <v/>
      </c>
      <c r="U5200" t="str">
        <f>IF(Pipeline_tbl[[#This Row],[Closed_Date]]=0,"",Pipeline_tbl[[#This Row],[Closed_Date]]-Pipeline_tbl[[#This Row],[Created_Date]])</f>
        <v/>
      </c>
    </row>
    <row r="5201" spans="1:21" ht="15" customHeight="1" x14ac:dyDescent="0.2">
      <c r="A5201" t="s">
        <v>5507</v>
      </c>
      <c r="B5201" t="s">
        <v>249</v>
      </c>
      <c r="C5201" t="s">
        <v>55</v>
      </c>
      <c r="D5201" s="49">
        <v>46016</v>
      </c>
      <c r="E5201" s="49">
        <v>46020</v>
      </c>
      <c r="J5201" t="s">
        <v>308</v>
      </c>
      <c r="K5201" s="33">
        <v>13300</v>
      </c>
      <c r="M5201" t="str">
        <f>_xlfn.XLOOKUP(Pipeline_tbl[[#This Row],[Rep_ID]],Dim_Reps!A:A,Dim_Reps!K:K)</f>
        <v>EUR</v>
      </c>
      <c r="N5201" s="33">
        <f>(_xlfn.XLOOKUP(Pipeline_tbl[[#This Row],[Rate_Code_Generalized]],Lookups!A:A,Lookups!B:B))*Pipeline_tbl[[#This Row],[Pipeline_Amount_USD]]</f>
        <v>13300</v>
      </c>
      <c r="O5201" t="str">
        <f>_xlfn.XLOOKUP(Pipeline_tbl[[#This Row],[Rep_ID]],Dim_Reps!A:A,Dim_Reps!B:B)</f>
        <v>Ana Sato</v>
      </c>
      <c r="P5201" t="str">
        <f>_xlfn.XLOOKUP(Pipeline_tbl[[#This Row],[Rep_ID]],Dim_Reps!A:A,Dim_Reps!C:C)</f>
        <v>Mid-Market AE</v>
      </c>
      <c r="Q5201" t="str">
        <f>_xlfn.XLOOKUP(Pipeline_tbl[[#This Row],[Rep_ID]],Dim_Reps!A:A,Dim_Reps!D:D)</f>
        <v>Mid-Market</v>
      </c>
      <c r="R5201" t="str">
        <f>_xlfn.XLOOKUP(Pipeline_tbl[[#This Row],[Rep_ID]],Dim_Reps!A:A,Dim_Reps!E:E)</f>
        <v>APAC</v>
      </c>
      <c r="S5201" t="str">
        <f>_xlfn.XLOOKUP(Pipeline_tbl[[#This Row],[Created_Date]],Dim_Date!A:A,Dim_Date!H:H)</f>
        <v>Dec 2025</v>
      </c>
      <c r="T5201" t="str">
        <f>IF(Pipeline_tbl[[#This Row],[Closed_Date]]=0,"",(_xlfn.XLOOKUP(Pipeline_tbl[[#This Row],[Closed_Date]],Dim_Date!A:A,Dim_Date!H:H)))</f>
        <v/>
      </c>
      <c r="U5201" t="str">
        <f>IF(Pipeline_tbl[[#This Row],[Closed_Date]]=0,"",Pipeline_tbl[[#This Row],[Closed_Date]]-Pipeline_tbl[[#This Row],[Created_Date]])</f>
        <v/>
      </c>
    </row>
    <row r="5202" spans="1:21" ht="15" customHeight="1" x14ac:dyDescent="0.2">
      <c r="A5202" t="s">
        <v>5508</v>
      </c>
      <c r="B5202" t="s">
        <v>249</v>
      </c>
      <c r="C5202" t="s">
        <v>52</v>
      </c>
      <c r="D5202" s="49">
        <v>46002</v>
      </c>
      <c r="E5202" s="49">
        <v>46006</v>
      </c>
      <c r="F5202" s="49">
        <v>46015</v>
      </c>
      <c r="J5202" t="s">
        <v>308</v>
      </c>
      <c r="K5202" s="33">
        <v>7200</v>
      </c>
      <c r="M5202" t="str">
        <f>_xlfn.XLOOKUP(Pipeline_tbl[[#This Row],[Rep_ID]],Dim_Reps!A:A,Dim_Reps!K:K)</f>
        <v>EUR</v>
      </c>
      <c r="N5202" s="33">
        <f>(_xlfn.XLOOKUP(Pipeline_tbl[[#This Row],[Rate_Code_Generalized]],Lookups!A:A,Lookups!B:B))*Pipeline_tbl[[#This Row],[Pipeline_Amount_USD]]</f>
        <v>7200</v>
      </c>
      <c r="O5202" t="str">
        <f>_xlfn.XLOOKUP(Pipeline_tbl[[#This Row],[Rep_ID]],Dim_Reps!A:A,Dim_Reps!B:B)</f>
        <v>Ana Sato</v>
      </c>
      <c r="P5202" t="str">
        <f>_xlfn.XLOOKUP(Pipeline_tbl[[#This Row],[Rep_ID]],Dim_Reps!A:A,Dim_Reps!C:C)</f>
        <v>Mid-Market AE</v>
      </c>
      <c r="Q5202" t="str">
        <f>_xlfn.XLOOKUP(Pipeline_tbl[[#This Row],[Rep_ID]],Dim_Reps!A:A,Dim_Reps!D:D)</f>
        <v>Mid-Market</v>
      </c>
      <c r="R5202" t="str">
        <f>_xlfn.XLOOKUP(Pipeline_tbl[[#This Row],[Rep_ID]],Dim_Reps!A:A,Dim_Reps!E:E)</f>
        <v>APAC</v>
      </c>
      <c r="S5202" t="str">
        <f>_xlfn.XLOOKUP(Pipeline_tbl[[#This Row],[Created_Date]],Dim_Date!A:A,Dim_Date!H:H)</f>
        <v>Dec 2025</v>
      </c>
      <c r="T5202" t="str">
        <f>IF(Pipeline_tbl[[#This Row],[Closed_Date]]=0,"",(_xlfn.XLOOKUP(Pipeline_tbl[[#This Row],[Closed_Date]],Dim_Date!A:A,Dim_Date!H:H)))</f>
        <v/>
      </c>
      <c r="U5202" t="str">
        <f>IF(Pipeline_tbl[[#This Row],[Closed_Date]]=0,"",Pipeline_tbl[[#This Row],[Closed_Date]]-Pipeline_tbl[[#This Row],[Created_Date]])</f>
        <v/>
      </c>
    </row>
    <row r="5203" spans="1:21" ht="15" customHeight="1" x14ac:dyDescent="0.2">
      <c r="A5203" t="s">
        <v>5509</v>
      </c>
      <c r="B5203" t="s">
        <v>249</v>
      </c>
      <c r="C5203" t="s">
        <v>52</v>
      </c>
      <c r="D5203" s="49">
        <v>45996</v>
      </c>
      <c r="E5203" s="49">
        <v>46002</v>
      </c>
      <c r="F5203" s="49">
        <v>46013</v>
      </c>
      <c r="J5203" t="s">
        <v>308</v>
      </c>
      <c r="K5203" s="33">
        <v>8200</v>
      </c>
      <c r="M5203" t="str">
        <f>_xlfn.XLOOKUP(Pipeline_tbl[[#This Row],[Rep_ID]],Dim_Reps!A:A,Dim_Reps!K:K)</f>
        <v>EUR</v>
      </c>
      <c r="N5203" s="33">
        <f>(_xlfn.XLOOKUP(Pipeline_tbl[[#This Row],[Rate_Code_Generalized]],Lookups!A:A,Lookups!B:B))*Pipeline_tbl[[#This Row],[Pipeline_Amount_USD]]</f>
        <v>8200</v>
      </c>
      <c r="O5203" t="str">
        <f>_xlfn.XLOOKUP(Pipeline_tbl[[#This Row],[Rep_ID]],Dim_Reps!A:A,Dim_Reps!B:B)</f>
        <v>Ana Sato</v>
      </c>
      <c r="P5203" t="str">
        <f>_xlfn.XLOOKUP(Pipeline_tbl[[#This Row],[Rep_ID]],Dim_Reps!A:A,Dim_Reps!C:C)</f>
        <v>Mid-Market AE</v>
      </c>
      <c r="Q5203" t="str">
        <f>_xlfn.XLOOKUP(Pipeline_tbl[[#This Row],[Rep_ID]],Dim_Reps!A:A,Dim_Reps!D:D)</f>
        <v>Mid-Market</v>
      </c>
      <c r="R5203" t="str">
        <f>_xlfn.XLOOKUP(Pipeline_tbl[[#This Row],[Rep_ID]],Dim_Reps!A:A,Dim_Reps!E:E)</f>
        <v>APAC</v>
      </c>
      <c r="S5203" t="str">
        <f>_xlfn.XLOOKUP(Pipeline_tbl[[#This Row],[Created_Date]],Dim_Date!A:A,Dim_Date!H:H)</f>
        <v>Dec 2025</v>
      </c>
      <c r="T5203" t="str">
        <f>IF(Pipeline_tbl[[#This Row],[Closed_Date]]=0,"",(_xlfn.XLOOKUP(Pipeline_tbl[[#This Row],[Closed_Date]],Dim_Date!A:A,Dim_Date!H:H)))</f>
        <v/>
      </c>
      <c r="U5203" t="str">
        <f>IF(Pipeline_tbl[[#This Row],[Closed_Date]]=0,"",Pipeline_tbl[[#This Row],[Closed_Date]]-Pipeline_tbl[[#This Row],[Created_Date]])</f>
        <v/>
      </c>
    </row>
    <row r="5204" spans="1:21" ht="15" customHeight="1" x14ac:dyDescent="0.2">
      <c r="A5204" t="s">
        <v>5510</v>
      </c>
      <c r="B5204" t="s">
        <v>213</v>
      </c>
      <c r="C5204" t="s">
        <v>52</v>
      </c>
      <c r="D5204" s="49">
        <v>46006</v>
      </c>
      <c r="E5204" s="49">
        <v>46008</v>
      </c>
      <c r="F5204" s="49">
        <v>46014</v>
      </c>
      <c r="G5204" s="49">
        <v>46021</v>
      </c>
      <c r="J5204" t="s">
        <v>308</v>
      </c>
      <c r="K5204" s="33">
        <v>3800</v>
      </c>
      <c r="M5204" t="str">
        <f>_xlfn.XLOOKUP(Pipeline_tbl[[#This Row],[Rep_ID]],Dim_Reps!A:A,Dim_Reps!K:K)</f>
        <v>EUR</v>
      </c>
      <c r="N5204" s="33">
        <f>(_xlfn.XLOOKUP(Pipeline_tbl[[#This Row],[Rate_Code_Generalized]],Lookups!A:A,Lookups!B:B))*Pipeline_tbl[[#This Row],[Pipeline_Amount_USD]]</f>
        <v>3800</v>
      </c>
      <c r="O5204" t="str">
        <f>_xlfn.XLOOKUP(Pipeline_tbl[[#This Row],[Rep_ID]],Dim_Reps!A:A,Dim_Reps!B:B)</f>
        <v>Jamie Silva</v>
      </c>
      <c r="P5204" t="str">
        <f>_xlfn.XLOOKUP(Pipeline_tbl[[#This Row],[Rep_ID]],Dim_Reps!A:A,Dim_Reps!C:C)</f>
        <v>SDR / Inside Sales Rep</v>
      </c>
      <c r="Q5204" t="str">
        <f>_xlfn.XLOOKUP(Pipeline_tbl[[#This Row],[Rep_ID]],Dim_Reps!A:A,Dim_Reps!D:D)</f>
        <v>Inside Sales</v>
      </c>
      <c r="R5204" t="str">
        <f>_xlfn.XLOOKUP(Pipeline_tbl[[#This Row],[Rep_ID]],Dim_Reps!A:A,Dim_Reps!E:E)</f>
        <v>EMEA</v>
      </c>
      <c r="S5204" t="str">
        <f>_xlfn.XLOOKUP(Pipeline_tbl[[#This Row],[Created_Date]],Dim_Date!A:A,Dim_Date!H:H)</f>
        <v>Dec 2025</v>
      </c>
      <c r="T5204" t="str">
        <f>IF(Pipeline_tbl[[#This Row],[Closed_Date]]=0,"",(_xlfn.XLOOKUP(Pipeline_tbl[[#This Row],[Closed_Date]],Dim_Date!A:A,Dim_Date!H:H)))</f>
        <v/>
      </c>
      <c r="U5204" t="str">
        <f>IF(Pipeline_tbl[[#This Row],[Closed_Date]]=0,"",Pipeline_tbl[[#This Row],[Closed_Date]]-Pipeline_tbl[[#This Row],[Created_Date]])</f>
        <v/>
      </c>
    </row>
    <row r="5205" spans="1:21" ht="15" customHeight="1" x14ac:dyDescent="0.2">
      <c r="A5205" t="s">
        <v>5511</v>
      </c>
      <c r="B5205" t="s">
        <v>213</v>
      </c>
      <c r="C5205" t="s">
        <v>53</v>
      </c>
      <c r="D5205" s="49">
        <v>46016</v>
      </c>
      <c r="E5205" s="49">
        <v>46018</v>
      </c>
      <c r="F5205" s="49">
        <v>46022</v>
      </c>
      <c r="J5205" t="s">
        <v>308</v>
      </c>
      <c r="K5205" s="33">
        <v>5400</v>
      </c>
      <c r="M5205" t="str">
        <f>_xlfn.XLOOKUP(Pipeline_tbl[[#This Row],[Rep_ID]],Dim_Reps!A:A,Dim_Reps!K:K)</f>
        <v>EUR</v>
      </c>
      <c r="N5205" s="33">
        <f>(_xlfn.XLOOKUP(Pipeline_tbl[[#This Row],[Rate_Code_Generalized]],Lookups!A:A,Lookups!B:B))*Pipeline_tbl[[#This Row],[Pipeline_Amount_USD]]</f>
        <v>5400</v>
      </c>
      <c r="O5205" t="str">
        <f>_xlfn.XLOOKUP(Pipeline_tbl[[#This Row],[Rep_ID]],Dim_Reps!A:A,Dim_Reps!B:B)</f>
        <v>Jamie Silva</v>
      </c>
      <c r="P5205" t="str">
        <f>_xlfn.XLOOKUP(Pipeline_tbl[[#This Row],[Rep_ID]],Dim_Reps!A:A,Dim_Reps!C:C)</f>
        <v>SDR / Inside Sales Rep</v>
      </c>
      <c r="Q5205" t="str">
        <f>_xlfn.XLOOKUP(Pipeline_tbl[[#This Row],[Rep_ID]],Dim_Reps!A:A,Dim_Reps!D:D)</f>
        <v>Inside Sales</v>
      </c>
      <c r="R5205" t="str">
        <f>_xlfn.XLOOKUP(Pipeline_tbl[[#This Row],[Rep_ID]],Dim_Reps!A:A,Dim_Reps!E:E)</f>
        <v>EMEA</v>
      </c>
      <c r="S5205" t="str">
        <f>_xlfn.XLOOKUP(Pipeline_tbl[[#This Row],[Created_Date]],Dim_Date!A:A,Dim_Date!H:H)</f>
        <v>Dec 2025</v>
      </c>
      <c r="T5205" t="str">
        <f>IF(Pipeline_tbl[[#This Row],[Closed_Date]]=0,"",(_xlfn.XLOOKUP(Pipeline_tbl[[#This Row],[Closed_Date]],Dim_Date!A:A,Dim_Date!H:H)))</f>
        <v/>
      </c>
      <c r="U5205" t="str">
        <f>IF(Pipeline_tbl[[#This Row],[Closed_Date]]=0,"",Pipeline_tbl[[#This Row],[Closed_Date]]-Pipeline_tbl[[#This Row],[Created_Date]])</f>
        <v/>
      </c>
    </row>
    <row r="5206" spans="1:21" ht="15" customHeight="1" x14ac:dyDescent="0.2">
      <c r="A5206" t="s">
        <v>5512</v>
      </c>
      <c r="B5206" t="s">
        <v>213</v>
      </c>
      <c r="C5206" t="s">
        <v>53</v>
      </c>
      <c r="D5206" s="49">
        <v>46008</v>
      </c>
      <c r="E5206" s="49">
        <v>46010</v>
      </c>
      <c r="F5206" s="49">
        <v>46016</v>
      </c>
      <c r="J5206" t="s">
        <v>308</v>
      </c>
      <c r="K5206" s="33">
        <v>5600</v>
      </c>
      <c r="M5206" t="str">
        <f>_xlfn.XLOOKUP(Pipeline_tbl[[#This Row],[Rep_ID]],Dim_Reps!A:A,Dim_Reps!K:K)</f>
        <v>EUR</v>
      </c>
      <c r="N5206" s="33">
        <f>(_xlfn.XLOOKUP(Pipeline_tbl[[#This Row],[Rate_Code_Generalized]],Lookups!A:A,Lookups!B:B))*Pipeline_tbl[[#This Row],[Pipeline_Amount_USD]]</f>
        <v>5600</v>
      </c>
      <c r="O5206" t="str">
        <f>_xlfn.XLOOKUP(Pipeline_tbl[[#This Row],[Rep_ID]],Dim_Reps!A:A,Dim_Reps!B:B)</f>
        <v>Jamie Silva</v>
      </c>
      <c r="P5206" t="str">
        <f>_xlfn.XLOOKUP(Pipeline_tbl[[#This Row],[Rep_ID]],Dim_Reps!A:A,Dim_Reps!C:C)</f>
        <v>SDR / Inside Sales Rep</v>
      </c>
      <c r="Q5206" t="str">
        <f>_xlfn.XLOOKUP(Pipeline_tbl[[#This Row],[Rep_ID]],Dim_Reps!A:A,Dim_Reps!D:D)</f>
        <v>Inside Sales</v>
      </c>
      <c r="R5206" t="str">
        <f>_xlfn.XLOOKUP(Pipeline_tbl[[#This Row],[Rep_ID]],Dim_Reps!A:A,Dim_Reps!E:E)</f>
        <v>EMEA</v>
      </c>
      <c r="S5206" t="str">
        <f>_xlfn.XLOOKUP(Pipeline_tbl[[#This Row],[Created_Date]],Dim_Date!A:A,Dim_Date!H:H)</f>
        <v>Dec 2025</v>
      </c>
      <c r="T5206" t="str">
        <f>IF(Pipeline_tbl[[#This Row],[Closed_Date]]=0,"",(_xlfn.XLOOKUP(Pipeline_tbl[[#This Row],[Closed_Date]],Dim_Date!A:A,Dim_Date!H:H)))</f>
        <v/>
      </c>
      <c r="U5206" t="str">
        <f>IF(Pipeline_tbl[[#This Row],[Closed_Date]]=0,"",Pipeline_tbl[[#This Row],[Closed_Date]]-Pipeline_tbl[[#This Row],[Created_Date]])</f>
        <v/>
      </c>
    </row>
    <row r="5207" spans="1:21" ht="15" customHeight="1" x14ac:dyDescent="0.2">
      <c r="A5207" t="s">
        <v>5513</v>
      </c>
      <c r="B5207" t="s">
        <v>213</v>
      </c>
      <c r="C5207" t="s">
        <v>53</v>
      </c>
      <c r="D5207" s="49">
        <v>46003</v>
      </c>
      <c r="E5207" s="49">
        <v>46005</v>
      </c>
      <c r="F5207" s="49">
        <v>46010</v>
      </c>
      <c r="G5207" s="49">
        <v>46017</v>
      </c>
      <c r="J5207" t="s">
        <v>308</v>
      </c>
      <c r="K5207" s="33">
        <v>3600</v>
      </c>
      <c r="M5207" t="str">
        <f>_xlfn.XLOOKUP(Pipeline_tbl[[#This Row],[Rep_ID]],Dim_Reps!A:A,Dim_Reps!K:K)</f>
        <v>EUR</v>
      </c>
      <c r="N5207" s="33">
        <f>(_xlfn.XLOOKUP(Pipeline_tbl[[#This Row],[Rate_Code_Generalized]],Lookups!A:A,Lookups!B:B))*Pipeline_tbl[[#This Row],[Pipeline_Amount_USD]]</f>
        <v>3600</v>
      </c>
      <c r="O5207" t="str">
        <f>_xlfn.XLOOKUP(Pipeline_tbl[[#This Row],[Rep_ID]],Dim_Reps!A:A,Dim_Reps!B:B)</f>
        <v>Jamie Silva</v>
      </c>
      <c r="P5207" t="str">
        <f>_xlfn.XLOOKUP(Pipeline_tbl[[#This Row],[Rep_ID]],Dim_Reps!A:A,Dim_Reps!C:C)</f>
        <v>SDR / Inside Sales Rep</v>
      </c>
      <c r="Q5207" t="str">
        <f>_xlfn.XLOOKUP(Pipeline_tbl[[#This Row],[Rep_ID]],Dim_Reps!A:A,Dim_Reps!D:D)</f>
        <v>Inside Sales</v>
      </c>
      <c r="R5207" t="str">
        <f>_xlfn.XLOOKUP(Pipeline_tbl[[#This Row],[Rep_ID]],Dim_Reps!A:A,Dim_Reps!E:E)</f>
        <v>EMEA</v>
      </c>
      <c r="S5207" t="str">
        <f>_xlfn.XLOOKUP(Pipeline_tbl[[#This Row],[Created_Date]],Dim_Date!A:A,Dim_Date!H:H)</f>
        <v>Dec 2025</v>
      </c>
      <c r="T5207" t="str">
        <f>IF(Pipeline_tbl[[#This Row],[Closed_Date]]=0,"",(_xlfn.XLOOKUP(Pipeline_tbl[[#This Row],[Closed_Date]],Dim_Date!A:A,Dim_Date!H:H)))</f>
        <v/>
      </c>
      <c r="U5207" t="str">
        <f>IF(Pipeline_tbl[[#This Row],[Closed_Date]]=0,"",Pipeline_tbl[[#This Row],[Closed_Date]]-Pipeline_tbl[[#This Row],[Created_Date]])</f>
        <v/>
      </c>
    </row>
    <row r="5208" spans="1:21" ht="15" customHeight="1" x14ac:dyDescent="0.2">
      <c r="A5208" t="s">
        <v>5514</v>
      </c>
      <c r="B5208" t="s">
        <v>213</v>
      </c>
      <c r="C5208" t="s">
        <v>52</v>
      </c>
      <c r="D5208" s="49">
        <v>46002</v>
      </c>
      <c r="E5208" s="49">
        <v>46005</v>
      </c>
      <c r="F5208" s="49">
        <v>46010</v>
      </c>
      <c r="G5208" s="49">
        <v>46018</v>
      </c>
      <c r="J5208" t="s">
        <v>308</v>
      </c>
      <c r="K5208" s="33">
        <v>4200</v>
      </c>
      <c r="M5208" t="str">
        <f>_xlfn.XLOOKUP(Pipeline_tbl[[#This Row],[Rep_ID]],Dim_Reps!A:A,Dim_Reps!K:K)</f>
        <v>EUR</v>
      </c>
      <c r="N5208" s="33">
        <f>(_xlfn.XLOOKUP(Pipeline_tbl[[#This Row],[Rate_Code_Generalized]],Lookups!A:A,Lookups!B:B))*Pipeline_tbl[[#This Row],[Pipeline_Amount_USD]]</f>
        <v>4200</v>
      </c>
      <c r="O5208" t="str">
        <f>_xlfn.XLOOKUP(Pipeline_tbl[[#This Row],[Rep_ID]],Dim_Reps!A:A,Dim_Reps!B:B)</f>
        <v>Jamie Silva</v>
      </c>
      <c r="P5208" t="str">
        <f>_xlfn.XLOOKUP(Pipeline_tbl[[#This Row],[Rep_ID]],Dim_Reps!A:A,Dim_Reps!C:C)</f>
        <v>SDR / Inside Sales Rep</v>
      </c>
      <c r="Q5208" t="str">
        <f>_xlfn.XLOOKUP(Pipeline_tbl[[#This Row],[Rep_ID]],Dim_Reps!A:A,Dim_Reps!D:D)</f>
        <v>Inside Sales</v>
      </c>
      <c r="R5208" t="str">
        <f>_xlfn.XLOOKUP(Pipeline_tbl[[#This Row],[Rep_ID]],Dim_Reps!A:A,Dim_Reps!E:E)</f>
        <v>EMEA</v>
      </c>
      <c r="S5208" t="str">
        <f>_xlfn.XLOOKUP(Pipeline_tbl[[#This Row],[Created_Date]],Dim_Date!A:A,Dim_Date!H:H)</f>
        <v>Dec 2025</v>
      </c>
      <c r="T5208" t="str">
        <f>IF(Pipeline_tbl[[#This Row],[Closed_Date]]=0,"",(_xlfn.XLOOKUP(Pipeline_tbl[[#This Row],[Closed_Date]],Dim_Date!A:A,Dim_Date!H:H)))</f>
        <v/>
      </c>
      <c r="U5208" t="str">
        <f>IF(Pipeline_tbl[[#This Row],[Closed_Date]]=0,"",Pipeline_tbl[[#This Row],[Closed_Date]]-Pipeline_tbl[[#This Row],[Created_Date]])</f>
        <v/>
      </c>
    </row>
    <row r="5209" spans="1:21" ht="15" customHeight="1" x14ac:dyDescent="0.2">
      <c r="A5209" t="s">
        <v>5515</v>
      </c>
      <c r="B5209" t="s">
        <v>213</v>
      </c>
      <c r="C5209" t="s">
        <v>55</v>
      </c>
      <c r="D5209" s="49">
        <v>46012</v>
      </c>
      <c r="E5209" s="49">
        <v>46014</v>
      </c>
      <c r="F5209" s="49">
        <v>46019</v>
      </c>
      <c r="J5209" t="s">
        <v>308</v>
      </c>
      <c r="K5209" s="33">
        <v>4000</v>
      </c>
      <c r="M5209" t="str">
        <f>_xlfn.XLOOKUP(Pipeline_tbl[[#This Row],[Rep_ID]],Dim_Reps!A:A,Dim_Reps!K:K)</f>
        <v>EUR</v>
      </c>
      <c r="N5209" s="33">
        <f>(_xlfn.XLOOKUP(Pipeline_tbl[[#This Row],[Rate_Code_Generalized]],Lookups!A:A,Lookups!B:B))*Pipeline_tbl[[#This Row],[Pipeline_Amount_USD]]</f>
        <v>4000</v>
      </c>
      <c r="O5209" t="str">
        <f>_xlfn.XLOOKUP(Pipeline_tbl[[#This Row],[Rep_ID]],Dim_Reps!A:A,Dim_Reps!B:B)</f>
        <v>Jamie Silva</v>
      </c>
      <c r="P5209" t="str">
        <f>_xlfn.XLOOKUP(Pipeline_tbl[[#This Row],[Rep_ID]],Dim_Reps!A:A,Dim_Reps!C:C)</f>
        <v>SDR / Inside Sales Rep</v>
      </c>
      <c r="Q5209" t="str">
        <f>_xlfn.XLOOKUP(Pipeline_tbl[[#This Row],[Rep_ID]],Dim_Reps!A:A,Dim_Reps!D:D)</f>
        <v>Inside Sales</v>
      </c>
      <c r="R5209" t="str">
        <f>_xlfn.XLOOKUP(Pipeline_tbl[[#This Row],[Rep_ID]],Dim_Reps!A:A,Dim_Reps!E:E)</f>
        <v>EMEA</v>
      </c>
      <c r="S5209" t="str">
        <f>_xlfn.XLOOKUP(Pipeline_tbl[[#This Row],[Created_Date]],Dim_Date!A:A,Dim_Date!H:H)</f>
        <v>Dec 2025</v>
      </c>
      <c r="T5209" t="str">
        <f>IF(Pipeline_tbl[[#This Row],[Closed_Date]]=0,"",(_xlfn.XLOOKUP(Pipeline_tbl[[#This Row],[Closed_Date]],Dim_Date!A:A,Dim_Date!H:H)))</f>
        <v/>
      </c>
      <c r="U5209" t="str">
        <f>IF(Pipeline_tbl[[#This Row],[Closed_Date]]=0,"",Pipeline_tbl[[#This Row],[Closed_Date]]-Pipeline_tbl[[#This Row],[Created_Date]])</f>
        <v/>
      </c>
    </row>
    <row r="5210" spans="1:21" ht="15" customHeight="1" x14ac:dyDescent="0.2">
      <c r="A5210" t="s">
        <v>5516</v>
      </c>
      <c r="B5210" t="s">
        <v>213</v>
      </c>
      <c r="C5210" t="s">
        <v>53</v>
      </c>
      <c r="D5210" s="49">
        <v>46022</v>
      </c>
      <c r="J5210" t="s">
        <v>308</v>
      </c>
      <c r="K5210" s="33">
        <v>11400</v>
      </c>
      <c r="M5210" t="str">
        <f>_xlfn.XLOOKUP(Pipeline_tbl[[#This Row],[Rep_ID]],Dim_Reps!A:A,Dim_Reps!K:K)</f>
        <v>EUR</v>
      </c>
      <c r="N5210" s="33">
        <f>(_xlfn.XLOOKUP(Pipeline_tbl[[#This Row],[Rate_Code_Generalized]],Lookups!A:A,Lookups!B:B))*Pipeline_tbl[[#This Row],[Pipeline_Amount_USD]]</f>
        <v>11400</v>
      </c>
      <c r="O5210" t="str">
        <f>_xlfn.XLOOKUP(Pipeline_tbl[[#This Row],[Rep_ID]],Dim_Reps!A:A,Dim_Reps!B:B)</f>
        <v>Jamie Silva</v>
      </c>
      <c r="P5210" t="str">
        <f>_xlfn.XLOOKUP(Pipeline_tbl[[#This Row],[Rep_ID]],Dim_Reps!A:A,Dim_Reps!C:C)</f>
        <v>SDR / Inside Sales Rep</v>
      </c>
      <c r="Q5210" t="str">
        <f>_xlfn.XLOOKUP(Pipeline_tbl[[#This Row],[Rep_ID]],Dim_Reps!A:A,Dim_Reps!D:D)</f>
        <v>Inside Sales</v>
      </c>
      <c r="R5210" t="str">
        <f>_xlfn.XLOOKUP(Pipeline_tbl[[#This Row],[Rep_ID]],Dim_Reps!A:A,Dim_Reps!E:E)</f>
        <v>EMEA</v>
      </c>
      <c r="S5210" t="str">
        <f>_xlfn.XLOOKUP(Pipeline_tbl[[#This Row],[Created_Date]],Dim_Date!A:A,Dim_Date!H:H)</f>
        <v>Dec 2025</v>
      </c>
      <c r="T5210" t="str">
        <f>IF(Pipeline_tbl[[#This Row],[Closed_Date]]=0,"",(_xlfn.XLOOKUP(Pipeline_tbl[[#This Row],[Closed_Date]],Dim_Date!A:A,Dim_Date!H:H)))</f>
        <v/>
      </c>
      <c r="U5210" t="str">
        <f>IF(Pipeline_tbl[[#This Row],[Closed_Date]]=0,"",Pipeline_tbl[[#This Row],[Closed_Date]]-Pipeline_tbl[[#This Row],[Created_Date]])</f>
        <v/>
      </c>
    </row>
    <row r="5211" spans="1:21" ht="15" customHeight="1" x14ac:dyDescent="0.2">
      <c r="A5211" t="s">
        <v>5517</v>
      </c>
      <c r="B5211" t="s">
        <v>213</v>
      </c>
      <c r="C5211" t="s">
        <v>52</v>
      </c>
      <c r="D5211" s="49">
        <v>46015</v>
      </c>
      <c r="E5211" s="49">
        <v>46017</v>
      </c>
      <c r="F5211" s="49">
        <v>46022</v>
      </c>
      <c r="J5211" t="s">
        <v>308</v>
      </c>
      <c r="K5211" s="33">
        <v>3600</v>
      </c>
      <c r="M5211" t="str">
        <f>_xlfn.XLOOKUP(Pipeline_tbl[[#This Row],[Rep_ID]],Dim_Reps!A:A,Dim_Reps!K:K)</f>
        <v>EUR</v>
      </c>
      <c r="N5211" s="33">
        <f>(_xlfn.XLOOKUP(Pipeline_tbl[[#This Row],[Rate_Code_Generalized]],Lookups!A:A,Lookups!B:B))*Pipeline_tbl[[#This Row],[Pipeline_Amount_USD]]</f>
        <v>3600</v>
      </c>
      <c r="O5211" t="str">
        <f>_xlfn.XLOOKUP(Pipeline_tbl[[#This Row],[Rep_ID]],Dim_Reps!A:A,Dim_Reps!B:B)</f>
        <v>Jamie Silva</v>
      </c>
      <c r="P5211" t="str">
        <f>_xlfn.XLOOKUP(Pipeline_tbl[[#This Row],[Rep_ID]],Dim_Reps!A:A,Dim_Reps!C:C)</f>
        <v>SDR / Inside Sales Rep</v>
      </c>
      <c r="Q5211" t="str">
        <f>_xlfn.XLOOKUP(Pipeline_tbl[[#This Row],[Rep_ID]],Dim_Reps!A:A,Dim_Reps!D:D)</f>
        <v>Inside Sales</v>
      </c>
      <c r="R5211" t="str">
        <f>_xlfn.XLOOKUP(Pipeline_tbl[[#This Row],[Rep_ID]],Dim_Reps!A:A,Dim_Reps!E:E)</f>
        <v>EMEA</v>
      </c>
      <c r="S5211" t="str">
        <f>_xlfn.XLOOKUP(Pipeline_tbl[[#This Row],[Created_Date]],Dim_Date!A:A,Dim_Date!H:H)</f>
        <v>Dec 2025</v>
      </c>
      <c r="T5211" t="str">
        <f>IF(Pipeline_tbl[[#This Row],[Closed_Date]]=0,"",(_xlfn.XLOOKUP(Pipeline_tbl[[#This Row],[Closed_Date]],Dim_Date!A:A,Dim_Date!H:H)))</f>
        <v/>
      </c>
      <c r="U5211" t="str">
        <f>IF(Pipeline_tbl[[#This Row],[Closed_Date]]=0,"",Pipeline_tbl[[#This Row],[Closed_Date]]-Pipeline_tbl[[#This Row],[Created_Date]])</f>
        <v/>
      </c>
    </row>
    <row r="5212" spans="1:21" ht="15" customHeight="1" x14ac:dyDescent="0.2">
      <c r="A5212" t="s">
        <v>5518</v>
      </c>
      <c r="B5212" t="s">
        <v>253</v>
      </c>
      <c r="C5212" t="s">
        <v>52</v>
      </c>
      <c r="D5212" s="49">
        <v>46003</v>
      </c>
      <c r="E5212" s="49">
        <v>46006</v>
      </c>
      <c r="F5212" s="49">
        <v>46012</v>
      </c>
      <c r="G5212" s="49">
        <v>46020</v>
      </c>
      <c r="J5212" t="s">
        <v>308</v>
      </c>
      <c r="K5212" s="33">
        <v>12100</v>
      </c>
      <c r="M5212" t="str">
        <f>_xlfn.XLOOKUP(Pipeline_tbl[[#This Row],[Rep_ID]],Dim_Reps!A:A,Dim_Reps!K:K)</f>
        <v>EUR</v>
      </c>
      <c r="N5212" s="33">
        <f>(_xlfn.XLOOKUP(Pipeline_tbl[[#This Row],[Rate_Code_Generalized]],Lookups!A:A,Lookups!B:B))*Pipeline_tbl[[#This Row],[Pipeline_Amount_USD]]</f>
        <v>12100</v>
      </c>
      <c r="O5212" t="str">
        <f>_xlfn.XLOOKUP(Pipeline_tbl[[#This Row],[Rep_ID]],Dim_Reps!A:A,Dim_Reps!B:B)</f>
        <v>Rafael Weber</v>
      </c>
      <c r="P5212" t="str">
        <f>_xlfn.XLOOKUP(Pipeline_tbl[[#This Row],[Rep_ID]],Dim_Reps!A:A,Dim_Reps!C:C)</f>
        <v>Mid-Market AE</v>
      </c>
      <c r="Q5212" t="str">
        <f>_xlfn.XLOOKUP(Pipeline_tbl[[#This Row],[Rep_ID]],Dim_Reps!A:A,Dim_Reps!D:D)</f>
        <v>Mid-Market</v>
      </c>
      <c r="R5212" t="str">
        <f>_xlfn.XLOOKUP(Pipeline_tbl[[#This Row],[Rep_ID]],Dim_Reps!A:A,Dim_Reps!E:E)</f>
        <v>APAC</v>
      </c>
      <c r="S5212" t="str">
        <f>_xlfn.XLOOKUP(Pipeline_tbl[[#This Row],[Created_Date]],Dim_Date!A:A,Dim_Date!H:H)</f>
        <v>Dec 2025</v>
      </c>
      <c r="T5212" t="str">
        <f>IF(Pipeline_tbl[[#This Row],[Closed_Date]]=0,"",(_xlfn.XLOOKUP(Pipeline_tbl[[#This Row],[Closed_Date]],Dim_Date!A:A,Dim_Date!H:H)))</f>
        <v/>
      </c>
      <c r="U5212" t="str">
        <f>IF(Pipeline_tbl[[#This Row],[Closed_Date]]=0,"",Pipeline_tbl[[#This Row],[Closed_Date]]-Pipeline_tbl[[#This Row],[Created_Date]])</f>
        <v/>
      </c>
    </row>
    <row r="5213" spans="1:21" ht="15" customHeight="1" x14ac:dyDescent="0.2">
      <c r="A5213" t="s">
        <v>5519</v>
      </c>
      <c r="B5213" t="s">
        <v>253</v>
      </c>
      <c r="C5213" t="s">
        <v>52</v>
      </c>
      <c r="D5213" s="49">
        <v>46014</v>
      </c>
      <c r="E5213" s="49">
        <v>46017</v>
      </c>
      <c r="J5213" t="s">
        <v>308</v>
      </c>
      <c r="K5213" s="33">
        <v>16800</v>
      </c>
      <c r="M5213" t="str">
        <f>_xlfn.XLOOKUP(Pipeline_tbl[[#This Row],[Rep_ID]],Dim_Reps!A:A,Dim_Reps!K:K)</f>
        <v>EUR</v>
      </c>
      <c r="N5213" s="33">
        <f>(_xlfn.XLOOKUP(Pipeline_tbl[[#This Row],[Rate_Code_Generalized]],Lookups!A:A,Lookups!B:B))*Pipeline_tbl[[#This Row],[Pipeline_Amount_USD]]</f>
        <v>16800</v>
      </c>
      <c r="O5213" t="str">
        <f>_xlfn.XLOOKUP(Pipeline_tbl[[#This Row],[Rep_ID]],Dim_Reps!A:A,Dim_Reps!B:B)</f>
        <v>Rafael Weber</v>
      </c>
      <c r="P5213" t="str">
        <f>_xlfn.XLOOKUP(Pipeline_tbl[[#This Row],[Rep_ID]],Dim_Reps!A:A,Dim_Reps!C:C)</f>
        <v>Mid-Market AE</v>
      </c>
      <c r="Q5213" t="str">
        <f>_xlfn.XLOOKUP(Pipeline_tbl[[#This Row],[Rep_ID]],Dim_Reps!A:A,Dim_Reps!D:D)</f>
        <v>Mid-Market</v>
      </c>
      <c r="R5213" t="str">
        <f>_xlfn.XLOOKUP(Pipeline_tbl[[#This Row],[Rep_ID]],Dim_Reps!A:A,Dim_Reps!E:E)</f>
        <v>APAC</v>
      </c>
      <c r="S5213" t="str">
        <f>_xlfn.XLOOKUP(Pipeline_tbl[[#This Row],[Created_Date]],Dim_Date!A:A,Dim_Date!H:H)</f>
        <v>Dec 2025</v>
      </c>
      <c r="T5213" t="str">
        <f>IF(Pipeline_tbl[[#This Row],[Closed_Date]]=0,"",(_xlfn.XLOOKUP(Pipeline_tbl[[#This Row],[Closed_Date]],Dim_Date!A:A,Dim_Date!H:H)))</f>
        <v/>
      </c>
      <c r="U5213" t="str">
        <f>IF(Pipeline_tbl[[#This Row],[Closed_Date]]=0,"",Pipeline_tbl[[#This Row],[Closed_Date]]-Pipeline_tbl[[#This Row],[Created_Date]])</f>
        <v/>
      </c>
    </row>
    <row r="5214" spans="1:21" ht="15" customHeight="1" x14ac:dyDescent="0.2">
      <c r="A5214" t="s">
        <v>5520</v>
      </c>
      <c r="B5214" t="s">
        <v>253</v>
      </c>
      <c r="C5214" t="s">
        <v>54</v>
      </c>
      <c r="D5214" s="49">
        <v>45994</v>
      </c>
      <c r="E5214" s="49">
        <v>45998</v>
      </c>
      <c r="F5214" s="49">
        <v>46005</v>
      </c>
      <c r="G5214" s="49">
        <v>46017</v>
      </c>
      <c r="J5214" t="s">
        <v>308</v>
      </c>
      <c r="K5214" s="33">
        <v>16500</v>
      </c>
      <c r="M5214" t="str">
        <f>_xlfn.XLOOKUP(Pipeline_tbl[[#This Row],[Rep_ID]],Dim_Reps!A:A,Dim_Reps!K:K)</f>
        <v>EUR</v>
      </c>
      <c r="N5214" s="33">
        <f>(_xlfn.XLOOKUP(Pipeline_tbl[[#This Row],[Rate_Code_Generalized]],Lookups!A:A,Lookups!B:B))*Pipeline_tbl[[#This Row],[Pipeline_Amount_USD]]</f>
        <v>16500</v>
      </c>
      <c r="O5214" t="str">
        <f>_xlfn.XLOOKUP(Pipeline_tbl[[#This Row],[Rep_ID]],Dim_Reps!A:A,Dim_Reps!B:B)</f>
        <v>Rafael Weber</v>
      </c>
      <c r="P5214" t="str">
        <f>_xlfn.XLOOKUP(Pipeline_tbl[[#This Row],[Rep_ID]],Dim_Reps!A:A,Dim_Reps!C:C)</f>
        <v>Mid-Market AE</v>
      </c>
      <c r="Q5214" t="str">
        <f>_xlfn.XLOOKUP(Pipeline_tbl[[#This Row],[Rep_ID]],Dim_Reps!A:A,Dim_Reps!D:D)</f>
        <v>Mid-Market</v>
      </c>
      <c r="R5214" t="str">
        <f>_xlfn.XLOOKUP(Pipeline_tbl[[#This Row],[Rep_ID]],Dim_Reps!A:A,Dim_Reps!E:E)</f>
        <v>APAC</v>
      </c>
      <c r="S5214" t="str">
        <f>_xlfn.XLOOKUP(Pipeline_tbl[[#This Row],[Created_Date]],Dim_Date!A:A,Dim_Date!H:H)</f>
        <v>Dec 2025</v>
      </c>
      <c r="T5214" t="str">
        <f>IF(Pipeline_tbl[[#This Row],[Closed_Date]]=0,"",(_xlfn.XLOOKUP(Pipeline_tbl[[#This Row],[Closed_Date]],Dim_Date!A:A,Dim_Date!H:H)))</f>
        <v/>
      </c>
      <c r="U5214" t="str">
        <f>IF(Pipeline_tbl[[#This Row],[Closed_Date]]=0,"",Pipeline_tbl[[#This Row],[Closed_Date]]-Pipeline_tbl[[#This Row],[Created_Date]])</f>
        <v/>
      </c>
    </row>
    <row r="5215" spans="1:21" ht="15" customHeight="1" x14ac:dyDescent="0.2">
      <c r="A5215" t="s">
        <v>5521</v>
      </c>
      <c r="B5215" t="s">
        <v>253</v>
      </c>
      <c r="C5215" t="s">
        <v>52</v>
      </c>
      <c r="D5215" s="49">
        <v>46009</v>
      </c>
      <c r="E5215" s="49">
        <v>46014</v>
      </c>
      <c r="J5215" t="s">
        <v>308</v>
      </c>
      <c r="K5215" s="33">
        <v>13500</v>
      </c>
      <c r="M5215" t="str">
        <f>_xlfn.XLOOKUP(Pipeline_tbl[[#This Row],[Rep_ID]],Dim_Reps!A:A,Dim_Reps!K:K)</f>
        <v>EUR</v>
      </c>
      <c r="N5215" s="33">
        <f>(_xlfn.XLOOKUP(Pipeline_tbl[[#This Row],[Rate_Code_Generalized]],Lookups!A:A,Lookups!B:B))*Pipeline_tbl[[#This Row],[Pipeline_Amount_USD]]</f>
        <v>13500</v>
      </c>
      <c r="O5215" t="str">
        <f>_xlfn.XLOOKUP(Pipeline_tbl[[#This Row],[Rep_ID]],Dim_Reps!A:A,Dim_Reps!B:B)</f>
        <v>Rafael Weber</v>
      </c>
      <c r="P5215" t="str">
        <f>_xlfn.XLOOKUP(Pipeline_tbl[[#This Row],[Rep_ID]],Dim_Reps!A:A,Dim_Reps!C:C)</f>
        <v>Mid-Market AE</v>
      </c>
      <c r="Q5215" t="str">
        <f>_xlfn.XLOOKUP(Pipeline_tbl[[#This Row],[Rep_ID]],Dim_Reps!A:A,Dim_Reps!D:D)</f>
        <v>Mid-Market</v>
      </c>
      <c r="R5215" t="str">
        <f>_xlfn.XLOOKUP(Pipeline_tbl[[#This Row],[Rep_ID]],Dim_Reps!A:A,Dim_Reps!E:E)</f>
        <v>APAC</v>
      </c>
      <c r="S5215" t="str">
        <f>_xlfn.XLOOKUP(Pipeline_tbl[[#This Row],[Created_Date]],Dim_Date!A:A,Dim_Date!H:H)</f>
        <v>Dec 2025</v>
      </c>
      <c r="T5215" t="str">
        <f>IF(Pipeline_tbl[[#This Row],[Closed_Date]]=0,"",(_xlfn.XLOOKUP(Pipeline_tbl[[#This Row],[Closed_Date]],Dim_Date!A:A,Dim_Date!H:H)))</f>
        <v/>
      </c>
      <c r="U5215" t="str">
        <f>IF(Pipeline_tbl[[#This Row],[Closed_Date]]=0,"",Pipeline_tbl[[#This Row],[Closed_Date]]-Pipeline_tbl[[#This Row],[Created_Date]])</f>
        <v/>
      </c>
    </row>
    <row r="5216" spans="1:21" ht="15" customHeight="1" x14ac:dyDescent="0.2">
      <c r="A5216" t="s">
        <v>5522</v>
      </c>
      <c r="B5216" t="s">
        <v>253</v>
      </c>
      <c r="C5216" t="s">
        <v>53</v>
      </c>
      <c r="D5216" s="49">
        <v>46009</v>
      </c>
      <c r="E5216" s="49">
        <v>46013</v>
      </c>
      <c r="J5216" t="s">
        <v>308</v>
      </c>
      <c r="K5216" s="33">
        <v>10000</v>
      </c>
      <c r="M5216" t="str">
        <f>_xlfn.XLOOKUP(Pipeline_tbl[[#This Row],[Rep_ID]],Dim_Reps!A:A,Dim_Reps!K:K)</f>
        <v>EUR</v>
      </c>
      <c r="N5216" s="33">
        <f>(_xlfn.XLOOKUP(Pipeline_tbl[[#This Row],[Rate_Code_Generalized]],Lookups!A:A,Lookups!B:B))*Pipeline_tbl[[#This Row],[Pipeline_Amount_USD]]</f>
        <v>10000</v>
      </c>
      <c r="O5216" t="str">
        <f>_xlfn.XLOOKUP(Pipeline_tbl[[#This Row],[Rep_ID]],Dim_Reps!A:A,Dim_Reps!B:B)</f>
        <v>Rafael Weber</v>
      </c>
      <c r="P5216" t="str">
        <f>_xlfn.XLOOKUP(Pipeline_tbl[[#This Row],[Rep_ID]],Dim_Reps!A:A,Dim_Reps!C:C)</f>
        <v>Mid-Market AE</v>
      </c>
      <c r="Q5216" t="str">
        <f>_xlfn.XLOOKUP(Pipeline_tbl[[#This Row],[Rep_ID]],Dim_Reps!A:A,Dim_Reps!D:D)</f>
        <v>Mid-Market</v>
      </c>
      <c r="R5216" t="str">
        <f>_xlfn.XLOOKUP(Pipeline_tbl[[#This Row],[Rep_ID]],Dim_Reps!A:A,Dim_Reps!E:E)</f>
        <v>APAC</v>
      </c>
      <c r="S5216" t="str">
        <f>_xlfn.XLOOKUP(Pipeline_tbl[[#This Row],[Created_Date]],Dim_Date!A:A,Dim_Date!H:H)</f>
        <v>Dec 2025</v>
      </c>
      <c r="T5216" t="str">
        <f>IF(Pipeline_tbl[[#This Row],[Closed_Date]]=0,"",(_xlfn.XLOOKUP(Pipeline_tbl[[#This Row],[Closed_Date]],Dim_Date!A:A,Dim_Date!H:H)))</f>
        <v/>
      </c>
      <c r="U5216" t="str">
        <f>IF(Pipeline_tbl[[#This Row],[Closed_Date]]=0,"",Pipeline_tbl[[#This Row],[Closed_Date]]-Pipeline_tbl[[#This Row],[Created_Date]])</f>
        <v/>
      </c>
    </row>
    <row r="5217" spans="1:21" ht="15" customHeight="1" x14ac:dyDescent="0.2">
      <c r="A5217" t="s">
        <v>5523</v>
      </c>
      <c r="B5217" t="s">
        <v>253</v>
      </c>
      <c r="C5217" t="s">
        <v>53</v>
      </c>
      <c r="D5217" s="49">
        <v>46001</v>
      </c>
      <c r="E5217" s="49">
        <v>46005</v>
      </c>
      <c r="F5217" s="49">
        <v>46015</v>
      </c>
      <c r="J5217" t="s">
        <v>308</v>
      </c>
      <c r="K5217" s="33">
        <v>6000</v>
      </c>
      <c r="M5217" t="str">
        <f>_xlfn.XLOOKUP(Pipeline_tbl[[#This Row],[Rep_ID]],Dim_Reps!A:A,Dim_Reps!K:K)</f>
        <v>EUR</v>
      </c>
      <c r="N5217" s="33">
        <f>(_xlfn.XLOOKUP(Pipeline_tbl[[#This Row],[Rate_Code_Generalized]],Lookups!A:A,Lookups!B:B))*Pipeline_tbl[[#This Row],[Pipeline_Amount_USD]]</f>
        <v>6000</v>
      </c>
      <c r="O5217" t="str">
        <f>_xlfn.XLOOKUP(Pipeline_tbl[[#This Row],[Rep_ID]],Dim_Reps!A:A,Dim_Reps!B:B)</f>
        <v>Rafael Weber</v>
      </c>
      <c r="P5217" t="str">
        <f>_xlfn.XLOOKUP(Pipeline_tbl[[#This Row],[Rep_ID]],Dim_Reps!A:A,Dim_Reps!C:C)</f>
        <v>Mid-Market AE</v>
      </c>
      <c r="Q5217" t="str">
        <f>_xlfn.XLOOKUP(Pipeline_tbl[[#This Row],[Rep_ID]],Dim_Reps!A:A,Dim_Reps!D:D)</f>
        <v>Mid-Market</v>
      </c>
      <c r="R5217" t="str">
        <f>_xlfn.XLOOKUP(Pipeline_tbl[[#This Row],[Rep_ID]],Dim_Reps!A:A,Dim_Reps!E:E)</f>
        <v>APAC</v>
      </c>
      <c r="S5217" t="str">
        <f>_xlfn.XLOOKUP(Pipeline_tbl[[#This Row],[Created_Date]],Dim_Date!A:A,Dim_Date!H:H)</f>
        <v>Dec 2025</v>
      </c>
      <c r="T5217" t="str">
        <f>IF(Pipeline_tbl[[#This Row],[Closed_Date]]=0,"",(_xlfn.XLOOKUP(Pipeline_tbl[[#This Row],[Closed_Date]],Dim_Date!A:A,Dim_Date!H:H)))</f>
        <v/>
      </c>
      <c r="U5217" t="str">
        <f>IF(Pipeline_tbl[[#This Row],[Closed_Date]]=0,"",Pipeline_tbl[[#This Row],[Closed_Date]]-Pipeline_tbl[[#This Row],[Created_Date]])</f>
        <v/>
      </c>
    </row>
    <row r="5218" spans="1:21" ht="15" customHeight="1" x14ac:dyDescent="0.2">
      <c r="A5218" t="s">
        <v>5524</v>
      </c>
      <c r="B5218" t="s">
        <v>215</v>
      </c>
      <c r="C5218" t="s">
        <v>55</v>
      </c>
      <c r="D5218" s="49">
        <v>46007</v>
      </c>
      <c r="E5218" s="49">
        <v>46009</v>
      </c>
      <c r="F5218" s="49">
        <v>46012</v>
      </c>
      <c r="G5218" s="49">
        <v>46018</v>
      </c>
      <c r="H5218" s="49">
        <v>46022</v>
      </c>
      <c r="J5218" t="s">
        <v>308</v>
      </c>
      <c r="K5218" s="33">
        <v>2400</v>
      </c>
      <c r="M5218" t="str">
        <f>_xlfn.XLOOKUP(Pipeline_tbl[[#This Row],[Rep_ID]],Dim_Reps!A:A,Dim_Reps!K:K)</f>
        <v>EUR</v>
      </c>
      <c r="N5218" s="33">
        <f>(_xlfn.XLOOKUP(Pipeline_tbl[[#This Row],[Rate_Code_Generalized]],Lookups!A:A,Lookups!B:B))*Pipeline_tbl[[#This Row],[Pipeline_Amount_USD]]</f>
        <v>2400</v>
      </c>
      <c r="O5218" t="str">
        <f>_xlfn.XLOOKUP(Pipeline_tbl[[#This Row],[Rep_ID]],Dim_Reps!A:A,Dim_Reps!B:B)</f>
        <v>Jamie Schmidt</v>
      </c>
      <c r="P5218" t="str">
        <f>_xlfn.XLOOKUP(Pipeline_tbl[[#This Row],[Rep_ID]],Dim_Reps!A:A,Dim_Reps!C:C)</f>
        <v>SDR / Inside Sales Rep</v>
      </c>
      <c r="Q5218" t="str">
        <f>_xlfn.XLOOKUP(Pipeline_tbl[[#This Row],[Rep_ID]],Dim_Reps!A:A,Dim_Reps!D:D)</f>
        <v>Inside Sales</v>
      </c>
      <c r="R5218" t="str">
        <f>_xlfn.XLOOKUP(Pipeline_tbl[[#This Row],[Rep_ID]],Dim_Reps!A:A,Dim_Reps!E:E)</f>
        <v>APAC</v>
      </c>
      <c r="S5218" t="str">
        <f>_xlfn.XLOOKUP(Pipeline_tbl[[#This Row],[Created_Date]],Dim_Date!A:A,Dim_Date!H:H)</f>
        <v>Dec 2025</v>
      </c>
      <c r="T5218" t="str">
        <f>IF(Pipeline_tbl[[#This Row],[Closed_Date]]=0,"",(_xlfn.XLOOKUP(Pipeline_tbl[[#This Row],[Closed_Date]],Dim_Date!A:A,Dim_Date!H:H)))</f>
        <v/>
      </c>
      <c r="U5218" t="str">
        <f>IF(Pipeline_tbl[[#This Row],[Closed_Date]]=0,"",Pipeline_tbl[[#This Row],[Closed_Date]]-Pipeline_tbl[[#This Row],[Created_Date]])</f>
        <v/>
      </c>
    </row>
    <row r="5219" spans="1:21" ht="15" customHeight="1" x14ac:dyDescent="0.2">
      <c r="A5219" t="s">
        <v>5525</v>
      </c>
      <c r="B5219" t="s">
        <v>215</v>
      </c>
      <c r="C5219" t="s">
        <v>53</v>
      </c>
      <c r="D5219" s="49">
        <v>46020</v>
      </c>
      <c r="E5219" s="49">
        <v>46022</v>
      </c>
      <c r="J5219" t="s">
        <v>308</v>
      </c>
      <c r="K5219" s="33">
        <v>2200</v>
      </c>
      <c r="M5219" t="str">
        <f>_xlfn.XLOOKUP(Pipeline_tbl[[#This Row],[Rep_ID]],Dim_Reps!A:A,Dim_Reps!K:K)</f>
        <v>EUR</v>
      </c>
      <c r="N5219" s="33">
        <f>(_xlfn.XLOOKUP(Pipeline_tbl[[#This Row],[Rate_Code_Generalized]],Lookups!A:A,Lookups!B:B))*Pipeline_tbl[[#This Row],[Pipeline_Amount_USD]]</f>
        <v>2200</v>
      </c>
      <c r="O5219" t="str">
        <f>_xlfn.XLOOKUP(Pipeline_tbl[[#This Row],[Rep_ID]],Dim_Reps!A:A,Dim_Reps!B:B)</f>
        <v>Jamie Schmidt</v>
      </c>
      <c r="P5219" t="str">
        <f>_xlfn.XLOOKUP(Pipeline_tbl[[#This Row],[Rep_ID]],Dim_Reps!A:A,Dim_Reps!C:C)</f>
        <v>SDR / Inside Sales Rep</v>
      </c>
      <c r="Q5219" t="str">
        <f>_xlfn.XLOOKUP(Pipeline_tbl[[#This Row],[Rep_ID]],Dim_Reps!A:A,Dim_Reps!D:D)</f>
        <v>Inside Sales</v>
      </c>
      <c r="R5219" t="str">
        <f>_xlfn.XLOOKUP(Pipeline_tbl[[#This Row],[Rep_ID]],Dim_Reps!A:A,Dim_Reps!E:E)</f>
        <v>APAC</v>
      </c>
      <c r="S5219" t="str">
        <f>_xlfn.XLOOKUP(Pipeline_tbl[[#This Row],[Created_Date]],Dim_Date!A:A,Dim_Date!H:H)</f>
        <v>Dec 2025</v>
      </c>
      <c r="T5219" t="str">
        <f>IF(Pipeline_tbl[[#This Row],[Closed_Date]]=0,"",(_xlfn.XLOOKUP(Pipeline_tbl[[#This Row],[Closed_Date]],Dim_Date!A:A,Dim_Date!H:H)))</f>
        <v/>
      </c>
      <c r="U5219" t="str">
        <f>IF(Pipeline_tbl[[#This Row],[Closed_Date]]=0,"",Pipeline_tbl[[#This Row],[Closed_Date]]-Pipeline_tbl[[#This Row],[Created_Date]])</f>
        <v/>
      </c>
    </row>
    <row r="5220" spans="1:21" ht="15" customHeight="1" x14ac:dyDescent="0.2">
      <c r="A5220" t="s">
        <v>5526</v>
      </c>
      <c r="B5220" t="s">
        <v>215</v>
      </c>
      <c r="C5220" t="s">
        <v>52</v>
      </c>
      <c r="D5220" s="49">
        <v>46001</v>
      </c>
      <c r="E5220" s="49">
        <v>46003</v>
      </c>
      <c r="F5220" s="49">
        <v>46009</v>
      </c>
      <c r="G5220" s="49">
        <v>46016</v>
      </c>
      <c r="H5220" s="49">
        <v>46022</v>
      </c>
      <c r="J5220" t="s">
        <v>308</v>
      </c>
      <c r="K5220" s="33">
        <v>1600</v>
      </c>
      <c r="M5220" t="str">
        <f>_xlfn.XLOOKUP(Pipeline_tbl[[#This Row],[Rep_ID]],Dim_Reps!A:A,Dim_Reps!K:K)</f>
        <v>EUR</v>
      </c>
      <c r="N5220" s="33">
        <f>(_xlfn.XLOOKUP(Pipeline_tbl[[#This Row],[Rate_Code_Generalized]],Lookups!A:A,Lookups!B:B))*Pipeline_tbl[[#This Row],[Pipeline_Amount_USD]]</f>
        <v>1600</v>
      </c>
      <c r="O5220" t="str">
        <f>_xlfn.XLOOKUP(Pipeline_tbl[[#This Row],[Rep_ID]],Dim_Reps!A:A,Dim_Reps!B:B)</f>
        <v>Jamie Schmidt</v>
      </c>
      <c r="P5220" t="str">
        <f>_xlfn.XLOOKUP(Pipeline_tbl[[#This Row],[Rep_ID]],Dim_Reps!A:A,Dim_Reps!C:C)</f>
        <v>SDR / Inside Sales Rep</v>
      </c>
      <c r="Q5220" t="str">
        <f>_xlfn.XLOOKUP(Pipeline_tbl[[#This Row],[Rep_ID]],Dim_Reps!A:A,Dim_Reps!D:D)</f>
        <v>Inside Sales</v>
      </c>
      <c r="R5220" t="str">
        <f>_xlfn.XLOOKUP(Pipeline_tbl[[#This Row],[Rep_ID]],Dim_Reps!A:A,Dim_Reps!E:E)</f>
        <v>APAC</v>
      </c>
      <c r="S5220" t="str">
        <f>_xlfn.XLOOKUP(Pipeline_tbl[[#This Row],[Created_Date]],Dim_Date!A:A,Dim_Date!H:H)</f>
        <v>Dec 2025</v>
      </c>
      <c r="T5220" t="str">
        <f>IF(Pipeline_tbl[[#This Row],[Closed_Date]]=0,"",(_xlfn.XLOOKUP(Pipeline_tbl[[#This Row],[Closed_Date]],Dim_Date!A:A,Dim_Date!H:H)))</f>
        <v/>
      </c>
      <c r="U5220" t="str">
        <f>IF(Pipeline_tbl[[#This Row],[Closed_Date]]=0,"",Pipeline_tbl[[#This Row],[Closed_Date]]-Pipeline_tbl[[#This Row],[Created_Date]])</f>
        <v/>
      </c>
    </row>
    <row r="5221" spans="1:21" ht="15" customHeight="1" x14ac:dyDescent="0.2">
      <c r="A5221" t="s">
        <v>5527</v>
      </c>
      <c r="B5221" t="s">
        <v>215</v>
      </c>
      <c r="C5221" t="s">
        <v>52</v>
      </c>
      <c r="D5221" s="49">
        <v>46007</v>
      </c>
      <c r="E5221" s="49">
        <v>46009</v>
      </c>
      <c r="F5221" s="49">
        <v>46014</v>
      </c>
      <c r="G5221" s="49">
        <v>46020</v>
      </c>
      <c r="J5221" t="s">
        <v>308</v>
      </c>
      <c r="K5221" s="33">
        <v>5000</v>
      </c>
      <c r="M5221" t="str">
        <f>_xlfn.XLOOKUP(Pipeline_tbl[[#This Row],[Rep_ID]],Dim_Reps!A:A,Dim_Reps!K:K)</f>
        <v>EUR</v>
      </c>
      <c r="N5221" s="33">
        <f>(_xlfn.XLOOKUP(Pipeline_tbl[[#This Row],[Rate_Code_Generalized]],Lookups!A:A,Lookups!B:B))*Pipeline_tbl[[#This Row],[Pipeline_Amount_USD]]</f>
        <v>5000</v>
      </c>
      <c r="O5221" t="str">
        <f>_xlfn.XLOOKUP(Pipeline_tbl[[#This Row],[Rep_ID]],Dim_Reps!A:A,Dim_Reps!B:B)</f>
        <v>Jamie Schmidt</v>
      </c>
      <c r="P5221" t="str">
        <f>_xlfn.XLOOKUP(Pipeline_tbl[[#This Row],[Rep_ID]],Dim_Reps!A:A,Dim_Reps!C:C)</f>
        <v>SDR / Inside Sales Rep</v>
      </c>
      <c r="Q5221" t="str">
        <f>_xlfn.XLOOKUP(Pipeline_tbl[[#This Row],[Rep_ID]],Dim_Reps!A:A,Dim_Reps!D:D)</f>
        <v>Inside Sales</v>
      </c>
      <c r="R5221" t="str">
        <f>_xlfn.XLOOKUP(Pipeline_tbl[[#This Row],[Rep_ID]],Dim_Reps!A:A,Dim_Reps!E:E)</f>
        <v>APAC</v>
      </c>
      <c r="S5221" t="str">
        <f>_xlfn.XLOOKUP(Pipeline_tbl[[#This Row],[Created_Date]],Dim_Date!A:A,Dim_Date!H:H)</f>
        <v>Dec 2025</v>
      </c>
      <c r="T5221" t="str">
        <f>IF(Pipeline_tbl[[#This Row],[Closed_Date]]=0,"",(_xlfn.XLOOKUP(Pipeline_tbl[[#This Row],[Closed_Date]],Dim_Date!A:A,Dim_Date!H:H)))</f>
        <v/>
      </c>
      <c r="U5221" t="str">
        <f>IF(Pipeline_tbl[[#This Row],[Closed_Date]]=0,"",Pipeline_tbl[[#This Row],[Closed_Date]]-Pipeline_tbl[[#This Row],[Created_Date]])</f>
        <v/>
      </c>
    </row>
    <row r="5222" spans="1:21" ht="15" customHeight="1" x14ac:dyDescent="0.2">
      <c r="A5222" t="s">
        <v>5528</v>
      </c>
      <c r="B5222" t="s">
        <v>215</v>
      </c>
      <c r="C5222" t="s">
        <v>53</v>
      </c>
      <c r="D5222" s="49">
        <v>46022</v>
      </c>
      <c r="J5222" t="s">
        <v>308</v>
      </c>
      <c r="K5222" s="33">
        <v>3200</v>
      </c>
      <c r="M5222" t="str">
        <f>_xlfn.XLOOKUP(Pipeline_tbl[[#This Row],[Rep_ID]],Dim_Reps!A:A,Dim_Reps!K:K)</f>
        <v>EUR</v>
      </c>
      <c r="N5222" s="33">
        <f>(_xlfn.XLOOKUP(Pipeline_tbl[[#This Row],[Rate_Code_Generalized]],Lookups!A:A,Lookups!B:B))*Pipeline_tbl[[#This Row],[Pipeline_Amount_USD]]</f>
        <v>3200</v>
      </c>
      <c r="O5222" t="str">
        <f>_xlfn.XLOOKUP(Pipeline_tbl[[#This Row],[Rep_ID]],Dim_Reps!A:A,Dim_Reps!B:B)</f>
        <v>Jamie Schmidt</v>
      </c>
      <c r="P5222" t="str">
        <f>_xlfn.XLOOKUP(Pipeline_tbl[[#This Row],[Rep_ID]],Dim_Reps!A:A,Dim_Reps!C:C)</f>
        <v>SDR / Inside Sales Rep</v>
      </c>
      <c r="Q5222" t="str">
        <f>_xlfn.XLOOKUP(Pipeline_tbl[[#This Row],[Rep_ID]],Dim_Reps!A:A,Dim_Reps!D:D)</f>
        <v>Inside Sales</v>
      </c>
      <c r="R5222" t="str">
        <f>_xlfn.XLOOKUP(Pipeline_tbl[[#This Row],[Rep_ID]],Dim_Reps!A:A,Dim_Reps!E:E)</f>
        <v>APAC</v>
      </c>
      <c r="S5222" t="str">
        <f>_xlfn.XLOOKUP(Pipeline_tbl[[#This Row],[Created_Date]],Dim_Date!A:A,Dim_Date!H:H)</f>
        <v>Dec 2025</v>
      </c>
      <c r="T5222" t="str">
        <f>IF(Pipeline_tbl[[#This Row],[Closed_Date]]=0,"",(_xlfn.XLOOKUP(Pipeline_tbl[[#This Row],[Closed_Date]],Dim_Date!A:A,Dim_Date!H:H)))</f>
        <v/>
      </c>
      <c r="U5222" t="str">
        <f>IF(Pipeline_tbl[[#This Row],[Closed_Date]]=0,"",Pipeline_tbl[[#This Row],[Closed_Date]]-Pipeline_tbl[[#This Row],[Created_Date]])</f>
        <v/>
      </c>
    </row>
    <row r="5223" spans="1:21" ht="15" customHeight="1" x14ac:dyDescent="0.2">
      <c r="A5223" t="s">
        <v>5529</v>
      </c>
      <c r="B5223" t="s">
        <v>215</v>
      </c>
      <c r="C5223" t="s">
        <v>52</v>
      </c>
      <c r="D5223" s="49">
        <v>46004</v>
      </c>
      <c r="E5223" s="49">
        <v>46006</v>
      </c>
      <c r="F5223" s="49">
        <v>46010</v>
      </c>
      <c r="G5223" s="49">
        <v>46017</v>
      </c>
      <c r="H5223" s="49">
        <v>46022</v>
      </c>
      <c r="J5223" t="s">
        <v>308</v>
      </c>
      <c r="K5223" s="33">
        <v>8400</v>
      </c>
      <c r="M5223" t="str">
        <f>_xlfn.XLOOKUP(Pipeline_tbl[[#This Row],[Rep_ID]],Dim_Reps!A:A,Dim_Reps!K:K)</f>
        <v>EUR</v>
      </c>
      <c r="N5223" s="33">
        <f>(_xlfn.XLOOKUP(Pipeline_tbl[[#This Row],[Rate_Code_Generalized]],Lookups!A:A,Lookups!B:B))*Pipeline_tbl[[#This Row],[Pipeline_Amount_USD]]</f>
        <v>8400</v>
      </c>
      <c r="O5223" t="str">
        <f>_xlfn.XLOOKUP(Pipeline_tbl[[#This Row],[Rep_ID]],Dim_Reps!A:A,Dim_Reps!B:B)</f>
        <v>Jamie Schmidt</v>
      </c>
      <c r="P5223" t="str">
        <f>_xlfn.XLOOKUP(Pipeline_tbl[[#This Row],[Rep_ID]],Dim_Reps!A:A,Dim_Reps!C:C)</f>
        <v>SDR / Inside Sales Rep</v>
      </c>
      <c r="Q5223" t="str">
        <f>_xlfn.XLOOKUP(Pipeline_tbl[[#This Row],[Rep_ID]],Dim_Reps!A:A,Dim_Reps!D:D)</f>
        <v>Inside Sales</v>
      </c>
      <c r="R5223" t="str">
        <f>_xlfn.XLOOKUP(Pipeline_tbl[[#This Row],[Rep_ID]],Dim_Reps!A:A,Dim_Reps!E:E)</f>
        <v>APAC</v>
      </c>
      <c r="S5223" t="str">
        <f>_xlfn.XLOOKUP(Pipeline_tbl[[#This Row],[Created_Date]],Dim_Date!A:A,Dim_Date!H:H)</f>
        <v>Dec 2025</v>
      </c>
      <c r="T5223" t="str">
        <f>IF(Pipeline_tbl[[#This Row],[Closed_Date]]=0,"",(_xlfn.XLOOKUP(Pipeline_tbl[[#This Row],[Closed_Date]],Dim_Date!A:A,Dim_Date!H:H)))</f>
        <v/>
      </c>
      <c r="U5223" t="str">
        <f>IF(Pipeline_tbl[[#This Row],[Closed_Date]]=0,"",Pipeline_tbl[[#This Row],[Closed_Date]]-Pipeline_tbl[[#This Row],[Created_Date]])</f>
        <v/>
      </c>
    </row>
    <row r="5224" spans="1:21" ht="15" customHeight="1" x14ac:dyDescent="0.2">
      <c r="A5224" t="s">
        <v>5530</v>
      </c>
      <c r="B5224" t="s">
        <v>215</v>
      </c>
      <c r="C5224" t="s">
        <v>52</v>
      </c>
      <c r="D5224" s="49">
        <v>46008</v>
      </c>
      <c r="E5224" s="49">
        <v>46010</v>
      </c>
      <c r="F5224" s="49">
        <v>46014</v>
      </c>
      <c r="G5224" s="49">
        <v>46019</v>
      </c>
      <c r="J5224" t="s">
        <v>308</v>
      </c>
      <c r="K5224" s="33">
        <v>3200</v>
      </c>
      <c r="M5224" t="str">
        <f>_xlfn.XLOOKUP(Pipeline_tbl[[#This Row],[Rep_ID]],Dim_Reps!A:A,Dim_Reps!K:K)</f>
        <v>EUR</v>
      </c>
      <c r="N5224" s="33">
        <f>(_xlfn.XLOOKUP(Pipeline_tbl[[#This Row],[Rate_Code_Generalized]],Lookups!A:A,Lookups!B:B))*Pipeline_tbl[[#This Row],[Pipeline_Amount_USD]]</f>
        <v>3200</v>
      </c>
      <c r="O5224" t="str">
        <f>_xlfn.XLOOKUP(Pipeline_tbl[[#This Row],[Rep_ID]],Dim_Reps!A:A,Dim_Reps!B:B)</f>
        <v>Jamie Schmidt</v>
      </c>
      <c r="P5224" t="str">
        <f>_xlfn.XLOOKUP(Pipeline_tbl[[#This Row],[Rep_ID]],Dim_Reps!A:A,Dim_Reps!C:C)</f>
        <v>SDR / Inside Sales Rep</v>
      </c>
      <c r="Q5224" t="str">
        <f>_xlfn.XLOOKUP(Pipeline_tbl[[#This Row],[Rep_ID]],Dim_Reps!A:A,Dim_Reps!D:D)</f>
        <v>Inside Sales</v>
      </c>
      <c r="R5224" t="str">
        <f>_xlfn.XLOOKUP(Pipeline_tbl[[#This Row],[Rep_ID]],Dim_Reps!A:A,Dim_Reps!E:E)</f>
        <v>APAC</v>
      </c>
      <c r="S5224" t="str">
        <f>_xlfn.XLOOKUP(Pipeline_tbl[[#This Row],[Created_Date]],Dim_Date!A:A,Dim_Date!H:H)</f>
        <v>Dec 2025</v>
      </c>
      <c r="T5224" t="str">
        <f>IF(Pipeline_tbl[[#This Row],[Closed_Date]]=0,"",(_xlfn.XLOOKUP(Pipeline_tbl[[#This Row],[Closed_Date]],Dim_Date!A:A,Dim_Date!H:H)))</f>
        <v/>
      </c>
      <c r="U5224" t="str">
        <f>IF(Pipeline_tbl[[#This Row],[Closed_Date]]=0,"",Pipeline_tbl[[#This Row],[Closed_Date]]-Pipeline_tbl[[#This Row],[Created_Date]])</f>
        <v/>
      </c>
    </row>
    <row r="5225" spans="1:21" ht="15" customHeight="1" x14ac:dyDescent="0.2">
      <c r="A5225" t="s">
        <v>5531</v>
      </c>
      <c r="B5225" t="s">
        <v>215</v>
      </c>
      <c r="C5225" t="s">
        <v>52</v>
      </c>
      <c r="D5225" s="49">
        <v>46006</v>
      </c>
      <c r="E5225" s="49">
        <v>46009</v>
      </c>
      <c r="F5225" s="49">
        <v>46015</v>
      </c>
      <c r="J5225" t="s">
        <v>308</v>
      </c>
      <c r="K5225" s="33">
        <v>2900</v>
      </c>
      <c r="M5225" t="str">
        <f>_xlfn.XLOOKUP(Pipeline_tbl[[#This Row],[Rep_ID]],Dim_Reps!A:A,Dim_Reps!K:K)</f>
        <v>EUR</v>
      </c>
      <c r="N5225" s="33">
        <f>(_xlfn.XLOOKUP(Pipeline_tbl[[#This Row],[Rate_Code_Generalized]],Lookups!A:A,Lookups!B:B))*Pipeline_tbl[[#This Row],[Pipeline_Amount_USD]]</f>
        <v>2900</v>
      </c>
      <c r="O5225" t="str">
        <f>_xlfn.XLOOKUP(Pipeline_tbl[[#This Row],[Rep_ID]],Dim_Reps!A:A,Dim_Reps!B:B)</f>
        <v>Jamie Schmidt</v>
      </c>
      <c r="P5225" t="str">
        <f>_xlfn.XLOOKUP(Pipeline_tbl[[#This Row],[Rep_ID]],Dim_Reps!A:A,Dim_Reps!C:C)</f>
        <v>SDR / Inside Sales Rep</v>
      </c>
      <c r="Q5225" t="str">
        <f>_xlfn.XLOOKUP(Pipeline_tbl[[#This Row],[Rep_ID]],Dim_Reps!A:A,Dim_Reps!D:D)</f>
        <v>Inside Sales</v>
      </c>
      <c r="R5225" t="str">
        <f>_xlfn.XLOOKUP(Pipeline_tbl[[#This Row],[Rep_ID]],Dim_Reps!A:A,Dim_Reps!E:E)</f>
        <v>APAC</v>
      </c>
      <c r="S5225" t="str">
        <f>_xlfn.XLOOKUP(Pipeline_tbl[[#This Row],[Created_Date]],Dim_Date!A:A,Dim_Date!H:H)</f>
        <v>Dec 2025</v>
      </c>
      <c r="T5225" t="str">
        <f>IF(Pipeline_tbl[[#This Row],[Closed_Date]]=0,"",(_xlfn.XLOOKUP(Pipeline_tbl[[#This Row],[Closed_Date]],Dim_Date!A:A,Dim_Date!H:H)))</f>
        <v/>
      </c>
      <c r="U5225" t="str">
        <f>IF(Pipeline_tbl[[#This Row],[Closed_Date]]=0,"",Pipeline_tbl[[#This Row],[Closed_Date]]-Pipeline_tbl[[#This Row],[Created_Date]])</f>
        <v/>
      </c>
    </row>
    <row r="5226" spans="1:21" ht="15" customHeight="1" x14ac:dyDescent="0.2">
      <c r="A5226" t="s">
        <v>5532</v>
      </c>
      <c r="B5226" t="s">
        <v>215</v>
      </c>
      <c r="C5226" t="s">
        <v>53</v>
      </c>
      <c r="D5226" s="49">
        <v>46022</v>
      </c>
      <c r="J5226" t="s">
        <v>308</v>
      </c>
      <c r="K5226" s="33">
        <v>3900</v>
      </c>
      <c r="M5226" t="str">
        <f>_xlfn.XLOOKUP(Pipeline_tbl[[#This Row],[Rep_ID]],Dim_Reps!A:A,Dim_Reps!K:K)</f>
        <v>EUR</v>
      </c>
      <c r="N5226" s="33">
        <f>(_xlfn.XLOOKUP(Pipeline_tbl[[#This Row],[Rate_Code_Generalized]],Lookups!A:A,Lookups!B:B))*Pipeline_tbl[[#This Row],[Pipeline_Amount_USD]]</f>
        <v>3900</v>
      </c>
      <c r="O5226" t="str">
        <f>_xlfn.XLOOKUP(Pipeline_tbl[[#This Row],[Rep_ID]],Dim_Reps!A:A,Dim_Reps!B:B)</f>
        <v>Jamie Schmidt</v>
      </c>
      <c r="P5226" t="str">
        <f>_xlfn.XLOOKUP(Pipeline_tbl[[#This Row],[Rep_ID]],Dim_Reps!A:A,Dim_Reps!C:C)</f>
        <v>SDR / Inside Sales Rep</v>
      </c>
      <c r="Q5226" t="str">
        <f>_xlfn.XLOOKUP(Pipeline_tbl[[#This Row],[Rep_ID]],Dim_Reps!A:A,Dim_Reps!D:D)</f>
        <v>Inside Sales</v>
      </c>
      <c r="R5226" t="str">
        <f>_xlfn.XLOOKUP(Pipeline_tbl[[#This Row],[Rep_ID]],Dim_Reps!A:A,Dim_Reps!E:E)</f>
        <v>APAC</v>
      </c>
      <c r="S5226" t="str">
        <f>_xlfn.XLOOKUP(Pipeline_tbl[[#This Row],[Created_Date]],Dim_Date!A:A,Dim_Date!H:H)</f>
        <v>Dec 2025</v>
      </c>
      <c r="T5226" t="str">
        <f>IF(Pipeline_tbl[[#This Row],[Closed_Date]]=0,"",(_xlfn.XLOOKUP(Pipeline_tbl[[#This Row],[Closed_Date]],Dim_Date!A:A,Dim_Date!H:H)))</f>
        <v/>
      </c>
      <c r="U5226" t="str">
        <f>IF(Pipeline_tbl[[#This Row],[Closed_Date]]=0,"",Pipeline_tbl[[#This Row],[Closed_Date]]-Pipeline_tbl[[#This Row],[Created_Date]])</f>
        <v/>
      </c>
    </row>
    <row r="5227" spans="1:21" ht="15" customHeight="1" x14ac:dyDescent="0.2">
      <c r="A5227" t="s">
        <v>5533</v>
      </c>
      <c r="B5227" t="s">
        <v>215</v>
      </c>
      <c r="C5227" t="s">
        <v>55</v>
      </c>
      <c r="D5227" s="49">
        <v>46010</v>
      </c>
      <c r="E5227" s="49">
        <v>46013</v>
      </c>
      <c r="F5227" s="49">
        <v>46018</v>
      </c>
      <c r="J5227" t="s">
        <v>308</v>
      </c>
      <c r="K5227" s="33">
        <v>7400</v>
      </c>
      <c r="M5227" t="str">
        <f>_xlfn.XLOOKUP(Pipeline_tbl[[#This Row],[Rep_ID]],Dim_Reps!A:A,Dim_Reps!K:K)</f>
        <v>EUR</v>
      </c>
      <c r="N5227" s="33">
        <f>(_xlfn.XLOOKUP(Pipeline_tbl[[#This Row],[Rate_Code_Generalized]],Lookups!A:A,Lookups!B:B))*Pipeline_tbl[[#This Row],[Pipeline_Amount_USD]]</f>
        <v>7400</v>
      </c>
      <c r="O5227" t="str">
        <f>_xlfn.XLOOKUP(Pipeline_tbl[[#This Row],[Rep_ID]],Dim_Reps!A:A,Dim_Reps!B:B)</f>
        <v>Jamie Schmidt</v>
      </c>
      <c r="P5227" t="str">
        <f>_xlfn.XLOOKUP(Pipeline_tbl[[#This Row],[Rep_ID]],Dim_Reps!A:A,Dim_Reps!C:C)</f>
        <v>SDR / Inside Sales Rep</v>
      </c>
      <c r="Q5227" t="str">
        <f>_xlfn.XLOOKUP(Pipeline_tbl[[#This Row],[Rep_ID]],Dim_Reps!A:A,Dim_Reps!D:D)</f>
        <v>Inside Sales</v>
      </c>
      <c r="R5227" t="str">
        <f>_xlfn.XLOOKUP(Pipeline_tbl[[#This Row],[Rep_ID]],Dim_Reps!A:A,Dim_Reps!E:E)</f>
        <v>APAC</v>
      </c>
      <c r="S5227" t="str">
        <f>_xlfn.XLOOKUP(Pipeline_tbl[[#This Row],[Created_Date]],Dim_Date!A:A,Dim_Date!H:H)</f>
        <v>Dec 2025</v>
      </c>
      <c r="T5227" t="str">
        <f>IF(Pipeline_tbl[[#This Row],[Closed_Date]]=0,"",(_xlfn.XLOOKUP(Pipeline_tbl[[#This Row],[Closed_Date]],Dim_Date!A:A,Dim_Date!H:H)))</f>
        <v/>
      </c>
      <c r="U5227" t="str">
        <f>IF(Pipeline_tbl[[#This Row],[Closed_Date]]=0,"",Pipeline_tbl[[#This Row],[Closed_Date]]-Pipeline_tbl[[#This Row],[Created_Date]])</f>
        <v/>
      </c>
    </row>
    <row r="5228" spans="1:21" ht="15" customHeight="1" x14ac:dyDescent="0.2">
      <c r="A5228" t="s">
        <v>5534</v>
      </c>
      <c r="B5228" t="s">
        <v>215</v>
      </c>
      <c r="C5228" t="s">
        <v>52</v>
      </c>
      <c r="D5228" s="49">
        <v>46003</v>
      </c>
      <c r="E5228" s="49">
        <v>46006</v>
      </c>
      <c r="F5228" s="49">
        <v>46011</v>
      </c>
      <c r="G5228" s="49">
        <v>46020</v>
      </c>
      <c r="J5228" t="s">
        <v>308</v>
      </c>
      <c r="K5228" s="33">
        <v>6400</v>
      </c>
      <c r="M5228" t="str">
        <f>_xlfn.XLOOKUP(Pipeline_tbl[[#This Row],[Rep_ID]],Dim_Reps!A:A,Dim_Reps!K:K)</f>
        <v>EUR</v>
      </c>
      <c r="N5228" s="33">
        <f>(_xlfn.XLOOKUP(Pipeline_tbl[[#This Row],[Rate_Code_Generalized]],Lookups!A:A,Lookups!B:B))*Pipeline_tbl[[#This Row],[Pipeline_Amount_USD]]</f>
        <v>6400</v>
      </c>
      <c r="O5228" t="str">
        <f>_xlfn.XLOOKUP(Pipeline_tbl[[#This Row],[Rep_ID]],Dim_Reps!A:A,Dim_Reps!B:B)</f>
        <v>Jamie Schmidt</v>
      </c>
      <c r="P5228" t="str">
        <f>_xlfn.XLOOKUP(Pipeline_tbl[[#This Row],[Rep_ID]],Dim_Reps!A:A,Dim_Reps!C:C)</f>
        <v>SDR / Inside Sales Rep</v>
      </c>
      <c r="Q5228" t="str">
        <f>_xlfn.XLOOKUP(Pipeline_tbl[[#This Row],[Rep_ID]],Dim_Reps!A:A,Dim_Reps!D:D)</f>
        <v>Inside Sales</v>
      </c>
      <c r="R5228" t="str">
        <f>_xlfn.XLOOKUP(Pipeline_tbl[[#This Row],[Rep_ID]],Dim_Reps!A:A,Dim_Reps!E:E)</f>
        <v>APAC</v>
      </c>
      <c r="S5228" t="str">
        <f>_xlfn.XLOOKUP(Pipeline_tbl[[#This Row],[Created_Date]],Dim_Date!A:A,Dim_Date!H:H)</f>
        <v>Dec 2025</v>
      </c>
      <c r="T5228" t="str">
        <f>IF(Pipeline_tbl[[#This Row],[Closed_Date]]=0,"",(_xlfn.XLOOKUP(Pipeline_tbl[[#This Row],[Closed_Date]],Dim_Date!A:A,Dim_Date!H:H)))</f>
        <v/>
      </c>
      <c r="U5228" t="str">
        <f>IF(Pipeline_tbl[[#This Row],[Closed_Date]]=0,"",Pipeline_tbl[[#This Row],[Closed_Date]]-Pipeline_tbl[[#This Row],[Created_Date]])</f>
        <v/>
      </c>
    </row>
    <row r="5229" spans="1:21" ht="15" customHeight="1" x14ac:dyDescent="0.2">
      <c r="A5229" t="s">
        <v>5535</v>
      </c>
      <c r="B5229" t="s">
        <v>215</v>
      </c>
      <c r="C5229" t="s">
        <v>53</v>
      </c>
      <c r="D5229" s="49">
        <v>46001</v>
      </c>
      <c r="E5229" s="49">
        <v>46004</v>
      </c>
      <c r="F5229" s="49">
        <v>46010</v>
      </c>
      <c r="G5229" s="49">
        <v>46018</v>
      </c>
      <c r="J5229" t="s">
        <v>308</v>
      </c>
      <c r="K5229" s="33">
        <v>3900</v>
      </c>
      <c r="M5229" t="str">
        <f>_xlfn.XLOOKUP(Pipeline_tbl[[#This Row],[Rep_ID]],Dim_Reps!A:A,Dim_Reps!K:K)</f>
        <v>EUR</v>
      </c>
      <c r="N5229" s="33">
        <f>(_xlfn.XLOOKUP(Pipeline_tbl[[#This Row],[Rate_Code_Generalized]],Lookups!A:A,Lookups!B:B))*Pipeline_tbl[[#This Row],[Pipeline_Amount_USD]]</f>
        <v>3900</v>
      </c>
      <c r="O5229" t="str">
        <f>_xlfn.XLOOKUP(Pipeline_tbl[[#This Row],[Rep_ID]],Dim_Reps!A:A,Dim_Reps!B:B)</f>
        <v>Jamie Schmidt</v>
      </c>
      <c r="P5229" t="str">
        <f>_xlfn.XLOOKUP(Pipeline_tbl[[#This Row],[Rep_ID]],Dim_Reps!A:A,Dim_Reps!C:C)</f>
        <v>SDR / Inside Sales Rep</v>
      </c>
      <c r="Q5229" t="str">
        <f>_xlfn.XLOOKUP(Pipeline_tbl[[#This Row],[Rep_ID]],Dim_Reps!A:A,Dim_Reps!D:D)</f>
        <v>Inside Sales</v>
      </c>
      <c r="R5229" t="str">
        <f>_xlfn.XLOOKUP(Pipeline_tbl[[#This Row],[Rep_ID]],Dim_Reps!A:A,Dim_Reps!E:E)</f>
        <v>APAC</v>
      </c>
      <c r="S5229" t="str">
        <f>_xlfn.XLOOKUP(Pipeline_tbl[[#This Row],[Created_Date]],Dim_Date!A:A,Dim_Date!H:H)</f>
        <v>Dec 2025</v>
      </c>
      <c r="T5229" t="str">
        <f>IF(Pipeline_tbl[[#This Row],[Closed_Date]]=0,"",(_xlfn.XLOOKUP(Pipeline_tbl[[#This Row],[Closed_Date]],Dim_Date!A:A,Dim_Date!H:H)))</f>
        <v/>
      </c>
      <c r="U5229" t="str">
        <f>IF(Pipeline_tbl[[#This Row],[Closed_Date]]=0,"",Pipeline_tbl[[#This Row],[Closed_Date]]-Pipeline_tbl[[#This Row],[Created_Date]])</f>
        <v/>
      </c>
    </row>
    <row r="5230" spans="1:21" ht="15" customHeight="1" x14ac:dyDescent="0.2">
      <c r="A5230" t="s">
        <v>5536</v>
      </c>
      <c r="B5230" t="s">
        <v>215</v>
      </c>
      <c r="C5230" t="s">
        <v>55</v>
      </c>
      <c r="D5230" s="49">
        <v>46007</v>
      </c>
      <c r="E5230" s="49">
        <v>46009</v>
      </c>
      <c r="F5230" s="49">
        <v>46015</v>
      </c>
      <c r="G5230" s="49">
        <v>46022</v>
      </c>
      <c r="J5230" t="s">
        <v>308</v>
      </c>
      <c r="K5230" s="33">
        <v>2200</v>
      </c>
      <c r="M5230" t="str">
        <f>_xlfn.XLOOKUP(Pipeline_tbl[[#This Row],[Rep_ID]],Dim_Reps!A:A,Dim_Reps!K:K)</f>
        <v>EUR</v>
      </c>
      <c r="N5230" s="33">
        <f>(_xlfn.XLOOKUP(Pipeline_tbl[[#This Row],[Rate_Code_Generalized]],Lookups!A:A,Lookups!B:B))*Pipeline_tbl[[#This Row],[Pipeline_Amount_USD]]</f>
        <v>2200</v>
      </c>
      <c r="O5230" t="str">
        <f>_xlfn.XLOOKUP(Pipeline_tbl[[#This Row],[Rep_ID]],Dim_Reps!A:A,Dim_Reps!B:B)</f>
        <v>Jamie Schmidt</v>
      </c>
      <c r="P5230" t="str">
        <f>_xlfn.XLOOKUP(Pipeline_tbl[[#This Row],[Rep_ID]],Dim_Reps!A:A,Dim_Reps!C:C)</f>
        <v>SDR / Inside Sales Rep</v>
      </c>
      <c r="Q5230" t="str">
        <f>_xlfn.XLOOKUP(Pipeline_tbl[[#This Row],[Rep_ID]],Dim_Reps!A:A,Dim_Reps!D:D)</f>
        <v>Inside Sales</v>
      </c>
      <c r="R5230" t="str">
        <f>_xlfn.XLOOKUP(Pipeline_tbl[[#This Row],[Rep_ID]],Dim_Reps!A:A,Dim_Reps!E:E)</f>
        <v>APAC</v>
      </c>
      <c r="S5230" t="str">
        <f>_xlfn.XLOOKUP(Pipeline_tbl[[#This Row],[Created_Date]],Dim_Date!A:A,Dim_Date!H:H)</f>
        <v>Dec 2025</v>
      </c>
      <c r="T5230" t="str">
        <f>IF(Pipeline_tbl[[#This Row],[Closed_Date]]=0,"",(_xlfn.XLOOKUP(Pipeline_tbl[[#This Row],[Closed_Date]],Dim_Date!A:A,Dim_Date!H:H)))</f>
        <v/>
      </c>
      <c r="U5230" t="str">
        <f>IF(Pipeline_tbl[[#This Row],[Closed_Date]]=0,"",Pipeline_tbl[[#This Row],[Closed_Date]]-Pipeline_tbl[[#This Row],[Created_Date]])</f>
        <v/>
      </c>
    </row>
    <row r="5231" spans="1:21" ht="15" customHeight="1" x14ac:dyDescent="0.2">
      <c r="A5231" t="s">
        <v>5537</v>
      </c>
      <c r="B5231" t="s">
        <v>217</v>
      </c>
      <c r="C5231" t="s">
        <v>52</v>
      </c>
      <c r="D5231" s="49">
        <v>46022</v>
      </c>
      <c r="J5231" t="s">
        <v>308</v>
      </c>
      <c r="K5231" s="33">
        <v>4600</v>
      </c>
      <c r="M5231" t="str">
        <f>_xlfn.XLOOKUP(Pipeline_tbl[[#This Row],[Rep_ID]],Dim_Reps!A:A,Dim_Reps!K:K)</f>
        <v>USD</v>
      </c>
      <c r="N5231" s="33">
        <f>(_xlfn.XLOOKUP(Pipeline_tbl[[#This Row],[Rate_Code_Generalized]],Lookups!A:A,Lookups!B:B))*Pipeline_tbl[[#This Row],[Pipeline_Amount_USD]]</f>
        <v>5355.78</v>
      </c>
      <c r="O5231" t="str">
        <f>_xlfn.XLOOKUP(Pipeline_tbl[[#This Row],[Rep_ID]],Dim_Reps!A:A,Dim_Reps!B:B)</f>
        <v>Priya Weber</v>
      </c>
      <c r="P5231" t="str">
        <f>_xlfn.XLOOKUP(Pipeline_tbl[[#This Row],[Rep_ID]],Dim_Reps!A:A,Dim_Reps!C:C)</f>
        <v>SDR / Inside Sales Rep</v>
      </c>
      <c r="Q5231" t="str">
        <f>_xlfn.XLOOKUP(Pipeline_tbl[[#This Row],[Rep_ID]],Dim_Reps!A:A,Dim_Reps!D:D)</f>
        <v>Inside Sales</v>
      </c>
      <c r="R5231" t="str">
        <f>_xlfn.XLOOKUP(Pipeline_tbl[[#This Row],[Rep_ID]],Dim_Reps!A:A,Dim_Reps!E:E)</f>
        <v>NAMER</v>
      </c>
      <c r="S5231" t="str">
        <f>_xlfn.XLOOKUP(Pipeline_tbl[[#This Row],[Created_Date]],Dim_Date!A:A,Dim_Date!H:H)</f>
        <v>Dec 2025</v>
      </c>
      <c r="T5231" t="str">
        <f>IF(Pipeline_tbl[[#This Row],[Closed_Date]]=0,"",(_xlfn.XLOOKUP(Pipeline_tbl[[#This Row],[Closed_Date]],Dim_Date!A:A,Dim_Date!H:H)))</f>
        <v/>
      </c>
      <c r="U5231" t="str">
        <f>IF(Pipeline_tbl[[#This Row],[Closed_Date]]=0,"",Pipeline_tbl[[#This Row],[Closed_Date]]-Pipeline_tbl[[#This Row],[Created_Date]])</f>
        <v/>
      </c>
    </row>
    <row r="5232" spans="1:21" ht="15" customHeight="1" x14ac:dyDescent="0.2">
      <c r="A5232" t="s">
        <v>5538</v>
      </c>
      <c r="B5232" t="s">
        <v>217</v>
      </c>
      <c r="C5232" t="s">
        <v>52</v>
      </c>
      <c r="D5232" s="49">
        <v>46014</v>
      </c>
      <c r="E5232" s="49">
        <v>46016</v>
      </c>
      <c r="F5232" s="49">
        <v>46019</v>
      </c>
      <c r="J5232" t="s">
        <v>308</v>
      </c>
      <c r="K5232" s="33">
        <v>3900</v>
      </c>
      <c r="M5232" t="str">
        <f>_xlfn.XLOOKUP(Pipeline_tbl[[#This Row],[Rep_ID]],Dim_Reps!A:A,Dim_Reps!K:K)</f>
        <v>USD</v>
      </c>
      <c r="N5232" s="33">
        <f>(_xlfn.XLOOKUP(Pipeline_tbl[[#This Row],[Rate_Code_Generalized]],Lookups!A:A,Lookups!B:B))*Pipeline_tbl[[#This Row],[Pipeline_Amount_USD]]</f>
        <v>4540.7699999999995</v>
      </c>
      <c r="O5232" t="str">
        <f>_xlfn.XLOOKUP(Pipeline_tbl[[#This Row],[Rep_ID]],Dim_Reps!A:A,Dim_Reps!B:B)</f>
        <v>Priya Weber</v>
      </c>
      <c r="P5232" t="str">
        <f>_xlfn.XLOOKUP(Pipeline_tbl[[#This Row],[Rep_ID]],Dim_Reps!A:A,Dim_Reps!C:C)</f>
        <v>SDR / Inside Sales Rep</v>
      </c>
      <c r="Q5232" t="str">
        <f>_xlfn.XLOOKUP(Pipeline_tbl[[#This Row],[Rep_ID]],Dim_Reps!A:A,Dim_Reps!D:D)</f>
        <v>Inside Sales</v>
      </c>
      <c r="R5232" t="str">
        <f>_xlfn.XLOOKUP(Pipeline_tbl[[#This Row],[Rep_ID]],Dim_Reps!A:A,Dim_Reps!E:E)</f>
        <v>NAMER</v>
      </c>
      <c r="S5232" t="str">
        <f>_xlfn.XLOOKUP(Pipeline_tbl[[#This Row],[Created_Date]],Dim_Date!A:A,Dim_Date!H:H)</f>
        <v>Dec 2025</v>
      </c>
      <c r="T5232" t="str">
        <f>IF(Pipeline_tbl[[#This Row],[Closed_Date]]=0,"",(_xlfn.XLOOKUP(Pipeline_tbl[[#This Row],[Closed_Date]],Dim_Date!A:A,Dim_Date!H:H)))</f>
        <v/>
      </c>
      <c r="U5232" t="str">
        <f>IF(Pipeline_tbl[[#This Row],[Closed_Date]]=0,"",Pipeline_tbl[[#This Row],[Closed_Date]]-Pipeline_tbl[[#This Row],[Created_Date]])</f>
        <v/>
      </c>
    </row>
    <row r="5233" spans="1:21" ht="15" customHeight="1" x14ac:dyDescent="0.2">
      <c r="A5233" t="s">
        <v>5539</v>
      </c>
      <c r="B5233" t="s">
        <v>217</v>
      </c>
      <c r="C5233" t="s">
        <v>52</v>
      </c>
      <c r="D5233" s="49">
        <v>46021</v>
      </c>
      <c r="E5233" s="49">
        <v>46022</v>
      </c>
      <c r="J5233" t="s">
        <v>308</v>
      </c>
      <c r="K5233" s="33">
        <v>3300</v>
      </c>
      <c r="M5233" t="str">
        <f>_xlfn.XLOOKUP(Pipeline_tbl[[#This Row],[Rep_ID]],Dim_Reps!A:A,Dim_Reps!K:K)</f>
        <v>USD</v>
      </c>
      <c r="N5233" s="33">
        <f>(_xlfn.XLOOKUP(Pipeline_tbl[[#This Row],[Rate_Code_Generalized]],Lookups!A:A,Lookups!B:B))*Pipeline_tbl[[#This Row],[Pipeline_Amount_USD]]</f>
        <v>3842.1899999999996</v>
      </c>
      <c r="O5233" t="str">
        <f>_xlfn.XLOOKUP(Pipeline_tbl[[#This Row],[Rep_ID]],Dim_Reps!A:A,Dim_Reps!B:B)</f>
        <v>Priya Weber</v>
      </c>
      <c r="P5233" t="str">
        <f>_xlfn.XLOOKUP(Pipeline_tbl[[#This Row],[Rep_ID]],Dim_Reps!A:A,Dim_Reps!C:C)</f>
        <v>SDR / Inside Sales Rep</v>
      </c>
      <c r="Q5233" t="str">
        <f>_xlfn.XLOOKUP(Pipeline_tbl[[#This Row],[Rep_ID]],Dim_Reps!A:A,Dim_Reps!D:D)</f>
        <v>Inside Sales</v>
      </c>
      <c r="R5233" t="str">
        <f>_xlfn.XLOOKUP(Pipeline_tbl[[#This Row],[Rep_ID]],Dim_Reps!A:A,Dim_Reps!E:E)</f>
        <v>NAMER</v>
      </c>
      <c r="S5233" t="str">
        <f>_xlfn.XLOOKUP(Pipeline_tbl[[#This Row],[Created_Date]],Dim_Date!A:A,Dim_Date!H:H)</f>
        <v>Dec 2025</v>
      </c>
      <c r="T5233" t="str">
        <f>IF(Pipeline_tbl[[#This Row],[Closed_Date]]=0,"",(_xlfn.XLOOKUP(Pipeline_tbl[[#This Row],[Closed_Date]],Dim_Date!A:A,Dim_Date!H:H)))</f>
        <v/>
      </c>
      <c r="U5233" t="str">
        <f>IF(Pipeline_tbl[[#This Row],[Closed_Date]]=0,"",Pipeline_tbl[[#This Row],[Closed_Date]]-Pipeline_tbl[[#This Row],[Created_Date]])</f>
        <v/>
      </c>
    </row>
    <row r="5234" spans="1:21" ht="15" customHeight="1" x14ac:dyDescent="0.2">
      <c r="A5234" t="s">
        <v>5540</v>
      </c>
      <c r="B5234" t="s">
        <v>217</v>
      </c>
      <c r="C5234" t="s">
        <v>55</v>
      </c>
      <c r="D5234" s="49">
        <v>46006</v>
      </c>
      <c r="E5234" s="49">
        <v>46008</v>
      </c>
      <c r="F5234" s="49">
        <v>46011</v>
      </c>
      <c r="G5234" s="49">
        <v>46016</v>
      </c>
      <c r="H5234" s="49">
        <v>46020</v>
      </c>
      <c r="J5234" t="s">
        <v>308</v>
      </c>
      <c r="K5234" s="33">
        <v>6000</v>
      </c>
      <c r="M5234" t="str">
        <f>_xlfn.XLOOKUP(Pipeline_tbl[[#This Row],[Rep_ID]],Dim_Reps!A:A,Dim_Reps!K:K)</f>
        <v>USD</v>
      </c>
      <c r="N5234" s="33">
        <f>(_xlfn.XLOOKUP(Pipeline_tbl[[#This Row],[Rate_Code_Generalized]],Lookups!A:A,Lookups!B:B))*Pipeline_tbl[[#This Row],[Pipeline_Amount_USD]]</f>
        <v>6985.7999999999993</v>
      </c>
      <c r="O5234" t="str">
        <f>_xlfn.XLOOKUP(Pipeline_tbl[[#This Row],[Rep_ID]],Dim_Reps!A:A,Dim_Reps!B:B)</f>
        <v>Priya Weber</v>
      </c>
      <c r="P5234" t="str">
        <f>_xlfn.XLOOKUP(Pipeline_tbl[[#This Row],[Rep_ID]],Dim_Reps!A:A,Dim_Reps!C:C)</f>
        <v>SDR / Inside Sales Rep</v>
      </c>
      <c r="Q5234" t="str">
        <f>_xlfn.XLOOKUP(Pipeline_tbl[[#This Row],[Rep_ID]],Dim_Reps!A:A,Dim_Reps!D:D)</f>
        <v>Inside Sales</v>
      </c>
      <c r="R5234" t="str">
        <f>_xlfn.XLOOKUP(Pipeline_tbl[[#This Row],[Rep_ID]],Dim_Reps!A:A,Dim_Reps!E:E)</f>
        <v>NAMER</v>
      </c>
      <c r="S5234" t="str">
        <f>_xlfn.XLOOKUP(Pipeline_tbl[[#This Row],[Created_Date]],Dim_Date!A:A,Dim_Date!H:H)</f>
        <v>Dec 2025</v>
      </c>
      <c r="T5234" t="str">
        <f>IF(Pipeline_tbl[[#This Row],[Closed_Date]]=0,"",(_xlfn.XLOOKUP(Pipeline_tbl[[#This Row],[Closed_Date]],Dim_Date!A:A,Dim_Date!H:H)))</f>
        <v/>
      </c>
      <c r="U5234" t="str">
        <f>IF(Pipeline_tbl[[#This Row],[Closed_Date]]=0,"",Pipeline_tbl[[#This Row],[Closed_Date]]-Pipeline_tbl[[#This Row],[Created_Date]])</f>
        <v/>
      </c>
    </row>
    <row r="5235" spans="1:21" ht="15" customHeight="1" x14ac:dyDescent="0.2">
      <c r="A5235" t="s">
        <v>5541</v>
      </c>
      <c r="B5235" t="s">
        <v>217</v>
      </c>
      <c r="C5235" t="s">
        <v>52</v>
      </c>
      <c r="D5235" s="49">
        <v>46012</v>
      </c>
      <c r="E5235" s="49">
        <v>46014</v>
      </c>
      <c r="F5235" s="49">
        <v>46017</v>
      </c>
      <c r="G5235" s="49">
        <v>46022</v>
      </c>
      <c r="J5235" t="s">
        <v>308</v>
      </c>
      <c r="K5235" s="33">
        <v>4900</v>
      </c>
      <c r="M5235" t="str">
        <f>_xlfn.XLOOKUP(Pipeline_tbl[[#This Row],[Rep_ID]],Dim_Reps!A:A,Dim_Reps!K:K)</f>
        <v>USD</v>
      </c>
      <c r="N5235" s="33">
        <f>(_xlfn.XLOOKUP(Pipeline_tbl[[#This Row],[Rate_Code_Generalized]],Lookups!A:A,Lookups!B:B))*Pipeline_tbl[[#This Row],[Pipeline_Amount_USD]]</f>
        <v>5705.07</v>
      </c>
      <c r="O5235" t="str">
        <f>_xlfn.XLOOKUP(Pipeline_tbl[[#This Row],[Rep_ID]],Dim_Reps!A:A,Dim_Reps!B:B)</f>
        <v>Priya Weber</v>
      </c>
      <c r="P5235" t="str">
        <f>_xlfn.XLOOKUP(Pipeline_tbl[[#This Row],[Rep_ID]],Dim_Reps!A:A,Dim_Reps!C:C)</f>
        <v>SDR / Inside Sales Rep</v>
      </c>
      <c r="Q5235" t="str">
        <f>_xlfn.XLOOKUP(Pipeline_tbl[[#This Row],[Rep_ID]],Dim_Reps!A:A,Dim_Reps!D:D)</f>
        <v>Inside Sales</v>
      </c>
      <c r="R5235" t="str">
        <f>_xlfn.XLOOKUP(Pipeline_tbl[[#This Row],[Rep_ID]],Dim_Reps!A:A,Dim_Reps!E:E)</f>
        <v>NAMER</v>
      </c>
      <c r="S5235" t="str">
        <f>_xlfn.XLOOKUP(Pipeline_tbl[[#This Row],[Created_Date]],Dim_Date!A:A,Dim_Date!H:H)</f>
        <v>Dec 2025</v>
      </c>
      <c r="T5235" t="str">
        <f>IF(Pipeline_tbl[[#This Row],[Closed_Date]]=0,"",(_xlfn.XLOOKUP(Pipeline_tbl[[#This Row],[Closed_Date]],Dim_Date!A:A,Dim_Date!H:H)))</f>
        <v/>
      </c>
      <c r="U5235" t="str">
        <f>IF(Pipeline_tbl[[#This Row],[Closed_Date]]=0,"",Pipeline_tbl[[#This Row],[Closed_Date]]-Pipeline_tbl[[#This Row],[Created_Date]])</f>
        <v/>
      </c>
    </row>
    <row r="5236" spans="1:21" ht="15" customHeight="1" x14ac:dyDescent="0.2">
      <c r="A5236" t="s">
        <v>5542</v>
      </c>
      <c r="B5236" t="s">
        <v>217</v>
      </c>
      <c r="C5236" t="s">
        <v>52</v>
      </c>
      <c r="D5236" s="49">
        <v>46015</v>
      </c>
      <c r="E5236" s="49">
        <v>46017</v>
      </c>
      <c r="F5236" s="49">
        <v>46020</v>
      </c>
      <c r="J5236" t="s">
        <v>308</v>
      </c>
      <c r="K5236" s="33">
        <v>5300</v>
      </c>
      <c r="M5236" t="str">
        <f>_xlfn.XLOOKUP(Pipeline_tbl[[#This Row],[Rep_ID]],Dim_Reps!A:A,Dim_Reps!K:K)</f>
        <v>USD</v>
      </c>
      <c r="N5236" s="33">
        <f>(_xlfn.XLOOKUP(Pipeline_tbl[[#This Row],[Rate_Code_Generalized]],Lookups!A:A,Lookups!B:B))*Pipeline_tbl[[#This Row],[Pipeline_Amount_USD]]</f>
        <v>6170.7899999999991</v>
      </c>
      <c r="O5236" t="str">
        <f>_xlfn.XLOOKUP(Pipeline_tbl[[#This Row],[Rep_ID]],Dim_Reps!A:A,Dim_Reps!B:B)</f>
        <v>Priya Weber</v>
      </c>
      <c r="P5236" t="str">
        <f>_xlfn.XLOOKUP(Pipeline_tbl[[#This Row],[Rep_ID]],Dim_Reps!A:A,Dim_Reps!C:C)</f>
        <v>SDR / Inside Sales Rep</v>
      </c>
      <c r="Q5236" t="str">
        <f>_xlfn.XLOOKUP(Pipeline_tbl[[#This Row],[Rep_ID]],Dim_Reps!A:A,Dim_Reps!D:D)</f>
        <v>Inside Sales</v>
      </c>
      <c r="R5236" t="str">
        <f>_xlfn.XLOOKUP(Pipeline_tbl[[#This Row],[Rep_ID]],Dim_Reps!A:A,Dim_Reps!E:E)</f>
        <v>NAMER</v>
      </c>
      <c r="S5236" t="str">
        <f>_xlfn.XLOOKUP(Pipeline_tbl[[#This Row],[Created_Date]],Dim_Date!A:A,Dim_Date!H:H)</f>
        <v>Dec 2025</v>
      </c>
      <c r="T5236" t="str">
        <f>IF(Pipeline_tbl[[#This Row],[Closed_Date]]=0,"",(_xlfn.XLOOKUP(Pipeline_tbl[[#This Row],[Closed_Date]],Dim_Date!A:A,Dim_Date!H:H)))</f>
        <v/>
      </c>
      <c r="U5236" t="str">
        <f>IF(Pipeline_tbl[[#This Row],[Closed_Date]]=0,"",Pipeline_tbl[[#This Row],[Closed_Date]]-Pipeline_tbl[[#This Row],[Created_Date]])</f>
        <v/>
      </c>
    </row>
    <row r="5237" spans="1:21" ht="15" customHeight="1" x14ac:dyDescent="0.2">
      <c r="A5237" t="s">
        <v>5543</v>
      </c>
      <c r="B5237" t="s">
        <v>217</v>
      </c>
      <c r="C5237" t="s">
        <v>55</v>
      </c>
      <c r="D5237" s="49">
        <v>46007</v>
      </c>
      <c r="E5237" s="49">
        <v>46009</v>
      </c>
      <c r="F5237" s="49">
        <v>46012</v>
      </c>
      <c r="G5237" s="49">
        <v>46017</v>
      </c>
      <c r="H5237" s="49">
        <v>46021</v>
      </c>
      <c r="J5237" t="s">
        <v>308</v>
      </c>
      <c r="K5237" s="33">
        <v>3400</v>
      </c>
      <c r="M5237" t="str">
        <f>_xlfn.XLOOKUP(Pipeline_tbl[[#This Row],[Rep_ID]],Dim_Reps!A:A,Dim_Reps!K:K)</f>
        <v>USD</v>
      </c>
      <c r="N5237" s="33">
        <f>(_xlfn.XLOOKUP(Pipeline_tbl[[#This Row],[Rate_Code_Generalized]],Lookups!A:A,Lookups!B:B))*Pipeline_tbl[[#This Row],[Pipeline_Amount_USD]]</f>
        <v>3958.6199999999994</v>
      </c>
      <c r="O5237" t="str">
        <f>_xlfn.XLOOKUP(Pipeline_tbl[[#This Row],[Rep_ID]],Dim_Reps!A:A,Dim_Reps!B:B)</f>
        <v>Priya Weber</v>
      </c>
      <c r="P5237" t="str">
        <f>_xlfn.XLOOKUP(Pipeline_tbl[[#This Row],[Rep_ID]],Dim_Reps!A:A,Dim_Reps!C:C)</f>
        <v>SDR / Inside Sales Rep</v>
      </c>
      <c r="Q5237" t="str">
        <f>_xlfn.XLOOKUP(Pipeline_tbl[[#This Row],[Rep_ID]],Dim_Reps!A:A,Dim_Reps!D:D)</f>
        <v>Inside Sales</v>
      </c>
      <c r="R5237" t="str">
        <f>_xlfn.XLOOKUP(Pipeline_tbl[[#This Row],[Rep_ID]],Dim_Reps!A:A,Dim_Reps!E:E)</f>
        <v>NAMER</v>
      </c>
      <c r="S5237" t="str">
        <f>_xlfn.XLOOKUP(Pipeline_tbl[[#This Row],[Created_Date]],Dim_Date!A:A,Dim_Date!H:H)</f>
        <v>Dec 2025</v>
      </c>
      <c r="T5237" t="str">
        <f>IF(Pipeline_tbl[[#This Row],[Closed_Date]]=0,"",(_xlfn.XLOOKUP(Pipeline_tbl[[#This Row],[Closed_Date]],Dim_Date!A:A,Dim_Date!H:H)))</f>
        <v/>
      </c>
      <c r="U5237" t="str">
        <f>IF(Pipeline_tbl[[#This Row],[Closed_Date]]=0,"",Pipeline_tbl[[#This Row],[Closed_Date]]-Pipeline_tbl[[#This Row],[Created_Date]])</f>
        <v/>
      </c>
    </row>
    <row r="5238" spans="1:21" ht="15" customHeight="1" x14ac:dyDescent="0.2">
      <c r="A5238" t="s">
        <v>5544</v>
      </c>
      <c r="B5238" t="s">
        <v>217</v>
      </c>
      <c r="C5238" t="s">
        <v>52</v>
      </c>
      <c r="D5238" s="49">
        <v>45998</v>
      </c>
      <c r="E5238" s="49">
        <v>46001</v>
      </c>
      <c r="F5238" s="49">
        <v>46007</v>
      </c>
      <c r="G5238" s="49">
        <v>46015</v>
      </c>
      <c r="J5238" t="s">
        <v>308</v>
      </c>
      <c r="K5238" s="33">
        <v>3200</v>
      </c>
      <c r="M5238" t="str">
        <f>_xlfn.XLOOKUP(Pipeline_tbl[[#This Row],[Rep_ID]],Dim_Reps!A:A,Dim_Reps!K:K)</f>
        <v>USD</v>
      </c>
      <c r="N5238" s="33">
        <f>(_xlfn.XLOOKUP(Pipeline_tbl[[#This Row],[Rate_Code_Generalized]],Lookups!A:A,Lookups!B:B))*Pipeline_tbl[[#This Row],[Pipeline_Amount_USD]]</f>
        <v>3725.7599999999998</v>
      </c>
      <c r="O5238" t="str">
        <f>_xlfn.XLOOKUP(Pipeline_tbl[[#This Row],[Rep_ID]],Dim_Reps!A:A,Dim_Reps!B:B)</f>
        <v>Priya Weber</v>
      </c>
      <c r="P5238" t="str">
        <f>_xlfn.XLOOKUP(Pipeline_tbl[[#This Row],[Rep_ID]],Dim_Reps!A:A,Dim_Reps!C:C)</f>
        <v>SDR / Inside Sales Rep</v>
      </c>
      <c r="Q5238" t="str">
        <f>_xlfn.XLOOKUP(Pipeline_tbl[[#This Row],[Rep_ID]],Dim_Reps!A:A,Dim_Reps!D:D)</f>
        <v>Inside Sales</v>
      </c>
      <c r="R5238" t="str">
        <f>_xlfn.XLOOKUP(Pipeline_tbl[[#This Row],[Rep_ID]],Dim_Reps!A:A,Dim_Reps!E:E)</f>
        <v>NAMER</v>
      </c>
      <c r="S5238" t="str">
        <f>_xlfn.XLOOKUP(Pipeline_tbl[[#This Row],[Created_Date]],Dim_Date!A:A,Dim_Date!H:H)</f>
        <v>Dec 2025</v>
      </c>
      <c r="T5238" t="str">
        <f>IF(Pipeline_tbl[[#This Row],[Closed_Date]]=0,"",(_xlfn.XLOOKUP(Pipeline_tbl[[#This Row],[Closed_Date]],Dim_Date!A:A,Dim_Date!H:H)))</f>
        <v/>
      </c>
      <c r="U5238" t="str">
        <f>IF(Pipeline_tbl[[#This Row],[Closed_Date]]=0,"",Pipeline_tbl[[#This Row],[Closed_Date]]-Pipeline_tbl[[#This Row],[Created_Date]])</f>
        <v/>
      </c>
    </row>
    <row r="5239" spans="1:21" ht="15" customHeight="1" x14ac:dyDescent="0.2">
      <c r="A5239" t="s">
        <v>5545</v>
      </c>
      <c r="B5239" t="s">
        <v>217</v>
      </c>
      <c r="C5239" t="s">
        <v>54</v>
      </c>
      <c r="D5239" s="49">
        <v>46018</v>
      </c>
      <c r="E5239" s="49">
        <v>46020</v>
      </c>
      <c r="J5239" t="s">
        <v>308</v>
      </c>
      <c r="K5239" s="33">
        <v>2300</v>
      </c>
      <c r="M5239" t="str">
        <f>_xlfn.XLOOKUP(Pipeline_tbl[[#This Row],[Rep_ID]],Dim_Reps!A:A,Dim_Reps!K:K)</f>
        <v>USD</v>
      </c>
      <c r="N5239" s="33">
        <f>(_xlfn.XLOOKUP(Pipeline_tbl[[#This Row],[Rate_Code_Generalized]],Lookups!A:A,Lookups!B:B))*Pipeline_tbl[[#This Row],[Pipeline_Amount_USD]]</f>
        <v>2677.89</v>
      </c>
      <c r="O5239" t="str">
        <f>_xlfn.XLOOKUP(Pipeline_tbl[[#This Row],[Rep_ID]],Dim_Reps!A:A,Dim_Reps!B:B)</f>
        <v>Priya Weber</v>
      </c>
      <c r="P5239" t="str">
        <f>_xlfn.XLOOKUP(Pipeline_tbl[[#This Row],[Rep_ID]],Dim_Reps!A:A,Dim_Reps!C:C)</f>
        <v>SDR / Inside Sales Rep</v>
      </c>
      <c r="Q5239" t="str">
        <f>_xlfn.XLOOKUP(Pipeline_tbl[[#This Row],[Rep_ID]],Dim_Reps!A:A,Dim_Reps!D:D)</f>
        <v>Inside Sales</v>
      </c>
      <c r="R5239" t="str">
        <f>_xlfn.XLOOKUP(Pipeline_tbl[[#This Row],[Rep_ID]],Dim_Reps!A:A,Dim_Reps!E:E)</f>
        <v>NAMER</v>
      </c>
      <c r="S5239" t="str">
        <f>_xlfn.XLOOKUP(Pipeline_tbl[[#This Row],[Created_Date]],Dim_Date!A:A,Dim_Date!H:H)</f>
        <v>Dec 2025</v>
      </c>
      <c r="T5239" t="str">
        <f>IF(Pipeline_tbl[[#This Row],[Closed_Date]]=0,"",(_xlfn.XLOOKUP(Pipeline_tbl[[#This Row],[Closed_Date]],Dim_Date!A:A,Dim_Date!H:H)))</f>
        <v/>
      </c>
      <c r="U5239" t="str">
        <f>IF(Pipeline_tbl[[#This Row],[Closed_Date]]=0,"",Pipeline_tbl[[#This Row],[Closed_Date]]-Pipeline_tbl[[#This Row],[Created_Date]])</f>
        <v/>
      </c>
    </row>
    <row r="5240" spans="1:21" ht="15" customHeight="1" x14ac:dyDescent="0.2">
      <c r="A5240" t="s">
        <v>5546</v>
      </c>
      <c r="B5240" t="s">
        <v>217</v>
      </c>
      <c r="C5240" t="s">
        <v>52</v>
      </c>
      <c r="D5240" s="49">
        <v>46021</v>
      </c>
      <c r="J5240" t="s">
        <v>308</v>
      </c>
      <c r="K5240" s="33">
        <v>4100</v>
      </c>
      <c r="M5240" t="str">
        <f>_xlfn.XLOOKUP(Pipeline_tbl[[#This Row],[Rep_ID]],Dim_Reps!A:A,Dim_Reps!K:K)</f>
        <v>USD</v>
      </c>
      <c r="N5240" s="33">
        <f>(_xlfn.XLOOKUP(Pipeline_tbl[[#This Row],[Rate_Code_Generalized]],Lookups!A:A,Lookups!B:B))*Pipeline_tbl[[#This Row],[Pipeline_Amount_USD]]</f>
        <v>4773.6299999999992</v>
      </c>
      <c r="O5240" t="str">
        <f>_xlfn.XLOOKUP(Pipeline_tbl[[#This Row],[Rep_ID]],Dim_Reps!A:A,Dim_Reps!B:B)</f>
        <v>Priya Weber</v>
      </c>
      <c r="P5240" t="str">
        <f>_xlfn.XLOOKUP(Pipeline_tbl[[#This Row],[Rep_ID]],Dim_Reps!A:A,Dim_Reps!C:C)</f>
        <v>SDR / Inside Sales Rep</v>
      </c>
      <c r="Q5240" t="str">
        <f>_xlfn.XLOOKUP(Pipeline_tbl[[#This Row],[Rep_ID]],Dim_Reps!A:A,Dim_Reps!D:D)</f>
        <v>Inside Sales</v>
      </c>
      <c r="R5240" t="str">
        <f>_xlfn.XLOOKUP(Pipeline_tbl[[#This Row],[Rep_ID]],Dim_Reps!A:A,Dim_Reps!E:E)</f>
        <v>NAMER</v>
      </c>
      <c r="S5240" t="str">
        <f>_xlfn.XLOOKUP(Pipeline_tbl[[#This Row],[Created_Date]],Dim_Date!A:A,Dim_Date!H:H)</f>
        <v>Dec 2025</v>
      </c>
      <c r="T5240" t="str">
        <f>IF(Pipeline_tbl[[#This Row],[Closed_Date]]=0,"",(_xlfn.XLOOKUP(Pipeline_tbl[[#This Row],[Closed_Date]],Dim_Date!A:A,Dim_Date!H:H)))</f>
        <v/>
      </c>
      <c r="U5240" t="str">
        <f>IF(Pipeline_tbl[[#This Row],[Closed_Date]]=0,"",Pipeline_tbl[[#This Row],[Closed_Date]]-Pipeline_tbl[[#This Row],[Created_Date]])</f>
        <v/>
      </c>
    </row>
    <row r="5241" spans="1:21" ht="15" customHeight="1" x14ac:dyDescent="0.2">
      <c r="A5241" t="s">
        <v>5547</v>
      </c>
      <c r="B5241" t="s">
        <v>217</v>
      </c>
      <c r="C5241" t="s">
        <v>52</v>
      </c>
      <c r="D5241" s="49">
        <v>46009</v>
      </c>
      <c r="E5241" s="49">
        <v>46011</v>
      </c>
      <c r="F5241" s="49">
        <v>46014</v>
      </c>
      <c r="G5241" s="49">
        <v>46019</v>
      </c>
      <c r="J5241" t="s">
        <v>308</v>
      </c>
      <c r="K5241" s="33">
        <v>3100</v>
      </c>
      <c r="M5241" t="str">
        <f>_xlfn.XLOOKUP(Pipeline_tbl[[#This Row],[Rep_ID]],Dim_Reps!A:A,Dim_Reps!K:K)</f>
        <v>USD</v>
      </c>
      <c r="N5241" s="33">
        <f>(_xlfn.XLOOKUP(Pipeline_tbl[[#This Row],[Rate_Code_Generalized]],Lookups!A:A,Lookups!B:B))*Pipeline_tbl[[#This Row],[Pipeline_Amount_USD]]</f>
        <v>3609.3299999999995</v>
      </c>
      <c r="O5241" t="str">
        <f>_xlfn.XLOOKUP(Pipeline_tbl[[#This Row],[Rep_ID]],Dim_Reps!A:A,Dim_Reps!B:B)</f>
        <v>Priya Weber</v>
      </c>
      <c r="P5241" t="str">
        <f>_xlfn.XLOOKUP(Pipeline_tbl[[#This Row],[Rep_ID]],Dim_Reps!A:A,Dim_Reps!C:C)</f>
        <v>SDR / Inside Sales Rep</v>
      </c>
      <c r="Q5241" t="str">
        <f>_xlfn.XLOOKUP(Pipeline_tbl[[#This Row],[Rep_ID]],Dim_Reps!A:A,Dim_Reps!D:D)</f>
        <v>Inside Sales</v>
      </c>
      <c r="R5241" t="str">
        <f>_xlfn.XLOOKUP(Pipeline_tbl[[#This Row],[Rep_ID]],Dim_Reps!A:A,Dim_Reps!E:E)</f>
        <v>NAMER</v>
      </c>
      <c r="S5241" t="str">
        <f>_xlfn.XLOOKUP(Pipeline_tbl[[#This Row],[Created_Date]],Dim_Date!A:A,Dim_Date!H:H)</f>
        <v>Dec 2025</v>
      </c>
      <c r="T5241" t="str">
        <f>IF(Pipeline_tbl[[#This Row],[Closed_Date]]=0,"",(_xlfn.XLOOKUP(Pipeline_tbl[[#This Row],[Closed_Date]],Dim_Date!A:A,Dim_Date!H:H)))</f>
        <v/>
      </c>
      <c r="U5241" t="str">
        <f>IF(Pipeline_tbl[[#This Row],[Closed_Date]]=0,"",Pipeline_tbl[[#This Row],[Closed_Date]]-Pipeline_tbl[[#This Row],[Created_Date]])</f>
        <v/>
      </c>
    </row>
    <row r="5242" spans="1:21" ht="15" customHeight="1" x14ac:dyDescent="0.2">
      <c r="A5242" t="s">
        <v>5548</v>
      </c>
      <c r="B5242" t="s">
        <v>217</v>
      </c>
      <c r="C5242" t="s">
        <v>54</v>
      </c>
      <c r="D5242" s="49">
        <v>46014</v>
      </c>
      <c r="E5242" s="49">
        <v>46015</v>
      </c>
      <c r="F5242" s="49">
        <v>46018</v>
      </c>
      <c r="G5242" s="49">
        <v>46022</v>
      </c>
      <c r="J5242" t="s">
        <v>308</v>
      </c>
      <c r="K5242" s="33">
        <v>4100</v>
      </c>
      <c r="M5242" t="str">
        <f>_xlfn.XLOOKUP(Pipeline_tbl[[#This Row],[Rep_ID]],Dim_Reps!A:A,Dim_Reps!K:K)</f>
        <v>USD</v>
      </c>
      <c r="N5242" s="33">
        <f>(_xlfn.XLOOKUP(Pipeline_tbl[[#This Row],[Rate_Code_Generalized]],Lookups!A:A,Lookups!B:B))*Pipeline_tbl[[#This Row],[Pipeline_Amount_USD]]</f>
        <v>4773.6299999999992</v>
      </c>
      <c r="O5242" t="str">
        <f>_xlfn.XLOOKUP(Pipeline_tbl[[#This Row],[Rep_ID]],Dim_Reps!A:A,Dim_Reps!B:B)</f>
        <v>Priya Weber</v>
      </c>
      <c r="P5242" t="str">
        <f>_xlfn.XLOOKUP(Pipeline_tbl[[#This Row],[Rep_ID]],Dim_Reps!A:A,Dim_Reps!C:C)</f>
        <v>SDR / Inside Sales Rep</v>
      </c>
      <c r="Q5242" t="str">
        <f>_xlfn.XLOOKUP(Pipeline_tbl[[#This Row],[Rep_ID]],Dim_Reps!A:A,Dim_Reps!D:D)</f>
        <v>Inside Sales</v>
      </c>
      <c r="R5242" t="str">
        <f>_xlfn.XLOOKUP(Pipeline_tbl[[#This Row],[Rep_ID]],Dim_Reps!A:A,Dim_Reps!E:E)</f>
        <v>NAMER</v>
      </c>
      <c r="S5242" t="str">
        <f>_xlfn.XLOOKUP(Pipeline_tbl[[#This Row],[Created_Date]],Dim_Date!A:A,Dim_Date!H:H)</f>
        <v>Dec 2025</v>
      </c>
      <c r="T5242" t="str">
        <f>IF(Pipeline_tbl[[#This Row],[Closed_Date]]=0,"",(_xlfn.XLOOKUP(Pipeline_tbl[[#This Row],[Closed_Date]],Dim_Date!A:A,Dim_Date!H:H)))</f>
        <v/>
      </c>
      <c r="U5242" t="str">
        <f>IF(Pipeline_tbl[[#This Row],[Closed_Date]]=0,"",Pipeline_tbl[[#This Row],[Closed_Date]]-Pipeline_tbl[[#This Row],[Created_Date]])</f>
        <v/>
      </c>
    </row>
    <row r="5243" spans="1:21" ht="15" customHeight="1" x14ac:dyDescent="0.2">
      <c r="A5243" t="s">
        <v>5549</v>
      </c>
      <c r="B5243" t="s">
        <v>219</v>
      </c>
      <c r="C5243" t="s">
        <v>52</v>
      </c>
      <c r="D5243" s="49">
        <v>46016</v>
      </c>
      <c r="E5243" s="49">
        <v>46018</v>
      </c>
      <c r="F5243" s="49">
        <v>46022</v>
      </c>
      <c r="J5243" t="s">
        <v>308</v>
      </c>
      <c r="K5243" s="33">
        <v>4600</v>
      </c>
      <c r="M5243" t="str">
        <f>_xlfn.XLOOKUP(Pipeline_tbl[[#This Row],[Rep_ID]],Dim_Reps!A:A,Dim_Reps!K:K)</f>
        <v>EUR</v>
      </c>
      <c r="N5243" s="33">
        <f>(_xlfn.XLOOKUP(Pipeline_tbl[[#This Row],[Rate_Code_Generalized]],Lookups!A:A,Lookups!B:B))*Pipeline_tbl[[#This Row],[Pipeline_Amount_USD]]</f>
        <v>4600</v>
      </c>
      <c r="O5243" t="str">
        <f>_xlfn.XLOOKUP(Pipeline_tbl[[#This Row],[Rep_ID]],Dim_Reps!A:A,Dim_Reps!B:B)</f>
        <v>Riley Duarte</v>
      </c>
      <c r="P5243" t="str">
        <f>_xlfn.XLOOKUP(Pipeline_tbl[[#This Row],[Rep_ID]],Dim_Reps!A:A,Dim_Reps!C:C)</f>
        <v>SDR / Inside Sales Rep</v>
      </c>
      <c r="Q5243" t="str">
        <f>_xlfn.XLOOKUP(Pipeline_tbl[[#This Row],[Rep_ID]],Dim_Reps!A:A,Dim_Reps!D:D)</f>
        <v>Inside Sales</v>
      </c>
      <c r="R5243" t="str">
        <f>_xlfn.XLOOKUP(Pipeline_tbl[[#This Row],[Rep_ID]],Dim_Reps!A:A,Dim_Reps!E:E)</f>
        <v>APAC</v>
      </c>
      <c r="S5243" t="str">
        <f>_xlfn.XLOOKUP(Pipeline_tbl[[#This Row],[Created_Date]],Dim_Date!A:A,Dim_Date!H:H)</f>
        <v>Dec 2025</v>
      </c>
      <c r="T5243" t="str">
        <f>IF(Pipeline_tbl[[#This Row],[Closed_Date]]=0,"",(_xlfn.XLOOKUP(Pipeline_tbl[[#This Row],[Closed_Date]],Dim_Date!A:A,Dim_Date!H:H)))</f>
        <v/>
      </c>
      <c r="U5243" t="str">
        <f>IF(Pipeline_tbl[[#This Row],[Closed_Date]]=0,"",Pipeline_tbl[[#This Row],[Closed_Date]]-Pipeline_tbl[[#This Row],[Created_Date]])</f>
        <v/>
      </c>
    </row>
    <row r="5244" spans="1:21" ht="15" customHeight="1" x14ac:dyDescent="0.2">
      <c r="A5244" t="s">
        <v>5550</v>
      </c>
      <c r="B5244" t="s">
        <v>219</v>
      </c>
      <c r="C5244" t="s">
        <v>55</v>
      </c>
      <c r="D5244" s="49">
        <v>46022</v>
      </c>
      <c r="J5244" t="s">
        <v>308</v>
      </c>
      <c r="K5244" s="33">
        <v>2300</v>
      </c>
      <c r="M5244" t="str">
        <f>_xlfn.XLOOKUP(Pipeline_tbl[[#This Row],[Rep_ID]],Dim_Reps!A:A,Dim_Reps!K:K)</f>
        <v>EUR</v>
      </c>
      <c r="N5244" s="33">
        <f>(_xlfn.XLOOKUP(Pipeline_tbl[[#This Row],[Rate_Code_Generalized]],Lookups!A:A,Lookups!B:B))*Pipeline_tbl[[#This Row],[Pipeline_Amount_USD]]</f>
        <v>2300</v>
      </c>
      <c r="O5244" t="str">
        <f>_xlfn.XLOOKUP(Pipeline_tbl[[#This Row],[Rep_ID]],Dim_Reps!A:A,Dim_Reps!B:B)</f>
        <v>Riley Duarte</v>
      </c>
      <c r="P5244" t="str">
        <f>_xlfn.XLOOKUP(Pipeline_tbl[[#This Row],[Rep_ID]],Dim_Reps!A:A,Dim_Reps!C:C)</f>
        <v>SDR / Inside Sales Rep</v>
      </c>
      <c r="Q5244" t="str">
        <f>_xlfn.XLOOKUP(Pipeline_tbl[[#This Row],[Rep_ID]],Dim_Reps!A:A,Dim_Reps!D:D)</f>
        <v>Inside Sales</v>
      </c>
      <c r="R5244" t="str">
        <f>_xlfn.XLOOKUP(Pipeline_tbl[[#This Row],[Rep_ID]],Dim_Reps!A:A,Dim_Reps!E:E)</f>
        <v>APAC</v>
      </c>
      <c r="S5244" t="str">
        <f>_xlfn.XLOOKUP(Pipeline_tbl[[#This Row],[Created_Date]],Dim_Date!A:A,Dim_Date!H:H)</f>
        <v>Dec 2025</v>
      </c>
      <c r="T5244" t="str">
        <f>IF(Pipeline_tbl[[#This Row],[Closed_Date]]=0,"",(_xlfn.XLOOKUP(Pipeline_tbl[[#This Row],[Closed_Date]],Dim_Date!A:A,Dim_Date!H:H)))</f>
        <v/>
      </c>
      <c r="U5244" t="str">
        <f>IF(Pipeline_tbl[[#This Row],[Closed_Date]]=0,"",Pipeline_tbl[[#This Row],[Closed_Date]]-Pipeline_tbl[[#This Row],[Created_Date]])</f>
        <v/>
      </c>
    </row>
    <row r="5245" spans="1:21" ht="15" customHeight="1" x14ac:dyDescent="0.2">
      <c r="A5245" t="s">
        <v>5551</v>
      </c>
      <c r="B5245" t="s">
        <v>219</v>
      </c>
      <c r="C5245" t="s">
        <v>55</v>
      </c>
      <c r="D5245" s="49">
        <v>46021</v>
      </c>
      <c r="E5245" s="49">
        <v>46022</v>
      </c>
      <c r="J5245" t="s">
        <v>308</v>
      </c>
      <c r="K5245" s="33">
        <v>5300</v>
      </c>
      <c r="M5245" t="str">
        <f>_xlfn.XLOOKUP(Pipeline_tbl[[#This Row],[Rep_ID]],Dim_Reps!A:A,Dim_Reps!K:K)</f>
        <v>EUR</v>
      </c>
      <c r="N5245" s="33">
        <f>(_xlfn.XLOOKUP(Pipeline_tbl[[#This Row],[Rate_Code_Generalized]],Lookups!A:A,Lookups!B:B))*Pipeline_tbl[[#This Row],[Pipeline_Amount_USD]]</f>
        <v>5300</v>
      </c>
      <c r="O5245" t="str">
        <f>_xlfn.XLOOKUP(Pipeline_tbl[[#This Row],[Rep_ID]],Dim_Reps!A:A,Dim_Reps!B:B)</f>
        <v>Riley Duarte</v>
      </c>
      <c r="P5245" t="str">
        <f>_xlfn.XLOOKUP(Pipeline_tbl[[#This Row],[Rep_ID]],Dim_Reps!A:A,Dim_Reps!C:C)</f>
        <v>SDR / Inside Sales Rep</v>
      </c>
      <c r="Q5245" t="str">
        <f>_xlfn.XLOOKUP(Pipeline_tbl[[#This Row],[Rep_ID]],Dim_Reps!A:A,Dim_Reps!D:D)</f>
        <v>Inside Sales</v>
      </c>
      <c r="R5245" t="str">
        <f>_xlfn.XLOOKUP(Pipeline_tbl[[#This Row],[Rep_ID]],Dim_Reps!A:A,Dim_Reps!E:E)</f>
        <v>APAC</v>
      </c>
      <c r="S5245" t="str">
        <f>_xlfn.XLOOKUP(Pipeline_tbl[[#This Row],[Created_Date]],Dim_Date!A:A,Dim_Date!H:H)</f>
        <v>Dec 2025</v>
      </c>
      <c r="T5245" t="str">
        <f>IF(Pipeline_tbl[[#This Row],[Closed_Date]]=0,"",(_xlfn.XLOOKUP(Pipeline_tbl[[#This Row],[Closed_Date]],Dim_Date!A:A,Dim_Date!H:H)))</f>
        <v/>
      </c>
      <c r="U5245" t="str">
        <f>IF(Pipeline_tbl[[#This Row],[Closed_Date]]=0,"",Pipeline_tbl[[#This Row],[Closed_Date]]-Pipeline_tbl[[#This Row],[Created_Date]])</f>
        <v/>
      </c>
    </row>
    <row r="5246" spans="1:21" ht="15" customHeight="1" x14ac:dyDescent="0.2">
      <c r="A5246" t="s">
        <v>5552</v>
      </c>
      <c r="B5246" t="s">
        <v>219</v>
      </c>
      <c r="C5246" t="s">
        <v>53</v>
      </c>
      <c r="D5246" s="49">
        <v>46012</v>
      </c>
      <c r="E5246" s="49">
        <v>46014</v>
      </c>
      <c r="F5246" s="49">
        <v>46017</v>
      </c>
      <c r="G5246" s="49">
        <v>46021</v>
      </c>
      <c r="J5246" t="s">
        <v>308</v>
      </c>
      <c r="K5246" s="33">
        <v>4500</v>
      </c>
      <c r="M5246" t="str">
        <f>_xlfn.XLOOKUP(Pipeline_tbl[[#This Row],[Rep_ID]],Dim_Reps!A:A,Dim_Reps!K:K)</f>
        <v>EUR</v>
      </c>
      <c r="N5246" s="33">
        <f>(_xlfn.XLOOKUP(Pipeline_tbl[[#This Row],[Rate_Code_Generalized]],Lookups!A:A,Lookups!B:B))*Pipeline_tbl[[#This Row],[Pipeline_Amount_USD]]</f>
        <v>4500</v>
      </c>
      <c r="O5246" t="str">
        <f>_xlfn.XLOOKUP(Pipeline_tbl[[#This Row],[Rep_ID]],Dim_Reps!A:A,Dim_Reps!B:B)</f>
        <v>Riley Duarte</v>
      </c>
      <c r="P5246" t="str">
        <f>_xlfn.XLOOKUP(Pipeline_tbl[[#This Row],[Rep_ID]],Dim_Reps!A:A,Dim_Reps!C:C)</f>
        <v>SDR / Inside Sales Rep</v>
      </c>
      <c r="Q5246" t="str">
        <f>_xlfn.XLOOKUP(Pipeline_tbl[[#This Row],[Rep_ID]],Dim_Reps!A:A,Dim_Reps!D:D)</f>
        <v>Inside Sales</v>
      </c>
      <c r="R5246" t="str">
        <f>_xlfn.XLOOKUP(Pipeline_tbl[[#This Row],[Rep_ID]],Dim_Reps!A:A,Dim_Reps!E:E)</f>
        <v>APAC</v>
      </c>
      <c r="S5246" t="str">
        <f>_xlfn.XLOOKUP(Pipeline_tbl[[#This Row],[Created_Date]],Dim_Date!A:A,Dim_Date!H:H)</f>
        <v>Dec 2025</v>
      </c>
      <c r="T5246" t="str">
        <f>IF(Pipeline_tbl[[#This Row],[Closed_Date]]=0,"",(_xlfn.XLOOKUP(Pipeline_tbl[[#This Row],[Closed_Date]],Dim_Date!A:A,Dim_Date!H:H)))</f>
        <v/>
      </c>
      <c r="U5246" t="str">
        <f>IF(Pipeline_tbl[[#This Row],[Closed_Date]]=0,"",Pipeline_tbl[[#This Row],[Closed_Date]]-Pipeline_tbl[[#This Row],[Created_Date]])</f>
        <v/>
      </c>
    </row>
    <row r="5247" spans="1:21" ht="15" customHeight="1" x14ac:dyDescent="0.2">
      <c r="A5247" t="s">
        <v>5553</v>
      </c>
      <c r="B5247" t="s">
        <v>219</v>
      </c>
      <c r="C5247" t="s">
        <v>53</v>
      </c>
      <c r="D5247" s="49">
        <v>46021</v>
      </c>
      <c r="J5247" t="s">
        <v>308</v>
      </c>
      <c r="K5247" s="33">
        <v>4400</v>
      </c>
      <c r="M5247" t="str">
        <f>_xlfn.XLOOKUP(Pipeline_tbl[[#This Row],[Rep_ID]],Dim_Reps!A:A,Dim_Reps!K:K)</f>
        <v>EUR</v>
      </c>
      <c r="N5247" s="33">
        <f>(_xlfn.XLOOKUP(Pipeline_tbl[[#This Row],[Rate_Code_Generalized]],Lookups!A:A,Lookups!B:B))*Pipeline_tbl[[#This Row],[Pipeline_Amount_USD]]</f>
        <v>4400</v>
      </c>
      <c r="O5247" t="str">
        <f>_xlfn.XLOOKUP(Pipeline_tbl[[#This Row],[Rep_ID]],Dim_Reps!A:A,Dim_Reps!B:B)</f>
        <v>Riley Duarte</v>
      </c>
      <c r="P5247" t="str">
        <f>_xlfn.XLOOKUP(Pipeline_tbl[[#This Row],[Rep_ID]],Dim_Reps!A:A,Dim_Reps!C:C)</f>
        <v>SDR / Inside Sales Rep</v>
      </c>
      <c r="Q5247" t="str">
        <f>_xlfn.XLOOKUP(Pipeline_tbl[[#This Row],[Rep_ID]],Dim_Reps!A:A,Dim_Reps!D:D)</f>
        <v>Inside Sales</v>
      </c>
      <c r="R5247" t="str">
        <f>_xlfn.XLOOKUP(Pipeline_tbl[[#This Row],[Rep_ID]],Dim_Reps!A:A,Dim_Reps!E:E)</f>
        <v>APAC</v>
      </c>
      <c r="S5247" t="str">
        <f>_xlfn.XLOOKUP(Pipeline_tbl[[#This Row],[Created_Date]],Dim_Date!A:A,Dim_Date!H:H)</f>
        <v>Dec 2025</v>
      </c>
      <c r="T5247" t="str">
        <f>IF(Pipeline_tbl[[#This Row],[Closed_Date]]=0,"",(_xlfn.XLOOKUP(Pipeline_tbl[[#This Row],[Closed_Date]],Dim_Date!A:A,Dim_Date!H:H)))</f>
        <v/>
      </c>
      <c r="U5247" t="str">
        <f>IF(Pipeline_tbl[[#This Row],[Closed_Date]]=0,"",Pipeline_tbl[[#This Row],[Closed_Date]]-Pipeline_tbl[[#This Row],[Created_Date]])</f>
        <v/>
      </c>
    </row>
    <row r="5248" spans="1:21" ht="15" customHeight="1" x14ac:dyDescent="0.2">
      <c r="A5248" t="s">
        <v>5554</v>
      </c>
      <c r="B5248" t="s">
        <v>219</v>
      </c>
      <c r="C5248" t="s">
        <v>53</v>
      </c>
      <c r="D5248" s="49">
        <v>46020</v>
      </c>
      <c r="E5248" s="49">
        <v>46022</v>
      </c>
      <c r="J5248" t="s">
        <v>308</v>
      </c>
      <c r="K5248" s="33">
        <v>3900</v>
      </c>
      <c r="M5248" t="str">
        <f>_xlfn.XLOOKUP(Pipeline_tbl[[#This Row],[Rep_ID]],Dim_Reps!A:A,Dim_Reps!K:K)</f>
        <v>EUR</v>
      </c>
      <c r="N5248" s="33">
        <f>(_xlfn.XLOOKUP(Pipeline_tbl[[#This Row],[Rate_Code_Generalized]],Lookups!A:A,Lookups!B:B))*Pipeline_tbl[[#This Row],[Pipeline_Amount_USD]]</f>
        <v>3900</v>
      </c>
      <c r="O5248" t="str">
        <f>_xlfn.XLOOKUP(Pipeline_tbl[[#This Row],[Rep_ID]],Dim_Reps!A:A,Dim_Reps!B:B)</f>
        <v>Riley Duarte</v>
      </c>
      <c r="P5248" t="str">
        <f>_xlfn.XLOOKUP(Pipeline_tbl[[#This Row],[Rep_ID]],Dim_Reps!A:A,Dim_Reps!C:C)</f>
        <v>SDR / Inside Sales Rep</v>
      </c>
      <c r="Q5248" t="str">
        <f>_xlfn.XLOOKUP(Pipeline_tbl[[#This Row],[Rep_ID]],Dim_Reps!A:A,Dim_Reps!D:D)</f>
        <v>Inside Sales</v>
      </c>
      <c r="R5248" t="str">
        <f>_xlfn.XLOOKUP(Pipeline_tbl[[#This Row],[Rep_ID]],Dim_Reps!A:A,Dim_Reps!E:E)</f>
        <v>APAC</v>
      </c>
      <c r="S5248" t="str">
        <f>_xlfn.XLOOKUP(Pipeline_tbl[[#This Row],[Created_Date]],Dim_Date!A:A,Dim_Date!H:H)</f>
        <v>Dec 2025</v>
      </c>
      <c r="T5248" t="str">
        <f>IF(Pipeline_tbl[[#This Row],[Closed_Date]]=0,"",(_xlfn.XLOOKUP(Pipeline_tbl[[#This Row],[Closed_Date]],Dim_Date!A:A,Dim_Date!H:H)))</f>
        <v/>
      </c>
      <c r="U5248" t="str">
        <f>IF(Pipeline_tbl[[#This Row],[Closed_Date]]=0,"",Pipeline_tbl[[#This Row],[Closed_Date]]-Pipeline_tbl[[#This Row],[Created_Date]])</f>
        <v/>
      </c>
    </row>
    <row r="5249" spans="1:21" ht="15" customHeight="1" x14ac:dyDescent="0.2">
      <c r="A5249" t="s">
        <v>5555</v>
      </c>
      <c r="B5249" t="s">
        <v>219</v>
      </c>
      <c r="C5249" t="s">
        <v>54</v>
      </c>
      <c r="D5249" s="49">
        <v>46020</v>
      </c>
      <c r="E5249" s="49">
        <v>46022</v>
      </c>
      <c r="J5249" t="s">
        <v>308</v>
      </c>
      <c r="K5249" s="33">
        <v>5400</v>
      </c>
      <c r="M5249" t="str">
        <f>_xlfn.XLOOKUP(Pipeline_tbl[[#This Row],[Rep_ID]],Dim_Reps!A:A,Dim_Reps!K:K)</f>
        <v>EUR</v>
      </c>
      <c r="N5249" s="33">
        <f>(_xlfn.XLOOKUP(Pipeline_tbl[[#This Row],[Rate_Code_Generalized]],Lookups!A:A,Lookups!B:B))*Pipeline_tbl[[#This Row],[Pipeline_Amount_USD]]</f>
        <v>5400</v>
      </c>
      <c r="O5249" t="str">
        <f>_xlfn.XLOOKUP(Pipeline_tbl[[#This Row],[Rep_ID]],Dim_Reps!A:A,Dim_Reps!B:B)</f>
        <v>Riley Duarte</v>
      </c>
      <c r="P5249" t="str">
        <f>_xlfn.XLOOKUP(Pipeline_tbl[[#This Row],[Rep_ID]],Dim_Reps!A:A,Dim_Reps!C:C)</f>
        <v>SDR / Inside Sales Rep</v>
      </c>
      <c r="Q5249" t="str">
        <f>_xlfn.XLOOKUP(Pipeline_tbl[[#This Row],[Rep_ID]],Dim_Reps!A:A,Dim_Reps!D:D)</f>
        <v>Inside Sales</v>
      </c>
      <c r="R5249" t="str">
        <f>_xlfn.XLOOKUP(Pipeline_tbl[[#This Row],[Rep_ID]],Dim_Reps!A:A,Dim_Reps!E:E)</f>
        <v>APAC</v>
      </c>
      <c r="S5249" t="str">
        <f>_xlfn.XLOOKUP(Pipeline_tbl[[#This Row],[Created_Date]],Dim_Date!A:A,Dim_Date!H:H)</f>
        <v>Dec 2025</v>
      </c>
      <c r="T5249" t="str">
        <f>IF(Pipeline_tbl[[#This Row],[Closed_Date]]=0,"",(_xlfn.XLOOKUP(Pipeline_tbl[[#This Row],[Closed_Date]],Dim_Date!A:A,Dim_Date!H:H)))</f>
        <v/>
      </c>
      <c r="U5249" t="str">
        <f>IF(Pipeline_tbl[[#This Row],[Closed_Date]]=0,"",Pipeline_tbl[[#This Row],[Closed_Date]]-Pipeline_tbl[[#This Row],[Created_Date]])</f>
        <v/>
      </c>
    </row>
    <row r="5250" spans="1:21" ht="15" customHeight="1" x14ac:dyDescent="0.2">
      <c r="A5250" t="s">
        <v>5556</v>
      </c>
      <c r="B5250" t="s">
        <v>219</v>
      </c>
      <c r="C5250" t="s">
        <v>54</v>
      </c>
      <c r="D5250" s="49">
        <v>46007</v>
      </c>
      <c r="E5250" s="49">
        <v>46009</v>
      </c>
      <c r="F5250" s="49">
        <v>46014</v>
      </c>
      <c r="G5250" s="49">
        <v>46020</v>
      </c>
      <c r="J5250" t="s">
        <v>308</v>
      </c>
      <c r="K5250" s="33">
        <v>2800</v>
      </c>
      <c r="M5250" t="str">
        <f>_xlfn.XLOOKUP(Pipeline_tbl[[#This Row],[Rep_ID]],Dim_Reps!A:A,Dim_Reps!K:K)</f>
        <v>EUR</v>
      </c>
      <c r="N5250" s="33">
        <f>(_xlfn.XLOOKUP(Pipeline_tbl[[#This Row],[Rate_Code_Generalized]],Lookups!A:A,Lookups!B:B))*Pipeline_tbl[[#This Row],[Pipeline_Amount_USD]]</f>
        <v>2800</v>
      </c>
      <c r="O5250" t="str">
        <f>_xlfn.XLOOKUP(Pipeline_tbl[[#This Row],[Rep_ID]],Dim_Reps!A:A,Dim_Reps!B:B)</f>
        <v>Riley Duarte</v>
      </c>
      <c r="P5250" t="str">
        <f>_xlfn.XLOOKUP(Pipeline_tbl[[#This Row],[Rep_ID]],Dim_Reps!A:A,Dim_Reps!C:C)</f>
        <v>SDR / Inside Sales Rep</v>
      </c>
      <c r="Q5250" t="str">
        <f>_xlfn.XLOOKUP(Pipeline_tbl[[#This Row],[Rep_ID]],Dim_Reps!A:A,Dim_Reps!D:D)</f>
        <v>Inside Sales</v>
      </c>
      <c r="R5250" t="str">
        <f>_xlfn.XLOOKUP(Pipeline_tbl[[#This Row],[Rep_ID]],Dim_Reps!A:A,Dim_Reps!E:E)</f>
        <v>APAC</v>
      </c>
      <c r="S5250" t="str">
        <f>_xlfn.XLOOKUP(Pipeline_tbl[[#This Row],[Created_Date]],Dim_Date!A:A,Dim_Date!H:H)</f>
        <v>Dec 2025</v>
      </c>
      <c r="T5250" t="str">
        <f>IF(Pipeline_tbl[[#This Row],[Closed_Date]]=0,"",(_xlfn.XLOOKUP(Pipeline_tbl[[#This Row],[Closed_Date]],Dim_Date!A:A,Dim_Date!H:H)))</f>
        <v/>
      </c>
      <c r="U5250" t="str">
        <f>IF(Pipeline_tbl[[#This Row],[Closed_Date]]=0,"",Pipeline_tbl[[#This Row],[Closed_Date]]-Pipeline_tbl[[#This Row],[Created_Date]])</f>
        <v/>
      </c>
    </row>
    <row r="5251" spans="1:21" ht="15" customHeight="1" x14ac:dyDescent="0.2">
      <c r="A5251" t="s">
        <v>5557</v>
      </c>
      <c r="B5251" t="s">
        <v>219</v>
      </c>
      <c r="C5251" t="s">
        <v>52</v>
      </c>
      <c r="D5251" s="49">
        <v>46007</v>
      </c>
      <c r="E5251" s="49">
        <v>46009</v>
      </c>
      <c r="F5251" s="49">
        <v>46015</v>
      </c>
      <c r="G5251" s="49">
        <v>46022</v>
      </c>
      <c r="J5251" t="s">
        <v>308</v>
      </c>
      <c r="K5251" s="33">
        <v>4400</v>
      </c>
      <c r="M5251" t="str">
        <f>_xlfn.XLOOKUP(Pipeline_tbl[[#This Row],[Rep_ID]],Dim_Reps!A:A,Dim_Reps!K:K)</f>
        <v>EUR</v>
      </c>
      <c r="N5251" s="33">
        <f>(_xlfn.XLOOKUP(Pipeline_tbl[[#This Row],[Rate_Code_Generalized]],Lookups!A:A,Lookups!B:B))*Pipeline_tbl[[#This Row],[Pipeline_Amount_USD]]</f>
        <v>4400</v>
      </c>
      <c r="O5251" t="str">
        <f>_xlfn.XLOOKUP(Pipeline_tbl[[#This Row],[Rep_ID]],Dim_Reps!A:A,Dim_Reps!B:B)</f>
        <v>Riley Duarte</v>
      </c>
      <c r="P5251" t="str">
        <f>_xlfn.XLOOKUP(Pipeline_tbl[[#This Row],[Rep_ID]],Dim_Reps!A:A,Dim_Reps!C:C)</f>
        <v>SDR / Inside Sales Rep</v>
      </c>
      <c r="Q5251" t="str">
        <f>_xlfn.XLOOKUP(Pipeline_tbl[[#This Row],[Rep_ID]],Dim_Reps!A:A,Dim_Reps!D:D)</f>
        <v>Inside Sales</v>
      </c>
      <c r="R5251" t="str">
        <f>_xlfn.XLOOKUP(Pipeline_tbl[[#This Row],[Rep_ID]],Dim_Reps!A:A,Dim_Reps!E:E)</f>
        <v>APAC</v>
      </c>
      <c r="S5251" t="str">
        <f>_xlfn.XLOOKUP(Pipeline_tbl[[#This Row],[Created_Date]],Dim_Date!A:A,Dim_Date!H:H)</f>
        <v>Dec 2025</v>
      </c>
      <c r="T5251" t="str">
        <f>IF(Pipeline_tbl[[#This Row],[Closed_Date]]=0,"",(_xlfn.XLOOKUP(Pipeline_tbl[[#This Row],[Closed_Date]],Dim_Date!A:A,Dim_Date!H:H)))</f>
        <v/>
      </c>
      <c r="U5251" t="str">
        <f>IF(Pipeline_tbl[[#This Row],[Closed_Date]]=0,"",Pipeline_tbl[[#This Row],[Closed_Date]]-Pipeline_tbl[[#This Row],[Created_Date]])</f>
        <v/>
      </c>
    </row>
    <row r="5252" spans="1:21" ht="15" customHeight="1" x14ac:dyDescent="0.2">
      <c r="A5252" t="s">
        <v>5558</v>
      </c>
      <c r="B5252" t="s">
        <v>219</v>
      </c>
      <c r="C5252" t="s">
        <v>52</v>
      </c>
      <c r="D5252" s="49">
        <v>46012</v>
      </c>
      <c r="E5252" s="49">
        <v>46014</v>
      </c>
      <c r="F5252" s="49">
        <v>46017</v>
      </c>
      <c r="J5252" t="s">
        <v>308</v>
      </c>
      <c r="K5252" s="33">
        <v>1700</v>
      </c>
      <c r="M5252" t="str">
        <f>_xlfn.XLOOKUP(Pipeline_tbl[[#This Row],[Rep_ID]],Dim_Reps!A:A,Dim_Reps!K:K)</f>
        <v>EUR</v>
      </c>
      <c r="N5252" s="33">
        <f>(_xlfn.XLOOKUP(Pipeline_tbl[[#This Row],[Rate_Code_Generalized]],Lookups!A:A,Lookups!B:B))*Pipeline_tbl[[#This Row],[Pipeline_Amount_USD]]</f>
        <v>1700</v>
      </c>
      <c r="O5252" t="str">
        <f>_xlfn.XLOOKUP(Pipeline_tbl[[#This Row],[Rep_ID]],Dim_Reps!A:A,Dim_Reps!B:B)</f>
        <v>Riley Duarte</v>
      </c>
      <c r="P5252" t="str">
        <f>_xlfn.XLOOKUP(Pipeline_tbl[[#This Row],[Rep_ID]],Dim_Reps!A:A,Dim_Reps!C:C)</f>
        <v>SDR / Inside Sales Rep</v>
      </c>
      <c r="Q5252" t="str">
        <f>_xlfn.XLOOKUP(Pipeline_tbl[[#This Row],[Rep_ID]],Dim_Reps!A:A,Dim_Reps!D:D)</f>
        <v>Inside Sales</v>
      </c>
      <c r="R5252" t="str">
        <f>_xlfn.XLOOKUP(Pipeline_tbl[[#This Row],[Rep_ID]],Dim_Reps!A:A,Dim_Reps!E:E)</f>
        <v>APAC</v>
      </c>
      <c r="S5252" t="str">
        <f>_xlfn.XLOOKUP(Pipeline_tbl[[#This Row],[Created_Date]],Dim_Date!A:A,Dim_Date!H:H)</f>
        <v>Dec 2025</v>
      </c>
      <c r="T5252" t="str">
        <f>IF(Pipeline_tbl[[#This Row],[Closed_Date]]=0,"",(_xlfn.XLOOKUP(Pipeline_tbl[[#This Row],[Closed_Date]],Dim_Date!A:A,Dim_Date!H:H)))</f>
        <v/>
      </c>
      <c r="U5252" t="str">
        <f>IF(Pipeline_tbl[[#This Row],[Closed_Date]]=0,"",Pipeline_tbl[[#This Row],[Closed_Date]]-Pipeline_tbl[[#This Row],[Created_Date]])</f>
        <v/>
      </c>
    </row>
    <row r="5253" spans="1:21" ht="15" customHeight="1" x14ac:dyDescent="0.2">
      <c r="A5253" t="s">
        <v>5559</v>
      </c>
      <c r="B5253" t="s">
        <v>255</v>
      </c>
      <c r="C5253" t="s">
        <v>52</v>
      </c>
      <c r="D5253" s="49">
        <v>46021</v>
      </c>
      <c r="J5253" t="s">
        <v>308</v>
      </c>
      <c r="K5253" s="33">
        <v>7700</v>
      </c>
      <c r="M5253" t="str">
        <f>_xlfn.XLOOKUP(Pipeline_tbl[[#This Row],[Rep_ID]],Dim_Reps!A:A,Dim_Reps!K:K)</f>
        <v>USD</v>
      </c>
      <c r="N5253" s="33">
        <f>(_xlfn.XLOOKUP(Pipeline_tbl[[#This Row],[Rate_Code_Generalized]],Lookups!A:A,Lookups!B:B))*Pipeline_tbl[[#This Row],[Pipeline_Amount_USD]]</f>
        <v>8965.1099999999988</v>
      </c>
      <c r="O5253" t="str">
        <f>_xlfn.XLOOKUP(Pipeline_tbl[[#This Row],[Rep_ID]],Dim_Reps!A:A,Dim_Reps!B:B)</f>
        <v>Erik Kim</v>
      </c>
      <c r="P5253" t="str">
        <f>_xlfn.XLOOKUP(Pipeline_tbl[[#This Row],[Rep_ID]],Dim_Reps!A:A,Dim_Reps!C:C)</f>
        <v>Mid-Market AE</v>
      </c>
      <c r="Q5253" t="str">
        <f>_xlfn.XLOOKUP(Pipeline_tbl[[#This Row],[Rep_ID]],Dim_Reps!A:A,Dim_Reps!D:D)</f>
        <v>Mid-Market</v>
      </c>
      <c r="R5253" t="str">
        <f>_xlfn.XLOOKUP(Pipeline_tbl[[#This Row],[Rep_ID]],Dim_Reps!A:A,Dim_Reps!E:E)</f>
        <v>NAMER</v>
      </c>
      <c r="S5253" t="str">
        <f>_xlfn.XLOOKUP(Pipeline_tbl[[#This Row],[Created_Date]],Dim_Date!A:A,Dim_Date!H:H)</f>
        <v>Dec 2025</v>
      </c>
      <c r="T5253" t="str">
        <f>IF(Pipeline_tbl[[#This Row],[Closed_Date]]=0,"",(_xlfn.XLOOKUP(Pipeline_tbl[[#This Row],[Closed_Date]],Dim_Date!A:A,Dim_Date!H:H)))</f>
        <v/>
      </c>
      <c r="U5253" t="str">
        <f>IF(Pipeline_tbl[[#This Row],[Closed_Date]]=0,"",Pipeline_tbl[[#This Row],[Closed_Date]]-Pipeline_tbl[[#This Row],[Created_Date]])</f>
        <v/>
      </c>
    </row>
    <row r="5254" spans="1:21" ht="15" customHeight="1" x14ac:dyDescent="0.2">
      <c r="A5254" t="s">
        <v>5560</v>
      </c>
      <c r="B5254" t="s">
        <v>255</v>
      </c>
      <c r="C5254" t="s">
        <v>53</v>
      </c>
      <c r="D5254" s="49">
        <v>46021</v>
      </c>
      <c r="J5254" t="s">
        <v>308</v>
      </c>
      <c r="K5254" s="33">
        <v>14300</v>
      </c>
      <c r="M5254" t="str">
        <f>_xlfn.XLOOKUP(Pipeline_tbl[[#This Row],[Rep_ID]],Dim_Reps!A:A,Dim_Reps!K:K)</f>
        <v>USD</v>
      </c>
      <c r="N5254" s="33">
        <f>(_xlfn.XLOOKUP(Pipeline_tbl[[#This Row],[Rate_Code_Generalized]],Lookups!A:A,Lookups!B:B))*Pipeline_tbl[[#This Row],[Pipeline_Amount_USD]]</f>
        <v>16649.489999999998</v>
      </c>
      <c r="O5254" t="str">
        <f>_xlfn.XLOOKUP(Pipeline_tbl[[#This Row],[Rep_ID]],Dim_Reps!A:A,Dim_Reps!B:B)</f>
        <v>Erik Kim</v>
      </c>
      <c r="P5254" t="str">
        <f>_xlfn.XLOOKUP(Pipeline_tbl[[#This Row],[Rep_ID]],Dim_Reps!A:A,Dim_Reps!C:C)</f>
        <v>Mid-Market AE</v>
      </c>
      <c r="Q5254" t="str">
        <f>_xlfn.XLOOKUP(Pipeline_tbl[[#This Row],[Rep_ID]],Dim_Reps!A:A,Dim_Reps!D:D)</f>
        <v>Mid-Market</v>
      </c>
      <c r="R5254" t="str">
        <f>_xlfn.XLOOKUP(Pipeline_tbl[[#This Row],[Rep_ID]],Dim_Reps!A:A,Dim_Reps!E:E)</f>
        <v>NAMER</v>
      </c>
      <c r="S5254" t="str">
        <f>_xlfn.XLOOKUP(Pipeline_tbl[[#This Row],[Created_Date]],Dim_Date!A:A,Dim_Date!H:H)</f>
        <v>Dec 2025</v>
      </c>
      <c r="T5254" t="str">
        <f>IF(Pipeline_tbl[[#This Row],[Closed_Date]]=0,"",(_xlfn.XLOOKUP(Pipeline_tbl[[#This Row],[Closed_Date]],Dim_Date!A:A,Dim_Date!H:H)))</f>
        <v/>
      </c>
      <c r="U5254" t="str">
        <f>IF(Pipeline_tbl[[#This Row],[Closed_Date]]=0,"",Pipeline_tbl[[#This Row],[Closed_Date]]-Pipeline_tbl[[#This Row],[Created_Date]])</f>
        <v/>
      </c>
    </row>
    <row r="5255" spans="1:21" ht="15" customHeight="1" x14ac:dyDescent="0.2">
      <c r="A5255" t="s">
        <v>5561</v>
      </c>
      <c r="B5255" t="s">
        <v>255</v>
      </c>
      <c r="C5255" t="s">
        <v>54</v>
      </c>
      <c r="D5255" s="49">
        <v>45997</v>
      </c>
      <c r="E5255" s="49">
        <v>46000</v>
      </c>
      <c r="F5255" s="49">
        <v>46007</v>
      </c>
      <c r="G5255" s="49">
        <v>46017</v>
      </c>
      <c r="J5255" t="s">
        <v>308</v>
      </c>
      <c r="K5255" s="33">
        <v>14900</v>
      </c>
      <c r="M5255" t="str">
        <f>_xlfn.XLOOKUP(Pipeline_tbl[[#This Row],[Rep_ID]],Dim_Reps!A:A,Dim_Reps!K:K)</f>
        <v>USD</v>
      </c>
      <c r="N5255" s="33">
        <f>(_xlfn.XLOOKUP(Pipeline_tbl[[#This Row],[Rate_Code_Generalized]],Lookups!A:A,Lookups!B:B))*Pipeline_tbl[[#This Row],[Pipeline_Amount_USD]]</f>
        <v>17348.07</v>
      </c>
      <c r="O5255" t="str">
        <f>_xlfn.XLOOKUP(Pipeline_tbl[[#This Row],[Rep_ID]],Dim_Reps!A:A,Dim_Reps!B:B)</f>
        <v>Erik Kim</v>
      </c>
      <c r="P5255" t="str">
        <f>_xlfn.XLOOKUP(Pipeline_tbl[[#This Row],[Rep_ID]],Dim_Reps!A:A,Dim_Reps!C:C)</f>
        <v>Mid-Market AE</v>
      </c>
      <c r="Q5255" t="str">
        <f>_xlfn.XLOOKUP(Pipeline_tbl[[#This Row],[Rep_ID]],Dim_Reps!A:A,Dim_Reps!D:D)</f>
        <v>Mid-Market</v>
      </c>
      <c r="R5255" t="str">
        <f>_xlfn.XLOOKUP(Pipeline_tbl[[#This Row],[Rep_ID]],Dim_Reps!A:A,Dim_Reps!E:E)</f>
        <v>NAMER</v>
      </c>
      <c r="S5255" t="str">
        <f>_xlfn.XLOOKUP(Pipeline_tbl[[#This Row],[Created_Date]],Dim_Date!A:A,Dim_Date!H:H)</f>
        <v>Dec 2025</v>
      </c>
      <c r="T5255" t="str">
        <f>IF(Pipeline_tbl[[#This Row],[Closed_Date]]=0,"",(_xlfn.XLOOKUP(Pipeline_tbl[[#This Row],[Closed_Date]],Dim_Date!A:A,Dim_Date!H:H)))</f>
        <v/>
      </c>
      <c r="U5255" t="str">
        <f>IF(Pipeline_tbl[[#This Row],[Closed_Date]]=0,"",Pipeline_tbl[[#This Row],[Closed_Date]]-Pipeline_tbl[[#This Row],[Created_Date]])</f>
        <v/>
      </c>
    </row>
    <row r="5256" spans="1:21" ht="15" customHeight="1" x14ac:dyDescent="0.2">
      <c r="A5256" t="s">
        <v>5562</v>
      </c>
      <c r="B5256" t="s">
        <v>255</v>
      </c>
      <c r="C5256" t="s">
        <v>53</v>
      </c>
      <c r="D5256" s="49">
        <v>46020</v>
      </c>
      <c r="E5256" s="49">
        <v>46022</v>
      </c>
      <c r="J5256" t="s">
        <v>308</v>
      </c>
      <c r="K5256" s="33">
        <v>16700</v>
      </c>
      <c r="M5256" t="str">
        <f>_xlfn.XLOOKUP(Pipeline_tbl[[#This Row],[Rep_ID]],Dim_Reps!A:A,Dim_Reps!K:K)</f>
        <v>USD</v>
      </c>
      <c r="N5256" s="33">
        <f>(_xlfn.XLOOKUP(Pipeline_tbl[[#This Row],[Rate_Code_Generalized]],Lookups!A:A,Lookups!B:B))*Pipeline_tbl[[#This Row],[Pipeline_Amount_USD]]</f>
        <v>19443.809999999998</v>
      </c>
      <c r="O5256" t="str">
        <f>_xlfn.XLOOKUP(Pipeline_tbl[[#This Row],[Rep_ID]],Dim_Reps!A:A,Dim_Reps!B:B)</f>
        <v>Erik Kim</v>
      </c>
      <c r="P5256" t="str">
        <f>_xlfn.XLOOKUP(Pipeline_tbl[[#This Row],[Rep_ID]],Dim_Reps!A:A,Dim_Reps!C:C)</f>
        <v>Mid-Market AE</v>
      </c>
      <c r="Q5256" t="str">
        <f>_xlfn.XLOOKUP(Pipeline_tbl[[#This Row],[Rep_ID]],Dim_Reps!A:A,Dim_Reps!D:D)</f>
        <v>Mid-Market</v>
      </c>
      <c r="R5256" t="str">
        <f>_xlfn.XLOOKUP(Pipeline_tbl[[#This Row],[Rep_ID]],Dim_Reps!A:A,Dim_Reps!E:E)</f>
        <v>NAMER</v>
      </c>
      <c r="S5256" t="str">
        <f>_xlfn.XLOOKUP(Pipeline_tbl[[#This Row],[Created_Date]],Dim_Date!A:A,Dim_Date!H:H)</f>
        <v>Dec 2025</v>
      </c>
      <c r="T5256" t="str">
        <f>IF(Pipeline_tbl[[#This Row],[Closed_Date]]=0,"",(_xlfn.XLOOKUP(Pipeline_tbl[[#This Row],[Closed_Date]],Dim_Date!A:A,Dim_Date!H:H)))</f>
        <v/>
      </c>
      <c r="U5256" t="str">
        <f>IF(Pipeline_tbl[[#This Row],[Closed_Date]]=0,"",Pipeline_tbl[[#This Row],[Closed_Date]]-Pipeline_tbl[[#This Row],[Created_Date]])</f>
        <v/>
      </c>
    </row>
    <row r="5257" spans="1:21" ht="15" customHeight="1" x14ac:dyDescent="0.2">
      <c r="A5257" t="s">
        <v>5563</v>
      </c>
      <c r="B5257" t="s">
        <v>255</v>
      </c>
      <c r="C5257" t="s">
        <v>53</v>
      </c>
      <c r="D5257" s="49">
        <v>46018</v>
      </c>
      <c r="E5257" s="49">
        <v>46022</v>
      </c>
      <c r="J5257" t="s">
        <v>308</v>
      </c>
      <c r="K5257" s="33">
        <v>34700</v>
      </c>
      <c r="M5257" t="str">
        <f>_xlfn.XLOOKUP(Pipeline_tbl[[#This Row],[Rep_ID]],Dim_Reps!A:A,Dim_Reps!K:K)</f>
        <v>USD</v>
      </c>
      <c r="N5257" s="33">
        <f>(_xlfn.XLOOKUP(Pipeline_tbl[[#This Row],[Rate_Code_Generalized]],Lookups!A:A,Lookups!B:B))*Pipeline_tbl[[#This Row],[Pipeline_Amount_USD]]</f>
        <v>40401.21</v>
      </c>
      <c r="O5257" t="str">
        <f>_xlfn.XLOOKUP(Pipeline_tbl[[#This Row],[Rep_ID]],Dim_Reps!A:A,Dim_Reps!B:B)</f>
        <v>Erik Kim</v>
      </c>
      <c r="P5257" t="str">
        <f>_xlfn.XLOOKUP(Pipeline_tbl[[#This Row],[Rep_ID]],Dim_Reps!A:A,Dim_Reps!C:C)</f>
        <v>Mid-Market AE</v>
      </c>
      <c r="Q5257" t="str">
        <f>_xlfn.XLOOKUP(Pipeline_tbl[[#This Row],[Rep_ID]],Dim_Reps!A:A,Dim_Reps!D:D)</f>
        <v>Mid-Market</v>
      </c>
      <c r="R5257" t="str">
        <f>_xlfn.XLOOKUP(Pipeline_tbl[[#This Row],[Rep_ID]],Dim_Reps!A:A,Dim_Reps!E:E)</f>
        <v>NAMER</v>
      </c>
      <c r="S5257" t="str">
        <f>_xlfn.XLOOKUP(Pipeline_tbl[[#This Row],[Created_Date]],Dim_Date!A:A,Dim_Date!H:H)</f>
        <v>Dec 2025</v>
      </c>
      <c r="T5257" t="str">
        <f>IF(Pipeline_tbl[[#This Row],[Closed_Date]]=0,"",(_xlfn.XLOOKUP(Pipeline_tbl[[#This Row],[Closed_Date]],Dim_Date!A:A,Dim_Date!H:H)))</f>
        <v/>
      </c>
      <c r="U5257" t="str">
        <f>IF(Pipeline_tbl[[#This Row],[Closed_Date]]=0,"",Pipeline_tbl[[#This Row],[Closed_Date]]-Pipeline_tbl[[#This Row],[Created_Date]])</f>
        <v/>
      </c>
    </row>
    <row r="5258" spans="1:21" ht="15" customHeight="1" x14ac:dyDescent="0.2">
      <c r="A5258" t="s">
        <v>5564</v>
      </c>
      <c r="B5258" t="s">
        <v>255</v>
      </c>
      <c r="C5258" t="s">
        <v>52</v>
      </c>
      <c r="D5258" s="49">
        <v>45997</v>
      </c>
      <c r="E5258" s="49">
        <v>46001</v>
      </c>
      <c r="F5258" s="49">
        <v>46010</v>
      </c>
      <c r="G5258" s="49">
        <v>46022</v>
      </c>
      <c r="J5258" t="s">
        <v>308</v>
      </c>
      <c r="K5258" s="33">
        <v>10400</v>
      </c>
      <c r="M5258" t="str">
        <f>_xlfn.XLOOKUP(Pipeline_tbl[[#This Row],[Rep_ID]],Dim_Reps!A:A,Dim_Reps!K:K)</f>
        <v>USD</v>
      </c>
      <c r="N5258" s="33">
        <f>(_xlfn.XLOOKUP(Pipeline_tbl[[#This Row],[Rate_Code_Generalized]],Lookups!A:A,Lookups!B:B))*Pipeline_tbl[[#This Row],[Pipeline_Amount_USD]]</f>
        <v>12108.72</v>
      </c>
      <c r="O5258" t="str">
        <f>_xlfn.XLOOKUP(Pipeline_tbl[[#This Row],[Rep_ID]],Dim_Reps!A:A,Dim_Reps!B:B)</f>
        <v>Erik Kim</v>
      </c>
      <c r="P5258" t="str">
        <f>_xlfn.XLOOKUP(Pipeline_tbl[[#This Row],[Rep_ID]],Dim_Reps!A:A,Dim_Reps!C:C)</f>
        <v>Mid-Market AE</v>
      </c>
      <c r="Q5258" t="str">
        <f>_xlfn.XLOOKUP(Pipeline_tbl[[#This Row],[Rep_ID]],Dim_Reps!A:A,Dim_Reps!D:D)</f>
        <v>Mid-Market</v>
      </c>
      <c r="R5258" t="str">
        <f>_xlfn.XLOOKUP(Pipeline_tbl[[#This Row],[Rep_ID]],Dim_Reps!A:A,Dim_Reps!E:E)</f>
        <v>NAMER</v>
      </c>
      <c r="S5258" t="str">
        <f>_xlfn.XLOOKUP(Pipeline_tbl[[#This Row],[Created_Date]],Dim_Date!A:A,Dim_Date!H:H)</f>
        <v>Dec 2025</v>
      </c>
      <c r="T5258" t="str">
        <f>IF(Pipeline_tbl[[#This Row],[Closed_Date]]=0,"",(_xlfn.XLOOKUP(Pipeline_tbl[[#This Row],[Closed_Date]],Dim_Date!A:A,Dim_Date!H:H)))</f>
        <v/>
      </c>
      <c r="U5258" t="str">
        <f>IF(Pipeline_tbl[[#This Row],[Closed_Date]]=0,"",Pipeline_tbl[[#This Row],[Closed_Date]]-Pipeline_tbl[[#This Row],[Created_Date]])</f>
        <v/>
      </c>
    </row>
    <row r="5259" spans="1:21" ht="15" customHeight="1" x14ac:dyDescent="0.2">
      <c r="A5259" t="s">
        <v>5565</v>
      </c>
      <c r="B5259" t="s">
        <v>255</v>
      </c>
      <c r="C5259" t="s">
        <v>53</v>
      </c>
      <c r="D5259" s="49">
        <v>46021</v>
      </c>
      <c r="J5259" t="s">
        <v>308</v>
      </c>
      <c r="K5259" s="33">
        <v>14300</v>
      </c>
      <c r="M5259" t="str">
        <f>_xlfn.XLOOKUP(Pipeline_tbl[[#This Row],[Rep_ID]],Dim_Reps!A:A,Dim_Reps!K:K)</f>
        <v>USD</v>
      </c>
      <c r="N5259" s="33">
        <f>(_xlfn.XLOOKUP(Pipeline_tbl[[#This Row],[Rate_Code_Generalized]],Lookups!A:A,Lookups!B:B))*Pipeline_tbl[[#This Row],[Pipeline_Amount_USD]]</f>
        <v>16649.489999999998</v>
      </c>
      <c r="O5259" t="str">
        <f>_xlfn.XLOOKUP(Pipeline_tbl[[#This Row],[Rep_ID]],Dim_Reps!A:A,Dim_Reps!B:B)</f>
        <v>Erik Kim</v>
      </c>
      <c r="P5259" t="str">
        <f>_xlfn.XLOOKUP(Pipeline_tbl[[#This Row],[Rep_ID]],Dim_Reps!A:A,Dim_Reps!C:C)</f>
        <v>Mid-Market AE</v>
      </c>
      <c r="Q5259" t="str">
        <f>_xlfn.XLOOKUP(Pipeline_tbl[[#This Row],[Rep_ID]],Dim_Reps!A:A,Dim_Reps!D:D)</f>
        <v>Mid-Market</v>
      </c>
      <c r="R5259" t="str">
        <f>_xlfn.XLOOKUP(Pipeline_tbl[[#This Row],[Rep_ID]],Dim_Reps!A:A,Dim_Reps!E:E)</f>
        <v>NAMER</v>
      </c>
      <c r="S5259" t="str">
        <f>_xlfn.XLOOKUP(Pipeline_tbl[[#This Row],[Created_Date]],Dim_Date!A:A,Dim_Date!H:H)</f>
        <v>Dec 2025</v>
      </c>
      <c r="T5259" t="str">
        <f>IF(Pipeline_tbl[[#This Row],[Closed_Date]]=0,"",(_xlfn.XLOOKUP(Pipeline_tbl[[#This Row],[Closed_Date]],Dim_Date!A:A,Dim_Date!H:H)))</f>
        <v/>
      </c>
      <c r="U5259" t="str">
        <f>IF(Pipeline_tbl[[#This Row],[Closed_Date]]=0,"",Pipeline_tbl[[#This Row],[Closed_Date]]-Pipeline_tbl[[#This Row],[Created_Date]])</f>
        <v/>
      </c>
    </row>
    <row r="5260" spans="1:21" ht="15" customHeight="1" x14ac:dyDescent="0.2">
      <c r="A5260" t="s">
        <v>5566</v>
      </c>
      <c r="B5260" t="s">
        <v>188</v>
      </c>
      <c r="C5260" t="s">
        <v>54</v>
      </c>
      <c r="D5260" s="49">
        <v>45995</v>
      </c>
      <c r="E5260" s="49">
        <v>46000</v>
      </c>
      <c r="F5260" s="49">
        <v>46009</v>
      </c>
      <c r="J5260" t="s">
        <v>308</v>
      </c>
      <c r="K5260" s="33">
        <v>15000</v>
      </c>
      <c r="M5260" t="str">
        <f>_xlfn.XLOOKUP(Pipeline_tbl[[#This Row],[Rep_ID]],Dim_Reps!A:A,Dim_Reps!K:K)</f>
        <v>EUR</v>
      </c>
      <c r="N5260" s="33">
        <f>(_xlfn.XLOOKUP(Pipeline_tbl[[#This Row],[Rate_Code_Generalized]],Lookups!A:A,Lookups!B:B))*Pipeline_tbl[[#This Row],[Pipeline_Amount_USD]]</f>
        <v>15000</v>
      </c>
      <c r="O5260" t="str">
        <f>_xlfn.XLOOKUP(Pipeline_tbl[[#This Row],[Rep_ID]],Dim_Reps!A:A,Dim_Reps!B:B)</f>
        <v>Jamie Santos</v>
      </c>
      <c r="P5260" t="str">
        <f>_xlfn.XLOOKUP(Pipeline_tbl[[#This Row],[Rep_ID]],Dim_Reps!A:A,Dim_Reps!C:C)</f>
        <v>Enterprise AE</v>
      </c>
      <c r="Q5260" t="str">
        <f>_xlfn.XLOOKUP(Pipeline_tbl[[#This Row],[Rep_ID]],Dim_Reps!A:A,Dim_Reps!D:D)</f>
        <v>Enterprise</v>
      </c>
      <c r="R5260" t="str">
        <f>_xlfn.XLOOKUP(Pipeline_tbl[[#This Row],[Rep_ID]],Dim_Reps!A:A,Dim_Reps!E:E)</f>
        <v>APAC</v>
      </c>
      <c r="S5260" t="str">
        <f>_xlfn.XLOOKUP(Pipeline_tbl[[#This Row],[Created_Date]],Dim_Date!A:A,Dim_Date!H:H)</f>
        <v>Dec 2025</v>
      </c>
      <c r="T5260" t="str">
        <f>IF(Pipeline_tbl[[#This Row],[Closed_Date]]=0,"",(_xlfn.XLOOKUP(Pipeline_tbl[[#This Row],[Closed_Date]],Dim_Date!A:A,Dim_Date!H:H)))</f>
        <v/>
      </c>
      <c r="U5260" t="str">
        <f>IF(Pipeline_tbl[[#This Row],[Closed_Date]]=0,"",Pipeline_tbl[[#This Row],[Closed_Date]]-Pipeline_tbl[[#This Row],[Created_Date]])</f>
        <v/>
      </c>
    </row>
    <row r="5261" spans="1:21" ht="15" customHeight="1" x14ac:dyDescent="0.2">
      <c r="A5261" t="s">
        <v>5567</v>
      </c>
      <c r="B5261" t="s">
        <v>188</v>
      </c>
      <c r="C5261" t="s">
        <v>52</v>
      </c>
      <c r="D5261" s="49">
        <v>46012</v>
      </c>
      <c r="E5261" s="49">
        <v>46016</v>
      </c>
      <c r="J5261" t="s">
        <v>308</v>
      </c>
      <c r="K5261" s="33">
        <v>20300</v>
      </c>
      <c r="M5261" t="str">
        <f>_xlfn.XLOOKUP(Pipeline_tbl[[#This Row],[Rep_ID]],Dim_Reps!A:A,Dim_Reps!K:K)</f>
        <v>EUR</v>
      </c>
      <c r="N5261" s="33">
        <f>(_xlfn.XLOOKUP(Pipeline_tbl[[#This Row],[Rate_Code_Generalized]],Lookups!A:A,Lookups!B:B))*Pipeline_tbl[[#This Row],[Pipeline_Amount_USD]]</f>
        <v>20300</v>
      </c>
      <c r="O5261" t="str">
        <f>_xlfn.XLOOKUP(Pipeline_tbl[[#This Row],[Rep_ID]],Dim_Reps!A:A,Dim_Reps!B:B)</f>
        <v>Jamie Santos</v>
      </c>
      <c r="P5261" t="str">
        <f>_xlfn.XLOOKUP(Pipeline_tbl[[#This Row],[Rep_ID]],Dim_Reps!A:A,Dim_Reps!C:C)</f>
        <v>Enterprise AE</v>
      </c>
      <c r="Q5261" t="str">
        <f>_xlfn.XLOOKUP(Pipeline_tbl[[#This Row],[Rep_ID]],Dim_Reps!A:A,Dim_Reps!D:D)</f>
        <v>Enterprise</v>
      </c>
      <c r="R5261" t="str">
        <f>_xlfn.XLOOKUP(Pipeline_tbl[[#This Row],[Rep_ID]],Dim_Reps!A:A,Dim_Reps!E:E)</f>
        <v>APAC</v>
      </c>
      <c r="S5261" t="str">
        <f>_xlfn.XLOOKUP(Pipeline_tbl[[#This Row],[Created_Date]],Dim_Date!A:A,Dim_Date!H:H)</f>
        <v>Dec 2025</v>
      </c>
      <c r="T5261" t="str">
        <f>IF(Pipeline_tbl[[#This Row],[Closed_Date]]=0,"",(_xlfn.XLOOKUP(Pipeline_tbl[[#This Row],[Closed_Date]],Dim_Date!A:A,Dim_Date!H:H)))</f>
        <v/>
      </c>
      <c r="U5261" t="str">
        <f>IF(Pipeline_tbl[[#This Row],[Closed_Date]]=0,"",Pipeline_tbl[[#This Row],[Closed_Date]]-Pipeline_tbl[[#This Row],[Created_Date]])</f>
        <v/>
      </c>
    </row>
    <row r="5262" spans="1:21" ht="15" customHeight="1" x14ac:dyDescent="0.2">
      <c r="A5262" t="s">
        <v>5568</v>
      </c>
      <c r="B5262" t="s">
        <v>188</v>
      </c>
      <c r="C5262" t="s">
        <v>52</v>
      </c>
      <c r="D5262" s="49">
        <v>46021</v>
      </c>
      <c r="J5262" t="s">
        <v>308</v>
      </c>
      <c r="K5262" s="33">
        <v>27900</v>
      </c>
      <c r="M5262" t="str">
        <f>_xlfn.XLOOKUP(Pipeline_tbl[[#This Row],[Rep_ID]],Dim_Reps!A:A,Dim_Reps!K:K)</f>
        <v>EUR</v>
      </c>
      <c r="N5262" s="33">
        <f>(_xlfn.XLOOKUP(Pipeline_tbl[[#This Row],[Rate_Code_Generalized]],Lookups!A:A,Lookups!B:B))*Pipeline_tbl[[#This Row],[Pipeline_Amount_USD]]</f>
        <v>27900</v>
      </c>
      <c r="O5262" t="str">
        <f>_xlfn.XLOOKUP(Pipeline_tbl[[#This Row],[Rep_ID]],Dim_Reps!A:A,Dim_Reps!B:B)</f>
        <v>Jamie Santos</v>
      </c>
      <c r="P5262" t="str">
        <f>_xlfn.XLOOKUP(Pipeline_tbl[[#This Row],[Rep_ID]],Dim_Reps!A:A,Dim_Reps!C:C)</f>
        <v>Enterprise AE</v>
      </c>
      <c r="Q5262" t="str">
        <f>_xlfn.XLOOKUP(Pipeline_tbl[[#This Row],[Rep_ID]],Dim_Reps!A:A,Dim_Reps!D:D)</f>
        <v>Enterprise</v>
      </c>
      <c r="R5262" t="str">
        <f>_xlfn.XLOOKUP(Pipeline_tbl[[#This Row],[Rep_ID]],Dim_Reps!A:A,Dim_Reps!E:E)</f>
        <v>APAC</v>
      </c>
      <c r="S5262" t="str">
        <f>_xlfn.XLOOKUP(Pipeline_tbl[[#This Row],[Created_Date]],Dim_Date!A:A,Dim_Date!H:H)</f>
        <v>Dec 2025</v>
      </c>
      <c r="T5262" t="str">
        <f>IF(Pipeline_tbl[[#This Row],[Closed_Date]]=0,"",(_xlfn.XLOOKUP(Pipeline_tbl[[#This Row],[Closed_Date]],Dim_Date!A:A,Dim_Date!H:H)))</f>
        <v/>
      </c>
      <c r="U5262" t="str">
        <f>IF(Pipeline_tbl[[#This Row],[Closed_Date]]=0,"",Pipeline_tbl[[#This Row],[Closed_Date]]-Pipeline_tbl[[#This Row],[Created_Date]])</f>
        <v/>
      </c>
    </row>
    <row r="5263" spans="1:21" ht="15" customHeight="1" x14ac:dyDescent="0.2">
      <c r="A5263" t="s">
        <v>5569</v>
      </c>
      <c r="B5263" t="s">
        <v>188</v>
      </c>
      <c r="C5263" t="s">
        <v>52</v>
      </c>
      <c r="D5263" s="49">
        <v>46022</v>
      </c>
      <c r="J5263" t="s">
        <v>308</v>
      </c>
      <c r="K5263" s="33">
        <v>29400</v>
      </c>
      <c r="M5263" t="str">
        <f>_xlfn.XLOOKUP(Pipeline_tbl[[#This Row],[Rep_ID]],Dim_Reps!A:A,Dim_Reps!K:K)</f>
        <v>EUR</v>
      </c>
      <c r="N5263" s="33">
        <f>(_xlfn.XLOOKUP(Pipeline_tbl[[#This Row],[Rate_Code_Generalized]],Lookups!A:A,Lookups!B:B))*Pipeline_tbl[[#This Row],[Pipeline_Amount_USD]]</f>
        <v>29400</v>
      </c>
      <c r="O5263" t="str">
        <f>_xlfn.XLOOKUP(Pipeline_tbl[[#This Row],[Rep_ID]],Dim_Reps!A:A,Dim_Reps!B:B)</f>
        <v>Jamie Santos</v>
      </c>
      <c r="P5263" t="str">
        <f>_xlfn.XLOOKUP(Pipeline_tbl[[#This Row],[Rep_ID]],Dim_Reps!A:A,Dim_Reps!C:C)</f>
        <v>Enterprise AE</v>
      </c>
      <c r="Q5263" t="str">
        <f>_xlfn.XLOOKUP(Pipeline_tbl[[#This Row],[Rep_ID]],Dim_Reps!A:A,Dim_Reps!D:D)</f>
        <v>Enterprise</v>
      </c>
      <c r="R5263" t="str">
        <f>_xlfn.XLOOKUP(Pipeline_tbl[[#This Row],[Rep_ID]],Dim_Reps!A:A,Dim_Reps!E:E)</f>
        <v>APAC</v>
      </c>
      <c r="S5263" t="str">
        <f>_xlfn.XLOOKUP(Pipeline_tbl[[#This Row],[Created_Date]],Dim_Date!A:A,Dim_Date!H:H)</f>
        <v>Dec 2025</v>
      </c>
      <c r="T5263" t="str">
        <f>IF(Pipeline_tbl[[#This Row],[Closed_Date]]=0,"",(_xlfn.XLOOKUP(Pipeline_tbl[[#This Row],[Closed_Date]],Dim_Date!A:A,Dim_Date!H:H)))</f>
        <v/>
      </c>
      <c r="U5263" t="str">
        <f>IF(Pipeline_tbl[[#This Row],[Closed_Date]]=0,"",Pipeline_tbl[[#This Row],[Closed_Date]]-Pipeline_tbl[[#This Row],[Created_Date]])</f>
        <v/>
      </c>
    </row>
    <row r="5264" spans="1:21" ht="15" customHeight="1" x14ac:dyDescent="0.2">
      <c r="A5264" t="s">
        <v>5570</v>
      </c>
      <c r="B5264" t="s">
        <v>188</v>
      </c>
      <c r="C5264" t="s">
        <v>52</v>
      </c>
      <c r="D5264" s="49">
        <v>46001</v>
      </c>
      <c r="E5264" s="49">
        <v>46005</v>
      </c>
      <c r="F5264" s="49">
        <v>46013</v>
      </c>
      <c r="J5264" t="s">
        <v>308</v>
      </c>
      <c r="K5264" s="33">
        <v>103000</v>
      </c>
      <c r="M5264" t="str">
        <f>_xlfn.XLOOKUP(Pipeline_tbl[[#This Row],[Rep_ID]],Dim_Reps!A:A,Dim_Reps!K:K)</f>
        <v>EUR</v>
      </c>
      <c r="N5264" s="33">
        <f>(_xlfn.XLOOKUP(Pipeline_tbl[[#This Row],[Rate_Code_Generalized]],Lookups!A:A,Lookups!B:B))*Pipeline_tbl[[#This Row],[Pipeline_Amount_USD]]</f>
        <v>103000</v>
      </c>
      <c r="O5264" t="str">
        <f>_xlfn.XLOOKUP(Pipeline_tbl[[#This Row],[Rep_ID]],Dim_Reps!A:A,Dim_Reps!B:B)</f>
        <v>Jamie Santos</v>
      </c>
      <c r="P5264" t="str">
        <f>_xlfn.XLOOKUP(Pipeline_tbl[[#This Row],[Rep_ID]],Dim_Reps!A:A,Dim_Reps!C:C)</f>
        <v>Enterprise AE</v>
      </c>
      <c r="Q5264" t="str">
        <f>_xlfn.XLOOKUP(Pipeline_tbl[[#This Row],[Rep_ID]],Dim_Reps!A:A,Dim_Reps!D:D)</f>
        <v>Enterprise</v>
      </c>
      <c r="R5264" t="str">
        <f>_xlfn.XLOOKUP(Pipeline_tbl[[#This Row],[Rep_ID]],Dim_Reps!A:A,Dim_Reps!E:E)</f>
        <v>APAC</v>
      </c>
      <c r="S5264" t="str">
        <f>_xlfn.XLOOKUP(Pipeline_tbl[[#This Row],[Created_Date]],Dim_Date!A:A,Dim_Date!H:H)</f>
        <v>Dec 2025</v>
      </c>
      <c r="T5264" t="str">
        <f>IF(Pipeline_tbl[[#This Row],[Closed_Date]]=0,"",(_xlfn.XLOOKUP(Pipeline_tbl[[#This Row],[Closed_Date]],Dim_Date!A:A,Dim_Date!H:H)))</f>
        <v/>
      </c>
      <c r="U5264" t="str">
        <f>IF(Pipeline_tbl[[#This Row],[Closed_Date]]=0,"",Pipeline_tbl[[#This Row],[Closed_Date]]-Pipeline_tbl[[#This Row],[Created_Date]])</f>
        <v/>
      </c>
    </row>
    <row r="5265" spans="1:21" ht="15" customHeight="1" x14ac:dyDescent="0.2">
      <c r="A5265" t="s">
        <v>5571</v>
      </c>
      <c r="B5265" t="s">
        <v>257</v>
      </c>
      <c r="C5265" t="s">
        <v>55</v>
      </c>
      <c r="D5265" s="49">
        <v>46013</v>
      </c>
      <c r="E5265" s="49">
        <v>46015</v>
      </c>
      <c r="F5265" s="49">
        <v>46021</v>
      </c>
      <c r="J5265" t="s">
        <v>308</v>
      </c>
      <c r="K5265" s="33">
        <v>14500</v>
      </c>
      <c r="M5265" t="str">
        <f>_xlfn.XLOOKUP(Pipeline_tbl[[#This Row],[Rep_ID]],Dim_Reps!A:A,Dim_Reps!K:K)</f>
        <v>EUR</v>
      </c>
      <c r="N5265" s="33">
        <f>(_xlfn.XLOOKUP(Pipeline_tbl[[#This Row],[Rate_Code_Generalized]],Lookups!A:A,Lookups!B:B))*Pipeline_tbl[[#This Row],[Pipeline_Amount_USD]]</f>
        <v>14500</v>
      </c>
      <c r="O5265" t="str">
        <f>_xlfn.XLOOKUP(Pipeline_tbl[[#This Row],[Rep_ID]],Dim_Reps!A:A,Dim_Reps!B:B)</f>
        <v>Ana Kim</v>
      </c>
      <c r="P5265" t="str">
        <f>_xlfn.XLOOKUP(Pipeline_tbl[[#This Row],[Rep_ID]],Dim_Reps!A:A,Dim_Reps!C:C)</f>
        <v>Mid-Market AE</v>
      </c>
      <c r="Q5265" t="str">
        <f>_xlfn.XLOOKUP(Pipeline_tbl[[#This Row],[Rep_ID]],Dim_Reps!A:A,Dim_Reps!D:D)</f>
        <v>Mid-Market</v>
      </c>
      <c r="R5265" t="str">
        <f>_xlfn.XLOOKUP(Pipeline_tbl[[#This Row],[Rep_ID]],Dim_Reps!A:A,Dim_Reps!E:E)</f>
        <v>APAC</v>
      </c>
      <c r="S5265" t="str">
        <f>_xlfn.XLOOKUP(Pipeline_tbl[[#This Row],[Created_Date]],Dim_Date!A:A,Dim_Date!H:H)</f>
        <v>Dec 2025</v>
      </c>
      <c r="T5265" t="str">
        <f>IF(Pipeline_tbl[[#This Row],[Closed_Date]]=0,"",(_xlfn.XLOOKUP(Pipeline_tbl[[#This Row],[Closed_Date]],Dim_Date!A:A,Dim_Date!H:H)))</f>
        <v/>
      </c>
      <c r="U5265" t="str">
        <f>IF(Pipeline_tbl[[#This Row],[Closed_Date]]=0,"",Pipeline_tbl[[#This Row],[Closed_Date]]-Pipeline_tbl[[#This Row],[Created_Date]])</f>
        <v/>
      </c>
    </row>
    <row r="5266" spans="1:21" ht="15" customHeight="1" x14ac:dyDescent="0.2">
      <c r="A5266" t="s">
        <v>5572</v>
      </c>
      <c r="B5266" t="s">
        <v>257</v>
      </c>
      <c r="C5266" t="s">
        <v>52</v>
      </c>
      <c r="D5266" s="49">
        <v>46009</v>
      </c>
      <c r="E5266" s="49">
        <v>46012</v>
      </c>
      <c r="F5266" s="49">
        <v>46018</v>
      </c>
      <c r="J5266" t="s">
        <v>308</v>
      </c>
      <c r="K5266" s="33">
        <v>22600</v>
      </c>
      <c r="M5266" t="str">
        <f>_xlfn.XLOOKUP(Pipeline_tbl[[#This Row],[Rep_ID]],Dim_Reps!A:A,Dim_Reps!K:K)</f>
        <v>EUR</v>
      </c>
      <c r="N5266" s="33">
        <f>(_xlfn.XLOOKUP(Pipeline_tbl[[#This Row],[Rate_Code_Generalized]],Lookups!A:A,Lookups!B:B))*Pipeline_tbl[[#This Row],[Pipeline_Amount_USD]]</f>
        <v>22600</v>
      </c>
      <c r="O5266" t="str">
        <f>_xlfn.XLOOKUP(Pipeline_tbl[[#This Row],[Rep_ID]],Dim_Reps!A:A,Dim_Reps!B:B)</f>
        <v>Ana Kim</v>
      </c>
      <c r="P5266" t="str">
        <f>_xlfn.XLOOKUP(Pipeline_tbl[[#This Row],[Rep_ID]],Dim_Reps!A:A,Dim_Reps!C:C)</f>
        <v>Mid-Market AE</v>
      </c>
      <c r="Q5266" t="str">
        <f>_xlfn.XLOOKUP(Pipeline_tbl[[#This Row],[Rep_ID]],Dim_Reps!A:A,Dim_Reps!D:D)</f>
        <v>Mid-Market</v>
      </c>
      <c r="R5266" t="str">
        <f>_xlfn.XLOOKUP(Pipeline_tbl[[#This Row],[Rep_ID]],Dim_Reps!A:A,Dim_Reps!E:E)</f>
        <v>APAC</v>
      </c>
      <c r="S5266" t="str">
        <f>_xlfn.XLOOKUP(Pipeline_tbl[[#This Row],[Created_Date]],Dim_Date!A:A,Dim_Date!H:H)</f>
        <v>Dec 2025</v>
      </c>
      <c r="T5266" t="str">
        <f>IF(Pipeline_tbl[[#This Row],[Closed_Date]]=0,"",(_xlfn.XLOOKUP(Pipeline_tbl[[#This Row],[Closed_Date]],Dim_Date!A:A,Dim_Date!H:H)))</f>
        <v/>
      </c>
      <c r="U5266" t="str">
        <f>IF(Pipeline_tbl[[#This Row],[Closed_Date]]=0,"",Pipeline_tbl[[#This Row],[Closed_Date]]-Pipeline_tbl[[#This Row],[Created_Date]])</f>
        <v/>
      </c>
    </row>
    <row r="5267" spans="1:21" ht="15" customHeight="1" x14ac:dyDescent="0.2">
      <c r="A5267" t="s">
        <v>5573</v>
      </c>
      <c r="B5267" t="s">
        <v>257</v>
      </c>
      <c r="C5267" t="s">
        <v>53</v>
      </c>
      <c r="D5267" s="49">
        <v>45998</v>
      </c>
      <c r="E5267" s="49">
        <v>46003</v>
      </c>
      <c r="F5267" s="49">
        <v>46014</v>
      </c>
      <c r="J5267" t="s">
        <v>308</v>
      </c>
      <c r="K5267" s="33">
        <v>12200</v>
      </c>
      <c r="M5267" t="str">
        <f>_xlfn.XLOOKUP(Pipeline_tbl[[#This Row],[Rep_ID]],Dim_Reps!A:A,Dim_Reps!K:K)</f>
        <v>EUR</v>
      </c>
      <c r="N5267" s="33">
        <f>(_xlfn.XLOOKUP(Pipeline_tbl[[#This Row],[Rate_Code_Generalized]],Lookups!A:A,Lookups!B:B))*Pipeline_tbl[[#This Row],[Pipeline_Amount_USD]]</f>
        <v>12200</v>
      </c>
      <c r="O5267" t="str">
        <f>_xlfn.XLOOKUP(Pipeline_tbl[[#This Row],[Rep_ID]],Dim_Reps!A:A,Dim_Reps!B:B)</f>
        <v>Ana Kim</v>
      </c>
      <c r="P5267" t="str">
        <f>_xlfn.XLOOKUP(Pipeline_tbl[[#This Row],[Rep_ID]],Dim_Reps!A:A,Dim_Reps!C:C)</f>
        <v>Mid-Market AE</v>
      </c>
      <c r="Q5267" t="str">
        <f>_xlfn.XLOOKUP(Pipeline_tbl[[#This Row],[Rep_ID]],Dim_Reps!A:A,Dim_Reps!D:D)</f>
        <v>Mid-Market</v>
      </c>
      <c r="R5267" t="str">
        <f>_xlfn.XLOOKUP(Pipeline_tbl[[#This Row],[Rep_ID]],Dim_Reps!A:A,Dim_Reps!E:E)</f>
        <v>APAC</v>
      </c>
      <c r="S5267" t="str">
        <f>_xlfn.XLOOKUP(Pipeline_tbl[[#This Row],[Created_Date]],Dim_Date!A:A,Dim_Date!H:H)</f>
        <v>Dec 2025</v>
      </c>
      <c r="T5267" t="str">
        <f>IF(Pipeline_tbl[[#This Row],[Closed_Date]]=0,"",(_xlfn.XLOOKUP(Pipeline_tbl[[#This Row],[Closed_Date]],Dim_Date!A:A,Dim_Date!H:H)))</f>
        <v/>
      </c>
      <c r="U5267" t="str">
        <f>IF(Pipeline_tbl[[#This Row],[Closed_Date]]=0,"",Pipeline_tbl[[#This Row],[Closed_Date]]-Pipeline_tbl[[#This Row],[Created_Date]])</f>
        <v/>
      </c>
    </row>
    <row r="5268" spans="1:21" ht="15" customHeight="1" x14ac:dyDescent="0.2">
      <c r="A5268" t="s">
        <v>5574</v>
      </c>
      <c r="B5268" t="s">
        <v>259</v>
      </c>
      <c r="C5268" t="s">
        <v>52</v>
      </c>
      <c r="D5268" s="49">
        <v>45992</v>
      </c>
      <c r="E5268" s="49">
        <v>45996</v>
      </c>
      <c r="F5268" s="49">
        <v>46005</v>
      </c>
      <c r="G5268" s="49">
        <v>46017</v>
      </c>
      <c r="J5268" t="s">
        <v>308</v>
      </c>
      <c r="K5268" s="33">
        <v>12000</v>
      </c>
      <c r="M5268" t="str">
        <f>_xlfn.XLOOKUP(Pipeline_tbl[[#This Row],[Rep_ID]],Dim_Reps!A:A,Dim_Reps!K:K)</f>
        <v>EUR</v>
      </c>
      <c r="N5268" s="33">
        <f>(_xlfn.XLOOKUP(Pipeline_tbl[[#This Row],[Rate_Code_Generalized]],Lookups!A:A,Lookups!B:B))*Pipeline_tbl[[#This Row],[Pipeline_Amount_USD]]</f>
        <v>12000</v>
      </c>
      <c r="O5268" t="str">
        <f>_xlfn.XLOOKUP(Pipeline_tbl[[#This Row],[Rep_ID]],Dim_Reps!A:A,Dim_Reps!B:B)</f>
        <v>Felix Okafor</v>
      </c>
      <c r="P5268" t="str">
        <f>_xlfn.XLOOKUP(Pipeline_tbl[[#This Row],[Rep_ID]],Dim_Reps!A:A,Dim_Reps!C:C)</f>
        <v>Mid-Market AE</v>
      </c>
      <c r="Q5268" t="str">
        <f>_xlfn.XLOOKUP(Pipeline_tbl[[#This Row],[Rep_ID]],Dim_Reps!A:A,Dim_Reps!D:D)</f>
        <v>Mid-Market</v>
      </c>
      <c r="R5268" t="str">
        <f>_xlfn.XLOOKUP(Pipeline_tbl[[#This Row],[Rep_ID]],Dim_Reps!A:A,Dim_Reps!E:E)</f>
        <v>EMEA</v>
      </c>
      <c r="S5268" t="str">
        <f>_xlfn.XLOOKUP(Pipeline_tbl[[#This Row],[Created_Date]],Dim_Date!A:A,Dim_Date!H:H)</f>
        <v>Dec 2025</v>
      </c>
      <c r="T5268" t="str">
        <f>IF(Pipeline_tbl[[#This Row],[Closed_Date]]=0,"",(_xlfn.XLOOKUP(Pipeline_tbl[[#This Row],[Closed_Date]],Dim_Date!A:A,Dim_Date!H:H)))</f>
        <v/>
      </c>
      <c r="U5268" t="str">
        <f>IF(Pipeline_tbl[[#This Row],[Closed_Date]]=0,"",Pipeline_tbl[[#This Row],[Closed_Date]]-Pipeline_tbl[[#This Row],[Created_Date]])</f>
        <v/>
      </c>
    </row>
    <row r="5269" spans="1:21" ht="15" customHeight="1" x14ac:dyDescent="0.2">
      <c r="A5269" t="s">
        <v>5575</v>
      </c>
      <c r="B5269" t="s">
        <v>259</v>
      </c>
      <c r="C5269" t="s">
        <v>53</v>
      </c>
      <c r="D5269" s="49">
        <v>46009</v>
      </c>
      <c r="E5269" s="49">
        <v>46012</v>
      </c>
      <c r="F5269" s="49">
        <v>46017</v>
      </c>
      <c r="J5269" t="s">
        <v>308</v>
      </c>
      <c r="K5269" s="33">
        <v>17700</v>
      </c>
      <c r="M5269" t="str">
        <f>_xlfn.XLOOKUP(Pipeline_tbl[[#This Row],[Rep_ID]],Dim_Reps!A:A,Dim_Reps!K:K)</f>
        <v>EUR</v>
      </c>
      <c r="N5269" s="33">
        <f>(_xlfn.XLOOKUP(Pipeline_tbl[[#This Row],[Rate_Code_Generalized]],Lookups!A:A,Lookups!B:B))*Pipeline_tbl[[#This Row],[Pipeline_Amount_USD]]</f>
        <v>17700</v>
      </c>
      <c r="O5269" t="str">
        <f>_xlfn.XLOOKUP(Pipeline_tbl[[#This Row],[Rep_ID]],Dim_Reps!A:A,Dim_Reps!B:B)</f>
        <v>Felix Okafor</v>
      </c>
      <c r="P5269" t="str">
        <f>_xlfn.XLOOKUP(Pipeline_tbl[[#This Row],[Rep_ID]],Dim_Reps!A:A,Dim_Reps!C:C)</f>
        <v>Mid-Market AE</v>
      </c>
      <c r="Q5269" t="str">
        <f>_xlfn.XLOOKUP(Pipeline_tbl[[#This Row],[Rep_ID]],Dim_Reps!A:A,Dim_Reps!D:D)</f>
        <v>Mid-Market</v>
      </c>
      <c r="R5269" t="str">
        <f>_xlfn.XLOOKUP(Pipeline_tbl[[#This Row],[Rep_ID]],Dim_Reps!A:A,Dim_Reps!E:E)</f>
        <v>EMEA</v>
      </c>
      <c r="S5269" t="str">
        <f>_xlfn.XLOOKUP(Pipeline_tbl[[#This Row],[Created_Date]],Dim_Date!A:A,Dim_Date!H:H)</f>
        <v>Dec 2025</v>
      </c>
      <c r="T5269" t="str">
        <f>IF(Pipeline_tbl[[#This Row],[Closed_Date]]=0,"",(_xlfn.XLOOKUP(Pipeline_tbl[[#This Row],[Closed_Date]],Dim_Date!A:A,Dim_Date!H:H)))</f>
        <v/>
      </c>
      <c r="U5269" t="str">
        <f>IF(Pipeline_tbl[[#This Row],[Closed_Date]]=0,"",Pipeline_tbl[[#This Row],[Closed_Date]]-Pipeline_tbl[[#This Row],[Created_Date]])</f>
        <v/>
      </c>
    </row>
    <row r="5270" spans="1:21" ht="15" customHeight="1" x14ac:dyDescent="0.2">
      <c r="A5270" t="s">
        <v>5576</v>
      </c>
      <c r="B5270" t="s">
        <v>259</v>
      </c>
      <c r="C5270" t="s">
        <v>52</v>
      </c>
      <c r="D5270" s="49">
        <v>46009</v>
      </c>
      <c r="E5270" s="49">
        <v>46012</v>
      </c>
      <c r="F5270" s="49">
        <v>46018</v>
      </c>
      <c r="J5270" t="s">
        <v>308</v>
      </c>
      <c r="K5270" s="33">
        <v>11500</v>
      </c>
      <c r="M5270" t="str">
        <f>_xlfn.XLOOKUP(Pipeline_tbl[[#This Row],[Rep_ID]],Dim_Reps!A:A,Dim_Reps!K:K)</f>
        <v>EUR</v>
      </c>
      <c r="N5270" s="33">
        <f>(_xlfn.XLOOKUP(Pipeline_tbl[[#This Row],[Rate_Code_Generalized]],Lookups!A:A,Lookups!B:B))*Pipeline_tbl[[#This Row],[Pipeline_Amount_USD]]</f>
        <v>11500</v>
      </c>
      <c r="O5270" t="str">
        <f>_xlfn.XLOOKUP(Pipeline_tbl[[#This Row],[Rep_ID]],Dim_Reps!A:A,Dim_Reps!B:B)</f>
        <v>Felix Okafor</v>
      </c>
      <c r="P5270" t="str">
        <f>_xlfn.XLOOKUP(Pipeline_tbl[[#This Row],[Rep_ID]],Dim_Reps!A:A,Dim_Reps!C:C)</f>
        <v>Mid-Market AE</v>
      </c>
      <c r="Q5270" t="str">
        <f>_xlfn.XLOOKUP(Pipeline_tbl[[#This Row],[Rep_ID]],Dim_Reps!A:A,Dim_Reps!D:D)</f>
        <v>Mid-Market</v>
      </c>
      <c r="R5270" t="str">
        <f>_xlfn.XLOOKUP(Pipeline_tbl[[#This Row],[Rep_ID]],Dim_Reps!A:A,Dim_Reps!E:E)</f>
        <v>EMEA</v>
      </c>
      <c r="S5270" t="str">
        <f>_xlfn.XLOOKUP(Pipeline_tbl[[#This Row],[Created_Date]],Dim_Date!A:A,Dim_Date!H:H)</f>
        <v>Dec 2025</v>
      </c>
      <c r="T5270" t="str">
        <f>IF(Pipeline_tbl[[#This Row],[Closed_Date]]=0,"",(_xlfn.XLOOKUP(Pipeline_tbl[[#This Row],[Closed_Date]],Dim_Date!A:A,Dim_Date!H:H)))</f>
        <v/>
      </c>
      <c r="U5270" t="str">
        <f>IF(Pipeline_tbl[[#This Row],[Closed_Date]]=0,"",Pipeline_tbl[[#This Row],[Closed_Date]]-Pipeline_tbl[[#This Row],[Created_Date]])</f>
        <v/>
      </c>
    </row>
    <row r="5271" spans="1:21" ht="15" customHeight="1" x14ac:dyDescent="0.2">
      <c r="A5271" t="s">
        <v>5577</v>
      </c>
      <c r="B5271" t="s">
        <v>259</v>
      </c>
      <c r="C5271" t="s">
        <v>56</v>
      </c>
      <c r="D5271" s="49">
        <v>46005</v>
      </c>
      <c r="E5271" s="49">
        <v>46010</v>
      </c>
      <c r="F5271" s="49">
        <v>46019</v>
      </c>
      <c r="J5271" t="s">
        <v>308</v>
      </c>
      <c r="K5271" s="33">
        <v>8300</v>
      </c>
      <c r="M5271" t="str">
        <f>_xlfn.XLOOKUP(Pipeline_tbl[[#This Row],[Rep_ID]],Dim_Reps!A:A,Dim_Reps!K:K)</f>
        <v>EUR</v>
      </c>
      <c r="N5271" s="33">
        <f>(_xlfn.XLOOKUP(Pipeline_tbl[[#This Row],[Rate_Code_Generalized]],Lookups!A:A,Lookups!B:B))*Pipeline_tbl[[#This Row],[Pipeline_Amount_USD]]</f>
        <v>8300</v>
      </c>
      <c r="O5271" t="str">
        <f>_xlfn.XLOOKUP(Pipeline_tbl[[#This Row],[Rep_ID]],Dim_Reps!A:A,Dim_Reps!B:B)</f>
        <v>Felix Okafor</v>
      </c>
      <c r="P5271" t="str">
        <f>_xlfn.XLOOKUP(Pipeline_tbl[[#This Row],[Rep_ID]],Dim_Reps!A:A,Dim_Reps!C:C)</f>
        <v>Mid-Market AE</v>
      </c>
      <c r="Q5271" t="str">
        <f>_xlfn.XLOOKUP(Pipeline_tbl[[#This Row],[Rep_ID]],Dim_Reps!A:A,Dim_Reps!D:D)</f>
        <v>Mid-Market</v>
      </c>
      <c r="R5271" t="str">
        <f>_xlfn.XLOOKUP(Pipeline_tbl[[#This Row],[Rep_ID]],Dim_Reps!A:A,Dim_Reps!E:E)</f>
        <v>EMEA</v>
      </c>
      <c r="S5271" t="str">
        <f>_xlfn.XLOOKUP(Pipeline_tbl[[#This Row],[Created_Date]],Dim_Date!A:A,Dim_Date!H:H)</f>
        <v>Dec 2025</v>
      </c>
      <c r="T5271" t="str">
        <f>IF(Pipeline_tbl[[#This Row],[Closed_Date]]=0,"",(_xlfn.XLOOKUP(Pipeline_tbl[[#This Row],[Closed_Date]],Dim_Date!A:A,Dim_Date!H:H)))</f>
        <v/>
      </c>
      <c r="U5271" t="str">
        <f>IF(Pipeline_tbl[[#This Row],[Closed_Date]]=0,"",Pipeline_tbl[[#This Row],[Closed_Date]]-Pipeline_tbl[[#This Row],[Created_Date]])</f>
        <v/>
      </c>
    </row>
    <row r="5272" spans="1:21" ht="15" customHeight="1" x14ac:dyDescent="0.2">
      <c r="A5272" t="s">
        <v>5578</v>
      </c>
      <c r="B5272" t="s">
        <v>259</v>
      </c>
      <c r="C5272" t="s">
        <v>53</v>
      </c>
      <c r="D5272" s="49">
        <v>45992</v>
      </c>
      <c r="E5272" s="49">
        <v>45996</v>
      </c>
      <c r="F5272" s="49">
        <v>46005</v>
      </c>
      <c r="G5272" s="49">
        <v>46018</v>
      </c>
      <c r="J5272" t="s">
        <v>308</v>
      </c>
      <c r="K5272" s="33">
        <v>16800</v>
      </c>
      <c r="M5272" t="str">
        <f>_xlfn.XLOOKUP(Pipeline_tbl[[#This Row],[Rep_ID]],Dim_Reps!A:A,Dim_Reps!K:K)</f>
        <v>EUR</v>
      </c>
      <c r="N5272" s="33">
        <f>(_xlfn.XLOOKUP(Pipeline_tbl[[#This Row],[Rate_Code_Generalized]],Lookups!A:A,Lookups!B:B))*Pipeline_tbl[[#This Row],[Pipeline_Amount_USD]]</f>
        <v>16800</v>
      </c>
      <c r="O5272" t="str">
        <f>_xlfn.XLOOKUP(Pipeline_tbl[[#This Row],[Rep_ID]],Dim_Reps!A:A,Dim_Reps!B:B)</f>
        <v>Felix Okafor</v>
      </c>
      <c r="P5272" t="str">
        <f>_xlfn.XLOOKUP(Pipeline_tbl[[#This Row],[Rep_ID]],Dim_Reps!A:A,Dim_Reps!C:C)</f>
        <v>Mid-Market AE</v>
      </c>
      <c r="Q5272" t="str">
        <f>_xlfn.XLOOKUP(Pipeline_tbl[[#This Row],[Rep_ID]],Dim_Reps!A:A,Dim_Reps!D:D)</f>
        <v>Mid-Market</v>
      </c>
      <c r="R5272" t="str">
        <f>_xlfn.XLOOKUP(Pipeline_tbl[[#This Row],[Rep_ID]],Dim_Reps!A:A,Dim_Reps!E:E)</f>
        <v>EMEA</v>
      </c>
      <c r="S5272" t="str">
        <f>_xlfn.XLOOKUP(Pipeline_tbl[[#This Row],[Created_Date]],Dim_Date!A:A,Dim_Date!H:H)</f>
        <v>Dec 2025</v>
      </c>
      <c r="T5272" t="str">
        <f>IF(Pipeline_tbl[[#This Row],[Closed_Date]]=0,"",(_xlfn.XLOOKUP(Pipeline_tbl[[#This Row],[Closed_Date]],Dim_Date!A:A,Dim_Date!H:H)))</f>
        <v/>
      </c>
      <c r="U5272" t="str">
        <f>IF(Pipeline_tbl[[#This Row],[Closed_Date]]=0,"",Pipeline_tbl[[#This Row],[Closed_Date]]-Pipeline_tbl[[#This Row],[Created_Date]])</f>
        <v/>
      </c>
    </row>
    <row r="5273" spans="1:21" ht="15" customHeight="1" x14ac:dyDescent="0.2">
      <c r="A5273" t="s">
        <v>5579</v>
      </c>
      <c r="B5273" t="s">
        <v>259</v>
      </c>
      <c r="C5273" t="s">
        <v>53</v>
      </c>
      <c r="D5273" s="49">
        <v>46008</v>
      </c>
      <c r="E5273" s="49">
        <v>46012</v>
      </c>
      <c r="F5273" s="49">
        <v>46019</v>
      </c>
      <c r="J5273" t="s">
        <v>308</v>
      </c>
      <c r="K5273" s="33">
        <v>11300</v>
      </c>
      <c r="M5273" t="str">
        <f>_xlfn.XLOOKUP(Pipeline_tbl[[#This Row],[Rep_ID]],Dim_Reps!A:A,Dim_Reps!K:K)</f>
        <v>EUR</v>
      </c>
      <c r="N5273" s="33">
        <f>(_xlfn.XLOOKUP(Pipeline_tbl[[#This Row],[Rate_Code_Generalized]],Lookups!A:A,Lookups!B:B))*Pipeline_tbl[[#This Row],[Pipeline_Amount_USD]]</f>
        <v>11300</v>
      </c>
      <c r="O5273" t="str">
        <f>_xlfn.XLOOKUP(Pipeline_tbl[[#This Row],[Rep_ID]],Dim_Reps!A:A,Dim_Reps!B:B)</f>
        <v>Felix Okafor</v>
      </c>
      <c r="P5273" t="str">
        <f>_xlfn.XLOOKUP(Pipeline_tbl[[#This Row],[Rep_ID]],Dim_Reps!A:A,Dim_Reps!C:C)</f>
        <v>Mid-Market AE</v>
      </c>
      <c r="Q5273" t="str">
        <f>_xlfn.XLOOKUP(Pipeline_tbl[[#This Row],[Rep_ID]],Dim_Reps!A:A,Dim_Reps!D:D)</f>
        <v>Mid-Market</v>
      </c>
      <c r="R5273" t="str">
        <f>_xlfn.XLOOKUP(Pipeline_tbl[[#This Row],[Rep_ID]],Dim_Reps!A:A,Dim_Reps!E:E)</f>
        <v>EMEA</v>
      </c>
      <c r="S5273" t="str">
        <f>_xlfn.XLOOKUP(Pipeline_tbl[[#This Row],[Created_Date]],Dim_Date!A:A,Dim_Date!H:H)</f>
        <v>Dec 2025</v>
      </c>
      <c r="T5273" t="str">
        <f>IF(Pipeline_tbl[[#This Row],[Closed_Date]]=0,"",(_xlfn.XLOOKUP(Pipeline_tbl[[#This Row],[Closed_Date]],Dim_Date!A:A,Dim_Date!H:H)))</f>
        <v/>
      </c>
      <c r="U5273" t="str">
        <f>IF(Pipeline_tbl[[#This Row],[Closed_Date]]=0,"",Pipeline_tbl[[#This Row],[Closed_Date]]-Pipeline_tbl[[#This Row],[Created_Date]])</f>
        <v/>
      </c>
    </row>
    <row r="5274" spans="1:21" ht="15" customHeight="1" x14ac:dyDescent="0.2">
      <c r="A5274" t="s">
        <v>5580</v>
      </c>
      <c r="B5274" t="s">
        <v>261</v>
      </c>
      <c r="C5274" t="s">
        <v>52</v>
      </c>
      <c r="D5274" s="49">
        <v>46019</v>
      </c>
      <c r="E5274" s="49">
        <v>46022</v>
      </c>
      <c r="J5274" t="s">
        <v>308</v>
      </c>
      <c r="K5274" s="33">
        <v>25000</v>
      </c>
      <c r="M5274" t="str">
        <f>_xlfn.XLOOKUP(Pipeline_tbl[[#This Row],[Rep_ID]],Dim_Reps!A:A,Dim_Reps!K:K)</f>
        <v>USD</v>
      </c>
      <c r="N5274" s="33">
        <f>(_xlfn.XLOOKUP(Pipeline_tbl[[#This Row],[Rate_Code_Generalized]],Lookups!A:A,Lookups!B:B))*Pipeline_tbl[[#This Row],[Pipeline_Amount_USD]]</f>
        <v>29107.499999999996</v>
      </c>
      <c r="O5274" t="str">
        <f>_xlfn.XLOOKUP(Pipeline_tbl[[#This Row],[Rep_ID]],Dim_Reps!A:A,Dim_Reps!B:B)</f>
        <v>Morgan Larsen</v>
      </c>
      <c r="P5274" t="str">
        <f>_xlfn.XLOOKUP(Pipeline_tbl[[#This Row],[Rep_ID]],Dim_Reps!A:A,Dim_Reps!C:C)</f>
        <v>Mid-Market AE</v>
      </c>
      <c r="Q5274" t="str">
        <f>_xlfn.XLOOKUP(Pipeline_tbl[[#This Row],[Rep_ID]],Dim_Reps!A:A,Dim_Reps!D:D)</f>
        <v>Mid-Market</v>
      </c>
      <c r="R5274" t="str">
        <f>_xlfn.XLOOKUP(Pipeline_tbl[[#This Row],[Rep_ID]],Dim_Reps!A:A,Dim_Reps!E:E)</f>
        <v>NAMER</v>
      </c>
      <c r="S5274" t="str">
        <f>_xlfn.XLOOKUP(Pipeline_tbl[[#This Row],[Created_Date]],Dim_Date!A:A,Dim_Date!H:H)</f>
        <v>Dec 2025</v>
      </c>
      <c r="T5274" t="str">
        <f>IF(Pipeline_tbl[[#This Row],[Closed_Date]]=0,"",(_xlfn.XLOOKUP(Pipeline_tbl[[#This Row],[Closed_Date]],Dim_Date!A:A,Dim_Date!H:H)))</f>
        <v/>
      </c>
      <c r="U5274" t="str">
        <f>IF(Pipeline_tbl[[#This Row],[Closed_Date]]=0,"",Pipeline_tbl[[#This Row],[Closed_Date]]-Pipeline_tbl[[#This Row],[Created_Date]])</f>
        <v/>
      </c>
    </row>
    <row r="5275" spans="1:21" ht="15" customHeight="1" x14ac:dyDescent="0.2">
      <c r="A5275" t="s">
        <v>5581</v>
      </c>
      <c r="B5275" t="s">
        <v>261</v>
      </c>
      <c r="C5275" t="s">
        <v>55</v>
      </c>
      <c r="D5275" s="49">
        <v>46002</v>
      </c>
      <c r="E5275" s="49">
        <v>46004</v>
      </c>
      <c r="F5275" s="49">
        <v>46009</v>
      </c>
      <c r="G5275" s="49">
        <v>46016</v>
      </c>
      <c r="H5275" s="49">
        <v>46022</v>
      </c>
      <c r="J5275" t="s">
        <v>308</v>
      </c>
      <c r="K5275" s="33">
        <v>15400</v>
      </c>
      <c r="M5275" t="str">
        <f>_xlfn.XLOOKUP(Pipeline_tbl[[#This Row],[Rep_ID]],Dim_Reps!A:A,Dim_Reps!K:K)</f>
        <v>USD</v>
      </c>
      <c r="N5275" s="33">
        <f>(_xlfn.XLOOKUP(Pipeline_tbl[[#This Row],[Rate_Code_Generalized]],Lookups!A:A,Lookups!B:B))*Pipeline_tbl[[#This Row],[Pipeline_Amount_USD]]</f>
        <v>17930.219999999998</v>
      </c>
      <c r="O5275" t="str">
        <f>_xlfn.XLOOKUP(Pipeline_tbl[[#This Row],[Rep_ID]],Dim_Reps!A:A,Dim_Reps!B:B)</f>
        <v>Morgan Larsen</v>
      </c>
      <c r="P5275" t="str">
        <f>_xlfn.XLOOKUP(Pipeline_tbl[[#This Row],[Rep_ID]],Dim_Reps!A:A,Dim_Reps!C:C)</f>
        <v>Mid-Market AE</v>
      </c>
      <c r="Q5275" t="str">
        <f>_xlfn.XLOOKUP(Pipeline_tbl[[#This Row],[Rep_ID]],Dim_Reps!A:A,Dim_Reps!D:D)</f>
        <v>Mid-Market</v>
      </c>
      <c r="R5275" t="str">
        <f>_xlfn.XLOOKUP(Pipeline_tbl[[#This Row],[Rep_ID]],Dim_Reps!A:A,Dim_Reps!E:E)</f>
        <v>NAMER</v>
      </c>
      <c r="S5275" t="str">
        <f>_xlfn.XLOOKUP(Pipeline_tbl[[#This Row],[Created_Date]],Dim_Date!A:A,Dim_Date!H:H)</f>
        <v>Dec 2025</v>
      </c>
      <c r="T5275" t="str">
        <f>IF(Pipeline_tbl[[#This Row],[Closed_Date]]=0,"",(_xlfn.XLOOKUP(Pipeline_tbl[[#This Row],[Closed_Date]],Dim_Date!A:A,Dim_Date!H:H)))</f>
        <v/>
      </c>
      <c r="U5275" t="str">
        <f>IF(Pipeline_tbl[[#This Row],[Closed_Date]]=0,"",Pipeline_tbl[[#This Row],[Closed_Date]]-Pipeline_tbl[[#This Row],[Created_Date]])</f>
        <v/>
      </c>
    </row>
    <row r="5276" spans="1:21" ht="15" customHeight="1" x14ac:dyDescent="0.2">
      <c r="A5276" t="s">
        <v>5582</v>
      </c>
      <c r="B5276" t="s">
        <v>261</v>
      </c>
      <c r="C5276" t="s">
        <v>52</v>
      </c>
      <c r="D5276" s="49">
        <v>45992</v>
      </c>
      <c r="E5276" s="49">
        <v>45995</v>
      </c>
      <c r="F5276" s="49">
        <v>46002</v>
      </c>
      <c r="G5276" s="49">
        <v>46011</v>
      </c>
      <c r="H5276" s="49">
        <v>46019</v>
      </c>
      <c r="J5276" t="s">
        <v>308</v>
      </c>
      <c r="K5276" s="33">
        <v>12000</v>
      </c>
      <c r="M5276" t="str">
        <f>_xlfn.XLOOKUP(Pipeline_tbl[[#This Row],[Rep_ID]],Dim_Reps!A:A,Dim_Reps!K:K)</f>
        <v>USD</v>
      </c>
      <c r="N5276" s="33">
        <f>(_xlfn.XLOOKUP(Pipeline_tbl[[#This Row],[Rate_Code_Generalized]],Lookups!A:A,Lookups!B:B))*Pipeline_tbl[[#This Row],[Pipeline_Amount_USD]]</f>
        <v>13971.599999999999</v>
      </c>
      <c r="O5276" t="str">
        <f>_xlfn.XLOOKUP(Pipeline_tbl[[#This Row],[Rep_ID]],Dim_Reps!A:A,Dim_Reps!B:B)</f>
        <v>Morgan Larsen</v>
      </c>
      <c r="P5276" t="str">
        <f>_xlfn.XLOOKUP(Pipeline_tbl[[#This Row],[Rep_ID]],Dim_Reps!A:A,Dim_Reps!C:C)</f>
        <v>Mid-Market AE</v>
      </c>
      <c r="Q5276" t="str">
        <f>_xlfn.XLOOKUP(Pipeline_tbl[[#This Row],[Rep_ID]],Dim_Reps!A:A,Dim_Reps!D:D)</f>
        <v>Mid-Market</v>
      </c>
      <c r="R5276" t="str">
        <f>_xlfn.XLOOKUP(Pipeline_tbl[[#This Row],[Rep_ID]],Dim_Reps!A:A,Dim_Reps!E:E)</f>
        <v>NAMER</v>
      </c>
      <c r="S5276" t="str">
        <f>_xlfn.XLOOKUP(Pipeline_tbl[[#This Row],[Created_Date]],Dim_Date!A:A,Dim_Date!H:H)</f>
        <v>Dec 2025</v>
      </c>
      <c r="T5276" t="str">
        <f>IF(Pipeline_tbl[[#This Row],[Closed_Date]]=0,"",(_xlfn.XLOOKUP(Pipeline_tbl[[#This Row],[Closed_Date]],Dim_Date!A:A,Dim_Date!H:H)))</f>
        <v/>
      </c>
      <c r="U5276" t="str">
        <f>IF(Pipeline_tbl[[#This Row],[Closed_Date]]=0,"",Pipeline_tbl[[#This Row],[Closed_Date]]-Pipeline_tbl[[#This Row],[Created_Date]])</f>
        <v/>
      </c>
    </row>
    <row r="5277" spans="1:21" ht="15" customHeight="1" x14ac:dyDescent="0.2">
      <c r="A5277" t="s">
        <v>5583</v>
      </c>
      <c r="B5277" t="s">
        <v>261</v>
      </c>
      <c r="C5277" t="s">
        <v>52</v>
      </c>
      <c r="D5277" s="49">
        <v>46022</v>
      </c>
      <c r="J5277" t="s">
        <v>308</v>
      </c>
      <c r="K5277" s="33">
        <v>12400</v>
      </c>
      <c r="M5277" t="str">
        <f>_xlfn.XLOOKUP(Pipeline_tbl[[#This Row],[Rep_ID]],Dim_Reps!A:A,Dim_Reps!K:K)</f>
        <v>USD</v>
      </c>
      <c r="N5277" s="33">
        <f>(_xlfn.XLOOKUP(Pipeline_tbl[[#This Row],[Rate_Code_Generalized]],Lookups!A:A,Lookups!B:B))*Pipeline_tbl[[#This Row],[Pipeline_Amount_USD]]</f>
        <v>14437.319999999998</v>
      </c>
      <c r="O5277" t="str">
        <f>_xlfn.XLOOKUP(Pipeline_tbl[[#This Row],[Rep_ID]],Dim_Reps!A:A,Dim_Reps!B:B)</f>
        <v>Morgan Larsen</v>
      </c>
      <c r="P5277" t="str">
        <f>_xlfn.XLOOKUP(Pipeline_tbl[[#This Row],[Rep_ID]],Dim_Reps!A:A,Dim_Reps!C:C)</f>
        <v>Mid-Market AE</v>
      </c>
      <c r="Q5277" t="str">
        <f>_xlfn.XLOOKUP(Pipeline_tbl[[#This Row],[Rep_ID]],Dim_Reps!A:A,Dim_Reps!D:D)</f>
        <v>Mid-Market</v>
      </c>
      <c r="R5277" t="str">
        <f>_xlfn.XLOOKUP(Pipeline_tbl[[#This Row],[Rep_ID]],Dim_Reps!A:A,Dim_Reps!E:E)</f>
        <v>NAMER</v>
      </c>
      <c r="S5277" t="str">
        <f>_xlfn.XLOOKUP(Pipeline_tbl[[#This Row],[Created_Date]],Dim_Date!A:A,Dim_Date!H:H)</f>
        <v>Dec 2025</v>
      </c>
      <c r="T5277" t="str">
        <f>IF(Pipeline_tbl[[#This Row],[Closed_Date]]=0,"",(_xlfn.XLOOKUP(Pipeline_tbl[[#This Row],[Closed_Date]],Dim_Date!A:A,Dim_Date!H:H)))</f>
        <v/>
      </c>
      <c r="U5277" t="str">
        <f>IF(Pipeline_tbl[[#This Row],[Closed_Date]]=0,"",Pipeline_tbl[[#This Row],[Closed_Date]]-Pipeline_tbl[[#This Row],[Created_Date]])</f>
        <v/>
      </c>
    </row>
    <row r="5278" spans="1:21" ht="15" customHeight="1" x14ac:dyDescent="0.2">
      <c r="A5278" t="s">
        <v>5584</v>
      </c>
      <c r="B5278" t="s">
        <v>225</v>
      </c>
      <c r="C5278" t="s">
        <v>52</v>
      </c>
      <c r="D5278" s="49">
        <v>46021</v>
      </c>
      <c r="J5278" t="s">
        <v>308</v>
      </c>
      <c r="K5278" s="33">
        <v>4000</v>
      </c>
      <c r="M5278" t="str">
        <f>_xlfn.XLOOKUP(Pipeline_tbl[[#This Row],[Rep_ID]],Dim_Reps!A:A,Dim_Reps!K:K)</f>
        <v>USD</v>
      </c>
      <c r="N5278" s="33">
        <f>(_xlfn.XLOOKUP(Pipeline_tbl[[#This Row],[Rate_Code_Generalized]],Lookups!A:A,Lookups!B:B))*Pipeline_tbl[[#This Row],[Pipeline_Amount_USD]]</f>
        <v>4657.2</v>
      </c>
      <c r="O5278" t="str">
        <f>_xlfn.XLOOKUP(Pipeline_tbl[[#This Row],[Rep_ID]],Dim_Reps!A:A,Dim_Reps!B:B)</f>
        <v>Alex Muller</v>
      </c>
      <c r="P5278" t="str">
        <f>_xlfn.XLOOKUP(Pipeline_tbl[[#This Row],[Rep_ID]],Dim_Reps!A:A,Dim_Reps!C:C)</f>
        <v>SDR / Inside Sales Rep</v>
      </c>
      <c r="Q5278" t="str">
        <f>_xlfn.XLOOKUP(Pipeline_tbl[[#This Row],[Rep_ID]],Dim_Reps!A:A,Dim_Reps!D:D)</f>
        <v>Inside Sales</v>
      </c>
      <c r="R5278" t="str">
        <f>_xlfn.XLOOKUP(Pipeline_tbl[[#This Row],[Rep_ID]],Dim_Reps!A:A,Dim_Reps!E:E)</f>
        <v>NAMER</v>
      </c>
      <c r="S5278" t="str">
        <f>_xlfn.XLOOKUP(Pipeline_tbl[[#This Row],[Created_Date]],Dim_Date!A:A,Dim_Date!H:H)</f>
        <v>Dec 2025</v>
      </c>
      <c r="T5278" t="str">
        <f>IF(Pipeline_tbl[[#This Row],[Closed_Date]]=0,"",(_xlfn.XLOOKUP(Pipeline_tbl[[#This Row],[Closed_Date]],Dim_Date!A:A,Dim_Date!H:H)))</f>
        <v/>
      </c>
      <c r="U5278" t="str">
        <f>IF(Pipeline_tbl[[#This Row],[Closed_Date]]=0,"",Pipeline_tbl[[#This Row],[Closed_Date]]-Pipeline_tbl[[#This Row],[Created_Date]])</f>
        <v/>
      </c>
    </row>
    <row r="5279" spans="1:21" ht="15" customHeight="1" x14ac:dyDescent="0.2">
      <c r="A5279" t="s">
        <v>5585</v>
      </c>
      <c r="B5279" t="s">
        <v>225</v>
      </c>
      <c r="C5279" t="s">
        <v>52</v>
      </c>
      <c r="D5279" s="49">
        <v>46021</v>
      </c>
      <c r="J5279" t="s">
        <v>308</v>
      </c>
      <c r="K5279" s="33">
        <v>5300</v>
      </c>
      <c r="M5279" t="str">
        <f>_xlfn.XLOOKUP(Pipeline_tbl[[#This Row],[Rep_ID]],Dim_Reps!A:A,Dim_Reps!K:K)</f>
        <v>USD</v>
      </c>
      <c r="N5279" s="33">
        <f>(_xlfn.XLOOKUP(Pipeline_tbl[[#This Row],[Rate_Code_Generalized]],Lookups!A:A,Lookups!B:B))*Pipeline_tbl[[#This Row],[Pipeline_Amount_USD]]</f>
        <v>6170.7899999999991</v>
      </c>
      <c r="O5279" t="str">
        <f>_xlfn.XLOOKUP(Pipeline_tbl[[#This Row],[Rep_ID]],Dim_Reps!A:A,Dim_Reps!B:B)</f>
        <v>Alex Muller</v>
      </c>
      <c r="P5279" t="str">
        <f>_xlfn.XLOOKUP(Pipeline_tbl[[#This Row],[Rep_ID]],Dim_Reps!A:A,Dim_Reps!C:C)</f>
        <v>SDR / Inside Sales Rep</v>
      </c>
      <c r="Q5279" t="str">
        <f>_xlfn.XLOOKUP(Pipeline_tbl[[#This Row],[Rep_ID]],Dim_Reps!A:A,Dim_Reps!D:D)</f>
        <v>Inside Sales</v>
      </c>
      <c r="R5279" t="str">
        <f>_xlfn.XLOOKUP(Pipeline_tbl[[#This Row],[Rep_ID]],Dim_Reps!A:A,Dim_Reps!E:E)</f>
        <v>NAMER</v>
      </c>
      <c r="S5279" t="str">
        <f>_xlfn.XLOOKUP(Pipeline_tbl[[#This Row],[Created_Date]],Dim_Date!A:A,Dim_Date!H:H)</f>
        <v>Dec 2025</v>
      </c>
      <c r="T5279" t="str">
        <f>IF(Pipeline_tbl[[#This Row],[Closed_Date]]=0,"",(_xlfn.XLOOKUP(Pipeline_tbl[[#This Row],[Closed_Date]],Dim_Date!A:A,Dim_Date!H:H)))</f>
        <v/>
      </c>
      <c r="U5279" t="str">
        <f>IF(Pipeline_tbl[[#This Row],[Closed_Date]]=0,"",Pipeline_tbl[[#This Row],[Closed_Date]]-Pipeline_tbl[[#This Row],[Created_Date]])</f>
        <v/>
      </c>
    </row>
    <row r="5280" spans="1:21" ht="15" customHeight="1" x14ac:dyDescent="0.2">
      <c r="A5280" t="s">
        <v>5586</v>
      </c>
      <c r="B5280" t="s">
        <v>225</v>
      </c>
      <c r="C5280" t="s">
        <v>52</v>
      </c>
      <c r="D5280" s="49">
        <v>46019</v>
      </c>
      <c r="E5280" s="49">
        <v>46020</v>
      </c>
      <c r="F5280" s="49">
        <v>46021</v>
      </c>
      <c r="J5280" t="s">
        <v>308</v>
      </c>
      <c r="K5280" s="33">
        <v>2700</v>
      </c>
      <c r="M5280" t="str">
        <f>_xlfn.XLOOKUP(Pipeline_tbl[[#This Row],[Rep_ID]],Dim_Reps!A:A,Dim_Reps!K:K)</f>
        <v>USD</v>
      </c>
      <c r="N5280" s="33">
        <f>(_xlfn.XLOOKUP(Pipeline_tbl[[#This Row],[Rate_Code_Generalized]],Lookups!A:A,Lookups!B:B))*Pipeline_tbl[[#This Row],[Pipeline_Amount_USD]]</f>
        <v>3143.6099999999997</v>
      </c>
      <c r="O5280" t="str">
        <f>_xlfn.XLOOKUP(Pipeline_tbl[[#This Row],[Rep_ID]],Dim_Reps!A:A,Dim_Reps!B:B)</f>
        <v>Alex Muller</v>
      </c>
      <c r="P5280" t="str">
        <f>_xlfn.XLOOKUP(Pipeline_tbl[[#This Row],[Rep_ID]],Dim_Reps!A:A,Dim_Reps!C:C)</f>
        <v>SDR / Inside Sales Rep</v>
      </c>
      <c r="Q5280" t="str">
        <f>_xlfn.XLOOKUP(Pipeline_tbl[[#This Row],[Rep_ID]],Dim_Reps!A:A,Dim_Reps!D:D)</f>
        <v>Inside Sales</v>
      </c>
      <c r="R5280" t="str">
        <f>_xlfn.XLOOKUP(Pipeline_tbl[[#This Row],[Rep_ID]],Dim_Reps!A:A,Dim_Reps!E:E)</f>
        <v>NAMER</v>
      </c>
      <c r="S5280" t="str">
        <f>_xlfn.XLOOKUP(Pipeline_tbl[[#This Row],[Created_Date]],Dim_Date!A:A,Dim_Date!H:H)</f>
        <v>Dec 2025</v>
      </c>
      <c r="T5280" t="str">
        <f>IF(Pipeline_tbl[[#This Row],[Closed_Date]]=0,"",(_xlfn.XLOOKUP(Pipeline_tbl[[#This Row],[Closed_Date]],Dim_Date!A:A,Dim_Date!H:H)))</f>
        <v/>
      </c>
      <c r="U5280" t="str">
        <f>IF(Pipeline_tbl[[#This Row],[Closed_Date]]=0,"",Pipeline_tbl[[#This Row],[Closed_Date]]-Pipeline_tbl[[#This Row],[Created_Date]])</f>
        <v/>
      </c>
    </row>
    <row r="5281" spans="1:21" ht="15" customHeight="1" x14ac:dyDescent="0.2">
      <c r="A5281" t="s">
        <v>5587</v>
      </c>
      <c r="B5281" t="s">
        <v>225</v>
      </c>
      <c r="C5281" t="s">
        <v>52</v>
      </c>
      <c r="D5281" s="49">
        <v>46014</v>
      </c>
      <c r="E5281" s="49">
        <v>46015</v>
      </c>
      <c r="F5281" s="49">
        <v>46017</v>
      </c>
      <c r="G5281" s="49">
        <v>46021</v>
      </c>
      <c r="J5281" t="s">
        <v>308</v>
      </c>
      <c r="K5281" s="33">
        <v>3100</v>
      </c>
      <c r="M5281" t="str">
        <f>_xlfn.XLOOKUP(Pipeline_tbl[[#This Row],[Rep_ID]],Dim_Reps!A:A,Dim_Reps!K:K)</f>
        <v>USD</v>
      </c>
      <c r="N5281" s="33">
        <f>(_xlfn.XLOOKUP(Pipeline_tbl[[#This Row],[Rate_Code_Generalized]],Lookups!A:A,Lookups!B:B))*Pipeline_tbl[[#This Row],[Pipeline_Amount_USD]]</f>
        <v>3609.3299999999995</v>
      </c>
      <c r="O5281" t="str">
        <f>_xlfn.XLOOKUP(Pipeline_tbl[[#This Row],[Rep_ID]],Dim_Reps!A:A,Dim_Reps!B:B)</f>
        <v>Alex Muller</v>
      </c>
      <c r="P5281" t="str">
        <f>_xlfn.XLOOKUP(Pipeline_tbl[[#This Row],[Rep_ID]],Dim_Reps!A:A,Dim_Reps!C:C)</f>
        <v>SDR / Inside Sales Rep</v>
      </c>
      <c r="Q5281" t="str">
        <f>_xlfn.XLOOKUP(Pipeline_tbl[[#This Row],[Rep_ID]],Dim_Reps!A:A,Dim_Reps!D:D)</f>
        <v>Inside Sales</v>
      </c>
      <c r="R5281" t="str">
        <f>_xlfn.XLOOKUP(Pipeline_tbl[[#This Row],[Rep_ID]],Dim_Reps!A:A,Dim_Reps!E:E)</f>
        <v>NAMER</v>
      </c>
      <c r="S5281" t="str">
        <f>_xlfn.XLOOKUP(Pipeline_tbl[[#This Row],[Created_Date]],Dim_Date!A:A,Dim_Date!H:H)</f>
        <v>Dec 2025</v>
      </c>
      <c r="T5281" t="str">
        <f>IF(Pipeline_tbl[[#This Row],[Closed_Date]]=0,"",(_xlfn.XLOOKUP(Pipeline_tbl[[#This Row],[Closed_Date]],Dim_Date!A:A,Dim_Date!H:H)))</f>
        <v/>
      </c>
      <c r="U5281" t="str">
        <f>IF(Pipeline_tbl[[#This Row],[Closed_Date]]=0,"",Pipeline_tbl[[#This Row],[Closed_Date]]-Pipeline_tbl[[#This Row],[Created_Date]])</f>
        <v/>
      </c>
    </row>
    <row r="5282" spans="1:21" ht="15" customHeight="1" x14ac:dyDescent="0.2">
      <c r="A5282" t="s">
        <v>5588</v>
      </c>
      <c r="B5282" t="s">
        <v>225</v>
      </c>
      <c r="C5282" t="s">
        <v>54</v>
      </c>
      <c r="D5282" s="49">
        <v>46005</v>
      </c>
      <c r="E5282" s="49">
        <v>46008</v>
      </c>
      <c r="F5282" s="49">
        <v>46013</v>
      </c>
      <c r="G5282" s="49">
        <v>46021</v>
      </c>
      <c r="J5282" t="s">
        <v>308</v>
      </c>
      <c r="K5282" s="33">
        <v>3900</v>
      </c>
      <c r="M5282" t="str">
        <f>_xlfn.XLOOKUP(Pipeline_tbl[[#This Row],[Rep_ID]],Dim_Reps!A:A,Dim_Reps!K:K)</f>
        <v>USD</v>
      </c>
      <c r="N5282" s="33">
        <f>(_xlfn.XLOOKUP(Pipeline_tbl[[#This Row],[Rate_Code_Generalized]],Lookups!A:A,Lookups!B:B))*Pipeline_tbl[[#This Row],[Pipeline_Amount_USD]]</f>
        <v>4540.7699999999995</v>
      </c>
      <c r="O5282" t="str">
        <f>_xlfn.XLOOKUP(Pipeline_tbl[[#This Row],[Rep_ID]],Dim_Reps!A:A,Dim_Reps!B:B)</f>
        <v>Alex Muller</v>
      </c>
      <c r="P5282" t="str">
        <f>_xlfn.XLOOKUP(Pipeline_tbl[[#This Row],[Rep_ID]],Dim_Reps!A:A,Dim_Reps!C:C)</f>
        <v>SDR / Inside Sales Rep</v>
      </c>
      <c r="Q5282" t="str">
        <f>_xlfn.XLOOKUP(Pipeline_tbl[[#This Row],[Rep_ID]],Dim_Reps!A:A,Dim_Reps!D:D)</f>
        <v>Inside Sales</v>
      </c>
      <c r="R5282" t="str">
        <f>_xlfn.XLOOKUP(Pipeline_tbl[[#This Row],[Rep_ID]],Dim_Reps!A:A,Dim_Reps!E:E)</f>
        <v>NAMER</v>
      </c>
      <c r="S5282" t="str">
        <f>_xlfn.XLOOKUP(Pipeline_tbl[[#This Row],[Created_Date]],Dim_Date!A:A,Dim_Date!H:H)</f>
        <v>Dec 2025</v>
      </c>
      <c r="T5282" t="str">
        <f>IF(Pipeline_tbl[[#This Row],[Closed_Date]]=0,"",(_xlfn.XLOOKUP(Pipeline_tbl[[#This Row],[Closed_Date]],Dim_Date!A:A,Dim_Date!H:H)))</f>
        <v/>
      </c>
      <c r="U5282" t="str">
        <f>IF(Pipeline_tbl[[#This Row],[Closed_Date]]=0,"",Pipeline_tbl[[#This Row],[Closed_Date]]-Pipeline_tbl[[#This Row],[Created_Date]])</f>
        <v/>
      </c>
    </row>
    <row r="5283" spans="1:21" ht="15" customHeight="1" x14ac:dyDescent="0.2">
      <c r="A5283" t="s">
        <v>5589</v>
      </c>
      <c r="B5283" t="s">
        <v>227</v>
      </c>
      <c r="C5283" t="s">
        <v>54</v>
      </c>
      <c r="D5283" s="49">
        <v>46016</v>
      </c>
      <c r="E5283" s="49">
        <v>46018</v>
      </c>
      <c r="F5283" s="49">
        <v>46021</v>
      </c>
      <c r="J5283" t="s">
        <v>308</v>
      </c>
      <c r="K5283" s="33">
        <v>2500</v>
      </c>
      <c r="M5283" t="str">
        <f>_xlfn.XLOOKUP(Pipeline_tbl[[#This Row],[Rep_ID]],Dim_Reps!A:A,Dim_Reps!K:K)</f>
        <v>EUR</v>
      </c>
      <c r="N5283" s="33">
        <f>(_xlfn.XLOOKUP(Pipeline_tbl[[#This Row],[Rate_Code_Generalized]],Lookups!A:A,Lookups!B:B))*Pipeline_tbl[[#This Row],[Pipeline_Amount_USD]]</f>
        <v>2500</v>
      </c>
      <c r="O5283" t="str">
        <f>_xlfn.XLOOKUP(Pipeline_tbl[[#This Row],[Rep_ID]],Dim_Reps!A:A,Dim_Reps!B:B)</f>
        <v>Liam Muller</v>
      </c>
      <c r="P5283" t="str">
        <f>_xlfn.XLOOKUP(Pipeline_tbl[[#This Row],[Rep_ID]],Dim_Reps!A:A,Dim_Reps!C:C)</f>
        <v>SDR / Inside Sales Rep</v>
      </c>
      <c r="Q5283" t="str">
        <f>_xlfn.XLOOKUP(Pipeline_tbl[[#This Row],[Rep_ID]],Dim_Reps!A:A,Dim_Reps!D:D)</f>
        <v>Inside Sales</v>
      </c>
      <c r="R5283" t="str">
        <f>_xlfn.XLOOKUP(Pipeline_tbl[[#This Row],[Rep_ID]],Dim_Reps!A:A,Dim_Reps!E:E)</f>
        <v>EMEA</v>
      </c>
      <c r="S5283" t="str">
        <f>_xlfn.XLOOKUP(Pipeline_tbl[[#This Row],[Created_Date]],Dim_Date!A:A,Dim_Date!H:H)</f>
        <v>Dec 2025</v>
      </c>
      <c r="T5283" t="str">
        <f>IF(Pipeline_tbl[[#This Row],[Closed_Date]]=0,"",(_xlfn.XLOOKUP(Pipeline_tbl[[#This Row],[Closed_Date]],Dim_Date!A:A,Dim_Date!H:H)))</f>
        <v/>
      </c>
      <c r="U5283" t="str">
        <f>IF(Pipeline_tbl[[#This Row],[Closed_Date]]=0,"",Pipeline_tbl[[#This Row],[Closed_Date]]-Pipeline_tbl[[#This Row],[Created_Date]])</f>
        <v/>
      </c>
    </row>
    <row r="5284" spans="1:21" ht="15" customHeight="1" x14ac:dyDescent="0.2">
      <c r="A5284" t="s">
        <v>5590</v>
      </c>
      <c r="B5284" t="s">
        <v>227</v>
      </c>
      <c r="C5284" t="s">
        <v>52</v>
      </c>
      <c r="D5284" s="49">
        <v>46010</v>
      </c>
      <c r="E5284" s="49">
        <v>46012</v>
      </c>
      <c r="F5284" s="49">
        <v>46016</v>
      </c>
      <c r="J5284" t="s">
        <v>308</v>
      </c>
      <c r="K5284" s="33">
        <v>11000</v>
      </c>
      <c r="M5284" t="str">
        <f>_xlfn.XLOOKUP(Pipeline_tbl[[#This Row],[Rep_ID]],Dim_Reps!A:A,Dim_Reps!K:K)</f>
        <v>EUR</v>
      </c>
      <c r="N5284" s="33">
        <f>(_xlfn.XLOOKUP(Pipeline_tbl[[#This Row],[Rate_Code_Generalized]],Lookups!A:A,Lookups!B:B))*Pipeline_tbl[[#This Row],[Pipeline_Amount_USD]]</f>
        <v>11000</v>
      </c>
      <c r="O5284" t="str">
        <f>_xlfn.XLOOKUP(Pipeline_tbl[[#This Row],[Rep_ID]],Dim_Reps!A:A,Dim_Reps!B:B)</f>
        <v>Liam Muller</v>
      </c>
      <c r="P5284" t="str">
        <f>_xlfn.XLOOKUP(Pipeline_tbl[[#This Row],[Rep_ID]],Dim_Reps!A:A,Dim_Reps!C:C)</f>
        <v>SDR / Inside Sales Rep</v>
      </c>
      <c r="Q5284" t="str">
        <f>_xlfn.XLOOKUP(Pipeline_tbl[[#This Row],[Rep_ID]],Dim_Reps!A:A,Dim_Reps!D:D)</f>
        <v>Inside Sales</v>
      </c>
      <c r="R5284" t="str">
        <f>_xlfn.XLOOKUP(Pipeline_tbl[[#This Row],[Rep_ID]],Dim_Reps!A:A,Dim_Reps!E:E)</f>
        <v>EMEA</v>
      </c>
      <c r="S5284" t="str">
        <f>_xlfn.XLOOKUP(Pipeline_tbl[[#This Row],[Created_Date]],Dim_Date!A:A,Dim_Date!H:H)</f>
        <v>Dec 2025</v>
      </c>
      <c r="T5284" t="str">
        <f>IF(Pipeline_tbl[[#This Row],[Closed_Date]]=0,"",(_xlfn.XLOOKUP(Pipeline_tbl[[#This Row],[Closed_Date]],Dim_Date!A:A,Dim_Date!H:H)))</f>
        <v/>
      </c>
      <c r="U5284" t="str">
        <f>IF(Pipeline_tbl[[#This Row],[Closed_Date]]=0,"",Pipeline_tbl[[#This Row],[Closed_Date]]-Pipeline_tbl[[#This Row],[Created_Date]])</f>
        <v/>
      </c>
    </row>
    <row r="5285" spans="1:21" ht="15" customHeight="1" x14ac:dyDescent="0.2">
      <c r="A5285" t="s">
        <v>5591</v>
      </c>
      <c r="B5285" t="s">
        <v>227</v>
      </c>
      <c r="C5285" t="s">
        <v>54</v>
      </c>
      <c r="D5285" s="49">
        <v>46015</v>
      </c>
      <c r="E5285" s="49">
        <v>46017</v>
      </c>
      <c r="F5285" s="49">
        <v>46020</v>
      </c>
      <c r="J5285" t="s">
        <v>308</v>
      </c>
      <c r="K5285" s="33">
        <v>4800</v>
      </c>
      <c r="M5285" t="str">
        <f>_xlfn.XLOOKUP(Pipeline_tbl[[#This Row],[Rep_ID]],Dim_Reps!A:A,Dim_Reps!K:K)</f>
        <v>EUR</v>
      </c>
      <c r="N5285" s="33">
        <f>(_xlfn.XLOOKUP(Pipeline_tbl[[#This Row],[Rate_Code_Generalized]],Lookups!A:A,Lookups!B:B))*Pipeline_tbl[[#This Row],[Pipeline_Amount_USD]]</f>
        <v>4800</v>
      </c>
      <c r="O5285" t="str">
        <f>_xlfn.XLOOKUP(Pipeline_tbl[[#This Row],[Rep_ID]],Dim_Reps!A:A,Dim_Reps!B:B)</f>
        <v>Liam Muller</v>
      </c>
      <c r="P5285" t="str">
        <f>_xlfn.XLOOKUP(Pipeline_tbl[[#This Row],[Rep_ID]],Dim_Reps!A:A,Dim_Reps!C:C)</f>
        <v>SDR / Inside Sales Rep</v>
      </c>
      <c r="Q5285" t="str">
        <f>_xlfn.XLOOKUP(Pipeline_tbl[[#This Row],[Rep_ID]],Dim_Reps!A:A,Dim_Reps!D:D)</f>
        <v>Inside Sales</v>
      </c>
      <c r="R5285" t="str">
        <f>_xlfn.XLOOKUP(Pipeline_tbl[[#This Row],[Rep_ID]],Dim_Reps!A:A,Dim_Reps!E:E)</f>
        <v>EMEA</v>
      </c>
      <c r="S5285" t="str">
        <f>_xlfn.XLOOKUP(Pipeline_tbl[[#This Row],[Created_Date]],Dim_Date!A:A,Dim_Date!H:H)</f>
        <v>Dec 2025</v>
      </c>
      <c r="T5285" t="str">
        <f>IF(Pipeline_tbl[[#This Row],[Closed_Date]]=0,"",(_xlfn.XLOOKUP(Pipeline_tbl[[#This Row],[Closed_Date]],Dim_Date!A:A,Dim_Date!H:H)))</f>
        <v/>
      </c>
      <c r="U5285" t="str">
        <f>IF(Pipeline_tbl[[#This Row],[Closed_Date]]=0,"",Pipeline_tbl[[#This Row],[Closed_Date]]-Pipeline_tbl[[#This Row],[Created_Date]])</f>
        <v/>
      </c>
    </row>
    <row r="5286" spans="1:21" ht="15" customHeight="1" x14ac:dyDescent="0.2">
      <c r="A5286" t="s">
        <v>5592</v>
      </c>
      <c r="B5286" t="s">
        <v>227</v>
      </c>
      <c r="C5286" t="s">
        <v>56</v>
      </c>
      <c r="D5286" s="49">
        <v>46016</v>
      </c>
      <c r="E5286" s="49">
        <v>46018</v>
      </c>
      <c r="F5286" s="49">
        <v>46021</v>
      </c>
      <c r="J5286" t="s">
        <v>308</v>
      </c>
      <c r="K5286" s="33">
        <v>7200</v>
      </c>
      <c r="M5286" t="str">
        <f>_xlfn.XLOOKUP(Pipeline_tbl[[#This Row],[Rep_ID]],Dim_Reps!A:A,Dim_Reps!K:K)</f>
        <v>EUR</v>
      </c>
      <c r="N5286" s="33">
        <f>(_xlfn.XLOOKUP(Pipeline_tbl[[#This Row],[Rate_Code_Generalized]],Lookups!A:A,Lookups!B:B))*Pipeline_tbl[[#This Row],[Pipeline_Amount_USD]]</f>
        <v>7200</v>
      </c>
      <c r="O5286" t="str">
        <f>_xlfn.XLOOKUP(Pipeline_tbl[[#This Row],[Rep_ID]],Dim_Reps!A:A,Dim_Reps!B:B)</f>
        <v>Liam Muller</v>
      </c>
      <c r="P5286" t="str">
        <f>_xlfn.XLOOKUP(Pipeline_tbl[[#This Row],[Rep_ID]],Dim_Reps!A:A,Dim_Reps!C:C)</f>
        <v>SDR / Inside Sales Rep</v>
      </c>
      <c r="Q5286" t="str">
        <f>_xlfn.XLOOKUP(Pipeline_tbl[[#This Row],[Rep_ID]],Dim_Reps!A:A,Dim_Reps!D:D)</f>
        <v>Inside Sales</v>
      </c>
      <c r="R5286" t="str">
        <f>_xlfn.XLOOKUP(Pipeline_tbl[[#This Row],[Rep_ID]],Dim_Reps!A:A,Dim_Reps!E:E)</f>
        <v>EMEA</v>
      </c>
      <c r="S5286" t="str">
        <f>_xlfn.XLOOKUP(Pipeline_tbl[[#This Row],[Created_Date]],Dim_Date!A:A,Dim_Date!H:H)</f>
        <v>Dec 2025</v>
      </c>
      <c r="T5286" t="str">
        <f>IF(Pipeline_tbl[[#This Row],[Closed_Date]]=0,"",(_xlfn.XLOOKUP(Pipeline_tbl[[#This Row],[Closed_Date]],Dim_Date!A:A,Dim_Date!H:H)))</f>
        <v/>
      </c>
      <c r="U5286" t="str">
        <f>IF(Pipeline_tbl[[#This Row],[Closed_Date]]=0,"",Pipeline_tbl[[#This Row],[Closed_Date]]-Pipeline_tbl[[#This Row],[Created_Date]])</f>
        <v/>
      </c>
    </row>
    <row r="5287" spans="1:21" ht="15" customHeight="1" x14ac:dyDescent="0.2">
      <c r="A5287" t="s">
        <v>5593</v>
      </c>
      <c r="B5287" t="s">
        <v>227</v>
      </c>
      <c r="C5287" t="s">
        <v>53</v>
      </c>
      <c r="D5287" s="49">
        <v>46016</v>
      </c>
      <c r="E5287" s="49">
        <v>46018</v>
      </c>
      <c r="F5287" s="49">
        <v>46021</v>
      </c>
      <c r="J5287" t="s">
        <v>308</v>
      </c>
      <c r="K5287" s="33">
        <v>3200</v>
      </c>
      <c r="M5287" t="str">
        <f>_xlfn.XLOOKUP(Pipeline_tbl[[#This Row],[Rep_ID]],Dim_Reps!A:A,Dim_Reps!K:K)</f>
        <v>EUR</v>
      </c>
      <c r="N5287" s="33">
        <f>(_xlfn.XLOOKUP(Pipeline_tbl[[#This Row],[Rate_Code_Generalized]],Lookups!A:A,Lookups!B:B))*Pipeline_tbl[[#This Row],[Pipeline_Amount_USD]]</f>
        <v>3200</v>
      </c>
      <c r="O5287" t="str">
        <f>_xlfn.XLOOKUP(Pipeline_tbl[[#This Row],[Rep_ID]],Dim_Reps!A:A,Dim_Reps!B:B)</f>
        <v>Liam Muller</v>
      </c>
      <c r="P5287" t="str">
        <f>_xlfn.XLOOKUP(Pipeline_tbl[[#This Row],[Rep_ID]],Dim_Reps!A:A,Dim_Reps!C:C)</f>
        <v>SDR / Inside Sales Rep</v>
      </c>
      <c r="Q5287" t="str">
        <f>_xlfn.XLOOKUP(Pipeline_tbl[[#This Row],[Rep_ID]],Dim_Reps!A:A,Dim_Reps!D:D)</f>
        <v>Inside Sales</v>
      </c>
      <c r="R5287" t="str">
        <f>_xlfn.XLOOKUP(Pipeline_tbl[[#This Row],[Rep_ID]],Dim_Reps!A:A,Dim_Reps!E:E)</f>
        <v>EMEA</v>
      </c>
      <c r="S5287" t="str">
        <f>_xlfn.XLOOKUP(Pipeline_tbl[[#This Row],[Created_Date]],Dim_Date!A:A,Dim_Date!H:H)</f>
        <v>Dec 2025</v>
      </c>
      <c r="T5287" t="str">
        <f>IF(Pipeline_tbl[[#This Row],[Closed_Date]]=0,"",(_xlfn.XLOOKUP(Pipeline_tbl[[#This Row],[Closed_Date]],Dim_Date!A:A,Dim_Date!H:H)))</f>
        <v/>
      </c>
      <c r="U5287" t="str">
        <f>IF(Pipeline_tbl[[#This Row],[Closed_Date]]=0,"",Pipeline_tbl[[#This Row],[Closed_Date]]-Pipeline_tbl[[#This Row],[Created_Date]])</f>
        <v/>
      </c>
    </row>
    <row r="5288" spans="1:21" ht="15" customHeight="1" x14ac:dyDescent="0.2">
      <c r="A5288" t="s">
        <v>5594</v>
      </c>
      <c r="B5288" t="s">
        <v>227</v>
      </c>
      <c r="C5288" t="s">
        <v>52</v>
      </c>
      <c r="D5288" s="49">
        <v>46007</v>
      </c>
      <c r="E5288" s="49">
        <v>46009</v>
      </c>
      <c r="F5288" s="49">
        <v>46014</v>
      </c>
      <c r="G5288" s="49">
        <v>46020</v>
      </c>
      <c r="J5288" t="s">
        <v>308</v>
      </c>
      <c r="K5288" s="33">
        <v>1900</v>
      </c>
      <c r="M5288" t="str">
        <f>_xlfn.XLOOKUP(Pipeline_tbl[[#This Row],[Rep_ID]],Dim_Reps!A:A,Dim_Reps!K:K)</f>
        <v>EUR</v>
      </c>
      <c r="N5288" s="33">
        <f>(_xlfn.XLOOKUP(Pipeline_tbl[[#This Row],[Rate_Code_Generalized]],Lookups!A:A,Lookups!B:B))*Pipeline_tbl[[#This Row],[Pipeline_Amount_USD]]</f>
        <v>1900</v>
      </c>
      <c r="O5288" t="str">
        <f>_xlfn.XLOOKUP(Pipeline_tbl[[#This Row],[Rep_ID]],Dim_Reps!A:A,Dim_Reps!B:B)</f>
        <v>Liam Muller</v>
      </c>
      <c r="P5288" t="str">
        <f>_xlfn.XLOOKUP(Pipeline_tbl[[#This Row],[Rep_ID]],Dim_Reps!A:A,Dim_Reps!C:C)</f>
        <v>SDR / Inside Sales Rep</v>
      </c>
      <c r="Q5288" t="str">
        <f>_xlfn.XLOOKUP(Pipeline_tbl[[#This Row],[Rep_ID]],Dim_Reps!A:A,Dim_Reps!D:D)</f>
        <v>Inside Sales</v>
      </c>
      <c r="R5288" t="str">
        <f>_xlfn.XLOOKUP(Pipeline_tbl[[#This Row],[Rep_ID]],Dim_Reps!A:A,Dim_Reps!E:E)</f>
        <v>EMEA</v>
      </c>
      <c r="S5288" t="str">
        <f>_xlfn.XLOOKUP(Pipeline_tbl[[#This Row],[Created_Date]],Dim_Date!A:A,Dim_Date!H:H)</f>
        <v>Dec 2025</v>
      </c>
      <c r="T5288" t="str">
        <f>IF(Pipeline_tbl[[#This Row],[Closed_Date]]=0,"",(_xlfn.XLOOKUP(Pipeline_tbl[[#This Row],[Closed_Date]],Dim_Date!A:A,Dim_Date!H:H)))</f>
        <v/>
      </c>
      <c r="U5288" t="str">
        <f>IF(Pipeline_tbl[[#This Row],[Closed_Date]]=0,"",Pipeline_tbl[[#This Row],[Closed_Date]]-Pipeline_tbl[[#This Row],[Created_Date]])</f>
        <v/>
      </c>
    </row>
    <row r="5289" spans="1:21" ht="15" customHeight="1" x14ac:dyDescent="0.2">
      <c r="A5289" t="s">
        <v>5595</v>
      </c>
      <c r="B5289" t="s">
        <v>227</v>
      </c>
      <c r="C5289" t="s">
        <v>54</v>
      </c>
      <c r="D5289" s="49">
        <v>46009</v>
      </c>
      <c r="E5289" s="49">
        <v>46010</v>
      </c>
      <c r="F5289" s="49">
        <v>46013</v>
      </c>
      <c r="G5289" s="49">
        <v>46017</v>
      </c>
      <c r="H5289" s="49">
        <v>46021</v>
      </c>
      <c r="J5289" t="s">
        <v>308</v>
      </c>
      <c r="K5289" s="33">
        <v>4700</v>
      </c>
      <c r="M5289" t="str">
        <f>_xlfn.XLOOKUP(Pipeline_tbl[[#This Row],[Rep_ID]],Dim_Reps!A:A,Dim_Reps!K:K)</f>
        <v>EUR</v>
      </c>
      <c r="N5289" s="33">
        <f>(_xlfn.XLOOKUP(Pipeline_tbl[[#This Row],[Rate_Code_Generalized]],Lookups!A:A,Lookups!B:B))*Pipeline_tbl[[#This Row],[Pipeline_Amount_USD]]</f>
        <v>4700</v>
      </c>
      <c r="O5289" t="str">
        <f>_xlfn.XLOOKUP(Pipeline_tbl[[#This Row],[Rep_ID]],Dim_Reps!A:A,Dim_Reps!B:B)</f>
        <v>Liam Muller</v>
      </c>
      <c r="P5289" t="str">
        <f>_xlfn.XLOOKUP(Pipeline_tbl[[#This Row],[Rep_ID]],Dim_Reps!A:A,Dim_Reps!C:C)</f>
        <v>SDR / Inside Sales Rep</v>
      </c>
      <c r="Q5289" t="str">
        <f>_xlfn.XLOOKUP(Pipeline_tbl[[#This Row],[Rep_ID]],Dim_Reps!A:A,Dim_Reps!D:D)</f>
        <v>Inside Sales</v>
      </c>
      <c r="R5289" t="str">
        <f>_xlfn.XLOOKUP(Pipeline_tbl[[#This Row],[Rep_ID]],Dim_Reps!A:A,Dim_Reps!E:E)</f>
        <v>EMEA</v>
      </c>
      <c r="S5289" t="str">
        <f>_xlfn.XLOOKUP(Pipeline_tbl[[#This Row],[Created_Date]],Dim_Date!A:A,Dim_Date!H:H)</f>
        <v>Dec 2025</v>
      </c>
      <c r="T5289" t="str">
        <f>IF(Pipeline_tbl[[#This Row],[Closed_Date]]=0,"",(_xlfn.XLOOKUP(Pipeline_tbl[[#This Row],[Closed_Date]],Dim_Date!A:A,Dim_Date!H:H)))</f>
        <v/>
      </c>
      <c r="U5289" t="str">
        <f>IF(Pipeline_tbl[[#This Row],[Closed_Date]]=0,"",Pipeline_tbl[[#This Row],[Closed_Date]]-Pipeline_tbl[[#This Row],[Created_Date]])</f>
        <v/>
      </c>
    </row>
    <row r="5290" spans="1:21" ht="15" customHeight="1" x14ac:dyDescent="0.2">
      <c r="A5290" t="s">
        <v>5596</v>
      </c>
      <c r="B5290" t="s">
        <v>227</v>
      </c>
      <c r="C5290" t="s">
        <v>52</v>
      </c>
      <c r="D5290" s="49">
        <v>46008</v>
      </c>
      <c r="E5290" s="49">
        <v>46010</v>
      </c>
      <c r="F5290" s="49">
        <v>46014</v>
      </c>
      <c r="G5290" s="49">
        <v>46019</v>
      </c>
      <c r="J5290" t="s">
        <v>308</v>
      </c>
      <c r="K5290" s="33">
        <v>2800</v>
      </c>
      <c r="M5290" t="str">
        <f>_xlfn.XLOOKUP(Pipeline_tbl[[#This Row],[Rep_ID]],Dim_Reps!A:A,Dim_Reps!K:K)</f>
        <v>EUR</v>
      </c>
      <c r="N5290" s="33">
        <f>(_xlfn.XLOOKUP(Pipeline_tbl[[#This Row],[Rate_Code_Generalized]],Lookups!A:A,Lookups!B:B))*Pipeline_tbl[[#This Row],[Pipeline_Amount_USD]]</f>
        <v>2800</v>
      </c>
      <c r="O5290" t="str">
        <f>_xlfn.XLOOKUP(Pipeline_tbl[[#This Row],[Rep_ID]],Dim_Reps!A:A,Dim_Reps!B:B)</f>
        <v>Liam Muller</v>
      </c>
      <c r="P5290" t="str">
        <f>_xlfn.XLOOKUP(Pipeline_tbl[[#This Row],[Rep_ID]],Dim_Reps!A:A,Dim_Reps!C:C)</f>
        <v>SDR / Inside Sales Rep</v>
      </c>
      <c r="Q5290" t="str">
        <f>_xlfn.XLOOKUP(Pipeline_tbl[[#This Row],[Rep_ID]],Dim_Reps!A:A,Dim_Reps!D:D)</f>
        <v>Inside Sales</v>
      </c>
      <c r="R5290" t="str">
        <f>_xlfn.XLOOKUP(Pipeline_tbl[[#This Row],[Rep_ID]],Dim_Reps!A:A,Dim_Reps!E:E)</f>
        <v>EMEA</v>
      </c>
      <c r="S5290" t="str">
        <f>_xlfn.XLOOKUP(Pipeline_tbl[[#This Row],[Created_Date]],Dim_Date!A:A,Dim_Date!H:H)</f>
        <v>Dec 2025</v>
      </c>
      <c r="T5290" t="str">
        <f>IF(Pipeline_tbl[[#This Row],[Closed_Date]]=0,"",(_xlfn.XLOOKUP(Pipeline_tbl[[#This Row],[Closed_Date]],Dim_Date!A:A,Dim_Date!H:H)))</f>
        <v/>
      </c>
      <c r="U5290" t="str">
        <f>IF(Pipeline_tbl[[#This Row],[Closed_Date]]=0,"",Pipeline_tbl[[#This Row],[Closed_Date]]-Pipeline_tbl[[#This Row],[Created_Date]])</f>
        <v/>
      </c>
    </row>
    <row r="5291" spans="1:21" ht="15" customHeight="1" x14ac:dyDescent="0.2">
      <c r="A5291" t="s">
        <v>5597</v>
      </c>
      <c r="B5291" t="s">
        <v>227</v>
      </c>
      <c r="C5291" t="s">
        <v>52</v>
      </c>
      <c r="D5291" s="49">
        <v>46010</v>
      </c>
      <c r="E5291" s="49">
        <v>46012</v>
      </c>
      <c r="F5291" s="49">
        <v>46017</v>
      </c>
      <c r="J5291" t="s">
        <v>308</v>
      </c>
      <c r="K5291" s="33">
        <v>1500</v>
      </c>
      <c r="M5291" t="str">
        <f>_xlfn.XLOOKUP(Pipeline_tbl[[#This Row],[Rep_ID]],Dim_Reps!A:A,Dim_Reps!K:K)</f>
        <v>EUR</v>
      </c>
      <c r="N5291" s="33">
        <f>(_xlfn.XLOOKUP(Pipeline_tbl[[#This Row],[Rate_Code_Generalized]],Lookups!A:A,Lookups!B:B))*Pipeline_tbl[[#This Row],[Pipeline_Amount_USD]]</f>
        <v>1500</v>
      </c>
      <c r="O5291" t="str">
        <f>_xlfn.XLOOKUP(Pipeline_tbl[[#This Row],[Rep_ID]],Dim_Reps!A:A,Dim_Reps!B:B)</f>
        <v>Liam Muller</v>
      </c>
      <c r="P5291" t="str">
        <f>_xlfn.XLOOKUP(Pipeline_tbl[[#This Row],[Rep_ID]],Dim_Reps!A:A,Dim_Reps!C:C)</f>
        <v>SDR / Inside Sales Rep</v>
      </c>
      <c r="Q5291" t="str">
        <f>_xlfn.XLOOKUP(Pipeline_tbl[[#This Row],[Rep_ID]],Dim_Reps!A:A,Dim_Reps!D:D)</f>
        <v>Inside Sales</v>
      </c>
      <c r="R5291" t="str">
        <f>_xlfn.XLOOKUP(Pipeline_tbl[[#This Row],[Rep_ID]],Dim_Reps!A:A,Dim_Reps!E:E)</f>
        <v>EMEA</v>
      </c>
      <c r="S5291" t="str">
        <f>_xlfn.XLOOKUP(Pipeline_tbl[[#This Row],[Created_Date]],Dim_Date!A:A,Dim_Date!H:H)</f>
        <v>Dec 2025</v>
      </c>
      <c r="T5291" t="str">
        <f>IF(Pipeline_tbl[[#This Row],[Closed_Date]]=0,"",(_xlfn.XLOOKUP(Pipeline_tbl[[#This Row],[Closed_Date]],Dim_Date!A:A,Dim_Date!H:H)))</f>
        <v/>
      </c>
      <c r="U5291" t="str">
        <f>IF(Pipeline_tbl[[#This Row],[Closed_Date]]=0,"",Pipeline_tbl[[#This Row],[Closed_Date]]-Pipeline_tbl[[#This Row],[Created_Date]])</f>
        <v/>
      </c>
    </row>
    <row r="5292" spans="1:21" ht="15" customHeight="1" x14ac:dyDescent="0.2">
      <c r="A5292" t="s">
        <v>5598</v>
      </c>
      <c r="B5292" t="s">
        <v>227</v>
      </c>
      <c r="C5292" t="s">
        <v>55</v>
      </c>
      <c r="D5292" s="49">
        <v>46016</v>
      </c>
      <c r="E5292" s="49">
        <v>46017</v>
      </c>
      <c r="F5292" s="49">
        <v>46019</v>
      </c>
      <c r="J5292" t="s">
        <v>308</v>
      </c>
      <c r="K5292" s="33">
        <v>6000</v>
      </c>
      <c r="M5292" t="str">
        <f>_xlfn.XLOOKUP(Pipeline_tbl[[#This Row],[Rep_ID]],Dim_Reps!A:A,Dim_Reps!K:K)</f>
        <v>EUR</v>
      </c>
      <c r="N5292" s="33">
        <f>(_xlfn.XLOOKUP(Pipeline_tbl[[#This Row],[Rate_Code_Generalized]],Lookups!A:A,Lookups!B:B))*Pipeline_tbl[[#This Row],[Pipeline_Amount_USD]]</f>
        <v>6000</v>
      </c>
      <c r="O5292" t="str">
        <f>_xlfn.XLOOKUP(Pipeline_tbl[[#This Row],[Rep_ID]],Dim_Reps!A:A,Dim_Reps!B:B)</f>
        <v>Liam Muller</v>
      </c>
      <c r="P5292" t="str">
        <f>_xlfn.XLOOKUP(Pipeline_tbl[[#This Row],[Rep_ID]],Dim_Reps!A:A,Dim_Reps!C:C)</f>
        <v>SDR / Inside Sales Rep</v>
      </c>
      <c r="Q5292" t="str">
        <f>_xlfn.XLOOKUP(Pipeline_tbl[[#This Row],[Rep_ID]],Dim_Reps!A:A,Dim_Reps!D:D)</f>
        <v>Inside Sales</v>
      </c>
      <c r="R5292" t="str">
        <f>_xlfn.XLOOKUP(Pipeline_tbl[[#This Row],[Rep_ID]],Dim_Reps!A:A,Dim_Reps!E:E)</f>
        <v>EMEA</v>
      </c>
      <c r="S5292" t="str">
        <f>_xlfn.XLOOKUP(Pipeline_tbl[[#This Row],[Created_Date]],Dim_Date!A:A,Dim_Date!H:H)</f>
        <v>Dec 2025</v>
      </c>
      <c r="T5292" t="str">
        <f>IF(Pipeline_tbl[[#This Row],[Closed_Date]]=0,"",(_xlfn.XLOOKUP(Pipeline_tbl[[#This Row],[Closed_Date]],Dim_Date!A:A,Dim_Date!H:H)))</f>
        <v/>
      </c>
      <c r="U5292" t="str">
        <f>IF(Pipeline_tbl[[#This Row],[Closed_Date]]=0,"",Pipeline_tbl[[#This Row],[Closed_Date]]-Pipeline_tbl[[#This Row],[Created_Date]])</f>
        <v/>
      </c>
    </row>
    <row r="5293" spans="1:21" ht="15" customHeight="1" x14ac:dyDescent="0.2">
      <c r="A5293" t="s">
        <v>5599</v>
      </c>
      <c r="B5293" t="s">
        <v>227</v>
      </c>
      <c r="C5293" t="s">
        <v>56</v>
      </c>
      <c r="D5293" s="49">
        <v>46009</v>
      </c>
      <c r="E5293" s="49">
        <v>46011</v>
      </c>
      <c r="F5293" s="49">
        <v>46016</v>
      </c>
      <c r="J5293" t="s">
        <v>308</v>
      </c>
      <c r="K5293" s="33">
        <v>1400</v>
      </c>
      <c r="M5293" t="str">
        <f>_xlfn.XLOOKUP(Pipeline_tbl[[#This Row],[Rep_ID]],Dim_Reps!A:A,Dim_Reps!K:K)</f>
        <v>EUR</v>
      </c>
      <c r="N5293" s="33">
        <f>(_xlfn.XLOOKUP(Pipeline_tbl[[#This Row],[Rate_Code_Generalized]],Lookups!A:A,Lookups!B:B))*Pipeline_tbl[[#This Row],[Pipeline_Amount_USD]]</f>
        <v>1400</v>
      </c>
      <c r="O5293" t="str">
        <f>_xlfn.XLOOKUP(Pipeline_tbl[[#This Row],[Rep_ID]],Dim_Reps!A:A,Dim_Reps!B:B)</f>
        <v>Liam Muller</v>
      </c>
      <c r="P5293" t="str">
        <f>_xlfn.XLOOKUP(Pipeline_tbl[[#This Row],[Rep_ID]],Dim_Reps!A:A,Dim_Reps!C:C)</f>
        <v>SDR / Inside Sales Rep</v>
      </c>
      <c r="Q5293" t="str">
        <f>_xlfn.XLOOKUP(Pipeline_tbl[[#This Row],[Rep_ID]],Dim_Reps!A:A,Dim_Reps!D:D)</f>
        <v>Inside Sales</v>
      </c>
      <c r="R5293" t="str">
        <f>_xlfn.XLOOKUP(Pipeline_tbl[[#This Row],[Rep_ID]],Dim_Reps!A:A,Dim_Reps!E:E)</f>
        <v>EMEA</v>
      </c>
      <c r="S5293" t="str">
        <f>_xlfn.XLOOKUP(Pipeline_tbl[[#This Row],[Created_Date]],Dim_Date!A:A,Dim_Date!H:H)</f>
        <v>Dec 2025</v>
      </c>
      <c r="T5293" t="str">
        <f>IF(Pipeline_tbl[[#This Row],[Closed_Date]]=0,"",(_xlfn.XLOOKUP(Pipeline_tbl[[#This Row],[Closed_Date]],Dim_Date!A:A,Dim_Date!H:H)))</f>
        <v/>
      </c>
      <c r="U5293" t="str">
        <f>IF(Pipeline_tbl[[#This Row],[Closed_Date]]=0,"",Pipeline_tbl[[#This Row],[Closed_Date]]-Pipeline_tbl[[#This Row],[Created_Date]])</f>
        <v/>
      </c>
    </row>
    <row r="5294" spans="1:21" ht="15" customHeight="1" x14ac:dyDescent="0.2">
      <c r="A5294" t="s">
        <v>5600</v>
      </c>
      <c r="B5294" t="s">
        <v>227</v>
      </c>
      <c r="C5294" t="s">
        <v>52</v>
      </c>
      <c r="D5294" s="49">
        <v>46018</v>
      </c>
      <c r="E5294" s="49">
        <v>46020</v>
      </c>
      <c r="J5294" t="s">
        <v>308</v>
      </c>
      <c r="K5294" s="33">
        <v>3800</v>
      </c>
      <c r="M5294" t="str">
        <f>_xlfn.XLOOKUP(Pipeline_tbl[[#This Row],[Rep_ID]],Dim_Reps!A:A,Dim_Reps!K:K)</f>
        <v>EUR</v>
      </c>
      <c r="N5294" s="33">
        <f>(_xlfn.XLOOKUP(Pipeline_tbl[[#This Row],[Rate_Code_Generalized]],Lookups!A:A,Lookups!B:B))*Pipeline_tbl[[#This Row],[Pipeline_Amount_USD]]</f>
        <v>3800</v>
      </c>
      <c r="O5294" t="str">
        <f>_xlfn.XLOOKUP(Pipeline_tbl[[#This Row],[Rep_ID]],Dim_Reps!A:A,Dim_Reps!B:B)</f>
        <v>Liam Muller</v>
      </c>
      <c r="P5294" t="str">
        <f>_xlfn.XLOOKUP(Pipeline_tbl[[#This Row],[Rep_ID]],Dim_Reps!A:A,Dim_Reps!C:C)</f>
        <v>SDR / Inside Sales Rep</v>
      </c>
      <c r="Q5294" t="str">
        <f>_xlfn.XLOOKUP(Pipeline_tbl[[#This Row],[Rep_ID]],Dim_Reps!A:A,Dim_Reps!D:D)</f>
        <v>Inside Sales</v>
      </c>
      <c r="R5294" t="str">
        <f>_xlfn.XLOOKUP(Pipeline_tbl[[#This Row],[Rep_ID]],Dim_Reps!A:A,Dim_Reps!E:E)</f>
        <v>EMEA</v>
      </c>
      <c r="S5294" t="str">
        <f>_xlfn.XLOOKUP(Pipeline_tbl[[#This Row],[Created_Date]],Dim_Date!A:A,Dim_Date!H:H)</f>
        <v>Dec 2025</v>
      </c>
      <c r="T5294" t="str">
        <f>IF(Pipeline_tbl[[#This Row],[Closed_Date]]=0,"",(_xlfn.XLOOKUP(Pipeline_tbl[[#This Row],[Closed_Date]],Dim_Date!A:A,Dim_Date!H:H)))</f>
        <v/>
      </c>
      <c r="U5294" t="str">
        <f>IF(Pipeline_tbl[[#This Row],[Closed_Date]]=0,"",Pipeline_tbl[[#This Row],[Closed_Date]]-Pipeline_tbl[[#This Row],[Created_Date]])</f>
        <v/>
      </c>
    </row>
    <row r="5295" spans="1:21" ht="15" customHeight="1" x14ac:dyDescent="0.2">
      <c r="A5295" t="s">
        <v>5601</v>
      </c>
      <c r="B5295" t="s">
        <v>280</v>
      </c>
      <c r="C5295" t="s">
        <v>53</v>
      </c>
      <c r="D5295" s="49">
        <v>46014</v>
      </c>
      <c r="E5295" s="49">
        <v>46020</v>
      </c>
      <c r="J5295" t="s">
        <v>308</v>
      </c>
      <c r="K5295" s="33">
        <v>92200</v>
      </c>
      <c r="M5295" t="str">
        <f>_xlfn.XLOOKUP(Pipeline_tbl[[#This Row],[Rep_ID]],Dim_Reps!A:A,Dim_Reps!K:K)</f>
        <v>MXN</v>
      </c>
      <c r="N5295" s="33">
        <f>(_xlfn.XLOOKUP(Pipeline_tbl[[#This Row],[Rate_Code_Generalized]],Lookups!A:A,Lookups!B:B))*Pipeline_tbl[[#This Row],[Pipeline_Amount_USD]]</f>
        <v>1819354.9400000002</v>
      </c>
      <c r="O5295" t="str">
        <f>_xlfn.XLOOKUP(Pipeline_tbl[[#This Row],[Rep_ID]],Dim_Reps!A:A,Dim_Reps!B:B)</f>
        <v>Cameron Lund</v>
      </c>
      <c r="P5295" t="str">
        <f>_xlfn.XLOOKUP(Pipeline_tbl[[#This Row],[Rep_ID]],Dim_Reps!A:A,Dim_Reps!C:C)</f>
        <v>Senior Enterprise AE</v>
      </c>
      <c r="Q5295" t="str">
        <f>_xlfn.XLOOKUP(Pipeline_tbl[[#This Row],[Rep_ID]],Dim_Reps!A:A,Dim_Reps!D:D)</f>
        <v>Strategic</v>
      </c>
      <c r="R5295" t="str">
        <f>_xlfn.XLOOKUP(Pipeline_tbl[[#This Row],[Rep_ID]],Dim_Reps!A:A,Dim_Reps!E:E)</f>
        <v>LATAM</v>
      </c>
      <c r="S5295" t="str">
        <f>_xlfn.XLOOKUP(Pipeline_tbl[[#This Row],[Created_Date]],Dim_Date!A:A,Dim_Date!H:H)</f>
        <v>Dec 2025</v>
      </c>
      <c r="T5295" t="str">
        <f>IF(Pipeline_tbl[[#This Row],[Closed_Date]]=0,"",(_xlfn.XLOOKUP(Pipeline_tbl[[#This Row],[Closed_Date]],Dim_Date!A:A,Dim_Date!H:H)))</f>
        <v/>
      </c>
      <c r="U5295" t="str">
        <f>IF(Pipeline_tbl[[#This Row],[Closed_Date]]=0,"",Pipeline_tbl[[#This Row],[Closed_Date]]-Pipeline_tbl[[#This Row],[Created_Date]])</f>
        <v/>
      </c>
    </row>
    <row r="5296" spans="1:21" ht="15" customHeight="1" x14ac:dyDescent="0.2">
      <c r="A5296" t="s">
        <v>5602</v>
      </c>
      <c r="B5296" t="s">
        <v>280</v>
      </c>
      <c r="C5296" t="s">
        <v>52</v>
      </c>
      <c r="D5296" s="49">
        <v>46001</v>
      </c>
      <c r="E5296" s="49">
        <v>46008</v>
      </c>
      <c r="F5296" s="49">
        <v>46021</v>
      </c>
      <c r="J5296" t="s">
        <v>308</v>
      </c>
      <c r="K5296" s="33">
        <v>55300</v>
      </c>
      <c r="M5296" t="str">
        <f>_xlfn.XLOOKUP(Pipeline_tbl[[#This Row],[Rep_ID]],Dim_Reps!A:A,Dim_Reps!K:K)</f>
        <v>MXN</v>
      </c>
      <c r="N5296" s="33">
        <f>(_xlfn.XLOOKUP(Pipeline_tbl[[#This Row],[Rate_Code_Generalized]],Lookups!A:A,Lookups!B:B))*Pipeline_tbl[[#This Row],[Pipeline_Amount_USD]]</f>
        <v>1091218.31</v>
      </c>
      <c r="O5296" t="str">
        <f>_xlfn.XLOOKUP(Pipeline_tbl[[#This Row],[Rep_ID]],Dim_Reps!A:A,Dim_Reps!B:B)</f>
        <v>Cameron Lund</v>
      </c>
      <c r="P5296" t="str">
        <f>_xlfn.XLOOKUP(Pipeline_tbl[[#This Row],[Rep_ID]],Dim_Reps!A:A,Dim_Reps!C:C)</f>
        <v>Senior Enterprise AE</v>
      </c>
      <c r="Q5296" t="str">
        <f>_xlfn.XLOOKUP(Pipeline_tbl[[#This Row],[Rep_ID]],Dim_Reps!A:A,Dim_Reps!D:D)</f>
        <v>Strategic</v>
      </c>
      <c r="R5296" t="str">
        <f>_xlfn.XLOOKUP(Pipeline_tbl[[#This Row],[Rep_ID]],Dim_Reps!A:A,Dim_Reps!E:E)</f>
        <v>LATAM</v>
      </c>
      <c r="S5296" t="str">
        <f>_xlfn.XLOOKUP(Pipeline_tbl[[#This Row],[Created_Date]],Dim_Date!A:A,Dim_Date!H:H)</f>
        <v>Dec 2025</v>
      </c>
      <c r="T5296" t="str">
        <f>IF(Pipeline_tbl[[#This Row],[Closed_Date]]=0,"",(_xlfn.XLOOKUP(Pipeline_tbl[[#This Row],[Closed_Date]],Dim_Date!A:A,Dim_Date!H:H)))</f>
        <v/>
      </c>
      <c r="U5296" t="str">
        <f>IF(Pipeline_tbl[[#This Row],[Closed_Date]]=0,"",Pipeline_tbl[[#This Row],[Closed_Date]]-Pipeline_tbl[[#This Row],[Created_Date]])</f>
        <v/>
      </c>
    </row>
    <row r="5297" spans="1:21" ht="15" customHeight="1" x14ac:dyDescent="0.2">
      <c r="A5297" t="s">
        <v>5603</v>
      </c>
      <c r="B5297" t="s">
        <v>282</v>
      </c>
      <c r="C5297" t="s">
        <v>52</v>
      </c>
      <c r="D5297" s="49">
        <v>46010</v>
      </c>
      <c r="E5297" s="49">
        <v>46015</v>
      </c>
      <c r="J5297" t="s">
        <v>308</v>
      </c>
      <c r="K5297" s="33">
        <v>63200</v>
      </c>
      <c r="M5297" t="str">
        <f>_xlfn.XLOOKUP(Pipeline_tbl[[#This Row],[Rep_ID]],Dim_Reps!A:A,Dim_Reps!K:K)</f>
        <v>USD</v>
      </c>
      <c r="N5297" s="33">
        <f>(_xlfn.XLOOKUP(Pipeline_tbl[[#This Row],[Rate_Code_Generalized]],Lookups!A:A,Lookups!B:B))*Pipeline_tbl[[#This Row],[Pipeline_Amount_USD]]</f>
        <v>73583.759999999995</v>
      </c>
      <c r="O5297" t="str">
        <f>_xlfn.XLOOKUP(Pipeline_tbl[[#This Row],[Rep_ID]],Dim_Reps!A:A,Dim_Reps!B:B)</f>
        <v>Fatima Rossi</v>
      </c>
      <c r="P5297" t="str">
        <f>_xlfn.XLOOKUP(Pipeline_tbl[[#This Row],[Rep_ID]],Dim_Reps!A:A,Dim_Reps!C:C)</f>
        <v>Senior Enterprise AE</v>
      </c>
      <c r="Q5297" t="str">
        <f>_xlfn.XLOOKUP(Pipeline_tbl[[#This Row],[Rep_ID]],Dim_Reps!A:A,Dim_Reps!D:D)</f>
        <v>Strategic</v>
      </c>
      <c r="R5297" t="str">
        <f>_xlfn.XLOOKUP(Pipeline_tbl[[#This Row],[Rep_ID]],Dim_Reps!A:A,Dim_Reps!E:E)</f>
        <v>NAMER</v>
      </c>
      <c r="S5297" t="str">
        <f>_xlfn.XLOOKUP(Pipeline_tbl[[#This Row],[Created_Date]],Dim_Date!A:A,Dim_Date!H:H)</f>
        <v>Dec 2025</v>
      </c>
      <c r="T5297" t="str">
        <f>IF(Pipeline_tbl[[#This Row],[Closed_Date]]=0,"",(_xlfn.XLOOKUP(Pipeline_tbl[[#This Row],[Closed_Date]],Dim_Date!A:A,Dim_Date!H:H)))</f>
        <v/>
      </c>
      <c r="U5297" t="str">
        <f>IF(Pipeline_tbl[[#This Row],[Closed_Date]]=0,"",Pipeline_tbl[[#This Row],[Closed_Date]]-Pipeline_tbl[[#This Row],[Created_Date]])</f>
        <v/>
      </c>
    </row>
    <row r="5298" spans="1:21" ht="15" customHeight="1" x14ac:dyDescent="0.2">
      <c r="A5298" t="s">
        <v>5604</v>
      </c>
      <c r="B5298" t="s">
        <v>282</v>
      </c>
      <c r="C5298" t="s">
        <v>55</v>
      </c>
      <c r="D5298" s="49">
        <v>46012</v>
      </c>
      <c r="E5298" s="49">
        <v>46021</v>
      </c>
      <c r="J5298" t="s">
        <v>308</v>
      </c>
      <c r="K5298" s="33">
        <v>77400</v>
      </c>
      <c r="M5298" t="str">
        <f>_xlfn.XLOOKUP(Pipeline_tbl[[#This Row],[Rep_ID]],Dim_Reps!A:A,Dim_Reps!K:K)</f>
        <v>USD</v>
      </c>
      <c r="N5298" s="33">
        <f>(_xlfn.XLOOKUP(Pipeline_tbl[[#This Row],[Rate_Code_Generalized]],Lookups!A:A,Lookups!B:B))*Pipeline_tbl[[#This Row],[Pipeline_Amount_USD]]</f>
        <v>90116.819999999992</v>
      </c>
      <c r="O5298" t="str">
        <f>_xlfn.XLOOKUP(Pipeline_tbl[[#This Row],[Rep_ID]],Dim_Reps!A:A,Dim_Reps!B:B)</f>
        <v>Fatima Rossi</v>
      </c>
      <c r="P5298" t="str">
        <f>_xlfn.XLOOKUP(Pipeline_tbl[[#This Row],[Rep_ID]],Dim_Reps!A:A,Dim_Reps!C:C)</f>
        <v>Senior Enterprise AE</v>
      </c>
      <c r="Q5298" t="str">
        <f>_xlfn.XLOOKUP(Pipeline_tbl[[#This Row],[Rep_ID]],Dim_Reps!A:A,Dim_Reps!D:D)</f>
        <v>Strategic</v>
      </c>
      <c r="R5298" t="str">
        <f>_xlfn.XLOOKUP(Pipeline_tbl[[#This Row],[Rep_ID]],Dim_Reps!A:A,Dim_Reps!E:E)</f>
        <v>NAMER</v>
      </c>
      <c r="S5298" t="str">
        <f>_xlfn.XLOOKUP(Pipeline_tbl[[#This Row],[Created_Date]],Dim_Date!A:A,Dim_Date!H:H)</f>
        <v>Dec 2025</v>
      </c>
      <c r="T5298" t="str">
        <f>IF(Pipeline_tbl[[#This Row],[Closed_Date]]=0,"",(_xlfn.XLOOKUP(Pipeline_tbl[[#This Row],[Closed_Date]],Dim_Date!A:A,Dim_Date!H:H)))</f>
        <v/>
      </c>
      <c r="U5298" t="str">
        <f>IF(Pipeline_tbl[[#This Row],[Closed_Date]]=0,"",Pipeline_tbl[[#This Row],[Closed_Date]]-Pipeline_tbl[[#This Row],[Created_Date]])</f>
        <v/>
      </c>
    </row>
    <row r="5299" spans="1:21" ht="15" customHeight="1" x14ac:dyDescent="0.2">
      <c r="A5299" t="s">
        <v>5605</v>
      </c>
      <c r="B5299" t="s">
        <v>282</v>
      </c>
      <c r="C5299" t="s">
        <v>52</v>
      </c>
      <c r="D5299" s="49">
        <v>46000</v>
      </c>
      <c r="E5299" s="49">
        <v>46012</v>
      </c>
      <c r="J5299" t="s">
        <v>308</v>
      </c>
      <c r="K5299" s="33">
        <v>87100</v>
      </c>
      <c r="M5299" t="str">
        <f>_xlfn.XLOOKUP(Pipeline_tbl[[#This Row],[Rep_ID]],Dim_Reps!A:A,Dim_Reps!K:K)</f>
        <v>USD</v>
      </c>
      <c r="N5299" s="33">
        <f>(_xlfn.XLOOKUP(Pipeline_tbl[[#This Row],[Rate_Code_Generalized]],Lookups!A:A,Lookups!B:B))*Pipeline_tbl[[#This Row],[Pipeline_Amount_USD]]</f>
        <v>101410.52999999998</v>
      </c>
      <c r="O5299" t="str">
        <f>_xlfn.XLOOKUP(Pipeline_tbl[[#This Row],[Rep_ID]],Dim_Reps!A:A,Dim_Reps!B:B)</f>
        <v>Fatima Rossi</v>
      </c>
      <c r="P5299" t="str">
        <f>_xlfn.XLOOKUP(Pipeline_tbl[[#This Row],[Rep_ID]],Dim_Reps!A:A,Dim_Reps!C:C)</f>
        <v>Senior Enterprise AE</v>
      </c>
      <c r="Q5299" t="str">
        <f>_xlfn.XLOOKUP(Pipeline_tbl[[#This Row],[Rep_ID]],Dim_Reps!A:A,Dim_Reps!D:D)</f>
        <v>Strategic</v>
      </c>
      <c r="R5299" t="str">
        <f>_xlfn.XLOOKUP(Pipeline_tbl[[#This Row],[Rep_ID]],Dim_Reps!A:A,Dim_Reps!E:E)</f>
        <v>NAMER</v>
      </c>
      <c r="S5299" t="str">
        <f>_xlfn.XLOOKUP(Pipeline_tbl[[#This Row],[Created_Date]],Dim_Date!A:A,Dim_Date!H:H)</f>
        <v>Dec 2025</v>
      </c>
      <c r="T5299" t="str">
        <f>IF(Pipeline_tbl[[#This Row],[Closed_Date]]=0,"",(_xlfn.XLOOKUP(Pipeline_tbl[[#This Row],[Closed_Date]],Dim_Date!A:A,Dim_Date!H:H)))</f>
        <v/>
      </c>
      <c r="U5299" t="str">
        <f>IF(Pipeline_tbl[[#This Row],[Closed_Date]]=0,"",Pipeline_tbl[[#This Row],[Closed_Date]]-Pipeline_tbl[[#This Row],[Created_Date]])</f>
        <v/>
      </c>
    </row>
    <row r="5300" spans="1:21" ht="15" customHeight="1" x14ac:dyDescent="0.2">
      <c r="A5300" t="s">
        <v>5606</v>
      </c>
      <c r="B5300" t="s">
        <v>282</v>
      </c>
      <c r="C5300" t="s">
        <v>54</v>
      </c>
      <c r="D5300" s="49">
        <v>46012</v>
      </c>
      <c r="E5300" s="49">
        <v>46022</v>
      </c>
      <c r="J5300" t="s">
        <v>308</v>
      </c>
      <c r="K5300" s="33">
        <v>31900</v>
      </c>
      <c r="M5300" t="str">
        <f>_xlfn.XLOOKUP(Pipeline_tbl[[#This Row],[Rep_ID]],Dim_Reps!A:A,Dim_Reps!K:K)</f>
        <v>USD</v>
      </c>
      <c r="N5300" s="33">
        <f>(_xlfn.XLOOKUP(Pipeline_tbl[[#This Row],[Rate_Code_Generalized]],Lookups!A:A,Lookups!B:B))*Pipeline_tbl[[#This Row],[Pipeline_Amount_USD]]</f>
        <v>37141.17</v>
      </c>
      <c r="O5300" t="str">
        <f>_xlfn.XLOOKUP(Pipeline_tbl[[#This Row],[Rep_ID]],Dim_Reps!A:A,Dim_Reps!B:B)</f>
        <v>Fatima Rossi</v>
      </c>
      <c r="P5300" t="str">
        <f>_xlfn.XLOOKUP(Pipeline_tbl[[#This Row],[Rep_ID]],Dim_Reps!A:A,Dim_Reps!C:C)</f>
        <v>Senior Enterprise AE</v>
      </c>
      <c r="Q5300" t="str">
        <f>_xlfn.XLOOKUP(Pipeline_tbl[[#This Row],[Rep_ID]],Dim_Reps!A:A,Dim_Reps!D:D)</f>
        <v>Strategic</v>
      </c>
      <c r="R5300" t="str">
        <f>_xlfn.XLOOKUP(Pipeline_tbl[[#This Row],[Rep_ID]],Dim_Reps!A:A,Dim_Reps!E:E)</f>
        <v>NAMER</v>
      </c>
      <c r="S5300" t="str">
        <f>_xlfn.XLOOKUP(Pipeline_tbl[[#This Row],[Created_Date]],Dim_Date!A:A,Dim_Date!H:H)</f>
        <v>Dec 2025</v>
      </c>
      <c r="T5300" t="str">
        <f>IF(Pipeline_tbl[[#This Row],[Closed_Date]]=0,"",(_xlfn.XLOOKUP(Pipeline_tbl[[#This Row],[Closed_Date]],Dim_Date!A:A,Dim_Date!H:H)))</f>
        <v/>
      </c>
      <c r="U5300" t="str">
        <f>IF(Pipeline_tbl[[#This Row],[Closed_Date]]=0,"",Pipeline_tbl[[#This Row],[Closed_Date]]-Pipeline_tbl[[#This Row],[Created_Date]])</f>
        <v/>
      </c>
    </row>
    <row r="5301" spans="1:21" ht="15" customHeight="1" x14ac:dyDescent="0.2">
      <c r="A5301" t="s">
        <v>5607</v>
      </c>
      <c r="B5301" t="s">
        <v>282</v>
      </c>
      <c r="C5301" t="s">
        <v>52</v>
      </c>
      <c r="D5301" s="49">
        <v>46005</v>
      </c>
      <c r="E5301" s="49">
        <v>46011</v>
      </c>
      <c r="F5301" s="49">
        <v>46022</v>
      </c>
      <c r="J5301" t="s">
        <v>308</v>
      </c>
      <c r="K5301" s="33">
        <v>18100</v>
      </c>
      <c r="M5301" t="str">
        <f>_xlfn.XLOOKUP(Pipeline_tbl[[#This Row],[Rep_ID]],Dim_Reps!A:A,Dim_Reps!K:K)</f>
        <v>USD</v>
      </c>
      <c r="N5301" s="33">
        <f>(_xlfn.XLOOKUP(Pipeline_tbl[[#This Row],[Rate_Code_Generalized]],Lookups!A:A,Lookups!B:B))*Pipeline_tbl[[#This Row],[Pipeline_Amount_USD]]</f>
        <v>21073.829999999998</v>
      </c>
      <c r="O5301" t="str">
        <f>_xlfn.XLOOKUP(Pipeline_tbl[[#This Row],[Rep_ID]],Dim_Reps!A:A,Dim_Reps!B:B)</f>
        <v>Fatima Rossi</v>
      </c>
      <c r="P5301" t="str">
        <f>_xlfn.XLOOKUP(Pipeline_tbl[[#This Row],[Rep_ID]],Dim_Reps!A:A,Dim_Reps!C:C)</f>
        <v>Senior Enterprise AE</v>
      </c>
      <c r="Q5301" t="str">
        <f>_xlfn.XLOOKUP(Pipeline_tbl[[#This Row],[Rep_ID]],Dim_Reps!A:A,Dim_Reps!D:D)</f>
        <v>Strategic</v>
      </c>
      <c r="R5301" t="str">
        <f>_xlfn.XLOOKUP(Pipeline_tbl[[#This Row],[Rep_ID]],Dim_Reps!A:A,Dim_Reps!E:E)</f>
        <v>NAMER</v>
      </c>
      <c r="S5301" t="str">
        <f>_xlfn.XLOOKUP(Pipeline_tbl[[#This Row],[Created_Date]],Dim_Date!A:A,Dim_Date!H:H)</f>
        <v>Dec 2025</v>
      </c>
      <c r="T5301" t="str">
        <f>IF(Pipeline_tbl[[#This Row],[Closed_Date]]=0,"",(_xlfn.XLOOKUP(Pipeline_tbl[[#This Row],[Closed_Date]],Dim_Date!A:A,Dim_Date!H:H)))</f>
        <v/>
      </c>
      <c r="U5301" t="str">
        <f>IF(Pipeline_tbl[[#This Row],[Closed_Date]]=0,"",Pipeline_tbl[[#This Row],[Closed_Date]]-Pipeline_tbl[[#This Row],[Created_Date]])</f>
        <v/>
      </c>
    </row>
    <row r="5302" spans="1:21" ht="15" customHeight="1" x14ac:dyDescent="0.2">
      <c r="A5302" t="s">
        <v>5608</v>
      </c>
      <c r="B5302" t="s">
        <v>282</v>
      </c>
      <c r="C5302" t="s">
        <v>52</v>
      </c>
      <c r="D5302" s="49">
        <v>46004</v>
      </c>
      <c r="E5302" s="49">
        <v>46014</v>
      </c>
      <c r="J5302" t="s">
        <v>308</v>
      </c>
      <c r="K5302" s="33">
        <v>75600</v>
      </c>
      <c r="M5302" t="str">
        <f>_xlfn.XLOOKUP(Pipeline_tbl[[#This Row],[Rep_ID]],Dim_Reps!A:A,Dim_Reps!K:K)</f>
        <v>USD</v>
      </c>
      <c r="N5302" s="33">
        <f>(_xlfn.XLOOKUP(Pipeline_tbl[[#This Row],[Rate_Code_Generalized]],Lookups!A:A,Lookups!B:B))*Pipeline_tbl[[#This Row],[Pipeline_Amount_USD]]</f>
        <v>88021.079999999987</v>
      </c>
      <c r="O5302" t="str">
        <f>_xlfn.XLOOKUP(Pipeline_tbl[[#This Row],[Rep_ID]],Dim_Reps!A:A,Dim_Reps!B:B)</f>
        <v>Fatima Rossi</v>
      </c>
      <c r="P5302" t="str">
        <f>_xlfn.XLOOKUP(Pipeline_tbl[[#This Row],[Rep_ID]],Dim_Reps!A:A,Dim_Reps!C:C)</f>
        <v>Senior Enterprise AE</v>
      </c>
      <c r="Q5302" t="str">
        <f>_xlfn.XLOOKUP(Pipeline_tbl[[#This Row],[Rep_ID]],Dim_Reps!A:A,Dim_Reps!D:D)</f>
        <v>Strategic</v>
      </c>
      <c r="R5302" t="str">
        <f>_xlfn.XLOOKUP(Pipeline_tbl[[#This Row],[Rep_ID]],Dim_Reps!A:A,Dim_Reps!E:E)</f>
        <v>NAMER</v>
      </c>
      <c r="S5302" t="str">
        <f>_xlfn.XLOOKUP(Pipeline_tbl[[#This Row],[Created_Date]],Dim_Date!A:A,Dim_Date!H:H)</f>
        <v>Dec 2025</v>
      </c>
      <c r="T5302" t="str">
        <f>IF(Pipeline_tbl[[#This Row],[Closed_Date]]=0,"",(_xlfn.XLOOKUP(Pipeline_tbl[[#This Row],[Closed_Date]],Dim_Date!A:A,Dim_Date!H:H)))</f>
        <v/>
      </c>
      <c r="U5302" t="str">
        <f>IF(Pipeline_tbl[[#This Row],[Closed_Date]]=0,"",Pipeline_tbl[[#This Row],[Closed_Date]]-Pipeline_tbl[[#This Row],[Created_Date]])</f>
        <v/>
      </c>
    </row>
    <row r="5303" spans="1:21" ht="15" customHeight="1" x14ac:dyDescent="0.2">
      <c r="A5303" t="s">
        <v>5609</v>
      </c>
      <c r="B5303" t="s">
        <v>282</v>
      </c>
      <c r="C5303" t="s">
        <v>55</v>
      </c>
      <c r="D5303" s="49">
        <v>46006</v>
      </c>
      <c r="E5303" s="49">
        <v>46009</v>
      </c>
      <c r="F5303" s="49">
        <v>46016</v>
      </c>
      <c r="J5303" t="s">
        <v>308</v>
      </c>
      <c r="K5303" s="33">
        <v>96100</v>
      </c>
      <c r="M5303" t="str">
        <f>_xlfn.XLOOKUP(Pipeline_tbl[[#This Row],[Rep_ID]],Dim_Reps!A:A,Dim_Reps!K:K)</f>
        <v>USD</v>
      </c>
      <c r="N5303" s="33">
        <f>(_xlfn.XLOOKUP(Pipeline_tbl[[#This Row],[Rate_Code_Generalized]],Lookups!A:A,Lookups!B:B))*Pipeline_tbl[[#This Row],[Pipeline_Amount_USD]]</f>
        <v>111889.23</v>
      </c>
      <c r="O5303" t="str">
        <f>_xlfn.XLOOKUP(Pipeline_tbl[[#This Row],[Rep_ID]],Dim_Reps!A:A,Dim_Reps!B:B)</f>
        <v>Fatima Rossi</v>
      </c>
      <c r="P5303" t="str">
        <f>_xlfn.XLOOKUP(Pipeline_tbl[[#This Row],[Rep_ID]],Dim_Reps!A:A,Dim_Reps!C:C)</f>
        <v>Senior Enterprise AE</v>
      </c>
      <c r="Q5303" t="str">
        <f>_xlfn.XLOOKUP(Pipeline_tbl[[#This Row],[Rep_ID]],Dim_Reps!A:A,Dim_Reps!D:D)</f>
        <v>Strategic</v>
      </c>
      <c r="R5303" t="str">
        <f>_xlfn.XLOOKUP(Pipeline_tbl[[#This Row],[Rep_ID]],Dim_Reps!A:A,Dim_Reps!E:E)</f>
        <v>NAMER</v>
      </c>
      <c r="S5303" t="str">
        <f>_xlfn.XLOOKUP(Pipeline_tbl[[#This Row],[Created_Date]],Dim_Date!A:A,Dim_Date!H:H)</f>
        <v>Dec 2025</v>
      </c>
      <c r="T5303" t="str">
        <f>IF(Pipeline_tbl[[#This Row],[Closed_Date]]=0,"",(_xlfn.XLOOKUP(Pipeline_tbl[[#This Row],[Closed_Date]],Dim_Date!A:A,Dim_Date!H:H)))</f>
        <v/>
      </c>
      <c r="U5303" t="str">
        <f>IF(Pipeline_tbl[[#This Row],[Closed_Date]]=0,"",Pipeline_tbl[[#This Row],[Closed_Date]]-Pipeline_tbl[[#This Row],[Created_Date]])</f>
        <v/>
      </c>
    </row>
    <row r="5304" spans="1:21" ht="15" customHeight="1" x14ac:dyDescent="0.2">
      <c r="A5304" t="s">
        <v>5610</v>
      </c>
      <c r="B5304" t="s">
        <v>191</v>
      </c>
      <c r="C5304" t="s">
        <v>52</v>
      </c>
      <c r="D5304" s="49">
        <v>46007</v>
      </c>
      <c r="E5304" s="49">
        <v>46015</v>
      </c>
      <c r="J5304" t="s">
        <v>308</v>
      </c>
      <c r="K5304" s="33">
        <v>27000</v>
      </c>
      <c r="M5304" t="str">
        <f>_xlfn.XLOOKUP(Pipeline_tbl[[#This Row],[Rep_ID]],Dim_Reps!A:A,Dim_Reps!K:K)</f>
        <v>USD</v>
      </c>
      <c r="N5304" s="33">
        <f>(_xlfn.XLOOKUP(Pipeline_tbl[[#This Row],[Rate_Code_Generalized]],Lookups!A:A,Lookups!B:B))*Pipeline_tbl[[#This Row],[Pipeline_Amount_USD]]</f>
        <v>31436.1</v>
      </c>
      <c r="O5304" t="str">
        <f>_xlfn.XLOOKUP(Pipeline_tbl[[#This Row],[Rep_ID]],Dim_Reps!A:A,Dim_Reps!B:B)</f>
        <v>Zara Duarte</v>
      </c>
      <c r="P5304" t="str">
        <f>_xlfn.XLOOKUP(Pipeline_tbl[[#This Row],[Rep_ID]],Dim_Reps!A:A,Dim_Reps!C:C)</f>
        <v>Enterprise AE</v>
      </c>
      <c r="Q5304" t="str">
        <f>_xlfn.XLOOKUP(Pipeline_tbl[[#This Row],[Rep_ID]],Dim_Reps!A:A,Dim_Reps!D:D)</f>
        <v>Enterprise</v>
      </c>
      <c r="R5304" t="str">
        <f>_xlfn.XLOOKUP(Pipeline_tbl[[#This Row],[Rep_ID]],Dim_Reps!A:A,Dim_Reps!E:E)</f>
        <v>NAMER</v>
      </c>
      <c r="S5304" t="str">
        <f>_xlfn.XLOOKUP(Pipeline_tbl[[#This Row],[Created_Date]],Dim_Date!A:A,Dim_Date!H:H)</f>
        <v>Dec 2025</v>
      </c>
      <c r="T5304" t="str">
        <f>IF(Pipeline_tbl[[#This Row],[Closed_Date]]=0,"",(_xlfn.XLOOKUP(Pipeline_tbl[[#This Row],[Closed_Date]],Dim_Date!A:A,Dim_Date!H:H)))</f>
        <v/>
      </c>
      <c r="U5304" t="str">
        <f>IF(Pipeline_tbl[[#This Row],[Closed_Date]]=0,"",Pipeline_tbl[[#This Row],[Closed_Date]]-Pipeline_tbl[[#This Row],[Created_Date]])</f>
        <v/>
      </c>
    </row>
    <row r="5305" spans="1:21" ht="15" customHeight="1" x14ac:dyDescent="0.2">
      <c r="A5305" t="s">
        <v>5611</v>
      </c>
      <c r="B5305" t="s">
        <v>191</v>
      </c>
      <c r="C5305" t="s">
        <v>52</v>
      </c>
      <c r="D5305" s="49">
        <v>45994</v>
      </c>
      <c r="E5305" s="49">
        <v>46000</v>
      </c>
      <c r="F5305" s="49">
        <v>46012</v>
      </c>
      <c r="J5305" t="s">
        <v>308</v>
      </c>
      <c r="K5305" s="33">
        <v>38200</v>
      </c>
      <c r="M5305" t="str">
        <f>_xlfn.XLOOKUP(Pipeline_tbl[[#This Row],[Rep_ID]],Dim_Reps!A:A,Dim_Reps!K:K)</f>
        <v>USD</v>
      </c>
      <c r="N5305" s="33">
        <f>(_xlfn.XLOOKUP(Pipeline_tbl[[#This Row],[Rate_Code_Generalized]],Lookups!A:A,Lookups!B:B))*Pipeline_tbl[[#This Row],[Pipeline_Amount_USD]]</f>
        <v>44476.259999999995</v>
      </c>
      <c r="O5305" t="str">
        <f>_xlfn.XLOOKUP(Pipeline_tbl[[#This Row],[Rep_ID]],Dim_Reps!A:A,Dim_Reps!B:B)</f>
        <v>Zara Duarte</v>
      </c>
      <c r="P5305" t="str">
        <f>_xlfn.XLOOKUP(Pipeline_tbl[[#This Row],[Rep_ID]],Dim_Reps!A:A,Dim_Reps!C:C)</f>
        <v>Enterprise AE</v>
      </c>
      <c r="Q5305" t="str">
        <f>_xlfn.XLOOKUP(Pipeline_tbl[[#This Row],[Rep_ID]],Dim_Reps!A:A,Dim_Reps!D:D)</f>
        <v>Enterprise</v>
      </c>
      <c r="R5305" t="str">
        <f>_xlfn.XLOOKUP(Pipeline_tbl[[#This Row],[Rep_ID]],Dim_Reps!A:A,Dim_Reps!E:E)</f>
        <v>NAMER</v>
      </c>
      <c r="S5305" t="str">
        <f>_xlfn.XLOOKUP(Pipeline_tbl[[#This Row],[Created_Date]],Dim_Date!A:A,Dim_Date!H:H)</f>
        <v>Dec 2025</v>
      </c>
      <c r="T5305" t="str">
        <f>IF(Pipeline_tbl[[#This Row],[Closed_Date]]=0,"",(_xlfn.XLOOKUP(Pipeline_tbl[[#This Row],[Closed_Date]],Dim_Date!A:A,Dim_Date!H:H)))</f>
        <v/>
      </c>
      <c r="U5305" t="str">
        <f>IF(Pipeline_tbl[[#This Row],[Closed_Date]]=0,"",Pipeline_tbl[[#This Row],[Closed_Date]]-Pipeline_tbl[[#This Row],[Created_Date]])</f>
        <v/>
      </c>
    </row>
    <row r="5306" spans="1:21" ht="15" customHeight="1" x14ac:dyDescent="0.2">
      <c r="A5306" t="s">
        <v>5612</v>
      </c>
      <c r="B5306" t="s">
        <v>191</v>
      </c>
      <c r="C5306" t="s">
        <v>52</v>
      </c>
      <c r="D5306" s="49">
        <v>45996</v>
      </c>
      <c r="E5306" s="49">
        <v>46004</v>
      </c>
      <c r="F5306" s="49">
        <v>46020</v>
      </c>
      <c r="J5306" t="s">
        <v>308</v>
      </c>
      <c r="K5306" s="33">
        <v>25300</v>
      </c>
      <c r="M5306" t="str">
        <f>_xlfn.XLOOKUP(Pipeline_tbl[[#This Row],[Rep_ID]],Dim_Reps!A:A,Dim_Reps!K:K)</f>
        <v>USD</v>
      </c>
      <c r="N5306" s="33">
        <f>(_xlfn.XLOOKUP(Pipeline_tbl[[#This Row],[Rate_Code_Generalized]],Lookups!A:A,Lookups!B:B))*Pipeline_tbl[[#This Row],[Pipeline_Amount_USD]]</f>
        <v>29456.789999999997</v>
      </c>
      <c r="O5306" t="str">
        <f>_xlfn.XLOOKUP(Pipeline_tbl[[#This Row],[Rep_ID]],Dim_Reps!A:A,Dim_Reps!B:B)</f>
        <v>Zara Duarte</v>
      </c>
      <c r="P5306" t="str">
        <f>_xlfn.XLOOKUP(Pipeline_tbl[[#This Row],[Rep_ID]],Dim_Reps!A:A,Dim_Reps!C:C)</f>
        <v>Enterprise AE</v>
      </c>
      <c r="Q5306" t="str">
        <f>_xlfn.XLOOKUP(Pipeline_tbl[[#This Row],[Rep_ID]],Dim_Reps!A:A,Dim_Reps!D:D)</f>
        <v>Enterprise</v>
      </c>
      <c r="R5306" t="str">
        <f>_xlfn.XLOOKUP(Pipeline_tbl[[#This Row],[Rep_ID]],Dim_Reps!A:A,Dim_Reps!E:E)</f>
        <v>NAMER</v>
      </c>
      <c r="S5306" t="str">
        <f>_xlfn.XLOOKUP(Pipeline_tbl[[#This Row],[Created_Date]],Dim_Date!A:A,Dim_Date!H:H)</f>
        <v>Dec 2025</v>
      </c>
      <c r="T5306" t="str">
        <f>IF(Pipeline_tbl[[#This Row],[Closed_Date]]=0,"",(_xlfn.XLOOKUP(Pipeline_tbl[[#This Row],[Closed_Date]],Dim_Date!A:A,Dim_Date!H:H)))</f>
        <v/>
      </c>
      <c r="U5306" t="str">
        <f>IF(Pipeline_tbl[[#This Row],[Closed_Date]]=0,"",Pipeline_tbl[[#This Row],[Closed_Date]]-Pipeline_tbl[[#This Row],[Created_Date]])</f>
        <v/>
      </c>
    </row>
    <row r="5307" spans="1:21" ht="15" customHeight="1" x14ac:dyDescent="0.2">
      <c r="A5307" t="s">
        <v>5613</v>
      </c>
      <c r="B5307" t="s">
        <v>191</v>
      </c>
      <c r="C5307" t="s">
        <v>55</v>
      </c>
      <c r="D5307" s="49">
        <v>46010</v>
      </c>
      <c r="E5307" s="49">
        <v>46017</v>
      </c>
      <c r="J5307" t="s">
        <v>308</v>
      </c>
      <c r="K5307" s="33">
        <v>24600</v>
      </c>
      <c r="M5307" t="str">
        <f>_xlfn.XLOOKUP(Pipeline_tbl[[#This Row],[Rep_ID]],Dim_Reps!A:A,Dim_Reps!K:K)</f>
        <v>USD</v>
      </c>
      <c r="N5307" s="33">
        <f>(_xlfn.XLOOKUP(Pipeline_tbl[[#This Row],[Rate_Code_Generalized]],Lookups!A:A,Lookups!B:B))*Pipeline_tbl[[#This Row],[Pipeline_Amount_USD]]</f>
        <v>28641.78</v>
      </c>
      <c r="O5307" t="str">
        <f>_xlfn.XLOOKUP(Pipeline_tbl[[#This Row],[Rep_ID]],Dim_Reps!A:A,Dim_Reps!B:B)</f>
        <v>Zara Duarte</v>
      </c>
      <c r="P5307" t="str">
        <f>_xlfn.XLOOKUP(Pipeline_tbl[[#This Row],[Rep_ID]],Dim_Reps!A:A,Dim_Reps!C:C)</f>
        <v>Enterprise AE</v>
      </c>
      <c r="Q5307" t="str">
        <f>_xlfn.XLOOKUP(Pipeline_tbl[[#This Row],[Rep_ID]],Dim_Reps!A:A,Dim_Reps!D:D)</f>
        <v>Enterprise</v>
      </c>
      <c r="R5307" t="str">
        <f>_xlfn.XLOOKUP(Pipeline_tbl[[#This Row],[Rep_ID]],Dim_Reps!A:A,Dim_Reps!E:E)</f>
        <v>NAMER</v>
      </c>
      <c r="S5307" t="str">
        <f>_xlfn.XLOOKUP(Pipeline_tbl[[#This Row],[Created_Date]],Dim_Date!A:A,Dim_Date!H:H)</f>
        <v>Dec 2025</v>
      </c>
      <c r="T5307" t="str">
        <f>IF(Pipeline_tbl[[#This Row],[Closed_Date]]=0,"",(_xlfn.XLOOKUP(Pipeline_tbl[[#This Row],[Closed_Date]],Dim_Date!A:A,Dim_Date!H:H)))</f>
        <v/>
      </c>
      <c r="U5307" t="str">
        <f>IF(Pipeline_tbl[[#This Row],[Closed_Date]]=0,"",Pipeline_tbl[[#This Row],[Closed_Date]]-Pipeline_tbl[[#This Row],[Created_Date]])</f>
        <v/>
      </c>
    </row>
    <row r="5308" spans="1:21" ht="15" customHeight="1" x14ac:dyDescent="0.2">
      <c r="A5308" t="s">
        <v>5614</v>
      </c>
      <c r="B5308" t="s">
        <v>191</v>
      </c>
      <c r="C5308" t="s">
        <v>52</v>
      </c>
      <c r="D5308" s="49">
        <v>45999</v>
      </c>
      <c r="E5308" s="49">
        <v>46003</v>
      </c>
      <c r="F5308" s="49">
        <v>46011</v>
      </c>
      <c r="J5308" t="s">
        <v>308</v>
      </c>
      <c r="K5308" s="33">
        <v>24800</v>
      </c>
      <c r="M5308" t="str">
        <f>_xlfn.XLOOKUP(Pipeline_tbl[[#This Row],[Rep_ID]],Dim_Reps!A:A,Dim_Reps!K:K)</f>
        <v>USD</v>
      </c>
      <c r="N5308" s="33">
        <f>(_xlfn.XLOOKUP(Pipeline_tbl[[#This Row],[Rate_Code_Generalized]],Lookups!A:A,Lookups!B:B))*Pipeline_tbl[[#This Row],[Pipeline_Amount_USD]]</f>
        <v>28874.639999999996</v>
      </c>
      <c r="O5308" t="str">
        <f>_xlfn.XLOOKUP(Pipeline_tbl[[#This Row],[Rep_ID]],Dim_Reps!A:A,Dim_Reps!B:B)</f>
        <v>Zara Duarte</v>
      </c>
      <c r="P5308" t="str">
        <f>_xlfn.XLOOKUP(Pipeline_tbl[[#This Row],[Rep_ID]],Dim_Reps!A:A,Dim_Reps!C:C)</f>
        <v>Enterprise AE</v>
      </c>
      <c r="Q5308" t="str">
        <f>_xlfn.XLOOKUP(Pipeline_tbl[[#This Row],[Rep_ID]],Dim_Reps!A:A,Dim_Reps!D:D)</f>
        <v>Enterprise</v>
      </c>
      <c r="R5308" t="str">
        <f>_xlfn.XLOOKUP(Pipeline_tbl[[#This Row],[Rep_ID]],Dim_Reps!A:A,Dim_Reps!E:E)</f>
        <v>NAMER</v>
      </c>
      <c r="S5308" t="str">
        <f>_xlfn.XLOOKUP(Pipeline_tbl[[#This Row],[Created_Date]],Dim_Date!A:A,Dim_Date!H:H)</f>
        <v>Dec 2025</v>
      </c>
      <c r="T5308" t="str">
        <f>IF(Pipeline_tbl[[#This Row],[Closed_Date]]=0,"",(_xlfn.XLOOKUP(Pipeline_tbl[[#This Row],[Closed_Date]],Dim_Date!A:A,Dim_Date!H:H)))</f>
        <v/>
      </c>
      <c r="U5308" t="str">
        <f>IF(Pipeline_tbl[[#This Row],[Closed_Date]]=0,"",Pipeline_tbl[[#This Row],[Closed_Date]]-Pipeline_tbl[[#This Row],[Created_Date]])</f>
        <v/>
      </c>
    </row>
    <row r="5309" spans="1:21" ht="15" customHeight="1" x14ac:dyDescent="0.2">
      <c r="A5309" t="s">
        <v>5615</v>
      </c>
      <c r="B5309" t="s">
        <v>191</v>
      </c>
      <c r="C5309" t="s">
        <v>52</v>
      </c>
      <c r="D5309" s="49">
        <v>46008</v>
      </c>
      <c r="E5309" s="49">
        <v>46012</v>
      </c>
      <c r="F5309" s="49">
        <v>46019</v>
      </c>
      <c r="J5309" t="s">
        <v>308</v>
      </c>
      <c r="K5309" s="33">
        <v>71000</v>
      </c>
      <c r="M5309" t="str">
        <f>_xlfn.XLOOKUP(Pipeline_tbl[[#This Row],[Rep_ID]],Dim_Reps!A:A,Dim_Reps!K:K)</f>
        <v>USD</v>
      </c>
      <c r="N5309" s="33">
        <f>(_xlfn.XLOOKUP(Pipeline_tbl[[#This Row],[Rate_Code_Generalized]],Lookups!A:A,Lookups!B:B))*Pipeline_tbl[[#This Row],[Pipeline_Amount_USD]]</f>
        <v>82665.299999999988</v>
      </c>
      <c r="O5309" t="str">
        <f>_xlfn.XLOOKUP(Pipeline_tbl[[#This Row],[Rep_ID]],Dim_Reps!A:A,Dim_Reps!B:B)</f>
        <v>Zara Duarte</v>
      </c>
      <c r="P5309" t="str">
        <f>_xlfn.XLOOKUP(Pipeline_tbl[[#This Row],[Rep_ID]],Dim_Reps!A:A,Dim_Reps!C:C)</f>
        <v>Enterprise AE</v>
      </c>
      <c r="Q5309" t="str">
        <f>_xlfn.XLOOKUP(Pipeline_tbl[[#This Row],[Rep_ID]],Dim_Reps!A:A,Dim_Reps!D:D)</f>
        <v>Enterprise</v>
      </c>
      <c r="R5309" t="str">
        <f>_xlfn.XLOOKUP(Pipeline_tbl[[#This Row],[Rep_ID]],Dim_Reps!A:A,Dim_Reps!E:E)</f>
        <v>NAMER</v>
      </c>
      <c r="S5309" t="str">
        <f>_xlfn.XLOOKUP(Pipeline_tbl[[#This Row],[Created_Date]],Dim_Date!A:A,Dim_Date!H:H)</f>
        <v>Dec 2025</v>
      </c>
      <c r="T5309" t="str">
        <f>IF(Pipeline_tbl[[#This Row],[Closed_Date]]=0,"",(_xlfn.XLOOKUP(Pipeline_tbl[[#This Row],[Closed_Date]],Dim_Date!A:A,Dim_Date!H:H)))</f>
        <v/>
      </c>
      <c r="U5309" t="str">
        <f>IF(Pipeline_tbl[[#This Row],[Closed_Date]]=0,"",Pipeline_tbl[[#This Row],[Closed_Date]]-Pipeline_tbl[[#This Row],[Created_Date]])</f>
        <v/>
      </c>
    </row>
    <row r="5310" spans="1:21" ht="15" customHeight="1" x14ac:dyDescent="0.2">
      <c r="A5310" t="s">
        <v>5616</v>
      </c>
      <c r="B5310" t="s">
        <v>191</v>
      </c>
      <c r="C5310" t="s">
        <v>53</v>
      </c>
      <c r="D5310" s="49">
        <v>46013</v>
      </c>
      <c r="E5310" s="49">
        <v>46022</v>
      </c>
      <c r="J5310" t="s">
        <v>308</v>
      </c>
      <c r="K5310" s="33">
        <v>34000</v>
      </c>
      <c r="M5310" t="str">
        <f>_xlfn.XLOOKUP(Pipeline_tbl[[#This Row],[Rep_ID]],Dim_Reps!A:A,Dim_Reps!K:K)</f>
        <v>USD</v>
      </c>
      <c r="N5310" s="33">
        <f>(_xlfn.XLOOKUP(Pipeline_tbl[[#This Row],[Rate_Code_Generalized]],Lookups!A:A,Lookups!B:B))*Pipeline_tbl[[#This Row],[Pipeline_Amount_USD]]</f>
        <v>39586.199999999997</v>
      </c>
      <c r="O5310" t="str">
        <f>_xlfn.XLOOKUP(Pipeline_tbl[[#This Row],[Rep_ID]],Dim_Reps!A:A,Dim_Reps!B:B)</f>
        <v>Zara Duarte</v>
      </c>
      <c r="P5310" t="str">
        <f>_xlfn.XLOOKUP(Pipeline_tbl[[#This Row],[Rep_ID]],Dim_Reps!A:A,Dim_Reps!C:C)</f>
        <v>Enterprise AE</v>
      </c>
      <c r="Q5310" t="str">
        <f>_xlfn.XLOOKUP(Pipeline_tbl[[#This Row],[Rep_ID]],Dim_Reps!A:A,Dim_Reps!D:D)</f>
        <v>Enterprise</v>
      </c>
      <c r="R5310" t="str">
        <f>_xlfn.XLOOKUP(Pipeline_tbl[[#This Row],[Rep_ID]],Dim_Reps!A:A,Dim_Reps!E:E)</f>
        <v>NAMER</v>
      </c>
      <c r="S5310" t="str">
        <f>_xlfn.XLOOKUP(Pipeline_tbl[[#This Row],[Created_Date]],Dim_Date!A:A,Dim_Date!H:H)</f>
        <v>Dec 2025</v>
      </c>
      <c r="T5310" t="str">
        <f>IF(Pipeline_tbl[[#This Row],[Closed_Date]]=0,"",(_xlfn.XLOOKUP(Pipeline_tbl[[#This Row],[Closed_Date]],Dim_Date!A:A,Dim_Date!H:H)))</f>
        <v/>
      </c>
      <c r="U5310" t="str">
        <f>IF(Pipeline_tbl[[#This Row],[Closed_Date]]=0,"",Pipeline_tbl[[#This Row],[Closed_Date]]-Pipeline_tbl[[#This Row],[Created_Date]])</f>
        <v/>
      </c>
    </row>
    <row r="5311" spans="1:21" ht="15" customHeight="1" x14ac:dyDescent="0.2">
      <c r="A5311" t="s">
        <v>5617</v>
      </c>
      <c r="B5311" t="s">
        <v>229</v>
      </c>
      <c r="C5311" t="s">
        <v>52</v>
      </c>
      <c r="D5311" s="49">
        <v>46007</v>
      </c>
      <c r="E5311" s="49">
        <v>46009</v>
      </c>
      <c r="F5311" s="49">
        <v>46014</v>
      </c>
      <c r="G5311" s="49">
        <v>46021</v>
      </c>
      <c r="J5311" t="s">
        <v>308</v>
      </c>
      <c r="K5311" s="33">
        <v>4300</v>
      </c>
      <c r="M5311" t="str">
        <f>_xlfn.XLOOKUP(Pipeline_tbl[[#This Row],[Rep_ID]],Dim_Reps!A:A,Dim_Reps!K:K)</f>
        <v>USD</v>
      </c>
      <c r="N5311" s="33">
        <f>(_xlfn.XLOOKUP(Pipeline_tbl[[#This Row],[Rate_Code_Generalized]],Lookups!A:A,Lookups!B:B))*Pipeline_tbl[[#This Row],[Pipeline_Amount_USD]]</f>
        <v>5006.49</v>
      </c>
      <c r="O5311" t="str">
        <f>_xlfn.XLOOKUP(Pipeline_tbl[[#This Row],[Rep_ID]],Dim_Reps!A:A,Dim_Reps!B:B)</f>
        <v>Liam Castro</v>
      </c>
      <c r="P5311" t="str">
        <f>_xlfn.XLOOKUP(Pipeline_tbl[[#This Row],[Rep_ID]],Dim_Reps!A:A,Dim_Reps!C:C)</f>
        <v>SDR / Inside Sales Rep</v>
      </c>
      <c r="Q5311" t="str">
        <f>_xlfn.XLOOKUP(Pipeline_tbl[[#This Row],[Rep_ID]],Dim_Reps!A:A,Dim_Reps!D:D)</f>
        <v>Inside Sales</v>
      </c>
      <c r="R5311" t="str">
        <f>_xlfn.XLOOKUP(Pipeline_tbl[[#This Row],[Rep_ID]],Dim_Reps!A:A,Dim_Reps!E:E)</f>
        <v>NAMER</v>
      </c>
      <c r="S5311" t="str">
        <f>_xlfn.XLOOKUP(Pipeline_tbl[[#This Row],[Created_Date]],Dim_Date!A:A,Dim_Date!H:H)</f>
        <v>Dec 2025</v>
      </c>
      <c r="T5311" t="str">
        <f>IF(Pipeline_tbl[[#This Row],[Closed_Date]]=0,"",(_xlfn.XLOOKUP(Pipeline_tbl[[#This Row],[Closed_Date]],Dim_Date!A:A,Dim_Date!H:H)))</f>
        <v/>
      </c>
      <c r="U5311" t="str">
        <f>IF(Pipeline_tbl[[#This Row],[Closed_Date]]=0,"",Pipeline_tbl[[#This Row],[Closed_Date]]-Pipeline_tbl[[#This Row],[Created_Date]])</f>
        <v/>
      </c>
    </row>
    <row r="5312" spans="1:21" ht="15" customHeight="1" x14ac:dyDescent="0.2">
      <c r="A5312" t="s">
        <v>5618</v>
      </c>
      <c r="B5312" t="s">
        <v>229</v>
      </c>
      <c r="C5312" t="s">
        <v>54</v>
      </c>
      <c r="D5312" s="49">
        <v>46019</v>
      </c>
      <c r="E5312" s="49">
        <v>46021</v>
      </c>
      <c r="J5312" t="s">
        <v>308</v>
      </c>
      <c r="K5312" s="33">
        <v>4200</v>
      </c>
      <c r="M5312" t="str">
        <f>_xlfn.XLOOKUP(Pipeline_tbl[[#This Row],[Rep_ID]],Dim_Reps!A:A,Dim_Reps!K:K)</f>
        <v>USD</v>
      </c>
      <c r="N5312" s="33">
        <f>(_xlfn.XLOOKUP(Pipeline_tbl[[#This Row],[Rate_Code_Generalized]],Lookups!A:A,Lookups!B:B))*Pipeline_tbl[[#This Row],[Pipeline_Amount_USD]]</f>
        <v>4890.0599999999995</v>
      </c>
      <c r="O5312" t="str">
        <f>_xlfn.XLOOKUP(Pipeline_tbl[[#This Row],[Rep_ID]],Dim_Reps!A:A,Dim_Reps!B:B)</f>
        <v>Liam Castro</v>
      </c>
      <c r="P5312" t="str">
        <f>_xlfn.XLOOKUP(Pipeline_tbl[[#This Row],[Rep_ID]],Dim_Reps!A:A,Dim_Reps!C:C)</f>
        <v>SDR / Inside Sales Rep</v>
      </c>
      <c r="Q5312" t="str">
        <f>_xlfn.XLOOKUP(Pipeline_tbl[[#This Row],[Rep_ID]],Dim_Reps!A:A,Dim_Reps!D:D)</f>
        <v>Inside Sales</v>
      </c>
      <c r="R5312" t="str">
        <f>_xlfn.XLOOKUP(Pipeline_tbl[[#This Row],[Rep_ID]],Dim_Reps!A:A,Dim_Reps!E:E)</f>
        <v>NAMER</v>
      </c>
      <c r="S5312" t="str">
        <f>_xlfn.XLOOKUP(Pipeline_tbl[[#This Row],[Created_Date]],Dim_Date!A:A,Dim_Date!H:H)</f>
        <v>Dec 2025</v>
      </c>
      <c r="T5312" t="str">
        <f>IF(Pipeline_tbl[[#This Row],[Closed_Date]]=0,"",(_xlfn.XLOOKUP(Pipeline_tbl[[#This Row],[Closed_Date]],Dim_Date!A:A,Dim_Date!H:H)))</f>
        <v/>
      </c>
      <c r="U5312" t="str">
        <f>IF(Pipeline_tbl[[#This Row],[Closed_Date]]=0,"",Pipeline_tbl[[#This Row],[Closed_Date]]-Pipeline_tbl[[#This Row],[Created_Date]])</f>
        <v/>
      </c>
    </row>
    <row r="5313" spans="1:21" ht="15" customHeight="1" x14ac:dyDescent="0.2">
      <c r="A5313" t="s">
        <v>5619</v>
      </c>
      <c r="B5313" t="s">
        <v>229</v>
      </c>
      <c r="C5313" t="s">
        <v>52</v>
      </c>
      <c r="D5313" s="49">
        <v>46010</v>
      </c>
      <c r="E5313" s="49">
        <v>46012</v>
      </c>
      <c r="F5313" s="49">
        <v>46017</v>
      </c>
      <c r="J5313" t="s">
        <v>308</v>
      </c>
      <c r="K5313" s="33">
        <v>4100</v>
      </c>
      <c r="M5313" t="str">
        <f>_xlfn.XLOOKUP(Pipeline_tbl[[#This Row],[Rep_ID]],Dim_Reps!A:A,Dim_Reps!K:K)</f>
        <v>USD</v>
      </c>
      <c r="N5313" s="33">
        <f>(_xlfn.XLOOKUP(Pipeline_tbl[[#This Row],[Rate_Code_Generalized]],Lookups!A:A,Lookups!B:B))*Pipeline_tbl[[#This Row],[Pipeline_Amount_USD]]</f>
        <v>4773.6299999999992</v>
      </c>
      <c r="O5313" t="str">
        <f>_xlfn.XLOOKUP(Pipeline_tbl[[#This Row],[Rep_ID]],Dim_Reps!A:A,Dim_Reps!B:B)</f>
        <v>Liam Castro</v>
      </c>
      <c r="P5313" t="str">
        <f>_xlfn.XLOOKUP(Pipeline_tbl[[#This Row],[Rep_ID]],Dim_Reps!A:A,Dim_Reps!C:C)</f>
        <v>SDR / Inside Sales Rep</v>
      </c>
      <c r="Q5313" t="str">
        <f>_xlfn.XLOOKUP(Pipeline_tbl[[#This Row],[Rep_ID]],Dim_Reps!A:A,Dim_Reps!D:D)</f>
        <v>Inside Sales</v>
      </c>
      <c r="R5313" t="str">
        <f>_xlfn.XLOOKUP(Pipeline_tbl[[#This Row],[Rep_ID]],Dim_Reps!A:A,Dim_Reps!E:E)</f>
        <v>NAMER</v>
      </c>
      <c r="S5313" t="str">
        <f>_xlfn.XLOOKUP(Pipeline_tbl[[#This Row],[Created_Date]],Dim_Date!A:A,Dim_Date!H:H)</f>
        <v>Dec 2025</v>
      </c>
      <c r="T5313" t="str">
        <f>IF(Pipeline_tbl[[#This Row],[Closed_Date]]=0,"",(_xlfn.XLOOKUP(Pipeline_tbl[[#This Row],[Closed_Date]],Dim_Date!A:A,Dim_Date!H:H)))</f>
        <v/>
      </c>
      <c r="U5313" t="str">
        <f>IF(Pipeline_tbl[[#This Row],[Closed_Date]]=0,"",Pipeline_tbl[[#This Row],[Closed_Date]]-Pipeline_tbl[[#This Row],[Created_Date]])</f>
        <v/>
      </c>
    </row>
    <row r="5314" spans="1:21" ht="15" customHeight="1" x14ac:dyDescent="0.2">
      <c r="A5314" t="s">
        <v>5620</v>
      </c>
      <c r="B5314" t="s">
        <v>229</v>
      </c>
      <c r="C5314" t="s">
        <v>52</v>
      </c>
      <c r="D5314" s="49">
        <v>46016</v>
      </c>
      <c r="E5314" s="49">
        <v>46017</v>
      </c>
      <c r="F5314" s="49">
        <v>46019</v>
      </c>
      <c r="J5314" t="s">
        <v>308</v>
      </c>
      <c r="K5314" s="33">
        <v>1900</v>
      </c>
      <c r="M5314" t="str">
        <f>_xlfn.XLOOKUP(Pipeline_tbl[[#This Row],[Rep_ID]],Dim_Reps!A:A,Dim_Reps!K:K)</f>
        <v>USD</v>
      </c>
      <c r="N5314" s="33">
        <f>(_xlfn.XLOOKUP(Pipeline_tbl[[#This Row],[Rate_Code_Generalized]],Lookups!A:A,Lookups!B:B))*Pipeline_tbl[[#This Row],[Pipeline_Amount_USD]]</f>
        <v>2212.1699999999996</v>
      </c>
      <c r="O5314" t="str">
        <f>_xlfn.XLOOKUP(Pipeline_tbl[[#This Row],[Rep_ID]],Dim_Reps!A:A,Dim_Reps!B:B)</f>
        <v>Liam Castro</v>
      </c>
      <c r="P5314" t="str">
        <f>_xlfn.XLOOKUP(Pipeline_tbl[[#This Row],[Rep_ID]],Dim_Reps!A:A,Dim_Reps!C:C)</f>
        <v>SDR / Inside Sales Rep</v>
      </c>
      <c r="Q5314" t="str">
        <f>_xlfn.XLOOKUP(Pipeline_tbl[[#This Row],[Rep_ID]],Dim_Reps!A:A,Dim_Reps!D:D)</f>
        <v>Inside Sales</v>
      </c>
      <c r="R5314" t="str">
        <f>_xlfn.XLOOKUP(Pipeline_tbl[[#This Row],[Rep_ID]],Dim_Reps!A:A,Dim_Reps!E:E)</f>
        <v>NAMER</v>
      </c>
      <c r="S5314" t="str">
        <f>_xlfn.XLOOKUP(Pipeline_tbl[[#This Row],[Created_Date]],Dim_Date!A:A,Dim_Date!H:H)</f>
        <v>Dec 2025</v>
      </c>
      <c r="T5314" t="str">
        <f>IF(Pipeline_tbl[[#This Row],[Closed_Date]]=0,"",(_xlfn.XLOOKUP(Pipeline_tbl[[#This Row],[Closed_Date]],Dim_Date!A:A,Dim_Date!H:H)))</f>
        <v/>
      </c>
      <c r="U5314" t="str">
        <f>IF(Pipeline_tbl[[#This Row],[Closed_Date]]=0,"",Pipeline_tbl[[#This Row],[Closed_Date]]-Pipeline_tbl[[#This Row],[Created_Date]])</f>
        <v/>
      </c>
    </row>
    <row r="5315" spans="1:21" ht="15" customHeight="1" x14ac:dyDescent="0.2">
      <c r="A5315" t="s">
        <v>5621</v>
      </c>
      <c r="B5315" t="s">
        <v>231</v>
      </c>
      <c r="C5315" t="s">
        <v>56</v>
      </c>
      <c r="D5315" s="49">
        <v>46017</v>
      </c>
      <c r="E5315" s="49">
        <v>46019</v>
      </c>
      <c r="J5315" t="s">
        <v>308</v>
      </c>
      <c r="K5315" s="33">
        <v>2700</v>
      </c>
      <c r="M5315" t="str">
        <f>_xlfn.XLOOKUP(Pipeline_tbl[[#This Row],[Rep_ID]],Dim_Reps!A:A,Dim_Reps!K:K)</f>
        <v>MXN</v>
      </c>
      <c r="N5315" s="33">
        <f>(_xlfn.XLOOKUP(Pipeline_tbl[[#This Row],[Rate_Code_Generalized]],Lookups!A:A,Lookups!B:B))*Pipeline_tbl[[#This Row],[Pipeline_Amount_USD]]</f>
        <v>53278.29</v>
      </c>
      <c r="O5315" t="str">
        <f>_xlfn.XLOOKUP(Pipeline_tbl[[#This Row],[Rep_ID]],Dim_Reps!A:A,Dim_Reps!B:B)</f>
        <v>Ben Silva</v>
      </c>
      <c r="P5315" t="str">
        <f>_xlfn.XLOOKUP(Pipeline_tbl[[#This Row],[Rep_ID]],Dim_Reps!A:A,Dim_Reps!C:C)</f>
        <v>SDR / Inside Sales Rep</v>
      </c>
      <c r="Q5315" t="str">
        <f>_xlfn.XLOOKUP(Pipeline_tbl[[#This Row],[Rep_ID]],Dim_Reps!A:A,Dim_Reps!D:D)</f>
        <v>Inside Sales</v>
      </c>
      <c r="R5315" t="str">
        <f>_xlfn.XLOOKUP(Pipeline_tbl[[#This Row],[Rep_ID]],Dim_Reps!A:A,Dim_Reps!E:E)</f>
        <v>LATAM</v>
      </c>
      <c r="S5315" t="str">
        <f>_xlfn.XLOOKUP(Pipeline_tbl[[#This Row],[Created_Date]],Dim_Date!A:A,Dim_Date!H:H)</f>
        <v>Dec 2025</v>
      </c>
      <c r="T5315" t="str">
        <f>IF(Pipeline_tbl[[#This Row],[Closed_Date]]=0,"",(_xlfn.XLOOKUP(Pipeline_tbl[[#This Row],[Closed_Date]],Dim_Date!A:A,Dim_Date!H:H)))</f>
        <v/>
      </c>
      <c r="U5315" t="str">
        <f>IF(Pipeline_tbl[[#This Row],[Closed_Date]]=0,"",Pipeline_tbl[[#This Row],[Closed_Date]]-Pipeline_tbl[[#This Row],[Created_Date]])</f>
        <v/>
      </c>
    </row>
    <row r="5316" spans="1:21" ht="15" customHeight="1" x14ac:dyDescent="0.2">
      <c r="A5316" t="s">
        <v>5622</v>
      </c>
      <c r="B5316" t="s">
        <v>231</v>
      </c>
      <c r="C5316" t="s">
        <v>52</v>
      </c>
      <c r="D5316" s="49">
        <v>46017</v>
      </c>
      <c r="E5316" s="49">
        <v>46018</v>
      </c>
      <c r="F5316" s="49">
        <v>46021</v>
      </c>
      <c r="J5316" t="s">
        <v>308</v>
      </c>
      <c r="K5316" s="33">
        <v>2400</v>
      </c>
      <c r="M5316" t="str">
        <f>_xlfn.XLOOKUP(Pipeline_tbl[[#This Row],[Rep_ID]],Dim_Reps!A:A,Dim_Reps!K:K)</f>
        <v>MXN</v>
      </c>
      <c r="N5316" s="33">
        <f>(_xlfn.XLOOKUP(Pipeline_tbl[[#This Row],[Rate_Code_Generalized]],Lookups!A:A,Lookups!B:B))*Pipeline_tbl[[#This Row],[Pipeline_Amount_USD]]</f>
        <v>47358.48</v>
      </c>
      <c r="O5316" t="str">
        <f>_xlfn.XLOOKUP(Pipeline_tbl[[#This Row],[Rep_ID]],Dim_Reps!A:A,Dim_Reps!B:B)</f>
        <v>Ben Silva</v>
      </c>
      <c r="P5316" t="str">
        <f>_xlfn.XLOOKUP(Pipeline_tbl[[#This Row],[Rep_ID]],Dim_Reps!A:A,Dim_Reps!C:C)</f>
        <v>SDR / Inside Sales Rep</v>
      </c>
      <c r="Q5316" t="str">
        <f>_xlfn.XLOOKUP(Pipeline_tbl[[#This Row],[Rep_ID]],Dim_Reps!A:A,Dim_Reps!D:D)</f>
        <v>Inside Sales</v>
      </c>
      <c r="R5316" t="str">
        <f>_xlfn.XLOOKUP(Pipeline_tbl[[#This Row],[Rep_ID]],Dim_Reps!A:A,Dim_Reps!E:E)</f>
        <v>LATAM</v>
      </c>
      <c r="S5316" t="str">
        <f>_xlfn.XLOOKUP(Pipeline_tbl[[#This Row],[Created_Date]],Dim_Date!A:A,Dim_Date!H:H)</f>
        <v>Dec 2025</v>
      </c>
      <c r="T5316" t="str">
        <f>IF(Pipeline_tbl[[#This Row],[Closed_Date]]=0,"",(_xlfn.XLOOKUP(Pipeline_tbl[[#This Row],[Closed_Date]],Dim_Date!A:A,Dim_Date!H:H)))</f>
        <v/>
      </c>
      <c r="U5316" t="str">
        <f>IF(Pipeline_tbl[[#This Row],[Closed_Date]]=0,"",Pipeline_tbl[[#This Row],[Closed_Date]]-Pipeline_tbl[[#This Row],[Created_Date]])</f>
        <v/>
      </c>
    </row>
    <row r="5317" spans="1:21" ht="15" customHeight="1" x14ac:dyDescent="0.2">
      <c r="A5317" t="s">
        <v>5623</v>
      </c>
      <c r="B5317" t="s">
        <v>231</v>
      </c>
      <c r="C5317" t="s">
        <v>52</v>
      </c>
      <c r="D5317" s="49">
        <v>46018</v>
      </c>
      <c r="E5317" s="49">
        <v>46020</v>
      </c>
      <c r="J5317" t="s">
        <v>308</v>
      </c>
      <c r="K5317" s="33">
        <v>5500</v>
      </c>
      <c r="M5317" t="str">
        <f>_xlfn.XLOOKUP(Pipeline_tbl[[#This Row],[Rep_ID]],Dim_Reps!A:A,Dim_Reps!K:K)</f>
        <v>MXN</v>
      </c>
      <c r="N5317" s="33">
        <f>(_xlfn.XLOOKUP(Pipeline_tbl[[#This Row],[Rate_Code_Generalized]],Lookups!A:A,Lookups!B:B))*Pipeline_tbl[[#This Row],[Pipeline_Amount_USD]]</f>
        <v>108529.85</v>
      </c>
      <c r="O5317" t="str">
        <f>_xlfn.XLOOKUP(Pipeline_tbl[[#This Row],[Rep_ID]],Dim_Reps!A:A,Dim_Reps!B:B)</f>
        <v>Ben Silva</v>
      </c>
      <c r="P5317" t="str">
        <f>_xlfn.XLOOKUP(Pipeline_tbl[[#This Row],[Rep_ID]],Dim_Reps!A:A,Dim_Reps!C:C)</f>
        <v>SDR / Inside Sales Rep</v>
      </c>
      <c r="Q5317" t="str">
        <f>_xlfn.XLOOKUP(Pipeline_tbl[[#This Row],[Rep_ID]],Dim_Reps!A:A,Dim_Reps!D:D)</f>
        <v>Inside Sales</v>
      </c>
      <c r="R5317" t="str">
        <f>_xlfn.XLOOKUP(Pipeline_tbl[[#This Row],[Rep_ID]],Dim_Reps!A:A,Dim_Reps!E:E)</f>
        <v>LATAM</v>
      </c>
      <c r="S5317" t="str">
        <f>_xlfn.XLOOKUP(Pipeline_tbl[[#This Row],[Created_Date]],Dim_Date!A:A,Dim_Date!H:H)</f>
        <v>Dec 2025</v>
      </c>
      <c r="T5317" t="str">
        <f>IF(Pipeline_tbl[[#This Row],[Closed_Date]]=0,"",(_xlfn.XLOOKUP(Pipeline_tbl[[#This Row],[Closed_Date]],Dim_Date!A:A,Dim_Date!H:H)))</f>
        <v/>
      </c>
      <c r="U5317" t="str">
        <f>IF(Pipeline_tbl[[#This Row],[Closed_Date]]=0,"",Pipeline_tbl[[#This Row],[Closed_Date]]-Pipeline_tbl[[#This Row],[Created_Date]])</f>
        <v/>
      </c>
    </row>
    <row r="5318" spans="1:21" ht="15" customHeight="1" x14ac:dyDescent="0.2">
      <c r="A5318" t="s">
        <v>5624</v>
      </c>
      <c r="B5318" t="s">
        <v>231</v>
      </c>
      <c r="C5318" t="s">
        <v>52</v>
      </c>
      <c r="D5318" s="49">
        <v>46016</v>
      </c>
      <c r="E5318" s="49">
        <v>46018</v>
      </c>
      <c r="F5318" s="49">
        <v>46021</v>
      </c>
      <c r="J5318" t="s">
        <v>308</v>
      </c>
      <c r="K5318" s="33">
        <v>1900</v>
      </c>
      <c r="M5318" t="str">
        <f>_xlfn.XLOOKUP(Pipeline_tbl[[#This Row],[Rep_ID]],Dim_Reps!A:A,Dim_Reps!K:K)</f>
        <v>MXN</v>
      </c>
      <c r="N5318" s="33">
        <f>(_xlfn.XLOOKUP(Pipeline_tbl[[#This Row],[Rate_Code_Generalized]],Lookups!A:A,Lookups!B:B))*Pipeline_tbl[[#This Row],[Pipeline_Amount_USD]]</f>
        <v>37492.130000000005</v>
      </c>
      <c r="O5318" t="str">
        <f>_xlfn.XLOOKUP(Pipeline_tbl[[#This Row],[Rep_ID]],Dim_Reps!A:A,Dim_Reps!B:B)</f>
        <v>Ben Silva</v>
      </c>
      <c r="P5318" t="str">
        <f>_xlfn.XLOOKUP(Pipeline_tbl[[#This Row],[Rep_ID]],Dim_Reps!A:A,Dim_Reps!C:C)</f>
        <v>SDR / Inside Sales Rep</v>
      </c>
      <c r="Q5318" t="str">
        <f>_xlfn.XLOOKUP(Pipeline_tbl[[#This Row],[Rep_ID]],Dim_Reps!A:A,Dim_Reps!D:D)</f>
        <v>Inside Sales</v>
      </c>
      <c r="R5318" t="str">
        <f>_xlfn.XLOOKUP(Pipeline_tbl[[#This Row],[Rep_ID]],Dim_Reps!A:A,Dim_Reps!E:E)</f>
        <v>LATAM</v>
      </c>
      <c r="S5318" t="str">
        <f>_xlfn.XLOOKUP(Pipeline_tbl[[#This Row],[Created_Date]],Dim_Date!A:A,Dim_Date!H:H)</f>
        <v>Dec 2025</v>
      </c>
      <c r="T5318" t="str">
        <f>IF(Pipeline_tbl[[#This Row],[Closed_Date]]=0,"",(_xlfn.XLOOKUP(Pipeline_tbl[[#This Row],[Closed_Date]],Dim_Date!A:A,Dim_Date!H:H)))</f>
        <v/>
      </c>
      <c r="U5318" t="str">
        <f>IF(Pipeline_tbl[[#This Row],[Closed_Date]]=0,"",Pipeline_tbl[[#This Row],[Closed_Date]]-Pipeline_tbl[[#This Row],[Created_Date]])</f>
        <v/>
      </c>
    </row>
    <row r="5319" spans="1:21" ht="15" customHeight="1" x14ac:dyDescent="0.2">
      <c r="A5319" t="s">
        <v>5625</v>
      </c>
      <c r="B5319" t="s">
        <v>263</v>
      </c>
      <c r="C5319" t="s">
        <v>54</v>
      </c>
      <c r="D5319" s="49">
        <v>46007</v>
      </c>
      <c r="E5319" s="49">
        <v>46009</v>
      </c>
      <c r="F5319" s="49">
        <v>46012</v>
      </c>
      <c r="G5319" s="49">
        <v>46017</v>
      </c>
      <c r="H5319" s="49">
        <v>46021</v>
      </c>
      <c r="J5319" t="s">
        <v>308</v>
      </c>
      <c r="K5319" s="33">
        <v>11700</v>
      </c>
      <c r="M5319" t="str">
        <f>_xlfn.XLOOKUP(Pipeline_tbl[[#This Row],[Rep_ID]],Dim_Reps!A:A,Dim_Reps!K:K)</f>
        <v>USD</v>
      </c>
      <c r="N5319" s="33">
        <f>(_xlfn.XLOOKUP(Pipeline_tbl[[#This Row],[Rate_Code_Generalized]],Lookups!A:A,Lookups!B:B))*Pipeline_tbl[[#This Row],[Pipeline_Amount_USD]]</f>
        <v>13622.31</v>
      </c>
      <c r="O5319" t="str">
        <f>_xlfn.XLOOKUP(Pipeline_tbl[[#This Row],[Rep_ID]],Dim_Reps!A:A,Dim_Reps!B:B)</f>
        <v>Morgan Weber</v>
      </c>
      <c r="P5319" t="str">
        <f>_xlfn.XLOOKUP(Pipeline_tbl[[#This Row],[Rep_ID]],Dim_Reps!A:A,Dim_Reps!C:C)</f>
        <v>Mid-Market AE</v>
      </c>
      <c r="Q5319" t="str">
        <f>_xlfn.XLOOKUP(Pipeline_tbl[[#This Row],[Rep_ID]],Dim_Reps!A:A,Dim_Reps!D:D)</f>
        <v>Mid-Market</v>
      </c>
      <c r="R5319" t="str">
        <f>_xlfn.XLOOKUP(Pipeline_tbl[[#This Row],[Rep_ID]],Dim_Reps!A:A,Dim_Reps!E:E)</f>
        <v>NAMER</v>
      </c>
      <c r="S5319" t="str">
        <f>_xlfn.XLOOKUP(Pipeline_tbl[[#This Row],[Created_Date]],Dim_Date!A:A,Dim_Date!H:H)</f>
        <v>Dec 2025</v>
      </c>
      <c r="T5319" t="str">
        <f>IF(Pipeline_tbl[[#This Row],[Closed_Date]]=0,"",(_xlfn.XLOOKUP(Pipeline_tbl[[#This Row],[Closed_Date]],Dim_Date!A:A,Dim_Date!H:H)))</f>
        <v/>
      </c>
      <c r="U5319" t="str">
        <f>IF(Pipeline_tbl[[#This Row],[Closed_Date]]=0,"",Pipeline_tbl[[#This Row],[Closed_Date]]-Pipeline_tbl[[#This Row],[Created_Date]])</f>
        <v/>
      </c>
    </row>
    <row r="5320" spans="1:21" ht="15" customHeight="1" x14ac:dyDescent="0.2">
      <c r="A5320" t="s">
        <v>5626</v>
      </c>
      <c r="B5320" t="s">
        <v>263</v>
      </c>
      <c r="C5320" t="s">
        <v>52</v>
      </c>
      <c r="D5320" s="49">
        <v>46008</v>
      </c>
      <c r="E5320" s="49">
        <v>46012</v>
      </c>
      <c r="F5320" s="49">
        <v>46019</v>
      </c>
      <c r="J5320" t="s">
        <v>308</v>
      </c>
      <c r="K5320" s="33">
        <v>4500</v>
      </c>
      <c r="M5320" t="str">
        <f>_xlfn.XLOOKUP(Pipeline_tbl[[#This Row],[Rep_ID]],Dim_Reps!A:A,Dim_Reps!K:K)</f>
        <v>USD</v>
      </c>
      <c r="N5320" s="33">
        <f>(_xlfn.XLOOKUP(Pipeline_tbl[[#This Row],[Rate_Code_Generalized]],Lookups!A:A,Lookups!B:B))*Pipeline_tbl[[#This Row],[Pipeline_Amount_USD]]</f>
        <v>5239.3499999999995</v>
      </c>
      <c r="O5320" t="str">
        <f>_xlfn.XLOOKUP(Pipeline_tbl[[#This Row],[Rep_ID]],Dim_Reps!A:A,Dim_Reps!B:B)</f>
        <v>Morgan Weber</v>
      </c>
      <c r="P5320" t="str">
        <f>_xlfn.XLOOKUP(Pipeline_tbl[[#This Row],[Rep_ID]],Dim_Reps!A:A,Dim_Reps!C:C)</f>
        <v>Mid-Market AE</v>
      </c>
      <c r="Q5320" t="str">
        <f>_xlfn.XLOOKUP(Pipeline_tbl[[#This Row],[Rep_ID]],Dim_Reps!A:A,Dim_Reps!D:D)</f>
        <v>Mid-Market</v>
      </c>
      <c r="R5320" t="str">
        <f>_xlfn.XLOOKUP(Pipeline_tbl[[#This Row],[Rep_ID]],Dim_Reps!A:A,Dim_Reps!E:E)</f>
        <v>NAMER</v>
      </c>
      <c r="S5320" t="str">
        <f>_xlfn.XLOOKUP(Pipeline_tbl[[#This Row],[Created_Date]],Dim_Date!A:A,Dim_Date!H:H)</f>
        <v>Dec 2025</v>
      </c>
      <c r="T5320" t="str">
        <f>IF(Pipeline_tbl[[#This Row],[Closed_Date]]=0,"",(_xlfn.XLOOKUP(Pipeline_tbl[[#This Row],[Closed_Date]],Dim_Date!A:A,Dim_Date!H:H)))</f>
        <v/>
      </c>
      <c r="U5320" t="str">
        <f>IF(Pipeline_tbl[[#This Row],[Closed_Date]]=0,"",Pipeline_tbl[[#This Row],[Closed_Date]]-Pipeline_tbl[[#This Row],[Created_Date]])</f>
        <v/>
      </c>
    </row>
    <row r="5321" spans="1:21" ht="15" customHeight="1" x14ac:dyDescent="0.2">
      <c r="A5321" t="s">
        <v>5627</v>
      </c>
      <c r="B5321" t="s">
        <v>263</v>
      </c>
      <c r="C5321" t="s">
        <v>53</v>
      </c>
      <c r="D5321" s="49">
        <v>46016</v>
      </c>
      <c r="E5321" s="49">
        <v>46019</v>
      </c>
      <c r="J5321" t="s">
        <v>308</v>
      </c>
      <c r="K5321" s="33">
        <v>22500</v>
      </c>
      <c r="M5321" t="str">
        <f>_xlfn.XLOOKUP(Pipeline_tbl[[#This Row],[Rep_ID]],Dim_Reps!A:A,Dim_Reps!K:K)</f>
        <v>USD</v>
      </c>
      <c r="N5321" s="33">
        <f>(_xlfn.XLOOKUP(Pipeline_tbl[[#This Row],[Rate_Code_Generalized]],Lookups!A:A,Lookups!B:B))*Pipeline_tbl[[#This Row],[Pipeline_Amount_USD]]</f>
        <v>26196.749999999996</v>
      </c>
      <c r="O5321" t="str">
        <f>_xlfn.XLOOKUP(Pipeline_tbl[[#This Row],[Rep_ID]],Dim_Reps!A:A,Dim_Reps!B:B)</f>
        <v>Morgan Weber</v>
      </c>
      <c r="P5321" t="str">
        <f>_xlfn.XLOOKUP(Pipeline_tbl[[#This Row],[Rep_ID]],Dim_Reps!A:A,Dim_Reps!C:C)</f>
        <v>Mid-Market AE</v>
      </c>
      <c r="Q5321" t="str">
        <f>_xlfn.XLOOKUP(Pipeline_tbl[[#This Row],[Rep_ID]],Dim_Reps!A:A,Dim_Reps!D:D)</f>
        <v>Mid-Market</v>
      </c>
      <c r="R5321" t="str">
        <f>_xlfn.XLOOKUP(Pipeline_tbl[[#This Row],[Rep_ID]],Dim_Reps!A:A,Dim_Reps!E:E)</f>
        <v>NAMER</v>
      </c>
      <c r="S5321" t="str">
        <f>_xlfn.XLOOKUP(Pipeline_tbl[[#This Row],[Created_Date]],Dim_Date!A:A,Dim_Date!H:H)</f>
        <v>Dec 2025</v>
      </c>
      <c r="T5321" t="str">
        <f>IF(Pipeline_tbl[[#This Row],[Closed_Date]]=0,"",(_xlfn.XLOOKUP(Pipeline_tbl[[#This Row],[Closed_Date]],Dim_Date!A:A,Dim_Date!H:H)))</f>
        <v/>
      </c>
      <c r="U5321" t="str">
        <f>IF(Pipeline_tbl[[#This Row],[Closed_Date]]=0,"",Pipeline_tbl[[#This Row],[Closed_Date]]-Pipeline_tbl[[#This Row],[Created_Date]])</f>
        <v/>
      </c>
    </row>
    <row r="5322" spans="1:21" ht="15" customHeight="1" x14ac:dyDescent="0.2">
      <c r="A5322" t="s">
        <v>5628</v>
      </c>
      <c r="B5322" t="s">
        <v>263</v>
      </c>
      <c r="C5322" t="s">
        <v>52</v>
      </c>
      <c r="D5322" s="49">
        <v>46010</v>
      </c>
      <c r="E5322" s="49">
        <v>46014</v>
      </c>
      <c r="J5322" t="s">
        <v>308</v>
      </c>
      <c r="K5322" s="33">
        <v>13200</v>
      </c>
      <c r="M5322" t="str">
        <f>_xlfn.XLOOKUP(Pipeline_tbl[[#This Row],[Rep_ID]],Dim_Reps!A:A,Dim_Reps!K:K)</f>
        <v>USD</v>
      </c>
      <c r="N5322" s="33">
        <f>(_xlfn.XLOOKUP(Pipeline_tbl[[#This Row],[Rate_Code_Generalized]],Lookups!A:A,Lookups!B:B))*Pipeline_tbl[[#This Row],[Pipeline_Amount_USD]]</f>
        <v>15368.759999999998</v>
      </c>
      <c r="O5322" t="str">
        <f>_xlfn.XLOOKUP(Pipeline_tbl[[#This Row],[Rep_ID]],Dim_Reps!A:A,Dim_Reps!B:B)</f>
        <v>Morgan Weber</v>
      </c>
      <c r="P5322" t="str">
        <f>_xlfn.XLOOKUP(Pipeline_tbl[[#This Row],[Rep_ID]],Dim_Reps!A:A,Dim_Reps!C:C)</f>
        <v>Mid-Market AE</v>
      </c>
      <c r="Q5322" t="str">
        <f>_xlfn.XLOOKUP(Pipeline_tbl[[#This Row],[Rep_ID]],Dim_Reps!A:A,Dim_Reps!D:D)</f>
        <v>Mid-Market</v>
      </c>
      <c r="R5322" t="str">
        <f>_xlfn.XLOOKUP(Pipeline_tbl[[#This Row],[Rep_ID]],Dim_Reps!A:A,Dim_Reps!E:E)</f>
        <v>NAMER</v>
      </c>
      <c r="S5322" t="str">
        <f>_xlfn.XLOOKUP(Pipeline_tbl[[#This Row],[Created_Date]],Dim_Date!A:A,Dim_Date!H:H)</f>
        <v>Dec 2025</v>
      </c>
      <c r="T5322" t="str">
        <f>IF(Pipeline_tbl[[#This Row],[Closed_Date]]=0,"",(_xlfn.XLOOKUP(Pipeline_tbl[[#This Row],[Closed_Date]],Dim_Date!A:A,Dim_Date!H:H)))</f>
        <v/>
      </c>
      <c r="U5322" t="str">
        <f>IF(Pipeline_tbl[[#This Row],[Closed_Date]]=0,"",Pipeline_tbl[[#This Row],[Closed_Date]]-Pipeline_tbl[[#This Row],[Created_Date]])</f>
        <v/>
      </c>
    </row>
    <row r="5323" spans="1:21" ht="15" customHeight="1" x14ac:dyDescent="0.2">
      <c r="A5323" t="s">
        <v>5629</v>
      </c>
      <c r="B5323" t="s">
        <v>263</v>
      </c>
      <c r="C5323" t="s">
        <v>55</v>
      </c>
      <c r="D5323" s="49">
        <v>45999</v>
      </c>
      <c r="E5323" s="49">
        <v>46002</v>
      </c>
      <c r="F5323" s="49">
        <v>46007</v>
      </c>
      <c r="G5323" s="49">
        <v>46016</v>
      </c>
      <c r="J5323" t="s">
        <v>308</v>
      </c>
      <c r="K5323" s="33">
        <v>14100</v>
      </c>
      <c r="M5323" t="str">
        <f>_xlfn.XLOOKUP(Pipeline_tbl[[#This Row],[Rep_ID]],Dim_Reps!A:A,Dim_Reps!K:K)</f>
        <v>USD</v>
      </c>
      <c r="N5323" s="33">
        <f>(_xlfn.XLOOKUP(Pipeline_tbl[[#This Row],[Rate_Code_Generalized]],Lookups!A:A,Lookups!B:B))*Pipeline_tbl[[#This Row],[Pipeline_Amount_USD]]</f>
        <v>16416.629999999997</v>
      </c>
      <c r="O5323" t="str">
        <f>_xlfn.XLOOKUP(Pipeline_tbl[[#This Row],[Rep_ID]],Dim_Reps!A:A,Dim_Reps!B:B)</f>
        <v>Morgan Weber</v>
      </c>
      <c r="P5323" t="str">
        <f>_xlfn.XLOOKUP(Pipeline_tbl[[#This Row],[Rep_ID]],Dim_Reps!A:A,Dim_Reps!C:C)</f>
        <v>Mid-Market AE</v>
      </c>
      <c r="Q5323" t="str">
        <f>_xlfn.XLOOKUP(Pipeline_tbl[[#This Row],[Rep_ID]],Dim_Reps!A:A,Dim_Reps!D:D)</f>
        <v>Mid-Market</v>
      </c>
      <c r="R5323" t="str">
        <f>_xlfn.XLOOKUP(Pipeline_tbl[[#This Row],[Rep_ID]],Dim_Reps!A:A,Dim_Reps!E:E)</f>
        <v>NAMER</v>
      </c>
      <c r="S5323" t="str">
        <f>_xlfn.XLOOKUP(Pipeline_tbl[[#This Row],[Created_Date]],Dim_Date!A:A,Dim_Date!H:H)</f>
        <v>Dec 2025</v>
      </c>
      <c r="T5323" t="str">
        <f>IF(Pipeline_tbl[[#This Row],[Closed_Date]]=0,"",(_xlfn.XLOOKUP(Pipeline_tbl[[#This Row],[Closed_Date]],Dim_Date!A:A,Dim_Date!H:H)))</f>
        <v/>
      </c>
      <c r="U5323" t="str">
        <f>IF(Pipeline_tbl[[#This Row],[Closed_Date]]=0,"",Pipeline_tbl[[#This Row],[Closed_Date]]-Pipeline_tbl[[#This Row],[Created_Date]])</f>
        <v/>
      </c>
    </row>
    <row r="5324" spans="1:21" ht="15" customHeight="1" x14ac:dyDescent="0.2">
      <c r="A5324" t="s">
        <v>5630</v>
      </c>
      <c r="B5324" t="s">
        <v>263</v>
      </c>
      <c r="C5324" t="s">
        <v>53</v>
      </c>
      <c r="D5324" s="49">
        <v>45997</v>
      </c>
      <c r="E5324" s="49">
        <v>46002</v>
      </c>
      <c r="F5324" s="49">
        <v>46012</v>
      </c>
      <c r="J5324" t="s">
        <v>308</v>
      </c>
      <c r="K5324" s="33">
        <v>19200</v>
      </c>
      <c r="M5324" t="str">
        <f>_xlfn.XLOOKUP(Pipeline_tbl[[#This Row],[Rep_ID]],Dim_Reps!A:A,Dim_Reps!K:K)</f>
        <v>USD</v>
      </c>
      <c r="N5324" s="33">
        <f>(_xlfn.XLOOKUP(Pipeline_tbl[[#This Row],[Rate_Code_Generalized]],Lookups!A:A,Lookups!B:B))*Pipeline_tbl[[#This Row],[Pipeline_Amount_USD]]</f>
        <v>22354.559999999998</v>
      </c>
      <c r="O5324" t="str">
        <f>_xlfn.XLOOKUP(Pipeline_tbl[[#This Row],[Rep_ID]],Dim_Reps!A:A,Dim_Reps!B:B)</f>
        <v>Morgan Weber</v>
      </c>
      <c r="P5324" t="str">
        <f>_xlfn.XLOOKUP(Pipeline_tbl[[#This Row],[Rep_ID]],Dim_Reps!A:A,Dim_Reps!C:C)</f>
        <v>Mid-Market AE</v>
      </c>
      <c r="Q5324" t="str">
        <f>_xlfn.XLOOKUP(Pipeline_tbl[[#This Row],[Rep_ID]],Dim_Reps!A:A,Dim_Reps!D:D)</f>
        <v>Mid-Market</v>
      </c>
      <c r="R5324" t="str">
        <f>_xlfn.XLOOKUP(Pipeline_tbl[[#This Row],[Rep_ID]],Dim_Reps!A:A,Dim_Reps!E:E)</f>
        <v>NAMER</v>
      </c>
      <c r="S5324" t="str">
        <f>_xlfn.XLOOKUP(Pipeline_tbl[[#This Row],[Created_Date]],Dim_Date!A:A,Dim_Date!H:H)</f>
        <v>Dec 2025</v>
      </c>
      <c r="T5324" t="str">
        <f>IF(Pipeline_tbl[[#This Row],[Closed_Date]]=0,"",(_xlfn.XLOOKUP(Pipeline_tbl[[#This Row],[Closed_Date]],Dim_Date!A:A,Dim_Date!H:H)))</f>
        <v/>
      </c>
      <c r="U5324" t="str">
        <f>IF(Pipeline_tbl[[#This Row],[Closed_Date]]=0,"",Pipeline_tbl[[#This Row],[Closed_Date]]-Pipeline_tbl[[#This Row],[Created_Date]])</f>
        <v/>
      </c>
    </row>
    <row r="5325" spans="1:21" ht="15" customHeight="1" x14ac:dyDescent="0.2">
      <c r="A5325" t="s">
        <v>5631</v>
      </c>
      <c r="B5325" t="s">
        <v>263</v>
      </c>
      <c r="C5325" t="s">
        <v>52</v>
      </c>
      <c r="D5325" s="49">
        <v>45995</v>
      </c>
      <c r="E5325" s="49">
        <v>45999</v>
      </c>
      <c r="F5325" s="49">
        <v>46006</v>
      </c>
      <c r="G5325" s="49">
        <v>46017</v>
      </c>
      <c r="J5325" t="s">
        <v>308</v>
      </c>
      <c r="K5325" s="33">
        <v>5400</v>
      </c>
      <c r="M5325" t="str">
        <f>_xlfn.XLOOKUP(Pipeline_tbl[[#This Row],[Rep_ID]],Dim_Reps!A:A,Dim_Reps!K:K)</f>
        <v>USD</v>
      </c>
      <c r="N5325" s="33">
        <f>(_xlfn.XLOOKUP(Pipeline_tbl[[#This Row],[Rate_Code_Generalized]],Lookups!A:A,Lookups!B:B))*Pipeline_tbl[[#This Row],[Pipeline_Amount_USD]]</f>
        <v>6287.2199999999993</v>
      </c>
      <c r="O5325" t="str">
        <f>_xlfn.XLOOKUP(Pipeline_tbl[[#This Row],[Rep_ID]],Dim_Reps!A:A,Dim_Reps!B:B)</f>
        <v>Morgan Weber</v>
      </c>
      <c r="P5325" t="str">
        <f>_xlfn.XLOOKUP(Pipeline_tbl[[#This Row],[Rep_ID]],Dim_Reps!A:A,Dim_Reps!C:C)</f>
        <v>Mid-Market AE</v>
      </c>
      <c r="Q5325" t="str">
        <f>_xlfn.XLOOKUP(Pipeline_tbl[[#This Row],[Rep_ID]],Dim_Reps!A:A,Dim_Reps!D:D)</f>
        <v>Mid-Market</v>
      </c>
      <c r="R5325" t="str">
        <f>_xlfn.XLOOKUP(Pipeline_tbl[[#This Row],[Rep_ID]],Dim_Reps!A:A,Dim_Reps!E:E)</f>
        <v>NAMER</v>
      </c>
      <c r="S5325" t="str">
        <f>_xlfn.XLOOKUP(Pipeline_tbl[[#This Row],[Created_Date]],Dim_Date!A:A,Dim_Date!H:H)</f>
        <v>Dec 2025</v>
      </c>
      <c r="T5325" t="str">
        <f>IF(Pipeline_tbl[[#This Row],[Closed_Date]]=0,"",(_xlfn.XLOOKUP(Pipeline_tbl[[#This Row],[Closed_Date]],Dim_Date!A:A,Dim_Date!H:H)))</f>
        <v/>
      </c>
      <c r="U5325" t="str">
        <f>IF(Pipeline_tbl[[#This Row],[Closed_Date]]=0,"",Pipeline_tbl[[#This Row],[Closed_Date]]-Pipeline_tbl[[#This Row],[Created_Date]])</f>
        <v/>
      </c>
    </row>
    <row r="5326" spans="1:21" ht="15" customHeight="1" x14ac:dyDescent="0.2">
      <c r="A5326" t="s">
        <v>5632</v>
      </c>
      <c r="B5326" t="s">
        <v>265</v>
      </c>
      <c r="C5326" t="s">
        <v>54</v>
      </c>
      <c r="D5326" s="49">
        <v>46022</v>
      </c>
      <c r="J5326" t="s">
        <v>308</v>
      </c>
      <c r="K5326" s="33">
        <v>14200</v>
      </c>
      <c r="M5326" t="str">
        <f>_xlfn.XLOOKUP(Pipeline_tbl[[#This Row],[Rep_ID]],Dim_Reps!A:A,Dim_Reps!K:K)</f>
        <v>EUR</v>
      </c>
      <c r="N5326" s="33">
        <f>(_xlfn.XLOOKUP(Pipeline_tbl[[#This Row],[Rate_Code_Generalized]],Lookups!A:A,Lookups!B:B))*Pipeline_tbl[[#This Row],[Pipeline_Amount_USD]]</f>
        <v>14200</v>
      </c>
      <c r="O5326" t="str">
        <f>_xlfn.XLOOKUP(Pipeline_tbl[[#This Row],[Rep_ID]],Dim_Reps!A:A,Dim_Reps!B:B)</f>
        <v>Erik Duarte</v>
      </c>
      <c r="P5326" t="str">
        <f>_xlfn.XLOOKUP(Pipeline_tbl[[#This Row],[Rep_ID]],Dim_Reps!A:A,Dim_Reps!C:C)</f>
        <v>Mid-Market AE</v>
      </c>
      <c r="Q5326" t="str">
        <f>_xlfn.XLOOKUP(Pipeline_tbl[[#This Row],[Rep_ID]],Dim_Reps!A:A,Dim_Reps!D:D)</f>
        <v>Mid-Market</v>
      </c>
      <c r="R5326" t="str">
        <f>_xlfn.XLOOKUP(Pipeline_tbl[[#This Row],[Rep_ID]],Dim_Reps!A:A,Dim_Reps!E:E)</f>
        <v>EMEA</v>
      </c>
      <c r="S5326" t="str">
        <f>_xlfn.XLOOKUP(Pipeline_tbl[[#This Row],[Created_Date]],Dim_Date!A:A,Dim_Date!H:H)</f>
        <v>Dec 2025</v>
      </c>
      <c r="T5326" t="str">
        <f>IF(Pipeline_tbl[[#This Row],[Closed_Date]]=0,"",(_xlfn.XLOOKUP(Pipeline_tbl[[#This Row],[Closed_Date]],Dim_Date!A:A,Dim_Date!H:H)))</f>
        <v/>
      </c>
      <c r="U5326" t="str">
        <f>IF(Pipeline_tbl[[#This Row],[Closed_Date]]=0,"",Pipeline_tbl[[#This Row],[Closed_Date]]-Pipeline_tbl[[#This Row],[Created_Date]])</f>
        <v/>
      </c>
    </row>
    <row r="5327" spans="1:21" ht="15" customHeight="1" x14ac:dyDescent="0.2">
      <c r="A5327" t="s">
        <v>5633</v>
      </c>
      <c r="B5327" t="s">
        <v>265</v>
      </c>
      <c r="C5327" t="s">
        <v>56</v>
      </c>
      <c r="D5327" s="49">
        <v>46011</v>
      </c>
      <c r="E5327" s="49">
        <v>46015</v>
      </c>
      <c r="J5327" t="s">
        <v>308</v>
      </c>
      <c r="K5327" s="33">
        <v>6200</v>
      </c>
      <c r="M5327" t="str">
        <f>_xlfn.XLOOKUP(Pipeline_tbl[[#This Row],[Rep_ID]],Dim_Reps!A:A,Dim_Reps!K:K)</f>
        <v>EUR</v>
      </c>
      <c r="N5327" s="33">
        <f>(_xlfn.XLOOKUP(Pipeline_tbl[[#This Row],[Rate_Code_Generalized]],Lookups!A:A,Lookups!B:B))*Pipeline_tbl[[#This Row],[Pipeline_Amount_USD]]</f>
        <v>6200</v>
      </c>
      <c r="O5327" t="str">
        <f>_xlfn.XLOOKUP(Pipeline_tbl[[#This Row],[Rep_ID]],Dim_Reps!A:A,Dim_Reps!B:B)</f>
        <v>Erik Duarte</v>
      </c>
      <c r="P5327" t="str">
        <f>_xlfn.XLOOKUP(Pipeline_tbl[[#This Row],[Rep_ID]],Dim_Reps!A:A,Dim_Reps!C:C)</f>
        <v>Mid-Market AE</v>
      </c>
      <c r="Q5327" t="str">
        <f>_xlfn.XLOOKUP(Pipeline_tbl[[#This Row],[Rep_ID]],Dim_Reps!A:A,Dim_Reps!D:D)</f>
        <v>Mid-Market</v>
      </c>
      <c r="R5327" t="str">
        <f>_xlfn.XLOOKUP(Pipeline_tbl[[#This Row],[Rep_ID]],Dim_Reps!A:A,Dim_Reps!E:E)</f>
        <v>EMEA</v>
      </c>
      <c r="S5327" t="str">
        <f>_xlfn.XLOOKUP(Pipeline_tbl[[#This Row],[Created_Date]],Dim_Date!A:A,Dim_Date!H:H)</f>
        <v>Dec 2025</v>
      </c>
      <c r="T5327" t="str">
        <f>IF(Pipeline_tbl[[#This Row],[Closed_Date]]=0,"",(_xlfn.XLOOKUP(Pipeline_tbl[[#This Row],[Closed_Date]],Dim_Date!A:A,Dim_Date!H:H)))</f>
        <v/>
      </c>
      <c r="U5327" t="str">
        <f>IF(Pipeline_tbl[[#This Row],[Closed_Date]]=0,"",Pipeline_tbl[[#This Row],[Closed_Date]]-Pipeline_tbl[[#This Row],[Created_Date]])</f>
        <v/>
      </c>
    </row>
    <row r="5328" spans="1:21" ht="15" customHeight="1" x14ac:dyDescent="0.2">
      <c r="A5328" t="s">
        <v>5634</v>
      </c>
      <c r="B5328" t="s">
        <v>265</v>
      </c>
      <c r="C5328" t="s">
        <v>52</v>
      </c>
      <c r="D5328" s="49">
        <v>45999</v>
      </c>
      <c r="E5328" s="49">
        <v>46003</v>
      </c>
      <c r="F5328" s="49">
        <v>46010</v>
      </c>
      <c r="G5328" s="49">
        <v>46021</v>
      </c>
      <c r="J5328" t="s">
        <v>308</v>
      </c>
      <c r="K5328" s="33">
        <v>17800</v>
      </c>
      <c r="M5328" t="str">
        <f>_xlfn.XLOOKUP(Pipeline_tbl[[#This Row],[Rep_ID]],Dim_Reps!A:A,Dim_Reps!K:K)</f>
        <v>EUR</v>
      </c>
      <c r="N5328" s="33">
        <f>(_xlfn.XLOOKUP(Pipeline_tbl[[#This Row],[Rate_Code_Generalized]],Lookups!A:A,Lookups!B:B))*Pipeline_tbl[[#This Row],[Pipeline_Amount_USD]]</f>
        <v>17800</v>
      </c>
      <c r="O5328" t="str">
        <f>_xlfn.XLOOKUP(Pipeline_tbl[[#This Row],[Rep_ID]],Dim_Reps!A:A,Dim_Reps!B:B)</f>
        <v>Erik Duarte</v>
      </c>
      <c r="P5328" t="str">
        <f>_xlfn.XLOOKUP(Pipeline_tbl[[#This Row],[Rep_ID]],Dim_Reps!A:A,Dim_Reps!C:C)</f>
        <v>Mid-Market AE</v>
      </c>
      <c r="Q5328" t="str">
        <f>_xlfn.XLOOKUP(Pipeline_tbl[[#This Row],[Rep_ID]],Dim_Reps!A:A,Dim_Reps!D:D)</f>
        <v>Mid-Market</v>
      </c>
      <c r="R5328" t="str">
        <f>_xlfn.XLOOKUP(Pipeline_tbl[[#This Row],[Rep_ID]],Dim_Reps!A:A,Dim_Reps!E:E)</f>
        <v>EMEA</v>
      </c>
      <c r="S5328" t="str">
        <f>_xlfn.XLOOKUP(Pipeline_tbl[[#This Row],[Created_Date]],Dim_Date!A:A,Dim_Date!H:H)</f>
        <v>Dec 2025</v>
      </c>
      <c r="T5328" t="str">
        <f>IF(Pipeline_tbl[[#This Row],[Closed_Date]]=0,"",(_xlfn.XLOOKUP(Pipeline_tbl[[#This Row],[Closed_Date]],Dim_Date!A:A,Dim_Date!H:H)))</f>
        <v/>
      </c>
      <c r="U5328" t="str">
        <f>IF(Pipeline_tbl[[#This Row],[Closed_Date]]=0,"",Pipeline_tbl[[#This Row],[Closed_Date]]-Pipeline_tbl[[#This Row],[Created_Date]])</f>
        <v/>
      </c>
    </row>
    <row r="5329" spans="1:21" ht="15" customHeight="1" x14ac:dyDescent="0.2">
      <c r="A5329" t="s">
        <v>5635</v>
      </c>
      <c r="B5329" t="s">
        <v>265</v>
      </c>
      <c r="C5329" t="s">
        <v>52</v>
      </c>
      <c r="D5329" s="49">
        <v>46012</v>
      </c>
      <c r="E5329" s="49">
        <v>46016</v>
      </c>
      <c r="J5329" t="s">
        <v>308</v>
      </c>
      <c r="K5329" s="33">
        <v>22300</v>
      </c>
      <c r="M5329" t="str">
        <f>_xlfn.XLOOKUP(Pipeline_tbl[[#This Row],[Rep_ID]],Dim_Reps!A:A,Dim_Reps!K:K)</f>
        <v>EUR</v>
      </c>
      <c r="N5329" s="33">
        <f>(_xlfn.XLOOKUP(Pipeline_tbl[[#This Row],[Rate_Code_Generalized]],Lookups!A:A,Lookups!B:B))*Pipeline_tbl[[#This Row],[Pipeline_Amount_USD]]</f>
        <v>22300</v>
      </c>
      <c r="O5329" t="str">
        <f>_xlfn.XLOOKUP(Pipeline_tbl[[#This Row],[Rep_ID]],Dim_Reps!A:A,Dim_Reps!B:B)</f>
        <v>Erik Duarte</v>
      </c>
      <c r="P5329" t="str">
        <f>_xlfn.XLOOKUP(Pipeline_tbl[[#This Row],[Rep_ID]],Dim_Reps!A:A,Dim_Reps!C:C)</f>
        <v>Mid-Market AE</v>
      </c>
      <c r="Q5329" t="str">
        <f>_xlfn.XLOOKUP(Pipeline_tbl[[#This Row],[Rep_ID]],Dim_Reps!A:A,Dim_Reps!D:D)</f>
        <v>Mid-Market</v>
      </c>
      <c r="R5329" t="str">
        <f>_xlfn.XLOOKUP(Pipeline_tbl[[#This Row],[Rep_ID]],Dim_Reps!A:A,Dim_Reps!E:E)</f>
        <v>EMEA</v>
      </c>
      <c r="S5329" t="str">
        <f>_xlfn.XLOOKUP(Pipeline_tbl[[#This Row],[Created_Date]],Dim_Date!A:A,Dim_Date!H:H)</f>
        <v>Dec 2025</v>
      </c>
      <c r="T5329" t="str">
        <f>IF(Pipeline_tbl[[#This Row],[Closed_Date]]=0,"",(_xlfn.XLOOKUP(Pipeline_tbl[[#This Row],[Closed_Date]],Dim_Date!A:A,Dim_Date!H:H)))</f>
        <v/>
      </c>
      <c r="U5329" t="str">
        <f>IF(Pipeline_tbl[[#This Row],[Closed_Date]]=0,"",Pipeline_tbl[[#This Row],[Closed_Date]]-Pipeline_tbl[[#This Row],[Created_Date]])</f>
        <v/>
      </c>
    </row>
    <row r="5330" spans="1:21" ht="15" customHeight="1" x14ac:dyDescent="0.2">
      <c r="A5330" t="s">
        <v>5636</v>
      </c>
      <c r="B5330" t="s">
        <v>265</v>
      </c>
      <c r="C5330" t="s">
        <v>52</v>
      </c>
      <c r="D5330" s="49">
        <v>46010</v>
      </c>
      <c r="E5330" s="49">
        <v>46012</v>
      </c>
      <c r="F5330" s="49">
        <v>46018</v>
      </c>
      <c r="J5330" t="s">
        <v>308</v>
      </c>
      <c r="K5330" s="33">
        <v>10500</v>
      </c>
      <c r="M5330" t="str">
        <f>_xlfn.XLOOKUP(Pipeline_tbl[[#This Row],[Rep_ID]],Dim_Reps!A:A,Dim_Reps!K:K)</f>
        <v>EUR</v>
      </c>
      <c r="N5330" s="33">
        <f>(_xlfn.XLOOKUP(Pipeline_tbl[[#This Row],[Rate_Code_Generalized]],Lookups!A:A,Lookups!B:B))*Pipeline_tbl[[#This Row],[Pipeline_Amount_USD]]</f>
        <v>10500</v>
      </c>
      <c r="O5330" t="str">
        <f>_xlfn.XLOOKUP(Pipeline_tbl[[#This Row],[Rep_ID]],Dim_Reps!A:A,Dim_Reps!B:B)</f>
        <v>Erik Duarte</v>
      </c>
      <c r="P5330" t="str">
        <f>_xlfn.XLOOKUP(Pipeline_tbl[[#This Row],[Rep_ID]],Dim_Reps!A:A,Dim_Reps!C:C)</f>
        <v>Mid-Market AE</v>
      </c>
      <c r="Q5330" t="str">
        <f>_xlfn.XLOOKUP(Pipeline_tbl[[#This Row],[Rep_ID]],Dim_Reps!A:A,Dim_Reps!D:D)</f>
        <v>Mid-Market</v>
      </c>
      <c r="R5330" t="str">
        <f>_xlfn.XLOOKUP(Pipeline_tbl[[#This Row],[Rep_ID]],Dim_Reps!A:A,Dim_Reps!E:E)</f>
        <v>EMEA</v>
      </c>
      <c r="S5330" t="str">
        <f>_xlfn.XLOOKUP(Pipeline_tbl[[#This Row],[Created_Date]],Dim_Date!A:A,Dim_Date!H:H)</f>
        <v>Dec 2025</v>
      </c>
      <c r="T5330" t="str">
        <f>IF(Pipeline_tbl[[#This Row],[Closed_Date]]=0,"",(_xlfn.XLOOKUP(Pipeline_tbl[[#This Row],[Closed_Date]],Dim_Date!A:A,Dim_Date!H:H)))</f>
        <v/>
      </c>
      <c r="U5330" t="str">
        <f>IF(Pipeline_tbl[[#This Row],[Closed_Date]]=0,"",Pipeline_tbl[[#This Row],[Closed_Date]]-Pipeline_tbl[[#This Row],[Created_Date]])</f>
        <v/>
      </c>
    </row>
    <row r="5331" spans="1:21" ht="15" customHeight="1" x14ac:dyDescent="0.2">
      <c r="A5331" t="s">
        <v>5637</v>
      </c>
      <c r="B5331" t="s">
        <v>265</v>
      </c>
      <c r="C5331" t="s">
        <v>52</v>
      </c>
      <c r="D5331" s="49">
        <v>45995</v>
      </c>
      <c r="E5331" s="49">
        <v>45998</v>
      </c>
      <c r="F5331" s="49">
        <v>46004</v>
      </c>
      <c r="G5331" s="49">
        <v>46012</v>
      </c>
      <c r="H5331" s="49">
        <v>46020</v>
      </c>
      <c r="J5331" t="s">
        <v>308</v>
      </c>
      <c r="K5331" s="33">
        <v>9300</v>
      </c>
      <c r="M5331" t="str">
        <f>_xlfn.XLOOKUP(Pipeline_tbl[[#This Row],[Rep_ID]],Dim_Reps!A:A,Dim_Reps!K:K)</f>
        <v>EUR</v>
      </c>
      <c r="N5331" s="33">
        <f>(_xlfn.XLOOKUP(Pipeline_tbl[[#This Row],[Rate_Code_Generalized]],Lookups!A:A,Lookups!B:B))*Pipeline_tbl[[#This Row],[Pipeline_Amount_USD]]</f>
        <v>9300</v>
      </c>
      <c r="O5331" t="str">
        <f>_xlfn.XLOOKUP(Pipeline_tbl[[#This Row],[Rep_ID]],Dim_Reps!A:A,Dim_Reps!B:B)</f>
        <v>Erik Duarte</v>
      </c>
      <c r="P5331" t="str">
        <f>_xlfn.XLOOKUP(Pipeline_tbl[[#This Row],[Rep_ID]],Dim_Reps!A:A,Dim_Reps!C:C)</f>
        <v>Mid-Market AE</v>
      </c>
      <c r="Q5331" t="str">
        <f>_xlfn.XLOOKUP(Pipeline_tbl[[#This Row],[Rep_ID]],Dim_Reps!A:A,Dim_Reps!D:D)</f>
        <v>Mid-Market</v>
      </c>
      <c r="R5331" t="str">
        <f>_xlfn.XLOOKUP(Pipeline_tbl[[#This Row],[Rep_ID]],Dim_Reps!A:A,Dim_Reps!E:E)</f>
        <v>EMEA</v>
      </c>
      <c r="S5331" t="str">
        <f>_xlfn.XLOOKUP(Pipeline_tbl[[#This Row],[Created_Date]],Dim_Date!A:A,Dim_Date!H:H)</f>
        <v>Dec 2025</v>
      </c>
      <c r="T5331" t="str">
        <f>IF(Pipeline_tbl[[#This Row],[Closed_Date]]=0,"",(_xlfn.XLOOKUP(Pipeline_tbl[[#This Row],[Closed_Date]],Dim_Date!A:A,Dim_Date!H:H)))</f>
        <v/>
      </c>
      <c r="U5331" t="str">
        <f>IF(Pipeline_tbl[[#This Row],[Closed_Date]]=0,"",Pipeline_tbl[[#This Row],[Closed_Date]]-Pipeline_tbl[[#This Row],[Created_Date]])</f>
        <v/>
      </c>
    </row>
    <row r="5332" spans="1:21" ht="15" customHeight="1" x14ac:dyDescent="0.2">
      <c r="A5332" t="s">
        <v>5638</v>
      </c>
      <c r="B5332" t="s">
        <v>233</v>
      </c>
      <c r="C5332" t="s">
        <v>56</v>
      </c>
      <c r="D5332" s="49">
        <v>46021</v>
      </c>
      <c r="E5332" s="49">
        <v>46022</v>
      </c>
      <c r="J5332" t="s">
        <v>308</v>
      </c>
      <c r="K5332" s="33">
        <v>4900</v>
      </c>
      <c r="M5332" t="str">
        <f>_xlfn.XLOOKUP(Pipeline_tbl[[#This Row],[Rep_ID]],Dim_Reps!A:A,Dim_Reps!K:K)</f>
        <v>MXN</v>
      </c>
      <c r="N5332" s="33">
        <f>(_xlfn.XLOOKUP(Pipeline_tbl[[#This Row],[Rate_Code_Generalized]],Lookups!A:A,Lookups!B:B))*Pipeline_tbl[[#This Row],[Pipeline_Amount_USD]]</f>
        <v>96690.23000000001</v>
      </c>
      <c r="O5332" t="str">
        <f>_xlfn.XLOOKUP(Pipeline_tbl[[#This Row],[Rep_ID]],Dim_Reps!A:A,Dim_Reps!B:B)</f>
        <v>Lucas Duarte</v>
      </c>
      <c r="P5332" t="str">
        <f>_xlfn.XLOOKUP(Pipeline_tbl[[#This Row],[Rep_ID]],Dim_Reps!A:A,Dim_Reps!C:C)</f>
        <v>SDR / Inside Sales Rep</v>
      </c>
      <c r="Q5332" t="str">
        <f>_xlfn.XLOOKUP(Pipeline_tbl[[#This Row],[Rep_ID]],Dim_Reps!A:A,Dim_Reps!D:D)</f>
        <v>Inside Sales</v>
      </c>
      <c r="R5332" t="str">
        <f>_xlfn.XLOOKUP(Pipeline_tbl[[#This Row],[Rep_ID]],Dim_Reps!A:A,Dim_Reps!E:E)</f>
        <v>LATAM</v>
      </c>
      <c r="S5332" t="str">
        <f>_xlfn.XLOOKUP(Pipeline_tbl[[#This Row],[Created_Date]],Dim_Date!A:A,Dim_Date!H:H)</f>
        <v>Dec 2025</v>
      </c>
      <c r="T5332" t="str">
        <f>IF(Pipeline_tbl[[#This Row],[Closed_Date]]=0,"",(_xlfn.XLOOKUP(Pipeline_tbl[[#This Row],[Closed_Date]],Dim_Date!A:A,Dim_Date!H:H)))</f>
        <v/>
      </c>
      <c r="U5332" t="str">
        <f>IF(Pipeline_tbl[[#This Row],[Closed_Date]]=0,"",Pipeline_tbl[[#This Row],[Closed_Date]]-Pipeline_tbl[[#This Row],[Created_Date]])</f>
        <v/>
      </c>
    </row>
    <row r="5333" spans="1:21" ht="15" customHeight="1" x14ac:dyDescent="0.2">
      <c r="A5333" t="s">
        <v>5639</v>
      </c>
      <c r="B5333" t="s">
        <v>233</v>
      </c>
      <c r="C5333" t="s">
        <v>54</v>
      </c>
      <c r="D5333" s="49">
        <v>46010</v>
      </c>
      <c r="E5333" s="49">
        <v>46012</v>
      </c>
      <c r="F5333" s="49">
        <v>46015</v>
      </c>
      <c r="G5333" s="49">
        <v>46019</v>
      </c>
      <c r="J5333" t="s">
        <v>308</v>
      </c>
      <c r="K5333" s="33">
        <v>2700</v>
      </c>
      <c r="M5333" t="str">
        <f>_xlfn.XLOOKUP(Pipeline_tbl[[#This Row],[Rep_ID]],Dim_Reps!A:A,Dim_Reps!K:K)</f>
        <v>MXN</v>
      </c>
      <c r="N5333" s="33">
        <f>(_xlfn.XLOOKUP(Pipeline_tbl[[#This Row],[Rate_Code_Generalized]],Lookups!A:A,Lookups!B:B))*Pipeline_tbl[[#This Row],[Pipeline_Amount_USD]]</f>
        <v>53278.29</v>
      </c>
      <c r="O5333" t="str">
        <f>_xlfn.XLOOKUP(Pipeline_tbl[[#This Row],[Rep_ID]],Dim_Reps!A:A,Dim_Reps!B:B)</f>
        <v>Lucas Duarte</v>
      </c>
      <c r="P5333" t="str">
        <f>_xlfn.XLOOKUP(Pipeline_tbl[[#This Row],[Rep_ID]],Dim_Reps!A:A,Dim_Reps!C:C)</f>
        <v>SDR / Inside Sales Rep</v>
      </c>
      <c r="Q5333" t="str">
        <f>_xlfn.XLOOKUP(Pipeline_tbl[[#This Row],[Rep_ID]],Dim_Reps!A:A,Dim_Reps!D:D)</f>
        <v>Inside Sales</v>
      </c>
      <c r="R5333" t="str">
        <f>_xlfn.XLOOKUP(Pipeline_tbl[[#This Row],[Rep_ID]],Dim_Reps!A:A,Dim_Reps!E:E)</f>
        <v>LATAM</v>
      </c>
      <c r="S5333" t="str">
        <f>_xlfn.XLOOKUP(Pipeline_tbl[[#This Row],[Created_Date]],Dim_Date!A:A,Dim_Date!H:H)</f>
        <v>Dec 2025</v>
      </c>
      <c r="T5333" t="str">
        <f>IF(Pipeline_tbl[[#This Row],[Closed_Date]]=0,"",(_xlfn.XLOOKUP(Pipeline_tbl[[#This Row],[Closed_Date]],Dim_Date!A:A,Dim_Date!H:H)))</f>
        <v/>
      </c>
      <c r="U5333" t="str">
        <f>IF(Pipeline_tbl[[#This Row],[Closed_Date]]=0,"",Pipeline_tbl[[#This Row],[Closed_Date]]-Pipeline_tbl[[#This Row],[Created_Date]])</f>
        <v/>
      </c>
    </row>
    <row r="5334" spans="1:21" ht="15" customHeight="1" x14ac:dyDescent="0.2">
      <c r="A5334" t="s">
        <v>5640</v>
      </c>
      <c r="B5334" t="s">
        <v>233</v>
      </c>
      <c r="C5334" t="s">
        <v>54</v>
      </c>
      <c r="D5334" s="49">
        <v>46016</v>
      </c>
      <c r="E5334" s="49">
        <v>46019</v>
      </c>
      <c r="J5334" t="s">
        <v>308</v>
      </c>
      <c r="K5334" s="33">
        <v>8800</v>
      </c>
      <c r="M5334" t="str">
        <f>_xlfn.XLOOKUP(Pipeline_tbl[[#This Row],[Rep_ID]],Dim_Reps!A:A,Dim_Reps!K:K)</f>
        <v>MXN</v>
      </c>
      <c r="N5334" s="33">
        <f>(_xlfn.XLOOKUP(Pipeline_tbl[[#This Row],[Rate_Code_Generalized]],Lookups!A:A,Lookups!B:B))*Pipeline_tbl[[#This Row],[Pipeline_Amount_USD]]</f>
        <v>173647.76</v>
      </c>
      <c r="O5334" t="str">
        <f>_xlfn.XLOOKUP(Pipeline_tbl[[#This Row],[Rep_ID]],Dim_Reps!A:A,Dim_Reps!B:B)</f>
        <v>Lucas Duarte</v>
      </c>
      <c r="P5334" t="str">
        <f>_xlfn.XLOOKUP(Pipeline_tbl[[#This Row],[Rep_ID]],Dim_Reps!A:A,Dim_Reps!C:C)</f>
        <v>SDR / Inside Sales Rep</v>
      </c>
      <c r="Q5334" t="str">
        <f>_xlfn.XLOOKUP(Pipeline_tbl[[#This Row],[Rep_ID]],Dim_Reps!A:A,Dim_Reps!D:D)</f>
        <v>Inside Sales</v>
      </c>
      <c r="R5334" t="str">
        <f>_xlfn.XLOOKUP(Pipeline_tbl[[#This Row],[Rep_ID]],Dim_Reps!A:A,Dim_Reps!E:E)</f>
        <v>LATAM</v>
      </c>
      <c r="S5334" t="str">
        <f>_xlfn.XLOOKUP(Pipeline_tbl[[#This Row],[Created_Date]],Dim_Date!A:A,Dim_Date!H:H)</f>
        <v>Dec 2025</v>
      </c>
      <c r="T5334" t="str">
        <f>IF(Pipeline_tbl[[#This Row],[Closed_Date]]=0,"",(_xlfn.XLOOKUP(Pipeline_tbl[[#This Row],[Closed_Date]],Dim_Date!A:A,Dim_Date!H:H)))</f>
        <v/>
      </c>
      <c r="U5334" t="str">
        <f>IF(Pipeline_tbl[[#This Row],[Closed_Date]]=0,"",Pipeline_tbl[[#This Row],[Closed_Date]]-Pipeline_tbl[[#This Row],[Created_Date]])</f>
        <v/>
      </c>
    </row>
    <row r="5335" spans="1:21" ht="15" customHeight="1" x14ac:dyDescent="0.2">
      <c r="A5335" t="s">
        <v>5641</v>
      </c>
      <c r="B5335" t="s">
        <v>233</v>
      </c>
      <c r="C5335" t="s">
        <v>52</v>
      </c>
      <c r="D5335" s="49">
        <v>46017</v>
      </c>
      <c r="E5335" s="49">
        <v>46019</v>
      </c>
      <c r="F5335" s="49">
        <v>46022</v>
      </c>
      <c r="J5335" t="s">
        <v>308</v>
      </c>
      <c r="K5335" s="33">
        <v>3100</v>
      </c>
      <c r="M5335" t="str">
        <f>_xlfn.XLOOKUP(Pipeline_tbl[[#This Row],[Rep_ID]],Dim_Reps!A:A,Dim_Reps!K:K)</f>
        <v>MXN</v>
      </c>
      <c r="N5335" s="33">
        <f>(_xlfn.XLOOKUP(Pipeline_tbl[[#This Row],[Rate_Code_Generalized]],Lookups!A:A,Lookups!B:B))*Pipeline_tbl[[#This Row],[Pipeline_Amount_USD]]</f>
        <v>61171.37</v>
      </c>
      <c r="O5335" t="str">
        <f>_xlfn.XLOOKUP(Pipeline_tbl[[#This Row],[Rep_ID]],Dim_Reps!A:A,Dim_Reps!B:B)</f>
        <v>Lucas Duarte</v>
      </c>
      <c r="P5335" t="str">
        <f>_xlfn.XLOOKUP(Pipeline_tbl[[#This Row],[Rep_ID]],Dim_Reps!A:A,Dim_Reps!C:C)</f>
        <v>SDR / Inside Sales Rep</v>
      </c>
      <c r="Q5335" t="str">
        <f>_xlfn.XLOOKUP(Pipeline_tbl[[#This Row],[Rep_ID]],Dim_Reps!A:A,Dim_Reps!D:D)</f>
        <v>Inside Sales</v>
      </c>
      <c r="R5335" t="str">
        <f>_xlfn.XLOOKUP(Pipeline_tbl[[#This Row],[Rep_ID]],Dim_Reps!A:A,Dim_Reps!E:E)</f>
        <v>LATAM</v>
      </c>
      <c r="S5335" t="str">
        <f>_xlfn.XLOOKUP(Pipeline_tbl[[#This Row],[Created_Date]],Dim_Date!A:A,Dim_Date!H:H)</f>
        <v>Dec 2025</v>
      </c>
      <c r="T5335" t="str">
        <f>IF(Pipeline_tbl[[#This Row],[Closed_Date]]=0,"",(_xlfn.XLOOKUP(Pipeline_tbl[[#This Row],[Closed_Date]],Dim_Date!A:A,Dim_Date!H:H)))</f>
        <v/>
      </c>
      <c r="U5335" t="str">
        <f>IF(Pipeline_tbl[[#This Row],[Closed_Date]]=0,"",Pipeline_tbl[[#This Row],[Closed_Date]]-Pipeline_tbl[[#This Row],[Created_Date]])</f>
        <v/>
      </c>
    </row>
    <row r="5336" spans="1:21" ht="15" customHeight="1" x14ac:dyDescent="0.2">
      <c r="A5336" t="s">
        <v>5642</v>
      </c>
      <c r="B5336" t="s">
        <v>233</v>
      </c>
      <c r="C5336" t="s">
        <v>52</v>
      </c>
      <c r="D5336" s="49">
        <v>46019</v>
      </c>
      <c r="E5336" s="49">
        <v>46022</v>
      </c>
      <c r="J5336" t="s">
        <v>308</v>
      </c>
      <c r="K5336" s="33">
        <v>5300</v>
      </c>
      <c r="M5336" t="str">
        <f>_xlfn.XLOOKUP(Pipeline_tbl[[#This Row],[Rep_ID]],Dim_Reps!A:A,Dim_Reps!K:K)</f>
        <v>MXN</v>
      </c>
      <c r="N5336" s="33">
        <f>(_xlfn.XLOOKUP(Pipeline_tbl[[#This Row],[Rate_Code_Generalized]],Lookups!A:A,Lookups!B:B))*Pipeline_tbl[[#This Row],[Pipeline_Amount_USD]]</f>
        <v>104583.31000000001</v>
      </c>
      <c r="O5336" t="str">
        <f>_xlfn.XLOOKUP(Pipeline_tbl[[#This Row],[Rep_ID]],Dim_Reps!A:A,Dim_Reps!B:B)</f>
        <v>Lucas Duarte</v>
      </c>
      <c r="P5336" t="str">
        <f>_xlfn.XLOOKUP(Pipeline_tbl[[#This Row],[Rep_ID]],Dim_Reps!A:A,Dim_Reps!C:C)</f>
        <v>SDR / Inside Sales Rep</v>
      </c>
      <c r="Q5336" t="str">
        <f>_xlfn.XLOOKUP(Pipeline_tbl[[#This Row],[Rep_ID]],Dim_Reps!A:A,Dim_Reps!D:D)</f>
        <v>Inside Sales</v>
      </c>
      <c r="R5336" t="str">
        <f>_xlfn.XLOOKUP(Pipeline_tbl[[#This Row],[Rep_ID]],Dim_Reps!A:A,Dim_Reps!E:E)</f>
        <v>LATAM</v>
      </c>
      <c r="S5336" t="str">
        <f>_xlfn.XLOOKUP(Pipeline_tbl[[#This Row],[Created_Date]],Dim_Date!A:A,Dim_Date!H:H)</f>
        <v>Dec 2025</v>
      </c>
      <c r="T5336" t="str">
        <f>IF(Pipeline_tbl[[#This Row],[Closed_Date]]=0,"",(_xlfn.XLOOKUP(Pipeline_tbl[[#This Row],[Closed_Date]],Dim_Date!A:A,Dim_Date!H:H)))</f>
        <v/>
      </c>
      <c r="U5336" t="str">
        <f>IF(Pipeline_tbl[[#This Row],[Closed_Date]]=0,"",Pipeline_tbl[[#This Row],[Closed_Date]]-Pipeline_tbl[[#This Row],[Created_Date]])</f>
        <v/>
      </c>
    </row>
    <row r="5337" spans="1:21" ht="15" customHeight="1" x14ac:dyDescent="0.2">
      <c r="A5337" t="s">
        <v>5643</v>
      </c>
      <c r="B5337" t="s">
        <v>233</v>
      </c>
      <c r="C5337" t="s">
        <v>52</v>
      </c>
      <c r="D5337" s="49">
        <v>46020</v>
      </c>
      <c r="E5337" s="49">
        <v>46021</v>
      </c>
      <c r="J5337" t="s">
        <v>308</v>
      </c>
      <c r="K5337" s="33">
        <v>3400</v>
      </c>
      <c r="M5337" t="str">
        <f>_xlfn.XLOOKUP(Pipeline_tbl[[#This Row],[Rep_ID]],Dim_Reps!A:A,Dim_Reps!K:K)</f>
        <v>MXN</v>
      </c>
      <c r="N5337" s="33">
        <f>(_xlfn.XLOOKUP(Pipeline_tbl[[#This Row],[Rate_Code_Generalized]],Lookups!A:A,Lookups!B:B))*Pipeline_tbl[[#This Row],[Pipeline_Amount_USD]]</f>
        <v>67091.180000000008</v>
      </c>
      <c r="O5337" t="str">
        <f>_xlfn.XLOOKUP(Pipeline_tbl[[#This Row],[Rep_ID]],Dim_Reps!A:A,Dim_Reps!B:B)</f>
        <v>Lucas Duarte</v>
      </c>
      <c r="P5337" t="str">
        <f>_xlfn.XLOOKUP(Pipeline_tbl[[#This Row],[Rep_ID]],Dim_Reps!A:A,Dim_Reps!C:C)</f>
        <v>SDR / Inside Sales Rep</v>
      </c>
      <c r="Q5337" t="str">
        <f>_xlfn.XLOOKUP(Pipeline_tbl[[#This Row],[Rep_ID]],Dim_Reps!A:A,Dim_Reps!D:D)</f>
        <v>Inside Sales</v>
      </c>
      <c r="R5337" t="str">
        <f>_xlfn.XLOOKUP(Pipeline_tbl[[#This Row],[Rep_ID]],Dim_Reps!A:A,Dim_Reps!E:E)</f>
        <v>LATAM</v>
      </c>
      <c r="S5337" t="str">
        <f>_xlfn.XLOOKUP(Pipeline_tbl[[#This Row],[Created_Date]],Dim_Date!A:A,Dim_Date!H:H)</f>
        <v>Dec 2025</v>
      </c>
      <c r="T5337" t="str">
        <f>IF(Pipeline_tbl[[#This Row],[Closed_Date]]=0,"",(_xlfn.XLOOKUP(Pipeline_tbl[[#This Row],[Closed_Date]],Dim_Date!A:A,Dim_Date!H:H)))</f>
        <v/>
      </c>
      <c r="U5337" t="str">
        <f>IF(Pipeline_tbl[[#This Row],[Closed_Date]]=0,"",Pipeline_tbl[[#This Row],[Closed_Date]]-Pipeline_tbl[[#This Row],[Created_Date]])</f>
        <v/>
      </c>
    </row>
    <row r="5338" spans="1:21" ht="15" customHeight="1" x14ac:dyDescent="0.2">
      <c r="A5338" t="s">
        <v>5644</v>
      </c>
      <c r="B5338" t="s">
        <v>233</v>
      </c>
      <c r="C5338" t="s">
        <v>56</v>
      </c>
      <c r="D5338" s="49">
        <v>46020</v>
      </c>
      <c r="E5338" s="49">
        <v>46021</v>
      </c>
      <c r="J5338" t="s">
        <v>308</v>
      </c>
      <c r="K5338" s="33">
        <v>4500</v>
      </c>
      <c r="M5338" t="str">
        <f>_xlfn.XLOOKUP(Pipeline_tbl[[#This Row],[Rep_ID]],Dim_Reps!A:A,Dim_Reps!K:K)</f>
        <v>MXN</v>
      </c>
      <c r="N5338" s="33">
        <f>(_xlfn.XLOOKUP(Pipeline_tbl[[#This Row],[Rate_Code_Generalized]],Lookups!A:A,Lookups!B:B))*Pipeline_tbl[[#This Row],[Pipeline_Amount_USD]]</f>
        <v>88797.150000000009</v>
      </c>
      <c r="O5338" t="str">
        <f>_xlfn.XLOOKUP(Pipeline_tbl[[#This Row],[Rep_ID]],Dim_Reps!A:A,Dim_Reps!B:B)</f>
        <v>Lucas Duarte</v>
      </c>
      <c r="P5338" t="str">
        <f>_xlfn.XLOOKUP(Pipeline_tbl[[#This Row],[Rep_ID]],Dim_Reps!A:A,Dim_Reps!C:C)</f>
        <v>SDR / Inside Sales Rep</v>
      </c>
      <c r="Q5338" t="str">
        <f>_xlfn.XLOOKUP(Pipeline_tbl[[#This Row],[Rep_ID]],Dim_Reps!A:A,Dim_Reps!D:D)</f>
        <v>Inside Sales</v>
      </c>
      <c r="R5338" t="str">
        <f>_xlfn.XLOOKUP(Pipeline_tbl[[#This Row],[Rep_ID]],Dim_Reps!A:A,Dim_Reps!E:E)</f>
        <v>LATAM</v>
      </c>
      <c r="S5338" t="str">
        <f>_xlfn.XLOOKUP(Pipeline_tbl[[#This Row],[Created_Date]],Dim_Date!A:A,Dim_Date!H:H)</f>
        <v>Dec 2025</v>
      </c>
      <c r="T5338" t="str">
        <f>IF(Pipeline_tbl[[#This Row],[Closed_Date]]=0,"",(_xlfn.XLOOKUP(Pipeline_tbl[[#This Row],[Closed_Date]],Dim_Date!A:A,Dim_Date!H:H)))</f>
        <v/>
      </c>
      <c r="U5338" t="str">
        <f>IF(Pipeline_tbl[[#This Row],[Closed_Date]]=0,"",Pipeline_tbl[[#This Row],[Closed_Date]]-Pipeline_tbl[[#This Row],[Created_Date]])</f>
        <v/>
      </c>
    </row>
    <row r="5339" spans="1:21" ht="15" customHeight="1" x14ac:dyDescent="0.2">
      <c r="A5339" t="s">
        <v>5645</v>
      </c>
      <c r="B5339" t="s">
        <v>233</v>
      </c>
      <c r="C5339" t="s">
        <v>52</v>
      </c>
      <c r="D5339" s="49">
        <v>46012</v>
      </c>
      <c r="E5339" s="49">
        <v>46014</v>
      </c>
      <c r="F5339" s="49">
        <v>46017</v>
      </c>
      <c r="G5339" s="49">
        <v>46022</v>
      </c>
      <c r="J5339" t="s">
        <v>308</v>
      </c>
      <c r="K5339" s="33">
        <v>6200</v>
      </c>
      <c r="M5339" t="str">
        <f>_xlfn.XLOOKUP(Pipeline_tbl[[#This Row],[Rep_ID]],Dim_Reps!A:A,Dim_Reps!K:K)</f>
        <v>MXN</v>
      </c>
      <c r="N5339" s="33">
        <f>(_xlfn.XLOOKUP(Pipeline_tbl[[#This Row],[Rate_Code_Generalized]],Lookups!A:A,Lookups!B:B))*Pipeline_tbl[[#This Row],[Pipeline_Amount_USD]]</f>
        <v>122342.74</v>
      </c>
      <c r="O5339" t="str">
        <f>_xlfn.XLOOKUP(Pipeline_tbl[[#This Row],[Rep_ID]],Dim_Reps!A:A,Dim_Reps!B:B)</f>
        <v>Lucas Duarte</v>
      </c>
      <c r="P5339" t="str">
        <f>_xlfn.XLOOKUP(Pipeline_tbl[[#This Row],[Rep_ID]],Dim_Reps!A:A,Dim_Reps!C:C)</f>
        <v>SDR / Inside Sales Rep</v>
      </c>
      <c r="Q5339" t="str">
        <f>_xlfn.XLOOKUP(Pipeline_tbl[[#This Row],[Rep_ID]],Dim_Reps!A:A,Dim_Reps!D:D)</f>
        <v>Inside Sales</v>
      </c>
      <c r="R5339" t="str">
        <f>_xlfn.XLOOKUP(Pipeline_tbl[[#This Row],[Rep_ID]],Dim_Reps!A:A,Dim_Reps!E:E)</f>
        <v>LATAM</v>
      </c>
      <c r="S5339" t="str">
        <f>_xlfn.XLOOKUP(Pipeline_tbl[[#This Row],[Created_Date]],Dim_Date!A:A,Dim_Date!H:H)</f>
        <v>Dec 2025</v>
      </c>
      <c r="T5339" t="str">
        <f>IF(Pipeline_tbl[[#This Row],[Closed_Date]]=0,"",(_xlfn.XLOOKUP(Pipeline_tbl[[#This Row],[Closed_Date]],Dim_Date!A:A,Dim_Date!H:H)))</f>
        <v/>
      </c>
      <c r="U5339" t="str">
        <f>IF(Pipeline_tbl[[#This Row],[Closed_Date]]=0,"",Pipeline_tbl[[#This Row],[Closed_Date]]-Pipeline_tbl[[#This Row],[Created_Date]])</f>
        <v/>
      </c>
    </row>
    <row r="5340" spans="1:21" ht="15" customHeight="1" x14ac:dyDescent="0.2">
      <c r="A5340" t="s">
        <v>5646</v>
      </c>
      <c r="B5340" t="s">
        <v>233</v>
      </c>
      <c r="C5340" t="s">
        <v>56</v>
      </c>
      <c r="D5340" s="49">
        <v>46007</v>
      </c>
      <c r="E5340" s="49">
        <v>46009</v>
      </c>
      <c r="F5340" s="49">
        <v>46012</v>
      </c>
      <c r="G5340" s="49">
        <v>46017</v>
      </c>
      <c r="H5340" s="49">
        <v>46021</v>
      </c>
      <c r="J5340" t="s">
        <v>308</v>
      </c>
      <c r="K5340" s="33">
        <v>3800</v>
      </c>
      <c r="M5340" t="str">
        <f>_xlfn.XLOOKUP(Pipeline_tbl[[#This Row],[Rep_ID]],Dim_Reps!A:A,Dim_Reps!K:K)</f>
        <v>MXN</v>
      </c>
      <c r="N5340" s="33">
        <f>(_xlfn.XLOOKUP(Pipeline_tbl[[#This Row],[Rate_Code_Generalized]],Lookups!A:A,Lookups!B:B))*Pipeline_tbl[[#This Row],[Pipeline_Amount_USD]]</f>
        <v>74984.260000000009</v>
      </c>
      <c r="O5340" t="str">
        <f>_xlfn.XLOOKUP(Pipeline_tbl[[#This Row],[Rep_ID]],Dim_Reps!A:A,Dim_Reps!B:B)</f>
        <v>Lucas Duarte</v>
      </c>
      <c r="P5340" t="str">
        <f>_xlfn.XLOOKUP(Pipeline_tbl[[#This Row],[Rep_ID]],Dim_Reps!A:A,Dim_Reps!C:C)</f>
        <v>SDR / Inside Sales Rep</v>
      </c>
      <c r="Q5340" t="str">
        <f>_xlfn.XLOOKUP(Pipeline_tbl[[#This Row],[Rep_ID]],Dim_Reps!A:A,Dim_Reps!D:D)</f>
        <v>Inside Sales</v>
      </c>
      <c r="R5340" t="str">
        <f>_xlfn.XLOOKUP(Pipeline_tbl[[#This Row],[Rep_ID]],Dim_Reps!A:A,Dim_Reps!E:E)</f>
        <v>LATAM</v>
      </c>
      <c r="S5340" t="str">
        <f>_xlfn.XLOOKUP(Pipeline_tbl[[#This Row],[Created_Date]],Dim_Date!A:A,Dim_Date!H:H)</f>
        <v>Dec 2025</v>
      </c>
      <c r="T5340" t="str">
        <f>IF(Pipeline_tbl[[#This Row],[Closed_Date]]=0,"",(_xlfn.XLOOKUP(Pipeline_tbl[[#This Row],[Closed_Date]],Dim_Date!A:A,Dim_Date!H:H)))</f>
        <v/>
      </c>
      <c r="U5340" t="str">
        <f>IF(Pipeline_tbl[[#This Row],[Closed_Date]]=0,"",Pipeline_tbl[[#This Row],[Closed_Date]]-Pipeline_tbl[[#This Row],[Created_Date]])</f>
        <v/>
      </c>
    </row>
    <row r="5341" spans="1:21" ht="15" customHeight="1" x14ac:dyDescent="0.2">
      <c r="A5341" t="s">
        <v>5647</v>
      </c>
      <c r="B5341" t="s">
        <v>233</v>
      </c>
      <c r="C5341" t="s">
        <v>55</v>
      </c>
      <c r="D5341" s="49">
        <v>46010</v>
      </c>
      <c r="E5341" s="49">
        <v>46012</v>
      </c>
      <c r="F5341" s="49">
        <v>46015</v>
      </c>
      <c r="G5341" s="49">
        <v>46020</v>
      </c>
      <c r="J5341" t="s">
        <v>308</v>
      </c>
      <c r="K5341" s="33">
        <v>2400</v>
      </c>
      <c r="M5341" t="str">
        <f>_xlfn.XLOOKUP(Pipeline_tbl[[#This Row],[Rep_ID]],Dim_Reps!A:A,Dim_Reps!K:K)</f>
        <v>MXN</v>
      </c>
      <c r="N5341" s="33">
        <f>(_xlfn.XLOOKUP(Pipeline_tbl[[#This Row],[Rate_Code_Generalized]],Lookups!A:A,Lookups!B:B))*Pipeline_tbl[[#This Row],[Pipeline_Amount_USD]]</f>
        <v>47358.48</v>
      </c>
      <c r="O5341" t="str">
        <f>_xlfn.XLOOKUP(Pipeline_tbl[[#This Row],[Rep_ID]],Dim_Reps!A:A,Dim_Reps!B:B)</f>
        <v>Lucas Duarte</v>
      </c>
      <c r="P5341" t="str">
        <f>_xlfn.XLOOKUP(Pipeline_tbl[[#This Row],[Rep_ID]],Dim_Reps!A:A,Dim_Reps!C:C)</f>
        <v>SDR / Inside Sales Rep</v>
      </c>
      <c r="Q5341" t="str">
        <f>_xlfn.XLOOKUP(Pipeline_tbl[[#This Row],[Rep_ID]],Dim_Reps!A:A,Dim_Reps!D:D)</f>
        <v>Inside Sales</v>
      </c>
      <c r="R5341" t="str">
        <f>_xlfn.XLOOKUP(Pipeline_tbl[[#This Row],[Rep_ID]],Dim_Reps!A:A,Dim_Reps!E:E)</f>
        <v>LATAM</v>
      </c>
      <c r="S5341" t="str">
        <f>_xlfn.XLOOKUP(Pipeline_tbl[[#This Row],[Created_Date]],Dim_Date!A:A,Dim_Date!H:H)</f>
        <v>Dec 2025</v>
      </c>
      <c r="T5341" t="str">
        <f>IF(Pipeline_tbl[[#This Row],[Closed_Date]]=0,"",(_xlfn.XLOOKUP(Pipeline_tbl[[#This Row],[Closed_Date]],Dim_Date!A:A,Dim_Date!H:H)))</f>
        <v/>
      </c>
      <c r="U5341" t="str">
        <f>IF(Pipeline_tbl[[#This Row],[Closed_Date]]=0,"",Pipeline_tbl[[#This Row],[Closed_Date]]-Pipeline_tbl[[#This Row],[Created_Date]])</f>
        <v/>
      </c>
    </row>
    <row r="5342" spans="1:21" ht="15" customHeight="1" x14ac:dyDescent="0.2">
      <c r="A5342" t="s">
        <v>5648</v>
      </c>
      <c r="B5342" t="s">
        <v>233</v>
      </c>
      <c r="C5342" t="s">
        <v>56</v>
      </c>
      <c r="D5342" s="49">
        <v>46011</v>
      </c>
      <c r="E5342" s="49">
        <v>46013</v>
      </c>
      <c r="F5342" s="49">
        <v>46016</v>
      </c>
      <c r="G5342" s="49">
        <v>46020</v>
      </c>
      <c r="J5342" t="s">
        <v>308</v>
      </c>
      <c r="K5342" s="33">
        <v>1200</v>
      </c>
      <c r="M5342" t="str">
        <f>_xlfn.XLOOKUP(Pipeline_tbl[[#This Row],[Rep_ID]],Dim_Reps!A:A,Dim_Reps!K:K)</f>
        <v>MXN</v>
      </c>
      <c r="N5342" s="33">
        <f>(_xlfn.XLOOKUP(Pipeline_tbl[[#This Row],[Rate_Code_Generalized]],Lookups!A:A,Lookups!B:B))*Pipeline_tbl[[#This Row],[Pipeline_Amount_USD]]</f>
        <v>23679.24</v>
      </c>
      <c r="O5342" t="str">
        <f>_xlfn.XLOOKUP(Pipeline_tbl[[#This Row],[Rep_ID]],Dim_Reps!A:A,Dim_Reps!B:B)</f>
        <v>Lucas Duarte</v>
      </c>
      <c r="P5342" t="str">
        <f>_xlfn.XLOOKUP(Pipeline_tbl[[#This Row],[Rep_ID]],Dim_Reps!A:A,Dim_Reps!C:C)</f>
        <v>SDR / Inside Sales Rep</v>
      </c>
      <c r="Q5342" t="str">
        <f>_xlfn.XLOOKUP(Pipeline_tbl[[#This Row],[Rep_ID]],Dim_Reps!A:A,Dim_Reps!D:D)</f>
        <v>Inside Sales</v>
      </c>
      <c r="R5342" t="str">
        <f>_xlfn.XLOOKUP(Pipeline_tbl[[#This Row],[Rep_ID]],Dim_Reps!A:A,Dim_Reps!E:E)</f>
        <v>LATAM</v>
      </c>
      <c r="S5342" t="str">
        <f>_xlfn.XLOOKUP(Pipeline_tbl[[#This Row],[Created_Date]],Dim_Date!A:A,Dim_Date!H:H)</f>
        <v>Dec 2025</v>
      </c>
      <c r="T5342" t="str">
        <f>IF(Pipeline_tbl[[#This Row],[Closed_Date]]=0,"",(_xlfn.XLOOKUP(Pipeline_tbl[[#This Row],[Closed_Date]],Dim_Date!A:A,Dim_Date!H:H)))</f>
        <v/>
      </c>
      <c r="U5342" t="str">
        <f>IF(Pipeline_tbl[[#This Row],[Closed_Date]]=0,"",Pipeline_tbl[[#This Row],[Closed_Date]]-Pipeline_tbl[[#This Row],[Created_Date]])</f>
        <v/>
      </c>
    </row>
    <row r="5343" spans="1:21" ht="15" customHeight="1" x14ac:dyDescent="0.2">
      <c r="A5343" t="s">
        <v>5649</v>
      </c>
      <c r="B5343" t="s">
        <v>267</v>
      </c>
      <c r="C5343" t="s">
        <v>53</v>
      </c>
      <c r="D5343" s="49">
        <v>46018</v>
      </c>
      <c r="E5343" s="49">
        <v>46020</v>
      </c>
      <c r="J5343" t="s">
        <v>308</v>
      </c>
      <c r="K5343" s="33">
        <v>10500</v>
      </c>
      <c r="M5343" t="str">
        <f>_xlfn.XLOOKUP(Pipeline_tbl[[#This Row],[Rep_ID]],Dim_Reps!A:A,Dim_Reps!K:K)</f>
        <v>MXN</v>
      </c>
      <c r="N5343" s="33">
        <f>(_xlfn.XLOOKUP(Pipeline_tbl[[#This Row],[Rate_Code_Generalized]],Lookups!A:A,Lookups!B:B))*Pipeline_tbl[[#This Row],[Pipeline_Amount_USD]]</f>
        <v>207193.35</v>
      </c>
      <c r="O5343" t="str">
        <f>_xlfn.XLOOKUP(Pipeline_tbl[[#This Row],[Rep_ID]],Dim_Reps!A:A,Dim_Reps!B:B)</f>
        <v>Yuki Dubois</v>
      </c>
      <c r="P5343" t="str">
        <f>_xlfn.XLOOKUP(Pipeline_tbl[[#This Row],[Rep_ID]],Dim_Reps!A:A,Dim_Reps!C:C)</f>
        <v>Mid-Market AE</v>
      </c>
      <c r="Q5343" t="str">
        <f>_xlfn.XLOOKUP(Pipeline_tbl[[#This Row],[Rep_ID]],Dim_Reps!A:A,Dim_Reps!D:D)</f>
        <v>Mid-Market</v>
      </c>
      <c r="R5343" t="str">
        <f>_xlfn.XLOOKUP(Pipeline_tbl[[#This Row],[Rep_ID]],Dim_Reps!A:A,Dim_Reps!E:E)</f>
        <v>LATAM</v>
      </c>
      <c r="S5343" t="str">
        <f>_xlfn.XLOOKUP(Pipeline_tbl[[#This Row],[Created_Date]],Dim_Date!A:A,Dim_Date!H:H)</f>
        <v>Dec 2025</v>
      </c>
      <c r="T5343" t="str">
        <f>IF(Pipeline_tbl[[#This Row],[Closed_Date]]=0,"",(_xlfn.XLOOKUP(Pipeline_tbl[[#This Row],[Closed_Date]],Dim_Date!A:A,Dim_Date!H:H)))</f>
        <v/>
      </c>
      <c r="U5343" t="str">
        <f>IF(Pipeline_tbl[[#This Row],[Closed_Date]]=0,"",Pipeline_tbl[[#This Row],[Closed_Date]]-Pipeline_tbl[[#This Row],[Created_Date]])</f>
        <v/>
      </c>
    </row>
    <row r="5344" spans="1:21" ht="15" customHeight="1" x14ac:dyDescent="0.2">
      <c r="A5344" t="s">
        <v>5650</v>
      </c>
      <c r="B5344" t="s">
        <v>267</v>
      </c>
      <c r="C5344" t="s">
        <v>54</v>
      </c>
      <c r="D5344" s="49">
        <v>46014</v>
      </c>
      <c r="E5344" s="49">
        <v>46018</v>
      </c>
      <c r="J5344" t="s">
        <v>308</v>
      </c>
      <c r="K5344" s="33">
        <v>10800</v>
      </c>
      <c r="M5344" t="str">
        <f>_xlfn.XLOOKUP(Pipeline_tbl[[#This Row],[Rep_ID]],Dim_Reps!A:A,Dim_Reps!K:K)</f>
        <v>MXN</v>
      </c>
      <c r="N5344" s="33">
        <f>(_xlfn.XLOOKUP(Pipeline_tbl[[#This Row],[Rate_Code_Generalized]],Lookups!A:A,Lookups!B:B))*Pipeline_tbl[[#This Row],[Pipeline_Amount_USD]]</f>
        <v>213113.16</v>
      </c>
      <c r="O5344" t="str">
        <f>_xlfn.XLOOKUP(Pipeline_tbl[[#This Row],[Rep_ID]],Dim_Reps!A:A,Dim_Reps!B:B)</f>
        <v>Yuki Dubois</v>
      </c>
      <c r="P5344" t="str">
        <f>_xlfn.XLOOKUP(Pipeline_tbl[[#This Row],[Rep_ID]],Dim_Reps!A:A,Dim_Reps!C:C)</f>
        <v>Mid-Market AE</v>
      </c>
      <c r="Q5344" t="str">
        <f>_xlfn.XLOOKUP(Pipeline_tbl[[#This Row],[Rep_ID]],Dim_Reps!A:A,Dim_Reps!D:D)</f>
        <v>Mid-Market</v>
      </c>
      <c r="R5344" t="str">
        <f>_xlfn.XLOOKUP(Pipeline_tbl[[#This Row],[Rep_ID]],Dim_Reps!A:A,Dim_Reps!E:E)</f>
        <v>LATAM</v>
      </c>
      <c r="S5344" t="str">
        <f>_xlfn.XLOOKUP(Pipeline_tbl[[#This Row],[Created_Date]],Dim_Date!A:A,Dim_Date!H:H)</f>
        <v>Dec 2025</v>
      </c>
      <c r="T5344" t="str">
        <f>IF(Pipeline_tbl[[#This Row],[Closed_Date]]=0,"",(_xlfn.XLOOKUP(Pipeline_tbl[[#This Row],[Closed_Date]],Dim_Date!A:A,Dim_Date!H:H)))</f>
        <v/>
      </c>
      <c r="U5344" t="str">
        <f>IF(Pipeline_tbl[[#This Row],[Closed_Date]]=0,"",Pipeline_tbl[[#This Row],[Closed_Date]]-Pipeline_tbl[[#This Row],[Created_Date]])</f>
        <v/>
      </c>
    </row>
    <row r="5345" spans="1:21" ht="15" customHeight="1" x14ac:dyDescent="0.2">
      <c r="A5345" t="s">
        <v>5651</v>
      </c>
      <c r="B5345" t="s">
        <v>267</v>
      </c>
      <c r="C5345" t="s">
        <v>55</v>
      </c>
      <c r="D5345" s="49">
        <v>45994</v>
      </c>
      <c r="E5345" s="49">
        <v>45998</v>
      </c>
      <c r="F5345" s="49">
        <v>46005</v>
      </c>
      <c r="G5345" s="49">
        <v>46015</v>
      </c>
      <c r="J5345" t="s">
        <v>308</v>
      </c>
      <c r="K5345" s="33">
        <v>20000</v>
      </c>
      <c r="M5345" t="str">
        <f>_xlfn.XLOOKUP(Pipeline_tbl[[#This Row],[Rep_ID]],Dim_Reps!A:A,Dim_Reps!K:K)</f>
        <v>MXN</v>
      </c>
      <c r="N5345" s="33">
        <f>(_xlfn.XLOOKUP(Pipeline_tbl[[#This Row],[Rate_Code_Generalized]],Lookups!A:A,Lookups!B:B))*Pipeline_tbl[[#This Row],[Pipeline_Amount_USD]]</f>
        <v>394654</v>
      </c>
      <c r="O5345" t="str">
        <f>_xlfn.XLOOKUP(Pipeline_tbl[[#This Row],[Rep_ID]],Dim_Reps!A:A,Dim_Reps!B:B)</f>
        <v>Yuki Dubois</v>
      </c>
      <c r="P5345" t="str">
        <f>_xlfn.XLOOKUP(Pipeline_tbl[[#This Row],[Rep_ID]],Dim_Reps!A:A,Dim_Reps!C:C)</f>
        <v>Mid-Market AE</v>
      </c>
      <c r="Q5345" t="str">
        <f>_xlfn.XLOOKUP(Pipeline_tbl[[#This Row],[Rep_ID]],Dim_Reps!A:A,Dim_Reps!D:D)</f>
        <v>Mid-Market</v>
      </c>
      <c r="R5345" t="str">
        <f>_xlfn.XLOOKUP(Pipeline_tbl[[#This Row],[Rep_ID]],Dim_Reps!A:A,Dim_Reps!E:E)</f>
        <v>LATAM</v>
      </c>
      <c r="S5345" t="str">
        <f>_xlfn.XLOOKUP(Pipeline_tbl[[#This Row],[Created_Date]],Dim_Date!A:A,Dim_Date!H:H)</f>
        <v>Dec 2025</v>
      </c>
      <c r="T5345" t="str">
        <f>IF(Pipeline_tbl[[#This Row],[Closed_Date]]=0,"",(_xlfn.XLOOKUP(Pipeline_tbl[[#This Row],[Closed_Date]],Dim_Date!A:A,Dim_Date!H:H)))</f>
        <v/>
      </c>
      <c r="U5345" t="str">
        <f>IF(Pipeline_tbl[[#This Row],[Closed_Date]]=0,"",Pipeline_tbl[[#This Row],[Closed_Date]]-Pipeline_tbl[[#This Row],[Created_Date]])</f>
        <v/>
      </c>
    </row>
    <row r="5346" spans="1:21" ht="15" customHeight="1" x14ac:dyDescent="0.2">
      <c r="A5346" t="s">
        <v>5652</v>
      </c>
      <c r="B5346" t="s">
        <v>267</v>
      </c>
      <c r="C5346" t="s">
        <v>54</v>
      </c>
      <c r="D5346" s="49">
        <v>46001</v>
      </c>
      <c r="E5346" s="49">
        <v>46005</v>
      </c>
      <c r="F5346" s="49">
        <v>46012</v>
      </c>
      <c r="G5346" s="49">
        <v>46022</v>
      </c>
      <c r="J5346" t="s">
        <v>308</v>
      </c>
      <c r="K5346" s="33">
        <v>4900</v>
      </c>
      <c r="M5346" t="str">
        <f>_xlfn.XLOOKUP(Pipeline_tbl[[#This Row],[Rep_ID]],Dim_Reps!A:A,Dim_Reps!K:K)</f>
        <v>MXN</v>
      </c>
      <c r="N5346" s="33">
        <f>(_xlfn.XLOOKUP(Pipeline_tbl[[#This Row],[Rate_Code_Generalized]],Lookups!A:A,Lookups!B:B))*Pipeline_tbl[[#This Row],[Pipeline_Amount_USD]]</f>
        <v>96690.23000000001</v>
      </c>
      <c r="O5346" t="str">
        <f>_xlfn.XLOOKUP(Pipeline_tbl[[#This Row],[Rep_ID]],Dim_Reps!A:A,Dim_Reps!B:B)</f>
        <v>Yuki Dubois</v>
      </c>
      <c r="P5346" t="str">
        <f>_xlfn.XLOOKUP(Pipeline_tbl[[#This Row],[Rep_ID]],Dim_Reps!A:A,Dim_Reps!C:C)</f>
        <v>Mid-Market AE</v>
      </c>
      <c r="Q5346" t="str">
        <f>_xlfn.XLOOKUP(Pipeline_tbl[[#This Row],[Rep_ID]],Dim_Reps!A:A,Dim_Reps!D:D)</f>
        <v>Mid-Market</v>
      </c>
      <c r="R5346" t="str">
        <f>_xlfn.XLOOKUP(Pipeline_tbl[[#This Row],[Rep_ID]],Dim_Reps!A:A,Dim_Reps!E:E)</f>
        <v>LATAM</v>
      </c>
      <c r="S5346" t="str">
        <f>_xlfn.XLOOKUP(Pipeline_tbl[[#This Row],[Created_Date]],Dim_Date!A:A,Dim_Date!H:H)</f>
        <v>Dec 2025</v>
      </c>
      <c r="T5346" t="str">
        <f>IF(Pipeline_tbl[[#This Row],[Closed_Date]]=0,"",(_xlfn.XLOOKUP(Pipeline_tbl[[#This Row],[Closed_Date]],Dim_Date!A:A,Dim_Date!H:H)))</f>
        <v/>
      </c>
      <c r="U5346" t="str">
        <f>IF(Pipeline_tbl[[#This Row],[Closed_Date]]=0,"",Pipeline_tbl[[#This Row],[Closed_Date]]-Pipeline_tbl[[#This Row],[Created_Date]])</f>
        <v/>
      </c>
    </row>
    <row r="5347" spans="1:21" ht="15" customHeight="1" x14ac:dyDescent="0.2">
      <c r="A5347" t="s">
        <v>5653</v>
      </c>
      <c r="B5347" t="s">
        <v>267</v>
      </c>
      <c r="C5347" t="s">
        <v>56</v>
      </c>
      <c r="D5347" s="49">
        <v>45992</v>
      </c>
      <c r="E5347" s="49">
        <v>45997</v>
      </c>
      <c r="F5347" s="49">
        <v>46006</v>
      </c>
      <c r="G5347" s="49">
        <v>46020</v>
      </c>
      <c r="J5347" t="s">
        <v>308</v>
      </c>
      <c r="K5347" s="33">
        <v>9600</v>
      </c>
      <c r="M5347" t="str">
        <f>_xlfn.XLOOKUP(Pipeline_tbl[[#This Row],[Rep_ID]],Dim_Reps!A:A,Dim_Reps!K:K)</f>
        <v>MXN</v>
      </c>
      <c r="N5347" s="33">
        <f>(_xlfn.XLOOKUP(Pipeline_tbl[[#This Row],[Rate_Code_Generalized]],Lookups!A:A,Lookups!B:B))*Pipeline_tbl[[#This Row],[Pipeline_Amount_USD]]</f>
        <v>189433.92</v>
      </c>
      <c r="O5347" t="str">
        <f>_xlfn.XLOOKUP(Pipeline_tbl[[#This Row],[Rep_ID]],Dim_Reps!A:A,Dim_Reps!B:B)</f>
        <v>Yuki Dubois</v>
      </c>
      <c r="P5347" t="str">
        <f>_xlfn.XLOOKUP(Pipeline_tbl[[#This Row],[Rep_ID]],Dim_Reps!A:A,Dim_Reps!C:C)</f>
        <v>Mid-Market AE</v>
      </c>
      <c r="Q5347" t="str">
        <f>_xlfn.XLOOKUP(Pipeline_tbl[[#This Row],[Rep_ID]],Dim_Reps!A:A,Dim_Reps!D:D)</f>
        <v>Mid-Market</v>
      </c>
      <c r="R5347" t="str">
        <f>_xlfn.XLOOKUP(Pipeline_tbl[[#This Row],[Rep_ID]],Dim_Reps!A:A,Dim_Reps!E:E)</f>
        <v>LATAM</v>
      </c>
      <c r="S5347" t="str">
        <f>_xlfn.XLOOKUP(Pipeline_tbl[[#This Row],[Created_Date]],Dim_Date!A:A,Dim_Date!H:H)</f>
        <v>Dec 2025</v>
      </c>
      <c r="T5347" t="str">
        <f>IF(Pipeline_tbl[[#This Row],[Closed_Date]]=0,"",(_xlfn.XLOOKUP(Pipeline_tbl[[#This Row],[Closed_Date]],Dim_Date!A:A,Dim_Date!H:H)))</f>
        <v/>
      </c>
      <c r="U5347" t="str">
        <f>IF(Pipeline_tbl[[#This Row],[Closed_Date]]=0,"",Pipeline_tbl[[#This Row],[Closed_Date]]-Pipeline_tbl[[#This Row],[Created_Date]])</f>
        <v/>
      </c>
    </row>
    <row r="5348" spans="1:21" ht="15" customHeight="1" x14ac:dyDescent="0.2">
      <c r="A5348" t="s">
        <v>5654</v>
      </c>
      <c r="B5348" t="s">
        <v>267</v>
      </c>
      <c r="C5348" t="s">
        <v>52</v>
      </c>
      <c r="D5348" s="49">
        <v>46004</v>
      </c>
      <c r="E5348" s="49">
        <v>46007</v>
      </c>
      <c r="F5348" s="49">
        <v>46014</v>
      </c>
      <c r="J5348" t="s">
        <v>308</v>
      </c>
      <c r="K5348" s="33">
        <v>14600</v>
      </c>
      <c r="M5348" t="str">
        <f>_xlfn.XLOOKUP(Pipeline_tbl[[#This Row],[Rep_ID]],Dim_Reps!A:A,Dim_Reps!K:K)</f>
        <v>MXN</v>
      </c>
      <c r="N5348" s="33">
        <f>(_xlfn.XLOOKUP(Pipeline_tbl[[#This Row],[Rate_Code_Generalized]],Lookups!A:A,Lookups!B:B))*Pipeline_tbl[[#This Row],[Pipeline_Amount_USD]]</f>
        <v>288097.42000000004</v>
      </c>
      <c r="O5348" t="str">
        <f>_xlfn.XLOOKUP(Pipeline_tbl[[#This Row],[Rep_ID]],Dim_Reps!A:A,Dim_Reps!B:B)</f>
        <v>Yuki Dubois</v>
      </c>
      <c r="P5348" t="str">
        <f>_xlfn.XLOOKUP(Pipeline_tbl[[#This Row],[Rep_ID]],Dim_Reps!A:A,Dim_Reps!C:C)</f>
        <v>Mid-Market AE</v>
      </c>
      <c r="Q5348" t="str">
        <f>_xlfn.XLOOKUP(Pipeline_tbl[[#This Row],[Rep_ID]],Dim_Reps!A:A,Dim_Reps!D:D)</f>
        <v>Mid-Market</v>
      </c>
      <c r="R5348" t="str">
        <f>_xlfn.XLOOKUP(Pipeline_tbl[[#This Row],[Rep_ID]],Dim_Reps!A:A,Dim_Reps!E:E)</f>
        <v>LATAM</v>
      </c>
      <c r="S5348" t="str">
        <f>_xlfn.XLOOKUP(Pipeline_tbl[[#This Row],[Created_Date]],Dim_Date!A:A,Dim_Date!H:H)</f>
        <v>Dec 2025</v>
      </c>
      <c r="T5348" t="str">
        <f>IF(Pipeline_tbl[[#This Row],[Closed_Date]]=0,"",(_xlfn.XLOOKUP(Pipeline_tbl[[#This Row],[Closed_Date]],Dim_Date!A:A,Dim_Date!H:H)))</f>
        <v/>
      </c>
      <c r="U5348" t="str">
        <f>IF(Pipeline_tbl[[#This Row],[Closed_Date]]=0,"",Pipeline_tbl[[#This Row],[Closed_Date]]-Pipeline_tbl[[#This Row],[Created_Date]])</f>
        <v/>
      </c>
    </row>
    <row r="5349" spans="1:21" ht="15" customHeight="1" x14ac:dyDescent="0.2">
      <c r="A5349" t="s">
        <v>5655</v>
      </c>
      <c r="B5349" t="s">
        <v>267</v>
      </c>
      <c r="C5349" t="s">
        <v>54</v>
      </c>
      <c r="D5349" s="49">
        <v>45997</v>
      </c>
      <c r="E5349" s="49">
        <v>46001</v>
      </c>
      <c r="F5349" s="49">
        <v>46008</v>
      </c>
      <c r="G5349" s="49">
        <v>46018</v>
      </c>
      <c r="J5349" t="s">
        <v>308</v>
      </c>
      <c r="K5349" s="33">
        <v>17000</v>
      </c>
      <c r="M5349" t="str">
        <f>_xlfn.XLOOKUP(Pipeline_tbl[[#This Row],[Rep_ID]],Dim_Reps!A:A,Dim_Reps!K:K)</f>
        <v>MXN</v>
      </c>
      <c r="N5349" s="33">
        <f>(_xlfn.XLOOKUP(Pipeline_tbl[[#This Row],[Rate_Code_Generalized]],Lookups!A:A,Lookups!B:B))*Pipeline_tbl[[#This Row],[Pipeline_Amount_USD]]</f>
        <v>335455.90000000002</v>
      </c>
      <c r="O5349" t="str">
        <f>_xlfn.XLOOKUP(Pipeline_tbl[[#This Row],[Rep_ID]],Dim_Reps!A:A,Dim_Reps!B:B)</f>
        <v>Yuki Dubois</v>
      </c>
      <c r="P5349" t="str">
        <f>_xlfn.XLOOKUP(Pipeline_tbl[[#This Row],[Rep_ID]],Dim_Reps!A:A,Dim_Reps!C:C)</f>
        <v>Mid-Market AE</v>
      </c>
      <c r="Q5349" t="str">
        <f>_xlfn.XLOOKUP(Pipeline_tbl[[#This Row],[Rep_ID]],Dim_Reps!A:A,Dim_Reps!D:D)</f>
        <v>Mid-Market</v>
      </c>
      <c r="R5349" t="str">
        <f>_xlfn.XLOOKUP(Pipeline_tbl[[#This Row],[Rep_ID]],Dim_Reps!A:A,Dim_Reps!E:E)</f>
        <v>LATAM</v>
      </c>
      <c r="S5349" t="str">
        <f>_xlfn.XLOOKUP(Pipeline_tbl[[#This Row],[Created_Date]],Dim_Date!A:A,Dim_Date!H:H)</f>
        <v>Dec 2025</v>
      </c>
      <c r="T5349" t="str">
        <f>IF(Pipeline_tbl[[#This Row],[Closed_Date]]=0,"",(_xlfn.XLOOKUP(Pipeline_tbl[[#This Row],[Closed_Date]],Dim_Date!A:A,Dim_Date!H:H)))</f>
        <v/>
      </c>
      <c r="U5349" t="str">
        <f>IF(Pipeline_tbl[[#This Row],[Closed_Date]]=0,"",Pipeline_tbl[[#This Row],[Closed_Date]]-Pipeline_tbl[[#This Row],[Created_Date]])</f>
        <v/>
      </c>
    </row>
    <row r="5350" spans="1:21" ht="15" customHeight="1" x14ac:dyDescent="0.2">
      <c r="A5350" t="s">
        <v>5656</v>
      </c>
      <c r="B5350" t="s">
        <v>235</v>
      </c>
      <c r="C5350" t="s">
        <v>52</v>
      </c>
      <c r="D5350" s="49">
        <v>46015</v>
      </c>
      <c r="E5350" s="49">
        <v>46017</v>
      </c>
      <c r="F5350" s="49">
        <v>46021</v>
      </c>
      <c r="J5350" t="s">
        <v>308</v>
      </c>
      <c r="K5350" s="33">
        <v>2100</v>
      </c>
      <c r="M5350" t="str">
        <f>_xlfn.XLOOKUP(Pipeline_tbl[[#This Row],[Rep_ID]],Dim_Reps!A:A,Dim_Reps!K:K)</f>
        <v>MXN</v>
      </c>
      <c r="N5350" s="33">
        <f>(_xlfn.XLOOKUP(Pipeline_tbl[[#This Row],[Rate_Code_Generalized]],Lookups!A:A,Lookups!B:B))*Pipeline_tbl[[#This Row],[Pipeline_Amount_USD]]</f>
        <v>41438.670000000006</v>
      </c>
      <c r="O5350" t="str">
        <f>_xlfn.XLOOKUP(Pipeline_tbl[[#This Row],[Rep_ID]],Dim_Reps!A:A,Dim_Reps!B:B)</f>
        <v>Milo Castro</v>
      </c>
      <c r="P5350" t="str">
        <f>_xlfn.XLOOKUP(Pipeline_tbl[[#This Row],[Rep_ID]],Dim_Reps!A:A,Dim_Reps!C:C)</f>
        <v>SDR / Inside Sales Rep</v>
      </c>
      <c r="Q5350" t="str">
        <f>_xlfn.XLOOKUP(Pipeline_tbl[[#This Row],[Rep_ID]],Dim_Reps!A:A,Dim_Reps!D:D)</f>
        <v>Inside Sales</v>
      </c>
      <c r="R5350" t="str">
        <f>_xlfn.XLOOKUP(Pipeline_tbl[[#This Row],[Rep_ID]],Dim_Reps!A:A,Dim_Reps!E:E)</f>
        <v>LATAM</v>
      </c>
      <c r="S5350" t="str">
        <f>_xlfn.XLOOKUP(Pipeline_tbl[[#This Row],[Created_Date]],Dim_Date!A:A,Dim_Date!H:H)</f>
        <v>Dec 2025</v>
      </c>
      <c r="T5350" t="str">
        <f>IF(Pipeline_tbl[[#This Row],[Closed_Date]]=0,"",(_xlfn.XLOOKUP(Pipeline_tbl[[#This Row],[Closed_Date]],Dim_Date!A:A,Dim_Date!H:H)))</f>
        <v/>
      </c>
      <c r="U5350" t="str">
        <f>IF(Pipeline_tbl[[#This Row],[Closed_Date]]=0,"",Pipeline_tbl[[#This Row],[Closed_Date]]-Pipeline_tbl[[#This Row],[Created_Date]])</f>
        <v/>
      </c>
    </row>
    <row r="5351" spans="1:21" ht="15" customHeight="1" x14ac:dyDescent="0.2">
      <c r="A5351" t="s">
        <v>5657</v>
      </c>
      <c r="B5351" t="s">
        <v>235</v>
      </c>
      <c r="C5351" t="s">
        <v>52</v>
      </c>
      <c r="D5351" s="49">
        <v>46022</v>
      </c>
      <c r="J5351" t="s">
        <v>308</v>
      </c>
      <c r="K5351" s="33">
        <v>3400</v>
      </c>
      <c r="M5351" t="str">
        <f>_xlfn.XLOOKUP(Pipeline_tbl[[#This Row],[Rep_ID]],Dim_Reps!A:A,Dim_Reps!K:K)</f>
        <v>MXN</v>
      </c>
      <c r="N5351" s="33">
        <f>(_xlfn.XLOOKUP(Pipeline_tbl[[#This Row],[Rate_Code_Generalized]],Lookups!A:A,Lookups!B:B))*Pipeline_tbl[[#This Row],[Pipeline_Amount_USD]]</f>
        <v>67091.180000000008</v>
      </c>
      <c r="O5351" t="str">
        <f>_xlfn.XLOOKUP(Pipeline_tbl[[#This Row],[Rep_ID]],Dim_Reps!A:A,Dim_Reps!B:B)</f>
        <v>Milo Castro</v>
      </c>
      <c r="P5351" t="str">
        <f>_xlfn.XLOOKUP(Pipeline_tbl[[#This Row],[Rep_ID]],Dim_Reps!A:A,Dim_Reps!C:C)</f>
        <v>SDR / Inside Sales Rep</v>
      </c>
      <c r="Q5351" t="str">
        <f>_xlfn.XLOOKUP(Pipeline_tbl[[#This Row],[Rep_ID]],Dim_Reps!A:A,Dim_Reps!D:D)</f>
        <v>Inside Sales</v>
      </c>
      <c r="R5351" t="str">
        <f>_xlfn.XLOOKUP(Pipeline_tbl[[#This Row],[Rep_ID]],Dim_Reps!A:A,Dim_Reps!E:E)</f>
        <v>LATAM</v>
      </c>
      <c r="S5351" t="str">
        <f>_xlfn.XLOOKUP(Pipeline_tbl[[#This Row],[Created_Date]],Dim_Date!A:A,Dim_Date!H:H)</f>
        <v>Dec 2025</v>
      </c>
      <c r="T5351" t="str">
        <f>IF(Pipeline_tbl[[#This Row],[Closed_Date]]=0,"",(_xlfn.XLOOKUP(Pipeline_tbl[[#This Row],[Closed_Date]],Dim_Date!A:A,Dim_Date!H:H)))</f>
        <v/>
      </c>
      <c r="U5351" t="str">
        <f>IF(Pipeline_tbl[[#This Row],[Closed_Date]]=0,"",Pipeline_tbl[[#This Row],[Closed_Date]]-Pipeline_tbl[[#This Row],[Created_Date]])</f>
        <v/>
      </c>
    </row>
    <row r="5352" spans="1:21" ht="15" customHeight="1" x14ac:dyDescent="0.2">
      <c r="A5352" t="s">
        <v>5658</v>
      </c>
      <c r="B5352" t="s">
        <v>235</v>
      </c>
      <c r="C5352" t="s">
        <v>56</v>
      </c>
      <c r="D5352" s="49">
        <v>46020</v>
      </c>
      <c r="E5352" s="49">
        <v>46022</v>
      </c>
      <c r="J5352" t="s">
        <v>308</v>
      </c>
      <c r="K5352" s="33">
        <v>4300</v>
      </c>
      <c r="M5352" t="str">
        <f>_xlfn.XLOOKUP(Pipeline_tbl[[#This Row],[Rep_ID]],Dim_Reps!A:A,Dim_Reps!K:K)</f>
        <v>MXN</v>
      </c>
      <c r="N5352" s="33">
        <f>(_xlfn.XLOOKUP(Pipeline_tbl[[#This Row],[Rate_Code_Generalized]],Lookups!A:A,Lookups!B:B))*Pipeline_tbl[[#This Row],[Pipeline_Amount_USD]]</f>
        <v>84850.61</v>
      </c>
      <c r="O5352" t="str">
        <f>_xlfn.XLOOKUP(Pipeline_tbl[[#This Row],[Rep_ID]],Dim_Reps!A:A,Dim_Reps!B:B)</f>
        <v>Milo Castro</v>
      </c>
      <c r="P5352" t="str">
        <f>_xlfn.XLOOKUP(Pipeline_tbl[[#This Row],[Rep_ID]],Dim_Reps!A:A,Dim_Reps!C:C)</f>
        <v>SDR / Inside Sales Rep</v>
      </c>
      <c r="Q5352" t="str">
        <f>_xlfn.XLOOKUP(Pipeline_tbl[[#This Row],[Rep_ID]],Dim_Reps!A:A,Dim_Reps!D:D)</f>
        <v>Inside Sales</v>
      </c>
      <c r="R5352" t="str">
        <f>_xlfn.XLOOKUP(Pipeline_tbl[[#This Row],[Rep_ID]],Dim_Reps!A:A,Dim_Reps!E:E)</f>
        <v>LATAM</v>
      </c>
      <c r="S5352" t="str">
        <f>_xlfn.XLOOKUP(Pipeline_tbl[[#This Row],[Created_Date]],Dim_Date!A:A,Dim_Date!H:H)</f>
        <v>Dec 2025</v>
      </c>
      <c r="T5352" t="str">
        <f>IF(Pipeline_tbl[[#This Row],[Closed_Date]]=0,"",(_xlfn.XLOOKUP(Pipeline_tbl[[#This Row],[Closed_Date]],Dim_Date!A:A,Dim_Date!H:H)))</f>
        <v/>
      </c>
      <c r="U5352" t="str">
        <f>IF(Pipeline_tbl[[#This Row],[Closed_Date]]=0,"",Pipeline_tbl[[#This Row],[Closed_Date]]-Pipeline_tbl[[#This Row],[Created_Date]])</f>
        <v/>
      </c>
    </row>
    <row r="5353" spans="1:21" ht="15" customHeight="1" x14ac:dyDescent="0.2">
      <c r="A5353" t="s">
        <v>5659</v>
      </c>
      <c r="B5353" t="s">
        <v>235</v>
      </c>
      <c r="C5353" t="s">
        <v>55</v>
      </c>
      <c r="D5353" s="49">
        <v>46002</v>
      </c>
      <c r="E5353" s="49">
        <v>46005</v>
      </c>
      <c r="F5353" s="49">
        <v>46011</v>
      </c>
      <c r="G5353" s="49">
        <v>46021</v>
      </c>
      <c r="J5353" t="s">
        <v>308</v>
      </c>
      <c r="K5353" s="33">
        <v>4400</v>
      </c>
      <c r="M5353" t="str">
        <f>_xlfn.XLOOKUP(Pipeline_tbl[[#This Row],[Rep_ID]],Dim_Reps!A:A,Dim_Reps!K:K)</f>
        <v>MXN</v>
      </c>
      <c r="N5353" s="33">
        <f>(_xlfn.XLOOKUP(Pipeline_tbl[[#This Row],[Rate_Code_Generalized]],Lookups!A:A,Lookups!B:B))*Pipeline_tbl[[#This Row],[Pipeline_Amount_USD]]</f>
        <v>86823.88</v>
      </c>
      <c r="O5353" t="str">
        <f>_xlfn.XLOOKUP(Pipeline_tbl[[#This Row],[Rep_ID]],Dim_Reps!A:A,Dim_Reps!B:B)</f>
        <v>Milo Castro</v>
      </c>
      <c r="P5353" t="str">
        <f>_xlfn.XLOOKUP(Pipeline_tbl[[#This Row],[Rep_ID]],Dim_Reps!A:A,Dim_Reps!C:C)</f>
        <v>SDR / Inside Sales Rep</v>
      </c>
      <c r="Q5353" t="str">
        <f>_xlfn.XLOOKUP(Pipeline_tbl[[#This Row],[Rep_ID]],Dim_Reps!A:A,Dim_Reps!D:D)</f>
        <v>Inside Sales</v>
      </c>
      <c r="R5353" t="str">
        <f>_xlfn.XLOOKUP(Pipeline_tbl[[#This Row],[Rep_ID]],Dim_Reps!A:A,Dim_Reps!E:E)</f>
        <v>LATAM</v>
      </c>
      <c r="S5353" t="str">
        <f>_xlfn.XLOOKUP(Pipeline_tbl[[#This Row],[Created_Date]],Dim_Date!A:A,Dim_Date!H:H)</f>
        <v>Dec 2025</v>
      </c>
      <c r="T5353" t="str">
        <f>IF(Pipeline_tbl[[#This Row],[Closed_Date]]=0,"",(_xlfn.XLOOKUP(Pipeline_tbl[[#This Row],[Closed_Date]],Dim_Date!A:A,Dim_Date!H:H)))</f>
        <v/>
      </c>
      <c r="U5353" t="str">
        <f>IF(Pipeline_tbl[[#This Row],[Closed_Date]]=0,"",Pipeline_tbl[[#This Row],[Closed_Date]]-Pipeline_tbl[[#This Row],[Created_Date]])</f>
        <v/>
      </c>
    </row>
    <row r="5354" spans="1:21" ht="15" customHeight="1" x14ac:dyDescent="0.2">
      <c r="A5354" t="s">
        <v>5660</v>
      </c>
      <c r="B5354" t="s">
        <v>235</v>
      </c>
      <c r="C5354" t="s">
        <v>52</v>
      </c>
      <c r="D5354" s="49">
        <v>46016</v>
      </c>
      <c r="E5354" s="49">
        <v>46017</v>
      </c>
      <c r="F5354" s="49">
        <v>46018</v>
      </c>
      <c r="G5354" s="49">
        <v>46021</v>
      </c>
      <c r="J5354" t="s">
        <v>308</v>
      </c>
      <c r="K5354" s="33">
        <v>10900</v>
      </c>
      <c r="M5354" t="str">
        <f>_xlfn.XLOOKUP(Pipeline_tbl[[#This Row],[Rep_ID]],Dim_Reps!A:A,Dim_Reps!K:K)</f>
        <v>MXN</v>
      </c>
      <c r="N5354" s="33">
        <f>(_xlfn.XLOOKUP(Pipeline_tbl[[#This Row],[Rate_Code_Generalized]],Lookups!A:A,Lookups!B:B))*Pipeline_tbl[[#This Row],[Pipeline_Amount_USD]]</f>
        <v>215086.43000000002</v>
      </c>
      <c r="O5354" t="str">
        <f>_xlfn.XLOOKUP(Pipeline_tbl[[#This Row],[Rep_ID]],Dim_Reps!A:A,Dim_Reps!B:B)</f>
        <v>Milo Castro</v>
      </c>
      <c r="P5354" t="str">
        <f>_xlfn.XLOOKUP(Pipeline_tbl[[#This Row],[Rep_ID]],Dim_Reps!A:A,Dim_Reps!C:C)</f>
        <v>SDR / Inside Sales Rep</v>
      </c>
      <c r="Q5354" t="str">
        <f>_xlfn.XLOOKUP(Pipeline_tbl[[#This Row],[Rep_ID]],Dim_Reps!A:A,Dim_Reps!D:D)</f>
        <v>Inside Sales</v>
      </c>
      <c r="R5354" t="str">
        <f>_xlfn.XLOOKUP(Pipeline_tbl[[#This Row],[Rep_ID]],Dim_Reps!A:A,Dim_Reps!E:E)</f>
        <v>LATAM</v>
      </c>
      <c r="S5354" t="str">
        <f>_xlfn.XLOOKUP(Pipeline_tbl[[#This Row],[Created_Date]],Dim_Date!A:A,Dim_Date!H:H)</f>
        <v>Dec 2025</v>
      </c>
      <c r="T5354" t="str">
        <f>IF(Pipeline_tbl[[#This Row],[Closed_Date]]=0,"",(_xlfn.XLOOKUP(Pipeline_tbl[[#This Row],[Closed_Date]],Dim_Date!A:A,Dim_Date!H:H)))</f>
        <v/>
      </c>
      <c r="U5354" t="str">
        <f>IF(Pipeline_tbl[[#This Row],[Closed_Date]]=0,"",Pipeline_tbl[[#This Row],[Closed_Date]]-Pipeline_tbl[[#This Row],[Created_Date]])</f>
        <v/>
      </c>
    </row>
    <row r="5355" spans="1:21" ht="15" customHeight="1" x14ac:dyDescent="0.2">
      <c r="A5355" t="s">
        <v>5661</v>
      </c>
      <c r="B5355" t="s">
        <v>235</v>
      </c>
      <c r="C5355" t="s">
        <v>53</v>
      </c>
      <c r="D5355" s="49">
        <v>46018</v>
      </c>
      <c r="E5355" s="49">
        <v>46021</v>
      </c>
      <c r="J5355" t="s">
        <v>308</v>
      </c>
      <c r="K5355" s="33">
        <v>3600</v>
      </c>
      <c r="M5355" t="str">
        <f>_xlfn.XLOOKUP(Pipeline_tbl[[#This Row],[Rep_ID]],Dim_Reps!A:A,Dim_Reps!K:K)</f>
        <v>MXN</v>
      </c>
      <c r="N5355" s="33">
        <f>(_xlfn.XLOOKUP(Pipeline_tbl[[#This Row],[Rate_Code_Generalized]],Lookups!A:A,Lookups!B:B))*Pipeline_tbl[[#This Row],[Pipeline_Amount_USD]]</f>
        <v>71037.72</v>
      </c>
      <c r="O5355" t="str">
        <f>_xlfn.XLOOKUP(Pipeline_tbl[[#This Row],[Rep_ID]],Dim_Reps!A:A,Dim_Reps!B:B)</f>
        <v>Milo Castro</v>
      </c>
      <c r="P5355" t="str">
        <f>_xlfn.XLOOKUP(Pipeline_tbl[[#This Row],[Rep_ID]],Dim_Reps!A:A,Dim_Reps!C:C)</f>
        <v>SDR / Inside Sales Rep</v>
      </c>
      <c r="Q5355" t="str">
        <f>_xlfn.XLOOKUP(Pipeline_tbl[[#This Row],[Rep_ID]],Dim_Reps!A:A,Dim_Reps!D:D)</f>
        <v>Inside Sales</v>
      </c>
      <c r="R5355" t="str">
        <f>_xlfn.XLOOKUP(Pipeline_tbl[[#This Row],[Rep_ID]],Dim_Reps!A:A,Dim_Reps!E:E)</f>
        <v>LATAM</v>
      </c>
      <c r="S5355" t="str">
        <f>_xlfn.XLOOKUP(Pipeline_tbl[[#This Row],[Created_Date]],Dim_Date!A:A,Dim_Date!H:H)</f>
        <v>Dec 2025</v>
      </c>
      <c r="T5355" t="str">
        <f>IF(Pipeline_tbl[[#This Row],[Closed_Date]]=0,"",(_xlfn.XLOOKUP(Pipeline_tbl[[#This Row],[Closed_Date]],Dim_Date!A:A,Dim_Date!H:H)))</f>
        <v/>
      </c>
      <c r="U5355" t="str">
        <f>IF(Pipeline_tbl[[#This Row],[Closed_Date]]=0,"",Pipeline_tbl[[#This Row],[Closed_Date]]-Pipeline_tbl[[#This Row],[Created_Date]])</f>
        <v/>
      </c>
    </row>
    <row r="5356" spans="1:21" ht="15" customHeight="1" x14ac:dyDescent="0.2">
      <c r="A5356" t="s">
        <v>5662</v>
      </c>
      <c r="B5356" t="s">
        <v>235</v>
      </c>
      <c r="C5356" t="s">
        <v>52</v>
      </c>
      <c r="D5356" s="49">
        <v>46008</v>
      </c>
      <c r="E5356" s="49">
        <v>46010</v>
      </c>
      <c r="F5356" s="49">
        <v>46015</v>
      </c>
      <c r="G5356" s="49">
        <v>46021</v>
      </c>
      <c r="J5356" t="s">
        <v>308</v>
      </c>
      <c r="K5356" s="33">
        <v>4200</v>
      </c>
      <c r="M5356" t="str">
        <f>_xlfn.XLOOKUP(Pipeline_tbl[[#This Row],[Rep_ID]],Dim_Reps!A:A,Dim_Reps!K:K)</f>
        <v>MXN</v>
      </c>
      <c r="N5356" s="33">
        <f>(_xlfn.XLOOKUP(Pipeline_tbl[[#This Row],[Rate_Code_Generalized]],Lookups!A:A,Lookups!B:B))*Pipeline_tbl[[#This Row],[Pipeline_Amount_USD]]</f>
        <v>82877.340000000011</v>
      </c>
      <c r="O5356" t="str">
        <f>_xlfn.XLOOKUP(Pipeline_tbl[[#This Row],[Rep_ID]],Dim_Reps!A:A,Dim_Reps!B:B)</f>
        <v>Milo Castro</v>
      </c>
      <c r="P5356" t="str">
        <f>_xlfn.XLOOKUP(Pipeline_tbl[[#This Row],[Rep_ID]],Dim_Reps!A:A,Dim_Reps!C:C)</f>
        <v>SDR / Inside Sales Rep</v>
      </c>
      <c r="Q5356" t="str">
        <f>_xlfn.XLOOKUP(Pipeline_tbl[[#This Row],[Rep_ID]],Dim_Reps!A:A,Dim_Reps!D:D)</f>
        <v>Inside Sales</v>
      </c>
      <c r="R5356" t="str">
        <f>_xlfn.XLOOKUP(Pipeline_tbl[[#This Row],[Rep_ID]],Dim_Reps!A:A,Dim_Reps!E:E)</f>
        <v>LATAM</v>
      </c>
      <c r="S5356" t="str">
        <f>_xlfn.XLOOKUP(Pipeline_tbl[[#This Row],[Created_Date]],Dim_Date!A:A,Dim_Date!H:H)</f>
        <v>Dec 2025</v>
      </c>
      <c r="T5356" t="str">
        <f>IF(Pipeline_tbl[[#This Row],[Closed_Date]]=0,"",(_xlfn.XLOOKUP(Pipeline_tbl[[#This Row],[Closed_Date]],Dim_Date!A:A,Dim_Date!H:H)))</f>
        <v/>
      </c>
      <c r="U5356" t="str">
        <f>IF(Pipeline_tbl[[#This Row],[Closed_Date]]=0,"",Pipeline_tbl[[#This Row],[Closed_Date]]-Pipeline_tbl[[#This Row],[Created_Date]])</f>
        <v/>
      </c>
    </row>
    <row r="5357" spans="1:21" ht="15" customHeight="1" x14ac:dyDescent="0.2">
      <c r="A5357" t="s">
        <v>5663</v>
      </c>
      <c r="B5357" t="s">
        <v>237</v>
      </c>
      <c r="C5357" t="s">
        <v>52</v>
      </c>
      <c r="D5357" s="49">
        <v>46011</v>
      </c>
      <c r="E5357" s="49">
        <v>46013</v>
      </c>
      <c r="F5357" s="49">
        <v>46016</v>
      </c>
      <c r="G5357" s="49">
        <v>46021</v>
      </c>
      <c r="J5357" t="s">
        <v>308</v>
      </c>
      <c r="K5357" s="33">
        <v>10400</v>
      </c>
      <c r="M5357" t="str">
        <f>_xlfn.XLOOKUP(Pipeline_tbl[[#This Row],[Rep_ID]],Dim_Reps!A:A,Dim_Reps!K:K)</f>
        <v>EUR</v>
      </c>
      <c r="N5357" s="33">
        <f>(_xlfn.XLOOKUP(Pipeline_tbl[[#This Row],[Rate_Code_Generalized]],Lookups!A:A,Lookups!B:B))*Pipeline_tbl[[#This Row],[Pipeline_Amount_USD]]</f>
        <v>10400</v>
      </c>
      <c r="O5357" t="str">
        <f>_xlfn.XLOOKUP(Pipeline_tbl[[#This Row],[Rep_ID]],Dim_Reps!A:A,Dim_Reps!B:B)</f>
        <v>Hugo Santos</v>
      </c>
      <c r="P5357" t="str">
        <f>_xlfn.XLOOKUP(Pipeline_tbl[[#This Row],[Rep_ID]],Dim_Reps!A:A,Dim_Reps!C:C)</f>
        <v>SDR / Inside Sales Rep</v>
      </c>
      <c r="Q5357" t="str">
        <f>_xlfn.XLOOKUP(Pipeline_tbl[[#This Row],[Rep_ID]],Dim_Reps!A:A,Dim_Reps!D:D)</f>
        <v>Inside Sales</v>
      </c>
      <c r="R5357" t="str">
        <f>_xlfn.XLOOKUP(Pipeline_tbl[[#This Row],[Rep_ID]],Dim_Reps!A:A,Dim_Reps!E:E)</f>
        <v>EMEA</v>
      </c>
      <c r="S5357" t="str">
        <f>_xlfn.XLOOKUP(Pipeline_tbl[[#This Row],[Created_Date]],Dim_Date!A:A,Dim_Date!H:H)</f>
        <v>Dec 2025</v>
      </c>
      <c r="T5357" t="str">
        <f>IF(Pipeline_tbl[[#This Row],[Closed_Date]]=0,"",(_xlfn.XLOOKUP(Pipeline_tbl[[#This Row],[Closed_Date]],Dim_Date!A:A,Dim_Date!H:H)))</f>
        <v/>
      </c>
      <c r="U5357" t="str">
        <f>IF(Pipeline_tbl[[#This Row],[Closed_Date]]=0,"",Pipeline_tbl[[#This Row],[Closed_Date]]-Pipeline_tbl[[#This Row],[Created_Date]])</f>
        <v/>
      </c>
    </row>
    <row r="5358" spans="1:21" ht="15" customHeight="1" x14ac:dyDescent="0.2">
      <c r="A5358" t="s">
        <v>5664</v>
      </c>
      <c r="B5358" t="s">
        <v>237</v>
      </c>
      <c r="C5358" t="s">
        <v>52</v>
      </c>
      <c r="D5358" s="49">
        <v>46012</v>
      </c>
      <c r="E5358" s="49">
        <v>46013</v>
      </c>
      <c r="F5358" s="49">
        <v>46016</v>
      </c>
      <c r="G5358" s="49">
        <v>46020</v>
      </c>
      <c r="J5358" t="s">
        <v>308</v>
      </c>
      <c r="K5358" s="33">
        <v>7500</v>
      </c>
      <c r="M5358" t="str">
        <f>_xlfn.XLOOKUP(Pipeline_tbl[[#This Row],[Rep_ID]],Dim_Reps!A:A,Dim_Reps!K:K)</f>
        <v>EUR</v>
      </c>
      <c r="N5358" s="33">
        <f>(_xlfn.XLOOKUP(Pipeline_tbl[[#This Row],[Rate_Code_Generalized]],Lookups!A:A,Lookups!B:B))*Pipeline_tbl[[#This Row],[Pipeline_Amount_USD]]</f>
        <v>7500</v>
      </c>
      <c r="O5358" t="str">
        <f>_xlfn.XLOOKUP(Pipeline_tbl[[#This Row],[Rep_ID]],Dim_Reps!A:A,Dim_Reps!B:B)</f>
        <v>Hugo Santos</v>
      </c>
      <c r="P5358" t="str">
        <f>_xlfn.XLOOKUP(Pipeline_tbl[[#This Row],[Rep_ID]],Dim_Reps!A:A,Dim_Reps!C:C)</f>
        <v>SDR / Inside Sales Rep</v>
      </c>
      <c r="Q5358" t="str">
        <f>_xlfn.XLOOKUP(Pipeline_tbl[[#This Row],[Rep_ID]],Dim_Reps!A:A,Dim_Reps!D:D)</f>
        <v>Inside Sales</v>
      </c>
      <c r="R5358" t="str">
        <f>_xlfn.XLOOKUP(Pipeline_tbl[[#This Row],[Rep_ID]],Dim_Reps!A:A,Dim_Reps!E:E)</f>
        <v>EMEA</v>
      </c>
      <c r="S5358" t="str">
        <f>_xlfn.XLOOKUP(Pipeline_tbl[[#This Row],[Created_Date]],Dim_Date!A:A,Dim_Date!H:H)</f>
        <v>Dec 2025</v>
      </c>
      <c r="T5358" t="str">
        <f>IF(Pipeline_tbl[[#This Row],[Closed_Date]]=0,"",(_xlfn.XLOOKUP(Pipeline_tbl[[#This Row],[Closed_Date]],Dim_Date!A:A,Dim_Date!H:H)))</f>
        <v/>
      </c>
      <c r="U5358" t="str">
        <f>IF(Pipeline_tbl[[#This Row],[Closed_Date]]=0,"",Pipeline_tbl[[#This Row],[Closed_Date]]-Pipeline_tbl[[#This Row],[Created_Date]])</f>
        <v/>
      </c>
    </row>
    <row r="5359" spans="1:21" ht="15" customHeight="1" x14ac:dyDescent="0.2">
      <c r="A5359" t="s">
        <v>5665</v>
      </c>
      <c r="B5359" t="s">
        <v>237</v>
      </c>
      <c r="C5359" t="s">
        <v>53</v>
      </c>
      <c r="D5359" s="49">
        <v>46021</v>
      </c>
      <c r="J5359" t="s">
        <v>308</v>
      </c>
      <c r="K5359" s="33">
        <v>9700</v>
      </c>
      <c r="M5359" t="str">
        <f>_xlfn.XLOOKUP(Pipeline_tbl[[#This Row],[Rep_ID]],Dim_Reps!A:A,Dim_Reps!K:K)</f>
        <v>EUR</v>
      </c>
      <c r="N5359" s="33">
        <f>(_xlfn.XLOOKUP(Pipeline_tbl[[#This Row],[Rate_Code_Generalized]],Lookups!A:A,Lookups!B:B))*Pipeline_tbl[[#This Row],[Pipeline_Amount_USD]]</f>
        <v>9700</v>
      </c>
      <c r="O5359" t="str">
        <f>_xlfn.XLOOKUP(Pipeline_tbl[[#This Row],[Rep_ID]],Dim_Reps!A:A,Dim_Reps!B:B)</f>
        <v>Hugo Santos</v>
      </c>
      <c r="P5359" t="str">
        <f>_xlfn.XLOOKUP(Pipeline_tbl[[#This Row],[Rep_ID]],Dim_Reps!A:A,Dim_Reps!C:C)</f>
        <v>SDR / Inside Sales Rep</v>
      </c>
      <c r="Q5359" t="str">
        <f>_xlfn.XLOOKUP(Pipeline_tbl[[#This Row],[Rep_ID]],Dim_Reps!A:A,Dim_Reps!D:D)</f>
        <v>Inside Sales</v>
      </c>
      <c r="R5359" t="str">
        <f>_xlfn.XLOOKUP(Pipeline_tbl[[#This Row],[Rep_ID]],Dim_Reps!A:A,Dim_Reps!E:E)</f>
        <v>EMEA</v>
      </c>
      <c r="S5359" t="str">
        <f>_xlfn.XLOOKUP(Pipeline_tbl[[#This Row],[Created_Date]],Dim_Date!A:A,Dim_Date!H:H)</f>
        <v>Dec 2025</v>
      </c>
      <c r="T5359" t="str">
        <f>IF(Pipeline_tbl[[#This Row],[Closed_Date]]=0,"",(_xlfn.XLOOKUP(Pipeline_tbl[[#This Row],[Closed_Date]],Dim_Date!A:A,Dim_Date!H:H)))</f>
        <v/>
      </c>
      <c r="U5359" t="str">
        <f>IF(Pipeline_tbl[[#This Row],[Closed_Date]]=0,"",Pipeline_tbl[[#This Row],[Closed_Date]]-Pipeline_tbl[[#This Row],[Created_Date]])</f>
        <v/>
      </c>
    </row>
    <row r="5360" spans="1:21" ht="15" customHeight="1" x14ac:dyDescent="0.2">
      <c r="A5360" t="s">
        <v>5666</v>
      </c>
      <c r="B5360" t="s">
        <v>237</v>
      </c>
      <c r="C5360" t="s">
        <v>53</v>
      </c>
      <c r="D5360" s="49">
        <v>46008</v>
      </c>
      <c r="E5360" s="49">
        <v>46010</v>
      </c>
      <c r="F5360" s="49">
        <v>46014</v>
      </c>
      <c r="G5360" s="49">
        <v>46019</v>
      </c>
      <c r="J5360" t="s">
        <v>308</v>
      </c>
      <c r="K5360" s="33">
        <v>2100</v>
      </c>
      <c r="M5360" t="str">
        <f>_xlfn.XLOOKUP(Pipeline_tbl[[#This Row],[Rep_ID]],Dim_Reps!A:A,Dim_Reps!K:K)</f>
        <v>EUR</v>
      </c>
      <c r="N5360" s="33">
        <f>(_xlfn.XLOOKUP(Pipeline_tbl[[#This Row],[Rate_Code_Generalized]],Lookups!A:A,Lookups!B:B))*Pipeline_tbl[[#This Row],[Pipeline_Amount_USD]]</f>
        <v>2100</v>
      </c>
      <c r="O5360" t="str">
        <f>_xlfn.XLOOKUP(Pipeline_tbl[[#This Row],[Rep_ID]],Dim_Reps!A:A,Dim_Reps!B:B)</f>
        <v>Hugo Santos</v>
      </c>
      <c r="P5360" t="str">
        <f>_xlfn.XLOOKUP(Pipeline_tbl[[#This Row],[Rep_ID]],Dim_Reps!A:A,Dim_Reps!C:C)</f>
        <v>SDR / Inside Sales Rep</v>
      </c>
      <c r="Q5360" t="str">
        <f>_xlfn.XLOOKUP(Pipeline_tbl[[#This Row],[Rep_ID]],Dim_Reps!A:A,Dim_Reps!D:D)</f>
        <v>Inside Sales</v>
      </c>
      <c r="R5360" t="str">
        <f>_xlfn.XLOOKUP(Pipeline_tbl[[#This Row],[Rep_ID]],Dim_Reps!A:A,Dim_Reps!E:E)</f>
        <v>EMEA</v>
      </c>
      <c r="S5360" t="str">
        <f>_xlfn.XLOOKUP(Pipeline_tbl[[#This Row],[Created_Date]],Dim_Date!A:A,Dim_Date!H:H)</f>
        <v>Dec 2025</v>
      </c>
      <c r="T5360" t="str">
        <f>IF(Pipeline_tbl[[#This Row],[Closed_Date]]=0,"",(_xlfn.XLOOKUP(Pipeline_tbl[[#This Row],[Closed_Date]],Dim_Date!A:A,Dim_Date!H:H)))</f>
        <v/>
      </c>
      <c r="U5360" t="str">
        <f>IF(Pipeline_tbl[[#This Row],[Closed_Date]]=0,"",Pipeline_tbl[[#This Row],[Closed_Date]]-Pipeline_tbl[[#This Row],[Created_Date]])</f>
        <v/>
      </c>
    </row>
    <row r="5361" spans="1:21" ht="15" customHeight="1" x14ac:dyDescent="0.2">
      <c r="A5361" t="s">
        <v>5667</v>
      </c>
      <c r="B5361" t="s">
        <v>237</v>
      </c>
      <c r="C5361" t="s">
        <v>54</v>
      </c>
      <c r="D5361" s="49">
        <v>46019</v>
      </c>
      <c r="E5361" s="49">
        <v>46021</v>
      </c>
      <c r="J5361" t="s">
        <v>308</v>
      </c>
      <c r="K5361" s="33">
        <v>4800</v>
      </c>
      <c r="M5361" t="str">
        <f>_xlfn.XLOOKUP(Pipeline_tbl[[#This Row],[Rep_ID]],Dim_Reps!A:A,Dim_Reps!K:K)</f>
        <v>EUR</v>
      </c>
      <c r="N5361" s="33">
        <f>(_xlfn.XLOOKUP(Pipeline_tbl[[#This Row],[Rate_Code_Generalized]],Lookups!A:A,Lookups!B:B))*Pipeline_tbl[[#This Row],[Pipeline_Amount_USD]]</f>
        <v>4800</v>
      </c>
      <c r="O5361" t="str">
        <f>_xlfn.XLOOKUP(Pipeline_tbl[[#This Row],[Rep_ID]],Dim_Reps!A:A,Dim_Reps!B:B)</f>
        <v>Hugo Santos</v>
      </c>
      <c r="P5361" t="str">
        <f>_xlfn.XLOOKUP(Pipeline_tbl[[#This Row],[Rep_ID]],Dim_Reps!A:A,Dim_Reps!C:C)</f>
        <v>SDR / Inside Sales Rep</v>
      </c>
      <c r="Q5361" t="str">
        <f>_xlfn.XLOOKUP(Pipeline_tbl[[#This Row],[Rep_ID]],Dim_Reps!A:A,Dim_Reps!D:D)</f>
        <v>Inside Sales</v>
      </c>
      <c r="R5361" t="str">
        <f>_xlfn.XLOOKUP(Pipeline_tbl[[#This Row],[Rep_ID]],Dim_Reps!A:A,Dim_Reps!E:E)</f>
        <v>EMEA</v>
      </c>
      <c r="S5361" t="str">
        <f>_xlfn.XLOOKUP(Pipeline_tbl[[#This Row],[Created_Date]],Dim_Date!A:A,Dim_Date!H:H)</f>
        <v>Dec 2025</v>
      </c>
      <c r="T5361" t="str">
        <f>IF(Pipeline_tbl[[#This Row],[Closed_Date]]=0,"",(_xlfn.XLOOKUP(Pipeline_tbl[[#This Row],[Closed_Date]],Dim_Date!A:A,Dim_Date!H:H)))</f>
        <v/>
      </c>
      <c r="U5361" t="str">
        <f>IF(Pipeline_tbl[[#This Row],[Closed_Date]]=0,"",Pipeline_tbl[[#This Row],[Closed_Date]]-Pipeline_tbl[[#This Row],[Created_Date]])</f>
        <v/>
      </c>
    </row>
    <row r="5362" spans="1:21" ht="15" customHeight="1" x14ac:dyDescent="0.2">
      <c r="A5362" t="s">
        <v>5668</v>
      </c>
      <c r="B5362" t="s">
        <v>237</v>
      </c>
      <c r="C5362" t="s">
        <v>52</v>
      </c>
      <c r="D5362" s="49">
        <v>46019</v>
      </c>
      <c r="E5362" s="49">
        <v>46021</v>
      </c>
      <c r="J5362" t="s">
        <v>308</v>
      </c>
      <c r="K5362" s="33">
        <v>3300</v>
      </c>
      <c r="M5362" t="str">
        <f>_xlfn.XLOOKUP(Pipeline_tbl[[#This Row],[Rep_ID]],Dim_Reps!A:A,Dim_Reps!K:K)</f>
        <v>EUR</v>
      </c>
      <c r="N5362" s="33">
        <f>(_xlfn.XLOOKUP(Pipeline_tbl[[#This Row],[Rate_Code_Generalized]],Lookups!A:A,Lookups!B:B))*Pipeline_tbl[[#This Row],[Pipeline_Amount_USD]]</f>
        <v>3300</v>
      </c>
      <c r="O5362" t="str">
        <f>_xlfn.XLOOKUP(Pipeline_tbl[[#This Row],[Rep_ID]],Dim_Reps!A:A,Dim_Reps!B:B)</f>
        <v>Hugo Santos</v>
      </c>
      <c r="P5362" t="str">
        <f>_xlfn.XLOOKUP(Pipeline_tbl[[#This Row],[Rep_ID]],Dim_Reps!A:A,Dim_Reps!C:C)</f>
        <v>SDR / Inside Sales Rep</v>
      </c>
      <c r="Q5362" t="str">
        <f>_xlfn.XLOOKUP(Pipeline_tbl[[#This Row],[Rep_ID]],Dim_Reps!A:A,Dim_Reps!D:D)</f>
        <v>Inside Sales</v>
      </c>
      <c r="R5362" t="str">
        <f>_xlfn.XLOOKUP(Pipeline_tbl[[#This Row],[Rep_ID]],Dim_Reps!A:A,Dim_Reps!E:E)</f>
        <v>EMEA</v>
      </c>
      <c r="S5362" t="str">
        <f>_xlfn.XLOOKUP(Pipeline_tbl[[#This Row],[Created_Date]],Dim_Date!A:A,Dim_Date!H:H)</f>
        <v>Dec 2025</v>
      </c>
      <c r="T5362" t="str">
        <f>IF(Pipeline_tbl[[#This Row],[Closed_Date]]=0,"",(_xlfn.XLOOKUP(Pipeline_tbl[[#This Row],[Closed_Date]],Dim_Date!A:A,Dim_Date!H:H)))</f>
        <v/>
      </c>
      <c r="U5362" t="str">
        <f>IF(Pipeline_tbl[[#This Row],[Closed_Date]]=0,"",Pipeline_tbl[[#This Row],[Closed_Date]]-Pipeline_tbl[[#This Row],[Created_Date]])</f>
        <v/>
      </c>
    </row>
    <row r="5363" spans="1:21" ht="15" customHeight="1" x14ac:dyDescent="0.2">
      <c r="A5363" t="s">
        <v>5669</v>
      </c>
      <c r="B5363" t="s">
        <v>237</v>
      </c>
      <c r="C5363" t="s">
        <v>53</v>
      </c>
      <c r="D5363" s="49">
        <v>46007</v>
      </c>
      <c r="E5363" s="49">
        <v>46009</v>
      </c>
      <c r="F5363" s="49">
        <v>46012</v>
      </c>
      <c r="G5363" s="49">
        <v>46018</v>
      </c>
      <c r="H5363" s="49">
        <v>46022</v>
      </c>
      <c r="J5363" t="s">
        <v>308</v>
      </c>
      <c r="K5363" s="33">
        <v>3700</v>
      </c>
      <c r="M5363" t="str">
        <f>_xlfn.XLOOKUP(Pipeline_tbl[[#This Row],[Rep_ID]],Dim_Reps!A:A,Dim_Reps!K:K)</f>
        <v>EUR</v>
      </c>
      <c r="N5363" s="33">
        <f>(_xlfn.XLOOKUP(Pipeline_tbl[[#This Row],[Rate_Code_Generalized]],Lookups!A:A,Lookups!B:B))*Pipeline_tbl[[#This Row],[Pipeline_Amount_USD]]</f>
        <v>3700</v>
      </c>
      <c r="O5363" t="str">
        <f>_xlfn.XLOOKUP(Pipeline_tbl[[#This Row],[Rep_ID]],Dim_Reps!A:A,Dim_Reps!B:B)</f>
        <v>Hugo Santos</v>
      </c>
      <c r="P5363" t="str">
        <f>_xlfn.XLOOKUP(Pipeline_tbl[[#This Row],[Rep_ID]],Dim_Reps!A:A,Dim_Reps!C:C)</f>
        <v>SDR / Inside Sales Rep</v>
      </c>
      <c r="Q5363" t="str">
        <f>_xlfn.XLOOKUP(Pipeline_tbl[[#This Row],[Rep_ID]],Dim_Reps!A:A,Dim_Reps!D:D)</f>
        <v>Inside Sales</v>
      </c>
      <c r="R5363" t="str">
        <f>_xlfn.XLOOKUP(Pipeline_tbl[[#This Row],[Rep_ID]],Dim_Reps!A:A,Dim_Reps!E:E)</f>
        <v>EMEA</v>
      </c>
      <c r="S5363" t="str">
        <f>_xlfn.XLOOKUP(Pipeline_tbl[[#This Row],[Created_Date]],Dim_Date!A:A,Dim_Date!H:H)</f>
        <v>Dec 2025</v>
      </c>
      <c r="T5363" t="str">
        <f>IF(Pipeline_tbl[[#This Row],[Closed_Date]]=0,"",(_xlfn.XLOOKUP(Pipeline_tbl[[#This Row],[Closed_Date]],Dim_Date!A:A,Dim_Date!H:H)))</f>
        <v/>
      </c>
      <c r="U5363" t="str">
        <f>IF(Pipeline_tbl[[#This Row],[Closed_Date]]=0,"",Pipeline_tbl[[#This Row],[Closed_Date]]-Pipeline_tbl[[#This Row],[Created_Date]])</f>
        <v/>
      </c>
    </row>
    <row r="5364" spans="1:21" ht="15" customHeight="1" x14ac:dyDescent="0.2">
      <c r="A5364" t="s">
        <v>5670</v>
      </c>
      <c r="B5364" t="s">
        <v>237</v>
      </c>
      <c r="C5364" t="s">
        <v>52</v>
      </c>
      <c r="D5364" s="49">
        <v>46019</v>
      </c>
      <c r="E5364" s="49">
        <v>46021</v>
      </c>
      <c r="J5364" t="s">
        <v>308</v>
      </c>
      <c r="K5364" s="33">
        <v>3300</v>
      </c>
      <c r="M5364" t="str">
        <f>_xlfn.XLOOKUP(Pipeline_tbl[[#This Row],[Rep_ID]],Dim_Reps!A:A,Dim_Reps!K:K)</f>
        <v>EUR</v>
      </c>
      <c r="N5364" s="33">
        <f>(_xlfn.XLOOKUP(Pipeline_tbl[[#This Row],[Rate_Code_Generalized]],Lookups!A:A,Lookups!B:B))*Pipeline_tbl[[#This Row],[Pipeline_Amount_USD]]</f>
        <v>3300</v>
      </c>
      <c r="O5364" t="str">
        <f>_xlfn.XLOOKUP(Pipeline_tbl[[#This Row],[Rep_ID]],Dim_Reps!A:A,Dim_Reps!B:B)</f>
        <v>Hugo Santos</v>
      </c>
      <c r="P5364" t="str">
        <f>_xlfn.XLOOKUP(Pipeline_tbl[[#This Row],[Rep_ID]],Dim_Reps!A:A,Dim_Reps!C:C)</f>
        <v>SDR / Inside Sales Rep</v>
      </c>
      <c r="Q5364" t="str">
        <f>_xlfn.XLOOKUP(Pipeline_tbl[[#This Row],[Rep_ID]],Dim_Reps!A:A,Dim_Reps!D:D)</f>
        <v>Inside Sales</v>
      </c>
      <c r="R5364" t="str">
        <f>_xlfn.XLOOKUP(Pipeline_tbl[[#This Row],[Rep_ID]],Dim_Reps!A:A,Dim_Reps!E:E)</f>
        <v>EMEA</v>
      </c>
      <c r="S5364" t="str">
        <f>_xlfn.XLOOKUP(Pipeline_tbl[[#This Row],[Created_Date]],Dim_Date!A:A,Dim_Date!H:H)</f>
        <v>Dec 2025</v>
      </c>
      <c r="T5364" t="str">
        <f>IF(Pipeline_tbl[[#This Row],[Closed_Date]]=0,"",(_xlfn.XLOOKUP(Pipeline_tbl[[#This Row],[Closed_Date]],Dim_Date!A:A,Dim_Date!H:H)))</f>
        <v/>
      </c>
      <c r="U5364" t="str">
        <f>IF(Pipeline_tbl[[#This Row],[Closed_Date]]=0,"",Pipeline_tbl[[#This Row],[Closed_Date]]-Pipeline_tbl[[#This Row],[Created_Date]])</f>
        <v/>
      </c>
    </row>
    <row r="5365" spans="1:21" ht="15" customHeight="1" x14ac:dyDescent="0.2">
      <c r="A5365" t="s">
        <v>5671</v>
      </c>
      <c r="B5365" t="s">
        <v>237</v>
      </c>
      <c r="C5365" t="s">
        <v>52</v>
      </c>
      <c r="D5365" s="49">
        <v>46016</v>
      </c>
      <c r="E5365" s="49">
        <v>46018</v>
      </c>
      <c r="J5365" t="s">
        <v>308</v>
      </c>
      <c r="K5365" s="33">
        <v>3500</v>
      </c>
      <c r="M5365" t="str">
        <f>_xlfn.XLOOKUP(Pipeline_tbl[[#This Row],[Rep_ID]],Dim_Reps!A:A,Dim_Reps!K:K)</f>
        <v>EUR</v>
      </c>
      <c r="N5365" s="33">
        <f>(_xlfn.XLOOKUP(Pipeline_tbl[[#This Row],[Rate_Code_Generalized]],Lookups!A:A,Lookups!B:B))*Pipeline_tbl[[#This Row],[Pipeline_Amount_USD]]</f>
        <v>3500</v>
      </c>
      <c r="O5365" t="str">
        <f>_xlfn.XLOOKUP(Pipeline_tbl[[#This Row],[Rep_ID]],Dim_Reps!A:A,Dim_Reps!B:B)</f>
        <v>Hugo Santos</v>
      </c>
      <c r="P5365" t="str">
        <f>_xlfn.XLOOKUP(Pipeline_tbl[[#This Row],[Rep_ID]],Dim_Reps!A:A,Dim_Reps!C:C)</f>
        <v>SDR / Inside Sales Rep</v>
      </c>
      <c r="Q5365" t="str">
        <f>_xlfn.XLOOKUP(Pipeline_tbl[[#This Row],[Rep_ID]],Dim_Reps!A:A,Dim_Reps!D:D)</f>
        <v>Inside Sales</v>
      </c>
      <c r="R5365" t="str">
        <f>_xlfn.XLOOKUP(Pipeline_tbl[[#This Row],[Rep_ID]],Dim_Reps!A:A,Dim_Reps!E:E)</f>
        <v>EMEA</v>
      </c>
      <c r="S5365" t="str">
        <f>_xlfn.XLOOKUP(Pipeline_tbl[[#This Row],[Created_Date]],Dim_Date!A:A,Dim_Date!H:H)</f>
        <v>Dec 2025</v>
      </c>
      <c r="T5365" t="str">
        <f>IF(Pipeline_tbl[[#This Row],[Closed_Date]]=0,"",(_xlfn.XLOOKUP(Pipeline_tbl[[#This Row],[Closed_Date]],Dim_Date!A:A,Dim_Date!H:H)))</f>
        <v/>
      </c>
      <c r="U5365" t="str">
        <f>IF(Pipeline_tbl[[#This Row],[Closed_Date]]=0,"",Pipeline_tbl[[#This Row],[Closed_Date]]-Pipeline_tbl[[#This Row],[Created_Date]])</f>
        <v/>
      </c>
    </row>
    <row r="5366" spans="1:21" ht="15" customHeight="1" x14ac:dyDescent="0.2">
      <c r="A5366" t="s">
        <v>5672</v>
      </c>
      <c r="B5366" t="s">
        <v>237</v>
      </c>
      <c r="C5366" t="s">
        <v>52</v>
      </c>
      <c r="D5366" s="49">
        <v>46002</v>
      </c>
      <c r="E5366" s="49">
        <v>46004</v>
      </c>
      <c r="F5366" s="49">
        <v>46010</v>
      </c>
      <c r="G5366" s="49">
        <v>46017</v>
      </c>
      <c r="J5366" t="s">
        <v>308</v>
      </c>
      <c r="K5366" s="33">
        <v>4300</v>
      </c>
      <c r="M5366" t="str">
        <f>_xlfn.XLOOKUP(Pipeline_tbl[[#This Row],[Rep_ID]],Dim_Reps!A:A,Dim_Reps!K:K)</f>
        <v>EUR</v>
      </c>
      <c r="N5366" s="33">
        <f>(_xlfn.XLOOKUP(Pipeline_tbl[[#This Row],[Rate_Code_Generalized]],Lookups!A:A,Lookups!B:B))*Pipeline_tbl[[#This Row],[Pipeline_Amount_USD]]</f>
        <v>4300</v>
      </c>
      <c r="O5366" t="str">
        <f>_xlfn.XLOOKUP(Pipeline_tbl[[#This Row],[Rep_ID]],Dim_Reps!A:A,Dim_Reps!B:B)</f>
        <v>Hugo Santos</v>
      </c>
      <c r="P5366" t="str">
        <f>_xlfn.XLOOKUP(Pipeline_tbl[[#This Row],[Rep_ID]],Dim_Reps!A:A,Dim_Reps!C:C)</f>
        <v>SDR / Inside Sales Rep</v>
      </c>
      <c r="Q5366" t="str">
        <f>_xlfn.XLOOKUP(Pipeline_tbl[[#This Row],[Rep_ID]],Dim_Reps!A:A,Dim_Reps!D:D)</f>
        <v>Inside Sales</v>
      </c>
      <c r="R5366" t="str">
        <f>_xlfn.XLOOKUP(Pipeline_tbl[[#This Row],[Rep_ID]],Dim_Reps!A:A,Dim_Reps!E:E)</f>
        <v>EMEA</v>
      </c>
      <c r="S5366" t="str">
        <f>_xlfn.XLOOKUP(Pipeline_tbl[[#This Row],[Created_Date]],Dim_Date!A:A,Dim_Date!H:H)</f>
        <v>Dec 2025</v>
      </c>
      <c r="T5366" t="str">
        <f>IF(Pipeline_tbl[[#This Row],[Closed_Date]]=0,"",(_xlfn.XLOOKUP(Pipeline_tbl[[#This Row],[Closed_Date]],Dim_Date!A:A,Dim_Date!H:H)))</f>
        <v/>
      </c>
      <c r="U5366" t="str">
        <f>IF(Pipeline_tbl[[#This Row],[Closed_Date]]=0,"",Pipeline_tbl[[#This Row],[Closed_Date]]-Pipeline_tbl[[#This Row],[Created_Date]])</f>
        <v/>
      </c>
    </row>
    <row r="5367" spans="1:21" ht="15" customHeight="1" x14ac:dyDescent="0.2">
      <c r="A5367" t="s">
        <v>5673</v>
      </c>
      <c r="B5367" t="s">
        <v>239</v>
      </c>
      <c r="C5367" t="s">
        <v>54</v>
      </c>
      <c r="D5367" s="49">
        <v>46010</v>
      </c>
      <c r="E5367" s="49">
        <v>46012</v>
      </c>
      <c r="F5367" s="49">
        <v>46017</v>
      </c>
      <c r="J5367" t="s">
        <v>308</v>
      </c>
      <c r="K5367" s="33">
        <v>1500</v>
      </c>
      <c r="M5367" t="str">
        <f>_xlfn.XLOOKUP(Pipeline_tbl[[#This Row],[Rep_ID]],Dim_Reps!A:A,Dim_Reps!K:K)</f>
        <v>USD</v>
      </c>
      <c r="N5367" s="33">
        <f>(_xlfn.XLOOKUP(Pipeline_tbl[[#This Row],[Rate_Code_Generalized]],Lookups!A:A,Lookups!B:B))*Pipeline_tbl[[#This Row],[Pipeline_Amount_USD]]</f>
        <v>1746.4499999999998</v>
      </c>
      <c r="O5367" t="str">
        <f>_xlfn.XLOOKUP(Pipeline_tbl[[#This Row],[Rep_ID]],Dim_Reps!A:A,Dim_Reps!B:B)</f>
        <v>Noah Adler</v>
      </c>
      <c r="P5367" t="str">
        <f>_xlfn.XLOOKUP(Pipeline_tbl[[#This Row],[Rep_ID]],Dim_Reps!A:A,Dim_Reps!C:C)</f>
        <v>SDR / Inside Sales Rep</v>
      </c>
      <c r="Q5367" t="str">
        <f>_xlfn.XLOOKUP(Pipeline_tbl[[#This Row],[Rep_ID]],Dim_Reps!A:A,Dim_Reps!D:D)</f>
        <v>Inside Sales</v>
      </c>
      <c r="R5367" t="str">
        <f>_xlfn.XLOOKUP(Pipeline_tbl[[#This Row],[Rep_ID]],Dim_Reps!A:A,Dim_Reps!E:E)</f>
        <v>NAMER</v>
      </c>
      <c r="S5367" t="str">
        <f>_xlfn.XLOOKUP(Pipeline_tbl[[#This Row],[Created_Date]],Dim_Date!A:A,Dim_Date!H:H)</f>
        <v>Dec 2025</v>
      </c>
      <c r="T5367" t="str">
        <f>IF(Pipeline_tbl[[#This Row],[Closed_Date]]=0,"",(_xlfn.XLOOKUP(Pipeline_tbl[[#This Row],[Closed_Date]],Dim_Date!A:A,Dim_Date!H:H)))</f>
        <v/>
      </c>
      <c r="U5367" t="str">
        <f>IF(Pipeline_tbl[[#This Row],[Closed_Date]]=0,"",Pipeline_tbl[[#This Row],[Closed_Date]]-Pipeline_tbl[[#This Row],[Created_Date]])</f>
        <v/>
      </c>
    </row>
    <row r="5368" spans="1:21" ht="15" customHeight="1" x14ac:dyDescent="0.2">
      <c r="A5368" t="s">
        <v>5674</v>
      </c>
      <c r="B5368" t="s">
        <v>239</v>
      </c>
      <c r="C5368" t="s">
        <v>55</v>
      </c>
      <c r="D5368" s="49">
        <v>46007</v>
      </c>
      <c r="E5368" s="49">
        <v>46009</v>
      </c>
      <c r="F5368" s="49">
        <v>46014</v>
      </c>
      <c r="G5368" s="49">
        <v>46020</v>
      </c>
      <c r="J5368" t="s">
        <v>308</v>
      </c>
      <c r="K5368" s="33">
        <v>4900</v>
      </c>
      <c r="M5368" t="str">
        <f>_xlfn.XLOOKUP(Pipeline_tbl[[#This Row],[Rep_ID]],Dim_Reps!A:A,Dim_Reps!K:K)</f>
        <v>USD</v>
      </c>
      <c r="N5368" s="33">
        <f>(_xlfn.XLOOKUP(Pipeline_tbl[[#This Row],[Rate_Code_Generalized]],Lookups!A:A,Lookups!B:B))*Pipeline_tbl[[#This Row],[Pipeline_Amount_USD]]</f>
        <v>5705.07</v>
      </c>
      <c r="O5368" t="str">
        <f>_xlfn.XLOOKUP(Pipeline_tbl[[#This Row],[Rep_ID]],Dim_Reps!A:A,Dim_Reps!B:B)</f>
        <v>Noah Adler</v>
      </c>
      <c r="P5368" t="str">
        <f>_xlfn.XLOOKUP(Pipeline_tbl[[#This Row],[Rep_ID]],Dim_Reps!A:A,Dim_Reps!C:C)</f>
        <v>SDR / Inside Sales Rep</v>
      </c>
      <c r="Q5368" t="str">
        <f>_xlfn.XLOOKUP(Pipeline_tbl[[#This Row],[Rep_ID]],Dim_Reps!A:A,Dim_Reps!D:D)</f>
        <v>Inside Sales</v>
      </c>
      <c r="R5368" t="str">
        <f>_xlfn.XLOOKUP(Pipeline_tbl[[#This Row],[Rep_ID]],Dim_Reps!A:A,Dim_Reps!E:E)</f>
        <v>NAMER</v>
      </c>
      <c r="S5368" t="str">
        <f>_xlfn.XLOOKUP(Pipeline_tbl[[#This Row],[Created_Date]],Dim_Date!A:A,Dim_Date!H:H)</f>
        <v>Dec 2025</v>
      </c>
      <c r="T5368" t="str">
        <f>IF(Pipeline_tbl[[#This Row],[Closed_Date]]=0,"",(_xlfn.XLOOKUP(Pipeline_tbl[[#This Row],[Closed_Date]],Dim_Date!A:A,Dim_Date!H:H)))</f>
        <v/>
      </c>
      <c r="U5368" t="str">
        <f>IF(Pipeline_tbl[[#This Row],[Closed_Date]]=0,"",Pipeline_tbl[[#This Row],[Closed_Date]]-Pipeline_tbl[[#This Row],[Created_Date]])</f>
        <v/>
      </c>
    </row>
    <row r="5369" spans="1:21" ht="15" customHeight="1" x14ac:dyDescent="0.2">
      <c r="A5369" t="s">
        <v>5675</v>
      </c>
      <c r="B5369" t="s">
        <v>239</v>
      </c>
      <c r="C5369" t="s">
        <v>54</v>
      </c>
      <c r="D5369" s="49">
        <v>46021</v>
      </c>
      <c r="J5369" t="s">
        <v>308</v>
      </c>
      <c r="K5369" s="33">
        <v>3500</v>
      </c>
      <c r="M5369" t="str">
        <f>_xlfn.XLOOKUP(Pipeline_tbl[[#This Row],[Rep_ID]],Dim_Reps!A:A,Dim_Reps!K:K)</f>
        <v>USD</v>
      </c>
      <c r="N5369" s="33">
        <f>(_xlfn.XLOOKUP(Pipeline_tbl[[#This Row],[Rate_Code_Generalized]],Lookups!A:A,Lookups!B:B))*Pipeline_tbl[[#This Row],[Pipeline_Amount_USD]]</f>
        <v>4075.0499999999997</v>
      </c>
      <c r="O5369" t="str">
        <f>_xlfn.XLOOKUP(Pipeline_tbl[[#This Row],[Rep_ID]],Dim_Reps!A:A,Dim_Reps!B:B)</f>
        <v>Noah Adler</v>
      </c>
      <c r="P5369" t="str">
        <f>_xlfn.XLOOKUP(Pipeline_tbl[[#This Row],[Rep_ID]],Dim_Reps!A:A,Dim_Reps!C:C)</f>
        <v>SDR / Inside Sales Rep</v>
      </c>
      <c r="Q5369" t="str">
        <f>_xlfn.XLOOKUP(Pipeline_tbl[[#This Row],[Rep_ID]],Dim_Reps!A:A,Dim_Reps!D:D)</f>
        <v>Inside Sales</v>
      </c>
      <c r="R5369" t="str">
        <f>_xlfn.XLOOKUP(Pipeline_tbl[[#This Row],[Rep_ID]],Dim_Reps!A:A,Dim_Reps!E:E)</f>
        <v>NAMER</v>
      </c>
      <c r="S5369" t="str">
        <f>_xlfn.XLOOKUP(Pipeline_tbl[[#This Row],[Created_Date]],Dim_Date!A:A,Dim_Date!H:H)</f>
        <v>Dec 2025</v>
      </c>
      <c r="T5369" t="str">
        <f>IF(Pipeline_tbl[[#This Row],[Closed_Date]]=0,"",(_xlfn.XLOOKUP(Pipeline_tbl[[#This Row],[Closed_Date]],Dim_Date!A:A,Dim_Date!H:H)))</f>
        <v/>
      </c>
      <c r="U5369" t="str">
        <f>IF(Pipeline_tbl[[#This Row],[Closed_Date]]=0,"",Pipeline_tbl[[#This Row],[Closed_Date]]-Pipeline_tbl[[#This Row],[Created_Date]])</f>
        <v/>
      </c>
    </row>
    <row r="5370" spans="1:21" ht="15" customHeight="1" x14ac:dyDescent="0.2">
      <c r="A5370" t="s">
        <v>5676</v>
      </c>
      <c r="B5370" t="s">
        <v>239</v>
      </c>
      <c r="C5370" t="s">
        <v>52</v>
      </c>
      <c r="D5370" s="49">
        <v>46008</v>
      </c>
      <c r="E5370" s="49">
        <v>46010</v>
      </c>
      <c r="F5370" s="49">
        <v>46013</v>
      </c>
      <c r="G5370" s="49">
        <v>46019</v>
      </c>
      <c r="J5370" t="s">
        <v>308</v>
      </c>
      <c r="K5370" s="33">
        <v>3700</v>
      </c>
      <c r="M5370" t="str">
        <f>_xlfn.XLOOKUP(Pipeline_tbl[[#This Row],[Rep_ID]],Dim_Reps!A:A,Dim_Reps!K:K)</f>
        <v>USD</v>
      </c>
      <c r="N5370" s="33">
        <f>(_xlfn.XLOOKUP(Pipeline_tbl[[#This Row],[Rate_Code_Generalized]],Lookups!A:A,Lookups!B:B))*Pipeline_tbl[[#This Row],[Pipeline_Amount_USD]]</f>
        <v>4307.91</v>
      </c>
      <c r="O5370" t="str">
        <f>_xlfn.XLOOKUP(Pipeline_tbl[[#This Row],[Rep_ID]],Dim_Reps!A:A,Dim_Reps!B:B)</f>
        <v>Noah Adler</v>
      </c>
      <c r="P5370" t="str">
        <f>_xlfn.XLOOKUP(Pipeline_tbl[[#This Row],[Rep_ID]],Dim_Reps!A:A,Dim_Reps!C:C)</f>
        <v>SDR / Inside Sales Rep</v>
      </c>
      <c r="Q5370" t="str">
        <f>_xlfn.XLOOKUP(Pipeline_tbl[[#This Row],[Rep_ID]],Dim_Reps!A:A,Dim_Reps!D:D)</f>
        <v>Inside Sales</v>
      </c>
      <c r="R5370" t="str">
        <f>_xlfn.XLOOKUP(Pipeline_tbl[[#This Row],[Rep_ID]],Dim_Reps!A:A,Dim_Reps!E:E)</f>
        <v>NAMER</v>
      </c>
      <c r="S5370" t="str">
        <f>_xlfn.XLOOKUP(Pipeline_tbl[[#This Row],[Created_Date]],Dim_Date!A:A,Dim_Date!H:H)</f>
        <v>Dec 2025</v>
      </c>
      <c r="T5370" t="str">
        <f>IF(Pipeline_tbl[[#This Row],[Closed_Date]]=0,"",(_xlfn.XLOOKUP(Pipeline_tbl[[#This Row],[Closed_Date]],Dim_Date!A:A,Dim_Date!H:H)))</f>
        <v/>
      </c>
      <c r="U5370" t="str">
        <f>IF(Pipeline_tbl[[#This Row],[Closed_Date]]=0,"",Pipeline_tbl[[#This Row],[Closed_Date]]-Pipeline_tbl[[#This Row],[Created_Date]])</f>
        <v/>
      </c>
    </row>
    <row r="5371" spans="1:21" ht="15" customHeight="1" x14ac:dyDescent="0.2">
      <c r="A5371" t="s">
        <v>5677</v>
      </c>
      <c r="B5371" t="s">
        <v>239</v>
      </c>
      <c r="C5371" t="s">
        <v>52</v>
      </c>
      <c r="D5371" s="49">
        <v>46016</v>
      </c>
      <c r="E5371" s="49">
        <v>46018</v>
      </c>
      <c r="J5371" t="s">
        <v>308</v>
      </c>
      <c r="K5371" s="33">
        <v>2500</v>
      </c>
      <c r="M5371" t="str">
        <f>_xlfn.XLOOKUP(Pipeline_tbl[[#This Row],[Rep_ID]],Dim_Reps!A:A,Dim_Reps!K:K)</f>
        <v>USD</v>
      </c>
      <c r="N5371" s="33">
        <f>(_xlfn.XLOOKUP(Pipeline_tbl[[#This Row],[Rate_Code_Generalized]],Lookups!A:A,Lookups!B:B))*Pipeline_tbl[[#This Row],[Pipeline_Amount_USD]]</f>
        <v>2910.7499999999995</v>
      </c>
      <c r="O5371" t="str">
        <f>_xlfn.XLOOKUP(Pipeline_tbl[[#This Row],[Rep_ID]],Dim_Reps!A:A,Dim_Reps!B:B)</f>
        <v>Noah Adler</v>
      </c>
      <c r="P5371" t="str">
        <f>_xlfn.XLOOKUP(Pipeline_tbl[[#This Row],[Rep_ID]],Dim_Reps!A:A,Dim_Reps!C:C)</f>
        <v>SDR / Inside Sales Rep</v>
      </c>
      <c r="Q5371" t="str">
        <f>_xlfn.XLOOKUP(Pipeline_tbl[[#This Row],[Rep_ID]],Dim_Reps!A:A,Dim_Reps!D:D)</f>
        <v>Inside Sales</v>
      </c>
      <c r="R5371" t="str">
        <f>_xlfn.XLOOKUP(Pipeline_tbl[[#This Row],[Rep_ID]],Dim_Reps!A:A,Dim_Reps!E:E)</f>
        <v>NAMER</v>
      </c>
      <c r="S5371" t="str">
        <f>_xlfn.XLOOKUP(Pipeline_tbl[[#This Row],[Created_Date]],Dim_Date!A:A,Dim_Date!H:H)</f>
        <v>Dec 2025</v>
      </c>
      <c r="T5371" t="str">
        <f>IF(Pipeline_tbl[[#This Row],[Closed_Date]]=0,"",(_xlfn.XLOOKUP(Pipeline_tbl[[#This Row],[Closed_Date]],Dim_Date!A:A,Dim_Date!H:H)))</f>
        <v/>
      </c>
      <c r="U5371" t="str">
        <f>IF(Pipeline_tbl[[#This Row],[Closed_Date]]=0,"",Pipeline_tbl[[#This Row],[Closed_Date]]-Pipeline_tbl[[#This Row],[Created_Date]])</f>
        <v/>
      </c>
    </row>
    <row r="5372" spans="1:21" ht="15" customHeight="1" x14ac:dyDescent="0.2">
      <c r="A5372" t="s">
        <v>5678</v>
      </c>
      <c r="B5372" t="s">
        <v>239</v>
      </c>
      <c r="C5372" t="s">
        <v>56</v>
      </c>
      <c r="D5372" s="49">
        <v>46021</v>
      </c>
      <c r="J5372" t="s">
        <v>308</v>
      </c>
      <c r="K5372" s="33">
        <v>4800</v>
      </c>
      <c r="M5372" t="str">
        <f>_xlfn.XLOOKUP(Pipeline_tbl[[#This Row],[Rep_ID]],Dim_Reps!A:A,Dim_Reps!K:K)</f>
        <v>USD</v>
      </c>
      <c r="N5372" s="33">
        <f>(_xlfn.XLOOKUP(Pipeline_tbl[[#This Row],[Rate_Code_Generalized]],Lookups!A:A,Lookups!B:B))*Pipeline_tbl[[#This Row],[Pipeline_Amount_USD]]</f>
        <v>5588.6399999999994</v>
      </c>
      <c r="O5372" t="str">
        <f>_xlfn.XLOOKUP(Pipeline_tbl[[#This Row],[Rep_ID]],Dim_Reps!A:A,Dim_Reps!B:B)</f>
        <v>Noah Adler</v>
      </c>
      <c r="P5372" t="str">
        <f>_xlfn.XLOOKUP(Pipeline_tbl[[#This Row],[Rep_ID]],Dim_Reps!A:A,Dim_Reps!C:C)</f>
        <v>SDR / Inside Sales Rep</v>
      </c>
      <c r="Q5372" t="str">
        <f>_xlfn.XLOOKUP(Pipeline_tbl[[#This Row],[Rep_ID]],Dim_Reps!A:A,Dim_Reps!D:D)</f>
        <v>Inside Sales</v>
      </c>
      <c r="R5372" t="str">
        <f>_xlfn.XLOOKUP(Pipeline_tbl[[#This Row],[Rep_ID]],Dim_Reps!A:A,Dim_Reps!E:E)</f>
        <v>NAMER</v>
      </c>
      <c r="S5372" t="str">
        <f>_xlfn.XLOOKUP(Pipeline_tbl[[#This Row],[Created_Date]],Dim_Date!A:A,Dim_Date!H:H)</f>
        <v>Dec 2025</v>
      </c>
      <c r="T5372" t="str">
        <f>IF(Pipeline_tbl[[#This Row],[Closed_Date]]=0,"",(_xlfn.XLOOKUP(Pipeline_tbl[[#This Row],[Closed_Date]],Dim_Date!A:A,Dim_Date!H:H)))</f>
        <v/>
      </c>
      <c r="U5372" t="str">
        <f>IF(Pipeline_tbl[[#This Row],[Closed_Date]]=0,"",Pipeline_tbl[[#This Row],[Closed_Date]]-Pipeline_tbl[[#This Row],[Created_Date]])</f>
        <v/>
      </c>
    </row>
    <row r="5373" spans="1:21" ht="15" customHeight="1" x14ac:dyDescent="0.2">
      <c r="A5373" t="s">
        <v>5679</v>
      </c>
      <c r="B5373" t="s">
        <v>239</v>
      </c>
      <c r="C5373" t="s">
        <v>54</v>
      </c>
      <c r="D5373" s="49">
        <v>46021</v>
      </c>
      <c r="J5373" t="s">
        <v>308</v>
      </c>
      <c r="K5373" s="33">
        <v>3600</v>
      </c>
      <c r="M5373" t="str">
        <f>_xlfn.XLOOKUP(Pipeline_tbl[[#This Row],[Rep_ID]],Dim_Reps!A:A,Dim_Reps!K:K)</f>
        <v>USD</v>
      </c>
      <c r="N5373" s="33">
        <f>(_xlfn.XLOOKUP(Pipeline_tbl[[#This Row],[Rate_Code_Generalized]],Lookups!A:A,Lookups!B:B))*Pipeline_tbl[[#This Row],[Pipeline_Amount_USD]]</f>
        <v>4191.4799999999996</v>
      </c>
      <c r="O5373" t="str">
        <f>_xlfn.XLOOKUP(Pipeline_tbl[[#This Row],[Rep_ID]],Dim_Reps!A:A,Dim_Reps!B:B)</f>
        <v>Noah Adler</v>
      </c>
      <c r="P5373" t="str">
        <f>_xlfn.XLOOKUP(Pipeline_tbl[[#This Row],[Rep_ID]],Dim_Reps!A:A,Dim_Reps!C:C)</f>
        <v>SDR / Inside Sales Rep</v>
      </c>
      <c r="Q5373" t="str">
        <f>_xlfn.XLOOKUP(Pipeline_tbl[[#This Row],[Rep_ID]],Dim_Reps!A:A,Dim_Reps!D:D)</f>
        <v>Inside Sales</v>
      </c>
      <c r="R5373" t="str">
        <f>_xlfn.XLOOKUP(Pipeline_tbl[[#This Row],[Rep_ID]],Dim_Reps!A:A,Dim_Reps!E:E)</f>
        <v>NAMER</v>
      </c>
      <c r="S5373" t="str">
        <f>_xlfn.XLOOKUP(Pipeline_tbl[[#This Row],[Created_Date]],Dim_Date!A:A,Dim_Date!H:H)</f>
        <v>Dec 2025</v>
      </c>
      <c r="T5373" t="str">
        <f>IF(Pipeline_tbl[[#This Row],[Closed_Date]]=0,"",(_xlfn.XLOOKUP(Pipeline_tbl[[#This Row],[Closed_Date]],Dim_Date!A:A,Dim_Date!H:H)))</f>
        <v/>
      </c>
      <c r="U5373" t="str">
        <f>IF(Pipeline_tbl[[#This Row],[Closed_Date]]=0,"",Pipeline_tbl[[#This Row],[Closed_Date]]-Pipeline_tbl[[#This Row],[Created_Date]])</f>
        <v/>
      </c>
    </row>
    <row r="5374" spans="1:21" ht="15" customHeight="1" x14ac:dyDescent="0.2">
      <c r="A5374" t="s">
        <v>5680</v>
      </c>
      <c r="B5374" t="s">
        <v>239</v>
      </c>
      <c r="C5374" t="s">
        <v>55</v>
      </c>
      <c r="D5374" s="49">
        <v>46014</v>
      </c>
      <c r="E5374" s="49">
        <v>46015</v>
      </c>
      <c r="F5374" s="49">
        <v>46018</v>
      </c>
      <c r="G5374" s="49">
        <v>46022</v>
      </c>
      <c r="J5374" t="s">
        <v>308</v>
      </c>
      <c r="K5374" s="33">
        <v>4300</v>
      </c>
      <c r="M5374" t="str">
        <f>_xlfn.XLOOKUP(Pipeline_tbl[[#This Row],[Rep_ID]],Dim_Reps!A:A,Dim_Reps!K:K)</f>
        <v>USD</v>
      </c>
      <c r="N5374" s="33">
        <f>(_xlfn.XLOOKUP(Pipeline_tbl[[#This Row],[Rate_Code_Generalized]],Lookups!A:A,Lookups!B:B))*Pipeline_tbl[[#This Row],[Pipeline_Amount_USD]]</f>
        <v>5006.49</v>
      </c>
      <c r="O5374" t="str">
        <f>_xlfn.XLOOKUP(Pipeline_tbl[[#This Row],[Rep_ID]],Dim_Reps!A:A,Dim_Reps!B:B)</f>
        <v>Noah Adler</v>
      </c>
      <c r="P5374" t="str">
        <f>_xlfn.XLOOKUP(Pipeline_tbl[[#This Row],[Rep_ID]],Dim_Reps!A:A,Dim_Reps!C:C)</f>
        <v>SDR / Inside Sales Rep</v>
      </c>
      <c r="Q5374" t="str">
        <f>_xlfn.XLOOKUP(Pipeline_tbl[[#This Row],[Rep_ID]],Dim_Reps!A:A,Dim_Reps!D:D)</f>
        <v>Inside Sales</v>
      </c>
      <c r="R5374" t="str">
        <f>_xlfn.XLOOKUP(Pipeline_tbl[[#This Row],[Rep_ID]],Dim_Reps!A:A,Dim_Reps!E:E)</f>
        <v>NAMER</v>
      </c>
      <c r="S5374" t="str">
        <f>_xlfn.XLOOKUP(Pipeline_tbl[[#This Row],[Created_Date]],Dim_Date!A:A,Dim_Date!H:H)</f>
        <v>Dec 2025</v>
      </c>
      <c r="T5374" t="str">
        <f>IF(Pipeline_tbl[[#This Row],[Closed_Date]]=0,"",(_xlfn.XLOOKUP(Pipeline_tbl[[#This Row],[Closed_Date]],Dim_Date!A:A,Dim_Date!H:H)))</f>
        <v/>
      </c>
      <c r="U5374" t="str">
        <f>IF(Pipeline_tbl[[#This Row],[Closed_Date]]=0,"",Pipeline_tbl[[#This Row],[Closed_Date]]-Pipeline_tbl[[#This Row],[Created_Date]])</f>
        <v/>
      </c>
    </row>
    <row r="5375" spans="1:21" ht="15" customHeight="1" x14ac:dyDescent="0.2">
      <c r="A5375" t="s">
        <v>5681</v>
      </c>
      <c r="B5375" t="s">
        <v>239</v>
      </c>
      <c r="C5375" t="s">
        <v>52</v>
      </c>
      <c r="D5375" s="49">
        <v>46010</v>
      </c>
      <c r="E5375" s="49">
        <v>46012</v>
      </c>
      <c r="F5375" s="49">
        <v>46016</v>
      </c>
      <c r="G5375" s="49">
        <v>46021</v>
      </c>
      <c r="J5375" t="s">
        <v>308</v>
      </c>
      <c r="K5375" s="33">
        <v>2700</v>
      </c>
      <c r="M5375" t="str">
        <f>_xlfn.XLOOKUP(Pipeline_tbl[[#This Row],[Rep_ID]],Dim_Reps!A:A,Dim_Reps!K:K)</f>
        <v>USD</v>
      </c>
      <c r="N5375" s="33">
        <f>(_xlfn.XLOOKUP(Pipeline_tbl[[#This Row],[Rate_Code_Generalized]],Lookups!A:A,Lookups!B:B))*Pipeline_tbl[[#This Row],[Pipeline_Amount_USD]]</f>
        <v>3143.6099999999997</v>
      </c>
      <c r="O5375" t="str">
        <f>_xlfn.XLOOKUP(Pipeline_tbl[[#This Row],[Rep_ID]],Dim_Reps!A:A,Dim_Reps!B:B)</f>
        <v>Noah Adler</v>
      </c>
      <c r="P5375" t="str">
        <f>_xlfn.XLOOKUP(Pipeline_tbl[[#This Row],[Rep_ID]],Dim_Reps!A:A,Dim_Reps!C:C)</f>
        <v>SDR / Inside Sales Rep</v>
      </c>
      <c r="Q5375" t="str">
        <f>_xlfn.XLOOKUP(Pipeline_tbl[[#This Row],[Rep_ID]],Dim_Reps!A:A,Dim_Reps!D:D)</f>
        <v>Inside Sales</v>
      </c>
      <c r="R5375" t="str">
        <f>_xlfn.XLOOKUP(Pipeline_tbl[[#This Row],[Rep_ID]],Dim_Reps!A:A,Dim_Reps!E:E)</f>
        <v>NAMER</v>
      </c>
      <c r="S5375" t="str">
        <f>_xlfn.XLOOKUP(Pipeline_tbl[[#This Row],[Created_Date]],Dim_Date!A:A,Dim_Date!H:H)</f>
        <v>Dec 2025</v>
      </c>
      <c r="T5375" t="str">
        <f>IF(Pipeline_tbl[[#This Row],[Closed_Date]]=0,"",(_xlfn.XLOOKUP(Pipeline_tbl[[#This Row],[Closed_Date]],Dim_Date!A:A,Dim_Date!H:H)))</f>
        <v/>
      </c>
      <c r="U5375" t="str">
        <f>IF(Pipeline_tbl[[#This Row],[Closed_Date]]=0,"",Pipeline_tbl[[#This Row],[Closed_Date]]-Pipeline_tbl[[#This Row],[Created_Date]])</f>
        <v/>
      </c>
    </row>
    <row r="5376" spans="1:21" ht="15" customHeight="1" x14ac:dyDescent="0.2">
      <c r="A5376" t="s">
        <v>5682</v>
      </c>
      <c r="B5376" t="s">
        <v>239</v>
      </c>
      <c r="C5376" t="s">
        <v>52</v>
      </c>
      <c r="D5376" s="49">
        <v>46015</v>
      </c>
      <c r="E5376" s="49">
        <v>46017</v>
      </c>
      <c r="F5376" s="49">
        <v>46020</v>
      </c>
      <c r="J5376" t="s">
        <v>308</v>
      </c>
      <c r="K5376" s="33">
        <v>2500</v>
      </c>
      <c r="M5376" t="str">
        <f>_xlfn.XLOOKUP(Pipeline_tbl[[#This Row],[Rep_ID]],Dim_Reps!A:A,Dim_Reps!K:K)</f>
        <v>USD</v>
      </c>
      <c r="N5376" s="33">
        <f>(_xlfn.XLOOKUP(Pipeline_tbl[[#This Row],[Rate_Code_Generalized]],Lookups!A:A,Lookups!B:B))*Pipeline_tbl[[#This Row],[Pipeline_Amount_USD]]</f>
        <v>2910.7499999999995</v>
      </c>
      <c r="O5376" t="str">
        <f>_xlfn.XLOOKUP(Pipeline_tbl[[#This Row],[Rep_ID]],Dim_Reps!A:A,Dim_Reps!B:B)</f>
        <v>Noah Adler</v>
      </c>
      <c r="P5376" t="str">
        <f>_xlfn.XLOOKUP(Pipeline_tbl[[#This Row],[Rep_ID]],Dim_Reps!A:A,Dim_Reps!C:C)</f>
        <v>SDR / Inside Sales Rep</v>
      </c>
      <c r="Q5376" t="str">
        <f>_xlfn.XLOOKUP(Pipeline_tbl[[#This Row],[Rep_ID]],Dim_Reps!A:A,Dim_Reps!D:D)</f>
        <v>Inside Sales</v>
      </c>
      <c r="R5376" t="str">
        <f>_xlfn.XLOOKUP(Pipeline_tbl[[#This Row],[Rep_ID]],Dim_Reps!A:A,Dim_Reps!E:E)</f>
        <v>NAMER</v>
      </c>
      <c r="S5376" t="str">
        <f>_xlfn.XLOOKUP(Pipeline_tbl[[#This Row],[Created_Date]],Dim_Date!A:A,Dim_Date!H:H)</f>
        <v>Dec 2025</v>
      </c>
      <c r="T5376" t="str">
        <f>IF(Pipeline_tbl[[#This Row],[Closed_Date]]=0,"",(_xlfn.XLOOKUP(Pipeline_tbl[[#This Row],[Closed_Date]],Dim_Date!A:A,Dim_Date!H:H)))</f>
        <v/>
      </c>
      <c r="U5376" t="str">
        <f>IF(Pipeline_tbl[[#This Row],[Closed_Date]]=0,"",Pipeline_tbl[[#This Row],[Closed_Date]]-Pipeline_tbl[[#This Row],[Created_Date]])</f>
        <v/>
      </c>
    </row>
    <row r="5377" spans="1:21" ht="15" customHeight="1" x14ac:dyDescent="0.2">
      <c r="A5377" t="s">
        <v>5683</v>
      </c>
      <c r="B5377" t="s">
        <v>239</v>
      </c>
      <c r="C5377" t="s">
        <v>53</v>
      </c>
      <c r="D5377" s="49">
        <v>46018</v>
      </c>
      <c r="E5377" s="49">
        <v>46020</v>
      </c>
      <c r="J5377" t="s">
        <v>308</v>
      </c>
      <c r="K5377" s="33">
        <v>1100</v>
      </c>
      <c r="M5377" t="str">
        <f>_xlfn.XLOOKUP(Pipeline_tbl[[#This Row],[Rep_ID]],Dim_Reps!A:A,Dim_Reps!K:K)</f>
        <v>USD</v>
      </c>
      <c r="N5377" s="33">
        <f>(_xlfn.XLOOKUP(Pipeline_tbl[[#This Row],[Rate_Code_Generalized]],Lookups!A:A,Lookups!B:B))*Pipeline_tbl[[#This Row],[Pipeline_Amount_USD]]</f>
        <v>1280.7299999999998</v>
      </c>
      <c r="O5377" t="str">
        <f>_xlfn.XLOOKUP(Pipeline_tbl[[#This Row],[Rep_ID]],Dim_Reps!A:A,Dim_Reps!B:B)</f>
        <v>Noah Adler</v>
      </c>
      <c r="P5377" t="str">
        <f>_xlfn.XLOOKUP(Pipeline_tbl[[#This Row],[Rep_ID]],Dim_Reps!A:A,Dim_Reps!C:C)</f>
        <v>SDR / Inside Sales Rep</v>
      </c>
      <c r="Q5377" t="str">
        <f>_xlfn.XLOOKUP(Pipeline_tbl[[#This Row],[Rep_ID]],Dim_Reps!A:A,Dim_Reps!D:D)</f>
        <v>Inside Sales</v>
      </c>
      <c r="R5377" t="str">
        <f>_xlfn.XLOOKUP(Pipeline_tbl[[#This Row],[Rep_ID]],Dim_Reps!A:A,Dim_Reps!E:E)</f>
        <v>NAMER</v>
      </c>
      <c r="S5377" t="str">
        <f>_xlfn.XLOOKUP(Pipeline_tbl[[#This Row],[Created_Date]],Dim_Date!A:A,Dim_Date!H:H)</f>
        <v>Dec 2025</v>
      </c>
      <c r="T5377" t="str">
        <f>IF(Pipeline_tbl[[#This Row],[Closed_Date]]=0,"",(_xlfn.XLOOKUP(Pipeline_tbl[[#This Row],[Closed_Date]],Dim_Date!A:A,Dim_Date!H:H)))</f>
        <v/>
      </c>
      <c r="U5377" t="str">
        <f>IF(Pipeline_tbl[[#This Row],[Closed_Date]]=0,"",Pipeline_tbl[[#This Row],[Closed_Date]]-Pipeline_tbl[[#This Row],[Created_Date]])</f>
        <v/>
      </c>
    </row>
    <row r="5378" spans="1:21" ht="15" customHeight="1" x14ac:dyDescent="0.2">
      <c r="A5378" t="s">
        <v>5684</v>
      </c>
      <c r="B5378" t="s">
        <v>271</v>
      </c>
      <c r="C5378" t="s">
        <v>55</v>
      </c>
      <c r="D5378" s="49">
        <v>46022</v>
      </c>
      <c r="J5378" t="s">
        <v>308</v>
      </c>
      <c r="K5378" s="33">
        <v>8000</v>
      </c>
      <c r="M5378" t="str">
        <f>_xlfn.XLOOKUP(Pipeline_tbl[[#This Row],[Rep_ID]],Dim_Reps!A:A,Dim_Reps!K:K)</f>
        <v>EUR</v>
      </c>
      <c r="N5378" s="33">
        <f>(_xlfn.XLOOKUP(Pipeline_tbl[[#This Row],[Rate_Code_Generalized]],Lookups!A:A,Lookups!B:B))*Pipeline_tbl[[#This Row],[Pipeline_Amount_USD]]</f>
        <v>8000</v>
      </c>
      <c r="O5378" t="str">
        <f>_xlfn.XLOOKUP(Pipeline_tbl[[#This Row],[Rep_ID]],Dim_Reps!A:A,Dim_Reps!B:B)</f>
        <v>Ivy Adler</v>
      </c>
      <c r="P5378" t="str">
        <f>_xlfn.XLOOKUP(Pipeline_tbl[[#This Row],[Rep_ID]],Dim_Reps!A:A,Dim_Reps!C:C)</f>
        <v>Mid-Market AE</v>
      </c>
      <c r="Q5378" t="str">
        <f>_xlfn.XLOOKUP(Pipeline_tbl[[#This Row],[Rep_ID]],Dim_Reps!A:A,Dim_Reps!D:D)</f>
        <v>Mid-Market</v>
      </c>
      <c r="R5378" t="str">
        <f>_xlfn.XLOOKUP(Pipeline_tbl[[#This Row],[Rep_ID]],Dim_Reps!A:A,Dim_Reps!E:E)</f>
        <v>APAC</v>
      </c>
      <c r="S5378" t="str">
        <f>_xlfn.XLOOKUP(Pipeline_tbl[[#This Row],[Created_Date]],Dim_Date!A:A,Dim_Date!H:H)</f>
        <v>Dec 2025</v>
      </c>
      <c r="T5378" t="str">
        <f>IF(Pipeline_tbl[[#This Row],[Closed_Date]]=0,"",(_xlfn.XLOOKUP(Pipeline_tbl[[#This Row],[Closed_Date]],Dim_Date!A:A,Dim_Date!H:H)))</f>
        <v/>
      </c>
      <c r="U5378" t="str">
        <f>IF(Pipeline_tbl[[#This Row],[Closed_Date]]=0,"",Pipeline_tbl[[#This Row],[Closed_Date]]-Pipeline_tbl[[#This Row],[Created_Date]])</f>
        <v/>
      </c>
    </row>
    <row r="5379" spans="1:21" ht="15" customHeight="1" x14ac:dyDescent="0.2">
      <c r="A5379" t="s">
        <v>5685</v>
      </c>
      <c r="B5379" t="s">
        <v>271</v>
      </c>
      <c r="C5379" t="s">
        <v>52</v>
      </c>
      <c r="D5379" s="49">
        <v>46009</v>
      </c>
      <c r="E5379" s="49">
        <v>46014</v>
      </c>
      <c r="J5379" t="s">
        <v>308</v>
      </c>
      <c r="K5379" s="33">
        <v>7800</v>
      </c>
      <c r="M5379" t="str">
        <f>_xlfn.XLOOKUP(Pipeline_tbl[[#This Row],[Rep_ID]],Dim_Reps!A:A,Dim_Reps!K:K)</f>
        <v>EUR</v>
      </c>
      <c r="N5379" s="33">
        <f>(_xlfn.XLOOKUP(Pipeline_tbl[[#This Row],[Rate_Code_Generalized]],Lookups!A:A,Lookups!B:B))*Pipeline_tbl[[#This Row],[Pipeline_Amount_USD]]</f>
        <v>7800</v>
      </c>
      <c r="O5379" t="str">
        <f>_xlfn.XLOOKUP(Pipeline_tbl[[#This Row],[Rep_ID]],Dim_Reps!A:A,Dim_Reps!B:B)</f>
        <v>Ivy Adler</v>
      </c>
      <c r="P5379" t="str">
        <f>_xlfn.XLOOKUP(Pipeline_tbl[[#This Row],[Rep_ID]],Dim_Reps!A:A,Dim_Reps!C:C)</f>
        <v>Mid-Market AE</v>
      </c>
      <c r="Q5379" t="str">
        <f>_xlfn.XLOOKUP(Pipeline_tbl[[#This Row],[Rep_ID]],Dim_Reps!A:A,Dim_Reps!D:D)</f>
        <v>Mid-Market</v>
      </c>
      <c r="R5379" t="str">
        <f>_xlfn.XLOOKUP(Pipeline_tbl[[#This Row],[Rep_ID]],Dim_Reps!A:A,Dim_Reps!E:E)</f>
        <v>APAC</v>
      </c>
      <c r="S5379" t="str">
        <f>_xlfn.XLOOKUP(Pipeline_tbl[[#This Row],[Created_Date]],Dim_Date!A:A,Dim_Date!H:H)</f>
        <v>Dec 2025</v>
      </c>
      <c r="T5379" t="str">
        <f>IF(Pipeline_tbl[[#This Row],[Closed_Date]]=0,"",(_xlfn.XLOOKUP(Pipeline_tbl[[#This Row],[Closed_Date]],Dim_Date!A:A,Dim_Date!H:H)))</f>
        <v/>
      </c>
      <c r="U5379" t="str">
        <f>IF(Pipeline_tbl[[#This Row],[Closed_Date]]=0,"",Pipeline_tbl[[#This Row],[Closed_Date]]-Pipeline_tbl[[#This Row],[Created_Date]])</f>
        <v/>
      </c>
    </row>
    <row r="5380" spans="1:21" ht="15" customHeight="1" x14ac:dyDescent="0.2">
      <c r="A5380" t="s">
        <v>5686</v>
      </c>
      <c r="B5380" t="s">
        <v>271</v>
      </c>
      <c r="C5380" t="s">
        <v>53</v>
      </c>
      <c r="D5380" s="49">
        <v>46015</v>
      </c>
      <c r="E5380" s="49">
        <v>46016</v>
      </c>
      <c r="F5380" s="49">
        <v>46018</v>
      </c>
      <c r="G5380" s="49">
        <v>46022</v>
      </c>
      <c r="J5380" t="s">
        <v>308</v>
      </c>
      <c r="K5380" s="33">
        <v>10300</v>
      </c>
      <c r="M5380" t="str">
        <f>_xlfn.XLOOKUP(Pipeline_tbl[[#This Row],[Rep_ID]],Dim_Reps!A:A,Dim_Reps!K:K)</f>
        <v>EUR</v>
      </c>
      <c r="N5380" s="33">
        <f>(_xlfn.XLOOKUP(Pipeline_tbl[[#This Row],[Rate_Code_Generalized]],Lookups!A:A,Lookups!B:B))*Pipeline_tbl[[#This Row],[Pipeline_Amount_USD]]</f>
        <v>10300</v>
      </c>
      <c r="O5380" t="str">
        <f>_xlfn.XLOOKUP(Pipeline_tbl[[#This Row],[Rep_ID]],Dim_Reps!A:A,Dim_Reps!B:B)</f>
        <v>Ivy Adler</v>
      </c>
      <c r="P5380" t="str">
        <f>_xlfn.XLOOKUP(Pipeline_tbl[[#This Row],[Rep_ID]],Dim_Reps!A:A,Dim_Reps!C:C)</f>
        <v>Mid-Market AE</v>
      </c>
      <c r="Q5380" t="str">
        <f>_xlfn.XLOOKUP(Pipeline_tbl[[#This Row],[Rep_ID]],Dim_Reps!A:A,Dim_Reps!D:D)</f>
        <v>Mid-Market</v>
      </c>
      <c r="R5380" t="str">
        <f>_xlfn.XLOOKUP(Pipeline_tbl[[#This Row],[Rep_ID]],Dim_Reps!A:A,Dim_Reps!E:E)</f>
        <v>APAC</v>
      </c>
      <c r="S5380" t="str">
        <f>_xlfn.XLOOKUP(Pipeline_tbl[[#This Row],[Created_Date]],Dim_Date!A:A,Dim_Date!H:H)</f>
        <v>Dec 2025</v>
      </c>
      <c r="T5380" t="str">
        <f>IF(Pipeline_tbl[[#This Row],[Closed_Date]]=0,"",(_xlfn.XLOOKUP(Pipeline_tbl[[#This Row],[Closed_Date]],Dim_Date!A:A,Dim_Date!H:H)))</f>
        <v/>
      </c>
      <c r="U5380" t="str">
        <f>IF(Pipeline_tbl[[#This Row],[Closed_Date]]=0,"",Pipeline_tbl[[#This Row],[Closed_Date]]-Pipeline_tbl[[#This Row],[Created_Date]])</f>
        <v/>
      </c>
    </row>
    <row r="5381" spans="1:21" ht="15" customHeight="1" x14ac:dyDescent="0.2">
      <c r="A5381" t="s">
        <v>5687</v>
      </c>
      <c r="B5381" t="s">
        <v>271</v>
      </c>
      <c r="C5381" t="s">
        <v>53</v>
      </c>
      <c r="D5381" s="49">
        <v>46000</v>
      </c>
      <c r="E5381" s="49">
        <v>46003</v>
      </c>
      <c r="F5381" s="49">
        <v>46010</v>
      </c>
      <c r="G5381" s="49">
        <v>46019</v>
      </c>
      <c r="J5381" t="s">
        <v>308</v>
      </c>
      <c r="K5381" s="33">
        <v>8300</v>
      </c>
      <c r="M5381" t="str">
        <f>_xlfn.XLOOKUP(Pipeline_tbl[[#This Row],[Rep_ID]],Dim_Reps!A:A,Dim_Reps!K:K)</f>
        <v>EUR</v>
      </c>
      <c r="N5381" s="33">
        <f>(_xlfn.XLOOKUP(Pipeline_tbl[[#This Row],[Rate_Code_Generalized]],Lookups!A:A,Lookups!B:B))*Pipeline_tbl[[#This Row],[Pipeline_Amount_USD]]</f>
        <v>8300</v>
      </c>
      <c r="O5381" t="str">
        <f>_xlfn.XLOOKUP(Pipeline_tbl[[#This Row],[Rep_ID]],Dim_Reps!A:A,Dim_Reps!B:B)</f>
        <v>Ivy Adler</v>
      </c>
      <c r="P5381" t="str">
        <f>_xlfn.XLOOKUP(Pipeline_tbl[[#This Row],[Rep_ID]],Dim_Reps!A:A,Dim_Reps!C:C)</f>
        <v>Mid-Market AE</v>
      </c>
      <c r="Q5381" t="str">
        <f>_xlfn.XLOOKUP(Pipeline_tbl[[#This Row],[Rep_ID]],Dim_Reps!A:A,Dim_Reps!D:D)</f>
        <v>Mid-Market</v>
      </c>
      <c r="R5381" t="str">
        <f>_xlfn.XLOOKUP(Pipeline_tbl[[#This Row],[Rep_ID]],Dim_Reps!A:A,Dim_Reps!E:E)</f>
        <v>APAC</v>
      </c>
      <c r="S5381" t="str">
        <f>_xlfn.XLOOKUP(Pipeline_tbl[[#This Row],[Created_Date]],Dim_Date!A:A,Dim_Date!H:H)</f>
        <v>Dec 2025</v>
      </c>
      <c r="T5381" t="str">
        <f>IF(Pipeline_tbl[[#This Row],[Closed_Date]]=0,"",(_xlfn.XLOOKUP(Pipeline_tbl[[#This Row],[Closed_Date]],Dim_Date!A:A,Dim_Date!H:H)))</f>
        <v/>
      </c>
      <c r="U5381" t="str">
        <f>IF(Pipeline_tbl[[#This Row],[Closed_Date]]=0,"",Pipeline_tbl[[#This Row],[Closed_Date]]-Pipeline_tbl[[#This Row],[Created_Date]])</f>
        <v/>
      </c>
    </row>
    <row r="5382" spans="1:21" ht="15" customHeight="1" x14ac:dyDescent="0.2">
      <c r="A5382" t="s">
        <v>5688</v>
      </c>
      <c r="B5382" t="s">
        <v>271</v>
      </c>
      <c r="C5382" t="s">
        <v>52</v>
      </c>
      <c r="D5382" s="49">
        <v>45998</v>
      </c>
      <c r="E5382" s="49">
        <v>46002</v>
      </c>
      <c r="F5382" s="49">
        <v>46009</v>
      </c>
      <c r="G5382" s="49">
        <v>46020</v>
      </c>
      <c r="J5382" t="s">
        <v>308</v>
      </c>
      <c r="K5382" s="33">
        <v>6700</v>
      </c>
      <c r="M5382" t="str">
        <f>_xlfn.XLOOKUP(Pipeline_tbl[[#This Row],[Rep_ID]],Dim_Reps!A:A,Dim_Reps!K:K)</f>
        <v>EUR</v>
      </c>
      <c r="N5382" s="33">
        <f>(_xlfn.XLOOKUP(Pipeline_tbl[[#This Row],[Rate_Code_Generalized]],Lookups!A:A,Lookups!B:B))*Pipeline_tbl[[#This Row],[Pipeline_Amount_USD]]</f>
        <v>6700</v>
      </c>
      <c r="O5382" t="str">
        <f>_xlfn.XLOOKUP(Pipeline_tbl[[#This Row],[Rep_ID]],Dim_Reps!A:A,Dim_Reps!B:B)</f>
        <v>Ivy Adler</v>
      </c>
      <c r="P5382" t="str">
        <f>_xlfn.XLOOKUP(Pipeline_tbl[[#This Row],[Rep_ID]],Dim_Reps!A:A,Dim_Reps!C:C)</f>
        <v>Mid-Market AE</v>
      </c>
      <c r="Q5382" t="str">
        <f>_xlfn.XLOOKUP(Pipeline_tbl[[#This Row],[Rep_ID]],Dim_Reps!A:A,Dim_Reps!D:D)</f>
        <v>Mid-Market</v>
      </c>
      <c r="R5382" t="str">
        <f>_xlfn.XLOOKUP(Pipeline_tbl[[#This Row],[Rep_ID]],Dim_Reps!A:A,Dim_Reps!E:E)</f>
        <v>APAC</v>
      </c>
      <c r="S5382" t="str">
        <f>_xlfn.XLOOKUP(Pipeline_tbl[[#This Row],[Created_Date]],Dim_Date!A:A,Dim_Date!H:H)</f>
        <v>Dec 2025</v>
      </c>
      <c r="T5382" t="str">
        <f>IF(Pipeline_tbl[[#This Row],[Closed_Date]]=0,"",(_xlfn.XLOOKUP(Pipeline_tbl[[#This Row],[Closed_Date]],Dim_Date!A:A,Dim_Date!H:H)))</f>
        <v/>
      </c>
      <c r="U5382" t="str">
        <f>IF(Pipeline_tbl[[#This Row],[Closed_Date]]=0,"",Pipeline_tbl[[#This Row],[Closed_Date]]-Pipeline_tbl[[#This Row],[Created_Date]])</f>
        <v/>
      </c>
    </row>
    <row r="5383" spans="1:21" ht="15" customHeight="1" x14ac:dyDescent="0.2">
      <c r="A5383" t="s">
        <v>5689</v>
      </c>
      <c r="B5383" t="s">
        <v>271</v>
      </c>
      <c r="C5383" t="s">
        <v>55</v>
      </c>
      <c r="D5383" s="49">
        <v>46011</v>
      </c>
      <c r="E5383" s="49">
        <v>46015</v>
      </c>
      <c r="J5383" t="s">
        <v>308</v>
      </c>
      <c r="K5383" s="33">
        <v>9800</v>
      </c>
      <c r="M5383" t="str">
        <f>_xlfn.XLOOKUP(Pipeline_tbl[[#This Row],[Rep_ID]],Dim_Reps!A:A,Dim_Reps!K:K)</f>
        <v>EUR</v>
      </c>
      <c r="N5383" s="33">
        <f>(_xlfn.XLOOKUP(Pipeline_tbl[[#This Row],[Rate_Code_Generalized]],Lookups!A:A,Lookups!B:B))*Pipeline_tbl[[#This Row],[Pipeline_Amount_USD]]</f>
        <v>9800</v>
      </c>
      <c r="O5383" t="str">
        <f>_xlfn.XLOOKUP(Pipeline_tbl[[#This Row],[Rep_ID]],Dim_Reps!A:A,Dim_Reps!B:B)</f>
        <v>Ivy Adler</v>
      </c>
      <c r="P5383" t="str">
        <f>_xlfn.XLOOKUP(Pipeline_tbl[[#This Row],[Rep_ID]],Dim_Reps!A:A,Dim_Reps!C:C)</f>
        <v>Mid-Market AE</v>
      </c>
      <c r="Q5383" t="str">
        <f>_xlfn.XLOOKUP(Pipeline_tbl[[#This Row],[Rep_ID]],Dim_Reps!A:A,Dim_Reps!D:D)</f>
        <v>Mid-Market</v>
      </c>
      <c r="R5383" t="str">
        <f>_xlfn.XLOOKUP(Pipeline_tbl[[#This Row],[Rep_ID]],Dim_Reps!A:A,Dim_Reps!E:E)</f>
        <v>APAC</v>
      </c>
      <c r="S5383" t="str">
        <f>_xlfn.XLOOKUP(Pipeline_tbl[[#This Row],[Created_Date]],Dim_Date!A:A,Dim_Date!H:H)</f>
        <v>Dec 2025</v>
      </c>
      <c r="T5383" t="str">
        <f>IF(Pipeline_tbl[[#This Row],[Closed_Date]]=0,"",(_xlfn.XLOOKUP(Pipeline_tbl[[#This Row],[Closed_Date]],Dim_Date!A:A,Dim_Date!H:H)))</f>
        <v/>
      </c>
      <c r="U5383" t="str">
        <f>IF(Pipeline_tbl[[#This Row],[Closed_Date]]=0,"",Pipeline_tbl[[#This Row],[Closed_Date]]-Pipeline_tbl[[#This Row],[Created_Date]])</f>
        <v/>
      </c>
    </row>
    <row r="5384" spans="1:21" ht="15" customHeight="1" x14ac:dyDescent="0.2">
      <c r="A5384" t="s">
        <v>5690</v>
      </c>
      <c r="B5384" t="s">
        <v>273</v>
      </c>
      <c r="C5384" t="s">
        <v>55</v>
      </c>
      <c r="D5384" s="49">
        <v>46011</v>
      </c>
      <c r="E5384" s="49">
        <v>46014</v>
      </c>
      <c r="F5384" s="49">
        <v>46021</v>
      </c>
      <c r="J5384" t="s">
        <v>308</v>
      </c>
      <c r="K5384" s="33">
        <v>9900</v>
      </c>
      <c r="M5384" t="str">
        <f>_xlfn.XLOOKUP(Pipeline_tbl[[#This Row],[Rep_ID]],Dim_Reps!A:A,Dim_Reps!K:K)</f>
        <v>EUR</v>
      </c>
      <c r="N5384" s="33">
        <f>(_xlfn.XLOOKUP(Pipeline_tbl[[#This Row],[Rate_Code_Generalized]],Lookups!A:A,Lookups!B:B))*Pipeline_tbl[[#This Row],[Pipeline_Amount_USD]]</f>
        <v>9900</v>
      </c>
      <c r="O5384" t="str">
        <f>_xlfn.XLOOKUP(Pipeline_tbl[[#This Row],[Rep_ID]],Dim_Reps!A:A,Dim_Reps!B:B)</f>
        <v>Olivia Cohen</v>
      </c>
      <c r="P5384" t="str">
        <f>_xlfn.XLOOKUP(Pipeline_tbl[[#This Row],[Rep_ID]],Dim_Reps!A:A,Dim_Reps!C:C)</f>
        <v>Mid-Market AE</v>
      </c>
      <c r="Q5384" t="str">
        <f>_xlfn.XLOOKUP(Pipeline_tbl[[#This Row],[Rep_ID]],Dim_Reps!A:A,Dim_Reps!D:D)</f>
        <v>Mid-Market</v>
      </c>
      <c r="R5384" t="str">
        <f>_xlfn.XLOOKUP(Pipeline_tbl[[#This Row],[Rep_ID]],Dim_Reps!A:A,Dim_Reps!E:E)</f>
        <v>APAC</v>
      </c>
      <c r="S5384" t="str">
        <f>_xlfn.XLOOKUP(Pipeline_tbl[[#This Row],[Created_Date]],Dim_Date!A:A,Dim_Date!H:H)</f>
        <v>Dec 2025</v>
      </c>
      <c r="T5384" t="str">
        <f>IF(Pipeline_tbl[[#This Row],[Closed_Date]]=0,"",(_xlfn.XLOOKUP(Pipeline_tbl[[#This Row],[Closed_Date]],Dim_Date!A:A,Dim_Date!H:H)))</f>
        <v/>
      </c>
      <c r="U5384" t="str">
        <f>IF(Pipeline_tbl[[#This Row],[Closed_Date]]=0,"",Pipeline_tbl[[#This Row],[Closed_Date]]-Pipeline_tbl[[#This Row],[Created_Date]])</f>
        <v/>
      </c>
    </row>
    <row r="5385" spans="1:21" ht="15" customHeight="1" x14ac:dyDescent="0.2">
      <c r="A5385" t="s">
        <v>5691</v>
      </c>
      <c r="B5385" t="s">
        <v>273</v>
      </c>
      <c r="C5385" t="s">
        <v>53</v>
      </c>
      <c r="D5385" s="49">
        <v>46008</v>
      </c>
      <c r="E5385" s="49">
        <v>46011</v>
      </c>
      <c r="F5385" s="49">
        <v>46016</v>
      </c>
      <c r="J5385" t="s">
        <v>308</v>
      </c>
      <c r="K5385" s="33">
        <v>8900</v>
      </c>
      <c r="M5385" t="str">
        <f>_xlfn.XLOOKUP(Pipeline_tbl[[#This Row],[Rep_ID]],Dim_Reps!A:A,Dim_Reps!K:K)</f>
        <v>EUR</v>
      </c>
      <c r="N5385" s="33">
        <f>(_xlfn.XLOOKUP(Pipeline_tbl[[#This Row],[Rate_Code_Generalized]],Lookups!A:A,Lookups!B:B))*Pipeline_tbl[[#This Row],[Pipeline_Amount_USD]]</f>
        <v>8900</v>
      </c>
      <c r="O5385" t="str">
        <f>_xlfn.XLOOKUP(Pipeline_tbl[[#This Row],[Rep_ID]],Dim_Reps!A:A,Dim_Reps!B:B)</f>
        <v>Olivia Cohen</v>
      </c>
      <c r="P5385" t="str">
        <f>_xlfn.XLOOKUP(Pipeline_tbl[[#This Row],[Rep_ID]],Dim_Reps!A:A,Dim_Reps!C:C)</f>
        <v>Mid-Market AE</v>
      </c>
      <c r="Q5385" t="str">
        <f>_xlfn.XLOOKUP(Pipeline_tbl[[#This Row],[Rep_ID]],Dim_Reps!A:A,Dim_Reps!D:D)</f>
        <v>Mid-Market</v>
      </c>
      <c r="R5385" t="str">
        <f>_xlfn.XLOOKUP(Pipeline_tbl[[#This Row],[Rep_ID]],Dim_Reps!A:A,Dim_Reps!E:E)</f>
        <v>APAC</v>
      </c>
      <c r="S5385" t="str">
        <f>_xlfn.XLOOKUP(Pipeline_tbl[[#This Row],[Created_Date]],Dim_Date!A:A,Dim_Date!H:H)</f>
        <v>Dec 2025</v>
      </c>
      <c r="T5385" t="str">
        <f>IF(Pipeline_tbl[[#This Row],[Closed_Date]]=0,"",(_xlfn.XLOOKUP(Pipeline_tbl[[#This Row],[Closed_Date]],Dim_Date!A:A,Dim_Date!H:H)))</f>
        <v/>
      </c>
      <c r="U5385" t="str">
        <f>IF(Pipeline_tbl[[#This Row],[Closed_Date]]=0,"",Pipeline_tbl[[#This Row],[Closed_Date]]-Pipeline_tbl[[#This Row],[Created_Date]])</f>
        <v/>
      </c>
    </row>
    <row r="5386" spans="1:21" ht="15" customHeight="1" x14ac:dyDescent="0.2">
      <c r="A5386" t="s">
        <v>5692</v>
      </c>
      <c r="B5386" t="s">
        <v>273</v>
      </c>
      <c r="C5386" t="s">
        <v>52</v>
      </c>
      <c r="D5386" s="49">
        <v>46007</v>
      </c>
      <c r="E5386" s="49">
        <v>46010</v>
      </c>
      <c r="F5386" s="49">
        <v>46017</v>
      </c>
      <c r="J5386" t="s">
        <v>308</v>
      </c>
      <c r="K5386" s="33">
        <v>8200</v>
      </c>
      <c r="M5386" t="str">
        <f>_xlfn.XLOOKUP(Pipeline_tbl[[#This Row],[Rep_ID]],Dim_Reps!A:A,Dim_Reps!K:K)</f>
        <v>EUR</v>
      </c>
      <c r="N5386" s="33">
        <f>(_xlfn.XLOOKUP(Pipeline_tbl[[#This Row],[Rate_Code_Generalized]],Lookups!A:A,Lookups!B:B))*Pipeline_tbl[[#This Row],[Pipeline_Amount_USD]]</f>
        <v>8200</v>
      </c>
      <c r="O5386" t="str">
        <f>_xlfn.XLOOKUP(Pipeline_tbl[[#This Row],[Rep_ID]],Dim_Reps!A:A,Dim_Reps!B:B)</f>
        <v>Olivia Cohen</v>
      </c>
      <c r="P5386" t="str">
        <f>_xlfn.XLOOKUP(Pipeline_tbl[[#This Row],[Rep_ID]],Dim_Reps!A:A,Dim_Reps!C:C)</f>
        <v>Mid-Market AE</v>
      </c>
      <c r="Q5386" t="str">
        <f>_xlfn.XLOOKUP(Pipeline_tbl[[#This Row],[Rep_ID]],Dim_Reps!A:A,Dim_Reps!D:D)</f>
        <v>Mid-Market</v>
      </c>
      <c r="R5386" t="str">
        <f>_xlfn.XLOOKUP(Pipeline_tbl[[#This Row],[Rep_ID]],Dim_Reps!A:A,Dim_Reps!E:E)</f>
        <v>APAC</v>
      </c>
      <c r="S5386" t="str">
        <f>_xlfn.XLOOKUP(Pipeline_tbl[[#This Row],[Created_Date]],Dim_Date!A:A,Dim_Date!H:H)</f>
        <v>Dec 2025</v>
      </c>
      <c r="T5386" t="str">
        <f>IF(Pipeline_tbl[[#This Row],[Closed_Date]]=0,"",(_xlfn.XLOOKUP(Pipeline_tbl[[#This Row],[Closed_Date]],Dim_Date!A:A,Dim_Date!H:H)))</f>
        <v/>
      </c>
      <c r="U5386" t="str">
        <f>IF(Pipeline_tbl[[#This Row],[Closed_Date]]=0,"",Pipeline_tbl[[#This Row],[Closed_Date]]-Pipeline_tbl[[#This Row],[Created_Date]])</f>
        <v/>
      </c>
    </row>
    <row r="5387" spans="1:21" ht="15" customHeight="1" x14ac:dyDescent="0.2">
      <c r="A5387" t="s">
        <v>5693</v>
      </c>
      <c r="B5387" t="s">
        <v>273</v>
      </c>
      <c r="C5387" t="s">
        <v>53</v>
      </c>
      <c r="D5387" s="49">
        <v>46009</v>
      </c>
      <c r="E5387" s="49">
        <v>46012</v>
      </c>
      <c r="F5387" s="49">
        <v>46019</v>
      </c>
      <c r="J5387" t="s">
        <v>308</v>
      </c>
      <c r="K5387" s="33">
        <v>11100</v>
      </c>
      <c r="M5387" t="str">
        <f>_xlfn.XLOOKUP(Pipeline_tbl[[#This Row],[Rep_ID]],Dim_Reps!A:A,Dim_Reps!K:K)</f>
        <v>EUR</v>
      </c>
      <c r="N5387" s="33">
        <f>(_xlfn.XLOOKUP(Pipeline_tbl[[#This Row],[Rate_Code_Generalized]],Lookups!A:A,Lookups!B:B))*Pipeline_tbl[[#This Row],[Pipeline_Amount_USD]]</f>
        <v>11100</v>
      </c>
      <c r="O5387" t="str">
        <f>_xlfn.XLOOKUP(Pipeline_tbl[[#This Row],[Rep_ID]],Dim_Reps!A:A,Dim_Reps!B:B)</f>
        <v>Olivia Cohen</v>
      </c>
      <c r="P5387" t="str">
        <f>_xlfn.XLOOKUP(Pipeline_tbl[[#This Row],[Rep_ID]],Dim_Reps!A:A,Dim_Reps!C:C)</f>
        <v>Mid-Market AE</v>
      </c>
      <c r="Q5387" t="str">
        <f>_xlfn.XLOOKUP(Pipeline_tbl[[#This Row],[Rep_ID]],Dim_Reps!A:A,Dim_Reps!D:D)</f>
        <v>Mid-Market</v>
      </c>
      <c r="R5387" t="str">
        <f>_xlfn.XLOOKUP(Pipeline_tbl[[#This Row],[Rep_ID]],Dim_Reps!A:A,Dim_Reps!E:E)</f>
        <v>APAC</v>
      </c>
      <c r="S5387" t="str">
        <f>_xlfn.XLOOKUP(Pipeline_tbl[[#This Row],[Created_Date]],Dim_Date!A:A,Dim_Date!H:H)</f>
        <v>Dec 2025</v>
      </c>
      <c r="T5387" t="str">
        <f>IF(Pipeline_tbl[[#This Row],[Closed_Date]]=0,"",(_xlfn.XLOOKUP(Pipeline_tbl[[#This Row],[Closed_Date]],Dim_Date!A:A,Dim_Date!H:H)))</f>
        <v/>
      </c>
      <c r="U5387" t="str">
        <f>IF(Pipeline_tbl[[#This Row],[Closed_Date]]=0,"",Pipeline_tbl[[#This Row],[Closed_Date]]-Pipeline_tbl[[#This Row],[Created_Date]])</f>
        <v/>
      </c>
    </row>
    <row r="5388" spans="1:21" ht="15" customHeight="1" x14ac:dyDescent="0.2">
      <c r="A5388" t="s">
        <v>5694</v>
      </c>
      <c r="B5388" t="s">
        <v>241</v>
      </c>
      <c r="C5388" t="s">
        <v>52</v>
      </c>
      <c r="D5388" s="49">
        <v>46016</v>
      </c>
      <c r="E5388" s="49">
        <v>46018</v>
      </c>
      <c r="F5388" s="49">
        <v>46021</v>
      </c>
      <c r="J5388" t="s">
        <v>308</v>
      </c>
      <c r="K5388" s="33">
        <v>4400</v>
      </c>
      <c r="M5388" t="str">
        <f>_xlfn.XLOOKUP(Pipeline_tbl[[#This Row],[Rep_ID]],Dim_Reps!A:A,Dim_Reps!K:K)</f>
        <v>EUR</v>
      </c>
      <c r="N5388" s="33">
        <f>(_xlfn.XLOOKUP(Pipeline_tbl[[#This Row],[Rate_Code_Generalized]],Lookups!A:A,Lookups!B:B))*Pipeline_tbl[[#This Row],[Pipeline_Amount_USD]]</f>
        <v>4400</v>
      </c>
      <c r="O5388" t="str">
        <f>_xlfn.XLOOKUP(Pipeline_tbl[[#This Row],[Rep_ID]],Dim_Reps!A:A,Dim_Reps!B:B)</f>
        <v>Kenji Weber</v>
      </c>
      <c r="P5388" t="str">
        <f>_xlfn.XLOOKUP(Pipeline_tbl[[#This Row],[Rep_ID]],Dim_Reps!A:A,Dim_Reps!C:C)</f>
        <v>SDR / Inside Sales Rep</v>
      </c>
      <c r="Q5388" t="str">
        <f>_xlfn.XLOOKUP(Pipeline_tbl[[#This Row],[Rep_ID]],Dim_Reps!A:A,Dim_Reps!D:D)</f>
        <v>Inside Sales</v>
      </c>
      <c r="R5388" t="str">
        <f>_xlfn.XLOOKUP(Pipeline_tbl[[#This Row],[Rep_ID]],Dim_Reps!A:A,Dim_Reps!E:E)</f>
        <v>APAC</v>
      </c>
      <c r="S5388" t="str">
        <f>_xlfn.XLOOKUP(Pipeline_tbl[[#This Row],[Created_Date]],Dim_Date!A:A,Dim_Date!H:H)</f>
        <v>Dec 2025</v>
      </c>
      <c r="T5388" t="str">
        <f>IF(Pipeline_tbl[[#This Row],[Closed_Date]]=0,"",(_xlfn.XLOOKUP(Pipeline_tbl[[#This Row],[Closed_Date]],Dim_Date!A:A,Dim_Date!H:H)))</f>
        <v/>
      </c>
      <c r="U5388" t="str">
        <f>IF(Pipeline_tbl[[#This Row],[Closed_Date]]=0,"",Pipeline_tbl[[#This Row],[Closed_Date]]-Pipeline_tbl[[#This Row],[Created_Date]])</f>
        <v/>
      </c>
    </row>
    <row r="5389" spans="1:21" ht="15" customHeight="1" x14ac:dyDescent="0.2">
      <c r="A5389" t="s">
        <v>5695</v>
      </c>
      <c r="B5389" t="s">
        <v>241</v>
      </c>
      <c r="C5389" t="s">
        <v>55</v>
      </c>
      <c r="D5389" s="49">
        <v>46001</v>
      </c>
      <c r="E5389" s="49">
        <v>46003</v>
      </c>
      <c r="F5389" s="49">
        <v>46008</v>
      </c>
      <c r="G5389" s="49">
        <v>46014</v>
      </c>
      <c r="H5389" s="49">
        <v>46020</v>
      </c>
      <c r="J5389" t="s">
        <v>308</v>
      </c>
      <c r="K5389" s="33">
        <v>4900</v>
      </c>
      <c r="M5389" t="str">
        <f>_xlfn.XLOOKUP(Pipeline_tbl[[#This Row],[Rep_ID]],Dim_Reps!A:A,Dim_Reps!K:K)</f>
        <v>EUR</v>
      </c>
      <c r="N5389" s="33">
        <f>(_xlfn.XLOOKUP(Pipeline_tbl[[#This Row],[Rate_Code_Generalized]],Lookups!A:A,Lookups!B:B))*Pipeline_tbl[[#This Row],[Pipeline_Amount_USD]]</f>
        <v>4900</v>
      </c>
      <c r="O5389" t="str">
        <f>_xlfn.XLOOKUP(Pipeline_tbl[[#This Row],[Rep_ID]],Dim_Reps!A:A,Dim_Reps!B:B)</f>
        <v>Kenji Weber</v>
      </c>
      <c r="P5389" t="str">
        <f>_xlfn.XLOOKUP(Pipeline_tbl[[#This Row],[Rep_ID]],Dim_Reps!A:A,Dim_Reps!C:C)</f>
        <v>SDR / Inside Sales Rep</v>
      </c>
      <c r="Q5389" t="str">
        <f>_xlfn.XLOOKUP(Pipeline_tbl[[#This Row],[Rep_ID]],Dim_Reps!A:A,Dim_Reps!D:D)</f>
        <v>Inside Sales</v>
      </c>
      <c r="R5389" t="str">
        <f>_xlfn.XLOOKUP(Pipeline_tbl[[#This Row],[Rep_ID]],Dim_Reps!A:A,Dim_Reps!E:E)</f>
        <v>APAC</v>
      </c>
      <c r="S5389" t="str">
        <f>_xlfn.XLOOKUP(Pipeline_tbl[[#This Row],[Created_Date]],Dim_Date!A:A,Dim_Date!H:H)</f>
        <v>Dec 2025</v>
      </c>
      <c r="T5389" t="str">
        <f>IF(Pipeline_tbl[[#This Row],[Closed_Date]]=0,"",(_xlfn.XLOOKUP(Pipeline_tbl[[#This Row],[Closed_Date]],Dim_Date!A:A,Dim_Date!H:H)))</f>
        <v/>
      </c>
      <c r="U5389" t="str">
        <f>IF(Pipeline_tbl[[#This Row],[Closed_Date]]=0,"",Pipeline_tbl[[#This Row],[Closed_Date]]-Pipeline_tbl[[#This Row],[Created_Date]])</f>
        <v/>
      </c>
    </row>
    <row r="5390" spans="1:21" ht="15" customHeight="1" x14ac:dyDescent="0.2">
      <c r="A5390" t="s">
        <v>5696</v>
      </c>
      <c r="B5390" t="s">
        <v>241</v>
      </c>
      <c r="C5390" t="s">
        <v>55</v>
      </c>
      <c r="D5390" s="49">
        <v>46007</v>
      </c>
      <c r="E5390" s="49">
        <v>46009</v>
      </c>
      <c r="F5390" s="49">
        <v>46015</v>
      </c>
      <c r="G5390" s="49">
        <v>46022</v>
      </c>
      <c r="J5390" t="s">
        <v>308</v>
      </c>
      <c r="K5390" s="33">
        <v>4700</v>
      </c>
      <c r="M5390" t="str">
        <f>_xlfn.XLOOKUP(Pipeline_tbl[[#This Row],[Rep_ID]],Dim_Reps!A:A,Dim_Reps!K:K)</f>
        <v>EUR</v>
      </c>
      <c r="N5390" s="33">
        <f>(_xlfn.XLOOKUP(Pipeline_tbl[[#This Row],[Rate_Code_Generalized]],Lookups!A:A,Lookups!B:B))*Pipeline_tbl[[#This Row],[Pipeline_Amount_USD]]</f>
        <v>4700</v>
      </c>
      <c r="O5390" t="str">
        <f>_xlfn.XLOOKUP(Pipeline_tbl[[#This Row],[Rep_ID]],Dim_Reps!A:A,Dim_Reps!B:B)</f>
        <v>Kenji Weber</v>
      </c>
      <c r="P5390" t="str">
        <f>_xlfn.XLOOKUP(Pipeline_tbl[[#This Row],[Rep_ID]],Dim_Reps!A:A,Dim_Reps!C:C)</f>
        <v>SDR / Inside Sales Rep</v>
      </c>
      <c r="Q5390" t="str">
        <f>_xlfn.XLOOKUP(Pipeline_tbl[[#This Row],[Rep_ID]],Dim_Reps!A:A,Dim_Reps!D:D)</f>
        <v>Inside Sales</v>
      </c>
      <c r="R5390" t="str">
        <f>_xlfn.XLOOKUP(Pipeline_tbl[[#This Row],[Rep_ID]],Dim_Reps!A:A,Dim_Reps!E:E)</f>
        <v>APAC</v>
      </c>
      <c r="S5390" t="str">
        <f>_xlfn.XLOOKUP(Pipeline_tbl[[#This Row],[Created_Date]],Dim_Date!A:A,Dim_Date!H:H)</f>
        <v>Dec 2025</v>
      </c>
      <c r="T5390" t="str">
        <f>IF(Pipeline_tbl[[#This Row],[Closed_Date]]=0,"",(_xlfn.XLOOKUP(Pipeline_tbl[[#This Row],[Closed_Date]],Dim_Date!A:A,Dim_Date!H:H)))</f>
        <v/>
      </c>
      <c r="U5390" t="str">
        <f>IF(Pipeline_tbl[[#This Row],[Closed_Date]]=0,"",Pipeline_tbl[[#This Row],[Closed_Date]]-Pipeline_tbl[[#This Row],[Created_Date]])</f>
        <v/>
      </c>
    </row>
    <row r="5391" spans="1:21" ht="15" customHeight="1" x14ac:dyDescent="0.2">
      <c r="A5391" t="s">
        <v>5697</v>
      </c>
      <c r="B5391" t="s">
        <v>241</v>
      </c>
      <c r="C5391" t="s">
        <v>53</v>
      </c>
      <c r="D5391" s="49">
        <v>46011</v>
      </c>
      <c r="E5391" s="49">
        <v>46013</v>
      </c>
      <c r="F5391" s="49">
        <v>46016</v>
      </c>
      <c r="G5391" s="49">
        <v>46022</v>
      </c>
      <c r="J5391" t="s">
        <v>308</v>
      </c>
      <c r="K5391" s="33">
        <v>2300</v>
      </c>
      <c r="M5391" t="str">
        <f>_xlfn.XLOOKUP(Pipeline_tbl[[#This Row],[Rep_ID]],Dim_Reps!A:A,Dim_Reps!K:K)</f>
        <v>EUR</v>
      </c>
      <c r="N5391" s="33">
        <f>(_xlfn.XLOOKUP(Pipeline_tbl[[#This Row],[Rate_Code_Generalized]],Lookups!A:A,Lookups!B:B))*Pipeline_tbl[[#This Row],[Pipeline_Amount_USD]]</f>
        <v>2300</v>
      </c>
      <c r="O5391" t="str">
        <f>_xlfn.XLOOKUP(Pipeline_tbl[[#This Row],[Rep_ID]],Dim_Reps!A:A,Dim_Reps!B:B)</f>
        <v>Kenji Weber</v>
      </c>
      <c r="P5391" t="str">
        <f>_xlfn.XLOOKUP(Pipeline_tbl[[#This Row],[Rep_ID]],Dim_Reps!A:A,Dim_Reps!C:C)</f>
        <v>SDR / Inside Sales Rep</v>
      </c>
      <c r="Q5391" t="str">
        <f>_xlfn.XLOOKUP(Pipeline_tbl[[#This Row],[Rep_ID]],Dim_Reps!A:A,Dim_Reps!D:D)</f>
        <v>Inside Sales</v>
      </c>
      <c r="R5391" t="str">
        <f>_xlfn.XLOOKUP(Pipeline_tbl[[#This Row],[Rep_ID]],Dim_Reps!A:A,Dim_Reps!E:E)</f>
        <v>APAC</v>
      </c>
      <c r="S5391" t="str">
        <f>_xlfn.XLOOKUP(Pipeline_tbl[[#This Row],[Created_Date]],Dim_Date!A:A,Dim_Date!H:H)</f>
        <v>Dec 2025</v>
      </c>
      <c r="T5391" t="str">
        <f>IF(Pipeline_tbl[[#This Row],[Closed_Date]]=0,"",(_xlfn.XLOOKUP(Pipeline_tbl[[#This Row],[Closed_Date]],Dim_Date!A:A,Dim_Date!H:H)))</f>
        <v/>
      </c>
      <c r="U5391" t="str">
        <f>IF(Pipeline_tbl[[#This Row],[Closed_Date]]=0,"",Pipeline_tbl[[#This Row],[Closed_Date]]-Pipeline_tbl[[#This Row],[Created_Date]])</f>
        <v/>
      </c>
    </row>
    <row r="5392" spans="1:21" ht="15" customHeight="1" x14ac:dyDescent="0.2">
      <c r="A5392" t="s">
        <v>5698</v>
      </c>
      <c r="B5392" t="s">
        <v>241</v>
      </c>
      <c r="C5392" t="s">
        <v>52</v>
      </c>
      <c r="D5392" s="49">
        <v>46018</v>
      </c>
      <c r="E5392" s="49">
        <v>46019</v>
      </c>
      <c r="F5392" s="49">
        <v>46021</v>
      </c>
      <c r="J5392" t="s">
        <v>308</v>
      </c>
      <c r="K5392" s="33">
        <v>4300</v>
      </c>
      <c r="M5392" t="str">
        <f>_xlfn.XLOOKUP(Pipeline_tbl[[#This Row],[Rep_ID]],Dim_Reps!A:A,Dim_Reps!K:K)</f>
        <v>EUR</v>
      </c>
      <c r="N5392" s="33">
        <f>(_xlfn.XLOOKUP(Pipeline_tbl[[#This Row],[Rate_Code_Generalized]],Lookups!A:A,Lookups!B:B))*Pipeline_tbl[[#This Row],[Pipeline_Amount_USD]]</f>
        <v>4300</v>
      </c>
      <c r="O5392" t="str">
        <f>_xlfn.XLOOKUP(Pipeline_tbl[[#This Row],[Rep_ID]],Dim_Reps!A:A,Dim_Reps!B:B)</f>
        <v>Kenji Weber</v>
      </c>
      <c r="P5392" t="str">
        <f>_xlfn.XLOOKUP(Pipeline_tbl[[#This Row],[Rep_ID]],Dim_Reps!A:A,Dim_Reps!C:C)</f>
        <v>SDR / Inside Sales Rep</v>
      </c>
      <c r="Q5392" t="str">
        <f>_xlfn.XLOOKUP(Pipeline_tbl[[#This Row],[Rep_ID]],Dim_Reps!A:A,Dim_Reps!D:D)</f>
        <v>Inside Sales</v>
      </c>
      <c r="R5392" t="str">
        <f>_xlfn.XLOOKUP(Pipeline_tbl[[#This Row],[Rep_ID]],Dim_Reps!A:A,Dim_Reps!E:E)</f>
        <v>APAC</v>
      </c>
      <c r="S5392" t="str">
        <f>_xlfn.XLOOKUP(Pipeline_tbl[[#This Row],[Created_Date]],Dim_Date!A:A,Dim_Date!H:H)</f>
        <v>Dec 2025</v>
      </c>
      <c r="T5392" t="str">
        <f>IF(Pipeline_tbl[[#This Row],[Closed_Date]]=0,"",(_xlfn.XLOOKUP(Pipeline_tbl[[#This Row],[Closed_Date]],Dim_Date!A:A,Dim_Date!H:H)))</f>
        <v/>
      </c>
      <c r="U5392" t="str">
        <f>IF(Pipeline_tbl[[#This Row],[Closed_Date]]=0,"",Pipeline_tbl[[#This Row],[Closed_Date]]-Pipeline_tbl[[#This Row],[Created_Date]])</f>
        <v/>
      </c>
    </row>
    <row r="5393" spans="1:21" ht="15" customHeight="1" x14ac:dyDescent="0.2">
      <c r="A5393" t="s">
        <v>5699</v>
      </c>
      <c r="B5393" t="s">
        <v>241</v>
      </c>
      <c r="C5393" t="s">
        <v>52</v>
      </c>
      <c r="D5393" s="49">
        <v>46000</v>
      </c>
      <c r="E5393" s="49">
        <v>46002</v>
      </c>
      <c r="F5393" s="49">
        <v>46007</v>
      </c>
      <c r="G5393" s="49">
        <v>46014</v>
      </c>
      <c r="H5393" s="49">
        <v>46020</v>
      </c>
      <c r="J5393" t="s">
        <v>308</v>
      </c>
      <c r="K5393" s="33">
        <v>3000</v>
      </c>
      <c r="M5393" t="str">
        <f>_xlfn.XLOOKUP(Pipeline_tbl[[#This Row],[Rep_ID]],Dim_Reps!A:A,Dim_Reps!K:K)</f>
        <v>EUR</v>
      </c>
      <c r="N5393" s="33">
        <f>(_xlfn.XLOOKUP(Pipeline_tbl[[#This Row],[Rate_Code_Generalized]],Lookups!A:A,Lookups!B:B))*Pipeline_tbl[[#This Row],[Pipeline_Amount_USD]]</f>
        <v>3000</v>
      </c>
      <c r="O5393" t="str">
        <f>_xlfn.XLOOKUP(Pipeline_tbl[[#This Row],[Rep_ID]],Dim_Reps!A:A,Dim_Reps!B:B)</f>
        <v>Kenji Weber</v>
      </c>
      <c r="P5393" t="str">
        <f>_xlfn.XLOOKUP(Pipeline_tbl[[#This Row],[Rep_ID]],Dim_Reps!A:A,Dim_Reps!C:C)</f>
        <v>SDR / Inside Sales Rep</v>
      </c>
      <c r="Q5393" t="str">
        <f>_xlfn.XLOOKUP(Pipeline_tbl[[#This Row],[Rep_ID]],Dim_Reps!A:A,Dim_Reps!D:D)</f>
        <v>Inside Sales</v>
      </c>
      <c r="R5393" t="str">
        <f>_xlfn.XLOOKUP(Pipeline_tbl[[#This Row],[Rep_ID]],Dim_Reps!A:A,Dim_Reps!E:E)</f>
        <v>APAC</v>
      </c>
      <c r="S5393" t="str">
        <f>_xlfn.XLOOKUP(Pipeline_tbl[[#This Row],[Created_Date]],Dim_Date!A:A,Dim_Date!H:H)</f>
        <v>Dec 2025</v>
      </c>
      <c r="T5393" t="str">
        <f>IF(Pipeline_tbl[[#This Row],[Closed_Date]]=0,"",(_xlfn.XLOOKUP(Pipeline_tbl[[#This Row],[Closed_Date]],Dim_Date!A:A,Dim_Date!H:H)))</f>
        <v/>
      </c>
      <c r="U5393" t="str">
        <f>IF(Pipeline_tbl[[#This Row],[Closed_Date]]=0,"",Pipeline_tbl[[#This Row],[Closed_Date]]-Pipeline_tbl[[#This Row],[Created_Date]])</f>
        <v/>
      </c>
    </row>
    <row r="5394" spans="1:21" ht="15" customHeight="1" x14ac:dyDescent="0.2">
      <c r="A5394" t="s">
        <v>5700</v>
      </c>
      <c r="B5394" t="s">
        <v>241</v>
      </c>
      <c r="C5394" t="s">
        <v>53</v>
      </c>
      <c r="D5394" s="49">
        <v>46019</v>
      </c>
      <c r="E5394" s="49">
        <v>46021</v>
      </c>
      <c r="J5394" t="s">
        <v>308</v>
      </c>
      <c r="K5394" s="33">
        <v>5300</v>
      </c>
      <c r="M5394" t="str">
        <f>_xlfn.XLOOKUP(Pipeline_tbl[[#This Row],[Rep_ID]],Dim_Reps!A:A,Dim_Reps!K:K)</f>
        <v>EUR</v>
      </c>
      <c r="N5394" s="33">
        <f>(_xlfn.XLOOKUP(Pipeline_tbl[[#This Row],[Rate_Code_Generalized]],Lookups!A:A,Lookups!B:B))*Pipeline_tbl[[#This Row],[Pipeline_Amount_USD]]</f>
        <v>5300</v>
      </c>
      <c r="O5394" t="str">
        <f>_xlfn.XLOOKUP(Pipeline_tbl[[#This Row],[Rep_ID]],Dim_Reps!A:A,Dim_Reps!B:B)</f>
        <v>Kenji Weber</v>
      </c>
      <c r="P5394" t="str">
        <f>_xlfn.XLOOKUP(Pipeline_tbl[[#This Row],[Rep_ID]],Dim_Reps!A:A,Dim_Reps!C:C)</f>
        <v>SDR / Inside Sales Rep</v>
      </c>
      <c r="Q5394" t="str">
        <f>_xlfn.XLOOKUP(Pipeline_tbl[[#This Row],[Rep_ID]],Dim_Reps!A:A,Dim_Reps!D:D)</f>
        <v>Inside Sales</v>
      </c>
      <c r="R5394" t="str">
        <f>_xlfn.XLOOKUP(Pipeline_tbl[[#This Row],[Rep_ID]],Dim_Reps!A:A,Dim_Reps!E:E)</f>
        <v>APAC</v>
      </c>
      <c r="S5394" t="str">
        <f>_xlfn.XLOOKUP(Pipeline_tbl[[#This Row],[Created_Date]],Dim_Date!A:A,Dim_Date!H:H)</f>
        <v>Dec 2025</v>
      </c>
      <c r="T5394" t="str">
        <f>IF(Pipeline_tbl[[#This Row],[Closed_Date]]=0,"",(_xlfn.XLOOKUP(Pipeline_tbl[[#This Row],[Closed_Date]],Dim_Date!A:A,Dim_Date!H:H)))</f>
        <v/>
      </c>
      <c r="U5394" t="str">
        <f>IF(Pipeline_tbl[[#This Row],[Closed_Date]]=0,"",Pipeline_tbl[[#This Row],[Closed_Date]]-Pipeline_tbl[[#This Row],[Created_Date]])</f>
        <v/>
      </c>
    </row>
    <row r="5395" spans="1:21" ht="15" customHeight="1" x14ac:dyDescent="0.2">
      <c r="A5395" t="s">
        <v>5701</v>
      </c>
      <c r="B5395" t="s">
        <v>241</v>
      </c>
      <c r="C5395" t="s">
        <v>52</v>
      </c>
      <c r="D5395" s="49">
        <v>46018</v>
      </c>
      <c r="E5395" s="49">
        <v>46020</v>
      </c>
      <c r="J5395" t="s">
        <v>308</v>
      </c>
      <c r="K5395" s="33">
        <v>5100</v>
      </c>
      <c r="M5395" t="str">
        <f>_xlfn.XLOOKUP(Pipeline_tbl[[#This Row],[Rep_ID]],Dim_Reps!A:A,Dim_Reps!K:K)</f>
        <v>EUR</v>
      </c>
      <c r="N5395" s="33">
        <f>(_xlfn.XLOOKUP(Pipeline_tbl[[#This Row],[Rate_Code_Generalized]],Lookups!A:A,Lookups!B:B))*Pipeline_tbl[[#This Row],[Pipeline_Amount_USD]]</f>
        <v>5100</v>
      </c>
      <c r="O5395" t="str">
        <f>_xlfn.XLOOKUP(Pipeline_tbl[[#This Row],[Rep_ID]],Dim_Reps!A:A,Dim_Reps!B:B)</f>
        <v>Kenji Weber</v>
      </c>
      <c r="P5395" t="str">
        <f>_xlfn.XLOOKUP(Pipeline_tbl[[#This Row],[Rep_ID]],Dim_Reps!A:A,Dim_Reps!C:C)</f>
        <v>SDR / Inside Sales Rep</v>
      </c>
      <c r="Q5395" t="str">
        <f>_xlfn.XLOOKUP(Pipeline_tbl[[#This Row],[Rep_ID]],Dim_Reps!A:A,Dim_Reps!D:D)</f>
        <v>Inside Sales</v>
      </c>
      <c r="R5395" t="str">
        <f>_xlfn.XLOOKUP(Pipeline_tbl[[#This Row],[Rep_ID]],Dim_Reps!A:A,Dim_Reps!E:E)</f>
        <v>APAC</v>
      </c>
      <c r="S5395" t="str">
        <f>_xlfn.XLOOKUP(Pipeline_tbl[[#This Row],[Created_Date]],Dim_Date!A:A,Dim_Date!H:H)</f>
        <v>Dec 2025</v>
      </c>
      <c r="T5395" t="str">
        <f>IF(Pipeline_tbl[[#This Row],[Closed_Date]]=0,"",(_xlfn.XLOOKUP(Pipeline_tbl[[#This Row],[Closed_Date]],Dim_Date!A:A,Dim_Date!H:H)))</f>
        <v/>
      </c>
      <c r="U5395" t="str">
        <f>IF(Pipeline_tbl[[#This Row],[Closed_Date]]=0,"",Pipeline_tbl[[#This Row],[Closed_Date]]-Pipeline_tbl[[#This Row],[Created_Date]])</f>
        <v/>
      </c>
    </row>
    <row r="5396" spans="1:21" ht="15" customHeight="1" x14ac:dyDescent="0.2">
      <c r="A5396" t="s">
        <v>5702</v>
      </c>
      <c r="B5396" t="s">
        <v>193</v>
      </c>
      <c r="C5396" t="s">
        <v>52</v>
      </c>
      <c r="D5396" s="49">
        <v>45998</v>
      </c>
      <c r="E5396" s="49">
        <v>46000</v>
      </c>
      <c r="F5396" s="49">
        <v>46003</v>
      </c>
      <c r="I5396" s="49">
        <v>46014</v>
      </c>
      <c r="J5396" t="s">
        <v>49</v>
      </c>
      <c r="K5396" s="33">
        <v>3800</v>
      </c>
      <c r="L5396" t="s">
        <v>60</v>
      </c>
      <c r="M5396" t="str">
        <f>_xlfn.XLOOKUP(Pipeline_tbl[[#This Row],[Rep_ID]],Dim_Reps!A:A,Dim_Reps!K:K)</f>
        <v>USD</v>
      </c>
      <c r="N5396" s="33">
        <f>(_xlfn.XLOOKUP(Pipeline_tbl[[#This Row],[Rate_Code_Generalized]],Lookups!A:A,Lookups!B:B))*Pipeline_tbl[[#This Row],[Pipeline_Amount_USD]]</f>
        <v>4424.3399999999992</v>
      </c>
      <c r="O5396" t="str">
        <f>_xlfn.XLOOKUP(Pipeline_tbl[[#This Row],[Rep_ID]],Dim_Reps!A:A,Dim_Reps!B:B)</f>
        <v>Karim Rossi</v>
      </c>
      <c r="P5396" t="str">
        <f>_xlfn.XLOOKUP(Pipeline_tbl[[#This Row],[Rep_ID]],Dim_Reps!A:A,Dim_Reps!C:C)</f>
        <v>SDR / Inside Sales Rep</v>
      </c>
      <c r="Q5396" t="str">
        <f>_xlfn.XLOOKUP(Pipeline_tbl[[#This Row],[Rep_ID]],Dim_Reps!A:A,Dim_Reps!D:D)</f>
        <v>Inside Sales</v>
      </c>
      <c r="R5396" t="str">
        <f>_xlfn.XLOOKUP(Pipeline_tbl[[#This Row],[Rep_ID]],Dim_Reps!A:A,Dim_Reps!E:E)</f>
        <v>NAMER</v>
      </c>
      <c r="S5396" t="str">
        <f>_xlfn.XLOOKUP(Pipeline_tbl[[#This Row],[Created_Date]],Dim_Date!A:A,Dim_Date!H:H)</f>
        <v>Dec 2025</v>
      </c>
      <c r="T5396" t="str">
        <f>IF(Pipeline_tbl[[#This Row],[Closed_Date]]=0,"",(_xlfn.XLOOKUP(Pipeline_tbl[[#This Row],[Closed_Date]],Dim_Date!A:A,Dim_Date!H:H)))</f>
        <v>Dec 2025</v>
      </c>
      <c r="U5396">
        <f>IF(Pipeline_tbl[[#This Row],[Closed_Date]]=0,"",Pipeline_tbl[[#This Row],[Closed_Date]]-Pipeline_tbl[[#This Row],[Created_Date]])</f>
        <v>16</v>
      </c>
    </row>
    <row r="5397" spans="1:21" ht="15" customHeight="1" x14ac:dyDescent="0.2">
      <c r="A5397" t="s">
        <v>5703</v>
      </c>
      <c r="B5397" t="s">
        <v>193</v>
      </c>
      <c r="C5397" t="s">
        <v>56</v>
      </c>
      <c r="D5397" s="49">
        <v>46003</v>
      </c>
      <c r="E5397" s="49">
        <v>46005</v>
      </c>
      <c r="F5397" s="49">
        <v>46008</v>
      </c>
      <c r="I5397" s="49">
        <v>46021</v>
      </c>
      <c r="J5397" t="s">
        <v>49</v>
      </c>
      <c r="K5397" s="33">
        <v>1000</v>
      </c>
      <c r="L5397" t="s">
        <v>60</v>
      </c>
      <c r="M5397" t="str">
        <f>_xlfn.XLOOKUP(Pipeline_tbl[[#This Row],[Rep_ID]],Dim_Reps!A:A,Dim_Reps!K:K)</f>
        <v>USD</v>
      </c>
      <c r="N5397" s="33">
        <f>(_xlfn.XLOOKUP(Pipeline_tbl[[#This Row],[Rate_Code_Generalized]],Lookups!A:A,Lookups!B:B))*Pipeline_tbl[[#This Row],[Pipeline_Amount_USD]]</f>
        <v>1164.3</v>
      </c>
      <c r="O5397" t="str">
        <f>_xlfn.XLOOKUP(Pipeline_tbl[[#This Row],[Rep_ID]],Dim_Reps!A:A,Dim_Reps!B:B)</f>
        <v>Karim Rossi</v>
      </c>
      <c r="P5397" t="str">
        <f>_xlfn.XLOOKUP(Pipeline_tbl[[#This Row],[Rep_ID]],Dim_Reps!A:A,Dim_Reps!C:C)</f>
        <v>SDR / Inside Sales Rep</v>
      </c>
      <c r="Q5397" t="str">
        <f>_xlfn.XLOOKUP(Pipeline_tbl[[#This Row],[Rep_ID]],Dim_Reps!A:A,Dim_Reps!D:D)</f>
        <v>Inside Sales</v>
      </c>
      <c r="R5397" t="str">
        <f>_xlfn.XLOOKUP(Pipeline_tbl[[#This Row],[Rep_ID]],Dim_Reps!A:A,Dim_Reps!E:E)</f>
        <v>NAMER</v>
      </c>
      <c r="S5397" t="str">
        <f>_xlfn.XLOOKUP(Pipeline_tbl[[#This Row],[Created_Date]],Dim_Date!A:A,Dim_Date!H:H)</f>
        <v>Dec 2025</v>
      </c>
      <c r="T5397" t="str">
        <f>IF(Pipeline_tbl[[#This Row],[Closed_Date]]=0,"",(_xlfn.XLOOKUP(Pipeline_tbl[[#This Row],[Closed_Date]],Dim_Date!A:A,Dim_Date!H:H)))</f>
        <v>Dec 2025</v>
      </c>
      <c r="U5397">
        <f>IF(Pipeline_tbl[[#This Row],[Closed_Date]]=0,"",Pipeline_tbl[[#This Row],[Closed_Date]]-Pipeline_tbl[[#This Row],[Created_Date]])</f>
        <v>18</v>
      </c>
    </row>
    <row r="5398" spans="1:21" ht="15" customHeight="1" x14ac:dyDescent="0.2">
      <c r="A5398" t="s">
        <v>5704</v>
      </c>
      <c r="B5398" t="s">
        <v>193</v>
      </c>
      <c r="C5398" t="s">
        <v>52</v>
      </c>
      <c r="D5398" s="49">
        <v>46005</v>
      </c>
      <c r="E5398" s="49">
        <v>46007</v>
      </c>
      <c r="F5398" s="49">
        <v>46010</v>
      </c>
      <c r="G5398" s="49">
        <v>46015</v>
      </c>
      <c r="I5398" s="49">
        <v>46021</v>
      </c>
      <c r="J5398" t="s">
        <v>49</v>
      </c>
      <c r="K5398" s="33">
        <v>6100</v>
      </c>
      <c r="L5398" t="s">
        <v>60</v>
      </c>
      <c r="M5398" t="str">
        <f>_xlfn.XLOOKUP(Pipeline_tbl[[#This Row],[Rep_ID]],Dim_Reps!A:A,Dim_Reps!K:K)</f>
        <v>USD</v>
      </c>
      <c r="N5398" s="33">
        <f>(_xlfn.XLOOKUP(Pipeline_tbl[[#This Row],[Rate_Code_Generalized]],Lookups!A:A,Lookups!B:B))*Pipeline_tbl[[#This Row],[Pipeline_Amount_USD]]</f>
        <v>7102.23</v>
      </c>
      <c r="O5398" t="str">
        <f>_xlfn.XLOOKUP(Pipeline_tbl[[#This Row],[Rep_ID]],Dim_Reps!A:A,Dim_Reps!B:B)</f>
        <v>Karim Rossi</v>
      </c>
      <c r="P5398" t="str">
        <f>_xlfn.XLOOKUP(Pipeline_tbl[[#This Row],[Rep_ID]],Dim_Reps!A:A,Dim_Reps!C:C)</f>
        <v>SDR / Inside Sales Rep</v>
      </c>
      <c r="Q5398" t="str">
        <f>_xlfn.XLOOKUP(Pipeline_tbl[[#This Row],[Rep_ID]],Dim_Reps!A:A,Dim_Reps!D:D)</f>
        <v>Inside Sales</v>
      </c>
      <c r="R5398" t="str">
        <f>_xlfn.XLOOKUP(Pipeline_tbl[[#This Row],[Rep_ID]],Dim_Reps!A:A,Dim_Reps!E:E)</f>
        <v>NAMER</v>
      </c>
      <c r="S5398" t="str">
        <f>_xlfn.XLOOKUP(Pipeline_tbl[[#This Row],[Created_Date]],Dim_Date!A:A,Dim_Date!H:H)</f>
        <v>Dec 2025</v>
      </c>
      <c r="T5398" t="str">
        <f>IF(Pipeline_tbl[[#This Row],[Closed_Date]]=0,"",(_xlfn.XLOOKUP(Pipeline_tbl[[#This Row],[Closed_Date]],Dim_Date!A:A,Dim_Date!H:H)))</f>
        <v>Dec 2025</v>
      </c>
      <c r="U5398">
        <f>IF(Pipeline_tbl[[#This Row],[Closed_Date]]=0,"",Pipeline_tbl[[#This Row],[Closed_Date]]-Pipeline_tbl[[#This Row],[Created_Date]])</f>
        <v>16</v>
      </c>
    </row>
    <row r="5399" spans="1:21" ht="15" customHeight="1" x14ac:dyDescent="0.2">
      <c r="A5399" t="s">
        <v>5705</v>
      </c>
      <c r="B5399" t="s">
        <v>193</v>
      </c>
      <c r="C5399" t="s">
        <v>53</v>
      </c>
      <c r="D5399" s="49">
        <v>45994</v>
      </c>
      <c r="E5399" s="49">
        <v>45996</v>
      </c>
      <c r="F5399" s="49">
        <v>46000</v>
      </c>
      <c r="I5399" s="49">
        <v>46013</v>
      </c>
      <c r="J5399" t="s">
        <v>49</v>
      </c>
      <c r="K5399" s="33">
        <v>3100</v>
      </c>
      <c r="L5399" t="s">
        <v>62</v>
      </c>
      <c r="M5399" t="str">
        <f>_xlfn.XLOOKUP(Pipeline_tbl[[#This Row],[Rep_ID]],Dim_Reps!A:A,Dim_Reps!K:K)</f>
        <v>USD</v>
      </c>
      <c r="N5399" s="33">
        <f>(_xlfn.XLOOKUP(Pipeline_tbl[[#This Row],[Rate_Code_Generalized]],Lookups!A:A,Lookups!B:B))*Pipeline_tbl[[#This Row],[Pipeline_Amount_USD]]</f>
        <v>3609.3299999999995</v>
      </c>
      <c r="O5399" t="str">
        <f>_xlfn.XLOOKUP(Pipeline_tbl[[#This Row],[Rep_ID]],Dim_Reps!A:A,Dim_Reps!B:B)</f>
        <v>Karim Rossi</v>
      </c>
      <c r="P5399" t="str">
        <f>_xlfn.XLOOKUP(Pipeline_tbl[[#This Row],[Rep_ID]],Dim_Reps!A:A,Dim_Reps!C:C)</f>
        <v>SDR / Inside Sales Rep</v>
      </c>
      <c r="Q5399" t="str">
        <f>_xlfn.XLOOKUP(Pipeline_tbl[[#This Row],[Rep_ID]],Dim_Reps!A:A,Dim_Reps!D:D)</f>
        <v>Inside Sales</v>
      </c>
      <c r="R5399" t="str">
        <f>_xlfn.XLOOKUP(Pipeline_tbl[[#This Row],[Rep_ID]],Dim_Reps!A:A,Dim_Reps!E:E)</f>
        <v>NAMER</v>
      </c>
      <c r="S5399" t="str">
        <f>_xlfn.XLOOKUP(Pipeline_tbl[[#This Row],[Created_Date]],Dim_Date!A:A,Dim_Date!H:H)</f>
        <v>Dec 2025</v>
      </c>
      <c r="T5399" t="str">
        <f>IF(Pipeline_tbl[[#This Row],[Closed_Date]]=0,"",(_xlfn.XLOOKUP(Pipeline_tbl[[#This Row],[Closed_Date]],Dim_Date!A:A,Dim_Date!H:H)))</f>
        <v>Dec 2025</v>
      </c>
      <c r="U5399">
        <f>IF(Pipeline_tbl[[#This Row],[Closed_Date]]=0,"",Pipeline_tbl[[#This Row],[Closed_Date]]-Pipeline_tbl[[#This Row],[Created_Date]])</f>
        <v>19</v>
      </c>
    </row>
    <row r="5400" spans="1:21" ht="15" customHeight="1" x14ac:dyDescent="0.2">
      <c r="A5400" t="s">
        <v>5706</v>
      </c>
      <c r="B5400" t="s">
        <v>193</v>
      </c>
      <c r="C5400" t="s">
        <v>52</v>
      </c>
      <c r="D5400" s="49">
        <v>46002</v>
      </c>
      <c r="E5400" s="49">
        <v>46004</v>
      </c>
      <c r="F5400" s="49">
        <v>46007</v>
      </c>
      <c r="G5400" s="49">
        <v>46012</v>
      </c>
      <c r="H5400" s="49">
        <v>46016</v>
      </c>
      <c r="I5400" s="49">
        <v>46019</v>
      </c>
      <c r="J5400" t="s">
        <v>47</v>
      </c>
      <c r="K5400" s="33">
        <v>2700</v>
      </c>
      <c r="M5400" t="str">
        <f>_xlfn.XLOOKUP(Pipeline_tbl[[#This Row],[Rep_ID]],Dim_Reps!A:A,Dim_Reps!K:K)</f>
        <v>USD</v>
      </c>
      <c r="N5400" s="33">
        <f>(_xlfn.XLOOKUP(Pipeline_tbl[[#This Row],[Rate_Code_Generalized]],Lookups!A:A,Lookups!B:B))*Pipeline_tbl[[#This Row],[Pipeline_Amount_USD]]</f>
        <v>3143.6099999999997</v>
      </c>
      <c r="O5400" t="str">
        <f>_xlfn.XLOOKUP(Pipeline_tbl[[#This Row],[Rep_ID]],Dim_Reps!A:A,Dim_Reps!B:B)</f>
        <v>Karim Rossi</v>
      </c>
      <c r="P5400" t="str">
        <f>_xlfn.XLOOKUP(Pipeline_tbl[[#This Row],[Rep_ID]],Dim_Reps!A:A,Dim_Reps!C:C)</f>
        <v>SDR / Inside Sales Rep</v>
      </c>
      <c r="Q5400" t="str">
        <f>_xlfn.XLOOKUP(Pipeline_tbl[[#This Row],[Rep_ID]],Dim_Reps!A:A,Dim_Reps!D:D)</f>
        <v>Inside Sales</v>
      </c>
      <c r="R5400" t="str">
        <f>_xlfn.XLOOKUP(Pipeline_tbl[[#This Row],[Rep_ID]],Dim_Reps!A:A,Dim_Reps!E:E)</f>
        <v>NAMER</v>
      </c>
      <c r="S5400" t="str">
        <f>_xlfn.XLOOKUP(Pipeline_tbl[[#This Row],[Created_Date]],Dim_Date!A:A,Dim_Date!H:H)</f>
        <v>Dec 2025</v>
      </c>
      <c r="T5400" t="str">
        <f>IF(Pipeline_tbl[[#This Row],[Closed_Date]]=0,"",(_xlfn.XLOOKUP(Pipeline_tbl[[#This Row],[Closed_Date]],Dim_Date!A:A,Dim_Date!H:H)))</f>
        <v>Dec 2025</v>
      </c>
      <c r="U5400">
        <f>IF(Pipeline_tbl[[#This Row],[Closed_Date]]=0,"",Pipeline_tbl[[#This Row],[Closed_Date]]-Pipeline_tbl[[#This Row],[Created_Date]])</f>
        <v>17</v>
      </c>
    </row>
    <row r="5401" spans="1:21" ht="15" customHeight="1" x14ac:dyDescent="0.2">
      <c r="A5401" t="s">
        <v>5707</v>
      </c>
      <c r="B5401" t="s">
        <v>243</v>
      </c>
      <c r="C5401" t="s">
        <v>55</v>
      </c>
      <c r="D5401" s="49">
        <v>45999</v>
      </c>
      <c r="E5401" s="49">
        <v>46000</v>
      </c>
      <c r="F5401" s="49">
        <v>46002</v>
      </c>
      <c r="G5401" s="49">
        <v>46006</v>
      </c>
      <c r="H5401" s="49">
        <v>46008</v>
      </c>
      <c r="I5401" s="49">
        <v>46010</v>
      </c>
      <c r="J5401" t="s">
        <v>47</v>
      </c>
      <c r="K5401" s="33">
        <v>8400</v>
      </c>
      <c r="M5401" t="str">
        <f>_xlfn.XLOOKUP(Pipeline_tbl[[#This Row],[Rep_ID]],Dim_Reps!A:A,Dim_Reps!K:K)</f>
        <v>MXN</v>
      </c>
      <c r="N5401" s="33">
        <f>(_xlfn.XLOOKUP(Pipeline_tbl[[#This Row],[Rate_Code_Generalized]],Lookups!A:A,Lookups!B:B))*Pipeline_tbl[[#This Row],[Pipeline_Amount_USD]]</f>
        <v>165754.68000000002</v>
      </c>
      <c r="O5401" t="str">
        <f>_xlfn.XLOOKUP(Pipeline_tbl[[#This Row],[Rep_ID]],Dim_Reps!A:A,Dim_Reps!B:B)</f>
        <v>Jonas Sato</v>
      </c>
      <c r="P5401" t="str">
        <f>_xlfn.XLOOKUP(Pipeline_tbl[[#This Row],[Rep_ID]],Dim_Reps!A:A,Dim_Reps!C:C)</f>
        <v>Mid-Market AE</v>
      </c>
      <c r="Q5401" t="str">
        <f>_xlfn.XLOOKUP(Pipeline_tbl[[#This Row],[Rep_ID]],Dim_Reps!A:A,Dim_Reps!D:D)</f>
        <v>Mid-Market</v>
      </c>
      <c r="R5401" t="str">
        <f>_xlfn.XLOOKUP(Pipeline_tbl[[#This Row],[Rep_ID]],Dim_Reps!A:A,Dim_Reps!E:E)</f>
        <v>LATAM</v>
      </c>
      <c r="S5401" t="str">
        <f>_xlfn.XLOOKUP(Pipeline_tbl[[#This Row],[Created_Date]],Dim_Date!A:A,Dim_Date!H:H)</f>
        <v>Dec 2025</v>
      </c>
      <c r="T5401" t="str">
        <f>IF(Pipeline_tbl[[#This Row],[Closed_Date]]=0,"",(_xlfn.XLOOKUP(Pipeline_tbl[[#This Row],[Closed_Date]],Dim_Date!A:A,Dim_Date!H:H)))</f>
        <v>Dec 2025</v>
      </c>
      <c r="U5401">
        <f>IF(Pipeline_tbl[[#This Row],[Closed_Date]]=0,"",Pipeline_tbl[[#This Row],[Closed_Date]]-Pipeline_tbl[[#This Row],[Created_Date]])</f>
        <v>11</v>
      </c>
    </row>
    <row r="5402" spans="1:21" ht="15" customHeight="1" x14ac:dyDescent="0.2">
      <c r="A5402" t="s">
        <v>5708</v>
      </c>
      <c r="B5402" t="s">
        <v>196</v>
      </c>
      <c r="C5402" t="s">
        <v>52</v>
      </c>
      <c r="D5402" s="49">
        <v>46004</v>
      </c>
      <c r="E5402" s="49">
        <v>46006</v>
      </c>
      <c r="F5402" s="49">
        <v>46009</v>
      </c>
      <c r="I5402" s="49">
        <v>46022</v>
      </c>
      <c r="J5402" t="s">
        <v>49</v>
      </c>
      <c r="K5402" s="33">
        <v>2000</v>
      </c>
      <c r="L5402" t="s">
        <v>60</v>
      </c>
      <c r="M5402" t="str">
        <f>_xlfn.XLOOKUP(Pipeline_tbl[[#This Row],[Rep_ID]],Dim_Reps!A:A,Dim_Reps!K:K)</f>
        <v>EUR</v>
      </c>
      <c r="N5402" s="33">
        <f>(_xlfn.XLOOKUP(Pipeline_tbl[[#This Row],[Rate_Code_Generalized]],Lookups!A:A,Lookups!B:B))*Pipeline_tbl[[#This Row],[Pipeline_Amount_USD]]</f>
        <v>2000</v>
      </c>
      <c r="O5402" t="str">
        <f>_xlfn.XLOOKUP(Pipeline_tbl[[#This Row],[Rep_ID]],Dim_Reps!A:A,Dim_Reps!B:B)</f>
        <v>Alex Okafor</v>
      </c>
      <c r="P5402" t="str">
        <f>_xlfn.XLOOKUP(Pipeline_tbl[[#This Row],[Rep_ID]],Dim_Reps!A:A,Dim_Reps!C:C)</f>
        <v>SDR / Inside Sales Rep</v>
      </c>
      <c r="Q5402" t="str">
        <f>_xlfn.XLOOKUP(Pipeline_tbl[[#This Row],[Rep_ID]],Dim_Reps!A:A,Dim_Reps!D:D)</f>
        <v>Inside Sales</v>
      </c>
      <c r="R5402" t="str">
        <f>_xlfn.XLOOKUP(Pipeline_tbl[[#This Row],[Rep_ID]],Dim_Reps!A:A,Dim_Reps!E:E)</f>
        <v>EMEA</v>
      </c>
      <c r="S5402" t="str">
        <f>_xlfn.XLOOKUP(Pipeline_tbl[[#This Row],[Created_Date]],Dim_Date!A:A,Dim_Date!H:H)</f>
        <v>Dec 2025</v>
      </c>
      <c r="T5402" t="str">
        <f>IF(Pipeline_tbl[[#This Row],[Closed_Date]]=0,"",(_xlfn.XLOOKUP(Pipeline_tbl[[#This Row],[Closed_Date]],Dim_Date!A:A,Dim_Date!H:H)))</f>
        <v>Dec 2025</v>
      </c>
      <c r="U5402">
        <f>IF(Pipeline_tbl[[#This Row],[Closed_Date]]=0,"",Pipeline_tbl[[#This Row],[Closed_Date]]-Pipeline_tbl[[#This Row],[Created_Date]])</f>
        <v>18</v>
      </c>
    </row>
    <row r="5403" spans="1:21" ht="15" customHeight="1" x14ac:dyDescent="0.2">
      <c r="A5403" t="s">
        <v>5709</v>
      </c>
      <c r="B5403" t="s">
        <v>196</v>
      </c>
      <c r="C5403" t="s">
        <v>52</v>
      </c>
      <c r="D5403" s="49">
        <v>46014</v>
      </c>
      <c r="E5403" s="49">
        <v>46015</v>
      </c>
      <c r="F5403" s="49">
        <v>46016</v>
      </c>
      <c r="G5403" s="49">
        <v>46019</v>
      </c>
      <c r="H5403" s="49">
        <v>46021</v>
      </c>
      <c r="I5403" s="49">
        <v>46022</v>
      </c>
      <c r="J5403" t="s">
        <v>47</v>
      </c>
      <c r="K5403" s="33">
        <v>2000</v>
      </c>
      <c r="M5403" t="str">
        <f>_xlfn.XLOOKUP(Pipeline_tbl[[#This Row],[Rep_ID]],Dim_Reps!A:A,Dim_Reps!K:K)</f>
        <v>EUR</v>
      </c>
      <c r="N5403" s="33">
        <f>(_xlfn.XLOOKUP(Pipeline_tbl[[#This Row],[Rate_Code_Generalized]],Lookups!A:A,Lookups!B:B))*Pipeline_tbl[[#This Row],[Pipeline_Amount_USD]]</f>
        <v>2000</v>
      </c>
      <c r="O5403" t="str">
        <f>_xlfn.XLOOKUP(Pipeline_tbl[[#This Row],[Rep_ID]],Dim_Reps!A:A,Dim_Reps!B:B)</f>
        <v>Alex Okafor</v>
      </c>
      <c r="P5403" t="str">
        <f>_xlfn.XLOOKUP(Pipeline_tbl[[#This Row],[Rep_ID]],Dim_Reps!A:A,Dim_Reps!C:C)</f>
        <v>SDR / Inside Sales Rep</v>
      </c>
      <c r="Q5403" t="str">
        <f>_xlfn.XLOOKUP(Pipeline_tbl[[#This Row],[Rep_ID]],Dim_Reps!A:A,Dim_Reps!D:D)</f>
        <v>Inside Sales</v>
      </c>
      <c r="R5403" t="str">
        <f>_xlfn.XLOOKUP(Pipeline_tbl[[#This Row],[Rep_ID]],Dim_Reps!A:A,Dim_Reps!E:E)</f>
        <v>EMEA</v>
      </c>
      <c r="S5403" t="str">
        <f>_xlfn.XLOOKUP(Pipeline_tbl[[#This Row],[Created_Date]],Dim_Date!A:A,Dim_Date!H:H)</f>
        <v>Dec 2025</v>
      </c>
      <c r="T5403" t="str">
        <f>IF(Pipeline_tbl[[#This Row],[Closed_Date]]=0,"",(_xlfn.XLOOKUP(Pipeline_tbl[[#This Row],[Closed_Date]],Dim_Date!A:A,Dim_Date!H:H)))</f>
        <v>Dec 2025</v>
      </c>
      <c r="U5403">
        <f>IF(Pipeline_tbl[[#This Row],[Closed_Date]]=0,"",Pipeline_tbl[[#This Row],[Closed_Date]]-Pipeline_tbl[[#This Row],[Created_Date]])</f>
        <v>8</v>
      </c>
    </row>
    <row r="5404" spans="1:21" ht="15" customHeight="1" x14ac:dyDescent="0.2">
      <c r="A5404" t="s">
        <v>5710</v>
      </c>
      <c r="B5404" t="s">
        <v>196</v>
      </c>
      <c r="C5404" t="s">
        <v>52</v>
      </c>
      <c r="D5404" s="49">
        <v>45998</v>
      </c>
      <c r="E5404" s="49">
        <v>46000</v>
      </c>
      <c r="F5404" s="49">
        <v>46003</v>
      </c>
      <c r="G5404" s="49">
        <v>46008</v>
      </c>
      <c r="H5404" s="49">
        <v>46012</v>
      </c>
      <c r="I5404" s="49">
        <v>46015</v>
      </c>
      <c r="J5404" t="s">
        <v>47</v>
      </c>
      <c r="K5404" s="33">
        <v>2900</v>
      </c>
      <c r="M5404" t="str">
        <f>_xlfn.XLOOKUP(Pipeline_tbl[[#This Row],[Rep_ID]],Dim_Reps!A:A,Dim_Reps!K:K)</f>
        <v>EUR</v>
      </c>
      <c r="N5404" s="33">
        <f>(_xlfn.XLOOKUP(Pipeline_tbl[[#This Row],[Rate_Code_Generalized]],Lookups!A:A,Lookups!B:B))*Pipeline_tbl[[#This Row],[Pipeline_Amount_USD]]</f>
        <v>2900</v>
      </c>
      <c r="O5404" t="str">
        <f>_xlfn.XLOOKUP(Pipeline_tbl[[#This Row],[Rep_ID]],Dim_Reps!A:A,Dim_Reps!B:B)</f>
        <v>Alex Okafor</v>
      </c>
      <c r="P5404" t="str">
        <f>_xlfn.XLOOKUP(Pipeline_tbl[[#This Row],[Rep_ID]],Dim_Reps!A:A,Dim_Reps!C:C)</f>
        <v>SDR / Inside Sales Rep</v>
      </c>
      <c r="Q5404" t="str">
        <f>_xlfn.XLOOKUP(Pipeline_tbl[[#This Row],[Rep_ID]],Dim_Reps!A:A,Dim_Reps!D:D)</f>
        <v>Inside Sales</v>
      </c>
      <c r="R5404" t="str">
        <f>_xlfn.XLOOKUP(Pipeline_tbl[[#This Row],[Rep_ID]],Dim_Reps!A:A,Dim_Reps!E:E)</f>
        <v>EMEA</v>
      </c>
      <c r="S5404" t="str">
        <f>_xlfn.XLOOKUP(Pipeline_tbl[[#This Row],[Created_Date]],Dim_Date!A:A,Dim_Date!H:H)</f>
        <v>Dec 2025</v>
      </c>
      <c r="T5404" t="str">
        <f>IF(Pipeline_tbl[[#This Row],[Closed_Date]]=0,"",(_xlfn.XLOOKUP(Pipeline_tbl[[#This Row],[Closed_Date]],Dim_Date!A:A,Dim_Date!H:H)))</f>
        <v>Dec 2025</v>
      </c>
      <c r="U5404">
        <f>IF(Pipeline_tbl[[#This Row],[Closed_Date]]=0,"",Pipeline_tbl[[#This Row],[Closed_Date]]-Pipeline_tbl[[#This Row],[Created_Date]])</f>
        <v>17</v>
      </c>
    </row>
    <row r="5405" spans="1:21" ht="15" customHeight="1" x14ac:dyDescent="0.2">
      <c r="A5405" t="s">
        <v>5711</v>
      </c>
      <c r="B5405" t="s">
        <v>196</v>
      </c>
      <c r="C5405" t="s">
        <v>52</v>
      </c>
      <c r="D5405" s="49">
        <v>45994</v>
      </c>
      <c r="E5405" s="49">
        <v>45996</v>
      </c>
      <c r="F5405" s="49">
        <v>46000</v>
      </c>
      <c r="G5405" s="49">
        <v>46005</v>
      </c>
      <c r="H5405" s="49">
        <v>46010</v>
      </c>
      <c r="I5405" s="49">
        <v>46013</v>
      </c>
      <c r="J5405" t="s">
        <v>49</v>
      </c>
      <c r="K5405" s="33">
        <v>2900</v>
      </c>
      <c r="L5405" t="s">
        <v>61</v>
      </c>
      <c r="M5405" t="str">
        <f>_xlfn.XLOOKUP(Pipeline_tbl[[#This Row],[Rep_ID]],Dim_Reps!A:A,Dim_Reps!K:K)</f>
        <v>EUR</v>
      </c>
      <c r="N5405" s="33">
        <f>(_xlfn.XLOOKUP(Pipeline_tbl[[#This Row],[Rate_Code_Generalized]],Lookups!A:A,Lookups!B:B))*Pipeline_tbl[[#This Row],[Pipeline_Amount_USD]]</f>
        <v>2900</v>
      </c>
      <c r="O5405" t="str">
        <f>_xlfn.XLOOKUP(Pipeline_tbl[[#This Row],[Rep_ID]],Dim_Reps!A:A,Dim_Reps!B:B)</f>
        <v>Alex Okafor</v>
      </c>
      <c r="P5405" t="str">
        <f>_xlfn.XLOOKUP(Pipeline_tbl[[#This Row],[Rep_ID]],Dim_Reps!A:A,Dim_Reps!C:C)</f>
        <v>SDR / Inside Sales Rep</v>
      </c>
      <c r="Q5405" t="str">
        <f>_xlfn.XLOOKUP(Pipeline_tbl[[#This Row],[Rep_ID]],Dim_Reps!A:A,Dim_Reps!D:D)</f>
        <v>Inside Sales</v>
      </c>
      <c r="R5405" t="str">
        <f>_xlfn.XLOOKUP(Pipeline_tbl[[#This Row],[Rep_ID]],Dim_Reps!A:A,Dim_Reps!E:E)</f>
        <v>EMEA</v>
      </c>
      <c r="S5405" t="str">
        <f>_xlfn.XLOOKUP(Pipeline_tbl[[#This Row],[Created_Date]],Dim_Date!A:A,Dim_Date!H:H)</f>
        <v>Dec 2025</v>
      </c>
      <c r="T5405" t="str">
        <f>IF(Pipeline_tbl[[#This Row],[Closed_Date]]=0,"",(_xlfn.XLOOKUP(Pipeline_tbl[[#This Row],[Closed_Date]],Dim_Date!A:A,Dim_Date!H:H)))</f>
        <v>Dec 2025</v>
      </c>
      <c r="U5405">
        <f>IF(Pipeline_tbl[[#This Row],[Closed_Date]]=0,"",Pipeline_tbl[[#This Row],[Closed_Date]]-Pipeline_tbl[[#This Row],[Created_Date]])</f>
        <v>19</v>
      </c>
    </row>
    <row r="5406" spans="1:21" ht="15" customHeight="1" x14ac:dyDescent="0.2">
      <c r="A5406" t="s">
        <v>5712</v>
      </c>
      <c r="B5406" t="s">
        <v>196</v>
      </c>
      <c r="C5406" t="s">
        <v>52</v>
      </c>
      <c r="D5406" s="49">
        <v>45999</v>
      </c>
      <c r="E5406" s="49">
        <v>46001</v>
      </c>
      <c r="F5406" s="49">
        <v>46005</v>
      </c>
      <c r="G5406" s="49">
        <v>46011</v>
      </c>
      <c r="H5406" s="49">
        <v>46016</v>
      </c>
      <c r="I5406" s="49">
        <v>46019</v>
      </c>
      <c r="J5406" t="s">
        <v>47</v>
      </c>
      <c r="K5406" s="33">
        <v>6100</v>
      </c>
      <c r="M5406" t="str">
        <f>_xlfn.XLOOKUP(Pipeline_tbl[[#This Row],[Rep_ID]],Dim_Reps!A:A,Dim_Reps!K:K)</f>
        <v>EUR</v>
      </c>
      <c r="N5406" s="33">
        <f>(_xlfn.XLOOKUP(Pipeline_tbl[[#This Row],[Rate_Code_Generalized]],Lookups!A:A,Lookups!B:B))*Pipeline_tbl[[#This Row],[Pipeline_Amount_USD]]</f>
        <v>6100</v>
      </c>
      <c r="O5406" t="str">
        <f>_xlfn.XLOOKUP(Pipeline_tbl[[#This Row],[Rep_ID]],Dim_Reps!A:A,Dim_Reps!B:B)</f>
        <v>Alex Okafor</v>
      </c>
      <c r="P5406" t="str">
        <f>_xlfn.XLOOKUP(Pipeline_tbl[[#This Row],[Rep_ID]],Dim_Reps!A:A,Dim_Reps!C:C)</f>
        <v>SDR / Inside Sales Rep</v>
      </c>
      <c r="Q5406" t="str">
        <f>_xlfn.XLOOKUP(Pipeline_tbl[[#This Row],[Rep_ID]],Dim_Reps!A:A,Dim_Reps!D:D)</f>
        <v>Inside Sales</v>
      </c>
      <c r="R5406" t="str">
        <f>_xlfn.XLOOKUP(Pipeline_tbl[[#This Row],[Rep_ID]],Dim_Reps!A:A,Dim_Reps!E:E)</f>
        <v>EMEA</v>
      </c>
      <c r="S5406" t="str">
        <f>_xlfn.XLOOKUP(Pipeline_tbl[[#This Row],[Created_Date]],Dim_Date!A:A,Dim_Date!H:H)</f>
        <v>Dec 2025</v>
      </c>
      <c r="T5406" t="str">
        <f>IF(Pipeline_tbl[[#This Row],[Closed_Date]]=0,"",(_xlfn.XLOOKUP(Pipeline_tbl[[#This Row],[Closed_Date]],Dim_Date!A:A,Dim_Date!H:H)))</f>
        <v>Dec 2025</v>
      </c>
      <c r="U5406">
        <f>IF(Pipeline_tbl[[#This Row],[Closed_Date]]=0,"",Pipeline_tbl[[#This Row],[Closed_Date]]-Pipeline_tbl[[#This Row],[Created_Date]])</f>
        <v>20</v>
      </c>
    </row>
    <row r="5407" spans="1:21" ht="15" customHeight="1" x14ac:dyDescent="0.2">
      <c r="A5407" t="s">
        <v>5713</v>
      </c>
      <c r="B5407" t="s">
        <v>196</v>
      </c>
      <c r="C5407" t="s">
        <v>52</v>
      </c>
      <c r="D5407" s="49">
        <v>45995</v>
      </c>
      <c r="E5407" s="49">
        <v>45996</v>
      </c>
      <c r="F5407" s="49">
        <v>45999</v>
      </c>
      <c r="G5407" s="49">
        <v>46003</v>
      </c>
      <c r="H5407" s="49">
        <v>46007</v>
      </c>
      <c r="I5407" s="49">
        <v>46009</v>
      </c>
      <c r="J5407" t="s">
        <v>47</v>
      </c>
      <c r="K5407" s="33">
        <v>2700</v>
      </c>
      <c r="M5407" t="str">
        <f>_xlfn.XLOOKUP(Pipeline_tbl[[#This Row],[Rep_ID]],Dim_Reps!A:A,Dim_Reps!K:K)</f>
        <v>EUR</v>
      </c>
      <c r="N5407" s="33">
        <f>(_xlfn.XLOOKUP(Pipeline_tbl[[#This Row],[Rate_Code_Generalized]],Lookups!A:A,Lookups!B:B))*Pipeline_tbl[[#This Row],[Pipeline_Amount_USD]]</f>
        <v>2700</v>
      </c>
      <c r="O5407" t="str">
        <f>_xlfn.XLOOKUP(Pipeline_tbl[[#This Row],[Rep_ID]],Dim_Reps!A:A,Dim_Reps!B:B)</f>
        <v>Alex Okafor</v>
      </c>
      <c r="P5407" t="str">
        <f>_xlfn.XLOOKUP(Pipeline_tbl[[#This Row],[Rep_ID]],Dim_Reps!A:A,Dim_Reps!C:C)</f>
        <v>SDR / Inside Sales Rep</v>
      </c>
      <c r="Q5407" t="str">
        <f>_xlfn.XLOOKUP(Pipeline_tbl[[#This Row],[Rep_ID]],Dim_Reps!A:A,Dim_Reps!D:D)</f>
        <v>Inside Sales</v>
      </c>
      <c r="R5407" t="str">
        <f>_xlfn.XLOOKUP(Pipeline_tbl[[#This Row],[Rep_ID]],Dim_Reps!A:A,Dim_Reps!E:E)</f>
        <v>EMEA</v>
      </c>
      <c r="S5407" t="str">
        <f>_xlfn.XLOOKUP(Pipeline_tbl[[#This Row],[Created_Date]],Dim_Date!A:A,Dim_Date!H:H)</f>
        <v>Dec 2025</v>
      </c>
      <c r="T5407" t="str">
        <f>IF(Pipeline_tbl[[#This Row],[Closed_Date]]=0,"",(_xlfn.XLOOKUP(Pipeline_tbl[[#This Row],[Closed_Date]],Dim_Date!A:A,Dim_Date!H:H)))</f>
        <v>Dec 2025</v>
      </c>
      <c r="U5407">
        <f>IF(Pipeline_tbl[[#This Row],[Closed_Date]]=0,"",Pipeline_tbl[[#This Row],[Closed_Date]]-Pipeline_tbl[[#This Row],[Created_Date]])</f>
        <v>14</v>
      </c>
    </row>
    <row r="5408" spans="1:21" ht="15" customHeight="1" x14ac:dyDescent="0.2">
      <c r="A5408" t="s">
        <v>5714</v>
      </c>
      <c r="B5408" t="s">
        <v>196</v>
      </c>
      <c r="C5408" t="s">
        <v>53</v>
      </c>
      <c r="D5408" s="49">
        <v>46001</v>
      </c>
      <c r="E5408" s="49">
        <v>46003</v>
      </c>
      <c r="F5408" s="49">
        <v>46007</v>
      </c>
      <c r="G5408" s="49">
        <v>46013</v>
      </c>
      <c r="H5408" s="49">
        <v>46018</v>
      </c>
      <c r="I5408" s="49">
        <v>46021</v>
      </c>
      <c r="J5408" t="s">
        <v>47</v>
      </c>
      <c r="K5408" s="33">
        <v>2800</v>
      </c>
      <c r="M5408" t="str">
        <f>_xlfn.XLOOKUP(Pipeline_tbl[[#This Row],[Rep_ID]],Dim_Reps!A:A,Dim_Reps!K:K)</f>
        <v>EUR</v>
      </c>
      <c r="N5408" s="33">
        <f>(_xlfn.XLOOKUP(Pipeline_tbl[[#This Row],[Rate_Code_Generalized]],Lookups!A:A,Lookups!B:B))*Pipeline_tbl[[#This Row],[Pipeline_Amount_USD]]</f>
        <v>2800</v>
      </c>
      <c r="O5408" t="str">
        <f>_xlfn.XLOOKUP(Pipeline_tbl[[#This Row],[Rep_ID]],Dim_Reps!A:A,Dim_Reps!B:B)</f>
        <v>Alex Okafor</v>
      </c>
      <c r="P5408" t="str">
        <f>_xlfn.XLOOKUP(Pipeline_tbl[[#This Row],[Rep_ID]],Dim_Reps!A:A,Dim_Reps!C:C)</f>
        <v>SDR / Inside Sales Rep</v>
      </c>
      <c r="Q5408" t="str">
        <f>_xlfn.XLOOKUP(Pipeline_tbl[[#This Row],[Rep_ID]],Dim_Reps!A:A,Dim_Reps!D:D)</f>
        <v>Inside Sales</v>
      </c>
      <c r="R5408" t="str">
        <f>_xlfn.XLOOKUP(Pipeline_tbl[[#This Row],[Rep_ID]],Dim_Reps!A:A,Dim_Reps!E:E)</f>
        <v>EMEA</v>
      </c>
      <c r="S5408" t="str">
        <f>_xlfn.XLOOKUP(Pipeline_tbl[[#This Row],[Created_Date]],Dim_Date!A:A,Dim_Date!H:H)</f>
        <v>Dec 2025</v>
      </c>
      <c r="T5408" t="str">
        <f>IF(Pipeline_tbl[[#This Row],[Closed_Date]]=0,"",(_xlfn.XLOOKUP(Pipeline_tbl[[#This Row],[Closed_Date]],Dim_Date!A:A,Dim_Date!H:H)))</f>
        <v>Dec 2025</v>
      </c>
      <c r="U5408">
        <f>IF(Pipeline_tbl[[#This Row],[Closed_Date]]=0,"",Pipeline_tbl[[#This Row],[Closed_Date]]-Pipeline_tbl[[#This Row],[Created_Date]])</f>
        <v>20</v>
      </c>
    </row>
    <row r="5409" spans="1:21" ht="15" customHeight="1" x14ac:dyDescent="0.2">
      <c r="A5409" t="s">
        <v>5715</v>
      </c>
      <c r="B5409" t="s">
        <v>199</v>
      </c>
      <c r="C5409" t="s">
        <v>53</v>
      </c>
      <c r="D5409" s="49">
        <v>45999</v>
      </c>
      <c r="E5409" s="49">
        <v>46001</v>
      </c>
      <c r="F5409" s="49">
        <v>46004</v>
      </c>
      <c r="G5409" s="49">
        <v>46010</v>
      </c>
      <c r="I5409" s="49">
        <v>46017</v>
      </c>
      <c r="J5409" t="s">
        <v>49</v>
      </c>
      <c r="K5409" s="33">
        <v>4400</v>
      </c>
      <c r="L5409" t="s">
        <v>60</v>
      </c>
      <c r="M5409" t="str">
        <f>_xlfn.XLOOKUP(Pipeline_tbl[[#This Row],[Rep_ID]],Dim_Reps!A:A,Dim_Reps!K:K)</f>
        <v>EUR</v>
      </c>
      <c r="N5409" s="33">
        <f>(_xlfn.XLOOKUP(Pipeline_tbl[[#This Row],[Rate_Code_Generalized]],Lookups!A:A,Lookups!B:B))*Pipeline_tbl[[#This Row],[Pipeline_Amount_USD]]</f>
        <v>4400</v>
      </c>
      <c r="O5409" t="str">
        <f>_xlfn.XLOOKUP(Pipeline_tbl[[#This Row],[Rep_ID]],Dim_Reps!A:A,Dim_Reps!B:B)</f>
        <v>Lucas Okafor</v>
      </c>
      <c r="P5409" t="str">
        <f>_xlfn.XLOOKUP(Pipeline_tbl[[#This Row],[Rep_ID]],Dim_Reps!A:A,Dim_Reps!C:C)</f>
        <v>SDR / Inside Sales Rep</v>
      </c>
      <c r="Q5409" t="str">
        <f>_xlfn.XLOOKUP(Pipeline_tbl[[#This Row],[Rep_ID]],Dim_Reps!A:A,Dim_Reps!D:D)</f>
        <v>Inside Sales</v>
      </c>
      <c r="R5409" t="str">
        <f>_xlfn.XLOOKUP(Pipeline_tbl[[#This Row],[Rep_ID]],Dim_Reps!A:A,Dim_Reps!E:E)</f>
        <v>APAC</v>
      </c>
      <c r="S5409" t="str">
        <f>_xlfn.XLOOKUP(Pipeline_tbl[[#This Row],[Created_Date]],Dim_Date!A:A,Dim_Date!H:H)</f>
        <v>Dec 2025</v>
      </c>
      <c r="T5409" t="str">
        <f>IF(Pipeline_tbl[[#This Row],[Closed_Date]]=0,"",(_xlfn.XLOOKUP(Pipeline_tbl[[#This Row],[Closed_Date]],Dim_Date!A:A,Dim_Date!H:H)))</f>
        <v>Dec 2025</v>
      </c>
      <c r="U5409">
        <f>IF(Pipeline_tbl[[#This Row],[Closed_Date]]=0,"",Pipeline_tbl[[#This Row],[Closed_Date]]-Pipeline_tbl[[#This Row],[Created_Date]])</f>
        <v>18</v>
      </c>
    </row>
    <row r="5410" spans="1:21" ht="15" customHeight="1" x14ac:dyDescent="0.2">
      <c r="A5410" t="s">
        <v>5716</v>
      </c>
      <c r="B5410" t="s">
        <v>199</v>
      </c>
      <c r="C5410" t="s">
        <v>55</v>
      </c>
      <c r="D5410" s="49">
        <v>46001</v>
      </c>
      <c r="E5410" s="49">
        <v>46003</v>
      </c>
      <c r="F5410" s="49">
        <v>46006</v>
      </c>
      <c r="G5410" s="49">
        <v>46011</v>
      </c>
      <c r="H5410" s="49">
        <v>46015</v>
      </c>
      <c r="I5410" s="49">
        <v>46017</v>
      </c>
      <c r="J5410" t="s">
        <v>47</v>
      </c>
      <c r="K5410" s="33">
        <v>4600</v>
      </c>
      <c r="M5410" t="str">
        <f>_xlfn.XLOOKUP(Pipeline_tbl[[#This Row],[Rep_ID]],Dim_Reps!A:A,Dim_Reps!K:K)</f>
        <v>EUR</v>
      </c>
      <c r="N5410" s="33">
        <f>(_xlfn.XLOOKUP(Pipeline_tbl[[#This Row],[Rate_Code_Generalized]],Lookups!A:A,Lookups!B:B))*Pipeline_tbl[[#This Row],[Pipeline_Amount_USD]]</f>
        <v>4600</v>
      </c>
      <c r="O5410" t="str">
        <f>_xlfn.XLOOKUP(Pipeline_tbl[[#This Row],[Rep_ID]],Dim_Reps!A:A,Dim_Reps!B:B)</f>
        <v>Lucas Okafor</v>
      </c>
      <c r="P5410" t="str">
        <f>_xlfn.XLOOKUP(Pipeline_tbl[[#This Row],[Rep_ID]],Dim_Reps!A:A,Dim_Reps!C:C)</f>
        <v>SDR / Inside Sales Rep</v>
      </c>
      <c r="Q5410" t="str">
        <f>_xlfn.XLOOKUP(Pipeline_tbl[[#This Row],[Rep_ID]],Dim_Reps!A:A,Dim_Reps!D:D)</f>
        <v>Inside Sales</v>
      </c>
      <c r="R5410" t="str">
        <f>_xlfn.XLOOKUP(Pipeline_tbl[[#This Row],[Rep_ID]],Dim_Reps!A:A,Dim_Reps!E:E)</f>
        <v>APAC</v>
      </c>
      <c r="S5410" t="str">
        <f>_xlfn.XLOOKUP(Pipeline_tbl[[#This Row],[Created_Date]],Dim_Date!A:A,Dim_Date!H:H)</f>
        <v>Dec 2025</v>
      </c>
      <c r="T5410" t="str">
        <f>IF(Pipeline_tbl[[#This Row],[Closed_Date]]=0,"",(_xlfn.XLOOKUP(Pipeline_tbl[[#This Row],[Closed_Date]],Dim_Date!A:A,Dim_Date!H:H)))</f>
        <v>Dec 2025</v>
      </c>
      <c r="U5410">
        <f>IF(Pipeline_tbl[[#This Row],[Closed_Date]]=0,"",Pipeline_tbl[[#This Row],[Closed_Date]]-Pipeline_tbl[[#This Row],[Created_Date]])</f>
        <v>16</v>
      </c>
    </row>
    <row r="5411" spans="1:21" ht="15" customHeight="1" x14ac:dyDescent="0.2">
      <c r="A5411" t="s">
        <v>5717</v>
      </c>
      <c r="B5411" t="s">
        <v>199</v>
      </c>
      <c r="C5411" t="s">
        <v>52</v>
      </c>
      <c r="D5411" s="49">
        <v>46001</v>
      </c>
      <c r="E5411" s="49">
        <v>46002</v>
      </c>
      <c r="F5411" s="49">
        <v>46004</v>
      </c>
      <c r="G5411" s="49">
        <v>46008</v>
      </c>
      <c r="H5411" s="49">
        <v>46010</v>
      </c>
      <c r="I5411" s="49">
        <v>46012</v>
      </c>
      <c r="J5411" t="s">
        <v>49</v>
      </c>
      <c r="K5411" s="33">
        <v>5200</v>
      </c>
      <c r="L5411" t="s">
        <v>60</v>
      </c>
      <c r="M5411" t="str">
        <f>_xlfn.XLOOKUP(Pipeline_tbl[[#This Row],[Rep_ID]],Dim_Reps!A:A,Dim_Reps!K:K)</f>
        <v>EUR</v>
      </c>
      <c r="N5411" s="33">
        <f>(_xlfn.XLOOKUP(Pipeline_tbl[[#This Row],[Rate_Code_Generalized]],Lookups!A:A,Lookups!B:B))*Pipeline_tbl[[#This Row],[Pipeline_Amount_USD]]</f>
        <v>5200</v>
      </c>
      <c r="O5411" t="str">
        <f>_xlfn.XLOOKUP(Pipeline_tbl[[#This Row],[Rep_ID]],Dim_Reps!A:A,Dim_Reps!B:B)</f>
        <v>Lucas Okafor</v>
      </c>
      <c r="P5411" t="str">
        <f>_xlfn.XLOOKUP(Pipeline_tbl[[#This Row],[Rep_ID]],Dim_Reps!A:A,Dim_Reps!C:C)</f>
        <v>SDR / Inside Sales Rep</v>
      </c>
      <c r="Q5411" t="str">
        <f>_xlfn.XLOOKUP(Pipeline_tbl[[#This Row],[Rep_ID]],Dim_Reps!A:A,Dim_Reps!D:D)</f>
        <v>Inside Sales</v>
      </c>
      <c r="R5411" t="str">
        <f>_xlfn.XLOOKUP(Pipeline_tbl[[#This Row],[Rep_ID]],Dim_Reps!A:A,Dim_Reps!E:E)</f>
        <v>APAC</v>
      </c>
      <c r="S5411" t="str">
        <f>_xlfn.XLOOKUP(Pipeline_tbl[[#This Row],[Created_Date]],Dim_Date!A:A,Dim_Date!H:H)</f>
        <v>Dec 2025</v>
      </c>
      <c r="T5411" t="str">
        <f>IF(Pipeline_tbl[[#This Row],[Closed_Date]]=0,"",(_xlfn.XLOOKUP(Pipeline_tbl[[#This Row],[Closed_Date]],Dim_Date!A:A,Dim_Date!H:H)))</f>
        <v>Dec 2025</v>
      </c>
      <c r="U5411">
        <f>IF(Pipeline_tbl[[#This Row],[Closed_Date]]=0,"",Pipeline_tbl[[#This Row],[Closed_Date]]-Pipeline_tbl[[#This Row],[Created_Date]])</f>
        <v>11</v>
      </c>
    </row>
    <row r="5412" spans="1:21" ht="15" customHeight="1" x14ac:dyDescent="0.2">
      <c r="A5412" t="s">
        <v>5718</v>
      </c>
      <c r="B5412" t="s">
        <v>199</v>
      </c>
      <c r="C5412" t="s">
        <v>54</v>
      </c>
      <c r="D5412" s="49">
        <v>45994</v>
      </c>
      <c r="E5412" s="49">
        <v>45996</v>
      </c>
      <c r="F5412" s="49">
        <v>46001</v>
      </c>
      <c r="G5412" s="49">
        <v>46007</v>
      </c>
      <c r="H5412" s="49">
        <v>46013</v>
      </c>
      <c r="I5412" s="49">
        <v>46016</v>
      </c>
      <c r="J5412" t="s">
        <v>47</v>
      </c>
      <c r="K5412" s="33">
        <v>3600</v>
      </c>
      <c r="M5412" t="str">
        <f>_xlfn.XLOOKUP(Pipeline_tbl[[#This Row],[Rep_ID]],Dim_Reps!A:A,Dim_Reps!K:K)</f>
        <v>EUR</v>
      </c>
      <c r="N5412" s="33">
        <f>(_xlfn.XLOOKUP(Pipeline_tbl[[#This Row],[Rate_Code_Generalized]],Lookups!A:A,Lookups!B:B))*Pipeline_tbl[[#This Row],[Pipeline_Amount_USD]]</f>
        <v>3600</v>
      </c>
      <c r="O5412" t="str">
        <f>_xlfn.XLOOKUP(Pipeline_tbl[[#This Row],[Rep_ID]],Dim_Reps!A:A,Dim_Reps!B:B)</f>
        <v>Lucas Okafor</v>
      </c>
      <c r="P5412" t="str">
        <f>_xlfn.XLOOKUP(Pipeline_tbl[[#This Row],[Rep_ID]],Dim_Reps!A:A,Dim_Reps!C:C)</f>
        <v>SDR / Inside Sales Rep</v>
      </c>
      <c r="Q5412" t="str">
        <f>_xlfn.XLOOKUP(Pipeline_tbl[[#This Row],[Rep_ID]],Dim_Reps!A:A,Dim_Reps!D:D)</f>
        <v>Inside Sales</v>
      </c>
      <c r="R5412" t="str">
        <f>_xlfn.XLOOKUP(Pipeline_tbl[[#This Row],[Rep_ID]],Dim_Reps!A:A,Dim_Reps!E:E)</f>
        <v>APAC</v>
      </c>
      <c r="S5412" t="str">
        <f>_xlfn.XLOOKUP(Pipeline_tbl[[#This Row],[Created_Date]],Dim_Date!A:A,Dim_Date!H:H)</f>
        <v>Dec 2025</v>
      </c>
      <c r="T5412" t="str">
        <f>IF(Pipeline_tbl[[#This Row],[Closed_Date]]=0,"",(_xlfn.XLOOKUP(Pipeline_tbl[[#This Row],[Closed_Date]],Dim_Date!A:A,Dim_Date!H:H)))</f>
        <v>Dec 2025</v>
      </c>
      <c r="U5412">
        <f>IF(Pipeline_tbl[[#This Row],[Closed_Date]]=0,"",Pipeline_tbl[[#This Row],[Closed_Date]]-Pipeline_tbl[[#This Row],[Created_Date]])</f>
        <v>22</v>
      </c>
    </row>
    <row r="5413" spans="1:21" ht="15" customHeight="1" x14ac:dyDescent="0.2">
      <c r="A5413" t="s">
        <v>5719</v>
      </c>
      <c r="B5413" t="s">
        <v>199</v>
      </c>
      <c r="C5413" t="s">
        <v>53</v>
      </c>
      <c r="D5413" s="49">
        <v>45999</v>
      </c>
      <c r="E5413" s="49">
        <v>46000</v>
      </c>
      <c r="F5413" s="49">
        <v>46002</v>
      </c>
      <c r="G5413" s="49">
        <v>46005</v>
      </c>
      <c r="I5413" s="49">
        <v>46009</v>
      </c>
      <c r="J5413" t="s">
        <v>49</v>
      </c>
      <c r="K5413" s="33">
        <v>3400</v>
      </c>
      <c r="L5413" t="s">
        <v>61</v>
      </c>
      <c r="M5413" t="str">
        <f>_xlfn.XLOOKUP(Pipeline_tbl[[#This Row],[Rep_ID]],Dim_Reps!A:A,Dim_Reps!K:K)</f>
        <v>EUR</v>
      </c>
      <c r="N5413" s="33">
        <f>(_xlfn.XLOOKUP(Pipeline_tbl[[#This Row],[Rate_Code_Generalized]],Lookups!A:A,Lookups!B:B))*Pipeline_tbl[[#This Row],[Pipeline_Amount_USD]]</f>
        <v>3400</v>
      </c>
      <c r="O5413" t="str">
        <f>_xlfn.XLOOKUP(Pipeline_tbl[[#This Row],[Rep_ID]],Dim_Reps!A:A,Dim_Reps!B:B)</f>
        <v>Lucas Okafor</v>
      </c>
      <c r="P5413" t="str">
        <f>_xlfn.XLOOKUP(Pipeline_tbl[[#This Row],[Rep_ID]],Dim_Reps!A:A,Dim_Reps!C:C)</f>
        <v>SDR / Inside Sales Rep</v>
      </c>
      <c r="Q5413" t="str">
        <f>_xlfn.XLOOKUP(Pipeline_tbl[[#This Row],[Rep_ID]],Dim_Reps!A:A,Dim_Reps!D:D)</f>
        <v>Inside Sales</v>
      </c>
      <c r="R5413" t="str">
        <f>_xlfn.XLOOKUP(Pipeline_tbl[[#This Row],[Rep_ID]],Dim_Reps!A:A,Dim_Reps!E:E)</f>
        <v>APAC</v>
      </c>
      <c r="S5413" t="str">
        <f>_xlfn.XLOOKUP(Pipeline_tbl[[#This Row],[Created_Date]],Dim_Date!A:A,Dim_Date!H:H)</f>
        <v>Dec 2025</v>
      </c>
      <c r="T5413" t="str">
        <f>IF(Pipeline_tbl[[#This Row],[Closed_Date]]=0,"",(_xlfn.XLOOKUP(Pipeline_tbl[[#This Row],[Closed_Date]],Dim_Date!A:A,Dim_Date!H:H)))</f>
        <v>Dec 2025</v>
      </c>
      <c r="U5413">
        <f>IF(Pipeline_tbl[[#This Row],[Closed_Date]]=0,"",Pipeline_tbl[[#This Row],[Closed_Date]]-Pipeline_tbl[[#This Row],[Created_Date]])</f>
        <v>10</v>
      </c>
    </row>
    <row r="5414" spans="1:21" ht="15" customHeight="1" x14ac:dyDescent="0.2">
      <c r="A5414" t="s">
        <v>5720</v>
      </c>
      <c r="B5414" t="s">
        <v>199</v>
      </c>
      <c r="C5414" t="s">
        <v>53</v>
      </c>
      <c r="D5414" s="49">
        <v>46000</v>
      </c>
      <c r="E5414" s="49">
        <v>46001</v>
      </c>
      <c r="F5414" s="49">
        <v>46004</v>
      </c>
      <c r="G5414" s="49">
        <v>46007</v>
      </c>
      <c r="H5414" s="49">
        <v>46010</v>
      </c>
      <c r="I5414" s="49">
        <v>46012</v>
      </c>
      <c r="J5414" t="s">
        <v>47</v>
      </c>
      <c r="K5414" s="33">
        <v>3000</v>
      </c>
      <c r="M5414" t="str">
        <f>_xlfn.XLOOKUP(Pipeline_tbl[[#This Row],[Rep_ID]],Dim_Reps!A:A,Dim_Reps!K:K)</f>
        <v>EUR</v>
      </c>
      <c r="N5414" s="33">
        <f>(_xlfn.XLOOKUP(Pipeline_tbl[[#This Row],[Rate_Code_Generalized]],Lookups!A:A,Lookups!B:B))*Pipeline_tbl[[#This Row],[Pipeline_Amount_USD]]</f>
        <v>3000</v>
      </c>
      <c r="O5414" t="str">
        <f>_xlfn.XLOOKUP(Pipeline_tbl[[#This Row],[Rep_ID]],Dim_Reps!A:A,Dim_Reps!B:B)</f>
        <v>Lucas Okafor</v>
      </c>
      <c r="P5414" t="str">
        <f>_xlfn.XLOOKUP(Pipeline_tbl[[#This Row],[Rep_ID]],Dim_Reps!A:A,Dim_Reps!C:C)</f>
        <v>SDR / Inside Sales Rep</v>
      </c>
      <c r="Q5414" t="str">
        <f>_xlfn.XLOOKUP(Pipeline_tbl[[#This Row],[Rep_ID]],Dim_Reps!A:A,Dim_Reps!D:D)</f>
        <v>Inside Sales</v>
      </c>
      <c r="R5414" t="str">
        <f>_xlfn.XLOOKUP(Pipeline_tbl[[#This Row],[Rep_ID]],Dim_Reps!A:A,Dim_Reps!E:E)</f>
        <v>APAC</v>
      </c>
      <c r="S5414" t="str">
        <f>_xlfn.XLOOKUP(Pipeline_tbl[[#This Row],[Created_Date]],Dim_Date!A:A,Dim_Date!H:H)</f>
        <v>Dec 2025</v>
      </c>
      <c r="T5414" t="str">
        <f>IF(Pipeline_tbl[[#This Row],[Closed_Date]]=0,"",(_xlfn.XLOOKUP(Pipeline_tbl[[#This Row],[Closed_Date]],Dim_Date!A:A,Dim_Date!H:H)))</f>
        <v>Dec 2025</v>
      </c>
      <c r="U5414">
        <f>IF(Pipeline_tbl[[#This Row],[Closed_Date]]=0,"",Pipeline_tbl[[#This Row],[Closed_Date]]-Pipeline_tbl[[#This Row],[Created_Date]])</f>
        <v>12</v>
      </c>
    </row>
    <row r="5415" spans="1:21" ht="15" customHeight="1" x14ac:dyDescent="0.2">
      <c r="A5415" t="s">
        <v>5721</v>
      </c>
      <c r="B5415" t="s">
        <v>201</v>
      </c>
      <c r="C5415" t="s">
        <v>54</v>
      </c>
      <c r="D5415" s="49">
        <v>46000</v>
      </c>
      <c r="E5415" s="49">
        <v>46001</v>
      </c>
      <c r="F5415" s="49">
        <v>46004</v>
      </c>
      <c r="G5415" s="49">
        <v>46008</v>
      </c>
      <c r="H5415" s="49">
        <v>46011</v>
      </c>
      <c r="I5415" s="49">
        <v>46013</v>
      </c>
      <c r="J5415" t="s">
        <v>49</v>
      </c>
      <c r="K5415" s="33">
        <v>1800</v>
      </c>
      <c r="L5415" t="s">
        <v>63</v>
      </c>
      <c r="M5415" t="str">
        <f>_xlfn.XLOOKUP(Pipeline_tbl[[#This Row],[Rep_ID]],Dim_Reps!A:A,Dim_Reps!K:K)</f>
        <v>EUR</v>
      </c>
      <c r="N5415" s="33">
        <f>(_xlfn.XLOOKUP(Pipeline_tbl[[#This Row],[Rate_Code_Generalized]],Lookups!A:A,Lookups!B:B))*Pipeline_tbl[[#This Row],[Pipeline_Amount_USD]]</f>
        <v>1800</v>
      </c>
      <c r="O5415" t="str">
        <f>_xlfn.XLOOKUP(Pipeline_tbl[[#This Row],[Rep_ID]],Dim_Reps!A:A,Dim_Reps!B:B)</f>
        <v>Sara Duarte</v>
      </c>
      <c r="P5415" t="str">
        <f>_xlfn.XLOOKUP(Pipeline_tbl[[#This Row],[Rep_ID]],Dim_Reps!A:A,Dim_Reps!C:C)</f>
        <v>SDR / Inside Sales Rep</v>
      </c>
      <c r="Q5415" t="str">
        <f>_xlfn.XLOOKUP(Pipeline_tbl[[#This Row],[Rep_ID]],Dim_Reps!A:A,Dim_Reps!D:D)</f>
        <v>Inside Sales</v>
      </c>
      <c r="R5415" t="str">
        <f>_xlfn.XLOOKUP(Pipeline_tbl[[#This Row],[Rep_ID]],Dim_Reps!A:A,Dim_Reps!E:E)</f>
        <v>APAC</v>
      </c>
      <c r="S5415" t="str">
        <f>_xlfn.XLOOKUP(Pipeline_tbl[[#This Row],[Created_Date]],Dim_Date!A:A,Dim_Date!H:H)</f>
        <v>Dec 2025</v>
      </c>
      <c r="T5415" t="str">
        <f>IF(Pipeline_tbl[[#This Row],[Closed_Date]]=0,"",(_xlfn.XLOOKUP(Pipeline_tbl[[#This Row],[Closed_Date]],Dim_Date!A:A,Dim_Date!H:H)))</f>
        <v>Dec 2025</v>
      </c>
      <c r="U5415">
        <f>IF(Pipeline_tbl[[#This Row],[Closed_Date]]=0,"",Pipeline_tbl[[#This Row],[Closed_Date]]-Pipeline_tbl[[#This Row],[Created_Date]])</f>
        <v>13</v>
      </c>
    </row>
    <row r="5416" spans="1:21" ht="15" customHeight="1" x14ac:dyDescent="0.2">
      <c r="A5416" t="s">
        <v>5722</v>
      </c>
      <c r="B5416" t="s">
        <v>201</v>
      </c>
      <c r="C5416" t="s">
        <v>52</v>
      </c>
      <c r="D5416" s="49">
        <v>46009</v>
      </c>
      <c r="E5416" s="49">
        <v>46010</v>
      </c>
      <c r="F5416" s="49">
        <v>46013</v>
      </c>
      <c r="G5416" s="49">
        <v>46016</v>
      </c>
      <c r="I5416" s="49">
        <v>46021</v>
      </c>
      <c r="J5416" t="s">
        <v>49</v>
      </c>
      <c r="K5416" s="33">
        <v>4900</v>
      </c>
      <c r="L5416" t="s">
        <v>63</v>
      </c>
      <c r="M5416" t="str">
        <f>_xlfn.XLOOKUP(Pipeline_tbl[[#This Row],[Rep_ID]],Dim_Reps!A:A,Dim_Reps!K:K)</f>
        <v>EUR</v>
      </c>
      <c r="N5416" s="33">
        <f>(_xlfn.XLOOKUP(Pipeline_tbl[[#This Row],[Rate_Code_Generalized]],Lookups!A:A,Lookups!B:B))*Pipeline_tbl[[#This Row],[Pipeline_Amount_USD]]</f>
        <v>4900</v>
      </c>
      <c r="O5416" t="str">
        <f>_xlfn.XLOOKUP(Pipeline_tbl[[#This Row],[Rep_ID]],Dim_Reps!A:A,Dim_Reps!B:B)</f>
        <v>Sara Duarte</v>
      </c>
      <c r="P5416" t="str">
        <f>_xlfn.XLOOKUP(Pipeline_tbl[[#This Row],[Rep_ID]],Dim_Reps!A:A,Dim_Reps!C:C)</f>
        <v>SDR / Inside Sales Rep</v>
      </c>
      <c r="Q5416" t="str">
        <f>_xlfn.XLOOKUP(Pipeline_tbl[[#This Row],[Rep_ID]],Dim_Reps!A:A,Dim_Reps!D:D)</f>
        <v>Inside Sales</v>
      </c>
      <c r="R5416" t="str">
        <f>_xlfn.XLOOKUP(Pipeline_tbl[[#This Row],[Rep_ID]],Dim_Reps!A:A,Dim_Reps!E:E)</f>
        <v>APAC</v>
      </c>
      <c r="S5416" t="str">
        <f>_xlfn.XLOOKUP(Pipeline_tbl[[#This Row],[Created_Date]],Dim_Date!A:A,Dim_Date!H:H)</f>
        <v>Dec 2025</v>
      </c>
      <c r="T5416" t="str">
        <f>IF(Pipeline_tbl[[#This Row],[Closed_Date]]=0,"",(_xlfn.XLOOKUP(Pipeline_tbl[[#This Row],[Closed_Date]],Dim_Date!A:A,Dim_Date!H:H)))</f>
        <v>Dec 2025</v>
      </c>
      <c r="U5416">
        <f>IF(Pipeline_tbl[[#This Row],[Closed_Date]]=0,"",Pipeline_tbl[[#This Row],[Closed_Date]]-Pipeline_tbl[[#This Row],[Created_Date]])</f>
        <v>12</v>
      </c>
    </row>
    <row r="5417" spans="1:21" ht="15" customHeight="1" x14ac:dyDescent="0.2">
      <c r="A5417" t="s">
        <v>5723</v>
      </c>
      <c r="B5417" t="s">
        <v>201</v>
      </c>
      <c r="C5417" t="s">
        <v>53</v>
      </c>
      <c r="D5417" s="49">
        <v>45994</v>
      </c>
      <c r="E5417" s="49">
        <v>45995</v>
      </c>
      <c r="F5417" s="49">
        <v>45998</v>
      </c>
      <c r="G5417" s="49">
        <v>46002</v>
      </c>
      <c r="H5417" s="49">
        <v>46006</v>
      </c>
      <c r="I5417" s="49">
        <v>46008</v>
      </c>
      <c r="J5417" t="s">
        <v>47</v>
      </c>
      <c r="K5417" s="33">
        <v>3100</v>
      </c>
      <c r="M5417" t="str">
        <f>_xlfn.XLOOKUP(Pipeline_tbl[[#This Row],[Rep_ID]],Dim_Reps!A:A,Dim_Reps!K:K)</f>
        <v>EUR</v>
      </c>
      <c r="N5417" s="33">
        <f>(_xlfn.XLOOKUP(Pipeline_tbl[[#This Row],[Rate_Code_Generalized]],Lookups!A:A,Lookups!B:B))*Pipeline_tbl[[#This Row],[Pipeline_Amount_USD]]</f>
        <v>3100</v>
      </c>
      <c r="O5417" t="str">
        <f>_xlfn.XLOOKUP(Pipeline_tbl[[#This Row],[Rep_ID]],Dim_Reps!A:A,Dim_Reps!B:B)</f>
        <v>Sara Duarte</v>
      </c>
      <c r="P5417" t="str">
        <f>_xlfn.XLOOKUP(Pipeline_tbl[[#This Row],[Rep_ID]],Dim_Reps!A:A,Dim_Reps!C:C)</f>
        <v>SDR / Inside Sales Rep</v>
      </c>
      <c r="Q5417" t="str">
        <f>_xlfn.XLOOKUP(Pipeline_tbl[[#This Row],[Rep_ID]],Dim_Reps!A:A,Dim_Reps!D:D)</f>
        <v>Inside Sales</v>
      </c>
      <c r="R5417" t="str">
        <f>_xlfn.XLOOKUP(Pipeline_tbl[[#This Row],[Rep_ID]],Dim_Reps!A:A,Dim_Reps!E:E)</f>
        <v>APAC</v>
      </c>
      <c r="S5417" t="str">
        <f>_xlfn.XLOOKUP(Pipeline_tbl[[#This Row],[Created_Date]],Dim_Date!A:A,Dim_Date!H:H)</f>
        <v>Dec 2025</v>
      </c>
      <c r="T5417" t="str">
        <f>IF(Pipeline_tbl[[#This Row],[Closed_Date]]=0,"",(_xlfn.XLOOKUP(Pipeline_tbl[[#This Row],[Closed_Date]],Dim_Date!A:A,Dim_Date!H:H)))</f>
        <v>Dec 2025</v>
      </c>
      <c r="U5417">
        <f>IF(Pipeline_tbl[[#This Row],[Closed_Date]]=0,"",Pipeline_tbl[[#This Row],[Closed_Date]]-Pipeline_tbl[[#This Row],[Created_Date]])</f>
        <v>14</v>
      </c>
    </row>
    <row r="5418" spans="1:21" ht="15" customHeight="1" x14ac:dyDescent="0.2">
      <c r="A5418" t="s">
        <v>5724</v>
      </c>
      <c r="B5418" t="s">
        <v>201</v>
      </c>
      <c r="C5418" t="s">
        <v>52</v>
      </c>
      <c r="D5418" s="49">
        <v>45993</v>
      </c>
      <c r="E5418" s="49">
        <v>45995</v>
      </c>
      <c r="F5418" s="49">
        <v>45999</v>
      </c>
      <c r="G5418" s="49">
        <v>46005</v>
      </c>
      <c r="H5418" s="49">
        <v>46010</v>
      </c>
      <c r="I5418" s="49">
        <v>46013</v>
      </c>
      <c r="J5418" t="s">
        <v>47</v>
      </c>
      <c r="K5418" s="33">
        <v>3200</v>
      </c>
      <c r="M5418" t="str">
        <f>_xlfn.XLOOKUP(Pipeline_tbl[[#This Row],[Rep_ID]],Dim_Reps!A:A,Dim_Reps!K:K)</f>
        <v>EUR</v>
      </c>
      <c r="N5418" s="33">
        <f>(_xlfn.XLOOKUP(Pipeline_tbl[[#This Row],[Rate_Code_Generalized]],Lookups!A:A,Lookups!B:B))*Pipeline_tbl[[#This Row],[Pipeline_Amount_USD]]</f>
        <v>3200</v>
      </c>
      <c r="O5418" t="str">
        <f>_xlfn.XLOOKUP(Pipeline_tbl[[#This Row],[Rep_ID]],Dim_Reps!A:A,Dim_Reps!B:B)</f>
        <v>Sara Duarte</v>
      </c>
      <c r="P5418" t="str">
        <f>_xlfn.XLOOKUP(Pipeline_tbl[[#This Row],[Rep_ID]],Dim_Reps!A:A,Dim_Reps!C:C)</f>
        <v>SDR / Inside Sales Rep</v>
      </c>
      <c r="Q5418" t="str">
        <f>_xlfn.XLOOKUP(Pipeline_tbl[[#This Row],[Rep_ID]],Dim_Reps!A:A,Dim_Reps!D:D)</f>
        <v>Inside Sales</v>
      </c>
      <c r="R5418" t="str">
        <f>_xlfn.XLOOKUP(Pipeline_tbl[[#This Row],[Rep_ID]],Dim_Reps!A:A,Dim_Reps!E:E)</f>
        <v>APAC</v>
      </c>
      <c r="S5418" t="str">
        <f>_xlfn.XLOOKUP(Pipeline_tbl[[#This Row],[Created_Date]],Dim_Date!A:A,Dim_Date!H:H)</f>
        <v>Dec 2025</v>
      </c>
      <c r="T5418" t="str">
        <f>IF(Pipeline_tbl[[#This Row],[Closed_Date]]=0,"",(_xlfn.XLOOKUP(Pipeline_tbl[[#This Row],[Closed_Date]],Dim_Date!A:A,Dim_Date!H:H)))</f>
        <v>Dec 2025</v>
      </c>
      <c r="U5418">
        <f>IF(Pipeline_tbl[[#This Row],[Closed_Date]]=0,"",Pipeline_tbl[[#This Row],[Closed_Date]]-Pipeline_tbl[[#This Row],[Created_Date]])</f>
        <v>20</v>
      </c>
    </row>
    <row r="5419" spans="1:21" ht="15" customHeight="1" x14ac:dyDescent="0.2">
      <c r="A5419" t="s">
        <v>5725</v>
      </c>
      <c r="B5419" t="s">
        <v>201</v>
      </c>
      <c r="C5419" t="s">
        <v>53</v>
      </c>
      <c r="D5419" s="49">
        <v>46005</v>
      </c>
      <c r="E5419" s="49">
        <v>46006</v>
      </c>
      <c r="I5419" s="49">
        <v>46019</v>
      </c>
      <c r="J5419" t="s">
        <v>49</v>
      </c>
      <c r="K5419" s="33">
        <v>1700</v>
      </c>
      <c r="L5419" t="s">
        <v>61</v>
      </c>
      <c r="M5419" t="str">
        <f>_xlfn.XLOOKUP(Pipeline_tbl[[#This Row],[Rep_ID]],Dim_Reps!A:A,Dim_Reps!K:K)</f>
        <v>EUR</v>
      </c>
      <c r="N5419" s="33">
        <f>(_xlfn.XLOOKUP(Pipeline_tbl[[#This Row],[Rate_Code_Generalized]],Lookups!A:A,Lookups!B:B))*Pipeline_tbl[[#This Row],[Pipeline_Amount_USD]]</f>
        <v>1700</v>
      </c>
      <c r="O5419" t="str">
        <f>_xlfn.XLOOKUP(Pipeline_tbl[[#This Row],[Rep_ID]],Dim_Reps!A:A,Dim_Reps!B:B)</f>
        <v>Sara Duarte</v>
      </c>
      <c r="P5419" t="str">
        <f>_xlfn.XLOOKUP(Pipeline_tbl[[#This Row],[Rep_ID]],Dim_Reps!A:A,Dim_Reps!C:C)</f>
        <v>SDR / Inside Sales Rep</v>
      </c>
      <c r="Q5419" t="str">
        <f>_xlfn.XLOOKUP(Pipeline_tbl[[#This Row],[Rep_ID]],Dim_Reps!A:A,Dim_Reps!D:D)</f>
        <v>Inside Sales</v>
      </c>
      <c r="R5419" t="str">
        <f>_xlfn.XLOOKUP(Pipeline_tbl[[#This Row],[Rep_ID]],Dim_Reps!A:A,Dim_Reps!E:E)</f>
        <v>APAC</v>
      </c>
      <c r="S5419" t="str">
        <f>_xlfn.XLOOKUP(Pipeline_tbl[[#This Row],[Created_Date]],Dim_Date!A:A,Dim_Date!H:H)</f>
        <v>Dec 2025</v>
      </c>
      <c r="T5419" t="str">
        <f>IF(Pipeline_tbl[[#This Row],[Closed_Date]]=0,"",(_xlfn.XLOOKUP(Pipeline_tbl[[#This Row],[Closed_Date]],Dim_Date!A:A,Dim_Date!H:H)))</f>
        <v>Dec 2025</v>
      </c>
      <c r="U5419">
        <f>IF(Pipeline_tbl[[#This Row],[Closed_Date]]=0,"",Pipeline_tbl[[#This Row],[Closed_Date]]-Pipeline_tbl[[#This Row],[Created_Date]])</f>
        <v>14</v>
      </c>
    </row>
    <row r="5420" spans="1:21" ht="15" customHeight="1" x14ac:dyDescent="0.2">
      <c r="A5420" t="s">
        <v>5726</v>
      </c>
      <c r="B5420" t="s">
        <v>201</v>
      </c>
      <c r="C5420" t="s">
        <v>53</v>
      </c>
      <c r="D5420" s="49">
        <v>46002</v>
      </c>
      <c r="E5420" s="49">
        <v>46004</v>
      </c>
      <c r="F5420" s="49">
        <v>46007</v>
      </c>
      <c r="G5420" s="49">
        <v>46011</v>
      </c>
      <c r="H5420" s="49">
        <v>46015</v>
      </c>
      <c r="I5420" s="49">
        <v>46017</v>
      </c>
      <c r="J5420" t="s">
        <v>47</v>
      </c>
      <c r="K5420" s="33">
        <v>2500</v>
      </c>
      <c r="M5420" t="str">
        <f>_xlfn.XLOOKUP(Pipeline_tbl[[#This Row],[Rep_ID]],Dim_Reps!A:A,Dim_Reps!K:K)</f>
        <v>EUR</v>
      </c>
      <c r="N5420" s="33">
        <f>(_xlfn.XLOOKUP(Pipeline_tbl[[#This Row],[Rate_Code_Generalized]],Lookups!A:A,Lookups!B:B))*Pipeline_tbl[[#This Row],[Pipeline_Amount_USD]]</f>
        <v>2500</v>
      </c>
      <c r="O5420" t="str">
        <f>_xlfn.XLOOKUP(Pipeline_tbl[[#This Row],[Rep_ID]],Dim_Reps!A:A,Dim_Reps!B:B)</f>
        <v>Sara Duarte</v>
      </c>
      <c r="P5420" t="str">
        <f>_xlfn.XLOOKUP(Pipeline_tbl[[#This Row],[Rep_ID]],Dim_Reps!A:A,Dim_Reps!C:C)</f>
        <v>SDR / Inside Sales Rep</v>
      </c>
      <c r="Q5420" t="str">
        <f>_xlfn.XLOOKUP(Pipeline_tbl[[#This Row],[Rep_ID]],Dim_Reps!A:A,Dim_Reps!D:D)</f>
        <v>Inside Sales</v>
      </c>
      <c r="R5420" t="str">
        <f>_xlfn.XLOOKUP(Pipeline_tbl[[#This Row],[Rep_ID]],Dim_Reps!A:A,Dim_Reps!E:E)</f>
        <v>APAC</v>
      </c>
      <c r="S5420" t="str">
        <f>_xlfn.XLOOKUP(Pipeline_tbl[[#This Row],[Created_Date]],Dim_Date!A:A,Dim_Date!H:H)</f>
        <v>Dec 2025</v>
      </c>
      <c r="T5420" t="str">
        <f>IF(Pipeline_tbl[[#This Row],[Closed_Date]]=0,"",(_xlfn.XLOOKUP(Pipeline_tbl[[#This Row],[Closed_Date]],Dim_Date!A:A,Dim_Date!H:H)))</f>
        <v>Dec 2025</v>
      </c>
      <c r="U5420">
        <f>IF(Pipeline_tbl[[#This Row],[Closed_Date]]=0,"",Pipeline_tbl[[#This Row],[Closed_Date]]-Pipeline_tbl[[#This Row],[Created_Date]])</f>
        <v>15</v>
      </c>
    </row>
    <row r="5421" spans="1:21" ht="15" customHeight="1" x14ac:dyDescent="0.2">
      <c r="A5421" t="s">
        <v>5727</v>
      </c>
      <c r="B5421" t="s">
        <v>203</v>
      </c>
      <c r="C5421" t="s">
        <v>52</v>
      </c>
      <c r="D5421" s="49">
        <v>45994</v>
      </c>
      <c r="E5421" s="49">
        <v>45995</v>
      </c>
      <c r="F5421" s="49">
        <v>45998</v>
      </c>
      <c r="G5421" s="49">
        <v>46002</v>
      </c>
      <c r="H5421" s="49">
        <v>46005</v>
      </c>
      <c r="I5421" s="49">
        <v>46007</v>
      </c>
      <c r="J5421" t="s">
        <v>47</v>
      </c>
      <c r="K5421" s="33">
        <v>9100</v>
      </c>
      <c r="M5421" t="str">
        <f>_xlfn.XLOOKUP(Pipeline_tbl[[#This Row],[Rep_ID]],Dim_Reps!A:A,Dim_Reps!K:K)</f>
        <v>EUR</v>
      </c>
      <c r="N5421" s="33">
        <f>(_xlfn.XLOOKUP(Pipeline_tbl[[#This Row],[Rate_Code_Generalized]],Lookups!A:A,Lookups!B:B))*Pipeline_tbl[[#This Row],[Pipeline_Amount_USD]]</f>
        <v>9100</v>
      </c>
      <c r="O5421" t="str">
        <f>_xlfn.XLOOKUP(Pipeline_tbl[[#This Row],[Rep_ID]],Dim_Reps!A:A,Dim_Reps!B:B)</f>
        <v>Riley Haddad</v>
      </c>
      <c r="P5421" t="str">
        <f>_xlfn.XLOOKUP(Pipeline_tbl[[#This Row],[Rep_ID]],Dim_Reps!A:A,Dim_Reps!C:C)</f>
        <v>SDR / Inside Sales Rep</v>
      </c>
      <c r="Q5421" t="str">
        <f>_xlfn.XLOOKUP(Pipeline_tbl[[#This Row],[Rep_ID]],Dim_Reps!A:A,Dim_Reps!D:D)</f>
        <v>Inside Sales</v>
      </c>
      <c r="R5421" t="str">
        <f>_xlfn.XLOOKUP(Pipeline_tbl[[#This Row],[Rep_ID]],Dim_Reps!A:A,Dim_Reps!E:E)</f>
        <v>APAC</v>
      </c>
      <c r="S5421" t="str">
        <f>_xlfn.XLOOKUP(Pipeline_tbl[[#This Row],[Created_Date]],Dim_Date!A:A,Dim_Date!H:H)</f>
        <v>Dec 2025</v>
      </c>
      <c r="T5421" t="str">
        <f>IF(Pipeline_tbl[[#This Row],[Closed_Date]]=0,"",(_xlfn.XLOOKUP(Pipeline_tbl[[#This Row],[Closed_Date]],Dim_Date!A:A,Dim_Date!H:H)))</f>
        <v>Dec 2025</v>
      </c>
      <c r="U5421">
        <f>IF(Pipeline_tbl[[#This Row],[Closed_Date]]=0,"",Pipeline_tbl[[#This Row],[Closed_Date]]-Pipeline_tbl[[#This Row],[Created_Date]])</f>
        <v>13</v>
      </c>
    </row>
    <row r="5422" spans="1:21" ht="15" customHeight="1" x14ac:dyDescent="0.2">
      <c r="A5422" t="s">
        <v>5728</v>
      </c>
      <c r="B5422" t="s">
        <v>203</v>
      </c>
      <c r="C5422" t="s">
        <v>52</v>
      </c>
      <c r="D5422" s="49">
        <v>46005</v>
      </c>
      <c r="E5422" s="49">
        <v>46007</v>
      </c>
      <c r="F5422" s="49">
        <v>46010</v>
      </c>
      <c r="G5422" s="49">
        <v>46015</v>
      </c>
      <c r="H5422" s="49">
        <v>46019</v>
      </c>
      <c r="I5422" s="49">
        <v>46021</v>
      </c>
      <c r="J5422" t="s">
        <v>49</v>
      </c>
      <c r="K5422" s="33">
        <v>8300</v>
      </c>
      <c r="L5422" t="s">
        <v>60</v>
      </c>
      <c r="M5422" t="str">
        <f>_xlfn.XLOOKUP(Pipeline_tbl[[#This Row],[Rep_ID]],Dim_Reps!A:A,Dim_Reps!K:K)</f>
        <v>EUR</v>
      </c>
      <c r="N5422" s="33">
        <f>(_xlfn.XLOOKUP(Pipeline_tbl[[#This Row],[Rate_Code_Generalized]],Lookups!A:A,Lookups!B:B))*Pipeline_tbl[[#This Row],[Pipeline_Amount_USD]]</f>
        <v>8300</v>
      </c>
      <c r="O5422" t="str">
        <f>_xlfn.XLOOKUP(Pipeline_tbl[[#This Row],[Rep_ID]],Dim_Reps!A:A,Dim_Reps!B:B)</f>
        <v>Riley Haddad</v>
      </c>
      <c r="P5422" t="str">
        <f>_xlfn.XLOOKUP(Pipeline_tbl[[#This Row],[Rep_ID]],Dim_Reps!A:A,Dim_Reps!C:C)</f>
        <v>SDR / Inside Sales Rep</v>
      </c>
      <c r="Q5422" t="str">
        <f>_xlfn.XLOOKUP(Pipeline_tbl[[#This Row],[Rep_ID]],Dim_Reps!A:A,Dim_Reps!D:D)</f>
        <v>Inside Sales</v>
      </c>
      <c r="R5422" t="str">
        <f>_xlfn.XLOOKUP(Pipeline_tbl[[#This Row],[Rep_ID]],Dim_Reps!A:A,Dim_Reps!E:E)</f>
        <v>APAC</v>
      </c>
      <c r="S5422" t="str">
        <f>_xlfn.XLOOKUP(Pipeline_tbl[[#This Row],[Created_Date]],Dim_Date!A:A,Dim_Date!H:H)</f>
        <v>Dec 2025</v>
      </c>
      <c r="T5422" t="str">
        <f>IF(Pipeline_tbl[[#This Row],[Closed_Date]]=0,"",(_xlfn.XLOOKUP(Pipeline_tbl[[#This Row],[Closed_Date]],Dim_Date!A:A,Dim_Date!H:H)))</f>
        <v>Dec 2025</v>
      </c>
      <c r="U5422">
        <f>IF(Pipeline_tbl[[#This Row],[Closed_Date]]=0,"",Pipeline_tbl[[#This Row],[Closed_Date]]-Pipeline_tbl[[#This Row],[Created_Date]])</f>
        <v>16</v>
      </c>
    </row>
    <row r="5423" spans="1:21" ht="15" customHeight="1" x14ac:dyDescent="0.2">
      <c r="A5423" t="s">
        <v>5729</v>
      </c>
      <c r="B5423" t="s">
        <v>203</v>
      </c>
      <c r="C5423" t="s">
        <v>55</v>
      </c>
      <c r="D5423" s="49">
        <v>45997</v>
      </c>
      <c r="E5423" s="49">
        <v>45999</v>
      </c>
      <c r="F5423" s="49">
        <v>46002</v>
      </c>
      <c r="G5423" s="49">
        <v>46007</v>
      </c>
      <c r="H5423" s="49">
        <v>46011</v>
      </c>
      <c r="I5423" s="49">
        <v>46013</v>
      </c>
      <c r="J5423" t="s">
        <v>47</v>
      </c>
      <c r="K5423" s="33">
        <v>2700</v>
      </c>
      <c r="M5423" t="str">
        <f>_xlfn.XLOOKUP(Pipeline_tbl[[#This Row],[Rep_ID]],Dim_Reps!A:A,Dim_Reps!K:K)</f>
        <v>EUR</v>
      </c>
      <c r="N5423" s="33">
        <f>(_xlfn.XLOOKUP(Pipeline_tbl[[#This Row],[Rate_Code_Generalized]],Lookups!A:A,Lookups!B:B))*Pipeline_tbl[[#This Row],[Pipeline_Amount_USD]]</f>
        <v>2700</v>
      </c>
      <c r="O5423" t="str">
        <f>_xlfn.XLOOKUP(Pipeline_tbl[[#This Row],[Rep_ID]],Dim_Reps!A:A,Dim_Reps!B:B)</f>
        <v>Riley Haddad</v>
      </c>
      <c r="P5423" t="str">
        <f>_xlfn.XLOOKUP(Pipeline_tbl[[#This Row],[Rep_ID]],Dim_Reps!A:A,Dim_Reps!C:C)</f>
        <v>SDR / Inside Sales Rep</v>
      </c>
      <c r="Q5423" t="str">
        <f>_xlfn.XLOOKUP(Pipeline_tbl[[#This Row],[Rep_ID]],Dim_Reps!A:A,Dim_Reps!D:D)</f>
        <v>Inside Sales</v>
      </c>
      <c r="R5423" t="str">
        <f>_xlfn.XLOOKUP(Pipeline_tbl[[#This Row],[Rep_ID]],Dim_Reps!A:A,Dim_Reps!E:E)</f>
        <v>APAC</v>
      </c>
      <c r="S5423" t="str">
        <f>_xlfn.XLOOKUP(Pipeline_tbl[[#This Row],[Created_Date]],Dim_Date!A:A,Dim_Date!H:H)</f>
        <v>Dec 2025</v>
      </c>
      <c r="T5423" t="str">
        <f>IF(Pipeline_tbl[[#This Row],[Closed_Date]]=0,"",(_xlfn.XLOOKUP(Pipeline_tbl[[#This Row],[Closed_Date]],Dim_Date!A:A,Dim_Date!H:H)))</f>
        <v>Dec 2025</v>
      </c>
      <c r="U5423">
        <f>IF(Pipeline_tbl[[#This Row],[Closed_Date]]=0,"",Pipeline_tbl[[#This Row],[Closed_Date]]-Pipeline_tbl[[#This Row],[Created_Date]])</f>
        <v>16</v>
      </c>
    </row>
    <row r="5424" spans="1:21" ht="15" customHeight="1" x14ac:dyDescent="0.2">
      <c r="A5424" t="s">
        <v>5730</v>
      </c>
      <c r="B5424" t="s">
        <v>203</v>
      </c>
      <c r="C5424" t="s">
        <v>52</v>
      </c>
      <c r="D5424" s="49">
        <v>45998</v>
      </c>
      <c r="E5424" s="49">
        <v>46000</v>
      </c>
      <c r="I5424" s="49">
        <v>46018</v>
      </c>
      <c r="J5424" t="s">
        <v>49</v>
      </c>
      <c r="K5424" s="33">
        <v>6100</v>
      </c>
      <c r="L5424" t="s">
        <v>62</v>
      </c>
      <c r="M5424" t="str">
        <f>_xlfn.XLOOKUP(Pipeline_tbl[[#This Row],[Rep_ID]],Dim_Reps!A:A,Dim_Reps!K:K)</f>
        <v>EUR</v>
      </c>
      <c r="N5424" s="33">
        <f>(_xlfn.XLOOKUP(Pipeline_tbl[[#This Row],[Rate_Code_Generalized]],Lookups!A:A,Lookups!B:B))*Pipeline_tbl[[#This Row],[Pipeline_Amount_USD]]</f>
        <v>6100</v>
      </c>
      <c r="O5424" t="str">
        <f>_xlfn.XLOOKUP(Pipeline_tbl[[#This Row],[Rep_ID]],Dim_Reps!A:A,Dim_Reps!B:B)</f>
        <v>Riley Haddad</v>
      </c>
      <c r="P5424" t="str">
        <f>_xlfn.XLOOKUP(Pipeline_tbl[[#This Row],[Rep_ID]],Dim_Reps!A:A,Dim_Reps!C:C)</f>
        <v>SDR / Inside Sales Rep</v>
      </c>
      <c r="Q5424" t="str">
        <f>_xlfn.XLOOKUP(Pipeline_tbl[[#This Row],[Rep_ID]],Dim_Reps!A:A,Dim_Reps!D:D)</f>
        <v>Inside Sales</v>
      </c>
      <c r="R5424" t="str">
        <f>_xlfn.XLOOKUP(Pipeline_tbl[[#This Row],[Rep_ID]],Dim_Reps!A:A,Dim_Reps!E:E)</f>
        <v>APAC</v>
      </c>
      <c r="S5424" t="str">
        <f>_xlfn.XLOOKUP(Pipeline_tbl[[#This Row],[Created_Date]],Dim_Date!A:A,Dim_Date!H:H)</f>
        <v>Dec 2025</v>
      </c>
      <c r="T5424" t="str">
        <f>IF(Pipeline_tbl[[#This Row],[Closed_Date]]=0,"",(_xlfn.XLOOKUP(Pipeline_tbl[[#This Row],[Closed_Date]],Dim_Date!A:A,Dim_Date!H:H)))</f>
        <v>Dec 2025</v>
      </c>
      <c r="U5424">
        <f>IF(Pipeline_tbl[[#This Row],[Closed_Date]]=0,"",Pipeline_tbl[[#This Row],[Closed_Date]]-Pipeline_tbl[[#This Row],[Created_Date]])</f>
        <v>20</v>
      </c>
    </row>
    <row r="5425" spans="1:21" ht="15" customHeight="1" x14ac:dyDescent="0.2">
      <c r="A5425" t="s">
        <v>5731</v>
      </c>
      <c r="B5425" t="s">
        <v>203</v>
      </c>
      <c r="C5425" t="s">
        <v>52</v>
      </c>
      <c r="D5425" s="49">
        <v>45996</v>
      </c>
      <c r="E5425" s="49">
        <v>45997</v>
      </c>
      <c r="F5425" s="49">
        <v>46000</v>
      </c>
      <c r="I5425" s="49">
        <v>46009</v>
      </c>
      <c r="J5425" t="s">
        <v>49</v>
      </c>
      <c r="K5425" s="33">
        <v>3100</v>
      </c>
      <c r="L5425" t="s">
        <v>60</v>
      </c>
      <c r="M5425" t="str">
        <f>_xlfn.XLOOKUP(Pipeline_tbl[[#This Row],[Rep_ID]],Dim_Reps!A:A,Dim_Reps!K:K)</f>
        <v>EUR</v>
      </c>
      <c r="N5425" s="33">
        <f>(_xlfn.XLOOKUP(Pipeline_tbl[[#This Row],[Rate_Code_Generalized]],Lookups!A:A,Lookups!B:B))*Pipeline_tbl[[#This Row],[Pipeline_Amount_USD]]</f>
        <v>3100</v>
      </c>
      <c r="O5425" t="str">
        <f>_xlfn.XLOOKUP(Pipeline_tbl[[#This Row],[Rep_ID]],Dim_Reps!A:A,Dim_Reps!B:B)</f>
        <v>Riley Haddad</v>
      </c>
      <c r="P5425" t="str">
        <f>_xlfn.XLOOKUP(Pipeline_tbl[[#This Row],[Rep_ID]],Dim_Reps!A:A,Dim_Reps!C:C)</f>
        <v>SDR / Inside Sales Rep</v>
      </c>
      <c r="Q5425" t="str">
        <f>_xlfn.XLOOKUP(Pipeline_tbl[[#This Row],[Rep_ID]],Dim_Reps!A:A,Dim_Reps!D:D)</f>
        <v>Inside Sales</v>
      </c>
      <c r="R5425" t="str">
        <f>_xlfn.XLOOKUP(Pipeline_tbl[[#This Row],[Rep_ID]],Dim_Reps!A:A,Dim_Reps!E:E)</f>
        <v>APAC</v>
      </c>
      <c r="S5425" t="str">
        <f>_xlfn.XLOOKUP(Pipeline_tbl[[#This Row],[Created_Date]],Dim_Date!A:A,Dim_Date!H:H)</f>
        <v>Dec 2025</v>
      </c>
      <c r="T5425" t="str">
        <f>IF(Pipeline_tbl[[#This Row],[Closed_Date]]=0,"",(_xlfn.XLOOKUP(Pipeline_tbl[[#This Row],[Closed_Date]],Dim_Date!A:A,Dim_Date!H:H)))</f>
        <v>Dec 2025</v>
      </c>
      <c r="U5425">
        <f>IF(Pipeline_tbl[[#This Row],[Closed_Date]]=0,"",Pipeline_tbl[[#This Row],[Closed_Date]]-Pipeline_tbl[[#This Row],[Created_Date]])</f>
        <v>13</v>
      </c>
    </row>
    <row r="5426" spans="1:21" ht="15" customHeight="1" x14ac:dyDescent="0.2">
      <c r="A5426" t="s">
        <v>5732</v>
      </c>
      <c r="B5426" t="s">
        <v>203</v>
      </c>
      <c r="C5426" t="s">
        <v>53</v>
      </c>
      <c r="D5426" s="49">
        <v>46008</v>
      </c>
      <c r="E5426" s="49">
        <v>46009</v>
      </c>
      <c r="F5426" s="49">
        <v>46012</v>
      </c>
      <c r="G5426" s="49">
        <v>46016</v>
      </c>
      <c r="H5426" s="49">
        <v>46019</v>
      </c>
      <c r="I5426" s="49">
        <v>46021</v>
      </c>
      <c r="J5426" t="s">
        <v>47</v>
      </c>
      <c r="K5426" s="33">
        <v>3800</v>
      </c>
      <c r="M5426" t="str">
        <f>_xlfn.XLOOKUP(Pipeline_tbl[[#This Row],[Rep_ID]],Dim_Reps!A:A,Dim_Reps!K:K)</f>
        <v>EUR</v>
      </c>
      <c r="N5426" s="33">
        <f>(_xlfn.XLOOKUP(Pipeline_tbl[[#This Row],[Rate_Code_Generalized]],Lookups!A:A,Lookups!B:B))*Pipeline_tbl[[#This Row],[Pipeline_Amount_USD]]</f>
        <v>3800</v>
      </c>
      <c r="O5426" t="str">
        <f>_xlfn.XLOOKUP(Pipeline_tbl[[#This Row],[Rep_ID]],Dim_Reps!A:A,Dim_Reps!B:B)</f>
        <v>Riley Haddad</v>
      </c>
      <c r="P5426" t="str">
        <f>_xlfn.XLOOKUP(Pipeline_tbl[[#This Row],[Rep_ID]],Dim_Reps!A:A,Dim_Reps!C:C)</f>
        <v>SDR / Inside Sales Rep</v>
      </c>
      <c r="Q5426" t="str">
        <f>_xlfn.XLOOKUP(Pipeline_tbl[[#This Row],[Rep_ID]],Dim_Reps!A:A,Dim_Reps!D:D)</f>
        <v>Inside Sales</v>
      </c>
      <c r="R5426" t="str">
        <f>_xlfn.XLOOKUP(Pipeline_tbl[[#This Row],[Rep_ID]],Dim_Reps!A:A,Dim_Reps!E:E)</f>
        <v>APAC</v>
      </c>
      <c r="S5426" t="str">
        <f>_xlfn.XLOOKUP(Pipeline_tbl[[#This Row],[Created_Date]],Dim_Date!A:A,Dim_Date!H:H)</f>
        <v>Dec 2025</v>
      </c>
      <c r="T5426" t="str">
        <f>IF(Pipeline_tbl[[#This Row],[Closed_Date]]=0,"",(_xlfn.XLOOKUP(Pipeline_tbl[[#This Row],[Closed_Date]],Dim_Date!A:A,Dim_Date!H:H)))</f>
        <v>Dec 2025</v>
      </c>
      <c r="U5426">
        <f>IF(Pipeline_tbl[[#This Row],[Closed_Date]]=0,"",Pipeline_tbl[[#This Row],[Closed_Date]]-Pipeline_tbl[[#This Row],[Created_Date]])</f>
        <v>13</v>
      </c>
    </row>
    <row r="5427" spans="1:21" ht="15" customHeight="1" x14ac:dyDescent="0.2">
      <c r="A5427" t="s">
        <v>5733</v>
      </c>
      <c r="B5427" t="s">
        <v>205</v>
      </c>
      <c r="C5427" t="s">
        <v>52</v>
      </c>
      <c r="D5427" s="49">
        <v>45994</v>
      </c>
      <c r="E5427" s="49">
        <v>45995</v>
      </c>
      <c r="F5427" s="49">
        <v>45997</v>
      </c>
      <c r="G5427" s="49">
        <v>46000</v>
      </c>
      <c r="H5427" s="49">
        <v>46002</v>
      </c>
      <c r="I5427" s="49">
        <v>46004</v>
      </c>
      <c r="J5427" t="s">
        <v>49</v>
      </c>
      <c r="K5427" s="33">
        <v>4600</v>
      </c>
      <c r="L5427" t="s">
        <v>64</v>
      </c>
      <c r="M5427" t="str">
        <f>_xlfn.XLOOKUP(Pipeline_tbl[[#This Row],[Rep_ID]],Dim_Reps!A:A,Dim_Reps!K:K)</f>
        <v>EUR</v>
      </c>
      <c r="N5427" s="33">
        <f>(_xlfn.XLOOKUP(Pipeline_tbl[[#This Row],[Rate_Code_Generalized]],Lookups!A:A,Lookups!B:B))*Pipeline_tbl[[#This Row],[Pipeline_Amount_USD]]</f>
        <v>4600</v>
      </c>
      <c r="O5427" t="str">
        <f>_xlfn.XLOOKUP(Pipeline_tbl[[#This Row],[Rep_ID]],Dim_Reps!A:A,Dim_Reps!B:B)</f>
        <v>Karim Alvarez</v>
      </c>
      <c r="P5427" t="str">
        <f>_xlfn.XLOOKUP(Pipeline_tbl[[#This Row],[Rep_ID]],Dim_Reps!A:A,Dim_Reps!C:C)</f>
        <v>SDR / Inside Sales Rep</v>
      </c>
      <c r="Q5427" t="str">
        <f>_xlfn.XLOOKUP(Pipeline_tbl[[#This Row],[Rep_ID]],Dim_Reps!A:A,Dim_Reps!D:D)</f>
        <v>Inside Sales</v>
      </c>
      <c r="R5427" t="str">
        <f>_xlfn.XLOOKUP(Pipeline_tbl[[#This Row],[Rep_ID]],Dim_Reps!A:A,Dim_Reps!E:E)</f>
        <v>EMEA</v>
      </c>
      <c r="S5427" t="str">
        <f>_xlfn.XLOOKUP(Pipeline_tbl[[#This Row],[Created_Date]],Dim_Date!A:A,Dim_Date!H:H)</f>
        <v>Dec 2025</v>
      </c>
      <c r="T5427" t="str">
        <f>IF(Pipeline_tbl[[#This Row],[Closed_Date]]=0,"",(_xlfn.XLOOKUP(Pipeline_tbl[[#This Row],[Closed_Date]],Dim_Date!A:A,Dim_Date!H:H)))</f>
        <v>Dec 2025</v>
      </c>
      <c r="U5427">
        <f>IF(Pipeline_tbl[[#This Row],[Closed_Date]]=0,"",Pipeline_tbl[[#This Row],[Closed_Date]]-Pipeline_tbl[[#This Row],[Created_Date]])</f>
        <v>10</v>
      </c>
    </row>
    <row r="5428" spans="1:21" ht="15" customHeight="1" x14ac:dyDescent="0.2">
      <c r="A5428" t="s">
        <v>5734</v>
      </c>
      <c r="B5428" t="s">
        <v>205</v>
      </c>
      <c r="C5428" t="s">
        <v>54</v>
      </c>
      <c r="D5428" s="49">
        <v>45993</v>
      </c>
      <c r="E5428" s="49">
        <v>45994</v>
      </c>
      <c r="F5428" s="49">
        <v>45997</v>
      </c>
      <c r="G5428" s="49">
        <v>46001</v>
      </c>
      <c r="H5428" s="49">
        <v>46005</v>
      </c>
      <c r="I5428" s="49">
        <v>46007</v>
      </c>
      <c r="J5428" t="s">
        <v>47</v>
      </c>
      <c r="K5428" s="33">
        <v>3100</v>
      </c>
      <c r="M5428" t="str">
        <f>_xlfn.XLOOKUP(Pipeline_tbl[[#This Row],[Rep_ID]],Dim_Reps!A:A,Dim_Reps!K:K)</f>
        <v>EUR</v>
      </c>
      <c r="N5428" s="33">
        <f>(_xlfn.XLOOKUP(Pipeline_tbl[[#This Row],[Rate_Code_Generalized]],Lookups!A:A,Lookups!B:B))*Pipeline_tbl[[#This Row],[Pipeline_Amount_USD]]</f>
        <v>3100</v>
      </c>
      <c r="O5428" t="str">
        <f>_xlfn.XLOOKUP(Pipeline_tbl[[#This Row],[Rep_ID]],Dim_Reps!A:A,Dim_Reps!B:B)</f>
        <v>Karim Alvarez</v>
      </c>
      <c r="P5428" t="str">
        <f>_xlfn.XLOOKUP(Pipeline_tbl[[#This Row],[Rep_ID]],Dim_Reps!A:A,Dim_Reps!C:C)</f>
        <v>SDR / Inside Sales Rep</v>
      </c>
      <c r="Q5428" t="str">
        <f>_xlfn.XLOOKUP(Pipeline_tbl[[#This Row],[Rep_ID]],Dim_Reps!A:A,Dim_Reps!D:D)</f>
        <v>Inside Sales</v>
      </c>
      <c r="R5428" t="str">
        <f>_xlfn.XLOOKUP(Pipeline_tbl[[#This Row],[Rep_ID]],Dim_Reps!A:A,Dim_Reps!E:E)</f>
        <v>EMEA</v>
      </c>
      <c r="S5428" t="str">
        <f>_xlfn.XLOOKUP(Pipeline_tbl[[#This Row],[Created_Date]],Dim_Date!A:A,Dim_Date!H:H)</f>
        <v>Dec 2025</v>
      </c>
      <c r="T5428" t="str">
        <f>IF(Pipeline_tbl[[#This Row],[Closed_Date]]=0,"",(_xlfn.XLOOKUP(Pipeline_tbl[[#This Row],[Closed_Date]],Dim_Date!A:A,Dim_Date!H:H)))</f>
        <v>Dec 2025</v>
      </c>
      <c r="U5428">
        <f>IF(Pipeline_tbl[[#This Row],[Closed_Date]]=0,"",Pipeline_tbl[[#This Row],[Closed_Date]]-Pipeline_tbl[[#This Row],[Created_Date]])</f>
        <v>14</v>
      </c>
    </row>
    <row r="5429" spans="1:21" ht="15" customHeight="1" x14ac:dyDescent="0.2">
      <c r="A5429" t="s">
        <v>5735</v>
      </c>
      <c r="B5429" t="s">
        <v>205</v>
      </c>
      <c r="C5429" t="s">
        <v>52</v>
      </c>
      <c r="D5429" s="49">
        <v>45996</v>
      </c>
      <c r="E5429" s="49">
        <v>45997</v>
      </c>
      <c r="F5429" s="49">
        <v>45999</v>
      </c>
      <c r="I5429" s="49">
        <v>46006</v>
      </c>
      <c r="J5429" t="s">
        <v>49</v>
      </c>
      <c r="K5429" s="33">
        <v>3400</v>
      </c>
      <c r="L5429" t="s">
        <v>61</v>
      </c>
      <c r="M5429" t="str">
        <f>_xlfn.XLOOKUP(Pipeline_tbl[[#This Row],[Rep_ID]],Dim_Reps!A:A,Dim_Reps!K:K)</f>
        <v>EUR</v>
      </c>
      <c r="N5429" s="33">
        <f>(_xlfn.XLOOKUP(Pipeline_tbl[[#This Row],[Rate_Code_Generalized]],Lookups!A:A,Lookups!B:B))*Pipeline_tbl[[#This Row],[Pipeline_Amount_USD]]</f>
        <v>3400</v>
      </c>
      <c r="O5429" t="str">
        <f>_xlfn.XLOOKUP(Pipeline_tbl[[#This Row],[Rep_ID]],Dim_Reps!A:A,Dim_Reps!B:B)</f>
        <v>Karim Alvarez</v>
      </c>
      <c r="P5429" t="str">
        <f>_xlfn.XLOOKUP(Pipeline_tbl[[#This Row],[Rep_ID]],Dim_Reps!A:A,Dim_Reps!C:C)</f>
        <v>SDR / Inside Sales Rep</v>
      </c>
      <c r="Q5429" t="str">
        <f>_xlfn.XLOOKUP(Pipeline_tbl[[#This Row],[Rep_ID]],Dim_Reps!A:A,Dim_Reps!D:D)</f>
        <v>Inside Sales</v>
      </c>
      <c r="R5429" t="str">
        <f>_xlfn.XLOOKUP(Pipeline_tbl[[#This Row],[Rep_ID]],Dim_Reps!A:A,Dim_Reps!E:E)</f>
        <v>EMEA</v>
      </c>
      <c r="S5429" t="str">
        <f>_xlfn.XLOOKUP(Pipeline_tbl[[#This Row],[Created_Date]],Dim_Date!A:A,Dim_Date!H:H)</f>
        <v>Dec 2025</v>
      </c>
      <c r="T5429" t="str">
        <f>IF(Pipeline_tbl[[#This Row],[Closed_Date]]=0,"",(_xlfn.XLOOKUP(Pipeline_tbl[[#This Row],[Closed_Date]],Dim_Date!A:A,Dim_Date!H:H)))</f>
        <v>Dec 2025</v>
      </c>
      <c r="U5429">
        <f>IF(Pipeline_tbl[[#This Row],[Closed_Date]]=0,"",Pipeline_tbl[[#This Row],[Closed_Date]]-Pipeline_tbl[[#This Row],[Created_Date]])</f>
        <v>10</v>
      </c>
    </row>
    <row r="5430" spans="1:21" ht="15" customHeight="1" x14ac:dyDescent="0.2">
      <c r="A5430" t="s">
        <v>5736</v>
      </c>
      <c r="B5430" t="s">
        <v>205</v>
      </c>
      <c r="C5430" t="s">
        <v>52</v>
      </c>
      <c r="D5430" s="49">
        <v>45997</v>
      </c>
      <c r="E5430" s="49">
        <v>45999</v>
      </c>
      <c r="I5430" s="49">
        <v>46017</v>
      </c>
      <c r="J5430" t="s">
        <v>49</v>
      </c>
      <c r="K5430" s="33">
        <v>1600</v>
      </c>
      <c r="L5430" t="s">
        <v>64</v>
      </c>
      <c r="M5430" t="str">
        <f>_xlfn.XLOOKUP(Pipeline_tbl[[#This Row],[Rep_ID]],Dim_Reps!A:A,Dim_Reps!K:K)</f>
        <v>EUR</v>
      </c>
      <c r="N5430" s="33">
        <f>(_xlfn.XLOOKUP(Pipeline_tbl[[#This Row],[Rate_Code_Generalized]],Lookups!A:A,Lookups!B:B))*Pipeline_tbl[[#This Row],[Pipeline_Amount_USD]]</f>
        <v>1600</v>
      </c>
      <c r="O5430" t="str">
        <f>_xlfn.XLOOKUP(Pipeline_tbl[[#This Row],[Rep_ID]],Dim_Reps!A:A,Dim_Reps!B:B)</f>
        <v>Karim Alvarez</v>
      </c>
      <c r="P5430" t="str">
        <f>_xlfn.XLOOKUP(Pipeline_tbl[[#This Row],[Rep_ID]],Dim_Reps!A:A,Dim_Reps!C:C)</f>
        <v>SDR / Inside Sales Rep</v>
      </c>
      <c r="Q5430" t="str">
        <f>_xlfn.XLOOKUP(Pipeline_tbl[[#This Row],[Rep_ID]],Dim_Reps!A:A,Dim_Reps!D:D)</f>
        <v>Inside Sales</v>
      </c>
      <c r="R5430" t="str">
        <f>_xlfn.XLOOKUP(Pipeline_tbl[[#This Row],[Rep_ID]],Dim_Reps!A:A,Dim_Reps!E:E)</f>
        <v>EMEA</v>
      </c>
      <c r="S5430" t="str">
        <f>_xlfn.XLOOKUP(Pipeline_tbl[[#This Row],[Created_Date]],Dim_Date!A:A,Dim_Date!H:H)</f>
        <v>Dec 2025</v>
      </c>
      <c r="T5430" t="str">
        <f>IF(Pipeline_tbl[[#This Row],[Closed_Date]]=0,"",(_xlfn.XLOOKUP(Pipeline_tbl[[#This Row],[Closed_Date]],Dim_Date!A:A,Dim_Date!H:H)))</f>
        <v>Dec 2025</v>
      </c>
      <c r="U5430">
        <f>IF(Pipeline_tbl[[#This Row],[Closed_Date]]=0,"",Pipeline_tbl[[#This Row],[Closed_Date]]-Pipeline_tbl[[#This Row],[Created_Date]])</f>
        <v>20</v>
      </c>
    </row>
    <row r="5431" spans="1:21" ht="15" customHeight="1" x14ac:dyDescent="0.2">
      <c r="A5431" t="s">
        <v>5737</v>
      </c>
      <c r="B5431" t="s">
        <v>205</v>
      </c>
      <c r="C5431" t="s">
        <v>56</v>
      </c>
      <c r="D5431" s="49">
        <v>45993</v>
      </c>
      <c r="E5431" s="49">
        <v>45995</v>
      </c>
      <c r="F5431" s="49">
        <v>45999</v>
      </c>
      <c r="G5431" s="49">
        <v>46006</v>
      </c>
      <c r="H5431" s="49">
        <v>46011</v>
      </c>
      <c r="I5431" s="49">
        <v>46014</v>
      </c>
      <c r="J5431" t="s">
        <v>49</v>
      </c>
      <c r="K5431" s="33">
        <v>5800</v>
      </c>
      <c r="L5431" t="s">
        <v>61</v>
      </c>
      <c r="M5431" t="str">
        <f>_xlfn.XLOOKUP(Pipeline_tbl[[#This Row],[Rep_ID]],Dim_Reps!A:A,Dim_Reps!K:K)</f>
        <v>EUR</v>
      </c>
      <c r="N5431" s="33">
        <f>(_xlfn.XLOOKUP(Pipeline_tbl[[#This Row],[Rate_Code_Generalized]],Lookups!A:A,Lookups!B:B))*Pipeline_tbl[[#This Row],[Pipeline_Amount_USD]]</f>
        <v>5800</v>
      </c>
      <c r="O5431" t="str">
        <f>_xlfn.XLOOKUP(Pipeline_tbl[[#This Row],[Rep_ID]],Dim_Reps!A:A,Dim_Reps!B:B)</f>
        <v>Karim Alvarez</v>
      </c>
      <c r="P5431" t="str">
        <f>_xlfn.XLOOKUP(Pipeline_tbl[[#This Row],[Rep_ID]],Dim_Reps!A:A,Dim_Reps!C:C)</f>
        <v>SDR / Inside Sales Rep</v>
      </c>
      <c r="Q5431" t="str">
        <f>_xlfn.XLOOKUP(Pipeline_tbl[[#This Row],[Rep_ID]],Dim_Reps!A:A,Dim_Reps!D:D)</f>
        <v>Inside Sales</v>
      </c>
      <c r="R5431" t="str">
        <f>_xlfn.XLOOKUP(Pipeline_tbl[[#This Row],[Rep_ID]],Dim_Reps!A:A,Dim_Reps!E:E)</f>
        <v>EMEA</v>
      </c>
      <c r="S5431" t="str">
        <f>_xlfn.XLOOKUP(Pipeline_tbl[[#This Row],[Created_Date]],Dim_Date!A:A,Dim_Date!H:H)</f>
        <v>Dec 2025</v>
      </c>
      <c r="T5431" t="str">
        <f>IF(Pipeline_tbl[[#This Row],[Closed_Date]]=0,"",(_xlfn.XLOOKUP(Pipeline_tbl[[#This Row],[Closed_Date]],Dim_Date!A:A,Dim_Date!H:H)))</f>
        <v>Dec 2025</v>
      </c>
      <c r="U5431">
        <f>IF(Pipeline_tbl[[#This Row],[Closed_Date]]=0,"",Pipeline_tbl[[#This Row],[Closed_Date]]-Pipeline_tbl[[#This Row],[Created_Date]])</f>
        <v>21</v>
      </c>
    </row>
    <row r="5432" spans="1:21" ht="15" customHeight="1" x14ac:dyDescent="0.2">
      <c r="A5432" t="s">
        <v>5738</v>
      </c>
      <c r="B5432" t="s">
        <v>205</v>
      </c>
      <c r="C5432" t="s">
        <v>53</v>
      </c>
      <c r="D5432" s="49">
        <v>46013</v>
      </c>
      <c r="E5432" s="49">
        <v>46014</v>
      </c>
      <c r="F5432" s="49">
        <v>46015</v>
      </c>
      <c r="G5432" s="49">
        <v>46018</v>
      </c>
      <c r="H5432" s="49">
        <v>46020</v>
      </c>
      <c r="I5432" s="49">
        <v>46021</v>
      </c>
      <c r="J5432" t="s">
        <v>49</v>
      </c>
      <c r="K5432" s="33">
        <v>4600</v>
      </c>
      <c r="L5432" t="s">
        <v>63</v>
      </c>
      <c r="M5432" t="str">
        <f>_xlfn.XLOOKUP(Pipeline_tbl[[#This Row],[Rep_ID]],Dim_Reps!A:A,Dim_Reps!K:K)</f>
        <v>EUR</v>
      </c>
      <c r="N5432" s="33">
        <f>(_xlfn.XLOOKUP(Pipeline_tbl[[#This Row],[Rate_Code_Generalized]],Lookups!A:A,Lookups!B:B))*Pipeline_tbl[[#This Row],[Pipeline_Amount_USD]]</f>
        <v>4600</v>
      </c>
      <c r="O5432" t="str">
        <f>_xlfn.XLOOKUP(Pipeline_tbl[[#This Row],[Rep_ID]],Dim_Reps!A:A,Dim_Reps!B:B)</f>
        <v>Karim Alvarez</v>
      </c>
      <c r="P5432" t="str">
        <f>_xlfn.XLOOKUP(Pipeline_tbl[[#This Row],[Rep_ID]],Dim_Reps!A:A,Dim_Reps!C:C)</f>
        <v>SDR / Inside Sales Rep</v>
      </c>
      <c r="Q5432" t="str">
        <f>_xlfn.XLOOKUP(Pipeline_tbl[[#This Row],[Rep_ID]],Dim_Reps!A:A,Dim_Reps!D:D)</f>
        <v>Inside Sales</v>
      </c>
      <c r="R5432" t="str">
        <f>_xlfn.XLOOKUP(Pipeline_tbl[[#This Row],[Rep_ID]],Dim_Reps!A:A,Dim_Reps!E:E)</f>
        <v>EMEA</v>
      </c>
      <c r="S5432" t="str">
        <f>_xlfn.XLOOKUP(Pipeline_tbl[[#This Row],[Created_Date]],Dim_Date!A:A,Dim_Date!H:H)</f>
        <v>Dec 2025</v>
      </c>
      <c r="T5432" t="str">
        <f>IF(Pipeline_tbl[[#This Row],[Closed_Date]]=0,"",(_xlfn.XLOOKUP(Pipeline_tbl[[#This Row],[Closed_Date]],Dim_Date!A:A,Dim_Date!H:H)))</f>
        <v>Dec 2025</v>
      </c>
      <c r="U5432">
        <f>IF(Pipeline_tbl[[#This Row],[Closed_Date]]=0,"",Pipeline_tbl[[#This Row],[Closed_Date]]-Pipeline_tbl[[#This Row],[Created_Date]])</f>
        <v>8</v>
      </c>
    </row>
    <row r="5433" spans="1:21" ht="15" customHeight="1" x14ac:dyDescent="0.2">
      <c r="A5433" t="s">
        <v>5739</v>
      </c>
      <c r="B5433" t="s">
        <v>205</v>
      </c>
      <c r="C5433" t="s">
        <v>53</v>
      </c>
      <c r="D5433" s="49">
        <v>45994</v>
      </c>
      <c r="E5433" s="49">
        <v>45996</v>
      </c>
      <c r="I5433" s="49">
        <v>46013</v>
      </c>
      <c r="J5433" t="s">
        <v>49</v>
      </c>
      <c r="K5433" s="33">
        <v>3000</v>
      </c>
      <c r="L5433" t="s">
        <v>61</v>
      </c>
      <c r="M5433" t="str">
        <f>_xlfn.XLOOKUP(Pipeline_tbl[[#This Row],[Rep_ID]],Dim_Reps!A:A,Dim_Reps!K:K)</f>
        <v>EUR</v>
      </c>
      <c r="N5433" s="33">
        <f>(_xlfn.XLOOKUP(Pipeline_tbl[[#This Row],[Rate_Code_Generalized]],Lookups!A:A,Lookups!B:B))*Pipeline_tbl[[#This Row],[Pipeline_Amount_USD]]</f>
        <v>3000</v>
      </c>
      <c r="O5433" t="str">
        <f>_xlfn.XLOOKUP(Pipeline_tbl[[#This Row],[Rep_ID]],Dim_Reps!A:A,Dim_Reps!B:B)</f>
        <v>Karim Alvarez</v>
      </c>
      <c r="P5433" t="str">
        <f>_xlfn.XLOOKUP(Pipeline_tbl[[#This Row],[Rep_ID]],Dim_Reps!A:A,Dim_Reps!C:C)</f>
        <v>SDR / Inside Sales Rep</v>
      </c>
      <c r="Q5433" t="str">
        <f>_xlfn.XLOOKUP(Pipeline_tbl[[#This Row],[Rep_ID]],Dim_Reps!A:A,Dim_Reps!D:D)</f>
        <v>Inside Sales</v>
      </c>
      <c r="R5433" t="str">
        <f>_xlfn.XLOOKUP(Pipeline_tbl[[#This Row],[Rep_ID]],Dim_Reps!A:A,Dim_Reps!E:E)</f>
        <v>EMEA</v>
      </c>
      <c r="S5433" t="str">
        <f>_xlfn.XLOOKUP(Pipeline_tbl[[#This Row],[Created_Date]],Dim_Date!A:A,Dim_Date!H:H)</f>
        <v>Dec 2025</v>
      </c>
      <c r="T5433" t="str">
        <f>IF(Pipeline_tbl[[#This Row],[Closed_Date]]=0,"",(_xlfn.XLOOKUP(Pipeline_tbl[[#This Row],[Closed_Date]],Dim_Date!A:A,Dim_Date!H:H)))</f>
        <v>Dec 2025</v>
      </c>
      <c r="U5433">
        <f>IF(Pipeline_tbl[[#This Row],[Closed_Date]]=0,"",Pipeline_tbl[[#This Row],[Closed_Date]]-Pipeline_tbl[[#This Row],[Created_Date]])</f>
        <v>19</v>
      </c>
    </row>
    <row r="5434" spans="1:21" ht="15" customHeight="1" x14ac:dyDescent="0.2">
      <c r="A5434" t="s">
        <v>5740</v>
      </c>
      <c r="B5434" t="s">
        <v>205</v>
      </c>
      <c r="C5434" t="s">
        <v>52</v>
      </c>
      <c r="D5434" s="49">
        <v>46000</v>
      </c>
      <c r="E5434" s="49">
        <v>46002</v>
      </c>
      <c r="F5434" s="49">
        <v>46006</v>
      </c>
      <c r="G5434" s="49">
        <v>46011</v>
      </c>
      <c r="H5434" s="49">
        <v>46016</v>
      </c>
      <c r="I5434" s="49">
        <v>46019</v>
      </c>
      <c r="J5434" t="s">
        <v>49</v>
      </c>
      <c r="K5434" s="33">
        <v>2300</v>
      </c>
      <c r="L5434" t="s">
        <v>60</v>
      </c>
      <c r="M5434" t="str">
        <f>_xlfn.XLOOKUP(Pipeline_tbl[[#This Row],[Rep_ID]],Dim_Reps!A:A,Dim_Reps!K:K)</f>
        <v>EUR</v>
      </c>
      <c r="N5434" s="33">
        <f>(_xlfn.XLOOKUP(Pipeline_tbl[[#This Row],[Rate_Code_Generalized]],Lookups!A:A,Lookups!B:B))*Pipeline_tbl[[#This Row],[Pipeline_Amount_USD]]</f>
        <v>2300</v>
      </c>
      <c r="O5434" t="str">
        <f>_xlfn.XLOOKUP(Pipeline_tbl[[#This Row],[Rep_ID]],Dim_Reps!A:A,Dim_Reps!B:B)</f>
        <v>Karim Alvarez</v>
      </c>
      <c r="P5434" t="str">
        <f>_xlfn.XLOOKUP(Pipeline_tbl[[#This Row],[Rep_ID]],Dim_Reps!A:A,Dim_Reps!C:C)</f>
        <v>SDR / Inside Sales Rep</v>
      </c>
      <c r="Q5434" t="str">
        <f>_xlfn.XLOOKUP(Pipeline_tbl[[#This Row],[Rep_ID]],Dim_Reps!A:A,Dim_Reps!D:D)</f>
        <v>Inside Sales</v>
      </c>
      <c r="R5434" t="str">
        <f>_xlfn.XLOOKUP(Pipeline_tbl[[#This Row],[Rep_ID]],Dim_Reps!A:A,Dim_Reps!E:E)</f>
        <v>EMEA</v>
      </c>
      <c r="S5434" t="str">
        <f>_xlfn.XLOOKUP(Pipeline_tbl[[#This Row],[Created_Date]],Dim_Date!A:A,Dim_Date!H:H)</f>
        <v>Dec 2025</v>
      </c>
      <c r="T5434" t="str">
        <f>IF(Pipeline_tbl[[#This Row],[Closed_Date]]=0,"",(_xlfn.XLOOKUP(Pipeline_tbl[[#This Row],[Closed_Date]],Dim_Date!A:A,Dim_Date!H:H)))</f>
        <v>Dec 2025</v>
      </c>
      <c r="U5434">
        <f>IF(Pipeline_tbl[[#This Row],[Closed_Date]]=0,"",Pipeline_tbl[[#This Row],[Closed_Date]]-Pipeline_tbl[[#This Row],[Created_Date]])</f>
        <v>19</v>
      </c>
    </row>
    <row r="5435" spans="1:21" ht="15" customHeight="1" x14ac:dyDescent="0.2">
      <c r="A5435" t="s">
        <v>5741</v>
      </c>
      <c r="B5435" t="s">
        <v>205</v>
      </c>
      <c r="C5435" t="s">
        <v>54</v>
      </c>
      <c r="D5435" s="49">
        <v>46006</v>
      </c>
      <c r="E5435" s="49">
        <v>46007</v>
      </c>
      <c r="F5435" s="49">
        <v>46009</v>
      </c>
      <c r="G5435" s="49">
        <v>46011</v>
      </c>
      <c r="I5435" s="49">
        <v>46015</v>
      </c>
      <c r="J5435" t="s">
        <v>49</v>
      </c>
      <c r="K5435" s="33">
        <v>2200</v>
      </c>
      <c r="L5435" t="s">
        <v>62</v>
      </c>
      <c r="M5435" t="str">
        <f>_xlfn.XLOOKUP(Pipeline_tbl[[#This Row],[Rep_ID]],Dim_Reps!A:A,Dim_Reps!K:K)</f>
        <v>EUR</v>
      </c>
      <c r="N5435" s="33">
        <f>(_xlfn.XLOOKUP(Pipeline_tbl[[#This Row],[Rate_Code_Generalized]],Lookups!A:A,Lookups!B:B))*Pipeline_tbl[[#This Row],[Pipeline_Amount_USD]]</f>
        <v>2200</v>
      </c>
      <c r="O5435" t="str">
        <f>_xlfn.XLOOKUP(Pipeline_tbl[[#This Row],[Rep_ID]],Dim_Reps!A:A,Dim_Reps!B:B)</f>
        <v>Karim Alvarez</v>
      </c>
      <c r="P5435" t="str">
        <f>_xlfn.XLOOKUP(Pipeline_tbl[[#This Row],[Rep_ID]],Dim_Reps!A:A,Dim_Reps!C:C)</f>
        <v>SDR / Inside Sales Rep</v>
      </c>
      <c r="Q5435" t="str">
        <f>_xlfn.XLOOKUP(Pipeline_tbl[[#This Row],[Rep_ID]],Dim_Reps!A:A,Dim_Reps!D:D)</f>
        <v>Inside Sales</v>
      </c>
      <c r="R5435" t="str">
        <f>_xlfn.XLOOKUP(Pipeline_tbl[[#This Row],[Rep_ID]],Dim_Reps!A:A,Dim_Reps!E:E)</f>
        <v>EMEA</v>
      </c>
      <c r="S5435" t="str">
        <f>_xlfn.XLOOKUP(Pipeline_tbl[[#This Row],[Created_Date]],Dim_Date!A:A,Dim_Date!H:H)</f>
        <v>Dec 2025</v>
      </c>
      <c r="T5435" t="str">
        <f>IF(Pipeline_tbl[[#This Row],[Closed_Date]]=0,"",(_xlfn.XLOOKUP(Pipeline_tbl[[#This Row],[Closed_Date]],Dim_Date!A:A,Dim_Date!H:H)))</f>
        <v>Dec 2025</v>
      </c>
      <c r="U5435">
        <f>IF(Pipeline_tbl[[#This Row],[Closed_Date]]=0,"",Pipeline_tbl[[#This Row],[Closed_Date]]-Pipeline_tbl[[#This Row],[Created_Date]])</f>
        <v>9</v>
      </c>
    </row>
    <row r="5436" spans="1:21" ht="15" customHeight="1" x14ac:dyDescent="0.2">
      <c r="A5436" t="s">
        <v>5742</v>
      </c>
      <c r="B5436" t="s">
        <v>205</v>
      </c>
      <c r="C5436" t="s">
        <v>52</v>
      </c>
      <c r="D5436" s="49">
        <v>46005</v>
      </c>
      <c r="E5436" s="49">
        <v>46006</v>
      </c>
      <c r="F5436" s="49">
        <v>46009</v>
      </c>
      <c r="I5436" s="49">
        <v>46019</v>
      </c>
      <c r="J5436" t="s">
        <v>49</v>
      </c>
      <c r="K5436" s="33">
        <v>1700</v>
      </c>
      <c r="L5436" t="s">
        <v>62</v>
      </c>
      <c r="M5436" t="str">
        <f>_xlfn.XLOOKUP(Pipeline_tbl[[#This Row],[Rep_ID]],Dim_Reps!A:A,Dim_Reps!K:K)</f>
        <v>EUR</v>
      </c>
      <c r="N5436" s="33">
        <f>(_xlfn.XLOOKUP(Pipeline_tbl[[#This Row],[Rate_Code_Generalized]],Lookups!A:A,Lookups!B:B))*Pipeline_tbl[[#This Row],[Pipeline_Amount_USD]]</f>
        <v>1700</v>
      </c>
      <c r="O5436" t="str">
        <f>_xlfn.XLOOKUP(Pipeline_tbl[[#This Row],[Rep_ID]],Dim_Reps!A:A,Dim_Reps!B:B)</f>
        <v>Karim Alvarez</v>
      </c>
      <c r="P5436" t="str">
        <f>_xlfn.XLOOKUP(Pipeline_tbl[[#This Row],[Rep_ID]],Dim_Reps!A:A,Dim_Reps!C:C)</f>
        <v>SDR / Inside Sales Rep</v>
      </c>
      <c r="Q5436" t="str">
        <f>_xlfn.XLOOKUP(Pipeline_tbl[[#This Row],[Rep_ID]],Dim_Reps!A:A,Dim_Reps!D:D)</f>
        <v>Inside Sales</v>
      </c>
      <c r="R5436" t="str">
        <f>_xlfn.XLOOKUP(Pipeline_tbl[[#This Row],[Rep_ID]],Dim_Reps!A:A,Dim_Reps!E:E)</f>
        <v>EMEA</v>
      </c>
      <c r="S5436" t="str">
        <f>_xlfn.XLOOKUP(Pipeline_tbl[[#This Row],[Created_Date]],Dim_Date!A:A,Dim_Date!H:H)</f>
        <v>Dec 2025</v>
      </c>
      <c r="T5436" t="str">
        <f>IF(Pipeline_tbl[[#This Row],[Closed_Date]]=0,"",(_xlfn.XLOOKUP(Pipeline_tbl[[#This Row],[Closed_Date]],Dim_Date!A:A,Dim_Date!H:H)))</f>
        <v>Dec 2025</v>
      </c>
      <c r="U5436">
        <f>IF(Pipeline_tbl[[#This Row],[Closed_Date]]=0,"",Pipeline_tbl[[#This Row],[Closed_Date]]-Pipeline_tbl[[#This Row],[Created_Date]])</f>
        <v>14</v>
      </c>
    </row>
    <row r="5437" spans="1:21" ht="15" customHeight="1" x14ac:dyDescent="0.2">
      <c r="A5437" t="s">
        <v>5743</v>
      </c>
      <c r="B5437" t="s">
        <v>209</v>
      </c>
      <c r="C5437" t="s">
        <v>54</v>
      </c>
      <c r="D5437" s="49">
        <v>45993</v>
      </c>
      <c r="E5437" s="49">
        <v>45994</v>
      </c>
      <c r="I5437" s="49">
        <v>46003</v>
      </c>
      <c r="J5437" t="s">
        <v>49</v>
      </c>
      <c r="K5437" s="33">
        <v>5600</v>
      </c>
      <c r="L5437" t="s">
        <v>61</v>
      </c>
      <c r="M5437" t="str">
        <f>_xlfn.XLOOKUP(Pipeline_tbl[[#This Row],[Rep_ID]],Dim_Reps!A:A,Dim_Reps!K:K)</f>
        <v>EUR</v>
      </c>
      <c r="N5437" s="33">
        <f>(_xlfn.XLOOKUP(Pipeline_tbl[[#This Row],[Rate_Code_Generalized]],Lookups!A:A,Lookups!B:B))*Pipeline_tbl[[#This Row],[Pipeline_Amount_USD]]</f>
        <v>5600</v>
      </c>
      <c r="O5437" t="str">
        <f>_xlfn.XLOOKUP(Pipeline_tbl[[#This Row],[Rep_ID]],Dim_Reps!A:A,Dim_Reps!B:B)</f>
        <v>Petra Larsen</v>
      </c>
      <c r="P5437" t="str">
        <f>_xlfn.XLOOKUP(Pipeline_tbl[[#This Row],[Rep_ID]],Dim_Reps!A:A,Dim_Reps!C:C)</f>
        <v>SDR / Inside Sales Rep</v>
      </c>
      <c r="Q5437" t="str">
        <f>_xlfn.XLOOKUP(Pipeline_tbl[[#This Row],[Rep_ID]],Dim_Reps!A:A,Dim_Reps!D:D)</f>
        <v>Inside Sales</v>
      </c>
      <c r="R5437" t="str">
        <f>_xlfn.XLOOKUP(Pipeline_tbl[[#This Row],[Rep_ID]],Dim_Reps!A:A,Dim_Reps!E:E)</f>
        <v>EMEA</v>
      </c>
      <c r="S5437" t="str">
        <f>_xlfn.XLOOKUP(Pipeline_tbl[[#This Row],[Created_Date]],Dim_Date!A:A,Dim_Date!H:H)</f>
        <v>Dec 2025</v>
      </c>
      <c r="T5437" t="str">
        <f>IF(Pipeline_tbl[[#This Row],[Closed_Date]]=0,"",(_xlfn.XLOOKUP(Pipeline_tbl[[#This Row],[Closed_Date]],Dim_Date!A:A,Dim_Date!H:H)))</f>
        <v>Dec 2025</v>
      </c>
      <c r="U5437">
        <f>IF(Pipeline_tbl[[#This Row],[Closed_Date]]=0,"",Pipeline_tbl[[#This Row],[Closed_Date]]-Pipeline_tbl[[#This Row],[Created_Date]])</f>
        <v>10</v>
      </c>
    </row>
    <row r="5438" spans="1:21" ht="15" customHeight="1" x14ac:dyDescent="0.2">
      <c r="A5438" t="s">
        <v>5744</v>
      </c>
      <c r="B5438" t="s">
        <v>209</v>
      </c>
      <c r="C5438" t="s">
        <v>55</v>
      </c>
      <c r="D5438" s="49">
        <v>46002</v>
      </c>
      <c r="E5438" s="49">
        <v>46003</v>
      </c>
      <c r="F5438" s="49">
        <v>46006</v>
      </c>
      <c r="I5438" s="49">
        <v>46014</v>
      </c>
      <c r="J5438" t="s">
        <v>49</v>
      </c>
      <c r="K5438" s="33">
        <v>4700</v>
      </c>
      <c r="L5438" t="s">
        <v>63</v>
      </c>
      <c r="M5438" t="str">
        <f>_xlfn.XLOOKUP(Pipeline_tbl[[#This Row],[Rep_ID]],Dim_Reps!A:A,Dim_Reps!K:K)</f>
        <v>EUR</v>
      </c>
      <c r="N5438" s="33">
        <f>(_xlfn.XLOOKUP(Pipeline_tbl[[#This Row],[Rate_Code_Generalized]],Lookups!A:A,Lookups!B:B))*Pipeline_tbl[[#This Row],[Pipeline_Amount_USD]]</f>
        <v>4700</v>
      </c>
      <c r="O5438" t="str">
        <f>_xlfn.XLOOKUP(Pipeline_tbl[[#This Row],[Rep_ID]],Dim_Reps!A:A,Dim_Reps!B:B)</f>
        <v>Petra Larsen</v>
      </c>
      <c r="P5438" t="str">
        <f>_xlfn.XLOOKUP(Pipeline_tbl[[#This Row],[Rep_ID]],Dim_Reps!A:A,Dim_Reps!C:C)</f>
        <v>SDR / Inside Sales Rep</v>
      </c>
      <c r="Q5438" t="str">
        <f>_xlfn.XLOOKUP(Pipeline_tbl[[#This Row],[Rep_ID]],Dim_Reps!A:A,Dim_Reps!D:D)</f>
        <v>Inside Sales</v>
      </c>
      <c r="R5438" t="str">
        <f>_xlfn.XLOOKUP(Pipeline_tbl[[#This Row],[Rep_ID]],Dim_Reps!A:A,Dim_Reps!E:E)</f>
        <v>EMEA</v>
      </c>
      <c r="S5438" t="str">
        <f>_xlfn.XLOOKUP(Pipeline_tbl[[#This Row],[Created_Date]],Dim_Date!A:A,Dim_Date!H:H)</f>
        <v>Dec 2025</v>
      </c>
      <c r="T5438" t="str">
        <f>IF(Pipeline_tbl[[#This Row],[Closed_Date]]=0,"",(_xlfn.XLOOKUP(Pipeline_tbl[[#This Row],[Closed_Date]],Dim_Date!A:A,Dim_Date!H:H)))</f>
        <v>Dec 2025</v>
      </c>
      <c r="U5438">
        <f>IF(Pipeline_tbl[[#This Row],[Closed_Date]]=0,"",Pipeline_tbl[[#This Row],[Closed_Date]]-Pipeline_tbl[[#This Row],[Created_Date]])</f>
        <v>12</v>
      </c>
    </row>
    <row r="5439" spans="1:21" ht="15" customHeight="1" x14ac:dyDescent="0.2">
      <c r="A5439" t="s">
        <v>5745</v>
      </c>
      <c r="B5439" t="s">
        <v>209</v>
      </c>
      <c r="C5439" t="s">
        <v>56</v>
      </c>
      <c r="D5439" s="49">
        <v>45994</v>
      </c>
      <c r="E5439" s="49">
        <v>45996</v>
      </c>
      <c r="F5439" s="49">
        <v>46000</v>
      </c>
      <c r="G5439" s="49">
        <v>46006</v>
      </c>
      <c r="H5439" s="49">
        <v>46011</v>
      </c>
      <c r="I5439" s="49">
        <v>46014</v>
      </c>
      <c r="J5439" t="s">
        <v>49</v>
      </c>
      <c r="K5439" s="33">
        <v>8000</v>
      </c>
      <c r="L5439" t="s">
        <v>60</v>
      </c>
      <c r="M5439" t="str">
        <f>_xlfn.XLOOKUP(Pipeline_tbl[[#This Row],[Rep_ID]],Dim_Reps!A:A,Dim_Reps!K:K)</f>
        <v>EUR</v>
      </c>
      <c r="N5439" s="33">
        <f>(_xlfn.XLOOKUP(Pipeline_tbl[[#This Row],[Rate_Code_Generalized]],Lookups!A:A,Lookups!B:B))*Pipeline_tbl[[#This Row],[Pipeline_Amount_USD]]</f>
        <v>8000</v>
      </c>
      <c r="O5439" t="str">
        <f>_xlfn.XLOOKUP(Pipeline_tbl[[#This Row],[Rep_ID]],Dim_Reps!A:A,Dim_Reps!B:B)</f>
        <v>Petra Larsen</v>
      </c>
      <c r="P5439" t="str">
        <f>_xlfn.XLOOKUP(Pipeline_tbl[[#This Row],[Rep_ID]],Dim_Reps!A:A,Dim_Reps!C:C)</f>
        <v>SDR / Inside Sales Rep</v>
      </c>
      <c r="Q5439" t="str">
        <f>_xlfn.XLOOKUP(Pipeline_tbl[[#This Row],[Rep_ID]],Dim_Reps!A:A,Dim_Reps!D:D)</f>
        <v>Inside Sales</v>
      </c>
      <c r="R5439" t="str">
        <f>_xlfn.XLOOKUP(Pipeline_tbl[[#This Row],[Rep_ID]],Dim_Reps!A:A,Dim_Reps!E:E)</f>
        <v>EMEA</v>
      </c>
      <c r="S5439" t="str">
        <f>_xlfn.XLOOKUP(Pipeline_tbl[[#This Row],[Created_Date]],Dim_Date!A:A,Dim_Date!H:H)</f>
        <v>Dec 2025</v>
      </c>
      <c r="T5439" t="str">
        <f>IF(Pipeline_tbl[[#This Row],[Closed_Date]]=0,"",(_xlfn.XLOOKUP(Pipeline_tbl[[#This Row],[Closed_Date]],Dim_Date!A:A,Dim_Date!H:H)))</f>
        <v>Dec 2025</v>
      </c>
      <c r="U5439">
        <f>IF(Pipeline_tbl[[#This Row],[Closed_Date]]=0,"",Pipeline_tbl[[#This Row],[Closed_Date]]-Pipeline_tbl[[#This Row],[Created_Date]])</f>
        <v>20</v>
      </c>
    </row>
    <row r="5440" spans="1:21" ht="15" customHeight="1" x14ac:dyDescent="0.2">
      <c r="A5440" t="s">
        <v>5746</v>
      </c>
      <c r="B5440" t="s">
        <v>209</v>
      </c>
      <c r="C5440" t="s">
        <v>52</v>
      </c>
      <c r="D5440" s="49">
        <v>46002</v>
      </c>
      <c r="E5440" s="49">
        <v>46003</v>
      </c>
      <c r="F5440" s="49">
        <v>46006</v>
      </c>
      <c r="G5440" s="49">
        <v>46010</v>
      </c>
      <c r="I5440" s="49">
        <v>46016</v>
      </c>
      <c r="J5440" t="s">
        <v>49</v>
      </c>
      <c r="K5440" s="33">
        <v>4900</v>
      </c>
      <c r="L5440" t="s">
        <v>63</v>
      </c>
      <c r="M5440" t="str">
        <f>_xlfn.XLOOKUP(Pipeline_tbl[[#This Row],[Rep_ID]],Dim_Reps!A:A,Dim_Reps!K:K)</f>
        <v>EUR</v>
      </c>
      <c r="N5440" s="33">
        <f>(_xlfn.XLOOKUP(Pipeline_tbl[[#This Row],[Rate_Code_Generalized]],Lookups!A:A,Lookups!B:B))*Pipeline_tbl[[#This Row],[Pipeline_Amount_USD]]</f>
        <v>4900</v>
      </c>
      <c r="O5440" t="str">
        <f>_xlfn.XLOOKUP(Pipeline_tbl[[#This Row],[Rep_ID]],Dim_Reps!A:A,Dim_Reps!B:B)</f>
        <v>Petra Larsen</v>
      </c>
      <c r="P5440" t="str">
        <f>_xlfn.XLOOKUP(Pipeline_tbl[[#This Row],[Rep_ID]],Dim_Reps!A:A,Dim_Reps!C:C)</f>
        <v>SDR / Inside Sales Rep</v>
      </c>
      <c r="Q5440" t="str">
        <f>_xlfn.XLOOKUP(Pipeline_tbl[[#This Row],[Rep_ID]],Dim_Reps!A:A,Dim_Reps!D:D)</f>
        <v>Inside Sales</v>
      </c>
      <c r="R5440" t="str">
        <f>_xlfn.XLOOKUP(Pipeline_tbl[[#This Row],[Rep_ID]],Dim_Reps!A:A,Dim_Reps!E:E)</f>
        <v>EMEA</v>
      </c>
      <c r="S5440" t="str">
        <f>_xlfn.XLOOKUP(Pipeline_tbl[[#This Row],[Created_Date]],Dim_Date!A:A,Dim_Date!H:H)</f>
        <v>Dec 2025</v>
      </c>
      <c r="T5440" t="str">
        <f>IF(Pipeline_tbl[[#This Row],[Closed_Date]]=0,"",(_xlfn.XLOOKUP(Pipeline_tbl[[#This Row],[Closed_Date]],Dim_Date!A:A,Dim_Date!H:H)))</f>
        <v>Dec 2025</v>
      </c>
      <c r="U5440">
        <f>IF(Pipeline_tbl[[#This Row],[Closed_Date]]=0,"",Pipeline_tbl[[#This Row],[Closed_Date]]-Pipeline_tbl[[#This Row],[Created_Date]])</f>
        <v>14</v>
      </c>
    </row>
    <row r="5441" spans="1:21" ht="15" customHeight="1" x14ac:dyDescent="0.2">
      <c r="A5441" t="s">
        <v>5747</v>
      </c>
      <c r="B5441" t="s">
        <v>209</v>
      </c>
      <c r="C5441" t="s">
        <v>52</v>
      </c>
      <c r="D5441" s="49">
        <v>45995</v>
      </c>
      <c r="E5441" s="49">
        <v>45997</v>
      </c>
      <c r="F5441" s="49">
        <v>46001</v>
      </c>
      <c r="G5441" s="49">
        <v>46007</v>
      </c>
      <c r="I5441" s="49">
        <v>46015</v>
      </c>
      <c r="J5441" t="s">
        <v>49</v>
      </c>
      <c r="K5441" s="33">
        <v>2900</v>
      </c>
      <c r="L5441" t="s">
        <v>60</v>
      </c>
      <c r="M5441" t="str">
        <f>_xlfn.XLOOKUP(Pipeline_tbl[[#This Row],[Rep_ID]],Dim_Reps!A:A,Dim_Reps!K:K)</f>
        <v>EUR</v>
      </c>
      <c r="N5441" s="33">
        <f>(_xlfn.XLOOKUP(Pipeline_tbl[[#This Row],[Rate_Code_Generalized]],Lookups!A:A,Lookups!B:B))*Pipeline_tbl[[#This Row],[Pipeline_Amount_USD]]</f>
        <v>2900</v>
      </c>
      <c r="O5441" t="str">
        <f>_xlfn.XLOOKUP(Pipeline_tbl[[#This Row],[Rep_ID]],Dim_Reps!A:A,Dim_Reps!B:B)</f>
        <v>Petra Larsen</v>
      </c>
      <c r="P5441" t="str">
        <f>_xlfn.XLOOKUP(Pipeline_tbl[[#This Row],[Rep_ID]],Dim_Reps!A:A,Dim_Reps!C:C)</f>
        <v>SDR / Inside Sales Rep</v>
      </c>
      <c r="Q5441" t="str">
        <f>_xlfn.XLOOKUP(Pipeline_tbl[[#This Row],[Rep_ID]],Dim_Reps!A:A,Dim_Reps!D:D)</f>
        <v>Inside Sales</v>
      </c>
      <c r="R5441" t="str">
        <f>_xlfn.XLOOKUP(Pipeline_tbl[[#This Row],[Rep_ID]],Dim_Reps!A:A,Dim_Reps!E:E)</f>
        <v>EMEA</v>
      </c>
      <c r="S5441" t="str">
        <f>_xlfn.XLOOKUP(Pipeline_tbl[[#This Row],[Created_Date]],Dim_Date!A:A,Dim_Date!H:H)</f>
        <v>Dec 2025</v>
      </c>
      <c r="T5441" t="str">
        <f>IF(Pipeline_tbl[[#This Row],[Closed_Date]]=0,"",(_xlfn.XLOOKUP(Pipeline_tbl[[#This Row],[Closed_Date]],Dim_Date!A:A,Dim_Date!H:H)))</f>
        <v>Dec 2025</v>
      </c>
      <c r="U5441">
        <f>IF(Pipeline_tbl[[#This Row],[Closed_Date]]=0,"",Pipeline_tbl[[#This Row],[Closed_Date]]-Pipeline_tbl[[#This Row],[Created_Date]])</f>
        <v>20</v>
      </c>
    </row>
    <row r="5442" spans="1:21" ht="15" customHeight="1" x14ac:dyDescent="0.2">
      <c r="A5442" t="s">
        <v>5748</v>
      </c>
      <c r="B5442" t="s">
        <v>209</v>
      </c>
      <c r="C5442" t="s">
        <v>53</v>
      </c>
      <c r="D5442" s="49">
        <v>46004</v>
      </c>
      <c r="E5442" s="49">
        <v>46006</v>
      </c>
      <c r="I5442" s="49">
        <v>46019</v>
      </c>
      <c r="J5442" t="s">
        <v>49</v>
      </c>
      <c r="K5442" s="33">
        <v>2700</v>
      </c>
      <c r="L5442" t="s">
        <v>60</v>
      </c>
      <c r="M5442" t="str">
        <f>_xlfn.XLOOKUP(Pipeline_tbl[[#This Row],[Rep_ID]],Dim_Reps!A:A,Dim_Reps!K:K)</f>
        <v>EUR</v>
      </c>
      <c r="N5442" s="33">
        <f>(_xlfn.XLOOKUP(Pipeline_tbl[[#This Row],[Rate_Code_Generalized]],Lookups!A:A,Lookups!B:B))*Pipeline_tbl[[#This Row],[Pipeline_Amount_USD]]</f>
        <v>2700</v>
      </c>
      <c r="O5442" t="str">
        <f>_xlfn.XLOOKUP(Pipeline_tbl[[#This Row],[Rep_ID]],Dim_Reps!A:A,Dim_Reps!B:B)</f>
        <v>Petra Larsen</v>
      </c>
      <c r="P5442" t="str">
        <f>_xlfn.XLOOKUP(Pipeline_tbl[[#This Row],[Rep_ID]],Dim_Reps!A:A,Dim_Reps!C:C)</f>
        <v>SDR / Inside Sales Rep</v>
      </c>
      <c r="Q5442" t="str">
        <f>_xlfn.XLOOKUP(Pipeline_tbl[[#This Row],[Rep_ID]],Dim_Reps!A:A,Dim_Reps!D:D)</f>
        <v>Inside Sales</v>
      </c>
      <c r="R5442" t="str">
        <f>_xlfn.XLOOKUP(Pipeline_tbl[[#This Row],[Rep_ID]],Dim_Reps!A:A,Dim_Reps!E:E)</f>
        <v>EMEA</v>
      </c>
      <c r="S5442" t="str">
        <f>_xlfn.XLOOKUP(Pipeline_tbl[[#This Row],[Created_Date]],Dim_Date!A:A,Dim_Date!H:H)</f>
        <v>Dec 2025</v>
      </c>
      <c r="T5442" t="str">
        <f>IF(Pipeline_tbl[[#This Row],[Closed_Date]]=0,"",(_xlfn.XLOOKUP(Pipeline_tbl[[#This Row],[Closed_Date]],Dim_Date!A:A,Dim_Date!H:H)))</f>
        <v>Dec 2025</v>
      </c>
      <c r="U5442">
        <f>IF(Pipeline_tbl[[#This Row],[Closed_Date]]=0,"",Pipeline_tbl[[#This Row],[Closed_Date]]-Pipeline_tbl[[#This Row],[Created_Date]])</f>
        <v>15</v>
      </c>
    </row>
    <row r="5443" spans="1:21" ht="15" customHeight="1" x14ac:dyDescent="0.2">
      <c r="A5443" t="s">
        <v>5749</v>
      </c>
      <c r="B5443" t="s">
        <v>209</v>
      </c>
      <c r="C5443" t="s">
        <v>52</v>
      </c>
      <c r="D5443" s="49">
        <v>46000</v>
      </c>
      <c r="E5443" s="49">
        <v>46002</v>
      </c>
      <c r="F5443" s="49">
        <v>46006</v>
      </c>
      <c r="G5443" s="49">
        <v>46011</v>
      </c>
      <c r="H5443" s="49">
        <v>46016</v>
      </c>
      <c r="I5443" s="49">
        <v>46019</v>
      </c>
      <c r="J5443" t="s">
        <v>47</v>
      </c>
      <c r="K5443" s="33">
        <v>3600</v>
      </c>
      <c r="M5443" t="str">
        <f>_xlfn.XLOOKUP(Pipeline_tbl[[#This Row],[Rep_ID]],Dim_Reps!A:A,Dim_Reps!K:K)</f>
        <v>EUR</v>
      </c>
      <c r="N5443" s="33">
        <f>(_xlfn.XLOOKUP(Pipeline_tbl[[#This Row],[Rate_Code_Generalized]],Lookups!A:A,Lookups!B:B))*Pipeline_tbl[[#This Row],[Pipeline_Amount_USD]]</f>
        <v>3600</v>
      </c>
      <c r="O5443" t="str">
        <f>_xlfn.XLOOKUP(Pipeline_tbl[[#This Row],[Rep_ID]],Dim_Reps!A:A,Dim_Reps!B:B)</f>
        <v>Petra Larsen</v>
      </c>
      <c r="P5443" t="str">
        <f>_xlfn.XLOOKUP(Pipeline_tbl[[#This Row],[Rep_ID]],Dim_Reps!A:A,Dim_Reps!C:C)</f>
        <v>SDR / Inside Sales Rep</v>
      </c>
      <c r="Q5443" t="str">
        <f>_xlfn.XLOOKUP(Pipeline_tbl[[#This Row],[Rep_ID]],Dim_Reps!A:A,Dim_Reps!D:D)</f>
        <v>Inside Sales</v>
      </c>
      <c r="R5443" t="str">
        <f>_xlfn.XLOOKUP(Pipeline_tbl[[#This Row],[Rep_ID]],Dim_Reps!A:A,Dim_Reps!E:E)</f>
        <v>EMEA</v>
      </c>
      <c r="S5443" t="str">
        <f>_xlfn.XLOOKUP(Pipeline_tbl[[#This Row],[Created_Date]],Dim_Date!A:A,Dim_Date!H:H)</f>
        <v>Dec 2025</v>
      </c>
      <c r="T5443" t="str">
        <f>IF(Pipeline_tbl[[#This Row],[Closed_Date]]=0,"",(_xlfn.XLOOKUP(Pipeline_tbl[[#This Row],[Closed_Date]],Dim_Date!A:A,Dim_Date!H:H)))</f>
        <v>Dec 2025</v>
      </c>
      <c r="U5443">
        <f>IF(Pipeline_tbl[[#This Row],[Closed_Date]]=0,"",Pipeline_tbl[[#This Row],[Closed_Date]]-Pipeline_tbl[[#This Row],[Created_Date]])</f>
        <v>19</v>
      </c>
    </row>
    <row r="5444" spans="1:21" ht="15" customHeight="1" x14ac:dyDescent="0.2">
      <c r="A5444" t="s">
        <v>5750</v>
      </c>
      <c r="B5444" t="s">
        <v>211</v>
      </c>
      <c r="C5444" t="s">
        <v>52</v>
      </c>
      <c r="D5444" s="49">
        <v>45992</v>
      </c>
      <c r="E5444" s="49">
        <v>45994</v>
      </c>
      <c r="I5444" s="49">
        <v>46014</v>
      </c>
      <c r="J5444" t="s">
        <v>49</v>
      </c>
      <c r="K5444" s="33">
        <v>4700</v>
      </c>
      <c r="L5444" t="s">
        <v>61</v>
      </c>
      <c r="M5444" t="str">
        <f>_xlfn.XLOOKUP(Pipeline_tbl[[#This Row],[Rep_ID]],Dim_Reps!A:A,Dim_Reps!K:K)</f>
        <v>EUR</v>
      </c>
      <c r="N5444" s="33">
        <f>(_xlfn.XLOOKUP(Pipeline_tbl[[#This Row],[Rate_Code_Generalized]],Lookups!A:A,Lookups!B:B))*Pipeline_tbl[[#This Row],[Pipeline_Amount_USD]]</f>
        <v>4700</v>
      </c>
      <c r="O5444" t="str">
        <f>_xlfn.XLOOKUP(Pipeline_tbl[[#This Row],[Rep_ID]],Dim_Reps!A:A,Dim_Reps!B:B)</f>
        <v>Lea Weber</v>
      </c>
      <c r="P5444" t="str">
        <f>_xlfn.XLOOKUP(Pipeline_tbl[[#This Row],[Rep_ID]],Dim_Reps!A:A,Dim_Reps!C:C)</f>
        <v>SDR / Inside Sales Rep</v>
      </c>
      <c r="Q5444" t="str">
        <f>_xlfn.XLOOKUP(Pipeline_tbl[[#This Row],[Rep_ID]],Dim_Reps!A:A,Dim_Reps!D:D)</f>
        <v>Inside Sales</v>
      </c>
      <c r="R5444" t="str">
        <f>_xlfn.XLOOKUP(Pipeline_tbl[[#This Row],[Rep_ID]],Dim_Reps!A:A,Dim_Reps!E:E)</f>
        <v>EMEA</v>
      </c>
      <c r="S5444" t="str">
        <f>_xlfn.XLOOKUP(Pipeline_tbl[[#This Row],[Created_Date]],Dim_Date!A:A,Dim_Date!H:H)</f>
        <v>Dec 2025</v>
      </c>
      <c r="T5444" t="str">
        <f>IF(Pipeline_tbl[[#This Row],[Closed_Date]]=0,"",(_xlfn.XLOOKUP(Pipeline_tbl[[#This Row],[Closed_Date]],Dim_Date!A:A,Dim_Date!H:H)))</f>
        <v>Dec 2025</v>
      </c>
      <c r="U5444">
        <f>IF(Pipeline_tbl[[#This Row],[Closed_Date]]=0,"",Pipeline_tbl[[#This Row],[Closed_Date]]-Pipeline_tbl[[#This Row],[Created_Date]])</f>
        <v>22</v>
      </c>
    </row>
    <row r="5445" spans="1:21" ht="15" customHeight="1" x14ac:dyDescent="0.2">
      <c r="A5445" t="s">
        <v>5751</v>
      </c>
      <c r="B5445" t="s">
        <v>211</v>
      </c>
      <c r="C5445" t="s">
        <v>53</v>
      </c>
      <c r="D5445" s="49">
        <v>45999</v>
      </c>
      <c r="E5445" s="49">
        <v>46000</v>
      </c>
      <c r="F5445" s="49">
        <v>46003</v>
      </c>
      <c r="G5445" s="49">
        <v>46007</v>
      </c>
      <c r="H5445" s="49">
        <v>46011</v>
      </c>
      <c r="I5445" s="49">
        <v>46013</v>
      </c>
      <c r="J5445" t="s">
        <v>47</v>
      </c>
      <c r="K5445" s="33">
        <v>1600</v>
      </c>
      <c r="M5445" t="str">
        <f>_xlfn.XLOOKUP(Pipeline_tbl[[#This Row],[Rep_ID]],Dim_Reps!A:A,Dim_Reps!K:K)</f>
        <v>EUR</v>
      </c>
      <c r="N5445" s="33">
        <f>(_xlfn.XLOOKUP(Pipeline_tbl[[#This Row],[Rate_Code_Generalized]],Lookups!A:A,Lookups!B:B))*Pipeline_tbl[[#This Row],[Pipeline_Amount_USD]]</f>
        <v>1600</v>
      </c>
      <c r="O5445" t="str">
        <f>_xlfn.XLOOKUP(Pipeline_tbl[[#This Row],[Rep_ID]],Dim_Reps!A:A,Dim_Reps!B:B)</f>
        <v>Lea Weber</v>
      </c>
      <c r="P5445" t="str">
        <f>_xlfn.XLOOKUP(Pipeline_tbl[[#This Row],[Rep_ID]],Dim_Reps!A:A,Dim_Reps!C:C)</f>
        <v>SDR / Inside Sales Rep</v>
      </c>
      <c r="Q5445" t="str">
        <f>_xlfn.XLOOKUP(Pipeline_tbl[[#This Row],[Rep_ID]],Dim_Reps!A:A,Dim_Reps!D:D)</f>
        <v>Inside Sales</v>
      </c>
      <c r="R5445" t="str">
        <f>_xlfn.XLOOKUP(Pipeline_tbl[[#This Row],[Rep_ID]],Dim_Reps!A:A,Dim_Reps!E:E)</f>
        <v>EMEA</v>
      </c>
      <c r="S5445" t="str">
        <f>_xlfn.XLOOKUP(Pipeline_tbl[[#This Row],[Created_Date]],Dim_Date!A:A,Dim_Date!H:H)</f>
        <v>Dec 2025</v>
      </c>
      <c r="T5445" t="str">
        <f>IF(Pipeline_tbl[[#This Row],[Closed_Date]]=0,"",(_xlfn.XLOOKUP(Pipeline_tbl[[#This Row],[Closed_Date]],Dim_Date!A:A,Dim_Date!H:H)))</f>
        <v>Dec 2025</v>
      </c>
      <c r="U5445">
        <f>IF(Pipeline_tbl[[#This Row],[Closed_Date]]=0,"",Pipeline_tbl[[#This Row],[Closed_Date]]-Pipeline_tbl[[#This Row],[Created_Date]])</f>
        <v>14</v>
      </c>
    </row>
    <row r="5446" spans="1:21" ht="15" customHeight="1" x14ac:dyDescent="0.2">
      <c r="A5446" t="s">
        <v>5752</v>
      </c>
      <c r="B5446" t="s">
        <v>213</v>
      </c>
      <c r="C5446" t="s">
        <v>55</v>
      </c>
      <c r="D5446" s="49">
        <v>45994</v>
      </c>
      <c r="E5446" s="49">
        <v>45996</v>
      </c>
      <c r="F5446" s="49">
        <v>45999</v>
      </c>
      <c r="G5446" s="49">
        <v>46005</v>
      </c>
      <c r="I5446" s="49">
        <v>46012</v>
      </c>
      <c r="J5446" t="s">
        <v>49</v>
      </c>
      <c r="K5446" s="33">
        <v>14100</v>
      </c>
      <c r="L5446" t="s">
        <v>61</v>
      </c>
      <c r="M5446" t="str">
        <f>_xlfn.XLOOKUP(Pipeline_tbl[[#This Row],[Rep_ID]],Dim_Reps!A:A,Dim_Reps!K:K)</f>
        <v>EUR</v>
      </c>
      <c r="N5446" s="33">
        <f>(_xlfn.XLOOKUP(Pipeline_tbl[[#This Row],[Rate_Code_Generalized]],Lookups!A:A,Lookups!B:B))*Pipeline_tbl[[#This Row],[Pipeline_Amount_USD]]</f>
        <v>14100</v>
      </c>
      <c r="O5446" t="str">
        <f>_xlfn.XLOOKUP(Pipeline_tbl[[#This Row],[Rep_ID]],Dim_Reps!A:A,Dim_Reps!B:B)</f>
        <v>Jamie Silva</v>
      </c>
      <c r="P5446" t="str">
        <f>_xlfn.XLOOKUP(Pipeline_tbl[[#This Row],[Rep_ID]],Dim_Reps!A:A,Dim_Reps!C:C)</f>
        <v>SDR / Inside Sales Rep</v>
      </c>
      <c r="Q5446" t="str">
        <f>_xlfn.XLOOKUP(Pipeline_tbl[[#This Row],[Rep_ID]],Dim_Reps!A:A,Dim_Reps!D:D)</f>
        <v>Inside Sales</v>
      </c>
      <c r="R5446" t="str">
        <f>_xlfn.XLOOKUP(Pipeline_tbl[[#This Row],[Rep_ID]],Dim_Reps!A:A,Dim_Reps!E:E)</f>
        <v>EMEA</v>
      </c>
      <c r="S5446" t="str">
        <f>_xlfn.XLOOKUP(Pipeline_tbl[[#This Row],[Created_Date]],Dim_Date!A:A,Dim_Date!H:H)</f>
        <v>Dec 2025</v>
      </c>
      <c r="T5446" t="str">
        <f>IF(Pipeline_tbl[[#This Row],[Closed_Date]]=0,"",(_xlfn.XLOOKUP(Pipeline_tbl[[#This Row],[Closed_Date]],Dim_Date!A:A,Dim_Date!H:H)))</f>
        <v>Dec 2025</v>
      </c>
      <c r="U5446">
        <f>IF(Pipeline_tbl[[#This Row],[Closed_Date]]=0,"",Pipeline_tbl[[#This Row],[Closed_Date]]-Pipeline_tbl[[#This Row],[Created_Date]])</f>
        <v>18</v>
      </c>
    </row>
    <row r="5447" spans="1:21" ht="15" customHeight="1" x14ac:dyDescent="0.2">
      <c r="A5447" t="s">
        <v>5753</v>
      </c>
      <c r="B5447" t="s">
        <v>213</v>
      </c>
      <c r="C5447" t="s">
        <v>55</v>
      </c>
      <c r="D5447" s="49">
        <v>46010</v>
      </c>
      <c r="E5447" s="49">
        <v>46011</v>
      </c>
      <c r="F5447" s="49">
        <v>46013</v>
      </c>
      <c r="G5447" s="49">
        <v>46015</v>
      </c>
      <c r="H5447" s="49">
        <v>46018</v>
      </c>
      <c r="I5447" s="49">
        <v>46019</v>
      </c>
      <c r="J5447" t="s">
        <v>49</v>
      </c>
      <c r="K5447" s="33">
        <v>3700</v>
      </c>
      <c r="L5447" t="s">
        <v>60</v>
      </c>
      <c r="M5447" t="str">
        <f>_xlfn.XLOOKUP(Pipeline_tbl[[#This Row],[Rep_ID]],Dim_Reps!A:A,Dim_Reps!K:K)</f>
        <v>EUR</v>
      </c>
      <c r="N5447" s="33">
        <f>(_xlfn.XLOOKUP(Pipeline_tbl[[#This Row],[Rate_Code_Generalized]],Lookups!A:A,Lookups!B:B))*Pipeline_tbl[[#This Row],[Pipeline_Amount_USD]]</f>
        <v>3700</v>
      </c>
      <c r="O5447" t="str">
        <f>_xlfn.XLOOKUP(Pipeline_tbl[[#This Row],[Rep_ID]],Dim_Reps!A:A,Dim_Reps!B:B)</f>
        <v>Jamie Silva</v>
      </c>
      <c r="P5447" t="str">
        <f>_xlfn.XLOOKUP(Pipeline_tbl[[#This Row],[Rep_ID]],Dim_Reps!A:A,Dim_Reps!C:C)</f>
        <v>SDR / Inside Sales Rep</v>
      </c>
      <c r="Q5447" t="str">
        <f>_xlfn.XLOOKUP(Pipeline_tbl[[#This Row],[Rep_ID]],Dim_Reps!A:A,Dim_Reps!D:D)</f>
        <v>Inside Sales</v>
      </c>
      <c r="R5447" t="str">
        <f>_xlfn.XLOOKUP(Pipeline_tbl[[#This Row],[Rep_ID]],Dim_Reps!A:A,Dim_Reps!E:E)</f>
        <v>EMEA</v>
      </c>
      <c r="S5447" t="str">
        <f>_xlfn.XLOOKUP(Pipeline_tbl[[#This Row],[Created_Date]],Dim_Date!A:A,Dim_Date!H:H)</f>
        <v>Dec 2025</v>
      </c>
      <c r="T5447" t="str">
        <f>IF(Pipeline_tbl[[#This Row],[Closed_Date]]=0,"",(_xlfn.XLOOKUP(Pipeline_tbl[[#This Row],[Closed_Date]],Dim_Date!A:A,Dim_Date!H:H)))</f>
        <v>Dec 2025</v>
      </c>
      <c r="U5447">
        <f>IF(Pipeline_tbl[[#This Row],[Closed_Date]]=0,"",Pipeline_tbl[[#This Row],[Closed_Date]]-Pipeline_tbl[[#This Row],[Created_Date]])</f>
        <v>9</v>
      </c>
    </row>
    <row r="5448" spans="1:21" ht="15" customHeight="1" x14ac:dyDescent="0.2">
      <c r="A5448" t="s">
        <v>5754</v>
      </c>
      <c r="B5448" t="s">
        <v>213</v>
      </c>
      <c r="C5448" t="s">
        <v>52</v>
      </c>
      <c r="D5448" s="49">
        <v>45996</v>
      </c>
      <c r="E5448" s="49">
        <v>45998</v>
      </c>
      <c r="F5448" s="49">
        <v>46003</v>
      </c>
      <c r="G5448" s="49">
        <v>46010</v>
      </c>
      <c r="H5448" s="49">
        <v>46016</v>
      </c>
      <c r="I5448" s="49">
        <v>46020</v>
      </c>
      <c r="J5448" t="s">
        <v>47</v>
      </c>
      <c r="K5448" s="33">
        <v>4300</v>
      </c>
      <c r="M5448" t="str">
        <f>_xlfn.XLOOKUP(Pipeline_tbl[[#This Row],[Rep_ID]],Dim_Reps!A:A,Dim_Reps!K:K)</f>
        <v>EUR</v>
      </c>
      <c r="N5448" s="33">
        <f>(_xlfn.XLOOKUP(Pipeline_tbl[[#This Row],[Rate_Code_Generalized]],Lookups!A:A,Lookups!B:B))*Pipeline_tbl[[#This Row],[Pipeline_Amount_USD]]</f>
        <v>4300</v>
      </c>
      <c r="O5448" t="str">
        <f>_xlfn.XLOOKUP(Pipeline_tbl[[#This Row],[Rep_ID]],Dim_Reps!A:A,Dim_Reps!B:B)</f>
        <v>Jamie Silva</v>
      </c>
      <c r="P5448" t="str">
        <f>_xlfn.XLOOKUP(Pipeline_tbl[[#This Row],[Rep_ID]],Dim_Reps!A:A,Dim_Reps!C:C)</f>
        <v>SDR / Inside Sales Rep</v>
      </c>
      <c r="Q5448" t="str">
        <f>_xlfn.XLOOKUP(Pipeline_tbl[[#This Row],[Rep_ID]],Dim_Reps!A:A,Dim_Reps!D:D)</f>
        <v>Inside Sales</v>
      </c>
      <c r="R5448" t="str">
        <f>_xlfn.XLOOKUP(Pipeline_tbl[[#This Row],[Rep_ID]],Dim_Reps!A:A,Dim_Reps!E:E)</f>
        <v>EMEA</v>
      </c>
      <c r="S5448" t="str">
        <f>_xlfn.XLOOKUP(Pipeline_tbl[[#This Row],[Created_Date]],Dim_Date!A:A,Dim_Date!H:H)</f>
        <v>Dec 2025</v>
      </c>
      <c r="T5448" t="str">
        <f>IF(Pipeline_tbl[[#This Row],[Closed_Date]]=0,"",(_xlfn.XLOOKUP(Pipeline_tbl[[#This Row],[Closed_Date]],Dim_Date!A:A,Dim_Date!H:H)))</f>
        <v>Dec 2025</v>
      </c>
      <c r="U5448">
        <f>IF(Pipeline_tbl[[#This Row],[Closed_Date]]=0,"",Pipeline_tbl[[#This Row],[Closed_Date]]-Pipeline_tbl[[#This Row],[Created_Date]])</f>
        <v>24</v>
      </c>
    </row>
    <row r="5449" spans="1:21" ht="15" customHeight="1" x14ac:dyDescent="0.2">
      <c r="A5449" t="s">
        <v>5755</v>
      </c>
      <c r="B5449" t="s">
        <v>213</v>
      </c>
      <c r="C5449" t="s">
        <v>53</v>
      </c>
      <c r="D5449" s="49">
        <v>46004</v>
      </c>
      <c r="E5449" s="49">
        <v>46005</v>
      </c>
      <c r="F5449" s="49">
        <v>46007</v>
      </c>
      <c r="G5449" s="49">
        <v>46010</v>
      </c>
      <c r="I5449" s="49">
        <v>46014</v>
      </c>
      <c r="J5449" t="s">
        <v>49</v>
      </c>
      <c r="K5449" s="33">
        <v>3700</v>
      </c>
      <c r="L5449" t="s">
        <v>60</v>
      </c>
      <c r="M5449" t="str">
        <f>_xlfn.XLOOKUP(Pipeline_tbl[[#This Row],[Rep_ID]],Dim_Reps!A:A,Dim_Reps!K:K)</f>
        <v>EUR</v>
      </c>
      <c r="N5449" s="33">
        <f>(_xlfn.XLOOKUP(Pipeline_tbl[[#This Row],[Rate_Code_Generalized]],Lookups!A:A,Lookups!B:B))*Pipeline_tbl[[#This Row],[Pipeline_Amount_USD]]</f>
        <v>3700</v>
      </c>
      <c r="O5449" t="str">
        <f>_xlfn.XLOOKUP(Pipeline_tbl[[#This Row],[Rep_ID]],Dim_Reps!A:A,Dim_Reps!B:B)</f>
        <v>Jamie Silva</v>
      </c>
      <c r="P5449" t="str">
        <f>_xlfn.XLOOKUP(Pipeline_tbl[[#This Row],[Rep_ID]],Dim_Reps!A:A,Dim_Reps!C:C)</f>
        <v>SDR / Inside Sales Rep</v>
      </c>
      <c r="Q5449" t="str">
        <f>_xlfn.XLOOKUP(Pipeline_tbl[[#This Row],[Rep_ID]],Dim_Reps!A:A,Dim_Reps!D:D)</f>
        <v>Inside Sales</v>
      </c>
      <c r="R5449" t="str">
        <f>_xlfn.XLOOKUP(Pipeline_tbl[[#This Row],[Rep_ID]],Dim_Reps!A:A,Dim_Reps!E:E)</f>
        <v>EMEA</v>
      </c>
      <c r="S5449" t="str">
        <f>_xlfn.XLOOKUP(Pipeline_tbl[[#This Row],[Created_Date]],Dim_Date!A:A,Dim_Date!H:H)</f>
        <v>Dec 2025</v>
      </c>
      <c r="T5449" t="str">
        <f>IF(Pipeline_tbl[[#This Row],[Closed_Date]]=0,"",(_xlfn.XLOOKUP(Pipeline_tbl[[#This Row],[Closed_Date]],Dim_Date!A:A,Dim_Date!H:H)))</f>
        <v>Dec 2025</v>
      </c>
      <c r="U5449">
        <f>IF(Pipeline_tbl[[#This Row],[Closed_Date]]=0,"",Pipeline_tbl[[#This Row],[Closed_Date]]-Pipeline_tbl[[#This Row],[Created_Date]])</f>
        <v>10</v>
      </c>
    </row>
    <row r="5450" spans="1:21" ht="15" customHeight="1" x14ac:dyDescent="0.2">
      <c r="A5450" t="s">
        <v>5756</v>
      </c>
      <c r="B5450" t="s">
        <v>213</v>
      </c>
      <c r="C5450" t="s">
        <v>54</v>
      </c>
      <c r="D5450" s="49">
        <v>46000</v>
      </c>
      <c r="E5450" s="49">
        <v>46002</v>
      </c>
      <c r="F5450" s="49">
        <v>46007</v>
      </c>
      <c r="G5450" s="49">
        <v>46013</v>
      </c>
      <c r="I5450" s="49">
        <v>46022</v>
      </c>
      <c r="J5450" t="s">
        <v>49</v>
      </c>
      <c r="K5450" s="33">
        <v>1300</v>
      </c>
      <c r="L5450" t="s">
        <v>64</v>
      </c>
      <c r="M5450" t="str">
        <f>_xlfn.XLOOKUP(Pipeline_tbl[[#This Row],[Rep_ID]],Dim_Reps!A:A,Dim_Reps!K:K)</f>
        <v>EUR</v>
      </c>
      <c r="N5450" s="33">
        <f>(_xlfn.XLOOKUP(Pipeline_tbl[[#This Row],[Rate_Code_Generalized]],Lookups!A:A,Lookups!B:B))*Pipeline_tbl[[#This Row],[Pipeline_Amount_USD]]</f>
        <v>1300</v>
      </c>
      <c r="O5450" t="str">
        <f>_xlfn.XLOOKUP(Pipeline_tbl[[#This Row],[Rep_ID]],Dim_Reps!A:A,Dim_Reps!B:B)</f>
        <v>Jamie Silva</v>
      </c>
      <c r="P5450" t="str">
        <f>_xlfn.XLOOKUP(Pipeline_tbl[[#This Row],[Rep_ID]],Dim_Reps!A:A,Dim_Reps!C:C)</f>
        <v>SDR / Inside Sales Rep</v>
      </c>
      <c r="Q5450" t="str">
        <f>_xlfn.XLOOKUP(Pipeline_tbl[[#This Row],[Rep_ID]],Dim_Reps!A:A,Dim_Reps!D:D)</f>
        <v>Inside Sales</v>
      </c>
      <c r="R5450" t="str">
        <f>_xlfn.XLOOKUP(Pipeline_tbl[[#This Row],[Rep_ID]],Dim_Reps!A:A,Dim_Reps!E:E)</f>
        <v>EMEA</v>
      </c>
      <c r="S5450" t="str">
        <f>_xlfn.XLOOKUP(Pipeline_tbl[[#This Row],[Created_Date]],Dim_Date!A:A,Dim_Date!H:H)</f>
        <v>Dec 2025</v>
      </c>
      <c r="T5450" t="str">
        <f>IF(Pipeline_tbl[[#This Row],[Closed_Date]]=0,"",(_xlfn.XLOOKUP(Pipeline_tbl[[#This Row],[Closed_Date]],Dim_Date!A:A,Dim_Date!H:H)))</f>
        <v>Dec 2025</v>
      </c>
      <c r="U5450">
        <f>IF(Pipeline_tbl[[#This Row],[Closed_Date]]=0,"",Pipeline_tbl[[#This Row],[Closed_Date]]-Pipeline_tbl[[#This Row],[Created_Date]])</f>
        <v>22</v>
      </c>
    </row>
    <row r="5451" spans="1:21" ht="15" customHeight="1" x14ac:dyDescent="0.2">
      <c r="A5451" t="s">
        <v>5757</v>
      </c>
      <c r="B5451" t="s">
        <v>213</v>
      </c>
      <c r="C5451" t="s">
        <v>52</v>
      </c>
      <c r="D5451" s="49">
        <v>45999</v>
      </c>
      <c r="E5451" s="49">
        <v>46000</v>
      </c>
      <c r="F5451" s="49">
        <v>46001</v>
      </c>
      <c r="G5451" s="49">
        <v>46003</v>
      </c>
      <c r="H5451" s="49">
        <v>46005</v>
      </c>
      <c r="I5451" s="49">
        <v>46006</v>
      </c>
      <c r="J5451" t="s">
        <v>47</v>
      </c>
      <c r="K5451" s="33">
        <v>2100</v>
      </c>
      <c r="M5451" t="str">
        <f>_xlfn.XLOOKUP(Pipeline_tbl[[#This Row],[Rep_ID]],Dim_Reps!A:A,Dim_Reps!K:K)</f>
        <v>EUR</v>
      </c>
      <c r="N5451" s="33">
        <f>(_xlfn.XLOOKUP(Pipeline_tbl[[#This Row],[Rate_Code_Generalized]],Lookups!A:A,Lookups!B:B))*Pipeline_tbl[[#This Row],[Pipeline_Amount_USD]]</f>
        <v>2100</v>
      </c>
      <c r="O5451" t="str">
        <f>_xlfn.XLOOKUP(Pipeline_tbl[[#This Row],[Rep_ID]],Dim_Reps!A:A,Dim_Reps!B:B)</f>
        <v>Jamie Silva</v>
      </c>
      <c r="P5451" t="str">
        <f>_xlfn.XLOOKUP(Pipeline_tbl[[#This Row],[Rep_ID]],Dim_Reps!A:A,Dim_Reps!C:C)</f>
        <v>SDR / Inside Sales Rep</v>
      </c>
      <c r="Q5451" t="str">
        <f>_xlfn.XLOOKUP(Pipeline_tbl[[#This Row],[Rep_ID]],Dim_Reps!A:A,Dim_Reps!D:D)</f>
        <v>Inside Sales</v>
      </c>
      <c r="R5451" t="str">
        <f>_xlfn.XLOOKUP(Pipeline_tbl[[#This Row],[Rep_ID]],Dim_Reps!A:A,Dim_Reps!E:E)</f>
        <v>EMEA</v>
      </c>
      <c r="S5451" t="str">
        <f>_xlfn.XLOOKUP(Pipeline_tbl[[#This Row],[Created_Date]],Dim_Date!A:A,Dim_Date!H:H)</f>
        <v>Dec 2025</v>
      </c>
      <c r="T5451" t="str">
        <f>IF(Pipeline_tbl[[#This Row],[Closed_Date]]=0,"",(_xlfn.XLOOKUP(Pipeline_tbl[[#This Row],[Closed_Date]],Dim_Date!A:A,Dim_Date!H:H)))</f>
        <v>Dec 2025</v>
      </c>
      <c r="U5451">
        <f>IF(Pipeline_tbl[[#This Row],[Closed_Date]]=0,"",Pipeline_tbl[[#This Row],[Closed_Date]]-Pipeline_tbl[[#This Row],[Created_Date]])</f>
        <v>7</v>
      </c>
    </row>
    <row r="5452" spans="1:21" ht="15" customHeight="1" x14ac:dyDescent="0.2">
      <c r="A5452" t="s">
        <v>5758</v>
      </c>
      <c r="B5452" t="s">
        <v>213</v>
      </c>
      <c r="C5452" t="s">
        <v>52</v>
      </c>
      <c r="D5452" s="49">
        <v>45995</v>
      </c>
      <c r="E5452" s="49">
        <v>45997</v>
      </c>
      <c r="I5452" s="49">
        <v>46014</v>
      </c>
      <c r="J5452" t="s">
        <v>49</v>
      </c>
      <c r="K5452" s="33">
        <v>5300</v>
      </c>
      <c r="L5452" t="s">
        <v>62</v>
      </c>
      <c r="M5452" t="str">
        <f>_xlfn.XLOOKUP(Pipeline_tbl[[#This Row],[Rep_ID]],Dim_Reps!A:A,Dim_Reps!K:K)</f>
        <v>EUR</v>
      </c>
      <c r="N5452" s="33">
        <f>(_xlfn.XLOOKUP(Pipeline_tbl[[#This Row],[Rate_Code_Generalized]],Lookups!A:A,Lookups!B:B))*Pipeline_tbl[[#This Row],[Pipeline_Amount_USD]]</f>
        <v>5300</v>
      </c>
      <c r="O5452" t="str">
        <f>_xlfn.XLOOKUP(Pipeline_tbl[[#This Row],[Rep_ID]],Dim_Reps!A:A,Dim_Reps!B:B)</f>
        <v>Jamie Silva</v>
      </c>
      <c r="P5452" t="str">
        <f>_xlfn.XLOOKUP(Pipeline_tbl[[#This Row],[Rep_ID]],Dim_Reps!A:A,Dim_Reps!C:C)</f>
        <v>SDR / Inside Sales Rep</v>
      </c>
      <c r="Q5452" t="str">
        <f>_xlfn.XLOOKUP(Pipeline_tbl[[#This Row],[Rep_ID]],Dim_Reps!A:A,Dim_Reps!D:D)</f>
        <v>Inside Sales</v>
      </c>
      <c r="R5452" t="str">
        <f>_xlfn.XLOOKUP(Pipeline_tbl[[#This Row],[Rep_ID]],Dim_Reps!A:A,Dim_Reps!E:E)</f>
        <v>EMEA</v>
      </c>
      <c r="S5452" t="str">
        <f>_xlfn.XLOOKUP(Pipeline_tbl[[#This Row],[Created_Date]],Dim_Date!A:A,Dim_Date!H:H)</f>
        <v>Dec 2025</v>
      </c>
      <c r="T5452" t="str">
        <f>IF(Pipeline_tbl[[#This Row],[Closed_Date]]=0,"",(_xlfn.XLOOKUP(Pipeline_tbl[[#This Row],[Closed_Date]],Dim_Date!A:A,Dim_Date!H:H)))</f>
        <v>Dec 2025</v>
      </c>
      <c r="U5452">
        <f>IF(Pipeline_tbl[[#This Row],[Closed_Date]]=0,"",Pipeline_tbl[[#This Row],[Closed_Date]]-Pipeline_tbl[[#This Row],[Created_Date]])</f>
        <v>19</v>
      </c>
    </row>
    <row r="5453" spans="1:21" ht="15" customHeight="1" x14ac:dyDescent="0.2">
      <c r="A5453" t="s">
        <v>5759</v>
      </c>
      <c r="B5453" t="s">
        <v>213</v>
      </c>
      <c r="C5453" t="s">
        <v>56</v>
      </c>
      <c r="D5453" s="49">
        <v>45992</v>
      </c>
      <c r="E5453" s="49">
        <v>45994</v>
      </c>
      <c r="F5453" s="49">
        <v>45999</v>
      </c>
      <c r="G5453" s="49">
        <v>46006</v>
      </c>
      <c r="H5453" s="49">
        <v>46012</v>
      </c>
      <c r="I5453" s="49">
        <v>46016</v>
      </c>
      <c r="J5453" t="s">
        <v>47</v>
      </c>
      <c r="K5453" s="33">
        <v>2200</v>
      </c>
      <c r="M5453" t="str">
        <f>_xlfn.XLOOKUP(Pipeline_tbl[[#This Row],[Rep_ID]],Dim_Reps!A:A,Dim_Reps!K:K)</f>
        <v>EUR</v>
      </c>
      <c r="N5453" s="33">
        <f>(_xlfn.XLOOKUP(Pipeline_tbl[[#This Row],[Rate_Code_Generalized]],Lookups!A:A,Lookups!B:B))*Pipeline_tbl[[#This Row],[Pipeline_Amount_USD]]</f>
        <v>2200</v>
      </c>
      <c r="O5453" t="str">
        <f>_xlfn.XLOOKUP(Pipeline_tbl[[#This Row],[Rep_ID]],Dim_Reps!A:A,Dim_Reps!B:B)</f>
        <v>Jamie Silva</v>
      </c>
      <c r="P5453" t="str">
        <f>_xlfn.XLOOKUP(Pipeline_tbl[[#This Row],[Rep_ID]],Dim_Reps!A:A,Dim_Reps!C:C)</f>
        <v>SDR / Inside Sales Rep</v>
      </c>
      <c r="Q5453" t="str">
        <f>_xlfn.XLOOKUP(Pipeline_tbl[[#This Row],[Rep_ID]],Dim_Reps!A:A,Dim_Reps!D:D)</f>
        <v>Inside Sales</v>
      </c>
      <c r="R5453" t="str">
        <f>_xlfn.XLOOKUP(Pipeline_tbl[[#This Row],[Rep_ID]],Dim_Reps!A:A,Dim_Reps!E:E)</f>
        <v>EMEA</v>
      </c>
      <c r="S5453" t="str">
        <f>_xlfn.XLOOKUP(Pipeline_tbl[[#This Row],[Created_Date]],Dim_Date!A:A,Dim_Date!H:H)</f>
        <v>Dec 2025</v>
      </c>
      <c r="T5453" t="str">
        <f>IF(Pipeline_tbl[[#This Row],[Closed_Date]]=0,"",(_xlfn.XLOOKUP(Pipeline_tbl[[#This Row],[Closed_Date]],Dim_Date!A:A,Dim_Date!H:H)))</f>
        <v>Dec 2025</v>
      </c>
      <c r="U5453">
        <f>IF(Pipeline_tbl[[#This Row],[Closed_Date]]=0,"",Pipeline_tbl[[#This Row],[Closed_Date]]-Pipeline_tbl[[#This Row],[Created_Date]])</f>
        <v>24</v>
      </c>
    </row>
    <row r="5454" spans="1:21" ht="15" customHeight="1" x14ac:dyDescent="0.2">
      <c r="A5454" t="s">
        <v>5760</v>
      </c>
      <c r="B5454" t="s">
        <v>213</v>
      </c>
      <c r="C5454" t="s">
        <v>54</v>
      </c>
      <c r="D5454" s="49">
        <v>45997</v>
      </c>
      <c r="E5454" s="49">
        <v>45999</v>
      </c>
      <c r="F5454" s="49">
        <v>46003</v>
      </c>
      <c r="G5454" s="49">
        <v>46009</v>
      </c>
      <c r="I5454" s="49">
        <v>46017</v>
      </c>
      <c r="J5454" t="s">
        <v>49</v>
      </c>
      <c r="K5454" s="33">
        <v>4300</v>
      </c>
      <c r="L5454" t="s">
        <v>64</v>
      </c>
      <c r="M5454" t="str">
        <f>_xlfn.XLOOKUP(Pipeline_tbl[[#This Row],[Rep_ID]],Dim_Reps!A:A,Dim_Reps!K:K)</f>
        <v>EUR</v>
      </c>
      <c r="N5454" s="33">
        <f>(_xlfn.XLOOKUP(Pipeline_tbl[[#This Row],[Rate_Code_Generalized]],Lookups!A:A,Lookups!B:B))*Pipeline_tbl[[#This Row],[Pipeline_Amount_USD]]</f>
        <v>4300</v>
      </c>
      <c r="O5454" t="str">
        <f>_xlfn.XLOOKUP(Pipeline_tbl[[#This Row],[Rep_ID]],Dim_Reps!A:A,Dim_Reps!B:B)</f>
        <v>Jamie Silva</v>
      </c>
      <c r="P5454" t="str">
        <f>_xlfn.XLOOKUP(Pipeline_tbl[[#This Row],[Rep_ID]],Dim_Reps!A:A,Dim_Reps!C:C)</f>
        <v>SDR / Inside Sales Rep</v>
      </c>
      <c r="Q5454" t="str">
        <f>_xlfn.XLOOKUP(Pipeline_tbl[[#This Row],[Rep_ID]],Dim_Reps!A:A,Dim_Reps!D:D)</f>
        <v>Inside Sales</v>
      </c>
      <c r="R5454" t="str">
        <f>_xlfn.XLOOKUP(Pipeline_tbl[[#This Row],[Rep_ID]],Dim_Reps!A:A,Dim_Reps!E:E)</f>
        <v>EMEA</v>
      </c>
      <c r="S5454" t="str">
        <f>_xlfn.XLOOKUP(Pipeline_tbl[[#This Row],[Created_Date]],Dim_Date!A:A,Dim_Date!H:H)</f>
        <v>Dec 2025</v>
      </c>
      <c r="T5454" t="str">
        <f>IF(Pipeline_tbl[[#This Row],[Closed_Date]]=0,"",(_xlfn.XLOOKUP(Pipeline_tbl[[#This Row],[Closed_Date]],Dim_Date!A:A,Dim_Date!H:H)))</f>
        <v>Dec 2025</v>
      </c>
      <c r="U5454">
        <f>IF(Pipeline_tbl[[#This Row],[Closed_Date]]=0,"",Pipeline_tbl[[#This Row],[Closed_Date]]-Pipeline_tbl[[#This Row],[Created_Date]])</f>
        <v>20</v>
      </c>
    </row>
    <row r="5455" spans="1:21" ht="15" customHeight="1" x14ac:dyDescent="0.2">
      <c r="A5455" t="s">
        <v>5761</v>
      </c>
      <c r="B5455" t="s">
        <v>215</v>
      </c>
      <c r="C5455" t="s">
        <v>52</v>
      </c>
      <c r="D5455" s="49">
        <v>45992</v>
      </c>
      <c r="E5455" s="49">
        <v>45993</v>
      </c>
      <c r="F5455" s="49">
        <v>45995</v>
      </c>
      <c r="G5455" s="49">
        <v>45997</v>
      </c>
      <c r="I5455" s="49">
        <v>46001</v>
      </c>
      <c r="J5455" t="s">
        <v>49</v>
      </c>
      <c r="K5455" s="33">
        <v>6300</v>
      </c>
      <c r="L5455" t="s">
        <v>62</v>
      </c>
      <c r="M5455" t="str">
        <f>_xlfn.XLOOKUP(Pipeline_tbl[[#This Row],[Rep_ID]],Dim_Reps!A:A,Dim_Reps!K:K)</f>
        <v>EUR</v>
      </c>
      <c r="N5455" s="33">
        <f>(_xlfn.XLOOKUP(Pipeline_tbl[[#This Row],[Rate_Code_Generalized]],Lookups!A:A,Lookups!B:B))*Pipeline_tbl[[#This Row],[Pipeline_Amount_USD]]</f>
        <v>6300</v>
      </c>
      <c r="O5455" t="str">
        <f>_xlfn.XLOOKUP(Pipeline_tbl[[#This Row],[Rep_ID]],Dim_Reps!A:A,Dim_Reps!B:B)</f>
        <v>Jamie Schmidt</v>
      </c>
      <c r="P5455" t="str">
        <f>_xlfn.XLOOKUP(Pipeline_tbl[[#This Row],[Rep_ID]],Dim_Reps!A:A,Dim_Reps!C:C)</f>
        <v>SDR / Inside Sales Rep</v>
      </c>
      <c r="Q5455" t="str">
        <f>_xlfn.XLOOKUP(Pipeline_tbl[[#This Row],[Rep_ID]],Dim_Reps!A:A,Dim_Reps!D:D)</f>
        <v>Inside Sales</v>
      </c>
      <c r="R5455" t="str">
        <f>_xlfn.XLOOKUP(Pipeline_tbl[[#This Row],[Rep_ID]],Dim_Reps!A:A,Dim_Reps!E:E)</f>
        <v>APAC</v>
      </c>
      <c r="S5455" t="str">
        <f>_xlfn.XLOOKUP(Pipeline_tbl[[#This Row],[Created_Date]],Dim_Date!A:A,Dim_Date!H:H)</f>
        <v>Dec 2025</v>
      </c>
      <c r="T5455" t="str">
        <f>IF(Pipeline_tbl[[#This Row],[Closed_Date]]=0,"",(_xlfn.XLOOKUP(Pipeline_tbl[[#This Row],[Closed_Date]],Dim_Date!A:A,Dim_Date!H:H)))</f>
        <v>Dec 2025</v>
      </c>
      <c r="U5455">
        <f>IF(Pipeline_tbl[[#This Row],[Closed_Date]]=0,"",Pipeline_tbl[[#This Row],[Closed_Date]]-Pipeline_tbl[[#This Row],[Created_Date]])</f>
        <v>9</v>
      </c>
    </row>
    <row r="5456" spans="1:21" ht="15" customHeight="1" x14ac:dyDescent="0.2">
      <c r="A5456" t="s">
        <v>5762</v>
      </c>
      <c r="B5456" t="s">
        <v>215</v>
      </c>
      <c r="C5456" t="s">
        <v>52</v>
      </c>
      <c r="D5456" s="49">
        <v>45994</v>
      </c>
      <c r="E5456" s="49">
        <v>45996</v>
      </c>
      <c r="F5456" s="49">
        <v>46000</v>
      </c>
      <c r="G5456" s="49">
        <v>46006</v>
      </c>
      <c r="H5456" s="49">
        <v>46011</v>
      </c>
      <c r="I5456" s="49">
        <v>46014</v>
      </c>
      <c r="J5456" t="s">
        <v>47</v>
      </c>
      <c r="K5456" s="33">
        <v>2500</v>
      </c>
      <c r="M5456" t="str">
        <f>_xlfn.XLOOKUP(Pipeline_tbl[[#This Row],[Rep_ID]],Dim_Reps!A:A,Dim_Reps!K:K)</f>
        <v>EUR</v>
      </c>
      <c r="N5456" s="33">
        <f>(_xlfn.XLOOKUP(Pipeline_tbl[[#This Row],[Rate_Code_Generalized]],Lookups!A:A,Lookups!B:B))*Pipeline_tbl[[#This Row],[Pipeline_Amount_USD]]</f>
        <v>2500</v>
      </c>
      <c r="O5456" t="str">
        <f>_xlfn.XLOOKUP(Pipeline_tbl[[#This Row],[Rep_ID]],Dim_Reps!A:A,Dim_Reps!B:B)</f>
        <v>Jamie Schmidt</v>
      </c>
      <c r="P5456" t="str">
        <f>_xlfn.XLOOKUP(Pipeline_tbl[[#This Row],[Rep_ID]],Dim_Reps!A:A,Dim_Reps!C:C)</f>
        <v>SDR / Inside Sales Rep</v>
      </c>
      <c r="Q5456" t="str">
        <f>_xlfn.XLOOKUP(Pipeline_tbl[[#This Row],[Rep_ID]],Dim_Reps!A:A,Dim_Reps!D:D)</f>
        <v>Inside Sales</v>
      </c>
      <c r="R5456" t="str">
        <f>_xlfn.XLOOKUP(Pipeline_tbl[[#This Row],[Rep_ID]],Dim_Reps!A:A,Dim_Reps!E:E)</f>
        <v>APAC</v>
      </c>
      <c r="S5456" t="str">
        <f>_xlfn.XLOOKUP(Pipeline_tbl[[#This Row],[Created_Date]],Dim_Date!A:A,Dim_Date!H:H)</f>
        <v>Dec 2025</v>
      </c>
      <c r="T5456" t="str">
        <f>IF(Pipeline_tbl[[#This Row],[Closed_Date]]=0,"",(_xlfn.XLOOKUP(Pipeline_tbl[[#This Row],[Closed_Date]],Dim_Date!A:A,Dim_Date!H:H)))</f>
        <v>Dec 2025</v>
      </c>
      <c r="U5456">
        <f>IF(Pipeline_tbl[[#This Row],[Closed_Date]]=0,"",Pipeline_tbl[[#This Row],[Closed_Date]]-Pipeline_tbl[[#This Row],[Created_Date]])</f>
        <v>20</v>
      </c>
    </row>
    <row r="5457" spans="1:21" ht="15" customHeight="1" x14ac:dyDescent="0.2">
      <c r="A5457" t="s">
        <v>5763</v>
      </c>
      <c r="B5457" t="s">
        <v>215</v>
      </c>
      <c r="C5457" t="s">
        <v>53</v>
      </c>
      <c r="D5457" s="49">
        <v>45999</v>
      </c>
      <c r="E5457" s="49">
        <v>46000</v>
      </c>
      <c r="I5457" s="49">
        <v>46011</v>
      </c>
      <c r="J5457" t="s">
        <v>49</v>
      </c>
      <c r="K5457" s="33">
        <v>3000</v>
      </c>
      <c r="L5457" t="s">
        <v>61</v>
      </c>
      <c r="M5457" t="str">
        <f>_xlfn.XLOOKUP(Pipeline_tbl[[#This Row],[Rep_ID]],Dim_Reps!A:A,Dim_Reps!K:K)</f>
        <v>EUR</v>
      </c>
      <c r="N5457" s="33">
        <f>(_xlfn.XLOOKUP(Pipeline_tbl[[#This Row],[Rate_Code_Generalized]],Lookups!A:A,Lookups!B:B))*Pipeline_tbl[[#This Row],[Pipeline_Amount_USD]]</f>
        <v>3000</v>
      </c>
      <c r="O5457" t="str">
        <f>_xlfn.XLOOKUP(Pipeline_tbl[[#This Row],[Rep_ID]],Dim_Reps!A:A,Dim_Reps!B:B)</f>
        <v>Jamie Schmidt</v>
      </c>
      <c r="P5457" t="str">
        <f>_xlfn.XLOOKUP(Pipeline_tbl[[#This Row],[Rep_ID]],Dim_Reps!A:A,Dim_Reps!C:C)</f>
        <v>SDR / Inside Sales Rep</v>
      </c>
      <c r="Q5457" t="str">
        <f>_xlfn.XLOOKUP(Pipeline_tbl[[#This Row],[Rep_ID]],Dim_Reps!A:A,Dim_Reps!D:D)</f>
        <v>Inside Sales</v>
      </c>
      <c r="R5457" t="str">
        <f>_xlfn.XLOOKUP(Pipeline_tbl[[#This Row],[Rep_ID]],Dim_Reps!A:A,Dim_Reps!E:E)</f>
        <v>APAC</v>
      </c>
      <c r="S5457" t="str">
        <f>_xlfn.XLOOKUP(Pipeline_tbl[[#This Row],[Created_Date]],Dim_Date!A:A,Dim_Date!H:H)</f>
        <v>Dec 2025</v>
      </c>
      <c r="T5457" t="str">
        <f>IF(Pipeline_tbl[[#This Row],[Closed_Date]]=0,"",(_xlfn.XLOOKUP(Pipeline_tbl[[#This Row],[Closed_Date]],Dim_Date!A:A,Dim_Date!H:H)))</f>
        <v>Dec 2025</v>
      </c>
      <c r="U5457">
        <f>IF(Pipeline_tbl[[#This Row],[Closed_Date]]=0,"",Pipeline_tbl[[#This Row],[Closed_Date]]-Pipeline_tbl[[#This Row],[Created_Date]])</f>
        <v>12</v>
      </c>
    </row>
    <row r="5458" spans="1:21" ht="15" customHeight="1" x14ac:dyDescent="0.2">
      <c r="A5458" t="s">
        <v>5764</v>
      </c>
      <c r="B5458" t="s">
        <v>215</v>
      </c>
      <c r="C5458" t="s">
        <v>52</v>
      </c>
      <c r="D5458" s="49">
        <v>45998</v>
      </c>
      <c r="E5458" s="49">
        <v>45999</v>
      </c>
      <c r="F5458" s="49">
        <v>46001</v>
      </c>
      <c r="G5458" s="49">
        <v>46003</v>
      </c>
      <c r="I5458" s="49">
        <v>46007</v>
      </c>
      <c r="J5458" t="s">
        <v>49</v>
      </c>
      <c r="K5458" s="33">
        <v>3700</v>
      </c>
      <c r="L5458" t="s">
        <v>61</v>
      </c>
      <c r="M5458" t="str">
        <f>_xlfn.XLOOKUP(Pipeline_tbl[[#This Row],[Rep_ID]],Dim_Reps!A:A,Dim_Reps!K:K)</f>
        <v>EUR</v>
      </c>
      <c r="N5458" s="33">
        <f>(_xlfn.XLOOKUP(Pipeline_tbl[[#This Row],[Rate_Code_Generalized]],Lookups!A:A,Lookups!B:B))*Pipeline_tbl[[#This Row],[Pipeline_Amount_USD]]</f>
        <v>3700</v>
      </c>
      <c r="O5458" t="str">
        <f>_xlfn.XLOOKUP(Pipeline_tbl[[#This Row],[Rep_ID]],Dim_Reps!A:A,Dim_Reps!B:B)</f>
        <v>Jamie Schmidt</v>
      </c>
      <c r="P5458" t="str">
        <f>_xlfn.XLOOKUP(Pipeline_tbl[[#This Row],[Rep_ID]],Dim_Reps!A:A,Dim_Reps!C:C)</f>
        <v>SDR / Inside Sales Rep</v>
      </c>
      <c r="Q5458" t="str">
        <f>_xlfn.XLOOKUP(Pipeline_tbl[[#This Row],[Rep_ID]],Dim_Reps!A:A,Dim_Reps!D:D)</f>
        <v>Inside Sales</v>
      </c>
      <c r="R5458" t="str">
        <f>_xlfn.XLOOKUP(Pipeline_tbl[[#This Row],[Rep_ID]],Dim_Reps!A:A,Dim_Reps!E:E)</f>
        <v>APAC</v>
      </c>
      <c r="S5458" t="str">
        <f>_xlfn.XLOOKUP(Pipeline_tbl[[#This Row],[Created_Date]],Dim_Date!A:A,Dim_Date!H:H)</f>
        <v>Dec 2025</v>
      </c>
      <c r="T5458" t="str">
        <f>IF(Pipeline_tbl[[#This Row],[Closed_Date]]=0,"",(_xlfn.XLOOKUP(Pipeline_tbl[[#This Row],[Closed_Date]],Dim_Date!A:A,Dim_Date!H:H)))</f>
        <v>Dec 2025</v>
      </c>
      <c r="U5458">
        <f>IF(Pipeline_tbl[[#This Row],[Closed_Date]]=0,"",Pipeline_tbl[[#This Row],[Closed_Date]]-Pipeline_tbl[[#This Row],[Created_Date]])</f>
        <v>9</v>
      </c>
    </row>
    <row r="5459" spans="1:21" ht="15" customHeight="1" x14ac:dyDescent="0.2">
      <c r="A5459" t="s">
        <v>5765</v>
      </c>
      <c r="B5459" t="s">
        <v>215</v>
      </c>
      <c r="C5459" t="s">
        <v>52</v>
      </c>
      <c r="D5459" s="49">
        <v>45993</v>
      </c>
      <c r="E5459" s="49">
        <v>45996</v>
      </c>
      <c r="F5459" s="49">
        <v>46001</v>
      </c>
      <c r="I5459" s="49">
        <v>46019</v>
      </c>
      <c r="J5459" t="s">
        <v>49</v>
      </c>
      <c r="K5459" s="33">
        <v>3900</v>
      </c>
      <c r="L5459" t="s">
        <v>60</v>
      </c>
      <c r="M5459" t="str">
        <f>_xlfn.XLOOKUP(Pipeline_tbl[[#This Row],[Rep_ID]],Dim_Reps!A:A,Dim_Reps!K:K)</f>
        <v>EUR</v>
      </c>
      <c r="N5459" s="33">
        <f>(_xlfn.XLOOKUP(Pipeline_tbl[[#This Row],[Rate_Code_Generalized]],Lookups!A:A,Lookups!B:B))*Pipeline_tbl[[#This Row],[Pipeline_Amount_USD]]</f>
        <v>3900</v>
      </c>
      <c r="O5459" t="str">
        <f>_xlfn.XLOOKUP(Pipeline_tbl[[#This Row],[Rep_ID]],Dim_Reps!A:A,Dim_Reps!B:B)</f>
        <v>Jamie Schmidt</v>
      </c>
      <c r="P5459" t="str">
        <f>_xlfn.XLOOKUP(Pipeline_tbl[[#This Row],[Rep_ID]],Dim_Reps!A:A,Dim_Reps!C:C)</f>
        <v>SDR / Inside Sales Rep</v>
      </c>
      <c r="Q5459" t="str">
        <f>_xlfn.XLOOKUP(Pipeline_tbl[[#This Row],[Rep_ID]],Dim_Reps!A:A,Dim_Reps!D:D)</f>
        <v>Inside Sales</v>
      </c>
      <c r="R5459" t="str">
        <f>_xlfn.XLOOKUP(Pipeline_tbl[[#This Row],[Rep_ID]],Dim_Reps!A:A,Dim_Reps!E:E)</f>
        <v>APAC</v>
      </c>
      <c r="S5459" t="str">
        <f>_xlfn.XLOOKUP(Pipeline_tbl[[#This Row],[Created_Date]],Dim_Date!A:A,Dim_Date!H:H)</f>
        <v>Dec 2025</v>
      </c>
      <c r="T5459" t="str">
        <f>IF(Pipeline_tbl[[#This Row],[Closed_Date]]=0,"",(_xlfn.XLOOKUP(Pipeline_tbl[[#This Row],[Closed_Date]],Dim_Date!A:A,Dim_Date!H:H)))</f>
        <v>Dec 2025</v>
      </c>
      <c r="U5459">
        <f>IF(Pipeline_tbl[[#This Row],[Closed_Date]]=0,"",Pipeline_tbl[[#This Row],[Closed_Date]]-Pipeline_tbl[[#This Row],[Created_Date]])</f>
        <v>26</v>
      </c>
    </row>
    <row r="5460" spans="1:21" ht="15" customHeight="1" x14ac:dyDescent="0.2">
      <c r="A5460" t="s">
        <v>5766</v>
      </c>
      <c r="B5460" t="s">
        <v>215</v>
      </c>
      <c r="C5460" t="s">
        <v>54</v>
      </c>
      <c r="D5460" s="49">
        <v>45993</v>
      </c>
      <c r="E5460" s="49">
        <v>45995</v>
      </c>
      <c r="F5460" s="49">
        <v>45998</v>
      </c>
      <c r="G5460" s="49">
        <v>46003</v>
      </c>
      <c r="H5460" s="49">
        <v>46007</v>
      </c>
      <c r="I5460" s="49">
        <v>46010</v>
      </c>
      <c r="J5460" t="s">
        <v>47</v>
      </c>
      <c r="K5460" s="33">
        <v>5500</v>
      </c>
      <c r="M5460" t="str">
        <f>_xlfn.XLOOKUP(Pipeline_tbl[[#This Row],[Rep_ID]],Dim_Reps!A:A,Dim_Reps!K:K)</f>
        <v>EUR</v>
      </c>
      <c r="N5460" s="33">
        <f>(_xlfn.XLOOKUP(Pipeline_tbl[[#This Row],[Rate_Code_Generalized]],Lookups!A:A,Lookups!B:B))*Pipeline_tbl[[#This Row],[Pipeline_Amount_USD]]</f>
        <v>5500</v>
      </c>
      <c r="O5460" t="str">
        <f>_xlfn.XLOOKUP(Pipeline_tbl[[#This Row],[Rep_ID]],Dim_Reps!A:A,Dim_Reps!B:B)</f>
        <v>Jamie Schmidt</v>
      </c>
      <c r="P5460" t="str">
        <f>_xlfn.XLOOKUP(Pipeline_tbl[[#This Row],[Rep_ID]],Dim_Reps!A:A,Dim_Reps!C:C)</f>
        <v>SDR / Inside Sales Rep</v>
      </c>
      <c r="Q5460" t="str">
        <f>_xlfn.XLOOKUP(Pipeline_tbl[[#This Row],[Rep_ID]],Dim_Reps!A:A,Dim_Reps!D:D)</f>
        <v>Inside Sales</v>
      </c>
      <c r="R5460" t="str">
        <f>_xlfn.XLOOKUP(Pipeline_tbl[[#This Row],[Rep_ID]],Dim_Reps!A:A,Dim_Reps!E:E)</f>
        <v>APAC</v>
      </c>
      <c r="S5460" t="str">
        <f>_xlfn.XLOOKUP(Pipeline_tbl[[#This Row],[Created_Date]],Dim_Date!A:A,Dim_Date!H:H)</f>
        <v>Dec 2025</v>
      </c>
      <c r="T5460" t="str">
        <f>IF(Pipeline_tbl[[#This Row],[Closed_Date]]=0,"",(_xlfn.XLOOKUP(Pipeline_tbl[[#This Row],[Closed_Date]],Dim_Date!A:A,Dim_Date!H:H)))</f>
        <v>Dec 2025</v>
      </c>
      <c r="U5460">
        <f>IF(Pipeline_tbl[[#This Row],[Closed_Date]]=0,"",Pipeline_tbl[[#This Row],[Closed_Date]]-Pipeline_tbl[[#This Row],[Created_Date]])</f>
        <v>17</v>
      </c>
    </row>
    <row r="5461" spans="1:21" ht="15" customHeight="1" x14ac:dyDescent="0.2">
      <c r="A5461" t="s">
        <v>5767</v>
      </c>
      <c r="B5461" t="s">
        <v>217</v>
      </c>
      <c r="C5461" t="s">
        <v>53</v>
      </c>
      <c r="D5461" s="49">
        <v>46001</v>
      </c>
      <c r="E5461" s="49">
        <v>46003</v>
      </c>
      <c r="F5461" s="49">
        <v>46007</v>
      </c>
      <c r="G5461" s="49">
        <v>46012</v>
      </c>
      <c r="I5461" s="49">
        <v>46020</v>
      </c>
      <c r="J5461" t="s">
        <v>49</v>
      </c>
      <c r="K5461" s="33">
        <v>4300</v>
      </c>
      <c r="L5461" t="s">
        <v>61</v>
      </c>
      <c r="M5461" t="str">
        <f>_xlfn.XLOOKUP(Pipeline_tbl[[#This Row],[Rep_ID]],Dim_Reps!A:A,Dim_Reps!K:K)</f>
        <v>USD</v>
      </c>
      <c r="N5461" s="33">
        <f>(_xlfn.XLOOKUP(Pipeline_tbl[[#This Row],[Rate_Code_Generalized]],Lookups!A:A,Lookups!B:B))*Pipeline_tbl[[#This Row],[Pipeline_Amount_USD]]</f>
        <v>5006.49</v>
      </c>
      <c r="O5461" t="str">
        <f>_xlfn.XLOOKUP(Pipeline_tbl[[#This Row],[Rep_ID]],Dim_Reps!A:A,Dim_Reps!B:B)</f>
        <v>Priya Weber</v>
      </c>
      <c r="P5461" t="str">
        <f>_xlfn.XLOOKUP(Pipeline_tbl[[#This Row],[Rep_ID]],Dim_Reps!A:A,Dim_Reps!C:C)</f>
        <v>SDR / Inside Sales Rep</v>
      </c>
      <c r="Q5461" t="str">
        <f>_xlfn.XLOOKUP(Pipeline_tbl[[#This Row],[Rep_ID]],Dim_Reps!A:A,Dim_Reps!D:D)</f>
        <v>Inside Sales</v>
      </c>
      <c r="R5461" t="str">
        <f>_xlfn.XLOOKUP(Pipeline_tbl[[#This Row],[Rep_ID]],Dim_Reps!A:A,Dim_Reps!E:E)</f>
        <v>NAMER</v>
      </c>
      <c r="S5461" t="str">
        <f>_xlfn.XLOOKUP(Pipeline_tbl[[#This Row],[Created_Date]],Dim_Date!A:A,Dim_Date!H:H)</f>
        <v>Dec 2025</v>
      </c>
      <c r="T5461" t="str">
        <f>IF(Pipeline_tbl[[#This Row],[Closed_Date]]=0,"",(_xlfn.XLOOKUP(Pipeline_tbl[[#This Row],[Closed_Date]],Dim_Date!A:A,Dim_Date!H:H)))</f>
        <v>Dec 2025</v>
      </c>
      <c r="U5461">
        <f>IF(Pipeline_tbl[[#This Row],[Closed_Date]]=0,"",Pipeline_tbl[[#This Row],[Closed_Date]]-Pipeline_tbl[[#This Row],[Created_Date]])</f>
        <v>19</v>
      </c>
    </row>
    <row r="5462" spans="1:21" ht="15" customHeight="1" x14ac:dyDescent="0.2">
      <c r="A5462" t="s">
        <v>5768</v>
      </c>
      <c r="B5462" t="s">
        <v>217</v>
      </c>
      <c r="C5462" t="s">
        <v>52</v>
      </c>
      <c r="D5462" s="49">
        <v>45994</v>
      </c>
      <c r="E5462" s="49">
        <v>45996</v>
      </c>
      <c r="F5462" s="49">
        <v>46001</v>
      </c>
      <c r="G5462" s="49">
        <v>46008</v>
      </c>
      <c r="H5462" s="49">
        <v>46014</v>
      </c>
      <c r="I5462" s="49">
        <v>46017</v>
      </c>
      <c r="J5462" t="s">
        <v>47</v>
      </c>
      <c r="K5462" s="33">
        <v>6800</v>
      </c>
      <c r="M5462" t="str">
        <f>_xlfn.XLOOKUP(Pipeline_tbl[[#This Row],[Rep_ID]],Dim_Reps!A:A,Dim_Reps!K:K)</f>
        <v>USD</v>
      </c>
      <c r="N5462" s="33">
        <f>(_xlfn.XLOOKUP(Pipeline_tbl[[#This Row],[Rate_Code_Generalized]],Lookups!A:A,Lookups!B:B))*Pipeline_tbl[[#This Row],[Pipeline_Amount_USD]]</f>
        <v>7917.2399999999989</v>
      </c>
      <c r="O5462" t="str">
        <f>_xlfn.XLOOKUP(Pipeline_tbl[[#This Row],[Rep_ID]],Dim_Reps!A:A,Dim_Reps!B:B)</f>
        <v>Priya Weber</v>
      </c>
      <c r="P5462" t="str">
        <f>_xlfn.XLOOKUP(Pipeline_tbl[[#This Row],[Rep_ID]],Dim_Reps!A:A,Dim_Reps!C:C)</f>
        <v>SDR / Inside Sales Rep</v>
      </c>
      <c r="Q5462" t="str">
        <f>_xlfn.XLOOKUP(Pipeline_tbl[[#This Row],[Rep_ID]],Dim_Reps!A:A,Dim_Reps!D:D)</f>
        <v>Inside Sales</v>
      </c>
      <c r="R5462" t="str">
        <f>_xlfn.XLOOKUP(Pipeline_tbl[[#This Row],[Rep_ID]],Dim_Reps!A:A,Dim_Reps!E:E)</f>
        <v>NAMER</v>
      </c>
      <c r="S5462" t="str">
        <f>_xlfn.XLOOKUP(Pipeline_tbl[[#This Row],[Created_Date]],Dim_Date!A:A,Dim_Date!H:H)</f>
        <v>Dec 2025</v>
      </c>
      <c r="T5462" t="str">
        <f>IF(Pipeline_tbl[[#This Row],[Closed_Date]]=0,"",(_xlfn.XLOOKUP(Pipeline_tbl[[#This Row],[Closed_Date]],Dim_Date!A:A,Dim_Date!H:H)))</f>
        <v>Dec 2025</v>
      </c>
      <c r="U5462">
        <f>IF(Pipeline_tbl[[#This Row],[Closed_Date]]=0,"",Pipeline_tbl[[#This Row],[Closed_Date]]-Pipeline_tbl[[#This Row],[Created_Date]])</f>
        <v>23</v>
      </c>
    </row>
    <row r="5463" spans="1:21" ht="15" customHeight="1" x14ac:dyDescent="0.2">
      <c r="A5463" t="s">
        <v>5769</v>
      </c>
      <c r="B5463" t="s">
        <v>217</v>
      </c>
      <c r="C5463" t="s">
        <v>55</v>
      </c>
      <c r="D5463" s="49">
        <v>46003</v>
      </c>
      <c r="E5463" s="49">
        <v>46005</v>
      </c>
      <c r="I5463" s="49">
        <v>46021</v>
      </c>
      <c r="J5463" t="s">
        <v>49</v>
      </c>
      <c r="K5463" s="33">
        <v>5700</v>
      </c>
      <c r="L5463" t="s">
        <v>63</v>
      </c>
      <c r="M5463" t="str">
        <f>_xlfn.XLOOKUP(Pipeline_tbl[[#This Row],[Rep_ID]],Dim_Reps!A:A,Dim_Reps!K:K)</f>
        <v>USD</v>
      </c>
      <c r="N5463" s="33">
        <f>(_xlfn.XLOOKUP(Pipeline_tbl[[#This Row],[Rate_Code_Generalized]],Lookups!A:A,Lookups!B:B))*Pipeline_tbl[[#This Row],[Pipeline_Amount_USD]]</f>
        <v>6636.5099999999993</v>
      </c>
      <c r="O5463" t="str">
        <f>_xlfn.XLOOKUP(Pipeline_tbl[[#This Row],[Rep_ID]],Dim_Reps!A:A,Dim_Reps!B:B)</f>
        <v>Priya Weber</v>
      </c>
      <c r="P5463" t="str">
        <f>_xlfn.XLOOKUP(Pipeline_tbl[[#This Row],[Rep_ID]],Dim_Reps!A:A,Dim_Reps!C:C)</f>
        <v>SDR / Inside Sales Rep</v>
      </c>
      <c r="Q5463" t="str">
        <f>_xlfn.XLOOKUP(Pipeline_tbl[[#This Row],[Rep_ID]],Dim_Reps!A:A,Dim_Reps!D:D)</f>
        <v>Inside Sales</v>
      </c>
      <c r="R5463" t="str">
        <f>_xlfn.XLOOKUP(Pipeline_tbl[[#This Row],[Rep_ID]],Dim_Reps!A:A,Dim_Reps!E:E)</f>
        <v>NAMER</v>
      </c>
      <c r="S5463" t="str">
        <f>_xlfn.XLOOKUP(Pipeline_tbl[[#This Row],[Created_Date]],Dim_Date!A:A,Dim_Date!H:H)</f>
        <v>Dec 2025</v>
      </c>
      <c r="T5463" t="str">
        <f>IF(Pipeline_tbl[[#This Row],[Closed_Date]]=0,"",(_xlfn.XLOOKUP(Pipeline_tbl[[#This Row],[Closed_Date]],Dim_Date!A:A,Dim_Date!H:H)))</f>
        <v>Dec 2025</v>
      </c>
      <c r="U5463">
        <f>IF(Pipeline_tbl[[#This Row],[Closed_Date]]=0,"",Pipeline_tbl[[#This Row],[Closed_Date]]-Pipeline_tbl[[#This Row],[Created_Date]])</f>
        <v>18</v>
      </c>
    </row>
    <row r="5464" spans="1:21" ht="15" customHeight="1" x14ac:dyDescent="0.2">
      <c r="A5464" t="s">
        <v>5770</v>
      </c>
      <c r="B5464" t="s">
        <v>217</v>
      </c>
      <c r="C5464" t="s">
        <v>53</v>
      </c>
      <c r="D5464" s="49">
        <v>46000</v>
      </c>
      <c r="E5464" s="49">
        <v>46002</v>
      </c>
      <c r="F5464" s="49">
        <v>46006</v>
      </c>
      <c r="G5464" s="49">
        <v>46013</v>
      </c>
      <c r="H5464" s="49">
        <v>46018</v>
      </c>
      <c r="I5464" s="49">
        <v>46021</v>
      </c>
      <c r="J5464" t="s">
        <v>49</v>
      </c>
      <c r="K5464" s="33">
        <v>2600</v>
      </c>
      <c r="L5464" t="s">
        <v>61</v>
      </c>
      <c r="M5464" t="str">
        <f>_xlfn.XLOOKUP(Pipeline_tbl[[#This Row],[Rep_ID]],Dim_Reps!A:A,Dim_Reps!K:K)</f>
        <v>USD</v>
      </c>
      <c r="N5464" s="33">
        <f>(_xlfn.XLOOKUP(Pipeline_tbl[[#This Row],[Rate_Code_Generalized]],Lookups!A:A,Lookups!B:B))*Pipeline_tbl[[#This Row],[Pipeline_Amount_USD]]</f>
        <v>3027.18</v>
      </c>
      <c r="O5464" t="str">
        <f>_xlfn.XLOOKUP(Pipeline_tbl[[#This Row],[Rep_ID]],Dim_Reps!A:A,Dim_Reps!B:B)</f>
        <v>Priya Weber</v>
      </c>
      <c r="P5464" t="str">
        <f>_xlfn.XLOOKUP(Pipeline_tbl[[#This Row],[Rep_ID]],Dim_Reps!A:A,Dim_Reps!C:C)</f>
        <v>SDR / Inside Sales Rep</v>
      </c>
      <c r="Q5464" t="str">
        <f>_xlfn.XLOOKUP(Pipeline_tbl[[#This Row],[Rep_ID]],Dim_Reps!A:A,Dim_Reps!D:D)</f>
        <v>Inside Sales</v>
      </c>
      <c r="R5464" t="str">
        <f>_xlfn.XLOOKUP(Pipeline_tbl[[#This Row],[Rep_ID]],Dim_Reps!A:A,Dim_Reps!E:E)</f>
        <v>NAMER</v>
      </c>
      <c r="S5464" t="str">
        <f>_xlfn.XLOOKUP(Pipeline_tbl[[#This Row],[Created_Date]],Dim_Date!A:A,Dim_Date!H:H)</f>
        <v>Dec 2025</v>
      </c>
      <c r="T5464" t="str">
        <f>IF(Pipeline_tbl[[#This Row],[Closed_Date]]=0,"",(_xlfn.XLOOKUP(Pipeline_tbl[[#This Row],[Closed_Date]],Dim_Date!A:A,Dim_Date!H:H)))</f>
        <v>Dec 2025</v>
      </c>
      <c r="U5464">
        <f>IF(Pipeline_tbl[[#This Row],[Closed_Date]]=0,"",Pipeline_tbl[[#This Row],[Closed_Date]]-Pipeline_tbl[[#This Row],[Created_Date]])</f>
        <v>21</v>
      </c>
    </row>
    <row r="5465" spans="1:21" ht="15" customHeight="1" x14ac:dyDescent="0.2">
      <c r="A5465" t="s">
        <v>5771</v>
      </c>
      <c r="B5465" t="s">
        <v>217</v>
      </c>
      <c r="C5465" t="s">
        <v>53</v>
      </c>
      <c r="D5465" s="49">
        <v>45998</v>
      </c>
      <c r="E5465" s="49">
        <v>45999</v>
      </c>
      <c r="F5465" s="49">
        <v>46002</v>
      </c>
      <c r="G5465" s="49">
        <v>46006</v>
      </c>
      <c r="H5465" s="49">
        <v>46009</v>
      </c>
      <c r="I5465" s="49">
        <v>46011</v>
      </c>
      <c r="J5465" t="s">
        <v>47</v>
      </c>
      <c r="K5465" s="33">
        <v>4500</v>
      </c>
      <c r="M5465" t="str">
        <f>_xlfn.XLOOKUP(Pipeline_tbl[[#This Row],[Rep_ID]],Dim_Reps!A:A,Dim_Reps!K:K)</f>
        <v>USD</v>
      </c>
      <c r="N5465" s="33">
        <f>(_xlfn.XLOOKUP(Pipeline_tbl[[#This Row],[Rate_Code_Generalized]],Lookups!A:A,Lookups!B:B))*Pipeline_tbl[[#This Row],[Pipeline_Amount_USD]]</f>
        <v>5239.3499999999995</v>
      </c>
      <c r="O5465" t="str">
        <f>_xlfn.XLOOKUP(Pipeline_tbl[[#This Row],[Rep_ID]],Dim_Reps!A:A,Dim_Reps!B:B)</f>
        <v>Priya Weber</v>
      </c>
      <c r="P5465" t="str">
        <f>_xlfn.XLOOKUP(Pipeline_tbl[[#This Row],[Rep_ID]],Dim_Reps!A:A,Dim_Reps!C:C)</f>
        <v>SDR / Inside Sales Rep</v>
      </c>
      <c r="Q5465" t="str">
        <f>_xlfn.XLOOKUP(Pipeline_tbl[[#This Row],[Rep_ID]],Dim_Reps!A:A,Dim_Reps!D:D)</f>
        <v>Inside Sales</v>
      </c>
      <c r="R5465" t="str">
        <f>_xlfn.XLOOKUP(Pipeline_tbl[[#This Row],[Rep_ID]],Dim_Reps!A:A,Dim_Reps!E:E)</f>
        <v>NAMER</v>
      </c>
      <c r="S5465" t="str">
        <f>_xlfn.XLOOKUP(Pipeline_tbl[[#This Row],[Created_Date]],Dim_Date!A:A,Dim_Date!H:H)</f>
        <v>Dec 2025</v>
      </c>
      <c r="T5465" t="str">
        <f>IF(Pipeline_tbl[[#This Row],[Closed_Date]]=0,"",(_xlfn.XLOOKUP(Pipeline_tbl[[#This Row],[Closed_Date]],Dim_Date!A:A,Dim_Date!H:H)))</f>
        <v>Dec 2025</v>
      </c>
      <c r="U5465">
        <f>IF(Pipeline_tbl[[#This Row],[Closed_Date]]=0,"",Pipeline_tbl[[#This Row],[Closed_Date]]-Pipeline_tbl[[#This Row],[Created_Date]])</f>
        <v>13</v>
      </c>
    </row>
    <row r="5466" spans="1:21" ht="15" customHeight="1" x14ac:dyDescent="0.2">
      <c r="A5466" t="s">
        <v>5772</v>
      </c>
      <c r="B5466" t="s">
        <v>217</v>
      </c>
      <c r="C5466" t="s">
        <v>53</v>
      </c>
      <c r="D5466" s="49">
        <v>46009</v>
      </c>
      <c r="E5466" s="49">
        <v>46010</v>
      </c>
      <c r="F5466" s="49">
        <v>46012</v>
      </c>
      <c r="G5466" s="49">
        <v>46016</v>
      </c>
      <c r="H5466" s="49">
        <v>46018</v>
      </c>
      <c r="I5466" s="49">
        <v>46020</v>
      </c>
      <c r="J5466" t="s">
        <v>49</v>
      </c>
      <c r="K5466" s="33">
        <v>2100</v>
      </c>
      <c r="L5466" t="s">
        <v>62</v>
      </c>
      <c r="M5466" t="str">
        <f>_xlfn.XLOOKUP(Pipeline_tbl[[#This Row],[Rep_ID]],Dim_Reps!A:A,Dim_Reps!K:K)</f>
        <v>USD</v>
      </c>
      <c r="N5466" s="33">
        <f>(_xlfn.XLOOKUP(Pipeline_tbl[[#This Row],[Rate_Code_Generalized]],Lookups!A:A,Lookups!B:B))*Pipeline_tbl[[#This Row],[Pipeline_Amount_USD]]</f>
        <v>2445.0299999999997</v>
      </c>
      <c r="O5466" t="str">
        <f>_xlfn.XLOOKUP(Pipeline_tbl[[#This Row],[Rep_ID]],Dim_Reps!A:A,Dim_Reps!B:B)</f>
        <v>Priya Weber</v>
      </c>
      <c r="P5466" t="str">
        <f>_xlfn.XLOOKUP(Pipeline_tbl[[#This Row],[Rep_ID]],Dim_Reps!A:A,Dim_Reps!C:C)</f>
        <v>SDR / Inside Sales Rep</v>
      </c>
      <c r="Q5466" t="str">
        <f>_xlfn.XLOOKUP(Pipeline_tbl[[#This Row],[Rep_ID]],Dim_Reps!A:A,Dim_Reps!D:D)</f>
        <v>Inside Sales</v>
      </c>
      <c r="R5466" t="str">
        <f>_xlfn.XLOOKUP(Pipeline_tbl[[#This Row],[Rep_ID]],Dim_Reps!A:A,Dim_Reps!E:E)</f>
        <v>NAMER</v>
      </c>
      <c r="S5466" t="str">
        <f>_xlfn.XLOOKUP(Pipeline_tbl[[#This Row],[Created_Date]],Dim_Date!A:A,Dim_Date!H:H)</f>
        <v>Dec 2025</v>
      </c>
      <c r="T5466" t="str">
        <f>IF(Pipeline_tbl[[#This Row],[Closed_Date]]=0,"",(_xlfn.XLOOKUP(Pipeline_tbl[[#This Row],[Closed_Date]],Dim_Date!A:A,Dim_Date!H:H)))</f>
        <v>Dec 2025</v>
      </c>
      <c r="U5466">
        <f>IF(Pipeline_tbl[[#This Row],[Closed_Date]]=0,"",Pipeline_tbl[[#This Row],[Closed_Date]]-Pipeline_tbl[[#This Row],[Created_Date]])</f>
        <v>11</v>
      </c>
    </row>
    <row r="5467" spans="1:21" ht="15" customHeight="1" x14ac:dyDescent="0.2">
      <c r="A5467" t="s">
        <v>5773</v>
      </c>
      <c r="B5467" t="s">
        <v>217</v>
      </c>
      <c r="C5467" t="s">
        <v>53</v>
      </c>
      <c r="D5467" s="49">
        <v>46000</v>
      </c>
      <c r="E5467" s="49">
        <v>46001</v>
      </c>
      <c r="F5467" s="49">
        <v>46003</v>
      </c>
      <c r="G5467" s="49">
        <v>46007</v>
      </c>
      <c r="H5467" s="49">
        <v>46009</v>
      </c>
      <c r="I5467" s="49">
        <v>46011</v>
      </c>
      <c r="J5467" t="s">
        <v>47</v>
      </c>
      <c r="K5467" s="33">
        <v>2500</v>
      </c>
      <c r="M5467" t="str">
        <f>_xlfn.XLOOKUP(Pipeline_tbl[[#This Row],[Rep_ID]],Dim_Reps!A:A,Dim_Reps!K:K)</f>
        <v>USD</v>
      </c>
      <c r="N5467" s="33">
        <f>(_xlfn.XLOOKUP(Pipeline_tbl[[#This Row],[Rate_Code_Generalized]],Lookups!A:A,Lookups!B:B))*Pipeline_tbl[[#This Row],[Pipeline_Amount_USD]]</f>
        <v>2910.7499999999995</v>
      </c>
      <c r="O5467" t="str">
        <f>_xlfn.XLOOKUP(Pipeline_tbl[[#This Row],[Rep_ID]],Dim_Reps!A:A,Dim_Reps!B:B)</f>
        <v>Priya Weber</v>
      </c>
      <c r="P5467" t="str">
        <f>_xlfn.XLOOKUP(Pipeline_tbl[[#This Row],[Rep_ID]],Dim_Reps!A:A,Dim_Reps!C:C)</f>
        <v>SDR / Inside Sales Rep</v>
      </c>
      <c r="Q5467" t="str">
        <f>_xlfn.XLOOKUP(Pipeline_tbl[[#This Row],[Rep_ID]],Dim_Reps!A:A,Dim_Reps!D:D)</f>
        <v>Inside Sales</v>
      </c>
      <c r="R5467" t="str">
        <f>_xlfn.XLOOKUP(Pipeline_tbl[[#This Row],[Rep_ID]],Dim_Reps!A:A,Dim_Reps!E:E)</f>
        <v>NAMER</v>
      </c>
      <c r="S5467" t="str">
        <f>_xlfn.XLOOKUP(Pipeline_tbl[[#This Row],[Created_Date]],Dim_Date!A:A,Dim_Date!H:H)</f>
        <v>Dec 2025</v>
      </c>
      <c r="T5467" t="str">
        <f>IF(Pipeline_tbl[[#This Row],[Closed_Date]]=0,"",(_xlfn.XLOOKUP(Pipeline_tbl[[#This Row],[Closed_Date]],Dim_Date!A:A,Dim_Date!H:H)))</f>
        <v>Dec 2025</v>
      </c>
      <c r="U5467">
        <f>IF(Pipeline_tbl[[#This Row],[Closed_Date]]=0,"",Pipeline_tbl[[#This Row],[Closed_Date]]-Pipeline_tbl[[#This Row],[Created_Date]])</f>
        <v>11</v>
      </c>
    </row>
    <row r="5468" spans="1:21" ht="15" customHeight="1" x14ac:dyDescent="0.2">
      <c r="A5468" t="s">
        <v>5774</v>
      </c>
      <c r="B5468" t="s">
        <v>217</v>
      </c>
      <c r="C5468" t="s">
        <v>52</v>
      </c>
      <c r="D5468" s="49">
        <v>46000</v>
      </c>
      <c r="E5468" s="49">
        <v>46002</v>
      </c>
      <c r="F5468" s="49">
        <v>46006</v>
      </c>
      <c r="I5468" s="49">
        <v>46020</v>
      </c>
      <c r="J5468" t="s">
        <v>49</v>
      </c>
      <c r="K5468" s="33">
        <v>1800</v>
      </c>
      <c r="L5468" t="s">
        <v>60</v>
      </c>
      <c r="M5468" t="str">
        <f>_xlfn.XLOOKUP(Pipeline_tbl[[#This Row],[Rep_ID]],Dim_Reps!A:A,Dim_Reps!K:K)</f>
        <v>USD</v>
      </c>
      <c r="N5468" s="33">
        <f>(_xlfn.XLOOKUP(Pipeline_tbl[[#This Row],[Rate_Code_Generalized]],Lookups!A:A,Lookups!B:B))*Pipeline_tbl[[#This Row],[Pipeline_Amount_USD]]</f>
        <v>2095.7399999999998</v>
      </c>
      <c r="O5468" t="str">
        <f>_xlfn.XLOOKUP(Pipeline_tbl[[#This Row],[Rep_ID]],Dim_Reps!A:A,Dim_Reps!B:B)</f>
        <v>Priya Weber</v>
      </c>
      <c r="P5468" t="str">
        <f>_xlfn.XLOOKUP(Pipeline_tbl[[#This Row],[Rep_ID]],Dim_Reps!A:A,Dim_Reps!C:C)</f>
        <v>SDR / Inside Sales Rep</v>
      </c>
      <c r="Q5468" t="str">
        <f>_xlfn.XLOOKUP(Pipeline_tbl[[#This Row],[Rep_ID]],Dim_Reps!A:A,Dim_Reps!D:D)</f>
        <v>Inside Sales</v>
      </c>
      <c r="R5468" t="str">
        <f>_xlfn.XLOOKUP(Pipeline_tbl[[#This Row],[Rep_ID]],Dim_Reps!A:A,Dim_Reps!E:E)</f>
        <v>NAMER</v>
      </c>
      <c r="S5468" t="str">
        <f>_xlfn.XLOOKUP(Pipeline_tbl[[#This Row],[Created_Date]],Dim_Date!A:A,Dim_Date!H:H)</f>
        <v>Dec 2025</v>
      </c>
      <c r="T5468" t="str">
        <f>IF(Pipeline_tbl[[#This Row],[Closed_Date]]=0,"",(_xlfn.XLOOKUP(Pipeline_tbl[[#This Row],[Closed_Date]],Dim_Date!A:A,Dim_Date!H:H)))</f>
        <v>Dec 2025</v>
      </c>
      <c r="U5468">
        <f>IF(Pipeline_tbl[[#This Row],[Closed_Date]]=0,"",Pipeline_tbl[[#This Row],[Closed_Date]]-Pipeline_tbl[[#This Row],[Created_Date]])</f>
        <v>20</v>
      </c>
    </row>
    <row r="5469" spans="1:21" ht="15" customHeight="1" x14ac:dyDescent="0.2">
      <c r="A5469" t="s">
        <v>5775</v>
      </c>
      <c r="B5469" t="s">
        <v>217</v>
      </c>
      <c r="C5469" t="s">
        <v>54</v>
      </c>
      <c r="D5469" s="49">
        <v>45996</v>
      </c>
      <c r="E5469" s="49">
        <v>45998</v>
      </c>
      <c r="F5469" s="49">
        <v>46003</v>
      </c>
      <c r="G5469" s="49">
        <v>46010</v>
      </c>
      <c r="H5469" s="49">
        <v>46016</v>
      </c>
      <c r="I5469" s="49">
        <v>46019</v>
      </c>
      <c r="J5469" t="s">
        <v>47</v>
      </c>
      <c r="K5469" s="33">
        <v>2200</v>
      </c>
      <c r="M5469" t="str">
        <f>_xlfn.XLOOKUP(Pipeline_tbl[[#This Row],[Rep_ID]],Dim_Reps!A:A,Dim_Reps!K:K)</f>
        <v>USD</v>
      </c>
      <c r="N5469" s="33">
        <f>(_xlfn.XLOOKUP(Pipeline_tbl[[#This Row],[Rate_Code_Generalized]],Lookups!A:A,Lookups!B:B))*Pipeline_tbl[[#This Row],[Pipeline_Amount_USD]]</f>
        <v>2561.4599999999996</v>
      </c>
      <c r="O5469" t="str">
        <f>_xlfn.XLOOKUP(Pipeline_tbl[[#This Row],[Rep_ID]],Dim_Reps!A:A,Dim_Reps!B:B)</f>
        <v>Priya Weber</v>
      </c>
      <c r="P5469" t="str">
        <f>_xlfn.XLOOKUP(Pipeline_tbl[[#This Row],[Rep_ID]],Dim_Reps!A:A,Dim_Reps!C:C)</f>
        <v>SDR / Inside Sales Rep</v>
      </c>
      <c r="Q5469" t="str">
        <f>_xlfn.XLOOKUP(Pipeline_tbl[[#This Row],[Rep_ID]],Dim_Reps!A:A,Dim_Reps!D:D)</f>
        <v>Inside Sales</v>
      </c>
      <c r="R5469" t="str">
        <f>_xlfn.XLOOKUP(Pipeline_tbl[[#This Row],[Rep_ID]],Dim_Reps!A:A,Dim_Reps!E:E)</f>
        <v>NAMER</v>
      </c>
      <c r="S5469" t="str">
        <f>_xlfn.XLOOKUP(Pipeline_tbl[[#This Row],[Created_Date]],Dim_Date!A:A,Dim_Date!H:H)</f>
        <v>Dec 2025</v>
      </c>
      <c r="T5469" t="str">
        <f>IF(Pipeline_tbl[[#This Row],[Closed_Date]]=0,"",(_xlfn.XLOOKUP(Pipeline_tbl[[#This Row],[Closed_Date]],Dim_Date!A:A,Dim_Date!H:H)))</f>
        <v>Dec 2025</v>
      </c>
      <c r="U5469">
        <f>IF(Pipeline_tbl[[#This Row],[Closed_Date]]=0,"",Pipeline_tbl[[#This Row],[Closed_Date]]-Pipeline_tbl[[#This Row],[Created_Date]])</f>
        <v>23</v>
      </c>
    </row>
    <row r="5470" spans="1:21" ht="15" customHeight="1" x14ac:dyDescent="0.2">
      <c r="A5470" t="s">
        <v>5776</v>
      </c>
      <c r="B5470" t="s">
        <v>217</v>
      </c>
      <c r="C5470" t="s">
        <v>55</v>
      </c>
      <c r="D5470" s="49">
        <v>45995</v>
      </c>
      <c r="E5470" s="49">
        <v>45996</v>
      </c>
      <c r="I5470" s="49">
        <v>46009</v>
      </c>
      <c r="J5470" t="s">
        <v>49</v>
      </c>
      <c r="K5470" s="33">
        <v>2200</v>
      </c>
      <c r="L5470" t="s">
        <v>64</v>
      </c>
      <c r="M5470" t="str">
        <f>_xlfn.XLOOKUP(Pipeline_tbl[[#This Row],[Rep_ID]],Dim_Reps!A:A,Dim_Reps!K:K)</f>
        <v>USD</v>
      </c>
      <c r="N5470" s="33">
        <f>(_xlfn.XLOOKUP(Pipeline_tbl[[#This Row],[Rate_Code_Generalized]],Lookups!A:A,Lookups!B:B))*Pipeline_tbl[[#This Row],[Pipeline_Amount_USD]]</f>
        <v>2561.4599999999996</v>
      </c>
      <c r="O5470" t="str">
        <f>_xlfn.XLOOKUP(Pipeline_tbl[[#This Row],[Rep_ID]],Dim_Reps!A:A,Dim_Reps!B:B)</f>
        <v>Priya Weber</v>
      </c>
      <c r="P5470" t="str">
        <f>_xlfn.XLOOKUP(Pipeline_tbl[[#This Row],[Rep_ID]],Dim_Reps!A:A,Dim_Reps!C:C)</f>
        <v>SDR / Inside Sales Rep</v>
      </c>
      <c r="Q5470" t="str">
        <f>_xlfn.XLOOKUP(Pipeline_tbl[[#This Row],[Rep_ID]],Dim_Reps!A:A,Dim_Reps!D:D)</f>
        <v>Inside Sales</v>
      </c>
      <c r="R5470" t="str">
        <f>_xlfn.XLOOKUP(Pipeline_tbl[[#This Row],[Rep_ID]],Dim_Reps!A:A,Dim_Reps!E:E)</f>
        <v>NAMER</v>
      </c>
      <c r="S5470" t="str">
        <f>_xlfn.XLOOKUP(Pipeline_tbl[[#This Row],[Created_Date]],Dim_Date!A:A,Dim_Date!H:H)</f>
        <v>Dec 2025</v>
      </c>
      <c r="T5470" t="str">
        <f>IF(Pipeline_tbl[[#This Row],[Closed_Date]]=0,"",(_xlfn.XLOOKUP(Pipeline_tbl[[#This Row],[Closed_Date]],Dim_Date!A:A,Dim_Date!H:H)))</f>
        <v>Dec 2025</v>
      </c>
      <c r="U5470">
        <f>IF(Pipeline_tbl[[#This Row],[Closed_Date]]=0,"",Pipeline_tbl[[#This Row],[Closed_Date]]-Pipeline_tbl[[#This Row],[Created_Date]])</f>
        <v>14</v>
      </c>
    </row>
    <row r="5471" spans="1:21" ht="15" customHeight="1" x14ac:dyDescent="0.2">
      <c r="A5471" t="s">
        <v>5777</v>
      </c>
      <c r="B5471" t="s">
        <v>219</v>
      </c>
      <c r="C5471" t="s">
        <v>56</v>
      </c>
      <c r="D5471" s="49">
        <v>45996</v>
      </c>
      <c r="E5471" s="49">
        <v>45998</v>
      </c>
      <c r="F5471" s="49">
        <v>46001</v>
      </c>
      <c r="G5471" s="49">
        <v>46006</v>
      </c>
      <c r="H5471" s="49">
        <v>46010</v>
      </c>
      <c r="I5471" s="49">
        <v>46013</v>
      </c>
      <c r="J5471" t="s">
        <v>47</v>
      </c>
      <c r="K5471" s="33">
        <v>1700</v>
      </c>
      <c r="M5471" t="str">
        <f>_xlfn.XLOOKUP(Pipeline_tbl[[#This Row],[Rep_ID]],Dim_Reps!A:A,Dim_Reps!K:K)</f>
        <v>EUR</v>
      </c>
      <c r="N5471" s="33">
        <f>(_xlfn.XLOOKUP(Pipeline_tbl[[#This Row],[Rate_Code_Generalized]],Lookups!A:A,Lookups!B:B))*Pipeline_tbl[[#This Row],[Pipeline_Amount_USD]]</f>
        <v>1700</v>
      </c>
      <c r="O5471" t="str">
        <f>_xlfn.XLOOKUP(Pipeline_tbl[[#This Row],[Rep_ID]],Dim_Reps!A:A,Dim_Reps!B:B)</f>
        <v>Riley Duarte</v>
      </c>
      <c r="P5471" t="str">
        <f>_xlfn.XLOOKUP(Pipeline_tbl[[#This Row],[Rep_ID]],Dim_Reps!A:A,Dim_Reps!C:C)</f>
        <v>SDR / Inside Sales Rep</v>
      </c>
      <c r="Q5471" t="str">
        <f>_xlfn.XLOOKUP(Pipeline_tbl[[#This Row],[Rep_ID]],Dim_Reps!A:A,Dim_Reps!D:D)</f>
        <v>Inside Sales</v>
      </c>
      <c r="R5471" t="str">
        <f>_xlfn.XLOOKUP(Pipeline_tbl[[#This Row],[Rep_ID]],Dim_Reps!A:A,Dim_Reps!E:E)</f>
        <v>APAC</v>
      </c>
      <c r="S5471" t="str">
        <f>_xlfn.XLOOKUP(Pipeline_tbl[[#This Row],[Created_Date]],Dim_Date!A:A,Dim_Date!H:H)</f>
        <v>Dec 2025</v>
      </c>
      <c r="T5471" t="str">
        <f>IF(Pipeline_tbl[[#This Row],[Closed_Date]]=0,"",(_xlfn.XLOOKUP(Pipeline_tbl[[#This Row],[Closed_Date]],Dim_Date!A:A,Dim_Date!H:H)))</f>
        <v>Dec 2025</v>
      </c>
      <c r="U5471">
        <f>IF(Pipeline_tbl[[#This Row],[Closed_Date]]=0,"",Pipeline_tbl[[#This Row],[Closed_Date]]-Pipeline_tbl[[#This Row],[Created_Date]])</f>
        <v>17</v>
      </c>
    </row>
    <row r="5472" spans="1:21" ht="15" customHeight="1" x14ac:dyDescent="0.2">
      <c r="A5472" t="s">
        <v>5778</v>
      </c>
      <c r="B5472" t="s">
        <v>219</v>
      </c>
      <c r="C5472" t="s">
        <v>52</v>
      </c>
      <c r="D5472" s="49">
        <v>45992</v>
      </c>
      <c r="E5472" s="49">
        <v>45994</v>
      </c>
      <c r="F5472" s="49">
        <v>45997</v>
      </c>
      <c r="I5472" s="49">
        <v>46007</v>
      </c>
      <c r="J5472" t="s">
        <v>49</v>
      </c>
      <c r="K5472" s="33">
        <v>3700</v>
      </c>
      <c r="L5472" t="s">
        <v>62</v>
      </c>
      <c r="M5472" t="str">
        <f>_xlfn.XLOOKUP(Pipeline_tbl[[#This Row],[Rep_ID]],Dim_Reps!A:A,Dim_Reps!K:K)</f>
        <v>EUR</v>
      </c>
      <c r="N5472" s="33">
        <f>(_xlfn.XLOOKUP(Pipeline_tbl[[#This Row],[Rate_Code_Generalized]],Lookups!A:A,Lookups!B:B))*Pipeline_tbl[[#This Row],[Pipeline_Amount_USD]]</f>
        <v>3700</v>
      </c>
      <c r="O5472" t="str">
        <f>_xlfn.XLOOKUP(Pipeline_tbl[[#This Row],[Rep_ID]],Dim_Reps!A:A,Dim_Reps!B:B)</f>
        <v>Riley Duarte</v>
      </c>
      <c r="P5472" t="str">
        <f>_xlfn.XLOOKUP(Pipeline_tbl[[#This Row],[Rep_ID]],Dim_Reps!A:A,Dim_Reps!C:C)</f>
        <v>SDR / Inside Sales Rep</v>
      </c>
      <c r="Q5472" t="str">
        <f>_xlfn.XLOOKUP(Pipeline_tbl[[#This Row],[Rep_ID]],Dim_Reps!A:A,Dim_Reps!D:D)</f>
        <v>Inside Sales</v>
      </c>
      <c r="R5472" t="str">
        <f>_xlfn.XLOOKUP(Pipeline_tbl[[#This Row],[Rep_ID]],Dim_Reps!A:A,Dim_Reps!E:E)</f>
        <v>APAC</v>
      </c>
      <c r="S5472" t="str">
        <f>_xlfn.XLOOKUP(Pipeline_tbl[[#This Row],[Created_Date]],Dim_Date!A:A,Dim_Date!H:H)</f>
        <v>Dec 2025</v>
      </c>
      <c r="T5472" t="str">
        <f>IF(Pipeline_tbl[[#This Row],[Closed_Date]]=0,"",(_xlfn.XLOOKUP(Pipeline_tbl[[#This Row],[Closed_Date]],Dim_Date!A:A,Dim_Date!H:H)))</f>
        <v>Dec 2025</v>
      </c>
      <c r="U5472">
        <f>IF(Pipeline_tbl[[#This Row],[Closed_Date]]=0,"",Pipeline_tbl[[#This Row],[Closed_Date]]-Pipeline_tbl[[#This Row],[Created_Date]])</f>
        <v>15</v>
      </c>
    </row>
    <row r="5473" spans="1:21" ht="15" customHeight="1" x14ac:dyDescent="0.2">
      <c r="A5473" t="s">
        <v>5779</v>
      </c>
      <c r="B5473" t="s">
        <v>219</v>
      </c>
      <c r="C5473" t="s">
        <v>54</v>
      </c>
      <c r="D5473" s="49">
        <v>46009</v>
      </c>
      <c r="E5473" s="49">
        <v>46009</v>
      </c>
      <c r="F5473" s="49">
        <v>46011</v>
      </c>
      <c r="G5473" s="49">
        <v>46012</v>
      </c>
      <c r="H5473" s="49">
        <v>46013</v>
      </c>
      <c r="I5473" s="49">
        <v>46014</v>
      </c>
      <c r="J5473" t="s">
        <v>47</v>
      </c>
      <c r="K5473" s="33">
        <v>3100</v>
      </c>
      <c r="M5473" t="str">
        <f>_xlfn.XLOOKUP(Pipeline_tbl[[#This Row],[Rep_ID]],Dim_Reps!A:A,Dim_Reps!K:K)</f>
        <v>EUR</v>
      </c>
      <c r="N5473" s="33">
        <f>(_xlfn.XLOOKUP(Pipeline_tbl[[#This Row],[Rate_Code_Generalized]],Lookups!A:A,Lookups!B:B))*Pipeline_tbl[[#This Row],[Pipeline_Amount_USD]]</f>
        <v>3100</v>
      </c>
      <c r="O5473" t="str">
        <f>_xlfn.XLOOKUP(Pipeline_tbl[[#This Row],[Rep_ID]],Dim_Reps!A:A,Dim_Reps!B:B)</f>
        <v>Riley Duarte</v>
      </c>
      <c r="P5473" t="str">
        <f>_xlfn.XLOOKUP(Pipeline_tbl[[#This Row],[Rep_ID]],Dim_Reps!A:A,Dim_Reps!C:C)</f>
        <v>SDR / Inside Sales Rep</v>
      </c>
      <c r="Q5473" t="str">
        <f>_xlfn.XLOOKUP(Pipeline_tbl[[#This Row],[Rep_ID]],Dim_Reps!A:A,Dim_Reps!D:D)</f>
        <v>Inside Sales</v>
      </c>
      <c r="R5473" t="str">
        <f>_xlfn.XLOOKUP(Pipeline_tbl[[#This Row],[Rep_ID]],Dim_Reps!A:A,Dim_Reps!E:E)</f>
        <v>APAC</v>
      </c>
      <c r="S5473" t="str">
        <f>_xlfn.XLOOKUP(Pipeline_tbl[[#This Row],[Created_Date]],Dim_Date!A:A,Dim_Date!H:H)</f>
        <v>Dec 2025</v>
      </c>
      <c r="T5473" t="str">
        <f>IF(Pipeline_tbl[[#This Row],[Closed_Date]]=0,"",(_xlfn.XLOOKUP(Pipeline_tbl[[#This Row],[Closed_Date]],Dim_Date!A:A,Dim_Date!H:H)))</f>
        <v>Dec 2025</v>
      </c>
      <c r="U5473">
        <f>IF(Pipeline_tbl[[#This Row],[Closed_Date]]=0,"",Pipeline_tbl[[#This Row],[Closed_Date]]-Pipeline_tbl[[#This Row],[Created_Date]])</f>
        <v>5</v>
      </c>
    </row>
    <row r="5474" spans="1:21" ht="15" customHeight="1" x14ac:dyDescent="0.2">
      <c r="A5474" t="s">
        <v>5780</v>
      </c>
      <c r="B5474" t="s">
        <v>219</v>
      </c>
      <c r="C5474" t="s">
        <v>54</v>
      </c>
      <c r="D5474" s="49">
        <v>45997</v>
      </c>
      <c r="E5474" s="49">
        <v>45999</v>
      </c>
      <c r="F5474" s="49">
        <v>46003</v>
      </c>
      <c r="G5474" s="49">
        <v>46009</v>
      </c>
      <c r="H5474" s="49">
        <v>46014</v>
      </c>
      <c r="I5474" s="49">
        <v>46017</v>
      </c>
      <c r="J5474" t="s">
        <v>47</v>
      </c>
      <c r="K5474" s="33">
        <v>2000</v>
      </c>
      <c r="M5474" t="str">
        <f>_xlfn.XLOOKUP(Pipeline_tbl[[#This Row],[Rep_ID]],Dim_Reps!A:A,Dim_Reps!K:K)</f>
        <v>EUR</v>
      </c>
      <c r="N5474" s="33">
        <f>(_xlfn.XLOOKUP(Pipeline_tbl[[#This Row],[Rate_Code_Generalized]],Lookups!A:A,Lookups!B:B))*Pipeline_tbl[[#This Row],[Pipeline_Amount_USD]]</f>
        <v>2000</v>
      </c>
      <c r="O5474" t="str">
        <f>_xlfn.XLOOKUP(Pipeline_tbl[[#This Row],[Rep_ID]],Dim_Reps!A:A,Dim_Reps!B:B)</f>
        <v>Riley Duarte</v>
      </c>
      <c r="P5474" t="str">
        <f>_xlfn.XLOOKUP(Pipeline_tbl[[#This Row],[Rep_ID]],Dim_Reps!A:A,Dim_Reps!C:C)</f>
        <v>SDR / Inside Sales Rep</v>
      </c>
      <c r="Q5474" t="str">
        <f>_xlfn.XLOOKUP(Pipeline_tbl[[#This Row],[Rep_ID]],Dim_Reps!A:A,Dim_Reps!D:D)</f>
        <v>Inside Sales</v>
      </c>
      <c r="R5474" t="str">
        <f>_xlfn.XLOOKUP(Pipeline_tbl[[#This Row],[Rep_ID]],Dim_Reps!A:A,Dim_Reps!E:E)</f>
        <v>APAC</v>
      </c>
      <c r="S5474" t="str">
        <f>_xlfn.XLOOKUP(Pipeline_tbl[[#This Row],[Created_Date]],Dim_Date!A:A,Dim_Date!H:H)</f>
        <v>Dec 2025</v>
      </c>
      <c r="T5474" t="str">
        <f>IF(Pipeline_tbl[[#This Row],[Closed_Date]]=0,"",(_xlfn.XLOOKUP(Pipeline_tbl[[#This Row],[Closed_Date]],Dim_Date!A:A,Dim_Date!H:H)))</f>
        <v>Dec 2025</v>
      </c>
      <c r="U5474">
        <f>IF(Pipeline_tbl[[#This Row],[Closed_Date]]=0,"",Pipeline_tbl[[#This Row],[Closed_Date]]-Pipeline_tbl[[#This Row],[Created_Date]])</f>
        <v>20</v>
      </c>
    </row>
    <row r="5475" spans="1:21" ht="15" customHeight="1" x14ac:dyDescent="0.2">
      <c r="A5475" t="s">
        <v>5781</v>
      </c>
      <c r="B5475" t="s">
        <v>219</v>
      </c>
      <c r="C5475" t="s">
        <v>52</v>
      </c>
      <c r="D5475" s="49">
        <v>46005</v>
      </c>
      <c r="E5475" s="49">
        <v>46006</v>
      </c>
      <c r="F5475" s="49">
        <v>46008</v>
      </c>
      <c r="G5475" s="49">
        <v>46012</v>
      </c>
      <c r="H5475" s="49">
        <v>46014</v>
      </c>
      <c r="I5475" s="49">
        <v>46016</v>
      </c>
      <c r="J5475" t="s">
        <v>49</v>
      </c>
      <c r="K5475" s="33">
        <v>2500</v>
      </c>
      <c r="L5475" t="s">
        <v>61</v>
      </c>
      <c r="M5475" t="str">
        <f>_xlfn.XLOOKUP(Pipeline_tbl[[#This Row],[Rep_ID]],Dim_Reps!A:A,Dim_Reps!K:K)</f>
        <v>EUR</v>
      </c>
      <c r="N5475" s="33">
        <f>(_xlfn.XLOOKUP(Pipeline_tbl[[#This Row],[Rate_Code_Generalized]],Lookups!A:A,Lookups!B:B))*Pipeline_tbl[[#This Row],[Pipeline_Amount_USD]]</f>
        <v>2500</v>
      </c>
      <c r="O5475" t="str">
        <f>_xlfn.XLOOKUP(Pipeline_tbl[[#This Row],[Rep_ID]],Dim_Reps!A:A,Dim_Reps!B:B)</f>
        <v>Riley Duarte</v>
      </c>
      <c r="P5475" t="str">
        <f>_xlfn.XLOOKUP(Pipeline_tbl[[#This Row],[Rep_ID]],Dim_Reps!A:A,Dim_Reps!C:C)</f>
        <v>SDR / Inside Sales Rep</v>
      </c>
      <c r="Q5475" t="str">
        <f>_xlfn.XLOOKUP(Pipeline_tbl[[#This Row],[Rep_ID]],Dim_Reps!A:A,Dim_Reps!D:D)</f>
        <v>Inside Sales</v>
      </c>
      <c r="R5475" t="str">
        <f>_xlfn.XLOOKUP(Pipeline_tbl[[#This Row],[Rep_ID]],Dim_Reps!A:A,Dim_Reps!E:E)</f>
        <v>APAC</v>
      </c>
      <c r="S5475" t="str">
        <f>_xlfn.XLOOKUP(Pipeline_tbl[[#This Row],[Created_Date]],Dim_Date!A:A,Dim_Date!H:H)</f>
        <v>Dec 2025</v>
      </c>
      <c r="T5475" t="str">
        <f>IF(Pipeline_tbl[[#This Row],[Closed_Date]]=0,"",(_xlfn.XLOOKUP(Pipeline_tbl[[#This Row],[Closed_Date]],Dim_Date!A:A,Dim_Date!H:H)))</f>
        <v>Dec 2025</v>
      </c>
      <c r="U5475">
        <f>IF(Pipeline_tbl[[#This Row],[Closed_Date]]=0,"",Pipeline_tbl[[#This Row],[Closed_Date]]-Pipeline_tbl[[#This Row],[Created_Date]])</f>
        <v>11</v>
      </c>
    </row>
    <row r="5476" spans="1:21" ht="15" customHeight="1" x14ac:dyDescent="0.2">
      <c r="A5476" t="s">
        <v>5782</v>
      </c>
      <c r="B5476" t="s">
        <v>219</v>
      </c>
      <c r="C5476" t="s">
        <v>55</v>
      </c>
      <c r="D5476" s="49">
        <v>45998</v>
      </c>
      <c r="E5476" s="49">
        <v>46000</v>
      </c>
      <c r="F5476" s="49">
        <v>46003</v>
      </c>
      <c r="I5476" s="49">
        <v>46013</v>
      </c>
      <c r="J5476" t="s">
        <v>49</v>
      </c>
      <c r="K5476" s="33">
        <v>5800</v>
      </c>
      <c r="L5476" t="s">
        <v>63</v>
      </c>
      <c r="M5476" t="str">
        <f>_xlfn.XLOOKUP(Pipeline_tbl[[#This Row],[Rep_ID]],Dim_Reps!A:A,Dim_Reps!K:K)</f>
        <v>EUR</v>
      </c>
      <c r="N5476" s="33">
        <f>(_xlfn.XLOOKUP(Pipeline_tbl[[#This Row],[Rate_Code_Generalized]],Lookups!A:A,Lookups!B:B))*Pipeline_tbl[[#This Row],[Pipeline_Amount_USD]]</f>
        <v>5800</v>
      </c>
      <c r="O5476" t="str">
        <f>_xlfn.XLOOKUP(Pipeline_tbl[[#This Row],[Rep_ID]],Dim_Reps!A:A,Dim_Reps!B:B)</f>
        <v>Riley Duarte</v>
      </c>
      <c r="P5476" t="str">
        <f>_xlfn.XLOOKUP(Pipeline_tbl[[#This Row],[Rep_ID]],Dim_Reps!A:A,Dim_Reps!C:C)</f>
        <v>SDR / Inside Sales Rep</v>
      </c>
      <c r="Q5476" t="str">
        <f>_xlfn.XLOOKUP(Pipeline_tbl[[#This Row],[Rep_ID]],Dim_Reps!A:A,Dim_Reps!D:D)</f>
        <v>Inside Sales</v>
      </c>
      <c r="R5476" t="str">
        <f>_xlfn.XLOOKUP(Pipeline_tbl[[#This Row],[Rep_ID]],Dim_Reps!A:A,Dim_Reps!E:E)</f>
        <v>APAC</v>
      </c>
      <c r="S5476" t="str">
        <f>_xlfn.XLOOKUP(Pipeline_tbl[[#This Row],[Created_Date]],Dim_Date!A:A,Dim_Date!H:H)</f>
        <v>Dec 2025</v>
      </c>
      <c r="T5476" t="str">
        <f>IF(Pipeline_tbl[[#This Row],[Closed_Date]]=0,"",(_xlfn.XLOOKUP(Pipeline_tbl[[#This Row],[Closed_Date]],Dim_Date!A:A,Dim_Date!H:H)))</f>
        <v>Dec 2025</v>
      </c>
      <c r="U5476">
        <f>IF(Pipeline_tbl[[#This Row],[Closed_Date]]=0,"",Pipeline_tbl[[#This Row],[Closed_Date]]-Pipeline_tbl[[#This Row],[Created_Date]])</f>
        <v>15</v>
      </c>
    </row>
    <row r="5477" spans="1:21" ht="15" customHeight="1" x14ac:dyDescent="0.2">
      <c r="A5477" t="s">
        <v>5783</v>
      </c>
      <c r="B5477" t="s">
        <v>255</v>
      </c>
      <c r="C5477" t="s">
        <v>54</v>
      </c>
      <c r="D5477" s="49">
        <v>46005</v>
      </c>
      <c r="E5477" s="49">
        <v>46007</v>
      </c>
      <c r="F5477" s="49">
        <v>46010</v>
      </c>
      <c r="G5477" s="49">
        <v>46015</v>
      </c>
      <c r="H5477" s="49">
        <v>46019</v>
      </c>
      <c r="I5477" s="49">
        <v>46021</v>
      </c>
      <c r="J5477" t="s">
        <v>49</v>
      </c>
      <c r="K5477" s="33">
        <v>5600</v>
      </c>
      <c r="L5477" t="s">
        <v>61</v>
      </c>
      <c r="M5477" t="str">
        <f>_xlfn.XLOOKUP(Pipeline_tbl[[#This Row],[Rep_ID]],Dim_Reps!A:A,Dim_Reps!K:K)</f>
        <v>USD</v>
      </c>
      <c r="N5477" s="33">
        <f>(_xlfn.XLOOKUP(Pipeline_tbl[[#This Row],[Rate_Code_Generalized]],Lookups!A:A,Lookups!B:B))*Pipeline_tbl[[#This Row],[Pipeline_Amount_USD]]</f>
        <v>6520.079999999999</v>
      </c>
      <c r="O5477" t="str">
        <f>_xlfn.XLOOKUP(Pipeline_tbl[[#This Row],[Rep_ID]],Dim_Reps!A:A,Dim_Reps!B:B)</f>
        <v>Erik Kim</v>
      </c>
      <c r="P5477" t="str">
        <f>_xlfn.XLOOKUP(Pipeline_tbl[[#This Row],[Rep_ID]],Dim_Reps!A:A,Dim_Reps!C:C)</f>
        <v>Mid-Market AE</v>
      </c>
      <c r="Q5477" t="str">
        <f>_xlfn.XLOOKUP(Pipeline_tbl[[#This Row],[Rep_ID]],Dim_Reps!A:A,Dim_Reps!D:D)</f>
        <v>Mid-Market</v>
      </c>
      <c r="R5477" t="str">
        <f>_xlfn.XLOOKUP(Pipeline_tbl[[#This Row],[Rep_ID]],Dim_Reps!A:A,Dim_Reps!E:E)</f>
        <v>NAMER</v>
      </c>
      <c r="S5477" t="str">
        <f>_xlfn.XLOOKUP(Pipeline_tbl[[#This Row],[Created_Date]],Dim_Date!A:A,Dim_Date!H:H)</f>
        <v>Dec 2025</v>
      </c>
      <c r="T5477" t="str">
        <f>IF(Pipeline_tbl[[#This Row],[Closed_Date]]=0,"",(_xlfn.XLOOKUP(Pipeline_tbl[[#This Row],[Closed_Date]],Dim_Date!A:A,Dim_Date!H:H)))</f>
        <v>Dec 2025</v>
      </c>
      <c r="U5477">
        <f>IF(Pipeline_tbl[[#This Row],[Closed_Date]]=0,"",Pipeline_tbl[[#This Row],[Closed_Date]]-Pipeline_tbl[[#This Row],[Created_Date]])</f>
        <v>16</v>
      </c>
    </row>
    <row r="5478" spans="1:21" ht="15" customHeight="1" x14ac:dyDescent="0.2">
      <c r="A5478" t="s">
        <v>5784</v>
      </c>
      <c r="B5478" t="s">
        <v>259</v>
      </c>
      <c r="C5478" t="s">
        <v>56</v>
      </c>
      <c r="D5478" s="49">
        <v>45992</v>
      </c>
      <c r="E5478" s="49">
        <v>45994</v>
      </c>
      <c r="F5478" s="49">
        <v>46000</v>
      </c>
      <c r="G5478" s="49">
        <v>46007</v>
      </c>
      <c r="H5478" s="49">
        <v>46013</v>
      </c>
      <c r="I5478" s="49">
        <v>46017</v>
      </c>
      <c r="J5478" t="s">
        <v>47</v>
      </c>
      <c r="K5478" s="33">
        <v>11700</v>
      </c>
      <c r="M5478" t="str">
        <f>_xlfn.XLOOKUP(Pipeline_tbl[[#This Row],[Rep_ID]],Dim_Reps!A:A,Dim_Reps!K:K)</f>
        <v>EUR</v>
      </c>
      <c r="N5478" s="33">
        <f>(_xlfn.XLOOKUP(Pipeline_tbl[[#This Row],[Rate_Code_Generalized]],Lookups!A:A,Lookups!B:B))*Pipeline_tbl[[#This Row],[Pipeline_Amount_USD]]</f>
        <v>11700</v>
      </c>
      <c r="O5478" t="str">
        <f>_xlfn.XLOOKUP(Pipeline_tbl[[#This Row],[Rep_ID]],Dim_Reps!A:A,Dim_Reps!B:B)</f>
        <v>Felix Okafor</v>
      </c>
      <c r="P5478" t="str">
        <f>_xlfn.XLOOKUP(Pipeline_tbl[[#This Row],[Rep_ID]],Dim_Reps!A:A,Dim_Reps!C:C)</f>
        <v>Mid-Market AE</v>
      </c>
      <c r="Q5478" t="str">
        <f>_xlfn.XLOOKUP(Pipeline_tbl[[#This Row],[Rep_ID]],Dim_Reps!A:A,Dim_Reps!D:D)</f>
        <v>Mid-Market</v>
      </c>
      <c r="R5478" t="str">
        <f>_xlfn.XLOOKUP(Pipeline_tbl[[#This Row],[Rep_ID]],Dim_Reps!A:A,Dim_Reps!E:E)</f>
        <v>EMEA</v>
      </c>
      <c r="S5478" t="str">
        <f>_xlfn.XLOOKUP(Pipeline_tbl[[#This Row],[Created_Date]],Dim_Date!A:A,Dim_Date!H:H)</f>
        <v>Dec 2025</v>
      </c>
      <c r="T5478" t="str">
        <f>IF(Pipeline_tbl[[#This Row],[Closed_Date]]=0,"",(_xlfn.XLOOKUP(Pipeline_tbl[[#This Row],[Closed_Date]],Dim_Date!A:A,Dim_Date!H:H)))</f>
        <v>Dec 2025</v>
      </c>
      <c r="U5478">
        <f>IF(Pipeline_tbl[[#This Row],[Closed_Date]]=0,"",Pipeline_tbl[[#This Row],[Closed_Date]]-Pipeline_tbl[[#This Row],[Created_Date]])</f>
        <v>25</v>
      </c>
    </row>
    <row r="5479" spans="1:21" ht="15" customHeight="1" x14ac:dyDescent="0.2">
      <c r="A5479" t="s">
        <v>5785</v>
      </c>
      <c r="B5479" t="s">
        <v>259</v>
      </c>
      <c r="C5479" t="s">
        <v>54</v>
      </c>
      <c r="D5479" s="49">
        <v>45992</v>
      </c>
      <c r="E5479" s="49">
        <v>45994</v>
      </c>
      <c r="F5479" s="49">
        <v>45998</v>
      </c>
      <c r="G5479" s="49">
        <v>46004</v>
      </c>
      <c r="H5479" s="49">
        <v>46009</v>
      </c>
      <c r="I5479" s="49">
        <v>46012</v>
      </c>
      <c r="J5479" t="s">
        <v>47</v>
      </c>
      <c r="K5479" s="33">
        <v>11000</v>
      </c>
      <c r="M5479" t="str">
        <f>_xlfn.XLOOKUP(Pipeline_tbl[[#This Row],[Rep_ID]],Dim_Reps!A:A,Dim_Reps!K:K)</f>
        <v>EUR</v>
      </c>
      <c r="N5479" s="33">
        <f>(_xlfn.XLOOKUP(Pipeline_tbl[[#This Row],[Rate_Code_Generalized]],Lookups!A:A,Lookups!B:B))*Pipeline_tbl[[#This Row],[Pipeline_Amount_USD]]</f>
        <v>11000</v>
      </c>
      <c r="O5479" t="str">
        <f>_xlfn.XLOOKUP(Pipeline_tbl[[#This Row],[Rep_ID]],Dim_Reps!A:A,Dim_Reps!B:B)</f>
        <v>Felix Okafor</v>
      </c>
      <c r="P5479" t="str">
        <f>_xlfn.XLOOKUP(Pipeline_tbl[[#This Row],[Rep_ID]],Dim_Reps!A:A,Dim_Reps!C:C)</f>
        <v>Mid-Market AE</v>
      </c>
      <c r="Q5479" t="str">
        <f>_xlfn.XLOOKUP(Pipeline_tbl[[#This Row],[Rep_ID]],Dim_Reps!A:A,Dim_Reps!D:D)</f>
        <v>Mid-Market</v>
      </c>
      <c r="R5479" t="str">
        <f>_xlfn.XLOOKUP(Pipeline_tbl[[#This Row],[Rep_ID]],Dim_Reps!A:A,Dim_Reps!E:E)</f>
        <v>EMEA</v>
      </c>
      <c r="S5479" t="str">
        <f>_xlfn.XLOOKUP(Pipeline_tbl[[#This Row],[Created_Date]],Dim_Date!A:A,Dim_Date!H:H)</f>
        <v>Dec 2025</v>
      </c>
      <c r="T5479" t="str">
        <f>IF(Pipeline_tbl[[#This Row],[Closed_Date]]=0,"",(_xlfn.XLOOKUP(Pipeline_tbl[[#This Row],[Closed_Date]],Dim_Date!A:A,Dim_Date!H:H)))</f>
        <v>Dec 2025</v>
      </c>
      <c r="U5479">
        <f>IF(Pipeline_tbl[[#This Row],[Closed_Date]]=0,"",Pipeline_tbl[[#This Row],[Closed_Date]]-Pipeline_tbl[[#This Row],[Created_Date]])</f>
        <v>20</v>
      </c>
    </row>
    <row r="5480" spans="1:21" ht="15" customHeight="1" x14ac:dyDescent="0.2">
      <c r="A5480" t="s">
        <v>5786</v>
      </c>
      <c r="B5480" t="s">
        <v>225</v>
      </c>
      <c r="C5480" t="s">
        <v>52</v>
      </c>
      <c r="D5480" s="49">
        <v>46008</v>
      </c>
      <c r="E5480" s="49">
        <v>46009</v>
      </c>
      <c r="F5480" s="49">
        <v>46010</v>
      </c>
      <c r="I5480" s="49">
        <v>46015</v>
      </c>
      <c r="J5480" t="s">
        <v>49</v>
      </c>
      <c r="K5480" s="33">
        <v>2400</v>
      </c>
      <c r="L5480" t="s">
        <v>62</v>
      </c>
      <c r="M5480" t="str">
        <f>_xlfn.XLOOKUP(Pipeline_tbl[[#This Row],[Rep_ID]],Dim_Reps!A:A,Dim_Reps!K:K)</f>
        <v>USD</v>
      </c>
      <c r="N5480" s="33">
        <f>(_xlfn.XLOOKUP(Pipeline_tbl[[#This Row],[Rate_Code_Generalized]],Lookups!A:A,Lookups!B:B))*Pipeline_tbl[[#This Row],[Pipeline_Amount_USD]]</f>
        <v>2794.3199999999997</v>
      </c>
      <c r="O5480" t="str">
        <f>_xlfn.XLOOKUP(Pipeline_tbl[[#This Row],[Rep_ID]],Dim_Reps!A:A,Dim_Reps!B:B)</f>
        <v>Alex Muller</v>
      </c>
      <c r="P5480" t="str">
        <f>_xlfn.XLOOKUP(Pipeline_tbl[[#This Row],[Rep_ID]],Dim_Reps!A:A,Dim_Reps!C:C)</f>
        <v>SDR / Inside Sales Rep</v>
      </c>
      <c r="Q5480" t="str">
        <f>_xlfn.XLOOKUP(Pipeline_tbl[[#This Row],[Rep_ID]],Dim_Reps!A:A,Dim_Reps!D:D)</f>
        <v>Inside Sales</v>
      </c>
      <c r="R5480" t="str">
        <f>_xlfn.XLOOKUP(Pipeline_tbl[[#This Row],[Rep_ID]],Dim_Reps!A:A,Dim_Reps!E:E)</f>
        <v>NAMER</v>
      </c>
      <c r="S5480" t="str">
        <f>_xlfn.XLOOKUP(Pipeline_tbl[[#This Row],[Created_Date]],Dim_Date!A:A,Dim_Date!H:H)</f>
        <v>Dec 2025</v>
      </c>
      <c r="T5480" t="str">
        <f>IF(Pipeline_tbl[[#This Row],[Closed_Date]]=0,"",(_xlfn.XLOOKUP(Pipeline_tbl[[#This Row],[Closed_Date]],Dim_Date!A:A,Dim_Date!H:H)))</f>
        <v>Dec 2025</v>
      </c>
      <c r="U5480">
        <f>IF(Pipeline_tbl[[#This Row],[Closed_Date]]=0,"",Pipeline_tbl[[#This Row],[Closed_Date]]-Pipeline_tbl[[#This Row],[Created_Date]])</f>
        <v>7</v>
      </c>
    </row>
    <row r="5481" spans="1:21" ht="15" customHeight="1" x14ac:dyDescent="0.2">
      <c r="A5481" t="s">
        <v>5787</v>
      </c>
      <c r="B5481" t="s">
        <v>225</v>
      </c>
      <c r="C5481" t="s">
        <v>52</v>
      </c>
      <c r="D5481" s="49">
        <v>46009</v>
      </c>
      <c r="E5481" s="49">
        <v>46010</v>
      </c>
      <c r="F5481" s="49">
        <v>46013</v>
      </c>
      <c r="G5481" s="49">
        <v>46017</v>
      </c>
      <c r="H5481" s="49">
        <v>46020</v>
      </c>
      <c r="I5481" s="49">
        <v>46022</v>
      </c>
      <c r="J5481" t="s">
        <v>49</v>
      </c>
      <c r="K5481" s="33">
        <v>2600</v>
      </c>
      <c r="L5481" t="s">
        <v>60</v>
      </c>
      <c r="M5481" t="str">
        <f>_xlfn.XLOOKUP(Pipeline_tbl[[#This Row],[Rep_ID]],Dim_Reps!A:A,Dim_Reps!K:K)</f>
        <v>USD</v>
      </c>
      <c r="N5481" s="33">
        <f>(_xlfn.XLOOKUP(Pipeline_tbl[[#This Row],[Rate_Code_Generalized]],Lookups!A:A,Lookups!B:B))*Pipeline_tbl[[#This Row],[Pipeline_Amount_USD]]</f>
        <v>3027.18</v>
      </c>
      <c r="O5481" t="str">
        <f>_xlfn.XLOOKUP(Pipeline_tbl[[#This Row],[Rep_ID]],Dim_Reps!A:A,Dim_Reps!B:B)</f>
        <v>Alex Muller</v>
      </c>
      <c r="P5481" t="str">
        <f>_xlfn.XLOOKUP(Pipeline_tbl[[#This Row],[Rep_ID]],Dim_Reps!A:A,Dim_Reps!C:C)</f>
        <v>SDR / Inside Sales Rep</v>
      </c>
      <c r="Q5481" t="str">
        <f>_xlfn.XLOOKUP(Pipeline_tbl[[#This Row],[Rep_ID]],Dim_Reps!A:A,Dim_Reps!D:D)</f>
        <v>Inside Sales</v>
      </c>
      <c r="R5481" t="str">
        <f>_xlfn.XLOOKUP(Pipeline_tbl[[#This Row],[Rep_ID]],Dim_Reps!A:A,Dim_Reps!E:E)</f>
        <v>NAMER</v>
      </c>
      <c r="S5481" t="str">
        <f>_xlfn.XLOOKUP(Pipeline_tbl[[#This Row],[Created_Date]],Dim_Date!A:A,Dim_Date!H:H)</f>
        <v>Dec 2025</v>
      </c>
      <c r="T5481" t="str">
        <f>IF(Pipeline_tbl[[#This Row],[Closed_Date]]=0,"",(_xlfn.XLOOKUP(Pipeline_tbl[[#This Row],[Closed_Date]],Dim_Date!A:A,Dim_Date!H:H)))</f>
        <v>Dec 2025</v>
      </c>
      <c r="U5481">
        <f>IF(Pipeline_tbl[[#This Row],[Closed_Date]]=0,"",Pipeline_tbl[[#This Row],[Closed_Date]]-Pipeline_tbl[[#This Row],[Created_Date]])</f>
        <v>13</v>
      </c>
    </row>
    <row r="5482" spans="1:21" ht="15" customHeight="1" x14ac:dyDescent="0.2">
      <c r="A5482" t="s">
        <v>5788</v>
      </c>
      <c r="B5482" t="s">
        <v>225</v>
      </c>
      <c r="C5482" t="s">
        <v>52</v>
      </c>
      <c r="D5482" s="49">
        <v>45993</v>
      </c>
      <c r="E5482" s="49">
        <v>45995</v>
      </c>
      <c r="F5482" s="49">
        <v>45998</v>
      </c>
      <c r="I5482" s="49">
        <v>46008</v>
      </c>
      <c r="J5482" t="s">
        <v>49</v>
      </c>
      <c r="K5482" s="33">
        <v>7100</v>
      </c>
      <c r="L5482" t="s">
        <v>60</v>
      </c>
      <c r="M5482" t="str">
        <f>_xlfn.XLOOKUP(Pipeline_tbl[[#This Row],[Rep_ID]],Dim_Reps!A:A,Dim_Reps!K:K)</f>
        <v>USD</v>
      </c>
      <c r="N5482" s="33">
        <f>(_xlfn.XLOOKUP(Pipeline_tbl[[#This Row],[Rate_Code_Generalized]],Lookups!A:A,Lookups!B:B))*Pipeline_tbl[[#This Row],[Pipeline_Amount_USD]]</f>
        <v>8266.5299999999988</v>
      </c>
      <c r="O5482" t="str">
        <f>_xlfn.XLOOKUP(Pipeline_tbl[[#This Row],[Rep_ID]],Dim_Reps!A:A,Dim_Reps!B:B)</f>
        <v>Alex Muller</v>
      </c>
      <c r="P5482" t="str">
        <f>_xlfn.XLOOKUP(Pipeline_tbl[[#This Row],[Rep_ID]],Dim_Reps!A:A,Dim_Reps!C:C)</f>
        <v>SDR / Inside Sales Rep</v>
      </c>
      <c r="Q5482" t="str">
        <f>_xlfn.XLOOKUP(Pipeline_tbl[[#This Row],[Rep_ID]],Dim_Reps!A:A,Dim_Reps!D:D)</f>
        <v>Inside Sales</v>
      </c>
      <c r="R5482" t="str">
        <f>_xlfn.XLOOKUP(Pipeline_tbl[[#This Row],[Rep_ID]],Dim_Reps!A:A,Dim_Reps!E:E)</f>
        <v>NAMER</v>
      </c>
      <c r="S5482" t="str">
        <f>_xlfn.XLOOKUP(Pipeline_tbl[[#This Row],[Created_Date]],Dim_Date!A:A,Dim_Date!H:H)</f>
        <v>Dec 2025</v>
      </c>
      <c r="T5482" t="str">
        <f>IF(Pipeline_tbl[[#This Row],[Closed_Date]]=0,"",(_xlfn.XLOOKUP(Pipeline_tbl[[#This Row],[Closed_Date]],Dim_Date!A:A,Dim_Date!H:H)))</f>
        <v>Dec 2025</v>
      </c>
      <c r="U5482">
        <f>IF(Pipeline_tbl[[#This Row],[Closed_Date]]=0,"",Pipeline_tbl[[#This Row],[Closed_Date]]-Pipeline_tbl[[#This Row],[Created_Date]])</f>
        <v>15</v>
      </c>
    </row>
    <row r="5483" spans="1:21" ht="15" customHeight="1" x14ac:dyDescent="0.2">
      <c r="A5483" t="s">
        <v>5789</v>
      </c>
      <c r="B5483" t="s">
        <v>227</v>
      </c>
      <c r="C5483" t="s">
        <v>53</v>
      </c>
      <c r="D5483" s="49">
        <v>46006</v>
      </c>
      <c r="E5483" s="49">
        <v>46008</v>
      </c>
      <c r="F5483" s="49">
        <v>46011</v>
      </c>
      <c r="G5483" s="49">
        <v>46015</v>
      </c>
      <c r="H5483" s="49">
        <v>46019</v>
      </c>
      <c r="I5483" s="49">
        <v>46021</v>
      </c>
      <c r="J5483" t="s">
        <v>47</v>
      </c>
      <c r="K5483" s="33">
        <v>4600</v>
      </c>
      <c r="M5483" t="str">
        <f>_xlfn.XLOOKUP(Pipeline_tbl[[#This Row],[Rep_ID]],Dim_Reps!A:A,Dim_Reps!K:K)</f>
        <v>EUR</v>
      </c>
      <c r="N5483" s="33">
        <f>(_xlfn.XLOOKUP(Pipeline_tbl[[#This Row],[Rate_Code_Generalized]],Lookups!A:A,Lookups!B:B))*Pipeline_tbl[[#This Row],[Pipeline_Amount_USD]]</f>
        <v>4600</v>
      </c>
      <c r="O5483" t="str">
        <f>_xlfn.XLOOKUP(Pipeline_tbl[[#This Row],[Rep_ID]],Dim_Reps!A:A,Dim_Reps!B:B)</f>
        <v>Liam Muller</v>
      </c>
      <c r="P5483" t="str">
        <f>_xlfn.XLOOKUP(Pipeline_tbl[[#This Row],[Rep_ID]],Dim_Reps!A:A,Dim_Reps!C:C)</f>
        <v>SDR / Inside Sales Rep</v>
      </c>
      <c r="Q5483" t="str">
        <f>_xlfn.XLOOKUP(Pipeline_tbl[[#This Row],[Rep_ID]],Dim_Reps!A:A,Dim_Reps!D:D)</f>
        <v>Inside Sales</v>
      </c>
      <c r="R5483" t="str">
        <f>_xlfn.XLOOKUP(Pipeline_tbl[[#This Row],[Rep_ID]],Dim_Reps!A:A,Dim_Reps!E:E)</f>
        <v>EMEA</v>
      </c>
      <c r="S5483" t="str">
        <f>_xlfn.XLOOKUP(Pipeline_tbl[[#This Row],[Created_Date]],Dim_Date!A:A,Dim_Date!H:H)</f>
        <v>Dec 2025</v>
      </c>
      <c r="T5483" t="str">
        <f>IF(Pipeline_tbl[[#This Row],[Closed_Date]]=0,"",(_xlfn.XLOOKUP(Pipeline_tbl[[#This Row],[Closed_Date]],Dim_Date!A:A,Dim_Date!H:H)))</f>
        <v>Dec 2025</v>
      </c>
      <c r="U5483">
        <f>IF(Pipeline_tbl[[#This Row],[Closed_Date]]=0,"",Pipeline_tbl[[#This Row],[Closed_Date]]-Pipeline_tbl[[#This Row],[Created_Date]])</f>
        <v>15</v>
      </c>
    </row>
    <row r="5484" spans="1:21" ht="15" customHeight="1" x14ac:dyDescent="0.2">
      <c r="A5484" t="s">
        <v>5790</v>
      </c>
      <c r="B5484" t="s">
        <v>227</v>
      </c>
      <c r="C5484" t="s">
        <v>52</v>
      </c>
      <c r="D5484" s="49">
        <v>45995</v>
      </c>
      <c r="E5484" s="49">
        <v>45996</v>
      </c>
      <c r="F5484" s="49">
        <v>45998</v>
      </c>
      <c r="G5484" s="49">
        <v>46002</v>
      </c>
      <c r="H5484" s="49">
        <v>46004</v>
      </c>
      <c r="I5484" s="49">
        <v>46006</v>
      </c>
      <c r="J5484" t="s">
        <v>47</v>
      </c>
      <c r="K5484" s="33">
        <v>3800</v>
      </c>
      <c r="M5484" t="str">
        <f>_xlfn.XLOOKUP(Pipeline_tbl[[#This Row],[Rep_ID]],Dim_Reps!A:A,Dim_Reps!K:K)</f>
        <v>EUR</v>
      </c>
      <c r="N5484" s="33">
        <f>(_xlfn.XLOOKUP(Pipeline_tbl[[#This Row],[Rate_Code_Generalized]],Lookups!A:A,Lookups!B:B))*Pipeline_tbl[[#This Row],[Pipeline_Amount_USD]]</f>
        <v>3800</v>
      </c>
      <c r="O5484" t="str">
        <f>_xlfn.XLOOKUP(Pipeline_tbl[[#This Row],[Rep_ID]],Dim_Reps!A:A,Dim_Reps!B:B)</f>
        <v>Liam Muller</v>
      </c>
      <c r="P5484" t="str">
        <f>_xlfn.XLOOKUP(Pipeline_tbl[[#This Row],[Rep_ID]],Dim_Reps!A:A,Dim_Reps!C:C)</f>
        <v>SDR / Inside Sales Rep</v>
      </c>
      <c r="Q5484" t="str">
        <f>_xlfn.XLOOKUP(Pipeline_tbl[[#This Row],[Rep_ID]],Dim_Reps!A:A,Dim_Reps!D:D)</f>
        <v>Inside Sales</v>
      </c>
      <c r="R5484" t="str">
        <f>_xlfn.XLOOKUP(Pipeline_tbl[[#This Row],[Rep_ID]],Dim_Reps!A:A,Dim_Reps!E:E)</f>
        <v>EMEA</v>
      </c>
      <c r="S5484" t="str">
        <f>_xlfn.XLOOKUP(Pipeline_tbl[[#This Row],[Created_Date]],Dim_Date!A:A,Dim_Date!H:H)</f>
        <v>Dec 2025</v>
      </c>
      <c r="T5484" t="str">
        <f>IF(Pipeline_tbl[[#This Row],[Closed_Date]]=0,"",(_xlfn.XLOOKUP(Pipeline_tbl[[#This Row],[Closed_Date]],Dim_Date!A:A,Dim_Date!H:H)))</f>
        <v>Dec 2025</v>
      </c>
      <c r="U5484">
        <f>IF(Pipeline_tbl[[#This Row],[Closed_Date]]=0,"",Pipeline_tbl[[#This Row],[Closed_Date]]-Pipeline_tbl[[#This Row],[Created_Date]])</f>
        <v>11</v>
      </c>
    </row>
    <row r="5485" spans="1:21" ht="15" customHeight="1" x14ac:dyDescent="0.2">
      <c r="A5485" t="s">
        <v>5791</v>
      </c>
      <c r="B5485" t="s">
        <v>227</v>
      </c>
      <c r="C5485" t="s">
        <v>52</v>
      </c>
      <c r="D5485" s="49">
        <v>45995</v>
      </c>
      <c r="E5485" s="49">
        <v>45997</v>
      </c>
      <c r="F5485" s="49">
        <v>46001</v>
      </c>
      <c r="G5485" s="49">
        <v>46008</v>
      </c>
      <c r="I5485" s="49">
        <v>46016</v>
      </c>
      <c r="J5485" t="s">
        <v>49</v>
      </c>
      <c r="K5485" s="33">
        <v>1200</v>
      </c>
      <c r="L5485" t="s">
        <v>60</v>
      </c>
      <c r="M5485" t="str">
        <f>_xlfn.XLOOKUP(Pipeline_tbl[[#This Row],[Rep_ID]],Dim_Reps!A:A,Dim_Reps!K:K)</f>
        <v>EUR</v>
      </c>
      <c r="N5485" s="33">
        <f>(_xlfn.XLOOKUP(Pipeline_tbl[[#This Row],[Rate_Code_Generalized]],Lookups!A:A,Lookups!B:B))*Pipeline_tbl[[#This Row],[Pipeline_Amount_USD]]</f>
        <v>1200</v>
      </c>
      <c r="O5485" t="str">
        <f>_xlfn.XLOOKUP(Pipeline_tbl[[#This Row],[Rep_ID]],Dim_Reps!A:A,Dim_Reps!B:B)</f>
        <v>Liam Muller</v>
      </c>
      <c r="P5485" t="str">
        <f>_xlfn.XLOOKUP(Pipeline_tbl[[#This Row],[Rep_ID]],Dim_Reps!A:A,Dim_Reps!C:C)</f>
        <v>SDR / Inside Sales Rep</v>
      </c>
      <c r="Q5485" t="str">
        <f>_xlfn.XLOOKUP(Pipeline_tbl[[#This Row],[Rep_ID]],Dim_Reps!A:A,Dim_Reps!D:D)</f>
        <v>Inside Sales</v>
      </c>
      <c r="R5485" t="str">
        <f>_xlfn.XLOOKUP(Pipeline_tbl[[#This Row],[Rep_ID]],Dim_Reps!A:A,Dim_Reps!E:E)</f>
        <v>EMEA</v>
      </c>
      <c r="S5485" t="str">
        <f>_xlfn.XLOOKUP(Pipeline_tbl[[#This Row],[Created_Date]],Dim_Date!A:A,Dim_Date!H:H)</f>
        <v>Dec 2025</v>
      </c>
      <c r="T5485" t="str">
        <f>IF(Pipeline_tbl[[#This Row],[Closed_Date]]=0,"",(_xlfn.XLOOKUP(Pipeline_tbl[[#This Row],[Closed_Date]],Dim_Date!A:A,Dim_Date!H:H)))</f>
        <v>Dec 2025</v>
      </c>
      <c r="U5485">
        <f>IF(Pipeline_tbl[[#This Row],[Closed_Date]]=0,"",Pipeline_tbl[[#This Row],[Closed_Date]]-Pipeline_tbl[[#This Row],[Created_Date]])</f>
        <v>21</v>
      </c>
    </row>
    <row r="5486" spans="1:21" ht="15" customHeight="1" x14ac:dyDescent="0.2">
      <c r="A5486" t="s">
        <v>5792</v>
      </c>
      <c r="B5486" t="s">
        <v>227</v>
      </c>
      <c r="C5486" t="s">
        <v>53</v>
      </c>
      <c r="D5486" s="49">
        <v>46000</v>
      </c>
      <c r="E5486" s="49">
        <v>46002</v>
      </c>
      <c r="F5486" s="49">
        <v>46005</v>
      </c>
      <c r="G5486" s="49">
        <v>46009</v>
      </c>
      <c r="H5486" s="49">
        <v>46013</v>
      </c>
      <c r="I5486" s="49">
        <v>46015</v>
      </c>
      <c r="J5486" t="s">
        <v>47</v>
      </c>
      <c r="K5486" s="33">
        <v>1800</v>
      </c>
      <c r="M5486" t="str">
        <f>_xlfn.XLOOKUP(Pipeline_tbl[[#This Row],[Rep_ID]],Dim_Reps!A:A,Dim_Reps!K:K)</f>
        <v>EUR</v>
      </c>
      <c r="N5486" s="33">
        <f>(_xlfn.XLOOKUP(Pipeline_tbl[[#This Row],[Rate_Code_Generalized]],Lookups!A:A,Lookups!B:B))*Pipeline_tbl[[#This Row],[Pipeline_Amount_USD]]</f>
        <v>1800</v>
      </c>
      <c r="O5486" t="str">
        <f>_xlfn.XLOOKUP(Pipeline_tbl[[#This Row],[Rep_ID]],Dim_Reps!A:A,Dim_Reps!B:B)</f>
        <v>Liam Muller</v>
      </c>
      <c r="P5486" t="str">
        <f>_xlfn.XLOOKUP(Pipeline_tbl[[#This Row],[Rep_ID]],Dim_Reps!A:A,Dim_Reps!C:C)</f>
        <v>SDR / Inside Sales Rep</v>
      </c>
      <c r="Q5486" t="str">
        <f>_xlfn.XLOOKUP(Pipeline_tbl[[#This Row],[Rep_ID]],Dim_Reps!A:A,Dim_Reps!D:D)</f>
        <v>Inside Sales</v>
      </c>
      <c r="R5486" t="str">
        <f>_xlfn.XLOOKUP(Pipeline_tbl[[#This Row],[Rep_ID]],Dim_Reps!A:A,Dim_Reps!E:E)</f>
        <v>EMEA</v>
      </c>
      <c r="S5486" t="str">
        <f>_xlfn.XLOOKUP(Pipeline_tbl[[#This Row],[Created_Date]],Dim_Date!A:A,Dim_Date!H:H)</f>
        <v>Dec 2025</v>
      </c>
      <c r="T5486" t="str">
        <f>IF(Pipeline_tbl[[#This Row],[Closed_Date]]=0,"",(_xlfn.XLOOKUP(Pipeline_tbl[[#This Row],[Closed_Date]],Dim_Date!A:A,Dim_Date!H:H)))</f>
        <v>Dec 2025</v>
      </c>
      <c r="U5486">
        <f>IF(Pipeline_tbl[[#This Row],[Closed_Date]]=0,"",Pipeline_tbl[[#This Row],[Closed_Date]]-Pipeline_tbl[[#This Row],[Created_Date]])</f>
        <v>15</v>
      </c>
    </row>
    <row r="5487" spans="1:21" ht="15" customHeight="1" x14ac:dyDescent="0.2">
      <c r="A5487" t="s">
        <v>5793</v>
      </c>
      <c r="B5487" t="s">
        <v>227</v>
      </c>
      <c r="C5487" t="s">
        <v>54</v>
      </c>
      <c r="D5487" s="49">
        <v>46003</v>
      </c>
      <c r="E5487" s="49">
        <v>46005</v>
      </c>
      <c r="F5487" s="49">
        <v>46008</v>
      </c>
      <c r="G5487" s="49">
        <v>46013</v>
      </c>
      <c r="I5487" s="49">
        <v>46019</v>
      </c>
      <c r="J5487" t="s">
        <v>49</v>
      </c>
      <c r="K5487" s="33">
        <v>5900</v>
      </c>
      <c r="L5487" t="s">
        <v>60</v>
      </c>
      <c r="M5487" t="str">
        <f>_xlfn.XLOOKUP(Pipeline_tbl[[#This Row],[Rep_ID]],Dim_Reps!A:A,Dim_Reps!K:K)</f>
        <v>EUR</v>
      </c>
      <c r="N5487" s="33">
        <f>(_xlfn.XLOOKUP(Pipeline_tbl[[#This Row],[Rate_Code_Generalized]],Lookups!A:A,Lookups!B:B))*Pipeline_tbl[[#This Row],[Pipeline_Amount_USD]]</f>
        <v>5900</v>
      </c>
      <c r="O5487" t="str">
        <f>_xlfn.XLOOKUP(Pipeline_tbl[[#This Row],[Rep_ID]],Dim_Reps!A:A,Dim_Reps!B:B)</f>
        <v>Liam Muller</v>
      </c>
      <c r="P5487" t="str">
        <f>_xlfn.XLOOKUP(Pipeline_tbl[[#This Row],[Rep_ID]],Dim_Reps!A:A,Dim_Reps!C:C)</f>
        <v>SDR / Inside Sales Rep</v>
      </c>
      <c r="Q5487" t="str">
        <f>_xlfn.XLOOKUP(Pipeline_tbl[[#This Row],[Rep_ID]],Dim_Reps!A:A,Dim_Reps!D:D)</f>
        <v>Inside Sales</v>
      </c>
      <c r="R5487" t="str">
        <f>_xlfn.XLOOKUP(Pipeline_tbl[[#This Row],[Rep_ID]],Dim_Reps!A:A,Dim_Reps!E:E)</f>
        <v>EMEA</v>
      </c>
      <c r="S5487" t="str">
        <f>_xlfn.XLOOKUP(Pipeline_tbl[[#This Row],[Created_Date]],Dim_Date!A:A,Dim_Date!H:H)</f>
        <v>Dec 2025</v>
      </c>
      <c r="T5487" t="str">
        <f>IF(Pipeline_tbl[[#This Row],[Closed_Date]]=0,"",(_xlfn.XLOOKUP(Pipeline_tbl[[#This Row],[Closed_Date]],Dim_Date!A:A,Dim_Date!H:H)))</f>
        <v>Dec 2025</v>
      </c>
      <c r="U5487">
        <f>IF(Pipeline_tbl[[#This Row],[Closed_Date]]=0,"",Pipeline_tbl[[#This Row],[Closed_Date]]-Pipeline_tbl[[#This Row],[Created_Date]])</f>
        <v>16</v>
      </c>
    </row>
    <row r="5488" spans="1:21" ht="15" customHeight="1" x14ac:dyDescent="0.2">
      <c r="A5488" t="s">
        <v>5794</v>
      </c>
      <c r="B5488" t="s">
        <v>229</v>
      </c>
      <c r="C5488" t="s">
        <v>52</v>
      </c>
      <c r="D5488" s="49">
        <v>46003</v>
      </c>
      <c r="E5488" s="49">
        <v>46005</v>
      </c>
      <c r="F5488" s="49">
        <v>46008</v>
      </c>
      <c r="G5488" s="49">
        <v>46012</v>
      </c>
      <c r="H5488" s="49">
        <v>46016</v>
      </c>
      <c r="I5488" s="49">
        <v>46018</v>
      </c>
      <c r="J5488" t="s">
        <v>47</v>
      </c>
      <c r="K5488" s="33">
        <v>6600</v>
      </c>
      <c r="M5488" t="str">
        <f>_xlfn.XLOOKUP(Pipeline_tbl[[#This Row],[Rep_ID]],Dim_Reps!A:A,Dim_Reps!K:K)</f>
        <v>USD</v>
      </c>
      <c r="N5488" s="33">
        <f>(_xlfn.XLOOKUP(Pipeline_tbl[[#This Row],[Rate_Code_Generalized]],Lookups!A:A,Lookups!B:B))*Pipeline_tbl[[#This Row],[Pipeline_Amount_USD]]</f>
        <v>7684.3799999999992</v>
      </c>
      <c r="O5488" t="str">
        <f>_xlfn.XLOOKUP(Pipeline_tbl[[#This Row],[Rep_ID]],Dim_Reps!A:A,Dim_Reps!B:B)</f>
        <v>Liam Castro</v>
      </c>
      <c r="P5488" t="str">
        <f>_xlfn.XLOOKUP(Pipeline_tbl[[#This Row],[Rep_ID]],Dim_Reps!A:A,Dim_Reps!C:C)</f>
        <v>SDR / Inside Sales Rep</v>
      </c>
      <c r="Q5488" t="str">
        <f>_xlfn.XLOOKUP(Pipeline_tbl[[#This Row],[Rep_ID]],Dim_Reps!A:A,Dim_Reps!D:D)</f>
        <v>Inside Sales</v>
      </c>
      <c r="R5488" t="str">
        <f>_xlfn.XLOOKUP(Pipeline_tbl[[#This Row],[Rep_ID]],Dim_Reps!A:A,Dim_Reps!E:E)</f>
        <v>NAMER</v>
      </c>
      <c r="S5488" t="str">
        <f>_xlfn.XLOOKUP(Pipeline_tbl[[#This Row],[Created_Date]],Dim_Date!A:A,Dim_Date!H:H)</f>
        <v>Dec 2025</v>
      </c>
      <c r="T5488" t="str">
        <f>IF(Pipeline_tbl[[#This Row],[Closed_Date]]=0,"",(_xlfn.XLOOKUP(Pipeline_tbl[[#This Row],[Closed_Date]],Dim_Date!A:A,Dim_Date!H:H)))</f>
        <v>Dec 2025</v>
      </c>
      <c r="U5488">
        <f>IF(Pipeline_tbl[[#This Row],[Closed_Date]]=0,"",Pipeline_tbl[[#This Row],[Closed_Date]]-Pipeline_tbl[[#This Row],[Created_Date]])</f>
        <v>15</v>
      </c>
    </row>
    <row r="5489" spans="1:21" ht="15" customHeight="1" x14ac:dyDescent="0.2">
      <c r="A5489" t="s">
        <v>5795</v>
      </c>
      <c r="B5489" t="s">
        <v>229</v>
      </c>
      <c r="C5489" t="s">
        <v>55</v>
      </c>
      <c r="D5489" s="49">
        <v>45993</v>
      </c>
      <c r="E5489" s="49">
        <v>45995</v>
      </c>
      <c r="F5489" s="49">
        <v>45999</v>
      </c>
      <c r="G5489" s="49">
        <v>46004</v>
      </c>
      <c r="H5489" s="49">
        <v>46009</v>
      </c>
      <c r="I5489" s="49">
        <v>46012</v>
      </c>
      <c r="J5489" t="s">
        <v>47</v>
      </c>
      <c r="K5489" s="33">
        <v>3600</v>
      </c>
      <c r="M5489" t="str">
        <f>_xlfn.XLOOKUP(Pipeline_tbl[[#This Row],[Rep_ID]],Dim_Reps!A:A,Dim_Reps!K:K)</f>
        <v>USD</v>
      </c>
      <c r="N5489" s="33">
        <f>(_xlfn.XLOOKUP(Pipeline_tbl[[#This Row],[Rate_Code_Generalized]],Lookups!A:A,Lookups!B:B))*Pipeline_tbl[[#This Row],[Pipeline_Amount_USD]]</f>
        <v>4191.4799999999996</v>
      </c>
      <c r="O5489" t="str">
        <f>_xlfn.XLOOKUP(Pipeline_tbl[[#This Row],[Rep_ID]],Dim_Reps!A:A,Dim_Reps!B:B)</f>
        <v>Liam Castro</v>
      </c>
      <c r="P5489" t="str">
        <f>_xlfn.XLOOKUP(Pipeline_tbl[[#This Row],[Rep_ID]],Dim_Reps!A:A,Dim_Reps!C:C)</f>
        <v>SDR / Inside Sales Rep</v>
      </c>
      <c r="Q5489" t="str">
        <f>_xlfn.XLOOKUP(Pipeline_tbl[[#This Row],[Rep_ID]],Dim_Reps!A:A,Dim_Reps!D:D)</f>
        <v>Inside Sales</v>
      </c>
      <c r="R5489" t="str">
        <f>_xlfn.XLOOKUP(Pipeline_tbl[[#This Row],[Rep_ID]],Dim_Reps!A:A,Dim_Reps!E:E)</f>
        <v>NAMER</v>
      </c>
      <c r="S5489" t="str">
        <f>_xlfn.XLOOKUP(Pipeline_tbl[[#This Row],[Created_Date]],Dim_Date!A:A,Dim_Date!H:H)</f>
        <v>Dec 2025</v>
      </c>
      <c r="T5489" t="str">
        <f>IF(Pipeline_tbl[[#This Row],[Closed_Date]]=0,"",(_xlfn.XLOOKUP(Pipeline_tbl[[#This Row],[Closed_Date]],Dim_Date!A:A,Dim_Date!H:H)))</f>
        <v>Dec 2025</v>
      </c>
      <c r="U5489">
        <f>IF(Pipeline_tbl[[#This Row],[Closed_Date]]=0,"",Pipeline_tbl[[#This Row],[Closed_Date]]-Pipeline_tbl[[#This Row],[Created_Date]])</f>
        <v>19</v>
      </c>
    </row>
    <row r="5490" spans="1:21" ht="15" customHeight="1" x14ac:dyDescent="0.2">
      <c r="A5490" t="s">
        <v>5796</v>
      </c>
      <c r="B5490" t="s">
        <v>229</v>
      </c>
      <c r="C5490" t="s">
        <v>52</v>
      </c>
      <c r="D5490" s="49">
        <v>45997</v>
      </c>
      <c r="E5490" s="49">
        <v>45999</v>
      </c>
      <c r="F5490" s="49">
        <v>46003</v>
      </c>
      <c r="G5490" s="49">
        <v>46008</v>
      </c>
      <c r="H5490" s="49">
        <v>46013</v>
      </c>
      <c r="I5490" s="49">
        <v>46016</v>
      </c>
      <c r="J5490" t="s">
        <v>47</v>
      </c>
      <c r="K5490" s="33">
        <v>5900</v>
      </c>
      <c r="M5490" t="str">
        <f>_xlfn.XLOOKUP(Pipeline_tbl[[#This Row],[Rep_ID]],Dim_Reps!A:A,Dim_Reps!K:K)</f>
        <v>USD</v>
      </c>
      <c r="N5490" s="33">
        <f>(_xlfn.XLOOKUP(Pipeline_tbl[[#This Row],[Rate_Code_Generalized]],Lookups!A:A,Lookups!B:B))*Pipeline_tbl[[#This Row],[Pipeline_Amount_USD]]</f>
        <v>6869.369999999999</v>
      </c>
      <c r="O5490" t="str">
        <f>_xlfn.XLOOKUP(Pipeline_tbl[[#This Row],[Rep_ID]],Dim_Reps!A:A,Dim_Reps!B:B)</f>
        <v>Liam Castro</v>
      </c>
      <c r="P5490" t="str">
        <f>_xlfn.XLOOKUP(Pipeline_tbl[[#This Row],[Rep_ID]],Dim_Reps!A:A,Dim_Reps!C:C)</f>
        <v>SDR / Inside Sales Rep</v>
      </c>
      <c r="Q5490" t="str">
        <f>_xlfn.XLOOKUP(Pipeline_tbl[[#This Row],[Rep_ID]],Dim_Reps!A:A,Dim_Reps!D:D)</f>
        <v>Inside Sales</v>
      </c>
      <c r="R5490" t="str">
        <f>_xlfn.XLOOKUP(Pipeline_tbl[[#This Row],[Rep_ID]],Dim_Reps!A:A,Dim_Reps!E:E)</f>
        <v>NAMER</v>
      </c>
      <c r="S5490" t="str">
        <f>_xlfn.XLOOKUP(Pipeline_tbl[[#This Row],[Created_Date]],Dim_Date!A:A,Dim_Date!H:H)</f>
        <v>Dec 2025</v>
      </c>
      <c r="T5490" t="str">
        <f>IF(Pipeline_tbl[[#This Row],[Closed_Date]]=0,"",(_xlfn.XLOOKUP(Pipeline_tbl[[#This Row],[Closed_Date]],Dim_Date!A:A,Dim_Date!H:H)))</f>
        <v>Dec 2025</v>
      </c>
      <c r="U5490">
        <f>IF(Pipeline_tbl[[#This Row],[Closed_Date]]=0,"",Pipeline_tbl[[#This Row],[Closed_Date]]-Pipeline_tbl[[#This Row],[Created_Date]])</f>
        <v>19</v>
      </c>
    </row>
    <row r="5491" spans="1:21" ht="15" customHeight="1" x14ac:dyDescent="0.2">
      <c r="A5491" t="s">
        <v>5797</v>
      </c>
      <c r="B5491" t="s">
        <v>229</v>
      </c>
      <c r="C5491" t="s">
        <v>53</v>
      </c>
      <c r="D5491" s="49">
        <v>46003</v>
      </c>
      <c r="E5491" s="49">
        <v>46004</v>
      </c>
      <c r="F5491" s="49">
        <v>46006</v>
      </c>
      <c r="G5491" s="49">
        <v>46009</v>
      </c>
      <c r="I5491" s="49">
        <v>46013</v>
      </c>
      <c r="J5491" t="s">
        <v>49</v>
      </c>
      <c r="K5491" s="33">
        <v>3600</v>
      </c>
      <c r="L5491" t="s">
        <v>60</v>
      </c>
      <c r="M5491" t="str">
        <f>_xlfn.XLOOKUP(Pipeline_tbl[[#This Row],[Rep_ID]],Dim_Reps!A:A,Dim_Reps!K:K)</f>
        <v>USD</v>
      </c>
      <c r="N5491" s="33">
        <f>(_xlfn.XLOOKUP(Pipeline_tbl[[#This Row],[Rate_Code_Generalized]],Lookups!A:A,Lookups!B:B))*Pipeline_tbl[[#This Row],[Pipeline_Amount_USD]]</f>
        <v>4191.4799999999996</v>
      </c>
      <c r="O5491" t="str">
        <f>_xlfn.XLOOKUP(Pipeline_tbl[[#This Row],[Rep_ID]],Dim_Reps!A:A,Dim_Reps!B:B)</f>
        <v>Liam Castro</v>
      </c>
      <c r="P5491" t="str">
        <f>_xlfn.XLOOKUP(Pipeline_tbl[[#This Row],[Rep_ID]],Dim_Reps!A:A,Dim_Reps!C:C)</f>
        <v>SDR / Inside Sales Rep</v>
      </c>
      <c r="Q5491" t="str">
        <f>_xlfn.XLOOKUP(Pipeline_tbl[[#This Row],[Rep_ID]],Dim_Reps!A:A,Dim_Reps!D:D)</f>
        <v>Inside Sales</v>
      </c>
      <c r="R5491" t="str">
        <f>_xlfn.XLOOKUP(Pipeline_tbl[[#This Row],[Rep_ID]],Dim_Reps!A:A,Dim_Reps!E:E)</f>
        <v>NAMER</v>
      </c>
      <c r="S5491" t="str">
        <f>_xlfn.XLOOKUP(Pipeline_tbl[[#This Row],[Created_Date]],Dim_Date!A:A,Dim_Date!H:H)</f>
        <v>Dec 2025</v>
      </c>
      <c r="T5491" t="str">
        <f>IF(Pipeline_tbl[[#This Row],[Closed_Date]]=0,"",(_xlfn.XLOOKUP(Pipeline_tbl[[#This Row],[Closed_Date]],Dim_Date!A:A,Dim_Date!H:H)))</f>
        <v>Dec 2025</v>
      </c>
      <c r="U5491">
        <f>IF(Pipeline_tbl[[#This Row],[Closed_Date]]=0,"",Pipeline_tbl[[#This Row],[Closed_Date]]-Pipeline_tbl[[#This Row],[Created_Date]])</f>
        <v>10</v>
      </c>
    </row>
    <row r="5492" spans="1:21" ht="15" customHeight="1" x14ac:dyDescent="0.2">
      <c r="A5492" t="s">
        <v>5798</v>
      </c>
      <c r="B5492" t="s">
        <v>229</v>
      </c>
      <c r="C5492" t="s">
        <v>52</v>
      </c>
      <c r="D5492" s="49">
        <v>45997</v>
      </c>
      <c r="E5492" s="49">
        <v>45998</v>
      </c>
      <c r="F5492" s="49">
        <v>46001</v>
      </c>
      <c r="I5492" s="49">
        <v>46011</v>
      </c>
      <c r="J5492" t="s">
        <v>49</v>
      </c>
      <c r="K5492" s="33">
        <v>3300</v>
      </c>
      <c r="L5492" t="s">
        <v>61</v>
      </c>
      <c r="M5492" t="str">
        <f>_xlfn.XLOOKUP(Pipeline_tbl[[#This Row],[Rep_ID]],Dim_Reps!A:A,Dim_Reps!K:K)</f>
        <v>USD</v>
      </c>
      <c r="N5492" s="33">
        <f>(_xlfn.XLOOKUP(Pipeline_tbl[[#This Row],[Rate_Code_Generalized]],Lookups!A:A,Lookups!B:B))*Pipeline_tbl[[#This Row],[Pipeline_Amount_USD]]</f>
        <v>3842.1899999999996</v>
      </c>
      <c r="O5492" t="str">
        <f>_xlfn.XLOOKUP(Pipeline_tbl[[#This Row],[Rep_ID]],Dim_Reps!A:A,Dim_Reps!B:B)</f>
        <v>Liam Castro</v>
      </c>
      <c r="P5492" t="str">
        <f>_xlfn.XLOOKUP(Pipeline_tbl[[#This Row],[Rep_ID]],Dim_Reps!A:A,Dim_Reps!C:C)</f>
        <v>SDR / Inside Sales Rep</v>
      </c>
      <c r="Q5492" t="str">
        <f>_xlfn.XLOOKUP(Pipeline_tbl[[#This Row],[Rep_ID]],Dim_Reps!A:A,Dim_Reps!D:D)</f>
        <v>Inside Sales</v>
      </c>
      <c r="R5492" t="str">
        <f>_xlfn.XLOOKUP(Pipeline_tbl[[#This Row],[Rep_ID]],Dim_Reps!A:A,Dim_Reps!E:E)</f>
        <v>NAMER</v>
      </c>
      <c r="S5492" t="str">
        <f>_xlfn.XLOOKUP(Pipeline_tbl[[#This Row],[Created_Date]],Dim_Date!A:A,Dim_Date!H:H)</f>
        <v>Dec 2025</v>
      </c>
      <c r="T5492" t="str">
        <f>IF(Pipeline_tbl[[#This Row],[Closed_Date]]=0,"",(_xlfn.XLOOKUP(Pipeline_tbl[[#This Row],[Closed_Date]],Dim_Date!A:A,Dim_Date!H:H)))</f>
        <v>Dec 2025</v>
      </c>
      <c r="U5492">
        <f>IF(Pipeline_tbl[[#This Row],[Closed_Date]]=0,"",Pipeline_tbl[[#This Row],[Closed_Date]]-Pipeline_tbl[[#This Row],[Created_Date]])</f>
        <v>14</v>
      </c>
    </row>
    <row r="5493" spans="1:21" ht="15" customHeight="1" x14ac:dyDescent="0.2">
      <c r="A5493" t="s">
        <v>5799</v>
      </c>
      <c r="B5493" t="s">
        <v>229</v>
      </c>
      <c r="C5493" t="s">
        <v>52</v>
      </c>
      <c r="D5493" s="49">
        <v>46000</v>
      </c>
      <c r="E5493" s="49">
        <v>46001</v>
      </c>
      <c r="F5493" s="49">
        <v>46003</v>
      </c>
      <c r="G5493" s="49">
        <v>46007</v>
      </c>
      <c r="I5493" s="49">
        <v>46011</v>
      </c>
      <c r="J5493" t="s">
        <v>49</v>
      </c>
      <c r="K5493" s="33">
        <v>3000</v>
      </c>
      <c r="L5493" t="s">
        <v>60</v>
      </c>
      <c r="M5493" t="str">
        <f>_xlfn.XLOOKUP(Pipeline_tbl[[#This Row],[Rep_ID]],Dim_Reps!A:A,Dim_Reps!K:K)</f>
        <v>USD</v>
      </c>
      <c r="N5493" s="33">
        <f>(_xlfn.XLOOKUP(Pipeline_tbl[[#This Row],[Rate_Code_Generalized]],Lookups!A:A,Lookups!B:B))*Pipeline_tbl[[#This Row],[Pipeline_Amount_USD]]</f>
        <v>3492.8999999999996</v>
      </c>
      <c r="O5493" t="str">
        <f>_xlfn.XLOOKUP(Pipeline_tbl[[#This Row],[Rep_ID]],Dim_Reps!A:A,Dim_Reps!B:B)</f>
        <v>Liam Castro</v>
      </c>
      <c r="P5493" t="str">
        <f>_xlfn.XLOOKUP(Pipeline_tbl[[#This Row],[Rep_ID]],Dim_Reps!A:A,Dim_Reps!C:C)</f>
        <v>SDR / Inside Sales Rep</v>
      </c>
      <c r="Q5493" t="str">
        <f>_xlfn.XLOOKUP(Pipeline_tbl[[#This Row],[Rep_ID]],Dim_Reps!A:A,Dim_Reps!D:D)</f>
        <v>Inside Sales</v>
      </c>
      <c r="R5493" t="str">
        <f>_xlfn.XLOOKUP(Pipeline_tbl[[#This Row],[Rep_ID]],Dim_Reps!A:A,Dim_Reps!E:E)</f>
        <v>NAMER</v>
      </c>
      <c r="S5493" t="str">
        <f>_xlfn.XLOOKUP(Pipeline_tbl[[#This Row],[Created_Date]],Dim_Date!A:A,Dim_Date!H:H)</f>
        <v>Dec 2025</v>
      </c>
      <c r="T5493" t="str">
        <f>IF(Pipeline_tbl[[#This Row],[Closed_Date]]=0,"",(_xlfn.XLOOKUP(Pipeline_tbl[[#This Row],[Closed_Date]],Dim_Date!A:A,Dim_Date!H:H)))</f>
        <v>Dec 2025</v>
      </c>
      <c r="U5493">
        <f>IF(Pipeline_tbl[[#This Row],[Closed_Date]]=0,"",Pipeline_tbl[[#This Row],[Closed_Date]]-Pipeline_tbl[[#This Row],[Created_Date]])</f>
        <v>11</v>
      </c>
    </row>
    <row r="5494" spans="1:21" ht="15" customHeight="1" x14ac:dyDescent="0.2">
      <c r="A5494" t="s">
        <v>5800</v>
      </c>
      <c r="B5494" t="s">
        <v>231</v>
      </c>
      <c r="C5494" t="s">
        <v>53</v>
      </c>
      <c r="D5494" s="49">
        <v>45996</v>
      </c>
      <c r="E5494" s="49">
        <v>45998</v>
      </c>
      <c r="F5494" s="49">
        <v>46001</v>
      </c>
      <c r="G5494" s="49">
        <v>46006</v>
      </c>
      <c r="I5494" s="49">
        <v>46013</v>
      </c>
      <c r="J5494" t="s">
        <v>49</v>
      </c>
      <c r="K5494" s="33">
        <v>2500</v>
      </c>
      <c r="L5494" t="s">
        <v>60</v>
      </c>
      <c r="M5494" t="str">
        <f>_xlfn.XLOOKUP(Pipeline_tbl[[#This Row],[Rep_ID]],Dim_Reps!A:A,Dim_Reps!K:K)</f>
        <v>MXN</v>
      </c>
      <c r="N5494" s="33">
        <f>(_xlfn.XLOOKUP(Pipeline_tbl[[#This Row],[Rate_Code_Generalized]],Lookups!A:A,Lookups!B:B))*Pipeline_tbl[[#This Row],[Pipeline_Amount_USD]]</f>
        <v>49331.75</v>
      </c>
      <c r="O5494" t="str">
        <f>_xlfn.XLOOKUP(Pipeline_tbl[[#This Row],[Rep_ID]],Dim_Reps!A:A,Dim_Reps!B:B)</f>
        <v>Ben Silva</v>
      </c>
      <c r="P5494" t="str">
        <f>_xlfn.XLOOKUP(Pipeline_tbl[[#This Row],[Rep_ID]],Dim_Reps!A:A,Dim_Reps!C:C)</f>
        <v>SDR / Inside Sales Rep</v>
      </c>
      <c r="Q5494" t="str">
        <f>_xlfn.XLOOKUP(Pipeline_tbl[[#This Row],[Rep_ID]],Dim_Reps!A:A,Dim_Reps!D:D)</f>
        <v>Inside Sales</v>
      </c>
      <c r="R5494" t="str">
        <f>_xlfn.XLOOKUP(Pipeline_tbl[[#This Row],[Rep_ID]],Dim_Reps!A:A,Dim_Reps!E:E)</f>
        <v>LATAM</v>
      </c>
      <c r="S5494" t="str">
        <f>_xlfn.XLOOKUP(Pipeline_tbl[[#This Row],[Created_Date]],Dim_Date!A:A,Dim_Date!H:H)</f>
        <v>Dec 2025</v>
      </c>
      <c r="T5494" t="str">
        <f>IF(Pipeline_tbl[[#This Row],[Closed_Date]]=0,"",(_xlfn.XLOOKUP(Pipeline_tbl[[#This Row],[Closed_Date]],Dim_Date!A:A,Dim_Date!H:H)))</f>
        <v>Dec 2025</v>
      </c>
      <c r="U5494">
        <f>IF(Pipeline_tbl[[#This Row],[Closed_Date]]=0,"",Pipeline_tbl[[#This Row],[Closed_Date]]-Pipeline_tbl[[#This Row],[Created_Date]])</f>
        <v>17</v>
      </c>
    </row>
    <row r="5495" spans="1:21" ht="15" customHeight="1" x14ac:dyDescent="0.2">
      <c r="A5495" t="s">
        <v>5801</v>
      </c>
      <c r="B5495" t="s">
        <v>231</v>
      </c>
      <c r="C5495" t="s">
        <v>53</v>
      </c>
      <c r="D5495" s="49">
        <v>45995</v>
      </c>
      <c r="E5495" s="49">
        <v>45997</v>
      </c>
      <c r="F5495" s="49">
        <v>46000</v>
      </c>
      <c r="G5495" s="49">
        <v>46005</v>
      </c>
      <c r="I5495" s="49">
        <v>46012</v>
      </c>
      <c r="J5495" t="s">
        <v>49</v>
      </c>
      <c r="K5495" s="33">
        <v>2500</v>
      </c>
      <c r="L5495" t="s">
        <v>61</v>
      </c>
      <c r="M5495" t="str">
        <f>_xlfn.XLOOKUP(Pipeline_tbl[[#This Row],[Rep_ID]],Dim_Reps!A:A,Dim_Reps!K:K)</f>
        <v>MXN</v>
      </c>
      <c r="N5495" s="33">
        <f>(_xlfn.XLOOKUP(Pipeline_tbl[[#This Row],[Rate_Code_Generalized]],Lookups!A:A,Lookups!B:B))*Pipeline_tbl[[#This Row],[Pipeline_Amount_USD]]</f>
        <v>49331.75</v>
      </c>
      <c r="O5495" t="str">
        <f>_xlfn.XLOOKUP(Pipeline_tbl[[#This Row],[Rep_ID]],Dim_Reps!A:A,Dim_Reps!B:B)</f>
        <v>Ben Silva</v>
      </c>
      <c r="P5495" t="str">
        <f>_xlfn.XLOOKUP(Pipeline_tbl[[#This Row],[Rep_ID]],Dim_Reps!A:A,Dim_Reps!C:C)</f>
        <v>SDR / Inside Sales Rep</v>
      </c>
      <c r="Q5495" t="str">
        <f>_xlfn.XLOOKUP(Pipeline_tbl[[#This Row],[Rep_ID]],Dim_Reps!A:A,Dim_Reps!D:D)</f>
        <v>Inside Sales</v>
      </c>
      <c r="R5495" t="str">
        <f>_xlfn.XLOOKUP(Pipeline_tbl[[#This Row],[Rep_ID]],Dim_Reps!A:A,Dim_Reps!E:E)</f>
        <v>LATAM</v>
      </c>
      <c r="S5495" t="str">
        <f>_xlfn.XLOOKUP(Pipeline_tbl[[#This Row],[Created_Date]],Dim_Date!A:A,Dim_Date!H:H)</f>
        <v>Dec 2025</v>
      </c>
      <c r="T5495" t="str">
        <f>IF(Pipeline_tbl[[#This Row],[Closed_Date]]=0,"",(_xlfn.XLOOKUP(Pipeline_tbl[[#This Row],[Closed_Date]],Dim_Date!A:A,Dim_Date!H:H)))</f>
        <v>Dec 2025</v>
      </c>
      <c r="U5495">
        <f>IF(Pipeline_tbl[[#This Row],[Closed_Date]]=0,"",Pipeline_tbl[[#This Row],[Closed_Date]]-Pipeline_tbl[[#This Row],[Created_Date]])</f>
        <v>17</v>
      </c>
    </row>
    <row r="5496" spans="1:21" ht="15" customHeight="1" x14ac:dyDescent="0.2">
      <c r="A5496" t="s">
        <v>5802</v>
      </c>
      <c r="B5496" t="s">
        <v>231</v>
      </c>
      <c r="C5496" t="s">
        <v>53</v>
      </c>
      <c r="D5496" s="49">
        <v>45992</v>
      </c>
      <c r="E5496" s="49">
        <v>45994</v>
      </c>
      <c r="F5496" s="49">
        <v>45997</v>
      </c>
      <c r="G5496" s="49">
        <v>46003</v>
      </c>
      <c r="H5496" s="49">
        <v>46007</v>
      </c>
      <c r="I5496" s="49">
        <v>46010</v>
      </c>
      <c r="J5496" t="s">
        <v>47</v>
      </c>
      <c r="K5496" s="33">
        <v>3300</v>
      </c>
      <c r="M5496" t="str">
        <f>_xlfn.XLOOKUP(Pipeline_tbl[[#This Row],[Rep_ID]],Dim_Reps!A:A,Dim_Reps!K:K)</f>
        <v>MXN</v>
      </c>
      <c r="N5496" s="33">
        <f>(_xlfn.XLOOKUP(Pipeline_tbl[[#This Row],[Rate_Code_Generalized]],Lookups!A:A,Lookups!B:B))*Pipeline_tbl[[#This Row],[Pipeline_Amount_USD]]</f>
        <v>65117.91</v>
      </c>
      <c r="O5496" t="str">
        <f>_xlfn.XLOOKUP(Pipeline_tbl[[#This Row],[Rep_ID]],Dim_Reps!A:A,Dim_Reps!B:B)</f>
        <v>Ben Silva</v>
      </c>
      <c r="P5496" t="str">
        <f>_xlfn.XLOOKUP(Pipeline_tbl[[#This Row],[Rep_ID]],Dim_Reps!A:A,Dim_Reps!C:C)</f>
        <v>SDR / Inside Sales Rep</v>
      </c>
      <c r="Q5496" t="str">
        <f>_xlfn.XLOOKUP(Pipeline_tbl[[#This Row],[Rep_ID]],Dim_Reps!A:A,Dim_Reps!D:D)</f>
        <v>Inside Sales</v>
      </c>
      <c r="R5496" t="str">
        <f>_xlfn.XLOOKUP(Pipeline_tbl[[#This Row],[Rep_ID]],Dim_Reps!A:A,Dim_Reps!E:E)</f>
        <v>LATAM</v>
      </c>
      <c r="S5496" t="str">
        <f>_xlfn.XLOOKUP(Pipeline_tbl[[#This Row],[Created_Date]],Dim_Date!A:A,Dim_Date!H:H)</f>
        <v>Dec 2025</v>
      </c>
      <c r="T5496" t="str">
        <f>IF(Pipeline_tbl[[#This Row],[Closed_Date]]=0,"",(_xlfn.XLOOKUP(Pipeline_tbl[[#This Row],[Closed_Date]],Dim_Date!A:A,Dim_Date!H:H)))</f>
        <v>Dec 2025</v>
      </c>
      <c r="U5496">
        <f>IF(Pipeline_tbl[[#This Row],[Closed_Date]]=0,"",Pipeline_tbl[[#This Row],[Closed_Date]]-Pipeline_tbl[[#This Row],[Created_Date]])</f>
        <v>18</v>
      </c>
    </row>
    <row r="5497" spans="1:21" ht="15" customHeight="1" x14ac:dyDescent="0.2">
      <c r="A5497" t="s">
        <v>5803</v>
      </c>
      <c r="B5497" t="s">
        <v>231</v>
      </c>
      <c r="C5497" t="s">
        <v>52</v>
      </c>
      <c r="D5497" s="49">
        <v>45993</v>
      </c>
      <c r="E5497" s="49">
        <v>45996</v>
      </c>
      <c r="F5497" s="49">
        <v>46001</v>
      </c>
      <c r="G5497" s="49">
        <v>46009</v>
      </c>
      <c r="H5497" s="49">
        <v>46016</v>
      </c>
      <c r="I5497" s="49">
        <v>46020</v>
      </c>
      <c r="J5497" t="s">
        <v>49</v>
      </c>
      <c r="K5497" s="33">
        <v>5000</v>
      </c>
      <c r="L5497" t="s">
        <v>62</v>
      </c>
      <c r="M5497" t="str">
        <f>_xlfn.XLOOKUP(Pipeline_tbl[[#This Row],[Rep_ID]],Dim_Reps!A:A,Dim_Reps!K:K)</f>
        <v>MXN</v>
      </c>
      <c r="N5497" s="33">
        <f>(_xlfn.XLOOKUP(Pipeline_tbl[[#This Row],[Rate_Code_Generalized]],Lookups!A:A,Lookups!B:B))*Pipeline_tbl[[#This Row],[Pipeline_Amount_USD]]</f>
        <v>98663.5</v>
      </c>
      <c r="O5497" t="str">
        <f>_xlfn.XLOOKUP(Pipeline_tbl[[#This Row],[Rep_ID]],Dim_Reps!A:A,Dim_Reps!B:B)</f>
        <v>Ben Silva</v>
      </c>
      <c r="P5497" t="str">
        <f>_xlfn.XLOOKUP(Pipeline_tbl[[#This Row],[Rep_ID]],Dim_Reps!A:A,Dim_Reps!C:C)</f>
        <v>SDR / Inside Sales Rep</v>
      </c>
      <c r="Q5497" t="str">
        <f>_xlfn.XLOOKUP(Pipeline_tbl[[#This Row],[Rep_ID]],Dim_Reps!A:A,Dim_Reps!D:D)</f>
        <v>Inside Sales</v>
      </c>
      <c r="R5497" t="str">
        <f>_xlfn.XLOOKUP(Pipeline_tbl[[#This Row],[Rep_ID]],Dim_Reps!A:A,Dim_Reps!E:E)</f>
        <v>LATAM</v>
      </c>
      <c r="S5497" t="str">
        <f>_xlfn.XLOOKUP(Pipeline_tbl[[#This Row],[Created_Date]],Dim_Date!A:A,Dim_Date!H:H)</f>
        <v>Dec 2025</v>
      </c>
      <c r="T5497" t="str">
        <f>IF(Pipeline_tbl[[#This Row],[Closed_Date]]=0,"",(_xlfn.XLOOKUP(Pipeline_tbl[[#This Row],[Closed_Date]],Dim_Date!A:A,Dim_Date!H:H)))</f>
        <v>Dec 2025</v>
      </c>
      <c r="U5497">
        <f>IF(Pipeline_tbl[[#This Row],[Closed_Date]]=0,"",Pipeline_tbl[[#This Row],[Closed_Date]]-Pipeline_tbl[[#This Row],[Created_Date]])</f>
        <v>27</v>
      </c>
    </row>
    <row r="5498" spans="1:21" ht="15" customHeight="1" x14ac:dyDescent="0.2">
      <c r="A5498" t="s">
        <v>5804</v>
      </c>
      <c r="B5498" t="s">
        <v>231</v>
      </c>
      <c r="C5498" t="s">
        <v>55</v>
      </c>
      <c r="D5498" s="49">
        <v>45999</v>
      </c>
      <c r="E5498" s="49">
        <v>46001</v>
      </c>
      <c r="F5498" s="49">
        <v>46004</v>
      </c>
      <c r="G5498" s="49">
        <v>46008</v>
      </c>
      <c r="H5498" s="49">
        <v>46012</v>
      </c>
      <c r="I5498" s="49">
        <v>46014</v>
      </c>
      <c r="J5498" t="s">
        <v>49</v>
      </c>
      <c r="K5498" s="33">
        <v>1900</v>
      </c>
      <c r="L5498" t="s">
        <v>60</v>
      </c>
      <c r="M5498" t="str">
        <f>_xlfn.XLOOKUP(Pipeline_tbl[[#This Row],[Rep_ID]],Dim_Reps!A:A,Dim_Reps!K:K)</f>
        <v>MXN</v>
      </c>
      <c r="N5498" s="33">
        <f>(_xlfn.XLOOKUP(Pipeline_tbl[[#This Row],[Rate_Code_Generalized]],Lookups!A:A,Lookups!B:B))*Pipeline_tbl[[#This Row],[Pipeline_Amount_USD]]</f>
        <v>37492.130000000005</v>
      </c>
      <c r="O5498" t="str">
        <f>_xlfn.XLOOKUP(Pipeline_tbl[[#This Row],[Rep_ID]],Dim_Reps!A:A,Dim_Reps!B:B)</f>
        <v>Ben Silva</v>
      </c>
      <c r="P5498" t="str">
        <f>_xlfn.XLOOKUP(Pipeline_tbl[[#This Row],[Rep_ID]],Dim_Reps!A:A,Dim_Reps!C:C)</f>
        <v>SDR / Inside Sales Rep</v>
      </c>
      <c r="Q5498" t="str">
        <f>_xlfn.XLOOKUP(Pipeline_tbl[[#This Row],[Rep_ID]],Dim_Reps!A:A,Dim_Reps!D:D)</f>
        <v>Inside Sales</v>
      </c>
      <c r="R5498" t="str">
        <f>_xlfn.XLOOKUP(Pipeline_tbl[[#This Row],[Rep_ID]],Dim_Reps!A:A,Dim_Reps!E:E)</f>
        <v>LATAM</v>
      </c>
      <c r="S5498" t="str">
        <f>_xlfn.XLOOKUP(Pipeline_tbl[[#This Row],[Created_Date]],Dim_Date!A:A,Dim_Date!H:H)</f>
        <v>Dec 2025</v>
      </c>
      <c r="T5498" t="str">
        <f>IF(Pipeline_tbl[[#This Row],[Closed_Date]]=0,"",(_xlfn.XLOOKUP(Pipeline_tbl[[#This Row],[Closed_Date]],Dim_Date!A:A,Dim_Date!H:H)))</f>
        <v>Dec 2025</v>
      </c>
      <c r="U5498">
        <f>IF(Pipeline_tbl[[#This Row],[Closed_Date]]=0,"",Pipeline_tbl[[#This Row],[Closed_Date]]-Pipeline_tbl[[#This Row],[Created_Date]])</f>
        <v>15</v>
      </c>
    </row>
    <row r="5499" spans="1:21" ht="15" customHeight="1" x14ac:dyDescent="0.2">
      <c r="A5499" t="s">
        <v>5805</v>
      </c>
      <c r="B5499" t="s">
        <v>263</v>
      </c>
      <c r="C5499" t="s">
        <v>56</v>
      </c>
      <c r="D5499" s="49">
        <v>46003</v>
      </c>
      <c r="E5499" s="49">
        <v>46005</v>
      </c>
      <c r="F5499" s="49">
        <v>46009</v>
      </c>
      <c r="G5499" s="49">
        <v>46014</v>
      </c>
      <c r="I5499" s="49">
        <v>46022</v>
      </c>
      <c r="J5499" t="s">
        <v>49</v>
      </c>
      <c r="K5499" s="33">
        <v>21600</v>
      </c>
      <c r="L5499" t="s">
        <v>62</v>
      </c>
      <c r="M5499" t="str">
        <f>_xlfn.XLOOKUP(Pipeline_tbl[[#This Row],[Rep_ID]],Dim_Reps!A:A,Dim_Reps!K:K)</f>
        <v>USD</v>
      </c>
      <c r="N5499" s="33">
        <f>(_xlfn.XLOOKUP(Pipeline_tbl[[#This Row],[Rate_Code_Generalized]],Lookups!A:A,Lookups!B:B))*Pipeline_tbl[[#This Row],[Pipeline_Amount_USD]]</f>
        <v>25148.879999999997</v>
      </c>
      <c r="O5499" t="str">
        <f>_xlfn.XLOOKUP(Pipeline_tbl[[#This Row],[Rep_ID]],Dim_Reps!A:A,Dim_Reps!B:B)</f>
        <v>Morgan Weber</v>
      </c>
      <c r="P5499" t="str">
        <f>_xlfn.XLOOKUP(Pipeline_tbl[[#This Row],[Rep_ID]],Dim_Reps!A:A,Dim_Reps!C:C)</f>
        <v>Mid-Market AE</v>
      </c>
      <c r="Q5499" t="str">
        <f>_xlfn.XLOOKUP(Pipeline_tbl[[#This Row],[Rep_ID]],Dim_Reps!A:A,Dim_Reps!D:D)</f>
        <v>Mid-Market</v>
      </c>
      <c r="R5499" t="str">
        <f>_xlfn.XLOOKUP(Pipeline_tbl[[#This Row],[Rep_ID]],Dim_Reps!A:A,Dim_Reps!E:E)</f>
        <v>NAMER</v>
      </c>
      <c r="S5499" t="str">
        <f>_xlfn.XLOOKUP(Pipeline_tbl[[#This Row],[Created_Date]],Dim_Date!A:A,Dim_Date!H:H)</f>
        <v>Dec 2025</v>
      </c>
      <c r="T5499" t="str">
        <f>IF(Pipeline_tbl[[#This Row],[Closed_Date]]=0,"",(_xlfn.XLOOKUP(Pipeline_tbl[[#This Row],[Closed_Date]],Dim_Date!A:A,Dim_Date!H:H)))</f>
        <v>Dec 2025</v>
      </c>
      <c r="U5499">
        <f>IF(Pipeline_tbl[[#This Row],[Closed_Date]]=0,"",Pipeline_tbl[[#This Row],[Closed_Date]]-Pipeline_tbl[[#This Row],[Created_Date]])</f>
        <v>19</v>
      </c>
    </row>
    <row r="5500" spans="1:21" ht="15" customHeight="1" x14ac:dyDescent="0.2">
      <c r="A5500" t="s">
        <v>5806</v>
      </c>
      <c r="B5500" t="s">
        <v>233</v>
      </c>
      <c r="C5500" t="s">
        <v>53</v>
      </c>
      <c r="D5500" s="49">
        <v>45995</v>
      </c>
      <c r="E5500" s="49">
        <v>45997</v>
      </c>
      <c r="F5500" s="49">
        <v>46002</v>
      </c>
      <c r="G5500" s="49">
        <v>46008</v>
      </c>
      <c r="H5500" s="49">
        <v>46014</v>
      </c>
      <c r="I5500" s="49">
        <v>46017</v>
      </c>
      <c r="J5500" t="s">
        <v>49</v>
      </c>
      <c r="K5500" s="33">
        <v>2300</v>
      </c>
      <c r="L5500" t="s">
        <v>61</v>
      </c>
      <c r="M5500" t="str">
        <f>_xlfn.XLOOKUP(Pipeline_tbl[[#This Row],[Rep_ID]],Dim_Reps!A:A,Dim_Reps!K:K)</f>
        <v>MXN</v>
      </c>
      <c r="N5500" s="33">
        <f>(_xlfn.XLOOKUP(Pipeline_tbl[[#This Row],[Rate_Code_Generalized]],Lookups!A:A,Lookups!B:B))*Pipeline_tbl[[#This Row],[Pipeline_Amount_USD]]</f>
        <v>45385.210000000006</v>
      </c>
      <c r="O5500" t="str">
        <f>_xlfn.XLOOKUP(Pipeline_tbl[[#This Row],[Rep_ID]],Dim_Reps!A:A,Dim_Reps!B:B)</f>
        <v>Lucas Duarte</v>
      </c>
      <c r="P5500" t="str">
        <f>_xlfn.XLOOKUP(Pipeline_tbl[[#This Row],[Rep_ID]],Dim_Reps!A:A,Dim_Reps!C:C)</f>
        <v>SDR / Inside Sales Rep</v>
      </c>
      <c r="Q5500" t="str">
        <f>_xlfn.XLOOKUP(Pipeline_tbl[[#This Row],[Rep_ID]],Dim_Reps!A:A,Dim_Reps!D:D)</f>
        <v>Inside Sales</v>
      </c>
      <c r="R5500" t="str">
        <f>_xlfn.XLOOKUP(Pipeline_tbl[[#This Row],[Rep_ID]],Dim_Reps!A:A,Dim_Reps!E:E)</f>
        <v>LATAM</v>
      </c>
      <c r="S5500" t="str">
        <f>_xlfn.XLOOKUP(Pipeline_tbl[[#This Row],[Created_Date]],Dim_Date!A:A,Dim_Date!H:H)</f>
        <v>Dec 2025</v>
      </c>
      <c r="T5500" t="str">
        <f>IF(Pipeline_tbl[[#This Row],[Closed_Date]]=0,"",(_xlfn.XLOOKUP(Pipeline_tbl[[#This Row],[Closed_Date]],Dim_Date!A:A,Dim_Date!H:H)))</f>
        <v>Dec 2025</v>
      </c>
      <c r="U5500">
        <f>IF(Pipeline_tbl[[#This Row],[Closed_Date]]=0,"",Pipeline_tbl[[#This Row],[Closed_Date]]-Pipeline_tbl[[#This Row],[Created_Date]])</f>
        <v>22</v>
      </c>
    </row>
    <row r="5501" spans="1:21" ht="15" customHeight="1" x14ac:dyDescent="0.2">
      <c r="A5501" t="s">
        <v>5807</v>
      </c>
      <c r="B5501" t="s">
        <v>233</v>
      </c>
      <c r="C5501" t="s">
        <v>54</v>
      </c>
      <c r="D5501" s="49">
        <v>45995</v>
      </c>
      <c r="E5501" s="49">
        <v>45997</v>
      </c>
      <c r="F5501" s="49">
        <v>46001</v>
      </c>
      <c r="G5501" s="49">
        <v>46008</v>
      </c>
      <c r="H5501" s="49">
        <v>46013</v>
      </c>
      <c r="I5501" s="49">
        <v>46016</v>
      </c>
      <c r="J5501" t="s">
        <v>49</v>
      </c>
      <c r="K5501" s="33">
        <v>2900</v>
      </c>
      <c r="L5501" t="s">
        <v>63</v>
      </c>
      <c r="M5501" t="str">
        <f>_xlfn.XLOOKUP(Pipeline_tbl[[#This Row],[Rep_ID]],Dim_Reps!A:A,Dim_Reps!K:K)</f>
        <v>MXN</v>
      </c>
      <c r="N5501" s="33">
        <f>(_xlfn.XLOOKUP(Pipeline_tbl[[#This Row],[Rate_Code_Generalized]],Lookups!A:A,Lookups!B:B))*Pipeline_tbl[[#This Row],[Pipeline_Amount_USD]]</f>
        <v>57224.83</v>
      </c>
      <c r="O5501" t="str">
        <f>_xlfn.XLOOKUP(Pipeline_tbl[[#This Row],[Rep_ID]],Dim_Reps!A:A,Dim_Reps!B:B)</f>
        <v>Lucas Duarte</v>
      </c>
      <c r="P5501" t="str">
        <f>_xlfn.XLOOKUP(Pipeline_tbl[[#This Row],[Rep_ID]],Dim_Reps!A:A,Dim_Reps!C:C)</f>
        <v>SDR / Inside Sales Rep</v>
      </c>
      <c r="Q5501" t="str">
        <f>_xlfn.XLOOKUP(Pipeline_tbl[[#This Row],[Rep_ID]],Dim_Reps!A:A,Dim_Reps!D:D)</f>
        <v>Inside Sales</v>
      </c>
      <c r="R5501" t="str">
        <f>_xlfn.XLOOKUP(Pipeline_tbl[[#This Row],[Rep_ID]],Dim_Reps!A:A,Dim_Reps!E:E)</f>
        <v>LATAM</v>
      </c>
      <c r="S5501" t="str">
        <f>_xlfn.XLOOKUP(Pipeline_tbl[[#This Row],[Created_Date]],Dim_Date!A:A,Dim_Date!H:H)</f>
        <v>Dec 2025</v>
      </c>
      <c r="T5501" t="str">
        <f>IF(Pipeline_tbl[[#This Row],[Closed_Date]]=0,"",(_xlfn.XLOOKUP(Pipeline_tbl[[#This Row],[Closed_Date]],Dim_Date!A:A,Dim_Date!H:H)))</f>
        <v>Dec 2025</v>
      </c>
      <c r="U5501">
        <f>IF(Pipeline_tbl[[#This Row],[Closed_Date]]=0,"",Pipeline_tbl[[#This Row],[Closed_Date]]-Pipeline_tbl[[#This Row],[Created_Date]])</f>
        <v>21</v>
      </c>
    </row>
    <row r="5502" spans="1:21" ht="15" customHeight="1" x14ac:dyDescent="0.2">
      <c r="A5502" t="s">
        <v>5808</v>
      </c>
      <c r="B5502" t="s">
        <v>233</v>
      </c>
      <c r="C5502" t="s">
        <v>56</v>
      </c>
      <c r="D5502" s="49">
        <v>46001</v>
      </c>
      <c r="E5502" s="49">
        <v>46002</v>
      </c>
      <c r="F5502" s="49">
        <v>46005</v>
      </c>
      <c r="G5502" s="49">
        <v>46008</v>
      </c>
      <c r="H5502" s="49">
        <v>46011</v>
      </c>
      <c r="I5502" s="49">
        <v>46013</v>
      </c>
      <c r="J5502" t="s">
        <v>47</v>
      </c>
      <c r="K5502" s="33">
        <v>1200</v>
      </c>
      <c r="M5502" t="str">
        <f>_xlfn.XLOOKUP(Pipeline_tbl[[#This Row],[Rep_ID]],Dim_Reps!A:A,Dim_Reps!K:K)</f>
        <v>MXN</v>
      </c>
      <c r="N5502" s="33">
        <f>(_xlfn.XLOOKUP(Pipeline_tbl[[#This Row],[Rate_Code_Generalized]],Lookups!A:A,Lookups!B:B))*Pipeline_tbl[[#This Row],[Pipeline_Amount_USD]]</f>
        <v>23679.24</v>
      </c>
      <c r="O5502" t="str">
        <f>_xlfn.XLOOKUP(Pipeline_tbl[[#This Row],[Rep_ID]],Dim_Reps!A:A,Dim_Reps!B:B)</f>
        <v>Lucas Duarte</v>
      </c>
      <c r="P5502" t="str">
        <f>_xlfn.XLOOKUP(Pipeline_tbl[[#This Row],[Rep_ID]],Dim_Reps!A:A,Dim_Reps!C:C)</f>
        <v>SDR / Inside Sales Rep</v>
      </c>
      <c r="Q5502" t="str">
        <f>_xlfn.XLOOKUP(Pipeline_tbl[[#This Row],[Rep_ID]],Dim_Reps!A:A,Dim_Reps!D:D)</f>
        <v>Inside Sales</v>
      </c>
      <c r="R5502" t="str">
        <f>_xlfn.XLOOKUP(Pipeline_tbl[[#This Row],[Rep_ID]],Dim_Reps!A:A,Dim_Reps!E:E)</f>
        <v>LATAM</v>
      </c>
      <c r="S5502" t="str">
        <f>_xlfn.XLOOKUP(Pipeline_tbl[[#This Row],[Created_Date]],Dim_Date!A:A,Dim_Date!H:H)</f>
        <v>Dec 2025</v>
      </c>
      <c r="T5502" t="str">
        <f>IF(Pipeline_tbl[[#This Row],[Closed_Date]]=0,"",(_xlfn.XLOOKUP(Pipeline_tbl[[#This Row],[Closed_Date]],Dim_Date!A:A,Dim_Date!H:H)))</f>
        <v>Dec 2025</v>
      </c>
      <c r="U5502">
        <f>IF(Pipeline_tbl[[#This Row],[Closed_Date]]=0,"",Pipeline_tbl[[#This Row],[Closed_Date]]-Pipeline_tbl[[#This Row],[Created_Date]])</f>
        <v>12</v>
      </c>
    </row>
    <row r="5503" spans="1:21" ht="15" customHeight="1" x14ac:dyDescent="0.2">
      <c r="A5503" t="s">
        <v>5809</v>
      </c>
      <c r="B5503" t="s">
        <v>233</v>
      </c>
      <c r="C5503" t="s">
        <v>53</v>
      </c>
      <c r="D5503" s="49">
        <v>46009</v>
      </c>
      <c r="E5503" s="49">
        <v>46010</v>
      </c>
      <c r="F5503" s="49">
        <v>46013</v>
      </c>
      <c r="G5503" s="49">
        <v>46017</v>
      </c>
      <c r="H5503" s="49">
        <v>46020</v>
      </c>
      <c r="I5503" s="49">
        <v>46022</v>
      </c>
      <c r="J5503" t="s">
        <v>49</v>
      </c>
      <c r="K5503" s="33">
        <v>3100</v>
      </c>
      <c r="L5503" t="s">
        <v>60</v>
      </c>
      <c r="M5503" t="str">
        <f>_xlfn.XLOOKUP(Pipeline_tbl[[#This Row],[Rep_ID]],Dim_Reps!A:A,Dim_Reps!K:K)</f>
        <v>MXN</v>
      </c>
      <c r="N5503" s="33">
        <f>(_xlfn.XLOOKUP(Pipeline_tbl[[#This Row],[Rate_Code_Generalized]],Lookups!A:A,Lookups!B:B))*Pipeline_tbl[[#This Row],[Pipeline_Amount_USD]]</f>
        <v>61171.37</v>
      </c>
      <c r="O5503" t="str">
        <f>_xlfn.XLOOKUP(Pipeline_tbl[[#This Row],[Rep_ID]],Dim_Reps!A:A,Dim_Reps!B:B)</f>
        <v>Lucas Duarte</v>
      </c>
      <c r="P5503" t="str">
        <f>_xlfn.XLOOKUP(Pipeline_tbl[[#This Row],[Rep_ID]],Dim_Reps!A:A,Dim_Reps!C:C)</f>
        <v>SDR / Inside Sales Rep</v>
      </c>
      <c r="Q5503" t="str">
        <f>_xlfn.XLOOKUP(Pipeline_tbl[[#This Row],[Rep_ID]],Dim_Reps!A:A,Dim_Reps!D:D)</f>
        <v>Inside Sales</v>
      </c>
      <c r="R5503" t="str">
        <f>_xlfn.XLOOKUP(Pipeline_tbl[[#This Row],[Rep_ID]],Dim_Reps!A:A,Dim_Reps!E:E)</f>
        <v>LATAM</v>
      </c>
      <c r="S5503" t="str">
        <f>_xlfn.XLOOKUP(Pipeline_tbl[[#This Row],[Created_Date]],Dim_Date!A:A,Dim_Date!H:H)</f>
        <v>Dec 2025</v>
      </c>
      <c r="T5503" t="str">
        <f>IF(Pipeline_tbl[[#This Row],[Closed_Date]]=0,"",(_xlfn.XLOOKUP(Pipeline_tbl[[#This Row],[Closed_Date]],Dim_Date!A:A,Dim_Date!H:H)))</f>
        <v>Dec 2025</v>
      </c>
      <c r="U5503">
        <f>IF(Pipeline_tbl[[#This Row],[Closed_Date]]=0,"",Pipeline_tbl[[#This Row],[Closed_Date]]-Pipeline_tbl[[#This Row],[Created_Date]])</f>
        <v>13</v>
      </c>
    </row>
    <row r="5504" spans="1:21" ht="15" customHeight="1" x14ac:dyDescent="0.2">
      <c r="A5504" t="s">
        <v>5810</v>
      </c>
      <c r="B5504" t="s">
        <v>233</v>
      </c>
      <c r="C5504" t="s">
        <v>56</v>
      </c>
      <c r="D5504" s="49">
        <v>46003</v>
      </c>
      <c r="E5504" s="49">
        <v>46004</v>
      </c>
      <c r="F5504" s="49">
        <v>46006</v>
      </c>
      <c r="I5504" s="49">
        <v>46014</v>
      </c>
      <c r="J5504" t="s">
        <v>49</v>
      </c>
      <c r="K5504" s="33">
        <v>6000</v>
      </c>
      <c r="L5504" t="s">
        <v>60</v>
      </c>
      <c r="M5504" t="str">
        <f>_xlfn.XLOOKUP(Pipeline_tbl[[#This Row],[Rep_ID]],Dim_Reps!A:A,Dim_Reps!K:K)</f>
        <v>MXN</v>
      </c>
      <c r="N5504" s="33">
        <f>(_xlfn.XLOOKUP(Pipeline_tbl[[#This Row],[Rate_Code_Generalized]],Lookups!A:A,Lookups!B:B))*Pipeline_tbl[[#This Row],[Pipeline_Amount_USD]]</f>
        <v>118396.20000000001</v>
      </c>
      <c r="O5504" t="str">
        <f>_xlfn.XLOOKUP(Pipeline_tbl[[#This Row],[Rep_ID]],Dim_Reps!A:A,Dim_Reps!B:B)</f>
        <v>Lucas Duarte</v>
      </c>
      <c r="P5504" t="str">
        <f>_xlfn.XLOOKUP(Pipeline_tbl[[#This Row],[Rep_ID]],Dim_Reps!A:A,Dim_Reps!C:C)</f>
        <v>SDR / Inside Sales Rep</v>
      </c>
      <c r="Q5504" t="str">
        <f>_xlfn.XLOOKUP(Pipeline_tbl[[#This Row],[Rep_ID]],Dim_Reps!A:A,Dim_Reps!D:D)</f>
        <v>Inside Sales</v>
      </c>
      <c r="R5504" t="str">
        <f>_xlfn.XLOOKUP(Pipeline_tbl[[#This Row],[Rep_ID]],Dim_Reps!A:A,Dim_Reps!E:E)</f>
        <v>LATAM</v>
      </c>
      <c r="S5504" t="str">
        <f>_xlfn.XLOOKUP(Pipeline_tbl[[#This Row],[Created_Date]],Dim_Date!A:A,Dim_Date!H:H)</f>
        <v>Dec 2025</v>
      </c>
      <c r="T5504" t="str">
        <f>IF(Pipeline_tbl[[#This Row],[Closed_Date]]=0,"",(_xlfn.XLOOKUP(Pipeline_tbl[[#This Row],[Closed_Date]],Dim_Date!A:A,Dim_Date!H:H)))</f>
        <v>Dec 2025</v>
      </c>
      <c r="U5504">
        <f>IF(Pipeline_tbl[[#This Row],[Closed_Date]]=0,"",Pipeline_tbl[[#This Row],[Closed_Date]]-Pipeline_tbl[[#This Row],[Created_Date]])</f>
        <v>11</v>
      </c>
    </row>
    <row r="5505" spans="1:21" ht="15" customHeight="1" x14ac:dyDescent="0.2">
      <c r="A5505" t="s">
        <v>5811</v>
      </c>
      <c r="B5505" t="s">
        <v>233</v>
      </c>
      <c r="C5505" t="s">
        <v>56</v>
      </c>
      <c r="D5505" s="49">
        <v>46005</v>
      </c>
      <c r="E5505" s="49">
        <v>46006</v>
      </c>
      <c r="F5505" s="49">
        <v>46009</v>
      </c>
      <c r="G5505" s="49">
        <v>46012</v>
      </c>
      <c r="H5505" s="49">
        <v>46015</v>
      </c>
      <c r="I5505" s="49">
        <v>46017</v>
      </c>
      <c r="J5505" t="s">
        <v>47</v>
      </c>
      <c r="K5505" s="33">
        <v>3100</v>
      </c>
      <c r="M5505" t="str">
        <f>_xlfn.XLOOKUP(Pipeline_tbl[[#This Row],[Rep_ID]],Dim_Reps!A:A,Dim_Reps!K:K)</f>
        <v>MXN</v>
      </c>
      <c r="N5505" s="33">
        <f>(_xlfn.XLOOKUP(Pipeline_tbl[[#This Row],[Rate_Code_Generalized]],Lookups!A:A,Lookups!B:B))*Pipeline_tbl[[#This Row],[Pipeline_Amount_USD]]</f>
        <v>61171.37</v>
      </c>
      <c r="O5505" t="str">
        <f>_xlfn.XLOOKUP(Pipeline_tbl[[#This Row],[Rep_ID]],Dim_Reps!A:A,Dim_Reps!B:B)</f>
        <v>Lucas Duarte</v>
      </c>
      <c r="P5505" t="str">
        <f>_xlfn.XLOOKUP(Pipeline_tbl[[#This Row],[Rep_ID]],Dim_Reps!A:A,Dim_Reps!C:C)</f>
        <v>SDR / Inside Sales Rep</v>
      </c>
      <c r="Q5505" t="str">
        <f>_xlfn.XLOOKUP(Pipeline_tbl[[#This Row],[Rep_ID]],Dim_Reps!A:A,Dim_Reps!D:D)</f>
        <v>Inside Sales</v>
      </c>
      <c r="R5505" t="str">
        <f>_xlfn.XLOOKUP(Pipeline_tbl[[#This Row],[Rep_ID]],Dim_Reps!A:A,Dim_Reps!E:E)</f>
        <v>LATAM</v>
      </c>
      <c r="S5505" t="str">
        <f>_xlfn.XLOOKUP(Pipeline_tbl[[#This Row],[Created_Date]],Dim_Date!A:A,Dim_Date!H:H)</f>
        <v>Dec 2025</v>
      </c>
      <c r="T5505" t="str">
        <f>IF(Pipeline_tbl[[#This Row],[Closed_Date]]=0,"",(_xlfn.XLOOKUP(Pipeline_tbl[[#This Row],[Closed_Date]],Dim_Date!A:A,Dim_Date!H:H)))</f>
        <v>Dec 2025</v>
      </c>
      <c r="U5505">
        <f>IF(Pipeline_tbl[[#This Row],[Closed_Date]]=0,"",Pipeline_tbl[[#This Row],[Closed_Date]]-Pipeline_tbl[[#This Row],[Created_Date]])</f>
        <v>12</v>
      </c>
    </row>
    <row r="5506" spans="1:21" ht="15" customHeight="1" x14ac:dyDescent="0.2">
      <c r="A5506" t="s">
        <v>5812</v>
      </c>
      <c r="B5506" t="s">
        <v>233</v>
      </c>
      <c r="C5506" t="s">
        <v>52</v>
      </c>
      <c r="D5506" s="49">
        <v>46000</v>
      </c>
      <c r="E5506" s="49">
        <v>46001</v>
      </c>
      <c r="F5506" s="49">
        <v>46004</v>
      </c>
      <c r="G5506" s="49">
        <v>46008</v>
      </c>
      <c r="H5506" s="49">
        <v>46011</v>
      </c>
      <c r="I5506" s="49">
        <v>46013</v>
      </c>
      <c r="J5506" t="s">
        <v>49</v>
      </c>
      <c r="K5506" s="33">
        <v>4100</v>
      </c>
      <c r="L5506" t="s">
        <v>62</v>
      </c>
      <c r="M5506" t="str">
        <f>_xlfn.XLOOKUP(Pipeline_tbl[[#This Row],[Rep_ID]],Dim_Reps!A:A,Dim_Reps!K:K)</f>
        <v>MXN</v>
      </c>
      <c r="N5506" s="33">
        <f>(_xlfn.XLOOKUP(Pipeline_tbl[[#This Row],[Rate_Code_Generalized]],Lookups!A:A,Lookups!B:B))*Pipeline_tbl[[#This Row],[Pipeline_Amount_USD]]</f>
        <v>80904.070000000007</v>
      </c>
      <c r="O5506" t="str">
        <f>_xlfn.XLOOKUP(Pipeline_tbl[[#This Row],[Rep_ID]],Dim_Reps!A:A,Dim_Reps!B:B)</f>
        <v>Lucas Duarte</v>
      </c>
      <c r="P5506" t="str">
        <f>_xlfn.XLOOKUP(Pipeline_tbl[[#This Row],[Rep_ID]],Dim_Reps!A:A,Dim_Reps!C:C)</f>
        <v>SDR / Inside Sales Rep</v>
      </c>
      <c r="Q5506" t="str">
        <f>_xlfn.XLOOKUP(Pipeline_tbl[[#This Row],[Rep_ID]],Dim_Reps!A:A,Dim_Reps!D:D)</f>
        <v>Inside Sales</v>
      </c>
      <c r="R5506" t="str">
        <f>_xlfn.XLOOKUP(Pipeline_tbl[[#This Row],[Rep_ID]],Dim_Reps!A:A,Dim_Reps!E:E)</f>
        <v>LATAM</v>
      </c>
      <c r="S5506" t="str">
        <f>_xlfn.XLOOKUP(Pipeline_tbl[[#This Row],[Created_Date]],Dim_Date!A:A,Dim_Date!H:H)</f>
        <v>Dec 2025</v>
      </c>
      <c r="T5506" t="str">
        <f>IF(Pipeline_tbl[[#This Row],[Closed_Date]]=0,"",(_xlfn.XLOOKUP(Pipeline_tbl[[#This Row],[Closed_Date]],Dim_Date!A:A,Dim_Date!H:H)))</f>
        <v>Dec 2025</v>
      </c>
      <c r="U5506">
        <f>IF(Pipeline_tbl[[#This Row],[Closed_Date]]=0,"",Pipeline_tbl[[#This Row],[Closed_Date]]-Pipeline_tbl[[#This Row],[Created_Date]])</f>
        <v>13</v>
      </c>
    </row>
    <row r="5507" spans="1:21" ht="15" customHeight="1" x14ac:dyDescent="0.2">
      <c r="A5507" t="s">
        <v>5813</v>
      </c>
      <c r="B5507" t="s">
        <v>233</v>
      </c>
      <c r="C5507" t="s">
        <v>52</v>
      </c>
      <c r="D5507" s="49">
        <v>46004</v>
      </c>
      <c r="E5507" s="49">
        <v>46005</v>
      </c>
      <c r="F5507" s="49">
        <v>46007</v>
      </c>
      <c r="G5507" s="49">
        <v>46010</v>
      </c>
      <c r="H5507" s="49">
        <v>46012</v>
      </c>
      <c r="I5507" s="49">
        <v>46014</v>
      </c>
      <c r="J5507" t="s">
        <v>47</v>
      </c>
      <c r="K5507" s="33">
        <v>2100</v>
      </c>
      <c r="M5507" t="str">
        <f>_xlfn.XLOOKUP(Pipeline_tbl[[#This Row],[Rep_ID]],Dim_Reps!A:A,Dim_Reps!K:K)</f>
        <v>MXN</v>
      </c>
      <c r="N5507" s="33">
        <f>(_xlfn.XLOOKUP(Pipeline_tbl[[#This Row],[Rate_Code_Generalized]],Lookups!A:A,Lookups!B:B))*Pipeline_tbl[[#This Row],[Pipeline_Amount_USD]]</f>
        <v>41438.670000000006</v>
      </c>
      <c r="O5507" t="str">
        <f>_xlfn.XLOOKUP(Pipeline_tbl[[#This Row],[Rep_ID]],Dim_Reps!A:A,Dim_Reps!B:B)</f>
        <v>Lucas Duarte</v>
      </c>
      <c r="P5507" t="str">
        <f>_xlfn.XLOOKUP(Pipeline_tbl[[#This Row],[Rep_ID]],Dim_Reps!A:A,Dim_Reps!C:C)</f>
        <v>SDR / Inside Sales Rep</v>
      </c>
      <c r="Q5507" t="str">
        <f>_xlfn.XLOOKUP(Pipeline_tbl[[#This Row],[Rep_ID]],Dim_Reps!A:A,Dim_Reps!D:D)</f>
        <v>Inside Sales</v>
      </c>
      <c r="R5507" t="str">
        <f>_xlfn.XLOOKUP(Pipeline_tbl[[#This Row],[Rep_ID]],Dim_Reps!A:A,Dim_Reps!E:E)</f>
        <v>LATAM</v>
      </c>
      <c r="S5507" t="str">
        <f>_xlfn.XLOOKUP(Pipeline_tbl[[#This Row],[Created_Date]],Dim_Date!A:A,Dim_Date!H:H)</f>
        <v>Dec 2025</v>
      </c>
      <c r="T5507" t="str">
        <f>IF(Pipeline_tbl[[#This Row],[Closed_Date]]=0,"",(_xlfn.XLOOKUP(Pipeline_tbl[[#This Row],[Closed_Date]],Dim_Date!A:A,Dim_Date!H:H)))</f>
        <v>Dec 2025</v>
      </c>
      <c r="U5507">
        <f>IF(Pipeline_tbl[[#This Row],[Closed_Date]]=0,"",Pipeline_tbl[[#This Row],[Closed_Date]]-Pipeline_tbl[[#This Row],[Created_Date]])</f>
        <v>10</v>
      </c>
    </row>
    <row r="5508" spans="1:21" ht="15" customHeight="1" x14ac:dyDescent="0.2">
      <c r="A5508" t="s">
        <v>5814</v>
      </c>
      <c r="B5508" t="s">
        <v>267</v>
      </c>
      <c r="C5508" t="s">
        <v>52</v>
      </c>
      <c r="D5508" s="49">
        <v>45993</v>
      </c>
      <c r="E5508" s="49">
        <v>45995</v>
      </c>
      <c r="F5508" s="49">
        <v>46000</v>
      </c>
      <c r="G5508" s="49">
        <v>46007</v>
      </c>
      <c r="H5508" s="49">
        <v>46013</v>
      </c>
      <c r="I5508" s="49">
        <v>46017</v>
      </c>
      <c r="J5508" t="s">
        <v>49</v>
      </c>
      <c r="K5508" s="33">
        <v>6600</v>
      </c>
      <c r="L5508" t="s">
        <v>62</v>
      </c>
      <c r="M5508" t="str">
        <f>_xlfn.XLOOKUP(Pipeline_tbl[[#This Row],[Rep_ID]],Dim_Reps!A:A,Dim_Reps!K:K)</f>
        <v>MXN</v>
      </c>
      <c r="N5508" s="33">
        <f>(_xlfn.XLOOKUP(Pipeline_tbl[[#This Row],[Rate_Code_Generalized]],Lookups!A:A,Lookups!B:B))*Pipeline_tbl[[#This Row],[Pipeline_Amount_USD]]</f>
        <v>130235.82</v>
      </c>
      <c r="O5508" t="str">
        <f>_xlfn.XLOOKUP(Pipeline_tbl[[#This Row],[Rep_ID]],Dim_Reps!A:A,Dim_Reps!B:B)</f>
        <v>Yuki Dubois</v>
      </c>
      <c r="P5508" t="str">
        <f>_xlfn.XLOOKUP(Pipeline_tbl[[#This Row],[Rep_ID]],Dim_Reps!A:A,Dim_Reps!C:C)</f>
        <v>Mid-Market AE</v>
      </c>
      <c r="Q5508" t="str">
        <f>_xlfn.XLOOKUP(Pipeline_tbl[[#This Row],[Rep_ID]],Dim_Reps!A:A,Dim_Reps!D:D)</f>
        <v>Mid-Market</v>
      </c>
      <c r="R5508" t="str">
        <f>_xlfn.XLOOKUP(Pipeline_tbl[[#This Row],[Rep_ID]],Dim_Reps!A:A,Dim_Reps!E:E)</f>
        <v>LATAM</v>
      </c>
      <c r="S5508" t="str">
        <f>_xlfn.XLOOKUP(Pipeline_tbl[[#This Row],[Created_Date]],Dim_Date!A:A,Dim_Date!H:H)</f>
        <v>Dec 2025</v>
      </c>
      <c r="T5508" t="str">
        <f>IF(Pipeline_tbl[[#This Row],[Closed_Date]]=0,"",(_xlfn.XLOOKUP(Pipeline_tbl[[#This Row],[Closed_Date]],Dim_Date!A:A,Dim_Date!H:H)))</f>
        <v>Dec 2025</v>
      </c>
      <c r="U5508">
        <f>IF(Pipeline_tbl[[#This Row],[Closed_Date]]=0,"",Pipeline_tbl[[#This Row],[Closed_Date]]-Pipeline_tbl[[#This Row],[Created_Date]])</f>
        <v>24</v>
      </c>
    </row>
    <row r="5509" spans="1:21" ht="15" customHeight="1" x14ac:dyDescent="0.2">
      <c r="A5509" t="s">
        <v>5815</v>
      </c>
      <c r="B5509" t="s">
        <v>235</v>
      </c>
      <c r="C5509" t="s">
        <v>54</v>
      </c>
      <c r="D5509" s="49">
        <v>45998</v>
      </c>
      <c r="E5509" s="49">
        <v>45998</v>
      </c>
      <c r="F5509" s="49">
        <v>46000</v>
      </c>
      <c r="G5509" s="49">
        <v>46001</v>
      </c>
      <c r="H5509" s="49">
        <v>46002</v>
      </c>
      <c r="I5509" s="49">
        <v>46003</v>
      </c>
      <c r="J5509" t="s">
        <v>49</v>
      </c>
      <c r="K5509" s="33">
        <v>900</v>
      </c>
      <c r="L5509" t="s">
        <v>60</v>
      </c>
      <c r="M5509" t="str">
        <f>_xlfn.XLOOKUP(Pipeline_tbl[[#This Row],[Rep_ID]],Dim_Reps!A:A,Dim_Reps!K:K)</f>
        <v>MXN</v>
      </c>
      <c r="N5509" s="33">
        <f>(_xlfn.XLOOKUP(Pipeline_tbl[[#This Row],[Rate_Code_Generalized]],Lookups!A:A,Lookups!B:B))*Pipeline_tbl[[#This Row],[Pipeline_Amount_USD]]</f>
        <v>17759.43</v>
      </c>
      <c r="O5509" t="str">
        <f>_xlfn.XLOOKUP(Pipeline_tbl[[#This Row],[Rep_ID]],Dim_Reps!A:A,Dim_Reps!B:B)</f>
        <v>Milo Castro</v>
      </c>
      <c r="P5509" t="str">
        <f>_xlfn.XLOOKUP(Pipeline_tbl[[#This Row],[Rep_ID]],Dim_Reps!A:A,Dim_Reps!C:C)</f>
        <v>SDR / Inside Sales Rep</v>
      </c>
      <c r="Q5509" t="str">
        <f>_xlfn.XLOOKUP(Pipeline_tbl[[#This Row],[Rep_ID]],Dim_Reps!A:A,Dim_Reps!D:D)</f>
        <v>Inside Sales</v>
      </c>
      <c r="R5509" t="str">
        <f>_xlfn.XLOOKUP(Pipeline_tbl[[#This Row],[Rep_ID]],Dim_Reps!A:A,Dim_Reps!E:E)</f>
        <v>LATAM</v>
      </c>
      <c r="S5509" t="str">
        <f>_xlfn.XLOOKUP(Pipeline_tbl[[#This Row],[Created_Date]],Dim_Date!A:A,Dim_Date!H:H)</f>
        <v>Dec 2025</v>
      </c>
      <c r="T5509" t="str">
        <f>IF(Pipeline_tbl[[#This Row],[Closed_Date]]=0,"",(_xlfn.XLOOKUP(Pipeline_tbl[[#This Row],[Closed_Date]],Dim_Date!A:A,Dim_Date!H:H)))</f>
        <v>Dec 2025</v>
      </c>
      <c r="U5509">
        <f>IF(Pipeline_tbl[[#This Row],[Closed_Date]]=0,"",Pipeline_tbl[[#This Row],[Closed_Date]]-Pipeline_tbl[[#This Row],[Created_Date]])</f>
        <v>5</v>
      </c>
    </row>
    <row r="5510" spans="1:21" ht="15" customHeight="1" x14ac:dyDescent="0.2">
      <c r="A5510" t="s">
        <v>5816</v>
      </c>
      <c r="B5510" t="s">
        <v>235</v>
      </c>
      <c r="C5510" t="s">
        <v>53</v>
      </c>
      <c r="D5510" s="49">
        <v>46003</v>
      </c>
      <c r="E5510" s="49">
        <v>46005</v>
      </c>
      <c r="F5510" s="49">
        <v>46008</v>
      </c>
      <c r="G5510" s="49">
        <v>46012</v>
      </c>
      <c r="H5510" s="49">
        <v>46016</v>
      </c>
      <c r="I5510" s="49">
        <v>46018</v>
      </c>
      <c r="J5510" t="s">
        <v>47</v>
      </c>
      <c r="K5510" s="33">
        <v>2200</v>
      </c>
      <c r="M5510" t="str">
        <f>_xlfn.XLOOKUP(Pipeline_tbl[[#This Row],[Rep_ID]],Dim_Reps!A:A,Dim_Reps!K:K)</f>
        <v>MXN</v>
      </c>
      <c r="N5510" s="33">
        <f>(_xlfn.XLOOKUP(Pipeline_tbl[[#This Row],[Rate_Code_Generalized]],Lookups!A:A,Lookups!B:B))*Pipeline_tbl[[#This Row],[Pipeline_Amount_USD]]</f>
        <v>43411.94</v>
      </c>
      <c r="O5510" t="str">
        <f>_xlfn.XLOOKUP(Pipeline_tbl[[#This Row],[Rep_ID]],Dim_Reps!A:A,Dim_Reps!B:B)</f>
        <v>Milo Castro</v>
      </c>
      <c r="P5510" t="str">
        <f>_xlfn.XLOOKUP(Pipeline_tbl[[#This Row],[Rep_ID]],Dim_Reps!A:A,Dim_Reps!C:C)</f>
        <v>SDR / Inside Sales Rep</v>
      </c>
      <c r="Q5510" t="str">
        <f>_xlfn.XLOOKUP(Pipeline_tbl[[#This Row],[Rep_ID]],Dim_Reps!A:A,Dim_Reps!D:D)</f>
        <v>Inside Sales</v>
      </c>
      <c r="R5510" t="str">
        <f>_xlfn.XLOOKUP(Pipeline_tbl[[#This Row],[Rep_ID]],Dim_Reps!A:A,Dim_Reps!E:E)</f>
        <v>LATAM</v>
      </c>
      <c r="S5510" t="str">
        <f>_xlfn.XLOOKUP(Pipeline_tbl[[#This Row],[Created_Date]],Dim_Date!A:A,Dim_Date!H:H)</f>
        <v>Dec 2025</v>
      </c>
      <c r="T5510" t="str">
        <f>IF(Pipeline_tbl[[#This Row],[Closed_Date]]=0,"",(_xlfn.XLOOKUP(Pipeline_tbl[[#This Row],[Closed_Date]],Dim_Date!A:A,Dim_Date!H:H)))</f>
        <v>Dec 2025</v>
      </c>
      <c r="U5510">
        <f>IF(Pipeline_tbl[[#This Row],[Closed_Date]]=0,"",Pipeline_tbl[[#This Row],[Closed_Date]]-Pipeline_tbl[[#This Row],[Created_Date]])</f>
        <v>15</v>
      </c>
    </row>
    <row r="5511" spans="1:21" ht="15" customHeight="1" x14ac:dyDescent="0.2">
      <c r="A5511" t="s">
        <v>5817</v>
      </c>
      <c r="B5511" t="s">
        <v>235</v>
      </c>
      <c r="C5511" t="s">
        <v>54</v>
      </c>
      <c r="D5511" s="49">
        <v>45992</v>
      </c>
      <c r="E5511" s="49">
        <v>45994</v>
      </c>
      <c r="F5511" s="49">
        <v>45999</v>
      </c>
      <c r="G5511" s="49">
        <v>46005</v>
      </c>
      <c r="I5511" s="49">
        <v>46014</v>
      </c>
      <c r="J5511" t="s">
        <v>49</v>
      </c>
      <c r="K5511" s="33">
        <v>2200</v>
      </c>
      <c r="L5511" t="s">
        <v>63</v>
      </c>
      <c r="M5511" t="str">
        <f>_xlfn.XLOOKUP(Pipeline_tbl[[#This Row],[Rep_ID]],Dim_Reps!A:A,Dim_Reps!K:K)</f>
        <v>MXN</v>
      </c>
      <c r="N5511" s="33">
        <f>(_xlfn.XLOOKUP(Pipeline_tbl[[#This Row],[Rate_Code_Generalized]],Lookups!A:A,Lookups!B:B))*Pipeline_tbl[[#This Row],[Pipeline_Amount_USD]]</f>
        <v>43411.94</v>
      </c>
      <c r="O5511" t="str">
        <f>_xlfn.XLOOKUP(Pipeline_tbl[[#This Row],[Rep_ID]],Dim_Reps!A:A,Dim_Reps!B:B)</f>
        <v>Milo Castro</v>
      </c>
      <c r="P5511" t="str">
        <f>_xlfn.XLOOKUP(Pipeline_tbl[[#This Row],[Rep_ID]],Dim_Reps!A:A,Dim_Reps!C:C)</f>
        <v>SDR / Inside Sales Rep</v>
      </c>
      <c r="Q5511" t="str">
        <f>_xlfn.XLOOKUP(Pipeline_tbl[[#This Row],[Rep_ID]],Dim_Reps!A:A,Dim_Reps!D:D)</f>
        <v>Inside Sales</v>
      </c>
      <c r="R5511" t="str">
        <f>_xlfn.XLOOKUP(Pipeline_tbl[[#This Row],[Rep_ID]],Dim_Reps!A:A,Dim_Reps!E:E)</f>
        <v>LATAM</v>
      </c>
      <c r="S5511" t="str">
        <f>_xlfn.XLOOKUP(Pipeline_tbl[[#This Row],[Created_Date]],Dim_Date!A:A,Dim_Date!H:H)</f>
        <v>Dec 2025</v>
      </c>
      <c r="T5511" t="str">
        <f>IF(Pipeline_tbl[[#This Row],[Closed_Date]]=0,"",(_xlfn.XLOOKUP(Pipeline_tbl[[#This Row],[Closed_Date]],Dim_Date!A:A,Dim_Date!H:H)))</f>
        <v>Dec 2025</v>
      </c>
      <c r="U5511">
        <f>IF(Pipeline_tbl[[#This Row],[Closed_Date]]=0,"",Pipeline_tbl[[#This Row],[Closed_Date]]-Pipeline_tbl[[#This Row],[Created_Date]])</f>
        <v>22</v>
      </c>
    </row>
    <row r="5512" spans="1:21" ht="15" customHeight="1" x14ac:dyDescent="0.2">
      <c r="A5512" t="s">
        <v>5818</v>
      </c>
      <c r="B5512" t="s">
        <v>235</v>
      </c>
      <c r="C5512" t="s">
        <v>55</v>
      </c>
      <c r="D5512" s="49">
        <v>45998</v>
      </c>
      <c r="E5512" s="49">
        <v>45999</v>
      </c>
      <c r="F5512" s="49">
        <v>46001</v>
      </c>
      <c r="G5512" s="49">
        <v>46004</v>
      </c>
      <c r="H5512" s="49">
        <v>46006</v>
      </c>
      <c r="I5512" s="49">
        <v>46008</v>
      </c>
      <c r="J5512" t="s">
        <v>49</v>
      </c>
      <c r="K5512" s="33">
        <v>5100</v>
      </c>
      <c r="L5512" t="s">
        <v>61</v>
      </c>
      <c r="M5512" t="str">
        <f>_xlfn.XLOOKUP(Pipeline_tbl[[#This Row],[Rep_ID]],Dim_Reps!A:A,Dim_Reps!K:K)</f>
        <v>MXN</v>
      </c>
      <c r="N5512" s="33">
        <f>(_xlfn.XLOOKUP(Pipeline_tbl[[#This Row],[Rate_Code_Generalized]],Lookups!A:A,Lookups!B:B))*Pipeline_tbl[[#This Row],[Pipeline_Amount_USD]]</f>
        <v>100636.77</v>
      </c>
      <c r="O5512" t="str">
        <f>_xlfn.XLOOKUP(Pipeline_tbl[[#This Row],[Rep_ID]],Dim_Reps!A:A,Dim_Reps!B:B)</f>
        <v>Milo Castro</v>
      </c>
      <c r="P5512" t="str">
        <f>_xlfn.XLOOKUP(Pipeline_tbl[[#This Row],[Rep_ID]],Dim_Reps!A:A,Dim_Reps!C:C)</f>
        <v>SDR / Inside Sales Rep</v>
      </c>
      <c r="Q5512" t="str">
        <f>_xlfn.XLOOKUP(Pipeline_tbl[[#This Row],[Rep_ID]],Dim_Reps!A:A,Dim_Reps!D:D)</f>
        <v>Inside Sales</v>
      </c>
      <c r="R5512" t="str">
        <f>_xlfn.XLOOKUP(Pipeline_tbl[[#This Row],[Rep_ID]],Dim_Reps!A:A,Dim_Reps!E:E)</f>
        <v>LATAM</v>
      </c>
      <c r="S5512" t="str">
        <f>_xlfn.XLOOKUP(Pipeline_tbl[[#This Row],[Created_Date]],Dim_Date!A:A,Dim_Date!H:H)</f>
        <v>Dec 2025</v>
      </c>
      <c r="T5512" t="str">
        <f>IF(Pipeline_tbl[[#This Row],[Closed_Date]]=0,"",(_xlfn.XLOOKUP(Pipeline_tbl[[#This Row],[Closed_Date]],Dim_Date!A:A,Dim_Date!H:H)))</f>
        <v>Dec 2025</v>
      </c>
      <c r="U5512">
        <f>IF(Pipeline_tbl[[#This Row],[Closed_Date]]=0,"",Pipeline_tbl[[#This Row],[Closed_Date]]-Pipeline_tbl[[#This Row],[Created_Date]])</f>
        <v>10</v>
      </c>
    </row>
    <row r="5513" spans="1:21" ht="15" customHeight="1" x14ac:dyDescent="0.2">
      <c r="A5513" t="s">
        <v>5819</v>
      </c>
      <c r="B5513" t="s">
        <v>237</v>
      </c>
      <c r="C5513" t="s">
        <v>55</v>
      </c>
      <c r="D5513" s="49">
        <v>45993</v>
      </c>
      <c r="E5513" s="49">
        <v>45995</v>
      </c>
      <c r="F5513" s="49">
        <v>46001</v>
      </c>
      <c r="G5513" s="49">
        <v>46008</v>
      </c>
      <c r="H5513" s="49">
        <v>46014</v>
      </c>
      <c r="I5513" s="49">
        <v>46018</v>
      </c>
      <c r="J5513" t="s">
        <v>49</v>
      </c>
      <c r="K5513" s="33">
        <v>2000</v>
      </c>
      <c r="L5513" t="s">
        <v>60</v>
      </c>
      <c r="M5513" t="str">
        <f>_xlfn.XLOOKUP(Pipeline_tbl[[#This Row],[Rep_ID]],Dim_Reps!A:A,Dim_Reps!K:K)</f>
        <v>EUR</v>
      </c>
      <c r="N5513" s="33">
        <f>(_xlfn.XLOOKUP(Pipeline_tbl[[#This Row],[Rate_Code_Generalized]],Lookups!A:A,Lookups!B:B))*Pipeline_tbl[[#This Row],[Pipeline_Amount_USD]]</f>
        <v>2000</v>
      </c>
      <c r="O5513" t="str">
        <f>_xlfn.XLOOKUP(Pipeline_tbl[[#This Row],[Rep_ID]],Dim_Reps!A:A,Dim_Reps!B:B)</f>
        <v>Hugo Santos</v>
      </c>
      <c r="P5513" t="str">
        <f>_xlfn.XLOOKUP(Pipeline_tbl[[#This Row],[Rep_ID]],Dim_Reps!A:A,Dim_Reps!C:C)</f>
        <v>SDR / Inside Sales Rep</v>
      </c>
      <c r="Q5513" t="str">
        <f>_xlfn.XLOOKUP(Pipeline_tbl[[#This Row],[Rep_ID]],Dim_Reps!A:A,Dim_Reps!D:D)</f>
        <v>Inside Sales</v>
      </c>
      <c r="R5513" t="str">
        <f>_xlfn.XLOOKUP(Pipeline_tbl[[#This Row],[Rep_ID]],Dim_Reps!A:A,Dim_Reps!E:E)</f>
        <v>EMEA</v>
      </c>
      <c r="S5513" t="str">
        <f>_xlfn.XLOOKUP(Pipeline_tbl[[#This Row],[Created_Date]],Dim_Date!A:A,Dim_Date!H:H)</f>
        <v>Dec 2025</v>
      </c>
      <c r="T5513" t="str">
        <f>IF(Pipeline_tbl[[#This Row],[Closed_Date]]=0,"",(_xlfn.XLOOKUP(Pipeline_tbl[[#This Row],[Closed_Date]],Dim_Date!A:A,Dim_Date!H:H)))</f>
        <v>Dec 2025</v>
      </c>
      <c r="U5513">
        <f>IF(Pipeline_tbl[[#This Row],[Closed_Date]]=0,"",Pipeline_tbl[[#This Row],[Closed_Date]]-Pipeline_tbl[[#This Row],[Created_Date]])</f>
        <v>25</v>
      </c>
    </row>
    <row r="5514" spans="1:21" ht="15" customHeight="1" x14ac:dyDescent="0.2">
      <c r="A5514" t="s">
        <v>5820</v>
      </c>
      <c r="B5514" t="s">
        <v>237</v>
      </c>
      <c r="C5514" t="s">
        <v>52</v>
      </c>
      <c r="D5514" s="49">
        <v>45992</v>
      </c>
      <c r="E5514" s="49">
        <v>45994</v>
      </c>
      <c r="F5514" s="49">
        <v>45998</v>
      </c>
      <c r="G5514" s="49">
        <v>46003</v>
      </c>
      <c r="H5514" s="49">
        <v>46008</v>
      </c>
      <c r="I5514" s="49">
        <v>46011</v>
      </c>
      <c r="J5514" t="s">
        <v>49</v>
      </c>
      <c r="K5514" s="33">
        <v>5500</v>
      </c>
      <c r="L5514" t="s">
        <v>63</v>
      </c>
      <c r="M5514" t="str">
        <f>_xlfn.XLOOKUP(Pipeline_tbl[[#This Row],[Rep_ID]],Dim_Reps!A:A,Dim_Reps!K:K)</f>
        <v>EUR</v>
      </c>
      <c r="N5514" s="33">
        <f>(_xlfn.XLOOKUP(Pipeline_tbl[[#This Row],[Rate_Code_Generalized]],Lookups!A:A,Lookups!B:B))*Pipeline_tbl[[#This Row],[Pipeline_Amount_USD]]</f>
        <v>5500</v>
      </c>
      <c r="O5514" t="str">
        <f>_xlfn.XLOOKUP(Pipeline_tbl[[#This Row],[Rep_ID]],Dim_Reps!A:A,Dim_Reps!B:B)</f>
        <v>Hugo Santos</v>
      </c>
      <c r="P5514" t="str">
        <f>_xlfn.XLOOKUP(Pipeline_tbl[[#This Row],[Rep_ID]],Dim_Reps!A:A,Dim_Reps!C:C)</f>
        <v>SDR / Inside Sales Rep</v>
      </c>
      <c r="Q5514" t="str">
        <f>_xlfn.XLOOKUP(Pipeline_tbl[[#This Row],[Rep_ID]],Dim_Reps!A:A,Dim_Reps!D:D)</f>
        <v>Inside Sales</v>
      </c>
      <c r="R5514" t="str">
        <f>_xlfn.XLOOKUP(Pipeline_tbl[[#This Row],[Rep_ID]],Dim_Reps!A:A,Dim_Reps!E:E)</f>
        <v>EMEA</v>
      </c>
      <c r="S5514" t="str">
        <f>_xlfn.XLOOKUP(Pipeline_tbl[[#This Row],[Created_Date]],Dim_Date!A:A,Dim_Date!H:H)</f>
        <v>Dec 2025</v>
      </c>
      <c r="T5514" t="str">
        <f>IF(Pipeline_tbl[[#This Row],[Closed_Date]]=0,"",(_xlfn.XLOOKUP(Pipeline_tbl[[#This Row],[Closed_Date]],Dim_Date!A:A,Dim_Date!H:H)))</f>
        <v>Dec 2025</v>
      </c>
      <c r="U5514">
        <f>IF(Pipeline_tbl[[#This Row],[Closed_Date]]=0,"",Pipeline_tbl[[#This Row],[Closed_Date]]-Pipeline_tbl[[#This Row],[Created_Date]])</f>
        <v>19</v>
      </c>
    </row>
    <row r="5515" spans="1:21" ht="15" customHeight="1" x14ac:dyDescent="0.2">
      <c r="A5515" t="s">
        <v>5821</v>
      </c>
      <c r="B5515" t="s">
        <v>237</v>
      </c>
      <c r="C5515" t="s">
        <v>52</v>
      </c>
      <c r="D5515" s="49">
        <v>45997</v>
      </c>
      <c r="E5515" s="49">
        <v>45999</v>
      </c>
      <c r="F5515" s="49">
        <v>46002</v>
      </c>
      <c r="G5515" s="49">
        <v>46007</v>
      </c>
      <c r="H5515" s="49">
        <v>46011</v>
      </c>
      <c r="I5515" s="49">
        <v>46014</v>
      </c>
      <c r="J5515" t="s">
        <v>47</v>
      </c>
      <c r="K5515" s="33">
        <v>2900</v>
      </c>
      <c r="M5515" t="str">
        <f>_xlfn.XLOOKUP(Pipeline_tbl[[#This Row],[Rep_ID]],Dim_Reps!A:A,Dim_Reps!K:K)</f>
        <v>EUR</v>
      </c>
      <c r="N5515" s="33">
        <f>(_xlfn.XLOOKUP(Pipeline_tbl[[#This Row],[Rate_Code_Generalized]],Lookups!A:A,Lookups!B:B))*Pipeline_tbl[[#This Row],[Pipeline_Amount_USD]]</f>
        <v>2900</v>
      </c>
      <c r="O5515" t="str">
        <f>_xlfn.XLOOKUP(Pipeline_tbl[[#This Row],[Rep_ID]],Dim_Reps!A:A,Dim_Reps!B:B)</f>
        <v>Hugo Santos</v>
      </c>
      <c r="P5515" t="str">
        <f>_xlfn.XLOOKUP(Pipeline_tbl[[#This Row],[Rep_ID]],Dim_Reps!A:A,Dim_Reps!C:C)</f>
        <v>SDR / Inside Sales Rep</v>
      </c>
      <c r="Q5515" t="str">
        <f>_xlfn.XLOOKUP(Pipeline_tbl[[#This Row],[Rep_ID]],Dim_Reps!A:A,Dim_Reps!D:D)</f>
        <v>Inside Sales</v>
      </c>
      <c r="R5515" t="str">
        <f>_xlfn.XLOOKUP(Pipeline_tbl[[#This Row],[Rep_ID]],Dim_Reps!A:A,Dim_Reps!E:E)</f>
        <v>EMEA</v>
      </c>
      <c r="S5515" t="str">
        <f>_xlfn.XLOOKUP(Pipeline_tbl[[#This Row],[Created_Date]],Dim_Date!A:A,Dim_Date!H:H)</f>
        <v>Dec 2025</v>
      </c>
      <c r="T5515" t="str">
        <f>IF(Pipeline_tbl[[#This Row],[Closed_Date]]=0,"",(_xlfn.XLOOKUP(Pipeline_tbl[[#This Row],[Closed_Date]],Dim_Date!A:A,Dim_Date!H:H)))</f>
        <v>Dec 2025</v>
      </c>
      <c r="U5515">
        <f>IF(Pipeline_tbl[[#This Row],[Closed_Date]]=0,"",Pipeline_tbl[[#This Row],[Closed_Date]]-Pipeline_tbl[[#This Row],[Created_Date]])</f>
        <v>17</v>
      </c>
    </row>
    <row r="5516" spans="1:21" ht="15" customHeight="1" x14ac:dyDescent="0.2">
      <c r="A5516" t="s">
        <v>5822</v>
      </c>
      <c r="B5516" t="s">
        <v>237</v>
      </c>
      <c r="C5516" t="s">
        <v>52</v>
      </c>
      <c r="D5516" s="49">
        <v>46007</v>
      </c>
      <c r="E5516" s="49">
        <v>46008</v>
      </c>
      <c r="F5516" s="49">
        <v>46011</v>
      </c>
      <c r="I5516" s="49">
        <v>46021</v>
      </c>
      <c r="J5516" t="s">
        <v>49</v>
      </c>
      <c r="K5516" s="33">
        <v>4300</v>
      </c>
      <c r="L5516" t="s">
        <v>61</v>
      </c>
      <c r="M5516" t="str">
        <f>_xlfn.XLOOKUP(Pipeline_tbl[[#This Row],[Rep_ID]],Dim_Reps!A:A,Dim_Reps!K:K)</f>
        <v>EUR</v>
      </c>
      <c r="N5516" s="33">
        <f>(_xlfn.XLOOKUP(Pipeline_tbl[[#This Row],[Rate_Code_Generalized]],Lookups!A:A,Lookups!B:B))*Pipeline_tbl[[#This Row],[Pipeline_Amount_USD]]</f>
        <v>4300</v>
      </c>
      <c r="O5516" t="str">
        <f>_xlfn.XLOOKUP(Pipeline_tbl[[#This Row],[Rep_ID]],Dim_Reps!A:A,Dim_Reps!B:B)</f>
        <v>Hugo Santos</v>
      </c>
      <c r="P5516" t="str">
        <f>_xlfn.XLOOKUP(Pipeline_tbl[[#This Row],[Rep_ID]],Dim_Reps!A:A,Dim_Reps!C:C)</f>
        <v>SDR / Inside Sales Rep</v>
      </c>
      <c r="Q5516" t="str">
        <f>_xlfn.XLOOKUP(Pipeline_tbl[[#This Row],[Rep_ID]],Dim_Reps!A:A,Dim_Reps!D:D)</f>
        <v>Inside Sales</v>
      </c>
      <c r="R5516" t="str">
        <f>_xlfn.XLOOKUP(Pipeline_tbl[[#This Row],[Rep_ID]],Dim_Reps!A:A,Dim_Reps!E:E)</f>
        <v>EMEA</v>
      </c>
      <c r="S5516" t="str">
        <f>_xlfn.XLOOKUP(Pipeline_tbl[[#This Row],[Created_Date]],Dim_Date!A:A,Dim_Date!H:H)</f>
        <v>Dec 2025</v>
      </c>
      <c r="T5516" t="str">
        <f>IF(Pipeline_tbl[[#This Row],[Closed_Date]]=0,"",(_xlfn.XLOOKUP(Pipeline_tbl[[#This Row],[Closed_Date]],Dim_Date!A:A,Dim_Date!H:H)))</f>
        <v>Dec 2025</v>
      </c>
      <c r="U5516">
        <f>IF(Pipeline_tbl[[#This Row],[Closed_Date]]=0,"",Pipeline_tbl[[#This Row],[Closed_Date]]-Pipeline_tbl[[#This Row],[Created_Date]])</f>
        <v>14</v>
      </c>
    </row>
    <row r="5517" spans="1:21" ht="15" customHeight="1" x14ac:dyDescent="0.2">
      <c r="A5517" t="s">
        <v>5823</v>
      </c>
      <c r="B5517" t="s">
        <v>237</v>
      </c>
      <c r="C5517" t="s">
        <v>52</v>
      </c>
      <c r="D5517" s="49">
        <v>45997</v>
      </c>
      <c r="E5517" s="49">
        <v>45999</v>
      </c>
      <c r="F5517" s="49">
        <v>46004</v>
      </c>
      <c r="G5517" s="49">
        <v>46011</v>
      </c>
      <c r="H5517" s="49">
        <v>46017</v>
      </c>
      <c r="I5517" s="49">
        <v>46021</v>
      </c>
      <c r="J5517" t="s">
        <v>47</v>
      </c>
      <c r="K5517" s="33">
        <v>2400</v>
      </c>
      <c r="M5517" t="str">
        <f>_xlfn.XLOOKUP(Pipeline_tbl[[#This Row],[Rep_ID]],Dim_Reps!A:A,Dim_Reps!K:K)</f>
        <v>EUR</v>
      </c>
      <c r="N5517" s="33">
        <f>(_xlfn.XLOOKUP(Pipeline_tbl[[#This Row],[Rate_Code_Generalized]],Lookups!A:A,Lookups!B:B))*Pipeline_tbl[[#This Row],[Pipeline_Amount_USD]]</f>
        <v>2400</v>
      </c>
      <c r="O5517" t="str">
        <f>_xlfn.XLOOKUP(Pipeline_tbl[[#This Row],[Rep_ID]],Dim_Reps!A:A,Dim_Reps!B:B)</f>
        <v>Hugo Santos</v>
      </c>
      <c r="P5517" t="str">
        <f>_xlfn.XLOOKUP(Pipeline_tbl[[#This Row],[Rep_ID]],Dim_Reps!A:A,Dim_Reps!C:C)</f>
        <v>SDR / Inside Sales Rep</v>
      </c>
      <c r="Q5517" t="str">
        <f>_xlfn.XLOOKUP(Pipeline_tbl[[#This Row],[Rep_ID]],Dim_Reps!A:A,Dim_Reps!D:D)</f>
        <v>Inside Sales</v>
      </c>
      <c r="R5517" t="str">
        <f>_xlfn.XLOOKUP(Pipeline_tbl[[#This Row],[Rep_ID]],Dim_Reps!A:A,Dim_Reps!E:E)</f>
        <v>EMEA</v>
      </c>
      <c r="S5517" t="str">
        <f>_xlfn.XLOOKUP(Pipeline_tbl[[#This Row],[Created_Date]],Dim_Date!A:A,Dim_Date!H:H)</f>
        <v>Dec 2025</v>
      </c>
      <c r="T5517" t="str">
        <f>IF(Pipeline_tbl[[#This Row],[Closed_Date]]=0,"",(_xlfn.XLOOKUP(Pipeline_tbl[[#This Row],[Closed_Date]],Dim_Date!A:A,Dim_Date!H:H)))</f>
        <v>Dec 2025</v>
      </c>
      <c r="U5517">
        <f>IF(Pipeline_tbl[[#This Row],[Closed_Date]]=0,"",Pipeline_tbl[[#This Row],[Closed_Date]]-Pipeline_tbl[[#This Row],[Created_Date]])</f>
        <v>24</v>
      </c>
    </row>
    <row r="5518" spans="1:21" ht="15" customHeight="1" x14ac:dyDescent="0.2">
      <c r="A5518" t="s">
        <v>5824</v>
      </c>
      <c r="B5518" t="s">
        <v>237</v>
      </c>
      <c r="C5518" t="s">
        <v>52</v>
      </c>
      <c r="D5518" s="49">
        <v>45994</v>
      </c>
      <c r="E5518" s="49">
        <v>45996</v>
      </c>
      <c r="F5518" s="49">
        <v>45999</v>
      </c>
      <c r="G5518" s="49">
        <v>46004</v>
      </c>
      <c r="I5518" s="49">
        <v>46011</v>
      </c>
      <c r="J5518" t="s">
        <v>49</v>
      </c>
      <c r="K5518" s="33">
        <v>2300</v>
      </c>
      <c r="L5518" t="s">
        <v>61</v>
      </c>
      <c r="M5518" t="str">
        <f>_xlfn.XLOOKUP(Pipeline_tbl[[#This Row],[Rep_ID]],Dim_Reps!A:A,Dim_Reps!K:K)</f>
        <v>EUR</v>
      </c>
      <c r="N5518" s="33">
        <f>(_xlfn.XLOOKUP(Pipeline_tbl[[#This Row],[Rate_Code_Generalized]],Lookups!A:A,Lookups!B:B))*Pipeline_tbl[[#This Row],[Pipeline_Amount_USD]]</f>
        <v>2300</v>
      </c>
      <c r="O5518" t="str">
        <f>_xlfn.XLOOKUP(Pipeline_tbl[[#This Row],[Rep_ID]],Dim_Reps!A:A,Dim_Reps!B:B)</f>
        <v>Hugo Santos</v>
      </c>
      <c r="P5518" t="str">
        <f>_xlfn.XLOOKUP(Pipeline_tbl[[#This Row],[Rep_ID]],Dim_Reps!A:A,Dim_Reps!C:C)</f>
        <v>SDR / Inside Sales Rep</v>
      </c>
      <c r="Q5518" t="str">
        <f>_xlfn.XLOOKUP(Pipeline_tbl[[#This Row],[Rep_ID]],Dim_Reps!A:A,Dim_Reps!D:D)</f>
        <v>Inside Sales</v>
      </c>
      <c r="R5518" t="str">
        <f>_xlfn.XLOOKUP(Pipeline_tbl[[#This Row],[Rep_ID]],Dim_Reps!A:A,Dim_Reps!E:E)</f>
        <v>EMEA</v>
      </c>
      <c r="S5518" t="str">
        <f>_xlfn.XLOOKUP(Pipeline_tbl[[#This Row],[Created_Date]],Dim_Date!A:A,Dim_Date!H:H)</f>
        <v>Dec 2025</v>
      </c>
      <c r="T5518" t="str">
        <f>IF(Pipeline_tbl[[#This Row],[Closed_Date]]=0,"",(_xlfn.XLOOKUP(Pipeline_tbl[[#This Row],[Closed_Date]],Dim_Date!A:A,Dim_Date!H:H)))</f>
        <v>Dec 2025</v>
      </c>
      <c r="U5518">
        <f>IF(Pipeline_tbl[[#This Row],[Closed_Date]]=0,"",Pipeline_tbl[[#This Row],[Closed_Date]]-Pipeline_tbl[[#This Row],[Created_Date]])</f>
        <v>17</v>
      </c>
    </row>
    <row r="5519" spans="1:21" ht="15" customHeight="1" x14ac:dyDescent="0.2">
      <c r="A5519" t="s">
        <v>5825</v>
      </c>
      <c r="B5519" t="s">
        <v>237</v>
      </c>
      <c r="C5519" t="s">
        <v>53</v>
      </c>
      <c r="D5519" s="49">
        <v>46007</v>
      </c>
      <c r="E5519" s="49">
        <v>46008</v>
      </c>
      <c r="F5519" s="49">
        <v>46009</v>
      </c>
      <c r="I5519" s="49">
        <v>46014</v>
      </c>
      <c r="J5519" t="s">
        <v>49</v>
      </c>
      <c r="K5519" s="33">
        <v>5700</v>
      </c>
      <c r="L5519" t="s">
        <v>60</v>
      </c>
      <c r="M5519" t="str">
        <f>_xlfn.XLOOKUP(Pipeline_tbl[[#This Row],[Rep_ID]],Dim_Reps!A:A,Dim_Reps!K:K)</f>
        <v>EUR</v>
      </c>
      <c r="N5519" s="33">
        <f>(_xlfn.XLOOKUP(Pipeline_tbl[[#This Row],[Rate_Code_Generalized]],Lookups!A:A,Lookups!B:B))*Pipeline_tbl[[#This Row],[Pipeline_Amount_USD]]</f>
        <v>5700</v>
      </c>
      <c r="O5519" t="str">
        <f>_xlfn.XLOOKUP(Pipeline_tbl[[#This Row],[Rep_ID]],Dim_Reps!A:A,Dim_Reps!B:B)</f>
        <v>Hugo Santos</v>
      </c>
      <c r="P5519" t="str">
        <f>_xlfn.XLOOKUP(Pipeline_tbl[[#This Row],[Rep_ID]],Dim_Reps!A:A,Dim_Reps!C:C)</f>
        <v>SDR / Inside Sales Rep</v>
      </c>
      <c r="Q5519" t="str">
        <f>_xlfn.XLOOKUP(Pipeline_tbl[[#This Row],[Rep_ID]],Dim_Reps!A:A,Dim_Reps!D:D)</f>
        <v>Inside Sales</v>
      </c>
      <c r="R5519" t="str">
        <f>_xlfn.XLOOKUP(Pipeline_tbl[[#This Row],[Rep_ID]],Dim_Reps!A:A,Dim_Reps!E:E)</f>
        <v>EMEA</v>
      </c>
      <c r="S5519" t="str">
        <f>_xlfn.XLOOKUP(Pipeline_tbl[[#This Row],[Created_Date]],Dim_Date!A:A,Dim_Date!H:H)</f>
        <v>Dec 2025</v>
      </c>
      <c r="T5519" t="str">
        <f>IF(Pipeline_tbl[[#This Row],[Closed_Date]]=0,"",(_xlfn.XLOOKUP(Pipeline_tbl[[#This Row],[Closed_Date]],Dim_Date!A:A,Dim_Date!H:H)))</f>
        <v>Dec 2025</v>
      </c>
      <c r="U5519">
        <f>IF(Pipeline_tbl[[#This Row],[Closed_Date]]=0,"",Pipeline_tbl[[#This Row],[Closed_Date]]-Pipeline_tbl[[#This Row],[Created_Date]])</f>
        <v>7</v>
      </c>
    </row>
    <row r="5520" spans="1:21" ht="15" customHeight="1" x14ac:dyDescent="0.2">
      <c r="A5520" t="s">
        <v>5826</v>
      </c>
      <c r="B5520" t="s">
        <v>237</v>
      </c>
      <c r="C5520" t="s">
        <v>52</v>
      </c>
      <c r="D5520" s="49">
        <v>46002</v>
      </c>
      <c r="E5520" s="49">
        <v>46004</v>
      </c>
      <c r="F5520" s="49">
        <v>46007</v>
      </c>
      <c r="G5520" s="49">
        <v>46011</v>
      </c>
      <c r="I5520" s="49">
        <v>46017</v>
      </c>
      <c r="J5520" t="s">
        <v>49</v>
      </c>
      <c r="K5520" s="33">
        <v>4500</v>
      </c>
      <c r="L5520" t="s">
        <v>61</v>
      </c>
      <c r="M5520" t="str">
        <f>_xlfn.XLOOKUP(Pipeline_tbl[[#This Row],[Rep_ID]],Dim_Reps!A:A,Dim_Reps!K:K)</f>
        <v>EUR</v>
      </c>
      <c r="N5520" s="33">
        <f>(_xlfn.XLOOKUP(Pipeline_tbl[[#This Row],[Rate_Code_Generalized]],Lookups!A:A,Lookups!B:B))*Pipeline_tbl[[#This Row],[Pipeline_Amount_USD]]</f>
        <v>4500</v>
      </c>
      <c r="O5520" t="str">
        <f>_xlfn.XLOOKUP(Pipeline_tbl[[#This Row],[Rep_ID]],Dim_Reps!A:A,Dim_Reps!B:B)</f>
        <v>Hugo Santos</v>
      </c>
      <c r="P5520" t="str">
        <f>_xlfn.XLOOKUP(Pipeline_tbl[[#This Row],[Rep_ID]],Dim_Reps!A:A,Dim_Reps!C:C)</f>
        <v>SDR / Inside Sales Rep</v>
      </c>
      <c r="Q5520" t="str">
        <f>_xlfn.XLOOKUP(Pipeline_tbl[[#This Row],[Rep_ID]],Dim_Reps!A:A,Dim_Reps!D:D)</f>
        <v>Inside Sales</v>
      </c>
      <c r="R5520" t="str">
        <f>_xlfn.XLOOKUP(Pipeline_tbl[[#This Row],[Rep_ID]],Dim_Reps!A:A,Dim_Reps!E:E)</f>
        <v>EMEA</v>
      </c>
      <c r="S5520" t="str">
        <f>_xlfn.XLOOKUP(Pipeline_tbl[[#This Row],[Created_Date]],Dim_Date!A:A,Dim_Date!H:H)</f>
        <v>Dec 2025</v>
      </c>
      <c r="T5520" t="str">
        <f>IF(Pipeline_tbl[[#This Row],[Closed_Date]]=0,"",(_xlfn.XLOOKUP(Pipeline_tbl[[#This Row],[Closed_Date]],Dim_Date!A:A,Dim_Date!H:H)))</f>
        <v>Dec 2025</v>
      </c>
      <c r="U5520">
        <f>IF(Pipeline_tbl[[#This Row],[Closed_Date]]=0,"",Pipeline_tbl[[#This Row],[Closed_Date]]-Pipeline_tbl[[#This Row],[Created_Date]])</f>
        <v>15</v>
      </c>
    </row>
    <row r="5521" spans="1:21" ht="15" customHeight="1" x14ac:dyDescent="0.2">
      <c r="A5521" t="s">
        <v>5827</v>
      </c>
      <c r="B5521" t="s">
        <v>237</v>
      </c>
      <c r="C5521" t="s">
        <v>53</v>
      </c>
      <c r="D5521" s="49">
        <v>45999</v>
      </c>
      <c r="E5521" s="49">
        <v>46001</v>
      </c>
      <c r="F5521" s="49">
        <v>46004</v>
      </c>
      <c r="I5521" s="49">
        <v>46017</v>
      </c>
      <c r="J5521" t="s">
        <v>49</v>
      </c>
      <c r="K5521" s="33">
        <v>2900</v>
      </c>
      <c r="L5521" t="s">
        <v>60</v>
      </c>
      <c r="M5521" t="str">
        <f>_xlfn.XLOOKUP(Pipeline_tbl[[#This Row],[Rep_ID]],Dim_Reps!A:A,Dim_Reps!K:K)</f>
        <v>EUR</v>
      </c>
      <c r="N5521" s="33">
        <f>(_xlfn.XLOOKUP(Pipeline_tbl[[#This Row],[Rate_Code_Generalized]],Lookups!A:A,Lookups!B:B))*Pipeline_tbl[[#This Row],[Pipeline_Amount_USD]]</f>
        <v>2900</v>
      </c>
      <c r="O5521" t="str">
        <f>_xlfn.XLOOKUP(Pipeline_tbl[[#This Row],[Rep_ID]],Dim_Reps!A:A,Dim_Reps!B:B)</f>
        <v>Hugo Santos</v>
      </c>
      <c r="P5521" t="str">
        <f>_xlfn.XLOOKUP(Pipeline_tbl[[#This Row],[Rep_ID]],Dim_Reps!A:A,Dim_Reps!C:C)</f>
        <v>SDR / Inside Sales Rep</v>
      </c>
      <c r="Q5521" t="str">
        <f>_xlfn.XLOOKUP(Pipeline_tbl[[#This Row],[Rep_ID]],Dim_Reps!A:A,Dim_Reps!D:D)</f>
        <v>Inside Sales</v>
      </c>
      <c r="R5521" t="str">
        <f>_xlfn.XLOOKUP(Pipeline_tbl[[#This Row],[Rep_ID]],Dim_Reps!A:A,Dim_Reps!E:E)</f>
        <v>EMEA</v>
      </c>
      <c r="S5521" t="str">
        <f>_xlfn.XLOOKUP(Pipeline_tbl[[#This Row],[Created_Date]],Dim_Date!A:A,Dim_Date!H:H)</f>
        <v>Dec 2025</v>
      </c>
      <c r="T5521" t="str">
        <f>IF(Pipeline_tbl[[#This Row],[Closed_Date]]=0,"",(_xlfn.XLOOKUP(Pipeline_tbl[[#This Row],[Closed_Date]],Dim_Date!A:A,Dim_Date!H:H)))</f>
        <v>Dec 2025</v>
      </c>
      <c r="U5521">
        <f>IF(Pipeline_tbl[[#This Row],[Closed_Date]]=0,"",Pipeline_tbl[[#This Row],[Closed_Date]]-Pipeline_tbl[[#This Row],[Created_Date]])</f>
        <v>18</v>
      </c>
    </row>
    <row r="5522" spans="1:21" ht="15" customHeight="1" x14ac:dyDescent="0.2">
      <c r="A5522" t="s">
        <v>5828</v>
      </c>
      <c r="B5522" t="s">
        <v>237</v>
      </c>
      <c r="C5522" t="s">
        <v>54</v>
      </c>
      <c r="D5522" s="49">
        <v>46000</v>
      </c>
      <c r="E5522" s="49">
        <v>46002</v>
      </c>
      <c r="F5522" s="49">
        <v>46006</v>
      </c>
      <c r="G5522" s="49">
        <v>46011</v>
      </c>
      <c r="H5522" s="49">
        <v>46016</v>
      </c>
      <c r="I5522" s="49">
        <v>46019</v>
      </c>
      <c r="J5522" t="s">
        <v>47</v>
      </c>
      <c r="K5522" s="33">
        <v>2500</v>
      </c>
      <c r="M5522" t="str">
        <f>_xlfn.XLOOKUP(Pipeline_tbl[[#This Row],[Rep_ID]],Dim_Reps!A:A,Dim_Reps!K:K)</f>
        <v>EUR</v>
      </c>
      <c r="N5522" s="33">
        <f>(_xlfn.XLOOKUP(Pipeline_tbl[[#This Row],[Rate_Code_Generalized]],Lookups!A:A,Lookups!B:B))*Pipeline_tbl[[#This Row],[Pipeline_Amount_USD]]</f>
        <v>2500</v>
      </c>
      <c r="O5522" t="str">
        <f>_xlfn.XLOOKUP(Pipeline_tbl[[#This Row],[Rep_ID]],Dim_Reps!A:A,Dim_Reps!B:B)</f>
        <v>Hugo Santos</v>
      </c>
      <c r="P5522" t="str">
        <f>_xlfn.XLOOKUP(Pipeline_tbl[[#This Row],[Rep_ID]],Dim_Reps!A:A,Dim_Reps!C:C)</f>
        <v>SDR / Inside Sales Rep</v>
      </c>
      <c r="Q5522" t="str">
        <f>_xlfn.XLOOKUP(Pipeline_tbl[[#This Row],[Rep_ID]],Dim_Reps!A:A,Dim_Reps!D:D)</f>
        <v>Inside Sales</v>
      </c>
      <c r="R5522" t="str">
        <f>_xlfn.XLOOKUP(Pipeline_tbl[[#This Row],[Rep_ID]],Dim_Reps!A:A,Dim_Reps!E:E)</f>
        <v>EMEA</v>
      </c>
      <c r="S5522" t="str">
        <f>_xlfn.XLOOKUP(Pipeline_tbl[[#This Row],[Created_Date]],Dim_Date!A:A,Dim_Date!H:H)</f>
        <v>Dec 2025</v>
      </c>
      <c r="T5522" t="str">
        <f>IF(Pipeline_tbl[[#This Row],[Closed_Date]]=0,"",(_xlfn.XLOOKUP(Pipeline_tbl[[#This Row],[Closed_Date]],Dim_Date!A:A,Dim_Date!H:H)))</f>
        <v>Dec 2025</v>
      </c>
      <c r="U5522">
        <f>IF(Pipeline_tbl[[#This Row],[Closed_Date]]=0,"",Pipeline_tbl[[#This Row],[Closed_Date]]-Pipeline_tbl[[#This Row],[Created_Date]])</f>
        <v>19</v>
      </c>
    </row>
    <row r="5523" spans="1:21" ht="15" customHeight="1" x14ac:dyDescent="0.2">
      <c r="A5523" t="s">
        <v>5829</v>
      </c>
      <c r="B5523" t="s">
        <v>237</v>
      </c>
      <c r="C5523" t="s">
        <v>53</v>
      </c>
      <c r="D5523" s="49">
        <v>45993</v>
      </c>
      <c r="E5523" s="49">
        <v>45994</v>
      </c>
      <c r="F5523" s="49">
        <v>45997</v>
      </c>
      <c r="I5523" s="49">
        <v>46007</v>
      </c>
      <c r="J5523" t="s">
        <v>49</v>
      </c>
      <c r="K5523" s="33">
        <v>2200</v>
      </c>
      <c r="L5523" t="s">
        <v>62</v>
      </c>
      <c r="M5523" t="str">
        <f>_xlfn.XLOOKUP(Pipeline_tbl[[#This Row],[Rep_ID]],Dim_Reps!A:A,Dim_Reps!K:K)</f>
        <v>EUR</v>
      </c>
      <c r="N5523" s="33">
        <f>(_xlfn.XLOOKUP(Pipeline_tbl[[#This Row],[Rate_Code_Generalized]],Lookups!A:A,Lookups!B:B))*Pipeline_tbl[[#This Row],[Pipeline_Amount_USD]]</f>
        <v>2200</v>
      </c>
      <c r="O5523" t="str">
        <f>_xlfn.XLOOKUP(Pipeline_tbl[[#This Row],[Rep_ID]],Dim_Reps!A:A,Dim_Reps!B:B)</f>
        <v>Hugo Santos</v>
      </c>
      <c r="P5523" t="str">
        <f>_xlfn.XLOOKUP(Pipeline_tbl[[#This Row],[Rep_ID]],Dim_Reps!A:A,Dim_Reps!C:C)</f>
        <v>SDR / Inside Sales Rep</v>
      </c>
      <c r="Q5523" t="str">
        <f>_xlfn.XLOOKUP(Pipeline_tbl[[#This Row],[Rep_ID]],Dim_Reps!A:A,Dim_Reps!D:D)</f>
        <v>Inside Sales</v>
      </c>
      <c r="R5523" t="str">
        <f>_xlfn.XLOOKUP(Pipeline_tbl[[#This Row],[Rep_ID]],Dim_Reps!A:A,Dim_Reps!E:E)</f>
        <v>EMEA</v>
      </c>
      <c r="S5523" t="str">
        <f>_xlfn.XLOOKUP(Pipeline_tbl[[#This Row],[Created_Date]],Dim_Date!A:A,Dim_Date!H:H)</f>
        <v>Dec 2025</v>
      </c>
      <c r="T5523" t="str">
        <f>IF(Pipeline_tbl[[#This Row],[Closed_Date]]=0,"",(_xlfn.XLOOKUP(Pipeline_tbl[[#This Row],[Closed_Date]],Dim_Date!A:A,Dim_Date!H:H)))</f>
        <v>Dec 2025</v>
      </c>
      <c r="U5523">
        <f>IF(Pipeline_tbl[[#This Row],[Closed_Date]]=0,"",Pipeline_tbl[[#This Row],[Closed_Date]]-Pipeline_tbl[[#This Row],[Created_Date]])</f>
        <v>14</v>
      </c>
    </row>
    <row r="5524" spans="1:21" ht="15" customHeight="1" x14ac:dyDescent="0.2">
      <c r="A5524" t="s">
        <v>5830</v>
      </c>
      <c r="B5524" t="s">
        <v>239</v>
      </c>
      <c r="C5524" t="s">
        <v>56</v>
      </c>
      <c r="D5524" s="49">
        <v>45997</v>
      </c>
      <c r="E5524" s="49">
        <v>45998</v>
      </c>
      <c r="F5524" s="49">
        <v>46000</v>
      </c>
      <c r="I5524" s="49">
        <v>46006</v>
      </c>
      <c r="J5524" t="s">
        <v>49</v>
      </c>
      <c r="K5524" s="33">
        <v>2200</v>
      </c>
      <c r="L5524" t="s">
        <v>60</v>
      </c>
      <c r="M5524" t="str">
        <f>_xlfn.XLOOKUP(Pipeline_tbl[[#This Row],[Rep_ID]],Dim_Reps!A:A,Dim_Reps!K:K)</f>
        <v>USD</v>
      </c>
      <c r="N5524" s="33">
        <f>(_xlfn.XLOOKUP(Pipeline_tbl[[#This Row],[Rate_Code_Generalized]],Lookups!A:A,Lookups!B:B))*Pipeline_tbl[[#This Row],[Pipeline_Amount_USD]]</f>
        <v>2561.4599999999996</v>
      </c>
      <c r="O5524" t="str">
        <f>_xlfn.XLOOKUP(Pipeline_tbl[[#This Row],[Rep_ID]],Dim_Reps!A:A,Dim_Reps!B:B)</f>
        <v>Noah Adler</v>
      </c>
      <c r="P5524" t="str">
        <f>_xlfn.XLOOKUP(Pipeline_tbl[[#This Row],[Rep_ID]],Dim_Reps!A:A,Dim_Reps!C:C)</f>
        <v>SDR / Inside Sales Rep</v>
      </c>
      <c r="Q5524" t="str">
        <f>_xlfn.XLOOKUP(Pipeline_tbl[[#This Row],[Rep_ID]],Dim_Reps!A:A,Dim_Reps!D:D)</f>
        <v>Inside Sales</v>
      </c>
      <c r="R5524" t="str">
        <f>_xlfn.XLOOKUP(Pipeline_tbl[[#This Row],[Rep_ID]],Dim_Reps!A:A,Dim_Reps!E:E)</f>
        <v>NAMER</v>
      </c>
      <c r="S5524" t="str">
        <f>_xlfn.XLOOKUP(Pipeline_tbl[[#This Row],[Created_Date]],Dim_Date!A:A,Dim_Date!H:H)</f>
        <v>Dec 2025</v>
      </c>
      <c r="T5524" t="str">
        <f>IF(Pipeline_tbl[[#This Row],[Closed_Date]]=0,"",(_xlfn.XLOOKUP(Pipeline_tbl[[#This Row],[Closed_Date]],Dim_Date!A:A,Dim_Date!H:H)))</f>
        <v>Dec 2025</v>
      </c>
      <c r="U5524">
        <f>IF(Pipeline_tbl[[#This Row],[Closed_Date]]=0,"",Pipeline_tbl[[#This Row],[Closed_Date]]-Pipeline_tbl[[#This Row],[Created_Date]])</f>
        <v>9</v>
      </c>
    </row>
    <row r="5525" spans="1:21" ht="15" customHeight="1" x14ac:dyDescent="0.2">
      <c r="A5525" t="s">
        <v>5831</v>
      </c>
      <c r="B5525" t="s">
        <v>239</v>
      </c>
      <c r="C5525" t="s">
        <v>52</v>
      </c>
      <c r="D5525" s="49">
        <v>45997</v>
      </c>
      <c r="E5525" s="49">
        <v>45999</v>
      </c>
      <c r="F5525" s="49">
        <v>46002</v>
      </c>
      <c r="G5525" s="49">
        <v>46007</v>
      </c>
      <c r="H5525" s="49">
        <v>46011</v>
      </c>
      <c r="I5525" s="49">
        <v>46013</v>
      </c>
      <c r="J5525" t="s">
        <v>49</v>
      </c>
      <c r="K5525" s="33">
        <v>5700</v>
      </c>
      <c r="L5525" t="s">
        <v>60</v>
      </c>
      <c r="M5525" t="str">
        <f>_xlfn.XLOOKUP(Pipeline_tbl[[#This Row],[Rep_ID]],Dim_Reps!A:A,Dim_Reps!K:K)</f>
        <v>USD</v>
      </c>
      <c r="N5525" s="33">
        <f>(_xlfn.XLOOKUP(Pipeline_tbl[[#This Row],[Rate_Code_Generalized]],Lookups!A:A,Lookups!B:B))*Pipeline_tbl[[#This Row],[Pipeline_Amount_USD]]</f>
        <v>6636.5099999999993</v>
      </c>
      <c r="O5525" t="str">
        <f>_xlfn.XLOOKUP(Pipeline_tbl[[#This Row],[Rep_ID]],Dim_Reps!A:A,Dim_Reps!B:B)</f>
        <v>Noah Adler</v>
      </c>
      <c r="P5525" t="str">
        <f>_xlfn.XLOOKUP(Pipeline_tbl[[#This Row],[Rep_ID]],Dim_Reps!A:A,Dim_Reps!C:C)</f>
        <v>SDR / Inside Sales Rep</v>
      </c>
      <c r="Q5525" t="str">
        <f>_xlfn.XLOOKUP(Pipeline_tbl[[#This Row],[Rep_ID]],Dim_Reps!A:A,Dim_Reps!D:D)</f>
        <v>Inside Sales</v>
      </c>
      <c r="R5525" t="str">
        <f>_xlfn.XLOOKUP(Pipeline_tbl[[#This Row],[Rep_ID]],Dim_Reps!A:A,Dim_Reps!E:E)</f>
        <v>NAMER</v>
      </c>
      <c r="S5525" t="str">
        <f>_xlfn.XLOOKUP(Pipeline_tbl[[#This Row],[Created_Date]],Dim_Date!A:A,Dim_Date!H:H)</f>
        <v>Dec 2025</v>
      </c>
      <c r="T5525" t="str">
        <f>IF(Pipeline_tbl[[#This Row],[Closed_Date]]=0,"",(_xlfn.XLOOKUP(Pipeline_tbl[[#This Row],[Closed_Date]],Dim_Date!A:A,Dim_Date!H:H)))</f>
        <v>Dec 2025</v>
      </c>
      <c r="U5525">
        <f>IF(Pipeline_tbl[[#This Row],[Closed_Date]]=0,"",Pipeline_tbl[[#This Row],[Closed_Date]]-Pipeline_tbl[[#This Row],[Created_Date]])</f>
        <v>16</v>
      </c>
    </row>
    <row r="5526" spans="1:21" ht="15" customHeight="1" x14ac:dyDescent="0.2">
      <c r="A5526" t="s">
        <v>5832</v>
      </c>
      <c r="B5526" t="s">
        <v>239</v>
      </c>
      <c r="C5526" t="s">
        <v>52</v>
      </c>
      <c r="D5526" s="49">
        <v>45996</v>
      </c>
      <c r="E5526" s="49">
        <v>45998</v>
      </c>
      <c r="F5526" s="49">
        <v>46002</v>
      </c>
      <c r="G5526" s="49">
        <v>46007</v>
      </c>
      <c r="I5526" s="49">
        <v>46015</v>
      </c>
      <c r="J5526" t="s">
        <v>49</v>
      </c>
      <c r="K5526" s="33">
        <v>3900</v>
      </c>
      <c r="L5526" t="s">
        <v>61</v>
      </c>
      <c r="M5526" t="str">
        <f>_xlfn.XLOOKUP(Pipeline_tbl[[#This Row],[Rep_ID]],Dim_Reps!A:A,Dim_Reps!K:K)</f>
        <v>USD</v>
      </c>
      <c r="N5526" s="33">
        <f>(_xlfn.XLOOKUP(Pipeline_tbl[[#This Row],[Rate_Code_Generalized]],Lookups!A:A,Lookups!B:B))*Pipeline_tbl[[#This Row],[Pipeline_Amount_USD]]</f>
        <v>4540.7699999999995</v>
      </c>
      <c r="O5526" t="str">
        <f>_xlfn.XLOOKUP(Pipeline_tbl[[#This Row],[Rep_ID]],Dim_Reps!A:A,Dim_Reps!B:B)</f>
        <v>Noah Adler</v>
      </c>
      <c r="P5526" t="str">
        <f>_xlfn.XLOOKUP(Pipeline_tbl[[#This Row],[Rep_ID]],Dim_Reps!A:A,Dim_Reps!C:C)</f>
        <v>SDR / Inside Sales Rep</v>
      </c>
      <c r="Q5526" t="str">
        <f>_xlfn.XLOOKUP(Pipeline_tbl[[#This Row],[Rep_ID]],Dim_Reps!A:A,Dim_Reps!D:D)</f>
        <v>Inside Sales</v>
      </c>
      <c r="R5526" t="str">
        <f>_xlfn.XLOOKUP(Pipeline_tbl[[#This Row],[Rep_ID]],Dim_Reps!A:A,Dim_Reps!E:E)</f>
        <v>NAMER</v>
      </c>
      <c r="S5526" t="str">
        <f>_xlfn.XLOOKUP(Pipeline_tbl[[#This Row],[Created_Date]],Dim_Date!A:A,Dim_Date!H:H)</f>
        <v>Dec 2025</v>
      </c>
      <c r="T5526" t="str">
        <f>IF(Pipeline_tbl[[#This Row],[Closed_Date]]=0,"",(_xlfn.XLOOKUP(Pipeline_tbl[[#This Row],[Closed_Date]],Dim_Date!A:A,Dim_Date!H:H)))</f>
        <v>Dec 2025</v>
      </c>
      <c r="U5526">
        <f>IF(Pipeline_tbl[[#This Row],[Closed_Date]]=0,"",Pipeline_tbl[[#This Row],[Closed_Date]]-Pipeline_tbl[[#This Row],[Created_Date]])</f>
        <v>19</v>
      </c>
    </row>
    <row r="5527" spans="1:21" ht="15" customHeight="1" x14ac:dyDescent="0.2">
      <c r="A5527" t="s">
        <v>5833</v>
      </c>
      <c r="B5527" t="s">
        <v>239</v>
      </c>
      <c r="C5527" t="s">
        <v>52</v>
      </c>
      <c r="D5527" s="49">
        <v>45995</v>
      </c>
      <c r="E5527" s="49">
        <v>45997</v>
      </c>
      <c r="F5527" s="49">
        <v>46001</v>
      </c>
      <c r="G5527" s="49">
        <v>46006</v>
      </c>
      <c r="I5527" s="49">
        <v>46014</v>
      </c>
      <c r="J5527" t="s">
        <v>49</v>
      </c>
      <c r="K5527" s="33">
        <v>3300</v>
      </c>
      <c r="L5527" t="s">
        <v>62</v>
      </c>
      <c r="M5527" t="str">
        <f>_xlfn.XLOOKUP(Pipeline_tbl[[#This Row],[Rep_ID]],Dim_Reps!A:A,Dim_Reps!K:K)</f>
        <v>USD</v>
      </c>
      <c r="N5527" s="33">
        <f>(_xlfn.XLOOKUP(Pipeline_tbl[[#This Row],[Rate_Code_Generalized]],Lookups!A:A,Lookups!B:B))*Pipeline_tbl[[#This Row],[Pipeline_Amount_USD]]</f>
        <v>3842.1899999999996</v>
      </c>
      <c r="O5527" t="str">
        <f>_xlfn.XLOOKUP(Pipeline_tbl[[#This Row],[Rep_ID]],Dim_Reps!A:A,Dim_Reps!B:B)</f>
        <v>Noah Adler</v>
      </c>
      <c r="P5527" t="str">
        <f>_xlfn.XLOOKUP(Pipeline_tbl[[#This Row],[Rep_ID]],Dim_Reps!A:A,Dim_Reps!C:C)</f>
        <v>SDR / Inside Sales Rep</v>
      </c>
      <c r="Q5527" t="str">
        <f>_xlfn.XLOOKUP(Pipeline_tbl[[#This Row],[Rep_ID]],Dim_Reps!A:A,Dim_Reps!D:D)</f>
        <v>Inside Sales</v>
      </c>
      <c r="R5527" t="str">
        <f>_xlfn.XLOOKUP(Pipeline_tbl[[#This Row],[Rep_ID]],Dim_Reps!A:A,Dim_Reps!E:E)</f>
        <v>NAMER</v>
      </c>
      <c r="S5527" t="str">
        <f>_xlfn.XLOOKUP(Pipeline_tbl[[#This Row],[Created_Date]],Dim_Date!A:A,Dim_Date!H:H)</f>
        <v>Dec 2025</v>
      </c>
      <c r="T5527" t="str">
        <f>IF(Pipeline_tbl[[#This Row],[Closed_Date]]=0,"",(_xlfn.XLOOKUP(Pipeline_tbl[[#This Row],[Closed_Date]],Dim_Date!A:A,Dim_Date!H:H)))</f>
        <v>Dec 2025</v>
      </c>
      <c r="U5527">
        <f>IF(Pipeline_tbl[[#This Row],[Closed_Date]]=0,"",Pipeline_tbl[[#This Row],[Closed_Date]]-Pipeline_tbl[[#This Row],[Created_Date]])</f>
        <v>19</v>
      </c>
    </row>
    <row r="5528" spans="1:21" ht="15" customHeight="1" x14ac:dyDescent="0.2">
      <c r="A5528" t="s">
        <v>5834</v>
      </c>
      <c r="B5528" t="s">
        <v>271</v>
      </c>
      <c r="C5528" t="s">
        <v>52</v>
      </c>
      <c r="D5528" s="49">
        <v>45993</v>
      </c>
      <c r="E5528" s="49">
        <v>45996</v>
      </c>
      <c r="F5528" s="49">
        <v>46002</v>
      </c>
      <c r="G5528" s="49">
        <v>46010</v>
      </c>
      <c r="I5528" s="49">
        <v>46022</v>
      </c>
      <c r="J5528" t="s">
        <v>49</v>
      </c>
      <c r="K5528" s="33">
        <v>7600</v>
      </c>
      <c r="L5528" t="s">
        <v>62</v>
      </c>
      <c r="M5528" t="str">
        <f>_xlfn.XLOOKUP(Pipeline_tbl[[#This Row],[Rep_ID]],Dim_Reps!A:A,Dim_Reps!K:K)</f>
        <v>EUR</v>
      </c>
      <c r="N5528" s="33">
        <f>(_xlfn.XLOOKUP(Pipeline_tbl[[#This Row],[Rate_Code_Generalized]],Lookups!A:A,Lookups!B:B))*Pipeline_tbl[[#This Row],[Pipeline_Amount_USD]]</f>
        <v>7600</v>
      </c>
      <c r="O5528" t="str">
        <f>_xlfn.XLOOKUP(Pipeline_tbl[[#This Row],[Rep_ID]],Dim_Reps!A:A,Dim_Reps!B:B)</f>
        <v>Ivy Adler</v>
      </c>
      <c r="P5528" t="str">
        <f>_xlfn.XLOOKUP(Pipeline_tbl[[#This Row],[Rep_ID]],Dim_Reps!A:A,Dim_Reps!C:C)</f>
        <v>Mid-Market AE</v>
      </c>
      <c r="Q5528" t="str">
        <f>_xlfn.XLOOKUP(Pipeline_tbl[[#This Row],[Rep_ID]],Dim_Reps!A:A,Dim_Reps!D:D)</f>
        <v>Mid-Market</v>
      </c>
      <c r="R5528" t="str">
        <f>_xlfn.XLOOKUP(Pipeline_tbl[[#This Row],[Rep_ID]],Dim_Reps!A:A,Dim_Reps!E:E)</f>
        <v>APAC</v>
      </c>
      <c r="S5528" t="str">
        <f>_xlfn.XLOOKUP(Pipeline_tbl[[#This Row],[Created_Date]],Dim_Date!A:A,Dim_Date!H:H)</f>
        <v>Dec 2025</v>
      </c>
      <c r="T5528" t="str">
        <f>IF(Pipeline_tbl[[#This Row],[Closed_Date]]=0,"",(_xlfn.XLOOKUP(Pipeline_tbl[[#This Row],[Closed_Date]],Dim_Date!A:A,Dim_Date!H:H)))</f>
        <v>Dec 2025</v>
      </c>
      <c r="U5528">
        <f>IF(Pipeline_tbl[[#This Row],[Closed_Date]]=0,"",Pipeline_tbl[[#This Row],[Closed_Date]]-Pipeline_tbl[[#This Row],[Created_Date]])</f>
        <v>29</v>
      </c>
    </row>
    <row r="5529" spans="1:21" ht="15" customHeight="1" x14ac:dyDescent="0.2">
      <c r="A5529" t="s">
        <v>5835</v>
      </c>
      <c r="B5529" t="s">
        <v>271</v>
      </c>
      <c r="C5529" t="s">
        <v>55</v>
      </c>
      <c r="D5529" s="49">
        <v>45992</v>
      </c>
      <c r="E5529" s="49">
        <v>45994</v>
      </c>
      <c r="F5529" s="49">
        <v>45998</v>
      </c>
      <c r="I5529" s="49">
        <v>46013</v>
      </c>
      <c r="J5529" t="s">
        <v>49</v>
      </c>
      <c r="K5529" s="33">
        <v>11000</v>
      </c>
      <c r="L5529" t="s">
        <v>60</v>
      </c>
      <c r="M5529" t="str">
        <f>_xlfn.XLOOKUP(Pipeline_tbl[[#This Row],[Rep_ID]],Dim_Reps!A:A,Dim_Reps!K:K)</f>
        <v>EUR</v>
      </c>
      <c r="N5529" s="33">
        <f>(_xlfn.XLOOKUP(Pipeline_tbl[[#This Row],[Rate_Code_Generalized]],Lookups!A:A,Lookups!B:B))*Pipeline_tbl[[#This Row],[Pipeline_Amount_USD]]</f>
        <v>11000</v>
      </c>
      <c r="O5529" t="str">
        <f>_xlfn.XLOOKUP(Pipeline_tbl[[#This Row],[Rep_ID]],Dim_Reps!A:A,Dim_Reps!B:B)</f>
        <v>Ivy Adler</v>
      </c>
      <c r="P5529" t="str">
        <f>_xlfn.XLOOKUP(Pipeline_tbl[[#This Row],[Rep_ID]],Dim_Reps!A:A,Dim_Reps!C:C)</f>
        <v>Mid-Market AE</v>
      </c>
      <c r="Q5529" t="str">
        <f>_xlfn.XLOOKUP(Pipeline_tbl[[#This Row],[Rep_ID]],Dim_Reps!A:A,Dim_Reps!D:D)</f>
        <v>Mid-Market</v>
      </c>
      <c r="R5529" t="str">
        <f>_xlfn.XLOOKUP(Pipeline_tbl[[#This Row],[Rep_ID]],Dim_Reps!A:A,Dim_Reps!E:E)</f>
        <v>APAC</v>
      </c>
      <c r="S5529" t="str">
        <f>_xlfn.XLOOKUP(Pipeline_tbl[[#This Row],[Created_Date]],Dim_Date!A:A,Dim_Date!H:H)</f>
        <v>Dec 2025</v>
      </c>
      <c r="T5529" t="str">
        <f>IF(Pipeline_tbl[[#This Row],[Closed_Date]]=0,"",(_xlfn.XLOOKUP(Pipeline_tbl[[#This Row],[Closed_Date]],Dim_Date!A:A,Dim_Date!H:H)))</f>
        <v>Dec 2025</v>
      </c>
      <c r="U5529">
        <f>IF(Pipeline_tbl[[#This Row],[Closed_Date]]=0,"",Pipeline_tbl[[#This Row],[Closed_Date]]-Pipeline_tbl[[#This Row],[Created_Date]])</f>
        <v>21</v>
      </c>
    </row>
    <row r="5530" spans="1:21" ht="15" customHeight="1" x14ac:dyDescent="0.2">
      <c r="A5530" t="s">
        <v>5836</v>
      </c>
      <c r="B5530" t="s">
        <v>241</v>
      </c>
      <c r="C5530" t="s">
        <v>52</v>
      </c>
      <c r="D5530" s="49">
        <v>46009</v>
      </c>
      <c r="E5530" s="49">
        <v>46010</v>
      </c>
      <c r="F5530" s="49">
        <v>46013</v>
      </c>
      <c r="I5530" s="49">
        <v>46021</v>
      </c>
      <c r="J5530" t="s">
        <v>49</v>
      </c>
      <c r="K5530" s="33">
        <v>3400</v>
      </c>
      <c r="L5530" t="s">
        <v>62</v>
      </c>
      <c r="M5530" t="str">
        <f>_xlfn.XLOOKUP(Pipeline_tbl[[#This Row],[Rep_ID]],Dim_Reps!A:A,Dim_Reps!K:K)</f>
        <v>EUR</v>
      </c>
      <c r="N5530" s="33">
        <f>(_xlfn.XLOOKUP(Pipeline_tbl[[#This Row],[Rate_Code_Generalized]],Lookups!A:A,Lookups!B:B))*Pipeline_tbl[[#This Row],[Pipeline_Amount_USD]]</f>
        <v>3400</v>
      </c>
      <c r="O5530" t="str">
        <f>_xlfn.XLOOKUP(Pipeline_tbl[[#This Row],[Rep_ID]],Dim_Reps!A:A,Dim_Reps!B:B)</f>
        <v>Kenji Weber</v>
      </c>
      <c r="P5530" t="str">
        <f>_xlfn.XLOOKUP(Pipeline_tbl[[#This Row],[Rep_ID]],Dim_Reps!A:A,Dim_Reps!C:C)</f>
        <v>SDR / Inside Sales Rep</v>
      </c>
      <c r="Q5530" t="str">
        <f>_xlfn.XLOOKUP(Pipeline_tbl[[#This Row],[Rep_ID]],Dim_Reps!A:A,Dim_Reps!D:D)</f>
        <v>Inside Sales</v>
      </c>
      <c r="R5530" t="str">
        <f>_xlfn.XLOOKUP(Pipeline_tbl[[#This Row],[Rep_ID]],Dim_Reps!A:A,Dim_Reps!E:E)</f>
        <v>APAC</v>
      </c>
      <c r="S5530" t="str">
        <f>_xlfn.XLOOKUP(Pipeline_tbl[[#This Row],[Created_Date]],Dim_Date!A:A,Dim_Date!H:H)</f>
        <v>Dec 2025</v>
      </c>
      <c r="T5530" t="str">
        <f>IF(Pipeline_tbl[[#This Row],[Closed_Date]]=0,"",(_xlfn.XLOOKUP(Pipeline_tbl[[#This Row],[Closed_Date]],Dim_Date!A:A,Dim_Date!H:H)))</f>
        <v>Dec 2025</v>
      </c>
      <c r="U5530">
        <f>IF(Pipeline_tbl[[#This Row],[Closed_Date]]=0,"",Pipeline_tbl[[#This Row],[Closed_Date]]-Pipeline_tbl[[#This Row],[Created_Date]])</f>
        <v>12</v>
      </c>
    </row>
    <row r="5531" spans="1:21" ht="15" customHeight="1" x14ac:dyDescent="0.2">
      <c r="A5531" t="s">
        <v>5837</v>
      </c>
      <c r="B5531" t="s">
        <v>241</v>
      </c>
      <c r="C5531" t="s">
        <v>53</v>
      </c>
      <c r="D5531" s="49">
        <v>45995</v>
      </c>
      <c r="E5531" s="49">
        <v>45997</v>
      </c>
      <c r="F5531" s="49">
        <v>46000</v>
      </c>
      <c r="G5531" s="49">
        <v>46005</v>
      </c>
      <c r="H5531" s="49">
        <v>46009</v>
      </c>
      <c r="I5531" s="49">
        <v>46012</v>
      </c>
      <c r="J5531" t="s">
        <v>47</v>
      </c>
      <c r="K5531" s="33">
        <v>4900</v>
      </c>
      <c r="M5531" t="str">
        <f>_xlfn.XLOOKUP(Pipeline_tbl[[#This Row],[Rep_ID]],Dim_Reps!A:A,Dim_Reps!K:K)</f>
        <v>EUR</v>
      </c>
      <c r="N5531" s="33">
        <f>(_xlfn.XLOOKUP(Pipeline_tbl[[#This Row],[Rate_Code_Generalized]],Lookups!A:A,Lookups!B:B))*Pipeline_tbl[[#This Row],[Pipeline_Amount_USD]]</f>
        <v>4900</v>
      </c>
      <c r="O5531" t="str">
        <f>_xlfn.XLOOKUP(Pipeline_tbl[[#This Row],[Rep_ID]],Dim_Reps!A:A,Dim_Reps!B:B)</f>
        <v>Kenji Weber</v>
      </c>
      <c r="P5531" t="str">
        <f>_xlfn.XLOOKUP(Pipeline_tbl[[#This Row],[Rep_ID]],Dim_Reps!A:A,Dim_Reps!C:C)</f>
        <v>SDR / Inside Sales Rep</v>
      </c>
      <c r="Q5531" t="str">
        <f>_xlfn.XLOOKUP(Pipeline_tbl[[#This Row],[Rep_ID]],Dim_Reps!A:A,Dim_Reps!D:D)</f>
        <v>Inside Sales</v>
      </c>
      <c r="R5531" t="str">
        <f>_xlfn.XLOOKUP(Pipeline_tbl[[#This Row],[Rep_ID]],Dim_Reps!A:A,Dim_Reps!E:E)</f>
        <v>APAC</v>
      </c>
      <c r="S5531" t="str">
        <f>_xlfn.XLOOKUP(Pipeline_tbl[[#This Row],[Created_Date]],Dim_Date!A:A,Dim_Date!H:H)</f>
        <v>Dec 2025</v>
      </c>
      <c r="T5531" t="str">
        <f>IF(Pipeline_tbl[[#This Row],[Closed_Date]]=0,"",(_xlfn.XLOOKUP(Pipeline_tbl[[#This Row],[Closed_Date]],Dim_Date!A:A,Dim_Date!H:H)))</f>
        <v>Dec 2025</v>
      </c>
      <c r="U5531">
        <f>IF(Pipeline_tbl[[#This Row],[Closed_Date]]=0,"",Pipeline_tbl[[#This Row],[Closed_Date]]-Pipeline_tbl[[#This Row],[Created_Date]])</f>
        <v>17</v>
      </c>
    </row>
    <row r="5532" spans="1:21" ht="15" customHeight="1" x14ac:dyDescent="0.2">
      <c r="A5532" t="s">
        <v>5838</v>
      </c>
      <c r="B5532" t="s">
        <v>241</v>
      </c>
      <c r="C5532" t="s">
        <v>54</v>
      </c>
      <c r="D5532" s="49">
        <v>45997</v>
      </c>
      <c r="E5532" s="49">
        <v>45999</v>
      </c>
      <c r="F5532" s="49">
        <v>46002</v>
      </c>
      <c r="G5532" s="49">
        <v>46008</v>
      </c>
      <c r="H5532" s="49">
        <v>46012</v>
      </c>
      <c r="I5532" s="49">
        <v>46015</v>
      </c>
      <c r="J5532" t="s">
        <v>47</v>
      </c>
      <c r="K5532" s="33">
        <v>5600</v>
      </c>
      <c r="M5532" t="str">
        <f>_xlfn.XLOOKUP(Pipeline_tbl[[#This Row],[Rep_ID]],Dim_Reps!A:A,Dim_Reps!K:K)</f>
        <v>EUR</v>
      </c>
      <c r="N5532" s="33">
        <f>(_xlfn.XLOOKUP(Pipeline_tbl[[#This Row],[Rate_Code_Generalized]],Lookups!A:A,Lookups!B:B))*Pipeline_tbl[[#This Row],[Pipeline_Amount_USD]]</f>
        <v>5600</v>
      </c>
      <c r="O5532" t="str">
        <f>_xlfn.XLOOKUP(Pipeline_tbl[[#This Row],[Rep_ID]],Dim_Reps!A:A,Dim_Reps!B:B)</f>
        <v>Kenji Weber</v>
      </c>
      <c r="P5532" t="str">
        <f>_xlfn.XLOOKUP(Pipeline_tbl[[#This Row],[Rep_ID]],Dim_Reps!A:A,Dim_Reps!C:C)</f>
        <v>SDR / Inside Sales Rep</v>
      </c>
      <c r="Q5532" t="str">
        <f>_xlfn.XLOOKUP(Pipeline_tbl[[#This Row],[Rep_ID]],Dim_Reps!A:A,Dim_Reps!D:D)</f>
        <v>Inside Sales</v>
      </c>
      <c r="R5532" t="str">
        <f>_xlfn.XLOOKUP(Pipeline_tbl[[#This Row],[Rep_ID]],Dim_Reps!A:A,Dim_Reps!E:E)</f>
        <v>APAC</v>
      </c>
      <c r="S5532" t="str">
        <f>_xlfn.XLOOKUP(Pipeline_tbl[[#This Row],[Created_Date]],Dim_Date!A:A,Dim_Date!H:H)</f>
        <v>Dec 2025</v>
      </c>
      <c r="T5532" t="str">
        <f>IF(Pipeline_tbl[[#This Row],[Closed_Date]]=0,"",(_xlfn.XLOOKUP(Pipeline_tbl[[#This Row],[Closed_Date]],Dim_Date!A:A,Dim_Date!H:H)))</f>
        <v>Dec 2025</v>
      </c>
      <c r="U5532">
        <f>IF(Pipeline_tbl[[#This Row],[Closed_Date]]=0,"",Pipeline_tbl[[#This Row],[Closed_Date]]-Pipeline_tbl[[#This Row],[Created_Date]])</f>
        <v>18</v>
      </c>
    </row>
    <row r="5533" spans="1:21" ht="15" customHeight="1" x14ac:dyDescent="0.2">
      <c r="A5533" t="s">
        <v>5839</v>
      </c>
      <c r="B5533" t="s">
        <v>241</v>
      </c>
      <c r="C5533" t="s">
        <v>52</v>
      </c>
      <c r="D5533" s="49">
        <v>46012</v>
      </c>
      <c r="E5533" s="49">
        <v>46013</v>
      </c>
      <c r="F5533" s="49">
        <v>46015</v>
      </c>
      <c r="G5533" s="49">
        <v>46017</v>
      </c>
      <c r="I5533" s="49">
        <v>46021</v>
      </c>
      <c r="J5533" t="s">
        <v>49</v>
      </c>
      <c r="K5533" s="33">
        <v>6000</v>
      </c>
      <c r="L5533" t="s">
        <v>60</v>
      </c>
      <c r="M5533" t="str">
        <f>_xlfn.XLOOKUP(Pipeline_tbl[[#This Row],[Rep_ID]],Dim_Reps!A:A,Dim_Reps!K:K)</f>
        <v>EUR</v>
      </c>
      <c r="N5533" s="33">
        <f>(_xlfn.XLOOKUP(Pipeline_tbl[[#This Row],[Rate_Code_Generalized]],Lookups!A:A,Lookups!B:B))*Pipeline_tbl[[#This Row],[Pipeline_Amount_USD]]</f>
        <v>6000</v>
      </c>
      <c r="O5533" t="str">
        <f>_xlfn.XLOOKUP(Pipeline_tbl[[#This Row],[Rep_ID]],Dim_Reps!A:A,Dim_Reps!B:B)</f>
        <v>Kenji Weber</v>
      </c>
      <c r="P5533" t="str">
        <f>_xlfn.XLOOKUP(Pipeline_tbl[[#This Row],[Rep_ID]],Dim_Reps!A:A,Dim_Reps!C:C)</f>
        <v>SDR / Inside Sales Rep</v>
      </c>
      <c r="Q5533" t="str">
        <f>_xlfn.XLOOKUP(Pipeline_tbl[[#This Row],[Rep_ID]],Dim_Reps!A:A,Dim_Reps!D:D)</f>
        <v>Inside Sales</v>
      </c>
      <c r="R5533" t="str">
        <f>_xlfn.XLOOKUP(Pipeline_tbl[[#This Row],[Rep_ID]],Dim_Reps!A:A,Dim_Reps!E:E)</f>
        <v>APAC</v>
      </c>
      <c r="S5533" t="str">
        <f>_xlfn.XLOOKUP(Pipeline_tbl[[#This Row],[Created_Date]],Dim_Date!A:A,Dim_Date!H:H)</f>
        <v>Dec 2025</v>
      </c>
      <c r="T5533" t="str">
        <f>IF(Pipeline_tbl[[#This Row],[Closed_Date]]=0,"",(_xlfn.XLOOKUP(Pipeline_tbl[[#This Row],[Closed_Date]],Dim_Date!A:A,Dim_Date!H:H)))</f>
        <v>Dec 2025</v>
      </c>
      <c r="U5533">
        <f>IF(Pipeline_tbl[[#This Row],[Closed_Date]]=0,"",Pipeline_tbl[[#This Row],[Closed_Date]]-Pipeline_tbl[[#This Row],[Created_Date]])</f>
        <v>9</v>
      </c>
    </row>
    <row r="5534" spans="1:21" ht="15" customHeight="1" x14ac:dyDescent="0.2">
      <c r="A5534" t="s">
        <v>5840</v>
      </c>
      <c r="B5534" t="s">
        <v>241</v>
      </c>
      <c r="C5534" t="s">
        <v>56</v>
      </c>
      <c r="D5534" s="49">
        <v>45994</v>
      </c>
      <c r="E5534" s="49">
        <v>45996</v>
      </c>
      <c r="F5534" s="49">
        <v>46000</v>
      </c>
      <c r="G5534" s="49">
        <v>46007</v>
      </c>
      <c r="I5534" s="49">
        <v>46015</v>
      </c>
      <c r="J5534" t="s">
        <v>49</v>
      </c>
      <c r="K5534" s="33">
        <v>1800</v>
      </c>
      <c r="L5534" t="s">
        <v>61</v>
      </c>
      <c r="M5534" t="str">
        <f>_xlfn.XLOOKUP(Pipeline_tbl[[#This Row],[Rep_ID]],Dim_Reps!A:A,Dim_Reps!K:K)</f>
        <v>EUR</v>
      </c>
      <c r="N5534" s="33">
        <f>(_xlfn.XLOOKUP(Pipeline_tbl[[#This Row],[Rate_Code_Generalized]],Lookups!A:A,Lookups!B:B))*Pipeline_tbl[[#This Row],[Pipeline_Amount_USD]]</f>
        <v>1800</v>
      </c>
      <c r="O5534" t="str">
        <f>_xlfn.XLOOKUP(Pipeline_tbl[[#This Row],[Rep_ID]],Dim_Reps!A:A,Dim_Reps!B:B)</f>
        <v>Kenji Weber</v>
      </c>
      <c r="P5534" t="str">
        <f>_xlfn.XLOOKUP(Pipeline_tbl[[#This Row],[Rep_ID]],Dim_Reps!A:A,Dim_Reps!C:C)</f>
        <v>SDR / Inside Sales Rep</v>
      </c>
      <c r="Q5534" t="str">
        <f>_xlfn.XLOOKUP(Pipeline_tbl[[#This Row],[Rep_ID]],Dim_Reps!A:A,Dim_Reps!D:D)</f>
        <v>Inside Sales</v>
      </c>
      <c r="R5534" t="str">
        <f>_xlfn.XLOOKUP(Pipeline_tbl[[#This Row],[Rep_ID]],Dim_Reps!A:A,Dim_Reps!E:E)</f>
        <v>APAC</v>
      </c>
      <c r="S5534" t="str">
        <f>_xlfn.XLOOKUP(Pipeline_tbl[[#This Row],[Created_Date]],Dim_Date!A:A,Dim_Date!H:H)</f>
        <v>Dec 2025</v>
      </c>
      <c r="T5534" t="str">
        <f>IF(Pipeline_tbl[[#This Row],[Closed_Date]]=0,"",(_xlfn.XLOOKUP(Pipeline_tbl[[#This Row],[Closed_Date]],Dim_Date!A:A,Dim_Date!H:H)))</f>
        <v>Dec 2025</v>
      </c>
      <c r="U5534">
        <f>IF(Pipeline_tbl[[#This Row],[Closed_Date]]=0,"",Pipeline_tbl[[#This Row],[Closed_Date]]-Pipeline_tbl[[#This Row],[Created_Date]])</f>
        <v>21</v>
      </c>
    </row>
    <row r="5535" spans="1:21" ht="15" customHeight="1" x14ac:dyDescent="0.2">
      <c r="A5535" t="s">
        <v>5841</v>
      </c>
      <c r="B5535" t="s">
        <v>278</v>
      </c>
      <c r="C5535" t="s">
        <v>53</v>
      </c>
      <c r="D5535" s="49">
        <v>45652</v>
      </c>
      <c r="E5535" s="49">
        <v>45662</v>
      </c>
      <c r="F5535" s="49">
        <v>45683</v>
      </c>
      <c r="G5535" s="49">
        <v>45713</v>
      </c>
      <c r="H5535" s="49">
        <v>45739</v>
      </c>
      <c r="I5535" s="49">
        <v>45754</v>
      </c>
      <c r="J5535" t="s">
        <v>47</v>
      </c>
      <c r="K5535" s="33">
        <v>39600</v>
      </c>
      <c r="M5535" t="str">
        <f>_xlfn.XLOOKUP(Pipeline_tbl[[#This Row],[Rep_ID]],Dim_Reps!A:A,Dim_Reps!K:K)</f>
        <v>EUR</v>
      </c>
      <c r="N5535" s="33">
        <f>(_xlfn.XLOOKUP(Pipeline_tbl[[#This Row],[Rate_Code_Generalized]],Lookups!A:A,Lookups!B:B))*Pipeline_tbl[[#This Row],[Pipeline_Amount_USD]]</f>
        <v>39600</v>
      </c>
      <c r="O5535" t="str">
        <f>_xlfn.XLOOKUP(Pipeline_tbl[[#This Row],[Rep_ID]],Dim_Reps!A:A,Dim_Reps!B:B)</f>
        <v>Sara Andersson</v>
      </c>
      <c r="P5535" t="str">
        <f>_xlfn.XLOOKUP(Pipeline_tbl[[#This Row],[Rep_ID]],Dim_Reps!A:A,Dim_Reps!C:C)</f>
        <v>Senior Enterprise AE</v>
      </c>
      <c r="Q5535" t="str">
        <f>_xlfn.XLOOKUP(Pipeline_tbl[[#This Row],[Rep_ID]],Dim_Reps!A:A,Dim_Reps!D:D)</f>
        <v>Strategic</v>
      </c>
      <c r="R5535" t="str">
        <f>_xlfn.XLOOKUP(Pipeline_tbl[[#This Row],[Rep_ID]],Dim_Reps!A:A,Dim_Reps!E:E)</f>
        <v>APAC</v>
      </c>
      <c r="S5535" t="str">
        <f>_xlfn.XLOOKUP(Pipeline_tbl[[#This Row],[Created_Date]],Dim_Date!A:A,Dim_Date!H:H)</f>
        <v>Dec 2024</v>
      </c>
      <c r="T5535" t="str">
        <f>IF(Pipeline_tbl[[#This Row],[Closed_Date]]=0,"",(_xlfn.XLOOKUP(Pipeline_tbl[[#This Row],[Closed_Date]],Dim_Date!A:A,Dim_Date!H:H)))</f>
        <v>Apr 2025</v>
      </c>
      <c r="U5535">
        <f>IF(Pipeline_tbl[[#This Row],[Closed_Date]]=0,"",Pipeline_tbl[[#This Row],[Closed_Date]]-Pipeline_tbl[[#This Row],[Created_Date]])</f>
        <v>102</v>
      </c>
    </row>
    <row r="5536" spans="1:21" ht="15" customHeight="1" x14ac:dyDescent="0.2">
      <c r="A5536" t="s">
        <v>5842</v>
      </c>
      <c r="B5536" t="s">
        <v>280</v>
      </c>
      <c r="C5536" t="s">
        <v>53</v>
      </c>
      <c r="D5536" s="49">
        <v>45654</v>
      </c>
      <c r="E5536" s="49">
        <v>45666</v>
      </c>
      <c r="F5536" s="49">
        <v>45689</v>
      </c>
      <c r="G5536" s="49">
        <v>45724</v>
      </c>
      <c r="I5536" s="49">
        <v>45771</v>
      </c>
      <c r="J5536" t="s">
        <v>49</v>
      </c>
      <c r="K5536" s="33">
        <v>24800</v>
      </c>
      <c r="L5536" t="s">
        <v>61</v>
      </c>
      <c r="M5536" t="str">
        <f>_xlfn.XLOOKUP(Pipeline_tbl[[#This Row],[Rep_ID]],Dim_Reps!A:A,Dim_Reps!K:K)</f>
        <v>MXN</v>
      </c>
      <c r="N5536" s="33">
        <f>(_xlfn.XLOOKUP(Pipeline_tbl[[#This Row],[Rate_Code_Generalized]],Lookups!A:A,Lookups!B:B))*Pipeline_tbl[[#This Row],[Pipeline_Amount_USD]]</f>
        <v>489370.96</v>
      </c>
      <c r="O5536" t="str">
        <f>_xlfn.XLOOKUP(Pipeline_tbl[[#This Row],[Rep_ID]],Dim_Reps!A:A,Dim_Reps!B:B)</f>
        <v>Cameron Lund</v>
      </c>
      <c r="P5536" t="str">
        <f>_xlfn.XLOOKUP(Pipeline_tbl[[#This Row],[Rep_ID]],Dim_Reps!A:A,Dim_Reps!C:C)</f>
        <v>Senior Enterprise AE</v>
      </c>
      <c r="Q5536" t="str">
        <f>_xlfn.XLOOKUP(Pipeline_tbl[[#This Row],[Rep_ID]],Dim_Reps!A:A,Dim_Reps!D:D)</f>
        <v>Strategic</v>
      </c>
      <c r="R5536" t="str">
        <f>_xlfn.XLOOKUP(Pipeline_tbl[[#This Row],[Rep_ID]],Dim_Reps!A:A,Dim_Reps!E:E)</f>
        <v>LATAM</v>
      </c>
      <c r="S5536" t="str">
        <f>_xlfn.XLOOKUP(Pipeline_tbl[[#This Row],[Created_Date]],Dim_Date!A:A,Dim_Date!H:H)</f>
        <v>Dec 2024</v>
      </c>
      <c r="T5536" t="str">
        <f>IF(Pipeline_tbl[[#This Row],[Closed_Date]]=0,"",(_xlfn.XLOOKUP(Pipeline_tbl[[#This Row],[Closed_Date]],Dim_Date!A:A,Dim_Date!H:H)))</f>
        <v>Apr 2025</v>
      </c>
      <c r="U5536">
        <f>IF(Pipeline_tbl[[#This Row],[Closed_Date]]=0,"",Pipeline_tbl[[#This Row],[Closed_Date]]-Pipeline_tbl[[#This Row],[Created_Date]])</f>
        <v>117</v>
      </c>
    </row>
    <row r="5537" spans="1:21" ht="15" customHeight="1" x14ac:dyDescent="0.2">
      <c r="A5537" t="s">
        <v>5843</v>
      </c>
      <c r="B5537" t="s">
        <v>284</v>
      </c>
      <c r="C5537" t="s">
        <v>54</v>
      </c>
      <c r="D5537" s="49">
        <v>45636</v>
      </c>
      <c r="E5537" s="49">
        <v>45649</v>
      </c>
      <c r="F5537" s="49">
        <v>45674</v>
      </c>
      <c r="G5537" s="49">
        <v>45712</v>
      </c>
      <c r="H5537" s="49">
        <v>45744</v>
      </c>
      <c r="I5537" s="49">
        <v>45763</v>
      </c>
      <c r="J5537" t="s">
        <v>49</v>
      </c>
      <c r="K5537" s="33">
        <v>50500</v>
      </c>
      <c r="L5537" t="s">
        <v>60</v>
      </c>
      <c r="M5537" t="str">
        <f>_xlfn.XLOOKUP(Pipeline_tbl[[#This Row],[Rep_ID]],Dim_Reps!A:A,Dim_Reps!K:K)</f>
        <v>USD</v>
      </c>
      <c r="N5537" s="33">
        <f>(_xlfn.XLOOKUP(Pipeline_tbl[[#This Row],[Rate_Code_Generalized]],Lookups!A:A,Lookups!B:B))*Pipeline_tbl[[#This Row],[Pipeline_Amount_USD]]</f>
        <v>58797.149999999994</v>
      </c>
      <c r="O5537" t="str">
        <f>_xlfn.XLOOKUP(Pipeline_tbl[[#This Row],[Rep_ID]],Dim_Reps!A:A,Dim_Reps!B:B)</f>
        <v>Taylor Adler</v>
      </c>
      <c r="P5537" t="str">
        <f>_xlfn.XLOOKUP(Pipeline_tbl[[#This Row],[Rep_ID]],Dim_Reps!A:A,Dim_Reps!C:C)</f>
        <v>Senior Enterprise AE</v>
      </c>
      <c r="Q5537" t="str">
        <f>_xlfn.XLOOKUP(Pipeline_tbl[[#This Row],[Rep_ID]],Dim_Reps!A:A,Dim_Reps!D:D)</f>
        <v>Strategic</v>
      </c>
      <c r="R5537" t="str">
        <f>_xlfn.XLOOKUP(Pipeline_tbl[[#This Row],[Rep_ID]],Dim_Reps!A:A,Dim_Reps!E:E)</f>
        <v>NAMER</v>
      </c>
      <c r="S5537" t="str">
        <f>_xlfn.XLOOKUP(Pipeline_tbl[[#This Row],[Created_Date]],Dim_Date!A:A,Dim_Date!H:H)</f>
        <v>Dec 2024</v>
      </c>
      <c r="T5537" t="str">
        <f>IF(Pipeline_tbl[[#This Row],[Closed_Date]]=0,"",(_xlfn.XLOOKUP(Pipeline_tbl[[#This Row],[Closed_Date]],Dim_Date!A:A,Dim_Date!H:H)))</f>
        <v>Apr 2025</v>
      </c>
      <c r="U5537">
        <f>IF(Pipeline_tbl[[#This Row],[Closed_Date]]=0,"",Pipeline_tbl[[#This Row],[Closed_Date]]-Pipeline_tbl[[#This Row],[Created_Date]])</f>
        <v>127</v>
      </c>
    </row>
    <row r="5538" spans="1:21" ht="15" customHeight="1" x14ac:dyDescent="0.2">
      <c r="A5538" t="s">
        <v>5844</v>
      </c>
      <c r="B5538" t="s">
        <v>193</v>
      </c>
      <c r="C5538" t="s">
        <v>55</v>
      </c>
      <c r="D5538" s="49">
        <v>45638</v>
      </c>
      <c r="E5538" s="49">
        <v>45639</v>
      </c>
      <c r="F5538" s="49">
        <v>45641</v>
      </c>
      <c r="I5538" s="49">
        <v>45648</v>
      </c>
      <c r="J5538" t="s">
        <v>49</v>
      </c>
      <c r="K5538" s="33">
        <v>3900</v>
      </c>
      <c r="L5538" t="s">
        <v>62</v>
      </c>
      <c r="M5538" t="str">
        <f>_xlfn.XLOOKUP(Pipeline_tbl[[#This Row],[Rep_ID]],Dim_Reps!A:A,Dim_Reps!K:K)</f>
        <v>USD</v>
      </c>
      <c r="N5538" s="33">
        <f>(_xlfn.XLOOKUP(Pipeline_tbl[[#This Row],[Rate_Code_Generalized]],Lookups!A:A,Lookups!B:B))*Pipeline_tbl[[#This Row],[Pipeline_Amount_USD]]</f>
        <v>4540.7699999999995</v>
      </c>
      <c r="O5538" t="str">
        <f>_xlfn.XLOOKUP(Pipeline_tbl[[#This Row],[Rep_ID]],Dim_Reps!A:A,Dim_Reps!B:B)</f>
        <v>Karim Rossi</v>
      </c>
      <c r="P5538" t="str">
        <f>_xlfn.XLOOKUP(Pipeline_tbl[[#This Row],[Rep_ID]],Dim_Reps!A:A,Dim_Reps!C:C)</f>
        <v>SDR / Inside Sales Rep</v>
      </c>
      <c r="Q5538" t="str">
        <f>_xlfn.XLOOKUP(Pipeline_tbl[[#This Row],[Rep_ID]],Dim_Reps!A:A,Dim_Reps!D:D)</f>
        <v>Inside Sales</v>
      </c>
      <c r="R5538" t="str">
        <f>_xlfn.XLOOKUP(Pipeline_tbl[[#This Row],[Rep_ID]],Dim_Reps!A:A,Dim_Reps!E:E)</f>
        <v>NAMER</v>
      </c>
      <c r="S5538" t="str">
        <f>_xlfn.XLOOKUP(Pipeline_tbl[[#This Row],[Created_Date]],Dim_Date!A:A,Dim_Date!H:H)</f>
        <v>Dec 2024</v>
      </c>
      <c r="T5538" t="str">
        <f>IF(Pipeline_tbl[[#This Row],[Closed_Date]]=0,"",(_xlfn.XLOOKUP(Pipeline_tbl[[#This Row],[Closed_Date]],Dim_Date!A:A,Dim_Date!H:H)))</f>
        <v>Dec 2024</v>
      </c>
      <c r="U5538">
        <f>IF(Pipeline_tbl[[#This Row],[Closed_Date]]=0,"",Pipeline_tbl[[#This Row],[Closed_Date]]-Pipeline_tbl[[#This Row],[Created_Date]])</f>
        <v>10</v>
      </c>
    </row>
    <row r="5539" spans="1:21" ht="15" customHeight="1" x14ac:dyDescent="0.2">
      <c r="A5539" t="s">
        <v>5845</v>
      </c>
      <c r="B5539" t="s">
        <v>193</v>
      </c>
      <c r="C5539" t="s">
        <v>53</v>
      </c>
      <c r="D5539" s="49">
        <v>45628</v>
      </c>
      <c r="E5539" s="49">
        <v>45629</v>
      </c>
      <c r="F5539" s="49">
        <v>45632</v>
      </c>
      <c r="G5539" s="49">
        <v>45636</v>
      </c>
      <c r="H5539" s="49">
        <v>45640</v>
      </c>
      <c r="I5539" s="49">
        <v>45642</v>
      </c>
      <c r="J5539" t="s">
        <v>47</v>
      </c>
      <c r="K5539" s="33">
        <v>5900</v>
      </c>
      <c r="M5539" t="str">
        <f>_xlfn.XLOOKUP(Pipeline_tbl[[#This Row],[Rep_ID]],Dim_Reps!A:A,Dim_Reps!K:K)</f>
        <v>USD</v>
      </c>
      <c r="N5539" s="33">
        <f>(_xlfn.XLOOKUP(Pipeline_tbl[[#This Row],[Rate_Code_Generalized]],Lookups!A:A,Lookups!B:B))*Pipeline_tbl[[#This Row],[Pipeline_Amount_USD]]</f>
        <v>6869.369999999999</v>
      </c>
      <c r="O5539" t="str">
        <f>_xlfn.XLOOKUP(Pipeline_tbl[[#This Row],[Rep_ID]],Dim_Reps!A:A,Dim_Reps!B:B)</f>
        <v>Karim Rossi</v>
      </c>
      <c r="P5539" t="str">
        <f>_xlfn.XLOOKUP(Pipeline_tbl[[#This Row],[Rep_ID]],Dim_Reps!A:A,Dim_Reps!C:C)</f>
        <v>SDR / Inside Sales Rep</v>
      </c>
      <c r="Q5539" t="str">
        <f>_xlfn.XLOOKUP(Pipeline_tbl[[#This Row],[Rep_ID]],Dim_Reps!A:A,Dim_Reps!D:D)</f>
        <v>Inside Sales</v>
      </c>
      <c r="R5539" t="str">
        <f>_xlfn.XLOOKUP(Pipeline_tbl[[#This Row],[Rep_ID]],Dim_Reps!A:A,Dim_Reps!E:E)</f>
        <v>NAMER</v>
      </c>
      <c r="S5539" t="str">
        <f>_xlfn.XLOOKUP(Pipeline_tbl[[#This Row],[Created_Date]],Dim_Date!A:A,Dim_Date!H:H)</f>
        <v>Dec 2024</v>
      </c>
      <c r="T5539" t="str">
        <f>IF(Pipeline_tbl[[#This Row],[Closed_Date]]=0,"",(_xlfn.XLOOKUP(Pipeline_tbl[[#This Row],[Closed_Date]],Dim_Date!A:A,Dim_Date!H:H)))</f>
        <v>Dec 2024</v>
      </c>
      <c r="U5539">
        <f>IF(Pipeline_tbl[[#This Row],[Closed_Date]]=0,"",Pipeline_tbl[[#This Row],[Closed_Date]]-Pipeline_tbl[[#This Row],[Created_Date]])</f>
        <v>14</v>
      </c>
    </row>
    <row r="5540" spans="1:21" ht="15" customHeight="1" x14ac:dyDescent="0.2">
      <c r="A5540" t="s">
        <v>5846</v>
      </c>
      <c r="B5540" t="s">
        <v>243</v>
      </c>
      <c r="C5540" t="s">
        <v>55</v>
      </c>
      <c r="D5540" s="49">
        <v>45639</v>
      </c>
      <c r="E5540" s="49">
        <v>45640</v>
      </c>
      <c r="F5540" s="49">
        <v>45642</v>
      </c>
      <c r="G5540" s="49">
        <v>45646</v>
      </c>
      <c r="I5540" s="49">
        <v>45650</v>
      </c>
      <c r="J5540" t="s">
        <v>49</v>
      </c>
      <c r="K5540" s="33">
        <v>17600</v>
      </c>
      <c r="L5540" t="s">
        <v>60</v>
      </c>
      <c r="M5540" t="str">
        <f>_xlfn.XLOOKUP(Pipeline_tbl[[#This Row],[Rep_ID]],Dim_Reps!A:A,Dim_Reps!K:K)</f>
        <v>MXN</v>
      </c>
      <c r="N5540" s="33">
        <f>(_xlfn.XLOOKUP(Pipeline_tbl[[#This Row],[Rate_Code_Generalized]],Lookups!A:A,Lookups!B:B))*Pipeline_tbl[[#This Row],[Pipeline_Amount_USD]]</f>
        <v>347295.52</v>
      </c>
      <c r="O5540" t="str">
        <f>_xlfn.XLOOKUP(Pipeline_tbl[[#This Row],[Rep_ID]],Dim_Reps!A:A,Dim_Reps!B:B)</f>
        <v>Jonas Sato</v>
      </c>
      <c r="P5540" t="str">
        <f>_xlfn.XLOOKUP(Pipeline_tbl[[#This Row],[Rep_ID]],Dim_Reps!A:A,Dim_Reps!C:C)</f>
        <v>Mid-Market AE</v>
      </c>
      <c r="Q5540" t="str">
        <f>_xlfn.XLOOKUP(Pipeline_tbl[[#This Row],[Rep_ID]],Dim_Reps!A:A,Dim_Reps!D:D)</f>
        <v>Mid-Market</v>
      </c>
      <c r="R5540" t="str">
        <f>_xlfn.XLOOKUP(Pipeline_tbl[[#This Row],[Rep_ID]],Dim_Reps!A:A,Dim_Reps!E:E)</f>
        <v>LATAM</v>
      </c>
      <c r="S5540" t="str">
        <f>_xlfn.XLOOKUP(Pipeline_tbl[[#This Row],[Created_Date]],Dim_Date!A:A,Dim_Date!H:H)</f>
        <v>Dec 2024</v>
      </c>
      <c r="T5540" t="str">
        <f>IF(Pipeline_tbl[[#This Row],[Closed_Date]]=0,"",(_xlfn.XLOOKUP(Pipeline_tbl[[#This Row],[Closed_Date]],Dim_Date!A:A,Dim_Date!H:H)))</f>
        <v>Dec 2024</v>
      </c>
      <c r="U5540">
        <f>IF(Pipeline_tbl[[#This Row],[Closed_Date]]=0,"",Pipeline_tbl[[#This Row],[Closed_Date]]-Pipeline_tbl[[#This Row],[Created_Date]])</f>
        <v>11</v>
      </c>
    </row>
    <row r="5541" spans="1:21" ht="15" customHeight="1" x14ac:dyDescent="0.2">
      <c r="A5541" t="s">
        <v>5847</v>
      </c>
      <c r="B5541" t="s">
        <v>243</v>
      </c>
      <c r="C5541" t="s">
        <v>52</v>
      </c>
      <c r="D5541" s="49">
        <v>45631</v>
      </c>
      <c r="E5541" s="49">
        <v>45633</v>
      </c>
      <c r="F5541" s="49">
        <v>45638</v>
      </c>
      <c r="I5541" s="49">
        <v>45653</v>
      </c>
      <c r="J5541" t="s">
        <v>49</v>
      </c>
      <c r="K5541" s="33">
        <v>9000</v>
      </c>
      <c r="L5541" t="s">
        <v>60</v>
      </c>
      <c r="M5541" t="str">
        <f>_xlfn.XLOOKUP(Pipeline_tbl[[#This Row],[Rep_ID]],Dim_Reps!A:A,Dim_Reps!K:K)</f>
        <v>MXN</v>
      </c>
      <c r="N5541" s="33">
        <f>(_xlfn.XLOOKUP(Pipeline_tbl[[#This Row],[Rate_Code_Generalized]],Lookups!A:A,Lookups!B:B))*Pipeline_tbl[[#This Row],[Pipeline_Amount_USD]]</f>
        <v>177594.30000000002</v>
      </c>
      <c r="O5541" t="str">
        <f>_xlfn.XLOOKUP(Pipeline_tbl[[#This Row],[Rep_ID]],Dim_Reps!A:A,Dim_Reps!B:B)</f>
        <v>Jonas Sato</v>
      </c>
      <c r="P5541" t="str">
        <f>_xlfn.XLOOKUP(Pipeline_tbl[[#This Row],[Rep_ID]],Dim_Reps!A:A,Dim_Reps!C:C)</f>
        <v>Mid-Market AE</v>
      </c>
      <c r="Q5541" t="str">
        <f>_xlfn.XLOOKUP(Pipeline_tbl[[#This Row],[Rep_ID]],Dim_Reps!A:A,Dim_Reps!D:D)</f>
        <v>Mid-Market</v>
      </c>
      <c r="R5541" t="str">
        <f>_xlfn.XLOOKUP(Pipeline_tbl[[#This Row],[Rep_ID]],Dim_Reps!A:A,Dim_Reps!E:E)</f>
        <v>LATAM</v>
      </c>
      <c r="S5541" t="str">
        <f>_xlfn.XLOOKUP(Pipeline_tbl[[#This Row],[Created_Date]],Dim_Date!A:A,Dim_Date!H:H)</f>
        <v>Dec 2024</v>
      </c>
      <c r="T5541" t="str">
        <f>IF(Pipeline_tbl[[#This Row],[Closed_Date]]=0,"",(_xlfn.XLOOKUP(Pipeline_tbl[[#This Row],[Closed_Date]],Dim_Date!A:A,Dim_Date!H:H)))</f>
        <v>Dec 2024</v>
      </c>
      <c r="U5541">
        <f>IF(Pipeline_tbl[[#This Row],[Closed_Date]]=0,"",Pipeline_tbl[[#This Row],[Closed_Date]]-Pipeline_tbl[[#This Row],[Created_Date]])</f>
        <v>22</v>
      </c>
    </row>
    <row r="5542" spans="1:21" ht="15" customHeight="1" x14ac:dyDescent="0.2">
      <c r="A5542" t="s">
        <v>5848</v>
      </c>
      <c r="B5542" t="s">
        <v>196</v>
      </c>
      <c r="C5542" t="s">
        <v>52</v>
      </c>
      <c r="D5542" s="49">
        <v>45634</v>
      </c>
      <c r="E5542" s="49">
        <v>45636</v>
      </c>
      <c r="F5542" s="49">
        <v>45640</v>
      </c>
      <c r="G5542" s="49">
        <v>45647</v>
      </c>
      <c r="H5542" s="49">
        <v>45652</v>
      </c>
      <c r="I5542" s="49">
        <v>45655</v>
      </c>
      <c r="J5542" t="s">
        <v>47</v>
      </c>
      <c r="K5542" s="33">
        <v>3900</v>
      </c>
      <c r="M5542" t="str">
        <f>_xlfn.XLOOKUP(Pipeline_tbl[[#This Row],[Rep_ID]],Dim_Reps!A:A,Dim_Reps!K:K)</f>
        <v>EUR</v>
      </c>
      <c r="N5542" s="33">
        <f>(_xlfn.XLOOKUP(Pipeline_tbl[[#This Row],[Rate_Code_Generalized]],Lookups!A:A,Lookups!B:B))*Pipeline_tbl[[#This Row],[Pipeline_Amount_USD]]</f>
        <v>3900</v>
      </c>
      <c r="O5542" t="str">
        <f>_xlfn.XLOOKUP(Pipeline_tbl[[#This Row],[Rep_ID]],Dim_Reps!A:A,Dim_Reps!B:B)</f>
        <v>Alex Okafor</v>
      </c>
      <c r="P5542" t="str">
        <f>_xlfn.XLOOKUP(Pipeline_tbl[[#This Row],[Rep_ID]],Dim_Reps!A:A,Dim_Reps!C:C)</f>
        <v>SDR / Inside Sales Rep</v>
      </c>
      <c r="Q5542" t="str">
        <f>_xlfn.XLOOKUP(Pipeline_tbl[[#This Row],[Rep_ID]],Dim_Reps!A:A,Dim_Reps!D:D)</f>
        <v>Inside Sales</v>
      </c>
      <c r="R5542" t="str">
        <f>_xlfn.XLOOKUP(Pipeline_tbl[[#This Row],[Rep_ID]],Dim_Reps!A:A,Dim_Reps!E:E)</f>
        <v>EMEA</v>
      </c>
      <c r="S5542" t="str">
        <f>_xlfn.XLOOKUP(Pipeline_tbl[[#This Row],[Created_Date]],Dim_Date!A:A,Dim_Date!H:H)</f>
        <v>Dec 2024</v>
      </c>
      <c r="T5542" t="str">
        <f>IF(Pipeline_tbl[[#This Row],[Closed_Date]]=0,"",(_xlfn.XLOOKUP(Pipeline_tbl[[#This Row],[Closed_Date]],Dim_Date!A:A,Dim_Date!H:H)))</f>
        <v>Dec 2024</v>
      </c>
      <c r="U5542">
        <f>IF(Pipeline_tbl[[#This Row],[Closed_Date]]=0,"",Pipeline_tbl[[#This Row],[Closed_Date]]-Pipeline_tbl[[#This Row],[Created_Date]])</f>
        <v>21</v>
      </c>
    </row>
    <row r="5543" spans="1:21" ht="15" customHeight="1" x14ac:dyDescent="0.2">
      <c r="A5543" t="s">
        <v>5849</v>
      </c>
      <c r="B5543" t="s">
        <v>196</v>
      </c>
      <c r="C5543" t="s">
        <v>52</v>
      </c>
      <c r="D5543" s="49">
        <v>45635</v>
      </c>
      <c r="E5543" s="49">
        <v>45637</v>
      </c>
      <c r="F5543" s="49">
        <v>45640</v>
      </c>
      <c r="G5543" s="49">
        <v>45646</v>
      </c>
      <c r="I5543" s="49">
        <v>45653</v>
      </c>
      <c r="J5543" t="s">
        <v>49</v>
      </c>
      <c r="K5543" s="33">
        <v>5900</v>
      </c>
      <c r="L5543" t="s">
        <v>61</v>
      </c>
      <c r="M5543" t="str">
        <f>_xlfn.XLOOKUP(Pipeline_tbl[[#This Row],[Rep_ID]],Dim_Reps!A:A,Dim_Reps!K:K)</f>
        <v>EUR</v>
      </c>
      <c r="N5543" s="33">
        <f>(_xlfn.XLOOKUP(Pipeline_tbl[[#This Row],[Rate_Code_Generalized]],Lookups!A:A,Lookups!B:B))*Pipeline_tbl[[#This Row],[Pipeline_Amount_USD]]</f>
        <v>5900</v>
      </c>
      <c r="O5543" t="str">
        <f>_xlfn.XLOOKUP(Pipeline_tbl[[#This Row],[Rep_ID]],Dim_Reps!A:A,Dim_Reps!B:B)</f>
        <v>Alex Okafor</v>
      </c>
      <c r="P5543" t="str">
        <f>_xlfn.XLOOKUP(Pipeline_tbl[[#This Row],[Rep_ID]],Dim_Reps!A:A,Dim_Reps!C:C)</f>
        <v>SDR / Inside Sales Rep</v>
      </c>
      <c r="Q5543" t="str">
        <f>_xlfn.XLOOKUP(Pipeline_tbl[[#This Row],[Rep_ID]],Dim_Reps!A:A,Dim_Reps!D:D)</f>
        <v>Inside Sales</v>
      </c>
      <c r="R5543" t="str">
        <f>_xlfn.XLOOKUP(Pipeline_tbl[[#This Row],[Rep_ID]],Dim_Reps!A:A,Dim_Reps!E:E)</f>
        <v>EMEA</v>
      </c>
      <c r="S5543" t="str">
        <f>_xlfn.XLOOKUP(Pipeline_tbl[[#This Row],[Created_Date]],Dim_Date!A:A,Dim_Date!H:H)</f>
        <v>Dec 2024</v>
      </c>
      <c r="T5543" t="str">
        <f>IF(Pipeline_tbl[[#This Row],[Closed_Date]]=0,"",(_xlfn.XLOOKUP(Pipeline_tbl[[#This Row],[Closed_Date]],Dim_Date!A:A,Dim_Date!H:H)))</f>
        <v>Dec 2024</v>
      </c>
      <c r="U5543">
        <f>IF(Pipeline_tbl[[#This Row],[Closed_Date]]=0,"",Pipeline_tbl[[#This Row],[Closed_Date]]-Pipeline_tbl[[#This Row],[Created_Date]])</f>
        <v>18</v>
      </c>
    </row>
    <row r="5544" spans="1:21" ht="15" customHeight="1" x14ac:dyDescent="0.2">
      <c r="A5544" t="s">
        <v>5850</v>
      </c>
      <c r="B5544" t="s">
        <v>196</v>
      </c>
      <c r="C5544" t="s">
        <v>56</v>
      </c>
      <c r="D5544" s="49">
        <v>45627</v>
      </c>
      <c r="E5544" s="49">
        <v>45627</v>
      </c>
      <c r="F5544" s="49">
        <v>45629</v>
      </c>
      <c r="G5544" s="49">
        <v>45630</v>
      </c>
      <c r="I5544" s="49">
        <v>45632</v>
      </c>
      <c r="J5544" t="s">
        <v>49</v>
      </c>
      <c r="K5544" s="33">
        <v>6600</v>
      </c>
      <c r="L5544" t="s">
        <v>64</v>
      </c>
      <c r="M5544" t="str">
        <f>_xlfn.XLOOKUP(Pipeline_tbl[[#This Row],[Rep_ID]],Dim_Reps!A:A,Dim_Reps!K:K)</f>
        <v>EUR</v>
      </c>
      <c r="N5544" s="33">
        <f>(_xlfn.XLOOKUP(Pipeline_tbl[[#This Row],[Rate_Code_Generalized]],Lookups!A:A,Lookups!B:B))*Pipeline_tbl[[#This Row],[Pipeline_Amount_USD]]</f>
        <v>6600</v>
      </c>
      <c r="O5544" t="str">
        <f>_xlfn.XLOOKUP(Pipeline_tbl[[#This Row],[Rep_ID]],Dim_Reps!A:A,Dim_Reps!B:B)</f>
        <v>Alex Okafor</v>
      </c>
      <c r="P5544" t="str">
        <f>_xlfn.XLOOKUP(Pipeline_tbl[[#This Row],[Rep_ID]],Dim_Reps!A:A,Dim_Reps!C:C)</f>
        <v>SDR / Inside Sales Rep</v>
      </c>
      <c r="Q5544" t="str">
        <f>_xlfn.XLOOKUP(Pipeline_tbl[[#This Row],[Rep_ID]],Dim_Reps!A:A,Dim_Reps!D:D)</f>
        <v>Inside Sales</v>
      </c>
      <c r="R5544" t="str">
        <f>_xlfn.XLOOKUP(Pipeline_tbl[[#This Row],[Rep_ID]],Dim_Reps!A:A,Dim_Reps!E:E)</f>
        <v>EMEA</v>
      </c>
      <c r="S5544" t="str">
        <f>_xlfn.XLOOKUP(Pipeline_tbl[[#This Row],[Created_Date]],Dim_Date!A:A,Dim_Date!H:H)</f>
        <v>Dec 2024</v>
      </c>
      <c r="T5544" t="str">
        <f>IF(Pipeline_tbl[[#This Row],[Closed_Date]]=0,"",(_xlfn.XLOOKUP(Pipeline_tbl[[#This Row],[Closed_Date]],Dim_Date!A:A,Dim_Date!H:H)))</f>
        <v>Dec 2024</v>
      </c>
      <c r="U5544">
        <f>IF(Pipeline_tbl[[#This Row],[Closed_Date]]=0,"",Pipeline_tbl[[#This Row],[Closed_Date]]-Pipeline_tbl[[#This Row],[Created_Date]])</f>
        <v>5</v>
      </c>
    </row>
    <row r="5545" spans="1:21" ht="15" customHeight="1" x14ac:dyDescent="0.2">
      <c r="A5545" t="s">
        <v>5851</v>
      </c>
      <c r="B5545" t="s">
        <v>196</v>
      </c>
      <c r="C5545" t="s">
        <v>55</v>
      </c>
      <c r="D5545" s="49">
        <v>45639</v>
      </c>
      <c r="E5545" s="49">
        <v>45640</v>
      </c>
      <c r="F5545" s="49">
        <v>45643</v>
      </c>
      <c r="G5545" s="49">
        <v>45646</v>
      </c>
      <c r="I5545" s="49">
        <v>45651</v>
      </c>
      <c r="J5545" t="s">
        <v>49</v>
      </c>
      <c r="K5545" s="33">
        <v>2000</v>
      </c>
      <c r="L5545" t="s">
        <v>62</v>
      </c>
      <c r="M5545" t="str">
        <f>_xlfn.XLOOKUP(Pipeline_tbl[[#This Row],[Rep_ID]],Dim_Reps!A:A,Dim_Reps!K:K)</f>
        <v>EUR</v>
      </c>
      <c r="N5545" s="33">
        <f>(_xlfn.XLOOKUP(Pipeline_tbl[[#This Row],[Rate_Code_Generalized]],Lookups!A:A,Lookups!B:B))*Pipeline_tbl[[#This Row],[Pipeline_Amount_USD]]</f>
        <v>2000</v>
      </c>
      <c r="O5545" t="str">
        <f>_xlfn.XLOOKUP(Pipeline_tbl[[#This Row],[Rep_ID]],Dim_Reps!A:A,Dim_Reps!B:B)</f>
        <v>Alex Okafor</v>
      </c>
      <c r="P5545" t="str">
        <f>_xlfn.XLOOKUP(Pipeline_tbl[[#This Row],[Rep_ID]],Dim_Reps!A:A,Dim_Reps!C:C)</f>
        <v>SDR / Inside Sales Rep</v>
      </c>
      <c r="Q5545" t="str">
        <f>_xlfn.XLOOKUP(Pipeline_tbl[[#This Row],[Rep_ID]],Dim_Reps!A:A,Dim_Reps!D:D)</f>
        <v>Inside Sales</v>
      </c>
      <c r="R5545" t="str">
        <f>_xlfn.XLOOKUP(Pipeline_tbl[[#This Row],[Rep_ID]],Dim_Reps!A:A,Dim_Reps!E:E)</f>
        <v>EMEA</v>
      </c>
      <c r="S5545" t="str">
        <f>_xlfn.XLOOKUP(Pipeline_tbl[[#This Row],[Created_Date]],Dim_Date!A:A,Dim_Date!H:H)</f>
        <v>Dec 2024</v>
      </c>
      <c r="T5545" t="str">
        <f>IF(Pipeline_tbl[[#This Row],[Closed_Date]]=0,"",(_xlfn.XLOOKUP(Pipeline_tbl[[#This Row],[Closed_Date]],Dim_Date!A:A,Dim_Date!H:H)))</f>
        <v>Dec 2024</v>
      </c>
      <c r="U5545">
        <f>IF(Pipeline_tbl[[#This Row],[Closed_Date]]=0,"",Pipeline_tbl[[#This Row],[Closed_Date]]-Pipeline_tbl[[#This Row],[Created_Date]])</f>
        <v>12</v>
      </c>
    </row>
    <row r="5546" spans="1:21" ht="15" customHeight="1" x14ac:dyDescent="0.2">
      <c r="A5546" t="s">
        <v>5852</v>
      </c>
      <c r="B5546" t="s">
        <v>196</v>
      </c>
      <c r="C5546" t="s">
        <v>52</v>
      </c>
      <c r="D5546" s="49">
        <v>45637</v>
      </c>
      <c r="E5546" s="49">
        <v>45638</v>
      </c>
      <c r="F5546" s="49">
        <v>45641</v>
      </c>
      <c r="G5546" s="49">
        <v>45644</v>
      </c>
      <c r="H5546" s="49">
        <v>45647</v>
      </c>
      <c r="I5546" s="49">
        <v>45649</v>
      </c>
      <c r="J5546" t="s">
        <v>47</v>
      </c>
      <c r="K5546" s="33">
        <v>4100</v>
      </c>
      <c r="M5546" t="str">
        <f>_xlfn.XLOOKUP(Pipeline_tbl[[#This Row],[Rep_ID]],Dim_Reps!A:A,Dim_Reps!K:K)</f>
        <v>EUR</v>
      </c>
      <c r="N5546" s="33">
        <f>(_xlfn.XLOOKUP(Pipeline_tbl[[#This Row],[Rate_Code_Generalized]],Lookups!A:A,Lookups!B:B))*Pipeline_tbl[[#This Row],[Pipeline_Amount_USD]]</f>
        <v>4100</v>
      </c>
      <c r="O5546" t="str">
        <f>_xlfn.XLOOKUP(Pipeline_tbl[[#This Row],[Rep_ID]],Dim_Reps!A:A,Dim_Reps!B:B)</f>
        <v>Alex Okafor</v>
      </c>
      <c r="P5546" t="str">
        <f>_xlfn.XLOOKUP(Pipeline_tbl[[#This Row],[Rep_ID]],Dim_Reps!A:A,Dim_Reps!C:C)</f>
        <v>SDR / Inside Sales Rep</v>
      </c>
      <c r="Q5546" t="str">
        <f>_xlfn.XLOOKUP(Pipeline_tbl[[#This Row],[Rep_ID]],Dim_Reps!A:A,Dim_Reps!D:D)</f>
        <v>Inside Sales</v>
      </c>
      <c r="R5546" t="str">
        <f>_xlfn.XLOOKUP(Pipeline_tbl[[#This Row],[Rep_ID]],Dim_Reps!A:A,Dim_Reps!E:E)</f>
        <v>EMEA</v>
      </c>
      <c r="S5546" t="str">
        <f>_xlfn.XLOOKUP(Pipeline_tbl[[#This Row],[Created_Date]],Dim_Date!A:A,Dim_Date!H:H)</f>
        <v>Dec 2024</v>
      </c>
      <c r="T5546" t="str">
        <f>IF(Pipeline_tbl[[#This Row],[Closed_Date]]=0,"",(_xlfn.XLOOKUP(Pipeline_tbl[[#This Row],[Closed_Date]],Dim_Date!A:A,Dim_Date!H:H)))</f>
        <v>Dec 2024</v>
      </c>
      <c r="U5546">
        <f>IF(Pipeline_tbl[[#This Row],[Closed_Date]]=0,"",Pipeline_tbl[[#This Row],[Closed_Date]]-Pipeline_tbl[[#This Row],[Created_Date]])</f>
        <v>12</v>
      </c>
    </row>
    <row r="5547" spans="1:21" ht="15" customHeight="1" x14ac:dyDescent="0.2">
      <c r="A5547" t="s">
        <v>5853</v>
      </c>
      <c r="B5547" t="s">
        <v>199</v>
      </c>
      <c r="C5547" t="s">
        <v>54</v>
      </c>
      <c r="D5547" s="49">
        <v>45636</v>
      </c>
      <c r="E5547" s="49">
        <v>45638</v>
      </c>
      <c r="F5547" s="49">
        <v>45642</v>
      </c>
      <c r="G5547" s="49">
        <v>45648</v>
      </c>
      <c r="H5547" s="49">
        <v>45653</v>
      </c>
      <c r="I5547" s="49">
        <v>45656</v>
      </c>
      <c r="J5547" t="s">
        <v>47</v>
      </c>
      <c r="K5547" s="33">
        <v>5100</v>
      </c>
      <c r="M5547" t="str">
        <f>_xlfn.XLOOKUP(Pipeline_tbl[[#This Row],[Rep_ID]],Dim_Reps!A:A,Dim_Reps!K:K)</f>
        <v>EUR</v>
      </c>
      <c r="N5547" s="33">
        <f>(_xlfn.XLOOKUP(Pipeline_tbl[[#This Row],[Rate_Code_Generalized]],Lookups!A:A,Lookups!B:B))*Pipeline_tbl[[#This Row],[Pipeline_Amount_USD]]</f>
        <v>5100</v>
      </c>
      <c r="O5547" t="str">
        <f>_xlfn.XLOOKUP(Pipeline_tbl[[#This Row],[Rep_ID]],Dim_Reps!A:A,Dim_Reps!B:B)</f>
        <v>Lucas Okafor</v>
      </c>
      <c r="P5547" t="str">
        <f>_xlfn.XLOOKUP(Pipeline_tbl[[#This Row],[Rep_ID]],Dim_Reps!A:A,Dim_Reps!C:C)</f>
        <v>SDR / Inside Sales Rep</v>
      </c>
      <c r="Q5547" t="str">
        <f>_xlfn.XLOOKUP(Pipeline_tbl[[#This Row],[Rep_ID]],Dim_Reps!A:A,Dim_Reps!D:D)</f>
        <v>Inside Sales</v>
      </c>
      <c r="R5547" t="str">
        <f>_xlfn.XLOOKUP(Pipeline_tbl[[#This Row],[Rep_ID]],Dim_Reps!A:A,Dim_Reps!E:E)</f>
        <v>APAC</v>
      </c>
      <c r="S5547" t="str">
        <f>_xlfn.XLOOKUP(Pipeline_tbl[[#This Row],[Created_Date]],Dim_Date!A:A,Dim_Date!H:H)</f>
        <v>Dec 2024</v>
      </c>
      <c r="T5547" t="str">
        <f>IF(Pipeline_tbl[[#This Row],[Closed_Date]]=0,"",(_xlfn.XLOOKUP(Pipeline_tbl[[#This Row],[Closed_Date]],Dim_Date!A:A,Dim_Date!H:H)))</f>
        <v>Dec 2024</v>
      </c>
      <c r="U5547">
        <f>IF(Pipeline_tbl[[#This Row],[Closed_Date]]=0,"",Pipeline_tbl[[#This Row],[Closed_Date]]-Pipeline_tbl[[#This Row],[Created_Date]])</f>
        <v>20</v>
      </c>
    </row>
    <row r="5548" spans="1:21" ht="15" customHeight="1" x14ac:dyDescent="0.2">
      <c r="A5548" t="s">
        <v>5854</v>
      </c>
      <c r="B5548" t="s">
        <v>199</v>
      </c>
      <c r="C5548" t="s">
        <v>54</v>
      </c>
      <c r="D5548" s="49">
        <v>45635</v>
      </c>
      <c r="E5548" s="49">
        <v>45637</v>
      </c>
      <c r="F5548" s="49">
        <v>45642</v>
      </c>
      <c r="G5548" s="49">
        <v>45648</v>
      </c>
      <c r="H5548" s="49">
        <v>45654</v>
      </c>
      <c r="I5548" s="49">
        <v>45657</v>
      </c>
      <c r="J5548" t="s">
        <v>49</v>
      </c>
      <c r="K5548" s="33">
        <v>2800</v>
      </c>
      <c r="L5548" t="s">
        <v>61</v>
      </c>
      <c r="M5548" t="str">
        <f>_xlfn.XLOOKUP(Pipeline_tbl[[#This Row],[Rep_ID]],Dim_Reps!A:A,Dim_Reps!K:K)</f>
        <v>EUR</v>
      </c>
      <c r="N5548" s="33">
        <f>(_xlfn.XLOOKUP(Pipeline_tbl[[#This Row],[Rate_Code_Generalized]],Lookups!A:A,Lookups!B:B))*Pipeline_tbl[[#This Row],[Pipeline_Amount_USD]]</f>
        <v>2800</v>
      </c>
      <c r="O5548" t="str">
        <f>_xlfn.XLOOKUP(Pipeline_tbl[[#This Row],[Rep_ID]],Dim_Reps!A:A,Dim_Reps!B:B)</f>
        <v>Lucas Okafor</v>
      </c>
      <c r="P5548" t="str">
        <f>_xlfn.XLOOKUP(Pipeline_tbl[[#This Row],[Rep_ID]],Dim_Reps!A:A,Dim_Reps!C:C)</f>
        <v>SDR / Inside Sales Rep</v>
      </c>
      <c r="Q5548" t="str">
        <f>_xlfn.XLOOKUP(Pipeline_tbl[[#This Row],[Rep_ID]],Dim_Reps!A:A,Dim_Reps!D:D)</f>
        <v>Inside Sales</v>
      </c>
      <c r="R5548" t="str">
        <f>_xlfn.XLOOKUP(Pipeline_tbl[[#This Row],[Rep_ID]],Dim_Reps!A:A,Dim_Reps!E:E)</f>
        <v>APAC</v>
      </c>
      <c r="S5548" t="str">
        <f>_xlfn.XLOOKUP(Pipeline_tbl[[#This Row],[Created_Date]],Dim_Date!A:A,Dim_Date!H:H)</f>
        <v>Dec 2024</v>
      </c>
      <c r="T5548" t="str">
        <f>IF(Pipeline_tbl[[#This Row],[Closed_Date]]=0,"",(_xlfn.XLOOKUP(Pipeline_tbl[[#This Row],[Closed_Date]],Dim_Date!A:A,Dim_Date!H:H)))</f>
        <v>Dec 2024</v>
      </c>
      <c r="U5548">
        <f>IF(Pipeline_tbl[[#This Row],[Closed_Date]]=0,"",Pipeline_tbl[[#This Row],[Closed_Date]]-Pipeline_tbl[[#This Row],[Created_Date]])</f>
        <v>22</v>
      </c>
    </row>
    <row r="5549" spans="1:21" ht="15" customHeight="1" x14ac:dyDescent="0.2">
      <c r="A5549" t="s">
        <v>5855</v>
      </c>
      <c r="B5549" t="s">
        <v>199</v>
      </c>
      <c r="C5549" t="s">
        <v>52</v>
      </c>
      <c r="D5549" s="49">
        <v>45634</v>
      </c>
      <c r="E5549" s="49">
        <v>45636</v>
      </c>
      <c r="F5549" s="49">
        <v>45640</v>
      </c>
      <c r="I5549" s="49">
        <v>45653</v>
      </c>
      <c r="J5549" t="s">
        <v>49</v>
      </c>
      <c r="K5549" s="33">
        <v>2000</v>
      </c>
      <c r="L5549" t="s">
        <v>60</v>
      </c>
      <c r="M5549" t="str">
        <f>_xlfn.XLOOKUP(Pipeline_tbl[[#This Row],[Rep_ID]],Dim_Reps!A:A,Dim_Reps!K:K)</f>
        <v>EUR</v>
      </c>
      <c r="N5549" s="33">
        <f>(_xlfn.XLOOKUP(Pipeline_tbl[[#This Row],[Rate_Code_Generalized]],Lookups!A:A,Lookups!B:B))*Pipeline_tbl[[#This Row],[Pipeline_Amount_USD]]</f>
        <v>2000</v>
      </c>
      <c r="O5549" t="str">
        <f>_xlfn.XLOOKUP(Pipeline_tbl[[#This Row],[Rep_ID]],Dim_Reps!A:A,Dim_Reps!B:B)</f>
        <v>Lucas Okafor</v>
      </c>
      <c r="P5549" t="str">
        <f>_xlfn.XLOOKUP(Pipeline_tbl[[#This Row],[Rep_ID]],Dim_Reps!A:A,Dim_Reps!C:C)</f>
        <v>SDR / Inside Sales Rep</v>
      </c>
      <c r="Q5549" t="str">
        <f>_xlfn.XLOOKUP(Pipeline_tbl[[#This Row],[Rep_ID]],Dim_Reps!A:A,Dim_Reps!D:D)</f>
        <v>Inside Sales</v>
      </c>
      <c r="R5549" t="str">
        <f>_xlfn.XLOOKUP(Pipeline_tbl[[#This Row],[Rep_ID]],Dim_Reps!A:A,Dim_Reps!E:E)</f>
        <v>APAC</v>
      </c>
      <c r="S5549" t="str">
        <f>_xlfn.XLOOKUP(Pipeline_tbl[[#This Row],[Created_Date]],Dim_Date!A:A,Dim_Date!H:H)</f>
        <v>Dec 2024</v>
      </c>
      <c r="T5549" t="str">
        <f>IF(Pipeline_tbl[[#This Row],[Closed_Date]]=0,"",(_xlfn.XLOOKUP(Pipeline_tbl[[#This Row],[Closed_Date]],Dim_Date!A:A,Dim_Date!H:H)))</f>
        <v>Dec 2024</v>
      </c>
      <c r="U5549">
        <f>IF(Pipeline_tbl[[#This Row],[Closed_Date]]=0,"",Pipeline_tbl[[#This Row],[Closed_Date]]-Pipeline_tbl[[#This Row],[Created_Date]])</f>
        <v>19</v>
      </c>
    </row>
    <row r="5550" spans="1:21" ht="15" customHeight="1" x14ac:dyDescent="0.2">
      <c r="A5550" t="s">
        <v>5856</v>
      </c>
      <c r="B5550" t="s">
        <v>199</v>
      </c>
      <c r="C5550" t="s">
        <v>53</v>
      </c>
      <c r="D5550" s="49">
        <v>45630</v>
      </c>
      <c r="E5550" s="49">
        <v>45631</v>
      </c>
      <c r="I5550" s="49">
        <v>45644</v>
      </c>
      <c r="J5550" t="s">
        <v>49</v>
      </c>
      <c r="K5550" s="33">
        <v>4200</v>
      </c>
      <c r="L5550" t="s">
        <v>64</v>
      </c>
      <c r="M5550" t="str">
        <f>_xlfn.XLOOKUP(Pipeline_tbl[[#This Row],[Rep_ID]],Dim_Reps!A:A,Dim_Reps!K:K)</f>
        <v>EUR</v>
      </c>
      <c r="N5550" s="33">
        <f>(_xlfn.XLOOKUP(Pipeline_tbl[[#This Row],[Rate_Code_Generalized]],Lookups!A:A,Lookups!B:B))*Pipeline_tbl[[#This Row],[Pipeline_Amount_USD]]</f>
        <v>4200</v>
      </c>
      <c r="O5550" t="str">
        <f>_xlfn.XLOOKUP(Pipeline_tbl[[#This Row],[Rep_ID]],Dim_Reps!A:A,Dim_Reps!B:B)</f>
        <v>Lucas Okafor</v>
      </c>
      <c r="P5550" t="str">
        <f>_xlfn.XLOOKUP(Pipeline_tbl[[#This Row],[Rep_ID]],Dim_Reps!A:A,Dim_Reps!C:C)</f>
        <v>SDR / Inside Sales Rep</v>
      </c>
      <c r="Q5550" t="str">
        <f>_xlfn.XLOOKUP(Pipeline_tbl[[#This Row],[Rep_ID]],Dim_Reps!A:A,Dim_Reps!D:D)</f>
        <v>Inside Sales</v>
      </c>
      <c r="R5550" t="str">
        <f>_xlfn.XLOOKUP(Pipeline_tbl[[#This Row],[Rep_ID]],Dim_Reps!A:A,Dim_Reps!E:E)</f>
        <v>APAC</v>
      </c>
      <c r="S5550" t="str">
        <f>_xlfn.XLOOKUP(Pipeline_tbl[[#This Row],[Created_Date]],Dim_Date!A:A,Dim_Date!H:H)</f>
        <v>Dec 2024</v>
      </c>
      <c r="T5550" t="str">
        <f>IF(Pipeline_tbl[[#This Row],[Closed_Date]]=0,"",(_xlfn.XLOOKUP(Pipeline_tbl[[#This Row],[Closed_Date]],Dim_Date!A:A,Dim_Date!H:H)))</f>
        <v>Dec 2024</v>
      </c>
      <c r="U5550">
        <f>IF(Pipeline_tbl[[#This Row],[Closed_Date]]=0,"",Pipeline_tbl[[#This Row],[Closed_Date]]-Pipeline_tbl[[#This Row],[Created_Date]])</f>
        <v>14</v>
      </c>
    </row>
    <row r="5551" spans="1:21" ht="15" customHeight="1" x14ac:dyDescent="0.2">
      <c r="A5551" t="s">
        <v>5857</v>
      </c>
      <c r="B5551" t="s">
        <v>199</v>
      </c>
      <c r="C5551" t="s">
        <v>52</v>
      </c>
      <c r="D5551" s="49">
        <v>45633</v>
      </c>
      <c r="E5551" s="49">
        <v>45634</v>
      </c>
      <c r="F5551" s="49">
        <v>45636</v>
      </c>
      <c r="I5551" s="49">
        <v>45644</v>
      </c>
      <c r="J5551" t="s">
        <v>49</v>
      </c>
      <c r="K5551" s="33">
        <v>1300</v>
      </c>
      <c r="L5551" t="s">
        <v>60</v>
      </c>
      <c r="M5551" t="str">
        <f>_xlfn.XLOOKUP(Pipeline_tbl[[#This Row],[Rep_ID]],Dim_Reps!A:A,Dim_Reps!K:K)</f>
        <v>EUR</v>
      </c>
      <c r="N5551" s="33">
        <f>(_xlfn.XLOOKUP(Pipeline_tbl[[#This Row],[Rate_Code_Generalized]],Lookups!A:A,Lookups!B:B))*Pipeline_tbl[[#This Row],[Pipeline_Amount_USD]]</f>
        <v>1300</v>
      </c>
      <c r="O5551" t="str">
        <f>_xlfn.XLOOKUP(Pipeline_tbl[[#This Row],[Rep_ID]],Dim_Reps!A:A,Dim_Reps!B:B)</f>
        <v>Lucas Okafor</v>
      </c>
      <c r="P5551" t="str">
        <f>_xlfn.XLOOKUP(Pipeline_tbl[[#This Row],[Rep_ID]],Dim_Reps!A:A,Dim_Reps!C:C)</f>
        <v>SDR / Inside Sales Rep</v>
      </c>
      <c r="Q5551" t="str">
        <f>_xlfn.XLOOKUP(Pipeline_tbl[[#This Row],[Rep_ID]],Dim_Reps!A:A,Dim_Reps!D:D)</f>
        <v>Inside Sales</v>
      </c>
      <c r="R5551" t="str">
        <f>_xlfn.XLOOKUP(Pipeline_tbl[[#This Row],[Rep_ID]],Dim_Reps!A:A,Dim_Reps!E:E)</f>
        <v>APAC</v>
      </c>
      <c r="S5551" t="str">
        <f>_xlfn.XLOOKUP(Pipeline_tbl[[#This Row],[Created_Date]],Dim_Date!A:A,Dim_Date!H:H)</f>
        <v>Dec 2024</v>
      </c>
      <c r="T5551" t="str">
        <f>IF(Pipeline_tbl[[#This Row],[Closed_Date]]=0,"",(_xlfn.XLOOKUP(Pipeline_tbl[[#This Row],[Closed_Date]],Dim_Date!A:A,Dim_Date!H:H)))</f>
        <v>Dec 2024</v>
      </c>
      <c r="U5551">
        <f>IF(Pipeline_tbl[[#This Row],[Closed_Date]]=0,"",Pipeline_tbl[[#This Row],[Closed_Date]]-Pipeline_tbl[[#This Row],[Created_Date]])</f>
        <v>11</v>
      </c>
    </row>
    <row r="5552" spans="1:21" ht="15" customHeight="1" x14ac:dyDescent="0.2">
      <c r="A5552" t="s">
        <v>5858</v>
      </c>
      <c r="B5552" t="s">
        <v>199</v>
      </c>
      <c r="C5552" t="s">
        <v>52</v>
      </c>
      <c r="D5552" s="49">
        <v>45637</v>
      </c>
      <c r="E5552" s="49">
        <v>45639</v>
      </c>
      <c r="F5552" s="49">
        <v>45643</v>
      </c>
      <c r="G5552" s="49">
        <v>45649</v>
      </c>
      <c r="H5552" s="49">
        <v>45654</v>
      </c>
      <c r="I5552" s="49">
        <v>45657</v>
      </c>
      <c r="J5552" t="s">
        <v>49</v>
      </c>
      <c r="K5552" s="33">
        <v>1700</v>
      </c>
      <c r="L5552" t="s">
        <v>60</v>
      </c>
      <c r="M5552" t="str">
        <f>_xlfn.XLOOKUP(Pipeline_tbl[[#This Row],[Rep_ID]],Dim_Reps!A:A,Dim_Reps!K:K)</f>
        <v>EUR</v>
      </c>
      <c r="N5552" s="33">
        <f>(_xlfn.XLOOKUP(Pipeline_tbl[[#This Row],[Rate_Code_Generalized]],Lookups!A:A,Lookups!B:B))*Pipeline_tbl[[#This Row],[Pipeline_Amount_USD]]</f>
        <v>1700</v>
      </c>
      <c r="O5552" t="str">
        <f>_xlfn.XLOOKUP(Pipeline_tbl[[#This Row],[Rep_ID]],Dim_Reps!A:A,Dim_Reps!B:B)</f>
        <v>Lucas Okafor</v>
      </c>
      <c r="P5552" t="str">
        <f>_xlfn.XLOOKUP(Pipeline_tbl[[#This Row],[Rep_ID]],Dim_Reps!A:A,Dim_Reps!C:C)</f>
        <v>SDR / Inside Sales Rep</v>
      </c>
      <c r="Q5552" t="str">
        <f>_xlfn.XLOOKUP(Pipeline_tbl[[#This Row],[Rep_ID]],Dim_Reps!A:A,Dim_Reps!D:D)</f>
        <v>Inside Sales</v>
      </c>
      <c r="R5552" t="str">
        <f>_xlfn.XLOOKUP(Pipeline_tbl[[#This Row],[Rep_ID]],Dim_Reps!A:A,Dim_Reps!E:E)</f>
        <v>APAC</v>
      </c>
      <c r="S5552" t="str">
        <f>_xlfn.XLOOKUP(Pipeline_tbl[[#This Row],[Created_Date]],Dim_Date!A:A,Dim_Date!H:H)</f>
        <v>Dec 2024</v>
      </c>
      <c r="T5552" t="str">
        <f>IF(Pipeline_tbl[[#This Row],[Closed_Date]]=0,"",(_xlfn.XLOOKUP(Pipeline_tbl[[#This Row],[Closed_Date]],Dim_Date!A:A,Dim_Date!H:H)))</f>
        <v>Dec 2024</v>
      </c>
      <c r="U5552">
        <f>IF(Pipeline_tbl[[#This Row],[Closed_Date]]=0,"",Pipeline_tbl[[#This Row],[Closed_Date]]-Pipeline_tbl[[#This Row],[Created_Date]])</f>
        <v>20</v>
      </c>
    </row>
    <row r="5553" spans="1:21" ht="15" customHeight="1" x14ac:dyDescent="0.2">
      <c r="A5553" t="s">
        <v>5859</v>
      </c>
      <c r="B5553" t="s">
        <v>199</v>
      </c>
      <c r="C5553" t="s">
        <v>52</v>
      </c>
      <c r="D5553" s="49">
        <v>45630</v>
      </c>
      <c r="E5553" s="49">
        <v>45632</v>
      </c>
      <c r="F5553" s="49">
        <v>45636</v>
      </c>
      <c r="G5553" s="49">
        <v>45641</v>
      </c>
      <c r="H5553" s="49">
        <v>45646</v>
      </c>
      <c r="I5553" s="49">
        <v>45649</v>
      </c>
      <c r="J5553" t="s">
        <v>47</v>
      </c>
      <c r="K5553" s="33">
        <v>4800</v>
      </c>
      <c r="M5553" t="str">
        <f>_xlfn.XLOOKUP(Pipeline_tbl[[#This Row],[Rep_ID]],Dim_Reps!A:A,Dim_Reps!K:K)</f>
        <v>EUR</v>
      </c>
      <c r="N5553" s="33">
        <f>(_xlfn.XLOOKUP(Pipeline_tbl[[#This Row],[Rate_Code_Generalized]],Lookups!A:A,Lookups!B:B))*Pipeline_tbl[[#This Row],[Pipeline_Amount_USD]]</f>
        <v>4800</v>
      </c>
      <c r="O5553" t="str">
        <f>_xlfn.XLOOKUP(Pipeline_tbl[[#This Row],[Rep_ID]],Dim_Reps!A:A,Dim_Reps!B:B)</f>
        <v>Lucas Okafor</v>
      </c>
      <c r="P5553" t="str">
        <f>_xlfn.XLOOKUP(Pipeline_tbl[[#This Row],[Rep_ID]],Dim_Reps!A:A,Dim_Reps!C:C)</f>
        <v>SDR / Inside Sales Rep</v>
      </c>
      <c r="Q5553" t="str">
        <f>_xlfn.XLOOKUP(Pipeline_tbl[[#This Row],[Rep_ID]],Dim_Reps!A:A,Dim_Reps!D:D)</f>
        <v>Inside Sales</v>
      </c>
      <c r="R5553" t="str">
        <f>_xlfn.XLOOKUP(Pipeline_tbl[[#This Row],[Rep_ID]],Dim_Reps!A:A,Dim_Reps!E:E)</f>
        <v>APAC</v>
      </c>
      <c r="S5553" t="str">
        <f>_xlfn.XLOOKUP(Pipeline_tbl[[#This Row],[Created_Date]],Dim_Date!A:A,Dim_Date!H:H)</f>
        <v>Dec 2024</v>
      </c>
      <c r="T5553" t="str">
        <f>IF(Pipeline_tbl[[#This Row],[Closed_Date]]=0,"",(_xlfn.XLOOKUP(Pipeline_tbl[[#This Row],[Closed_Date]],Dim_Date!A:A,Dim_Date!H:H)))</f>
        <v>Dec 2024</v>
      </c>
      <c r="U5553">
        <f>IF(Pipeline_tbl[[#This Row],[Closed_Date]]=0,"",Pipeline_tbl[[#This Row],[Closed_Date]]-Pipeline_tbl[[#This Row],[Created_Date]])</f>
        <v>19</v>
      </c>
    </row>
    <row r="5554" spans="1:21" ht="15" customHeight="1" x14ac:dyDescent="0.2">
      <c r="A5554" t="s">
        <v>5860</v>
      </c>
      <c r="B5554" t="s">
        <v>199</v>
      </c>
      <c r="C5554" t="s">
        <v>52</v>
      </c>
      <c r="D5554" s="49">
        <v>45644</v>
      </c>
      <c r="E5554" s="49">
        <v>45645</v>
      </c>
      <c r="I5554" s="49">
        <v>45657</v>
      </c>
      <c r="J5554" t="s">
        <v>49</v>
      </c>
      <c r="K5554" s="33">
        <v>3200</v>
      </c>
      <c r="L5554" t="s">
        <v>60</v>
      </c>
      <c r="M5554" t="str">
        <f>_xlfn.XLOOKUP(Pipeline_tbl[[#This Row],[Rep_ID]],Dim_Reps!A:A,Dim_Reps!K:K)</f>
        <v>EUR</v>
      </c>
      <c r="N5554" s="33">
        <f>(_xlfn.XLOOKUP(Pipeline_tbl[[#This Row],[Rate_Code_Generalized]],Lookups!A:A,Lookups!B:B))*Pipeline_tbl[[#This Row],[Pipeline_Amount_USD]]</f>
        <v>3200</v>
      </c>
      <c r="O5554" t="str">
        <f>_xlfn.XLOOKUP(Pipeline_tbl[[#This Row],[Rep_ID]],Dim_Reps!A:A,Dim_Reps!B:B)</f>
        <v>Lucas Okafor</v>
      </c>
      <c r="P5554" t="str">
        <f>_xlfn.XLOOKUP(Pipeline_tbl[[#This Row],[Rep_ID]],Dim_Reps!A:A,Dim_Reps!C:C)</f>
        <v>SDR / Inside Sales Rep</v>
      </c>
      <c r="Q5554" t="str">
        <f>_xlfn.XLOOKUP(Pipeline_tbl[[#This Row],[Rep_ID]],Dim_Reps!A:A,Dim_Reps!D:D)</f>
        <v>Inside Sales</v>
      </c>
      <c r="R5554" t="str">
        <f>_xlfn.XLOOKUP(Pipeline_tbl[[#This Row],[Rep_ID]],Dim_Reps!A:A,Dim_Reps!E:E)</f>
        <v>APAC</v>
      </c>
      <c r="S5554" t="str">
        <f>_xlfn.XLOOKUP(Pipeline_tbl[[#This Row],[Created_Date]],Dim_Date!A:A,Dim_Date!H:H)</f>
        <v>Dec 2024</v>
      </c>
      <c r="T5554" t="str">
        <f>IF(Pipeline_tbl[[#This Row],[Closed_Date]]=0,"",(_xlfn.XLOOKUP(Pipeline_tbl[[#This Row],[Closed_Date]],Dim_Date!A:A,Dim_Date!H:H)))</f>
        <v>Dec 2024</v>
      </c>
      <c r="U5554">
        <f>IF(Pipeline_tbl[[#This Row],[Closed_Date]]=0,"",Pipeline_tbl[[#This Row],[Closed_Date]]-Pipeline_tbl[[#This Row],[Created_Date]])</f>
        <v>13</v>
      </c>
    </row>
    <row r="5555" spans="1:21" ht="15" customHeight="1" x14ac:dyDescent="0.2">
      <c r="A5555" t="s">
        <v>5861</v>
      </c>
      <c r="B5555" t="s">
        <v>199</v>
      </c>
      <c r="C5555" t="s">
        <v>54</v>
      </c>
      <c r="D5555" s="49">
        <v>45632</v>
      </c>
      <c r="E5555" s="49">
        <v>45633</v>
      </c>
      <c r="F5555" s="49">
        <v>45636</v>
      </c>
      <c r="G5555" s="49">
        <v>45640</v>
      </c>
      <c r="H5555" s="49">
        <v>45644</v>
      </c>
      <c r="I5555" s="49">
        <v>45646</v>
      </c>
      <c r="J5555" t="s">
        <v>47</v>
      </c>
      <c r="K5555" s="33">
        <v>4900</v>
      </c>
      <c r="M5555" t="str">
        <f>_xlfn.XLOOKUP(Pipeline_tbl[[#This Row],[Rep_ID]],Dim_Reps!A:A,Dim_Reps!K:K)</f>
        <v>EUR</v>
      </c>
      <c r="N5555" s="33">
        <f>(_xlfn.XLOOKUP(Pipeline_tbl[[#This Row],[Rate_Code_Generalized]],Lookups!A:A,Lookups!B:B))*Pipeline_tbl[[#This Row],[Pipeline_Amount_USD]]</f>
        <v>4900</v>
      </c>
      <c r="O5555" t="str">
        <f>_xlfn.XLOOKUP(Pipeline_tbl[[#This Row],[Rep_ID]],Dim_Reps!A:A,Dim_Reps!B:B)</f>
        <v>Lucas Okafor</v>
      </c>
      <c r="P5555" t="str">
        <f>_xlfn.XLOOKUP(Pipeline_tbl[[#This Row],[Rep_ID]],Dim_Reps!A:A,Dim_Reps!C:C)</f>
        <v>SDR / Inside Sales Rep</v>
      </c>
      <c r="Q5555" t="str">
        <f>_xlfn.XLOOKUP(Pipeline_tbl[[#This Row],[Rep_ID]],Dim_Reps!A:A,Dim_Reps!D:D)</f>
        <v>Inside Sales</v>
      </c>
      <c r="R5555" t="str">
        <f>_xlfn.XLOOKUP(Pipeline_tbl[[#This Row],[Rep_ID]],Dim_Reps!A:A,Dim_Reps!E:E)</f>
        <v>APAC</v>
      </c>
      <c r="S5555" t="str">
        <f>_xlfn.XLOOKUP(Pipeline_tbl[[#This Row],[Created_Date]],Dim_Date!A:A,Dim_Date!H:H)</f>
        <v>Dec 2024</v>
      </c>
      <c r="T5555" t="str">
        <f>IF(Pipeline_tbl[[#This Row],[Closed_Date]]=0,"",(_xlfn.XLOOKUP(Pipeline_tbl[[#This Row],[Closed_Date]],Dim_Date!A:A,Dim_Date!H:H)))</f>
        <v>Dec 2024</v>
      </c>
      <c r="U5555">
        <f>IF(Pipeline_tbl[[#This Row],[Closed_Date]]=0,"",Pipeline_tbl[[#This Row],[Closed_Date]]-Pipeline_tbl[[#This Row],[Created_Date]])</f>
        <v>14</v>
      </c>
    </row>
    <row r="5556" spans="1:21" ht="15" customHeight="1" x14ac:dyDescent="0.2">
      <c r="A5556" t="s">
        <v>5862</v>
      </c>
      <c r="B5556" t="s">
        <v>203</v>
      </c>
      <c r="C5556" t="s">
        <v>53</v>
      </c>
      <c r="D5556" s="49">
        <v>45636</v>
      </c>
      <c r="E5556" s="49">
        <v>45637</v>
      </c>
      <c r="F5556" s="49">
        <v>45640</v>
      </c>
      <c r="G5556" s="49">
        <v>45644</v>
      </c>
      <c r="H5556" s="49">
        <v>45647</v>
      </c>
      <c r="I5556" s="49">
        <v>45649</v>
      </c>
      <c r="J5556" t="s">
        <v>47</v>
      </c>
      <c r="K5556" s="33">
        <v>7400</v>
      </c>
      <c r="M5556" t="str">
        <f>_xlfn.XLOOKUP(Pipeline_tbl[[#This Row],[Rep_ID]],Dim_Reps!A:A,Dim_Reps!K:K)</f>
        <v>EUR</v>
      </c>
      <c r="N5556" s="33">
        <f>(_xlfn.XLOOKUP(Pipeline_tbl[[#This Row],[Rate_Code_Generalized]],Lookups!A:A,Lookups!B:B))*Pipeline_tbl[[#This Row],[Pipeline_Amount_USD]]</f>
        <v>7400</v>
      </c>
      <c r="O5556" t="str">
        <f>_xlfn.XLOOKUP(Pipeline_tbl[[#This Row],[Rep_ID]],Dim_Reps!A:A,Dim_Reps!B:B)</f>
        <v>Riley Haddad</v>
      </c>
      <c r="P5556" t="str">
        <f>_xlfn.XLOOKUP(Pipeline_tbl[[#This Row],[Rep_ID]],Dim_Reps!A:A,Dim_Reps!C:C)</f>
        <v>SDR / Inside Sales Rep</v>
      </c>
      <c r="Q5556" t="str">
        <f>_xlfn.XLOOKUP(Pipeline_tbl[[#This Row],[Rep_ID]],Dim_Reps!A:A,Dim_Reps!D:D)</f>
        <v>Inside Sales</v>
      </c>
      <c r="R5556" t="str">
        <f>_xlfn.XLOOKUP(Pipeline_tbl[[#This Row],[Rep_ID]],Dim_Reps!A:A,Dim_Reps!E:E)</f>
        <v>APAC</v>
      </c>
      <c r="S5556" t="str">
        <f>_xlfn.XLOOKUP(Pipeline_tbl[[#This Row],[Created_Date]],Dim_Date!A:A,Dim_Date!H:H)</f>
        <v>Dec 2024</v>
      </c>
      <c r="T5556" t="str">
        <f>IF(Pipeline_tbl[[#This Row],[Closed_Date]]=0,"",(_xlfn.XLOOKUP(Pipeline_tbl[[#This Row],[Closed_Date]],Dim_Date!A:A,Dim_Date!H:H)))</f>
        <v>Dec 2024</v>
      </c>
      <c r="U5556">
        <f>IF(Pipeline_tbl[[#This Row],[Closed_Date]]=0,"",Pipeline_tbl[[#This Row],[Closed_Date]]-Pipeline_tbl[[#This Row],[Created_Date]])</f>
        <v>13</v>
      </c>
    </row>
    <row r="5557" spans="1:21" ht="15" customHeight="1" x14ac:dyDescent="0.2">
      <c r="A5557" t="s">
        <v>5863</v>
      </c>
      <c r="B5557" t="s">
        <v>203</v>
      </c>
      <c r="C5557" t="s">
        <v>52</v>
      </c>
      <c r="D5557" s="49">
        <v>45627</v>
      </c>
      <c r="E5557" s="49">
        <v>45628</v>
      </c>
      <c r="F5557" s="49">
        <v>45630</v>
      </c>
      <c r="G5557" s="49">
        <v>45633</v>
      </c>
      <c r="I5557" s="49">
        <v>45637</v>
      </c>
      <c r="J5557" t="s">
        <v>49</v>
      </c>
      <c r="K5557" s="33">
        <v>3500</v>
      </c>
      <c r="L5557" t="s">
        <v>60</v>
      </c>
      <c r="M5557" t="str">
        <f>_xlfn.XLOOKUP(Pipeline_tbl[[#This Row],[Rep_ID]],Dim_Reps!A:A,Dim_Reps!K:K)</f>
        <v>EUR</v>
      </c>
      <c r="N5557" s="33">
        <f>(_xlfn.XLOOKUP(Pipeline_tbl[[#This Row],[Rate_Code_Generalized]],Lookups!A:A,Lookups!B:B))*Pipeline_tbl[[#This Row],[Pipeline_Amount_USD]]</f>
        <v>3500</v>
      </c>
      <c r="O5557" t="str">
        <f>_xlfn.XLOOKUP(Pipeline_tbl[[#This Row],[Rep_ID]],Dim_Reps!A:A,Dim_Reps!B:B)</f>
        <v>Riley Haddad</v>
      </c>
      <c r="P5557" t="str">
        <f>_xlfn.XLOOKUP(Pipeline_tbl[[#This Row],[Rep_ID]],Dim_Reps!A:A,Dim_Reps!C:C)</f>
        <v>SDR / Inside Sales Rep</v>
      </c>
      <c r="Q5557" t="str">
        <f>_xlfn.XLOOKUP(Pipeline_tbl[[#This Row],[Rep_ID]],Dim_Reps!A:A,Dim_Reps!D:D)</f>
        <v>Inside Sales</v>
      </c>
      <c r="R5557" t="str">
        <f>_xlfn.XLOOKUP(Pipeline_tbl[[#This Row],[Rep_ID]],Dim_Reps!A:A,Dim_Reps!E:E)</f>
        <v>APAC</v>
      </c>
      <c r="S5557" t="str">
        <f>_xlfn.XLOOKUP(Pipeline_tbl[[#This Row],[Created_Date]],Dim_Date!A:A,Dim_Date!H:H)</f>
        <v>Dec 2024</v>
      </c>
      <c r="T5557" t="str">
        <f>IF(Pipeline_tbl[[#This Row],[Closed_Date]]=0,"",(_xlfn.XLOOKUP(Pipeline_tbl[[#This Row],[Closed_Date]],Dim_Date!A:A,Dim_Date!H:H)))</f>
        <v>Dec 2024</v>
      </c>
      <c r="U5557">
        <f>IF(Pipeline_tbl[[#This Row],[Closed_Date]]=0,"",Pipeline_tbl[[#This Row],[Closed_Date]]-Pipeline_tbl[[#This Row],[Created_Date]])</f>
        <v>10</v>
      </c>
    </row>
    <row r="5558" spans="1:21" ht="15" customHeight="1" x14ac:dyDescent="0.2">
      <c r="A5558" t="s">
        <v>5864</v>
      </c>
      <c r="B5558" t="s">
        <v>203</v>
      </c>
      <c r="C5558" t="s">
        <v>52</v>
      </c>
      <c r="D5558" s="49">
        <v>45628</v>
      </c>
      <c r="E5558" s="49">
        <v>45630</v>
      </c>
      <c r="F5558" s="49">
        <v>45634</v>
      </c>
      <c r="I5558" s="49">
        <v>45649</v>
      </c>
      <c r="J5558" t="s">
        <v>49</v>
      </c>
      <c r="K5558" s="33">
        <v>2900</v>
      </c>
      <c r="L5558" t="s">
        <v>62</v>
      </c>
      <c r="M5558" t="str">
        <f>_xlfn.XLOOKUP(Pipeline_tbl[[#This Row],[Rep_ID]],Dim_Reps!A:A,Dim_Reps!K:K)</f>
        <v>EUR</v>
      </c>
      <c r="N5558" s="33">
        <f>(_xlfn.XLOOKUP(Pipeline_tbl[[#This Row],[Rate_Code_Generalized]],Lookups!A:A,Lookups!B:B))*Pipeline_tbl[[#This Row],[Pipeline_Amount_USD]]</f>
        <v>2900</v>
      </c>
      <c r="O5558" t="str">
        <f>_xlfn.XLOOKUP(Pipeline_tbl[[#This Row],[Rep_ID]],Dim_Reps!A:A,Dim_Reps!B:B)</f>
        <v>Riley Haddad</v>
      </c>
      <c r="P5558" t="str">
        <f>_xlfn.XLOOKUP(Pipeline_tbl[[#This Row],[Rep_ID]],Dim_Reps!A:A,Dim_Reps!C:C)</f>
        <v>SDR / Inside Sales Rep</v>
      </c>
      <c r="Q5558" t="str">
        <f>_xlfn.XLOOKUP(Pipeline_tbl[[#This Row],[Rep_ID]],Dim_Reps!A:A,Dim_Reps!D:D)</f>
        <v>Inside Sales</v>
      </c>
      <c r="R5558" t="str">
        <f>_xlfn.XLOOKUP(Pipeline_tbl[[#This Row],[Rep_ID]],Dim_Reps!A:A,Dim_Reps!E:E)</f>
        <v>APAC</v>
      </c>
      <c r="S5558" t="str">
        <f>_xlfn.XLOOKUP(Pipeline_tbl[[#This Row],[Created_Date]],Dim_Date!A:A,Dim_Date!H:H)</f>
        <v>Dec 2024</v>
      </c>
      <c r="T5558" t="str">
        <f>IF(Pipeline_tbl[[#This Row],[Closed_Date]]=0,"",(_xlfn.XLOOKUP(Pipeline_tbl[[#This Row],[Closed_Date]],Dim_Date!A:A,Dim_Date!H:H)))</f>
        <v>Dec 2024</v>
      </c>
      <c r="U5558">
        <f>IF(Pipeline_tbl[[#This Row],[Closed_Date]]=0,"",Pipeline_tbl[[#This Row],[Closed_Date]]-Pipeline_tbl[[#This Row],[Created_Date]])</f>
        <v>21</v>
      </c>
    </row>
    <row r="5559" spans="1:21" ht="15" customHeight="1" x14ac:dyDescent="0.2">
      <c r="A5559" t="s">
        <v>5865</v>
      </c>
      <c r="B5559" t="s">
        <v>203</v>
      </c>
      <c r="C5559" t="s">
        <v>52</v>
      </c>
      <c r="D5559" s="49">
        <v>45637</v>
      </c>
      <c r="E5559" s="49">
        <v>45638</v>
      </c>
      <c r="F5559" s="49">
        <v>45641</v>
      </c>
      <c r="G5559" s="49">
        <v>45645</v>
      </c>
      <c r="I5559" s="49">
        <v>45651</v>
      </c>
      <c r="J5559" t="s">
        <v>49</v>
      </c>
      <c r="K5559" s="33">
        <v>1700</v>
      </c>
      <c r="L5559" t="s">
        <v>63</v>
      </c>
      <c r="M5559" t="str">
        <f>_xlfn.XLOOKUP(Pipeline_tbl[[#This Row],[Rep_ID]],Dim_Reps!A:A,Dim_Reps!K:K)</f>
        <v>EUR</v>
      </c>
      <c r="N5559" s="33">
        <f>(_xlfn.XLOOKUP(Pipeline_tbl[[#This Row],[Rate_Code_Generalized]],Lookups!A:A,Lookups!B:B))*Pipeline_tbl[[#This Row],[Pipeline_Amount_USD]]</f>
        <v>1700</v>
      </c>
      <c r="O5559" t="str">
        <f>_xlfn.XLOOKUP(Pipeline_tbl[[#This Row],[Rep_ID]],Dim_Reps!A:A,Dim_Reps!B:B)</f>
        <v>Riley Haddad</v>
      </c>
      <c r="P5559" t="str">
        <f>_xlfn.XLOOKUP(Pipeline_tbl[[#This Row],[Rep_ID]],Dim_Reps!A:A,Dim_Reps!C:C)</f>
        <v>SDR / Inside Sales Rep</v>
      </c>
      <c r="Q5559" t="str">
        <f>_xlfn.XLOOKUP(Pipeline_tbl[[#This Row],[Rep_ID]],Dim_Reps!A:A,Dim_Reps!D:D)</f>
        <v>Inside Sales</v>
      </c>
      <c r="R5559" t="str">
        <f>_xlfn.XLOOKUP(Pipeline_tbl[[#This Row],[Rep_ID]],Dim_Reps!A:A,Dim_Reps!E:E)</f>
        <v>APAC</v>
      </c>
      <c r="S5559" t="str">
        <f>_xlfn.XLOOKUP(Pipeline_tbl[[#This Row],[Created_Date]],Dim_Date!A:A,Dim_Date!H:H)</f>
        <v>Dec 2024</v>
      </c>
      <c r="T5559" t="str">
        <f>IF(Pipeline_tbl[[#This Row],[Closed_Date]]=0,"",(_xlfn.XLOOKUP(Pipeline_tbl[[#This Row],[Closed_Date]],Dim_Date!A:A,Dim_Date!H:H)))</f>
        <v>Dec 2024</v>
      </c>
      <c r="U5559">
        <f>IF(Pipeline_tbl[[#This Row],[Closed_Date]]=0,"",Pipeline_tbl[[#This Row],[Closed_Date]]-Pipeline_tbl[[#This Row],[Created_Date]])</f>
        <v>14</v>
      </c>
    </row>
    <row r="5560" spans="1:21" ht="15" customHeight="1" x14ac:dyDescent="0.2">
      <c r="A5560" t="s">
        <v>5866</v>
      </c>
      <c r="B5560" t="s">
        <v>203</v>
      </c>
      <c r="C5560" t="s">
        <v>53</v>
      </c>
      <c r="D5560" s="49">
        <v>45628</v>
      </c>
      <c r="E5560" s="49">
        <v>45629</v>
      </c>
      <c r="F5560" s="49">
        <v>45630</v>
      </c>
      <c r="G5560" s="49">
        <v>45633</v>
      </c>
      <c r="H5560" s="49">
        <v>45635</v>
      </c>
      <c r="I5560" s="49">
        <v>45636</v>
      </c>
      <c r="J5560" t="s">
        <v>47</v>
      </c>
      <c r="K5560" s="33">
        <v>1400</v>
      </c>
      <c r="M5560" t="str">
        <f>_xlfn.XLOOKUP(Pipeline_tbl[[#This Row],[Rep_ID]],Dim_Reps!A:A,Dim_Reps!K:K)</f>
        <v>EUR</v>
      </c>
      <c r="N5560" s="33">
        <f>(_xlfn.XLOOKUP(Pipeline_tbl[[#This Row],[Rate_Code_Generalized]],Lookups!A:A,Lookups!B:B))*Pipeline_tbl[[#This Row],[Pipeline_Amount_USD]]</f>
        <v>1400</v>
      </c>
      <c r="O5560" t="str">
        <f>_xlfn.XLOOKUP(Pipeline_tbl[[#This Row],[Rep_ID]],Dim_Reps!A:A,Dim_Reps!B:B)</f>
        <v>Riley Haddad</v>
      </c>
      <c r="P5560" t="str">
        <f>_xlfn.XLOOKUP(Pipeline_tbl[[#This Row],[Rep_ID]],Dim_Reps!A:A,Dim_Reps!C:C)</f>
        <v>SDR / Inside Sales Rep</v>
      </c>
      <c r="Q5560" t="str">
        <f>_xlfn.XLOOKUP(Pipeline_tbl[[#This Row],[Rep_ID]],Dim_Reps!A:A,Dim_Reps!D:D)</f>
        <v>Inside Sales</v>
      </c>
      <c r="R5560" t="str">
        <f>_xlfn.XLOOKUP(Pipeline_tbl[[#This Row],[Rep_ID]],Dim_Reps!A:A,Dim_Reps!E:E)</f>
        <v>APAC</v>
      </c>
      <c r="S5560" t="str">
        <f>_xlfn.XLOOKUP(Pipeline_tbl[[#This Row],[Created_Date]],Dim_Date!A:A,Dim_Date!H:H)</f>
        <v>Dec 2024</v>
      </c>
      <c r="T5560" t="str">
        <f>IF(Pipeline_tbl[[#This Row],[Closed_Date]]=0,"",(_xlfn.XLOOKUP(Pipeline_tbl[[#This Row],[Closed_Date]],Dim_Date!A:A,Dim_Date!H:H)))</f>
        <v>Dec 2024</v>
      </c>
      <c r="U5560">
        <f>IF(Pipeline_tbl[[#This Row],[Closed_Date]]=0,"",Pipeline_tbl[[#This Row],[Closed_Date]]-Pipeline_tbl[[#This Row],[Created_Date]])</f>
        <v>8</v>
      </c>
    </row>
    <row r="5561" spans="1:21" ht="15" customHeight="1" x14ac:dyDescent="0.2">
      <c r="A5561" t="s">
        <v>5867</v>
      </c>
      <c r="B5561" t="s">
        <v>203</v>
      </c>
      <c r="C5561" t="s">
        <v>54</v>
      </c>
      <c r="D5561" s="49">
        <v>45636</v>
      </c>
      <c r="E5561" s="49">
        <v>45637</v>
      </c>
      <c r="F5561" s="49">
        <v>45640</v>
      </c>
      <c r="G5561" s="49">
        <v>45644</v>
      </c>
      <c r="I5561" s="49">
        <v>45650</v>
      </c>
      <c r="J5561" t="s">
        <v>49</v>
      </c>
      <c r="K5561" s="33">
        <v>2600</v>
      </c>
      <c r="L5561" t="s">
        <v>60</v>
      </c>
      <c r="M5561" t="str">
        <f>_xlfn.XLOOKUP(Pipeline_tbl[[#This Row],[Rep_ID]],Dim_Reps!A:A,Dim_Reps!K:K)</f>
        <v>EUR</v>
      </c>
      <c r="N5561" s="33">
        <f>(_xlfn.XLOOKUP(Pipeline_tbl[[#This Row],[Rate_Code_Generalized]],Lookups!A:A,Lookups!B:B))*Pipeline_tbl[[#This Row],[Pipeline_Amount_USD]]</f>
        <v>2600</v>
      </c>
      <c r="O5561" t="str">
        <f>_xlfn.XLOOKUP(Pipeline_tbl[[#This Row],[Rep_ID]],Dim_Reps!A:A,Dim_Reps!B:B)</f>
        <v>Riley Haddad</v>
      </c>
      <c r="P5561" t="str">
        <f>_xlfn.XLOOKUP(Pipeline_tbl[[#This Row],[Rep_ID]],Dim_Reps!A:A,Dim_Reps!C:C)</f>
        <v>SDR / Inside Sales Rep</v>
      </c>
      <c r="Q5561" t="str">
        <f>_xlfn.XLOOKUP(Pipeline_tbl[[#This Row],[Rep_ID]],Dim_Reps!A:A,Dim_Reps!D:D)</f>
        <v>Inside Sales</v>
      </c>
      <c r="R5561" t="str">
        <f>_xlfn.XLOOKUP(Pipeline_tbl[[#This Row],[Rep_ID]],Dim_Reps!A:A,Dim_Reps!E:E)</f>
        <v>APAC</v>
      </c>
      <c r="S5561" t="str">
        <f>_xlfn.XLOOKUP(Pipeline_tbl[[#This Row],[Created_Date]],Dim_Date!A:A,Dim_Date!H:H)</f>
        <v>Dec 2024</v>
      </c>
      <c r="T5561" t="str">
        <f>IF(Pipeline_tbl[[#This Row],[Closed_Date]]=0,"",(_xlfn.XLOOKUP(Pipeline_tbl[[#This Row],[Closed_Date]],Dim_Date!A:A,Dim_Date!H:H)))</f>
        <v>Dec 2024</v>
      </c>
      <c r="U5561">
        <f>IF(Pipeline_tbl[[#This Row],[Closed_Date]]=0,"",Pipeline_tbl[[#This Row],[Closed_Date]]-Pipeline_tbl[[#This Row],[Created_Date]])</f>
        <v>14</v>
      </c>
    </row>
    <row r="5562" spans="1:21" ht="15" customHeight="1" x14ac:dyDescent="0.2">
      <c r="A5562" t="s">
        <v>5868</v>
      </c>
      <c r="B5562" t="s">
        <v>203</v>
      </c>
      <c r="C5562" t="s">
        <v>52</v>
      </c>
      <c r="D5562" s="49">
        <v>45638</v>
      </c>
      <c r="E5562" s="49">
        <v>45638</v>
      </c>
      <c r="F5562" s="49">
        <v>45640</v>
      </c>
      <c r="G5562" s="49">
        <v>45641</v>
      </c>
      <c r="H5562" s="49">
        <v>45642</v>
      </c>
      <c r="I5562" s="49">
        <v>45643</v>
      </c>
      <c r="J5562" t="s">
        <v>47</v>
      </c>
      <c r="K5562" s="33">
        <v>7500</v>
      </c>
      <c r="M5562" t="str">
        <f>_xlfn.XLOOKUP(Pipeline_tbl[[#This Row],[Rep_ID]],Dim_Reps!A:A,Dim_Reps!K:K)</f>
        <v>EUR</v>
      </c>
      <c r="N5562" s="33">
        <f>(_xlfn.XLOOKUP(Pipeline_tbl[[#This Row],[Rate_Code_Generalized]],Lookups!A:A,Lookups!B:B))*Pipeline_tbl[[#This Row],[Pipeline_Amount_USD]]</f>
        <v>7500</v>
      </c>
      <c r="O5562" t="str">
        <f>_xlfn.XLOOKUP(Pipeline_tbl[[#This Row],[Rep_ID]],Dim_Reps!A:A,Dim_Reps!B:B)</f>
        <v>Riley Haddad</v>
      </c>
      <c r="P5562" t="str">
        <f>_xlfn.XLOOKUP(Pipeline_tbl[[#This Row],[Rep_ID]],Dim_Reps!A:A,Dim_Reps!C:C)</f>
        <v>SDR / Inside Sales Rep</v>
      </c>
      <c r="Q5562" t="str">
        <f>_xlfn.XLOOKUP(Pipeline_tbl[[#This Row],[Rep_ID]],Dim_Reps!A:A,Dim_Reps!D:D)</f>
        <v>Inside Sales</v>
      </c>
      <c r="R5562" t="str">
        <f>_xlfn.XLOOKUP(Pipeline_tbl[[#This Row],[Rep_ID]],Dim_Reps!A:A,Dim_Reps!E:E)</f>
        <v>APAC</v>
      </c>
      <c r="S5562" t="str">
        <f>_xlfn.XLOOKUP(Pipeline_tbl[[#This Row],[Created_Date]],Dim_Date!A:A,Dim_Date!H:H)</f>
        <v>Dec 2024</v>
      </c>
      <c r="T5562" t="str">
        <f>IF(Pipeline_tbl[[#This Row],[Closed_Date]]=0,"",(_xlfn.XLOOKUP(Pipeline_tbl[[#This Row],[Closed_Date]],Dim_Date!A:A,Dim_Date!H:H)))</f>
        <v>Dec 2024</v>
      </c>
      <c r="U5562">
        <f>IF(Pipeline_tbl[[#This Row],[Closed_Date]]=0,"",Pipeline_tbl[[#This Row],[Closed_Date]]-Pipeline_tbl[[#This Row],[Created_Date]])</f>
        <v>5</v>
      </c>
    </row>
    <row r="5563" spans="1:21" ht="15" customHeight="1" x14ac:dyDescent="0.2">
      <c r="A5563" t="s">
        <v>5869</v>
      </c>
      <c r="B5563" t="s">
        <v>205</v>
      </c>
      <c r="C5563" t="s">
        <v>53</v>
      </c>
      <c r="D5563" s="49">
        <v>45639</v>
      </c>
      <c r="E5563" s="49">
        <v>45641</v>
      </c>
      <c r="F5563" s="49">
        <v>45644</v>
      </c>
      <c r="G5563" s="49">
        <v>45649</v>
      </c>
      <c r="I5563" s="49">
        <v>45656</v>
      </c>
      <c r="J5563" t="s">
        <v>49</v>
      </c>
      <c r="K5563" s="33">
        <v>3100</v>
      </c>
      <c r="L5563" t="s">
        <v>60</v>
      </c>
      <c r="M5563" t="str">
        <f>_xlfn.XLOOKUP(Pipeline_tbl[[#This Row],[Rep_ID]],Dim_Reps!A:A,Dim_Reps!K:K)</f>
        <v>EUR</v>
      </c>
      <c r="N5563" s="33">
        <f>(_xlfn.XLOOKUP(Pipeline_tbl[[#This Row],[Rate_Code_Generalized]],Lookups!A:A,Lookups!B:B))*Pipeline_tbl[[#This Row],[Pipeline_Amount_USD]]</f>
        <v>3100</v>
      </c>
      <c r="O5563" t="str">
        <f>_xlfn.XLOOKUP(Pipeline_tbl[[#This Row],[Rep_ID]],Dim_Reps!A:A,Dim_Reps!B:B)</f>
        <v>Karim Alvarez</v>
      </c>
      <c r="P5563" t="str">
        <f>_xlfn.XLOOKUP(Pipeline_tbl[[#This Row],[Rep_ID]],Dim_Reps!A:A,Dim_Reps!C:C)</f>
        <v>SDR / Inside Sales Rep</v>
      </c>
      <c r="Q5563" t="str">
        <f>_xlfn.XLOOKUP(Pipeline_tbl[[#This Row],[Rep_ID]],Dim_Reps!A:A,Dim_Reps!D:D)</f>
        <v>Inside Sales</v>
      </c>
      <c r="R5563" t="str">
        <f>_xlfn.XLOOKUP(Pipeline_tbl[[#This Row],[Rep_ID]],Dim_Reps!A:A,Dim_Reps!E:E)</f>
        <v>EMEA</v>
      </c>
      <c r="S5563" t="str">
        <f>_xlfn.XLOOKUP(Pipeline_tbl[[#This Row],[Created_Date]],Dim_Date!A:A,Dim_Date!H:H)</f>
        <v>Dec 2024</v>
      </c>
      <c r="T5563" t="str">
        <f>IF(Pipeline_tbl[[#This Row],[Closed_Date]]=0,"",(_xlfn.XLOOKUP(Pipeline_tbl[[#This Row],[Closed_Date]],Dim_Date!A:A,Dim_Date!H:H)))</f>
        <v>Dec 2024</v>
      </c>
      <c r="U5563">
        <f>IF(Pipeline_tbl[[#This Row],[Closed_Date]]=0,"",Pipeline_tbl[[#This Row],[Closed_Date]]-Pipeline_tbl[[#This Row],[Created_Date]])</f>
        <v>17</v>
      </c>
    </row>
    <row r="5564" spans="1:21" ht="15" customHeight="1" x14ac:dyDescent="0.2">
      <c r="A5564" t="s">
        <v>5870</v>
      </c>
      <c r="B5564" t="s">
        <v>205</v>
      </c>
      <c r="C5564" t="s">
        <v>52</v>
      </c>
      <c r="D5564" s="49">
        <v>45640</v>
      </c>
      <c r="E5564" s="49">
        <v>45642</v>
      </c>
      <c r="F5564" s="49">
        <v>45645</v>
      </c>
      <c r="G5564" s="49">
        <v>45650</v>
      </c>
      <c r="H5564" s="49">
        <v>45654</v>
      </c>
      <c r="I5564" s="49">
        <v>45657</v>
      </c>
      <c r="J5564" t="s">
        <v>47</v>
      </c>
      <c r="K5564" s="33">
        <v>3800</v>
      </c>
      <c r="M5564" t="str">
        <f>_xlfn.XLOOKUP(Pipeline_tbl[[#This Row],[Rep_ID]],Dim_Reps!A:A,Dim_Reps!K:K)</f>
        <v>EUR</v>
      </c>
      <c r="N5564" s="33">
        <f>(_xlfn.XLOOKUP(Pipeline_tbl[[#This Row],[Rate_Code_Generalized]],Lookups!A:A,Lookups!B:B))*Pipeline_tbl[[#This Row],[Pipeline_Amount_USD]]</f>
        <v>3800</v>
      </c>
      <c r="O5564" t="str">
        <f>_xlfn.XLOOKUP(Pipeline_tbl[[#This Row],[Rep_ID]],Dim_Reps!A:A,Dim_Reps!B:B)</f>
        <v>Karim Alvarez</v>
      </c>
      <c r="P5564" t="str">
        <f>_xlfn.XLOOKUP(Pipeline_tbl[[#This Row],[Rep_ID]],Dim_Reps!A:A,Dim_Reps!C:C)</f>
        <v>SDR / Inside Sales Rep</v>
      </c>
      <c r="Q5564" t="str">
        <f>_xlfn.XLOOKUP(Pipeline_tbl[[#This Row],[Rep_ID]],Dim_Reps!A:A,Dim_Reps!D:D)</f>
        <v>Inside Sales</v>
      </c>
      <c r="R5564" t="str">
        <f>_xlfn.XLOOKUP(Pipeline_tbl[[#This Row],[Rep_ID]],Dim_Reps!A:A,Dim_Reps!E:E)</f>
        <v>EMEA</v>
      </c>
      <c r="S5564" t="str">
        <f>_xlfn.XLOOKUP(Pipeline_tbl[[#This Row],[Created_Date]],Dim_Date!A:A,Dim_Date!H:H)</f>
        <v>Dec 2024</v>
      </c>
      <c r="T5564" t="str">
        <f>IF(Pipeline_tbl[[#This Row],[Closed_Date]]=0,"",(_xlfn.XLOOKUP(Pipeline_tbl[[#This Row],[Closed_Date]],Dim_Date!A:A,Dim_Date!H:H)))</f>
        <v>Dec 2024</v>
      </c>
      <c r="U5564">
        <f>IF(Pipeline_tbl[[#This Row],[Closed_Date]]=0,"",Pipeline_tbl[[#This Row],[Closed_Date]]-Pipeline_tbl[[#This Row],[Created_Date]])</f>
        <v>17</v>
      </c>
    </row>
    <row r="5565" spans="1:21" ht="15" customHeight="1" x14ac:dyDescent="0.2">
      <c r="A5565" t="s">
        <v>5871</v>
      </c>
      <c r="B5565" t="s">
        <v>205</v>
      </c>
      <c r="C5565" t="s">
        <v>53</v>
      </c>
      <c r="D5565" s="49">
        <v>45630</v>
      </c>
      <c r="E5565" s="49">
        <v>45631</v>
      </c>
      <c r="F5565" s="49">
        <v>45633</v>
      </c>
      <c r="G5565" s="49">
        <v>45637</v>
      </c>
      <c r="H5565" s="49">
        <v>45639</v>
      </c>
      <c r="I5565" s="49">
        <v>45641</v>
      </c>
      <c r="J5565" t="s">
        <v>47</v>
      </c>
      <c r="K5565" s="33">
        <v>6100</v>
      </c>
      <c r="M5565" t="str">
        <f>_xlfn.XLOOKUP(Pipeline_tbl[[#This Row],[Rep_ID]],Dim_Reps!A:A,Dim_Reps!K:K)</f>
        <v>EUR</v>
      </c>
      <c r="N5565" s="33">
        <f>(_xlfn.XLOOKUP(Pipeline_tbl[[#This Row],[Rate_Code_Generalized]],Lookups!A:A,Lookups!B:B))*Pipeline_tbl[[#This Row],[Pipeline_Amount_USD]]</f>
        <v>6100</v>
      </c>
      <c r="O5565" t="str">
        <f>_xlfn.XLOOKUP(Pipeline_tbl[[#This Row],[Rep_ID]],Dim_Reps!A:A,Dim_Reps!B:B)</f>
        <v>Karim Alvarez</v>
      </c>
      <c r="P5565" t="str">
        <f>_xlfn.XLOOKUP(Pipeline_tbl[[#This Row],[Rep_ID]],Dim_Reps!A:A,Dim_Reps!C:C)</f>
        <v>SDR / Inside Sales Rep</v>
      </c>
      <c r="Q5565" t="str">
        <f>_xlfn.XLOOKUP(Pipeline_tbl[[#This Row],[Rep_ID]],Dim_Reps!A:A,Dim_Reps!D:D)</f>
        <v>Inside Sales</v>
      </c>
      <c r="R5565" t="str">
        <f>_xlfn.XLOOKUP(Pipeline_tbl[[#This Row],[Rep_ID]],Dim_Reps!A:A,Dim_Reps!E:E)</f>
        <v>EMEA</v>
      </c>
      <c r="S5565" t="str">
        <f>_xlfn.XLOOKUP(Pipeline_tbl[[#This Row],[Created_Date]],Dim_Date!A:A,Dim_Date!H:H)</f>
        <v>Dec 2024</v>
      </c>
      <c r="T5565" t="str">
        <f>IF(Pipeline_tbl[[#This Row],[Closed_Date]]=0,"",(_xlfn.XLOOKUP(Pipeline_tbl[[#This Row],[Closed_Date]],Dim_Date!A:A,Dim_Date!H:H)))</f>
        <v>Dec 2024</v>
      </c>
      <c r="U5565">
        <f>IF(Pipeline_tbl[[#This Row],[Closed_Date]]=0,"",Pipeline_tbl[[#This Row],[Closed_Date]]-Pipeline_tbl[[#This Row],[Created_Date]])</f>
        <v>11</v>
      </c>
    </row>
    <row r="5566" spans="1:21" ht="15" customHeight="1" x14ac:dyDescent="0.2">
      <c r="A5566" t="s">
        <v>5872</v>
      </c>
      <c r="B5566" t="s">
        <v>205</v>
      </c>
      <c r="C5566" t="s">
        <v>56</v>
      </c>
      <c r="D5566" s="49">
        <v>45640</v>
      </c>
      <c r="E5566" s="49">
        <v>45641</v>
      </c>
      <c r="F5566" s="49">
        <v>45644</v>
      </c>
      <c r="G5566" s="49">
        <v>45648</v>
      </c>
      <c r="H5566" s="49">
        <v>45652</v>
      </c>
      <c r="I5566" s="49">
        <v>45654</v>
      </c>
      <c r="J5566" t="s">
        <v>47</v>
      </c>
      <c r="K5566" s="33">
        <v>7700</v>
      </c>
      <c r="M5566" t="str">
        <f>_xlfn.XLOOKUP(Pipeline_tbl[[#This Row],[Rep_ID]],Dim_Reps!A:A,Dim_Reps!K:K)</f>
        <v>EUR</v>
      </c>
      <c r="N5566" s="33">
        <f>(_xlfn.XLOOKUP(Pipeline_tbl[[#This Row],[Rate_Code_Generalized]],Lookups!A:A,Lookups!B:B))*Pipeline_tbl[[#This Row],[Pipeline_Amount_USD]]</f>
        <v>7700</v>
      </c>
      <c r="O5566" t="str">
        <f>_xlfn.XLOOKUP(Pipeline_tbl[[#This Row],[Rep_ID]],Dim_Reps!A:A,Dim_Reps!B:B)</f>
        <v>Karim Alvarez</v>
      </c>
      <c r="P5566" t="str">
        <f>_xlfn.XLOOKUP(Pipeline_tbl[[#This Row],[Rep_ID]],Dim_Reps!A:A,Dim_Reps!C:C)</f>
        <v>SDR / Inside Sales Rep</v>
      </c>
      <c r="Q5566" t="str">
        <f>_xlfn.XLOOKUP(Pipeline_tbl[[#This Row],[Rep_ID]],Dim_Reps!A:A,Dim_Reps!D:D)</f>
        <v>Inside Sales</v>
      </c>
      <c r="R5566" t="str">
        <f>_xlfn.XLOOKUP(Pipeline_tbl[[#This Row],[Rep_ID]],Dim_Reps!A:A,Dim_Reps!E:E)</f>
        <v>EMEA</v>
      </c>
      <c r="S5566" t="str">
        <f>_xlfn.XLOOKUP(Pipeline_tbl[[#This Row],[Created_Date]],Dim_Date!A:A,Dim_Date!H:H)</f>
        <v>Dec 2024</v>
      </c>
      <c r="T5566" t="str">
        <f>IF(Pipeline_tbl[[#This Row],[Closed_Date]]=0,"",(_xlfn.XLOOKUP(Pipeline_tbl[[#This Row],[Closed_Date]],Dim_Date!A:A,Dim_Date!H:H)))</f>
        <v>Dec 2024</v>
      </c>
      <c r="U5566">
        <f>IF(Pipeline_tbl[[#This Row],[Closed_Date]]=0,"",Pipeline_tbl[[#This Row],[Closed_Date]]-Pipeline_tbl[[#This Row],[Created_Date]])</f>
        <v>14</v>
      </c>
    </row>
    <row r="5567" spans="1:21" ht="15" customHeight="1" x14ac:dyDescent="0.2">
      <c r="A5567" t="s">
        <v>5873</v>
      </c>
      <c r="B5567" t="s">
        <v>205</v>
      </c>
      <c r="C5567" t="s">
        <v>54</v>
      </c>
      <c r="D5567" s="49">
        <v>45635</v>
      </c>
      <c r="E5567" s="49">
        <v>45637</v>
      </c>
      <c r="F5567" s="49">
        <v>45640</v>
      </c>
      <c r="G5567" s="49">
        <v>45645</v>
      </c>
      <c r="H5567" s="49">
        <v>45649</v>
      </c>
      <c r="I5567" s="49">
        <v>45652</v>
      </c>
      <c r="J5567" t="s">
        <v>47</v>
      </c>
      <c r="K5567" s="33">
        <v>4800</v>
      </c>
      <c r="M5567" t="str">
        <f>_xlfn.XLOOKUP(Pipeline_tbl[[#This Row],[Rep_ID]],Dim_Reps!A:A,Dim_Reps!K:K)</f>
        <v>EUR</v>
      </c>
      <c r="N5567" s="33">
        <f>(_xlfn.XLOOKUP(Pipeline_tbl[[#This Row],[Rate_Code_Generalized]],Lookups!A:A,Lookups!B:B))*Pipeline_tbl[[#This Row],[Pipeline_Amount_USD]]</f>
        <v>4800</v>
      </c>
      <c r="O5567" t="str">
        <f>_xlfn.XLOOKUP(Pipeline_tbl[[#This Row],[Rep_ID]],Dim_Reps!A:A,Dim_Reps!B:B)</f>
        <v>Karim Alvarez</v>
      </c>
      <c r="P5567" t="str">
        <f>_xlfn.XLOOKUP(Pipeline_tbl[[#This Row],[Rep_ID]],Dim_Reps!A:A,Dim_Reps!C:C)</f>
        <v>SDR / Inside Sales Rep</v>
      </c>
      <c r="Q5567" t="str">
        <f>_xlfn.XLOOKUP(Pipeline_tbl[[#This Row],[Rep_ID]],Dim_Reps!A:A,Dim_Reps!D:D)</f>
        <v>Inside Sales</v>
      </c>
      <c r="R5567" t="str">
        <f>_xlfn.XLOOKUP(Pipeline_tbl[[#This Row],[Rep_ID]],Dim_Reps!A:A,Dim_Reps!E:E)</f>
        <v>EMEA</v>
      </c>
      <c r="S5567" t="str">
        <f>_xlfn.XLOOKUP(Pipeline_tbl[[#This Row],[Created_Date]],Dim_Date!A:A,Dim_Date!H:H)</f>
        <v>Dec 2024</v>
      </c>
      <c r="T5567" t="str">
        <f>IF(Pipeline_tbl[[#This Row],[Closed_Date]]=0,"",(_xlfn.XLOOKUP(Pipeline_tbl[[#This Row],[Closed_Date]],Dim_Date!A:A,Dim_Date!H:H)))</f>
        <v>Dec 2024</v>
      </c>
      <c r="U5567">
        <f>IF(Pipeline_tbl[[#This Row],[Closed_Date]]=0,"",Pipeline_tbl[[#This Row],[Closed_Date]]-Pipeline_tbl[[#This Row],[Created_Date]])</f>
        <v>17</v>
      </c>
    </row>
    <row r="5568" spans="1:21" ht="15" customHeight="1" x14ac:dyDescent="0.2">
      <c r="A5568" t="s">
        <v>5874</v>
      </c>
      <c r="B5568" t="s">
        <v>205</v>
      </c>
      <c r="C5568" t="s">
        <v>53</v>
      </c>
      <c r="D5568" s="49">
        <v>45631</v>
      </c>
      <c r="E5568" s="49">
        <v>45632</v>
      </c>
      <c r="F5568" s="49">
        <v>45635</v>
      </c>
      <c r="G5568" s="49">
        <v>45638</v>
      </c>
      <c r="H5568" s="49">
        <v>45641</v>
      </c>
      <c r="I5568" s="49">
        <v>45643</v>
      </c>
      <c r="J5568" t="s">
        <v>47</v>
      </c>
      <c r="K5568" s="33">
        <v>2800</v>
      </c>
      <c r="M5568" t="str">
        <f>_xlfn.XLOOKUP(Pipeline_tbl[[#This Row],[Rep_ID]],Dim_Reps!A:A,Dim_Reps!K:K)</f>
        <v>EUR</v>
      </c>
      <c r="N5568" s="33">
        <f>(_xlfn.XLOOKUP(Pipeline_tbl[[#This Row],[Rate_Code_Generalized]],Lookups!A:A,Lookups!B:B))*Pipeline_tbl[[#This Row],[Pipeline_Amount_USD]]</f>
        <v>2800</v>
      </c>
      <c r="O5568" t="str">
        <f>_xlfn.XLOOKUP(Pipeline_tbl[[#This Row],[Rep_ID]],Dim_Reps!A:A,Dim_Reps!B:B)</f>
        <v>Karim Alvarez</v>
      </c>
      <c r="P5568" t="str">
        <f>_xlfn.XLOOKUP(Pipeline_tbl[[#This Row],[Rep_ID]],Dim_Reps!A:A,Dim_Reps!C:C)</f>
        <v>SDR / Inside Sales Rep</v>
      </c>
      <c r="Q5568" t="str">
        <f>_xlfn.XLOOKUP(Pipeline_tbl[[#This Row],[Rep_ID]],Dim_Reps!A:A,Dim_Reps!D:D)</f>
        <v>Inside Sales</v>
      </c>
      <c r="R5568" t="str">
        <f>_xlfn.XLOOKUP(Pipeline_tbl[[#This Row],[Rep_ID]],Dim_Reps!A:A,Dim_Reps!E:E)</f>
        <v>EMEA</v>
      </c>
      <c r="S5568" t="str">
        <f>_xlfn.XLOOKUP(Pipeline_tbl[[#This Row],[Created_Date]],Dim_Date!A:A,Dim_Date!H:H)</f>
        <v>Dec 2024</v>
      </c>
      <c r="T5568" t="str">
        <f>IF(Pipeline_tbl[[#This Row],[Closed_Date]]=0,"",(_xlfn.XLOOKUP(Pipeline_tbl[[#This Row],[Closed_Date]],Dim_Date!A:A,Dim_Date!H:H)))</f>
        <v>Dec 2024</v>
      </c>
      <c r="U5568">
        <f>IF(Pipeline_tbl[[#This Row],[Closed_Date]]=0,"",Pipeline_tbl[[#This Row],[Closed_Date]]-Pipeline_tbl[[#This Row],[Created_Date]])</f>
        <v>12</v>
      </c>
    </row>
    <row r="5569" spans="1:21" ht="15" customHeight="1" x14ac:dyDescent="0.2">
      <c r="A5569" t="s">
        <v>5875</v>
      </c>
      <c r="B5569" t="s">
        <v>205</v>
      </c>
      <c r="C5569" t="s">
        <v>52</v>
      </c>
      <c r="D5569" s="49">
        <v>45642</v>
      </c>
      <c r="E5569" s="49">
        <v>45643</v>
      </c>
      <c r="F5569" s="49">
        <v>45646</v>
      </c>
      <c r="G5569" s="49">
        <v>45650</v>
      </c>
      <c r="H5569" s="49">
        <v>45654</v>
      </c>
      <c r="I5569" s="49">
        <v>45656</v>
      </c>
      <c r="J5569" t="s">
        <v>49</v>
      </c>
      <c r="K5569" s="33">
        <v>3700</v>
      </c>
      <c r="L5569" t="s">
        <v>60</v>
      </c>
      <c r="M5569" t="str">
        <f>_xlfn.XLOOKUP(Pipeline_tbl[[#This Row],[Rep_ID]],Dim_Reps!A:A,Dim_Reps!K:K)</f>
        <v>EUR</v>
      </c>
      <c r="N5569" s="33">
        <f>(_xlfn.XLOOKUP(Pipeline_tbl[[#This Row],[Rate_Code_Generalized]],Lookups!A:A,Lookups!B:B))*Pipeline_tbl[[#This Row],[Pipeline_Amount_USD]]</f>
        <v>3700</v>
      </c>
      <c r="O5569" t="str">
        <f>_xlfn.XLOOKUP(Pipeline_tbl[[#This Row],[Rep_ID]],Dim_Reps!A:A,Dim_Reps!B:B)</f>
        <v>Karim Alvarez</v>
      </c>
      <c r="P5569" t="str">
        <f>_xlfn.XLOOKUP(Pipeline_tbl[[#This Row],[Rep_ID]],Dim_Reps!A:A,Dim_Reps!C:C)</f>
        <v>SDR / Inside Sales Rep</v>
      </c>
      <c r="Q5569" t="str">
        <f>_xlfn.XLOOKUP(Pipeline_tbl[[#This Row],[Rep_ID]],Dim_Reps!A:A,Dim_Reps!D:D)</f>
        <v>Inside Sales</v>
      </c>
      <c r="R5569" t="str">
        <f>_xlfn.XLOOKUP(Pipeline_tbl[[#This Row],[Rep_ID]],Dim_Reps!A:A,Dim_Reps!E:E)</f>
        <v>EMEA</v>
      </c>
      <c r="S5569" t="str">
        <f>_xlfn.XLOOKUP(Pipeline_tbl[[#This Row],[Created_Date]],Dim_Date!A:A,Dim_Date!H:H)</f>
        <v>Dec 2024</v>
      </c>
      <c r="T5569" t="str">
        <f>IF(Pipeline_tbl[[#This Row],[Closed_Date]]=0,"",(_xlfn.XLOOKUP(Pipeline_tbl[[#This Row],[Closed_Date]],Dim_Date!A:A,Dim_Date!H:H)))</f>
        <v>Dec 2024</v>
      </c>
      <c r="U5569">
        <f>IF(Pipeline_tbl[[#This Row],[Closed_Date]]=0,"",Pipeline_tbl[[#This Row],[Closed_Date]]-Pipeline_tbl[[#This Row],[Created_Date]])</f>
        <v>14</v>
      </c>
    </row>
    <row r="5570" spans="1:21" ht="15" customHeight="1" x14ac:dyDescent="0.2">
      <c r="A5570" t="s">
        <v>5876</v>
      </c>
      <c r="B5570" t="s">
        <v>207</v>
      </c>
      <c r="C5570" t="s">
        <v>53</v>
      </c>
      <c r="D5570" s="49">
        <v>45629</v>
      </c>
      <c r="E5570" s="49">
        <v>45631</v>
      </c>
      <c r="F5570" s="49">
        <v>45636</v>
      </c>
      <c r="G5570" s="49">
        <v>45642</v>
      </c>
      <c r="I5570" s="49">
        <v>45651</v>
      </c>
      <c r="J5570" t="s">
        <v>49</v>
      </c>
      <c r="K5570" s="33">
        <v>5800</v>
      </c>
      <c r="L5570" t="s">
        <v>61</v>
      </c>
      <c r="M5570" t="str">
        <f>_xlfn.XLOOKUP(Pipeline_tbl[[#This Row],[Rep_ID]],Dim_Reps!A:A,Dim_Reps!K:K)</f>
        <v>EUR</v>
      </c>
      <c r="N5570" s="33">
        <f>(_xlfn.XLOOKUP(Pipeline_tbl[[#This Row],[Rate_Code_Generalized]],Lookups!A:A,Lookups!B:B))*Pipeline_tbl[[#This Row],[Pipeline_Amount_USD]]</f>
        <v>5800</v>
      </c>
      <c r="O5570" t="str">
        <f>_xlfn.XLOOKUP(Pipeline_tbl[[#This Row],[Rep_ID]],Dim_Reps!A:A,Dim_Reps!B:B)</f>
        <v>Sam Castro</v>
      </c>
      <c r="P5570" t="str">
        <f>_xlfn.XLOOKUP(Pipeline_tbl[[#This Row],[Rep_ID]],Dim_Reps!A:A,Dim_Reps!C:C)</f>
        <v>SDR / Inside Sales Rep</v>
      </c>
      <c r="Q5570" t="str">
        <f>_xlfn.XLOOKUP(Pipeline_tbl[[#This Row],[Rep_ID]],Dim_Reps!A:A,Dim_Reps!D:D)</f>
        <v>Inside Sales</v>
      </c>
      <c r="R5570" t="str">
        <f>_xlfn.XLOOKUP(Pipeline_tbl[[#This Row],[Rep_ID]],Dim_Reps!A:A,Dim_Reps!E:E)</f>
        <v>APAC</v>
      </c>
      <c r="S5570" t="str">
        <f>_xlfn.XLOOKUP(Pipeline_tbl[[#This Row],[Created_Date]],Dim_Date!A:A,Dim_Date!H:H)</f>
        <v>Dec 2024</v>
      </c>
      <c r="T5570" t="str">
        <f>IF(Pipeline_tbl[[#This Row],[Closed_Date]]=0,"",(_xlfn.XLOOKUP(Pipeline_tbl[[#This Row],[Closed_Date]],Dim_Date!A:A,Dim_Date!H:H)))</f>
        <v>Dec 2024</v>
      </c>
      <c r="U5570">
        <f>IF(Pipeline_tbl[[#This Row],[Closed_Date]]=0,"",Pipeline_tbl[[#This Row],[Closed_Date]]-Pipeline_tbl[[#This Row],[Created_Date]])</f>
        <v>22</v>
      </c>
    </row>
    <row r="5571" spans="1:21" ht="15" customHeight="1" x14ac:dyDescent="0.2">
      <c r="A5571" t="s">
        <v>5877</v>
      </c>
      <c r="B5571" t="s">
        <v>207</v>
      </c>
      <c r="C5571" t="s">
        <v>52</v>
      </c>
      <c r="D5571" s="49">
        <v>45639</v>
      </c>
      <c r="E5571" s="49">
        <v>45640</v>
      </c>
      <c r="F5571" s="49">
        <v>45643</v>
      </c>
      <c r="I5571" s="49">
        <v>45651</v>
      </c>
      <c r="J5571" t="s">
        <v>49</v>
      </c>
      <c r="K5571" s="33">
        <v>4700</v>
      </c>
      <c r="L5571" t="s">
        <v>61</v>
      </c>
      <c r="M5571" t="str">
        <f>_xlfn.XLOOKUP(Pipeline_tbl[[#This Row],[Rep_ID]],Dim_Reps!A:A,Dim_Reps!K:K)</f>
        <v>EUR</v>
      </c>
      <c r="N5571" s="33">
        <f>(_xlfn.XLOOKUP(Pipeline_tbl[[#This Row],[Rate_Code_Generalized]],Lookups!A:A,Lookups!B:B))*Pipeline_tbl[[#This Row],[Pipeline_Amount_USD]]</f>
        <v>4700</v>
      </c>
      <c r="O5571" t="str">
        <f>_xlfn.XLOOKUP(Pipeline_tbl[[#This Row],[Rep_ID]],Dim_Reps!A:A,Dim_Reps!B:B)</f>
        <v>Sam Castro</v>
      </c>
      <c r="P5571" t="str">
        <f>_xlfn.XLOOKUP(Pipeline_tbl[[#This Row],[Rep_ID]],Dim_Reps!A:A,Dim_Reps!C:C)</f>
        <v>SDR / Inside Sales Rep</v>
      </c>
      <c r="Q5571" t="str">
        <f>_xlfn.XLOOKUP(Pipeline_tbl[[#This Row],[Rep_ID]],Dim_Reps!A:A,Dim_Reps!D:D)</f>
        <v>Inside Sales</v>
      </c>
      <c r="R5571" t="str">
        <f>_xlfn.XLOOKUP(Pipeline_tbl[[#This Row],[Rep_ID]],Dim_Reps!A:A,Dim_Reps!E:E)</f>
        <v>APAC</v>
      </c>
      <c r="S5571" t="str">
        <f>_xlfn.XLOOKUP(Pipeline_tbl[[#This Row],[Created_Date]],Dim_Date!A:A,Dim_Date!H:H)</f>
        <v>Dec 2024</v>
      </c>
      <c r="T5571" t="str">
        <f>IF(Pipeline_tbl[[#This Row],[Closed_Date]]=0,"",(_xlfn.XLOOKUP(Pipeline_tbl[[#This Row],[Closed_Date]],Dim_Date!A:A,Dim_Date!H:H)))</f>
        <v>Dec 2024</v>
      </c>
      <c r="U5571">
        <f>IF(Pipeline_tbl[[#This Row],[Closed_Date]]=0,"",Pipeline_tbl[[#This Row],[Closed_Date]]-Pipeline_tbl[[#This Row],[Created_Date]])</f>
        <v>12</v>
      </c>
    </row>
    <row r="5572" spans="1:21" ht="15" customHeight="1" x14ac:dyDescent="0.2">
      <c r="A5572" t="s">
        <v>5878</v>
      </c>
      <c r="B5572" t="s">
        <v>207</v>
      </c>
      <c r="C5572" t="s">
        <v>54</v>
      </c>
      <c r="D5572" s="49">
        <v>45628</v>
      </c>
      <c r="E5572" s="49">
        <v>45631</v>
      </c>
      <c r="F5572" s="49">
        <v>45636</v>
      </c>
      <c r="G5572" s="49">
        <v>45645</v>
      </c>
      <c r="H5572" s="49">
        <v>45652</v>
      </c>
      <c r="I5572" s="49">
        <v>45656</v>
      </c>
      <c r="J5572" t="s">
        <v>47</v>
      </c>
      <c r="K5572" s="33">
        <v>2600</v>
      </c>
      <c r="M5572" t="str">
        <f>_xlfn.XLOOKUP(Pipeline_tbl[[#This Row],[Rep_ID]],Dim_Reps!A:A,Dim_Reps!K:K)</f>
        <v>EUR</v>
      </c>
      <c r="N5572" s="33">
        <f>(_xlfn.XLOOKUP(Pipeline_tbl[[#This Row],[Rate_Code_Generalized]],Lookups!A:A,Lookups!B:B))*Pipeline_tbl[[#This Row],[Pipeline_Amount_USD]]</f>
        <v>2600</v>
      </c>
      <c r="O5572" t="str">
        <f>_xlfn.XLOOKUP(Pipeline_tbl[[#This Row],[Rep_ID]],Dim_Reps!A:A,Dim_Reps!B:B)</f>
        <v>Sam Castro</v>
      </c>
      <c r="P5572" t="str">
        <f>_xlfn.XLOOKUP(Pipeline_tbl[[#This Row],[Rep_ID]],Dim_Reps!A:A,Dim_Reps!C:C)</f>
        <v>SDR / Inside Sales Rep</v>
      </c>
      <c r="Q5572" t="str">
        <f>_xlfn.XLOOKUP(Pipeline_tbl[[#This Row],[Rep_ID]],Dim_Reps!A:A,Dim_Reps!D:D)</f>
        <v>Inside Sales</v>
      </c>
      <c r="R5572" t="str">
        <f>_xlfn.XLOOKUP(Pipeline_tbl[[#This Row],[Rep_ID]],Dim_Reps!A:A,Dim_Reps!E:E)</f>
        <v>APAC</v>
      </c>
      <c r="S5572" t="str">
        <f>_xlfn.XLOOKUP(Pipeline_tbl[[#This Row],[Created_Date]],Dim_Date!A:A,Dim_Date!H:H)</f>
        <v>Dec 2024</v>
      </c>
      <c r="T5572" t="str">
        <f>IF(Pipeline_tbl[[#This Row],[Closed_Date]]=0,"",(_xlfn.XLOOKUP(Pipeline_tbl[[#This Row],[Closed_Date]],Dim_Date!A:A,Dim_Date!H:H)))</f>
        <v>Dec 2024</v>
      </c>
      <c r="U5572">
        <f>IF(Pipeline_tbl[[#This Row],[Closed_Date]]=0,"",Pipeline_tbl[[#This Row],[Closed_Date]]-Pipeline_tbl[[#This Row],[Created_Date]])</f>
        <v>28</v>
      </c>
    </row>
    <row r="5573" spans="1:21" ht="15" customHeight="1" x14ac:dyDescent="0.2">
      <c r="A5573" t="s">
        <v>5879</v>
      </c>
      <c r="B5573" t="s">
        <v>207</v>
      </c>
      <c r="C5573" t="s">
        <v>52</v>
      </c>
      <c r="D5573" s="49">
        <v>45627</v>
      </c>
      <c r="E5573" s="49">
        <v>45628</v>
      </c>
      <c r="F5573" s="49">
        <v>45631</v>
      </c>
      <c r="G5573" s="49">
        <v>45635</v>
      </c>
      <c r="H5573" s="49">
        <v>45638</v>
      </c>
      <c r="I5573" s="49">
        <v>45640</v>
      </c>
      <c r="J5573" t="s">
        <v>47</v>
      </c>
      <c r="K5573" s="33">
        <v>3800</v>
      </c>
      <c r="M5573" t="str">
        <f>_xlfn.XLOOKUP(Pipeline_tbl[[#This Row],[Rep_ID]],Dim_Reps!A:A,Dim_Reps!K:K)</f>
        <v>EUR</v>
      </c>
      <c r="N5573" s="33">
        <f>(_xlfn.XLOOKUP(Pipeline_tbl[[#This Row],[Rate_Code_Generalized]],Lookups!A:A,Lookups!B:B))*Pipeline_tbl[[#This Row],[Pipeline_Amount_USD]]</f>
        <v>3800</v>
      </c>
      <c r="O5573" t="str">
        <f>_xlfn.XLOOKUP(Pipeline_tbl[[#This Row],[Rep_ID]],Dim_Reps!A:A,Dim_Reps!B:B)</f>
        <v>Sam Castro</v>
      </c>
      <c r="P5573" t="str">
        <f>_xlfn.XLOOKUP(Pipeline_tbl[[#This Row],[Rep_ID]],Dim_Reps!A:A,Dim_Reps!C:C)</f>
        <v>SDR / Inside Sales Rep</v>
      </c>
      <c r="Q5573" t="str">
        <f>_xlfn.XLOOKUP(Pipeline_tbl[[#This Row],[Rep_ID]],Dim_Reps!A:A,Dim_Reps!D:D)</f>
        <v>Inside Sales</v>
      </c>
      <c r="R5573" t="str">
        <f>_xlfn.XLOOKUP(Pipeline_tbl[[#This Row],[Rep_ID]],Dim_Reps!A:A,Dim_Reps!E:E)</f>
        <v>APAC</v>
      </c>
      <c r="S5573" t="str">
        <f>_xlfn.XLOOKUP(Pipeline_tbl[[#This Row],[Created_Date]],Dim_Date!A:A,Dim_Date!H:H)</f>
        <v>Dec 2024</v>
      </c>
      <c r="T5573" t="str">
        <f>IF(Pipeline_tbl[[#This Row],[Closed_Date]]=0,"",(_xlfn.XLOOKUP(Pipeline_tbl[[#This Row],[Closed_Date]],Dim_Date!A:A,Dim_Date!H:H)))</f>
        <v>Dec 2024</v>
      </c>
      <c r="U5573">
        <f>IF(Pipeline_tbl[[#This Row],[Closed_Date]]=0,"",Pipeline_tbl[[#This Row],[Closed_Date]]-Pipeline_tbl[[#This Row],[Created_Date]])</f>
        <v>13</v>
      </c>
    </row>
    <row r="5574" spans="1:21" ht="15" customHeight="1" x14ac:dyDescent="0.2">
      <c r="A5574" t="s">
        <v>5880</v>
      </c>
      <c r="B5574" t="s">
        <v>207</v>
      </c>
      <c r="C5574" t="s">
        <v>53</v>
      </c>
      <c r="D5574" s="49">
        <v>45629</v>
      </c>
      <c r="E5574" s="49">
        <v>45631</v>
      </c>
      <c r="F5574" s="49">
        <v>45635</v>
      </c>
      <c r="G5574" s="49">
        <v>45642</v>
      </c>
      <c r="H5574" s="49">
        <v>45647</v>
      </c>
      <c r="I5574" s="49">
        <v>45650</v>
      </c>
      <c r="J5574" t="s">
        <v>47</v>
      </c>
      <c r="K5574" s="33">
        <v>3900</v>
      </c>
      <c r="M5574" t="str">
        <f>_xlfn.XLOOKUP(Pipeline_tbl[[#This Row],[Rep_ID]],Dim_Reps!A:A,Dim_Reps!K:K)</f>
        <v>EUR</v>
      </c>
      <c r="N5574" s="33">
        <f>(_xlfn.XLOOKUP(Pipeline_tbl[[#This Row],[Rate_Code_Generalized]],Lookups!A:A,Lookups!B:B))*Pipeline_tbl[[#This Row],[Pipeline_Amount_USD]]</f>
        <v>3900</v>
      </c>
      <c r="O5574" t="str">
        <f>_xlfn.XLOOKUP(Pipeline_tbl[[#This Row],[Rep_ID]],Dim_Reps!A:A,Dim_Reps!B:B)</f>
        <v>Sam Castro</v>
      </c>
      <c r="P5574" t="str">
        <f>_xlfn.XLOOKUP(Pipeline_tbl[[#This Row],[Rep_ID]],Dim_Reps!A:A,Dim_Reps!C:C)</f>
        <v>SDR / Inside Sales Rep</v>
      </c>
      <c r="Q5574" t="str">
        <f>_xlfn.XLOOKUP(Pipeline_tbl[[#This Row],[Rep_ID]],Dim_Reps!A:A,Dim_Reps!D:D)</f>
        <v>Inside Sales</v>
      </c>
      <c r="R5574" t="str">
        <f>_xlfn.XLOOKUP(Pipeline_tbl[[#This Row],[Rep_ID]],Dim_Reps!A:A,Dim_Reps!E:E)</f>
        <v>APAC</v>
      </c>
      <c r="S5574" t="str">
        <f>_xlfn.XLOOKUP(Pipeline_tbl[[#This Row],[Created_Date]],Dim_Date!A:A,Dim_Date!H:H)</f>
        <v>Dec 2024</v>
      </c>
      <c r="T5574" t="str">
        <f>IF(Pipeline_tbl[[#This Row],[Closed_Date]]=0,"",(_xlfn.XLOOKUP(Pipeline_tbl[[#This Row],[Closed_Date]],Dim_Date!A:A,Dim_Date!H:H)))</f>
        <v>Dec 2024</v>
      </c>
      <c r="U5574">
        <f>IF(Pipeline_tbl[[#This Row],[Closed_Date]]=0,"",Pipeline_tbl[[#This Row],[Closed_Date]]-Pipeline_tbl[[#This Row],[Created_Date]])</f>
        <v>21</v>
      </c>
    </row>
    <row r="5575" spans="1:21" ht="15" customHeight="1" x14ac:dyDescent="0.2">
      <c r="A5575" t="s">
        <v>5881</v>
      </c>
      <c r="B5575" t="s">
        <v>209</v>
      </c>
      <c r="C5575" t="s">
        <v>53</v>
      </c>
      <c r="D5575" s="49">
        <v>45637</v>
      </c>
      <c r="E5575" s="49">
        <v>45638</v>
      </c>
      <c r="F5575" s="49">
        <v>45640</v>
      </c>
      <c r="I5575" s="49">
        <v>45648</v>
      </c>
      <c r="J5575" t="s">
        <v>49</v>
      </c>
      <c r="K5575" s="33">
        <v>2200</v>
      </c>
      <c r="L5575" t="s">
        <v>60</v>
      </c>
      <c r="M5575" t="str">
        <f>_xlfn.XLOOKUP(Pipeline_tbl[[#This Row],[Rep_ID]],Dim_Reps!A:A,Dim_Reps!K:K)</f>
        <v>EUR</v>
      </c>
      <c r="N5575" s="33">
        <f>(_xlfn.XLOOKUP(Pipeline_tbl[[#This Row],[Rate_Code_Generalized]],Lookups!A:A,Lookups!B:B))*Pipeline_tbl[[#This Row],[Pipeline_Amount_USD]]</f>
        <v>2200</v>
      </c>
      <c r="O5575" t="str">
        <f>_xlfn.XLOOKUP(Pipeline_tbl[[#This Row],[Rep_ID]],Dim_Reps!A:A,Dim_Reps!B:B)</f>
        <v>Petra Larsen</v>
      </c>
      <c r="P5575" t="str">
        <f>_xlfn.XLOOKUP(Pipeline_tbl[[#This Row],[Rep_ID]],Dim_Reps!A:A,Dim_Reps!C:C)</f>
        <v>SDR / Inside Sales Rep</v>
      </c>
      <c r="Q5575" t="str">
        <f>_xlfn.XLOOKUP(Pipeline_tbl[[#This Row],[Rep_ID]],Dim_Reps!A:A,Dim_Reps!D:D)</f>
        <v>Inside Sales</v>
      </c>
      <c r="R5575" t="str">
        <f>_xlfn.XLOOKUP(Pipeline_tbl[[#This Row],[Rep_ID]],Dim_Reps!A:A,Dim_Reps!E:E)</f>
        <v>EMEA</v>
      </c>
      <c r="S5575" t="str">
        <f>_xlfn.XLOOKUP(Pipeline_tbl[[#This Row],[Created_Date]],Dim_Date!A:A,Dim_Date!H:H)</f>
        <v>Dec 2024</v>
      </c>
      <c r="T5575" t="str">
        <f>IF(Pipeline_tbl[[#This Row],[Closed_Date]]=0,"",(_xlfn.XLOOKUP(Pipeline_tbl[[#This Row],[Closed_Date]],Dim_Date!A:A,Dim_Date!H:H)))</f>
        <v>Dec 2024</v>
      </c>
      <c r="U5575">
        <f>IF(Pipeline_tbl[[#This Row],[Closed_Date]]=0,"",Pipeline_tbl[[#This Row],[Closed_Date]]-Pipeline_tbl[[#This Row],[Created_Date]])</f>
        <v>11</v>
      </c>
    </row>
    <row r="5576" spans="1:21" ht="15" customHeight="1" x14ac:dyDescent="0.2">
      <c r="A5576" t="s">
        <v>5882</v>
      </c>
      <c r="B5576" t="s">
        <v>209</v>
      </c>
      <c r="C5576" t="s">
        <v>53</v>
      </c>
      <c r="D5576" s="49">
        <v>45631</v>
      </c>
      <c r="E5576" s="49">
        <v>45633</v>
      </c>
      <c r="F5576" s="49">
        <v>45638</v>
      </c>
      <c r="I5576" s="49">
        <v>45654</v>
      </c>
      <c r="J5576" t="s">
        <v>49</v>
      </c>
      <c r="K5576" s="33">
        <v>3100</v>
      </c>
      <c r="L5576" t="s">
        <v>63</v>
      </c>
      <c r="M5576" t="str">
        <f>_xlfn.XLOOKUP(Pipeline_tbl[[#This Row],[Rep_ID]],Dim_Reps!A:A,Dim_Reps!K:K)</f>
        <v>EUR</v>
      </c>
      <c r="N5576" s="33">
        <f>(_xlfn.XLOOKUP(Pipeline_tbl[[#This Row],[Rate_Code_Generalized]],Lookups!A:A,Lookups!B:B))*Pipeline_tbl[[#This Row],[Pipeline_Amount_USD]]</f>
        <v>3100</v>
      </c>
      <c r="O5576" t="str">
        <f>_xlfn.XLOOKUP(Pipeline_tbl[[#This Row],[Rep_ID]],Dim_Reps!A:A,Dim_Reps!B:B)</f>
        <v>Petra Larsen</v>
      </c>
      <c r="P5576" t="str">
        <f>_xlfn.XLOOKUP(Pipeline_tbl[[#This Row],[Rep_ID]],Dim_Reps!A:A,Dim_Reps!C:C)</f>
        <v>SDR / Inside Sales Rep</v>
      </c>
      <c r="Q5576" t="str">
        <f>_xlfn.XLOOKUP(Pipeline_tbl[[#This Row],[Rep_ID]],Dim_Reps!A:A,Dim_Reps!D:D)</f>
        <v>Inside Sales</v>
      </c>
      <c r="R5576" t="str">
        <f>_xlfn.XLOOKUP(Pipeline_tbl[[#This Row],[Rep_ID]],Dim_Reps!A:A,Dim_Reps!E:E)</f>
        <v>EMEA</v>
      </c>
      <c r="S5576" t="str">
        <f>_xlfn.XLOOKUP(Pipeline_tbl[[#This Row],[Created_Date]],Dim_Date!A:A,Dim_Date!H:H)</f>
        <v>Dec 2024</v>
      </c>
      <c r="T5576" t="str">
        <f>IF(Pipeline_tbl[[#This Row],[Closed_Date]]=0,"",(_xlfn.XLOOKUP(Pipeline_tbl[[#This Row],[Closed_Date]],Dim_Date!A:A,Dim_Date!H:H)))</f>
        <v>Dec 2024</v>
      </c>
      <c r="U5576">
        <f>IF(Pipeline_tbl[[#This Row],[Closed_Date]]=0,"",Pipeline_tbl[[#This Row],[Closed_Date]]-Pipeline_tbl[[#This Row],[Created_Date]])</f>
        <v>23</v>
      </c>
    </row>
    <row r="5577" spans="1:21" ht="15" customHeight="1" x14ac:dyDescent="0.2">
      <c r="A5577" t="s">
        <v>5883</v>
      </c>
      <c r="B5577" t="s">
        <v>209</v>
      </c>
      <c r="C5577" t="s">
        <v>52</v>
      </c>
      <c r="D5577" s="49">
        <v>45641</v>
      </c>
      <c r="E5577" s="49">
        <v>45643</v>
      </c>
      <c r="F5577" s="49">
        <v>45646</v>
      </c>
      <c r="G5577" s="49">
        <v>45650</v>
      </c>
      <c r="H5577" s="49">
        <v>45654</v>
      </c>
      <c r="I5577" s="49">
        <v>45656</v>
      </c>
      <c r="J5577" t="s">
        <v>47</v>
      </c>
      <c r="K5577" s="33">
        <v>5600</v>
      </c>
      <c r="M5577" t="str">
        <f>_xlfn.XLOOKUP(Pipeline_tbl[[#This Row],[Rep_ID]],Dim_Reps!A:A,Dim_Reps!K:K)</f>
        <v>EUR</v>
      </c>
      <c r="N5577" s="33">
        <f>(_xlfn.XLOOKUP(Pipeline_tbl[[#This Row],[Rate_Code_Generalized]],Lookups!A:A,Lookups!B:B))*Pipeline_tbl[[#This Row],[Pipeline_Amount_USD]]</f>
        <v>5600</v>
      </c>
      <c r="O5577" t="str">
        <f>_xlfn.XLOOKUP(Pipeline_tbl[[#This Row],[Rep_ID]],Dim_Reps!A:A,Dim_Reps!B:B)</f>
        <v>Petra Larsen</v>
      </c>
      <c r="P5577" t="str">
        <f>_xlfn.XLOOKUP(Pipeline_tbl[[#This Row],[Rep_ID]],Dim_Reps!A:A,Dim_Reps!C:C)</f>
        <v>SDR / Inside Sales Rep</v>
      </c>
      <c r="Q5577" t="str">
        <f>_xlfn.XLOOKUP(Pipeline_tbl[[#This Row],[Rep_ID]],Dim_Reps!A:A,Dim_Reps!D:D)</f>
        <v>Inside Sales</v>
      </c>
      <c r="R5577" t="str">
        <f>_xlfn.XLOOKUP(Pipeline_tbl[[#This Row],[Rep_ID]],Dim_Reps!A:A,Dim_Reps!E:E)</f>
        <v>EMEA</v>
      </c>
      <c r="S5577" t="str">
        <f>_xlfn.XLOOKUP(Pipeline_tbl[[#This Row],[Created_Date]],Dim_Date!A:A,Dim_Date!H:H)</f>
        <v>Dec 2024</v>
      </c>
      <c r="T5577" t="str">
        <f>IF(Pipeline_tbl[[#This Row],[Closed_Date]]=0,"",(_xlfn.XLOOKUP(Pipeline_tbl[[#This Row],[Closed_Date]],Dim_Date!A:A,Dim_Date!H:H)))</f>
        <v>Dec 2024</v>
      </c>
      <c r="U5577">
        <f>IF(Pipeline_tbl[[#This Row],[Closed_Date]]=0,"",Pipeline_tbl[[#This Row],[Closed_Date]]-Pipeline_tbl[[#This Row],[Created_Date]])</f>
        <v>15</v>
      </c>
    </row>
    <row r="5578" spans="1:21" ht="15" customHeight="1" x14ac:dyDescent="0.2">
      <c r="A5578" t="s">
        <v>5884</v>
      </c>
      <c r="B5578" t="s">
        <v>211</v>
      </c>
      <c r="C5578" t="s">
        <v>53</v>
      </c>
      <c r="D5578" s="49">
        <v>45633</v>
      </c>
      <c r="E5578" s="49">
        <v>45635</v>
      </c>
      <c r="F5578" s="49">
        <v>45640</v>
      </c>
      <c r="G5578" s="49">
        <v>45647</v>
      </c>
      <c r="I5578" s="49">
        <v>45657</v>
      </c>
      <c r="J5578" t="s">
        <v>49</v>
      </c>
      <c r="K5578" s="33">
        <v>10000</v>
      </c>
      <c r="L5578" t="s">
        <v>61</v>
      </c>
      <c r="M5578" t="str">
        <f>_xlfn.XLOOKUP(Pipeline_tbl[[#This Row],[Rep_ID]],Dim_Reps!A:A,Dim_Reps!K:K)</f>
        <v>EUR</v>
      </c>
      <c r="N5578" s="33">
        <f>(_xlfn.XLOOKUP(Pipeline_tbl[[#This Row],[Rate_Code_Generalized]],Lookups!A:A,Lookups!B:B))*Pipeline_tbl[[#This Row],[Pipeline_Amount_USD]]</f>
        <v>10000</v>
      </c>
      <c r="O5578" t="str">
        <f>_xlfn.XLOOKUP(Pipeline_tbl[[#This Row],[Rep_ID]],Dim_Reps!A:A,Dim_Reps!B:B)</f>
        <v>Lea Weber</v>
      </c>
      <c r="P5578" t="str">
        <f>_xlfn.XLOOKUP(Pipeline_tbl[[#This Row],[Rep_ID]],Dim_Reps!A:A,Dim_Reps!C:C)</f>
        <v>SDR / Inside Sales Rep</v>
      </c>
      <c r="Q5578" t="str">
        <f>_xlfn.XLOOKUP(Pipeline_tbl[[#This Row],[Rep_ID]],Dim_Reps!A:A,Dim_Reps!D:D)</f>
        <v>Inside Sales</v>
      </c>
      <c r="R5578" t="str">
        <f>_xlfn.XLOOKUP(Pipeline_tbl[[#This Row],[Rep_ID]],Dim_Reps!A:A,Dim_Reps!E:E)</f>
        <v>EMEA</v>
      </c>
      <c r="S5578" t="str">
        <f>_xlfn.XLOOKUP(Pipeline_tbl[[#This Row],[Created_Date]],Dim_Date!A:A,Dim_Date!H:H)</f>
        <v>Dec 2024</v>
      </c>
      <c r="T5578" t="str">
        <f>IF(Pipeline_tbl[[#This Row],[Closed_Date]]=0,"",(_xlfn.XLOOKUP(Pipeline_tbl[[#This Row],[Closed_Date]],Dim_Date!A:A,Dim_Date!H:H)))</f>
        <v>Dec 2024</v>
      </c>
      <c r="U5578">
        <f>IF(Pipeline_tbl[[#This Row],[Closed_Date]]=0,"",Pipeline_tbl[[#This Row],[Closed_Date]]-Pipeline_tbl[[#This Row],[Created_Date]])</f>
        <v>24</v>
      </c>
    </row>
    <row r="5579" spans="1:21" ht="15" customHeight="1" x14ac:dyDescent="0.2">
      <c r="A5579" t="s">
        <v>5885</v>
      </c>
      <c r="B5579" t="s">
        <v>211</v>
      </c>
      <c r="C5579" t="s">
        <v>53</v>
      </c>
      <c r="D5579" s="49">
        <v>45638</v>
      </c>
      <c r="E5579" s="49">
        <v>45640</v>
      </c>
      <c r="F5579" s="49">
        <v>45643</v>
      </c>
      <c r="G5579" s="49">
        <v>45648</v>
      </c>
      <c r="I5579" s="49">
        <v>45655</v>
      </c>
      <c r="J5579" t="s">
        <v>49</v>
      </c>
      <c r="K5579" s="33">
        <v>2700</v>
      </c>
      <c r="L5579" t="s">
        <v>61</v>
      </c>
      <c r="M5579" t="str">
        <f>_xlfn.XLOOKUP(Pipeline_tbl[[#This Row],[Rep_ID]],Dim_Reps!A:A,Dim_Reps!K:K)</f>
        <v>EUR</v>
      </c>
      <c r="N5579" s="33">
        <f>(_xlfn.XLOOKUP(Pipeline_tbl[[#This Row],[Rate_Code_Generalized]],Lookups!A:A,Lookups!B:B))*Pipeline_tbl[[#This Row],[Pipeline_Amount_USD]]</f>
        <v>2700</v>
      </c>
      <c r="O5579" t="str">
        <f>_xlfn.XLOOKUP(Pipeline_tbl[[#This Row],[Rep_ID]],Dim_Reps!A:A,Dim_Reps!B:B)</f>
        <v>Lea Weber</v>
      </c>
      <c r="P5579" t="str">
        <f>_xlfn.XLOOKUP(Pipeline_tbl[[#This Row],[Rep_ID]],Dim_Reps!A:A,Dim_Reps!C:C)</f>
        <v>SDR / Inside Sales Rep</v>
      </c>
      <c r="Q5579" t="str">
        <f>_xlfn.XLOOKUP(Pipeline_tbl[[#This Row],[Rep_ID]],Dim_Reps!A:A,Dim_Reps!D:D)</f>
        <v>Inside Sales</v>
      </c>
      <c r="R5579" t="str">
        <f>_xlfn.XLOOKUP(Pipeline_tbl[[#This Row],[Rep_ID]],Dim_Reps!A:A,Dim_Reps!E:E)</f>
        <v>EMEA</v>
      </c>
      <c r="S5579" t="str">
        <f>_xlfn.XLOOKUP(Pipeline_tbl[[#This Row],[Created_Date]],Dim_Date!A:A,Dim_Date!H:H)</f>
        <v>Dec 2024</v>
      </c>
      <c r="T5579" t="str">
        <f>IF(Pipeline_tbl[[#This Row],[Closed_Date]]=0,"",(_xlfn.XLOOKUP(Pipeline_tbl[[#This Row],[Closed_Date]],Dim_Date!A:A,Dim_Date!H:H)))</f>
        <v>Dec 2024</v>
      </c>
      <c r="U5579">
        <f>IF(Pipeline_tbl[[#This Row],[Closed_Date]]=0,"",Pipeline_tbl[[#This Row],[Closed_Date]]-Pipeline_tbl[[#This Row],[Created_Date]])</f>
        <v>17</v>
      </c>
    </row>
    <row r="5580" spans="1:21" ht="15" customHeight="1" x14ac:dyDescent="0.2">
      <c r="A5580" t="s">
        <v>5886</v>
      </c>
      <c r="B5580" t="s">
        <v>211</v>
      </c>
      <c r="C5580" t="s">
        <v>53</v>
      </c>
      <c r="D5580" s="49">
        <v>45641</v>
      </c>
      <c r="E5580" s="49">
        <v>45642</v>
      </c>
      <c r="I5580" s="49">
        <v>45653</v>
      </c>
      <c r="J5580" t="s">
        <v>49</v>
      </c>
      <c r="K5580" s="33">
        <v>3200</v>
      </c>
      <c r="L5580" t="s">
        <v>61</v>
      </c>
      <c r="M5580" t="str">
        <f>_xlfn.XLOOKUP(Pipeline_tbl[[#This Row],[Rep_ID]],Dim_Reps!A:A,Dim_Reps!K:K)</f>
        <v>EUR</v>
      </c>
      <c r="N5580" s="33">
        <f>(_xlfn.XLOOKUP(Pipeline_tbl[[#This Row],[Rate_Code_Generalized]],Lookups!A:A,Lookups!B:B))*Pipeline_tbl[[#This Row],[Pipeline_Amount_USD]]</f>
        <v>3200</v>
      </c>
      <c r="O5580" t="str">
        <f>_xlfn.XLOOKUP(Pipeline_tbl[[#This Row],[Rep_ID]],Dim_Reps!A:A,Dim_Reps!B:B)</f>
        <v>Lea Weber</v>
      </c>
      <c r="P5580" t="str">
        <f>_xlfn.XLOOKUP(Pipeline_tbl[[#This Row],[Rep_ID]],Dim_Reps!A:A,Dim_Reps!C:C)</f>
        <v>SDR / Inside Sales Rep</v>
      </c>
      <c r="Q5580" t="str">
        <f>_xlfn.XLOOKUP(Pipeline_tbl[[#This Row],[Rep_ID]],Dim_Reps!A:A,Dim_Reps!D:D)</f>
        <v>Inside Sales</v>
      </c>
      <c r="R5580" t="str">
        <f>_xlfn.XLOOKUP(Pipeline_tbl[[#This Row],[Rep_ID]],Dim_Reps!A:A,Dim_Reps!E:E)</f>
        <v>EMEA</v>
      </c>
      <c r="S5580" t="str">
        <f>_xlfn.XLOOKUP(Pipeline_tbl[[#This Row],[Created_Date]],Dim_Date!A:A,Dim_Date!H:H)</f>
        <v>Dec 2024</v>
      </c>
      <c r="T5580" t="str">
        <f>IF(Pipeline_tbl[[#This Row],[Closed_Date]]=0,"",(_xlfn.XLOOKUP(Pipeline_tbl[[#This Row],[Closed_Date]],Dim_Date!A:A,Dim_Date!H:H)))</f>
        <v>Dec 2024</v>
      </c>
      <c r="U5580">
        <f>IF(Pipeline_tbl[[#This Row],[Closed_Date]]=0,"",Pipeline_tbl[[#This Row],[Closed_Date]]-Pipeline_tbl[[#This Row],[Created_Date]])</f>
        <v>12</v>
      </c>
    </row>
    <row r="5581" spans="1:21" ht="15" customHeight="1" x14ac:dyDescent="0.2">
      <c r="A5581" t="s">
        <v>5887</v>
      </c>
      <c r="B5581" t="s">
        <v>211</v>
      </c>
      <c r="C5581" t="s">
        <v>54</v>
      </c>
      <c r="D5581" s="49">
        <v>45636</v>
      </c>
      <c r="E5581" s="49">
        <v>45638</v>
      </c>
      <c r="F5581" s="49">
        <v>45642</v>
      </c>
      <c r="G5581" s="49">
        <v>45647</v>
      </c>
      <c r="I5581" s="49">
        <v>45655</v>
      </c>
      <c r="J5581" t="s">
        <v>49</v>
      </c>
      <c r="K5581" s="33">
        <v>10400</v>
      </c>
      <c r="L5581" t="s">
        <v>60</v>
      </c>
      <c r="M5581" t="str">
        <f>_xlfn.XLOOKUP(Pipeline_tbl[[#This Row],[Rep_ID]],Dim_Reps!A:A,Dim_Reps!K:K)</f>
        <v>EUR</v>
      </c>
      <c r="N5581" s="33">
        <f>(_xlfn.XLOOKUP(Pipeline_tbl[[#This Row],[Rate_Code_Generalized]],Lookups!A:A,Lookups!B:B))*Pipeline_tbl[[#This Row],[Pipeline_Amount_USD]]</f>
        <v>10400</v>
      </c>
      <c r="O5581" t="str">
        <f>_xlfn.XLOOKUP(Pipeline_tbl[[#This Row],[Rep_ID]],Dim_Reps!A:A,Dim_Reps!B:B)</f>
        <v>Lea Weber</v>
      </c>
      <c r="P5581" t="str">
        <f>_xlfn.XLOOKUP(Pipeline_tbl[[#This Row],[Rep_ID]],Dim_Reps!A:A,Dim_Reps!C:C)</f>
        <v>SDR / Inside Sales Rep</v>
      </c>
      <c r="Q5581" t="str">
        <f>_xlfn.XLOOKUP(Pipeline_tbl[[#This Row],[Rep_ID]],Dim_Reps!A:A,Dim_Reps!D:D)</f>
        <v>Inside Sales</v>
      </c>
      <c r="R5581" t="str">
        <f>_xlfn.XLOOKUP(Pipeline_tbl[[#This Row],[Rep_ID]],Dim_Reps!A:A,Dim_Reps!E:E)</f>
        <v>EMEA</v>
      </c>
      <c r="S5581" t="str">
        <f>_xlfn.XLOOKUP(Pipeline_tbl[[#This Row],[Created_Date]],Dim_Date!A:A,Dim_Date!H:H)</f>
        <v>Dec 2024</v>
      </c>
      <c r="T5581" t="str">
        <f>IF(Pipeline_tbl[[#This Row],[Closed_Date]]=0,"",(_xlfn.XLOOKUP(Pipeline_tbl[[#This Row],[Closed_Date]],Dim_Date!A:A,Dim_Date!H:H)))</f>
        <v>Dec 2024</v>
      </c>
      <c r="U5581">
        <f>IF(Pipeline_tbl[[#This Row],[Closed_Date]]=0,"",Pipeline_tbl[[#This Row],[Closed_Date]]-Pipeline_tbl[[#This Row],[Created_Date]])</f>
        <v>19</v>
      </c>
    </row>
    <row r="5582" spans="1:21" ht="15" customHeight="1" x14ac:dyDescent="0.2">
      <c r="A5582" t="s">
        <v>5888</v>
      </c>
      <c r="B5582" t="s">
        <v>213</v>
      </c>
      <c r="C5582" t="s">
        <v>52</v>
      </c>
      <c r="D5582" s="49">
        <v>45633</v>
      </c>
      <c r="E5582" s="49">
        <v>45635</v>
      </c>
      <c r="F5582" s="49">
        <v>45638</v>
      </c>
      <c r="I5582" s="49">
        <v>45650</v>
      </c>
      <c r="J5582" t="s">
        <v>49</v>
      </c>
      <c r="K5582" s="33">
        <v>2900</v>
      </c>
      <c r="L5582" t="s">
        <v>60</v>
      </c>
      <c r="M5582" t="str">
        <f>_xlfn.XLOOKUP(Pipeline_tbl[[#This Row],[Rep_ID]],Dim_Reps!A:A,Dim_Reps!K:K)</f>
        <v>EUR</v>
      </c>
      <c r="N5582" s="33">
        <f>(_xlfn.XLOOKUP(Pipeline_tbl[[#This Row],[Rate_Code_Generalized]],Lookups!A:A,Lookups!B:B))*Pipeline_tbl[[#This Row],[Pipeline_Amount_USD]]</f>
        <v>2900</v>
      </c>
      <c r="O5582" t="str">
        <f>_xlfn.XLOOKUP(Pipeline_tbl[[#This Row],[Rep_ID]],Dim_Reps!A:A,Dim_Reps!B:B)</f>
        <v>Jamie Silva</v>
      </c>
      <c r="P5582" t="str">
        <f>_xlfn.XLOOKUP(Pipeline_tbl[[#This Row],[Rep_ID]],Dim_Reps!A:A,Dim_Reps!C:C)</f>
        <v>SDR / Inside Sales Rep</v>
      </c>
      <c r="Q5582" t="str">
        <f>_xlfn.XLOOKUP(Pipeline_tbl[[#This Row],[Rep_ID]],Dim_Reps!A:A,Dim_Reps!D:D)</f>
        <v>Inside Sales</v>
      </c>
      <c r="R5582" t="str">
        <f>_xlfn.XLOOKUP(Pipeline_tbl[[#This Row],[Rep_ID]],Dim_Reps!A:A,Dim_Reps!E:E)</f>
        <v>EMEA</v>
      </c>
      <c r="S5582" t="str">
        <f>_xlfn.XLOOKUP(Pipeline_tbl[[#This Row],[Created_Date]],Dim_Date!A:A,Dim_Date!H:H)</f>
        <v>Dec 2024</v>
      </c>
      <c r="T5582" t="str">
        <f>IF(Pipeline_tbl[[#This Row],[Closed_Date]]=0,"",(_xlfn.XLOOKUP(Pipeline_tbl[[#This Row],[Closed_Date]],Dim_Date!A:A,Dim_Date!H:H)))</f>
        <v>Dec 2024</v>
      </c>
      <c r="U5582">
        <f>IF(Pipeline_tbl[[#This Row],[Closed_Date]]=0,"",Pipeline_tbl[[#This Row],[Closed_Date]]-Pipeline_tbl[[#This Row],[Created_Date]])</f>
        <v>17</v>
      </c>
    </row>
    <row r="5583" spans="1:21" ht="15" customHeight="1" x14ac:dyDescent="0.2">
      <c r="A5583" t="s">
        <v>5889</v>
      </c>
      <c r="B5583" t="s">
        <v>213</v>
      </c>
      <c r="C5583" t="s">
        <v>55</v>
      </c>
      <c r="D5583" s="49">
        <v>45628</v>
      </c>
      <c r="E5583" s="49">
        <v>45630</v>
      </c>
      <c r="F5583" s="49">
        <v>45633</v>
      </c>
      <c r="I5583" s="49">
        <v>45643</v>
      </c>
      <c r="J5583" t="s">
        <v>49</v>
      </c>
      <c r="K5583" s="33">
        <v>1600</v>
      </c>
      <c r="L5583" t="s">
        <v>60</v>
      </c>
      <c r="M5583" t="str">
        <f>_xlfn.XLOOKUP(Pipeline_tbl[[#This Row],[Rep_ID]],Dim_Reps!A:A,Dim_Reps!K:K)</f>
        <v>EUR</v>
      </c>
      <c r="N5583" s="33">
        <f>(_xlfn.XLOOKUP(Pipeline_tbl[[#This Row],[Rate_Code_Generalized]],Lookups!A:A,Lookups!B:B))*Pipeline_tbl[[#This Row],[Pipeline_Amount_USD]]</f>
        <v>1600</v>
      </c>
      <c r="O5583" t="str">
        <f>_xlfn.XLOOKUP(Pipeline_tbl[[#This Row],[Rep_ID]],Dim_Reps!A:A,Dim_Reps!B:B)</f>
        <v>Jamie Silva</v>
      </c>
      <c r="P5583" t="str">
        <f>_xlfn.XLOOKUP(Pipeline_tbl[[#This Row],[Rep_ID]],Dim_Reps!A:A,Dim_Reps!C:C)</f>
        <v>SDR / Inside Sales Rep</v>
      </c>
      <c r="Q5583" t="str">
        <f>_xlfn.XLOOKUP(Pipeline_tbl[[#This Row],[Rep_ID]],Dim_Reps!A:A,Dim_Reps!D:D)</f>
        <v>Inside Sales</v>
      </c>
      <c r="R5583" t="str">
        <f>_xlfn.XLOOKUP(Pipeline_tbl[[#This Row],[Rep_ID]],Dim_Reps!A:A,Dim_Reps!E:E)</f>
        <v>EMEA</v>
      </c>
      <c r="S5583" t="str">
        <f>_xlfn.XLOOKUP(Pipeline_tbl[[#This Row],[Created_Date]],Dim_Date!A:A,Dim_Date!H:H)</f>
        <v>Dec 2024</v>
      </c>
      <c r="T5583" t="str">
        <f>IF(Pipeline_tbl[[#This Row],[Closed_Date]]=0,"",(_xlfn.XLOOKUP(Pipeline_tbl[[#This Row],[Closed_Date]],Dim_Date!A:A,Dim_Date!H:H)))</f>
        <v>Dec 2024</v>
      </c>
      <c r="U5583">
        <f>IF(Pipeline_tbl[[#This Row],[Closed_Date]]=0,"",Pipeline_tbl[[#This Row],[Closed_Date]]-Pipeline_tbl[[#This Row],[Created_Date]])</f>
        <v>15</v>
      </c>
    </row>
    <row r="5584" spans="1:21" ht="15" customHeight="1" x14ac:dyDescent="0.2">
      <c r="A5584" t="s">
        <v>5890</v>
      </c>
      <c r="B5584" t="s">
        <v>213</v>
      </c>
      <c r="C5584" t="s">
        <v>52</v>
      </c>
      <c r="D5584" s="49">
        <v>45633</v>
      </c>
      <c r="E5584" s="49">
        <v>45634</v>
      </c>
      <c r="F5584" s="49">
        <v>45636</v>
      </c>
      <c r="G5584" s="49">
        <v>45640</v>
      </c>
      <c r="H5584" s="49">
        <v>45642</v>
      </c>
      <c r="I5584" s="49">
        <v>45644</v>
      </c>
      <c r="J5584" t="s">
        <v>47</v>
      </c>
      <c r="K5584" s="33">
        <v>2000</v>
      </c>
      <c r="M5584" t="str">
        <f>_xlfn.XLOOKUP(Pipeline_tbl[[#This Row],[Rep_ID]],Dim_Reps!A:A,Dim_Reps!K:K)</f>
        <v>EUR</v>
      </c>
      <c r="N5584" s="33">
        <f>(_xlfn.XLOOKUP(Pipeline_tbl[[#This Row],[Rate_Code_Generalized]],Lookups!A:A,Lookups!B:B))*Pipeline_tbl[[#This Row],[Pipeline_Amount_USD]]</f>
        <v>2000</v>
      </c>
      <c r="O5584" t="str">
        <f>_xlfn.XLOOKUP(Pipeline_tbl[[#This Row],[Rep_ID]],Dim_Reps!A:A,Dim_Reps!B:B)</f>
        <v>Jamie Silva</v>
      </c>
      <c r="P5584" t="str">
        <f>_xlfn.XLOOKUP(Pipeline_tbl[[#This Row],[Rep_ID]],Dim_Reps!A:A,Dim_Reps!C:C)</f>
        <v>SDR / Inside Sales Rep</v>
      </c>
      <c r="Q5584" t="str">
        <f>_xlfn.XLOOKUP(Pipeline_tbl[[#This Row],[Rep_ID]],Dim_Reps!A:A,Dim_Reps!D:D)</f>
        <v>Inside Sales</v>
      </c>
      <c r="R5584" t="str">
        <f>_xlfn.XLOOKUP(Pipeline_tbl[[#This Row],[Rep_ID]],Dim_Reps!A:A,Dim_Reps!E:E)</f>
        <v>EMEA</v>
      </c>
      <c r="S5584" t="str">
        <f>_xlfn.XLOOKUP(Pipeline_tbl[[#This Row],[Created_Date]],Dim_Date!A:A,Dim_Date!H:H)</f>
        <v>Dec 2024</v>
      </c>
      <c r="T5584" t="str">
        <f>IF(Pipeline_tbl[[#This Row],[Closed_Date]]=0,"",(_xlfn.XLOOKUP(Pipeline_tbl[[#This Row],[Closed_Date]],Dim_Date!A:A,Dim_Date!H:H)))</f>
        <v>Dec 2024</v>
      </c>
      <c r="U5584">
        <f>IF(Pipeline_tbl[[#This Row],[Closed_Date]]=0,"",Pipeline_tbl[[#This Row],[Closed_Date]]-Pipeline_tbl[[#This Row],[Created_Date]])</f>
        <v>11</v>
      </c>
    </row>
    <row r="5585" spans="1:21" ht="15" customHeight="1" x14ac:dyDescent="0.2">
      <c r="A5585" t="s">
        <v>5891</v>
      </c>
      <c r="B5585" t="s">
        <v>213</v>
      </c>
      <c r="C5585" t="s">
        <v>54</v>
      </c>
      <c r="D5585" s="49">
        <v>45628</v>
      </c>
      <c r="E5585" s="49">
        <v>45630</v>
      </c>
      <c r="F5585" s="49">
        <v>45634</v>
      </c>
      <c r="G5585" s="49">
        <v>45640</v>
      </c>
      <c r="I5585" s="49">
        <v>45648</v>
      </c>
      <c r="J5585" t="s">
        <v>49</v>
      </c>
      <c r="K5585" s="33">
        <v>1700</v>
      </c>
      <c r="L5585" t="s">
        <v>61</v>
      </c>
      <c r="M5585" t="str">
        <f>_xlfn.XLOOKUP(Pipeline_tbl[[#This Row],[Rep_ID]],Dim_Reps!A:A,Dim_Reps!K:K)</f>
        <v>EUR</v>
      </c>
      <c r="N5585" s="33">
        <f>(_xlfn.XLOOKUP(Pipeline_tbl[[#This Row],[Rate_Code_Generalized]],Lookups!A:A,Lookups!B:B))*Pipeline_tbl[[#This Row],[Pipeline_Amount_USD]]</f>
        <v>1700</v>
      </c>
      <c r="O5585" t="str">
        <f>_xlfn.XLOOKUP(Pipeline_tbl[[#This Row],[Rep_ID]],Dim_Reps!A:A,Dim_Reps!B:B)</f>
        <v>Jamie Silva</v>
      </c>
      <c r="P5585" t="str">
        <f>_xlfn.XLOOKUP(Pipeline_tbl[[#This Row],[Rep_ID]],Dim_Reps!A:A,Dim_Reps!C:C)</f>
        <v>SDR / Inside Sales Rep</v>
      </c>
      <c r="Q5585" t="str">
        <f>_xlfn.XLOOKUP(Pipeline_tbl[[#This Row],[Rep_ID]],Dim_Reps!A:A,Dim_Reps!D:D)</f>
        <v>Inside Sales</v>
      </c>
      <c r="R5585" t="str">
        <f>_xlfn.XLOOKUP(Pipeline_tbl[[#This Row],[Rep_ID]],Dim_Reps!A:A,Dim_Reps!E:E)</f>
        <v>EMEA</v>
      </c>
      <c r="S5585" t="str">
        <f>_xlfn.XLOOKUP(Pipeline_tbl[[#This Row],[Created_Date]],Dim_Date!A:A,Dim_Date!H:H)</f>
        <v>Dec 2024</v>
      </c>
      <c r="T5585" t="str">
        <f>IF(Pipeline_tbl[[#This Row],[Closed_Date]]=0,"",(_xlfn.XLOOKUP(Pipeline_tbl[[#This Row],[Closed_Date]],Dim_Date!A:A,Dim_Date!H:H)))</f>
        <v>Dec 2024</v>
      </c>
      <c r="U5585">
        <f>IF(Pipeline_tbl[[#This Row],[Closed_Date]]=0,"",Pipeline_tbl[[#This Row],[Closed_Date]]-Pipeline_tbl[[#This Row],[Created_Date]])</f>
        <v>20</v>
      </c>
    </row>
    <row r="5586" spans="1:21" ht="15" customHeight="1" x14ac:dyDescent="0.2">
      <c r="A5586" t="s">
        <v>5892</v>
      </c>
      <c r="B5586" t="s">
        <v>213</v>
      </c>
      <c r="C5586" t="s">
        <v>53</v>
      </c>
      <c r="D5586" s="49">
        <v>45637</v>
      </c>
      <c r="E5586" s="49">
        <v>45638</v>
      </c>
      <c r="F5586" s="49">
        <v>45641</v>
      </c>
      <c r="G5586" s="49">
        <v>45645</v>
      </c>
      <c r="H5586" s="49">
        <v>45648</v>
      </c>
      <c r="I5586" s="49">
        <v>45650</v>
      </c>
      <c r="J5586" t="s">
        <v>49</v>
      </c>
      <c r="K5586" s="33">
        <v>6800</v>
      </c>
      <c r="L5586" t="s">
        <v>60</v>
      </c>
      <c r="M5586" t="str">
        <f>_xlfn.XLOOKUP(Pipeline_tbl[[#This Row],[Rep_ID]],Dim_Reps!A:A,Dim_Reps!K:K)</f>
        <v>EUR</v>
      </c>
      <c r="N5586" s="33">
        <f>(_xlfn.XLOOKUP(Pipeline_tbl[[#This Row],[Rate_Code_Generalized]],Lookups!A:A,Lookups!B:B))*Pipeline_tbl[[#This Row],[Pipeline_Amount_USD]]</f>
        <v>6800</v>
      </c>
      <c r="O5586" t="str">
        <f>_xlfn.XLOOKUP(Pipeline_tbl[[#This Row],[Rep_ID]],Dim_Reps!A:A,Dim_Reps!B:B)</f>
        <v>Jamie Silva</v>
      </c>
      <c r="P5586" t="str">
        <f>_xlfn.XLOOKUP(Pipeline_tbl[[#This Row],[Rep_ID]],Dim_Reps!A:A,Dim_Reps!C:C)</f>
        <v>SDR / Inside Sales Rep</v>
      </c>
      <c r="Q5586" t="str">
        <f>_xlfn.XLOOKUP(Pipeline_tbl[[#This Row],[Rep_ID]],Dim_Reps!A:A,Dim_Reps!D:D)</f>
        <v>Inside Sales</v>
      </c>
      <c r="R5586" t="str">
        <f>_xlfn.XLOOKUP(Pipeline_tbl[[#This Row],[Rep_ID]],Dim_Reps!A:A,Dim_Reps!E:E)</f>
        <v>EMEA</v>
      </c>
      <c r="S5586" t="str">
        <f>_xlfn.XLOOKUP(Pipeline_tbl[[#This Row],[Created_Date]],Dim_Date!A:A,Dim_Date!H:H)</f>
        <v>Dec 2024</v>
      </c>
      <c r="T5586" t="str">
        <f>IF(Pipeline_tbl[[#This Row],[Closed_Date]]=0,"",(_xlfn.XLOOKUP(Pipeline_tbl[[#This Row],[Closed_Date]],Dim_Date!A:A,Dim_Date!H:H)))</f>
        <v>Dec 2024</v>
      </c>
      <c r="U5586">
        <f>IF(Pipeline_tbl[[#This Row],[Closed_Date]]=0,"",Pipeline_tbl[[#This Row],[Closed_Date]]-Pipeline_tbl[[#This Row],[Created_Date]])</f>
        <v>13</v>
      </c>
    </row>
    <row r="5587" spans="1:21" ht="15" customHeight="1" x14ac:dyDescent="0.2">
      <c r="A5587" t="s">
        <v>5893</v>
      </c>
      <c r="B5587" t="s">
        <v>213</v>
      </c>
      <c r="C5587" t="s">
        <v>52</v>
      </c>
      <c r="D5587" s="49">
        <v>45636</v>
      </c>
      <c r="E5587" s="49">
        <v>45638</v>
      </c>
      <c r="F5587" s="49">
        <v>45642</v>
      </c>
      <c r="G5587" s="49">
        <v>45647</v>
      </c>
      <c r="I5587" s="49">
        <v>45655</v>
      </c>
      <c r="J5587" t="s">
        <v>49</v>
      </c>
      <c r="K5587" s="33">
        <v>5200</v>
      </c>
      <c r="L5587" t="s">
        <v>62</v>
      </c>
      <c r="M5587" t="str">
        <f>_xlfn.XLOOKUP(Pipeline_tbl[[#This Row],[Rep_ID]],Dim_Reps!A:A,Dim_Reps!K:K)</f>
        <v>EUR</v>
      </c>
      <c r="N5587" s="33">
        <f>(_xlfn.XLOOKUP(Pipeline_tbl[[#This Row],[Rate_Code_Generalized]],Lookups!A:A,Lookups!B:B))*Pipeline_tbl[[#This Row],[Pipeline_Amount_USD]]</f>
        <v>5200</v>
      </c>
      <c r="O5587" t="str">
        <f>_xlfn.XLOOKUP(Pipeline_tbl[[#This Row],[Rep_ID]],Dim_Reps!A:A,Dim_Reps!B:B)</f>
        <v>Jamie Silva</v>
      </c>
      <c r="P5587" t="str">
        <f>_xlfn.XLOOKUP(Pipeline_tbl[[#This Row],[Rep_ID]],Dim_Reps!A:A,Dim_Reps!C:C)</f>
        <v>SDR / Inside Sales Rep</v>
      </c>
      <c r="Q5587" t="str">
        <f>_xlfn.XLOOKUP(Pipeline_tbl[[#This Row],[Rep_ID]],Dim_Reps!A:A,Dim_Reps!D:D)</f>
        <v>Inside Sales</v>
      </c>
      <c r="R5587" t="str">
        <f>_xlfn.XLOOKUP(Pipeline_tbl[[#This Row],[Rep_ID]],Dim_Reps!A:A,Dim_Reps!E:E)</f>
        <v>EMEA</v>
      </c>
      <c r="S5587" t="str">
        <f>_xlfn.XLOOKUP(Pipeline_tbl[[#This Row],[Created_Date]],Dim_Date!A:A,Dim_Date!H:H)</f>
        <v>Dec 2024</v>
      </c>
      <c r="T5587" t="str">
        <f>IF(Pipeline_tbl[[#This Row],[Closed_Date]]=0,"",(_xlfn.XLOOKUP(Pipeline_tbl[[#This Row],[Closed_Date]],Dim_Date!A:A,Dim_Date!H:H)))</f>
        <v>Dec 2024</v>
      </c>
      <c r="U5587">
        <f>IF(Pipeline_tbl[[#This Row],[Closed_Date]]=0,"",Pipeline_tbl[[#This Row],[Closed_Date]]-Pipeline_tbl[[#This Row],[Created_Date]])</f>
        <v>19</v>
      </c>
    </row>
    <row r="5588" spans="1:21" ht="15" customHeight="1" x14ac:dyDescent="0.2">
      <c r="A5588" t="s">
        <v>5894</v>
      </c>
      <c r="B5588" t="s">
        <v>215</v>
      </c>
      <c r="C5588" t="s">
        <v>52</v>
      </c>
      <c r="D5588" s="49">
        <v>45647</v>
      </c>
      <c r="E5588" s="49">
        <v>45648</v>
      </c>
      <c r="F5588" s="49">
        <v>45650</v>
      </c>
      <c r="I5588" s="49">
        <v>45657</v>
      </c>
      <c r="J5588" t="s">
        <v>49</v>
      </c>
      <c r="K5588" s="33">
        <v>4600</v>
      </c>
      <c r="L5588" t="s">
        <v>61</v>
      </c>
      <c r="M5588" t="str">
        <f>_xlfn.XLOOKUP(Pipeline_tbl[[#This Row],[Rep_ID]],Dim_Reps!A:A,Dim_Reps!K:K)</f>
        <v>EUR</v>
      </c>
      <c r="N5588" s="33">
        <f>(_xlfn.XLOOKUP(Pipeline_tbl[[#This Row],[Rate_Code_Generalized]],Lookups!A:A,Lookups!B:B))*Pipeline_tbl[[#This Row],[Pipeline_Amount_USD]]</f>
        <v>4600</v>
      </c>
      <c r="O5588" t="str">
        <f>_xlfn.XLOOKUP(Pipeline_tbl[[#This Row],[Rep_ID]],Dim_Reps!A:A,Dim_Reps!B:B)</f>
        <v>Jamie Schmidt</v>
      </c>
      <c r="P5588" t="str">
        <f>_xlfn.XLOOKUP(Pipeline_tbl[[#This Row],[Rep_ID]],Dim_Reps!A:A,Dim_Reps!C:C)</f>
        <v>SDR / Inside Sales Rep</v>
      </c>
      <c r="Q5588" t="str">
        <f>_xlfn.XLOOKUP(Pipeline_tbl[[#This Row],[Rep_ID]],Dim_Reps!A:A,Dim_Reps!D:D)</f>
        <v>Inside Sales</v>
      </c>
      <c r="R5588" t="str">
        <f>_xlfn.XLOOKUP(Pipeline_tbl[[#This Row],[Rep_ID]],Dim_Reps!A:A,Dim_Reps!E:E)</f>
        <v>APAC</v>
      </c>
      <c r="S5588" t="str">
        <f>_xlfn.XLOOKUP(Pipeline_tbl[[#This Row],[Created_Date]],Dim_Date!A:A,Dim_Date!H:H)</f>
        <v>Dec 2024</v>
      </c>
      <c r="T5588" t="str">
        <f>IF(Pipeline_tbl[[#This Row],[Closed_Date]]=0,"",(_xlfn.XLOOKUP(Pipeline_tbl[[#This Row],[Closed_Date]],Dim_Date!A:A,Dim_Date!H:H)))</f>
        <v>Dec 2024</v>
      </c>
      <c r="U5588">
        <f>IF(Pipeline_tbl[[#This Row],[Closed_Date]]=0,"",Pipeline_tbl[[#This Row],[Closed_Date]]-Pipeline_tbl[[#This Row],[Created_Date]])</f>
        <v>10</v>
      </c>
    </row>
    <row r="5589" spans="1:21" ht="15" customHeight="1" x14ac:dyDescent="0.2">
      <c r="A5589" t="s">
        <v>5895</v>
      </c>
      <c r="B5589" t="s">
        <v>215</v>
      </c>
      <c r="C5589" t="s">
        <v>55</v>
      </c>
      <c r="D5589" s="49">
        <v>45636</v>
      </c>
      <c r="E5589" s="49">
        <v>45638</v>
      </c>
      <c r="F5589" s="49">
        <v>45641</v>
      </c>
      <c r="G5589" s="49">
        <v>45647</v>
      </c>
      <c r="H5589" s="49">
        <v>45651</v>
      </c>
      <c r="I5589" s="49">
        <v>45654</v>
      </c>
      <c r="J5589" t="s">
        <v>47</v>
      </c>
      <c r="K5589" s="33">
        <v>3800</v>
      </c>
      <c r="M5589" t="str">
        <f>_xlfn.XLOOKUP(Pipeline_tbl[[#This Row],[Rep_ID]],Dim_Reps!A:A,Dim_Reps!K:K)</f>
        <v>EUR</v>
      </c>
      <c r="N5589" s="33">
        <f>(_xlfn.XLOOKUP(Pipeline_tbl[[#This Row],[Rate_Code_Generalized]],Lookups!A:A,Lookups!B:B))*Pipeline_tbl[[#This Row],[Pipeline_Amount_USD]]</f>
        <v>3800</v>
      </c>
      <c r="O5589" t="str">
        <f>_xlfn.XLOOKUP(Pipeline_tbl[[#This Row],[Rep_ID]],Dim_Reps!A:A,Dim_Reps!B:B)</f>
        <v>Jamie Schmidt</v>
      </c>
      <c r="P5589" t="str">
        <f>_xlfn.XLOOKUP(Pipeline_tbl[[#This Row],[Rep_ID]],Dim_Reps!A:A,Dim_Reps!C:C)</f>
        <v>SDR / Inside Sales Rep</v>
      </c>
      <c r="Q5589" t="str">
        <f>_xlfn.XLOOKUP(Pipeline_tbl[[#This Row],[Rep_ID]],Dim_Reps!A:A,Dim_Reps!D:D)</f>
        <v>Inside Sales</v>
      </c>
      <c r="R5589" t="str">
        <f>_xlfn.XLOOKUP(Pipeline_tbl[[#This Row],[Rep_ID]],Dim_Reps!A:A,Dim_Reps!E:E)</f>
        <v>APAC</v>
      </c>
      <c r="S5589" t="str">
        <f>_xlfn.XLOOKUP(Pipeline_tbl[[#This Row],[Created_Date]],Dim_Date!A:A,Dim_Date!H:H)</f>
        <v>Dec 2024</v>
      </c>
      <c r="T5589" t="str">
        <f>IF(Pipeline_tbl[[#This Row],[Closed_Date]]=0,"",(_xlfn.XLOOKUP(Pipeline_tbl[[#This Row],[Closed_Date]],Dim_Date!A:A,Dim_Date!H:H)))</f>
        <v>Dec 2024</v>
      </c>
      <c r="U5589">
        <f>IF(Pipeline_tbl[[#This Row],[Closed_Date]]=0,"",Pipeline_tbl[[#This Row],[Closed_Date]]-Pipeline_tbl[[#This Row],[Created_Date]])</f>
        <v>18</v>
      </c>
    </row>
    <row r="5590" spans="1:21" ht="15" customHeight="1" x14ac:dyDescent="0.2">
      <c r="A5590" t="s">
        <v>5896</v>
      </c>
      <c r="B5590" t="s">
        <v>215</v>
      </c>
      <c r="C5590" t="s">
        <v>52</v>
      </c>
      <c r="D5590" s="49">
        <v>45629</v>
      </c>
      <c r="E5590" s="49">
        <v>45631</v>
      </c>
      <c r="F5590" s="49">
        <v>45634</v>
      </c>
      <c r="I5590" s="49">
        <v>45646</v>
      </c>
      <c r="J5590" t="s">
        <v>49</v>
      </c>
      <c r="K5590" s="33">
        <v>3000</v>
      </c>
      <c r="L5590" t="s">
        <v>63</v>
      </c>
      <c r="M5590" t="str">
        <f>_xlfn.XLOOKUP(Pipeline_tbl[[#This Row],[Rep_ID]],Dim_Reps!A:A,Dim_Reps!K:K)</f>
        <v>EUR</v>
      </c>
      <c r="N5590" s="33">
        <f>(_xlfn.XLOOKUP(Pipeline_tbl[[#This Row],[Rate_Code_Generalized]],Lookups!A:A,Lookups!B:B))*Pipeline_tbl[[#This Row],[Pipeline_Amount_USD]]</f>
        <v>3000</v>
      </c>
      <c r="O5590" t="str">
        <f>_xlfn.XLOOKUP(Pipeline_tbl[[#This Row],[Rep_ID]],Dim_Reps!A:A,Dim_Reps!B:B)</f>
        <v>Jamie Schmidt</v>
      </c>
      <c r="P5590" t="str">
        <f>_xlfn.XLOOKUP(Pipeline_tbl[[#This Row],[Rep_ID]],Dim_Reps!A:A,Dim_Reps!C:C)</f>
        <v>SDR / Inside Sales Rep</v>
      </c>
      <c r="Q5590" t="str">
        <f>_xlfn.XLOOKUP(Pipeline_tbl[[#This Row],[Rep_ID]],Dim_Reps!A:A,Dim_Reps!D:D)</f>
        <v>Inside Sales</v>
      </c>
      <c r="R5590" t="str">
        <f>_xlfn.XLOOKUP(Pipeline_tbl[[#This Row],[Rep_ID]],Dim_Reps!A:A,Dim_Reps!E:E)</f>
        <v>APAC</v>
      </c>
      <c r="S5590" t="str">
        <f>_xlfn.XLOOKUP(Pipeline_tbl[[#This Row],[Created_Date]],Dim_Date!A:A,Dim_Date!H:H)</f>
        <v>Dec 2024</v>
      </c>
      <c r="T5590" t="str">
        <f>IF(Pipeline_tbl[[#This Row],[Closed_Date]]=0,"",(_xlfn.XLOOKUP(Pipeline_tbl[[#This Row],[Closed_Date]],Dim_Date!A:A,Dim_Date!H:H)))</f>
        <v>Dec 2024</v>
      </c>
      <c r="U5590">
        <f>IF(Pipeline_tbl[[#This Row],[Closed_Date]]=0,"",Pipeline_tbl[[#This Row],[Closed_Date]]-Pipeline_tbl[[#This Row],[Created_Date]])</f>
        <v>17</v>
      </c>
    </row>
    <row r="5591" spans="1:21" ht="15" customHeight="1" x14ac:dyDescent="0.2">
      <c r="A5591" t="s">
        <v>5897</v>
      </c>
      <c r="B5591" t="s">
        <v>215</v>
      </c>
      <c r="C5591" t="s">
        <v>52</v>
      </c>
      <c r="D5591" s="49">
        <v>45643</v>
      </c>
      <c r="E5591" s="49">
        <v>45644</v>
      </c>
      <c r="F5591" s="49">
        <v>45647</v>
      </c>
      <c r="G5591" s="49">
        <v>45651</v>
      </c>
      <c r="I5591" s="49">
        <v>45656</v>
      </c>
      <c r="J5591" t="s">
        <v>49</v>
      </c>
      <c r="K5591" s="33">
        <v>3000</v>
      </c>
      <c r="L5591" t="s">
        <v>60</v>
      </c>
      <c r="M5591" t="str">
        <f>_xlfn.XLOOKUP(Pipeline_tbl[[#This Row],[Rep_ID]],Dim_Reps!A:A,Dim_Reps!K:K)</f>
        <v>EUR</v>
      </c>
      <c r="N5591" s="33">
        <f>(_xlfn.XLOOKUP(Pipeline_tbl[[#This Row],[Rate_Code_Generalized]],Lookups!A:A,Lookups!B:B))*Pipeline_tbl[[#This Row],[Pipeline_Amount_USD]]</f>
        <v>3000</v>
      </c>
      <c r="O5591" t="str">
        <f>_xlfn.XLOOKUP(Pipeline_tbl[[#This Row],[Rep_ID]],Dim_Reps!A:A,Dim_Reps!B:B)</f>
        <v>Jamie Schmidt</v>
      </c>
      <c r="P5591" t="str">
        <f>_xlfn.XLOOKUP(Pipeline_tbl[[#This Row],[Rep_ID]],Dim_Reps!A:A,Dim_Reps!C:C)</f>
        <v>SDR / Inside Sales Rep</v>
      </c>
      <c r="Q5591" t="str">
        <f>_xlfn.XLOOKUP(Pipeline_tbl[[#This Row],[Rep_ID]],Dim_Reps!A:A,Dim_Reps!D:D)</f>
        <v>Inside Sales</v>
      </c>
      <c r="R5591" t="str">
        <f>_xlfn.XLOOKUP(Pipeline_tbl[[#This Row],[Rep_ID]],Dim_Reps!A:A,Dim_Reps!E:E)</f>
        <v>APAC</v>
      </c>
      <c r="S5591" t="str">
        <f>_xlfn.XLOOKUP(Pipeline_tbl[[#This Row],[Created_Date]],Dim_Date!A:A,Dim_Date!H:H)</f>
        <v>Dec 2024</v>
      </c>
      <c r="T5591" t="str">
        <f>IF(Pipeline_tbl[[#This Row],[Closed_Date]]=0,"",(_xlfn.XLOOKUP(Pipeline_tbl[[#This Row],[Closed_Date]],Dim_Date!A:A,Dim_Date!H:H)))</f>
        <v>Dec 2024</v>
      </c>
      <c r="U5591">
        <f>IF(Pipeline_tbl[[#This Row],[Closed_Date]]=0,"",Pipeline_tbl[[#This Row],[Closed_Date]]-Pipeline_tbl[[#This Row],[Created_Date]])</f>
        <v>13</v>
      </c>
    </row>
    <row r="5592" spans="1:21" ht="15" customHeight="1" x14ac:dyDescent="0.2">
      <c r="A5592" t="s">
        <v>5898</v>
      </c>
      <c r="B5592" t="s">
        <v>215</v>
      </c>
      <c r="C5592" t="s">
        <v>52</v>
      </c>
      <c r="D5592" s="49">
        <v>45632</v>
      </c>
      <c r="E5592" s="49">
        <v>45634</v>
      </c>
      <c r="F5592" s="49">
        <v>45638</v>
      </c>
      <c r="G5592" s="49">
        <v>45644</v>
      </c>
      <c r="H5592" s="49">
        <v>45649</v>
      </c>
      <c r="I5592" s="49">
        <v>45652</v>
      </c>
      <c r="J5592" t="s">
        <v>47</v>
      </c>
      <c r="K5592" s="33">
        <v>5800</v>
      </c>
      <c r="M5592" t="str">
        <f>_xlfn.XLOOKUP(Pipeline_tbl[[#This Row],[Rep_ID]],Dim_Reps!A:A,Dim_Reps!K:K)</f>
        <v>EUR</v>
      </c>
      <c r="N5592" s="33">
        <f>(_xlfn.XLOOKUP(Pipeline_tbl[[#This Row],[Rate_Code_Generalized]],Lookups!A:A,Lookups!B:B))*Pipeline_tbl[[#This Row],[Pipeline_Amount_USD]]</f>
        <v>5800</v>
      </c>
      <c r="O5592" t="str">
        <f>_xlfn.XLOOKUP(Pipeline_tbl[[#This Row],[Rep_ID]],Dim_Reps!A:A,Dim_Reps!B:B)</f>
        <v>Jamie Schmidt</v>
      </c>
      <c r="P5592" t="str">
        <f>_xlfn.XLOOKUP(Pipeline_tbl[[#This Row],[Rep_ID]],Dim_Reps!A:A,Dim_Reps!C:C)</f>
        <v>SDR / Inside Sales Rep</v>
      </c>
      <c r="Q5592" t="str">
        <f>_xlfn.XLOOKUP(Pipeline_tbl[[#This Row],[Rep_ID]],Dim_Reps!A:A,Dim_Reps!D:D)</f>
        <v>Inside Sales</v>
      </c>
      <c r="R5592" t="str">
        <f>_xlfn.XLOOKUP(Pipeline_tbl[[#This Row],[Rep_ID]],Dim_Reps!A:A,Dim_Reps!E:E)</f>
        <v>APAC</v>
      </c>
      <c r="S5592" t="str">
        <f>_xlfn.XLOOKUP(Pipeline_tbl[[#This Row],[Created_Date]],Dim_Date!A:A,Dim_Date!H:H)</f>
        <v>Dec 2024</v>
      </c>
      <c r="T5592" t="str">
        <f>IF(Pipeline_tbl[[#This Row],[Closed_Date]]=0,"",(_xlfn.XLOOKUP(Pipeline_tbl[[#This Row],[Closed_Date]],Dim_Date!A:A,Dim_Date!H:H)))</f>
        <v>Dec 2024</v>
      </c>
      <c r="U5592">
        <f>IF(Pipeline_tbl[[#This Row],[Closed_Date]]=0,"",Pipeline_tbl[[#This Row],[Closed_Date]]-Pipeline_tbl[[#This Row],[Created_Date]])</f>
        <v>20</v>
      </c>
    </row>
    <row r="5593" spans="1:21" ht="15" customHeight="1" x14ac:dyDescent="0.2">
      <c r="A5593" t="s">
        <v>5899</v>
      </c>
      <c r="B5593" t="s">
        <v>217</v>
      </c>
      <c r="C5593" t="s">
        <v>53</v>
      </c>
      <c r="D5593" s="49">
        <v>45645</v>
      </c>
      <c r="E5593" s="49">
        <v>45646</v>
      </c>
      <c r="F5593" s="49">
        <v>45648</v>
      </c>
      <c r="G5593" s="49">
        <v>45652</v>
      </c>
      <c r="H5593" s="49">
        <v>45654</v>
      </c>
      <c r="I5593" s="49">
        <v>45656</v>
      </c>
      <c r="J5593" t="s">
        <v>49</v>
      </c>
      <c r="K5593" s="33">
        <v>2800</v>
      </c>
      <c r="L5593" t="s">
        <v>60</v>
      </c>
      <c r="M5593" t="str">
        <f>_xlfn.XLOOKUP(Pipeline_tbl[[#This Row],[Rep_ID]],Dim_Reps!A:A,Dim_Reps!K:K)</f>
        <v>USD</v>
      </c>
      <c r="N5593" s="33">
        <f>(_xlfn.XLOOKUP(Pipeline_tbl[[#This Row],[Rate_Code_Generalized]],Lookups!A:A,Lookups!B:B))*Pipeline_tbl[[#This Row],[Pipeline_Amount_USD]]</f>
        <v>3260.0399999999995</v>
      </c>
      <c r="O5593" t="str">
        <f>_xlfn.XLOOKUP(Pipeline_tbl[[#This Row],[Rep_ID]],Dim_Reps!A:A,Dim_Reps!B:B)</f>
        <v>Priya Weber</v>
      </c>
      <c r="P5593" t="str">
        <f>_xlfn.XLOOKUP(Pipeline_tbl[[#This Row],[Rep_ID]],Dim_Reps!A:A,Dim_Reps!C:C)</f>
        <v>SDR / Inside Sales Rep</v>
      </c>
      <c r="Q5593" t="str">
        <f>_xlfn.XLOOKUP(Pipeline_tbl[[#This Row],[Rep_ID]],Dim_Reps!A:A,Dim_Reps!D:D)</f>
        <v>Inside Sales</v>
      </c>
      <c r="R5593" t="str">
        <f>_xlfn.XLOOKUP(Pipeline_tbl[[#This Row],[Rep_ID]],Dim_Reps!A:A,Dim_Reps!E:E)</f>
        <v>NAMER</v>
      </c>
      <c r="S5593" t="str">
        <f>_xlfn.XLOOKUP(Pipeline_tbl[[#This Row],[Created_Date]],Dim_Date!A:A,Dim_Date!H:H)</f>
        <v>Dec 2024</v>
      </c>
      <c r="T5593" t="str">
        <f>IF(Pipeline_tbl[[#This Row],[Closed_Date]]=0,"",(_xlfn.XLOOKUP(Pipeline_tbl[[#This Row],[Closed_Date]],Dim_Date!A:A,Dim_Date!H:H)))</f>
        <v>Dec 2024</v>
      </c>
      <c r="U5593">
        <f>IF(Pipeline_tbl[[#This Row],[Closed_Date]]=0,"",Pipeline_tbl[[#This Row],[Closed_Date]]-Pipeline_tbl[[#This Row],[Created_Date]])</f>
        <v>11</v>
      </c>
    </row>
    <row r="5594" spans="1:21" ht="15" customHeight="1" x14ac:dyDescent="0.2">
      <c r="A5594" t="s">
        <v>5900</v>
      </c>
      <c r="B5594" t="s">
        <v>217</v>
      </c>
      <c r="C5594" t="s">
        <v>56</v>
      </c>
      <c r="D5594" s="49">
        <v>45627</v>
      </c>
      <c r="E5594" s="49">
        <v>45629</v>
      </c>
      <c r="F5594" s="49">
        <v>45632</v>
      </c>
      <c r="I5594" s="49">
        <v>45642</v>
      </c>
      <c r="J5594" t="s">
        <v>49</v>
      </c>
      <c r="K5594" s="33">
        <v>2400</v>
      </c>
      <c r="L5594" t="s">
        <v>61</v>
      </c>
      <c r="M5594" t="str">
        <f>_xlfn.XLOOKUP(Pipeline_tbl[[#This Row],[Rep_ID]],Dim_Reps!A:A,Dim_Reps!K:K)</f>
        <v>USD</v>
      </c>
      <c r="N5594" s="33">
        <f>(_xlfn.XLOOKUP(Pipeline_tbl[[#This Row],[Rate_Code_Generalized]],Lookups!A:A,Lookups!B:B))*Pipeline_tbl[[#This Row],[Pipeline_Amount_USD]]</f>
        <v>2794.3199999999997</v>
      </c>
      <c r="O5594" t="str">
        <f>_xlfn.XLOOKUP(Pipeline_tbl[[#This Row],[Rep_ID]],Dim_Reps!A:A,Dim_Reps!B:B)</f>
        <v>Priya Weber</v>
      </c>
      <c r="P5594" t="str">
        <f>_xlfn.XLOOKUP(Pipeline_tbl[[#This Row],[Rep_ID]],Dim_Reps!A:A,Dim_Reps!C:C)</f>
        <v>SDR / Inside Sales Rep</v>
      </c>
      <c r="Q5594" t="str">
        <f>_xlfn.XLOOKUP(Pipeline_tbl[[#This Row],[Rep_ID]],Dim_Reps!A:A,Dim_Reps!D:D)</f>
        <v>Inside Sales</v>
      </c>
      <c r="R5594" t="str">
        <f>_xlfn.XLOOKUP(Pipeline_tbl[[#This Row],[Rep_ID]],Dim_Reps!A:A,Dim_Reps!E:E)</f>
        <v>NAMER</v>
      </c>
      <c r="S5594" t="str">
        <f>_xlfn.XLOOKUP(Pipeline_tbl[[#This Row],[Created_Date]],Dim_Date!A:A,Dim_Date!H:H)</f>
        <v>Dec 2024</v>
      </c>
      <c r="T5594" t="str">
        <f>IF(Pipeline_tbl[[#This Row],[Closed_Date]]=0,"",(_xlfn.XLOOKUP(Pipeline_tbl[[#This Row],[Closed_Date]],Dim_Date!A:A,Dim_Date!H:H)))</f>
        <v>Dec 2024</v>
      </c>
      <c r="U5594">
        <f>IF(Pipeline_tbl[[#This Row],[Closed_Date]]=0,"",Pipeline_tbl[[#This Row],[Closed_Date]]-Pipeline_tbl[[#This Row],[Created_Date]])</f>
        <v>15</v>
      </c>
    </row>
    <row r="5595" spans="1:21" ht="15" customHeight="1" x14ac:dyDescent="0.2">
      <c r="A5595" t="s">
        <v>5901</v>
      </c>
      <c r="B5595" t="s">
        <v>217</v>
      </c>
      <c r="C5595" t="s">
        <v>56</v>
      </c>
      <c r="D5595" s="49">
        <v>45635</v>
      </c>
      <c r="E5595" s="49">
        <v>45637</v>
      </c>
      <c r="F5595" s="49">
        <v>45641</v>
      </c>
      <c r="G5595" s="49">
        <v>45648</v>
      </c>
      <c r="H5595" s="49">
        <v>45653</v>
      </c>
      <c r="I5595" s="49">
        <v>45656</v>
      </c>
      <c r="J5595" t="s">
        <v>49</v>
      </c>
      <c r="K5595" s="33">
        <v>9400</v>
      </c>
      <c r="L5595" t="s">
        <v>64</v>
      </c>
      <c r="M5595" t="str">
        <f>_xlfn.XLOOKUP(Pipeline_tbl[[#This Row],[Rep_ID]],Dim_Reps!A:A,Dim_Reps!K:K)</f>
        <v>USD</v>
      </c>
      <c r="N5595" s="33">
        <f>(_xlfn.XLOOKUP(Pipeline_tbl[[#This Row],[Rate_Code_Generalized]],Lookups!A:A,Lookups!B:B))*Pipeline_tbl[[#This Row],[Pipeline_Amount_USD]]</f>
        <v>10944.419999999998</v>
      </c>
      <c r="O5595" t="str">
        <f>_xlfn.XLOOKUP(Pipeline_tbl[[#This Row],[Rep_ID]],Dim_Reps!A:A,Dim_Reps!B:B)</f>
        <v>Priya Weber</v>
      </c>
      <c r="P5595" t="str">
        <f>_xlfn.XLOOKUP(Pipeline_tbl[[#This Row],[Rep_ID]],Dim_Reps!A:A,Dim_Reps!C:C)</f>
        <v>SDR / Inside Sales Rep</v>
      </c>
      <c r="Q5595" t="str">
        <f>_xlfn.XLOOKUP(Pipeline_tbl[[#This Row],[Rep_ID]],Dim_Reps!A:A,Dim_Reps!D:D)</f>
        <v>Inside Sales</v>
      </c>
      <c r="R5595" t="str">
        <f>_xlfn.XLOOKUP(Pipeline_tbl[[#This Row],[Rep_ID]],Dim_Reps!A:A,Dim_Reps!E:E)</f>
        <v>NAMER</v>
      </c>
      <c r="S5595" t="str">
        <f>_xlfn.XLOOKUP(Pipeline_tbl[[#This Row],[Created_Date]],Dim_Date!A:A,Dim_Date!H:H)</f>
        <v>Dec 2024</v>
      </c>
      <c r="T5595" t="str">
        <f>IF(Pipeline_tbl[[#This Row],[Closed_Date]]=0,"",(_xlfn.XLOOKUP(Pipeline_tbl[[#This Row],[Closed_Date]],Dim_Date!A:A,Dim_Date!H:H)))</f>
        <v>Dec 2024</v>
      </c>
      <c r="U5595">
        <f>IF(Pipeline_tbl[[#This Row],[Closed_Date]]=0,"",Pipeline_tbl[[#This Row],[Closed_Date]]-Pipeline_tbl[[#This Row],[Created_Date]])</f>
        <v>21</v>
      </c>
    </row>
    <row r="5596" spans="1:21" ht="15" customHeight="1" x14ac:dyDescent="0.2">
      <c r="A5596" t="s">
        <v>5902</v>
      </c>
      <c r="B5596" t="s">
        <v>221</v>
      </c>
      <c r="C5596" t="s">
        <v>54</v>
      </c>
      <c r="D5596" s="49">
        <v>45627</v>
      </c>
      <c r="E5596" s="49">
        <v>45629</v>
      </c>
      <c r="F5596" s="49">
        <v>45632</v>
      </c>
      <c r="G5596" s="49">
        <v>45638</v>
      </c>
      <c r="H5596" s="49">
        <v>45642</v>
      </c>
      <c r="I5596" s="49">
        <v>45645</v>
      </c>
      <c r="J5596" t="s">
        <v>47</v>
      </c>
      <c r="K5596" s="33">
        <v>2000</v>
      </c>
      <c r="M5596" t="str">
        <f>_xlfn.XLOOKUP(Pipeline_tbl[[#This Row],[Rep_ID]],Dim_Reps!A:A,Dim_Reps!K:K)</f>
        <v>MXN</v>
      </c>
      <c r="N5596" s="33">
        <f>(_xlfn.XLOOKUP(Pipeline_tbl[[#This Row],[Rate_Code_Generalized]],Lookups!A:A,Lookups!B:B))*Pipeline_tbl[[#This Row],[Pipeline_Amount_USD]]</f>
        <v>39465.4</v>
      </c>
      <c r="O5596" t="str">
        <f>_xlfn.XLOOKUP(Pipeline_tbl[[#This Row],[Rep_ID]],Dim_Reps!A:A,Dim_Reps!B:B)</f>
        <v>Casey Muller</v>
      </c>
      <c r="P5596" t="str">
        <f>_xlfn.XLOOKUP(Pipeline_tbl[[#This Row],[Rep_ID]],Dim_Reps!A:A,Dim_Reps!C:C)</f>
        <v>SDR / Inside Sales Rep</v>
      </c>
      <c r="Q5596" t="str">
        <f>_xlfn.XLOOKUP(Pipeline_tbl[[#This Row],[Rep_ID]],Dim_Reps!A:A,Dim_Reps!D:D)</f>
        <v>Inside Sales</v>
      </c>
      <c r="R5596" t="str">
        <f>_xlfn.XLOOKUP(Pipeline_tbl[[#This Row],[Rep_ID]],Dim_Reps!A:A,Dim_Reps!E:E)</f>
        <v>LATAM</v>
      </c>
      <c r="S5596" t="str">
        <f>_xlfn.XLOOKUP(Pipeline_tbl[[#This Row],[Created_Date]],Dim_Date!A:A,Dim_Date!H:H)</f>
        <v>Dec 2024</v>
      </c>
      <c r="T5596" t="str">
        <f>IF(Pipeline_tbl[[#This Row],[Closed_Date]]=0,"",(_xlfn.XLOOKUP(Pipeline_tbl[[#This Row],[Closed_Date]],Dim_Date!A:A,Dim_Date!H:H)))</f>
        <v>Dec 2024</v>
      </c>
      <c r="U5596">
        <f>IF(Pipeline_tbl[[#This Row],[Closed_Date]]=0,"",Pipeline_tbl[[#This Row],[Closed_Date]]-Pipeline_tbl[[#This Row],[Created_Date]])</f>
        <v>18</v>
      </c>
    </row>
    <row r="5597" spans="1:21" ht="15" customHeight="1" x14ac:dyDescent="0.2">
      <c r="A5597" t="s">
        <v>5903</v>
      </c>
      <c r="B5597" t="s">
        <v>221</v>
      </c>
      <c r="C5597" t="s">
        <v>52</v>
      </c>
      <c r="D5597" s="49">
        <v>45641</v>
      </c>
      <c r="E5597" s="49">
        <v>45643</v>
      </c>
      <c r="F5597" s="49">
        <v>45646</v>
      </c>
      <c r="G5597" s="49">
        <v>45651</v>
      </c>
      <c r="H5597" s="49">
        <v>45655</v>
      </c>
      <c r="I5597" s="49">
        <v>45657</v>
      </c>
      <c r="J5597" t="s">
        <v>49</v>
      </c>
      <c r="K5597" s="33">
        <v>3000</v>
      </c>
      <c r="L5597" t="s">
        <v>60</v>
      </c>
      <c r="M5597" t="str">
        <f>_xlfn.XLOOKUP(Pipeline_tbl[[#This Row],[Rep_ID]],Dim_Reps!A:A,Dim_Reps!K:K)</f>
        <v>MXN</v>
      </c>
      <c r="N5597" s="33">
        <f>(_xlfn.XLOOKUP(Pipeline_tbl[[#This Row],[Rate_Code_Generalized]],Lookups!A:A,Lookups!B:B))*Pipeline_tbl[[#This Row],[Pipeline_Amount_USD]]</f>
        <v>59198.100000000006</v>
      </c>
      <c r="O5597" t="str">
        <f>_xlfn.XLOOKUP(Pipeline_tbl[[#This Row],[Rep_ID]],Dim_Reps!A:A,Dim_Reps!B:B)</f>
        <v>Casey Muller</v>
      </c>
      <c r="P5597" t="str">
        <f>_xlfn.XLOOKUP(Pipeline_tbl[[#This Row],[Rep_ID]],Dim_Reps!A:A,Dim_Reps!C:C)</f>
        <v>SDR / Inside Sales Rep</v>
      </c>
      <c r="Q5597" t="str">
        <f>_xlfn.XLOOKUP(Pipeline_tbl[[#This Row],[Rep_ID]],Dim_Reps!A:A,Dim_Reps!D:D)</f>
        <v>Inside Sales</v>
      </c>
      <c r="R5597" t="str">
        <f>_xlfn.XLOOKUP(Pipeline_tbl[[#This Row],[Rep_ID]],Dim_Reps!A:A,Dim_Reps!E:E)</f>
        <v>LATAM</v>
      </c>
      <c r="S5597" t="str">
        <f>_xlfn.XLOOKUP(Pipeline_tbl[[#This Row],[Created_Date]],Dim_Date!A:A,Dim_Date!H:H)</f>
        <v>Dec 2024</v>
      </c>
      <c r="T5597" t="str">
        <f>IF(Pipeline_tbl[[#This Row],[Closed_Date]]=0,"",(_xlfn.XLOOKUP(Pipeline_tbl[[#This Row],[Closed_Date]],Dim_Date!A:A,Dim_Date!H:H)))</f>
        <v>Dec 2024</v>
      </c>
      <c r="U5597">
        <f>IF(Pipeline_tbl[[#This Row],[Closed_Date]]=0,"",Pipeline_tbl[[#This Row],[Closed_Date]]-Pipeline_tbl[[#This Row],[Created_Date]])</f>
        <v>16</v>
      </c>
    </row>
    <row r="5598" spans="1:21" ht="15" customHeight="1" x14ac:dyDescent="0.2">
      <c r="A5598" t="s">
        <v>5904</v>
      </c>
      <c r="B5598" t="s">
        <v>221</v>
      </c>
      <c r="C5598" t="s">
        <v>52</v>
      </c>
      <c r="D5598" s="49">
        <v>45640</v>
      </c>
      <c r="E5598" s="49">
        <v>45642</v>
      </c>
      <c r="F5598" s="49">
        <v>45645</v>
      </c>
      <c r="G5598" s="49">
        <v>45649</v>
      </c>
      <c r="H5598" s="49">
        <v>45653</v>
      </c>
      <c r="I5598" s="49">
        <v>45655</v>
      </c>
      <c r="J5598" t="s">
        <v>47</v>
      </c>
      <c r="K5598" s="33">
        <v>5000</v>
      </c>
      <c r="M5598" t="str">
        <f>_xlfn.XLOOKUP(Pipeline_tbl[[#This Row],[Rep_ID]],Dim_Reps!A:A,Dim_Reps!K:K)</f>
        <v>MXN</v>
      </c>
      <c r="N5598" s="33">
        <f>(_xlfn.XLOOKUP(Pipeline_tbl[[#This Row],[Rate_Code_Generalized]],Lookups!A:A,Lookups!B:B))*Pipeline_tbl[[#This Row],[Pipeline_Amount_USD]]</f>
        <v>98663.5</v>
      </c>
      <c r="O5598" t="str">
        <f>_xlfn.XLOOKUP(Pipeline_tbl[[#This Row],[Rep_ID]],Dim_Reps!A:A,Dim_Reps!B:B)</f>
        <v>Casey Muller</v>
      </c>
      <c r="P5598" t="str">
        <f>_xlfn.XLOOKUP(Pipeline_tbl[[#This Row],[Rep_ID]],Dim_Reps!A:A,Dim_Reps!C:C)</f>
        <v>SDR / Inside Sales Rep</v>
      </c>
      <c r="Q5598" t="str">
        <f>_xlfn.XLOOKUP(Pipeline_tbl[[#This Row],[Rep_ID]],Dim_Reps!A:A,Dim_Reps!D:D)</f>
        <v>Inside Sales</v>
      </c>
      <c r="R5598" t="str">
        <f>_xlfn.XLOOKUP(Pipeline_tbl[[#This Row],[Rep_ID]],Dim_Reps!A:A,Dim_Reps!E:E)</f>
        <v>LATAM</v>
      </c>
      <c r="S5598" t="str">
        <f>_xlfn.XLOOKUP(Pipeline_tbl[[#This Row],[Created_Date]],Dim_Date!A:A,Dim_Date!H:H)</f>
        <v>Dec 2024</v>
      </c>
      <c r="T5598" t="str">
        <f>IF(Pipeline_tbl[[#This Row],[Closed_Date]]=0,"",(_xlfn.XLOOKUP(Pipeline_tbl[[#This Row],[Closed_Date]],Dim_Date!A:A,Dim_Date!H:H)))</f>
        <v>Dec 2024</v>
      </c>
      <c r="U5598">
        <f>IF(Pipeline_tbl[[#This Row],[Closed_Date]]=0,"",Pipeline_tbl[[#This Row],[Closed_Date]]-Pipeline_tbl[[#This Row],[Created_Date]])</f>
        <v>15</v>
      </c>
    </row>
    <row r="5599" spans="1:21" ht="15" customHeight="1" x14ac:dyDescent="0.2">
      <c r="A5599" t="s">
        <v>5905</v>
      </c>
      <c r="B5599" t="s">
        <v>225</v>
      </c>
      <c r="C5599" t="s">
        <v>54</v>
      </c>
      <c r="D5599" s="49">
        <v>45643</v>
      </c>
      <c r="E5599" s="49">
        <v>45644</v>
      </c>
      <c r="F5599" s="49">
        <v>45647</v>
      </c>
      <c r="I5599" s="49">
        <v>45655</v>
      </c>
      <c r="J5599" t="s">
        <v>49</v>
      </c>
      <c r="K5599" s="33">
        <v>2400</v>
      </c>
      <c r="L5599" t="s">
        <v>60</v>
      </c>
      <c r="M5599" t="str">
        <f>_xlfn.XLOOKUP(Pipeline_tbl[[#This Row],[Rep_ID]],Dim_Reps!A:A,Dim_Reps!K:K)</f>
        <v>USD</v>
      </c>
      <c r="N5599" s="33">
        <f>(_xlfn.XLOOKUP(Pipeline_tbl[[#This Row],[Rate_Code_Generalized]],Lookups!A:A,Lookups!B:B))*Pipeline_tbl[[#This Row],[Pipeline_Amount_USD]]</f>
        <v>2794.3199999999997</v>
      </c>
      <c r="O5599" t="str">
        <f>_xlfn.XLOOKUP(Pipeline_tbl[[#This Row],[Rep_ID]],Dim_Reps!A:A,Dim_Reps!B:B)</f>
        <v>Alex Muller</v>
      </c>
      <c r="P5599" t="str">
        <f>_xlfn.XLOOKUP(Pipeline_tbl[[#This Row],[Rep_ID]],Dim_Reps!A:A,Dim_Reps!C:C)</f>
        <v>SDR / Inside Sales Rep</v>
      </c>
      <c r="Q5599" t="str">
        <f>_xlfn.XLOOKUP(Pipeline_tbl[[#This Row],[Rep_ID]],Dim_Reps!A:A,Dim_Reps!D:D)</f>
        <v>Inside Sales</v>
      </c>
      <c r="R5599" t="str">
        <f>_xlfn.XLOOKUP(Pipeline_tbl[[#This Row],[Rep_ID]],Dim_Reps!A:A,Dim_Reps!E:E)</f>
        <v>NAMER</v>
      </c>
      <c r="S5599" t="str">
        <f>_xlfn.XLOOKUP(Pipeline_tbl[[#This Row],[Created_Date]],Dim_Date!A:A,Dim_Date!H:H)</f>
        <v>Dec 2024</v>
      </c>
      <c r="T5599" t="str">
        <f>IF(Pipeline_tbl[[#This Row],[Closed_Date]]=0,"",(_xlfn.XLOOKUP(Pipeline_tbl[[#This Row],[Closed_Date]],Dim_Date!A:A,Dim_Date!H:H)))</f>
        <v>Dec 2024</v>
      </c>
      <c r="U5599">
        <f>IF(Pipeline_tbl[[#This Row],[Closed_Date]]=0,"",Pipeline_tbl[[#This Row],[Closed_Date]]-Pipeline_tbl[[#This Row],[Created_Date]])</f>
        <v>12</v>
      </c>
    </row>
    <row r="5600" spans="1:21" ht="15" customHeight="1" x14ac:dyDescent="0.2">
      <c r="A5600" t="s">
        <v>5906</v>
      </c>
      <c r="B5600" t="s">
        <v>225</v>
      </c>
      <c r="C5600" t="s">
        <v>53</v>
      </c>
      <c r="D5600" s="49">
        <v>45632</v>
      </c>
      <c r="E5600" s="49">
        <v>45634</v>
      </c>
      <c r="F5600" s="49">
        <v>45637</v>
      </c>
      <c r="G5600" s="49">
        <v>45642</v>
      </c>
      <c r="I5600" s="49">
        <v>45648</v>
      </c>
      <c r="J5600" t="s">
        <v>49</v>
      </c>
      <c r="K5600" s="33">
        <v>7600</v>
      </c>
      <c r="L5600" t="s">
        <v>61</v>
      </c>
      <c r="M5600" t="str">
        <f>_xlfn.XLOOKUP(Pipeline_tbl[[#This Row],[Rep_ID]],Dim_Reps!A:A,Dim_Reps!K:K)</f>
        <v>USD</v>
      </c>
      <c r="N5600" s="33">
        <f>(_xlfn.XLOOKUP(Pipeline_tbl[[#This Row],[Rate_Code_Generalized]],Lookups!A:A,Lookups!B:B))*Pipeline_tbl[[#This Row],[Pipeline_Amount_USD]]</f>
        <v>8848.6799999999985</v>
      </c>
      <c r="O5600" t="str">
        <f>_xlfn.XLOOKUP(Pipeline_tbl[[#This Row],[Rep_ID]],Dim_Reps!A:A,Dim_Reps!B:B)</f>
        <v>Alex Muller</v>
      </c>
      <c r="P5600" t="str">
        <f>_xlfn.XLOOKUP(Pipeline_tbl[[#This Row],[Rep_ID]],Dim_Reps!A:A,Dim_Reps!C:C)</f>
        <v>SDR / Inside Sales Rep</v>
      </c>
      <c r="Q5600" t="str">
        <f>_xlfn.XLOOKUP(Pipeline_tbl[[#This Row],[Rep_ID]],Dim_Reps!A:A,Dim_Reps!D:D)</f>
        <v>Inside Sales</v>
      </c>
      <c r="R5600" t="str">
        <f>_xlfn.XLOOKUP(Pipeline_tbl[[#This Row],[Rep_ID]],Dim_Reps!A:A,Dim_Reps!E:E)</f>
        <v>NAMER</v>
      </c>
      <c r="S5600" t="str">
        <f>_xlfn.XLOOKUP(Pipeline_tbl[[#This Row],[Created_Date]],Dim_Date!A:A,Dim_Date!H:H)</f>
        <v>Dec 2024</v>
      </c>
      <c r="T5600" t="str">
        <f>IF(Pipeline_tbl[[#This Row],[Closed_Date]]=0,"",(_xlfn.XLOOKUP(Pipeline_tbl[[#This Row],[Closed_Date]],Dim_Date!A:A,Dim_Date!H:H)))</f>
        <v>Dec 2024</v>
      </c>
      <c r="U5600">
        <f>IF(Pipeline_tbl[[#This Row],[Closed_Date]]=0,"",Pipeline_tbl[[#This Row],[Closed_Date]]-Pipeline_tbl[[#This Row],[Created_Date]])</f>
        <v>16</v>
      </c>
    </row>
    <row r="5601" spans="1:21" ht="15" customHeight="1" x14ac:dyDescent="0.2">
      <c r="A5601" t="s">
        <v>5907</v>
      </c>
      <c r="B5601" t="s">
        <v>225</v>
      </c>
      <c r="C5601" t="s">
        <v>54</v>
      </c>
      <c r="D5601" s="49">
        <v>45639</v>
      </c>
      <c r="E5601" s="49">
        <v>45640</v>
      </c>
      <c r="F5601" s="49">
        <v>45642</v>
      </c>
      <c r="G5601" s="49">
        <v>45645</v>
      </c>
      <c r="I5601" s="49">
        <v>45649</v>
      </c>
      <c r="J5601" t="s">
        <v>49</v>
      </c>
      <c r="K5601" s="33">
        <v>3600</v>
      </c>
      <c r="L5601" t="s">
        <v>61</v>
      </c>
      <c r="M5601" t="str">
        <f>_xlfn.XLOOKUP(Pipeline_tbl[[#This Row],[Rep_ID]],Dim_Reps!A:A,Dim_Reps!K:K)</f>
        <v>USD</v>
      </c>
      <c r="N5601" s="33">
        <f>(_xlfn.XLOOKUP(Pipeline_tbl[[#This Row],[Rate_Code_Generalized]],Lookups!A:A,Lookups!B:B))*Pipeline_tbl[[#This Row],[Pipeline_Amount_USD]]</f>
        <v>4191.4799999999996</v>
      </c>
      <c r="O5601" t="str">
        <f>_xlfn.XLOOKUP(Pipeline_tbl[[#This Row],[Rep_ID]],Dim_Reps!A:A,Dim_Reps!B:B)</f>
        <v>Alex Muller</v>
      </c>
      <c r="P5601" t="str">
        <f>_xlfn.XLOOKUP(Pipeline_tbl[[#This Row],[Rep_ID]],Dim_Reps!A:A,Dim_Reps!C:C)</f>
        <v>SDR / Inside Sales Rep</v>
      </c>
      <c r="Q5601" t="str">
        <f>_xlfn.XLOOKUP(Pipeline_tbl[[#This Row],[Rep_ID]],Dim_Reps!A:A,Dim_Reps!D:D)</f>
        <v>Inside Sales</v>
      </c>
      <c r="R5601" t="str">
        <f>_xlfn.XLOOKUP(Pipeline_tbl[[#This Row],[Rep_ID]],Dim_Reps!A:A,Dim_Reps!E:E)</f>
        <v>NAMER</v>
      </c>
      <c r="S5601" t="str">
        <f>_xlfn.XLOOKUP(Pipeline_tbl[[#This Row],[Created_Date]],Dim_Date!A:A,Dim_Date!H:H)</f>
        <v>Dec 2024</v>
      </c>
      <c r="T5601" t="str">
        <f>IF(Pipeline_tbl[[#This Row],[Closed_Date]]=0,"",(_xlfn.XLOOKUP(Pipeline_tbl[[#This Row],[Closed_Date]],Dim_Date!A:A,Dim_Date!H:H)))</f>
        <v>Dec 2024</v>
      </c>
      <c r="U5601">
        <f>IF(Pipeline_tbl[[#This Row],[Closed_Date]]=0,"",Pipeline_tbl[[#This Row],[Closed_Date]]-Pipeline_tbl[[#This Row],[Created_Date]])</f>
        <v>10</v>
      </c>
    </row>
    <row r="5602" spans="1:21" ht="15" customHeight="1" x14ac:dyDescent="0.2">
      <c r="A5602" t="s">
        <v>5908</v>
      </c>
      <c r="B5602" t="s">
        <v>225</v>
      </c>
      <c r="C5602" t="s">
        <v>56</v>
      </c>
      <c r="D5602" s="49">
        <v>45632</v>
      </c>
      <c r="E5602" s="49">
        <v>45634</v>
      </c>
      <c r="F5602" s="49">
        <v>45637</v>
      </c>
      <c r="G5602" s="49">
        <v>45642</v>
      </c>
      <c r="I5602" s="49">
        <v>45648</v>
      </c>
      <c r="J5602" t="s">
        <v>49</v>
      </c>
      <c r="K5602" s="33">
        <v>3200</v>
      </c>
      <c r="L5602" t="s">
        <v>62</v>
      </c>
      <c r="M5602" t="str">
        <f>_xlfn.XLOOKUP(Pipeline_tbl[[#This Row],[Rep_ID]],Dim_Reps!A:A,Dim_Reps!K:K)</f>
        <v>USD</v>
      </c>
      <c r="N5602" s="33">
        <f>(_xlfn.XLOOKUP(Pipeline_tbl[[#This Row],[Rate_Code_Generalized]],Lookups!A:A,Lookups!B:B))*Pipeline_tbl[[#This Row],[Pipeline_Amount_USD]]</f>
        <v>3725.7599999999998</v>
      </c>
      <c r="O5602" t="str">
        <f>_xlfn.XLOOKUP(Pipeline_tbl[[#This Row],[Rep_ID]],Dim_Reps!A:A,Dim_Reps!B:B)</f>
        <v>Alex Muller</v>
      </c>
      <c r="P5602" t="str">
        <f>_xlfn.XLOOKUP(Pipeline_tbl[[#This Row],[Rep_ID]],Dim_Reps!A:A,Dim_Reps!C:C)</f>
        <v>SDR / Inside Sales Rep</v>
      </c>
      <c r="Q5602" t="str">
        <f>_xlfn.XLOOKUP(Pipeline_tbl[[#This Row],[Rep_ID]],Dim_Reps!A:A,Dim_Reps!D:D)</f>
        <v>Inside Sales</v>
      </c>
      <c r="R5602" t="str">
        <f>_xlfn.XLOOKUP(Pipeline_tbl[[#This Row],[Rep_ID]],Dim_Reps!A:A,Dim_Reps!E:E)</f>
        <v>NAMER</v>
      </c>
      <c r="S5602" t="str">
        <f>_xlfn.XLOOKUP(Pipeline_tbl[[#This Row],[Created_Date]],Dim_Date!A:A,Dim_Date!H:H)</f>
        <v>Dec 2024</v>
      </c>
      <c r="T5602" t="str">
        <f>IF(Pipeline_tbl[[#This Row],[Closed_Date]]=0,"",(_xlfn.XLOOKUP(Pipeline_tbl[[#This Row],[Closed_Date]],Dim_Date!A:A,Dim_Date!H:H)))</f>
        <v>Dec 2024</v>
      </c>
      <c r="U5602">
        <f>IF(Pipeline_tbl[[#This Row],[Closed_Date]]=0,"",Pipeline_tbl[[#This Row],[Closed_Date]]-Pipeline_tbl[[#This Row],[Created_Date]])</f>
        <v>16</v>
      </c>
    </row>
    <row r="5603" spans="1:21" ht="15" customHeight="1" x14ac:dyDescent="0.2">
      <c r="A5603" t="s">
        <v>5909</v>
      </c>
      <c r="B5603" t="s">
        <v>225</v>
      </c>
      <c r="C5603" t="s">
        <v>55</v>
      </c>
      <c r="D5603" s="49">
        <v>45631</v>
      </c>
      <c r="E5603" s="49">
        <v>45633</v>
      </c>
      <c r="I5603" s="49">
        <v>45655</v>
      </c>
      <c r="J5603" t="s">
        <v>49</v>
      </c>
      <c r="K5603" s="33">
        <v>3400</v>
      </c>
      <c r="L5603" t="s">
        <v>63</v>
      </c>
      <c r="M5603" t="str">
        <f>_xlfn.XLOOKUP(Pipeline_tbl[[#This Row],[Rep_ID]],Dim_Reps!A:A,Dim_Reps!K:K)</f>
        <v>USD</v>
      </c>
      <c r="N5603" s="33">
        <f>(_xlfn.XLOOKUP(Pipeline_tbl[[#This Row],[Rate_Code_Generalized]],Lookups!A:A,Lookups!B:B))*Pipeline_tbl[[#This Row],[Pipeline_Amount_USD]]</f>
        <v>3958.6199999999994</v>
      </c>
      <c r="O5603" t="str">
        <f>_xlfn.XLOOKUP(Pipeline_tbl[[#This Row],[Rep_ID]],Dim_Reps!A:A,Dim_Reps!B:B)</f>
        <v>Alex Muller</v>
      </c>
      <c r="P5603" t="str">
        <f>_xlfn.XLOOKUP(Pipeline_tbl[[#This Row],[Rep_ID]],Dim_Reps!A:A,Dim_Reps!C:C)</f>
        <v>SDR / Inside Sales Rep</v>
      </c>
      <c r="Q5603" t="str">
        <f>_xlfn.XLOOKUP(Pipeline_tbl[[#This Row],[Rep_ID]],Dim_Reps!A:A,Dim_Reps!D:D)</f>
        <v>Inside Sales</v>
      </c>
      <c r="R5603" t="str">
        <f>_xlfn.XLOOKUP(Pipeline_tbl[[#This Row],[Rep_ID]],Dim_Reps!A:A,Dim_Reps!E:E)</f>
        <v>NAMER</v>
      </c>
      <c r="S5603" t="str">
        <f>_xlfn.XLOOKUP(Pipeline_tbl[[#This Row],[Created_Date]],Dim_Date!A:A,Dim_Date!H:H)</f>
        <v>Dec 2024</v>
      </c>
      <c r="T5603" t="str">
        <f>IF(Pipeline_tbl[[#This Row],[Closed_Date]]=0,"",(_xlfn.XLOOKUP(Pipeline_tbl[[#This Row],[Closed_Date]],Dim_Date!A:A,Dim_Date!H:H)))</f>
        <v>Dec 2024</v>
      </c>
      <c r="U5603">
        <f>IF(Pipeline_tbl[[#This Row],[Closed_Date]]=0,"",Pipeline_tbl[[#This Row],[Closed_Date]]-Pipeline_tbl[[#This Row],[Created_Date]])</f>
        <v>24</v>
      </c>
    </row>
    <row r="5604" spans="1:21" ht="15" customHeight="1" x14ac:dyDescent="0.2">
      <c r="A5604" t="s">
        <v>5910</v>
      </c>
      <c r="B5604" t="s">
        <v>225</v>
      </c>
      <c r="C5604" t="s">
        <v>55</v>
      </c>
      <c r="D5604" s="49">
        <v>45635</v>
      </c>
      <c r="E5604" s="49">
        <v>45637</v>
      </c>
      <c r="I5604" s="49">
        <v>45654</v>
      </c>
      <c r="J5604" t="s">
        <v>49</v>
      </c>
      <c r="K5604" s="33">
        <v>5000</v>
      </c>
      <c r="L5604" t="s">
        <v>61</v>
      </c>
      <c r="M5604" t="str">
        <f>_xlfn.XLOOKUP(Pipeline_tbl[[#This Row],[Rep_ID]],Dim_Reps!A:A,Dim_Reps!K:K)</f>
        <v>USD</v>
      </c>
      <c r="N5604" s="33">
        <f>(_xlfn.XLOOKUP(Pipeline_tbl[[#This Row],[Rate_Code_Generalized]],Lookups!A:A,Lookups!B:B))*Pipeline_tbl[[#This Row],[Pipeline_Amount_USD]]</f>
        <v>5821.4999999999991</v>
      </c>
      <c r="O5604" t="str">
        <f>_xlfn.XLOOKUP(Pipeline_tbl[[#This Row],[Rep_ID]],Dim_Reps!A:A,Dim_Reps!B:B)</f>
        <v>Alex Muller</v>
      </c>
      <c r="P5604" t="str">
        <f>_xlfn.XLOOKUP(Pipeline_tbl[[#This Row],[Rep_ID]],Dim_Reps!A:A,Dim_Reps!C:C)</f>
        <v>SDR / Inside Sales Rep</v>
      </c>
      <c r="Q5604" t="str">
        <f>_xlfn.XLOOKUP(Pipeline_tbl[[#This Row],[Rep_ID]],Dim_Reps!A:A,Dim_Reps!D:D)</f>
        <v>Inside Sales</v>
      </c>
      <c r="R5604" t="str">
        <f>_xlfn.XLOOKUP(Pipeline_tbl[[#This Row],[Rep_ID]],Dim_Reps!A:A,Dim_Reps!E:E)</f>
        <v>NAMER</v>
      </c>
      <c r="S5604" t="str">
        <f>_xlfn.XLOOKUP(Pipeline_tbl[[#This Row],[Created_Date]],Dim_Date!A:A,Dim_Date!H:H)</f>
        <v>Dec 2024</v>
      </c>
      <c r="T5604" t="str">
        <f>IF(Pipeline_tbl[[#This Row],[Closed_Date]]=0,"",(_xlfn.XLOOKUP(Pipeline_tbl[[#This Row],[Closed_Date]],Dim_Date!A:A,Dim_Date!H:H)))</f>
        <v>Dec 2024</v>
      </c>
      <c r="U5604">
        <f>IF(Pipeline_tbl[[#This Row],[Closed_Date]]=0,"",Pipeline_tbl[[#This Row],[Closed_Date]]-Pipeline_tbl[[#This Row],[Created_Date]])</f>
        <v>19</v>
      </c>
    </row>
    <row r="5605" spans="1:21" ht="15" customHeight="1" x14ac:dyDescent="0.2">
      <c r="A5605" t="s">
        <v>5911</v>
      </c>
      <c r="B5605" t="s">
        <v>225</v>
      </c>
      <c r="C5605" t="s">
        <v>52</v>
      </c>
      <c r="D5605" s="49">
        <v>45636</v>
      </c>
      <c r="E5605" s="49">
        <v>45638</v>
      </c>
      <c r="F5605" s="49">
        <v>45641</v>
      </c>
      <c r="G5605" s="49">
        <v>45646</v>
      </c>
      <c r="H5605" s="49">
        <v>45650</v>
      </c>
      <c r="I5605" s="49">
        <v>45652</v>
      </c>
      <c r="J5605" t="s">
        <v>49</v>
      </c>
      <c r="K5605" s="33">
        <v>2600</v>
      </c>
      <c r="L5605" t="s">
        <v>60</v>
      </c>
      <c r="M5605" t="str">
        <f>_xlfn.XLOOKUP(Pipeline_tbl[[#This Row],[Rep_ID]],Dim_Reps!A:A,Dim_Reps!K:K)</f>
        <v>USD</v>
      </c>
      <c r="N5605" s="33">
        <f>(_xlfn.XLOOKUP(Pipeline_tbl[[#This Row],[Rate_Code_Generalized]],Lookups!A:A,Lookups!B:B))*Pipeline_tbl[[#This Row],[Pipeline_Amount_USD]]</f>
        <v>3027.18</v>
      </c>
      <c r="O5605" t="str">
        <f>_xlfn.XLOOKUP(Pipeline_tbl[[#This Row],[Rep_ID]],Dim_Reps!A:A,Dim_Reps!B:B)</f>
        <v>Alex Muller</v>
      </c>
      <c r="P5605" t="str">
        <f>_xlfn.XLOOKUP(Pipeline_tbl[[#This Row],[Rep_ID]],Dim_Reps!A:A,Dim_Reps!C:C)</f>
        <v>SDR / Inside Sales Rep</v>
      </c>
      <c r="Q5605" t="str">
        <f>_xlfn.XLOOKUP(Pipeline_tbl[[#This Row],[Rep_ID]],Dim_Reps!A:A,Dim_Reps!D:D)</f>
        <v>Inside Sales</v>
      </c>
      <c r="R5605" t="str">
        <f>_xlfn.XLOOKUP(Pipeline_tbl[[#This Row],[Rep_ID]],Dim_Reps!A:A,Dim_Reps!E:E)</f>
        <v>NAMER</v>
      </c>
      <c r="S5605" t="str">
        <f>_xlfn.XLOOKUP(Pipeline_tbl[[#This Row],[Created_Date]],Dim_Date!A:A,Dim_Date!H:H)</f>
        <v>Dec 2024</v>
      </c>
      <c r="T5605" t="str">
        <f>IF(Pipeline_tbl[[#This Row],[Closed_Date]]=0,"",(_xlfn.XLOOKUP(Pipeline_tbl[[#This Row],[Closed_Date]],Dim_Date!A:A,Dim_Date!H:H)))</f>
        <v>Dec 2024</v>
      </c>
      <c r="U5605">
        <f>IF(Pipeline_tbl[[#This Row],[Closed_Date]]=0,"",Pipeline_tbl[[#This Row],[Closed_Date]]-Pipeline_tbl[[#This Row],[Created_Date]])</f>
        <v>16</v>
      </c>
    </row>
    <row r="5606" spans="1:21" ht="15" customHeight="1" x14ac:dyDescent="0.2">
      <c r="A5606" t="s">
        <v>5912</v>
      </c>
      <c r="B5606" t="s">
        <v>225</v>
      </c>
      <c r="C5606" t="s">
        <v>54</v>
      </c>
      <c r="D5606" s="49">
        <v>45635</v>
      </c>
      <c r="E5606" s="49">
        <v>45636</v>
      </c>
      <c r="F5606" s="49">
        <v>45638</v>
      </c>
      <c r="G5606" s="49">
        <v>45641</v>
      </c>
      <c r="I5606" s="49">
        <v>45645</v>
      </c>
      <c r="J5606" t="s">
        <v>49</v>
      </c>
      <c r="K5606" s="33">
        <v>3400</v>
      </c>
      <c r="L5606" t="s">
        <v>61</v>
      </c>
      <c r="M5606" t="str">
        <f>_xlfn.XLOOKUP(Pipeline_tbl[[#This Row],[Rep_ID]],Dim_Reps!A:A,Dim_Reps!K:K)</f>
        <v>USD</v>
      </c>
      <c r="N5606" s="33">
        <f>(_xlfn.XLOOKUP(Pipeline_tbl[[#This Row],[Rate_Code_Generalized]],Lookups!A:A,Lookups!B:B))*Pipeline_tbl[[#This Row],[Pipeline_Amount_USD]]</f>
        <v>3958.6199999999994</v>
      </c>
      <c r="O5606" t="str">
        <f>_xlfn.XLOOKUP(Pipeline_tbl[[#This Row],[Rep_ID]],Dim_Reps!A:A,Dim_Reps!B:B)</f>
        <v>Alex Muller</v>
      </c>
      <c r="P5606" t="str">
        <f>_xlfn.XLOOKUP(Pipeline_tbl[[#This Row],[Rep_ID]],Dim_Reps!A:A,Dim_Reps!C:C)</f>
        <v>SDR / Inside Sales Rep</v>
      </c>
      <c r="Q5606" t="str">
        <f>_xlfn.XLOOKUP(Pipeline_tbl[[#This Row],[Rep_ID]],Dim_Reps!A:A,Dim_Reps!D:D)</f>
        <v>Inside Sales</v>
      </c>
      <c r="R5606" t="str">
        <f>_xlfn.XLOOKUP(Pipeline_tbl[[#This Row],[Rep_ID]],Dim_Reps!A:A,Dim_Reps!E:E)</f>
        <v>NAMER</v>
      </c>
      <c r="S5606" t="str">
        <f>_xlfn.XLOOKUP(Pipeline_tbl[[#This Row],[Created_Date]],Dim_Date!A:A,Dim_Date!H:H)</f>
        <v>Dec 2024</v>
      </c>
      <c r="T5606" t="str">
        <f>IF(Pipeline_tbl[[#This Row],[Closed_Date]]=0,"",(_xlfn.XLOOKUP(Pipeline_tbl[[#This Row],[Closed_Date]],Dim_Date!A:A,Dim_Date!H:H)))</f>
        <v>Dec 2024</v>
      </c>
      <c r="U5606">
        <f>IF(Pipeline_tbl[[#This Row],[Closed_Date]]=0,"",Pipeline_tbl[[#This Row],[Closed_Date]]-Pipeline_tbl[[#This Row],[Created_Date]])</f>
        <v>10</v>
      </c>
    </row>
    <row r="5607" spans="1:21" ht="15" customHeight="1" x14ac:dyDescent="0.2">
      <c r="A5607" t="s">
        <v>5913</v>
      </c>
      <c r="B5607" t="s">
        <v>225</v>
      </c>
      <c r="C5607" t="s">
        <v>52</v>
      </c>
      <c r="D5607" s="49">
        <v>45631</v>
      </c>
      <c r="E5607" s="49">
        <v>45633</v>
      </c>
      <c r="F5607" s="49">
        <v>45636</v>
      </c>
      <c r="G5607" s="49">
        <v>45641</v>
      </c>
      <c r="H5607" s="49">
        <v>45645</v>
      </c>
      <c r="I5607" s="49">
        <v>45647</v>
      </c>
      <c r="J5607" t="s">
        <v>47</v>
      </c>
      <c r="K5607" s="33">
        <v>1700</v>
      </c>
      <c r="M5607" t="str">
        <f>_xlfn.XLOOKUP(Pipeline_tbl[[#This Row],[Rep_ID]],Dim_Reps!A:A,Dim_Reps!K:K)</f>
        <v>USD</v>
      </c>
      <c r="N5607" s="33">
        <f>(_xlfn.XLOOKUP(Pipeline_tbl[[#This Row],[Rate_Code_Generalized]],Lookups!A:A,Lookups!B:B))*Pipeline_tbl[[#This Row],[Pipeline_Amount_USD]]</f>
        <v>1979.3099999999997</v>
      </c>
      <c r="O5607" t="str">
        <f>_xlfn.XLOOKUP(Pipeline_tbl[[#This Row],[Rep_ID]],Dim_Reps!A:A,Dim_Reps!B:B)</f>
        <v>Alex Muller</v>
      </c>
      <c r="P5607" t="str">
        <f>_xlfn.XLOOKUP(Pipeline_tbl[[#This Row],[Rep_ID]],Dim_Reps!A:A,Dim_Reps!C:C)</f>
        <v>SDR / Inside Sales Rep</v>
      </c>
      <c r="Q5607" t="str">
        <f>_xlfn.XLOOKUP(Pipeline_tbl[[#This Row],[Rep_ID]],Dim_Reps!A:A,Dim_Reps!D:D)</f>
        <v>Inside Sales</v>
      </c>
      <c r="R5607" t="str">
        <f>_xlfn.XLOOKUP(Pipeline_tbl[[#This Row],[Rep_ID]],Dim_Reps!A:A,Dim_Reps!E:E)</f>
        <v>NAMER</v>
      </c>
      <c r="S5607" t="str">
        <f>_xlfn.XLOOKUP(Pipeline_tbl[[#This Row],[Created_Date]],Dim_Date!A:A,Dim_Date!H:H)</f>
        <v>Dec 2024</v>
      </c>
      <c r="T5607" t="str">
        <f>IF(Pipeline_tbl[[#This Row],[Closed_Date]]=0,"",(_xlfn.XLOOKUP(Pipeline_tbl[[#This Row],[Closed_Date]],Dim_Date!A:A,Dim_Date!H:H)))</f>
        <v>Dec 2024</v>
      </c>
      <c r="U5607">
        <f>IF(Pipeline_tbl[[#This Row],[Closed_Date]]=0,"",Pipeline_tbl[[#This Row],[Closed_Date]]-Pipeline_tbl[[#This Row],[Created_Date]])</f>
        <v>16</v>
      </c>
    </row>
    <row r="5608" spans="1:21" ht="15" customHeight="1" x14ac:dyDescent="0.2">
      <c r="A5608" t="s">
        <v>5914</v>
      </c>
      <c r="B5608" t="s">
        <v>225</v>
      </c>
      <c r="C5608" t="s">
        <v>52</v>
      </c>
      <c r="D5608" s="49">
        <v>45629</v>
      </c>
      <c r="E5608" s="49">
        <v>45630</v>
      </c>
      <c r="I5608" s="49">
        <v>45637</v>
      </c>
      <c r="J5608" t="s">
        <v>49</v>
      </c>
      <c r="K5608" s="33">
        <v>2400</v>
      </c>
      <c r="L5608" t="s">
        <v>60</v>
      </c>
      <c r="M5608" t="str">
        <f>_xlfn.XLOOKUP(Pipeline_tbl[[#This Row],[Rep_ID]],Dim_Reps!A:A,Dim_Reps!K:K)</f>
        <v>USD</v>
      </c>
      <c r="N5608" s="33">
        <f>(_xlfn.XLOOKUP(Pipeline_tbl[[#This Row],[Rate_Code_Generalized]],Lookups!A:A,Lookups!B:B))*Pipeline_tbl[[#This Row],[Pipeline_Amount_USD]]</f>
        <v>2794.3199999999997</v>
      </c>
      <c r="O5608" t="str">
        <f>_xlfn.XLOOKUP(Pipeline_tbl[[#This Row],[Rep_ID]],Dim_Reps!A:A,Dim_Reps!B:B)</f>
        <v>Alex Muller</v>
      </c>
      <c r="P5608" t="str">
        <f>_xlfn.XLOOKUP(Pipeline_tbl[[#This Row],[Rep_ID]],Dim_Reps!A:A,Dim_Reps!C:C)</f>
        <v>SDR / Inside Sales Rep</v>
      </c>
      <c r="Q5608" t="str">
        <f>_xlfn.XLOOKUP(Pipeline_tbl[[#This Row],[Rep_ID]],Dim_Reps!A:A,Dim_Reps!D:D)</f>
        <v>Inside Sales</v>
      </c>
      <c r="R5608" t="str">
        <f>_xlfn.XLOOKUP(Pipeline_tbl[[#This Row],[Rep_ID]],Dim_Reps!A:A,Dim_Reps!E:E)</f>
        <v>NAMER</v>
      </c>
      <c r="S5608" t="str">
        <f>_xlfn.XLOOKUP(Pipeline_tbl[[#This Row],[Created_Date]],Dim_Date!A:A,Dim_Date!H:H)</f>
        <v>Dec 2024</v>
      </c>
      <c r="T5608" t="str">
        <f>IF(Pipeline_tbl[[#This Row],[Closed_Date]]=0,"",(_xlfn.XLOOKUP(Pipeline_tbl[[#This Row],[Closed_Date]],Dim_Date!A:A,Dim_Date!H:H)))</f>
        <v>Dec 2024</v>
      </c>
      <c r="U5608">
        <f>IF(Pipeline_tbl[[#This Row],[Closed_Date]]=0,"",Pipeline_tbl[[#This Row],[Closed_Date]]-Pipeline_tbl[[#This Row],[Created_Date]])</f>
        <v>8</v>
      </c>
    </row>
    <row r="5609" spans="1:21" ht="15" customHeight="1" x14ac:dyDescent="0.2">
      <c r="A5609" t="s">
        <v>5915</v>
      </c>
      <c r="B5609" t="s">
        <v>225</v>
      </c>
      <c r="C5609" t="s">
        <v>52</v>
      </c>
      <c r="D5609" s="49">
        <v>45632</v>
      </c>
      <c r="E5609" s="49">
        <v>45634</v>
      </c>
      <c r="F5609" s="49">
        <v>45639</v>
      </c>
      <c r="I5609" s="49">
        <v>45656</v>
      </c>
      <c r="J5609" t="s">
        <v>49</v>
      </c>
      <c r="K5609" s="33">
        <v>3500</v>
      </c>
      <c r="L5609" t="s">
        <v>61</v>
      </c>
      <c r="M5609" t="str">
        <f>_xlfn.XLOOKUP(Pipeline_tbl[[#This Row],[Rep_ID]],Dim_Reps!A:A,Dim_Reps!K:K)</f>
        <v>USD</v>
      </c>
      <c r="N5609" s="33">
        <f>(_xlfn.XLOOKUP(Pipeline_tbl[[#This Row],[Rate_Code_Generalized]],Lookups!A:A,Lookups!B:B))*Pipeline_tbl[[#This Row],[Pipeline_Amount_USD]]</f>
        <v>4075.0499999999997</v>
      </c>
      <c r="O5609" t="str">
        <f>_xlfn.XLOOKUP(Pipeline_tbl[[#This Row],[Rep_ID]],Dim_Reps!A:A,Dim_Reps!B:B)</f>
        <v>Alex Muller</v>
      </c>
      <c r="P5609" t="str">
        <f>_xlfn.XLOOKUP(Pipeline_tbl[[#This Row],[Rep_ID]],Dim_Reps!A:A,Dim_Reps!C:C)</f>
        <v>SDR / Inside Sales Rep</v>
      </c>
      <c r="Q5609" t="str">
        <f>_xlfn.XLOOKUP(Pipeline_tbl[[#This Row],[Rep_ID]],Dim_Reps!A:A,Dim_Reps!D:D)</f>
        <v>Inside Sales</v>
      </c>
      <c r="R5609" t="str">
        <f>_xlfn.XLOOKUP(Pipeline_tbl[[#This Row],[Rep_ID]],Dim_Reps!A:A,Dim_Reps!E:E)</f>
        <v>NAMER</v>
      </c>
      <c r="S5609" t="str">
        <f>_xlfn.XLOOKUP(Pipeline_tbl[[#This Row],[Created_Date]],Dim_Date!A:A,Dim_Date!H:H)</f>
        <v>Dec 2024</v>
      </c>
      <c r="T5609" t="str">
        <f>IF(Pipeline_tbl[[#This Row],[Closed_Date]]=0,"",(_xlfn.XLOOKUP(Pipeline_tbl[[#This Row],[Closed_Date]],Dim_Date!A:A,Dim_Date!H:H)))</f>
        <v>Dec 2024</v>
      </c>
      <c r="U5609">
        <f>IF(Pipeline_tbl[[#This Row],[Closed_Date]]=0,"",Pipeline_tbl[[#This Row],[Closed_Date]]-Pipeline_tbl[[#This Row],[Created_Date]])</f>
        <v>24</v>
      </c>
    </row>
    <row r="5610" spans="1:21" ht="15" customHeight="1" x14ac:dyDescent="0.2">
      <c r="A5610" t="s">
        <v>5916</v>
      </c>
      <c r="B5610" t="s">
        <v>227</v>
      </c>
      <c r="C5610" t="s">
        <v>52</v>
      </c>
      <c r="D5610" s="49">
        <v>45639</v>
      </c>
      <c r="E5610" s="49">
        <v>45641</v>
      </c>
      <c r="F5610" s="49">
        <v>45644</v>
      </c>
      <c r="G5610" s="49">
        <v>45649</v>
      </c>
      <c r="H5610" s="49">
        <v>45653</v>
      </c>
      <c r="I5610" s="49">
        <v>45656</v>
      </c>
      <c r="J5610" t="s">
        <v>47</v>
      </c>
      <c r="K5610" s="33">
        <v>6700</v>
      </c>
      <c r="M5610" t="str">
        <f>_xlfn.XLOOKUP(Pipeline_tbl[[#This Row],[Rep_ID]],Dim_Reps!A:A,Dim_Reps!K:K)</f>
        <v>EUR</v>
      </c>
      <c r="N5610" s="33">
        <f>(_xlfn.XLOOKUP(Pipeline_tbl[[#This Row],[Rate_Code_Generalized]],Lookups!A:A,Lookups!B:B))*Pipeline_tbl[[#This Row],[Pipeline_Amount_USD]]</f>
        <v>6700</v>
      </c>
      <c r="O5610" t="str">
        <f>_xlfn.XLOOKUP(Pipeline_tbl[[#This Row],[Rep_ID]],Dim_Reps!A:A,Dim_Reps!B:B)</f>
        <v>Liam Muller</v>
      </c>
      <c r="P5610" t="str">
        <f>_xlfn.XLOOKUP(Pipeline_tbl[[#This Row],[Rep_ID]],Dim_Reps!A:A,Dim_Reps!C:C)</f>
        <v>SDR / Inside Sales Rep</v>
      </c>
      <c r="Q5610" t="str">
        <f>_xlfn.XLOOKUP(Pipeline_tbl[[#This Row],[Rep_ID]],Dim_Reps!A:A,Dim_Reps!D:D)</f>
        <v>Inside Sales</v>
      </c>
      <c r="R5610" t="str">
        <f>_xlfn.XLOOKUP(Pipeline_tbl[[#This Row],[Rep_ID]],Dim_Reps!A:A,Dim_Reps!E:E)</f>
        <v>EMEA</v>
      </c>
      <c r="S5610" t="str">
        <f>_xlfn.XLOOKUP(Pipeline_tbl[[#This Row],[Created_Date]],Dim_Date!A:A,Dim_Date!H:H)</f>
        <v>Dec 2024</v>
      </c>
      <c r="T5610" t="str">
        <f>IF(Pipeline_tbl[[#This Row],[Closed_Date]]=0,"",(_xlfn.XLOOKUP(Pipeline_tbl[[#This Row],[Closed_Date]],Dim_Date!A:A,Dim_Date!H:H)))</f>
        <v>Dec 2024</v>
      </c>
      <c r="U5610">
        <f>IF(Pipeline_tbl[[#This Row],[Closed_Date]]=0,"",Pipeline_tbl[[#This Row],[Closed_Date]]-Pipeline_tbl[[#This Row],[Created_Date]])</f>
        <v>17</v>
      </c>
    </row>
    <row r="5611" spans="1:21" ht="15" customHeight="1" x14ac:dyDescent="0.2">
      <c r="A5611" t="s">
        <v>5917</v>
      </c>
      <c r="B5611" t="s">
        <v>227</v>
      </c>
      <c r="C5611" t="s">
        <v>55</v>
      </c>
      <c r="D5611" s="49">
        <v>45627</v>
      </c>
      <c r="E5611" s="49">
        <v>45629</v>
      </c>
      <c r="F5611" s="49">
        <v>45634</v>
      </c>
      <c r="I5611" s="49">
        <v>45651</v>
      </c>
      <c r="J5611" t="s">
        <v>49</v>
      </c>
      <c r="K5611" s="33">
        <v>2000</v>
      </c>
      <c r="L5611" t="s">
        <v>64</v>
      </c>
      <c r="M5611" t="str">
        <f>_xlfn.XLOOKUP(Pipeline_tbl[[#This Row],[Rep_ID]],Dim_Reps!A:A,Dim_Reps!K:K)</f>
        <v>EUR</v>
      </c>
      <c r="N5611" s="33">
        <f>(_xlfn.XLOOKUP(Pipeline_tbl[[#This Row],[Rate_Code_Generalized]],Lookups!A:A,Lookups!B:B))*Pipeline_tbl[[#This Row],[Pipeline_Amount_USD]]</f>
        <v>2000</v>
      </c>
      <c r="O5611" t="str">
        <f>_xlfn.XLOOKUP(Pipeline_tbl[[#This Row],[Rep_ID]],Dim_Reps!A:A,Dim_Reps!B:B)</f>
        <v>Liam Muller</v>
      </c>
      <c r="P5611" t="str">
        <f>_xlfn.XLOOKUP(Pipeline_tbl[[#This Row],[Rep_ID]],Dim_Reps!A:A,Dim_Reps!C:C)</f>
        <v>SDR / Inside Sales Rep</v>
      </c>
      <c r="Q5611" t="str">
        <f>_xlfn.XLOOKUP(Pipeline_tbl[[#This Row],[Rep_ID]],Dim_Reps!A:A,Dim_Reps!D:D)</f>
        <v>Inside Sales</v>
      </c>
      <c r="R5611" t="str">
        <f>_xlfn.XLOOKUP(Pipeline_tbl[[#This Row],[Rep_ID]],Dim_Reps!A:A,Dim_Reps!E:E)</f>
        <v>EMEA</v>
      </c>
      <c r="S5611" t="str">
        <f>_xlfn.XLOOKUP(Pipeline_tbl[[#This Row],[Created_Date]],Dim_Date!A:A,Dim_Date!H:H)</f>
        <v>Dec 2024</v>
      </c>
      <c r="T5611" t="str">
        <f>IF(Pipeline_tbl[[#This Row],[Closed_Date]]=0,"",(_xlfn.XLOOKUP(Pipeline_tbl[[#This Row],[Closed_Date]],Dim_Date!A:A,Dim_Date!H:H)))</f>
        <v>Dec 2024</v>
      </c>
      <c r="U5611">
        <f>IF(Pipeline_tbl[[#This Row],[Closed_Date]]=0,"",Pipeline_tbl[[#This Row],[Closed_Date]]-Pipeline_tbl[[#This Row],[Created_Date]])</f>
        <v>24</v>
      </c>
    </row>
    <row r="5612" spans="1:21" ht="15" customHeight="1" x14ac:dyDescent="0.2">
      <c r="A5612" t="s">
        <v>5918</v>
      </c>
      <c r="B5612" t="s">
        <v>227</v>
      </c>
      <c r="C5612" t="s">
        <v>52</v>
      </c>
      <c r="D5612" s="49">
        <v>45633</v>
      </c>
      <c r="E5612" s="49">
        <v>45634</v>
      </c>
      <c r="F5612" s="49">
        <v>45637</v>
      </c>
      <c r="G5612" s="49">
        <v>45640</v>
      </c>
      <c r="I5612" s="49">
        <v>45645</v>
      </c>
      <c r="J5612" t="s">
        <v>49</v>
      </c>
      <c r="K5612" s="33">
        <v>4000</v>
      </c>
      <c r="L5612" t="s">
        <v>60</v>
      </c>
      <c r="M5612" t="str">
        <f>_xlfn.XLOOKUP(Pipeline_tbl[[#This Row],[Rep_ID]],Dim_Reps!A:A,Dim_Reps!K:K)</f>
        <v>EUR</v>
      </c>
      <c r="N5612" s="33">
        <f>(_xlfn.XLOOKUP(Pipeline_tbl[[#This Row],[Rate_Code_Generalized]],Lookups!A:A,Lookups!B:B))*Pipeline_tbl[[#This Row],[Pipeline_Amount_USD]]</f>
        <v>4000</v>
      </c>
      <c r="O5612" t="str">
        <f>_xlfn.XLOOKUP(Pipeline_tbl[[#This Row],[Rep_ID]],Dim_Reps!A:A,Dim_Reps!B:B)</f>
        <v>Liam Muller</v>
      </c>
      <c r="P5612" t="str">
        <f>_xlfn.XLOOKUP(Pipeline_tbl[[#This Row],[Rep_ID]],Dim_Reps!A:A,Dim_Reps!C:C)</f>
        <v>SDR / Inside Sales Rep</v>
      </c>
      <c r="Q5612" t="str">
        <f>_xlfn.XLOOKUP(Pipeline_tbl[[#This Row],[Rep_ID]],Dim_Reps!A:A,Dim_Reps!D:D)</f>
        <v>Inside Sales</v>
      </c>
      <c r="R5612" t="str">
        <f>_xlfn.XLOOKUP(Pipeline_tbl[[#This Row],[Rep_ID]],Dim_Reps!A:A,Dim_Reps!E:E)</f>
        <v>EMEA</v>
      </c>
      <c r="S5612" t="str">
        <f>_xlfn.XLOOKUP(Pipeline_tbl[[#This Row],[Created_Date]],Dim_Date!A:A,Dim_Date!H:H)</f>
        <v>Dec 2024</v>
      </c>
      <c r="T5612" t="str">
        <f>IF(Pipeline_tbl[[#This Row],[Closed_Date]]=0,"",(_xlfn.XLOOKUP(Pipeline_tbl[[#This Row],[Closed_Date]],Dim_Date!A:A,Dim_Date!H:H)))</f>
        <v>Dec 2024</v>
      </c>
      <c r="U5612">
        <f>IF(Pipeline_tbl[[#This Row],[Closed_Date]]=0,"",Pipeline_tbl[[#This Row],[Closed_Date]]-Pipeline_tbl[[#This Row],[Created_Date]])</f>
        <v>12</v>
      </c>
    </row>
    <row r="5613" spans="1:21" ht="15" customHeight="1" x14ac:dyDescent="0.2">
      <c r="A5613" t="s">
        <v>5919</v>
      </c>
      <c r="B5613" t="s">
        <v>227</v>
      </c>
      <c r="C5613" t="s">
        <v>53</v>
      </c>
      <c r="D5613" s="49">
        <v>45640</v>
      </c>
      <c r="E5613" s="49">
        <v>45642</v>
      </c>
      <c r="F5613" s="49">
        <v>45645</v>
      </c>
      <c r="I5613" s="49">
        <v>45655</v>
      </c>
      <c r="J5613" t="s">
        <v>49</v>
      </c>
      <c r="K5613" s="33">
        <v>2200</v>
      </c>
      <c r="L5613" t="s">
        <v>62</v>
      </c>
      <c r="M5613" t="str">
        <f>_xlfn.XLOOKUP(Pipeline_tbl[[#This Row],[Rep_ID]],Dim_Reps!A:A,Dim_Reps!K:K)</f>
        <v>EUR</v>
      </c>
      <c r="N5613" s="33">
        <f>(_xlfn.XLOOKUP(Pipeline_tbl[[#This Row],[Rate_Code_Generalized]],Lookups!A:A,Lookups!B:B))*Pipeline_tbl[[#This Row],[Pipeline_Amount_USD]]</f>
        <v>2200</v>
      </c>
      <c r="O5613" t="str">
        <f>_xlfn.XLOOKUP(Pipeline_tbl[[#This Row],[Rep_ID]],Dim_Reps!A:A,Dim_Reps!B:B)</f>
        <v>Liam Muller</v>
      </c>
      <c r="P5613" t="str">
        <f>_xlfn.XLOOKUP(Pipeline_tbl[[#This Row],[Rep_ID]],Dim_Reps!A:A,Dim_Reps!C:C)</f>
        <v>SDR / Inside Sales Rep</v>
      </c>
      <c r="Q5613" t="str">
        <f>_xlfn.XLOOKUP(Pipeline_tbl[[#This Row],[Rep_ID]],Dim_Reps!A:A,Dim_Reps!D:D)</f>
        <v>Inside Sales</v>
      </c>
      <c r="R5613" t="str">
        <f>_xlfn.XLOOKUP(Pipeline_tbl[[#This Row],[Rep_ID]],Dim_Reps!A:A,Dim_Reps!E:E)</f>
        <v>EMEA</v>
      </c>
      <c r="S5613" t="str">
        <f>_xlfn.XLOOKUP(Pipeline_tbl[[#This Row],[Created_Date]],Dim_Date!A:A,Dim_Date!H:H)</f>
        <v>Dec 2024</v>
      </c>
      <c r="T5613" t="str">
        <f>IF(Pipeline_tbl[[#This Row],[Closed_Date]]=0,"",(_xlfn.XLOOKUP(Pipeline_tbl[[#This Row],[Closed_Date]],Dim_Date!A:A,Dim_Date!H:H)))</f>
        <v>Dec 2024</v>
      </c>
      <c r="U5613">
        <f>IF(Pipeline_tbl[[#This Row],[Closed_Date]]=0,"",Pipeline_tbl[[#This Row],[Closed_Date]]-Pipeline_tbl[[#This Row],[Created_Date]])</f>
        <v>15</v>
      </c>
    </row>
    <row r="5614" spans="1:21" ht="15" customHeight="1" x14ac:dyDescent="0.2">
      <c r="A5614" t="s">
        <v>5920</v>
      </c>
      <c r="B5614" t="s">
        <v>229</v>
      </c>
      <c r="C5614" t="s">
        <v>52</v>
      </c>
      <c r="D5614" s="49">
        <v>45638</v>
      </c>
      <c r="E5614" s="49">
        <v>45639</v>
      </c>
      <c r="F5614" s="49">
        <v>45642</v>
      </c>
      <c r="G5614" s="49">
        <v>45646</v>
      </c>
      <c r="H5614" s="49">
        <v>45650</v>
      </c>
      <c r="I5614" s="49">
        <v>45652</v>
      </c>
      <c r="J5614" t="s">
        <v>49</v>
      </c>
      <c r="K5614" s="33">
        <v>2300</v>
      </c>
      <c r="L5614" t="s">
        <v>60</v>
      </c>
      <c r="M5614" t="str">
        <f>_xlfn.XLOOKUP(Pipeline_tbl[[#This Row],[Rep_ID]],Dim_Reps!A:A,Dim_Reps!K:K)</f>
        <v>USD</v>
      </c>
      <c r="N5614" s="33">
        <f>(_xlfn.XLOOKUP(Pipeline_tbl[[#This Row],[Rate_Code_Generalized]],Lookups!A:A,Lookups!B:B))*Pipeline_tbl[[#This Row],[Pipeline_Amount_USD]]</f>
        <v>2677.89</v>
      </c>
      <c r="O5614" t="str">
        <f>_xlfn.XLOOKUP(Pipeline_tbl[[#This Row],[Rep_ID]],Dim_Reps!A:A,Dim_Reps!B:B)</f>
        <v>Liam Castro</v>
      </c>
      <c r="P5614" t="str">
        <f>_xlfn.XLOOKUP(Pipeline_tbl[[#This Row],[Rep_ID]],Dim_Reps!A:A,Dim_Reps!C:C)</f>
        <v>SDR / Inside Sales Rep</v>
      </c>
      <c r="Q5614" t="str">
        <f>_xlfn.XLOOKUP(Pipeline_tbl[[#This Row],[Rep_ID]],Dim_Reps!A:A,Dim_Reps!D:D)</f>
        <v>Inside Sales</v>
      </c>
      <c r="R5614" t="str">
        <f>_xlfn.XLOOKUP(Pipeline_tbl[[#This Row],[Rep_ID]],Dim_Reps!A:A,Dim_Reps!E:E)</f>
        <v>NAMER</v>
      </c>
      <c r="S5614" t="str">
        <f>_xlfn.XLOOKUP(Pipeline_tbl[[#This Row],[Created_Date]],Dim_Date!A:A,Dim_Date!H:H)</f>
        <v>Dec 2024</v>
      </c>
      <c r="T5614" t="str">
        <f>IF(Pipeline_tbl[[#This Row],[Closed_Date]]=0,"",(_xlfn.XLOOKUP(Pipeline_tbl[[#This Row],[Closed_Date]],Dim_Date!A:A,Dim_Date!H:H)))</f>
        <v>Dec 2024</v>
      </c>
      <c r="U5614">
        <f>IF(Pipeline_tbl[[#This Row],[Closed_Date]]=0,"",Pipeline_tbl[[#This Row],[Closed_Date]]-Pipeline_tbl[[#This Row],[Created_Date]])</f>
        <v>14</v>
      </c>
    </row>
    <row r="5615" spans="1:21" ht="15" customHeight="1" x14ac:dyDescent="0.2">
      <c r="A5615" t="s">
        <v>5921</v>
      </c>
      <c r="B5615" t="s">
        <v>229</v>
      </c>
      <c r="C5615" t="s">
        <v>52</v>
      </c>
      <c r="D5615" s="49">
        <v>45631</v>
      </c>
      <c r="E5615" s="49">
        <v>45632</v>
      </c>
      <c r="F5615" s="49">
        <v>45634</v>
      </c>
      <c r="I5615" s="49">
        <v>45641</v>
      </c>
      <c r="J5615" t="s">
        <v>49</v>
      </c>
      <c r="K5615" s="33">
        <v>4400</v>
      </c>
      <c r="L5615" t="s">
        <v>60</v>
      </c>
      <c r="M5615" t="str">
        <f>_xlfn.XLOOKUP(Pipeline_tbl[[#This Row],[Rep_ID]],Dim_Reps!A:A,Dim_Reps!K:K)</f>
        <v>USD</v>
      </c>
      <c r="N5615" s="33">
        <f>(_xlfn.XLOOKUP(Pipeline_tbl[[#This Row],[Rate_Code_Generalized]],Lookups!A:A,Lookups!B:B))*Pipeline_tbl[[#This Row],[Pipeline_Amount_USD]]</f>
        <v>5122.9199999999992</v>
      </c>
      <c r="O5615" t="str">
        <f>_xlfn.XLOOKUP(Pipeline_tbl[[#This Row],[Rep_ID]],Dim_Reps!A:A,Dim_Reps!B:B)</f>
        <v>Liam Castro</v>
      </c>
      <c r="P5615" t="str">
        <f>_xlfn.XLOOKUP(Pipeline_tbl[[#This Row],[Rep_ID]],Dim_Reps!A:A,Dim_Reps!C:C)</f>
        <v>SDR / Inside Sales Rep</v>
      </c>
      <c r="Q5615" t="str">
        <f>_xlfn.XLOOKUP(Pipeline_tbl[[#This Row],[Rep_ID]],Dim_Reps!A:A,Dim_Reps!D:D)</f>
        <v>Inside Sales</v>
      </c>
      <c r="R5615" t="str">
        <f>_xlfn.XLOOKUP(Pipeline_tbl[[#This Row],[Rep_ID]],Dim_Reps!A:A,Dim_Reps!E:E)</f>
        <v>NAMER</v>
      </c>
      <c r="S5615" t="str">
        <f>_xlfn.XLOOKUP(Pipeline_tbl[[#This Row],[Created_Date]],Dim_Date!A:A,Dim_Date!H:H)</f>
        <v>Dec 2024</v>
      </c>
      <c r="T5615" t="str">
        <f>IF(Pipeline_tbl[[#This Row],[Closed_Date]]=0,"",(_xlfn.XLOOKUP(Pipeline_tbl[[#This Row],[Closed_Date]],Dim_Date!A:A,Dim_Date!H:H)))</f>
        <v>Dec 2024</v>
      </c>
      <c r="U5615">
        <f>IF(Pipeline_tbl[[#This Row],[Closed_Date]]=0,"",Pipeline_tbl[[#This Row],[Closed_Date]]-Pipeline_tbl[[#This Row],[Created_Date]])</f>
        <v>10</v>
      </c>
    </row>
    <row r="5616" spans="1:21" ht="15" customHeight="1" x14ac:dyDescent="0.2">
      <c r="A5616" t="s">
        <v>5922</v>
      </c>
      <c r="B5616" t="s">
        <v>229</v>
      </c>
      <c r="C5616" t="s">
        <v>54</v>
      </c>
      <c r="D5616" s="49">
        <v>45639</v>
      </c>
      <c r="E5616" s="49">
        <v>45640</v>
      </c>
      <c r="F5616" s="49">
        <v>45643</v>
      </c>
      <c r="G5616" s="49">
        <v>45647</v>
      </c>
      <c r="H5616" s="49">
        <v>45650</v>
      </c>
      <c r="I5616" s="49">
        <v>45652</v>
      </c>
      <c r="J5616" t="s">
        <v>49</v>
      </c>
      <c r="K5616" s="33">
        <v>4100</v>
      </c>
      <c r="L5616" t="s">
        <v>63</v>
      </c>
      <c r="M5616" t="str">
        <f>_xlfn.XLOOKUP(Pipeline_tbl[[#This Row],[Rep_ID]],Dim_Reps!A:A,Dim_Reps!K:K)</f>
        <v>USD</v>
      </c>
      <c r="N5616" s="33">
        <f>(_xlfn.XLOOKUP(Pipeline_tbl[[#This Row],[Rate_Code_Generalized]],Lookups!A:A,Lookups!B:B))*Pipeline_tbl[[#This Row],[Pipeline_Amount_USD]]</f>
        <v>4773.6299999999992</v>
      </c>
      <c r="O5616" t="str">
        <f>_xlfn.XLOOKUP(Pipeline_tbl[[#This Row],[Rep_ID]],Dim_Reps!A:A,Dim_Reps!B:B)</f>
        <v>Liam Castro</v>
      </c>
      <c r="P5616" t="str">
        <f>_xlfn.XLOOKUP(Pipeline_tbl[[#This Row],[Rep_ID]],Dim_Reps!A:A,Dim_Reps!C:C)</f>
        <v>SDR / Inside Sales Rep</v>
      </c>
      <c r="Q5616" t="str">
        <f>_xlfn.XLOOKUP(Pipeline_tbl[[#This Row],[Rep_ID]],Dim_Reps!A:A,Dim_Reps!D:D)</f>
        <v>Inside Sales</v>
      </c>
      <c r="R5616" t="str">
        <f>_xlfn.XLOOKUP(Pipeline_tbl[[#This Row],[Rep_ID]],Dim_Reps!A:A,Dim_Reps!E:E)</f>
        <v>NAMER</v>
      </c>
      <c r="S5616" t="str">
        <f>_xlfn.XLOOKUP(Pipeline_tbl[[#This Row],[Created_Date]],Dim_Date!A:A,Dim_Date!H:H)</f>
        <v>Dec 2024</v>
      </c>
      <c r="T5616" t="str">
        <f>IF(Pipeline_tbl[[#This Row],[Closed_Date]]=0,"",(_xlfn.XLOOKUP(Pipeline_tbl[[#This Row],[Closed_Date]],Dim_Date!A:A,Dim_Date!H:H)))</f>
        <v>Dec 2024</v>
      </c>
      <c r="U5616">
        <f>IF(Pipeline_tbl[[#This Row],[Closed_Date]]=0,"",Pipeline_tbl[[#This Row],[Closed_Date]]-Pipeline_tbl[[#This Row],[Created_Date]])</f>
        <v>13</v>
      </c>
    </row>
    <row r="5617" spans="1:21" ht="15" customHeight="1" x14ac:dyDescent="0.2">
      <c r="A5617" t="s">
        <v>5923</v>
      </c>
      <c r="B5617" t="s">
        <v>229</v>
      </c>
      <c r="C5617" t="s">
        <v>53</v>
      </c>
      <c r="D5617" s="49">
        <v>45638</v>
      </c>
      <c r="E5617" s="49">
        <v>45639</v>
      </c>
      <c r="F5617" s="49">
        <v>45642</v>
      </c>
      <c r="G5617" s="49">
        <v>45646</v>
      </c>
      <c r="I5617" s="49">
        <v>45652</v>
      </c>
      <c r="J5617" t="s">
        <v>49</v>
      </c>
      <c r="K5617" s="33">
        <v>2100</v>
      </c>
      <c r="L5617" t="s">
        <v>62</v>
      </c>
      <c r="M5617" t="str">
        <f>_xlfn.XLOOKUP(Pipeline_tbl[[#This Row],[Rep_ID]],Dim_Reps!A:A,Dim_Reps!K:K)</f>
        <v>USD</v>
      </c>
      <c r="N5617" s="33">
        <f>(_xlfn.XLOOKUP(Pipeline_tbl[[#This Row],[Rate_Code_Generalized]],Lookups!A:A,Lookups!B:B))*Pipeline_tbl[[#This Row],[Pipeline_Amount_USD]]</f>
        <v>2445.0299999999997</v>
      </c>
      <c r="O5617" t="str">
        <f>_xlfn.XLOOKUP(Pipeline_tbl[[#This Row],[Rep_ID]],Dim_Reps!A:A,Dim_Reps!B:B)</f>
        <v>Liam Castro</v>
      </c>
      <c r="P5617" t="str">
        <f>_xlfn.XLOOKUP(Pipeline_tbl[[#This Row],[Rep_ID]],Dim_Reps!A:A,Dim_Reps!C:C)</f>
        <v>SDR / Inside Sales Rep</v>
      </c>
      <c r="Q5617" t="str">
        <f>_xlfn.XLOOKUP(Pipeline_tbl[[#This Row],[Rep_ID]],Dim_Reps!A:A,Dim_Reps!D:D)</f>
        <v>Inside Sales</v>
      </c>
      <c r="R5617" t="str">
        <f>_xlfn.XLOOKUP(Pipeline_tbl[[#This Row],[Rep_ID]],Dim_Reps!A:A,Dim_Reps!E:E)</f>
        <v>NAMER</v>
      </c>
      <c r="S5617" t="str">
        <f>_xlfn.XLOOKUP(Pipeline_tbl[[#This Row],[Created_Date]],Dim_Date!A:A,Dim_Date!H:H)</f>
        <v>Dec 2024</v>
      </c>
      <c r="T5617" t="str">
        <f>IF(Pipeline_tbl[[#This Row],[Closed_Date]]=0,"",(_xlfn.XLOOKUP(Pipeline_tbl[[#This Row],[Closed_Date]],Dim_Date!A:A,Dim_Date!H:H)))</f>
        <v>Dec 2024</v>
      </c>
      <c r="U5617">
        <f>IF(Pipeline_tbl[[#This Row],[Closed_Date]]=0,"",Pipeline_tbl[[#This Row],[Closed_Date]]-Pipeline_tbl[[#This Row],[Created_Date]])</f>
        <v>14</v>
      </c>
    </row>
    <row r="5618" spans="1:21" ht="15" customHeight="1" x14ac:dyDescent="0.2">
      <c r="A5618" t="s">
        <v>5924</v>
      </c>
      <c r="B5618" t="s">
        <v>231</v>
      </c>
      <c r="C5618" t="s">
        <v>52</v>
      </c>
      <c r="D5618" s="49">
        <v>45627</v>
      </c>
      <c r="E5618" s="49">
        <v>45629</v>
      </c>
      <c r="F5618" s="49">
        <v>45633</v>
      </c>
      <c r="G5618" s="49">
        <v>45640</v>
      </c>
      <c r="H5618" s="49">
        <v>45645</v>
      </c>
      <c r="I5618" s="49">
        <v>45648</v>
      </c>
      <c r="J5618" t="s">
        <v>49</v>
      </c>
      <c r="K5618" s="33">
        <v>3400</v>
      </c>
      <c r="L5618" t="s">
        <v>60</v>
      </c>
      <c r="M5618" t="str">
        <f>_xlfn.XLOOKUP(Pipeline_tbl[[#This Row],[Rep_ID]],Dim_Reps!A:A,Dim_Reps!K:K)</f>
        <v>MXN</v>
      </c>
      <c r="N5618" s="33">
        <f>(_xlfn.XLOOKUP(Pipeline_tbl[[#This Row],[Rate_Code_Generalized]],Lookups!A:A,Lookups!B:B))*Pipeline_tbl[[#This Row],[Pipeline_Amount_USD]]</f>
        <v>67091.180000000008</v>
      </c>
      <c r="O5618" t="str">
        <f>_xlfn.XLOOKUP(Pipeline_tbl[[#This Row],[Rep_ID]],Dim_Reps!A:A,Dim_Reps!B:B)</f>
        <v>Ben Silva</v>
      </c>
      <c r="P5618" t="str">
        <f>_xlfn.XLOOKUP(Pipeline_tbl[[#This Row],[Rep_ID]],Dim_Reps!A:A,Dim_Reps!C:C)</f>
        <v>SDR / Inside Sales Rep</v>
      </c>
      <c r="Q5618" t="str">
        <f>_xlfn.XLOOKUP(Pipeline_tbl[[#This Row],[Rep_ID]],Dim_Reps!A:A,Dim_Reps!D:D)</f>
        <v>Inside Sales</v>
      </c>
      <c r="R5618" t="str">
        <f>_xlfn.XLOOKUP(Pipeline_tbl[[#This Row],[Rep_ID]],Dim_Reps!A:A,Dim_Reps!E:E)</f>
        <v>LATAM</v>
      </c>
      <c r="S5618" t="str">
        <f>_xlfn.XLOOKUP(Pipeline_tbl[[#This Row],[Created_Date]],Dim_Date!A:A,Dim_Date!H:H)</f>
        <v>Dec 2024</v>
      </c>
      <c r="T5618" t="str">
        <f>IF(Pipeline_tbl[[#This Row],[Closed_Date]]=0,"",(_xlfn.XLOOKUP(Pipeline_tbl[[#This Row],[Closed_Date]],Dim_Date!A:A,Dim_Date!H:H)))</f>
        <v>Dec 2024</v>
      </c>
      <c r="U5618">
        <f>IF(Pipeline_tbl[[#This Row],[Closed_Date]]=0,"",Pipeline_tbl[[#This Row],[Closed_Date]]-Pipeline_tbl[[#This Row],[Created_Date]])</f>
        <v>21</v>
      </c>
    </row>
    <row r="5619" spans="1:21" ht="15" customHeight="1" x14ac:dyDescent="0.2">
      <c r="A5619" t="s">
        <v>5925</v>
      </c>
      <c r="B5619" t="s">
        <v>231</v>
      </c>
      <c r="C5619" t="s">
        <v>52</v>
      </c>
      <c r="D5619" s="49">
        <v>45637</v>
      </c>
      <c r="E5619" s="49">
        <v>45639</v>
      </c>
      <c r="F5619" s="49">
        <v>45642</v>
      </c>
      <c r="G5619" s="49">
        <v>45646</v>
      </c>
      <c r="H5619" s="49">
        <v>45650</v>
      </c>
      <c r="I5619" s="49">
        <v>45652</v>
      </c>
      <c r="J5619" t="s">
        <v>47</v>
      </c>
      <c r="K5619" s="33">
        <v>3300</v>
      </c>
      <c r="M5619" t="str">
        <f>_xlfn.XLOOKUP(Pipeline_tbl[[#This Row],[Rep_ID]],Dim_Reps!A:A,Dim_Reps!K:K)</f>
        <v>MXN</v>
      </c>
      <c r="N5619" s="33">
        <f>(_xlfn.XLOOKUP(Pipeline_tbl[[#This Row],[Rate_Code_Generalized]],Lookups!A:A,Lookups!B:B))*Pipeline_tbl[[#This Row],[Pipeline_Amount_USD]]</f>
        <v>65117.91</v>
      </c>
      <c r="O5619" t="str">
        <f>_xlfn.XLOOKUP(Pipeline_tbl[[#This Row],[Rep_ID]],Dim_Reps!A:A,Dim_Reps!B:B)</f>
        <v>Ben Silva</v>
      </c>
      <c r="P5619" t="str">
        <f>_xlfn.XLOOKUP(Pipeline_tbl[[#This Row],[Rep_ID]],Dim_Reps!A:A,Dim_Reps!C:C)</f>
        <v>SDR / Inside Sales Rep</v>
      </c>
      <c r="Q5619" t="str">
        <f>_xlfn.XLOOKUP(Pipeline_tbl[[#This Row],[Rep_ID]],Dim_Reps!A:A,Dim_Reps!D:D)</f>
        <v>Inside Sales</v>
      </c>
      <c r="R5619" t="str">
        <f>_xlfn.XLOOKUP(Pipeline_tbl[[#This Row],[Rep_ID]],Dim_Reps!A:A,Dim_Reps!E:E)</f>
        <v>LATAM</v>
      </c>
      <c r="S5619" t="str">
        <f>_xlfn.XLOOKUP(Pipeline_tbl[[#This Row],[Created_Date]],Dim_Date!A:A,Dim_Date!H:H)</f>
        <v>Dec 2024</v>
      </c>
      <c r="T5619" t="str">
        <f>IF(Pipeline_tbl[[#This Row],[Closed_Date]]=0,"",(_xlfn.XLOOKUP(Pipeline_tbl[[#This Row],[Closed_Date]],Dim_Date!A:A,Dim_Date!H:H)))</f>
        <v>Dec 2024</v>
      </c>
      <c r="U5619">
        <f>IF(Pipeline_tbl[[#This Row],[Closed_Date]]=0,"",Pipeline_tbl[[#This Row],[Closed_Date]]-Pipeline_tbl[[#This Row],[Created_Date]])</f>
        <v>15</v>
      </c>
    </row>
    <row r="5620" spans="1:21" ht="15" customHeight="1" x14ac:dyDescent="0.2">
      <c r="A5620" t="s">
        <v>5926</v>
      </c>
      <c r="B5620" t="s">
        <v>231</v>
      </c>
      <c r="C5620" t="s">
        <v>54</v>
      </c>
      <c r="D5620" s="49">
        <v>45627</v>
      </c>
      <c r="E5620" s="49">
        <v>45628</v>
      </c>
      <c r="F5620" s="49">
        <v>45631</v>
      </c>
      <c r="G5620" s="49">
        <v>45635</v>
      </c>
      <c r="I5620" s="49">
        <v>45640</v>
      </c>
      <c r="J5620" t="s">
        <v>49</v>
      </c>
      <c r="K5620" s="33">
        <v>3600</v>
      </c>
      <c r="L5620" t="s">
        <v>64</v>
      </c>
      <c r="M5620" t="str">
        <f>_xlfn.XLOOKUP(Pipeline_tbl[[#This Row],[Rep_ID]],Dim_Reps!A:A,Dim_Reps!K:K)</f>
        <v>MXN</v>
      </c>
      <c r="N5620" s="33">
        <f>(_xlfn.XLOOKUP(Pipeline_tbl[[#This Row],[Rate_Code_Generalized]],Lookups!A:A,Lookups!B:B))*Pipeline_tbl[[#This Row],[Pipeline_Amount_USD]]</f>
        <v>71037.72</v>
      </c>
      <c r="O5620" t="str">
        <f>_xlfn.XLOOKUP(Pipeline_tbl[[#This Row],[Rep_ID]],Dim_Reps!A:A,Dim_Reps!B:B)</f>
        <v>Ben Silva</v>
      </c>
      <c r="P5620" t="str">
        <f>_xlfn.XLOOKUP(Pipeline_tbl[[#This Row],[Rep_ID]],Dim_Reps!A:A,Dim_Reps!C:C)</f>
        <v>SDR / Inside Sales Rep</v>
      </c>
      <c r="Q5620" t="str">
        <f>_xlfn.XLOOKUP(Pipeline_tbl[[#This Row],[Rep_ID]],Dim_Reps!A:A,Dim_Reps!D:D)</f>
        <v>Inside Sales</v>
      </c>
      <c r="R5620" t="str">
        <f>_xlfn.XLOOKUP(Pipeline_tbl[[#This Row],[Rep_ID]],Dim_Reps!A:A,Dim_Reps!E:E)</f>
        <v>LATAM</v>
      </c>
      <c r="S5620" t="str">
        <f>_xlfn.XLOOKUP(Pipeline_tbl[[#This Row],[Created_Date]],Dim_Date!A:A,Dim_Date!H:H)</f>
        <v>Dec 2024</v>
      </c>
      <c r="T5620" t="str">
        <f>IF(Pipeline_tbl[[#This Row],[Closed_Date]]=0,"",(_xlfn.XLOOKUP(Pipeline_tbl[[#This Row],[Closed_Date]],Dim_Date!A:A,Dim_Date!H:H)))</f>
        <v>Dec 2024</v>
      </c>
      <c r="U5620">
        <f>IF(Pipeline_tbl[[#This Row],[Closed_Date]]=0,"",Pipeline_tbl[[#This Row],[Closed_Date]]-Pipeline_tbl[[#This Row],[Created_Date]])</f>
        <v>13</v>
      </c>
    </row>
    <row r="5621" spans="1:21" ht="15" customHeight="1" x14ac:dyDescent="0.2">
      <c r="A5621" t="s">
        <v>5927</v>
      </c>
      <c r="B5621" t="s">
        <v>231</v>
      </c>
      <c r="C5621" t="s">
        <v>56</v>
      </c>
      <c r="D5621" s="49">
        <v>45639</v>
      </c>
      <c r="E5621" s="49">
        <v>45640</v>
      </c>
      <c r="F5621" s="49">
        <v>45642</v>
      </c>
      <c r="G5621" s="49">
        <v>45644</v>
      </c>
      <c r="H5621" s="49">
        <v>45647</v>
      </c>
      <c r="I5621" s="49">
        <v>45648</v>
      </c>
      <c r="J5621" t="s">
        <v>47</v>
      </c>
      <c r="K5621" s="33">
        <v>4700</v>
      </c>
      <c r="M5621" t="str">
        <f>_xlfn.XLOOKUP(Pipeline_tbl[[#This Row],[Rep_ID]],Dim_Reps!A:A,Dim_Reps!K:K)</f>
        <v>MXN</v>
      </c>
      <c r="N5621" s="33">
        <f>(_xlfn.XLOOKUP(Pipeline_tbl[[#This Row],[Rate_Code_Generalized]],Lookups!A:A,Lookups!B:B))*Pipeline_tbl[[#This Row],[Pipeline_Amount_USD]]</f>
        <v>92743.69</v>
      </c>
      <c r="O5621" t="str">
        <f>_xlfn.XLOOKUP(Pipeline_tbl[[#This Row],[Rep_ID]],Dim_Reps!A:A,Dim_Reps!B:B)</f>
        <v>Ben Silva</v>
      </c>
      <c r="P5621" t="str">
        <f>_xlfn.XLOOKUP(Pipeline_tbl[[#This Row],[Rep_ID]],Dim_Reps!A:A,Dim_Reps!C:C)</f>
        <v>SDR / Inside Sales Rep</v>
      </c>
      <c r="Q5621" t="str">
        <f>_xlfn.XLOOKUP(Pipeline_tbl[[#This Row],[Rep_ID]],Dim_Reps!A:A,Dim_Reps!D:D)</f>
        <v>Inside Sales</v>
      </c>
      <c r="R5621" t="str">
        <f>_xlfn.XLOOKUP(Pipeline_tbl[[#This Row],[Rep_ID]],Dim_Reps!A:A,Dim_Reps!E:E)</f>
        <v>LATAM</v>
      </c>
      <c r="S5621" t="str">
        <f>_xlfn.XLOOKUP(Pipeline_tbl[[#This Row],[Created_Date]],Dim_Date!A:A,Dim_Date!H:H)</f>
        <v>Dec 2024</v>
      </c>
      <c r="T5621" t="str">
        <f>IF(Pipeline_tbl[[#This Row],[Closed_Date]]=0,"",(_xlfn.XLOOKUP(Pipeline_tbl[[#This Row],[Closed_Date]],Dim_Date!A:A,Dim_Date!H:H)))</f>
        <v>Dec 2024</v>
      </c>
      <c r="U5621">
        <f>IF(Pipeline_tbl[[#This Row],[Closed_Date]]=0,"",Pipeline_tbl[[#This Row],[Closed_Date]]-Pipeline_tbl[[#This Row],[Created_Date]])</f>
        <v>9</v>
      </c>
    </row>
    <row r="5622" spans="1:21" ht="15" customHeight="1" x14ac:dyDescent="0.2">
      <c r="A5622" t="s">
        <v>5928</v>
      </c>
      <c r="B5622" t="s">
        <v>233</v>
      </c>
      <c r="C5622" t="s">
        <v>56</v>
      </c>
      <c r="D5622" s="49">
        <v>45633</v>
      </c>
      <c r="E5622" s="49">
        <v>45635</v>
      </c>
      <c r="F5622" s="49">
        <v>45638</v>
      </c>
      <c r="G5622" s="49">
        <v>45643</v>
      </c>
      <c r="H5622" s="49">
        <v>45647</v>
      </c>
      <c r="I5622" s="49">
        <v>45650</v>
      </c>
      <c r="J5622" t="s">
        <v>49</v>
      </c>
      <c r="K5622" s="33">
        <v>10300</v>
      </c>
      <c r="L5622" t="s">
        <v>64</v>
      </c>
      <c r="M5622" t="str">
        <f>_xlfn.XLOOKUP(Pipeline_tbl[[#This Row],[Rep_ID]],Dim_Reps!A:A,Dim_Reps!K:K)</f>
        <v>MXN</v>
      </c>
      <c r="N5622" s="33">
        <f>(_xlfn.XLOOKUP(Pipeline_tbl[[#This Row],[Rate_Code_Generalized]],Lookups!A:A,Lookups!B:B))*Pipeline_tbl[[#This Row],[Pipeline_Amount_USD]]</f>
        <v>203246.81000000003</v>
      </c>
      <c r="O5622" t="str">
        <f>_xlfn.XLOOKUP(Pipeline_tbl[[#This Row],[Rep_ID]],Dim_Reps!A:A,Dim_Reps!B:B)</f>
        <v>Lucas Duarte</v>
      </c>
      <c r="P5622" t="str">
        <f>_xlfn.XLOOKUP(Pipeline_tbl[[#This Row],[Rep_ID]],Dim_Reps!A:A,Dim_Reps!C:C)</f>
        <v>SDR / Inside Sales Rep</v>
      </c>
      <c r="Q5622" t="str">
        <f>_xlfn.XLOOKUP(Pipeline_tbl[[#This Row],[Rep_ID]],Dim_Reps!A:A,Dim_Reps!D:D)</f>
        <v>Inside Sales</v>
      </c>
      <c r="R5622" t="str">
        <f>_xlfn.XLOOKUP(Pipeline_tbl[[#This Row],[Rep_ID]],Dim_Reps!A:A,Dim_Reps!E:E)</f>
        <v>LATAM</v>
      </c>
      <c r="S5622" t="str">
        <f>_xlfn.XLOOKUP(Pipeline_tbl[[#This Row],[Created_Date]],Dim_Date!A:A,Dim_Date!H:H)</f>
        <v>Dec 2024</v>
      </c>
      <c r="T5622" t="str">
        <f>IF(Pipeline_tbl[[#This Row],[Closed_Date]]=0,"",(_xlfn.XLOOKUP(Pipeline_tbl[[#This Row],[Closed_Date]],Dim_Date!A:A,Dim_Date!H:H)))</f>
        <v>Dec 2024</v>
      </c>
      <c r="U5622">
        <f>IF(Pipeline_tbl[[#This Row],[Closed_Date]]=0,"",Pipeline_tbl[[#This Row],[Closed_Date]]-Pipeline_tbl[[#This Row],[Created_Date]])</f>
        <v>17</v>
      </c>
    </row>
    <row r="5623" spans="1:21" ht="15" customHeight="1" x14ac:dyDescent="0.2">
      <c r="A5623" t="s">
        <v>5929</v>
      </c>
      <c r="B5623" t="s">
        <v>233</v>
      </c>
      <c r="C5623" t="s">
        <v>56</v>
      </c>
      <c r="D5623" s="49">
        <v>45630</v>
      </c>
      <c r="E5623" s="49">
        <v>45631</v>
      </c>
      <c r="F5623" s="49">
        <v>45634</v>
      </c>
      <c r="G5623" s="49">
        <v>45638</v>
      </c>
      <c r="H5623" s="49">
        <v>45642</v>
      </c>
      <c r="I5623" s="49">
        <v>45644</v>
      </c>
      <c r="J5623" t="s">
        <v>49</v>
      </c>
      <c r="K5623" s="33">
        <v>2600</v>
      </c>
      <c r="L5623" t="s">
        <v>61</v>
      </c>
      <c r="M5623" t="str">
        <f>_xlfn.XLOOKUP(Pipeline_tbl[[#This Row],[Rep_ID]],Dim_Reps!A:A,Dim_Reps!K:K)</f>
        <v>MXN</v>
      </c>
      <c r="N5623" s="33">
        <f>(_xlfn.XLOOKUP(Pipeline_tbl[[#This Row],[Rate_Code_Generalized]],Lookups!A:A,Lookups!B:B))*Pipeline_tbl[[#This Row],[Pipeline_Amount_USD]]</f>
        <v>51305.020000000004</v>
      </c>
      <c r="O5623" t="str">
        <f>_xlfn.XLOOKUP(Pipeline_tbl[[#This Row],[Rep_ID]],Dim_Reps!A:A,Dim_Reps!B:B)</f>
        <v>Lucas Duarte</v>
      </c>
      <c r="P5623" t="str">
        <f>_xlfn.XLOOKUP(Pipeline_tbl[[#This Row],[Rep_ID]],Dim_Reps!A:A,Dim_Reps!C:C)</f>
        <v>SDR / Inside Sales Rep</v>
      </c>
      <c r="Q5623" t="str">
        <f>_xlfn.XLOOKUP(Pipeline_tbl[[#This Row],[Rep_ID]],Dim_Reps!A:A,Dim_Reps!D:D)</f>
        <v>Inside Sales</v>
      </c>
      <c r="R5623" t="str">
        <f>_xlfn.XLOOKUP(Pipeline_tbl[[#This Row],[Rep_ID]],Dim_Reps!A:A,Dim_Reps!E:E)</f>
        <v>LATAM</v>
      </c>
      <c r="S5623" t="str">
        <f>_xlfn.XLOOKUP(Pipeline_tbl[[#This Row],[Created_Date]],Dim_Date!A:A,Dim_Date!H:H)</f>
        <v>Dec 2024</v>
      </c>
      <c r="T5623" t="str">
        <f>IF(Pipeline_tbl[[#This Row],[Closed_Date]]=0,"",(_xlfn.XLOOKUP(Pipeline_tbl[[#This Row],[Closed_Date]],Dim_Date!A:A,Dim_Date!H:H)))</f>
        <v>Dec 2024</v>
      </c>
      <c r="U5623">
        <f>IF(Pipeline_tbl[[#This Row],[Closed_Date]]=0,"",Pipeline_tbl[[#This Row],[Closed_Date]]-Pipeline_tbl[[#This Row],[Created_Date]])</f>
        <v>14</v>
      </c>
    </row>
    <row r="5624" spans="1:21" ht="15" customHeight="1" x14ac:dyDescent="0.2">
      <c r="A5624" t="s">
        <v>5930</v>
      </c>
      <c r="B5624" t="s">
        <v>233</v>
      </c>
      <c r="C5624" t="s">
        <v>52</v>
      </c>
      <c r="D5624" s="49">
        <v>45627</v>
      </c>
      <c r="E5624" s="49">
        <v>45629</v>
      </c>
      <c r="F5624" s="49">
        <v>45633</v>
      </c>
      <c r="G5624" s="49">
        <v>45638</v>
      </c>
      <c r="H5624" s="49">
        <v>45643</v>
      </c>
      <c r="I5624" s="49">
        <v>45646</v>
      </c>
      <c r="J5624" t="s">
        <v>47</v>
      </c>
      <c r="K5624" s="33">
        <v>3000</v>
      </c>
      <c r="M5624" t="str">
        <f>_xlfn.XLOOKUP(Pipeline_tbl[[#This Row],[Rep_ID]],Dim_Reps!A:A,Dim_Reps!K:K)</f>
        <v>MXN</v>
      </c>
      <c r="N5624" s="33">
        <f>(_xlfn.XLOOKUP(Pipeline_tbl[[#This Row],[Rate_Code_Generalized]],Lookups!A:A,Lookups!B:B))*Pipeline_tbl[[#This Row],[Pipeline_Amount_USD]]</f>
        <v>59198.100000000006</v>
      </c>
      <c r="O5624" t="str">
        <f>_xlfn.XLOOKUP(Pipeline_tbl[[#This Row],[Rep_ID]],Dim_Reps!A:A,Dim_Reps!B:B)</f>
        <v>Lucas Duarte</v>
      </c>
      <c r="P5624" t="str">
        <f>_xlfn.XLOOKUP(Pipeline_tbl[[#This Row],[Rep_ID]],Dim_Reps!A:A,Dim_Reps!C:C)</f>
        <v>SDR / Inside Sales Rep</v>
      </c>
      <c r="Q5624" t="str">
        <f>_xlfn.XLOOKUP(Pipeline_tbl[[#This Row],[Rep_ID]],Dim_Reps!A:A,Dim_Reps!D:D)</f>
        <v>Inside Sales</v>
      </c>
      <c r="R5624" t="str">
        <f>_xlfn.XLOOKUP(Pipeline_tbl[[#This Row],[Rep_ID]],Dim_Reps!A:A,Dim_Reps!E:E)</f>
        <v>LATAM</v>
      </c>
      <c r="S5624" t="str">
        <f>_xlfn.XLOOKUP(Pipeline_tbl[[#This Row],[Created_Date]],Dim_Date!A:A,Dim_Date!H:H)</f>
        <v>Dec 2024</v>
      </c>
      <c r="T5624" t="str">
        <f>IF(Pipeline_tbl[[#This Row],[Closed_Date]]=0,"",(_xlfn.XLOOKUP(Pipeline_tbl[[#This Row],[Closed_Date]],Dim_Date!A:A,Dim_Date!H:H)))</f>
        <v>Dec 2024</v>
      </c>
      <c r="U5624">
        <f>IF(Pipeline_tbl[[#This Row],[Closed_Date]]=0,"",Pipeline_tbl[[#This Row],[Closed_Date]]-Pipeline_tbl[[#This Row],[Created_Date]])</f>
        <v>19</v>
      </c>
    </row>
    <row r="5625" spans="1:21" ht="15" customHeight="1" x14ac:dyDescent="0.2">
      <c r="A5625" t="s">
        <v>5931</v>
      </c>
      <c r="B5625" t="s">
        <v>233</v>
      </c>
      <c r="C5625" t="s">
        <v>53</v>
      </c>
      <c r="D5625" s="49">
        <v>45633</v>
      </c>
      <c r="E5625" s="49">
        <v>45633</v>
      </c>
      <c r="F5625" s="49">
        <v>45635</v>
      </c>
      <c r="I5625" s="49">
        <v>45638</v>
      </c>
      <c r="J5625" t="s">
        <v>49</v>
      </c>
      <c r="K5625" s="33">
        <v>3000</v>
      </c>
      <c r="L5625" t="s">
        <v>62</v>
      </c>
      <c r="M5625" t="str">
        <f>_xlfn.XLOOKUP(Pipeline_tbl[[#This Row],[Rep_ID]],Dim_Reps!A:A,Dim_Reps!K:K)</f>
        <v>MXN</v>
      </c>
      <c r="N5625" s="33">
        <f>(_xlfn.XLOOKUP(Pipeline_tbl[[#This Row],[Rate_Code_Generalized]],Lookups!A:A,Lookups!B:B))*Pipeline_tbl[[#This Row],[Pipeline_Amount_USD]]</f>
        <v>59198.100000000006</v>
      </c>
      <c r="O5625" t="str">
        <f>_xlfn.XLOOKUP(Pipeline_tbl[[#This Row],[Rep_ID]],Dim_Reps!A:A,Dim_Reps!B:B)</f>
        <v>Lucas Duarte</v>
      </c>
      <c r="P5625" t="str">
        <f>_xlfn.XLOOKUP(Pipeline_tbl[[#This Row],[Rep_ID]],Dim_Reps!A:A,Dim_Reps!C:C)</f>
        <v>SDR / Inside Sales Rep</v>
      </c>
      <c r="Q5625" t="str">
        <f>_xlfn.XLOOKUP(Pipeline_tbl[[#This Row],[Rep_ID]],Dim_Reps!A:A,Dim_Reps!D:D)</f>
        <v>Inside Sales</v>
      </c>
      <c r="R5625" t="str">
        <f>_xlfn.XLOOKUP(Pipeline_tbl[[#This Row],[Rep_ID]],Dim_Reps!A:A,Dim_Reps!E:E)</f>
        <v>LATAM</v>
      </c>
      <c r="S5625" t="str">
        <f>_xlfn.XLOOKUP(Pipeline_tbl[[#This Row],[Created_Date]],Dim_Date!A:A,Dim_Date!H:H)</f>
        <v>Dec 2024</v>
      </c>
      <c r="T5625" t="str">
        <f>IF(Pipeline_tbl[[#This Row],[Closed_Date]]=0,"",(_xlfn.XLOOKUP(Pipeline_tbl[[#This Row],[Closed_Date]],Dim_Date!A:A,Dim_Date!H:H)))</f>
        <v>Dec 2024</v>
      </c>
      <c r="U5625">
        <f>IF(Pipeline_tbl[[#This Row],[Closed_Date]]=0,"",Pipeline_tbl[[#This Row],[Closed_Date]]-Pipeline_tbl[[#This Row],[Created_Date]])</f>
        <v>5</v>
      </c>
    </row>
    <row r="5626" spans="1:21" ht="15" customHeight="1" x14ac:dyDescent="0.2">
      <c r="A5626" t="s">
        <v>5932</v>
      </c>
      <c r="B5626" t="s">
        <v>233</v>
      </c>
      <c r="C5626" t="s">
        <v>52</v>
      </c>
      <c r="D5626" s="49">
        <v>45632</v>
      </c>
      <c r="E5626" s="49">
        <v>45633</v>
      </c>
      <c r="F5626" s="49">
        <v>45634</v>
      </c>
      <c r="G5626" s="49">
        <v>45636</v>
      </c>
      <c r="H5626" s="49">
        <v>45637</v>
      </c>
      <c r="I5626" s="49">
        <v>45638</v>
      </c>
      <c r="J5626" t="s">
        <v>49</v>
      </c>
      <c r="K5626" s="33">
        <v>1900</v>
      </c>
      <c r="L5626" t="s">
        <v>60</v>
      </c>
      <c r="M5626" t="str">
        <f>_xlfn.XLOOKUP(Pipeline_tbl[[#This Row],[Rep_ID]],Dim_Reps!A:A,Dim_Reps!K:K)</f>
        <v>MXN</v>
      </c>
      <c r="N5626" s="33">
        <f>(_xlfn.XLOOKUP(Pipeline_tbl[[#This Row],[Rate_Code_Generalized]],Lookups!A:A,Lookups!B:B))*Pipeline_tbl[[#This Row],[Pipeline_Amount_USD]]</f>
        <v>37492.130000000005</v>
      </c>
      <c r="O5626" t="str">
        <f>_xlfn.XLOOKUP(Pipeline_tbl[[#This Row],[Rep_ID]],Dim_Reps!A:A,Dim_Reps!B:B)</f>
        <v>Lucas Duarte</v>
      </c>
      <c r="P5626" t="str">
        <f>_xlfn.XLOOKUP(Pipeline_tbl[[#This Row],[Rep_ID]],Dim_Reps!A:A,Dim_Reps!C:C)</f>
        <v>SDR / Inside Sales Rep</v>
      </c>
      <c r="Q5626" t="str">
        <f>_xlfn.XLOOKUP(Pipeline_tbl[[#This Row],[Rep_ID]],Dim_Reps!A:A,Dim_Reps!D:D)</f>
        <v>Inside Sales</v>
      </c>
      <c r="R5626" t="str">
        <f>_xlfn.XLOOKUP(Pipeline_tbl[[#This Row],[Rep_ID]],Dim_Reps!A:A,Dim_Reps!E:E)</f>
        <v>LATAM</v>
      </c>
      <c r="S5626" t="str">
        <f>_xlfn.XLOOKUP(Pipeline_tbl[[#This Row],[Created_Date]],Dim_Date!A:A,Dim_Date!H:H)</f>
        <v>Dec 2024</v>
      </c>
      <c r="T5626" t="str">
        <f>IF(Pipeline_tbl[[#This Row],[Closed_Date]]=0,"",(_xlfn.XLOOKUP(Pipeline_tbl[[#This Row],[Closed_Date]],Dim_Date!A:A,Dim_Date!H:H)))</f>
        <v>Dec 2024</v>
      </c>
      <c r="U5626">
        <f>IF(Pipeline_tbl[[#This Row],[Closed_Date]]=0,"",Pipeline_tbl[[#This Row],[Closed_Date]]-Pipeline_tbl[[#This Row],[Created_Date]])</f>
        <v>6</v>
      </c>
    </row>
    <row r="5627" spans="1:21" ht="15" customHeight="1" x14ac:dyDescent="0.2">
      <c r="A5627" t="s">
        <v>5933</v>
      </c>
      <c r="B5627" t="s">
        <v>233</v>
      </c>
      <c r="C5627" t="s">
        <v>52</v>
      </c>
      <c r="D5627" s="49">
        <v>45629</v>
      </c>
      <c r="E5627" s="49">
        <v>45631</v>
      </c>
      <c r="F5627" s="49">
        <v>45634</v>
      </c>
      <c r="G5627" s="49">
        <v>45639</v>
      </c>
      <c r="H5627" s="49">
        <v>45643</v>
      </c>
      <c r="I5627" s="49">
        <v>45645</v>
      </c>
      <c r="J5627" t="s">
        <v>47</v>
      </c>
      <c r="K5627" s="33">
        <v>5200</v>
      </c>
      <c r="M5627" t="str">
        <f>_xlfn.XLOOKUP(Pipeline_tbl[[#This Row],[Rep_ID]],Dim_Reps!A:A,Dim_Reps!K:K)</f>
        <v>MXN</v>
      </c>
      <c r="N5627" s="33">
        <f>(_xlfn.XLOOKUP(Pipeline_tbl[[#This Row],[Rate_Code_Generalized]],Lookups!A:A,Lookups!B:B))*Pipeline_tbl[[#This Row],[Pipeline_Amount_USD]]</f>
        <v>102610.04000000001</v>
      </c>
      <c r="O5627" t="str">
        <f>_xlfn.XLOOKUP(Pipeline_tbl[[#This Row],[Rep_ID]],Dim_Reps!A:A,Dim_Reps!B:B)</f>
        <v>Lucas Duarte</v>
      </c>
      <c r="P5627" t="str">
        <f>_xlfn.XLOOKUP(Pipeline_tbl[[#This Row],[Rep_ID]],Dim_Reps!A:A,Dim_Reps!C:C)</f>
        <v>SDR / Inside Sales Rep</v>
      </c>
      <c r="Q5627" t="str">
        <f>_xlfn.XLOOKUP(Pipeline_tbl[[#This Row],[Rep_ID]],Dim_Reps!A:A,Dim_Reps!D:D)</f>
        <v>Inside Sales</v>
      </c>
      <c r="R5627" t="str">
        <f>_xlfn.XLOOKUP(Pipeline_tbl[[#This Row],[Rep_ID]],Dim_Reps!A:A,Dim_Reps!E:E)</f>
        <v>LATAM</v>
      </c>
      <c r="S5627" t="str">
        <f>_xlfn.XLOOKUP(Pipeline_tbl[[#This Row],[Created_Date]],Dim_Date!A:A,Dim_Date!H:H)</f>
        <v>Dec 2024</v>
      </c>
      <c r="T5627" t="str">
        <f>IF(Pipeline_tbl[[#This Row],[Closed_Date]]=0,"",(_xlfn.XLOOKUP(Pipeline_tbl[[#This Row],[Closed_Date]],Dim_Date!A:A,Dim_Date!H:H)))</f>
        <v>Dec 2024</v>
      </c>
      <c r="U5627">
        <f>IF(Pipeline_tbl[[#This Row],[Closed_Date]]=0,"",Pipeline_tbl[[#This Row],[Closed_Date]]-Pipeline_tbl[[#This Row],[Created_Date]])</f>
        <v>16</v>
      </c>
    </row>
    <row r="5628" spans="1:21" ht="15" customHeight="1" x14ac:dyDescent="0.2">
      <c r="A5628" t="s">
        <v>5934</v>
      </c>
      <c r="B5628" t="s">
        <v>235</v>
      </c>
      <c r="C5628" t="s">
        <v>53</v>
      </c>
      <c r="D5628" s="49">
        <v>45650</v>
      </c>
      <c r="E5628" s="49">
        <v>45650</v>
      </c>
      <c r="F5628" s="49">
        <v>45652</v>
      </c>
      <c r="G5628" s="49">
        <v>45653</v>
      </c>
      <c r="H5628" s="49">
        <v>45654</v>
      </c>
      <c r="I5628" s="49">
        <v>45655</v>
      </c>
      <c r="J5628" t="s">
        <v>47</v>
      </c>
      <c r="K5628" s="33">
        <v>1500</v>
      </c>
      <c r="M5628" t="str">
        <f>_xlfn.XLOOKUP(Pipeline_tbl[[#This Row],[Rep_ID]],Dim_Reps!A:A,Dim_Reps!K:K)</f>
        <v>MXN</v>
      </c>
      <c r="N5628" s="33">
        <f>(_xlfn.XLOOKUP(Pipeline_tbl[[#This Row],[Rate_Code_Generalized]],Lookups!A:A,Lookups!B:B))*Pipeline_tbl[[#This Row],[Pipeline_Amount_USD]]</f>
        <v>29599.050000000003</v>
      </c>
      <c r="O5628" t="str">
        <f>_xlfn.XLOOKUP(Pipeline_tbl[[#This Row],[Rep_ID]],Dim_Reps!A:A,Dim_Reps!B:B)</f>
        <v>Milo Castro</v>
      </c>
      <c r="P5628" t="str">
        <f>_xlfn.XLOOKUP(Pipeline_tbl[[#This Row],[Rep_ID]],Dim_Reps!A:A,Dim_Reps!C:C)</f>
        <v>SDR / Inside Sales Rep</v>
      </c>
      <c r="Q5628" t="str">
        <f>_xlfn.XLOOKUP(Pipeline_tbl[[#This Row],[Rep_ID]],Dim_Reps!A:A,Dim_Reps!D:D)</f>
        <v>Inside Sales</v>
      </c>
      <c r="R5628" t="str">
        <f>_xlfn.XLOOKUP(Pipeline_tbl[[#This Row],[Rep_ID]],Dim_Reps!A:A,Dim_Reps!E:E)</f>
        <v>LATAM</v>
      </c>
      <c r="S5628" t="str">
        <f>_xlfn.XLOOKUP(Pipeline_tbl[[#This Row],[Created_Date]],Dim_Date!A:A,Dim_Date!H:H)</f>
        <v>Dec 2024</v>
      </c>
      <c r="T5628" t="str">
        <f>IF(Pipeline_tbl[[#This Row],[Closed_Date]]=0,"",(_xlfn.XLOOKUP(Pipeline_tbl[[#This Row],[Closed_Date]],Dim_Date!A:A,Dim_Date!H:H)))</f>
        <v>Dec 2024</v>
      </c>
      <c r="U5628">
        <f>IF(Pipeline_tbl[[#This Row],[Closed_Date]]=0,"",Pipeline_tbl[[#This Row],[Closed_Date]]-Pipeline_tbl[[#This Row],[Created_Date]])</f>
        <v>5</v>
      </c>
    </row>
    <row r="5629" spans="1:21" ht="15" customHeight="1" x14ac:dyDescent="0.2">
      <c r="A5629" t="s">
        <v>5935</v>
      </c>
      <c r="B5629" t="s">
        <v>235</v>
      </c>
      <c r="C5629" t="s">
        <v>56</v>
      </c>
      <c r="D5629" s="49">
        <v>45634</v>
      </c>
      <c r="E5629" s="49">
        <v>45636</v>
      </c>
      <c r="F5629" s="49">
        <v>45639</v>
      </c>
      <c r="G5629" s="49">
        <v>45643</v>
      </c>
      <c r="H5629" s="49">
        <v>45647</v>
      </c>
      <c r="I5629" s="49">
        <v>45649</v>
      </c>
      <c r="J5629" t="s">
        <v>47</v>
      </c>
      <c r="K5629" s="33">
        <v>1700</v>
      </c>
      <c r="M5629" t="str">
        <f>_xlfn.XLOOKUP(Pipeline_tbl[[#This Row],[Rep_ID]],Dim_Reps!A:A,Dim_Reps!K:K)</f>
        <v>MXN</v>
      </c>
      <c r="N5629" s="33">
        <f>(_xlfn.XLOOKUP(Pipeline_tbl[[#This Row],[Rate_Code_Generalized]],Lookups!A:A,Lookups!B:B))*Pipeline_tbl[[#This Row],[Pipeline_Amount_USD]]</f>
        <v>33545.590000000004</v>
      </c>
      <c r="O5629" t="str">
        <f>_xlfn.XLOOKUP(Pipeline_tbl[[#This Row],[Rep_ID]],Dim_Reps!A:A,Dim_Reps!B:B)</f>
        <v>Milo Castro</v>
      </c>
      <c r="P5629" t="str">
        <f>_xlfn.XLOOKUP(Pipeline_tbl[[#This Row],[Rep_ID]],Dim_Reps!A:A,Dim_Reps!C:C)</f>
        <v>SDR / Inside Sales Rep</v>
      </c>
      <c r="Q5629" t="str">
        <f>_xlfn.XLOOKUP(Pipeline_tbl[[#This Row],[Rep_ID]],Dim_Reps!A:A,Dim_Reps!D:D)</f>
        <v>Inside Sales</v>
      </c>
      <c r="R5629" t="str">
        <f>_xlfn.XLOOKUP(Pipeline_tbl[[#This Row],[Rep_ID]],Dim_Reps!A:A,Dim_Reps!E:E)</f>
        <v>LATAM</v>
      </c>
      <c r="S5629" t="str">
        <f>_xlfn.XLOOKUP(Pipeline_tbl[[#This Row],[Created_Date]],Dim_Date!A:A,Dim_Date!H:H)</f>
        <v>Dec 2024</v>
      </c>
      <c r="T5629" t="str">
        <f>IF(Pipeline_tbl[[#This Row],[Closed_Date]]=0,"",(_xlfn.XLOOKUP(Pipeline_tbl[[#This Row],[Closed_Date]],Dim_Date!A:A,Dim_Date!H:H)))</f>
        <v>Dec 2024</v>
      </c>
      <c r="U5629">
        <f>IF(Pipeline_tbl[[#This Row],[Closed_Date]]=0,"",Pipeline_tbl[[#This Row],[Closed_Date]]-Pipeline_tbl[[#This Row],[Created_Date]])</f>
        <v>15</v>
      </c>
    </row>
    <row r="5630" spans="1:21" ht="15" customHeight="1" x14ac:dyDescent="0.2">
      <c r="A5630" t="s">
        <v>5936</v>
      </c>
      <c r="B5630" t="s">
        <v>235</v>
      </c>
      <c r="C5630" t="s">
        <v>54</v>
      </c>
      <c r="D5630" s="49">
        <v>45642</v>
      </c>
      <c r="E5630" s="49">
        <v>45644</v>
      </c>
      <c r="F5630" s="49">
        <v>45647</v>
      </c>
      <c r="G5630" s="49">
        <v>45651</v>
      </c>
      <c r="H5630" s="49">
        <v>45655</v>
      </c>
      <c r="I5630" s="49">
        <v>45657</v>
      </c>
      <c r="J5630" t="s">
        <v>47</v>
      </c>
      <c r="K5630" s="33">
        <v>2100</v>
      </c>
      <c r="M5630" t="str">
        <f>_xlfn.XLOOKUP(Pipeline_tbl[[#This Row],[Rep_ID]],Dim_Reps!A:A,Dim_Reps!K:K)</f>
        <v>MXN</v>
      </c>
      <c r="N5630" s="33">
        <f>(_xlfn.XLOOKUP(Pipeline_tbl[[#This Row],[Rate_Code_Generalized]],Lookups!A:A,Lookups!B:B))*Pipeline_tbl[[#This Row],[Pipeline_Amount_USD]]</f>
        <v>41438.670000000006</v>
      </c>
      <c r="O5630" t="str">
        <f>_xlfn.XLOOKUP(Pipeline_tbl[[#This Row],[Rep_ID]],Dim_Reps!A:A,Dim_Reps!B:B)</f>
        <v>Milo Castro</v>
      </c>
      <c r="P5630" t="str">
        <f>_xlfn.XLOOKUP(Pipeline_tbl[[#This Row],[Rep_ID]],Dim_Reps!A:A,Dim_Reps!C:C)</f>
        <v>SDR / Inside Sales Rep</v>
      </c>
      <c r="Q5630" t="str">
        <f>_xlfn.XLOOKUP(Pipeline_tbl[[#This Row],[Rep_ID]],Dim_Reps!A:A,Dim_Reps!D:D)</f>
        <v>Inside Sales</v>
      </c>
      <c r="R5630" t="str">
        <f>_xlfn.XLOOKUP(Pipeline_tbl[[#This Row],[Rep_ID]],Dim_Reps!A:A,Dim_Reps!E:E)</f>
        <v>LATAM</v>
      </c>
      <c r="S5630" t="str">
        <f>_xlfn.XLOOKUP(Pipeline_tbl[[#This Row],[Created_Date]],Dim_Date!A:A,Dim_Date!H:H)</f>
        <v>Dec 2024</v>
      </c>
      <c r="T5630" t="str">
        <f>IF(Pipeline_tbl[[#This Row],[Closed_Date]]=0,"",(_xlfn.XLOOKUP(Pipeline_tbl[[#This Row],[Closed_Date]],Dim_Date!A:A,Dim_Date!H:H)))</f>
        <v>Dec 2024</v>
      </c>
      <c r="U5630">
        <f>IF(Pipeline_tbl[[#This Row],[Closed_Date]]=0,"",Pipeline_tbl[[#This Row],[Closed_Date]]-Pipeline_tbl[[#This Row],[Created_Date]])</f>
        <v>15</v>
      </c>
    </row>
    <row r="5631" spans="1:21" ht="15" customHeight="1" x14ac:dyDescent="0.2">
      <c r="A5631" t="s">
        <v>5937</v>
      </c>
      <c r="B5631" t="s">
        <v>235</v>
      </c>
      <c r="C5631" t="s">
        <v>52</v>
      </c>
      <c r="D5631" s="49">
        <v>45638</v>
      </c>
      <c r="E5631" s="49">
        <v>45640</v>
      </c>
      <c r="I5631" s="49">
        <v>45657</v>
      </c>
      <c r="J5631" t="s">
        <v>49</v>
      </c>
      <c r="K5631" s="33">
        <v>5700</v>
      </c>
      <c r="L5631" t="s">
        <v>63</v>
      </c>
      <c r="M5631" t="str">
        <f>_xlfn.XLOOKUP(Pipeline_tbl[[#This Row],[Rep_ID]],Dim_Reps!A:A,Dim_Reps!K:K)</f>
        <v>MXN</v>
      </c>
      <c r="N5631" s="33">
        <f>(_xlfn.XLOOKUP(Pipeline_tbl[[#This Row],[Rate_Code_Generalized]],Lookups!A:A,Lookups!B:B))*Pipeline_tbl[[#This Row],[Pipeline_Amount_USD]]</f>
        <v>112476.39000000001</v>
      </c>
      <c r="O5631" t="str">
        <f>_xlfn.XLOOKUP(Pipeline_tbl[[#This Row],[Rep_ID]],Dim_Reps!A:A,Dim_Reps!B:B)</f>
        <v>Milo Castro</v>
      </c>
      <c r="P5631" t="str">
        <f>_xlfn.XLOOKUP(Pipeline_tbl[[#This Row],[Rep_ID]],Dim_Reps!A:A,Dim_Reps!C:C)</f>
        <v>SDR / Inside Sales Rep</v>
      </c>
      <c r="Q5631" t="str">
        <f>_xlfn.XLOOKUP(Pipeline_tbl[[#This Row],[Rep_ID]],Dim_Reps!A:A,Dim_Reps!D:D)</f>
        <v>Inside Sales</v>
      </c>
      <c r="R5631" t="str">
        <f>_xlfn.XLOOKUP(Pipeline_tbl[[#This Row],[Rep_ID]],Dim_Reps!A:A,Dim_Reps!E:E)</f>
        <v>LATAM</v>
      </c>
      <c r="S5631" t="str">
        <f>_xlfn.XLOOKUP(Pipeline_tbl[[#This Row],[Created_Date]],Dim_Date!A:A,Dim_Date!H:H)</f>
        <v>Dec 2024</v>
      </c>
      <c r="T5631" t="str">
        <f>IF(Pipeline_tbl[[#This Row],[Closed_Date]]=0,"",(_xlfn.XLOOKUP(Pipeline_tbl[[#This Row],[Closed_Date]],Dim_Date!A:A,Dim_Date!H:H)))</f>
        <v>Dec 2024</v>
      </c>
      <c r="U5631">
        <f>IF(Pipeline_tbl[[#This Row],[Closed_Date]]=0,"",Pipeline_tbl[[#This Row],[Closed_Date]]-Pipeline_tbl[[#This Row],[Created_Date]])</f>
        <v>19</v>
      </c>
    </row>
    <row r="5632" spans="1:21" ht="15" customHeight="1" x14ac:dyDescent="0.2">
      <c r="A5632" t="s">
        <v>5938</v>
      </c>
      <c r="B5632" t="s">
        <v>235</v>
      </c>
      <c r="C5632" t="s">
        <v>55</v>
      </c>
      <c r="D5632" s="49">
        <v>45643</v>
      </c>
      <c r="E5632" s="49">
        <v>45643</v>
      </c>
      <c r="F5632" s="49">
        <v>45645</v>
      </c>
      <c r="G5632" s="49">
        <v>45646</v>
      </c>
      <c r="H5632" s="49">
        <v>45647</v>
      </c>
      <c r="I5632" s="49">
        <v>45648</v>
      </c>
      <c r="J5632" t="s">
        <v>47</v>
      </c>
      <c r="K5632" s="33">
        <v>5600</v>
      </c>
      <c r="M5632" t="str">
        <f>_xlfn.XLOOKUP(Pipeline_tbl[[#This Row],[Rep_ID]],Dim_Reps!A:A,Dim_Reps!K:K)</f>
        <v>MXN</v>
      </c>
      <c r="N5632" s="33">
        <f>(_xlfn.XLOOKUP(Pipeline_tbl[[#This Row],[Rate_Code_Generalized]],Lookups!A:A,Lookups!B:B))*Pipeline_tbl[[#This Row],[Pipeline_Amount_USD]]</f>
        <v>110503.12000000001</v>
      </c>
      <c r="O5632" t="str">
        <f>_xlfn.XLOOKUP(Pipeline_tbl[[#This Row],[Rep_ID]],Dim_Reps!A:A,Dim_Reps!B:B)</f>
        <v>Milo Castro</v>
      </c>
      <c r="P5632" t="str">
        <f>_xlfn.XLOOKUP(Pipeline_tbl[[#This Row],[Rep_ID]],Dim_Reps!A:A,Dim_Reps!C:C)</f>
        <v>SDR / Inside Sales Rep</v>
      </c>
      <c r="Q5632" t="str">
        <f>_xlfn.XLOOKUP(Pipeline_tbl[[#This Row],[Rep_ID]],Dim_Reps!A:A,Dim_Reps!D:D)</f>
        <v>Inside Sales</v>
      </c>
      <c r="R5632" t="str">
        <f>_xlfn.XLOOKUP(Pipeline_tbl[[#This Row],[Rep_ID]],Dim_Reps!A:A,Dim_Reps!E:E)</f>
        <v>LATAM</v>
      </c>
      <c r="S5632" t="str">
        <f>_xlfn.XLOOKUP(Pipeline_tbl[[#This Row],[Created_Date]],Dim_Date!A:A,Dim_Date!H:H)</f>
        <v>Dec 2024</v>
      </c>
      <c r="T5632" t="str">
        <f>IF(Pipeline_tbl[[#This Row],[Closed_Date]]=0,"",(_xlfn.XLOOKUP(Pipeline_tbl[[#This Row],[Closed_Date]],Dim_Date!A:A,Dim_Date!H:H)))</f>
        <v>Dec 2024</v>
      </c>
      <c r="U5632">
        <f>IF(Pipeline_tbl[[#This Row],[Closed_Date]]=0,"",Pipeline_tbl[[#This Row],[Closed_Date]]-Pipeline_tbl[[#This Row],[Created_Date]])</f>
        <v>5</v>
      </c>
    </row>
    <row r="5633" spans="1:21" ht="15" customHeight="1" x14ac:dyDescent="0.2">
      <c r="A5633" t="s">
        <v>5939</v>
      </c>
      <c r="B5633" t="s">
        <v>235</v>
      </c>
      <c r="C5633" t="s">
        <v>53</v>
      </c>
      <c r="D5633" s="49">
        <v>45636</v>
      </c>
      <c r="E5633" s="49">
        <v>45638</v>
      </c>
      <c r="F5633" s="49">
        <v>45642</v>
      </c>
      <c r="G5633" s="49">
        <v>45649</v>
      </c>
      <c r="I5633" s="49">
        <v>45657</v>
      </c>
      <c r="J5633" t="s">
        <v>49</v>
      </c>
      <c r="K5633" s="33">
        <v>3500</v>
      </c>
      <c r="L5633" t="s">
        <v>62</v>
      </c>
      <c r="M5633" t="str">
        <f>_xlfn.XLOOKUP(Pipeline_tbl[[#This Row],[Rep_ID]],Dim_Reps!A:A,Dim_Reps!K:K)</f>
        <v>MXN</v>
      </c>
      <c r="N5633" s="33">
        <f>(_xlfn.XLOOKUP(Pipeline_tbl[[#This Row],[Rate_Code_Generalized]],Lookups!A:A,Lookups!B:B))*Pipeline_tbl[[#This Row],[Pipeline_Amount_USD]]</f>
        <v>69064.45</v>
      </c>
      <c r="O5633" t="str">
        <f>_xlfn.XLOOKUP(Pipeline_tbl[[#This Row],[Rep_ID]],Dim_Reps!A:A,Dim_Reps!B:B)</f>
        <v>Milo Castro</v>
      </c>
      <c r="P5633" t="str">
        <f>_xlfn.XLOOKUP(Pipeline_tbl[[#This Row],[Rep_ID]],Dim_Reps!A:A,Dim_Reps!C:C)</f>
        <v>SDR / Inside Sales Rep</v>
      </c>
      <c r="Q5633" t="str">
        <f>_xlfn.XLOOKUP(Pipeline_tbl[[#This Row],[Rep_ID]],Dim_Reps!A:A,Dim_Reps!D:D)</f>
        <v>Inside Sales</v>
      </c>
      <c r="R5633" t="str">
        <f>_xlfn.XLOOKUP(Pipeline_tbl[[#This Row],[Rep_ID]],Dim_Reps!A:A,Dim_Reps!E:E)</f>
        <v>LATAM</v>
      </c>
      <c r="S5633" t="str">
        <f>_xlfn.XLOOKUP(Pipeline_tbl[[#This Row],[Created_Date]],Dim_Date!A:A,Dim_Date!H:H)</f>
        <v>Dec 2024</v>
      </c>
      <c r="T5633" t="str">
        <f>IF(Pipeline_tbl[[#This Row],[Closed_Date]]=0,"",(_xlfn.XLOOKUP(Pipeline_tbl[[#This Row],[Closed_Date]],Dim_Date!A:A,Dim_Date!H:H)))</f>
        <v>Dec 2024</v>
      </c>
      <c r="U5633">
        <f>IF(Pipeline_tbl[[#This Row],[Closed_Date]]=0,"",Pipeline_tbl[[#This Row],[Closed_Date]]-Pipeline_tbl[[#This Row],[Created_Date]])</f>
        <v>21</v>
      </c>
    </row>
    <row r="5634" spans="1:21" ht="15" customHeight="1" x14ac:dyDescent="0.2">
      <c r="A5634" t="s">
        <v>5940</v>
      </c>
      <c r="B5634" t="s">
        <v>235</v>
      </c>
      <c r="C5634" t="s">
        <v>52</v>
      </c>
      <c r="D5634" s="49">
        <v>45632</v>
      </c>
      <c r="E5634" s="49">
        <v>45634</v>
      </c>
      <c r="F5634" s="49">
        <v>45637</v>
      </c>
      <c r="G5634" s="49">
        <v>45643</v>
      </c>
      <c r="I5634" s="49">
        <v>45650</v>
      </c>
      <c r="J5634" t="s">
        <v>49</v>
      </c>
      <c r="K5634" s="33">
        <v>3400</v>
      </c>
      <c r="L5634" t="s">
        <v>64</v>
      </c>
      <c r="M5634" t="str">
        <f>_xlfn.XLOOKUP(Pipeline_tbl[[#This Row],[Rep_ID]],Dim_Reps!A:A,Dim_Reps!K:K)</f>
        <v>MXN</v>
      </c>
      <c r="N5634" s="33">
        <f>(_xlfn.XLOOKUP(Pipeline_tbl[[#This Row],[Rate_Code_Generalized]],Lookups!A:A,Lookups!B:B))*Pipeline_tbl[[#This Row],[Pipeline_Amount_USD]]</f>
        <v>67091.180000000008</v>
      </c>
      <c r="O5634" t="str">
        <f>_xlfn.XLOOKUP(Pipeline_tbl[[#This Row],[Rep_ID]],Dim_Reps!A:A,Dim_Reps!B:B)</f>
        <v>Milo Castro</v>
      </c>
      <c r="P5634" t="str">
        <f>_xlfn.XLOOKUP(Pipeline_tbl[[#This Row],[Rep_ID]],Dim_Reps!A:A,Dim_Reps!C:C)</f>
        <v>SDR / Inside Sales Rep</v>
      </c>
      <c r="Q5634" t="str">
        <f>_xlfn.XLOOKUP(Pipeline_tbl[[#This Row],[Rep_ID]],Dim_Reps!A:A,Dim_Reps!D:D)</f>
        <v>Inside Sales</v>
      </c>
      <c r="R5634" t="str">
        <f>_xlfn.XLOOKUP(Pipeline_tbl[[#This Row],[Rep_ID]],Dim_Reps!A:A,Dim_Reps!E:E)</f>
        <v>LATAM</v>
      </c>
      <c r="S5634" t="str">
        <f>_xlfn.XLOOKUP(Pipeline_tbl[[#This Row],[Created_Date]],Dim_Date!A:A,Dim_Date!H:H)</f>
        <v>Dec 2024</v>
      </c>
      <c r="T5634" t="str">
        <f>IF(Pipeline_tbl[[#This Row],[Closed_Date]]=0,"",(_xlfn.XLOOKUP(Pipeline_tbl[[#This Row],[Closed_Date]],Dim_Date!A:A,Dim_Date!H:H)))</f>
        <v>Dec 2024</v>
      </c>
      <c r="U5634">
        <f>IF(Pipeline_tbl[[#This Row],[Closed_Date]]=0,"",Pipeline_tbl[[#This Row],[Closed_Date]]-Pipeline_tbl[[#This Row],[Created_Date]])</f>
        <v>18</v>
      </c>
    </row>
    <row r="5635" spans="1:21" ht="15" customHeight="1" x14ac:dyDescent="0.2">
      <c r="A5635" t="s">
        <v>5941</v>
      </c>
      <c r="B5635" t="s">
        <v>237</v>
      </c>
      <c r="C5635" t="s">
        <v>52</v>
      </c>
      <c r="D5635" s="49">
        <v>45637</v>
      </c>
      <c r="E5635" s="49">
        <v>45637</v>
      </c>
      <c r="F5635" s="49">
        <v>45639</v>
      </c>
      <c r="G5635" s="49">
        <v>45640</v>
      </c>
      <c r="H5635" s="49">
        <v>45641</v>
      </c>
      <c r="I5635" s="49">
        <v>45642</v>
      </c>
      <c r="J5635" t="s">
        <v>47</v>
      </c>
      <c r="K5635" s="33">
        <v>2800</v>
      </c>
      <c r="M5635" t="str">
        <f>_xlfn.XLOOKUP(Pipeline_tbl[[#This Row],[Rep_ID]],Dim_Reps!A:A,Dim_Reps!K:K)</f>
        <v>EUR</v>
      </c>
      <c r="N5635" s="33">
        <f>(_xlfn.XLOOKUP(Pipeline_tbl[[#This Row],[Rate_Code_Generalized]],Lookups!A:A,Lookups!B:B))*Pipeline_tbl[[#This Row],[Pipeline_Amount_USD]]</f>
        <v>2800</v>
      </c>
      <c r="O5635" t="str">
        <f>_xlfn.XLOOKUP(Pipeline_tbl[[#This Row],[Rep_ID]],Dim_Reps!A:A,Dim_Reps!B:B)</f>
        <v>Hugo Santos</v>
      </c>
      <c r="P5635" t="str">
        <f>_xlfn.XLOOKUP(Pipeline_tbl[[#This Row],[Rep_ID]],Dim_Reps!A:A,Dim_Reps!C:C)</f>
        <v>SDR / Inside Sales Rep</v>
      </c>
      <c r="Q5635" t="str">
        <f>_xlfn.XLOOKUP(Pipeline_tbl[[#This Row],[Rep_ID]],Dim_Reps!A:A,Dim_Reps!D:D)</f>
        <v>Inside Sales</v>
      </c>
      <c r="R5635" t="str">
        <f>_xlfn.XLOOKUP(Pipeline_tbl[[#This Row],[Rep_ID]],Dim_Reps!A:A,Dim_Reps!E:E)</f>
        <v>EMEA</v>
      </c>
      <c r="S5635" t="str">
        <f>_xlfn.XLOOKUP(Pipeline_tbl[[#This Row],[Created_Date]],Dim_Date!A:A,Dim_Date!H:H)</f>
        <v>Dec 2024</v>
      </c>
      <c r="T5635" t="str">
        <f>IF(Pipeline_tbl[[#This Row],[Closed_Date]]=0,"",(_xlfn.XLOOKUP(Pipeline_tbl[[#This Row],[Closed_Date]],Dim_Date!A:A,Dim_Date!H:H)))</f>
        <v>Dec 2024</v>
      </c>
      <c r="U5635">
        <f>IF(Pipeline_tbl[[#This Row],[Closed_Date]]=0,"",Pipeline_tbl[[#This Row],[Closed_Date]]-Pipeline_tbl[[#This Row],[Created_Date]])</f>
        <v>5</v>
      </c>
    </row>
    <row r="5636" spans="1:21" ht="15" customHeight="1" x14ac:dyDescent="0.2">
      <c r="A5636" t="s">
        <v>5942</v>
      </c>
      <c r="B5636" t="s">
        <v>237</v>
      </c>
      <c r="C5636" t="s">
        <v>52</v>
      </c>
      <c r="D5636" s="49">
        <v>45640</v>
      </c>
      <c r="E5636" s="49">
        <v>45642</v>
      </c>
      <c r="F5636" s="49">
        <v>45645</v>
      </c>
      <c r="G5636" s="49">
        <v>45650</v>
      </c>
      <c r="H5636" s="49">
        <v>45654</v>
      </c>
      <c r="I5636" s="49">
        <v>45656</v>
      </c>
      <c r="J5636" t="s">
        <v>47</v>
      </c>
      <c r="K5636" s="33">
        <v>3200</v>
      </c>
      <c r="M5636" t="str">
        <f>_xlfn.XLOOKUP(Pipeline_tbl[[#This Row],[Rep_ID]],Dim_Reps!A:A,Dim_Reps!K:K)</f>
        <v>EUR</v>
      </c>
      <c r="N5636" s="33">
        <f>(_xlfn.XLOOKUP(Pipeline_tbl[[#This Row],[Rate_Code_Generalized]],Lookups!A:A,Lookups!B:B))*Pipeline_tbl[[#This Row],[Pipeline_Amount_USD]]</f>
        <v>3200</v>
      </c>
      <c r="O5636" t="str">
        <f>_xlfn.XLOOKUP(Pipeline_tbl[[#This Row],[Rep_ID]],Dim_Reps!A:A,Dim_Reps!B:B)</f>
        <v>Hugo Santos</v>
      </c>
      <c r="P5636" t="str">
        <f>_xlfn.XLOOKUP(Pipeline_tbl[[#This Row],[Rep_ID]],Dim_Reps!A:A,Dim_Reps!C:C)</f>
        <v>SDR / Inside Sales Rep</v>
      </c>
      <c r="Q5636" t="str">
        <f>_xlfn.XLOOKUP(Pipeline_tbl[[#This Row],[Rep_ID]],Dim_Reps!A:A,Dim_Reps!D:D)</f>
        <v>Inside Sales</v>
      </c>
      <c r="R5636" t="str">
        <f>_xlfn.XLOOKUP(Pipeline_tbl[[#This Row],[Rep_ID]],Dim_Reps!A:A,Dim_Reps!E:E)</f>
        <v>EMEA</v>
      </c>
      <c r="S5636" t="str">
        <f>_xlfn.XLOOKUP(Pipeline_tbl[[#This Row],[Created_Date]],Dim_Date!A:A,Dim_Date!H:H)</f>
        <v>Dec 2024</v>
      </c>
      <c r="T5636" t="str">
        <f>IF(Pipeline_tbl[[#This Row],[Closed_Date]]=0,"",(_xlfn.XLOOKUP(Pipeline_tbl[[#This Row],[Closed_Date]],Dim_Date!A:A,Dim_Date!H:H)))</f>
        <v>Dec 2024</v>
      </c>
      <c r="U5636">
        <f>IF(Pipeline_tbl[[#This Row],[Closed_Date]]=0,"",Pipeline_tbl[[#This Row],[Closed_Date]]-Pipeline_tbl[[#This Row],[Created_Date]])</f>
        <v>16</v>
      </c>
    </row>
    <row r="5637" spans="1:21" ht="15" customHeight="1" x14ac:dyDescent="0.2">
      <c r="A5637" t="s">
        <v>5943</v>
      </c>
      <c r="B5637" t="s">
        <v>237</v>
      </c>
      <c r="C5637" t="s">
        <v>53</v>
      </c>
      <c r="D5637" s="49">
        <v>45630</v>
      </c>
      <c r="E5637" s="49">
        <v>45631</v>
      </c>
      <c r="I5637" s="49">
        <v>45641</v>
      </c>
      <c r="J5637" t="s">
        <v>49</v>
      </c>
      <c r="K5637" s="33">
        <v>3100</v>
      </c>
      <c r="L5637" t="s">
        <v>61</v>
      </c>
      <c r="M5637" t="str">
        <f>_xlfn.XLOOKUP(Pipeline_tbl[[#This Row],[Rep_ID]],Dim_Reps!A:A,Dim_Reps!K:K)</f>
        <v>EUR</v>
      </c>
      <c r="N5637" s="33">
        <f>(_xlfn.XLOOKUP(Pipeline_tbl[[#This Row],[Rate_Code_Generalized]],Lookups!A:A,Lookups!B:B))*Pipeline_tbl[[#This Row],[Pipeline_Amount_USD]]</f>
        <v>3100</v>
      </c>
      <c r="O5637" t="str">
        <f>_xlfn.XLOOKUP(Pipeline_tbl[[#This Row],[Rep_ID]],Dim_Reps!A:A,Dim_Reps!B:B)</f>
        <v>Hugo Santos</v>
      </c>
      <c r="P5637" t="str">
        <f>_xlfn.XLOOKUP(Pipeline_tbl[[#This Row],[Rep_ID]],Dim_Reps!A:A,Dim_Reps!C:C)</f>
        <v>SDR / Inside Sales Rep</v>
      </c>
      <c r="Q5637" t="str">
        <f>_xlfn.XLOOKUP(Pipeline_tbl[[#This Row],[Rep_ID]],Dim_Reps!A:A,Dim_Reps!D:D)</f>
        <v>Inside Sales</v>
      </c>
      <c r="R5637" t="str">
        <f>_xlfn.XLOOKUP(Pipeline_tbl[[#This Row],[Rep_ID]],Dim_Reps!A:A,Dim_Reps!E:E)</f>
        <v>EMEA</v>
      </c>
      <c r="S5637" t="str">
        <f>_xlfn.XLOOKUP(Pipeline_tbl[[#This Row],[Created_Date]],Dim_Date!A:A,Dim_Date!H:H)</f>
        <v>Dec 2024</v>
      </c>
      <c r="T5637" t="str">
        <f>IF(Pipeline_tbl[[#This Row],[Closed_Date]]=0,"",(_xlfn.XLOOKUP(Pipeline_tbl[[#This Row],[Closed_Date]],Dim_Date!A:A,Dim_Date!H:H)))</f>
        <v>Dec 2024</v>
      </c>
      <c r="U5637">
        <f>IF(Pipeline_tbl[[#This Row],[Closed_Date]]=0,"",Pipeline_tbl[[#This Row],[Closed_Date]]-Pipeline_tbl[[#This Row],[Created_Date]])</f>
        <v>11</v>
      </c>
    </row>
    <row r="5638" spans="1:21" ht="15" customHeight="1" x14ac:dyDescent="0.2">
      <c r="A5638" t="s">
        <v>5944</v>
      </c>
      <c r="B5638" t="s">
        <v>237</v>
      </c>
      <c r="C5638" t="s">
        <v>55</v>
      </c>
      <c r="D5638" s="49">
        <v>45630</v>
      </c>
      <c r="E5638" s="49">
        <v>45632</v>
      </c>
      <c r="F5638" s="49">
        <v>45638</v>
      </c>
      <c r="G5638" s="49">
        <v>45645</v>
      </c>
      <c r="H5638" s="49">
        <v>45651</v>
      </c>
      <c r="I5638" s="49">
        <v>45655</v>
      </c>
      <c r="J5638" t="s">
        <v>47</v>
      </c>
      <c r="K5638" s="33">
        <v>4200</v>
      </c>
      <c r="M5638" t="str">
        <f>_xlfn.XLOOKUP(Pipeline_tbl[[#This Row],[Rep_ID]],Dim_Reps!A:A,Dim_Reps!K:K)</f>
        <v>EUR</v>
      </c>
      <c r="N5638" s="33">
        <f>(_xlfn.XLOOKUP(Pipeline_tbl[[#This Row],[Rate_Code_Generalized]],Lookups!A:A,Lookups!B:B))*Pipeline_tbl[[#This Row],[Pipeline_Amount_USD]]</f>
        <v>4200</v>
      </c>
      <c r="O5638" t="str">
        <f>_xlfn.XLOOKUP(Pipeline_tbl[[#This Row],[Rep_ID]],Dim_Reps!A:A,Dim_Reps!B:B)</f>
        <v>Hugo Santos</v>
      </c>
      <c r="P5638" t="str">
        <f>_xlfn.XLOOKUP(Pipeline_tbl[[#This Row],[Rep_ID]],Dim_Reps!A:A,Dim_Reps!C:C)</f>
        <v>SDR / Inside Sales Rep</v>
      </c>
      <c r="Q5638" t="str">
        <f>_xlfn.XLOOKUP(Pipeline_tbl[[#This Row],[Rep_ID]],Dim_Reps!A:A,Dim_Reps!D:D)</f>
        <v>Inside Sales</v>
      </c>
      <c r="R5638" t="str">
        <f>_xlfn.XLOOKUP(Pipeline_tbl[[#This Row],[Rep_ID]],Dim_Reps!A:A,Dim_Reps!E:E)</f>
        <v>EMEA</v>
      </c>
      <c r="S5638" t="str">
        <f>_xlfn.XLOOKUP(Pipeline_tbl[[#This Row],[Created_Date]],Dim_Date!A:A,Dim_Date!H:H)</f>
        <v>Dec 2024</v>
      </c>
      <c r="T5638" t="str">
        <f>IF(Pipeline_tbl[[#This Row],[Closed_Date]]=0,"",(_xlfn.XLOOKUP(Pipeline_tbl[[#This Row],[Closed_Date]],Dim_Date!A:A,Dim_Date!H:H)))</f>
        <v>Dec 2024</v>
      </c>
      <c r="U5638">
        <f>IF(Pipeline_tbl[[#This Row],[Closed_Date]]=0,"",Pipeline_tbl[[#This Row],[Closed_Date]]-Pipeline_tbl[[#This Row],[Created_Date]])</f>
        <v>25</v>
      </c>
    </row>
    <row r="5639" spans="1:21" ht="15" customHeight="1" x14ac:dyDescent="0.2">
      <c r="A5639" t="s">
        <v>5945</v>
      </c>
      <c r="B5639" t="s">
        <v>273</v>
      </c>
      <c r="C5639" t="s">
        <v>52</v>
      </c>
      <c r="D5639" s="49">
        <v>45629</v>
      </c>
      <c r="E5639" s="49">
        <v>45631</v>
      </c>
      <c r="F5639" s="49">
        <v>45636</v>
      </c>
      <c r="G5639" s="49">
        <v>45642</v>
      </c>
      <c r="I5639" s="49">
        <v>45651</v>
      </c>
      <c r="J5639" t="s">
        <v>49</v>
      </c>
      <c r="K5639" s="33">
        <v>14600</v>
      </c>
      <c r="L5639" t="s">
        <v>64</v>
      </c>
      <c r="M5639" t="str">
        <f>_xlfn.XLOOKUP(Pipeline_tbl[[#This Row],[Rep_ID]],Dim_Reps!A:A,Dim_Reps!K:K)</f>
        <v>EUR</v>
      </c>
      <c r="N5639" s="33">
        <f>(_xlfn.XLOOKUP(Pipeline_tbl[[#This Row],[Rate_Code_Generalized]],Lookups!A:A,Lookups!B:B))*Pipeline_tbl[[#This Row],[Pipeline_Amount_USD]]</f>
        <v>14600</v>
      </c>
      <c r="O5639" t="str">
        <f>_xlfn.XLOOKUP(Pipeline_tbl[[#This Row],[Rep_ID]],Dim_Reps!A:A,Dim_Reps!B:B)</f>
        <v>Olivia Cohen</v>
      </c>
      <c r="P5639" t="str">
        <f>_xlfn.XLOOKUP(Pipeline_tbl[[#This Row],[Rep_ID]],Dim_Reps!A:A,Dim_Reps!C:C)</f>
        <v>Mid-Market AE</v>
      </c>
      <c r="Q5639" t="str">
        <f>_xlfn.XLOOKUP(Pipeline_tbl[[#This Row],[Rep_ID]],Dim_Reps!A:A,Dim_Reps!D:D)</f>
        <v>Mid-Market</v>
      </c>
      <c r="R5639" t="str">
        <f>_xlfn.XLOOKUP(Pipeline_tbl[[#This Row],[Rep_ID]],Dim_Reps!A:A,Dim_Reps!E:E)</f>
        <v>APAC</v>
      </c>
      <c r="S5639" t="str">
        <f>_xlfn.XLOOKUP(Pipeline_tbl[[#This Row],[Created_Date]],Dim_Date!A:A,Dim_Date!H:H)</f>
        <v>Dec 2024</v>
      </c>
      <c r="T5639" t="str">
        <f>IF(Pipeline_tbl[[#This Row],[Closed_Date]]=0,"",(_xlfn.XLOOKUP(Pipeline_tbl[[#This Row],[Closed_Date]],Dim_Date!A:A,Dim_Date!H:H)))</f>
        <v>Dec 2024</v>
      </c>
      <c r="U5639">
        <f>IF(Pipeline_tbl[[#This Row],[Closed_Date]]=0,"",Pipeline_tbl[[#This Row],[Closed_Date]]-Pipeline_tbl[[#This Row],[Created_Date]])</f>
        <v>22</v>
      </c>
    </row>
    <row r="5640" spans="1:21" ht="15" customHeight="1" x14ac:dyDescent="0.2">
      <c r="A5640" t="s">
        <v>5946</v>
      </c>
      <c r="B5640" t="s">
        <v>241</v>
      </c>
      <c r="C5640" t="s">
        <v>53</v>
      </c>
      <c r="D5640" s="49">
        <v>45632</v>
      </c>
      <c r="E5640" s="49">
        <v>45634</v>
      </c>
      <c r="F5640" s="49">
        <v>45637</v>
      </c>
      <c r="G5640" s="49">
        <v>45642</v>
      </c>
      <c r="H5640" s="49">
        <v>45646</v>
      </c>
      <c r="I5640" s="49">
        <v>45648</v>
      </c>
      <c r="J5640" t="s">
        <v>49</v>
      </c>
      <c r="K5640" s="33">
        <v>1800</v>
      </c>
      <c r="L5640" t="s">
        <v>63</v>
      </c>
      <c r="M5640" t="str">
        <f>_xlfn.XLOOKUP(Pipeline_tbl[[#This Row],[Rep_ID]],Dim_Reps!A:A,Dim_Reps!K:K)</f>
        <v>EUR</v>
      </c>
      <c r="N5640" s="33">
        <f>(_xlfn.XLOOKUP(Pipeline_tbl[[#This Row],[Rate_Code_Generalized]],Lookups!A:A,Lookups!B:B))*Pipeline_tbl[[#This Row],[Pipeline_Amount_USD]]</f>
        <v>1800</v>
      </c>
      <c r="O5640" t="str">
        <f>_xlfn.XLOOKUP(Pipeline_tbl[[#This Row],[Rep_ID]],Dim_Reps!A:A,Dim_Reps!B:B)</f>
        <v>Kenji Weber</v>
      </c>
      <c r="P5640" t="str">
        <f>_xlfn.XLOOKUP(Pipeline_tbl[[#This Row],[Rep_ID]],Dim_Reps!A:A,Dim_Reps!C:C)</f>
        <v>SDR / Inside Sales Rep</v>
      </c>
      <c r="Q5640" t="str">
        <f>_xlfn.XLOOKUP(Pipeline_tbl[[#This Row],[Rep_ID]],Dim_Reps!A:A,Dim_Reps!D:D)</f>
        <v>Inside Sales</v>
      </c>
      <c r="R5640" t="str">
        <f>_xlfn.XLOOKUP(Pipeline_tbl[[#This Row],[Rep_ID]],Dim_Reps!A:A,Dim_Reps!E:E)</f>
        <v>APAC</v>
      </c>
      <c r="S5640" t="str">
        <f>_xlfn.XLOOKUP(Pipeline_tbl[[#This Row],[Created_Date]],Dim_Date!A:A,Dim_Date!H:H)</f>
        <v>Dec 2024</v>
      </c>
      <c r="T5640" t="str">
        <f>IF(Pipeline_tbl[[#This Row],[Closed_Date]]=0,"",(_xlfn.XLOOKUP(Pipeline_tbl[[#This Row],[Closed_Date]],Dim_Date!A:A,Dim_Date!H:H)))</f>
        <v>Dec 2024</v>
      </c>
      <c r="U5640">
        <f>IF(Pipeline_tbl[[#This Row],[Closed_Date]]=0,"",Pipeline_tbl[[#This Row],[Closed_Date]]-Pipeline_tbl[[#This Row],[Created_Date]])</f>
        <v>16</v>
      </c>
    </row>
    <row r="5641" spans="1:21" ht="15" customHeight="1" x14ac:dyDescent="0.2">
      <c r="A5641" t="s">
        <v>5947</v>
      </c>
      <c r="B5641" t="s">
        <v>241</v>
      </c>
      <c r="C5641" t="s">
        <v>53</v>
      </c>
      <c r="D5641" s="49">
        <v>45644</v>
      </c>
      <c r="E5641" s="49">
        <v>45645</v>
      </c>
      <c r="I5641" s="49">
        <v>45657</v>
      </c>
      <c r="J5641" t="s">
        <v>49</v>
      </c>
      <c r="K5641" s="33">
        <v>6600</v>
      </c>
      <c r="L5641" t="s">
        <v>62</v>
      </c>
      <c r="M5641" t="str">
        <f>_xlfn.XLOOKUP(Pipeline_tbl[[#This Row],[Rep_ID]],Dim_Reps!A:A,Dim_Reps!K:K)</f>
        <v>EUR</v>
      </c>
      <c r="N5641" s="33">
        <f>(_xlfn.XLOOKUP(Pipeline_tbl[[#This Row],[Rate_Code_Generalized]],Lookups!A:A,Lookups!B:B))*Pipeline_tbl[[#This Row],[Pipeline_Amount_USD]]</f>
        <v>6600</v>
      </c>
      <c r="O5641" t="str">
        <f>_xlfn.XLOOKUP(Pipeline_tbl[[#This Row],[Rep_ID]],Dim_Reps!A:A,Dim_Reps!B:B)</f>
        <v>Kenji Weber</v>
      </c>
      <c r="P5641" t="str">
        <f>_xlfn.XLOOKUP(Pipeline_tbl[[#This Row],[Rep_ID]],Dim_Reps!A:A,Dim_Reps!C:C)</f>
        <v>SDR / Inside Sales Rep</v>
      </c>
      <c r="Q5641" t="str">
        <f>_xlfn.XLOOKUP(Pipeline_tbl[[#This Row],[Rep_ID]],Dim_Reps!A:A,Dim_Reps!D:D)</f>
        <v>Inside Sales</v>
      </c>
      <c r="R5641" t="str">
        <f>_xlfn.XLOOKUP(Pipeline_tbl[[#This Row],[Rep_ID]],Dim_Reps!A:A,Dim_Reps!E:E)</f>
        <v>APAC</v>
      </c>
      <c r="S5641" t="str">
        <f>_xlfn.XLOOKUP(Pipeline_tbl[[#This Row],[Created_Date]],Dim_Date!A:A,Dim_Date!H:H)</f>
        <v>Dec 2024</v>
      </c>
      <c r="T5641" t="str">
        <f>IF(Pipeline_tbl[[#This Row],[Closed_Date]]=0,"",(_xlfn.XLOOKUP(Pipeline_tbl[[#This Row],[Closed_Date]],Dim_Date!A:A,Dim_Date!H:H)))</f>
        <v>Dec 2024</v>
      </c>
      <c r="U5641">
        <f>IF(Pipeline_tbl[[#This Row],[Closed_Date]]=0,"",Pipeline_tbl[[#This Row],[Closed_Date]]-Pipeline_tbl[[#This Row],[Created_Date]])</f>
        <v>13</v>
      </c>
    </row>
    <row r="5642" spans="1:21" ht="15" customHeight="1" x14ac:dyDescent="0.2">
      <c r="A5642" t="s">
        <v>5948</v>
      </c>
      <c r="B5642" t="s">
        <v>241</v>
      </c>
      <c r="C5642" t="s">
        <v>53</v>
      </c>
      <c r="D5642" s="49">
        <v>45634</v>
      </c>
      <c r="E5642" s="49">
        <v>45635</v>
      </c>
      <c r="F5642" s="49">
        <v>45636</v>
      </c>
      <c r="G5642" s="49">
        <v>45638</v>
      </c>
      <c r="H5642" s="49">
        <v>45639</v>
      </c>
      <c r="I5642" s="49">
        <v>45640</v>
      </c>
      <c r="J5642" t="s">
        <v>49</v>
      </c>
      <c r="K5642" s="33">
        <v>3700</v>
      </c>
      <c r="L5642" t="s">
        <v>60</v>
      </c>
      <c r="M5642" t="str">
        <f>_xlfn.XLOOKUP(Pipeline_tbl[[#This Row],[Rep_ID]],Dim_Reps!A:A,Dim_Reps!K:K)</f>
        <v>EUR</v>
      </c>
      <c r="N5642" s="33">
        <f>(_xlfn.XLOOKUP(Pipeline_tbl[[#This Row],[Rate_Code_Generalized]],Lookups!A:A,Lookups!B:B))*Pipeline_tbl[[#This Row],[Pipeline_Amount_USD]]</f>
        <v>3700</v>
      </c>
      <c r="O5642" t="str">
        <f>_xlfn.XLOOKUP(Pipeline_tbl[[#This Row],[Rep_ID]],Dim_Reps!A:A,Dim_Reps!B:B)</f>
        <v>Kenji Weber</v>
      </c>
      <c r="P5642" t="str">
        <f>_xlfn.XLOOKUP(Pipeline_tbl[[#This Row],[Rep_ID]],Dim_Reps!A:A,Dim_Reps!C:C)</f>
        <v>SDR / Inside Sales Rep</v>
      </c>
      <c r="Q5642" t="str">
        <f>_xlfn.XLOOKUP(Pipeline_tbl[[#This Row],[Rep_ID]],Dim_Reps!A:A,Dim_Reps!D:D)</f>
        <v>Inside Sales</v>
      </c>
      <c r="R5642" t="str">
        <f>_xlfn.XLOOKUP(Pipeline_tbl[[#This Row],[Rep_ID]],Dim_Reps!A:A,Dim_Reps!E:E)</f>
        <v>APAC</v>
      </c>
      <c r="S5642" t="str">
        <f>_xlfn.XLOOKUP(Pipeline_tbl[[#This Row],[Created_Date]],Dim_Date!A:A,Dim_Date!H:H)</f>
        <v>Dec 2024</v>
      </c>
      <c r="T5642" t="str">
        <f>IF(Pipeline_tbl[[#This Row],[Closed_Date]]=0,"",(_xlfn.XLOOKUP(Pipeline_tbl[[#This Row],[Closed_Date]],Dim_Date!A:A,Dim_Date!H:H)))</f>
        <v>Dec 2024</v>
      </c>
      <c r="U5642">
        <f>IF(Pipeline_tbl[[#This Row],[Closed_Date]]=0,"",Pipeline_tbl[[#This Row],[Closed_Date]]-Pipeline_tbl[[#This Row],[Created_Date]])</f>
        <v>6</v>
      </c>
    </row>
    <row r="5643" spans="1:21" ht="15" customHeight="1" x14ac:dyDescent="0.2">
      <c r="A5643" t="s">
        <v>5949</v>
      </c>
      <c r="B5643" t="s">
        <v>241</v>
      </c>
      <c r="C5643" t="s">
        <v>52</v>
      </c>
      <c r="D5643" s="49">
        <v>45631</v>
      </c>
      <c r="E5643" s="49">
        <v>45633</v>
      </c>
      <c r="I5643" s="49">
        <v>45646</v>
      </c>
      <c r="J5643" t="s">
        <v>49</v>
      </c>
      <c r="K5643" s="33">
        <v>4200</v>
      </c>
      <c r="L5643" t="s">
        <v>64</v>
      </c>
      <c r="M5643" t="str">
        <f>_xlfn.XLOOKUP(Pipeline_tbl[[#This Row],[Rep_ID]],Dim_Reps!A:A,Dim_Reps!K:K)</f>
        <v>EUR</v>
      </c>
      <c r="N5643" s="33">
        <f>(_xlfn.XLOOKUP(Pipeline_tbl[[#This Row],[Rate_Code_Generalized]],Lookups!A:A,Lookups!B:B))*Pipeline_tbl[[#This Row],[Pipeline_Amount_USD]]</f>
        <v>4200</v>
      </c>
      <c r="O5643" t="str">
        <f>_xlfn.XLOOKUP(Pipeline_tbl[[#This Row],[Rep_ID]],Dim_Reps!A:A,Dim_Reps!B:B)</f>
        <v>Kenji Weber</v>
      </c>
      <c r="P5643" t="str">
        <f>_xlfn.XLOOKUP(Pipeline_tbl[[#This Row],[Rep_ID]],Dim_Reps!A:A,Dim_Reps!C:C)</f>
        <v>SDR / Inside Sales Rep</v>
      </c>
      <c r="Q5643" t="str">
        <f>_xlfn.XLOOKUP(Pipeline_tbl[[#This Row],[Rep_ID]],Dim_Reps!A:A,Dim_Reps!D:D)</f>
        <v>Inside Sales</v>
      </c>
      <c r="R5643" t="str">
        <f>_xlfn.XLOOKUP(Pipeline_tbl[[#This Row],[Rep_ID]],Dim_Reps!A:A,Dim_Reps!E:E)</f>
        <v>APAC</v>
      </c>
      <c r="S5643" t="str">
        <f>_xlfn.XLOOKUP(Pipeline_tbl[[#This Row],[Created_Date]],Dim_Date!A:A,Dim_Date!H:H)</f>
        <v>Dec 2024</v>
      </c>
      <c r="T5643" t="str">
        <f>IF(Pipeline_tbl[[#This Row],[Closed_Date]]=0,"",(_xlfn.XLOOKUP(Pipeline_tbl[[#This Row],[Closed_Date]],Dim_Date!A:A,Dim_Date!H:H)))</f>
        <v>Dec 2024</v>
      </c>
      <c r="U5643">
        <f>IF(Pipeline_tbl[[#This Row],[Closed_Date]]=0,"",Pipeline_tbl[[#This Row],[Closed_Date]]-Pipeline_tbl[[#This Row],[Created_Date]])</f>
        <v>15</v>
      </c>
    </row>
    <row r="5644" spans="1:21" ht="15" customHeight="1" x14ac:dyDescent="0.2">
      <c r="A5644" t="s">
        <v>5950</v>
      </c>
      <c r="B5644" t="s">
        <v>241</v>
      </c>
      <c r="C5644" t="s">
        <v>56</v>
      </c>
      <c r="D5644" s="49">
        <v>45639</v>
      </c>
      <c r="E5644" s="49">
        <v>45641</v>
      </c>
      <c r="F5644" s="49">
        <v>45644</v>
      </c>
      <c r="G5644" s="49">
        <v>45649</v>
      </c>
      <c r="H5644" s="49">
        <v>45653</v>
      </c>
      <c r="I5644" s="49">
        <v>45655</v>
      </c>
      <c r="J5644" t="s">
        <v>49</v>
      </c>
      <c r="K5644" s="33">
        <v>4800</v>
      </c>
      <c r="L5644" t="s">
        <v>64</v>
      </c>
      <c r="M5644" t="str">
        <f>_xlfn.XLOOKUP(Pipeline_tbl[[#This Row],[Rep_ID]],Dim_Reps!A:A,Dim_Reps!K:K)</f>
        <v>EUR</v>
      </c>
      <c r="N5644" s="33">
        <f>(_xlfn.XLOOKUP(Pipeline_tbl[[#This Row],[Rate_Code_Generalized]],Lookups!A:A,Lookups!B:B))*Pipeline_tbl[[#This Row],[Pipeline_Amount_USD]]</f>
        <v>4800</v>
      </c>
      <c r="O5644" t="str">
        <f>_xlfn.XLOOKUP(Pipeline_tbl[[#This Row],[Rep_ID]],Dim_Reps!A:A,Dim_Reps!B:B)</f>
        <v>Kenji Weber</v>
      </c>
      <c r="P5644" t="str">
        <f>_xlfn.XLOOKUP(Pipeline_tbl[[#This Row],[Rep_ID]],Dim_Reps!A:A,Dim_Reps!C:C)</f>
        <v>SDR / Inside Sales Rep</v>
      </c>
      <c r="Q5644" t="str">
        <f>_xlfn.XLOOKUP(Pipeline_tbl[[#This Row],[Rep_ID]],Dim_Reps!A:A,Dim_Reps!D:D)</f>
        <v>Inside Sales</v>
      </c>
      <c r="R5644" t="str">
        <f>_xlfn.XLOOKUP(Pipeline_tbl[[#This Row],[Rep_ID]],Dim_Reps!A:A,Dim_Reps!E:E)</f>
        <v>APAC</v>
      </c>
      <c r="S5644" t="str">
        <f>_xlfn.XLOOKUP(Pipeline_tbl[[#This Row],[Created_Date]],Dim_Date!A:A,Dim_Date!H:H)</f>
        <v>Dec 2024</v>
      </c>
      <c r="T5644" t="str">
        <f>IF(Pipeline_tbl[[#This Row],[Closed_Date]]=0,"",(_xlfn.XLOOKUP(Pipeline_tbl[[#This Row],[Closed_Date]],Dim_Date!A:A,Dim_Date!H:H)))</f>
        <v>Dec 2024</v>
      </c>
      <c r="U5644">
        <f>IF(Pipeline_tbl[[#This Row],[Closed_Date]]=0,"",Pipeline_tbl[[#This Row],[Closed_Date]]-Pipeline_tbl[[#This Row],[Created_Date]])</f>
        <v>16</v>
      </c>
    </row>
    <row r="5645" spans="1:21" ht="15" customHeight="1" x14ac:dyDescent="0.2">
      <c r="A5645" t="s">
        <v>5951</v>
      </c>
      <c r="B5645" t="s">
        <v>241</v>
      </c>
      <c r="C5645" t="s">
        <v>55</v>
      </c>
      <c r="D5645" s="49">
        <v>45636</v>
      </c>
      <c r="E5645" s="49">
        <v>45637</v>
      </c>
      <c r="I5645" s="49">
        <v>45643</v>
      </c>
      <c r="J5645" t="s">
        <v>49</v>
      </c>
      <c r="K5645" s="33">
        <v>2000</v>
      </c>
      <c r="L5645" t="s">
        <v>62</v>
      </c>
      <c r="M5645" t="str">
        <f>_xlfn.XLOOKUP(Pipeline_tbl[[#This Row],[Rep_ID]],Dim_Reps!A:A,Dim_Reps!K:K)</f>
        <v>EUR</v>
      </c>
      <c r="N5645" s="33">
        <f>(_xlfn.XLOOKUP(Pipeline_tbl[[#This Row],[Rate_Code_Generalized]],Lookups!A:A,Lookups!B:B))*Pipeline_tbl[[#This Row],[Pipeline_Amount_USD]]</f>
        <v>2000</v>
      </c>
      <c r="O5645" t="str">
        <f>_xlfn.XLOOKUP(Pipeline_tbl[[#This Row],[Rep_ID]],Dim_Reps!A:A,Dim_Reps!B:B)</f>
        <v>Kenji Weber</v>
      </c>
      <c r="P5645" t="str">
        <f>_xlfn.XLOOKUP(Pipeline_tbl[[#This Row],[Rep_ID]],Dim_Reps!A:A,Dim_Reps!C:C)</f>
        <v>SDR / Inside Sales Rep</v>
      </c>
      <c r="Q5645" t="str">
        <f>_xlfn.XLOOKUP(Pipeline_tbl[[#This Row],[Rep_ID]],Dim_Reps!A:A,Dim_Reps!D:D)</f>
        <v>Inside Sales</v>
      </c>
      <c r="R5645" t="str">
        <f>_xlfn.XLOOKUP(Pipeline_tbl[[#This Row],[Rep_ID]],Dim_Reps!A:A,Dim_Reps!E:E)</f>
        <v>APAC</v>
      </c>
      <c r="S5645" t="str">
        <f>_xlfn.XLOOKUP(Pipeline_tbl[[#This Row],[Created_Date]],Dim_Date!A:A,Dim_Date!H:H)</f>
        <v>Dec 2024</v>
      </c>
      <c r="T5645" t="str">
        <f>IF(Pipeline_tbl[[#This Row],[Closed_Date]]=0,"",(_xlfn.XLOOKUP(Pipeline_tbl[[#This Row],[Closed_Date]],Dim_Date!A:A,Dim_Date!H:H)))</f>
        <v>Dec 2024</v>
      </c>
      <c r="U5645">
        <f>IF(Pipeline_tbl[[#This Row],[Closed_Date]]=0,"",Pipeline_tbl[[#This Row],[Closed_Date]]-Pipeline_tbl[[#This Row],[Created_Date]])</f>
        <v>7</v>
      </c>
    </row>
    <row r="5646" spans="1:21" ht="15" customHeight="1" x14ac:dyDescent="0.2">
      <c r="A5646" t="s">
        <v>5952</v>
      </c>
      <c r="B5646" t="s">
        <v>241</v>
      </c>
      <c r="C5646" t="s">
        <v>52</v>
      </c>
      <c r="D5646" s="49">
        <v>45647</v>
      </c>
      <c r="E5646" s="49">
        <v>45648</v>
      </c>
      <c r="F5646" s="49">
        <v>45650</v>
      </c>
      <c r="G5646" s="49">
        <v>45653</v>
      </c>
      <c r="H5646" s="49">
        <v>45655</v>
      </c>
      <c r="I5646" s="49">
        <v>45657</v>
      </c>
      <c r="J5646" t="s">
        <v>47</v>
      </c>
      <c r="K5646" s="33">
        <v>2600</v>
      </c>
      <c r="M5646" t="str">
        <f>_xlfn.XLOOKUP(Pipeline_tbl[[#This Row],[Rep_ID]],Dim_Reps!A:A,Dim_Reps!K:K)</f>
        <v>EUR</v>
      </c>
      <c r="N5646" s="33">
        <f>(_xlfn.XLOOKUP(Pipeline_tbl[[#This Row],[Rate_Code_Generalized]],Lookups!A:A,Lookups!B:B))*Pipeline_tbl[[#This Row],[Pipeline_Amount_USD]]</f>
        <v>2600</v>
      </c>
      <c r="O5646" t="str">
        <f>_xlfn.XLOOKUP(Pipeline_tbl[[#This Row],[Rep_ID]],Dim_Reps!A:A,Dim_Reps!B:B)</f>
        <v>Kenji Weber</v>
      </c>
      <c r="P5646" t="str">
        <f>_xlfn.XLOOKUP(Pipeline_tbl[[#This Row],[Rep_ID]],Dim_Reps!A:A,Dim_Reps!C:C)</f>
        <v>SDR / Inside Sales Rep</v>
      </c>
      <c r="Q5646" t="str">
        <f>_xlfn.XLOOKUP(Pipeline_tbl[[#This Row],[Rep_ID]],Dim_Reps!A:A,Dim_Reps!D:D)</f>
        <v>Inside Sales</v>
      </c>
      <c r="R5646" t="str">
        <f>_xlfn.XLOOKUP(Pipeline_tbl[[#This Row],[Rep_ID]],Dim_Reps!A:A,Dim_Reps!E:E)</f>
        <v>APAC</v>
      </c>
      <c r="S5646" t="str">
        <f>_xlfn.XLOOKUP(Pipeline_tbl[[#This Row],[Created_Date]],Dim_Date!A:A,Dim_Date!H:H)</f>
        <v>Dec 2024</v>
      </c>
      <c r="T5646" t="str">
        <f>IF(Pipeline_tbl[[#This Row],[Closed_Date]]=0,"",(_xlfn.XLOOKUP(Pipeline_tbl[[#This Row],[Closed_Date]],Dim_Date!A:A,Dim_Date!H:H)))</f>
        <v>Dec 2024</v>
      </c>
      <c r="U5646">
        <f>IF(Pipeline_tbl[[#This Row],[Closed_Date]]=0,"",Pipeline_tbl[[#This Row],[Closed_Date]]-Pipeline_tbl[[#This Row],[Created_Date]])</f>
        <v>10</v>
      </c>
    </row>
    <row r="5647" spans="1:21" ht="15" customHeight="1" x14ac:dyDescent="0.2">
      <c r="A5647" t="s">
        <v>5953</v>
      </c>
      <c r="B5647" t="s">
        <v>243</v>
      </c>
      <c r="C5647" t="s">
        <v>53</v>
      </c>
      <c r="D5647" s="49">
        <v>45647</v>
      </c>
      <c r="E5647" s="49">
        <v>45652</v>
      </c>
      <c r="F5647" s="49">
        <v>45661</v>
      </c>
      <c r="I5647" s="49">
        <v>45695</v>
      </c>
      <c r="J5647" t="s">
        <v>49</v>
      </c>
      <c r="K5647" s="33">
        <v>18000</v>
      </c>
      <c r="L5647" t="s">
        <v>60</v>
      </c>
      <c r="M5647" t="str">
        <f>_xlfn.XLOOKUP(Pipeline_tbl[[#This Row],[Rep_ID]],Dim_Reps!A:A,Dim_Reps!K:K)</f>
        <v>MXN</v>
      </c>
      <c r="N5647" s="33">
        <f>(_xlfn.XLOOKUP(Pipeline_tbl[[#This Row],[Rate_Code_Generalized]],Lookups!A:A,Lookups!B:B))*Pipeline_tbl[[#This Row],[Pipeline_Amount_USD]]</f>
        <v>355188.60000000003</v>
      </c>
      <c r="O5647" t="str">
        <f>_xlfn.XLOOKUP(Pipeline_tbl[[#This Row],[Rep_ID]],Dim_Reps!A:A,Dim_Reps!B:B)</f>
        <v>Jonas Sato</v>
      </c>
      <c r="P5647" t="str">
        <f>_xlfn.XLOOKUP(Pipeline_tbl[[#This Row],[Rep_ID]],Dim_Reps!A:A,Dim_Reps!C:C)</f>
        <v>Mid-Market AE</v>
      </c>
      <c r="Q5647" t="str">
        <f>_xlfn.XLOOKUP(Pipeline_tbl[[#This Row],[Rep_ID]],Dim_Reps!A:A,Dim_Reps!D:D)</f>
        <v>Mid-Market</v>
      </c>
      <c r="R5647" t="str">
        <f>_xlfn.XLOOKUP(Pipeline_tbl[[#This Row],[Rep_ID]],Dim_Reps!A:A,Dim_Reps!E:E)</f>
        <v>LATAM</v>
      </c>
      <c r="S5647" t="str">
        <f>_xlfn.XLOOKUP(Pipeline_tbl[[#This Row],[Created_Date]],Dim_Date!A:A,Dim_Date!H:H)</f>
        <v>Dec 2024</v>
      </c>
      <c r="T5647" t="str">
        <f>IF(Pipeline_tbl[[#This Row],[Closed_Date]]=0,"",(_xlfn.XLOOKUP(Pipeline_tbl[[#This Row],[Closed_Date]],Dim_Date!A:A,Dim_Date!H:H)))</f>
        <v>Feb 2025</v>
      </c>
      <c r="U5647">
        <f>IF(Pipeline_tbl[[#This Row],[Closed_Date]]=0,"",Pipeline_tbl[[#This Row],[Closed_Date]]-Pipeline_tbl[[#This Row],[Created_Date]])</f>
        <v>48</v>
      </c>
    </row>
    <row r="5648" spans="1:21" ht="15" customHeight="1" x14ac:dyDescent="0.2">
      <c r="A5648" t="s">
        <v>5954</v>
      </c>
      <c r="B5648" t="s">
        <v>243</v>
      </c>
      <c r="C5648" t="s">
        <v>52</v>
      </c>
      <c r="D5648" s="49">
        <v>45651</v>
      </c>
      <c r="E5648" s="49">
        <v>45655</v>
      </c>
      <c r="F5648" s="49">
        <v>45663</v>
      </c>
      <c r="G5648" s="49">
        <v>45674</v>
      </c>
      <c r="I5648" s="49">
        <v>45690</v>
      </c>
      <c r="J5648" t="s">
        <v>49</v>
      </c>
      <c r="K5648" s="33">
        <v>13700</v>
      </c>
      <c r="L5648" t="s">
        <v>62</v>
      </c>
      <c r="M5648" t="str">
        <f>_xlfn.XLOOKUP(Pipeline_tbl[[#This Row],[Rep_ID]],Dim_Reps!A:A,Dim_Reps!K:K)</f>
        <v>MXN</v>
      </c>
      <c r="N5648" s="33">
        <f>(_xlfn.XLOOKUP(Pipeline_tbl[[#This Row],[Rate_Code_Generalized]],Lookups!A:A,Lookups!B:B))*Pipeline_tbl[[#This Row],[Pipeline_Amount_USD]]</f>
        <v>270337.99</v>
      </c>
      <c r="O5648" t="str">
        <f>_xlfn.XLOOKUP(Pipeline_tbl[[#This Row],[Rep_ID]],Dim_Reps!A:A,Dim_Reps!B:B)</f>
        <v>Jonas Sato</v>
      </c>
      <c r="P5648" t="str">
        <f>_xlfn.XLOOKUP(Pipeline_tbl[[#This Row],[Rep_ID]],Dim_Reps!A:A,Dim_Reps!C:C)</f>
        <v>Mid-Market AE</v>
      </c>
      <c r="Q5648" t="str">
        <f>_xlfn.XLOOKUP(Pipeline_tbl[[#This Row],[Rep_ID]],Dim_Reps!A:A,Dim_Reps!D:D)</f>
        <v>Mid-Market</v>
      </c>
      <c r="R5648" t="str">
        <f>_xlfn.XLOOKUP(Pipeline_tbl[[#This Row],[Rep_ID]],Dim_Reps!A:A,Dim_Reps!E:E)</f>
        <v>LATAM</v>
      </c>
      <c r="S5648" t="str">
        <f>_xlfn.XLOOKUP(Pipeline_tbl[[#This Row],[Created_Date]],Dim_Date!A:A,Dim_Date!H:H)</f>
        <v>Dec 2024</v>
      </c>
      <c r="T5648" t="str">
        <f>IF(Pipeline_tbl[[#This Row],[Closed_Date]]=0,"",(_xlfn.XLOOKUP(Pipeline_tbl[[#This Row],[Closed_Date]],Dim_Date!A:A,Dim_Date!H:H)))</f>
        <v>Feb 2025</v>
      </c>
      <c r="U5648">
        <f>IF(Pipeline_tbl[[#This Row],[Closed_Date]]=0,"",Pipeline_tbl[[#This Row],[Closed_Date]]-Pipeline_tbl[[#This Row],[Created_Date]])</f>
        <v>39</v>
      </c>
    </row>
    <row r="5649" spans="1:21" ht="15" customHeight="1" x14ac:dyDescent="0.2">
      <c r="A5649" t="s">
        <v>5955</v>
      </c>
      <c r="B5649" t="s">
        <v>181</v>
      </c>
      <c r="C5649" t="s">
        <v>52</v>
      </c>
      <c r="D5649" s="49">
        <v>45637</v>
      </c>
      <c r="E5649" s="49">
        <v>45644</v>
      </c>
      <c r="F5649" s="49">
        <v>45658</v>
      </c>
      <c r="G5649" s="49">
        <v>45678</v>
      </c>
      <c r="H5649" s="49">
        <v>45696</v>
      </c>
      <c r="I5649" s="49">
        <v>45706</v>
      </c>
      <c r="J5649" t="s">
        <v>49</v>
      </c>
      <c r="K5649" s="33">
        <v>20700</v>
      </c>
      <c r="L5649" t="s">
        <v>61</v>
      </c>
      <c r="M5649" t="str">
        <f>_xlfn.XLOOKUP(Pipeline_tbl[[#This Row],[Rep_ID]],Dim_Reps!A:A,Dim_Reps!K:K)</f>
        <v>USD</v>
      </c>
      <c r="N5649" s="33">
        <f>(_xlfn.XLOOKUP(Pipeline_tbl[[#This Row],[Rate_Code_Generalized]],Lookups!A:A,Lookups!B:B))*Pipeline_tbl[[#This Row],[Pipeline_Amount_USD]]</f>
        <v>24101.01</v>
      </c>
      <c r="O5649" t="str">
        <f>_xlfn.XLOOKUP(Pipeline_tbl[[#This Row],[Rep_ID]],Dim_Reps!A:A,Dim_Reps!B:B)</f>
        <v>Milo Weber</v>
      </c>
      <c r="P5649" t="str">
        <f>_xlfn.XLOOKUP(Pipeline_tbl[[#This Row],[Rep_ID]],Dim_Reps!A:A,Dim_Reps!C:C)</f>
        <v>Enterprise AE</v>
      </c>
      <c r="Q5649" t="str">
        <f>_xlfn.XLOOKUP(Pipeline_tbl[[#This Row],[Rep_ID]],Dim_Reps!A:A,Dim_Reps!D:D)</f>
        <v>Enterprise</v>
      </c>
      <c r="R5649" t="str">
        <f>_xlfn.XLOOKUP(Pipeline_tbl[[#This Row],[Rep_ID]],Dim_Reps!A:A,Dim_Reps!E:E)</f>
        <v>NAMER</v>
      </c>
      <c r="S5649" t="str">
        <f>_xlfn.XLOOKUP(Pipeline_tbl[[#This Row],[Created_Date]],Dim_Date!A:A,Dim_Date!H:H)</f>
        <v>Dec 2024</v>
      </c>
      <c r="T5649" t="str">
        <f>IF(Pipeline_tbl[[#This Row],[Closed_Date]]=0,"",(_xlfn.XLOOKUP(Pipeline_tbl[[#This Row],[Closed_Date]],Dim_Date!A:A,Dim_Date!H:H)))</f>
        <v>Feb 2025</v>
      </c>
      <c r="U5649">
        <f>IF(Pipeline_tbl[[#This Row],[Closed_Date]]=0,"",Pipeline_tbl[[#This Row],[Closed_Date]]-Pipeline_tbl[[#This Row],[Created_Date]])</f>
        <v>69</v>
      </c>
    </row>
    <row r="5650" spans="1:21" ht="15" customHeight="1" x14ac:dyDescent="0.2">
      <c r="A5650" t="s">
        <v>5956</v>
      </c>
      <c r="B5650" t="s">
        <v>181</v>
      </c>
      <c r="C5650" t="s">
        <v>53</v>
      </c>
      <c r="D5650" s="49">
        <v>45630</v>
      </c>
      <c r="E5650" s="49">
        <v>45636</v>
      </c>
      <c r="F5650" s="49">
        <v>45648</v>
      </c>
      <c r="G5650" s="49">
        <v>45667</v>
      </c>
      <c r="H5650" s="49">
        <v>45682</v>
      </c>
      <c r="I5650" s="49">
        <v>45691</v>
      </c>
      <c r="J5650" t="s">
        <v>49</v>
      </c>
      <c r="K5650" s="33">
        <v>20000</v>
      </c>
      <c r="L5650" t="s">
        <v>60</v>
      </c>
      <c r="M5650" t="str">
        <f>_xlfn.XLOOKUP(Pipeline_tbl[[#This Row],[Rep_ID]],Dim_Reps!A:A,Dim_Reps!K:K)</f>
        <v>USD</v>
      </c>
      <c r="N5650" s="33">
        <f>(_xlfn.XLOOKUP(Pipeline_tbl[[#This Row],[Rate_Code_Generalized]],Lookups!A:A,Lookups!B:B))*Pipeline_tbl[[#This Row],[Pipeline_Amount_USD]]</f>
        <v>23285.999999999996</v>
      </c>
      <c r="O5650" t="str">
        <f>_xlfn.XLOOKUP(Pipeline_tbl[[#This Row],[Rep_ID]],Dim_Reps!A:A,Dim_Reps!B:B)</f>
        <v>Milo Weber</v>
      </c>
      <c r="P5650" t="str">
        <f>_xlfn.XLOOKUP(Pipeline_tbl[[#This Row],[Rep_ID]],Dim_Reps!A:A,Dim_Reps!C:C)</f>
        <v>Enterprise AE</v>
      </c>
      <c r="Q5650" t="str">
        <f>_xlfn.XLOOKUP(Pipeline_tbl[[#This Row],[Rep_ID]],Dim_Reps!A:A,Dim_Reps!D:D)</f>
        <v>Enterprise</v>
      </c>
      <c r="R5650" t="str">
        <f>_xlfn.XLOOKUP(Pipeline_tbl[[#This Row],[Rep_ID]],Dim_Reps!A:A,Dim_Reps!E:E)</f>
        <v>NAMER</v>
      </c>
      <c r="S5650" t="str">
        <f>_xlfn.XLOOKUP(Pipeline_tbl[[#This Row],[Created_Date]],Dim_Date!A:A,Dim_Date!H:H)</f>
        <v>Dec 2024</v>
      </c>
      <c r="T5650" t="str">
        <f>IF(Pipeline_tbl[[#This Row],[Closed_Date]]=0,"",(_xlfn.XLOOKUP(Pipeline_tbl[[#This Row],[Closed_Date]],Dim_Date!A:A,Dim_Date!H:H)))</f>
        <v>Feb 2025</v>
      </c>
      <c r="U5650">
        <f>IF(Pipeline_tbl[[#This Row],[Closed_Date]]=0,"",Pipeline_tbl[[#This Row],[Closed_Date]]-Pipeline_tbl[[#This Row],[Created_Date]])</f>
        <v>61</v>
      </c>
    </row>
    <row r="5651" spans="1:21" ht="15" customHeight="1" x14ac:dyDescent="0.2">
      <c r="A5651" t="s">
        <v>5957</v>
      </c>
      <c r="B5651" t="s">
        <v>183</v>
      </c>
      <c r="C5651" t="s">
        <v>53</v>
      </c>
      <c r="D5651" s="49">
        <v>45639</v>
      </c>
      <c r="E5651" s="49">
        <v>45646</v>
      </c>
      <c r="F5651" s="49">
        <v>45661</v>
      </c>
      <c r="G5651" s="49">
        <v>45683</v>
      </c>
      <c r="I5651" s="49">
        <v>45712</v>
      </c>
      <c r="J5651" t="s">
        <v>49</v>
      </c>
      <c r="K5651" s="33">
        <v>18300</v>
      </c>
      <c r="L5651" t="s">
        <v>62</v>
      </c>
      <c r="M5651" t="str">
        <f>_xlfn.XLOOKUP(Pipeline_tbl[[#This Row],[Rep_ID]],Dim_Reps!A:A,Dim_Reps!K:K)</f>
        <v>EUR</v>
      </c>
      <c r="N5651" s="33">
        <f>(_xlfn.XLOOKUP(Pipeline_tbl[[#This Row],[Rate_Code_Generalized]],Lookups!A:A,Lookups!B:B))*Pipeline_tbl[[#This Row],[Pipeline_Amount_USD]]</f>
        <v>18300</v>
      </c>
      <c r="O5651" t="str">
        <f>_xlfn.XLOOKUP(Pipeline_tbl[[#This Row],[Rep_ID]],Dim_Reps!A:A,Dim_Reps!B:B)</f>
        <v>Sam Schmidt</v>
      </c>
      <c r="P5651" t="str">
        <f>_xlfn.XLOOKUP(Pipeline_tbl[[#This Row],[Rep_ID]],Dim_Reps!A:A,Dim_Reps!C:C)</f>
        <v>Enterprise AE</v>
      </c>
      <c r="Q5651" t="str">
        <f>_xlfn.XLOOKUP(Pipeline_tbl[[#This Row],[Rep_ID]],Dim_Reps!A:A,Dim_Reps!D:D)</f>
        <v>Enterprise</v>
      </c>
      <c r="R5651" t="str">
        <f>_xlfn.XLOOKUP(Pipeline_tbl[[#This Row],[Rep_ID]],Dim_Reps!A:A,Dim_Reps!E:E)</f>
        <v>EMEA</v>
      </c>
      <c r="S5651" t="str">
        <f>_xlfn.XLOOKUP(Pipeline_tbl[[#This Row],[Created_Date]],Dim_Date!A:A,Dim_Date!H:H)</f>
        <v>Dec 2024</v>
      </c>
      <c r="T5651" t="str">
        <f>IF(Pipeline_tbl[[#This Row],[Closed_Date]]=0,"",(_xlfn.XLOOKUP(Pipeline_tbl[[#This Row],[Closed_Date]],Dim_Date!A:A,Dim_Date!H:H)))</f>
        <v>Feb 2025</v>
      </c>
      <c r="U5651">
        <f>IF(Pipeline_tbl[[#This Row],[Closed_Date]]=0,"",Pipeline_tbl[[#This Row],[Closed_Date]]-Pipeline_tbl[[#This Row],[Created_Date]])</f>
        <v>73</v>
      </c>
    </row>
    <row r="5652" spans="1:21" ht="15" customHeight="1" x14ac:dyDescent="0.2">
      <c r="A5652" t="s">
        <v>5958</v>
      </c>
      <c r="B5652" t="s">
        <v>183</v>
      </c>
      <c r="C5652" t="s">
        <v>53</v>
      </c>
      <c r="D5652" s="49">
        <v>45634</v>
      </c>
      <c r="E5652" s="49">
        <v>45640</v>
      </c>
      <c r="F5652" s="49">
        <v>45652</v>
      </c>
      <c r="G5652" s="49">
        <v>45670</v>
      </c>
      <c r="H5652" s="49">
        <v>45685</v>
      </c>
      <c r="I5652" s="49">
        <v>45694</v>
      </c>
      <c r="J5652" t="s">
        <v>49</v>
      </c>
      <c r="K5652" s="33">
        <v>49200</v>
      </c>
      <c r="L5652" t="s">
        <v>63</v>
      </c>
      <c r="M5652" t="str">
        <f>_xlfn.XLOOKUP(Pipeline_tbl[[#This Row],[Rep_ID]],Dim_Reps!A:A,Dim_Reps!K:K)</f>
        <v>EUR</v>
      </c>
      <c r="N5652" s="33">
        <f>(_xlfn.XLOOKUP(Pipeline_tbl[[#This Row],[Rate_Code_Generalized]],Lookups!A:A,Lookups!B:B))*Pipeline_tbl[[#This Row],[Pipeline_Amount_USD]]</f>
        <v>49200</v>
      </c>
      <c r="O5652" t="str">
        <f>_xlfn.XLOOKUP(Pipeline_tbl[[#This Row],[Rep_ID]],Dim_Reps!A:A,Dim_Reps!B:B)</f>
        <v>Sam Schmidt</v>
      </c>
      <c r="P5652" t="str">
        <f>_xlfn.XLOOKUP(Pipeline_tbl[[#This Row],[Rep_ID]],Dim_Reps!A:A,Dim_Reps!C:C)</f>
        <v>Enterprise AE</v>
      </c>
      <c r="Q5652" t="str">
        <f>_xlfn.XLOOKUP(Pipeline_tbl[[#This Row],[Rep_ID]],Dim_Reps!A:A,Dim_Reps!D:D)</f>
        <v>Enterprise</v>
      </c>
      <c r="R5652" t="str">
        <f>_xlfn.XLOOKUP(Pipeline_tbl[[#This Row],[Rep_ID]],Dim_Reps!A:A,Dim_Reps!E:E)</f>
        <v>EMEA</v>
      </c>
      <c r="S5652" t="str">
        <f>_xlfn.XLOOKUP(Pipeline_tbl[[#This Row],[Created_Date]],Dim_Date!A:A,Dim_Date!H:H)</f>
        <v>Dec 2024</v>
      </c>
      <c r="T5652" t="str">
        <f>IF(Pipeline_tbl[[#This Row],[Closed_Date]]=0,"",(_xlfn.XLOOKUP(Pipeline_tbl[[#This Row],[Closed_Date]],Dim_Date!A:A,Dim_Date!H:H)))</f>
        <v>Feb 2025</v>
      </c>
      <c r="U5652">
        <f>IF(Pipeline_tbl[[#This Row],[Closed_Date]]=0,"",Pipeline_tbl[[#This Row],[Closed_Date]]-Pipeline_tbl[[#This Row],[Created_Date]])</f>
        <v>60</v>
      </c>
    </row>
    <row r="5653" spans="1:21" ht="15" customHeight="1" x14ac:dyDescent="0.2">
      <c r="A5653" t="s">
        <v>5959</v>
      </c>
      <c r="B5653" t="s">
        <v>183</v>
      </c>
      <c r="C5653" t="s">
        <v>53</v>
      </c>
      <c r="D5653" s="49">
        <v>45654</v>
      </c>
      <c r="E5653" s="49">
        <v>45658</v>
      </c>
      <c r="F5653" s="49">
        <v>45665</v>
      </c>
      <c r="G5653" s="49">
        <v>45675</v>
      </c>
      <c r="I5653" s="49">
        <v>45689</v>
      </c>
      <c r="J5653" t="s">
        <v>49</v>
      </c>
      <c r="K5653" s="33">
        <v>25600</v>
      </c>
      <c r="L5653" t="s">
        <v>60</v>
      </c>
      <c r="M5653" t="str">
        <f>_xlfn.XLOOKUP(Pipeline_tbl[[#This Row],[Rep_ID]],Dim_Reps!A:A,Dim_Reps!K:K)</f>
        <v>EUR</v>
      </c>
      <c r="N5653" s="33">
        <f>(_xlfn.XLOOKUP(Pipeline_tbl[[#This Row],[Rate_Code_Generalized]],Lookups!A:A,Lookups!B:B))*Pipeline_tbl[[#This Row],[Pipeline_Amount_USD]]</f>
        <v>25600</v>
      </c>
      <c r="O5653" t="str">
        <f>_xlfn.XLOOKUP(Pipeline_tbl[[#This Row],[Rep_ID]],Dim_Reps!A:A,Dim_Reps!B:B)</f>
        <v>Sam Schmidt</v>
      </c>
      <c r="P5653" t="str">
        <f>_xlfn.XLOOKUP(Pipeline_tbl[[#This Row],[Rep_ID]],Dim_Reps!A:A,Dim_Reps!C:C)</f>
        <v>Enterprise AE</v>
      </c>
      <c r="Q5653" t="str">
        <f>_xlfn.XLOOKUP(Pipeline_tbl[[#This Row],[Rep_ID]],Dim_Reps!A:A,Dim_Reps!D:D)</f>
        <v>Enterprise</v>
      </c>
      <c r="R5653" t="str">
        <f>_xlfn.XLOOKUP(Pipeline_tbl[[#This Row],[Rep_ID]],Dim_Reps!A:A,Dim_Reps!E:E)</f>
        <v>EMEA</v>
      </c>
      <c r="S5653" t="str">
        <f>_xlfn.XLOOKUP(Pipeline_tbl[[#This Row],[Created_Date]],Dim_Date!A:A,Dim_Date!H:H)</f>
        <v>Dec 2024</v>
      </c>
      <c r="T5653" t="str">
        <f>IF(Pipeline_tbl[[#This Row],[Closed_Date]]=0,"",(_xlfn.XLOOKUP(Pipeline_tbl[[#This Row],[Closed_Date]],Dim_Date!A:A,Dim_Date!H:H)))</f>
        <v>Feb 2025</v>
      </c>
      <c r="U5653">
        <f>IF(Pipeline_tbl[[#This Row],[Closed_Date]]=0,"",Pipeline_tbl[[#This Row],[Closed_Date]]-Pipeline_tbl[[#This Row],[Created_Date]])</f>
        <v>35</v>
      </c>
    </row>
    <row r="5654" spans="1:21" ht="15" customHeight="1" x14ac:dyDescent="0.2">
      <c r="A5654" t="s">
        <v>5960</v>
      </c>
      <c r="B5654" t="s">
        <v>183</v>
      </c>
      <c r="C5654" t="s">
        <v>52</v>
      </c>
      <c r="D5654" s="49">
        <v>45640</v>
      </c>
      <c r="E5654" s="49">
        <v>45646</v>
      </c>
      <c r="F5654" s="49">
        <v>45659</v>
      </c>
      <c r="G5654" s="49">
        <v>45678</v>
      </c>
      <c r="H5654" s="49">
        <v>45694</v>
      </c>
      <c r="I5654" s="49">
        <v>45703</v>
      </c>
      <c r="J5654" t="s">
        <v>47</v>
      </c>
      <c r="K5654" s="33">
        <v>30400</v>
      </c>
      <c r="M5654" t="str">
        <f>_xlfn.XLOOKUP(Pipeline_tbl[[#This Row],[Rep_ID]],Dim_Reps!A:A,Dim_Reps!K:K)</f>
        <v>EUR</v>
      </c>
      <c r="N5654" s="33">
        <f>(_xlfn.XLOOKUP(Pipeline_tbl[[#This Row],[Rate_Code_Generalized]],Lookups!A:A,Lookups!B:B))*Pipeline_tbl[[#This Row],[Pipeline_Amount_USD]]</f>
        <v>30400</v>
      </c>
      <c r="O5654" t="str">
        <f>_xlfn.XLOOKUP(Pipeline_tbl[[#This Row],[Rep_ID]],Dim_Reps!A:A,Dim_Reps!B:B)</f>
        <v>Sam Schmidt</v>
      </c>
      <c r="P5654" t="str">
        <f>_xlfn.XLOOKUP(Pipeline_tbl[[#This Row],[Rep_ID]],Dim_Reps!A:A,Dim_Reps!C:C)</f>
        <v>Enterprise AE</v>
      </c>
      <c r="Q5654" t="str">
        <f>_xlfn.XLOOKUP(Pipeline_tbl[[#This Row],[Rep_ID]],Dim_Reps!A:A,Dim_Reps!D:D)</f>
        <v>Enterprise</v>
      </c>
      <c r="R5654" t="str">
        <f>_xlfn.XLOOKUP(Pipeline_tbl[[#This Row],[Rep_ID]],Dim_Reps!A:A,Dim_Reps!E:E)</f>
        <v>EMEA</v>
      </c>
      <c r="S5654" t="str">
        <f>_xlfn.XLOOKUP(Pipeline_tbl[[#This Row],[Created_Date]],Dim_Date!A:A,Dim_Date!H:H)</f>
        <v>Dec 2024</v>
      </c>
      <c r="T5654" t="str">
        <f>IF(Pipeline_tbl[[#This Row],[Closed_Date]]=0,"",(_xlfn.XLOOKUP(Pipeline_tbl[[#This Row],[Closed_Date]],Dim_Date!A:A,Dim_Date!H:H)))</f>
        <v>Feb 2025</v>
      </c>
      <c r="U5654">
        <f>IF(Pipeline_tbl[[#This Row],[Closed_Date]]=0,"",Pipeline_tbl[[#This Row],[Closed_Date]]-Pipeline_tbl[[#This Row],[Created_Date]])</f>
        <v>63</v>
      </c>
    </row>
    <row r="5655" spans="1:21" ht="15" customHeight="1" x14ac:dyDescent="0.2">
      <c r="A5655" t="s">
        <v>5961</v>
      </c>
      <c r="B5655" t="s">
        <v>185</v>
      </c>
      <c r="C5655" t="s">
        <v>56</v>
      </c>
      <c r="D5655" s="49">
        <v>45657</v>
      </c>
      <c r="E5655" s="49">
        <v>45663</v>
      </c>
      <c r="F5655" s="49">
        <v>45674</v>
      </c>
      <c r="G5655" s="49">
        <v>45690</v>
      </c>
      <c r="I5655" s="49">
        <v>45712</v>
      </c>
      <c r="J5655" t="s">
        <v>49</v>
      </c>
      <c r="K5655" s="33">
        <v>91000</v>
      </c>
      <c r="L5655" t="s">
        <v>61</v>
      </c>
      <c r="M5655" t="str">
        <f>_xlfn.XLOOKUP(Pipeline_tbl[[#This Row],[Rep_ID]],Dim_Reps!A:A,Dim_Reps!K:K)</f>
        <v>MXN</v>
      </c>
      <c r="N5655" s="33">
        <f>(_xlfn.XLOOKUP(Pipeline_tbl[[#This Row],[Rate_Code_Generalized]],Lookups!A:A,Lookups!B:B))*Pipeline_tbl[[#This Row],[Pipeline_Amount_USD]]</f>
        <v>1795675.7000000002</v>
      </c>
      <c r="O5655" t="str">
        <f>_xlfn.XLOOKUP(Pipeline_tbl[[#This Row],[Rep_ID]],Dim_Reps!A:A,Dim_Reps!B:B)</f>
        <v>Noah Kim</v>
      </c>
      <c r="P5655" t="str">
        <f>_xlfn.XLOOKUP(Pipeline_tbl[[#This Row],[Rep_ID]],Dim_Reps!A:A,Dim_Reps!C:C)</f>
        <v>Enterprise AE</v>
      </c>
      <c r="Q5655" t="str">
        <f>_xlfn.XLOOKUP(Pipeline_tbl[[#This Row],[Rep_ID]],Dim_Reps!A:A,Dim_Reps!D:D)</f>
        <v>Enterprise</v>
      </c>
      <c r="R5655" t="str">
        <f>_xlfn.XLOOKUP(Pipeline_tbl[[#This Row],[Rep_ID]],Dim_Reps!A:A,Dim_Reps!E:E)</f>
        <v>LATAM</v>
      </c>
      <c r="S5655" t="str">
        <f>_xlfn.XLOOKUP(Pipeline_tbl[[#This Row],[Created_Date]],Dim_Date!A:A,Dim_Date!H:H)</f>
        <v>Dec 2024</v>
      </c>
      <c r="T5655" t="str">
        <f>IF(Pipeline_tbl[[#This Row],[Closed_Date]]=0,"",(_xlfn.XLOOKUP(Pipeline_tbl[[#This Row],[Closed_Date]],Dim_Date!A:A,Dim_Date!H:H)))</f>
        <v>Feb 2025</v>
      </c>
      <c r="U5655">
        <f>IF(Pipeline_tbl[[#This Row],[Closed_Date]]=0,"",Pipeline_tbl[[#This Row],[Closed_Date]]-Pipeline_tbl[[#This Row],[Created_Date]])</f>
        <v>55</v>
      </c>
    </row>
    <row r="5656" spans="1:21" ht="15" customHeight="1" x14ac:dyDescent="0.2">
      <c r="A5656" t="s">
        <v>5962</v>
      </c>
      <c r="B5656" t="s">
        <v>185</v>
      </c>
      <c r="C5656" t="s">
        <v>53</v>
      </c>
      <c r="D5656" s="49">
        <v>45657</v>
      </c>
      <c r="E5656" s="49">
        <v>45663</v>
      </c>
      <c r="I5656" s="49">
        <v>45715</v>
      </c>
      <c r="J5656" t="s">
        <v>49</v>
      </c>
      <c r="K5656" s="33">
        <v>43100</v>
      </c>
      <c r="L5656" t="s">
        <v>60</v>
      </c>
      <c r="M5656" t="str">
        <f>_xlfn.XLOOKUP(Pipeline_tbl[[#This Row],[Rep_ID]],Dim_Reps!A:A,Dim_Reps!K:K)</f>
        <v>MXN</v>
      </c>
      <c r="N5656" s="33">
        <f>(_xlfn.XLOOKUP(Pipeline_tbl[[#This Row],[Rate_Code_Generalized]],Lookups!A:A,Lookups!B:B))*Pipeline_tbl[[#This Row],[Pipeline_Amount_USD]]</f>
        <v>850479.37</v>
      </c>
      <c r="O5656" t="str">
        <f>_xlfn.XLOOKUP(Pipeline_tbl[[#This Row],[Rep_ID]],Dim_Reps!A:A,Dim_Reps!B:B)</f>
        <v>Noah Kim</v>
      </c>
      <c r="P5656" t="str">
        <f>_xlfn.XLOOKUP(Pipeline_tbl[[#This Row],[Rep_ID]],Dim_Reps!A:A,Dim_Reps!C:C)</f>
        <v>Enterprise AE</v>
      </c>
      <c r="Q5656" t="str">
        <f>_xlfn.XLOOKUP(Pipeline_tbl[[#This Row],[Rep_ID]],Dim_Reps!A:A,Dim_Reps!D:D)</f>
        <v>Enterprise</v>
      </c>
      <c r="R5656" t="str">
        <f>_xlfn.XLOOKUP(Pipeline_tbl[[#This Row],[Rep_ID]],Dim_Reps!A:A,Dim_Reps!E:E)</f>
        <v>LATAM</v>
      </c>
      <c r="S5656" t="str">
        <f>_xlfn.XLOOKUP(Pipeline_tbl[[#This Row],[Created_Date]],Dim_Date!A:A,Dim_Date!H:H)</f>
        <v>Dec 2024</v>
      </c>
      <c r="T5656" t="str">
        <f>IF(Pipeline_tbl[[#This Row],[Closed_Date]]=0,"",(_xlfn.XLOOKUP(Pipeline_tbl[[#This Row],[Closed_Date]],Dim_Date!A:A,Dim_Date!H:H)))</f>
        <v>Feb 2025</v>
      </c>
      <c r="U5656">
        <f>IF(Pipeline_tbl[[#This Row],[Closed_Date]]=0,"",Pipeline_tbl[[#This Row],[Closed_Date]]-Pipeline_tbl[[#This Row],[Created_Date]])</f>
        <v>58</v>
      </c>
    </row>
    <row r="5657" spans="1:21" ht="15" customHeight="1" x14ac:dyDescent="0.2">
      <c r="A5657" t="s">
        <v>5963</v>
      </c>
      <c r="B5657" t="s">
        <v>185</v>
      </c>
      <c r="C5657" t="s">
        <v>52</v>
      </c>
      <c r="D5657" s="49">
        <v>45649</v>
      </c>
      <c r="E5657" s="49">
        <v>45655</v>
      </c>
      <c r="F5657" s="49">
        <v>45669</v>
      </c>
      <c r="G5657" s="49">
        <v>45688</v>
      </c>
      <c r="H5657" s="49">
        <v>45704</v>
      </c>
      <c r="I5657" s="49">
        <v>45714</v>
      </c>
      <c r="J5657" t="s">
        <v>49</v>
      </c>
      <c r="K5657" s="33">
        <v>29200</v>
      </c>
      <c r="L5657" t="s">
        <v>60</v>
      </c>
      <c r="M5657" t="str">
        <f>_xlfn.XLOOKUP(Pipeline_tbl[[#This Row],[Rep_ID]],Dim_Reps!A:A,Dim_Reps!K:K)</f>
        <v>MXN</v>
      </c>
      <c r="N5657" s="33">
        <f>(_xlfn.XLOOKUP(Pipeline_tbl[[#This Row],[Rate_Code_Generalized]],Lookups!A:A,Lookups!B:B))*Pipeline_tbl[[#This Row],[Pipeline_Amount_USD]]</f>
        <v>576194.84000000008</v>
      </c>
      <c r="O5657" t="str">
        <f>_xlfn.XLOOKUP(Pipeline_tbl[[#This Row],[Rep_ID]],Dim_Reps!A:A,Dim_Reps!B:B)</f>
        <v>Noah Kim</v>
      </c>
      <c r="P5657" t="str">
        <f>_xlfn.XLOOKUP(Pipeline_tbl[[#This Row],[Rep_ID]],Dim_Reps!A:A,Dim_Reps!C:C)</f>
        <v>Enterprise AE</v>
      </c>
      <c r="Q5657" t="str">
        <f>_xlfn.XLOOKUP(Pipeline_tbl[[#This Row],[Rep_ID]],Dim_Reps!A:A,Dim_Reps!D:D)</f>
        <v>Enterprise</v>
      </c>
      <c r="R5657" t="str">
        <f>_xlfn.XLOOKUP(Pipeline_tbl[[#This Row],[Rep_ID]],Dim_Reps!A:A,Dim_Reps!E:E)</f>
        <v>LATAM</v>
      </c>
      <c r="S5657" t="str">
        <f>_xlfn.XLOOKUP(Pipeline_tbl[[#This Row],[Created_Date]],Dim_Date!A:A,Dim_Date!H:H)</f>
        <v>Dec 2024</v>
      </c>
      <c r="T5657" t="str">
        <f>IF(Pipeline_tbl[[#This Row],[Closed_Date]]=0,"",(_xlfn.XLOOKUP(Pipeline_tbl[[#This Row],[Closed_Date]],Dim_Date!A:A,Dim_Date!H:H)))</f>
        <v>Feb 2025</v>
      </c>
      <c r="U5657">
        <f>IF(Pipeline_tbl[[#This Row],[Closed_Date]]=0,"",Pipeline_tbl[[#This Row],[Closed_Date]]-Pipeline_tbl[[#This Row],[Created_Date]])</f>
        <v>65</v>
      </c>
    </row>
    <row r="5658" spans="1:21" ht="15" customHeight="1" x14ac:dyDescent="0.2">
      <c r="A5658" t="s">
        <v>5964</v>
      </c>
      <c r="B5658" t="s">
        <v>185</v>
      </c>
      <c r="C5658" t="s">
        <v>55</v>
      </c>
      <c r="D5658" s="49">
        <v>45638</v>
      </c>
      <c r="E5658" s="49">
        <v>45644</v>
      </c>
      <c r="F5658" s="49">
        <v>45655</v>
      </c>
      <c r="I5658" s="49">
        <v>45696</v>
      </c>
      <c r="J5658" t="s">
        <v>49</v>
      </c>
      <c r="K5658" s="33">
        <v>36300</v>
      </c>
      <c r="L5658" t="s">
        <v>64</v>
      </c>
      <c r="M5658" t="str">
        <f>_xlfn.XLOOKUP(Pipeline_tbl[[#This Row],[Rep_ID]],Dim_Reps!A:A,Dim_Reps!K:K)</f>
        <v>MXN</v>
      </c>
      <c r="N5658" s="33">
        <f>(_xlfn.XLOOKUP(Pipeline_tbl[[#This Row],[Rate_Code_Generalized]],Lookups!A:A,Lookups!B:B))*Pipeline_tbl[[#This Row],[Pipeline_Amount_USD]]</f>
        <v>716297.01</v>
      </c>
      <c r="O5658" t="str">
        <f>_xlfn.XLOOKUP(Pipeline_tbl[[#This Row],[Rep_ID]],Dim_Reps!A:A,Dim_Reps!B:B)</f>
        <v>Noah Kim</v>
      </c>
      <c r="P5658" t="str">
        <f>_xlfn.XLOOKUP(Pipeline_tbl[[#This Row],[Rep_ID]],Dim_Reps!A:A,Dim_Reps!C:C)</f>
        <v>Enterprise AE</v>
      </c>
      <c r="Q5658" t="str">
        <f>_xlfn.XLOOKUP(Pipeline_tbl[[#This Row],[Rep_ID]],Dim_Reps!A:A,Dim_Reps!D:D)</f>
        <v>Enterprise</v>
      </c>
      <c r="R5658" t="str">
        <f>_xlfn.XLOOKUP(Pipeline_tbl[[#This Row],[Rep_ID]],Dim_Reps!A:A,Dim_Reps!E:E)</f>
        <v>LATAM</v>
      </c>
      <c r="S5658" t="str">
        <f>_xlfn.XLOOKUP(Pipeline_tbl[[#This Row],[Created_Date]],Dim_Date!A:A,Dim_Date!H:H)</f>
        <v>Dec 2024</v>
      </c>
      <c r="T5658" t="str">
        <f>IF(Pipeline_tbl[[#This Row],[Closed_Date]]=0,"",(_xlfn.XLOOKUP(Pipeline_tbl[[#This Row],[Closed_Date]],Dim_Date!A:A,Dim_Date!H:H)))</f>
        <v>Feb 2025</v>
      </c>
      <c r="U5658">
        <f>IF(Pipeline_tbl[[#This Row],[Closed_Date]]=0,"",Pipeline_tbl[[#This Row],[Closed_Date]]-Pipeline_tbl[[#This Row],[Created_Date]])</f>
        <v>58</v>
      </c>
    </row>
    <row r="5659" spans="1:21" ht="15" customHeight="1" x14ac:dyDescent="0.2">
      <c r="A5659" t="s">
        <v>5965</v>
      </c>
      <c r="B5659" t="s">
        <v>185</v>
      </c>
      <c r="C5659" t="s">
        <v>56</v>
      </c>
      <c r="D5659" s="49">
        <v>45633</v>
      </c>
      <c r="E5659" s="49">
        <v>45639</v>
      </c>
      <c r="F5659" s="49">
        <v>45650</v>
      </c>
      <c r="I5659" s="49">
        <v>45691</v>
      </c>
      <c r="J5659" t="s">
        <v>49</v>
      </c>
      <c r="K5659" s="33">
        <v>33500</v>
      </c>
      <c r="L5659" t="s">
        <v>61</v>
      </c>
      <c r="M5659" t="str">
        <f>_xlfn.XLOOKUP(Pipeline_tbl[[#This Row],[Rep_ID]],Dim_Reps!A:A,Dim_Reps!K:K)</f>
        <v>MXN</v>
      </c>
      <c r="N5659" s="33">
        <f>(_xlfn.XLOOKUP(Pipeline_tbl[[#This Row],[Rate_Code_Generalized]],Lookups!A:A,Lookups!B:B))*Pipeline_tbl[[#This Row],[Pipeline_Amount_USD]]</f>
        <v>661045.45000000007</v>
      </c>
      <c r="O5659" t="str">
        <f>_xlfn.XLOOKUP(Pipeline_tbl[[#This Row],[Rep_ID]],Dim_Reps!A:A,Dim_Reps!B:B)</f>
        <v>Noah Kim</v>
      </c>
      <c r="P5659" t="str">
        <f>_xlfn.XLOOKUP(Pipeline_tbl[[#This Row],[Rep_ID]],Dim_Reps!A:A,Dim_Reps!C:C)</f>
        <v>Enterprise AE</v>
      </c>
      <c r="Q5659" t="str">
        <f>_xlfn.XLOOKUP(Pipeline_tbl[[#This Row],[Rep_ID]],Dim_Reps!A:A,Dim_Reps!D:D)</f>
        <v>Enterprise</v>
      </c>
      <c r="R5659" t="str">
        <f>_xlfn.XLOOKUP(Pipeline_tbl[[#This Row],[Rep_ID]],Dim_Reps!A:A,Dim_Reps!E:E)</f>
        <v>LATAM</v>
      </c>
      <c r="S5659" t="str">
        <f>_xlfn.XLOOKUP(Pipeline_tbl[[#This Row],[Created_Date]],Dim_Date!A:A,Dim_Date!H:H)</f>
        <v>Dec 2024</v>
      </c>
      <c r="T5659" t="str">
        <f>IF(Pipeline_tbl[[#This Row],[Closed_Date]]=0,"",(_xlfn.XLOOKUP(Pipeline_tbl[[#This Row],[Closed_Date]],Dim_Date!A:A,Dim_Date!H:H)))</f>
        <v>Feb 2025</v>
      </c>
      <c r="U5659">
        <f>IF(Pipeline_tbl[[#This Row],[Closed_Date]]=0,"",Pipeline_tbl[[#This Row],[Closed_Date]]-Pipeline_tbl[[#This Row],[Created_Date]])</f>
        <v>58</v>
      </c>
    </row>
    <row r="5660" spans="1:21" ht="15" customHeight="1" x14ac:dyDescent="0.2">
      <c r="A5660" t="s">
        <v>5966</v>
      </c>
      <c r="B5660" t="s">
        <v>211</v>
      </c>
      <c r="C5660" t="s">
        <v>52</v>
      </c>
      <c r="D5660" s="49">
        <v>45657</v>
      </c>
      <c r="E5660" s="49">
        <v>45660</v>
      </c>
      <c r="F5660" s="49">
        <v>45667</v>
      </c>
      <c r="G5660" s="49">
        <v>45676</v>
      </c>
      <c r="H5660" s="49">
        <v>45684</v>
      </c>
      <c r="I5660" s="49">
        <v>45689</v>
      </c>
      <c r="J5660" t="s">
        <v>49</v>
      </c>
      <c r="K5660" s="33">
        <v>4700</v>
      </c>
      <c r="L5660" t="s">
        <v>64</v>
      </c>
      <c r="M5660" t="str">
        <f>_xlfn.XLOOKUP(Pipeline_tbl[[#This Row],[Rep_ID]],Dim_Reps!A:A,Dim_Reps!K:K)</f>
        <v>EUR</v>
      </c>
      <c r="N5660" s="33">
        <f>(_xlfn.XLOOKUP(Pipeline_tbl[[#This Row],[Rate_Code_Generalized]],Lookups!A:A,Lookups!B:B))*Pipeline_tbl[[#This Row],[Pipeline_Amount_USD]]</f>
        <v>4700</v>
      </c>
      <c r="O5660" t="str">
        <f>_xlfn.XLOOKUP(Pipeline_tbl[[#This Row],[Rep_ID]],Dim_Reps!A:A,Dim_Reps!B:B)</f>
        <v>Lea Weber</v>
      </c>
      <c r="P5660" t="str">
        <f>_xlfn.XLOOKUP(Pipeline_tbl[[#This Row],[Rep_ID]],Dim_Reps!A:A,Dim_Reps!C:C)</f>
        <v>SDR / Inside Sales Rep</v>
      </c>
      <c r="Q5660" t="str">
        <f>_xlfn.XLOOKUP(Pipeline_tbl[[#This Row],[Rep_ID]],Dim_Reps!A:A,Dim_Reps!D:D)</f>
        <v>Inside Sales</v>
      </c>
      <c r="R5660" t="str">
        <f>_xlfn.XLOOKUP(Pipeline_tbl[[#This Row],[Rep_ID]],Dim_Reps!A:A,Dim_Reps!E:E)</f>
        <v>EMEA</v>
      </c>
      <c r="S5660" t="str">
        <f>_xlfn.XLOOKUP(Pipeline_tbl[[#This Row],[Created_Date]],Dim_Date!A:A,Dim_Date!H:H)</f>
        <v>Dec 2024</v>
      </c>
      <c r="T5660" t="str">
        <f>IF(Pipeline_tbl[[#This Row],[Closed_Date]]=0,"",(_xlfn.XLOOKUP(Pipeline_tbl[[#This Row],[Closed_Date]],Dim_Date!A:A,Dim_Date!H:H)))</f>
        <v>Feb 2025</v>
      </c>
      <c r="U5660">
        <f>IF(Pipeline_tbl[[#This Row],[Closed_Date]]=0,"",Pipeline_tbl[[#This Row],[Closed_Date]]-Pipeline_tbl[[#This Row],[Created_Date]])</f>
        <v>32</v>
      </c>
    </row>
    <row r="5661" spans="1:21" ht="15" customHeight="1" x14ac:dyDescent="0.2">
      <c r="A5661" t="s">
        <v>5967</v>
      </c>
      <c r="B5661" t="s">
        <v>188</v>
      </c>
      <c r="C5661" t="s">
        <v>54</v>
      </c>
      <c r="D5661" s="49">
        <v>45627</v>
      </c>
      <c r="E5661" s="49">
        <v>45633</v>
      </c>
      <c r="F5661" s="49">
        <v>45646</v>
      </c>
      <c r="G5661" s="49">
        <v>45664</v>
      </c>
      <c r="H5661" s="49">
        <v>45680</v>
      </c>
      <c r="I5661" s="49">
        <v>45689</v>
      </c>
      <c r="J5661" t="s">
        <v>49</v>
      </c>
      <c r="K5661" s="33">
        <v>18200</v>
      </c>
      <c r="L5661" t="s">
        <v>64</v>
      </c>
      <c r="M5661" t="str">
        <f>_xlfn.XLOOKUP(Pipeline_tbl[[#This Row],[Rep_ID]],Dim_Reps!A:A,Dim_Reps!K:K)</f>
        <v>EUR</v>
      </c>
      <c r="N5661" s="33">
        <f>(_xlfn.XLOOKUP(Pipeline_tbl[[#This Row],[Rate_Code_Generalized]],Lookups!A:A,Lookups!B:B))*Pipeline_tbl[[#This Row],[Pipeline_Amount_USD]]</f>
        <v>18200</v>
      </c>
      <c r="O5661" t="str">
        <f>_xlfn.XLOOKUP(Pipeline_tbl[[#This Row],[Rep_ID]],Dim_Reps!A:A,Dim_Reps!B:B)</f>
        <v>Jamie Santos</v>
      </c>
      <c r="P5661" t="str">
        <f>_xlfn.XLOOKUP(Pipeline_tbl[[#This Row],[Rep_ID]],Dim_Reps!A:A,Dim_Reps!C:C)</f>
        <v>Enterprise AE</v>
      </c>
      <c r="Q5661" t="str">
        <f>_xlfn.XLOOKUP(Pipeline_tbl[[#This Row],[Rep_ID]],Dim_Reps!A:A,Dim_Reps!D:D)</f>
        <v>Enterprise</v>
      </c>
      <c r="R5661" t="str">
        <f>_xlfn.XLOOKUP(Pipeline_tbl[[#This Row],[Rep_ID]],Dim_Reps!A:A,Dim_Reps!E:E)</f>
        <v>APAC</v>
      </c>
      <c r="S5661" t="str">
        <f>_xlfn.XLOOKUP(Pipeline_tbl[[#This Row],[Created_Date]],Dim_Date!A:A,Dim_Date!H:H)</f>
        <v>Dec 2024</v>
      </c>
      <c r="T5661" t="str">
        <f>IF(Pipeline_tbl[[#This Row],[Closed_Date]]=0,"",(_xlfn.XLOOKUP(Pipeline_tbl[[#This Row],[Closed_Date]],Dim_Date!A:A,Dim_Date!H:H)))</f>
        <v>Feb 2025</v>
      </c>
      <c r="U5661">
        <f>IF(Pipeline_tbl[[#This Row],[Closed_Date]]=0,"",Pipeline_tbl[[#This Row],[Closed_Date]]-Pipeline_tbl[[#This Row],[Created_Date]])</f>
        <v>62</v>
      </c>
    </row>
    <row r="5662" spans="1:21" ht="15" customHeight="1" x14ac:dyDescent="0.2">
      <c r="A5662" t="s">
        <v>5968</v>
      </c>
      <c r="B5662" t="s">
        <v>188</v>
      </c>
      <c r="C5662" t="s">
        <v>53</v>
      </c>
      <c r="D5662" s="49">
        <v>45650</v>
      </c>
      <c r="E5662" s="49">
        <v>45656</v>
      </c>
      <c r="F5662" s="49">
        <v>45667</v>
      </c>
      <c r="I5662" s="49">
        <v>45707</v>
      </c>
      <c r="J5662" t="s">
        <v>49</v>
      </c>
      <c r="K5662" s="33">
        <v>22900</v>
      </c>
      <c r="L5662" t="s">
        <v>62</v>
      </c>
      <c r="M5662" t="str">
        <f>_xlfn.XLOOKUP(Pipeline_tbl[[#This Row],[Rep_ID]],Dim_Reps!A:A,Dim_Reps!K:K)</f>
        <v>EUR</v>
      </c>
      <c r="N5662" s="33">
        <f>(_xlfn.XLOOKUP(Pipeline_tbl[[#This Row],[Rate_Code_Generalized]],Lookups!A:A,Lookups!B:B))*Pipeline_tbl[[#This Row],[Pipeline_Amount_USD]]</f>
        <v>22900</v>
      </c>
      <c r="O5662" t="str">
        <f>_xlfn.XLOOKUP(Pipeline_tbl[[#This Row],[Rep_ID]],Dim_Reps!A:A,Dim_Reps!B:B)</f>
        <v>Jamie Santos</v>
      </c>
      <c r="P5662" t="str">
        <f>_xlfn.XLOOKUP(Pipeline_tbl[[#This Row],[Rep_ID]],Dim_Reps!A:A,Dim_Reps!C:C)</f>
        <v>Enterprise AE</v>
      </c>
      <c r="Q5662" t="str">
        <f>_xlfn.XLOOKUP(Pipeline_tbl[[#This Row],[Rep_ID]],Dim_Reps!A:A,Dim_Reps!D:D)</f>
        <v>Enterprise</v>
      </c>
      <c r="R5662" t="str">
        <f>_xlfn.XLOOKUP(Pipeline_tbl[[#This Row],[Rep_ID]],Dim_Reps!A:A,Dim_Reps!E:E)</f>
        <v>APAC</v>
      </c>
      <c r="S5662" t="str">
        <f>_xlfn.XLOOKUP(Pipeline_tbl[[#This Row],[Created_Date]],Dim_Date!A:A,Dim_Date!H:H)</f>
        <v>Dec 2024</v>
      </c>
      <c r="T5662" t="str">
        <f>IF(Pipeline_tbl[[#This Row],[Closed_Date]]=0,"",(_xlfn.XLOOKUP(Pipeline_tbl[[#This Row],[Closed_Date]],Dim_Date!A:A,Dim_Date!H:H)))</f>
        <v>Feb 2025</v>
      </c>
      <c r="U5662">
        <f>IF(Pipeline_tbl[[#This Row],[Closed_Date]]=0,"",Pipeline_tbl[[#This Row],[Closed_Date]]-Pipeline_tbl[[#This Row],[Created_Date]])</f>
        <v>57</v>
      </c>
    </row>
    <row r="5663" spans="1:21" ht="15" customHeight="1" x14ac:dyDescent="0.2">
      <c r="A5663" t="s">
        <v>5969</v>
      </c>
      <c r="B5663" t="s">
        <v>188</v>
      </c>
      <c r="C5663" t="s">
        <v>52</v>
      </c>
      <c r="D5663" s="49">
        <v>45637</v>
      </c>
      <c r="E5663" s="49">
        <v>45644</v>
      </c>
      <c r="F5663" s="49">
        <v>45657</v>
      </c>
      <c r="G5663" s="49">
        <v>45678</v>
      </c>
      <c r="H5663" s="49">
        <v>45695</v>
      </c>
      <c r="I5663" s="49">
        <v>45705</v>
      </c>
      <c r="J5663" t="s">
        <v>47</v>
      </c>
      <c r="K5663" s="33">
        <v>21000</v>
      </c>
      <c r="M5663" t="str">
        <f>_xlfn.XLOOKUP(Pipeline_tbl[[#This Row],[Rep_ID]],Dim_Reps!A:A,Dim_Reps!K:K)</f>
        <v>EUR</v>
      </c>
      <c r="N5663" s="33">
        <f>(_xlfn.XLOOKUP(Pipeline_tbl[[#This Row],[Rate_Code_Generalized]],Lookups!A:A,Lookups!B:B))*Pipeline_tbl[[#This Row],[Pipeline_Amount_USD]]</f>
        <v>21000</v>
      </c>
      <c r="O5663" t="str">
        <f>_xlfn.XLOOKUP(Pipeline_tbl[[#This Row],[Rep_ID]],Dim_Reps!A:A,Dim_Reps!B:B)</f>
        <v>Jamie Santos</v>
      </c>
      <c r="P5663" t="str">
        <f>_xlfn.XLOOKUP(Pipeline_tbl[[#This Row],[Rep_ID]],Dim_Reps!A:A,Dim_Reps!C:C)</f>
        <v>Enterprise AE</v>
      </c>
      <c r="Q5663" t="str">
        <f>_xlfn.XLOOKUP(Pipeline_tbl[[#This Row],[Rep_ID]],Dim_Reps!A:A,Dim_Reps!D:D)</f>
        <v>Enterprise</v>
      </c>
      <c r="R5663" t="str">
        <f>_xlfn.XLOOKUP(Pipeline_tbl[[#This Row],[Rep_ID]],Dim_Reps!A:A,Dim_Reps!E:E)</f>
        <v>APAC</v>
      </c>
      <c r="S5663" t="str">
        <f>_xlfn.XLOOKUP(Pipeline_tbl[[#This Row],[Created_Date]],Dim_Date!A:A,Dim_Date!H:H)</f>
        <v>Dec 2024</v>
      </c>
      <c r="T5663" t="str">
        <f>IF(Pipeline_tbl[[#This Row],[Closed_Date]]=0,"",(_xlfn.XLOOKUP(Pipeline_tbl[[#This Row],[Closed_Date]],Dim_Date!A:A,Dim_Date!H:H)))</f>
        <v>Feb 2025</v>
      </c>
      <c r="U5663">
        <f>IF(Pipeline_tbl[[#This Row],[Closed_Date]]=0,"",Pipeline_tbl[[#This Row],[Closed_Date]]-Pipeline_tbl[[#This Row],[Created_Date]])</f>
        <v>68</v>
      </c>
    </row>
    <row r="5664" spans="1:21" ht="15" customHeight="1" x14ac:dyDescent="0.2">
      <c r="A5664" t="s">
        <v>5970</v>
      </c>
      <c r="B5664" t="s">
        <v>188</v>
      </c>
      <c r="C5664" t="s">
        <v>53</v>
      </c>
      <c r="D5664" s="49">
        <v>45636</v>
      </c>
      <c r="E5664" s="49">
        <v>45642</v>
      </c>
      <c r="F5664" s="49">
        <v>45655</v>
      </c>
      <c r="I5664" s="49">
        <v>45700</v>
      </c>
      <c r="J5664" t="s">
        <v>49</v>
      </c>
      <c r="K5664" s="33">
        <v>36700</v>
      </c>
      <c r="L5664" t="s">
        <v>60</v>
      </c>
      <c r="M5664" t="str">
        <f>_xlfn.XLOOKUP(Pipeline_tbl[[#This Row],[Rep_ID]],Dim_Reps!A:A,Dim_Reps!K:K)</f>
        <v>EUR</v>
      </c>
      <c r="N5664" s="33">
        <f>(_xlfn.XLOOKUP(Pipeline_tbl[[#This Row],[Rate_Code_Generalized]],Lookups!A:A,Lookups!B:B))*Pipeline_tbl[[#This Row],[Pipeline_Amount_USD]]</f>
        <v>36700</v>
      </c>
      <c r="O5664" t="str">
        <f>_xlfn.XLOOKUP(Pipeline_tbl[[#This Row],[Rep_ID]],Dim_Reps!A:A,Dim_Reps!B:B)</f>
        <v>Jamie Santos</v>
      </c>
      <c r="P5664" t="str">
        <f>_xlfn.XLOOKUP(Pipeline_tbl[[#This Row],[Rep_ID]],Dim_Reps!A:A,Dim_Reps!C:C)</f>
        <v>Enterprise AE</v>
      </c>
      <c r="Q5664" t="str">
        <f>_xlfn.XLOOKUP(Pipeline_tbl[[#This Row],[Rep_ID]],Dim_Reps!A:A,Dim_Reps!D:D)</f>
        <v>Enterprise</v>
      </c>
      <c r="R5664" t="str">
        <f>_xlfn.XLOOKUP(Pipeline_tbl[[#This Row],[Rep_ID]],Dim_Reps!A:A,Dim_Reps!E:E)</f>
        <v>APAC</v>
      </c>
      <c r="S5664" t="str">
        <f>_xlfn.XLOOKUP(Pipeline_tbl[[#This Row],[Created_Date]],Dim_Date!A:A,Dim_Date!H:H)</f>
        <v>Dec 2024</v>
      </c>
      <c r="T5664" t="str">
        <f>IF(Pipeline_tbl[[#This Row],[Closed_Date]]=0,"",(_xlfn.XLOOKUP(Pipeline_tbl[[#This Row],[Closed_Date]],Dim_Date!A:A,Dim_Date!H:H)))</f>
        <v>Feb 2025</v>
      </c>
      <c r="U5664">
        <f>IF(Pipeline_tbl[[#This Row],[Closed_Date]]=0,"",Pipeline_tbl[[#This Row],[Closed_Date]]-Pipeline_tbl[[#This Row],[Created_Date]])</f>
        <v>64</v>
      </c>
    </row>
    <row r="5665" spans="1:21" ht="15" customHeight="1" x14ac:dyDescent="0.2">
      <c r="A5665" t="s">
        <v>5971</v>
      </c>
      <c r="B5665" t="s">
        <v>188</v>
      </c>
      <c r="C5665" t="s">
        <v>54</v>
      </c>
      <c r="D5665" s="49">
        <v>45645</v>
      </c>
      <c r="E5665" s="49">
        <v>45652</v>
      </c>
      <c r="F5665" s="49">
        <v>45666</v>
      </c>
      <c r="I5665" s="49">
        <v>45714</v>
      </c>
      <c r="J5665" t="s">
        <v>49</v>
      </c>
      <c r="K5665" s="33">
        <v>22500</v>
      </c>
      <c r="L5665" t="s">
        <v>63</v>
      </c>
      <c r="M5665" t="str">
        <f>_xlfn.XLOOKUP(Pipeline_tbl[[#This Row],[Rep_ID]],Dim_Reps!A:A,Dim_Reps!K:K)</f>
        <v>EUR</v>
      </c>
      <c r="N5665" s="33">
        <f>(_xlfn.XLOOKUP(Pipeline_tbl[[#This Row],[Rate_Code_Generalized]],Lookups!A:A,Lookups!B:B))*Pipeline_tbl[[#This Row],[Pipeline_Amount_USD]]</f>
        <v>22500</v>
      </c>
      <c r="O5665" t="str">
        <f>_xlfn.XLOOKUP(Pipeline_tbl[[#This Row],[Rep_ID]],Dim_Reps!A:A,Dim_Reps!B:B)</f>
        <v>Jamie Santos</v>
      </c>
      <c r="P5665" t="str">
        <f>_xlfn.XLOOKUP(Pipeline_tbl[[#This Row],[Rep_ID]],Dim_Reps!A:A,Dim_Reps!C:C)</f>
        <v>Enterprise AE</v>
      </c>
      <c r="Q5665" t="str">
        <f>_xlfn.XLOOKUP(Pipeline_tbl[[#This Row],[Rep_ID]],Dim_Reps!A:A,Dim_Reps!D:D)</f>
        <v>Enterprise</v>
      </c>
      <c r="R5665" t="str">
        <f>_xlfn.XLOOKUP(Pipeline_tbl[[#This Row],[Rep_ID]],Dim_Reps!A:A,Dim_Reps!E:E)</f>
        <v>APAC</v>
      </c>
      <c r="S5665" t="str">
        <f>_xlfn.XLOOKUP(Pipeline_tbl[[#This Row],[Created_Date]],Dim_Date!A:A,Dim_Date!H:H)</f>
        <v>Dec 2024</v>
      </c>
      <c r="T5665" t="str">
        <f>IF(Pipeline_tbl[[#This Row],[Closed_Date]]=0,"",(_xlfn.XLOOKUP(Pipeline_tbl[[#This Row],[Closed_Date]],Dim_Date!A:A,Dim_Date!H:H)))</f>
        <v>Feb 2025</v>
      </c>
      <c r="U5665">
        <f>IF(Pipeline_tbl[[#This Row],[Closed_Date]]=0,"",Pipeline_tbl[[#This Row],[Closed_Date]]-Pipeline_tbl[[#This Row],[Created_Date]])</f>
        <v>69</v>
      </c>
    </row>
    <row r="5666" spans="1:21" ht="15" customHeight="1" x14ac:dyDescent="0.2">
      <c r="A5666" t="s">
        <v>5972</v>
      </c>
      <c r="B5666" t="s">
        <v>188</v>
      </c>
      <c r="C5666" t="s">
        <v>52</v>
      </c>
      <c r="D5666" s="49">
        <v>45633</v>
      </c>
      <c r="E5666" s="49">
        <v>45639</v>
      </c>
      <c r="F5666" s="49">
        <v>45652</v>
      </c>
      <c r="G5666" s="49">
        <v>45671</v>
      </c>
      <c r="I5666" s="49">
        <v>45697</v>
      </c>
      <c r="J5666" t="s">
        <v>49</v>
      </c>
      <c r="K5666" s="33">
        <v>17800</v>
      </c>
      <c r="L5666" t="s">
        <v>62</v>
      </c>
      <c r="M5666" t="str">
        <f>_xlfn.XLOOKUP(Pipeline_tbl[[#This Row],[Rep_ID]],Dim_Reps!A:A,Dim_Reps!K:K)</f>
        <v>EUR</v>
      </c>
      <c r="N5666" s="33">
        <f>(_xlfn.XLOOKUP(Pipeline_tbl[[#This Row],[Rate_Code_Generalized]],Lookups!A:A,Lookups!B:B))*Pipeline_tbl[[#This Row],[Pipeline_Amount_USD]]</f>
        <v>17800</v>
      </c>
      <c r="O5666" t="str">
        <f>_xlfn.XLOOKUP(Pipeline_tbl[[#This Row],[Rep_ID]],Dim_Reps!A:A,Dim_Reps!B:B)</f>
        <v>Jamie Santos</v>
      </c>
      <c r="P5666" t="str">
        <f>_xlfn.XLOOKUP(Pipeline_tbl[[#This Row],[Rep_ID]],Dim_Reps!A:A,Dim_Reps!C:C)</f>
        <v>Enterprise AE</v>
      </c>
      <c r="Q5666" t="str">
        <f>_xlfn.XLOOKUP(Pipeline_tbl[[#This Row],[Rep_ID]],Dim_Reps!A:A,Dim_Reps!D:D)</f>
        <v>Enterprise</v>
      </c>
      <c r="R5666" t="str">
        <f>_xlfn.XLOOKUP(Pipeline_tbl[[#This Row],[Rep_ID]],Dim_Reps!A:A,Dim_Reps!E:E)</f>
        <v>APAC</v>
      </c>
      <c r="S5666" t="str">
        <f>_xlfn.XLOOKUP(Pipeline_tbl[[#This Row],[Created_Date]],Dim_Date!A:A,Dim_Date!H:H)</f>
        <v>Dec 2024</v>
      </c>
      <c r="T5666" t="str">
        <f>IF(Pipeline_tbl[[#This Row],[Closed_Date]]=0,"",(_xlfn.XLOOKUP(Pipeline_tbl[[#This Row],[Closed_Date]],Dim_Date!A:A,Dim_Date!H:H)))</f>
        <v>Feb 2025</v>
      </c>
      <c r="U5666">
        <f>IF(Pipeline_tbl[[#This Row],[Closed_Date]]=0,"",Pipeline_tbl[[#This Row],[Closed_Date]]-Pipeline_tbl[[#This Row],[Created_Date]])</f>
        <v>64</v>
      </c>
    </row>
    <row r="5667" spans="1:21" ht="15" customHeight="1" x14ac:dyDescent="0.2">
      <c r="A5667" t="s">
        <v>5973</v>
      </c>
      <c r="B5667" t="s">
        <v>280</v>
      </c>
      <c r="C5667" t="s">
        <v>52</v>
      </c>
      <c r="D5667" s="49">
        <v>45629</v>
      </c>
      <c r="E5667" s="49">
        <v>45635</v>
      </c>
      <c r="F5667" s="49">
        <v>45647</v>
      </c>
      <c r="I5667" s="49">
        <v>45690</v>
      </c>
      <c r="J5667" t="s">
        <v>49</v>
      </c>
      <c r="K5667" s="33">
        <v>45700</v>
      </c>
      <c r="L5667" t="s">
        <v>63</v>
      </c>
      <c r="M5667" t="str">
        <f>_xlfn.XLOOKUP(Pipeline_tbl[[#This Row],[Rep_ID]],Dim_Reps!A:A,Dim_Reps!K:K)</f>
        <v>MXN</v>
      </c>
      <c r="N5667" s="33">
        <f>(_xlfn.XLOOKUP(Pipeline_tbl[[#This Row],[Rate_Code_Generalized]],Lookups!A:A,Lookups!B:B))*Pipeline_tbl[[#This Row],[Pipeline_Amount_USD]]</f>
        <v>901784.39</v>
      </c>
      <c r="O5667" t="str">
        <f>_xlfn.XLOOKUP(Pipeline_tbl[[#This Row],[Rep_ID]],Dim_Reps!A:A,Dim_Reps!B:B)</f>
        <v>Cameron Lund</v>
      </c>
      <c r="P5667" t="str">
        <f>_xlfn.XLOOKUP(Pipeline_tbl[[#This Row],[Rep_ID]],Dim_Reps!A:A,Dim_Reps!C:C)</f>
        <v>Senior Enterprise AE</v>
      </c>
      <c r="Q5667" t="str">
        <f>_xlfn.XLOOKUP(Pipeline_tbl[[#This Row],[Rep_ID]],Dim_Reps!A:A,Dim_Reps!D:D)</f>
        <v>Strategic</v>
      </c>
      <c r="R5667" t="str">
        <f>_xlfn.XLOOKUP(Pipeline_tbl[[#This Row],[Rep_ID]],Dim_Reps!A:A,Dim_Reps!E:E)</f>
        <v>LATAM</v>
      </c>
      <c r="S5667" t="str">
        <f>_xlfn.XLOOKUP(Pipeline_tbl[[#This Row],[Created_Date]],Dim_Date!A:A,Dim_Date!H:H)</f>
        <v>Dec 2024</v>
      </c>
      <c r="T5667" t="str">
        <f>IF(Pipeline_tbl[[#This Row],[Closed_Date]]=0,"",(_xlfn.XLOOKUP(Pipeline_tbl[[#This Row],[Closed_Date]],Dim_Date!A:A,Dim_Date!H:H)))</f>
        <v>Feb 2025</v>
      </c>
      <c r="U5667">
        <f>IF(Pipeline_tbl[[#This Row],[Closed_Date]]=0,"",Pipeline_tbl[[#This Row],[Closed_Date]]-Pipeline_tbl[[#This Row],[Created_Date]])</f>
        <v>61</v>
      </c>
    </row>
    <row r="5668" spans="1:21" ht="15" customHeight="1" x14ac:dyDescent="0.2">
      <c r="A5668" t="s">
        <v>5974</v>
      </c>
      <c r="B5668" t="s">
        <v>282</v>
      </c>
      <c r="C5668" t="s">
        <v>52</v>
      </c>
      <c r="D5668" s="49">
        <v>45630</v>
      </c>
      <c r="E5668" s="49">
        <v>45636</v>
      </c>
      <c r="F5668" s="49">
        <v>45650</v>
      </c>
      <c r="G5668" s="49">
        <v>45669</v>
      </c>
      <c r="I5668" s="49">
        <v>45695</v>
      </c>
      <c r="J5668" t="s">
        <v>49</v>
      </c>
      <c r="K5668" s="33">
        <v>78400</v>
      </c>
      <c r="L5668" t="s">
        <v>60</v>
      </c>
      <c r="M5668" t="str">
        <f>_xlfn.XLOOKUP(Pipeline_tbl[[#This Row],[Rep_ID]],Dim_Reps!A:A,Dim_Reps!K:K)</f>
        <v>USD</v>
      </c>
      <c r="N5668" s="33">
        <f>(_xlfn.XLOOKUP(Pipeline_tbl[[#This Row],[Rate_Code_Generalized]],Lookups!A:A,Lookups!B:B))*Pipeline_tbl[[#This Row],[Pipeline_Amount_USD]]</f>
        <v>91281.12</v>
      </c>
      <c r="O5668" t="str">
        <f>_xlfn.XLOOKUP(Pipeline_tbl[[#This Row],[Rep_ID]],Dim_Reps!A:A,Dim_Reps!B:B)</f>
        <v>Fatima Rossi</v>
      </c>
      <c r="P5668" t="str">
        <f>_xlfn.XLOOKUP(Pipeline_tbl[[#This Row],[Rep_ID]],Dim_Reps!A:A,Dim_Reps!C:C)</f>
        <v>Senior Enterprise AE</v>
      </c>
      <c r="Q5668" t="str">
        <f>_xlfn.XLOOKUP(Pipeline_tbl[[#This Row],[Rep_ID]],Dim_Reps!A:A,Dim_Reps!D:D)</f>
        <v>Strategic</v>
      </c>
      <c r="R5668" t="str">
        <f>_xlfn.XLOOKUP(Pipeline_tbl[[#This Row],[Rep_ID]],Dim_Reps!A:A,Dim_Reps!E:E)</f>
        <v>NAMER</v>
      </c>
      <c r="S5668" t="str">
        <f>_xlfn.XLOOKUP(Pipeline_tbl[[#This Row],[Created_Date]],Dim_Date!A:A,Dim_Date!H:H)</f>
        <v>Dec 2024</v>
      </c>
      <c r="T5668" t="str">
        <f>IF(Pipeline_tbl[[#This Row],[Closed_Date]]=0,"",(_xlfn.XLOOKUP(Pipeline_tbl[[#This Row],[Closed_Date]],Dim_Date!A:A,Dim_Date!H:H)))</f>
        <v>Feb 2025</v>
      </c>
      <c r="U5668">
        <f>IF(Pipeline_tbl[[#This Row],[Closed_Date]]=0,"",Pipeline_tbl[[#This Row],[Closed_Date]]-Pipeline_tbl[[#This Row],[Created_Date]])</f>
        <v>65</v>
      </c>
    </row>
    <row r="5669" spans="1:21" ht="15" customHeight="1" x14ac:dyDescent="0.2">
      <c r="A5669" t="s">
        <v>5975</v>
      </c>
      <c r="B5669" t="s">
        <v>282</v>
      </c>
      <c r="C5669" t="s">
        <v>55</v>
      </c>
      <c r="D5669" s="49">
        <v>45631</v>
      </c>
      <c r="E5669" s="49">
        <v>45639</v>
      </c>
      <c r="F5669" s="49">
        <v>45654</v>
      </c>
      <c r="G5669" s="49">
        <v>45677</v>
      </c>
      <c r="H5669" s="49">
        <v>45696</v>
      </c>
      <c r="I5669" s="49">
        <v>45708</v>
      </c>
      <c r="J5669" t="s">
        <v>47</v>
      </c>
      <c r="K5669" s="33">
        <v>69800</v>
      </c>
      <c r="M5669" t="str">
        <f>_xlfn.XLOOKUP(Pipeline_tbl[[#This Row],[Rep_ID]],Dim_Reps!A:A,Dim_Reps!K:K)</f>
        <v>USD</v>
      </c>
      <c r="N5669" s="33">
        <f>(_xlfn.XLOOKUP(Pipeline_tbl[[#This Row],[Rate_Code_Generalized]],Lookups!A:A,Lookups!B:B))*Pipeline_tbl[[#This Row],[Pipeline_Amount_USD]]</f>
        <v>81268.14</v>
      </c>
      <c r="O5669" t="str">
        <f>_xlfn.XLOOKUP(Pipeline_tbl[[#This Row],[Rep_ID]],Dim_Reps!A:A,Dim_Reps!B:B)</f>
        <v>Fatima Rossi</v>
      </c>
      <c r="P5669" t="str">
        <f>_xlfn.XLOOKUP(Pipeline_tbl[[#This Row],[Rep_ID]],Dim_Reps!A:A,Dim_Reps!C:C)</f>
        <v>Senior Enterprise AE</v>
      </c>
      <c r="Q5669" t="str">
        <f>_xlfn.XLOOKUP(Pipeline_tbl[[#This Row],[Rep_ID]],Dim_Reps!A:A,Dim_Reps!D:D)</f>
        <v>Strategic</v>
      </c>
      <c r="R5669" t="str">
        <f>_xlfn.XLOOKUP(Pipeline_tbl[[#This Row],[Rep_ID]],Dim_Reps!A:A,Dim_Reps!E:E)</f>
        <v>NAMER</v>
      </c>
      <c r="S5669" t="str">
        <f>_xlfn.XLOOKUP(Pipeline_tbl[[#This Row],[Created_Date]],Dim_Date!A:A,Dim_Date!H:H)</f>
        <v>Dec 2024</v>
      </c>
      <c r="T5669" t="str">
        <f>IF(Pipeline_tbl[[#This Row],[Closed_Date]]=0,"",(_xlfn.XLOOKUP(Pipeline_tbl[[#This Row],[Closed_Date]],Dim_Date!A:A,Dim_Date!H:H)))</f>
        <v>Feb 2025</v>
      </c>
      <c r="U5669">
        <f>IF(Pipeline_tbl[[#This Row],[Closed_Date]]=0,"",Pipeline_tbl[[#This Row],[Closed_Date]]-Pipeline_tbl[[#This Row],[Created_Date]])</f>
        <v>77</v>
      </c>
    </row>
    <row r="5670" spans="1:21" ht="15" customHeight="1" x14ac:dyDescent="0.2">
      <c r="A5670" t="s">
        <v>5976</v>
      </c>
      <c r="B5670" t="s">
        <v>191</v>
      </c>
      <c r="C5670" t="s">
        <v>55</v>
      </c>
      <c r="D5670" s="49">
        <v>45648</v>
      </c>
      <c r="E5670" s="49">
        <v>45652</v>
      </c>
      <c r="F5670" s="49">
        <v>45661</v>
      </c>
      <c r="G5670" s="49">
        <v>45674</v>
      </c>
      <c r="H5670" s="49">
        <v>45685</v>
      </c>
      <c r="I5670" s="49">
        <v>45692</v>
      </c>
      <c r="J5670" t="s">
        <v>49</v>
      </c>
      <c r="K5670" s="33">
        <v>23500</v>
      </c>
      <c r="L5670" t="s">
        <v>62</v>
      </c>
      <c r="M5670" t="str">
        <f>_xlfn.XLOOKUP(Pipeline_tbl[[#This Row],[Rep_ID]],Dim_Reps!A:A,Dim_Reps!K:K)</f>
        <v>USD</v>
      </c>
      <c r="N5670" s="33">
        <f>(_xlfn.XLOOKUP(Pipeline_tbl[[#This Row],[Rate_Code_Generalized]],Lookups!A:A,Lookups!B:B))*Pipeline_tbl[[#This Row],[Pipeline_Amount_USD]]</f>
        <v>27361.049999999996</v>
      </c>
      <c r="O5670" t="str">
        <f>_xlfn.XLOOKUP(Pipeline_tbl[[#This Row],[Rep_ID]],Dim_Reps!A:A,Dim_Reps!B:B)</f>
        <v>Zara Duarte</v>
      </c>
      <c r="P5670" t="str">
        <f>_xlfn.XLOOKUP(Pipeline_tbl[[#This Row],[Rep_ID]],Dim_Reps!A:A,Dim_Reps!C:C)</f>
        <v>Enterprise AE</v>
      </c>
      <c r="Q5670" t="str">
        <f>_xlfn.XLOOKUP(Pipeline_tbl[[#This Row],[Rep_ID]],Dim_Reps!A:A,Dim_Reps!D:D)</f>
        <v>Enterprise</v>
      </c>
      <c r="R5670" t="str">
        <f>_xlfn.XLOOKUP(Pipeline_tbl[[#This Row],[Rep_ID]],Dim_Reps!A:A,Dim_Reps!E:E)</f>
        <v>NAMER</v>
      </c>
      <c r="S5670" t="str">
        <f>_xlfn.XLOOKUP(Pipeline_tbl[[#This Row],[Created_Date]],Dim_Date!A:A,Dim_Date!H:H)</f>
        <v>Dec 2024</v>
      </c>
      <c r="T5670" t="str">
        <f>IF(Pipeline_tbl[[#This Row],[Closed_Date]]=0,"",(_xlfn.XLOOKUP(Pipeline_tbl[[#This Row],[Closed_Date]],Dim_Date!A:A,Dim_Date!H:H)))</f>
        <v>Feb 2025</v>
      </c>
      <c r="U5670">
        <f>IF(Pipeline_tbl[[#This Row],[Closed_Date]]=0,"",Pipeline_tbl[[#This Row],[Closed_Date]]-Pipeline_tbl[[#This Row],[Created_Date]])</f>
        <v>44</v>
      </c>
    </row>
    <row r="5671" spans="1:21" ht="15" customHeight="1" x14ac:dyDescent="0.2">
      <c r="A5671" t="s">
        <v>5977</v>
      </c>
      <c r="B5671" t="s">
        <v>265</v>
      </c>
      <c r="C5671" t="s">
        <v>52</v>
      </c>
      <c r="D5671" s="49">
        <v>45652</v>
      </c>
      <c r="E5671" s="49">
        <v>45656</v>
      </c>
      <c r="F5671" s="49">
        <v>45665</v>
      </c>
      <c r="I5671" s="49">
        <v>45694</v>
      </c>
      <c r="J5671" t="s">
        <v>49</v>
      </c>
      <c r="K5671" s="33">
        <v>14200</v>
      </c>
      <c r="L5671" t="s">
        <v>60</v>
      </c>
      <c r="M5671" t="str">
        <f>_xlfn.XLOOKUP(Pipeline_tbl[[#This Row],[Rep_ID]],Dim_Reps!A:A,Dim_Reps!K:K)</f>
        <v>EUR</v>
      </c>
      <c r="N5671" s="33">
        <f>(_xlfn.XLOOKUP(Pipeline_tbl[[#This Row],[Rate_Code_Generalized]],Lookups!A:A,Lookups!B:B))*Pipeline_tbl[[#This Row],[Pipeline_Amount_USD]]</f>
        <v>14200</v>
      </c>
      <c r="O5671" t="str">
        <f>_xlfn.XLOOKUP(Pipeline_tbl[[#This Row],[Rep_ID]],Dim_Reps!A:A,Dim_Reps!B:B)</f>
        <v>Erik Duarte</v>
      </c>
      <c r="P5671" t="str">
        <f>_xlfn.XLOOKUP(Pipeline_tbl[[#This Row],[Rep_ID]],Dim_Reps!A:A,Dim_Reps!C:C)</f>
        <v>Mid-Market AE</v>
      </c>
      <c r="Q5671" t="str">
        <f>_xlfn.XLOOKUP(Pipeline_tbl[[#This Row],[Rep_ID]],Dim_Reps!A:A,Dim_Reps!D:D)</f>
        <v>Mid-Market</v>
      </c>
      <c r="R5671" t="str">
        <f>_xlfn.XLOOKUP(Pipeline_tbl[[#This Row],[Rep_ID]],Dim_Reps!A:A,Dim_Reps!E:E)</f>
        <v>EMEA</v>
      </c>
      <c r="S5671" t="str">
        <f>_xlfn.XLOOKUP(Pipeline_tbl[[#This Row],[Created_Date]],Dim_Date!A:A,Dim_Date!H:H)</f>
        <v>Dec 2024</v>
      </c>
      <c r="T5671" t="str">
        <f>IF(Pipeline_tbl[[#This Row],[Closed_Date]]=0,"",(_xlfn.XLOOKUP(Pipeline_tbl[[#This Row],[Closed_Date]],Dim_Date!A:A,Dim_Date!H:H)))</f>
        <v>Feb 2025</v>
      </c>
      <c r="U5671">
        <f>IF(Pipeline_tbl[[#This Row],[Closed_Date]]=0,"",Pipeline_tbl[[#This Row],[Closed_Date]]-Pipeline_tbl[[#This Row],[Created_Date]])</f>
        <v>42</v>
      </c>
    </row>
    <row r="5672" spans="1:21" ht="15" customHeight="1" x14ac:dyDescent="0.2">
      <c r="A5672" t="s">
        <v>5978</v>
      </c>
      <c r="B5672" t="s">
        <v>265</v>
      </c>
      <c r="C5672" t="s">
        <v>53</v>
      </c>
      <c r="D5672" s="49">
        <v>45649</v>
      </c>
      <c r="E5672" s="49">
        <v>45654</v>
      </c>
      <c r="F5672" s="49">
        <v>45665</v>
      </c>
      <c r="G5672" s="49">
        <v>45681</v>
      </c>
      <c r="H5672" s="49">
        <v>45694</v>
      </c>
      <c r="I5672" s="49">
        <v>45702</v>
      </c>
      <c r="J5672" t="s">
        <v>49</v>
      </c>
      <c r="K5672" s="33">
        <v>15200</v>
      </c>
      <c r="L5672" t="s">
        <v>62</v>
      </c>
      <c r="M5672" t="str">
        <f>_xlfn.XLOOKUP(Pipeline_tbl[[#This Row],[Rep_ID]],Dim_Reps!A:A,Dim_Reps!K:K)</f>
        <v>EUR</v>
      </c>
      <c r="N5672" s="33">
        <f>(_xlfn.XLOOKUP(Pipeline_tbl[[#This Row],[Rate_Code_Generalized]],Lookups!A:A,Lookups!B:B))*Pipeline_tbl[[#This Row],[Pipeline_Amount_USD]]</f>
        <v>15200</v>
      </c>
      <c r="O5672" t="str">
        <f>_xlfn.XLOOKUP(Pipeline_tbl[[#This Row],[Rep_ID]],Dim_Reps!A:A,Dim_Reps!B:B)</f>
        <v>Erik Duarte</v>
      </c>
      <c r="P5672" t="str">
        <f>_xlfn.XLOOKUP(Pipeline_tbl[[#This Row],[Rep_ID]],Dim_Reps!A:A,Dim_Reps!C:C)</f>
        <v>Mid-Market AE</v>
      </c>
      <c r="Q5672" t="str">
        <f>_xlfn.XLOOKUP(Pipeline_tbl[[#This Row],[Rep_ID]],Dim_Reps!A:A,Dim_Reps!D:D)</f>
        <v>Mid-Market</v>
      </c>
      <c r="R5672" t="str">
        <f>_xlfn.XLOOKUP(Pipeline_tbl[[#This Row],[Rep_ID]],Dim_Reps!A:A,Dim_Reps!E:E)</f>
        <v>EMEA</v>
      </c>
      <c r="S5672" t="str">
        <f>_xlfn.XLOOKUP(Pipeline_tbl[[#This Row],[Created_Date]],Dim_Date!A:A,Dim_Date!H:H)</f>
        <v>Dec 2024</v>
      </c>
      <c r="T5672" t="str">
        <f>IF(Pipeline_tbl[[#This Row],[Closed_Date]]=0,"",(_xlfn.XLOOKUP(Pipeline_tbl[[#This Row],[Closed_Date]],Dim_Date!A:A,Dim_Date!H:H)))</f>
        <v>Feb 2025</v>
      </c>
      <c r="U5672">
        <f>IF(Pipeline_tbl[[#This Row],[Closed_Date]]=0,"",Pipeline_tbl[[#This Row],[Closed_Date]]-Pipeline_tbl[[#This Row],[Created_Date]])</f>
        <v>53</v>
      </c>
    </row>
    <row r="5673" spans="1:21" ht="15" customHeight="1" x14ac:dyDescent="0.2">
      <c r="A5673" t="s">
        <v>5979</v>
      </c>
      <c r="B5673" t="s">
        <v>265</v>
      </c>
      <c r="C5673" t="s">
        <v>54</v>
      </c>
      <c r="D5673" s="49">
        <v>45656</v>
      </c>
      <c r="E5673" s="49">
        <v>45660</v>
      </c>
      <c r="I5673" s="49">
        <v>45697</v>
      </c>
      <c r="J5673" t="s">
        <v>49</v>
      </c>
      <c r="K5673" s="33">
        <v>9000</v>
      </c>
      <c r="L5673" t="s">
        <v>62</v>
      </c>
      <c r="M5673" t="str">
        <f>_xlfn.XLOOKUP(Pipeline_tbl[[#This Row],[Rep_ID]],Dim_Reps!A:A,Dim_Reps!K:K)</f>
        <v>EUR</v>
      </c>
      <c r="N5673" s="33">
        <f>(_xlfn.XLOOKUP(Pipeline_tbl[[#This Row],[Rate_Code_Generalized]],Lookups!A:A,Lookups!B:B))*Pipeline_tbl[[#This Row],[Pipeline_Amount_USD]]</f>
        <v>9000</v>
      </c>
      <c r="O5673" t="str">
        <f>_xlfn.XLOOKUP(Pipeline_tbl[[#This Row],[Rep_ID]],Dim_Reps!A:A,Dim_Reps!B:B)</f>
        <v>Erik Duarte</v>
      </c>
      <c r="P5673" t="str">
        <f>_xlfn.XLOOKUP(Pipeline_tbl[[#This Row],[Rep_ID]],Dim_Reps!A:A,Dim_Reps!C:C)</f>
        <v>Mid-Market AE</v>
      </c>
      <c r="Q5673" t="str">
        <f>_xlfn.XLOOKUP(Pipeline_tbl[[#This Row],[Rep_ID]],Dim_Reps!A:A,Dim_Reps!D:D)</f>
        <v>Mid-Market</v>
      </c>
      <c r="R5673" t="str">
        <f>_xlfn.XLOOKUP(Pipeline_tbl[[#This Row],[Rep_ID]],Dim_Reps!A:A,Dim_Reps!E:E)</f>
        <v>EMEA</v>
      </c>
      <c r="S5673" t="str">
        <f>_xlfn.XLOOKUP(Pipeline_tbl[[#This Row],[Created_Date]],Dim_Date!A:A,Dim_Date!H:H)</f>
        <v>Dec 2024</v>
      </c>
      <c r="T5673" t="str">
        <f>IF(Pipeline_tbl[[#This Row],[Closed_Date]]=0,"",(_xlfn.XLOOKUP(Pipeline_tbl[[#This Row],[Closed_Date]],Dim_Date!A:A,Dim_Date!H:H)))</f>
        <v>Feb 2025</v>
      </c>
      <c r="U5673">
        <f>IF(Pipeline_tbl[[#This Row],[Closed_Date]]=0,"",Pipeline_tbl[[#This Row],[Closed_Date]]-Pipeline_tbl[[#This Row],[Created_Date]])</f>
        <v>41</v>
      </c>
    </row>
    <row r="5674" spans="1:21" ht="15" customHeight="1" x14ac:dyDescent="0.2">
      <c r="A5674" t="s">
        <v>5980</v>
      </c>
      <c r="B5674" t="s">
        <v>265</v>
      </c>
      <c r="C5674" t="s">
        <v>53</v>
      </c>
      <c r="D5674" s="49">
        <v>45652</v>
      </c>
      <c r="E5674" s="49">
        <v>45656</v>
      </c>
      <c r="F5674" s="49">
        <v>45665</v>
      </c>
      <c r="G5674" s="49">
        <v>45678</v>
      </c>
      <c r="H5674" s="49">
        <v>45689</v>
      </c>
      <c r="I5674" s="49">
        <v>45695</v>
      </c>
      <c r="J5674" t="s">
        <v>49</v>
      </c>
      <c r="K5674" s="33">
        <v>12100</v>
      </c>
      <c r="L5674" t="s">
        <v>60</v>
      </c>
      <c r="M5674" t="str">
        <f>_xlfn.XLOOKUP(Pipeline_tbl[[#This Row],[Rep_ID]],Dim_Reps!A:A,Dim_Reps!K:K)</f>
        <v>EUR</v>
      </c>
      <c r="N5674" s="33">
        <f>(_xlfn.XLOOKUP(Pipeline_tbl[[#This Row],[Rate_Code_Generalized]],Lookups!A:A,Lookups!B:B))*Pipeline_tbl[[#This Row],[Pipeline_Amount_USD]]</f>
        <v>12100</v>
      </c>
      <c r="O5674" t="str">
        <f>_xlfn.XLOOKUP(Pipeline_tbl[[#This Row],[Rep_ID]],Dim_Reps!A:A,Dim_Reps!B:B)</f>
        <v>Erik Duarte</v>
      </c>
      <c r="P5674" t="str">
        <f>_xlfn.XLOOKUP(Pipeline_tbl[[#This Row],[Rep_ID]],Dim_Reps!A:A,Dim_Reps!C:C)</f>
        <v>Mid-Market AE</v>
      </c>
      <c r="Q5674" t="str">
        <f>_xlfn.XLOOKUP(Pipeline_tbl[[#This Row],[Rep_ID]],Dim_Reps!A:A,Dim_Reps!D:D)</f>
        <v>Mid-Market</v>
      </c>
      <c r="R5674" t="str">
        <f>_xlfn.XLOOKUP(Pipeline_tbl[[#This Row],[Rep_ID]],Dim_Reps!A:A,Dim_Reps!E:E)</f>
        <v>EMEA</v>
      </c>
      <c r="S5674" t="str">
        <f>_xlfn.XLOOKUP(Pipeline_tbl[[#This Row],[Created_Date]],Dim_Date!A:A,Dim_Date!H:H)</f>
        <v>Dec 2024</v>
      </c>
      <c r="T5674" t="str">
        <f>IF(Pipeline_tbl[[#This Row],[Closed_Date]]=0,"",(_xlfn.XLOOKUP(Pipeline_tbl[[#This Row],[Closed_Date]],Dim_Date!A:A,Dim_Date!H:H)))</f>
        <v>Feb 2025</v>
      </c>
      <c r="U5674">
        <f>IF(Pipeline_tbl[[#This Row],[Closed_Date]]=0,"",Pipeline_tbl[[#This Row],[Closed_Date]]-Pipeline_tbl[[#This Row],[Created_Date]])</f>
        <v>43</v>
      </c>
    </row>
    <row r="5675" spans="1:21" ht="15" customHeight="1" x14ac:dyDescent="0.2">
      <c r="A5675" t="s">
        <v>5981</v>
      </c>
      <c r="B5675" t="s">
        <v>267</v>
      </c>
      <c r="C5675" t="s">
        <v>53</v>
      </c>
      <c r="D5675" s="49">
        <v>45656</v>
      </c>
      <c r="E5675" s="49">
        <v>45660</v>
      </c>
      <c r="I5675" s="49">
        <v>45696</v>
      </c>
      <c r="J5675" t="s">
        <v>49</v>
      </c>
      <c r="K5675" s="33">
        <v>21300</v>
      </c>
      <c r="L5675" t="s">
        <v>64</v>
      </c>
      <c r="M5675" t="str">
        <f>_xlfn.XLOOKUP(Pipeline_tbl[[#This Row],[Rep_ID]],Dim_Reps!A:A,Dim_Reps!K:K)</f>
        <v>MXN</v>
      </c>
      <c r="N5675" s="33">
        <f>(_xlfn.XLOOKUP(Pipeline_tbl[[#This Row],[Rate_Code_Generalized]],Lookups!A:A,Lookups!B:B))*Pipeline_tbl[[#This Row],[Pipeline_Amount_USD]]</f>
        <v>420306.51</v>
      </c>
      <c r="O5675" t="str">
        <f>_xlfn.XLOOKUP(Pipeline_tbl[[#This Row],[Rep_ID]],Dim_Reps!A:A,Dim_Reps!B:B)</f>
        <v>Yuki Dubois</v>
      </c>
      <c r="P5675" t="str">
        <f>_xlfn.XLOOKUP(Pipeline_tbl[[#This Row],[Rep_ID]],Dim_Reps!A:A,Dim_Reps!C:C)</f>
        <v>Mid-Market AE</v>
      </c>
      <c r="Q5675" t="str">
        <f>_xlfn.XLOOKUP(Pipeline_tbl[[#This Row],[Rep_ID]],Dim_Reps!A:A,Dim_Reps!D:D)</f>
        <v>Mid-Market</v>
      </c>
      <c r="R5675" t="str">
        <f>_xlfn.XLOOKUP(Pipeline_tbl[[#This Row],[Rep_ID]],Dim_Reps!A:A,Dim_Reps!E:E)</f>
        <v>LATAM</v>
      </c>
      <c r="S5675" t="str">
        <f>_xlfn.XLOOKUP(Pipeline_tbl[[#This Row],[Created_Date]],Dim_Date!A:A,Dim_Date!H:H)</f>
        <v>Dec 2024</v>
      </c>
      <c r="T5675" t="str">
        <f>IF(Pipeline_tbl[[#This Row],[Closed_Date]]=0,"",(_xlfn.XLOOKUP(Pipeline_tbl[[#This Row],[Closed_Date]],Dim_Date!A:A,Dim_Date!H:H)))</f>
        <v>Feb 2025</v>
      </c>
      <c r="U5675">
        <f>IF(Pipeline_tbl[[#This Row],[Closed_Date]]=0,"",Pipeline_tbl[[#This Row],[Closed_Date]]-Pipeline_tbl[[#This Row],[Created_Date]])</f>
        <v>40</v>
      </c>
    </row>
    <row r="5676" spans="1:21" ht="15" customHeight="1" x14ac:dyDescent="0.2">
      <c r="A5676" t="s">
        <v>5982</v>
      </c>
      <c r="B5676" t="s">
        <v>267</v>
      </c>
      <c r="C5676" t="s">
        <v>53</v>
      </c>
      <c r="D5676" s="49">
        <v>45653</v>
      </c>
      <c r="E5676" s="49">
        <v>45657</v>
      </c>
      <c r="F5676" s="49">
        <v>45664</v>
      </c>
      <c r="G5676" s="49">
        <v>45675</v>
      </c>
      <c r="H5676" s="49">
        <v>45684</v>
      </c>
      <c r="I5676" s="49">
        <v>45689</v>
      </c>
      <c r="J5676" t="s">
        <v>47</v>
      </c>
      <c r="K5676" s="33">
        <v>22500</v>
      </c>
      <c r="M5676" t="str">
        <f>_xlfn.XLOOKUP(Pipeline_tbl[[#This Row],[Rep_ID]],Dim_Reps!A:A,Dim_Reps!K:K)</f>
        <v>MXN</v>
      </c>
      <c r="N5676" s="33">
        <f>(_xlfn.XLOOKUP(Pipeline_tbl[[#This Row],[Rate_Code_Generalized]],Lookups!A:A,Lookups!B:B))*Pipeline_tbl[[#This Row],[Pipeline_Amount_USD]]</f>
        <v>443985.75</v>
      </c>
      <c r="O5676" t="str">
        <f>_xlfn.XLOOKUP(Pipeline_tbl[[#This Row],[Rep_ID]],Dim_Reps!A:A,Dim_Reps!B:B)</f>
        <v>Yuki Dubois</v>
      </c>
      <c r="P5676" t="str">
        <f>_xlfn.XLOOKUP(Pipeline_tbl[[#This Row],[Rep_ID]],Dim_Reps!A:A,Dim_Reps!C:C)</f>
        <v>Mid-Market AE</v>
      </c>
      <c r="Q5676" t="str">
        <f>_xlfn.XLOOKUP(Pipeline_tbl[[#This Row],[Rep_ID]],Dim_Reps!A:A,Dim_Reps!D:D)</f>
        <v>Mid-Market</v>
      </c>
      <c r="R5676" t="str">
        <f>_xlfn.XLOOKUP(Pipeline_tbl[[#This Row],[Rep_ID]],Dim_Reps!A:A,Dim_Reps!E:E)</f>
        <v>LATAM</v>
      </c>
      <c r="S5676" t="str">
        <f>_xlfn.XLOOKUP(Pipeline_tbl[[#This Row],[Created_Date]],Dim_Date!A:A,Dim_Date!H:H)</f>
        <v>Dec 2024</v>
      </c>
      <c r="T5676" t="str">
        <f>IF(Pipeline_tbl[[#This Row],[Closed_Date]]=0,"",(_xlfn.XLOOKUP(Pipeline_tbl[[#This Row],[Closed_Date]],Dim_Date!A:A,Dim_Date!H:H)))</f>
        <v>Feb 2025</v>
      </c>
      <c r="U5676">
        <f>IF(Pipeline_tbl[[#This Row],[Closed_Date]]=0,"",Pipeline_tbl[[#This Row],[Closed_Date]]-Pipeline_tbl[[#This Row],[Created_Date]])</f>
        <v>36</v>
      </c>
    </row>
    <row r="5677" spans="1:21" ht="15" customHeight="1" x14ac:dyDescent="0.2">
      <c r="A5677" t="s">
        <v>5983</v>
      </c>
      <c r="B5677" t="s">
        <v>267</v>
      </c>
      <c r="C5677" t="s">
        <v>52</v>
      </c>
      <c r="D5677" s="49">
        <v>45651</v>
      </c>
      <c r="E5677" s="49">
        <v>45655</v>
      </c>
      <c r="F5677" s="49">
        <v>45664</v>
      </c>
      <c r="G5677" s="49">
        <v>45676</v>
      </c>
      <c r="H5677" s="49">
        <v>45687</v>
      </c>
      <c r="I5677" s="49">
        <v>45693</v>
      </c>
      <c r="J5677" t="s">
        <v>47</v>
      </c>
      <c r="K5677" s="33">
        <v>8700</v>
      </c>
      <c r="M5677" t="str">
        <f>_xlfn.XLOOKUP(Pipeline_tbl[[#This Row],[Rep_ID]],Dim_Reps!A:A,Dim_Reps!K:K)</f>
        <v>MXN</v>
      </c>
      <c r="N5677" s="33">
        <f>(_xlfn.XLOOKUP(Pipeline_tbl[[#This Row],[Rate_Code_Generalized]],Lookups!A:A,Lookups!B:B))*Pipeline_tbl[[#This Row],[Pipeline_Amount_USD]]</f>
        <v>171674.49000000002</v>
      </c>
      <c r="O5677" t="str">
        <f>_xlfn.XLOOKUP(Pipeline_tbl[[#This Row],[Rep_ID]],Dim_Reps!A:A,Dim_Reps!B:B)</f>
        <v>Yuki Dubois</v>
      </c>
      <c r="P5677" t="str">
        <f>_xlfn.XLOOKUP(Pipeline_tbl[[#This Row],[Rep_ID]],Dim_Reps!A:A,Dim_Reps!C:C)</f>
        <v>Mid-Market AE</v>
      </c>
      <c r="Q5677" t="str">
        <f>_xlfn.XLOOKUP(Pipeline_tbl[[#This Row],[Rep_ID]],Dim_Reps!A:A,Dim_Reps!D:D)</f>
        <v>Mid-Market</v>
      </c>
      <c r="R5677" t="str">
        <f>_xlfn.XLOOKUP(Pipeline_tbl[[#This Row],[Rep_ID]],Dim_Reps!A:A,Dim_Reps!E:E)</f>
        <v>LATAM</v>
      </c>
      <c r="S5677" t="str">
        <f>_xlfn.XLOOKUP(Pipeline_tbl[[#This Row],[Created_Date]],Dim_Date!A:A,Dim_Date!H:H)</f>
        <v>Dec 2024</v>
      </c>
      <c r="T5677" t="str">
        <f>IF(Pipeline_tbl[[#This Row],[Closed_Date]]=0,"",(_xlfn.XLOOKUP(Pipeline_tbl[[#This Row],[Closed_Date]],Dim_Date!A:A,Dim_Date!H:H)))</f>
        <v>Feb 2025</v>
      </c>
      <c r="U5677">
        <f>IF(Pipeline_tbl[[#This Row],[Closed_Date]]=0,"",Pipeline_tbl[[#This Row],[Closed_Date]]-Pipeline_tbl[[#This Row],[Created_Date]])</f>
        <v>42</v>
      </c>
    </row>
    <row r="5678" spans="1:21" ht="15" customHeight="1" x14ac:dyDescent="0.2">
      <c r="A5678" t="s">
        <v>5984</v>
      </c>
      <c r="B5678" t="s">
        <v>267</v>
      </c>
      <c r="C5678" t="s">
        <v>55</v>
      </c>
      <c r="D5678" s="49">
        <v>45654</v>
      </c>
      <c r="E5678" s="49">
        <v>45658</v>
      </c>
      <c r="F5678" s="49">
        <v>45667</v>
      </c>
      <c r="G5678" s="49">
        <v>45680</v>
      </c>
      <c r="H5678" s="49">
        <v>45691</v>
      </c>
      <c r="I5678" s="49">
        <v>45697</v>
      </c>
      <c r="J5678" t="s">
        <v>47</v>
      </c>
      <c r="K5678" s="33">
        <v>10700</v>
      </c>
      <c r="M5678" t="str">
        <f>_xlfn.XLOOKUP(Pipeline_tbl[[#This Row],[Rep_ID]],Dim_Reps!A:A,Dim_Reps!K:K)</f>
        <v>MXN</v>
      </c>
      <c r="N5678" s="33">
        <f>(_xlfn.XLOOKUP(Pipeline_tbl[[#This Row],[Rate_Code_Generalized]],Lookups!A:A,Lookups!B:B))*Pipeline_tbl[[#This Row],[Pipeline_Amount_USD]]</f>
        <v>211139.89</v>
      </c>
      <c r="O5678" t="str">
        <f>_xlfn.XLOOKUP(Pipeline_tbl[[#This Row],[Rep_ID]],Dim_Reps!A:A,Dim_Reps!B:B)</f>
        <v>Yuki Dubois</v>
      </c>
      <c r="P5678" t="str">
        <f>_xlfn.XLOOKUP(Pipeline_tbl[[#This Row],[Rep_ID]],Dim_Reps!A:A,Dim_Reps!C:C)</f>
        <v>Mid-Market AE</v>
      </c>
      <c r="Q5678" t="str">
        <f>_xlfn.XLOOKUP(Pipeline_tbl[[#This Row],[Rep_ID]],Dim_Reps!A:A,Dim_Reps!D:D)</f>
        <v>Mid-Market</v>
      </c>
      <c r="R5678" t="str">
        <f>_xlfn.XLOOKUP(Pipeline_tbl[[#This Row],[Rep_ID]],Dim_Reps!A:A,Dim_Reps!E:E)</f>
        <v>LATAM</v>
      </c>
      <c r="S5678" t="str">
        <f>_xlfn.XLOOKUP(Pipeline_tbl[[#This Row],[Created_Date]],Dim_Date!A:A,Dim_Date!H:H)</f>
        <v>Dec 2024</v>
      </c>
      <c r="T5678" t="str">
        <f>IF(Pipeline_tbl[[#This Row],[Closed_Date]]=0,"",(_xlfn.XLOOKUP(Pipeline_tbl[[#This Row],[Closed_Date]],Dim_Date!A:A,Dim_Date!H:H)))</f>
        <v>Feb 2025</v>
      </c>
      <c r="U5678">
        <f>IF(Pipeline_tbl[[#This Row],[Closed_Date]]=0,"",Pipeline_tbl[[#This Row],[Closed_Date]]-Pipeline_tbl[[#This Row],[Created_Date]])</f>
        <v>43</v>
      </c>
    </row>
    <row r="5679" spans="1:21" ht="15" customHeight="1" x14ac:dyDescent="0.2">
      <c r="A5679" t="s">
        <v>5985</v>
      </c>
      <c r="B5679" t="s">
        <v>267</v>
      </c>
      <c r="C5679" t="s">
        <v>52</v>
      </c>
      <c r="D5679" s="49">
        <v>45653</v>
      </c>
      <c r="E5679" s="49">
        <v>45657</v>
      </c>
      <c r="F5679" s="49">
        <v>45664</v>
      </c>
      <c r="G5679" s="49">
        <v>45675</v>
      </c>
      <c r="H5679" s="49">
        <v>45684</v>
      </c>
      <c r="I5679" s="49">
        <v>45690</v>
      </c>
      <c r="J5679" t="s">
        <v>47</v>
      </c>
      <c r="K5679" s="33">
        <v>35700</v>
      </c>
      <c r="M5679" t="str">
        <f>_xlfn.XLOOKUP(Pipeline_tbl[[#This Row],[Rep_ID]],Dim_Reps!A:A,Dim_Reps!K:K)</f>
        <v>MXN</v>
      </c>
      <c r="N5679" s="33">
        <f>(_xlfn.XLOOKUP(Pipeline_tbl[[#This Row],[Rate_Code_Generalized]],Lookups!A:A,Lookups!B:B))*Pipeline_tbl[[#This Row],[Pipeline_Amount_USD]]</f>
        <v>704457.39</v>
      </c>
      <c r="O5679" t="str">
        <f>_xlfn.XLOOKUP(Pipeline_tbl[[#This Row],[Rep_ID]],Dim_Reps!A:A,Dim_Reps!B:B)</f>
        <v>Yuki Dubois</v>
      </c>
      <c r="P5679" t="str">
        <f>_xlfn.XLOOKUP(Pipeline_tbl[[#This Row],[Rep_ID]],Dim_Reps!A:A,Dim_Reps!C:C)</f>
        <v>Mid-Market AE</v>
      </c>
      <c r="Q5679" t="str">
        <f>_xlfn.XLOOKUP(Pipeline_tbl[[#This Row],[Rep_ID]],Dim_Reps!A:A,Dim_Reps!D:D)</f>
        <v>Mid-Market</v>
      </c>
      <c r="R5679" t="str">
        <f>_xlfn.XLOOKUP(Pipeline_tbl[[#This Row],[Rep_ID]],Dim_Reps!A:A,Dim_Reps!E:E)</f>
        <v>LATAM</v>
      </c>
      <c r="S5679" t="str">
        <f>_xlfn.XLOOKUP(Pipeline_tbl[[#This Row],[Created_Date]],Dim_Date!A:A,Dim_Date!H:H)</f>
        <v>Dec 2024</v>
      </c>
      <c r="T5679" t="str">
        <f>IF(Pipeline_tbl[[#This Row],[Closed_Date]]=0,"",(_xlfn.XLOOKUP(Pipeline_tbl[[#This Row],[Closed_Date]],Dim_Date!A:A,Dim_Date!H:H)))</f>
        <v>Feb 2025</v>
      </c>
      <c r="U5679">
        <f>IF(Pipeline_tbl[[#This Row],[Closed_Date]]=0,"",Pipeline_tbl[[#This Row],[Closed_Date]]-Pipeline_tbl[[#This Row],[Created_Date]])</f>
        <v>37</v>
      </c>
    </row>
    <row r="5680" spans="1:21" ht="15" customHeight="1" x14ac:dyDescent="0.2">
      <c r="A5680" t="s">
        <v>5986</v>
      </c>
      <c r="B5680" t="s">
        <v>269</v>
      </c>
      <c r="C5680" t="s">
        <v>52</v>
      </c>
      <c r="D5680" s="49">
        <v>45651</v>
      </c>
      <c r="E5680" s="49">
        <v>45655</v>
      </c>
      <c r="F5680" s="49">
        <v>45663</v>
      </c>
      <c r="G5680" s="49">
        <v>45676</v>
      </c>
      <c r="H5680" s="49">
        <v>45686</v>
      </c>
      <c r="I5680" s="49">
        <v>45692</v>
      </c>
      <c r="J5680" t="s">
        <v>49</v>
      </c>
      <c r="K5680" s="33">
        <v>5700</v>
      </c>
      <c r="L5680" t="s">
        <v>64</v>
      </c>
      <c r="M5680" t="str">
        <f>_xlfn.XLOOKUP(Pipeline_tbl[[#This Row],[Rep_ID]],Dim_Reps!A:A,Dim_Reps!K:K)</f>
        <v>USD</v>
      </c>
      <c r="N5680" s="33">
        <f>(_xlfn.XLOOKUP(Pipeline_tbl[[#This Row],[Rate_Code_Generalized]],Lookups!A:A,Lookups!B:B))*Pipeline_tbl[[#This Row],[Pipeline_Amount_USD]]</f>
        <v>6636.5099999999993</v>
      </c>
      <c r="O5680" t="str">
        <f>_xlfn.XLOOKUP(Pipeline_tbl[[#This Row],[Rep_ID]],Dim_Reps!A:A,Dim_Reps!B:B)</f>
        <v>Morgan Rivera</v>
      </c>
      <c r="P5680" t="str">
        <f>_xlfn.XLOOKUP(Pipeline_tbl[[#This Row],[Rep_ID]],Dim_Reps!A:A,Dim_Reps!C:C)</f>
        <v>Mid-Market AE</v>
      </c>
      <c r="Q5680" t="str">
        <f>_xlfn.XLOOKUP(Pipeline_tbl[[#This Row],[Rep_ID]],Dim_Reps!A:A,Dim_Reps!D:D)</f>
        <v>Mid-Market</v>
      </c>
      <c r="R5680" t="str">
        <f>_xlfn.XLOOKUP(Pipeline_tbl[[#This Row],[Rep_ID]],Dim_Reps!A:A,Dim_Reps!E:E)</f>
        <v>NAMER</v>
      </c>
      <c r="S5680" t="str">
        <f>_xlfn.XLOOKUP(Pipeline_tbl[[#This Row],[Created_Date]],Dim_Date!A:A,Dim_Date!H:H)</f>
        <v>Dec 2024</v>
      </c>
      <c r="T5680" t="str">
        <f>IF(Pipeline_tbl[[#This Row],[Closed_Date]]=0,"",(_xlfn.XLOOKUP(Pipeline_tbl[[#This Row],[Closed_Date]],Dim_Date!A:A,Dim_Date!H:H)))</f>
        <v>Feb 2025</v>
      </c>
      <c r="U5680">
        <f>IF(Pipeline_tbl[[#This Row],[Closed_Date]]=0,"",Pipeline_tbl[[#This Row],[Closed_Date]]-Pipeline_tbl[[#This Row],[Created_Date]])</f>
        <v>41</v>
      </c>
    </row>
    <row r="5681" spans="1:21" ht="15" customHeight="1" x14ac:dyDescent="0.2">
      <c r="A5681" t="s">
        <v>5987</v>
      </c>
      <c r="B5681" t="s">
        <v>269</v>
      </c>
      <c r="C5681" t="s">
        <v>52</v>
      </c>
      <c r="D5681" s="49">
        <v>45646</v>
      </c>
      <c r="E5681" s="49">
        <v>45652</v>
      </c>
      <c r="F5681" s="49">
        <v>45663</v>
      </c>
      <c r="G5681" s="49">
        <v>45679</v>
      </c>
      <c r="H5681" s="49">
        <v>45693</v>
      </c>
      <c r="I5681" s="49">
        <v>45701</v>
      </c>
      <c r="J5681" t="s">
        <v>49</v>
      </c>
      <c r="K5681" s="33">
        <v>6600</v>
      </c>
      <c r="L5681" t="s">
        <v>63</v>
      </c>
      <c r="M5681" t="str">
        <f>_xlfn.XLOOKUP(Pipeline_tbl[[#This Row],[Rep_ID]],Dim_Reps!A:A,Dim_Reps!K:K)</f>
        <v>USD</v>
      </c>
      <c r="N5681" s="33">
        <f>(_xlfn.XLOOKUP(Pipeline_tbl[[#This Row],[Rate_Code_Generalized]],Lookups!A:A,Lookups!B:B))*Pipeline_tbl[[#This Row],[Pipeline_Amount_USD]]</f>
        <v>7684.3799999999992</v>
      </c>
      <c r="O5681" t="str">
        <f>_xlfn.XLOOKUP(Pipeline_tbl[[#This Row],[Rep_ID]],Dim_Reps!A:A,Dim_Reps!B:B)</f>
        <v>Morgan Rivera</v>
      </c>
      <c r="P5681" t="str">
        <f>_xlfn.XLOOKUP(Pipeline_tbl[[#This Row],[Rep_ID]],Dim_Reps!A:A,Dim_Reps!C:C)</f>
        <v>Mid-Market AE</v>
      </c>
      <c r="Q5681" t="str">
        <f>_xlfn.XLOOKUP(Pipeline_tbl[[#This Row],[Rep_ID]],Dim_Reps!A:A,Dim_Reps!D:D)</f>
        <v>Mid-Market</v>
      </c>
      <c r="R5681" t="str">
        <f>_xlfn.XLOOKUP(Pipeline_tbl[[#This Row],[Rep_ID]],Dim_Reps!A:A,Dim_Reps!E:E)</f>
        <v>NAMER</v>
      </c>
      <c r="S5681" t="str">
        <f>_xlfn.XLOOKUP(Pipeline_tbl[[#This Row],[Created_Date]],Dim_Date!A:A,Dim_Date!H:H)</f>
        <v>Dec 2024</v>
      </c>
      <c r="T5681" t="str">
        <f>IF(Pipeline_tbl[[#This Row],[Closed_Date]]=0,"",(_xlfn.XLOOKUP(Pipeline_tbl[[#This Row],[Closed_Date]],Dim_Date!A:A,Dim_Date!H:H)))</f>
        <v>Feb 2025</v>
      </c>
      <c r="U5681">
        <f>IF(Pipeline_tbl[[#This Row],[Closed_Date]]=0,"",Pipeline_tbl[[#This Row],[Closed_Date]]-Pipeline_tbl[[#This Row],[Created_Date]])</f>
        <v>55</v>
      </c>
    </row>
    <row r="5682" spans="1:21" ht="15" customHeight="1" x14ac:dyDescent="0.2">
      <c r="A5682" t="s">
        <v>5988</v>
      </c>
      <c r="B5682" t="s">
        <v>271</v>
      </c>
      <c r="C5682" t="s">
        <v>55</v>
      </c>
      <c r="D5682" s="49">
        <v>45645</v>
      </c>
      <c r="E5682" s="49">
        <v>45650</v>
      </c>
      <c r="I5682" s="49">
        <v>45695</v>
      </c>
      <c r="J5682" t="s">
        <v>49</v>
      </c>
      <c r="K5682" s="33">
        <v>7200</v>
      </c>
      <c r="L5682" t="s">
        <v>62</v>
      </c>
      <c r="M5682" t="str">
        <f>_xlfn.XLOOKUP(Pipeline_tbl[[#This Row],[Rep_ID]],Dim_Reps!A:A,Dim_Reps!K:K)</f>
        <v>EUR</v>
      </c>
      <c r="N5682" s="33">
        <f>(_xlfn.XLOOKUP(Pipeline_tbl[[#This Row],[Rate_Code_Generalized]],Lookups!A:A,Lookups!B:B))*Pipeline_tbl[[#This Row],[Pipeline_Amount_USD]]</f>
        <v>7200</v>
      </c>
      <c r="O5682" t="str">
        <f>_xlfn.XLOOKUP(Pipeline_tbl[[#This Row],[Rep_ID]],Dim_Reps!A:A,Dim_Reps!B:B)</f>
        <v>Ivy Adler</v>
      </c>
      <c r="P5682" t="str">
        <f>_xlfn.XLOOKUP(Pipeline_tbl[[#This Row],[Rep_ID]],Dim_Reps!A:A,Dim_Reps!C:C)</f>
        <v>Mid-Market AE</v>
      </c>
      <c r="Q5682" t="str">
        <f>_xlfn.XLOOKUP(Pipeline_tbl[[#This Row],[Rep_ID]],Dim_Reps!A:A,Dim_Reps!D:D)</f>
        <v>Mid-Market</v>
      </c>
      <c r="R5682" t="str">
        <f>_xlfn.XLOOKUP(Pipeline_tbl[[#This Row],[Rep_ID]],Dim_Reps!A:A,Dim_Reps!E:E)</f>
        <v>APAC</v>
      </c>
      <c r="S5682" t="str">
        <f>_xlfn.XLOOKUP(Pipeline_tbl[[#This Row],[Created_Date]],Dim_Date!A:A,Dim_Date!H:H)</f>
        <v>Dec 2024</v>
      </c>
      <c r="T5682" t="str">
        <f>IF(Pipeline_tbl[[#This Row],[Closed_Date]]=0,"",(_xlfn.XLOOKUP(Pipeline_tbl[[#This Row],[Closed_Date]],Dim_Date!A:A,Dim_Date!H:H)))</f>
        <v>Feb 2025</v>
      </c>
      <c r="U5682">
        <f>IF(Pipeline_tbl[[#This Row],[Closed_Date]]=0,"",Pipeline_tbl[[#This Row],[Closed_Date]]-Pipeline_tbl[[#This Row],[Created_Date]])</f>
        <v>50</v>
      </c>
    </row>
    <row r="5683" spans="1:21" ht="15" customHeight="1" x14ac:dyDescent="0.2">
      <c r="A5683" t="s">
        <v>5989</v>
      </c>
      <c r="B5683" t="s">
        <v>273</v>
      </c>
      <c r="C5683" t="s">
        <v>52</v>
      </c>
      <c r="D5683" s="49">
        <v>45641</v>
      </c>
      <c r="E5683" s="49">
        <v>45646</v>
      </c>
      <c r="F5683" s="49">
        <v>45655</v>
      </c>
      <c r="G5683" s="49">
        <v>45670</v>
      </c>
      <c r="H5683" s="49">
        <v>45682</v>
      </c>
      <c r="I5683" s="49">
        <v>45689</v>
      </c>
      <c r="J5683" t="s">
        <v>47</v>
      </c>
      <c r="K5683" s="33">
        <v>22900</v>
      </c>
      <c r="M5683" t="str">
        <f>_xlfn.XLOOKUP(Pipeline_tbl[[#This Row],[Rep_ID]],Dim_Reps!A:A,Dim_Reps!K:K)</f>
        <v>EUR</v>
      </c>
      <c r="N5683" s="33">
        <f>(_xlfn.XLOOKUP(Pipeline_tbl[[#This Row],[Rate_Code_Generalized]],Lookups!A:A,Lookups!B:B))*Pipeline_tbl[[#This Row],[Pipeline_Amount_USD]]</f>
        <v>22900</v>
      </c>
      <c r="O5683" t="str">
        <f>_xlfn.XLOOKUP(Pipeline_tbl[[#This Row],[Rep_ID]],Dim_Reps!A:A,Dim_Reps!B:B)</f>
        <v>Olivia Cohen</v>
      </c>
      <c r="P5683" t="str">
        <f>_xlfn.XLOOKUP(Pipeline_tbl[[#This Row],[Rep_ID]],Dim_Reps!A:A,Dim_Reps!C:C)</f>
        <v>Mid-Market AE</v>
      </c>
      <c r="Q5683" t="str">
        <f>_xlfn.XLOOKUP(Pipeline_tbl[[#This Row],[Rep_ID]],Dim_Reps!A:A,Dim_Reps!D:D)</f>
        <v>Mid-Market</v>
      </c>
      <c r="R5683" t="str">
        <f>_xlfn.XLOOKUP(Pipeline_tbl[[#This Row],[Rep_ID]],Dim_Reps!A:A,Dim_Reps!E:E)</f>
        <v>APAC</v>
      </c>
      <c r="S5683" t="str">
        <f>_xlfn.XLOOKUP(Pipeline_tbl[[#This Row],[Created_Date]],Dim_Date!A:A,Dim_Date!H:H)</f>
        <v>Dec 2024</v>
      </c>
      <c r="T5683" t="str">
        <f>IF(Pipeline_tbl[[#This Row],[Closed_Date]]=0,"",(_xlfn.XLOOKUP(Pipeline_tbl[[#This Row],[Closed_Date]],Dim_Date!A:A,Dim_Date!H:H)))</f>
        <v>Feb 2025</v>
      </c>
      <c r="U5683">
        <f>IF(Pipeline_tbl[[#This Row],[Closed_Date]]=0,"",Pipeline_tbl[[#This Row],[Closed_Date]]-Pipeline_tbl[[#This Row],[Created_Date]])</f>
        <v>48</v>
      </c>
    </row>
    <row r="5684" spans="1:21" ht="15" customHeight="1" x14ac:dyDescent="0.2">
      <c r="A5684" t="s">
        <v>5990</v>
      </c>
      <c r="B5684" t="s">
        <v>273</v>
      </c>
      <c r="C5684" t="s">
        <v>52</v>
      </c>
      <c r="D5684" s="49">
        <v>45648</v>
      </c>
      <c r="E5684" s="49">
        <v>45653</v>
      </c>
      <c r="F5684" s="49">
        <v>45662</v>
      </c>
      <c r="G5684" s="49">
        <v>45677</v>
      </c>
      <c r="H5684" s="49">
        <v>45689</v>
      </c>
      <c r="I5684" s="49">
        <v>45696</v>
      </c>
      <c r="J5684" t="s">
        <v>49</v>
      </c>
      <c r="K5684" s="33">
        <v>6200</v>
      </c>
      <c r="L5684" t="s">
        <v>61</v>
      </c>
      <c r="M5684" t="str">
        <f>_xlfn.XLOOKUP(Pipeline_tbl[[#This Row],[Rep_ID]],Dim_Reps!A:A,Dim_Reps!K:K)</f>
        <v>EUR</v>
      </c>
      <c r="N5684" s="33">
        <f>(_xlfn.XLOOKUP(Pipeline_tbl[[#This Row],[Rate_Code_Generalized]],Lookups!A:A,Lookups!B:B))*Pipeline_tbl[[#This Row],[Pipeline_Amount_USD]]</f>
        <v>6200</v>
      </c>
      <c r="O5684" t="str">
        <f>_xlfn.XLOOKUP(Pipeline_tbl[[#This Row],[Rep_ID]],Dim_Reps!A:A,Dim_Reps!B:B)</f>
        <v>Olivia Cohen</v>
      </c>
      <c r="P5684" t="str">
        <f>_xlfn.XLOOKUP(Pipeline_tbl[[#This Row],[Rep_ID]],Dim_Reps!A:A,Dim_Reps!C:C)</f>
        <v>Mid-Market AE</v>
      </c>
      <c r="Q5684" t="str">
        <f>_xlfn.XLOOKUP(Pipeline_tbl[[#This Row],[Rep_ID]],Dim_Reps!A:A,Dim_Reps!D:D)</f>
        <v>Mid-Market</v>
      </c>
      <c r="R5684" t="str">
        <f>_xlfn.XLOOKUP(Pipeline_tbl[[#This Row],[Rep_ID]],Dim_Reps!A:A,Dim_Reps!E:E)</f>
        <v>APAC</v>
      </c>
      <c r="S5684" t="str">
        <f>_xlfn.XLOOKUP(Pipeline_tbl[[#This Row],[Created_Date]],Dim_Date!A:A,Dim_Date!H:H)</f>
        <v>Dec 2024</v>
      </c>
      <c r="T5684" t="str">
        <f>IF(Pipeline_tbl[[#This Row],[Closed_Date]]=0,"",(_xlfn.XLOOKUP(Pipeline_tbl[[#This Row],[Closed_Date]],Dim_Date!A:A,Dim_Date!H:H)))</f>
        <v>Feb 2025</v>
      </c>
      <c r="U5684">
        <f>IF(Pipeline_tbl[[#This Row],[Closed_Date]]=0,"",Pipeline_tbl[[#This Row],[Closed_Date]]-Pipeline_tbl[[#This Row],[Created_Date]])</f>
        <v>48</v>
      </c>
    </row>
    <row r="5685" spans="1:21" ht="15" customHeight="1" x14ac:dyDescent="0.2">
      <c r="A5685" t="s">
        <v>5991</v>
      </c>
      <c r="B5685" t="s">
        <v>273</v>
      </c>
      <c r="C5685" t="s">
        <v>52</v>
      </c>
      <c r="D5685" s="49">
        <v>45657</v>
      </c>
      <c r="E5685" s="49">
        <v>45661</v>
      </c>
      <c r="F5685" s="49">
        <v>45668</v>
      </c>
      <c r="G5685" s="49">
        <v>45679</v>
      </c>
      <c r="I5685" s="49">
        <v>45694</v>
      </c>
      <c r="J5685" t="s">
        <v>49</v>
      </c>
      <c r="K5685" s="33">
        <v>20500</v>
      </c>
      <c r="L5685" t="s">
        <v>63</v>
      </c>
      <c r="M5685" t="str">
        <f>_xlfn.XLOOKUP(Pipeline_tbl[[#This Row],[Rep_ID]],Dim_Reps!A:A,Dim_Reps!K:K)</f>
        <v>EUR</v>
      </c>
      <c r="N5685" s="33">
        <f>(_xlfn.XLOOKUP(Pipeline_tbl[[#This Row],[Rate_Code_Generalized]],Lookups!A:A,Lookups!B:B))*Pipeline_tbl[[#This Row],[Pipeline_Amount_USD]]</f>
        <v>20500</v>
      </c>
      <c r="O5685" t="str">
        <f>_xlfn.XLOOKUP(Pipeline_tbl[[#This Row],[Rep_ID]],Dim_Reps!A:A,Dim_Reps!B:B)</f>
        <v>Olivia Cohen</v>
      </c>
      <c r="P5685" t="str">
        <f>_xlfn.XLOOKUP(Pipeline_tbl[[#This Row],[Rep_ID]],Dim_Reps!A:A,Dim_Reps!C:C)</f>
        <v>Mid-Market AE</v>
      </c>
      <c r="Q5685" t="str">
        <f>_xlfn.XLOOKUP(Pipeline_tbl[[#This Row],[Rep_ID]],Dim_Reps!A:A,Dim_Reps!D:D)</f>
        <v>Mid-Market</v>
      </c>
      <c r="R5685" t="str">
        <f>_xlfn.XLOOKUP(Pipeline_tbl[[#This Row],[Rep_ID]],Dim_Reps!A:A,Dim_Reps!E:E)</f>
        <v>APAC</v>
      </c>
      <c r="S5685" t="str">
        <f>_xlfn.XLOOKUP(Pipeline_tbl[[#This Row],[Created_Date]],Dim_Date!A:A,Dim_Date!H:H)</f>
        <v>Dec 2024</v>
      </c>
      <c r="T5685" t="str">
        <f>IF(Pipeline_tbl[[#This Row],[Closed_Date]]=0,"",(_xlfn.XLOOKUP(Pipeline_tbl[[#This Row],[Closed_Date]],Dim_Date!A:A,Dim_Date!H:H)))</f>
        <v>Feb 2025</v>
      </c>
      <c r="U5685">
        <f>IF(Pipeline_tbl[[#This Row],[Closed_Date]]=0,"",Pipeline_tbl[[#This Row],[Closed_Date]]-Pipeline_tbl[[#This Row],[Created_Date]])</f>
        <v>37</v>
      </c>
    </row>
    <row r="5686" spans="1:21" ht="15" customHeight="1" x14ac:dyDescent="0.2">
      <c r="A5686" t="s">
        <v>5992</v>
      </c>
      <c r="B5686" t="s">
        <v>193</v>
      </c>
      <c r="C5686" t="s">
        <v>52</v>
      </c>
      <c r="D5686" s="49">
        <v>45655</v>
      </c>
      <c r="E5686" s="49">
        <v>45657</v>
      </c>
      <c r="F5686" s="49">
        <v>45663</v>
      </c>
      <c r="G5686" s="49">
        <v>45670</v>
      </c>
      <c r="H5686" s="49">
        <v>45676</v>
      </c>
      <c r="I5686" s="49">
        <v>45680</v>
      </c>
      <c r="J5686" t="s">
        <v>47</v>
      </c>
      <c r="K5686" s="33">
        <v>4000</v>
      </c>
      <c r="M5686" t="str">
        <f>_xlfn.XLOOKUP(Pipeline_tbl[[#This Row],[Rep_ID]],Dim_Reps!A:A,Dim_Reps!K:K)</f>
        <v>USD</v>
      </c>
      <c r="N5686" s="33">
        <f>(_xlfn.XLOOKUP(Pipeline_tbl[[#This Row],[Rate_Code_Generalized]],Lookups!A:A,Lookups!B:B))*Pipeline_tbl[[#This Row],[Pipeline_Amount_USD]]</f>
        <v>4657.2</v>
      </c>
      <c r="O5686" t="str">
        <f>_xlfn.XLOOKUP(Pipeline_tbl[[#This Row],[Rep_ID]],Dim_Reps!A:A,Dim_Reps!B:B)</f>
        <v>Karim Rossi</v>
      </c>
      <c r="P5686" t="str">
        <f>_xlfn.XLOOKUP(Pipeline_tbl[[#This Row],[Rep_ID]],Dim_Reps!A:A,Dim_Reps!C:C)</f>
        <v>SDR / Inside Sales Rep</v>
      </c>
      <c r="Q5686" t="str">
        <f>_xlfn.XLOOKUP(Pipeline_tbl[[#This Row],[Rep_ID]],Dim_Reps!A:A,Dim_Reps!D:D)</f>
        <v>Inside Sales</v>
      </c>
      <c r="R5686" t="str">
        <f>_xlfn.XLOOKUP(Pipeline_tbl[[#This Row],[Rep_ID]],Dim_Reps!A:A,Dim_Reps!E:E)</f>
        <v>NAMER</v>
      </c>
      <c r="S5686" t="str">
        <f>_xlfn.XLOOKUP(Pipeline_tbl[[#This Row],[Created_Date]],Dim_Date!A:A,Dim_Date!H:H)</f>
        <v>Dec 2024</v>
      </c>
      <c r="T5686" t="str">
        <f>IF(Pipeline_tbl[[#This Row],[Closed_Date]]=0,"",(_xlfn.XLOOKUP(Pipeline_tbl[[#This Row],[Closed_Date]],Dim_Date!A:A,Dim_Date!H:H)))</f>
        <v>Jan 2025</v>
      </c>
      <c r="U5686">
        <f>IF(Pipeline_tbl[[#This Row],[Closed_Date]]=0,"",Pipeline_tbl[[#This Row],[Closed_Date]]-Pipeline_tbl[[#This Row],[Created_Date]])</f>
        <v>25</v>
      </c>
    </row>
    <row r="5687" spans="1:21" ht="15" customHeight="1" x14ac:dyDescent="0.2">
      <c r="A5687" t="s">
        <v>5993</v>
      </c>
      <c r="B5687" t="s">
        <v>193</v>
      </c>
      <c r="C5687" t="s">
        <v>54</v>
      </c>
      <c r="D5687" s="49">
        <v>45656</v>
      </c>
      <c r="E5687" s="49">
        <v>45657</v>
      </c>
      <c r="F5687" s="49">
        <v>45660</v>
      </c>
      <c r="G5687" s="49">
        <v>45663</v>
      </c>
      <c r="H5687" s="49">
        <v>45666</v>
      </c>
      <c r="I5687" s="49">
        <v>45668</v>
      </c>
      <c r="J5687" t="s">
        <v>47</v>
      </c>
      <c r="K5687" s="33">
        <v>1800</v>
      </c>
      <c r="M5687" t="str">
        <f>_xlfn.XLOOKUP(Pipeline_tbl[[#This Row],[Rep_ID]],Dim_Reps!A:A,Dim_Reps!K:K)</f>
        <v>USD</v>
      </c>
      <c r="N5687" s="33">
        <f>(_xlfn.XLOOKUP(Pipeline_tbl[[#This Row],[Rate_Code_Generalized]],Lookups!A:A,Lookups!B:B))*Pipeline_tbl[[#This Row],[Pipeline_Amount_USD]]</f>
        <v>2095.7399999999998</v>
      </c>
      <c r="O5687" t="str">
        <f>_xlfn.XLOOKUP(Pipeline_tbl[[#This Row],[Rep_ID]],Dim_Reps!A:A,Dim_Reps!B:B)</f>
        <v>Karim Rossi</v>
      </c>
      <c r="P5687" t="str">
        <f>_xlfn.XLOOKUP(Pipeline_tbl[[#This Row],[Rep_ID]],Dim_Reps!A:A,Dim_Reps!C:C)</f>
        <v>SDR / Inside Sales Rep</v>
      </c>
      <c r="Q5687" t="str">
        <f>_xlfn.XLOOKUP(Pipeline_tbl[[#This Row],[Rep_ID]],Dim_Reps!A:A,Dim_Reps!D:D)</f>
        <v>Inside Sales</v>
      </c>
      <c r="R5687" t="str">
        <f>_xlfn.XLOOKUP(Pipeline_tbl[[#This Row],[Rep_ID]],Dim_Reps!A:A,Dim_Reps!E:E)</f>
        <v>NAMER</v>
      </c>
      <c r="S5687" t="str">
        <f>_xlfn.XLOOKUP(Pipeline_tbl[[#This Row],[Created_Date]],Dim_Date!A:A,Dim_Date!H:H)</f>
        <v>Dec 2024</v>
      </c>
      <c r="T5687" t="str">
        <f>IF(Pipeline_tbl[[#This Row],[Closed_Date]]=0,"",(_xlfn.XLOOKUP(Pipeline_tbl[[#This Row],[Closed_Date]],Dim_Date!A:A,Dim_Date!H:H)))</f>
        <v>Jan 2025</v>
      </c>
      <c r="U5687">
        <f>IF(Pipeline_tbl[[#This Row],[Closed_Date]]=0,"",Pipeline_tbl[[#This Row],[Closed_Date]]-Pipeline_tbl[[#This Row],[Created_Date]])</f>
        <v>12</v>
      </c>
    </row>
    <row r="5688" spans="1:21" ht="15" customHeight="1" x14ac:dyDescent="0.2">
      <c r="A5688" t="s">
        <v>5994</v>
      </c>
      <c r="B5688" t="s">
        <v>193</v>
      </c>
      <c r="C5688" t="s">
        <v>52</v>
      </c>
      <c r="D5688" s="49">
        <v>45652</v>
      </c>
      <c r="E5688" s="49">
        <v>45653</v>
      </c>
      <c r="F5688" s="49">
        <v>45654</v>
      </c>
      <c r="G5688" s="49">
        <v>45656</v>
      </c>
      <c r="I5688" s="49">
        <v>45658</v>
      </c>
      <c r="J5688" t="s">
        <v>49</v>
      </c>
      <c r="K5688" s="33">
        <v>2400</v>
      </c>
      <c r="L5688" t="s">
        <v>63</v>
      </c>
      <c r="M5688" t="str">
        <f>_xlfn.XLOOKUP(Pipeline_tbl[[#This Row],[Rep_ID]],Dim_Reps!A:A,Dim_Reps!K:K)</f>
        <v>USD</v>
      </c>
      <c r="N5688" s="33">
        <f>(_xlfn.XLOOKUP(Pipeline_tbl[[#This Row],[Rate_Code_Generalized]],Lookups!A:A,Lookups!B:B))*Pipeline_tbl[[#This Row],[Pipeline_Amount_USD]]</f>
        <v>2794.3199999999997</v>
      </c>
      <c r="O5688" t="str">
        <f>_xlfn.XLOOKUP(Pipeline_tbl[[#This Row],[Rep_ID]],Dim_Reps!A:A,Dim_Reps!B:B)</f>
        <v>Karim Rossi</v>
      </c>
      <c r="P5688" t="str">
        <f>_xlfn.XLOOKUP(Pipeline_tbl[[#This Row],[Rep_ID]],Dim_Reps!A:A,Dim_Reps!C:C)</f>
        <v>SDR / Inside Sales Rep</v>
      </c>
      <c r="Q5688" t="str">
        <f>_xlfn.XLOOKUP(Pipeline_tbl[[#This Row],[Rep_ID]],Dim_Reps!A:A,Dim_Reps!D:D)</f>
        <v>Inside Sales</v>
      </c>
      <c r="R5688" t="str">
        <f>_xlfn.XLOOKUP(Pipeline_tbl[[#This Row],[Rep_ID]],Dim_Reps!A:A,Dim_Reps!E:E)</f>
        <v>NAMER</v>
      </c>
      <c r="S5688" t="str">
        <f>_xlfn.XLOOKUP(Pipeline_tbl[[#This Row],[Created_Date]],Dim_Date!A:A,Dim_Date!H:H)</f>
        <v>Dec 2024</v>
      </c>
      <c r="T5688" t="str">
        <f>IF(Pipeline_tbl[[#This Row],[Closed_Date]]=0,"",(_xlfn.XLOOKUP(Pipeline_tbl[[#This Row],[Closed_Date]],Dim_Date!A:A,Dim_Date!H:H)))</f>
        <v>Jan 2025</v>
      </c>
      <c r="U5688">
        <f>IF(Pipeline_tbl[[#This Row],[Closed_Date]]=0,"",Pipeline_tbl[[#This Row],[Closed_Date]]-Pipeline_tbl[[#This Row],[Created_Date]])</f>
        <v>6</v>
      </c>
    </row>
    <row r="5689" spans="1:21" ht="15" customHeight="1" x14ac:dyDescent="0.2">
      <c r="A5689" t="s">
        <v>5995</v>
      </c>
      <c r="B5689" t="s">
        <v>193</v>
      </c>
      <c r="C5689" t="s">
        <v>52</v>
      </c>
      <c r="D5689" s="49">
        <v>45654</v>
      </c>
      <c r="E5689" s="49">
        <v>45655</v>
      </c>
      <c r="F5689" s="49">
        <v>45658</v>
      </c>
      <c r="G5689" s="49">
        <v>45662</v>
      </c>
      <c r="H5689" s="49">
        <v>45665</v>
      </c>
      <c r="I5689" s="49">
        <v>45667</v>
      </c>
      <c r="J5689" t="s">
        <v>47</v>
      </c>
      <c r="K5689" s="33">
        <v>7500</v>
      </c>
      <c r="M5689" t="str">
        <f>_xlfn.XLOOKUP(Pipeline_tbl[[#This Row],[Rep_ID]],Dim_Reps!A:A,Dim_Reps!K:K)</f>
        <v>USD</v>
      </c>
      <c r="N5689" s="33">
        <f>(_xlfn.XLOOKUP(Pipeline_tbl[[#This Row],[Rate_Code_Generalized]],Lookups!A:A,Lookups!B:B))*Pipeline_tbl[[#This Row],[Pipeline_Amount_USD]]</f>
        <v>8732.25</v>
      </c>
      <c r="O5689" t="str">
        <f>_xlfn.XLOOKUP(Pipeline_tbl[[#This Row],[Rep_ID]],Dim_Reps!A:A,Dim_Reps!B:B)</f>
        <v>Karim Rossi</v>
      </c>
      <c r="P5689" t="str">
        <f>_xlfn.XLOOKUP(Pipeline_tbl[[#This Row],[Rep_ID]],Dim_Reps!A:A,Dim_Reps!C:C)</f>
        <v>SDR / Inside Sales Rep</v>
      </c>
      <c r="Q5689" t="str">
        <f>_xlfn.XLOOKUP(Pipeline_tbl[[#This Row],[Rep_ID]],Dim_Reps!A:A,Dim_Reps!D:D)</f>
        <v>Inside Sales</v>
      </c>
      <c r="R5689" t="str">
        <f>_xlfn.XLOOKUP(Pipeline_tbl[[#This Row],[Rep_ID]],Dim_Reps!A:A,Dim_Reps!E:E)</f>
        <v>NAMER</v>
      </c>
      <c r="S5689" t="str">
        <f>_xlfn.XLOOKUP(Pipeline_tbl[[#This Row],[Created_Date]],Dim_Date!A:A,Dim_Date!H:H)</f>
        <v>Dec 2024</v>
      </c>
      <c r="T5689" t="str">
        <f>IF(Pipeline_tbl[[#This Row],[Closed_Date]]=0,"",(_xlfn.XLOOKUP(Pipeline_tbl[[#This Row],[Closed_Date]],Dim_Date!A:A,Dim_Date!H:H)))</f>
        <v>Jan 2025</v>
      </c>
      <c r="U5689">
        <f>IF(Pipeline_tbl[[#This Row],[Closed_Date]]=0,"",Pipeline_tbl[[#This Row],[Closed_Date]]-Pipeline_tbl[[#This Row],[Created_Date]])</f>
        <v>13</v>
      </c>
    </row>
    <row r="5690" spans="1:21" ht="15" customHeight="1" x14ac:dyDescent="0.2">
      <c r="A5690" t="s">
        <v>5996</v>
      </c>
      <c r="B5690" t="s">
        <v>193</v>
      </c>
      <c r="C5690" t="s">
        <v>53</v>
      </c>
      <c r="D5690" s="49">
        <v>45655</v>
      </c>
      <c r="E5690" s="49">
        <v>45657</v>
      </c>
      <c r="F5690" s="49">
        <v>45660</v>
      </c>
      <c r="G5690" s="49">
        <v>45665</v>
      </c>
      <c r="H5690" s="49">
        <v>45669</v>
      </c>
      <c r="I5690" s="49">
        <v>45671</v>
      </c>
      <c r="J5690" t="s">
        <v>47</v>
      </c>
      <c r="K5690" s="33">
        <v>9500</v>
      </c>
      <c r="M5690" t="str">
        <f>_xlfn.XLOOKUP(Pipeline_tbl[[#This Row],[Rep_ID]],Dim_Reps!A:A,Dim_Reps!K:K)</f>
        <v>USD</v>
      </c>
      <c r="N5690" s="33">
        <f>(_xlfn.XLOOKUP(Pipeline_tbl[[#This Row],[Rate_Code_Generalized]],Lookups!A:A,Lookups!B:B))*Pipeline_tbl[[#This Row],[Pipeline_Amount_USD]]</f>
        <v>11060.849999999999</v>
      </c>
      <c r="O5690" t="str">
        <f>_xlfn.XLOOKUP(Pipeline_tbl[[#This Row],[Rep_ID]],Dim_Reps!A:A,Dim_Reps!B:B)</f>
        <v>Karim Rossi</v>
      </c>
      <c r="P5690" t="str">
        <f>_xlfn.XLOOKUP(Pipeline_tbl[[#This Row],[Rep_ID]],Dim_Reps!A:A,Dim_Reps!C:C)</f>
        <v>SDR / Inside Sales Rep</v>
      </c>
      <c r="Q5690" t="str">
        <f>_xlfn.XLOOKUP(Pipeline_tbl[[#This Row],[Rep_ID]],Dim_Reps!A:A,Dim_Reps!D:D)</f>
        <v>Inside Sales</v>
      </c>
      <c r="R5690" t="str">
        <f>_xlfn.XLOOKUP(Pipeline_tbl[[#This Row],[Rep_ID]],Dim_Reps!A:A,Dim_Reps!E:E)</f>
        <v>NAMER</v>
      </c>
      <c r="S5690" t="str">
        <f>_xlfn.XLOOKUP(Pipeline_tbl[[#This Row],[Created_Date]],Dim_Date!A:A,Dim_Date!H:H)</f>
        <v>Dec 2024</v>
      </c>
      <c r="T5690" t="str">
        <f>IF(Pipeline_tbl[[#This Row],[Closed_Date]]=0,"",(_xlfn.XLOOKUP(Pipeline_tbl[[#This Row],[Closed_Date]],Dim_Date!A:A,Dim_Date!H:H)))</f>
        <v>Jan 2025</v>
      </c>
      <c r="U5690">
        <f>IF(Pipeline_tbl[[#This Row],[Closed_Date]]=0,"",Pipeline_tbl[[#This Row],[Closed_Date]]-Pipeline_tbl[[#This Row],[Created_Date]])</f>
        <v>16</v>
      </c>
    </row>
    <row r="5691" spans="1:21" ht="15" customHeight="1" x14ac:dyDescent="0.2">
      <c r="A5691" t="s">
        <v>5997</v>
      </c>
      <c r="B5691" t="s">
        <v>243</v>
      </c>
      <c r="C5691" t="s">
        <v>52</v>
      </c>
      <c r="D5691" s="49">
        <v>45634</v>
      </c>
      <c r="E5691" s="49">
        <v>45637</v>
      </c>
      <c r="F5691" s="49">
        <v>45643</v>
      </c>
      <c r="G5691" s="49">
        <v>45651</v>
      </c>
      <c r="I5691" s="49">
        <v>45663</v>
      </c>
      <c r="J5691" t="s">
        <v>49</v>
      </c>
      <c r="K5691" s="33">
        <v>20600</v>
      </c>
      <c r="L5691" t="s">
        <v>64</v>
      </c>
      <c r="M5691" t="str">
        <f>_xlfn.XLOOKUP(Pipeline_tbl[[#This Row],[Rep_ID]],Dim_Reps!A:A,Dim_Reps!K:K)</f>
        <v>MXN</v>
      </c>
      <c r="N5691" s="33">
        <f>(_xlfn.XLOOKUP(Pipeline_tbl[[#This Row],[Rate_Code_Generalized]],Lookups!A:A,Lookups!B:B))*Pipeline_tbl[[#This Row],[Pipeline_Amount_USD]]</f>
        <v>406493.62000000005</v>
      </c>
      <c r="O5691" t="str">
        <f>_xlfn.XLOOKUP(Pipeline_tbl[[#This Row],[Rep_ID]],Dim_Reps!A:A,Dim_Reps!B:B)</f>
        <v>Jonas Sato</v>
      </c>
      <c r="P5691" t="str">
        <f>_xlfn.XLOOKUP(Pipeline_tbl[[#This Row],[Rep_ID]],Dim_Reps!A:A,Dim_Reps!C:C)</f>
        <v>Mid-Market AE</v>
      </c>
      <c r="Q5691" t="str">
        <f>_xlfn.XLOOKUP(Pipeline_tbl[[#This Row],[Rep_ID]],Dim_Reps!A:A,Dim_Reps!D:D)</f>
        <v>Mid-Market</v>
      </c>
      <c r="R5691" t="str">
        <f>_xlfn.XLOOKUP(Pipeline_tbl[[#This Row],[Rep_ID]],Dim_Reps!A:A,Dim_Reps!E:E)</f>
        <v>LATAM</v>
      </c>
      <c r="S5691" t="str">
        <f>_xlfn.XLOOKUP(Pipeline_tbl[[#This Row],[Created_Date]],Dim_Date!A:A,Dim_Date!H:H)</f>
        <v>Dec 2024</v>
      </c>
      <c r="T5691" t="str">
        <f>IF(Pipeline_tbl[[#This Row],[Closed_Date]]=0,"",(_xlfn.XLOOKUP(Pipeline_tbl[[#This Row],[Closed_Date]],Dim_Date!A:A,Dim_Date!H:H)))</f>
        <v>Jan 2025</v>
      </c>
      <c r="U5691">
        <f>IF(Pipeline_tbl[[#This Row],[Closed_Date]]=0,"",Pipeline_tbl[[#This Row],[Closed_Date]]-Pipeline_tbl[[#This Row],[Created_Date]])</f>
        <v>29</v>
      </c>
    </row>
    <row r="5692" spans="1:21" ht="15" customHeight="1" x14ac:dyDescent="0.2">
      <c r="A5692" t="s">
        <v>5998</v>
      </c>
      <c r="B5692" t="s">
        <v>243</v>
      </c>
      <c r="C5692" t="s">
        <v>54</v>
      </c>
      <c r="D5692" s="49">
        <v>45649</v>
      </c>
      <c r="E5692" s="49">
        <v>45652</v>
      </c>
      <c r="F5692" s="49">
        <v>45659</v>
      </c>
      <c r="G5692" s="49">
        <v>45669</v>
      </c>
      <c r="I5692" s="49">
        <v>45683</v>
      </c>
      <c r="J5692" t="s">
        <v>49</v>
      </c>
      <c r="K5692" s="33">
        <v>11000</v>
      </c>
      <c r="L5692" t="s">
        <v>62</v>
      </c>
      <c r="M5692" t="str">
        <f>_xlfn.XLOOKUP(Pipeline_tbl[[#This Row],[Rep_ID]],Dim_Reps!A:A,Dim_Reps!K:K)</f>
        <v>MXN</v>
      </c>
      <c r="N5692" s="33">
        <f>(_xlfn.XLOOKUP(Pipeline_tbl[[#This Row],[Rate_Code_Generalized]],Lookups!A:A,Lookups!B:B))*Pipeline_tbl[[#This Row],[Pipeline_Amount_USD]]</f>
        <v>217059.7</v>
      </c>
      <c r="O5692" t="str">
        <f>_xlfn.XLOOKUP(Pipeline_tbl[[#This Row],[Rep_ID]],Dim_Reps!A:A,Dim_Reps!B:B)</f>
        <v>Jonas Sato</v>
      </c>
      <c r="P5692" t="str">
        <f>_xlfn.XLOOKUP(Pipeline_tbl[[#This Row],[Rep_ID]],Dim_Reps!A:A,Dim_Reps!C:C)</f>
        <v>Mid-Market AE</v>
      </c>
      <c r="Q5692" t="str">
        <f>_xlfn.XLOOKUP(Pipeline_tbl[[#This Row],[Rep_ID]],Dim_Reps!A:A,Dim_Reps!D:D)</f>
        <v>Mid-Market</v>
      </c>
      <c r="R5692" t="str">
        <f>_xlfn.XLOOKUP(Pipeline_tbl[[#This Row],[Rep_ID]],Dim_Reps!A:A,Dim_Reps!E:E)</f>
        <v>LATAM</v>
      </c>
      <c r="S5692" t="str">
        <f>_xlfn.XLOOKUP(Pipeline_tbl[[#This Row],[Created_Date]],Dim_Date!A:A,Dim_Date!H:H)</f>
        <v>Dec 2024</v>
      </c>
      <c r="T5692" t="str">
        <f>IF(Pipeline_tbl[[#This Row],[Closed_Date]]=0,"",(_xlfn.XLOOKUP(Pipeline_tbl[[#This Row],[Closed_Date]],Dim_Date!A:A,Dim_Date!H:H)))</f>
        <v>Jan 2025</v>
      </c>
      <c r="U5692">
        <f>IF(Pipeline_tbl[[#This Row],[Closed_Date]]=0,"",Pipeline_tbl[[#This Row],[Closed_Date]]-Pipeline_tbl[[#This Row],[Created_Date]])</f>
        <v>34</v>
      </c>
    </row>
    <row r="5693" spans="1:21" ht="15" customHeight="1" x14ac:dyDescent="0.2">
      <c r="A5693" t="s">
        <v>5999</v>
      </c>
      <c r="B5693" t="s">
        <v>243</v>
      </c>
      <c r="C5693" t="s">
        <v>52</v>
      </c>
      <c r="D5693" s="49">
        <v>45627</v>
      </c>
      <c r="E5693" s="49">
        <v>45632</v>
      </c>
      <c r="F5693" s="49">
        <v>45642</v>
      </c>
      <c r="G5693" s="49">
        <v>45657</v>
      </c>
      <c r="H5693" s="49">
        <v>45670</v>
      </c>
      <c r="I5693" s="49">
        <v>45677</v>
      </c>
      <c r="J5693" t="s">
        <v>49</v>
      </c>
      <c r="K5693" s="33">
        <v>14700</v>
      </c>
      <c r="L5693" t="s">
        <v>62</v>
      </c>
      <c r="M5693" t="str">
        <f>_xlfn.XLOOKUP(Pipeline_tbl[[#This Row],[Rep_ID]],Dim_Reps!A:A,Dim_Reps!K:K)</f>
        <v>MXN</v>
      </c>
      <c r="N5693" s="33">
        <f>(_xlfn.XLOOKUP(Pipeline_tbl[[#This Row],[Rate_Code_Generalized]],Lookups!A:A,Lookups!B:B))*Pipeline_tbl[[#This Row],[Pipeline_Amount_USD]]</f>
        <v>290070.69</v>
      </c>
      <c r="O5693" t="str">
        <f>_xlfn.XLOOKUP(Pipeline_tbl[[#This Row],[Rep_ID]],Dim_Reps!A:A,Dim_Reps!B:B)</f>
        <v>Jonas Sato</v>
      </c>
      <c r="P5693" t="str">
        <f>_xlfn.XLOOKUP(Pipeline_tbl[[#This Row],[Rep_ID]],Dim_Reps!A:A,Dim_Reps!C:C)</f>
        <v>Mid-Market AE</v>
      </c>
      <c r="Q5693" t="str">
        <f>_xlfn.XLOOKUP(Pipeline_tbl[[#This Row],[Rep_ID]],Dim_Reps!A:A,Dim_Reps!D:D)</f>
        <v>Mid-Market</v>
      </c>
      <c r="R5693" t="str">
        <f>_xlfn.XLOOKUP(Pipeline_tbl[[#This Row],[Rep_ID]],Dim_Reps!A:A,Dim_Reps!E:E)</f>
        <v>LATAM</v>
      </c>
      <c r="S5693" t="str">
        <f>_xlfn.XLOOKUP(Pipeline_tbl[[#This Row],[Created_Date]],Dim_Date!A:A,Dim_Date!H:H)</f>
        <v>Dec 2024</v>
      </c>
      <c r="T5693" t="str">
        <f>IF(Pipeline_tbl[[#This Row],[Closed_Date]]=0,"",(_xlfn.XLOOKUP(Pipeline_tbl[[#This Row],[Closed_Date]],Dim_Date!A:A,Dim_Date!H:H)))</f>
        <v>Jan 2025</v>
      </c>
      <c r="U5693">
        <f>IF(Pipeline_tbl[[#This Row],[Closed_Date]]=0,"",Pipeline_tbl[[#This Row],[Closed_Date]]-Pipeline_tbl[[#This Row],[Created_Date]])</f>
        <v>50</v>
      </c>
    </row>
    <row r="5694" spans="1:21" ht="15" customHeight="1" x14ac:dyDescent="0.2">
      <c r="A5694" t="s">
        <v>6000</v>
      </c>
      <c r="B5694" t="s">
        <v>243</v>
      </c>
      <c r="C5694" t="s">
        <v>53</v>
      </c>
      <c r="D5694" s="49">
        <v>45655</v>
      </c>
      <c r="E5694" s="49">
        <v>45657</v>
      </c>
      <c r="F5694" s="49">
        <v>45663</v>
      </c>
      <c r="I5694" s="49">
        <v>45680</v>
      </c>
      <c r="J5694" t="s">
        <v>49</v>
      </c>
      <c r="K5694" s="33">
        <v>14400</v>
      </c>
      <c r="L5694" t="s">
        <v>62</v>
      </c>
      <c r="M5694" t="str">
        <f>_xlfn.XLOOKUP(Pipeline_tbl[[#This Row],[Rep_ID]],Dim_Reps!A:A,Dim_Reps!K:K)</f>
        <v>MXN</v>
      </c>
      <c r="N5694" s="33">
        <f>(_xlfn.XLOOKUP(Pipeline_tbl[[#This Row],[Rate_Code_Generalized]],Lookups!A:A,Lookups!B:B))*Pipeline_tbl[[#This Row],[Pipeline_Amount_USD]]</f>
        <v>284150.88</v>
      </c>
      <c r="O5694" t="str">
        <f>_xlfn.XLOOKUP(Pipeline_tbl[[#This Row],[Rep_ID]],Dim_Reps!A:A,Dim_Reps!B:B)</f>
        <v>Jonas Sato</v>
      </c>
      <c r="P5694" t="str">
        <f>_xlfn.XLOOKUP(Pipeline_tbl[[#This Row],[Rep_ID]],Dim_Reps!A:A,Dim_Reps!C:C)</f>
        <v>Mid-Market AE</v>
      </c>
      <c r="Q5694" t="str">
        <f>_xlfn.XLOOKUP(Pipeline_tbl[[#This Row],[Rep_ID]],Dim_Reps!A:A,Dim_Reps!D:D)</f>
        <v>Mid-Market</v>
      </c>
      <c r="R5694" t="str">
        <f>_xlfn.XLOOKUP(Pipeline_tbl[[#This Row],[Rep_ID]],Dim_Reps!A:A,Dim_Reps!E:E)</f>
        <v>LATAM</v>
      </c>
      <c r="S5694" t="str">
        <f>_xlfn.XLOOKUP(Pipeline_tbl[[#This Row],[Created_Date]],Dim_Date!A:A,Dim_Date!H:H)</f>
        <v>Dec 2024</v>
      </c>
      <c r="T5694" t="str">
        <f>IF(Pipeline_tbl[[#This Row],[Closed_Date]]=0,"",(_xlfn.XLOOKUP(Pipeline_tbl[[#This Row],[Closed_Date]],Dim_Date!A:A,Dim_Date!H:H)))</f>
        <v>Jan 2025</v>
      </c>
      <c r="U5694">
        <f>IF(Pipeline_tbl[[#This Row],[Closed_Date]]=0,"",Pipeline_tbl[[#This Row],[Closed_Date]]-Pipeline_tbl[[#This Row],[Created_Date]])</f>
        <v>25</v>
      </c>
    </row>
    <row r="5695" spans="1:21" ht="15" customHeight="1" x14ac:dyDescent="0.2">
      <c r="A5695" t="s">
        <v>6001</v>
      </c>
      <c r="B5695" t="s">
        <v>196</v>
      </c>
      <c r="C5695" t="s">
        <v>56</v>
      </c>
      <c r="D5695" s="49">
        <v>45646</v>
      </c>
      <c r="E5695" s="49">
        <v>45647</v>
      </c>
      <c r="F5695" s="49">
        <v>45650</v>
      </c>
      <c r="G5695" s="49">
        <v>45654</v>
      </c>
      <c r="I5695" s="49">
        <v>45660</v>
      </c>
      <c r="J5695" t="s">
        <v>49</v>
      </c>
      <c r="K5695" s="33">
        <v>2400</v>
      </c>
      <c r="L5695" t="s">
        <v>62</v>
      </c>
      <c r="M5695" t="str">
        <f>_xlfn.XLOOKUP(Pipeline_tbl[[#This Row],[Rep_ID]],Dim_Reps!A:A,Dim_Reps!K:K)</f>
        <v>EUR</v>
      </c>
      <c r="N5695" s="33">
        <f>(_xlfn.XLOOKUP(Pipeline_tbl[[#This Row],[Rate_Code_Generalized]],Lookups!A:A,Lookups!B:B))*Pipeline_tbl[[#This Row],[Pipeline_Amount_USD]]</f>
        <v>2400</v>
      </c>
      <c r="O5695" t="str">
        <f>_xlfn.XLOOKUP(Pipeline_tbl[[#This Row],[Rep_ID]],Dim_Reps!A:A,Dim_Reps!B:B)</f>
        <v>Alex Okafor</v>
      </c>
      <c r="P5695" t="str">
        <f>_xlfn.XLOOKUP(Pipeline_tbl[[#This Row],[Rep_ID]],Dim_Reps!A:A,Dim_Reps!C:C)</f>
        <v>SDR / Inside Sales Rep</v>
      </c>
      <c r="Q5695" t="str">
        <f>_xlfn.XLOOKUP(Pipeline_tbl[[#This Row],[Rep_ID]],Dim_Reps!A:A,Dim_Reps!D:D)</f>
        <v>Inside Sales</v>
      </c>
      <c r="R5695" t="str">
        <f>_xlfn.XLOOKUP(Pipeline_tbl[[#This Row],[Rep_ID]],Dim_Reps!A:A,Dim_Reps!E:E)</f>
        <v>EMEA</v>
      </c>
      <c r="S5695" t="str">
        <f>_xlfn.XLOOKUP(Pipeline_tbl[[#This Row],[Created_Date]],Dim_Date!A:A,Dim_Date!H:H)</f>
        <v>Dec 2024</v>
      </c>
      <c r="T5695" t="str">
        <f>IF(Pipeline_tbl[[#This Row],[Closed_Date]]=0,"",(_xlfn.XLOOKUP(Pipeline_tbl[[#This Row],[Closed_Date]],Dim_Date!A:A,Dim_Date!H:H)))</f>
        <v>Jan 2025</v>
      </c>
      <c r="U5695">
        <f>IF(Pipeline_tbl[[#This Row],[Closed_Date]]=0,"",Pipeline_tbl[[#This Row],[Closed_Date]]-Pipeline_tbl[[#This Row],[Created_Date]])</f>
        <v>14</v>
      </c>
    </row>
    <row r="5696" spans="1:21" ht="15" customHeight="1" x14ac:dyDescent="0.2">
      <c r="A5696" t="s">
        <v>6002</v>
      </c>
      <c r="B5696" t="s">
        <v>196</v>
      </c>
      <c r="C5696" t="s">
        <v>52</v>
      </c>
      <c r="D5696" s="49">
        <v>45655</v>
      </c>
      <c r="E5696" s="49">
        <v>45657</v>
      </c>
      <c r="F5696" s="49">
        <v>45662</v>
      </c>
      <c r="I5696" s="49">
        <v>45679</v>
      </c>
      <c r="J5696" t="s">
        <v>49</v>
      </c>
      <c r="K5696" s="33">
        <v>2300</v>
      </c>
      <c r="L5696" t="s">
        <v>61</v>
      </c>
      <c r="M5696" t="str">
        <f>_xlfn.XLOOKUP(Pipeline_tbl[[#This Row],[Rep_ID]],Dim_Reps!A:A,Dim_Reps!K:K)</f>
        <v>EUR</v>
      </c>
      <c r="N5696" s="33">
        <f>(_xlfn.XLOOKUP(Pipeline_tbl[[#This Row],[Rate_Code_Generalized]],Lookups!A:A,Lookups!B:B))*Pipeline_tbl[[#This Row],[Pipeline_Amount_USD]]</f>
        <v>2300</v>
      </c>
      <c r="O5696" t="str">
        <f>_xlfn.XLOOKUP(Pipeline_tbl[[#This Row],[Rep_ID]],Dim_Reps!A:A,Dim_Reps!B:B)</f>
        <v>Alex Okafor</v>
      </c>
      <c r="P5696" t="str">
        <f>_xlfn.XLOOKUP(Pipeline_tbl[[#This Row],[Rep_ID]],Dim_Reps!A:A,Dim_Reps!C:C)</f>
        <v>SDR / Inside Sales Rep</v>
      </c>
      <c r="Q5696" t="str">
        <f>_xlfn.XLOOKUP(Pipeline_tbl[[#This Row],[Rep_ID]],Dim_Reps!A:A,Dim_Reps!D:D)</f>
        <v>Inside Sales</v>
      </c>
      <c r="R5696" t="str">
        <f>_xlfn.XLOOKUP(Pipeline_tbl[[#This Row],[Rep_ID]],Dim_Reps!A:A,Dim_Reps!E:E)</f>
        <v>EMEA</v>
      </c>
      <c r="S5696" t="str">
        <f>_xlfn.XLOOKUP(Pipeline_tbl[[#This Row],[Created_Date]],Dim_Date!A:A,Dim_Date!H:H)</f>
        <v>Dec 2024</v>
      </c>
      <c r="T5696" t="str">
        <f>IF(Pipeline_tbl[[#This Row],[Closed_Date]]=0,"",(_xlfn.XLOOKUP(Pipeline_tbl[[#This Row],[Closed_Date]],Dim_Date!A:A,Dim_Date!H:H)))</f>
        <v>Jan 2025</v>
      </c>
      <c r="U5696">
        <f>IF(Pipeline_tbl[[#This Row],[Closed_Date]]=0,"",Pipeline_tbl[[#This Row],[Closed_Date]]-Pipeline_tbl[[#This Row],[Created_Date]])</f>
        <v>24</v>
      </c>
    </row>
    <row r="5697" spans="1:21" ht="15" customHeight="1" x14ac:dyDescent="0.2">
      <c r="A5697" t="s">
        <v>6003</v>
      </c>
      <c r="B5697" t="s">
        <v>196</v>
      </c>
      <c r="C5697" t="s">
        <v>53</v>
      </c>
      <c r="D5697" s="49">
        <v>45642</v>
      </c>
      <c r="E5697" s="49">
        <v>45644</v>
      </c>
      <c r="F5697" s="49">
        <v>45648</v>
      </c>
      <c r="G5697" s="49">
        <v>45655</v>
      </c>
      <c r="H5697" s="49">
        <v>45660</v>
      </c>
      <c r="I5697" s="49">
        <v>45663</v>
      </c>
      <c r="J5697" t="s">
        <v>47</v>
      </c>
      <c r="K5697" s="33">
        <v>5200</v>
      </c>
      <c r="M5697" t="str">
        <f>_xlfn.XLOOKUP(Pipeline_tbl[[#This Row],[Rep_ID]],Dim_Reps!A:A,Dim_Reps!K:K)</f>
        <v>EUR</v>
      </c>
      <c r="N5697" s="33">
        <f>(_xlfn.XLOOKUP(Pipeline_tbl[[#This Row],[Rate_Code_Generalized]],Lookups!A:A,Lookups!B:B))*Pipeline_tbl[[#This Row],[Pipeline_Amount_USD]]</f>
        <v>5200</v>
      </c>
      <c r="O5697" t="str">
        <f>_xlfn.XLOOKUP(Pipeline_tbl[[#This Row],[Rep_ID]],Dim_Reps!A:A,Dim_Reps!B:B)</f>
        <v>Alex Okafor</v>
      </c>
      <c r="P5697" t="str">
        <f>_xlfn.XLOOKUP(Pipeline_tbl[[#This Row],[Rep_ID]],Dim_Reps!A:A,Dim_Reps!C:C)</f>
        <v>SDR / Inside Sales Rep</v>
      </c>
      <c r="Q5697" t="str">
        <f>_xlfn.XLOOKUP(Pipeline_tbl[[#This Row],[Rep_ID]],Dim_Reps!A:A,Dim_Reps!D:D)</f>
        <v>Inside Sales</v>
      </c>
      <c r="R5697" t="str">
        <f>_xlfn.XLOOKUP(Pipeline_tbl[[#This Row],[Rep_ID]],Dim_Reps!A:A,Dim_Reps!E:E)</f>
        <v>EMEA</v>
      </c>
      <c r="S5697" t="str">
        <f>_xlfn.XLOOKUP(Pipeline_tbl[[#This Row],[Created_Date]],Dim_Date!A:A,Dim_Date!H:H)</f>
        <v>Dec 2024</v>
      </c>
      <c r="T5697" t="str">
        <f>IF(Pipeline_tbl[[#This Row],[Closed_Date]]=0,"",(_xlfn.XLOOKUP(Pipeline_tbl[[#This Row],[Closed_Date]],Dim_Date!A:A,Dim_Date!H:H)))</f>
        <v>Jan 2025</v>
      </c>
      <c r="U5697">
        <f>IF(Pipeline_tbl[[#This Row],[Closed_Date]]=0,"",Pipeline_tbl[[#This Row],[Closed_Date]]-Pipeline_tbl[[#This Row],[Created_Date]])</f>
        <v>21</v>
      </c>
    </row>
    <row r="5698" spans="1:21" ht="15" customHeight="1" x14ac:dyDescent="0.2">
      <c r="A5698" t="s">
        <v>6004</v>
      </c>
      <c r="B5698" t="s">
        <v>196</v>
      </c>
      <c r="C5698" t="s">
        <v>52</v>
      </c>
      <c r="D5698" s="49">
        <v>45634</v>
      </c>
      <c r="E5698" s="49">
        <v>45636</v>
      </c>
      <c r="F5698" s="49">
        <v>45642</v>
      </c>
      <c r="G5698" s="49">
        <v>45649</v>
      </c>
      <c r="H5698" s="49">
        <v>45655</v>
      </c>
      <c r="I5698" s="49">
        <v>45659</v>
      </c>
      <c r="J5698" t="s">
        <v>47</v>
      </c>
      <c r="K5698" s="33">
        <v>2300</v>
      </c>
      <c r="M5698" t="str">
        <f>_xlfn.XLOOKUP(Pipeline_tbl[[#This Row],[Rep_ID]],Dim_Reps!A:A,Dim_Reps!K:K)</f>
        <v>EUR</v>
      </c>
      <c r="N5698" s="33">
        <f>(_xlfn.XLOOKUP(Pipeline_tbl[[#This Row],[Rate_Code_Generalized]],Lookups!A:A,Lookups!B:B))*Pipeline_tbl[[#This Row],[Pipeline_Amount_USD]]</f>
        <v>2300</v>
      </c>
      <c r="O5698" t="str">
        <f>_xlfn.XLOOKUP(Pipeline_tbl[[#This Row],[Rep_ID]],Dim_Reps!A:A,Dim_Reps!B:B)</f>
        <v>Alex Okafor</v>
      </c>
      <c r="P5698" t="str">
        <f>_xlfn.XLOOKUP(Pipeline_tbl[[#This Row],[Rep_ID]],Dim_Reps!A:A,Dim_Reps!C:C)</f>
        <v>SDR / Inside Sales Rep</v>
      </c>
      <c r="Q5698" t="str">
        <f>_xlfn.XLOOKUP(Pipeline_tbl[[#This Row],[Rep_ID]],Dim_Reps!A:A,Dim_Reps!D:D)</f>
        <v>Inside Sales</v>
      </c>
      <c r="R5698" t="str">
        <f>_xlfn.XLOOKUP(Pipeline_tbl[[#This Row],[Rep_ID]],Dim_Reps!A:A,Dim_Reps!E:E)</f>
        <v>EMEA</v>
      </c>
      <c r="S5698" t="str">
        <f>_xlfn.XLOOKUP(Pipeline_tbl[[#This Row],[Created_Date]],Dim_Date!A:A,Dim_Date!H:H)</f>
        <v>Dec 2024</v>
      </c>
      <c r="T5698" t="str">
        <f>IF(Pipeline_tbl[[#This Row],[Closed_Date]]=0,"",(_xlfn.XLOOKUP(Pipeline_tbl[[#This Row],[Closed_Date]],Dim_Date!A:A,Dim_Date!H:H)))</f>
        <v>Jan 2025</v>
      </c>
      <c r="U5698">
        <f>IF(Pipeline_tbl[[#This Row],[Closed_Date]]=0,"",Pipeline_tbl[[#This Row],[Closed_Date]]-Pipeline_tbl[[#This Row],[Created_Date]])</f>
        <v>25</v>
      </c>
    </row>
    <row r="5699" spans="1:21" ht="15" customHeight="1" x14ac:dyDescent="0.2">
      <c r="A5699" t="s">
        <v>6005</v>
      </c>
      <c r="B5699" t="s">
        <v>196</v>
      </c>
      <c r="C5699" t="s">
        <v>52</v>
      </c>
      <c r="D5699" s="49">
        <v>45640</v>
      </c>
      <c r="E5699" s="49">
        <v>45642</v>
      </c>
      <c r="F5699" s="49">
        <v>45647</v>
      </c>
      <c r="I5699" s="49">
        <v>45662</v>
      </c>
      <c r="J5699" t="s">
        <v>49</v>
      </c>
      <c r="K5699" s="33">
        <v>1300</v>
      </c>
      <c r="L5699" t="s">
        <v>61</v>
      </c>
      <c r="M5699" t="str">
        <f>_xlfn.XLOOKUP(Pipeline_tbl[[#This Row],[Rep_ID]],Dim_Reps!A:A,Dim_Reps!K:K)</f>
        <v>EUR</v>
      </c>
      <c r="N5699" s="33">
        <f>(_xlfn.XLOOKUP(Pipeline_tbl[[#This Row],[Rate_Code_Generalized]],Lookups!A:A,Lookups!B:B))*Pipeline_tbl[[#This Row],[Pipeline_Amount_USD]]</f>
        <v>1300</v>
      </c>
      <c r="O5699" t="str">
        <f>_xlfn.XLOOKUP(Pipeline_tbl[[#This Row],[Rep_ID]],Dim_Reps!A:A,Dim_Reps!B:B)</f>
        <v>Alex Okafor</v>
      </c>
      <c r="P5699" t="str">
        <f>_xlfn.XLOOKUP(Pipeline_tbl[[#This Row],[Rep_ID]],Dim_Reps!A:A,Dim_Reps!C:C)</f>
        <v>SDR / Inside Sales Rep</v>
      </c>
      <c r="Q5699" t="str">
        <f>_xlfn.XLOOKUP(Pipeline_tbl[[#This Row],[Rep_ID]],Dim_Reps!A:A,Dim_Reps!D:D)</f>
        <v>Inside Sales</v>
      </c>
      <c r="R5699" t="str">
        <f>_xlfn.XLOOKUP(Pipeline_tbl[[#This Row],[Rep_ID]],Dim_Reps!A:A,Dim_Reps!E:E)</f>
        <v>EMEA</v>
      </c>
      <c r="S5699" t="str">
        <f>_xlfn.XLOOKUP(Pipeline_tbl[[#This Row],[Created_Date]],Dim_Date!A:A,Dim_Date!H:H)</f>
        <v>Dec 2024</v>
      </c>
      <c r="T5699" t="str">
        <f>IF(Pipeline_tbl[[#This Row],[Closed_Date]]=0,"",(_xlfn.XLOOKUP(Pipeline_tbl[[#This Row],[Closed_Date]],Dim_Date!A:A,Dim_Date!H:H)))</f>
        <v>Jan 2025</v>
      </c>
      <c r="U5699">
        <f>IF(Pipeline_tbl[[#This Row],[Closed_Date]]=0,"",Pipeline_tbl[[#This Row],[Closed_Date]]-Pipeline_tbl[[#This Row],[Created_Date]])</f>
        <v>22</v>
      </c>
    </row>
    <row r="5700" spans="1:21" ht="15" customHeight="1" x14ac:dyDescent="0.2">
      <c r="A5700" t="s">
        <v>6006</v>
      </c>
      <c r="B5700" t="s">
        <v>196</v>
      </c>
      <c r="C5700" t="s">
        <v>52</v>
      </c>
      <c r="D5700" s="49">
        <v>45642</v>
      </c>
      <c r="E5700" s="49">
        <v>45644</v>
      </c>
      <c r="F5700" s="49">
        <v>45647</v>
      </c>
      <c r="G5700" s="49">
        <v>45652</v>
      </c>
      <c r="H5700" s="49">
        <v>45656</v>
      </c>
      <c r="I5700" s="49">
        <v>45658</v>
      </c>
      <c r="J5700" t="s">
        <v>47</v>
      </c>
      <c r="K5700" s="33">
        <v>2600</v>
      </c>
      <c r="M5700" t="str">
        <f>_xlfn.XLOOKUP(Pipeline_tbl[[#This Row],[Rep_ID]],Dim_Reps!A:A,Dim_Reps!K:K)</f>
        <v>EUR</v>
      </c>
      <c r="N5700" s="33">
        <f>(_xlfn.XLOOKUP(Pipeline_tbl[[#This Row],[Rate_Code_Generalized]],Lookups!A:A,Lookups!B:B))*Pipeline_tbl[[#This Row],[Pipeline_Amount_USD]]</f>
        <v>2600</v>
      </c>
      <c r="O5700" t="str">
        <f>_xlfn.XLOOKUP(Pipeline_tbl[[#This Row],[Rep_ID]],Dim_Reps!A:A,Dim_Reps!B:B)</f>
        <v>Alex Okafor</v>
      </c>
      <c r="P5700" t="str">
        <f>_xlfn.XLOOKUP(Pipeline_tbl[[#This Row],[Rep_ID]],Dim_Reps!A:A,Dim_Reps!C:C)</f>
        <v>SDR / Inside Sales Rep</v>
      </c>
      <c r="Q5700" t="str">
        <f>_xlfn.XLOOKUP(Pipeline_tbl[[#This Row],[Rep_ID]],Dim_Reps!A:A,Dim_Reps!D:D)</f>
        <v>Inside Sales</v>
      </c>
      <c r="R5700" t="str">
        <f>_xlfn.XLOOKUP(Pipeline_tbl[[#This Row],[Rep_ID]],Dim_Reps!A:A,Dim_Reps!E:E)</f>
        <v>EMEA</v>
      </c>
      <c r="S5700" t="str">
        <f>_xlfn.XLOOKUP(Pipeline_tbl[[#This Row],[Created_Date]],Dim_Date!A:A,Dim_Date!H:H)</f>
        <v>Dec 2024</v>
      </c>
      <c r="T5700" t="str">
        <f>IF(Pipeline_tbl[[#This Row],[Closed_Date]]=0,"",(_xlfn.XLOOKUP(Pipeline_tbl[[#This Row],[Closed_Date]],Dim_Date!A:A,Dim_Date!H:H)))</f>
        <v>Jan 2025</v>
      </c>
      <c r="U5700">
        <f>IF(Pipeline_tbl[[#This Row],[Closed_Date]]=0,"",Pipeline_tbl[[#This Row],[Closed_Date]]-Pipeline_tbl[[#This Row],[Created_Date]])</f>
        <v>16</v>
      </c>
    </row>
    <row r="5701" spans="1:21" ht="15" customHeight="1" x14ac:dyDescent="0.2">
      <c r="A5701" t="s">
        <v>6007</v>
      </c>
      <c r="B5701" t="s">
        <v>196</v>
      </c>
      <c r="C5701" t="s">
        <v>53</v>
      </c>
      <c r="D5701" s="49">
        <v>45648</v>
      </c>
      <c r="E5701" s="49">
        <v>45650</v>
      </c>
      <c r="F5701" s="49">
        <v>45655</v>
      </c>
      <c r="G5701" s="49">
        <v>45662</v>
      </c>
      <c r="I5701" s="49">
        <v>45671</v>
      </c>
      <c r="J5701" t="s">
        <v>49</v>
      </c>
      <c r="K5701" s="33">
        <v>5700</v>
      </c>
      <c r="L5701" t="s">
        <v>63</v>
      </c>
      <c r="M5701" t="str">
        <f>_xlfn.XLOOKUP(Pipeline_tbl[[#This Row],[Rep_ID]],Dim_Reps!A:A,Dim_Reps!K:K)</f>
        <v>EUR</v>
      </c>
      <c r="N5701" s="33">
        <f>(_xlfn.XLOOKUP(Pipeline_tbl[[#This Row],[Rate_Code_Generalized]],Lookups!A:A,Lookups!B:B))*Pipeline_tbl[[#This Row],[Pipeline_Amount_USD]]</f>
        <v>5700</v>
      </c>
      <c r="O5701" t="str">
        <f>_xlfn.XLOOKUP(Pipeline_tbl[[#This Row],[Rep_ID]],Dim_Reps!A:A,Dim_Reps!B:B)</f>
        <v>Alex Okafor</v>
      </c>
      <c r="P5701" t="str">
        <f>_xlfn.XLOOKUP(Pipeline_tbl[[#This Row],[Rep_ID]],Dim_Reps!A:A,Dim_Reps!C:C)</f>
        <v>SDR / Inside Sales Rep</v>
      </c>
      <c r="Q5701" t="str">
        <f>_xlfn.XLOOKUP(Pipeline_tbl[[#This Row],[Rep_ID]],Dim_Reps!A:A,Dim_Reps!D:D)</f>
        <v>Inside Sales</v>
      </c>
      <c r="R5701" t="str">
        <f>_xlfn.XLOOKUP(Pipeline_tbl[[#This Row],[Rep_ID]],Dim_Reps!A:A,Dim_Reps!E:E)</f>
        <v>EMEA</v>
      </c>
      <c r="S5701" t="str">
        <f>_xlfn.XLOOKUP(Pipeline_tbl[[#This Row],[Created_Date]],Dim_Date!A:A,Dim_Date!H:H)</f>
        <v>Dec 2024</v>
      </c>
      <c r="T5701" t="str">
        <f>IF(Pipeline_tbl[[#This Row],[Closed_Date]]=0,"",(_xlfn.XLOOKUP(Pipeline_tbl[[#This Row],[Closed_Date]],Dim_Date!A:A,Dim_Date!H:H)))</f>
        <v>Jan 2025</v>
      </c>
      <c r="U5701">
        <f>IF(Pipeline_tbl[[#This Row],[Closed_Date]]=0,"",Pipeline_tbl[[#This Row],[Closed_Date]]-Pipeline_tbl[[#This Row],[Created_Date]])</f>
        <v>23</v>
      </c>
    </row>
    <row r="5702" spans="1:21" ht="15" customHeight="1" x14ac:dyDescent="0.2">
      <c r="A5702" t="s">
        <v>6008</v>
      </c>
      <c r="B5702" t="s">
        <v>196</v>
      </c>
      <c r="C5702" t="s">
        <v>54</v>
      </c>
      <c r="D5702" s="49">
        <v>45648</v>
      </c>
      <c r="E5702" s="49">
        <v>45650</v>
      </c>
      <c r="F5702" s="49">
        <v>45654</v>
      </c>
      <c r="G5702" s="49">
        <v>45660</v>
      </c>
      <c r="H5702" s="49">
        <v>45665</v>
      </c>
      <c r="I5702" s="49">
        <v>45668</v>
      </c>
      <c r="J5702" t="s">
        <v>47</v>
      </c>
      <c r="K5702" s="33">
        <v>2100</v>
      </c>
      <c r="M5702" t="str">
        <f>_xlfn.XLOOKUP(Pipeline_tbl[[#This Row],[Rep_ID]],Dim_Reps!A:A,Dim_Reps!K:K)</f>
        <v>EUR</v>
      </c>
      <c r="N5702" s="33">
        <f>(_xlfn.XLOOKUP(Pipeline_tbl[[#This Row],[Rate_Code_Generalized]],Lookups!A:A,Lookups!B:B))*Pipeline_tbl[[#This Row],[Pipeline_Amount_USD]]</f>
        <v>2100</v>
      </c>
      <c r="O5702" t="str">
        <f>_xlfn.XLOOKUP(Pipeline_tbl[[#This Row],[Rep_ID]],Dim_Reps!A:A,Dim_Reps!B:B)</f>
        <v>Alex Okafor</v>
      </c>
      <c r="P5702" t="str">
        <f>_xlfn.XLOOKUP(Pipeline_tbl[[#This Row],[Rep_ID]],Dim_Reps!A:A,Dim_Reps!C:C)</f>
        <v>SDR / Inside Sales Rep</v>
      </c>
      <c r="Q5702" t="str">
        <f>_xlfn.XLOOKUP(Pipeline_tbl[[#This Row],[Rep_ID]],Dim_Reps!A:A,Dim_Reps!D:D)</f>
        <v>Inside Sales</v>
      </c>
      <c r="R5702" t="str">
        <f>_xlfn.XLOOKUP(Pipeline_tbl[[#This Row],[Rep_ID]],Dim_Reps!A:A,Dim_Reps!E:E)</f>
        <v>EMEA</v>
      </c>
      <c r="S5702" t="str">
        <f>_xlfn.XLOOKUP(Pipeline_tbl[[#This Row],[Created_Date]],Dim_Date!A:A,Dim_Date!H:H)</f>
        <v>Dec 2024</v>
      </c>
      <c r="T5702" t="str">
        <f>IF(Pipeline_tbl[[#This Row],[Closed_Date]]=0,"",(_xlfn.XLOOKUP(Pipeline_tbl[[#This Row],[Closed_Date]],Dim_Date!A:A,Dim_Date!H:H)))</f>
        <v>Jan 2025</v>
      </c>
      <c r="U5702">
        <f>IF(Pipeline_tbl[[#This Row],[Closed_Date]]=0,"",Pipeline_tbl[[#This Row],[Closed_Date]]-Pipeline_tbl[[#This Row],[Created_Date]])</f>
        <v>20</v>
      </c>
    </row>
    <row r="5703" spans="1:21" ht="15" customHeight="1" x14ac:dyDescent="0.2">
      <c r="A5703" t="s">
        <v>6009</v>
      </c>
      <c r="B5703" t="s">
        <v>199</v>
      </c>
      <c r="C5703" t="s">
        <v>53</v>
      </c>
      <c r="D5703" s="49">
        <v>45650</v>
      </c>
      <c r="E5703" s="49">
        <v>45652</v>
      </c>
      <c r="F5703" s="49">
        <v>45655</v>
      </c>
      <c r="G5703" s="49">
        <v>45659</v>
      </c>
      <c r="H5703" s="49">
        <v>45663</v>
      </c>
      <c r="I5703" s="49">
        <v>45665</v>
      </c>
      <c r="J5703" t="s">
        <v>49</v>
      </c>
      <c r="K5703" s="33">
        <v>2700</v>
      </c>
      <c r="L5703" t="s">
        <v>62</v>
      </c>
      <c r="M5703" t="str">
        <f>_xlfn.XLOOKUP(Pipeline_tbl[[#This Row],[Rep_ID]],Dim_Reps!A:A,Dim_Reps!K:K)</f>
        <v>EUR</v>
      </c>
      <c r="N5703" s="33">
        <f>(_xlfn.XLOOKUP(Pipeline_tbl[[#This Row],[Rate_Code_Generalized]],Lookups!A:A,Lookups!B:B))*Pipeline_tbl[[#This Row],[Pipeline_Amount_USD]]</f>
        <v>2700</v>
      </c>
      <c r="O5703" t="str">
        <f>_xlfn.XLOOKUP(Pipeline_tbl[[#This Row],[Rep_ID]],Dim_Reps!A:A,Dim_Reps!B:B)</f>
        <v>Lucas Okafor</v>
      </c>
      <c r="P5703" t="str">
        <f>_xlfn.XLOOKUP(Pipeline_tbl[[#This Row],[Rep_ID]],Dim_Reps!A:A,Dim_Reps!C:C)</f>
        <v>SDR / Inside Sales Rep</v>
      </c>
      <c r="Q5703" t="str">
        <f>_xlfn.XLOOKUP(Pipeline_tbl[[#This Row],[Rep_ID]],Dim_Reps!A:A,Dim_Reps!D:D)</f>
        <v>Inside Sales</v>
      </c>
      <c r="R5703" t="str">
        <f>_xlfn.XLOOKUP(Pipeline_tbl[[#This Row],[Rep_ID]],Dim_Reps!A:A,Dim_Reps!E:E)</f>
        <v>APAC</v>
      </c>
      <c r="S5703" t="str">
        <f>_xlfn.XLOOKUP(Pipeline_tbl[[#This Row],[Created_Date]],Dim_Date!A:A,Dim_Date!H:H)</f>
        <v>Dec 2024</v>
      </c>
      <c r="T5703" t="str">
        <f>IF(Pipeline_tbl[[#This Row],[Closed_Date]]=0,"",(_xlfn.XLOOKUP(Pipeline_tbl[[#This Row],[Closed_Date]],Dim_Date!A:A,Dim_Date!H:H)))</f>
        <v>Jan 2025</v>
      </c>
      <c r="U5703">
        <f>IF(Pipeline_tbl[[#This Row],[Closed_Date]]=0,"",Pipeline_tbl[[#This Row],[Closed_Date]]-Pipeline_tbl[[#This Row],[Created_Date]])</f>
        <v>15</v>
      </c>
    </row>
    <row r="5704" spans="1:21" ht="15" customHeight="1" x14ac:dyDescent="0.2">
      <c r="A5704" t="s">
        <v>6010</v>
      </c>
      <c r="B5704" t="s">
        <v>199</v>
      </c>
      <c r="C5704" t="s">
        <v>56</v>
      </c>
      <c r="D5704" s="49">
        <v>45650</v>
      </c>
      <c r="E5704" s="49">
        <v>45652</v>
      </c>
      <c r="F5704" s="49">
        <v>45655</v>
      </c>
      <c r="I5704" s="49">
        <v>45667</v>
      </c>
      <c r="J5704" t="s">
        <v>49</v>
      </c>
      <c r="K5704" s="33">
        <v>4700</v>
      </c>
      <c r="L5704" t="s">
        <v>61</v>
      </c>
      <c r="M5704" t="str">
        <f>_xlfn.XLOOKUP(Pipeline_tbl[[#This Row],[Rep_ID]],Dim_Reps!A:A,Dim_Reps!K:K)</f>
        <v>EUR</v>
      </c>
      <c r="N5704" s="33">
        <f>(_xlfn.XLOOKUP(Pipeline_tbl[[#This Row],[Rate_Code_Generalized]],Lookups!A:A,Lookups!B:B))*Pipeline_tbl[[#This Row],[Pipeline_Amount_USD]]</f>
        <v>4700</v>
      </c>
      <c r="O5704" t="str">
        <f>_xlfn.XLOOKUP(Pipeline_tbl[[#This Row],[Rep_ID]],Dim_Reps!A:A,Dim_Reps!B:B)</f>
        <v>Lucas Okafor</v>
      </c>
      <c r="P5704" t="str">
        <f>_xlfn.XLOOKUP(Pipeline_tbl[[#This Row],[Rep_ID]],Dim_Reps!A:A,Dim_Reps!C:C)</f>
        <v>SDR / Inside Sales Rep</v>
      </c>
      <c r="Q5704" t="str">
        <f>_xlfn.XLOOKUP(Pipeline_tbl[[#This Row],[Rep_ID]],Dim_Reps!A:A,Dim_Reps!D:D)</f>
        <v>Inside Sales</v>
      </c>
      <c r="R5704" t="str">
        <f>_xlfn.XLOOKUP(Pipeline_tbl[[#This Row],[Rep_ID]],Dim_Reps!A:A,Dim_Reps!E:E)</f>
        <v>APAC</v>
      </c>
      <c r="S5704" t="str">
        <f>_xlfn.XLOOKUP(Pipeline_tbl[[#This Row],[Created_Date]],Dim_Date!A:A,Dim_Date!H:H)</f>
        <v>Dec 2024</v>
      </c>
      <c r="T5704" t="str">
        <f>IF(Pipeline_tbl[[#This Row],[Closed_Date]]=0,"",(_xlfn.XLOOKUP(Pipeline_tbl[[#This Row],[Closed_Date]],Dim_Date!A:A,Dim_Date!H:H)))</f>
        <v>Jan 2025</v>
      </c>
      <c r="U5704">
        <f>IF(Pipeline_tbl[[#This Row],[Closed_Date]]=0,"",Pipeline_tbl[[#This Row],[Closed_Date]]-Pipeline_tbl[[#This Row],[Created_Date]])</f>
        <v>17</v>
      </c>
    </row>
    <row r="5705" spans="1:21" ht="15" customHeight="1" x14ac:dyDescent="0.2">
      <c r="A5705" t="s">
        <v>6011</v>
      </c>
      <c r="B5705" t="s">
        <v>199</v>
      </c>
      <c r="C5705" t="s">
        <v>53</v>
      </c>
      <c r="D5705" s="49">
        <v>45657</v>
      </c>
      <c r="E5705" s="49">
        <v>45659</v>
      </c>
      <c r="F5705" s="49">
        <v>45664</v>
      </c>
      <c r="G5705" s="49">
        <v>45671</v>
      </c>
      <c r="I5705" s="49">
        <v>45680</v>
      </c>
      <c r="J5705" t="s">
        <v>49</v>
      </c>
      <c r="K5705" s="33">
        <v>2800</v>
      </c>
      <c r="L5705" t="s">
        <v>61</v>
      </c>
      <c r="M5705" t="str">
        <f>_xlfn.XLOOKUP(Pipeline_tbl[[#This Row],[Rep_ID]],Dim_Reps!A:A,Dim_Reps!K:K)</f>
        <v>EUR</v>
      </c>
      <c r="N5705" s="33">
        <f>(_xlfn.XLOOKUP(Pipeline_tbl[[#This Row],[Rate_Code_Generalized]],Lookups!A:A,Lookups!B:B))*Pipeline_tbl[[#This Row],[Pipeline_Amount_USD]]</f>
        <v>2800</v>
      </c>
      <c r="O5705" t="str">
        <f>_xlfn.XLOOKUP(Pipeline_tbl[[#This Row],[Rep_ID]],Dim_Reps!A:A,Dim_Reps!B:B)</f>
        <v>Lucas Okafor</v>
      </c>
      <c r="P5705" t="str">
        <f>_xlfn.XLOOKUP(Pipeline_tbl[[#This Row],[Rep_ID]],Dim_Reps!A:A,Dim_Reps!C:C)</f>
        <v>SDR / Inside Sales Rep</v>
      </c>
      <c r="Q5705" t="str">
        <f>_xlfn.XLOOKUP(Pipeline_tbl[[#This Row],[Rep_ID]],Dim_Reps!A:A,Dim_Reps!D:D)</f>
        <v>Inside Sales</v>
      </c>
      <c r="R5705" t="str">
        <f>_xlfn.XLOOKUP(Pipeline_tbl[[#This Row],[Rep_ID]],Dim_Reps!A:A,Dim_Reps!E:E)</f>
        <v>APAC</v>
      </c>
      <c r="S5705" t="str">
        <f>_xlfn.XLOOKUP(Pipeline_tbl[[#This Row],[Created_Date]],Dim_Date!A:A,Dim_Date!H:H)</f>
        <v>Dec 2024</v>
      </c>
      <c r="T5705" t="str">
        <f>IF(Pipeline_tbl[[#This Row],[Closed_Date]]=0,"",(_xlfn.XLOOKUP(Pipeline_tbl[[#This Row],[Closed_Date]],Dim_Date!A:A,Dim_Date!H:H)))</f>
        <v>Jan 2025</v>
      </c>
      <c r="U5705">
        <f>IF(Pipeline_tbl[[#This Row],[Closed_Date]]=0,"",Pipeline_tbl[[#This Row],[Closed_Date]]-Pipeline_tbl[[#This Row],[Created_Date]])</f>
        <v>23</v>
      </c>
    </row>
    <row r="5706" spans="1:21" ht="15" customHeight="1" x14ac:dyDescent="0.2">
      <c r="A5706" t="s">
        <v>6012</v>
      </c>
      <c r="B5706" t="s">
        <v>199</v>
      </c>
      <c r="C5706" t="s">
        <v>54</v>
      </c>
      <c r="D5706" s="49">
        <v>45651</v>
      </c>
      <c r="E5706" s="49">
        <v>45653</v>
      </c>
      <c r="F5706" s="49">
        <v>45658</v>
      </c>
      <c r="G5706" s="49">
        <v>45664</v>
      </c>
      <c r="H5706" s="49">
        <v>45670</v>
      </c>
      <c r="I5706" s="49">
        <v>45673</v>
      </c>
      <c r="J5706" t="s">
        <v>47</v>
      </c>
      <c r="K5706" s="33">
        <v>1900</v>
      </c>
      <c r="M5706" t="str">
        <f>_xlfn.XLOOKUP(Pipeline_tbl[[#This Row],[Rep_ID]],Dim_Reps!A:A,Dim_Reps!K:K)</f>
        <v>EUR</v>
      </c>
      <c r="N5706" s="33">
        <f>(_xlfn.XLOOKUP(Pipeline_tbl[[#This Row],[Rate_Code_Generalized]],Lookups!A:A,Lookups!B:B))*Pipeline_tbl[[#This Row],[Pipeline_Amount_USD]]</f>
        <v>1900</v>
      </c>
      <c r="O5706" t="str">
        <f>_xlfn.XLOOKUP(Pipeline_tbl[[#This Row],[Rep_ID]],Dim_Reps!A:A,Dim_Reps!B:B)</f>
        <v>Lucas Okafor</v>
      </c>
      <c r="P5706" t="str">
        <f>_xlfn.XLOOKUP(Pipeline_tbl[[#This Row],[Rep_ID]],Dim_Reps!A:A,Dim_Reps!C:C)</f>
        <v>SDR / Inside Sales Rep</v>
      </c>
      <c r="Q5706" t="str">
        <f>_xlfn.XLOOKUP(Pipeline_tbl[[#This Row],[Rep_ID]],Dim_Reps!A:A,Dim_Reps!D:D)</f>
        <v>Inside Sales</v>
      </c>
      <c r="R5706" t="str">
        <f>_xlfn.XLOOKUP(Pipeline_tbl[[#This Row],[Rep_ID]],Dim_Reps!A:A,Dim_Reps!E:E)</f>
        <v>APAC</v>
      </c>
      <c r="S5706" t="str">
        <f>_xlfn.XLOOKUP(Pipeline_tbl[[#This Row],[Created_Date]],Dim_Date!A:A,Dim_Date!H:H)</f>
        <v>Dec 2024</v>
      </c>
      <c r="T5706" t="str">
        <f>IF(Pipeline_tbl[[#This Row],[Closed_Date]]=0,"",(_xlfn.XLOOKUP(Pipeline_tbl[[#This Row],[Closed_Date]],Dim_Date!A:A,Dim_Date!H:H)))</f>
        <v>Jan 2025</v>
      </c>
      <c r="U5706">
        <f>IF(Pipeline_tbl[[#This Row],[Closed_Date]]=0,"",Pipeline_tbl[[#This Row],[Closed_Date]]-Pipeline_tbl[[#This Row],[Created_Date]])</f>
        <v>22</v>
      </c>
    </row>
    <row r="5707" spans="1:21" ht="15" customHeight="1" x14ac:dyDescent="0.2">
      <c r="A5707" t="s">
        <v>6013</v>
      </c>
      <c r="B5707" t="s">
        <v>199</v>
      </c>
      <c r="C5707" t="s">
        <v>53</v>
      </c>
      <c r="D5707" s="49">
        <v>45649</v>
      </c>
      <c r="E5707" s="49">
        <v>45651</v>
      </c>
      <c r="F5707" s="49">
        <v>45656</v>
      </c>
      <c r="I5707" s="49">
        <v>45672</v>
      </c>
      <c r="J5707" t="s">
        <v>49</v>
      </c>
      <c r="K5707" s="33">
        <v>3800</v>
      </c>
      <c r="L5707" t="s">
        <v>64</v>
      </c>
      <c r="M5707" t="str">
        <f>_xlfn.XLOOKUP(Pipeline_tbl[[#This Row],[Rep_ID]],Dim_Reps!A:A,Dim_Reps!K:K)</f>
        <v>EUR</v>
      </c>
      <c r="N5707" s="33">
        <f>(_xlfn.XLOOKUP(Pipeline_tbl[[#This Row],[Rate_Code_Generalized]],Lookups!A:A,Lookups!B:B))*Pipeline_tbl[[#This Row],[Pipeline_Amount_USD]]</f>
        <v>3800</v>
      </c>
      <c r="O5707" t="str">
        <f>_xlfn.XLOOKUP(Pipeline_tbl[[#This Row],[Rep_ID]],Dim_Reps!A:A,Dim_Reps!B:B)</f>
        <v>Lucas Okafor</v>
      </c>
      <c r="P5707" t="str">
        <f>_xlfn.XLOOKUP(Pipeline_tbl[[#This Row],[Rep_ID]],Dim_Reps!A:A,Dim_Reps!C:C)</f>
        <v>SDR / Inside Sales Rep</v>
      </c>
      <c r="Q5707" t="str">
        <f>_xlfn.XLOOKUP(Pipeline_tbl[[#This Row],[Rep_ID]],Dim_Reps!A:A,Dim_Reps!D:D)</f>
        <v>Inside Sales</v>
      </c>
      <c r="R5707" t="str">
        <f>_xlfn.XLOOKUP(Pipeline_tbl[[#This Row],[Rep_ID]],Dim_Reps!A:A,Dim_Reps!E:E)</f>
        <v>APAC</v>
      </c>
      <c r="S5707" t="str">
        <f>_xlfn.XLOOKUP(Pipeline_tbl[[#This Row],[Created_Date]],Dim_Date!A:A,Dim_Date!H:H)</f>
        <v>Dec 2024</v>
      </c>
      <c r="T5707" t="str">
        <f>IF(Pipeline_tbl[[#This Row],[Closed_Date]]=0,"",(_xlfn.XLOOKUP(Pipeline_tbl[[#This Row],[Closed_Date]],Dim_Date!A:A,Dim_Date!H:H)))</f>
        <v>Jan 2025</v>
      </c>
      <c r="U5707">
        <f>IF(Pipeline_tbl[[#This Row],[Closed_Date]]=0,"",Pipeline_tbl[[#This Row],[Closed_Date]]-Pipeline_tbl[[#This Row],[Created_Date]])</f>
        <v>23</v>
      </c>
    </row>
    <row r="5708" spans="1:21" ht="15" customHeight="1" x14ac:dyDescent="0.2">
      <c r="A5708" t="s">
        <v>6014</v>
      </c>
      <c r="B5708" t="s">
        <v>181</v>
      </c>
      <c r="C5708" t="s">
        <v>55</v>
      </c>
      <c r="D5708" s="49">
        <v>45637</v>
      </c>
      <c r="E5708" s="49">
        <v>45640</v>
      </c>
      <c r="F5708" s="49">
        <v>45646</v>
      </c>
      <c r="G5708" s="49">
        <v>45655</v>
      </c>
      <c r="H5708" s="49">
        <v>45663</v>
      </c>
      <c r="I5708" s="49">
        <v>45667</v>
      </c>
      <c r="J5708" t="s">
        <v>49</v>
      </c>
      <c r="K5708" s="33">
        <v>27200</v>
      </c>
      <c r="L5708" t="s">
        <v>62</v>
      </c>
      <c r="M5708" t="str">
        <f>_xlfn.XLOOKUP(Pipeline_tbl[[#This Row],[Rep_ID]],Dim_Reps!A:A,Dim_Reps!K:K)</f>
        <v>USD</v>
      </c>
      <c r="N5708" s="33">
        <f>(_xlfn.XLOOKUP(Pipeline_tbl[[#This Row],[Rate_Code_Generalized]],Lookups!A:A,Lookups!B:B))*Pipeline_tbl[[#This Row],[Pipeline_Amount_USD]]</f>
        <v>31668.959999999995</v>
      </c>
      <c r="O5708" t="str">
        <f>_xlfn.XLOOKUP(Pipeline_tbl[[#This Row],[Rep_ID]],Dim_Reps!A:A,Dim_Reps!B:B)</f>
        <v>Milo Weber</v>
      </c>
      <c r="P5708" t="str">
        <f>_xlfn.XLOOKUP(Pipeline_tbl[[#This Row],[Rep_ID]],Dim_Reps!A:A,Dim_Reps!C:C)</f>
        <v>Enterprise AE</v>
      </c>
      <c r="Q5708" t="str">
        <f>_xlfn.XLOOKUP(Pipeline_tbl[[#This Row],[Rep_ID]],Dim_Reps!A:A,Dim_Reps!D:D)</f>
        <v>Enterprise</v>
      </c>
      <c r="R5708" t="str">
        <f>_xlfn.XLOOKUP(Pipeline_tbl[[#This Row],[Rep_ID]],Dim_Reps!A:A,Dim_Reps!E:E)</f>
        <v>NAMER</v>
      </c>
      <c r="S5708" t="str">
        <f>_xlfn.XLOOKUP(Pipeline_tbl[[#This Row],[Created_Date]],Dim_Date!A:A,Dim_Date!H:H)</f>
        <v>Dec 2024</v>
      </c>
      <c r="T5708" t="str">
        <f>IF(Pipeline_tbl[[#This Row],[Closed_Date]]=0,"",(_xlfn.XLOOKUP(Pipeline_tbl[[#This Row],[Closed_Date]],Dim_Date!A:A,Dim_Date!H:H)))</f>
        <v>Jan 2025</v>
      </c>
      <c r="U5708">
        <f>IF(Pipeline_tbl[[#This Row],[Closed_Date]]=0,"",Pipeline_tbl[[#This Row],[Closed_Date]]-Pipeline_tbl[[#This Row],[Created_Date]])</f>
        <v>30</v>
      </c>
    </row>
    <row r="5709" spans="1:21" ht="15" customHeight="1" x14ac:dyDescent="0.2">
      <c r="A5709" t="s">
        <v>6015</v>
      </c>
      <c r="B5709" t="s">
        <v>181</v>
      </c>
      <c r="C5709" t="s">
        <v>52</v>
      </c>
      <c r="D5709" s="49">
        <v>45648</v>
      </c>
      <c r="E5709" s="49">
        <v>45652</v>
      </c>
      <c r="F5709" s="49">
        <v>45659</v>
      </c>
      <c r="G5709" s="49">
        <v>45669</v>
      </c>
      <c r="H5709" s="49">
        <v>45678</v>
      </c>
      <c r="I5709" s="49">
        <v>45683</v>
      </c>
      <c r="J5709" t="s">
        <v>49</v>
      </c>
      <c r="K5709" s="33">
        <v>31100</v>
      </c>
      <c r="L5709" t="s">
        <v>61</v>
      </c>
      <c r="M5709" t="str">
        <f>_xlfn.XLOOKUP(Pipeline_tbl[[#This Row],[Rep_ID]],Dim_Reps!A:A,Dim_Reps!K:K)</f>
        <v>USD</v>
      </c>
      <c r="N5709" s="33">
        <f>(_xlfn.XLOOKUP(Pipeline_tbl[[#This Row],[Rate_Code_Generalized]],Lookups!A:A,Lookups!B:B))*Pipeline_tbl[[#This Row],[Pipeline_Amount_USD]]</f>
        <v>36209.729999999996</v>
      </c>
      <c r="O5709" t="str">
        <f>_xlfn.XLOOKUP(Pipeline_tbl[[#This Row],[Rep_ID]],Dim_Reps!A:A,Dim_Reps!B:B)</f>
        <v>Milo Weber</v>
      </c>
      <c r="P5709" t="str">
        <f>_xlfn.XLOOKUP(Pipeline_tbl[[#This Row],[Rep_ID]],Dim_Reps!A:A,Dim_Reps!C:C)</f>
        <v>Enterprise AE</v>
      </c>
      <c r="Q5709" t="str">
        <f>_xlfn.XLOOKUP(Pipeline_tbl[[#This Row],[Rep_ID]],Dim_Reps!A:A,Dim_Reps!D:D)</f>
        <v>Enterprise</v>
      </c>
      <c r="R5709" t="str">
        <f>_xlfn.XLOOKUP(Pipeline_tbl[[#This Row],[Rep_ID]],Dim_Reps!A:A,Dim_Reps!E:E)</f>
        <v>NAMER</v>
      </c>
      <c r="S5709" t="str">
        <f>_xlfn.XLOOKUP(Pipeline_tbl[[#This Row],[Created_Date]],Dim_Date!A:A,Dim_Date!H:H)</f>
        <v>Dec 2024</v>
      </c>
      <c r="T5709" t="str">
        <f>IF(Pipeline_tbl[[#This Row],[Closed_Date]]=0,"",(_xlfn.XLOOKUP(Pipeline_tbl[[#This Row],[Closed_Date]],Dim_Date!A:A,Dim_Date!H:H)))</f>
        <v>Jan 2025</v>
      </c>
      <c r="U5709">
        <f>IF(Pipeline_tbl[[#This Row],[Closed_Date]]=0,"",Pipeline_tbl[[#This Row],[Closed_Date]]-Pipeline_tbl[[#This Row],[Created_Date]])</f>
        <v>35</v>
      </c>
    </row>
    <row r="5710" spans="1:21" ht="15" customHeight="1" x14ac:dyDescent="0.2">
      <c r="A5710" t="s">
        <v>6016</v>
      </c>
      <c r="B5710" t="s">
        <v>183</v>
      </c>
      <c r="C5710" t="s">
        <v>55</v>
      </c>
      <c r="D5710" s="49">
        <v>45651</v>
      </c>
      <c r="E5710" s="49">
        <v>45655</v>
      </c>
      <c r="F5710" s="49">
        <v>45662</v>
      </c>
      <c r="G5710" s="49">
        <v>45673</v>
      </c>
      <c r="H5710" s="49">
        <v>45682</v>
      </c>
      <c r="I5710" s="49">
        <v>45687</v>
      </c>
      <c r="J5710" t="s">
        <v>47</v>
      </c>
      <c r="K5710" s="33">
        <v>57900</v>
      </c>
      <c r="M5710" t="str">
        <f>_xlfn.XLOOKUP(Pipeline_tbl[[#This Row],[Rep_ID]],Dim_Reps!A:A,Dim_Reps!K:K)</f>
        <v>EUR</v>
      </c>
      <c r="N5710" s="33">
        <f>(_xlfn.XLOOKUP(Pipeline_tbl[[#This Row],[Rate_Code_Generalized]],Lookups!A:A,Lookups!B:B))*Pipeline_tbl[[#This Row],[Pipeline_Amount_USD]]</f>
        <v>57900</v>
      </c>
      <c r="O5710" t="str">
        <f>_xlfn.XLOOKUP(Pipeline_tbl[[#This Row],[Rep_ID]],Dim_Reps!A:A,Dim_Reps!B:B)</f>
        <v>Sam Schmidt</v>
      </c>
      <c r="P5710" t="str">
        <f>_xlfn.XLOOKUP(Pipeline_tbl[[#This Row],[Rep_ID]],Dim_Reps!A:A,Dim_Reps!C:C)</f>
        <v>Enterprise AE</v>
      </c>
      <c r="Q5710" t="str">
        <f>_xlfn.XLOOKUP(Pipeline_tbl[[#This Row],[Rep_ID]],Dim_Reps!A:A,Dim_Reps!D:D)</f>
        <v>Enterprise</v>
      </c>
      <c r="R5710" t="str">
        <f>_xlfn.XLOOKUP(Pipeline_tbl[[#This Row],[Rep_ID]],Dim_Reps!A:A,Dim_Reps!E:E)</f>
        <v>EMEA</v>
      </c>
      <c r="S5710" t="str">
        <f>_xlfn.XLOOKUP(Pipeline_tbl[[#This Row],[Created_Date]],Dim_Date!A:A,Dim_Date!H:H)</f>
        <v>Dec 2024</v>
      </c>
      <c r="T5710" t="str">
        <f>IF(Pipeline_tbl[[#This Row],[Closed_Date]]=0,"",(_xlfn.XLOOKUP(Pipeline_tbl[[#This Row],[Closed_Date]],Dim_Date!A:A,Dim_Date!H:H)))</f>
        <v>Jan 2025</v>
      </c>
      <c r="U5710">
        <f>IF(Pipeline_tbl[[#This Row],[Closed_Date]]=0,"",Pipeline_tbl[[#This Row],[Closed_Date]]-Pipeline_tbl[[#This Row],[Created_Date]])</f>
        <v>36</v>
      </c>
    </row>
    <row r="5711" spans="1:21" ht="15" customHeight="1" x14ac:dyDescent="0.2">
      <c r="A5711" t="s">
        <v>6017</v>
      </c>
      <c r="B5711" t="s">
        <v>203</v>
      </c>
      <c r="C5711" t="s">
        <v>53</v>
      </c>
      <c r="D5711" s="49">
        <v>45649</v>
      </c>
      <c r="E5711" s="49">
        <v>45652</v>
      </c>
      <c r="F5711" s="49">
        <v>45657</v>
      </c>
      <c r="I5711" s="49">
        <v>45676</v>
      </c>
      <c r="J5711" t="s">
        <v>49</v>
      </c>
      <c r="K5711" s="33">
        <v>2300</v>
      </c>
      <c r="L5711" t="s">
        <v>63</v>
      </c>
      <c r="M5711" t="str">
        <f>_xlfn.XLOOKUP(Pipeline_tbl[[#This Row],[Rep_ID]],Dim_Reps!A:A,Dim_Reps!K:K)</f>
        <v>EUR</v>
      </c>
      <c r="N5711" s="33">
        <f>(_xlfn.XLOOKUP(Pipeline_tbl[[#This Row],[Rate_Code_Generalized]],Lookups!A:A,Lookups!B:B))*Pipeline_tbl[[#This Row],[Pipeline_Amount_USD]]</f>
        <v>2300</v>
      </c>
      <c r="O5711" t="str">
        <f>_xlfn.XLOOKUP(Pipeline_tbl[[#This Row],[Rep_ID]],Dim_Reps!A:A,Dim_Reps!B:B)</f>
        <v>Riley Haddad</v>
      </c>
      <c r="P5711" t="str">
        <f>_xlfn.XLOOKUP(Pipeline_tbl[[#This Row],[Rep_ID]],Dim_Reps!A:A,Dim_Reps!C:C)</f>
        <v>SDR / Inside Sales Rep</v>
      </c>
      <c r="Q5711" t="str">
        <f>_xlfn.XLOOKUP(Pipeline_tbl[[#This Row],[Rep_ID]],Dim_Reps!A:A,Dim_Reps!D:D)</f>
        <v>Inside Sales</v>
      </c>
      <c r="R5711" t="str">
        <f>_xlfn.XLOOKUP(Pipeline_tbl[[#This Row],[Rep_ID]],Dim_Reps!A:A,Dim_Reps!E:E)</f>
        <v>APAC</v>
      </c>
      <c r="S5711" t="str">
        <f>_xlfn.XLOOKUP(Pipeline_tbl[[#This Row],[Created_Date]],Dim_Date!A:A,Dim_Date!H:H)</f>
        <v>Dec 2024</v>
      </c>
      <c r="T5711" t="str">
        <f>IF(Pipeline_tbl[[#This Row],[Closed_Date]]=0,"",(_xlfn.XLOOKUP(Pipeline_tbl[[#This Row],[Closed_Date]],Dim_Date!A:A,Dim_Date!H:H)))</f>
        <v>Jan 2025</v>
      </c>
      <c r="U5711">
        <f>IF(Pipeline_tbl[[#This Row],[Closed_Date]]=0,"",Pipeline_tbl[[#This Row],[Closed_Date]]-Pipeline_tbl[[#This Row],[Created_Date]])</f>
        <v>27</v>
      </c>
    </row>
    <row r="5712" spans="1:21" ht="15" customHeight="1" x14ac:dyDescent="0.2">
      <c r="A5712" t="s">
        <v>6018</v>
      </c>
      <c r="B5712" t="s">
        <v>203</v>
      </c>
      <c r="C5712" t="s">
        <v>53</v>
      </c>
      <c r="D5712" s="49">
        <v>45655</v>
      </c>
      <c r="E5712" s="49">
        <v>45657</v>
      </c>
      <c r="I5712" s="49">
        <v>45678</v>
      </c>
      <c r="J5712" t="s">
        <v>49</v>
      </c>
      <c r="K5712" s="33">
        <v>3200</v>
      </c>
      <c r="L5712" t="s">
        <v>64</v>
      </c>
      <c r="M5712" t="str">
        <f>_xlfn.XLOOKUP(Pipeline_tbl[[#This Row],[Rep_ID]],Dim_Reps!A:A,Dim_Reps!K:K)</f>
        <v>EUR</v>
      </c>
      <c r="N5712" s="33">
        <f>(_xlfn.XLOOKUP(Pipeline_tbl[[#This Row],[Rate_Code_Generalized]],Lookups!A:A,Lookups!B:B))*Pipeline_tbl[[#This Row],[Pipeline_Amount_USD]]</f>
        <v>3200</v>
      </c>
      <c r="O5712" t="str">
        <f>_xlfn.XLOOKUP(Pipeline_tbl[[#This Row],[Rep_ID]],Dim_Reps!A:A,Dim_Reps!B:B)</f>
        <v>Riley Haddad</v>
      </c>
      <c r="P5712" t="str">
        <f>_xlfn.XLOOKUP(Pipeline_tbl[[#This Row],[Rep_ID]],Dim_Reps!A:A,Dim_Reps!C:C)</f>
        <v>SDR / Inside Sales Rep</v>
      </c>
      <c r="Q5712" t="str">
        <f>_xlfn.XLOOKUP(Pipeline_tbl[[#This Row],[Rep_ID]],Dim_Reps!A:A,Dim_Reps!D:D)</f>
        <v>Inside Sales</v>
      </c>
      <c r="R5712" t="str">
        <f>_xlfn.XLOOKUP(Pipeline_tbl[[#This Row],[Rep_ID]],Dim_Reps!A:A,Dim_Reps!E:E)</f>
        <v>APAC</v>
      </c>
      <c r="S5712" t="str">
        <f>_xlfn.XLOOKUP(Pipeline_tbl[[#This Row],[Created_Date]],Dim_Date!A:A,Dim_Date!H:H)</f>
        <v>Dec 2024</v>
      </c>
      <c r="T5712" t="str">
        <f>IF(Pipeline_tbl[[#This Row],[Closed_Date]]=0,"",(_xlfn.XLOOKUP(Pipeline_tbl[[#This Row],[Closed_Date]],Dim_Date!A:A,Dim_Date!H:H)))</f>
        <v>Jan 2025</v>
      </c>
      <c r="U5712">
        <f>IF(Pipeline_tbl[[#This Row],[Closed_Date]]=0,"",Pipeline_tbl[[#This Row],[Closed_Date]]-Pipeline_tbl[[#This Row],[Created_Date]])</f>
        <v>23</v>
      </c>
    </row>
    <row r="5713" spans="1:21" ht="15" customHeight="1" x14ac:dyDescent="0.2">
      <c r="A5713" t="s">
        <v>6019</v>
      </c>
      <c r="B5713" t="s">
        <v>203</v>
      </c>
      <c r="C5713" t="s">
        <v>53</v>
      </c>
      <c r="D5713" s="49">
        <v>45652</v>
      </c>
      <c r="E5713" s="49">
        <v>45654</v>
      </c>
      <c r="F5713" s="49">
        <v>45658</v>
      </c>
      <c r="I5713" s="49">
        <v>45672</v>
      </c>
      <c r="J5713" t="s">
        <v>49</v>
      </c>
      <c r="K5713" s="33">
        <v>5900</v>
      </c>
      <c r="L5713" t="s">
        <v>60</v>
      </c>
      <c r="M5713" t="str">
        <f>_xlfn.XLOOKUP(Pipeline_tbl[[#This Row],[Rep_ID]],Dim_Reps!A:A,Dim_Reps!K:K)</f>
        <v>EUR</v>
      </c>
      <c r="N5713" s="33">
        <f>(_xlfn.XLOOKUP(Pipeline_tbl[[#This Row],[Rate_Code_Generalized]],Lookups!A:A,Lookups!B:B))*Pipeline_tbl[[#This Row],[Pipeline_Amount_USD]]</f>
        <v>5900</v>
      </c>
      <c r="O5713" t="str">
        <f>_xlfn.XLOOKUP(Pipeline_tbl[[#This Row],[Rep_ID]],Dim_Reps!A:A,Dim_Reps!B:B)</f>
        <v>Riley Haddad</v>
      </c>
      <c r="P5713" t="str">
        <f>_xlfn.XLOOKUP(Pipeline_tbl[[#This Row],[Rep_ID]],Dim_Reps!A:A,Dim_Reps!C:C)</f>
        <v>SDR / Inside Sales Rep</v>
      </c>
      <c r="Q5713" t="str">
        <f>_xlfn.XLOOKUP(Pipeline_tbl[[#This Row],[Rep_ID]],Dim_Reps!A:A,Dim_Reps!D:D)</f>
        <v>Inside Sales</v>
      </c>
      <c r="R5713" t="str">
        <f>_xlfn.XLOOKUP(Pipeline_tbl[[#This Row],[Rep_ID]],Dim_Reps!A:A,Dim_Reps!E:E)</f>
        <v>APAC</v>
      </c>
      <c r="S5713" t="str">
        <f>_xlfn.XLOOKUP(Pipeline_tbl[[#This Row],[Created_Date]],Dim_Date!A:A,Dim_Date!H:H)</f>
        <v>Dec 2024</v>
      </c>
      <c r="T5713" t="str">
        <f>IF(Pipeline_tbl[[#This Row],[Closed_Date]]=0,"",(_xlfn.XLOOKUP(Pipeline_tbl[[#This Row],[Closed_Date]],Dim_Date!A:A,Dim_Date!H:H)))</f>
        <v>Jan 2025</v>
      </c>
      <c r="U5713">
        <f>IF(Pipeline_tbl[[#This Row],[Closed_Date]]=0,"",Pipeline_tbl[[#This Row],[Closed_Date]]-Pipeline_tbl[[#This Row],[Created_Date]])</f>
        <v>20</v>
      </c>
    </row>
    <row r="5714" spans="1:21" ht="15" customHeight="1" x14ac:dyDescent="0.2">
      <c r="A5714" t="s">
        <v>6020</v>
      </c>
      <c r="B5714" t="s">
        <v>203</v>
      </c>
      <c r="C5714" t="s">
        <v>52</v>
      </c>
      <c r="D5714" s="49">
        <v>45638</v>
      </c>
      <c r="E5714" s="49">
        <v>45640</v>
      </c>
      <c r="F5714" s="49">
        <v>45645</v>
      </c>
      <c r="G5714" s="49">
        <v>45652</v>
      </c>
      <c r="I5714" s="49">
        <v>45661</v>
      </c>
      <c r="J5714" t="s">
        <v>49</v>
      </c>
      <c r="K5714" s="33">
        <v>3200</v>
      </c>
      <c r="L5714" t="s">
        <v>60</v>
      </c>
      <c r="M5714" t="str">
        <f>_xlfn.XLOOKUP(Pipeline_tbl[[#This Row],[Rep_ID]],Dim_Reps!A:A,Dim_Reps!K:K)</f>
        <v>EUR</v>
      </c>
      <c r="N5714" s="33">
        <f>(_xlfn.XLOOKUP(Pipeline_tbl[[#This Row],[Rate_Code_Generalized]],Lookups!A:A,Lookups!B:B))*Pipeline_tbl[[#This Row],[Pipeline_Amount_USD]]</f>
        <v>3200</v>
      </c>
      <c r="O5714" t="str">
        <f>_xlfn.XLOOKUP(Pipeline_tbl[[#This Row],[Rep_ID]],Dim_Reps!A:A,Dim_Reps!B:B)</f>
        <v>Riley Haddad</v>
      </c>
      <c r="P5714" t="str">
        <f>_xlfn.XLOOKUP(Pipeline_tbl[[#This Row],[Rep_ID]],Dim_Reps!A:A,Dim_Reps!C:C)</f>
        <v>SDR / Inside Sales Rep</v>
      </c>
      <c r="Q5714" t="str">
        <f>_xlfn.XLOOKUP(Pipeline_tbl[[#This Row],[Rep_ID]],Dim_Reps!A:A,Dim_Reps!D:D)</f>
        <v>Inside Sales</v>
      </c>
      <c r="R5714" t="str">
        <f>_xlfn.XLOOKUP(Pipeline_tbl[[#This Row],[Rep_ID]],Dim_Reps!A:A,Dim_Reps!E:E)</f>
        <v>APAC</v>
      </c>
      <c r="S5714" t="str">
        <f>_xlfn.XLOOKUP(Pipeline_tbl[[#This Row],[Created_Date]],Dim_Date!A:A,Dim_Date!H:H)</f>
        <v>Dec 2024</v>
      </c>
      <c r="T5714" t="str">
        <f>IF(Pipeline_tbl[[#This Row],[Closed_Date]]=0,"",(_xlfn.XLOOKUP(Pipeline_tbl[[#This Row],[Closed_Date]],Dim_Date!A:A,Dim_Date!H:H)))</f>
        <v>Jan 2025</v>
      </c>
      <c r="U5714">
        <f>IF(Pipeline_tbl[[#This Row],[Closed_Date]]=0,"",Pipeline_tbl[[#This Row],[Closed_Date]]-Pipeline_tbl[[#This Row],[Created_Date]])</f>
        <v>23</v>
      </c>
    </row>
    <row r="5715" spans="1:21" ht="15" customHeight="1" x14ac:dyDescent="0.2">
      <c r="A5715" t="s">
        <v>6021</v>
      </c>
      <c r="B5715" t="s">
        <v>278</v>
      </c>
      <c r="C5715" t="s">
        <v>56</v>
      </c>
      <c r="D5715" s="49">
        <v>45627</v>
      </c>
      <c r="E5715" s="49">
        <v>45632</v>
      </c>
      <c r="F5715" s="49">
        <v>45643</v>
      </c>
      <c r="I5715" s="49">
        <v>45680</v>
      </c>
      <c r="J5715" t="s">
        <v>49</v>
      </c>
      <c r="K5715" s="33">
        <v>71300</v>
      </c>
      <c r="L5715" t="s">
        <v>64</v>
      </c>
      <c r="M5715" t="str">
        <f>_xlfn.XLOOKUP(Pipeline_tbl[[#This Row],[Rep_ID]],Dim_Reps!A:A,Dim_Reps!K:K)</f>
        <v>EUR</v>
      </c>
      <c r="N5715" s="33">
        <f>(_xlfn.XLOOKUP(Pipeline_tbl[[#This Row],[Rate_Code_Generalized]],Lookups!A:A,Lookups!B:B))*Pipeline_tbl[[#This Row],[Pipeline_Amount_USD]]</f>
        <v>71300</v>
      </c>
      <c r="O5715" t="str">
        <f>_xlfn.XLOOKUP(Pipeline_tbl[[#This Row],[Rep_ID]],Dim_Reps!A:A,Dim_Reps!B:B)</f>
        <v>Sara Andersson</v>
      </c>
      <c r="P5715" t="str">
        <f>_xlfn.XLOOKUP(Pipeline_tbl[[#This Row],[Rep_ID]],Dim_Reps!A:A,Dim_Reps!C:C)</f>
        <v>Senior Enterprise AE</v>
      </c>
      <c r="Q5715" t="str">
        <f>_xlfn.XLOOKUP(Pipeline_tbl[[#This Row],[Rep_ID]],Dim_Reps!A:A,Dim_Reps!D:D)</f>
        <v>Strategic</v>
      </c>
      <c r="R5715" t="str">
        <f>_xlfn.XLOOKUP(Pipeline_tbl[[#This Row],[Rep_ID]],Dim_Reps!A:A,Dim_Reps!E:E)</f>
        <v>APAC</v>
      </c>
      <c r="S5715" t="str">
        <f>_xlfn.XLOOKUP(Pipeline_tbl[[#This Row],[Created_Date]],Dim_Date!A:A,Dim_Date!H:H)</f>
        <v>Dec 2024</v>
      </c>
      <c r="T5715" t="str">
        <f>IF(Pipeline_tbl[[#This Row],[Closed_Date]]=0,"",(_xlfn.XLOOKUP(Pipeline_tbl[[#This Row],[Closed_Date]],Dim_Date!A:A,Dim_Date!H:H)))</f>
        <v>Jan 2025</v>
      </c>
      <c r="U5715">
        <f>IF(Pipeline_tbl[[#This Row],[Closed_Date]]=0,"",Pipeline_tbl[[#This Row],[Closed_Date]]-Pipeline_tbl[[#This Row],[Created_Date]])</f>
        <v>53</v>
      </c>
    </row>
    <row r="5716" spans="1:21" ht="15" customHeight="1" x14ac:dyDescent="0.2">
      <c r="A5716" t="s">
        <v>6022</v>
      </c>
      <c r="B5716" t="s">
        <v>185</v>
      </c>
      <c r="C5716" t="s">
        <v>53</v>
      </c>
      <c r="D5716" s="49">
        <v>45635</v>
      </c>
      <c r="E5716" s="49">
        <v>45640</v>
      </c>
      <c r="F5716" s="49">
        <v>45649</v>
      </c>
      <c r="G5716" s="49">
        <v>45663</v>
      </c>
      <c r="H5716" s="49">
        <v>45674</v>
      </c>
      <c r="I5716" s="49">
        <v>45681</v>
      </c>
      <c r="J5716" t="s">
        <v>47</v>
      </c>
      <c r="K5716" s="33">
        <v>35600</v>
      </c>
      <c r="M5716" t="str">
        <f>_xlfn.XLOOKUP(Pipeline_tbl[[#This Row],[Rep_ID]],Dim_Reps!A:A,Dim_Reps!K:K)</f>
        <v>MXN</v>
      </c>
      <c r="N5716" s="33">
        <f>(_xlfn.XLOOKUP(Pipeline_tbl[[#This Row],[Rate_Code_Generalized]],Lookups!A:A,Lookups!B:B))*Pipeline_tbl[[#This Row],[Pipeline_Amount_USD]]</f>
        <v>702484.12</v>
      </c>
      <c r="O5716" t="str">
        <f>_xlfn.XLOOKUP(Pipeline_tbl[[#This Row],[Rep_ID]],Dim_Reps!A:A,Dim_Reps!B:B)</f>
        <v>Noah Kim</v>
      </c>
      <c r="P5716" t="str">
        <f>_xlfn.XLOOKUP(Pipeline_tbl[[#This Row],[Rep_ID]],Dim_Reps!A:A,Dim_Reps!C:C)</f>
        <v>Enterprise AE</v>
      </c>
      <c r="Q5716" t="str">
        <f>_xlfn.XLOOKUP(Pipeline_tbl[[#This Row],[Rep_ID]],Dim_Reps!A:A,Dim_Reps!D:D)</f>
        <v>Enterprise</v>
      </c>
      <c r="R5716" t="str">
        <f>_xlfn.XLOOKUP(Pipeline_tbl[[#This Row],[Rep_ID]],Dim_Reps!A:A,Dim_Reps!E:E)</f>
        <v>LATAM</v>
      </c>
      <c r="S5716" t="str">
        <f>_xlfn.XLOOKUP(Pipeline_tbl[[#This Row],[Created_Date]],Dim_Date!A:A,Dim_Date!H:H)</f>
        <v>Dec 2024</v>
      </c>
      <c r="T5716" t="str">
        <f>IF(Pipeline_tbl[[#This Row],[Closed_Date]]=0,"",(_xlfn.XLOOKUP(Pipeline_tbl[[#This Row],[Closed_Date]],Dim_Date!A:A,Dim_Date!H:H)))</f>
        <v>Jan 2025</v>
      </c>
      <c r="U5716">
        <f>IF(Pipeline_tbl[[#This Row],[Closed_Date]]=0,"",Pipeline_tbl[[#This Row],[Closed_Date]]-Pipeline_tbl[[#This Row],[Created_Date]])</f>
        <v>46</v>
      </c>
    </row>
    <row r="5717" spans="1:21" ht="15" customHeight="1" x14ac:dyDescent="0.2">
      <c r="A5717" t="s">
        <v>6023</v>
      </c>
      <c r="B5717" t="s">
        <v>205</v>
      </c>
      <c r="C5717" t="s">
        <v>53</v>
      </c>
      <c r="D5717" s="49">
        <v>45641</v>
      </c>
      <c r="E5717" s="49">
        <v>45643</v>
      </c>
      <c r="F5717" s="49">
        <v>45648</v>
      </c>
      <c r="G5717" s="49">
        <v>45655</v>
      </c>
      <c r="I5717" s="49">
        <v>45664</v>
      </c>
      <c r="J5717" t="s">
        <v>49</v>
      </c>
      <c r="K5717" s="33">
        <v>2600</v>
      </c>
      <c r="L5717" t="s">
        <v>60</v>
      </c>
      <c r="M5717" t="str">
        <f>_xlfn.XLOOKUP(Pipeline_tbl[[#This Row],[Rep_ID]],Dim_Reps!A:A,Dim_Reps!K:K)</f>
        <v>EUR</v>
      </c>
      <c r="N5717" s="33">
        <f>(_xlfn.XLOOKUP(Pipeline_tbl[[#This Row],[Rate_Code_Generalized]],Lookups!A:A,Lookups!B:B))*Pipeline_tbl[[#This Row],[Pipeline_Amount_USD]]</f>
        <v>2600</v>
      </c>
      <c r="O5717" t="str">
        <f>_xlfn.XLOOKUP(Pipeline_tbl[[#This Row],[Rep_ID]],Dim_Reps!A:A,Dim_Reps!B:B)</f>
        <v>Karim Alvarez</v>
      </c>
      <c r="P5717" t="str">
        <f>_xlfn.XLOOKUP(Pipeline_tbl[[#This Row],[Rep_ID]],Dim_Reps!A:A,Dim_Reps!C:C)</f>
        <v>SDR / Inside Sales Rep</v>
      </c>
      <c r="Q5717" t="str">
        <f>_xlfn.XLOOKUP(Pipeline_tbl[[#This Row],[Rep_ID]],Dim_Reps!A:A,Dim_Reps!D:D)</f>
        <v>Inside Sales</v>
      </c>
      <c r="R5717" t="str">
        <f>_xlfn.XLOOKUP(Pipeline_tbl[[#This Row],[Rep_ID]],Dim_Reps!A:A,Dim_Reps!E:E)</f>
        <v>EMEA</v>
      </c>
      <c r="S5717" t="str">
        <f>_xlfn.XLOOKUP(Pipeline_tbl[[#This Row],[Created_Date]],Dim_Date!A:A,Dim_Date!H:H)</f>
        <v>Dec 2024</v>
      </c>
      <c r="T5717" t="str">
        <f>IF(Pipeline_tbl[[#This Row],[Closed_Date]]=0,"",(_xlfn.XLOOKUP(Pipeline_tbl[[#This Row],[Closed_Date]],Dim_Date!A:A,Dim_Date!H:H)))</f>
        <v>Jan 2025</v>
      </c>
      <c r="U5717">
        <f>IF(Pipeline_tbl[[#This Row],[Closed_Date]]=0,"",Pipeline_tbl[[#This Row],[Closed_Date]]-Pipeline_tbl[[#This Row],[Created_Date]])</f>
        <v>23</v>
      </c>
    </row>
    <row r="5718" spans="1:21" ht="15" customHeight="1" x14ac:dyDescent="0.2">
      <c r="A5718" t="s">
        <v>6024</v>
      </c>
      <c r="B5718" t="s">
        <v>205</v>
      </c>
      <c r="C5718" t="s">
        <v>53</v>
      </c>
      <c r="D5718" s="49">
        <v>45650</v>
      </c>
      <c r="E5718" s="49">
        <v>45652</v>
      </c>
      <c r="I5718" s="49">
        <v>45666</v>
      </c>
      <c r="J5718" t="s">
        <v>49</v>
      </c>
      <c r="K5718" s="33">
        <v>4600</v>
      </c>
      <c r="L5718" t="s">
        <v>60</v>
      </c>
      <c r="M5718" t="str">
        <f>_xlfn.XLOOKUP(Pipeline_tbl[[#This Row],[Rep_ID]],Dim_Reps!A:A,Dim_Reps!K:K)</f>
        <v>EUR</v>
      </c>
      <c r="N5718" s="33">
        <f>(_xlfn.XLOOKUP(Pipeline_tbl[[#This Row],[Rate_Code_Generalized]],Lookups!A:A,Lookups!B:B))*Pipeline_tbl[[#This Row],[Pipeline_Amount_USD]]</f>
        <v>4600</v>
      </c>
      <c r="O5718" t="str">
        <f>_xlfn.XLOOKUP(Pipeline_tbl[[#This Row],[Rep_ID]],Dim_Reps!A:A,Dim_Reps!B:B)</f>
        <v>Karim Alvarez</v>
      </c>
      <c r="P5718" t="str">
        <f>_xlfn.XLOOKUP(Pipeline_tbl[[#This Row],[Rep_ID]],Dim_Reps!A:A,Dim_Reps!C:C)</f>
        <v>SDR / Inside Sales Rep</v>
      </c>
      <c r="Q5718" t="str">
        <f>_xlfn.XLOOKUP(Pipeline_tbl[[#This Row],[Rep_ID]],Dim_Reps!A:A,Dim_Reps!D:D)</f>
        <v>Inside Sales</v>
      </c>
      <c r="R5718" t="str">
        <f>_xlfn.XLOOKUP(Pipeline_tbl[[#This Row],[Rep_ID]],Dim_Reps!A:A,Dim_Reps!E:E)</f>
        <v>EMEA</v>
      </c>
      <c r="S5718" t="str">
        <f>_xlfn.XLOOKUP(Pipeline_tbl[[#This Row],[Created_Date]],Dim_Date!A:A,Dim_Date!H:H)</f>
        <v>Dec 2024</v>
      </c>
      <c r="T5718" t="str">
        <f>IF(Pipeline_tbl[[#This Row],[Closed_Date]]=0,"",(_xlfn.XLOOKUP(Pipeline_tbl[[#This Row],[Closed_Date]],Dim_Date!A:A,Dim_Date!H:H)))</f>
        <v>Jan 2025</v>
      </c>
      <c r="U5718">
        <f>IF(Pipeline_tbl[[#This Row],[Closed_Date]]=0,"",Pipeline_tbl[[#This Row],[Closed_Date]]-Pipeline_tbl[[#This Row],[Created_Date]])</f>
        <v>16</v>
      </c>
    </row>
    <row r="5719" spans="1:21" ht="15" customHeight="1" x14ac:dyDescent="0.2">
      <c r="A5719" t="s">
        <v>6025</v>
      </c>
      <c r="B5719" t="s">
        <v>205</v>
      </c>
      <c r="C5719" t="s">
        <v>52</v>
      </c>
      <c r="D5719" s="49">
        <v>45637</v>
      </c>
      <c r="E5719" s="49">
        <v>45639</v>
      </c>
      <c r="F5719" s="49">
        <v>45643</v>
      </c>
      <c r="I5719" s="49">
        <v>45658</v>
      </c>
      <c r="J5719" t="s">
        <v>49</v>
      </c>
      <c r="K5719" s="33">
        <v>2200</v>
      </c>
      <c r="L5719" t="s">
        <v>60</v>
      </c>
      <c r="M5719" t="str">
        <f>_xlfn.XLOOKUP(Pipeline_tbl[[#This Row],[Rep_ID]],Dim_Reps!A:A,Dim_Reps!K:K)</f>
        <v>EUR</v>
      </c>
      <c r="N5719" s="33">
        <f>(_xlfn.XLOOKUP(Pipeline_tbl[[#This Row],[Rate_Code_Generalized]],Lookups!A:A,Lookups!B:B))*Pipeline_tbl[[#This Row],[Pipeline_Amount_USD]]</f>
        <v>2200</v>
      </c>
      <c r="O5719" t="str">
        <f>_xlfn.XLOOKUP(Pipeline_tbl[[#This Row],[Rep_ID]],Dim_Reps!A:A,Dim_Reps!B:B)</f>
        <v>Karim Alvarez</v>
      </c>
      <c r="P5719" t="str">
        <f>_xlfn.XLOOKUP(Pipeline_tbl[[#This Row],[Rep_ID]],Dim_Reps!A:A,Dim_Reps!C:C)</f>
        <v>SDR / Inside Sales Rep</v>
      </c>
      <c r="Q5719" t="str">
        <f>_xlfn.XLOOKUP(Pipeline_tbl[[#This Row],[Rep_ID]],Dim_Reps!A:A,Dim_Reps!D:D)</f>
        <v>Inside Sales</v>
      </c>
      <c r="R5719" t="str">
        <f>_xlfn.XLOOKUP(Pipeline_tbl[[#This Row],[Rep_ID]],Dim_Reps!A:A,Dim_Reps!E:E)</f>
        <v>EMEA</v>
      </c>
      <c r="S5719" t="str">
        <f>_xlfn.XLOOKUP(Pipeline_tbl[[#This Row],[Created_Date]],Dim_Date!A:A,Dim_Date!H:H)</f>
        <v>Dec 2024</v>
      </c>
      <c r="T5719" t="str">
        <f>IF(Pipeline_tbl[[#This Row],[Closed_Date]]=0,"",(_xlfn.XLOOKUP(Pipeline_tbl[[#This Row],[Closed_Date]],Dim_Date!A:A,Dim_Date!H:H)))</f>
        <v>Jan 2025</v>
      </c>
      <c r="U5719">
        <f>IF(Pipeline_tbl[[#This Row],[Closed_Date]]=0,"",Pipeline_tbl[[#This Row],[Closed_Date]]-Pipeline_tbl[[#This Row],[Created_Date]])</f>
        <v>21</v>
      </c>
    </row>
    <row r="5720" spans="1:21" ht="15" customHeight="1" x14ac:dyDescent="0.2">
      <c r="A5720" t="s">
        <v>6026</v>
      </c>
      <c r="B5720" t="s">
        <v>205</v>
      </c>
      <c r="C5720" t="s">
        <v>53</v>
      </c>
      <c r="D5720" s="49">
        <v>45637</v>
      </c>
      <c r="E5720" s="49">
        <v>45639</v>
      </c>
      <c r="F5720" s="49">
        <v>45644</v>
      </c>
      <c r="I5720" s="49">
        <v>45661</v>
      </c>
      <c r="J5720" t="s">
        <v>49</v>
      </c>
      <c r="K5720" s="33">
        <v>2300</v>
      </c>
      <c r="L5720" t="s">
        <v>62</v>
      </c>
      <c r="M5720" t="str">
        <f>_xlfn.XLOOKUP(Pipeline_tbl[[#This Row],[Rep_ID]],Dim_Reps!A:A,Dim_Reps!K:K)</f>
        <v>EUR</v>
      </c>
      <c r="N5720" s="33">
        <f>(_xlfn.XLOOKUP(Pipeline_tbl[[#This Row],[Rate_Code_Generalized]],Lookups!A:A,Lookups!B:B))*Pipeline_tbl[[#This Row],[Pipeline_Amount_USD]]</f>
        <v>2300</v>
      </c>
      <c r="O5720" t="str">
        <f>_xlfn.XLOOKUP(Pipeline_tbl[[#This Row],[Rep_ID]],Dim_Reps!A:A,Dim_Reps!B:B)</f>
        <v>Karim Alvarez</v>
      </c>
      <c r="P5720" t="str">
        <f>_xlfn.XLOOKUP(Pipeline_tbl[[#This Row],[Rep_ID]],Dim_Reps!A:A,Dim_Reps!C:C)</f>
        <v>SDR / Inside Sales Rep</v>
      </c>
      <c r="Q5720" t="str">
        <f>_xlfn.XLOOKUP(Pipeline_tbl[[#This Row],[Rep_ID]],Dim_Reps!A:A,Dim_Reps!D:D)</f>
        <v>Inside Sales</v>
      </c>
      <c r="R5720" t="str">
        <f>_xlfn.XLOOKUP(Pipeline_tbl[[#This Row],[Rep_ID]],Dim_Reps!A:A,Dim_Reps!E:E)</f>
        <v>EMEA</v>
      </c>
      <c r="S5720" t="str">
        <f>_xlfn.XLOOKUP(Pipeline_tbl[[#This Row],[Created_Date]],Dim_Date!A:A,Dim_Date!H:H)</f>
        <v>Dec 2024</v>
      </c>
      <c r="T5720" t="str">
        <f>IF(Pipeline_tbl[[#This Row],[Closed_Date]]=0,"",(_xlfn.XLOOKUP(Pipeline_tbl[[#This Row],[Closed_Date]],Dim_Date!A:A,Dim_Date!H:H)))</f>
        <v>Jan 2025</v>
      </c>
      <c r="U5720">
        <f>IF(Pipeline_tbl[[#This Row],[Closed_Date]]=0,"",Pipeline_tbl[[#This Row],[Closed_Date]]-Pipeline_tbl[[#This Row],[Created_Date]])</f>
        <v>24</v>
      </c>
    </row>
    <row r="5721" spans="1:21" ht="15" customHeight="1" x14ac:dyDescent="0.2">
      <c r="A5721" t="s">
        <v>6027</v>
      </c>
      <c r="B5721" t="s">
        <v>205</v>
      </c>
      <c r="C5721" t="s">
        <v>53</v>
      </c>
      <c r="D5721" s="49">
        <v>45648</v>
      </c>
      <c r="E5721" s="49">
        <v>45650</v>
      </c>
      <c r="F5721" s="49">
        <v>45654</v>
      </c>
      <c r="G5721" s="49">
        <v>45659</v>
      </c>
      <c r="I5721" s="49">
        <v>45667</v>
      </c>
      <c r="J5721" t="s">
        <v>49</v>
      </c>
      <c r="K5721" s="33">
        <v>2000</v>
      </c>
      <c r="L5721" t="s">
        <v>61</v>
      </c>
      <c r="M5721" t="str">
        <f>_xlfn.XLOOKUP(Pipeline_tbl[[#This Row],[Rep_ID]],Dim_Reps!A:A,Dim_Reps!K:K)</f>
        <v>EUR</v>
      </c>
      <c r="N5721" s="33">
        <f>(_xlfn.XLOOKUP(Pipeline_tbl[[#This Row],[Rate_Code_Generalized]],Lookups!A:A,Lookups!B:B))*Pipeline_tbl[[#This Row],[Pipeline_Amount_USD]]</f>
        <v>2000</v>
      </c>
      <c r="O5721" t="str">
        <f>_xlfn.XLOOKUP(Pipeline_tbl[[#This Row],[Rep_ID]],Dim_Reps!A:A,Dim_Reps!B:B)</f>
        <v>Karim Alvarez</v>
      </c>
      <c r="P5721" t="str">
        <f>_xlfn.XLOOKUP(Pipeline_tbl[[#This Row],[Rep_ID]],Dim_Reps!A:A,Dim_Reps!C:C)</f>
        <v>SDR / Inside Sales Rep</v>
      </c>
      <c r="Q5721" t="str">
        <f>_xlfn.XLOOKUP(Pipeline_tbl[[#This Row],[Rep_ID]],Dim_Reps!A:A,Dim_Reps!D:D)</f>
        <v>Inside Sales</v>
      </c>
      <c r="R5721" t="str">
        <f>_xlfn.XLOOKUP(Pipeline_tbl[[#This Row],[Rep_ID]],Dim_Reps!A:A,Dim_Reps!E:E)</f>
        <v>EMEA</v>
      </c>
      <c r="S5721" t="str">
        <f>_xlfn.XLOOKUP(Pipeline_tbl[[#This Row],[Created_Date]],Dim_Date!A:A,Dim_Date!H:H)</f>
        <v>Dec 2024</v>
      </c>
      <c r="T5721" t="str">
        <f>IF(Pipeline_tbl[[#This Row],[Closed_Date]]=0,"",(_xlfn.XLOOKUP(Pipeline_tbl[[#This Row],[Closed_Date]],Dim_Date!A:A,Dim_Date!H:H)))</f>
        <v>Jan 2025</v>
      </c>
      <c r="U5721">
        <f>IF(Pipeline_tbl[[#This Row],[Closed_Date]]=0,"",Pipeline_tbl[[#This Row],[Closed_Date]]-Pipeline_tbl[[#This Row],[Created_Date]])</f>
        <v>19</v>
      </c>
    </row>
    <row r="5722" spans="1:21" ht="15" customHeight="1" x14ac:dyDescent="0.2">
      <c r="A5722" t="s">
        <v>6028</v>
      </c>
      <c r="B5722" t="s">
        <v>205</v>
      </c>
      <c r="C5722" t="s">
        <v>53</v>
      </c>
      <c r="D5722" s="49">
        <v>45638</v>
      </c>
      <c r="E5722" s="49">
        <v>45640</v>
      </c>
      <c r="F5722" s="49">
        <v>45646</v>
      </c>
      <c r="I5722" s="49">
        <v>45663</v>
      </c>
      <c r="J5722" t="s">
        <v>49</v>
      </c>
      <c r="K5722" s="33">
        <v>3900</v>
      </c>
      <c r="L5722" t="s">
        <v>60</v>
      </c>
      <c r="M5722" t="str">
        <f>_xlfn.XLOOKUP(Pipeline_tbl[[#This Row],[Rep_ID]],Dim_Reps!A:A,Dim_Reps!K:K)</f>
        <v>EUR</v>
      </c>
      <c r="N5722" s="33">
        <f>(_xlfn.XLOOKUP(Pipeline_tbl[[#This Row],[Rate_Code_Generalized]],Lookups!A:A,Lookups!B:B))*Pipeline_tbl[[#This Row],[Pipeline_Amount_USD]]</f>
        <v>3900</v>
      </c>
      <c r="O5722" t="str">
        <f>_xlfn.XLOOKUP(Pipeline_tbl[[#This Row],[Rep_ID]],Dim_Reps!A:A,Dim_Reps!B:B)</f>
        <v>Karim Alvarez</v>
      </c>
      <c r="P5722" t="str">
        <f>_xlfn.XLOOKUP(Pipeline_tbl[[#This Row],[Rep_ID]],Dim_Reps!A:A,Dim_Reps!C:C)</f>
        <v>SDR / Inside Sales Rep</v>
      </c>
      <c r="Q5722" t="str">
        <f>_xlfn.XLOOKUP(Pipeline_tbl[[#This Row],[Rep_ID]],Dim_Reps!A:A,Dim_Reps!D:D)</f>
        <v>Inside Sales</v>
      </c>
      <c r="R5722" t="str">
        <f>_xlfn.XLOOKUP(Pipeline_tbl[[#This Row],[Rep_ID]],Dim_Reps!A:A,Dim_Reps!E:E)</f>
        <v>EMEA</v>
      </c>
      <c r="S5722" t="str">
        <f>_xlfn.XLOOKUP(Pipeline_tbl[[#This Row],[Created_Date]],Dim_Date!A:A,Dim_Date!H:H)</f>
        <v>Dec 2024</v>
      </c>
      <c r="T5722" t="str">
        <f>IF(Pipeline_tbl[[#This Row],[Closed_Date]]=0,"",(_xlfn.XLOOKUP(Pipeline_tbl[[#This Row],[Closed_Date]],Dim_Date!A:A,Dim_Date!H:H)))</f>
        <v>Jan 2025</v>
      </c>
      <c r="U5722">
        <f>IF(Pipeline_tbl[[#This Row],[Closed_Date]]=0,"",Pipeline_tbl[[#This Row],[Closed_Date]]-Pipeline_tbl[[#This Row],[Created_Date]])</f>
        <v>25</v>
      </c>
    </row>
    <row r="5723" spans="1:21" ht="15" customHeight="1" x14ac:dyDescent="0.2">
      <c r="A5723" t="s">
        <v>6029</v>
      </c>
      <c r="B5723" t="s">
        <v>205</v>
      </c>
      <c r="C5723" t="s">
        <v>52</v>
      </c>
      <c r="D5723" s="49">
        <v>45657</v>
      </c>
      <c r="E5723" s="49">
        <v>45659</v>
      </c>
      <c r="F5723" s="49">
        <v>45664</v>
      </c>
      <c r="G5723" s="49">
        <v>45670</v>
      </c>
      <c r="H5723" s="49">
        <v>45676</v>
      </c>
      <c r="I5723" s="49">
        <v>45679</v>
      </c>
      <c r="J5723" t="s">
        <v>47</v>
      </c>
      <c r="K5723" s="33">
        <v>4100</v>
      </c>
      <c r="M5723" t="str">
        <f>_xlfn.XLOOKUP(Pipeline_tbl[[#This Row],[Rep_ID]],Dim_Reps!A:A,Dim_Reps!K:K)</f>
        <v>EUR</v>
      </c>
      <c r="N5723" s="33">
        <f>(_xlfn.XLOOKUP(Pipeline_tbl[[#This Row],[Rate_Code_Generalized]],Lookups!A:A,Lookups!B:B))*Pipeline_tbl[[#This Row],[Pipeline_Amount_USD]]</f>
        <v>4100</v>
      </c>
      <c r="O5723" t="str">
        <f>_xlfn.XLOOKUP(Pipeline_tbl[[#This Row],[Rep_ID]],Dim_Reps!A:A,Dim_Reps!B:B)</f>
        <v>Karim Alvarez</v>
      </c>
      <c r="P5723" t="str">
        <f>_xlfn.XLOOKUP(Pipeline_tbl[[#This Row],[Rep_ID]],Dim_Reps!A:A,Dim_Reps!C:C)</f>
        <v>SDR / Inside Sales Rep</v>
      </c>
      <c r="Q5723" t="str">
        <f>_xlfn.XLOOKUP(Pipeline_tbl[[#This Row],[Rep_ID]],Dim_Reps!A:A,Dim_Reps!D:D)</f>
        <v>Inside Sales</v>
      </c>
      <c r="R5723" t="str">
        <f>_xlfn.XLOOKUP(Pipeline_tbl[[#This Row],[Rep_ID]],Dim_Reps!A:A,Dim_Reps!E:E)</f>
        <v>EMEA</v>
      </c>
      <c r="S5723" t="str">
        <f>_xlfn.XLOOKUP(Pipeline_tbl[[#This Row],[Created_Date]],Dim_Date!A:A,Dim_Date!H:H)</f>
        <v>Dec 2024</v>
      </c>
      <c r="T5723" t="str">
        <f>IF(Pipeline_tbl[[#This Row],[Closed_Date]]=0,"",(_xlfn.XLOOKUP(Pipeline_tbl[[#This Row],[Closed_Date]],Dim_Date!A:A,Dim_Date!H:H)))</f>
        <v>Jan 2025</v>
      </c>
      <c r="U5723">
        <f>IF(Pipeline_tbl[[#This Row],[Closed_Date]]=0,"",Pipeline_tbl[[#This Row],[Closed_Date]]-Pipeline_tbl[[#This Row],[Created_Date]])</f>
        <v>22</v>
      </c>
    </row>
    <row r="5724" spans="1:21" ht="15" customHeight="1" x14ac:dyDescent="0.2">
      <c r="A5724" t="s">
        <v>6030</v>
      </c>
      <c r="B5724" t="s">
        <v>205</v>
      </c>
      <c r="C5724" t="s">
        <v>52</v>
      </c>
      <c r="D5724" s="49">
        <v>45648</v>
      </c>
      <c r="E5724" s="49">
        <v>45650</v>
      </c>
      <c r="F5724" s="49">
        <v>45654</v>
      </c>
      <c r="G5724" s="49">
        <v>45659</v>
      </c>
      <c r="I5724" s="49">
        <v>45667</v>
      </c>
      <c r="J5724" t="s">
        <v>49</v>
      </c>
      <c r="K5724" s="33">
        <v>5700</v>
      </c>
      <c r="L5724" t="s">
        <v>62</v>
      </c>
      <c r="M5724" t="str">
        <f>_xlfn.XLOOKUP(Pipeline_tbl[[#This Row],[Rep_ID]],Dim_Reps!A:A,Dim_Reps!K:K)</f>
        <v>EUR</v>
      </c>
      <c r="N5724" s="33">
        <f>(_xlfn.XLOOKUP(Pipeline_tbl[[#This Row],[Rate_Code_Generalized]],Lookups!A:A,Lookups!B:B))*Pipeline_tbl[[#This Row],[Pipeline_Amount_USD]]</f>
        <v>5700</v>
      </c>
      <c r="O5724" t="str">
        <f>_xlfn.XLOOKUP(Pipeline_tbl[[#This Row],[Rep_ID]],Dim_Reps!A:A,Dim_Reps!B:B)</f>
        <v>Karim Alvarez</v>
      </c>
      <c r="P5724" t="str">
        <f>_xlfn.XLOOKUP(Pipeline_tbl[[#This Row],[Rep_ID]],Dim_Reps!A:A,Dim_Reps!C:C)</f>
        <v>SDR / Inside Sales Rep</v>
      </c>
      <c r="Q5724" t="str">
        <f>_xlfn.XLOOKUP(Pipeline_tbl[[#This Row],[Rep_ID]],Dim_Reps!A:A,Dim_Reps!D:D)</f>
        <v>Inside Sales</v>
      </c>
      <c r="R5724" t="str">
        <f>_xlfn.XLOOKUP(Pipeline_tbl[[#This Row],[Rep_ID]],Dim_Reps!A:A,Dim_Reps!E:E)</f>
        <v>EMEA</v>
      </c>
      <c r="S5724" t="str">
        <f>_xlfn.XLOOKUP(Pipeline_tbl[[#This Row],[Created_Date]],Dim_Date!A:A,Dim_Date!H:H)</f>
        <v>Dec 2024</v>
      </c>
      <c r="T5724" t="str">
        <f>IF(Pipeline_tbl[[#This Row],[Closed_Date]]=0,"",(_xlfn.XLOOKUP(Pipeline_tbl[[#This Row],[Closed_Date]],Dim_Date!A:A,Dim_Date!H:H)))</f>
        <v>Jan 2025</v>
      </c>
      <c r="U5724">
        <f>IF(Pipeline_tbl[[#This Row],[Closed_Date]]=0,"",Pipeline_tbl[[#This Row],[Closed_Date]]-Pipeline_tbl[[#This Row],[Created_Date]])</f>
        <v>19</v>
      </c>
    </row>
    <row r="5725" spans="1:21" ht="15" customHeight="1" x14ac:dyDescent="0.2">
      <c r="A5725" t="s">
        <v>6031</v>
      </c>
      <c r="B5725" t="s">
        <v>205</v>
      </c>
      <c r="C5725" t="s">
        <v>52</v>
      </c>
      <c r="D5725" s="49">
        <v>45656</v>
      </c>
      <c r="E5725" s="49">
        <v>45657</v>
      </c>
      <c r="I5725" s="49">
        <v>45669</v>
      </c>
      <c r="J5725" t="s">
        <v>49</v>
      </c>
      <c r="K5725" s="33">
        <v>4300</v>
      </c>
      <c r="L5725" t="s">
        <v>62</v>
      </c>
      <c r="M5725" t="str">
        <f>_xlfn.XLOOKUP(Pipeline_tbl[[#This Row],[Rep_ID]],Dim_Reps!A:A,Dim_Reps!K:K)</f>
        <v>EUR</v>
      </c>
      <c r="N5725" s="33">
        <f>(_xlfn.XLOOKUP(Pipeline_tbl[[#This Row],[Rate_Code_Generalized]],Lookups!A:A,Lookups!B:B))*Pipeline_tbl[[#This Row],[Pipeline_Amount_USD]]</f>
        <v>4300</v>
      </c>
      <c r="O5725" t="str">
        <f>_xlfn.XLOOKUP(Pipeline_tbl[[#This Row],[Rep_ID]],Dim_Reps!A:A,Dim_Reps!B:B)</f>
        <v>Karim Alvarez</v>
      </c>
      <c r="P5725" t="str">
        <f>_xlfn.XLOOKUP(Pipeline_tbl[[#This Row],[Rep_ID]],Dim_Reps!A:A,Dim_Reps!C:C)</f>
        <v>SDR / Inside Sales Rep</v>
      </c>
      <c r="Q5725" t="str">
        <f>_xlfn.XLOOKUP(Pipeline_tbl[[#This Row],[Rep_ID]],Dim_Reps!A:A,Dim_Reps!D:D)</f>
        <v>Inside Sales</v>
      </c>
      <c r="R5725" t="str">
        <f>_xlfn.XLOOKUP(Pipeline_tbl[[#This Row],[Rep_ID]],Dim_Reps!A:A,Dim_Reps!E:E)</f>
        <v>EMEA</v>
      </c>
      <c r="S5725" t="str">
        <f>_xlfn.XLOOKUP(Pipeline_tbl[[#This Row],[Created_Date]],Dim_Date!A:A,Dim_Date!H:H)</f>
        <v>Dec 2024</v>
      </c>
      <c r="T5725" t="str">
        <f>IF(Pipeline_tbl[[#This Row],[Closed_Date]]=0,"",(_xlfn.XLOOKUP(Pipeline_tbl[[#This Row],[Closed_Date]],Dim_Date!A:A,Dim_Date!H:H)))</f>
        <v>Jan 2025</v>
      </c>
      <c r="U5725">
        <f>IF(Pipeline_tbl[[#This Row],[Closed_Date]]=0,"",Pipeline_tbl[[#This Row],[Closed_Date]]-Pipeline_tbl[[#This Row],[Created_Date]])</f>
        <v>13</v>
      </c>
    </row>
    <row r="5726" spans="1:21" ht="15" customHeight="1" x14ac:dyDescent="0.2">
      <c r="A5726" t="s">
        <v>6032</v>
      </c>
      <c r="B5726" t="s">
        <v>207</v>
      </c>
      <c r="C5726" t="s">
        <v>52</v>
      </c>
      <c r="D5726" s="49">
        <v>45654</v>
      </c>
      <c r="E5726" s="49">
        <v>45656</v>
      </c>
      <c r="F5726" s="49">
        <v>45659</v>
      </c>
      <c r="G5726" s="49">
        <v>45663</v>
      </c>
      <c r="H5726" s="49">
        <v>45667</v>
      </c>
      <c r="I5726" s="49">
        <v>45669</v>
      </c>
      <c r="J5726" t="s">
        <v>47</v>
      </c>
      <c r="K5726" s="33">
        <v>1600</v>
      </c>
      <c r="M5726" t="str">
        <f>_xlfn.XLOOKUP(Pipeline_tbl[[#This Row],[Rep_ID]],Dim_Reps!A:A,Dim_Reps!K:K)</f>
        <v>EUR</v>
      </c>
      <c r="N5726" s="33">
        <f>(_xlfn.XLOOKUP(Pipeline_tbl[[#This Row],[Rate_Code_Generalized]],Lookups!A:A,Lookups!B:B))*Pipeline_tbl[[#This Row],[Pipeline_Amount_USD]]</f>
        <v>1600</v>
      </c>
      <c r="O5726" t="str">
        <f>_xlfn.XLOOKUP(Pipeline_tbl[[#This Row],[Rep_ID]],Dim_Reps!A:A,Dim_Reps!B:B)</f>
        <v>Sam Castro</v>
      </c>
      <c r="P5726" t="str">
        <f>_xlfn.XLOOKUP(Pipeline_tbl[[#This Row],[Rep_ID]],Dim_Reps!A:A,Dim_Reps!C:C)</f>
        <v>SDR / Inside Sales Rep</v>
      </c>
      <c r="Q5726" t="str">
        <f>_xlfn.XLOOKUP(Pipeline_tbl[[#This Row],[Rep_ID]],Dim_Reps!A:A,Dim_Reps!D:D)</f>
        <v>Inside Sales</v>
      </c>
      <c r="R5726" t="str">
        <f>_xlfn.XLOOKUP(Pipeline_tbl[[#This Row],[Rep_ID]],Dim_Reps!A:A,Dim_Reps!E:E)</f>
        <v>APAC</v>
      </c>
      <c r="S5726" t="str">
        <f>_xlfn.XLOOKUP(Pipeline_tbl[[#This Row],[Created_Date]],Dim_Date!A:A,Dim_Date!H:H)</f>
        <v>Dec 2024</v>
      </c>
      <c r="T5726" t="str">
        <f>IF(Pipeline_tbl[[#This Row],[Closed_Date]]=0,"",(_xlfn.XLOOKUP(Pipeline_tbl[[#This Row],[Closed_Date]],Dim_Date!A:A,Dim_Date!H:H)))</f>
        <v>Jan 2025</v>
      </c>
      <c r="U5726">
        <f>IF(Pipeline_tbl[[#This Row],[Closed_Date]]=0,"",Pipeline_tbl[[#This Row],[Closed_Date]]-Pipeline_tbl[[#This Row],[Created_Date]])</f>
        <v>15</v>
      </c>
    </row>
    <row r="5727" spans="1:21" ht="15" customHeight="1" x14ac:dyDescent="0.2">
      <c r="A5727" t="s">
        <v>6033</v>
      </c>
      <c r="B5727" t="s">
        <v>207</v>
      </c>
      <c r="C5727" t="s">
        <v>54</v>
      </c>
      <c r="D5727" s="49">
        <v>45650</v>
      </c>
      <c r="E5727" s="49">
        <v>45652</v>
      </c>
      <c r="F5727" s="49">
        <v>45655</v>
      </c>
      <c r="G5727" s="49">
        <v>45660</v>
      </c>
      <c r="I5727" s="49">
        <v>45666</v>
      </c>
      <c r="J5727" t="s">
        <v>49</v>
      </c>
      <c r="K5727" s="33">
        <v>3500</v>
      </c>
      <c r="L5727" t="s">
        <v>60</v>
      </c>
      <c r="M5727" t="str">
        <f>_xlfn.XLOOKUP(Pipeline_tbl[[#This Row],[Rep_ID]],Dim_Reps!A:A,Dim_Reps!K:K)</f>
        <v>EUR</v>
      </c>
      <c r="N5727" s="33">
        <f>(_xlfn.XLOOKUP(Pipeline_tbl[[#This Row],[Rate_Code_Generalized]],Lookups!A:A,Lookups!B:B))*Pipeline_tbl[[#This Row],[Pipeline_Amount_USD]]</f>
        <v>3500</v>
      </c>
      <c r="O5727" t="str">
        <f>_xlfn.XLOOKUP(Pipeline_tbl[[#This Row],[Rep_ID]],Dim_Reps!A:A,Dim_Reps!B:B)</f>
        <v>Sam Castro</v>
      </c>
      <c r="P5727" t="str">
        <f>_xlfn.XLOOKUP(Pipeline_tbl[[#This Row],[Rep_ID]],Dim_Reps!A:A,Dim_Reps!C:C)</f>
        <v>SDR / Inside Sales Rep</v>
      </c>
      <c r="Q5727" t="str">
        <f>_xlfn.XLOOKUP(Pipeline_tbl[[#This Row],[Rep_ID]],Dim_Reps!A:A,Dim_Reps!D:D)</f>
        <v>Inside Sales</v>
      </c>
      <c r="R5727" t="str">
        <f>_xlfn.XLOOKUP(Pipeline_tbl[[#This Row],[Rep_ID]],Dim_Reps!A:A,Dim_Reps!E:E)</f>
        <v>APAC</v>
      </c>
      <c r="S5727" t="str">
        <f>_xlfn.XLOOKUP(Pipeline_tbl[[#This Row],[Created_Date]],Dim_Date!A:A,Dim_Date!H:H)</f>
        <v>Dec 2024</v>
      </c>
      <c r="T5727" t="str">
        <f>IF(Pipeline_tbl[[#This Row],[Closed_Date]]=0,"",(_xlfn.XLOOKUP(Pipeline_tbl[[#This Row],[Closed_Date]],Dim_Date!A:A,Dim_Date!H:H)))</f>
        <v>Jan 2025</v>
      </c>
      <c r="U5727">
        <f>IF(Pipeline_tbl[[#This Row],[Closed_Date]]=0,"",Pipeline_tbl[[#This Row],[Closed_Date]]-Pipeline_tbl[[#This Row],[Created_Date]])</f>
        <v>16</v>
      </c>
    </row>
    <row r="5728" spans="1:21" ht="15" customHeight="1" x14ac:dyDescent="0.2">
      <c r="A5728" t="s">
        <v>6034</v>
      </c>
      <c r="B5728" t="s">
        <v>207</v>
      </c>
      <c r="C5728" t="s">
        <v>55</v>
      </c>
      <c r="D5728" s="49">
        <v>45640</v>
      </c>
      <c r="E5728" s="49">
        <v>45642</v>
      </c>
      <c r="F5728" s="49">
        <v>45647</v>
      </c>
      <c r="G5728" s="49">
        <v>45654</v>
      </c>
      <c r="H5728" s="49">
        <v>45660</v>
      </c>
      <c r="I5728" s="49">
        <v>45664</v>
      </c>
      <c r="J5728" t="s">
        <v>47</v>
      </c>
      <c r="K5728" s="33">
        <v>2500</v>
      </c>
      <c r="M5728" t="str">
        <f>_xlfn.XLOOKUP(Pipeline_tbl[[#This Row],[Rep_ID]],Dim_Reps!A:A,Dim_Reps!K:K)</f>
        <v>EUR</v>
      </c>
      <c r="N5728" s="33">
        <f>(_xlfn.XLOOKUP(Pipeline_tbl[[#This Row],[Rate_Code_Generalized]],Lookups!A:A,Lookups!B:B))*Pipeline_tbl[[#This Row],[Pipeline_Amount_USD]]</f>
        <v>2500</v>
      </c>
      <c r="O5728" t="str">
        <f>_xlfn.XLOOKUP(Pipeline_tbl[[#This Row],[Rep_ID]],Dim_Reps!A:A,Dim_Reps!B:B)</f>
        <v>Sam Castro</v>
      </c>
      <c r="P5728" t="str">
        <f>_xlfn.XLOOKUP(Pipeline_tbl[[#This Row],[Rep_ID]],Dim_Reps!A:A,Dim_Reps!C:C)</f>
        <v>SDR / Inside Sales Rep</v>
      </c>
      <c r="Q5728" t="str">
        <f>_xlfn.XLOOKUP(Pipeline_tbl[[#This Row],[Rep_ID]],Dim_Reps!A:A,Dim_Reps!D:D)</f>
        <v>Inside Sales</v>
      </c>
      <c r="R5728" t="str">
        <f>_xlfn.XLOOKUP(Pipeline_tbl[[#This Row],[Rep_ID]],Dim_Reps!A:A,Dim_Reps!E:E)</f>
        <v>APAC</v>
      </c>
      <c r="S5728" t="str">
        <f>_xlfn.XLOOKUP(Pipeline_tbl[[#This Row],[Created_Date]],Dim_Date!A:A,Dim_Date!H:H)</f>
        <v>Dec 2024</v>
      </c>
      <c r="T5728" t="str">
        <f>IF(Pipeline_tbl[[#This Row],[Closed_Date]]=0,"",(_xlfn.XLOOKUP(Pipeline_tbl[[#This Row],[Closed_Date]],Dim_Date!A:A,Dim_Date!H:H)))</f>
        <v>Jan 2025</v>
      </c>
      <c r="U5728">
        <f>IF(Pipeline_tbl[[#This Row],[Closed_Date]]=0,"",Pipeline_tbl[[#This Row],[Closed_Date]]-Pipeline_tbl[[#This Row],[Created_Date]])</f>
        <v>24</v>
      </c>
    </row>
    <row r="5729" spans="1:21" ht="15" customHeight="1" x14ac:dyDescent="0.2">
      <c r="A5729" t="s">
        <v>6035</v>
      </c>
      <c r="B5729" t="s">
        <v>207</v>
      </c>
      <c r="C5729" t="s">
        <v>52</v>
      </c>
      <c r="D5729" s="49">
        <v>45641</v>
      </c>
      <c r="E5729" s="49">
        <v>45643</v>
      </c>
      <c r="F5729" s="49">
        <v>45648</v>
      </c>
      <c r="I5729" s="49">
        <v>45664</v>
      </c>
      <c r="J5729" t="s">
        <v>49</v>
      </c>
      <c r="K5729" s="33">
        <v>2400</v>
      </c>
      <c r="L5729" t="s">
        <v>62</v>
      </c>
      <c r="M5729" t="str">
        <f>_xlfn.XLOOKUP(Pipeline_tbl[[#This Row],[Rep_ID]],Dim_Reps!A:A,Dim_Reps!K:K)</f>
        <v>EUR</v>
      </c>
      <c r="N5729" s="33">
        <f>(_xlfn.XLOOKUP(Pipeline_tbl[[#This Row],[Rate_Code_Generalized]],Lookups!A:A,Lookups!B:B))*Pipeline_tbl[[#This Row],[Pipeline_Amount_USD]]</f>
        <v>2400</v>
      </c>
      <c r="O5729" t="str">
        <f>_xlfn.XLOOKUP(Pipeline_tbl[[#This Row],[Rep_ID]],Dim_Reps!A:A,Dim_Reps!B:B)</f>
        <v>Sam Castro</v>
      </c>
      <c r="P5729" t="str">
        <f>_xlfn.XLOOKUP(Pipeline_tbl[[#This Row],[Rep_ID]],Dim_Reps!A:A,Dim_Reps!C:C)</f>
        <v>SDR / Inside Sales Rep</v>
      </c>
      <c r="Q5729" t="str">
        <f>_xlfn.XLOOKUP(Pipeline_tbl[[#This Row],[Rep_ID]],Dim_Reps!A:A,Dim_Reps!D:D)</f>
        <v>Inside Sales</v>
      </c>
      <c r="R5729" t="str">
        <f>_xlfn.XLOOKUP(Pipeline_tbl[[#This Row],[Rep_ID]],Dim_Reps!A:A,Dim_Reps!E:E)</f>
        <v>APAC</v>
      </c>
      <c r="S5729" t="str">
        <f>_xlfn.XLOOKUP(Pipeline_tbl[[#This Row],[Created_Date]],Dim_Date!A:A,Dim_Date!H:H)</f>
        <v>Dec 2024</v>
      </c>
      <c r="T5729" t="str">
        <f>IF(Pipeline_tbl[[#This Row],[Closed_Date]]=0,"",(_xlfn.XLOOKUP(Pipeline_tbl[[#This Row],[Closed_Date]],Dim_Date!A:A,Dim_Date!H:H)))</f>
        <v>Jan 2025</v>
      </c>
      <c r="U5729">
        <f>IF(Pipeline_tbl[[#This Row],[Closed_Date]]=0,"",Pipeline_tbl[[#This Row],[Closed_Date]]-Pipeline_tbl[[#This Row],[Created_Date]])</f>
        <v>23</v>
      </c>
    </row>
    <row r="5730" spans="1:21" ht="15" customHeight="1" x14ac:dyDescent="0.2">
      <c r="A5730" t="s">
        <v>6036</v>
      </c>
      <c r="B5730" t="s">
        <v>207</v>
      </c>
      <c r="C5730" t="s">
        <v>54</v>
      </c>
      <c r="D5730" s="49">
        <v>45656</v>
      </c>
      <c r="E5730" s="49">
        <v>45658</v>
      </c>
      <c r="F5730" s="49">
        <v>45664</v>
      </c>
      <c r="G5730" s="49">
        <v>45671</v>
      </c>
      <c r="H5730" s="49">
        <v>45677</v>
      </c>
      <c r="I5730" s="49">
        <v>45681</v>
      </c>
      <c r="J5730" t="s">
        <v>47</v>
      </c>
      <c r="K5730" s="33">
        <v>2700</v>
      </c>
      <c r="M5730" t="str">
        <f>_xlfn.XLOOKUP(Pipeline_tbl[[#This Row],[Rep_ID]],Dim_Reps!A:A,Dim_Reps!K:K)</f>
        <v>EUR</v>
      </c>
      <c r="N5730" s="33">
        <f>(_xlfn.XLOOKUP(Pipeline_tbl[[#This Row],[Rate_Code_Generalized]],Lookups!A:A,Lookups!B:B))*Pipeline_tbl[[#This Row],[Pipeline_Amount_USD]]</f>
        <v>2700</v>
      </c>
      <c r="O5730" t="str">
        <f>_xlfn.XLOOKUP(Pipeline_tbl[[#This Row],[Rep_ID]],Dim_Reps!A:A,Dim_Reps!B:B)</f>
        <v>Sam Castro</v>
      </c>
      <c r="P5730" t="str">
        <f>_xlfn.XLOOKUP(Pipeline_tbl[[#This Row],[Rep_ID]],Dim_Reps!A:A,Dim_Reps!C:C)</f>
        <v>SDR / Inside Sales Rep</v>
      </c>
      <c r="Q5730" t="str">
        <f>_xlfn.XLOOKUP(Pipeline_tbl[[#This Row],[Rep_ID]],Dim_Reps!A:A,Dim_Reps!D:D)</f>
        <v>Inside Sales</v>
      </c>
      <c r="R5730" t="str">
        <f>_xlfn.XLOOKUP(Pipeline_tbl[[#This Row],[Rep_ID]],Dim_Reps!A:A,Dim_Reps!E:E)</f>
        <v>APAC</v>
      </c>
      <c r="S5730" t="str">
        <f>_xlfn.XLOOKUP(Pipeline_tbl[[#This Row],[Created_Date]],Dim_Date!A:A,Dim_Date!H:H)</f>
        <v>Dec 2024</v>
      </c>
      <c r="T5730" t="str">
        <f>IF(Pipeline_tbl[[#This Row],[Closed_Date]]=0,"",(_xlfn.XLOOKUP(Pipeline_tbl[[#This Row],[Closed_Date]],Dim_Date!A:A,Dim_Date!H:H)))</f>
        <v>Jan 2025</v>
      </c>
      <c r="U5730">
        <f>IF(Pipeline_tbl[[#This Row],[Closed_Date]]=0,"",Pipeline_tbl[[#This Row],[Closed_Date]]-Pipeline_tbl[[#This Row],[Created_Date]])</f>
        <v>25</v>
      </c>
    </row>
    <row r="5731" spans="1:21" ht="15" customHeight="1" x14ac:dyDescent="0.2">
      <c r="A5731" t="s">
        <v>6037</v>
      </c>
      <c r="B5731" t="s">
        <v>207</v>
      </c>
      <c r="C5731" t="s">
        <v>54</v>
      </c>
      <c r="D5731" s="49">
        <v>45654</v>
      </c>
      <c r="E5731" s="49">
        <v>45655</v>
      </c>
      <c r="F5731" s="49">
        <v>45657</v>
      </c>
      <c r="G5731" s="49">
        <v>45659</v>
      </c>
      <c r="H5731" s="49">
        <v>45662</v>
      </c>
      <c r="I5731" s="49">
        <v>45663</v>
      </c>
      <c r="J5731" t="s">
        <v>49</v>
      </c>
      <c r="K5731" s="33">
        <v>8200</v>
      </c>
      <c r="L5731" t="s">
        <v>61</v>
      </c>
      <c r="M5731" t="str">
        <f>_xlfn.XLOOKUP(Pipeline_tbl[[#This Row],[Rep_ID]],Dim_Reps!A:A,Dim_Reps!K:K)</f>
        <v>EUR</v>
      </c>
      <c r="N5731" s="33">
        <f>(_xlfn.XLOOKUP(Pipeline_tbl[[#This Row],[Rate_Code_Generalized]],Lookups!A:A,Lookups!B:B))*Pipeline_tbl[[#This Row],[Pipeline_Amount_USD]]</f>
        <v>8200</v>
      </c>
      <c r="O5731" t="str">
        <f>_xlfn.XLOOKUP(Pipeline_tbl[[#This Row],[Rep_ID]],Dim_Reps!A:A,Dim_Reps!B:B)</f>
        <v>Sam Castro</v>
      </c>
      <c r="P5731" t="str">
        <f>_xlfn.XLOOKUP(Pipeline_tbl[[#This Row],[Rep_ID]],Dim_Reps!A:A,Dim_Reps!C:C)</f>
        <v>SDR / Inside Sales Rep</v>
      </c>
      <c r="Q5731" t="str">
        <f>_xlfn.XLOOKUP(Pipeline_tbl[[#This Row],[Rep_ID]],Dim_Reps!A:A,Dim_Reps!D:D)</f>
        <v>Inside Sales</v>
      </c>
      <c r="R5731" t="str">
        <f>_xlfn.XLOOKUP(Pipeline_tbl[[#This Row],[Rep_ID]],Dim_Reps!A:A,Dim_Reps!E:E)</f>
        <v>APAC</v>
      </c>
      <c r="S5731" t="str">
        <f>_xlfn.XLOOKUP(Pipeline_tbl[[#This Row],[Created_Date]],Dim_Date!A:A,Dim_Date!H:H)</f>
        <v>Dec 2024</v>
      </c>
      <c r="T5731" t="str">
        <f>IF(Pipeline_tbl[[#This Row],[Closed_Date]]=0,"",(_xlfn.XLOOKUP(Pipeline_tbl[[#This Row],[Closed_Date]],Dim_Date!A:A,Dim_Date!H:H)))</f>
        <v>Jan 2025</v>
      </c>
      <c r="U5731">
        <f>IF(Pipeline_tbl[[#This Row],[Closed_Date]]=0,"",Pipeline_tbl[[#This Row],[Closed_Date]]-Pipeline_tbl[[#This Row],[Created_Date]])</f>
        <v>9</v>
      </c>
    </row>
    <row r="5732" spans="1:21" ht="15" customHeight="1" x14ac:dyDescent="0.2">
      <c r="A5732" t="s">
        <v>6038</v>
      </c>
      <c r="B5732" t="s">
        <v>209</v>
      </c>
      <c r="C5732" t="s">
        <v>53</v>
      </c>
      <c r="D5732" s="49">
        <v>45647</v>
      </c>
      <c r="E5732" s="49">
        <v>45648</v>
      </c>
      <c r="F5732" s="49">
        <v>45651</v>
      </c>
      <c r="G5732" s="49">
        <v>45655</v>
      </c>
      <c r="H5732" s="49">
        <v>45659</v>
      </c>
      <c r="I5732" s="49">
        <v>45661</v>
      </c>
      <c r="J5732" t="s">
        <v>47</v>
      </c>
      <c r="K5732" s="33">
        <v>8600</v>
      </c>
      <c r="M5732" t="str">
        <f>_xlfn.XLOOKUP(Pipeline_tbl[[#This Row],[Rep_ID]],Dim_Reps!A:A,Dim_Reps!K:K)</f>
        <v>EUR</v>
      </c>
      <c r="N5732" s="33">
        <f>(_xlfn.XLOOKUP(Pipeline_tbl[[#This Row],[Rate_Code_Generalized]],Lookups!A:A,Lookups!B:B))*Pipeline_tbl[[#This Row],[Pipeline_Amount_USD]]</f>
        <v>8600</v>
      </c>
      <c r="O5732" t="str">
        <f>_xlfn.XLOOKUP(Pipeline_tbl[[#This Row],[Rep_ID]],Dim_Reps!A:A,Dim_Reps!B:B)</f>
        <v>Petra Larsen</v>
      </c>
      <c r="P5732" t="str">
        <f>_xlfn.XLOOKUP(Pipeline_tbl[[#This Row],[Rep_ID]],Dim_Reps!A:A,Dim_Reps!C:C)</f>
        <v>SDR / Inside Sales Rep</v>
      </c>
      <c r="Q5732" t="str">
        <f>_xlfn.XLOOKUP(Pipeline_tbl[[#This Row],[Rep_ID]],Dim_Reps!A:A,Dim_Reps!D:D)</f>
        <v>Inside Sales</v>
      </c>
      <c r="R5732" t="str">
        <f>_xlfn.XLOOKUP(Pipeline_tbl[[#This Row],[Rep_ID]],Dim_Reps!A:A,Dim_Reps!E:E)</f>
        <v>EMEA</v>
      </c>
      <c r="S5732" t="str">
        <f>_xlfn.XLOOKUP(Pipeline_tbl[[#This Row],[Created_Date]],Dim_Date!A:A,Dim_Date!H:H)</f>
        <v>Dec 2024</v>
      </c>
      <c r="T5732" t="str">
        <f>IF(Pipeline_tbl[[#This Row],[Closed_Date]]=0,"",(_xlfn.XLOOKUP(Pipeline_tbl[[#This Row],[Closed_Date]],Dim_Date!A:A,Dim_Date!H:H)))</f>
        <v>Jan 2025</v>
      </c>
      <c r="U5732">
        <f>IF(Pipeline_tbl[[#This Row],[Closed_Date]]=0,"",Pipeline_tbl[[#This Row],[Closed_Date]]-Pipeline_tbl[[#This Row],[Created_Date]])</f>
        <v>14</v>
      </c>
    </row>
    <row r="5733" spans="1:21" ht="15" customHeight="1" x14ac:dyDescent="0.2">
      <c r="A5733" t="s">
        <v>6039</v>
      </c>
      <c r="B5733" t="s">
        <v>211</v>
      </c>
      <c r="C5733" t="s">
        <v>52</v>
      </c>
      <c r="D5733" s="49">
        <v>45655</v>
      </c>
      <c r="E5733" s="49">
        <v>45657</v>
      </c>
      <c r="F5733" s="49">
        <v>45662</v>
      </c>
      <c r="G5733" s="49">
        <v>45669</v>
      </c>
      <c r="H5733" s="49">
        <v>45675</v>
      </c>
      <c r="I5733" s="49">
        <v>45678</v>
      </c>
      <c r="J5733" t="s">
        <v>47</v>
      </c>
      <c r="K5733" s="33">
        <v>4500</v>
      </c>
      <c r="M5733" t="str">
        <f>_xlfn.XLOOKUP(Pipeline_tbl[[#This Row],[Rep_ID]],Dim_Reps!A:A,Dim_Reps!K:K)</f>
        <v>EUR</v>
      </c>
      <c r="N5733" s="33">
        <f>(_xlfn.XLOOKUP(Pipeline_tbl[[#This Row],[Rate_Code_Generalized]],Lookups!A:A,Lookups!B:B))*Pipeline_tbl[[#This Row],[Pipeline_Amount_USD]]</f>
        <v>4500</v>
      </c>
      <c r="O5733" t="str">
        <f>_xlfn.XLOOKUP(Pipeline_tbl[[#This Row],[Rep_ID]],Dim_Reps!A:A,Dim_Reps!B:B)</f>
        <v>Lea Weber</v>
      </c>
      <c r="P5733" t="str">
        <f>_xlfn.XLOOKUP(Pipeline_tbl[[#This Row],[Rep_ID]],Dim_Reps!A:A,Dim_Reps!C:C)</f>
        <v>SDR / Inside Sales Rep</v>
      </c>
      <c r="Q5733" t="str">
        <f>_xlfn.XLOOKUP(Pipeline_tbl[[#This Row],[Rep_ID]],Dim_Reps!A:A,Dim_Reps!D:D)</f>
        <v>Inside Sales</v>
      </c>
      <c r="R5733" t="str">
        <f>_xlfn.XLOOKUP(Pipeline_tbl[[#This Row],[Rep_ID]],Dim_Reps!A:A,Dim_Reps!E:E)</f>
        <v>EMEA</v>
      </c>
      <c r="S5733" t="str">
        <f>_xlfn.XLOOKUP(Pipeline_tbl[[#This Row],[Created_Date]],Dim_Date!A:A,Dim_Date!H:H)</f>
        <v>Dec 2024</v>
      </c>
      <c r="T5733" t="str">
        <f>IF(Pipeline_tbl[[#This Row],[Closed_Date]]=0,"",(_xlfn.XLOOKUP(Pipeline_tbl[[#This Row],[Closed_Date]],Dim_Date!A:A,Dim_Date!H:H)))</f>
        <v>Jan 2025</v>
      </c>
      <c r="U5733">
        <f>IF(Pipeline_tbl[[#This Row],[Closed_Date]]=0,"",Pipeline_tbl[[#This Row],[Closed_Date]]-Pipeline_tbl[[#This Row],[Created_Date]])</f>
        <v>23</v>
      </c>
    </row>
    <row r="5734" spans="1:21" ht="15" customHeight="1" x14ac:dyDescent="0.2">
      <c r="A5734" t="s">
        <v>6040</v>
      </c>
      <c r="B5734" t="s">
        <v>211</v>
      </c>
      <c r="C5734" t="s">
        <v>52</v>
      </c>
      <c r="D5734" s="49">
        <v>45653</v>
      </c>
      <c r="E5734" s="49">
        <v>45654</v>
      </c>
      <c r="F5734" s="49">
        <v>45657</v>
      </c>
      <c r="G5734" s="49">
        <v>45660</v>
      </c>
      <c r="H5734" s="49">
        <v>45663</v>
      </c>
      <c r="I5734" s="49">
        <v>45665</v>
      </c>
      <c r="J5734" t="s">
        <v>47</v>
      </c>
      <c r="K5734" s="33">
        <v>3000</v>
      </c>
      <c r="M5734" t="str">
        <f>_xlfn.XLOOKUP(Pipeline_tbl[[#This Row],[Rep_ID]],Dim_Reps!A:A,Dim_Reps!K:K)</f>
        <v>EUR</v>
      </c>
      <c r="N5734" s="33">
        <f>(_xlfn.XLOOKUP(Pipeline_tbl[[#This Row],[Rate_Code_Generalized]],Lookups!A:A,Lookups!B:B))*Pipeline_tbl[[#This Row],[Pipeline_Amount_USD]]</f>
        <v>3000</v>
      </c>
      <c r="O5734" t="str">
        <f>_xlfn.XLOOKUP(Pipeline_tbl[[#This Row],[Rep_ID]],Dim_Reps!A:A,Dim_Reps!B:B)</f>
        <v>Lea Weber</v>
      </c>
      <c r="P5734" t="str">
        <f>_xlfn.XLOOKUP(Pipeline_tbl[[#This Row],[Rep_ID]],Dim_Reps!A:A,Dim_Reps!C:C)</f>
        <v>SDR / Inside Sales Rep</v>
      </c>
      <c r="Q5734" t="str">
        <f>_xlfn.XLOOKUP(Pipeline_tbl[[#This Row],[Rep_ID]],Dim_Reps!A:A,Dim_Reps!D:D)</f>
        <v>Inside Sales</v>
      </c>
      <c r="R5734" t="str">
        <f>_xlfn.XLOOKUP(Pipeline_tbl[[#This Row],[Rep_ID]],Dim_Reps!A:A,Dim_Reps!E:E)</f>
        <v>EMEA</v>
      </c>
      <c r="S5734" t="str">
        <f>_xlfn.XLOOKUP(Pipeline_tbl[[#This Row],[Created_Date]],Dim_Date!A:A,Dim_Date!H:H)</f>
        <v>Dec 2024</v>
      </c>
      <c r="T5734" t="str">
        <f>IF(Pipeline_tbl[[#This Row],[Closed_Date]]=0,"",(_xlfn.XLOOKUP(Pipeline_tbl[[#This Row],[Closed_Date]],Dim_Date!A:A,Dim_Date!H:H)))</f>
        <v>Jan 2025</v>
      </c>
      <c r="U5734">
        <f>IF(Pipeline_tbl[[#This Row],[Closed_Date]]=0,"",Pipeline_tbl[[#This Row],[Closed_Date]]-Pipeline_tbl[[#This Row],[Created_Date]])</f>
        <v>12</v>
      </c>
    </row>
    <row r="5735" spans="1:21" ht="15" customHeight="1" x14ac:dyDescent="0.2">
      <c r="A5735" t="s">
        <v>6041</v>
      </c>
      <c r="B5735" t="s">
        <v>211</v>
      </c>
      <c r="C5735" t="s">
        <v>52</v>
      </c>
      <c r="D5735" s="49">
        <v>45648</v>
      </c>
      <c r="E5735" s="49">
        <v>45649</v>
      </c>
      <c r="F5735" s="49">
        <v>45652</v>
      </c>
      <c r="I5735" s="49">
        <v>45660</v>
      </c>
      <c r="J5735" t="s">
        <v>49</v>
      </c>
      <c r="K5735" s="33">
        <v>2700</v>
      </c>
      <c r="L5735" t="s">
        <v>60</v>
      </c>
      <c r="M5735" t="str">
        <f>_xlfn.XLOOKUP(Pipeline_tbl[[#This Row],[Rep_ID]],Dim_Reps!A:A,Dim_Reps!K:K)</f>
        <v>EUR</v>
      </c>
      <c r="N5735" s="33">
        <f>(_xlfn.XLOOKUP(Pipeline_tbl[[#This Row],[Rate_Code_Generalized]],Lookups!A:A,Lookups!B:B))*Pipeline_tbl[[#This Row],[Pipeline_Amount_USD]]</f>
        <v>2700</v>
      </c>
      <c r="O5735" t="str">
        <f>_xlfn.XLOOKUP(Pipeline_tbl[[#This Row],[Rep_ID]],Dim_Reps!A:A,Dim_Reps!B:B)</f>
        <v>Lea Weber</v>
      </c>
      <c r="P5735" t="str">
        <f>_xlfn.XLOOKUP(Pipeline_tbl[[#This Row],[Rep_ID]],Dim_Reps!A:A,Dim_Reps!C:C)</f>
        <v>SDR / Inside Sales Rep</v>
      </c>
      <c r="Q5735" t="str">
        <f>_xlfn.XLOOKUP(Pipeline_tbl[[#This Row],[Rep_ID]],Dim_Reps!A:A,Dim_Reps!D:D)</f>
        <v>Inside Sales</v>
      </c>
      <c r="R5735" t="str">
        <f>_xlfn.XLOOKUP(Pipeline_tbl[[#This Row],[Rep_ID]],Dim_Reps!A:A,Dim_Reps!E:E)</f>
        <v>EMEA</v>
      </c>
      <c r="S5735" t="str">
        <f>_xlfn.XLOOKUP(Pipeline_tbl[[#This Row],[Created_Date]],Dim_Date!A:A,Dim_Date!H:H)</f>
        <v>Dec 2024</v>
      </c>
      <c r="T5735" t="str">
        <f>IF(Pipeline_tbl[[#This Row],[Closed_Date]]=0,"",(_xlfn.XLOOKUP(Pipeline_tbl[[#This Row],[Closed_Date]],Dim_Date!A:A,Dim_Date!H:H)))</f>
        <v>Jan 2025</v>
      </c>
      <c r="U5735">
        <f>IF(Pipeline_tbl[[#This Row],[Closed_Date]]=0,"",Pipeline_tbl[[#This Row],[Closed_Date]]-Pipeline_tbl[[#This Row],[Created_Date]])</f>
        <v>12</v>
      </c>
    </row>
    <row r="5736" spans="1:21" ht="15" customHeight="1" x14ac:dyDescent="0.2">
      <c r="A5736" t="s">
        <v>6042</v>
      </c>
      <c r="B5736" t="s">
        <v>211</v>
      </c>
      <c r="C5736" t="s">
        <v>52</v>
      </c>
      <c r="D5736" s="49">
        <v>45645</v>
      </c>
      <c r="E5736" s="49">
        <v>45646</v>
      </c>
      <c r="I5736" s="49">
        <v>45658</v>
      </c>
      <c r="J5736" t="s">
        <v>49</v>
      </c>
      <c r="K5736" s="33">
        <v>4300</v>
      </c>
      <c r="L5736" t="s">
        <v>60</v>
      </c>
      <c r="M5736" t="str">
        <f>_xlfn.XLOOKUP(Pipeline_tbl[[#This Row],[Rep_ID]],Dim_Reps!A:A,Dim_Reps!K:K)</f>
        <v>EUR</v>
      </c>
      <c r="N5736" s="33">
        <f>(_xlfn.XLOOKUP(Pipeline_tbl[[#This Row],[Rate_Code_Generalized]],Lookups!A:A,Lookups!B:B))*Pipeline_tbl[[#This Row],[Pipeline_Amount_USD]]</f>
        <v>4300</v>
      </c>
      <c r="O5736" t="str">
        <f>_xlfn.XLOOKUP(Pipeline_tbl[[#This Row],[Rep_ID]],Dim_Reps!A:A,Dim_Reps!B:B)</f>
        <v>Lea Weber</v>
      </c>
      <c r="P5736" t="str">
        <f>_xlfn.XLOOKUP(Pipeline_tbl[[#This Row],[Rep_ID]],Dim_Reps!A:A,Dim_Reps!C:C)</f>
        <v>SDR / Inside Sales Rep</v>
      </c>
      <c r="Q5736" t="str">
        <f>_xlfn.XLOOKUP(Pipeline_tbl[[#This Row],[Rep_ID]],Dim_Reps!A:A,Dim_Reps!D:D)</f>
        <v>Inside Sales</v>
      </c>
      <c r="R5736" t="str">
        <f>_xlfn.XLOOKUP(Pipeline_tbl[[#This Row],[Rep_ID]],Dim_Reps!A:A,Dim_Reps!E:E)</f>
        <v>EMEA</v>
      </c>
      <c r="S5736" t="str">
        <f>_xlfn.XLOOKUP(Pipeline_tbl[[#This Row],[Created_Date]],Dim_Date!A:A,Dim_Date!H:H)</f>
        <v>Dec 2024</v>
      </c>
      <c r="T5736" t="str">
        <f>IF(Pipeline_tbl[[#This Row],[Closed_Date]]=0,"",(_xlfn.XLOOKUP(Pipeline_tbl[[#This Row],[Closed_Date]],Dim_Date!A:A,Dim_Date!H:H)))</f>
        <v>Jan 2025</v>
      </c>
      <c r="U5736">
        <f>IF(Pipeline_tbl[[#This Row],[Closed_Date]]=0,"",Pipeline_tbl[[#This Row],[Closed_Date]]-Pipeline_tbl[[#This Row],[Created_Date]])</f>
        <v>13</v>
      </c>
    </row>
    <row r="5737" spans="1:21" ht="15" customHeight="1" x14ac:dyDescent="0.2">
      <c r="A5737" t="s">
        <v>6043</v>
      </c>
      <c r="B5737" t="s">
        <v>211</v>
      </c>
      <c r="C5737" t="s">
        <v>55</v>
      </c>
      <c r="D5737" s="49">
        <v>45641</v>
      </c>
      <c r="E5737" s="49">
        <v>45643</v>
      </c>
      <c r="F5737" s="49">
        <v>45648</v>
      </c>
      <c r="G5737" s="49">
        <v>45654</v>
      </c>
      <c r="H5737" s="49">
        <v>45660</v>
      </c>
      <c r="I5737" s="49">
        <v>45663</v>
      </c>
      <c r="J5737" t="s">
        <v>49</v>
      </c>
      <c r="K5737" s="33">
        <v>3000</v>
      </c>
      <c r="L5737" t="s">
        <v>62</v>
      </c>
      <c r="M5737" t="str">
        <f>_xlfn.XLOOKUP(Pipeline_tbl[[#This Row],[Rep_ID]],Dim_Reps!A:A,Dim_Reps!K:K)</f>
        <v>EUR</v>
      </c>
      <c r="N5737" s="33">
        <f>(_xlfn.XLOOKUP(Pipeline_tbl[[#This Row],[Rate_Code_Generalized]],Lookups!A:A,Lookups!B:B))*Pipeline_tbl[[#This Row],[Pipeline_Amount_USD]]</f>
        <v>3000</v>
      </c>
      <c r="O5737" t="str">
        <f>_xlfn.XLOOKUP(Pipeline_tbl[[#This Row],[Rep_ID]],Dim_Reps!A:A,Dim_Reps!B:B)</f>
        <v>Lea Weber</v>
      </c>
      <c r="P5737" t="str">
        <f>_xlfn.XLOOKUP(Pipeline_tbl[[#This Row],[Rep_ID]],Dim_Reps!A:A,Dim_Reps!C:C)</f>
        <v>SDR / Inside Sales Rep</v>
      </c>
      <c r="Q5737" t="str">
        <f>_xlfn.XLOOKUP(Pipeline_tbl[[#This Row],[Rep_ID]],Dim_Reps!A:A,Dim_Reps!D:D)</f>
        <v>Inside Sales</v>
      </c>
      <c r="R5737" t="str">
        <f>_xlfn.XLOOKUP(Pipeline_tbl[[#This Row],[Rep_ID]],Dim_Reps!A:A,Dim_Reps!E:E)</f>
        <v>EMEA</v>
      </c>
      <c r="S5737" t="str">
        <f>_xlfn.XLOOKUP(Pipeline_tbl[[#This Row],[Created_Date]],Dim_Date!A:A,Dim_Date!H:H)</f>
        <v>Dec 2024</v>
      </c>
      <c r="T5737" t="str">
        <f>IF(Pipeline_tbl[[#This Row],[Closed_Date]]=0,"",(_xlfn.XLOOKUP(Pipeline_tbl[[#This Row],[Closed_Date]],Dim_Date!A:A,Dim_Date!H:H)))</f>
        <v>Jan 2025</v>
      </c>
      <c r="U5737">
        <f>IF(Pipeline_tbl[[#This Row],[Closed_Date]]=0,"",Pipeline_tbl[[#This Row],[Closed_Date]]-Pipeline_tbl[[#This Row],[Created_Date]])</f>
        <v>22</v>
      </c>
    </row>
    <row r="5738" spans="1:21" ht="15" customHeight="1" x14ac:dyDescent="0.2">
      <c r="A5738" t="s">
        <v>6044</v>
      </c>
      <c r="B5738" t="s">
        <v>211</v>
      </c>
      <c r="C5738" t="s">
        <v>56</v>
      </c>
      <c r="D5738" s="49">
        <v>45651</v>
      </c>
      <c r="E5738" s="49">
        <v>45652</v>
      </c>
      <c r="F5738" s="49">
        <v>45655</v>
      </c>
      <c r="G5738" s="49">
        <v>45659</v>
      </c>
      <c r="I5738" s="49">
        <v>45665</v>
      </c>
      <c r="J5738" t="s">
        <v>49</v>
      </c>
      <c r="K5738" s="33">
        <v>2500</v>
      </c>
      <c r="L5738" t="s">
        <v>61</v>
      </c>
      <c r="M5738" t="str">
        <f>_xlfn.XLOOKUP(Pipeline_tbl[[#This Row],[Rep_ID]],Dim_Reps!A:A,Dim_Reps!K:K)</f>
        <v>EUR</v>
      </c>
      <c r="N5738" s="33">
        <f>(_xlfn.XLOOKUP(Pipeline_tbl[[#This Row],[Rate_Code_Generalized]],Lookups!A:A,Lookups!B:B))*Pipeline_tbl[[#This Row],[Pipeline_Amount_USD]]</f>
        <v>2500</v>
      </c>
      <c r="O5738" t="str">
        <f>_xlfn.XLOOKUP(Pipeline_tbl[[#This Row],[Rep_ID]],Dim_Reps!A:A,Dim_Reps!B:B)</f>
        <v>Lea Weber</v>
      </c>
      <c r="P5738" t="str">
        <f>_xlfn.XLOOKUP(Pipeline_tbl[[#This Row],[Rep_ID]],Dim_Reps!A:A,Dim_Reps!C:C)</f>
        <v>SDR / Inside Sales Rep</v>
      </c>
      <c r="Q5738" t="str">
        <f>_xlfn.XLOOKUP(Pipeline_tbl[[#This Row],[Rep_ID]],Dim_Reps!A:A,Dim_Reps!D:D)</f>
        <v>Inside Sales</v>
      </c>
      <c r="R5738" t="str">
        <f>_xlfn.XLOOKUP(Pipeline_tbl[[#This Row],[Rep_ID]],Dim_Reps!A:A,Dim_Reps!E:E)</f>
        <v>EMEA</v>
      </c>
      <c r="S5738" t="str">
        <f>_xlfn.XLOOKUP(Pipeline_tbl[[#This Row],[Created_Date]],Dim_Date!A:A,Dim_Date!H:H)</f>
        <v>Dec 2024</v>
      </c>
      <c r="T5738" t="str">
        <f>IF(Pipeline_tbl[[#This Row],[Closed_Date]]=0,"",(_xlfn.XLOOKUP(Pipeline_tbl[[#This Row],[Closed_Date]],Dim_Date!A:A,Dim_Date!H:H)))</f>
        <v>Jan 2025</v>
      </c>
      <c r="U5738">
        <f>IF(Pipeline_tbl[[#This Row],[Closed_Date]]=0,"",Pipeline_tbl[[#This Row],[Closed_Date]]-Pipeline_tbl[[#This Row],[Created_Date]])</f>
        <v>14</v>
      </c>
    </row>
    <row r="5739" spans="1:21" ht="15" customHeight="1" x14ac:dyDescent="0.2">
      <c r="A5739" t="s">
        <v>6045</v>
      </c>
      <c r="B5739" t="s">
        <v>211</v>
      </c>
      <c r="C5739" t="s">
        <v>55</v>
      </c>
      <c r="D5739" s="49">
        <v>45651</v>
      </c>
      <c r="E5739" s="49">
        <v>45653</v>
      </c>
      <c r="F5739" s="49">
        <v>45656</v>
      </c>
      <c r="G5739" s="49">
        <v>45661</v>
      </c>
      <c r="I5739" s="49">
        <v>45667</v>
      </c>
      <c r="J5739" t="s">
        <v>49</v>
      </c>
      <c r="K5739" s="33">
        <v>3400</v>
      </c>
      <c r="L5739" t="s">
        <v>61</v>
      </c>
      <c r="M5739" t="str">
        <f>_xlfn.XLOOKUP(Pipeline_tbl[[#This Row],[Rep_ID]],Dim_Reps!A:A,Dim_Reps!K:K)</f>
        <v>EUR</v>
      </c>
      <c r="N5739" s="33">
        <f>(_xlfn.XLOOKUP(Pipeline_tbl[[#This Row],[Rate_Code_Generalized]],Lookups!A:A,Lookups!B:B))*Pipeline_tbl[[#This Row],[Pipeline_Amount_USD]]</f>
        <v>3400</v>
      </c>
      <c r="O5739" t="str">
        <f>_xlfn.XLOOKUP(Pipeline_tbl[[#This Row],[Rep_ID]],Dim_Reps!A:A,Dim_Reps!B:B)</f>
        <v>Lea Weber</v>
      </c>
      <c r="P5739" t="str">
        <f>_xlfn.XLOOKUP(Pipeline_tbl[[#This Row],[Rep_ID]],Dim_Reps!A:A,Dim_Reps!C:C)</f>
        <v>SDR / Inside Sales Rep</v>
      </c>
      <c r="Q5739" t="str">
        <f>_xlfn.XLOOKUP(Pipeline_tbl[[#This Row],[Rep_ID]],Dim_Reps!A:A,Dim_Reps!D:D)</f>
        <v>Inside Sales</v>
      </c>
      <c r="R5739" t="str">
        <f>_xlfn.XLOOKUP(Pipeline_tbl[[#This Row],[Rep_ID]],Dim_Reps!A:A,Dim_Reps!E:E)</f>
        <v>EMEA</v>
      </c>
      <c r="S5739" t="str">
        <f>_xlfn.XLOOKUP(Pipeline_tbl[[#This Row],[Created_Date]],Dim_Date!A:A,Dim_Date!H:H)</f>
        <v>Dec 2024</v>
      </c>
      <c r="T5739" t="str">
        <f>IF(Pipeline_tbl[[#This Row],[Closed_Date]]=0,"",(_xlfn.XLOOKUP(Pipeline_tbl[[#This Row],[Closed_Date]],Dim_Date!A:A,Dim_Date!H:H)))</f>
        <v>Jan 2025</v>
      </c>
      <c r="U5739">
        <f>IF(Pipeline_tbl[[#This Row],[Closed_Date]]=0,"",Pipeline_tbl[[#This Row],[Closed_Date]]-Pipeline_tbl[[#This Row],[Created_Date]])</f>
        <v>16</v>
      </c>
    </row>
    <row r="5740" spans="1:21" ht="15" customHeight="1" x14ac:dyDescent="0.2">
      <c r="A5740" t="s">
        <v>6046</v>
      </c>
      <c r="B5740" t="s">
        <v>213</v>
      </c>
      <c r="C5740" t="s">
        <v>53</v>
      </c>
      <c r="D5740" s="49">
        <v>45652</v>
      </c>
      <c r="E5740" s="49">
        <v>45653</v>
      </c>
      <c r="F5740" s="49">
        <v>45655</v>
      </c>
      <c r="G5740" s="49">
        <v>45659</v>
      </c>
      <c r="H5740" s="49">
        <v>45661</v>
      </c>
      <c r="I5740" s="49">
        <v>45663</v>
      </c>
      <c r="J5740" t="s">
        <v>49</v>
      </c>
      <c r="K5740" s="33">
        <v>4900</v>
      </c>
      <c r="L5740" t="s">
        <v>62</v>
      </c>
      <c r="M5740" t="str">
        <f>_xlfn.XLOOKUP(Pipeline_tbl[[#This Row],[Rep_ID]],Dim_Reps!A:A,Dim_Reps!K:K)</f>
        <v>EUR</v>
      </c>
      <c r="N5740" s="33">
        <f>(_xlfn.XLOOKUP(Pipeline_tbl[[#This Row],[Rate_Code_Generalized]],Lookups!A:A,Lookups!B:B))*Pipeline_tbl[[#This Row],[Pipeline_Amount_USD]]</f>
        <v>4900</v>
      </c>
      <c r="O5740" t="str">
        <f>_xlfn.XLOOKUP(Pipeline_tbl[[#This Row],[Rep_ID]],Dim_Reps!A:A,Dim_Reps!B:B)</f>
        <v>Jamie Silva</v>
      </c>
      <c r="P5740" t="str">
        <f>_xlfn.XLOOKUP(Pipeline_tbl[[#This Row],[Rep_ID]],Dim_Reps!A:A,Dim_Reps!C:C)</f>
        <v>SDR / Inside Sales Rep</v>
      </c>
      <c r="Q5740" t="str">
        <f>_xlfn.XLOOKUP(Pipeline_tbl[[#This Row],[Rep_ID]],Dim_Reps!A:A,Dim_Reps!D:D)</f>
        <v>Inside Sales</v>
      </c>
      <c r="R5740" t="str">
        <f>_xlfn.XLOOKUP(Pipeline_tbl[[#This Row],[Rep_ID]],Dim_Reps!A:A,Dim_Reps!E:E)</f>
        <v>EMEA</v>
      </c>
      <c r="S5740" t="str">
        <f>_xlfn.XLOOKUP(Pipeline_tbl[[#This Row],[Created_Date]],Dim_Date!A:A,Dim_Date!H:H)</f>
        <v>Dec 2024</v>
      </c>
      <c r="T5740" t="str">
        <f>IF(Pipeline_tbl[[#This Row],[Closed_Date]]=0,"",(_xlfn.XLOOKUP(Pipeline_tbl[[#This Row],[Closed_Date]],Dim_Date!A:A,Dim_Date!H:H)))</f>
        <v>Jan 2025</v>
      </c>
      <c r="U5740">
        <f>IF(Pipeline_tbl[[#This Row],[Closed_Date]]=0,"",Pipeline_tbl[[#This Row],[Closed_Date]]-Pipeline_tbl[[#This Row],[Created_Date]])</f>
        <v>11</v>
      </c>
    </row>
    <row r="5741" spans="1:21" ht="15" customHeight="1" x14ac:dyDescent="0.2">
      <c r="A5741" t="s">
        <v>6047</v>
      </c>
      <c r="B5741" t="s">
        <v>213</v>
      </c>
      <c r="C5741" t="s">
        <v>55</v>
      </c>
      <c r="D5741" s="49">
        <v>45655</v>
      </c>
      <c r="E5741" s="49">
        <v>45658</v>
      </c>
      <c r="F5741" s="49">
        <v>45663</v>
      </c>
      <c r="G5741" s="49">
        <v>45671</v>
      </c>
      <c r="I5741" s="49">
        <v>45681</v>
      </c>
      <c r="J5741" t="s">
        <v>49</v>
      </c>
      <c r="K5741" s="33">
        <v>3400</v>
      </c>
      <c r="L5741" t="s">
        <v>60</v>
      </c>
      <c r="M5741" t="str">
        <f>_xlfn.XLOOKUP(Pipeline_tbl[[#This Row],[Rep_ID]],Dim_Reps!A:A,Dim_Reps!K:K)</f>
        <v>EUR</v>
      </c>
      <c r="N5741" s="33">
        <f>(_xlfn.XLOOKUP(Pipeline_tbl[[#This Row],[Rate_Code_Generalized]],Lookups!A:A,Lookups!B:B))*Pipeline_tbl[[#This Row],[Pipeline_Amount_USD]]</f>
        <v>3400</v>
      </c>
      <c r="O5741" t="str">
        <f>_xlfn.XLOOKUP(Pipeline_tbl[[#This Row],[Rep_ID]],Dim_Reps!A:A,Dim_Reps!B:B)</f>
        <v>Jamie Silva</v>
      </c>
      <c r="P5741" t="str">
        <f>_xlfn.XLOOKUP(Pipeline_tbl[[#This Row],[Rep_ID]],Dim_Reps!A:A,Dim_Reps!C:C)</f>
        <v>SDR / Inside Sales Rep</v>
      </c>
      <c r="Q5741" t="str">
        <f>_xlfn.XLOOKUP(Pipeline_tbl[[#This Row],[Rep_ID]],Dim_Reps!A:A,Dim_Reps!D:D)</f>
        <v>Inside Sales</v>
      </c>
      <c r="R5741" t="str">
        <f>_xlfn.XLOOKUP(Pipeline_tbl[[#This Row],[Rep_ID]],Dim_Reps!A:A,Dim_Reps!E:E)</f>
        <v>EMEA</v>
      </c>
      <c r="S5741" t="str">
        <f>_xlfn.XLOOKUP(Pipeline_tbl[[#This Row],[Created_Date]],Dim_Date!A:A,Dim_Date!H:H)</f>
        <v>Dec 2024</v>
      </c>
      <c r="T5741" t="str">
        <f>IF(Pipeline_tbl[[#This Row],[Closed_Date]]=0,"",(_xlfn.XLOOKUP(Pipeline_tbl[[#This Row],[Closed_Date]],Dim_Date!A:A,Dim_Date!H:H)))</f>
        <v>Jan 2025</v>
      </c>
      <c r="U5741">
        <f>IF(Pipeline_tbl[[#This Row],[Closed_Date]]=0,"",Pipeline_tbl[[#This Row],[Closed_Date]]-Pipeline_tbl[[#This Row],[Created_Date]])</f>
        <v>26</v>
      </c>
    </row>
    <row r="5742" spans="1:21" ht="15" customHeight="1" x14ac:dyDescent="0.2">
      <c r="A5742" t="s">
        <v>6048</v>
      </c>
      <c r="B5742" t="s">
        <v>213</v>
      </c>
      <c r="C5742" t="s">
        <v>53</v>
      </c>
      <c r="D5742" s="49">
        <v>45656</v>
      </c>
      <c r="E5742" s="49">
        <v>45658</v>
      </c>
      <c r="F5742" s="49">
        <v>45662</v>
      </c>
      <c r="I5742" s="49">
        <v>45676</v>
      </c>
      <c r="J5742" t="s">
        <v>49</v>
      </c>
      <c r="K5742" s="33">
        <v>5000</v>
      </c>
      <c r="L5742" t="s">
        <v>63</v>
      </c>
      <c r="M5742" t="str">
        <f>_xlfn.XLOOKUP(Pipeline_tbl[[#This Row],[Rep_ID]],Dim_Reps!A:A,Dim_Reps!K:K)</f>
        <v>EUR</v>
      </c>
      <c r="N5742" s="33">
        <f>(_xlfn.XLOOKUP(Pipeline_tbl[[#This Row],[Rate_Code_Generalized]],Lookups!A:A,Lookups!B:B))*Pipeline_tbl[[#This Row],[Pipeline_Amount_USD]]</f>
        <v>5000</v>
      </c>
      <c r="O5742" t="str">
        <f>_xlfn.XLOOKUP(Pipeline_tbl[[#This Row],[Rep_ID]],Dim_Reps!A:A,Dim_Reps!B:B)</f>
        <v>Jamie Silva</v>
      </c>
      <c r="P5742" t="str">
        <f>_xlfn.XLOOKUP(Pipeline_tbl[[#This Row],[Rep_ID]],Dim_Reps!A:A,Dim_Reps!C:C)</f>
        <v>SDR / Inside Sales Rep</v>
      </c>
      <c r="Q5742" t="str">
        <f>_xlfn.XLOOKUP(Pipeline_tbl[[#This Row],[Rep_ID]],Dim_Reps!A:A,Dim_Reps!D:D)</f>
        <v>Inside Sales</v>
      </c>
      <c r="R5742" t="str">
        <f>_xlfn.XLOOKUP(Pipeline_tbl[[#This Row],[Rep_ID]],Dim_Reps!A:A,Dim_Reps!E:E)</f>
        <v>EMEA</v>
      </c>
      <c r="S5742" t="str">
        <f>_xlfn.XLOOKUP(Pipeline_tbl[[#This Row],[Created_Date]],Dim_Date!A:A,Dim_Date!H:H)</f>
        <v>Dec 2024</v>
      </c>
      <c r="T5742" t="str">
        <f>IF(Pipeline_tbl[[#This Row],[Closed_Date]]=0,"",(_xlfn.XLOOKUP(Pipeline_tbl[[#This Row],[Closed_Date]],Dim_Date!A:A,Dim_Date!H:H)))</f>
        <v>Jan 2025</v>
      </c>
      <c r="U5742">
        <f>IF(Pipeline_tbl[[#This Row],[Closed_Date]]=0,"",Pipeline_tbl[[#This Row],[Closed_Date]]-Pipeline_tbl[[#This Row],[Created_Date]])</f>
        <v>20</v>
      </c>
    </row>
    <row r="5743" spans="1:21" ht="15" customHeight="1" x14ac:dyDescent="0.2">
      <c r="A5743" t="s">
        <v>6049</v>
      </c>
      <c r="B5743" t="s">
        <v>213</v>
      </c>
      <c r="C5743" t="s">
        <v>52</v>
      </c>
      <c r="D5743" s="49">
        <v>45643</v>
      </c>
      <c r="E5743" s="49">
        <v>45646</v>
      </c>
      <c r="F5743" s="49">
        <v>45651</v>
      </c>
      <c r="G5743" s="49">
        <v>45659</v>
      </c>
      <c r="H5743" s="49">
        <v>45666</v>
      </c>
      <c r="I5743" s="49">
        <v>45670</v>
      </c>
      <c r="J5743" t="s">
        <v>49</v>
      </c>
      <c r="K5743" s="33">
        <v>3900</v>
      </c>
      <c r="L5743" t="s">
        <v>61</v>
      </c>
      <c r="M5743" t="str">
        <f>_xlfn.XLOOKUP(Pipeline_tbl[[#This Row],[Rep_ID]],Dim_Reps!A:A,Dim_Reps!K:K)</f>
        <v>EUR</v>
      </c>
      <c r="N5743" s="33">
        <f>(_xlfn.XLOOKUP(Pipeline_tbl[[#This Row],[Rate_Code_Generalized]],Lookups!A:A,Lookups!B:B))*Pipeline_tbl[[#This Row],[Pipeline_Amount_USD]]</f>
        <v>3900</v>
      </c>
      <c r="O5743" t="str">
        <f>_xlfn.XLOOKUP(Pipeline_tbl[[#This Row],[Rep_ID]],Dim_Reps!A:A,Dim_Reps!B:B)</f>
        <v>Jamie Silva</v>
      </c>
      <c r="P5743" t="str">
        <f>_xlfn.XLOOKUP(Pipeline_tbl[[#This Row],[Rep_ID]],Dim_Reps!A:A,Dim_Reps!C:C)</f>
        <v>SDR / Inside Sales Rep</v>
      </c>
      <c r="Q5743" t="str">
        <f>_xlfn.XLOOKUP(Pipeline_tbl[[#This Row],[Rep_ID]],Dim_Reps!A:A,Dim_Reps!D:D)</f>
        <v>Inside Sales</v>
      </c>
      <c r="R5743" t="str">
        <f>_xlfn.XLOOKUP(Pipeline_tbl[[#This Row],[Rep_ID]],Dim_Reps!A:A,Dim_Reps!E:E)</f>
        <v>EMEA</v>
      </c>
      <c r="S5743" t="str">
        <f>_xlfn.XLOOKUP(Pipeline_tbl[[#This Row],[Created_Date]],Dim_Date!A:A,Dim_Date!H:H)</f>
        <v>Dec 2024</v>
      </c>
      <c r="T5743" t="str">
        <f>IF(Pipeline_tbl[[#This Row],[Closed_Date]]=0,"",(_xlfn.XLOOKUP(Pipeline_tbl[[#This Row],[Closed_Date]],Dim_Date!A:A,Dim_Date!H:H)))</f>
        <v>Jan 2025</v>
      </c>
      <c r="U5743">
        <f>IF(Pipeline_tbl[[#This Row],[Closed_Date]]=0,"",Pipeline_tbl[[#This Row],[Closed_Date]]-Pipeline_tbl[[#This Row],[Created_Date]])</f>
        <v>27</v>
      </c>
    </row>
    <row r="5744" spans="1:21" ht="15" customHeight="1" x14ac:dyDescent="0.2">
      <c r="A5744" t="s">
        <v>6050</v>
      </c>
      <c r="B5744" t="s">
        <v>215</v>
      </c>
      <c r="C5744" t="s">
        <v>52</v>
      </c>
      <c r="D5744" s="49">
        <v>45646</v>
      </c>
      <c r="E5744" s="49">
        <v>45648</v>
      </c>
      <c r="F5744" s="49">
        <v>45653</v>
      </c>
      <c r="I5744" s="49">
        <v>45668</v>
      </c>
      <c r="J5744" t="s">
        <v>49</v>
      </c>
      <c r="K5744" s="33">
        <v>9600</v>
      </c>
      <c r="L5744" t="s">
        <v>62</v>
      </c>
      <c r="M5744" t="str">
        <f>_xlfn.XLOOKUP(Pipeline_tbl[[#This Row],[Rep_ID]],Dim_Reps!A:A,Dim_Reps!K:K)</f>
        <v>EUR</v>
      </c>
      <c r="N5744" s="33">
        <f>(_xlfn.XLOOKUP(Pipeline_tbl[[#This Row],[Rate_Code_Generalized]],Lookups!A:A,Lookups!B:B))*Pipeline_tbl[[#This Row],[Pipeline_Amount_USD]]</f>
        <v>9600</v>
      </c>
      <c r="O5744" t="str">
        <f>_xlfn.XLOOKUP(Pipeline_tbl[[#This Row],[Rep_ID]],Dim_Reps!A:A,Dim_Reps!B:B)</f>
        <v>Jamie Schmidt</v>
      </c>
      <c r="P5744" t="str">
        <f>_xlfn.XLOOKUP(Pipeline_tbl[[#This Row],[Rep_ID]],Dim_Reps!A:A,Dim_Reps!C:C)</f>
        <v>SDR / Inside Sales Rep</v>
      </c>
      <c r="Q5744" t="str">
        <f>_xlfn.XLOOKUP(Pipeline_tbl[[#This Row],[Rep_ID]],Dim_Reps!A:A,Dim_Reps!D:D)</f>
        <v>Inside Sales</v>
      </c>
      <c r="R5744" t="str">
        <f>_xlfn.XLOOKUP(Pipeline_tbl[[#This Row],[Rep_ID]],Dim_Reps!A:A,Dim_Reps!E:E)</f>
        <v>APAC</v>
      </c>
      <c r="S5744" t="str">
        <f>_xlfn.XLOOKUP(Pipeline_tbl[[#This Row],[Created_Date]],Dim_Date!A:A,Dim_Date!H:H)</f>
        <v>Dec 2024</v>
      </c>
      <c r="T5744" t="str">
        <f>IF(Pipeline_tbl[[#This Row],[Closed_Date]]=0,"",(_xlfn.XLOOKUP(Pipeline_tbl[[#This Row],[Closed_Date]],Dim_Date!A:A,Dim_Date!H:H)))</f>
        <v>Jan 2025</v>
      </c>
      <c r="U5744">
        <f>IF(Pipeline_tbl[[#This Row],[Closed_Date]]=0,"",Pipeline_tbl[[#This Row],[Closed_Date]]-Pipeline_tbl[[#This Row],[Created_Date]])</f>
        <v>22</v>
      </c>
    </row>
    <row r="5745" spans="1:21" ht="15" customHeight="1" x14ac:dyDescent="0.2">
      <c r="A5745" t="s">
        <v>6051</v>
      </c>
      <c r="B5745" t="s">
        <v>215</v>
      </c>
      <c r="C5745" t="s">
        <v>53</v>
      </c>
      <c r="D5745" s="49">
        <v>45644</v>
      </c>
      <c r="E5745" s="49">
        <v>45647</v>
      </c>
      <c r="F5745" s="49">
        <v>45652</v>
      </c>
      <c r="I5745" s="49">
        <v>45672</v>
      </c>
      <c r="J5745" t="s">
        <v>49</v>
      </c>
      <c r="K5745" s="33">
        <v>2400</v>
      </c>
      <c r="L5745" t="s">
        <v>61</v>
      </c>
      <c r="M5745" t="str">
        <f>_xlfn.XLOOKUP(Pipeline_tbl[[#This Row],[Rep_ID]],Dim_Reps!A:A,Dim_Reps!K:K)</f>
        <v>EUR</v>
      </c>
      <c r="N5745" s="33">
        <f>(_xlfn.XLOOKUP(Pipeline_tbl[[#This Row],[Rate_Code_Generalized]],Lookups!A:A,Lookups!B:B))*Pipeline_tbl[[#This Row],[Pipeline_Amount_USD]]</f>
        <v>2400</v>
      </c>
      <c r="O5745" t="str">
        <f>_xlfn.XLOOKUP(Pipeline_tbl[[#This Row],[Rep_ID]],Dim_Reps!A:A,Dim_Reps!B:B)</f>
        <v>Jamie Schmidt</v>
      </c>
      <c r="P5745" t="str">
        <f>_xlfn.XLOOKUP(Pipeline_tbl[[#This Row],[Rep_ID]],Dim_Reps!A:A,Dim_Reps!C:C)</f>
        <v>SDR / Inside Sales Rep</v>
      </c>
      <c r="Q5745" t="str">
        <f>_xlfn.XLOOKUP(Pipeline_tbl[[#This Row],[Rep_ID]],Dim_Reps!A:A,Dim_Reps!D:D)</f>
        <v>Inside Sales</v>
      </c>
      <c r="R5745" t="str">
        <f>_xlfn.XLOOKUP(Pipeline_tbl[[#This Row],[Rep_ID]],Dim_Reps!A:A,Dim_Reps!E:E)</f>
        <v>APAC</v>
      </c>
      <c r="S5745" t="str">
        <f>_xlfn.XLOOKUP(Pipeline_tbl[[#This Row],[Created_Date]],Dim_Date!A:A,Dim_Date!H:H)</f>
        <v>Dec 2024</v>
      </c>
      <c r="T5745" t="str">
        <f>IF(Pipeline_tbl[[#This Row],[Closed_Date]]=0,"",(_xlfn.XLOOKUP(Pipeline_tbl[[#This Row],[Closed_Date]],Dim_Date!A:A,Dim_Date!H:H)))</f>
        <v>Jan 2025</v>
      </c>
      <c r="U5745">
        <f>IF(Pipeline_tbl[[#This Row],[Closed_Date]]=0,"",Pipeline_tbl[[#This Row],[Closed_Date]]-Pipeline_tbl[[#This Row],[Created_Date]])</f>
        <v>28</v>
      </c>
    </row>
    <row r="5746" spans="1:21" ht="15" customHeight="1" x14ac:dyDescent="0.2">
      <c r="A5746" t="s">
        <v>6052</v>
      </c>
      <c r="B5746" t="s">
        <v>215</v>
      </c>
      <c r="C5746" t="s">
        <v>53</v>
      </c>
      <c r="D5746" s="49">
        <v>45647</v>
      </c>
      <c r="E5746" s="49">
        <v>45648</v>
      </c>
      <c r="I5746" s="49">
        <v>45660</v>
      </c>
      <c r="J5746" t="s">
        <v>49</v>
      </c>
      <c r="K5746" s="33">
        <v>3000</v>
      </c>
      <c r="L5746" t="s">
        <v>62</v>
      </c>
      <c r="M5746" t="str">
        <f>_xlfn.XLOOKUP(Pipeline_tbl[[#This Row],[Rep_ID]],Dim_Reps!A:A,Dim_Reps!K:K)</f>
        <v>EUR</v>
      </c>
      <c r="N5746" s="33">
        <f>(_xlfn.XLOOKUP(Pipeline_tbl[[#This Row],[Rate_Code_Generalized]],Lookups!A:A,Lookups!B:B))*Pipeline_tbl[[#This Row],[Pipeline_Amount_USD]]</f>
        <v>3000</v>
      </c>
      <c r="O5746" t="str">
        <f>_xlfn.XLOOKUP(Pipeline_tbl[[#This Row],[Rep_ID]],Dim_Reps!A:A,Dim_Reps!B:B)</f>
        <v>Jamie Schmidt</v>
      </c>
      <c r="P5746" t="str">
        <f>_xlfn.XLOOKUP(Pipeline_tbl[[#This Row],[Rep_ID]],Dim_Reps!A:A,Dim_Reps!C:C)</f>
        <v>SDR / Inside Sales Rep</v>
      </c>
      <c r="Q5746" t="str">
        <f>_xlfn.XLOOKUP(Pipeline_tbl[[#This Row],[Rep_ID]],Dim_Reps!A:A,Dim_Reps!D:D)</f>
        <v>Inside Sales</v>
      </c>
      <c r="R5746" t="str">
        <f>_xlfn.XLOOKUP(Pipeline_tbl[[#This Row],[Rep_ID]],Dim_Reps!A:A,Dim_Reps!E:E)</f>
        <v>APAC</v>
      </c>
      <c r="S5746" t="str">
        <f>_xlfn.XLOOKUP(Pipeline_tbl[[#This Row],[Created_Date]],Dim_Date!A:A,Dim_Date!H:H)</f>
        <v>Dec 2024</v>
      </c>
      <c r="T5746" t="str">
        <f>IF(Pipeline_tbl[[#This Row],[Closed_Date]]=0,"",(_xlfn.XLOOKUP(Pipeline_tbl[[#This Row],[Closed_Date]],Dim_Date!A:A,Dim_Date!H:H)))</f>
        <v>Jan 2025</v>
      </c>
      <c r="U5746">
        <f>IF(Pipeline_tbl[[#This Row],[Closed_Date]]=0,"",Pipeline_tbl[[#This Row],[Closed_Date]]-Pipeline_tbl[[#This Row],[Created_Date]])</f>
        <v>13</v>
      </c>
    </row>
    <row r="5747" spans="1:21" ht="15" customHeight="1" x14ac:dyDescent="0.2">
      <c r="A5747" t="s">
        <v>6053</v>
      </c>
      <c r="B5747" t="s">
        <v>215</v>
      </c>
      <c r="C5747" t="s">
        <v>53</v>
      </c>
      <c r="D5747" s="49">
        <v>45645</v>
      </c>
      <c r="E5747" s="49">
        <v>45646</v>
      </c>
      <c r="F5747" s="49">
        <v>45649</v>
      </c>
      <c r="G5747" s="49">
        <v>45653</v>
      </c>
      <c r="H5747" s="49">
        <v>45656</v>
      </c>
      <c r="I5747" s="49">
        <v>45658</v>
      </c>
      <c r="J5747" t="s">
        <v>47</v>
      </c>
      <c r="K5747" s="33">
        <v>2800</v>
      </c>
      <c r="M5747" t="str">
        <f>_xlfn.XLOOKUP(Pipeline_tbl[[#This Row],[Rep_ID]],Dim_Reps!A:A,Dim_Reps!K:K)</f>
        <v>EUR</v>
      </c>
      <c r="N5747" s="33">
        <f>(_xlfn.XLOOKUP(Pipeline_tbl[[#This Row],[Rate_Code_Generalized]],Lookups!A:A,Lookups!B:B))*Pipeline_tbl[[#This Row],[Pipeline_Amount_USD]]</f>
        <v>2800</v>
      </c>
      <c r="O5747" t="str">
        <f>_xlfn.XLOOKUP(Pipeline_tbl[[#This Row],[Rep_ID]],Dim_Reps!A:A,Dim_Reps!B:B)</f>
        <v>Jamie Schmidt</v>
      </c>
      <c r="P5747" t="str">
        <f>_xlfn.XLOOKUP(Pipeline_tbl[[#This Row],[Rep_ID]],Dim_Reps!A:A,Dim_Reps!C:C)</f>
        <v>SDR / Inside Sales Rep</v>
      </c>
      <c r="Q5747" t="str">
        <f>_xlfn.XLOOKUP(Pipeline_tbl[[#This Row],[Rep_ID]],Dim_Reps!A:A,Dim_Reps!D:D)</f>
        <v>Inside Sales</v>
      </c>
      <c r="R5747" t="str">
        <f>_xlfn.XLOOKUP(Pipeline_tbl[[#This Row],[Rep_ID]],Dim_Reps!A:A,Dim_Reps!E:E)</f>
        <v>APAC</v>
      </c>
      <c r="S5747" t="str">
        <f>_xlfn.XLOOKUP(Pipeline_tbl[[#This Row],[Created_Date]],Dim_Date!A:A,Dim_Date!H:H)</f>
        <v>Dec 2024</v>
      </c>
      <c r="T5747" t="str">
        <f>IF(Pipeline_tbl[[#This Row],[Closed_Date]]=0,"",(_xlfn.XLOOKUP(Pipeline_tbl[[#This Row],[Closed_Date]],Dim_Date!A:A,Dim_Date!H:H)))</f>
        <v>Jan 2025</v>
      </c>
      <c r="U5747">
        <f>IF(Pipeline_tbl[[#This Row],[Closed_Date]]=0,"",Pipeline_tbl[[#This Row],[Closed_Date]]-Pipeline_tbl[[#This Row],[Created_Date]])</f>
        <v>13</v>
      </c>
    </row>
    <row r="5748" spans="1:21" ht="15" customHeight="1" x14ac:dyDescent="0.2">
      <c r="A5748" t="s">
        <v>6054</v>
      </c>
      <c r="B5748" t="s">
        <v>215</v>
      </c>
      <c r="C5748" t="s">
        <v>54</v>
      </c>
      <c r="D5748" s="49">
        <v>45657</v>
      </c>
      <c r="E5748" s="49">
        <v>45659</v>
      </c>
      <c r="F5748" s="49">
        <v>45662</v>
      </c>
      <c r="I5748" s="49">
        <v>45672</v>
      </c>
      <c r="J5748" t="s">
        <v>49</v>
      </c>
      <c r="K5748" s="33">
        <v>6100</v>
      </c>
      <c r="L5748" t="s">
        <v>63</v>
      </c>
      <c r="M5748" t="str">
        <f>_xlfn.XLOOKUP(Pipeline_tbl[[#This Row],[Rep_ID]],Dim_Reps!A:A,Dim_Reps!K:K)</f>
        <v>EUR</v>
      </c>
      <c r="N5748" s="33">
        <f>(_xlfn.XLOOKUP(Pipeline_tbl[[#This Row],[Rate_Code_Generalized]],Lookups!A:A,Lookups!B:B))*Pipeline_tbl[[#This Row],[Pipeline_Amount_USD]]</f>
        <v>6100</v>
      </c>
      <c r="O5748" t="str">
        <f>_xlfn.XLOOKUP(Pipeline_tbl[[#This Row],[Rep_ID]],Dim_Reps!A:A,Dim_Reps!B:B)</f>
        <v>Jamie Schmidt</v>
      </c>
      <c r="P5748" t="str">
        <f>_xlfn.XLOOKUP(Pipeline_tbl[[#This Row],[Rep_ID]],Dim_Reps!A:A,Dim_Reps!C:C)</f>
        <v>SDR / Inside Sales Rep</v>
      </c>
      <c r="Q5748" t="str">
        <f>_xlfn.XLOOKUP(Pipeline_tbl[[#This Row],[Rep_ID]],Dim_Reps!A:A,Dim_Reps!D:D)</f>
        <v>Inside Sales</v>
      </c>
      <c r="R5748" t="str">
        <f>_xlfn.XLOOKUP(Pipeline_tbl[[#This Row],[Rep_ID]],Dim_Reps!A:A,Dim_Reps!E:E)</f>
        <v>APAC</v>
      </c>
      <c r="S5748" t="str">
        <f>_xlfn.XLOOKUP(Pipeline_tbl[[#This Row],[Created_Date]],Dim_Date!A:A,Dim_Date!H:H)</f>
        <v>Dec 2024</v>
      </c>
      <c r="T5748" t="str">
        <f>IF(Pipeline_tbl[[#This Row],[Closed_Date]]=0,"",(_xlfn.XLOOKUP(Pipeline_tbl[[#This Row],[Closed_Date]],Dim_Date!A:A,Dim_Date!H:H)))</f>
        <v>Jan 2025</v>
      </c>
      <c r="U5748">
        <f>IF(Pipeline_tbl[[#This Row],[Closed_Date]]=0,"",Pipeline_tbl[[#This Row],[Closed_Date]]-Pipeline_tbl[[#This Row],[Created_Date]])</f>
        <v>15</v>
      </c>
    </row>
    <row r="5749" spans="1:21" ht="15" customHeight="1" x14ac:dyDescent="0.2">
      <c r="A5749" t="s">
        <v>6055</v>
      </c>
      <c r="B5749" t="s">
        <v>215</v>
      </c>
      <c r="C5749" t="s">
        <v>52</v>
      </c>
      <c r="D5749" s="49">
        <v>45645</v>
      </c>
      <c r="E5749" s="49">
        <v>45646</v>
      </c>
      <c r="F5749" s="49">
        <v>45649</v>
      </c>
      <c r="G5749" s="49">
        <v>45653</v>
      </c>
      <c r="H5749" s="49">
        <v>45656</v>
      </c>
      <c r="I5749" s="49">
        <v>45658</v>
      </c>
      <c r="J5749" t="s">
        <v>47</v>
      </c>
      <c r="K5749" s="33">
        <v>6300</v>
      </c>
      <c r="M5749" t="str">
        <f>_xlfn.XLOOKUP(Pipeline_tbl[[#This Row],[Rep_ID]],Dim_Reps!A:A,Dim_Reps!K:K)</f>
        <v>EUR</v>
      </c>
      <c r="N5749" s="33">
        <f>(_xlfn.XLOOKUP(Pipeline_tbl[[#This Row],[Rate_Code_Generalized]],Lookups!A:A,Lookups!B:B))*Pipeline_tbl[[#This Row],[Pipeline_Amount_USD]]</f>
        <v>6300</v>
      </c>
      <c r="O5749" t="str">
        <f>_xlfn.XLOOKUP(Pipeline_tbl[[#This Row],[Rep_ID]],Dim_Reps!A:A,Dim_Reps!B:B)</f>
        <v>Jamie Schmidt</v>
      </c>
      <c r="P5749" t="str">
        <f>_xlfn.XLOOKUP(Pipeline_tbl[[#This Row],[Rep_ID]],Dim_Reps!A:A,Dim_Reps!C:C)</f>
        <v>SDR / Inside Sales Rep</v>
      </c>
      <c r="Q5749" t="str">
        <f>_xlfn.XLOOKUP(Pipeline_tbl[[#This Row],[Rep_ID]],Dim_Reps!A:A,Dim_Reps!D:D)</f>
        <v>Inside Sales</v>
      </c>
      <c r="R5749" t="str">
        <f>_xlfn.XLOOKUP(Pipeline_tbl[[#This Row],[Rep_ID]],Dim_Reps!A:A,Dim_Reps!E:E)</f>
        <v>APAC</v>
      </c>
      <c r="S5749" t="str">
        <f>_xlfn.XLOOKUP(Pipeline_tbl[[#This Row],[Created_Date]],Dim_Date!A:A,Dim_Date!H:H)</f>
        <v>Dec 2024</v>
      </c>
      <c r="T5749" t="str">
        <f>IF(Pipeline_tbl[[#This Row],[Closed_Date]]=0,"",(_xlfn.XLOOKUP(Pipeline_tbl[[#This Row],[Closed_Date]],Dim_Date!A:A,Dim_Date!H:H)))</f>
        <v>Jan 2025</v>
      </c>
      <c r="U5749">
        <f>IF(Pipeline_tbl[[#This Row],[Closed_Date]]=0,"",Pipeline_tbl[[#This Row],[Closed_Date]]-Pipeline_tbl[[#This Row],[Created_Date]])</f>
        <v>13</v>
      </c>
    </row>
    <row r="5750" spans="1:21" ht="15" customHeight="1" x14ac:dyDescent="0.2">
      <c r="A5750" t="s">
        <v>6056</v>
      </c>
      <c r="B5750" t="s">
        <v>217</v>
      </c>
      <c r="C5750" t="s">
        <v>52</v>
      </c>
      <c r="D5750" s="49">
        <v>45640</v>
      </c>
      <c r="E5750" s="49">
        <v>45642</v>
      </c>
      <c r="F5750" s="49">
        <v>45646</v>
      </c>
      <c r="G5750" s="49">
        <v>45651</v>
      </c>
      <c r="H5750" s="49">
        <v>45656</v>
      </c>
      <c r="I5750" s="49">
        <v>45659</v>
      </c>
      <c r="J5750" t="s">
        <v>47</v>
      </c>
      <c r="K5750" s="33">
        <v>4300</v>
      </c>
      <c r="M5750" t="str">
        <f>_xlfn.XLOOKUP(Pipeline_tbl[[#This Row],[Rep_ID]],Dim_Reps!A:A,Dim_Reps!K:K)</f>
        <v>USD</v>
      </c>
      <c r="N5750" s="33">
        <f>(_xlfn.XLOOKUP(Pipeline_tbl[[#This Row],[Rate_Code_Generalized]],Lookups!A:A,Lookups!B:B))*Pipeline_tbl[[#This Row],[Pipeline_Amount_USD]]</f>
        <v>5006.49</v>
      </c>
      <c r="O5750" t="str">
        <f>_xlfn.XLOOKUP(Pipeline_tbl[[#This Row],[Rep_ID]],Dim_Reps!A:A,Dim_Reps!B:B)</f>
        <v>Priya Weber</v>
      </c>
      <c r="P5750" t="str">
        <f>_xlfn.XLOOKUP(Pipeline_tbl[[#This Row],[Rep_ID]],Dim_Reps!A:A,Dim_Reps!C:C)</f>
        <v>SDR / Inside Sales Rep</v>
      </c>
      <c r="Q5750" t="str">
        <f>_xlfn.XLOOKUP(Pipeline_tbl[[#This Row],[Rep_ID]],Dim_Reps!A:A,Dim_Reps!D:D)</f>
        <v>Inside Sales</v>
      </c>
      <c r="R5750" t="str">
        <f>_xlfn.XLOOKUP(Pipeline_tbl[[#This Row],[Rep_ID]],Dim_Reps!A:A,Dim_Reps!E:E)</f>
        <v>NAMER</v>
      </c>
      <c r="S5750" t="str">
        <f>_xlfn.XLOOKUP(Pipeline_tbl[[#This Row],[Created_Date]],Dim_Date!A:A,Dim_Date!H:H)</f>
        <v>Dec 2024</v>
      </c>
      <c r="T5750" t="str">
        <f>IF(Pipeline_tbl[[#This Row],[Closed_Date]]=0,"",(_xlfn.XLOOKUP(Pipeline_tbl[[#This Row],[Closed_Date]],Dim_Date!A:A,Dim_Date!H:H)))</f>
        <v>Jan 2025</v>
      </c>
      <c r="U5750">
        <f>IF(Pipeline_tbl[[#This Row],[Closed_Date]]=0,"",Pipeline_tbl[[#This Row],[Closed_Date]]-Pipeline_tbl[[#This Row],[Created_Date]])</f>
        <v>19</v>
      </c>
    </row>
    <row r="5751" spans="1:21" ht="15" customHeight="1" x14ac:dyDescent="0.2">
      <c r="A5751" t="s">
        <v>6057</v>
      </c>
      <c r="B5751" t="s">
        <v>217</v>
      </c>
      <c r="C5751" t="s">
        <v>53</v>
      </c>
      <c r="D5751" s="49">
        <v>45636</v>
      </c>
      <c r="E5751" s="49">
        <v>45638</v>
      </c>
      <c r="F5751" s="49">
        <v>45643</v>
      </c>
      <c r="G5751" s="49">
        <v>45649</v>
      </c>
      <c r="H5751" s="49">
        <v>45655</v>
      </c>
      <c r="I5751" s="49">
        <v>45658</v>
      </c>
      <c r="J5751" t="s">
        <v>49</v>
      </c>
      <c r="K5751" s="33">
        <v>2700</v>
      </c>
      <c r="L5751" t="s">
        <v>64</v>
      </c>
      <c r="M5751" t="str">
        <f>_xlfn.XLOOKUP(Pipeline_tbl[[#This Row],[Rep_ID]],Dim_Reps!A:A,Dim_Reps!K:K)</f>
        <v>USD</v>
      </c>
      <c r="N5751" s="33">
        <f>(_xlfn.XLOOKUP(Pipeline_tbl[[#This Row],[Rate_Code_Generalized]],Lookups!A:A,Lookups!B:B))*Pipeline_tbl[[#This Row],[Pipeline_Amount_USD]]</f>
        <v>3143.6099999999997</v>
      </c>
      <c r="O5751" t="str">
        <f>_xlfn.XLOOKUP(Pipeline_tbl[[#This Row],[Rep_ID]],Dim_Reps!A:A,Dim_Reps!B:B)</f>
        <v>Priya Weber</v>
      </c>
      <c r="P5751" t="str">
        <f>_xlfn.XLOOKUP(Pipeline_tbl[[#This Row],[Rep_ID]],Dim_Reps!A:A,Dim_Reps!C:C)</f>
        <v>SDR / Inside Sales Rep</v>
      </c>
      <c r="Q5751" t="str">
        <f>_xlfn.XLOOKUP(Pipeline_tbl[[#This Row],[Rep_ID]],Dim_Reps!A:A,Dim_Reps!D:D)</f>
        <v>Inside Sales</v>
      </c>
      <c r="R5751" t="str">
        <f>_xlfn.XLOOKUP(Pipeline_tbl[[#This Row],[Rep_ID]],Dim_Reps!A:A,Dim_Reps!E:E)</f>
        <v>NAMER</v>
      </c>
      <c r="S5751" t="str">
        <f>_xlfn.XLOOKUP(Pipeline_tbl[[#This Row],[Created_Date]],Dim_Date!A:A,Dim_Date!H:H)</f>
        <v>Dec 2024</v>
      </c>
      <c r="T5751" t="str">
        <f>IF(Pipeline_tbl[[#This Row],[Closed_Date]]=0,"",(_xlfn.XLOOKUP(Pipeline_tbl[[#This Row],[Closed_Date]],Dim_Date!A:A,Dim_Date!H:H)))</f>
        <v>Jan 2025</v>
      </c>
      <c r="U5751">
        <f>IF(Pipeline_tbl[[#This Row],[Closed_Date]]=0,"",Pipeline_tbl[[#This Row],[Closed_Date]]-Pipeline_tbl[[#This Row],[Created_Date]])</f>
        <v>22</v>
      </c>
    </row>
    <row r="5752" spans="1:21" ht="15" customHeight="1" x14ac:dyDescent="0.2">
      <c r="A5752" t="s">
        <v>6058</v>
      </c>
      <c r="B5752" t="s">
        <v>217</v>
      </c>
      <c r="C5752" t="s">
        <v>54</v>
      </c>
      <c r="D5752" s="49">
        <v>45652</v>
      </c>
      <c r="E5752" s="49">
        <v>45654</v>
      </c>
      <c r="F5752" s="49">
        <v>45659</v>
      </c>
      <c r="G5752" s="49">
        <v>45666</v>
      </c>
      <c r="H5752" s="49">
        <v>45672</v>
      </c>
      <c r="I5752" s="49">
        <v>45676</v>
      </c>
      <c r="J5752" t="s">
        <v>47</v>
      </c>
      <c r="K5752" s="33">
        <v>4000</v>
      </c>
      <c r="M5752" t="str">
        <f>_xlfn.XLOOKUP(Pipeline_tbl[[#This Row],[Rep_ID]],Dim_Reps!A:A,Dim_Reps!K:K)</f>
        <v>USD</v>
      </c>
      <c r="N5752" s="33">
        <f>(_xlfn.XLOOKUP(Pipeline_tbl[[#This Row],[Rate_Code_Generalized]],Lookups!A:A,Lookups!B:B))*Pipeline_tbl[[#This Row],[Pipeline_Amount_USD]]</f>
        <v>4657.2</v>
      </c>
      <c r="O5752" t="str">
        <f>_xlfn.XLOOKUP(Pipeline_tbl[[#This Row],[Rep_ID]],Dim_Reps!A:A,Dim_Reps!B:B)</f>
        <v>Priya Weber</v>
      </c>
      <c r="P5752" t="str">
        <f>_xlfn.XLOOKUP(Pipeline_tbl[[#This Row],[Rep_ID]],Dim_Reps!A:A,Dim_Reps!C:C)</f>
        <v>SDR / Inside Sales Rep</v>
      </c>
      <c r="Q5752" t="str">
        <f>_xlfn.XLOOKUP(Pipeline_tbl[[#This Row],[Rep_ID]],Dim_Reps!A:A,Dim_Reps!D:D)</f>
        <v>Inside Sales</v>
      </c>
      <c r="R5752" t="str">
        <f>_xlfn.XLOOKUP(Pipeline_tbl[[#This Row],[Rep_ID]],Dim_Reps!A:A,Dim_Reps!E:E)</f>
        <v>NAMER</v>
      </c>
      <c r="S5752" t="str">
        <f>_xlfn.XLOOKUP(Pipeline_tbl[[#This Row],[Created_Date]],Dim_Date!A:A,Dim_Date!H:H)</f>
        <v>Dec 2024</v>
      </c>
      <c r="T5752" t="str">
        <f>IF(Pipeline_tbl[[#This Row],[Closed_Date]]=0,"",(_xlfn.XLOOKUP(Pipeline_tbl[[#This Row],[Closed_Date]],Dim_Date!A:A,Dim_Date!H:H)))</f>
        <v>Jan 2025</v>
      </c>
      <c r="U5752">
        <f>IF(Pipeline_tbl[[#This Row],[Closed_Date]]=0,"",Pipeline_tbl[[#This Row],[Closed_Date]]-Pipeline_tbl[[#This Row],[Created_Date]])</f>
        <v>24</v>
      </c>
    </row>
    <row r="5753" spans="1:21" ht="15" customHeight="1" x14ac:dyDescent="0.2">
      <c r="A5753" t="s">
        <v>6059</v>
      </c>
      <c r="B5753" t="s">
        <v>217</v>
      </c>
      <c r="C5753" t="s">
        <v>54</v>
      </c>
      <c r="D5753" s="49">
        <v>45655</v>
      </c>
      <c r="E5753" s="49">
        <v>45657</v>
      </c>
      <c r="F5753" s="49">
        <v>45661</v>
      </c>
      <c r="I5753" s="49">
        <v>45674</v>
      </c>
      <c r="J5753" t="s">
        <v>49</v>
      </c>
      <c r="K5753" s="33">
        <v>1600</v>
      </c>
      <c r="L5753" t="s">
        <v>64</v>
      </c>
      <c r="M5753" t="str">
        <f>_xlfn.XLOOKUP(Pipeline_tbl[[#This Row],[Rep_ID]],Dim_Reps!A:A,Dim_Reps!K:K)</f>
        <v>USD</v>
      </c>
      <c r="N5753" s="33">
        <f>(_xlfn.XLOOKUP(Pipeline_tbl[[#This Row],[Rate_Code_Generalized]],Lookups!A:A,Lookups!B:B))*Pipeline_tbl[[#This Row],[Pipeline_Amount_USD]]</f>
        <v>1862.8799999999999</v>
      </c>
      <c r="O5753" t="str">
        <f>_xlfn.XLOOKUP(Pipeline_tbl[[#This Row],[Rep_ID]],Dim_Reps!A:A,Dim_Reps!B:B)</f>
        <v>Priya Weber</v>
      </c>
      <c r="P5753" t="str">
        <f>_xlfn.XLOOKUP(Pipeline_tbl[[#This Row],[Rep_ID]],Dim_Reps!A:A,Dim_Reps!C:C)</f>
        <v>SDR / Inside Sales Rep</v>
      </c>
      <c r="Q5753" t="str">
        <f>_xlfn.XLOOKUP(Pipeline_tbl[[#This Row],[Rep_ID]],Dim_Reps!A:A,Dim_Reps!D:D)</f>
        <v>Inside Sales</v>
      </c>
      <c r="R5753" t="str">
        <f>_xlfn.XLOOKUP(Pipeline_tbl[[#This Row],[Rep_ID]],Dim_Reps!A:A,Dim_Reps!E:E)</f>
        <v>NAMER</v>
      </c>
      <c r="S5753" t="str">
        <f>_xlfn.XLOOKUP(Pipeline_tbl[[#This Row],[Created_Date]],Dim_Date!A:A,Dim_Date!H:H)</f>
        <v>Dec 2024</v>
      </c>
      <c r="T5753" t="str">
        <f>IF(Pipeline_tbl[[#This Row],[Closed_Date]]=0,"",(_xlfn.XLOOKUP(Pipeline_tbl[[#This Row],[Closed_Date]],Dim_Date!A:A,Dim_Date!H:H)))</f>
        <v>Jan 2025</v>
      </c>
      <c r="U5753">
        <f>IF(Pipeline_tbl[[#This Row],[Closed_Date]]=0,"",Pipeline_tbl[[#This Row],[Closed_Date]]-Pipeline_tbl[[#This Row],[Created_Date]])</f>
        <v>19</v>
      </c>
    </row>
    <row r="5754" spans="1:21" ht="15" customHeight="1" x14ac:dyDescent="0.2">
      <c r="A5754" t="s">
        <v>6060</v>
      </c>
      <c r="B5754" t="s">
        <v>217</v>
      </c>
      <c r="C5754" t="s">
        <v>52</v>
      </c>
      <c r="D5754" s="49">
        <v>45650</v>
      </c>
      <c r="E5754" s="49">
        <v>45652</v>
      </c>
      <c r="F5754" s="49">
        <v>45655</v>
      </c>
      <c r="G5754" s="49">
        <v>45661</v>
      </c>
      <c r="H5754" s="49">
        <v>45665</v>
      </c>
      <c r="I5754" s="49">
        <v>45668</v>
      </c>
      <c r="J5754" t="s">
        <v>47</v>
      </c>
      <c r="K5754" s="33">
        <v>2000</v>
      </c>
      <c r="M5754" t="str">
        <f>_xlfn.XLOOKUP(Pipeline_tbl[[#This Row],[Rep_ID]],Dim_Reps!A:A,Dim_Reps!K:K)</f>
        <v>USD</v>
      </c>
      <c r="N5754" s="33">
        <f>(_xlfn.XLOOKUP(Pipeline_tbl[[#This Row],[Rate_Code_Generalized]],Lookups!A:A,Lookups!B:B))*Pipeline_tbl[[#This Row],[Pipeline_Amount_USD]]</f>
        <v>2328.6</v>
      </c>
      <c r="O5754" t="str">
        <f>_xlfn.XLOOKUP(Pipeline_tbl[[#This Row],[Rep_ID]],Dim_Reps!A:A,Dim_Reps!B:B)</f>
        <v>Priya Weber</v>
      </c>
      <c r="P5754" t="str">
        <f>_xlfn.XLOOKUP(Pipeline_tbl[[#This Row],[Rep_ID]],Dim_Reps!A:A,Dim_Reps!C:C)</f>
        <v>SDR / Inside Sales Rep</v>
      </c>
      <c r="Q5754" t="str">
        <f>_xlfn.XLOOKUP(Pipeline_tbl[[#This Row],[Rep_ID]],Dim_Reps!A:A,Dim_Reps!D:D)</f>
        <v>Inside Sales</v>
      </c>
      <c r="R5754" t="str">
        <f>_xlfn.XLOOKUP(Pipeline_tbl[[#This Row],[Rep_ID]],Dim_Reps!A:A,Dim_Reps!E:E)</f>
        <v>NAMER</v>
      </c>
      <c r="S5754" t="str">
        <f>_xlfn.XLOOKUP(Pipeline_tbl[[#This Row],[Created_Date]],Dim_Date!A:A,Dim_Date!H:H)</f>
        <v>Dec 2024</v>
      </c>
      <c r="T5754" t="str">
        <f>IF(Pipeline_tbl[[#This Row],[Closed_Date]]=0,"",(_xlfn.XLOOKUP(Pipeline_tbl[[#This Row],[Closed_Date]],Dim_Date!A:A,Dim_Date!H:H)))</f>
        <v>Jan 2025</v>
      </c>
      <c r="U5754">
        <f>IF(Pipeline_tbl[[#This Row],[Closed_Date]]=0,"",Pipeline_tbl[[#This Row],[Closed_Date]]-Pipeline_tbl[[#This Row],[Created_Date]])</f>
        <v>18</v>
      </c>
    </row>
    <row r="5755" spans="1:21" ht="15" customHeight="1" x14ac:dyDescent="0.2">
      <c r="A5755" t="s">
        <v>6061</v>
      </c>
      <c r="B5755" t="s">
        <v>217</v>
      </c>
      <c r="C5755" t="s">
        <v>52</v>
      </c>
      <c r="D5755" s="49">
        <v>45654</v>
      </c>
      <c r="E5755" s="49">
        <v>45656</v>
      </c>
      <c r="F5755" s="49">
        <v>45659</v>
      </c>
      <c r="G5755" s="49">
        <v>45663</v>
      </c>
      <c r="I5755" s="49">
        <v>45669</v>
      </c>
      <c r="J5755" t="s">
        <v>49</v>
      </c>
      <c r="K5755" s="33">
        <v>6900</v>
      </c>
      <c r="L5755" t="s">
        <v>64</v>
      </c>
      <c r="M5755" t="str">
        <f>_xlfn.XLOOKUP(Pipeline_tbl[[#This Row],[Rep_ID]],Dim_Reps!A:A,Dim_Reps!K:K)</f>
        <v>USD</v>
      </c>
      <c r="N5755" s="33">
        <f>(_xlfn.XLOOKUP(Pipeline_tbl[[#This Row],[Rate_Code_Generalized]],Lookups!A:A,Lookups!B:B))*Pipeline_tbl[[#This Row],[Pipeline_Amount_USD]]</f>
        <v>8033.6699999999992</v>
      </c>
      <c r="O5755" t="str">
        <f>_xlfn.XLOOKUP(Pipeline_tbl[[#This Row],[Rep_ID]],Dim_Reps!A:A,Dim_Reps!B:B)</f>
        <v>Priya Weber</v>
      </c>
      <c r="P5755" t="str">
        <f>_xlfn.XLOOKUP(Pipeline_tbl[[#This Row],[Rep_ID]],Dim_Reps!A:A,Dim_Reps!C:C)</f>
        <v>SDR / Inside Sales Rep</v>
      </c>
      <c r="Q5755" t="str">
        <f>_xlfn.XLOOKUP(Pipeline_tbl[[#This Row],[Rep_ID]],Dim_Reps!A:A,Dim_Reps!D:D)</f>
        <v>Inside Sales</v>
      </c>
      <c r="R5755" t="str">
        <f>_xlfn.XLOOKUP(Pipeline_tbl[[#This Row],[Rep_ID]],Dim_Reps!A:A,Dim_Reps!E:E)</f>
        <v>NAMER</v>
      </c>
      <c r="S5755" t="str">
        <f>_xlfn.XLOOKUP(Pipeline_tbl[[#This Row],[Created_Date]],Dim_Date!A:A,Dim_Date!H:H)</f>
        <v>Dec 2024</v>
      </c>
      <c r="T5755" t="str">
        <f>IF(Pipeline_tbl[[#This Row],[Closed_Date]]=0,"",(_xlfn.XLOOKUP(Pipeline_tbl[[#This Row],[Closed_Date]],Dim_Date!A:A,Dim_Date!H:H)))</f>
        <v>Jan 2025</v>
      </c>
      <c r="U5755">
        <f>IF(Pipeline_tbl[[#This Row],[Closed_Date]]=0,"",Pipeline_tbl[[#This Row],[Closed_Date]]-Pipeline_tbl[[#This Row],[Created_Date]])</f>
        <v>15</v>
      </c>
    </row>
    <row r="5756" spans="1:21" ht="15" customHeight="1" x14ac:dyDescent="0.2">
      <c r="A5756" t="s">
        <v>6062</v>
      </c>
      <c r="B5756" t="s">
        <v>217</v>
      </c>
      <c r="C5756" t="s">
        <v>56</v>
      </c>
      <c r="D5756" s="49">
        <v>45649</v>
      </c>
      <c r="E5756" s="49">
        <v>45651</v>
      </c>
      <c r="F5756" s="49">
        <v>45655</v>
      </c>
      <c r="G5756" s="49">
        <v>45662</v>
      </c>
      <c r="H5756" s="49">
        <v>45667</v>
      </c>
      <c r="I5756" s="49">
        <v>45670</v>
      </c>
      <c r="J5756" t="s">
        <v>49</v>
      </c>
      <c r="K5756" s="33">
        <v>2000</v>
      </c>
      <c r="L5756" t="s">
        <v>60</v>
      </c>
      <c r="M5756" t="str">
        <f>_xlfn.XLOOKUP(Pipeline_tbl[[#This Row],[Rep_ID]],Dim_Reps!A:A,Dim_Reps!K:K)</f>
        <v>USD</v>
      </c>
      <c r="N5756" s="33">
        <f>(_xlfn.XLOOKUP(Pipeline_tbl[[#This Row],[Rate_Code_Generalized]],Lookups!A:A,Lookups!B:B))*Pipeline_tbl[[#This Row],[Pipeline_Amount_USD]]</f>
        <v>2328.6</v>
      </c>
      <c r="O5756" t="str">
        <f>_xlfn.XLOOKUP(Pipeline_tbl[[#This Row],[Rep_ID]],Dim_Reps!A:A,Dim_Reps!B:B)</f>
        <v>Priya Weber</v>
      </c>
      <c r="P5756" t="str">
        <f>_xlfn.XLOOKUP(Pipeline_tbl[[#This Row],[Rep_ID]],Dim_Reps!A:A,Dim_Reps!C:C)</f>
        <v>SDR / Inside Sales Rep</v>
      </c>
      <c r="Q5756" t="str">
        <f>_xlfn.XLOOKUP(Pipeline_tbl[[#This Row],[Rep_ID]],Dim_Reps!A:A,Dim_Reps!D:D)</f>
        <v>Inside Sales</v>
      </c>
      <c r="R5756" t="str">
        <f>_xlfn.XLOOKUP(Pipeline_tbl[[#This Row],[Rep_ID]],Dim_Reps!A:A,Dim_Reps!E:E)</f>
        <v>NAMER</v>
      </c>
      <c r="S5756" t="str">
        <f>_xlfn.XLOOKUP(Pipeline_tbl[[#This Row],[Created_Date]],Dim_Date!A:A,Dim_Date!H:H)</f>
        <v>Dec 2024</v>
      </c>
      <c r="T5756" t="str">
        <f>IF(Pipeline_tbl[[#This Row],[Closed_Date]]=0,"",(_xlfn.XLOOKUP(Pipeline_tbl[[#This Row],[Closed_Date]],Dim_Date!A:A,Dim_Date!H:H)))</f>
        <v>Jan 2025</v>
      </c>
      <c r="U5756">
        <f>IF(Pipeline_tbl[[#This Row],[Closed_Date]]=0,"",Pipeline_tbl[[#This Row],[Closed_Date]]-Pipeline_tbl[[#This Row],[Created_Date]])</f>
        <v>21</v>
      </c>
    </row>
    <row r="5757" spans="1:21" ht="15" customHeight="1" x14ac:dyDescent="0.2">
      <c r="A5757" t="s">
        <v>6063</v>
      </c>
      <c r="B5757" t="s">
        <v>217</v>
      </c>
      <c r="C5757" t="s">
        <v>52</v>
      </c>
      <c r="D5757" s="49">
        <v>45647</v>
      </c>
      <c r="E5757" s="49">
        <v>45649</v>
      </c>
      <c r="F5757" s="49">
        <v>45653</v>
      </c>
      <c r="G5757" s="49">
        <v>45659</v>
      </c>
      <c r="H5757" s="49">
        <v>45664</v>
      </c>
      <c r="I5757" s="49">
        <v>45667</v>
      </c>
      <c r="J5757" t="s">
        <v>47</v>
      </c>
      <c r="K5757" s="33">
        <v>2200</v>
      </c>
      <c r="M5757" t="str">
        <f>_xlfn.XLOOKUP(Pipeline_tbl[[#This Row],[Rep_ID]],Dim_Reps!A:A,Dim_Reps!K:K)</f>
        <v>USD</v>
      </c>
      <c r="N5757" s="33">
        <f>(_xlfn.XLOOKUP(Pipeline_tbl[[#This Row],[Rate_Code_Generalized]],Lookups!A:A,Lookups!B:B))*Pipeline_tbl[[#This Row],[Pipeline_Amount_USD]]</f>
        <v>2561.4599999999996</v>
      </c>
      <c r="O5757" t="str">
        <f>_xlfn.XLOOKUP(Pipeline_tbl[[#This Row],[Rep_ID]],Dim_Reps!A:A,Dim_Reps!B:B)</f>
        <v>Priya Weber</v>
      </c>
      <c r="P5757" t="str">
        <f>_xlfn.XLOOKUP(Pipeline_tbl[[#This Row],[Rep_ID]],Dim_Reps!A:A,Dim_Reps!C:C)</f>
        <v>SDR / Inside Sales Rep</v>
      </c>
      <c r="Q5757" t="str">
        <f>_xlfn.XLOOKUP(Pipeline_tbl[[#This Row],[Rep_ID]],Dim_Reps!A:A,Dim_Reps!D:D)</f>
        <v>Inside Sales</v>
      </c>
      <c r="R5757" t="str">
        <f>_xlfn.XLOOKUP(Pipeline_tbl[[#This Row],[Rep_ID]],Dim_Reps!A:A,Dim_Reps!E:E)</f>
        <v>NAMER</v>
      </c>
      <c r="S5757" t="str">
        <f>_xlfn.XLOOKUP(Pipeline_tbl[[#This Row],[Created_Date]],Dim_Date!A:A,Dim_Date!H:H)</f>
        <v>Dec 2024</v>
      </c>
      <c r="T5757" t="str">
        <f>IF(Pipeline_tbl[[#This Row],[Closed_Date]]=0,"",(_xlfn.XLOOKUP(Pipeline_tbl[[#This Row],[Closed_Date]],Dim_Date!A:A,Dim_Date!H:H)))</f>
        <v>Jan 2025</v>
      </c>
      <c r="U5757">
        <f>IF(Pipeline_tbl[[#This Row],[Closed_Date]]=0,"",Pipeline_tbl[[#This Row],[Closed_Date]]-Pipeline_tbl[[#This Row],[Created_Date]])</f>
        <v>20</v>
      </c>
    </row>
    <row r="5758" spans="1:21" ht="15" customHeight="1" x14ac:dyDescent="0.2">
      <c r="A5758" t="s">
        <v>6064</v>
      </c>
      <c r="B5758" t="s">
        <v>217</v>
      </c>
      <c r="C5758" t="s">
        <v>54</v>
      </c>
      <c r="D5758" s="49">
        <v>45646</v>
      </c>
      <c r="E5758" s="49">
        <v>45648</v>
      </c>
      <c r="F5758" s="49">
        <v>45651</v>
      </c>
      <c r="G5758" s="49">
        <v>45655</v>
      </c>
      <c r="H5758" s="49">
        <v>45659</v>
      </c>
      <c r="I5758" s="49">
        <v>45661</v>
      </c>
      <c r="J5758" t="s">
        <v>47</v>
      </c>
      <c r="K5758" s="33">
        <v>2100</v>
      </c>
      <c r="M5758" t="str">
        <f>_xlfn.XLOOKUP(Pipeline_tbl[[#This Row],[Rep_ID]],Dim_Reps!A:A,Dim_Reps!K:K)</f>
        <v>USD</v>
      </c>
      <c r="N5758" s="33">
        <f>(_xlfn.XLOOKUP(Pipeline_tbl[[#This Row],[Rate_Code_Generalized]],Lookups!A:A,Lookups!B:B))*Pipeline_tbl[[#This Row],[Pipeline_Amount_USD]]</f>
        <v>2445.0299999999997</v>
      </c>
      <c r="O5758" t="str">
        <f>_xlfn.XLOOKUP(Pipeline_tbl[[#This Row],[Rep_ID]],Dim_Reps!A:A,Dim_Reps!B:B)</f>
        <v>Priya Weber</v>
      </c>
      <c r="P5758" t="str">
        <f>_xlfn.XLOOKUP(Pipeline_tbl[[#This Row],[Rep_ID]],Dim_Reps!A:A,Dim_Reps!C:C)</f>
        <v>SDR / Inside Sales Rep</v>
      </c>
      <c r="Q5758" t="str">
        <f>_xlfn.XLOOKUP(Pipeline_tbl[[#This Row],[Rep_ID]],Dim_Reps!A:A,Dim_Reps!D:D)</f>
        <v>Inside Sales</v>
      </c>
      <c r="R5758" t="str">
        <f>_xlfn.XLOOKUP(Pipeline_tbl[[#This Row],[Rep_ID]],Dim_Reps!A:A,Dim_Reps!E:E)</f>
        <v>NAMER</v>
      </c>
      <c r="S5758" t="str">
        <f>_xlfn.XLOOKUP(Pipeline_tbl[[#This Row],[Created_Date]],Dim_Date!A:A,Dim_Date!H:H)</f>
        <v>Dec 2024</v>
      </c>
      <c r="T5758" t="str">
        <f>IF(Pipeline_tbl[[#This Row],[Closed_Date]]=0,"",(_xlfn.XLOOKUP(Pipeline_tbl[[#This Row],[Closed_Date]],Dim_Date!A:A,Dim_Date!H:H)))</f>
        <v>Jan 2025</v>
      </c>
      <c r="U5758">
        <f>IF(Pipeline_tbl[[#This Row],[Closed_Date]]=0,"",Pipeline_tbl[[#This Row],[Closed_Date]]-Pipeline_tbl[[#This Row],[Created_Date]])</f>
        <v>15</v>
      </c>
    </row>
    <row r="5759" spans="1:21" ht="15" customHeight="1" x14ac:dyDescent="0.2">
      <c r="A5759" t="s">
        <v>6065</v>
      </c>
      <c r="B5759" t="s">
        <v>217</v>
      </c>
      <c r="C5759" t="s">
        <v>53</v>
      </c>
      <c r="D5759" s="49">
        <v>45642</v>
      </c>
      <c r="E5759" s="49">
        <v>45645</v>
      </c>
      <c r="F5759" s="49">
        <v>45650</v>
      </c>
      <c r="G5759" s="49">
        <v>45658</v>
      </c>
      <c r="H5759" s="49">
        <v>45665</v>
      </c>
      <c r="I5759" s="49">
        <v>45669</v>
      </c>
      <c r="J5759" t="s">
        <v>49</v>
      </c>
      <c r="K5759" s="33">
        <v>3300</v>
      </c>
      <c r="L5759" t="s">
        <v>60</v>
      </c>
      <c r="M5759" t="str">
        <f>_xlfn.XLOOKUP(Pipeline_tbl[[#This Row],[Rep_ID]],Dim_Reps!A:A,Dim_Reps!K:K)</f>
        <v>USD</v>
      </c>
      <c r="N5759" s="33">
        <f>(_xlfn.XLOOKUP(Pipeline_tbl[[#This Row],[Rate_Code_Generalized]],Lookups!A:A,Lookups!B:B))*Pipeline_tbl[[#This Row],[Pipeline_Amount_USD]]</f>
        <v>3842.1899999999996</v>
      </c>
      <c r="O5759" t="str">
        <f>_xlfn.XLOOKUP(Pipeline_tbl[[#This Row],[Rep_ID]],Dim_Reps!A:A,Dim_Reps!B:B)</f>
        <v>Priya Weber</v>
      </c>
      <c r="P5759" t="str">
        <f>_xlfn.XLOOKUP(Pipeline_tbl[[#This Row],[Rep_ID]],Dim_Reps!A:A,Dim_Reps!C:C)</f>
        <v>SDR / Inside Sales Rep</v>
      </c>
      <c r="Q5759" t="str">
        <f>_xlfn.XLOOKUP(Pipeline_tbl[[#This Row],[Rep_ID]],Dim_Reps!A:A,Dim_Reps!D:D)</f>
        <v>Inside Sales</v>
      </c>
      <c r="R5759" t="str">
        <f>_xlfn.XLOOKUP(Pipeline_tbl[[#This Row],[Rep_ID]],Dim_Reps!A:A,Dim_Reps!E:E)</f>
        <v>NAMER</v>
      </c>
      <c r="S5759" t="str">
        <f>_xlfn.XLOOKUP(Pipeline_tbl[[#This Row],[Created_Date]],Dim_Date!A:A,Dim_Date!H:H)</f>
        <v>Dec 2024</v>
      </c>
      <c r="T5759" t="str">
        <f>IF(Pipeline_tbl[[#This Row],[Closed_Date]]=0,"",(_xlfn.XLOOKUP(Pipeline_tbl[[#This Row],[Closed_Date]],Dim_Date!A:A,Dim_Date!H:H)))</f>
        <v>Jan 2025</v>
      </c>
      <c r="U5759">
        <f>IF(Pipeline_tbl[[#This Row],[Closed_Date]]=0,"",Pipeline_tbl[[#This Row],[Closed_Date]]-Pipeline_tbl[[#This Row],[Created_Date]])</f>
        <v>27</v>
      </c>
    </row>
    <row r="5760" spans="1:21" ht="15" customHeight="1" x14ac:dyDescent="0.2">
      <c r="A5760" t="s">
        <v>6066</v>
      </c>
      <c r="B5760" t="s">
        <v>217</v>
      </c>
      <c r="C5760" t="s">
        <v>52</v>
      </c>
      <c r="D5760" s="49">
        <v>45657</v>
      </c>
      <c r="E5760" s="49">
        <v>45659</v>
      </c>
      <c r="F5760" s="49">
        <v>45663</v>
      </c>
      <c r="I5760" s="49">
        <v>45677</v>
      </c>
      <c r="J5760" t="s">
        <v>49</v>
      </c>
      <c r="K5760" s="33">
        <v>3700</v>
      </c>
      <c r="L5760" t="s">
        <v>61</v>
      </c>
      <c r="M5760" t="str">
        <f>_xlfn.XLOOKUP(Pipeline_tbl[[#This Row],[Rep_ID]],Dim_Reps!A:A,Dim_Reps!K:K)</f>
        <v>USD</v>
      </c>
      <c r="N5760" s="33">
        <f>(_xlfn.XLOOKUP(Pipeline_tbl[[#This Row],[Rate_Code_Generalized]],Lookups!A:A,Lookups!B:B))*Pipeline_tbl[[#This Row],[Pipeline_Amount_USD]]</f>
        <v>4307.91</v>
      </c>
      <c r="O5760" t="str">
        <f>_xlfn.XLOOKUP(Pipeline_tbl[[#This Row],[Rep_ID]],Dim_Reps!A:A,Dim_Reps!B:B)</f>
        <v>Priya Weber</v>
      </c>
      <c r="P5760" t="str">
        <f>_xlfn.XLOOKUP(Pipeline_tbl[[#This Row],[Rep_ID]],Dim_Reps!A:A,Dim_Reps!C:C)</f>
        <v>SDR / Inside Sales Rep</v>
      </c>
      <c r="Q5760" t="str">
        <f>_xlfn.XLOOKUP(Pipeline_tbl[[#This Row],[Rep_ID]],Dim_Reps!A:A,Dim_Reps!D:D)</f>
        <v>Inside Sales</v>
      </c>
      <c r="R5760" t="str">
        <f>_xlfn.XLOOKUP(Pipeline_tbl[[#This Row],[Rep_ID]],Dim_Reps!A:A,Dim_Reps!E:E)</f>
        <v>NAMER</v>
      </c>
      <c r="S5760" t="str">
        <f>_xlfn.XLOOKUP(Pipeline_tbl[[#This Row],[Created_Date]],Dim_Date!A:A,Dim_Date!H:H)</f>
        <v>Dec 2024</v>
      </c>
      <c r="T5760" t="str">
        <f>IF(Pipeline_tbl[[#This Row],[Closed_Date]]=0,"",(_xlfn.XLOOKUP(Pipeline_tbl[[#This Row],[Closed_Date]],Dim_Date!A:A,Dim_Date!H:H)))</f>
        <v>Jan 2025</v>
      </c>
      <c r="U5760">
        <f>IF(Pipeline_tbl[[#This Row],[Closed_Date]]=0,"",Pipeline_tbl[[#This Row],[Closed_Date]]-Pipeline_tbl[[#This Row],[Created_Date]])</f>
        <v>20</v>
      </c>
    </row>
    <row r="5761" spans="1:21" ht="15" customHeight="1" x14ac:dyDescent="0.2">
      <c r="A5761" t="s">
        <v>6067</v>
      </c>
      <c r="B5761" t="s">
        <v>217</v>
      </c>
      <c r="C5761" t="s">
        <v>53</v>
      </c>
      <c r="D5761" s="49">
        <v>45647</v>
      </c>
      <c r="E5761" s="49">
        <v>45648</v>
      </c>
      <c r="F5761" s="49">
        <v>45651</v>
      </c>
      <c r="I5761" s="49">
        <v>45659</v>
      </c>
      <c r="J5761" t="s">
        <v>49</v>
      </c>
      <c r="K5761" s="33">
        <v>2900</v>
      </c>
      <c r="L5761" t="s">
        <v>60</v>
      </c>
      <c r="M5761" t="str">
        <f>_xlfn.XLOOKUP(Pipeline_tbl[[#This Row],[Rep_ID]],Dim_Reps!A:A,Dim_Reps!K:K)</f>
        <v>USD</v>
      </c>
      <c r="N5761" s="33">
        <f>(_xlfn.XLOOKUP(Pipeline_tbl[[#This Row],[Rate_Code_Generalized]],Lookups!A:A,Lookups!B:B))*Pipeline_tbl[[#This Row],[Pipeline_Amount_USD]]</f>
        <v>3376.47</v>
      </c>
      <c r="O5761" t="str">
        <f>_xlfn.XLOOKUP(Pipeline_tbl[[#This Row],[Rep_ID]],Dim_Reps!A:A,Dim_Reps!B:B)</f>
        <v>Priya Weber</v>
      </c>
      <c r="P5761" t="str">
        <f>_xlfn.XLOOKUP(Pipeline_tbl[[#This Row],[Rep_ID]],Dim_Reps!A:A,Dim_Reps!C:C)</f>
        <v>SDR / Inside Sales Rep</v>
      </c>
      <c r="Q5761" t="str">
        <f>_xlfn.XLOOKUP(Pipeline_tbl[[#This Row],[Rep_ID]],Dim_Reps!A:A,Dim_Reps!D:D)</f>
        <v>Inside Sales</v>
      </c>
      <c r="R5761" t="str">
        <f>_xlfn.XLOOKUP(Pipeline_tbl[[#This Row],[Rep_ID]],Dim_Reps!A:A,Dim_Reps!E:E)</f>
        <v>NAMER</v>
      </c>
      <c r="S5761" t="str">
        <f>_xlfn.XLOOKUP(Pipeline_tbl[[#This Row],[Created_Date]],Dim_Date!A:A,Dim_Date!H:H)</f>
        <v>Dec 2024</v>
      </c>
      <c r="T5761" t="str">
        <f>IF(Pipeline_tbl[[#This Row],[Closed_Date]]=0,"",(_xlfn.XLOOKUP(Pipeline_tbl[[#This Row],[Closed_Date]],Dim_Date!A:A,Dim_Date!H:H)))</f>
        <v>Jan 2025</v>
      </c>
      <c r="U5761">
        <f>IF(Pipeline_tbl[[#This Row],[Closed_Date]]=0,"",Pipeline_tbl[[#This Row],[Closed_Date]]-Pipeline_tbl[[#This Row],[Created_Date]])</f>
        <v>12</v>
      </c>
    </row>
    <row r="5762" spans="1:21" ht="15" customHeight="1" x14ac:dyDescent="0.2">
      <c r="A5762" t="s">
        <v>6068</v>
      </c>
      <c r="B5762" t="s">
        <v>217</v>
      </c>
      <c r="C5762" t="s">
        <v>52</v>
      </c>
      <c r="D5762" s="49">
        <v>45652</v>
      </c>
      <c r="E5762" s="49">
        <v>45654</v>
      </c>
      <c r="I5762" s="49">
        <v>45668</v>
      </c>
      <c r="J5762" t="s">
        <v>49</v>
      </c>
      <c r="K5762" s="33">
        <v>3100</v>
      </c>
      <c r="L5762" t="s">
        <v>63</v>
      </c>
      <c r="M5762" t="str">
        <f>_xlfn.XLOOKUP(Pipeline_tbl[[#This Row],[Rep_ID]],Dim_Reps!A:A,Dim_Reps!K:K)</f>
        <v>USD</v>
      </c>
      <c r="N5762" s="33">
        <f>(_xlfn.XLOOKUP(Pipeline_tbl[[#This Row],[Rate_Code_Generalized]],Lookups!A:A,Lookups!B:B))*Pipeline_tbl[[#This Row],[Pipeline_Amount_USD]]</f>
        <v>3609.3299999999995</v>
      </c>
      <c r="O5762" t="str">
        <f>_xlfn.XLOOKUP(Pipeline_tbl[[#This Row],[Rep_ID]],Dim_Reps!A:A,Dim_Reps!B:B)</f>
        <v>Priya Weber</v>
      </c>
      <c r="P5762" t="str">
        <f>_xlfn.XLOOKUP(Pipeline_tbl[[#This Row],[Rep_ID]],Dim_Reps!A:A,Dim_Reps!C:C)</f>
        <v>SDR / Inside Sales Rep</v>
      </c>
      <c r="Q5762" t="str">
        <f>_xlfn.XLOOKUP(Pipeline_tbl[[#This Row],[Rep_ID]],Dim_Reps!A:A,Dim_Reps!D:D)</f>
        <v>Inside Sales</v>
      </c>
      <c r="R5762" t="str">
        <f>_xlfn.XLOOKUP(Pipeline_tbl[[#This Row],[Rep_ID]],Dim_Reps!A:A,Dim_Reps!E:E)</f>
        <v>NAMER</v>
      </c>
      <c r="S5762" t="str">
        <f>_xlfn.XLOOKUP(Pipeline_tbl[[#This Row],[Created_Date]],Dim_Date!A:A,Dim_Date!H:H)</f>
        <v>Dec 2024</v>
      </c>
      <c r="T5762" t="str">
        <f>IF(Pipeline_tbl[[#This Row],[Closed_Date]]=0,"",(_xlfn.XLOOKUP(Pipeline_tbl[[#This Row],[Closed_Date]],Dim_Date!A:A,Dim_Date!H:H)))</f>
        <v>Jan 2025</v>
      </c>
      <c r="U5762">
        <f>IF(Pipeline_tbl[[#This Row],[Closed_Date]]=0,"",Pipeline_tbl[[#This Row],[Closed_Date]]-Pipeline_tbl[[#This Row],[Created_Date]])</f>
        <v>16</v>
      </c>
    </row>
    <row r="5763" spans="1:21" ht="15" customHeight="1" x14ac:dyDescent="0.2">
      <c r="A5763" t="s">
        <v>6069</v>
      </c>
      <c r="B5763" t="s">
        <v>221</v>
      </c>
      <c r="C5763" t="s">
        <v>53</v>
      </c>
      <c r="D5763" s="49">
        <v>45651</v>
      </c>
      <c r="E5763" s="49">
        <v>45652</v>
      </c>
      <c r="F5763" s="49">
        <v>45655</v>
      </c>
      <c r="G5763" s="49">
        <v>45659</v>
      </c>
      <c r="H5763" s="49">
        <v>45663</v>
      </c>
      <c r="I5763" s="49">
        <v>45665</v>
      </c>
      <c r="J5763" t="s">
        <v>49</v>
      </c>
      <c r="K5763" s="33">
        <v>3700</v>
      </c>
      <c r="L5763" t="s">
        <v>64</v>
      </c>
      <c r="M5763" t="str">
        <f>_xlfn.XLOOKUP(Pipeline_tbl[[#This Row],[Rep_ID]],Dim_Reps!A:A,Dim_Reps!K:K)</f>
        <v>MXN</v>
      </c>
      <c r="N5763" s="33">
        <f>(_xlfn.XLOOKUP(Pipeline_tbl[[#This Row],[Rate_Code_Generalized]],Lookups!A:A,Lookups!B:B))*Pipeline_tbl[[#This Row],[Pipeline_Amount_USD]]</f>
        <v>73010.990000000005</v>
      </c>
      <c r="O5763" t="str">
        <f>_xlfn.XLOOKUP(Pipeline_tbl[[#This Row],[Rep_ID]],Dim_Reps!A:A,Dim_Reps!B:B)</f>
        <v>Casey Muller</v>
      </c>
      <c r="P5763" t="str">
        <f>_xlfn.XLOOKUP(Pipeline_tbl[[#This Row],[Rep_ID]],Dim_Reps!A:A,Dim_Reps!C:C)</f>
        <v>SDR / Inside Sales Rep</v>
      </c>
      <c r="Q5763" t="str">
        <f>_xlfn.XLOOKUP(Pipeline_tbl[[#This Row],[Rep_ID]],Dim_Reps!A:A,Dim_Reps!D:D)</f>
        <v>Inside Sales</v>
      </c>
      <c r="R5763" t="str">
        <f>_xlfn.XLOOKUP(Pipeline_tbl[[#This Row],[Rep_ID]],Dim_Reps!A:A,Dim_Reps!E:E)</f>
        <v>LATAM</v>
      </c>
      <c r="S5763" t="str">
        <f>_xlfn.XLOOKUP(Pipeline_tbl[[#This Row],[Created_Date]],Dim_Date!A:A,Dim_Date!H:H)</f>
        <v>Dec 2024</v>
      </c>
      <c r="T5763" t="str">
        <f>IF(Pipeline_tbl[[#This Row],[Closed_Date]]=0,"",(_xlfn.XLOOKUP(Pipeline_tbl[[#This Row],[Closed_Date]],Dim_Date!A:A,Dim_Date!H:H)))</f>
        <v>Jan 2025</v>
      </c>
      <c r="U5763">
        <f>IF(Pipeline_tbl[[#This Row],[Closed_Date]]=0,"",Pipeline_tbl[[#This Row],[Closed_Date]]-Pipeline_tbl[[#This Row],[Created_Date]])</f>
        <v>14</v>
      </c>
    </row>
    <row r="5764" spans="1:21" ht="15" customHeight="1" x14ac:dyDescent="0.2">
      <c r="A5764" t="s">
        <v>6070</v>
      </c>
      <c r="B5764" t="s">
        <v>221</v>
      </c>
      <c r="C5764" t="s">
        <v>53</v>
      </c>
      <c r="D5764" s="49">
        <v>45636</v>
      </c>
      <c r="E5764" s="49">
        <v>45638</v>
      </c>
      <c r="F5764" s="49">
        <v>45644</v>
      </c>
      <c r="G5764" s="49">
        <v>45651</v>
      </c>
      <c r="H5764" s="49">
        <v>45657</v>
      </c>
      <c r="I5764" s="49">
        <v>45661</v>
      </c>
      <c r="J5764" t="s">
        <v>49</v>
      </c>
      <c r="K5764" s="33">
        <v>5100</v>
      </c>
      <c r="L5764" t="s">
        <v>61</v>
      </c>
      <c r="M5764" t="str">
        <f>_xlfn.XLOOKUP(Pipeline_tbl[[#This Row],[Rep_ID]],Dim_Reps!A:A,Dim_Reps!K:K)</f>
        <v>MXN</v>
      </c>
      <c r="N5764" s="33">
        <f>(_xlfn.XLOOKUP(Pipeline_tbl[[#This Row],[Rate_Code_Generalized]],Lookups!A:A,Lookups!B:B))*Pipeline_tbl[[#This Row],[Pipeline_Amount_USD]]</f>
        <v>100636.77</v>
      </c>
      <c r="O5764" t="str">
        <f>_xlfn.XLOOKUP(Pipeline_tbl[[#This Row],[Rep_ID]],Dim_Reps!A:A,Dim_Reps!B:B)</f>
        <v>Casey Muller</v>
      </c>
      <c r="P5764" t="str">
        <f>_xlfn.XLOOKUP(Pipeline_tbl[[#This Row],[Rep_ID]],Dim_Reps!A:A,Dim_Reps!C:C)</f>
        <v>SDR / Inside Sales Rep</v>
      </c>
      <c r="Q5764" t="str">
        <f>_xlfn.XLOOKUP(Pipeline_tbl[[#This Row],[Rep_ID]],Dim_Reps!A:A,Dim_Reps!D:D)</f>
        <v>Inside Sales</v>
      </c>
      <c r="R5764" t="str">
        <f>_xlfn.XLOOKUP(Pipeline_tbl[[#This Row],[Rep_ID]],Dim_Reps!A:A,Dim_Reps!E:E)</f>
        <v>LATAM</v>
      </c>
      <c r="S5764" t="str">
        <f>_xlfn.XLOOKUP(Pipeline_tbl[[#This Row],[Created_Date]],Dim_Date!A:A,Dim_Date!H:H)</f>
        <v>Dec 2024</v>
      </c>
      <c r="T5764" t="str">
        <f>IF(Pipeline_tbl[[#This Row],[Closed_Date]]=0,"",(_xlfn.XLOOKUP(Pipeline_tbl[[#This Row],[Closed_Date]],Dim_Date!A:A,Dim_Date!H:H)))</f>
        <v>Jan 2025</v>
      </c>
      <c r="U5764">
        <f>IF(Pipeline_tbl[[#This Row],[Closed_Date]]=0,"",Pipeline_tbl[[#This Row],[Closed_Date]]-Pipeline_tbl[[#This Row],[Created_Date]])</f>
        <v>25</v>
      </c>
    </row>
    <row r="5765" spans="1:21" ht="15" customHeight="1" x14ac:dyDescent="0.2">
      <c r="A5765" t="s">
        <v>6071</v>
      </c>
      <c r="B5765" t="s">
        <v>221</v>
      </c>
      <c r="C5765" t="s">
        <v>52</v>
      </c>
      <c r="D5765" s="49">
        <v>45648</v>
      </c>
      <c r="E5765" s="49">
        <v>45650</v>
      </c>
      <c r="F5765" s="49">
        <v>45653</v>
      </c>
      <c r="I5765" s="49">
        <v>45665</v>
      </c>
      <c r="J5765" t="s">
        <v>49</v>
      </c>
      <c r="K5765" s="33">
        <v>5100</v>
      </c>
      <c r="L5765" t="s">
        <v>60</v>
      </c>
      <c r="M5765" t="str">
        <f>_xlfn.XLOOKUP(Pipeline_tbl[[#This Row],[Rep_ID]],Dim_Reps!A:A,Dim_Reps!K:K)</f>
        <v>MXN</v>
      </c>
      <c r="N5765" s="33">
        <f>(_xlfn.XLOOKUP(Pipeline_tbl[[#This Row],[Rate_Code_Generalized]],Lookups!A:A,Lookups!B:B))*Pipeline_tbl[[#This Row],[Pipeline_Amount_USD]]</f>
        <v>100636.77</v>
      </c>
      <c r="O5765" t="str">
        <f>_xlfn.XLOOKUP(Pipeline_tbl[[#This Row],[Rep_ID]],Dim_Reps!A:A,Dim_Reps!B:B)</f>
        <v>Casey Muller</v>
      </c>
      <c r="P5765" t="str">
        <f>_xlfn.XLOOKUP(Pipeline_tbl[[#This Row],[Rep_ID]],Dim_Reps!A:A,Dim_Reps!C:C)</f>
        <v>SDR / Inside Sales Rep</v>
      </c>
      <c r="Q5765" t="str">
        <f>_xlfn.XLOOKUP(Pipeline_tbl[[#This Row],[Rep_ID]],Dim_Reps!A:A,Dim_Reps!D:D)</f>
        <v>Inside Sales</v>
      </c>
      <c r="R5765" t="str">
        <f>_xlfn.XLOOKUP(Pipeline_tbl[[#This Row],[Rep_ID]],Dim_Reps!A:A,Dim_Reps!E:E)</f>
        <v>LATAM</v>
      </c>
      <c r="S5765" t="str">
        <f>_xlfn.XLOOKUP(Pipeline_tbl[[#This Row],[Created_Date]],Dim_Date!A:A,Dim_Date!H:H)</f>
        <v>Dec 2024</v>
      </c>
      <c r="T5765" t="str">
        <f>IF(Pipeline_tbl[[#This Row],[Closed_Date]]=0,"",(_xlfn.XLOOKUP(Pipeline_tbl[[#This Row],[Closed_Date]],Dim_Date!A:A,Dim_Date!H:H)))</f>
        <v>Jan 2025</v>
      </c>
      <c r="U5765">
        <f>IF(Pipeline_tbl[[#This Row],[Closed_Date]]=0,"",Pipeline_tbl[[#This Row],[Closed_Date]]-Pipeline_tbl[[#This Row],[Created_Date]])</f>
        <v>17</v>
      </c>
    </row>
    <row r="5766" spans="1:21" ht="15" customHeight="1" x14ac:dyDescent="0.2">
      <c r="A5766" t="s">
        <v>6072</v>
      </c>
      <c r="B5766" t="s">
        <v>221</v>
      </c>
      <c r="C5766" t="s">
        <v>56</v>
      </c>
      <c r="D5766" s="49">
        <v>45650</v>
      </c>
      <c r="E5766" s="49">
        <v>45651</v>
      </c>
      <c r="F5766" s="49">
        <v>45653</v>
      </c>
      <c r="I5766" s="49">
        <v>45659</v>
      </c>
      <c r="J5766" t="s">
        <v>49</v>
      </c>
      <c r="K5766" s="33">
        <v>8100</v>
      </c>
      <c r="L5766" t="s">
        <v>61</v>
      </c>
      <c r="M5766" t="str">
        <f>_xlfn.XLOOKUP(Pipeline_tbl[[#This Row],[Rep_ID]],Dim_Reps!A:A,Dim_Reps!K:K)</f>
        <v>MXN</v>
      </c>
      <c r="N5766" s="33">
        <f>(_xlfn.XLOOKUP(Pipeline_tbl[[#This Row],[Rate_Code_Generalized]],Lookups!A:A,Lookups!B:B))*Pipeline_tbl[[#This Row],[Pipeline_Amount_USD]]</f>
        <v>159834.87000000002</v>
      </c>
      <c r="O5766" t="str">
        <f>_xlfn.XLOOKUP(Pipeline_tbl[[#This Row],[Rep_ID]],Dim_Reps!A:A,Dim_Reps!B:B)</f>
        <v>Casey Muller</v>
      </c>
      <c r="P5766" t="str">
        <f>_xlfn.XLOOKUP(Pipeline_tbl[[#This Row],[Rep_ID]],Dim_Reps!A:A,Dim_Reps!C:C)</f>
        <v>SDR / Inside Sales Rep</v>
      </c>
      <c r="Q5766" t="str">
        <f>_xlfn.XLOOKUP(Pipeline_tbl[[#This Row],[Rep_ID]],Dim_Reps!A:A,Dim_Reps!D:D)</f>
        <v>Inside Sales</v>
      </c>
      <c r="R5766" t="str">
        <f>_xlfn.XLOOKUP(Pipeline_tbl[[#This Row],[Rep_ID]],Dim_Reps!A:A,Dim_Reps!E:E)</f>
        <v>LATAM</v>
      </c>
      <c r="S5766" t="str">
        <f>_xlfn.XLOOKUP(Pipeline_tbl[[#This Row],[Created_Date]],Dim_Date!A:A,Dim_Date!H:H)</f>
        <v>Dec 2024</v>
      </c>
      <c r="T5766" t="str">
        <f>IF(Pipeline_tbl[[#This Row],[Closed_Date]]=0,"",(_xlfn.XLOOKUP(Pipeline_tbl[[#This Row],[Closed_Date]],Dim_Date!A:A,Dim_Date!H:H)))</f>
        <v>Jan 2025</v>
      </c>
      <c r="U5766">
        <f>IF(Pipeline_tbl[[#This Row],[Closed_Date]]=0,"",Pipeline_tbl[[#This Row],[Closed_Date]]-Pipeline_tbl[[#This Row],[Created_Date]])</f>
        <v>9</v>
      </c>
    </row>
    <row r="5767" spans="1:21" ht="15" customHeight="1" x14ac:dyDescent="0.2">
      <c r="A5767" t="s">
        <v>6073</v>
      </c>
      <c r="B5767" t="s">
        <v>221</v>
      </c>
      <c r="C5767" t="s">
        <v>54</v>
      </c>
      <c r="D5767" s="49">
        <v>45644</v>
      </c>
      <c r="E5767" s="49">
        <v>45646</v>
      </c>
      <c r="F5767" s="49">
        <v>45651</v>
      </c>
      <c r="G5767" s="49">
        <v>45658</v>
      </c>
      <c r="H5767" s="49">
        <v>45664</v>
      </c>
      <c r="I5767" s="49">
        <v>45667</v>
      </c>
      <c r="J5767" t="s">
        <v>49</v>
      </c>
      <c r="K5767" s="33">
        <v>2300</v>
      </c>
      <c r="L5767" t="s">
        <v>63</v>
      </c>
      <c r="M5767" t="str">
        <f>_xlfn.XLOOKUP(Pipeline_tbl[[#This Row],[Rep_ID]],Dim_Reps!A:A,Dim_Reps!K:K)</f>
        <v>MXN</v>
      </c>
      <c r="N5767" s="33">
        <f>(_xlfn.XLOOKUP(Pipeline_tbl[[#This Row],[Rate_Code_Generalized]],Lookups!A:A,Lookups!B:B))*Pipeline_tbl[[#This Row],[Pipeline_Amount_USD]]</f>
        <v>45385.210000000006</v>
      </c>
      <c r="O5767" t="str">
        <f>_xlfn.XLOOKUP(Pipeline_tbl[[#This Row],[Rep_ID]],Dim_Reps!A:A,Dim_Reps!B:B)</f>
        <v>Casey Muller</v>
      </c>
      <c r="P5767" t="str">
        <f>_xlfn.XLOOKUP(Pipeline_tbl[[#This Row],[Rep_ID]],Dim_Reps!A:A,Dim_Reps!C:C)</f>
        <v>SDR / Inside Sales Rep</v>
      </c>
      <c r="Q5767" t="str">
        <f>_xlfn.XLOOKUP(Pipeline_tbl[[#This Row],[Rep_ID]],Dim_Reps!A:A,Dim_Reps!D:D)</f>
        <v>Inside Sales</v>
      </c>
      <c r="R5767" t="str">
        <f>_xlfn.XLOOKUP(Pipeline_tbl[[#This Row],[Rep_ID]],Dim_Reps!A:A,Dim_Reps!E:E)</f>
        <v>LATAM</v>
      </c>
      <c r="S5767" t="str">
        <f>_xlfn.XLOOKUP(Pipeline_tbl[[#This Row],[Created_Date]],Dim_Date!A:A,Dim_Date!H:H)</f>
        <v>Dec 2024</v>
      </c>
      <c r="T5767" t="str">
        <f>IF(Pipeline_tbl[[#This Row],[Closed_Date]]=0,"",(_xlfn.XLOOKUP(Pipeline_tbl[[#This Row],[Closed_Date]],Dim_Date!A:A,Dim_Date!H:H)))</f>
        <v>Jan 2025</v>
      </c>
      <c r="U5767">
        <f>IF(Pipeline_tbl[[#This Row],[Closed_Date]]=0,"",Pipeline_tbl[[#This Row],[Closed_Date]]-Pipeline_tbl[[#This Row],[Created_Date]])</f>
        <v>23</v>
      </c>
    </row>
    <row r="5768" spans="1:21" ht="15" customHeight="1" x14ac:dyDescent="0.2">
      <c r="A5768" t="s">
        <v>6074</v>
      </c>
      <c r="B5768" t="s">
        <v>259</v>
      </c>
      <c r="C5768" t="s">
        <v>55</v>
      </c>
      <c r="D5768" s="49">
        <v>45645</v>
      </c>
      <c r="E5768" s="49">
        <v>45648</v>
      </c>
      <c r="F5768" s="49">
        <v>45654</v>
      </c>
      <c r="G5768" s="49">
        <v>45663</v>
      </c>
      <c r="H5768" s="49">
        <v>45671</v>
      </c>
      <c r="I5768" s="49">
        <v>45675</v>
      </c>
      <c r="J5768" t="s">
        <v>47</v>
      </c>
      <c r="K5768" s="33">
        <v>10600</v>
      </c>
      <c r="M5768" t="str">
        <f>_xlfn.XLOOKUP(Pipeline_tbl[[#This Row],[Rep_ID]],Dim_Reps!A:A,Dim_Reps!K:K)</f>
        <v>EUR</v>
      </c>
      <c r="N5768" s="33">
        <f>(_xlfn.XLOOKUP(Pipeline_tbl[[#This Row],[Rate_Code_Generalized]],Lookups!A:A,Lookups!B:B))*Pipeline_tbl[[#This Row],[Pipeline_Amount_USD]]</f>
        <v>10600</v>
      </c>
      <c r="O5768" t="str">
        <f>_xlfn.XLOOKUP(Pipeline_tbl[[#This Row],[Rep_ID]],Dim_Reps!A:A,Dim_Reps!B:B)</f>
        <v>Felix Okafor</v>
      </c>
      <c r="P5768" t="str">
        <f>_xlfn.XLOOKUP(Pipeline_tbl[[#This Row],[Rep_ID]],Dim_Reps!A:A,Dim_Reps!C:C)</f>
        <v>Mid-Market AE</v>
      </c>
      <c r="Q5768" t="str">
        <f>_xlfn.XLOOKUP(Pipeline_tbl[[#This Row],[Rep_ID]],Dim_Reps!A:A,Dim_Reps!D:D)</f>
        <v>Mid-Market</v>
      </c>
      <c r="R5768" t="str">
        <f>_xlfn.XLOOKUP(Pipeline_tbl[[#This Row],[Rep_ID]],Dim_Reps!A:A,Dim_Reps!E:E)</f>
        <v>EMEA</v>
      </c>
      <c r="S5768" t="str">
        <f>_xlfn.XLOOKUP(Pipeline_tbl[[#This Row],[Created_Date]],Dim_Date!A:A,Dim_Date!H:H)</f>
        <v>Dec 2024</v>
      </c>
      <c r="T5768" t="str">
        <f>IF(Pipeline_tbl[[#This Row],[Closed_Date]]=0,"",(_xlfn.XLOOKUP(Pipeline_tbl[[#This Row],[Closed_Date]],Dim_Date!A:A,Dim_Date!H:H)))</f>
        <v>Jan 2025</v>
      </c>
      <c r="U5768">
        <f>IF(Pipeline_tbl[[#This Row],[Closed_Date]]=0,"",Pipeline_tbl[[#This Row],[Closed_Date]]-Pipeline_tbl[[#This Row],[Created_Date]])</f>
        <v>30</v>
      </c>
    </row>
    <row r="5769" spans="1:21" ht="15" customHeight="1" x14ac:dyDescent="0.2">
      <c r="A5769" t="s">
        <v>6075</v>
      </c>
      <c r="B5769" t="s">
        <v>259</v>
      </c>
      <c r="C5769" t="s">
        <v>56</v>
      </c>
      <c r="D5769" s="49">
        <v>45645</v>
      </c>
      <c r="E5769" s="49">
        <v>45649</v>
      </c>
      <c r="F5769" s="49">
        <v>45658</v>
      </c>
      <c r="G5769" s="49">
        <v>45671</v>
      </c>
      <c r="H5769" s="49">
        <v>45682</v>
      </c>
      <c r="I5769" s="49">
        <v>45688</v>
      </c>
      <c r="J5769" t="s">
        <v>49</v>
      </c>
      <c r="K5769" s="33">
        <v>14200</v>
      </c>
      <c r="L5769" t="s">
        <v>64</v>
      </c>
      <c r="M5769" t="str">
        <f>_xlfn.XLOOKUP(Pipeline_tbl[[#This Row],[Rep_ID]],Dim_Reps!A:A,Dim_Reps!K:K)</f>
        <v>EUR</v>
      </c>
      <c r="N5769" s="33">
        <f>(_xlfn.XLOOKUP(Pipeline_tbl[[#This Row],[Rate_Code_Generalized]],Lookups!A:A,Lookups!B:B))*Pipeline_tbl[[#This Row],[Pipeline_Amount_USD]]</f>
        <v>14200</v>
      </c>
      <c r="O5769" t="str">
        <f>_xlfn.XLOOKUP(Pipeline_tbl[[#This Row],[Rep_ID]],Dim_Reps!A:A,Dim_Reps!B:B)</f>
        <v>Felix Okafor</v>
      </c>
      <c r="P5769" t="str">
        <f>_xlfn.XLOOKUP(Pipeline_tbl[[#This Row],[Rep_ID]],Dim_Reps!A:A,Dim_Reps!C:C)</f>
        <v>Mid-Market AE</v>
      </c>
      <c r="Q5769" t="str">
        <f>_xlfn.XLOOKUP(Pipeline_tbl[[#This Row],[Rep_ID]],Dim_Reps!A:A,Dim_Reps!D:D)</f>
        <v>Mid-Market</v>
      </c>
      <c r="R5769" t="str">
        <f>_xlfn.XLOOKUP(Pipeline_tbl[[#This Row],[Rep_ID]],Dim_Reps!A:A,Dim_Reps!E:E)</f>
        <v>EMEA</v>
      </c>
      <c r="S5769" t="str">
        <f>_xlfn.XLOOKUP(Pipeline_tbl[[#This Row],[Created_Date]],Dim_Date!A:A,Dim_Date!H:H)</f>
        <v>Dec 2024</v>
      </c>
      <c r="T5769" t="str">
        <f>IF(Pipeline_tbl[[#This Row],[Closed_Date]]=0,"",(_xlfn.XLOOKUP(Pipeline_tbl[[#This Row],[Closed_Date]],Dim_Date!A:A,Dim_Date!H:H)))</f>
        <v>Jan 2025</v>
      </c>
      <c r="U5769">
        <f>IF(Pipeline_tbl[[#This Row],[Closed_Date]]=0,"",Pipeline_tbl[[#This Row],[Closed_Date]]-Pipeline_tbl[[#This Row],[Created_Date]])</f>
        <v>43</v>
      </c>
    </row>
    <row r="5770" spans="1:21" ht="15" customHeight="1" x14ac:dyDescent="0.2">
      <c r="A5770" t="s">
        <v>6076</v>
      </c>
      <c r="B5770" t="s">
        <v>225</v>
      </c>
      <c r="C5770" t="s">
        <v>52</v>
      </c>
      <c r="D5770" s="49">
        <v>45645</v>
      </c>
      <c r="E5770" s="49">
        <v>45647</v>
      </c>
      <c r="F5770" s="49">
        <v>45652</v>
      </c>
      <c r="G5770" s="49">
        <v>45658</v>
      </c>
      <c r="H5770" s="49">
        <v>45664</v>
      </c>
      <c r="I5770" s="49">
        <v>45667</v>
      </c>
      <c r="J5770" t="s">
        <v>49</v>
      </c>
      <c r="K5770" s="33">
        <v>5200</v>
      </c>
      <c r="L5770" t="s">
        <v>62</v>
      </c>
      <c r="M5770" t="str">
        <f>_xlfn.XLOOKUP(Pipeline_tbl[[#This Row],[Rep_ID]],Dim_Reps!A:A,Dim_Reps!K:K)</f>
        <v>USD</v>
      </c>
      <c r="N5770" s="33">
        <f>(_xlfn.XLOOKUP(Pipeline_tbl[[#This Row],[Rate_Code_Generalized]],Lookups!A:A,Lookups!B:B))*Pipeline_tbl[[#This Row],[Pipeline_Amount_USD]]</f>
        <v>6054.36</v>
      </c>
      <c r="O5770" t="str">
        <f>_xlfn.XLOOKUP(Pipeline_tbl[[#This Row],[Rep_ID]],Dim_Reps!A:A,Dim_Reps!B:B)</f>
        <v>Alex Muller</v>
      </c>
      <c r="P5770" t="str">
        <f>_xlfn.XLOOKUP(Pipeline_tbl[[#This Row],[Rep_ID]],Dim_Reps!A:A,Dim_Reps!C:C)</f>
        <v>SDR / Inside Sales Rep</v>
      </c>
      <c r="Q5770" t="str">
        <f>_xlfn.XLOOKUP(Pipeline_tbl[[#This Row],[Rep_ID]],Dim_Reps!A:A,Dim_Reps!D:D)</f>
        <v>Inside Sales</v>
      </c>
      <c r="R5770" t="str">
        <f>_xlfn.XLOOKUP(Pipeline_tbl[[#This Row],[Rep_ID]],Dim_Reps!A:A,Dim_Reps!E:E)</f>
        <v>NAMER</v>
      </c>
      <c r="S5770" t="str">
        <f>_xlfn.XLOOKUP(Pipeline_tbl[[#This Row],[Created_Date]],Dim_Date!A:A,Dim_Date!H:H)</f>
        <v>Dec 2024</v>
      </c>
      <c r="T5770" t="str">
        <f>IF(Pipeline_tbl[[#This Row],[Closed_Date]]=0,"",(_xlfn.XLOOKUP(Pipeline_tbl[[#This Row],[Closed_Date]],Dim_Date!A:A,Dim_Date!H:H)))</f>
        <v>Jan 2025</v>
      </c>
      <c r="U5770">
        <f>IF(Pipeline_tbl[[#This Row],[Closed_Date]]=0,"",Pipeline_tbl[[#This Row],[Closed_Date]]-Pipeline_tbl[[#This Row],[Created_Date]])</f>
        <v>22</v>
      </c>
    </row>
    <row r="5771" spans="1:21" ht="15" customHeight="1" x14ac:dyDescent="0.2">
      <c r="A5771" t="s">
        <v>6077</v>
      </c>
      <c r="B5771" t="s">
        <v>225</v>
      </c>
      <c r="C5771" t="s">
        <v>52</v>
      </c>
      <c r="D5771" s="49">
        <v>45648</v>
      </c>
      <c r="E5771" s="49">
        <v>45650</v>
      </c>
      <c r="F5771" s="49">
        <v>45653</v>
      </c>
      <c r="G5771" s="49">
        <v>45658</v>
      </c>
      <c r="H5771" s="49">
        <v>45662</v>
      </c>
      <c r="I5771" s="49">
        <v>45664</v>
      </c>
      <c r="J5771" t="s">
        <v>49</v>
      </c>
      <c r="K5771" s="33">
        <v>2900</v>
      </c>
      <c r="L5771" t="s">
        <v>61</v>
      </c>
      <c r="M5771" t="str">
        <f>_xlfn.XLOOKUP(Pipeline_tbl[[#This Row],[Rep_ID]],Dim_Reps!A:A,Dim_Reps!K:K)</f>
        <v>USD</v>
      </c>
      <c r="N5771" s="33">
        <f>(_xlfn.XLOOKUP(Pipeline_tbl[[#This Row],[Rate_Code_Generalized]],Lookups!A:A,Lookups!B:B))*Pipeline_tbl[[#This Row],[Pipeline_Amount_USD]]</f>
        <v>3376.47</v>
      </c>
      <c r="O5771" t="str">
        <f>_xlfn.XLOOKUP(Pipeline_tbl[[#This Row],[Rep_ID]],Dim_Reps!A:A,Dim_Reps!B:B)</f>
        <v>Alex Muller</v>
      </c>
      <c r="P5771" t="str">
        <f>_xlfn.XLOOKUP(Pipeline_tbl[[#This Row],[Rep_ID]],Dim_Reps!A:A,Dim_Reps!C:C)</f>
        <v>SDR / Inside Sales Rep</v>
      </c>
      <c r="Q5771" t="str">
        <f>_xlfn.XLOOKUP(Pipeline_tbl[[#This Row],[Rep_ID]],Dim_Reps!A:A,Dim_Reps!D:D)</f>
        <v>Inside Sales</v>
      </c>
      <c r="R5771" t="str">
        <f>_xlfn.XLOOKUP(Pipeline_tbl[[#This Row],[Rep_ID]],Dim_Reps!A:A,Dim_Reps!E:E)</f>
        <v>NAMER</v>
      </c>
      <c r="S5771" t="str">
        <f>_xlfn.XLOOKUP(Pipeline_tbl[[#This Row],[Created_Date]],Dim_Date!A:A,Dim_Date!H:H)</f>
        <v>Dec 2024</v>
      </c>
      <c r="T5771" t="str">
        <f>IF(Pipeline_tbl[[#This Row],[Closed_Date]]=0,"",(_xlfn.XLOOKUP(Pipeline_tbl[[#This Row],[Closed_Date]],Dim_Date!A:A,Dim_Date!H:H)))</f>
        <v>Jan 2025</v>
      </c>
      <c r="U5771">
        <f>IF(Pipeline_tbl[[#This Row],[Closed_Date]]=0,"",Pipeline_tbl[[#This Row],[Closed_Date]]-Pipeline_tbl[[#This Row],[Created_Date]])</f>
        <v>16</v>
      </c>
    </row>
    <row r="5772" spans="1:21" ht="15" customHeight="1" x14ac:dyDescent="0.2">
      <c r="A5772" t="s">
        <v>6078</v>
      </c>
      <c r="B5772" t="s">
        <v>225</v>
      </c>
      <c r="C5772" t="s">
        <v>52</v>
      </c>
      <c r="D5772" s="49">
        <v>45642</v>
      </c>
      <c r="E5772" s="49">
        <v>45645</v>
      </c>
      <c r="F5772" s="49">
        <v>45650</v>
      </c>
      <c r="I5772" s="49">
        <v>45670</v>
      </c>
      <c r="J5772" t="s">
        <v>49</v>
      </c>
      <c r="K5772" s="33">
        <v>3300</v>
      </c>
      <c r="L5772" t="s">
        <v>63</v>
      </c>
      <c r="M5772" t="str">
        <f>_xlfn.XLOOKUP(Pipeline_tbl[[#This Row],[Rep_ID]],Dim_Reps!A:A,Dim_Reps!K:K)</f>
        <v>USD</v>
      </c>
      <c r="N5772" s="33">
        <f>(_xlfn.XLOOKUP(Pipeline_tbl[[#This Row],[Rate_Code_Generalized]],Lookups!A:A,Lookups!B:B))*Pipeline_tbl[[#This Row],[Pipeline_Amount_USD]]</f>
        <v>3842.1899999999996</v>
      </c>
      <c r="O5772" t="str">
        <f>_xlfn.XLOOKUP(Pipeline_tbl[[#This Row],[Rep_ID]],Dim_Reps!A:A,Dim_Reps!B:B)</f>
        <v>Alex Muller</v>
      </c>
      <c r="P5772" t="str">
        <f>_xlfn.XLOOKUP(Pipeline_tbl[[#This Row],[Rep_ID]],Dim_Reps!A:A,Dim_Reps!C:C)</f>
        <v>SDR / Inside Sales Rep</v>
      </c>
      <c r="Q5772" t="str">
        <f>_xlfn.XLOOKUP(Pipeline_tbl[[#This Row],[Rep_ID]],Dim_Reps!A:A,Dim_Reps!D:D)</f>
        <v>Inside Sales</v>
      </c>
      <c r="R5772" t="str">
        <f>_xlfn.XLOOKUP(Pipeline_tbl[[#This Row],[Rep_ID]],Dim_Reps!A:A,Dim_Reps!E:E)</f>
        <v>NAMER</v>
      </c>
      <c r="S5772" t="str">
        <f>_xlfn.XLOOKUP(Pipeline_tbl[[#This Row],[Created_Date]],Dim_Date!A:A,Dim_Date!H:H)</f>
        <v>Dec 2024</v>
      </c>
      <c r="T5772" t="str">
        <f>IF(Pipeline_tbl[[#This Row],[Closed_Date]]=0,"",(_xlfn.XLOOKUP(Pipeline_tbl[[#This Row],[Closed_Date]],Dim_Date!A:A,Dim_Date!H:H)))</f>
        <v>Jan 2025</v>
      </c>
      <c r="U5772">
        <f>IF(Pipeline_tbl[[#This Row],[Closed_Date]]=0,"",Pipeline_tbl[[#This Row],[Closed_Date]]-Pipeline_tbl[[#This Row],[Created_Date]])</f>
        <v>28</v>
      </c>
    </row>
    <row r="5773" spans="1:21" ht="15" customHeight="1" x14ac:dyDescent="0.2">
      <c r="A5773" t="s">
        <v>6079</v>
      </c>
      <c r="B5773" t="s">
        <v>227</v>
      </c>
      <c r="C5773" t="s">
        <v>52</v>
      </c>
      <c r="D5773" s="49">
        <v>45647</v>
      </c>
      <c r="E5773" s="49">
        <v>45649</v>
      </c>
      <c r="F5773" s="49">
        <v>45655</v>
      </c>
      <c r="G5773" s="49">
        <v>45662</v>
      </c>
      <c r="I5773" s="49">
        <v>45672</v>
      </c>
      <c r="J5773" t="s">
        <v>49</v>
      </c>
      <c r="K5773" s="33">
        <v>1500</v>
      </c>
      <c r="L5773" t="s">
        <v>60</v>
      </c>
      <c r="M5773" t="str">
        <f>_xlfn.XLOOKUP(Pipeline_tbl[[#This Row],[Rep_ID]],Dim_Reps!A:A,Dim_Reps!K:K)</f>
        <v>EUR</v>
      </c>
      <c r="N5773" s="33">
        <f>(_xlfn.XLOOKUP(Pipeline_tbl[[#This Row],[Rate_Code_Generalized]],Lookups!A:A,Lookups!B:B))*Pipeline_tbl[[#This Row],[Pipeline_Amount_USD]]</f>
        <v>1500</v>
      </c>
      <c r="O5773" t="str">
        <f>_xlfn.XLOOKUP(Pipeline_tbl[[#This Row],[Rep_ID]],Dim_Reps!A:A,Dim_Reps!B:B)</f>
        <v>Liam Muller</v>
      </c>
      <c r="P5773" t="str">
        <f>_xlfn.XLOOKUP(Pipeline_tbl[[#This Row],[Rep_ID]],Dim_Reps!A:A,Dim_Reps!C:C)</f>
        <v>SDR / Inside Sales Rep</v>
      </c>
      <c r="Q5773" t="str">
        <f>_xlfn.XLOOKUP(Pipeline_tbl[[#This Row],[Rep_ID]],Dim_Reps!A:A,Dim_Reps!D:D)</f>
        <v>Inside Sales</v>
      </c>
      <c r="R5773" t="str">
        <f>_xlfn.XLOOKUP(Pipeline_tbl[[#This Row],[Rep_ID]],Dim_Reps!A:A,Dim_Reps!E:E)</f>
        <v>EMEA</v>
      </c>
      <c r="S5773" t="str">
        <f>_xlfn.XLOOKUP(Pipeline_tbl[[#This Row],[Created_Date]],Dim_Date!A:A,Dim_Date!H:H)</f>
        <v>Dec 2024</v>
      </c>
      <c r="T5773" t="str">
        <f>IF(Pipeline_tbl[[#This Row],[Closed_Date]]=0,"",(_xlfn.XLOOKUP(Pipeline_tbl[[#This Row],[Closed_Date]],Dim_Date!A:A,Dim_Date!H:H)))</f>
        <v>Jan 2025</v>
      </c>
      <c r="U5773">
        <f>IF(Pipeline_tbl[[#This Row],[Closed_Date]]=0,"",Pipeline_tbl[[#This Row],[Closed_Date]]-Pipeline_tbl[[#This Row],[Created_Date]])</f>
        <v>25</v>
      </c>
    </row>
    <row r="5774" spans="1:21" ht="15" customHeight="1" x14ac:dyDescent="0.2">
      <c r="A5774" t="s">
        <v>6080</v>
      </c>
      <c r="B5774" t="s">
        <v>227</v>
      </c>
      <c r="C5774" t="s">
        <v>54</v>
      </c>
      <c r="D5774" s="49">
        <v>45648</v>
      </c>
      <c r="E5774" s="49">
        <v>45650</v>
      </c>
      <c r="I5774" s="49">
        <v>45665</v>
      </c>
      <c r="J5774" t="s">
        <v>49</v>
      </c>
      <c r="K5774" s="33">
        <v>2600</v>
      </c>
      <c r="L5774" t="s">
        <v>61</v>
      </c>
      <c r="M5774" t="str">
        <f>_xlfn.XLOOKUP(Pipeline_tbl[[#This Row],[Rep_ID]],Dim_Reps!A:A,Dim_Reps!K:K)</f>
        <v>EUR</v>
      </c>
      <c r="N5774" s="33">
        <f>(_xlfn.XLOOKUP(Pipeline_tbl[[#This Row],[Rate_Code_Generalized]],Lookups!A:A,Lookups!B:B))*Pipeline_tbl[[#This Row],[Pipeline_Amount_USD]]</f>
        <v>2600</v>
      </c>
      <c r="O5774" t="str">
        <f>_xlfn.XLOOKUP(Pipeline_tbl[[#This Row],[Rep_ID]],Dim_Reps!A:A,Dim_Reps!B:B)</f>
        <v>Liam Muller</v>
      </c>
      <c r="P5774" t="str">
        <f>_xlfn.XLOOKUP(Pipeline_tbl[[#This Row],[Rep_ID]],Dim_Reps!A:A,Dim_Reps!C:C)</f>
        <v>SDR / Inside Sales Rep</v>
      </c>
      <c r="Q5774" t="str">
        <f>_xlfn.XLOOKUP(Pipeline_tbl[[#This Row],[Rep_ID]],Dim_Reps!A:A,Dim_Reps!D:D)</f>
        <v>Inside Sales</v>
      </c>
      <c r="R5774" t="str">
        <f>_xlfn.XLOOKUP(Pipeline_tbl[[#This Row],[Rep_ID]],Dim_Reps!A:A,Dim_Reps!E:E)</f>
        <v>EMEA</v>
      </c>
      <c r="S5774" t="str">
        <f>_xlfn.XLOOKUP(Pipeline_tbl[[#This Row],[Created_Date]],Dim_Date!A:A,Dim_Date!H:H)</f>
        <v>Dec 2024</v>
      </c>
      <c r="T5774" t="str">
        <f>IF(Pipeline_tbl[[#This Row],[Closed_Date]]=0,"",(_xlfn.XLOOKUP(Pipeline_tbl[[#This Row],[Closed_Date]],Dim_Date!A:A,Dim_Date!H:H)))</f>
        <v>Jan 2025</v>
      </c>
      <c r="U5774">
        <f>IF(Pipeline_tbl[[#This Row],[Closed_Date]]=0,"",Pipeline_tbl[[#This Row],[Closed_Date]]-Pipeline_tbl[[#This Row],[Created_Date]])</f>
        <v>17</v>
      </c>
    </row>
    <row r="5775" spans="1:21" ht="15" customHeight="1" x14ac:dyDescent="0.2">
      <c r="A5775" t="s">
        <v>6081</v>
      </c>
      <c r="B5775" t="s">
        <v>227</v>
      </c>
      <c r="C5775" t="s">
        <v>53</v>
      </c>
      <c r="D5775" s="49">
        <v>45640</v>
      </c>
      <c r="E5775" s="49">
        <v>45642</v>
      </c>
      <c r="F5775" s="49">
        <v>45646</v>
      </c>
      <c r="G5775" s="49">
        <v>45653</v>
      </c>
      <c r="H5775" s="49">
        <v>45658</v>
      </c>
      <c r="I5775" s="49">
        <v>45661</v>
      </c>
      <c r="J5775" t="s">
        <v>47</v>
      </c>
      <c r="K5775" s="33">
        <v>7100</v>
      </c>
      <c r="M5775" t="str">
        <f>_xlfn.XLOOKUP(Pipeline_tbl[[#This Row],[Rep_ID]],Dim_Reps!A:A,Dim_Reps!K:K)</f>
        <v>EUR</v>
      </c>
      <c r="N5775" s="33">
        <f>(_xlfn.XLOOKUP(Pipeline_tbl[[#This Row],[Rate_Code_Generalized]],Lookups!A:A,Lookups!B:B))*Pipeline_tbl[[#This Row],[Pipeline_Amount_USD]]</f>
        <v>7100</v>
      </c>
      <c r="O5775" t="str">
        <f>_xlfn.XLOOKUP(Pipeline_tbl[[#This Row],[Rep_ID]],Dim_Reps!A:A,Dim_Reps!B:B)</f>
        <v>Liam Muller</v>
      </c>
      <c r="P5775" t="str">
        <f>_xlfn.XLOOKUP(Pipeline_tbl[[#This Row],[Rep_ID]],Dim_Reps!A:A,Dim_Reps!C:C)</f>
        <v>SDR / Inside Sales Rep</v>
      </c>
      <c r="Q5775" t="str">
        <f>_xlfn.XLOOKUP(Pipeline_tbl[[#This Row],[Rep_ID]],Dim_Reps!A:A,Dim_Reps!D:D)</f>
        <v>Inside Sales</v>
      </c>
      <c r="R5775" t="str">
        <f>_xlfn.XLOOKUP(Pipeline_tbl[[#This Row],[Rep_ID]],Dim_Reps!A:A,Dim_Reps!E:E)</f>
        <v>EMEA</v>
      </c>
      <c r="S5775" t="str">
        <f>_xlfn.XLOOKUP(Pipeline_tbl[[#This Row],[Created_Date]],Dim_Date!A:A,Dim_Date!H:H)</f>
        <v>Dec 2024</v>
      </c>
      <c r="T5775" t="str">
        <f>IF(Pipeline_tbl[[#This Row],[Closed_Date]]=0,"",(_xlfn.XLOOKUP(Pipeline_tbl[[#This Row],[Closed_Date]],Dim_Date!A:A,Dim_Date!H:H)))</f>
        <v>Jan 2025</v>
      </c>
      <c r="U5775">
        <f>IF(Pipeline_tbl[[#This Row],[Closed_Date]]=0,"",Pipeline_tbl[[#This Row],[Closed_Date]]-Pipeline_tbl[[#This Row],[Created_Date]])</f>
        <v>21</v>
      </c>
    </row>
    <row r="5776" spans="1:21" ht="15" customHeight="1" x14ac:dyDescent="0.2">
      <c r="A5776" t="s">
        <v>6082</v>
      </c>
      <c r="B5776" t="s">
        <v>227</v>
      </c>
      <c r="C5776" t="s">
        <v>53</v>
      </c>
      <c r="D5776" s="49">
        <v>45650</v>
      </c>
      <c r="E5776" s="49">
        <v>45652</v>
      </c>
      <c r="F5776" s="49">
        <v>45656</v>
      </c>
      <c r="G5776" s="49">
        <v>45661</v>
      </c>
      <c r="H5776" s="49">
        <v>45666</v>
      </c>
      <c r="I5776" s="49">
        <v>45669</v>
      </c>
      <c r="J5776" t="s">
        <v>47</v>
      </c>
      <c r="K5776" s="33">
        <v>2300</v>
      </c>
      <c r="M5776" t="str">
        <f>_xlfn.XLOOKUP(Pipeline_tbl[[#This Row],[Rep_ID]],Dim_Reps!A:A,Dim_Reps!K:K)</f>
        <v>EUR</v>
      </c>
      <c r="N5776" s="33">
        <f>(_xlfn.XLOOKUP(Pipeline_tbl[[#This Row],[Rate_Code_Generalized]],Lookups!A:A,Lookups!B:B))*Pipeline_tbl[[#This Row],[Pipeline_Amount_USD]]</f>
        <v>2300</v>
      </c>
      <c r="O5776" t="str">
        <f>_xlfn.XLOOKUP(Pipeline_tbl[[#This Row],[Rep_ID]],Dim_Reps!A:A,Dim_Reps!B:B)</f>
        <v>Liam Muller</v>
      </c>
      <c r="P5776" t="str">
        <f>_xlfn.XLOOKUP(Pipeline_tbl[[#This Row],[Rep_ID]],Dim_Reps!A:A,Dim_Reps!C:C)</f>
        <v>SDR / Inside Sales Rep</v>
      </c>
      <c r="Q5776" t="str">
        <f>_xlfn.XLOOKUP(Pipeline_tbl[[#This Row],[Rep_ID]],Dim_Reps!A:A,Dim_Reps!D:D)</f>
        <v>Inside Sales</v>
      </c>
      <c r="R5776" t="str">
        <f>_xlfn.XLOOKUP(Pipeline_tbl[[#This Row],[Rep_ID]],Dim_Reps!A:A,Dim_Reps!E:E)</f>
        <v>EMEA</v>
      </c>
      <c r="S5776" t="str">
        <f>_xlfn.XLOOKUP(Pipeline_tbl[[#This Row],[Created_Date]],Dim_Date!A:A,Dim_Date!H:H)</f>
        <v>Dec 2024</v>
      </c>
      <c r="T5776" t="str">
        <f>IF(Pipeline_tbl[[#This Row],[Closed_Date]]=0,"",(_xlfn.XLOOKUP(Pipeline_tbl[[#This Row],[Closed_Date]],Dim_Date!A:A,Dim_Date!H:H)))</f>
        <v>Jan 2025</v>
      </c>
      <c r="U5776">
        <f>IF(Pipeline_tbl[[#This Row],[Closed_Date]]=0,"",Pipeline_tbl[[#This Row],[Closed_Date]]-Pipeline_tbl[[#This Row],[Created_Date]])</f>
        <v>19</v>
      </c>
    </row>
    <row r="5777" spans="1:21" ht="15" customHeight="1" x14ac:dyDescent="0.2">
      <c r="A5777" t="s">
        <v>6083</v>
      </c>
      <c r="B5777" t="s">
        <v>227</v>
      </c>
      <c r="C5777" t="s">
        <v>52</v>
      </c>
      <c r="D5777" s="49">
        <v>45646</v>
      </c>
      <c r="E5777" s="49">
        <v>45648</v>
      </c>
      <c r="I5777" s="49">
        <v>45662</v>
      </c>
      <c r="J5777" t="s">
        <v>49</v>
      </c>
      <c r="K5777" s="33">
        <v>2800</v>
      </c>
      <c r="L5777" t="s">
        <v>64</v>
      </c>
      <c r="M5777" t="str">
        <f>_xlfn.XLOOKUP(Pipeline_tbl[[#This Row],[Rep_ID]],Dim_Reps!A:A,Dim_Reps!K:K)</f>
        <v>EUR</v>
      </c>
      <c r="N5777" s="33">
        <f>(_xlfn.XLOOKUP(Pipeline_tbl[[#This Row],[Rate_Code_Generalized]],Lookups!A:A,Lookups!B:B))*Pipeline_tbl[[#This Row],[Pipeline_Amount_USD]]</f>
        <v>2800</v>
      </c>
      <c r="O5777" t="str">
        <f>_xlfn.XLOOKUP(Pipeline_tbl[[#This Row],[Rep_ID]],Dim_Reps!A:A,Dim_Reps!B:B)</f>
        <v>Liam Muller</v>
      </c>
      <c r="P5777" t="str">
        <f>_xlfn.XLOOKUP(Pipeline_tbl[[#This Row],[Rep_ID]],Dim_Reps!A:A,Dim_Reps!C:C)</f>
        <v>SDR / Inside Sales Rep</v>
      </c>
      <c r="Q5777" t="str">
        <f>_xlfn.XLOOKUP(Pipeline_tbl[[#This Row],[Rep_ID]],Dim_Reps!A:A,Dim_Reps!D:D)</f>
        <v>Inside Sales</v>
      </c>
      <c r="R5777" t="str">
        <f>_xlfn.XLOOKUP(Pipeline_tbl[[#This Row],[Rep_ID]],Dim_Reps!A:A,Dim_Reps!E:E)</f>
        <v>EMEA</v>
      </c>
      <c r="S5777" t="str">
        <f>_xlfn.XLOOKUP(Pipeline_tbl[[#This Row],[Created_Date]],Dim_Date!A:A,Dim_Date!H:H)</f>
        <v>Dec 2024</v>
      </c>
      <c r="T5777" t="str">
        <f>IF(Pipeline_tbl[[#This Row],[Closed_Date]]=0,"",(_xlfn.XLOOKUP(Pipeline_tbl[[#This Row],[Closed_Date]],Dim_Date!A:A,Dim_Date!H:H)))</f>
        <v>Jan 2025</v>
      </c>
      <c r="U5777">
        <f>IF(Pipeline_tbl[[#This Row],[Closed_Date]]=0,"",Pipeline_tbl[[#This Row],[Closed_Date]]-Pipeline_tbl[[#This Row],[Created_Date]])</f>
        <v>16</v>
      </c>
    </row>
    <row r="5778" spans="1:21" ht="15" customHeight="1" x14ac:dyDescent="0.2">
      <c r="A5778" t="s">
        <v>6084</v>
      </c>
      <c r="B5778" t="s">
        <v>227</v>
      </c>
      <c r="C5778" t="s">
        <v>53</v>
      </c>
      <c r="D5778" s="49">
        <v>45655</v>
      </c>
      <c r="E5778" s="49">
        <v>45656</v>
      </c>
      <c r="F5778" s="49">
        <v>45658</v>
      </c>
      <c r="G5778" s="49">
        <v>45660</v>
      </c>
      <c r="I5778" s="49">
        <v>45664</v>
      </c>
      <c r="J5778" t="s">
        <v>49</v>
      </c>
      <c r="K5778" s="33">
        <v>2300</v>
      </c>
      <c r="L5778" t="s">
        <v>61</v>
      </c>
      <c r="M5778" t="str">
        <f>_xlfn.XLOOKUP(Pipeline_tbl[[#This Row],[Rep_ID]],Dim_Reps!A:A,Dim_Reps!K:K)</f>
        <v>EUR</v>
      </c>
      <c r="N5778" s="33">
        <f>(_xlfn.XLOOKUP(Pipeline_tbl[[#This Row],[Rate_Code_Generalized]],Lookups!A:A,Lookups!B:B))*Pipeline_tbl[[#This Row],[Pipeline_Amount_USD]]</f>
        <v>2300</v>
      </c>
      <c r="O5778" t="str">
        <f>_xlfn.XLOOKUP(Pipeline_tbl[[#This Row],[Rep_ID]],Dim_Reps!A:A,Dim_Reps!B:B)</f>
        <v>Liam Muller</v>
      </c>
      <c r="P5778" t="str">
        <f>_xlfn.XLOOKUP(Pipeline_tbl[[#This Row],[Rep_ID]],Dim_Reps!A:A,Dim_Reps!C:C)</f>
        <v>SDR / Inside Sales Rep</v>
      </c>
      <c r="Q5778" t="str">
        <f>_xlfn.XLOOKUP(Pipeline_tbl[[#This Row],[Rep_ID]],Dim_Reps!A:A,Dim_Reps!D:D)</f>
        <v>Inside Sales</v>
      </c>
      <c r="R5778" t="str">
        <f>_xlfn.XLOOKUP(Pipeline_tbl[[#This Row],[Rep_ID]],Dim_Reps!A:A,Dim_Reps!E:E)</f>
        <v>EMEA</v>
      </c>
      <c r="S5778" t="str">
        <f>_xlfn.XLOOKUP(Pipeline_tbl[[#This Row],[Created_Date]],Dim_Date!A:A,Dim_Date!H:H)</f>
        <v>Dec 2024</v>
      </c>
      <c r="T5778" t="str">
        <f>IF(Pipeline_tbl[[#This Row],[Closed_Date]]=0,"",(_xlfn.XLOOKUP(Pipeline_tbl[[#This Row],[Closed_Date]],Dim_Date!A:A,Dim_Date!H:H)))</f>
        <v>Jan 2025</v>
      </c>
      <c r="U5778">
        <f>IF(Pipeline_tbl[[#This Row],[Closed_Date]]=0,"",Pipeline_tbl[[#This Row],[Closed_Date]]-Pipeline_tbl[[#This Row],[Created_Date]])</f>
        <v>9</v>
      </c>
    </row>
    <row r="5779" spans="1:21" ht="15" customHeight="1" x14ac:dyDescent="0.2">
      <c r="A5779" t="s">
        <v>6085</v>
      </c>
      <c r="B5779" t="s">
        <v>227</v>
      </c>
      <c r="C5779" t="s">
        <v>54</v>
      </c>
      <c r="D5779" s="49">
        <v>45641</v>
      </c>
      <c r="E5779" s="49">
        <v>45643</v>
      </c>
      <c r="F5779" s="49">
        <v>45646</v>
      </c>
      <c r="G5779" s="49">
        <v>45651</v>
      </c>
      <c r="H5779" s="49">
        <v>45655</v>
      </c>
      <c r="I5779" s="49">
        <v>45658</v>
      </c>
      <c r="J5779" t="s">
        <v>47</v>
      </c>
      <c r="K5779" s="33">
        <v>3300</v>
      </c>
      <c r="M5779" t="str">
        <f>_xlfn.XLOOKUP(Pipeline_tbl[[#This Row],[Rep_ID]],Dim_Reps!A:A,Dim_Reps!K:K)</f>
        <v>EUR</v>
      </c>
      <c r="N5779" s="33">
        <f>(_xlfn.XLOOKUP(Pipeline_tbl[[#This Row],[Rate_Code_Generalized]],Lookups!A:A,Lookups!B:B))*Pipeline_tbl[[#This Row],[Pipeline_Amount_USD]]</f>
        <v>3300</v>
      </c>
      <c r="O5779" t="str">
        <f>_xlfn.XLOOKUP(Pipeline_tbl[[#This Row],[Rep_ID]],Dim_Reps!A:A,Dim_Reps!B:B)</f>
        <v>Liam Muller</v>
      </c>
      <c r="P5779" t="str">
        <f>_xlfn.XLOOKUP(Pipeline_tbl[[#This Row],[Rep_ID]],Dim_Reps!A:A,Dim_Reps!C:C)</f>
        <v>SDR / Inside Sales Rep</v>
      </c>
      <c r="Q5779" t="str">
        <f>_xlfn.XLOOKUP(Pipeline_tbl[[#This Row],[Rep_ID]],Dim_Reps!A:A,Dim_Reps!D:D)</f>
        <v>Inside Sales</v>
      </c>
      <c r="R5779" t="str">
        <f>_xlfn.XLOOKUP(Pipeline_tbl[[#This Row],[Rep_ID]],Dim_Reps!A:A,Dim_Reps!E:E)</f>
        <v>EMEA</v>
      </c>
      <c r="S5779" t="str">
        <f>_xlfn.XLOOKUP(Pipeline_tbl[[#This Row],[Created_Date]],Dim_Date!A:A,Dim_Date!H:H)</f>
        <v>Dec 2024</v>
      </c>
      <c r="T5779" t="str">
        <f>IF(Pipeline_tbl[[#This Row],[Closed_Date]]=0,"",(_xlfn.XLOOKUP(Pipeline_tbl[[#This Row],[Closed_Date]],Dim_Date!A:A,Dim_Date!H:H)))</f>
        <v>Jan 2025</v>
      </c>
      <c r="U5779">
        <f>IF(Pipeline_tbl[[#This Row],[Closed_Date]]=0,"",Pipeline_tbl[[#This Row],[Closed_Date]]-Pipeline_tbl[[#This Row],[Created_Date]])</f>
        <v>17</v>
      </c>
    </row>
    <row r="5780" spans="1:21" ht="15" customHeight="1" x14ac:dyDescent="0.2">
      <c r="A5780" t="s">
        <v>6086</v>
      </c>
      <c r="B5780" t="s">
        <v>227</v>
      </c>
      <c r="C5780" t="s">
        <v>55</v>
      </c>
      <c r="D5780" s="49">
        <v>45645</v>
      </c>
      <c r="E5780" s="49">
        <v>45647</v>
      </c>
      <c r="F5780" s="49">
        <v>45652</v>
      </c>
      <c r="G5780" s="49">
        <v>45659</v>
      </c>
      <c r="H5780" s="49">
        <v>45665</v>
      </c>
      <c r="I5780" s="49">
        <v>45668</v>
      </c>
      <c r="J5780" t="s">
        <v>49</v>
      </c>
      <c r="K5780" s="33">
        <v>1600</v>
      </c>
      <c r="L5780" t="s">
        <v>60</v>
      </c>
      <c r="M5780" t="str">
        <f>_xlfn.XLOOKUP(Pipeline_tbl[[#This Row],[Rep_ID]],Dim_Reps!A:A,Dim_Reps!K:K)</f>
        <v>EUR</v>
      </c>
      <c r="N5780" s="33">
        <f>(_xlfn.XLOOKUP(Pipeline_tbl[[#This Row],[Rate_Code_Generalized]],Lookups!A:A,Lookups!B:B))*Pipeline_tbl[[#This Row],[Pipeline_Amount_USD]]</f>
        <v>1600</v>
      </c>
      <c r="O5780" t="str">
        <f>_xlfn.XLOOKUP(Pipeline_tbl[[#This Row],[Rep_ID]],Dim_Reps!A:A,Dim_Reps!B:B)</f>
        <v>Liam Muller</v>
      </c>
      <c r="P5780" t="str">
        <f>_xlfn.XLOOKUP(Pipeline_tbl[[#This Row],[Rep_ID]],Dim_Reps!A:A,Dim_Reps!C:C)</f>
        <v>SDR / Inside Sales Rep</v>
      </c>
      <c r="Q5780" t="str">
        <f>_xlfn.XLOOKUP(Pipeline_tbl[[#This Row],[Rep_ID]],Dim_Reps!A:A,Dim_Reps!D:D)</f>
        <v>Inside Sales</v>
      </c>
      <c r="R5780" t="str">
        <f>_xlfn.XLOOKUP(Pipeline_tbl[[#This Row],[Rep_ID]],Dim_Reps!A:A,Dim_Reps!E:E)</f>
        <v>EMEA</v>
      </c>
      <c r="S5780" t="str">
        <f>_xlfn.XLOOKUP(Pipeline_tbl[[#This Row],[Created_Date]],Dim_Date!A:A,Dim_Date!H:H)</f>
        <v>Dec 2024</v>
      </c>
      <c r="T5780" t="str">
        <f>IF(Pipeline_tbl[[#This Row],[Closed_Date]]=0,"",(_xlfn.XLOOKUP(Pipeline_tbl[[#This Row],[Closed_Date]],Dim_Date!A:A,Dim_Date!H:H)))</f>
        <v>Jan 2025</v>
      </c>
      <c r="U5780">
        <f>IF(Pipeline_tbl[[#This Row],[Closed_Date]]=0,"",Pipeline_tbl[[#This Row],[Closed_Date]]-Pipeline_tbl[[#This Row],[Created_Date]])</f>
        <v>23</v>
      </c>
    </row>
    <row r="5781" spans="1:21" ht="15" customHeight="1" x14ac:dyDescent="0.2">
      <c r="A5781" t="s">
        <v>6087</v>
      </c>
      <c r="B5781" t="s">
        <v>280</v>
      </c>
      <c r="C5781" t="s">
        <v>53</v>
      </c>
      <c r="D5781" s="49">
        <v>45630</v>
      </c>
      <c r="E5781" s="49">
        <v>45635</v>
      </c>
      <c r="F5781" s="49">
        <v>45644</v>
      </c>
      <c r="I5781" s="49">
        <v>45678</v>
      </c>
      <c r="J5781" t="s">
        <v>49</v>
      </c>
      <c r="K5781" s="33">
        <v>72300</v>
      </c>
      <c r="L5781" t="s">
        <v>64</v>
      </c>
      <c r="M5781" t="str">
        <f>_xlfn.XLOOKUP(Pipeline_tbl[[#This Row],[Rep_ID]],Dim_Reps!A:A,Dim_Reps!K:K)</f>
        <v>MXN</v>
      </c>
      <c r="N5781" s="33">
        <f>(_xlfn.XLOOKUP(Pipeline_tbl[[#This Row],[Rate_Code_Generalized]],Lookups!A:A,Lookups!B:B))*Pipeline_tbl[[#This Row],[Pipeline_Amount_USD]]</f>
        <v>1426674.2100000002</v>
      </c>
      <c r="O5781" t="str">
        <f>_xlfn.XLOOKUP(Pipeline_tbl[[#This Row],[Rep_ID]],Dim_Reps!A:A,Dim_Reps!B:B)</f>
        <v>Cameron Lund</v>
      </c>
      <c r="P5781" t="str">
        <f>_xlfn.XLOOKUP(Pipeline_tbl[[#This Row],[Rep_ID]],Dim_Reps!A:A,Dim_Reps!C:C)</f>
        <v>Senior Enterprise AE</v>
      </c>
      <c r="Q5781" t="str">
        <f>_xlfn.XLOOKUP(Pipeline_tbl[[#This Row],[Rep_ID]],Dim_Reps!A:A,Dim_Reps!D:D)</f>
        <v>Strategic</v>
      </c>
      <c r="R5781" t="str">
        <f>_xlfn.XLOOKUP(Pipeline_tbl[[#This Row],[Rep_ID]],Dim_Reps!A:A,Dim_Reps!E:E)</f>
        <v>LATAM</v>
      </c>
      <c r="S5781" t="str">
        <f>_xlfn.XLOOKUP(Pipeline_tbl[[#This Row],[Created_Date]],Dim_Date!A:A,Dim_Date!H:H)</f>
        <v>Dec 2024</v>
      </c>
      <c r="T5781" t="str">
        <f>IF(Pipeline_tbl[[#This Row],[Closed_Date]]=0,"",(_xlfn.XLOOKUP(Pipeline_tbl[[#This Row],[Closed_Date]],Dim_Date!A:A,Dim_Date!H:H)))</f>
        <v>Jan 2025</v>
      </c>
      <c r="U5781">
        <f>IF(Pipeline_tbl[[#This Row],[Closed_Date]]=0,"",Pipeline_tbl[[#This Row],[Closed_Date]]-Pipeline_tbl[[#This Row],[Created_Date]])</f>
        <v>48</v>
      </c>
    </row>
    <row r="5782" spans="1:21" ht="15" customHeight="1" x14ac:dyDescent="0.2">
      <c r="A5782" t="s">
        <v>6088</v>
      </c>
      <c r="B5782" t="s">
        <v>191</v>
      </c>
      <c r="C5782" t="s">
        <v>52</v>
      </c>
      <c r="D5782" s="49">
        <v>45637</v>
      </c>
      <c r="E5782" s="49">
        <v>45641</v>
      </c>
      <c r="I5782" s="49">
        <v>45679</v>
      </c>
      <c r="J5782" t="s">
        <v>49</v>
      </c>
      <c r="K5782" s="33">
        <v>30900</v>
      </c>
      <c r="L5782" t="s">
        <v>62</v>
      </c>
      <c r="M5782" t="str">
        <f>_xlfn.XLOOKUP(Pipeline_tbl[[#This Row],[Rep_ID]],Dim_Reps!A:A,Dim_Reps!K:K)</f>
        <v>USD</v>
      </c>
      <c r="N5782" s="33">
        <f>(_xlfn.XLOOKUP(Pipeline_tbl[[#This Row],[Rate_Code_Generalized]],Lookups!A:A,Lookups!B:B))*Pipeline_tbl[[#This Row],[Pipeline_Amount_USD]]</f>
        <v>35976.869999999995</v>
      </c>
      <c r="O5782" t="str">
        <f>_xlfn.XLOOKUP(Pipeline_tbl[[#This Row],[Rep_ID]],Dim_Reps!A:A,Dim_Reps!B:B)</f>
        <v>Zara Duarte</v>
      </c>
      <c r="P5782" t="str">
        <f>_xlfn.XLOOKUP(Pipeline_tbl[[#This Row],[Rep_ID]],Dim_Reps!A:A,Dim_Reps!C:C)</f>
        <v>Enterprise AE</v>
      </c>
      <c r="Q5782" t="str">
        <f>_xlfn.XLOOKUP(Pipeline_tbl[[#This Row],[Rep_ID]],Dim_Reps!A:A,Dim_Reps!D:D)</f>
        <v>Enterprise</v>
      </c>
      <c r="R5782" t="str">
        <f>_xlfn.XLOOKUP(Pipeline_tbl[[#This Row],[Rep_ID]],Dim_Reps!A:A,Dim_Reps!E:E)</f>
        <v>NAMER</v>
      </c>
      <c r="S5782" t="str">
        <f>_xlfn.XLOOKUP(Pipeline_tbl[[#This Row],[Created_Date]],Dim_Date!A:A,Dim_Date!H:H)</f>
        <v>Dec 2024</v>
      </c>
      <c r="T5782" t="str">
        <f>IF(Pipeline_tbl[[#This Row],[Closed_Date]]=0,"",(_xlfn.XLOOKUP(Pipeline_tbl[[#This Row],[Closed_Date]],Dim_Date!A:A,Dim_Date!H:H)))</f>
        <v>Jan 2025</v>
      </c>
      <c r="U5782">
        <f>IF(Pipeline_tbl[[#This Row],[Closed_Date]]=0,"",Pipeline_tbl[[#This Row],[Closed_Date]]-Pipeline_tbl[[#This Row],[Created_Date]])</f>
        <v>42</v>
      </c>
    </row>
    <row r="5783" spans="1:21" ht="15" customHeight="1" x14ac:dyDescent="0.2">
      <c r="A5783" t="s">
        <v>6089</v>
      </c>
      <c r="B5783" t="s">
        <v>191</v>
      </c>
      <c r="C5783" t="s">
        <v>53</v>
      </c>
      <c r="D5783" s="49">
        <v>45655</v>
      </c>
      <c r="E5783" s="49">
        <v>45657</v>
      </c>
      <c r="I5783" s="49">
        <v>45672</v>
      </c>
      <c r="J5783" t="s">
        <v>49</v>
      </c>
      <c r="K5783" s="33">
        <v>21600</v>
      </c>
      <c r="L5783" t="s">
        <v>61</v>
      </c>
      <c r="M5783" t="str">
        <f>_xlfn.XLOOKUP(Pipeline_tbl[[#This Row],[Rep_ID]],Dim_Reps!A:A,Dim_Reps!K:K)</f>
        <v>USD</v>
      </c>
      <c r="N5783" s="33">
        <f>(_xlfn.XLOOKUP(Pipeline_tbl[[#This Row],[Rate_Code_Generalized]],Lookups!A:A,Lookups!B:B))*Pipeline_tbl[[#This Row],[Pipeline_Amount_USD]]</f>
        <v>25148.879999999997</v>
      </c>
      <c r="O5783" t="str">
        <f>_xlfn.XLOOKUP(Pipeline_tbl[[#This Row],[Rep_ID]],Dim_Reps!A:A,Dim_Reps!B:B)</f>
        <v>Zara Duarte</v>
      </c>
      <c r="P5783" t="str">
        <f>_xlfn.XLOOKUP(Pipeline_tbl[[#This Row],[Rep_ID]],Dim_Reps!A:A,Dim_Reps!C:C)</f>
        <v>Enterprise AE</v>
      </c>
      <c r="Q5783" t="str">
        <f>_xlfn.XLOOKUP(Pipeline_tbl[[#This Row],[Rep_ID]],Dim_Reps!A:A,Dim_Reps!D:D)</f>
        <v>Enterprise</v>
      </c>
      <c r="R5783" t="str">
        <f>_xlfn.XLOOKUP(Pipeline_tbl[[#This Row],[Rep_ID]],Dim_Reps!A:A,Dim_Reps!E:E)</f>
        <v>NAMER</v>
      </c>
      <c r="S5783" t="str">
        <f>_xlfn.XLOOKUP(Pipeline_tbl[[#This Row],[Created_Date]],Dim_Date!A:A,Dim_Date!H:H)</f>
        <v>Dec 2024</v>
      </c>
      <c r="T5783" t="str">
        <f>IF(Pipeline_tbl[[#This Row],[Closed_Date]]=0,"",(_xlfn.XLOOKUP(Pipeline_tbl[[#This Row],[Closed_Date]],Dim_Date!A:A,Dim_Date!H:H)))</f>
        <v>Jan 2025</v>
      </c>
      <c r="U5783">
        <f>IF(Pipeline_tbl[[#This Row],[Closed_Date]]=0,"",Pipeline_tbl[[#This Row],[Closed_Date]]-Pipeline_tbl[[#This Row],[Created_Date]])</f>
        <v>17</v>
      </c>
    </row>
    <row r="5784" spans="1:21" ht="15" customHeight="1" x14ac:dyDescent="0.2">
      <c r="A5784" t="s">
        <v>6090</v>
      </c>
      <c r="B5784" t="s">
        <v>229</v>
      </c>
      <c r="C5784" t="s">
        <v>54</v>
      </c>
      <c r="D5784" s="49">
        <v>45656</v>
      </c>
      <c r="E5784" s="49">
        <v>45658</v>
      </c>
      <c r="F5784" s="49">
        <v>45663</v>
      </c>
      <c r="G5784" s="49">
        <v>45670</v>
      </c>
      <c r="H5784" s="49">
        <v>45676</v>
      </c>
      <c r="I5784" s="49">
        <v>45679</v>
      </c>
      <c r="J5784" t="s">
        <v>49</v>
      </c>
      <c r="K5784" s="33">
        <v>3700</v>
      </c>
      <c r="L5784" t="s">
        <v>62</v>
      </c>
      <c r="M5784" t="str">
        <f>_xlfn.XLOOKUP(Pipeline_tbl[[#This Row],[Rep_ID]],Dim_Reps!A:A,Dim_Reps!K:K)</f>
        <v>USD</v>
      </c>
      <c r="N5784" s="33">
        <f>(_xlfn.XLOOKUP(Pipeline_tbl[[#This Row],[Rate_Code_Generalized]],Lookups!A:A,Lookups!B:B))*Pipeline_tbl[[#This Row],[Pipeline_Amount_USD]]</f>
        <v>4307.91</v>
      </c>
      <c r="O5784" t="str">
        <f>_xlfn.XLOOKUP(Pipeline_tbl[[#This Row],[Rep_ID]],Dim_Reps!A:A,Dim_Reps!B:B)</f>
        <v>Liam Castro</v>
      </c>
      <c r="P5784" t="str">
        <f>_xlfn.XLOOKUP(Pipeline_tbl[[#This Row],[Rep_ID]],Dim_Reps!A:A,Dim_Reps!C:C)</f>
        <v>SDR / Inside Sales Rep</v>
      </c>
      <c r="Q5784" t="str">
        <f>_xlfn.XLOOKUP(Pipeline_tbl[[#This Row],[Rep_ID]],Dim_Reps!A:A,Dim_Reps!D:D)</f>
        <v>Inside Sales</v>
      </c>
      <c r="R5784" t="str">
        <f>_xlfn.XLOOKUP(Pipeline_tbl[[#This Row],[Rep_ID]],Dim_Reps!A:A,Dim_Reps!E:E)</f>
        <v>NAMER</v>
      </c>
      <c r="S5784" t="str">
        <f>_xlfn.XLOOKUP(Pipeline_tbl[[#This Row],[Created_Date]],Dim_Date!A:A,Dim_Date!H:H)</f>
        <v>Dec 2024</v>
      </c>
      <c r="T5784" t="str">
        <f>IF(Pipeline_tbl[[#This Row],[Closed_Date]]=0,"",(_xlfn.XLOOKUP(Pipeline_tbl[[#This Row],[Closed_Date]],Dim_Date!A:A,Dim_Date!H:H)))</f>
        <v>Jan 2025</v>
      </c>
      <c r="U5784">
        <f>IF(Pipeline_tbl[[#This Row],[Closed_Date]]=0,"",Pipeline_tbl[[#This Row],[Closed_Date]]-Pipeline_tbl[[#This Row],[Created_Date]])</f>
        <v>23</v>
      </c>
    </row>
    <row r="5785" spans="1:21" ht="15" customHeight="1" x14ac:dyDescent="0.2">
      <c r="A5785" t="s">
        <v>6091</v>
      </c>
      <c r="B5785" t="s">
        <v>229</v>
      </c>
      <c r="C5785" t="s">
        <v>55</v>
      </c>
      <c r="D5785" s="49">
        <v>45637</v>
      </c>
      <c r="E5785" s="49">
        <v>45639</v>
      </c>
      <c r="F5785" s="49">
        <v>45644</v>
      </c>
      <c r="G5785" s="49">
        <v>45651</v>
      </c>
      <c r="I5785" s="49">
        <v>45661</v>
      </c>
      <c r="J5785" t="s">
        <v>49</v>
      </c>
      <c r="K5785" s="33">
        <v>7800</v>
      </c>
      <c r="L5785" t="s">
        <v>64</v>
      </c>
      <c r="M5785" t="str">
        <f>_xlfn.XLOOKUP(Pipeline_tbl[[#This Row],[Rep_ID]],Dim_Reps!A:A,Dim_Reps!K:K)</f>
        <v>USD</v>
      </c>
      <c r="N5785" s="33">
        <f>(_xlfn.XLOOKUP(Pipeline_tbl[[#This Row],[Rate_Code_Generalized]],Lookups!A:A,Lookups!B:B))*Pipeline_tbl[[#This Row],[Pipeline_Amount_USD]]</f>
        <v>9081.5399999999991</v>
      </c>
      <c r="O5785" t="str">
        <f>_xlfn.XLOOKUP(Pipeline_tbl[[#This Row],[Rep_ID]],Dim_Reps!A:A,Dim_Reps!B:B)</f>
        <v>Liam Castro</v>
      </c>
      <c r="P5785" t="str">
        <f>_xlfn.XLOOKUP(Pipeline_tbl[[#This Row],[Rep_ID]],Dim_Reps!A:A,Dim_Reps!C:C)</f>
        <v>SDR / Inside Sales Rep</v>
      </c>
      <c r="Q5785" t="str">
        <f>_xlfn.XLOOKUP(Pipeline_tbl[[#This Row],[Rep_ID]],Dim_Reps!A:A,Dim_Reps!D:D)</f>
        <v>Inside Sales</v>
      </c>
      <c r="R5785" t="str">
        <f>_xlfn.XLOOKUP(Pipeline_tbl[[#This Row],[Rep_ID]],Dim_Reps!A:A,Dim_Reps!E:E)</f>
        <v>NAMER</v>
      </c>
      <c r="S5785" t="str">
        <f>_xlfn.XLOOKUP(Pipeline_tbl[[#This Row],[Created_Date]],Dim_Date!A:A,Dim_Date!H:H)</f>
        <v>Dec 2024</v>
      </c>
      <c r="T5785" t="str">
        <f>IF(Pipeline_tbl[[#This Row],[Closed_Date]]=0,"",(_xlfn.XLOOKUP(Pipeline_tbl[[#This Row],[Closed_Date]],Dim_Date!A:A,Dim_Date!H:H)))</f>
        <v>Jan 2025</v>
      </c>
      <c r="U5785">
        <f>IF(Pipeline_tbl[[#This Row],[Closed_Date]]=0,"",Pipeline_tbl[[#This Row],[Closed_Date]]-Pipeline_tbl[[#This Row],[Created_Date]])</f>
        <v>24</v>
      </c>
    </row>
    <row r="5786" spans="1:21" ht="15" customHeight="1" x14ac:dyDescent="0.2">
      <c r="A5786" t="s">
        <v>6092</v>
      </c>
      <c r="B5786" t="s">
        <v>229</v>
      </c>
      <c r="C5786" t="s">
        <v>55</v>
      </c>
      <c r="D5786" s="49">
        <v>45654</v>
      </c>
      <c r="E5786" s="49">
        <v>45656</v>
      </c>
      <c r="F5786" s="49">
        <v>45659</v>
      </c>
      <c r="G5786" s="49">
        <v>45664</v>
      </c>
      <c r="I5786" s="49">
        <v>45670</v>
      </c>
      <c r="J5786" t="s">
        <v>49</v>
      </c>
      <c r="K5786" s="33">
        <v>3100</v>
      </c>
      <c r="L5786" t="s">
        <v>63</v>
      </c>
      <c r="M5786" t="str">
        <f>_xlfn.XLOOKUP(Pipeline_tbl[[#This Row],[Rep_ID]],Dim_Reps!A:A,Dim_Reps!K:K)</f>
        <v>USD</v>
      </c>
      <c r="N5786" s="33">
        <f>(_xlfn.XLOOKUP(Pipeline_tbl[[#This Row],[Rate_Code_Generalized]],Lookups!A:A,Lookups!B:B))*Pipeline_tbl[[#This Row],[Pipeline_Amount_USD]]</f>
        <v>3609.3299999999995</v>
      </c>
      <c r="O5786" t="str">
        <f>_xlfn.XLOOKUP(Pipeline_tbl[[#This Row],[Rep_ID]],Dim_Reps!A:A,Dim_Reps!B:B)</f>
        <v>Liam Castro</v>
      </c>
      <c r="P5786" t="str">
        <f>_xlfn.XLOOKUP(Pipeline_tbl[[#This Row],[Rep_ID]],Dim_Reps!A:A,Dim_Reps!C:C)</f>
        <v>SDR / Inside Sales Rep</v>
      </c>
      <c r="Q5786" t="str">
        <f>_xlfn.XLOOKUP(Pipeline_tbl[[#This Row],[Rep_ID]],Dim_Reps!A:A,Dim_Reps!D:D)</f>
        <v>Inside Sales</v>
      </c>
      <c r="R5786" t="str">
        <f>_xlfn.XLOOKUP(Pipeline_tbl[[#This Row],[Rep_ID]],Dim_Reps!A:A,Dim_Reps!E:E)</f>
        <v>NAMER</v>
      </c>
      <c r="S5786" t="str">
        <f>_xlfn.XLOOKUP(Pipeline_tbl[[#This Row],[Created_Date]],Dim_Date!A:A,Dim_Date!H:H)</f>
        <v>Dec 2024</v>
      </c>
      <c r="T5786" t="str">
        <f>IF(Pipeline_tbl[[#This Row],[Closed_Date]]=0,"",(_xlfn.XLOOKUP(Pipeline_tbl[[#This Row],[Closed_Date]],Dim_Date!A:A,Dim_Date!H:H)))</f>
        <v>Jan 2025</v>
      </c>
      <c r="U5786">
        <f>IF(Pipeline_tbl[[#This Row],[Closed_Date]]=0,"",Pipeline_tbl[[#This Row],[Closed_Date]]-Pipeline_tbl[[#This Row],[Created_Date]])</f>
        <v>16</v>
      </c>
    </row>
    <row r="5787" spans="1:21" ht="15" customHeight="1" x14ac:dyDescent="0.2">
      <c r="A5787" t="s">
        <v>6093</v>
      </c>
      <c r="B5787" t="s">
        <v>229</v>
      </c>
      <c r="C5787" t="s">
        <v>56</v>
      </c>
      <c r="D5787" s="49">
        <v>45653</v>
      </c>
      <c r="E5787" s="49">
        <v>45655</v>
      </c>
      <c r="F5787" s="49">
        <v>45660</v>
      </c>
      <c r="G5787" s="49">
        <v>45667</v>
      </c>
      <c r="H5787" s="49">
        <v>45673</v>
      </c>
      <c r="I5787" s="49">
        <v>45676</v>
      </c>
      <c r="J5787" t="s">
        <v>47</v>
      </c>
      <c r="K5787" s="33">
        <v>4700</v>
      </c>
      <c r="M5787" t="str">
        <f>_xlfn.XLOOKUP(Pipeline_tbl[[#This Row],[Rep_ID]],Dim_Reps!A:A,Dim_Reps!K:K)</f>
        <v>USD</v>
      </c>
      <c r="N5787" s="33">
        <f>(_xlfn.XLOOKUP(Pipeline_tbl[[#This Row],[Rate_Code_Generalized]],Lookups!A:A,Lookups!B:B))*Pipeline_tbl[[#This Row],[Pipeline_Amount_USD]]</f>
        <v>5472.2099999999991</v>
      </c>
      <c r="O5787" t="str">
        <f>_xlfn.XLOOKUP(Pipeline_tbl[[#This Row],[Rep_ID]],Dim_Reps!A:A,Dim_Reps!B:B)</f>
        <v>Liam Castro</v>
      </c>
      <c r="P5787" t="str">
        <f>_xlfn.XLOOKUP(Pipeline_tbl[[#This Row],[Rep_ID]],Dim_Reps!A:A,Dim_Reps!C:C)</f>
        <v>SDR / Inside Sales Rep</v>
      </c>
      <c r="Q5787" t="str">
        <f>_xlfn.XLOOKUP(Pipeline_tbl[[#This Row],[Rep_ID]],Dim_Reps!A:A,Dim_Reps!D:D)</f>
        <v>Inside Sales</v>
      </c>
      <c r="R5787" t="str">
        <f>_xlfn.XLOOKUP(Pipeline_tbl[[#This Row],[Rep_ID]],Dim_Reps!A:A,Dim_Reps!E:E)</f>
        <v>NAMER</v>
      </c>
      <c r="S5787" t="str">
        <f>_xlfn.XLOOKUP(Pipeline_tbl[[#This Row],[Created_Date]],Dim_Date!A:A,Dim_Date!H:H)</f>
        <v>Dec 2024</v>
      </c>
      <c r="T5787" t="str">
        <f>IF(Pipeline_tbl[[#This Row],[Closed_Date]]=0,"",(_xlfn.XLOOKUP(Pipeline_tbl[[#This Row],[Closed_Date]],Dim_Date!A:A,Dim_Date!H:H)))</f>
        <v>Jan 2025</v>
      </c>
      <c r="U5787">
        <f>IF(Pipeline_tbl[[#This Row],[Closed_Date]]=0,"",Pipeline_tbl[[#This Row],[Closed_Date]]-Pipeline_tbl[[#This Row],[Created_Date]])</f>
        <v>23</v>
      </c>
    </row>
    <row r="5788" spans="1:21" ht="15" customHeight="1" x14ac:dyDescent="0.2">
      <c r="A5788" t="s">
        <v>6094</v>
      </c>
      <c r="B5788" t="s">
        <v>229</v>
      </c>
      <c r="C5788" t="s">
        <v>52</v>
      </c>
      <c r="D5788" s="49">
        <v>45645</v>
      </c>
      <c r="E5788" s="49">
        <v>45647</v>
      </c>
      <c r="F5788" s="49">
        <v>45651</v>
      </c>
      <c r="G5788" s="49">
        <v>45658</v>
      </c>
      <c r="H5788" s="49">
        <v>45663</v>
      </c>
      <c r="I5788" s="49">
        <v>45666</v>
      </c>
      <c r="J5788" t="s">
        <v>47</v>
      </c>
      <c r="K5788" s="33">
        <v>2600</v>
      </c>
      <c r="M5788" t="str">
        <f>_xlfn.XLOOKUP(Pipeline_tbl[[#This Row],[Rep_ID]],Dim_Reps!A:A,Dim_Reps!K:K)</f>
        <v>USD</v>
      </c>
      <c r="N5788" s="33">
        <f>(_xlfn.XLOOKUP(Pipeline_tbl[[#This Row],[Rate_Code_Generalized]],Lookups!A:A,Lookups!B:B))*Pipeline_tbl[[#This Row],[Pipeline_Amount_USD]]</f>
        <v>3027.18</v>
      </c>
      <c r="O5788" t="str">
        <f>_xlfn.XLOOKUP(Pipeline_tbl[[#This Row],[Rep_ID]],Dim_Reps!A:A,Dim_Reps!B:B)</f>
        <v>Liam Castro</v>
      </c>
      <c r="P5788" t="str">
        <f>_xlfn.XLOOKUP(Pipeline_tbl[[#This Row],[Rep_ID]],Dim_Reps!A:A,Dim_Reps!C:C)</f>
        <v>SDR / Inside Sales Rep</v>
      </c>
      <c r="Q5788" t="str">
        <f>_xlfn.XLOOKUP(Pipeline_tbl[[#This Row],[Rep_ID]],Dim_Reps!A:A,Dim_Reps!D:D)</f>
        <v>Inside Sales</v>
      </c>
      <c r="R5788" t="str">
        <f>_xlfn.XLOOKUP(Pipeline_tbl[[#This Row],[Rep_ID]],Dim_Reps!A:A,Dim_Reps!E:E)</f>
        <v>NAMER</v>
      </c>
      <c r="S5788" t="str">
        <f>_xlfn.XLOOKUP(Pipeline_tbl[[#This Row],[Created_Date]],Dim_Date!A:A,Dim_Date!H:H)</f>
        <v>Dec 2024</v>
      </c>
      <c r="T5788" t="str">
        <f>IF(Pipeline_tbl[[#This Row],[Closed_Date]]=0,"",(_xlfn.XLOOKUP(Pipeline_tbl[[#This Row],[Closed_Date]],Dim_Date!A:A,Dim_Date!H:H)))</f>
        <v>Jan 2025</v>
      </c>
      <c r="U5788">
        <f>IF(Pipeline_tbl[[#This Row],[Closed_Date]]=0,"",Pipeline_tbl[[#This Row],[Closed_Date]]-Pipeline_tbl[[#This Row],[Created_Date]])</f>
        <v>21</v>
      </c>
    </row>
    <row r="5789" spans="1:21" ht="15" customHeight="1" x14ac:dyDescent="0.2">
      <c r="A5789" t="s">
        <v>6095</v>
      </c>
      <c r="B5789" t="s">
        <v>229</v>
      </c>
      <c r="C5789" t="s">
        <v>55</v>
      </c>
      <c r="D5789" s="49">
        <v>45640</v>
      </c>
      <c r="E5789" s="49">
        <v>45642</v>
      </c>
      <c r="F5789" s="49">
        <v>45646</v>
      </c>
      <c r="I5789" s="49">
        <v>45659</v>
      </c>
      <c r="J5789" t="s">
        <v>49</v>
      </c>
      <c r="K5789" s="33">
        <v>3200</v>
      </c>
      <c r="L5789" t="s">
        <v>60</v>
      </c>
      <c r="M5789" t="str">
        <f>_xlfn.XLOOKUP(Pipeline_tbl[[#This Row],[Rep_ID]],Dim_Reps!A:A,Dim_Reps!K:K)</f>
        <v>USD</v>
      </c>
      <c r="N5789" s="33">
        <f>(_xlfn.XLOOKUP(Pipeline_tbl[[#This Row],[Rate_Code_Generalized]],Lookups!A:A,Lookups!B:B))*Pipeline_tbl[[#This Row],[Pipeline_Amount_USD]]</f>
        <v>3725.7599999999998</v>
      </c>
      <c r="O5789" t="str">
        <f>_xlfn.XLOOKUP(Pipeline_tbl[[#This Row],[Rep_ID]],Dim_Reps!A:A,Dim_Reps!B:B)</f>
        <v>Liam Castro</v>
      </c>
      <c r="P5789" t="str">
        <f>_xlfn.XLOOKUP(Pipeline_tbl[[#This Row],[Rep_ID]],Dim_Reps!A:A,Dim_Reps!C:C)</f>
        <v>SDR / Inside Sales Rep</v>
      </c>
      <c r="Q5789" t="str">
        <f>_xlfn.XLOOKUP(Pipeline_tbl[[#This Row],[Rep_ID]],Dim_Reps!A:A,Dim_Reps!D:D)</f>
        <v>Inside Sales</v>
      </c>
      <c r="R5789" t="str">
        <f>_xlfn.XLOOKUP(Pipeline_tbl[[#This Row],[Rep_ID]],Dim_Reps!A:A,Dim_Reps!E:E)</f>
        <v>NAMER</v>
      </c>
      <c r="S5789" t="str">
        <f>_xlfn.XLOOKUP(Pipeline_tbl[[#This Row],[Created_Date]],Dim_Date!A:A,Dim_Date!H:H)</f>
        <v>Dec 2024</v>
      </c>
      <c r="T5789" t="str">
        <f>IF(Pipeline_tbl[[#This Row],[Closed_Date]]=0,"",(_xlfn.XLOOKUP(Pipeline_tbl[[#This Row],[Closed_Date]],Dim_Date!A:A,Dim_Date!H:H)))</f>
        <v>Jan 2025</v>
      </c>
      <c r="U5789">
        <f>IF(Pipeline_tbl[[#This Row],[Closed_Date]]=0,"",Pipeline_tbl[[#This Row],[Closed_Date]]-Pipeline_tbl[[#This Row],[Created_Date]])</f>
        <v>19</v>
      </c>
    </row>
    <row r="5790" spans="1:21" ht="15" customHeight="1" x14ac:dyDescent="0.2">
      <c r="A5790" t="s">
        <v>6096</v>
      </c>
      <c r="B5790" t="s">
        <v>229</v>
      </c>
      <c r="C5790" t="s">
        <v>52</v>
      </c>
      <c r="D5790" s="49">
        <v>45644</v>
      </c>
      <c r="E5790" s="49">
        <v>45646</v>
      </c>
      <c r="F5790" s="49">
        <v>45651</v>
      </c>
      <c r="G5790" s="49">
        <v>45658</v>
      </c>
      <c r="H5790" s="49">
        <v>45664</v>
      </c>
      <c r="I5790" s="49">
        <v>45668</v>
      </c>
      <c r="J5790" t="s">
        <v>49</v>
      </c>
      <c r="K5790" s="33">
        <v>7500</v>
      </c>
      <c r="L5790" t="s">
        <v>60</v>
      </c>
      <c r="M5790" t="str">
        <f>_xlfn.XLOOKUP(Pipeline_tbl[[#This Row],[Rep_ID]],Dim_Reps!A:A,Dim_Reps!K:K)</f>
        <v>USD</v>
      </c>
      <c r="N5790" s="33">
        <f>(_xlfn.XLOOKUP(Pipeline_tbl[[#This Row],[Rate_Code_Generalized]],Lookups!A:A,Lookups!B:B))*Pipeline_tbl[[#This Row],[Pipeline_Amount_USD]]</f>
        <v>8732.25</v>
      </c>
      <c r="O5790" t="str">
        <f>_xlfn.XLOOKUP(Pipeline_tbl[[#This Row],[Rep_ID]],Dim_Reps!A:A,Dim_Reps!B:B)</f>
        <v>Liam Castro</v>
      </c>
      <c r="P5790" t="str">
        <f>_xlfn.XLOOKUP(Pipeline_tbl[[#This Row],[Rep_ID]],Dim_Reps!A:A,Dim_Reps!C:C)</f>
        <v>SDR / Inside Sales Rep</v>
      </c>
      <c r="Q5790" t="str">
        <f>_xlfn.XLOOKUP(Pipeline_tbl[[#This Row],[Rep_ID]],Dim_Reps!A:A,Dim_Reps!D:D)</f>
        <v>Inside Sales</v>
      </c>
      <c r="R5790" t="str">
        <f>_xlfn.XLOOKUP(Pipeline_tbl[[#This Row],[Rep_ID]],Dim_Reps!A:A,Dim_Reps!E:E)</f>
        <v>NAMER</v>
      </c>
      <c r="S5790" t="str">
        <f>_xlfn.XLOOKUP(Pipeline_tbl[[#This Row],[Created_Date]],Dim_Date!A:A,Dim_Date!H:H)</f>
        <v>Dec 2024</v>
      </c>
      <c r="T5790" t="str">
        <f>IF(Pipeline_tbl[[#This Row],[Closed_Date]]=0,"",(_xlfn.XLOOKUP(Pipeline_tbl[[#This Row],[Closed_Date]],Dim_Date!A:A,Dim_Date!H:H)))</f>
        <v>Jan 2025</v>
      </c>
      <c r="U5790">
        <f>IF(Pipeline_tbl[[#This Row],[Closed_Date]]=0,"",Pipeline_tbl[[#This Row],[Closed_Date]]-Pipeline_tbl[[#This Row],[Created_Date]])</f>
        <v>24</v>
      </c>
    </row>
    <row r="5791" spans="1:21" ht="15" customHeight="1" x14ac:dyDescent="0.2">
      <c r="A5791" t="s">
        <v>6097</v>
      </c>
      <c r="B5791" t="s">
        <v>229</v>
      </c>
      <c r="C5791" t="s">
        <v>53</v>
      </c>
      <c r="D5791" s="49">
        <v>45648</v>
      </c>
      <c r="E5791" s="49">
        <v>45649</v>
      </c>
      <c r="F5791" s="49">
        <v>45651</v>
      </c>
      <c r="G5791" s="49">
        <v>45654</v>
      </c>
      <c r="H5791" s="49">
        <v>45656</v>
      </c>
      <c r="I5791" s="49">
        <v>45658</v>
      </c>
      <c r="J5791" t="s">
        <v>49</v>
      </c>
      <c r="K5791" s="33">
        <v>2300</v>
      </c>
      <c r="L5791" t="s">
        <v>64</v>
      </c>
      <c r="M5791" t="str">
        <f>_xlfn.XLOOKUP(Pipeline_tbl[[#This Row],[Rep_ID]],Dim_Reps!A:A,Dim_Reps!K:K)</f>
        <v>USD</v>
      </c>
      <c r="N5791" s="33">
        <f>(_xlfn.XLOOKUP(Pipeline_tbl[[#This Row],[Rate_Code_Generalized]],Lookups!A:A,Lookups!B:B))*Pipeline_tbl[[#This Row],[Pipeline_Amount_USD]]</f>
        <v>2677.89</v>
      </c>
      <c r="O5791" t="str">
        <f>_xlfn.XLOOKUP(Pipeline_tbl[[#This Row],[Rep_ID]],Dim_Reps!A:A,Dim_Reps!B:B)</f>
        <v>Liam Castro</v>
      </c>
      <c r="P5791" t="str">
        <f>_xlfn.XLOOKUP(Pipeline_tbl[[#This Row],[Rep_ID]],Dim_Reps!A:A,Dim_Reps!C:C)</f>
        <v>SDR / Inside Sales Rep</v>
      </c>
      <c r="Q5791" t="str">
        <f>_xlfn.XLOOKUP(Pipeline_tbl[[#This Row],[Rep_ID]],Dim_Reps!A:A,Dim_Reps!D:D)</f>
        <v>Inside Sales</v>
      </c>
      <c r="R5791" t="str">
        <f>_xlfn.XLOOKUP(Pipeline_tbl[[#This Row],[Rep_ID]],Dim_Reps!A:A,Dim_Reps!E:E)</f>
        <v>NAMER</v>
      </c>
      <c r="S5791" t="str">
        <f>_xlfn.XLOOKUP(Pipeline_tbl[[#This Row],[Created_Date]],Dim_Date!A:A,Dim_Date!H:H)</f>
        <v>Dec 2024</v>
      </c>
      <c r="T5791" t="str">
        <f>IF(Pipeline_tbl[[#This Row],[Closed_Date]]=0,"",(_xlfn.XLOOKUP(Pipeline_tbl[[#This Row],[Closed_Date]],Dim_Date!A:A,Dim_Date!H:H)))</f>
        <v>Jan 2025</v>
      </c>
      <c r="U5791">
        <f>IF(Pipeline_tbl[[#This Row],[Closed_Date]]=0,"",Pipeline_tbl[[#This Row],[Closed_Date]]-Pipeline_tbl[[#This Row],[Created_Date]])</f>
        <v>10</v>
      </c>
    </row>
    <row r="5792" spans="1:21" ht="15" customHeight="1" x14ac:dyDescent="0.2">
      <c r="A5792" t="s">
        <v>6098</v>
      </c>
      <c r="B5792" t="s">
        <v>231</v>
      </c>
      <c r="C5792" t="s">
        <v>55</v>
      </c>
      <c r="D5792" s="49">
        <v>45655</v>
      </c>
      <c r="E5792" s="49">
        <v>45657</v>
      </c>
      <c r="F5792" s="49">
        <v>45661</v>
      </c>
      <c r="I5792" s="49">
        <v>45676</v>
      </c>
      <c r="J5792" t="s">
        <v>49</v>
      </c>
      <c r="K5792" s="33">
        <v>2300</v>
      </c>
      <c r="L5792" t="s">
        <v>64</v>
      </c>
      <c r="M5792" t="str">
        <f>_xlfn.XLOOKUP(Pipeline_tbl[[#This Row],[Rep_ID]],Dim_Reps!A:A,Dim_Reps!K:K)</f>
        <v>MXN</v>
      </c>
      <c r="N5792" s="33">
        <f>(_xlfn.XLOOKUP(Pipeline_tbl[[#This Row],[Rate_Code_Generalized]],Lookups!A:A,Lookups!B:B))*Pipeline_tbl[[#This Row],[Pipeline_Amount_USD]]</f>
        <v>45385.210000000006</v>
      </c>
      <c r="O5792" t="str">
        <f>_xlfn.XLOOKUP(Pipeline_tbl[[#This Row],[Rep_ID]],Dim_Reps!A:A,Dim_Reps!B:B)</f>
        <v>Ben Silva</v>
      </c>
      <c r="P5792" t="str">
        <f>_xlfn.XLOOKUP(Pipeline_tbl[[#This Row],[Rep_ID]],Dim_Reps!A:A,Dim_Reps!C:C)</f>
        <v>SDR / Inside Sales Rep</v>
      </c>
      <c r="Q5792" t="str">
        <f>_xlfn.XLOOKUP(Pipeline_tbl[[#This Row],[Rep_ID]],Dim_Reps!A:A,Dim_Reps!D:D)</f>
        <v>Inside Sales</v>
      </c>
      <c r="R5792" t="str">
        <f>_xlfn.XLOOKUP(Pipeline_tbl[[#This Row],[Rep_ID]],Dim_Reps!A:A,Dim_Reps!E:E)</f>
        <v>LATAM</v>
      </c>
      <c r="S5792" t="str">
        <f>_xlfn.XLOOKUP(Pipeline_tbl[[#This Row],[Created_Date]],Dim_Date!A:A,Dim_Date!H:H)</f>
        <v>Dec 2024</v>
      </c>
      <c r="T5792" t="str">
        <f>IF(Pipeline_tbl[[#This Row],[Closed_Date]]=0,"",(_xlfn.XLOOKUP(Pipeline_tbl[[#This Row],[Closed_Date]],Dim_Date!A:A,Dim_Date!H:H)))</f>
        <v>Jan 2025</v>
      </c>
      <c r="U5792">
        <f>IF(Pipeline_tbl[[#This Row],[Closed_Date]]=0,"",Pipeline_tbl[[#This Row],[Closed_Date]]-Pipeline_tbl[[#This Row],[Created_Date]])</f>
        <v>21</v>
      </c>
    </row>
    <row r="5793" spans="1:21" ht="15" customHeight="1" x14ac:dyDescent="0.2">
      <c r="A5793" t="s">
        <v>6099</v>
      </c>
      <c r="B5793" t="s">
        <v>231</v>
      </c>
      <c r="C5793" t="s">
        <v>55</v>
      </c>
      <c r="D5793" s="49">
        <v>45657</v>
      </c>
      <c r="E5793" s="49">
        <v>45659</v>
      </c>
      <c r="I5793" s="49">
        <v>45674</v>
      </c>
      <c r="J5793" t="s">
        <v>49</v>
      </c>
      <c r="K5793" s="33">
        <v>2900</v>
      </c>
      <c r="L5793" t="s">
        <v>60</v>
      </c>
      <c r="M5793" t="str">
        <f>_xlfn.XLOOKUP(Pipeline_tbl[[#This Row],[Rep_ID]],Dim_Reps!A:A,Dim_Reps!K:K)</f>
        <v>MXN</v>
      </c>
      <c r="N5793" s="33">
        <f>(_xlfn.XLOOKUP(Pipeline_tbl[[#This Row],[Rate_Code_Generalized]],Lookups!A:A,Lookups!B:B))*Pipeline_tbl[[#This Row],[Pipeline_Amount_USD]]</f>
        <v>57224.83</v>
      </c>
      <c r="O5793" t="str">
        <f>_xlfn.XLOOKUP(Pipeline_tbl[[#This Row],[Rep_ID]],Dim_Reps!A:A,Dim_Reps!B:B)</f>
        <v>Ben Silva</v>
      </c>
      <c r="P5793" t="str">
        <f>_xlfn.XLOOKUP(Pipeline_tbl[[#This Row],[Rep_ID]],Dim_Reps!A:A,Dim_Reps!C:C)</f>
        <v>SDR / Inside Sales Rep</v>
      </c>
      <c r="Q5793" t="str">
        <f>_xlfn.XLOOKUP(Pipeline_tbl[[#This Row],[Rep_ID]],Dim_Reps!A:A,Dim_Reps!D:D)</f>
        <v>Inside Sales</v>
      </c>
      <c r="R5793" t="str">
        <f>_xlfn.XLOOKUP(Pipeline_tbl[[#This Row],[Rep_ID]],Dim_Reps!A:A,Dim_Reps!E:E)</f>
        <v>LATAM</v>
      </c>
      <c r="S5793" t="str">
        <f>_xlfn.XLOOKUP(Pipeline_tbl[[#This Row],[Created_Date]],Dim_Date!A:A,Dim_Date!H:H)</f>
        <v>Dec 2024</v>
      </c>
      <c r="T5793" t="str">
        <f>IF(Pipeline_tbl[[#This Row],[Closed_Date]]=0,"",(_xlfn.XLOOKUP(Pipeline_tbl[[#This Row],[Closed_Date]],Dim_Date!A:A,Dim_Date!H:H)))</f>
        <v>Jan 2025</v>
      </c>
      <c r="U5793">
        <f>IF(Pipeline_tbl[[#This Row],[Closed_Date]]=0,"",Pipeline_tbl[[#This Row],[Closed_Date]]-Pipeline_tbl[[#This Row],[Created_Date]])</f>
        <v>17</v>
      </c>
    </row>
    <row r="5794" spans="1:21" ht="15" customHeight="1" x14ac:dyDescent="0.2">
      <c r="A5794" t="s">
        <v>6100</v>
      </c>
      <c r="B5794" t="s">
        <v>231</v>
      </c>
      <c r="C5794" t="s">
        <v>52</v>
      </c>
      <c r="D5794" s="49">
        <v>45651</v>
      </c>
      <c r="E5794" s="49">
        <v>45653</v>
      </c>
      <c r="F5794" s="49">
        <v>45656</v>
      </c>
      <c r="G5794" s="49">
        <v>45660</v>
      </c>
      <c r="H5794" s="49">
        <v>45664</v>
      </c>
      <c r="I5794" s="49">
        <v>45666</v>
      </c>
      <c r="J5794" t="s">
        <v>47</v>
      </c>
      <c r="K5794" s="33">
        <v>3900</v>
      </c>
      <c r="M5794" t="str">
        <f>_xlfn.XLOOKUP(Pipeline_tbl[[#This Row],[Rep_ID]],Dim_Reps!A:A,Dim_Reps!K:K)</f>
        <v>MXN</v>
      </c>
      <c r="N5794" s="33">
        <f>(_xlfn.XLOOKUP(Pipeline_tbl[[#This Row],[Rate_Code_Generalized]],Lookups!A:A,Lookups!B:B))*Pipeline_tbl[[#This Row],[Pipeline_Amount_USD]]</f>
        <v>76957.53</v>
      </c>
      <c r="O5794" t="str">
        <f>_xlfn.XLOOKUP(Pipeline_tbl[[#This Row],[Rep_ID]],Dim_Reps!A:A,Dim_Reps!B:B)</f>
        <v>Ben Silva</v>
      </c>
      <c r="P5794" t="str">
        <f>_xlfn.XLOOKUP(Pipeline_tbl[[#This Row],[Rep_ID]],Dim_Reps!A:A,Dim_Reps!C:C)</f>
        <v>SDR / Inside Sales Rep</v>
      </c>
      <c r="Q5794" t="str">
        <f>_xlfn.XLOOKUP(Pipeline_tbl[[#This Row],[Rep_ID]],Dim_Reps!A:A,Dim_Reps!D:D)</f>
        <v>Inside Sales</v>
      </c>
      <c r="R5794" t="str">
        <f>_xlfn.XLOOKUP(Pipeline_tbl[[#This Row],[Rep_ID]],Dim_Reps!A:A,Dim_Reps!E:E)</f>
        <v>LATAM</v>
      </c>
      <c r="S5794" t="str">
        <f>_xlfn.XLOOKUP(Pipeline_tbl[[#This Row],[Created_Date]],Dim_Date!A:A,Dim_Date!H:H)</f>
        <v>Dec 2024</v>
      </c>
      <c r="T5794" t="str">
        <f>IF(Pipeline_tbl[[#This Row],[Closed_Date]]=0,"",(_xlfn.XLOOKUP(Pipeline_tbl[[#This Row],[Closed_Date]],Dim_Date!A:A,Dim_Date!H:H)))</f>
        <v>Jan 2025</v>
      </c>
      <c r="U5794">
        <f>IF(Pipeline_tbl[[#This Row],[Closed_Date]]=0,"",Pipeline_tbl[[#This Row],[Closed_Date]]-Pipeline_tbl[[#This Row],[Created_Date]])</f>
        <v>15</v>
      </c>
    </row>
    <row r="5795" spans="1:21" ht="15" customHeight="1" x14ac:dyDescent="0.2">
      <c r="A5795" t="s">
        <v>6101</v>
      </c>
      <c r="B5795" t="s">
        <v>231</v>
      </c>
      <c r="C5795" t="s">
        <v>53</v>
      </c>
      <c r="D5795" s="49">
        <v>45648</v>
      </c>
      <c r="E5795" s="49">
        <v>45650</v>
      </c>
      <c r="F5795" s="49">
        <v>45654</v>
      </c>
      <c r="G5795" s="49">
        <v>45661</v>
      </c>
      <c r="H5795" s="49">
        <v>45666</v>
      </c>
      <c r="I5795" s="49">
        <v>45669</v>
      </c>
      <c r="J5795" t="s">
        <v>47</v>
      </c>
      <c r="K5795" s="33">
        <v>6600</v>
      </c>
      <c r="M5795" t="str">
        <f>_xlfn.XLOOKUP(Pipeline_tbl[[#This Row],[Rep_ID]],Dim_Reps!A:A,Dim_Reps!K:K)</f>
        <v>MXN</v>
      </c>
      <c r="N5795" s="33">
        <f>(_xlfn.XLOOKUP(Pipeline_tbl[[#This Row],[Rate_Code_Generalized]],Lookups!A:A,Lookups!B:B))*Pipeline_tbl[[#This Row],[Pipeline_Amount_USD]]</f>
        <v>130235.82</v>
      </c>
      <c r="O5795" t="str">
        <f>_xlfn.XLOOKUP(Pipeline_tbl[[#This Row],[Rep_ID]],Dim_Reps!A:A,Dim_Reps!B:B)</f>
        <v>Ben Silva</v>
      </c>
      <c r="P5795" t="str">
        <f>_xlfn.XLOOKUP(Pipeline_tbl[[#This Row],[Rep_ID]],Dim_Reps!A:A,Dim_Reps!C:C)</f>
        <v>SDR / Inside Sales Rep</v>
      </c>
      <c r="Q5795" t="str">
        <f>_xlfn.XLOOKUP(Pipeline_tbl[[#This Row],[Rep_ID]],Dim_Reps!A:A,Dim_Reps!D:D)</f>
        <v>Inside Sales</v>
      </c>
      <c r="R5795" t="str">
        <f>_xlfn.XLOOKUP(Pipeline_tbl[[#This Row],[Rep_ID]],Dim_Reps!A:A,Dim_Reps!E:E)</f>
        <v>LATAM</v>
      </c>
      <c r="S5795" t="str">
        <f>_xlfn.XLOOKUP(Pipeline_tbl[[#This Row],[Created_Date]],Dim_Date!A:A,Dim_Date!H:H)</f>
        <v>Dec 2024</v>
      </c>
      <c r="T5795" t="str">
        <f>IF(Pipeline_tbl[[#This Row],[Closed_Date]]=0,"",(_xlfn.XLOOKUP(Pipeline_tbl[[#This Row],[Closed_Date]],Dim_Date!A:A,Dim_Date!H:H)))</f>
        <v>Jan 2025</v>
      </c>
      <c r="U5795">
        <f>IF(Pipeline_tbl[[#This Row],[Closed_Date]]=0,"",Pipeline_tbl[[#This Row],[Closed_Date]]-Pipeline_tbl[[#This Row],[Created_Date]])</f>
        <v>21</v>
      </c>
    </row>
    <row r="5796" spans="1:21" ht="15" customHeight="1" x14ac:dyDescent="0.2">
      <c r="A5796" t="s">
        <v>6102</v>
      </c>
      <c r="B5796" t="s">
        <v>231</v>
      </c>
      <c r="C5796" t="s">
        <v>52</v>
      </c>
      <c r="D5796" s="49">
        <v>45654</v>
      </c>
      <c r="E5796" s="49">
        <v>45656</v>
      </c>
      <c r="F5796" s="49">
        <v>45661</v>
      </c>
      <c r="G5796" s="49">
        <v>45667</v>
      </c>
      <c r="I5796" s="49">
        <v>45676</v>
      </c>
      <c r="J5796" t="s">
        <v>49</v>
      </c>
      <c r="K5796" s="33">
        <v>1500</v>
      </c>
      <c r="L5796" t="s">
        <v>61</v>
      </c>
      <c r="M5796" t="str">
        <f>_xlfn.XLOOKUP(Pipeline_tbl[[#This Row],[Rep_ID]],Dim_Reps!A:A,Dim_Reps!K:K)</f>
        <v>MXN</v>
      </c>
      <c r="N5796" s="33">
        <f>(_xlfn.XLOOKUP(Pipeline_tbl[[#This Row],[Rate_Code_Generalized]],Lookups!A:A,Lookups!B:B))*Pipeline_tbl[[#This Row],[Pipeline_Amount_USD]]</f>
        <v>29599.050000000003</v>
      </c>
      <c r="O5796" t="str">
        <f>_xlfn.XLOOKUP(Pipeline_tbl[[#This Row],[Rep_ID]],Dim_Reps!A:A,Dim_Reps!B:B)</f>
        <v>Ben Silva</v>
      </c>
      <c r="P5796" t="str">
        <f>_xlfn.XLOOKUP(Pipeline_tbl[[#This Row],[Rep_ID]],Dim_Reps!A:A,Dim_Reps!C:C)</f>
        <v>SDR / Inside Sales Rep</v>
      </c>
      <c r="Q5796" t="str">
        <f>_xlfn.XLOOKUP(Pipeline_tbl[[#This Row],[Rep_ID]],Dim_Reps!A:A,Dim_Reps!D:D)</f>
        <v>Inside Sales</v>
      </c>
      <c r="R5796" t="str">
        <f>_xlfn.XLOOKUP(Pipeline_tbl[[#This Row],[Rep_ID]],Dim_Reps!A:A,Dim_Reps!E:E)</f>
        <v>LATAM</v>
      </c>
      <c r="S5796" t="str">
        <f>_xlfn.XLOOKUP(Pipeline_tbl[[#This Row],[Created_Date]],Dim_Date!A:A,Dim_Date!H:H)</f>
        <v>Dec 2024</v>
      </c>
      <c r="T5796" t="str">
        <f>IF(Pipeline_tbl[[#This Row],[Closed_Date]]=0,"",(_xlfn.XLOOKUP(Pipeline_tbl[[#This Row],[Closed_Date]],Dim_Date!A:A,Dim_Date!H:H)))</f>
        <v>Jan 2025</v>
      </c>
      <c r="U5796">
        <f>IF(Pipeline_tbl[[#This Row],[Closed_Date]]=0,"",Pipeline_tbl[[#This Row],[Closed_Date]]-Pipeline_tbl[[#This Row],[Created_Date]])</f>
        <v>22</v>
      </c>
    </row>
    <row r="5797" spans="1:21" ht="15" customHeight="1" x14ac:dyDescent="0.2">
      <c r="A5797" t="s">
        <v>6103</v>
      </c>
      <c r="B5797" t="s">
        <v>263</v>
      </c>
      <c r="C5797" t="s">
        <v>52</v>
      </c>
      <c r="D5797" s="49">
        <v>45634</v>
      </c>
      <c r="E5797" s="49">
        <v>45637</v>
      </c>
      <c r="F5797" s="49">
        <v>45643</v>
      </c>
      <c r="G5797" s="49">
        <v>45651</v>
      </c>
      <c r="H5797" s="49">
        <v>45659</v>
      </c>
      <c r="I5797" s="49">
        <v>45663</v>
      </c>
      <c r="J5797" t="s">
        <v>49</v>
      </c>
      <c r="K5797" s="33">
        <v>8700</v>
      </c>
      <c r="L5797" t="s">
        <v>60</v>
      </c>
      <c r="M5797" t="str">
        <f>_xlfn.XLOOKUP(Pipeline_tbl[[#This Row],[Rep_ID]],Dim_Reps!A:A,Dim_Reps!K:K)</f>
        <v>USD</v>
      </c>
      <c r="N5797" s="33">
        <f>(_xlfn.XLOOKUP(Pipeline_tbl[[#This Row],[Rate_Code_Generalized]],Lookups!A:A,Lookups!B:B))*Pipeline_tbl[[#This Row],[Pipeline_Amount_USD]]</f>
        <v>10129.41</v>
      </c>
      <c r="O5797" t="str">
        <f>_xlfn.XLOOKUP(Pipeline_tbl[[#This Row],[Rep_ID]],Dim_Reps!A:A,Dim_Reps!B:B)</f>
        <v>Morgan Weber</v>
      </c>
      <c r="P5797" t="str">
        <f>_xlfn.XLOOKUP(Pipeline_tbl[[#This Row],[Rep_ID]],Dim_Reps!A:A,Dim_Reps!C:C)</f>
        <v>Mid-Market AE</v>
      </c>
      <c r="Q5797" t="str">
        <f>_xlfn.XLOOKUP(Pipeline_tbl[[#This Row],[Rep_ID]],Dim_Reps!A:A,Dim_Reps!D:D)</f>
        <v>Mid-Market</v>
      </c>
      <c r="R5797" t="str">
        <f>_xlfn.XLOOKUP(Pipeline_tbl[[#This Row],[Rep_ID]],Dim_Reps!A:A,Dim_Reps!E:E)</f>
        <v>NAMER</v>
      </c>
      <c r="S5797" t="str">
        <f>_xlfn.XLOOKUP(Pipeline_tbl[[#This Row],[Created_Date]],Dim_Date!A:A,Dim_Date!H:H)</f>
        <v>Dec 2024</v>
      </c>
      <c r="T5797" t="str">
        <f>IF(Pipeline_tbl[[#This Row],[Closed_Date]]=0,"",(_xlfn.XLOOKUP(Pipeline_tbl[[#This Row],[Closed_Date]],Dim_Date!A:A,Dim_Date!H:H)))</f>
        <v>Jan 2025</v>
      </c>
      <c r="U5797">
        <f>IF(Pipeline_tbl[[#This Row],[Closed_Date]]=0,"",Pipeline_tbl[[#This Row],[Closed_Date]]-Pipeline_tbl[[#This Row],[Created_Date]])</f>
        <v>29</v>
      </c>
    </row>
    <row r="5798" spans="1:21" ht="15" customHeight="1" x14ac:dyDescent="0.2">
      <c r="A5798" t="s">
        <v>6104</v>
      </c>
      <c r="B5798" t="s">
        <v>263</v>
      </c>
      <c r="C5798" t="s">
        <v>53</v>
      </c>
      <c r="D5798" s="49">
        <v>45647</v>
      </c>
      <c r="E5798" s="49">
        <v>45651</v>
      </c>
      <c r="F5798" s="49">
        <v>45658</v>
      </c>
      <c r="G5798" s="49">
        <v>45670</v>
      </c>
      <c r="H5798" s="49">
        <v>45679</v>
      </c>
      <c r="I5798" s="49">
        <v>45685</v>
      </c>
      <c r="J5798" t="s">
        <v>49</v>
      </c>
      <c r="K5798" s="33">
        <v>6200</v>
      </c>
      <c r="L5798" t="s">
        <v>60</v>
      </c>
      <c r="M5798" t="str">
        <f>_xlfn.XLOOKUP(Pipeline_tbl[[#This Row],[Rep_ID]],Dim_Reps!A:A,Dim_Reps!K:K)</f>
        <v>USD</v>
      </c>
      <c r="N5798" s="33">
        <f>(_xlfn.XLOOKUP(Pipeline_tbl[[#This Row],[Rate_Code_Generalized]],Lookups!A:A,Lookups!B:B))*Pipeline_tbl[[#This Row],[Pipeline_Amount_USD]]</f>
        <v>7218.6599999999989</v>
      </c>
      <c r="O5798" t="str">
        <f>_xlfn.XLOOKUP(Pipeline_tbl[[#This Row],[Rep_ID]],Dim_Reps!A:A,Dim_Reps!B:B)</f>
        <v>Morgan Weber</v>
      </c>
      <c r="P5798" t="str">
        <f>_xlfn.XLOOKUP(Pipeline_tbl[[#This Row],[Rep_ID]],Dim_Reps!A:A,Dim_Reps!C:C)</f>
        <v>Mid-Market AE</v>
      </c>
      <c r="Q5798" t="str">
        <f>_xlfn.XLOOKUP(Pipeline_tbl[[#This Row],[Rep_ID]],Dim_Reps!A:A,Dim_Reps!D:D)</f>
        <v>Mid-Market</v>
      </c>
      <c r="R5798" t="str">
        <f>_xlfn.XLOOKUP(Pipeline_tbl[[#This Row],[Rep_ID]],Dim_Reps!A:A,Dim_Reps!E:E)</f>
        <v>NAMER</v>
      </c>
      <c r="S5798" t="str">
        <f>_xlfn.XLOOKUP(Pipeline_tbl[[#This Row],[Created_Date]],Dim_Date!A:A,Dim_Date!H:H)</f>
        <v>Dec 2024</v>
      </c>
      <c r="T5798" t="str">
        <f>IF(Pipeline_tbl[[#This Row],[Closed_Date]]=0,"",(_xlfn.XLOOKUP(Pipeline_tbl[[#This Row],[Closed_Date]],Dim_Date!A:A,Dim_Date!H:H)))</f>
        <v>Jan 2025</v>
      </c>
      <c r="U5798">
        <f>IF(Pipeline_tbl[[#This Row],[Closed_Date]]=0,"",Pipeline_tbl[[#This Row],[Closed_Date]]-Pipeline_tbl[[#This Row],[Created_Date]])</f>
        <v>38</v>
      </c>
    </row>
    <row r="5799" spans="1:21" ht="15" customHeight="1" x14ac:dyDescent="0.2">
      <c r="A5799" t="s">
        <v>6105</v>
      </c>
      <c r="B5799" t="s">
        <v>263</v>
      </c>
      <c r="C5799" t="s">
        <v>52</v>
      </c>
      <c r="D5799" s="49">
        <v>45636</v>
      </c>
      <c r="E5799" s="49">
        <v>45641</v>
      </c>
      <c r="I5799" s="49">
        <v>45685</v>
      </c>
      <c r="J5799" t="s">
        <v>49</v>
      </c>
      <c r="K5799" s="33">
        <v>8800</v>
      </c>
      <c r="L5799" t="s">
        <v>60</v>
      </c>
      <c r="M5799" t="str">
        <f>_xlfn.XLOOKUP(Pipeline_tbl[[#This Row],[Rep_ID]],Dim_Reps!A:A,Dim_Reps!K:K)</f>
        <v>USD</v>
      </c>
      <c r="N5799" s="33">
        <f>(_xlfn.XLOOKUP(Pipeline_tbl[[#This Row],[Rate_Code_Generalized]],Lookups!A:A,Lookups!B:B))*Pipeline_tbl[[#This Row],[Pipeline_Amount_USD]]</f>
        <v>10245.839999999998</v>
      </c>
      <c r="O5799" t="str">
        <f>_xlfn.XLOOKUP(Pipeline_tbl[[#This Row],[Rep_ID]],Dim_Reps!A:A,Dim_Reps!B:B)</f>
        <v>Morgan Weber</v>
      </c>
      <c r="P5799" t="str">
        <f>_xlfn.XLOOKUP(Pipeline_tbl[[#This Row],[Rep_ID]],Dim_Reps!A:A,Dim_Reps!C:C)</f>
        <v>Mid-Market AE</v>
      </c>
      <c r="Q5799" t="str">
        <f>_xlfn.XLOOKUP(Pipeline_tbl[[#This Row],[Rep_ID]],Dim_Reps!A:A,Dim_Reps!D:D)</f>
        <v>Mid-Market</v>
      </c>
      <c r="R5799" t="str">
        <f>_xlfn.XLOOKUP(Pipeline_tbl[[#This Row],[Rep_ID]],Dim_Reps!A:A,Dim_Reps!E:E)</f>
        <v>NAMER</v>
      </c>
      <c r="S5799" t="str">
        <f>_xlfn.XLOOKUP(Pipeline_tbl[[#This Row],[Created_Date]],Dim_Date!A:A,Dim_Date!H:H)</f>
        <v>Dec 2024</v>
      </c>
      <c r="T5799" t="str">
        <f>IF(Pipeline_tbl[[#This Row],[Closed_Date]]=0,"",(_xlfn.XLOOKUP(Pipeline_tbl[[#This Row],[Closed_Date]],Dim_Date!A:A,Dim_Date!H:H)))</f>
        <v>Jan 2025</v>
      </c>
      <c r="U5799">
        <f>IF(Pipeline_tbl[[#This Row],[Closed_Date]]=0,"",Pipeline_tbl[[#This Row],[Closed_Date]]-Pipeline_tbl[[#This Row],[Created_Date]])</f>
        <v>49</v>
      </c>
    </row>
    <row r="5800" spans="1:21" ht="15" customHeight="1" x14ac:dyDescent="0.2">
      <c r="A5800" t="s">
        <v>6106</v>
      </c>
      <c r="B5800" t="s">
        <v>263</v>
      </c>
      <c r="C5800" t="s">
        <v>53</v>
      </c>
      <c r="D5800" s="49">
        <v>45642</v>
      </c>
      <c r="E5800" s="49">
        <v>45646</v>
      </c>
      <c r="F5800" s="49">
        <v>45654</v>
      </c>
      <c r="G5800" s="49">
        <v>45665</v>
      </c>
      <c r="H5800" s="49">
        <v>45675</v>
      </c>
      <c r="I5800" s="49">
        <v>45681</v>
      </c>
      <c r="J5800" t="s">
        <v>47</v>
      </c>
      <c r="K5800" s="33">
        <v>12800</v>
      </c>
      <c r="M5800" t="str">
        <f>_xlfn.XLOOKUP(Pipeline_tbl[[#This Row],[Rep_ID]],Dim_Reps!A:A,Dim_Reps!K:K)</f>
        <v>USD</v>
      </c>
      <c r="N5800" s="33">
        <f>(_xlfn.XLOOKUP(Pipeline_tbl[[#This Row],[Rate_Code_Generalized]],Lookups!A:A,Lookups!B:B))*Pipeline_tbl[[#This Row],[Pipeline_Amount_USD]]</f>
        <v>14903.039999999999</v>
      </c>
      <c r="O5800" t="str">
        <f>_xlfn.XLOOKUP(Pipeline_tbl[[#This Row],[Rep_ID]],Dim_Reps!A:A,Dim_Reps!B:B)</f>
        <v>Morgan Weber</v>
      </c>
      <c r="P5800" t="str">
        <f>_xlfn.XLOOKUP(Pipeline_tbl[[#This Row],[Rep_ID]],Dim_Reps!A:A,Dim_Reps!C:C)</f>
        <v>Mid-Market AE</v>
      </c>
      <c r="Q5800" t="str">
        <f>_xlfn.XLOOKUP(Pipeline_tbl[[#This Row],[Rep_ID]],Dim_Reps!A:A,Dim_Reps!D:D)</f>
        <v>Mid-Market</v>
      </c>
      <c r="R5800" t="str">
        <f>_xlfn.XLOOKUP(Pipeline_tbl[[#This Row],[Rep_ID]],Dim_Reps!A:A,Dim_Reps!E:E)</f>
        <v>NAMER</v>
      </c>
      <c r="S5800" t="str">
        <f>_xlfn.XLOOKUP(Pipeline_tbl[[#This Row],[Created_Date]],Dim_Date!A:A,Dim_Date!H:H)</f>
        <v>Dec 2024</v>
      </c>
      <c r="T5800" t="str">
        <f>IF(Pipeline_tbl[[#This Row],[Closed_Date]]=0,"",(_xlfn.XLOOKUP(Pipeline_tbl[[#This Row],[Closed_Date]],Dim_Date!A:A,Dim_Date!H:H)))</f>
        <v>Jan 2025</v>
      </c>
      <c r="U5800">
        <f>IF(Pipeline_tbl[[#This Row],[Closed_Date]]=0,"",Pipeline_tbl[[#This Row],[Closed_Date]]-Pipeline_tbl[[#This Row],[Created_Date]])</f>
        <v>39</v>
      </c>
    </row>
    <row r="5801" spans="1:21" ht="15" customHeight="1" x14ac:dyDescent="0.2">
      <c r="A5801" t="s">
        <v>6107</v>
      </c>
      <c r="B5801" t="s">
        <v>265</v>
      </c>
      <c r="C5801" t="s">
        <v>52</v>
      </c>
      <c r="D5801" s="49">
        <v>45631</v>
      </c>
      <c r="E5801" s="49">
        <v>45634</v>
      </c>
      <c r="I5801" s="49">
        <v>45663</v>
      </c>
      <c r="J5801" t="s">
        <v>49</v>
      </c>
      <c r="K5801" s="33">
        <v>8500</v>
      </c>
      <c r="L5801" t="s">
        <v>61</v>
      </c>
      <c r="M5801" t="str">
        <f>_xlfn.XLOOKUP(Pipeline_tbl[[#This Row],[Rep_ID]],Dim_Reps!A:A,Dim_Reps!K:K)</f>
        <v>EUR</v>
      </c>
      <c r="N5801" s="33">
        <f>(_xlfn.XLOOKUP(Pipeline_tbl[[#This Row],[Rate_Code_Generalized]],Lookups!A:A,Lookups!B:B))*Pipeline_tbl[[#This Row],[Pipeline_Amount_USD]]</f>
        <v>8500</v>
      </c>
      <c r="O5801" t="str">
        <f>_xlfn.XLOOKUP(Pipeline_tbl[[#This Row],[Rep_ID]],Dim_Reps!A:A,Dim_Reps!B:B)</f>
        <v>Erik Duarte</v>
      </c>
      <c r="P5801" t="str">
        <f>_xlfn.XLOOKUP(Pipeline_tbl[[#This Row],[Rep_ID]],Dim_Reps!A:A,Dim_Reps!C:C)</f>
        <v>Mid-Market AE</v>
      </c>
      <c r="Q5801" t="str">
        <f>_xlfn.XLOOKUP(Pipeline_tbl[[#This Row],[Rep_ID]],Dim_Reps!A:A,Dim_Reps!D:D)</f>
        <v>Mid-Market</v>
      </c>
      <c r="R5801" t="str">
        <f>_xlfn.XLOOKUP(Pipeline_tbl[[#This Row],[Rep_ID]],Dim_Reps!A:A,Dim_Reps!E:E)</f>
        <v>EMEA</v>
      </c>
      <c r="S5801" t="str">
        <f>_xlfn.XLOOKUP(Pipeline_tbl[[#This Row],[Created_Date]],Dim_Date!A:A,Dim_Date!H:H)</f>
        <v>Dec 2024</v>
      </c>
      <c r="T5801" t="str">
        <f>IF(Pipeline_tbl[[#This Row],[Closed_Date]]=0,"",(_xlfn.XLOOKUP(Pipeline_tbl[[#This Row],[Closed_Date]],Dim_Date!A:A,Dim_Date!H:H)))</f>
        <v>Jan 2025</v>
      </c>
      <c r="U5801">
        <f>IF(Pipeline_tbl[[#This Row],[Closed_Date]]=0,"",Pipeline_tbl[[#This Row],[Closed_Date]]-Pipeline_tbl[[#This Row],[Created_Date]])</f>
        <v>32</v>
      </c>
    </row>
    <row r="5802" spans="1:21" ht="15" customHeight="1" x14ac:dyDescent="0.2">
      <c r="A5802" t="s">
        <v>6108</v>
      </c>
      <c r="B5802" t="s">
        <v>265</v>
      </c>
      <c r="C5802" t="s">
        <v>54</v>
      </c>
      <c r="D5802" s="49">
        <v>45637</v>
      </c>
      <c r="E5802" s="49">
        <v>45641</v>
      </c>
      <c r="F5802" s="49">
        <v>45649</v>
      </c>
      <c r="G5802" s="49">
        <v>45661</v>
      </c>
      <c r="H5802" s="49">
        <v>45671</v>
      </c>
      <c r="I5802" s="49">
        <v>45677</v>
      </c>
      <c r="J5802" t="s">
        <v>49</v>
      </c>
      <c r="K5802" s="33">
        <v>16900</v>
      </c>
      <c r="L5802" t="s">
        <v>64</v>
      </c>
      <c r="M5802" t="str">
        <f>_xlfn.XLOOKUP(Pipeline_tbl[[#This Row],[Rep_ID]],Dim_Reps!A:A,Dim_Reps!K:K)</f>
        <v>EUR</v>
      </c>
      <c r="N5802" s="33">
        <f>(_xlfn.XLOOKUP(Pipeline_tbl[[#This Row],[Rate_Code_Generalized]],Lookups!A:A,Lookups!B:B))*Pipeline_tbl[[#This Row],[Pipeline_Amount_USD]]</f>
        <v>16900</v>
      </c>
      <c r="O5802" t="str">
        <f>_xlfn.XLOOKUP(Pipeline_tbl[[#This Row],[Rep_ID]],Dim_Reps!A:A,Dim_Reps!B:B)</f>
        <v>Erik Duarte</v>
      </c>
      <c r="P5802" t="str">
        <f>_xlfn.XLOOKUP(Pipeline_tbl[[#This Row],[Rep_ID]],Dim_Reps!A:A,Dim_Reps!C:C)</f>
        <v>Mid-Market AE</v>
      </c>
      <c r="Q5802" t="str">
        <f>_xlfn.XLOOKUP(Pipeline_tbl[[#This Row],[Rep_ID]],Dim_Reps!A:A,Dim_Reps!D:D)</f>
        <v>Mid-Market</v>
      </c>
      <c r="R5802" t="str">
        <f>_xlfn.XLOOKUP(Pipeline_tbl[[#This Row],[Rep_ID]],Dim_Reps!A:A,Dim_Reps!E:E)</f>
        <v>EMEA</v>
      </c>
      <c r="S5802" t="str">
        <f>_xlfn.XLOOKUP(Pipeline_tbl[[#This Row],[Created_Date]],Dim_Date!A:A,Dim_Date!H:H)</f>
        <v>Dec 2024</v>
      </c>
      <c r="T5802" t="str">
        <f>IF(Pipeline_tbl[[#This Row],[Closed_Date]]=0,"",(_xlfn.XLOOKUP(Pipeline_tbl[[#This Row],[Closed_Date]],Dim_Date!A:A,Dim_Date!H:H)))</f>
        <v>Jan 2025</v>
      </c>
      <c r="U5802">
        <f>IF(Pipeline_tbl[[#This Row],[Closed_Date]]=0,"",Pipeline_tbl[[#This Row],[Closed_Date]]-Pipeline_tbl[[#This Row],[Created_Date]])</f>
        <v>40</v>
      </c>
    </row>
    <row r="5803" spans="1:21" ht="15" customHeight="1" x14ac:dyDescent="0.2">
      <c r="A5803" t="s">
        <v>6109</v>
      </c>
      <c r="B5803" t="s">
        <v>265</v>
      </c>
      <c r="C5803" t="s">
        <v>55</v>
      </c>
      <c r="D5803" s="49">
        <v>45632</v>
      </c>
      <c r="E5803" s="49">
        <v>45636</v>
      </c>
      <c r="F5803" s="49">
        <v>45643</v>
      </c>
      <c r="G5803" s="49">
        <v>45655</v>
      </c>
      <c r="H5803" s="49">
        <v>45664</v>
      </c>
      <c r="I5803" s="49">
        <v>45670</v>
      </c>
      <c r="J5803" t="s">
        <v>47</v>
      </c>
      <c r="K5803" s="33">
        <v>11400</v>
      </c>
      <c r="M5803" t="str">
        <f>_xlfn.XLOOKUP(Pipeline_tbl[[#This Row],[Rep_ID]],Dim_Reps!A:A,Dim_Reps!K:K)</f>
        <v>EUR</v>
      </c>
      <c r="N5803" s="33">
        <f>(_xlfn.XLOOKUP(Pipeline_tbl[[#This Row],[Rate_Code_Generalized]],Lookups!A:A,Lookups!B:B))*Pipeline_tbl[[#This Row],[Pipeline_Amount_USD]]</f>
        <v>11400</v>
      </c>
      <c r="O5803" t="str">
        <f>_xlfn.XLOOKUP(Pipeline_tbl[[#This Row],[Rep_ID]],Dim_Reps!A:A,Dim_Reps!B:B)</f>
        <v>Erik Duarte</v>
      </c>
      <c r="P5803" t="str">
        <f>_xlfn.XLOOKUP(Pipeline_tbl[[#This Row],[Rep_ID]],Dim_Reps!A:A,Dim_Reps!C:C)</f>
        <v>Mid-Market AE</v>
      </c>
      <c r="Q5803" t="str">
        <f>_xlfn.XLOOKUP(Pipeline_tbl[[#This Row],[Rep_ID]],Dim_Reps!A:A,Dim_Reps!D:D)</f>
        <v>Mid-Market</v>
      </c>
      <c r="R5803" t="str">
        <f>_xlfn.XLOOKUP(Pipeline_tbl[[#This Row],[Rep_ID]],Dim_Reps!A:A,Dim_Reps!E:E)</f>
        <v>EMEA</v>
      </c>
      <c r="S5803" t="str">
        <f>_xlfn.XLOOKUP(Pipeline_tbl[[#This Row],[Created_Date]],Dim_Date!A:A,Dim_Date!H:H)</f>
        <v>Dec 2024</v>
      </c>
      <c r="T5803" t="str">
        <f>IF(Pipeline_tbl[[#This Row],[Closed_Date]]=0,"",(_xlfn.XLOOKUP(Pipeline_tbl[[#This Row],[Closed_Date]],Dim_Date!A:A,Dim_Date!H:H)))</f>
        <v>Jan 2025</v>
      </c>
      <c r="U5803">
        <f>IF(Pipeline_tbl[[#This Row],[Closed_Date]]=0,"",Pipeline_tbl[[#This Row],[Closed_Date]]-Pipeline_tbl[[#This Row],[Created_Date]])</f>
        <v>38</v>
      </c>
    </row>
    <row r="5804" spans="1:21" ht="15" customHeight="1" x14ac:dyDescent="0.2">
      <c r="A5804" t="s">
        <v>6110</v>
      </c>
      <c r="B5804" t="s">
        <v>265</v>
      </c>
      <c r="C5804" t="s">
        <v>56</v>
      </c>
      <c r="D5804" s="49">
        <v>45654</v>
      </c>
      <c r="E5804" s="49">
        <v>45657</v>
      </c>
      <c r="F5804" s="49">
        <v>45664</v>
      </c>
      <c r="I5804" s="49">
        <v>45688</v>
      </c>
      <c r="J5804" t="s">
        <v>49</v>
      </c>
      <c r="K5804" s="33">
        <v>4600</v>
      </c>
      <c r="L5804" t="s">
        <v>64</v>
      </c>
      <c r="M5804" t="str">
        <f>_xlfn.XLOOKUP(Pipeline_tbl[[#This Row],[Rep_ID]],Dim_Reps!A:A,Dim_Reps!K:K)</f>
        <v>EUR</v>
      </c>
      <c r="N5804" s="33">
        <f>(_xlfn.XLOOKUP(Pipeline_tbl[[#This Row],[Rate_Code_Generalized]],Lookups!A:A,Lookups!B:B))*Pipeline_tbl[[#This Row],[Pipeline_Amount_USD]]</f>
        <v>4600</v>
      </c>
      <c r="O5804" t="str">
        <f>_xlfn.XLOOKUP(Pipeline_tbl[[#This Row],[Rep_ID]],Dim_Reps!A:A,Dim_Reps!B:B)</f>
        <v>Erik Duarte</v>
      </c>
      <c r="P5804" t="str">
        <f>_xlfn.XLOOKUP(Pipeline_tbl[[#This Row],[Rep_ID]],Dim_Reps!A:A,Dim_Reps!C:C)</f>
        <v>Mid-Market AE</v>
      </c>
      <c r="Q5804" t="str">
        <f>_xlfn.XLOOKUP(Pipeline_tbl[[#This Row],[Rep_ID]],Dim_Reps!A:A,Dim_Reps!D:D)</f>
        <v>Mid-Market</v>
      </c>
      <c r="R5804" t="str">
        <f>_xlfn.XLOOKUP(Pipeline_tbl[[#This Row],[Rep_ID]],Dim_Reps!A:A,Dim_Reps!E:E)</f>
        <v>EMEA</v>
      </c>
      <c r="S5804" t="str">
        <f>_xlfn.XLOOKUP(Pipeline_tbl[[#This Row],[Created_Date]],Dim_Date!A:A,Dim_Date!H:H)</f>
        <v>Dec 2024</v>
      </c>
      <c r="T5804" t="str">
        <f>IF(Pipeline_tbl[[#This Row],[Closed_Date]]=0,"",(_xlfn.XLOOKUP(Pipeline_tbl[[#This Row],[Closed_Date]],Dim_Date!A:A,Dim_Date!H:H)))</f>
        <v>Jan 2025</v>
      </c>
      <c r="U5804">
        <f>IF(Pipeline_tbl[[#This Row],[Closed_Date]]=0,"",Pipeline_tbl[[#This Row],[Closed_Date]]-Pipeline_tbl[[#This Row],[Created_Date]])</f>
        <v>34</v>
      </c>
    </row>
    <row r="5805" spans="1:21" ht="15" customHeight="1" x14ac:dyDescent="0.2">
      <c r="A5805" t="s">
        <v>6111</v>
      </c>
      <c r="B5805" t="s">
        <v>265</v>
      </c>
      <c r="C5805" t="s">
        <v>53</v>
      </c>
      <c r="D5805" s="49">
        <v>45654</v>
      </c>
      <c r="E5805" s="49">
        <v>45656</v>
      </c>
      <c r="F5805" s="49">
        <v>45661</v>
      </c>
      <c r="G5805" s="49">
        <v>45667</v>
      </c>
      <c r="I5805" s="49">
        <v>45676</v>
      </c>
      <c r="J5805" t="s">
        <v>49</v>
      </c>
      <c r="K5805" s="33">
        <v>11900</v>
      </c>
      <c r="L5805" t="s">
        <v>64</v>
      </c>
      <c r="M5805" t="str">
        <f>_xlfn.XLOOKUP(Pipeline_tbl[[#This Row],[Rep_ID]],Dim_Reps!A:A,Dim_Reps!K:K)</f>
        <v>EUR</v>
      </c>
      <c r="N5805" s="33">
        <f>(_xlfn.XLOOKUP(Pipeline_tbl[[#This Row],[Rate_Code_Generalized]],Lookups!A:A,Lookups!B:B))*Pipeline_tbl[[#This Row],[Pipeline_Amount_USD]]</f>
        <v>11900</v>
      </c>
      <c r="O5805" t="str">
        <f>_xlfn.XLOOKUP(Pipeline_tbl[[#This Row],[Rep_ID]],Dim_Reps!A:A,Dim_Reps!B:B)</f>
        <v>Erik Duarte</v>
      </c>
      <c r="P5805" t="str">
        <f>_xlfn.XLOOKUP(Pipeline_tbl[[#This Row],[Rep_ID]],Dim_Reps!A:A,Dim_Reps!C:C)</f>
        <v>Mid-Market AE</v>
      </c>
      <c r="Q5805" t="str">
        <f>_xlfn.XLOOKUP(Pipeline_tbl[[#This Row],[Rep_ID]],Dim_Reps!A:A,Dim_Reps!D:D)</f>
        <v>Mid-Market</v>
      </c>
      <c r="R5805" t="str">
        <f>_xlfn.XLOOKUP(Pipeline_tbl[[#This Row],[Rep_ID]],Dim_Reps!A:A,Dim_Reps!E:E)</f>
        <v>EMEA</v>
      </c>
      <c r="S5805" t="str">
        <f>_xlfn.XLOOKUP(Pipeline_tbl[[#This Row],[Created_Date]],Dim_Date!A:A,Dim_Date!H:H)</f>
        <v>Dec 2024</v>
      </c>
      <c r="T5805" t="str">
        <f>IF(Pipeline_tbl[[#This Row],[Closed_Date]]=0,"",(_xlfn.XLOOKUP(Pipeline_tbl[[#This Row],[Closed_Date]],Dim_Date!A:A,Dim_Date!H:H)))</f>
        <v>Jan 2025</v>
      </c>
      <c r="U5805">
        <f>IF(Pipeline_tbl[[#This Row],[Closed_Date]]=0,"",Pipeline_tbl[[#This Row],[Closed_Date]]-Pipeline_tbl[[#This Row],[Created_Date]])</f>
        <v>22</v>
      </c>
    </row>
    <row r="5806" spans="1:21" ht="15" customHeight="1" x14ac:dyDescent="0.2">
      <c r="A5806" t="s">
        <v>6112</v>
      </c>
      <c r="B5806" t="s">
        <v>265</v>
      </c>
      <c r="C5806" t="s">
        <v>53</v>
      </c>
      <c r="D5806" s="49">
        <v>45637</v>
      </c>
      <c r="E5806" s="49">
        <v>45641</v>
      </c>
      <c r="F5806" s="49">
        <v>45650</v>
      </c>
      <c r="I5806" s="49">
        <v>45679</v>
      </c>
      <c r="J5806" t="s">
        <v>49</v>
      </c>
      <c r="K5806" s="33">
        <v>10300</v>
      </c>
      <c r="L5806" t="s">
        <v>62</v>
      </c>
      <c r="M5806" t="str">
        <f>_xlfn.XLOOKUP(Pipeline_tbl[[#This Row],[Rep_ID]],Dim_Reps!A:A,Dim_Reps!K:K)</f>
        <v>EUR</v>
      </c>
      <c r="N5806" s="33">
        <f>(_xlfn.XLOOKUP(Pipeline_tbl[[#This Row],[Rate_Code_Generalized]],Lookups!A:A,Lookups!B:B))*Pipeline_tbl[[#This Row],[Pipeline_Amount_USD]]</f>
        <v>10300</v>
      </c>
      <c r="O5806" t="str">
        <f>_xlfn.XLOOKUP(Pipeline_tbl[[#This Row],[Rep_ID]],Dim_Reps!A:A,Dim_Reps!B:B)</f>
        <v>Erik Duarte</v>
      </c>
      <c r="P5806" t="str">
        <f>_xlfn.XLOOKUP(Pipeline_tbl[[#This Row],[Rep_ID]],Dim_Reps!A:A,Dim_Reps!C:C)</f>
        <v>Mid-Market AE</v>
      </c>
      <c r="Q5806" t="str">
        <f>_xlfn.XLOOKUP(Pipeline_tbl[[#This Row],[Rep_ID]],Dim_Reps!A:A,Dim_Reps!D:D)</f>
        <v>Mid-Market</v>
      </c>
      <c r="R5806" t="str">
        <f>_xlfn.XLOOKUP(Pipeline_tbl[[#This Row],[Rep_ID]],Dim_Reps!A:A,Dim_Reps!E:E)</f>
        <v>EMEA</v>
      </c>
      <c r="S5806" t="str">
        <f>_xlfn.XLOOKUP(Pipeline_tbl[[#This Row],[Created_Date]],Dim_Date!A:A,Dim_Date!H:H)</f>
        <v>Dec 2024</v>
      </c>
      <c r="T5806" t="str">
        <f>IF(Pipeline_tbl[[#This Row],[Closed_Date]]=0,"",(_xlfn.XLOOKUP(Pipeline_tbl[[#This Row],[Closed_Date]],Dim_Date!A:A,Dim_Date!H:H)))</f>
        <v>Jan 2025</v>
      </c>
      <c r="U5806">
        <f>IF(Pipeline_tbl[[#This Row],[Closed_Date]]=0,"",Pipeline_tbl[[#This Row],[Closed_Date]]-Pipeline_tbl[[#This Row],[Created_Date]])</f>
        <v>42</v>
      </c>
    </row>
    <row r="5807" spans="1:21" ht="15" customHeight="1" x14ac:dyDescent="0.2">
      <c r="A5807" t="s">
        <v>6113</v>
      </c>
      <c r="B5807" t="s">
        <v>265</v>
      </c>
      <c r="C5807" t="s">
        <v>52</v>
      </c>
      <c r="D5807" s="49">
        <v>45628</v>
      </c>
      <c r="E5807" s="49">
        <v>45632</v>
      </c>
      <c r="F5807" s="49">
        <v>45639</v>
      </c>
      <c r="G5807" s="49">
        <v>45649</v>
      </c>
      <c r="H5807" s="49">
        <v>45658</v>
      </c>
      <c r="I5807" s="49">
        <v>45663</v>
      </c>
      <c r="J5807" t="s">
        <v>47</v>
      </c>
      <c r="K5807" s="33">
        <v>4400</v>
      </c>
      <c r="M5807" t="str">
        <f>_xlfn.XLOOKUP(Pipeline_tbl[[#This Row],[Rep_ID]],Dim_Reps!A:A,Dim_Reps!K:K)</f>
        <v>EUR</v>
      </c>
      <c r="N5807" s="33">
        <f>(_xlfn.XLOOKUP(Pipeline_tbl[[#This Row],[Rate_Code_Generalized]],Lookups!A:A,Lookups!B:B))*Pipeline_tbl[[#This Row],[Pipeline_Amount_USD]]</f>
        <v>4400</v>
      </c>
      <c r="O5807" t="str">
        <f>_xlfn.XLOOKUP(Pipeline_tbl[[#This Row],[Rep_ID]],Dim_Reps!A:A,Dim_Reps!B:B)</f>
        <v>Erik Duarte</v>
      </c>
      <c r="P5807" t="str">
        <f>_xlfn.XLOOKUP(Pipeline_tbl[[#This Row],[Rep_ID]],Dim_Reps!A:A,Dim_Reps!C:C)</f>
        <v>Mid-Market AE</v>
      </c>
      <c r="Q5807" t="str">
        <f>_xlfn.XLOOKUP(Pipeline_tbl[[#This Row],[Rep_ID]],Dim_Reps!A:A,Dim_Reps!D:D)</f>
        <v>Mid-Market</v>
      </c>
      <c r="R5807" t="str">
        <f>_xlfn.XLOOKUP(Pipeline_tbl[[#This Row],[Rep_ID]],Dim_Reps!A:A,Dim_Reps!E:E)</f>
        <v>EMEA</v>
      </c>
      <c r="S5807" t="str">
        <f>_xlfn.XLOOKUP(Pipeline_tbl[[#This Row],[Created_Date]],Dim_Date!A:A,Dim_Date!H:H)</f>
        <v>Dec 2024</v>
      </c>
      <c r="T5807" t="str">
        <f>IF(Pipeline_tbl[[#This Row],[Closed_Date]]=0,"",(_xlfn.XLOOKUP(Pipeline_tbl[[#This Row],[Closed_Date]],Dim_Date!A:A,Dim_Date!H:H)))</f>
        <v>Jan 2025</v>
      </c>
      <c r="U5807">
        <f>IF(Pipeline_tbl[[#This Row],[Closed_Date]]=0,"",Pipeline_tbl[[#This Row],[Closed_Date]]-Pipeline_tbl[[#This Row],[Created_Date]])</f>
        <v>35</v>
      </c>
    </row>
    <row r="5808" spans="1:21" ht="15" customHeight="1" x14ac:dyDescent="0.2">
      <c r="A5808" t="s">
        <v>6114</v>
      </c>
      <c r="B5808" t="s">
        <v>233</v>
      </c>
      <c r="C5808" t="s">
        <v>52</v>
      </c>
      <c r="D5808" s="49">
        <v>45647</v>
      </c>
      <c r="E5808" s="49">
        <v>45649</v>
      </c>
      <c r="F5808" s="49">
        <v>45654</v>
      </c>
      <c r="I5808" s="49">
        <v>45669</v>
      </c>
      <c r="J5808" t="s">
        <v>49</v>
      </c>
      <c r="K5808" s="33">
        <v>4000</v>
      </c>
      <c r="L5808" t="s">
        <v>62</v>
      </c>
      <c r="M5808" t="str">
        <f>_xlfn.XLOOKUP(Pipeline_tbl[[#This Row],[Rep_ID]],Dim_Reps!A:A,Dim_Reps!K:K)</f>
        <v>MXN</v>
      </c>
      <c r="N5808" s="33">
        <f>(_xlfn.XLOOKUP(Pipeline_tbl[[#This Row],[Rate_Code_Generalized]],Lookups!A:A,Lookups!B:B))*Pipeline_tbl[[#This Row],[Pipeline_Amount_USD]]</f>
        <v>78930.8</v>
      </c>
      <c r="O5808" t="str">
        <f>_xlfn.XLOOKUP(Pipeline_tbl[[#This Row],[Rep_ID]],Dim_Reps!A:A,Dim_Reps!B:B)</f>
        <v>Lucas Duarte</v>
      </c>
      <c r="P5808" t="str">
        <f>_xlfn.XLOOKUP(Pipeline_tbl[[#This Row],[Rep_ID]],Dim_Reps!A:A,Dim_Reps!C:C)</f>
        <v>SDR / Inside Sales Rep</v>
      </c>
      <c r="Q5808" t="str">
        <f>_xlfn.XLOOKUP(Pipeline_tbl[[#This Row],[Rep_ID]],Dim_Reps!A:A,Dim_Reps!D:D)</f>
        <v>Inside Sales</v>
      </c>
      <c r="R5808" t="str">
        <f>_xlfn.XLOOKUP(Pipeline_tbl[[#This Row],[Rep_ID]],Dim_Reps!A:A,Dim_Reps!E:E)</f>
        <v>LATAM</v>
      </c>
      <c r="S5808" t="str">
        <f>_xlfn.XLOOKUP(Pipeline_tbl[[#This Row],[Created_Date]],Dim_Date!A:A,Dim_Date!H:H)</f>
        <v>Dec 2024</v>
      </c>
      <c r="T5808" t="str">
        <f>IF(Pipeline_tbl[[#This Row],[Closed_Date]]=0,"",(_xlfn.XLOOKUP(Pipeline_tbl[[#This Row],[Closed_Date]],Dim_Date!A:A,Dim_Date!H:H)))</f>
        <v>Jan 2025</v>
      </c>
      <c r="U5808">
        <f>IF(Pipeline_tbl[[#This Row],[Closed_Date]]=0,"",Pipeline_tbl[[#This Row],[Closed_Date]]-Pipeline_tbl[[#This Row],[Created_Date]])</f>
        <v>22</v>
      </c>
    </row>
    <row r="5809" spans="1:21" ht="15" customHeight="1" x14ac:dyDescent="0.2">
      <c r="A5809" t="s">
        <v>6115</v>
      </c>
      <c r="B5809" t="s">
        <v>233</v>
      </c>
      <c r="C5809" t="s">
        <v>52</v>
      </c>
      <c r="D5809" s="49">
        <v>45646</v>
      </c>
      <c r="E5809" s="49">
        <v>45648</v>
      </c>
      <c r="F5809" s="49">
        <v>45653</v>
      </c>
      <c r="I5809" s="49">
        <v>45668</v>
      </c>
      <c r="J5809" t="s">
        <v>49</v>
      </c>
      <c r="K5809" s="33">
        <v>3500</v>
      </c>
      <c r="L5809" t="s">
        <v>64</v>
      </c>
      <c r="M5809" t="str">
        <f>_xlfn.XLOOKUP(Pipeline_tbl[[#This Row],[Rep_ID]],Dim_Reps!A:A,Dim_Reps!K:K)</f>
        <v>MXN</v>
      </c>
      <c r="N5809" s="33">
        <f>(_xlfn.XLOOKUP(Pipeline_tbl[[#This Row],[Rate_Code_Generalized]],Lookups!A:A,Lookups!B:B))*Pipeline_tbl[[#This Row],[Pipeline_Amount_USD]]</f>
        <v>69064.45</v>
      </c>
      <c r="O5809" t="str">
        <f>_xlfn.XLOOKUP(Pipeline_tbl[[#This Row],[Rep_ID]],Dim_Reps!A:A,Dim_Reps!B:B)</f>
        <v>Lucas Duarte</v>
      </c>
      <c r="P5809" t="str">
        <f>_xlfn.XLOOKUP(Pipeline_tbl[[#This Row],[Rep_ID]],Dim_Reps!A:A,Dim_Reps!C:C)</f>
        <v>SDR / Inside Sales Rep</v>
      </c>
      <c r="Q5809" t="str">
        <f>_xlfn.XLOOKUP(Pipeline_tbl[[#This Row],[Rep_ID]],Dim_Reps!A:A,Dim_Reps!D:D)</f>
        <v>Inside Sales</v>
      </c>
      <c r="R5809" t="str">
        <f>_xlfn.XLOOKUP(Pipeline_tbl[[#This Row],[Rep_ID]],Dim_Reps!A:A,Dim_Reps!E:E)</f>
        <v>LATAM</v>
      </c>
      <c r="S5809" t="str">
        <f>_xlfn.XLOOKUP(Pipeline_tbl[[#This Row],[Created_Date]],Dim_Date!A:A,Dim_Date!H:H)</f>
        <v>Dec 2024</v>
      </c>
      <c r="T5809" t="str">
        <f>IF(Pipeline_tbl[[#This Row],[Closed_Date]]=0,"",(_xlfn.XLOOKUP(Pipeline_tbl[[#This Row],[Closed_Date]],Dim_Date!A:A,Dim_Date!H:H)))</f>
        <v>Jan 2025</v>
      </c>
      <c r="U5809">
        <f>IF(Pipeline_tbl[[#This Row],[Closed_Date]]=0,"",Pipeline_tbl[[#This Row],[Closed_Date]]-Pipeline_tbl[[#This Row],[Created_Date]])</f>
        <v>22</v>
      </c>
    </row>
    <row r="5810" spans="1:21" ht="15" customHeight="1" x14ac:dyDescent="0.2">
      <c r="A5810" t="s">
        <v>6116</v>
      </c>
      <c r="B5810" t="s">
        <v>233</v>
      </c>
      <c r="C5810" t="s">
        <v>55</v>
      </c>
      <c r="D5810" s="49">
        <v>45642</v>
      </c>
      <c r="E5810" s="49">
        <v>45644</v>
      </c>
      <c r="F5810" s="49">
        <v>45648</v>
      </c>
      <c r="G5810" s="49">
        <v>45654</v>
      </c>
      <c r="H5810" s="49">
        <v>45659</v>
      </c>
      <c r="I5810" s="49">
        <v>45662</v>
      </c>
      <c r="J5810" t="s">
        <v>47</v>
      </c>
      <c r="K5810" s="33">
        <v>2900</v>
      </c>
      <c r="M5810" t="str">
        <f>_xlfn.XLOOKUP(Pipeline_tbl[[#This Row],[Rep_ID]],Dim_Reps!A:A,Dim_Reps!K:K)</f>
        <v>MXN</v>
      </c>
      <c r="N5810" s="33">
        <f>(_xlfn.XLOOKUP(Pipeline_tbl[[#This Row],[Rate_Code_Generalized]],Lookups!A:A,Lookups!B:B))*Pipeline_tbl[[#This Row],[Pipeline_Amount_USD]]</f>
        <v>57224.83</v>
      </c>
      <c r="O5810" t="str">
        <f>_xlfn.XLOOKUP(Pipeline_tbl[[#This Row],[Rep_ID]],Dim_Reps!A:A,Dim_Reps!B:B)</f>
        <v>Lucas Duarte</v>
      </c>
      <c r="P5810" t="str">
        <f>_xlfn.XLOOKUP(Pipeline_tbl[[#This Row],[Rep_ID]],Dim_Reps!A:A,Dim_Reps!C:C)</f>
        <v>SDR / Inside Sales Rep</v>
      </c>
      <c r="Q5810" t="str">
        <f>_xlfn.XLOOKUP(Pipeline_tbl[[#This Row],[Rep_ID]],Dim_Reps!A:A,Dim_Reps!D:D)</f>
        <v>Inside Sales</v>
      </c>
      <c r="R5810" t="str">
        <f>_xlfn.XLOOKUP(Pipeline_tbl[[#This Row],[Rep_ID]],Dim_Reps!A:A,Dim_Reps!E:E)</f>
        <v>LATAM</v>
      </c>
      <c r="S5810" t="str">
        <f>_xlfn.XLOOKUP(Pipeline_tbl[[#This Row],[Created_Date]],Dim_Date!A:A,Dim_Date!H:H)</f>
        <v>Dec 2024</v>
      </c>
      <c r="T5810" t="str">
        <f>IF(Pipeline_tbl[[#This Row],[Closed_Date]]=0,"",(_xlfn.XLOOKUP(Pipeline_tbl[[#This Row],[Closed_Date]],Dim_Date!A:A,Dim_Date!H:H)))</f>
        <v>Jan 2025</v>
      </c>
      <c r="U5810">
        <f>IF(Pipeline_tbl[[#This Row],[Closed_Date]]=0,"",Pipeline_tbl[[#This Row],[Closed_Date]]-Pipeline_tbl[[#This Row],[Created_Date]])</f>
        <v>20</v>
      </c>
    </row>
    <row r="5811" spans="1:21" ht="15" customHeight="1" x14ac:dyDescent="0.2">
      <c r="A5811" t="s">
        <v>6117</v>
      </c>
      <c r="B5811" t="s">
        <v>233</v>
      </c>
      <c r="C5811" t="s">
        <v>52</v>
      </c>
      <c r="D5811" s="49">
        <v>45647</v>
      </c>
      <c r="E5811" s="49">
        <v>45649</v>
      </c>
      <c r="F5811" s="49">
        <v>45654</v>
      </c>
      <c r="G5811" s="49">
        <v>45661</v>
      </c>
      <c r="H5811" s="49">
        <v>45667</v>
      </c>
      <c r="I5811" s="49">
        <v>45670</v>
      </c>
      <c r="J5811" t="s">
        <v>47</v>
      </c>
      <c r="K5811" s="33">
        <v>8800</v>
      </c>
      <c r="M5811" t="str">
        <f>_xlfn.XLOOKUP(Pipeline_tbl[[#This Row],[Rep_ID]],Dim_Reps!A:A,Dim_Reps!K:K)</f>
        <v>MXN</v>
      </c>
      <c r="N5811" s="33">
        <f>(_xlfn.XLOOKUP(Pipeline_tbl[[#This Row],[Rate_Code_Generalized]],Lookups!A:A,Lookups!B:B))*Pipeline_tbl[[#This Row],[Pipeline_Amount_USD]]</f>
        <v>173647.76</v>
      </c>
      <c r="O5811" t="str">
        <f>_xlfn.XLOOKUP(Pipeline_tbl[[#This Row],[Rep_ID]],Dim_Reps!A:A,Dim_Reps!B:B)</f>
        <v>Lucas Duarte</v>
      </c>
      <c r="P5811" t="str">
        <f>_xlfn.XLOOKUP(Pipeline_tbl[[#This Row],[Rep_ID]],Dim_Reps!A:A,Dim_Reps!C:C)</f>
        <v>SDR / Inside Sales Rep</v>
      </c>
      <c r="Q5811" t="str">
        <f>_xlfn.XLOOKUP(Pipeline_tbl[[#This Row],[Rep_ID]],Dim_Reps!A:A,Dim_Reps!D:D)</f>
        <v>Inside Sales</v>
      </c>
      <c r="R5811" t="str">
        <f>_xlfn.XLOOKUP(Pipeline_tbl[[#This Row],[Rep_ID]],Dim_Reps!A:A,Dim_Reps!E:E)</f>
        <v>LATAM</v>
      </c>
      <c r="S5811" t="str">
        <f>_xlfn.XLOOKUP(Pipeline_tbl[[#This Row],[Created_Date]],Dim_Date!A:A,Dim_Date!H:H)</f>
        <v>Dec 2024</v>
      </c>
      <c r="T5811" t="str">
        <f>IF(Pipeline_tbl[[#This Row],[Closed_Date]]=0,"",(_xlfn.XLOOKUP(Pipeline_tbl[[#This Row],[Closed_Date]],Dim_Date!A:A,Dim_Date!H:H)))</f>
        <v>Jan 2025</v>
      </c>
      <c r="U5811">
        <f>IF(Pipeline_tbl[[#This Row],[Closed_Date]]=0,"",Pipeline_tbl[[#This Row],[Closed_Date]]-Pipeline_tbl[[#This Row],[Created_Date]])</f>
        <v>23</v>
      </c>
    </row>
    <row r="5812" spans="1:21" ht="15" customHeight="1" x14ac:dyDescent="0.2">
      <c r="A5812" t="s">
        <v>6118</v>
      </c>
      <c r="B5812" t="s">
        <v>233</v>
      </c>
      <c r="C5812" t="s">
        <v>55</v>
      </c>
      <c r="D5812" s="49">
        <v>45636</v>
      </c>
      <c r="E5812" s="49">
        <v>45638</v>
      </c>
      <c r="F5812" s="49">
        <v>45643</v>
      </c>
      <c r="G5812" s="49">
        <v>45650</v>
      </c>
      <c r="I5812" s="49">
        <v>45660</v>
      </c>
      <c r="J5812" t="s">
        <v>49</v>
      </c>
      <c r="K5812" s="33">
        <v>7100</v>
      </c>
      <c r="L5812" t="s">
        <v>64</v>
      </c>
      <c r="M5812" t="str">
        <f>_xlfn.XLOOKUP(Pipeline_tbl[[#This Row],[Rep_ID]],Dim_Reps!A:A,Dim_Reps!K:K)</f>
        <v>MXN</v>
      </c>
      <c r="N5812" s="33">
        <f>(_xlfn.XLOOKUP(Pipeline_tbl[[#This Row],[Rate_Code_Generalized]],Lookups!A:A,Lookups!B:B))*Pipeline_tbl[[#This Row],[Pipeline_Amount_USD]]</f>
        <v>140102.17000000001</v>
      </c>
      <c r="O5812" t="str">
        <f>_xlfn.XLOOKUP(Pipeline_tbl[[#This Row],[Rep_ID]],Dim_Reps!A:A,Dim_Reps!B:B)</f>
        <v>Lucas Duarte</v>
      </c>
      <c r="P5812" t="str">
        <f>_xlfn.XLOOKUP(Pipeline_tbl[[#This Row],[Rep_ID]],Dim_Reps!A:A,Dim_Reps!C:C)</f>
        <v>SDR / Inside Sales Rep</v>
      </c>
      <c r="Q5812" t="str">
        <f>_xlfn.XLOOKUP(Pipeline_tbl[[#This Row],[Rep_ID]],Dim_Reps!A:A,Dim_Reps!D:D)</f>
        <v>Inside Sales</v>
      </c>
      <c r="R5812" t="str">
        <f>_xlfn.XLOOKUP(Pipeline_tbl[[#This Row],[Rep_ID]],Dim_Reps!A:A,Dim_Reps!E:E)</f>
        <v>LATAM</v>
      </c>
      <c r="S5812" t="str">
        <f>_xlfn.XLOOKUP(Pipeline_tbl[[#This Row],[Created_Date]],Dim_Date!A:A,Dim_Date!H:H)</f>
        <v>Dec 2024</v>
      </c>
      <c r="T5812" t="str">
        <f>IF(Pipeline_tbl[[#This Row],[Closed_Date]]=0,"",(_xlfn.XLOOKUP(Pipeline_tbl[[#This Row],[Closed_Date]],Dim_Date!A:A,Dim_Date!H:H)))</f>
        <v>Jan 2025</v>
      </c>
      <c r="U5812">
        <f>IF(Pipeline_tbl[[#This Row],[Closed_Date]]=0,"",Pipeline_tbl[[#This Row],[Closed_Date]]-Pipeline_tbl[[#This Row],[Created_Date]])</f>
        <v>24</v>
      </c>
    </row>
    <row r="5813" spans="1:21" ht="15" customHeight="1" x14ac:dyDescent="0.2">
      <c r="A5813" t="s">
        <v>6119</v>
      </c>
      <c r="B5813" t="s">
        <v>233</v>
      </c>
      <c r="C5813" t="s">
        <v>53</v>
      </c>
      <c r="D5813" s="49">
        <v>45642</v>
      </c>
      <c r="E5813" s="49">
        <v>45644</v>
      </c>
      <c r="F5813" s="49">
        <v>45647</v>
      </c>
      <c r="G5813" s="49">
        <v>45653</v>
      </c>
      <c r="H5813" s="49">
        <v>45657</v>
      </c>
      <c r="I5813" s="49">
        <v>45660</v>
      </c>
      <c r="J5813" t="s">
        <v>49</v>
      </c>
      <c r="K5813" s="33">
        <v>4900</v>
      </c>
      <c r="L5813" t="s">
        <v>63</v>
      </c>
      <c r="M5813" t="str">
        <f>_xlfn.XLOOKUP(Pipeline_tbl[[#This Row],[Rep_ID]],Dim_Reps!A:A,Dim_Reps!K:K)</f>
        <v>MXN</v>
      </c>
      <c r="N5813" s="33">
        <f>(_xlfn.XLOOKUP(Pipeline_tbl[[#This Row],[Rate_Code_Generalized]],Lookups!A:A,Lookups!B:B))*Pipeline_tbl[[#This Row],[Pipeline_Amount_USD]]</f>
        <v>96690.23000000001</v>
      </c>
      <c r="O5813" t="str">
        <f>_xlfn.XLOOKUP(Pipeline_tbl[[#This Row],[Rep_ID]],Dim_Reps!A:A,Dim_Reps!B:B)</f>
        <v>Lucas Duarte</v>
      </c>
      <c r="P5813" t="str">
        <f>_xlfn.XLOOKUP(Pipeline_tbl[[#This Row],[Rep_ID]],Dim_Reps!A:A,Dim_Reps!C:C)</f>
        <v>SDR / Inside Sales Rep</v>
      </c>
      <c r="Q5813" t="str">
        <f>_xlfn.XLOOKUP(Pipeline_tbl[[#This Row],[Rep_ID]],Dim_Reps!A:A,Dim_Reps!D:D)</f>
        <v>Inside Sales</v>
      </c>
      <c r="R5813" t="str">
        <f>_xlfn.XLOOKUP(Pipeline_tbl[[#This Row],[Rep_ID]],Dim_Reps!A:A,Dim_Reps!E:E)</f>
        <v>LATAM</v>
      </c>
      <c r="S5813" t="str">
        <f>_xlfn.XLOOKUP(Pipeline_tbl[[#This Row],[Created_Date]],Dim_Date!A:A,Dim_Date!H:H)</f>
        <v>Dec 2024</v>
      </c>
      <c r="T5813" t="str">
        <f>IF(Pipeline_tbl[[#This Row],[Closed_Date]]=0,"",(_xlfn.XLOOKUP(Pipeline_tbl[[#This Row],[Closed_Date]],Dim_Date!A:A,Dim_Date!H:H)))</f>
        <v>Jan 2025</v>
      </c>
      <c r="U5813">
        <f>IF(Pipeline_tbl[[#This Row],[Closed_Date]]=0,"",Pipeline_tbl[[#This Row],[Closed_Date]]-Pipeline_tbl[[#This Row],[Created_Date]])</f>
        <v>18</v>
      </c>
    </row>
    <row r="5814" spans="1:21" ht="15" customHeight="1" x14ac:dyDescent="0.2">
      <c r="A5814" t="s">
        <v>6120</v>
      </c>
      <c r="B5814" t="s">
        <v>233</v>
      </c>
      <c r="C5814" t="s">
        <v>54</v>
      </c>
      <c r="D5814" s="49">
        <v>45654</v>
      </c>
      <c r="E5814" s="49">
        <v>45655</v>
      </c>
      <c r="F5814" s="49">
        <v>45658</v>
      </c>
      <c r="I5814" s="49">
        <v>45667</v>
      </c>
      <c r="J5814" t="s">
        <v>49</v>
      </c>
      <c r="K5814" s="33">
        <v>4800</v>
      </c>
      <c r="L5814" t="s">
        <v>61</v>
      </c>
      <c r="M5814" t="str">
        <f>_xlfn.XLOOKUP(Pipeline_tbl[[#This Row],[Rep_ID]],Dim_Reps!A:A,Dim_Reps!K:K)</f>
        <v>MXN</v>
      </c>
      <c r="N5814" s="33">
        <f>(_xlfn.XLOOKUP(Pipeline_tbl[[#This Row],[Rate_Code_Generalized]],Lookups!A:A,Lookups!B:B))*Pipeline_tbl[[#This Row],[Pipeline_Amount_USD]]</f>
        <v>94716.96</v>
      </c>
      <c r="O5814" t="str">
        <f>_xlfn.XLOOKUP(Pipeline_tbl[[#This Row],[Rep_ID]],Dim_Reps!A:A,Dim_Reps!B:B)</f>
        <v>Lucas Duarte</v>
      </c>
      <c r="P5814" t="str">
        <f>_xlfn.XLOOKUP(Pipeline_tbl[[#This Row],[Rep_ID]],Dim_Reps!A:A,Dim_Reps!C:C)</f>
        <v>SDR / Inside Sales Rep</v>
      </c>
      <c r="Q5814" t="str">
        <f>_xlfn.XLOOKUP(Pipeline_tbl[[#This Row],[Rep_ID]],Dim_Reps!A:A,Dim_Reps!D:D)</f>
        <v>Inside Sales</v>
      </c>
      <c r="R5814" t="str">
        <f>_xlfn.XLOOKUP(Pipeline_tbl[[#This Row],[Rep_ID]],Dim_Reps!A:A,Dim_Reps!E:E)</f>
        <v>LATAM</v>
      </c>
      <c r="S5814" t="str">
        <f>_xlfn.XLOOKUP(Pipeline_tbl[[#This Row],[Created_Date]],Dim_Date!A:A,Dim_Date!H:H)</f>
        <v>Dec 2024</v>
      </c>
      <c r="T5814" t="str">
        <f>IF(Pipeline_tbl[[#This Row],[Closed_Date]]=0,"",(_xlfn.XLOOKUP(Pipeline_tbl[[#This Row],[Closed_Date]],Dim_Date!A:A,Dim_Date!H:H)))</f>
        <v>Jan 2025</v>
      </c>
      <c r="U5814">
        <f>IF(Pipeline_tbl[[#This Row],[Closed_Date]]=0,"",Pipeline_tbl[[#This Row],[Closed_Date]]-Pipeline_tbl[[#This Row],[Created_Date]])</f>
        <v>13</v>
      </c>
    </row>
    <row r="5815" spans="1:21" ht="15" customHeight="1" x14ac:dyDescent="0.2">
      <c r="A5815" t="s">
        <v>6121</v>
      </c>
      <c r="B5815" t="s">
        <v>267</v>
      </c>
      <c r="C5815" t="s">
        <v>52</v>
      </c>
      <c r="D5815" s="49">
        <v>45640</v>
      </c>
      <c r="E5815" s="49">
        <v>45644</v>
      </c>
      <c r="F5815" s="49">
        <v>45653</v>
      </c>
      <c r="I5815" s="49">
        <v>45683</v>
      </c>
      <c r="J5815" t="s">
        <v>49</v>
      </c>
      <c r="K5815" s="33">
        <v>10900</v>
      </c>
      <c r="L5815" t="s">
        <v>60</v>
      </c>
      <c r="M5815" t="str">
        <f>_xlfn.XLOOKUP(Pipeline_tbl[[#This Row],[Rep_ID]],Dim_Reps!A:A,Dim_Reps!K:K)</f>
        <v>MXN</v>
      </c>
      <c r="N5815" s="33">
        <f>(_xlfn.XLOOKUP(Pipeline_tbl[[#This Row],[Rate_Code_Generalized]],Lookups!A:A,Lookups!B:B))*Pipeline_tbl[[#This Row],[Pipeline_Amount_USD]]</f>
        <v>215086.43000000002</v>
      </c>
      <c r="O5815" t="str">
        <f>_xlfn.XLOOKUP(Pipeline_tbl[[#This Row],[Rep_ID]],Dim_Reps!A:A,Dim_Reps!B:B)</f>
        <v>Yuki Dubois</v>
      </c>
      <c r="P5815" t="str">
        <f>_xlfn.XLOOKUP(Pipeline_tbl[[#This Row],[Rep_ID]],Dim_Reps!A:A,Dim_Reps!C:C)</f>
        <v>Mid-Market AE</v>
      </c>
      <c r="Q5815" t="str">
        <f>_xlfn.XLOOKUP(Pipeline_tbl[[#This Row],[Rep_ID]],Dim_Reps!A:A,Dim_Reps!D:D)</f>
        <v>Mid-Market</v>
      </c>
      <c r="R5815" t="str">
        <f>_xlfn.XLOOKUP(Pipeline_tbl[[#This Row],[Rep_ID]],Dim_Reps!A:A,Dim_Reps!E:E)</f>
        <v>LATAM</v>
      </c>
      <c r="S5815" t="str">
        <f>_xlfn.XLOOKUP(Pipeline_tbl[[#This Row],[Created_Date]],Dim_Date!A:A,Dim_Date!H:H)</f>
        <v>Dec 2024</v>
      </c>
      <c r="T5815" t="str">
        <f>IF(Pipeline_tbl[[#This Row],[Closed_Date]]=0,"",(_xlfn.XLOOKUP(Pipeline_tbl[[#This Row],[Closed_Date]],Dim_Date!A:A,Dim_Date!H:H)))</f>
        <v>Jan 2025</v>
      </c>
      <c r="U5815">
        <f>IF(Pipeline_tbl[[#This Row],[Closed_Date]]=0,"",Pipeline_tbl[[#This Row],[Closed_Date]]-Pipeline_tbl[[#This Row],[Created_Date]])</f>
        <v>43</v>
      </c>
    </row>
    <row r="5816" spans="1:21" ht="15" customHeight="1" x14ac:dyDescent="0.2">
      <c r="A5816" t="s">
        <v>6122</v>
      </c>
      <c r="B5816" t="s">
        <v>267</v>
      </c>
      <c r="C5816" t="s">
        <v>54</v>
      </c>
      <c r="D5816" s="49">
        <v>45650</v>
      </c>
      <c r="E5816" s="49">
        <v>45653</v>
      </c>
      <c r="F5816" s="49">
        <v>45658</v>
      </c>
      <c r="G5816" s="49">
        <v>45667</v>
      </c>
      <c r="H5816" s="49">
        <v>45674</v>
      </c>
      <c r="I5816" s="49">
        <v>45678</v>
      </c>
      <c r="J5816" t="s">
        <v>49</v>
      </c>
      <c r="K5816" s="33">
        <v>8900</v>
      </c>
      <c r="L5816" t="s">
        <v>62</v>
      </c>
      <c r="M5816" t="str">
        <f>_xlfn.XLOOKUP(Pipeline_tbl[[#This Row],[Rep_ID]],Dim_Reps!A:A,Dim_Reps!K:K)</f>
        <v>MXN</v>
      </c>
      <c r="N5816" s="33">
        <f>(_xlfn.XLOOKUP(Pipeline_tbl[[#This Row],[Rate_Code_Generalized]],Lookups!A:A,Lookups!B:B))*Pipeline_tbl[[#This Row],[Pipeline_Amount_USD]]</f>
        <v>175621.03</v>
      </c>
      <c r="O5816" t="str">
        <f>_xlfn.XLOOKUP(Pipeline_tbl[[#This Row],[Rep_ID]],Dim_Reps!A:A,Dim_Reps!B:B)</f>
        <v>Yuki Dubois</v>
      </c>
      <c r="P5816" t="str">
        <f>_xlfn.XLOOKUP(Pipeline_tbl[[#This Row],[Rep_ID]],Dim_Reps!A:A,Dim_Reps!C:C)</f>
        <v>Mid-Market AE</v>
      </c>
      <c r="Q5816" t="str">
        <f>_xlfn.XLOOKUP(Pipeline_tbl[[#This Row],[Rep_ID]],Dim_Reps!A:A,Dim_Reps!D:D)</f>
        <v>Mid-Market</v>
      </c>
      <c r="R5816" t="str">
        <f>_xlfn.XLOOKUP(Pipeline_tbl[[#This Row],[Rep_ID]],Dim_Reps!A:A,Dim_Reps!E:E)</f>
        <v>LATAM</v>
      </c>
      <c r="S5816" t="str">
        <f>_xlfn.XLOOKUP(Pipeline_tbl[[#This Row],[Created_Date]],Dim_Date!A:A,Dim_Date!H:H)</f>
        <v>Dec 2024</v>
      </c>
      <c r="T5816" t="str">
        <f>IF(Pipeline_tbl[[#This Row],[Closed_Date]]=0,"",(_xlfn.XLOOKUP(Pipeline_tbl[[#This Row],[Closed_Date]],Dim_Date!A:A,Dim_Date!H:H)))</f>
        <v>Jan 2025</v>
      </c>
      <c r="U5816">
        <f>IF(Pipeline_tbl[[#This Row],[Closed_Date]]=0,"",Pipeline_tbl[[#This Row],[Closed_Date]]-Pipeline_tbl[[#This Row],[Created_Date]])</f>
        <v>28</v>
      </c>
    </row>
    <row r="5817" spans="1:21" ht="15" customHeight="1" x14ac:dyDescent="0.2">
      <c r="A5817" t="s">
        <v>6123</v>
      </c>
      <c r="B5817" t="s">
        <v>267</v>
      </c>
      <c r="C5817" t="s">
        <v>52</v>
      </c>
      <c r="D5817" s="49">
        <v>45642</v>
      </c>
      <c r="E5817" s="49">
        <v>45644</v>
      </c>
      <c r="F5817" s="49">
        <v>45649</v>
      </c>
      <c r="I5817" s="49">
        <v>45666</v>
      </c>
      <c r="J5817" t="s">
        <v>49</v>
      </c>
      <c r="K5817" s="33">
        <v>6500</v>
      </c>
      <c r="L5817" t="s">
        <v>60</v>
      </c>
      <c r="M5817" t="str">
        <f>_xlfn.XLOOKUP(Pipeline_tbl[[#This Row],[Rep_ID]],Dim_Reps!A:A,Dim_Reps!K:K)</f>
        <v>MXN</v>
      </c>
      <c r="N5817" s="33">
        <f>(_xlfn.XLOOKUP(Pipeline_tbl[[#This Row],[Rate_Code_Generalized]],Lookups!A:A,Lookups!B:B))*Pipeline_tbl[[#This Row],[Pipeline_Amount_USD]]</f>
        <v>128262.55</v>
      </c>
      <c r="O5817" t="str">
        <f>_xlfn.XLOOKUP(Pipeline_tbl[[#This Row],[Rep_ID]],Dim_Reps!A:A,Dim_Reps!B:B)</f>
        <v>Yuki Dubois</v>
      </c>
      <c r="P5817" t="str">
        <f>_xlfn.XLOOKUP(Pipeline_tbl[[#This Row],[Rep_ID]],Dim_Reps!A:A,Dim_Reps!C:C)</f>
        <v>Mid-Market AE</v>
      </c>
      <c r="Q5817" t="str">
        <f>_xlfn.XLOOKUP(Pipeline_tbl[[#This Row],[Rep_ID]],Dim_Reps!A:A,Dim_Reps!D:D)</f>
        <v>Mid-Market</v>
      </c>
      <c r="R5817" t="str">
        <f>_xlfn.XLOOKUP(Pipeline_tbl[[#This Row],[Rep_ID]],Dim_Reps!A:A,Dim_Reps!E:E)</f>
        <v>LATAM</v>
      </c>
      <c r="S5817" t="str">
        <f>_xlfn.XLOOKUP(Pipeline_tbl[[#This Row],[Created_Date]],Dim_Date!A:A,Dim_Date!H:H)</f>
        <v>Dec 2024</v>
      </c>
      <c r="T5817" t="str">
        <f>IF(Pipeline_tbl[[#This Row],[Closed_Date]]=0,"",(_xlfn.XLOOKUP(Pipeline_tbl[[#This Row],[Closed_Date]],Dim_Date!A:A,Dim_Date!H:H)))</f>
        <v>Jan 2025</v>
      </c>
      <c r="U5817">
        <f>IF(Pipeline_tbl[[#This Row],[Closed_Date]]=0,"",Pipeline_tbl[[#This Row],[Closed_Date]]-Pipeline_tbl[[#This Row],[Created_Date]])</f>
        <v>24</v>
      </c>
    </row>
    <row r="5818" spans="1:21" ht="15" customHeight="1" x14ac:dyDescent="0.2">
      <c r="A5818" t="s">
        <v>6124</v>
      </c>
      <c r="B5818" t="s">
        <v>267</v>
      </c>
      <c r="C5818" t="s">
        <v>53</v>
      </c>
      <c r="D5818" s="49">
        <v>45643</v>
      </c>
      <c r="E5818" s="49">
        <v>45646</v>
      </c>
      <c r="F5818" s="49">
        <v>45652</v>
      </c>
      <c r="G5818" s="49">
        <v>45661</v>
      </c>
      <c r="H5818" s="49">
        <v>45669</v>
      </c>
      <c r="I5818" s="49">
        <v>45673</v>
      </c>
      <c r="J5818" t="s">
        <v>47</v>
      </c>
      <c r="K5818" s="33">
        <v>7100</v>
      </c>
      <c r="M5818" t="str">
        <f>_xlfn.XLOOKUP(Pipeline_tbl[[#This Row],[Rep_ID]],Dim_Reps!A:A,Dim_Reps!K:K)</f>
        <v>MXN</v>
      </c>
      <c r="N5818" s="33">
        <f>(_xlfn.XLOOKUP(Pipeline_tbl[[#This Row],[Rate_Code_Generalized]],Lookups!A:A,Lookups!B:B))*Pipeline_tbl[[#This Row],[Pipeline_Amount_USD]]</f>
        <v>140102.17000000001</v>
      </c>
      <c r="O5818" t="str">
        <f>_xlfn.XLOOKUP(Pipeline_tbl[[#This Row],[Rep_ID]],Dim_Reps!A:A,Dim_Reps!B:B)</f>
        <v>Yuki Dubois</v>
      </c>
      <c r="P5818" t="str">
        <f>_xlfn.XLOOKUP(Pipeline_tbl[[#This Row],[Rep_ID]],Dim_Reps!A:A,Dim_Reps!C:C)</f>
        <v>Mid-Market AE</v>
      </c>
      <c r="Q5818" t="str">
        <f>_xlfn.XLOOKUP(Pipeline_tbl[[#This Row],[Rep_ID]],Dim_Reps!A:A,Dim_Reps!D:D)</f>
        <v>Mid-Market</v>
      </c>
      <c r="R5818" t="str">
        <f>_xlfn.XLOOKUP(Pipeline_tbl[[#This Row],[Rep_ID]],Dim_Reps!A:A,Dim_Reps!E:E)</f>
        <v>LATAM</v>
      </c>
      <c r="S5818" t="str">
        <f>_xlfn.XLOOKUP(Pipeline_tbl[[#This Row],[Created_Date]],Dim_Date!A:A,Dim_Date!H:H)</f>
        <v>Dec 2024</v>
      </c>
      <c r="T5818" t="str">
        <f>IF(Pipeline_tbl[[#This Row],[Closed_Date]]=0,"",(_xlfn.XLOOKUP(Pipeline_tbl[[#This Row],[Closed_Date]],Dim_Date!A:A,Dim_Date!H:H)))</f>
        <v>Jan 2025</v>
      </c>
      <c r="U5818">
        <f>IF(Pipeline_tbl[[#This Row],[Closed_Date]]=0,"",Pipeline_tbl[[#This Row],[Closed_Date]]-Pipeline_tbl[[#This Row],[Created_Date]])</f>
        <v>30</v>
      </c>
    </row>
    <row r="5819" spans="1:21" ht="15" customHeight="1" x14ac:dyDescent="0.2">
      <c r="A5819" t="s">
        <v>6125</v>
      </c>
      <c r="B5819" t="s">
        <v>267</v>
      </c>
      <c r="C5819" t="s">
        <v>54</v>
      </c>
      <c r="D5819" s="49">
        <v>45638</v>
      </c>
      <c r="E5819" s="49">
        <v>45642</v>
      </c>
      <c r="F5819" s="49">
        <v>45651</v>
      </c>
      <c r="G5819" s="49">
        <v>45663</v>
      </c>
      <c r="I5819" s="49">
        <v>45680</v>
      </c>
      <c r="J5819" t="s">
        <v>49</v>
      </c>
      <c r="K5819" s="33">
        <v>18700</v>
      </c>
      <c r="L5819" t="s">
        <v>60</v>
      </c>
      <c r="M5819" t="str">
        <f>_xlfn.XLOOKUP(Pipeline_tbl[[#This Row],[Rep_ID]],Dim_Reps!A:A,Dim_Reps!K:K)</f>
        <v>MXN</v>
      </c>
      <c r="N5819" s="33">
        <f>(_xlfn.XLOOKUP(Pipeline_tbl[[#This Row],[Rate_Code_Generalized]],Lookups!A:A,Lookups!B:B))*Pipeline_tbl[[#This Row],[Pipeline_Amount_USD]]</f>
        <v>369001.49000000005</v>
      </c>
      <c r="O5819" t="str">
        <f>_xlfn.XLOOKUP(Pipeline_tbl[[#This Row],[Rep_ID]],Dim_Reps!A:A,Dim_Reps!B:B)</f>
        <v>Yuki Dubois</v>
      </c>
      <c r="P5819" t="str">
        <f>_xlfn.XLOOKUP(Pipeline_tbl[[#This Row],[Rep_ID]],Dim_Reps!A:A,Dim_Reps!C:C)</f>
        <v>Mid-Market AE</v>
      </c>
      <c r="Q5819" t="str">
        <f>_xlfn.XLOOKUP(Pipeline_tbl[[#This Row],[Rep_ID]],Dim_Reps!A:A,Dim_Reps!D:D)</f>
        <v>Mid-Market</v>
      </c>
      <c r="R5819" t="str">
        <f>_xlfn.XLOOKUP(Pipeline_tbl[[#This Row],[Rep_ID]],Dim_Reps!A:A,Dim_Reps!E:E)</f>
        <v>LATAM</v>
      </c>
      <c r="S5819" t="str">
        <f>_xlfn.XLOOKUP(Pipeline_tbl[[#This Row],[Created_Date]],Dim_Date!A:A,Dim_Date!H:H)</f>
        <v>Dec 2024</v>
      </c>
      <c r="T5819" t="str">
        <f>IF(Pipeline_tbl[[#This Row],[Closed_Date]]=0,"",(_xlfn.XLOOKUP(Pipeline_tbl[[#This Row],[Closed_Date]],Dim_Date!A:A,Dim_Date!H:H)))</f>
        <v>Jan 2025</v>
      </c>
      <c r="U5819">
        <f>IF(Pipeline_tbl[[#This Row],[Closed_Date]]=0,"",Pipeline_tbl[[#This Row],[Closed_Date]]-Pipeline_tbl[[#This Row],[Created_Date]])</f>
        <v>42</v>
      </c>
    </row>
    <row r="5820" spans="1:21" ht="15" customHeight="1" x14ac:dyDescent="0.2">
      <c r="A5820" t="s">
        <v>6126</v>
      </c>
      <c r="B5820" t="s">
        <v>235</v>
      </c>
      <c r="C5820" t="s">
        <v>53</v>
      </c>
      <c r="D5820" s="49">
        <v>45649</v>
      </c>
      <c r="E5820" s="49">
        <v>45651</v>
      </c>
      <c r="F5820" s="49">
        <v>45654</v>
      </c>
      <c r="G5820" s="49">
        <v>45659</v>
      </c>
      <c r="H5820" s="49">
        <v>45663</v>
      </c>
      <c r="I5820" s="49">
        <v>45665</v>
      </c>
      <c r="J5820" t="s">
        <v>47</v>
      </c>
      <c r="K5820" s="33">
        <v>2100</v>
      </c>
      <c r="M5820" t="str">
        <f>_xlfn.XLOOKUP(Pipeline_tbl[[#This Row],[Rep_ID]],Dim_Reps!A:A,Dim_Reps!K:K)</f>
        <v>MXN</v>
      </c>
      <c r="N5820" s="33">
        <f>(_xlfn.XLOOKUP(Pipeline_tbl[[#This Row],[Rate_Code_Generalized]],Lookups!A:A,Lookups!B:B))*Pipeline_tbl[[#This Row],[Pipeline_Amount_USD]]</f>
        <v>41438.670000000006</v>
      </c>
      <c r="O5820" t="str">
        <f>_xlfn.XLOOKUP(Pipeline_tbl[[#This Row],[Rep_ID]],Dim_Reps!A:A,Dim_Reps!B:B)</f>
        <v>Milo Castro</v>
      </c>
      <c r="P5820" t="str">
        <f>_xlfn.XLOOKUP(Pipeline_tbl[[#This Row],[Rep_ID]],Dim_Reps!A:A,Dim_Reps!C:C)</f>
        <v>SDR / Inside Sales Rep</v>
      </c>
      <c r="Q5820" t="str">
        <f>_xlfn.XLOOKUP(Pipeline_tbl[[#This Row],[Rep_ID]],Dim_Reps!A:A,Dim_Reps!D:D)</f>
        <v>Inside Sales</v>
      </c>
      <c r="R5820" t="str">
        <f>_xlfn.XLOOKUP(Pipeline_tbl[[#This Row],[Rep_ID]],Dim_Reps!A:A,Dim_Reps!E:E)</f>
        <v>LATAM</v>
      </c>
      <c r="S5820" t="str">
        <f>_xlfn.XLOOKUP(Pipeline_tbl[[#This Row],[Created_Date]],Dim_Date!A:A,Dim_Date!H:H)</f>
        <v>Dec 2024</v>
      </c>
      <c r="T5820" t="str">
        <f>IF(Pipeline_tbl[[#This Row],[Closed_Date]]=0,"",(_xlfn.XLOOKUP(Pipeline_tbl[[#This Row],[Closed_Date]],Dim_Date!A:A,Dim_Date!H:H)))</f>
        <v>Jan 2025</v>
      </c>
      <c r="U5820">
        <f>IF(Pipeline_tbl[[#This Row],[Closed_Date]]=0,"",Pipeline_tbl[[#This Row],[Closed_Date]]-Pipeline_tbl[[#This Row],[Created_Date]])</f>
        <v>16</v>
      </c>
    </row>
    <row r="5821" spans="1:21" ht="15" customHeight="1" x14ac:dyDescent="0.2">
      <c r="A5821" t="s">
        <v>6127</v>
      </c>
      <c r="B5821" t="s">
        <v>235</v>
      </c>
      <c r="C5821" t="s">
        <v>52</v>
      </c>
      <c r="D5821" s="49">
        <v>45648</v>
      </c>
      <c r="E5821" s="49">
        <v>45650</v>
      </c>
      <c r="F5821" s="49">
        <v>45653</v>
      </c>
      <c r="G5821" s="49">
        <v>45658</v>
      </c>
      <c r="I5821" s="49">
        <v>45664</v>
      </c>
      <c r="J5821" t="s">
        <v>49</v>
      </c>
      <c r="K5821" s="33">
        <v>4000</v>
      </c>
      <c r="L5821" t="s">
        <v>60</v>
      </c>
      <c r="M5821" t="str">
        <f>_xlfn.XLOOKUP(Pipeline_tbl[[#This Row],[Rep_ID]],Dim_Reps!A:A,Dim_Reps!K:K)</f>
        <v>MXN</v>
      </c>
      <c r="N5821" s="33">
        <f>(_xlfn.XLOOKUP(Pipeline_tbl[[#This Row],[Rate_Code_Generalized]],Lookups!A:A,Lookups!B:B))*Pipeline_tbl[[#This Row],[Pipeline_Amount_USD]]</f>
        <v>78930.8</v>
      </c>
      <c r="O5821" t="str">
        <f>_xlfn.XLOOKUP(Pipeline_tbl[[#This Row],[Rep_ID]],Dim_Reps!A:A,Dim_Reps!B:B)</f>
        <v>Milo Castro</v>
      </c>
      <c r="P5821" t="str">
        <f>_xlfn.XLOOKUP(Pipeline_tbl[[#This Row],[Rep_ID]],Dim_Reps!A:A,Dim_Reps!C:C)</f>
        <v>SDR / Inside Sales Rep</v>
      </c>
      <c r="Q5821" t="str">
        <f>_xlfn.XLOOKUP(Pipeline_tbl[[#This Row],[Rep_ID]],Dim_Reps!A:A,Dim_Reps!D:D)</f>
        <v>Inside Sales</v>
      </c>
      <c r="R5821" t="str">
        <f>_xlfn.XLOOKUP(Pipeline_tbl[[#This Row],[Rep_ID]],Dim_Reps!A:A,Dim_Reps!E:E)</f>
        <v>LATAM</v>
      </c>
      <c r="S5821" t="str">
        <f>_xlfn.XLOOKUP(Pipeline_tbl[[#This Row],[Created_Date]],Dim_Date!A:A,Dim_Date!H:H)</f>
        <v>Dec 2024</v>
      </c>
      <c r="T5821" t="str">
        <f>IF(Pipeline_tbl[[#This Row],[Closed_Date]]=0,"",(_xlfn.XLOOKUP(Pipeline_tbl[[#This Row],[Closed_Date]],Dim_Date!A:A,Dim_Date!H:H)))</f>
        <v>Jan 2025</v>
      </c>
      <c r="U5821">
        <f>IF(Pipeline_tbl[[#This Row],[Closed_Date]]=0,"",Pipeline_tbl[[#This Row],[Closed_Date]]-Pipeline_tbl[[#This Row],[Created_Date]])</f>
        <v>16</v>
      </c>
    </row>
    <row r="5822" spans="1:21" ht="15" customHeight="1" x14ac:dyDescent="0.2">
      <c r="A5822" t="s">
        <v>6128</v>
      </c>
      <c r="B5822" t="s">
        <v>235</v>
      </c>
      <c r="C5822" t="s">
        <v>53</v>
      </c>
      <c r="D5822" s="49">
        <v>45644</v>
      </c>
      <c r="E5822" s="49">
        <v>45647</v>
      </c>
      <c r="F5822" s="49">
        <v>45652</v>
      </c>
      <c r="G5822" s="49">
        <v>45660</v>
      </c>
      <c r="H5822" s="49">
        <v>45667</v>
      </c>
      <c r="I5822" s="49">
        <v>45671</v>
      </c>
      <c r="J5822" t="s">
        <v>47</v>
      </c>
      <c r="K5822" s="33">
        <v>3200</v>
      </c>
      <c r="M5822" t="str">
        <f>_xlfn.XLOOKUP(Pipeline_tbl[[#This Row],[Rep_ID]],Dim_Reps!A:A,Dim_Reps!K:K)</f>
        <v>MXN</v>
      </c>
      <c r="N5822" s="33">
        <f>(_xlfn.XLOOKUP(Pipeline_tbl[[#This Row],[Rate_Code_Generalized]],Lookups!A:A,Lookups!B:B))*Pipeline_tbl[[#This Row],[Pipeline_Amount_USD]]</f>
        <v>63144.640000000007</v>
      </c>
      <c r="O5822" t="str">
        <f>_xlfn.XLOOKUP(Pipeline_tbl[[#This Row],[Rep_ID]],Dim_Reps!A:A,Dim_Reps!B:B)</f>
        <v>Milo Castro</v>
      </c>
      <c r="P5822" t="str">
        <f>_xlfn.XLOOKUP(Pipeline_tbl[[#This Row],[Rep_ID]],Dim_Reps!A:A,Dim_Reps!C:C)</f>
        <v>SDR / Inside Sales Rep</v>
      </c>
      <c r="Q5822" t="str">
        <f>_xlfn.XLOOKUP(Pipeline_tbl[[#This Row],[Rep_ID]],Dim_Reps!A:A,Dim_Reps!D:D)</f>
        <v>Inside Sales</v>
      </c>
      <c r="R5822" t="str">
        <f>_xlfn.XLOOKUP(Pipeline_tbl[[#This Row],[Rep_ID]],Dim_Reps!A:A,Dim_Reps!E:E)</f>
        <v>LATAM</v>
      </c>
      <c r="S5822" t="str">
        <f>_xlfn.XLOOKUP(Pipeline_tbl[[#This Row],[Created_Date]],Dim_Date!A:A,Dim_Date!H:H)</f>
        <v>Dec 2024</v>
      </c>
      <c r="T5822" t="str">
        <f>IF(Pipeline_tbl[[#This Row],[Closed_Date]]=0,"",(_xlfn.XLOOKUP(Pipeline_tbl[[#This Row],[Closed_Date]],Dim_Date!A:A,Dim_Date!H:H)))</f>
        <v>Jan 2025</v>
      </c>
      <c r="U5822">
        <f>IF(Pipeline_tbl[[#This Row],[Closed_Date]]=0,"",Pipeline_tbl[[#This Row],[Closed_Date]]-Pipeline_tbl[[#This Row],[Created_Date]])</f>
        <v>27</v>
      </c>
    </row>
    <row r="5823" spans="1:21" ht="15" customHeight="1" x14ac:dyDescent="0.2">
      <c r="A5823" t="s">
        <v>6129</v>
      </c>
      <c r="B5823" t="s">
        <v>235</v>
      </c>
      <c r="C5823" t="s">
        <v>54</v>
      </c>
      <c r="D5823" s="49">
        <v>45647</v>
      </c>
      <c r="E5823" s="49">
        <v>45648</v>
      </c>
      <c r="F5823" s="49">
        <v>45651</v>
      </c>
      <c r="G5823" s="49">
        <v>45655</v>
      </c>
      <c r="I5823" s="49">
        <v>45661</v>
      </c>
      <c r="J5823" t="s">
        <v>49</v>
      </c>
      <c r="K5823" s="33">
        <v>2000</v>
      </c>
      <c r="L5823" t="s">
        <v>62</v>
      </c>
      <c r="M5823" t="str">
        <f>_xlfn.XLOOKUP(Pipeline_tbl[[#This Row],[Rep_ID]],Dim_Reps!A:A,Dim_Reps!K:K)</f>
        <v>MXN</v>
      </c>
      <c r="N5823" s="33">
        <f>(_xlfn.XLOOKUP(Pipeline_tbl[[#This Row],[Rate_Code_Generalized]],Lookups!A:A,Lookups!B:B))*Pipeline_tbl[[#This Row],[Pipeline_Amount_USD]]</f>
        <v>39465.4</v>
      </c>
      <c r="O5823" t="str">
        <f>_xlfn.XLOOKUP(Pipeline_tbl[[#This Row],[Rep_ID]],Dim_Reps!A:A,Dim_Reps!B:B)</f>
        <v>Milo Castro</v>
      </c>
      <c r="P5823" t="str">
        <f>_xlfn.XLOOKUP(Pipeline_tbl[[#This Row],[Rep_ID]],Dim_Reps!A:A,Dim_Reps!C:C)</f>
        <v>SDR / Inside Sales Rep</v>
      </c>
      <c r="Q5823" t="str">
        <f>_xlfn.XLOOKUP(Pipeline_tbl[[#This Row],[Rep_ID]],Dim_Reps!A:A,Dim_Reps!D:D)</f>
        <v>Inside Sales</v>
      </c>
      <c r="R5823" t="str">
        <f>_xlfn.XLOOKUP(Pipeline_tbl[[#This Row],[Rep_ID]],Dim_Reps!A:A,Dim_Reps!E:E)</f>
        <v>LATAM</v>
      </c>
      <c r="S5823" t="str">
        <f>_xlfn.XLOOKUP(Pipeline_tbl[[#This Row],[Created_Date]],Dim_Date!A:A,Dim_Date!H:H)</f>
        <v>Dec 2024</v>
      </c>
      <c r="T5823" t="str">
        <f>IF(Pipeline_tbl[[#This Row],[Closed_Date]]=0,"",(_xlfn.XLOOKUP(Pipeline_tbl[[#This Row],[Closed_Date]],Dim_Date!A:A,Dim_Date!H:H)))</f>
        <v>Jan 2025</v>
      </c>
      <c r="U5823">
        <f>IF(Pipeline_tbl[[#This Row],[Closed_Date]]=0,"",Pipeline_tbl[[#This Row],[Closed_Date]]-Pipeline_tbl[[#This Row],[Created_Date]])</f>
        <v>14</v>
      </c>
    </row>
    <row r="5824" spans="1:21" ht="15" customHeight="1" x14ac:dyDescent="0.2">
      <c r="A5824" t="s">
        <v>6130</v>
      </c>
      <c r="B5824" t="s">
        <v>235</v>
      </c>
      <c r="C5824" t="s">
        <v>52</v>
      </c>
      <c r="D5824" s="49">
        <v>45652</v>
      </c>
      <c r="E5824" s="49">
        <v>45653</v>
      </c>
      <c r="F5824" s="49">
        <v>45656</v>
      </c>
      <c r="G5824" s="49">
        <v>45659</v>
      </c>
      <c r="I5824" s="49">
        <v>45664</v>
      </c>
      <c r="J5824" t="s">
        <v>49</v>
      </c>
      <c r="K5824" s="33">
        <v>1400</v>
      </c>
      <c r="L5824" t="s">
        <v>60</v>
      </c>
      <c r="M5824" t="str">
        <f>_xlfn.XLOOKUP(Pipeline_tbl[[#This Row],[Rep_ID]],Dim_Reps!A:A,Dim_Reps!K:K)</f>
        <v>MXN</v>
      </c>
      <c r="N5824" s="33">
        <f>(_xlfn.XLOOKUP(Pipeline_tbl[[#This Row],[Rate_Code_Generalized]],Lookups!A:A,Lookups!B:B))*Pipeline_tbl[[#This Row],[Pipeline_Amount_USD]]</f>
        <v>27625.780000000002</v>
      </c>
      <c r="O5824" t="str">
        <f>_xlfn.XLOOKUP(Pipeline_tbl[[#This Row],[Rep_ID]],Dim_Reps!A:A,Dim_Reps!B:B)</f>
        <v>Milo Castro</v>
      </c>
      <c r="P5824" t="str">
        <f>_xlfn.XLOOKUP(Pipeline_tbl[[#This Row],[Rep_ID]],Dim_Reps!A:A,Dim_Reps!C:C)</f>
        <v>SDR / Inside Sales Rep</v>
      </c>
      <c r="Q5824" t="str">
        <f>_xlfn.XLOOKUP(Pipeline_tbl[[#This Row],[Rep_ID]],Dim_Reps!A:A,Dim_Reps!D:D)</f>
        <v>Inside Sales</v>
      </c>
      <c r="R5824" t="str">
        <f>_xlfn.XLOOKUP(Pipeline_tbl[[#This Row],[Rep_ID]],Dim_Reps!A:A,Dim_Reps!E:E)</f>
        <v>LATAM</v>
      </c>
      <c r="S5824" t="str">
        <f>_xlfn.XLOOKUP(Pipeline_tbl[[#This Row],[Created_Date]],Dim_Date!A:A,Dim_Date!H:H)</f>
        <v>Dec 2024</v>
      </c>
      <c r="T5824" t="str">
        <f>IF(Pipeline_tbl[[#This Row],[Closed_Date]]=0,"",(_xlfn.XLOOKUP(Pipeline_tbl[[#This Row],[Closed_Date]],Dim_Date!A:A,Dim_Date!H:H)))</f>
        <v>Jan 2025</v>
      </c>
      <c r="U5824">
        <f>IF(Pipeline_tbl[[#This Row],[Closed_Date]]=0,"",Pipeline_tbl[[#This Row],[Closed_Date]]-Pipeline_tbl[[#This Row],[Created_Date]])</f>
        <v>12</v>
      </c>
    </row>
    <row r="5825" spans="1:21" ht="15" customHeight="1" x14ac:dyDescent="0.2">
      <c r="A5825" t="s">
        <v>6131</v>
      </c>
      <c r="B5825" t="s">
        <v>235</v>
      </c>
      <c r="C5825" t="s">
        <v>53</v>
      </c>
      <c r="D5825" s="49">
        <v>45656</v>
      </c>
      <c r="E5825" s="49">
        <v>45657</v>
      </c>
      <c r="F5825" s="49">
        <v>45658</v>
      </c>
      <c r="G5825" s="49">
        <v>45661</v>
      </c>
      <c r="H5825" s="49">
        <v>45663</v>
      </c>
      <c r="I5825" s="49">
        <v>45664</v>
      </c>
      <c r="J5825" t="s">
        <v>47</v>
      </c>
      <c r="K5825" s="33">
        <v>3100</v>
      </c>
      <c r="M5825" t="str">
        <f>_xlfn.XLOOKUP(Pipeline_tbl[[#This Row],[Rep_ID]],Dim_Reps!A:A,Dim_Reps!K:K)</f>
        <v>MXN</v>
      </c>
      <c r="N5825" s="33">
        <f>(_xlfn.XLOOKUP(Pipeline_tbl[[#This Row],[Rate_Code_Generalized]],Lookups!A:A,Lookups!B:B))*Pipeline_tbl[[#This Row],[Pipeline_Amount_USD]]</f>
        <v>61171.37</v>
      </c>
      <c r="O5825" t="str">
        <f>_xlfn.XLOOKUP(Pipeline_tbl[[#This Row],[Rep_ID]],Dim_Reps!A:A,Dim_Reps!B:B)</f>
        <v>Milo Castro</v>
      </c>
      <c r="P5825" t="str">
        <f>_xlfn.XLOOKUP(Pipeline_tbl[[#This Row],[Rep_ID]],Dim_Reps!A:A,Dim_Reps!C:C)</f>
        <v>SDR / Inside Sales Rep</v>
      </c>
      <c r="Q5825" t="str">
        <f>_xlfn.XLOOKUP(Pipeline_tbl[[#This Row],[Rep_ID]],Dim_Reps!A:A,Dim_Reps!D:D)</f>
        <v>Inside Sales</v>
      </c>
      <c r="R5825" t="str">
        <f>_xlfn.XLOOKUP(Pipeline_tbl[[#This Row],[Rep_ID]],Dim_Reps!A:A,Dim_Reps!E:E)</f>
        <v>LATAM</v>
      </c>
      <c r="S5825" t="str">
        <f>_xlfn.XLOOKUP(Pipeline_tbl[[#This Row],[Created_Date]],Dim_Date!A:A,Dim_Date!H:H)</f>
        <v>Dec 2024</v>
      </c>
      <c r="T5825" t="str">
        <f>IF(Pipeline_tbl[[#This Row],[Closed_Date]]=0,"",(_xlfn.XLOOKUP(Pipeline_tbl[[#This Row],[Closed_Date]],Dim_Date!A:A,Dim_Date!H:H)))</f>
        <v>Jan 2025</v>
      </c>
      <c r="U5825">
        <f>IF(Pipeline_tbl[[#This Row],[Closed_Date]]=0,"",Pipeline_tbl[[#This Row],[Closed_Date]]-Pipeline_tbl[[#This Row],[Created_Date]])</f>
        <v>8</v>
      </c>
    </row>
    <row r="5826" spans="1:21" ht="15" customHeight="1" x14ac:dyDescent="0.2">
      <c r="A5826" t="s">
        <v>6132</v>
      </c>
      <c r="B5826" t="s">
        <v>235</v>
      </c>
      <c r="C5826" t="s">
        <v>52</v>
      </c>
      <c r="D5826" s="49">
        <v>45657</v>
      </c>
      <c r="E5826" s="49">
        <v>45659</v>
      </c>
      <c r="F5826" s="49">
        <v>45663</v>
      </c>
      <c r="I5826" s="49">
        <v>45678</v>
      </c>
      <c r="J5826" t="s">
        <v>49</v>
      </c>
      <c r="K5826" s="33">
        <v>900</v>
      </c>
      <c r="L5826" t="s">
        <v>60</v>
      </c>
      <c r="M5826" t="str">
        <f>_xlfn.XLOOKUP(Pipeline_tbl[[#This Row],[Rep_ID]],Dim_Reps!A:A,Dim_Reps!K:K)</f>
        <v>MXN</v>
      </c>
      <c r="N5826" s="33">
        <f>(_xlfn.XLOOKUP(Pipeline_tbl[[#This Row],[Rate_Code_Generalized]],Lookups!A:A,Lookups!B:B))*Pipeline_tbl[[#This Row],[Pipeline_Amount_USD]]</f>
        <v>17759.43</v>
      </c>
      <c r="O5826" t="str">
        <f>_xlfn.XLOOKUP(Pipeline_tbl[[#This Row],[Rep_ID]],Dim_Reps!A:A,Dim_Reps!B:B)</f>
        <v>Milo Castro</v>
      </c>
      <c r="P5826" t="str">
        <f>_xlfn.XLOOKUP(Pipeline_tbl[[#This Row],[Rep_ID]],Dim_Reps!A:A,Dim_Reps!C:C)</f>
        <v>SDR / Inside Sales Rep</v>
      </c>
      <c r="Q5826" t="str">
        <f>_xlfn.XLOOKUP(Pipeline_tbl[[#This Row],[Rep_ID]],Dim_Reps!A:A,Dim_Reps!D:D)</f>
        <v>Inside Sales</v>
      </c>
      <c r="R5826" t="str">
        <f>_xlfn.XLOOKUP(Pipeline_tbl[[#This Row],[Rep_ID]],Dim_Reps!A:A,Dim_Reps!E:E)</f>
        <v>LATAM</v>
      </c>
      <c r="S5826" t="str">
        <f>_xlfn.XLOOKUP(Pipeline_tbl[[#This Row],[Created_Date]],Dim_Date!A:A,Dim_Date!H:H)</f>
        <v>Dec 2024</v>
      </c>
      <c r="T5826" t="str">
        <f>IF(Pipeline_tbl[[#This Row],[Closed_Date]]=0,"",(_xlfn.XLOOKUP(Pipeline_tbl[[#This Row],[Closed_Date]],Dim_Date!A:A,Dim_Date!H:H)))</f>
        <v>Jan 2025</v>
      </c>
      <c r="U5826">
        <f>IF(Pipeline_tbl[[#This Row],[Closed_Date]]=0,"",Pipeline_tbl[[#This Row],[Closed_Date]]-Pipeline_tbl[[#This Row],[Created_Date]])</f>
        <v>21</v>
      </c>
    </row>
    <row r="5827" spans="1:21" ht="15" customHeight="1" x14ac:dyDescent="0.2">
      <c r="A5827" t="s">
        <v>6133</v>
      </c>
      <c r="B5827" t="s">
        <v>235</v>
      </c>
      <c r="C5827" t="s">
        <v>55</v>
      </c>
      <c r="D5827" s="49">
        <v>45648</v>
      </c>
      <c r="E5827" s="49">
        <v>45650</v>
      </c>
      <c r="F5827" s="49">
        <v>45655</v>
      </c>
      <c r="G5827" s="49">
        <v>45661</v>
      </c>
      <c r="H5827" s="49">
        <v>45667</v>
      </c>
      <c r="I5827" s="49">
        <v>45670</v>
      </c>
      <c r="J5827" t="s">
        <v>47</v>
      </c>
      <c r="K5827" s="33">
        <v>5500</v>
      </c>
      <c r="M5827" t="str">
        <f>_xlfn.XLOOKUP(Pipeline_tbl[[#This Row],[Rep_ID]],Dim_Reps!A:A,Dim_Reps!K:K)</f>
        <v>MXN</v>
      </c>
      <c r="N5827" s="33">
        <f>(_xlfn.XLOOKUP(Pipeline_tbl[[#This Row],[Rate_Code_Generalized]],Lookups!A:A,Lookups!B:B))*Pipeline_tbl[[#This Row],[Pipeline_Amount_USD]]</f>
        <v>108529.85</v>
      </c>
      <c r="O5827" t="str">
        <f>_xlfn.XLOOKUP(Pipeline_tbl[[#This Row],[Rep_ID]],Dim_Reps!A:A,Dim_Reps!B:B)</f>
        <v>Milo Castro</v>
      </c>
      <c r="P5827" t="str">
        <f>_xlfn.XLOOKUP(Pipeline_tbl[[#This Row],[Rep_ID]],Dim_Reps!A:A,Dim_Reps!C:C)</f>
        <v>SDR / Inside Sales Rep</v>
      </c>
      <c r="Q5827" t="str">
        <f>_xlfn.XLOOKUP(Pipeline_tbl[[#This Row],[Rep_ID]],Dim_Reps!A:A,Dim_Reps!D:D)</f>
        <v>Inside Sales</v>
      </c>
      <c r="R5827" t="str">
        <f>_xlfn.XLOOKUP(Pipeline_tbl[[#This Row],[Rep_ID]],Dim_Reps!A:A,Dim_Reps!E:E)</f>
        <v>LATAM</v>
      </c>
      <c r="S5827" t="str">
        <f>_xlfn.XLOOKUP(Pipeline_tbl[[#This Row],[Created_Date]],Dim_Date!A:A,Dim_Date!H:H)</f>
        <v>Dec 2024</v>
      </c>
      <c r="T5827" t="str">
        <f>IF(Pipeline_tbl[[#This Row],[Closed_Date]]=0,"",(_xlfn.XLOOKUP(Pipeline_tbl[[#This Row],[Closed_Date]],Dim_Date!A:A,Dim_Date!H:H)))</f>
        <v>Jan 2025</v>
      </c>
      <c r="U5827">
        <f>IF(Pipeline_tbl[[#This Row],[Closed_Date]]=0,"",Pipeline_tbl[[#This Row],[Closed_Date]]-Pipeline_tbl[[#This Row],[Created_Date]])</f>
        <v>22</v>
      </c>
    </row>
    <row r="5828" spans="1:21" ht="15" customHeight="1" x14ac:dyDescent="0.2">
      <c r="A5828" t="s">
        <v>6134</v>
      </c>
      <c r="B5828" t="s">
        <v>235</v>
      </c>
      <c r="C5828" t="s">
        <v>52</v>
      </c>
      <c r="D5828" s="49">
        <v>45654</v>
      </c>
      <c r="E5828" s="49">
        <v>45656</v>
      </c>
      <c r="F5828" s="49">
        <v>45661</v>
      </c>
      <c r="G5828" s="49">
        <v>45668</v>
      </c>
      <c r="H5828" s="49">
        <v>45674</v>
      </c>
      <c r="I5828" s="49">
        <v>45677</v>
      </c>
      <c r="J5828" t="s">
        <v>47</v>
      </c>
      <c r="K5828" s="33">
        <v>2300</v>
      </c>
      <c r="M5828" t="str">
        <f>_xlfn.XLOOKUP(Pipeline_tbl[[#This Row],[Rep_ID]],Dim_Reps!A:A,Dim_Reps!K:K)</f>
        <v>MXN</v>
      </c>
      <c r="N5828" s="33">
        <f>(_xlfn.XLOOKUP(Pipeline_tbl[[#This Row],[Rate_Code_Generalized]],Lookups!A:A,Lookups!B:B))*Pipeline_tbl[[#This Row],[Pipeline_Amount_USD]]</f>
        <v>45385.210000000006</v>
      </c>
      <c r="O5828" t="str">
        <f>_xlfn.XLOOKUP(Pipeline_tbl[[#This Row],[Rep_ID]],Dim_Reps!A:A,Dim_Reps!B:B)</f>
        <v>Milo Castro</v>
      </c>
      <c r="P5828" t="str">
        <f>_xlfn.XLOOKUP(Pipeline_tbl[[#This Row],[Rep_ID]],Dim_Reps!A:A,Dim_Reps!C:C)</f>
        <v>SDR / Inside Sales Rep</v>
      </c>
      <c r="Q5828" t="str">
        <f>_xlfn.XLOOKUP(Pipeline_tbl[[#This Row],[Rep_ID]],Dim_Reps!A:A,Dim_Reps!D:D)</f>
        <v>Inside Sales</v>
      </c>
      <c r="R5828" t="str">
        <f>_xlfn.XLOOKUP(Pipeline_tbl[[#This Row],[Rep_ID]],Dim_Reps!A:A,Dim_Reps!E:E)</f>
        <v>LATAM</v>
      </c>
      <c r="S5828" t="str">
        <f>_xlfn.XLOOKUP(Pipeline_tbl[[#This Row],[Created_Date]],Dim_Date!A:A,Dim_Date!H:H)</f>
        <v>Dec 2024</v>
      </c>
      <c r="T5828" t="str">
        <f>IF(Pipeline_tbl[[#This Row],[Closed_Date]]=0,"",(_xlfn.XLOOKUP(Pipeline_tbl[[#This Row],[Closed_Date]],Dim_Date!A:A,Dim_Date!H:H)))</f>
        <v>Jan 2025</v>
      </c>
      <c r="U5828">
        <f>IF(Pipeline_tbl[[#This Row],[Closed_Date]]=0,"",Pipeline_tbl[[#This Row],[Closed_Date]]-Pipeline_tbl[[#This Row],[Created_Date]])</f>
        <v>23</v>
      </c>
    </row>
    <row r="5829" spans="1:21" ht="15" customHeight="1" x14ac:dyDescent="0.2">
      <c r="A5829" t="s">
        <v>6135</v>
      </c>
      <c r="B5829" t="s">
        <v>235</v>
      </c>
      <c r="C5829" t="s">
        <v>52</v>
      </c>
      <c r="D5829" s="49">
        <v>45653</v>
      </c>
      <c r="E5829" s="49">
        <v>45655</v>
      </c>
      <c r="F5829" s="49">
        <v>45658</v>
      </c>
      <c r="G5829" s="49">
        <v>45664</v>
      </c>
      <c r="H5829" s="49">
        <v>45668</v>
      </c>
      <c r="I5829" s="49">
        <v>45671</v>
      </c>
      <c r="J5829" t="s">
        <v>47</v>
      </c>
      <c r="K5829" s="33">
        <v>2400</v>
      </c>
      <c r="M5829" t="str">
        <f>_xlfn.XLOOKUP(Pipeline_tbl[[#This Row],[Rep_ID]],Dim_Reps!A:A,Dim_Reps!K:K)</f>
        <v>MXN</v>
      </c>
      <c r="N5829" s="33">
        <f>(_xlfn.XLOOKUP(Pipeline_tbl[[#This Row],[Rate_Code_Generalized]],Lookups!A:A,Lookups!B:B))*Pipeline_tbl[[#This Row],[Pipeline_Amount_USD]]</f>
        <v>47358.48</v>
      </c>
      <c r="O5829" t="str">
        <f>_xlfn.XLOOKUP(Pipeline_tbl[[#This Row],[Rep_ID]],Dim_Reps!A:A,Dim_Reps!B:B)</f>
        <v>Milo Castro</v>
      </c>
      <c r="P5829" t="str">
        <f>_xlfn.XLOOKUP(Pipeline_tbl[[#This Row],[Rep_ID]],Dim_Reps!A:A,Dim_Reps!C:C)</f>
        <v>SDR / Inside Sales Rep</v>
      </c>
      <c r="Q5829" t="str">
        <f>_xlfn.XLOOKUP(Pipeline_tbl[[#This Row],[Rep_ID]],Dim_Reps!A:A,Dim_Reps!D:D)</f>
        <v>Inside Sales</v>
      </c>
      <c r="R5829" t="str">
        <f>_xlfn.XLOOKUP(Pipeline_tbl[[#This Row],[Rep_ID]],Dim_Reps!A:A,Dim_Reps!E:E)</f>
        <v>LATAM</v>
      </c>
      <c r="S5829" t="str">
        <f>_xlfn.XLOOKUP(Pipeline_tbl[[#This Row],[Created_Date]],Dim_Date!A:A,Dim_Date!H:H)</f>
        <v>Dec 2024</v>
      </c>
      <c r="T5829" t="str">
        <f>IF(Pipeline_tbl[[#This Row],[Closed_Date]]=0,"",(_xlfn.XLOOKUP(Pipeline_tbl[[#This Row],[Closed_Date]],Dim_Date!A:A,Dim_Date!H:H)))</f>
        <v>Jan 2025</v>
      </c>
      <c r="U5829">
        <f>IF(Pipeline_tbl[[#This Row],[Closed_Date]]=0,"",Pipeline_tbl[[#This Row],[Closed_Date]]-Pipeline_tbl[[#This Row],[Created_Date]])</f>
        <v>18</v>
      </c>
    </row>
    <row r="5830" spans="1:21" ht="15" customHeight="1" x14ac:dyDescent="0.2">
      <c r="A5830" t="s">
        <v>6136</v>
      </c>
      <c r="B5830" t="s">
        <v>235</v>
      </c>
      <c r="C5830" t="s">
        <v>55</v>
      </c>
      <c r="D5830" s="49">
        <v>45648</v>
      </c>
      <c r="E5830" s="49">
        <v>45649</v>
      </c>
      <c r="F5830" s="49">
        <v>45651</v>
      </c>
      <c r="G5830" s="49">
        <v>45655</v>
      </c>
      <c r="I5830" s="49">
        <v>45659</v>
      </c>
      <c r="J5830" t="s">
        <v>49</v>
      </c>
      <c r="K5830" s="33">
        <v>5500</v>
      </c>
      <c r="L5830" t="s">
        <v>60</v>
      </c>
      <c r="M5830" t="str">
        <f>_xlfn.XLOOKUP(Pipeline_tbl[[#This Row],[Rep_ID]],Dim_Reps!A:A,Dim_Reps!K:K)</f>
        <v>MXN</v>
      </c>
      <c r="N5830" s="33">
        <f>(_xlfn.XLOOKUP(Pipeline_tbl[[#This Row],[Rate_Code_Generalized]],Lookups!A:A,Lookups!B:B))*Pipeline_tbl[[#This Row],[Pipeline_Amount_USD]]</f>
        <v>108529.85</v>
      </c>
      <c r="O5830" t="str">
        <f>_xlfn.XLOOKUP(Pipeline_tbl[[#This Row],[Rep_ID]],Dim_Reps!A:A,Dim_Reps!B:B)</f>
        <v>Milo Castro</v>
      </c>
      <c r="P5830" t="str">
        <f>_xlfn.XLOOKUP(Pipeline_tbl[[#This Row],[Rep_ID]],Dim_Reps!A:A,Dim_Reps!C:C)</f>
        <v>SDR / Inside Sales Rep</v>
      </c>
      <c r="Q5830" t="str">
        <f>_xlfn.XLOOKUP(Pipeline_tbl[[#This Row],[Rep_ID]],Dim_Reps!A:A,Dim_Reps!D:D)</f>
        <v>Inside Sales</v>
      </c>
      <c r="R5830" t="str">
        <f>_xlfn.XLOOKUP(Pipeline_tbl[[#This Row],[Rep_ID]],Dim_Reps!A:A,Dim_Reps!E:E)</f>
        <v>LATAM</v>
      </c>
      <c r="S5830" t="str">
        <f>_xlfn.XLOOKUP(Pipeline_tbl[[#This Row],[Created_Date]],Dim_Date!A:A,Dim_Date!H:H)</f>
        <v>Dec 2024</v>
      </c>
      <c r="T5830" t="str">
        <f>IF(Pipeline_tbl[[#This Row],[Closed_Date]]=0,"",(_xlfn.XLOOKUP(Pipeline_tbl[[#This Row],[Closed_Date]],Dim_Date!A:A,Dim_Date!H:H)))</f>
        <v>Jan 2025</v>
      </c>
      <c r="U5830">
        <f>IF(Pipeline_tbl[[#This Row],[Closed_Date]]=0,"",Pipeline_tbl[[#This Row],[Closed_Date]]-Pipeline_tbl[[#This Row],[Created_Date]])</f>
        <v>11</v>
      </c>
    </row>
    <row r="5831" spans="1:21" ht="15" customHeight="1" x14ac:dyDescent="0.2">
      <c r="A5831" t="s">
        <v>6137</v>
      </c>
      <c r="B5831" t="s">
        <v>237</v>
      </c>
      <c r="C5831" t="s">
        <v>52</v>
      </c>
      <c r="D5831" s="49">
        <v>45652</v>
      </c>
      <c r="E5831" s="49">
        <v>45654</v>
      </c>
      <c r="F5831" s="49">
        <v>45657</v>
      </c>
      <c r="I5831" s="49">
        <v>45667</v>
      </c>
      <c r="J5831" t="s">
        <v>49</v>
      </c>
      <c r="K5831" s="33">
        <v>3200</v>
      </c>
      <c r="L5831" t="s">
        <v>64</v>
      </c>
      <c r="M5831" t="str">
        <f>_xlfn.XLOOKUP(Pipeline_tbl[[#This Row],[Rep_ID]],Dim_Reps!A:A,Dim_Reps!K:K)</f>
        <v>EUR</v>
      </c>
      <c r="N5831" s="33">
        <f>(_xlfn.XLOOKUP(Pipeline_tbl[[#This Row],[Rate_Code_Generalized]],Lookups!A:A,Lookups!B:B))*Pipeline_tbl[[#This Row],[Pipeline_Amount_USD]]</f>
        <v>3200</v>
      </c>
      <c r="O5831" t="str">
        <f>_xlfn.XLOOKUP(Pipeline_tbl[[#This Row],[Rep_ID]],Dim_Reps!A:A,Dim_Reps!B:B)</f>
        <v>Hugo Santos</v>
      </c>
      <c r="P5831" t="str">
        <f>_xlfn.XLOOKUP(Pipeline_tbl[[#This Row],[Rep_ID]],Dim_Reps!A:A,Dim_Reps!C:C)</f>
        <v>SDR / Inside Sales Rep</v>
      </c>
      <c r="Q5831" t="str">
        <f>_xlfn.XLOOKUP(Pipeline_tbl[[#This Row],[Rep_ID]],Dim_Reps!A:A,Dim_Reps!D:D)</f>
        <v>Inside Sales</v>
      </c>
      <c r="R5831" t="str">
        <f>_xlfn.XLOOKUP(Pipeline_tbl[[#This Row],[Rep_ID]],Dim_Reps!A:A,Dim_Reps!E:E)</f>
        <v>EMEA</v>
      </c>
      <c r="S5831" t="str">
        <f>_xlfn.XLOOKUP(Pipeline_tbl[[#This Row],[Created_Date]],Dim_Date!A:A,Dim_Date!H:H)</f>
        <v>Dec 2024</v>
      </c>
      <c r="T5831" t="str">
        <f>IF(Pipeline_tbl[[#This Row],[Closed_Date]]=0,"",(_xlfn.XLOOKUP(Pipeline_tbl[[#This Row],[Closed_Date]],Dim_Date!A:A,Dim_Date!H:H)))</f>
        <v>Jan 2025</v>
      </c>
      <c r="U5831">
        <f>IF(Pipeline_tbl[[#This Row],[Closed_Date]]=0,"",Pipeline_tbl[[#This Row],[Closed_Date]]-Pipeline_tbl[[#This Row],[Created_Date]])</f>
        <v>15</v>
      </c>
    </row>
    <row r="5832" spans="1:21" ht="15" customHeight="1" x14ac:dyDescent="0.2">
      <c r="A5832" t="s">
        <v>6138</v>
      </c>
      <c r="B5832" t="s">
        <v>237</v>
      </c>
      <c r="C5832" t="s">
        <v>53</v>
      </c>
      <c r="D5832" s="49">
        <v>45648</v>
      </c>
      <c r="E5832" s="49">
        <v>45651</v>
      </c>
      <c r="F5832" s="49">
        <v>45657</v>
      </c>
      <c r="G5832" s="49">
        <v>45665</v>
      </c>
      <c r="H5832" s="49">
        <v>45673</v>
      </c>
      <c r="I5832" s="49">
        <v>45677</v>
      </c>
      <c r="J5832" t="s">
        <v>49</v>
      </c>
      <c r="K5832" s="33">
        <v>1600</v>
      </c>
      <c r="L5832" t="s">
        <v>62</v>
      </c>
      <c r="M5832" t="str">
        <f>_xlfn.XLOOKUP(Pipeline_tbl[[#This Row],[Rep_ID]],Dim_Reps!A:A,Dim_Reps!K:K)</f>
        <v>EUR</v>
      </c>
      <c r="N5832" s="33">
        <f>(_xlfn.XLOOKUP(Pipeline_tbl[[#This Row],[Rate_Code_Generalized]],Lookups!A:A,Lookups!B:B))*Pipeline_tbl[[#This Row],[Pipeline_Amount_USD]]</f>
        <v>1600</v>
      </c>
      <c r="O5832" t="str">
        <f>_xlfn.XLOOKUP(Pipeline_tbl[[#This Row],[Rep_ID]],Dim_Reps!A:A,Dim_Reps!B:B)</f>
        <v>Hugo Santos</v>
      </c>
      <c r="P5832" t="str">
        <f>_xlfn.XLOOKUP(Pipeline_tbl[[#This Row],[Rep_ID]],Dim_Reps!A:A,Dim_Reps!C:C)</f>
        <v>SDR / Inside Sales Rep</v>
      </c>
      <c r="Q5832" t="str">
        <f>_xlfn.XLOOKUP(Pipeline_tbl[[#This Row],[Rep_ID]],Dim_Reps!A:A,Dim_Reps!D:D)</f>
        <v>Inside Sales</v>
      </c>
      <c r="R5832" t="str">
        <f>_xlfn.XLOOKUP(Pipeline_tbl[[#This Row],[Rep_ID]],Dim_Reps!A:A,Dim_Reps!E:E)</f>
        <v>EMEA</v>
      </c>
      <c r="S5832" t="str">
        <f>_xlfn.XLOOKUP(Pipeline_tbl[[#This Row],[Created_Date]],Dim_Date!A:A,Dim_Date!H:H)</f>
        <v>Dec 2024</v>
      </c>
      <c r="T5832" t="str">
        <f>IF(Pipeline_tbl[[#This Row],[Closed_Date]]=0,"",(_xlfn.XLOOKUP(Pipeline_tbl[[#This Row],[Closed_Date]],Dim_Date!A:A,Dim_Date!H:H)))</f>
        <v>Jan 2025</v>
      </c>
      <c r="U5832">
        <f>IF(Pipeline_tbl[[#This Row],[Closed_Date]]=0,"",Pipeline_tbl[[#This Row],[Closed_Date]]-Pipeline_tbl[[#This Row],[Created_Date]])</f>
        <v>29</v>
      </c>
    </row>
    <row r="5833" spans="1:21" ht="15" customHeight="1" x14ac:dyDescent="0.2">
      <c r="A5833" t="s">
        <v>6139</v>
      </c>
      <c r="B5833" t="s">
        <v>237</v>
      </c>
      <c r="C5833" t="s">
        <v>52</v>
      </c>
      <c r="D5833" s="49">
        <v>45650</v>
      </c>
      <c r="E5833" s="49">
        <v>45651</v>
      </c>
      <c r="F5833" s="49">
        <v>45653</v>
      </c>
      <c r="G5833" s="49">
        <v>45655</v>
      </c>
      <c r="H5833" s="49">
        <v>45658</v>
      </c>
      <c r="I5833" s="49">
        <v>45659</v>
      </c>
      <c r="J5833" t="s">
        <v>49</v>
      </c>
      <c r="K5833" s="33">
        <v>3100</v>
      </c>
      <c r="L5833" t="s">
        <v>61</v>
      </c>
      <c r="M5833" t="str">
        <f>_xlfn.XLOOKUP(Pipeline_tbl[[#This Row],[Rep_ID]],Dim_Reps!A:A,Dim_Reps!K:K)</f>
        <v>EUR</v>
      </c>
      <c r="N5833" s="33">
        <f>(_xlfn.XLOOKUP(Pipeline_tbl[[#This Row],[Rate_Code_Generalized]],Lookups!A:A,Lookups!B:B))*Pipeline_tbl[[#This Row],[Pipeline_Amount_USD]]</f>
        <v>3100</v>
      </c>
      <c r="O5833" t="str">
        <f>_xlfn.XLOOKUP(Pipeline_tbl[[#This Row],[Rep_ID]],Dim_Reps!A:A,Dim_Reps!B:B)</f>
        <v>Hugo Santos</v>
      </c>
      <c r="P5833" t="str">
        <f>_xlfn.XLOOKUP(Pipeline_tbl[[#This Row],[Rep_ID]],Dim_Reps!A:A,Dim_Reps!C:C)</f>
        <v>SDR / Inside Sales Rep</v>
      </c>
      <c r="Q5833" t="str">
        <f>_xlfn.XLOOKUP(Pipeline_tbl[[#This Row],[Rep_ID]],Dim_Reps!A:A,Dim_Reps!D:D)</f>
        <v>Inside Sales</v>
      </c>
      <c r="R5833" t="str">
        <f>_xlfn.XLOOKUP(Pipeline_tbl[[#This Row],[Rep_ID]],Dim_Reps!A:A,Dim_Reps!E:E)</f>
        <v>EMEA</v>
      </c>
      <c r="S5833" t="str">
        <f>_xlfn.XLOOKUP(Pipeline_tbl[[#This Row],[Created_Date]],Dim_Date!A:A,Dim_Date!H:H)</f>
        <v>Dec 2024</v>
      </c>
      <c r="T5833" t="str">
        <f>IF(Pipeline_tbl[[#This Row],[Closed_Date]]=0,"",(_xlfn.XLOOKUP(Pipeline_tbl[[#This Row],[Closed_Date]],Dim_Date!A:A,Dim_Date!H:H)))</f>
        <v>Jan 2025</v>
      </c>
      <c r="U5833">
        <f>IF(Pipeline_tbl[[#This Row],[Closed_Date]]=0,"",Pipeline_tbl[[#This Row],[Closed_Date]]-Pipeline_tbl[[#This Row],[Created_Date]])</f>
        <v>9</v>
      </c>
    </row>
    <row r="5834" spans="1:21" ht="15" customHeight="1" x14ac:dyDescent="0.2">
      <c r="A5834" t="s">
        <v>6140</v>
      </c>
      <c r="B5834" t="s">
        <v>237</v>
      </c>
      <c r="C5834" t="s">
        <v>53</v>
      </c>
      <c r="D5834" s="49">
        <v>45654</v>
      </c>
      <c r="E5834" s="49">
        <v>45655</v>
      </c>
      <c r="F5834" s="49">
        <v>45658</v>
      </c>
      <c r="G5834" s="49">
        <v>45662</v>
      </c>
      <c r="I5834" s="49">
        <v>45667</v>
      </c>
      <c r="J5834" t="s">
        <v>49</v>
      </c>
      <c r="K5834" s="33">
        <v>2400</v>
      </c>
      <c r="L5834" t="s">
        <v>61</v>
      </c>
      <c r="M5834" t="str">
        <f>_xlfn.XLOOKUP(Pipeline_tbl[[#This Row],[Rep_ID]],Dim_Reps!A:A,Dim_Reps!K:K)</f>
        <v>EUR</v>
      </c>
      <c r="N5834" s="33">
        <f>(_xlfn.XLOOKUP(Pipeline_tbl[[#This Row],[Rate_Code_Generalized]],Lookups!A:A,Lookups!B:B))*Pipeline_tbl[[#This Row],[Pipeline_Amount_USD]]</f>
        <v>2400</v>
      </c>
      <c r="O5834" t="str">
        <f>_xlfn.XLOOKUP(Pipeline_tbl[[#This Row],[Rep_ID]],Dim_Reps!A:A,Dim_Reps!B:B)</f>
        <v>Hugo Santos</v>
      </c>
      <c r="P5834" t="str">
        <f>_xlfn.XLOOKUP(Pipeline_tbl[[#This Row],[Rep_ID]],Dim_Reps!A:A,Dim_Reps!C:C)</f>
        <v>SDR / Inside Sales Rep</v>
      </c>
      <c r="Q5834" t="str">
        <f>_xlfn.XLOOKUP(Pipeline_tbl[[#This Row],[Rep_ID]],Dim_Reps!A:A,Dim_Reps!D:D)</f>
        <v>Inside Sales</v>
      </c>
      <c r="R5834" t="str">
        <f>_xlfn.XLOOKUP(Pipeline_tbl[[#This Row],[Rep_ID]],Dim_Reps!A:A,Dim_Reps!E:E)</f>
        <v>EMEA</v>
      </c>
      <c r="S5834" t="str">
        <f>_xlfn.XLOOKUP(Pipeline_tbl[[#This Row],[Created_Date]],Dim_Date!A:A,Dim_Date!H:H)</f>
        <v>Dec 2024</v>
      </c>
      <c r="T5834" t="str">
        <f>IF(Pipeline_tbl[[#This Row],[Closed_Date]]=0,"",(_xlfn.XLOOKUP(Pipeline_tbl[[#This Row],[Closed_Date]],Dim_Date!A:A,Dim_Date!H:H)))</f>
        <v>Jan 2025</v>
      </c>
      <c r="U5834">
        <f>IF(Pipeline_tbl[[#This Row],[Closed_Date]]=0,"",Pipeline_tbl[[#This Row],[Closed_Date]]-Pipeline_tbl[[#This Row],[Created_Date]])</f>
        <v>13</v>
      </c>
    </row>
    <row r="5835" spans="1:21" ht="15" customHeight="1" x14ac:dyDescent="0.2">
      <c r="A5835" t="s">
        <v>6141</v>
      </c>
      <c r="B5835" t="s">
        <v>269</v>
      </c>
      <c r="C5835" t="s">
        <v>54</v>
      </c>
      <c r="D5835" s="49">
        <v>45641</v>
      </c>
      <c r="E5835" s="49">
        <v>45645</v>
      </c>
      <c r="F5835" s="49">
        <v>45652</v>
      </c>
      <c r="G5835" s="49">
        <v>45664</v>
      </c>
      <c r="I5835" s="49">
        <v>45679</v>
      </c>
      <c r="J5835" t="s">
        <v>49</v>
      </c>
      <c r="K5835" s="33">
        <v>14000</v>
      </c>
      <c r="L5835" t="s">
        <v>62</v>
      </c>
      <c r="M5835" t="str">
        <f>_xlfn.XLOOKUP(Pipeline_tbl[[#This Row],[Rep_ID]],Dim_Reps!A:A,Dim_Reps!K:K)</f>
        <v>USD</v>
      </c>
      <c r="N5835" s="33">
        <f>(_xlfn.XLOOKUP(Pipeline_tbl[[#This Row],[Rate_Code_Generalized]],Lookups!A:A,Lookups!B:B))*Pipeline_tbl[[#This Row],[Pipeline_Amount_USD]]</f>
        <v>16300.199999999999</v>
      </c>
      <c r="O5835" t="str">
        <f>_xlfn.XLOOKUP(Pipeline_tbl[[#This Row],[Rep_ID]],Dim_Reps!A:A,Dim_Reps!B:B)</f>
        <v>Morgan Rivera</v>
      </c>
      <c r="P5835" t="str">
        <f>_xlfn.XLOOKUP(Pipeline_tbl[[#This Row],[Rep_ID]],Dim_Reps!A:A,Dim_Reps!C:C)</f>
        <v>Mid-Market AE</v>
      </c>
      <c r="Q5835" t="str">
        <f>_xlfn.XLOOKUP(Pipeline_tbl[[#This Row],[Rep_ID]],Dim_Reps!A:A,Dim_Reps!D:D)</f>
        <v>Mid-Market</v>
      </c>
      <c r="R5835" t="str">
        <f>_xlfn.XLOOKUP(Pipeline_tbl[[#This Row],[Rep_ID]],Dim_Reps!A:A,Dim_Reps!E:E)</f>
        <v>NAMER</v>
      </c>
      <c r="S5835" t="str">
        <f>_xlfn.XLOOKUP(Pipeline_tbl[[#This Row],[Created_Date]],Dim_Date!A:A,Dim_Date!H:H)</f>
        <v>Dec 2024</v>
      </c>
      <c r="T5835" t="str">
        <f>IF(Pipeline_tbl[[#This Row],[Closed_Date]]=0,"",(_xlfn.XLOOKUP(Pipeline_tbl[[#This Row],[Closed_Date]],Dim_Date!A:A,Dim_Date!H:H)))</f>
        <v>Jan 2025</v>
      </c>
      <c r="U5835">
        <f>IF(Pipeline_tbl[[#This Row],[Closed_Date]]=0,"",Pipeline_tbl[[#This Row],[Closed_Date]]-Pipeline_tbl[[#This Row],[Created_Date]])</f>
        <v>38</v>
      </c>
    </row>
    <row r="5836" spans="1:21" ht="15" customHeight="1" x14ac:dyDescent="0.2">
      <c r="A5836" t="s">
        <v>6142</v>
      </c>
      <c r="B5836" t="s">
        <v>269</v>
      </c>
      <c r="C5836" t="s">
        <v>54</v>
      </c>
      <c r="D5836" s="49">
        <v>45637</v>
      </c>
      <c r="E5836" s="49">
        <v>45641</v>
      </c>
      <c r="F5836" s="49">
        <v>45651</v>
      </c>
      <c r="G5836" s="49">
        <v>45664</v>
      </c>
      <c r="H5836" s="49">
        <v>45675</v>
      </c>
      <c r="I5836" s="49">
        <v>45682</v>
      </c>
      <c r="J5836" t="s">
        <v>47</v>
      </c>
      <c r="K5836" s="33">
        <v>9800</v>
      </c>
      <c r="M5836" t="str">
        <f>_xlfn.XLOOKUP(Pipeline_tbl[[#This Row],[Rep_ID]],Dim_Reps!A:A,Dim_Reps!K:K)</f>
        <v>USD</v>
      </c>
      <c r="N5836" s="33">
        <f>(_xlfn.XLOOKUP(Pipeline_tbl[[#This Row],[Rate_Code_Generalized]],Lookups!A:A,Lookups!B:B))*Pipeline_tbl[[#This Row],[Pipeline_Amount_USD]]</f>
        <v>11410.14</v>
      </c>
      <c r="O5836" t="str">
        <f>_xlfn.XLOOKUP(Pipeline_tbl[[#This Row],[Rep_ID]],Dim_Reps!A:A,Dim_Reps!B:B)</f>
        <v>Morgan Rivera</v>
      </c>
      <c r="P5836" t="str">
        <f>_xlfn.XLOOKUP(Pipeline_tbl[[#This Row],[Rep_ID]],Dim_Reps!A:A,Dim_Reps!C:C)</f>
        <v>Mid-Market AE</v>
      </c>
      <c r="Q5836" t="str">
        <f>_xlfn.XLOOKUP(Pipeline_tbl[[#This Row],[Rep_ID]],Dim_Reps!A:A,Dim_Reps!D:D)</f>
        <v>Mid-Market</v>
      </c>
      <c r="R5836" t="str">
        <f>_xlfn.XLOOKUP(Pipeline_tbl[[#This Row],[Rep_ID]],Dim_Reps!A:A,Dim_Reps!E:E)</f>
        <v>NAMER</v>
      </c>
      <c r="S5836" t="str">
        <f>_xlfn.XLOOKUP(Pipeline_tbl[[#This Row],[Created_Date]],Dim_Date!A:A,Dim_Date!H:H)</f>
        <v>Dec 2024</v>
      </c>
      <c r="T5836" t="str">
        <f>IF(Pipeline_tbl[[#This Row],[Closed_Date]]=0,"",(_xlfn.XLOOKUP(Pipeline_tbl[[#This Row],[Closed_Date]],Dim_Date!A:A,Dim_Date!H:H)))</f>
        <v>Jan 2025</v>
      </c>
      <c r="U5836">
        <f>IF(Pipeline_tbl[[#This Row],[Closed_Date]]=0,"",Pipeline_tbl[[#This Row],[Closed_Date]]-Pipeline_tbl[[#This Row],[Created_Date]])</f>
        <v>45</v>
      </c>
    </row>
    <row r="5837" spans="1:21" ht="15" customHeight="1" x14ac:dyDescent="0.2">
      <c r="A5837" t="s">
        <v>6143</v>
      </c>
      <c r="B5837" t="s">
        <v>269</v>
      </c>
      <c r="C5837" t="s">
        <v>52</v>
      </c>
      <c r="D5837" s="49">
        <v>45644</v>
      </c>
      <c r="E5837" s="49">
        <v>45648</v>
      </c>
      <c r="I5837" s="49">
        <v>45679</v>
      </c>
      <c r="J5837" t="s">
        <v>49</v>
      </c>
      <c r="K5837" s="33">
        <v>9000</v>
      </c>
      <c r="L5837" t="s">
        <v>60</v>
      </c>
      <c r="M5837" t="str">
        <f>_xlfn.XLOOKUP(Pipeline_tbl[[#This Row],[Rep_ID]],Dim_Reps!A:A,Dim_Reps!K:K)</f>
        <v>USD</v>
      </c>
      <c r="N5837" s="33">
        <f>(_xlfn.XLOOKUP(Pipeline_tbl[[#This Row],[Rate_Code_Generalized]],Lookups!A:A,Lookups!B:B))*Pipeline_tbl[[#This Row],[Pipeline_Amount_USD]]</f>
        <v>10478.699999999999</v>
      </c>
      <c r="O5837" t="str">
        <f>_xlfn.XLOOKUP(Pipeline_tbl[[#This Row],[Rep_ID]],Dim_Reps!A:A,Dim_Reps!B:B)</f>
        <v>Morgan Rivera</v>
      </c>
      <c r="P5837" t="str">
        <f>_xlfn.XLOOKUP(Pipeline_tbl[[#This Row],[Rep_ID]],Dim_Reps!A:A,Dim_Reps!C:C)</f>
        <v>Mid-Market AE</v>
      </c>
      <c r="Q5837" t="str">
        <f>_xlfn.XLOOKUP(Pipeline_tbl[[#This Row],[Rep_ID]],Dim_Reps!A:A,Dim_Reps!D:D)</f>
        <v>Mid-Market</v>
      </c>
      <c r="R5837" t="str">
        <f>_xlfn.XLOOKUP(Pipeline_tbl[[#This Row],[Rep_ID]],Dim_Reps!A:A,Dim_Reps!E:E)</f>
        <v>NAMER</v>
      </c>
      <c r="S5837" t="str">
        <f>_xlfn.XLOOKUP(Pipeline_tbl[[#This Row],[Created_Date]],Dim_Date!A:A,Dim_Date!H:H)</f>
        <v>Dec 2024</v>
      </c>
      <c r="T5837" t="str">
        <f>IF(Pipeline_tbl[[#This Row],[Closed_Date]]=0,"",(_xlfn.XLOOKUP(Pipeline_tbl[[#This Row],[Closed_Date]],Dim_Date!A:A,Dim_Date!H:H)))</f>
        <v>Jan 2025</v>
      </c>
      <c r="U5837">
        <f>IF(Pipeline_tbl[[#This Row],[Closed_Date]]=0,"",Pipeline_tbl[[#This Row],[Closed_Date]]-Pipeline_tbl[[#This Row],[Created_Date]])</f>
        <v>35</v>
      </c>
    </row>
    <row r="5838" spans="1:21" ht="15" customHeight="1" x14ac:dyDescent="0.2">
      <c r="A5838" t="s">
        <v>6144</v>
      </c>
      <c r="B5838" t="s">
        <v>269</v>
      </c>
      <c r="C5838" t="s">
        <v>55</v>
      </c>
      <c r="D5838" s="49">
        <v>45646</v>
      </c>
      <c r="E5838" s="49">
        <v>45650</v>
      </c>
      <c r="I5838" s="49">
        <v>45683</v>
      </c>
      <c r="J5838" t="s">
        <v>49</v>
      </c>
      <c r="K5838" s="33">
        <v>19300</v>
      </c>
      <c r="L5838" t="s">
        <v>64</v>
      </c>
      <c r="M5838" t="str">
        <f>_xlfn.XLOOKUP(Pipeline_tbl[[#This Row],[Rep_ID]],Dim_Reps!A:A,Dim_Reps!K:K)</f>
        <v>USD</v>
      </c>
      <c r="N5838" s="33">
        <f>(_xlfn.XLOOKUP(Pipeline_tbl[[#This Row],[Rate_Code_Generalized]],Lookups!A:A,Lookups!B:B))*Pipeline_tbl[[#This Row],[Pipeline_Amount_USD]]</f>
        <v>22470.989999999998</v>
      </c>
      <c r="O5838" t="str">
        <f>_xlfn.XLOOKUP(Pipeline_tbl[[#This Row],[Rep_ID]],Dim_Reps!A:A,Dim_Reps!B:B)</f>
        <v>Morgan Rivera</v>
      </c>
      <c r="P5838" t="str">
        <f>_xlfn.XLOOKUP(Pipeline_tbl[[#This Row],[Rep_ID]],Dim_Reps!A:A,Dim_Reps!C:C)</f>
        <v>Mid-Market AE</v>
      </c>
      <c r="Q5838" t="str">
        <f>_xlfn.XLOOKUP(Pipeline_tbl[[#This Row],[Rep_ID]],Dim_Reps!A:A,Dim_Reps!D:D)</f>
        <v>Mid-Market</v>
      </c>
      <c r="R5838" t="str">
        <f>_xlfn.XLOOKUP(Pipeline_tbl[[#This Row],[Rep_ID]],Dim_Reps!A:A,Dim_Reps!E:E)</f>
        <v>NAMER</v>
      </c>
      <c r="S5838" t="str">
        <f>_xlfn.XLOOKUP(Pipeline_tbl[[#This Row],[Created_Date]],Dim_Date!A:A,Dim_Date!H:H)</f>
        <v>Dec 2024</v>
      </c>
      <c r="T5838" t="str">
        <f>IF(Pipeline_tbl[[#This Row],[Closed_Date]]=0,"",(_xlfn.XLOOKUP(Pipeline_tbl[[#This Row],[Closed_Date]],Dim_Date!A:A,Dim_Date!H:H)))</f>
        <v>Jan 2025</v>
      </c>
      <c r="U5838">
        <f>IF(Pipeline_tbl[[#This Row],[Closed_Date]]=0,"",Pipeline_tbl[[#This Row],[Closed_Date]]-Pipeline_tbl[[#This Row],[Created_Date]])</f>
        <v>37</v>
      </c>
    </row>
    <row r="5839" spans="1:21" ht="15" customHeight="1" x14ac:dyDescent="0.2">
      <c r="A5839" t="s">
        <v>6145</v>
      </c>
      <c r="B5839" t="s">
        <v>269</v>
      </c>
      <c r="C5839" t="s">
        <v>54</v>
      </c>
      <c r="D5839" s="49">
        <v>45642</v>
      </c>
      <c r="E5839" s="49">
        <v>45647</v>
      </c>
      <c r="F5839" s="49">
        <v>45656</v>
      </c>
      <c r="G5839" s="49">
        <v>45670</v>
      </c>
      <c r="H5839" s="49">
        <v>45681</v>
      </c>
      <c r="I5839" s="49">
        <v>45688</v>
      </c>
      <c r="J5839" t="s">
        <v>49</v>
      </c>
      <c r="K5839" s="33">
        <v>8500</v>
      </c>
      <c r="L5839" t="s">
        <v>63</v>
      </c>
      <c r="M5839" t="str">
        <f>_xlfn.XLOOKUP(Pipeline_tbl[[#This Row],[Rep_ID]],Dim_Reps!A:A,Dim_Reps!K:K)</f>
        <v>USD</v>
      </c>
      <c r="N5839" s="33">
        <f>(_xlfn.XLOOKUP(Pipeline_tbl[[#This Row],[Rate_Code_Generalized]],Lookups!A:A,Lookups!B:B))*Pipeline_tbl[[#This Row],[Pipeline_Amount_USD]]</f>
        <v>9896.5499999999993</v>
      </c>
      <c r="O5839" t="str">
        <f>_xlfn.XLOOKUP(Pipeline_tbl[[#This Row],[Rep_ID]],Dim_Reps!A:A,Dim_Reps!B:B)</f>
        <v>Morgan Rivera</v>
      </c>
      <c r="P5839" t="str">
        <f>_xlfn.XLOOKUP(Pipeline_tbl[[#This Row],[Rep_ID]],Dim_Reps!A:A,Dim_Reps!C:C)</f>
        <v>Mid-Market AE</v>
      </c>
      <c r="Q5839" t="str">
        <f>_xlfn.XLOOKUP(Pipeline_tbl[[#This Row],[Rep_ID]],Dim_Reps!A:A,Dim_Reps!D:D)</f>
        <v>Mid-Market</v>
      </c>
      <c r="R5839" t="str">
        <f>_xlfn.XLOOKUP(Pipeline_tbl[[#This Row],[Rep_ID]],Dim_Reps!A:A,Dim_Reps!E:E)</f>
        <v>NAMER</v>
      </c>
      <c r="S5839" t="str">
        <f>_xlfn.XLOOKUP(Pipeline_tbl[[#This Row],[Created_Date]],Dim_Date!A:A,Dim_Date!H:H)</f>
        <v>Dec 2024</v>
      </c>
      <c r="T5839" t="str">
        <f>IF(Pipeline_tbl[[#This Row],[Closed_Date]]=0,"",(_xlfn.XLOOKUP(Pipeline_tbl[[#This Row],[Closed_Date]],Dim_Date!A:A,Dim_Date!H:H)))</f>
        <v>Jan 2025</v>
      </c>
      <c r="U5839">
        <f>IF(Pipeline_tbl[[#This Row],[Closed_Date]]=0,"",Pipeline_tbl[[#This Row],[Closed_Date]]-Pipeline_tbl[[#This Row],[Created_Date]])</f>
        <v>46</v>
      </c>
    </row>
    <row r="5840" spans="1:21" ht="15" customHeight="1" x14ac:dyDescent="0.2">
      <c r="A5840" t="s">
        <v>6146</v>
      </c>
      <c r="B5840" t="s">
        <v>269</v>
      </c>
      <c r="C5840" t="s">
        <v>54</v>
      </c>
      <c r="D5840" s="49">
        <v>45649</v>
      </c>
      <c r="E5840" s="49">
        <v>45651</v>
      </c>
      <c r="F5840" s="49">
        <v>45656</v>
      </c>
      <c r="G5840" s="49">
        <v>45663</v>
      </c>
      <c r="I5840" s="49">
        <v>45673</v>
      </c>
      <c r="J5840" t="s">
        <v>49</v>
      </c>
      <c r="K5840" s="33">
        <v>13300</v>
      </c>
      <c r="L5840" t="s">
        <v>64</v>
      </c>
      <c r="M5840" t="str">
        <f>_xlfn.XLOOKUP(Pipeline_tbl[[#This Row],[Rep_ID]],Dim_Reps!A:A,Dim_Reps!K:K)</f>
        <v>USD</v>
      </c>
      <c r="N5840" s="33">
        <f>(_xlfn.XLOOKUP(Pipeline_tbl[[#This Row],[Rate_Code_Generalized]],Lookups!A:A,Lookups!B:B))*Pipeline_tbl[[#This Row],[Pipeline_Amount_USD]]</f>
        <v>15485.189999999999</v>
      </c>
      <c r="O5840" t="str">
        <f>_xlfn.XLOOKUP(Pipeline_tbl[[#This Row],[Rep_ID]],Dim_Reps!A:A,Dim_Reps!B:B)</f>
        <v>Morgan Rivera</v>
      </c>
      <c r="P5840" t="str">
        <f>_xlfn.XLOOKUP(Pipeline_tbl[[#This Row],[Rep_ID]],Dim_Reps!A:A,Dim_Reps!C:C)</f>
        <v>Mid-Market AE</v>
      </c>
      <c r="Q5840" t="str">
        <f>_xlfn.XLOOKUP(Pipeline_tbl[[#This Row],[Rep_ID]],Dim_Reps!A:A,Dim_Reps!D:D)</f>
        <v>Mid-Market</v>
      </c>
      <c r="R5840" t="str">
        <f>_xlfn.XLOOKUP(Pipeline_tbl[[#This Row],[Rep_ID]],Dim_Reps!A:A,Dim_Reps!E:E)</f>
        <v>NAMER</v>
      </c>
      <c r="S5840" t="str">
        <f>_xlfn.XLOOKUP(Pipeline_tbl[[#This Row],[Created_Date]],Dim_Date!A:A,Dim_Date!H:H)</f>
        <v>Dec 2024</v>
      </c>
      <c r="T5840" t="str">
        <f>IF(Pipeline_tbl[[#This Row],[Closed_Date]]=0,"",(_xlfn.XLOOKUP(Pipeline_tbl[[#This Row],[Closed_Date]],Dim_Date!A:A,Dim_Date!H:H)))</f>
        <v>Jan 2025</v>
      </c>
      <c r="U5840">
        <f>IF(Pipeline_tbl[[#This Row],[Closed_Date]]=0,"",Pipeline_tbl[[#This Row],[Closed_Date]]-Pipeline_tbl[[#This Row],[Created_Date]])</f>
        <v>24</v>
      </c>
    </row>
    <row r="5841" spans="1:21" ht="15" customHeight="1" x14ac:dyDescent="0.2">
      <c r="A5841" t="s">
        <v>6147</v>
      </c>
      <c r="B5841" t="s">
        <v>269</v>
      </c>
      <c r="C5841" t="s">
        <v>52</v>
      </c>
      <c r="D5841" s="49">
        <v>45648</v>
      </c>
      <c r="E5841" s="49">
        <v>45651</v>
      </c>
      <c r="F5841" s="49">
        <v>45658</v>
      </c>
      <c r="G5841" s="49">
        <v>45667</v>
      </c>
      <c r="I5841" s="49">
        <v>45680</v>
      </c>
      <c r="J5841" t="s">
        <v>49</v>
      </c>
      <c r="K5841" s="33">
        <v>13400</v>
      </c>
      <c r="L5841" t="s">
        <v>62</v>
      </c>
      <c r="M5841" t="str">
        <f>_xlfn.XLOOKUP(Pipeline_tbl[[#This Row],[Rep_ID]],Dim_Reps!A:A,Dim_Reps!K:K)</f>
        <v>USD</v>
      </c>
      <c r="N5841" s="33">
        <f>(_xlfn.XLOOKUP(Pipeline_tbl[[#This Row],[Rate_Code_Generalized]],Lookups!A:A,Lookups!B:B))*Pipeline_tbl[[#This Row],[Pipeline_Amount_USD]]</f>
        <v>15601.619999999999</v>
      </c>
      <c r="O5841" t="str">
        <f>_xlfn.XLOOKUP(Pipeline_tbl[[#This Row],[Rep_ID]],Dim_Reps!A:A,Dim_Reps!B:B)</f>
        <v>Morgan Rivera</v>
      </c>
      <c r="P5841" t="str">
        <f>_xlfn.XLOOKUP(Pipeline_tbl[[#This Row],[Rep_ID]],Dim_Reps!A:A,Dim_Reps!C:C)</f>
        <v>Mid-Market AE</v>
      </c>
      <c r="Q5841" t="str">
        <f>_xlfn.XLOOKUP(Pipeline_tbl[[#This Row],[Rep_ID]],Dim_Reps!A:A,Dim_Reps!D:D)</f>
        <v>Mid-Market</v>
      </c>
      <c r="R5841" t="str">
        <f>_xlfn.XLOOKUP(Pipeline_tbl[[#This Row],[Rep_ID]],Dim_Reps!A:A,Dim_Reps!E:E)</f>
        <v>NAMER</v>
      </c>
      <c r="S5841" t="str">
        <f>_xlfn.XLOOKUP(Pipeline_tbl[[#This Row],[Created_Date]],Dim_Date!A:A,Dim_Date!H:H)</f>
        <v>Dec 2024</v>
      </c>
      <c r="T5841" t="str">
        <f>IF(Pipeline_tbl[[#This Row],[Closed_Date]]=0,"",(_xlfn.XLOOKUP(Pipeline_tbl[[#This Row],[Closed_Date]],Dim_Date!A:A,Dim_Date!H:H)))</f>
        <v>Jan 2025</v>
      </c>
      <c r="U5841">
        <f>IF(Pipeline_tbl[[#This Row],[Closed_Date]]=0,"",Pipeline_tbl[[#This Row],[Closed_Date]]-Pipeline_tbl[[#This Row],[Created_Date]])</f>
        <v>32</v>
      </c>
    </row>
    <row r="5842" spans="1:21" ht="15" customHeight="1" x14ac:dyDescent="0.2">
      <c r="A5842" t="s">
        <v>6148</v>
      </c>
      <c r="B5842" t="s">
        <v>269</v>
      </c>
      <c r="C5842" t="s">
        <v>52</v>
      </c>
      <c r="D5842" s="49">
        <v>45638</v>
      </c>
      <c r="E5842" s="49">
        <v>45641</v>
      </c>
      <c r="F5842" s="49">
        <v>45647</v>
      </c>
      <c r="G5842" s="49">
        <v>45655</v>
      </c>
      <c r="I5842" s="49">
        <v>45667</v>
      </c>
      <c r="J5842" t="s">
        <v>49</v>
      </c>
      <c r="K5842" s="33">
        <v>11200</v>
      </c>
      <c r="L5842" t="s">
        <v>62</v>
      </c>
      <c r="M5842" t="str">
        <f>_xlfn.XLOOKUP(Pipeline_tbl[[#This Row],[Rep_ID]],Dim_Reps!A:A,Dim_Reps!K:K)</f>
        <v>USD</v>
      </c>
      <c r="N5842" s="33">
        <f>(_xlfn.XLOOKUP(Pipeline_tbl[[#This Row],[Rate_Code_Generalized]],Lookups!A:A,Lookups!B:B))*Pipeline_tbl[[#This Row],[Pipeline_Amount_USD]]</f>
        <v>13040.159999999998</v>
      </c>
      <c r="O5842" t="str">
        <f>_xlfn.XLOOKUP(Pipeline_tbl[[#This Row],[Rep_ID]],Dim_Reps!A:A,Dim_Reps!B:B)</f>
        <v>Morgan Rivera</v>
      </c>
      <c r="P5842" t="str">
        <f>_xlfn.XLOOKUP(Pipeline_tbl[[#This Row],[Rep_ID]],Dim_Reps!A:A,Dim_Reps!C:C)</f>
        <v>Mid-Market AE</v>
      </c>
      <c r="Q5842" t="str">
        <f>_xlfn.XLOOKUP(Pipeline_tbl[[#This Row],[Rep_ID]],Dim_Reps!A:A,Dim_Reps!D:D)</f>
        <v>Mid-Market</v>
      </c>
      <c r="R5842" t="str">
        <f>_xlfn.XLOOKUP(Pipeline_tbl[[#This Row],[Rep_ID]],Dim_Reps!A:A,Dim_Reps!E:E)</f>
        <v>NAMER</v>
      </c>
      <c r="S5842" t="str">
        <f>_xlfn.XLOOKUP(Pipeline_tbl[[#This Row],[Created_Date]],Dim_Date!A:A,Dim_Date!H:H)</f>
        <v>Dec 2024</v>
      </c>
      <c r="T5842" t="str">
        <f>IF(Pipeline_tbl[[#This Row],[Closed_Date]]=0,"",(_xlfn.XLOOKUP(Pipeline_tbl[[#This Row],[Closed_Date]],Dim_Date!A:A,Dim_Date!H:H)))</f>
        <v>Jan 2025</v>
      </c>
      <c r="U5842">
        <f>IF(Pipeline_tbl[[#This Row],[Closed_Date]]=0,"",Pipeline_tbl[[#This Row],[Closed_Date]]-Pipeline_tbl[[#This Row],[Created_Date]])</f>
        <v>29</v>
      </c>
    </row>
    <row r="5843" spans="1:21" ht="15" customHeight="1" x14ac:dyDescent="0.2">
      <c r="A5843" t="s">
        <v>6149</v>
      </c>
      <c r="B5843" t="s">
        <v>271</v>
      </c>
      <c r="C5843" t="s">
        <v>53</v>
      </c>
      <c r="D5843" s="49">
        <v>45651</v>
      </c>
      <c r="E5843" s="49">
        <v>45655</v>
      </c>
      <c r="F5843" s="49">
        <v>45662</v>
      </c>
      <c r="G5843" s="49">
        <v>45672</v>
      </c>
      <c r="I5843" s="49">
        <v>45686</v>
      </c>
      <c r="J5843" t="s">
        <v>49</v>
      </c>
      <c r="K5843" s="33">
        <v>21100</v>
      </c>
      <c r="L5843" t="s">
        <v>64</v>
      </c>
      <c r="M5843" t="str">
        <f>_xlfn.XLOOKUP(Pipeline_tbl[[#This Row],[Rep_ID]],Dim_Reps!A:A,Dim_Reps!K:K)</f>
        <v>EUR</v>
      </c>
      <c r="N5843" s="33">
        <f>(_xlfn.XLOOKUP(Pipeline_tbl[[#This Row],[Rate_Code_Generalized]],Lookups!A:A,Lookups!B:B))*Pipeline_tbl[[#This Row],[Pipeline_Amount_USD]]</f>
        <v>21100</v>
      </c>
      <c r="O5843" t="str">
        <f>_xlfn.XLOOKUP(Pipeline_tbl[[#This Row],[Rep_ID]],Dim_Reps!A:A,Dim_Reps!B:B)</f>
        <v>Ivy Adler</v>
      </c>
      <c r="P5843" t="str">
        <f>_xlfn.XLOOKUP(Pipeline_tbl[[#This Row],[Rep_ID]],Dim_Reps!A:A,Dim_Reps!C:C)</f>
        <v>Mid-Market AE</v>
      </c>
      <c r="Q5843" t="str">
        <f>_xlfn.XLOOKUP(Pipeline_tbl[[#This Row],[Rep_ID]],Dim_Reps!A:A,Dim_Reps!D:D)</f>
        <v>Mid-Market</v>
      </c>
      <c r="R5843" t="str">
        <f>_xlfn.XLOOKUP(Pipeline_tbl[[#This Row],[Rep_ID]],Dim_Reps!A:A,Dim_Reps!E:E)</f>
        <v>APAC</v>
      </c>
      <c r="S5843" t="str">
        <f>_xlfn.XLOOKUP(Pipeline_tbl[[#This Row],[Created_Date]],Dim_Date!A:A,Dim_Date!H:H)</f>
        <v>Dec 2024</v>
      </c>
      <c r="T5843" t="str">
        <f>IF(Pipeline_tbl[[#This Row],[Closed_Date]]=0,"",(_xlfn.XLOOKUP(Pipeline_tbl[[#This Row],[Closed_Date]],Dim_Date!A:A,Dim_Date!H:H)))</f>
        <v>Jan 2025</v>
      </c>
      <c r="U5843">
        <f>IF(Pipeline_tbl[[#This Row],[Closed_Date]]=0,"",Pipeline_tbl[[#This Row],[Closed_Date]]-Pipeline_tbl[[#This Row],[Created_Date]])</f>
        <v>35</v>
      </c>
    </row>
    <row r="5844" spans="1:21" ht="15" customHeight="1" x14ac:dyDescent="0.2">
      <c r="A5844" t="s">
        <v>6150</v>
      </c>
      <c r="B5844" t="s">
        <v>271</v>
      </c>
      <c r="C5844" t="s">
        <v>54</v>
      </c>
      <c r="D5844" s="49">
        <v>45638</v>
      </c>
      <c r="E5844" s="49">
        <v>45640</v>
      </c>
      <c r="I5844" s="49">
        <v>45663</v>
      </c>
      <c r="J5844" t="s">
        <v>49</v>
      </c>
      <c r="K5844" s="33">
        <v>11900</v>
      </c>
      <c r="L5844" t="s">
        <v>61</v>
      </c>
      <c r="M5844" t="str">
        <f>_xlfn.XLOOKUP(Pipeline_tbl[[#This Row],[Rep_ID]],Dim_Reps!A:A,Dim_Reps!K:K)</f>
        <v>EUR</v>
      </c>
      <c r="N5844" s="33">
        <f>(_xlfn.XLOOKUP(Pipeline_tbl[[#This Row],[Rate_Code_Generalized]],Lookups!A:A,Lookups!B:B))*Pipeline_tbl[[#This Row],[Pipeline_Amount_USD]]</f>
        <v>11900</v>
      </c>
      <c r="O5844" t="str">
        <f>_xlfn.XLOOKUP(Pipeline_tbl[[#This Row],[Rep_ID]],Dim_Reps!A:A,Dim_Reps!B:B)</f>
        <v>Ivy Adler</v>
      </c>
      <c r="P5844" t="str">
        <f>_xlfn.XLOOKUP(Pipeline_tbl[[#This Row],[Rep_ID]],Dim_Reps!A:A,Dim_Reps!C:C)</f>
        <v>Mid-Market AE</v>
      </c>
      <c r="Q5844" t="str">
        <f>_xlfn.XLOOKUP(Pipeline_tbl[[#This Row],[Rep_ID]],Dim_Reps!A:A,Dim_Reps!D:D)</f>
        <v>Mid-Market</v>
      </c>
      <c r="R5844" t="str">
        <f>_xlfn.XLOOKUP(Pipeline_tbl[[#This Row],[Rep_ID]],Dim_Reps!A:A,Dim_Reps!E:E)</f>
        <v>APAC</v>
      </c>
      <c r="S5844" t="str">
        <f>_xlfn.XLOOKUP(Pipeline_tbl[[#This Row],[Created_Date]],Dim_Date!A:A,Dim_Date!H:H)</f>
        <v>Dec 2024</v>
      </c>
      <c r="T5844" t="str">
        <f>IF(Pipeline_tbl[[#This Row],[Closed_Date]]=0,"",(_xlfn.XLOOKUP(Pipeline_tbl[[#This Row],[Closed_Date]],Dim_Date!A:A,Dim_Date!H:H)))</f>
        <v>Jan 2025</v>
      </c>
      <c r="U5844">
        <f>IF(Pipeline_tbl[[#This Row],[Closed_Date]]=0,"",Pipeline_tbl[[#This Row],[Closed_Date]]-Pipeline_tbl[[#This Row],[Created_Date]])</f>
        <v>25</v>
      </c>
    </row>
    <row r="5845" spans="1:21" ht="15" customHeight="1" x14ac:dyDescent="0.2">
      <c r="A5845" t="s">
        <v>6151</v>
      </c>
      <c r="B5845" t="s">
        <v>271</v>
      </c>
      <c r="C5845" t="s">
        <v>52</v>
      </c>
      <c r="D5845" s="49">
        <v>45644</v>
      </c>
      <c r="E5845" s="49">
        <v>45647</v>
      </c>
      <c r="F5845" s="49">
        <v>45653</v>
      </c>
      <c r="I5845" s="49">
        <v>45674</v>
      </c>
      <c r="J5845" t="s">
        <v>49</v>
      </c>
      <c r="K5845" s="33">
        <v>6100</v>
      </c>
      <c r="L5845" t="s">
        <v>61</v>
      </c>
      <c r="M5845" t="str">
        <f>_xlfn.XLOOKUP(Pipeline_tbl[[#This Row],[Rep_ID]],Dim_Reps!A:A,Dim_Reps!K:K)</f>
        <v>EUR</v>
      </c>
      <c r="N5845" s="33">
        <f>(_xlfn.XLOOKUP(Pipeline_tbl[[#This Row],[Rate_Code_Generalized]],Lookups!A:A,Lookups!B:B))*Pipeline_tbl[[#This Row],[Pipeline_Amount_USD]]</f>
        <v>6100</v>
      </c>
      <c r="O5845" t="str">
        <f>_xlfn.XLOOKUP(Pipeline_tbl[[#This Row],[Rep_ID]],Dim_Reps!A:A,Dim_Reps!B:B)</f>
        <v>Ivy Adler</v>
      </c>
      <c r="P5845" t="str">
        <f>_xlfn.XLOOKUP(Pipeline_tbl[[#This Row],[Rep_ID]],Dim_Reps!A:A,Dim_Reps!C:C)</f>
        <v>Mid-Market AE</v>
      </c>
      <c r="Q5845" t="str">
        <f>_xlfn.XLOOKUP(Pipeline_tbl[[#This Row],[Rep_ID]],Dim_Reps!A:A,Dim_Reps!D:D)</f>
        <v>Mid-Market</v>
      </c>
      <c r="R5845" t="str">
        <f>_xlfn.XLOOKUP(Pipeline_tbl[[#This Row],[Rep_ID]],Dim_Reps!A:A,Dim_Reps!E:E)</f>
        <v>APAC</v>
      </c>
      <c r="S5845" t="str">
        <f>_xlfn.XLOOKUP(Pipeline_tbl[[#This Row],[Created_Date]],Dim_Date!A:A,Dim_Date!H:H)</f>
        <v>Dec 2024</v>
      </c>
      <c r="T5845" t="str">
        <f>IF(Pipeline_tbl[[#This Row],[Closed_Date]]=0,"",(_xlfn.XLOOKUP(Pipeline_tbl[[#This Row],[Closed_Date]],Dim_Date!A:A,Dim_Date!H:H)))</f>
        <v>Jan 2025</v>
      </c>
      <c r="U5845">
        <f>IF(Pipeline_tbl[[#This Row],[Closed_Date]]=0,"",Pipeline_tbl[[#This Row],[Closed_Date]]-Pipeline_tbl[[#This Row],[Created_Date]])</f>
        <v>30</v>
      </c>
    </row>
    <row r="5846" spans="1:21" ht="15" customHeight="1" x14ac:dyDescent="0.2">
      <c r="A5846" t="s">
        <v>6152</v>
      </c>
      <c r="B5846" t="s">
        <v>271</v>
      </c>
      <c r="C5846" t="s">
        <v>52</v>
      </c>
      <c r="D5846" s="49">
        <v>45642</v>
      </c>
      <c r="E5846" s="49">
        <v>45646</v>
      </c>
      <c r="F5846" s="49">
        <v>45655</v>
      </c>
      <c r="I5846" s="49">
        <v>45684</v>
      </c>
      <c r="J5846" t="s">
        <v>49</v>
      </c>
      <c r="K5846" s="33">
        <v>14100</v>
      </c>
      <c r="L5846" t="s">
        <v>62</v>
      </c>
      <c r="M5846" t="str">
        <f>_xlfn.XLOOKUP(Pipeline_tbl[[#This Row],[Rep_ID]],Dim_Reps!A:A,Dim_Reps!K:K)</f>
        <v>EUR</v>
      </c>
      <c r="N5846" s="33">
        <f>(_xlfn.XLOOKUP(Pipeline_tbl[[#This Row],[Rate_Code_Generalized]],Lookups!A:A,Lookups!B:B))*Pipeline_tbl[[#This Row],[Pipeline_Amount_USD]]</f>
        <v>14100</v>
      </c>
      <c r="O5846" t="str">
        <f>_xlfn.XLOOKUP(Pipeline_tbl[[#This Row],[Rep_ID]],Dim_Reps!A:A,Dim_Reps!B:B)</f>
        <v>Ivy Adler</v>
      </c>
      <c r="P5846" t="str">
        <f>_xlfn.XLOOKUP(Pipeline_tbl[[#This Row],[Rep_ID]],Dim_Reps!A:A,Dim_Reps!C:C)</f>
        <v>Mid-Market AE</v>
      </c>
      <c r="Q5846" t="str">
        <f>_xlfn.XLOOKUP(Pipeline_tbl[[#This Row],[Rep_ID]],Dim_Reps!A:A,Dim_Reps!D:D)</f>
        <v>Mid-Market</v>
      </c>
      <c r="R5846" t="str">
        <f>_xlfn.XLOOKUP(Pipeline_tbl[[#This Row],[Rep_ID]],Dim_Reps!A:A,Dim_Reps!E:E)</f>
        <v>APAC</v>
      </c>
      <c r="S5846" t="str">
        <f>_xlfn.XLOOKUP(Pipeline_tbl[[#This Row],[Created_Date]],Dim_Date!A:A,Dim_Date!H:H)</f>
        <v>Dec 2024</v>
      </c>
      <c r="T5846" t="str">
        <f>IF(Pipeline_tbl[[#This Row],[Closed_Date]]=0,"",(_xlfn.XLOOKUP(Pipeline_tbl[[#This Row],[Closed_Date]],Dim_Date!A:A,Dim_Date!H:H)))</f>
        <v>Jan 2025</v>
      </c>
      <c r="U5846">
        <f>IF(Pipeline_tbl[[#This Row],[Closed_Date]]=0,"",Pipeline_tbl[[#This Row],[Closed_Date]]-Pipeline_tbl[[#This Row],[Created_Date]])</f>
        <v>42</v>
      </c>
    </row>
    <row r="5847" spans="1:21" ht="15" customHeight="1" x14ac:dyDescent="0.2">
      <c r="A5847" t="s">
        <v>6153</v>
      </c>
      <c r="B5847" t="s">
        <v>271</v>
      </c>
      <c r="C5847" t="s">
        <v>55</v>
      </c>
      <c r="D5847" s="49">
        <v>45645</v>
      </c>
      <c r="E5847" s="49">
        <v>45648</v>
      </c>
      <c r="F5847" s="49">
        <v>45654</v>
      </c>
      <c r="G5847" s="49">
        <v>45662</v>
      </c>
      <c r="H5847" s="49">
        <v>45670</v>
      </c>
      <c r="I5847" s="49">
        <v>45674</v>
      </c>
      <c r="J5847" t="s">
        <v>47</v>
      </c>
      <c r="K5847" s="33">
        <v>13300</v>
      </c>
      <c r="M5847" t="str">
        <f>_xlfn.XLOOKUP(Pipeline_tbl[[#This Row],[Rep_ID]],Dim_Reps!A:A,Dim_Reps!K:K)</f>
        <v>EUR</v>
      </c>
      <c r="N5847" s="33">
        <f>(_xlfn.XLOOKUP(Pipeline_tbl[[#This Row],[Rate_Code_Generalized]],Lookups!A:A,Lookups!B:B))*Pipeline_tbl[[#This Row],[Pipeline_Amount_USD]]</f>
        <v>13300</v>
      </c>
      <c r="O5847" t="str">
        <f>_xlfn.XLOOKUP(Pipeline_tbl[[#This Row],[Rep_ID]],Dim_Reps!A:A,Dim_Reps!B:B)</f>
        <v>Ivy Adler</v>
      </c>
      <c r="P5847" t="str">
        <f>_xlfn.XLOOKUP(Pipeline_tbl[[#This Row],[Rep_ID]],Dim_Reps!A:A,Dim_Reps!C:C)</f>
        <v>Mid-Market AE</v>
      </c>
      <c r="Q5847" t="str">
        <f>_xlfn.XLOOKUP(Pipeline_tbl[[#This Row],[Rep_ID]],Dim_Reps!A:A,Dim_Reps!D:D)</f>
        <v>Mid-Market</v>
      </c>
      <c r="R5847" t="str">
        <f>_xlfn.XLOOKUP(Pipeline_tbl[[#This Row],[Rep_ID]],Dim_Reps!A:A,Dim_Reps!E:E)</f>
        <v>APAC</v>
      </c>
      <c r="S5847" t="str">
        <f>_xlfn.XLOOKUP(Pipeline_tbl[[#This Row],[Created_Date]],Dim_Date!A:A,Dim_Date!H:H)</f>
        <v>Dec 2024</v>
      </c>
      <c r="T5847" t="str">
        <f>IF(Pipeline_tbl[[#This Row],[Closed_Date]]=0,"",(_xlfn.XLOOKUP(Pipeline_tbl[[#This Row],[Closed_Date]],Dim_Date!A:A,Dim_Date!H:H)))</f>
        <v>Jan 2025</v>
      </c>
      <c r="U5847">
        <f>IF(Pipeline_tbl[[#This Row],[Closed_Date]]=0,"",Pipeline_tbl[[#This Row],[Closed_Date]]-Pipeline_tbl[[#This Row],[Created_Date]])</f>
        <v>29</v>
      </c>
    </row>
    <row r="5848" spans="1:21" ht="15" customHeight="1" x14ac:dyDescent="0.2">
      <c r="A5848" t="s">
        <v>6154</v>
      </c>
      <c r="B5848" t="s">
        <v>271</v>
      </c>
      <c r="C5848" t="s">
        <v>55</v>
      </c>
      <c r="D5848" s="49">
        <v>45657</v>
      </c>
      <c r="E5848" s="49">
        <v>45660</v>
      </c>
      <c r="F5848" s="49">
        <v>45665</v>
      </c>
      <c r="G5848" s="49">
        <v>45673</v>
      </c>
      <c r="H5848" s="49">
        <v>45680</v>
      </c>
      <c r="I5848" s="49">
        <v>45684</v>
      </c>
      <c r="J5848" t="s">
        <v>47</v>
      </c>
      <c r="K5848" s="33">
        <v>15200</v>
      </c>
      <c r="M5848" t="str">
        <f>_xlfn.XLOOKUP(Pipeline_tbl[[#This Row],[Rep_ID]],Dim_Reps!A:A,Dim_Reps!K:K)</f>
        <v>EUR</v>
      </c>
      <c r="N5848" s="33">
        <f>(_xlfn.XLOOKUP(Pipeline_tbl[[#This Row],[Rate_Code_Generalized]],Lookups!A:A,Lookups!B:B))*Pipeline_tbl[[#This Row],[Pipeline_Amount_USD]]</f>
        <v>15200</v>
      </c>
      <c r="O5848" t="str">
        <f>_xlfn.XLOOKUP(Pipeline_tbl[[#This Row],[Rep_ID]],Dim_Reps!A:A,Dim_Reps!B:B)</f>
        <v>Ivy Adler</v>
      </c>
      <c r="P5848" t="str">
        <f>_xlfn.XLOOKUP(Pipeline_tbl[[#This Row],[Rep_ID]],Dim_Reps!A:A,Dim_Reps!C:C)</f>
        <v>Mid-Market AE</v>
      </c>
      <c r="Q5848" t="str">
        <f>_xlfn.XLOOKUP(Pipeline_tbl[[#This Row],[Rep_ID]],Dim_Reps!A:A,Dim_Reps!D:D)</f>
        <v>Mid-Market</v>
      </c>
      <c r="R5848" t="str">
        <f>_xlfn.XLOOKUP(Pipeline_tbl[[#This Row],[Rep_ID]],Dim_Reps!A:A,Dim_Reps!E:E)</f>
        <v>APAC</v>
      </c>
      <c r="S5848" t="str">
        <f>_xlfn.XLOOKUP(Pipeline_tbl[[#This Row],[Created_Date]],Dim_Date!A:A,Dim_Date!H:H)</f>
        <v>Dec 2024</v>
      </c>
      <c r="T5848" t="str">
        <f>IF(Pipeline_tbl[[#This Row],[Closed_Date]]=0,"",(_xlfn.XLOOKUP(Pipeline_tbl[[#This Row],[Closed_Date]],Dim_Date!A:A,Dim_Date!H:H)))</f>
        <v>Jan 2025</v>
      </c>
      <c r="U5848">
        <f>IF(Pipeline_tbl[[#This Row],[Closed_Date]]=0,"",Pipeline_tbl[[#This Row],[Closed_Date]]-Pipeline_tbl[[#This Row],[Created_Date]])</f>
        <v>27</v>
      </c>
    </row>
    <row r="5849" spans="1:21" ht="15" customHeight="1" x14ac:dyDescent="0.2">
      <c r="A5849" t="s">
        <v>6155</v>
      </c>
      <c r="B5849" t="s">
        <v>271</v>
      </c>
      <c r="C5849" t="s">
        <v>53</v>
      </c>
      <c r="D5849" s="49">
        <v>45648</v>
      </c>
      <c r="E5849" s="49">
        <v>45652</v>
      </c>
      <c r="F5849" s="49">
        <v>45659</v>
      </c>
      <c r="G5849" s="49">
        <v>45670</v>
      </c>
      <c r="I5849" s="49">
        <v>45684</v>
      </c>
      <c r="J5849" t="s">
        <v>49</v>
      </c>
      <c r="K5849" s="33">
        <v>9000</v>
      </c>
      <c r="L5849" t="s">
        <v>61</v>
      </c>
      <c r="M5849" t="str">
        <f>_xlfn.XLOOKUP(Pipeline_tbl[[#This Row],[Rep_ID]],Dim_Reps!A:A,Dim_Reps!K:K)</f>
        <v>EUR</v>
      </c>
      <c r="N5849" s="33">
        <f>(_xlfn.XLOOKUP(Pipeline_tbl[[#This Row],[Rate_Code_Generalized]],Lookups!A:A,Lookups!B:B))*Pipeline_tbl[[#This Row],[Pipeline_Amount_USD]]</f>
        <v>9000</v>
      </c>
      <c r="O5849" t="str">
        <f>_xlfn.XLOOKUP(Pipeline_tbl[[#This Row],[Rep_ID]],Dim_Reps!A:A,Dim_Reps!B:B)</f>
        <v>Ivy Adler</v>
      </c>
      <c r="P5849" t="str">
        <f>_xlfn.XLOOKUP(Pipeline_tbl[[#This Row],[Rep_ID]],Dim_Reps!A:A,Dim_Reps!C:C)</f>
        <v>Mid-Market AE</v>
      </c>
      <c r="Q5849" t="str">
        <f>_xlfn.XLOOKUP(Pipeline_tbl[[#This Row],[Rep_ID]],Dim_Reps!A:A,Dim_Reps!D:D)</f>
        <v>Mid-Market</v>
      </c>
      <c r="R5849" t="str">
        <f>_xlfn.XLOOKUP(Pipeline_tbl[[#This Row],[Rep_ID]],Dim_Reps!A:A,Dim_Reps!E:E)</f>
        <v>APAC</v>
      </c>
      <c r="S5849" t="str">
        <f>_xlfn.XLOOKUP(Pipeline_tbl[[#This Row],[Created_Date]],Dim_Date!A:A,Dim_Date!H:H)</f>
        <v>Dec 2024</v>
      </c>
      <c r="T5849" t="str">
        <f>IF(Pipeline_tbl[[#This Row],[Closed_Date]]=0,"",(_xlfn.XLOOKUP(Pipeline_tbl[[#This Row],[Closed_Date]],Dim_Date!A:A,Dim_Date!H:H)))</f>
        <v>Jan 2025</v>
      </c>
      <c r="U5849">
        <f>IF(Pipeline_tbl[[#This Row],[Closed_Date]]=0,"",Pipeline_tbl[[#This Row],[Closed_Date]]-Pipeline_tbl[[#This Row],[Created_Date]])</f>
        <v>36</v>
      </c>
    </row>
    <row r="5850" spans="1:21" ht="15" customHeight="1" x14ac:dyDescent="0.2">
      <c r="A5850" t="s">
        <v>6156</v>
      </c>
      <c r="B5850" t="s">
        <v>271</v>
      </c>
      <c r="C5850" t="s">
        <v>53</v>
      </c>
      <c r="D5850" s="49">
        <v>45649</v>
      </c>
      <c r="E5850" s="49">
        <v>45653</v>
      </c>
      <c r="F5850" s="49">
        <v>45660</v>
      </c>
      <c r="G5850" s="49">
        <v>45672</v>
      </c>
      <c r="H5850" s="49">
        <v>45681</v>
      </c>
      <c r="I5850" s="49">
        <v>45687</v>
      </c>
      <c r="J5850" t="s">
        <v>47</v>
      </c>
      <c r="K5850" s="33">
        <v>10100</v>
      </c>
      <c r="M5850" t="str">
        <f>_xlfn.XLOOKUP(Pipeline_tbl[[#This Row],[Rep_ID]],Dim_Reps!A:A,Dim_Reps!K:K)</f>
        <v>EUR</v>
      </c>
      <c r="N5850" s="33">
        <f>(_xlfn.XLOOKUP(Pipeline_tbl[[#This Row],[Rate_Code_Generalized]],Lookups!A:A,Lookups!B:B))*Pipeline_tbl[[#This Row],[Pipeline_Amount_USD]]</f>
        <v>10100</v>
      </c>
      <c r="O5850" t="str">
        <f>_xlfn.XLOOKUP(Pipeline_tbl[[#This Row],[Rep_ID]],Dim_Reps!A:A,Dim_Reps!B:B)</f>
        <v>Ivy Adler</v>
      </c>
      <c r="P5850" t="str">
        <f>_xlfn.XLOOKUP(Pipeline_tbl[[#This Row],[Rep_ID]],Dim_Reps!A:A,Dim_Reps!C:C)</f>
        <v>Mid-Market AE</v>
      </c>
      <c r="Q5850" t="str">
        <f>_xlfn.XLOOKUP(Pipeline_tbl[[#This Row],[Rep_ID]],Dim_Reps!A:A,Dim_Reps!D:D)</f>
        <v>Mid-Market</v>
      </c>
      <c r="R5850" t="str">
        <f>_xlfn.XLOOKUP(Pipeline_tbl[[#This Row],[Rep_ID]],Dim_Reps!A:A,Dim_Reps!E:E)</f>
        <v>APAC</v>
      </c>
      <c r="S5850" t="str">
        <f>_xlfn.XLOOKUP(Pipeline_tbl[[#This Row],[Created_Date]],Dim_Date!A:A,Dim_Date!H:H)</f>
        <v>Dec 2024</v>
      </c>
      <c r="T5850" t="str">
        <f>IF(Pipeline_tbl[[#This Row],[Closed_Date]]=0,"",(_xlfn.XLOOKUP(Pipeline_tbl[[#This Row],[Closed_Date]],Dim_Date!A:A,Dim_Date!H:H)))</f>
        <v>Jan 2025</v>
      </c>
      <c r="U5850">
        <f>IF(Pipeline_tbl[[#This Row],[Closed_Date]]=0,"",Pipeline_tbl[[#This Row],[Closed_Date]]-Pipeline_tbl[[#This Row],[Created_Date]])</f>
        <v>38</v>
      </c>
    </row>
    <row r="5851" spans="1:21" ht="15" customHeight="1" x14ac:dyDescent="0.2">
      <c r="A5851" t="s">
        <v>6157</v>
      </c>
      <c r="B5851" t="s">
        <v>273</v>
      </c>
      <c r="C5851" t="s">
        <v>52</v>
      </c>
      <c r="D5851" s="49">
        <v>45632</v>
      </c>
      <c r="E5851" s="49">
        <v>45636</v>
      </c>
      <c r="F5851" s="49">
        <v>45643</v>
      </c>
      <c r="G5851" s="49">
        <v>45653</v>
      </c>
      <c r="I5851" s="49">
        <v>45667</v>
      </c>
      <c r="J5851" t="s">
        <v>49</v>
      </c>
      <c r="K5851" s="33">
        <v>12200</v>
      </c>
      <c r="L5851" t="s">
        <v>63</v>
      </c>
      <c r="M5851" t="str">
        <f>_xlfn.XLOOKUP(Pipeline_tbl[[#This Row],[Rep_ID]],Dim_Reps!A:A,Dim_Reps!K:K)</f>
        <v>EUR</v>
      </c>
      <c r="N5851" s="33">
        <f>(_xlfn.XLOOKUP(Pipeline_tbl[[#This Row],[Rate_Code_Generalized]],Lookups!A:A,Lookups!B:B))*Pipeline_tbl[[#This Row],[Pipeline_Amount_USD]]</f>
        <v>12200</v>
      </c>
      <c r="O5851" t="str">
        <f>_xlfn.XLOOKUP(Pipeline_tbl[[#This Row],[Rep_ID]],Dim_Reps!A:A,Dim_Reps!B:B)</f>
        <v>Olivia Cohen</v>
      </c>
      <c r="P5851" t="str">
        <f>_xlfn.XLOOKUP(Pipeline_tbl[[#This Row],[Rep_ID]],Dim_Reps!A:A,Dim_Reps!C:C)</f>
        <v>Mid-Market AE</v>
      </c>
      <c r="Q5851" t="str">
        <f>_xlfn.XLOOKUP(Pipeline_tbl[[#This Row],[Rep_ID]],Dim_Reps!A:A,Dim_Reps!D:D)</f>
        <v>Mid-Market</v>
      </c>
      <c r="R5851" t="str">
        <f>_xlfn.XLOOKUP(Pipeline_tbl[[#This Row],[Rep_ID]],Dim_Reps!A:A,Dim_Reps!E:E)</f>
        <v>APAC</v>
      </c>
      <c r="S5851" t="str">
        <f>_xlfn.XLOOKUP(Pipeline_tbl[[#This Row],[Created_Date]],Dim_Date!A:A,Dim_Date!H:H)</f>
        <v>Dec 2024</v>
      </c>
      <c r="T5851" t="str">
        <f>IF(Pipeline_tbl[[#This Row],[Closed_Date]]=0,"",(_xlfn.XLOOKUP(Pipeline_tbl[[#This Row],[Closed_Date]],Dim_Date!A:A,Dim_Date!H:H)))</f>
        <v>Jan 2025</v>
      </c>
      <c r="U5851">
        <f>IF(Pipeline_tbl[[#This Row],[Closed_Date]]=0,"",Pipeline_tbl[[#This Row],[Closed_Date]]-Pipeline_tbl[[#This Row],[Created_Date]])</f>
        <v>35</v>
      </c>
    </row>
    <row r="5852" spans="1:21" ht="15" customHeight="1" x14ac:dyDescent="0.2">
      <c r="A5852" t="s">
        <v>6158</v>
      </c>
      <c r="B5852" t="s">
        <v>273</v>
      </c>
      <c r="C5852" t="s">
        <v>52</v>
      </c>
      <c r="D5852" s="49">
        <v>45632</v>
      </c>
      <c r="E5852" s="49">
        <v>45635</v>
      </c>
      <c r="F5852" s="49">
        <v>45642</v>
      </c>
      <c r="I5852" s="49">
        <v>45664</v>
      </c>
      <c r="J5852" t="s">
        <v>49</v>
      </c>
      <c r="K5852" s="33">
        <v>16300</v>
      </c>
      <c r="L5852" t="s">
        <v>62</v>
      </c>
      <c r="M5852" t="str">
        <f>_xlfn.XLOOKUP(Pipeline_tbl[[#This Row],[Rep_ID]],Dim_Reps!A:A,Dim_Reps!K:K)</f>
        <v>EUR</v>
      </c>
      <c r="N5852" s="33">
        <f>(_xlfn.XLOOKUP(Pipeline_tbl[[#This Row],[Rate_Code_Generalized]],Lookups!A:A,Lookups!B:B))*Pipeline_tbl[[#This Row],[Pipeline_Amount_USD]]</f>
        <v>16300</v>
      </c>
      <c r="O5852" t="str">
        <f>_xlfn.XLOOKUP(Pipeline_tbl[[#This Row],[Rep_ID]],Dim_Reps!A:A,Dim_Reps!B:B)</f>
        <v>Olivia Cohen</v>
      </c>
      <c r="P5852" t="str">
        <f>_xlfn.XLOOKUP(Pipeline_tbl[[#This Row],[Rep_ID]],Dim_Reps!A:A,Dim_Reps!C:C)</f>
        <v>Mid-Market AE</v>
      </c>
      <c r="Q5852" t="str">
        <f>_xlfn.XLOOKUP(Pipeline_tbl[[#This Row],[Rep_ID]],Dim_Reps!A:A,Dim_Reps!D:D)</f>
        <v>Mid-Market</v>
      </c>
      <c r="R5852" t="str">
        <f>_xlfn.XLOOKUP(Pipeline_tbl[[#This Row],[Rep_ID]],Dim_Reps!A:A,Dim_Reps!E:E)</f>
        <v>APAC</v>
      </c>
      <c r="S5852" t="str">
        <f>_xlfn.XLOOKUP(Pipeline_tbl[[#This Row],[Created_Date]],Dim_Date!A:A,Dim_Date!H:H)</f>
        <v>Dec 2024</v>
      </c>
      <c r="T5852" t="str">
        <f>IF(Pipeline_tbl[[#This Row],[Closed_Date]]=0,"",(_xlfn.XLOOKUP(Pipeline_tbl[[#This Row],[Closed_Date]],Dim_Date!A:A,Dim_Date!H:H)))</f>
        <v>Jan 2025</v>
      </c>
      <c r="U5852">
        <f>IF(Pipeline_tbl[[#This Row],[Closed_Date]]=0,"",Pipeline_tbl[[#This Row],[Closed_Date]]-Pipeline_tbl[[#This Row],[Created_Date]])</f>
        <v>32</v>
      </c>
    </row>
    <row r="5853" spans="1:21" ht="15" customHeight="1" x14ac:dyDescent="0.2">
      <c r="A5853" t="s">
        <v>6159</v>
      </c>
      <c r="B5853" t="s">
        <v>241</v>
      </c>
      <c r="C5853" t="s">
        <v>53</v>
      </c>
      <c r="D5853" s="49">
        <v>45642</v>
      </c>
      <c r="E5853" s="49">
        <v>45644</v>
      </c>
      <c r="F5853" s="49">
        <v>45647</v>
      </c>
      <c r="G5853" s="49">
        <v>45653</v>
      </c>
      <c r="H5853" s="49">
        <v>45657</v>
      </c>
      <c r="I5853" s="49">
        <v>45660</v>
      </c>
      <c r="J5853" t="s">
        <v>47</v>
      </c>
      <c r="K5853" s="33">
        <v>1000</v>
      </c>
      <c r="M5853" t="str">
        <f>_xlfn.XLOOKUP(Pipeline_tbl[[#This Row],[Rep_ID]],Dim_Reps!A:A,Dim_Reps!K:K)</f>
        <v>EUR</v>
      </c>
      <c r="N5853" s="33">
        <f>(_xlfn.XLOOKUP(Pipeline_tbl[[#This Row],[Rate_Code_Generalized]],Lookups!A:A,Lookups!B:B))*Pipeline_tbl[[#This Row],[Pipeline_Amount_USD]]</f>
        <v>1000</v>
      </c>
      <c r="O5853" t="str">
        <f>_xlfn.XLOOKUP(Pipeline_tbl[[#This Row],[Rep_ID]],Dim_Reps!A:A,Dim_Reps!B:B)</f>
        <v>Kenji Weber</v>
      </c>
      <c r="P5853" t="str">
        <f>_xlfn.XLOOKUP(Pipeline_tbl[[#This Row],[Rep_ID]],Dim_Reps!A:A,Dim_Reps!C:C)</f>
        <v>SDR / Inside Sales Rep</v>
      </c>
      <c r="Q5853" t="str">
        <f>_xlfn.XLOOKUP(Pipeline_tbl[[#This Row],[Rep_ID]],Dim_Reps!A:A,Dim_Reps!D:D)</f>
        <v>Inside Sales</v>
      </c>
      <c r="R5853" t="str">
        <f>_xlfn.XLOOKUP(Pipeline_tbl[[#This Row],[Rep_ID]],Dim_Reps!A:A,Dim_Reps!E:E)</f>
        <v>APAC</v>
      </c>
      <c r="S5853" t="str">
        <f>_xlfn.XLOOKUP(Pipeline_tbl[[#This Row],[Created_Date]],Dim_Date!A:A,Dim_Date!H:H)</f>
        <v>Dec 2024</v>
      </c>
      <c r="T5853" t="str">
        <f>IF(Pipeline_tbl[[#This Row],[Closed_Date]]=0,"",(_xlfn.XLOOKUP(Pipeline_tbl[[#This Row],[Closed_Date]],Dim_Date!A:A,Dim_Date!H:H)))</f>
        <v>Jan 2025</v>
      </c>
      <c r="U5853">
        <f>IF(Pipeline_tbl[[#This Row],[Closed_Date]]=0,"",Pipeline_tbl[[#This Row],[Closed_Date]]-Pipeline_tbl[[#This Row],[Created_Date]])</f>
        <v>18</v>
      </c>
    </row>
    <row r="5854" spans="1:21" ht="15" customHeight="1" x14ac:dyDescent="0.2">
      <c r="A5854" t="s">
        <v>6160</v>
      </c>
      <c r="B5854" t="s">
        <v>241</v>
      </c>
      <c r="C5854" t="s">
        <v>53</v>
      </c>
      <c r="D5854" s="49">
        <v>45650</v>
      </c>
      <c r="E5854" s="49">
        <v>45652</v>
      </c>
      <c r="F5854" s="49">
        <v>45658</v>
      </c>
      <c r="G5854" s="49">
        <v>45665</v>
      </c>
      <c r="H5854" s="49">
        <v>45671</v>
      </c>
      <c r="I5854" s="49">
        <v>45675</v>
      </c>
      <c r="J5854" t="s">
        <v>47</v>
      </c>
      <c r="K5854" s="33">
        <v>6600</v>
      </c>
      <c r="M5854" t="str">
        <f>_xlfn.XLOOKUP(Pipeline_tbl[[#This Row],[Rep_ID]],Dim_Reps!A:A,Dim_Reps!K:K)</f>
        <v>EUR</v>
      </c>
      <c r="N5854" s="33">
        <f>(_xlfn.XLOOKUP(Pipeline_tbl[[#This Row],[Rate_Code_Generalized]],Lookups!A:A,Lookups!B:B))*Pipeline_tbl[[#This Row],[Pipeline_Amount_USD]]</f>
        <v>6600</v>
      </c>
      <c r="O5854" t="str">
        <f>_xlfn.XLOOKUP(Pipeline_tbl[[#This Row],[Rep_ID]],Dim_Reps!A:A,Dim_Reps!B:B)</f>
        <v>Kenji Weber</v>
      </c>
      <c r="P5854" t="str">
        <f>_xlfn.XLOOKUP(Pipeline_tbl[[#This Row],[Rep_ID]],Dim_Reps!A:A,Dim_Reps!C:C)</f>
        <v>SDR / Inside Sales Rep</v>
      </c>
      <c r="Q5854" t="str">
        <f>_xlfn.XLOOKUP(Pipeline_tbl[[#This Row],[Rep_ID]],Dim_Reps!A:A,Dim_Reps!D:D)</f>
        <v>Inside Sales</v>
      </c>
      <c r="R5854" t="str">
        <f>_xlfn.XLOOKUP(Pipeline_tbl[[#This Row],[Rep_ID]],Dim_Reps!A:A,Dim_Reps!E:E)</f>
        <v>APAC</v>
      </c>
      <c r="S5854" t="str">
        <f>_xlfn.XLOOKUP(Pipeline_tbl[[#This Row],[Created_Date]],Dim_Date!A:A,Dim_Date!H:H)</f>
        <v>Dec 2024</v>
      </c>
      <c r="T5854" t="str">
        <f>IF(Pipeline_tbl[[#This Row],[Closed_Date]]=0,"",(_xlfn.XLOOKUP(Pipeline_tbl[[#This Row],[Closed_Date]],Dim_Date!A:A,Dim_Date!H:H)))</f>
        <v>Jan 2025</v>
      </c>
      <c r="U5854">
        <f>IF(Pipeline_tbl[[#This Row],[Closed_Date]]=0,"",Pipeline_tbl[[#This Row],[Closed_Date]]-Pipeline_tbl[[#This Row],[Created_Date]])</f>
        <v>25</v>
      </c>
    </row>
    <row r="5855" spans="1:21" ht="15" customHeight="1" x14ac:dyDescent="0.2">
      <c r="A5855" t="s">
        <v>6161</v>
      </c>
      <c r="B5855" t="s">
        <v>241</v>
      </c>
      <c r="C5855" t="s">
        <v>52</v>
      </c>
      <c r="D5855" s="49">
        <v>45652</v>
      </c>
      <c r="E5855" s="49">
        <v>45653</v>
      </c>
      <c r="F5855" s="49">
        <v>45656</v>
      </c>
      <c r="G5855" s="49">
        <v>45659</v>
      </c>
      <c r="H5855" s="49">
        <v>45662</v>
      </c>
      <c r="I5855" s="49">
        <v>45664</v>
      </c>
      <c r="J5855" t="s">
        <v>47</v>
      </c>
      <c r="K5855" s="33">
        <v>3800</v>
      </c>
      <c r="M5855" t="str">
        <f>_xlfn.XLOOKUP(Pipeline_tbl[[#This Row],[Rep_ID]],Dim_Reps!A:A,Dim_Reps!K:K)</f>
        <v>EUR</v>
      </c>
      <c r="N5855" s="33">
        <f>(_xlfn.XLOOKUP(Pipeline_tbl[[#This Row],[Rate_Code_Generalized]],Lookups!A:A,Lookups!B:B))*Pipeline_tbl[[#This Row],[Pipeline_Amount_USD]]</f>
        <v>3800</v>
      </c>
      <c r="O5855" t="str">
        <f>_xlfn.XLOOKUP(Pipeline_tbl[[#This Row],[Rep_ID]],Dim_Reps!A:A,Dim_Reps!B:B)</f>
        <v>Kenji Weber</v>
      </c>
      <c r="P5855" t="str">
        <f>_xlfn.XLOOKUP(Pipeline_tbl[[#This Row],[Rep_ID]],Dim_Reps!A:A,Dim_Reps!C:C)</f>
        <v>SDR / Inside Sales Rep</v>
      </c>
      <c r="Q5855" t="str">
        <f>_xlfn.XLOOKUP(Pipeline_tbl[[#This Row],[Rep_ID]],Dim_Reps!A:A,Dim_Reps!D:D)</f>
        <v>Inside Sales</v>
      </c>
      <c r="R5855" t="str">
        <f>_xlfn.XLOOKUP(Pipeline_tbl[[#This Row],[Rep_ID]],Dim_Reps!A:A,Dim_Reps!E:E)</f>
        <v>APAC</v>
      </c>
      <c r="S5855" t="str">
        <f>_xlfn.XLOOKUP(Pipeline_tbl[[#This Row],[Created_Date]],Dim_Date!A:A,Dim_Date!H:H)</f>
        <v>Dec 2024</v>
      </c>
      <c r="T5855" t="str">
        <f>IF(Pipeline_tbl[[#This Row],[Closed_Date]]=0,"",(_xlfn.XLOOKUP(Pipeline_tbl[[#This Row],[Closed_Date]],Dim_Date!A:A,Dim_Date!H:H)))</f>
        <v>Jan 2025</v>
      </c>
      <c r="U5855">
        <f>IF(Pipeline_tbl[[#This Row],[Closed_Date]]=0,"",Pipeline_tbl[[#This Row],[Closed_Date]]-Pipeline_tbl[[#This Row],[Created_Date]])</f>
        <v>12</v>
      </c>
    </row>
    <row r="5856" spans="1:21" ht="15" customHeight="1" x14ac:dyDescent="0.2">
      <c r="A5856" t="s">
        <v>6162</v>
      </c>
      <c r="B5856" t="s">
        <v>241</v>
      </c>
      <c r="C5856" t="s">
        <v>55</v>
      </c>
      <c r="D5856" s="49">
        <v>45652</v>
      </c>
      <c r="E5856" s="49">
        <v>45654</v>
      </c>
      <c r="F5856" s="49">
        <v>45659</v>
      </c>
      <c r="G5856" s="49">
        <v>45666</v>
      </c>
      <c r="H5856" s="49">
        <v>45672</v>
      </c>
      <c r="I5856" s="49">
        <v>45675</v>
      </c>
      <c r="J5856" t="s">
        <v>47</v>
      </c>
      <c r="K5856" s="33">
        <v>2400</v>
      </c>
      <c r="M5856" t="str">
        <f>_xlfn.XLOOKUP(Pipeline_tbl[[#This Row],[Rep_ID]],Dim_Reps!A:A,Dim_Reps!K:K)</f>
        <v>EUR</v>
      </c>
      <c r="N5856" s="33">
        <f>(_xlfn.XLOOKUP(Pipeline_tbl[[#This Row],[Rate_Code_Generalized]],Lookups!A:A,Lookups!B:B))*Pipeline_tbl[[#This Row],[Pipeline_Amount_USD]]</f>
        <v>2400</v>
      </c>
      <c r="O5856" t="str">
        <f>_xlfn.XLOOKUP(Pipeline_tbl[[#This Row],[Rep_ID]],Dim_Reps!A:A,Dim_Reps!B:B)</f>
        <v>Kenji Weber</v>
      </c>
      <c r="P5856" t="str">
        <f>_xlfn.XLOOKUP(Pipeline_tbl[[#This Row],[Rep_ID]],Dim_Reps!A:A,Dim_Reps!C:C)</f>
        <v>SDR / Inside Sales Rep</v>
      </c>
      <c r="Q5856" t="str">
        <f>_xlfn.XLOOKUP(Pipeline_tbl[[#This Row],[Rep_ID]],Dim_Reps!A:A,Dim_Reps!D:D)</f>
        <v>Inside Sales</v>
      </c>
      <c r="R5856" t="str">
        <f>_xlfn.XLOOKUP(Pipeline_tbl[[#This Row],[Rep_ID]],Dim_Reps!A:A,Dim_Reps!E:E)</f>
        <v>APAC</v>
      </c>
      <c r="S5856" t="str">
        <f>_xlfn.XLOOKUP(Pipeline_tbl[[#This Row],[Created_Date]],Dim_Date!A:A,Dim_Date!H:H)</f>
        <v>Dec 2024</v>
      </c>
      <c r="T5856" t="str">
        <f>IF(Pipeline_tbl[[#This Row],[Closed_Date]]=0,"",(_xlfn.XLOOKUP(Pipeline_tbl[[#This Row],[Closed_Date]],Dim_Date!A:A,Dim_Date!H:H)))</f>
        <v>Jan 2025</v>
      </c>
      <c r="U5856">
        <f>IF(Pipeline_tbl[[#This Row],[Closed_Date]]=0,"",Pipeline_tbl[[#This Row],[Closed_Date]]-Pipeline_tbl[[#This Row],[Created_Date]])</f>
        <v>23</v>
      </c>
    </row>
    <row r="5857" spans="1:21" ht="15" customHeight="1" x14ac:dyDescent="0.2">
      <c r="A5857" t="s">
        <v>6163</v>
      </c>
      <c r="B5857" t="s">
        <v>241</v>
      </c>
      <c r="C5857" t="s">
        <v>52</v>
      </c>
      <c r="D5857" s="49">
        <v>45654</v>
      </c>
      <c r="E5857" s="49">
        <v>45656</v>
      </c>
      <c r="F5857" s="49">
        <v>45659</v>
      </c>
      <c r="I5857" s="49">
        <v>45672</v>
      </c>
      <c r="J5857" t="s">
        <v>49</v>
      </c>
      <c r="K5857" s="33">
        <v>2500</v>
      </c>
      <c r="L5857" t="s">
        <v>62</v>
      </c>
      <c r="M5857" t="str">
        <f>_xlfn.XLOOKUP(Pipeline_tbl[[#This Row],[Rep_ID]],Dim_Reps!A:A,Dim_Reps!K:K)</f>
        <v>EUR</v>
      </c>
      <c r="N5857" s="33">
        <f>(_xlfn.XLOOKUP(Pipeline_tbl[[#This Row],[Rate_Code_Generalized]],Lookups!A:A,Lookups!B:B))*Pipeline_tbl[[#This Row],[Pipeline_Amount_USD]]</f>
        <v>2500</v>
      </c>
      <c r="O5857" t="str">
        <f>_xlfn.XLOOKUP(Pipeline_tbl[[#This Row],[Rep_ID]],Dim_Reps!A:A,Dim_Reps!B:B)</f>
        <v>Kenji Weber</v>
      </c>
      <c r="P5857" t="str">
        <f>_xlfn.XLOOKUP(Pipeline_tbl[[#This Row],[Rep_ID]],Dim_Reps!A:A,Dim_Reps!C:C)</f>
        <v>SDR / Inside Sales Rep</v>
      </c>
      <c r="Q5857" t="str">
        <f>_xlfn.XLOOKUP(Pipeline_tbl[[#This Row],[Rep_ID]],Dim_Reps!A:A,Dim_Reps!D:D)</f>
        <v>Inside Sales</v>
      </c>
      <c r="R5857" t="str">
        <f>_xlfn.XLOOKUP(Pipeline_tbl[[#This Row],[Rep_ID]],Dim_Reps!A:A,Dim_Reps!E:E)</f>
        <v>APAC</v>
      </c>
      <c r="S5857" t="str">
        <f>_xlfn.XLOOKUP(Pipeline_tbl[[#This Row],[Created_Date]],Dim_Date!A:A,Dim_Date!H:H)</f>
        <v>Dec 2024</v>
      </c>
      <c r="T5857" t="str">
        <f>IF(Pipeline_tbl[[#This Row],[Closed_Date]]=0,"",(_xlfn.XLOOKUP(Pipeline_tbl[[#This Row],[Closed_Date]],Dim_Date!A:A,Dim_Date!H:H)))</f>
        <v>Jan 2025</v>
      </c>
      <c r="U5857">
        <f>IF(Pipeline_tbl[[#This Row],[Closed_Date]]=0,"",Pipeline_tbl[[#This Row],[Closed_Date]]-Pipeline_tbl[[#This Row],[Created_Date]])</f>
        <v>18</v>
      </c>
    </row>
    <row r="5858" spans="1:21" ht="15" customHeight="1" x14ac:dyDescent="0.2">
      <c r="A5858" t="s">
        <v>6164</v>
      </c>
      <c r="B5858" t="s">
        <v>241</v>
      </c>
      <c r="C5858" t="s">
        <v>53</v>
      </c>
      <c r="D5858" s="49">
        <v>45644</v>
      </c>
      <c r="E5858" s="49">
        <v>45647</v>
      </c>
      <c r="F5858" s="49">
        <v>45653</v>
      </c>
      <c r="G5858" s="49">
        <v>45663</v>
      </c>
      <c r="I5858" s="49">
        <v>45675</v>
      </c>
      <c r="J5858" t="s">
        <v>49</v>
      </c>
      <c r="K5858" s="33">
        <v>2800</v>
      </c>
      <c r="L5858" t="s">
        <v>60</v>
      </c>
      <c r="M5858" t="str">
        <f>_xlfn.XLOOKUP(Pipeline_tbl[[#This Row],[Rep_ID]],Dim_Reps!A:A,Dim_Reps!K:K)</f>
        <v>EUR</v>
      </c>
      <c r="N5858" s="33">
        <f>(_xlfn.XLOOKUP(Pipeline_tbl[[#This Row],[Rate_Code_Generalized]],Lookups!A:A,Lookups!B:B))*Pipeline_tbl[[#This Row],[Pipeline_Amount_USD]]</f>
        <v>2800</v>
      </c>
      <c r="O5858" t="str">
        <f>_xlfn.XLOOKUP(Pipeline_tbl[[#This Row],[Rep_ID]],Dim_Reps!A:A,Dim_Reps!B:B)</f>
        <v>Kenji Weber</v>
      </c>
      <c r="P5858" t="str">
        <f>_xlfn.XLOOKUP(Pipeline_tbl[[#This Row],[Rep_ID]],Dim_Reps!A:A,Dim_Reps!C:C)</f>
        <v>SDR / Inside Sales Rep</v>
      </c>
      <c r="Q5858" t="str">
        <f>_xlfn.XLOOKUP(Pipeline_tbl[[#This Row],[Rep_ID]],Dim_Reps!A:A,Dim_Reps!D:D)</f>
        <v>Inside Sales</v>
      </c>
      <c r="R5858" t="str">
        <f>_xlfn.XLOOKUP(Pipeline_tbl[[#This Row],[Rep_ID]],Dim_Reps!A:A,Dim_Reps!E:E)</f>
        <v>APAC</v>
      </c>
      <c r="S5858" t="str">
        <f>_xlfn.XLOOKUP(Pipeline_tbl[[#This Row],[Created_Date]],Dim_Date!A:A,Dim_Date!H:H)</f>
        <v>Dec 2024</v>
      </c>
      <c r="T5858" t="str">
        <f>IF(Pipeline_tbl[[#This Row],[Closed_Date]]=0,"",(_xlfn.XLOOKUP(Pipeline_tbl[[#This Row],[Closed_Date]],Dim_Date!A:A,Dim_Date!H:H)))</f>
        <v>Jan 2025</v>
      </c>
      <c r="U5858">
        <f>IF(Pipeline_tbl[[#This Row],[Closed_Date]]=0,"",Pipeline_tbl[[#This Row],[Closed_Date]]-Pipeline_tbl[[#This Row],[Created_Date]])</f>
        <v>31</v>
      </c>
    </row>
    <row r="5859" spans="1:21" ht="15" customHeight="1" x14ac:dyDescent="0.2">
      <c r="A5859" t="s">
        <v>6165</v>
      </c>
      <c r="B5859" t="s">
        <v>241</v>
      </c>
      <c r="C5859" t="s">
        <v>53</v>
      </c>
      <c r="D5859" s="49">
        <v>45657</v>
      </c>
      <c r="E5859" s="49">
        <v>45658</v>
      </c>
      <c r="F5859" s="49">
        <v>45660</v>
      </c>
      <c r="G5859" s="49">
        <v>45663</v>
      </c>
      <c r="I5859" s="49">
        <v>45667</v>
      </c>
      <c r="J5859" t="s">
        <v>49</v>
      </c>
      <c r="K5859" s="33">
        <v>5800</v>
      </c>
      <c r="L5859" t="s">
        <v>62</v>
      </c>
      <c r="M5859" t="str">
        <f>_xlfn.XLOOKUP(Pipeline_tbl[[#This Row],[Rep_ID]],Dim_Reps!A:A,Dim_Reps!K:K)</f>
        <v>EUR</v>
      </c>
      <c r="N5859" s="33">
        <f>(_xlfn.XLOOKUP(Pipeline_tbl[[#This Row],[Rate_Code_Generalized]],Lookups!A:A,Lookups!B:B))*Pipeline_tbl[[#This Row],[Pipeline_Amount_USD]]</f>
        <v>5800</v>
      </c>
      <c r="O5859" t="str">
        <f>_xlfn.XLOOKUP(Pipeline_tbl[[#This Row],[Rep_ID]],Dim_Reps!A:A,Dim_Reps!B:B)</f>
        <v>Kenji Weber</v>
      </c>
      <c r="P5859" t="str">
        <f>_xlfn.XLOOKUP(Pipeline_tbl[[#This Row],[Rep_ID]],Dim_Reps!A:A,Dim_Reps!C:C)</f>
        <v>SDR / Inside Sales Rep</v>
      </c>
      <c r="Q5859" t="str">
        <f>_xlfn.XLOOKUP(Pipeline_tbl[[#This Row],[Rep_ID]],Dim_Reps!A:A,Dim_Reps!D:D)</f>
        <v>Inside Sales</v>
      </c>
      <c r="R5859" t="str">
        <f>_xlfn.XLOOKUP(Pipeline_tbl[[#This Row],[Rep_ID]],Dim_Reps!A:A,Dim_Reps!E:E)</f>
        <v>APAC</v>
      </c>
      <c r="S5859" t="str">
        <f>_xlfn.XLOOKUP(Pipeline_tbl[[#This Row],[Created_Date]],Dim_Date!A:A,Dim_Date!H:H)</f>
        <v>Dec 2024</v>
      </c>
      <c r="T5859" t="str">
        <f>IF(Pipeline_tbl[[#This Row],[Closed_Date]]=0,"",(_xlfn.XLOOKUP(Pipeline_tbl[[#This Row],[Closed_Date]],Dim_Date!A:A,Dim_Date!H:H)))</f>
        <v>Jan 2025</v>
      </c>
      <c r="U5859">
        <f>IF(Pipeline_tbl[[#This Row],[Closed_Date]]=0,"",Pipeline_tbl[[#This Row],[Closed_Date]]-Pipeline_tbl[[#This Row],[Created_Date]])</f>
        <v>10</v>
      </c>
    </row>
    <row r="5860" spans="1:21" ht="15" customHeight="1" x14ac:dyDescent="0.2">
      <c r="A5860" t="s">
        <v>6166</v>
      </c>
      <c r="B5860" t="s">
        <v>181</v>
      </c>
      <c r="C5860" t="s">
        <v>52</v>
      </c>
      <c r="D5860" s="49">
        <v>45640</v>
      </c>
      <c r="E5860" s="49">
        <v>45648</v>
      </c>
      <c r="F5860" s="49">
        <v>45664</v>
      </c>
      <c r="G5860" s="49">
        <v>45687</v>
      </c>
      <c r="I5860" s="49">
        <v>45719</v>
      </c>
      <c r="J5860" t="s">
        <v>49</v>
      </c>
      <c r="K5860" s="33">
        <v>18400</v>
      </c>
      <c r="L5860" t="s">
        <v>62</v>
      </c>
      <c r="M5860" t="str">
        <f>_xlfn.XLOOKUP(Pipeline_tbl[[#This Row],[Rep_ID]],Dim_Reps!A:A,Dim_Reps!K:K)</f>
        <v>USD</v>
      </c>
      <c r="N5860" s="33">
        <f>(_xlfn.XLOOKUP(Pipeline_tbl[[#This Row],[Rate_Code_Generalized]],Lookups!A:A,Lookups!B:B))*Pipeline_tbl[[#This Row],[Pipeline_Amount_USD]]</f>
        <v>21423.119999999999</v>
      </c>
      <c r="O5860" t="str">
        <f>_xlfn.XLOOKUP(Pipeline_tbl[[#This Row],[Rep_ID]],Dim_Reps!A:A,Dim_Reps!B:B)</f>
        <v>Milo Weber</v>
      </c>
      <c r="P5860" t="str">
        <f>_xlfn.XLOOKUP(Pipeline_tbl[[#This Row],[Rep_ID]],Dim_Reps!A:A,Dim_Reps!C:C)</f>
        <v>Enterprise AE</v>
      </c>
      <c r="Q5860" t="str">
        <f>_xlfn.XLOOKUP(Pipeline_tbl[[#This Row],[Rep_ID]],Dim_Reps!A:A,Dim_Reps!D:D)</f>
        <v>Enterprise</v>
      </c>
      <c r="R5860" t="str">
        <f>_xlfn.XLOOKUP(Pipeline_tbl[[#This Row],[Rep_ID]],Dim_Reps!A:A,Dim_Reps!E:E)</f>
        <v>NAMER</v>
      </c>
      <c r="S5860" t="str">
        <f>_xlfn.XLOOKUP(Pipeline_tbl[[#This Row],[Created_Date]],Dim_Date!A:A,Dim_Date!H:H)</f>
        <v>Dec 2024</v>
      </c>
      <c r="T5860" t="str">
        <f>IF(Pipeline_tbl[[#This Row],[Closed_Date]]=0,"",(_xlfn.XLOOKUP(Pipeline_tbl[[#This Row],[Closed_Date]],Dim_Date!A:A,Dim_Date!H:H)))</f>
        <v>Mar 2025</v>
      </c>
      <c r="U5860">
        <f>IF(Pipeline_tbl[[#This Row],[Closed_Date]]=0,"",Pipeline_tbl[[#This Row],[Closed_Date]]-Pipeline_tbl[[#This Row],[Created_Date]])</f>
        <v>79</v>
      </c>
    </row>
    <row r="5861" spans="1:21" ht="15" customHeight="1" x14ac:dyDescent="0.2">
      <c r="A5861" t="s">
        <v>6167</v>
      </c>
      <c r="B5861" t="s">
        <v>183</v>
      </c>
      <c r="C5861" t="s">
        <v>52</v>
      </c>
      <c r="D5861" s="49">
        <v>45645</v>
      </c>
      <c r="E5861" s="49">
        <v>45653</v>
      </c>
      <c r="F5861" s="49">
        <v>45668</v>
      </c>
      <c r="G5861" s="49">
        <v>45691</v>
      </c>
      <c r="H5861" s="49">
        <v>45710</v>
      </c>
      <c r="I5861" s="49">
        <v>45722</v>
      </c>
      <c r="J5861" t="s">
        <v>49</v>
      </c>
      <c r="K5861" s="33">
        <v>22200</v>
      </c>
      <c r="L5861" t="s">
        <v>60</v>
      </c>
      <c r="M5861" t="str">
        <f>_xlfn.XLOOKUP(Pipeline_tbl[[#This Row],[Rep_ID]],Dim_Reps!A:A,Dim_Reps!K:K)</f>
        <v>EUR</v>
      </c>
      <c r="N5861" s="33">
        <f>(_xlfn.XLOOKUP(Pipeline_tbl[[#This Row],[Rate_Code_Generalized]],Lookups!A:A,Lookups!B:B))*Pipeline_tbl[[#This Row],[Pipeline_Amount_USD]]</f>
        <v>22200</v>
      </c>
      <c r="O5861" t="str">
        <f>_xlfn.XLOOKUP(Pipeline_tbl[[#This Row],[Rep_ID]],Dim_Reps!A:A,Dim_Reps!B:B)</f>
        <v>Sam Schmidt</v>
      </c>
      <c r="P5861" t="str">
        <f>_xlfn.XLOOKUP(Pipeline_tbl[[#This Row],[Rep_ID]],Dim_Reps!A:A,Dim_Reps!C:C)</f>
        <v>Enterprise AE</v>
      </c>
      <c r="Q5861" t="str">
        <f>_xlfn.XLOOKUP(Pipeline_tbl[[#This Row],[Rep_ID]],Dim_Reps!A:A,Dim_Reps!D:D)</f>
        <v>Enterprise</v>
      </c>
      <c r="R5861" t="str">
        <f>_xlfn.XLOOKUP(Pipeline_tbl[[#This Row],[Rep_ID]],Dim_Reps!A:A,Dim_Reps!E:E)</f>
        <v>EMEA</v>
      </c>
      <c r="S5861" t="str">
        <f>_xlfn.XLOOKUP(Pipeline_tbl[[#This Row],[Created_Date]],Dim_Date!A:A,Dim_Date!H:H)</f>
        <v>Dec 2024</v>
      </c>
      <c r="T5861" t="str">
        <f>IF(Pipeline_tbl[[#This Row],[Closed_Date]]=0,"",(_xlfn.XLOOKUP(Pipeline_tbl[[#This Row],[Closed_Date]],Dim_Date!A:A,Dim_Date!H:H)))</f>
        <v>Mar 2025</v>
      </c>
      <c r="U5861">
        <f>IF(Pipeline_tbl[[#This Row],[Closed_Date]]=0,"",Pipeline_tbl[[#This Row],[Closed_Date]]-Pipeline_tbl[[#This Row],[Created_Date]])</f>
        <v>77</v>
      </c>
    </row>
    <row r="5862" spans="1:21" ht="15" customHeight="1" x14ac:dyDescent="0.2">
      <c r="A5862" t="s">
        <v>6168</v>
      </c>
      <c r="B5862" t="s">
        <v>278</v>
      </c>
      <c r="C5862" t="s">
        <v>54</v>
      </c>
      <c r="D5862" s="49">
        <v>45638</v>
      </c>
      <c r="E5862" s="49">
        <v>45649</v>
      </c>
      <c r="F5862" s="49">
        <v>45670</v>
      </c>
      <c r="I5862" s="49">
        <v>45745</v>
      </c>
      <c r="J5862" t="s">
        <v>49</v>
      </c>
      <c r="K5862" s="33">
        <v>33100</v>
      </c>
      <c r="L5862" t="s">
        <v>63</v>
      </c>
      <c r="M5862" t="str">
        <f>_xlfn.XLOOKUP(Pipeline_tbl[[#This Row],[Rep_ID]],Dim_Reps!A:A,Dim_Reps!K:K)</f>
        <v>EUR</v>
      </c>
      <c r="N5862" s="33">
        <f>(_xlfn.XLOOKUP(Pipeline_tbl[[#This Row],[Rate_Code_Generalized]],Lookups!A:A,Lookups!B:B))*Pipeline_tbl[[#This Row],[Pipeline_Amount_USD]]</f>
        <v>33100</v>
      </c>
      <c r="O5862" t="str">
        <f>_xlfn.XLOOKUP(Pipeline_tbl[[#This Row],[Rep_ID]],Dim_Reps!A:A,Dim_Reps!B:B)</f>
        <v>Sara Andersson</v>
      </c>
      <c r="P5862" t="str">
        <f>_xlfn.XLOOKUP(Pipeline_tbl[[#This Row],[Rep_ID]],Dim_Reps!A:A,Dim_Reps!C:C)</f>
        <v>Senior Enterprise AE</v>
      </c>
      <c r="Q5862" t="str">
        <f>_xlfn.XLOOKUP(Pipeline_tbl[[#This Row],[Rep_ID]],Dim_Reps!A:A,Dim_Reps!D:D)</f>
        <v>Strategic</v>
      </c>
      <c r="R5862" t="str">
        <f>_xlfn.XLOOKUP(Pipeline_tbl[[#This Row],[Rep_ID]],Dim_Reps!A:A,Dim_Reps!E:E)</f>
        <v>APAC</v>
      </c>
      <c r="S5862" t="str">
        <f>_xlfn.XLOOKUP(Pipeline_tbl[[#This Row],[Created_Date]],Dim_Date!A:A,Dim_Date!H:H)</f>
        <v>Dec 2024</v>
      </c>
      <c r="T5862" t="str">
        <f>IF(Pipeline_tbl[[#This Row],[Closed_Date]]=0,"",(_xlfn.XLOOKUP(Pipeline_tbl[[#This Row],[Closed_Date]],Dim_Date!A:A,Dim_Date!H:H)))</f>
        <v>Mar 2025</v>
      </c>
      <c r="U5862">
        <f>IF(Pipeline_tbl[[#This Row],[Closed_Date]]=0,"",Pipeline_tbl[[#This Row],[Closed_Date]]-Pipeline_tbl[[#This Row],[Created_Date]])</f>
        <v>107</v>
      </c>
    </row>
    <row r="5863" spans="1:21" ht="15" customHeight="1" x14ac:dyDescent="0.2">
      <c r="A5863" t="s">
        <v>6169</v>
      </c>
      <c r="B5863" t="s">
        <v>278</v>
      </c>
      <c r="C5863" t="s">
        <v>52</v>
      </c>
      <c r="D5863" s="49">
        <v>45629</v>
      </c>
      <c r="E5863" s="49">
        <v>45639</v>
      </c>
      <c r="F5863" s="49">
        <v>45658</v>
      </c>
      <c r="G5863" s="49">
        <v>45688</v>
      </c>
      <c r="H5863" s="49">
        <v>45712</v>
      </c>
      <c r="I5863" s="49">
        <v>45727</v>
      </c>
      <c r="J5863" t="s">
        <v>47</v>
      </c>
      <c r="K5863" s="33">
        <v>50400</v>
      </c>
      <c r="M5863" t="str">
        <f>_xlfn.XLOOKUP(Pipeline_tbl[[#This Row],[Rep_ID]],Dim_Reps!A:A,Dim_Reps!K:K)</f>
        <v>EUR</v>
      </c>
      <c r="N5863" s="33">
        <f>(_xlfn.XLOOKUP(Pipeline_tbl[[#This Row],[Rate_Code_Generalized]],Lookups!A:A,Lookups!B:B))*Pipeline_tbl[[#This Row],[Pipeline_Amount_USD]]</f>
        <v>50400</v>
      </c>
      <c r="O5863" t="str">
        <f>_xlfn.XLOOKUP(Pipeline_tbl[[#This Row],[Rep_ID]],Dim_Reps!A:A,Dim_Reps!B:B)</f>
        <v>Sara Andersson</v>
      </c>
      <c r="P5863" t="str">
        <f>_xlfn.XLOOKUP(Pipeline_tbl[[#This Row],[Rep_ID]],Dim_Reps!A:A,Dim_Reps!C:C)</f>
        <v>Senior Enterprise AE</v>
      </c>
      <c r="Q5863" t="str">
        <f>_xlfn.XLOOKUP(Pipeline_tbl[[#This Row],[Rep_ID]],Dim_Reps!A:A,Dim_Reps!D:D)</f>
        <v>Strategic</v>
      </c>
      <c r="R5863" t="str">
        <f>_xlfn.XLOOKUP(Pipeline_tbl[[#This Row],[Rep_ID]],Dim_Reps!A:A,Dim_Reps!E:E)</f>
        <v>APAC</v>
      </c>
      <c r="S5863" t="str">
        <f>_xlfn.XLOOKUP(Pipeline_tbl[[#This Row],[Created_Date]],Dim_Date!A:A,Dim_Date!H:H)</f>
        <v>Dec 2024</v>
      </c>
      <c r="T5863" t="str">
        <f>IF(Pipeline_tbl[[#This Row],[Closed_Date]]=0,"",(_xlfn.XLOOKUP(Pipeline_tbl[[#This Row],[Closed_Date]],Dim_Date!A:A,Dim_Date!H:H)))</f>
        <v>Mar 2025</v>
      </c>
      <c r="U5863">
        <f>IF(Pipeline_tbl[[#This Row],[Closed_Date]]=0,"",Pipeline_tbl[[#This Row],[Closed_Date]]-Pipeline_tbl[[#This Row],[Created_Date]])</f>
        <v>98</v>
      </c>
    </row>
    <row r="5864" spans="1:21" ht="15" customHeight="1" x14ac:dyDescent="0.2">
      <c r="A5864" t="s">
        <v>6170</v>
      </c>
      <c r="B5864" t="s">
        <v>278</v>
      </c>
      <c r="C5864" t="s">
        <v>52</v>
      </c>
      <c r="D5864" s="49">
        <v>45639</v>
      </c>
      <c r="E5864" s="49">
        <v>45648</v>
      </c>
      <c r="F5864" s="49">
        <v>45665</v>
      </c>
      <c r="G5864" s="49">
        <v>45692</v>
      </c>
      <c r="H5864" s="49">
        <v>45714</v>
      </c>
      <c r="I5864" s="49">
        <v>45727</v>
      </c>
      <c r="J5864" t="s">
        <v>47</v>
      </c>
      <c r="K5864" s="33">
        <v>77200</v>
      </c>
      <c r="M5864" t="str">
        <f>_xlfn.XLOOKUP(Pipeline_tbl[[#This Row],[Rep_ID]],Dim_Reps!A:A,Dim_Reps!K:K)</f>
        <v>EUR</v>
      </c>
      <c r="N5864" s="33">
        <f>(_xlfn.XLOOKUP(Pipeline_tbl[[#This Row],[Rate_Code_Generalized]],Lookups!A:A,Lookups!B:B))*Pipeline_tbl[[#This Row],[Pipeline_Amount_USD]]</f>
        <v>77200</v>
      </c>
      <c r="O5864" t="str">
        <f>_xlfn.XLOOKUP(Pipeline_tbl[[#This Row],[Rep_ID]],Dim_Reps!A:A,Dim_Reps!B:B)</f>
        <v>Sara Andersson</v>
      </c>
      <c r="P5864" t="str">
        <f>_xlfn.XLOOKUP(Pipeline_tbl[[#This Row],[Rep_ID]],Dim_Reps!A:A,Dim_Reps!C:C)</f>
        <v>Senior Enterprise AE</v>
      </c>
      <c r="Q5864" t="str">
        <f>_xlfn.XLOOKUP(Pipeline_tbl[[#This Row],[Rep_ID]],Dim_Reps!A:A,Dim_Reps!D:D)</f>
        <v>Strategic</v>
      </c>
      <c r="R5864" t="str">
        <f>_xlfn.XLOOKUP(Pipeline_tbl[[#This Row],[Rep_ID]],Dim_Reps!A:A,Dim_Reps!E:E)</f>
        <v>APAC</v>
      </c>
      <c r="S5864" t="str">
        <f>_xlfn.XLOOKUP(Pipeline_tbl[[#This Row],[Created_Date]],Dim_Date!A:A,Dim_Date!H:H)</f>
        <v>Dec 2024</v>
      </c>
      <c r="T5864" t="str">
        <f>IF(Pipeline_tbl[[#This Row],[Closed_Date]]=0,"",(_xlfn.XLOOKUP(Pipeline_tbl[[#This Row],[Closed_Date]],Dim_Date!A:A,Dim_Date!H:H)))</f>
        <v>Mar 2025</v>
      </c>
      <c r="U5864">
        <f>IF(Pipeline_tbl[[#This Row],[Closed_Date]]=0,"",Pipeline_tbl[[#This Row],[Closed_Date]]-Pipeline_tbl[[#This Row],[Created_Date]])</f>
        <v>88</v>
      </c>
    </row>
    <row r="5865" spans="1:21" ht="15" customHeight="1" x14ac:dyDescent="0.2">
      <c r="A5865" t="s">
        <v>6171</v>
      </c>
      <c r="B5865" t="s">
        <v>185</v>
      </c>
      <c r="C5865" t="s">
        <v>53</v>
      </c>
      <c r="D5865" s="49">
        <v>45628</v>
      </c>
      <c r="E5865" s="49">
        <v>45638</v>
      </c>
      <c r="F5865" s="49">
        <v>45658</v>
      </c>
      <c r="I5865" s="49">
        <v>45727</v>
      </c>
      <c r="J5865" t="s">
        <v>49</v>
      </c>
      <c r="K5865" s="33">
        <v>29500</v>
      </c>
      <c r="L5865" t="s">
        <v>63</v>
      </c>
      <c r="M5865" t="str">
        <f>_xlfn.XLOOKUP(Pipeline_tbl[[#This Row],[Rep_ID]],Dim_Reps!A:A,Dim_Reps!K:K)</f>
        <v>MXN</v>
      </c>
      <c r="N5865" s="33">
        <f>(_xlfn.XLOOKUP(Pipeline_tbl[[#This Row],[Rate_Code_Generalized]],Lookups!A:A,Lookups!B:B))*Pipeline_tbl[[#This Row],[Pipeline_Amount_USD]]</f>
        <v>582114.65</v>
      </c>
      <c r="O5865" t="str">
        <f>_xlfn.XLOOKUP(Pipeline_tbl[[#This Row],[Rep_ID]],Dim_Reps!A:A,Dim_Reps!B:B)</f>
        <v>Noah Kim</v>
      </c>
      <c r="P5865" t="str">
        <f>_xlfn.XLOOKUP(Pipeline_tbl[[#This Row],[Rep_ID]],Dim_Reps!A:A,Dim_Reps!C:C)</f>
        <v>Enterprise AE</v>
      </c>
      <c r="Q5865" t="str">
        <f>_xlfn.XLOOKUP(Pipeline_tbl[[#This Row],[Rep_ID]],Dim_Reps!A:A,Dim_Reps!D:D)</f>
        <v>Enterprise</v>
      </c>
      <c r="R5865" t="str">
        <f>_xlfn.XLOOKUP(Pipeline_tbl[[#This Row],[Rep_ID]],Dim_Reps!A:A,Dim_Reps!E:E)</f>
        <v>LATAM</v>
      </c>
      <c r="S5865" t="str">
        <f>_xlfn.XLOOKUP(Pipeline_tbl[[#This Row],[Created_Date]],Dim_Date!A:A,Dim_Date!H:H)</f>
        <v>Dec 2024</v>
      </c>
      <c r="T5865" t="str">
        <f>IF(Pipeline_tbl[[#This Row],[Closed_Date]]=0,"",(_xlfn.XLOOKUP(Pipeline_tbl[[#This Row],[Closed_Date]],Dim_Date!A:A,Dim_Date!H:H)))</f>
        <v>Mar 2025</v>
      </c>
      <c r="U5865">
        <f>IF(Pipeline_tbl[[#This Row],[Closed_Date]]=0,"",Pipeline_tbl[[#This Row],[Closed_Date]]-Pipeline_tbl[[#This Row],[Created_Date]])</f>
        <v>99</v>
      </c>
    </row>
    <row r="5866" spans="1:21" ht="15" customHeight="1" x14ac:dyDescent="0.2">
      <c r="A5866" t="s">
        <v>6172</v>
      </c>
      <c r="B5866" t="s">
        <v>188</v>
      </c>
      <c r="C5866" t="s">
        <v>52</v>
      </c>
      <c r="D5866" s="49">
        <v>45652</v>
      </c>
      <c r="E5866" s="49">
        <v>45659</v>
      </c>
      <c r="F5866" s="49">
        <v>45672</v>
      </c>
      <c r="I5866" s="49">
        <v>45719</v>
      </c>
      <c r="J5866" t="s">
        <v>49</v>
      </c>
      <c r="K5866" s="33">
        <v>21400</v>
      </c>
      <c r="L5866" t="s">
        <v>64</v>
      </c>
      <c r="M5866" t="str">
        <f>_xlfn.XLOOKUP(Pipeline_tbl[[#This Row],[Rep_ID]],Dim_Reps!A:A,Dim_Reps!K:K)</f>
        <v>EUR</v>
      </c>
      <c r="N5866" s="33">
        <f>(_xlfn.XLOOKUP(Pipeline_tbl[[#This Row],[Rate_Code_Generalized]],Lookups!A:A,Lookups!B:B))*Pipeline_tbl[[#This Row],[Pipeline_Amount_USD]]</f>
        <v>21400</v>
      </c>
      <c r="O5866" t="str">
        <f>_xlfn.XLOOKUP(Pipeline_tbl[[#This Row],[Rep_ID]],Dim_Reps!A:A,Dim_Reps!B:B)</f>
        <v>Jamie Santos</v>
      </c>
      <c r="P5866" t="str">
        <f>_xlfn.XLOOKUP(Pipeline_tbl[[#This Row],[Rep_ID]],Dim_Reps!A:A,Dim_Reps!C:C)</f>
        <v>Enterprise AE</v>
      </c>
      <c r="Q5866" t="str">
        <f>_xlfn.XLOOKUP(Pipeline_tbl[[#This Row],[Rep_ID]],Dim_Reps!A:A,Dim_Reps!D:D)</f>
        <v>Enterprise</v>
      </c>
      <c r="R5866" t="str">
        <f>_xlfn.XLOOKUP(Pipeline_tbl[[#This Row],[Rep_ID]],Dim_Reps!A:A,Dim_Reps!E:E)</f>
        <v>APAC</v>
      </c>
      <c r="S5866" t="str">
        <f>_xlfn.XLOOKUP(Pipeline_tbl[[#This Row],[Created_Date]],Dim_Date!A:A,Dim_Date!H:H)</f>
        <v>Dec 2024</v>
      </c>
      <c r="T5866" t="str">
        <f>IF(Pipeline_tbl[[#This Row],[Closed_Date]]=0,"",(_xlfn.XLOOKUP(Pipeline_tbl[[#This Row],[Closed_Date]],Dim_Date!A:A,Dim_Date!H:H)))</f>
        <v>Mar 2025</v>
      </c>
      <c r="U5866">
        <f>IF(Pipeline_tbl[[#This Row],[Closed_Date]]=0,"",Pipeline_tbl[[#This Row],[Closed_Date]]-Pipeline_tbl[[#This Row],[Created_Date]])</f>
        <v>67</v>
      </c>
    </row>
    <row r="5867" spans="1:21" ht="15" customHeight="1" x14ac:dyDescent="0.2">
      <c r="A5867" t="s">
        <v>6173</v>
      </c>
      <c r="B5867" t="s">
        <v>188</v>
      </c>
      <c r="C5867" t="s">
        <v>55</v>
      </c>
      <c r="D5867" s="49">
        <v>45648</v>
      </c>
      <c r="E5867" s="49">
        <v>45656</v>
      </c>
      <c r="F5867" s="49">
        <v>45672</v>
      </c>
      <c r="G5867" s="49">
        <v>45695</v>
      </c>
      <c r="H5867" s="49">
        <v>45715</v>
      </c>
      <c r="I5867" s="49">
        <v>45727</v>
      </c>
      <c r="J5867" t="s">
        <v>49</v>
      </c>
      <c r="K5867" s="33">
        <v>16000</v>
      </c>
      <c r="L5867" t="s">
        <v>63</v>
      </c>
      <c r="M5867" t="str">
        <f>_xlfn.XLOOKUP(Pipeline_tbl[[#This Row],[Rep_ID]],Dim_Reps!A:A,Dim_Reps!K:K)</f>
        <v>EUR</v>
      </c>
      <c r="N5867" s="33">
        <f>(_xlfn.XLOOKUP(Pipeline_tbl[[#This Row],[Rate_Code_Generalized]],Lookups!A:A,Lookups!B:B))*Pipeline_tbl[[#This Row],[Pipeline_Amount_USD]]</f>
        <v>16000</v>
      </c>
      <c r="O5867" t="str">
        <f>_xlfn.XLOOKUP(Pipeline_tbl[[#This Row],[Rep_ID]],Dim_Reps!A:A,Dim_Reps!B:B)</f>
        <v>Jamie Santos</v>
      </c>
      <c r="P5867" t="str">
        <f>_xlfn.XLOOKUP(Pipeline_tbl[[#This Row],[Rep_ID]],Dim_Reps!A:A,Dim_Reps!C:C)</f>
        <v>Enterprise AE</v>
      </c>
      <c r="Q5867" t="str">
        <f>_xlfn.XLOOKUP(Pipeline_tbl[[#This Row],[Rep_ID]],Dim_Reps!A:A,Dim_Reps!D:D)</f>
        <v>Enterprise</v>
      </c>
      <c r="R5867" t="str">
        <f>_xlfn.XLOOKUP(Pipeline_tbl[[#This Row],[Rep_ID]],Dim_Reps!A:A,Dim_Reps!E:E)</f>
        <v>APAC</v>
      </c>
      <c r="S5867" t="str">
        <f>_xlfn.XLOOKUP(Pipeline_tbl[[#This Row],[Created_Date]],Dim_Date!A:A,Dim_Date!H:H)</f>
        <v>Dec 2024</v>
      </c>
      <c r="T5867" t="str">
        <f>IF(Pipeline_tbl[[#This Row],[Closed_Date]]=0,"",(_xlfn.XLOOKUP(Pipeline_tbl[[#This Row],[Closed_Date]],Dim_Date!A:A,Dim_Date!H:H)))</f>
        <v>Mar 2025</v>
      </c>
      <c r="U5867">
        <f>IF(Pipeline_tbl[[#This Row],[Closed_Date]]=0,"",Pipeline_tbl[[#This Row],[Closed_Date]]-Pipeline_tbl[[#This Row],[Created_Date]])</f>
        <v>79</v>
      </c>
    </row>
    <row r="5868" spans="1:21" ht="15" customHeight="1" x14ac:dyDescent="0.2">
      <c r="A5868" t="s">
        <v>6174</v>
      </c>
      <c r="B5868" t="s">
        <v>188</v>
      </c>
      <c r="C5868" t="s">
        <v>52</v>
      </c>
      <c r="D5868" s="49">
        <v>45651</v>
      </c>
      <c r="E5868" s="49">
        <v>45660</v>
      </c>
      <c r="I5868" s="49">
        <v>45743</v>
      </c>
      <c r="J5868" t="s">
        <v>49</v>
      </c>
      <c r="K5868" s="33">
        <v>47800</v>
      </c>
      <c r="L5868" t="s">
        <v>63</v>
      </c>
      <c r="M5868" t="str">
        <f>_xlfn.XLOOKUP(Pipeline_tbl[[#This Row],[Rep_ID]],Dim_Reps!A:A,Dim_Reps!K:K)</f>
        <v>EUR</v>
      </c>
      <c r="N5868" s="33">
        <f>(_xlfn.XLOOKUP(Pipeline_tbl[[#This Row],[Rate_Code_Generalized]],Lookups!A:A,Lookups!B:B))*Pipeline_tbl[[#This Row],[Pipeline_Amount_USD]]</f>
        <v>47800</v>
      </c>
      <c r="O5868" t="str">
        <f>_xlfn.XLOOKUP(Pipeline_tbl[[#This Row],[Rep_ID]],Dim_Reps!A:A,Dim_Reps!B:B)</f>
        <v>Jamie Santos</v>
      </c>
      <c r="P5868" t="str">
        <f>_xlfn.XLOOKUP(Pipeline_tbl[[#This Row],[Rep_ID]],Dim_Reps!A:A,Dim_Reps!C:C)</f>
        <v>Enterprise AE</v>
      </c>
      <c r="Q5868" t="str">
        <f>_xlfn.XLOOKUP(Pipeline_tbl[[#This Row],[Rep_ID]],Dim_Reps!A:A,Dim_Reps!D:D)</f>
        <v>Enterprise</v>
      </c>
      <c r="R5868" t="str">
        <f>_xlfn.XLOOKUP(Pipeline_tbl[[#This Row],[Rep_ID]],Dim_Reps!A:A,Dim_Reps!E:E)</f>
        <v>APAC</v>
      </c>
      <c r="S5868" t="str">
        <f>_xlfn.XLOOKUP(Pipeline_tbl[[#This Row],[Created_Date]],Dim_Date!A:A,Dim_Date!H:H)</f>
        <v>Dec 2024</v>
      </c>
      <c r="T5868" t="str">
        <f>IF(Pipeline_tbl[[#This Row],[Closed_Date]]=0,"",(_xlfn.XLOOKUP(Pipeline_tbl[[#This Row],[Closed_Date]],Dim_Date!A:A,Dim_Date!H:H)))</f>
        <v>Mar 2025</v>
      </c>
      <c r="U5868">
        <f>IF(Pipeline_tbl[[#This Row],[Closed_Date]]=0,"",Pipeline_tbl[[#This Row],[Closed_Date]]-Pipeline_tbl[[#This Row],[Created_Date]])</f>
        <v>92</v>
      </c>
    </row>
    <row r="5869" spans="1:21" ht="15" customHeight="1" x14ac:dyDescent="0.2">
      <c r="A5869" t="s">
        <v>6175</v>
      </c>
      <c r="B5869" t="s">
        <v>280</v>
      </c>
      <c r="C5869" t="s">
        <v>52</v>
      </c>
      <c r="D5869" s="49">
        <v>45641</v>
      </c>
      <c r="E5869" s="49">
        <v>45649</v>
      </c>
      <c r="I5869" s="49">
        <v>45724</v>
      </c>
      <c r="J5869" t="s">
        <v>49</v>
      </c>
      <c r="K5869" s="33">
        <v>46300</v>
      </c>
      <c r="L5869" t="s">
        <v>63</v>
      </c>
      <c r="M5869" t="str">
        <f>_xlfn.XLOOKUP(Pipeline_tbl[[#This Row],[Rep_ID]],Dim_Reps!A:A,Dim_Reps!K:K)</f>
        <v>MXN</v>
      </c>
      <c r="N5869" s="33">
        <f>(_xlfn.XLOOKUP(Pipeline_tbl[[#This Row],[Rate_Code_Generalized]],Lookups!A:A,Lookups!B:B))*Pipeline_tbl[[#This Row],[Pipeline_Amount_USD]]</f>
        <v>913624.01</v>
      </c>
      <c r="O5869" t="str">
        <f>_xlfn.XLOOKUP(Pipeline_tbl[[#This Row],[Rep_ID]],Dim_Reps!A:A,Dim_Reps!B:B)</f>
        <v>Cameron Lund</v>
      </c>
      <c r="P5869" t="str">
        <f>_xlfn.XLOOKUP(Pipeline_tbl[[#This Row],[Rep_ID]],Dim_Reps!A:A,Dim_Reps!C:C)</f>
        <v>Senior Enterprise AE</v>
      </c>
      <c r="Q5869" t="str">
        <f>_xlfn.XLOOKUP(Pipeline_tbl[[#This Row],[Rep_ID]],Dim_Reps!A:A,Dim_Reps!D:D)</f>
        <v>Strategic</v>
      </c>
      <c r="R5869" t="str">
        <f>_xlfn.XLOOKUP(Pipeline_tbl[[#This Row],[Rep_ID]],Dim_Reps!A:A,Dim_Reps!E:E)</f>
        <v>LATAM</v>
      </c>
      <c r="S5869" t="str">
        <f>_xlfn.XLOOKUP(Pipeline_tbl[[#This Row],[Created_Date]],Dim_Date!A:A,Dim_Date!H:H)</f>
        <v>Dec 2024</v>
      </c>
      <c r="T5869" t="str">
        <f>IF(Pipeline_tbl[[#This Row],[Closed_Date]]=0,"",(_xlfn.XLOOKUP(Pipeline_tbl[[#This Row],[Closed_Date]],Dim_Date!A:A,Dim_Date!H:H)))</f>
        <v>Mar 2025</v>
      </c>
      <c r="U5869">
        <f>IF(Pipeline_tbl[[#This Row],[Closed_Date]]=0,"",Pipeline_tbl[[#This Row],[Closed_Date]]-Pipeline_tbl[[#This Row],[Created_Date]])</f>
        <v>83</v>
      </c>
    </row>
    <row r="5870" spans="1:21" ht="15" customHeight="1" x14ac:dyDescent="0.2">
      <c r="A5870" t="s">
        <v>6176</v>
      </c>
      <c r="B5870" t="s">
        <v>282</v>
      </c>
      <c r="C5870" t="s">
        <v>55</v>
      </c>
      <c r="D5870" s="49">
        <v>45648</v>
      </c>
      <c r="E5870" s="49">
        <v>45656</v>
      </c>
      <c r="F5870" s="49">
        <v>45673</v>
      </c>
      <c r="G5870" s="49">
        <v>45698</v>
      </c>
      <c r="H5870" s="49">
        <v>45719</v>
      </c>
      <c r="I5870" s="49">
        <v>45731</v>
      </c>
      <c r="J5870" t="s">
        <v>47</v>
      </c>
      <c r="K5870" s="33">
        <v>30500</v>
      </c>
      <c r="M5870" t="str">
        <f>_xlfn.XLOOKUP(Pipeline_tbl[[#This Row],[Rep_ID]],Dim_Reps!A:A,Dim_Reps!K:K)</f>
        <v>USD</v>
      </c>
      <c r="N5870" s="33">
        <f>(_xlfn.XLOOKUP(Pipeline_tbl[[#This Row],[Rate_Code_Generalized]],Lookups!A:A,Lookups!B:B))*Pipeline_tbl[[#This Row],[Pipeline_Amount_USD]]</f>
        <v>35511.149999999994</v>
      </c>
      <c r="O5870" t="str">
        <f>_xlfn.XLOOKUP(Pipeline_tbl[[#This Row],[Rep_ID]],Dim_Reps!A:A,Dim_Reps!B:B)</f>
        <v>Fatima Rossi</v>
      </c>
      <c r="P5870" t="str">
        <f>_xlfn.XLOOKUP(Pipeline_tbl[[#This Row],[Rep_ID]],Dim_Reps!A:A,Dim_Reps!C:C)</f>
        <v>Senior Enterprise AE</v>
      </c>
      <c r="Q5870" t="str">
        <f>_xlfn.XLOOKUP(Pipeline_tbl[[#This Row],[Rep_ID]],Dim_Reps!A:A,Dim_Reps!D:D)</f>
        <v>Strategic</v>
      </c>
      <c r="R5870" t="str">
        <f>_xlfn.XLOOKUP(Pipeline_tbl[[#This Row],[Rep_ID]],Dim_Reps!A:A,Dim_Reps!E:E)</f>
        <v>NAMER</v>
      </c>
      <c r="S5870" t="str">
        <f>_xlfn.XLOOKUP(Pipeline_tbl[[#This Row],[Created_Date]],Dim_Date!A:A,Dim_Date!H:H)</f>
        <v>Dec 2024</v>
      </c>
      <c r="T5870" t="str">
        <f>IF(Pipeline_tbl[[#This Row],[Closed_Date]]=0,"",(_xlfn.XLOOKUP(Pipeline_tbl[[#This Row],[Closed_Date]],Dim_Date!A:A,Dim_Date!H:H)))</f>
        <v>Mar 2025</v>
      </c>
      <c r="U5870">
        <f>IF(Pipeline_tbl[[#This Row],[Closed_Date]]=0,"",Pipeline_tbl[[#This Row],[Closed_Date]]-Pipeline_tbl[[#This Row],[Created_Date]])</f>
        <v>83</v>
      </c>
    </row>
    <row r="5871" spans="1:21" ht="15" customHeight="1" x14ac:dyDescent="0.2">
      <c r="A5871" t="s">
        <v>6177</v>
      </c>
      <c r="B5871" t="s">
        <v>282</v>
      </c>
      <c r="C5871" t="s">
        <v>54</v>
      </c>
      <c r="D5871" s="49">
        <v>45653</v>
      </c>
      <c r="E5871" s="49">
        <v>45662</v>
      </c>
      <c r="I5871" s="49">
        <v>45746</v>
      </c>
      <c r="J5871" t="s">
        <v>49</v>
      </c>
      <c r="K5871" s="33">
        <v>62300</v>
      </c>
      <c r="L5871" t="s">
        <v>60</v>
      </c>
      <c r="M5871" t="str">
        <f>_xlfn.XLOOKUP(Pipeline_tbl[[#This Row],[Rep_ID]],Dim_Reps!A:A,Dim_Reps!K:K)</f>
        <v>USD</v>
      </c>
      <c r="N5871" s="33">
        <f>(_xlfn.XLOOKUP(Pipeline_tbl[[#This Row],[Rate_Code_Generalized]],Lookups!A:A,Lookups!B:B))*Pipeline_tbl[[#This Row],[Pipeline_Amount_USD]]</f>
        <v>72535.89</v>
      </c>
      <c r="O5871" t="str">
        <f>_xlfn.XLOOKUP(Pipeline_tbl[[#This Row],[Rep_ID]],Dim_Reps!A:A,Dim_Reps!B:B)</f>
        <v>Fatima Rossi</v>
      </c>
      <c r="P5871" t="str">
        <f>_xlfn.XLOOKUP(Pipeline_tbl[[#This Row],[Rep_ID]],Dim_Reps!A:A,Dim_Reps!C:C)</f>
        <v>Senior Enterprise AE</v>
      </c>
      <c r="Q5871" t="str">
        <f>_xlfn.XLOOKUP(Pipeline_tbl[[#This Row],[Rep_ID]],Dim_Reps!A:A,Dim_Reps!D:D)</f>
        <v>Strategic</v>
      </c>
      <c r="R5871" t="str">
        <f>_xlfn.XLOOKUP(Pipeline_tbl[[#This Row],[Rep_ID]],Dim_Reps!A:A,Dim_Reps!E:E)</f>
        <v>NAMER</v>
      </c>
      <c r="S5871" t="str">
        <f>_xlfn.XLOOKUP(Pipeline_tbl[[#This Row],[Created_Date]],Dim_Date!A:A,Dim_Date!H:H)</f>
        <v>Dec 2024</v>
      </c>
      <c r="T5871" t="str">
        <f>IF(Pipeline_tbl[[#This Row],[Closed_Date]]=0,"",(_xlfn.XLOOKUP(Pipeline_tbl[[#This Row],[Closed_Date]],Dim_Date!A:A,Dim_Date!H:H)))</f>
        <v>Mar 2025</v>
      </c>
      <c r="U5871">
        <f>IF(Pipeline_tbl[[#This Row],[Closed_Date]]=0,"",Pipeline_tbl[[#This Row],[Closed_Date]]-Pipeline_tbl[[#This Row],[Created_Date]])</f>
        <v>93</v>
      </c>
    </row>
    <row r="5872" spans="1:21" ht="15" customHeight="1" x14ac:dyDescent="0.2">
      <c r="A5872" t="s">
        <v>6178</v>
      </c>
      <c r="B5872" t="s">
        <v>191</v>
      </c>
      <c r="C5872" t="s">
        <v>53</v>
      </c>
      <c r="D5872" s="49">
        <v>45652</v>
      </c>
      <c r="E5872" s="49">
        <v>45660</v>
      </c>
      <c r="F5872" s="49">
        <v>45676</v>
      </c>
      <c r="G5872" s="49">
        <v>45699</v>
      </c>
      <c r="H5872" s="49">
        <v>45719</v>
      </c>
      <c r="I5872" s="49">
        <v>45731</v>
      </c>
      <c r="J5872" t="s">
        <v>47</v>
      </c>
      <c r="K5872" s="33">
        <v>33200</v>
      </c>
      <c r="M5872" t="str">
        <f>_xlfn.XLOOKUP(Pipeline_tbl[[#This Row],[Rep_ID]],Dim_Reps!A:A,Dim_Reps!K:K)</f>
        <v>USD</v>
      </c>
      <c r="N5872" s="33">
        <f>(_xlfn.XLOOKUP(Pipeline_tbl[[#This Row],[Rate_Code_Generalized]],Lookups!A:A,Lookups!B:B))*Pipeline_tbl[[#This Row],[Pipeline_Amount_USD]]</f>
        <v>38654.759999999995</v>
      </c>
      <c r="O5872" t="str">
        <f>_xlfn.XLOOKUP(Pipeline_tbl[[#This Row],[Rep_ID]],Dim_Reps!A:A,Dim_Reps!B:B)</f>
        <v>Zara Duarte</v>
      </c>
      <c r="P5872" t="str">
        <f>_xlfn.XLOOKUP(Pipeline_tbl[[#This Row],[Rep_ID]],Dim_Reps!A:A,Dim_Reps!C:C)</f>
        <v>Enterprise AE</v>
      </c>
      <c r="Q5872" t="str">
        <f>_xlfn.XLOOKUP(Pipeline_tbl[[#This Row],[Rep_ID]],Dim_Reps!A:A,Dim_Reps!D:D)</f>
        <v>Enterprise</v>
      </c>
      <c r="R5872" t="str">
        <f>_xlfn.XLOOKUP(Pipeline_tbl[[#This Row],[Rep_ID]],Dim_Reps!A:A,Dim_Reps!E:E)</f>
        <v>NAMER</v>
      </c>
      <c r="S5872" t="str">
        <f>_xlfn.XLOOKUP(Pipeline_tbl[[#This Row],[Created_Date]],Dim_Date!A:A,Dim_Date!H:H)</f>
        <v>Dec 2024</v>
      </c>
      <c r="T5872" t="str">
        <f>IF(Pipeline_tbl[[#This Row],[Closed_Date]]=0,"",(_xlfn.XLOOKUP(Pipeline_tbl[[#This Row],[Closed_Date]],Dim_Date!A:A,Dim_Date!H:H)))</f>
        <v>Mar 2025</v>
      </c>
      <c r="U5872">
        <f>IF(Pipeline_tbl[[#This Row],[Closed_Date]]=0,"",Pipeline_tbl[[#This Row],[Closed_Date]]-Pipeline_tbl[[#This Row],[Created_Date]])</f>
        <v>79</v>
      </c>
    </row>
    <row r="5873" spans="1:21" ht="15" customHeight="1" x14ac:dyDescent="0.2">
      <c r="A5873" t="s">
        <v>6179</v>
      </c>
      <c r="B5873" t="s">
        <v>284</v>
      </c>
      <c r="C5873" t="s">
        <v>54</v>
      </c>
      <c r="D5873" s="49">
        <v>45657</v>
      </c>
      <c r="E5873" s="49">
        <v>45664</v>
      </c>
      <c r="F5873" s="49">
        <v>45679</v>
      </c>
      <c r="G5873" s="49">
        <v>45700</v>
      </c>
      <c r="H5873" s="49">
        <v>45718</v>
      </c>
      <c r="I5873" s="49">
        <v>45729</v>
      </c>
      <c r="J5873" t="s">
        <v>47</v>
      </c>
      <c r="K5873" s="33">
        <v>93000</v>
      </c>
      <c r="M5873" t="str">
        <f>_xlfn.XLOOKUP(Pipeline_tbl[[#This Row],[Rep_ID]],Dim_Reps!A:A,Dim_Reps!K:K)</f>
        <v>USD</v>
      </c>
      <c r="N5873" s="33">
        <f>(_xlfn.XLOOKUP(Pipeline_tbl[[#This Row],[Rate_Code_Generalized]],Lookups!A:A,Lookups!B:B))*Pipeline_tbl[[#This Row],[Pipeline_Amount_USD]]</f>
        <v>108279.9</v>
      </c>
      <c r="O5873" t="str">
        <f>_xlfn.XLOOKUP(Pipeline_tbl[[#This Row],[Rep_ID]],Dim_Reps!A:A,Dim_Reps!B:B)</f>
        <v>Taylor Adler</v>
      </c>
      <c r="P5873" t="str">
        <f>_xlfn.XLOOKUP(Pipeline_tbl[[#This Row],[Rep_ID]],Dim_Reps!A:A,Dim_Reps!C:C)</f>
        <v>Senior Enterprise AE</v>
      </c>
      <c r="Q5873" t="str">
        <f>_xlfn.XLOOKUP(Pipeline_tbl[[#This Row],[Rep_ID]],Dim_Reps!A:A,Dim_Reps!D:D)</f>
        <v>Strategic</v>
      </c>
      <c r="R5873" t="str">
        <f>_xlfn.XLOOKUP(Pipeline_tbl[[#This Row],[Rep_ID]],Dim_Reps!A:A,Dim_Reps!E:E)</f>
        <v>NAMER</v>
      </c>
      <c r="S5873" t="str">
        <f>_xlfn.XLOOKUP(Pipeline_tbl[[#This Row],[Created_Date]],Dim_Date!A:A,Dim_Date!H:H)</f>
        <v>Dec 2024</v>
      </c>
      <c r="T5873" t="str">
        <f>IF(Pipeline_tbl[[#This Row],[Closed_Date]]=0,"",(_xlfn.XLOOKUP(Pipeline_tbl[[#This Row],[Closed_Date]],Dim_Date!A:A,Dim_Date!H:H)))</f>
        <v>Mar 2025</v>
      </c>
      <c r="U5873">
        <f>IF(Pipeline_tbl[[#This Row],[Closed_Date]]=0,"",Pipeline_tbl[[#This Row],[Closed_Date]]-Pipeline_tbl[[#This Row],[Created_Date]])</f>
        <v>72</v>
      </c>
    </row>
    <row r="5874" spans="1:21" ht="15" customHeight="1" x14ac:dyDescent="0.2">
      <c r="A5874" t="s">
        <v>6180</v>
      </c>
      <c r="B5874" t="s">
        <v>284</v>
      </c>
      <c r="C5874" t="s">
        <v>52</v>
      </c>
      <c r="D5874" s="49">
        <v>45636</v>
      </c>
      <c r="E5874" s="49">
        <v>45646</v>
      </c>
      <c r="F5874" s="49">
        <v>45668</v>
      </c>
      <c r="I5874" s="49">
        <v>45741</v>
      </c>
      <c r="J5874" t="s">
        <v>49</v>
      </c>
      <c r="K5874" s="33">
        <v>54200</v>
      </c>
      <c r="L5874" t="s">
        <v>61</v>
      </c>
      <c r="M5874" t="str">
        <f>_xlfn.XLOOKUP(Pipeline_tbl[[#This Row],[Rep_ID]],Dim_Reps!A:A,Dim_Reps!K:K)</f>
        <v>USD</v>
      </c>
      <c r="N5874" s="33">
        <f>(_xlfn.XLOOKUP(Pipeline_tbl[[#This Row],[Rate_Code_Generalized]],Lookups!A:A,Lookups!B:B))*Pipeline_tbl[[#This Row],[Pipeline_Amount_USD]]</f>
        <v>63105.06</v>
      </c>
      <c r="O5874" t="str">
        <f>_xlfn.XLOOKUP(Pipeline_tbl[[#This Row],[Rep_ID]],Dim_Reps!A:A,Dim_Reps!B:B)</f>
        <v>Taylor Adler</v>
      </c>
      <c r="P5874" t="str">
        <f>_xlfn.XLOOKUP(Pipeline_tbl[[#This Row],[Rep_ID]],Dim_Reps!A:A,Dim_Reps!C:C)</f>
        <v>Senior Enterprise AE</v>
      </c>
      <c r="Q5874" t="str">
        <f>_xlfn.XLOOKUP(Pipeline_tbl[[#This Row],[Rep_ID]],Dim_Reps!A:A,Dim_Reps!D:D)</f>
        <v>Strategic</v>
      </c>
      <c r="R5874" t="str">
        <f>_xlfn.XLOOKUP(Pipeline_tbl[[#This Row],[Rep_ID]],Dim_Reps!A:A,Dim_Reps!E:E)</f>
        <v>NAMER</v>
      </c>
      <c r="S5874" t="str">
        <f>_xlfn.XLOOKUP(Pipeline_tbl[[#This Row],[Created_Date]],Dim_Date!A:A,Dim_Date!H:H)</f>
        <v>Dec 2024</v>
      </c>
      <c r="T5874" t="str">
        <f>IF(Pipeline_tbl[[#This Row],[Closed_Date]]=0,"",(_xlfn.XLOOKUP(Pipeline_tbl[[#This Row],[Closed_Date]],Dim_Date!A:A,Dim_Date!H:H)))</f>
        <v>Mar 2025</v>
      </c>
      <c r="U5874">
        <f>IF(Pipeline_tbl[[#This Row],[Closed_Date]]=0,"",Pipeline_tbl[[#This Row],[Closed_Date]]-Pipeline_tbl[[#This Row],[Created_Date]])</f>
        <v>105</v>
      </c>
    </row>
    <row r="5875" spans="1:21" ht="15" customHeight="1" x14ac:dyDescent="0.2">
      <c r="A5875" t="s">
        <v>6181</v>
      </c>
      <c r="B5875" t="s">
        <v>193</v>
      </c>
      <c r="C5875" t="s">
        <v>52</v>
      </c>
      <c r="D5875" s="49">
        <v>45880</v>
      </c>
      <c r="E5875" s="49">
        <v>45882</v>
      </c>
      <c r="F5875" s="49">
        <v>45885</v>
      </c>
      <c r="G5875" s="49">
        <v>45890</v>
      </c>
      <c r="H5875" s="49">
        <v>45894</v>
      </c>
      <c r="I5875" s="49">
        <v>45896</v>
      </c>
      <c r="J5875" t="s">
        <v>47</v>
      </c>
      <c r="K5875" s="33">
        <v>3400</v>
      </c>
      <c r="M5875" t="str">
        <f>_xlfn.XLOOKUP(Pipeline_tbl[[#This Row],[Rep_ID]],Dim_Reps!A:A,Dim_Reps!K:K)</f>
        <v>USD</v>
      </c>
      <c r="N5875" s="33">
        <f>(_xlfn.XLOOKUP(Pipeline_tbl[[#This Row],[Rate_Code_Generalized]],Lookups!A:A,Lookups!B:B))*Pipeline_tbl[[#This Row],[Pipeline_Amount_USD]]</f>
        <v>3958.6199999999994</v>
      </c>
      <c r="O5875" t="str">
        <f>_xlfn.XLOOKUP(Pipeline_tbl[[#This Row],[Rep_ID]],Dim_Reps!A:A,Dim_Reps!B:B)</f>
        <v>Karim Rossi</v>
      </c>
      <c r="P5875" t="str">
        <f>_xlfn.XLOOKUP(Pipeline_tbl[[#This Row],[Rep_ID]],Dim_Reps!A:A,Dim_Reps!C:C)</f>
        <v>SDR / Inside Sales Rep</v>
      </c>
      <c r="Q5875" t="str">
        <f>_xlfn.XLOOKUP(Pipeline_tbl[[#This Row],[Rep_ID]],Dim_Reps!A:A,Dim_Reps!D:D)</f>
        <v>Inside Sales</v>
      </c>
      <c r="R5875" t="str">
        <f>_xlfn.XLOOKUP(Pipeline_tbl[[#This Row],[Rep_ID]],Dim_Reps!A:A,Dim_Reps!E:E)</f>
        <v>NAMER</v>
      </c>
      <c r="S5875" t="str">
        <f>_xlfn.XLOOKUP(Pipeline_tbl[[#This Row],[Created_Date]],Dim_Date!A:A,Dim_Date!H:H)</f>
        <v>Aug 2025</v>
      </c>
      <c r="T5875" t="str">
        <f>IF(Pipeline_tbl[[#This Row],[Closed_Date]]=0,"",(_xlfn.XLOOKUP(Pipeline_tbl[[#This Row],[Closed_Date]],Dim_Date!A:A,Dim_Date!H:H)))</f>
        <v>Aug 2025</v>
      </c>
      <c r="U5875">
        <f>IF(Pipeline_tbl[[#This Row],[Closed_Date]]=0,"",Pipeline_tbl[[#This Row],[Closed_Date]]-Pipeline_tbl[[#This Row],[Created_Date]])</f>
        <v>16</v>
      </c>
    </row>
    <row r="5876" spans="1:21" ht="15" customHeight="1" x14ac:dyDescent="0.2">
      <c r="A5876" t="s">
        <v>6182</v>
      </c>
      <c r="B5876" t="s">
        <v>193</v>
      </c>
      <c r="C5876" t="s">
        <v>55</v>
      </c>
      <c r="D5876" s="49">
        <v>45870</v>
      </c>
      <c r="E5876" s="49">
        <v>45872</v>
      </c>
      <c r="F5876" s="49">
        <v>45875</v>
      </c>
      <c r="G5876" s="49">
        <v>45880</v>
      </c>
      <c r="H5876" s="49">
        <v>45884</v>
      </c>
      <c r="I5876" s="49">
        <v>45886</v>
      </c>
      <c r="J5876" t="s">
        <v>49</v>
      </c>
      <c r="K5876" s="33">
        <v>4800</v>
      </c>
      <c r="L5876" t="s">
        <v>63</v>
      </c>
      <c r="M5876" t="str">
        <f>_xlfn.XLOOKUP(Pipeline_tbl[[#This Row],[Rep_ID]],Dim_Reps!A:A,Dim_Reps!K:K)</f>
        <v>USD</v>
      </c>
      <c r="N5876" s="33">
        <f>(_xlfn.XLOOKUP(Pipeline_tbl[[#This Row],[Rate_Code_Generalized]],Lookups!A:A,Lookups!B:B))*Pipeline_tbl[[#This Row],[Pipeline_Amount_USD]]</f>
        <v>5588.6399999999994</v>
      </c>
      <c r="O5876" t="str">
        <f>_xlfn.XLOOKUP(Pipeline_tbl[[#This Row],[Rep_ID]],Dim_Reps!A:A,Dim_Reps!B:B)</f>
        <v>Karim Rossi</v>
      </c>
      <c r="P5876" t="str">
        <f>_xlfn.XLOOKUP(Pipeline_tbl[[#This Row],[Rep_ID]],Dim_Reps!A:A,Dim_Reps!C:C)</f>
        <v>SDR / Inside Sales Rep</v>
      </c>
      <c r="Q5876" t="str">
        <f>_xlfn.XLOOKUP(Pipeline_tbl[[#This Row],[Rep_ID]],Dim_Reps!A:A,Dim_Reps!D:D)</f>
        <v>Inside Sales</v>
      </c>
      <c r="R5876" t="str">
        <f>_xlfn.XLOOKUP(Pipeline_tbl[[#This Row],[Rep_ID]],Dim_Reps!A:A,Dim_Reps!E:E)</f>
        <v>NAMER</v>
      </c>
      <c r="S5876" t="str">
        <f>_xlfn.XLOOKUP(Pipeline_tbl[[#This Row],[Created_Date]],Dim_Date!A:A,Dim_Date!H:H)</f>
        <v>Aug 2025</v>
      </c>
      <c r="T5876" t="str">
        <f>IF(Pipeline_tbl[[#This Row],[Closed_Date]]=0,"",(_xlfn.XLOOKUP(Pipeline_tbl[[#This Row],[Closed_Date]],Dim_Date!A:A,Dim_Date!H:H)))</f>
        <v>Aug 2025</v>
      </c>
      <c r="U5876">
        <f>IF(Pipeline_tbl[[#This Row],[Closed_Date]]=0,"",Pipeline_tbl[[#This Row],[Closed_Date]]-Pipeline_tbl[[#This Row],[Created_Date]])</f>
        <v>16</v>
      </c>
    </row>
    <row r="5877" spans="1:21" ht="15" customHeight="1" x14ac:dyDescent="0.2">
      <c r="A5877" t="s">
        <v>6183</v>
      </c>
      <c r="B5877" t="s">
        <v>193</v>
      </c>
      <c r="C5877" t="s">
        <v>52</v>
      </c>
      <c r="D5877" s="49">
        <v>45873</v>
      </c>
      <c r="E5877" s="49">
        <v>45875</v>
      </c>
      <c r="F5877" s="49">
        <v>45879</v>
      </c>
      <c r="G5877" s="49">
        <v>45885</v>
      </c>
      <c r="H5877" s="49">
        <v>45890</v>
      </c>
      <c r="I5877" s="49">
        <v>45893</v>
      </c>
      <c r="J5877" t="s">
        <v>47</v>
      </c>
      <c r="K5877" s="33">
        <v>3300</v>
      </c>
      <c r="M5877" t="str">
        <f>_xlfn.XLOOKUP(Pipeline_tbl[[#This Row],[Rep_ID]],Dim_Reps!A:A,Dim_Reps!K:K)</f>
        <v>USD</v>
      </c>
      <c r="N5877" s="33">
        <f>(_xlfn.XLOOKUP(Pipeline_tbl[[#This Row],[Rate_Code_Generalized]],Lookups!A:A,Lookups!B:B))*Pipeline_tbl[[#This Row],[Pipeline_Amount_USD]]</f>
        <v>3842.1899999999996</v>
      </c>
      <c r="O5877" t="str">
        <f>_xlfn.XLOOKUP(Pipeline_tbl[[#This Row],[Rep_ID]],Dim_Reps!A:A,Dim_Reps!B:B)</f>
        <v>Karim Rossi</v>
      </c>
      <c r="P5877" t="str">
        <f>_xlfn.XLOOKUP(Pipeline_tbl[[#This Row],[Rep_ID]],Dim_Reps!A:A,Dim_Reps!C:C)</f>
        <v>SDR / Inside Sales Rep</v>
      </c>
      <c r="Q5877" t="str">
        <f>_xlfn.XLOOKUP(Pipeline_tbl[[#This Row],[Rep_ID]],Dim_Reps!A:A,Dim_Reps!D:D)</f>
        <v>Inside Sales</v>
      </c>
      <c r="R5877" t="str">
        <f>_xlfn.XLOOKUP(Pipeline_tbl[[#This Row],[Rep_ID]],Dim_Reps!A:A,Dim_Reps!E:E)</f>
        <v>NAMER</v>
      </c>
      <c r="S5877" t="str">
        <f>_xlfn.XLOOKUP(Pipeline_tbl[[#This Row],[Created_Date]],Dim_Date!A:A,Dim_Date!H:H)</f>
        <v>Aug 2025</v>
      </c>
      <c r="T5877" t="str">
        <f>IF(Pipeline_tbl[[#This Row],[Closed_Date]]=0,"",(_xlfn.XLOOKUP(Pipeline_tbl[[#This Row],[Closed_Date]],Dim_Date!A:A,Dim_Date!H:H)))</f>
        <v>Aug 2025</v>
      </c>
      <c r="U5877">
        <f>IF(Pipeline_tbl[[#This Row],[Closed_Date]]=0,"",Pipeline_tbl[[#This Row],[Closed_Date]]-Pipeline_tbl[[#This Row],[Created_Date]])</f>
        <v>20</v>
      </c>
    </row>
    <row r="5878" spans="1:21" ht="15" customHeight="1" x14ac:dyDescent="0.2">
      <c r="A5878" t="s">
        <v>6184</v>
      </c>
      <c r="B5878" t="s">
        <v>243</v>
      </c>
      <c r="C5878" t="s">
        <v>52</v>
      </c>
      <c r="D5878" s="49">
        <v>45878</v>
      </c>
      <c r="E5878" s="49">
        <v>45879</v>
      </c>
      <c r="F5878" s="49">
        <v>45882</v>
      </c>
      <c r="G5878" s="49">
        <v>45885</v>
      </c>
      <c r="I5878" s="49">
        <v>45890</v>
      </c>
      <c r="J5878" t="s">
        <v>49</v>
      </c>
      <c r="K5878" s="33">
        <v>12800</v>
      </c>
      <c r="L5878" t="s">
        <v>64</v>
      </c>
      <c r="M5878" t="str">
        <f>_xlfn.XLOOKUP(Pipeline_tbl[[#This Row],[Rep_ID]],Dim_Reps!A:A,Dim_Reps!K:K)</f>
        <v>MXN</v>
      </c>
      <c r="N5878" s="33">
        <f>(_xlfn.XLOOKUP(Pipeline_tbl[[#This Row],[Rate_Code_Generalized]],Lookups!A:A,Lookups!B:B))*Pipeline_tbl[[#This Row],[Pipeline_Amount_USD]]</f>
        <v>252578.56000000003</v>
      </c>
      <c r="O5878" t="str">
        <f>_xlfn.XLOOKUP(Pipeline_tbl[[#This Row],[Rep_ID]],Dim_Reps!A:A,Dim_Reps!B:B)</f>
        <v>Jonas Sato</v>
      </c>
      <c r="P5878" t="str">
        <f>_xlfn.XLOOKUP(Pipeline_tbl[[#This Row],[Rep_ID]],Dim_Reps!A:A,Dim_Reps!C:C)</f>
        <v>Mid-Market AE</v>
      </c>
      <c r="Q5878" t="str">
        <f>_xlfn.XLOOKUP(Pipeline_tbl[[#This Row],[Rep_ID]],Dim_Reps!A:A,Dim_Reps!D:D)</f>
        <v>Mid-Market</v>
      </c>
      <c r="R5878" t="str">
        <f>_xlfn.XLOOKUP(Pipeline_tbl[[#This Row],[Rep_ID]],Dim_Reps!A:A,Dim_Reps!E:E)</f>
        <v>LATAM</v>
      </c>
      <c r="S5878" t="str">
        <f>_xlfn.XLOOKUP(Pipeline_tbl[[#This Row],[Created_Date]],Dim_Date!A:A,Dim_Date!H:H)</f>
        <v>Aug 2025</v>
      </c>
      <c r="T5878" t="str">
        <f>IF(Pipeline_tbl[[#This Row],[Closed_Date]]=0,"",(_xlfn.XLOOKUP(Pipeline_tbl[[#This Row],[Closed_Date]],Dim_Date!A:A,Dim_Date!H:H)))</f>
        <v>Aug 2025</v>
      </c>
      <c r="U5878">
        <f>IF(Pipeline_tbl[[#This Row],[Closed_Date]]=0,"",Pipeline_tbl[[#This Row],[Closed_Date]]-Pipeline_tbl[[#This Row],[Created_Date]])</f>
        <v>12</v>
      </c>
    </row>
    <row r="5879" spans="1:21" ht="15" customHeight="1" x14ac:dyDescent="0.2">
      <c r="A5879" t="s">
        <v>6185</v>
      </c>
      <c r="B5879" t="s">
        <v>196</v>
      </c>
      <c r="C5879" t="s">
        <v>54</v>
      </c>
      <c r="D5879" s="49">
        <v>45870</v>
      </c>
      <c r="E5879" s="49">
        <v>45873</v>
      </c>
      <c r="F5879" s="49">
        <v>45878</v>
      </c>
      <c r="G5879" s="49">
        <v>45886</v>
      </c>
      <c r="H5879" s="49">
        <v>45892</v>
      </c>
      <c r="I5879" s="49">
        <v>45896</v>
      </c>
      <c r="J5879" t="s">
        <v>47</v>
      </c>
      <c r="K5879" s="33">
        <v>4400</v>
      </c>
      <c r="M5879" t="str">
        <f>_xlfn.XLOOKUP(Pipeline_tbl[[#This Row],[Rep_ID]],Dim_Reps!A:A,Dim_Reps!K:K)</f>
        <v>EUR</v>
      </c>
      <c r="N5879" s="33">
        <f>(_xlfn.XLOOKUP(Pipeline_tbl[[#This Row],[Rate_Code_Generalized]],Lookups!A:A,Lookups!B:B))*Pipeline_tbl[[#This Row],[Pipeline_Amount_USD]]</f>
        <v>4400</v>
      </c>
      <c r="O5879" t="str">
        <f>_xlfn.XLOOKUP(Pipeline_tbl[[#This Row],[Rep_ID]],Dim_Reps!A:A,Dim_Reps!B:B)</f>
        <v>Alex Okafor</v>
      </c>
      <c r="P5879" t="str">
        <f>_xlfn.XLOOKUP(Pipeline_tbl[[#This Row],[Rep_ID]],Dim_Reps!A:A,Dim_Reps!C:C)</f>
        <v>SDR / Inside Sales Rep</v>
      </c>
      <c r="Q5879" t="str">
        <f>_xlfn.XLOOKUP(Pipeline_tbl[[#This Row],[Rep_ID]],Dim_Reps!A:A,Dim_Reps!D:D)</f>
        <v>Inside Sales</v>
      </c>
      <c r="R5879" t="str">
        <f>_xlfn.XLOOKUP(Pipeline_tbl[[#This Row],[Rep_ID]],Dim_Reps!A:A,Dim_Reps!E:E)</f>
        <v>EMEA</v>
      </c>
      <c r="S5879" t="str">
        <f>_xlfn.XLOOKUP(Pipeline_tbl[[#This Row],[Created_Date]],Dim_Date!A:A,Dim_Date!H:H)</f>
        <v>Aug 2025</v>
      </c>
      <c r="T5879" t="str">
        <f>IF(Pipeline_tbl[[#This Row],[Closed_Date]]=0,"",(_xlfn.XLOOKUP(Pipeline_tbl[[#This Row],[Closed_Date]],Dim_Date!A:A,Dim_Date!H:H)))</f>
        <v>Aug 2025</v>
      </c>
      <c r="U5879">
        <f>IF(Pipeline_tbl[[#This Row],[Closed_Date]]=0,"",Pipeline_tbl[[#This Row],[Closed_Date]]-Pipeline_tbl[[#This Row],[Created_Date]])</f>
        <v>26</v>
      </c>
    </row>
    <row r="5880" spans="1:21" ht="15" customHeight="1" x14ac:dyDescent="0.2">
      <c r="A5880" t="s">
        <v>6186</v>
      </c>
      <c r="B5880" t="s">
        <v>196</v>
      </c>
      <c r="C5880" t="s">
        <v>53</v>
      </c>
      <c r="D5880" s="49">
        <v>45877</v>
      </c>
      <c r="E5880" s="49">
        <v>45878</v>
      </c>
      <c r="F5880" s="49">
        <v>45881</v>
      </c>
      <c r="I5880" s="49">
        <v>45891</v>
      </c>
      <c r="J5880" t="s">
        <v>49</v>
      </c>
      <c r="K5880" s="33">
        <v>2400</v>
      </c>
      <c r="L5880" t="s">
        <v>64</v>
      </c>
      <c r="M5880" t="str">
        <f>_xlfn.XLOOKUP(Pipeline_tbl[[#This Row],[Rep_ID]],Dim_Reps!A:A,Dim_Reps!K:K)</f>
        <v>EUR</v>
      </c>
      <c r="N5880" s="33">
        <f>(_xlfn.XLOOKUP(Pipeline_tbl[[#This Row],[Rate_Code_Generalized]],Lookups!A:A,Lookups!B:B))*Pipeline_tbl[[#This Row],[Pipeline_Amount_USD]]</f>
        <v>2400</v>
      </c>
      <c r="O5880" t="str">
        <f>_xlfn.XLOOKUP(Pipeline_tbl[[#This Row],[Rep_ID]],Dim_Reps!A:A,Dim_Reps!B:B)</f>
        <v>Alex Okafor</v>
      </c>
      <c r="P5880" t="str">
        <f>_xlfn.XLOOKUP(Pipeline_tbl[[#This Row],[Rep_ID]],Dim_Reps!A:A,Dim_Reps!C:C)</f>
        <v>SDR / Inside Sales Rep</v>
      </c>
      <c r="Q5880" t="str">
        <f>_xlfn.XLOOKUP(Pipeline_tbl[[#This Row],[Rep_ID]],Dim_Reps!A:A,Dim_Reps!D:D)</f>
        <v>Inside Sales</v>
      </c>
      <c r="R5880" t="str">
        <f>_xlfn.XLOOKUP(Pipeline_tbl[[#This Row],[Rep_ID]],Dim_Reps!A:A,Dim_Reps!E:E)</f>
        <v>EMEA</v>
      </c>
      <c r="S5880" t="str">
        <f>_xlfn.XLOOKUP(Pipeline_tbl[[#This Row],[Created_Date]],Dim_Date!A:A,Dim_Date!H:H)</f>
        <v>Aug 2025</v>
      </c>
      <c r="T5880" t="str">
        <f>IF(Pipeline_tbl[[#This Row],[Closed_Date]]=0,"",(_xlfn.XLOOKUP(Pipeline_tbl[[#This Row],[Closed_Date]],Dim_Date!A:A,Dim_Date!H:H)))</f>
        <v>Aug 2025</v>
      </c>
      <c r="U5880">
        <f>IF(Pipeline_tbl[[#This Row],[Closed_Date]]=0,"",Pipeline_tbl[[#This Row],[Closed_Date]]-Pipeline_tbl[[#This Row],[Created_Date]])</f>
        <v>14</v>
      </c>
    </row>
    <row r="5881" spans="1:21" ht="15" customHeight="1" x14ac:dyDescent="0.2">
      <c r="A5881" t="s">
        <v>6187</v>
      </c>
      <c r="B5881" t="s">
        <v>196</v>
      </c>
      <c r="C5881" t="s">
        <v>54</v>
      </c>
      <c r="D5881" s="49">
        <v>45876</v>
      </c>
      <c r="E5881" s="49">
        <v>45877</v>
      </c>
      <c r="F5881" s="49">
        <v>45879</v>
      </c>
      <c r="G5881" s="49">
        <v>45883</v>
      </c>
      <c r="H5881" s="49">
        <v>45885</v>
      </c>
      <c r="I5881" s="49">
        <v>45887</v>
      </c>
      <c r="J5881" t="s">
        <v>47</v>
      </c>
      <c r="K5881" s="33">
        <v>1800</v>
      </c>
      <c r="M5881" t="str">
        <f>_xlfn.XLOOKUP(Pipeline_tbl[[#This Row],[Rep_ID]],Dim_Reps!A:A,Dim_Reps!K:K)</f>
        <v>EUR</v>
      </c>
      <c r="N5881" s="33">
        <f>(_xlfn.XLOOKUP(Pipeline_tbl[[#This Row],[Rate_Code_Generalized]],Lookups!A:A,Lookups!B:B))*Pipeline_tbl[[#This Row],[Pipeline_Amount_USD]]</f>
        <v>1800</v>
      </c>
      <c r="O5881" t="str">
        <f>_xlfn.XLOOKUP(Pipeline_tbl[[#This Row],[Rep_ID]],Dim_Reps!A:A,Dim_Reps!B:B)</f>
        <v>Alex Okafor</v>
      </c>
      <c r="P5881" t="str">
        <f>_xlfn.XLOOKUP(Pipeline_tbl[[#This Row],[Rep_ID]],Dim_Reps!A:A,Dim_Reps!C:C)</f>
        <v>SDR / Inside Sales Rep</v>
      </c>
      <c r="Q5881" t="str">
        <f>_xlfn.XLOOKUP(Pipeline_tbl[[#This Row],[Rep_ID]],Dim_Reps!A:A,Dim_Reps!D:D)</f>
        <v>Inside Sales</v>
      </c>
      <c r="R5881" t="str">
        <f>_xlfn.XLOOKUP(Pipeline_tbl[[#This Row],[Rep_ID]],Dim_Reps!A:A,Dim_Reps!E:E)</f>
        <v>EMEA</v>
      </c>
      <c r="S5881" t="str">
        <f>_xlfn.XLOOKUP(Pipeline_tbl[[#This Row],[Created_Date]],Dim_Date!A:A,Dim_Date!H:H)</f>
        <v>Aug 2025</v>
      </c>
      <c r="T5881" t="str">
        <f>IF(Pipeline_tbl[[#This Row],[Closed_Date]]=0,"",(_xlfn.XLOOKUP(Pipeline_tbl[[#This Row],[Closed_Date]],Dim_Date!A:A,Dim_Date!H:H)))</f>
        <v>Aug 2025</v>
      </c>
      <c r="U5881">
        <f>IF(Pipeline_tbl[[#This Row],[Closed_Date]]=0,"",Pipeline_tbl[[#This Row],[Closed_Date]]-Pipeline_tbl[[#This Row],[Created_Date]])</f>
        <v>11</v>
      </c>
    </row>
    <row r="5882" spans="1:21" ht="15" customHeight="1" x14ac:dyDescent="0.2">
      <c r="A5882" t="s">
        <v>6188</v>
      </c>
      <c r="B5882" t="s">
        <v>196</v>
      </c>
      <c r="C5882" t="s">
        <v>55</v>
      </c>
      <c r="D5882" s="49">
        <v>45870</v>
      </c>
      <c r="E5882" s="49">
        <v>45872</v>
      </c>
      <c r="F5882" s="49">
        <v>45876</v>
      </c>
      <c r="G5882" s="49">
        <v>45883</v>
      </c>
      <c r="H5882" s="49">
        <v>45888</v>
      </c>
      <c r="I5882" s="49">
        <v>45891</v>
      </c>
      <c r="J5882" t="s">
        <v>49</v>
      </c>
      <c r="K5882" s="33">
        <v>3000</v>
      </c>
      <c r="L5882" t="s">
        <v>63</v>
      </c>
      <c r="M5882" t="str">
        <f>_xlfn.XLOOKUP(Pipeline_tbl[[#This Row],[Rep_ID]],Dim_Reps!A:A,Dim_Reps!K:K)</f>
        <v>EUR</v>
      </c>
      <c r="N5882" s="33">
        <f>(_xlfn.XLOOKUP(Pipeline_tbl[[#This Row],[Rate_Code_Generalized]],Lookups!A:A,Lookups!B:B))*Pipeline_tbl[[#This Row],[Pipeline_Amount_USD]]</f>
        <v>3000</v>
      </c>
      <c r="O5882" t="str">
        <f>_xlfn.XLOOKUP(Pipeline_tbl[[#This Row],[Rep_ID]],Dim_Reps!A:A,Dim_Reps!B:B)</f>
        <v>Alex Okafor</v>
      </c>
      <c r="P5882" t="str">
        <f>_xlfn.XLOOKUP(Pipeline_tbl[[#This Row],[Rep_ID]],Dim_Reps!A:A,Dim_Reps!C:C)</f>
        <v>SDR / Inside Sales Rep</v>
      </c>
      <c r="Q5882" t="str">
        <f>_xlfn.XLOOKUP(Pipeline_tbl[[#This Row],[Rep_ID]],Dim_Reps!A:A,Dim_Reps!D:D)</f>
        <v>Inside Sales</v>
      </c>
      <c r="R5882" t="str">
        <f>_xlfn.XLOOKUP(Pipeline_tbl[[#This Row],[Rep_ID]],Dim_Reps!A:A,Dim_Reps!E:E)</f>
        <v>EMEA</v>
      </c>
      <c r="S5882" t="str">
        <f>_xlfn.XLOOKUP(Pipeline_tbl[[#This Row],[Created_Date]],Dim_Date!A:A,Dim_Date!H:H)</f>
        <v>Aug 2025</v>
      </c>
      <c r="T5882" t="str">
        <f>IF(Pipeline_tbl[[#This Row],[Closed_Date]]=0,"",(_xlfn.XLOOKUP(Pipeline_tbl[[#This Row],[Closed_Date]],Dim_Date!A:A,Dim_Date!H:H)))</f>
        <v>Aug 2025</v>
      </c>
      <c r="U5882">
        <f>IF(Pipeline_tbl[[#This Row],[Closed_Date]]=0,"",Pipeline_tbl[[#This Row],[Closed_Date]]-Pipeline_tbl[[#This Row],[Created_Date]])</f>
        <v>21</v>
      </c>
    </row>
    <row r="5883" spans="1:21" ht="15" customHeight="1" x14ac:dyDescent="0.2">
      <c r="A5883" t="s">
        <v>6189</v>
      </c>
      <c r="B5883" t="s">
        <v>196</v>
      </c>
      <c r="C5883" t="s">
        <v>53</v>
      </c>
      <c r="D5883" s="49">
        <v>45874</v>
      </c>
      <c r="E5883" s="49">
        <v>45876</v>
      </c>
      <c r="F5883" s="49">
        <v>45879</v>
      </c>
      <c r="G5883" s="49">
        <v>45885</v>
      </c>
      <c r="H5883" s="49">
        <v>45889</v>
      </c>
      <c r="I5883" s="49">
        <v>45892</v>
      </c>
      <c r="J5883" t="s">
        <v>47</v>
      </c>
      <c r="K5883" s="33">
        <v>2200</v>
      </c>
      <c r="M5883" t="str">
        <f>_xlfn.XLOOKUP(Pipeline_tbl[[#This Row],[Rep_ID]],Dim_Reps!A:A,Dim_Reps!K:K)</f>
        <v>EUR</v>
      </c>
      <c r="N5883" s="33">
        <f>(_xlfn.XLOOKUP(Pipeline_tbl[[#This Row],[Rate_Code_Generalized]],Lookups!A:A,Lookups!B:B))*Pipeline_tbl[[#This Row],[Pipeline_Amount_USD]]</f>
        <v>2200</v>
      </c>
      <c r="O5883" t="str">
        <f>_xlfn.XLOOKUP(Pipeline_tbl[[#This Row],[Rep_ID]],Dim_Reps!A:A,Dim_Reps!B:B)</f>
        <v>Alex Okafor</v>
      </c>
      <c r="P5883" t="str">
        <f>_xlfn.XLOOKUP(Pipeline_tbl[[#This Row],[Rep_ID]],Dim_Reps!A:A,Dim_Reps!C:C)</f>
        <v>SDR / Inside Sales Rep</v>
      </c>
      <c r="Q5883" t="str">
        <f>_xlfn.XLOOKUP(Pipeline_tbl[[#This Row],[Rep_ID]],Dim_Reps!A:A,Dim_Reps!D:D)</f>
        <v>Inside Sales</v>
      </c>
      <c r="R5883" t="str">
        <f>_xlfn.XLOOKUP(Pipeline_tbl[[#This Row],[Rep_ID]],Dim_Reps!A:A,Dim_Reps!E:E)</f>
        <v>EMEA</v>
      </c>
      <c r="S5883" t="str">
        <f>_xlfn.XLOOKUP(Pipeline_tbl[[#This Row],[Created_Date]],Dim_Date!A:A,Dim_Date!H:H)</f>
        <v>Aug 2025</v>
      </c>
      <c r="T5883" t="str">
        <f>IF(Pipeline_tbl[[#This Row],[Closed_Date]]=0,"",(_xlfn.XLOOKUP(Pipeline_tbl[[#This Row],[Closed_Date]],Dim_Date!A:A,Dim_Date!H:H)))</f>
        <v>Aug 2025</v>
      </c>
      <c r="U5883">
        <f>IF(Pipeline_tbl[[#This Row],[Closed_Date]]=0,"",Pipeline_tbl[[#This Row],[Closed_Date]]-Pipeline_tbl[[#This Row],[Created_Date]])</f>
        <v>18</v>
      </c>
    </row>
    <row r="5884" spans="1:21" ht="15" customHeight="1" x14ac:dyDescent="0.2">
      <c r="A5884" t="s">
        <v>6190</v>
      </c>
      <c r="B5884" t="s">
        <v>196</v>
      </c>
      <c r="C5884" t="s">
        <v>55</v>
      </c>
      <c r="D5884" s="49">
        <v>45877</v>
      </c>
      <c r="E5884" s="49">
        <v>45879</v>
      </c>
      <c r="F5884" s="49">
        <v>45883</v>
      </c>
      <c r="G5884" s="49">
        <v>45888</v>
      </c>
      <c r="H5884" s="49">
        <v>45893</v>
      </c>
      <c r="I5884" s="49">
        <v>45896</v>
      </c>
      <c r="J5884" t="s">
        <v>49</v>
      </c>
      <c r="K5884" s="33">
        <v>3300</v>
      </c>
      <c r="L5884" t="s">
        <v>62</v>
      </c>
      <c r="M5884" t="str">
        <f>_xlfn.XLOOKUP(Pipeline_tbl[[#This Row],[Rep_ID]],Dim_Reps!A:A,Dim_Reps!K:K)</f>
        <v>EUR</v>
      </c>
      <c r="N5884" s="33">
        <f>(_xlfn.XLOOKUP(Pipeline_tbl[[#This Row],[Rate_Code_Generalized]],Lookups!A:A,Lookups!B:B))*Pipeline_tbl[[#This Row],[Pipeline_Amount_USD]]</f>
        <v>3300</v>
      </c>
      <c r="O5884" t="str">
        <f>_xlfn.XLOOKUP(Pipeline_tbl[[#This Row],[Rep_ID]],Dim_Reps!A:A,Dim_Reps!B:B)</f>
        <v>Alex Okafor</v>
      </c>
      <c r="P5884" t="str">
        <f>_xlfn.XLOOKUP(Pipeline_tbl[[#This Row],[Rep_ID]],Dim_Reps!A:A,Dim_Reps!C:C)</f>
        <v>SDR / Inside Sales Rep</v>
      </c>
      <c r="Q5884" t="str">
        <f>_xlfn.XLOOKUP(Pipeline_tbl[[#This Row],[Rep_ID]],Dim_Reps!A:A,Dim_Reps!D:D)</f>
        <v>Inside Sales</v>
      </c>
      <c r="R5884" t="str">
        <f>_xlfn.XLOOKUP(Pipeline_tbl[[#This Row],[Rep_ID]],Dim_Reps!A:A,Dim_Reps!E:E)</f>
        <v>EMEA</v>
      </c>
      <c r="S5884" t="str">
        <f>_xlfn.XLOOKUP(Pipeline_tbl[[#This Row],[Created_Date]],Dim_Date!A:A,Dim_Date!H:H)</f>
        <v>Aug 2025</v>
      </c>
      <c r="T5884" t="str">
        <f>IF(Pipeline_tbl[[#This Row],[Closed_Date]]=0,"",(_xlfn.XLOOKUP(Pipeline_tbl[[#This Row],[Closed_Date]],Dim_Date!A:A,Dim_Date!H:H)))</f>
        <v>Aug 2025</v>
      </c>
      <c r="U5884">
        <f>IF(Pipeline_tbl[[#This Row],[Closed_Date]]=0,"",Pipeline_tbl[[#This Row],[Closed_Date]]-Pipeline_tbl[[#This Row],[Created_Date]])</f>
        <v>19</v>
      </c>
    </row>
    <row r="5885" spans="1:21" ht="15" customHeight="1" x14ac:dyDescent="0.2">
      <c r="A5885" t="s">
        <v>6191</v>
      </c>
      <c r="B5885" t="s">
        <v>196</v>
      </c>
      <c r="C5885" t="s">
        <v>56</v>
      </c>
      <c r="D5885" s="49">
        <v>45874</v>
      </c>
      <c r="E5885" s="49">
        <v>45876</v>
      </c>
      <c r="F5885" s="49">
        <v>45879</v>
      </c>
      <c r="G5885" s="49">
        <v>45883</v>
      </c>
      <c r="H5885" s="49">
        <v>45887</v>
      </c>
      <c r="I5885" s="49">
        <v>45889</v>
      </c>
      <c r="J5885" t="s">
        <v>47</v>
      </c>
      <c r="K5885" s="33">
        <v>5100</v>
      </c>
      <c r="M5885" t="str">
        <f>_xlfn.XLOOKUP(Pipeline_tbl[[#This Row],[Rep_ID]],Dim_Reps!A:A,Dim_Reps!K:K)</f>
        <v>EUR</v>
      </c>
      <c r="N5885" s="33">
        <f>(_xlfn.XLOOKUP(Pipeline_tbl[[#This Row],[Rate_Code_Generalized]],Lookups!A:A,Lookups!B:B))*Pipeline_tbl[[#This Row],[Pipeline_Amount_USD]]</f>
        <v>5100</v>
      </c>
      <c r="O5885" t="str">
        <f>_xlfn.XLOOKUP(Pipeline_tbl[[#This Row],[Rep_ID]],Dim_Reps!A:A,Dim_Reps!B:B)</f>
        <v>Alex Okafor</v>
      </c>
      <c r="P5885" t="str">
        <f>_xlfn.XLOOKUP(Pipeline_tbl[[#This Row],[Rep_ID]],Dim_Reps!A:A,Dim_Reps!C:C)</f>
        <v>SDR / Inside Sales Rep</v>
      </c>
      <c r="Q5885" t="str">
        <f>_xlfn.XLOOKUP(Pipeline_tbl[[#This Row],[Rep_ID]],Dim_Reps!A:A,Dim_Reps!D:D)</f>
        <v>Inside Sales</v>
      </c>
      <c r="R5885" t="str">
        <f>_xlfn.XLOOKUP(Pipeline_tbl[[#This Row],[Rep_ID]],Dim_Reps!A:A,Dim_Reps!E:E)</f>
        <v>EMEA</v>
      </c>
      <c r="S5885" t="str">
        <f>_xlfn.XLOOKUP(Pipeline_tbl[[#This Row],[Created_Date]],Dim_Date!A:A,Dim_Date!H:H)</f>
        <v>Aug 2025</v>
      </c>
      <c r="T5885" t="str">
        <f>IF(Pipeline_tbl[[#This Row],[Closed_Date]]=0,"",(_xlfn.XLOOKUP(Pipeline_tbl[[#This Row],[Closed_Date]],Dim_Date!A:A,Dim_Date!H:H)))</f>
        <v>Aug 2025</v>
      </c>
      <c r="U5885">
        <f>IF(Pipeline_tbl[[#This Row],[Closed_Date]]=0,"",Pipeline_tbl[[#This Row],[Closed_Date]]-Pipeline_tbl[[#This Row],[Created_Date]])</f>
        <v>15</v>
      </c>
    </row>
    <row r="5886" spans="1:21" ht="15" customHeight="1" x14ac:dyDescent="0.2">
      <c r="A5886" t="s">
        <v>6192</v>
      </c>
      <c r="B5886" t="s">
        <v>199</v>
      </c>
      <c r="C5886" t="s">
        <v>52</v>
      </c>
      <c r="D5886" s="49">
        <v>45877</v>
      </c>
      <c r="E5886" s="49">
        <v>45879</v>
      </c>
      <c r="F5886" s="49">
        <v>45883</v>
      </c>
      <c r="I5886" s="49">
        <v>45897</v>
      </c>
      <c r="J5886" t="s">
        <v>49</v>
      </c>
      <c r="K5886" s="33">
        <v>2600</v>
      </c>
      <c r="L5886" t="s">
        <v>60</v>
      </c>
      <c r="M5886" t="str">
        <f>_xlfn.XLOOKUP(Pipeline_tbl[[#This Row],[Rep_ID]],Dim_Reps!A:A,Dim_Reps!K:K)</f>
        <v>EUR</v>
      </c>
      <c r="N5886" s="33">
        <f>(_xlfn.XLOOKUP(Pipeline_tbl[[#This Row],[Rate_Code_Generalized]],Lookups!A:A,Lookups!B:B))*Pipeline_tbl[[#This Row],[Pipeline_Amount_USD]]</f>
        <v>2600</v>
      </c>
      <c r="O5886" t="str">
        <f>_xlfn.XLOOKUP(Pipeline_tbl[[#This Row],[Rep_ID]],Dim_Reps!A:A,Dim_Reps!B:B)</f>
        <v>Lucas Okafor</v>
      </c>
      <c r="P5886" t="str">
        <f>_xlfn.XLOOKUP(Pipeline_tbl[[#This Row],[Rep_ID]],Dim_Reps!A:A,Dim_Reps!C:C)</f>
        <v>SDR / Inside Sales Rep</v>
      </c>
      <c r="Q5886" t="str">
        <f>_xlfn.XLOOKUP(Pipeline_tbl[[#This Row],[Rep_ID]],Dim_Reps!A:A,Dim_Reps!D:D)</f>
        <v>Inside Sales</v>
      </c>
      <c r="R5886" t="str">
        <f>_xlfn.XLOOKUP(Pipeline_tbl[[#This Row],[Rep_ID]],Dim_Reps!A:A,Dim_Reps!E:E)</f>
        <v>APAC</v>
      </c>
      <c r="S5886" t="str">
        <f>_xlfn.XLOOKUP(Pipeline_tbl[[#This Row],[Created_Date]],Dim_Date!A:A,Dim_Date!H:H)</f>
        <v>Aug 2025</v>
      </c>
      <c r="T5886" t="str">
        <f>IF(Pipeline_tbl[[#This Row],[Closed_Date]]=0,"",(_xlfn.XLOOKUP(Pipeline_tbl[[#This Row],[Closed_Date]],Dim_Date!A:A,Dim_Date!H:H)))</f>
        <v>Aug 2025</v>
      </c>
      <c r="U5886">
        <f>IF(Pipeline_tbl[[#This Row],[Closed_Date]]=0,"",Pipeline_tbl[[#This Row],[Closed_Date]]-Pipeline_tbl[[#This Row],[Created_Date]])</f>
        <v>20</v>
      </c>
    </row>
    <row r="5887" spans="1:21" ht="15" customHeight="1" x14ac:dyDescent="0.2">
      <c r="A5887" t="s">
        <v>6193</v>
      </c>
      <c r="B5887" t="s">
        <v>199</v>
      </c>
      <c r="C5887" t="s">
        <v>52</v>
      </c>
      <c r="D5887" s="49">
        <v>45873</v>
      </c>
      <c r="E5887" s="49">
        <v>45874</v>
      </c>
      <c r="F5887" s="49">
        <v>45877</v>
      </c>
      <c r="G5887" s="49">
        <v>45881</v>
      </c>
      <c r="H5887" s="49">
        <v>45885</v>
      </c>
      <c r="I5887" s="49">
        <v>45887</v>
      </c>
      <c r="J5887" t="s">
        <v>49</v>
      </c>
      <c r="K5887" s="33">
        <v>1900</v>
      </c>
      <c r="L5887" t="s">
        <v>61</v>
      </c>
      <c r="M5887" t="str">
        <f>_xlfn.XLOOKUP(Pipeline_tbl[[#This Row],[Rep_ID]],Dim_Reps!A:A,Dim_Reps!K:K)</f>
        <v>EUR</v>
      </c>
      <c r="N5887" s="33">
        <f>(_xlfn.XLOOKUP(Pipeline_tbl[[#This Row],[Rate_Code_Generalized]],Lookups!A:A,Lookups!B:B))*Pipeline_tbl[[#This Row],[Pipeline_Amount_USD]]</f>
        <v>1900</v>
      </c>
      <c r="O5887" t="str">
        <f>_xlfn.XLOOKUP(Pipeline_tbl[[#This Row],[Rep_ID]],Dim_Reps!A:A,Dim_Reps!B:B)</f>
        <v>Lucas Okafor</v>
      </c>
      <c r="P5887" t="str">
        <f>_xlfn.XLOOKUP(Pipeline_tbl[[#This Row],[Rep_ID]],Dim_Reps!A:A,Dim_Reps!C:C)</f>
        <v>SDR / Inside Sales Rep</v>
      </c>
      <c r="Q5887" t="str">
        <f>_xlfn.XLOOKUP(Pipeline_tbl[[#This Row],[Rep_ID]],Dim_Reps!A:A,Dim_Reps!D:D)</f>
        <v>Inside Sales</v>
      </c>
      <c r="R5887" t="str">
        <f>_xlfn.XLOOKUP(Pipeline_tbl[[#This Row],[Rep_ID]],Dim_Reps!A:A,Dim_Reps!E:E)</f>
        <v>APAC</v>
      </c>
      <c r="S5887" t="str">
        <f>_xlfn.XLOOKUP(Pipeline_tbl[[#This Row],[Created_Date]],Dim_Date!A:A,Dim_Date!H:H)</f>
        <v>Aug 2025</v>
      </c>
      <c r="T5887" t="str">
        <f>IF(Pipeline_tbl[[#This Row],[Closed_Date]]=0,"",(_xlfn.XLOOKUP(Pipeline_tbl[[#This Row],[Closed_Date]],Dim_Date!A:A,Dim_Date!H:H)))</f>
        <v>Aug 2025</v>
      </c>
      <c r="U5887">
        <f>IF(Pipeline_tbl[[#This Row],[Closed_Date]]=0,"",Pipeline_tbl[[#This Row],[Closed_Date]]-Pipeline_tbl[[#This Row],[Created_Date]])</f>
        <v>14</v>
      </c>
    </row>
    <row r="5888" spans="1:21" ht="15" customHeight="1" x14ac:dyDescent="0.2">
      <c r="A5888" t="s">
        <v>6194</v>
      </c>
      <c r="B5888" t="s">
        <v>199</v>
      </c>
      <c r="C5888" t="s">
        <v>53</v>
      </c>
      <c r="D5888" s="49">
        <v>45883</v>
      </c>
      <c r="E5888" s="49">
        <v>45885</v>
      </c>
      <c r="F5888" s="49">
        <v>45888</v>
      </c>
      <c r="G5888" s="49">
        <v>45893</v>
      </c>
      <c r="H5888" s="49">
        <v>45897</v>
      </c>
      <c r="I5888" s="49">
        <v>45899</v>
      </c>
      <c r="J5888" t="s">
        <v>49</v>
      </c>
      <c r="K5888" s="33">
        <v>3000</v>
      </c>
      <c r="L5888" t="s">
        <v>60</v>
      </c>
      <c r="M5888" t="str">
        <f>_xlfn.XLOOKUP(Pipeline_tbl[[#This Row],[Rep_ID]],Dim_Reps!A:A,Dim_Reps!K:K)</f>
        <v>EUR</v>
      </c>
      <c r="N5888" s="33">
        <f>(_xlfn.XLOOKUP(Pipeline_tbl[[#This Row],[Rate_Code_Generalized]],Lookups!A:A,Lookups!B:B))*Pipeline_tbl[[#This Row],[Pipeline_Amount_USD]]</f>
        <v>3000</v>
      </c>
      <c r="O5888" t="str">
        <f>_xlfn.XLOOKUP(Pipeline_tbl[[#This Row],[Rep_ID]],Dim_Reps!A:A,Dim_Reps!B:B)</f>
        <v>Lucas Okafor</v>
      </c>
      <c r="P5888" t="str">
        <f>_xlfn.XLOOKUP(Pipeline_tbl[[#This Row],[Rep_ID]],Dim_Reps!A:A,Dim_Reps!C:C)</f>
        <v>SDR / Inside Sales Rep</v>
      </c>
      <c r="Q5888" t="str">
        <f>_xlfn.XLOOKUP(Pipeline_tbl[[#This Row],[Rep_ID]],Dim_Reps!A:A,Dim_Reps!D:D)</f>
        <v>Inside Sales</v>
      </c>
      <c r="R5888" t="str">
        <f>_xlfn.XLOOKUP(Pipeline_tbl[[#This Row],[Rep_ID]],Dim_Reps!A:A,Dim_Reps!E:E)</f>
        <v>APAC</v>
      </c>
      <c r="S5888" t="str">
        <f>_xlfn.XLOOKUP(Pipeline_tbl[[#This Row],[Created_Date]],Dim_Date!A:A,Dim_Date!H:H)</f>
        <v>Aug 2025</v>
      </c>
      <c r="T5888" t="str">
        <f>IF(Pipeline_tbl[[#This Row],[Closed_Date]]=0,"",(_xlfn.XLOOKUP(Pipeline_tbl[[#This Row],[Closed_Date]],Dim_Date!A:A,Dim_Date!H:H)))</f>
        <v>Aug 2025</v>
      </c>
      <c r="U5888">
        <f>IF(Pipeline_tbl[[#This Row],[Closed_Date]]=0,"",Pipeline_tbl[[#This Row],[Closed_Date]]-Pipeline_tbl[[#This Row],[Created_Date]])</f>
        <v>16</v>
      </c>
    </row>
    <row r="5889" spans="1:21" ht="15" customHeight="1" x14ac:dyDescent="0.2">
      <c r="A5889" t="s">
        <v>6195</v>
      </c>
      <c r="B5889" t="s">
        <v>201</v>
      </c>
      <c r="C5889" t="s">
        <v>52</v>
      </c>
      <c r="D5889" s="49">
        <v>45876</v>
      </c>
      <c r="E5889" s="49">
        <v>45877</v>
      </c>
      <c r="F5889" s="49">
        <v>45878</v>
      </c>
      <c r="G5889" s="49">
        <v>45881</v>
      </c>
      <c r="H5889" s="49">
        <v>45883</v>
      </c>
      <c r="I5889" s="49">
        <v>45884</v>
      </c>
      <c r="J5889" t="s">
        <v>47</v>
      </c>
      <c r="K5889" s="33">
        <v>3400</v>
      </c>
      <c r="M5889" t="str">
        <f>_xlfn.XLOOKUP(Pipeline_tbl[[#This Row],[Rep_ID]],Dim_Reps!A:A,Dim_Reps!K:K)</f>
        <v>EUR</v>
      </c>
      <c r="N5889" s="33">
        <f>(_xlfn.XLOOKUP(Pipeline_tbl[[#This Row],[Rate_Code_Generalized]],Lookups!A:A,Lookups!B:B))*Pipeline_tbl[[#This Row],[Pipeline_Amount_USD]]</f>
        <v>3400</v>
      </c>
      <c r="O5889" t="str">
        <f>_xlfn.XLOOKUP(Pipeline_tbl[[#This Row],[Rep_ID]],Dim_Reps!A:A,Dim_Reps!B:B)</f>
        <v>Sara Duarte</v>
      </c>
      <c r="P5889" t="str">
        <f>_xlfn.XLOOKUP(Pipeline_tbl[[#This Row],[Rep_ID]],Dim_Reps!A:A,Dim_Reps!C:C)</f>
        <v>SDR / Inside Sales Rep</v>
      </c>
      <c r="Q5889" t="str">
        <f>_xlfn.XLOOKUP(Pipeline_tbl[[#This Row],[Rep_ID]],Dim_Reps!A:A,Dim_Reps!D:D)</f>
        <v>Inside Sales</v>
      </c>
      <c r="R5889" t="str">
        <f>_xlfn.XLOOKUP(Pipeline_tbl[[#This Row],[Rep_ID]],Dim_Reps!A:A,Dim_Reps!E:E)</f>
        <v>APAC</v>
      </c>
      <c r="S5889" t="str">
        <f>_xlfn.XLOOKUP(Pipeline_tbl[[#This Row],[Created_Date]],Dim_Date!A:A,Dim_Date!H:H)</f>
        <v>Aug 2025</v>
      </c>
      <c r="T5889" t="str">
        <f>IF(Pipeline_tbl[[#This Row],[Closed_Date]]=0,"",(_xlfn.XLOOKUP(Pipeline_tbl[[#This Row],[Closed_Date]],Dim_Date!A:A,Dim_Date!H:H)))</f>
        <v>Aug 2025</v>
      </c>
      <c r="U5889">
        <f>IF(Pipeline_tbl[[#This Row],[Closed_Date]]=0,"",Pipeline_tbl[[#This Row],[Closed_Date]]-Pipeline_tbl[[#This Row],[Created_Date]])</f>
        <v>8</v>
      </c>
    </row>
    <row r="5890" spans="1:21" ht="15" customHeight="1" x14ac:dyDescent="0.2">
      <c r="A5890" t="s">
        <v>6196</v>
      </c>
      <c r="B5890" t="s">
        <v>201</v>
      </c>
      <c r="C5890" t="s">
        <v>53</v>
      </c>
      <c r="D5890" s="49">
        <v>45873</v>
      </c>
      <c r="E5890" s="49">
        <v>45875</v>
      </c>
      <c r="F5890" s="49">
        <v>45881</v>
      </c>
      <c r="G5890" s="49">
        <v>45888</v>
      </c>
      <c r="H5890" s="49">
        <v>45894</v>
      </c>
      <c r="I5890" s="49">
        <v>45898</v>
      </c>
      <c r="J5890" t="s">
        <v>47</v>
      </c>
      <c r="K5890" s="33">
        <v>2400</v>
      </c>
      <c r="M5890" t="str">
        <f>_xlfn.XLOOKUP(Pipeline_tbl[[#This Row],[Rep_ID]],Dim_Reps!A:A,Dim_Reps!K:K)</f>
        <v>EUR</v>
      </c>
      <c r="N5890" s="33">
        <f>(_xlfn.XLOOKUP(Pipeline_tbl[[#This Row],[Rate_Code_Generalized]],Lookups!A:A,Lookups!B:B))*Pipeline_tbl[[#This Row],[Pipeline_Amount_USD]]</f>
        <v>2400</v>
      </c>
      <c r="O5890" t="str">
        <f>_xlfn.XLOOKUP(Pipeline_tbl[[#This Row],[Rep_ID]],Dim_Reps!A:A,Dim_Reps!B:B)</f>
        <v>Sara Duarte</v>
      </c>
      <c r="P5890" t="str">
        <f>_xlfn.XLOOKUP(Pipeline_tbl[[#This Row],[Rep_ID]],Dim_Reps!A:A,Dim_Reps!C:C)</f>
        <v>SDR / Inside Sales Rep</v>
      </c>
      <c r="Q5890" t="str">
        <f>_xlfn.XLOOKUP(Pipeline_tbl[[#This Row],[Rep_ID]],Dim_Reps!A:A,Dim_Reps!D:D)</f>
        <v>Inside Sales</v>
      </c>
      <c r="R5890" t="str">
        <f>_xlfn.XLOOKUP(Pipeline_tbl[[#This Row],[Rep_ID]],Dim_Reps!A:A,Dim_Reps!E:E)</f>
        <v>APAC</v>
      </c>
      <c r="S5890" t="str">
        <f>_xlfn.XLOOKUP(Pipeline_tbl[[#This Row],[Created_Date]],Dim_Date!A:A,Dim_Date!H:H)</f>
        <v>Aug 2025</v>
      </c>
      <c r="T5890" t="str">
        <f>IF(Pipeline_tbl[[#This Row],[Closed_Date]]=0,"",(_xlfn.XLOOKUP(Pipeline_tbl[[#This Row],[Closed_Date]],Dim_Date!A:A,Dim_Date!H:H)))</f>
        <v>Aug 2025</v>
      </c>
      <c r="U5890">
        <f>IF(Pipeline_tbl[[#This Row],[Closed_Date]]=0,"",Pipeline_tbl[[#This Row],[Closed_Date]]-Pipeline_tbl[[#This Row],[Created_Date]])</f>
        <v>25</v>
      </c>
    </row>
    <row r="5891" spans="1:21" ht="15" customHeight="1" x14ac:dyDescent="0.2">
      <c r="A5891" t="s">
        <v>6197</v>
      </c>
      <c r="B5891" t="s">
        <v>201</v>
      </c>
      <c r="C5891" t="s">
        <v>54</v>
      </c>
      <c r="D5891" s="49">
        <v>45877</v>
      </c>
      <c r="E5891" s="49">
        <v>45879</v>
      </c>
      <c r="I5891" s="49">
        <v>45900</v>
      </c>
      <c r="J5891" t="s">
        <v>49</v>
      </c>
      <c r="K5891" s="33">
        <v>1400</v>
      </c>
      <c r="L5891" t="s">
        <v>61</v>
      </c>
      <c r="M5891" t="str">
        <f>_xlfn.XLOOKUP(Pipeline_tbl[[#This Row],[Rep_ID]],Dim_Reps!A:A,Dim_Reps!K:K)</f>
        <v>EUR</v>
      </c>
      <c r="N5891" s="33">
        <f>(_xlfn.XLOOKUP(Pipeline_tbl[[#This Row],[Rate_Code_Generalized]],Lookups!A:A,Lookups!B:B))*Pipeline_tbl[[#This Row],[Pipeline_Amount_USD]]</f>
        <v>1400</v>
      </c>
      <c r="O5891" t="str">
        <f>_xlfn.XLOOKUP(Pipeline_tbl[[#This Row],[Rep_ID]],Dim_Reps!A:A,Dim_Reps!B:B)</f>
        <v>Sara Duarte</v>
      </c>
      <c r="P5891" t="str">
        <f>_xlfn.XLOOKUP(Pipeline_tbl[[#This Row],[Rep_ID]],Dim_Reps!A:A,Dim_Reps!C:C)</f>
        <v>SDR / Inside Sales Rep</v>
      </c>
      <c r="Q5891" t="str">
        <f>_xlfn.XLOOKUP(Pipeline_tbl[[#This Row],[Rep_ID]],Dim_Reps!A:A,Dim_Reps!D:D)</f>
        <v>Inside Sales</v>
      </c>
      <c r="R5891" t="str">
        <f>_xlfn.XLOOKUP(Pipeline_tbl[[#This Row],[Rep_ID]],Dim_Reps!A:A,Dim_Reps!E:E)</f>
        <v>APAC</v>
      </c>
      <c r="S5891" t="str">
        <f>_xlfn.XLOOKUP(Pipeline_tbl[[#This Row],[Created_Date]],Dim_Date!A:A,Dim_Date!H:H)</f>
        <v>Aug 2025</v>
      </c>
      <c r="T5891" t="str">
        <f>IF(Pipeline_tbl[[#This Row],[Closed_Date]]=0,"",(_xlfn.XLOOKUP(Pipeline_tbl[[#This Row],[Closed_Date]],Dim_Date!A:A,Dim_Date!H:H)))</f>
        <v>Aug 2025</v>
      </c>
      <c r="U5891">
        <f>IF(Pipeline_tbl[[#This Row],[Closed_Date]]=0,"",Pipeline_tbl[[#This Row],[Closed_Date]]-Pipeline_tbl[[#This Row],[Created_Date]])</f>
        <v>23</v>
      </c>
    </row>
    <row r="5892" spans="1:21" ht="15" customHeight="1" x14ac:dyDescent="0.2">
      <c r="A5892" t="s">
        <v>6198</v>
      </c>
      <c r="B5892" t="s">
        <v>246</v>
      </c>
      <c r="C5892" t="s">
        <v>52</v>
      </c>
      <c r="D5892" s="49">
        <v>45884</v>
      </c>
      <c r="E5892" s="49">
        <v>45885</v>
      </c>
      <c r="F5892" s="49">
        <v>45887</v>
      </c>
      <c r="I5892" s="49">
        <v>45894</v>
      </c>
      <c r="J5892" t="s">
        <v>49</v>
      </c>
      <c r="K5892" s="33">
        <v>12600</v>
      </c>
      <c r="L5892" t="s">
        <v>62</v>
      </c>
      <c r="M5892" t="str">
        <f>_xlfn.XLOOKUP(Pipeline_tbl[[#This Row],[Rep_ID]],Dim_Reps!A:A,Dim_Reps!K:K)</f>
        <v>EUR</v>
      </c>
      <c r="N5892" s="33">
        <f>(_xlfn.XLOOKUP(Pipeline_tbl[[#This Row],[Rate_Code_Generalized]],Lookups!A:A,Lookups!B:B))*Pipeline_tbl[[#This Row],[Pipeline_Amount_USD]]</f>
        <v>12600</v>
      </c>
      <c r="O5892" t="str">
        <f>_xlfn.XLOOKUP(Pipeline_tbl[[#This Row],[Rep_ID]],Dim_Reps!A:A,Dim_Reps!B:B)</f>
        <v>Karim Rivera</v>
      </c>
      <c r="P5892" t="str">
        <f>_xlfn.XLOOKUP(Pipeline_tbl[[#This Row],[Rep_ID]],Dim_Reps!A:A,Dim_Reps!C:C)</f>
        <v>Mid-Market AE</v>
      </c>
      <c r="Q5892" t="str">
        <f>_xlfn.XLOOKUP(Pipeline_tbl[[#This Row],[Rep_ID]],Dim_Reps!A:A,Dim_Reps!D:D)</f>
        <v>Mid-Market</v>
      </c>
      <c r="R5892" t="str">
        <f>_xlfn.XLOOKUP(Pipeline_tbl[[#This Row],[Rep_ID]],Dim_Reps!A:A,Dim_Reps!E:E)</f>
        <v>APAC</v>
      </c>
      <c r="S5892" t="str">
        <f>_xlfn.XLOOKUP(Pipeline_tbl[[#This Row],[Created_Date]],Dim_Date!A:A,Dim_Date!H:H)</f>
        <v>Aug 2025</v>
      </c>
      <c r="T5892" t="str">
        <f>IF(Pipeline_tbl[[#This Row],[Closed_Date]]=0,"",(_xlfn.XLOOKUP(Pipeline_tbl[[#This Row],[Closed_Date]],Dim_Date!A:A,Dim_Date!H:H)))</f>
        <v>Aug 2025</v>
      </c>
      <c r="U5892">
        <f>IF(Pipeline_tbl[[#This Row],[Closed_Date]]=0,"",Pipeline_tbl[[#This Row],[Closed_Date]]-Pipeline_tbl[[#This Row],[Created_Date]])</f>
        <v>10</v>
      </c>
    </row>
    <row r="5893" spans="1:21" ht="15" customHeight="1" x14ac:dyDescent="0.2">
      <c r="A5893" t="s">
        <v>6199</v>
      </c>
      <c r="B5893" t="s">
        <v>203</v>
      </c>
      <c r="C5893" t="s">
        <v>53</v>
      </c>
      <c r="D5893" s="49">
        <v>45879</v>
      </c>
      <c r="E5893" s="49">
        <v>45881</v>
      </c>
      <c r="F5893" s="49">
        <v>45884</v>
      </c>
      <c r="G5893" s="49">
        <v>45890</v>
      </c>
      <c r="H5893" s="49">
        <v>45894</v>
      </c>
      <c r="I5893" s="49">
        <v>45897</v>
      </c>
      <c r="J5893" t="s">
        <v>47</v>
      </c>
      <c r="K5893" s="33">
        <v>3700</v>
      </c>
      <c r="M5893" t="str">
        <f>_xlfn.XLOOKUP(Pipeline_tbl[[#This Row],[Rep_ID]],Dim_Reps!A:A,Dim_Reps!K:K)</f>
        <v>EUR</v>
      </c>
      <c r="N5893" s="33">
        <f>(_xlfn.XLOOKUP(Pipeline_tbl[[#This Row],[Rate_Code_Generalized]],Lookups!A:A,Lookups!B:B))*Pipeline_tbl[[#This Row],[Pipeline_Amount_USD]]</f>
        <v>3700</v>
      </c>
      <c r="O5893" t="str">
        <f>_xlfn.XLOOKUP(Pipeline_tbl[[#This Row],[Rep_ID]],Dim_Reps!A:A,Dim_Reps!B:B)</f>
        <v>Riley Haddad</v>
      </c>
      <c r="P5893" t="str">
        <f>_xlfn.XLOOKUP(Pipeline_tbl[[#This Row],[Rep_ID]],Dim_Reps!A:A,Dim_Reps!C:C)</f>
        <v>SDR / Inside Sales Rep</v>
      </c>
      <c r="Q5893" t="str">
        <f>_xlfn.XLOOKUP(Pipeline_tbl[[#This Row],[Rep_ID]],Dim_Reps!A:A,Dim_Reps!D:D)</f>
        <v>Inside Sales</v>
      </c>
      <c r="R5893" t="str">
        <f>_xlfn.XLOOKUP(Pipeline_tbl[[#This Row],[Rep_ID]],Dim_Reps!A:A,Dim_Reps!E:E)</f>
        <v>APAC</v>
      </c>
      <c r="S5893" t="str">
        <f>_xlfn.XLOOKUP(Pipeline_tbl[[#This Row],[Created_Date]],Dim_Date!A:A,Dim_Date!H:H)</f>
        <v>Aug 2025</v>
      </c>
      <c r="T5893" t="str">
        <f>IF(Pipeline_tbl[[#This Row],[Closed_Date]]=0,"",(_xlfn.XLOOKUP(Pipeline_tbl[[#This Row],[Closed_Date]],Dim_Date!A:A,Dim_Date!H:H)))</f>
        <v>Aug 2025</v>
      </c>
      <c r="U5893">
        <f>IF(Pipeline_tbl[[#This Row],[Closed_Date]]=0,"",Pipeline_tbl[[#This Row],[Closed_Date]]-Pipeline_tbl[[#This Row],[Created_Date]])</f>
        <v>18</v>
      </c>
    </row>
    <row r="5894" spans="1:21" ht="15" customHeight="1" x14ac:dyDescent="0.2">
      <c r="A5894" t="s">
        <v>6200</v>
      </c>
      <c r="B5894" t="s">
        <v>203</v>
      </c>
      <c r="C5894" t="s">
        <v>54</v>
      </c>
      <c r="D5894" s="49">
        <v>45870</v>
      </c>
      <c r="E5894" s="49">
        <v>45872</v>
      </c>
      <c r="F5894" s="49">
        <v>45875</v>
      </c>
      <c r="G5894" s="49">
        <v>45881</v>
      </c>
      <c r="I5894" s="49">
        <v>45888</v>
      </c>
      <c r="J5894" t="s">
        <v>49</v>
      </c>
      <c r="K5894" s="33">
        <v>1600</v>
      </c>
      <c r="L5894" t="s">
        <v>61</v>
      </c>
      <c r="M5894" t="str">
        <f>_xlfn.XLOOKUP(Pipeline_tbl[[#This Row],[Rep_ID]],Dim_Reps!A:A,Dim_Reps!K:K)</f>
        <v>EUR</v>
      </c>
      <c r="N5894" s="33">
        <f>(_xlfn.XLOOKUP(Pipeline_tbl[[#This Row],[Rate_Code_Generalized]],Lookups!A:A,Lookups!B:B))*Pipeline_tbl[[#This Row],[Pipeline_Amount_USD]]</f>
        <v>1600</v>
      </c>
      <c r="O5894" t="str">
        <f>_xlfn.XLOOKUP(Pipeline_tbl[[#This Row],[Rep_ID]],Dim_Reps!A:A,Dim_Reps!B:B)</f>
        <v>Riley Haddad</v>
      </c>
      <c r="P5894" t="str">
        <f>_xlfn.XLOOKUP(Pipeline_tbl[[#This Row],[Rep_ID]],Dim_Reps!A:A,Dim_Reps!C:C)</f>
        <v>SDR / Inside Sales Rep</v>
      </c>
      <c r="Q5894" t="str">
        <f>_xlfn.XLOOKUP(Pipeline_tbl[[#This Row],[Rep_ID]],Dim_Reps!A:A,Dim_Reps!D:D)</f>
        <v>Inside Sales</v>
      </c>
      <c r="R5894" t="str">
        <f>_xlfn.XLOOKUP(Pipeline_tbl[[#This Row],[Rep_ID]],Dim_Reps!A:A,Dim_Reps!E:E)</f>
        <v>APAC</v>
      </c>
      <c r="S5894" t="str">
        <f>_xlfn.XLOOKUP(Pipeline_tbl[[#This Row],[Created_Date]],Dim_Date!A:A,Dim_Date!H:H)</f>
        <v>Aug 2025</v>
      </c>
      <c r="T5894" t="str">
        <f>IF(Pipeline_tbl[[#This Row],[Closed_Date]]=0,"",(_xlfn.XLOOKUP(Pipeline_tbl[[#This Row],[Closed_Date]],Dim_Date!A:A,Dim_Date!H:H)))</f>
        <v>Aug 2025</v>
      </c>
      <c r="U5894">
        <f>IF(Pipeline_tbl[[#This Row],[Closed_Date]]=0,"",Pipeline_tbl[[#This Row],[Closed_Date]]-Pipeline_tbl[[#This Row],[Created_Date]])</f>
        <v>18</v>
      </c>
    </row>
    <row r="5895" spans="1:21" ht="15" customHeight="1" x14ac:dyDescent="0.2">
      <c r="A5895" t="s">
        <v>6201</v>
      </c>
      <c r="B5895" t="s">
        <v>203</v>
      </c>
      <c r="C5895" t="s">
        <v>53</v>
      </c>
      <c r="D5895" s="49">
        <v>45882</v>
      </c>
      <c r="E5895" s="49">
        <v>45882</v>
      </c>
      <c r="I5895" s="49">
        <v>45887</v>
      </c>
      <c r="J5895" t="s">
        <v>49</v>
      </c>
      <c r="K5895" s="33">
        <v>5800</v>
      </c>
      <c r="L5895" t="s">
        <v>61</v>
      </c>
      <c r="M5895" t="str">
        <f>_xlfn.XLOOKUP(Pipeline_tbl[[#This Row],[Rep_ID]],Dim_Reps!A:A,Dim_Reps!K:K)</f>
        <v>EUR</v>
      </c>
      <c r="N5895" s="33">
        <f>(_xlfn.XLOOKUP(Pipeline_tbl[[#This Row],[Rate_Code_Generalized]],Lookups!A:A,Lookups!B:B))*Pipeline_tbl[[#This Row],[Pipeline_Amount_USD]]</f>
        <v>5800</v>
      </c>
      <c r="O5895" t="str">
        <f>_xlfn.XLOOKUP(Pipeline_tbl[[#This Row],[Rep_ID]],Dim_Reps!A:A,Dim_Reps!B:B)</f>
        <v>Riley Haddad</v>
      </c>
      <c r="P5895" t="str">
        <f>_xlfn.XLOOKUP(Pipeline_tbl[[#This Row],[Rep_ID]],Dim_Reps!A:A,Dim_Reps!C:C)</f>
        <v>SDR / Inside Sales Rep</v>
      </c>
      <c r="Q5895" t="str">
        <f>_xlfn.XLOOKUP(Pipeline_tbl[[#This Row],[Rep_ID]],Dim_Reps!A:A,Dim_Reps!D:D)</f>
        <v>Inside Sales</v>
      </c>
      <c r="R5895" t="str">
        <f>_xlfn.XLOOKUP(Pipeline_tbl[[#This Row],[Rep_ID]],Dim_Reps!A:A,Dim_Reps!E:E)</f>
        <v>APAC</v>
      </c>
      <c r="S5895" t="str">
        <f>_xlfn.XLOOKUP(Pipeline_tbl[[#This Row],[Created_Date]],Dim_Date!A:A,Dim_Date!H:H)</f>
        <v>Aug 2025</v>
      </c>
      <c r="T5895" t="str">
        <f>IF(Pipeline_tbl[[#This Row],[Closed_Date]]=0,"",(_xlfn.XLOOKUP(Pipeline_tbl[[#This Row],[Closed_Date]],Dim_Date!A:A,Dim_Date!H:H)))</f>
        <v>Aug 2025</v>
      </c>
      <c r="U5895">
        <f>IF(Pipeline_tbl[[#This Row],[Closed_Date]]=0,"",Pipeline_tbl[[#This Row],[Closed_Date]]-Pipeline_tbl[[#This Row],[Created_Date]])</f>
        <v>5</v>
      </c>
    </row>
    <row r="5896" spans="1:21" ht="15" customHeight="1" x14ac:dyDescent="0.2">
      <c r="A5896" t="s">
        <v>6202</v>
      </c>
      <c r="B5896" t="s">
        <v>203</v>
      </c>
      <c r="C5896" t="s">
        <v>53</v>
      </c>
      <c r="D5896" s="49">
        <v>45878</v>
      </c>
      <c r="E5896" s="49">
        <v>45880</v>
      </c>
      <c r="F5896" s="49">
        <v>45883</v>
      </c>
      <c r="G5896" s="49">
        <v>45888</v>
      </c>
      <c r="I5896" s="49">
        <v>45895</v>
      </c>
      <c r="J5896" t="s">
        <v>49</v>
      </c>
      <c r="K5896" s="33">
        <v>3400</v>
      </c>
      <c r="L5896" t="s">
        <v>62</v>
      </c>
      <c r="M5896" t="str">
        <f>_xlfn.XLOOKUP(Pipeline_tbl[[#This Row],[Rep_ID]],Dim_Reps!A:A,Dim_Reps!K:K)</f>
        <v>EUR</v>
      </c>
      <c r="N5896" s="33">
        <f>(_xlfn.XLOOKUP(Pipeline_tbl[[#This Row],[Rate_Code_Generalized]],Lookups!A:A,Lookups!B:B))*Pipeline_tbl[[#This Row],[Pipeline_Amount_USD]]</f>
        <v>3400</v>
      </c>
      <c r="O5896" t="str">
        <f>_xlfn.XLOOKUP(Pipeline_tbl[[#This Row],[Rep_ID]],Dim_Reps!A:A,Dim_Reps!B:B)</f>
        <v>Riley Haddad</v>
      </c>
      <c r="P5896" t="str">
        <f>_xlfn.XLOOKUP(Pipeline_tbl[[#This Row],[Rep_ID]],Dim_Reps!A:A,Dim_Reps!C:C)</f>
        <v>SDR / Inside Sales Rep</v>
      </c>
      <c r="Q5896" t="str">
        <f>_xlfn.XLOOKUP(Pipeline_tbl[[#This Row],[Rep_ID]],Dim_Reps!A:A,Dim_Reps!D:D)</f>
        <v>Inside Sales</v>
      </c>
      <c r="R5896" t="str">
        <f>_xlfn.XLOOKUP(Pipeline_tbl[[#This Row],[Rep_ID]],Dim_Reps!A:A,Dim_Reps!E:E)</f>
        <v>APAC</v>
      </c>
      <c r="S5896" t="str">
        <f>_xlfn.XLOOKUP(Pipeline_tbl[[#This Row],[Created_Date]],Dim_Date!A:A,Dim_Date!H:H)</f>
        <v>Aug 2025</v>
      </c>
      <c r="T5896" t="str">
        <f>IF(Pipeline_tbl[[#This Row],[Closed_Date]]=0,"",(_xlfn.XLOOKUP(Pipeline_tbl[[#This Row],[Closed_Date]],Dim_Date!A:A,Dim_Date!H:H)))</f>
        <v>Aug 2025</v>
      </c>
      <c r="U5896">
        <f>IF(Pipeline_tbl[[#This Row],[Closed_Date]]=0,"",Pipeline_tbl[[#This Row],[Closed_Date]]-Pipeline_tbl[[#This Row],[Created_Date]])</f>
        <v>17</v>
      </c>
    </row>
    <row r="5897" spans="1:21" ht="15" customHeight="1" x14ac:dyDescent="0.2">
      <c r="A5897" t="s">
        <v>6203</v>
      </c>
      <c r="B5897" t="s">
        <v>203</v>
      </c>
      <c r="C5897" t="s">
        <v>53</v>
      </c>
      <c r="D5897" s="49">
        <v>45870</v>
      </c>
      <c r="E5897" s="49">
        <v>45872</v>
      </c>
      <c r="F5897" s="49">
        <v>45876</v>
      </c>
      <c r="G5897" s="49">
        <v>45883</v>
      </c>
      <c r="H5897" s="49">
        <v>45888</v>
      </c>
      <c r="I5897" s="49">
        <v>45891</v>
      </c>
      <c r="J5897" t="s">
        <v>49</v>
      </c>
      <c r="K5897" s="33">
        <v>3900</v>
      </c>
      <c r="L5897" t="s">
        <v>61</v>
      </c>
      <c r="M5897" t="str">
        <f>_xlfn.XLOOKUP(Pipeline_tbl[[#This Row],[Rep_ID]],Dim_Reps!A:A,Dim_Reps!K:K)</f>
        <v>EUR</v>
      </c>
      <c r="N5897" s="33">
        <f>(_xlfn.XLOOKUP(Pipeline_tbl[[#This Row],[Rate_Code_Generalized]],Lookups!A:A,Lookups!B:B))*Pipeline_tbl[[#This Row],[Pipeline_Amount_USD]]</f>
        <v>3900</v>
      </c>
      <c r="O5897" t="str">
        <f>_xlfn.XLOOKUP(Pipeline_tbl[[#This Row],[Rep_ID]],Dim_Reps!A:A,Dim_Reps!B:B)</f>
        <v>Riley Haddad</v>
      </c>
      <c r="P5897" t="str">
        <f>_xlfn.XLOOKUP(Pipeline_tbl[[#This Row],[Rep_ID]],Dim_Reps!A:A,Dim_Reps!C:C)</f>
        <v>SDR / Inside Sales Rep</v>
      </c>
      <c r="Q5897" t="str">
        <f>_xlfn.XLOOKUP(Pipeline_tbl[[#This Row],[Rep_ID]],Dim_Reps!A:A,Dim_Reps!D:D)</f>
        <v>Inside Sales</v>
      </c>
      <c r="R5897" t="str">
        <f>_xlfn.XLOOKUP(Pipeline_tbl[[#This Row],[Rep_ID]],Dim_Reps!A:A,Dim_Reps!E:E)</f>
        <v>APAC</v>
      </c>
      <c r="S5897" t="str">
        <f>_xlfn.XLOOKUP(Pipeline_tbl[[#This Row],[Created_Date]],Dim_Date!A:A,Dim_Date!H:H)</f>
        <v>Aug 2025</v>
      </c>
      <c r="T5897" t="str">
        <f>IF(Pipeline_tbl[[#This Row],[Closed_Date]]=0,"",(_xlfn.XLOOKUP(Pipeline_tbl[[#This Row],[Closed_Date]],Dim_Date!A:A,Dim_Date!H:H)))</f>
        <v>Aug 2025</v>
      </c>
      <c r="U5897">
        <f>IF(Pipeline_tbl[[#This Row],[Closed_Date]]=0,"",Pipeline_tbl[[#This Row],[Closed_Date]]-Pipeline_tbl[[#This Row],[Created_Date]])</f>
        <v>21</v>
      </c>
    </row>
    <row r="5898" spans="1:21" ht="15" customHeight="1" x14ac:dyDescent="0.2">
      <c r="A5898" t="s">
        <v>6204</v>
      </c>
      <c r="B5898" t="s">
        <v>203</v>
      </c>
      <c r="C5898" t="s">
        <v>55</v>
      </c>
      <c r="D5898" s="49">
        <v>45871</v>
      </c>
      <c r="E5898" s="49">
        <v>45874</v>
      </c>
      <c r="F5898" s="49">
        <v>45879</v>
      </c>
      <c r="G5898" s="49">
        <v>45887</v>
      </c>
      <c r="I5898" s="49">
        <v>45898</v>
      </c>
      <c r="J5898" t="s">
        <v>49</v>
      </c>
      <c r="K5898" s="33">
        <v>4800</v>
      </c>
      <c r="L5898" t="s">
        <v>61</v>
      </c>
      <c r="M5898" t="str">
        <f>_xlfn.XLOOKUP(Pipeline_tbl[[#This Row],[Rep_ID]],Dim_Reps!A:A,Dim_Reps!K:K)</f>
        <v>EUR</v>
      </c>
      <c r="N5898" s="33">
        <f>(_xlfn.XLOOKUP(Pipeline_tbl[[#This Row],[Rate_Code_Generalized]],Lookups!A:A,Lookups!B:B))*Pipeline_tbl[[#This Row],[Pipeline_Amount_USD]]</f>
        <v>4800</v>
      </c>
      <c r="O5898" t="str">
        <f>_xlfn.XLOOKUP(Pipeline_tbl[[#This Row],[Rep_ID]],Dim_Reps!A:A,Dim_Reps!B:B)</f>
        <v>Riley Haddad</v>
      </c>
      <c r="P5898" t="str">
        <f>_xlfn.XLOOKUP(Pipeline_tbl[[#This Row],[Rep_ID]],Dim_Reps!A:A,Dim_Reps!C:C)</f>
        <v>SDR / Inside Sales Rep</v>
      </c>
      <c r="Q5898" t="str">
        <f>_xlfn.XLOOKUP(Pipeline_tbl[[#This Row],[Rep_ID]],Dim_Reps!A:A,Dim_Reps!D:D)</f>
        <v>Inside Sales</v>
      </c>
      <c r="R5898" t="str">
        <f>_xlfn.XLOOKUP(Pipeline_tbl[[#This Row],[Rep_ID]],Dim_Reps!A:A,Dim_Reps!E:E)</f>
        <v>APAC</v>
      </c>
      <c r="S5898" t="str">
        <f>_xlfn.XLOOKUP(Pipeline_tbl[[#This Row],[Created_Date]],Dim_Date!A:A,Dim_Date!H:H)</f>
        <v>Aug 2025</v>
      </c>
      <c r="T5898" t="str">
        <f>IF(Pipeline_tbl[[#This Row],[Closed_Date]]=0,"",(_xlfn.XLOOKUP(Pipeline_tbl[[#This Row],[Closed_Date]],Dim_Date!A:A,Dim_Date!H:H)))</f>
        <v>Aug 2025</v>
      </c>
      <c r="U5898">
        <f>IF(Pipeline_tbl[[#This Row],[Closed_Date]]=0,"",Pipeline_tbl[[#This Row],[Closed_Date]]-Pipeline_tbl[[#This Row],[Created_Date]])</f>
        <v>27</v>
      </c>
    </row>
    <row r="5899" spans="1:21" ht="15" customHeight="1" x14ac:dyDescent="0.2">
      <c r="A5899" t="s">
        <v>6205</v>
      </c>
      <c r="B5899" t="s">
        <v>205</v>
      </c>
      <c r="C5899" t="s">
        <v>53</v>
      </c>
      <c r="D5899" s="49">
        <v>45870</v>
      </c>
      <c r="E5899" s="49">
        <v>45871</v>
      </c>
      <c r="F5899" s="49">
        <v>45874</v>
      </c>
      <c r="I5899" s="49">
        <v>45883</v>
      </c>
      <c r="J5899" t="s">
        <v>49</v>
      </c>
      <c r="K5899" s="33">
        <v>3100</v>
      </c>
      <c r="L5899" t="s">
        <v>60</v>
      </c>
      <c r="M5899" t="str">
        <f>_xlfn.XLOOKUP(Pipeline_tbl[[#This Row],[Rep_ID]],Dim_Reps!A:A,Dim_Reps!K:K)</f>
        <v>EUR</v>
      </c>
      <c r="N5899" s="33">
        <f>(_xlfn.XLOOKUP(Pipeline_tbl[[#This Row],[Rate_Code_Generalized]],Lookups!A:A,Lookups!B:B))*Pipeline_tbl[[#This Row],[Pipeline_Amount_USD]]</f>
        <v>3100</v>
      </c>
      <c r="O5899" t="str">
        <f>_xlfn.XLOOKUP(Pipeline_tbl[[#This Row],[Rep_ID]],Dim_Reps!A:A,Dim_Reps!B:B)</f>
        <v>Karim Alvarez</v>
      </c>
      <c r="P5899" t="str">
        <f>_xlfn.XLOOKUP(Pipeline_tbl[[#This Row],[Rep_ID]],Dim_Reps!A:A,Dim_Reps!C:C)</f>
        <v>SDR / Inside Sales Rep</v>
      </c>
      <c r="Q5899" t="str">
        <f>_xlfn.XLOOKUP(Pipeline_tbl[[#This Row],[Rep_ID]],Dim_Reps!A:A,Dim_Reps!D:D)</f>
        <v>Inside Sales</v>
      </c>
      <c r="R5899" t="str">
        <f>_xlfn.XLOOKUP(Pipeline_tbl[[#This Row],[Rep_ID]],Dim_Reps!A:A,Dim_Reps!E:E)</f>
        <v>EMEA</v>
      </c>
      <c r="S5899" t="str">
        <f>_xlfn.XLOOKUP(Pipeline_tbl[[#This Row],[Created_Date]],Dim_Date!A:A,Dim_Date!H:H)</f>
        <v>Aug 2025</v>
      </c>
      <c r="T5899" t="str">
        <f>IF(Pipeline_tbl[[#This Row],[Closed_Date]]=0,"",(_xlfn.XLOOKUP(Pipeline_tbl[[#This Row],[Closed_Date]],Dim_Date!A:A,Dim_Date!H:H)))</f>
        <v>Aug 2025</v>
      </c>
      <c r="U5899">
        <f>IF(Pipeline_tbl[[#This Row],[Closed_Date]]=0,"",Pipeline_tbl[[#This Row],[Closed_Date]]-Pipeline_tbl[[#This Row],[Created_Date]])</f>
        <v>13</v>
      </c>
    </row>
    <row r="5900" spans="1:21" ht="15" customHeight="1" x14ac:dyDescent="0.2">
      <c r="A5900" t="s">
        <v>6206</v>
      </c>
      <c r="B5900" t="s">
        <v>205</v>
      </c>
      <c r="C5900" t="s">
        <v>54</v>
      </c>
      <c r="D5900" s="49">
        <v>45875</v>
      </c>
      <c r="E5900" s="49">
        <v>45877</v>
      </c>
      <c r="F5900" s="49">
        <v>45880</v>
      </c>
      <c r="G5900" s="49">
        <v>45885</v>
      </c>
      <c r="H5900" s="49">
        <v>45889</v>
      </c>
      <c r="I5900" s="49">
        <v>45892</v>
      </c>
      <c r="J5900" t="s">
        <v>47</v>
      </c>
      <c r="K5900" s="33">
        <v>4200</v>
      </c>
      <c r="M5900" t="str">
        <f>_xlfn.XLOOKUP(Pipeline_tbl[[#This Row],[Rep_ID]],Dim_Reps!A:A,Dim_Reps!K:K)</f>
        <v>EUR</v>
      </c>
      <c r="N5900" s="33">
        <f>(_xlfn.XLOOKUP(Pipeline_tbl[[#This Row],[Rate_Code_Generalized]],Lookups!A:A,Lookups!B:B))*Pipeline_tbl[[#This Row],[Pipeline_Amount_USD]]</f>
        <v>4200</v>
      </c>
      <c r="O5900" t="str">
        <f>_xlfn.XLOOKUP(Pipeline_tbl[[#This Row],[Rep_ID]],Dim_Reps!A:A,Dim_Reps!B:B)</f>
        <v>Karim Alvarez</v>
      </c>
      <c r="P5900" t="str">
        <f>_xlfn.XLOOKUP(Pipeline_tbl[[#This Row],[Rep_ID]],Dim_Reps!A:A,Dim_Reps!C:C)</f>
        <v>SDR / Inside Sales Rep</v>
      </c>
      <c r="Q5900" t="str">
        <f>_xlfn.XLOOKUP(Pipeline_tbl[[#This Row],[Rep_ID]],Dim_Reps!A:A,Dim_Reps!D:D)</f>
        <v>Inside Sales</v>
      </c>
      <c r="R5900" t="str">
        <f>_xlfn.XLOOKUP(Pipeline_tbl[[#This Row],[Rep_ID]],Dim_Reps!A:A,Dim_Reps!E:E)</f>
        <v>EMEA</v>
      </c>
      <c r="S5900" t="str">
        <f>_xlfn.XLOOKUP(Pipeline_tbl[[#This Row],[Created_Date]],Dim_Date!A:A,Dim_Date!H:H)</f>
        <v>Aug 2025</v>
      </c>
      <c r="T5900" t="str">
        <f>IF(Pipeline_tbl[[#This Row],[Closed_Date]]=0,"",(_xlfn.XLOOKUP(Pipeline_tbl[[#This Row],[Closed_Date]],Dim_Date!A:A,Dim_Date!H:H)))</f>
        <v>Aug 2025</v>
      </c>
      <c r="U5900">
        <f>IF(Pipeline_tbl[[#This Row],[Closed_Date]]=0,"",Pipeline_tbl[[#This Row],[Closed_Date]]-Pipeline_tbl[[#This Row],[Created_Date]])</f>
        <v>17</v>
      </c>
    </row>
    <row r="5901" spans="1:21" ht="15" customHeight="1" x14ac:dyDescent="0.2">
      <c r="A5901" t="s">
        <v>6207</v>
      </c>
      <c r="B5901" t="s">
        <v>205</v>
      </c>
      <c r="C5901" t="s">
        <v>54</v>
      </c>
      <c r="D5901" s="49">
        <v>45878</v>
      </c>
      <c r="E5901" s="49">
        <v>45880</v>
      </c>
      <c r="F5901" s="49">
        <v>45883</v>
      </c>
      <c r="G5901" s="49">
        <v>45888</v>
      </c>
      <c r="H5901" s="49">
        <v>45892</v>
      </c>
      <c r="I5901" s="49">
        <v>45894</v>
      </c>
      <c r="J5901" t="s">
        <v>49</v>
      </c>
      <c r="K5901" s="33">
        <v>3300</v>
      </c>
      <c r="L5901" t="s">
        <v>61</v>
      </c>
      <c r="M5901" t="str">
        <f>_xlfn.XLOOKUP(Pipeline_tbl[[#This Row],[Rep_ID]],Dim_Reps!A:A,Dim_Reps!K:K)</f>
        <v>EUR</v>
      </c>
      <c r="N5901" s="33">
        <f>(_xlfn.XLOOKUP(Pipeline_tbl[[#This Row],[Rate_Code_Generalized]],Lookups!A:A,Lookups!B:B))*Pipeline_tbl[[#This Row],[Pipeline_Amount_USD]]</f>
        <v>3300</v>
      </c>
      <c r="O5901" t="str">
        <f>_xlfn.XLOOKUP(Pipeline_tbl[[#This Row],[Rep_ID]],Dim_Reps!A:A,Dim_Reps!B:B)</f>
        <v>Karim Alvarez</v>
      </c>
      <c r="P5901" t="str">
        <f>_xlfn.XLOOKUP(Pipeline_tbl[[#This Row],[Rep_ID]],Dim_Reps!A:A,Dim_Reps!C:C)</f>
        <v>SDR / Inside Sales Rep</v>
      </c>
      <c r="Q5901" t="str">
        <f>_xlfn.XLOOKUP(Pipeline_tbl[[#This Row],[Rep_ID]],Dim_Reps!A:A,Dim_Reps!D:D)</f>
        <v>Inside Sales</v>
      </c>
      <c r="R5901" t="str">
        <f>_xlfn.XLOOKUP(Pipeline_tbl[[#This Row],[Rep_ID]],Dim_Reps!A:A,Dim_Reps!E:E)</f>
        <v>EMEA</v>
      </c>
      <c r="S5901" t="str">
        <f>_xlfn.XLOOKUP(Pipeline_tbl[[#This Row],[Created_Date]],Dim_Date!A:A,Dim_Date!H:H)</f>
        <v>Aug 2025</v>
      </c>
      <c r="T5901" t="str">
        <f>IF(Pipeline_tbl[[#This Row],[Closed_Date]]=0,"",(_xlfn.XLOOKUP(Pipeline_tbl[[#This Row],[Closed_Date]],Dim_Date!A:A,Dim_Date!H:H)))</f>
        <v>Aug 2025</v>
      </c>
      <c r="U5901">
        <f>IF(Pipeline_tbl[[#This Row],[Closed_Date]]=0,"",Pipeline_tbl[[#This Row],[Closed_Date]]-Pipeline_tbl[[#This Row],[Created_Date]])</f>
        <v>16</v>
      </c>
    </row>
    <row r="5902" spans="1:21" ht="15" customHeight="1" x14ac:dyDescent="0.2">
      <c r="A5902" t="s">
        <v>6208</v>
      </c>
      <c r="B5902" t="s">
        <v>205</v>
      </c>
      <c r="C5902" t="s">
        <v>52</v>
      </c>
      <c r="D5902" s="49">
        <v>45879</v>
      </c>
      <c r="E5902" s="49">
        <v>45880</v>
      </c>
      <c r="F5902" s="49">
        <v>45883</v>
      </c>
      <c r="G5902" s="49">
        <v>45887</v>
      </c>
      <c r="H5902" s="49">
        <v>45891</v>
      </c>
      <c r="I5902" s="49">
        <v>45893</v>
      </c>
      <c r="J5902" t="s">
        <v>49</v>
      </c>
      <c r="K5902" s="33">
        <v>3300</v>
      </c>
      <c r="L5902" t="s">
        <v>63</v>
      </c>
      <c r="M5902" t="str">
        <f>_xlfn.XLOOKUP(Pipeline_tbl[[#This Row],[Rep_ID]],Dim_Reps!A:A,Dim_Reps!K:K)</f>
        <v>EUR</v>
      </c>
      <c r="N5902" s="33">
        <f>(_xlfn.XLOOKUP(Pipeline_tbl[[#This Row],[Rate_Code_Generalized]],Lookups!A:A,Lookups!B:B))*Pipeline_tbl[[#This Row],[Pipeline_Amount_USD]]</f>
        <v>3300</v>
      </c>
      <c r="O5902" t="str">
        <f>_xlfn.XLOOKUP(Pipeline_tbl[[#This Row],[Rep_ID]],Dim_Reps!A:A,Dim_Reps!B:B)</f>
        <v>Karim Alvarez</v>
      </c>
      <c r="P5902" t="str">
        <f>_xlfn.XLOOKUP(Pipeline_tbl[[#This Row],[Rep_ID]],Dim_Reps!A:A,Dim_Reps!C:C)</f>
        <v>SDR / Inside Sales Rep</v>
      </c>
      <c r="Q5902" t="str">
        <f>_xlfn.XLOOKUP(Pipeline_tbl[[#This Row],[Rep_ID]],Dim_Reps!A:A,Dim_Reps!D:D)</f>
        <v>Inside Sales</v>
      </c>
      <c r="R5902" t="str">
        <f>_xlfn.XLOOKUP(Pipeline_tbl[[#This Row],[Rep_ID]],Dim_Reps!A:A,Dim_Reps!E:E)</f>
        <v>EMEA</v>
      </c>
      <c r="S5902" t="str">
        <f>_xlfn.XLOOKUP(Pipeline_tbl[[#This Row],[Created_Date]],Dim_Date!A:A,Dim_Date!H:H)</f>
        <v>Aug 2025</v>
      </c>
      <c r="T5902" t="str">
        <f>IF(Pipeline_tbl[[#This Row],[Closed_Date]]=0,"",(_xlfn.XLOOKUP(Pipeline_tbl[[#This Row],[Closed_Date]],Dim_Date!A:A,Dim_Date!H:H)))</f>
        <v>Aug 2025</v>
      </c>
      <c r="U5902">
        <f>IF(Pipeline_tbl[[#This Row],[Closed_Date]]=0,"",Pipeline_tbl[[#This Row],[Closed_Date]]-Pipeline_tbl[[#This Row],[Created_Date]])</f>
        <v>14</v>
      </c>
    </row>
    <row r="5903" spans="1:21" ht="15" customHeight="1" x14ac:dyDescent="0.2">
      <c r="A5903" t="s">
        <v>6209</v>
      </c>
      <c r="B5903" t="s">
        <v>207</v>
      </c>
      <c r="C5903" t="s">
        <v>54</v>
      </c>
      <c r="D5903" s="49">
        <v>45884</v>
      </c>
      <c r="E5903" s="49">
        <v>45886</v>
      </c>
      <c r="F5903" s="49">
        <v>45889</v>
      </c>
      <c r="G5903" s="49">
        <v>45893</v>
      </c>
      <c r="H5903" s="49">
        <v>45897</v>
      </c>
      <c r="I5903" s="49">
        <v>45899</v>
      </c>
      <c r="J5903" t="s">
        <v>47</v>
      </c>
      <c r="K5903" s="33">
        <v>3000</v>
      </c>
      <c r="M5903" t="str">
        <f>_xlfn.XLOOKUP(Pipeline_tbl[[#This Row],[Rep_ID]],Dim_Reps!A:A,Dim_Reps!K:K)</f>
        <v>EUR</v>
      </c>
      <c r="N5903" s="33">
        <f>(_xlfn.XLOOKUP(Pipeline_tbl[[#This Row],[Rate_Code_Generalized]],Lookups!A:A,Lookups!B:B))*Pipeline_tbl[[#This Row],[Pipeline_Amount_USD]]</f>
        <v>3000</v>
      </c>
      <c r="O5903" t="str">
        <f>_xlfn.XLOOKUP(Pipeline_tbl[[#This Row],[Rep_ID]],Dim_Reps!A:A,Dim_Reps!B:B)</f>
        <v>Sam Castro</v>
      </c>
      <c r="P5903" t="str">
        <f>_xlfn.XLOOKUP(Pipeline_tbl[[#This Row],[Rep_ID]],Dim_Reps!A:A,Dim_Reps!C:C)</f>
        <v>SDR / Inside Sales Rep</v>
      </c>
      <c r="Q5903" t="str">
        <f>_xlfn.XLOOKUP(Pipeline_tbl[[#This Row],[Rep_ID]],Dim_Reps!A:A,Dim_Reps!D:D)</f>
        <v>Inside Sales</v>
      </c>
      <c r="R5903" t="str">
        <f>_xlfn.XLOOKUP(Pipeline_tbl[[#This Row],[Rep_ID]],Dim_Reps!A:A,Dim_Reps!E:E)</f>
        <v>APAC</v>
      </c>
      <c r="S5903" t="str">
        <f>_xlfn.XLOOKUP(Pipeline_tbl[[#This Row],[Created_Date]],Dim_Date!A:A,Dim_Date!H:H)</f>
        <v>Aug 2025</v>
      </c>
      <c r="T5903" t="str">
        <f>IF(Pipeline_tbl[[#This Row],[Closed_Date]]=0,"",(_xlfn.XLOOKUP(Pipeline_tbl[[#This Row],[Closed_Date]],Dim_Date!A:A,Dim_Date!H:H)))</f>
        <v>Aug 2025</v>
      </c>
      <c r="U5903">
        <f>IF(Pipeline_tbl[[#This Row],[Closed_Date]]=0,"",Pipeline_tbl[[#This Row],[Closed_Date]]-Pipeline_tbl[[#This Row],[Created_Date]])</f>
        <v>15</v>
      </c>
    </row>
    <row r="5904" spans="1:21" ht="15" customHeight="1" x14ac:dyDescent="0.2">
      <c r="A5904" t="s">
        <v>6210</v>
      </c>
      <c r="B5904" t="s">
        <v>207</v>
      </c>
      <c r="C5904" t="s">
        <v>52</v>
      </c>
      <c r="D5904" s="49">
        <v>45884</v>
      </c>
      <c r="E5904" s="49">
        <v>45885</v>
      </c>
      <c r="F5904" s="49">
        <v>45888</v>
      </c>
      <c r="G5904" s="49">
        <v>45892</v>
      </c>
      <c r="H5904" s="49">
        <v>45895</v>
      </c>
      <c r="I5904" s="49">
        <v>45897</v>
      </c>
      <c r="J5904" t="s">
        <v>47</v>
      </c>
      <c r="K5904" s="33">
        <v>2600</v>
      </c>
      <c r="M5904" t="str">
        <f>_xlfn.XLOOKUP(Pipeline_tbl[[#This Row],[Rep_ID]],Dim_Reps!A:A,Dim_Reps!K:K)</f>
        <v>EUR</v>
      </c>
      <c r="N5904" s="33">
        <f>(_xlfn.XLOOKUP(Pipeline_tbl[[#This Row],[Rate_Code_Generalized]],Lookups!A:A,Lookups!B:B))*Pipeline_tbl[[#This Row],[Pipeline_Amount_USD]]</f>
        <v>2600</v>
      </c>
      <c r="O5904" t="str">
        <f>_xlfn.XLOOKUP(Pipeline_tbl[[#This Row],[Rep_ID]],Dim_Reps!A:A,Dim_Reps!B:B)</f>
        <v>Sam Castro</v>
      </c>
      <c r="P5904" t="str">
        <f>_xlfn.XLOOKUP(Pipeline_tbl[[#This Row],[Rep_ID]],Dim_Reps!A:A,Dim_Reps!C:C)</f>
        <v>SDR / Inside Sales Rep</v>
      </c>
      <c r="Q5904" t="str">
        <f>_xlfn.XLOOKUP(Pipeline_tbl[[#This Row],[Rep_ID]],Dim_Reps!A:A,Dim_Reps!D:D)</f>
        <v>Inside Sales</v>
      </c>
      <c r="R5904" t="str">
        <f>_xlfn.XLOOKUP(Pipeline_tbl[[#This Row],[Rep_ID]],Dim_Reps!A:A,Dim_Reps!E:E)</f>
        <v>APAC</v>
      </c>
      <c r="S5904" t="str">
        <f>_xlfn.XLOOKUP(Pipeline_tbl[[#This Row],[Created_Date]],Dim_Date!A:A,Dim_Date!H:H)</f>
        <v>Aug 2025</v>
      </c>
      <c r="T5904" t="str">
        <f>IF(Pipeline_tbl[[#This Row],[Closed_Date]]=0,"",(_xlfn.XLOOKUP(Pipeline_tbl[[#This Row],[Closed_Date]],Dim_Date!A:A,Dim_Date!H:H)))</f>
        <v>Aug 2025</v>
      </c>
      <c r="U5904">
        <f>IF(Pipeline_tbl[[#This Row],[Closed_Date]]=0,"",Pipeline_tbl[[#This Row],[Closed_Date]]-Pipeline_tbl[[#This Row],[Created_Date]])</f>
        <v>13</v>
      </c>
    </row>
    <row r="5905" spans="1:21" ht="15" customHeight="1" x14ac:dyDescent="0.2">
      <c r="A5905" t="s">
        <v>6211</v>
      </c>
      <c r="B5905" t="s">
        <v>209</v>
      </c>
      <c r="C5905" t="s">
        <v>56</v>
      </c>
      <c r="D5905" s="49">
        <v>45874</v>
      </c>
      <c r="E5905" s="49">
        <v>45876</v>
      </c>
      <c r="F5905" s="49">
        <v>45881</v>
      </c>
      <c r="I5905" s="49">
        <v>45897</v>
      </c>
      <c r="J5905" t="s">
        <v>49</v>
      </c>
      <c r="K5905" s="33">
        <v>1400</v>
      </c>
      <c r="L5905" t="s">
        <v>61</v>
      </c>
      <c r="M5905" t="str">
        <f>_xlfn.XLOOKUP(Pipeline_tbl[[#This Row],[Rep_ID]],Dim_Reps!A:A,Dim_Reps!K:K)</f>
        <v>EUR</v>
      </c>
      <c r="N5905" s="33">
        <f>(_xlfn.XLOOKUP(Pipeline_tbl[[#This Row],[Rate_Code_Generalized]],Lookups!A:A,Lookups!B:B))*Pipeline_tbl[[#This Row],[Pipeline_Amount_USD]]</f>
        <v>1400</v>
      </c>
      <c r="O5905" t="str">
        <f>_xlfn.XLOOKUP(Pipeline_tbl[[#This Row],[Rep_ID]],Dim_Reps!A:A,Dim_Reps!B:B)</f>
        <v>Petra Larsen</v>
      </c>
      <c r="P5905" t="str">
        <f>_xlfn.XLOOKUP(Pipeline_tbl[[#This Row],[Rep_ID]],Dim_Reps!A:A,Dim_Reps!C:C)</f>
        <v>SDR / Inside Sales Rep</v>
      </c>
      <c r="Q5905" t="str">
        <f>_xlfn.XLOOKUP(Pipeline_tbl[[#This Row],[Rep_ID]],Dim_Reps!A:A,Dim_Reps!D:D)</f>
        <v>Inside Sales</v>
      </c>
      <c r="R5905" t="str">
        <f>_xlfn.XLOOKUP(Pipeline_tbl[[#This Row],[Rep_ID]],Dim_Reps!A:A,Dim_Reps!E:E)</f>
        <v>EMEA</v>
      </c>
      <c r="S5905" t="str">
        <f>_xlfn.XLOOKUP(Pipeline_tbl[[#This Row],[Created_Date]],Dim_Date!A:A,Dim_Date!H:H)</f>
        <v>Aug 2025</v>
      </c>
      <c r="T5905" t="str">
        <f>IF(Pipeline_tbl[[#This Row],[Closed_Date]]=0,"",(_xlfn.XLOOKUP(Pipeline_tbl[[#This Row],[Closed_Date]],Dim_Date!A:A,Dim_Date!H:H)))</f>
        <v>Aug 2025</v>
      </c>
      <c r="U5905">
        <f>IF(Pipeline_tbl[[#This Row],[Closed_Date]]=0,"",Pipeline_tbl[[#This Row],[Closed_Date]]-Pipeline_tbl[[#This Row],[Created_Date]])</f>
        <v>23</v>
      </c>
    </row>
    <row r="5906" spans="1:21" ht="15" customHeight="1" x14ac:dyDescent="0.2">
      <c r="A5906" t="s">
        <v>6212</v>
      </c>
      <c r="B5906" t="s">
        <v>211</v>
      </c>
      <c r="C5906" t="s">
        <v>52</v>
      </c>
      <c r="D5906" s="49">
        <v>45870</v>
      </c>
      <c r="E5906" s="49">
        <v>45872</v>
      </c>
      <c r="F5906" s="49">
        <v>45877</v>
      </c>
      <c r="G5906" s="49">
        <v>45884</v>
      </c>
      <c r="I5906" s="49">
        <v>45894</v>
      </c>
      <c r="J5906" t="s">
        <v>49</v>
      </c>
      <c r="K5906" s="33">
        <v>1700</v>
      </c>
      <c r="L5906" t="s">
        <v>61</v>
      </c>
      <c r="M5906" t="str">
        <f>_xlfn.XLOOKUP(Pipeline_tbl[[#This Row],[Rep_ID]],Dim_Reps!A:A,Dim_Reps!K:K)</f>
        <v>EUR</v>
      </c>
      <c r="N5906" s="33">
        <f>(_xlfn.XLOOKUP(Pipeline_tbl[[#This Row],[Rate_Code_Generalized]],Lookups!A:A,Lookups!B:B))*Pipeline_tbl[[#This Row],[Pipeline_Amount_USD]]</f>
        <v>1700</v>
      </c>
      <c r="O5906" t="str">
        <f>_xlfn.XLOOKUP(Pipeline_tbl[[#This Row],[Rep_ID]],Dim_Reps!A:A,Dim_Reps!B:B)</f>
        <v>Lea Weber</v>
      </c>
      <c r="P5906" t="str">
        <f>_xlfn.XLOOKUP(Pipeline_tbl[[#This Row],[Rep_ID]],Dim_Reps!A:A,Dim_Reps!C:C)</f>
        <v>SDR / Inside Sales Rep</v>
      </c>
      <c r="Q5906" t="str">
        <f>_xlfn.XLOOKUP(Pipeline_tbl[[#This Row],[Rep_ID]],Dim_Reps!A:A,Dim_Reps!D:D)</f>
        <v>Inside Sales</v>
      </c>
      <c r="R5906" t="str">
        <f>_xlfn.XLOOKUP(Pipeline_tbl[[#This Row],[Rep_ID]],Dim_Reps!A:A,Dim_Reps!E:E)</f>
        <v>EMEA</v>
      </c>
      <c r="S5906" t="str">
        <f>_xlfn.XLOOKUP(Pipeline_tbl[[#This Row],[Created_Date]],Dim_Date!A:A,Dim_Date!H:H)</f>
        <v>Aug 2025</v>
      </c>
      <c r="T5906" t="str">
        <f>IF(Pipeline_tbl[[#This Row],[Closed_Date]]=0,"",(_xlfn.XLOOKUP(Pipeline_tbl[[#This Row],[Closed_Date]],Dim_Date!A:A,Dim_Date!H:H)))</f>
        <v>Aug 2025</v>
      </c>
      <c r="U5906">
        <f>IF(Pipeline_tbl[[#This Row],[Closed_Date]]=0,"",Pipeline_tbl[[#This Row],[Closed_Date]]-Pipeline_tbl[[#This Row],[Created_Date]])</f>
        <v>24</v>
      </c>
    </row>
    <row r="5907" spans="1:21" ht="15" customHeight="1" x14ac:dyDescent="0.2">
      <c r="A5907" t="s">
        <v>6213</v>
      </c>
      <c r="B5907" t="s">
        <v>211</v>
      </c>
      <c r="C5907" t="s">
        <v>56</v>
      </c>
      <c r="D5907" s="49">
        <v>45876</v>
      </c>
      <c r="E5907" s="49">
        <v>45876</v>
      </c>
      <c r="F5907" s="49">
        <v>45878</v>
      </c>
      <c r="G5907" s="49">
        <v>45879</v>
      </c>
      <c r="H5907" s="49">
        <v>45880</v>
      </c>
      <c r="I5907" s="49">
        <v>45881</v>
      </c>
      <c r="J5907" t="s">
        <v>49</v>
      </c>
      <c r="K5907" s="33">
        <v>7500</v>
      </c>
      <c r="L5907" t="s">
        <v>62</v>
      </c>
      <c r="M5907" t="str">
        <f>_xlfn.XLOOKUP(Pipeline_tbl[[#This Row],[Rep_ID]],Dim_Reps!A:A,Dim_Reps!K:K)</f>
        <v>EUR</v>
      </c>
      <c r="N5907" s="33">
        <f>(_xlfn.XLOOKUP(Pipeline_tbl[[#This Row],[Rate_Code_Generalized]],Lookups!A:A,Lookups!B:B))*Pipeline_tbl[[#This Row],[Pipeline_Amount_USD]]</f>
        <v>7500</v>
      </c>
      <c r="O5907" t="str">
        <f>_xlfn.XLOOKUP(Pipeline_tbl[[#This Row],[Rep_ID]],Dim_Reps!A:A,Dim_Reps!B:B)</f>
        <v>Lea Weber</v>
      </c>
      <c r="P5907" t="str">
        <f>_xlfn.XLOOKUP(Pipeline_tbl[[#This Row],[Rep_ID]],Dim_Reps!A:A,Dim_Reps!C:C)</f>
        <v>SDR / Inside Sales Rep</v>
      </c>
      <c r="Q5907" t="str">
        <f>_xlfn.XLOOKUP(Pipeline_tbl[[#This Row],[Rep_ID]],Dim_Reps!A:A,Dim_Reps!D:D)</f>
        <v>Inside Sales</v>
      </c>
      <c r="R5907" t="str">
        <f>_xlfn.XLOOKUP(Pipeline_tbl[[#This Row],[Rep_ID]],Dim_Reps!A:A,Dim_Reps!E:E)</f>
        <v>EMEA</v>
      </c>
      <c r="S5907" t="str">
        <f>_xlfn.XLOOKUP(Pipeline_tbl[[#This Row],[Created_Date]],Dim_Date!A:A,Dim_Date!H:H)</f>
        <v>Aug 2025</v>
      </c>
      <c r="T5907" t="str">
        <f>IF(Pipeline_tbl[[#This Row],[Closed_Date]]=0,"",(_xlfn.XLOOKUP(Pipeline_tbl[[#This Row],[Closed_Date]],Dim_Date!A:A,Dim_Date!H:H)))</f>
        <v>Aug 2025</v>
      </c>
      <c r="U5907">
        <f>IF(Pipeline_tbl[[#This Row],[Closed_Date]]=0,"",Pipeline_tbl[[#This Row],[Closed_Date]]-Pipeline_tbl[[#This Row],[Created_Date]])</f>
        <v>5</v>
      </c>
    </row>
    <row r="5908" spans="1:21" ht="15" customHeight="1" x14ac:dyDescent="0.2">
      <c r="A5908" t="s">
        <v>6214</v>
      </c>
      <c r="B5908" t="s">
        <v>211</v>
      </c>
      <c r="C5908" t="s">
        <v>55</v>
      </c>
      <c r="D5908" s="49">
        <v>45874</v>
      </c>
      <c r="E5908" s="49">
        <v>45875</v>
      </c>
      <c r="F5908" s="49">
        <v>45877</v>
      </c>
      <c r="G5908" s="49">
        <v>45881</v>
      </c>
      <c r="H5908" s="49">
        <v>45883</v>
      </c>
      <c r="I5908" s="49">
        <v>45885</v>
      </c>
      <c r="J5908" t="s">
        <v>47</v>
      </c>
      <c r="K5908" s="33">
        <v>4500</v>
      </c>
      <c r="M5908" t="str">
        <f>_xlfn.XLOOKUP(Pipeline_tbl[[#This Row],[Rep_ID]],Dim_Reps!A:A,Dim_Reps!K:K)</f>
        <v>EUR</v>
      </c>
      <c r="N5908" s="33">
        <f>(_xlfn.XLOOKUP(Pipeline_tbl[[#This Row],[Rate_Code_Generalized]],Lookups!A:A,Lookups!B:B))*Pipeline_tbl[[#This Row],[Pipeline_Amount_USD]]</f>
        <v>4500</v>
      </c>
      <c r="O5908" t="str">
        <f>_xlfn.XLOOKUP(Pipeline_tbl[[#This Row],[Rep_ID]],Dim_Reps!A:A,Dim_Reps!B:B)</f>
        <v>Lea Weber</v>
      </c>
      <c r="P5908" t="str">
        <f>_xlfn.XLOOKUP(Pipeline_tbl[[#This Row],[Rep_ID]],Dim_Reps!A:A,Dim_Reps!C:C)</f>
        <v>SDR / Inside Sales Rep</v>
      </c>
      <c r="Q5908" t="str">
        <f>_xlfn.XLOOKUP(Pipeline_tbl[[#This Row],[Rep_ID]],Dim_Reps!A:A,Dim_Reps!D:D)</f>
        <v>Inside Sales</v>
      </c>
      <c r="R5908" t="str">
        <f>_xlfn.XLOOKUP(Pipeline_tbl[[#This Row],[Rep_ID]],Dim_Reps!A:A,Dim_Reps!E:E)</f>
        <v>EMEA</v>
      </c>
      <c r="S5908" t="str">
        <f>_xlfn.XLOOKUP(Pipeline_tbl[[#This Row],[Created_Date]],Dim_Date!A:A,Dim_Date!H:H)</f>
        <v>Aug 2025</v>
      </c>
      <c r="T5908" t="str">
        <f>IF(Pipeline_tbl[[#This Row],[Closed_Date]]=0,"",(_xlfn.XLOOKUP(Pipeline_tbl[[#This Row],[Closed_Date]],Dim_Date!A:A,Dim_Date!H:H)))</f>
        <v>Aug 2025</v>
      </c>
      <c r="U5908">
        <f>IF(Pipeline_tbl[[#This Row],[Closed_Date]]=0,"",Pipeline_tbl[[#This Row],[Closed_Date]]-Pipeline_tbl[[#This Row],[Created_Date]])</f>
        <v>11</v>
      </c>
    </row>
    <row r="5909" spans="1:21" ht="15" customHeight="1" x14ac:dyDescent="0.2">
      <c r="A5909" t="s">
        <v>6215</v>
      </c>
      <c r="B5909" t="s">
        <v>213</v>
      </c>
      <c r="C5909" t="s">
        <v>54</v>
      </c>
      <c r="D5909" s="49">
        <v>45875</v>
      </c>
      <c r="E5909" s="49">
        <v>45877</v>
      </c>
      <c r="F5909" s="49">
        <v>45881</v>
      </c>
      <c r="G5909" s="49">
        <v>45886</v>
      </c>
      <c r="H5909" s="49">
        <v>45891</v>
      </c>
      <c r="I5909" s="49">
        <v>45894</v>
      </c>
      <c r="J5909" t="s">
        <v>47</v>
      </c>
      <c r="K5909" s="33">
        <v>8500</v>
      </c>
      <c r="M5909" t="str">
        <f>_xlfn.XLOOKUP(Pipeline_tbl[[#This Row],[Rep_ID]],Dim_Reps!A:A,Dim_Reps!K:K)</f>
        <v>EUR</v>
      </c>
      <c r="N5909" s="33">
        <f>(_xlfn.XLOOKUP(Pipeline_tbl[[#This Row],[Rate_Code_Generalized]],Lookups!A:A,Lookups!B:B))*Pipeline_tbl[[#This Row],[Pipeline_Amount_USD]]</f>
        <v>8500</v>
      </c>
      <c r="O5909" t="str">
        <f>_xlfn.XLOOKUP(Pipeline_tbl[[#This Row],[Rep_ID]],Dim_Reps!A:A,Dim_Reps!B:B)</f>
        <v>Jamie Silva</v>
      </c>
      <c r="P5909" t="str">
        <f>_xlfn.XLOOKUP(Pipeline_tbl[[#This Row],[Rep_ID]],Dim_Reps!A:A,Dim_Reps!C:C)</f>
        <v>SDR / Inside Sales Rep</v>
      </c>
      <c r="Q5909" t="str">
        <f>_xlfn.XLOOKUP(Pipeline_tbl[[#This Row],[Rep_ID]],Dim_Reps!A:A,Dim_Reps!D:D)</f>
        <v>Inside Sales</v>
      </c>
      <c r="R5909" t="str">
        <f>_xlfn.XLOOKUP(Pipeline_tbl[[#This Row],[Rep_ID]],Dim_Reps!A:A,Dim_Reps!E:E)</f>
        <v>EMEA</v>
      </c>
      <c r="S5909" t="str">
        <f>_xlfn.XLOOKUP(Pipeline_tbl[[#This Row],[Created_Date]],Dim_Date!A:A,Dim_Date!H:H)</f>
        <v>Aug 2025</v>
      </c>
      <c r="T5909" t="str">
        <f>IF(Pipeline_tbl[[#This Row],[Closed_Date]]=0,"",(_xlfn.XLOOKUP(Pipeline_tbl[[#This Row],[Closed_Date]],Dim_Date!A:A,Dim_Date!H:H)))</f>
        <v>Aug 2025</v>
      </c>
      <c r="U5909">
        <f>IF(Pipeline_tbl[[#This Row],[Closed_Date]]=0,"",Pipeline_tbl[[#This Row],[Closed_Date]]-Pipeline_tbl[[#This Row],[Created_Date]])</f>
        <v>19</v>
      </c>
    </row>
    <row r="5910" spans="1:21" ht="15" customHeight="1" x14ac:dyDescent="0.2">
      <c r="A5910" t="s">
        <v>6216</v>
      </c>
      <c r="B5910" t="s">
        <v>213</v>
      </c>
      <c r="C5910" t="s">
        <v>52</v>
      </c>
      <c r="D5910" s="49">
        <v>45884</v>
      </c>
      <c r="E5910" s="49">
        <v>45885</v>
      </c>
      <c r="F5910" s="49">
        <v>45888</v>
      </c>
      <c r="G5910" s="49">
        <v>45892</v>
      </c>
      <c r="H5910" s="49">
        <v>45895</v>
      </c>
      <c r="I5910" s="49">
        <v>45897</v>
      </c>
      <c r="J5910" t="s">
        <v>47</v>
      </c>
      <c r="K5910" s="33">
        <v>4300</v>
      </c>
      <c r="M5910" t="str">
        <f>_xlfn.XLOOKUP(Pipeline_tbl[[#This Row],[Rep_ID]],Dim_Reps!A:A,Dim_Reps!K:K)</f>
        <v>EUR</v>
      </c>
      <c r="N5910" s="33">
        <f>(_xlfn.XLOOKUP(Pipeline_tbl[[#This Row],[Rate_Code_Generalized]],Lookups!A:A,Lookups!B:B))*Pipeline_tbl[[#This Row],[Pipeline_Amount_USD]]</f>
        <v>4300</v>
      </c>
      <c r="O5910" t="str">
        <f>_xlfn.XLOOKUP(Pipeline_tbl[[#This Row],[Rep_ID]],Dim_Reps!A:A,Dim_Reps!B:B)</f>
        <v>Jamie Silva</v>
      </c>
      <c r="P5910" t="str">
        <f>_xlfn.XLOOKUP(Pipeline_tbl[[#This Row],[Rep_ID]],Dim_Reps!A:A,Dim_Reps!C:C)</f>
        <v>SDR / Inside Sales Rep</v>
      </c>
      <c r="Q5910" t="str">
        <f>_xlfn.XLOOKUP(Pipeline_tbl[[#This Row],[Rep_ID]],Dim_Reps!A:A,Dim_Reps!D:D)</f>
        <v>Inside Sales</v>
      </c>
      <c r="R5910" t="str">
        <f>_xlfn.XLOOKUP(Pipeline_tbl[[#This Row],[Rep_ID]],Dim_Reps!A:A,Dim_Reps!E:E)</f>
        <v>EMEA</v>
      </c>
      <c r="S5910" t="str">
        <f>_xlfn.XLOOKUP(Pipeline_tbl[[#This Row],[Created_Date]],Dim_Date!A:A,Dim_Date!H:H)</f>
        <v>Aug 2025</v>
      </c>
      <c r="T5910" t="str">
        <f>IF(Pipeline_tbl[[#This Row],[Closed_Date]]=0,"",(_xlfn.XLOOKUP(Pipeline_tbl[[#This Row],[Closed_Date]],Dim_Date!A:A,Dim_Date!H:H)))</f>
        <v>Aug 2025</v>
      </c>
      <c r="U5910">
        <f>IF(Pipeline_tbl[[#This Row],[Closed_Date]]=0,"",Pipeline_tbl[[#This Row],[Closed_Date]]-Pipeline_tbl[[#This Row],[Created_Date]])</f>
        <v>13</v>
      </c>
    </row>
    <row r="5911" spans="1:21" ht="15" customHeight="1" x14ac:dyDescent="0.2">
      <c r="A5911" t="s">
        <v>6217</v>
      </c>
      <c r="B5911" t="s">
        <v>213</v>
      </c>
      <c r="C5911" t="s">
        <v>56</v>
      </c>
      <c r="D5911" s="49">
        <v>45871</v>
      </c>
      <c r="E5911" s="49">
        <v>45873</v>
      </c>
      <c r="F5911" s="49">
        <v>45877</v>
      </c>
      <c r="G5911" s="49">
        <v>45882</v>
      </c>
      <c r="H5911" s="49">
        <v>45887</v>
      </c>
      <c r="I5911" s="49">
        <v>45890</v>
      </c>
      <c r="J5911" t="s">
        <v>49</v>
      </c>
      <c r="K5911" s="33">
        <v>3900</v>
      </c>
      <c r="L5911" t="s">
        <v>61</v>
      </c>
      <c r="M5911" t="str">
        <f>_xlfn.XLOOKUP(Pipeline_tbl[[#This Row],[Rep_ID]],Dim_Reps!A:A,Dim_Reps!K:K)</f>
        <v>EUR</v>
      </c>
      <c r="N5911" s="33">
        <f>(_xlfn.XLOOKUP(Pipeline_tbl[[#This Row],[Rate_Code_Generalized]],Lookups!A:A,Lookups!B:B))*Pipeline_tbl[[#This Row],[Pipeline_Amount_USD]]</f>
        <v>3900</v>
      </c>
      <c r="O5911" t="str">
        <f>_xlfn.XLOOKUP(Pipeline_tbl[[#This Row],[Rep_ID]],Dim_Reps!A:A,Dim_Reps!B:B)</f>
        <v>Jamie Silva</v>
      </c>
      <c r="P5911" t="str">
        <f>_xlfn.XLOOKUP(Pipeline_tbl[[#This Row],[Rep_ID]],Dim_Reps!A:A,Dim_Reps!C:C)</f>
        <v>SDR / Inside Sales Rep</v>
      </c>
      <c r="Q5911" t="str">
        <f>_xlfn.XLOOKUP(Pipeline_tbl[[#This Row],[Rep_ID]],Dim_Reps!A:A,Dim_Reps!D:D)</f>
        <v>Inside Sales</v>
      </c>
      <c r="R5911" t="str">
        <f>_xlfn.XLOOKUP(Pipeline_tbl[[#This Row],[Rep_ID]],Dim_Reps!A:A,Dim_Reps!E:E)</f>
        <v>EMEA</v>
      </c>
      <c r="S5911" t="str">
        <f>_xlfn.XLOOKUP(Pipeline_tbl[[#This Row],[Created_Date]],Dim_Date!A:A,Dim_Date!H:H)</f>
        <v>Aug 2025</v>
      </c>
      <c r="T5911" t="str">
        <f>IF(Pipeline_tbl[[#This Row],[Closed_Date]]=0,"",(_xlfn.XLOOKUP(Pipeline_tbl[[#This Row],[Closed_Date]],Dim_Date!A:A,Dim_Date!H:H)))</f>
        <v>Aug 2025</v>
      </c>
      <c r="U5911">
        <f>IF(Pipeline_tbl[[#This Row],[Closed_Date]]=0,"",Pipeline_tbl[[#This Row],[Closed_Date]]-Pipeline_tbl[[#This Row],[Created_Date]])</f>
        <v>19</v>
      </c>
    </row>
    <row r="5912" spans="1:21" ht="15" customHeight="1" x14ac:dyDescent="0.2">
      <c r="A5912" t="s">
        <v>6218</v>
      </c>
      <c r="B5912" t="s">
        <v>213</v>
      </c>
      <c r="C5912" t="s">
        <v>53</v>
      </c>
      <c r="D5912" s="49">
        <v>45881</v>
      </c>
      <c r="E5912" s="49">
        <v>45882</v>
      </c>
      <c r="I5912" s="49">
        <v>45891</v>
      </c>
      <c r="J5912" t="s">
        <v>49</v>
      </c>
      <c r="K5912" s="33">
        <v>2400</v>
      </c>
      <c r="L5912" t="s">
        <v>60</v>
      </c>
      <c r="M5912" t="str">
        <f>_xlfn.XLOOKUP(Pipeline_tbl[[#This Row],[Rep_ID]],Dim_Reps!A:A,Dim_Reps!K:K)</f>
        <v>EUR</v>
      </c>
      <c r="N5912" s="33">
        <f>(_xlfn.XLOOKUP(Pipeline_tbl[[#This Row],[Rate_Code_Generalized]],Lookups!A:A,Lookups!B:B))*Pipeline_tbl[[#This Row],[Pipeline_Amount_USD]]</f>
        <v>2400</v>
      </c>
      <c r="O5912" t="str">
        <f>_xlfn.XLOOKUP(Pipeline_tbl[[#This Row],[Rep_ID]],Dim_Reps!A:A,Dim_Reps!B:B)</f>
        <v>Jamie Silva</v>
      </c>
      <c r="P5912" t="str">
        <f>_xlfn.XLOOKUP(Pipeline_tbl[[#This Row],[Rep_ID]],Dim_Reps!A:A,Dim_Reps!C:C)</f>
        <v>SDR / Inside Sales Rep</v>
      </c>
      <c r="Q5912" t="str">
        <f>_xlfn.XLOOKUP(Pipeline_tbl[[#This Row],[Rep_ID]],Dim_Reps!A:A,Dim_Reps!D:D)</f>
        <v>Inside Sales</v>
      </c>
      <c r="R5912" t="str">
        <f>_xlfn.XLOOKUP(Pipeline_tbl[[#This Row],[Rep_ID]],Dim_Reps!A:A,Dim_Reps!E:E)</f>
        <v>EMEA</v>
      </c>
      <c r="S5912" t="str">
        <f>_xlfn.XLOOKUP(Pipeline_tbl[[#This Row],[Created_Date]],Dim_Date!A:A,Dim_Date!H:H)</f>
        <v>Aug 2025</v>
      </c>
      <c r="T5912" t="str">
        <f>IF(Pipeline_tbl[[#This Row],[Closed_Date]]=0,"",(_xlfn.XLOOKUP(Pipeline_tbl[[#This Row],[Closed_Date]],Dim_Date!A:A,Dim_Date!H:H)))</f>
        <v>Aug 2025</v>
      </c>
      <c r="U5912">
        <f>IF(Pipeline_tbl[[#This Row],[Closed_Date]]=0,"",Pipeline_tbl[[#This Row],[Closed_Date]]-Pipeline_tbl[[#This Row],[Created_Date]])</f>
        <v>10</v>
      </c>
    </row>
    <row r="5913" spans="1:21" ht="15" customHeight="1" x14ac:dyDescent="0.2">
      <c r="A5913" t="s">
        <v>6219</v>
      </c>
      <c r="B5913" t="s">
        <v>213</v>
      </c>
      <c r="C5913" t="s">
        <v>52</v>
      </c>
      <c r="D5913" s="49">
        <v>45889</v>
      </c>
      <c r="E5913" s="49">
        <v>45889</v>
      </c>
      <c r="F5913" s="49">
        <v>45891</v>
      </c>
      <c r="G5913" s="49">
        <v>45892</v>
      </c>
      <c r="H5913" s="49">
        <v>45893</v>
      </c>
      <c r="I5913" s="49">
        <v>45894</v>
      </c>
      <c r="J5913" t="s">
        <v>47</v>
      </c>
      <c r="K5913" s="33">
        <v>6300</v>
      </c>
      <c r="M5913" t="str">
        <f>_xlfn.XLOOKUP(Pipeline_tbl[[#This Row],[Rep_ID]],Dim_Reps!A:A,Dim_Reps!K:K)</f>
        <v>EUR</v>
      </c>
      <c r="N5913" s="33">
        <f>(_xlfn.XLOOKUP(Pipeline_tbl[[#This Row],[Rate_Code_Generalized]],Lookups!A:A,Lookups!B:B))*Pipeline_tbl[[#This Row],[Pipeline_Amount_USD]]</f>
        <v>6300</v>
      </c>
      <c r="O5913" t="str">
        <f>_xlfn.XLOOKUP(Pipeline_tbl[[#This Row],[Rep_ID]],Dim_Reps!A:A,Dim_Reps!B:B)</f>
        <v>Jamie Silva</v>
      </c>
      <c r="P5913" t="str">
        <f>_xlfn.XLOOKUP(Pipeline_tbl[[#This Row],[Rep_ID]],Dim_Reps!A:A,Dim_Reps!C:C)</f>
        <v>SDR / Inside Sales Rep</v>
      </c>
      <c r="Q5913" t="str">
        <f>_xlfn.XLOOKUP(Pipeline_tbl[[#This Row],[Rep_ID]],Dim_Reps!A:A,Dim_Reps!D:D)</f>
        <v>Inside Sales</v>
      </c>
      <c r="R5913" t="str">
        <f>_xlfn.XLOOKUP(Pipeline_tbl[[#This Row],[Rep_ID]],Dim_Reps!A:A,Dim_Reps!E:E)</f>
        <v>EMEA</v>
      </c>
      <c r="S5913" t="str">
        <f>_xlfn.XLOOKUP(Pipeline_tbl[[#This Row],[Created_Date]],Dim_Date!A:A,Dim_Date!H:H)</f>
        <v>Aug 2025</v>
      </c>
      <c r="T5913" t="str">
        <f>IF(Pipeline_tbl[[#This Row],[Closed_Date]]=0,"",(_xlfn.XLOOKUP(Pipeline_tbl[[#This Row],[Closed_Date]],Dim_Date!A:A,Dim_Date!H:H)))</f>
        <v>Aug 2025</v>
      </c>
      <c r="U5913">
        <f>IF(Pipeline_tbl[[#This Row],[Closed_Date]]=0,"",Pipeline_tbl[[#This Row],[Closed_Date]]-Pipeline_tbl[[#This Row],[Created_Date]])</f>
        <v>5</v>
      </c>
    </row>
    <row r="5914" spans="1:21" ht="15" customHeight="1" x14ac:dyDescent="0.2">
      <c r="A5914" t="s">
        <v>6220</v>
      </c>
      <c r="B5914" t="s">
        <v>215</v>
      </c>
      <c r="C5914" t="s">
        <v>52</v>
      </c>
      <c r="D5914" s="49">
        <v>45874</v>
      </c>
      <c r="E5914" s="49">
        <v>45876</v>
      </c>
      <c r="F5914" s="49">
        <v>45881</v>
      </c>
      <c r="G5914" s="49">
        <v>45888</v>
      </c>
      <c r="H5914" s="49">
        <v>45894</v>
      </c>
      <c r="I5914" s="49">
        <v>45898</v>
      </c>
      <c r="J5914" t="s">
        <v>49</v>
      </c>
      <c r="K5914" s="33">
        <v>2300</v>
      </c>
      <c r="L5914" t="s">
        <v>62</v>
      </c>
      <c r="M5914" t="str">
        <f>_xlfn.XLOOKUP(Pipeline_tbl[[#This Row],[Rep_ID]],Dim_Reps!A:A,Dim_Reps!K:K)</f>
        <v>EUR</v>
      </c>
      <c r="N5914" s="33">
        <f>(_xlfn.XLOOKUP(Pipeline_tbl[[#This Row],[Rate_Code_Generalized]],Lookups!A:A,Lookups!B:B))*Pipeline_tbl[[#This Row],[Pipeline_Amount_USD]]</f>
        <v>2300</v>
      </c>
      <c r="O5914" t="str">
        <f>_xlfn.XLOOKUP(Pipeline_tbl[[#This Row],[Rep_ID]],Dim_Reps!A:A,Dim_Reps!B:B)</f>
        <v>Jamie Schmidt</v>
      </c>
      <c r="P5914" t="str">
        <f>_xlfn.XLOOKUP(Pipeline_tbl[[#This Row],[Rep_ID]],Dim_Reps!A:A,Dim_Reps!C:C)</f>
        <v>SDR / Inside Sales Rep</v>
      </c>
      <c r="Q5914" t="str">
        <f>_xlfn.XLOOKUP(Pipeline_tbl[[#This Row],[Rep_ID]],Dim_Reps!A:A,Dim_Reps!D:D)</f>
        <v>Inside Sales</v>
      </c>
      <c r="R5914" t="str">
        <f>_xlfn.XLOOKUP(Pipeline_tbl[[#This Row],[Rep_ID]],Dim_Reps!A:A,Dim_Reps!E:E)</f>
        <v>APAC</v>
      </c>
      <c r="S5914" t="str">
        <f>_xlfn.XLOOKUP(Pipeline_tbl[[#This Row],[Created_Date]],Dim_Date!A:A,Dim_Date!H:H)</f>
        <v>Aug 2025</v>
      </c>
      <c r="T5914" t="str">
        <f>IF(Pipeline_tbl[[#This Row],[Closed_Date]]=0,"",(_xlfn.XLOOKUP(Pipeline_tbl[[#This Row],[Closed_Date]],Dim_Date!A:A,Dim_Date!H:H)))</f>
        <v>Aug 2025</v>
      </c>
      <c r="U5914">
        <f>IF(Pipeline_tbl[[#This Row],[Closed_Date]]=0,"",Pipeline_tbl[[#This Row],[Closed_Date]]-Pipeline_tbl[[#This Row],[Created_Date]])</f>
        <v>24</v>
      </c>
    </row>
    <row r="5915" spans="1:21" ht="15" customHeight="1" x14ac:dyDescent="0.2">
      <c r="A5915" t="s">
        <v>6221</v>
      </c>
      <c r="B5915" t="s">
        <v>215</v>
      </c>
      <c r="C5915" t="s">
        <v>55</v>
      </c>
      <c r="D5915" s="49">
        <v>45880</v>
      </c>
      <c r="E5915" s="49">
        <v>45882</v>
      </c>
      <c r="F5915" s="49">
        <v>45885</v>
      </c>
      <c r="G5915" s="49">
        <v>45890</v>
      </c>
      <c r="H5915" s="49">
        <v>45894</v>
      </c>
      <c r="I5915" s="49">
        <v>45896</v>
      </c>
      <c r="J5915" t="s">
        <v>47</v>
      </c>
      <c r="K5915" s="33">
        <v>2000</v>
      </c>
      <c r="M5915" t="str">
        <f>_xlfn.XLOOKUP(Pipeline_tbl[[#This Row],[Rep_ID]],Dim_Reps!A:A,Dim_Reps!K:K)</f>
        <v>EUR</v>
      </c>
      <c r="N5915" s="33">
        <f>(_xlfn.XLOOKUP(Pipeline_tbl[[#This Row],[Rate_Code_Generalized]],Lookups!A:A,Lookups!B:B))*Pipeline_tbl[[#This Row],[Pipeline_Amount_USD]]</f>
        <v>2000</v>
      </c>
      <c r="O5915" t="str">
        <f>_xlfn.XLOOKUP(Pipeline_tbl[[#This Row],[Rep_ID]],Dim_Reps!A:A,Dim_Reps!B:B)</f>
        <v>Jamie Schmidt</v>
      </c>
      <c r="P5915" t="str">
        <f>_xlfn.XLOOKUP(Pipeline_tbl[[#This Row],[Rep_ID]],Dim_Reps!A:A,Dim_Reps!C:C)</f>
        <v>SDR / Inside Sales Rep</v>
      </c>
      <c r="Q5915" t="str">
        <f>_xlfn.XLOOKUP(Pipeline_tbl[[#This Row],[Rep_ID]],Dim_Reps!A:A,Dim_Reps!D:D)</f>
        <v>Inside Sales</v>
      </c>
      <c r="R5915" t="str">
        <f>_xlfn.XLOOKUP(Pipeline_tbl[[#This Row],[Rep_ID]],Dim_Reps!A:A,Dim_Reps!E:E)</f>
        <v>APAC</v>
      </c>
      <c r="S5915" t="str">
        <f>_xlfn.XLOOKUP(Pipeline_tbl[[#This Row],[Created_Date]],Dim_Date!A:A,Dim_Date!H:H)</f>
        <v>Aug 2025</v>
      </c>
      <c r="T5915" t="str">
        <f>IF(Pipeline_tbl[[#This Row],[Closed_Date]]=0,"",(_xlfn.XLOOKUP(Pipeline_tbl[[#This Row],[Closed_Date]],Dim_Date!A:A,Dim_Date!H:H)))</f>
        <v>Aug 2025</v>
      </c>
      <c r="U5915">
        <f>IF(Pipeline_tbl[[#This Row],[Closed_Date]]=0,"",Pipeline_tbl[[#This Row],[Closed_Date]]-Pipeline_tbl[[#This Row],[Created_Date]])</f>
        <v>16</v>
      </c>
    </row>
    <row r="5916" spans="1:21" ht="15" customHeight="1" x14ac:dyDescent="0.2">
      <c r="A5916" t="s">
        <v>6222</v>
      </c>
      <c r="B5916" t="s">
        <v>215</v>
      </c>
      <c r="C5916" t="s">
        <v>52</v>
      </c>
      <c r="D5916" s="49">
        <v>45880</v>
      </c>
      <c r="E5916" s="49">
        <v>45882</v>
      </c>
      <c r="F5916" s="49">
        <v>45886</v>
      </c>
      <c r="G5916" s="49">
        <v>45891</v>
      </c>
      <c r="H5916" s="49">
        <v>45896</v>
      </c>
      <c r="I5916" s="49">
        <v>45899</v>
      </c>
      <c r="J5916" t="s">
        <v>47</v>
      </c>
      <c r="K5916" s="33">
        <v>4300</v>
      </c>
      <c r="M5916" t="str">
        <f>_xlfn.XLOOKUP(Pipeline_tbl[[#This Row],[Rep_ID]],Dim_Reps!A:A,Dim_Reps!K:K)</f>
        <v>EUR</v>
      </c>
      <c r="N5916" s="33">
        <f>(_xlfn.XLOOKUP(Pipeline_tbl[[#This Row],[Rate_Code_Generalized]],Lookups!A:A,Lookups!B:B))*Pipeline_tbl[[#This Row],[Pipeline_Amount_USD]]</f>
        <v>4300</v>
      </c>
      <c r="O5916" t="str">
        <f>_xlfn.XLOOKUP(Pipeline_tbl[[#This Row],[Rep_ID]],Dim_Reps!A:A,Dim_Reps!B:B)</f>
        <v>Jamie Schmidt</v>
      </c>
      <c r="P5916" t="str">
        <f>_xlfn.XLOOKUP(Pipeline_tbl[[#This Row],[Rep_ID]],Dim_Reps!A:A,Dim_Reps!C:C)</f>
        <v>SDR / Inside Sales Rep</v>
      </c>
      <c r="Q5916" t="str">
        <f>_xlfn.XLOOKUP(Pipeline_tbl[[#This Row],[Rep_ID]],Dim_Reps!A:A,Dim_Reps!D:D)</f>
        <v>Inside Sales</v>
      </c>
      <c r="R5916" t="str">
        <f>_xlfn.XLOOKUP(Pipeline_tbl[[#This Row],[Rep_ID]],Dim_Reps!A:A,Dim_Reps!E:E)</f>
        <v>APAC</v>
      </c>
      <c r="S5916" t="str">
        <f>_xlfn.XLOOKUP(Pipeline_tbl[[#This Row],[Created_Date]],Dim_Date!A:A,Dim_Date!H:H)</f>
        <v>Aug 2025</v>
      </c>
      <c r="T5916" t="str">
        <f>IF(Pipeline_tbl[[#This Row],[Closed_Date]]=0,"",(_xlfn.XLOOKUP(Pipeline_tbl[[#This Row],[Closed_Date]],Dim_Date!A:A,Dim_Date!H:H)))</f>
        <v>Aug 2025</v>
      </c>
      <c r="U5916">
        <f>IF(Pipeline_tbl[[#This Row],[Closed_Date]]=0,"",Pipeline_tbl[[#This Row],[Closed_Date]]-Pipeline_tbl[[#This Row],[Created_Date]])</f>
        <v>19</v>
      </c>
    </row>
    <row r="5917" spans="1:21" ht="15" customHeight="1" x14ac:dyDescent="0.2">
      <c r="A5917" t="s">
        <v>6223</v>
      </c>
      <c r="B5917" t="s">
        <v>215</v>
      </c>
      <c r="C5917" t="s">
        <v>54</v>
      </c>
      <c r="D5917" s="49">
        <v>45881</v>
      </c>
      <c r="E5917" s="49">
        <v>45882</v>
      </c>
      <c r="F5917" s="49">
        <v>45884</v>
      </c>
      <c r="G5917" s="49">
        <v>45888</v>
      </c>
      <c r="H5917" s="49">
        <v>45890</v>
      </c>
      <c r="I5917" s="49">
        <v>45892</v>
      </c>
      <c r="J5917" t="s">
        <v>47</v>
      </c>
      <c r="K5917" s="33">
        <v>6700</v>
      </c>
      <c r="M5917" t="str">
        <f>_xlfn.XLOOKUP(Pipeline_tbl[[#This Row],[Rep_ID]],Dim_Reps!A:A,Dim_Reps!K:K)</f>
        <v>EUR</v>
      </c>
      <c r="N5917" s="33">
        <f>(_xlfn.XLOOKUP(Pipeline_tbl[[#This Row],[Rate_Code_Generalized]],Lookups!A:A,Lookups!B:B))*Pipeline_tbl[[#This Row],[Pipeline_Amount_USD]]</f>
        <v>6700</v>
      </c>
      <c r="O5917" t="str">
        <f>_xlfn.XLOOKUP(Pipeline_tbl[[#This Row],[Rep_ID]],Dim_Reps!A:A,Dim_Reps!B:B)</f>
        <v>Jamie Schmidt</v>
      </c>
      <c r="P5917" t="str">
        <f>_xlfn.XLOOKUP(Pipeline_tbl[[#This Row],[Rep_ID]],Dim_Reps!A:A,Dim_Reps!C:C)</f>
        <v>SDR / Inside Sales Rep</v>
      </c>
      <c r="Q5917" t="str">
        <f>_xlfn.XLOOKUP(Pipeline_tbl[[#This Row],[Rep_ID]],Dim_Reps!A:A,Dim_Reps!D:D)</f>
        <v>Inside Sales</v>
      </c>
      <c r="R5917" t="str">
        <f>_xlfn.XLOOKUP(Pipeline_tbl[[#This Row],[Rep_ID]],Dim_Reps!A:A,Dim_Reps!E:E)</f>
        <v>APAC</v>
      </c>
      <c r="S5917" t="str">
        <f>_xlfn.XLOOKUP(Pipeline_tbl[[#This Row],[Created_Date]],Dim_Date!A:A,Dim_Date!H:H)</f>
        <v>Aug 2025</v>
      </c>
      <c r="T5917" t="str">
        <f>IF(Pipeline_tbl[[#This Row],[Closed_Date]]=0,"",(_xlfn.XLOOKUP(Pipeline_tbl[[#This Row],[Closed_Date]],Dim_Date!A:A,Dim_Date!H:H)))</f>
        <v>Aug 2025</v>
      </c>
      <c r="U5917">
        <f>IF(Pipeline_tbl[[#This Row],[Closed_Date]]=0,"",Pipeline_tbl[[#This Row],[Closed_Date]]-Pipeline_tbl[[#This Row],[Created_Date]])</f>
        <v>11</v>
      </c>
    </row>
    <row r="5918" spans="1:21" ht="15" customHeight="1" x14ac:dyDescent="0.2">
      <c r="A5918" t="s">
        <v>6224</v>
      </c>
      <c r="B5918" t="s">
        <v>215</v>
      </c>
      <c r="C5918" t="s">
        <v>53</v>
      </c>
      <c r="D5918" s="49">
        <v>45874</v>
      </c>
      <c r="E5918" s="49">
        <v>45876</v>
      </c>
      <c r="I5918" s="49">
        <v>45896</v>
      </c>
      <c r="J5918" t="s">
        <v>49</v>
      </c>
      <c r="K5918" s="33">
        <v>3900</v>
      </c>
      <c r="L5918" t="s">
        <v>63</v>
      </c>
      <c r="M5918" t="str">
        <f>_xlfn.XLOOKUP(Pipeline_tbl[[#This Row],[Rep_ID]],Dim_Reps!A:A,Dim_Reps!K:K)</f>
        <v>EUR</v>
      </c>
      <c r="N5918" s="33">
        <f>(_xlfn.XLOOKUP(Pipeline_tbl[[#This Row],[Rate_Code_Generalized]],Lookups!A:A,Lookups!B:B))*Pipeline_tbl[[#This Row],[Pipeline_Amount_USD]]</f>
        <v>3900</v>
      </c>
      <c r="O5918" t="str">
        <f>_xlfn.XLOOKUP(Pipeline_tbl[[#This Row],[Rep_ID]],Dim_Reps!A:A,Dim_Reps!B:B)</f>
        <v>Jamie Schmidt</v>
      </c>
      <c r="P5918" t="str">
        <f>_xlfn.XLOOKUP(Pipeline_tbl[[#This Row],[Rep_ID]],Dim_Reps!A:A,Dim_Reps!C:C)</f>
        <v>SDR / Inside Sales Rep</v>
      </c>
      <c r="Q5918" t="str">
        <f>_xlfn.XLOOKUP(Pipeline_tbl[[#This Row],[Rep_ID]],Dim_Reps!A:A,Dim_Reps!D:D)</f>
        <v>Inside Sales</v>
      </c>
      <c r="R5918" t="str">
        <f>_xlfn.XLOOKUP(Pipeline_tbl[[#This Row],[Rep_ID]],Dim_Reps!A:A,Dim_Reps!E:E)</f>
        <v>APAC</v>
      </c>
      <c r="S5918" t="str">
        <f>_xlfn.XLOOKUP(Pipeline_tbl[[#This Row],[Created_Date]],Dim_Date!A:A,Dim_Date!H:H)</f>
        <v>Aug 2025</v>
      </c>
      <c r="T5918" t="str">
        <f>IF(Pipeline_tbl[[#This Row],[Closed_Date]]=0,"",(_xlfn.XLOOKUP(Pipeline_tbl[[#This Row],[Closed_Date]],Dim_Date!A:A,Dim_Date!H:H)))</f>
        <v>Aug 2025</v>
      </c>
      <c r="U5918">
        <f>IF(Pipeline_tbl[[#This Row],[Closed_Date]]=0,"",Pipeline_tbl[[#This Row],[Closed_Date]]-Pipeline_tbl[[#This Row],[Created_Date]])</f>
        <v>22</v>
      </c>
    </row>
    <row r="5919" spans="1:21" ht="15" customHeight="1" x14ac:dyDescent="0.2">
      <c r="A5919" t="s">
        <v>6225</v>
      </c>
      <c r="B5919" t="s">
        <v>217</v>
      </c>
      <c r="C5919" t="s">
        <v>53</v>
      </c>
      <c r="D5919" s="49">
        <v>45878</v>
      </c>
      <c r="E5919" s="49">
        <v>45880</v>
      </c>
      <c r="F5919" s="49">
        <v>45884</v>
      </c>
      <c r="G5919" s="49">
        <v>45889</v>
      </c>
      <c r="H5919" s="49">
        <v>45894</v>
      </c>
      <c r="I5919" s="49">
        <v>45897</v>
      </c>
      <c r="J5919" t="s">
        <v>47</v>
      </c>
      <c r="K5919" s="33">
        <v>3400</v>
      </c>
      <c r="M5919" t="str">
        <f>_xlfn.XLOOKUP(Pipeline_tbl[[#This Row],[Rep_ID]],Dim_Reps!A:A,Dim_Reps!K:K)</f>
        <v>USD</v>
      </c>
      <c r="N5919" s="33">
        <f>(_xlfn.XLOOKUP(Pipeline_tbl[[#This Row],[Rate_Code_Generalized]],Lookups!A:A,Lookups!B:B))*Pipeline_tbl[[#This Row],[Pipeline_Amount_USD]]</f>
        <v>3958.6199999999994</v>
      </c>
      <c r="O5919" t="str">
        <f>_xlfn.XLOOKUP(Pipeline_tbl[[#This Row],[Rep_ID]],Dim_Reps!A:A,Dim_Reps!B:B)</f>
        <v>Priya Weber</v>
      </c>
      <c r="P5919" t="str">
        <f>_xlfn.XLOOKUP(Pipeline_tbl[[#This Row],[Rep_ID]],Dim_Reps!A:A,Dim_Reps!C:C)</f>
        <v>SDR / Inside Sales Rep</v>
      </c>
      <c r="Q5919" t="str">
        <f>_xlfn.XLOOKUP(Pipeline_tbl[[#This Row],[Rep_ID]],Dim_Reps!A:A,Dim_Reps!D:D)</f>
        <v>Inside Sales</v>
      </c>
      <c r="R5919" t="str">
        <f>_xlfn.XLOOKUP(Pipeline_tbl[[#This Row],[Rep_ID]],Dim_Reps!A:A,Dim_Reps!E:E)</f>
        <v>NAMER</v>
      </c>
      <c r="S5919" t="str">
        <f>_xlfn.XLOOKUP(Pipeline_tbl[[#This Row],[Created_Date]],Dim_Date!A:A,Dim_Date!H:H)</f>
        <v>Aug 2025</v>
      </c>
      <c r="T5919" t="str">
        <f>IF(Pipeline_tbl[[#This Row],[Closed_Date]]=0,"",(_xlfn.XLOOKUP(Pipeline_tbl[[#This Row],[Closed_Date]],Dim_Date!A:A,Dim_Date!H:H)))</f>
        <v>Aug 2025</v>
      </c>
      <c r="U5919">
        <f>IF(Pipeline_tbl[[#This Row],[Closed_Date]]=0,"",Pipeline_tbl[[#This Row],[Closed_Date]]-Pipeline_tbl[[#This Row],[Created_Date]])</f>
        <v>19</v>
      </c>
    </row>
    <row r="5920" spans="1:21" ht="15" customHeight="1" x14ac:dyDescent="0.2">
      <c r="A5920" t="s">
        <v>6226</v>
      </c>
      <c r="B5920" t="s">
        <v>217</v>
      </c>
      <c r="C5920" t="s">
        <v>52</v>
      </c>
      <c r="D5920" s="49">
        <v>45876</v>
      </c>
      <c r="E5920" s="49">
        <v>45878</v>
      </c>
      <c r="F5920" s="49">
        <v>45882</v>
      </c>
      <c r="I5920" s="49">
        <v>45895</v>
      </c>
      <c r="J5920" t="s">
        <v>49</v>
      </c>
      <c r="K5920" s="33">
        <v>1600</v>
      </c>
      <c r="L5920" t="s">
        <v>61</v>
      </c>
      <c r="M5920" t="str">
        <f>_xlfn.XLOOKUP(Pipeline_tbl[[#This Row],[Rep_ID]],Dim_Reps!A:A,Dim_Reps!K:K)</f>
        <v>USD</v>
      </c>
      <c r="N5920" s="33">
        <f>(_xlfn.XLOOKUP(Pipeline_tbl[[#This Row],[Rate_Code_Generalized]],Lookups!A:A,Lookups!B:B))*Pipeline_tbl[[#This Row],[Pipeline_Amount_USD]]</f>
        <v>1862.8799999999999</v>
      </c>
      <c r="O5920" t="str">
        <f>_xlfn.XLOOKUP(Pipeline_tbl[[#This Row],[Rep_ID]],Dim_Reps!A:A,Dim_Reps!B:B)</f>
        <v>Priya Weber</v>
      </c>
      <c r="P5920" t="str">
        <f>_xlfn.XLOOKUP(Pipeline_tbl[[#This Row],[Rep_ID]],Dim_Reps!A:A,Dim_Reps!C:C)</f>
        <v>SDR / Inside Sales Rep</v>
      </c>
      <c r="Q5920" t="str">
        <f>_xlfn.XLOOKUP(Pipeline_tbl[[#This Row],[Rep_ID]],Dim_Reps!A:A,Dim_Reps!D:D)</f>
        <v>Inside Sales</v>
      </c>
      <c r="R5920" t="str">
        <f>_xlfn.XLOOKUP(Pipeline_tbl[[#This Row],[Rep_ID]],Dim_Reps!A:A,Dim_Reps!E:E)</f>
        <v>NAMER</v>
      </c>
      <c r="S5920" t="str">
        <f>_xlfn.XLOOKUP(Pipeline_tbl[[#This Row],[Created_Date]],Dim_Date!A:A,Dim_Date!H:H)</f>
        <v>Aug 2025</v>
      </c>
      <c r="T5920" t="str">
        <f>IF(Pipeline_tbl[[#This Row],[Closed_Date]]=0,"",(_xlfn.XLOOKUP(Pipeline_tbl[[#This Row],[Closed_Date]],Dim_Date!A:A,Dim_Date!H:H)))</f>
        <v>Aug 2025</v>
      </c>
      <c r="U5920">
        <f>IF(Pipeline_tbl[[#This Row],[Closed_Date]]=0,"",Pipeline_tbl[[#This Row],[Closed_Date]]-Pipeline_tbl[[#This Row],[Created_Date]])</f>
        <v>19</v>
      </c>
    </row>
    <row r="5921" spans="1:21" ht="15" customHeight="1" x14ac:dyDescent="0.2">
      <c r="A5921" t="s">
        <v>6227</v>
      </c>
      <c r="B5921" t="s">
        <v>217</v>
      </c>
      <c r="C5921" t="s">
        <v>53</v>
      </c>
      <c r="D5921" s="49">
        <v>45877</v>
      </c>
      <c r="E5921" s="49">
        <v>45877</v>
      </c>
      <c r="F5921" s="49">
        <v>45879</v>
      </c>
      <c r="G5921" s="49">
        <v>45880</v>
      </c>
      <c r="H5921" s="49">
        <v>45881</v>
      </c>
      <c r="I5921" s="49">
        <v>45882</v>
      </c>
      <c r="J5921" t="s">
        <v>49</v>
      </c>
      <c r="K5921" s="33">
        <v>3500</v>
      </c>
      <c r="L5921" t="s">
        <v>62</v>
      </c>
      <c r="M5921" t="str">
        <f>_xlfn.XLOOKUP(Pipeline_tbl[[#This Row],[Rep_ID]],Dim_Reps!A:A,Dim_Reps!K:K)</f>
        <v>USD</v>
      </c>
      <c r="N5921" s="33">
        <f>(_xlfn.XLOOKUP(Pipeline_tbl[[#This Row],[Rate_Code_Generalized]],Lookups!A:A,Lookups!B:B))*Pipeline_tbl[[#This Row],[Pipeline_Amount_USD]]</f>
        <v>4075.0499999999997</v>
      </c>
      <c r="O5921" t="str">
        <f>_xlfn.XLOOKUP(Pipeline_tbl[[#This Row],[Rep_ID]],Dim_Reps!A:A,Dim_Reps!B:B)</f>
        <v>Priya Weber</v>
      </c>
      <c r="P5921" t="str">
        <f>_xlfn.XLOOKUP(Pipeline_tbl[[#This Row],[Rep_ID]],Dim_Reps!A:A,Dim_Reps!C:C)</f>
        <v>SDR / Inside Sales Rep</v>
      </c>
      <c r="Q5921" t="str">
        <f>_xlfn.XLOOKUP(Pipeline_tbl[[#This Row],[Rep_ID]],Dim_Reps!A:A,Dim_Reps!D:D)</f>
        <v>Inside Sales</v>
      </c>
      <c r="R5921" t="str">
        <f>_xlfn.XLOOKUP(Pipeline_tbl[[#This Row],[Rep_ID]],Dim_Reps!A:A,Dim_Reps!E:E)</f>
        <v>NAMER</v>
      </c>
      <c r="S5921" t="str">
        <f>_xlfn.XLOOKUP(Pipeline_tbl[[#This Row],[Created_Date]],Dim_Date!A:A,Dim_Date!H:H)</f>
        <v>Aug 2025</v>
      </c>
      <c r="T5921" t="str">
        <f>IF(Pipeline_tbl[[#This Row],[Closed_Date]]=0,"",(_xlfn.XLOOKUP(Pipeline_tbl[[#This Row],[Closed_Date]],Dim_Date!A:A,Dim_Date!H:H)))</f>
        <v>Aug 2025</v>
      </c>
      <c r="U5921">
        <f>IF(Pipeline_tbl[[#This Row],[Closed_Date]]=0,"",Pipeline_tbl[[#This Row],[Closed_Date]]-Pipeline_tbl[[#This Row],[Created_Date]])</f>
        <v>5</v>
      </c>
    </row>
    <row r="5922" spans="1:21" ht="15" customHeight="1" x14ac:dyDescent="0.2">
      <c r="A5922" t="s">
        <v>6228</v>
      </c>
      <c r="B5922" t="s">
        <v>221</v>
      </c>
      <c r="C5922" t="s">
        <v>55</v>
      </c>
      <c r="D5922" s="49">
        <v>45880</v>
      </c>
      <c r="E5922" s="49">
        <v>45882</v>
      </c>
      <c r="F5922" s="49">
        <v>45886</v>
      </c>
      <c r="G5922" s="49">
        <v>45892</v>
      </c>
      <c r="H5922" s="49">
        <v>45897</v>
      </c>
      <c r="I5922" s="49">
        <v>45900</v>
      </c>
      <c r="J5922" t="s">
        <v>47</v>
      </c>
      <c r="K5922" s="33">
        <v>6000</v>
      </c>
      <c r="M5922" t="str">
        <f>_xlfn.XLOOKUP(Pipeline_tbl[[#This Row],[Rep_ID]],Dim_Reps!A:A,Dim_Reps!K:K)</f>
        <v>MXN</v>
      </c>
      <c r="N5922" s="33">
        <f>(_xlfn.XLOOKUP(Pipeline_tbl[[#This Row],[Rate_Code_Generalized]],Lookups!A:A,Lookups!B:B))*Pipeline_tbl[[#This Row],[Pipeline_Amount_USD]]</f>
        <v>118396.20000000001</v>
      </c>
      <c r="O5922" t="str">
        <f>_xlfn.XLOOKUP(Pipeline_tbl[[#This Row],[Rep_ID]],Dim_Reps!A:A,Dim_Reps!B:B)</f>
        <v>Casey Muller</v>
      </c>
      <c r="P5922" t="str">
        <f>_xlfn.XLOOKUP(Pipeline_tbl[[#This Row],[Rep_ID]],Dim_Reps!A:A,Dim_Reps!C:C)</f>
        <v>SDR / Inside Sales Rep</v>
      </c>
      <c r="Q5922" t="str">
        <f>_xlfn.XLOOKUP(Pipeline_tbl[[#This Row],[Rep_ID]],Dim_Reps!A:A,Dim_Reps!D:D)</f>
        <v>Inside Sales</v>
      </c>
      <c r="R5922" t="str">
        <f>_xlfn.XLOOKUP(Pipeline_tbl[[#This Row],[Rep_ID]],Dim_Reps!A:A,Dim_Reps!E:E)</f>
        <v>LATAM</v>
      </c>
      <c r="S5922" t="str">
        <f>_xlfn.XLOOKUP(Pipeline_tbl[[#This Row],[Created_Date]],Dim_Date!A:A,Dim_Date!H:H)</f>
        <v>Aug 2025</v>
      </c>
      <c r="T5922" t="str">
        <f>IF(Pipeline_tbl[[#This Row],[Closed_Date]]=0,"",(_xlfn.XLOOKUP(Pipeline_tbl[[#This Row],[Closed_Date]],Dim_Date!A:A,Dim_Date!H:H)))</f>
        <v>Aug 2025</v>
      </c>
      <c r="U5922">
        <f>IF(Pipeline_tbl[[#This Row],[Closed_Date]]=0,"",Pipeline_tbl[[#This Row],[Closed_Date]]-Pipeline_tbl[[#This Row],[Created_Date]])</f>
        <v>20</v>
      </c>
    </row>
    <row r="5923" spans="1:21" ht="15" customHeight="1" x14ac:dyDescent="0.2">
      <c r="A5923" t="s">
        <v>6229</v>
      </c>
      <c r="B5923" t="s">
        <v>221</v>
      </c>
      <c r="C5923" t="s">
        <v>52</v>
      </c>
      <c r="D5923" s="49">
        <v>45877</v>
      </c>
      <c r="E5923" s="49">
        <v>45878</v>
      </c>
      <c r="F5923" s="49">
        <v>45881</v>
      </c>
      <c r="G5923" s="49">
        <v>45885</v>
      </c>
      <c r="H5923" s="49">
        <v>45889</v>
      </c>
      <c r="I5923" s="49">
        <v>45891</v>
      </c>
      <c r="J5923" t="s">
        <v>47</v>
      </c>
      <c r="K5923" s="33">
        <v>8000</v>
      </c>
      <c r="M5923" t="str">
        <f>_xlfn.XLOOKUP(Pipeline_tbl[[#This Row],[Rep_ID]],Dim_Reps!A:A,Dim_Reps!K:K)</f>
        <v>MXN</v>
      </c>
      <c r="N5923" s="33">
        <f>(_xlfn.XLOOKUP(Pipeline_tbl[[#This Row],[Rate_Code_Generalized]],Lookups!A:A,Lookups!B:B))*Pipeline_tbl[[#This Row],[Pipeline_Amount_USD]]</f>
        <v>157861.6</v>
      </c>
      <c r="O5923" t="str">
        <f>_xlfn.XLOOKUP(Pipeline_tbl[[#This Row],[Rep_ID]],Dim_Reps!A:A,Dim_Reps!B:B)</f>
        <v>Casey Muller</v>
      </c>
      <c r="P5923" t="str">
        <f>_xlfn.XLOOKUP(Pipeline_tbl[[#This Row],[Rep_ID]],Dim_Reps!A:A,Dim_Reps!C:C)</f>
        <v>SDR / Inside Sales Rep</v>
      </c>
      <c r="Q5923" t="str">
        <f>_xlfn.XLOOKUP(Pipeline_tbl[[#This Row],[Rep_ID]],Dim_Reps!A:A,Dim_Reps!D:D)</f>
        <v>Inside Sales</v>
      </c>
      <c r="R5923" t="str">
        <f>_xlfn.XLOOKUP(Pipeline_tbl[[#This Row],[Rep_ID]],Dim_Reps!A:A,Dim_Reps!E:E)</f>
        <v>LATAM</v>
      </c>
      <c r="S5923" t="str">
        <f>_xlfn.XLOOKUP(Pipeline_tbl[[#This Row],[Created_Date]],Dim_Date!A:A,Dim_Date!H:H)</f>
        <v>Aug 2025</v>
      </c>
      <c r="T5923" t="str">
        <f>IF(Pipeline_tbl[[#This Row],[Closed_Date]]=0,"",(_xlfn.XLOOKUP(Pipeline_tbl[[#This Row],[Closed_Date]],Dim_Date!A:A,Dim_Date!H:H)))</f>
        <v>Aug 2025</v>
      </c>
      <c r="U5923">
        <f>IF(Pipeline_tbl[[#This Row],[Closed_Date]]=0,"",Pipeline_tbl[[#This Row],[Closed_Date]]-Pipeline_tbl[[#This Row],[Created_Date]])</f>
        <v>14</v>
      </c>
    </row>
    <row r="5924" spans="1:21" ht="15" customHeight="1" x14ac:dyDescent="0.2">
      <c r="A5924" t="s">
        <v>6230</v>
      </c>
      <c r="B5924" t="s">
        <v>221</v>
      </c>
      <c r="C5924" t="s">
        <v>54</v>
      </c>
      <c r="D5924" s="49">
        <v>45879</v>
      </c>
      <c r="E5924" s="49">
        <v>45881</v>
      </c>
      <c r="F5924" s="49">
        <v>45884</v>
      </c>
      <c r="G5924" s="49">
        <v>45888</v>
      </c>
      <c r="H5924" s="49">
        <v>45892</v>
      </c>
      <c r="I5924" s="49">
        <v>45894</v>
      </c>
      <c r="J5924" t="s">
        <v>47</v>
      </c>
      <c r="K5924" s="33">
        <v>6200</v>
      </c>
      <c r="M5924" t="str">
        <f>_xlfn.XLOOKUP(Pipeline_tbl[[#This Row],[Rep_ID]],Dim_Reps!A:A,Dim_Reps!K:K)</f>
        <v>MXN</v>
      </c>
      <c r="N5924" s="33">
        <f>(_xlfn.XLOOKUP(Pipeline_tbl[[#This Row],[Rate_Code_Generalized]],Lookups!A:A,Lookups!B:B))*Pipeline_tbl[[#This Row],[Pipeline_Amount_USD]]</f>
        <v>122342.74</v>
      </c>
      <c r="O5924" t="str">
        <f>_xlfn.XLOOKUP(Pipeline_tbl[[#This Row],[Rep_ID]],Dim_Reps!A:A,Dim_Reps!B:B)</f>
        <v>Casey Muller</v>
      </c>
      <c r="P5924" t="str">
        <f>_xlfn.XLOOKUP(Pipeline_tbl[[#This Row],[Rep_ID]],Dim_Reps!A:A,Dim_Reps!C:C)</f>
        <v>SDR / Inside Sales Rep</v>
      </c>
      <c r="Q5924" t="str">
        <f>_xlfn.XLOOKUP(Pipeline_tbl[[#This Row],[Rep_ID]],Dim_Reps!A:A,Dim_Reps!D:D)</f>
        <v>Inside Sales</v>
      </c>
      <c r="R5924" t="str">
        <f>_xlfn.XLOOKUP(Pipeline_tbl[[#This Row],[Rep_ID]],Dim_Reps!A:A,Dim_Reps!E:E)</f>
        <v>LATAM</v>
      </c>
      <c r="S5924" t="str">
        <f>_xlfn.XLOOKUP(Pipeline_tbl[[#This Row],[Created_Date]],Dim_Date!A:A,Dim_Date!H:H)</f>
        <v>Aug 2025</v>
      </c>
      <c r="T5924" t="str">
        <f>IF(Pipeline_tbl[[#This Row],[Closed_Date]]=0,"",(_xlfn.XLOOKUP(Pipeline_tbl[[#This Row],[Closed_Date]],Dim_Date!A:A,Dim_Date!H:H)))</f>
        <v>Aug 2025</v>
      </c>
      <c r="U5924">
        <f>IF(Pipeline_tbl[[#This Row],[Closed_Date]]=0,"",Pipeline_tbl[[#This Row],[Closed_Date]]-Pipeline_tbl[[#This Row],[Created_Date]])</f>
        <v>15</v>
      </c>
    </row>
    <row r="5925" spans="1:21" ht="15" customHeight="1" x14ac:dyDescent="0.2">
      <c r="A5925" t="s">
        <v>6231</v>
      </c>
      <c r="B5925" t="s">
        <v>221</v>
      </c>
      <c r="C5925" t="s">
        <v>54</v>
      </c>
      <c r="D5925" s="49">
        <v>45874</v>
      </c>
      <c r="E5925" s="49">
        <v>45876</v>
      </c>
      <c r="F5925" s="49">
        <v>45879</v>
      </c>
      <c r="G5925" s="49">
        <v>45883</v>
      </c>
      <c r="H5925" s="49">
        <v>45887</v>
      </c>
      <c r="I5925" s="49">
        <v>45889</v>
      </c>
      <c r="J5925" t="s">
        <v>49</v>
      </c>
      <c r="K5925" s="33">
        <v>4800</v>
      </c>
      <c r="L5925" t="s">
        <v>61</v>
      </c>
      <c r="M5925" t="str">
        <f>_xlfn.XLOOKUP(Pipeline_tbl[[#This Row],[Rep_ID]],Dim_Reps!A:A,Dim_Reps!K:K)</f>
        <v>MXN</v>
      </c>
      <c r="N5925" s="33">
        <f>(_xlfn.XLOOKUP(Pipeline_tbl[[#This Row],[Rate_Code_Generalized]],Lookups!A:A,Lookups!B:B))*Pipeline_tbl[[#This Row],[Pipeline_Amount_USD]]</f>
        <v>94716.96</v>
      </c>
      <c r="O5925" t="str">
        <f>_xlfn.XLOOKUP(Pipeline_tbl[[#This Row],[Rep_ID]],Dim_Reps!A:A,Dim_Reps!B:B)</f>
        <v>Casey Muller</v>
      </c>
      <c r="P5925" t="str">
        <f>_xlfn.XLOOKUP(Pipeline_tbl[[#This Row],[Rep_ID]],Dim_Reps!A:A,Dim_Reps!C:C)</f>
        <v>SDR / Inside Sales Rep</v>
      </c>
      <c r="Q5925" t="str">
        <f>_xlfn.XLOOKUP(Pipeline_tbl[[#This Row],[Rep_ID]],Dim_Reps!A:A,Dim_Reps!D:D)</f>
        <v>Inside Sales</v>
      </c>
      <c r="R5925" t="str">
        <f>_xlfn.XLOOKUP(Pipeline_tbl[[#This Row],[Rep_ID]],Dim_Reps!A:A,Dim_Reps!E:E)</f>
        <v>LATAM</v>
      </c>
      <c r="S5925" t="str">
        <f>_xlfn.XLOOKUP(Pipeline_tbl[[#This Row],[Created_Date]],Dim_Date!A:A,Dim_Date!H:H)</f>
        <v>Aug 2025</v>
      </c>
      <c r="T5925" t="str">
        <f>IF(Pipeline_tbl[[#This Row],[Closed_Date]]=0,"",(_xlfn.XLOOKUP(Pipeline_tbl[[#This Row],[Closed_Date]],Dim_Date!A:A,Dim_Date!H:H)))</f>
        <v>Aug 2025</v>
      </c>
      <c r="U5925">
        <f>IF(Pipeline_tbl[[#This Row],[Closed_Date]]=0,"",Pipeline_tbl[[#This Row],[Closed_Date]]-Pipeline_tbl[[#This Row],[Created_Date]])</f>
        <v>15</v>
      </c>
    </row>
    <row r="5926" spans="1:21" ht="15" customHeight="1" x14ac:dyDescent="0.2">
      <c r="A5926" t="s">
        <v>6232</v>
      </c>
      <c r="B5926" t="s">
        <v>221</v>
      </c>
      <c r="C5926" t="s">
        <v>55</v>
      </c>
      <c r="D5926" s="49">
        <v>45891</v>
      </c>
      <c r="E5926" s="49">
        <v>45892</v>
      </c>
      <c r="F5926" s="49">
        <v>45893</v>
      </c>
      <c r="G5926" s="49">
        <v>45896</v>
      </c>
      <c r="H5926" s="49">
        <v>45898</v>
      </c>
      <c r="I5926" s="49">
        <v>45899</v>
      </c>
      <c r="J5926" t="s">
        <v>47</v>
      </c>
      <c r="K5926" s="33">
        <v>2400</v>
      </c>
      <c r="M5926" t="str">
        <f>_xlfn.XLOOKUP(Pipeline_tbl[[#This Row],[Rep_ID]],Dim_Reps!A:A,Dim_Reps!K:K)</f>
        <v>MXN</v>
      </c>
      <c r="N5926" s="33">
        <f>(_xlfn.XLOOKUP(Pipeline_tbl[[#This Row],[Rate_Code_Generalized]],Lookups!A:A,Lookups!B:B))*Pipeline_tbl[[#This Row],[Pipeline_Amount_USD]]</f>
        <v>47358.48</v>
      </c>
      <c r="O5926" t="str">
        <f>_xlfn.XLOOKUP(Pipeline_tbl[[#This Row],[Rep_ID]],Dim_Reps!A:A,Dim_Reps!B:B)</f>
        <v>Casey Muller</v>
      </c>
      <c r="P5926" t="str">
        <f>_xlfn.XLOOKUP(Pipeline_tbl[[#This Row],[Rep_ID]],Dim_Reps!A:A,Dim_Reps!C:C)</f>
        <v>SDR / Inside Sales Rep</v>
      </c>
      <c r="Q5926" t="str">
        <f>_xlfn.XLOOKUP(Pipeline_tbl[[#This Row],[Rep_ID]],Dim_Reps!A:A,Dim_Reps!D:D)</f>
        <v>Inside Sales</v>
      </c>
      <c r="R5926" t="str">
        <f>_xlfn.XLOOKUP(Pipeline_tbl[[#This Row],[Rep_ID]],Dim_Reps!A:A,Dim_Reps!E:E)</f>
        <v>LATAM</v>
      </c>
      <c r="S5926" t="str">
        <f>_xlfn.XLOOKUP(Pipeline_tbl[[#This Row],[Created_Date]],Dim_Date!A:A,Dim_Date!H:H)</f>
        <v>Aug 2025</v>
      </c>
      <c r="T5926" t="str">
        <f>IF(Pipeline_tbl[[#This Row],[Closed_Date]]=0,"",(_xlfn.XLOOKUP(Pipeline_tbl[[#This Row],[Closed_Date]],Dim_Date!A:A,Dim_Date!H:H)))</f>
        <v>Aug 2025</v>
      </c>
      <c r="U5926">
        <f>IF(Pipeline_tbl[[#This Row],[Closed_Date]]=0,"",Pipeline_tbl[[#This Row],[Closed_Date]]-Pipeline_tbl[[#This Row],[Created_Date]])</f>
        <v>8</v>
      </c>
    </row>
    <row r="5927" spans="1:21" ht="15" customHeight="1" x14ac:dyDescent="0.2">
      <c r="A5927" t="s">
        <v>6233</v>
      </c>
      <c r="B5927" t="s">
        <v>221</v>
      </c>
      <c r="C5927" t="s">
        <v>52</v>
      </c>
      <c r="D5927" s="49">
        <v>45877</v>
      </c>
      <c r="E5927" s="49">
        <v>45878</v>
      </c>
      <c r="F5927" s="49">
        <v>45879</v>
      </c>
      <c r="G5927" s="49">
        <v>45882</v>
      </c>
      <c r="H5927" s="49">
        <v>45884</v>
      </c>
      <c r="I5927" s="49">
        <v>45885</v>
      </c>
      <c r="J5927" t="s">
        <v>47</v>
      </c>
      <c r="K5927" s="33">
        <v>2800</v>
      </c>
      <c r="M5927" t="str">
        <f>_xlfn.XLOOKUP(Pipeline_tbl[[#This Row],[Rep_ID]],Dim_Reps!A:A,Dim_Reps!K:K)</f>
        <v>MXN</v>
      </c>
      <c r="N5927" s="33">
        <f>(_xlfn.XLOOKUP(Pipeline_tbl[[#This Row],[Rate_Code_Generalized]],Lookups!A:A,Lookups!B:B))*Pipeline_tbl[[#This Row],[Pipeline_Amount_USD]]</f>
        <v>55251.560000000005</v>
      </c>
      <c r="O5927" t="str">
        <f>_xlfn.XLOOKUP(Pipeline_tbl[[#This Row],[Rep_ID]],Dim_Reps!A:A,Dim_Reps!B:B)</f>
        <v>Casey Muller</v>
      </c>
      <c r="P5927" t="str">
        <f>_xlfn.XLOOKUP(Pipeline_tbl[[#This Row],[Rep_ID]],Dim_Reps!A:A,Dim_Reps!C:C)</f>
        <v>SDR / Inside Sales Rep</v>
      </c>
      <c r="Q5927" t="str">
        <f>_xlfn.XLOOKUP(Pipeline_tbl[[#This Row],[Rep_ID]],Dim_Reps!A:A,Dim_Reps!D:D)</f>
        <v>Inside Sales</v>
      </c>
      <c r="R5927" t="str">
        <f>_xlfn.XLOOKUP(Pipeline_tbl[[#This Row],[Rep_ID]],Dim_Reps!A:A,Dim_Reps!E:E)</f>
        <v>LATAM</v>
      </c>
      <c r="S5927" t="str">
        <f>_xlfn.XLOOKUP(Pipeline_tbl[[#This Row],[Created_Date]],Dim_Date!A:A,Dim_Date!H:H)</f>
        <v>Aug 2025</v>
      </c>
      <c r="T5927" t="str">
        <f>IF(Pipeline_tbl[[#This Row],[Closed_Date]]=0,"",(_xlfn.XLOOKUP(Pipeline_tbl[[#This Row],[Closed_Date]],Dim_Date!A:A,Dim_Date!H:H)))</f>
        <v>Aug 2025</v>
      </c>
      <c r="U5927">
        <f>IF(Pipeline_tbl[[#This Row],[Closed_Date]]=0,"",Pipeline_tbl[[#This Row],[Closed_Date]]-Pipeline_tbl[[#This Row],[Created_Date]])</f>
        <v>8</v>
      </c>
    </row>
    <row r="5928" spans="1:21" ht="15" customHeight="1" x14ac:dyDescent="0.2">
      <c r="A5928" t="s">
        <v>6234</v>
      </c>
      <c r="B5928" t="s">
        <v>221</v>
      </c>
      <c r="C5928" t="s">
        <v>52</v>
      </c>
      <c r="D5928" s="49">
        <v>45878</v>
      </c>
      <c r="E5928" s="49">
        <v>45879</v>
      </c>
      <c r="F5928" s="49">
        <v>45882</v>
      </c>
      <c r="G5928" s="49">
        <v>45886</v>
      </c>
      <c r="H5928" s="49">
        <v>45890</v>
      </c>
      <c r="I5928" s="49">
        <v>45892</v>
      </c>
      <c r="J5928" t="s">
        <v>47</v>
      </c>
      <c r="K5928" s="33">
        <v>6800</v>
      </c>
      <c r="M5928" t="str">
        <f>_xlfn.XLOOKUP(Pipeline_tbl[[#This Row],[Rep_ID]],Dim_Reps!A:A,Dim_Reps!K:K)</f>
        <v>MXN</v>
      </c>
      <c r="N5928" s="33">
        <f>(_xlfn.XLOOKUP(Pipeline_tbl[[#This Row],[Rate_Code_Generalized]],Lookups!A:A,Lookups!B:B))*Pipeline_tbl[[#This Row],[Pipeline_Amount_USD]]</f>
        <v>134182.36000000002</v>
      </c>
      <c r="O5928" t="str">
        <f>_xlfn.XLOOKUP(Pipeline_tbl[[#This Row],[Rep_ID]],Dim_Reps!A:A,Dim_Reps!B:B)</f>
        <v>Casey Muller</v>
      </c>
      <c r="P5928" t="str">
        <f>_xlfn.XLOOKUP(Pipeline_tbl[[#This Row],[Rep_ID]],Dim_Reps!A:A,Dim_Reps!C:C)</f>
        <v>SDR / Inside Sales Rep</v>
      </c>
      <c r="Q5928" t="str">
        <f>_xlfn.XLOOKUP(Pipeline_tbl[[#This Row],[Rep_ID]],Dim_Reps!A:A,Dim_Reps!D:D)</f>
        <v>Inside Sales</v>
      </c>
      <c r="R5928" t="str">
        <f>_xlfn.XLOOKUP(Pipeline_tbl[[#This Row],[Rep_ID]],Dim_Reps!A:A,Dim_Reps!E:E)</f>
        <v>LATAM</v>
      </c>
      <c r="S5928" t="str">
        <f>_xlfn.XLOOKUP(Pipeline_tbl[[#This Row],[Created_Date]],Dim_Date!A:A,Dim_Date!H:H)</f>
        <v>Aug 2025</v>
      </c>
      <c r="T5928" t="str">
        <f>IF(Pipeline_tbl[[#This Row],[Closed_Date]]=0,"",(_xlfn.XLOOKUP(Pipeline_tbl[[#This Row],[Closed_Date]],Dim_Date!A:A,Dim_Date!H:H)))</f>
        <v>Aug 2025</v>
      </c>
      <c r="U5928">
        <f>IF(Pipeline_tbl[[#This Row],[Closed_Date]]=0,"",Pipeline_tbl[[#This Row],[Closed_Date]]-Pipeline_tbl[[#This Row],[Created_Date]])</f>
        <v>14</v>
      </c>
    </row>
    <row r="5929" spans="1:21" ht="15" customHeight="1" x14ac:dyDescent="0.2">
      <c r="A5929" t="s">
        <v>6235</v>
      </c>
      <c r="B5929" t="s">
        <v>257</v>
      </c>
      <c r="C5929" t="s">
        <v>52</v>
      </c>
      <c r="D5929" s="49">
        <v>45874</v>
      </c>
      <c r="E5929" s="49">
        <v>45876</v>
      </c>
      <c r="F5929" s="49">
        <v>45881</v>
      </c>
      <c r="I5929" s="49">
        <v>45898</v>
      </c>
      <c r="J5929" t="s">
        <v>49</v>
      </c>
      <c r="K5929" s="33">
        <v>14100</v>
      </c>
      <c r="L5929" t="s">
        <v>60</v>
      </c>
      <c r="M5929" t="str">
        <f>_xlfn.XLOOKUP(Pipeline_tbl[[#This Row],[Rep_ID]],Dim_Reps!A:A,Dim_Reps!K:K)</f>
        <v>EUR</v>
      </c>
      <c r="N5929" s="33">
        <f>(_xlfn.XLOOKUP(Pipeline_tbl[[#This Row],[Rate_Code_Generalized]],Lookups!A:A,Lookups!B:B))*Pipeline_tbl[[#This Row],[Pipeline_Amount_USD]]</f>
        <v>14100</v>
      </c>
      <c r="O5929" t="str">
        <f>_xlfn.XLOOKUP(Pipeline_tbl[[#This Row],[Rep_ID]],Dim_Reps!A:A,Dim_Reps!B:B)</f>
        <v>Ana Kim</v>
      </c>
      <c r="P5929" t="str">
        <f>_xlfn.XLOOKUP(Pipeline_tbl[[#This Row],[Rep_ID]],Dim_Reps!A:A,Dim_Reps!C:C)</f>
        <v>Mid-Market AE</v>
      </c>
      <c r="Q5929" t="str">
        <f>_xlfn.XLOOKUP(Pipeline_tbl[[#This Row],[Rep_ID]],Dim_Reps!A:A,Dim_Reps!D:D)</f>
        <v>Mid-Market</v>
      </c>
      <c r="R5929" t="str">
        <f>_xlfn.XLOOKUP(Pipeline_tbl[[#This Row],[Rep_ID]],Dim_Reps!A:A,Dim_Reps!E:E)</f>
        <v>APAC</v>
      </c>
      <c r="S5929" t="str">
        <f>_xlfn.XLOOKUP(Pipeline_tbl[[#This Row],[Created_Date]],Dim_Date!A:A,Dim_Date!H:H)</f>
        <v>Aug 2025</v>
      </c>
      <c r="T5929" t="str">
        <f>IF(Pipeline_tbl[[#This Row],[Closed_Date]]=0,"",(_xlfn.XLOOKUP(Pipeline_tbl[[#This Row],[Closed_Date]],Dim_Date!A:A,Dim_Date!H:H)))</f>
        <v>Aug 2025</v>
      </c>
      <c r="U5929">
        <f>IF(Pipeline_tbl[[#This Row],[Closed_Date]]=0,"",Pipeline_tbl[[#This Row],[Closed_Date]]-Pipeline_tbl[[#This Row],[Created_Date]])</f>
        <v>24</v>
      </c>
    </row>
    <row r="5930" spans="1:21" ht="15" customHeight="1" x14ac:dyDescent="0.2">
      <c r="A5930" t="s">
        <v>6236</v>
      </c>
      <c r="B5930" t="s">
        <v>257</v>
      </c>
      <c r="C5930" t="s">
        <v>52</v>
      </c>
      <c r="D5930" s="49">
        <v>45877</v>
      </c>
      <c r="E5930" s="49">
        <v>45879</v>
      </c>
      <c r="F5930" s="49">
        <v>45884</v>
      </c>
      <c r="G5930" s="49">
        <v>45890</v>
      </c>
      <c r="H5930" s="49">
        <v>45896</v>
      </c>
      <c r="I5930" s="49">
        <v>45899</v>
      </c>
      <c r="J5930" t="s">
        <v>49</v>
      </c>
      <c r="K5930" s="33">
        <v>29800</v>
      </c>
      <c r="L5930" t="s">
        <v>62</v>
      </c>
      <c r="M5930" t="str">
        <f>_xlfn.XLOOKUP(Pipeline_tbl[[#This Row],[Rep_ID]],Dim_Reps!A:A,Dim_Reps!K:K)</f>
        <v>EUR</v>
      </c>
      <c r="N5930" s="33">
        <f>(_xlfn.XLOOKUP(Pipeline_tbl[[#This Row],[Rate_Code_Generalized]],Lookups!A:A,Lookups!B:B))*Pipeline_tbl[[#This Row],[Pipeline_Amount_USD]]</f>
        <v>29800</v>
      </c>
      <c r="O5930" t="str">
        <f>_xlfn.XLOOKUP(Pipeline_tbl[[#This Row],[Rep_ID]],Dim_Reps!A:A,Dim_Reps!B:B)</f>
        <v>Ana Kim</v>
      </c>
      <c r="P5930" t="str">
        <f>_xlfn.XLOOKUP(Pipeline_tbl[[#This Row],[Rep_ID]],Dim_Reps!A:A,Dim_Reps!C:C)</f>
        <v>Mid-Market AE</v>
      </c>
      <c r="Q5930" t="str">
        <f>_xlfn.XLOOKUP(Pipeline_tbl[[#This Row],[Rep_ID]],Dim_Reps!A:A,Dim_Reps!D:D)</f>
        <v>Mid-Market</v>
      </c>
      <c r="R5930" t="str">
        <f>_xlfn.XLOOKUP(Pipeline_tbl[[#This Row],[Rep_ID]],Dim_Reps!A:A,Dim_Reps!E:E)</f>
        <v>APAC</v>
      </c>
      <c r="S5930" t="str">
        <f>_xlfn.XLOOKUP(Pipeline_tbl[[#This Row],[Created_Date]],Dim_Date!A:A,Dim_Date!H:H)</f>
        <v>Aug 2025</v>
      </c>
      <c r="T5930" t="str">
        <f>IF(Pipeline_tbl[[#This Row],[Closed_Date]]=0,"",(_xlfn.XLOOKUP(Pipeline_tbl[[#This Row],[Closed_Date]],Dim_Date!A:A,Dim_Date!H:H)))</f>
        <v>Aug 2025</v>
      </c>
      <c r="U5930">
        <f>IF(Pipeline_tbl[[#This Row],[Closed_Date]]=0,"",Pipeline_tbl[[#This Row],[Closed_Date]]-Pipeline_tbl[[#This Row],[Created_Date]])</f>
        <v>22</v>
      </c>
    </row>
    <row r="5931" spans="1:21" ht="15" customHeight="1" x14ac:dyDescent="0.2">
      <c r="A5931" t="s">
        <v>6237</v>
      </c>
      <c r="B5931" t="s">
        <v>259</v>
      </c>
      <c r="C5931" t="s">
        <v>52</v>
      </c>
      <c r="D5931" s="49">
        <v>45871</v>
      </c>
      <c r="E5931" s="49">
        <v>45873</v>
      </c>
      <c r="F5931" s="49">
        <v>45876</v>
      </c>
      <c r="G5931" s="49">
        <v>45882</v>
      </c>
      <c r="H5931" s="49">
        <v>45886</v>
      </c>
      <c r="I5931" s="49">
        <v>45889</v>
      </c>
      <c r="J5931" t="s">
        <v>49</v>
      </c>
      <c r="K5931" s="33">
        <v>23500</v>
      </c>
      <c r="L5931" t="s">
        <v>61</v>
      </c>
      <c r="M5931" t="str">
        <f>_xlfn.XLOOKUP(Pipeline_tbl[[#This Row],[Rep_ID]],Dim_Reps!A:A,Dim_Reps!K:K)</f>
        <v>EUR</v>
      </c>
      <c r="N5931" s="33">
        <f>(_xlfn.XLOOKUP(Pipeline_tbl[[#This Row],[Rate_Code_Generalized]],Lookups!A:A,Lookups!B:B))*Pipeline_tbl[[#This Row],[Pipeline_Amount_USD]]</f>
        <v>23500</v>
      </c>
      <c r="O5931" t="str">
        <f>_xlfn.XLOOKUP(Pipeline_tbl[[#This Row],[Rep_ID]],Dim_Reps!A:A,Dim_Reps!B:B)</f>
        <v>Felix Okafor</v>
      </c>
      <c r="P5931" t="str">
        <f>_xlfn.XLOOKUP(Pipeline_tbl[[#This Row],[Rep_ID]],Dim_Reps!A:A,Dim_Reps!C:C)</f>
        <v>Mid-Market AE</v>
      </c>
      <c r="Q5931" t="str">
        <f>_xlfn.XLOOKUP(Pipeline_tbl[[#This Row],[Rep_ID]],Dim_Reps!A:A,Dim_Reps!D:D)</f>
        <v>Mid-Market</v>
      </c>
      <c r="R5931" t="str">
        <f>_xlfn.XLOOKUP(Pipeline_tbl[[#This Row],[Rep_ID]],Dim_Reps!A:A,Dim_Reps!E:E)</f>
        <v>EMEA</v>
      </c>
      <c r="S5931" t="str">
        <f>_xlfn.XLOOKUP(Pipeline_tbl[[#This Row],[Created_Date]],Dim_Date!A:A,Dim_Date!H:H)</f>
        <v>Aug 2025</v>
      </c>
      <c r="T5931" t="str">
        <f>IF(Pipeline_tbl[[#This Row],[Closed_Date]]=0,"",(_xlfn.XLOOKUP(Pipeline_tbl[[#This Row],[Closed_Date]],Dim_Date!A:A,Dim_Date!H:H)))</f>
        <v>Aug 2025</v>
      </c>
      <c r="U5931">
        <f>IF(Pipeline_tbl[[#This Row],[Closed_Date]]=0,"",Pipeline_tbl[[#This Row],[Closed_Date]]-Pipeline_tbl[[#This Row],[Created_Date]])</f>
        <v>18</v>
      </c>
    </row>
    <row r="5932" spans="1:21" ht="15" customHeight="1" x14ac:dyDescent="0.2">
      <c r="A5932" t="s">
        <v>6238</v>
      </c>
      <c r="B5932" t="s">
        <v>223</v>
      </c>
      <c r="C5932" t="s">
        <v>52</v>
      </c>
      <c r="D5932" s="49">
        <v>45871</v>
      </c>
      <c r="E5932" s="49">
        <v>45873</v>
      </c>
      <c r="F5932" s="49">
        <v>45877</v>
      </c>
      <c r="G5932" s="49">
        <v>45884</v>
      </c>
      <c r="H5932" s="49">
        <v>45889</v>
      </c>
      <c r="I5932" s="49">
        <v>45892</v>
      </c>
      <c r="J5932" t="s">
        <v>47</v>
      </c>
      <c r="K5932" s="33">
        <v>4200</v>
      </c>
      <c r="M5932" t="str">
        <f>_xlfn.XLOOKUP(Pipeline_tbl[[#This Row],[Rep_ID]],Dim_Reps!A:A,Dim_Reps!K:K)</f>
        <v>MXN</v>
      </c>
      <c r="N5932" s="33">
        <f>(_xlfn.XLOOKUP(Pipeline_tbl[[#This Row],[Rate_Code_Generalized]],Lookups!A:A,Lookups!B:B))*Pipeline_tbl[[#This Row],[Pipeline_Amount_USD]]</f>
        <v>82877.340000000011</v>
      </c>
      <c r="O5932" t="str">
        <f>_xlfn.XLOOKUP(Pipeline_tbl[[#This Row],[Rep_ID]],Dim_Reps!A:A,Dim_Reps!B:B)</f>
        <v>Lea Petrov</v>
      </c>
      <c r="P5932" t="str">
        <f>_xlfn.XLOOKUP(Pipeline_tbl[[#This Row],[Rep_ID]],Dim_Reps!A:A,Dim_Reps!C:C)</f>
        <v>SDR / Inside Sales Rep</v>
      </c>
      <c r="Q5932" t="str">
        <f>_xlfn.XLOOKUP(Pipeline_tbl[[#This Row],[Rep_ID]],Dim_Reps!A:A,Dim_Reps!D:D)</f>
        <v>Inside Sales</v>
      </c>
      <c r="R5932" t="str">
        <f>_xlfn.XLOOKUP(Pipeline_tbl[[#This Row],[Rep_ID]],Dim_Reps!A:A,Dim_Reps!E:E)</f>
        <v>LATAM</v>
      </c>
      <c r="S5932" t="str">
        <f>_xlfn.XLOOKUP(Pipeline_tbl[[#This Row],[Created_Date]],Dim_Date!A:A,Dim_Date!H:H)</f>
        <v>Aug 2025</v>
      </c>
      <c r="T5932" t="str">
        <f>IF(Pipeline_tbl[[#This Row],[Closed_Date]]=0,"",(_xlfn.XLOOKUP(Pipeline_tbl[[#This Row],[Closed_Date]],Dim_Date!A:A,Dim_Date!H:H)))</f>
        <v>Aug 2025</v>
      </c>
      <c r="U5932">
        <f>IF(Pipeline_tbl[[#This Row],[Closed_Date]]=0,"",Pipeline_tbl[[#This Row],[Closed_Date]]-Pipeline_tbl[[#This Row],[Created_Date]])</f>
        <v>21</v>
      </c>
    </row>
    <row r="5933" spans="1:21" ht="15" customHeight="1" x14ac:dyDescent="0.2">
      <c r="A5933" t="s">
        <v>6239</v>
      </c>
      <c r="B5933" t="s">
        <v>223</v>
      </c>
      <c r="C5933" t="s">
        <v>53</v>
      </c>
      <c r="D5933" s="49">
        <v>45872</v>
      </c>
      <c r="E5933" s="49">
        <v>45874</v>
      </c>
      <c r="I5933" s="49">
        <v>45889</v>
      </c>
      <c r="J5933" t="s">
        <v>49</v>
      </c>
      <c r="K5933" s="33">
        <v>2000</v>
      </c>
      <c r="L5933" t="s">
        <v>60</v>
      </c>
      <c r="M5933" t="str">
        <f>_xlfn.XLOOKUP(Pipeline_tbl[[#This Row],[Rep_ID]],Dim_Reps!A:A,Dim_Reps!K:K)</f>
        <v>MXN</v>
      </c>
      <c r="N5933" s="33">
        <f>(_xlfn.XLOOKUP(Pipeline_tbl[[#This Row],[Rate_Code_Generalized]],Lookups!A:A,Lookups!B:B))*Pipeline_tbl[[#This Row],[Pipeline_Amount_USD]]</f>
        <v>39465.4</v>
      </c>
      <c r="O5933" t="str">
        <f>_xlfn.XLOOKUP(Pipeline_tbl[[#This Row],[Rep_ID]],Dim_Reps!A:A,Dim_Reps!B:B)</f>
        <v>Lea Petrov</v>
      </c>
      <c r="P5933" t="str">
        <f>_xlfn.XLOOKUP(Pipeline_tbl[[#This Row],[Rep_ID]],Dim_Reps!A:A,Dim_Reps!C:C)</f>
        <v>SDR / Inside Sales Rep</v>
      </c>
      <c r="Q5933" t="str">
        <f>_xlfn.XLOOKUP(Pipeline_tbl[[#This Row],[Rep_ID]],Dim_Reps!A:A,Dim_Reps!D:D)</f>
        <v>Inside Sales</v>
      </c>
      <c r="R5933" t="str">
        <f>_xlfn.XLOOKUP(Pipeline_tbl[[#This Row],[Rep_ID]],Dim_Reps!A:A,Dim_Reps!E:E)</f>
        <v>LATAM</v>
      </c>
      <c r="S5933" t="str">
        <f>_xlfn.XLOOKUP(Pipeline_tbl[[#This Row],[Created_Date]],Dim_Date!A:A,Dim_Date!H:H)</f>
        <v>Aug 2025</v>
      </c>
      <c r="T5933" t="str">
        <f>IF(Pipeline_tbl[[#This Row],[Closed_Date]]=0,"",(_xlfn.XLOOKUP(Pipeline_tbl[[#This Row],[Closed_Date]],Dim_Date!A:A,Dim_Date!H:H)))</f>
        <v>Aug 2025</v>
      </c>
      <c r="U5933">
        <f>IF(Pipeline_tbl[[#This Row],[Closed_Date]]=0,"",Pipeline_tbl[[#This Row],[Closed_Date]]-Pipeline_tbl[[#This Row],[Created_Date]])</f>
        <v>17</v>
      </c>
    </row>
    <row r="5934" spans="1:21" ht="15" customHeight="1" x14ac:dyDescent="0.2">
      <c r="A5934" t="s">
        <v>6240</v>
      </c>
      <c r="B5934" t="s">
        <v>223</v>
      </c>
      <c r="C5934" t="s">
        <v>53</v>
      </c>
      <c r="D5934" s="49">
        <v>45882</v>
      </c>
      <c r="E5934" s="49">
        <v>45884</v>
      </c>
      <c r="I5934" s="49">
        <v>45900</v>
      </c>
      <c r="J5934" t="s">
        <v>49</v>
      </c>
      <c r="K5934" s="33">
        <v>2700</v>
      </c>
      <c r="L5934" t="s">
        <v>60</v>
      </c>
      <c r="M5934" t="str">
        <f>_xlfn.XLOOKUP(Pipeline_tbl[[#This Row],[Rep_ID]],Dim_Reps!A:A,Dim_Reps!K:K)</f>
        <v>MXN</v>
      </c>
      <c r="N5934" s="33">
        <f>(_xlfn.XLOOKUP(Pipeline_tbl[[#This Row],[Rate_Code_Generalized]],Lookups!A:A,Lookups!B:B))*Pipeline_tbl[[#This Row],[Pipeline_Amount_USD]]</f>
        <v>53278.29</v>
      </c>
      <c r="O5934" t="str">
        <f>_xlfn.XLOOKUP(Pipeline_tbl[[#This Row],[Rep_ID]],Dim_Reps!A:A,Dim_Reps!B:B)</f>
        <v>Lea Petrov</v>
      </c>
      <c r="P5934" t="str">
        <f>_xlfn.XLOOKUP(Pipeline_tbl[[#This Row],[Rep_ID]],Dim_Reps!A:A,Dim_Reps!C:C)</f>
        <v>SDR / Inside Sales Rep</v>
      </c>
      <c r="Q5934" t="str">
        <f>_xlfn.XLOOKUP(Pipeline_tbl[[#This Row],[Rep_ID]],Dim_Reps!A:A,Dim_Reps!D:D)</f>
        <v>Inside Sales</v>
      </c>
      <c r="R5934" t="str">
        <f>_xlfn.XLOOKUP(Pipeline_tbl[[#This Row],[Rep_ID]],Dim_Reps!A:A,Dim_Reps!E:E)</f>
        <v>LATAM</v>
      </c>
      <c r="S5934" t="str">
        <f>_xlfn.XLOOKUP(Pipeline_tbl[[#This Row],[Created_Date]],Dim_Date!A:A,Dim_Date!H:H)</f>
        <v>Aug 2025</v>
      </c>
      <c r="T5934" t="str">
        <f>IF(Pipeline_tbl[[#This Row],[Closed_Date]]=0,"",(_xlfn.XLOOKUP(Pipeline_tbl[[#This Row],[Closed_Date]],Dim_Date!A:A,Dim_Date!H:H)))</f>
        <v>Aug 2025</v>
      </c>
      <c r="U5934">
        <f>IF(Pipeline_tbl[[#This Row],[Closed_Date]]=0,"",Pipeline_tbl[[#This Row],[Closed_Date]]-Pipeline_tbl[[#This Row],[Created_Date]])</f>
        <v>18</v>
      </c>
    </row>
    <row r="5935" spans="1:21" ht="15" customHeight="1" x14ac:dyDescent="0.2">
      <c r="A5935" t="s">
        <v>6241</v>
      </c>
      <c r="B5935" t="s">
        <v>223</v>
      </c>
      <c r="C5935" t="s">
        <v>52</v>
      </c>
      <c r="D5935" s="49">
        <v>45882</v>
      </c>
      <c r="E5935" s="49">
        <v>45884</v>
      </c>
      <c r="I5935" s="49">
        <v>45898</v>
      </c>
      <c r="J5935" t="s">
        <v>49</v>
      </c>
      <c r="K5935" s="33">
        <v>3100</v>
      </c>
      <c r="L5935" t="s">
        <v>61</v>
      </c>
      <c r="M5935" t="str">
        <f>_xlfn.XLOOKUP(Pipeline_tbl[[#This Row],[Rep_ID]],Dim_Reps!A:A,Dim_Reps!K:K)</f>
        <v>MXN</v>
      </c>
      <c r="N5935" s="33">
        <f>(_xlfn.XLOOKUP(Pipeline_tbl[[#This Row],[Rate_Code_Generalized]],Lookups!A:A,Lookups!B:B))*Pipeline_tbl[[#This Row],[Pipeline_Amount_USD]]</f>
        <v>61171.37</v>
      </c>
      <c r="O5935" t="str">
        <f>_xlfn.XLOOKUP(Pipeline_tbl[[#This Row],[Rep_ID]],Dim_Reps!A:A,Dim_Reps!B:B)</f>
        <v>Lea Petrov</v>
      </c>
      <c r="P5935" t="str">
        <f>_xlfn.XLOOKUP(Pipeline_tbl[[#This Row],[Rep_ID]],Dim_Reps!A:A,Dim_Reps!C:C)</f>
        <v>SDR / Inside Sales Rep</v>
      </c>
      <c r="Q5935" t="str">
        <f>_xlfn.XLOOKUP(Pipeline_tbl[[#This Row],[Rep_ID]],Dim_Reps!A:A,Dim_Reps!D:D)</f>
        <v>Inside Sales</v>
      </c>
      <c r="R5935" t="str">
        <f>_xlfn.XLOOKUP(Pipeline_tbl[[#This Row],[Rep_ID]],Dim_Reps!A:A,Dim_Reps!E:E)</f>
        <v>LATAM</v>
      </c>
      <c r="S5935" t="str">
        <f>_xlfn.XLOOKUP(Pipeline_tbl[[#This Row],[Created_Date]],Dim_Date!A:A,Dim_Date!H:H)</f>
        <v>Aug 2025</v>
      </c>
      <c r="T5935" t="str">
        <f>IF(Pipeline_tbl[[#This Row],[Closed_Date]]=0,"",(_xlfn.XLOOKUP(Pipeline_tbl[[#This Row],[Closed_Date]],Dim_Date!A:A,Dim_Date!H:H)))</f>
        <v>Aug 2025</v>
      </c>
      <c r="U5935">
        <f>IF(Pipeline_tbl[[#This Row],[Closed_Date]]=0,"",Pipeline_tbl[[#This Row],[Closed_Date]]-Pipeline_tbl[[#This Row],[Created_Date]])</f>
        <v>16</v>
      </c>
    </row>
    <row r="5936" spans="1:21" ht="15" customHeight="1" x14ac:dyDescent="0.2">
      <c r="A5936" t="s">
        <v>6242</v>
      </c>
      <c r="B5936" t="s">
        <v>223</v>
      </c>
      <c r="C5936" t="s">
        <v>52</v>
      </c>
      <c r="D5936" s="49">
        <v>45882</v>
      </c>
      <c r="E5936" s="49">
        <v>45883</v>
      </c>
      <c r="F5936" s="49">
        <v>45886</v>
      </c>
      <c r="G5936" s="49">
        <v>45890</v>
      </c>
      <c r="I5936" s="49">
        <v>45896</v>
      </c>
      <c r="J5936" t="s">
        <v>49</v>
      </c>
      <c r="K5936" s="33">
        <v>5400</v>
      </c>
      <c r="L5936" t="s">
        <v>60</v>
      </c>
      <c r="M5936" t="str">
        <f>_xlfn.XLOOKUP(Pipeline_tbl[[#This Row],[Rep_ID]],Dim_Reps!A:A,Dim_Reps!K:K)</f>
        <v>MXN</v>
      </c>
      <c r="N5936" s="33">
        <f>(_xlfn.XLOOKUP(Pipeline_tbl[[#This Row],[Rate_Code_Generalized]],Lookups!A:A,Lookups!B:B))*Pipeline_tbl[[#This Row],[Pipeline_Amount_USD]]</f>
        <v>106556.58</v>
      </c>
      <c r="O5936" t="str">
        <f>_xlfn.XLOOKUP(Pipeline_tbl[[#This Row],[Rep_ID]],Dim_Reps!A:A,Dim_Reps!B:B)</f>
        <v>Lea Petrov</v>
      </c>
      <c r="P5936" t="str">
        <f>_xlfn.XLOOKUP(Pipeline_tbl[[#This Row],[Rep_ID]],Dim_Reps!A:A,Dim_Reps!C:C)</f>
        <v>SDR / Inside Sales Rep</v>
      </c>
      <c r="Q5936" t="str">
        <f>_xlfn.XLOOKUP(Pipeline_tbl[[#This Row],[Rep_ID]],Dim_Reps!A:A,Dim_Reps!D:D)</f>
        <v>Inside Sales</v>
      </c>
      <c r="R5936" t="str">
        <f>_xlfn.XLOOKUP(Pipeline_tbl[[#This Row],[Rep_ID]],Dim_Reps!A:A,Dim_Reps!E:E)</f>
        <v>LATAM</v>
      </c>
      <c r="S5936" t="str">
        <f>_xlfn.XLOOKUP(Pipeline_tbl[[#This Row],[Created_Date]],Dim_Date!A:A,Dim_Date!H:H)</f>
        <v>Aug 2025</v>
      </c>
      <c r="T5936" t="str">
        <f>IF(Pipeline_tbl[[#This Row],[Closed_Date]]=0,"",(_xlfn.XLOOKUP(Pipeline_tbl[[#This Row],[Closed_Date]],Dim_Date!A:A,Dim_Date!H:H)))</f>
        <v>Aug 2025</v>
      </c>
      <c r="U5936">
        <f>IF(Pipeline_tbl[[#This Row],[Closed_Date]]=0,"",Pipeline_tbl[[#This Row],[Closed_Date]]-Pipeline_tbl[[#This Row],[Created_Date]])</f>
        <v>14</v>
      </c>
    </row>
    <row r="5937" spans="1:21" ht="15" customHeight="1" x14ac:dyDescent="0.2">
      <c r="A5937" t="s">
        <v>6243</v>
      </c>
      <c r="B5937" t="s">
        <v>261</v>
      </c>
      <c r="C5937" t="s">
        <v>53</v>
      </c>
      <c r="D5937" s="49">
        <v>45877</v>
      </c>
      <c r="E5937" s="49">
        <v>45879</v>
      </c>
      <c r="F5937" s="49">
        <v>45882</v>
      </c>
      <c r="G5937" s="49">
        <v>45886</v>
      </c>
      <c r="H5937" s="49">
        <v>45890</v>
      </c>
      <c r="I5937" s="49">
        <v>45892</v>
      </c>
      <c r="J5937" t="s">
        <v>47</v>
      </c>
      <c r="K5937" s="33">
        <v>8300</v>
      </c>
      <c r="M5937" t="str">
        <f>_xlfn.XLOOKUP(Pipeline_tbl[[#This Row],[Rep_ID]],Dim_Reps!A:A,Dim_Reps!K:K)</f>
        <v>USD</v>
      </c>
      <c r="N5937" s="33">
        <f>(_xlfn.XLOOKUP(Pipeline_tbl[[#This Row],[Rate_Code_Generalized]],Lookups!A:A,Lookups!B:B))*Pipeline_tbl[[#This Row],[Pipeline_Amount_USD]]</f>
        <v>9663.6899999999987</v>
      </c>
      <c r="O5937" t="str">
        <f>_xlfn.XLOOKUP(Pipeline_tbl[[#This Row],[Rep_ID]],Dim_Reps!A:A,Dim_Reps!B:B)</f>
        <v>Morgan Larsen</v>
      </c>
      <c r="P5937" t="str">
        <f>_xlfn.XLOOKUP(Pipeline_tbl[[#This Row],[Rep_ID]],Dim_Reps!A:A,Dim_Reps!C:C)</f>
        <v>Mid-Market AE</v>
      </c>
      <c r="Q5937" t="str">
        <f>_xlfn.XLOOKUP(Pipeline_tbl[[#This Row],[Rep_ID]],Dim_Reps!A:A,Dim_Reps!D:D)</f>
        <v>Mid-Market</v>
      </c>
      <c r="R5937" t="str">
        <f>_xlfn.XLOOKUP(Pipeline_tbl[[#This Row],[Rep_ID]],Dim_Reps!A:A,Dim_Reps!E:E)</f>
        <v>NAMER</v>
      </c>
      <c r="S5937" t="str">
        <f>_xlfn.XLOOKUP(Pipeline_tbl[[#This Row],[Created_Date]],Dim_Date!A:A,Dim_Date!H:H)</f>
        <v>Aug 2025</v>
      </c>
      <c r="T5937" t="str">
        <f>IF(Pipeline_tbl[[#This Row],[Closed_Date]]=0,"",(_xlfn.XLOOKUP(Pipeline_tbl[[#This Row],[Closed_Date]],Dim_Date!A:A,Dim_Date!H:H)))</f>
        <v>Aug 2025</v>
      </c>
      <c r="U5937">
        <f>IF(Pipeline_tbl[[#This Row],[Closed_Date]]=0,"",Pipeline_tbl[[#This Row],[Closed_Date]]-Pipeline_tbl[[#This Row],[Created_Date]])</f>
        <v>15</v>
      </c>
    </row>
    <row r="5938" spans="1:21" ht="15" customHeight="1" x14ac:dyDescent="0.2">
      <c r="A5938" t="s">
        <v>6244</v>
      </c>
      <c r="B5938" t="s">
        <v>225</v>
      </c>
      <c r="C5938" t="s">
        <v>52</v>
      </c>
      <c r="D5938" s="49">
        <v>45888</v>
      </c>
      <c r="E5938" s="49">
        <v>45889</v>
      </c>
      <c r="F5938" s="49">
        <v>45891</v>
      </c>
      <c r="G5938" s="49">
        <v>45893</v>
      </c>
      <c r="H5938" s="49">
        <v>45896</v>
      </c>
      <c r="I5938" s="49">
        <v>45897</v>
      </c>
      <c r="J5938" t="s">
        <v>49</v>
      </c>
      <c r="K5938" s="33">
        <v>4900</v>
      </c>
      <c r="L5938" t="s">
        <v>63</v>
      </c>
      <c r="M5938" t="str">
        <f>_xlfn.XLOOKUP(Pipeline_tbl[[#This Row],[Rep_ID]],Dim_Reps!A:A,Dim_Reps!K:K)</f>
        <v>USD</v>
      </c>
      <c r="N5938" s="33">
        <f>(_xlfn.XLOOKUP(Pipeline_tbl[[#This Row],[Rate_Code_Generalized]],Lookups!A:A,Lookups!B:B))*Pipeline_tbl[[#This Row],[Pipeline_Amount_USD]]</f>
        <v>5705.07</v>
      </c>
      <c r="O5938" t="str">
        <f>_xlfn.XLOOKUP(Pipeline_tbl[[#This Row],[Rep_ID]],Dim_Reps!A:A,Dim_Reps!B:B)</f>
        <v>Alex Muller</v>
      </c>
      <c r="P5938" t="str">
        <f>_xlfn.XLOOKUP(Pipeline_tbl[[#This Row],[Rep_ID]],Dim_Reps!A:A,Dim_Reps!C:C)</f>
        <v>SDR / Inside Sales Rep</v>
      </c>
      <c r="Q5938" t="str">
        <f>_xlfn.XLOOKUP(Pipeline_tbl[[#This Row],[Rep_ID]],Dim_Reps!A:A,Dim_Reps!D:D)</f>
        <v>Inside Sales</v>
      </c>
      <c r="R5938" t="str">
        <f>_xlfn.XLOOKUP(Pipeline_tbl[[#This Row],[Rep_ID]],Dim_Reps!A:A,Dim_Reps!E:E)</f>
        <v>NAMER</v>
      </c>
      <c r="S5938" t="str">
        <f>_xlfn.XLOOKUP(Pipeline_tbl[[#This Row],[Created_Date]],Dim_Date!A:A,Dim_Date!H:H)</f>
        <v>Aug 2025</v>
      </c>
      <c r="T5938" t="str">
        <f>IF(Pipeline_tbl[[#This Row],[Closed_Date]]=0,"",(_xlfn.XLOOKUP(Pipeline_tbl[[#This Row],[Closed_Date]],Dim_Date!A:A,Dim_Date!H:H)))</f>
        <v>Aug 2025</v>
      </c>
      <c r="U5938">
        <f>IF(Pipeline_tbl[[#This Row],[Closed_Date]]=0,"",Pipeline_tbl[[#This Row],[Closed_Date]]-Pipeline_tbl[[#This Row],[Created_Date]])</f>
        <v>9</v>
      </c>
    </row>
    <row r="5939" spans="1:21" ht="15" customHeight="1" x14ac:dyDescent="0.2">
      <c r="A5939" t="s">
        <v>6245</v>
      </c>
      <c r="B5939" t="s">
        <v>225</v>
      </c>
      <c r="C5939" t="s">
        <v>53</v>
      </c>
      <c r="D5939" s="49">
        <v>45876</v>
      </c>
      <c r="E5939" s="49">
        <v>45878</v>
      </c>
      <c r="F5939" s="49">
        <v>45881</v>
      </c>
      <c r="G5939" s="49">
        <v>45887</v>
      </c>
      <c r="H5939" s="49">
        <v>45891</v>
      </c>
      <c r="I5939" s="49">
        <v>45894</v>
      </c>
      <c r="J5939" t="s">
        <v>47</v>
      </c>
      <c r="K5939" s="33">
        <v>3100</v>
      </c>
      <c r="M5939" t="str">
        <f>_xlfn.XLOOKUP(Pipeline_tbl[[#This Row],[Rep_ID]],Dim_Reps!A:A,Dim_Reps!K:K)</f>
        <v>USD</v>
      </c>
      <c r="N5939" s="33">
        <f>(_xlfn.XLOOKUP(Pipeline_tbl[[#This Row],[Rate_Code_Generalized]],Lookups!A:A,Lookups!B:B))*Pipeline_tbl[[#This Row],[Pipeline_Amount_USD]]</f>
        <v>3609.3299999999995</v>
      </c>
      <c r="O5939" t="str">
        <f>_xlfn.XLOOKUP(Pipeline_tbl[[#This Row],[Rep_ID]],Dim_Reps!A:A,Dim_Reps!B:B)</f>
        <v>Alex Muller</v>
      </c>
      <c r="P5939" t="str">
        <f>_xlfn.XLOOKUP(Pipeline_tbl[[#This Row],[Rep_ID]],Dim_Reps!A:A,Dim_Reps!C:C)</f>
        <v>SDR / Inside Sales Rep</v>
      </c>
      <c r="Q5939" t="str">
        <f>_xlfn.XLOOKUP(Pipeline_tbl[[#This Row],[Rep_ID]],Dim_Reps!A:A,Dim_Reps!D:D)</f>
        <v>Inside Sales</v>
      </c>
      <c r="R5939" t="str">
        <f>_xlfn.XLOOKUP(Pipeline_tbl[[#This Row],[Rep_ID]],Dim_Reps!A:A,Dim_Reps!E:E)</f>
        <v>NAMER</v>
      </c>
      <c r="S5939" t="str">
        <f>_xlfn.XLOOKUP(Pipeline_tbl[[#This Row],[Created_Date]],Dim_Date!A:A,Dim_Date!H:H)</f>
        <v>Aug 2025</v>
      </c>
      <c r="T5939" t="str">
        <f>IF(Pipeline_tbl[[#This Row],[Closed_Date]]=0,"",(_xlfn.XLOOKUP(Pipeline_tbl[[#This Row],[Closed_Date]],Dim_Date!A:A,Dim_Date!H:H)))</f>
        <v>Aug 2025</v>
      </c>
      <c r="U5939">
        <f>IF(Pipeline_tbl[[#This Row],[Closed_Date]]=0,"",Pipeline_tbl[[#This Row],[Closed_Date]]-Pipeline_tbl[[#This Row],[Created_Date]])</f>
        <v>18</v>
      </c>
    </row>
    <row r="5940" spans="1:21" ht="15" customHeight="1" x14ac:dyDescent="0.2">
      <c r="A5940" t="s">
        <v>6246</v>
      </c>
      <c r="B5940" t="s">
        <v>225</v>
      </c>
      <c r="C5940" t="s">
        <v>53</v>
      </c>
      <c r="D5940" s="49">
        <v>45887</v>
      </c>
      <c r="E5940" s="49">
        <v>45888</v>
      </c>
      <c r="I5940" s="49">
        <v>45894</v>
      </c>
      <c r="J5940" t="s">
        <v>49</v>
      </c>
      <c r="K5940" s="33">
        <v>5100</v>
      </c>
      <c r="L5940" t="s">
        <v>60</v>
      </c>
      <c r="M5940" t="str">
        <f>_xlfn.XLOOKUP(Pipeline_tbl[[#This Row],[Rep_ID]],Dim_Reps!A:A,Dim_Reps!K:K)</f>
        <v>USD</v>
      </c>
      <c r="N5940" s="33">
        <f>(_xlfn.XLOOKUP(Pipeline_tbl[[#This Row],[Rate_Code_Generalized]],Lookups!A:A,Lookups!B:B))*Pipeline_tbl[[#This Row],[Pipeline_Amount_USD]]</f>
        <v>5937.9299999999994</v>
      </c>
      <c r="O5940" t="str">
        <f>_xlfn.XLOOKUP(Pipeline_tbl[[#This Row],[Rep_ID]],Dim_Reps!A:A,Dim_Reps!B:B)</f>
        <v>Alex Muller</v>
      </c>
      <c r="P5940" t="str">
        <f>_xlfn.XLOOKUP(Pipeline_tbl[[#This Row],[Rep_ID]],Dim_Reps!A:A,Dim_Reps!C:C)</f>
        <v>SDR / Inside Sales Rep</v>
      </c>
      <c r="Q5940" t="str">
        <f>_xlfn.XLOOKUP(Pipeline_tbl[[#This Row],[Rep_ID]],Dim_Reps!A:A,Dim_Reps!D:D)</f>
        <v>Inside Sales</v>
      </c>
      <c r="R5940" t="str">
        <f>_xlfn.XLOOKUP(Pipeline_tbl[[#This Row],[Rep_ID]],Dim_Reps!A:A,Dim_Reps!E:E)</f>
        <v>NAMER</v>
      </c>
      <c r="S5940" t="str">
        <f>_xlfn.XLOOKUP(Pipeline_tbl[[#This Row],[Created_Date]],Dim_Date!A:A,Dim_Date!H:H)</f>
        <v>Aug 2025</v>
      </c>
      <c r="T5940" t="str">
        <f>IF(Pipeline_tbl[[#This Row],[Closed_Date]]=0,"",(_xlfn.XLOOKUP(Pipeline_tbl[[#This Row],[Closed_Date]],Dim_Date!A:A,Dim_Date!H:H)))</f>
        <v>Aug 2025</v>
      </c>
      <c r="U5940">
        <f>IF(Pipeline_tbl[[#This Row],[Closed_Date]]=0,"",Pipeline_tbl[[#This Row],[Closed_Date]]-Pipeline_tbl[[#This Row],[Created_Date]])</f>
        <v>7</v>
      </c>
    </row>
    <row r="5941" spans="1:21" ht="15" customHeight="1" x14ac:dyDescent="0.2">
      <c r="A5941" t="s">
        <v>6247</v>
      </c>
      <c r="B5941" t="s">
        <v>225</v>
      </c>
      <c r="C5941" t="s">
        <v>52</v>
      </c>
      <c r="D5941" s="49">
        <v>45875</v>
      </c>
      <c r="E5941" s="49">
        <v>45876</v>
      </c>
      <c r="F5941" s="49">
        <v>45879</v>
      </c>
      <c r="I5941" s="49">
        <v>45889</v>
      </c>
      <c r="J5941" t="s">
        <v>49</v>
      </c>
      <c r="K5941" s="33">
        <v>3800</v>
      </c>
      <c r="L5941" t="s">
        <v>61</v>
      </c>
      <c r="M5941" t="str">
        <f>_xlfn.XLOOKUP(Pipeline_tbl[[#This Row],[Rep_ID]],Dim_Reps!A:A,Dim_Reps!K:K)</f>
        <v>USD</v>
      </c>
      <c r="N5941" s="33">
        <f>(_xlfn.XLOOKUP(Pipeline_tbl[[#This Row],[Rate_Code_Generalized]],Lookups!A:A,Lookups!B:B))*Pipeline_tbl[[#This Row],[Pipeline_Amount_USD]]</f>
        <v>4424.3399999999992</v>
      </c>
      <c r="O5941" t="str">
        <f>_xlfn.XLOOKUP(Pipeline_tbl[[#This Row],[Rep_ID]],Dim_Reps!A:A,Dim_Reps!B:B)</f>
        <v>Alex Muller</v>
      </c>
      <c r="P5941" t="str">
        <f>_xlfn.XLOOKUP(Pipeline_tbl[[#This Row],[Rep_ID]],Dim_Reps!A:A,Dim_Reps!C:C)</f>
        <v>SDR / Inside Sales Rep</v>
      </c>
      <c r="Q5941" t="str">
        <f>_xlfn.XLOOKUP(Pipeline_tbl[[#This Row],[Rep_ID]],Dim_Reps!A:A,Dim_Reps!D:D)</f>
        <v>Inside Sales</v>
      </c>
      <c r="R5941" t="str">
        <f>_xlfn.XLOOKUP(Pipeline_tbl[[#This Row],[Rep_ID]],Dim_Reps!A:A,Dim_Reps!E:E)</f>
        <v>NAMER</v>
      </c>
      <c r="S5941" t="str">
        <f>_xlfn.XLOOKUP(Pipeline_tbl[[#This Row],[Created_Date]],Dim_Date!A:A,Dim_Date!H:H)</f>
        <v>Aug 2025</v>
      </c>
      <c r="T5941" t="str">
        <f>IF(Pipeline_tbl[[#This Row],[Closed_Date]]=0,"",(_xlfn.XLOOKUP(Pipeline_tbl[[#This Row],[Closed_Date]],Dim_Date!A:A,Dim_Date!H:H)))</f>
        <v>Aug 2025</v>
      </c>
      <c r="U5941">
        <f>IF(Pipeline_tbl[[#This Row],[Closed_Date]]=0,"",Pipeline_tbl[[#This Row],[Closed_Date]]-Pipeline_tbl[[#This Row],[Created_Date]])</f>
        <v>14</v>
      </c>
    </row>
    <row r="5942" spans="1:21" ht="15" customHeight="1" x14ac:dyDescent="0.2">
      <c r="A5942" t="s">
        <v>6248</v>
      </c>
      <c r="B5942" t="s">
        <v>225</v>
      </c>
      <c r="C5942" t="s">
        <v>52</v>
      </c>
      <c r="D5942" s="49">
        <v>45870</v>
      </c>
      <c r="E5942" s="49">
        <v>45871</v>
      </c>
      <c r="F5942" s="49">
        <v>45874</v>
      </c>
      <c r="I5942" s="49">
        <v>45884</v>
      </c>
      <c r="J5942" t="s">
        <v>49</v>
      </c>
      <c r="K5942" s="33">
        <v>3000</v>
      </c>
      <c r="L5942" t="s">
        <v>64</v>
      </c>
      <c r="M5942" t="str">
        <f>_xlfn.XLOOKUP(Pipeline_tbl[[#This Row],[Rep_ID]],Dim_Reps!A:A,Dim_Reps!K:K)</f>
        <v>USD</v>
      </c>
      <c r="N5942" s="33">
        <f>(_xlfn.XLOOKUP(Pipeline_tbl[[#This Row],[Rate_Code_Generalized]],Lookups!A:A,Lookups!B:B))*Pipeline_tbl[[#This Row],[Pipeline_Amount_USD]]</f>
        <v>3492.8999999999996</v>
      </c>
      <c r="O5942" t="str">
        <f>_xlfn.XLOOKUP(Pipeline_tbl[[#This Row],[Rep_ID]],Dim_Reps!A:A,Dim_Reps!B:B)</f>
        <v>Alex Muller</v>
      </c>
      <c r="P5942" t="str">
        <f>_xlfn.XLOOKUP(Pipeline_tbl[[#This Row],[Rep_ID]],Dim_Reps!A:A,Dim_Reps!C:C)</f>
        <v>SDR / Inside Sales Rep</v>
      </c>
      <c r="Q5942" t="str">
        <f>_xlfn.XLOOKUP(Pipeline_tbl[[#This Row],[Rep_ID]],Dim_Reps!A:A,Dim_Reps!D:D)</f>
        <v>Inside Sales</v>
      </c>
      <c r="R5942" t="str">
        <f>_xlfn.XLOOKUP(Pipeline_tbl[[#This Row],[Rep_ID]],Dim_Reps!A:A,Dim_Reps!E:E)</f>
        <v>NAMER</v>
      </c>
      <c r="S5942" t="str">
        <f>_xlfn.XLOOKUP(Pipeline_tbl[[#This Row],[Created_Date]],Dim_Date!A:A,Dim_Date!H:H)</f>
        <v>Aug 2025</v>
      </c>
      <c r="T5942" t="str">
        <f>IF(Pipeline_tbl[[#This Row],[Closed_Date]]=0,"",(_xlfn.XLOOKUP(Pipeline_tbl[[#This Row],[Closed_Date]],Dim_Date!A:A,Dim_Date!H:H)))</f>
        <v>Aug 2025</v>
      </c>
      <c r="U5942">
        <f>IF(Pipeline_tbl[[#This Row],[Closed_Date]]=0,"",Pipeline_tbl[[#This Row],[Closed_Date]]-Pipeline_tbl[[#This Row],[Created_Date]])</f>
        <v>14</v>
      </c>
    </row>
    <row r="5943" spans="1:21" ht="15" customHeight="1" x14ac:dyDescent="0.2">
      <c r="A5943" t="s">
        <v>6249</v>
      </c>
      <c r="B5943" t="s">
        <v>227</v>
      </c>
      <c r="C5943" t="s">
        <v>53</v>
      </c>
      <c r="D5943" s="49">
        <v>45882</v>
      </c>
      <c r="E5943" s="49">
        <v>45883</v>
      </c>
      <c r="F5943" s="49">
        <v>45886</v>
      </c>
      <c r="G5943" s="49">
        <v>45890</v>
      </c>
      <c r="I5943" s="49">
        <v>45895</v>
      </c>
      <c r="J5943" t="s">
        <v>49</v>
      </c>
      <c r="K5943" s="33">
        <v>4600</v>
      </c>
      <c r="L5943" t="s">
        <v>60</v>
      </c>
      <c r="M5943" t="str">
        <f>_xlfn.XLOOKUP(Pipeline_tbl[[#This Row],[Rep_ID]],Dim_Reps!A:A,Dim_Reps!K:K)</f>
        <v>EUR</v>
      </c>
      <c r="N5943" s="33">
        <f>(_xlfn.XLOOKUP(Pipeline_tbl[[#This Row],[Rate_Code_Generalized]],Lookups!A:A,Lookups!B:B))*Pipeline_tbl[[#This Row],[Pipeline_Amount_USD]]</f>
        <v>4600</v>
      </c>
      <c r="O5943" t="str">
        <f>_xlfn.XLOOKUP(Pipeline_tbl[[#This Row],[Rep_ID]],Dim_Reps!A:A,Dim_Reps!B:B)</f>
        <v>Liam Muller</v>
      </c>
      <c r="P5943" t="str">
        <f>_xlfn.XLOOKUP(Pipeline_tbl[[#This Row],[Rep_ID]],Dim_Reps!A:A,Dim_Reps!C:C)</f>
        <v>SDR / Inside Sales Rep</v>
      </c>
      <c r="Q5943" t="str">
        <f>_xlfn.XLOOKUP(Pipeline_tbl[[#This Row],[Rep_ID]],Dim_Reps!A:A,Dim_Reps!D:D)</f>
        <v>Inside Sales</v>
      </c>
      <c r="R5943" t="str">
        <f>_xlfn.XLOOKUP(Pipeline_tbl[[#This Row],[Rep_ID]],Dim_Reps!A:A,Dim_Reps!E:E)</f>
        <v>EMEA</v>
      </c>
      <c r="S5943" t="str">
        <f>_xlfn.XLOOKUP(Pipeline_tbl[[#This Row],[Created_Date]],Dim_Date!A:A,Dim_Date!H:H)</f>
        <v>Aug 2025</v>
      </c>
      <c r="T5943" t="str">
        <f>IF(Pipeline_tbl[[#This Row],[Closed_Date]]=0,"",(_xlfn.XLOOKUP(Pipeline_tbl[[#This Row],[Closed_Date]],Dim_Date!A:A,Dim_Date!H:H)))</f>
        <v>Aug 2025</v>
      </c>
      <c r="U5943">
        <f>IF(Pipeline_tbl[[#This Row],[Closed_Date]]=0,"",Pipeline_tbl[[#This Row],[Closed_Date]]-Pipeline_tbl[[#This Row],[Created_Date]])</f>
        <v>13</v>
      </c>
    </row>
    <row r="5944" spans="1:21" ht="15" customHeight="1" x14ac:dyDescent="0.2">
      <c r="A5944" t="s">
        <v>6250</v>
      </c>
      <c r="B5944" t="s">
        <v>227</v>
      </c>
      <c r="C5944" t="s">
        <v>53</v>
      </c>
      <c r="D5944" s="49">
        <v>45883</v>
      </c>
      <c r="E5944" s="49">
        <v>45884</v>
      </c>
      <c r="F5944" s="49">
        <v>45887</v>
      </c>
      <c r="G5944" s="49">
        <v>45890</v>
      </c>
      <c r="H5944" s="49">
        <v>45893</v>
      </c>
      <c r="I5944" s="49">
        <v>45895</v>
      </c>
      <c r="J5944" t="s">
        <v>49</v>
      </c>
      <c r="K5944" s="33">
        <v>2900</v>
      </c>
      <c r="L5944" t="s">
        <v>60</v>
      </c>
      <c r="M5944" t="str">
        <f>_xlfn.XLOOKUP(Pipeline_tbl[[#This Row],[Rep_ID]],Dim_Reps!A:A,Dim_Reps!K:K)</f>
        <v>EUR</v>
      </c>
      <c r="N5944" s="33">
        <f>(_xlfn.XLOOKUP(Pipeline_tbl[[#This Row],[Rate_Code_Generalized]],Lookups!A:A,Lookups!B:B))*Pipeline_tbl[[#This Row],[Pipeline_Amount_USD]]</f>
        <v>2900</v>
      </c>
      <c r="O5944" t="str">
        <f>_xlfn.XLOOKUP(Pipeline_tbl[[#This Row],[Rep_ID]],Dim_Reps!A:A,Dim_Reps!B:B)</f>
        <v>Liam Muller</v>
      </c>
      <c r="P5944" t="str">
        <f>_xlfn.XLOOKUP(Pipeline_tbl[[#This Row],[Rep_ID]],Dim_Reps!A:A,Dim_Reps!C:C)</f>
        <v>SDR / Inside Sales Rep</v>
      </c>
      <c r="Q5944" t="str">
        <f>_xlfn.XLOOKUP(Pipeline_tbl[[#This Row],[Rep_ID]],Dim_Reps!A:A,Dim_Reps!D:D)</f>
        <v>Inside Sales</v>
      </c>
      <c r="R5944" t="str">
        <f>_xlfn.XLOOKUP(Pipeline_tbl[[#This Row],[Rep_ID]],Dim_Reps!A:A,Dim_Reps!E:E)</f>
        <v>EMEA</v>
      </c>
      <c r="S5944" t="str">
        <f>_xlfn.XLOOKUP(Pipeline_tbl[[#This Row],[Created_Date]],Dim_Date!A:A,Dim_Date!H:H)</f>
        <v>Aug 2025</v>
      </c>
      <c r="T5944" t="str">
        <f>IF(Pipeline_tbl[[#This Row],[Closed_Date]]=0,"",(_xlfn.XLOOKUP(Pipeline_tbl[[#This Row],[Closed_Date]],Dim_Date!A:A,Dim_Date!H:H)))</f>
        <v>Aug 2025</v>
      </c>
      <c r="U5944">
        <f>IF(Pipeline_tbl[[#This Row],[Closed_Date]]=0,"",Pipeline_tbl[[#This Row],[Closed_Date]]-Pipeline_tbl[[#This Row],[Created_Date]])</f>
        <v>12</v>
      </c>
    </row>
    <row r="5945" spans="1:21" ht="15" customHeight="1" x14ac:dyDescent="0.2">
      <c r="A5945" t="s">
        <v>6251</v>
      </c>
      <c r="B5945" t="s">
        <v>227</v>
      </c>
      <c r="C5945" t="s">
        <v>52</v>
      </c>
      <c r="D5945" s="49">
        <v>45875</v>
      </c>
      <c r="E5945" s="49">
        <v>45877</v>
      </c>
      <c r="F5945" s="49">
        <v>45881</v>
      </c>
      <c r="G5945" s="49">
        <v>45887</v>
      </c>
      <c r="H5945" s="49">
        <v>45892</v>
      </c>
      <c r="I5945" s="49">
        <v>45895</v>
      </c>
      <c r="J5945" t="s">
        <v>47</v>
      </c>
      <c r="K5945" s="33">
        <v>9900</v>
      </c>
      <c r="M5945" t="str">
        <f>_xlfn.XLOOKUP(Pipeline_tbl[[#This Row],[Rep_ID]],Dim_Reps!A:A,Dim_Reps!K:K)</f>
        <v>EUR</v>
      </c>
      <c r="N5945" s="33">
        <f>(_xlfn.XLOOKUP(Pipeline_tbl[[#This Row],[Rate_Code_Generalized]],Lookups!A:A,Lookups!B:B))*Pipeline_tbl[[#This Row],[Pipeline_Amount_USD]]</f>
        <v>9900</v>
      </c>
      <c r="O5945" t="str">
        <f>_xlfn.XLOOKUP(Pipeline_tbl[[#This Row],[Rep_ID]],Dim_Reps!A:A,Dim_Reps!B:B)</f>
        <v>Liam Muller</v>
      </c>
      <c r="P5945" t="str">
        <f>_xlfn.XLOOKUP(Pipeline_tbl[[#This Row],[Rep_ID]],Dim_Reps!A:A,Dim_Reps!C:C)</f>
        <v>SDR / Inside Sales Rep</v>
      </c>
      <c r="Q5945" t="str">
        <f>_xlfn.XLOOKUP(Pipeline_tbl[[#This Row],[Rep_ID]],Dim_Reps!A:A,Dim_Reps!D:D)</f>
        <v>Inside Sales</v>
      </c>
      <c r="R5945" t="str">
        <f>_xlfn.XLOOKUP(Pipeline_tbl[[#This Row],[Rep_ID]],Dim_Reps!A:A,Dim_Reps!E:E)</f>
        <v>EMEA</v>
      </c>
      <c r="S5945" t="str">
        <f>_xlfn.XLOOKUP(Pipeline_tbl[[#This Row],[Created_Date]],Dim_Date!A:A,Dim_Date!H:H)</f>
        <v>Aug 2025</v>
      </c>
      <c r="T5945" t="str">
        <f>IF(Pipeline_tbl[[#This Row],[Closed_Date]]=0,"",(_xlfn.XLOOKUP(Pipeline_tbl[[#This Row],[Closed_Date]],Dim_Date!A:A,Dim_Date!H:H)))</f>
        <v>Aug 2025</v>
      </c>
      <c r="U5945">
        <f>IF(Pipeline_tbl[[#This Row],[Closed_Date]]=0,"",Pipeline_tbl[[#This Row],[Closed_Date]]-Pipeline_tbl[[#This Row],[Created_Date]])</f>
        <v>20</v>
      </c>
    </row>
    <row r="5946" spans="1:21" ht="15" customHeight="1" x14ac:dyDescent="0.2">
      <c r="A5946" t="s">
        <v>6252</v>
      </c>
      <c r="B5946" t="s">
        <v>227</v>
      </c>
      <c r="C5946" t="s">
        <v>52</v>
      </c>
      <c r="D5946" s="49">
        <v>45885</v>
      </c>
      <c r="E5946" s="49">
        <v>45886</v>
      </c>
      <c r="F5946" s="49">
        <v>45889</v>
      </c>
      <c r="G5946" s="49">
        <v>45893</v>
      </c>
      <c r="H5946" s="49">
        <v>45896</v>
      </c>
      <c r="I5946" s="49">
        <v>45898</v>
      </c>
      <c r="J5946" t="s">
        <v>49</v>
      </c>
      <c r="K5946" s="33">
        <v>2600</v>
      </c>
      <c r="L5946" t="s">
        <v>60</v>
      </c>
      <c r="M5946" t="str">
        <f>_xlfn.XLOOKUP(Pipeline_tbl[[#This Row],[Rep_ID]],Dim_Reps!A:A,Dim_Reps!K:K)</f>
        <v>EUR</v>
      </c>
      <c r="N5946" s="33">
        <f>(_xlfn.XLOOKUP(Pipeline_tbl[[#This Row],[Rate_Code_Generalized]],Lookups!A:A,Lookups!B:B))*Pipeline_tbl[[#This Row],[Pipeline_Amount_USD]]</f>
        <v>2600</v>
      </c>
      <c r="O5946" t="str">
        <f>_xlfn.XLOOKUP(Pipeline_tbl[[#This Row],[Rep_ID]],Dim_Reps!A:A,Dim_Reps!B:B)</f>
        <v>Liam Muller</v>
      </c>
      <c r="P5946" t="str">
        <f>_xlfn.XLOOKUP(Pipeline_tbl[[#This Row],[Rep_ID]],Dim_Reps!A:A,Dim_Reps!C:C)</f>
        <v>SDR / Inside Sales Rep</v>
      </c>
      <c r="Q5946" t="str">
        <f>_xlfn.XLOOKUP(Pipeline_tbl[[#This Row],[Rep_ID]],Dim_Reps!A:A,Dim_Reps!D:D)</f>
        <v>Inside Sales</v>
      </c>
      <c r="R5946" t="str">
        <f>_xlfn.XLOOKUP(Pipeline_tbl[[#This Row],[Rep_ID]],Dim_Reps!A:A,Dim_Reps!E:E)</f>
        <v>EMEA</v>
      </c>
      <c r="S5946" t="str">
        <f>_xlfn.XLOOKUP(Pipeline_tbl[[#This Row],[Created_Date]],Dim_Date!A:A,Dim_Date!H:H)</f>
        <v>Aug 2025</v>
      </c>
      <c r="T5946" t="str">
        <f>IF(Pipeline_tbl[[#This Row],[Closed_Date]]=0,"",(_xlfn.XLOOKUP(Pipeline_tbl[[#This Row],[Closed_Date]],Dim_Date!A:A,Dim_Date!H:H)))</f>
        <v>Aug 2025</v>
      </c>
      <c r="U5946">
        <f>IF(Pipeline_tbl[[#This Row],[Closed_Date]]=0,"",Pipeline_tbl[[#This Row],[Closed_Date]]-Pipeline_tbl[[#This Row],[Created_Date]])</f>
        <v>13</v>
      </c>
    </row>
    <row r="5947" spans="1:21" ht="15" customHeight="1" x14ac:dyDescent="0.2">
      <c r="A5947" t="s">
        <v>6253</v>
      </c>
      <c r="B5947" t="s">
        <v>227</v>
      </c>
      <c r="C5947" t="s">
        <v>54</v>
      </c>
      <c r="D5947" s="49">
        <v>45890</v>
      </c>
      <c r="E5947" s="49">
        <v>45891</v>
      </c>
      <c r="F5947" s="49">
        <v>45892</v>
      </c>
      <c r="G5947" s="49">
        <v>45894</v>
      </c>
      <c r="H5947" s="49">
        <v>45896</v>
      </c>
      <c r="I5947" s="49">
        <v>45897</v>
      </c>
      <c r="J5947" t="s">
        <v>49</v>
      </c>
      <c r="K5947" s="33">
        <v>4400</v>
      </c>
      <c r="L5947" t="s">
        <v>60</v>
      </c>
      <c r="M5947" t="str">
        <f>_xlfn.XLOOKUP(Pipeline_tbl[[#This Row],[Rep_ID]],Dim_Reps!A:A,Dim_Reps!K:K)</f>
        <v>EUR</v>
      </c>
      <c r="N5947" s="33">
        <f>(_xlfn.XLOOKUP(Pipeline_tbl[[#This Row],[Rate_Code_Generalized]],Lookups!A:A,Lookups!B:B))*Pipeline_tbl[[#This Row],[Pipeline_Amount_USD]]</f>
        <v>4400</v>
      </c>
      <c r="O5947" t="str">
        <f>_xlfn.XLOOKUP(Pipeline_tbl[[#This Row],[Rep_ID]],Dim_Reps!A:A,Dim_Reps!B:B)</f>
        <v>Liam Muller</v>
      </c>
      <c r="P5947" t="str">
        <f>_xlfn.XLOOKUP(Pipeline_tbl[[#This Row],[Rep_ID]],Dim_Reps!A:A,Dim_Reps!C:C)</f>
        <v>SDR / Inside Sales Rep</v>
      </c>
      <c r="Q5947" t="str">
        <f>_xlfn.XLOOKUP(Pipeline_tbl[[#This Row],[Rep_ID]],Dim_Reps!A:A,Dim_Reps!D:D)</f>
        <v>Inside Sales</v>
      </c>
      <c r="R5947" t="str">
        <f>_xlfn.XLOOKUP(Pipeline_tbl[[#This Row],[Rep_ID]],Dim_Reps!A:A,Dim_Reps!E:E)</f>
        <v>EMEA</v>
      </c>
      <c r="S5947" t="str">
        <f>_xlfn.XLOOKUP(Pipeline_tbl[[#This Row],[Created_Date]],Dim_Date!A:A,Dim_Date!H:H)</f>
        <v>Aug 2025</v>
      </c>
      <c r="T5947" t="str">
        <f>IF(Pipeline_tbl[[#This Row],[Closed_Date]]=0,"",(_xlfn.XLOOKUP(Pipeline_tbl[[#This Row],[Closed_Date]],Dim_Date!A:A,Dim_Date!H:H)))</f>
        <v>Aug 2025</v>
      </c>
      <c r="U5947">
        <f>IF(Pipeline_tbl[[#This Row],[Closed_Date]]=0,"",Pipeline_tbl[[#This Row],[Closed_Date]]-Pipeline_tbl[[#This Row],[Created_Date]])</f>
        <v>7</v>
      </c>
    </row>
    <row r="5948" spans="1:21" ht="15" customHeight="1" x14ac:dyDescent="0.2">
      <c r="A5948" t="s">
        <v>6254</v>
      </c>
      <c r="B5948" t="s">
        <v>229</v>
      </c>
      <c r="C5948" t="s">
        <v>54</v>
      </c>
      <c r="D5948" s="49">
        <v>45875</v>
      </c>
      <c r="E5948" s="49">
        <v>45876</v>
      </c>
      <c r="F5948" s="49">
        <v>45879</v>
      </c>
      <c r="G5948" s="49">
        <v>45882</v>
      </c>
      <c r="H5948" s="49">
        <v>45885</v>
      </c>
      <c r="I5948" s="49">
        <v>45887</v>
      </c>
      <c r="J5948" t="s">
        <v>49</v>
      </c>
      <c r="K5948" s="33">
        <v>1700</v>
      </c>
      <c r="L5948" t="s">
        <v>62</v>
      </c>
      <c r="M5948" t="str">
        <f>_xlfn.XLOOKUP(Pipeline_tbl[[#This Row],[Rep_ID]],Dim_Reps!A:A,Dim_Reps!K:K)</f>
        <v>USD</v>
      </c>
      <c r="N5948" s="33">
        <f>(_xlfn.XLOOKUP(Pipeline_tbl[[#This Row],[Rate_Code_Generalized]],Lookups!A:A,Lookups!B:B))*Pipeline_tbl[[#This Row],[Pipeline_Amount_USD]]</f>
        <v>1979.3099999999997</v>
      </c>
      <c r="O5948" t="str">
        <f>_xlfn.XLOOKUP(Pipeline_tbl[[#This Row],[Rep_ID]],Dim_Reps!A:A,Dim_Reps!B:B)</f>
        <v>Liam Castro</v>
      </c>
      <c r="P5948" t="str">
        <f>_xlfn.XLOOKUP(Pipeline_tbl[[#This Row],[Rep_ID]],Dim_Reps!A:A,Dim_Reps!C:C)</f>
        <v>SDR / Inside Sales Rep</v>
      </c>
      <c r="Q5948" t="str">
        <f>_xlfn.XLOOKUP(Pipeline_tbl[[#This Row],[Rep_ID]],Dim_Reps!A:A,Dim_Reps!D:D)</f>
        <v>Inside Sales</v>
      </c>
      <c r="R5948" t="str">
        <f>_xlfn.XLOOKUP(Pipeline_tbl[[#This Row],[Rep_ID]],Dim_Reps!A:A,Dim_Reps!E:E)</f>
        <v>NAMER</v>
      </c>
      <c r="S5948" t="str">
        <f>_xlfn.XLOOKUP(Pipeline_tbl[[#This Row],[Created_Date]],Dim_Date!A:A,Dim_Date!H:H)</f>
        <v>Aug 2025</v>
      </c>
      <c r="T5948" t="str">
        <f>IF(Pipeline_tbl[[#This Row],[Closed_Date]]=0,"",(_xlfn.XLOOKUP(Pipeline_tbl[[#This Row],[Closed_Date]],Dim_Date!A:A,Dim_Date!H:H)))</f>
        <v>Aug 2025</v>
      </c>
      <c r="U5948">
        <f>IF(Pipeline_tbl[[#This Row],[Closed_Date]]=0,"",Pipeline_tbl[[#This Row],[Closed_Date]]-Pipeline_tbl[[#This Row],[Created_Date]])</f>
        <v>12</v>
      </c>
    </row>
    <row r="5949" spans="1:21" ht="15" customHeight="1" x14ac:dyDescent="0.2">
      <c r="A5949" t="s">
        <v>6255</v>
      </c>
      <c r="B5949" t="s">
        <v>229</v>
      </c>
      <c r="C5949" t="s">
        <v>53</v>
      </c>
      <c r="D5949" s="49">
        <v>45873</v>
      </c>
      <c r="E5949" s="49">
        <v>45875</v>
      </c>
      <c r="F5949" s="49">
        <v>45880</v>
      </c>
      <c r="G5949" s="49">
        <v>45886</v>
      </c>
      <c r="I5949" s="49">
        <v>45895</v>
      </c>
      <c r="J5949" t="s">
        <v>49</v>
      </c>
      <c r="K5949" s="33">
        <v>4900</v>
      </c>
      <c r="L5949" t="s">
        <v>64</v>
      </c>
      <c r="M5949" t="str">
        <f>_xlfn.XLOOKUP(Pipeline_tbl[[#This Row],[Rep_ID]],Dim_Reps!A:A,Dim_Reps!K:K)</f>
        <v>USD</v>
      </c>
      <c r="N5949" s="33">
        <f>(_xlfn.XLOOKUP(Pipeline_tbl[[#This Row],[Rate_Code_Generalized]],Lookups!A:A,Lookups!B:B))*Pipeline_tbl[[#This Row],[Pipeline_Amount_USD]]</f>
        <v>5705.07</v>
      </c>
      <c r="O5949" t="str">
        <f>_xlfn.XLOOKUP(Pipeline_tbl[[#This Row],[Rep_ID]],Dim_Reps!A:A,Dim_Reps!B:B)</f>
        <v>Liam Castro</v>
      </c>
      <c r="P5949" t="str">
        <f>_xlfn.XLOOKUP(Pipeline_tbl[[#This Row],[Rep_ID]],Dim_Reps!A:A,Dim_Reps!C:C)</f>
        <v>SDR / Inside Sales Rep</v>
      </c>
      <c r="Q5949" t="str">
        <f>_xlfn.XLOOKUP(Pipeline_tbl[[#This Row],[Rep_ID]],Dim_Reps!A:A,Dim_Reps!D:D)</f>
        <v>Inside Sales</v>
      </c>
      <c r="R5949" t="str">
        <f>_xlfn.XLOOKUP(Pipeline_tbl[[#This Row],[Rep_ID]],Dim_Reps!A:A,Dim_Reps!E:E)</f>
        <v>NAMER</v>
      </c>
      <c r="S5949" t="str">
        <f>_xlfn.XLOOKUP(Pipeline_tbl[[#This Row],[Created_Date]],Dim_Date!A:A,Dim_Date!H:H)</f>
        <v>Aug 2025</v>
      </c>
      <c r="T5949" t="str">
        <f>IF(Pipeline_tbl[[#This Row],[Closed_Date]]=0,"",(_xlfn.XLOOKUP(Pipeline_tbl[[#This Row],[Closed_Date]],Dim_Date!A:A,Dim_Date!H:H)))</f>
        <v>Aug 2025</v>
      </c>
      <c r="U5949">
        <f>IF(Pipeline_tbl[[#This Row],[Closed_Date]]=0,"",Pipeline_tbl[[#This Row],[Closed_Date]]-Pipeline_tbl[[#This Row],[Created_Date]])</f>
        <v>22</v>
      </c>
    </row>
    <row r="5950" spans="1:21" ht="15" customHeight="1" x14ac:dyDescent="0.2">
      <c r="A5950" t="s">
        <v>6256</v>
      </c>
      <c r="B5950" t="s">
        <v>229</v>
      </c>
      <c r="C5950" t="s">
        <v>54</v>
      </c>
      <c r="D5950" s="49">
        <v>45870</v>
      </c>
      <c r="E5950" s="49">
        <v>45872</v>
      </c>
      <c r="I5950" s="49">
        <v>45894</v>
      </c>
      <c r="J5950" t="s">
        <v>49</v>
      </c>
      <c r="K5950" s="33">
        <v>2800</v>
      </c>
      <c r="L5950" t="s">
        <v>64</v>
      </c>
      <c r="M5950" t="str">
        <f>_xlfn.XLOOKUP(Pipeline_tbl[[#This Row],[Rep_ID]],Dim_Reps!A:A,Dim_Reps!K:K)</f>
        <v>USD</v>
      </c>
      <c r="N5950" s="33">
        <f>(_xlfn.XLOOKUP(Pipeline_tbl[[#This Row],[Rate_Code_Generalized]],Lookups!A:A,Lookups!B:B))*Pipeline_tbl[[#This Row],[Pipeline_Amount_USD]]</f>
        <v>3260.0399999999995</v>
      </c>
      <c r="O5950" t="str">
        <f>_xlfn.XLOOKUP(Pipeline_tbl[[#This Row],[Rep_ID]],Dim_Reps!A:A,Dim_Reps!B:B)</f>
        <v>Liam Castro</v>
      </c>
      <c r="P5950" t="str">
        <f>_xlfn.XLOOKUP(Pipeline_tbl[[#This Row],[Rep_ID]],Dim_Reps!A:A,Dim_Reps!C:C)</f>
        <v>SDR / Inside Sales Rep</v>
      </c>
      <c r="Q5950" t="str">
        <f>_xlfn.XLOOKUP(Pipeline_tbl[[#This Row],[Rep_ID]],Dim_Reps!A:A,Dim_Reps!D:D)</f>
        <v>Inside Sales</v>
      </c>
      <c r="R5950" t="str">
        <f>_xlfn.XLOOKUP(Pipeline_tbl[[#This Row],[Rep_ID]],Dim_Reps!A:A,Dim_Reps!E:E)</f>
        <v>NAMER</v>
      </c>
      <c r="S5950" t="str">
        <f>_xlfn.XLOOKUP(Pipeline_tbl[[#This Row],[Created_Date]],Dim_Date!A:A,Dim_Date!H:H)</f>
        <v>Aug 2025</v>
      </c>
      <c r="T5950" t="str">
        <f>IF(Pipeline_tbl[[#This Row],[Closed_Date]]=0,"",(_xlfn.XLOOKUP(Pipeline_tbl[[#This Row],[Closed_Date]],Dim_Date!A:A,Dim_Date!H:H)))</f>
        <v>Aug 2025</v>
      </c>
      <c r="U5950">
        <f>IF(Pipeline_tbl[[#This Row],[Closed_Date]]=0,"",Pipeline_tbl[[#This Row],[Closed_Date]]-Pipeline_tbl[[#This Row],[Created_Date]])</f>
        <v>24</v>
      </c>
    </row>
    <row r="5951" spans="1:21" ht="15" customHeight="1" x14ac:dyDescent="0.2">
      <c r="A5951" t="s">
        <v>6257</v>
      </c>
      <c r="B5951" t="s">
        <v>229</v>
      </c>
      <c r="C5951" t="s">
        <v>55</v>
      </c>
      <c r="D5951" s="49">
        <v>45874</v>
      </c>
      <c r="E5951" s="49">
        <v>45875</v>
      </c>
      <c r="F5951" s="49">
        <v>45877</v>
      </c>
      <c r="G5951" s="49">
        <v>45881</v>
      </c>
      <c r="H5951" s="49">
        <v>45883</v>
      </c>
      <c r="I5951" s="49">
        <v>45885</v>
      </c>
      <c r="J5951" t="s">
        <v>49</v>
      </c>
      <c r="K5951" s="33">
        <v>5300</v>
      </c>
      <c r="L5951" t="s">
        <v>63</v>
      </c>
      <c r="M5951" t="str">
        <f>_xlfn.XLOOKUP(Pipeline_tbl[[#This Row],[Rep_ID]],Dim_Reps!A:A,Dim_Reps!K:K)</f>
        <v>USD</v>
      </c>
      <c r="N5951" s="33">
        <f>(_xlfn.XLOOKUP(Pipeline_tbl[[#This Row],[Rate_Code_Generalized]],Lookups!A:A,Lookups!B:B))*Pipeline_tbl[[#This Row],[Pipeline_Amount_USD]]</f>
        <v>6170.7899999999991</v>
      </c>
      <c r="O5951" t="str">
        <f>_xlfn.XLOOKUP(Pipeline_tbl[[#This Row],[Rep_ID]],Dim_Reps!A:A,Dim_Reps!B:B)</f>
        <v>Liam Castro</v>
      </c>
      <c r="P5951" t="str">
        <f>_xlfn.XLOOKUP(Pipeline_tbl[[#This Row],[Rep_ID]],Dim_Reps!A:A,Dim_Reps!C:C)</f>
        <v>SDR / Inside Sales Rep</v>
      </c>
      <c r="Q5951" t="str">
        <f>_xlfn.XLOOKUP(Pipeline_tbl[[#This Row],[Rep_ID]],Dim_Reps!A:A,Dim_Reps!D:D)</f>
        <v>Inside Sales</v>
      </c>
      <c r="R5951" t="str">
        <f>_xlfn.XLOOKUP(Pipeline_tbl[[#This Row],[Rep_ID]],Dim_Reps!A:A,Dim_Reps!E:E)</f>
        <v>NAMER</v>
      </c>
      <c r="S5951" t="str">
        <f>_xlfn.XLOOKUP(Pipeline_tbl[[#This Row],[Created_Date]],Dim_Date!A:A,Dim_Date!H:H)</f>
        <v>Aug 2025</v>
      </c>
      <c r="T5951" t="str">
        <f>IF(Pipeline_tbl[[#This Row],[Closed_Date]]=0,"",(_xlfn.XLOOKUP(Pipeline_tbl[[#This Row],[Closed_Date]],Dim_Date!A:A,Dim_Date!H:H)))</f>
        <v>Aug 2025</v>
      </c>
      <c r="U5951">
        <f>IF(Pipeline_tbl[[#This Row],[Closed_Date]]=0,"",Pipeline_tbl[[#This Row],[Closed_Date]]-Pipeline_tbl[[#This Row],[Created_Date]])</f>
        <v>11</v>
      </c>
    </row>
    <row r="5952" spans="1:21" ht="15" customHeight="1" x14ac:dyDescent="0.2">
      <c r="A5952" t="s">
        <v>6258</v>
      </c>
      <c r="B5952" t="s">
        <v>231</v>
      </c>
      <c r="C5952" t="s">
        <v>52</v>
      </c>
      <c r="D5952" s="49">
        <v>45873</v>
      </c>
      <c r="E5952" s="49">
        <v>45875</v>
      </c>
      <c r="F5952" s="49">
        <v>45878</v>
      </c>
      <c r="G5952" s="49">
        <v>45883</v>
      </c>
      <c r="H5952" s="49">
        <v>45887</v>
      </c>
      <c r="I5952" s="49">
        <v>45890</v>
      </c>
      <c r="J5952" t="s">
        <v>47</v>
      </c>
      <c r="K5952" s="33">
        <v>2400</v>
      </c>
      <c r="M5952" t="str">
        <f>_xlfn.XLOOKUP(Pipeline_tbl[[#This Row],[Rep_ID]],Dim_Reps!A:A,Dim_Reps!K:K)</f>
        <v>MXN</v>
      </c>
      <c r="N5952" s="33">
        <f>(_xlfn.XLOOKUP(Pipeline_tbl[[#This Row],[Rate_Code_Generalized]],Lookups!A:A,Lookups!B:B))*Pipeline_tbl[[#This Row],[Pipeline_Amount_USD]]</f>
        <v>47358.48</v>
      </c>
      <c r="O5952" t="str">
        <f>_xlfn.XLOOKUP(Pipeline_tbl[[#This Row],[Rep_ID]],Dim_Reps!A:A,Dim_Reps!B:B)</f>
        <v>Ben Silva</v>
      </c>
      <c r="P5952" t="str">
        <f>_xlfn.XLOOKUP(Pipeline_tbl[[#This Row],[Rep_ID]],Dim_Reps!A:A,Dim_Reps!C:C)</f>
        <v>SDR / Inside Sales Rep</v>
      </c>
      <c r="Q5952" t="str">
        <f>_xlfn.XLOOKUP(Pipeline_tbl[[#This Row],[Rep_ID]],Dim_Reps!A:A,Dim_Reps!D:D)</f>
        <v>Inside Sales</v>
      </c>
      <c r="R5952" t="str">
        <f>_xlfn.XLOOKUP(Pipeline_tbl[[#This Row],[Rep_ID]],Dim_Reps!A:A,Dim_Reps!E:E)</f>
        <v>LATAM</v>
      </c>
      <c r="S5952" t="str">
        <f>_xlfn.XLOOKUP(Pipeline_tbl[[#This Row],[Created_Date]],Dim_Date!A:A,Dim_Date!H:H)</f>
        <v>Aug 2025</v>
      </c>
      <c r="T5952" t="str">
        <f>IF(Pipeline_tbl[[#This Row],[Closed_Date]]=0,"",(_xlfn.XLOOKUP(Pipeline_tbl[[#This Row],[Closed_Date]],Dim_Date!A:A,Dim_Date!H:H)))</f>
        <v>Aug 2025</v>
      </c>
      <c r="U5952">
        <f>IF(Pipeline_tbl[[#This Row],[Closed_Date]]=0,"",Pipeline_tbl[[#This Row],[Closed_Date]]-Pipeline_tbl[[#This Row],[Created_Date]])</f>
        <v>17</v>
      </c>
    </row>
    <row r="5953" spans="1:21" ht="15" customHeight="1" x14ac:dyDescent="0.2">
      <c r="A5953" t="s">
        <v>6259</v>
      </c>
      <c r="B5953" t="s">
        <v>231</v>
      </c>
      <c r="C5953" t="s">
        <v>52</v>
      </c>
      <c r="D5953" s="49">
        <v>45874</v>
      </c>
      <c r="E5953" s="49">
        <v>45875</v>
      </c>
      <c r="F5953" s="49">
        <v>45877</v>
      </c>
      <c r="G5953" s="49">
        <v>45879</v>
      </c>
      <c r="H5953" s="49">
        <v>45882</v>
      </c>
      <c r="I5953" s="49">
        <v>45883</v>
      </c>
      <c r="J5953" t="s">
        <v>49</v>
      </c>
      <c r="K5953" s="33">
        <v>3400</v>
      </c>
      <c r="L5953" t="s">
        <v>60</v>
      </c>
      <c r="M5953" t="str">
        <f>_xlfn.XLOOKUP(Pipeline_tbl[[#This Row],[Rep_ID]],Dim_Reps!A:A,Dim_Reps!K:K)</f>
        <v>MXN</v>
      </c>
      <c r="N5953" s="33">
        <f>(_xlfn.XLOOKUP(Pipeline_tbl[[#This Row],[Rate_Code_Generalized]],Lookups!A:A,Lookups!B:B))*Pipeline_tbl[[#This Row],[Pipeline_Amount_USD]]</f>
        <v>67091.180000000008</v>
      </c>
      <c r="O5953" t="str">
        <f>_xlfn.XLOOKUP(Pipeline_tbl[[#This Row],[Rep_ID]],Dim_Reps!A:A,Dim_Reps!B:B)</f>
        <v>Ben Silva</v>
      </c>
      <c r="P5953" t="str">
        <f>_xlfn.XLOOKUP(Pipeline_tbl[[#This Row],[Rep_ID]],Dim_Reps!A:A,Dim_Reps!C:C)</f>
        <v>SDR / Inside Sales Rep</v>
      </c>
      <c r="Q5953" t="str">
        <f>_xlfn.XLOOKUP(Pipeline_tbl[[#This Row],[Rep_ID]],Dim_Reps!A:A,Dim_Reps!D:D)</f>
        <v>Inside Sales</v>
      </c>
      <c r="R5953" t="str">
        <f>_xlfn.XLOOKUP(Pipeline_tbl[[#This Row],[Rep_ID]],Dim_Reps!A:A,Dim_Reps!E:E)</f>
        <v>LATAM</v>
      </c>
      <c r="S5953" t="str">
        <f>_xlfn.XLOOKUP(Pipeline_tbl[[#This Row],[Created_Date]],Dim_Date!A:A,Dim_Date!H:H)</f>
        <v>Aug 2025</v>
      </c>
      <c r="T5953" t="str">
        <f>IF(Pipeline_tbl[[#This Row],[Closed_Date]]=0,"",(_xlfn.XLOOKUP(Pipeline_tbl[[#This Row],[Closed_Date]],Dim_Date!A:A,Dim_Date!H:H)))</f>
        <v>Aug 2025</v>
      </c>
      <c r="U5953">
        <f>IF(Pipeline_tbl[[#This Row],[Closed_Date]]=0,"",Pipeline_tbl[[#This Row],[Closed_Date]]-Pipeline_tbl[[#This Row],[Created_Date]])</f>
        <v>9</v>
      </c>
    </row>
    <row r="5954" spans="1:21" ht="15" customHeight="1" x14ac:dyDescent="0.2">
      <c r="A5954" t="s">
        <v>6260</v>
      </c>
      <c r="B5954" t="s">
        <v>231</v>
      </c>
      <c r="C5954" t="s">
        <v>53</v>
      </c>
      <c r="D5954" s="49">
        <v>45873</v>
      </c>
      <c r="E5954" s="49">
        <v>45875</v>
      </c>
      <c r="F5954" s="49">
        <v>45878</v>
      </c>
      <c r="I5954" s="49">
        <v>45891</v>
      </c>
      <c r="J5954" t="s">
        <v>49</v>
      </c>
      <c r="K5954" s="33">
        <v>3800</v>
      </c>
      <c r="L5954" t="s">
        <v>64</v>
      </c>
      <c r="M5954" t="str">
        <f>_xlfn.XLOOKUP(Pipeline_tbl[[#This Row],[Rep_ID]],Dim_Reps!A:A,Dim_Reps!K:K)</f>
        <v>MXN</v>
      </c>
      <c r="N5954" s="33">
        <f>(_xlfn.XLOOKUP(Pipeline_tbl[[#This Row],[Rate_Code_Generalized]],Lookups!A:A,Lookups!B:B))*Pipeline_tbl[[#This Row],[Pipeline_Amount_USD]]</f>
        <v>74984.260000000009</v>
      </c>
      <c r="O5954" t="str">
        <f>_xlfn.XLOOKUP(Pipeline_tbl[[#This Row],[Rep_ID]],Dim_Reps!A:A,Dim_Reps!B:B)</f>
        <v>Ben Silva</v>
      </c>
      <c r="P5954" t="str">
        <f>_xlfn.XLOOKUP(Pipeline_tbl[[#This Row],[Rep_ID]],Dim_Reps!A:A,Dim_Reps!C:C)</f>
        <v>SDR / Inside Sales Rep</v>
      </c>
      <c r="Q5954" t="str">
        <f>_xlfn.XLOOKUP(Pipeline_tbl[[#This Row],[Rep_ID]],Dim_Reps!A:A,Dim_Reps!D:D)</f>
        <v>Inside Sales</v>
      </c>
      <c r="R5954" t="str">
        <f>_xlfn.XLOOKUP(Pipeline_tbl[[#This Row],[Rep_ID]],Dim_Reps!A:A,Dim_Reps!E:E)</f>
        <v>LATAM</v>
      </c>
      <c r="S5954" t="str">
        <f>_xlfn.XLOOKUP(Pipeline_tbl[[#This Row],[Created_Date]],Dim_Date!A:A,Dim_Date!H:H)</f>
        <v>Aug 2025</v>
      </c>
      <c r="T5954" t="str">
        <f>IF(Pipeline_tbl[[#This Row],[Closed_Date]]=0,"",(_xlfn.XLOOKUP(Pipeline_tbl[[#This Row],[Closed_Date]],Dim_Date!A:A,Dim_Date!H:H)))</f>
        <v>Aug 2025</v>
      </c>
      <c r="U5954">
        <f>IF(Pipeline_tbl[[#This Row],[Closed_Date]]=0,"",Pipeline_tbl[[#This Row],[Closed_Date]]-Pipeline_tbl[[#This Row],[Created_Date]])</f>
        <v>18</v>
      </c>
    </row>
    <row r="5955" spans="1:21" ht="15" customHeight="1" x14ac:dyDescent="0.2">
      <c r="A5955" t="s">
        <v>6261</v>
      </c>
      <c r="B5955" t="s">
        <v>231</v>
      </c>
      <c r="C5955" t="s">
        <v>54</v>
      </c>
      <c r="D5955" s="49">
        <v>45884</v>
      </c>
      <c r="E5955" s="49">
        <v>45886</v>
      </c>
      <c r="F5955" s="49">
        <v>45889</v>
      </c>
      <c r="I5955" s="49">
        <v>45899</v>
      </c>
      <c r="J5955" t="s">
        <v>49</v>
      </c>
      <c r="K5955" s="33">
        <v>8200</v>
      </c>
      <c r="L5955" t="s">
        <v>64</v>
      </c>
      <c r="M5955" t="str">
        <f>_xlfn.XLOOKUP(Pipeline_tbl[[#This Row],[Rep_ID]],Dim_Reps!A:A,Dim_Reps!K:K)</f>
        <v>MXN</v>
      </c>
      <c r="N5955" s="33">
        <f>(_xlfn.XLOOKUP(Pipeline_tbl[[#This Row],[Rate_Code_Generalized]],Lookups!A:A,Lookups!B:B))*Pipeline_tbl[[#This Row],[Pipeline_Amount_USD]]</f>
        <v>161808.14000000001</v>
      </c>
      <c r="O5955" t="str">
        <f>_xlfn.XLOOKUP(Pipeline_tbl[[#This Row],[Rep_ID]],Dim_Reps!A:A,Dim_Reps!B:B)</f>
        <v>Ben Silva</v>
      </c>
      <c r="P5955" t="str">
        <f>_xlfn.XLOOKUP(Pipeline_tbl[[#This Row],[Rep_ID]],Dim_Reps!A:A,Dim_Reps!C:C)</f>
        <v>SDR / Inside Sales Rep</v>
      </c>
      <c r="Q5955" t="str">
        <f>_xlfn.XLOOKUP(Pipeline_tbl[[#This Row],[Rep_ID]],Dim_Reps!A:A,Dim_Reps!D:D)</f>
        <v>Inside Sales</v>
      </c>
      <c r="R5955" t="str">
        <f>_xlfn.XLOOKUP(Pipeline_tbl[[#This Row],[Rep_ID]],Dim_Reps!A:A,Dim_Reps!E:E)</f>
        <v>LATAM</v>
      </c>
      <c r="S5955" t="str">
        <f>_xlfn.XLOOKUP(Pipeline_tbl[[#This Row],[Created_Date]],Dim_Date!A:A,Dim_Date!H:H)</f>
        <v>Aug 2025</v>
      </c>
      <c r="T5955" t="str">
        <f>IF(Pipeline_tbl[[#This Row],[Closed_Date]]=0,"",(_xlfn.XLOOKUP(Pipeline_tbl[[#This Row],[Closed_Date]],Dim_Date!A:A,Dim_Date!H:H)))</f>
        <v>Aug 2025</v>
      </c>
      <c r="U5955">
        <f>IF(Pipeline_tbl[[#This Row],[Closed_Date]]=0,"",Pipeline_tbl[[#This Row],[Closed_Date]]-Pipeline_tbl[[#This Row],[Created_Date]])</f>
        <v>15</v>
      </c>
    </row>
    <row r="5956" spans="1:21" ht="15" customHeight="1" x14ac:dyDescent="0.2">
      <c r="A5956" t="s">
        <v>6262</v>
      </c>
      <c r="B5956" t="s">
        <v>231</v>
      </c>
      <c r="C5956" t="s">
        <v>56</v>
      </c>
      <c r="D5956" s="49">
        <v>45884</v>
      </c>
      <c r="E5956" s="49">
        <v>45886</v>
      </c>
      <c r="F5956" s="49">
        <v>45889</v>
      </c>
      <c r="G5956" s="49">
        <v>45893</v>
      </c>
      <c r="H5956" s="49">
        <v>45897</v>
      </c>
      <c r="I5956" s="49">
        <v>45899</v>
      </c>
      <c r="J5956" t="s">
        <v>49</v>
      </c>
      <c r="K5956" s="33">
        <v>3800</v>
      </c>
      <c r="L5956" t="s">
        <v>63</v>
      </c>
      <c r="M5956" t="str">
        <f>_xlfn.XLOOKUP(Pipeline_tbl[[#This Row],[Rep_ID]],Dim_Reps!A:A,Dim_Reps!K:K)</f>
        <v>MXN</v>
      </c>
      <c r="N5956" s="33">
        <f>(_xlfn.XLOOKUP(Pipeline_tbl[[#This Row],[Rate_Code_Generalized]],Lookups!A:A,Lookups!B:B))*Pipeline_tbl[[#This Row],[Pipeline_Amount_USD]]</f>
        <v>74984.260000000009</v>
      </c>
      <c r="O5956" t="str">
        <f>_xlfn.XLOOKUP(Pipeline_tbl[[#This Row],[Rep_ID]],Dim_Reps!A:A,Dim_Reps!B:B)</f>
        <v>Ben Silva</v>
      </c>
      <c r="P5956" t="str">
        <f>_xlfn.XLOOKUP(Pipeline_tbl[[#This Row],[Rep_ID]],Dim_Reps!A:A,Dim_Reps!C:C)</f>
        <v>SDR / Inside Sales Rep</v>
      </c>
      <c r="Q5956" t="str">
        <f>_xlfn.XLOOKUP(Pipeline_tbl[[#This Row],[Rep_ID]],Dim_Reps!A:A,Dim_Reps!D:D)</f>
        <v>Inside Sales</v>
      </c>
      <c r="R5956" t="str">
        <f>_xlfn.XLOOKUP(Pipeline_tbl[[#This Row],[Rep_ID]],Dim_Reps!A:A,Dim_Reps!E:E)</f>
        <v>LATAM</v>
      </c>
      <c r="S5956" t="str">
        <f>_xlfn.XLOOKUP(Pipeline_tbl[[#This Row],[Created_Date]],Dim_Date!A:A,Dim_Date!H:H)</f>
        <v>Aug 2025</v>
      </c>
      <c r="T5956" t="str">
        <f>IF(Pipeline_tbl[[#This Row],[Closed_Date]]=0,"",(_xlfn.XLOOKUP(Pipeline_tbl[[#This Row],[Closed_Date]],Dim_Date!A:A,Dim_Date!H:H)))</f>
        <v>Aug 2025</v>
      </c>
      <c r="U5956">
        <f>IF(Pipeline_tbl[[#This Row],[Closed_Date]]=0,"",Pipeline_tbl[[#This Row],[Closed_Date]]-Pipeline_tbl[[#This Row],[Created_Date]])</f>
        <v>15</v>
      </c>
    </row>
    <row r="5957" spans="1:21" ht="15" customHeight="1" x14ac:dyDescent="0.2">
      <c r="A5957" t="s">
        <v>6263</v>
      </c>
      <c r="B5957" t="s">
        <v>231</v>
      </c>
      <c r="C5957" t="s">
        <v>55</v>
      </c>
      <c r="D5957" s="49">
        <v>45880</v>
      </c>
      <c r="E5957" s="49">
        <v>45881</v>
      </c>
      <c r="I5957" s="49">
        <v>45889</v>
      </c>
      <c r="J5957" t="s">
        <v>49</v>
      </c>
      <c r="K5957" s="33">
        <v>3300</v>
      </c>
      <c r="L5957" t="s">
        <v>60</v>
      </c>
      <c r="M5957" t="str">
        <f>_xlfn.XLOOKUP(Pipeline_tbl[[#This Row],[Rep_ID]],Dim_Reps!A:A,Dim_Reps!K:K)</f>
        <v>MXN</v>
      </c>
      <c r="N5957" s="33">
        <f>(_xlfn.XLOOKUP(Pipeline_tbl[[#This Row],[Rate_Code_Generalized]],Lookups!A:A,Lookups!B:B))*Pipeline_tbl[[#This Row],[Pipeline_Amount_USD]]</f>
        <v>65117.91</v>
      </c>
      <c r="O5957" t="str">
        <f>_xlfn.XLOOKUP(Pipeline_tbl[[#This Row],[Rep_ID]],Dim_Reps!A:A,Dim_Reps!B:B)</f>
        <v>Ben Silva</v>
      </c>
      <c r="P5957" t="str">
        <f>_xlfn.XLOOKUP(Pipeline_tbl[[#This Row],[Rep_ID]],Dim_Reps!A:A,Dim_Reps!C:C)</f>
        <v>SDR / Inside Sales Rep</v>
      </c>
      <c r="Q5957" t="str">
        <f>_xlfn.XLOOKUP(Pipeline_tbl[[#This Row],[Rep_ID]],Dim_Reps!A:A,Dim_Reps!D:D)</f>
        <v>Inside Sales</v>
      </c>
      <c r="R5957" t="str">
        <f>_xlfn.XLOOKUP(Pipeline_tbl[[#This Row],[Rep_ID]],Dim_Reps!A:A,Dim_Reps!E:E)</f>
        <v>LATAM</v>
      </c>
      <c r="S5957" t="str">
        <f>_xlfn.XLOOKUP(Pipeline_tbl[[#This Row],[Created_Date]],Dim_Date!A:A,Dim_Date!H:H)</f>
        <v>Aug 2025</v>
      </c>
      <c r="T5957" t="str">
        <f>IF(Pipeline_tbl[[#This Row],[Closed_Date]]=0,"",(_xlfn.XLOOKUP(Pipeline_tbl[[#This Row],[Closed_Date]],Dim_Date!A:A,Dim_Date!H:H)))</f>
        <v>Aug 2025</v>
      </c>
      <c r="U5957">
        <f>IF(Pipeline_tbl[[#This Row],[Closed_Date]]=0,"",Pipeline_tbl[[#This Row],[Closed_Date]]-Pipeline_tbl[[#This Row],[Created_Date]])</f>
        <v>9</v>
      </c>
    </row>
    <row r="5958" spans="1:21" ht="15" customHeight="1" x14ac:dyDescent="0.2">
      <c r="A5958" t="s">
        <v>6264</v>
      </c>
      <c r="B5958" t="s">
        <v>231</v>
      </c>
      <c r="C5958" t="s">
        <v>56</v>
      </c>
      <c r="D5958" s="49">
        <v>45873</v>
      </c>
      <c r="E5958" s="49">
        <v>45875</v>
      </c>
      <c r="I5958" s="49">
        <v>45897</v>
      </c>
      <c r="J5958" t="s">
        <v>49</v>
      </c>
      <c r="K5958" s="33">
        <v>1300</v>
      </c>
      <c r="L5958" t="s">
        <v>64</v>
      </c>
      <c r="M5958" t="str">
        <f>_xlfn.XLOOKUP(Pipeline_tbl[[#This Row],[Rep_ID]],Dim_Reps!A:A,Dim_Reps!K:K)</f>
        <v>MXN</v>
      </c>
      <c r="N5958" s="33">
        <f>(_xlfn.XLOOKUP(Pipeline_tbl[[#This Row],[Rate_Code_Generalized]],Lookups!A:A,Lookups!B:B))*Pipeline_tbl[[#This Row],[Pipeline_Amount_USD]]</f>
        <v>25652.510000000002</v>
      </c>
      <c r="O5958" t="str">
        <f>_xlfn.XLOOKUP(Pipeline_tbl[[#This Row],[Rep_ID]],Dim_Reps!A:A,Dim_Reps!B:B)</f>
        <v>Ben Silva</v>
      </c>
      <c r="P5958" t="str">
        <f>_xlfn.XLOOKUP(Pipeline_tbl[[#This Row],[Rep_ID]],Dim_Reps!A:A,Dim_Reps!C:C)</f>
        <v>SDR / Inside Sales Rep</v>
      </c>
      <c r="Q5958" t="str">
        <f>_xlfn.XLOOKUP(Pipeline_tbl[[#This Row],[Rep_ID]],Dim_Reps!A:A,Dim_Reps!D:D)</f>
        <v>Inside Sales</v>
      </c>
      <c r="R5958" t="str">
        <f>_xlfn.XLOOKUP(Pipeline_tbl[[#This Row],[Rep_ID]],Dim_Reps!A:A,Dim_Reps!E:E)</f>
        <v>LATAM</v>
      </c>
      <c r="S5958" t="str">
        <f>_xlfn.XLOOKUP(Pipeline_tbl[[#This Row],[Created_Date]],Dim_Date!A:A,Dim_Date!H:H)</f>
        <v>Aug 2025</v>
      </c>
      <c r="T5958" t="str">
        <f>IF(Pipeline_tbl[[#This Row],[Closed_Date]]=0,"",(_xlfn.XLOOKUP(Pipeline_tbl[[#This Row],[Closed_Date]],Dim_Date!A:A,Dim_Date!H:H)))</f>
        <v>Aug 2025</v>
      </c>
      <c r="U5958">
        <f>IF(Pipeline_tbl[[#This Row],[Closed_Date]]=0,"",Pipeline_tbl[[#This Row],[Closed_Date]]-Pipeline_tbl[[#This Row],[Created_Date]])</f>
        <v>24</v>
      </c>
    </row>
    <row r="5959" spans="1:21" ht="15" customHeight="1" x14ac:dyDescent="0.2">
      <c r="A5959" t="s">
        <v>6265</v>
      </c>
      <c r="B5959" t="s">
        <v>231</v>
      </c>
      <c r="C5959" t="s">
        <v>52</v>
      </c>
      <c r="D5959" s="49">
        <v>45881</v>
      </c>
      <c r="E5959" s="49">
        <v>45883</v>
      </c>
      <c r="F5959" s="49">
        <v>45887</v>
      </c>
      <c r="I5959" s="49">
        <v>45900</v>
      </c>
      <c r="J5959" t="s">
        <v>49</v>
      </c>
      <c r="K5959" s="33">
        <v>3900</v>
      </c>
      <c r="L5959" t="s">
        <v>63</v>
      </c>
      <c r="M5959" t="str">
        <f>_xlfn.XLOOKUP(Pipeline_tbl[[#This Row],[Rep_ID]],Dim_Reps!A:A,Dim_Reps!K:K)</f>
        <v>MXN</v>
      </c>
      <c r="N5959" s="33">
        <f>(_xlfn.XLOOKUP(Pipeline_tbl[[#This Row],[Rate_Code_Generalized]],Lookups!A:A,Lookups!B:B))*Pipeline_tbl[[#This Row],[Pipeline_Amount_USD]]</f>
        <v>76957.53</v>
      </c>
      <c r="O5959" t="str">
        <f>_xlfn.XLOOKUP(Pipeline_tbl[[#This Row],[Rep_ID]],Dim_Reps!A:A,Dim_Reps!B:B)</f>
        <v>Ben Silva</v>
      </c>
      <c r="P5959" t="str">
        <f>_xlfn.XLOOKUP(Pipeline_tbl[[#This Row],[Rep_ID]],Dim_Reps!A:A,Dim_Reps!C:C)</f>
        <v>SDR / Inside Sales Rep</v>
      </c>
      <c r="Q5959" t="str">
        <f>_xlfn.XLOOKUP(Pipeline_tbl[[#This Row],[Rep_ID]],Dim_Reps!A:A,Dim_Reps!D:D)</f>
        <v>Inside Sales</v>
      </c>
      <c r="R5959" t="str">
        <f>_xlfn.XLOOKUP(Pipeline_tbl[[#This Row],[Rep_ID]],Dim_Reps!A:A,Dim_Reps!E:E)</f>
        <v>LATAM</v>
      </c>
      <c r="S5959" t="str">
        <f>_xlfn.XLOOKUP(Pipeline_tbl[[#This Row],[Created_Date]],Dim_Date!A:A,Dim_Date!H:H)</f>
        <v>Aug 2025</v>
      </c>
      <c r="T5959" t="str">
        <f>IF(Pipeline_tbl[[#This Row],[Closed_Date]]=0,"",(_xlfn.XLOOKUP(Pipeline_tbl[[#This Row],[Closed_Date]],Dim_Date!A:A,Dim_Date!H:H)))</f>
        <v>Aug 2025</v>
      </c>
      <c r="U5959">
        <f>IF(Pipeline_tbl[[#This Row],[Closed_Date]]=0,"",Pipeline_tbl[[#This Row],[Closed_Date]]-Pipeline_tbl[[#This Row],[Created_Date]])</f>
        <v>19</v>
      </c>
    </row>
    <row r="5960" spans="1:21" ht="15" customHeight="1" x14ac:dyDescent="0.2">
      <c r="A5960" t="s">
        <v>6266</v>
      </c>
      <c r="B5960" t="s">
        <v>231</v>
      </c>
      <c r="C5960" t="s">
        <v>52</v>
      </c>
      <c r="D5960" s="49">
        <v>45876</v>
      </c>
      <c r="E5960" s="49">
        <v>45878</v>
      </c>
      <c r="F5960" s="49">
        <v>45881</v>
      </c>
      <c r="I5960" s="49">
        <v>45891</v>
      </c>
      <c r="J5960" t="s">
        <v>49</v>
      </c>
      <c r="K5960" s="33">
        <v>3400</v>
      </c>
      <c r="L5960" t="s">
        <v>64</v>
      </c>
      <c r="M5960" t="str">
        <f>_xlfn.XLOOKUP(Pipeline_tbl[[#This Row],[Rep_ID]],Dim_Reps!A:A,Dim_Reps!K:K)</f>
        <v>MXN</v>
      </c>
      <c r="N5960" s="33">
        <f>(_xlfn.XLOOKUP(Pipeline_tbl[[#This Row],[Rate_Code_Generalized]],Lookups!A:A,Lookups!B:B))*Pipeline_tbl[[#This Row],[Pipeline_Amount_USD]]</f>
        <v>67091.180000000008</v>
      </c>
      <c r="O5960" t="str">
        <f>_xlfn.XLOOKUP(Pipeline_tbl[[#This Row],[Rep_ID]],Dim_Reps!A:A,Dim_Reps!B:B)</f>
        <v>Ben Silva</v>
      </c>
      <c r="P5960" t="str">
        <f>_xlfn.XLOOKUP(Pipeline_tbl[[#This Row],[Rep_ID]],Dim_Reps!A:A,Dim_Reps!C:C)</f>
        <v>SDR / Inside Sales Rep</v>
      </c>
      <c r="Q5960" t="str">
        <f>_xlfn.XLOOKUP(Pipeline_tbl[[#This Row],[Rep_ID]],Dim_Reps!A:A,Dim_Reps!D:D)</f>
        <v>Inside Sales</v>
      </c>
      <c r="R5960" t="str">
        <f>_xlfn.XLOOKUP(Pipeline_tbl[[#This Row],[Rep_ID]],Dim_Reps!A:A,Dim_Reps!E:E)</f>
        <v>LATAM</v>
      </c>
      <c r="S5960" t="str">
        <f>_xlfn.XLOOKUP(Pipeline_tbl[[#This Row],[Created_Date]],Dim_Date!A:A,Dim_Date!H:H)</f>
        <v>Aug 2025</v>
      </c>
      <c r="T5960" t="str">
        <f>IF(Pipeline_tbl[[#This Row],[Closed_Date]]=0,"",(_xlfn.XLOOKUP(Pipeline_tbl[[#This Row],[Closed_Date]],Dim_Date!A:A,Dim_Date!H:H)))</f>
        <v>Aug 2025</v>
      </c>
      <c r="U5960">
        <f>IF(Pipeline_tbl[[#This Row],[Closed_Date]]=0,"",Pipeline_tbl[[#This Row],[Closed_Date]]-Pipeline_tbl[[#This Row],[Created_Date]])</f>
        <v>15</v>
      </c>
    </row>
    <row r="5961" spans="1:21" ht="15" customHeight="1" x14ac:dyDescent="0.2">
      <c r="A5961" t="s">
        <v>6267</v>
      </c>
      <c r="B5961" t="s">
        <v>233</v>
      </c>
      <c r="C5961" t="s">
        <v>56</v>
      </c>
      <c r="D5961" s="49">
        <v>45871</v>
      </c>
      <c r="E5961" s="49">
        <v>45873</v>
      </c>
      <c r="F5961" s="49">
        <v>45876</v>
      </c>
      <c r="G5961" s="49">
        <v>45881</v>
      </c>
      <c r="H5961" s="49">
        <v>45885</v>
      </c>
      <c r="I5961" s="49">
        <v>45887</v>
      </c>
      <c r="J5961" t="s">
        <v>47</v>
      </c>
      <c r="K5961" s="33">
        <v>5300</v>
      </c>
      <c r="M5961" t="str">
        <f>_xlfn.XLOOKUP(Pipeline_tbl[[#This Row],[Rep_ID]],Dim_Reps!A:A,Dim_Reps!K:K)</f>
        <v>MXN</v>
      </c>
      <c r="N5961" s="33">
        <f>(_xlfn.XLOOKUP(Pipeline_tbl[[#This Row],[Rate_Code_Generalized]],Lookups!A:A,Lookups!B:B))*Pipeline_tbl[[#This Row],[Pipeline_Amount_USD]]</f>
        <v>104583.31000000001</v>
      </c>
      <c r="O5961" t="str">
        <f>_xlfn.XLOOKUP(Pipeline_tbl[[#This Row],[Rep_ID]],Dim_Reps!A:A,Dim_Reps!B:B)</f>
        <v>Lucas Duarte</v>
      </c>
      <c r="P5961" t="str">
        <f>_xlfn.XLOOKUP(Pipeline_tbl[[#This Row],[Rep_ID]],Dim_Reps!A:A,Dim_Reps!C:C)</f>
        <v>SDR / Inside Sales Rep</v>
      </c>
      <c r="Q5961" t="str">
        <f>_xlfn.XLOOKUP(Pipeline_tbl[[#This Row],[Rep_ID]],Dim_Reps!A:A,Dim_Reps!D:D)</f>
        <v>Inside Sales</v>
      </c>
      <c r="R5961" t="str">
        <f>_xlfn.XLOOKUP(Pipeline_tbl[[#This Row],[Rep_ID]],Dim_Reps!A:A,Dim_Reps!E:E)</f>
        <v>LATAM</v>
      </c>
      <c r="S5961" t="str">
        <f>_xlfn.XLOOKUP(Pipeline_tbl[[#This Row],[Created_Date]],Dim_Date!A:A,Dim_Date!H:H)</f>
        <v>Aug 2025</v>
      </c>
      <c r="T5961" t="str">
        <f>IF(Pipeline_tbl[[#This Row],[Closed_Date]]=0,"",(_xlfn.XLOOKUP(Pipeline_tbl[[#This Row],[Closed_Date]],Dim_Date!A:A,Dim_Date!H:H)))</f>
        <v>Aug 2025</v>
      </c>
      <c r="U5961">
        <f>IF(Pipeline_tbl[[#This Row],[Closed_Date]]=0,"",Pipeline_tbl[[#This Row],[Closed_Date]]-Pipeline_tbl[[#This Row],[Created_Date]])</f>
        <v>16</v>
      </c>
    </row>
    <row r="5962" spans="1:21" ht="15" customHeight="1" x14ac:dyDescent="0.2">
      <c r="A5962" t="s">
        <v>6268</v>
      </c>
      <c r="B5962" t="s">
        <v>233</v>
      </c>
      <c r="C5962" t="s">
        <v>53</v>
      </c>
      <c r="D5962" s="49">
        <v>45872</v>
      </c>
      <c r="E5962" s="49">
        <v>45874</v>
      </c>
      <c r="F5962" s="49">
        <v>45877</v>
      </c>
      <c r="G5962" s="49">
        <v>45883</v>
      </c>
      <c r="H5962" s="49">
        <v>45887</v>
      </c>
      <c r="I5962" s="49">
        <v>45890</v>
      </c>
      <c r="J5962" t="s">
        <v>49</v>
      </c>
      <c r="K5962" s="33">
        <v>4100</v>
      </c>
      <c r="L5962" t="s">
        <v>61</v>
      </c>
      <c r="M5962" t="str">
        <f>_xlfn.XLOOKUP(Pipeline_tbl[[#This Row],[Rep_ID]],Dim_Reps!A:A,Dim_Reps!K:K)</f>
        <v>MXN</v>
      </c>
      <c r="N5962" s="33">
        <f>(_xlfn.XLOOKUP(Pipeline_tbl[[#This Row],[Rate_Code_Generalized]],Lookups!A:A,Lookups!B:B))*Pipeline_tbl[[#This Row],[Pipeline_Amount_USD]]</f>
        <v>80904.070000000007</v>
      </c>
      <c r="O5962" t="str">
        <f>_xlfn.XLOOKUP(Pipeline_tbl[[#This Row],[Rep_ID]],Dim_Reps!A:A,Dim_Reps!B:B)</f>
        <v>Lucas Duarte</v>
      </c>
      <c r="P5962" t="str">
        <f>_xlfn.XLOOKUP(Pipeline_tbl[[#This Row],[Rep_ID]],Dim_Reps!A:A,Dim_Reps!C:C)</f>
        <v>SDR / Inside Sales Rep</v>
      </c>
      <c r="Q5962" t="str">
        <f>_xlfn.XLOOKUP(Pipeline_tbl[[#This Row],[Rep_ID]],Dim_Reps!A:A,Dim_Reps!D:D)</f>
        <v>Inside Sales</v>
      </c>
      <c r="R5962" t="str">
        <f>_xlfn.XLOOKUP(Pipeline_tbl[[#This Row],[Rep_ID]],Dim_Reps!A:A,Dim_Reps!E:E)</f>
        <v>LATAM</v>
      </c>
      <c r="S5962" t="str">
        <f>_xlfn.XLOOKUP(Pipeline_tbl[[#This Row],[Created_Date]],Dim_Date!A:A,Dim_Date!H:H)</f>
        <v>Aug 2025</v>
      </c>
      <c r="T5962" t="str">
        <f>IF(Pipeline_tbl[[#This Row],[Closed_Date]]=0,"",(_xlfn.XLOOKUP(Pipeline_tbl[[#This Row],[Closed_Date]],Dim_Date!A:A,Dim_Date!H:H)))</f>
        <v>Aug 2025</v>
      </c>
      <c r="U5962">
        <f>IF(Pipeline_tbl[[#This Row],[Closed_Date]]=0,"",Pipeline_tbl[[#This Row],[Closed_Date]]-Pipeline_tbl[[#This Row],[Created_Date]])</f>
        <v>18</v>
      </c>
    </row>
    <row r="5963" spans="1:21" ht="15" customHeight="1" x14ac:dyDescent="0.2">
      <c r="A5963" t="s">
        <v>6269</v>
      </c>
      <c r="B5963" t="s">
        <v>233</v>
      </c>
      <c r="C5963" t="s">
        <v>52</v>
      </c>
      <c r="D5963" s="49">
        <v>45883</v>
      </c>
      <c r="E5963" s="49">
        <v>45884</v>
      </c>
      <c r="I5963" s="49">
        <v>45893</v>
      </c>
      <c r="J5963" t="s">
        <v>49</v>
      </c>
      <c r="K5963" s="33">
        <v>4500</v>
      </c>
      <c r="L5963" t="s">
        <v>64</v>
      </c>
      <c r="M5963" t="str">
        <f>_xlfn.XLOOKUP(Pipeline_tbl[[#This Row],[Rep_ID]],Dim_Reps!A:A,Dim_Reps!K:K)</f>
        <v>MXN</v>
      </c>
      <c r="N5963" s="33">
        <f>(_xlfn.XLOOKUP(Pipeline_tbl[[#This Row],[Rate_Code_Generalized]],Lookups!A:A,Lookups!B:B))*Pipeline_tbl[[#This Row],[Pipeline_Amount_USD]]</f>
        <v>88797.150000000009</v>
      </c>
      <c r="O5963" t="str">
        <f>_xlfn.XLOOKUP(Pipeline_tbl[[#This Row],[Rep_ID]],Dim_Reps!A:A,Dim_Reps!B:B)</f>
        <v>Lucas Duarte</v>
      </c>
      <c r="P5963" t="str">
        <f>_xlfn.XLOOKUP(Pipeline_tbl[[#This Row],[Rep_ID]],Dim_Reps!A:A,Dim_Reps!C:C)</f>
        <v>SDR / Inside Sales Rep</v>
      </c>
      <c r="Q5963" t="str">
        <f>_xlfn.XLOOKUP(Pipeline_tbl[[#This Row],[Rep_ID]],Dim_Reps!A:A,Dim_Reps!D:D)</f>
        <v>Inside Sales</v>
      </c>
      <c r="R5963" t="str">
        <f>_xlfn.XLOOKUP(Pipeline_tbl[[#This Row],[Rep_ID]],Dim_Reps!A:A,Dim_Reps!E:E)</f>
        <v>LATAM</v>
      </c>
      <c r="S5963" t="str">
        <f>_xlfn.XLOOKUP(Pipeline_tbl[[#This Row],[Created_Date]],Dim_Date!A:A,Dim_Date!H:H)</f>
        <v>Aug 2025</v>
      </c>
      <c r="T5963" t="str">
        <f>IF(Pipeline_tbl[[#This Row],[Closed_Date]]=0,"",(_xlfn.XLOOKUP(Pipeline_tbl[[#This Row],[Closed_Date]],Dim_Date!A:A,Dim_Date!H:H)))</f>
        <v>Aug 2025</v>
      </c>
      <c r="U5963">
        <f>IF(Pipeline_tbl[[#This Row],[Closed_Date]]=0,"",Pipeline_tbl[[#This Row],[Closed_Date]]-Pipeline_tbl[[#This Row],[Created_Date]])</f>
        <v>10</v>
      </c>
    </row>
    <row r="5964" spans="1:21" ht="15" customHeight="1" x14ac:dyDescent="0.2">
      <c r="A5964" t="s">
        <v>6270</v>
      </c>
      <c r="B5964" t="s">
        <v>233</v>
      </c>
      <c r="C5964" t="s">
        <v>52</v>
      </c>
      <c r="D5964" s="49">
        <v>45876</v>
      </c>
      <c r="E5964" s="49">
        <v>45878</v>
      </c>
      <c r="F5964" s="49">
        <v>45883</v>
      </c>
      <c r="G5964" s="49">
        <v>45890</v>
      </c>
      <c r="I5964" s="49">
        <v>45900</v>
      </c>
      <c r="J5964" t="s">
        <v>49</v>
      </c>
      <c r="K5964" s="33">
        <v>3700</v>
      </c>
      <c r="L5964" t="s">
        <v>63</v>
      </c>
      <c r="M5964" t="str">
        <f>_xlfn.XLOOKUP(Pipeline_tbl[[#This Row],[Rep_ID]],Dim_Reps!A:A,Dim_Reps!K:K)</f>
        <v>MXN</v>
      </c>
      <c r="N5964" s="33">
        <f>(_xlfn.XLOOKUP(Pipeline_tbl[[#This Row],[Rate_Code_Generalized]],Lookups!A:A,Lookups!B:B))*Pipeline_tbl[[#This Row],[Pipeline_Amount_USD]]</f>
        <v>73010.990000000005</v>
      </c>
      <c r="O5964" t="str">
        <f>_xlfn.XLOOKUP(Pipeline_tbl[[#This Row],[Rep_ID]],Dim_Reps!A:A,Dim_Reps!B:B)</f>
        <v>Lucas Duarte</v>
      </c>
      <c r="P5964" t="str">
        <f>_xlfn.XLOOKUP(Pipeline_tbl[[#This Row],[Rep_ID]],Dim_Reps!A:A,Dim_Reps!C:C)</f>
        <v>SDR / Inside Sales Rep</v>
      </c>
      <c r="Q5964" t="str">
        <f>_xlfn.XLOOKUP(Pipeline_tbl[[#This Row],[Rep_ID]],Dim_Reps!A:A,Dim_Reps!D:D)</f>
        <v>Inside Sales</v>
      </c>
      <c r="R5964" t="str">
        <f>_xlfn.XLOOKUP(Pipeline_tbl[[#This Row],[Rep_ID]],Dim_Reps!A:A,Dim_Reps!E:E)</f>
        <v>LATAM</v>
      </c>
      <c r="S5964" t="str">
        <f>_xlfn.XLOOKUP(Pipeline_tbl[[#This Row],[Created_Date]],Dim_Date!A:A,Dim_Date!H:H)</f>
        <v>Aug 2025</v>
      </c>
      <c r="T5964" t="str">
        <f>IF(Pipeline_tbl[[#This Row],[Closed_Date]]=0,"",(_xlfn.XLOOKUP(Pipeline_tbl[[#This Row],[Closed_Date]],Dim_Date!A:A,Dim_Date!H:H)))</f>
        <v>Aug 2025</v>
      </c>
      <c r="U5964">
        <f>IF(Pipeline_tbl[[#This Row],[Closed_Date]]=0,"",Pipeline_tbl[[#This Row],[Closed_Date]]-Pipeline_tbl[[#This Row],[Created_Date]])</f>
        <v>24</v>
      </c>
    </row>
    <row r="5965" spans="1:21" ht="15" customHeight="1" x14ac:dyDescent="0.2">
      <c r="A5965" t="s">
        <v>6271</v>
      </c>
      <c r="B5965" t="s">
        <v>235</v>
      </c>
      <c r="C5965" t="s">
        <v>55</v>
      </c>
      <c r="D5965" s="49">
        <v>45884</v>
      </c>
      <c r="E5965" s="49">
        <v>45886</v>
      </c>
      <c r="F5965" s="49">
        <v>45889</v>
      </c>
      <c r="G5965" s="49">
        <v>45894</v>
      </c>
      <c r="H5965" s="49">
        <v>45898</v>
      </c>
      <c r="I5965" s="49">
        <v>45900</v>
      </c>
      <c r="J5965" t="s">
        <v>47</v>
      </c>
      <c r="K5965" s="33">
        <v>2800</v>
      </c>
      <c r="M5965" t="str">
        <f>_xlfn.XLOOKUP(Pipeline_tbl[[#This Row],[Rep_ID]],Dim_Reps!A:A,Dim_Reps!K:K)</f>
        <v>MXN</v>
      </c>
      <c r="N5965" s="33">
        <f>(_xlfn.XLOOKUP(Pipeline_tbl[[#This Row],[Rate_Code_Generalized]],Lookups!A:A,Lookups!B:B))*Pipeline_tbl[[#This Row],[Pipeline_Amount_USD]]</f>
        <v>55251.560000000005</v>
      </c>
      <c r="O5965" t="str">
        <f>_xlfn.XLOOKUP(Pipeline_tbl[[#This Row],[Rep_ID]],Dim_Reps!A:A,Dim_Reps!B:B)</f>
        <v>Milo Castro</v>
      </c>
      <c r="P5965" t="str">
        <f>_xlfn.XLOOKUP(Pipeline_tbl[[#This Row],[Rep_ID]],Dim_Reps!A:A,Dim_Reps!C:C)</f>
        <v>SDR / Inside Sales Rep</v>
      </c>
      <c r="Q5965" t="str">
        <f>_xlfn.XLOOKUP(Pipeline_tbl[[#This Row],[Rep_ID]],Dim_Reps!A:A,Dim_Reps!D:D)</f>
        <v>Inside Sales</v>
      </c>
      <c r="R5965" t="str">
        <f>_xlfn.XLOOKUP(Pipeline_tbl[[#This Row],[Rep_ID]],Dim_Reps!A:A,Dim_Reps!E:E)</f>
        <v>LATAM</v>
      </c>
      <c r="S5965" t="str">
        <f>_xlfn.XLOOKUP(Pipeline_tbl[[#This Row],[Created_Date]],Dim_Date!A:A,Dim_Date!H:H)</f>
        <v>Aug 2025</v>
      </c>
      <c r="T5965" t="str">
        <f>IF(Pipeline_tbl[[#This Row],[Closed_Date]]=0,"",(_xlfn.XLOOKUP(Pipeline_tbl[[#This Row],[Closed_Date]],Dim_Date!A:A,Dim_Date!H:H)))</f>
        <v>Aug 2025</v>
      </c>
      <c r="U5965">
        <f>IF(Pipeline_tbl[[#This Row],[Closed_Date]]=0,"",Pipeline_tbl[[#This Row],[Closed_Date]]-Pipeline_tbl[[#This Row],[Created_Date]])</f>
        <v>16</v>
      </c>
    </row>
    <row r="5966" spans="1:21" ht="15" customHeight="1" x14ac:dyDescent="0.2">
      <c r="A5966" t="s">
        <v>6272</v>
      </c>
      <c r="B5966" t="s">
        <v>235</v>
      </c>
      <c r="C5966" t="s">
        <v>56</v>
      </c>
      <c r="D5966" s="49">
        <v>45874</v>
      </c>
      <c r="E5966" s="49">
        <v>45876</v>
      </c>
      <c r="I5966" s="49">
        <v>45892</v>
      </c>
      <c r="J5966" t="s">
        <v>49</v>
      </c>
      <c r="K5966" s="33">
        <v>2100</v>
      </c>
      <c r="L5966" t="s">
        <v>60</v>
      </c>
      <c r="M5966" t="str">
        <f>_xlfn.XLOOKUP(Pipeline_tbl[[#This Row],[Rep_ID]],Dim_Reps!A:A,Dim_Reps!K:K)</f>
        <v>MXN</v>
      </c>
      <c r="N5966" s="33">
        <f>(_xlfn.XLOOKUP(Pipeline_tbl[[#This Row],[Rate_Code_Generalized]],Lookups!A:A,Lookups!B:B))*Pipeline_tbl[[#This Row],[Pipeline_Amount_USD]]</f>
        <v>41438.670000000006</v>
      </c>
      <c r="O5966" t="str">
        <f>_xlfn.XLOOKUP(Pipeline_tbl[[#This Row],[Rep_ID]],Dim_Reps!A:A,Dim_Reps!B:B)</f>
        <v>Milo Castro</v>
      </c>
      <c r="P5966" t="str">
        <f>_xlfn.XLOOKUP(Pipeline_tbl[[#This Row],[Rep_ID]],Dim_Reps!A:A,Dim_Reps!C:C)</f>
        <v>SDR / Inside Sales Rep</v>
      </c>
      <c r="Q5966" t="str">
        <f>_xlfn.XLOOKUP(Pipeline_tbl[[#This Row],[Rep_ID]],Dim_Reps!A:A,Dim_Reps!D:D)</f>
        <v>Inside Sales</v>
      </c>
      <c r="R5966" t="str">
        <f>_xlfn.XLOOKUP(Pipeline_tbl[[#This Row],[Rep_ID]],Dim_Reps!A:A,Dim_Reps!E:E)</f>
        <v>LATAM</v>
      </c>
      <c r="S5966" t="str">
        <f>_xlfn.XLOOKUP(Pipeline_tbl[[#This Row],[Created_Date]],Dim_Date!A:A,Dim_Date!H:H)</f>
        <v>Aug 2025</v>
      </c>
      <c r="T5966" t="str">
        <f>IF(Pipeline_tbl[[#This Row],[Closed_Date]]=0,"",(_xlfn.XLOOKUP(Pipeline_tbl[[#This Row],[Closed_Date]],Dim_Date!A:A,Dim_Date!H:H)))</f>
        <v>Aug 2025</v>
      </c>
      <c r="U5966">
        <f>IF(Pipeline_tbl[[#This Row],[Closed_Date]]=0,"",Pipeline_tbl[[#This Row],[Closed_Date]]-Pipeline_tbl[[#This Row],[Created_Date]])</f>
        <v>18</v>
      </c>
    </row>
    <row r="5967" spans="1:21" ht="15" customHeight="1" x14ac:dyDescent="0.2">
      <c r="A5967" t="s">
        <v>6273</v>
      </c>
      <c r="B5967" t="s">
        <v>235</v>
      </c>
      <c r="C5967" t="s">
        <v>55</v>
      </c>
      <c r="D5967" s="49">
        <v>45880</v>
      </c>
      <c r="E5967" s="49">
        <v>45882</v>
      </c>
      <c r="F5967" s="49">
        <v>45885</v>
      </c>
      <c r="G5967" s="49">
        <v>45890</v>
      </c>
      <c r="I5967" s="49">
        <v>45896</v>
      </c>
      <c r="J5967" t="s">
        <v>49</v>
      </c>
      <c r="K5967" s="33">
        <v>2500</v>
      </c>
      <c r="L5967" t="s">
        <v>62</v>
      </c>
      <c r="M5967" t="str">
        <f>_xlfn.XLOOKUP(Pipeline_tbl[[#This Row],[Rep_ID]],Dim_Reps!A:A,Dim_Reps!K:K)</f>
        <v>MXN</v>
      </c>
      <c r="N5967" s="33">
        <f>(_xlfn.XLOOKUP(Pipeline_tbl[[#This Row],[Rate_Code_Generalized]],Lookups!A:A,Lookups!B:B))*Pipeline_tbl[[#This Row],[Pipeline_Amount_USD]]</f>
        <v>49331.75</v>
      </c>
      <c r="O5967" t="str">
        <f>_xlfn.XLOOKUP(Pipeline_tbl[[#This Row],[Rep_ID]],Dim_Reps!A:A,Dim_Reps!B:B)</f>
        <v>Milo Castro</v>
      </c>
      <c r="P5967" t="str">
        <f>_xlfn.XLOOKUP(Pipeline_tbl[[#This Row],[Rep_ID]],Dim_Reps!A:A,Dim_Reps!C:C)</f>
        <v>SDR / Inside Sales Rep</v>
      </c>
      <c r="Q5967" t="str">
        <f>_xlfn.XLOOKUP(Pipeline_tbl[[#This Row],[Rep_ID]],Dim_Reps!A:A,Dim_Reps!D:D)</f>
        <v>Inside Sales</v>
      </c>
      <c r="R5967" t="str">
        <f>_xlfn.XLOOKUP(Pipeline_tbl[[#This Row],[Rep_ID]],Dim_Reps!A:A,Dim_Reps!E:E)</f>
        <v>LATAM</v>
      </c>
      <c r="S5967" t="str">
        <f>_xlfn.XLOOKUP(Pipeline_tbl[[#This Row],[Created_Date]],Dim_Date!A:A,Dim_Date!H:H)</f>
        <v>Aug 2025</v>
      </c>
      <c r="T5967" t="str">
        <f>IF(Pipeline_tbl[[#This Row],[Closed_Date]]=0,"",(_xlfn.XLOOKUP(Pipeline_tbl[[#This Row],[Closed_Date]],Dim_Date!A:A,Dim_Date!H:H)))</f>
        <v>Aug 2025</v>
      </c>
      <c r="U5967">
        <f>IF(Pipeline_tbl[[#This Row],[Closed_Date]]=0,"",Pipeline_tbl[[#This Row],[Closed_Date]]-Pipeline_tbl[[#This Row],[Created_Date]])</f>
        <v>16</v>
      </c>
    </row>
    <row r="5968" spans="1:21" ht="15" customHeight="1" x14ac:dyDescent="0.2">
      <c r="A5968" t="s">
        <v>6274</v>
      </c>
      <c r="B5968" t="s">
        <v>237</v>
      </c>
      <c r="C5968" t="s">
        <v>53</v>
      </c>
      <c r="D5968" s="49">
        <v>45874</v>
      </c>
      <c r="E5968" s="49">
        <v>45877</v>
      </c>
      <c r="F5968" s="49">
        <v>45882</v>
      </c>
      <c r="G5968" s="49">
        <v>45890</v>
      </c>
      <c r="H5968" s="49">
        <v>45896</v>
      </c>
      <c r="I5968" s="49">
        <v>45900</v>
      </c>
      <c r="J5968" t="s">
        <v>49</v>
      </c>
      <c r="K5968" s="33">
        <v>2800</v>
      </c>
      <c r="L5968" t="s">
        <v>62</v>
      </c>
      <c r="M5968" t="str">
        <f>_xlfn.XLOOKUP(Pipeline_tbl[[#This Row],[Rep_ID]],Dim_Reps!A:A,Dim_Reps!K:K)</f>
        <v>EUR</v>
      </c>
      <c r="N5968" s="33">
        <f>(_xlfn.XLOOKUP(Pipeline_tbl[[#This Row],[Rate_Code_Generalized]],Lookups!A:A,Lookups!B:B))*Pipeline_tbl[[#This Row],[Pipeline_Amount_USD]]</f>
        <v>2800</v>
      </c>
      <c r="O5968" t="str">
        <f>_xlfn.XLOOKUP(Pipeline_tbl[[#This Row],[Rep_ID]],Dim_Reps!A:A,Dim_Reps!B:B)</f>
        <v>Hugo Santos</v>
      </c>
      <c r="P5968" t="str">
        <f>_xlfn.XLOOKUP(Pipeline_tbl[[#This Row],[Rep_ID]],Dim_Reps!A:A,Dim_Reps!C:C)</f>
        <v>SDR / Inside Sales Rep</v>
      </c>
      <c r="Q5968" t="str">
        <f>_xlfn.XLOOKUP(Pipeline_tbl[[#This Row],[Rep_ID]],Dim_Reps!A:A,Dim_Reps!D:D)</f>
        <v>Inside Sales</v>
      </c>
      <c r="R5968" t="str">
        <f>_xlfn.XLOOKUP(Pipeline_tbl[[#This Row],[Rep_ID]],Dim_Reps!A:A,Dim_Reps!E:E)</f>
        <v>EMEA</v>
      </c>
      <c r="S5968" t="str">
        <f>_xlfn.XLOOKUP(Pipeline_tbl[[#This Row],[Created_Date]],Dim_Date!A:A,Dim_Date!H:H)</f>
        <v>Aug 2025</v>
      </c>
      <c r="T5968" t="str">
        <f>IF(Pipeline_tbl[[#This Row],[Closed_Date]]=0,"",(_xlfn.XLOOKUP(Pipeline_tbl[[#This Row],[Closed_Date]],Dim_Date!A:A,Dim_Date!H:H)))</f>
        <v>Aug 2025</v>
      </c>
      <c r="U5968">
        <f>IF(Pipeline_tbl[[#This Row],[Closed_Date]]=0,"",Pipeline_tbl[[#This Row],[Closed_Date]]-Pipeline_tbl[[#This Row],[Created_Date]])</f>
        <v>26</v>
      </c>
    </row>
    <row r="5969" spans="1:21" ht="15" customHeight="1" x14ac:dyDescent="0.2">
      <c r="A5969" t="s">
        <v>6275</v>
      </c>
      <c r="B5969" t="s">
        <v>237</v>
      </c>
      <c r="C5969" t="s">
        <v>55</v>
      </c>
      <c r="D5969" s="49">
        <v>45885</v>
      </c>
      <c r="E5969" s="49">
        <v>45886</v>
      </c>
      <c r="F5969" s="49">
        <v>45889</v>
      </c>
      <c r="G5969" s="49">
        <v>45893</v>
      </c>
      <c r="H5969" s="49">
        <v>45897</v>
      </c>
      <c r="I5969" s="49">
        <v>45899</v>
      </c>
      <c r="J5969" t="s">
        <v>49</v>
      </c>
      <c r="K5969" s="33">
        <v>4300</v>
      </c>
      <c r="L5969" t="s">
        <v>63</v>
      </c>
      <c r="M5969" t="str">
        <f>_xlfn.XLOOKUP(Pipeline_tbl[[#This Row],[Rep_ID]],Dim_Reps!A:A,Dim_Reps!K:K)</f>
        <v>EUR</v>
      </c>
      <c r="N5969" s="33">
        <f>(_xlfn.XLOOKUP(Pipeline_tbl[[#This Row],[Rate_Code_Generalized]],Lookups!A:A,Lookups!B:B))*Pipeline_tbl[[#This Row],[Pipeline_Amount_USD]]</f>
        <v>4300</v>
      </c>
      <c r="O5969" t="str">
        <f>_xlfn.XLOOKUP(Pipeline_tbl[[#This Row],[Rep_ID]],Dim_Reps!A:A,Dim_Reps!B:B)</f>
        <v>Hugo Santos</v>
      </c>
      <c r="P5969" t="str">
        <f>_xlfn.XLOOKUP(Pipeline_tbl[[#This Row],[Rep_ID]],Dim_Reps!A:A,Dim_Reps!C:C)</f>
        <v>SDR / Inside Sales Rep</v>
      </c>
      <c r="Q5969" t="str">
        <f>_xlfn.XLOOKUP(Pipeline_tbl[[#This Row],[Rep_ID]],Dim_Reps!A:A,Dim_Reps!D:D)</f>
        <v>Inside Sales</v>
      </c>
      <c r="R5969" t="str">
        <f>_xlfn.XLOOKUP(Pipeline_tbl[[#This Row],[Rep_ID]],Dim_Reps!A:A,Dim_Reps!E:E)</f>
        <v>EMEA</v>
      </c>
      <c r="S5969" t="str">
        <f>_xlfn.XLOOKUP(Pipeline_tbl[[#This Row],[Created_Date]],Dim_Date!A:A,Dim_Date!H:H)</f>
        <v>Aug 2025</v>
      </c>
      <c r="T5969" t="str">
        <f>IF(Pipeline_tbl[[#This Row],[Closed_Date]]=0,"",(_xlfn.XLOOKUP(Pipeline_tbl[[#This Row],[Closed_Date]],Dim_Date!A:A,Dim_Date!H:H)))</f>
        <v>Aug 2025</v>
      </c>
      <c r="U5969">
        <f>IF(Pipeline_tbl[[#This Row],[Closed_Date]]=0,"",Pipeline_tbl[[#This Row],[Closed_Date]]-Pipeline_tbl[[#This Row],[Created_Date]])</f>
        <v>14</v>
      </c>
    </row>
    <row r="5970" spans="1:21" ht="15" customHeight="1" x14ac:dyDescent="0.2">
      <c r="A5970" t="s">
        <v>6276</v>
      </c>
      <c r="B5970" t="s">
        <v>237</v>
      </c>
      <c r="C5970" t="s">
        <v>52</v>
      </c>
      <c r="D5970" s="49">
        <v>45885</v>
      </c>
      <c r="E5970" s="49">
        <v>45886</v>
      </c>
      <c r="F5970" s="49">
        <v>45889</v>
      </c>
      <c r="G5970" s="49">
        <v>45893</v>
      </c>
      <c r="H5970" s="49">
        <v>45896</v>
      </c>
      <c r="I5970" s="49">
        <v>45898</v>
      </c>
      <c r="J5970" t="s">
        <v>47</v>
      </c>
      <c r="K5970" s="33">
        <v>7300</v>
      </c>
      <c r="M5970" t="str">
        <f>_xlfn.XLOOKUP(Pipeline_tbl[[#This Row],[Rep_ID]],Dim_Reps!A:A,Dim_Reps!K:K)</f>
        <v>EUR</v>
      </c>
      <c r="N5970" s="33">
        <f>(_xlfn.XLOOKUP(Pipeline_tbl[[#This Row],[Rate_Code_Generalized]],Lookups!A:A,Lookups!B:B))*Pipeline_tbl[[#This Row],[Pipeline_Amount_USD]]</f>
        <v>7300</v>
      </c>
      <c r="O5970" t="str">
        <f>_xlfn.XLOOKUP(Pipeline_tbl[[#This Row],[Rep_ID]],Dim_Reps!A:A,Dim_Reps!B:B)</f>
        <v>Hugo Santos</v>
      </c>
      <c r="P5970" t="str">
        <f>_xlfn.XLOOKUP(Pipeline_tbl[[#This Row],[Rep_ID]],Dim_Reps!A:A,Dim_Reps!C:C)</f>
        <v>SDR / Inside Sales Rep</v>
      </c>
      <c r="Q5970" t="str">
        <f>_xlfn.XLOOKUP(Pipeline_tbl[[#This Row],[Rep_ID]],Dim_Reps!A:A,Dim_Reps!D:D)</f>
        <v>Inside Sales</v>
      </c>
      <c r="R5970" t="str">
        <f>_xlfn.XLOOKUP(Pipeline_tbl[[#This Row],[Rep_ID]],Dim_Reps!A:A,Dim_Reps!E:E)</f>
        <v>EMEA</v>
      </c>
      <c r="S5970" t="str">
        <f>_xlfn.XLOOKUP(Pipeline_tbl[[#This Row],[Created_Date]],Dim_Date!A:A,Dim_Date!H:H)</f>
        <v>Aug 2025</v>
      </c>
      <c r="T5970" t="str">
        <f>IF(Pipeline_tbl[[#This Row],[Closed_Date]]=0,"",(_xlfn.XLOOKUP(Pipeline_tbl[[#This Row],[Closed_Date]],Dim_Date!A:A,Dim_Date!H:H)))</f>
        <v>Aug 2025</v>
      </c>
      <c r="U5970">
        <f>IF(Pipeline_tbl[[#This Row],[Closed_Date]]=0,"",Pipeline_tbl[[#This Row],[Closed_Date]]-Pipeline_tbl[[#This Row],[Created_Date]])</f>
        <v>13</v>
      </c>
    </row>
    <row r="5971" spans="1:21" ht="15" customHeight="1" x14ac:dyDescent="0.2">
      <c r="A5971" t="s">
        <v>6277</v>
      </c>
      <c r="B5971" t="s">
        <v>237</v>
      </c>
      <c r="C5971" t="s">
        <v>52</v>
      </c>
      <c r="D5971" s="49">
        <v>45873</v>
      </c>
      <c r="E5971" s="49">
        <v>45874</v>
      </c>
      <c r="F5971" s="49">
        <v>45877</v>
      </c>
      <c r="G5971" s="49">
        <v>45881</v>
      </c>
      <c r="H5971" s="49">
        <v>45885</v>
      </c>
      <c r="I5971" s="49">
        <v>45887</v>
      </c>
      <c r="J5971" t="s">
        <v>49</v>
      </c>
      <c r="K5971" s="33">
        <v>3700</v>
      </c>
      <c r="L5971" t="s">
        <v>63</v>
      </c>
      <c r="M5971" t="str">
        <f>_xlfn.XLOOKUP(Pipeline_tbl[[#This Row],[Rep_ID]],Dim_Reps!A:A,Dim_Reps!K:K)</f>
        <v>EUR</v>
      </c>
      <c r="N5971" s="33">
        <f>(_xlfn.XLOOKUP(Pipeline_tbl[[#This Row],[Rate_Code_Generalized]],Lookups!A:A,Lookups!B:B))*Pipeline_tbl[[#This Row],[Pipeline_Amount_USD]]</f>
        <v>3700</v>
      </c>
      <c r="O5971" t="str">
        <f>_xlfn.XLOOKUP(Pipeline_tbl[[#This Row],[Rep_ID]],Dim_Reps!A:A,Dim_Reps!B:B)</f>
        <v>Hugo Santos</v>
      </c>
      <c r="P5971" t="str">
        <f>_xlfn.XLOOKUP(Pipeline_tbl[[#This Row],[Rep_ID]],Dim_Reps!A:A,Dim_Reps!C:C)</f>
        <v>SDR / Inside Sales Rep</v>
      </c>
      <c r="Q5971" t="str">
        <f>_xlfn.XLOOKUP(Pipeline_tbl[[#This Row],[Rep_ID]],Dim_Reps!A:A,Dim_Reps!D:D)</f>
        <v>Inside Sales</v>
      </c>
      <c r="R5971" t="str">
        <f>_xlfn.XLOOKUP(Pipeline_tbl[[#This Row],[Rep_ID]],Dim_Reps!A:A,Dim_Reps!E:E)</f>
        <v>EMEA</v>
      </c>
      <c r="S5971" t="str">
        <f>_xlfn.XLOOKUP(Pipeline_tbl[[#This Row],[Created_Date]],Dim_Date!A:A,Dim_Date!H:H)</f>
        <v>Aug 2025</v>
      </c>
      <c r="T5971" t="str">
        <f>IF(Pipeline_tbl[[#This Row],[Closed_Date]]=0,"",(_xlfn.XLOOKUP(Pipeline_tbl[[#This Row],[Closed_Date]],Dim_Date!A:A,Dim_Date!H:H)))</f>
        <v>Aug 2025</v>
      </c>
      <c r="U5971">
        <f>IF(Pipeline_tbl[[#This Row],[Closed_Date]]=0,"",Pipeline_tbl[[#This Row],[Closed_Date]]-Pipeline_tbl[[#This Row],[Created_Date]])</f>
        <v>14</v>
      </c>
    </row>
    <row r="5972" spans="1:21" ht="15" customHeight="1" x14ac:dyDescent="0.2">
      <c r="A5972" t="s">
        <v>6278</v>
      </c>
      <c r="B5972" t="s">
        <v>239</v>
      </c>
      <c r="C5972" t="s">
        <v>54</v>
      </c>
      <c r="D5972" s="49">
        <v>45873</v>
      </c>
      <c r="E5972" s="49">
        <v>45875</v>
      </c>
      <c r="F5972" s="49">
        <v>45880</v>
      </c>
      <c r="G5972" s="49">
        <v>45886</v>
      </c>
      <c r="H5972" s="49">
        <v>45892</v>
      </c>
      <c r="I5972" s="49">
        <v>45895</v>
      </c>
      <c r="J5972" t="s">
        <v>47</v>
      </c>
      <c r="K5972" s="33">
        <v>3100</v>
      </c>
      <c r="M5972" t="str">
        <f>_xlfn.XLOOKUP(Pipeline_tbl[[#This Row],[Rep_ID]],Dim_Reps!A:A,Dim_Reps!K:K)</f>
        <v>USD</v>
      </c>
      <c r="N5972" s="33">
        <f>(_xlfn.XLOOKUP(Pipeline_tbl[[#This Row],[Rate_Code_Generalized]],Lookups!A:A,Lookups!B:B))*Pipeline_tbl[[#This Row],[Pipeline_Amount_USD]]</f>
        <v>3609.3299999999995</v>
      </c>
      <c r="O5972" t="str">
        <f>_xlfn.XLOOKUP(Pipeline_tbl[[#This Row],[Rep_ID]],Dim_Reps!A:A,Dim_Reps!B:B)</f>
        <v>Noah Adler</v>
      </c>
      <c r="P5972" t="str">
        <f>_xlfn.XLOOKUP(Pipeline_tbl[[#This Row],[Rep_ID]],Dim_Reps!A:A,Dim_Reps!C:C)</f>
        <v>SDR / Inside Sales Rep</v>
      </c>
      <c r="Q5972" t="str">
        <f>_xlfn.XLOOKUP(Pipeline_tbl[[#This Row],[Rep_ID]],Dim_Reps!A:A,Dim_Reps!D:D)</f>
        <v>Inside Sales</v>
      </c>
      <c r="R5972" t="str">
        <f>_xlfn.XLOOKUP(Pipeline_tbl[[#This Row],[Rep_ID]],Dim_Reps!A:A,Dim_Reps!E:E)</f>
        <v>NAMER</v>
      </c>
      <c r="S5972" t="str">
        <f>_xlfn.XLOOKUP(Pipeline_tbl[[#This Row],[Created_Date]],Dim_Date!A:A,Dim_Date!H:H)</f>
        <v>Aug 2025</v>
      </c>
      <c r="T5972" t="str">
        <f>IF(Pipeline_tbl[[#This Row],[Closed_Date]]=0,"",(_xlfn.XLOOKUP(Pipeline_tbl[[#This Row],[Closed_Date]],Dim_Date!A:A,Dim_Date!H:H)))</f>
        <v>Aug 2025</v>
      </c>
      <c r="U5972">
        <f>IF(Pipeline_tbl[[#This Row],[Closed_Date]]=0,"",Pipeline_tbl[[#This Row],[Closed_Date]]-Pipeline_tbl[[#This Row],[Created_Date]])</f>
        <v>22</v>
      </c>
    </row>
    <row r="5973" spans="1:21" ht="15" customHeight="1" x14ac:dyDescent="0.2">
      <c r="A5973" t="s">
        <v>6279</v>
      </c>
      <c r="B5973" t="s">
        <v>241</v>
      </c>
      <c r="C5973" t="s">
        <v>52</v>
      </c>
      <c r="D5973" s="49">
        <v>45877</v>
      </c>
      <c r="E5973" s="49">
        <v>45879</v>
      </c>
      <c r="I5973" s="49">
        <v>45892</v>
      </c>
      <c r="J5973" t="s">
        <v>49</v>
      </c>
      <c r="K5973" s="33">
        <v>2300</v>
      </c>
      <c r="L5973" t="s">
        <v>64</v>
      </c>
      <c r="M5973" t="str">
        <f>_xlfn.XLOOKUP(Pipeline_tbl[[#This Row],[Rep_ID]],Dim_Reps!A:A,Dim_Reps!K:K)</f>
        <v>EUR</v>
      </c>
      <c r="N5973" s="33">
        <f>(_xlfn.XLOOKUP(Pipeline_tbl[[#This Row],[Rate_Code_Generalized]],Lookups!A:A,Lookups!B:B))*Pipeline_tbl[[#This Row],[Pipeline_Amount_USD]]</f>
        <v>2300</v>
      </c>
      <c r="O5973" t="str">
        <f>_xlfn.XLOOKUP(Pipeline_tbl[[#This Row],[Rep_ID]],Dim_Reps!A:A,Dim_Reps!B:B)</f>
        <v>Kenji Weber</v>
      </c>
      <c r="P5973" t="str">
        <f>_xlfn.XLOOKUP(Pipeline_tbl[[#This Row],[Rep_ID]],Dim_Reps!A:A,Dim_Reps!C:C)</f>
        <v>SDR / Inside Sales Rep</v>
      </c>
      <c r="Q5973" t="str">
        <f>_xlfn.XLOOKUP(Pipeline_tbl[[#This Row],[Rep_ID]],Dim_Reps!A:A,Dim_Reps!D:D)</f>
        <v>Inside Sales</v>
      </c>
      <c r="R5973" t="str">
        <f>_xlfn.XLOOKUP(Pipeline_tbl[[#This Row],[Rep_ID]],Dim_Reps!A:A,Dim_Reps!E:E)</f>
        <v>APAC</v>
      </c>
      <c r="S5973" t="str">
        <f>_xlfn.XLOOKUP(Pipeline_tbl[[#This Row],[Created_Date]],Dim_Date!A:A,Dim_Date!H:H)</f>
        <v>Aug 2025</v>
      </c>
      <c r="T5973" t="str">
        <f>IF(Pipeline_tbl[[#This Row],[Closed_Date]]=0,"",(_xlfn.XLOOKUP(Pipeline_tbl[[#This Row],[Closed_Date]],Dim_Date!A:A,Dim_Date!H:H)))</f>
        <v>Aug 2025</v>
      </c>
      <c r="U5973">
        <f>IF(Pipeline_tbl[[#This Row],[Closed_Date]]=0,"",Pipeline_tbl[[#This Row],[Closed_Date]]-Pipeline_tbl[[#This Row],[Created_Date]])</f>
        <v>15</v>
      </c>
    </row>
    <row r="5974" spans="1:21" ht="15" customHeight="1" x14ac:dyDescent="0.2">
      <c r="A5974" t="s">
        <v>6280</v>
      </c>
      <c r="B5974" t="s">
        <v>241</v>
      </c>
      <c r="C5974" t="s">
        <v>52</v>
      </c>
      <c r="D5974" s="49">
        <v>45873</v>
      </c>
      <c r="E5974" s="49">
        <v>45874</v>
      </c>
      <c r="F5974" s="49">
        <v>45876</v>
      </c>
      <c r="G5974" s="49">
        <v>45878</v>
      </c>
      <c r="I5974" s="49">
        <v>45882</v>
      </c>
      <c r="J5974" t="s">
        <v>49</v>
      </c>
      <c r="K5974" s="33">
        <v>3600</v>
      </c>
      <c r="L5974" t="s">
        <v>60</v>
      </c>
      <c r="M5974" t="str">
        <f>_xlfn.XLOOKUP(Pipeline_tbl[[#This Row],[Rep_ID]],Dim_Reps!A:A,Dim_Reps!K:K)</f>
        <v>EUR</v>
      </c>
      <c r="N5974" s="33">
        <f>(_xlfn.XLOOKUP(Pipeline_tbl[[#This Row],[Rate_Code_Generalized]],Lookups!A:A,Lookups!B:B))*Pipeline_tbl[[#This Row],[Pipeline_Amount_USD]]</f>
        <v>3600</v>
      </c>
      <c r="O5974" t="str">
        <f>_xlfn.XLOOKUP(Pipeline_tbl[[#This Row],[Rep_ID]],Dim_Reps!A:A,Dim_Reps!B:B)</f>
        <v>Kenji Weber</v>
      </c>
      <c r="P5974" t="str">
        <f>_xlfn.XLOOKUP(Pipeline_tbl[[#This Row],[Rep_ID]],Dim_Reps!A:A,Dim_Reps!C:C)</f>
        <v>SDR / Inside Sales Rep</v>
      </c>
      <c r="Q5974" t="str">
        <f>_xlfn.XLOOKUP(Pipeline_tbl[[#This Row],[Rep_ID]],Dim_Reps!A:A,Dim_Reps!D:D)</f>
        <v>Inside Sales</v>
      </c>
      <c r="R5974" t="str">
        <f>_xlfn.XLOOKUP(Pipeline_tbl[[#This Row],[Rep_ID]],Dim_Reps!A:A,Dim_Reps!E:E)</f>
        <v>APAC</v>
      </c>
      <c r="S5974" t="str">
        <f>_xlfn.XLOOKUP(Pipeline_tbl[[#This Row],[Created_Date]],Dim_Date!A:A,Dim_Date!H:H)</f>
        <v>Aug 2025</v>
      </c>
      <c r="T5974" t="str">
        <f>IF(Pipeline_tbl[[#This Row],[Closed_Date]]=0,"",(_xlfn.XLOOKUP(Pipeline_tbl[[#This Row],[Closed_Date]],Dim_Date!A:A,Dim_Date!H:H)))</f>
        <v>Aug 2025</v>
      </c>
      <c r="U5974">
        <f>IF(Pipeline_tbl[[#This Row],[Closed_Date]]=0,"",Pipeline_tbl[[#This Row],[Closed_Date]]-Pipeline_tbl[[#This Row],[Created_Date]])</f>
        <v>9</v>
      </c>
    </row>
    <row r="5975" spans="1:21" ht="15" customHeight="1" x14ac:dyDescent="0.2">
      <c r="A5975" t="s">
        <v>6281</v>
      </c>
      <c r="B5975" t="s">
        <v>241</v>
      </c>
      <c r="C5975" t="s">
        <v>52</v>
      </c>
      <c r="D5975" s="49">
        <v>45879</v>
      </c>
      <c r="E5975" s="49">
        <v>45881</v>
      </c>
      <c r="F5975" s="49">
        <v>45884</v>
      </c>
      <c r="G5975" s="49">
        <v>45889</v>
      </c>
      <c r="H5975" s="49">
        <v>45893</v>
      </c>
      <c r="I5975" s="49">
        <v>45896</v>
      </c>
      <c r="J5975" t="s">
        <v>49</v>
      </c>
      <c r="K5975" s="33">
        <v>2000</v>
      </c>
      <c r="L5975" t="s">
        <v>60</v>
      </c>
      <c r="M5975" t="str">
        <f>_xlfn.XLOOKUP(Pipeline_tbl[[#This Row],[Rep_ID]],Dim_Reps!A:A,Dim_Reps!K:K)</f>
        <v>EUR</v>
      </c>
      <c r="N5975" s="33">
        <f>(_xlfn.XLOOKUP(Pipeline_tbl[[#This Row],[Rate_Code_Generalized]],Lookups!A:A,Lookups!B:B))*Pipeline_tbl[[#This Row],[Pipeline_Amount_USD]]</f>
        <v>2000</v>
      </c>
      <c r="O5975" t="str">
        <f>_xlfn.XLOOKUP(Pipeline_tbl[[#This Row],[Rep_ID]],Dim_Reps!A:A,Dim_Reps!B:B)</f>
        <v>Kenji Weber</v>
      </c>
      <c r="P5975" t="str">
        <f>_xlfn.XLOOKUP(Pipeline_tbl[[#This Row],[Rep_ID]],Dim_Reps!A:A,Dim_Reps!C:C)</f>
        <v>SDR / Inside Sales Rep</v>
      </c>
      <c r="Q5975" t="str">
        <f>_xlfn.XLOOKUP(Pipeline_tbl[[#This Row],[Rep_ID]],Dim_Reps!A:A,Dim_Reps!D:D)</f>
        <v>Inside Sales</v>
      </c>
      <c r="R5975" t="str">
        <f>_xlfn.XLOOKUP(Pipeline_tbl[[#This Row],[Rep_ID]],Dim_Reps!A:A,Dim_Reps!E:E)</f>
        <v>APAC</v>
      </c>
      <c r="S5975" t="str">
        <f>_xlfn.XLOOKUP(Pipeline_tbl[[#This Row],[Created_Date]],Dim_Date!A:A,Dim_Date!H:H)</f>
        <v>Aug 2025</v>
      </c>
      <c r="T5975" t="str">
        <f>IF(Pipeline_tbl[[#This Row],[Closed_Date]]=0,"",(_xlfn.XLOOKUP(Pipeline_tbl[[#This Row],[Closed_Date]],Dim_Date!A:A,Dim_Date!H:H)))</f>
        <v>Aug 2025</v>
      </c>
      <c r="U5975">
        <f>IF(Pipeline_tbl[[#This Row],[Closed_Date]]=0,"",Pipeline_tbl[[#This Row],[Closed_Date]]-Pipeline_tbl[[#This Row],[Created_Date]])</f>
        <v>17</v>
      </c>
    </row>
    <row r="5976" spans="1:21" ht="15" customHeight="1" x14ac:dyDescent="0.2">
      <c r="A5976" t="s">
        <v>6282</v>
      </c>
      <c r="B5976" t="s">
        <v>241</v>
      </c>
      <c r="C5976" t="s">
        <v>56</v>
      </c>
      <c r="D5976" s="49">
        <v>45872</v>
      </c>
      <c r="E5976" s="49">
        <v>45874</v>
      </c>
      <c r="F5976" s="49">
        <v>45880</v>
      </c>
      <c r="G5976" s="49">
        <v>45887</v>
      </c>
      <c r="H5976" s="49">
        <v>45893</v>
      </c>
      <c r="I5976" s="49">
        <v>45897</v>
      </c>
      <c r="J5976" t="s">
        <v>49</v>
      </c>
      <c r="K5976" s="33">
        <v>7400</v>
      </c>
      <c r="L5976" t="s">
        <v>61</v>
      </c>
      <c r="M5976" t="str">
        <f>_xlfn.XLOOKUP(Pipeline_tbl[[#This Row],[Rep_ID]],Dim_Reps!A:A,Dim_Reps!K:K)</f>
        <v>EUR</v>
      </c>
      <c r="N5976" s="33">
        <f>(_xlfn.XLOOKUP(Pipeline_tbl[[#This Row],[Rate_Code_Generalized]],Lookups!A:A,Lookups!B:B))*Pipeline_tbl[[#This Row],[Pipeline_Amount_USD]]</f>
        <v>7400</v>
      </c>
      <c r="O5976" t="str">
        <f>_xlfn.XLOOKUP(Pipeline_tbl[[#This Row],[Rep_ID]],Dim_Reps!A:A,Dim_Reps!B:B)</f>
        <v>Kenji Weber</v>
      </c>
      <c r="P5976" t="str">
        <f>_xlfn.XLOOKUP(Pipeline_tbl[[#This Row],[Rep_ID]],Dim_Reps!A:A,Dim_Reps!C:C)</f>
        <v>SDR / Inside Sales Rep</v>
      </c>
      <c r="Q5976" t="str">
        <f>_xlfn.XLOOKUP(Pipeline_tbl[[#This Row],[Rep_ID]],Dim_Reps!A:A,Dim_Reps!D:D)</f>
        <v>Inside Sales</v>
      </c>
      <c r="R5976" t="str">
        <f>_xlfn.XLOOKUP(Pipeline_tbl[[#This Row],[Rep_ID]],Dim_Reps!A:A,Dim_Reps!E:E)</f>
        <v>APAC</v>
      </c>
      <c r="S5976" t="str">
        <f>_xlfn.XLOOKUP(Pipeline_tbl[[#This Row],[Created_Date]],Dim_Date!A:A,Dim_Date!H:H)</f>
        <v>Aug 2025</v>
      </c>
      <c r="T5976" t="str">
        <f>IF(Pipeline_tbl[[#This Row],[Closed_Date]]=0,"",(_xlfn.XLOOKUP(Pipeline_tbl[[#This Row],[Closed_Date]],Dim_Date!A:A,Dim_Date!H:H)))</f>
        <v>Aug 2025</v>
      </c>
      <c r="U5976">
        <f>IF(Pipeline_tbl[[#This Row],[Closed_Date]]=0,"",Pipeline_tbl[[#This Row],[Closed_Date]]-Pipeline_tbl[[#This Row],[Created_Date]])</f>
        <v>25</v>
      </c>
    </row>
    <row r="5977" spans="1:21" ht="15" customHeight="1" x14ac:dyDescent="0.2">
      <c r="A5977" t="s">
        <v>6283</v>
      </c>
      <c r="B5977" t="s">
        <v>241</v>
      </c>
      <c r="C5977" t="s">
        <v>52</v>
      </c>
      <c r="D5977" s="49">
        <v>45876</v>
      </c>
      <c r="E5977" s="49">
        <v>45878</v>
      </c>
      <c r="F5977" s="49">
        <v>45881</v>
      </c>
      <c r="G5977" s="49">
        <v>45885</v>
      </c>
      <c r="I5977" s="49">
        <v>45891</v>
      </c>
      <c r="J5977" t="s">
        <v>49</v>
      </c>
      <c r="K5977" s="33">
        <v>2400</v>
      </c>
      <c r="L5977" t="s">
        <v>60</v>
      </c>
      <c r="M5977" t="str">
        <f>_xlfn.XLOOKUP(Pipeline_tbl[[#This Row],[Rep_ID]],Dim_Reps!A:A,Dim_Reps!K:K)</f>
        <v>EUR</v>
      </c>
      <c r="N5977" s="33">
        <f>(_xlfn.XLOOKUP(Pipeline_tbl[[#This Row],[Rate_Code_Generalized]],Lookups!A:A,Lookups!B:B))*Pipeline_tbl[[#This Row],[Pipeline_Amount_USD]]</f>
        <v>2400</v>
      </c>
      <c r="O5977" t="str">
        <f>_xlfn.XLOOKUP(Pipeline_tbl[[#This Row],[Rep_ID]],Dim_Reps!A:A,Dim_Reps!B:B)</f>
        <v>Kenji Weber</v>
      </c>
      <c r="P5977" t="str">
        <f>_xlfn.XLOOKUP(Pipeline_tbl[[#This Row],[Rep_ID]],Dim_Reps!A:A,Dim_Reps!C:C)</f>
        <v>SDR / Inside Sales Rep</v>
      </c>
      <c r="Q5977" t="str">
        <f>_xlfn.XLOOKUP(Pipeline_tbl[[#This Row],[Rep_ID]],Dim_Reps!A:A,Dim_Reps!D:D)</f>
        <v>Inside Sales</v>
      </c>
      <c r="R5977" t="str">
        <f>_xlfn.XLOOKUP(Pipeline_tbl[[#This Row],[Rep_ID]],Dim_Reps!A:A,Dim_Reps!E:E)</f>
        <v>APAC</v>
      </c>
      <c r="S5977" t="str">
        <f>_xlfn.XLOOKUP(Pipeline_tbl[[#This Row],[Created_Date]],Dim_Date!A:A,Dim_Date!H:H)</f>
        <v>Aug 2025</v>
      </c>
      <c r="T5977" t="str">
        <f>IF(Pipeline_tbl[[#This Row],[Closed_Date]]=0,"",(_xlfn.XLOOKUP(Pipeline_tbl[[#This Row],[Closed_Date]],Dim_Date!A:A,Dim_Date!H:H)))</f>
        <v>Aug 2025</v>
      </c>
      <c r="U5977">
        <f>IF(Pipeline_tbl[[#This Row],[Closed_Date]]=0,"",Pipeline_tbl[[#This Row],[Closed_Date]]-Pipeline_tbl[[#This Row],[Created_Date]])</f>
        <v>15</v>
      </c>
    </row>
    <row r="5978" spans="1:21" ht="15" customHeight="1" x14ac:dyDescent="0.2">
      <c r="A5978" t="s">
        <v>6284</v>
      </c>
      <c r="B5978" t="s">
        <v>241</v>
      </c>
      <c r="C5978" t="s">
        <v>52</v>
      </c>
      <c r="D5978" s="49">
        <v>45880</v>
      </c>
      <c r="E5978" s="49">
        <v>45882</v>
      </c>
      <c r="I5978" s="49">
        <v>45899</v>
      </c>
      <c r="J5978" t="s">
        <v>49</v>
      </c>
      <c r="K5978" s="33">
        <v>4000</v>
      </c>
      <c r="L5978" t="s">
        <v>60</v>
      </c>
      <c r="M5978" t="str">
        <f>_xlfn.XLOOKUP(Pipeline_tbl[[#This Row],[Rep_ID]],Dim_Reps!A:A,Dim_Reps!K:K)</f>
        <v>EUR</v>
      </c>
      <c r="N5978" s="33">
        <f>(_xlfn.XLOOKUP(Pipeline_tbl[[#This Row],[Rate_Code_Generalized]],Lookups!A:A,Lookups!B:B))*Pipeline_tbl[[#This Row],[Pipeline_Amount_USD]]</f>
        <v>4000</v>
      </c>
      <c r="O5978" t="str">
        <f>_xlfn.XLOOKUP(Pipeline_tbl[[#This Row],[Rep_ID]],Dim_Reps!A:A,Dim_Reps!B:B)</f>
        <v>Kenji Weber</v>
      </c>
      <c r="P5978" t="str">
        <f>_xlfn.XLOOKUP(Pipeline_tbl[[#This Row],[Rep_ID]],Dim_Reps!A:A,Dim_Reps!C:C)</f>
        <v>SDR / Inside Sales Rep</v>
      </c>
      <c r="Q5978" t="str">
        <f>_xlfn.XLOOKUP(Pipeline_tbl[[#This Row],[Rep_ID]],Dim_Reps!A:A,Dim_Reps!D:D)</f>
        <v>Inside Sales</v>
      </c>
      <c r="R5978" t="str">
        <f>_xlfn.XLOOKUP(Pipeline_tbl[[#This Row],[Rep_ID]],Dim_Reps!A:A,Dim_Reps!E:E)</f>
        <v>APAC</v>
      </c>
      <c r="S5978" t="str">
        <f>_xlfn.XLOOKUP(Pipeline_tbl[[#This Row],[Created_Date]],Dim_Date!A:A,Dim_Date!H:H)</f>
        <v>Aug 2025</v>
      </c>
      <c r="T5978" t="str">
        <f>IF(Pipeline_tbl[[#This Row],[Closed_Date]]=0,"",(_xlfn.XLOOKUP(Pipeline_tbl[[#This Row],[Closed_Date]],Dim_Date!A:A,Dim_Date!H:H)))</f>
        <v>Aug 2025</v>
      </c>
      <c r="U5978">
        <f>IF(Pipeline_tbl[[#This Row],[Closed_Date]]=0,"",Pipeline_tbl[[#This Row],[Closed_Date]]-Pipeline_tbl[[#This Row],[Created_Date]])</f>
        <v>19</v>
      </c>
    </row>
    <row r="5979" spans="1:21" ht="15" customHeight="1" x14ac:dyDescent="0.2">
      <c r="A5979" t="s">
        <v>6285</v>
      </c>
      <c r="B5979" t="s">
        <v>241</v>
      </c>
      <c r="C5979" t="s">
        <v>53</v>
      </c>
      <c r="D5979" s="49">
        <v>45885</v>
      </c>
      <c r="E5979" s="49">
        <v>45886</v>
      </c>
      <c r="F5979" s="49">
        <v>45888</v>
      </c>
      <c r="G5979" s="49">
        <v>45892</v>
      </c>
      <c r="H5979" s="49">
        <v>45894</v>
      </c>
      <c r="I5979" s="49">
        <v>45896</v>
      </c>
      <c r="J5979" t="s">
        <v>47</v>
      </c>
      <c r="K5979" s="33">
        <v>2200</v>
      </c>
      <c r="M5979" t="str">
        <f>_xlfn.XLOOKUP(Pipeline_tbl[[#This Row],[Rep_ID]],Dim_Reps!A:A,Dim_Reps!K:K)</f>
        <v>EUR</v>
      </c>
      <c r="N5979" s="33">
        <f>(_xlfn.XLOOKUP(Pipeline_tbl[[#This Row],[Rate_Code_Generalized]],Lookups!A:A,Lookups!B:B))*Pipeline_tbl[[#This Row],[Pipeline_Amount_USD]]</f>
        <v>2200</v>
      </c>
      <c r="O5979" t="str">
        <f>_xlfn.XLOOKUP(Pipeline_tbl[[#This Row],[Rep_ID]],Dim_Reps!A:A,Dim_Reps!B:B)</f>
        <v>Kenji Weber</v>
      </c>
      <c r="P5979" t="str">
        <f>_xlfn.XLOOKUP(Pipeline_tbl[[#This Row],[Rep_ID]],Dim_Reps!A:A,Dim_Reps!C:C)</f>
        <v>SDR / Inside Sales Rep</v>
      </c>
      <c r="Q5979" t="str">
        <f>_xlfn.XLOOKUP(Pipeline_tbl[[#This Row],[Rep_ID]],Dim_Reps!A:A,Dim_Reps!D:D)</f>
        <v>Inside Sales</v>
      </c>
      <c r="R5979" t="str">
        <f>_xlfn.XLOOKUP(Pipeline_tbl[[#This Row],[Rep_ID]],Dim_Reps!A:A,Dim_Reps!E:E)</f>
        <v>APAC</v>
      </c>
      <c r="S5979" t="str">
        <f>_xlfn.XLOOKUP(Pipeline_tbl[[#This Row],[Created_Date]],Dim_Date!A:A,Dim_Date!H:H)</f>
        <v>Aug 2025</v>
      </c>
      <c r="T5979" t="str">
        <f>IF(Pipeline_tbl[[#This Row],[Closed_Date]]=0,"",(_xlfn.XLOOKUP(Pipeline_tbl[[#This Row],[Closed_Date]],Dim_Date!A:A,Dim_Date!H:H)))</f>
        <v>Aug 2025</v>
      </c>
      <c r="U5979">
        <f>IF(Pipeline_tbl[[#This Row],[Closed_Date]]=0,"",Pipeline_tbl[[#This Row],[Closed_Date]]-Pipeline_tbl[[#This Row],[Created_Date]])</f>
        <v>11</v>
      </c>
    </row>
    <row r="5980" spans="1:21" ht="15" customHeight="1" x14ac:dyDescent="0.2">
      <c r="A5980" t="s">
        <v>6286</v>
      </c>
      <c r="B5980" t="s">
        <v>241</v>
      </c>
      <c r="C5980" t="s">
        <v>54</v>
      </c>
      <c r="D5980" s="49">
        <v>45884</v>
      </c>
      <c r="E5980" s="49">
        <v>45885</v>
      </c>
      <c r="I5980" s="49">
        <v>45892</v>
      </c>
      <c r="J5980" t="s">
        <v>49</v>
      </c>
      <c r="K5980" s="33">
        <v>3300</v>
      </c>
      <c r="L5980" t="s">
        <v>62</v>
      </c>
      <c r="M5980" t="str">
        <f>_xlfn.XLOOKUP(Pipeline_tbl[[#This Row],[Rep_ID]],Dim_Reps!A:A,Dim_Reps!K:K)</f>
        <v>EUR</v>
      </c>
      <c r="N5980" s="33">
        <f>(_xlfn.XLOOKUP(Pipeline_tbl[[#This Row],[Rate_Code_Generalized]],Lookups!A:A,Lookups!B:B))*Pipeline_tbl[[#This Row],[Pipeline_Amount_USD]]</f>
        <v>3300</v>
      </c>
      <c r="O5980" t="str">
        <f>_xlfn.XLOOKUP(Pipeline_tbl[[#This Row],[Rep_ID]],Dim_Reps!A:A,Dim_Reps!B:B)</f>
        <v>Kenji Weber</v>
      </c>
      <c r="P5980" t="str">
        <f>_xlfn.XLOOKUP(Pipeline_tbl[[#This Row],[Rep_ID]],Dim_Reps!A:A,Dim_Reps!C:C)</f>
        <v>SDR / Inside Sales Rep</v>
      </c>
      <c r="Q5980" t="str">
        <f>_xlfn.XLOOKUP(Pipeline_tbl[[#This Row],[Rep_ID]],Dim_Reps!A:A,Dim_Reps!D:D)</f>
        <v>Inside Sales</v>
      </c>
      <c r="R5980" t="str">
        <f>_xlfn.XLOOKUP(Pipeline_tbl[[#This Row],[Rep_ID]],Dim_Reps!A:A,Dim_Reps!E:E)</f>
        <v>APAC</v>
      </c>
      <c r="S5980" t="str">
        <f>_xlfn.XLOOKUP(Pipeline_tbl[[#This Row],[Created_Date]],Dim_Date!A:A,Dim_Date!H:H)</f>
        <v>Aug 2025</v>
      </c>
      <c r="T5980" t="str">
        <f>IF(Pipeline_tbl[[#This Row],[Closed_Date]]=0,"",(_xlfn.XLOOKUP(Pipeline_tbl[[#This Row],[Closed_Date]],Dim_Date!A:A,Dim_Date!H:H)))</f>
        <v>Aug 2025</v>
      </c>
      <c r="U5980">
        <f>IF(Pipeline_tbl[[#This Row],[Closed_Date]]=0,"",Pipeline_tbl[[#This Row],[Closed_Date]]-Pipeline_tbl[[#This Row],[Created_Date]])</f>
        <v>8</v>
      </c>
    </row>
    <row r="5981" spans="1:21" ht="15" customHeight="1" x14ac:dyDescent="0.2">
      <c r="A5981" t="s">
        <v>6287</v>
      </c>
      <c r="B5981" t="s">
        <v>280</v>
      </c>
      <c r="C5981" t="s">
        <v>53</v>
      </c>
      <c r="D5981" s="49">
        <v>45889</v>
      </c>
      <c r="E5981" s="49">
        <v>45900</v>
      </c>
      <c r="F5981" s="49">
        <v>45922</v>
      </c>
      <c r="G5981" s="49">
        <v>45954</v>
      </c>
      <c r="I5981" s="49">
        <v>45998</v>
      </c>
      <c r="J5981" t="s">
        <v>49</v>
      </c>
      <c r="K5981" s="33">
        <v>59600</v>
      </c>
      <c r="L5981" t="s">
        <v>60</v>
      </c>
      <c r="M5981" t="str">
        <f>_xlfn.XLOOKUP(Pipeline_tbl[[#This Row],[Rep_ID]],Dim_Reps!A:A,Dim_Reps!K:K)</f>
        <v>MXN</v>
      </c>
      <c r="N5981" s="33">
        <f>(_xlfn.XLOOKUP(Pipeline_tbl[[#This Row],[Rate_Code_Generalized]],Lookups!A:A,Lookups!B:B))*Pipeline_tbl[[#This Row],[Pipeline_Amount_USD]]</f>
        <v>1176068.9200000002</v>
      </c>
      <c r="O5981" t="str">
        <f>_xlfn.XLOOKUP(Pipeline_tbl[[#This Row],[Rep_ID]],Dim_Reps!A:A,Dim_Reps!B:B)</f>
        <v>Cameron Lund</v>
      </c>
      <c r="P5981" t="str">
        <f>_xlfn.XLOOKUP(Pipeline_tbl[[#This Row],[Rep_ID]],Dim_Reps!A:A,Dim_Reps!C:C)</f>
        <v>Senior Enterprise AE</v>
      </c>
      <c r="Q5981" t="str">
        <f>_xlfn.XLOOKUP(Pipeline_tbl[[#This Row],[Rep_ID]],Dim_Reps!A:A,Dim_Reps!D:D)</f>
        <v>Strategic</v>
      </c>
      <c r="R5981" t="str">
        <f>_xlfn.XLOOKUP(Pipeline_tbl[[#This Row],[Rep_ID]],Dim_Reps!A:A,Dim_Reps!E:E)</f>
        <v>LATAM</v>
      </c>
      <c r="S5981" t="str">
        <f>_xlfn.XLOOKUP(Pipeline_tbl[[#This Row],[Created_Date]],Dim_Date!A:A,Dim_Date!H:H)</f>
        <v>Aug 2025</v>
      </c>
      <c r="T5981" t="str">
        <f>IF(Pipeline_tbl[[#This Row],[Closed_Date]]=0,"",(_xlfn.XLOOKUP(Pipeline_tbl[[#This Row],[Closed_Date]],Dim_Date!A:A,Dim_Date!H:H)))</f>
        <v>Dec 2025</v>
      </c>
      <c r="U5981">
        <f>IF(Pipeline_tbl[[#This Row],[Closed_Date]]=0,"",Pipeline_tbl[[#This Row],[Closed_Date]]-Pipeline_tbl[[#This Row],[Created_Date]])</f>
        <v>109</v>
      </c>
    </row>
    <row r="5982" spans="1:21" ht="15" customHeight="1" x14ac:dyDescent="0.2">
      <c r="A5982" t="s">
        <v>6288</v>
      </c>
      <c r="B5982" t="s">
        <v>181</v>
      </c>
      <c r="C5982" t="s">
        <v>52</v>
      </c>
      <c r="D5982" s="49">
        <v>45885</v>
      </c>
      <c r="E5982" s="49">
        <v>45895</v>
      </c>
      <c r="F5982" s="49">
        <v>45914</v>
      </c>
      <c r="G5982" s="49">
        <v>45944</v>
      </c>
      <c r="I5982" s="49">
        <v>45983</v>
      </c>
      <c r="J5982" t="s">
        <v>49</v>
      </c>
      <c r="K5982" s="33">
        <v>23000</v>
      </c>
      <c r="L5982" t="s">
        <v>60</v>
      </c>
      <c r="M5982" t="str">
        <f>_xlfn.XLOOKUP(Pipeline_tbl[[#This Row],[Rep_ID]],Dim_Reps!A:A,Dim_Reps!K:K)</f>
        <v>USD</v>
      </c>
      <c r="N5982" s="33">
        <f>(_xlfn.XLOOKUP(Pipeline_tbl[[#This Row],[Rate_Code_Generalized]],Lookups!A:A,Lookups!B:B))*Pipeline_tbl[[#This Row],[Pipeline_Amount_USD]]</f>
        <v>26778.899999999998</v>
      </c>
      <c r="O5982" t="str">
        <f>_xlfn.XLOOKUP(Pipeline_tbl[[#This Row],[Rep_ID]],Dim_Reps!A:A,Dim_Reps!B:B)</f>
        <v>Milo Weber</v>
      </c>
      <c r="P5982" t="str">
        <f>_xlfn.XLOOKUP(Pipeline_tbl[[#This Row],[Rep_ID]],Dim_Reps!A:A,Dim_Reps!C:C)</f>
        <v>Enterprise AE</v>
      </c>
      <c r="Q5982" t="str">
        <f>_xlfn.XLOOKUP(Pipeline_tbl[[#This Row],[Rep_ID]],Dim_Reps!A:A,Dim_Reps!D:D)</f>
        <v>Enterprise</v>
      </c>
      <c r="R5982" t="str">
        <f>_xlfn.XLOOKUP(Pipeline_tbl[[#This Row],[Rep_ID]],Dim_Reps!A:A,Dim_Reps!E:E)</f>
        <v>NAMER</v>
      </c>
      <c r="S5982" t="str">
        <f>_xlfn.XLOOKUP(Pipeline_tbl[[#This Row],[Created_Date]],Dim_Date!A:A,Dim_Date!H:H)</f>
        <v>Aug 2025</v>
      </c>
      <c r="T5982" t="str">
        <f>IF(Pipeline_tbl[[#This Row],[Closed_Date]]=0,"",(_xlfn.XLOOKUP(Pipeline_tbl[[#This Row],[Closed_Date]],Dim_Date!A:A,Dim_Date!H:H)))</f>
        <v>Nov 2025</v>
      </c>
      <c r="U5982">
        <f>IF(Pipeline_tbl[[#This Row],[Closed_Date]]=0,"",Pipeline_tbl[[#This Row],[Closed_Date]]-Pipeline_tbl[[#This Row],[Created_Date]])</f>
        <v>98</v>
      </c>
    </row>
    <row r="5983" spans="1:21" ht="15" customHeight="1" x14ac:dyDescent="0.2">
      <c r="A5983" t="s">
        <v>6289</v>
      </c>
      <c r="B5983" t="s">
        <v>185</v>
      </c>
      <c r="C5983" t="s">
        <v>52</v>
      </c>
      <c r="D5983" s="49">
        <v>45896</v>
      </c>
      <c r="E5983" s="49">
        <v>45903</v>
      </c>
      <c r="F5983" s="49">
        <v>45916</v>
      </c>
      <c r="G5983" s="49">
        <v>45937</v>
      </c>
      <c r="I5983" s="49">
        <v>45964</v>
      </c>
      <c r="J5983" t="s">
        <v>49</v>
      </c>
      <c r="K5983" s="33">
        <v>47500</v>
      </c>
      <c r="L5983" t="s">
        <v>63</v>
      </c>
      <c r="M5983" t="str">
        <f>_xlfn.XLOOKUP(Pipeline_tbl[[#This Row],[Rep_ID]],Dim_Reps!A:A,Dim_Reps!K:K)</f>
        <v>MXN</v>
      </c>
      <c r="N5983" s="33">
        <f>(_xlfn.XLOOKUP(Pipeline_tbl[[#This Row],[Rate_Code_Generalized]],Lookups!A:A,Lookups!B:B))*Pipeline_tbl[[#This Row],[Pipeline_Amount_USD]]</f>
        <v>937303.25000000012</v>
      </c>
      <c r="O5983" t="str">
        <f>_xlfn.XLOOKUP(Pipeline_tbl[[#This Row],[Rep_ID]],Dim_Reps!A:A,Dim_Reps!B:B)</f>
        <v>Noah Kim</v>
      </c>
      <c r="P5983" t="str">
        <f>_xlfn.XLOOKUP(Pipeline_tbl[[#This Row],[Rep_ID]],Dim_Reps!A:A,Dim_Reps!C:C)</f>
        <v>Enterprise AE</v>
      </c>
      <c r="Q5983" t="str">
        <f>_xlfn.XLOOKUP(Pipeline_tbl[[#This Row],[Rep_ID]],Dim_Reps!A:A,Dim_Reps!D:D)</f>
        <v>Enterprise</v>
      </c>
      <c r="R5983" t="str">
        <f>_xlfn.XLOOKUP(Pipeline_tbl[[#This Row],[Rep_ID]],Dim_Reps!A:A,Dim_Reps!E:E)</f>
        <v>LATAM</v>
      </c>
      <c r="S5983" t="str">
        <f>_xlfn.XLOOKUP(Pipeline_tbl[[#This Row],[Created_Date]],Dim_Date!A:A,Dim_Date!H:H)</f>
        <v>Aug 2025</v>
      </c>
      <c r="T5983" t="str">
        <f>IF(Pipeline_tbl[[#This Row],[Closed_Date]]=0,"",(_xlfn.XLOOKUP(Pipeline_tbl[[#This Row],[Closed_Date]],Dim_Date!A:A,Dim_Date!H:H)))</f>
        <v>Nov 2025</v>
      </c>
      <c r="U5983">
        <f>IF(Pipeline_tbl[[#This Row],[Closed_Date]]=0,"",Pipeline_tbl[[#This Row],[Closed_Date]]-Pipeline_tbl[[#This Row],[Created_Date]])</f>
        <v>68</v>
      </c>
    </row>
    <row r="5984" spans="1:21" ht="15" customHeight="1" x14ac:dyDescent="0.2">
      <c r="A5984" t="s">
        <v>6290</v>
      </c>
      <c r="B5984" t="s">
        <v>280</v>
      </c>
      <c r="C5984" t="s">
        <v>52</v>
      </c>
      <c r="D5984" s="49">
        <v>45875</v>
      </c>
      <c r="E5984" s="49">
        <v>45885</v>
      </c>
      <c r="F5984" s="49">
        <v>45904</v>
      </c>
      <c r="G5984" s="49">
        <v>45934</v>
      </c>
      <c r="H5984" s="49">
        <v>45958</v>
      </c>
      <c r="I5984" s="49">
        <v>45973</v>
      </c>
      <c r="J5984" t="s">
        <v>47</v>
      </c>
      <c r="K5984" s="33">
        <v>38400</v>
      </c>
      <c r="M5984" t="str">
        <f>_xlfn.XLOOKUP(Pipeline_tbl[[#This Row],[Rep_ID]],Dim_Reps!A:A,Dim_Reps!K:K)</f>
        <v>MXN</v>
      </c>
      <c r="N5984" s="33">
        <f>(_xlfn.XLOOKUP(Pipeline_tbl[[#This Row],[Rate_Code_Generalized]],Lookups!A:A,Lookups!B:B))*Pipeline_tbl[[#This Row],[Pipeline_Amount_USD]]</f>
        <v>757735.68</v>
      </c>
      <c r="O5984" t="str">
        <f>_xlfn.XLOOKUP(Pipeline_tbl[[#This Row],[Rep_ID]],Dim_Reps!A:A,Dim_Reps!B:B)</f>
        <v>Cameron Lund</v>
      </c>
      <c r="P5984" t="str">
        <f>_xlfn.XLOOKUP(Pipeline_tbl[[#This Row],[Rep_ID]],Dim_Reps!A:A,Dim_Reps!C:C)</f>
        <v>Senior Enterprise AE</v>
      </c>
      <c r="Q5984" t="str">
        <f>_xlfn.XLOOKUP(Pipeline_tbl[[#This Row],[Rep_ID]],Dim_Reps!A:A,Dim_Reps!D:D)</f>
        <v>Strategic</v>
      </c>
      <c r="R5984" t="str">
        <f>_xlfn.XLOOKUP(Pipeline_tbl[[#This Row],[Rep_ID]],Dim_Reps!A:A,Dim_Reps!E:E)</f>
        <v>LATAM</v>
      </c>
      <c r="S5984" t="str">
        <f>_xlfn.XLOOKUP(Pipeline_tbl[[#This Row],[Created_Date]],Dim_Date!A:A,Dim_Date!H:H)</f>
        <v>Aug 2025</v>
      </c>
      <c r="T5984" t="str">
        <f>IF(Pipeline_tbl[[#This Row],[Closed_Date]]=0,"",(_xlfn.XLOOKUP(Pipeline_tbl[[#This Row],[Closed_Date]],Dim_Date!A:A,Dim_Date!H:H)))</f>
        <v>Nov 2025</v>
      </c>
      <c r="U5984">
        <f>IF(Pipeline_tbl[[#This Row],[Closed_Date]]=0,"",Pipeline_tbl[[#This Row],[Closed_Date]]-Pipeline_tbl[[#This Row],[Created_Date]])</f>
        <v>98</v>
      </c>
    </row>
    <row r="5985" spans="1:21" ht="15" customHeight="1" x14ac:dyDescent="0.2">
      <c r="A5985" t="s">
        <v>6291</v>
      </c>
      <c r="B5985" t="s">
        <v>280</v>
      </c>
      <c r="C5985" t="s">
        <v>53</v>
      </c>
      <c r="D5985" s="49">
        <v>45874</v>
      </c>
      <c r="E5985" s="49">
        <v>45884</v>
      </c>
      <c r="F5985" s="49">
        <v>45903</v>
      </c>
      <c r="G5985" s="49">
        <v>45931</v>
      </c>
      <c r="I5985" s="49">
        <v>45969</v>
      </c>
      <c r="J5985" t="s">
        <v>49</v>
      </c>
      <c r="K5985" s="33">
        <v>96000</v>
      </c>
      <c r="L5985" t="s">
        <v>62</v>
      </c>
      <c r="M5985" t="str">
        <f>_xlfn.XLOOKUP(Pipeline_tbl[[#This Row],[Rep_ID]],Dim_Reps!A:A,Dim_Reps!K:K)</f>
        <v>MXN</v>
      </c>
      <c r="N5985" s="33">
        <f>(_xlfn.XLOOKUP(Pipeline_tbl[[#This Row],[Rate_Code_Generalized]],Lookups!A:A,Lookups!B:B))*Pipeline_tbl[[#This Row],[Pipeline_Amount_USD]]</f>
        <v>1894339.2000000002</v>
      </c>
      <c r="O5985" t="str">
        <f>_xlfn.XLOOKUP(Pipeline_tbl[[#This Row],[Rep_ID]],Dim_Reps!A:A,Dim_Reps!B:B)</f>
        <v>Cameron Lund</v>
      </c>
      <c r="P5985" t="str">
        <f>_xlfn.XLOOKUP(Pipeline_tbl[[#This Row],[Rep_ID]],Dim_Reps!A:A,Dim_Reps!C:C)</f>
        <v>Senior Enterprise AE</v>
      </c>
      <c r="Q5985" t="str">
        <f>_xlfn.XLOOKUP(Pipeline_tbl[[#This Row],[Rep_ID]],Dim_Reps!A:A,Dim_Reps!D:D)</f>
        <v>Strategic</v>
      </c>
      <c r="R5985" t="str">
        <f>_xlfn.XLOOKUP(Pipeline_tbl[[#This Row],[Rep_ID]],Dim_Reps!A:A,Dim_Reps!E:E)</f>
        <v>LATAM</v>
      </c>
      <c r="S5985" t="str">
        <f>_xlfn.XLOOKUP(Pipeline_tbl[[#This Row],[Created_Date]],Dim_Date!A:A,Dim_Date!H:H)</f>
        <v>Aug 2025</v>
      </c>
      <c r="T5985" t="str">
        <f>IF(Pipeline_tbl[[#This Row],[Closed_Date]]=0,"",(_xlfn.XLOOKUP(Pipeline_tbl[[#This Row],[Closed_Date]],Dim_Date!A:A,Dim_Date!H:H)))</f>
        <v>Nov 2025</v>
      </c>
      <c r="U5985">
        <f>IF(Pipeline_tbl[[#This Row],[Closed_Date]]=0,"",Pipeline_tbl[[#This Row],[Closed_Date]]-Pipeline_tbl[[#This Row],[Created_Date]])</f>
        <v>95</v>
      </c>
    </row>
    <row r="5986" spans="1:21" ht="15" customHeight="1" x14ac:dyDescent="0.2">
      <c r="A5986" t="s">
        <v>6292</v>
      </c>
      <c r="B5986" t="s">
        <v>275</v>
      </c>
      <c r="C5986" t="s">
        <v>52</v>
      </c>
      <c r="D5986" s="49">
        <v>45889</v>
      </c>
      <c r="E5986" s="49">
        <v>45895</v>
      </c>
      <c r="F5986" s="49">
        <v>45907</v>
      </c>
      <c r="G5986" s="49">
        <v>45924</v>
      </c>
      <c r="I5986" s="49">
        <v>45948</v>
      </c>
      <c r="J5986" t="s">
        <v>49</v>
      </c>
      <c r="K5986" s="33">
        <v>49600</v>
      </c>
      <c r="L5986" t="s">
        <v>61</v>
      </c>
      <c r="M5986" t="str">
        <f>_xlfn.XLOOKUP(Pipeline_tbl[[#This Row],[Rep_ID]],Dim_Reps!A:A,Dim_Reps!K:K)</f>
        <v>USD</v>
      </c>
      <c r="N5986" s="33">
        <f>(_xlfn.XLOOKUP(Pipeline_tbl[[#This Row],[Rate_Code_Generalized]],Lookups!A:A,Lookups!B:B))*Pipeline_tbl[[#This Row],[Pipeline_Amount_USD]]</f>
        <v>57749.279999999992</v>
      </c>
      <c r="O5986" t="str">
        <f>_xlfn.XLOOKUP(Pipeline_tbl[[#This Row],[Rep_ID]],Dim_Reps!A:A,Dim_Reps!B:B)</f>
        <v>Sana Rossi</v>
      </c>
      <c r="P5986" t="str">
        <f>_xlfn.XLOOKUP(Pipeline_tbl[[#This Row],[Rep_ID]],Dim_Reps!A:A,Dim_Reps!C:C)</f>
        <v>Senior Enterprise AE</v>
      </c>
      <c r="Q5986" t="str">
        <f>_xlfn.XLOOKUP(Pipeline_tbl[[#This Row],[Rep_ID]],Dim_Reps!A:A,Dim_Reps!D:D)</f>
        <v>Strategic</v>
      </c>
      <c r="R5986" t="str">
        <f>_xlfn.XLOOKUP(Pipeline_tbl[[#This Row],[Rep_ID]],Dim_Reps!A:A,Dim_Reps!E:E)</f>
        <v>NAMER</v>
      </c>
      <c r="S5986" t="str">
        <f>_xlfn.XLOOKUP(Pipeline_tbl[[#This Row],[Created_Date]],Dim_Date!A:A,Dim_Date!H:H)</f>
        <v>Aug 2025</v>
      </c>
      <c r="T5986" t="str">
        <f>IF(Pipeline_tbl[[#This Row],[Closed_Date]]=0,"",(_xlfn.XLOOKUP(Pipeline_tbl[[#This Row],[Closed_Date]],Dim_Date!A:A,Dim_Date!H:H)))</f>
        <v>Oct 2025</v>
      </c>
      <c r="U5986">
        <f>IF(Pipeline_tbl[[#This Row],[Closed_Date]]=0,"",Pipeline_tbl[[#This Row],[Closed_Date]]-Pipeline_tbl[[#This Row],[Created_Date]])</f>
        <v>59</v>
      </c>
    </row>
    <row r="5987" spans="1:21" ht="15" customHeight="1" x14ac:dyDescent="0.2">
      <c r="A5987" t="s">
        <v>6293</v>
      </c>
      <c r="B5987" t="s">
        <v>243</v>
      </c>
      <c r="C5987" t="s">
        <v>53</v>
      </c>
      <c r="D5987" s="49">
        <v>45894</v>
      </c>
      <c r="E5987" s="49">
        <v>45899</v>
      </c>
      <c r="I5987" s="49">
        <v>45947</v>
      </c>
      <c r="J5987" t="s">
        <v>49</v>
      </c>
      <c r="K5987" s="33">
        <v>4700</v>
      </c>
      <c r="L5987" t="s">
        <v>60</v>
      </c>
      <c r="M5987" t="str">
        <f>_xlfn.XLOOKUP(Pipeline_tbl[[#This Row],[Rep_ID]],Dim_Reps!A:A,Dim_Reps!K:K)</f>
        <v>MXN</v>
      </c>
      <c r="N5987" s="33">
        <f>(_xlfn.XLOOKUP(Pipeline_tbl[[#This Row],[Rate_Code_Generalized]],Lookups!A:A,Lookups!B:B))*Pipeline_tbl[[#This Row],[Pipeline_Amount_USD]]</f>
        <v>92743.69</v>
      </c>
      <c r="O5987" t="str">
        <f>_xlfn.XLOOKUP(Pipeline_tbl[[#This Row],[Rep_ID]],Dim_Reps!A:A,Dim_Reps!B:B)</f>
        <v>Jonas Sato</v>
      </c>
      <c r="P5987" t="str">
        <f>_xlfn.XLOOKUP(Pipeline_tbl[[#This Row],[Rep_ID]],Dim_Reps!A:A,Dim_Reps!C:C)</f>
        <v>Mid-Market AE</v>
      </c>
      <c r="Q5987" t="str">
        <f>_xlfn.XLOOKUP(Pipeline_tbl[[#This Row],[Rep_ID]],Dim_Reps!A:A,Dim_Reps!D:D)</f>
        <v>Mid-Market</v>
      </c>
      <c r="R5987" t="str">
        <f>_xlfn.XLOOKUP(Pipeline_tbl[[#This Row],[Rep_ID]],Dim_Reps!A:A,Dim_Reps!E:E)</f>
        <v>LATAM</v>
      </c>
      <c r="S5987" t="str">
        <f>_xlfn.XLOOKUP(Pipeline_tbl[[#This Row],[Created_Date]],Dim_Date!A:A,Dim_Date!H:H)</f>
        <v>Aug 2025</v>
      </c>
      <c r="T5987" t="str">
        <f>IF(Pipeline_tbl[[#This Row],[Closed_Date]]=0,"",(_xlfn.XLOOKUP(Pipeline_tbl[[#This Row],[Closed_Date]],Dim_Date!A:A,Dim_Date!H:H)))</f>
        <v>Oct 2025</v>
      </c>
      <c r="U5987">
        <f>IF(Pipeline_tbl[[#This Row],[Closed_Date]]=0,"",Pipeline_tbl[[#This Row],[Closed_Date]]-Pipeline_tbl[[#This Row],[Created_Date]])</f>
        <v>53</v>
      </c>
    </row>
    <row r="5988" spans="1:21" ht="15" customHeight="1" x14ac:dyDescent="0.2">
      <c r="A5988" t="s">
        <v>6294</v>
      </c>
      <c r="B5988" t="s">
        <v>181</v>
      </c>
      <c r="C5988" t="s">
        <v>56</v>
      </c>
      <c r="D5988" s="49">
        <v>45894</v>
      </c>
      <c r="E5988" s="49">
        <v>45901</v>
      </c>
      <c r="F5988" s="49">
        <v>45914</v>
      </c>
      <c r="G5988" s="49">
        <v>45934</v>
      </c>
      <c r="H5988" s="49">
        <v>45950</v>
      </c>
      <c r="I5988" s="49">
        <v>45960</v>
      </c>
      <c r="J5988" t="s">
        <v>49</v>
      </c>
      <c r="K5988" s="33">
        <v>13600</v>
      </c>
      <c r="L5988" t="s">
        <v>60</v>
      </c>
      <c r="M5988" t="str">
        <f>_xlfn.XLOOKUP(Pipeline_tbl[[#This Row],[Rep_ID]],Dim_Reps!A:A,Dim_Reps!K:K)</f>
        <v>USD</v>
      </c>
      <c r="N5988" s="33">
        <f>(_xlfn.XLOOKUP(Pipeline_tbl[[#This Row],[Rate_Code_Generalized]],Lookups!A:A,Lookups!B:B))*Pipeline_tbl[[#This Row],[Pipeline_Amount_USD]]</f>
        <v>15834.479999999998</v>
      </c>
      <c r="O5988" t="str">
        <f>_xlfn.XLOOKUP(Pipeline_tbl[[#This Row],[Rep_ID]],Dim_Reps!A:A,Dim_Reps!B:B)</f>
        <v>Milo Weber</v>
      </c>
      <c r="P5988" t="str">
        <f>_xlfn.XLOOKUP(Pipeline_tbl[[#This Row],[Rep_ID]],Dim_Reps!A:A,Dim_Reps!C:C)</f>
        <v>Enterprise AE</v>
      </c>
      <c r="Q5988" t="str">
        <f>_xlfn.XLOOKUP(Pipeline_tbl[[#This Row],[Rep_ID]],Dim_Reps!A:A,Dim_Reps!D:D)</f>
        <v>Enterprise</v>
      </c>
      <c r="R5988" t="str">
        <f>_xlfn.XLOOKUP(Pipeline_tbl[[#This Row],[Rep_ID]],Dim_Reps!A:A,Dim_Reps!E:E)</f>
        <v>NAMER</v>
      </c>
      <c r="S5988" t="str">
        <f>_xlfn.XLOOKUP(Pipeline_tbl[[#This Row],[Created_Date]],Dim_Date!A:A,Dim_Date!H:H)</f>
        <v>Aug 2025</v>
      </c>
      <c r="T5988" t="str">
        <f>IF(Pipeline_tbl[[#This Row],[Closed_Date]]=0,"",(_xlfn.XLOOKUP(Pipeline_tbl[[#This Row],[Closed_Date]],Dim_Date!A:A,Dim_Date!H:H)))</f>
        <v>Oct 2025</v>
      </c>
      <c r="U5988">
        <f>IF(Pipeline_tbl[[#This Row],[Closed_Date]]=0,"",Pipeline_tbl[[#This Row],[Closed_Date]]-Pipeline_tbl[[#This Row],[Created_Date]])</f>
        <v>66</v>
      </c>
    </row>
    <row r="5989" spans="1:21" ht="15" customHeight="1" x14ac:dyDescent="0.2">
      <c r="A5989" t="s">
        <v>6295</v>
      </c>
      <c r="B5989" t="s">
        <v>181</v>
      </c>
      <c r="C5989" t="s">
        <v>53</v>
      </c>
      <c r="D5989" s="49">
        <v>45890</v>
      </c>
      <c r="E5989" s="49">
        <v>45896</v>
      </c>
      <c r="F5989" s="49">
        <v>45910</v>
      </c>
      <c r="G5989" s="49">
        <v>45929</v>
      </c>
      <c r="H5989" s="49">
        <v>45945</v>
      </c>
      <c r="I5989" s="49">
        <v>45955</v>
      </c>
      <c r="J5989" t="s">
        <v>47</v>
      </c>
      <c r="K5989" s="33">
        <v>26800</v>
      </c>
      <c r="M5989" t="str">
        <f>_xlfn.XLOOKUP(Pipeline_tbl[[#This Row],[Rep_ID]],Dim_Reps!A:A,Dim_Reps!K:K)</f>
        <v>USD</v>
      </c>
      <c r="N5989" s="33">
        <f>(_xlfn.XLOOKUP(Pipeline_tbl[[#This Row],[Rate_Code_Generalized]],Lookups!A:A,Lookups!B:B))*Pipeline_tbl[[#This Row],[Pipeline_Amount_USD]]</f>
        <v>31203.239999999998</v>
      </c>
      <c r="O5989" t="str">
        <f>_xlfn.XLOOKUP(Pipeline_tbl[[#This Row],[Rep_ID]],Dim_Reps!A:A,Dim_Reps!B:B)</f>
        <v>Milo Weber</v>
      </c>
      <c r="P5989" t="str">
        <f>_xlfn.XLOOKUP(Pipeline_tbl[[#This Row],[Rep_ID]],Dim_Reps!A:A,Dim_Reps!C:C)</f>
        <v>Enterprise AE</v>
      </c>
      <c r="Q5989" t="str">
        <f>_xlfn.XLOOKUP(Pipeline_tbl[[#This Row],[Rep_ID]],Dim_Reps!A:A,Dim_Reps!D:D)</f>
        <v>Enterprise</v>
      </c>
      <c r="R5989" t="str">
        <f>_xlfn.XLOOKUP(Pipeline_tbl[[#This Row],[Rep_ID]],Dim_Reps!A:A,Dim_Reps!E:E)</f>
        <v>NAMER</v>
      </c>
      <c r="S5989" t="str">
        <f>_xlfn.XLOOKUP(Pipeline_tbl[[#This Row],[Created_Date]],Dim_Date!A:A,Dim_Date!H:H)</f>
        <v>Aug 2025</v>
      </c>
      <c r="T5989" t="str">
        <f>IF(Pipeline_tbl[[#This Row],[Closed_Date]]=0,"",(_xlfn.XLOOKUP(Pipeline_tbl[[#This Row],[Closed_Date]],Dim_Date!A:A,Dim_Date!H:H)))</f>
        <v>Oct 2025</v>
      </c>
      <c r="U5989">
        <f>IF(Pipeline_tbl[[#This Row],[Closed_Date]]=0,"",Pipeline_tbl[[#This Row],[Closed_Date]]-Pipeline_tbl[[#This Row],[Created_Date]])</f>
        <v>65</v>
      </c>
    </row>
    <row r="5990" spans="1:21" ht="15" customHeight="1" x14ac:dyDescent="0.2">
      <c r="A5990" t="s">
        <v>6296</v>
      </c>
      <c r="B5990" t="s">
        <v>181</v>
      </c>
      <c r="C5990" t="s">
        <v>52</v>
      </c>
      <c r="D5990" s="49">
        <v>45884</v>
      </c>
      <c r="E5990" s="49">
        <v>45891</v>
      </c>
      <c r="F5990" s="49">
        <v>45906</v>
      </c>
      <c r="G5990" s="49">
        <v>45928</v>
      </c>
      <c r="H5990" s="49">
        <v>45946</v>
      </c>
      <c r="I5990" s="49">
        <v>45957</v>
      </c>
      <c r="J5990" t="s">
        <v>49</v>
      </c>
      <c r="K5990" s="33">
        <v>22500</v>
      </c>
      <c r="L5990" t="s">
        <v>60</v>
      </c>
      <c r="M5990" t="str">
        <f>_xlfn.XLOOKUP(Pipeline_tbl[[#This Row],[Rep_ID]],Dim_Reps!A:A,Dim_Reps!K:K)</f>
        <v>USD</v>
      </c>
      <c r="N5990" s="33">
        <f>(_xlfn.XLOOKUP(Pipeline_tbl[[#This Row],[Rate_Code_Generalized]],Lookups!A:A,Lookups!B:B))*Pipeline_tbl[[#This Row],[Pipeline_Amount_USD]]</f>
        <v>26196.749999999996</v>
      </c>
      <c r="O5990" t="str">
        <f>_xlfn.XLOOKUP(Pipeline_tbl[[#This Row],[Rep_ID]],Dim_Reps!A:A,Dim_Reps!B:B)</f>
        <v>Milo Weber</v>
      </c>
      <c r="P5990" t="str">
        <f>_xlfn.XLOOKUP(Pipeline_tbl[[#This Row],[Rep_ID]],Dim_Reps!A:A,Dim_Reps!C:C)</f>
        <v>Enterprise AE</v>
      </c>
      <c r="Q5990" t="str">
        <f>_xlfn.XLOOKUP(Pipeline_tbl[[#This Row],[Rep_ID]],Dim_Reps!A:A,Dim_Reps!D:D)</f>
        <v>Enterprise</v>
      </c>
      <c r="R5990" t="str">
        <f>_xlfn.XLOOKUP(Pipeline_tbl[[#This Row],[Rep_ID]],Dim_Reps!A:A,Dim_Reps!E:E)</f>
        <v>NAMER</v>
      </c>
      <c r="S5990" t="str">
        <f>_xlfn.XLOOKUP(Pipeline_tbl[[#This Row],[Created_Date]],Dim_Date!A:A,Dim_Date!H:H)</f>
        <v>Aug 2025</v>
      </c>
      <c r="T5990" t="str">
        <f>IF(Pipeline_tbl[[#This Row],[Closed_Date]]=0,"",(_xlfn.XLOOKUP(Pipeline_tbl[[#This Row],[Closed_Date]],Dim_Date!A:A,Dim_Date!H:H)))</f>
        <v>Oct 2025</v>
      </c>
      <c r="U5990">
        <f>IF(Pipeline_tbl[[#This Row],[Closed_Date]]=0,"",Pipeline_tbl[[#This Row],[Closed_Date]]-Pipeline_tbl[[#This Row],[Created_Date]])</f>
        <v>73</v>
      </c>
    </row>
    <row r="5991" spans="1:21" ht="15" customHeight="1" x14ac:dyDescent="0.2">
      <c r="A5991" t="s">
        <v>6297</v>
      </c>
      <c r="B5991" t="s">
        <v>183</v>
      </c>
      <c r="C5991" t="s">
        <v>55</v>
      </c>
      <c r="D5991" s="49">
        <v>45883</v>
      </c>
      <c r="E5991" s="49">
        <v>45891</v>
      </c>
      <c r="I5991" s="49">
        <v>45960</v>
      </c>
      <c r="J5991" t="s">
        <v>49</v>
      </c>
      <c r="K5991" s="33">
        <v>23500</v>
      </c>
      <c r="L5991" t="s">
        <v>60</v>
      </c>
      <c r="M5991" t="str">
        <f>_xlfn.XLOOKUP(Pipeline_tbl[[#This Row],[Rep_ID]],Dim_Reps!A:A,Dim_Reps!K:K)</f>
        <v>EUR</v>
      </c>
      <c r="N5991" s="33">
        <f>(_xlfn.XLOOKUP(Pipeline_tbl[[#This Row],[Rate_Code_Generalized]],Lookups!A:A,Lookups!B:B))*Pipeline_tbl[[#This Row],[Pipeline_Amount_USD]]</f>
        <v>23500</v>
      </c>
      <c r="O5991" t="str">
        <f>_xlfn.XLOOKUP(Pipeline_tbl[[#This Row],[Rep_ID]],Dim_Reps!A:A,Dim_Reps!B:B)</f>
        <v>Sam Schmidt</v>
      </c>
      <c r="P5991" t="str">
        <f>_xlfn.XLOOKUP(Pipeline_tbl[[#This Row],[Rep_ID]],Dim_Reps!A:A,Dim_Reps!C:C)</f>
        <v>Enterprise AE</v>
      </c>
      <c r="Q5991" t="str">
        <f>_xlfn.XLOOKUP(Pipeline_tbl[[#This Row],[Rep_ID]],Dim_Reps!A:A,Dim_Reps!D:D)</f>
        <v>Enterprise</v>
      </c>
      <c r="R5991" t="str">
        <f>_xlfn.XLOOKUP(Pipeline_tbl[[#This Row],[Rep_ID]],Dim_Reps!A:A,Dim_Reps!E:E)</f>
        <v>EMEA</v>
      </c>
      <c r="S5991" t="str">
        <f>_xlfn.XLOOKUP(Pipeline_tbl[[#This Row],[Created_Date]],Dim_Date!A:A,Dim_Date!H:H)</f>
        <v>Aug 2025</v>
      </c>
      <c r="T5991" t="str">
        <f>IF(Pipeline_tbl[[#This Row],[Closed_Date]]=0,"",(_xlfn.XLOOKUP(Pipeline_tbl[[#This Row],[Closed_Date]],Dim_Date!A:A,Dim_Date!H:H)))</f>
        <v>Oct 2025</v>
      </c>
      <c r="U5991">
        <f>IF(Pipeline_tbl[[#This Row],[Closed_Date]]=0,"",Pipeline_tbl[[#This Row],[Closed_Date]]-Pipeline_tbl[[#This Row],[Created_Date]])</f>
        <v>77</v>
      </c>
    </row>
    <row r="5992" spans="1:21" ht="15" customHeight="1" x14ac:dyDescent="0.2">
      <c r="A5992" t="s">
        <v>6298</v>
      </c>
      <c r="B5992" t="s">
        <v>183</v>
      </c>
      <c r="C5992" t="s">
        <v>52</v>
      </c>
      <c r="D5992" s="49">
        <v>45897</v>
      </c>
      <c r="E5992" s="49">
        <v>45901</v>
      </c>
      <c r="F5992" s="49">
        <v>45910</v>
      </c>
      <c r="G5992" s="49">
        <v>45922</v>
      </c>
      <c r="I5992" s="49">
        <v>45939</v>
      </c>
      <c r="J5992" t="s">
        <v>49</v>
      </c>
      <c r="K5992" s="33">
        <v>25400</v>
      </c>
      <c r="L5992" t="s">
        <v>61</v>
      </c>
      <c r="M5992" t="str">
        <f>_xlfn.XLOOKUP(Pipeline_tbl[[#This Row],[Rep_ID]],Dim_Reps!A:A,Dim_Reps!K:K)</f>
        <v>EUR</v>
      </c>
      <c r="N5992" s="33">
        <f>(_xlfn.XLOOKUP(Pipeline_tbl[[#This Row],[Rate_Code_Generalized]],Lookups!A:A,Lookups!B:B))*Pipeline_tbl[[#This Row],[Pipeline_Amount_USD]]</f>
        <v>25400</v>
      </c>
      <c r="O5992" t="str">
        <f>_xlfn.XLOOKUP(Pipeline_tbl[[#This Row],[Rep_ID]],Dim_Reps!A:A,Dim_Reps!B:B)</f>
        <v>Sam Schmidt</v>
      </c>
      <c r="P5992" t="str">
        <f>_xlfn.XLOOKUP(Pipeline_tbl[[#This Row],[Rep_ID]],Dim_Reps!A:A,Dim_Reps!C:C)</f>
        <v>Enterprise AE</v>
      </c>
      <c r="Q5992" t="str">
        <f>_xlfn.XLOOKUP(Pipeline_tbl[[#This Row],[Rep_ID]],Dim_Reps!A:A,Dim_Reps!D:D)</f>
        <v>Enterprise</v>
      </c>
      <c r="R5992" t="str">
        <f>_xlfn.XLOOKUP(Pipeline_tbl[[#This Row],[Rep_ID]],Dim_Reps!A:A,Dim_Reps!E:E)</f>
        <v>EMEA</v>
      </c>
      <c r="S5992" t="str">
        <f>_xlfn.XLOOKUP(Pipeline_tbl[[#This Row],[Created_Date]],Dim_Date!A:A,Dim_Date!H:H)</f>
        <v>Aug 2025</v>
      </c>
      <c r="T5992" t="str">
        <f>IF(Pipeline_tbl[[#This Row],[Closed_Date]]=0,"",(_xlfn.XLOOKUP(Pipeline_tbl[[#This Row],[Closed_Date]],Dim_Date!A:A,Dim_Date!H:H)))</f>
        <v>Oct 2025</v>
      </c>
      <c r="U5992">
        <f>IF(Pipeline_tbl[[#This Row],[Closed_Date]]=0,"",Pipeline_tbl[[#This Row],[Closed_Date]]-Pipeline_tbl[[#This Row],[Created_Date]])</f>
        <v>42</v>
      </c>
    </row>
    <row r="5993" spans="1:21" ht="15" customHeight="1" x14ac:dyDescent="0.2">
      <c r="A5993" t="s">
        <v>6299</v>
      </c>
      <c r="B5993" t="s">
        <v>183</v>
      </c>
      <c r="C5993" t="s">
        <v>52</v>
      </c>
      <c r="D5993" s="49">
        <v>45890</v>
      </c>
      <c r="E5993" s="49">
        <v>45896</v>
      </c>
      <c r="F5993" s="49">
        <v>45907</v>
      </c>
      <c r="G5993" s="49">
        <v>45923</v>
      </c>
      <c r="H5993" s="49">
        <v>45937</v>
      </c>
      <c r="I5993" s="49">
        <v>45945</v>
      </c>
      <c r="J5993" t="s">
        <v>49</v>
      </c>
      <c r="K5993" s="33">
        <v>33200</v>
      </c>
      <c r="L5993" t="s">
        <v>60</v>
      </c>
      <c r="M5993" t="str">
        <f>_xlfn.XLOOKUP(Pipeline_tbl[[#This Row],[Rep_ID]],Dim_Reps!A:A,Dim_Reps!K:K)</f>
        <v>EUR</v>
      </c>
      <c r="N5993" s="33">
        <f>(_xlfn.XLOOKUP(Pipeline_tbl[[#This Row],[Rate_Code_Generalized]],Lookups!A:A,Lookups!B:B))*Pipeline_tbl[[#This Row],[Pipeline_Amount_USD]]</f>
        <v>33200</v>
      </c>
      <c r="O5993" t="str">
        <f>_xlfn.XLOOKUP(Pipeline_tbl[[#This Row],[Rep_ID]],Dim_Reps!A:A,Dim_Reps!B:B)</f>
        <v>Sam Schmidt</v>
      </c>
      <c r="P5993" t="str">
        <f>_xlfn.XLOOKUP(Pipeline_tbl[[#This Row],[Rep_ID]],Dim_Reps!A:A,Dim_Reps!C:C)</f>
        <v>Enterprise AE</v>
      </c>
      <c r="Q5993" t="str">
        <f>_xlfn.XLOOKUP(Pipeline_tbl[[#This Row],[Rep_ID]],Dim_Reps!A:A,Dim_Reps!D:D)</f>
        <v>Enterprise</v>
      </c>
      <c r="R5993" t="str">
        <f>_xlfn.XLOOKUP(Pipeline_tbl[[#This Row],[Rep_ID]],Dim_Reps!A:A,Dim_Reps!E:E)</f>
        <v>EMEA</v>
      </c>
      <c r="S5993" t="str">
        <f>_xlfn.XLOOKUP(Pipeline_tbl[[#This Row],[Created_Date]],Dim_Date!A:A,Dim_Date!H:H)</f>
        <v>Aug 2025</v>
      </c>
      <c r="T5993" t="str">
        <f>IF(Pipeline_tbl[[#This Row],[Closed_Date]]=0,"",(_xlfn.XLOOKUP(Pipeline_tbl[[#This Row],[Closed_Date]],Dim_Date!A:A,Dim_Date!H:H)))</f>
        <v>Oct 2025</v>
      </c>
      <c r="U5993">
        <f>IF(Pipeline_tbl[[#This Row],[Closed_Date]]=0,"",Pipeline_tbl[[#This Row],[Closed_Date]]-Pipeline_tbl[[#This Row],[Created_Date]])</f>
        <v>55</v>
      </c>
    </row>
    <row r="5994" spans="1:21" ht="15" customHeight="1" x14ac:dyDescent="0.2">
      <c r="A5994" t="s">
        <v>6300</v>
      </c>
      <c r="B5994" t="s">
        <v>183</v>
      </c>
      <c r="C5994" t="s">
        <v>54</v>
      </c>
      <c r="D5994" s="49">
        <v>45874</v>
      </c>
      <c r="E5994" s="49">
        <v>45882</v>
      </c>
      <c r="F5994" s="49">
        <v>45899</v>
      </c>
      <c r="G5994" s="49">
        <v>45924</v>
      </c>
      <c r="H5994" s="49">
        <v>45945</v>
      </c>
      <c r="I5994" s="49">
        <v>45957</v>
      </c>
      <c r="J5994" t="s">
        <v>47</v>
      </c>
      <c r="K5994" s="33">
        <v>31800</v>
      </c>
      <c r="M5994" t="str">
        <f>_xlfn.XLOOKUP(Pipeline_tbl[[#This Row],[Rep_ID]],Dim_Reps!A:A,Dim_Reps!K:K)</f>
        <v>EUR</v>
      </c>
      <c r="N5994" s="33">
        <f>(_xlfn.XLOOKUP(Pipeline_tbl[[#This Row],[Rate_Code_Generalized]],Lookups!A:A,Lookups!B:B))*Pipeline_tbl[[#This Row],[Pipeline_Amount_USD]]</f>
        <v>31800</v>
      </c>
      <c r="O5994" t="str">
        <f>_xlfn.XLOOKUP(Pipeline_tbl[[#This Row],[Rep_ID]],Dim_Reps!A:A,Dim_Reps!B:B)</f>
        <v>Sam Schmidt</v>
      </c>
      <c r="P5994" t="str">
        <f>_xlfn.XLOOKUP(Pipeline_tbl[[#This Row],[Rep_ID]],Dim_Reps!A:A,Dim_Reps!C:C)</f>
        <v>Enterprise AE</v>
      </c>
      <c r="Q5994" t="str">
        <f>_xlfn.XLOOKUP(Pipeline_tbl[[#This Row],[Rep_ID]],Dim_Reps!A:A,Dim_Reps!D:D)</f>
        <v>Enterprise</v>
      </c>
      <c r="R5994" t="str">
        <f>_xlfn.XLOOKUP(Pipeline_tbl[[#This Row],[Rep_ID]],Dim_Reps!A:A,Dim_Reps!E:E)</f>
        <v>EMEA</v>
      </c>
      <c r="S5994" t="str">
        <f>_xlfn.XLOOKUP(Pipeline_tbl[[#This Row],[Created_Date]],Dim_Date!A:A,Dim_Date!H:H)</f>
        <v>Aug 2025</v>
      </c>
      <c r="T5994" t="str">
        <f>IF(Pipeline_tbl[[#This Row],[Closed_Date]]=0,"",(_xlfn.XLOOKUP(Pipeline_tbl[[#This Row],[Closed_Date]],Dim_Date!A:A,Dim_Date!H:H)))</f>
        <v>Oct 2025</v>
      </c>
      <c r="U5994">
        <f>IF(Pipeline_tbl[[#This Row],[Closed_Date]]=0,"",Pipeline_tbl[[#This Row],[Closed_Date]]-Pipeline_tbl[[#This Row],[Created_Date]])</f>
        <v>83</v>
      </c>
    </row>
    <row r="5995" spans="1:21" ht="15" customHeight="1" x14ac:dyDescent="0.2">
      <c r="A5995" t="s">
        <v>6301</v>
      </c>
      <c r="B5995" t="s">
        <v>185</v>
      </c>
      <c r="C5995" t="s">
        <v>55</v>
      </c>
      <c r="D5995" s="49">
        <v>45895</v>
      </c>
      <c r="E5995" s="49">
        <v>45901</v>
      </c>
      <c r="F5995" s="49">
        <v>45913</v>
      </c>
      <c r="G5995" s="49">
        <v>45932</v>
      </c>
      <c r="I5995" s="49">
        <v>45956</v>
      </c>
      <c r="J5995" t="s">
        <v>49</v>
      </c>
      <c r="K5995" s="33">
        <v>33300</v>
      </c>
      <c r="L5995" t="s">
        <v>61</v>
      </c>
      <c r="M5995" t="str">
        <f>_xlfn.XLOOKUP(Pipeline_tbl[[#This Row],[Rep_ID]],Dim_Reps!A:A,Dim_Reps!K:K)</f>
        <v>MXN</v>
      </c>
      <c r="N5995" s="33">
        <f>(_xlfn.XLOOKUP(Pipeline_tbl[[#This Row],[Rate_Code_Generalized]],Lookups!A:A,Lookups!B:B))*Pipeline_tbl[[#This Row],[Pipeline_Amount_USD]]</f>
        <v>657098.91</v>
      </c>
      <c r="O5995" t="str">
        <f>_xlfn.XLOOKUP(Pipeline_tbl[[#This Row],[Rep_ID]],Dim_Reps!A:A,Dim_Reps!B:B)</f>
        <v>Noah Kim</v>
      </c>
      <c r="P5995" t="str">
        <f>_xlfn.XLOOKUP(Pipeline_tbl[[#This Row],[Rep_ID]],Dim_Reps!A:A,Dim_Reps!C:C)</f>
        <v>Enterprise AE</v>
      </c>
      <c r="Q5995" t="str">
        <f>_xlfn.XLOOKUP(Pipeline_tbl[[#This Row],[Rep_ID]],Dim_Reps!A:A,Dim_Reps!D:D)</f>
        <v>Enterprise</v>
      </c>
      <c r="R5995" t="str">
        <f>_xlfn.XLOOKUP(Pipeline_tbl[[#This Row],[Rep_ID]],Dim_Reps!A:A,Dim_Reps!E:E)</f>
        <v>LATAM</v>
      </c>
      <c r="S5995" t="str">
        <f>_xlfn.XLOOKUP(Pipeline_tbl[[#This Row],[Created_Date]],Dim_Date!A:A,Dim_Date!H:H)</f>
        <v>Aug 2025</v>
      </c>
      <c r="T5995" t="str">
        <f>IF(Pipeline_tbl[[#This Row],[Closed_Date]]=0,"",(_xlfn.XLOOKUP(Pipeline_tbl[[#This Row],[Closed_Date]],Dim_Date!A:A,Dim_Date!H:H)))</f>
        <v>Oct 2025</v>
      </c>
      <c r="U5995">
        <f>IF(Pipeline_tbl[[#This Row],[Closed_Date]]=0,"",Pipeline_tbl[[#This Row],[Closed_Date]]-Pipeline_tbl[[#This Row],[Created_Date]])</f>
        <v>61</v>
      </c>
    </row>
    <row r="5996" spans="1:21" ht="15" customHeight="1" x14ac:dyDescent="0.2">
      <c r="A5996" t="s">
        <v>6302</v>
      </c>
      <c r="B5996" t="s">
        <v>185</v>
      </c>
      <c r="C5996" t="s">
        <v>52</v>
      </c>
      <c r="D5996" s="49">
        <v>45888</v>
      </c>
      <c r="E5996" s="49">
        <v>45895</v>
      </c>
      <c r="F5996" s="49">
        <v>45908</v>
      </c>
      <c r="G5996" s="49">
        <v>45928</v>
      </c>
      <c r="I5996" s="49">
        <v>45955</v>
      </c>
      <c r="J5996" t="s">
        <v>49</v>
      </c>
      <c r="K5996" s="33">
        <v>27000</v>
      </c>
      <c r="L5996" t="s">
        <v>62</v>
      </c>
      <c r="M5996" t="str">
        <f>_xlfn.XLOOKUP(Pipeline_tbl[[#This Row],[Rep_ID]],Dim_Reps!A:A,Dim_Reps!K:K)</f>
        <v>MXN</v>
      </c>
      <c r="N5996" s="33">
        <f>(_xlfn.XLOOKUP(Pipeline_tbl[[#This Row],[Rate_Code_Generalized]],Lookups!A:A,Lookups!B:B))*Pipeline_tbl[[#This Row],[Pipeline_Amount_USD]]</f>
        <v>532782.9</v>
      </c>
      <c r="O5996" t="str">
        <f>_xlfn.XLOOKUP(Pipeline_tbl[[#This Row],[Rep_ID]],Dim_Reps!A:A,Dim_Reps!B:B)</f>
        <v>Noah Kim</v>
      </c>
      <c r="P5996" t="str">
        <f>_xlfn.XLOOKUP(Pipeline_tbl[[#This Row],[Rep_ID]],Dim_Reps!A:A,Dim_Reps!C:C)</f>
        <v>Enterprise AE</v>
      </c>
      <c r="Q5996" t="str">
        <f>_xlfn.XLOOKUP(Pipeline_tbl[[#This Row],[Rep_ID]],Dim_Reps!A:A,Dim_Reps!D:D)</f>
        <v>Enterprise</v>
      </c>
      <c r="R5996" t="str">
        <f>_xlfn.XLOOKUP(Pipeline_tbl[[#This Row],[Rep_ID]],Dim_Reps!A:A,Dim_Reps!E:E)</f>
        <v>LATAM</v>
      </c>
      <c r="S5996" t="str">
        <f>_xlfn.XLOOKUP(Pipeline_tbl[[#This Row],[Created_Date]],Dim_Date!A:A,Dim_Date!H:H)</f>
        <v>Aug 2025</v>
      </c>
      <c r="T5996" t="str">
        <f>IF(Pipeline_tbl[[#This Row],[Closed_Date]]=0,"",(_xlfn.XLOOKUP(Pipeline_tbl[[#This Row],[Closed_Date]],Dim_Date!A:A,Dim_Date!H:H)))</f>
        <v>Oct 2025</v>
      </c>
      <c r="U5996">
        <f>IF(Pipeline_tbl[[#This Row],[Closed_Date]]=0,"",Pipeline_tbl[[#This Row],[Closed_Date]]-Pipeline_tbl[[#This Row],[Created_Date]])</f>
        <v>67</v>
      </c>
    </row>
    <row r="5997" spans="1:21" ht="15" customHeight="1" x14ac:dyDescent="0.2">
      <c r="A5997" t="s">
        <v>6303</v>
      </c>
      <c r="B5997" t="s">
        <v>185</v>
      </c>
      <c r="C5997" t="s">
        <v>52</v>
      </c>
      <c r="D5997" s="49">
        <v>45876</v>
      </c>
      <c r="E5997" s="49">
        <v>45884</v>
      </c>
      <c r="I5997" s="49">
        <v>45952</v>
      </c>
      <c r="J5997" t="s">
        <v>49</v>
      </c>
      <c r="K5997" s="33">
        <v>38800</v>
      </c>
      <c r="L5997" t="s">
        <v>62</v>
      </c>
      <c r="M5997" t="str">
        <f>_xlfn.XLOOKUP(Pipeline_tbl[[#This Row],[Rep_ID]],Dim_Reps!A:A,Dim_Reps!K:K)</f>
        <v>MXN</v>
      </c>
      <c r="N5997" s="33">
        <f>(_xlfn.XLOOKUP(Pipeline_tbl[[#This Row],[Rate_Code_Generalized]],Lookups!A:A,Lookups!B:B))*Pipeline_tbl[[#This Row],[Pipeline_Amount_USD]]</f>
        <v>765628.76</v>
      </c>
      <c r="O5997" t="str">
        <f>_xlfn.XLOOKUP(Pipeline_tbl[[#This Row],[Rep_ID]],Dim_Reps!A:A,Dim_Reps!B:B)</f>
        <v>Noah Kim</v>
      </c>
      <c r="P5997" t="str">
        <f>_xlfn.XLOOKUP(Pipeline_tbl[[#This Row],[Rep_ID]],Dim_Reps!A:A,Dim_Reps!C:C)</f>
        <v>Enterprise AE</v>
      </c>
      <c r="Q5997" t="str">
        <f>_xlfn.XLOOKUP(Pipeline_tbl[[#This Row],[Rep_ID]],Dim_Reps!A:A,Dim_Reps!D:D)</f>
        <v>Enterprise</v>
      </c>
      <c r="R5997" t="str">
        <f>_xlfn.XLOOKUP(Pipeline_tbl[[#This Row],[Rep_ID]],Dim_Reps!A:A,Dim_Reps!E:E)</f>
        <v>LATAM</v>
      </c>
      <c r="S5997" t="str">
        <f>_xlfn.XLOOKUP(Pipeline_tbl[[#This Row],[Created_Date]],Dim_Date!A:A,Dim_Date!H:H)</f>
        <v>Aug 2025</v>
      </c>
      <c r="T5997" t="str">
        <f>IF(Pipeline_tbl[[#This Row],[Closed_Date]]=0,"",(_xlfn.XLOOKUP(Pipeline_tbl[[#This Row],[Closed_Date]],Dim_Date!A:A,Dim_Date!H:H)))</f>
        <v>Oct 2025</v>
      </c>
      <c r="U5997">
        <f>IF(Pipeline_tbl[[#This Row],[Closed_Date]]=0,"",Pipeline_tbl[[#This Row],[Closed_Date]]-Pipeline_tbl[[#This Row],[Created_Date]])</f>
        <v>76</v>
      </c>
    </row>
    <row r="5998" spans="1:21" ht="15" customHeight="1" x14ac:dyDescent="0.2">
      <c r="A5998" t="s">
        <v>6304</v>
      </c>
      <c r="B5998" t="s">
        <v>185</v>
      </c>
      <c r="C5998" t="s">
        <v>54</v>
      </c>
      <c r="D5998" s="49">
        <v>45894</v>
      </c>
      <c r="E5998" s="49">
        <v>45898</v>
      </c>
      <c r="F5998" s="49">
        <v>45907</v>
      </c>
      <c r="G5998" s="49">
        <v>45920</v>
      </c>
      <c r="H5998" s="49">
        <v>45931</v>
      </c>
      <c r="I5998" s="49">
        <v>45938</v>
      </c>
      <c r="J5998" t="s">
        <v>49</v>
      </c>
      <c r="K5998" s="33">
        <v>26900</v>
      </c>
      <c r="L5998" t="s">
        <v>61</v>
      </c>
      <c r="M5998" t="str">
        <f>_xlfn.XLOOKUP(Pipeline_tbl[[#This Row],[Rep_ID]],Dim_Reps!A:A,Dim_Reps!K:K)</f>
        <v>MXN</v>
      </c>
      <c r="N5998" s="33">
        <f>(_xlfn.XLOOKUP(Pipeline_tbl[[#This Row],[Rate_Code_Generalized]],Lookups!A:A,Lookups!B:B))*Pipeline_tbl[[#This Row],[Pipeline_Amount_USD]]</f>
        <v>530809.63</v>
      </c>
      <c r="O5998" t="str">
        <f>_xlfn.XLOOKUP(Pipeline_tbl[[#This Row],[Rep_ID]],Dim_Reps!A:A,Dim_Reps!B:B)</f>
        <v>Noah Kim</v>
      </c>
      <c r="P5998" t="str">
        <f>_xlfn.XLOOKUP(Pipeline_tbl[[#This Row],[Rep_ID]],Dim_Reps!A:A,Dim_Reps!C:C)</f>
        <v>Enterprise AE</v>
      </c>
      <c r="Q5998" t="str">
        <f>_xlfn.XLOOKUP(Pipeline_tbl[[#This Row],[Rep_ID]],Dim_Reps!A:A,Dim_Reps!D:D)</f>
        <v>Enterprise</v>
      </c>
      <c r="R5998" t="str">
        <f>_xlfn.XLOOKUP(Pipeline_tbl[[#This Row],[Rep_ID]],Dim_Reps!A:A,Dim_Reps!E:E)</f>
        <v>LATAM</v>
      </c>
      <c r="S5998" t="str">
        <f>_xlfn.XLOOKUP(Pipeline_tbl[[#This Row],[Created_Date]],Dim_Date!A:A,Dim_Date!H:H)</f>
        <v>Aug 2025</v>
      </c>
      <c r="T5998" t="str">
        <f>IF(Pipeline_tbl[[#This Row],[Closed_Date]]=0,"",(_xlfn.XLOOKUP(Pipeline_tbl[[#This Row],[Closed_Date]],Dim_Date!A:A,Dim_Date!H:H)))</f>
        <v>Oct 2025</v>
      </c>
      <c r="U5998">
        <f>IF(Pipeline_tbl[[#This Row],[Closed_Date]]=0,"",Pipeline_tbl[[#This Row],[Closed_Date]]-Pipeline_tbl[[#This Row],[Created_Date]])</f>
        <v>44</v>
      </c>
    </row>
    <row r="5999" spans="1:21" ht="15" customHeight="1" x14ac:dyDescent="0.2">
      <c r="A5999" t="s">
        <v>6305</v>
      </c>
      <c r="B5999" t="s">
        <v>185</v>
      </c>
      <c r="C5999" t="s">
        <v>55</v>
      </c>
      <c r="D5999" s="49">
        <v>45887</v>
      </c>
      <c r="E5999" s="49">
        <v>45893</v>
      </c>
      <c r="F5999" s="49">
        <v>45904</v>
      </c>
      <c r="G5999" s="49">
        <v>45922</v>
      </c>
      <c r="I5999" s="49">
        <v>45945</v>
      </c>
      <c r="J5999" t="s">
        <v>49</v>
      </c>
      <c r="K5999" s="33">
        <v>29500</v>
      </c>
      <c r="L5999" t="s">
        <v>60</v>
      </c>
      <c r="M5999" t="str">
        <f>_xlfn.XLOOKUP(Pipeline_tbl[[#This Row],[Rep_ID]],Dim_Reps!A:A,Dim_Reps!K:K)</f>
        <v>MXN</v>
      </c>
      <c r="N5999" s="33">
        <f>(_xlfn.XLOOKUP(Pipeline_tbl[[#This Row],[Rate_Code_Generalized]],Lookups!A:A,Lookups!B:B))*Pipeline_tbl[[#This Row],[Pipeline_Amount_USD]]</f>
        <v>582114.65</v>
      </c>
      <c r="O5999" t="str">
        <f>_xlfn.XLOOKUP(Pipeline_tbl[[#This Row],[Rep_ID]],Dim_Reps!A:A,Dim_Reps!B:B)</f>
        <v>Noah Kim</v>
      </c>
      <c r="P5999" t="str">
        <f>_xlfn.XLOOKUP(Pipeline_tbl[[#This Row],[Rep_ID]],Dim_Reps!A:A,Dim_Reps!C:C)</f>
        <v>Enterprise AE</v>
      </c>
      <c r="Q5999" t="str">
        <f>_xlfn.XLOOKUP(Pipeline_tbl[[#This Row],[Rep_ID]],Dim_Reps!A:A,Dim_Reps!D:D)</f>
        <v>Enterprise</v>
      </c>
      <c r="R5999" t="str">
        <f>_xlfn.XLOOKUP(Pipeline_tbl[[#This Row],[Rep_ID]],Dim_Reps!A:A,Dim_Reps!E:E)</f>
        <v>LATAM</v>
      </c>
      <c r="S5999" t="str">
        <f>_xlfn.XLOOKUP(Pipeline_tbl[[#This Row],[Created_Date]],Dim_Date!A:A,Dim_Date!H:H)</f>
        <v>Aug 2025</v>
      </c>
      <c r="T5999" t="str">
        <f>IF(Pipeline_tbl[[#This Row],[Closed_Date]]=0,"",(_xlfn.XLOOKUP(Pipeline_tbl[[#This Row],[Closed_Date]],Dim_Date!A:A,Dim_Date!H:H)))</f>
        <v>Oct 2025</v>
      </c>
      <c r="U5999">
        <f>IF(Pipeline_tbl[[#This Row],[Closed_Date]]=0,"",Pipeline_tbl[[#This Row],[Closed_Date]]-Pipeline_tbl[[#This Row],[Created_Date]])</f>
        <v>58</v>
      </c>
    </row>
    <row r="6000" spans="1:21" ht="15" customHeight="1" x14ac:dyDescent="0.2">
      <c r="A6000" t="s">
        <v>6306</v>
      </c>
      <c r="B6000" t="s">
        <v>185</v>
      </c>
      <c r="C6000" t="s">
        <v>55</v>
      </c>
      <c r="D6000" s="49">
        <v>45876</v>
      </c>
      <c r="E6000" s="49">
        <v>45883</v>
      </c>
      <c r="F6000" s="49">
        <v>45896</v>
      </c>
      <c r="I6000" s="49">
        <v>45943</v>
      </c>
      <c r="J6000" t="s">
        <v>49</v>
      </c>
      <c r="K6000" s="33">
        <v>33500</v>
      </c>
      <c r="L6000" t="s">
        <v>61</v>
      </c>
      <c r="M6000" t="str">
        <f>_xlfn.XLOOKUP(Pipeline_tbl[[#This Row],[Rep_ID]],Dim_Reps!A:A,Dim_Reps!K:K)</f>
        <v>MXN</v>
      </c>
      <c r="N6000" s="33">
        <f>(_xlfn.XLOOKUP(Pipeline_tbl[[#This Row],[Rate_Code_Generalized]],Lookups!A:A,Lookups!B:B))*Pipeline_tbl[[#This Row],[Pipeline_Amount_USD]]</f>
        <v>661045.45000000007</v>
      </c>
      <c r="O6000" t="str">
        <f>_xlfn.XLOOKUP(Pipeline_tbl[[#This Row],[Rep_ID]],Dim_Reps!A:A,Dim_Reps!B:B)</f>
        <v>Noah Kim</v>
      </c>
      <c r="P6000" t="str">
        <f>_xlfn.XLOOKUP(Pipeline_tbl[[#This Row],[Rep_ID]],Dim_Reps!A:A,Dim_Reps!C:C)</f>
        <v>Enterprise AE</v>
      </c>
      <c r="Q6000" t="str">
        <f>_xlfn.XLOOKUP(Pipeline_tbl[[#This Row],[Rep_ID]],Dim_Reps!A:A,Dim_Reps!D:D)</f>
        <v>Enterprise</v>
      </c>
      <c r="R6000" t="str">
        <f>_xlfn.XLOOKUP(Pipeline_tbl[[#This Row],[Rep_ID]],Dim_Reps!A:A,Dim_Reps!E:E)</f>
        <v>LATAM</v>
      </c>
      <c r="S6000" t="str">
        <f>_xlfn.XLOOKUP(Pipeline_tbl[[#This Row],[Created_Date]],Dim_Date!A:A,Dim_Date!H:H)</f>
        <v>Aug 2025</v>
      </c>
      <c r="T6000" t="str">
        <f>IF(Pipeline_tbl[[#This Row],[Closed_Date]]=0,"",(_xlfn.XLOOKUP(Pipeline_tbl[[#This Row],[Closed_Date]],Dim_Date!A:A,Dim_Date!H:H)))</f>
        <v>Oct 2025</v>
      </c>
      <c r="U6000">
        <f>IF(Pipeline_tbl[[#This Row],[Closed_Date]]=0,"",Pipeline_tbl[[#This Row],[Closed_Date]]-Pipeline_tbl[[#This Row],[Created_Date]])</f>
        <v>67</v>
      </c>
    </row>
    <row r="6001" spans="1:21" ht="15" customHeight="1" x14ac:dyDescent="0.2">
      <c r="A6001" t="s">
        <v>6307</v>
      </c>
      <c r="B6001" t="s">
        <v>253</v>
      </c>
      <c r="C6001" t="s">
        <v>55</v>
      </c>
      <c r="D6001" s="49">
        <v>45892</v>
      </c>
      <c r="E6001" s="49">
        <v>45896</v>
      </c>
      <c r="F6001" s="49">
        <v>45904</v>
      </c>
      <c r="G6001" s="49">
        <v>45915</v>
      </c>
      <c r="H6001" s="49">
        <v>45925</v>
      </c>
      <c r="I6001" s="49">
        <v>45931</v>
      </c>
      <c r="J6001" t="s">
        <v>47</v>
      </c>
      <c r="K6001" s="33">
        <v>34300</v>
      </c>
      <c r="M6001" t="str">
        <f>_xlfn.XLOOKUP(Pipeline_tbl[[#This Row],[Rep_ID]],Dim_Reps!A:A,Dim_Reps!K:K)</f>
        <v>EUR</v>
      </c>
      <c r="N6001" s="33">
        <f>(_xlfn.XLOOKUP(Pipeline_tbl[[#This Row],[Rate_Code_Generalized]],Lookups!A:A,Lookups!B:B))*Pipeline_tbl[[#This Row],[Pipeline_Amount_USD]]</f>
        <v>34300</v>
      </c>
      <c r="O6001" t="str">
        <f>_xlfn.XLOOKUP(Pipeline_tbl[[#This Row],[Rep_ID]],Dim_Reps!A:A,Dim_Reps!B:B)</f>
        <v>Rafael Weber</v>
      </c>
      <c r="P6001" t="str">
        <f>_xlfn.XLOOKUP(Pipeline_tbl[[#This Row],[Rep_ID]],Dim_Reps!A:A,Dim_Reps!C:C)</f>
        <v>Mid-Market AE</v>
      </c>
      <c r="Q6001" t="str">
        <f>_xlfn.XLOOKUP(Pipeline_tbl[[#This Row],[Rep_ID]],Dim_Reps!A:A,Dim_Reps!D:D)</f>
        <v>Mid-Market</v>
      </c>
      <c r="R6001" t="str">
        <f>_xlfn.XLOOKUP(Pipeline_tbl[[#This Row],[Rep_ID]],Dim_Reps!A:A,Dim_Reps!E:E)</f>
        <v>APAC</v>
      </c>
      <c r="S6001" t="str">
        <f>_xlfn.XLOOKUP(Pipeline_tbl[[#This Row],[Created_Date]],Dim_Date!A:A,Dim_Date!H:H)</f>
        <v>Aug 2025</v>
      </c>
      <c r="T6001" t="str">
        <f>IF(Pipeline_tbl[[#This Row],[Closed_Date]]=0,"",(_xlfn.XLOOKUP(Pipeline_tbl[[#This Row],[Closed_Date]],Dim_Date!A:A,Dim_Date!H:H)))</f>
        <v>Oct 2025</v>
      </c>
      <c r="U6001">
        <f>IF(Pipeline_tbl[[#This Row],[Closed_Date]]=0,"",Pipeline_tbl[[#This Row],[Closed_Date]]-Pipeline_tbl[[#This Row],[Created_Date]])</f>
        <v>39</v>
      </c>
    </row>
    <row r="6002" spans="1:21" ht="15" customHeight="1" x14ac:dyDescent="0.2">
      <c r="A6002" t="s">
        <v>6308</v>
      </c>
      <c r="B6002" t="s">
        <v>255</v>
      </c>
      <c r="C6002" t="s">
        <v>52</v>
      </c>
      <c r="D6002" s="49">
        <v>45900</v>
      </c>
      <c r="E6002" s="49">
        <v>45905</v>
      </c>
      <c r="F6002" s="49">
        <v>45914</v>
      </c>
      <c r="G6002" s="49">
        <v>45928</v>
      </c>
      <c r="I6002" s="49">
        <v>45946</v>
      </c>
      <c r="J6002" t="s">
        <v>49</v>
      </c>
      <c r="K6002" s="33">
        <v>5600</v>
      </c>
      <c r="L6002" t="s">
        <v>61</v>
      </c>
      <c r="M6002" t="str">
        <f>_xlfn.XLOOKUP(Pipeline_tbl[[#This Row],[Rep_ID]],Dim_Reps!A:A,Dim_Reps!K:K)</f>
        <v>USD</v>
      </c>
      <c r="N6002" s="33">
        <f>(_xlfn.XLOOKUP(Pipeline_tbl[[#This Row],[Rate_Code_Generalized]],Lookups!A:A,Lookups!B:B))*Pipeline_tbl[[#This Row],[Pipeline_Amount_USD]]</f>
        <v>6520.079999999999</v>
      </c>
      <c r="O6002" t="str">
        <f>_xlfn.XLOOKUP(Pipeline_tbl[[#This Row],[Rep_ID]],Dim_Reps!A:A,Dim_Reps!B:B)</f>
        <v>Erik Kim</v>
      </c>
      <c r="P6002" t="str">
        <f>_xlfn.XLOOKUP(Pipeline_tbl[[#This Row],[Rep_ID]],Dim_Reps!A:A,Dim_Reps!C:C)</f>
        <v>Mid-Market AE</v>
      </c>
      <c r="Q6002" t="str">
        <f>_xlfn.XLOOKUP(Pipeline_tbl[[#This Row],[Rep_ID]],Dim_Reps!A:A,Dim_Reps!D:D)</f>
        <v>Mid-Market</v>
      </c>
      <c r="R6002" t="str">
        <f>_xlfn.XLOOKUP(Pipeline_tbl[[#This Row],[Rep_ID]],Dim_Reps!A:A,Dim_Reps!E:E)</f>
        <v>NAMER</v>
      </c>
      <c r="S6002" t="str">
        <f>_xlfn.XLOOKUP(Pipeline_tbl[[#This Row],[Created_Date]],Dim_Date!A:A,Dim_Date!H:H)</f>
        <v>Aug 2025</v>
      </c>
      <c r="T6002" t="str">
        <f>IF(Pipeline_tbl[[#This Row],[Closed_Date]]=0,"",(_xlfn.XLOOKUP(Pipeline_tbl[[#This Row],[Closed_Date]],Dim_Date!A:A,Dim_Date!H:H)))</f>
        <v>Oct 2025</v>
      </c>
      <c r="U6002">
        <f>IF(Pipeline_tbl[[#This Row],[Closed_Date]]=0,"",Pipeline_tbl[[#This Row],[Closed_Date]]-Pipeline_tbl[[#This Row],[Created_Date]])</f>
        <v>46</v>
      </c>
    </row>
    <row r="6003" spans="1:21" ht="15" customHeight="1" x14ac:dyDescent="0.2">
      <c r="A6003" t="s">
        <v>6309</v>
      </c>
      <c r="B6003" t="s">
        <v>188</v>
      </c>
      <c r="C6003" t="s">
        <v>53</v>
      </c>
      <c r="D6003" s="49">
        <v>45884</v>
      </c>
      <c r="E6003" s="49">
        <v>45890</v>
      </c>
      <c r="F6003" s="49">
        <v>45903</v>
      </c>
      <c r="G6003" s="49">
        <v>45922</v>
      </c>
      <c r="H6003" s="49">
        <v>45938</v>
      </c>
      <c r="I6003" s="49">
        <v>45948</v>
      </c>
      <c r="J6003" t="s">
        <v>47</v>
      </c>
      <c r="K6003" s="33">
        <v>23500</v>
      </c>
      <c r="M6003" t="str">
        <f>_xlfn.XLOOKUP(Pipeline_tbl[[#This Row],[Rep_ID]],Dim_Reps!A:A,Dim_Reps!K:K)</f>
        <v>EUR</v>
      </c>
      <c r="N6003" s="33">
        <f>(_xlfn.XLOOKUP(Pipeline_tbl[[#This Row],[Rate_Code_Generalized]],Lookups!A:A,Lookups!B:B))*Pipeline_tbl[[#This Row],[Pipeline_Amount_USD]]</f>
        <v>23500</v>
      </c>
      <c r="O6003" t="str">
        <f>_xlfn.XLOOKUP(Pipeline_tbl[[#This Row],[Rep_ID]],Dim_Reps!A:A,Dim_Reps!B:B)</f>
        <v>Jamie Santos</v>
      </c>
      <c r="P6003" t="str">
        <f>_xlfn.XLOOKUP(Pipeline_tbl[[#This Row],[Rep_ID]],Dim_Reps!A:A,Dim_Reps!C:C)</f>
        <v>Enterprise AE</v>
      </c>
      <c r="Q6003" t="str">
        <f>_xlfn.XLOOKUP(Pipeline_tbl[[#This Row],[Rep_ID]],Dim_Reps!A:A,Dim_Reps!D:D)</f>
        <v>Enterprise</v>
      </c>
      <c r="R6003" t="str">
        <f>_xlfn.XLOOKUP(Pipeline_tbl[[#This Row],[Rep_ID]],Dim_Reps!A:A,Dim_Reps!E:E)</f>
        <v>APAC</v>
      </c>
      <c r="S6003" t="str">
        <f>_xlfn.XLOOKUP(Pipeline_tbl[[#This Row],[Created_Date]],Dim_Date!A:A,Dim_Date!H:H)</f>
        <v>Aug 2025</v>
      </c>
      <c r="T6003" t="str">
        <f>IF(Pipeline_tbl[[#This Row],[Closed_Date]]=0,"",(_xlfn.XLOOKUP(Pipeline_tbl[[#This Row],[Closed_Date]],Dim_Date!A:A,Dim_Date!H:H)))</f>
        <v>Oct 2025</v>
      </c>
      <c r="U6003">
        <f>IF(Pipeline_tbl[[#This Row],[Closed_Date]]=0,"",Pipeline_tbl[[#This Row],[Closed_Date]]-Pipeline_tbl[[#This Row],[Created_Date]])</f>
        <v>64</v>
      </c>
    </row>
    <row r="6004" spans="1:21" ht="15" customHeight="1" x14ac:dyDescent="0.2">
      <c r="A6004" t="s">
        <v>6310</v>
      </c>
      <c r="B6004" t="s">
        <v>188</v>
      </c>
      <c r="C6004" t="s">
        <v>54</v>
      </c>
      <c r="D6004" s="49">
        <v>45879</v>
      </c>
      <c r="E6004" s="49">
        <v>45885</v>
      </c>
      <c r="I6004" s="49">
        <v>45942</v>
      </c>
      <c r="J6004" t="s">
        <v>49</v>
      </c>
      <c r="K6004" s="33">
        <v>18300</v>
      </c>
      <c r="L6004" t="s">
        <v>64</v>
      </c>
      <c r="M6004" t="str">
        <f>_xlfn.XLOOKUP(Pipeline_tbl[[#This Row],[Rep_ID]],Dim_Reps!A:A,Dim_Reps!K:K)</f>
        <v>EUR</v>
      </c>
      <c r="N6004" s="33">
        <f>(_xlfn.XLOOKUP(Pipeline_tbl[[#This Row],[Rate_Code_Generalized]],Lookups!A:A,Lookups!B:B))*Pipeline_tbl[[#This Row],[Pipeline_Amount_USD]]</f>
        <v>18300</v>
      </c>
      <c r="O6004" t="str">
        <f>_xlfn.XLOOKUP(Pipeline_tbl[[#This Row],[Rep_ID]],Dim_Reps!A:A,Dim_Reps!B:B)</f>
        <v>Jamie Santos</v>
      </c>
      <c r="P6004" t="str">
        <f>_xlfn.XLOOKUP(Pipeline_tbl[[#This Row],[Rep_ID]],Dim_Reps!A:A,Dim_Reps!C:C)</f>
        <v>Enterprise AE</v>
      </c>
      <c r="Q6004" t="str">
        <f>_xlfn.XLOOKUP(Pipeline_tbl[[#This Row],[Rep_ID]],Dim_Reps!A:A,Dim_Reps!D:D)</f>
        <v>Enterprise</v>
      </c>
      <c r="R6004" t="str">
        <f>_xlfn.XLOOKUP(Pipeline_tbl[[#This Row],[Rep_ID]],Dim_Reps!A:A,Dim_Reps!E:E)</f>
        <v>APAC</v>
      </c>
      <c r="S6004" t="str">
        <f>_xlfn.XLOOKUP(Pipeline_tbl[[#This Row],[Created_Date]],Dim_Date!A:A,Dim_Date!H:H)</f>
        <v>Aug 2025</v>
      </c>
      <c r="T6004" t="str">
        <f>IF(Pipeline_tbl[[#This Row],[Closed_Date]]=0,"",(_xlfn.XLOOKUP(Pipeline_tbl[[#This Row],[Closed_Date]],Dim_Date!A:A,Dim_Date!H:H)))</f>
        <v>Oct 2025</v>
      </c>
      <c r="U6004">
        <f>IF(Pipeline_tbl[[#This Row],[Closed_Date]]=0,"",Pipeline_tbl[[#This Row],[Closed_Date]]-Pipeline_tbl[[#This Row],[Created_Date]])</f>
        <v>63</v>
      </c>
    </row>
    <row r="6005" spans="1:21" ht="15" customHeight="1" x14ac:dyDescent="0.2">
      <c r="A6005" t="s">
        <v>6311</v>
      </c>
      <c r="B6005" t="s">
        <v>261</v>
      </c>
      <c r="C6005" t="s">
        <v>52</v>
      </c>
      <c r="D6005" s="49">
        <v>45898</v>
      </c>
      <c r="E6005" s="49">
        <v>45901</v>
      </c>
      <c r="F6005" s="49">
        <v>45908</v>
      </c>
      <c r="G6005" s="49">
        <v>45918</v>
      </c>
      <c r="I6005" s="49">
        <v>45932</v>
      </c>
      <c r="J6005" t="s">
        <v>49</v>
      </c>
      <c r="K6005" s="33">
        <v>6500</v>
      </c>
      <c r="L6005" t="s">
        <v>60</v>
      </c>
      <c r="M6005" t="str">
        <f>_xlfn.XLOOKUP(Pipeline_tbl[[#This Row],[Rep_ID]],Dim_Reps!A:A,Dim_Reps!K:K)</f>
        <v>USD</v>
      </c>
      <c r="N6005" s="33">
        <f>(_xlfn.XLOOKUP(Pipeline_tbl[[#This Row],[Rate_Code_Generalized]],Lookups!A:A,Lookups!B:B))*Pipeline_tbl[[#This Row],[Pipeline_Amount_USD]]</f>
        <v>7567.9499999999989</v>
      </c>
      <c r="O6005" t="str">
        <f>_xlfn.XLOOKUP(Pipeline_tbl[[#This Row],[Rep_ID]],Dim_Reps!A:A,Dim_Reps!B:B)</f>
        <v>Morgan Larsen</v>
      </c>
      <c r="P6005" t="str">
        <f>_xlfn.XLOOKUP(Pipeline_tbl[[#This Row],[Rep_ID]],Dim_Reps!A:A,Dim_Reps!C:C)</f>
        <v>Mid-Market AE</v>
      </c>
      <c r="Q6005" t="str">
        <f>_xlfn.XLOOKUP(Pipeline_tbl[[#This Row],[Rep_ID]],Dim_Reps!A:A,Dim_Reps!D:D)</f>
        <v>Mid-Market</v>
      </c>
      <c r="R6005" t="str">
        <f>_xlfn.XLOOKUP(Pipeline_tbl[[#This Row],[Rep_ID]],Dim_Reps!A:A,Dim_Reps!E:E)</f>
        <v>NAMER</v>
      </c>
      <c r="S6005" t="str">
        <f>_xlfn.XLOOKUP(Pipeline_tbl[[#This Row],[Created_Date]],Dim_Date!A:A,Dim_Date!H:H)</f>
        <v>Aug 2025</v>
      </c>
      <c r="T6005" t="str">
        <f>IF(Pipeline_tbl[[#This Row],[Closed_Date]]=0,"",(_xlfn.XLOOKUP(Pipeline_tbl[[#This Row],[Closed_Date]],Dim_Date!A:A,Dim_Date!H:H)))</f>
        <v>Oct 2025</v>
      </c>
      <c r="U6005">
        <f>IF(Pipeline_tbl[[#This Row],[Closed_Date]]=0,"",Pipeline_tbl[[#This Row],[Closed_Date]]-Pipeline_tbl[[#This Row],[Created_Date]])</f>
        <v>34</v>
      </c>
    </row>
    <row r="6006" spans="1:21" ht="15" customHeight="1" x14ac:dyDescent="0.2">
      <c r="A6006" t="s">
        <v>6312</v>
      </c>
      <c r="B6006" t="s">
        <v>282</v>
      </c>
      <c r="C6006" t="s">
        <v>52</v>
      </c>
      <c r="D6006" s="49">
        <v>45874</v>
      </c>
      <c r="E6006" s="49">
        <v>45880</v>
      </c>
      <c r="F6006" s="49">
        <v>45892</v>
      </c>
      <c r="G6006" s="49">
        <v>45909</v>
      </c>
      <c r="H6006" s="49">
        <v>45924</v>
      </c>
      <c r="I6006" s="49">
        <v>45933</v>
      </c>
      <c r="J6006" t="s">
        <v>47</v>
      </c>
      <c r="K6006" s="33">
        <v>50500</v>
      </c>
      <c r="M6006" t="str">
        <f>_xlfn.XLOOKUP(Pipeline_tbl[[#This Row],[Rep_ID]],Dim_Reps!A:A,Dim_Reps!K:K)</f>
        <v>USD</v>
      </c>
      <c r="N6006" s="33">
        <f>(_xlfn.XLOOKUP(Pipeline_tbl[[#This Row],[Rate_Code_Generalized]],Lookups!A:A,Lookups!B:B))*Pipeline_tbl[[#This Row],[Pipeline_Amount_USD]]</f>
        <v>58797.149999999994</v>
      </c>
      <c r="O6006" t="str">
        <f>_xlfn.XLOOKUP(Pipeline_tbl[[#This Row],[Rep_ID]],Dim_Reps!A:A,Dim_Reps!B:B)</f>
        <v>Fatima Rossi</v>
      </c>
      <c r="P6006" t="str">
        <f>_xlfn.XLOOKUP(Pipeline_tbl[[#This Row],[Rep_ID]],Dim_Reps!A:A,Dim_Reps!C:C)</f>
        <v>Senior Enterprise AE</v>
      </c>
      <c r="Q6006" t="str">
        <f>_xlfn.XLOOKUP(Pipeline_tbl[[#This Row],[Rep_ID]],Dim_Reps!A:A,Dim_Reps!D:D)</f>
        <v>Strategic</v>
      </c>
      <c r="R6006" t="str">
        <f>_xlfn.XLOOKUP(Pipeline_tbl[[#This Row],[Rep_ID]],Dim_Reps!A:A,Dim_Reps!E:E)</f>
        <v>NAMER</v>
      </c>
      <c r="S6006" t="str">
        <f>_xlfn.XLOOKUP(Pipeline_tbl[[#This Row],[Created_Date]],Dim_Date!A:A,Dim_Date!H:H)</f>
        <v>Aug 2025</v>
      </c>
      <c r="T6006" t="str">
        <f>IF(Pipeline_tbl[[#This Row],[Closed_Date]]=0,"",(_xlfn.XLOOKUP(Pipeline_tbl[[#This Row],[Closed_Date]],Dim_Date!A:A,Dim_Date!H:H)))</f>
        <v>Oct 2025</v>
      </c>
      <c r="U6006">
        <f>IF(Pipeline_tbl[[#This Row],[Closed_Date]]=0,"",Pipeline_tbl[[#This Row],[Closed_Date]]-Pipeline_tbl[[#This Row],[Created_Date]])</f>
        <v>59</v>
      </c>
    </row>
    <row r="6007" spans="1:21" ht="15" customHeight="1" x14ac:dyDescent="0.2">
      <c r="A6007" t="s">
        <v>6313</v>
      </c>
      <c r="B6007" t="s">
        <v>191</v>
      </c>
      <c r="C6007" t="s">
        <v>53</v>
      </c>
      <c r="D6007" s="49">
        <v>45890</v>
      </c>
      <c r="E6007" s="49">
        <v>45897</v>
      </c>
      <c r="F6007" s="49">
        <v>45910</v>
      </c>
      <c r="I6007" s="49">
        <v>45957</v>
      </c>
      <c r="J6007" t="s">
        <v>49</v>
      </c>
      <c r="K6007" s="33">
        <v>22400</v>
      </c>
      <c r="L6007" t="s">
        <v>61</v>
      </c>
      <c r="M6007" t="str">
        <f>_xlfn.XLOOKUP(Pipeline_tbl[[#This Row],[Rep_ID]],Dim_Reps!A:A,Dim_Reps!K:K)</f>
        <v>USD</v>
      </c>
      <c r="N6007" s="33">
        <f>(_xlfn.XLOOKUP(Pipeline_tbl[[#This Row],[Rate_Code_Generalized]],Lookups!A:A,Lookups!B:B))*Pipeline_tbl[[#This Row],[Pipeline_Amount_USD]]</f>
        <v>26080.319999999996</v>
      </c>
      <c r="O6007" t="str">
        <f>_xlfn.XLOOKUP(Pipeline_tbl[[#This Row],[Rep_ID]],Dim_Reps!A:A,Dim_Reps!B:B)</f>
        <v>Zara Duarte</v>
      </c>
      <c r="P6007" t="str">
        <f>_xlfn.XLOOKUP(Pipeline_tbl[[#This Row],[Rep_ID]],Dim_Reps!A:A,Dim_Reps!C:C)</f>
        <v>Enterprise AE</v>
      </c>
      <c r="Q6007" t="str">
        <f>_xlfn.XLOOKUP(Pipeline_tbl[[#This Row],[Rep_ID]],Dim_Reps!A:A,Dim_Reps!D:D)</f>
        <v>Enterprise</v>
      </c>
      <c r="R6007" t="str">
        <f>_xlfn.XLOOKUP(Pipeline_tbl[[#This Row],[Rep_ID]],Dim_Reps!A:A,Dim_Reps!E:E)</f>
        <v>NAMER</v>
      </c>
      <c r="S6007" t="str">
        <f>_xlfn.XLOOKUP(Pipeline_tbl[[#This Row],[Created_Date]],Dim_Date!A:A,Dim_Date!H:H)</f>
        <v>Aug 2025</v>
      </c>
      <c r="T6007" t="str">
        <f>IF(Pipeline_tbl[[#This Row],[Closed_Date]]=0,"",(_xlfn.XLOOKUP(Pipeline_tbl[[#This Row],[Closed_Date]],Dim_Date!A:A,Dim_Date!H:H)))</f>
        <v>Oct 2025</v>
      </c>
      <c r="U6007">
        <f>IF(Pipeline_tbl[[#This Row],[Closed_Date]]=0,"",Pipeline_tbl[[#This Row],[Closed_Date]]-Pipeline_tbl[[#This Row],[Created_Date]])</f>
        <v>67</v>
      </c>
    </row>
    <row r="6008" spans="1:21" ht="15" customHeight="1" x14ac:dyDescent="0.2">
      <c r="A6008" t="s">
        <v>6314</v>
      </c>
      <c r="B6008" t="s">
        <v>263</v>
      </c>
      <c r="C6008" t="s">
        <v>56</v>
      </c>
      <c r="D6008" s="49">
        <v>45899</v>
      </c>
      <c r="E6008" s="49">
        <v>45905</v>
      </c>
      <c r="F6008" s="49">
        <v>45917</v>
      </c>
      <c r="I6008" s="49">
        <v>45958</v>
      </c>
      <c r="J6008" t="s">
        <v>49</v>
      </c>
      <c r="K6008" s="33">
        <v>10500</v>
      </c>
      <c r="L6008" t="s">
        <v>62</v>
      </c>
      <c r="M6008" t="str">
        <f>_xlfn.XLOOKUP(Pipeline_tbl[[#This Row],[Rep_ID]],Dim_Reps!A:A,Dim_Reps!K:K)</f>
        <v>USD</v>
      </c>
      <c r="N6008" s="33">
        <f>(_xlfn.XLOOKUP(Pipeline_tbl[[#This Row],[Rate_Code_Generalized]],Lookups!A:A,Lookups!B:B))*Pipeline_tbl[[#This Row],[Pipeline_Amount_USD]]</f>
        <v>12225.15</v>
      </c>
      <c r="O6008" t="str">
        <f>_xlfn.XLOOKUP(Pipeline_tbl[[#This Row],[Rep_ID]],Dim_Reps!A:A,Dim_Reps!B:B)</f>
        <v>Morgan Weber</v>
      </c>
      <c r="P6008" t="str">
        <f>_xlfn.XLOOKUP(Pipeline_tbl[[#This Row],[Rep_ID]],Dim_Reps!A:A,Dim_Reps!C:C)</f>
        <v>Mid-Market AE</v>
      </c>
      <c r="Q6008" t="str">
        <f>_xlfn.XLOOKUP(Pipeline_tbl[[#This Row],[Rep_ID]],Dim_Reps!A:A,Dim_Reps!D:D)</f>
        <v>Mid-Market</v>
      </c>
      <c r="R6008" t="str">
        <f>_xlfn.XLOOKUP(Pipeline_tbl[[#This Row],[Rep_ID]],Dim_Reps!A:A,Dim_Reps!E:E)</f>
        <v>NAMER</v>
      </c>
      <c r="S6008" t="str">
        <f>_xlfn.XLOOKUP(Pipeline_tbl[[#This Row],[Created_Date]],Dim_Date!A:A,Dim_Date!H:H)</f>
        <v>Aug 2025</v>
      </c>
      <c r="T6008" t="str">
        <f>IF(Pipeline_tbl[[#This Row],[Closed_Date]]=0,"",(_xlfn.XLOOKUP(Pipeline_tbl[[#This Row],[Closed_Date]],Dim_Date!A:A,Dim_Date!H:H)))</f>
        <v>Oct 2025</v>
      </c>
      <c r="U6008">
        <f>IF(Pipeline_tbl[[#This Row],[Closed_Date]]=0,"",Pipeline_tbl[[#This Row],[Closed_Date]]-Pipeline_tbl[[#This Row],[Created_Date]])</f>
        <v>59</v>
      </c>
    </row>
    <row r="6009" spans="1:21" ht="15" customHeight="1" x14ac:dyDescent="0.2">
      <c r="A6009" t="s">
        <v>6315</v>
      </c>
      <c r="B6009" t="s">
        <v>263</v>
      </c>
      <c r="C6009" t="s">
        <v>56</v>
      </c>
      <c r="D6009" s="49">
        <v>45886</v>
      </c>
      <c r="E6009" s="49">
        <v>45891</v>
      </c>
      <c r="I6009" s="49">
        <v>45939</v>
      </c>
      <c r="J6009" t="s">
        <v>49</v>
      </c>
      <c r="K6009" s="33">
        <v>8600</v>
      </c>
      <c r="L6009" t="s">
        <v>61</v>
      </c>
      <c r="M6009" t="str">
        <f>_xlfn.XLOOKUP(Pipeline_tbl[[#This Row],[Rep_ID]],Dim_Reps!A:A,Dim_Reps!K:K)</f>
        <v>USD</v>
      </c>
      <c r="N6009" s="33">
        <f>(_xlfn.XLOOKUP(Pipeline_tbl[[#This Row],[Rate_Code_Generalized]],Lookups!A:A,Lookups!B:B))*Pipeline_tbl[[#This Row],[Pipeline_Amount_USD]]</f>
        <v>10012.98</v>
      </c>
      <c r="O6009" t="str">
        <f>_xlfn.XLOOKUP(Pipeline_tbl[[#This Row],[Rep_ID]],Dim_Reps!A:A,Dim_Reps!B:B)</f>
        <v>Morgan Weber</v>
      </c>
      <c r="P6009" t="str">
        <f>_xlfn.XLOOKUP(Pipeline_tbl[[#This Row],[Rep_ID]],Dim_Reps!A:A,Dim_Reps!C:C)</f>
        <v>Mid-Market AE</v>
      </c>
      <c r="Q6009" t="str">
        <f>_xlfn.XLOOKUP(Pipeline_tbl[[#This Row],[Rep_ID]],Dim_Reps!A:A,Dim_Reps!D:D)</f>
        <v>Mid-Market</v>
      </c>
      <c r="R6009" t="str">
        <f>_xlfn.XLOOKUP(Pipeline_tbl[[#This Row],[Rep_ID]],Dim_Reps!A:A,Dim_Reps!E:E)</f>
        <v>NAMER</v>
      </c>
      <c r="S6009" t="str">
        <f>_xlfn.XLOOKUP(Pipeline_tbl[[#This Row],[Created_Date]],Dim_Date!A:A,Dim_Date!H:H)</f>
        <v>Aug 2025</v>
      </c>
      <c r="T6009" t="str">
        <f>IF(Pipeline_tbl[[#This Row],[Closed_Date]]=0,"",(_xlfn.XLOOKUP(Pipeline_tbl[[#This Row],[Closed_Date]],Dim_Date!A:A,Dim_Date!H:H)))</f>
        <v>Oct 2025</v>
      </c>
      <c r="U6009">
        <f>IF(Pipeline_tbl[[#This Row],[Closed_Date]]=0,"",Pipeline_tbl[[#This Row],[Closed_Date]]-Pipeline_tbl[[#This Row],[Created_Date]])</f>
        <v>53</v>
      </c>
    </row>
    <row r="6010" spans="1:21" ht="15" customHeight="1" x14ac:dyDescent="0.2">
      <c r="A6010" t="s">
        <v>6316</v>
      </c>
      <c r="B6010" t="s">
        <v>284</v>
      </c>
      <c r="C6010" t="s">
        <v>53</v>
      </c>
      <c r="D6010" s="49">
        <v>45899</v>
      </c>
      <c r="E6010" s="49">
        <v>45903</v>
      </c>
      <c r="I6010" s="49">
        <v>45942</v>
      </c>
      <c r="J6010" t="s">
        <v>49</v>
      </c>
      <c r="K6010" s="33">
        <v>105100</v>
      </c>
      <c r="L6010" t="s">
        <v>62</v>
      </c>
      <c r="M6010" t="str">
        <f>_xlfn.XLOOKUP(Pipeline_tbl[[#This Row],[Rep_ID]],Dim_Reps!A:A,Dim_Reps!K:K)</f>
        <v>USD</v>
      </c>
      <c r="N6010" s="33">
        <f>(_xlfn.XLOOKUP(Pipeline_tbl[[#This Row],[Rate_Code_Generalized]],Lookups!A:A,Lookups!B:B))*Pipeline_tbl[[#This Row],[Pipeline_Amount_USD]]</f>
        <v>122367.93</v>
      </c>
      <c r="O6010" t="str">
        <f>_xlfn.XLOOKUP(Pipeline_tbl[[#This Row],[Rep_ID]],Dim_Reps!A:A,Dim_Reps!B:B)</f>
        <v>Taylor Adler</v>
      </c>
      <c r="P6010" t="str">
        <f>_xlfn.XLOOKUP(Pipeline_tbl[[#This Row],[Rep_ID]],Dim_Reps!A:A,Dim_Reps!C:C)</f>
        <v>Senior Enterprise AE</v>
      </c>
      <c r="Q6010" t="str">
        <f>_xlfn.XLOOKUP(Pipeline_tbl[[#This Row],[Rep_ID]],Dim_Reps!A:A,Dim_Reps!D:D)</f>
        <v>Strategic</v>
      </c>
      <c r="R6010" t="str">
        <f>_xlfn.XLOOKUP(Pipeline_tbl[[#This Row],[Rep_ID]],Dim_Reps!A:A,Dim_Reps!E:E)</f>
        <v>NAMER</v>
      </c>
      <c r="S6010" t="str">
        <f>_xlfn.XLOOKUP(Pipeline_tbl[[#This Row],[Created_Date]],Dim_Date!A:A,Dim_Date!H:H)</f>
        <v>Aug 2025</v>
      </c>
      <c r="T6010" t="str">
        <f>IF(Pipeline_tbl[[#This Row],[Closed_Date]]=0,"",(_xlfn.XLOOKUP(Pipeline_tbl[[#This Row],[Closed_Date]],Dim_Date!A:A,Dim_Date!H:H)))</f>
        <v>Oct 2025</v>
      </c>
      <c r="U6010">
        <f>IF(Pipeline_tbl[[#This Row],[Closed_Date]]=0,"",Pipeline_tbl[[#This Row],[Closed_Date]]-Pipeline_tbl[[#This Row],[Created_Date]])</f>
        <v>43</v>
      </c>
    </row>
    <row r="6011" spans="1:21" ht="15" customHeight="1" x14ac:dyDescent="0.2">
      <c r="A6011" t="s">
        <v>6317</v>
      </c>
      <c r="B6011" t="s">
        <v>193</v>
      </c>
      <c r="C6011" t="s">
        <v>52</v>
      </c>
      <c r="D6011" s="49">
        <v>45882</v>
      </c>
      <c r="E6011" s="49">
        <v>45884</v>
      </c>
      <c r="F6011" s="49">
        <v>45890</v>
      </c>
      <c r="G6011" s="49">
        <v>45897</v>
      </c>
      <c r="H6011" s="49">
        <v>45903</v>
      </c>
      <c r="I6011" s="49">
        <v>45907</v>
      </c>
      <c r="J6011" t="s">
        <v>47</v>
      </c>
      <c r="K6011" s="33">
        <v>6300</v>
      </c>
      <c r="M6011" t="str">
        <f>_xlfn.XLOOKUP(Pipeline_tbl[[#This Row],[Rep_ID]],Dim_Reps!A:A,Dim_Reps!K:K)</f>
        <v>USD</v>
      </c>
      <c r="N6011" s="33">
        <f>(_xlfn.XLOOKUP(Pipeline_tbl[[#This Row],[Rate_Code_Generalized]],Lookups!A:A,Lookups!B:B))*Pipeline_tbl[[#This Row],[Pipeline_Amount_USD]]</f>
        <v>7335.0899999999992</v>
      </c>
      <c r="O6011" t="str">
        <f>_xlfn.XLOOKUP(Pipeline_tbl[[#This Row],[Rep_ID]],Dim_Reps!A:A,Dim_Reps!B:B)</f>
        <v>Karim Rossi</v>
      </c>
      <c r="P6011" t="str">
        <f>_xlfn.XLOOKUP(Pipeline_tbl[[#This Row],[Rep_ID]],Dim_Reps!A:A,Dim_Reps!C:C)</f>
        <v>SDR / Inside Sales Rep</v>
      </c>
      <c r="Q6011" t="str">
        <f>_xlfn.XLOOKUP(Pipeline_tbl[[#This Row],[Rep_ID]],Dim_Reps!A:A,Dim_Reps!D:D)</f>
        <v>Inside Sales</v>
      </c>
      <c r="R6011" t="str">
        <f>_xlfn.XLOOKUP(Pipeline_tbl[[#This Row],[Rep_ID]],Dim_Reps!A:A,Dim_Reps!E:E)</f>
        <v>NAMER</v>
      </c>
      <c r="S6011" t="str">
        <f>_xlfn.XLOOKUP(Pipeline_tbl[[#This Row],[Created_Date]],Dim_Date!A:A,Dim_Date!H:H)</f>
        <v>Aug 2025</v>
      </c>
      <c r="T6011" t="str">
        <f>IF(Pipeline_tbl[[#This Row],[Closed_Date]]=0,"",(_xlfn.XLOOKUP(Pipeline_tbl[[#This Row],[Closed_Date]],Dim_Date!A:A,Dim_Date!H:H)))</f>
        <v>Sep 2025</v>
      </c>
      <c r="U6011">
        <f>IF(Pipeline_tbl[[#This Row],[Closed_Date]]=0,"",Pipeline_tbl[[#This Row],[Closed_Date]]-Pipeline_tbl[[#This Row],[Created_Date]])</f>
        <v>25</v>
      </c>
    </row>
    <row r="6012" spans="1:21" ht="15" customHeight="1" x14ac:dyDescent="0.2">
      <c r="A6012" t="s">
        <v>6318</v>
      </c>
      <c r="B6012" t="s">
        <v>193</v>
      </c>
      <c r="C6012" t="s">
        <v>52</v>
      </c>
      <c r="D6012" s="49">
        <v>45891</v>
      </c>
      <c r="E6012" s="49">
        <v>45892</v>
      </c>
      <c r="F6012" s="49">
        <v>45895</v>
      </c>
      <c r="I6012" s="49">
        <v>45904</v>
      </c>
      <c r="J6012" t="s">
        <v>49</v>
      </c>
      <c r="K6012" s="33">
        <v>1600</v>
      </c>
      <c r="L6012" t="s">
        <v>62</v>
      </c>
      <c r="M6012" t="str">
        <f>_xlfn.XLOOKUP(Pipeline_tbl[[#This Row],[Rep_ID]],Dim_Reps!A:A,Dim_Reps!K:K)</f>
        <v>USD</v>
      </c>
      <c r="N6012" s="33">
        <f>(_xlfn.XLOOKUP(Pipeline_tbl[[#This Row],[Rate_Code_Generalized]],Lookups!A:A,Lookups!B:B))*Pipeline_tbl[[#This Row],[Pipeline_Amount_USD]]</f>
        <v>1862.8799999999999</v>
      </c>
      <c r="O6012" t="str">
        <f>_xlfn.XLOOKUP(Pipeline_tbl[[#This Row],[Rep_ID]],Dim_Reps!A:A,Dim_Reps!B:B)</f>
        <v>Karim Rossi</v>
      </c>
      <c r="P6012" t="str">
        <f>_xlfn.XLOOKUP(Pipeline_tbl[[#This Row],[Rep_ID]],Dim_Reps!A:A,Dim_Reps!C:C)</f>
        <v>SDR / Inside Sales Rep</v>
      </c>
      <c r="Q6012" t="str">
        <f>_xlfn.XLOOKUP(Pipeline_tbl[[#This Row],[Rep_ID]],Dim_Reps!A:A,Dim_Reps!D:D)</f>
        <v>Inside Sales</v>
      </c>
      <c r="R6012" t="str">
        <f>_xlfn.XLOOKUP(Pipeline_tbl[[#This Row],[Rep_ID]],Dim_Reps!A:A,Dim_Reps!E:E)</f>
        <v>NAMER</v>
      </c>
      <c r="S6012" t="str">
        <f>_xlfn.XLOOKUP(Pipeline_tbl[[#This Row],[Created_Date]],Dim_Date!A:A,Dim_Date!H:H)</f>
        <v>Aug 2025</v>
      </c>
      <c r="T6012" t="str">
        <f>IF(Pipeline_tbl[[#This Row],[Closed_Date]]=0,"",(_xlfn.XLOOKUP(Pipeline_tbl[[#This Row],[Closed_Date]],Dim_Date!A:A,Dim_Date!H:H)))</f>
        <v>Sep 2025</v>
      </c>
      <c r="U6012">
        <f>IF(Pipeline_tbl[[#This Row],[Closed_Date]]=0,"",Pipeline_tbl[[#This Row],[Closed_Date]]-Pipeline_tbl[[#This Row],[Created_Date]])</f>
        <v>13</v>
      </c>
    </row>
    <row r="6013" spans="1:21" ht="15" customHeight="1" x14ac:dyDescent="0.2">
      <c r="A6013" t="s">
        <v>6319</v>
      </c>
      <c r="B6013" t="s">
        <v>193</v>
      </c>
      <c r="C6013" t="s">
        <v>52</v>
      </c>
      <c r="D6013" s="49">
        <v>45896</v>
      </c>
      <c r="E6013" s="49">
        <v>45898</v>
      </c>
      <c r="F6013" s="49">
        <v>45902</v>
      </c>
      <c r="G6013" s="49">
        <v>45907</v>
      </c>
      <c r="I6013" s="49">
        <v>45915</v>
      </c>
      <c r="J6013" t="s">
        <v>49</v>
      </c>
      <c r="K6013" s="33">
        <v>3500</v>
      </c>
      <c r="L6013" t="s">
        <v>60</v>
      </c>
      <c r="M6013" t="str">
        <f>_xlfn.XLOOKUP(Pipeline_tbl[[#This Row],[Rep_ID]],Dim_Reps!A:A,Dim_Reps!K:K)</f>
        <v>USD</v>
      </c>
      <c r="N6013" s="33">
        <f>(_xlfn.XLOOKUP(Pipeline_tbl[[#This Row],[Rate_Code_Generalized]],Lookups!A:A,Lookups!B:B))*Pipeline_tbl[[#This Row],[Pipeline_Amount_USD]]</f>
        <v>4075.0499999999997</v>
      </c>
      <c r="O6013" t="str">
        <f>_xlfn.XLOOKUP(Pipeline_tbl[[#This Row],[Rep_ID]],Dim_Reps!A:A,Dim_Reps!B:B)</f>
        <v>Karim Rossi</v>
      </c>
      <c r="P6013" t="str">
        <f>_xlfn.XLOOKUP(Pipeline_tbl[[#This Row],[Rep_ID]],Dim_Reps!A:A,Dim_Reps!C:C)</f>
        <v>SDR / Inside Sales Rep</v>
      </c>
      <c r="Q6013" t="str">
        <f>_xlfn.XLOOKUP(Pipeline_tbl[[#This Row],[Rep_ID]],Dim_Reps!A:A,Dim_Reps!D:D)</f>
        <v>Inside Sales</v>
      </c>
      <c r="R6013" t="str">
        <f>_xlfn.XLOOKUP(Pipeline_tbl[[#This Row],[Rep_ID]],Dim_Reps!A:A,Dim_Reps!E:E)</f>
        <v>NAMER</v>
      </c>
      <c r="S6013" t="str">
        <f>_xlfn.XLOOKUP(Pipeline_tbl[[#This Row],[Created_Date]],Dim_Date!A:A,Dim_Date!H:H)</f>
        <v>Aug 2025</v>
      </c>
      <c r="T6013" t="str">
        <f>IF(Pipeline_tbl[[#This Row],[Closed_Date]]=0,"",(_xlfn.XLOOKUP(Pipeline_tbl[[#This Row],[Closed_Date]],Dim_Date!A:A,Dim_Date!H:H)))</f>
        <v>Sep 2025</v>
      </c>
      <c r="U6013">
        <f>IF(Pipeline_tbl[[#This Row],[Closed_Date]]=0,"",Pipeline_tbl[[#This Row],[Closed_Date]]-Pipeline_tbl[[#This Row],[Created_Date]])</f>
        <v>19</v>
      </c>
    </row>
    <row r="6014" spans="1:21" ht="15" customHeight="1" x14ac:dyDescent="0.2">
      <c r="A6014" t="s">
        <v>6320</v>
      </c>
      <c r="B6014" t="s">
        <v>193</v>
      </c>
      <c r="C6014" t="s">
        <v>52</v>
      </c>
      <c r="D6014" s="49">
        <v>45887</v>
      </c>
      <c r="E6014" s="49">
        <v>45889</v>
      </c>
      <c r="F6014" s="49">
        <v>45892</v>
      </c>
      <c r="G6014" s="49">
        <v>45898</v>
      </c>
      <c r="H6014" s="49">
        <v>45902</v>
      </c>
      <c r="I6014" s="49">
        <v>45905</v>
      </c>
      <c r="J6014" t="s">
        <v>47</v>
      </c>
      <c r="K6014" s="33">
        <v>4500</v>
      </c>
      <c r="M6014" t="str">
        <f>_xlfn.XLOOKUP(Pipeline_tbl[[#This Row],[Rep_ID]],Dim_Reps!A:A,Dim_Reps!K:K)</f>
        <v>USD</v>
      </c>
      <c r="N6014" s="33">
        <f>(_xlfn.XLOOKUP(Pipeline_tbl[[#This Row],[Rate_Code_Generalized]],Lookups!A:A,Lookups!B:B))*Pipeline_tbl[[#This Row],[Pipeline_Amount_USD]]</f>
        <v>5239.3499999999995</v>
      </c>
      <c r="O6014" t="str">
        <f>_xlfn.XLOOKUP(Pipeline_tbl[[#This Row],[Rep_ID]],Dim_Reps!A:A,Dim_Reps!B:B)</f>
        <v>Karim Rossi</v>
      </c>
      <c r="P6014" t="str">
        <f>_xlfn.XLOOKUP(Pipeline_tbl[[#This Row],[Rep_ID]],Dim_Reps!A:A,Dim_Reps!C:C)</f>
        <v>SDR / Inside Sales Rep</v>
      </c>
      <c r="Q6014" t="str">
        <f>_xlfn.XLOOKUP(Pipeline_tbl[[#This Row],[Rep_ID]],Dim_Reps!A:A,Dim_Reps!D:D)</f>
        <v>Inside Sales</v>
      </c>
      <c r="R6014" t="str">
        <f>_xlfn.XLOOKUP(Pipeline_tbl[[#This Row],[Rep_ID]],Dim_Reps!A:A,Dim_Reps!E:E)</f>
        <v>NAMER</v>
      </c>
      <c r="S6014" t="str">
        <f>_xlfn.XLOOKUP(Pipeline_tbl[[#This Row],[Created_Date]],Dim_Date!A:A,Dim_Date!H:H)</f>
        <v>Aug 2025</v>
      </c>
      <c r="T6014" t="str">
        <f>IF(Pipeline_tbl[[#This Row],[Closed_Date]]=0,"",(_xlfn.XLOOKUP(Pipeline_tbl[[#This Row],[Closed_Date]],Dim_Date!A:A,Dim_Date!H:H)))</f>
        <v>Sep 2025</v>
      </c>
      <c r="U6014">
        <f>IF(Pipeline_tbl[[#This Row],[Closed_Date]]=0,"",Pipeline_tbl[[#This Row],[Closed_Date]]-Pipeline_tbl[[#This Row],[Created_Date]])</f>
        <v>18</v>
      </c>
    </row>
    <row r="6015" spans="1:21" ht="15" customHeight="1" x14ac:dyDescent="0.2">
      <c r="A6015" t="s">
        <v>6321</v>
      </c>
      <c r="B6015" t="s">
        <v>193</v>
      </c>
      <c r="C6015" t="s">
        <v>52</v>
      </c>
      <c r="D6015" s="49">
        <v>45900</v>
      </c>
      <c r="E6015" s="49">
        <v>45903</v>
      </c>
      <c r="F6015" s="49">
        <v>45908</v>
      </c>
      <c r="G6015" s="49">
        <v>45916</v>
      </c>
      <c r="H6015" s="49">
        <v>45922</v>
      </c>
      <c r="I6015" s="49">
        <v>45926</v>
      </c>
      <c r="J6015" t="s">
        <v>47</v>
      </c>
      <c r="K6015" s="33">
        <v>3100</v>
      </c>
      <c r="M6015" t="str">
        <f>_xlfn.XLOOKUP(Pipeline_tbl[[#This Row],[Rep_ID]],Dim_Reps!A:A,Dim_Reps!K:K)</f>
        <v>USD</v>
      </c>
      <c r="N6015" s="33">
        <f>(_xlfn.XLOOKUP(Pipeline_tbl[[#This Row],[Rate_Code_Generalized]],Lookups!A:A,Lookups!B:B))*Pipeline_tbl[[#This Row],[Pipeline_Amount_USD]]</f>
        <v>3609.3299999999995</v>
      </c>
      <c r="O6015" t="str">
        <f>_xlfn.XLOOKUP(Pipeline_tbl[[#This Row],[Rep_ID]],Dim_Reps!A:A,Dim_Reps!B:B)</f>
        <v>Karim Rossi</v>
      </c>
      <c r="P6015" t="str">
        <f>_xlfn.XLOOKUP(Pipeline_tbl[[#This Row],[Rep_ID]],Dim_Reps!A:A,Dim_Reps!C:C)</f>
        <v>SDR / Inside Sales Rep</v>
      </c>
      <c r="Q6015" t="str">
        <f>_xlfn.XLOOKUP(Pipeline_tbl[[#This Row],[Rep_ID]],Dim_Reps!A:A,Dim_Reps!D:D)</f>
        <v>Inside Sales</v>
      </c>
      <c r="R6015" t="str">
        <f>_xlfn.XLOOKUP(Pipeline_tbl[[#This Row],[Rep_ID]],Dim_Reps!A:A,Dim_Reps!E:E)</f>
        <v>NAMER</v>
      </c>
      <c r="S6015" t="str">
        <f>_xlfn.XLOOKUP(Pipeline_tbl[[#This Row],[Created_Date]],Dim_Date!A:A,Dim_Date!H:H)</f>
        <v>Aug 2025</v>
      </c>
      <c r="T6015" t="str">
        <f>IF(Pipeline_tbl[[#This Row],[Closed_Date]]=0,"",(_xlfn.XLOOKUP(Pipeline_tbl[[#This Row],[Closed_Date]],Dim_Date!A:A,Dim_Date!H:H)))</f>
        <v>Sep 2025</v>
      </c>
      <c r="U6015">
        <f>IF(Pipeline_tbl[[#This Row],[Closed_Date]]=0,"",Pipeline_tbl[[#This Row],[Closed_Date]]-Pipeline_tbl[[#This Row],[Created_Date]])</f>
        <v>26</v>
      </c>
    </row>
    <row r="6016" spans="1:21" ht="15" customHeight="1" x14ac:dyDescent="0.2">
      <c r="A6016" t="s">
        <v>6322</v>
      </c>
      <c r="B6016" t="s">
        <v>243</v>
      </c>
      <c r="C6016" t="s">
        <v>53</v>
      </c>
      <c r="D6016" s="49">
        <v>45877</v>
      </c>
      <c r="E6016" s="49">
        <v>45881</v>
      </c>
      <c r="F6016" s="49">
        <v>45888</v>
      </c>
      <c r="I6016" s="49">
        <v>45915</v>
      </c>
      <c r="J6016" t="s">
        <v>49</v>
      </c>
      <c r="K6016" s="33">
        <v>9300</v>
      </c>
      <c r="L6016" t="s">
        <v>60</v>
      </c>
      <c r="M6016" t="str">
        <f>_xlfn.XLOOKUP(Pipeline_tbl[[#This Row],[Rep_ID]],Dim_Reps!A:A,Dim_Reps!K:K)</f>
        <v>MXN</v>
      </c>
      <c r="N6016" s="33">
        <f>(_xlfn.XLOOKUP(Pipeline_tbl[[#This Row],[Rate_Code_Generalized]],Lookups!A:A,Lookups!B:B))*Pipeline_tbl[[#This Row],[Pipeline_Amount_USD]]</f>
        <v>183514.11000000002</v>
      </c>
      <c r="O6016" t="str">
        <f>_xlfn.XLOOKUP(Pipeline_tbl[[#This Row],[Rep_ID]],Dim_Reps!A:A,Dim_Reps!B:B)</f>
        <v>Jonas Sato</v>
      </c>
      <c r="P6016" t="str">
        <f>_xlfn.XLOOKUP(Pipeline_tbl[[#This Row],[Rep_ID]],Dim_Reps!A:A,Dim_Reps!C:C)</f>
        <v>Mid-Market AE</v>
      </c>
      <c r="Q6016" t="str">
        <f>_xlfn.XLOOKUP(Pipeline_tbl[[#This Row],[Rep_ID]],Dim_Reps!A:A,Dim_Reps!D:D)</f>
        <v>Mid-Market</v>
      </c>
      <c r="R6016" t="str">
        <f>_xlfn.XLOOKUP(Pipeline_tbl[[#This Row],[Rep_ID]],Dim_Reps!A:A,Dim_Reps!E:E)</f>
        <v>LATAM</v>
      </c>
      <c r="S6016" t="str">
        <f>_xlfn.XLOOKUP(Pipeline_tbl[[#This Row],[Created_Date]],Dim_Date!A:A,Dim_Date!H:H)</f>
        <v>Aug 2025</v>
      </c>
      <c r="T6016" t="str">
        <f>IF(Pipeline_tbl[[#This Row],[Closed_Date]]=0,"",(_xlfn.XLOOKUP(Pipeline_tbl[[#This Row],[Closed_Date]],Dim_Date!A:A,Dim_Date!H:H)))</f>
        <v>Sep 2025</v>
      </c>
      <c r="U6016">
        <f>IF(Pipeline_tbl[[#This Row],[Closed_Date]]=0,"",Pipeline_tbl[[#This Row],[Closed_Date]]-Pipeline_tbl[[#This Row],[Created_Date]])</f>
        <v>38</v>
      </c>
    </row>
    <row r="6017" spans="1:21" ht="15" customHeight="1" x14ac:dyDescent="0.2">
      <c r="A6017" t="s">
        <v>6323</v>
      </c>
      <c r="B6017" t="s">
        <v>196</v>
      </c>
      <c r="C6017" t="s">
        <v>54</v>
      </c>
      <c r="D6017" s="49">
        <v>45894</v>
      </c>
      <c r="E6017" s="49">
        <v>45896</v>
      </c>
      <c r="I6017" s="49">
        <v>45917</v>
      </c>
      <c r="J6017" t="s">
        <v>49</v>
      </c>
      <c r="K6017" s="33">
        <v>4900</v>
      </c>
      <c r="L6017" t="s">
        <v>61</v>
      </c>
      <c r="M6017" t="str">
        <f>_xlfn.XLOOKUP(Pipeline_tbl[[#This Row],[Rep_ID]],Dim_Reps!A:A,Dim_Reps!K:K)</f>
        <v>EUR</v>
      </c>
      <c r="N6017" s="33">
        <f>(_xlfn.XLOOKUP(Pipeline_tbl[[#This Row],[Rate_Code_Generalized]],Lookups!A:A,Lookups!B:B))*Pipeline_tbl[[#This Row],[Pipeline_Amount_USD]]</f>
        <v>4900</v>
      </c>
      <c r="O6017" t="str">
        <f>_xlfn.XLOOKUP(Pipeline_tbl[[#This Row],[Rep_ID]],Dim_Reps!A:A,Dim_Reps!B:B)</f>
        <v>Alex Okafor</v>
      </c>
      <c r="P6017" t="str">
        <f>_xlfn.XLOOKUP(Pipeline_tbl[[#This Row],[Rep_ID]],Dim_Reps!A:A,Dim_Reps!C:C)</f>
        <v>SDR / Inside Sales Rep</v>
      </c>
      <c r="Q6017" t="str">
        <f>_xlfn.XLOOKUP(Pipeline_tbl[[#This Row],[Rep_ID]],Dim_Reps!A:A,Dim_Reps!D:D)</f>
        <v>Inside Sales</v>
      </c>
      <c r="R6017" t="str">
        <f>_xlfn.XLOOKUP(Pipeline_tbl[[#This Row],[Rep_ID]],Dim_Reps!A:A,Dim_Reps!E:E)</f>
        <v>EMEA</v>
      </c>
      <c r="S6017" t="str">
        <f>_xlfn.XLOOKUP(Pipeline_tbl[[#This Row],[Created_Date]],Dim_Date!A:A,Dim_Date!H:H)</f>
        <v>Aug 2025</v>
      </c>
      <c r="T6017" t="str">
        <f>IF(Pipeline_tbl[[#This Row],[Closed_Date]]=0,"",(_xlfn.XLOOKUP(Pipeline_tbl[[#This Row],[Closed_Date]],Dim_Date!A:A,Dim_Date!H:H)))</f>
        <v>Sep 2025</v>
      </c>
      <c r="U6017">
        <f>IF(Pipeline_tbl[[#This Row],[Closed_Date]]=0,"",Pipeline_tbl[[#This Row],[Closed_Date]]-Pipeline_tbl[[#This Row],[Created_Date]])</f>
        <v>23</v>
      </c>
    </row>
    <row r="6018" spans="1:21" ht="15" customHeight="1" x14ac:dyDescent="0.2">
      <c r="A6018" t="s">
        <v>6324</v>
      </c>
      <c r="B6018" t="s">
        <v>196</v>
      </c>
      <c r="C6018" t="s">
        <v>53</v>
      </c>
      <c r="D6018" s="49">
        <v>45900</v>
      </c>
      <c r="E6018" s="49">
        <v>45901</v>
      </c>
      <c r="F6018" s="49">
        <v>45902</v>
      </c>
      <c r="I6018" s="49">
        <v>45908</v>
      </c>
      <c r="J6018" t="s">
        <v>49</v>
      </c>
      <c r="K6018" s="33">
        <v>2600</v>
      </c>
      <c r="L6018" t="s">
        <v>62</v>
      </c>
      <c r="M6018" t="str">
        <f>_xlfn.XLOOKUP(Pipeline_tbl[[#This Row],[Rep_ID]],Dim_Reps!A:A,Dim_Reps!K:K)</f>
        <v>EUR</v>
      </c>
      <c r="N6018" s="33">
        <f>(_xlfn.XLOOKUP(Pipeline_tbl[[#This Row],[Rate_Code_Generalized]],Lookups!A:A,Lookups!B:B))*Pipeline_tbl[[#This Row],[Pipeline_Amount_USD]]</f>
        <v>2600</v>
      </c>
      <c r="O6018" t="str">
        <f>_xlfn.XLOOKUP(Pipeline_tbl[[#This Row],[Rep_ID]],Dim_Reps!A:A,Dim_Reps!B:B)</f>
        <v>Alex Okafor</v>
      </c>
      <c r="P6018" t="str">
        <f>_xlfn.XLOOKUP(Pipeline_tbl[[#This Row],[Rep_ID]],Dim_Reps!A:A,Dim_Reps!C:C)</f>
        <v>SDR / Inside Sales Rep</v>
      </c>
      <c r="Q6018" t="str">
        <f>_xlfn.XLOOKUP(Pipeline_tbl[[#This Row],[Rep_ID]],Dim_Reps!A:A,Dim_Reps!D:D)</f>
        <v>Inside Sales</v>
      </c>
      <c r="R6018" t="str">
        <f>_xlfn.XLOOKUP(Pipeline_tbl[[#This Row],[Rep_ID]],Dim_Reps!A:A,Dim_Reps!E:E)</f>
        <v>EMEA</v>
      </c>
      <c r="S6018" t="str">
        <f>_xlfn.XLOOKUP(Pipeline_tbl[[#This Row],[Created_Date]],Dim_Date!A:A,Dim_Date!H:H)</f>
        <v>Aug 2025</v>
      </c>
      <c r="T6018" t="str">
        <f>IF(Pipeline_tbl[[#This Row],[Closed_Date]]=0,"",(_xlfn.XLOOKUP(Pipeline_tbl[[#This Row],[Closed_Date]],Dim_Date!A:A,Dim_Date!H:H)))</f>
        <v>Sep 2025</v>
      </c>
      <c r="U6018">
        <f>IF(Pipeline_tbl[[#This Row],[Closed_Date]]=0,"",Pipeline_tbl[[#This Row],[Closed_Date]]-Pipeline_tbl[[#This Row],[Created_Date]])</f>
        <v>8</v>
      </c>
    </row>
    <row r="6019" spans="1:21" ht="15" customHeight="1" x14ac:dyDescent="0.2">
      <c r="A6019" t="s">
        <v>6325</v>
      </c>
      <c r="B6019" t="s">
        <v>196</v>
      </c>
      <c r="C6019" t="s">
        <v>53</v>
      </c>
      <c r="D6019" s="49">
        <v>45896</v>
      </c>
      <c r="E6019" s="49">
        <v>45898</v>
      </c>
      <c r="F6019" s="49">
        <v>45901</v>
      </c>
      <c r="G6019" s="49">
        <v>45905</v>
      </c>
      <c r="H6019" s="49">
        <v>45909</v>
      </c>
      <c r="I6019" s="49">
        <v>45911</v>
      </c>
      <c r="J6019" t="s">
        <v>47</v>
      </c>
      <c r="K6019" s="33">
        <v>3100</v>
      </c>
      <c r="M6019" t="str">
        <f>_xlfn.XLOOKUP(Pipeline_tbl[[#This Row],[Rep_ID]],Dim_Reps!A:A,Dim_Reps!K:K)</f>
        <v>EUR</v>
      </c>
      <c r="N6019" s="33">
        <f>(_xlfn.XLOOKUP(Pipeline_tbl[[#This Row],[Rate_Code_Generalized]],Lookups!A:A,Lookups!B:B))*Pipeline_tbl[[#This Row],[Pipeline_Amount_USD]]</f>
        <v>3100</v>
      </c>
      <c r="O6019" t="str">
        <f>_xlfn.XLOOKUP(Pipeline_tbl[[#This Row],[Rep_ID]],Dim_Reps!A:A,Dim_Reps!B:B)</f>
        <v>Alex Okafor</v>
      </c>
      <c r="P6019" t="str">
        <f>_xlfn.XLOOKUP(Pipeline_tbl[[#This Row],[Rep_ID]],Dim_Reps!A:A,Dim_Reps!C:C)</f>
        <v>SDR / Inside Sales Rep</v>
      </c>
      <c r="Q6019" t="str">
        <f>_xlfn.XLOOKUP(Pipeline_tbl[[#This Row],[Rep_ID]],Dim_Reps!A:A,Dim_Reps!D:D)</f>
        <v>Inside Sales</v>
      </c>
      <c r="R6019" t="str">
        <f>_xlfn.XLOOKUP(Pipeline_tbl[[#This Row],[Rep_ID]],Dim_Reps!A:A,Dim_Reps!E:E)</f>
        <v>EMEA</v>
      </c>
      <c r="S6019" t="str">
        <f>_xlfn.XLOOKUP(Pipeline_tbl[[#This Row],[Created_Date]],Dim_Date!A:A,Dim_Date!H:H)</f>
        <v>Aug 2025</v>
      </c>
      <c r="T6019" t="str">
        <f>IF(Pipeline_tbl[[#This Row],[Closed_Date]]=0,"",(_xlfn.XLOOKUP(Pipeline_tbl[[#This Row],[Closed_Date]],Dim_Date!A:A,Dim_Date!H:H)))</f>
        <v>Sep 2025</v>
      </c>
      <c r="U6019">
        <f>IF(Pipeline_tbl[[#This Row],[Closed_Date]]=0,"",Pipeline_tbl[[#This Row],[Closed_Date]]-Pipeline_tbl[[#This Row],[Created_Date]])</f>
        <v>15</v>
      </c>
    </row>
    <row r="6020" spans="1:21" ht="15" customHeight="1" x14ac:dyDescent="0.2">
      <c r="A6020" t="s">
        <v>6326</v>
      </c>
      <c r="B6020" t="s">
        <v>196</v>
      </c>
      <c r="C6020" t="s">
        <v>52</v>
      </c>
      <c r="D6020" s="49">
        <v>45889</v>
      </c>
      <c r="E6020" s="49">
        <v>45891</v>
      </c>
      <c r="F6020" s="49">
        <v>45894</v>
      </c>
      <c r="G6020" s="49">
        <v>45900</v>
      </c>
      <c r="I6020" s="49">
        <v>45907</v>
      </c>
      <c r="J6020" t="s">
        <v>49</v>
      </c>
      <c r="K6020" s="33">
        <v>4100</v>
      </c>
      <c r="L6020" t="s">
        <v>61</v>
      </c>
      <c r="M6020" t="str">
        <f>_xlfn.XLOOKUP(Pipeline_tbl[[#This Row],[Rep_ID]],Dim_Reps!A:A,Dim_Reps!K:K)</f>
        <v>EUR</v>
      </c>
      <c r="N6020" s="33">
        <f>(_xlfn.XLOOKUP(Pipeline_tbl[[#This Row],[Rate_Code_Generalized]],Lookups!A:A,Lookups!B:B))*Pipeline_tbl[[#This Row],[Pipeline_Amount_USD]]</f>
        <v>4100</v>
      </c>
      <c r="O6020" t="str">
        <f>_xlfn.XLOOKUP(Pipeline_tbl[[#This Row],[Rep_ID]],Dim_Reps!A:A,Dim_Reps!B:B)</f>
        <v>Alex Okafor</v>
      </c>
      <c r="P6020" t="str">
        <f>_xlfn.XLOOKUP(Pipeline_tbl[[#This Row],[Rep_ID]],Dim_Reps!A:A,Dim_Reps!C:C)</f>
        <v>SDR / Inside Sales Rep</v>
      </c>
      <c r="Q6020" t="str">
        <f>_xlfn.XLOOKUP(Pipeline_tbl[[#This Row],[Rep_ID]],Dim_Reps!A:A,Dim_Reps!D:D)</f>
        <v>Inside Sales</v>
      </c>
      <c r="R6020" t="str">
        <f>_xlfn.XLOOKUP(Pipeline_tbl[[#This Row],[Rep_ID]],Dim_Reps!A:A,Dim_Reps!E:E)</f>
        <v>EMEA</v>
      </c>
      <c r="S6020" t="str">
        <f>_xlfn.XLOOKUP(Pipeline_tbl[[#This Row],[Created_Date]],Dim_Date!A:A,Dim_Date!H:H)</f>
        <v>Aug 2025</v>
      </c>
      <c r="T6020" t="str">
        <f>IF(Pipeline_tbl[[#This Row],[Closed_Date]]=0,"",(_xlfn.XLOOKUP(Pipeline_tbl[[#This Row],[Closed_Date]],Dim_Date!A:A,Dim_Date!H:H)))</f>
        <v>Sep 2025</v>
      </c>
      <c r="U6020">
        <f>IF(Pipeline_tbl[[#This Row],[Closed_Date]]=0,"",Pipeline_tbl[[#This Row],[Closed_Date]]-Pipeline_tbl[[#This Row],[Created_Date]])</f>
        <v>18</v>
      </c>
    </row>
    <row r="6021" spans="1:21" ht="15" customHeight="1" x14ac:dyDescent="0.2">
      <c r="A6021" t="s">
        <v>6327</v>
      </c>
      <c r="B6021" t="s">
        <v>196</v>
      </c>
      <c r="C6021" t="s">
        <v>54</v>
      </c>
      <c r="D6021" s="49">
        <v>45885</v>
      </c>
      <c r="E6021" s="49">
        <v>45887</v>
      </c>
      <c r="F6021" s="49">
        <v>45892</v>
      </c>
      <c r="G6021" s="49">
        <v>45899</v>
      </c>
      <c r="H6021" s="49">
        <v>45905</v>
      </c>
      <c r="I6021" s="49">
        <v>45909</v>
      </c>
      <c r="J6021" t="s">
        <v>47</v>
      </c>
      <c r="K6021" s="33">
        <v>5100</v>
      </c>
      <c r="M6021" t="str">
        <f>_xlfn.XLOOKUP(Pipeline_tbl[[#This Row],[Rep_ID]],Dim_Reps!A:A,Dim_Reps!K:K)</f>
        <v>EUR</v>
      </c>
      <c r="N6021" s="33">
        <f>(_xlfn.XLOOKUP(Pipeline_tbl[[#This Row],[Rate_Code_Generalized]],Lookups!A:A,Lookups!B:B))*Pipeline_tbl[[#This Row],[Pipeline_Amount_USD]]</f>
        <v>5100</v>
      </c>
      <c r="O6021" t="str">
        <f>_xlfn.XLOOKUP(Pipeline_tbl[[#This Row],[Rep_ID]],Dim_Reps!A:A,Dim_Reps!B:B)</f>
        <v>Alex Okafor</v>
      </c>
      <c r="P6021" t="str">
        <f>_xlfn.XLOOKUP(Pipeline_tbl[[#This Row],[Rep_ID]],Dim_Reps!A:A,Dim_Reps!C:C)</f>
        <v>SDR / Inside Sales Rep</v>
      </c>
      <c r="Q6021" t="str">
        <f>_xlfn.XLOOKUP(Pipeline_tbl[[#This Row],[Rep_ID]],Dim_Reps!A:A,Dim_Reps!D:D)</f>
        <v>Inside Sales</v>
      </c>
      <c r="R6021" t="str">
        <f>_xlfn.XLOOKUP(Pipeline_tbl[[#This Row],[Rep_ID]],Dim_Reps!A:A,Dim_Reps!E:E)</f>
        <v>EMEA</v>
      </c>
      <c r="S6021" t="str">
        <f>_xlfn.XLOOKUP(Pipeline_tbl[[#This Row],[Created_Date]],Dim_Date!A:A,Dim_Date!H:H)</f>
        <v>Aug 2025</v>
      </c>
      <c r="T6021" t="str">
        <f>IF(Pipeline_tbl[[#This Row],[Closed_Date]]=0,"",(_xlfn.XLOOKUP(Pipeline_tbl[[#This Row],[Closed_Date]],Dim_Date!A:A,Dim_Date!H:H)))</f>
        <v>Sep 2025</v>
      </c>
      <c r="U6021">
        <f>IF(Pipeline_tbl[[#This Row],[Closed_Date]]=0,"",Pipeline_tbl[[#This Row],[Closed_Date]]-Pipeline_tbl[[#This Row],[Created_Date]])</f>
        <v>24</v>
      </c>
    </row>
    <row r="6022" spans="1:21" ht="15" customHeight="1" x14ac:dyDescent="0.2">
      <c r="A6022" t="s">
        <v>6328</v>
      </c>
      <c r="B6022" t="s">
        <v>199</v>
      </c>
      <c r="C6022" t="s">
        <v>52</v>
      </c>
      <c r="D6022" s="49">
        <v>45887</v>
      </c>
      <c r="E6022" s="49">
        <v>45889</v>
      </c>
      <c r="F6022" s="49">
        <v>45892</v>
      </c>
      <c r="G6022" s="49">
        <v>45898</v>
      </c>
      <c r="I6022" s="49">
        <v>45905</v>
      </c>
      <c r="J6022" t="s">
        <v>49</v>
      </c>
      <c r="K6022" s="33">
        <v>2800</v>
      </c>
      <c r="L6022" t="s">
        <v>61</v>
      </c>
      <c r="M6022" t="str">
        <f>_xlfn.XLOOKUP(Pipeline_tbl[[#This Row],[Rep_ID]],Dim_Reps!A:A,Dim_Reps!K:K)</f>
        <v>EUR</v>
      </c>
      <c r="N6022" s="33">
        <f>(_xlfn.XLOOKUP(Pipeline_tbl[[#This Row],[Rate_Code_Generalized]],Lookups!A:A,Lookups!B:B))*Pipeline_tbl[[#This Row],[Pipeline_Amount_USD]]</f>
        <v>2800</v>
      </c>
      <c r="O6022" t="str">
        <f>_xlfn.XLOOKUP(Pipeline_tbl[[#This Row],[Rep_ID]],Dim_Reps!A:A,Dim_Reps!B:B)</f>
        <v>Lucas Okafor</v>
      </c>
      <c r="P6022" t="str">
        <f>_xlfn.XLOOKUP(Pipeline_tbl[[#This Row],[Rep_ID]],Dim_Reps!A:A,Dim_Reps!C:C)</f>
        <v>SDR / Inside Sales Rep</v>
      </c>
      <c r="Q6022" t="str">
        <f>_xlfn.XLOOKUP(Pipeline_tbl[[#This Row],[Rep_ID]],Dim_Reps!A:A,Dim_Reps!D:D)</f>
        <v>Inside Sales</v>
      </c>
      <c r="R6022" t="str">
        <f>_xlfn.XLOOKUP(Pipeline_tbl[[#This Row],[Rep_ID]],Dim_Reps!A:A,Dim_Reps!E:E)</f>
        <v>APAC</v>
      </c>
      <c r="S6022" t="str">
        <f>_xlfn.XLOOKUP(Pipeline_tbl[[#This Row],[Created_Date]],Dim_Date!A:A,Dim_Date!H:H)</f>
        <v>Aug 2025</v>
      </c>
      <c r="T6022" t="str">
        <f>IF(Pipeline_tbl[[#This Row],[Closed_Date]]=0,"",(_xlfn.XLOOKUP(Pipeline_tbl[[#This Row],[Closed_Date]],Dim_Date!A:A,Dim_Date!H:H)))</f>
        <v>Sep 2025</v>
      </c>
      <c r="U6022">
        <f>IF(Pipeline_tbl[[#This Row],[Closed_Date]]=0,"",Pipeline_tbl[[#This Row],[Closed_Date]]-Pipeline_tbl[[#This Row],[Created_Date]])</f>
        <v>18</v>
      </c>
    </row>
    <row r="6023" spans="1:21" ht="15" customHeight="1" x14ac:dyDescent="0.2">
      <c r="A6023" t="s">
        <v>6329</v>
      </c>
      <c r="B6023" t="s">
        <v>199</v>
      </c>
      <c r="C6023" t="s">
        <v>53</v>
      </c>
      <c r="D6023" s="49">
        <v>45894</v>
      </c>
      <c r="E6023" s="49">
        <v>45896</v>
      </c>
      <c r="F6023" s="49">
        <v>45899</v>
      </c>
      <c r="G6023" s="49">
        <v>45903</v>
      </c>
      <c r="H6023" s="49">
        <v>45907</v>
      </c>
      <c r="I6023" s="49">
        <v>45909</v>
      </c>
      <c r="J6023" t="s">
        <v>47</v>
      </c>
      <c r="K6023" s="33">
        <v>2900</v>
      </c>
      <c r="M6023" t="str">
        <f>_xlfn.XLOOKUP(Pipeline_tbl[[#This Row],[Rep_ID]],Dim_Reps!A:A,Dim_Reps!K:K)</f>
        <v>EUR</v>
      </c>
      <c r="N6023" s="33">
        <f>(_xlfn.XLOOKUP(Pipeline_tbl[[#This Row],[Rate_Code_Generalized]],Lookups!A:A,Lookups!B:B))*Pipeline_tbl[[#This Row],[Pipeline_Amount_USD]]</f>
        <v>2900</v>
      </c>
      <c r="O6023" t="str">
        <f>_xlfn.XLOOKUP(Pipeline_tbl[[#This Row],[Rep_ID]],Dim_Reps!A:A,Dim_Reps!B:B)</f>
        <v>Lucas Okafor</v>
      </c>
      <c r="P6023" t="str">
        <f>_xlfn.XLOOKUP(Pipeline_tbl[[#This Row],[Rep_ID]],Dim_Reps!A:A,Dim_Reps!C:C)</f>
        <v>SDR / Inside Sales Rep</v>
      </c>
      <c r="Q6023" t="str">
        <f>_xlfn.XLOOKUP(Pipeline_tbl[[#This Row],[Rep_ID]],Dim_Reps!A:A,Dim_Reps!D:D)</f>
        <v>Inside Sales</v>
      </c>
      <c r="R6023" t="str">
        <f>_xlfn.XLOOKUP(Pipeline_tbl[[#This Row],[Rep_ID]],Dim_Reps!A:A,Dim_Reps!E:E)</f>
        <v>APAC</v>
      </c>
      <c r="S6023" t="str">
        <f>_xlfn.XLOOKUP(Pipeline_tbl[[#This Row],[Created_Date]],Dim_Date!A:A,Dim_Date!H:H)</f>
        <v>Aug 2025</v>
      </c>
      <c r="T6023" t="str">
        <f>IF(Pipeline_tbl[[#This Row],[Closed_Date]]=0,"",(_xlfn.XLOOKUP(Pipeline_tbl[[#This Row],[Closed_Date]],Dim_Date!A:A,Dim_Date!H:H)))</f>
        <v>Sep 2025</v>
      </c>
      <c r="U6023">
        <f>IF(Pipeline_tbl[[#This Row],[Closed_Date]]=0,"",Pipeline_tbl[[#This Row],[Closed_Date]]-Pipeline_tbl[[#This Row],[Created_Date]])</f>
        <v>15</v>
      </c>
    </row>
    <row r="6024" spans="1:21" ht="15" customHeight="1" x14ac:dyDescent="0.2">
      <c r="A6024" t="s">
        <v>6330</v>
      </c>
      <c r="B6024" t="s">
        <v>199</v>
      </c>
      <c r="C6024" t="s">
        <v>54</v>
      </c>
      <c r="D6024" s="49">
        <v>45889</v>
      </c>
      <c r="E6024" s="49">
        <v>45891</v>
      </c>
      <c r="F6024" s="49">
        <v>45894</v>
      </c>
      <c r="G6024" s="49">
        <v>45898</v>
      </c>
      <c r="H6024" s="49">
        <v>45902</v>
      </c>
      <c r="I6024" s="49">
        <v>45904</v>
      </c>
      <c r="J6024" t="s">
        <v>47</v>
      </c>
      <c r="K6024" s="33">
        <v>2500</v>
      </c>
      <c r="M6024" t="str">
        <f>_xlfn.XLOOKUP(Pipeline_tbl[[#This Row],[Rep_ID]],Dim_Reps!A:A,Dim_Reps!K:K)</f>
        <v>EUR</v>
      </c>
      <c r="N6024" s="33">
        <f>(_xlfn.XLOOKUP(Pipeline_tbl[[#This Row],[Rate_Code_Generalized]],Lookups!A:A,Lookups!B:B))*Pipeline_tbl[[#This Row],[Pipeline_Amount_USD]]</f>
        <v>2500</v>
      </c>
      <c r="O6024" t="str">
        <f>_xlfn.XLOOKUP(Pipeline_tbl[[#This Row],[Rep_ID]],Dim_Reps!A:A,Dim_Reps!B:B)</f>
        <v>Lucas Okafor</v>
      </c>
      <c r="P6024" t="str">
        <f>_xlfn.XLOOKUP(Pipeline_tbl[[#This Row],[Rep_ID]],Dim_Reps!A:A,Dim_Reps!C:C)</f>
        <v>SDR / Inside Sales Rep</v>
      </c>
      <c r="Q6024" t="str">
        <f>_xlfn.XLOOKUP(Pipeline_tbl[[#This Row],[Rep_ID]],Dim_Reps!A:A,Dim_Reps!D:D)</f>
        <v>Inside Sales</v>
      </c>
      <c r="R6024" t="str">
        <f>_xlfn.XLOOKUP(Pipeline_tbl[[#This Row],[Rep_ID]],Dim_Reps!A:A,Dim_Reps!E:E)</f>
        <v>APAC</v>
      </c>
      <c r="S6024" t="str">
        <f>_xlfn.XLOOKUP(Pipeline_tbl[[#This Row],[Created_Date]],Dim_Date!A:A,Dim_Date!H:H)</f>
        <v>Aug 2025</v>
      </c>
      <c r="T6024" t="str">
        <f>IF(Pipeline_tbl[[#This Row],[Closed_Date]]=0,"",(_xlfn.XLOOKUP(Pipeline_tbl[[#This Row],[Closed_Date]],Dim_Date!A:A,Dim_Date!H:H)))</f>
        <v>Sep 2025</v>
      </c>
      <c r="U6024">
        <f>IF(Pipeline_tbl[[#This Row],[Closed_Date]]=0,"",Pipeline_tbl[[#This Row],[Closed_Date]]-Pipeline_tbl[[#This Row],[Created_Date]])</f>
        <v>15</v>
      </c>
    </row>
    <row r="6025" spans="1:21" ht="15" customHeight="1" x14ac:dyDescent="0.2">
      <c r="A6025" t="s">
        <v>6331</v>
      </c>
      <c r="B6025" t="s">
        <v>199</v>
      </c>
      <c r="C6025" t="s">
        <v>54</v>
      </c>
      <c r="D6025" s="49">
        <v>45889</v>
      </c>
      <c r="E6025" s="49">
        <v>45891</v>
      </c>
      <c r="F6025" s="49">
        <v>45895</v>
      </c>
      <c r="I6025" s="49">
        <v>45910</v>
      </c>
      <c r="J6025" t="s">
        <v>49</v>
      </c>
      <c r="K6025" s="33">
        <v>6000</v>
      </c>
      <c r="L6025" t="s">
        <v>62</v>
      </c>
      <c r="M6025" t="str">
        <f>_xlfn.XLOOKUP(Pipeline_tbl[[#This Row],[Rep_ID]],Dim_Reps!A:A,Dim_Reps!K:K)</f>
        <v>EUR</v>
      </c>
      <c r="N6025" s="33">
        <f>(_xlfn.XLOOKUP(Pipeline_tbl[[#This Row],[Rate_Code_Generalized]],Lookups!A:A,Lookups!B:B))*Pipeline_tbl[[#This Row],[Pipeline_Amount_USD]]</f>
        <v>6000</v>
      </c>
      <c r="O6025" t="str">
        <f>_xlfn.XLOOKUP(Pipeline_tbl[[#This Row],[Rep_ID]],Dim_Reps!A:A,Dim_Reps!B:B)</f>
        <v>Lucas Okafor</v>
      </c>
      <c r="P6025" t="str">
        <f>_xlfn.XLOOKUP(Pipeline_tbl[[#This Row],[Rep_ID]],Dim_Reps!A:A,Dim_Reps!C:C)</f>
        <v>SDR / Inside Sales Rep</v>
      </c>
      <c r="Q6025" t="str">
        <f>_xlfn.XLOOKUP(Pipeline_tbl[[#This Row],[Rep_ID]],Dim_Reps!A:A,Dim_Reps!D:D)</f>
        <v>Inside Sales</v>
      </c>
      <c r="R6025" t="str">
        <f>_xlfn.XLOOKUP(Pipeline_tbl[[#This Row],[Rep_ID]],Dim_Reps!A:A,Dim_Reps!E:E)</f>
        <v>APAC</v>
      </c>
      <c r="S6025" t="str">
        <f>_xlfn.XLOOKUP(Pipeline_tbl[[#This Row],[Created_Date]],Dim_Date!A:A,Dim_Date!H:H)</f>
        <v>Aug 2025</v>
      </c>
      <c r="T6025" t="str">
        <f>IF(Pipeline_tbl[[#This Row],[Closed_Date]]=0,"",(_xlfn.XLOOKUP(Pipeline_tbl[[#This Row],[Closed_Date]],Dim_Date!A:A,Dim_Date!H:H)))</f>
        <v>Sep 2025</v>
      </c>
      <c r="U6025">
        <f>IF(Pipeline_tbl[[#This Row],[Closed_Date]]=0,"",Pipeline_tbl[[#This Row],[Closed_Date]]-Pipeline_tbl[[#This Row],[Created_Date]])</f>
        <v>21</v>
      </c>
    </row>
    <row r="6026" spans="1:21" ht="15" customHeight="1" x14ac:dyDescent="0.2">
      <c r="A6026" t="s">
        <v>6332</v>
      </c>
      <c r="B6026" t="s">
        <v>201</v>
      </c>
      <c r="C6026" t="s">
        <v>52</v>
      </c>
      <c r="D6026" s="49">
        <v>45891</v>
      </c>
      <c r="E6026" s="49">
        <v>45892</v>
      </c>
      <c r="F6026" s="49">
        <v>45895</v>
      </c>
      <c r="G6026" s="49">
        <v>45899</v>
      </c>
      <c r="H6026" s="49">
        <v>45903</v>
      </c>
      <c r="I6026" s="49">
        <v>45905</v>
      </c>
      <c r="J6026" t="s">
        <v>47</v>
      </c>
      <c r="K6026" s="33">
        <v>4700</v>
      </c>
      <c r="M6026" t="str">
        <f>_xlfn.XLOOKUP(Pipeline_tbl[[#This Row],[Rep_ID]],Dim_Reps!A:A,Dim_Reps!K:K)</f>
        <v>EUR</v>
      </c>
      <c r="N6026" s="33">
        <f>(_xlfn.XLOOKUP(Pipeline_tbl[[#This Row],[Rate_Code_Generalized]],Lookups!A:A,Lookups!B:B))*Pipeline_tbl[[#This Row],[Pipeline_Amount_USD]]</f>
        <v>4700</v>
      </c>
      <c r="O6026" t="str">
        <f>_xlfn.XLOOKUP(Pipeline_tbl[[#This Row],[Rep_ID]],Dim_Reps!A:A,Dim_Reps!B:B)</f>
        <v>Sara Duarte</v>
      </c>
      <c r="P6026" t="str">
        <f>_xlfn.XLOOKUP(Pipeline_tbl[[#This Row],[Rep_ID]],Dim_Reps!A:A,Dim_Reps!C:C)</f>
        <v>SDR / Inside Sales Rep</v>
      </c>
      <c r="Q6026" t="str">
        <f>_xlfn.XLOOKUP(Pipeline_tbl[[#This Row],[Rep_ID]],Dim_Reps!A:A,Dim_Reps!D:D)</f>
        <v>Inside Sales</v>
      </c>
      <c r="R6026" t="str">
        <f>_xlfn.XLOOKUP(Pipeline_tbl[[#This Row],[Rep_ID]],Dim_Reps!A:A,Dim_Reps!E:E)</f>
        <v>APAC</v>
      </c>
      <c r="S6026" t="str">
        <f>_xlfn.XLOOKUP(Pipeline_tbl[[#This Row],[Created_Date]],Dim_Date!A:A,Dim_Date!H:H)</f>
        <v>Aug 2025</v>
      </c>
      <c r="T6026" t="str">
        <f>IF(Pipeline_tbl[[#This Row],[Closed_Date]]=0,"",(_xlfn.XLOOKUP(Pipeline_tbl[[#This Row],[Closed_Date]],Dim_Date!A:A,Dim_Date!H:H)))</f>
        <v>Sep 2025</v>
      </c>
      <c r="U6026">
        <f>IF(Pipeline_tbl[[#This Row],[Closed_Date]]=0,"",Pipeline_tbl[[#This Row],[Closed_Date]]-Pipeline_tbl[[#This Row],[Created_Date]])</f>
        <v>14</v>
      </c>
    </row>
    <row r="6027" spans="1:21" ht="15" customHeight="1" x14ac:dyDescent="0.2">
      <c r="A6027" t="s">
        <v>6333</v>
      </c>
      <c r="B6027" t="s">
        <v>201</v>
      </c>
      <c r="C6027" t="s">
        <v>52</v>
      </c>
      <c r="D6027" s="49">
        <v>45895</v>
      </c>
      <c r="E6027" s="49">
        <v>45897</v>
      </c>
      <c r="F6027" s="49">
        <v>45902</v>
      </c>
      <c r="G6027" s="49">
        <v>45909</v>
      </c>
      <c r="H6027" s="49">
        <v>45915</v>
      </c>
      <c r="I6027" s="49">
        <v>45918</v>
      </c>
      <c r="J6027" t="s">
        <v>49</v>
      </c>
      <c r="K6027" s="33">
        <v>2900</v>
      </c>
      <c r="L6027" t="s">
        <v>61</v>
      </c>
      <c r="M6027" t="str">
        <f>_xlfn.XLOOKUP(Pipeline_tbl[[#This Row],[Rep_ID]],Dim_Reps!A:A,Dim_Reps!K:K)</f>
        <v>EUR</v>
      </c>
      <c r="N6027" s="33">
        <f>(_xlfn.XLOOKUP(Pipeline_tbl[[#This Row],[Rate_Code_Generalized]],Lookups!A:A,Lookups!B:B))*Pipeline_tbl[[#This Row],[Pipeline_Amount_USD]]</f>
        <v>2900</v>
      </c>
      <c r="O6027" t="str">
        <f>_xlfn.XLOOKUP(Pipeline_tbl[[#This Row],[Rep_ID]],Dim_Reps!A:A,Dim_Reps!B:B)</f>
        <v>Sara Duarte</v>
      </c>
      <c r="P6027" t="str">
        <f>_xlfn.XLOOKUP(Pipeline_tbl[[#This Row],[Rep_ID]],Dim_Reps!A:A,Dim_Reps!C:C)</f>
        <v>SDR / Inside Sales Rep</v>
      </c>
      <c r="Q6027" t="str">
        <f>_xlfn.XLOOKUP(Pipeline_tbl[[#This Row],[Rep_ID]],Dim_Reps!A:A,Dim_Reps!D:D)</f>
        <v>Inside Sales</v>
      </c>
      <c r="R6027" t="str">
        <f>_xlfn.XLOOKUP(Pipeline_tbl[[#This Row],[Rep_ID]],Dim_Reps!A:A,Dim_Reps!E:E)</f>
        <v>APAC</v>
      </c>
      <c r="S6027" t="str">
        <f>_xlfn.XLOOKUP(Pipeline_tbl[[#This Row],[Created_Date]],Dim_Date!A:A,Dim_Date!H:H)</f>
        <v>Aug 2025</v>
      </c>
      <c r="T6027" t="str">
        <f>IF(Pipeline_tbl[[#This Row],[Closed_Date]]=0,"",(_xlfn.XLOOKUP(Pipeline_tbl[[#This Row],[Closed_Date]],Dim_Date!A:A,Dim_Date!H:H)))</f>
        <v>Sep 2025</v>
      </c>
      <c r="U6027">
        <f>IF(Pipeline_tbl[[#This Row],[Closed_Date]]=0,"",Pipeline_tbl[[#This Row],[Closed_Date]]-Pipeline_tbl[[#This Row],[Created_Date]])</f>
        <v>23</v>
      </c>
    </row>
    <row r="6028" spans="1:21" ht="15" customHeight="1" x14ac:dyDescent="0.2">
      <c r="A6028" t="s">
        <v>6334</v>
      </c>
      <c r="B6028" t="s">
        <v>201</v>
      </c>
      <c r="C6028" t="s">
        <v>56</v>
      </c>
      <c r="D6028" s="49">
        <v>45899</v>
      </c>
      <c r="E6028" s="49">
        <v>45900</v>
      </c>
      <c r="F6028" s="49">
        <v>45902</v>
      </c>
      <c r="G6028" s="49">
        <v>45906</v>
      </c>
      <c r="I6028" s="49">
        <v>45910</v>
      </c>
      <c r="J6028" t="s">
        <v>49</v>
      </c>
      <c r="K6028" s="33">
        <v>5000</v>
      </c>
      <c r="L6028" t="s">
        <v>61</v>
      </c>
      <c r="M6028" t="str">
        <f>_xlfn.XLOOKUP(Pipeline_tbl[[#This Row],[Rep_ID]],Dim_Reps!A:A,Dim_Reps!K:K)</f>
        <v>EUR</v>
      </c>
      <c r="N6028" s="33">
        <f>(_xlfn.XLOOKUP(Pipeline_tbl[[#This Row],[Rate_Code_Generalized]],Lookups!A:A,Lookups!B:B))*Pipeline_tbl[[#This Row],[Pipeline_Amount_USD]]</f>
        <v>5000</v>
      </c>
      <c r="O6028" t="str">
        <f>_xlfn.XLOOKUP(Pipeline_tbl[[#This Row],[Rep_ID]],Dim_Reps!A:A,Dim_Reps!B:B)</f>
        <v>Sara Duarte</v>
      </c>
      <c r="P6028" t="str">
        <f>_xlfn.XLOOKUP(Pipeline_tbl[[#This Row],[Rep_ID]],Dim_Reps!A:A,Dim_Reps!C:C)</f>
        <v>SDR / Inside Sales Rep</v>
      </c>
      <c r="Q6028" t="str">
        <f>_xlfn.XLOOKUP(Pipeline_tbl[[#This Row],[Rep_ID]],Dim_Reps!A:A,Dim_Reps!D:D)</f>
        <v>Inside Sales</v>
      </c>
      <c r="R6028" t="str">
        <f>_xlfn.XLOOKUP(Pipeline_tbl[[#This Row],[Rep_ID]],Dim_Reps!A:A,Dim_Reps!E:E)</f>
        <v>APAC</v>
      </c>
      <c r="S6028" t="str">
        <f>_xlfn.XLOOKUP(Pipeline_tbl[[#This Row],[Created_Date]],Dim_Date!A:A,Dim_Date!H:H)</f>
        <v>Aug 2025</v>
      </c>
      <c r="T6028" t="str">
        <f>IF(Pipeline_tbl[[#This Row],[Closed_Date]]=0,"",(_xlfn.XLOOKUP(Pipeline_tbl[[#This Row],[Closed_Date]],Dim_Date!A:A,Dim_Date!H:H)))</f>
        <v>Sep 2025</v>
      </c>
      <c r="U6028">
        <f>IF(Pipeline_tbl[[#This Row],[Closed_Date]]=0,"",Pipeline_tbl[[#This Row],[Closed_Date]]-Pipeline_tbl[[#This Row],[Created_Date]])</f>
        <v>11</v>
      </c>
    </row>
    <row r="6029" spans="1:21" ht="15" customHeight="1" x14ac:dyDescent="0.2">
      <c r="A6029" t="s">
        <v>6335</v>
      </c>
      <c r="B6029" t="s">
        <v>201</v>
      </c>
      <c r="C6029" t="s">
        <v>53</v>
      </c>
      <c r="D6029" s="49">
        <v>45883</v>
      </c>
      <c r="E6029" s="49">
        <v>45885</v>
      </c>
      <c r="F6029" s="49">
        <v>45888</v>
      </c>
      <c r="G6029" s="49">
        <v>45894</v>
      </c>
      <c r="I6029" s="49">
        <v>45901</v>
      </c>
      <c r="J6029" t="s">
        <v>49</v>
      </c>
      <c r="K6029" s="33">
        <v>2100</v>
      </c>
      <c r="L6029" t="s">
        <v>61</v>
      </c>
      <c r="M6029" t="str">
        <f>_xlfn.XLOOKUP(Pipeline_tbl[[#This Row],[Rep_ID]],Dim_Reps!A:A,Dim_Reps!K:K)</f>
        <v>EUR</v>
      </c>
      <c r="N6029" s="33">
        <f>(_xlfn.XLOOKUP(Pipeline_tbl[[#This Row],[Rate_Code_Generalized]],Lookups!A:A,Lookups!B:B))*Pipeline_tbl[[#This Row],[Pipeline_Amount_USD]]</f>
        <v>2100</v>
      </c>
      <c r="O6029" t="str">
        <f>_xlfn.XLOOKUP(Pipeline_tbl[[#This Row],[Rep_ID]],Dim_Reps!A:A,Dim_Reps!B:B)</f>
        <v>Sara Duarte</v>
      </c>
      <c r="P6029" t="str">
        <f>_xlfn.XLOOKUP(Pipeline_tbl[[#This Row],[Rep_ID]],Dim_Reps!A:A,Dim_Reps!C:C)</f>
        <v>SDR / Inside Sales Rep</v>
      </c>
      <c r="Q6029" t="str">
        <f>_xlfn.XLOOKUP(Pipeline_tbl[[#This Row],[Rep_ID]],Dim_Reps!A:A,Dim_Reps!D:D)</f>
        <v>Inside Sales</v>
      </c>
      <c r="R6029" t="str">
        <f>_xlfn.XLOOKUP(Pipeline_tbl[[#This Row],[Rep_ID]],Dim_Reps!A:A,Dim_Reps!E:E)</f>
        <v>APAC</v>
      </c>
      <c r="S6029" t="str">
        <f>_xlfn.XLOOKUP(Pipeline_tbl[[#This Row],[Created_Date]],Dim_Date!A:A,Dim_Date!H:H)</f>
        <v>Aug 2025</v>
      </c>
      <c r="T6029" t="str">
        <f>IF(Pipeline_tbl[[#This Row],[Closed_Date]]=0,"",(_xlfn.XLOOKUP(Pipeline_tbl[[#This Row],[Closed_Date]],Dim_Date!A:A,Dim_Date!H:H)))</f>
        <v>Sep 2025</v>
      </c>
      <c r="U6029">
        <f>IF(Pipeline_tbl[[#This Row],[Closed_Date]]=0,"",Pipeline_tbl[[#This Row],[Closed_Date]]-Pipeline_tbl[[#This Row],[Created_Date]])</f>
        <v>18</v>
      </c>
    </row>
    <row r="6030" spans="1:21" ht="15" customHeight="1" x14ac:dyDescent="0.2">
      <c r="A6030" t="s">
        <v>6336</v>
      </c>
      <c r="B6030" t="s">
        <v>201</v>
      </c>
      <c r="C6030" t="s">
        <v>54</v>
      </c>
      <c r="D6030" s="49">
        <v>45887</v>
      </c>
      <c r="E6030" s="49">
        <v>45889</v>
      </c>
      <c r="F6030" s="49">
        <v>45892</v>
      </c>
      <c r="I6030" s="49">
        <v>45902</v>
      </c>
      <c r="J6030" t="s">
        <v>49</v>
      </c>
      <c r="K6030" s="33">
        <v>2200</v>
      </c>
      <c r="L6030" t="s">
        <v>60</v>
      </c>
      <c r="M6030" t="str">
        <f>_xlfn.XLOOKUP(Pipeline_tbl[[#This Row],[Rep_ID]],Dim_Reps!A:A,Dim_Reps!K:K)</f>
        <v>EUR</v>
      </c>
      <c r="N6030" s="33">
        <f>(_xlfn.XLOOKUP(Pipeline_tbl[[#This Row],[Rate_Code_Generalized]],Lookups!A:A,Lookups!B:B))*Pipeline_tbl[[#This Row],[Pipeline_Amount_USD]]</f>
        <v>2200</v>
      </c>
      <c r="O6030" t="str">
        <f>_xlfn.XLOOKUP(Pipeline_tbl[[#This Row],[Rep_ID]],Dim_Reps!A:A,Dim_Reps!B:B)</f>
        <v>Sara Duarte</v>
      </c>
      <c r="P6030" t="str">
        <f>_xlfn.XLOOKUP(Pipeline_tbl[[#This Row],[Rep_ID]],Dim_Reps!A:A,Dim_Reps!C:C)</f>
        <v>SDR / Inside Sales Rep</v>
      </c>
      <c r="Q6030" t="str">
        <f>_xlfn.XLOOKUP(Pipeline_tbl[[#This Row],[Rep_ID]],Dim_Reps!A:A,Dim_Reps!D:D)</f>
        <v>Inside Sales</v>
      </c>
      <c r="R6030" t="str">
        <f>_xlfn.XLOOKUP(Pipeline_tbl[[#This Row],[Rep_ID]],Dim_Reps!A:A,Dim_Reps!E:E)</f>
        <v>APAC</v>
      </c>
      <c r="S6030" t="str">
        <f>_xlfn.XLOOKUP(Pipeline_tbl[[#This Row],[Created_Date]],Dim_Date!A:A,Dim_Date!H:H)</f>
        <v>Aug 2025</v>
      </c>
      <c r="T6030" t="str">
        <f>IF(Pipeline_tbl[[#This Row],[Closed_Date]]=0,"",(_xlfn.XLOOKUP(Pipeline_tbl[[#This Row],[Closed_Date]],Dim_Date!A:A,Dim_Date!H:H)))</f>
        <v>Sep 2025</v>
      </c>
      <c r="U6030">
        <f>IF(Pipeline_tbl[[#This Row],[Closed_Date]]=0,"",Pipeline_tbl[[#This Row],[Closed_Date]]-Pipeline_tbl[[#This Row],[Created_Date]])</f>
        <v>15</v>
      </c>
    </row>
    <row r="6031" spans="1:21" ht="15" customHeight="1" x14ac:dyDescent="0.2">
      <c r="A6031" t="s">
        <v>6337</v>
      </c>
      <c r="B6031" t="s">
        <v>246</v>
      </c>
      <c r="C6031" t="s">
        <v>52</v>
      </c>
      <c r="D6031" s="49">
        <v>45873</v>
      </c>
      <c r="E6031" s="49">
        <v>45877</v>
      </c>
      <c r="F6031" s="49">
        <v>45885</v>
      </c>
      <c r="G6031" s="49">
        <v>45896</v>
      </c>
      <c r="H6031" s="49">
        <v>45906</v>
      </c>
      <c r="I6031" s="49">
        <v>45912</v>
      </c>
      <c r="J6031" t="s">
        <v>49</v>
      </c>
      <c r="K6031" s="33">
        <v>20400</v>
      </c>
      <c r="L6031" t="s">
        <v>60</v>
      </c>
      <c r="M6031" t="str">
        <f>_xlfn.XLOOKUP(Pipeline_tbl[[#This Row],[Rep_ID]],Dim_Reps!A:A,Dim_Reps!K:K)</f>
        <v>EUR</v>
      </c>
      <c r="N6031" s="33">
        <f>(_xlfn.XLOOKUP(Pipeline_tbl[[#This Row],[Rate_Code_Generalized]],Lookups!A:A,Lookups!B:B))*Pipeline_tbl[[#This Row],[Pipeline_Amount_USD]]</f>
        <v>20400</v>
      </c>
      <c r="O6031" t="str">
        <f>_xlfn.XLOOKUP(Pipeline_tbl[[#This Row],[Rep_ID]],Dim_Reps!A:A,Dim_Reps!B:B)</f>
        <v>Karim Rivera</v>
      </c>
      <c r="P6031" t="str">
        <f>_xlfn.XLOOKUP(Pipeline_tbl[[#This Row],[Rep_ID]],Dim_Reps!A:A,Dim_Reps!C:C)</f>
        <v>Mid-Market AE</v>
      </c>
      <c r="Q6031" t="str">
        <f>_xlfn.XLOOKUP(Pipeline_tbl[[#This Row],[Rep_ID]],Dim_Reps!A:A,Dim_Reps!D:D)</f>
        <v>Mid-Market</v>
      </c>
      <c r="R6031" t="str">
        <f>_xlfn.XLOOKUP(Pipeline_tbl[[#This Row],[Rep_ID]],Dim_Reps!A:A,Dim_Reps!E:E)</f>
        <v>APAC</v>
      </c>
      <c r="S6031" t="str">
        <f>_xlfn.XLOOKUP(Pipeline_tbl[[#This Row],[Created_Date]],Dim_Date!A:A,Dim_Date!H:H)</f>
        <v>Aug 2025</v>
      </c>
      <c r="T6031" t="str">
        <f>IF(Pipeline_tbl[[#This Row],[Closed_Date]]=0,"",(_xlfn.XLOOKUP(Pipeline_tbl[[#This Row],[Closed_Date]],Dim_Date!A:A,Dim_Date!H:H)))</f>
        <v>Sep 2025</v>
      </c>
      <c r="U6031">
        <f>IF(Pipeline_tbl[[#This Row],[Closed_Date]]=0,"",Pipeline_tbl[[#This Row],[Closed_Date]]-Pipeline_tbl[[#This Row],[Created_Date]])</f>
        <v>39</v>
      </c>
    </row>
    <row r="6032" spans="1:21" ht="15" customHeight="1" x14ac:dyDescent="0.2">
      <c r="A6032" t="s">
        <v>6338</v>
      </c>
      <c r="B6032" t="s">
        <v>203</v>
      </c>
      <c r="C6032" t="s">
        <v>52</v>
      </c>
      <c r="D6032" s="49">
        <v>45896</v>
      </c>
      <c r="E6032" s="49">
        <v>45898</v>
      </c>
      <c r="F6032" s="49">
        <v>45901</v>
      </c>
      <c r="G6032" s="49">
        <v>45905</v>
      </c>
      <c r="H6032" s="49">
        <v>45909</v>
      </c>
      <c r="I6032" s="49">
        <v>45911</v>
      </c>
      <c r="J6032" t="s">
        <v>49</v>
      </c>
      <c r="K6032" s="33">
        <v>10200</v>
      </c>
      <c r="L6032" t="s">
        <v>60</v>
      </c>
      <c r="M6032" t="str">
        <f>_xlfn.XLOOKUP(Pipeline_tbl[[#This Row],[Rep_ID]],Dim_Reps!A:A,Dim_Reps!K:K)</f>
        <v>EUR</v>
      </c>
      <c r="N6032" s="33">
        <f>(_xlfn.XLOOKUP(Pipeline_tbl[[#This Row],[Rate_Code_Generalized]],Lookups!A:A,Lookups!B:B))*Pipeline_tbl[[#This Row],[Pipeline_Amount_USD]]</f>
        <v>10200</v>
      </c>
      <c r="O6032" t="str">
        <f>_xlfn.XLOOKUP(Pipeline_tbl[[#This Row],[Rep_ID]],Dim_Reps!A:A,Dim_Reps!B:B)</f>
        <v>Riley Haddad</v>
      </c>
      <c r="P6032" t="str">
        <f>_xlfn.XLOOKUP(Pipeline_tbl[[#This Row],[Rep_ID]],Dim_Reps!A:A,Dim_Reps!C:C)</f>
        <v>SDR / Inside Sales Rep</v>
      </c>
      <c r="Q6032" t="str">
        <f>_xlfn.XLOOKUP(Pipeline_tbl[[#This Row],[Rep_ID]],Dim_Reps!A:A,Dim_Reps!D:D)</f>
        <v>Inside Sales</v>
      </c>
      <c r="R6032" t="str">
        <f>_xlfn.XLOOKUP(Pipeline_tbl[[#This Row],[Rep_ID]],Dim_Reps!A:A,Dim_Reps!E:E)</f>
        <v>APAC</v>
      </c>
      <c r="S6032" t="str">
        <f>_xlfn.XLOOKUP(Pipeline_tbl[[#This Row],[Created_Date]],Dim_Date!A:A,Dim_Date!H:H)</f>
        <v>Aug 2025</v>
      </c>
      <c r="T6032" t="str">
        <f>IF(Pipeline_tbl[[#This Row],[Closed_Date]]=0,"",(_xlfn.XLOOKUP(Pipeline_tbl[[#This Row],[Closed_Date]],Dim_Date!A:A,Dim_Date!H:H)))</f>
        <v>Sep 2025</v>
      </c>
      <c r="U6032">
        <f>IF(Pipeline_tbl[[#This Row],[Closed_Date]]=0,"",Pipeline_tbl[[#This Row],[Closed_Date]]-Pipeline_tbl[[#This Row],[Created_Date]])</f>
        <v>15</v>
      </c>
    </row>
    <row r="6033" spans="1:21" ht="15" customHeight="1" x14ac:dyDescent="0.2">
      <c r="A6033" t="s">
        <v>6339</v>
      </c>
      <c r="B6033" t="s">
        <v>203</v>
      </c>
      <c r="C6033" t="s">
        <v>53</v>
      </c>
      <c r="D6033" s="49">
        <v>45891</v>
      </c>
      <c r="E6033" s="49">
        <v>45894</v>
      </c>
      <c r="F6033" s="49">
        <v>45899</v>
      </c>
      <c r="G6033" s="49">
        <v>45907</v>
      </c>
      <c r="H6033" s="49">
        <v>45913</v>
      </c>
      <c r="I6033" s="49">
        <v>45917</v>
      </c>
      <c r="J6033" t="s">
        <v>47</v>
      </c>
      <c r="K6033" s="33">
        <v>2700</v>
      </c>
      <c r="M6033" t="str">
        <f>_xlfn.XLOOKUP(Pipeline_tbl[[#This Row],[Rep_ID]],Dim_Reps!A:A,Dim_Reps!K:K)</f>
        <v>EUR</v>
      </c>
      <c r="N6033" s="33">
        <f>(_xlfn.XLOOKUP(Pipeline_tbl[[#This Row],[Rate_Code_Generalized]],Lookups!A:A,Lookups!B:B))*Pipeline_tbl[[#This Row],[Pipeline_Amount_USD]]</f>
        <v>2700</v>
      </c>
      <c r="O6033" t="str">
        <f>_xlfn.XLOOKUP(Pipeline_tbl[[#This Row],[Rep_ID]],Dim_Reps!A:A,Dim_Reps!B:B)</f>
        <v>Riley Haddad</v>
      </c>
      <c r="P6033" t="str">
        <f>_xlfn.XLOOKUP(Pipeline_tbl[[#This Row],[Rep_ID]],Dim_Reps!A:A,Dim_Reps!C:C)</f>
        <v>SDR / Inside Sales Rep</v>
      </c>
      <c r="Q6033" t="str">
        <f>_xlfn.XLOOKUP(Pipeline_tbl[[#This Row],[Rep_ID]],Dim_Reps!A:A,Dim_Reps!D:D)</f>
        <v>Inside Sales</v>
      </c>
      <c r="R6033" t="str">
        <f>_xlfn.XLOOKUP(Pipeline_tbl[[#This Row],[Rep_ID]],Dim_Reps!A:A,Dim_Reps!E:E)</f>
        <v>APAC</v>
      </c>
      <c r="S6033" t="str">
        <f>_xlfn.XLOOKUP(Pipeline_tbl[[#This Row],[Created_Date]],Dim_Date!A:A,Dim_Date!H:H)</f>
        <v>Aug 2025</v>
      </c>
      <c r="T6033" t="str">
        <f>IF(Pipeline_tbl[[#This Row],[Closed_Date]]=0,"",(_xlfn.XLOOKUP(Pipeline_tbl[[#This Row],[Closed_Date]],Dim_Date!A:A,Dim_Date!H:H)))</f>
        <v>Sep 2025</v>
      </c>
      <c r="U6033">
        <f>IF(Pipeline_tbl[[#This Row],[Closed_Date]]=0,"",Pipeline_tbl[[#This Row],[Closed_Date]]-Pipeline_tbl[[#This Row],[Created_Date]])</f>
        <v>26</v>
      </c>
    </row>
    <row r="6034" spans="1:21" ht="15" customHeight="1" x14ac:dyDescent="0.2">
      <c r="A6034" t="s">
        <v>6340</v>
      </c>
      <c r="B6034" t="s">
        <v>203</v>
      </c>
      <c r="C6034" t="s">
        <v>55</v>
      </c>
      <c r="D6034" s="49">
        <v>45888</v>
      </c>
      <c r="E6034" s="49">
        <v>45890</v>
      </c>
      <c r="F6034" s="49">
        <v>45894</v>
      </c>
      <c r="G6034" s="49">
        <v>45899</v>
      </c>
      <c r="H6034" s="49">
        <v>45904</v>
      </c>
      <c r="I6034" s="49">
        <v>45907</v>
      </c>
      <c r="J6034" t="s">
        <v>47</v>
      </c>
      <c r="K6034" s="33">
        <v>3100</v>
      </c>
      <c r="M6034" t="str">
        <f>_xlfn.XLOOKUP(Pipeline_tbl[[#This Row],[Rep_ID]],Dim_Reps!A:A,Dim_Reps!K:K)</f>
        <v>EUR</v>
      </c>
      <c r="N6034" s="33">
        <f>(_xlfn.XLOOKUP(Pipeline_tbl[[#This Row],[Rate_Code_Generalized]],Lookups!A:A,Lookups!B:B))*Pipeline_tbl[[#This Row],[Pipeline_Amount_USD]]</f>
        <v>3100</v>
      </c>
      <c r="O6034" t="str">
        <f>_xlfn.XLOOKUP(Pipeline_tbl[[#This Row],[Rep_ID]],Dim_Reps!A:A,Dim_Reps!B:B)</f>
        <v>Riley Haddad</v>
      </c>
      <c r="P6034" t="str">
        <f>_xlfn.XLOOKUP(Pipeline_tbl[[#This Row],[Rep_ID]],Dim_Reps!A:A,Dim_Reps!C:C)</f>
        <v>SDR / Inside Sales Rep</v>
      </c>
      <c r="Q6034" t="str">
        <f>_xlfn.XLOOKUP(Pipeline_tbl[[#This Row],[Rep_ID]],Dim_Reps!A:A,Dim_Reps!D:D)</f>
        <v>Inside Sales</v>
      </c>
      <c r="R6034" t="str">
        <f>_xlfn.XLOOKUP(Pipeline_tbl[[#This Row],[Rep_ID]],Dim_Reps!A:A,Dim_Reps!E:E)</f>
        <v>APAC</v>
      </c>
      <c r="S6034" t="str">
        <f>_xlfn.XLOOKUP(Pipeline_tbl[[#This Row],[Created_Date]],Dim_Date!A:A,Dim_Date!H:H)</f>
        <v>Aug 2025</v>
      </c>
      <c r="T6034" t="str">
        <f>IF(Pipeline_tbl[[#This Row],[Closed_Date]]=0,"",(_xlfn.XLOOKUP(Pipeline_tbl[[#This Row],[Closed_Date]],Dim_Date!A:A,Dim_Date!H:H)))</f>
        <v>Sep 2025</v>
      </c>
      <c r="U6034">
        <f>IF(Pipeline_tbl[[#This Row],[Closed_Date]]=0,"",Pipeline_tbl[[#This Row],[Closed_Date]]-Pipeline_tbl[[#This Row],[Created_Date]])</f>
        <v>19</v>
      </c>
    </row>
    <row r="6035" spans="1:21" ht="15" customHeight="1" x14ac:dyDescent="0.2">
      <c r="A6035" t="s">
        <v>6341</v>
      </c>
      <c r="B6035" t="s">
        <v>203</v>
      </c>
      <c r="C6035" t="s">
        <v>52</v>
      </c>
      <c r="D6035" s="49">
        <v>45897</v>
      </c>
      <c r="E6035" s="49">
        <v>45899</v>
      </c>
      <c r="F6035" s="49">
        <v>45902</v>
      </c>
      <c r="G6035" s="49">
        <v>45906</v>
      </c>
      <c r="H6035" s="49">
        <v>45910</v>
      </c>
      <c r="I6035" s="49">
        <v>45912</v>
      </c>
      <c r="J6035" t="s">
        <v>47</v>
      </c>
      <c r="K6035" s="33">
        <v>4800</v>
      </c>
      <c r="M6035" t="str">
        <f>_xlfn.XLOOKUP(Pipeline_tbl[[#This Row],[Rep_ID]],Dim_Reps!A:A,Dim_Reps!K:K)</f>
        <v>EUR</v>
      </c>
      <c r="N6035" s="33">
        <f>(_xlfn.XLOOKUP(Pipeline_tbl[[#This Row],[Rate_Code_Generalized]],Lookups!A:A,Lookups!B:B))*Pipeline_tbl[[#This Row],[Pipeline_Amount_USD]]</f>
        <v>4800</v>
      </c>
      <c r="O6035" t="str">
        <f>_xlfn.XLOOKUP(Pipeline_tbl[[#This Row],[Rep_ID]],Dim_Reps!A:A,Dim_Reps!B:B)</f>
        <v>Riley Haddad</v>
      </c>
      <c r="P6035" t="str">
        <f>_xlfn.XLOOKUP(Pipeline_tbl[[#This Row],[Rep_ID]],Dim_Reps!A:A,Dim_Reps!C:C)</f>
        <v>SDR / Inside Sales Rep</v>
      </c>
      <c r="Q6035" t="str">
        <f>_xlfn.XLOOKUP(Pipeline_tbl[[#This Row],[Rep_ID]],Dim_Reps!A:A,Dim_Reps!D:D)</f>
        <v>Inside Sales</v>
      </c>
      <c r="R6035" t="str">
        <f>_xlfn.XLOOKUP(Pipeline_tbl[[#This Row],[Rep_ID]],Dim_Reps!A:A,Dim_Reps!E:E)</f>
        <v>APAC</v>
      </c>
      <c r="S6035" t="str">
        <f>_xlfn.XLOOKUP(Pipeline_tbl[[#This Row],[Created_Date]],Dim_Date!A:A,Dim_Date!H:H)</f>
        <v>Aug 2025</v>
      </c>
      <c r="T6035" t="str">
        <f>IF(Pipeline_tbl[[#This Row],[Closed_Date]]=0,"",(_xlfn.XLOOKUP(Pipeline_tbl[[#This Row],[Closed_Date]],Dim_Date!A:A,Dim_Date!H:H)))</f>
        <v>Sep 2025</v>
      </c>
      <c r="U6035">
        <f>IF(Pipeline_tbl[[#This Row],[Closed_Date]]=0,"",Pipeline_tbl[[#This Row],[Closed_Date]]-Pipeline_tbl[[#This Row],[Created_Date]])</f>
        <v>15</v>
      </c>
    </row>
    <row r="6036" spans="1:21" ht="15" customHeight="1" x14ac:dyDescent="0.2">
      <c r="A6036" t="s">
        <v>6342</v>
      </c>
      <c r="B6036" t="s">
        <v>203</v>
      </c>
      <c r="C6036" t="s">
        <v>52</v>
      </c>
      <c r="D6036" s="49">
        <v>45891</v>
      </c>
      <c r="E6036" s="49">
        <v>45892</v>
      </c>
      <c r="F6036" s="49">
        <v>45895</v>
      </c>
      <c r="G6036" s="49">
        <v>45899</v>
      </c>
      <c r="H6036" s="49">
        <v>45903</v>
      </c>
      <c r="I6036" s="49">
        <v>45905</v>
      </c>
      <c r="J6036" t="s">
        <v>47</v>
      </c>
      <c r="K6036" s="33">
        <v>2400</v>
      </c>
      <c r="M6036" t="str">
        <f>_xlfn.XLOOKUP(Pipeline_tbl[[#This Row],[Rep_ID]],Dim_Reps!A:A,Dim_Reps!K:K)</f>
        <v>EUR</v>
      </c>
      <c r="N6036" s="33">
        <f>(_xlfn.XLOOKUP(Pipeline_tbl[[#This Row],[Rate_Code_Generalized]],Lookups!A:A,Lookups!B:B))*Pipeline_tbl[[#This Row],[Pipeline_Amount_USD]]</f>
        <v>2400</v>
      </c>
      <c r="O6036" t="str">
        <f>_xlfn.XLOOKUP(Pipeline_tbl[[#This Row],[Rep_ID]],Dim_Reps!A:A,Dim_Reps!B:B)</f>
        <v>Riley Haddad</v>
      </c>
      <c r="P6036" t="str">
        <f>_xlfn.XLOOKUP(Pipeline_tbl[[#This Row],[Rep_ID]],Dim_Reps!A:A,Dim_Reps!C:C)</f>
        <v>SDR / Inside Sales Rep</v>
      </c>
      <c r="Q6036" t="str">
        <f>_xlfn.XLOOKUP(Pipeline_tbl[[#This Row],[Rep_ID]],Dim_Reps!A:A,Dim_Reps!D:D)</f>
        <v>Inside Sales</v>
      </c>
      <c r="R6036" t="str">
        <f>_xlfn.XLOOKUP(Pipeline_tbl[[#This Row],[Rep_ID]],Dim_Reps!A:A,Dim_Reps!E:E)</f>
        <v>APAC</v>
      </c>
      <c r="S6036" t="str">
        <f>_xlfn.XLOOKUP(Pipeline_tbl[[#This Row],[Created_Date]],Dim_Date!A:A,Dim_Date!H:H)</f>
        <v>Aug 2025</v>
      </c>
      <c r="T6036" t="str">
        <f>IF(Pipeline_tbl[[#This Row],[Closed_Date]]=0,"",(_xlfn.XLOOKUP(Pipeline_tbl[[#This Row],[Closed_Date]],Dim_Date!A:A,Dim_Date!H:H)))</f>
        <v>Sep 2025</v>
      </c>
      <c r="U6036">
        <f>IF(Pipeline_tbl[[#This Row],[Closed_Date]]=0,"",Pipeline_tbl[[#This Row],[Closed_Date]]-Pipeline_tbl[[#This Row],[Created_Date]])</f>
        <v>14</v>
      </c>
    </row>
    <row r="6037" spans="1:21" ht="15" customHeight="1" x14ac:dyDescent="0.2">
      <c r="A6037" t="s">
        <v>6343</v>
      </c>
      <c r="B6037" t="s">
        <v>203</v>
      </c>
      <c r="C6037" t="s">
        <v>54</v>
      </c>
      <c r="D6037" s="49">
        <v>45894</v>
      </c>
      <c r="E6037" s="49">
        <v>45896</v>
      </c>
      <c r="I6037" s="49">
        <v>45912</v>
      </c>
      <c r="J6037" t="s">
        <v>49</v>
      </c>
      <c r="K6037" s="33">
        <v>3300</v>
      </c>
      <c r="L6037" t="s">
        <v>61</v>
      </c>
      <c r="M6037" t="str">
        <f>_xlfn.XLOOKUP(Pipeline_tbl[[#This Row],[Rep_ID]],Dim_Reps!A:A,Dim_Reps!K:K)</f>
        <v>EUR</v>
      </c>
      <c r="N6037" s="33">
        <f>(_xlfn.XLOOKUP(Pipeline_tbl[[#This Row],[Rate_Code_Generalized]],Lookups!A:A,Lookups!B:B))*Pipeline_tbl[[#This Row],[Pipeline_Amount_USD]]</f>
        <v>3300</v>
      </c>
      <c r="O6037" t="str">
        <f>_xlfn.XLOOKUP(Pipeline_tbl[[#This Row],[Rep_ID]],Dim_Reps!A:A,Dim_Reps!B:B)</f>
        <v>Riley Haddad</v>
      </c>
      <c r="P6037" t="str">
        <f>_xlfn.XLOOKUP(Pipeline_tbl[[#This Row],[Rep_ID]],Dim_Reps!A:A,Dim_Reps!C:C)</f>
        <v>SDR / Inside Sales Rep</v>
      </c>
      <c r="Q6037" t="str">
        <f>_xlfn.XLOOKUP(Pipeline_tbl[[#This Row],[Rep_ID]],Dim_Reps!A:A,Dim_Reps!D:D)</f>
        <v>Inside Sales</v>
      </c>
      <c r="R6037" t="str">
        <f>_xlfn.XLOOKUP(Pipeline_tbl[[#This Row],[Rep_ID]],Dim_Reps!A:A,Dim_Reps!E:E)</f>
        <v>APAC</v>
      </c>
      <c r="S6037" t="str">
        <f>_xlfn.XLOOKUP(Pipeline_tbl[[#This Row],[Created_Date]],Dim_Date!A:A,Dim_Date!H:H)</f>
        <v>Aug 2025</v>
      </c>
      <c r="T6037" t="str">
        <f>IF(Pipeline_tbl[[#This Row],[Closed_Date]]=0,"",(_xlfn.XLOOKUP(Pipeline_tbl[[#This Row],[Closed_Date]],Dim_Date!A:A,Dim_Date!H:H)))</f>
        <v>Sep 2025</v>
      </c>
      <c r="U6037">
        <f>IF(Pipeline_tbl[[#This Row],[Closed_Date]]=0,"",Pipeline_tbl[[#This Row],[Closed_Date]]-Pipeline_tbl[[#This Row],[Created_Date]])</f>
        <v>18</v>
      </c>
    </row>
    <row r="6038" spans="1:21" ht="15" customHeight="1" x14ac:dyDescent="0.2">
      <c r="A6038" t="s">
        <v>6344</v>
      </c>
      <c r="B6038" t="s">
        <v>203</v>
      </c>
      <c r="C6038" t="s">
        <v>54</v>
      </c>
      <c r="D6038" s="49">
        <v>45893</v>
      </c>
      <c r="E6038" s="49">
        <v>45895</v>
      </c>
      <c r="F6038" s="49">
        <v>45900</v>
      </c>
      <c r="G6038" s="49">
        <v>45907</v>
      </c>
      <c r="H6038" s="49">
        <v>45913</v>
      </c>
      <c r="I6038" s="49">
        <v>45916</v>
      </c>
      <c r="J6038" t="s">
        <v>49</v>
      </c>
      <c r="K6038" s="33">
        <v>5600</v>
      </c>
      <c r="L6038" t="s">
        <v>60</v>
      </c>
      <c r="M6038" t="str">
        <f>_xlfn.XLOOKUP(Pipeline_tbl[[#This Row],[Rep_ID]],Dim_Reps!A:A,Dim_Reps!K:K)</f>
        <v>EUR</v>
      </c>
      <c r="N6038" s="33">
        <f>(_xlfn.XLOOKUP(Pipeline_tbl[[#This Row],[Rate_Code_Generalized]],Lookups!A:A,Lookups!B:B))*Pipeline_tbl[[#This Row],[Pipeline_Amount_USD]]</f>
        <v>5600</v>
      </c>
      <c r="O6038" t="str">
        <f>_xlfn.XLOOKUP(Pipeline_tbl[[#This Row],[Rep_ID]],Dim_Reps!A:A,Dim_Reps!B:B)</f>
        <v>Riley Haddad</v>
      </c>
      <c r="P6038" t="str">
        <f>_xlfn.XLOOKUP(Pipeline_tbl[[#This Row],[Rep_ID]],Dim_Reps!A:A,Dim_Reps!C:C)</f>
        <v>SDR / Inside Sales Rep</v>
      </c>
      <c r="Q6038" t="str">
        <f>_xlfn.XLOOKUP(Pipeline_tbl[[#This Row],[Rep_ID]],Dim_Reps!A:A,Dim_Reps!D:D)</f>
        <v>Inside Sales</v>
      </c>
      <c r="R6038" t="str">
        <f>_xlfn.XLOOKUP(Pipeline_tbl[[#This Row],[Rep_ID]],Dim_Reps!A:A,Dim_Reps!E:E)</f>
        <v>APAC</v>
      </c>
      <c r="S6038" t="str">
        <f>_xlfn.XLOOKUP(Pipeline_tbl[[#This Row],[Created_Date]],Dim_Date!A:A,Dim_Date!H:H)</f>
        <v>Aug 2025</v>
      </c>
      <c r="T6038" t="str">
        <f>IF(Pipeline_tbl[[#This Row],[Closed_Date]]=0,"",(_xlfn.XLOOKUP(Pipeline_tbl[[#This Row],[Closed_Date]],Dim_Date!A:A,Dim_Date!H:H)))</f>
        <v>Sep 2025</v>
      </c>
      <c r="U6038">
        <f>IF(Pipeline_tbl[[#This Row],[Closed_Date]]=0,"",Pipeline_tbl[[#This Row],[Closed_Date]]-Pipeline_tbl[[#This Row],[Created_Date]])</f>
        <v>23</v>
      </c>
    </row>
    <row r="6039" spans="1:21" ht="15" customHeight="1" x14ac:dyDescent="0.2">
      <c r="A6039" t="s">
        <v>6345</v>
      </c>
      <c r="B6039" t="s">
        <v>203</v>
      </c>
      <c r="C6039" t="s">
        <v>53</v>
      </c>
      <c r="D6039" s="49">
        <v>45899</v>
      </c>
      <c r="E6039" s="49">
        <v>45901</v>
      </c>
      <c r="F6039" s="49">
        <v>45904</v>
      </c>
      <c r="G6039" s="49">
        <v>45910</v>
      </c>
      <c r="H6039" s="49">
        <v>45914</v>
      </c>
      <c r="I6039" s="49">
        <v>45917</v>
      </c>
      <c r="J6039" t="s">
        <v>49</v>
      </c>
      <c r="K6039" s="33">
        <v>8500</v>
      </c>
      <c r="L6039" t="s">
        <v>62</v>
      </c>
      <c r="M6039" t="str">
        <f>_xlfn.XLOOKUP(Pipeline_tbl[[#This Row],[Rep_ID]],Dim_Reps!A:A,Dim_Reps!K:K)</f>
        <v>EUR</v>
      </c>
      <c r="N6039" s="33">
        <f>(_xlfn.XLOOKUP(Pipeline_tbl[[#This Row],[Rate_Code_Generalized]],Lookups!A:A,Lookups!B:B))*Pipeline_tbl[[#This Row],[Pipeline_Amount_USD]]</f>
        <v>8500</v>
      </c>
      <c r="O6039" t="str">
        <f>_xlfn.XLOOKUP(Pipeline_tbl[[#This Row],[Rep_ID]],Dim_Reps!A:A,Dim_Reps!B:B)</f>
        <v>Riley Haddad</v>
      </c>
      <c r="P6039" t="str">
        <f>_xlfn.XLOOKUP(Pipeline_tbl[[#This Row],[Rep_ID]],Dim_Reps!A:A,Dim_Reps!C:C)</f>
        <v>SDR / Inside Sales Rep</v>
      </c>
      <c r="Q6039" t="str">
        <f>_xlfn.XLOOKUP(Pipeline_tbl[[#This Row],[Rep_ID]],Dim_Reps!A:A,Dim_Reps!D:D)</f>
        <v>Inside Sales</v>
      </c>
      <c r="R6039" t="str">
        <f>_xlfn.XLOOKUP(Pipeline_tbl[[#This Row],[Rep_ID]],Dim_Reps!A:A,Dim_Reps!E:E)</f>
        <v>APAC</v>
      </c>
      <c r="S6039" t="str">
        <f>_xlfn.XLOOKUP(Pipeline_tbl[[#This Row],[Created_Date]],Dim_Date!A:A,Dim_Date!H:H)</f>
        <v>Aug 2025</v>
      </c>
      <c r="T6039" t="str">
        <f>IF(Pipeline_tbl[[#This Row],[Closed_Date]]=0,"",(_xlfn.XLOOKUP(Pipeline_tbl[[#This Row],[Closed_Date]],Dim_Date!A:A,Dim_Date!H:H)))</f>
        <v>Sep 2025</v>
      </c>
      <c r="U6039">
        <f>IF(Pipeline_tbl[[#This Row],[Closed_Date]]=0,"",Pipeline_tbl[[#This Row],[Closed_Date]]-Pipeline_tbl[[#This Row],[Created_Date]])</f>
        <v>18</v>
      </c>
    </row>
    <row r="6040" spans="1:21" ht="15" customHeight="1" x14ac:dyDescent="0.2">
      <c r="A6040" t="s">
        <v>6346</v>
      </c>
      <c r="B6040" t="s">
        <v>203</v>
      </c>
      <c r="C6040" t="s">
        <v>56</v>
      </c>
      <c r="D6040" s="49">
        <v>45889</v>
      </c>
      <c r="E6040" s="49">
        <v>45890</v>
      </c>
      <c r="F6040" s="49">
        <v>45893</v>
      </c>
      <c r="G6040" s="49">
        <v>45897</v>
      </c>
      <c r="H6040" s="49">
        <v>45901</v>
      </c>
      <c r="I6040" s="49">
        <v>45903</v>
      </c>
      <c r="J6040" t="s">
        <v>47</v>
      </c>
      <c r="K6040" s="33">
        <v>3300</v>
      </c>
      <c r="M6040" t="str">
        <f>_xlfn.XLOOKUP(Pipeline_tbl[[#This Row],[Rep_ID]],Dim_Reps!A:A,Dim_Reps!K:K)</f>
        <v>EUR</v>
      </c>
      <c r="N6040" s="33">
        <f>(_xlfn.XLOOKUP(Pipeline_tbl[[#This Row],[Rate_Code_Generalized]],Lookups!A:A,Lookups!B:B))*Pipeline_tbl[[#This Row],[Pipeline_Amount_USD]]</f>
        <v>3300</v>
      </c>
      <c r="O6040" t="str">
        <f>_xlfn.XLOOKUP(Pipeline_tbl[[#This Row],[Rep_ID]],Dim_Reps!A:A,Dim_Reps!B:B)</f>
        <v>Riley Haddad</v>
      </c>
      <c r="P6040" t="str">
        <f>_xlfn.XLOOKUP(Pipeline_tbl[[#This Row],[Rep_ID]],Dim_Reps!A:A,Dim_Reps!C:C)</f>
        <v>SDR / Inside Sales Rep</v>
      </c>
      <c r="Q6040" t="str">
        <f>_xlfn.XLOOKUP(Pipeline_tbl[[#This Row],[Rep_ID]],Dim_Reps!A:A,Dim_Reps!D:D)</f>
        <v>Inside Sales</v>
      </c>
      <c r="R6040" t="str">
        <f>_xlfn.XLOOKUP(Pipeline_tbl[[#This Row],[Rep_ID]],Dim_Reps!A:A,Dim_Reps!E:E)</f>
        <v>APAC</v>
      </c>
      <c r="S6040" t="str">
        <f>_xlfn.XLOOKUP(Pipeline_tbl[[#This Row],[Created_Date]],Dim_Date!A:A,Dim_Date!H:H)</f>
        <v>Aug 2025</v>
      </c>
      <c r="T6040" t="str">
        <f>IF(Pipeline_tbl[[#This Row],[Closed_Date]]=0,"",(_xlfn.XLOOKUP(Pipeline_tbl[[#This Row],[Closed_Date]],Dim_Date!A:A,Dim_Date!H:H)))</f>
        <v>Sep 2025</v>
      </c>
      <c r="U6040">
        <f>IF(Pipeline_tbl[[#This Row],[Closed_Date]]=0,"",Pipeline_tbl[[#This Row],[Closed_Date]]-Pipeline_tbl[[#This Row],[Created_Date]])</f>
        <v>14</v>
      </c>
    </row>
    <row r="6041" spans="1:21" ht="15" customHeight="1" x14ac:dyDescent="0.2">
      <c r="A6041" t="s">
        <v>6347</v>
      </c>
      <c r="B6041" t="s">
        <v>203</v>
      </c>
      <c r="C6041" t="s">
        <v>52</v>
      </c>
      <c r="D6041" s="49">
        <v>45893</v>
      </c>
      <c r="E6041" s="49">
        <v>45895</v>
      </c>
      <c r="I6041" s="49">
        <v>45911</v>
      </c>
      <c r="J6041" t="s">
        <v>49</v>
      </c>
      <c r="K6041" s="33">
        <v>5200</v>
      </c>
      <c r="L6041" t="s">
        <v>60</v>
      </c>
      <c r="M6041" t="str">
        <f>_xlfn.XLOOKUP(Pipeline_tbl[[#This Row],[Rep_ID]],Dim_Reps!A:A,Dim_Reps!K:K)</f>
        <v>EUR</v>
      </c>
      <c r="N6041" s="33">
        <f>(_xlfn.XLOOKUP(Pipeline_tbl[[#This Row],[Rate_Code_Generalized]],Lookups!A:A,Lookups!B:B))*Pipeline_tbl[[#This Row],[Pipeline_Amount_USD]]</f>
        <v>5200</v>
      </c>
      <c r="O6041" t="str">
        <f>_xlfn.XLOOKUP(Pipeline_tbl[[#This Row],[Rep_ID]],Dim_Reps!A:A,Dim_Reps!B:B)</f>
        <v>Riley Haddad</v>
      </c>
      <c r="P6041" t="str">
        <f>_xlfn.XLOOKUP(Pipeline_tbl[[#This Row],[Rep_ID]],Dim_Reps!A:A,Dim_Reps!C:C)</f>
        <v>SDR / Inside Sales Rep</v>
      </c>
      <c r="Q6041" t="str">
        <f>_xlfn.XLOOKUP(Pipeline_tbl[[#This Row],[Rep_ID]],Dim_Reps!A:A,Dim_Reps!D:D)</f>
        <v>Inside Sales</v>
      </c>
      <c r="R6041" t="str">
        <f>_xlfn.XLOOKUP(Pipeline_tbl[[#This Row],[Rep_ID]],Dim_Reps!A:A,Dim_Reps!E:E)</f>
        <v>APAC</v>
      </c>
      <c r="S6041" t="str">
        <f>_xlfn.XLOOKUP(Pipeline_tbl[[#This Row],[Created_Date]],Dim_Date!A:A,Dim_Date!H:H)</f>
        <v>Aug 2025</v>
      </c>
      <c r="T6041" t="str">
        <f>IF(Pipeline_tbl[[#This Row],[Closed_Date]]=0,"",(_xlfn.XLOOKUP(Pipeline_tbl[[#This Row],[Closed_Date]],Dim_Date!A:A,Dim_Date!H:H)))</f>
        <v>Sep 2025</v>
      </c>
      <c r="U6041">
        <f>IF(Pipeline_tbl[[#This Row],[Closed_Date]]=0,"",Pipeline_tbl[[#This Row],[Closed_Date]]-Pipeline_tbl[[#This Row],[Created_Date]])</f>
        <v>18</v>
      </c>
    </row>
    <row r="6042" spans="1:21" ht="15" customHeight="1" x14ac:dyDescent="0.2">
      <c r="A6042" t="s">
        <v>6348</v>
      </c>
      <c r="B6042" t="s">
        <v>203</v>
      </c>
      <c r="C6042" t="s">
        <v>53</v>
      </c>
      <c r="D6042" s="49">
        <v>45885</v>
      </c>
      <c r="E6042" s="49">
        <v>45887</v>
      </c>
      <c r="F6042" s="49">
        <v>45891</v>
      </c>
      <c r="G6042" s="49">
        <v>45896</v>
      </c>
      <c r="I6042" s="49">
        <v>45904</v>
      </c>
      <c r="J6042" t="s">
        <v>49</v>
      </c>
      <c r="K6042" s="33">
        <v>1600</v>
      </c>
      <c r="L6042" t="s">
        <v>64</v>
      </c>
      <c r="M6042" t="str">
        <f>_xlfn.XLOOKUP(Pipeline_tbl[[#This Row],[Rep_ID]],Dim_Reps!A:A,Dim_Reps!K:K)</f>
        <v>EUR</v>
      </c>
      <c r="N6042" s="33">
        <f>(_xlfn.XLOOKUP(Pipeline_tbl[[#This Row],[Rate_Code_Generalized]],Lookups!A:A,Lookups!B:B))*Pipeline_tbl[[#This Row],[Pipeline_Amount_USD]]</f>
        <v>1600</v>
      </c>
      <c r="O6042" t="str">
        <f>_xlfn.XLOOKUP(Pipeline_tbl[[#This Row],[Rep_ID]],Dim_Reps!A:A,Dim_Reps!B:B)</f>
        <v>Riley Haddad</v>
      </c>
      <c r="P6042" t="str">
        <f>_xlfn.XLOOKUP(Pipeline_tbl[[#This Row],[Rep_ID]],Dim_Reps!A:A,Dim_Reps!C:C)</f>
        <v>SDR / Inside Sales Rep</v>
      </c>
      <c r="Q6042" t="str">
        <f>_xlfn.XLOOKUP(Pipeline_tbl[[#This Row],[Rep_ID]],Dim_Reps!A:A,Dim_Reps!D:D)</f>
        <v>Inside Sales</v>
      </c>
      <c r="R6042" t="str">
        <f>_xlfn.XLOOKUP(Pipeline_tbl[[#This Row],[Rep_ID]],Dim_Reps!A:A,Dim_Reps!E:E)</f>
        <v>APAC</v>
      </c>
      <c r="S6042" t="str">
        <f>_xlfn.XLOOKUP(Pipeline_tbl[[#This Row],[Created_Date]],Dim_Date!A:A,Dim_Date!H:H)</f>
        <v>Aug 2025</v>
      </c>
      <c r="T6042" t="str">
        <f>IF(Pipeline_tbl[[#This Row],[Closed_Date]]=0,"",(_xlfn.XLOOKUP(Pipeline_tbl[[#This Row],[Closed_Date]],Dim_Date!A:A,Dim_Date!H:H)))</f>
        <v>Sep 2025</v>
      </c>
      <c r="U6042">
        <f>IF(Pipeline_tbl[[#This Row],[Closed_Date]]=0,"",Pipeline_tbl[[#This Row],[Closed_Date]]-Pipeline_tbl[[#This Row],[Created_Date]])</f>
        <v>19</v>
      </c>
    </row>
    <row r="6043" spans="1:21" ht="15" customHeight="1" x14ac:dyDescent="0.2">
      <c r="A6043" t="s">
        <v>6349</v>
      </c>
      <c r="B6043" t="s">
        <v>185</v>
      </c>
      <c r="C6043" t="s">
        <v>53</v>
      </c>
      <c r="D6043" s="49">
        <v>45872</v>
      </c>
      <c r="E6043" s="49">
        <v>45877</v>
      </c>
      <c r="F6043" s="49">
        <v>45887</v>
      </c>
      <c r="G6043" s="49">
        <v>45902</v>
      </c>
      <c r="I6043" s="49">
        <v>45922</v>
      </c>
      <c r="J6043" t="s">
        <v>49</v>
      </c>
      <c r="K6043" s="33">
        <v>24800</v>
      </c>
      <c r="L6043" t="s">
        <v>64</v>
      </c>
      <c r="M6043" t="str">
        <f>_xlfn.XLOOKUP(Pipeline_tbl[[#This Row],[Rep_ID]],Dim_Reps!A:A,Dim_Reps!K:K)</f>
        <v>MXN</v>
      </c>
      <c r="N6043" s="33">
        <f>(_xlfn.XLOOKUP(Pipeline_tbl[[#This Row],[Rate_Code_Generalized]],Lookups!A:A,Lookups!B:B))*Pipeline_tbl[[#This Row],[Pipeline_Amount_USD]]</f>
        <v>489370.96</v>
      </c>
      <c r="O6043" t="str">
        <f>_xlfn.XLOOKUP(Pipeline_tbl[[#This Row],[Rep_ID]],Dim_Reps!A:A,Dim_Reps!B:B)</f>
        <v>Noah Kim</v>
      </c>
      <c r="P6043" t="str">
        <f>_xlfn.XLOOKUP(Pipeline_tbl[[#This Row],[Rep_ID]],Dim_Reps!A:A,Dim_Reps!C:C)</f>
        <v>Enterprise AE</v>
      </c>
      <c r="Q6043" t="str">
        <f>_xlfn.XLOOKUP(Pipeline_tbl[[#This Row],[Rep_ID]],Dim_Reps!A:A,Dim_Reps!D:D)</f>
        <v>Enterprise</v>
      </c>
      <c r="R6043" t="str">
        <f>_xlfn.XLOOKUP(Pipeline_tbl[[#This Row],[Rep_ID]],Dim_Reps!A:A,Dim_Reps!E:E)</f>
        <v>LATAM</v>
      </c>
      <c r="S6043" t="str">
        <f>_xlfn.XLOOKUP(Pipeline_tbl[[#This Row],[Created_Date]],Dim_Date!A:A,Dim_Date!H:H)</f>
        <v>Aug 2025</v>
      </c>
      <c r="T6043" t="str">
        <f>IF(Pipeline_tbl[[#This Row],[Closed_Date]]=0,"",(_xlfn.XLOOKUP(Pipeline_tbl[[#This Row],[Closed_Date]],Dim_Date!A:A,Dim_Date!H:H)))</f>
        <v>Sep 2025</v>
      </c>
      <c r="U6043">
        <f>IF(Pipeline_tbl[[#This Row],[Closed_Date]]=0,"",Pipeline_tbl[[#This Row],[Closed_Date]]-Pipeline_tbl[[#This Row],[Created_Date]])</f>
        <v>50</v>
      </c>
    </row>
    <row r="6044" spans="1:21" ht="15" customHeight="1" x14ac:dyDescent="0.2">
      <c r="A6044" t="s">
        <v>6350</v>
      </c>
      <c r="B6044" t="s">
        <v>205</v>
      </c>
      <c r="C6044" t="s">
        <v>53</v>
      </c>
      <c r="D6044" s="49">
        <v>45892</v>
      </c>
      <c r="E6044" s="49">
        <v>45894</v>
      </c>
      <c r="F6044" s="49">
        <v>45899</v>
      </c>
      <c r="I6044" s="49">
        <v>45915</v>
      </c>
      <c r="J6044" t="s">
        <v>49</v>
      </c>
      <c r="K6044" s="33">
        <v>3300</v>
      </c>
      <c r="L6044" t="s">
        <v>64</v>
      </c>
      <c r="M6044" t="str">
        <f>_xlfn.XLOOKUP(Pipeline_tbl[[#This Row],[Rep_ID]],Dim_Reps!A:A,Dim_Reps!K:K)</f>
        <v>EUR</v>
      </c>
      <c r="N6044" s="33">
        <f>(_xlfn.XLOOKUP(Pipeline_tbl[[#This Row],[Rate_Code_Generalized]],Lookups!A:A,Lookups!B:B))*Pipeline_tbl[[#This Row],[Pipeline_Amount_USD]]</f>
        <v>3300</v>
      </c>
      <c r="O6044" t="str">
        <f>_xlfn.XLOOKUP(Pipeline_tbl[[#This Row],[Rep_ID]],Dim_Reps!A:A,Dim_Reps!B:B)</f>
        <v>Karim Alvarez</v>
      </c>
      <c r="P6044" t="str">
        <f>_xlfn.XLOOKUP(Pipeline_tbl[[#This Row],[Rep_ID]],Dim_Reps!A:A,Dim_Reps!C:C)</f>
        <v>SDR / Inside Sales Rep</v>
      </c>
      <c r="Q6044" t="str">
        <f>_xlfn.XLOOKUP(Pipeline_tbl[[#This Row],[Rep_ID]],Dim_Reps!A:A,Dim_Reps!D:D)</f>
        <v>Inside Sales</v>
      </c>
      <c r="R6044" t="str">
        <f>_xlfn.XLOOKUP(Pipeline_tbl[[#This Row],[Rep_ID]],Dim_Reps!A:A,Dim_Reps!E:E)</f>
        <v>EMEA</v>
      </c>
      <c r="S6044" t="str">
        <f>_xlfn.XLOOKUP(Pipeline_tbl[[#This Row],[Created_Date]],Dim_Date!A:A,Dim_Date!H:H)</f>
        <v>Aug 2025</v>
      </c>
      <c r="T6044" t="str">
        <f>IF(Pipeline_tbl[[#This Row],[Closed_Date]]=0,"",(_xlfn.XLOOKUP(Pipeline_tbl[[#This Row],[Closed_Date]],Dim_Date!A:A,Dim_Date!H:H)))</f>
        <v>Sep 2025</v>
      </c>
      <c r="U6044">
        <f>IF(Pipeline_tbl[[#This Row],[Closed_Date]]=0,"",Pipeline_tbl[[#This Row],[Closed_Date]]-Pipeline_tbl[[#This Row],[Created_Date]])</f>
        <v>23</v>
      </c>
    </row>
    <row r="6045" spans="1:21" ht="15" customHeight="1" x14ac:dyDescent="0.2">
      <c r="A6045" t="s">
        <v>6351</v>
      </c>
      <c r="B6045" t="s">
        <v>205</v>
      </c>
      <c r="C6045" t="s">
        <v>55</v>
      </c>
      <c r="D6045" s="49">
        <v>45894</v>
      </c>
      <c r="E6045" s="49">
        <v>45896</v>
      </c>
      <c r="F6045" s="49">
        <v>45900</v>
      </c>
      <c r="G6045" s="49">
        <v>45906</v>
      </c>
      <c r="H6045" s="49">
        <v>45911</v>
      </c>
      <c r="I6045" s="49">
        <v>45914</v>
      </c>
      <c r="J6045" t="s">
        <v>49</v>
      </c>
      <c r="K6045" s="33">
        <v>2900</v>
      </c>
      <c r="L6045" t="s">
        <v>60</v>
      </c>
      <c r="M6045" t="str">
        <f>_xlfn.XLOOKUP(Pipeline_tbl[[#This Row],[Rep_ID]],Dim_Reps!A:A,Dim_Reps!K:K)</f>
        <v>EUR</v>
      </c>
      <c r="N6045" s="33">
        <f>(_xlfn.XLOOKUP(Pipeline_tbl[[#This Row],[Rate_Code_Generalized]],Lookups!A:A,Lookups!B:B))*Pipeline_tbl[[#This Row],[Pipeline_Amount_USD]]</f>
        <v>2900</v>
      </c>
      <c r="O6045" t="str">
        <f>_xlfn.XLOOKUP(Pipeline_tbl[[#This Row],[Rep_ID]],Dim_Reps!A:A,Dim_Reps!B:B)</f>
        <v>Karim Alvarez</v>
      </c>
      <c r="P6045" t="str">
        <f>_xlfn.XLOOKUP(Pipeline_tbl[[#This Row],[Rep_ID]],Dim_Reps!A:A,Dim_Reps!C:C)</f>
        <v>SDR / Inside Sales Rep</v>
      </c>
      <c r="Q6045" t="str">
        <f>_xlfn.XLOOKUP(Pipeline_tbl[[#This Row],[Rep_ID]],Dim_Reps!A:A,Dim_Reps!D:D)</f>
        <v>Inside Sales</v>
      </c>
      <c r="R6045" t="str">
        <f>_xlfn.XLOOKUP(Pipeline_tbl[[#This Row],[Rep_ID]],Dim_Reps!A:A,Dim_Reps!E:E)</f>
        <v>EMEA</v>
      </c>
      <c r="S6045" t="str">
        <f>_xlfn.XLOOKUP(Pipeline_tbl[[#This Row],[Created_Date]],Dim_Date!A:A,Dim_Date!H:H)</f>
        <v>Aug 2025</v>
      </c>
      <c r="T6045" t="str">
        <f>IF(Pipeline_tbl[[#This Row],[Closed_Date]]=0,"",(_xlfn.XLOOKUP(Pipeline_tbl[[#This Row],[Closed_Date]],Dim_Date!A:A,Dim_Date!H:H)))</f>
        <v>Sep 2025</v>
      </c>
      <c r="U6045">
        <f>IF(Pipeline_tbl[[#This Row],[Closed_Date]]=0,"",Pipeline_tbl[[#This Row],[Closed_Date]]-Pipeline_tbl[[#This Row],[Created_Date]])</f>
        <v>20</v>
      </c>
    </row>
    <row r="6046" spans="1:21" ht="15" customHeight="1" x14ac:dyDescent="0.2">
      <c r="A6046" t="s">
        <v>6352</v>
      </c>
      <c r="B6046" t="s">
        <v>207</v>
      </c>
      <c r="C6046" t="s">
        <v>53</v>
      </c>
      <c r="D6046" s="49">
        <v>45890</v>
      </c>
      <c r="E6046" s="49">
        <v>45891</v>
      </c>
      <c r="F6046" s="49">
        <v>45893</v>
      </c>
      <c r="G6046" s="49">
        <v>45897</v>
      </c>
      <c r="I6046" s="49">
        <v>45901</v>
      </c>
      <c r="J6046" t="s">
        <v>49</v>
      </c>
      <c r="K6046" s="33">
        <v>5800</v>
      </c>
      <c r="L6046" t="s">
        <v>61</v>
      </c>
      <c r="M6046" t="str">
        <f>_xlfn.XLOOKUP(Pipeline_tbl[[#This Row],[Rep_ID]],Dim_Reps!A:A,Dim_Reps!K:K)</f>
        <v>EUR</v>
      </c>
      <c r="N6046" s="33">
        <f>(_xlfn.XLOOKUP(Pipeline_tbl[[#This Row],[Rate_Code_Generalized]],Lookups!A:A,Lookups!B:B))*Pipeline_tbl[[#This Row],[Pipeline_Amount_USD]]</f>
        <v>5800</v>
      </c>
      <c r="O6046" t="str">
        <f>_xlfn.XLOOKUP(Pipeline_tbl[[#This Row],[Rep_ID]],Dim_Reps!A:A,Dim_Reps!B:B)</f>
        <v>Sam Castro</v>
      </c>
      <c r="P6046" t="str">
        <f>_xlfn.XLOOKUP(Pipeline_tbl[[#This Row],[Rep_ID]],Dim_Reps!A:A,Dim_Reps!C:C)</f>
        <v>SDR / Inside Sales Rep</v>
      </c>
      <c r="Q6046" t="str">
        <f>_xlfn.XLOOKUP(Pipeline_tbl[[#This Row],[Rep_ID]],Dim_Reps!A:A,Dim_Reps!D:D)</f>
        <v>Inside Sales</v>
      </c>
      <c r="R6046" t="str">
        <f>_xlfn.XLOOKUP(Pipeline_tbl[[#This Row],[Rep_ID]],Dim_Reps!A:A,Dim_Reps!E:E)</f>
        <v>APAC</v>
      </c>
      <c r="S6046" t="str">
        <f>_xlfn.XLOOKUP(Pipeline_tbl[[#This Row],[Created_Date]],Dim_Date!A:A,Dim_Date!H:H)</f>
        <v>Aug 2025</v>
      </c>
      <c r="T6046" t="str">
        <f>IF(Pipeline_tbl[[#This Row],[Closed_Date]]=0,"",(_xlfn.XLOOKUP(Pipeline_tbl[[#This Row],[Closed_Date]],Dim_Date!A:A,Dim_Date!H:H)))</f>
        <v>Sep 2025</v>
      </c>
      <c r="U6046">
        <f>IF(Pipeline_tbl[[#This Row],[Closed_Date]]=0,"",Pipeline_tbl[[#This Row],[Closed_Date]]-Pipeline_tbl[[#This Row],[Created_Date]])</f>
        <v>11</v>
      </c>
    </row>
    <row r="6047" spans="1:21" ht="15" customHeight="1" x14ac:dyDescent="0.2">
      <c r="A6047" t="s">
        <v>6353</v>
      </c>
      <c r="B6047" t="s">
        <v>207</v>
      </c>
      <c r="C6047" t="s">
        <v>56</v>
      </c>
      <c r="D6047" s="49">
        <v>45885</v>
      </c>
      <c r="E6047" s="49">
        <v>45887</v>
      </c>
      <c r="F6047" s="49">
        <v>45890</v>
      </c>
      <c r="G6047" s="49">
        <v>45896</v>
      </c>
      <c r="I6047" s="49">
        <v>45903</v>
      </c>
      <c r="J6047" t="s">
        <v>49</v>
      </c>
      <c r="K6047" s="33">
        <v>3900</v>
      </c>
      <c r="L6047" t="s">
        <v>60</v>
      </c>
      <c r="M6047" t="str">
        <f>_xlfn.XLOOKUP(Pipeline_tbl[[#This Row],[Rep_ID]],Dim_Reps!A:A,Dim_Reps!K:K)</f>
        <v>EUR</v>
      </c>
      <c r="N6047" s="33">
        <f>(_xlfn.XLOOKUP(Pipeline_tbl[[#This Row],[Rate_Code_Generalized]],Lookups!A:A,Lookups!B:B))*Pipeline_tbl[[#This Row],[Pipeline_Amount_USD]]</f>
        <v>3900</v>
      </c>
      <c r="O6047" t="str">
        <f>_xlfn.XLOOKUP(Pipeline_tbl[[#This Row],[Rep_ID]],Dim_Reps!A:A,Dim_Reps!B:B)</f>
        <v>Sam Castro</v>
      </c>
      <c r="P6047" t="str">
        <f>_xlfn.XLOOKUP(Pipeline_tbl[[#This Row],[Rep_ID]],Dim_Reps!A:A,Dim_Reps!C:C)</f>
        <v>SDR / Inside Sales Rep</v>
      </c>
      <c r="Q6047" t="str">
        <f>_xlfn.XLOOKUP(Pipeline_tbl[[#This Row],[Rep_ID]],Dim_Reps!A:A,Dim_Reps!D:D)</f>
        <v>Inside Sales</v>
      </c>
      <c r="R6047" t="str">
        <f>_xlfn.XLOOKUP(Pipeline_tbl[[#This Row],[Rep_ID]],Dim_Reps!A:A,Dim_Reps!E:E)</f>
        <v>APAC</v>
      </c>
      <c r="S6047" t="str">
        <f>_xlfn.XLOOKUP(Pipeline_tbl[[#This Row],[Created_Date]],Dim_Date!A:A,Dim_Date!H:H)</f>
        <v>Aug 2025</v>
      </c>
      <c r="T6047" t="str">
        <f>IF(Pipeline_tbl[[#This Row],[Closed_Date]]=0,"",(_xlfn.XLOOKUP(Pipeline_tbl[[#This Row],[Closed_Date]],Dim_Date!A:A,Dim_Date!H:H)))</f>
        <v>Sep 2025</v>
      </c>
      <c r="U6047">
        <f>IF(Pipeline_tbl[[#This Row],[Closed_Date]]=0,"",Pipeline_tbl[[#This Row],[Closed_Date]]-Pipeline_tbl[[#This Row],[Created_Date]])</f>
        <v>18</v>
      </c>
    </row>
    <row r="6048" spans="1:21" ht="15" customHeight="1" x14ac:dyDescent="0.2">
      <c r="A6048" t="s">
        <v>6354</v>
      </c>
      <c r="B6048" t="s">
        <v>207</v>
      </c>
      <c r="C6048" t="s">
        <v>53</v>
      </c>
      <c r="D6048" s="49">
        <v>45894</v>
      </c>
      <c r="E6048" s="49">
        <v>45896</v>
      </c>
      <c r="F6048" s="49">
        <v>45900</v>
      </c>
      <c r="G6048" s="49">
        <v>45905</v>
      </c>
      <c r="H6048" s="49">
        <v>45910</v>
      </c>
      <c r="I6048" s="49">
        <v>45913</v>
      </c>
      <c r="J6048" t="s">
        <v>47</v>
      </c>
      <c r="K6048" s="33">
        <v>4400</v>
      </c>
      <c r="M6048" t="str">
        <f>_xlfn.XLOOKUP(Pipeline_tbl[[#This Row],[Rep_ID]],Dim_Reps!A:A,Dim_Reps!K:K)</f>
        <v>EUR</v>
      </c>
      <c r="N6048" s="33">
        <f>(_xlfn.XLOOKUP(Pipeline_tbl[[#This Row],[Rate_Code_Generalized]],Lookups!A:A,Lookups!B:B))*Pipeline_tbl[[#This Row],[Pipeline_Amount_USD]]</f>
        <v>4400</v>
      </c>
      <c r="O6048" t="str">
        <f>_xlfn.XLOOKUP(Pipeline_tbl[[#This Row],[Rep_ID]],Dim_Reps!A:A,Dim_Reps!B:B)</f>
        <v>Sam Castro</v>
      </c>
      <c r="P6048" t="str">
        <f>_xlfn.XLOOKUP(Pipeline_tbl[[#This Row],[Rep_ID]],Dim_Reps!A:A,Dim_Reps!C:C)</f>
        <v>SDR / Inside Sales Rep</v>
      </c>
      <c r="Q6048" t="str">
        <f>_xlfn.XLOOKUP(Pipeline_tbl[[#This Row],[Rep_ID]],Dim_Reps!A:A,Dim_Reps!D:D)</f>
        <v>Inside Sales</v>
      </c>
      <c r="R6048" t="str">
        <f>_xlfn.XLOOKUP(Pipeline_tbl[[#This Row],[Rep_ID]],Dim_Reps!A:A,Dim_Reps!E:E)</f>
        <v>APAC</v>
      </c>
      <c r="S6048" t="str">
        <f>_xlfn.XLOOKUP(Pipeline_tbl[[#This Row],[Created_Date]],Dim_Date!A:A,Dim_Date!H:H)</f>
        <v>Aug 2025</v>
      </c>
      <c r="T6048" t="str">
        <f>IF(Pipeline_tbl[[#This Row],[Closed_Date]]=0,"",(_xlfn.XLOOKUP(Pipeline_tbl[[#This Row],[Closed_Date]],Dim_Date!A:A,Dim_Date!H:H)))</f>
        <v>Sep 2025</v>
      </c>
      <c r="U6048">
        <f>IF(Pipeline_tbl[[#This Row],[Closed_Date]]=0,"",Pipeline_tbl[[#This Row],[Closed_Date]]-Pipeline_tbl[[#This Row],[Created_Date]])</f>
        <v>19</v>
      </c>
    </row>
    <row r="6049" spans="1:21" ht="15" customHeight="1" x14ac:dyDescent="0.2">
      <c r="A6049" t="s">
        <v>6355</v>
      </c>
      <c r="B6049" t="s">
        <v>207</v>
      </c>
      <c r="C6049" t="s">
        <v>54</v>
      </c>
      <c r="D6049" s="49">
        <v>45888</v>
      </c>
      <c r="E6049" s="49">
        <v>45890</v>
      </c>
      <c r="F6049" s="49">
        <v>45893</v>
      </c>
      <c r="G6049" s="49">
        <v>45898</v>
      </c>
      <c r="H6049" s="49">
        <v>45902</v>
      </c>
      <c r="I6049" s="49">
        <v>45904</v>
      </c>
      <c r="J6049" t="s">
        <v>47</v>
      </c>
      <c r="K6049" s="33">
        <v>3000</v>
      </c>
      <c r="M6049" t="str">
        <f>_xlfn.XLOOKUP(Pipeline_tbl[[#This Row],[Rep_ID]],Dim_Reps!A:A,Dim_Reps!K:K)</f>
        <v>EUR</v>
      </c>
      <c r="N6049" s="33">
        <f>(_xlfn.XLOOKUP(Pipeline_tbl[[#This Row],[Rate_Code_Generalized]],Lookups!A:A,Lookups!B:B))*Pipeline_tbl[[#This Row],[Pipeline_Amount_USD]]</f>
        <v>3000</v>
      </c>
      <c r="O6049" t="str">
        <f>_xlfn.XLOOKUP(Pipeline_tbl[[#This Row],[Rep_ID]],Dim_Reps!A:A,Dim_Reps!B:B)</f>
        <v>Sam Castro</v>
      </c>
      <c r="P6049" t="str">
        <f>_xlfn.XLOOKUP(Pipeline_tbl[[#This Row],[Rep_ID]],Dim_Reps!A:A,Dim_Reps!C:C)</f>
        <v>SDR / Inside Sales Rep</v>
      </c>
      <c r="Q6049" t="str">
        <f>_xlfn.XLOOKUP(Pipeline_tbl[[#This Row],[Rep_ID]],Dim_Reps!A:A,Dim_Reps!D:D)</f>
        <v>Inside Sales</v>
      </c>
      <c r="R6049" t="str">
        <f>_xlfn.XLOOKUP(Pipeline_tbl[[#This Row],[Rep_ID]],Dim_Reps!A:A,Dim_Reps!E:E)</f>
        <v>APAC</v>
      </c>
      <c r="S6049" t="str">
        <f>_xlfn.XLOOKUP(Pipeline_tbl[[#This Row],[Created_Date]],Dim_Date!A:A,Dim_Date!H:H)</f>
        <v>Aug 2025</v>
      </c>
      <c r="T6049" t="str">
        <f>IF(Pipeline_tbl[[#This Row],[Closed_Date]]=0,"",(_xlfn.XLOOKUP(Pipeline_tbl[[#This Row],[Closed_Date]],Dim_Date!A:A,Dim_Date!H:H)))</f>
        <v>Sep 2025</v>
      </c>
      <c r="U6049">
        <f>IF(Pipeline_tbl[[#This Row],[Closed_Date]]=0,"",Pipeline_tbl[[#This Row],[Closed_Date]]-Pipeline_tbl[[#This Row],[Created_Date]])</f>
        <v>16</v>
      </c>
    </row>
    <row r="6050" spans="1:21" ht="15" customHeight="1" x14ac:dyDescent="0.2">
      <c r="A6050" t="s">
        <v>6356</v>
      </c>
      <c r="B6050" t="s">
        <v>207</v>
      </c>
      <c r="C6050" t="s">
        <v>54</v>
      </c>
      <c r="D6050" s="49">
        <v>45894</v>
      </c>
      <c r="E6050" s="49">
        <v>45896</v>
      </c>
      <c r="F6050" s="49">
        <v>45901</v>
      </c>
      <c r="G6050" s="49">
        <v>45908</v>
      </c>
      <c r="H6050" s="49">
        <v>45914</v>
      </c>
      <c r="I6050" s="49">
        <v>45918</v>
      </c>
      <c r="J6050" t="s">
        <v>47</v>
      </c>
      <c r="K6050" s="33">
        <v>5300</v>
      </c>
      <c r="M6050" t="str">
        <f>_xlfn.XLOOKUP(Pipeline_tbl[[#This Row],[Rep_ID]],Dim_Reps!A:A,Dim_Reps!K:K)</f>
        <v>EUR</v>
      </c>
      <c r="N6050" s="33">
        <f>(_xlfn.XLOOKUP(Pipeline_tbl[[#This Row],[Rate_Code_Generalized]],Lookups!A:A,Lookups!B:B))*Pipeline_tbl[[#This Row],[Pipeline_Amount_USD]]</f>
        <v>5300</v>
      </c>
      <c r="O6050" t="str">
        <f>_xlfn.XLOOKUP(Pipeline_tbl[[#This Row],[Rep_ID]],Dim_Reps!A:A,Dim_Reps!B:B)</f>
        <v>Sam Castro</v>
      </c>
      <c r="P6050" t="str">
        <f>_xlfn.XLOOKUP(Pipeline_tbl[[#This Row],[Rep_ID]],Dim_Reps!A:A,Dim_Reps!C:C)</f>
        <v>SDR / Inside Sales Rep</v>
      </c>
      <c r="Q6050" t="str">
        <f>_xlfn.XLOOKUP(Pipeline_tbl[[#This Row],[Rep_ID]],Dim_Reps!A:A,Dim_Reps!D:D)</f>
        <v>Inside Sales</v>
      </c>
      <c r="R6050" t="str">
        <f>_xlfn.XLOOKUP(Pipeline_tbl[[#This Row],[Rep_ID]],Dim_Reps!A:A,Dim_Reps!E:E)</f>
        <v>APAC</v>
      </c>
      <c r="S6050" t="str">
        <f>_xlfn.XLOOKUP(Pipeline_tbl[[#This Row],[Created_Date]],Dim_Date!A:A,Dim_Date!H:H)</f>
        <v>Aug 2025</v>
      </c>
      <c r="T6050" t="str">
        <f>IF(Pipeline_tbl[[#This Row],[Closed_Date]]=0,"",(_xlfn.XLOOKUP(Pipeline_tbl[[#This Row],[Closed_Date]],Dim_Date!A:A,Dim_Date!H:H)))</f>
        <v>Sep 2025</v>
      </c>
      <c r="U6050">
        <f>IF(Pipeline_tbl[[#This Row],[Closed_Date]]=0,"",Pipeline_tbl[[#This Row],[Closed_Date]]-Pipeline_tbl[[#This Row],[Created_Date]])</f>
        <v>24</v>
      </c>
    </row>
    <row r="6051" spans="1:21" ht="15" customHeight="1" x14ac:dyDescent="0.2">
      <c r="A6051" t="s">
        <v>6357</v>
      </c>
      <c r="B6051" t="s">
        <v>207</v>
      </c>
      <c r="C6051" t="s">
        <v>52</v>
      </c>
      <c r="D6051" s="49">
        <v>45888</v>
      </c>
      <c r="E6051" s="49">
        <v>45891</v>
      </c>
      <c r="F6051" s="49">
        <v>45898</v>
      </c>
      <c r="I6051" s="49">
        <v>45920</v>
      </c>
      <c r="J6051" t="s">
        <v>49</v>
      </c>
      <c r="K6051" s="33">
        <v>2800</v>
      </c>
      <c r="L6051" t="s">
        <v>61</v>
      </c>
      <c r="M6051" t="str">
        <f>_xlfn.XLOOKUP(Pipeline_tbl[[#This Row],[Rep_ID]],Dim_Reps!A:A,Dim_Reps!K:K)</f>
        <v>EUR</v>
      </c>
      <c r="N6051" s="33">
        <f>(_xlfn.XLOOKUP(Pipeline_tbl[[#This Row],[Rate_Code_Generalized]],Lookups!A:A,Lookups!B:B))*Pipeline_tbl[[#This Row],[Pipeline_Amount_USD]]</f>
        <v>2800</v>
      </c>
      <c r="O6051" t="str">
        <f>_xlfn.XLOOKUP(Pipeline_tbl[[#This Row],[Rep_ID]],Dim_Reps!A:A,Dim_Reps!B:B)</f>
        <v>Sam Castro</v>
      </c>
      <c r="P6051" t="str">
        <f>_xlfn.XLOOKUP(Pipeline_tbl[[#This Row],[Rep_ID]],Dim_Reps!A:A,Dim_Reps!C:C)</f>
        <v>SDR / Inside Sales Rep</v>
      </c>
      <c r="Q6051" t="str">
        <f>_xlfn.XLOOKUP(Pipeline_tbl[[#This Row],[Rep_ID]],Dim_Reps!A:A,Dim_Reps!D:D)</f>
        <v>Inside Sales</v>
      </c>
      <c r="R6051" t="str">
        <f>_xlfn.XLOOKUP(Pipeline_tbl[[#This Row],[Rep_ID]],Dim_Reps!A:A,Dim_Reps!E:E)</f>
        <v>APAC</v>
      </c>
      <c r="S6051" t="str">
        <f>_xlfn.XLOOKUP(Pipeline_tbl[[#This Row],[Created_Date]],Dim_Date!A:A,Dim_Date!H:H)</f>
        <v>Aug 2025</v>
      </c>
      <c r="T6051" t="str">
        <f>IF(Pipeline_tbl[[#This Row],[Closed_Date]]=0,"",(_xlfn.XLOOKUP(Pipeline_tbl[[#This Row],[Closed_Date]],Dim_Date!A:A,Dim_Date!H:H)))</f>
        <v>Sep 2025</v>
      </c>
      <c r="U6051">
        <f>IF(Pipeline_tbl[[#This Row],[Closed_Date]]=0,"",Pipeline_tbl[[#This Row],[Closed_Date]]-Pipeline_tbl[[#This Row],[Created_Date]])</f>
        <v>32</v>
      </c>
    </row>
    <row r="6052" spans="1:21" ht="15" customHeight="1" x14ac:dyDescent="0.2">
      <c r="A6052" t="s">
        <v>6358</v>
      </c>
      <c r="B6052" t="s">
        <v>209</v>
      </c>
      <c r="C6052" t="s">
        <v>56</v>
      </c>
      <c r="D6052" s="49">
        <v>45900</v>
      </c>
      <c r="E6052" s="49">
        <v>45902</v>
      </c>
      <c r="F6052" s="49">
        <v>45906</v>
      </c>
      <c r="I6052" s="49">
        <v>45919</v>
      </c>
      <c r="J6052" t="s">
        <v>49</v>
      </c>
      <c r="K6052" s="33">
        <v>3800</v>
      </c>
      <c r="L6052" t="s">
        <v>63</v>
      </c>
      <c r="M6052" t="str">
        <f>_xlfn.XLOOKUP(Pipeline_tbl[[#This Row],[Rep_ID]],Dim_Reps!A:A,Dim_Reps!K:K)</f>
        <v>EUR</v>
      </c>
      <c r="N6052" s="33">
        <f>(_xlfn.XLOOKUP(Pipeline_tbl[[#This Row],[Rate_Code_Generalized]],Lookups!A:A,Lookups!B:B))*Pipeline_tbl[[#This Row],[Pipeline_Amount_USD]]</f>
        <v>3800</v>
      </c>
      <c r="O6052" t="str">
        <f>_xlfn.XLOOKUP(Pipeline_tbl[[#This Row],[Rep_ID]],Dim_Reps!A:A,Dim_Reps!B:B)</f>
        <v>Petra Larsen</v>
      </c>
      <c r="P6052" t="str">
        <f>_xlfn.XLOOKUP(Pipeline_tbl[[#This Row],[Rep_ID]],Dim_Reps!A:A,Dim_Reps!C:C)</f>
        <v>SDR / Inside Sales Rep</v>
      </c>
      <c r="Q6052" t="str">
        <f>_xlfn.XLOOKUP(Pipeline_tbl[[#This Row],[Rep_ID]],Dim_Reps!A:A,Dim_Reps!D:D)</f>
        <v>Inside Sales</v>
      </c>
      <c r="R6052" t="str">
        <f>_xlfn.XLOOKUP(Pipeline_tbl[[#This Row],[Rep_ID]],Dim_Reps!A:A,Dim_Reps!E:E)</f>
        <v>EMEA</v>
      </c>
      <c r="S6052" t="str">
        <f>_xlfn.XLOOKUP(Pipeline_tbl[[#This Row],[Created_Date]],Dim_Date!A:A,Dim_Date!H:H)</f>
        <v>Aug 2025</v>
      </c>
      <c r="T6052" t="str">
        <f>IF(Pipeline_tbl[[#This Row],[Closed_Date]]=0,"",(_xlfn.XLOOKUP(Pipeline_tbl[[#This Row],[Closed_Date]],Dim_Date!A:A,Dim_Date!H:H)))</f>
        <v>Sep 2025</v>
      </c>
      <c r="U6052">
        <f>IF(Pipeline_tbl[[#This Row],[Closed_Date]]=0,"",Pipeline_tbl[[#This Row],[Closed_Date]]-Pipeline_tbl[[#This Row],[Created_Date]])</f>
        <v>19</v>
      </c>
    </row>
    <row r="6053" spans="1:21" ht="15" customHeight="1" x14ac:dyDescent="0.2">
      <c r="A6053" t="s">
        <v>6359</v>
      </c>
      <c r="B6053" t="s">
        <v>211</v>
      </c>
      <c r="C6053" t="s">
        <v>53</v>
      </c>
      <c r="D6053" s="49">
        <v>45878</v>
      </c>
      <c r="E6053" s="49">
        <v>45880</v>
      </c>
      <c r="F6053" s="49">
        <v>45886</v>
      </c>
      <c r="G6053" s="49">
        <v>45893</v>
      </c>
      <c r="H6053" s="49">
        <v>45899</v>
      </c>
      <c r="I6053" s="49">
        <v>45903</v>
      </c>
      <c r="J6053" t="s">
        <v>49</v>
      </c>
      <c r="K6053" s="33">
        <v>2000</v>
      </c>
      <c r="L6053" t="s">
        <v>64</v>
      </c>
      <c r="M6053" t="str">
        <f>_xlfn.XLOOKUP(Pipeline_tbl[[#This Row],[Rep_ID]],Dim_Reps!A:A,Dim_Reps!K:K)</f>
        <v>EUR</v>
      </c>
      <c r="N6053" s="33">
        <f>(_xlfn.XLOOKUP(Pipeline_tbl[[#This Row],[Rate_Code_Generalized]],Lookups!A:A,Lookups!B:B))*Pipeline_tbl[[#This Row],[Pipeline_Amount_USD]]</f>
        <v>2000</v>
      </c>
      <c r="O6053" t="str">
        <f>_xlfn.XLOOKUP(Pipeline_tbl[[#This Row],[Rep_ID]],Dim_Reps!A:A,Dim_Reps!B:B)</f>
        <v>Lea Weber</v>
      </c>
      <c r="P6053" t="str">
        <f>_xlfn.XLOOKUP(Pipeline_tbl[[#This Row],[Rep_ID]],Dim_Reps!A:A,Dim_Reps!C:C)</f>
        <v>SDR / Inside Sales Rep</v>
      </c>
      <c r="Q6053" t="str">
        <f>_xlfn.XLOOKUP(Pipeline_tbl[[#This Row],[Rep_ID]],Dim_Reps!A:A,Dim_Reps!D:D)</f>
        <v>Inside Sales</v>
      </c>
      <c r="R6053" t="str">
        <f>_xlfn.XLOOKUP(Pipeline_tbl[[#This Row],[Rep_ID]],Dim_Reps!A:A,Dim_Reps!E:E)</f>
        <v>EMEA</v>
      </c>
      <c r="S6053" t="str">
        <f>_xlfn.XLOOKUP(Pipeline_tbl[[#This Row],[Created_Date]],Dim_Date!A:A,Dim_Date!H:H)</f>
        <v>Aug 2025</v>
      </c>
      <c r="T6053" t="str">
        <f>IF(Pipeline_tbl[[#This Row],[Closed_Date]]=0,"",(_xlfn.XLOOKUP(Pipeline_tbl[[#This Row],[Closed_Date]],Dim_Date!A:A,Dim_Date!H:H)))</f>
        <v>Sep 2025</v>
      </c>
      <c r="U6053">
        <f>IF(Pipeline_tbl[[#This Row],[Closed_Date]]=0,"",Pipeline_tbl[[#This Row],[Closed_Date]]-Pipeline_tbl[[#This Row],[Created_Date]])</f>
        <v>25</v>
      </c>
    </row>
    <row r="6054" spans="1:21" ht="15" customHeight="1" x14ac:dyDescent="0.2">
      <c r="A6054" t="s">
        <v>6360</v>
      </c>
      <c r="B6054" t="s">
        <v>211</v>
      </c>
      <c r="C6054" t="s">
        <v>54</v>
      </c>
      <c r="D6054" s="49">
        <v>45896</v>
      </c>
      <c r="E6054" s="49">
        <v>45898</v>
      </c>
      <c r="F6054" s="49">
        <v>45903</v>
      </c>
      <c r="G6054" s="49">
        <v>45909</v>
      </c>
      <c r="H6054" s="49">
        <v>45915</v>
      </c>
      <c r="I6054" s="49">
        <v>45918</v>
      </c>
      <c r="J6054" t="s">
        <v>49</v>
      </c>
      <c r="K6054" s="33">
        <v>4400</v>
      </c>
      <c r="L6054" t="s">
        <v>61</v>
      </c>
      <c r="M6054" t="str">
        <f>_xlfn.XLOOKUP(Pipeline_tbl[[#This Row],[Rep_ID]],Dim_Reps!A:A,Dim_Reps!K:K)</f>
        <v>EUR</v>
      </c>
      <c r="N6054" s="33">
        <f>(_xlfn.XLOOKUP(Pipeline_tbl[[#This Row],[Rate_Code_Generalized]],Lookups!A:A,Lookups!B:B))*Pipeline_tbl[[#This Row],[Pipeline_Amount_USD]]</f>
        <v>4400</v>
      </c>
      <c r="O6054" t="str">
        <f>_xlfn.XLOOKUP(Pipeline_tbl[[#This Row],[Rep_ID]],Dim_Reps!A:A,Dim_Reps!B:B)</f>
        <v>Lea Weber</v>
      </c>
      <c r="P6054" t="str">
        <f>_xlfn.XLOOKUP(Pipeline_tbl[[#This Row],[Rep_ID]],Dim_Reps!A:A,Dim_Reps!C:C)</f>
        <v>SDR / Inside Sales Rep</v>
      </c>
      <c r="Q6054" t="str">
        <f>_xlfn.XLOOKUP(Pipeline_tbl[[#This Row],[Rep_ID]],Dim_Reps!A:A,Dim_Reps!D:D)</f>
        <v>Inside Sales</v>
      </c>
      <c r="R6054" t="str">
        <f>_xlfn.XLOOKUP(Pipeline_tbl[[#This Row],[Rep_ID]],Dim_Reps!A:A,Dim_Reps!E:E)</f>
        <v>EMEA</v>
      </c>
      <c r="S6054" t="str">
        <f>_xlfn.XLOOKUP(Pipeline_tbl[[#This Row],[Created_Date]],Dim_Date!A:A,Dim_Date!H:H)</f>
        <v>Aug 2025</v>
      </c>
      <c r="T6054" t="str">
        <f>IF(Pipeline_tbl[[#This Row],[Closed_Date]]=0,"",(_xlfn.XLOOKUP(Pipeline_tbl[[#This Row],[Closed_Date]],Dim_Date!A:A,Dim_Date!H:H)))</f>
        <v>Sep 2025</v>
      </c>
      <c r="U6054">
        <f>IF(Pipeline_tbl[[#This Row],[Closed_Date]]=0,"",Pipeline_tbl[[#This Row],[Closed_Date]]-Pipeline_tbl[[#This Row],[Created_Date]])</f>
        <v>22</v>
      </c>
    </row>
    <row r="6055" spans="1:21" ht="15" customHeight="1" x14ac:dyDescent="0.2">
      <c r="A6055" t="s">
        <v>6361</v>
      </c>
      <c r="B6055" t="s">
        <v>211</v>
      </c>
      <c r="C6055" t="s">
        <v>56</v>
      </c>
      <c r="D6055" s="49">
        <v>45887</v>
      </c>
      <c r="E6055" s="49">
        <v>45889</v>
      </c>
      <c r="F6055" s="49">
        <v>45892</v>
      </c>
      <c r="G6055" s="49">
        <v>45897</v>
      </c>
      <c r="H6055" s="49">
        <v>45901</v>
      </c>
      <c r="I6055" s="49">
        <v>45904</v>
      </c>
      <c r="J6055" t="s">
        <v>47</v>
      </c>
      <c r="K6055" s="33">
        <v>1700</v>
      </c>
      <c r="M6055" t="str">
        <f>_xlfn.XLOOKUP(Pipeline_tbl[[#This Row],[Rep_ID]],Dim_Reps!A:A,Dim_Reps!K:K)</f>
        <v>EUR</v>
      </c>
      <c r="N6055" s="33">
        <f>(_xlfn.XLOOKUP(Pipeline_tbl[[#This Row],[Rate_Code_Generalized]],Lookups!A:A,Lookups!B:B))*Pipeline_tbl[[#This Row],[Pipeline_Amount_USD]]</f>
        <v>1700</v>
      </c>
      <c r="O6055" t="str">
        <f>_xlfn.XLOOKUP(Pipeline_tbl[[#This Row],[Rep_ID]],Dim_Reps!A:A,Dim_Reps!B:B)</f>
        <v>Lea Weber</v>
      </c>
      <c r="P6055" t="str">
        <f>_xlfn.XLOOKUP(Pipeline_tbl[[#This Row],[Rep_ID]],Dim_Reps!A:A,Dim_Reps!C:C)</f>
        <v>SDR / Inside Sales Rep</v>
      </c>
      <c r="Q6055" t="str">
        <f>_xlfn.XLOOKUP(Pipeline_tbl[[#This Row],[Rep_ID]],Dim_Reps!A:A,Dim_Reps!D:D)</f>
        <v>Inside Sales</v>
      </c>
      <c r="R6055" t="str">
        <f>_xlfn.XLOOKUP(Pipeline_tbl[[#This Row],[Rep_ID]],Dim_Reps!A:A,Dim_Reps!E:E)</f>
        <v>EMEA</v>
      </c>
      <c r="S6055" t="str">
        <f>_xlfn.XLOOKUP(Pipeline_tbl[[#This Row],[Created_Date]],Dim_Date!A:A,Dim_Date!H:H)</f>
        <v>Aug 2025</v>
      </c>
      <c r="T6055" t="str">
        <f>IF(Pipeline_tbl[[#This Row],[Closed_Date]]=0,"",(_xlfn.XLOOKUP(Pipeline_tbl[[#This Row],[Closed_Date]],Dim_Date!A:A,Dim_Date!H:H)))</f>
        <v>Sep 2025</v>
      </c>
      <c r="U6055">
        <f>IF(Pipeline_tbl[[#This Row],[Closed_Date]]=0,"",Pipeline_tbl[[#This Row],[Closed_Date]]-Pipeline_tbl[[#This Row],[Created_Date]])</f>
        <v>17</v>
      </c>
    </row>
    <row r="6056" spans="1:21" ht="15" customHeight="1" x14ac:dyDescent="0.2">
      <c r="A6056" t="s">
        <v>6362</v>
      </c>
      <c r="B6056" t="s">
        <v>211</v>
      </c>
      <c r="C6056" t="s">
        <v>54</v>
      </c>
      <c r="D6056" s="49">
        <v>45900</v>
      </c>
      <c r="E6056" s="49">
        <v>45901</v>
      </c>
      <c r="I6056" s="49">
        <v>45914</v>
      </c>
      <c r="J6056" t="s">
        <v>49</v>
      </c>
      <c r="K6056" s="33">
        <v>3800</v>
      </c>
      <c r="L6056" t="s">
        <v>63</v>
      </c>
      <c r="M6056" t="str">
        <f>_xlfn.XLOOKUP(Pipeline_tbl[[#This Row],[Rep_ID]],Dim_Reps!A:A,Dim_Reps!K:K)</f>
        <v>EUR</v>
      </c>
      <c r="N6056" s="33">
        <f>(_xlfn.XLOOKUP(Pipeline_tbl[[#This Row],[Rate_Code_Generalized]],Lookups!A:A,Lookups!B:B))*Pipeline_tbl[[#This Row],[Pipeline_Amount_USD]]</f>
        <v>3800</v>
      </c>
      <c r="O6056" t="str">
        <f>_xlfn.XLOOKUP(Pipeline_tbl[[#This Row],[Rep_ID]],Dim_Reps!A:A,Dim_Reps!B:B)</f>
        <v>Lea Weber</v>
      </c>
      <c r="P6056" t="str">
        <f>_xlfn.XLOOKUP(Pipeline_tbl[[#This Row],[Rep_ID]],Dim_Reps!A:A,Dim_Reps!C:C)</f>
        <v>SDR / Inside Sales Rep</v>
      </c>
      <c r="Q6056" t="str">
        <f>_xlfn.XLOOKUP(Pipeline_tbl[[#This Row],[Rep_ID]],Dim_Reps!A:A,Dim_Reps!D:D)</f>
        <v>Inside Sales</v>
      </c>
      <c r="R6056" t="str">
        <f>_xlfn.XLOOKUP(Pipeline_tbl[[#This Row],[Rep_ID]],Dim_Reps!A:A,Dim_Reps!E:E)</f>
        <v>EMEA</v>
      </c>
      <c r="S6056" t="str">
        <f>_xlfn.XLOOKUP(Pipeline_tbl[[#This Row],[Created_Date]],Dim_Date!A:A,Dim_Date!H:H)</f>
        <v>Aug 2025</v>
      </c>
      <c r="T6056" t="str">
        <f>IF(Pipeline_tbl[[#This Row],[Closed_Date]]=0,"",(_xlfn.XLOOKUP(Pipeline_tbl[[#This Row],[Closed_Date]],Dim_Date!A:A,Dim_Date!H:H)))</f>
        <v>Sep 2025</v>
      </c>
      <c r="U6056">
        <f>IF(Pipeline_tbl[[#This Row],[Closed_Date]]=0,"",Pipeline_tbl[[#This Row],[Closed_Date]]-Pipeline_tbl[[#This Row],[Created_Date]])</f>
        <v>14</v>
      </c>
    </row>
    <row r="6057" spans="1:21" ht="15" customHeight="1" x14ac:dyDescent="0.2">
      <c r="A6057" t="s">
        <v>6363</v>
      </c>
      <c r="B6057" t="s">
        <v>213</v>
      </c>
      <c r="C6057" t="s">
        <v>53</v>
      </c>
      <c r="D6057" s="49">
        <v>45892</v>
      </c>
      <c r="E6057" s="49">
        <v>45893</v>
      </c>
      <c r="F6057" s="49">
        <v>45895</v>
      </c>
      <c r="G6057" s="49">
        <v>45899</v>
      </c>
      <c r="H6057" s="49">
        <v>45901</v>
      </c>
      <c r="I6057" s="49">
        <v>45903</v>
      </c>
      <c r="J6057" t="s">
        <v>47</v>
      </c>
      <c r="K6057" s="33">
        <v>9100</v>
      </c>
      <c r="M6057" t="str">
        <f>_xlfn.XLOOKUP(Pipeline_tbl[[#This Row],[Rep_ID]],Dim_Reps!A:A,Dim_Reps!K:K)</f>
        <v>EUR</v>
      </c>
      <c r="N6057" s="33">
        <f>(_xlfn.XLOOKUP(Pipeline_tbl[[#This Row],[Rate_Code_Generalized]],Lookups!A:A,Lookups!B:B))*Pipeline_tbl[[#This Row],[Pipeline_Amount_USD]]</f>
        <v>9100</v>
      </c>
      <c r="O6057" t="str">
        <f>_xlfn.XLOOKUP(Pipeline_tbl[[#This Row],[Rep_ID]],Dim_Reps!A:A,Dim_Reps!B:B)</f>
        <v>Jamie Silva</v>
      </c>
      <c r="P6057" t="str">
        <f>_xlfn.XLOOKUP(Pipeline_tbl[[#This Row],[Rep_ID]],Dim_Reps!A:A,Dim_Reps!C:C)</f>
        <v>SDR / Inside Sales Rep</v>
      </c>
      <c r="Q6057" t="str">
        <f>_xlfn.XLOOKUP(Pipeline_tbl[[#This Row],[Rep_ID]],Dim_Reps!A:A,Dim_Reps!D:D)</f>
        <v>Inside Sales</v>
      </c>
      <c r="R6057" t="str">
        <f>_xlfn.XLOOKUP(Pipeline_tbl[[#This Row],[Rep_ID]],Dim_Reps!A:A,Dim_Reps!E:E)</f>
        <v>EMEA</v>
      </c>
      <c r="S6057" t="str">
        <f>_xlfn.XLOOKUP(Pipeline_tbl[[#This Row],[Created_Date]],Dim_Date!A:A,Dim_Date!H:H)</f>
        <v>Aug 2025</v>
      </c>
      <c r="T6057" t="str">
        <f>IF(Pipeline_tbl[[#This Row],[Closed_Date]]=0,"",(_xlfn.XLOOKUP(Pipeline_tbl[[#This Row],[Closed_Date]],Dim_Date!A:A,Dim_Date!H:H)))</f>
        <v>Sep 2025</v>
      </c>
      <c r="U6057">
        <f>IF(Pipeline_tbl[[#This Row],[Closed_Date]]=0,"",Pipeline_tbl[[#This Row],[Closed_Date]]-Pipeline_tbl[[#This Row],[Created_Date]])</f>
        <v>11</v>
      </c>
    </row>
    <row r="6058" spans="1:21" ht="15" customHeight="1" x14ac:dyDescent="0.2">
      <c r="A6058" t="s">
        <v>6364</v>
      </c>
      <c r="B6058" t="s">
        <v>213</v>
      </c>
      <c r="C6058" t="s">
        <v>54</v>
      </c>
      <c r="D6058" s="49">
        <v>45884</v>
      </c>
      <c r="E6058" s="49">
        <v>45886</v>
      </c>
      <c r="F6058" s="49">
        <v>45891</v>
      </c>
      <c r="G6058" s="49">
        <v>45897</v>
      </c>
      <c r="H6058" s="49">
        <v>45903</v>
      </c>
      <c r="I6058" s="49">
        <v>45906</v>
      </c>
      <c r="J6058" t="s">
        <v>47</v>
      </c>
      <c r="K6058" s="33">
        <v>2600</v>
      </c>
      <c r="M6058" t="str">
        <f>_xlfn.XLOOKUP(Pipeline_tbl[[#This Row],[Rep_ID]],Dim_Reps!A:A,Dim_Reps!K:K)</f>
        <v>EUR</v>
      </c>
      <c r="N6058" s="33">
        <f>(_xlfn.XLOOKUP(Pipeline_tbl[[#This Row],[Rate_Code_Generalized]],Lookups!A:A,Lookups!B:B))*Pipeline_tbl[[#This Row],[Pipeline_Amount_USD]]</f>
        <v>2600</v>
      </c>
      <c r="O6058" t="str">
        <f>_xlfn.XLOOKUP(Pipeline_tbl[[#This Row],[Rep_ID]],Dim_Reps!A:A,Dim_Reps!B:B)</f>
        <v>Jamie Silva</v>
      </c>
      <c r="P6058" t="str">
        <f>_xlfn.XLOOKUP(Pipeline_tbl[[#This Row],[Rep_ID]],Dim_Reps!A:A,Dim_Reps!C:C)</f>
        <v>SDR / Inside Sales Rep</v>
      </c>
      <c r="Q6058" t="str">
        <f>_xlfn.XLOOKUP(Pipeline_tbl[[#This Row],[Rep_ID]],Dim_Reps!A:A,Dim_Reps!D:D)</f>
        <v>Inside Sales</v>
      </c>
      <c r="R6058" t="str">
        <f>_xlfn.XLOOKUP(Pipeline_tbl[[#This Row],[Rep_ID]],Dim_Reps!A:A,Dim_Reps!E:E)</f>
        <v>EMEA</v>
      </c>
      <c r="S6058" t="str">
        <f>_xlfn.XLOOKUP(Pipeline_tbl[[#This Row],[Created_Date]],Dim_Date!A:A,Dim_Date!H:H)</f>
        <v>Aug 2025</v>
      </c>
      <c r="T6058" t="str">
        <f>IF(Pipeline_tbl[[#This Row],[Closed_Date]]=0,"",(_xlfn.XLOOKUP(Pipeline_tbl[[#This Row],[Closed_Date]],Dim_Date!A:A,Dim_Date!H:H)))</f>
        <v>Sep 2025</v>
      </c>
      <c r="U6058">
        <f>IF(Pipeline_tbl[[#This Row],[Closed_Date]]=0,"",Pipeline_tbl[[#This Row],[Closed_Date]]-Pipeline_tbl[[#This Row],[Created_Date]])</f>
        <v>22</v>
      </c>
    </row>
    <row r="6059" spans="1:21" ht="15" customHeight="1" x14ac:dyDescent="0.2">
      <c r="A6059" t="s">
        <v>6365</v>
      </c>
      <c r="B6059" t="s">
        <v>213</v>
      </c>
      <c r="C6059" t="s">
        <v>54</v>
      </c>
      <c r="D6059" s="49">
        <v>45881</v>
      </c>
      <c r="E6059" s="49">
        <v>45883</v>
      </c>
      <c r="F6059" s="49">
        <v>45888</v>
      </c>
      <c r="I6059" s="49">
        <v>45904</v>
      </c>
      <c r="J6059" t="s">
        <v>49</v>
      </c>
      <c r="K6059" s="33">
        <v>5700</v>
      </c>
      <c r="L6059" t="s">
        <v>61</v>
      </c>
      <c r="M6059" t="str">
        <f>_xlfn.XLOOKUP(Pipeline_tbl[[#This Row],[Rep_ID]],Dim_Reps!A:A,Dim_Reps!K:K)</f>
        <v>EUR</v>
      </c>
      <c r="N6059" s="33">
        <f>(_xlfn.XLOOKUP(Pipeline_tbl[[#This Row],[Rate_Code_Generalized]],Lookups!A:A,Lookups!B:B))*Pipeline_tbl[[#This Row],[Pipeline_Amount_USD]]</f>
        <v>5700</v>
      </c>
      <c r="O6059" t="str">
        <f>_xlfn.XLOOKUP(Pipeline_tbl[[#This Row],[Rep_ID]],Dim_Reps!A:A,Dim_Reps!B:B)</f>
        <v>Jamie Silva</v>
      </c>
      <c r="P6059" t="str">
        <f>_xlfn.XLOOKUP(Pipeline_tbl[[#This Row],[Rep_ID]],Dim_Reps!A:A,Dim_Reps!C:C)</f>
        <v>SDR / Inside Sales Rep</v>
      </c>
      <c r="Q6059" t="str">
        <f>_xlfn.XLOOKUP(Pipeline_tbl[[#This Row],[Rep_ID]],Dim_Reps!A:A,Dim_Reps!D:D)</f>
        <v>Inside Sales</v>
      </c>
      <c r="R6059" t="str">
        <f>_xlfn.XLOOKUP(Pipeline_tbl[[#This Row],[Rep_ID]],Dim_Reps!A:A,Dim_Reps!E:E)</f>
        <v>EMEA</v>
      </c>
      <c r="S6059" t="str">
        <f>_xlfn.XLOOKUP(Pipeline_tbl[[#This Row],[Created_Date]],Dim_Date!A:A,Dim_Date!H:H)</f>
        <v>Aug 2025</v>
      </c>
      <c r="T6059" t="str">
        <f>IF(Pipeline_tbl[[#This Row],[Closed_Date]]=0,"",(_xlfn.XLOOKUP(Pipeline_tbl[[#This Row],[Closed_Date]],Dim_Date!A:A,Dim_Date!H:H)))</f>
        <v>Sep 2025</v>
      </c>
      <c r="U6059">
        <f>IF(Pipeline_tbl[[#This Row],[Closed_Date]]=0,"",Pipeline_tbl[[#This Row],[Closed_Date]]-Pipeline_tbl[[#This Row],[Created_Date]])</f>
        <v>23</v>
      </c>
    </row>
    <row r="6060" spans="1:21" ht="15" customHeight="1" x14ac:dyDescent="0.2">
      <c r="A6060" t="s">
        <v>6366</v>
      </c>
      <c r="B6060" t="s">
        <v>213</v>
      </c>
      <c r="C6060" t="s">
        <v>52</v>
      </c>
      <c r="D6060" s="49">
        <v>45893</v>
      </c>
      <c r="E6060" s="49">
        <v>45895</v>
      </c>
      <c r="F6060" s="49">
        <v>45900</v>
      </c>
      <c r="G6060" s="49">
        <v>45906</v>
      </c>
      <c r="H6060" s="49">
        <v>45912</v>
      </c>
      <c r="I6060" s="49">
        <v>45915</v>
      </c>
      <c r="J6060" t="s">
        <v>47</v>
      </c>
      <c r="K6060" s="33">
        <v>5900</v>
      </c>
      <c r="M6060" t="str">
        <f>_xlfn.XLOOKUP(Pipeline_tbl[[#This Row],[Rep_ID]],Dim_Reps!A:A,Dim_Reps!K:K)</f>
        <v>EUR</v>
      </c>
      <c r="N6060" s="33">
        <f>(_xlfn.XLOOKUP(Pipeline_tbl[[#This Row],[Rate_Code_Generalized]],Lookups!A:A,Lookups!B:B))*Pipeline_tbl[[#This Row],[Pipeline_Amount_USD]]</f>
        <v>5900</v>
      </c>
      <c r="O6060" t="str">
        <f>_xlfn.XLOOKUP(Pipeline_tbl[[#This Row],[Rep_ID]],Dim_Reps!A:A,Dim_Reps!B:B)</f>
        <v>Jamie Silva</v>
      </c>
      <c r="P6060" t="str">
        <f>_xlfn.XLOOKUP(Pipeline_tbl[[#This Row],[Rep_ID]],Dim_Reps!A:A,Dim_Reps!C:C)</f>
        <v>SDR / Inside Sales Rep</v>
      </c>
      <c r="Q6060" t="str">
        <f>_xlfn.XLOOKUP(Pipeline_tbl[[#This Row],[Rep_ID]],Dim_Reps!A:A,Dim_Reps!D:D)</f>
        <v>Inside Sales</v>
      </c>
      <c r="R6060" t="str">
        <f>_xlfn.XLOOKUP(Pipeline_tbl[[#This Row],[Rep_ID]],Dim_Reps!A:A,Dim_Reps!E:E)</f>
        <v>EMEA</v>
      </c>
      <c r="S6060" t="str">
        <f>_xlfn.XLOOKUP(Pipeline_tbl[[#This Row],[Created_Date]],Dim_Date!A:A,Dim_Date!H:H)</f>
        <v>Aug 2025</v>
      </c>
      <c r="T6060" t="str">
        <f>IF(Pipeline_tbl[[#This Row],[Closed_Date]]=0,"",(_xlfn.XLOOKUP(Pipeline_tbl[[#This Row],[Closed_Date]],Dim_Date!A:A,Dim_Date!H:H)))</f>
        <v>Sep 2025</v>
      </c>
      <c r="U6060">
        <f>IF(Pipeline_tbl[[#This Row],[Closed_Date]]=0,"",Pipeline_tbl[[#This Row],[Closed_Date]]-Pipeline_tbl[[#This Row],[Created_Date]])</f>
        <v>22</v>
      </c>
    </row>
    <row r="6061" spans="1:21" ht="15" customHeight="1" x14ac:dyDescent="0.2">
      <c r="A6061" t="s">
        <v>6367</v>
      </c>
      <c r="B6061" t="s">
        <v>213</v>
      </c>
      <c r="C6061" t="s">
        <v>54</v>
      </c>
      <c r="D6061" s="49">
        <v>45897</v>
      </c>
      <c r="E6061" s="49">
        <v>45898</v>
      </c>
      <c r="F6061" s="49">
        <v>45901</v>
      </c>
      <c r="G6061" s="49">
        <v>45905</v>
      </c>
      <c r="H6061" s="49">
        <v>45908</v>
      </c>
      <c r="I6061" s="49">
        <v>45910</v>
      </c>
      <c r="J6061" t="s">
        <v>47</v>
      </c>
      <c r="K6061" s="33">
        <v>4400</v>
      </c>
      <c r="M6061" t="str">
        <f>_xlfn.XLOOKUP(Pipeline_tbl[[#This Row],[Rep_ID]],Dim_Reps!A:A,Dim_Reps!K:K)</f>
        <v>EUR</v>
      </c>
      <c r="N6061" s="33">
        <f>(_xlfn.XLOOKUP(Pipeline_tbl[[#This Row],[Rate_Code_Generalized]],Lookups!A:A,Lookups!B:B))*Pipeline_tbl[[#This Row],[Pipeline_Amount_USD]]</f>
        <v>4400</v>
      </c>
      <c r="O6061" t="str">
        <f>_xlfn.XLOOKUP(Pipeline_tbl[[#This Row],[Rep_ID]],Dim_Reps!A:A,Dim_Reps!B:B)</f>
        <v>Jamie Silva</v>
      </c>
      <c r="P6061" t="str">
        <f>_xlfn.XLOOKUP(Pipeline_tbl[[#This Row],[Rep_ID]],Dim_Reps!A:A,Dim_Reps!C:C)</f>
        <v>SDR / Inside Sales Rep</v>
      </c>
      <c r="Q6061" t="str">
        <f>_xlfn.XLOOKUP(Pipeline_tbl[[#This Row],[Rep_ID]],Dim_Reps!A:A,Dim_Reps!D:D)</f>
        <v>Inside Sales</v>
      </c>
      <c r="R6061" t="str">
        <f>_xlfn.XLOOKUP(Pipeline_tbl[[#This Row],[Rep_ID]],Dim_Reps!A:A,Dim_Reps!E:E)</f>
        <v>EMEA</v>
      </c>
      <c r="S6061" t="str">
        <f>_xlfn.XLOOKUP(Pipeline_tbl[[#This Row],[Created_Date]],Dim_Date!A:A,Dim_Date!H:H)</f>
        <v>Aug 2025</v>
      </c>
      <c r="T6061" t="str">
        <f>IF(Pipeline_tbl[[#This Row],[Closed_Date]]=0,"",(_xlfn.XLOOKUP(Pipeline_tbl[[#This Row],[Closed_Date]],Dim_Date!A:A,Dim_Date!H:H)))</f>
        <v>Sep 2025</v>
      </c>
      <c r="U6061">
        <f>IF(Pipeline_tbl[[#This Row],[Closed_Date]]=0,"",Pipeline_tbl[[#This Row],[Closed_Date]]-Pipeline_tbl[[#This Row],[Created_Date]])</f>
        <v>13</v>
      </c>
    </row>
    <row r="6062" spans="1:21" ht="15" customHeight="1" x14ac:dyDescent="0.2">
      <c r="A6062" t="s">
        <v>6368</v>
      </c>
      <c r="B6062" t="s">
        <v>213</v>
      </c>
      <c r="C6062" t="s">
        <v>52</v>
      </c>
      <c r="D6062" s="49">
        <v>45899</v>
      </c>
      <c r="E6062" s="49">
        <v>45901</v>
      </c>
      <c r="F6062" s="49">
        <v>45904</v>
      </c>
      <c r="I6062" s="49">
        <v>45916</v>
      </c>
      <c r="J6062" t="s">
        <v>49</v>
      </c>
      <c r="K6062" s="33">
        <v>2000</v>
      </c>
      <c r="L6062" t="s">
        <v>60</v>
      </c>
      <c r="M6062" t="str">
        <f>_xlfn.XLOOKUP(Pipeline_tbl[[#This Row],[Rep_ID]],Dim_Reps!A:A,Dim_Reps!K:K)</f>
        <v>EUR</v>
      </c>
      <c r="N6062" s="33">
        <f>(_xlfn.XLOOKUP(Pipeline_tbl[[#This Row],[Rate_Code_Generalized]],Lookups!A:A,Lookups!B:B))*Pipeline_tbl[[#This Row],[Pipeline_Amount_USD]]</f>
        <v>2000</v>
      </c>
      <c r="O6062" t="str">
        <f>_xlfn.XLOOKUP(Pipeline_tbl[[#This Row],[Rep_ID]],Dim_Reps!A:A,Dim_Reps!B:B)</f>
        <v>Jamie Silva</v>
      </c>
      <c r="P6062" t="str">
        <f>_xlfn.XLOOKUP(Pipeline_tbl[[#This Row],[Rep_ID]],Dim_Reps!A:A,Dim_Reps!C:C)</f>
        <v>SDR / Inside Sales Rep</v>
      </c>
      <c r="Q6062" t="str">
        <f>_xlfn.XLOOKUP(Pipeline_tbl[[#This Row],[Rep_ID]],Dim_Reps!A:A,Dim_Reps!D:D)</f>
        <v>Inside Sales</v>
      </c>
      <c r="R6062" t="str">
        <f>_xlfn.XLOOKUP(Pipeline_tbl[[#This Row],[Rep_ID]],Dim_Reps!A:A,Dim_Reps!E:E)</f>
        <v>EMEA</v>
      </c>
      <c r="S6062" t="str">
        <f>_xlfn.XLOOKUP(Pipeline_tbl[[#This Row],[Created_Date]],Dim_Date!A:A,Dim_Date!H:H)</f>
        <v>Aug 2025</v>
      </c>
      <c r="T6062" t="str">
        <f>IF(Pipeline_tbl[[#This Row],[Closed_Date]]=0,"",(_xlfn.XLOOKUP(Pipeline_tbl[[#This Row],[Closed_Date]],Dim_Date!A:A,Dim_Date!H:H)))</f>
        <v>Sep 2025</v>
      </c>
      <c r="U6062">
        <f>IF(Pipeline_tbl[[#This Row],[Closed_Date]]=0,"",Pipeline_tbl[[#This Row],[Closed_Date]]-Pipeline_tbl[[#This Row],[Created_Date]])</f>
        <v>17</v>
      </c>
    </row>
    <row r="6063" spans="1:21" ht="15" customHeight="1" x14ac:dyDescent="0.2">
      <c r="A6063" t="s">
        <v>6369</v>
      </c>
      <c r="B6063" t="s">
        <v>253</v>
      </c>
      <c r="C6063" t="s">
        <v>53</v>
      </c>
      <c r="D6063" s="49">
        <v>45884</v>
      </c>
      <c r="E6063" s="49">
        <v>45887</v>
      </c>
      <c r="F6063" s="49">
        <v>45892</v>
      </c>
      <c r="G6063" s="49">
        <v>45900</v>
      </c>
      <c r="H6063" s="49">
        <v>45906</v>
      </c>
      <c r="I6063" s="49">
        <v>45910</v>
      </c>
      <c r="J6063" t="s">
        <v>49</v>
      </c>
      <c r="K6063" s="33">
        <v>8600</v>
      </c>
      <c r="L6063" t="s">
        <v>63</v>
      </c>
      <c r="M6063" t="str">
        <f>_xlfn.XLOOKUP(Pipeline_tbl[[#This Row],[Rep_ID]],Dim_Reps!A:A,Dim_Reps!K:K)</f>
        <v>EUR</v>
      </c>
      <c r="N6063" s="33">
        <f>(_xlfn.XLOOKUP(Pipeline_tbl[[#This Row],[Rate_Code_Generalized]],Lookups!A:A,Lookups!B:B))*Pipeline_tbl[[#This Row],[Pipeline_Amount_USD]]</f>
        <v>8600</v>
      </c>
      <c r="O6063" t="str">
        <f>_xlfn.XLOOKUP(Pipeline_tbl[[#This Row],[Rep_ID]],Dim_Reps!A:A,Dim_Reps!B:B)</f>
        <v>Rafael Weber</v>
      </c>
      <c r="P6063" t="str">
        <f>_xlfn.XLOOKUP(Pipeline_tbl[[#This Row],[Rep_ID]],Dim_Reps!A:A,Dim_Reps!C:C)</f>
        <v>Mid-Market AE</v>
      </c>
      <c r="Q6063" t="str">
        <f>_xlfn.XLOOKUP(Pipeline_tbl[[#This Row],[Rep_ID]],Dim_Reps!A:A,Dim_Reps!D:D)</f>
        <v>Mid-Market</v>
      </c>
      <c r="R6063" t="str">
        <f>_xlfn.XLOOKUP(Pipeline_tbl[[#This Row],[Rep_ID]],Dim_Reps!A:A,Dim_Reps!E:E)</f>
        <v>APAC</v>
      </c>
      <c r="S6063" t="str">
        <f>_xlfn.XLOOKUP(Pipeline_tbl[[#This Row],[Created_Date]],Dim_Date!A:A,Dim_Date!H:H)</f>
        <v>Aug 2025</v>
      </c>
      <c r="T6063" t="str">
        <f>IF(Pipeline_tbl[[#This Row],[Closed_Date]]=0,"",(_xlfn.XLOOKUP(Pipeline_tbl[[#This Row],[Closed_Date]],Dim_Date!A:A,Dim_Date!H:H)))</f>
        <v>Sep 2025</v>
      </c>
      <c r="U6063">
        <f>IF(Pipeline_tbl[[#This Row],[Closed_Date]]=0,"",Pipeline_tbl[[#This Row],[Closed_Date]]-Pipeline_tbl[[#This Row],[Created_Date]])</f>
        <v>26</v>
      </c>
    </row>
    <row r="6064" spans="1:21" ht="15" customHeight="1" x14ac:dyDescent="0.2">
      <c r="A6064" t="s">
        <v>6370</v>
      </c>
      <c r="B6064" t="s">
        <v>215</v>
      </c>
      <c r="C6064" t="s">
        <v>53</v>
      </c>
      <c r="D6064" s="49">
        <v>45897</v>
      </c>
      <c r="E6064" s="49">
        <v>45898</v>
      </c>
      <c r="F6064" s="49">
        <v>45901</v>
      </c>
      <c r="G6064" s="49">
        <v>45905</v>
      </c>
      <c r="H6064" s="49">
        <v>45909</v>
      </c>
      <c r="I6064" s="49">
        <v>45911</v>
      </c>
      <c r="J6064" t="s">
        <v>49</v>
      </c>
      <c r="K6064" s="33">
        <v>5600</v>
      </c>
      <c r="L6064" t="s">
        <v>62</v>
      </c>
      <c r="M6064" t="str">
        <f>_xlfn.XLOOKUP(Pipeline_tbl[[#This Row],[Rep_ID]],Dim_Reps!A:A,Dim_Reps!K:K)</f>
        <v>EUR</v>
      </c>
      <c r="N6064" s="33">
        <f>(_xlfn.XLOOKUP(Pipeline_tbl[[#This Row],[Rate_Code_Generalized]],Lookups!A:A,Lookups!B:B))*Pipeline_tbl[[#This Row],[Pipeline_Amount_USD]]</f>
        <v>5600</v>
      </c>
      <c r="O6064" t="str">
        <f>_xlfn.XLOOKUP(Pipeline_tbl[[#This Row],[Rep_ID]],Dim_Reps!A:A,Dim_Reps!B:B)</f>
        <v>Jamie Schmidt</v>
      </c>
      <c r="P6064" t="str">
        <f>_xlfn.XLOOKUP(Pipeline_tbl[[#This Row],[Rep_ID]],Dim_Reps!A:A,Dim_Reps!C:C)</f>
        <v>SDR / Inside Sales Rep</v>
      </c>
      <c r="Q6064" t="str">
        <f>_xlfn.XLOOKUP(Pipeline_tbl[[#This Row],[Rep_ID]],Dim_Reps!A:A,Dim_Reps!D:D)</f>
        <v>Inside Sales</v>
      </c>
      <c r="R6064" t="str">
        <f>_xlfn.XLOOKUP(Pipeline_tbl[[#This Row],[Rep_ID]],Dim_Reps!A:A,Dim_Reps!E:E)</f>
        <v>APAC</v>
      </c>
      <c r="S6064" t="str">
        <f>_xlfn.XLOOKUP(Pipeline_tbl[[#This Row],[Created_Date]],Dim_Date!A:A,Dim_Date!H:H)</f>
        <v>Aug 2025</v>
      </c>
      <c r="T6064" t="str">
        <f>IF(Pipeline_tbl[[#This Row],[Closed_Date]]=0,"",(_xlfn.XLOOKUP(Pipeline_tbl[[#This Row],[Closed_Date]],Dim_Date!A:A,Dim_Date!H:H)))</f>
        <v>Sep 2025</v>
      </c>
      <c r="U6064">
        <f>IF(Pipeline_tbl[[#This Row],[Closed_Date]]=0,"",Pipeline_tbl[[#This Row],[Closed_Date]]-Pipeline_tbl[[#This Row],[Created_Date]])</f>
        <v>14</v>
      </c>
    </row>
    <row r="6065" spans="1:21" ht="15" customHeight="1" x14ac:dyDescent="0.2">
      <c r="A6065" t="s">
        <v>6371</v>
      </c>
      <c r="B6065" t="s">
        <v>215</v>
      </c>
      <c r="C6065" t="s">
        <v>54</v>
      </c>
      <c r="D6065" s="49">
        <v>45892</v>
      </c>
      <c r="E6065" s="49">
        <v>45895</v>
      </c>
      <c r="F6065" s="49">
        <v>45900</v>
      </c>
      <c r="I6065" s="49">
        <v>45920</v>
      </c>
      <c r="J6065" t="s">
        <v>49</v>
      </c>
      <c r="K6065" s="33">
        <v>2700</v>
      </c>
      <c r="L6065" t="s">
        <v>61</v>
      </c>
      <c r="M6065" t="str">
        <f>_xlfn.XLOOKUP(Pipeline_tbl[[#This Row],[Rep_ID]],Dim_Reps!A:A,Dim_Reps!K:K)</f>
        <v>EUR</v>
      </c>
      <c r="N6065" s="33">
        <f>(_xlfn.XLOOKUP(Pipeline_tbl[[#This Row],[Rate_Code_Generalized]],Lookups!A:A,Lookups!B:B))*Pipeline_tbl[[#This Row],[Pipeline_Amount_USD]]</f>
        <v>2700</v>
      </c>
      <c r="O6065" t="str">
        <f>_xlfn.XLOOKUP(Pipeline_tbl[[#This Row],[Rep_ID]],Dim_Reps!A:A,Dim_Reps!B:B)</f>
        <v>Jamie Schmidt</v>
      </c>
      <c r="P6065" t="str">
        <f>_xlfn.XLOOKUP(Pipeline_tbl[[#This Row],[Rep_ID]],Dim_Reps!A:A,Dim_Reps!C:C)</f>
        <v>SDR / Inside Sales Rep</v>
      </c>
      <c r="Q6065" t="str">
        <f>_xlfn.XLOOKUP(Pipeline_tbl[[#This Row],[Rep_ID]],Dim_Reps!A:A,Dim_Reps!D:D)</f>
        <v>Inside Sales</v>
      </c>
      <c r="R6065" t="str">
        <f>_xlfn.XLOOKUP(Pipeline_tbl[[#This Row],[Rep_ID]],Dim_Reps!A:A,Dim_Reps!E:E)</f>
        <v>APAC</v>
      </c>
      <c r="S6065" t="str">
        <f>_xlfn.XLOOKUP(Pipeline_tbl[[#This Row],[Created_Date]],Dim_Date!A:A,Dim_Date!H:H)</f>
        <v>Aug 2025</v>
      </c>
      <c r="T6065" t="str">
        <f>IF(Pipeline_tbl[[#This Row],[Closed_Date]]=0,"",(_xlfn.XLOOKUP(Pipeline_tbl[[#This Row],[Closed_Date]],Dim_Date!A:A,Dim_Date!H:H)))</f>
        <v>Sep 2025</v>
      </c>
      <c r="U6065">
        <f>IF(Pipeline_tbl[[#This Row],[Closed_Date]]=0,"",Pipeline_tbl[[#This Row],[Closed_Date]]-Pipeline_tbl[[#This Row],[Created_Date]])</f>
        <v>28</v>
      </c>
    </row>
    <row r="6066" spans="1:21" ht="15" customHeight="1" x14ac:dyDescent="0.2">
      <c r="A6066" t="s">
        <v>6372</v>
      </c>
      <c r="B6066" t="s">
        <v>215</v>
      </c>
      <c r="C6066" t="s">
        <v>52</v>
      </c>
      <c r="D6066" s="49">
        <v>45893</v>
      </c>
      <c r="E6066" s="49">
        <v>45894</v>
      </c>
      <c r="F6066" s="49">
        <v>45896</v>
      </c>
      <c r="G6066" s="49">
        <v>45899</v>
      </c>
      <c r="H6066" s="49">
        <v>45901</v>
      </c>
      <c r="I6066" s="49">
        <v>45903</v>
      </c>
      <c r="J6066" t="s">
        <v>49</v>
      </c>
      <c r="K6066" s="33">
        <v>2500</v>
      </c>
      <c r="L6066" t="s">
        <v>61</v>
      </c>
      <c r="M6066" t="str">
        <f>_xlfn.XLOOKUP(Pipeline_tbl[[#This Row],[Rep_ID]],Dim_Reps!A:A,Dim_Reps!K:K)</f>
        <v>EUR</v>
      </c>
      <c r="N6066" s="33">
        <f>(_xlfn.XLOOKUP(Pipeline_tbl[[#This Row],[Rate_Code_Generalized]],Lookups!A:A,Lookups!B:B))*Pipeline_tbl[[#This Row],[Pipeline_Amount_USD]]</f>
        <v>2500</v>
      </c>
      <c r="O6066" t="str">
        <f>_xlfn.XLOOKUP(Pipeline_tbl[[#This Row],[Rep_ID]],Dim_Reps!A:A,Dim_Reps!B:B)</f>
        <v>Jamie Schmidt</v>
      </c>
      <c r="P6066" t="str">
        <f>_xlfn.XLOOKUP(Pipeline_tbl[[#This Row],[Rep_ID]],Dim_Reps!A:A,Dim_Reps!C:C)</f>
        <v>SDR / Inside Sales Rep</v>
      </c>
      <c r="Q6066" t="str">
        <f>_xlfn.XLOOKUP(Pipeline_tbl[[#This Row],[Rep_ID]],Dim_Reps!A:A,Dim_Reps!D:D)</f>
        <v>Inside Sales</v>
      </c>
      <c r="R6066" t="str">
        <f>_xlfn.XLOOKUP(Pipeline_tbl[[#This Row],[Rep_ID]],Dim_Reps!A:A,Dim_Reps!E:E)</f>
        <v>APAC</v>
      </c>
      <c r="S6066" t="str">
        <f>_xlfn.XLOOKUP(Pipeline_tbl[[#This Row],[Created_Date]],Dim_Date!A:A,Dim_Date!H:H)</f>
        <v>Aug 2025</v>
      </c>
      <c r="T6066" t="str">
        <f>IF(Pipeline_tbl[[#This Row],[Closed_Date]]=0,"",(_xlfn.XLOOKUP(Pipeline_tbl[[#This Row],[Closed_Date]],Dim_Date!A:A,Dim_Date!H:H)))</f>
        <v>Sep 2025</v>
      </c>
      <c r="U6066">
        <f>IF(Pipeline_tbl[[#This Row],[Closed_Date]]=0,"",Pipeline_tbl[[#This Row],[Closed_Date]]-Pipeline_tbl[[#This Row],[Created_Date]])</f>
        <v>10</v>
      </c>
    </row>
    <row r="6067" spans="1:21" ht="15" customHeight="1" x14ac:dyDescent="0.2">
      <c r="A6067" t="s">
        <v>6373</v>
      </c>
      <c r="B6067" t="s">
        <v>215</v>
      </c>
      <c r="C6067" t="s">
        <v>52</v>
      </c>
      <c r="D6067" s="49">
        <v>45897</v>
      </c>
      <c r="E6067" s="49">
        <v>45899</v>
      </c>
      <c r="F6067" s="49">
        <v>45902</v>
      </c>
      <c r="G6067" s="49">
        <v>45907</v>
      </c>
      <c r="H6067" s="49">
        <v>45911</v>
      </c>
      <c r="I6067" s="49">
        <v>45913</v>
      </c>
      <c r="J6067" t="s">
        <v>47</v>
      </c>
      <c r="K6067" s="33">
        <v>2700</v>
      </c>
      <c r="M6067" t="str">
        <f>_xlfn.XLOOKUP(Pipeline_tbl[[#This Row],[Rep_ID]],Dim_Reps!A:A,Dim_Reps!K:K)</f>
        <v>EUR</v>
      </c>
      <c r="N6067" s="33">
        <f>(_xlfn.XLOOKUP(Pipeline_tbl[[#This Row],[Rate_Code_Generalized]],Lookups!A:A,Lookups!B:B))*Pipeline_tbl[[#This Row],[Pipeline_Amount_USD]]</f>
        <v>2700</v>
      </c>
      <c r="O6067" t="str">
        <f>_xlfn.XLOOKUP(Pipeline_tbl[[#This Row],[Rep_ID]],Dim_Reps!A:A,Dim_Reps!B:B)</f>
        <v>Jamie Schmidt</v>
      </c>
      <c r="P6067" t="str">
        <f>_xlfn.XLOOKUP(Pipeline_tbl[[#This Row],[Rep_ID]],Dim_Reps!A:A,Dim_Reps!C:C)</f>
        <v>SDR / Inside Sales Rep</v>
      </c>
      <c r="Q6067" t="str">
        <f>_xlfn.XLOOKUP(Pipeline_tbl[[#This Row],[Rep_ID]],Dim_Reps!A:A,Dim_Reps!D:D)</f>
        <v>Inside Sales</v>
      </c>
      <c r="R6067" t="str">
        <f>_xlfn.XLOOKUP(Pipeline_tbl[[#This Row],[Rep_ID]],Dim_Reps!A:A,Dim_Reps!E:E)</f>
        <v>APAC</v>
      </c>
      <c r="S6067" t="str">
        <f>_xlfn.XLOOKUP(Pipeline_tbl[[#This Row],[Created_Date]],Dim_Date!A:A,Dim_Date!H:H)</f>
        <v>Aug 2025</v>
      </c>
      <c r="T6067" t="str">
        <f>IF(Pipeline_tbl[[#This Row],[Closed_Date]]=0,"",(_xlfn.XLOOKUP(Pipeline_tbl[[#This Row],[Closed_Date]],Dim_Date!A:A,Dim_Date!H:H)))</f>
        <v>Sep 2025</v>
      </c>
      <c r="U6067">
        <f>IF(Pipeline_tbl[[#This Row],[Closed_Date]]=0,"",Pipeline_tbl[[#This Row],[Closed_Date]]-Pipeline_tbl[[#This Row],[Created_Date]])</f>
        <v>16</v>
      </c>
    </row>
    <row r="6068" spans="1:21" ht="15" customHeight="1" x14ac:dyDescent="0.2">
      <c r="A6068" t="s">
        <v>6374</v>
      </c>
      <c r="B6068" t="s">
        <v>215</v>
      </c>
      <c r="C6068" t="s">
        <v>52</v>
      </c>
      <c r="D6068" s="49">
        <v>45882</v>
      </c>
      <c r="E6068" s="49">
        <v>45885</v>
      </c>
      <c r="F6068" s="49">
        <v>45890</v>
      </c>
      <c r="G6068" s="49">
        <v>45899</v>
      </c>
      <c r="I6068" s="49">
        <v>45910</v>
      </c>
      <c r="J6068" t="s">
        <v>49</v>
      </c>
      <c r="K6068" s="33">
        <v>7200</v>
      </c>
      <c r="L6068" t="s">
        <v>62</v>
      </c>
      <c r="M6068" t="str">
        <f>_xlfn.XLOOKUP(Pipeline_tbl[[#This Row],[Rep_ID]],Dim_Reps!A:A,Dim_Reps!K:K)</f>
        <v>EUR</v>
      </c>
      <c r="N6068" s="33">
        <f>(_xlfn.XLOOKUP(Pipeline_tbl[[#This Row],[Rate_Code_Generalized]],Lookups!A:A,Lookups!B:B))*Pipeline_tbl[[#This Row],[Pipeline_Amount_USD]]</f>
        <v>7200</v>
      </c>
      <c r="O6068" t="str">
        <f>_xlfn.XLOOKUP(Pipeline_tbl[[#This Row],[Rep_ID]],Dim_Reps!A:A,Dim_Reps!B:B)</f>
        <v>Jamie Schmidt</v>
      </c>
      <c r="P6068" t="str">
        <f>_xlfn.XLOOKUP(Pipeline_tbl[[#This Row],[Rep_ID]],Dim_Reps!A:A,Dim_Reps!C:C)</f>
        <v>SDR / Inside Sales Rep</v>
      </c>
      <c r="Q6068" t="str">
        <f>_xlfn.XLOOKUP(Pipeline_tbl[[#This Row],[Rep_ID]],Dim_Reps!A:A,Dim_Reps!D:D)</f>
        <v>Inside Sales</v>
      </c>
      <c r="R6068" t="str">
        <f>_xlfn.XLOOKUP(Pipeline_tbl[[#This Row],[Rep_ID]],Dim_Reps!A:A,Dim_Reps!E:E)</f>
        <v>APAC</v>
      </c>
      <c r="S6068" t="str">
        <f>_xlfn.XLOOKUP(Pipeline_tbl[[#This Row],[Created_Date]],Dim_Date!A:A,Dim_Date!H:H)</f>
        <v>Aug 2025</v>
      </c>
      <c r="T6068" t="str">
        <f>IF(Pipeline_tbl[[#This Row],[Closed_Date]]=0,"",(_xlfn.XLOOKUP(Pipeline_tbl[[#This Row],[Closed_Date]],Dim_Date!A:A,Dim_Date!H:H)))</f>
        <v>Sep 2025</v>
      </c>
      <c r="U6068">
        <f>IF(Pipeline_tbl[[#This Row],[Closed_Date]]=0,"",Pipeline_tbl[[#This Row],[Closed_Date]]-Pipeline_tbl[[#This Row],[Created_Date]])</f>
        <v>28</v>
      </c>
    </row>
    <row r="6069" spans="1:21" ht="15" customHeight="1" x14ac:dyDescent="0.2">
      <c r="A6069" t="s">
        <v>6375</v>
      </c>
      <c r="B6069" t="s">
        <v>215</v>
      </c>
      <c r="C6069" t="s">
        <v>52</v>
      </c>
      <c r="D6069" s="49">
        <v>45894</v>
      </c>
      <c r="E6069" s="49">
        <v>45896</v>
      </c>
      <c r="F6069" s="49">
        <v>45900</v>
      </c>
      <c r="I6069" s="49">
        <v>45914</v>
      </c>
      <c r="J6069" t="s">
        <v>49</v>
      </c>
      <c r="K6069" s="33">
        <v>7400</v>
      </c>
      <c r="L6069" t="s">
        <v>63</v>
      </c>
      <c r="M6069" t="str">
        <f>_xlfn.XLOOKUP(Pipeline_tbl[[#This Row],[Rep_ID]],Dim_Reps!A:A,Dim_Reps!K:K)</f>
        <v>EUR</v>
      </c>
      <c r="N6069" s="33">
        <f>(_xlfn.XLOOKUP(Pipeline_tbl[[#This Row],[Rate_Code_Generalized]],Lookups!A:A,Lookups!B:B))*Pipeline_tbl[[#This Row],[Pipeline_Amount_USD]]</f>
        <v>7400</v>
      </c>
      <c r="O6069" t="str">
        <f>_xlfn.XLOOKUP(Pipeline_tbl[[#This Row],[Rep_ID]],Dim_Reps!A:A,Dim_Reps!B:B)</f>
        <v>Jamie Schmidt</v>
      </c>
      <c r="P6069" t="str">
        <f>_xlfn.XLOOKUP(Pipeline_tbl[[#This Row],[Rep_ID]],Dim_Reps!A:A,Dim_Reps!C:C)</f>
        <v>SDR / Inside Sales Rep</v>
      </c>
      <c r="Q6069" t="str">
        <f>_xlfn.XLOOKUP(Pipeline_tbl[[#This Row],[Rep_ID]],Dim_Reps!A:A,Dim_Reps!D:D)</f>
        <v>Inside Sales</v>
      </c>
      <c r="R6069" t="str">
        <f>_xlfn.XLOOKUP(Pipeline_tbl[[#This Row],[Rep_ID]],Dim_Reps!A:A,Dim_Reps!E:E)</f>
        <v>APAC</v>
      </c>
      <c r="S6069" t="str">
        <f>_xlfn.XLOOKUP(Pipeline_tbl[[#This Row],[Created_Date]],Dim_Date!A:A,Dim_Date!H:H)</f>
        <v>Aug 2025</v>
      </c>
      <c r="T6069" t="str">
        <f>IF(Pipeline_tbl[[#This Row],[Closed_Date]]=0,"",(_xlfn.XLOOKUP(Pipeline_tbl[[#This Row],[Closed_Date]],Dim_Date!A:A,Dim_Date!H:H)))</f>
        <v>Sep 2025</v>
      </c>
      <c r="U6069">
        <f>IF(Pipeline_tbl[[#This Row],[Closed_Date]]=0,"",Pipeline_tbl[[#This Row],[Closed_Date]]-Pipeline_tbl[[#This Row],[Created_Date]])</f>
        <v>20</v>
      </c>
    </row>
    <row r="6070" spans="1:21" ht="15" customHeight="1" x14ac:dyDescent="0.2">
      <c r="A6070" t="s">
        <v>6376</v>
      </c>
      <c r="B6070" t="s">
        <v>217</v>
      </c>
      <c r="C6070" t="s">
        <v>53</v>
      </c>
      <c r="D6070" s="49">
        <v>45890</v>
      </c>
      <c r="E6070" s="49">
        <v>45891</v>
      </c>
      <c r="I6070" s="49">
        <v>45901</v>
      </c>
      <c r="J6070" t="s">
        <v>49</v>
      </c>
      <c r="K6070" s="33">
        <v>1300</v>
      </c>
      <c r="L6070" t="s">
        <v>61</v>
      </c>
      <c r="M6070" t="str">
        <f>_xlfn.XLOOKUP(Pipeline_tbl[[#This Row],[Rep_ID]],Dim_Reps!A:A,Dim_Reps!K:K)</f>
        <v>USD</v>
      </c>
      <c r="N6070" s="33">
        <f>(_xlfn.XLOOKUP(Pipeline_tbl[[#This Row],[Rate_Code_Generalized]],Lookups!A:A,Lookups!B:B))*Pipeline_tbl[[#This Row],[Pipeline_Amount_USD]]</f>
        <v>1513.59</v>
      </c>
      <c r="O6070" t="str">
        <f>_xlfn.XLOOKUP(Pipeline_tbl[[#This Row],[Rep_ID]],Dim_Reps!A:A,Dim_Reps!B:B)</f>
        <v>Priya Weber</v>
      </c>
      <c r="P6070" t="str">
        <f>_xlfn.XLOOKUP(Pipeline_tbl[[#This Row],[Rep_ID]],Dim_Reps!A:A,Dim_Reps!C:C)</f>
        <v>SDR / Inside Sales Rep</v>
      </c>
      <c r="Q6070" t="str">
        <f>_xlfn.XLOOKUP(Pipeline_tbl[[#This Row],[Rep_ID]],Dim_Reps!A:A,Dim_Reps!D:D)</f>
        <v>Inside Sales</v>
      </c>
      <c r="R6070" t="str">
        <f>_xlfn.XLOOKUP(Pipeline_tbl[[#This Row],[Rep_ID]],Dim_Reps!A:A,Dim_Reps!E:E)</f>
        <v>NAMER</v>
      </c>
      <c r="S6070" t="str">
        <f>_xlfn.XLOOKUP(Pipeline_tbl[[#This Row],[Created_Date]],Dim_Date!A:A,Dim_Date!H:H)</f>
        <v>Aug 2025</v>
      </c>
      <c r="T6070" t="str">
        <f>IF(Pipeline_tbl[[#This Row],[Closed_Date]]=0,"",(_xlfn.XLOOKUP(Pipeline_tbl[[#This Row],[Closed_Date]],Dim_Date!A:A,Dim_Date!H:H)))</f>
        <v>Sep 2025</v>
      </c>
      <c r="U6070">
        <f>IF(Pipeline_tbl[[#This Row],[Closed_Date]]=0,"",Pipeline_tbl[[#This Row],[Closed_Date]]-Pipeline_tbl[[#This Row],[Created_Date]])</f>
        <v>11</v>
      </c>
    </row>
    <row r="6071" spans="1:21" ht="15" customHeight="1" x14ac:dyDescent="0.2">
      <c r="A6071" t="s">
        <v>6377</v>
      </c>
      <c r="B6071" t="s">
        <v>217</v>
      </c>
      <c r="C6071" t="s">
        <v>52</v>
      </c>
      <c r="D6071" s="49">
        <v>45895</v>
      </c>
      <c r="E6071" s="49">
        <v>45897</v>
      </c>
      <c r="F6071" s="49">
        <v>45900</v>
      </c>
      <c r="G6071" s="49">
        <v>45904</v>
      </c>
      <c r="I6071" s="49">
        <v>45910</v>
      </c>
      <c r="J6071" t="s">
        <v>49</v>
      </c>
      <c r="K6071" s="33">
        <v>3300</v>
      </c>
      <c r="L6071" t="s">
        <v>60</v>
      </c>
      <c r="M6071" t="str">
        <f>_xlfn.XLOOKUP(Pipeline_tbl[[#This Row],[Rep_ID]],Dim_Reps!A:A,Dim_Reps!K:K)</f>
        <v>USD</v>
      </c>
      <c r="N6071" s="33">
        <f>(_xlfn.XLOOKUP(Pipeline_tbl[[#This Row],[Rate_Code_Generalized]],Lookups!A:A,Lookups!B:B))*Pipeline_tbl[[#This Row],[Pipeline_Amount_USD]]</f>
        <v>3842.1899999999996</v>
      </c>
      <c r="O6071" t="str">
        <f>_xlfn.XLOOKUP(Pipeline_tbl[[#This Row],[Rep_ID]],Dim_Reps!A:A,Dim_Reps!B:B)</f>
        <v>Priya Weber</v>
      </c>
      <c r="P6071" t="str">
        <f>_xlfn.XLOOKUP(Pipeline_tbl[[#This Row],[Rep_ID]],Dim_Reps!A:A,Dim_Reps!C:C)</f>
        <v>SDR / Inside Sales Rep</v>
      </c>
      <c r="Q6071" t="str">
        <f>_xlfn.XLOOKUP(Pipeline_tbl[[#This Row],[Rep_ID]],Dim_Reps!A:A,Dim_Reps!D:D)</f>
        <v>Inside Sales</v>
      </c>
      <c r="R6071" t="str">
        <f>_xlfn.XLOOKUP(Pipeline_tbl[[#This Row],[Rep_ID]],Dim_Reps!A:A,Dim_Reps!E:E)</f>
        <v>NAMER</v>
      </c>
      <c r="S6071" t="str">
        <f>_xlfn.XLOOKUP(Pipeline_tbl[[#This Row],[Created_Date]],Dim_Date!A:A,Dim_Date!H:H)</f>
        <v>Aug 2025</v>
      </c>
      <c r="T6071" t="str">
        <f>IF(Pipeline_tbl[[#This Row],[Closed_Date]]=0,"",(_xlfn.XLOOKUP(Pipeline_tbl[[#This Row],[Closed_Date]],Dim_Date!A:A,Dim_Date!H:H)))</f>
        <v>Sep 2025</v>
      </c>
      <c r="U6071">
        <f>IF(Pipeline_tbl[[#This Row],[Closed_Date]]=0,"",Pipeline_tbl[[#This Row],[Closed_Date]]-Pipeline_tbl[[#This Row],[Created_Date]])</f>
        <v>15</v>
      </c>
    </row>
    <row r="6072" spans="1:21" ht="15" customHeight="1" x14ac:dyDescent="0.2">
      <c r="A6072" t="s">
        <v>6378</v>
      </c>
      <c r="B6072" t="s">
        <v>217</v>
      </c>
      <c r="C6072" t="s">
        <v>54</v>
      </c>
      <c r="D6072" s="49">
        <v>45892</v>
      </c>
      <c r="E6072" s="49">
        <v>45893</v>
      </c>
      <c r="F6072" s="49">
        <v>45895</v>
      </c>
      <c r="I6072" s="49">
        <v>45902</v>
      </c>
      <c r="J6072" t="s">
        <v>49</v>
      </c>
      <c r="K6072" s="33">
        <v>4600</v>
      </c>
      <c r="L6072" t="s">
        <v>61</v>
      </c>
      <c r="M6072" t="str">
        <f>_xlfn.XLOOKUP(Pipeline_tbl[[#This Row],[Rep_ID]],Dim_Reps!A:A,Dim_Reps!K:K)</f>
        <v>USD</v>
      </c>
      <c r="N6072" s="33">
        <f>(_xlfn.XLOOKUP(Pipeline_tbl[[#This Row],[Rate_Code_Generalized]],Lookups!A:A,Lookups!B:B))*Pipeline_tbl[[#This Row],[Pipeline_Amount_USD]]</f>
        <v>5355.78</v>
      </c>
      <c r="O6072" t="str">
        <f>_xlfn.XLOOKUP(Pipeline_tbl[[#This Row],[Rep_ID]],Dim_Reps!A:A,Dim_Reps!B:B)</f>
        <v>Priya Weber</v>
      </c>
      <c r="P6072" t="str">
        <f>_xlfn.XLOOKUP(Pipeline_tbl[[#This Row],[Rep_ID]],Dim_Reps!A:A,Dim_Reps!C:C)</f>
        <v>SDR / Inside Sales Rep</v>
      </c>
      <c r="Q6072" t="str">
        <f>_xlfn.XLOOKUP(Pipeline_tbl[[#This Row],[Rep_ID]],Dim_Reps!A:A,Dim_Reps!D:D)</f>
        <v>Inside Sales</v>
      </c>
      <c r="R6072" t="str">
        <f>_xlfn.XLOOKUP(Pipeline_tbl[[#This Row],[Rep_ID]],Dim_Reps!A:A,Dim_Reps!E:E)</f>
        <v>NAMER</v>
      </c>
      <c r="S6072" t="str">
        <f>_xlfn.XLOOKUP(Pipeline_tbl[[#This Row],[Created_Date]],Dim_Date!A:A,Dim_Date!H:H)</f>
        <v>Aug 2025</v>
      </c>
      <c r="T6072" t="str">
        <f>IF(Pipeline_tbl[[#This Row],[Closed_Date]]=0,"",(_xlfn.XLOOKUP(Pipeline_tbl[[#This Row],[Closed_Date]],Dim_Date!A:A,Dim_Date!H:H)))</f>
        <v>Sep 2025</v>
      </c>
      <c r="U6072">
        <f>IF(Pipeline_tbl[[#This Row],[Closed_Date]]=0,"",Pipeline_tbl[[#This Row],[Closed_Date]]-Pipeline_tbl[[#This Row],[Created_Date]])</f>
        <v>10</v>
      </c>
    </row>
    <row r="6073" spans="1:21" ht="15" customHeight="1" x14ac:dyDescent="0.2">
      <c r="A6073" t="s">
        <v>6379</v>
      </c>
      <c r="B6073" t="s">
        <v>217</v>
      </c>
      <c r="C6073" t="s">
        <v>53</v>
      </c>
      <c r="D6073" s="49">
        <v>45889</v>
      </c>
      <c r="E6073" s="49">
        <v>45890</v>
      </c>
      <c r="F6073" s="49">
        <v>45893</v>
      </c>
      <c r="G6073" s="49">
        <v>45897</v>
      </c>
      <c r="H6073" s="49">
        <v>45900</v>
      </c>
      <c r="I6073" s="49">
        <v>45902</v>
      </c>
      <c r="J6073" t="s">
        <v>47</v>
      </c>
      <c r="K6073" s="33">
        <v>3700</v>
      </c>
      <c r="M6073" t="str">
        <f>_xlfn.XLOOKUP(Pipeline_tbl[[#This Row],[Rep_ID]],Dim_Reps!A:A,Dim_Reps!K:K)</f>
        <v>USD</v>
      </c>
      <c r="N6073" s="33">
        <f>(_xlfn.XLOOKUP(Pipeline_tbl[[#This Row],[Rate_Code_Generalized]],Lookups!A:A,Lookups!B:B))*Pipeline_tbl[[#This Row],[Pipeline_Amount_USD]]</f>
        <v>4307.91</v>
      </c>
      <c r="O6073" t="str">
        <f>_xlfn.XLOOKUP(Pipeline_tbl[[#This Row],[Rep_ID]],Dim_Reps!A:A,Dim_Reps!B:B)</f>
        <v>Priya Weber</v>
      </c>
      <c r="P6073" t="str">
        <f>_xlfn.XLOOKUP(Pipeline_tbl[[#This Row],[Rep_ID]],Dim_Reps!A:A,Dim_Reps!C:C)</f>
        <v>SDR / Inside Sales Rep</v>
      </c>
      <c r="Q6073" t="str">
        <f>_xlfn.XLOOKUP(Pipeline_tbl[[#This Row],[Rep_ID]],Dim_Reps!A:A,Dim_Reps!D:D)</f>
        <v>Inside Sales</v>
      </c>
      <c r="R6073" t="str">
        <f>_xlfn.XLOOKUP(Pipeline_tbl[[#This Row],[Rep_ID]],Dim_Reps!A:A,Dim_Reps!E:E)</f>
        <v>NAMER</v>
      </c>
      <c r="S6073" t="str">
        <f>_xlfn.XLOOKUP(Pipeline_tbl[[#This Row],[Created_Date]],Dim_Date!A:A,Dim_Date!H:H)</f>
        <v>Aug 2025</v>
      </c>
      <c r="T6073" t="str">
        <f>IF(Pipeline_tbl[[#This Row],[Closed_Date]]=0,"",(_xlfn.XLOOKUP(Pipeline_tbl[[#This Row],[Closed_Date]],Dim_Date!A:A,Dim_Date!H:H)))</f>
        <v>Sep 2025</v>
      </c>
      <c r="U6073">
        <f>IF(Pipeline_tbl[[#This Row],[Closed_Date]]=0,"",Pipeline_tbl[[#This Row],[Closed_Date]]-Pipeline_tbl[[#This Row],[Created_Date]])</f>
        <v>13</v>
      </c>
    </row>
    <row r="6074" spans="1:21" ht="15" customHeight="1" x14ac:dyDescent="0.2">
      <c r="A6074" t="s">
        <v>6380</v>
      </c>
      <c r="B6074" t="s">
        <v>217</v>
      </c>
      <c r="C6074" t="s">
        <v>52</v>
      </c>
      <c r="D6074" s="49">
        <v>45885</v>
      </c>
      <c r="E6074" s="49">
        <v>45887</v>
      </c>
      <c r="F6074" s="49">
        <v>45890</v>
      </c>
      <c r="G6074" s="49">
        <v>45895</v>
      </c>
      <c r="H6074" s="49">
        <v>45899</v>
      </c>
      <c r="I6074" s="49">
        <v>45902</v>
      </c>
      <c r="J6074" t="s">
        <v>47</v>
      </c>
      <c r="K6074" s="33">
        <v>3300</v>
      </c>
      <c r="M6074" t="str">
        <f>_xlfn.XLOOKUP(Pipeline_tbl[[#This Row],[Rep_ID]],Dim_Reps!A:A,Dim_Reps!K:K)</f>
        <v>USD</v>
      </c>
      <c r="N6074" s="33">
        <f>(_xlfn.XLOOKUP(Pipeline_tbl[[#This Row],[Rate_Code_Generalized]],Lookups!A:A,Lookups!B:B))*Pipeline_tbl[[#This Row],[Pipeline_Amount_USD]]</f>
        <v>3842.1899999999996</v>
      </c>
      <c r="O6074" t="str">
        <f>_xlfn.XLOOKUP(Pipeline_tbl[[#This Row],[Rep_ID]],Dim_Reps!A:A,Dim_Reps!B:B)</f>
        <v>Priya Weber</v>
      </c>
      <c r="P6074" t="str">
        <f>_xlfn.XLOOKUP(Pipeline_tbl[[#This Row],[Rep_ID]],Dim_Reps!A:A,Dim_Reps!C:C)</f>
        <v>SDR / Inside Sales Rep</v>
      </c>
      <c r="Q6074" t="str">
        <f>_xlfn.XLOOKUP(Pipeline_tbl[[#This Row],[Rep_ID]],Dim_Reps!A:A,Dim_Reps!D:D)</f>
        <v>Inside Sales</v>
      </c>
      <c r="R6074" t="str">
        <f>_xlfn.XLOOKUP(Pipeline_tbl[[#This Row],[Rep_ID]],Dim_Reps!A:A,Dim_Reps!E:E)</f>
        <v>NAMER</v>
      </c>
      <c r="S6074" t="str">
        <f>_xlfn.XLOOKUP(Pipeline_tbl[[#This Row],[Created_Date]],Dim_Date!A:A,Dim_Date!H:H)</f>
        <v>Aug 2025</v>
      </c>
      <c r="T6074" t="str">
        <f>IF(Pipeline_tbl[[#This Row],[Closed_Date]]=0,"",(_xlfn.XLOOKUP(Pipeline_tbl[[#This Row],[Closed_Date]],Dim_Date!A:A,Dim_Date!H:H)))</f>
        <v>Sep 2025</v>
      </c>
      <c r="U6074">
        <f>IF(Pipeline_tbl[[#This Row],[Closed_Date]]=0,"",Pipeline_tbl[[#This Row],[Closed_Date]]-Pipeline_tbl[[#This Row],[Created_Date]])</f>
        <v>17</v>
      </c>
    </row>
    <row r="6075" spans="1:21" ht="15" customHeight="1" x14ac:dyDescent="0.2">
      <c r="A6075" t="s">
        <v>6381</v>
      </c>
      <c r="B6075" t="s">
        <v>217</v>
      </c>
      <c r="C6075" t="s">
        <v>54</v>
      </c>
      <c r="D6075" s="49">
        <v>45900</v>
      </c>
      <c r="E6075" s="49">
        <v>45902</v>
      </c>
      <c r="F6075" s="49">
        <v>45907</v>
      </c>
      <c r="G6075" s="49">
        <v>45914</v>
      </c>
      <c r="I6075" s="49">
        <v>45924</v>
      </c>
      <c r="J6075" t="s">
        <v>49</v>
      </c>
      <c r="K6075" s="33">
        <v>4800</v>
      </c>
      <c r="L6075" t="s">
        <v>61</v>
      </c>
      <c r="M6075" t="str">
        <f>_xlfn.XLOOKUP(Pipeline_tbl[[#This Row],[Rep_ID]],Dim_Reps!A:A,Dim_Reps!K:K)</f>
        <v>USD</v>
      </c>
      <c r="N6075" s="33">
        <f>(_xlfn.XLOOKUP(Pipeline_tbl[[#This Row],[Rate_Code_Generalized]],Lookups!A:A,Lookups!B:B))*Pipeline_tbl[[#This Row],[Pipeline_Amount_USD]]</f>
        <v>5588.6399999999994</v>
      </c>
      <c r="O6075" t="str">
        <f>_xlfn.XLOOKUP(Pipeline_tbl[[#This Row],[Rep_ID]],Dim_Reps!A:A,Dim_Reps!B:B)</f>
        <v>Priya Weber</v>
      </c>
      <c r="P6075" t="str">
        <f>_xlfn.XLOOKUP(Pipeline_tbl[[#This Row],[Rep_ID]],Dim_Reps!A:A,Dim_Reps!C:C)</f>
        <v>SDR / Inside Sales Rep</v>
      </c>
      <c r="Q6075" t="str">
        <f>_xlfn.XLOOKUP(Pipeline_tbl[[#This Row],[Rep_ID]],Dim_Reps!A:A,Dim_Reps!D:D)</f>
        <v>Inside Sales</v>
      </c>
      <c r="R6075" t="str">
        <f>_xlfn.XLOOKUP(Pipeline_tbl[[#This Row],[Rep_ID]],Dim_Reps!A:A,Dim_Reps!E:E)</f>
        <v>NAMER</v>
      </c>
      <c r="S6075" t="str">
        <f>_xlfn.XLOOKUP(Pipeline_tbl[[#This Row],[Created_Date]],Dim_Date!A:A,Dim_Date!H:H)</f>
        <v>Aug 2025</v>
      </c>
      <c r="T6075" t="str">
        <f>IF(Pipeline_tbl[[#This Row],[Closed_Date]]=0,"",(_xlfn.XLOOKUP(Pipeline_tbl[[#This Row],[Closed_Date]],Dim_Date!A:A,Dim_Date!H:H)))</f>
        <v>Sep 2025</v>
      </c>
      <c r="U6075">
        <f>IF(Pipeline_tbl[[#This Row],[Closed_Date]]=0,"",Pipeline_tbl[[#This Row],[Closed_Date]]-Pipeline_tbl[[#This Row],[Created_Date]])</f>
        <v>24</v>
      </c>
    </row>
    <row r="6076" spans="1:21" ht="15" customHeight="1" x14ac:dyDescent="0.2">
      <c r="A6076" t="s">
        <v>6382</v>
      </c>
      <c r="B6076" t="s">
        <v>255</v>
      </c>
      <c r="C6076" t="s">
        <v>55</v>
      </c>
      <c r="D6076" s="49">
        <v>45879</v>
      </c>
      <c r="E6076" s="49">
        <v>45883</v>
      </c>
      <c r="F6076" s="49">
        <v>45892</v>
      </c>
      <c r="G6076" s="49">
        <v>45905</v>
      </c>
      <c r="H6076" s="49">
        <v>45916</v>
      </c>
      <c r="I6076" s="49">
        <v>45923</v>
      </c>
      <c r="J6076" t="s">
        <v>47</v>
      </c>
      <c r="K6076" s="33">
        <v>8800</v>
      </c>
      <c r="M6076" t="str">
        <f>_xlfn.XLOOKUP(Pipeline_tbl[[#This Row],[Rep_ID]],Dim_Reps!A:A,Dim_Reps!K:K)</f>
        <v>USD</v>
      </c>
      <c r="N6076" s="33">
        <f>(_xlfn.XLOOKUP(Pipeline_tbl[[#This Row],[Rate_Code_Generalized]],Lookups!A:A,Lookups!B:B))*Pipeline_tbl[[#This Row],[Pipeline_Amount_USD]]</f>
        <v>10245.839999999998</v>
      </c>
      <c r="O6076" t="str">
        <f>_xlfn.XLOOKUP(Pipeline_tbl[[#This Row],[Rep_ID]],Dim_Reps!A:A,Dim_Reps!B:B)</f>
        <v>Erik Kim</v>
      </c>
      <c r="P6076" t="str">
        <f>_xlfn.XLOOKUP(Pipeline_tbl[[#This Row],[Rep_ID]],Dim_Reps!A:A,Dim_Reps!C:C)</f>
        <v>Mid-Market AE</v>
      </c>
      <c r="Q6076" t="str">
        <f>_xlfn.XLOOKUP(Pipeline_tbl[[#This Row],[Rep_ID]],Dim_Reps!A:A,Dim_Reps!D:D)</f>
        <v>Mid-Market</v>
      </c>
      <c r="R6076" t="str">
        <f>_xlfn.XLOOKUP(Pipeline_tbl[[#This Row],[Rep_ID]],Dim_Reps!A:A,Dim_Reps!E:E)</f>
        <v>NAMER</v>
      </c>
      <c r="S6076" t="str">
        <f>_xlfn.XLOOKUP(Pipeline_tbl[[#This Row],[Created_Date]],Dim_Date!A:A,Dim_Date!H:H)</f>
        <v>Aug 2025</v>
      </c>
      <c r="T6076" t="str">
        <f>IF(Pipeline_tbl[[#This Row],[Closed_Date]]=0,"",(_xlfn.XLOOKUP(Pipeline_tbl[[#This Row],[Closed_Date]],Dim_Date!A:A,Dim_Date!H:H)))</f>
        <v>Sep 2025</v>
      </c>
      <c r="U6076">
        <f>IF(Pipeline_tbl[[#This Row],[Closed_Date]]=0,"",Pipeline_tbl[[#This Row],[Closed_Date]]-Pipeline_tbl[[#This Row],[Created_Date]])</f>
        <v>44</v>
      </c>
    </row>
    <row r="6077" spans="1:21" ht="15" customHeight="1" x14ac:dyDescent="0.2">
      <c r="A6077" t="s">
        <v>6383</v>
      </c>
      <c r="B6077" t="s">
        <v>188</v>
      </c>
      <c r="C6077" t="s">
        <v>54</v>
      </c>
      <c r="D6077" s="49">
        <v>45873</v>
      </c>
      <c r="E6077" s="49">
        <v>45878</v>
      </c>
      <c r="I6077" s="49">
        <v>45922</v>
      </c>
      <c r="J6077" t="s">
        <v>49</v>
      </c>
      <c r="K6077" s="33">
        <v>31500</v>
      </c>
      <c r="L6077" t="s">
        <v>62</v>
      </c>
      <c r="M6077" t="str">
        <f>_xlfn.XLOOKUP(Pipeline_tbl[[#This Row],[Rep_ID]],Dim_Reps!A:A,Dim_Reps!K:K)</f>
        <v>EUR</v>
      </c>
      <c r="N6077" s="33">
        <f>(_xlfn.XLOOKUP(Pipeline_tbl[[#This Row],[Rate_Code_Generalized]],Lookups!A:A,Lookups!B:B))*Pipeline_tbl[[#This Row],[Pipeline_Amount_USD]]</f>
        <v>31500</v>
      </c>
      <c r="O6077" t="str">
        <f>_xlfn.XLOOKUP(Pipeline_tbl[[#This Row],[Rep_ID]],Dim_Reps!A:A,Dim_Reps!B:B)</f>
        <v>Jamie Santos</v>
      </c>
      <c r="P6077" t="str">
        <f>_xlfn.XLOOKUP(Pipeline_tbl[[#This Row],[Rep_ID]],Dim_Reps!A:A,Dim_Reps!C:C)</f>
        <v>Enterprise AE</v>
      </c>
      <c r="Q6077" t="str">
        <f>_xlfn.XLOOKUP(Pipeline_tbl[[#This Row],[Rep_ID]],Dim_Reps!A:A,Dim_Reps!D:D)</f>
        <v>Enterprise</v>
      </c>
      <c r="R6077" t="str">
        <f>_xlfn.XLOOKUP(Pipeline_tbl[[#This Row],[Rep_ID]],Dim_Reps!A:A,Dim_Reps!E:E)</f>
        <v>APAC</v>
      </c>
      <c r="S6077" t="str">
        <f>_xlfn.XLOOKUP(Pipeline_tbl[[#This Row],[Created_Date]],Dim_Date!A:A,Dim_Date!H:H)</f>
        <v>Aug 2025</v>
      </c>
      <c r="T6077" t="str">
        <f>IF(Pipeline_tbl[[#This Row],[Closed_Date]]=0,"",(_xlfn.XLOOKUP(Pipeline_tbl[[#This Row],[Closed_Date]],Dim_Date!A:A,Dim_Date!H:H)))</f>
        <v>Sep 2025</v>
      </c>
      <c r="U6077">
        <f>IF(Pipeline_tbl[[#This Row],[Closed_Date]]=0,"",Pipeline_tbl[[#This Row],[Closed_Date]]-Pipeline_tbl[[#This Row],[Created_Date]])</f>
        <v>49</v>
      </c>
    </row>
    <row r="6078" spans="1:21" ht="15" customHeight="1" x14ac:dyDescent="0.2">
      <c r="A6078" t="s">
        <v>6384</v>
      </c>
      <c r="B6078" t="s">
        <v>221</v>
      </c>
      <c r="C6078" t="s">
        <v>54</v>
      </c>
      <c r="D6078" s="49">
        <v>45896</v>
      </c>
      <c r="E6078" s="49">
        <v>45898</v>
      </c>
      <c r="F6078" s="49">
        <v>45902</v>
      </c>
      <c r="G6078" s="49">
        <v>45907</v>
      </c>
      <c r="H6078" s="49">
        <v>45912</v>
      </c>
      <c r="I6078" s="49">
        <v>45915</v>
      </c>
      <c r="J6078" t="s">
        <v>49</v>
      </c>
      <c r="K6078" s="33">
        <v>3400</v>
      </c>
      <c r="L6078" t="s">
        <v>61</v>
      </c>
      <c r="M6078" t="str">
        <f>_xlfn.XLOOKUP(Pipeline_tbl[[#This Row],[Rep_ID]],Dim_Reps!A:A,Dim_Reps!K:K)</f>
        <v>MXN</v>
      </c>
      <c r="N6078" s="33">
        <f>(_xlfn.XLOOKUP(Pipeline_tbl[[#This Row],[Rate_Code_Generalized]],Lookups!A:A,Lookups!B:B))*Pipeline_tbl[[#This Row],[Pipeline_Amount_USD]]</f>
        <v>67091.180000000008</v>
      </c>
      <c r="O6078" t="str">
        <f>_xlfn.XLOOKUP(Pipeline_tbl[[#This Row],[Rep_ID]],Dim_Reps!A:A,Dim_Reps!B:B)</f>
        <v>Casey Muller</v>
      </c>
      <c r="P6078" t="str">
        <f>_xlfn.XLOOKUP(Pipeline_tbl[[#This Row],[Rep_ID]],Dim_Reps!A:A,Dim_Reps!C:C)</f>
        <v>SDR / Inside Sales Rep</v>
      </c>
      <c r="Q6078" t="str">
        <f>_xlfn.XLOOKUP(Pipeline_tbl[[#This Row],[Rep_ID]],Dim_Reps!A:A,Dim_Reps!D:D)</f>
        <v>Inside Sales</v>
      </c>
      <c r="R6078" t="str">
        <f>_xlfn.XLOOKUP(Pipeline_tbl[[#This Row],[Rep_ID]],Dim_Reps!A:A,Dim_Reps!E:E)</f>
        <v>LATAM</v>
      </c>
      <c r="S6078" t="str">
        <f>_xlfn.XLOOKUP(Pipeline_tbl[[#This Row],[Created_Date]],Dim_Date!A:A,Dim_Date!H:H)</f>
        <v>Aug 2025</v>
      </c>
      <c r="T6078" t="str">
        <f>IF(Pipeline_tbl[[#This Row],[Closed_Date]]=0,"",(_xlfn.XLOOKUP(Pipeline_tbl[[#This Row],[Closed_Date]],Dim_Date!A:A,Dim_Date!H:H)))</f>
        <v>Sep 2025</v>
      </c>
      <c r="U6078">
        <f>IF(Pipeline_tbl[[#This Row],[Closed_Date]]=0,"",Pipeline_tbl[[#This Row],[Closed_Date]]-Pipeline_tbl[[#This Row],[Created_Date]])</f>
        <v>19</v>
      </c>
    </row>
    <row r="6079" spans="1:21" ht="15" customHeight="1" x14ac:dyDescent="0.2">
      <c r="A6079" t="s">
        <v>6385</v>
      </c>
      <c r="B6079" t="s">
        <v>221</v>
      </c>
      <c r="C6079" t="s">
        <v>54</v>
      </c>
      <c r="D6079" s="49">
        <v>45898</v>
      </c>
      <c r="E6079" s="49">
        <v>45900</v>
      </c>
      <c r="F6079" s="49">
        <v>45903</v>
      </c>
      <c r="G6079" s="49">
        <v>45909</v>
      </c>
      <c r="H6079" s="49">
        <v>45913</v>
      </c>
      <c r="I6079" s="49">
        <v>45916</v>
      </c>
      <c r="J6079" t="s">
        <v>49</v>
      </c>
      <c r="K6079" s="33">
        <v>4400</v>
      </c>
      <c r="L6079" t="s">
        <v>63</v>
      </c>
      <c r="M6079" t="str">
        <f>_xlfn.XLOOKUP(Pipeline_tbl[[#This Row],[Rep_ID]],Dim_Reps!A:A,Dim_Reps!K:K)</f>
        <v>MXN</v>
      </c>
      <c r="N6079" s="33">
        <f>(_xlfn.XLOOKUP(Pipeline_tbl[[#This Row],[Rate_Code_Generalized]],Lookups!A:A,Lookups!B:B))*Pipeline_tbl[[#This Row],[Pipeline_Amount_USD]]</f>
        <v>86823.88</v>
      </c>
      <c r="O6079" t="str">
        <f>_xlfn.XLOOKUP(Pipeline_tbl[[#This Row],[Rep_ID]],Dim_Reps!A:A,Dim_Reps!B:B)</f>
        <v>Casey Muller</v>
      </c>
      <c r="P6079" t="str">
        <f>_xlfn.XLOOKUP(Pipeline_tbl[[#This Row],[Rep_ID]],Dim_Reps!A:A,Dim_Reps!C:C)</f>
        <v>SDR / Inside Sales Rep</v>
      </c>
      <c r="Q6079" t="str">
        <f>_xlfn.XLOOKUP(Pipeline_tbl[[#This Row],[Rep_ID]],Dim_Reps!A:A,Dim_Reps!D:D)</f>
        <v>Inside Sales</v>
      </c>
      <c r="R6079" t="str">
        <f>_xlfn.XLOOKUP(Pipeline_tbl[[#This Row],[Rep_ID]],Dim_Reps!A:A,Dim_Reps!E:E)</f>
        <v>LATAM</v>
      </c>
      <c r="S6079" t="str">
        <f>_xlfn.XLOOKUP(Pipeline_tbl[[#This Row],[Created_Date]],Dim_Date!A:A,Dim_Date!H:H)</f>
        <v>Aug 2025</v>
      </c>
      <c r="T6079" t="str">
        <f>IF(Pipeline_tbl[[#This Row],[Closed_Date]]=0,"",(_xlfn.XLOOKUP(Pipeline_tbl[[#This Row],[Closed_Date]],Dim_Date!A:A,Dim_Date!H:H)))</f>
        <v>Sep 2025</v>
      </c>
      <c r="U6079">
        <f>IF(Pipeline_tbl[[#This Row],[Closed_Date]]=0,"",Pipeline_tbl[[#This Row],[Closed_Date]]-Pipeline_tbl[[#This Row],[Created_Date]])</f>
        <v>18</v>
      </c>
    </row>
    <row r="6080" spans="1:21" ht="15" customHeight="1" x14ac:dyDescent="0.2">
      <c r="A6080" t="s">
        <v>6386</v>
      </c>
      <c r="B6080" t="s">
        <v>221</v>
      </c>
      <c r="C6080" t="s">
        <v>52</v>
      </c>
      <c r="D6080" s="49">
        <v>45886</v>
      </c>
      <c r="E6080" s="49">
        <v>45888</v>
      </c>
      <c r="F6080" s="49">
        <v>45893</v>
      </c>
      <c r="G6080" s="49">
        <v>45899</v>
      </c>
      <c r="H6080" s="49">
        <v>45905</v>
      </c>
      <c r="I6080" s="49">
        <v>45908</v>
      </c>
      <c r="J6080" t="s">
        <v>49</v>
      </c>
      <c r="K6080" s="33">
        <v>3000</v>
      </c>
      <c r="L6080" t="s">
        <v>62</v>
      </c>
      <c r="M6080" t="str">
        <f>_xlfn.XLOOKUP(Pipeline_tbl[[#This Row],[Rep_ID]],Dim_Reps!A:A,Dim_Reps!K:K)</f>
        <v>MXN</v>
      </c>
      <c r="N6080" s="33">
        <f>(_xlfn.XLOOKUP(Pipeline_tbl[[#This Row],[Rate_Code_Generalized]],Lookups!A:A,Lookups!B:B))*Pipeline_tbl[[#This Row],[Pipeline_Amount_USD]]</f>
        <v>59198.100000000006</v>
      </c>
      <c r="O6080" t="str">
        <f>_xlfn.XLOOKUP(Pipeline_tbl[[#This Row],[Rep_ID]],Dim_Reps!A:A,Dim_Reps!B:B)</f>
        <v>Casey Muller</v>
      </c>
      <c r="P6080" t="str">
        <f>_xlfn.XLOOKUP(Pipeline_tbl[[#This Row],[Rep_ID]],Dim_Reps!A:A,Dim_Reps!C:C)</f>
        <v>SDR / Inside Sales Rep</v>
      </c>
      <c r="Q6080" t="str">
        <f>_xlfn.XLOOKUP(Pipeline_tbl[[#This Row],[Rep_ID]],Dim_Reps!A:A,Dim_Reps!D:D)</f>
        <v>Inside Sales</v>
      </c>
      <c r="R6080" t="str">
        <f>_xlfn.XLOOKUP(Pipeline_tbl[[#This Row],[Rep_ID]],Dim_Reps!A:A,Dim_Reps!E:E)</f>
        <v>LATAM</v>
      </c>
      <c r="S6080" t="str">
        <f>_xlfn.XLOOKUP(Pipeline_tbl[[#This Row],[Created_Date]],Dim_Date!A:A,Dim_Date!H:H)</f>
        <v>Aug 2025</v>
      </c>
      <c r="T6080" t="str">
        <f>IF(Pipeline_tbl[[#This Row],[Closed_Date]]=0,"",(_xlfn.XLOOKUP(Pipeline_tbl[[#This Row],[Closed_Date]],Dim_Date!A:A,Dim_Date!H:H)))</f>
        <v>Sep 2025</v>
      </c>
      <c r="U6080">
        <f>IF(Pipeline_tbl[[#This Row],[Closed_Date]]=0,"",Pipeline_tbl[[#This Row],[Closed_Date]]-Pipeline_tbl[[#This Row],[Created_Date]])</f>
        <v>22</v>
      </c>
    </row>
    <row r="6081" spans="1:21" ht="15" customHeight="1" x14ac:dyDescent="0.2">
      <c r="A6081" t="s">
        <v>6387</v>
      </c>
      <c r="B6081" t="s">
        <v>221</v>
      </c>
      <c r="C6081" t="s">
        <v>56</v>
      </c>
      <c r="D6081" s="49">
        <v>45883</v>
      </c>
      <c r="E6081" s="49">
        <v>45885</v>
      </c>
      <c r="F6081" s="49">
        <v>45890</v>
      </c>
      <c r="G6081" s="49">
        <v>45897</v>
      </c>
      <c r="H6081" s="49">
        <v>45903</v>
      </c>
      <c r="I6081" s="49">
        <v>45907</v>
      </c>
      <c r="J6081" t="s">
        <v>49</v>
      </c>
      <c r="K6081" s="33">
        <v>3400</v>
      </c>
      <c r="L6081" t="s">
        <v>61</v>
      </c>
      <c r="M6081" t="str">
        <f>_xlfn.XLOOKUP(Pipeline_tbl[[#This Row],[Rep_ID]],Dim_Reps!A:A,Dim_Reps!K:K)</f>
        <v>MXN</v>
      </c>
      <c r="N6081" s="33">
        <f>(_xlfn.XLOOKUP(Pipeline_tbl[[#This Row],[Rate_Code_Generalized]],Lookups!A:A,Lookups!B:B))*Pipeline_tbl[[#This Row],[Pipeline_Amount_USD]]</f>
        <v>67091.180000000008</v>
      </c>
      <c r="O6081" t="str">
        <f>_xlfn.XLOOKUP(Pipeline_tbl[[#This Row],[Rep_ID]],Dim_Reps!A:A,Dim_Reps!B:B)</f>
        <v>Casey Muller</v>
      </c>
      <c r="P6081" t="str">
        <f>_xlfn.XLOOKUP(Pipeline_tbl[[#This Row],[Rep_ID]],Dim_Reps!A:A,Dim_Reps!C:C)</f>
        <v>SDR / Inside Sales Rep</v>
      </c>
      <c r="Q6081" t="str">
        <f>_xlfn.XLOOKUP(Pipeline_tbl[[#This Row],[Rep_ID]],Dim_Reps!A:A,Dim_Reps!D:D)</f>
        <v>Inside Sales</v>
      </c>
      <c r="R6081" t="str">
        <f>_xlfn.XLOOKUP(Pipeline_tbl[[#This Row],[Rep_ID]],Dim_Reps!A:A,Dim_Reps!E:E)</f>
        <v>LATAM</v>
      </c>
      <c r="S6081" t="str">
        <f>_xlfn.XLOOKUP(Pipeline_tbl[[#This Row],[Created_Date]],Dim_Date!A:A,Dim_Date!H:H)</f>
        <v>Aug 2025</v>
      </c>
      <c r="T6081" t="str">
        <f>IF(Pipeline_tbl[[#This Row],[Closed_Date]]=0,"",(_xlfn.XLOOKUP(Pipeline_tbl[[#This Row],[Closed_Date]],Dim_Date!A:A,Dim_Date!H:H)))</f>
        <v>Sep 2025</v>
      </c>
      <c r="U6081">
        <f>IF(Pipeline_tbl[[#This Row],[Closed_Date]]=0,"",Pipeline_tbl[[#This Row],[Closed_Date]]-Pipeline_tbl[[#This Row],[Created_Date]])</f>
        <v>24</v>
      </c>
    </row>
    <row r="6082" spans="1:21" ht="15" customHeight="1" x14ac:dyDescent="0.2">
      <c r="A6082" t="s">
        <v>6388</v>
      </c>
      <c r="B6082" t="s">
        <v>221</v>
      </c>
      <c r="C6082" t="s">
        <v>52</v>
      </c>
      <c r="D6082" s="49">
        <v>45879</v>
      </c>
      <c r="E6082" s="49">
        <v>45882</v>
      </c>
      <c r="F6082" s="49">
        <v>45887</v>
      </c>
      <c r="G6082" s="49">
        <v>45895</v>
      </c>
      <c r="H6082" s="49">
        <v>45901</v>
      </c>
      <c r="I6082" s="49">
        <v>45905</v>
      </c>
      <c r="J6082" t="s">
        <v>47</v>
      </c>
      <c r="K6082" s="33">
        <v>3100</v>
      </c>
      <c r="M6082" t="str">
        <f>_xlfn.XLOOKUP(Pipeline_tbl[[#This Row],[Rep_ID]],Dim_Reps!A:A,Dim_Reps!K:K)</f>
        <v>MXN</v>
      </c>
      <c r="N6082" s="33">
        <f>(_xlfn.XLOOKUP(Pipeline_tbl[[#This Row],[Rate_Code_Generalized]],Lookups!A:A,Lookups!B:B))*Pipeline_tbl[[#This Row],[Pipeline_Amount_USD]]</f>
        <v>61171.37</v>
      </c>
      <c r="O6082" t="str">
        <f>_xlfn.XLOOKUP(Pipeline_tbl[[#This Row],[Rep_ID]],Dim_Reps!A:A,Dim_Reps!B:B)</f>
        <v>Casey Muller</v>
      </c>
      <c r="P6082" t="str">
        <f>_xlfn.XLOOKUP(Pipeline_tbl[[#This Row],[Rep_ID]],Dim_Reps!A:A,Dim_Reps!C:C)</f>
        <v>SDR / Inside Sales Rep</v>
      </c>
      <c r="Q6082" t="str">
        <f>_xlfn.XLOOKUP(Pipeline_tbl[[#This Row],[Rep_ID]],Dim_Reps!A:A,Dim_Reps!D:D)</f>
        <v>Inside Sales</v>
      </c>
      <c r="R6082" t="str">
        <f>_xlfn.XLOOKUP(Pipeline_tbl[[#This Row],[Rep_ID]],Dim_Reps!A:A,Dim_Reps!E:E)</f>
        <v>LATAM</v>
      </c>
      <c r="S6082" t="str">
        <f>_xlfn.XLOOKUP(Pipeline_tbl[[#This Row],[Created_Date]],Dim_Date!A:A,Dim_Date!H:H)</f>
        <v>Aug 2025</v>
      </c>
      <c r="T6082" t="str">
        <f>IF(Pipeline_tbl[[#This Row],[Closed_Date]]=0,"",(_xlfn.XLOOKUP(Pipeline_tbl[[#This Row],[Closed_Date]],Dim_Date!A:A,Dim_Date!H:H)))</f>
        <v>Sep 2025</v>
      </c>
      <c r="U6082">
        <f>IF(Pipeline_tbl[[#This Row],[Closed_Date]]=0,"",Pipeline_tbl[[#This Row],[Closed_Date]]-Pipeline_tbl[[#This Row],[Created_Date]])</f>
        <v>26</v>
      </c>
    </row>
    <row r="6083" spans="1:21" ht="15" customHeight="1" x14ac:dyDescent="0.2">
      <c r="A6083" t="s">
        <v>6389</v>
      </c>
      <c r="B6083" t="s">
        <v>257</v>
      </c>
      <c r="C6083" t="s">
        <v>54</v>
      </c>
      <c r="D6083" s="49">
        <v>45900</v>
      </c>
      <c r="E6083" s="49">
        <v>45903</v>
      </c>
      <c r="F6083" s="49">
        <v>45909</v>
      </c>
      <c r="G6083" s="49">
        <v>45918</v>
      </c>
      <c r="H6083" s="49">
        <v>45926</v>
      </c>
      <c r="I6083" s="49">
        <v>45930</v>
      </c>
      <c r="J6083" t="s">
        <v>47</v>
      </c>
      <c r="K6083" s="33">
        <v>13400</v>
      </c>
      <c r="M6083" t="str">
        <f>_xlfn.XLOOKUP(Pipeline_tbl[[#This Row],[Rep_ID]],Dim_Reps!A:A,Dim_Reps!K:K)</f>
        <v>EUR</v>
      </c>
      <c r="N6083" s="33">
        <f>(_xlfn.XLOOKUP(Pipeline_tbl[[#This Row],[Rate_Code_Generalized]],Lookups!A:A,Lookups!B:B))*Pipeline_tbl[[#This Row],[Pipeline_Amount_USD]]</f>
        <v>13400</v>
      </c>
      <c r="O6083" t="str">
        <f>_xlfn.XLOOKUP(Pipeline_tbl[[#This Row],[Rep_ID]],Dim_Reps!A:A,Dim_Reps!B:B)</f>
        <v>Ana Kim</v>
      </c>
      <c r="P6083" t="str">
        <f>_xlfn.XLOOKUP(Pipeline_tbl[[#This Row],[Rep_ID]],Dim_Reps!A:A,Dim_Reps!C:C)</f>
        <v>Mid-Market AE</v>
      </c>
      <c r="Q6083" t="str">
        <f>_xlfn.XLOOKUP(Pipeline_tbl[[#This Row],[Rep_ID]],Dim_Reps!A:A,Dim_Reps!D:D)</f>
        <v>Mid-Market</v>
      </c>
      <c r="R6083" t="str">
        <f>_xlfn.XLOOKUP(Pipeline_tbl[[#This Row],[Rep_ID]],Dim_Reps!A:A,Dim_Reps!E:E)</f>
        <v>APAC</v>
      </c>
      <c r="S6083" t="str">
        <f>_xlfn.XLOOKUP(Pipeline_tbl[[#This Row],[Created_Date]],Dim_Date!A:A,Dim_Date!H:H)</f>
        <v>Aug 2025</v>
      </c>
      <c r="T6083" t="str">
        <f>IF(Pipeline_tbl[[#This Row],[Closed_Date]]=0,"",(_xlfn.XLOOKUP(Pipeline_tbl[[#This Row],[Closed_Date]],Dim_Date!A:A,Dim_Date!H:H)))</f>
        <v>Sep 2025</v>
      </c>
      <c r="U6083">
        <f>IF(Pipeline_tbl[[#This Row],[Closed_Date]]=0,"",Pipeline_tbl[[#This Row],[Closed_Date]]-Pipeline_tbl[[#This Row],[Created_Date]])</f>
        <v>30</v>
      </c>
    </row>
    <row r="6084" spans="1:21" ht="15" customHeight="1" x14ac:dyDescent="0.2">
      <c r="A6084" t="s">
        <v>6390</v>
      </c>
      <c r="B6084" t="s">
        <v>257</v>
      </c>
      <c r="C6084" t="s">
        <v>52</v>
      </c>
      <c r="D6084" s="49">
        <v>45883</v>
      </c>
      <c r="E6084" s="49">
        <v>45887</v>
      </c>
      <c r="F6084" s="49">
        <v>45894</v>
      </c>
      <c r="G6084" s="49">
        <v>45905</v>
      </c>
      <c r="I6084" s="49">
        <v>45920</v>
      </c>
      <c r="J6084" t="s">
        <v>49</v>
      </c>
      <c r="K6084" s="33">
        <v>8800</v>
      </c>
      <c r="L6084" t="s">
        <v>63</v>
      </c>
      <c r="M6084" t="str">
        <f>_xlfn.XLOOKUP(Pipeline_tbl[[#This Row],[Rep_ID]],Dim_Reps!A:A,Dim_Reps!K:K)</f>
        <v>EUR</v>
      </c>
      <c r="N6084" s="33">
        <f>(_xlfn.XLOOKUP(Pipeline_tbl[[#This Row],[Rate_Code_Generalized]],Lookups!A:A,Lookups!B:B))*Pipeline_tbl[[#This Row],[Pipeline_Amount_USD]]</f>
        <v>8800</v>
      </c>
      <c r="O6084" t="str">
        <f>_xlfn.XLOOKUP(Pipeline_tbl[[#This Row],[Rep_ID]],Dim_Reps!A:A,Dim_Reps!B:B)</f>
        <v>Ana Kim</v>
      </c>
      <c r="P6084" t="str">
        <f>_xlfn.XLOOKUP(Pipeline_tbl[[#This Row],[Rep_ID]],Dim_Reps!A:A,Dim_Reps!C:C)</f>
        <v>Mid-Market AE</v>
      </c>
      <c r="Q6084" t="str">
        <f>_xlfn.XLOOKUP(Pipeline_tbl[[#This Row],[Rep_ID]],Dim_Reps!A:A,Dim_Reps!D:D)</f>
        <v>Mid-Market</v>
      </c>
      <c r="R6084" t="str">
        <f>_xlfn.XLOOKUP(Pipeline_tbl[[#This Row],[Rep_ID]],Dim_Reps!A:A,Dim_Reps!E:E)</f>
        <v>APAC</v>
      </c>
      <c r="S6084" t="str">
        <f>_xlfn.XLOOKUP(Pipeline_tbl[[#This Row],[Created_Date]],Dim_Date!A:A,Dim_Date!H:H)</f>
        <v>Aug 2025</v>
      </c>
      <c r="T6084" t="str">
        <f>IF(Pipeline_tbl[[#This Row],[Closed_Date]]=0,"",(_xlfn.XLOOKUP(Pipeline_tbl[[#This Row],[Closed_Date]],Dim_Date!A:A,Dim_Date!H:H)))</f>
        <v>Sep 2025</v>
      </c>
      <c r="U6084">
        <f>IF(Pipeline_tbl[[#This Row],[Closed_Date]]=0,"",Pipeline_tbl[[#This Row],[Closed_Date]]-Pipeline_tbl[[#This Row],[Created_Date]])</f>
        <v>37</v>
      </c>
    </row>
    <row r="6085" spans="1:21" ht="15" customHeight="1" x14ac:dyDescent="0.2">
      <c r="A6085" t="s">
        <v>6391</v>
      </c>
      <c r="B6085" t="s">
        <v>257</v>
      </c>
      <c r="C6085" t="s">
        <v>55</v>
      </c>
      <c r="D6085" s="49">
        <v>45887</v>
      </c>
      <c r="E6085" s="49">
        <v>45891</v>
      </c>
      <c r="F6085" s="49">
        <v>45899</v>
      </c>
      <c r="G6085" s="49">
        <v>45911</v>
      </c>
      <c r="I6085" s="49">
        <v>45927</v>
      </c>
      <c r="J6085" t="s">
        <v>49</v>
      </c>
      <c r="K6085" s="33">
        <v>10400</v>
      </c>
      <c r="L6085" t="s">
        <v>60</v>
      </c>
      <c r="M6085" t="str">
        <f>_xlfn.XLOOKUP(Pipeline_tbl[[#This Row],[Rep_ID]],Dim_Reps!A:A,Dim_Reps!K:K)</f>
        <v>EUR</v>
      </c>
      <c r="N6085" s="33">
        <f>(_xlfn.XLOOKUP(Pipeline_tbl[[#This Row],[Rate_Code_Generalized]],Lookups!A:A,Lookups!B:B))*Pipeline_tbl[[#This Row],[Pipeline_Amount_USD]]</f>
        <v>10400</v>
      </c>
      <c r="O6085" t="str">
        <f>_xlfn.XLOOKUP(Pipeline_tbl[[#This Row],[Rep_ID]],Dim_Reps!A:A,Dim_Reps!B:B)</f>
        <v>Ana Kim</v>
      </c>
      <c r="P6085" t="str">
        <f>_xlfn.XLOOKUP(Pipeline_tbl[[#This Row],[Rep_ID]],Dim_Reps!A:A,Dim_Reps!C:C)</f>
        <v>Mid-Market AE</v>
      </c>
      <c r="Q6085" t="str">
        <f>_xlfn.XLOOKUP(Pipeline_tbl[[#This Row],[Rep_ID]],Dim_Reps!A:A,Dim_Reps!D:D)</f>
        <v>Mid-Market</v>
      </c>
      <c r="R6085" t="str">
        <f>_xlfn.XLOOKUP(Pipeline_tbl[[#This Row],[Rep_ID]],Dim_Reps!A:A,Dim_Reps!E:E)</f>
        <v>APAC</v>
      </c>
      <c r="S6085" t="str">
        <f>_xlfn.XLOOKUP(Pipeline_tbl[[#This Row],[Created_Date]],Dim_Date!A:A,Dim_Date!H:H)</f>
        <v>Aug 2025</v>
      </c>
      <c r="T6085" t="str">
        <f>IF(Pipeline_tbl[[#This Row],[Closed_Date]]=0,"",(_xlfn.XLOOKUP(Pipeline_tbl[[#This Row],[Closed_Date]],Dim_Date!A:A,Dim_Date!H:H)))</f>
        <v>Sep 2025</v>
      </c>
      <c r="U6085">
        <f>IF(Pipeline_tbl[[#This Row],[Closed_Date]]=0,"",Pipeline_tbl[[#This Row],[Closed_Date]]-Pipeline_tbl[[#This Row],[Created_Date]])</f>
        <v>40</v>
      </c>
    </row>
    <row r="6086" spans="1:21" ht="15" customHeight="1" x14ac:dyDescent="0.2">
      <c r="A6086" t="s">
        <v>6392</v>
      </c>
      <c r="B6086" t="s">
        <v>257</v>
      </c>
      <c r="C6086" t="s">
        <v>53</v>
      </c>
      <c r="D6086" s="49">
        <v>45886</v>
      </c>
      <c r="E6086" s="49">
        <v>45888</v>
      </c>
      <c r="F6086" s="49">
        <v>45891</v>
      </c>
      <c r="G6086" s="49">
        <v>45897</v>
      </c>
      <c r="I6086" s="49">
        <v>45904</v>
      </c>
      <c r="J6086" t="s">
        <v>49</v>
      </c>
      <c r="K6086" s="33">
        <v>17200</v>
      </c>
      <c r="L6086" t="s">
        <v>62</v>
      </c>
      <c r="M6086" t="str">
        <f>_xlfn.XLOOKUP(Pipeline_tbl[[#This Row],[Rep_ID]],Dim_Reps!A:A,Dim_Reps!K:K)</f>
        <v>EUR</v>
      </c>
      <c r="N6086" s="33">
        <f>(_xlfn.XLOOKUP(Pipeline_tbl[[#This Row],[Rate_Code_Generalized]],Lookups!A:A,Lookups!B:B))*Pipeline_tbl[[#This Row],[Pipeline_Amount_USD]]</f>
        <v>17200</v>
      </c>
      <c r="O6086" t="str">
        <f>_xlfn.XLOOKUP(Pipeline_tbl[[#This Row],[Rep_ID]],Dim_Reps!A:A,Dim_Reps!B:B)</f>
        <v>Ana Kim</v>
      </c>
      <c r="P6086" t="str">
        <f>_xlfn.XLOOKUP(Pipeline_tbl[[#This Row],[Rep_ID]],Dim_Reps!A:A,Dim_Reps!C:C)</f>
        <v>Mid-Market AE</v>
      </c>
      <c r="Q6086" t="str">
        <f>_xlfn.XLOOKUP(Pipeline_tbl[[#This Row],[Rep_ID]],Dim_Reps!A:A,Dim_Reps!D:D)</f>
        <v>Mid-Market</v>
      </c>
      <c r="R6086" t="str">
        <f>_xlfn.XLOOKUP(Pipeline_tbl[[#This Row],[Rep_ID]],Dim_Reps!A:A,Dim_Reps!E:E)</f>
        <v>APAC</v>
      </c>
      <c r="S6086" t="str">
        <f>_xlfn.XLOOKUP(Pipeline_tbl[[#This Row],[Created_Date]],Dim_Date!A:A,Dim_Date!H:H)</f>
        <v>Aug 2025</v>
      </c>
      <c r="T6086" t="str">
        <f>IF(Pipeline_tbl[[#This Row],[Closed_Date]]=0,"",(_xlfn.XLOOKUP(Pipeline_tbl[[#This Row],[Closed_Date]],Dim_Date!A:A,Dim_Date!H:H)))</f>
        <v>Sep 2025</v>
      </c>
      <c r="U6086">
        <f>IF(Pipeline_tbl[[#This Row],[Closed_Date]]=0,"",Pipeline_tbl[[#This Row],[Closed_Date]]-Pipeline_tbl[[#This Row],[Created_Date]])</f>
        <v>18</v>
      </c>
    </row>
    <row r="6087" spans="1:21" ht="15" customHeight="1" x14ac:dyDescent="0.2">
      <c r="A6087" t="s">
        <v>6393</v>
      </c>
      <c r="B6087" t="s">
        <v>257</v>
      </c>
      <c r="C6087" t="s">
        <v>52</v>
      </c>
      <c r="D6087" s="49">
        <v>45882</v>
      </c>
      <c r="E6087" s="49">
        <v>45884</v>
      </c>
      <c r="F6087" s="49">
        <v>45889</v>
      </c>
      <c r="G6087" s="49">
        <v>45896</v>
      </c>
      <c r="H6087" s="49">
        <v>45902</v>
      </c>
      <c r="I6087" s="49">
        <v>45906</v>
      </c>
      <c r="J6087" t="s">
        <v>49</v>
      </c>
      <c r="K6087" s="33">
        <v>12600</v>
      </c>
      <c r="L6087" t="s">
        <v>61</v>
      </c>
      <c r="M6087" t="str">
        <f>_xlfn.XLOOKUP(Pipeline_tbl[[#This Row],[Rep_ID]],Dim_Reps!A:A,Dim_Reps!K:K)</f>
        <v>EUR</v>
      </c>
      <c r="N6087" s="33">
        <f>(_xlfn.XLOOKUP(Pipeline_tbl[[#This Row],[Rate_Code_Generalized]],Lookups!A:A,Lookups!B:B))*Pipeline_tbl[[#This Row],[Pipeline_Amount_USD]]</f>
        <v>12600</v>
      </c>
      <c r="O6087" t="str">
        <f>_xlfn.XLOOKUP(Pipeline_tbl[[#This Row],[Rep_ID]],Dim_Reps!A:A,Dim_Reps!B:B)</f>
        <v>Ana Kim</v>
      </c>
      <c r="P6087" t="str">
        <f>_xlfn.XLOOKUP(Pipeline_tbl[[#This Row],[Rep_ID]],Dim_Reps!A:A,Dim_Reps!C:C)</f>
        <v>Mid-Market AE</v>
      </c>
      <c r="Q6087" t="str">
        <f>_xlfn.XLOOKUP(Pipeline_tbl[[#This Row],[Rep_ID]],Dim_Reps!A:A,Dim_Reps!D:D)</f>
        <v>Mid-Market</v>
      </c>
      <c r="R6087" t="str">
        <f>_xlfn.XLOOKUP(Pipeline_tbl[[#This Row],[Rep_ID]],Dim_Reps!A:A,Dim_Reps!E:E)</f>
        <v>APAC</v>
      </c>
      <c r="S6087" t="str">
        <f>_xlfn.XLOOKUP(Pipeline_tbl[[#This Row],[Created_Date]],Dim_Date!A:A,Dim_Date!H:H)</f>
        <v>Aug 2025</v>
      </c>
      <c r="T6087" t="str">
        <f>IF(Pipeline_tbl[[#This Row],[Closed_Date]]=0,"",(_xlfn.XLOOKUP(Pipeline_tbl[[#This Row],[Closed_Date]],Dim_Date!A:A,Dim_Date!H:H)))</f>
        <v>Sep 2025</v>
      </c>
      <c r="U6087">
        <f>IF(Pipeline_tbl[[#This Row],[Closed_Date]]=0,"",Pipeline_tbl[[#This Row],[Closed_Date]]-Pipeline_tbl[[#This Row],[Created_Date]])</f>
        <v>24</v>
      </c>
    </row>
    <row r="6088" spans="1:21" ht="15" customHeight="1" x14ac:dyDescent="0.2">
      <c r="A6088" t="s">
        <v>6394</v>
      </c>
      <c r="B6088" t="s">
        <v>259</v>
      </c>
      <c r="C6088" t="s">
        <v>53</v>
      </c>
      <c r="D6088" s="49">
        <v>45891</v>
      </c>
      <c r="E6088" s="49">
        <v>45894</v>
      </c>
      <c r="F6088" s="49">
        <v>45900</v>
      </c>
      <c r="I6088" s="49">
        <v>45921</v>
      </c>
      <c r="J6088" t="s">
        <v>49</v>
      </c>
      <c r="K6088" s="33">
        <v>20200</v>
      </c>
      <c r="L6088" t="s">
        <v>62</v>
      </c>
      <c r="M6088" t="str">
        <f>_xlfn.XLOOKUP(Pipeline_tbl[[#This Row],[Rep_ID]],Dim_Reps!A:A,Dim_Reps!K:K)</f>
        <v>EUR</v>
      </c>
      <c r="N6088" s="33">
        <f>(_xlfn.XLOOKUP(Pipeline_tbl[[#This Row],[Rate_Code_Generalized]],Lookups!A:A,Lookups!B:B))*Pipeline_tbl[[#This Row],[Pipeline_Amount_USD]]</f>
        <v>20200</v>
      </c>
      <c r="O6088" t="str">
        <f>_xlfn.XLOOKUP(Pipeline_tbl[[#This Row],[Rep_ID]],Dim_Reps!A:A,Dim_Reps!B:B)</f>
        <v>Felix Okafor</v>
      </c>
      <c r="P6088" t="str">
        <f>_xlfn.XLOOKUP(Pipeline_tbl[[#This Row],[Rep_ID]],Dim_Reps!A:A,Dim_Reps!C:C)</f>
        <v>Mid-Market AE</v>
      </c>
      <c r="Q6088" t="str">
        <f>_xlfn.XLOOKUP(Pipeline_tbl[[#This Row],[Rep_ID]],Dim_Reps!A:A,Dim_Reps!D:D)</f>
        <v>Mid-Market</v>
      </c>
      <c r="R6088" t="str">
        <f>_xlfn.XLOOKUP(Pipeline_tbl[[#This Row],[Rep_ID]],Dim_Reps!A:A,Dim_Reps!E:E)</f>
        <v>EMEA</v>
      </c>
      <c r="S6088" t="str">
        <f>_xlfn.XLOOKUP(Pipeline_tbl[[#This Row],[Created_Date]],Dim_Date!A:A,Dim_Date!H:H)</f>
        <v>Aug 2025</v>
      </c>
      <c r="T6088" t="str">
        <f>IF(Pipeline_tbl[[#This Row],[Closed_Date]]=0,"",(_xlfn.XLOOKUP(Pipeline_tbl[[#This Row],[Closed_Date]],Dim_Date!A:A,Dim_Date!H:H)))</f>
        <v>Sep 2025</v>
      </c>
      <c r="U6088">
        <f>IF(Pipeline_tbl[[#This Row],[Closed_Date]]=0,"",Pipeline_tbl[[#This Row],[Closed_Date]]-Pipeline_tbl[[#This Row],[Created_Date]])</f>
        <v>30</v>
      </c>
    </row>
    <row r="6089" spans="1:21" ht="15" customHeight="1" x14ac:dyDescent="0.2">
      <c r="A6089" t="s">
        <v>6395</v>
      </c>
      <c r="B6089" t="s">
        <v>259</v>
      </c>
      <c r="C6089" t="s">
        <v>54</v>
      </c>
      <c r="D6089" s="49">
        <v>45894</v>
      </c>
      <c r="E6089" s="49">
        <v>45897</v>
      </c>
      <c r="F6089" s="49">
        <v>45903</v>
      </c>
      <c r="G6089" s="49">
        <v>45912</v>
      </c>
      <c r="H6089" s="49">
        <v>45920</v>
      </c>
      <c r="I6089" s="49">
        <v>45924</v>
      </c>
      <c r="J6089" t="s">
        <v>47</v>
      </c>
      <c r="K6089" s="33">
        <v>11100</v>
      </c>
      <c r="M6089" t="str">
        <f>_xlfn.XLOOKUP(Pipeline_tbl[[#This Row],[Rep_ID]],Dim_Reps!A:A,Dim_Reps!K:K)</f>
        <v>EUR</v>
      </c>
      <c r="N6089" s="33">
        <f>(_xlfn.XLOOKUP(Pipeline_tbl[[#This Row],[Rate_Code_Generalized]],Lookups!A:A,Lookups!B:B))*Pipeline_tbl[[#This Row],[Pipeline_Amount_USD]]</f>
        <v>11100</v>
      </c>
      <c r="O6089" t="str">
        <f>_xlfn.XLOOKUP(Pipeline_tbl[[#This Row],[Rep_ID]],Dim_Reps!A:A,Dim_Reps!B:B)</f>
        <v>Felix Okafor</v>
      </c>
      <c r="P6089" t="str">
        <f>_xlfn.XLOOKUP(Pipeline_tbl[[#This Row],[Rep_ID]],Dim_Reps!A:A,Dim_Reps!C:C)</f>
        <v>Mid-Market AE</v>
      </c>
      <c r="Q6089" t="str">
        <f>_xlfn.XLOOKUP(Pipeline_tbl[[#This Row],[Rep_ID]],Dim_Reps!A:A,Dim_Reps!D:D)</f>
        <v>Mid-Market</v>
      </c>
      <c r="R6089" t="str">
        <f>_xlfn.XLOOKUP(Pipeline_tbl[[#This Row],[Rep_ID]],Dim_Reps!A:A,Dim_Reps!E:E)</f>
        <v>EMEA</v>
      </c>
      <c r="S6089" t="str">
        <f>_xlfn.XLOOKUP(Pipeline_tbl[[#This Row],[Created_Date]],Dim_Date!A:A,Dim_Date!H:H)</f>
        <v>Aug 2025</v>
      </c>
      <c r="T6089" t="str">
        <f>IF(Pipeline_tbl[[#This Row],[Closed_Date]]=0,"",(_xlfn.XLOOKUP(Pipeline_tbl[[#This Row],[Closed_Date]],Dim_Date!A:A,Dim_Date!H:H)))</f>
        <v>Sep 2025</v>
      </c>
      <c r="U6089">
        <f>IF(Pipeline_tbl[[#This Row],[Closed_Date]]=0,"",Pipeline_tbl[[#This Row],[Closed_Date]]-Pipeline_tbl[[#This Row],[Created_Date]])</f>
        <v>30</v>
      </c>
    </row>
    <row r="6090" spans="1:21" ht="15" customHeight="1" x14ac:dyDescent="0.2">
      <c r="A6090" t="s">
        <v>6396</v>
      </c>
      <c r="B6090" t="s">
        <v>259</v>
      </c>
      <c r="C6090" t="s">
        <v>53</v>
      </c>
      <c r="D6090" s="49">
        <v>45870</v>
      </c>
      <c r="E6090" s="49">
        <v>45874</v>
      </c>
      <c r="F6090" s="49">
        <v>45883</v>
      </c>
      <c r="G6090" s="49">
        <v>45895</v>
      </c>
      <c r="H6090" s="49">
        <v>45906</v>
      </c>
      <c r="I6090" s="49">
        <v>45912</v>
      </c>
      <c r="J6090" t="s">
        <v>49</v>
      </c>
      <c r="K6090" s="33">
        <v>39500</v>
      </c>
      <c r="L6090" t="s">
        <v>64</v>
      </c>
      <c r="M6090" t="str">
        <f>_xlfn.XLOOKUP(Pipeline_tbl[[#This Row],[Rep_ID]],Dim_Reps!A:A,Dim_Reps!K:K)</f>
        <v>EUR</v>
      </c>
      <c r="N6090" s="33">
        <f>(_xlfn.XLOOKUP(Pipeline_tbl[[#This Row],[Rate_Code_Generalized]],Lookups!A:A,Lookups!B:B))*Pipeline_tbl[[#This Row],[Pipeline_Amount_USD]]</f>
        <v>39500</v>
      </c>
      <c r="O6090" t="str">
        <f>_xlfn.XLOOKUP(Pipeline_tbl[[#This Row],[Rep_ID]],Dim_Reps!A:A,Dim_Reps!B:B)</f>
        <v>Felix Okafor</v>
      </c>
      <c r="P6090" t="str">
        <f>_xlfn.XLOOKUP(Pipeline_tbl[[#This Row],[Rep_ID]],Dim_Reps!A:A,Dim_Reps!C:C)</f>
        <v>Mid-Market AE</v>
      </c>
      <c r="Q6090" t="str">
        <f>_xlfn.XLOOKUP(Pipeline_tbl[[#This Row],[Rep_ID]],Dim_Reps!A:A,Dim_Reps!D:D)</f>
        <v>Mid-Market</v>
      </c>
      <c r="R6090" t="str">
        <f>_xlfn.XLOOKUP(Pipeline_tbl[[#This Row],[Rep_ID]],Dim_Reps!A:A,Dim_Reps!E:E)</f>
        <v>EMEA</v>
      </c>
      <c r="S6090" t="str">
        <f>_xlfn.XLOOKUP(Pipeline_tbl[[#This Row],[Created_Date]],Dim_Date!A:A,Dim_Date!H:H)</f>
        <v>Aug 2025</v>
      </c>
      <c r="T6090" t="str">
        <f>IF(Pipeline_tbl[[#This Row],[Closed_Date]]=0,"",(_xlfn.XLOOKUP(Pipeline_tbl[[#This Row],[Closed_Date]],Dim_Date!A:A,Dim_Date!H:H)))</f>
        <v>Sep 2025</v>
      </c>
      <c r="U6090">
        <f>IF(Pipeline_tbl[[#This Row],[Closed_Date]]=0,"",Pipeline_tbl[[#This Row],[Closed_Date]]-Pipeline_tbl[[#This Row],[Created_Date]])</f>
        <v>42</v>
      </c>
    </row>
    <row r="6091" spans="1:21" ht="15" customHeight="1" x14ac:dyDescent="0.2">
      <c r="A6091" t="s">
        <v>6397</v>
      </c>
      <c r="B6091" t="s">
        <v>259</v>
      </c>
      <c r="C6091" t="s">
        <v>52</v>
      </c>
      <c r="D6091" s="49">
        <v>45883</v>
      </c>
      <c r="E6091" s="49">
        <v>45886</v>
      </c>
      <c r="F6091" s="49">
        <v>45891</v>
      </c>
      <c r="G6091" s="49">
        <v>45899</v>
      </c>
      <c r="H6091" s="49">
        <v>45905</v>
      </c>
      <c r="I6091" s="49">
        <v>45909</v>
      </c>
      <c r="J6091" t="s">
        <v>47</v>
      </c>
      <c r="K6091" s="33">
        <v>6900</v>
      </c>
      <c r="M6091" t="str">
        <f>_xlfn.XLOOKUP(Pipeline_tbl[[#This Row],[Rep_ID]],Dim_Reps!A:A,Dim_Reps!K:K)</f>
        <v>EUR</v>
      </c>
      <c r="N6091" s="33">
        <f>(_xlfn.XLOOKUP(Pipeline_tbl[[#This Row],[Rate_Code_Generalized]],Lookups!A:A,Lookups!B:B))*Pipeline_tbl[[#This Row],[Pipeline_Amount_USD]]</f>
        <v>6900</v>
      </c>
      <c r="O6091" t="str">
        <f>_xlfn.XLOOKUP(Pipeline_tbl[[#This Row],[Rep_ID]],Dim_Reps!A:A,Dim_Reps!B:B)</f>
        <v>Felix Okafor</v>
      </c>
      <c r="P6091" t="str">
        <f>_xlfn.XLOOKUP(Pipeline_tbl[[#This Row],[Rep_ID]],Dim_Reps!A:A,Dim_Reps!C:C)</f>
        <v>Mid-Market AE</v>
      </c>
      <c r="Q6091" t="str">
        <f>_xlfn.XLOOKUP(Pipeline_tbl[[#This Row],[Rep_ID]],Dim_Reps!A:A,Dim_Reps!D:D)</f>
        <v>Mid-Market</v>
      </c>
      <c r="R6091" t="str">
        <f>_xlfn.XLOOKUP(Pipeline_tbl[[#This Row],[Rep_ID]],Dim_Reps!A:A,Dim_Reps!E:E)</f>
        <v>EMEA</v>
      </c>
      <c r="S6091" t="str">
        <f>_xlfn.XLOOKUP(Pipeline_tbl[[#This Row],[Created_Date]],Dim_Date!A:A,Dim_Date!H:H)</f>
        <v>Aug 2025</v>
      </c>
      <c r="T6091" t="str">
        <f>IF(Pipeline_tbl[[#This Row],[Closed_Date]]=0,"",(_xlfn.XLOOKUP(Pipeline_tbl[[#This Row],[Closed_Date]],Dim_Date!A:A,Dim_Date!H:H)))</f>
        <v>Sep 2025</v>
      </c>
      <c r="U6091">
        <f>IF(Pipeline_tbl[[#This Row],[Closed_Date]]=0,"",Pipeline_tbl[[#This Row],[Closed_Date]]-Pipeline_tbl[[#This Row],[Created_Date]])</f>
        <v>26</v>
      </c>
    </row>
    <row r="6092" spans="1:21" ht="15" customHeight="1" x14ac:dyDescent="0.2">
      <c r="A6092" t="s">
        <v>6398</v>
      </c>
      <c r="B6092" t="s">
        <v>223</v>
      </c>
      <c r="C6092" t="s">
        <v>54</v>
      </c>
      <c r="D6092" s="49">
        <v>45897</v>
      </c>
      <c r="E6092" s="49">
        <v>45898</v>
      </c>
      <c r="F6092" s="49">
        <v>45901</v>
      </c>
      <c r="I6092" s="49">
        <v>45911</v>
      </c>
      <c r="J6092" t="s">
        <v>49</v>
      </c>
      <c r="K6092" s="33">
        <v>5300</v>
      </c>
      <c r="L6092" t="s">
        <v>63</v>
      </c>
      <c r="M6092" t="str">
        <f>_xlfn.XLOOKUP(Pipeline_tbl[[#This Row],[Rep_ID]],Dim_Reps!A:A,Dim_Reps!K:K)</f>
        <v>MXN</v>
      </c>
      <c r="N6092" s="33">
        <f>(_xlfn.XLOOKUP(Pipeline_tbl[[#This Row],[Rate_Code_Generalized]],Lookups!A:A,Lookups!B:B))*Pipeline_tbl[[#This Row],[Pipeline_Amount_USD]]</f>
        <v>104583.31000000001</v>
      </c>
      <c r="O6092" t="str">
        <f>_xlfn.XLOOKUP(Pipeline_tbl[[#This Row],[Rep_ID]],Dim_Reps!A:A,Dim_Reps!B:B)</f>
        <v>Lea Petrov</v>
      </c>
      <c r="P6092" t="str">
        <f>_xlfn.XLOOKUP(Pipeline_tbl[[#This Row],[Rep_ID]],Dim_Reps!A:A,Dim_Reps!C:C)</f>
        <v>SDR / Inside Sales Rep</v>
      </c>
      <c r="Q6092" t="str">
        <f>_xlfn.XLOOKUP(Pipeline_tbl[[#This Row],[Rep_ID]],Dim_Reps!A:A,Dim_Reps!D:D)</f>
        <v>Inside Sales</v>
      </c>
      <c r="R6092" t="str">
        <f>_xlfn.XLOOKUP(Pipeline_tbl[[#This Row],[Rep_ID]],Dim_Reps!A:A,Dim_Reps!E:E)</f>
        <v>LATAM</v>
      </c>
      <c r="S6092" t="str">
        <f>_xlfn.XLOOKUP(Pipeline_tbl[[#This Row],[Created_Date]],Dim_Date!A:A,Dim_Date!H:H)</f>
        <v>Aug 2025</v>
      </c>
      <c r="T6092" t="str">
        <f>IF(Pipeline_tbl[[#This Row],[Closed_Date]]=0,"",(_xlfn.XLOOKUP(Pipeline_tbl[[#This Row],[Closed_Date]],Dim_Date!A:A,Dim_Date!H:H)))</f>
        <v>Sep 2025</v>
      </c>
      <c r="U6092">
        <f>IF(Pipeline_tbl[[#This Row],[Closed_Date]]=0,"",Pipeline_tbl[[#This Row],[Closed_Date]]-Pipeline_tbl[[#This Row],[Created_Date]])</f>
        <v>14</v>
      </c>
    </row>
    <row r="6093" spans="1:21" ht="15" customHeight="1" x14ac:dyDescent="0.2">
      <c r="A6093" t="s">
        <v>6399</v>
      </c>
      <c r="B6093" t="s">
        <v>223</v>
      </c>
      <c r="C6093" t="s">
        <v>53</v>
      </c>
      <c r="D6093" s="49">
        <v>45890</v>
      </c>
      <c r="E6093" s="49">
        <v>45892</v>
      </c>
      <c r="F6093" s="49">
        <v>45895</v>
      </c>
      <c r="G6093" s="49">
        <v>45901</v>
      </c>
      <c r="H6093" s="49">
        <v>45905</v>
      </c>
      <c r="I6093" s="49">
        <v>45908</v>
      </c>
      <c r="J6093" t="s">
        <v>47</v>
      </c>
      <c r="K6093" s="33">
        <v>4700</v>
      </c>
      <c r="M6093" t="str">
        <f>_xlfn.XLOOKUP(Pipeline_tbl[[#This Row],[Rep_ID]],Dim_Reps!A:A,Dim_Reps!K:K)</f>
        <v>MXN</v>
      </c>
      <c r="N6093" s="33">
        <f>(_xlfn.XLOOKUP(Pipeline_tbl[[#This Row],[Rate_Code_Generalized]],Lookups!A:A,Lookups!B:B))*Pipeline_tbl[[#This Row],[Pipeline_Amount_USD]]</f>
        <v>92743.69</v>
      </c>
      <c r="O6093" t="str">
        <f>_xlfn.XLOOKUP(Pipeline_tbl[[#This Row],[Rep_ID]],Dim_Reps!A:A,Dim_Reps!B:B)</f>
        <v>Lea Petrov</v>
      </c>
      <c r="P6093" t="str">
        <f>_xlfn.XLOOKUP(Pipeline_tbl[[#This Row],[Rep_ID]],Dim_Reps!A:A,Dim_Reps!C:C)</f>
        <v>SDR / Inside Sales Rep</v>
      </c>
      <c r="Q6093" t="str">
        <f>_xlfn.XLOOKUP(Pipeline_tbl[[#This Row],[Rep_ID]],Dim_Reps!A:A,Dim_Reps!D:D)</f>
        <v>Inside Sales</v>
      </c>
      <c r="R6093" t="str">
        <f>_xlfn.XLOOKUP(Pipeline_tbl[[#This Row],[Rep_ID]],Dim_Reps!A:A,Dim_Reps!E:E)</f>
        <v>LATAM</v>
      </c>
      <c r="S6093" t="str">
        <f>_xlfn.XLOOKUP(Pipeline_tbl[[#This Row],[Created_Date]],Dim_Date!A:A,Dim_Date!H:H)</f>
        <v>Aug 2025</v>
      </c>
      <c r="T6093" t="str">
        <f>IF(Pipeline_tbl[[#This Row],[Closed_Date]]=0,"",(_xlfn.XLOOKUP(Pipeline_tbl[[#This Row],[Closed_Date]],Dim_Date!A:A,Dim_Date!H:H)))</f>
        <v>Sep 2025</v>
      </c>
      <c r="U6093">
        <f>IF(Pipeline_tbl[[#This Row],[Closed_Date]]=0,"",Pipeline_tbl[[#This Row],[Closed_Date]]-Pipeline_tbl[[#This Row],[Created_Date]])</f>
        <v>18</v>
      </c>
    </row>
    <row r="6094" spans="1:21" ht="15" customHeight="1" x14ac:dyDescent="0.2">
      <c r="A6094" t="s">
        <v>6400</v>
      </c>
      <c r="B6094" t="s">
        <v>223</v>
      </c>
      <c r="C6094" t="s">
        <v>56</v>
      </c>
      <c r="D6094" s="49">
        <v>45894</v>
      </c>
      <c r="E6094" s="49">
        <v>45896</v>
      </c>
      <c r="F6094" s="49">
        <v>45901</v>
      </c>
      <c r="I6094" s="49">
        <v>45916</v>
      </c>
      <c r="J6094" t="s">
        <v>49</v>
      </c>
      <c r="K6094" s="33">
        <v>4600</v>
      </c>
      <c r="L6094" t="s">
        <v>62</v>
      </c>
      <c r="M6094" t="str">
        <f>_xlfn.XLOOKUP(Pipeline_tbl[[#This Row],[Rep_ID]],Dim_Reps!A:A,Dim_Reps!K:K)</f>
        <v>MXN</v>
      </c>
      <c r="N6094" s="33">
        <f>(_xlfn.XLOOKUP(Pipeline_tbl[[#This Row],[Rate_Code_Generalized]],Lookups!A:A,Lookups!B:B))*Pipeline_tbl[[#This Row],[Pipeline_Amount_USD]]</f>
        <v>90770.420000000013</v>
      </c>
      <c r="O6094" t="str">
        <f>_xlfn.XLOOKUP(Pipeline_tbl[[#This Row],[Rep_ID]],Dim_Reps!A:A,Dim_Reps!B:B)</f>
        <v>Lea Petrov</v>
      </c>
      <c r="P6094" t="str">
        <f>_xlfn.XLOOKUP(Pipeline_tbl[[#This Row],[Rep_ID]],Dim_Reps!A:A,Dim_Reps!C:C)</f>
        <v>SDR / Inside Sales Rep</v>
      </c>
      <c r="Q6094" t="str">
        <f>_xlfn.XLOOKUP(Pipeline_tbl[[#This Row],[Rep_ID]],Dim_Reps!A:A,Dim_Reps!D:D)</f>
        <v>Inside Sales</v>
      </c>
      <c r="R6094" t="str">
        <f>_xlfn.XLOOKUP(Pipeline_tbl[[#This Row],[Rep_ID]],Dim_Reps!A:A,Dim_Reps!E:E)</f>
        <v>LATAM</v>
      </c>
      <c r="S6094" t="str">
        <f>_xlfn.XLOOKUP(Pipeline_tbl[[#This Row],[Created_Date]],Dim_Date!A:A,Dim_Date!H:H)</f>
        <v>Aug 2025</v>
      </c>
      <c r="T6094" t="str">
        <f>IF(Pipeline_tbl[[#This Row],[Closed_Date]]=0,"",(_xlfn.XLOOKUP(Pipeline_tbl[[#This Row],[Closed_Date]],Dim_Date!A:A,Dim_Date!H:H)))</f>
        <v>Sep 2025</v>
      </c>
      <c r="U6094">
        <f>IF(Pipeline_tbl[[#This Row],[Closed_Date]]=0,"",Pipeline_tbl[[#This Row],[Closed_Date]]-Pipeline_tbl[[#This Row],[Created_Date]])</f>
        <v>22</v>
      </c>
    </row>
    <row r="6095" spans="1:21" ht="15" customHeight="1" x14ac:dyDescent="0.2">
      <c r="A6095" t="s">
        <v>6401</v>
      </c>
      <c r="B6095" t="s">
        <v>223</v>
      </c>
      <c r="C6095" t="s">
        <v>53</v>
      </c>
      <c r="D6095" s="49">
        <v>45887</v>
      </c>
      <c r="E6095" s="49">
        <v>45889</v>
      </c>
      <c r="F6095" s="49">
        <v>45892</v>
      </c>
      <c r="G6095" s="49">
        <v>45897</v>
      </c>
      <c r="I6095" s="49">
        <v>45903</v>
      </c>
      <c r="J6095" t="s">
        <v>49</v>
      </c>
      <c r="K6095" s="33">
        <v>3600</v>
      </c>
      <c r="L6095" t="s">
        <v>60</v>
      </c>
      <c r="M6095" t="str">
        <f>_xlfn.XLOOKUP(Pipeline_tbl[[#This Row],[Rep_ID]],Dim_Reps!A:A,Dim_Reps!K:K)</f>
        <v>MXN</v>
      </c>
      <c r="N6095" s="33">
        <f>(_xlfn.XLOOKUP(Pipeline_tbl[[#This Row],[Rate_Code_Generalized]],Lookups!A:A,Lookups!B:B))*Pipeline_tbl[[#This Row],[Pipeline_Amount_USD]]</f>
        <v>71037.72</v>
      </c>
      <c r="O6095" t="str">
        <f>_xlfn.XLOOKUP(Pipeline_tbl[[#This Row],[Rep_ID]],Dim_Reps!A:A,Dim_Reps!B:B)</f>
        <v>Lea Petrov</v>
      </c>
      <c r="P6095" t="str">
        <f>_xlfn.XLOOKUP(Pipeline_tbl[[#This Row],[Rep_ID]],Dim_Reps!A:A,Dim_Reps!C:C)</f>
        <v>SDR / Inside Sales Rep</v>
      </c>
      <c r="Q6095" t="str">
        <f>_xlfn.XLOOKUP(Pipeline_tbl[[#This Row],[Rep_ID]],Dim_Reps!A:A,Dim_Reps!D:D)</f>
        <v>Inside Sales</v>
      </c>
      <c r="R6095" t="str">
        <f>_xlfn.XLOOKUP(Pipeline_tbl[[#This Row],[Rep_ID]],Dim_Reps!A:A,Dim_Reps!E:E)</f>
        <v>LATAM</v>
      </c>
      <c r="S6095" t="str">
        <f>_xlfn.XLOOKUP(Pipeline_tbl[[#This Row],[Created_Date]],Dim_Date!A:A,Dim_Date!H:H)</f>
        <v>Aug 2025</v>
      </c>
      <c r="T6095" t="str">
        <f>IF(Pipeline_tbl[[#This Row],[Closed_Date]]=0,"",(_xlfn.XLOOKUP(Pipeline_tbl[[#This Row],[Closed_Date]],Dim_Date!A:A,Dim_Date!H:H)))</f>
        <v>Sep 2025</v>
      </c>
      <c r="U6095">
        <f>IF(Pipeline_tbl[[#This Row],[Closed_Date]]=0,"",Pipeline_tbl[[#This Row],[Closed_Date]]-Pipeline_tbl[[#This Row],[Created_Date]])</f>
        <v>16</v>
      </c>
    </row>
    <row r="6096" spans="1:21" ht="15" customHeight="1" x14ac:dyDescent="0.2">
      <c r="A6096" t="s">
        <v>6402</v>
      </c>
      <c r="B6096" t="s">
        <v>223</v>
      </c>
      <c r="C6096" t="s">
        <v>54</v>
      </c>
      <c r="D6096" s="49">
        <v>45885</v>
      </c>
      <c r="E6096" s="49">
        <v>45887</v>
      </c>
      <c r="F6096" s="49">
        <v>45892</v>
      </c>
      <c r="G6096" s="49">
        <v>45899</v>
      </c>
      <c r="H6096" s="49">
        <v>45905</v>
      </c>
      <c r="I6096" s="49">
        <v>45909</v>
      </c>
      <c r="J6096" t="s">
        <v>49</v>
      </c>
      <c r="K6096" s="33">
        <v>1800</v>
      </c>
      <c r="L6096" t="s">
        <v>61</v>
      </c>
      <c r="M6096" t="str">
        <f>_xlfn.XLOOKUP(Pipeline_tbl[[#This Row],[Rep_ID]],Dim_Reps!A:A,Dim_Reps!K:K)</f>
        <v>MXN</v>
      </c>
      <c r="N6096" s="33">
        <f>(_xlfn.XLOOKUP(Pipeline_tbl[[#This Row],[Rate_Code_Generalized]],Lookups!A:A,Lookups!B:B))*Pipeline_tbl[[#This Row],[Pipeline_Amount_USD]]</f>
        <v>35518.86</v>
      </c>
      <c r="O6096" t="str">
        <f>_xlfn.XLOOKUP(Pipeline_tbl[[#This Row],[Rep_ID]],Dim_Reps!A:A,Dim_Reps!B:B)</f>
        <v>Lea Petrov</v>
      </c>
      <c r="P6096" t="str">
        <f>_xlfn.XLOOKUP(Pipeline_tbl[[#This Row],[Rep_ID]],Dim_Reps!A:A,Dim_Reps!C:C)</f>
        <v>SDR / Inside Sales Rep</v>
      </c>
      <c r="Q6096" t="str">
        <f>_xlfn.XLOOKUP(Pipeline_tbl[[#This Row],[Rep_ID]],Dim_Reps!A:A,Dim_Reps!D:D)</f>
        <v>Inside Sales</v>
      </c>
      <c r="R6096" t="str">
        <f>_xlfn.XLOOKUP(Pipeline_tbl[[#This Row],[Rep_ID]],Dim_Reps!A:A,Dim_Reps!E:E)</f>
        <v>LATAM</v>
      </c>
      <c r="S6096" t="str">
        <f>_xlfn.XLOOKUP(Pipeline_tbl[[#This Row],[Created_Date]],Dim_Date!A:A,Dim_Date!H:H)</f>
        <v>Aug 2025</v>
      </c>
      <c r="T6096" t="str">
        <f>IF(Pipeline_tbl[[#This Row],[Closed_Date]]=0,"",(_xlfn.XLOOKUP(Pipeline_tbl[[#This Row],[Closed_Date]],Dim_Date!A:A,Dim_Date!H:H)))</f>
        <v>Sep 2025</v>
      </c>
      <c r="U6096">
        <f>IF(Pipeline_tbl[[#This Row],[Closed_Date]]=0,"",Pipeline_tbl[[#This Row],[Closed_Date]]-Pipeline_tbl[[#This Row],[Created_Date]])</f>
        <v>24</v>
      </c>
    </row>
    <row r="6097" spans="1:21" ht="15" customHeight="1" x14ac:dyDescent="0.2">
      <c r="A6097" t="s">
        <v>6403</v>
      </c>
      <c r="B6097" t="s">
        <v>261</v>
      </c>
      <c r="C6097" t="s">
        <v>55</v>
      </c>
      <c r="D6097" s="49">
        <v>45876</v>
      </c>
      <c r="E6097" s="49">
        <v>45879</v>
      </c>
      <c r="F6097" s="49">
        <v>45886</v>
      </c>
      <c r="G6097" s="49">
        <v>45895</v>
      </c>
      <c r="H6097" s="49">
        <v>45903</v>
      </c>
      <c r="I6097" s="49">
        <v>45908</v>
      </c>
      <c r="J6097" t="s">
        <v>47</v>
      </c>
      <c r="K6097" s="33">
        <v>16100</v>
      </c>
      <c r="M6097" t="str">
        <f>_xlfn.XLOOKUP(Pipeline_tbl[[#This Row],[Rep_ID]],Dim_Reps!A:A,Dim_Reps!K:K)</f>
        <v>USD</v>
      </c>
      <c r="N6097" s="33">
        <f>(_xlfn.XLOOKUP(Pipeline_tbl[[#This Row],[Rate_Code_Generalized]],Lookups!A:A,Lookups!B:B))*Pipeline_tbl[[#This Row],[Pipeline_Amount_USD]]</f>
        <v>18745.23</v>
      </c>
      <c r="O6097" t="str">
        <f>_xlfn.XLOOKUP(Pipeline_tbl[[#This Row],[Rep_ID]],Dim_Reps!A:A,Dim_Reps!B:B)</f>
        <v>Morgan Larsen</v>
      </c>
      <c r="P6097" t="str">
        <f>_xlfn.XLOOKUP(Pipeline_tbl[[#This Row],[Rep_ID]],Dim_Reps!A:A,Dim_Reps!C:C)</f>
        <v>Mid-Market AE</v>
      </c>
      <c r="Q6097" t="str">
        <f>_xlfn.XLOOKUP(Pipeline_tbl[[#This Row],[Rep_ID]],Dim_Reps!A:A,Dim_Reps!D:D)</f>
        <v>Mid-Market</v>
      </c>
      <c r="R6097" t="str">
        <f>_xlfn.XLOOKUP(Pipeline_tbl[[#This Row],[Rep_ID]],Dim_Reps!A:A,Dim_Reps!E:E)</f>
        <v>NAMER</v>
      </c>
      <c r="S6097" t="str">
        <f>_xlfn.XLOOKUP(Pipeline_tbl[[#This Row],[Created_Date]],Dim_Date!A:A,Dim_Date!H:H)</f>
        <v>Aug 2025</v>
      </c>
      <c r="T6097" t="str">
        <f>IF(Pipeline_tbl[[#This Row],[Closed_Date]]=0,"",(_xlfn.XLOOKUP(Pipeline_tbl[[#This Row],[Closed_Date]],Dim_Date!A:A,Dim_Date!H:H)))</f>
        <v>Sep 2025</v>
      </c>
      <c r="U6097">
        <f>IF(Pipeline_tbl[[#This Row],[Closed_Date]]=0,"",Pipeline_tbl[[#This Row],[Closed_Date]]-Pipeline_tbl[[#This Row],[Created_Date]])</f>
        <v>32</v>
      </c>
    </row>
    <row r="6098" spans="1:21" ht="15" customHeight="1" x14ac:dyDescent="0.2">
      <c r="A6098" t="s">
        <v>6404</v>
      </c>
      <c r="B6098" t="s">
        <v>261</v>
      </c>
      <c r="C6098" t="s">
        <v>56</v>
      </c>
      <c r="D6098" s="49">
        <v>45897</v>
      </c>
      <c r="E6098" s="49">
        <v>45900</v>
      </c>
      <c r="F6098" s="49">
        <v>45907</v>
      </c>
      <c r="I6098" s="49">
        <v>45929</v>
      </c>
      <c r="J6098" t="s">
        <v>49</v>
      </c>
      <c r="K6098" s="33">
        <v>8400</v>
      </c>
      <c r="L6098" t="s">
        <v>61</v>
      </c>
      <c r="M6098" t="str">
        <f>_xlfn.XLOOKUP(Pipeline_tbl[[#This Row],[Rep_ID]],Dim_Reps!A:A,Dim_Reps!K:K)</f>
        <v>USD</v>
      </c>
      <c r="N6098" s="33">
        <f>(_xlfn.XLOOKUP(Pipeline_tbl[[#This Row],[Rate_Code_Generalized]],Lookups!A:A,Lookups!B:B))*Pipeline_tbl[[#This Row],[Pipeline_Amount_USD]]</f>
        <v>9780.119999999999</v>
      </c>
      <c r="O6098" t="str">
        <f>_xlfn.XLOOKUP(Pipeline_tbl[[#This Row],[Rep_ID]],Dim_Reps!A:A,Dim_Reps!B:B)</f>
        <v>Morgan Larsen</v>
      </c>
      <c r="P6098" t="str">
        <f>_xlfn.XLOOKUP(Pipeline_tbl[[#This Row],[Rep_ID]],Dim_Reps!A:A,Dim_Reps!C:C)</f>
        <v>Mid-Market AE</v>
      </c>
      <c r="Q6098" t="str">
        <f>_xlfn.XLOOKUP(Pipeline_tbl[[#This Row],[Rep_ID]],Dim_Reps!A:A,Dim_Reps!D:D)</f>
        <v>Mid-Market</v>
      </c>
      <c r="R6098" t="str">
        <f>_xlfn.XLOOKUP(Pipeline_tbl[[#This Row],[Rep_ID]],Dim_Reps!A:A,Dim_Reps!E:E)</f>
        <v>NAMER</v>
      </c>
      <c r="S6098" t="str">
        <f>_xlfn.XLOOKUP(Pipeline_tbl[[#This Row],[Created_Date]],Dim_Date!A:A,Dim_Date!H:H)</f>
        <v>Aug 2025</v>
      </c>
      <c r="T6098" t="str">
        <f>IF(Pipeline_tbl[[#This Row],[Closed_Date]]=0,"",(_xlfn.XLOOKUP(Pipeline_tbl[[#This Row],[Closed_Date]],Dim_Date!A:A,Dim_Date!H:H)))</f>
        <v>Sep 2025</v>
      </c>
      <c r="U6098">
        <f>IF(Pipeline_tbl[[#This Row],[Closed_Date]]=0,"",Pipeline_tbl[[#This Row],[Closed_Date]]-Pipeline_tbl[[#This Row],[Created_Date]])</f>
        <v>32</v>
      </c>
    </row>
    <row r="6099" spans="1:21" ht="15" customHeight="1" x14ac:dyDescent="0.2">
      <c r="A6099" t="s">
        <v>6405</v>
      </c>
      <c r="B6099" t="s">
        <v>225</v>
      </c>
      <c r="C6099" t="s">
        <v>52</v>
      </c>
      <c r="D6099" s="49">
        <v>45888</v>
      </c>
      <c r="E6099" s="49">
        <v>45890</v>
      </c>
      <c r="F6099" s="49">
        <v>45893</v>
      </c>
      <c r="G6099" s="49">
        <v>45898</v>
      </c>
      <c r="H6099" s="49">
        <v>45902</v>
      </c>
      <c r="I6099" s="49">
        <v>45904</v>
      </c>
      <c r="J6099" t="s">
        <v>47</v>
      </c>
      <c r="K6099" s="33">
        <v>1800</v>
      </c>
      <c r="M6099" t="str">
        <f>_xlfn.XLOOKUP(Pipeline_tbl[[#This Row],[Rep_ID]],Dim_Reps!A:A,Dim_Reps!K:K)</f>
        <v>USD</v>
      </c>
      <c r="N6099" s="33">
        <f>(_xlfn.XLOOKUP(Pipeline_tbl[[#This Row],[Rate_Code_Generalized]],Lookups!A:A,Lookups!B:B))*Pipeline_tbl[[#This Row],[Pipeline_Amount_USD]]</f>
        <v>2095.7399999999998</v>
      </c>
      <c r="O6099" t="str">
        <f>_xlfn.XLOOKUP(Pipeline_tbl[[#This Row],[Rep_ID]],Dim_Reps!A:A,Dim_Reps!B:B)</f>
        <v>Alex Muller</v>
      </c>
      <c r="P6099" t="str">
        <f>_xlfn.XLOOKUP(Pipeline_tbl[[#This Row],[Rep_ID]],Dim_Reps!A:A,Dim_Reps!C:C)</f>
        <v>SDR / Inside Sales Rep</v>
      </c>
      <c r="Q6099" t="str">
        <f>_xlfn.XLOOKUP(Pipeline_tbl[[#This Row],[Rep_ID]],Dim_Reps!A:A,Dim_Reps!D:D)</f>
        <v>Inside Sales</v>
      </c>
      <c r="R6099" t="str">
        <f>_xlfn.XLOOKUP(Pipeline_tbl[[#This Row],[Rep_ID]],Dim_Reps!A:A,Dim_Reps!E:E)</f>
        <v>NAMER</v>
      </c>
      <c r="S6099" t="str">
        <f>_xlfn.XLOOKUP(Pipeline_tbl[[#This Row],[Created_Date]],Dim_Date!A:A,Dim_Date!H:H)</f>
        <v>Aug 2025</v>
      </c>
      <c r="T6099" t="str">
        <f>IF(Pipeline_tbl[[#This Row],[Closed_Date]]=0,"",(_xlfn.XLOOKUP(Pipeline_tbl[[#This Row],[Closed_Date]],Dim_Date!A:A,Dim_Date!H:H)))</f>
        <v>Sep 2025</v>
      </c>
      <c r="U6099">
        <f>IF(Pipeline_tbl[[#This Row],[Closed_Date]]=0,"",Pipeline_tbl[[#This Row],[Closed_Date]]-Pipeline_tbl[[#This Row],[Created_Date]])</f>
        <v>16</v>
      </c>
    </row>
    <row r="6100" spans="1:21" ht="15" customHeight="1" x14ac:dyDescent="0.2">
      <c r="A6100" t="s">
        <v>6406</v>
      </c>
      <c r="B6100" t="s">
        <v>225</v>
      </c>
      <c r="C6100" t="s">
        <v>55</v>
      </c>
      <c r="D6100" s="49">
        <v>45891</v>
      </c>
      <c r="E6100" s="49">
        <v>45893</v>
      </c>
      <c r="F6100" s="49">
        <v>45896</v>
      </c>
      <c r="G6100" s="49">
        <v>45901</v>
      </c>
      <c r="I6100" s="49">
        <v>45907</v>
      </c>
      <c r="J6100" t="s">
        <v>49</v>
      </c>
      <c r="K6100" s="33">
        <v>2900</v>
      </c>
      <c r="L6100" t="s">
        <v>62</v>
      </c>
      <c r="M6100" t="str">
        <f>_xlfn.XLOOKUP(Pipeline_tbl[[#This Row],[Rep_ID]],Dim_Reps!A:A,Dim_Reps!K:K)</f>
        <v>USD</v>
      </c>
      <c r="N6100" s="33">
        <f>(_xlfn.XLOOKUP(Pipeline_tbl[[#This Row],[Rate_Code_Generalized]],Lookups!A:A,Lookups!B:B))*Pipeline_tbl[[#This Row],[Pipeline_Amount_USD]]</f>
        <v>3376.47</v>
      </c>
      <c r="O6100" t="str">
        <f>_xlfn.XLOOKUP(Pipeline_tbl[[#This Row],[Rep_ID]],Dim_Reps!A:A,Dim_Reps!B:B)</f>
        <v>Alex Muller</v>
      </c>
      <c r="P6100" t="str">
        <f>_xlfn.XLOOKUP(Pipeline_tbl[[#This Row],[Rep_ID]],Dim_Reps!A:A,Dim_Reps!C:C)</f>
        <v>SDR / Inside Sales Rep</v>
      </c>
      <c r="Q6100" t="str">
        <f>_xlfn.XLOOKUP(Pipeline_tbl[[#This Row],[Rep_ID]],Dim_Reps!A:A,Dim_Reps!D:D)</f>
        <v>Inside Sales</v>
      </c>
      <c r="R6100" t="str">
        <f>_xlfn.XLOOKUP(Pipeline_tbl[[#This Row],[Rep_ID]],Dim_Reps!A:A,Dim_Reps!E:E)</f>
        <v>NAMER</v>
      </c>
      <c r="S6100" t="str">
        <f>_xlfn.XLOOKUP(Pipeline_tbl[[#This Row],[Created_Date]],Dim_Date!A:A,Dim_Date!H:H)</f>
        <v>Aug 2025</v>
      </c>
      <c r="T6100" t="str">
        <f>IF(Pipeline_tbl[[#This Row],[Closed_Date]]=0,"",(_xlfn.XLOOKUP(Pipeline_tbl[[#This Row],[Closed_Date]],Dim_Date!A:A,Dim_Date!H:H)))</f>
        <v>Sep 2025</v>
      </c>
      <c r="U6100">
        <f>IF(Pipeline_tbl[[#This Row],[Closed_Date]]=0,"",Pipeline_tbl[[#This Row],[Closed_Date]]-Pipeline_tbl[[#This Row],[Created_Date]])</f>
        <v>16</v>
      </c>
    </row>
    <row r="6101" spans="1:21" ht="15" customHeight="1" x14ac:dyDescent="0.2">
      <c r="A6101" t="s">
        <v>6407</v>
      </c>
      <c r="B6101" t="s">
        <v>225</v>
      </c>
      <c r="C6101" t="s">
        <v>54</v>
      </c>
      <c r="D6101" s="49">
        <v>45894</v>
      </c>
      <c r="E6101" s="49">
        <v>45895</v>
      </c>
      <c r="F6101" s="49">
        <v>45898</v>
      </c>
      <c r="G6101" s="49">
        <v>45902</v>
      </c>
      <c r="H6101" s="49">
        <v>45906</v>
      </c>
      <c r="I6101" s="49">
        <v>45908</v>
      </c>
      <c r="J6101" t="s">
        <v>47</v>
      </c>
      <c r="K6101" s="33">
        <v>3300</v>
      </c>
      <c r="M6101" t="str">
        <f>_xlfn.XLOOKUP(Pipeline_tbl[[#This Row],[Rep_ID]],Dim_Reps!A:A,Dim_Reps!K:K)</f>
        <v>USD</v>
      </c>
      <c r="N6101" s="33">
        <f>(_xlfn.XLOOKUP(Pipeline_tbl[[#This Row],[Rate_Code_Generalized]],Lookups!A:A,Lookups!B:B))*Pipeline_tbl[[#This Row],[Pipeline_Amount_USD]]</f>
        <v>3842.1899999999996</v>
      </c>
      <c r="O6101" t="str">
        <f>_xlfn.XLOOKUP(Pipeline_tbl[[#This Row],[Rep_ID]],Dim_Reps!A:A,Dim_Reps!B:B)</f>
        <v>Alex Muller</v>
      </c>
      <c r="P6101" t="str">
        <f>_xlfn.XLOOKUP(Pipeline_tbl[[#This Row],[Rep_ID]],Dim_Reps!A:A,Dim_Reps!C:C)</f>
        <v>SDR / Inside Sales Rep</v>
      </c>
      <c r="Q6101" t="str">
        <f>_xlfn.XLOOKUP(Pipeline_tbl[[#This Row],[Rep_ID]],Dim_Reps!A:A,Dim_Reps!D:D)</f>
        <v>Inside Sales</v>
      </c>
      <c r="R6101" t="str">
        <f>_xlfn.XLOOKUP(Pipeline_tbl[[#This Row],[Rep_ID]],Dim_Reps!A:A,Dim_Reps!E:E)</f>
        <v>NAMER</v>
      </c>
      <c r="S6101" t="str">
        <f>_xlfn.XLOOKUP(Pipeline_tbl[[#This Row],[Created_Date]],Dim_Date!A:A,Dim_Date!H:H)</f>
        <v>Aug 2025</v>
      </c>
      <c r="T6101" t="str">
        <f>IF(Pipeline_tbl[[#This Row],[Closed_Date]]=0,"",(_xlfn.XLOOKUP(Pipeline_tbl[[#This Row],[Closed_Date]],Dim_Date!A:A,Dim_Date!H:H)))</f>
        <v>Sep 2025</v>
      </c>
      <c r="U6101">
        <f>IF(Pipeline_tbl[[#This Row],[Closed_Date]]=0,"",Pipeline_tbl[[#This Row],[Closed_Date]]-Pipeline_tbl[[#This Row],[Created_Date]])</f>
        <v>14</v>
      </c>
    </row>
    <row r="6102" spans="1:21" ht="15" customHeight="1" x14ac:dyDescent="0.2">
      <c r="A6102" t="s">
        <v>6408</v>
      </c>
      <c r="B6102" t="s">
        <v>225</v>
      </c>
      <c r="C6102" t="s">
        <v>54</v>
      </c>
      <c r="D6102" s="49">
        <v>45887</v>
      </c>
      <c r="E6102" s="49">
        <v>45889</v>
      </c>
      <c r="F6102" s="49">
        <v>45893</v>
      </c>
      <c r="G6102" s="49">
        <v>45900</v>
      </c>
      <c r="H6102" s="49">
        <v>45905</v>
      </c>
      <c r="I6102" s="49">
        <v>45908</v>
      </c>
      <c r="J6102" t="s">
        <v>47</v>
      </c>
      <c r="K6102" s="33">
        <v>2900</v>
      </c>
      <c r="M6102" t="str">
        <f>_xlfn.XLOOKUP(Pipeline_tbl[[#This Row],[Rep_ID]],Dim_Reps!A:A,Dim_Reps!K:K)</f>
        <v>USD</v>
      </c>
      <c r="N6102" s="33">
        <f>(_xlfn.XLOOKUP(Pipeline_tbl[[#This Row],[Rate_Code_Generalized]],Lookups!A:A,Lookups!B:B))*Pipeline_tbl[[#This Row],[Pipeline_Amount_USD]]</f>
        <v>3376.47</v>
      </c>
      <c r="O6102" t="str">
        <f>_xlfn.XLOOKUP(Pipeline_tbl[[#This Row],[Rep_ID]],Dim_Reps!A:A,Dim_Reps!B:B)</f>
        <v>Alex Muller</v>
      </c>
      <c r="P6102" t="str">
        <f>_xlfn.XLOOKUP(Pipeline_tbl[[#This Row],[Rep_ID]],Dim_Reps!A:A,Dim_Reps!C:C)</f>
        <v>SDR / Inside Sales Rep</v>
      </c>
      <c r="Q6102" t="str">
        <f>_xlfn.XLOOKUP(Pipeline_tbl[[#This Row],[Rep_ID]],Dim_Reps!A:A,Dim_Reps!D:D)</f>
        <v>Inside Sales</v>
      </c>
      <c r="R6102" t="str">
        <f>_xlfn.XLOOKUP(Pipeline_tbl[[#This Row],[Rep_ID]],Dim_Reps!A:A,Dim_Reps!E:E)</f>
        <v>NAMER</v>
      </c>
      <c r="S6102" t="str">
        <f>_xlfn.XLOOKUP(Pipeline_tbl[[#This Row],[Created_Date]],Dim_Date!A:A,Dim_Date!H:H)</f>
        <v>Aug 2025</v>
      </c>
      <c r="T6102" t="str">
        <f>IF(Pipeline_tbl[[#This Row],[Closed_Date]]=0,"",(_xlfn.XLOOKUP(Pipeline_tbl[[#This Row],[Closed_Date]],Dim_Date!A:A,Dim_Date!H:H)))</f>
        <v>Sep 2025</v>
      </c>
      <c r="U6102">
        <f>IF(Pipeline_tbl[[#This Row],[Closed_Date]]=0,"",Pipeline_tbl[[#This Row],[Closed_Date]]-Pipeline_tbl[[#This Row],[Created_Date]])</f>
        <v>21</v>
      </c>
    </row>
    <row r="6103" spans="1:21" ht="15" customHeight="1" x14ac:dyDescent="0.2">
      <c r="A6103" t="s">
        <v>6409</v>
      </c>
      <c r="B6103" t="s">
        <v>227</v>
      </c>
      <c r="C6103" t="s">
        <v>54</v>
      </c>
      <c r="D6103" s="49">
        <v>45888</v>
      </c>
      <c r="E6103" s="49">
        <v>45890</v>
      </c>
      <c r="F6103" s="49">
        <v>45893</v>
      </c>
      <c r="G6103" s="49">
        <v>45898</v>
      </c>
      <c r="H6103" s="49">
        <v>45902</v>
      </c>
      <c r="I6103" s="49">
        <v>45905</v>
      </c>
      <c r="J6103" t="s">
        <v>49</v>
      </c>
      <c r="K6103" s="33">
        <v>4300</v>
      </c>
      <c r="L6103" t="s">
        <v>60</v>
      </c>
      <c r="M6103" t="str">
        <f>_xlfn.XLOOKUP(Pipeline_tbl[[#This Row],[Rep_ID]],Dim_Reps!A:A,Dim_Reps!K:K)</f>
        <v>EUR</v>
      </c>
      <c r="N6103" s="33">
        <f>(_xlfn.XLOOKUP(Pipeline_tbl[[#This Row],[Rate_Code_Generalized]],Lookups!A:A,Lookups!B:B))*Pipeline_tbl[[#This Row],[Pipeline_Amount_USD]]</f>
        <v>4300</v>
      </c>
      <c r="O6103" t="str">
        <f>_xlfn.XLOOKUP(Pipeline_tbl[[#This Row],[Rep_ID]],Dim_Reps!A:A,Dim_Reps!B:B)</f>
        <v>Liam Muller</v>
      </c>
      <c r="P6103" t="str">
        <f>_xlfn.XLOOKUP(Pipeline_tbl[[#This Row],[Rep_ID]],Dim_Reps!A:A,Dim_Reps!C:C)</f>
        <v>SDR / Inside Sales Rep</v>
      </c>
      <c r="Q6103" t="str">
        <f>_xlfn.XLOOKUP(Pipeline_tbl[[#This Row],[Rep_ID]],Dim_Reps!A:A,Dim_Reps!D:D)</f>
        <v>Inside Sales</v>
      </c>
      <c r="R6103" t="str">
        <f>_xlfn.XLOOKUP(Pipeline_tbl[[#This Row],[Rep_ID]],Dim_Reps!A:A,Dim_Reps!E:E)</f>
        <v>EMEA</v>
      </c>
      <c r="S6103" t="str">
        <f>_xlfn.XLOOKUP(Pipeline_tbl[[#This Row],[Created_Date]],Dim_Date!A:A,Dim_Date!H:H)</f>
        <v>Aug 2025</v>
      </c>
      <c r="T6103" t="str">
        <f>IF(Pipeline_tbl[[#This Row],[Closed_Date]]=0,"",(_xlfn.XLOOKUP(Pipeline_tbl[[#This Row],[Closed_Date]],Dim_Date!A:A,Dim_Date!H:H)))</f>
        <v>Sep 2025</v>
      </c>
      <c r="U6103">
        <f>IF(Pipeline_tbl[[#This Row],[Closed_Date]]=0,"",Pipeline_tbl[[#This Row],[Closed_Date]]-Pipeline_tbl[[#This Row],[Created_Date]])</f>
        <v>17</v>
      </c>
    </row>
    <row r="6104" spans="1:21" ht="15" customHeight="1" x14ac:dyDescent="0.2">
      <c r="A6104" t="s">
        <v>6410</v>
      </c>
      <c r="B6104" t="s">
        <v>227</v>
      </c>
      <c r="C6104" t="s">
        <v>53</v>
      </c>
      <c r="D6104" s="49">
        <v>45887</v>
      </c>
      <c r="E6104" s="49">
        <v>45889</v>
      </c>
      <c r="F6104" s="49">
        <v>45892</v>
      </c>
      <c r="G6104" s="49">
        <v>45898</v>
      </c>
      <c r="H6104" s="49">
        <v>45902</v>
      </c>
      <c r="I6104" s="49">
        <v>45905</v>
      </c>
      <c r="J6104" t="s">
        <v>47</v>
      </c>
      <c r="K6104" s="33">
        <v>3600</v>
      </c>
      <c r="M6104" t="str">
        <f>_xlfn.XLOOKUP(Pipeline_tbl[[#This Row],[Rep_ID]],Dim_Reps!A:A,Dim_Reps!K:K)</f>
        <v>EUR</v>
      </c>
      <c r="N6104" s="33">
        <f>(_xlfn.XLOOKUP(Pipeline_tbl[[#This Row],[Rate_Code_Generalized]],Lookups!A:A,Lookups!B:B))*Pipeline_tbl[[#This Row],[Pipeline_Amount_USD]]</f>
        <v>3600</v>
      </c>
      <c r="O6104" t="str">
        <f>_xlfn.XLOOKUP(Pipeline_tbl[[#This Row],[Rep_ID]],Dim_Reps!A:A,Dim_Reps!B:B)</f>
        <v>Liam Muller</v>
      </c>
      <c r="P6104" t="str">
        <f>_xlfn.XLOOKUP(Pipeline_tbl[[#This Row],[Rep_ID]],Dim_Reps!A:A,Dim_Reps!C:C)</f>
        <v>SDR / Inside Sales Rep</v>
      </c>
      <c r="Q6104" t="str">
        <f>_xlfn.XLOOKUP(Pipeline_tbl[[#This Row],[Rep_ID]],Dim_Reps!A:A,Dim_Reps!D:D)</f>
        <v>Inside Sales</v>
      </c>
      <c r="R6104" t="str">
        <f>_xlfn.XLOOKUP(Pipeline_tbl[[#This Row],[Rep_ID]],Dim_Reps!A:A,Dim_Reps!E:E)</f>
        <v>EMEA</v>
      </c>
      <c r="S6104" t="str">
        <f>_xlfn.XLOOKUP(Pipeline_tbl[[#This Row],[Created_Date]],Dim_Date!A:A,Dim_Date!H:H)</f>
        <v>Aug 2025</v>
      </c>
      <c r="T6104" t="str">
        <f>IF(Pipeline_tbl[[#This Row],[Closed_Date]]=0,"",(_xlfn.XLOOKUP(Pipeline_tbl[[#This Row],[Closed_Date]],Dim_Date!A:A,Dim_Date!H:H)))</f>
        <v>Sep 2025</v>
      </c>
      <c r="U6104">
        <f>IF(Pipeline_tbl[[#This Row],[Closed_Date]]=0,"",Pipeline_tbl[[#This Row],[Closed_Date]]-Pipeline_tbl[[#This Row],[Created_Date]])</f>
        <v>18</v>
      </c>
    </row>
    <row r="6105" spans="1:21" ht="15" customHeight="1" x14ac:dyDescent="0.2">
      <c r="A6105" t="s">
        <v>6411</v>
      </c>
      <c r="B6105" t="s">
        <v>227</v>
      </c>
      <c r="C6105" t="s">
        <v>52</v>
      </c>
      <c r="D6105" s="49">
        <v>45892</v>
      </c>
      <c r="E6105" s="49">
        <v>45894</v>
      </c>
      <c r="I6105" s="49">
        <v>45908</v>
      </c>
      <c r="J6105" t="s">
        <v>49</v>
      </c>
      <c r="K6105" s="33">
        <v>3900</v>
      </c>
      <c r="L6105" t="s">
        <v>61</v>
      </c>
      <c r="M6105" t="str">
        <f>_xlfn.XLOOKUP(Pipeline_tbl[[#This Row],[Rep_ID]],Dim_Reps!A:A,Dim_Reps!K:K)</f>
        <v>EUR</v>
      </c>
      <c r="N6105" s="33">
        <f>(_xlfn.XLOOKUP(Pipeline_tbl[[#This Row],[Rate_Code_Generalized]],Lookups!A:A,Lookups!B:B))*Pipeline_tbl[[#This Row],[Pipeline_Amount_USD]]</f>
        <v>3900</v>
      </c>
      <c r="O6105" t="str">
        <f>_xlfn.XLOOKUP(Pipeline_tbl[[#This Row],[Rep_ID]],Dim_Reps!A:A,Dim_Reps!B:B)</f>
        <v>Liam Muller</v>
      </c>
      <c r="P6105" t="str">
        <f>_xlfn.XLOOKUP(Pipeline_tbl[[#This Row],[Rep_ID]],Dim_Reps!A:A,Dim_Reps!C:C)</f>
        <v>SDR / Inside Sales Rep</v>
      </c>
      <c r="Q6105" t="str">
        <f>_xlfn.XLOOKUP(Pipeline_tbl[[#This Row],[Rep_ID]],Dim_Reps!A:A,Dim_Reps!D:D)</f>
        <v>Inside Sales</v>
      </c>
      <c r="R6105" t="str">
        <f>_xlfn.XLOOKUP(Pipeline_tbl[[#This Row],[Rep_ID]],Dim_Reps!A:A,Dim_Reps!E:E)</f>
        <v>EMEA</v>
      </c>
      <c r="S6105" t="str">
        <f>_xlfn.XLOOKUP(Pipeline_tbl[[#This Row],[Created_Date]],Dim_Date!A:A,Dim_Date!H:H)</f>
        <v>Aug 2025</v>
      </c>
      <c r="T6105" t="str">
        <f>IF(Pipeline_tbl[[#This Row],[Closed_Date]]=0,"",(_xlfn.XLOOKUP(Pipeline_tbl[[#This Row],[Closed_Date]],Dim_Date!A:A,Dim_Date!H:H)))</f>
        <v>Sep 2025</v>
      </c>
      <c r="U6105">
        <f>IF(Pipeline_tbl[[#This Row],[Closed_Date]]=0,"",Pipeline_tbl[[#This Row],[Closed_Date]]-Pipeline_tbl[[#This Row],[Created_Date]])</f>
        <v>16</v>
      </c>
    </row>
    <row r="6106" spans="1:21" ht="15" customHeight="1" x14ac:dyDescent="0.2">
      <c r="A6106" t="s">
        <v>6412</v>
      </c>
      <c r="B6106" t="s">
        <v>282</v>
      </c>
      <c r="C6106" t="s">
        <v>55</v>
      </c>
      <c r="D6106" s="49">
        <v>45892</v>
      </c>
      <c r="E6106" s="49">
        <v>45893</v>
      </c>
      <c r="F6106" s="49">
        <v>45895</v>
      </c>
      <c r="I6106" s="49">
        <v>45903</v>
      </c>
      <c r="J6106" t="s">
        <v>49</v>
      </c>
      <c r="K6106" s="33">
        <v>25600</v>
      </c>
      <c r="L6106" t="s">
        <v>61</v>
      </c>
      <c r="M6106" t="str">
        <f>_xlfn.XLOOKUP(Pipeline_tbl[[#This Row],[Rep_ID]],Dim_Reps!A:A,Dim_Reps!K:K)</f>
        <v>USD</v>
      </c>
      <c r="N6106" s="33">
        <f>(_xlfn.XLOOKUP(Pipeline_tbl[[#This Row],[Rate_Code_Generalized]],Lookups!A:A,Lookups!B:B))*Pipeline_tbl[[#This Row],[Pipeline_Amount_USD]]</f>
        <v>29806.079999999998</v>
      </c>
      <c r="O6106" t="str">
        <f>_xlfn.XLOOKUP(Pipeline_tbl[[#This Row],[Rep_ID]],Dim_Reps!A:A,Dim_Reps!B:B)</f>
        <v>Fatima Rossi</v>
      </c>
      <c r="P6106" t="str">
        <f>_xlfn.XLOOKUP(Pipeline_tbl[[#This Row],[Rep_ID]],Dim_Reps!A:A,Dim_Reps!C:C)</f>
        <v>Senior Enterprise AE</v>
      </c>
      <c r="Q6106" t="str">
        <f>_xlfn.XLOOKUP(Pipeline_tbl[[#This Row],[Rep_ID]],Dim_Reps!A:A,Dim_Reps!D:D)</f>
        <v>Strategic</v>
      </c>
      <c r="R6106" t="str">
        <f>_xlfn.XLOOKUP(Pipeline_tbl[[#This Row],[Rep_ID]],Dim_Reps!A:A,Dim_Reps!E:E)</f>
        <v>NAMER</v>
      </c>
      <c r="S6106" t="str">
        <f>_xlfn.XLOOKUP(Pipeline_tbl[[#This Row],[Created_Date]],Dim_Date!A:A,Dim_Date!H:H)</f>
        <v>Aug 2025</v>
      </c>
      <c r="T6106" t="str">
        <f>IF(Pipeline_tbl[[#This Row],[Closed_Date]]=0,"",(_xlfn.XLOOKUP(Pipeline_tbl[[#This Row],[Closed_Date]],Dim_Date!A:A,Dim_Date!H:H)))</f>
        <v>Sep 2025</v>
      </c>
      <c r="U6106">
        <f>IF(Pipeline_tbl[[#This Row],[Closed_Date]]=0,"",Pipeline_tbl[[#This Row],[Closed_Date]]-Pipeline_tbl[[#This Row],[Created_Date]])</f>
        <v>11</v>
      </c>
    </row>
    <row r="6107" spans="1:21" ht="15" customHeight="1" x14ac:dyDescent="0.2">
      <c r="A6107" t="s">
        <v>6413</v>
      </c>
      <c r="B6107" t="s">
        <v>191</v>
      </c>
      <c r="C6107" t="s">
        <v>53</v>
      </c>
      <c r="D6107" s="49">
        <v>45881</v>
      </c>
      <c r="E6107" s="49">
        <v>45886</v>
      </c>
      <c r="F6107" s="49">
        <v>45895</v>
      </c>
      <c r="G6107" s="49">
        <v>45909</v>
      </c>
      <c r="H6107" s="49">
        <v>45920</v>
      </c>
      <c r="I6107" s="49">
        <v>45927</v>
      </c>
      <c r="J6107" t="s">
        <v>49</v>
      </c>
      <c r="K6107" s="33">
        <v>72600</v>
      </c>
      <c r="L6107" t="s">
        <v>61</v>
      </c>
      <c r="M6107" t="str">
        <f>_xlfn.XLOOKUP(Pipeline_tbl[[#This Row],[Rep_ID]],Dim_Reps!A:A,Dim_Reps!K:K)</f>
        <v>USD</v>
      </c>
      <c r="N6107" s="33">
        <f>(_xlfn.XLOOKUP(Pipeline_tbl[[#This Row],[Rate_Code_Generalized]],Lookups!A:A,Lookups!B:B))*Pipeline_tbl[[#This Row],[Pipeline_Amount_USD]]</f>
        <v>84528.18</v>
      </c>
      <c r="O6107" t="str">
        <f>_xlfn.XLOOKUP(Pipeline_tbl[[#This Row],[Rep_ID]],Dim_Reps!A:A,Dim_Reps!B:B)</f>
        <v>Zara Duarte</v>
      </c>
      <c r="P6107" t="str">
        <f>_xlfn.XLOOKUP(Pipeline_tbl[[#This Row],[Rep_ID]],Dim_Reps!A:A,Dim_Reps!C:C)</f>
        <v>Enterprise AE</v>
      </c>
      <c r="Q6107" t="str">
        <f>_xlfn.XLOOKUP(Pipeline_tbl[[#This Row],[Rep_ID]],Dim_Reps!A:A,Dim_Reps!D:D)</f>
        <v>Enterprise</v>
      </c>
      <c r="R6107" t="str">
        <f>_xlfn.XLOOKUP(Pipeline_tbl[[#This Row],[Rep_ID]],Dim_Reps!A:A,Dim_Reps!E:E)</f>
        <v>NAMER</v>
      </c>
      <c r="S6107" t="str">
        <f>_xlfn.XLOOKUP(Pipeline_tbl[[#This Row],[Created_Date]],Dim_Date!A:A,Dim_Date!H:H)</f>
        <v>Aug 2025</v>
      </c>
      <c r="T6107" t="str">
        <f>IF(Pipeline_tbl[[#This Row],[Closed_Date]]=0,"",(_xlfn.XLOOKUP(Pipeline_tbl[[#This Row],[Closed_Date]],Dim_Date!A:A,Dim_Date!H:H)))</f>
        <v>Sep 2025</v>
      </c>
      <c r="U6107">
        <f>IF(Pipeline_tbl[[#This Row],[Closed_Date]]=0,"",Pipeline_tbl[[#This Row],[Closed_Date]]-Pipeline_tbl[[#This Row],[Created_Date]])</f>
        <v>46</v>
      </c>
    </row>
    <row r="6108" spans="1:21" ht="15" customHeight="1" x14ac:dyDescent="0.2">
      <c r="A6108" t="s">
        <v>6414</v>
      </c>
      <c r="B6108" t="s">
        <v>191</v>
      </c>
      <c r="C6108" t="s">
        <v>56</v>
      </c>
      <c r="D6108" s="49">
        <v>45878</v>
      </c>
      <c r="E6108" s="49">
        <v>45881</v>
      </c>
      <c r="F6108" s="49">
        <v>45888</v>
      </c>
      <c r="G6108" s="49">
        <v>45898</v>
      </c>
      <c r="H6108" s="49">
        <v>45906</v>
      </c>
      <c r="I6108" s="49">
        <v>45911</v>
      </c>
      <c r="J6108" t="s">
        <v>47</v>
      </c>
      <c r="K6108" s="33">
        <v>73700</v>
      </c>
      <c r="M6108" t="str">
        <f>_xlfn.XLOOKUP(Pipeline_tbl[[#This Row],[Rep_ID]],Dim_Reps!A:A,Dim_Reps!K:K)</f>
        <v>USD</v>
      </c>
      <c r="N6108" s="33">
        <f>(_xlfn.XLOOKUP(Pipeline_tbl[[#This Row],[Rate_Code_Generalized]],Lookups!A:A,Lookups!B:B))*Pipeline_tbl[[#This Row],[Pipeline_Amount_USD]]</f>
        <v>85808.909999999989</v>
      </c>
      <c r="O6108" t="str">
        <f>_xlfn.XLOOKUP(Pipeline_tbl[[#This Row],[Rep_ID]],Dim_Reps!A:A,Dim_Reps!B:B)</f>
        <v>Zara Duarte</v>
      </c>
      <c r="P6108" t="str">
        <f>_xlfn.XLOOKUP(Pipeline_tbl[[#This Row],[Rep_ID]],Dim_Reps!A:A,Dim_Reps!C:C)</f>
        <v>Enterprise AE</v>
      </c>
      <c r="Q6108" t="str">
        <f>_xlfn.XLOOKUP(Pipeline_tbl[[#This Row],[Rep_ID]],Dim_Reps!A:A,Dim_Reps!D:D)</f>
        <v>Enterprise</v>
      </c>
      <c r="R6108" t="str">
        <f>_xlfn.XLOOKUP(Pipeline_tbl[[#This Row],[Rep_ID]],Dim_Reps!A:A,Dim_Reps!E:E)</f>
        <v>NAMER</v>
      </c>
      <c r="S6108" t="str">
        <f>_xlfn.XLOOKUP(Pipeline_tbl[[#This Row],[Created_Date]],Dim_Date!A:A,Dim_Date!H:H)</f>
        <v>Aug 2025</v>
      </c>
      <c r="T6108" t="str">
        <f>IF(Pipeline_tbl[[#This Row],[Closed_Date]]=0,"",(_xlfn.XLOOKUP(Pipeline_tbl[[#This Row],[Closed_Date]],Dim_Date!A:A,Dim_Date!H:H)))</f>
        <v>Sep 2025</v>
      </c>
      <c r="U6108">
        <f>IF(Pipeline_tbl[[#This Row],[Closed_Date]]=0,"",Pipeline_tbl[[#This Row],[Closed_Date]]-Pipeline_tbl[[#This Row],[Created_Date]])</f>
        <v>33</v>
      </c>
    </row>
    <row r="6109" spans="1:21" ht="15" customHeight="1" x14ac:dyDescent="0.2">
      <c r="A6109" t="s">
        <v>6415</v>
      </c>
      <c r="B6109" t="s">
        <v>229</v>
      </c>
      <c r="C6109" t="s">
        <v>52</v>
      </c>
      <c r="D6109" s="49">
        <v>45893</v>
      </c>
      <c r="E6109" s="49">
        <v>45895</v>
      </c>
      <c r="F6109" s="49">
        <v>45899</v>
      </c>
      <c r="G6109" s="49">
        <v>45904</v>
      </c>
      <c r="H6109" s="49">
        <v>45909</v>
      </c>
      <c r="I6109" s="49">
        <v>45912</v>
      </c>
      <c r="J6109" t="s">
        <v>47</v>
      </c>
      <c r="K6109" s="33">
        <v>3900</v>
      </c>
      <c r="M6109" t="str">
        <f>_xlfn.XLOOKUP(Pipeline_tbl[[#This Row],[Rep_ID]],Dim_Reps!A:A,Dim_Reps!K:K)</f>
        <v>USD</v>
      </c>
      <c r="N6109" s="33">
        <f>(_xlfn.XLOOKUP(Pipeline_tbl[[#This Row],[Rate_Code_Generalized]],Lookups!A:A,Lookups!B:B))*Pipeline_tbl[[#This Row],[Pipeline_Amount_USD]]</f>
        <v>4540.7699999999995</v>
      </c>
      <c r="O6109" t="str">
        <f>_xlfn.XLOOKUP(Pipeline_tbl[[#This Row],[Rep_ID]],Dim_Reps!A:A,Dim_Reps!B:B)</f>
        <v>Liam Castro</v>
      </c>
      <c r="P6109" t="str">
        <f>_xlfn.XLOOKUP(Pipeline_tbl[[#This Row],[Rep_ID]],Dim_Reps!A:A,Dim_Reps!C:C)</f>
        <v>SDR / Inside Sales Rep</v>
      </c>
      <c r="Q6109" t="str">
        <f>_xlfn.XLOOKUP(Pipeline_tbl[[#This Row],[Rep_ID]],Dim_Reps!A:A,Dim_Reps!D:D)</f>
        <v>Inside Sales</v>
      </c>
      <c r="R6109" t="str">
        <f>_xlfn.XLOOKUP(Pipeline_tbl[[#This Row],[Rep_ID]],Dim_Reps!A:A,Dim_Reps!E:E)</f>
        <v>NAMER</v>
      </c>
      <c r="S6109" t="str">
        <f>_xlfn.XLOOKUP(Pipeline_tbl[[#This Row],[Created_Date]],Dim_Date!A:A,Dim_Date!H:H)</f>
        <v>Aug 2025</v>
      </c>
      <c r="T6109" t="str">
        <f>IF(Pipeline_tbl[[#This Row],[Closed_Date]]=0,"",(_xlfn.XLOOKUP(Pipeline_tbl[[#This Row],[Closed_Date]],Dim_Date!A:A,Dim_Date!H:H)))</f>
        <v>Sep 2025</v>
      </c>
      <c r="U6109">
        <f>IF(Pipeline_tbl[[#This Row],[Closed_Date]]=0,"",Pipeline_tbl[[#This Row],[Closed_Date]]-Pipeline_tbl[[#This Row],[Created_Date]])</f>
        <v>19</v>
      </c>
    </row>
    <row r="6110" spans="1:21" ht="15" customHeight="1" x14ac:dyDescent="0.2">
      <c r="A6110" t="s">
        <v>6416</v>
      </c>
      <c r="B6110" t="s">
        <v>229</v>
      </c>
      <c r="C6110" t="s">
        <v>53</v>
      </c>
      <c r="D6110" s="49">
        <v>45891</v>
      </c>
      <c r="E6110" s="49">
        <v>45893</v>
      </c>
      <c r="F6110" s="49">
        <v>45897</v>
      </c>
      <c r="G6110" s="49">
        <v>45904</v>
      </c>
      <c r="H6110" s="49">
        <v>45909</v>
      </c>
      <c r="I6110" s="49">
        <v>45912</v>
      </c>
      <c r="J6110" t="s">
        <v>49</v>
      </c>
      <c r="K6110" s="33">
        <v>2600</v>
      </c>
      <c r="L6110" t="s">
        <v>60</v>
      </c>
      <c r="M6110" t="str">
        <f>_xlfn.XLOOKUP(Pipeline_tbl[[#This Row],[Rep_ID]],Dim_Reps!A:A,Dim_Reps!K:K)</f>
        <v>USD</v>
      </c>
      <c r="N6110" s="33">
        <f>(_xlfn.XLOOKUP(Pipeline_tbl[[#This Row],[Rate_Code_Generalized]],Lookups!A:A,Lookups!B:B))*Pipeline_tbl[[#This Row],[Pipeline_Amount_USD]]</f>
        <v>3027.18</v>
      </c>
      <c r="O6110" t="str">
        <f>_xlfn.XLOOKUP(Pipeline_tbl[[#This Row],[Rep_ID]],Dim_Reps!A:A,Dim_Reps!B:B)</f>
        <v>Liam Castro</v>
      </c>
      <c r="P6110" t="str">
        <f>_xlfn.XLOOKUP(Pipeline_tbl[[#This Row],[Rep_ID]],Dim_Reps!A:A,Dim_Reps!C:C)</f>
        <v>SDR / Inside Sales Rep</v>
      </c>
      <c r="Q6110" t="str">
        <f>_xlfn.XLOOKUP(Pipeline_tbl[[#This Row],[Rep_ID]],Dim_Reps!A:A,Dim_Reps!D:D)</f>
        <v>Inside Sales</v>
      </c>
      <c r="R6110" t="str">
        <f>_xlfn.XLOOKUP(Pipeline_tbl[[#This Row],[Rep_ID]],Dim_Reps!A:A,Dim_Reps!E:E)</f>
        <v>NAMER</v>
      </c>
      <c r="S6110" t="str">
        <f>_xlfn.XLOOKUP(Pipeline_tbl[[#This Row],[Created_Date]],Dim_Date!A:A,Dim_Date!H:H)</f>
        <v>Aug 2025</v>
      </c>
      <c r="T6110" t="str">
        <f>IF(Pipeline_tbl[[#This Row],[Closed_Date]]=0,"",(_xlfn.XLOOKUP(Pipeline_tbl[[#This Row],[Closed_Date]],Dim_Date!A:A,Dim_Date!H:H)))</f>
        <v>Sep 2025</v>
      </c>
      <c r="U6110">
        <f>IF(Pipeline_tbl[[#This Row],[Closed_Date]]=0,"",Pipeline_tbl[[#This Row],[Closed_Date]]-Pipeline_tbl[[#This Row],[Created_Date]])</f>
        <v>21</v>
      </c>
    </row>
    <row r="6111" spans="1:21" ht="15" customHeight="1" x14ac:dyDescent="0.2">
      <c r="A6111" t="s">
        <v>6417</v>
      </c>
      <c r="B6111" t="s">
        <v>229</v>
      </c>
      <c r="C6111" t="s">
        <v>52</v>
      </c>
      <c r="D6111" s="49">
        <v>45893</v>
      </c>
      <c r="E6111" s="49">
        <v>45896</v>
      </c>
      <c r="I6111" s="49">
        <v>45919</v>
      </c>
      <c r="J6111" t="s">
        <v>49</v>
      </c>
      <c r="K6111" s="33">
        <v>5700</v>
      </c>
      <c r="L6111" t="s">
        <v>61</v>
      </c>
      <c r="M6111" t="str">
        <f>_xlfn.XLOOKUP(Pipeline_tbl[[#This Row],[Rep_ID]],Dim_Reps!A:A,Dim_Reps!K:K)</f>
        <v>USD</v>
      </c>
      <c r="N6111" s="33">
        <f>(_xlfn.XLOOKUP(Pipeline_tbl[[#This Row],[Rate_Code_Generalized]],Lookups!A:A,Lookups!B:B))*Pipeline_tbl[[#This Row],[Pipeline_Amount_USD]]</f>
        <v>6636.5099999999993</v>
      </c>
      <c r="O6111" t="str">
        <f>_xlfn.XLOOKUP(Pipeline_tbl[[#This Row],[Rep_ID]],Dim_Reps!A:A,Dim_Reps!B:B)</f>
        <v>Liam Castro</v>
      </c>
      <c r="P6111" t="str">
        <f>_xlfn.XLOOKUP(Pipeline_tbl[[#This Row],[Rep_ID]],Dim_Reps!A:A,Dim_Reps!C:C)</f>
        <v>SDR / Inside Sales Rep</v>
      </c>
      <c r="Q6111" t="str">
        <f>_xlfn.XLOOKUP(Pipeline_tbl[[#This Row],[Rep_ID]],Dim_Reps!A:A,Dim_Reps!D:D)</f>
        <v>Inside Sales</v>
      </c>
      <c r="R6111" t="str">
        <f>_xlfn.XLOOKUP(Pipeline_tbl[[#This Row],[Rep_ID]],Dim_Reps!A:A,Dim_Reps!E:E)</f>
        <v>NAMER</v>
      </c>
      <c r="S6111" t="str">
        <f>_xlfn.XLOOKUP(Pipeline_tbl[[#This Row],[Created_Date]],Dim_Date!A:A,Dim_Date!H:H)</f>
        <v>Aug 2025</v>
      </c>
      <c r="T6111" t="str">
        <f>IF(Pipeline_tbl[[#This Row],[Closed_Date]]=0,"",(_xlfn.XLOOKUP(Pipeline_tbl[[#This Row],[Closed_Date]],Dim_Date!A:A,Dim_Date!H:H)))</f>
        <v>Sep 2025</v>
      </c>
      <c r="U6111">
        <f>IF(Pipeline_tbl[[#This Row],[Closed_Date]]=0,"",Pipeline_tbl[[#This Row],[Closed_Date]]-Pipeline_tbl[[#This Row],[Created_Date]])</f>
        <v>26</v>
      </c>
    </row>
    <row r="6112" spans="1:21" ht="15" customHeight="1" x14ac:dyDescent="0.2">
      <c r="A6112" t="s">
        <v>6418</v>
      </c>
      <c r="B6112" t="s">
        <v>229</v>
      </c>
      <c r="C6112" t="s">
        <v>52</v>
      </c>
      <c r="D6112" s="49">
        <v>45892</v>
      </c>
      <c r="E6112" s="49">
        <v>45894</v>
      </c>
      <c r="F6112" s="49">
        <v>45897</v>
      </c>
      <c r="I6112" s="49">
        <v>45909</v>
      </c>
      <c r="J6112" t="s">
        <v>49</v>
      </c>
      <c r="K6112" s="33">
        <v>3300</v>
      </c>
      <c r="L6112" t="s">
        <v>60</v>
      </c>
      <c r="M6112" t="str">
        <f>_xlfn.XLOOKUP(Pipeline_tbl[[#This Row],[Rep_ID]],Dim_Reps!A:A,Dim_Reps!K:K)</f>
        <v>USD</v>
      </c>
      <c r="N6112" s="33">
        <f>(_xlfn.XLOOKUP(Pipeline_tbl[[#This Row],[Rate_Code_Generalized]],Lookups!A:A,Lookups!B:B))*Pipeline_tbl[[#This Row],[Pipeline_Amount_USD]]</f>
        <v>3842.1899999999996</v>
      </c>
      <c r="O6112" t="str">
        <f>_xlfn.XLOOKUP(Pipeline_tbl[[#This Row],[Rep_ID]],Dim_Reps!A:A,Dim_Reps!B:B)</f>
        <v>Liam Castro</v>
      </c>
      <c r="P6112" t="str">
        <f>_xlfn.XLOOKUP(Pipeline_tbl[[#This Row],[Rep_ID]],Dim_Reps!A:A,Dim_Reps!C:C)</f>
        <v>SDR / Inside Sales Rep</v>
      </c>
      <c r="Q6112" t="str">
        <f>_xlfn.XLOOKUP(Pipeline_tbl[[#This Row],[Rep_ID]],Dim_Reps!A:A,Dim_Reps!D:D)</f>
        <v>Inside Sales</v>
      </c>
      <c r="R6112" t="str">
        <f>_xlfn.XLOOKUP(Pipeline_tbl[[#This Row],[Rep_ID]],Dim_Reps!A:A,Dim_Reps!E:E)</f>
        <v>NAMER</v>
      </c>
      <c r="S6112" t="str">
        <f>_xlfn.XLOOKUP(Pipeline_tbl[[#This Row],[Created_Date]],Dim_Date!A:A,Dim_Date!H:H)</f>
        <v>Aug 2025</v>
      </c>
      <c r="T6112" t="str">
        <f>IF(Pipeline_tbl[[#This Row],[Closed_Date]]=0,"",(_xlfn.XLOOKUP(Pipeline_tbl[[#This Row],[Closed_Date]],Dim_Date!A:A,Dim_Date!H:H)))</f>
        <v>Sep 2025</v>
      </c>
      <c r="U6112">
        <f>IF(Pipeline_tbl[[#This Row],[Closed_Date]]=0,"",Pipeline_tbl[[#This Row],[Closed_Date]]-Pipeline_tbl[[#This Row],[Created_Date]])</f>
        <v>17</v>
      </c>
    </row>
    <row r="6113" spans="1:21" ht="15" customHeight="1" x14ac:dyDescent="0.2">
      <c r="A6113" t="s">
        <v>6419</v>
      </c>
      <c r="B6113" t="s">
        <v>229</v>
      </c>
      <c r="C6113" t="s">
        <v>52</v>
      </c>
      <c r="D6113" s="49">
        <v>45892</v>
      </c>
      <c r="E6113" s="49">
        <v>45894</v>
      </c>
      <c r="F6113" s="49">
        <v>45897</v>
      </c>
      <c r="G6113" s="49">
        <v>45901</v>
      </c>
      <c r="H6113" s="49">
        <v>45905</v>
      </c>
      <c r="I6113" s="49">
        <v>45907</v>
      </c>
      <c r="J6113" t="s">
        <v>47</v>
      </c>
      <c r="K6113" s="33">
        <v>3200</v>
      </c>
      <c r="M6113" t="str">
        <f>_xlfn.XLOOKUP(Pipeline_tbl[[#This Row],[Rep_ID]],Dim_Reps!A:A,Dim_Reps!K:K)</f>
        <v>USD</v>
      </c>
      <c r="N6113" s="33">
        <f>(_xlfn.XLOOKUP(Pipeline_tbl[[#This Row],[Rate_Code_Generalized]],Lookups!A:A,Lookups!B:B))*Pipeline_tbl[[#This Row],[Pipeline_Amount_USD]]</f>
        <v>3725.7599999999998</v>
      </c>
      <c r="O6113" t="str">
        <f>_xlfn.XLOOKUP(Pipeline_tbl[[#This Row],[Rep_ID]],Dim_Reps!A:A,Dim_Reps!B:B)</f>
        <v>Liam Castro</v>
      </c>
      <c r="P6113" t="str">
        <f>_xlfn.XLOOKUP(Pipeline_tbl[[#This Row],[Rep_ID]],Dim_Reps!A:A,Dim_Reps!C:C)</f>
        <v>SDR / Inside Sales Rep</v>
      </c>
      <c r="Q6113" t="str">
        <f>_xlfn.XLOOKUP(Pipeline_tbl[[#This Row],[Rep_ID]],Dim_Reps!A:A,Dim_Reps!D:D)</f>
        <v>Inside Sales</v>
      </c>
      <c r="R6113" t="str">
        <f>_xlfn.XLOOKUP(Pipeline_tbl[[#This Row],[Rep_ID]],Dim_Reps!A:A,Dim_Reps!E:E)</f>
        <v>NAMER</v>
      </c>
      <c r="S6113" t="str">
        <f>_xlfn.XLOOKUP(Pipeline_tbl[[#This Row],[Created_Date]],Dim_Date!A:A,Dim_Date!H:H)</f>
        <v>Aug 2025</v>
      </c>
      <c r="T6113" t="str">
        <f>IF(Pipeline_tbl[[#This Row],[Closed_Date]]=0,"",(_xlfn.XLOOKUP(Pipeline_tbl[[#This Row],[Closed_Date]],Dim_Date!A:A,Dim_Date!H:H)))</f>
        <v>Sep 2025</v>
      </c>
      <c r="U6113">
        <f>IF(Pipeline_tbl[[#This Row],[Closed_Date]]=0,"",Pipeline_tbl[[#This Row],[Closed_Date]]-Pipeline_tbl[[#This Row],[Created_Date]])</f>
        <v>15</v>
      </c>
    </row>
    <row r="6114" spans="1:21" ht="15" customHeight="1" x14ac:dyDescent="0.2">
      <c r="A6114" t="s">
        <v>6420</v>
      </c>
      <c r="B6114" t="s">
        <v>231</v>
      </c>
      <c r="C6114" t="s">
        <v>52</v>
      </c>
      <c r="D6114" s="49">
        <v>45894</v>
      </c>
      <c r="E6114" s="49">
        <v>45895</v>
      </c>
      <c r="F6114" s="49">
        <v>45898</v>
      </c>
      <c r="G6114" s="49">
        <v>45902</v>
      </c>
      <c r="H6114" s="49">
        <v>45906</v>
      </c>
      <c r="I6114" s="49">
        <v>45908</v>
      </c>
      <c r="J6114" t="s">
        <v>47</v>
      </c>
      <c r="K6114" s="33">
        <v>4200</v>
      </c>
      <c r="M6114" t="str">
        <f>_xlfn.XLOOKUP(Pipeline_tbl[[#This Row],[Rep_ID]],Dim_Reps!A:A,Dim_Reps!K:K)</f>
        <v>MXN</v>
      </c>
      <c r="N6114" s="33">
        <f>(_xlfn.XLOOKUP(Pipeline_tbl[[#This Row],[Rate_Code_Generalized]],Lookups!A:A,Lookups!B:B))*Pipeline_tbl[[#This Row],[Pipeline_Amount_USD]]</f>
        <v>82877.340000000011</v>
      </c>
      <c r="O6114" t="str">
        <f>_xlfn.XLOOKUP(Pipeline_tbl[[#This Row],[Rep_ID]],Dim_Reps!A:A,Dim_Reps!B:B)</f>
        <v>Ben Silva</v>
      </c>
      <c r="P6114" t="str">
        <f>_xlfn.XLOOKUP(Pipeline_tbl[[#This Row],[Rep_ID]],Dim_Reps!A:A,Dim_Reps!C:C)</f>
        <v>SDR / Inside Sales Rep</v>
      </c>
      <c r="Q6114" t="str">
        <f>_xlfn.XLOOKUP(Pipeline_tbl[[#This Row],[Rep_ID]],Dim_Reps!A:A,Dim_Reps!D:D)</f>
        <v>Inside Sales</v>
      </c>
      <c r="R6114" t="str">
        <f>_xlfn.XLOOKUP(Pipeline_tbl[[#This Row],[Rep_ID]],Dim_Reps!A:A,Dim_Reps!E:E)</f>
        <v>LATAM</v>
      </c>
      <c r="S6114" t="str">
        <f>_xlfn.XLOOKUP(Pipeline_tbl[[#This Row],[Created_Date]],Dim_Date!A:A,Dim_Date!H:H)</f>
        <v>Aug 2025</v>
      </c>
      <c r="T6114" t="str">
        <f>IF(Pipeline_tbl[[#This Row],[Closed_Date]]=0,"",(_xlfn.XLOOKUP(Pipeline_tbl[[#This Row],[Closed_Date]],Dim_Date!A:A,Dim_Date!H:H)))</f>
        <v>Sep 2025</v>
      </c>
      <c r="U6114">
        <f>IF(Pipeline_tbl[[#This Row],[Closed_Date]]=0,"",Pipeline_tbl[[#This Row],[Closed_Date]]-Pipeline_tbl[[#This Row],[Created_Date]])</f>
        <v>14</v>
      </c>
    </row>
    <row r="6115" spans="1:21" ht="15" customHeight="1" x14ac:dyDescent="0.2">
      <c r="A6115" t="s">
        <v>6421</v>
      </c>
      <c r="B6115" t="s">
        <v>231</v>
      </c>
      <c r="C6115" t="s">
        <v>53</v>
      </c>
      <c r="D6115" s="49">
        <v>45894</v>
      </c>
      <c r="E6115" s="49">
        <v>45896</v>
      </c>
      <c r="F6115" s="49">
        <v>45901</v>
      </c>
      <c r="G6115" s="49">
        <v>45907</v>
      </c>
      <c r="H6115" s="49">
        <v>45913</v>
      </c>
      <c r="I6115" s="49">
        <v>45916</v>
      </c>
      <c r="J6115" t="s">
        <v>47</v>
      </c>
      <c r="K6115" s="33">
        <v>4900</v>
      </c>
      <c r="M6115" t="str">
        <f>_xlfn.XLOOKUP(Pipeline_tbl[[#This Row],[Rep_ID]],Dim_Reps!A:A,Dim_Reps!K:K)</f>
        <v>MXN</v>
      </c>
      <c r="N6115" s="33">
        <f>(_xlfn.XLOOKUP(Pipeline_tbl[[#This Row],[Rate_Code_Generalized]],Lookups!A:A,Lookups!B:B))*Pipeline_tbl[[#This Row],[Pipeline_Amount_USD]]</f>
        <v>96690.23000000001</v>
      </c>
      <c r="O6115" t="str">
        <f>_xlfn.XLOOKUP(Pipeline_tbl[[#This Row],[Rep_ID]],Dim_Reps!A:A,Dim_Reps!B:B)</f>
        <v>Ben Silva</v>
      </c>
      <c r="P6115" t="str">
        <f>_xlfn.XLOOKUP(Pipeline_tbl[[#This Row],[Rep_ID]],Dim_Reps!A:A,Dim_Reps!C:C)</f>
        <v>SDR / Inside Sales Rep</v>
      </c>
      <c r="Q6115" t="str">
        <f>_xlfn.XLOOKUP(Pipeline_tbl[[#This Row],[Rep_ID]],Dim_Reps!A:A,Dim_Reps!D:D)</f>
        <v>Inside Sales</v>
      </c>
      <c r="R6115" t="str">
        <f>_xlfn.XLOOKUP(Pipeline_tbl[[#This Row],[Rep_ID]],Dim_Reps!A:A,Dim_Reps!E:E)</f>
        <v>LATAM</v>
      </c>
      <c r="S6115" t="str">
        <f>_xlfn.XLOOKUP(Pipeline_tbl[[#This Row],[Created_Date]],Dim_Date!A:A,Dim_Date!H:H)</f>
        <v>Aug 2025</v>
      </c>
      <c r="T6115" t="str">
        <f>IF(Pipeline_tbl[[#This Row],[Closed_Date]]=0,"",(_xlfn.XLOOKUP(Pipeline_tbl[[#This Row],[Closed_Date]],Dim_Date!A:A,Dim_Date!H:H)))</f>
        <v>Sep 2025</v>
      </c>
      <c r="U6115">
        <f>IF(Pipeline_tbl[[#This Row],[Closed_Date]]=0,"",Pipeline_tbl[[#This Row],[Closed_Date]]-Pipeline_tbl[[#This Row],[Created_Date]])</f>
        <v>22</v>
      </c>
    </row>
    <row r="6116" spans="1:21" ht="15" customHeight="1" x14ac:dyDescent="0.2">
      <c r="A6116" t="s">
        <v>6422</v>
      </c>
      <c r="B6116" t="s">
        <v>231</v>
      </c>
      <c r="C6116" t="s">
        <v>52</v>
      </c>
      <c r="D6116" s="49">
        <v>45888</v>
      </c>
      <c r="E6116" s="49">
        <v>45890</v>
      </c>
      <c r="F6116" s="49">
        <v>45894</v>
      </c>
      <c r="G6116" s="49">
        <v>45901</v>
      </c>
      <c r="H6116" s="49">
        <v>45906</v>
      </c>
      <c r="I6116" s="49">
        <v>45909</v>
      </c>
      <c r="J6116" t="s">
        <v>47</v>
      </c>
      <c r="K6116" s="33">
        <v>6900</v>
      </c>
      <c r="M6116" t="str">
        <f>_xlfn.XLOOKUP(Pipeline_tbl[[#This Row],[Rep_ID]],Dim_Reps!A:A,Dim_Reps!K:K)</f>
        <v>MXN</v>
      </c>
      <c r="N6116" s="33">
        <f>(_xlfn.XLOOKUP(Pipeline_tbl[[#This Row],[Rate_Code_Generalized]],Lookups!A:A,Lookups!B:B))*Pipeline_tbl[[#This Row],[Pipeline_Amount_USD]]</f>
        <v>136155.63</v>
      </c>
      <c r="O6116" t="str">
        <f>_xlfn.XLOOKUP(Pipeline_tbl[[#This Row],[Rep_ID]],Dim_Reps!A:A,Dim_Reps!B:B)</f>
        <v>Ben Silva</v>
      </c>
      <c r="P6116" t="str">
        <f>_xlfn.XLOOKUP(Pipeline_tbl[[#This Row],[Rep_ID]],Dim_Reps!A:A,Dim_Reps!C:C)</f>
        <v>SDR / Inside Sales Rep</v>
      </c>
      <c r="Q6116" t="str">
        <f>_xlfn.XLOOKUP(Pipeline_tbl[[#This Row],[Rep_ID]],Dim_Reps!A:A,Dim_Reps!D:D)</f>
        <v>Inside Sales</v>
      </c>
      <c r="R6116" t="str">
        <f>_xlfn.XLOOKUP(Pipeline_tbl[[#This Row],[Rep_ID]],Dim_Reps!A:A,Dim_Reps!E:E)</f>
        <v>LATAM</v>
      </c>
      <c r="S6116" t="str">
        <f>_xlfn.XLOOKUP(Pipeline_tbl[[#This Row],[Created_Date]],Dim_Date!A:A,Dim_Date!H:H)</f>
        <v>Aug 2025</v>
      </c>
      <c r="T6116" t="str">
        <f>IF(Pipeline_tbl[[#This Row],[Closed_Date]]=0,"",(_xlfn.XLOOKUP(Pipeline_tbl[[#This Row],[Closed_Date]],Dim_Date!A:A,Dim_Date!H:H)))</f>
        <v>Sep 2025</v>
      </c>
      <c r="U6116">
        <f>IF(Pipeline_tbl[[#This Row],[Closed_Date]]=0,"",Pipeline_tbl[[#This Row],[Closed_Date]]-Pipeline_tbl[[#This Row],[Created_Date]])</f>
        <v>21</v>
      </c>
    </row>
    <row r="6117" spans="1:21" ht="15" customHeight="1" x14ac:dyDescent="0.2">
      <c r="A6117" t="s">
        <v>6423</v>
      </c>
      <c r="B6117" t="s">
        <v>231</v>
      </c>
      <c r="C6117" t="s">
        <v>52</v>
      </c>
      <c r="D6117" s="49">
        <v>45875</v>
      </c>
      <c r="E6117" s="49">
        <v>45879</v>
      </c>
      <c r="F6117" s="49">
        <v>45886</v>
      </c>
      <c r="G6117" s="49">
        <v>45896</v>
      </c>
      <c r="H6117" s="49">
        <v>45905</v>
      </c>
      <c r="I6117" s="49">
        <v>45910</v>
      </c>
      <c r="J6117" t="s">
        <v>47</v>
      </c>
      <c r="K6117" s="33">
        <v>7400</v>
      </c>
      <c r="M6117" t="str">
        <f>_xlfn.XLOOKUP(Pipeline_tbl[[#This Row],[Rep_ID]],Dim_Reps!A:A,Dim_Reps!K:K)</f>
        <v>MXN</v>
      </c>
      <c r="N6117" s="33">
        <f>(_xlfn.XLOOKUP(Pipeline_tbl[[#This Row],[Rate_Code_Generalized]],Lookups!A:A,Lookups!B:B))*Pipeline_tbl[[#This Row],[Pipeline_Amount_USD]]</f>
        <v>146021.98000000001</v>
      </c>
      <c r="O6117" t="str">
        <f>_xlfn.XLOOKUP(Pipeline_tbl[[#This Row],[Rep_ID]],Dim_Reps!A:A,Dim_Reps!B:B)</f>
        <v>Ben Silva</v>
      </c>
      <c r="P6117" t="str">
        <f>_xlfn.XLOOKUP(Pipeline_tbl[[#This Row],[Rep_ID]],Dim_Reps!A:A,Dim_Reps!C:C)</f>
        <v>SDR / Inside Sales Rep</v>
      </c>
      <c r="Q6117" t="str">
        <f>_xlfn.XLOOKUP(Pipeline_tbl[[#This Row],[Rep_ID]],Dim_Reps!A:A,Dim_Reps!D:D)</f>
        <v>Inside Sales</v>
      </c>
      <c r="R6117" t="str">
        <f>_xlfn.XLOOKUP(Pipeline_tbl[[#This Row],[Rep_ID]],Dim_Reps!A:A,Dim_Reps!E:E)</f>
        <v>LATAM</v>
      </c>
      <c r="S6117" t="str">
        <f>_xlfn.XLOOKUP(Pipeline_tbl[[#This Row],[Created_Date]],Dim_Date!A:A,Dim_Date!H:H)</f>
        <v>Aug 2025</v>
      </c>
      <c r="T6117" t="str">
        <f>IF(Pipeline_tbl[[#This Row],[Closed_Date]]=0,"",(_xlfn.XLOOKUP(Pipeline_tbl[[#This Row],[Closed_Date]],Dim_Date!A:A,Dim_Date!H:H)))</f>
        <v>Sep 2025</v>
      </c>
      <c r="U6117">
        <f>IF(Pipeline_tbl[[#This Row],[Closed_Date]]=0,"",Pipeline_tbl[[#This Row],[Closed_Date]]-Pipeline_tbl[[#This Row],[Created_Date]])</f>
        <v>35</v>
      </c>
    </row>
    <row r="6118" spans="1:21" ht="15" customHeight="1" x14ac:dyDescent="0.2">
      <c r="A6118" t="s">
        <v>6424</v>
      </c>
      <c r="B6118" t="s">
        <v>231</v>
      </c>
      <c r="C6118" t="s">
        <v>53</v>
      </c>
      <c r="D6118" s="49">
        <v>45883</v>
      </c>
      <c r="E6118" s="49">
        <v>45885</v>
      </c>
      <c r="F6118" s="49">
        <v>45889</v>
      </c>
      <c r="G6118" s="49">
        <v>45894</v>
      </c>
      <c r="H6118" s="49">
        <v>45899</v>
      </c>
      <c r="I6118" s="49">
        <v>45902</v>
      </c>
      <c r="J6118" t="s">
        <v>49</v>
      </c>
      <c r="K6118" s="33">
        <v>3600</v>
      </c>
      <c r="L6118" t="s">
        <v>61</v>
      </c>
      <c r="M6118" t="str">
        <f>_xlfn.XLOOKUP(Pipeline_tbl[[#This Row],[Rep_ID]],Dim_Reps!A:A,Dim_Reps!K:K)</f>
        <v>MXN</v>
      </c>
      <c r="N6118" s="33">
        <f>(_xlfn.XLOOKUP(Pipeline_tbl[[#This Row],[Rate_Code_Generalized]],Lookups!A:A,Lookups!B:B))*Pipeline_tbl[[#This Row],[Pipeline_Amount_USD]]</f>
        <v>71037.72</v>
      </c>
      <c r="O6118" t="str">
        <f>_xlfn.XLOOKUP(Pipeline_tbl[[#This Row],[Rep_ID]],Dim_Reps!A:A,Dim_Reps!B:B)</f>
        <v>Ben Silva</v>
      </c>
      <c r="P6118" t="str">
        <f>_xlfn.XLOOKUP(Pipeline_tbl[[#This Row],[Rep_ID]],Dim_Reps!A:A,Dim_Reps!C:C)</f>
        <v>SDR / Inside Sales Rep</v>
      </c>
      <c r="Q6118" t="str">
        <f>_xlfn.XLOOKUP(Pipeline_tbl[[#This Row],[Rep_ID]],Dim_Reps!A:A,Dim_Reps!D:D)</f>
        <v>Inside Sales</v>
      </c>
      <c r="R6118" t="str">
        <f>_xlfn.XLOOKUP(Pipeline_tbl[[#This Row],[Rep_ID]],Dim_Reps!A:A,Dim_Reps!E:E)</f>
        <v>LATAM</v>
      </c>
      <c r="S6118" t="str">
        <f>_xlfn.XLOOKUP(Pipeline_tbl[[#This Row],[Created_Date]],Dim_Date!A:A,Dim_Date!H:H)</f>
        <v>Aug 2025</v>
      </c>
      <c r="T6118" t="str">
        <f>IF(Pipeline_tbl[[#This Row],[Closed_Date]]=0,"",(_xlfn.XLOOKUP(Pipeline_tbl[[#This Row],[Closed_Date]],Dim_Date!A:A,Dim_Date!H:H)))</f>
        <v>Sep 2025</v>
      </c>
      <c r="U6118">
        <f>IF(Pipeline_tbl[[#This Row],[Closed_Date]]=0,"",Pipeline_tbl[[#This Row],[Closed_Date]]-Pipeline_tbl[[#This Row],[Created_Date]])</f>
        <v>19</v>
      </c>
    </row>
    <row r="6119" spans="1:21" ht="15" customHeight="1" x14ac:dyDescent="0.2">
      <c r="A6119" t="s">
        <v>6425</v>
      </c>
      <c r="B6119" t="s">
        <v>231</v>
      </c>
      <c r="C6119" t="s">
        <v>53</v>
      </c>
      <c r="D6119" s="49">
        <v>45887</v>
      </c>
      <c r="E6119" s="49">
        <v>45889</v>
      </c>
      <c r="F6119" s="49">
        <v>45895</v>
      </c>
      <c r="I6119" s="49">
        <v>45912</v>
      </c>
      <c r="J6119" t="s">
        <v>49</v>
      </c>
      <c r="K6119" s="33">
        <v>3800</v>
      </c>
      <c r="L6119" t="s">
        <v>62</v>
      </c>
      <c r="M6119" t="str">
        <f>_xlfn.XLOOKUP(Pipeline_tbl[[#This Row],[Rep_ID]],Dim_Reps!A:A,Dim_Reps!K:K)</f>
        <v>MXN</v>
      </c>
      <c r="N6119" s="33">
        <f>(_xlfn.XLOOKUP(Pipeline_tbl[[#This Row],[Rate_Code_Generalized]],Lookups!A:A,Lookups!B:B))*Pipeline_tbl[[#This Row],[Pipeline_Amount_USD]]</f>
        <v>74984.260000000009</v>
      </c>
      <c r="O6119" t="str">
        <f>_xlfn.XLOOKUP(Pipeline_tbl[[#This Row],[Rep_ID]],Dim_Reps!A:A,Dim_Reps!B:B)</f>
        <v>Ben Silva</v>
      </c>
      <c r="P6119" t="str">
        <f>_xlfn.XLOOKUP(Pipeline_tbl[[#This Row],[Rep_ID]],Dim_Reps!A:A,Dim_Reps!C:C)</f>
        <v>SDR / Inside Sales Rep</v>
      </c>
      <c r="Q6119" t="str">
        <f>_xlfn.XLOOKUP(Pipeline_tbl[[#This Row],[Rep_ID]],Dim_Reps!A:A,Dim_Reps!D:D)</f>
        <v>Inside Sales</v>
      </c>
      <c r="R6119" t="str">
        <f>_xlfn.XLOOKUP(Pipeline_tbl[[#This Row],[Rep_ID]],Dim_Reps!A:A,Dim_Reps!E:E)</f>
        <v>LATAM</v>
      </c>
      <c r="S6119" t="str">
        <f>_xlfn.XLOOKUP(Pipeline_tbl[[#This Row],[Created_Date]],Dim_Date!A:A,Dim_Date!H:H)</f>
        <v>Aug 2025</v>
      </c>
      <c r="T6119" t="str">
        <f>IF(Pipeline_tbl[[#This Row],[Closed_Date]]=0,"",(_xlfn.XLOOKUP(Pipeline_tbl[[#This Row],[Closed_Date]],Dim_Date!A:A,Dim_Date!H:H)))</f>
        <v>Sep 2025</v>
      </c>
      <c r="U6119">
        <f>IF(Pipeline_tbl[[#This Row],[Closed_Date]]=0,"",Pipeline_tbl[[#This Row],[Closed_Date]]-Pipeline_tbl[[#This Row],[Created_Date]])</f>
        <v>25</v>
      </c>
    </row>
    <row r="6120" spans="1:21" ht="15" customHeight="1" x14ac:dyDescent="0.2">
      <c r="A6120" t="s">
        <v>6426</v>
      </c>
      <c r="B6120" t="s">
        <v>231</v>
      </c>
      <c r="C6120" t="s">
        <v>53</v>
      </c>
      <c r="D6120" s="49">
        <v>45900</v>
      </c>
      <c r="E6120" s="49">
        <v>45902</v>
      </c>
      <c r="F6120" s="49">
        <v>45908</v>
      </c>
      <c r="G6120" s="49">
        <v>45915</v>
      </c>
      <c r="H6120" s="49">
        <v>45921</v>
      </c>
      <c r="I6120" s="49">
        <v>45925</v>
      </c>
      <c r="J6120" t="s">
        <v>47</v>
      </c>
      <c r="K6120" s="33">
        <v>7700</v>
      </c>
      <c r="M6120" t="str">
        <f>_xlfn.XLOOKUP(Pipeline_tbl[[#This Row],[Rep_ID]],Dim_Reps!A:A,Dim_Reps!K:K)</f>
        <v>MXN</v>
      </c>
      <c r="N6120" s="33">
        <f>(_xlfn.XLOOKUP(Pipeline_tbl[[#This Row],[Rate_Code_Generalized]],Lookups!A:A,Lookups!B:B))*Pipeline_tbl[[#This Row],[Pipeline_Amount_USD]]</f>
        <v>151941.79</v>
      </c>
      <c r="O6120" t="str">
        <f>_xlfn.XLOOKUP(Pipeline_tbl[[#This Row],[Rep_ID]],Dim_Reps!A:A,Dim_Reps!B:B)</f>
        <v>Ben Silva</v>
      </c>
      <c r="P6120" t="str">
        <f>_xlfn.XLOOKUP(Pipeline_tbl[[#This Row],[Rep_ID]],Dim_Reps!A:A,Dim_Reps!C:C)</f>
        <v>SDR / Inside Sales Rep</v>
      </c>
      <c r="Q6120" t="str">
        <f>_xlfn.XLOOKUP(Pipeline_tbl[[#This Row],[Rep_ID]],Dim_Reps!A:A,Dim_Reps!D:D)</f>
        <v>Inside Sales</v>
      </c>
      <c r="R6120" t="str">
        <f>_xlfn.XLOOKUP(Pipeline_tbl[[#This Row],[Rep_ID]],Dim_Reps!A:A,Dim_Reps!E:E)</f>
        <v>LATAM</v>
      </c>
      <c r="S6120" t="str">
        <f>_xlfn.XLOOKUP(Pipeline_tbl[[#This Row],[Created_Date]],Dim_Date!A:A,Dim_Date!H:H)</f>
        <v>Aug 2025</v>
      </c>
      <c r="T6120" t="str">
        <f>IF(Pipeline_tbl[[#This Row],[Closed_Date]]=0,"",(_xlfn.XLOOKUP(Pipeline_tbl[[#This Row],[Closed_Date]],Dim_Date!A:A,Dim_Date!H:H)))</f>
        <v>Sep 2025</v>
      </c>
      <c r="U6120">
        <f>IF(Pipeline_tbl[[#This Row],[Closed_Date]]=0,"",Pipeline_tbl[[#This Row],[Closed_Date]]-Pipeline_tbl[[#This Row],[Created_Date]])</f>
        <v>25</v>
      </c>
    </row>
    <row r="6121" spans="1:21" ht="15" customHeight="1" x14ac:dyDescent="0.2">
      <c r="A6121" t="s">
        <v>6427</v>
      </c>
      <c r="B6121" t="s">
        <v>231</v>
      </c>
      <c r="C6121" t="s">
        <v>52</v>
      </c>
      <c r="D6121" s="49">
        <v>45894</v>
      </c>
      <c r="E6121" s="49">
        <v>45895</v>
      </c>
      <c r="F6121" s="49">
        <v>45897</v>
      </c>
      <c r="I6121" s="49">
        <v>45903</v>
      </c>
      <c r="J6121" t="s">
        <v>49</v>
      </c>
      <c r="K6121" s="33">
        <v>4900</v>
      </c>
      <c r="L6121" t="s">
        <v>64</v>
      </c>
      <c r="M6121" t="str">
        <f>_xlfn.XLOOKUP(Pipeline_tbl[[#This Row],[Rep_ID]],Dim_Reps!A:A,Dim_Reps!K:K)</f>
        <v>MXN</v>
      </c>
      <c r="N6121" s="33">
        <f>(_xlfn.XLOOKUP(Pipeline_tbl[[#This Row],[Rate_Code_Generalized]],Lookups!A:A,Lookups!B:B))*Pipeline_tbl[[#This Row],[Pipeline_Amount_USD]]</f>
        <v>96690.23000000001</v>
      </c>
      <c r="O6121" t="str">
        <f>_xlfn.XLOOKUP(Pipeline_tbl[[#This Row],[Rep_ID]],Dim_Reps!A:A,Dim_Reps!B:B)</f>
        <v>Ben Silva</v>
      </c>
      <c r="P6121" t="str">
        <f>_xlfn.XLOOKUP(Pipeline_tbl[[#This Row],[Rep_ID]],Dim_Reps!A:A,Dim_Reps!C:C)</f>
        <v>SDR / Inside Sales Rep</v>
      </c>
      <c r="Q6121" t="str">
        <f>_xlfn.XLOOKUP(Pipeline_tbl[[#This Row],[Rep_ID]],Dim_Reps!A:A,Dim_Reps!D:D)</f>
        <v>Inside Sales</v>
      </c>
      <c r="R6121" t="str">
        <f>_xlfn.XLOOKUP(Pipeline_tbl[[#This Row],[Rep_ID]],Dim_Reps!A:A,Dim_Reps!E:E)</f>
        <v>LATAM</v>
      </c>
      <c r="S6121" t="str">
        <f>_xlfn.XLOOKUP(Pipeline_tbl[[#This Row],[Created_Date]],Dim_Date!A:A,Dim_Date!H:H)</f>
        <v>Aug 2025</v>
      </c>
      <c r="T6121" t="str">
        <f>IF(Pipeline_tbl[[#This Row],[Closed_Date]]=0,"",(_xlfn.XLOOKUP(Pipeline_tbl[[#This Row],[Closed_Date]],Dim_Date!A:A,Dim_Date!H:H)))</f>
        <v>Sep 2025</v>
      </c>
      <c r="U6121">
        <f>IF(Pipeline_tbl[[#This Row],[Closed_Date]]=0,"",Pipeline_tbl[[#This Row],[Closed_Date]]-Pipeline_tbl[[#This Row],[Created_Date]])</f>
        <v>9</v>
      </c>
    </row>
    <row r="6122" spans="1:21" ht="15" customHeight="1" x14ac:dyDescent="0.2">
      <c r="A6122" t="s">
        <v>6428</v>
      </c>
      <c r="B6122" t="s">
        <v>263</v>
      </c>
      <c r="C6122" t="s">
        <v>55</v>
      </c>
      <c r="D6122" s="49">
        <v>45888</v>
      </c>
      <c r="E6122" s="49">
        <v>45892</v>
      </c>
      <c r="F6122" s="49">
        <v>45900</v>
      </c>
      <c r="I6122" s="49">
        <v>45928</v>
      </c>
      <c r="J6122" t="s">
        <v>49</v>
      </c>
      <c r="K6122" s="33">
        <v>12400</v>
      </c>
      <c r="L6122" t="s">
        <v>63</v>
      </c>
      <c r="M6122" t="str">
        <f>_xlfn.XLOOKUP(Pipeline_tbl[[#This Row],[Rep_ID]],Dim_Reps!A:A,Dim_Reps!K:K)</f>
        <v>USD</v>
      </c>
      <c r="N6122" s="33">
        <f>(_xlfn.XLOOKUP(Pipeline_tbl[[#This Row],[Rate_Code_Generalized]],Lookups!A:A,Lookups!B:B))*Pipeline_tbl[[#This Row],[Pipeline_Amount_USD]]</f>
        <v>14437.319999999998</v>
      </c>
      <c r="O6122" t="str">
        <f>_xlfn.XLOOKUP(Pipeline_tbl[[#This Row],[Rep_ID]],Dim_Reps!A:A,Dim_Reps!B:B)</f>
        <v>Morgan Weber</v>
      </c>
      <c r="P6122" t="str">
        <f>_xlfn.XLOOKUP(Pipeline_tbl[[#This Row],[Rep_ID]],Dim_Reps!A:A,Dim_Reps!C:C)</f>
        <v>Mid-Market AE</v>
      </c>
      <c r="Q6122" t="str">
        <f>_xlfn.XLOOKUP(Pipeline_tbl[[#This Row],[Rep_ID]],Dim_Reps!A:A,Dim_Reps!D:D)</f>
        <v>Mid-Market</v>
      </c>
      <c r="R6122" t="str">
        <f>_xlfn.XLOOKUP(Pipeline_tbl[[#This Row],[Rep_ID]],Dim_Reps!A:A,Dim_Reps!E:E)</f>
        <v>NAMER</v>
      </c>
      <c r="S6122" t="str">
        <f>_xlfn.XLOOKUP(Pipeline_tbl[[#This Row],[Created_Date]],Dim_Date!A:A,Dim_Date!H:H)</f>
        <v>Aug 2025</v>
      </c>
      <c r="T6122" t="str">
        <f>IF(Pipeline_tbl[[#This Row],[Closed_Date]]=0,"",(_xlfn.XLOOKUP(Pipeline_tbl[[#This Row],[Closed_Date]],Dim_Date!A:A,Dim_Date!H:H)))</f>
        <v>Sep 2025</v>
      </c>
      <c r="U6122">
        <f>IF(Pipeline_tbl[[#This Row],[Closed_Date]]=0,"",Pipeline_tbl[[#This Row],[Closed_Date]]-Pipeline_tbl[[#This Row],[Created_Date]])</f>
        <v>40</v>
      </c>
    </row>
    <row r="6123" spans="1:21" ht="15" customHeight="1" x14ac:dyDescent="0.2">
      <c r="A6123" t="s">
        <v>6429</v>
      </c>
      <c r="B6123" t="s">
        <v>263</v>
      </c>
      <c r="C6123" t="s">
        <v>54</v>
      </c>
      <c r="D6123" s="49">
        <v>45880</v>
      </c>
      <c r="E6123" s="49">
        <v>45884</v>
      </c>
      <c r="F6123" s="49">
        <v>45891</v>
      </c>
      <c r="G6123" s="49">
        <v>45903</v>
      </c>
      <c r="H6123" s="49">
        <v>45912</v>
      </c>
      <c r="I6123" s="49">
        <v>45918</v>
      </c>
      <c r="J6123" t="s">
        <v>47</v>
      </c>
      <c r="K6123" s="33">
        <v>22400</v>
      </c>
      <c r="M6123" t="str">
        <f>_xlfn.XLOOKUP(Pipeline_tbl[[#This Row],[Rep_ID]],Dim_Reps!A:A,Dim_Reps!K:K)</f>
        <v>USD</v>
      </c>
      <c r="N6123" s="33">
        <f>(_xlfn.XLOOKUP(Pipeline_tbl[[#This Row],[Rate_Code_Generalized]],Lookups!A:A,Lookups!B:B))*Pipeline_tbl[[#This Row],[Pipeline_Amount_USD]]</f>
        <v>26080.319999999996</v>
      </c>
      <c r="O6123" t="str">
        <f>_xlfn.XLOOKUP(Pipeline_tbl[[#This Row],[Rep_ID]],Dim_Reps!A:A,Dim_Reps!B:B)</f>
        <v>Morgan Weber</v>
      </c>
      <c r="P6123" t="str">
        <f>_xlfn.XLOOKUP(Pipeline_tbl[[#This Row],[Rep_ID]],Dim_Reps!A:A,Dim_Reps!C:C)</f>
        <v>Mid-Market AE</v>
      </c>
      <c r="Q6123" t="str">
        <f>_xlfn.XLOOKUP(Pipeline_tbl[[#This Row],[Rep_ID]],Dim_Reps!A:A,Dim_Reps!D:D)</f>
        <v>Mid-Market</v>
      </c>
      <c r="R6123" t="str">
        <f>_xlfn.XLOOKUP(Pipeline_tbl[[#This Row],[Rep_ID]],Dim_Reps!A:A,Dim_Reps!E:E)</f>
        <v>NAMER</v>
      </c>
      <c r="S6123" t="str">
        <f>_xlfn.XLOOKUP(Pipeline_tbl[[#This Row],[Created_Date]],Dim_Date!A:A,Dim_Date!H:H)</f>
        <v>Aug 2025</v>
      </c>
      <c r="T6123" t="str">
        <f>IF(Pipeline_tbl[[#This Row],[Closed_Date]]=0,"",(_xlfn.XLOOKUP(Pipeline_tbl[[#This Row],[Closed_Date]],Dim_Date!A:A,Dim_Date!H:H)))</f>
        <v>Sep 2025</v>
      </c>
      <c r="U6123">
        <f>IF(Pipeline_tbl[[#This Row],[Closed_Date]]=0,"",Pipeline_tbl[[#This Row],[Closed_Date]]-Pipeline_tbl[[#This Row],[Created_Date]])</f>
        <v>38</v>
      </c>
    </row>
    <row r="6124" spans="1:21" ht="15" customHeight="1" x14ac:dyDescent="0.2">
      <c r="A6124" t="s">
        <v>6430</v>
      </c>
      <c r="B6124" t="s">
        <v>263</v>
      </c>
      <c r="C6124" t="s">
        <v>53</v>
      </c>
      <c r="D6124" s="49">
        <v>45882</v>
      </c>
      <c r="E6124" s="49">
        <v>45885</v>
      </c>
      <c r="F6124" s="49">
        <v>45891</v>
      </c>
      <c r="G6124" s="49">
        <v>45899</v>
      </c>
      <c r="H6124" s="49">
        <v>45907</v>
      </c>
      <c r="I6124" s="49">
        <v>45911</v>
      </c>
      <c r="J6124" t="s">
        <v>47</v>
      </c>
      <c r="K6124" s="33">
        <v>16200</v>
      </c>
      <c r="M6124" t="str">
        <f>_xlfn.XLOOKUP(Pipeline_tbl[[#This Row],[Rep_ID]],Dim_Reps!A:A,Dim_Reps!K:K)</f>
        <v>USD</v>
      </c>
      <c r="N6124" s="33">
        <f>(_xlfn.XLOOKUP(Pipeline_tbl[[#This Row],[Rate_Code_Generalized]],Lookups!A:A,Lookups!B:B))*Pipeline_tbl[[#This Row],[Pipeline_Amount_USD]]</f>
        <v>18861.66</v>
      </c>
      <c r="O6124" t="str">
        <f>_xlfn.XLOOKUP(Pipeline_tbl[[#This Row],[Rep_ID]],Dim_Reps!A:A,Dim_Reps!B:B)</f>
        <v>Morgan Weber</v>
      </c>
      <c r="P6124" t="str">
        <f>_xlfn.XLOOKUP(Pipeline_tbl[[#This Row],[Rep_ID]],Dim_Reps!A:A,Dim_Reps!C:C)</f>
        <v>Mid-Market AE</v>
      </c>
      <c r="Q6124" t="str">
        <f>_xlfn.XLOOKUP(Pipeline_tbl[[#This Row],[Rep_ID]],Dim_Reps!A:A,Dim_Reps!D:D)</f>
        <v>Mid-Market</v>
      </c>
      <c r="R6124" t="str">
        <f>_xlfn.XLOOKUP(Pipeline_tbl[[#This Row],[Rep_ID]],Dim_Reps!A:A,Dim_Reps!E:E)</f>
        <v>NAMER</v>
      </c>
      <c r="S6124" t="str">
        <f>_xlfn.XLOOKUP(Pipeline_tbl[[#This Row],[Created_Date]],Dim_Date!A:A,Dim_Date!H:H)</f>
        <v>Aug 2025</v>
      </c>
      <c r="T6124" t="str">
        <f>IF(Pipeline_tbl[[#This Row],[Closed_Date]]=0,"",(_xlfn.XLOOKUP(Pipeline_tbl[[#This Row],[Closed_Date]],Dim_Date!A:A,Dim_Date!H:H)))</f>
        <v>Sep 2025</v>
      </c>
      <c r="U6124">
        <f>IF(Pipeline_tbl[[#This Row],[Closed_Date]]=0,"",Pipeline_tbl[[#This Row],[Closed_Date]]-Pipeline_tbl[[#This Row],[Created_Date]])</f>
        <v>29</v>
      </c>
    </row>
    <row r="6125" spans="1:21" ht="15" customHeight="1" x14ac:dyDescent="0.2">
      <c r="A6125" t="s">
        <v>6431</v>
      </c>
      <c r="B6125" t="s">
        <v>265</v>
      </c>
      <c r="C6125" t="s">
        <v>52</v>
      </c>
      <c r="D6125" s="49">
        <v>45875</v>
      </c>
      <c r="E6125" s="49">
        <v>45878</v>
      </c>
      <c r="F6125" s="49">
        <v>45884</v>
      </c>
      <c r="G6125" s="49">
        <v>45893</v>
      </c>
      <c r="H6125" s="49">
        <v>45901</v>
      </c>
      <c r="I6125" s="49">
        <v>45905</v>
      </c>
      <c r="J6125" t="s">
        <v>47</v>
      </c>
      <c r="K6125" s="33">
        <v>10900</v>
      </c>
      <c r="M6125" t="str">
        <f>_xlfn.XLOOKUP(Pipeline_tbl[[#This Row],[Rep_ID]],Dim_Reps!A:A,Dim_Reps!K:K)</f>
        <v>EUR</v>
      </c>
      <c r="N6125" s="33">
        <f>(_xlfn.XLOOKUP(Pipeline_tbl[[#This Row],[Rate_Code_Generalized]],Lookups!A:A,Lookups!B:B))*Pipeline_tbl[[#This Row],[Pipeline_Amount_USD]]</f>
        <v>10900</v>
      </c>
      <c r="O6125" t="str">
        <f>_xlfn.XLOOKUP(Pipeline_tbl[[#This Row],[Rep_ID]],Dim_Reps!A:A,Dim_Reps!B:B)</f>
        <v>Erik Duarte</v>
      </c>
      <c r="P6125" t="str">
        <f>_xlfn.XLOOKUP(Pipeline_tbl[[#This Row],[Rep_ID]],Dim_Reps!A:A,Dim_Reps!C:C)</f>
        <v>Mid-Market AE</v>
      </c>
      <c r="Q6125" t="str">
        <f>_xlfn.XLOOKUP(Pipeline_tbl[[#This Row],[Rep_ID]],Dim_Reps!A:A,Dim_Reps!D:D)</f>
        <v>Mid-Market</v>
      </c>
      <c r="R6125" t="str">
        <f>_xlfn.XLOOKUP(Pipeline_tbl[[#This Row],[Rep_ID]],Dim_Reps!A:A,Dim_Reps!E:E)</f>
        <v>EMEA</v>
      </c>
      <c r="S6125" t="str">
        <f>_xlfn.XLOOKUP(Pipeline_tbl[[#This Row],[Created_Date]],Dim_Date!A:A,Dim_Date!H:H)</f>
        <v>Aug 2025</v>
      </c>
      <c r="T6125" t="str">
        <f>IF(Pipeline_tbl[[#This Row],[Closed_Date]]=0,"",(_xlfn.XLOOKUP(Pipeline_tbl[[#This Row],[Closed_Date]],Dim_Date!A:A,Dim_Date!H:H)))</f>
        <v>Sep 2025</v>
      </c>
      <c r="U6125">
        <f>IF(Pipeline_tbl[[#This Row],[Closed_Date]]=0,"",Pipeline_tbl[[#This Row],[Closed_Date]]-Pipeline_tbl[[#This Row],[Created_Date]])</f>
        <v>30</v>
      </c>
    </row>
    <row r="6126" spans="1:21" ht="15" customHeight="1" x14ac:dyDescent="0.2">
      <c r="A6126" t="s">
        <v>6432</v>
      </c>
      <c r="B6126" t="s">
        <v>233</v>
      </c>
      <c r="C6126" t="s">
        <v>53</v>
      </c>
      <c r="D6126" s="49">
        <v>45883</v>
      </c>
      <c r="E6126" s="49">
        <v>45886</v>
      </c>
      <c r="F6126" s="49">
        <v>45892</v>
      </c>
      <c r="G6126" s="49">
        <v>45902</v>
      </c>
      <c r="H6126" s="49">
        <v>45909</v>
      </c>
      <c r="I6126" s="49">
        <v>45914</v>
      </c>
      <c r="J6126" t="s">
        <v>49</v>
      </c>
      <c r="K6126" s="33">
        <v>8900</v>
      </c>
      <c r="L6126" t="s">
        <v>61</v>
      </c>
      <c r="M6126" t="str">
        <f>_xlfn.XLOOKUP(Pipeline_tbl[[#This Row],[Rep_ID]],Dim_Reps!A:A,Dim_Reps!K:K)</f>
        <v>MXN</v>
      </c>
      <c r="N6126" s="33">
        <f>(_xlfn.XLOOKUP(Pipeline_tbl[[#This Row],[Rate_Code_Generalized]],Lookups!A:A,Lookups!B:B))*Pipeline_tbl[[#This Row],[Pipeline_Amount_USD]]</f>
        <v>175621.03</v>
      </c>
      <c r="O6126" t="str">
        <f>_xlfn.XLOOKUP(Pipeline_tbl[[#This Row],[Rep_ID]],Dim_Reps!A:A,Dim_Reps!B:B)</f>
        <v>Lucas Duarte</v>
      </c>
      <c r="P6126" t="str">
        <f>_xlfn.XLOOKUP(Pipeline_tbl[[#This Row],[Rep_ID]],Dim_Reps!A:A,Dim_Reps!C:C)</f>
        <v>SDR / Inside Sales Rep</v>
      </c>
      <c r="Q6126" t="str">
        <f>_xlfn.XLOOKUP(Pipeline_tbl[[#This Row],[Rep_ID]],Dim_Reps!A:A,Dim_Reps!D:D)</f>
        <v>Inside Sales</v>
      </c>
      <c r="R6126" t="str">
        <f>_xlfn.XLOOKUP(Pipeline_tbl[[#This Row],[Rep_ID]],Dim_Reps!A:A,Dim_Reps!E:E)</f>
        <v>LATAM</v>
      </c>
      <c r="S6126" t="str">
        <f>_xlfn.XLOOKUP(Pipeline_tbl[[#This Row],[Created_Date]],Dim_Date!A:A,Dim_Date!H:H)</f>
        <v>Aug 2025</v>
      </c>
      <c r="T6126" t="str">
        <f>IF(Pipeline_tbl[[#This Row],[Closed_Date]]=0,"",(_xlfn.XLOOKUP(Pipeline_tbl[[#This Row],[Closed_Date]],Dim_Date!A:A,Dim_Date!H:H)))</f>
        <v>Sep 2025</v>
      </c>
      <c r="U6126">
        <f>IF(Pipeline_tbl[[#This Row],[Closed_Date]]=0,"",Pipeline_tbl[[#This Row],[Closed_Date]]-Pipeline_tbl[[#This Row],[Created_Date]])</f>
        <v>31</v>
      </c>
    </row>
    <row r="6127" spans="1:21" ht="15" customHeight="1" x14ac:dyDescent="0.2">
      <c r="A6127" t="s">
        <v>6433</v>
      </c>
      <c r="B6127" t="s">
        <v>233</v>
      </c>
      <c r="C6127" t="s">
        <v>55</v>
      </c>
      <c r="D6127" s="49">
        <v>45891</v>
      </c>
      <c r="E6127" s="49">
        <v>45893</v>
      </c>
      <c r="F6127" s="49">
        <v>45897</v>
      </c>
      <c r="G6127" s="49">
        <v>45902</v>
      </c>
      <c r="H6127" s="49">
        <v>45907</v>
      </c>
      <c r="I6127" s="49">
        <v>45910</v>
      </c>
      <c r="J6127" t="s">
        <v>47</v>
      </c>
      <c r="K6127" s="33">
        <v>3500</v>
      </c>
      <c r="M6127" t="str">
        <f>_xlfn.XLOOKUP(Pipeline_tbl[[#This Row],[Rep_ID]],Dim_Reps!A:A,Dim_Reps!K:K)</f>
        <v>MXN</v>
      </c>
      <c r="N6127" s="33">
        <f>(_xlfn.XLOOKUP(Pipeline_tbl[[#This Row],[Rate_Code_Generalized]],Lookups!A:A,Lookups!B:B))*Pipeline_tbl[[#This Row],[Pipeline_Amount_USD]]</f>
        <v>69064.45</v>
      </c>
      <c r="O6127" t="str">
        <f>_xlfn.XLOOKUP(Pipeline_tbl[[#This Row],[Rep_ID]],Dim_Reps!A:A,Dim_Reps!B:B)</f>
        <v>Lucas Duarte</v>
      </c>
      <c r="P6127" t="str">
        <f>_xlfn.XLOOKUP(Pipeline_tbl[[#This Row],[Rep_ID]],Dim_Reps!A:A,Dim_Reps!C:C)</f>
        <v>SDR / Inside Sales Rep</v>
      </c>
      <c r="Q6127" t="str">
        <f>_xlfn.XLOOKUP(Pipeline_tbl[[#This Row],[Rep_ID]],Dim_Reps!A:A,Dim_Reps!D:D)</f>
        <v>Inside Sales</v>
      </c>
      <c r="R6127" t="str">
        <f>_xlfn.XLOOKUP(Pipeline_tbl[[#This Row],[Rep_ID]],Dim_Reps!A:A,Dim_Reps!E:E)</f>
        <v>LATAM</v>
      </c>
      <c r="S6127" t="str">
        <f>_xlfn.XLOOKUP(Pipeline_tbl[[#This Row],[Created_Date]],Dim_Date!A:A,Dim_Date!H:H)</f>
        <v>Aug 2025</v>
      </c>
      <c r="T6127" t="str">
        <f>IF(Pipeline_tbl[[#This Row],[Closed_Date]]=0,"",(_xlfn.XLOOKUP(Pipeline_tbl[[#This Row],[Closed_Date]],Dim_Date!A:A,Dim_Date!H:H)))</f>
        <v>Sep 2025</v>
      </c>
      <c r="U6127">
        <f>IF(Pipeline_tbl[[#This Row],[Closed_Date]]=0,"",Pipeline_tbl[[#This Row],[Closed_Date]]-Pipeline_tbl[[#This Row],[Created_Date]])</f>
        <v>19</v>
      </c>
    </row>
    <row r="6128" spans="1:21" ht="15" customHeight="1" x14ac:dyDescent="0.2">
      <c r="A6128" t="s">
        <v>6434</v>
      </c>
      <c r="B6128" t="s">
        <v>233</v>
      </c>
      <c r="C6128" t="s">
        <v>52</v>
      </c>
      <c r="D6128" s="49">
        <v>45896</v>
      </c>
      <c r="E6128" s="49">
        <v>45897</v>
      </c>
      <c r="F6128" s="49">
        <v>45900</v>
      </c>
      <c r="G6128" s="49">
        <v>45904</v>
      </c>
      <c r="H6128" s="49">
        <v>45908</v>
      </c>
      <c r="I6128" s="49">
        <v>45910</v>
      </c>
      <c r="J6128" t="s">
        <v>47</v>
      </c>
      <c r="K6128" s="33">
        <v>8800</v>
      </c>
      <c r="M6128" t="str">
        <f>_xlfn.XLOOKUP(Pipeline_tbl[[#This Row],[Rep_ID]],Dim_Reps!A:A,Dim_Reps!K:K)</f>
        <v>MXN</v>
      </c>
      <c r="N6128" s="33">
        <f>(_xlfn.XLOOKUP(Pipeline_tbl[[#This Row],[Rate_Code_Generalized]],Lookups!A:A,Lookups!B:B))*Pipeline_tbl[[#This Row],[Pipeline_Amount_USD]]</f>
        <v>173647.76</v>
      </c>
      <c r="O6128" t="str">
        <f>_xlfn.XLOOKUP(Pipeline_tbl[[#This Row],[Rep_ID]],Dim_Reps!A:A,Dim_Reps!B:B)</f>
        <v>Lucas Duarte</v>
      </c>
      <c r="P6128" t="str">
        <f>_xlfn.XLOOKUP(Pipeline_tbl[[#This Row],[Rep_ID]],Dim_Reps!A:A,Dim_Reps!C:C)</f>
        <v>SDR / Inside Sales Rep</v>
      </c>
      <c r="Q6128" t="str">
        <f>_xlfn.XLOOKUP(Pipeline_tbl[[#This Row],[Rep_ID]],Dim_Reps!A:A,Dim_Reps!D:D)</f>
        <v>Inside Sales</v>
      </c>
      <c r="R6128" t="str">
        <f>_xlfn.XLOOKUP(Pipeline_tbl[[#This Row],[Rep_ID]],Dim_Reps!A:A,Dim_Reps!E:E)</f>
        <v>LATAM</v>
      </c>
      <c r="S6128" t="str">
        <f>_xlfn.XLOOKUP(Pipeline_tbl[[#This Row],[Created_Date]],Dim_Date!A:A,Dim_Date!H:H)</f>
        <v>Aug 2025</v>
      </c>
      <c r="T6128" t="str">
        <f>IF(Pipeline_tbl[[#This Row],[Closed_Date]]=0,"",(_xlfn.XLOOKUP(Pipeline_tbl[[#This Row],[Closed_Date]],Dim_Date!A:A,Dim_Date!H:H)))</f>
        <v>Sep 2025</v>
      </c>
      <c r="U6128">
        <f>IF(Pipeline_tbl[[#This Row],[Closed_Date]]=0,"",Pipeline_tbl[[#This Row],[Closed_Date]]-Pipeline_tbl[[#This Row],[Created_Date]])</f>
        <v>14</v>
      </c>
    </row>
    <row r="6129" spans="1:21" ht="15" customHeight="1" x14ac:dyDescent="0.2">
      <c r="A6129" t="s">
        <v>6435</v>
      </c>
      <c r="B6129" t="s">
        <v>233</v>
      </c>
      <c r="C6129" t="s">
        <v>54</v>
      </c>
      <c r="D6129" s="49">
        <v>45890</v>
      </c>
      <c r="E6129" s="49">
        <v>45892</v>
      </c>
      <c r="F6129" s="49">
        <v>45896</v>
      </c>
      <c r="G6129" s="49">
        <v>45902</v>
      </c>
      <c r="H6129" s="49">
        <v>45907</v>
      </c>
      <c r="I6129" s="49">
        <v>45910</v>
      </c>
      <c r="J6129" t="s">
        <v>49</v>
      </c>
      <c r="K6129" s="33">
        <v>3100</v>
      </c>
      <c r="L6129" t="s">
        <v>62</v>
      </c>
      <c r="M6129" t="str">
        <f>_xlfn.XLOOKUP(Pipeline_tbl[[#This Row],[Rep_ID]],Dim_Reps!A:A,Dim_Reps!K:K)</f>
        <v>MXN</v>
      </c>
      <c r="N6129" s="33">
        <f>(_xlfn.XLOOKUP(Pipeline_tbl[[#This Row],[Rate_Code_Generalized]],Lookups!A:A,Lookups!B:B))*Pipeline_tbl[[#This Row],[Pipeline_Amount_USD]]</f>
        <v>61171.37</v>
      </c>
      <c r="O6129" t="str">
        <f>_xlfn.XLOOKUP(Pipeline_tbl[[#This Row],[Rep_ID]],Dim_Reps!A:A,Dim_Reps!B:B)</f>
        <v>Lucas Duarte</v>
      </c>
      <c r="P6129" t="str">
        <f>_xlfn.XLOOKUP(Pipeline_tbl[[#This Row],[Rep_ID]],Dim_Reps!A:A,Dim_Reps!C:C)</f>
        <v>SDR / Inside Sales Rep</v>
      </c>
      <c r="Q6129" t="str">
        <f>_xlfn.XLOOKUP(Pipeline_tbl[[#This Row],[Rep_ID]],Dim_Reps!A:A,Dim_Reps!D:D)</f>
        <v>Inside Sales</v>
      </c>
      <c r="R6129" t="str">
        <f>_xlfn.XLOOKUP(Pipeline_tbl[[#This Row],[Rep_ID]],Dim_Reps!A:A,Dim_Reps!E:E)</f>
        <v>LATAM</v>
      </c>
      <c r="S6129" t="str">
        <f>_xlfn.XLOOKUP(Pipeline_tbl[[#This Row],[Created_Date]],Dim_Date!A:A,Dim_Date!H:H)</f>
        <v>Aug 2025</v>
      </c>
      <c r="T6129" t="str">
        <f>IF(Pipeline_tbl[[#This Row],[Closed_Date]]=0,"",(_xlfn.XLOOKUP(Pipeline_tbl[[#This Row],[Closed_Date]],Dim_Date!A:A,Dim_Date!H:H)))</f>
        <v>Sep 2025</v>
      </c>
      <c r="U6129">
        <f>IF(Pipeline_tbl[[#This Row],[Closed_Date]]=0,"",Pipeline_tbl[[#This Row],[Closed_Date]]-Pipeline_tbl[[#This Row],[Created_Date]])</f>
        <v>20</v>
      </c>
    </row>
    <row r="6130" spans="1:21" ht="15" customHeight="1" x14ac:dyDescent="0.2">
      <c r="A6130" t="s">
        <v>6436</v>
      </c>
      <c r="B6130" t="s">
        <v>267</v>
      </c>
      <c r="C6130" t="s">
        <v>53</v>
      </c>
      <c r="D6130" s="49">
        <v>45878</v>
      </c>
      <c r="E6130" s="49">
        <v>45882</v>
      </c>
      <c r="F6130" s="49">
        <v>45891</v>
      </c>
      <c r="G6130" s="49">
        <v>45904</v>
      </c>
      <c r="H6130" s="49">
        <v>45915</v>
      </c>
      <c r="I6130" s="49">
        <v>45922</v>
      </c>
      <c r="J6130" t="s">
        <v>49</v>
      </c>
      <c r="K6130" s="33">
        <v>13300</v>
      </c>
      <c r="L6130" t="s">
        <v>63</v>
      </c>
      <c r="M6130" t="str">
        <f>_xlfn.XLOOKUP(Pipeline_tbl[[#This Row],[Rep_ID]],Dim_Reps!A:A,Dim_Reps!K:K)</f>
        <v>MXN</v>
      </c>
      <c r="N6130" s="33">
        <f>(_xlfn.XLOOKUP(Pipeline_tbl[[#This Row],[Rate_Code_Generalized]],Lookups!A:A,Lookups!B:B))*Pipeline_tbl[[#This Row],[Pipeline_Amount_USD]]</f>
        <v>262444.91000000003</v>
      </c>
      <c r="O6130" t="str">
        <f>_xlfn.XLOOKUP(Pipeline_tbl[[#This Row],[Rep_ID]],Dim_Reps!A:A,Dim_Reps!B:B)</f>
        <v>Yuki Dubois</v>
      </c>
      <c r="P6130" t="str">
        <f>_xlfn.XLOOKUP(Pipeline_tbl[[#This Row],[Rep_ID]],Dim_Reps!A:A,Dim_Reps!C:C)</f>
        <v>Mid-Market AE</v>
      </c>
      <c r="Q6130" t="str">
        <f>_xlfn.XLOOKUP(Pipeline_tbl[[#This Row],[Rep_ID]],Dim_Reps!A:A,Dim_Reps!D:D)</f>
        <v>Mid-Market</v>
      </c>
      <c r="R6130" t="str">
        <f>_xlfn.XLOOKUP(Pipeline_tbl[[#This Row],[Rep_ID]],Dim_Reps!A:A,Dim_Reps!E:E)</f>
        <v>LATAM</v>
      </c>
      <c r="S6130" t="str">
        <f>_xlfn.XLOOKUP(Pipeline_tbl[[#This Row],[Created_Date]],Dim_Date!A:A,Dim_Date!H:H)</f>
        <v>Aug 2025</v>
      </c>
      <c r="T6130" t="str">
        <f>IF(Pipeline_tbl[[#This Row],[Closed_Date]]=0,"",(_xlfn.XLOOKUP(Pipeline_tbl[[#This Row],[Closed_Date]],Dim_Date!A:A,Dim_Date!H:H)))</f>
        <v>Sep 2025</v>
      </c>
      <c r="U6130">
        <f>IF(Pipeline_tbl[[#This Row],[Closed_Date]]=0,"",Pipeline_tbl[[#This Row],[Closed_Date]]-Pipeline_tbl[[#This Row],[Created_Date]])</f>
        <v>44</v>
      </c>
    </row>
    <row r="6131" spans="1:21" ht="15" customHeight="1" x14ac:dyDescent="0.2">
      <c r="A6131" t="s">
        <v>6437</v>
      </c>
      <c r="B6131" t="s">
        <v>267</v>
      </c>
      <c r="C6131" t="s">
        <v>52</v>
      </c>
      <c r="D6131" s="49">
        <v>45881</v>
      </c>
      <c r="E6131" s="49">
        <v>45885</v>
      </c>
      <c r="F6131" s="49">
        <v>45894</v>
      </c>
      <c r="G6131" s="49">
        <v>45906</v>
      </c>
      <c r="H6131" s="49">
        <v>45917</v>
      </c>
      <c r="I6131" s="49">
        <v>45923</v>
      </c>
      <c r="J6131" t="s">
        <v>47</v>
      </c>
      <c r="K6131" s="33">
        <v>23600</v>
      </c>
      <c r="M6131" t="str">
        <f>_xlfn.XLOOKUP(Pipeline_tbl[[#This Row],[Rep_ID]],Dim_Reps!A:A,Dim_Reps!K:K)</f>
        <v>MXN</v>
      </c>
      <c r="N6131" s="33">
        <f>(_xlfn.XLOOKUP(Pipeline_tbl[[#This Row],[Rate_Code_Generalized]],Lookups!A:A,Lookups!B:B))*Pipeline_tbl[[#This Row],[Pipeline_Amount_USD]]</f>
        <v>465691.72000000003</v>
      </c>
      <c r="O6131" t="str">
        <f>_xlfn.XLOOKUP(Pipeline_tbl[[#This Row],[Rep_ID]],Dim_Reps!A:A,Dim_Reps!B:B)</f>
        <v>Yuki Dubois</v>
      </c>
      <c r="P6131" t="str">
        <f>_xlfn.XLOOKUP(Pipeline_tbl[[#This Row],[Rep_ID]],Dim_Reps!A:A,Dim_Reps!C:C)</f>
        <v>Mid-Market AE</v>
      </c>
      <c r="Q6131" t="str">
        <f>_xlfn.XLOOKUP(Pipeline_tbl[[#This Row],[Rep_ID]],Dim_Reps!A:A,Dim_Reps!D:D)</f>
        <v>Mid-Market</v>
      </c>
      <c r="R6131" t="str">
        <f>_xlfn.XLOOKUP(Pipeline_tbl[[#This Row],[Rep_ID]],Dim_Reps!A:A,Dim_Reps!E:E)</f>
        <v>LATAM</v>
      </c>
      <c r="S6131" t="str">
        <f>_xlfn.XLOOKUP(Pipeline_tbl[[#This Row],[Created_Date]],Dim_Date!A:A,Dim_Date!H:H)</f>
        <v>Aug 2025</v>
      </c>
      <c r="T6131" t="str">
        <f>IF(Pipeline_tbl[[#This Row],[Closed_Date]]=0,"",(_xlfn.XLOOKUP(Pipeline_tbl[[#This Row],[Closed_Date]],Dim_Date!A:A,Dim_Date!H:H)))</f>
        <v>Sep 2025</v>
      </c>
      <c r="U6131">
        <f>IF(Pipeline_tbl[[#This Row],[Closed_Date]]=0,"",Pipeline_tbl[[#This Row],[Closed_Date]]-Pipeline_tbl[[#This Row],[Created_Date]])</f>
        <v>42</v>
      </c>
    </row>
    <row r="6132" spans="1:21" ht="15" customHeight="1" x14ac:dyDescent="0.2">
      <c r="A6132" t="s">
        <v>6438</v>
      </c>
      <c r="B6132" t="s">
        <v>267</v>
      </c>
      <c r="C6132" t="s">
        <v>52</v>
      </c>
      <c r="D6132" s="49">
        <v>45896</v>
      </c>
      <c r="E6132" s="49">
        <v>45899</v>
      </c>
      <c r="F6132" s="49">
        <v>45906</v>
      </c>
      <c r="G6132" s="49">
        <v>45916</v>
      </c>
      <c r="I6132" s="49">
        <v>45930</v>
      </c>
      <c r="J6132" t="s">
        <v>49</v>
      </c>
      <c r="K6132" s="33">
        <v>19800</v>
      </c>
      <c r="L6132" t="s">
        <v>62</v>
      </c>
      <c r="M6132" t="str">
        <f>_xlfn.XLOOKUP(Pipeline_tbl[[#This Row],[Rep_ID]],Dim_Reps!A:A,Dim_Reps!K:K)</f>
        <v>MXN</v>
      </c>
      <c r="N6132" s="33">
        <f>(_xlfn.XLOOKUP(Pipeline_tbl[[#This Row],[Rate_Code_Generalized]],Lookups!A:A,Lookups!B:B))*Pipeline_tbl[[#This Row],[Pipeline_Amount_USD]]</f>
        <v>390707.46</v>
      </c>
      <c r="O6132" t="str">
        <f>_xlfn.XLOOKUP(Pipeline_tbl[[#This Row],[Rep_ID]],Dim_Reps!A:A,Dim_Reps!B:B)</f>
        <v>Yuki Dubois</v>
      </c>
      <c r="P6132" t="str">
        <f>_xlfn.XLOOKUP(Pipeline_tbl[[#This Row],[Rep_ID]],Dim_Reps!A:A,Dim_Reps!C:C)</f>
        <v>Mid-Market AE</v>
      </c>
      <c r="Q6132" t="str">
        <f>_xlfn.XLOOKUP(Pipeline_tbl[[#This Row],[Rep_ID]],Dim_Reps!A:A,Dim_Reps!D:D)</f>
        <v>Mid-Market</v>
      </c>
      <c r="R6132" t="str">
        <f>_xlfn.XLOOKUP(Pipeline_tbl[[#This Row],[Rep_ID]],Dim_Reps!A:A,Dim_Reps!E:E)</f>
        <v>LATAM</v>
      </c>
      <c r="S6132" t="str">
        <f>_xlfn.XLOOKUP(Pipeline_tbl[[#This Row],[Created_Date]],Dim_Date!A:A,Dim_Date!H:H)</f>
        <v>Aug 2025</v>
      </c>
      <c r="T6132" t="str">
        <f>IF(Pipeline_tbl[[#This Row],[Closed_Date]]=0,"",(_xlfn.XLOOKUP(Pipeline_tbl[[#This Row],[Closed_Date]],Dim_Date!A:A,Dim_Date!H:H)))</f>
        <v>Sep 2025</v>
      </c>
      <c r="U6132">
        <f>IF(Pipeline_tbl[[#This Row],[Closed_Date]]=0,"",Pipeline_tbl[[#This Row],[Closed_Date]]-Pipeline_tbl[[#This Row],[Created_Date]])</f>
        <v>34</v>
      </c>
    </row>
    <row r="6133" spans="1:21" ht="15" customHeight="1" x14ac:dyDescent="0.2">
      <c r="A6133" t="s">
        <v>6439</v>
      </c>
      <c r="B6133" t="s">
        <v>235</v>
      </c>
      <c r="C6133" t="s">
        <v>52</v>
      </c>
      <c r="D6133" s="49">
        <v>45888</v>
      </c>
      <c r="E6133" s="49">
        <v>45889</v>
      </c>
      <c r="F6133" s="49">
        <v>45892</v>
      </c>
      <c r="G6133" s="49">
        <v>45896</v>
      </c>
      <c r="H6133" s="49">
        <v>45899</v>
      </c>
      <c r="I6133" s="49">
        <v>45901</v>
      </c>
      <c r="J6133" t="s">
        <v>47</v>
      </c>
      <c r="K6133" s="33">
        <v>3700</v>
      </c>
      <c r="M6133" t="str">
        <f>_xlfn.XLOOKUP(Pipeline_tbl[[#This Row],[Rep_ID]],Dim_Reps!A:A,Dim_Reps!K:K)</f>
        <v>MXN</v>
      </c>
      <c r="N6133" s="33">
        <f>(_xlfn.XLOOKUP(Pipeline_tbl[[#This Row],[Rate_Code_Generalized]],Lookups!A:A,Lookups!B:B))*Pipeline_tbl[[#This Row],[Pipeline_Amount_USD]]</f>
        <v>73010.990000000005</v>
      </c>
      <c r="O6133" t="str">
        <f>_xlfn.XLOOKUP(Pipeline_tbl[[#This Row],[Rep_ID]],Dim_Reps!A:A,Dim_Reps!B:B)</f>
        <v>Milo Castro</v>
      </c>
      <c r="P6133" t="str">
        <f>_xlfn.XLOOKUP(Pipeline_tbl[[#This Row],[Rep_ID]],Dim_Reps!A:A,Dim_Reps!C:C)</f>
        <v>SDR / Inside Sales Rep</v>
      </c>
      <c r="Q6133" t="str">
        <f>_xlfn.XLOOKUP(Pipeline_tbl[[#This Row],[Rep_ID]],Dim_Reps!A:A,Dim_Reps!D:D)</f>
        <v>Inside Sales</v>
      </c>
      <c r="R6133" t="str">
        <f>_xlfn.XLOOKUP(Pipeline_tbl[[#This Row],[Rep_ID]],Dim_Reps!A:A,Dim_Reps!E:E)</f>
        <v>LATAM</v>
      </c>
      <c r="S6133" t="str">
        <f>_xlfn.XLOOKUP(Pipeline_tbl[[#This Row],[Created_Date]],Dim_Date!A:A,Dim_Date!H:H)</f>
        <v>Aug 2025</v>
      </c>
      <c r="T6133" t="str">
        <f>IF(Pipeline_tbl[[#This Row],[Closed_Date]]=0,"",(_xlfn.XLOOKUP(Pipeline_tbl[[#This Row],[Closed_Date]],Dim_Date!A:A,Dim_Date!H:H)))</f>
        <v>Sep 2025</v>
      </c>
      <c r="U6133">
        <f>IF(Pipeline_tbl[[#This Row],[Closed_Date]]=0,"",Pipeline_tbl[[#This Row],[Closed_Date]]-Pipeline_tbl[[#This Row],[Created_Date]])</f>
        <v>13</v>
      </c>
    </row>
    <row r="6134" spans="1:21" ht="15" customHeight="1" x14ac:dyDescent="0.2">
      <c r="A6134" t="s">
        <v>6440</v>
      </c>
      <c r="B6134" t="s">
        <v>235</v>
      </c>
      <c r="C6134" t="s">
        <v>55</v>
      </c>
      <c r="D6134" s="49">
        <v>45898</v>
      </c>
      <c r="E6134" s="49">
        <v>45900</v>
      </c>
      <c r="F6134" s="49">
        <v>45903</v>
      </c>
      <c r="G6134" s="49">
        <v>45909</v>
      </c>
      <c r="H6134" s="49">
        <v>45913</v>
      </c>
      <c r="I6134" s="49">
        <v>45916</v>
      </c>
      <c r="J6134" t="s">
        <v>47</v>
      </c>
      <c r="K6134" s="33">
        <v>2600</v>
      </c>
      <c r="M6134" t="str">
        <f>_xlfn.XLOOKUP(Pipeline_tbl[[#This Row],[Rep_ID]],Dim_Reps!A:A,Dim_Reps!K:K)</f>
        <v>MXN</v>
      </c>
      <c r="N6134" s="33">
        <f>(_xlfn.XLOOKUP(Pipeline_tbl[[#This Row],[Rate_Code_Generalized]],Lookups!A:A,Lookups!B:B))*Pipeline_tbl[[#This Row],[Pipeline_Amount_USD]]</f>
        <v>51305.020000000004</v>
      </c>
      <c r="O6134" t="str">
        <f>_xlfn.XLOOKUP(Pipeline_tbl[[#This Row],[Rep_ID]],Dim_Reps!A:A,Dim_Reps!B:B)</f>
        <v>Milo Castro</v>
      </c>
      <c r="P6134" t="str">
        <f>_xlfn.XLOOKUP(Pipeline_tbl[[#This Row],[Rep_ID]],Dim_Reps!A:A,Dim_Reps!C:C)</f>
        <v>SDR / Inside Sales Rep</v>
      </c>
      <c r="Q6134" t="str">
        <f>_xlfn.XLOOKUP(Pipeline_tbl[[#This Row],[Rep_ID]],Dim_Reps!A:A,Dim_Reps!D:D)</f>
        <v>Inside Sales</v>
      </c>
      <c r="R6134" t="str">
        <f>_xlfn.XLOOKUP(Pipeline_tbl[[#This Row],[Rep_ID]],Dim_Reps!A:A,Dim_Reps!E:E)</f>
        <v>LATAM</v>
      </c>
      <c r="S6134" t="str">
        <f>_xlfn.XLOOKUP(Pipeline_tbl[[#This Row],[Created_Date]],Dim_Date!A:A,Dim_Date!H:H)</f>
        <v>Aug 2025</v>
      </c>
      <c r="T6134" t="str">
        <f>IF(Pipeline_tbl[[#This Row],[Closed_Date]]=0,"",(_xlfn.XLOOKUP(Pipeline_tbl[[#This Row],[Closed_Date]],Dim_Date!A:A,Dim_Date!H:H)))</f>
        <v>Sep 2025</v>
      </c>
      <c r="U6134">
        <f>IF(Pipeline_tbl[[#This Row],[Closed_Date]]=0,"",Pipeline_tbl[[#This Row],[Closed_Date]]-Pipeline_tbl[[#This Row],[Created_Date]])</f>
        <v>18</v>
      </c>
    </row>
    <row r="6135" spans="1:21" ht="15" customHeight="1" x14ac:dyDescent="0.2">
      <c r="A6135" t="s">
        <v>6441</v>
      </c>
      <c r="B6135" t="s">
        <v>235</v>
      </c>
      <c r="C6135" t="s">
        <v>53</v>
      </c>
      <c r="D6135" s="49">
        <v>45899</v>
      </c>
      <c r="E6135" s="49">
        <v>45900</v>
      </c>
      <c r="F6135" s="49">
        <v>45901</v>
      </c>
      <c r="I6135" s="49">
        <v>45905</v>
      </c>
      <c r="J6135" t="s">
        <v>49</v>
      </c>
      <c r="K6135" s="33">
        <v>3800</v>
      </c>
      <c r="L6135" t="s">
        <v>61</v>
      </c>
      <c r="M6135" t="str">
        <f>_xlfn.XLOOKUP(Pipeline_tbl[[#This Row],[Rep_ID]],Dim_Reps!A:A,Dim_Reps!K:K)</f>
        <v>MXN</v>
      </c>
      <c r="N6135" s="33">
        <f>(_xlfn.XLOOKUP(Pipeline_tbl[[#This Row],[Rate_Code_Generalized]],Lookups!A:A,Lookups!B:B))*Pipeline_tbl[[#This Row],[Pipeline_Amount_USD]]</f>
        <v>74984.260000000009</v>
      </c>
      <c r="O6135" t="str">
        <f>_xlfn.XLOOKUP(Pipeline_tbl[[#This Row],[Rep_ID]],Dim_Reps!A:A,Dim_Reps!B:B)</f>
        <v>Milo Castro</v>
      </c>
      <c r="P6135" t="str">
        <f>_xlfn.XLOOKUP(Pipeline_tbl[[#This Row],[Rep_ID]],Dim_Reps!A:A,Dim_Reps!C:C)</f>
        <v>SDR / Inside Sales Rep</v>
      </c>
      <c r="Q6135" t="str">
        <f>_xlfn.XLOOKUP(Pipeline_tbl[[#This Row],[Rep_ID]],Dim_Reps!A:A,Dim_Reps!D:D)</f>
        <v>Inside Sales</v>
      </c>
      <c r="R6135" t="str">
        <f>_xlfn.XLOOKUP(Pipeline_tbl[[#This Row],[Rep_ID]],Dim_Reps!A:A,Dim_Reps!E:E)</f>
        <v>LATAM</v>
      </c>
      <c r="S6135" t="str">
        <f>_xlfn.XLOOKUP(Pipeline_tbl[[#This Row],[Created_Date]],Dim_Date!A:A,Dim_Date!H:H)</f>
        <v>Aug 2025</v>
      </c>
      <c r="T6135" t="str">
        <f>IF(Pipeline_tbl[[#This Row],[Closed_Date]]=0,"",(_xlfn.XLOOKUP(Pipeline_tbl[[#This Row],[Closed_Date]],Dim_Date!A:A,Dim_Date!H:H)))</f>
        <v>Sep 2025</v>
      </c>
      <c r="U6135">
        <f>IF(Pipeline_tbl[[#This Row],[Closed_Date]]=0,"",Pipeline_tbl[[#This Row],[Closed_Date]]-Pipeline_tbl[[#This Row],[Created_Date]])</f>
        <v>6</v>
      </c>
    </row>
    <row r="6136" spans="1:21" ht="15" customHeight="1" x14ac:dyDescent="0.2">
      <c r="A6136" t="s">
        <v>6442</v>
      </c>
      <c r="B6136" t="s">
        <v>235</v>
      </c>
      <c r="C6136" t="s">
        <v>55</v>
      </c>
      <c r="D6136" s="49">
        <v>45897</v>
      </c>
      <c r="E6136" s="49">
        <v>45899</v>
      </c>
      <c r="F6136" s="49">
        <v>45902</v>
      </c>
      <c r="G6136" s="49">
        <v>45907</v>
      </c>
      <c r="H6136" s="49">
        <v>45911</v>
      </c>
      <c r="I6136" s="49">
        <v>45914</v>
      </c>
      <c r="J6136" t="s">
        <v>47</v>
      </c>
      <c r="K6136" s="33">
        <v>2100</v>
      </c>
      <c r="M6136" t="str">
        <f>_xlfn.XLOOKUP(Pipeline_tbl[[#This Row],[Rep_ID]],Dim_Reps!A:A,Dim_Reps!K:K)</f>
        <v>MXN</v>
      </c>
      <c r="N6136" s="33">
        <f>(_xlfn.XLOOKUP(Pipeline_tbl[[#This Row],[Rate_Code_Generalized]],Lookups!A:A,Lookups!B:B))*Pipeline_tbl[[#This Row],[Pipeline_Amount_USD]]</f>
        <v>41438.670000000006</v>
      </c>
      <c r="O6136" t="str">
        <f>_xlfn.XLOOKUP(Pipeline_tbl[[#This Row],[Rep_ID]],Dim_Reps!A:A,Dim_Reps!B:B)</f>
        <v>Milo Castro</v>
      </c>
      <c r="P6136" t="str">
        <f>_xlfn.XLOOKUP(Pipeline_tbl[[#This Row],[Rep_ID]],Dim_Reps!A:A,Dim_Reps!C:C)</f>
        <v>SDR / Inside Sales Rep</v>
      </c>
      <c r="Q6136" t="str">
        <f>_xlfn.XLOOKUP(Pipeline_tbl[[#This Row],[Rep_ID]],Dim_Reps!A:A,Dim_Reps!D:D)</f>
        <v>Inside Sales</v>
      </c>
      <c r="R6136" t="str">
        <f>_xlfn.XLOOKUP(Pipeline_tbl[[#This Row],[Rep_ID]],Dim_Reps!A:A,Dim_Reps!E:E)</f>
        <v>LATAM</v>
      </c>
      <c r="S6136" t="str">
        <f>_xlfn.XLOOKUP(Pipeline_tbl[[#This Row],[Created_Date]],Dim_Date!A:A,Dim_Date!H:H)</f>
        <v>Aug 2025</v>
      </c>
      <c r="T6136" t="str">
        <f>IF(Pipeline_tbl[[#This Row],[Closed_Date]]=0,"",(_xlfn.XLOOKUP(Pipeline_tbl[[#This Row],[Closed_Date]],Dim_Date!A:A,Dim_Date!H:H)))</f>
        <v>Sep 2025</v>
      </c>
      <c r="U6136">
        <f>IF(Pipeline_tbl[[#This Row],[Closed_Date]]=0,"",Pipeline_tbl[[#This Row],[Closed_Date]]-Pipeline_tbl[[#This Row],[Created_Date]])</f>
        <v>17</v>
      </c>
    </row>
    <row r="6137" spans="1:21" ht="15" customHeight="1" x14ac:dyDescent="0.2">
      <c r="A6137" t="s">
        <v>6443</v>
      </c>
      <c r="B6137" t="s">
        <v>237</v>
      </c>
      <c r="C6137" t="s">
        <v>52</v>
      </c>
      <c r="D6137" s="49">
        <v>45898</v>
      </c>
      <c r="E6137" s="49">
        <v>45899</v>
      </c>
      <c r="F6137" s="49">
        <v>45902</v>
      </c>
      <c r="G6137" s="49">
        <v>45906</v>
      </c>
      <c r="H6137" s="49">
        <v>45909</v>
      </c>
      <c r="I6137" s="49">
        <v>45911</v>
      </c>
      <c r="J6137" t="s">
        <v>47</v>
      </c>
      <c r="K6137" s="33">
        <v>5000</v>
      </c>
      <c r="M6137" t="str">
        <f>_xlfn.XLOOKUP(Pipeline_tbl[[#This Row],[Rep_ID]],Dim_Reps!A:A,Dim_Reps!K:K)</f>
        <v>EUR</v>
      </c>
      <c r="N6137" s="33">
        <f>(_xlfn.XLOOKUP(Pipeline_tbl[[#This Row],[Rate_Code_Generalized]],Lookups!A:A,Lookups!B:B))*Pipeline_tbl[[#This Row],[Pipeline_Amount_USD]]</f>
        <v>5000</v>
      </c>
      <c r="O6137" t="str">
        <f>_xlfn.XLOOKUP(Pipeline_tbl[[#This Row],[Rep_ID]],Dim_Reps!A:A,Dim_Reps!B:B)</f>
        <v>Hugo Santos</v>
      </c>
      <c r="P6137" t="str">
        <f>_xlfn.XLOOKUP(Pipeline_tbl[[#This Row],[Rep_ID]],Dim_Reps!A:A,Dim_Reps!C:C)</f>
        <v>SDR / Inside Sales Rep</v>
      </c>
      <c r="Q6137" t="str">
        <f>_xlfn.XLOOKUP(Pipeline_tbl[[#This Row],[Rep_ID]],Dim_Reps!A:A,Dim_Reps!D:D)</f>
        <v>Inside Sales</v>
      </c>
      <c r="R6137" t="str">
        <f>_xlfn.XLOOKUP(Pipeline_tbl[[#This Row],[Rep_ID]],Dim_Reps!A:A,Dim_Reps!E:E)</f>
        <v>EMEA</v>
      </c>
      <c r="S6137" t="str">
        <f>_xlfn.XLOOKUP(Pipeline_tbl[[#This Row],[Created_Date]],Dim_Date!A:A,Dim_Date!H:H)</f>
        <v>Aug 2025</v>
      </c>
      <c r="T6137" t="str">
        <f>IF(Pipeline_tbl[[#This Row],[Closed_Date]]=0,"",(_xlfn.XLOOKUP(Pipeline_tbl[[#This Row],[Closed_Date]],Dim_Date!A:A,Dim_Date!H:H)))</f>
        <v>Sep 2025</v>
      </c>
      <c r="U6137">
        <f>IF(Pipeline_tbl[[#This Row],[Closed_Date]]=0,"",Pipeline_tbl[[#This Row],[Closed_Date]]-Pipeline_tbl[[#This Row],[Created_Date]])</f>
        <v>13</v>
      </c>
    </row>
    <row r="6138" spans="1:21" ht="15" customHeight="1" x14ac:dyDescent="0.2">
      <c r="A6138" t="s">
        <v>6444</v>
      </c>
      <c r="B6138" t="s">
        <v>237</v>
      </c>
      <c r="C6138" t="s">
        <v>53</v>
      </c>
      <c r="D6138" s="49">
        <v>45899</v>
      </c>
      <c r="E6138" s="49">
        <v>45902</v>
      </c>
      <c r="F6138" s="49">
        <v>45908</v>
      </c>
      <c r="G6138" s="49">
        <v>45918</v>
      </c>
      <c r="H6138" s="49">
        <v>45925</v>
      </c>
      <c r="I6138" s="49">
        <v>45930</v>
      </c>
      <c r="J6138" t="s">
        <v>49</v>
      </c>
      <c r="K6138" s="33">
        <v>2300</v>
      </c>
      <c r="L6138" t="s">
        <v>64</v>
      </c>
      <c r="M6138" t="str">
        <f>_xlfn.XLOOKUP(Pipeline_tbl[[#This Row],[Rep_ID]],Dim_Reps!A:A,Dim_Reps!K:K)</f>
        <v>EUR</v>
      </c>
      <c r="N6138" s="33">
        <f>(_xlfn.XLOOKUP(Pipeline_tbl[[#This Row],[Rate_Code_Generalized]],Lookups!A:A,Lookups!B:B))*Pipeline_tbl[[#This Row],[Pipeline_Amount_USD]]</f>
        <v>2300</v>
      </c>
      <c r="O6138" t="str">
        <f>_xlfn.XLOOKUP(Pipeline_tbl[[#This Row],[Rep_ID]],Dim_Reps!A:A,Dim_Reps!B:B)</f>
        <v>Hugo Santos</v>
      </c>
      <c r="P6138" t="str">
        <f>_xlfn.XLOOKUP(Pipeline_tbl[[#This Row],[Rep_ID]],Dim_Reps!A:A,Dim_Reps!C:C)</f>
        <v>SDR / Inside Sales Rep</v>
      </c>
      <c r="Q6138" t="str">
        <f>_xlfn.XLOOKUP(Pipeline_tbl[[#This Row],[Rep_ID]],Dim_Reps!A:A,Dim_Reps!D:D)</f>
        <v>Inside Sales</v>
      </c>
      <c r="R6138" t="str">
        <f>_xlfn.XLOOKUP(Pipeline_tbl[[#This Row],[Rep_ID]],Dim_Reps!A:A,Dim_Reps!E:E)</f>
        <v>EMEA</v>
      </c>
      <c r="S6138" t="str">
        <f>_xlfn.XLOOKUP(Pipeline_tbl[[#This Row],[Created_Date]],Dim_Date!A:A,Dim_Date!H:H)</f>
        <v>Aug 2025</v>
      </c>
      <c r="T6138" t="str">
        <f>IF(Pipeline_tbl[[#This Row],[Closed_Date]]=0,"",(_xlfn.XLOOKUP(Pipeline_tbl[[#This Row],[Closed_Date]],Dim_Date!A:A,Dim_Date!H:H)))</f>
        <v>Sep 2025</v>
      </c>
      <c r="U6138">
        <f>IF(Pipeline_tbl[[#This Row],[Closed_Date]]=0,"",Pipeline_tbl[[#This Row],[Closed_Date]]-Pipeline_tbl[[#This Row],[Created_Date]])</f>
        <v>31</v>
      </c>
    </row>
    <row r="6139" spans="1:21" ht="15" customHeight="1" x14ac:dyDescent="0.2">
      <c r="A6139" t="s">
        <v>6445</v>
      </c>
      <c r="B6139" t="s">
        <v>239</v>
      </c>
      <c r="C6139" t="s">
        <v>52</v>
      </c>
      <c r="D6139" s="49">
        <v>45891</v>
      </c>
      <c r="E6139" s="49">
        <v>45892</v>
      </c>
      <c r="F6139" s="49">
        <v>45895</v>
      </c>
      <c r="G6139" s="49">
        <v>45899</v>
      </c>
      <c r="H6139" s="49">
        <v>45902</v>
      </c>
      <c r="I6139" s="49">
        <v>45904</v>
      </c>
      <c r="J6139" t="s">
        <v>47</v>
      </c>
      <c r="K6139" s="33">
        <v>2800</v>
      </c>
      <c r="M6139" t="str">
        <f>_xlfn.XLOOKUP(Pipeline_tbl[[#This Row],[Rep_ID]],Dim_Reps!A:A,Dim_Reps!K:K)</f>
        <v>USD</v>
      </c>
      <c r="N6139" s="33">
        <f>(_xlfn.XLOOKUP(Pipeline_tbl[[#This Row],[Rate_Code_Generalized]],Lookups!A:A,Lookups!B:B))*Pipeline_tbl[[#This Row],[Pipeline_Amount_USD]]</f>
        <v>3260.0399999999995</v>
      </c>
      <c r="O6139" t="str">
        <f>_xlfn.XLOOKUP(Pipeline_tbl[[#This Row],[Rep_ID]],Dim_Reps!A:A,Dim_Reps!B:B)</f>
        <v>Noah Adler</v>
      </c>
      <c r="P6139" t="str">
        <f>_xlfn.XLOOKUP(Pipeline_tbl[[#This Row],[Rep_ID]],Dim_Reps!A:A,Dim_Reps!C:C)</f>
        <v>SDR / Inside Sales Rep</v>
      </c>
      <c r="Q6139" t="str">
        <f>_xlfn.XLOOKUP(Pipeline_tbl[[#This Row],[Rep_ID]],Dim_Reps!A:A,Dim_Reps!D:D)</f>
        <v>Inside Sales</v>
      </c>
      <c r="R6139" t="str">
        <f>_xlfn.XLOOKUP(Pipeline_tbl[[#This Row],[Rep_ID]],Dim_Reps!A:A,Dim_Reps!E:E)</f>
        <v>NAMER</v>
      </c>
      <c r="S6139" t="str">
        <f>_xlfn.XLOOKUP(Pipeline_tbl[[#This Row],[Created_Date]],Dim_Date!A:A,Dim_Date!H:H)</f>
        <v>Aug 2025</v>
      </c>
      <c r="T6139" t="str">
        <f>IF(Pipeline_tbl[[#This Row],[Closed_Date]]=0,"",(_xlfn.XLOOKUP(Pipeline_tbl[[#This Row],[Closed_Date]],Dim_Date!A:A,Dim_Date!H:H)))</f>
        <v>Sep 2025</v>
      </c>
      <c r="U6139">
        <f>IF(Pipeline_tbl[[#This Row],[Closed_Date]]=0,"",Pipeline_tbl[[#This Row],[Closed_Date]]-Pipeline_tbl[[#This Row],[Created_Date]])</f>
        <v>13</v>
      </c>
    </row>
    <row r="6140" spans="1:21" ht="15" customHeight="1" x14ac:dyDescent="0.2">
      <c r="A6140" t="s">
        <v>6446</v>
      </c>
      <c r="B6140" t="s">
        <v>239</v>
      </c>
      <c r="C6140" t="s">
        <v>56</v>
      </c>
      <c r="D6140" s="49">
        <v>45888</v>
      </c>
      <c r="E6140" s="49">
        <v>45890</v>
      </c>
      <c r="F6140" s="49">
        <v>45893</v>
      </c>
      <c r="G6140" s="49">
        <v>45897</v>
      </c>
      <c r="H6140" s="49">
        <v>45901</v>
      </c>
      <c r="I6140" s="49">
        <v>45903</v>
      </c>
      <c r="J6140" t="s">
        <v>47</v>
      </c>
      <c r="K6140" s="33">
        <v>2800</v>
      </c>
      <c r="M6140" t="str">
        <f>_xlfn.XLOOKUP(Pipeline_tbl[[#This Row],[Rep_ID]],Dim_Reps!A:A,Dim_Reps!K:K)</f>
        <v>USD</v>
      </c>
      <c r="N6140" s="33">
        <f>(_xlfn.XLOOKUP(Pipeline_tbl[[#This Row],[Rate_Code_Generalized]],Lookups!A:A,Lookups!B:B))*Pipeline_tbl[[#This Row],[Pipeline_Amount_USD]]</f>
        <v>3260.0399999999995</v>
      </c>
      <c r="O6140" t="str">
        <f>_xlfn.XLOOKUP(Pipeline_tbl[[#This Row],[Rep_ID]],Dim_Reps!A:A,Dim_Reps!B:B)</f>
        <v>Noah Adler</v>
      </c>
      <c r="P6140" t="str">
        <f>_xlfn.XLOOKUP(Pipeline_tbl[[#This Row],[Rep_ID]],Dim_Reps!A:A,Dim_Reps!C:C)</f>
        <v>SDR / Inside Sales Rep</v>
      </c>
      <c r="Q6140" t="str">
        <f>_xlfn.XLOOKUP(Pipeline_tbl[[#This Row],[Rep_ID]],Dim_Reps!A:A,Dim_Reps!D:D)</f>
        <v>Inside Sales</v>
      </c>
      <c r="R6140" t="str">
        <f>_xlfn.XLOOKUP(Pipeline_tbl[[#This Row],[Rep_ID]],Dim_Reps!A:A,Dim_Reps!E:E)</f>
        <v>NAMER</v>
      </c>
      <c r="S6140" t="str">
        <f>_xlfn.XLOOKUP(Pipeline_tbl[[#This Row],[Created_Date]],Dim_Date!A:A,Dim_Date!H:H)</f>
        <v>Aug 2025</v>
      </c>
      <c r="T6140" t="str">
        <f>IF(Pipeline_tbl[[#This Row],[Closed_Date]]=0,"",(_xlfn.XLOOKUP(Pipeline_tbl[[#This Row],[Closed_Date]],Dim_Date!A:A,Dim_Date!H:H)))</f>
        <v>Sep 2025</v>
      </c>
      <c r="U6140">
        <f>IF(Pipeline_tbl[[#This Row],[Closed_Date]]=0,"",Pipeline_tbl[[#This Row],[Closed_Date]]-Pipeline_tbl[[#This Row],[Created_Date]])</f>
        <v>15</v>
      </c>
    </row>
    <row r="6141" spans="1:21" ht="15" customHeight="1" x14ac:dyDescent="0.2">
      <c r="A6141" t="s">
        <v>6447</v>
      </c>
      <c r="B6141" t="s">
        <v>271</v>
      </c>
      <c r="C6141" t="s">
        <v>54</v>
      </c>
      <c r="D6141" s="49">
        <v>45884</v>
      </c>
      <c r="E6141" s="49">
        <v>45887</v>
      </c>
      <c r="F6141" s="49">
        <v>45892</v>
      </c>
      <c r="G6141" s="49">
        <v>45900</v>
      </c>
      <c r="H6141" s="49">
        <v>45907</v>
      </c>
      <c r="I6141" s="49">
        <v>45911</v>
      </c>
      <c r="J6141" t="s">
        <v>47</v>
      </c>
      <c r="K6141" s="33">
        <v>9600</v>
      </c>
      <c r="M6141" t="str">
        <f>_xlfn.XLOOKUP(Pipeline_tbl[[#This Row],[Rep_ID]],Dim_Reps!A:A,Dim_Reps!K:K)</f>
        <v>EUR</v>
      </c>
      <c r="N6141" s="33">
        <f>(_xlfn.XLOOKUP(Pipeline_tbl[[#This Row],[Rate_Code_Generalized]],Lookups!A:A,Lookups!B:B))*Pipeline_tbl[[#This Row],[Pipeline_Amount_USD]]</f>
        <v>9600</v>
      </c>
      <c r="O6141" t="str">
        <f>_xlfn.XLOOKUP(Pipeline_tbl[[#This Row],[Rep_ID]],Dim_Reps!A:A,Dim_Reps!B:B)</f>
        <v>Ivy Adler</v>
      </c>
      <c r="P6141" t="str">
        <f>_xlfn.XLOOKUP(Pipeline_tbl[[#This Row],[Rep_ID]],Dim_Reps!A:A,Dim_Reps!C:C)</f>
        <v>Mid-Market AE</v>
      </c>
      <c r="Q6141" t="str">
        <f>_xlfn.XLOOKUP(Pipeline_tbl[[#This Row],[Rep_ID]],Dim_Reps!A:A,Dim_Reps!D:D)</f>
        <v>Mid-Market</v>
      </c>
      <c r="R6141" t="str">
        <f>_xlfn.XLOOKUP(Pipeline_tbl[[#This Row],[Rep_ID]],Dim_Reps!A:A,Dim_Reps!E:E)</f>
        <v>APAC</v>
      </c>
      <c r="S6141" t="str">
        <f>_xlfn.XLOOKUP(Pipeline_tbl[[#This Row],[Created_Date]],Dim_Date!A:A,Dim_Date!H:H)</f>
        <v>Aug 2025</v>
      </c>
      <c r="T6141" t="str">
        <f>IF(Pipeline_tbl[[#This Row],[Closed_Date]]=0,"",(_xlfn.XLOOKUP(Pipeline_tbl[[#This Row],[Closed_Date]],Dim_Date!A:A,Dim_Date!H:H)))</f>
        <v>Sep 2025</v>
      </c>
      <c r="U6141">
        <f>IF(Pipeline_tbl[[#This Row],[Closed_Date]]=0,"",Pipeline_tbl[[#This Row],[Closed_Date]]-Pipeline_tbl[[#This Row],[Created_Date]])</f>
        <v>27</v>
      </c>
    </row>
    <row r="6142" spans="1:21" ht="15" customHeight="1" x14ac:dyDescent="0.2">
      <c r="A6142" t="s">
        <v>6448</v>
      </c>
      <c r="B6142" t="s">
        <v>271</v>
      </c>
      <c r="C6142" t="s">
        <v>52</v>
      </c>
      <c r="D6142" s="49">
        <v>45873</v>
      </c>
      <c r="E6142" s="49">
        <v>45876</v>
      </c>
      <c r="F6142" s="49">
        <v>45881</v>
      </c>
      <c r="G6142" s="49">
        <v>45890</v>
      </c>
      <c r="H6142" s="49">
        <v>45897</v>
      </c>
      <c r="I6142" s="49">
        <v>45901</v>
      </c>
      <c r="J6142" t="s">
        <v>47</v>
      </c>
      <c r="K6142" s="33">
        <v>8500</v>
      </c>
      <c r="M6142" t="str">
        <f>_xlfn.XLOOKUP(Pipeline_tbl[[#This Row],[Rep_ID]],Dim_Reps!A:A,Dim_Reps!K:K)</f>
        <v>EUR</v>
      </c>
      <c r="N6142" s="33">
        <f>(_xlfn.XLOOKUP(Pipeline_tbl[[#This Row],[Rate_Code_Generalized]],Lookups!A:A,Lookups!B:B))*Pipeline_tbl[[#This Row],[Pipeline_Amount_USD]]</f>
        <v>8500</v>
      </c>
      <c r="O6142" t="str">
        <f>_xlfn.XLOOKUP(Pipeline_tbl[[#This Row],[Rep_ID]],Dim_Reps!A:A,Dim_Reps!B:B)</f>
        <v>Ivy Adler</v>
      </c>
      <c r="P6142" t="str">
        <f>_xlfn.XLOOKUP(Pipeline_tbl[[#This Row],[Rep_ID]],Dim_Reps!A:A,Dim_Reps!C:C)</f>
        <v>Mid-Market AE</v>
      </c>
      <c r="Q6142" t="str">
        <f>_xlfn.XLOOKUP(Pipeline_tbl[[#This Row],[Rep_ID]],Dim_Reps!A:A,Dim_Reps!D:D)</f>
        <v>Mid-Market</v>
      </c>
      <c r="R6142" t="str">
        <f>_xlfn.XLOOKUP(Pipeline_tbl[[#This Row],[Rep_ID]],Dim_Reps!A:A,Dim_Reps!E:E)</f>
        <v>APAC</v>
      </c>
      <c r="S6142" t="str">
        <f>_xlfn.XLOOKUP(Pipeline_tbl[[#This Row],[Created_Date]],Dim_Date!A:A,Dim_Date!H:H)</f>
        <v>Aug 2025</v>
      </c>
      <c r="T6142" t="str">
        <f>IF(Pipeline_tbl[[#This Row],[Closed_Date]]=0,"",(_xlfn.XLOOKUP(Pipeline_tbl[[#This Row],[Closed_Date]],Dim_Date!A:A,Dim_Date!H:H)))</f>
        <v>Sep 2025</v>
      </c>
      <c r="U6142">
        <f>IF(Pipeline_tbl[[#This Row],[Closed_Date]]=0,"",Pipeline_tbl[[#This Row],[Closed_Date]]-Pipeline_tbl[[#This Row],[Created_Date]])</f>
        <v>28</v>
      </c>
    </row>
    <row r="6143" spans="1:21" ht="15" customHeight="1" x14ac:dyDescent="0.2">
      <c r="A6143" t="s">
        <v>6449</v>
      </c>
      <c r="B6143" t="s">
        <v>271</v>
      </c>
      <c r="C6143" t="s">
        <v>52</v>
      </c>
      <c r="D6143" s="49">
        <v>45889</v>
      </c>
      <c r="E6143" s="49">
        <v>45892</v>
      </c>
      <c r="F6143" s="49">
        <v>45898</v>
      </c>
      <c r="G6143" s="49">
        <v>45907</v>
      </c>
      <c r="H6143" s="49">
        <v>45915</v>
      </c>
      <c r="I6143" s="49">
        <v>45919</v>
      </c>
      <c r="J6143" t="s">
        <v>47</v>
      </c>
      <c r="K6143" s="33">
        <v>8700</v>
      </c>
      <c r="M6143" t="str">
        <f>_xlfn.XLOOKUP(Pipeline_tbl[[#This Row],[Rep_ID]],Dim_Reps!A:A,Dim_Reps!K:K)</f>
        <v>EUR</v>
      </c>
      <c r="N6143" s="33">
        <f>(_xlfn.XLOOKUP(Pipeline_tbl[[#This Row],[Rate_Code_Generalized]],Lookups!A:A,Lookups!B:B))*Pipeline_tbl[[#This Row],[Pipeline_Amount_USD]]</f>
        <v>8700</v>
      </c>
      <c r="O6143" t="str">
        <f>_xlfn.XLOOKUP(Pipeline_tbl[[#This Row],[Rep_ID]],Dim_Reps!A:A,Dim_Reps!B:B)</f>
        <v>Ivy Adler</v>
      </c>
      <c r="P6143" t="str">
        <f>_xlfn.XLOOKUP(Pipeline_tbl[[#This Row],[Rep_ID]],Dim_Reps!A:A,Dim_Reps!C:C)</f>
        <v>Mid-Market AE</v>
      </c>
      <c r="Q6143" t="str">
        <f>_xlfn.XLOOKUP(Pipeline_tbl[[#This Row],[Rep_ID]],Dim_Reps!A:A,Dim_Reps!D:D)</f>
        <v>Mid-Market</v>
      </c>
      <c r="R6143" t="str">
        <f>_xlfn.XLOOKUP(Pipeline_tbl[[#This Row],[Rep_ID]],Dim_Reps!A:A,Dim_Reps!E:E)</f>
        <v>APAC</v>
      </c>
      <c r="S6143" t="str">
        <f>_xlfn.XLOOKUP(Pipeline_tbl[[#This Row],[Created_Date]],Dim_Date!A:A,Dim_Date!H:H)</f>
        <v>Aug 2025</v>
      </c>
      <c r="T6143" t="str">
        <f>IF(Pipeline_tbl[[#This Row],[Closed_Date]]=0,"",(_xlfn.XLOOKUP(Pipeline_tbl[[#This Row],[Closed_Date]],Dim_Date!A:A,Dim_Date!H:H)))</f>
        <v>Sep 2025</v>
      </c>
      <c r="U6143">
        <f>IF(Pipeline_tbl[[#This Row],[Closed_Date]]=0,"",Pipeline_tbl[[#This Row],[Closed_Date]]-Pipeline_tbl[[#This Row],[Created_Date]])</f>
        <v>30</v>
      </c>
    </row>
    <row r="6144" spans="1:21" ht="15" customHeight="1" x14ac:dyDescent="0.2">
      <c r="A6144" t="s">
        <v>6450</v>
      </c>
      <c r="B6144" t="s">
        <v>271</v>
      </c>
      <c r="C6144" t="s">
        <v>54</v>
      </c>
      <c r="D6144" s="49">
        <v>45897</v>
      </c>
      <c r="E6144" s="49">
        <v>45900</v>
      </c>
      <c r="F6144" s="49">
        <v>45906</v>
      </c>
      <c r="G6144" s="49">
        <v>45914</v>
      </c>
      <c r="H6144" s="49">
        <v>45922</v>
      </c>
      <c r="I6144" s="49">
        <v>45926</v>
      </c>
      <c r="J6144" t="s">
        <v>47</v>
      </c>
      <c r="K6144" s="33">
        <v>9000</v>
      </c>
      <c r="M6144" t="str">
        <f>_xlfn.XLOOKUP(Pipeline_tbl[[#This Row],[Rep_ID]],Dim_Reps!A:A,Dim_Reps!K:K)</f>
        <v>EUR</v>
      </c>
      <c r="N6144" s="33">
        <f>(_xlfn.XLOOKUP(Pipeline_tbl[[#This Row],[Rate_Code_Generalized]],Lookups!A:A,Lookups!B:B))*Pipeline_tbl[[#This Row],[Pipeline_Amount_USD]]</f>
        <v>9000</v>
      </c>
      <c r="O6144" t="str">
        <f>_xlfn.XLOOKUP(Pipeline_tbl[[#This Row],[Rep_ID]],Dim_Reps!A:A,Dim_Reps!B:B)</f>
        <v>Ivy Adler</v>
      </c>
      <c r="P6144" t="str">
        <f>_xlfn.XLOOKUP(Pipeline_tbl[[#This Row],[Rep_ID]],Dim_Reps!A:A,Dim_Reps!C:C)</f>
        <v>Mid-Market AE</v>
      </c>
      <c r="Q6144" t="str">
        <f>_xlfn.XLOOKUP(Pipeline_tbl[[#This Row],[Rep_ID]],Dim_Reps!A:A,Dim_Reps!D:D)</f>
        <v>Mid-Market</v>
      </c>
      <c r="R6144" t="str">
        <f>_xlfn.XLOOKUP(Pipeline_tbl[[#This Row],[Rep_ID]],Dim_Reps!A:A,Dim_Reps!E:E)</f>
        <v>APAC</v>
      </c>
      <c r="S6144" t="str">
        <f>_xlfn.XLOOKUP(Pipeline_tbl[[#This Row],[Created_Date]],Dim_Date!A:A,Dim_Date!H:H)</f>
        <v>Aug 2025</v>
      </c>
      <c r="T6144" t="str">
        <f>IF(Pipeline_tbl[[#This Row],[Closed_Date]]=0,"",(_xlfn.XLOOKUP(Pipeline_tbl[[#This Row],[Closed_Date]],Dim_Date!A:A,Dim_Date!H:H)))</f>
        <v>Sep 2025</v>
      </c>
      <c r="U6144">
        <f>IF(Pipeline_tbl[[#This Row],[Closed_Date]]=0,"",Pipeline_tbl[[#This Row],[Closed_Date]]-Pipeline_tbl[[#This Row],[Created_Date]])</f>
        <v>29</v>
      </c>
    </row>
    <row r="6145" spans="1:21" ht="15" customHeight="1" x14ac:dyDescent="0.2">
      <c r="A6145" t="s">
        <v>6451</v>
      </c>
      <c r="B6145" t="s">
        <v>273</v>
      </c>
      <c r="C6145" t="s">
        <v>56</v>
      </c>
      <c r="D6145" s="49">
        <v>45875</v>
      </c>
      <c r="E6145" s="49">
        <v>45879</v>
      </c>
      <c r="F6145" s="49">
        <v>45888</v>
      </c>
      <c r="G6145" s="49">
        <v>45900</v>
      </c>
      <c r="H6145" s="49">
        <v>45911</v>
      </c>
      <c r="I6145" s="49">
        <v>45917</v>
      </c>
      <c r="J6145" t="s">
        <v>47</v>
      </c>
      <c r="K6145" s="33">
        <v>17100</v>
      </c>
      <c r="M6145" t="str">
        <f>_xlfn.XLOOKUP(Pipeline_tbl[[#This Row],[Rep_ID]],Dim_Reps!A:A,Dim_Reps!K:K)</f>
        <v>EUR</v>
      </c>
      <c r="N6145" s="33">
        <f>(_xlfn.XLOOKUP(Pipeline_tbl[[#This Row],[Rate_Code_Generalized]],Lookups!A:A,Lookups!B:B))*Pipeline_tbl[[#This Row],[Pipeline_Amount_USD]]</f>
        <v>17100</v>
      </c>
      <c r="O6145" t="str">
        <f>_xlfn.XLOOKUP(Pipeline_tbl[[#This Row],[Rep_ID]],Dim_Reps!A:A,Dim_Reps!B:B)</f>
        <v>Olivia Cohen</v>
      </c>
      <c r="P6145" t="str">
        <f>_xlfn.XLOOKUP(Pipeline_tbl[[#This Row],[Rep_ID]],Dim_Reps!A:A,Dim_Reps!C:C)</f>
        <v>Mid-Market AE</v>
      </c>
      <c r="Q6145" t="str">
        <f>_xlfn.XLOOKUP(Pipeline_tbl[[#This Row],[Rep_ID]],Dim_Reps!A:A,Dim_Reps!D:D)</f>
        <v>Mid-Market</v>
      </c>
      <c r="R6145" t="str">
        <f>_xlfn.XLOOKUP(Pipeline_tbl[[#This Row],[Rep_ID]],Dim_Reps!A:A,Dim_Reps!E:E)</f>
        <v>APAC</v>
      </c>
      <c r="S6145" t="str">
        <f>_xlfn.XLOOKUP(Pipeline_tbl[[#This Row],[Created_Date]],Dim_Date!A:A,Dim_Date!H:H)</f>
        <v>Aug 2025</v>
      </c>
      <c r="T6145" t="str">
        <f>IF(Pipeline_tbl[[#This Row],[Closed_Date]]=0,"",(_xlfn.XLOOKUP(Pipeline_tbl[[#This Row],[Closed_Date]],Dim_Date!A:A,Dim_Date!H:H)))</f>
        <v>Sep 2025</v>
      </c>
      <c r="U6145">
        <f>IF(Pipeline_tbl[[#This Row],[Closed_Date]]=0,"",Pipeline_tbl[[#This Row],[Closed_Date]]-Pipeline_tbl[[#This Row],[Created_Date]])</f>
        <v>42</v>
      </c>
    </row>
    <row r="6146" spans="1:21" ht="15" customHeight="1" x14ac:dyDescent="0.2">
      <c r="A6146" t="s">
        <v>6452</v>
      </c>
      <c r="B6146" t="s">
        <v>273</v>
      </c>
      <c r="C6146" t="s">
        <v>53</v>
      </c>
      <c r="D6146" s="49">
        <v>45886</v>
      </c>
      <c r="E6146" s="49">
        <v>45888</v>
      </c>
      <c r="F6146" s="49">
        <v>45893</v>
      </c>
      <c r="G6146" s="49">
        <v>45899</v>
      </c>
      <c r="I6146" s="49">
        <v>45908</v>
      </c>
      <c r="J6146" t="s">
        <v>49</v>
      </c>
      <c r="K6146" s="33">
        <v>11700</v>
      </c>
      <c r="L6146" t="s">
        <v>61</v>
      </c>
      <c r="M6146" t="str">
        <f>_xlfn.XLOOKUP(Pipeline_tbl[[#This Row],[Rep_ID]],Dim_Reps!A:A,Dim_Reps!K:K)</f>
        <v>EUR</v>
      </c>
      <c r="N6146" s="33">
        <f>(_xlfn.XLOOKUP(Pipeline_tbl[[#This Row],[Rate_Code_Generalized]],Lookups!A:A,Lookups!B:B))*Pipeline_tbl[[#This Row],[Pipeline_Amount_USD]]</f>
        <v>11700</v>
      </c>
      <c r="O6146" t="str">
        <f>_xlfn.XLOOKUP(Pipeline_tbl[[#This Row],[Rep_ID]],Dim_Reps!A:A,Dim_Reps!B:B)</f>
        <v>Olivia Cohen</v>
      </c>
      <c r="P6146" t="str">
        <f>_xlfn.XLOOKUP(Pipeline_tbl[[#This Row],[Rep_ID]],Dim_Reps!A:A,Dim_Reps!C:C)</f>
        <v>Mid-Market AE</v>
      </c>
      <c r="Q6146" t="str">
        <f>_xlfn.XLOOKUP(Pipeline_tbl[[#This Row],[Rep_ID]],Dim_Reps!A:A,Dim_Reps!D:D)</f>
        <v>Mid-Market</v>
      </c>
      <c r="R6146" t="str">
        <f>_xlfn.XLOOKUP(Pipeline_tbl[[#This Row],[Rep_ID]],Dim_Reps!A:A,Dim_Reps!E:E)</f>
        <v>APAC</v>
      </c>
      <c r="S6146" t="str">
        <f>_xlfn.XLOOKUP(Pipeline_tbl[[#This Row],[Created_Date]],Dim_Date!A:A,Dim_Date!H:H)</f>
        <v>Aug 2025</v>
      </c>
      <c r="T6146" t="str">
        <f>IF(Pipeline_tbl[[#This Row],[Closed_Date]]=0,"",(_xlfn.XLOOKUP(Pipeline_tbl[[#This Row],[Closed_Date]],Dim_Date!A:A,Dim_Date!H:H)))</f>
        <v>Sep 2025</v>
      </c>
      <c r="U6146">
        <f>IF(Pipeline_tbl[[#This Row],[Closed_Date]]=0,"",Pipeline_tbl[[#This Row],[Closed_Date]]-Pipeline_tbl[[#This Row],[Created_Date]])</f>
        <v>22</v>
      </c>
    </row>
    <row r="6147" spans="1:21" ht="15" customHeight="1" x14ac:dyDescent="0.2">
      <c r="A6147" t="s">
        <v>6453</v>
      </c>
      <c r="B6147" t="s">
        <v>273</v>
      </c>
      <c r="C6147" t="s">
        <v>54</v>
      </c>
      <c r="D6147" s="49">
        <v>45872</v>
      </c>
      <c r="E6147" s="49">
        <v>45875</v>
      </c>
      <c r="F6147" s="49">
        <v>45881</v>
      </c>
      <c r="G6147" s="49">
        <v>45889</v>
      </c>
      <c r="H6147" s="49">
        <v>45897</v>
      </c>
      <c r="I6147" s="49">
        <v>45901</v>
      </c>
      <c r="J6147" t="s">
        <v>47</v>
      </c>
      <c r="K6147" s="33">
        <v>10700</v>
      </c>
      <c r="M6147" t="str">
        <f>_xlfn.XLOOKUP(Pipeline_tbl[[#This Row],[Rep_ID]],Dim_Reps!A:A,Dim_Reps!K:K)</f>
        <v>EUR</v>
      </c>
      <c r="N6147" s="33">
        <f>(_xlfn.XLOOKUP(Pipeline_tbl[[#This Row],[Rate_Code_Generalized]],Lookups!A:A,Lookups!B:B))*Pipeline_tbl[[#This Row],[Pipeline_Amount_USD]]</f>
        <v>10700</v>
      </c>
      <c r="O6147" t="str">
        <f>_xlfn.XLOOKUP(Pipeline_tbl[[#This Row],[Rep_ID]],Dim_Reps!A:A,Dim_Reps!B:B)</f>
        <v>Olivia Cohen</v>
      </c>
      <c r="P6147" t="str">
        <f>_xlfn.XLOOKUP(Pipeline_tbl[[#This Row],[Rep_ID]],Dim_Reps!A:A,Dim_Reps!C:C)</f>
        <v>Mid-Market AE</v>
      </c>
      <c r="Q6147" t="str">
        <f>_xlfn.XLOOKUP(Pipeline_tbl[[#This Row],[Rep_ID]],Dim_Reps!A:A,Dim_Reps!D:D)</f>
        <v>Mid-Market</v>
      </c>
      <c r="R6147" t="str">
        <f>_xlfn.XLOOKUP(Pipeline_tbl[[#This Row],[Rep_ID]],Dim_Reps!A:A,Dim_Reps!E:E)</f>
        <v>APAC</v>
      </c>
      <c r="S6147" t="str">
        <f>_xlfn.XLOOKUP(Pipeline_tbl[[#This Row],[Created_Date]],Dim_Date!A:A,Dim_Date!H:H)</f>
        <v>Aug 2025</v>
      </c>
      <c r="T6147" t="str">
        <f>IF(Pipeline_tbl[[#This Row],[Closed_Date]]=0,"",(_xlfn.XLOOKUP(Pipeline_tbl[[#This Row],[Closed_Date]],Dim_Date!A:A,Dim_Date!H:H)))</f>
        <v>Sep 2025</v>
      </c>
      <c r="U6147">
        <f>IF(Pipeline_tbl[[#This Row],[Closed_Date]]=0,"",Pipeline_tbl[[#This Row],[Closed_Date]]-Pipeline_tbl[[#This Row],[Created_Date]])</f>
        <v>29</v>
      </c>
    </row>
    <row r="6148" spans="1:21" ht="15" customHeight="1" x14ac:dyDescent="0.2">
      <c r="A6148" t="s">
        <v>6454</v>
      </c>
      <c r="B6148" t="s">
        <v>273</v>
      </c>
      <c r="C6148" t="s">
        <v>53</v>
      </c>
      <c r="D6148" s="49">
        <v>45895</v>
      </c>
      <c r="E6148" s="49">
        <v>45897</v>
      </c>
      <c r="F6148" s="49">
        <v>45900</v>
      </c>
      <c r="I6148" s="49">
        <v>45912</v>
      </c>
      <c r="J6148" t="s">
        <v>49</v>
      </c>
      <c r="K6148" s="33">
        <v>7900</v>
      </c>
      <c r="L6148" t="s">
        <v>60</v>
      </c>
      <c r="M6148" t="str">
        <f>_xlfn.XLOOKUP(Pipeline_tbl[[#This Row],[Rep_ID]],Dim_Reps!A:A,Dim_Reps!K:K)</f>
        <v>EUR</v>
      </c>
      <c r="N6148" s="33">
        <f>(_xlfn.XLOOKUP(Pipeline_tbl[[#This Row],[Rate_Code_Generalized]],Lookups!A:A,Lookups!B:B))*Pipeline_tbl[[#This Row],[Pipeline_Amount_USD]]</f>
        <v>7900</v>
      </c>
      <c r="O6148" t="str">
        <f>_xlfn.XLOOKUP(Pipeline_tbl[[#This Row],[Rep_ID]],Dim_Reps!A:A,Dim_Reps!B:B)</f>
        <v>Olivia Cohen</v>
      </c>
      <c r="P6148" t="str">
        <f>_xlfn.XLOOKUP(Pipeline_tbl[[#This Row],[Rep_ID]],Dim_Reps!A:A,Dim_Reps!C:C)</f>
        <v>Mid-Market AE</v>
      </c>
      <c r="Q6148" t="str">
        <f>_xlfn.XLOOKUP(Pipeline_tbl[[#This Row],[Rep_ID]],Dim_Reps!A:A,Dim_Reps!D:D)</f>
        <v>Mid-Market</v>
      </c>
      <c r="R6148" t="str">
        <f>_xlfn.XLOOKUP(Pipeline_tbl[[#This Row],[Rep_ID]],Dim_Reps!A:A,Dim_Reps!E:E)</f>
        <v>APAC</v>
      </c>
      <c r="S6148" t="str">
        <f>_xlfn.XLOOKUP(Pipeline_tbl[[#This Row],[Created_Date]],Dim_Date!A:A,Dim_Date!H:H)</f>
        <v>Aug 2025</v>
      </c>
      <c r="T6148" t="str">
        <f>IF(Pipeline_tbl[[#This Row],[Closed_Date]]=0,"",(_xlfn.XLOOKUP(Pipeline_tbl[[#This Row],[Closed_Date]],Dim_Date!A:A,Dim_Date!H:H)))</f>
        <v>Sep 2025</v>
      </c>
      <c r="U6148">
        <f>IF(Pipeline_tbl[[#This Row],[Closed_Date]]=0,"",Pipeline_tbl[[#This Row],[Closed_Date]]-Pipeline_tbl[[#This Row],[Created_Date]])</f>
        <v>17</v>
      </c>
    </row>
    <row r="6149" spans="1:21" ht="15" customHeight="1" x14ac:dyDescent="0.2">
      <c r="A6149" t="s">
        <v>6455</v>
      </c>
      <c r="B6149" t="s">
        <v>241</v>
      </c>
      <c r="C6149" t="s">
        <v>53</v>
      </c>
      <c r="D6149" s="49">
        <v>45889</v>
      </c>
      <c r="E6149" s="49">
        <v>45891</v>
      </c>
      <c r="F6149" s="49">
        <v>45895</v>
      </c>
      <c r="G6149" s="49">
        <v>45900</v>
      </c>
      <c r="I6149" s="49">
        <v>45908</v>
      </c>
      <c r="J6149" t="s">
        <v>49</v>
      </c>
      <c r="K6149" s="33">
        <v>6100</v>
      </c>
      <c r="L6149" t="s">
        <v>60</v>
      </c>
      <c r="M6149" t="str">
        <f>_xlfn.XLOOKUP(Pipeline_tbl[[#This Row],[Rep_ID]],Dim_Reps!A:A,Dim_Reps!K:K)</f>
        <v>EUR</v>
      </c>
      <c r="N6149" s="33">
        <f>(_xlfn.XLOOKUP(Pipeline_tbl[[#This Row],[Rate_Code_Generalized]],Lookups!A:A,Lookups!B:B))*Pipeline_tbl[[#This Row],[Pipeline_Amount_USD]]</f>
        <v>6100</v>
      </c>
      <c r="O6149" t="str">
        <f>_xlfn.XLOOKUP(Pipeline_tbl[[#This Row],[Rep_ID]],Dim_Reps!A:A,Dim_Reps!B:B)</f>
        <v>Kenji Weber</v>
      </c>
      <c r="P6149" t="str">
        <f>_xlfn.XLOOKUP(Pipeline_tbl[[#This Row],[Rep_ID]],Dim_Reps!A:A,Dim_Reps!C:C)</f>
        <v>SDR / Inside Sales Rep</v>
      </c>
      <c r="Q6149" t="str">
        <f>_xlfn.XLOOKUP(Pipeline_tbl[[#This Row],[Rep_ID]],Dim_Reps!A:A,Dim_Reps!D:D)</f>
        <v>Inside Sales</v>
      </c>
      <c r="R6149" t="str">
        <f>_xlfn.XLOOKUP(Pipeline_tbl[[#This Row],[Rep_ID]],Dim_Reps!A:A,Dim_Reps!E:E)</f>
        <v>APAC</v>
      </c>
      <c r="S6149" t="str">
        <f>_xlfn.XLOOKUP(Pipeline_tbl[[#This Row],[Created_Date]],Dim_Date!A:A,Dim_Date!H:H)</f>
        <v>Aug 2025</v>
      </c>
      <c r="T6149" t="str">
        <f>IF(Pipeline_tbl[[#This Row],[Closed_Date]]=0,"",(_xlfn.XLOOKUP(Pipeline_tbl[[#This Row],[Closed_Date]],Dim_Date!A:A,Dim_Date!H:H)))</f>
        <v>Sep 2025</v>
      </c>
      <c r="U6149">
        <f>IF(Pipeline_tbl[[#This Row],[Closed_Date]]=0,"",Pipeline_tbl[[#This Row],[Closed_Date]]-Pipeline_tbl[[#This Row],[Created_Date]])</f>
        <v>19</v>
      </c>
    </row>
    <row r="6150" spans="1:21" ht="15" customHeight="1" x14ac:dyDescent="0.2">
      <c r="A6150" t="s">
        <v>6456</v>
      </c>
      <c r="B6150" t="s">
        <v>241</v>
      </c>
      <c r="C6150" t="s">
        <v>52</v>
      </c>
      <c r="D6150" s="49">
        <v>45898</v>
      </c>
      <c r="E6150" s="49">
        <v>45900</v>
      </c>
      <c r="F6150" s="49">
        <v>45904</v>
      </c>
      <c r="I6150" s="49">
        <v>45917</v>
      </c>
      <c r="J6150" t="s">
        <v>49</v>
      </c>
      <c r="K6150" s="33">
        <v>1800</v>
      </c>
      <c r="L6150" t="s">
        <v>60</v>
      </c>
      <c r="M6150" t="str">
        <f>_xlfn.XLOOKUP(Pipeline_tbl[[#This Row],[Rep_ID]],Dim_Reps!A:A,Dim_Reps!K:K)</f>
        <v>EUR</v>
      </c>
      <c r="N6150" s="33">
        <f>(_xlfn.XLOOKUP(Pipeline_tbl[[#This Row],[Rate_Code_Generalized]],Lookups!A:A,Lookups!B:B))*Pipeline_tbl[[#This Row],[Pipeline_Amount_USD]]</f>
        <v>1800</v>
      </c>
      <c r="O6150" t="str">
        <f>_xlfn.XLOOKUP(Pipeline_tbl[[#This Row],[Rep_ID]],Dim_Reps!A:A,Dim_Reps!B:B)</f>
        <v>Kenji Weber</v>
      </c>
      <c r="P6150" t="str">
        <f>_xlfn.XLOOKUP(Pipeline_tbl[[#This Row],[Rep_ID]],Dim_Reps!A:A,Dim_Reps!C:C)</f>
        <v>SDR / Inside Sales Rep</v>
      </c>
      <c r="Q6150" t="str">
        <f>_xlfn.XLOOKUP(Pipeline_tbl[[#This Row],[Rep_ID]],Dim_Reps!A:A,Dim_Reps!D:D)</f>
        <v>Inside Sales</v>
      </c>
      <c r="R6150" t="str">
        <f>_xlfn.XLOOKUP(Pipeline_tbl[[#This Row],[Rep_ID]],Dim_Reps!A:A,Dim_Reps!E:E)</f>
        <v>APAC</v>
      </c>
      <c r="S6150" t="str">
        <f>_xlfn.XLOOKUP(Pipeline_tbl[[#This Row],[Created_Date]],Dim_Date!A:A,Dim_Date!H:H)</f>
        <v>Aug 2025</v>
      </c>
      <c r="T6150" t="str">
        <f>IF(Pipeline_tbl[[#This Row],[Closed_Date]]=0,"",(_xlfn.XLOOKUP(Pipeline_tbl[[#This Row],[Closed_Date]],Dim_Date!A:A,Dim_Date!H:H)))</f>
        <v>Sep 2025</v>
      </c>
      <c r="U6150">
        <f>IF(Pipeline_tbl[[#This Row],[Closed_Date]]=0,"",Pipeline_tbl[[#This Row],[Closed_Date]]-Pipeline_tbl[[#This Row],[Created_Date]])</f>
        <v>19</v>
      </c>
    </row>
    <row r="6151" spans="1:21" ht="15" customHeight="1" x14ac:dyDescent="0.2">
      <c r="A6151" t="s">
        <v>6457</v>
      </c>
      <c r="B6151" t="s">
        <v>193</v>
      </c>
      <c r="C6151" t="s">
        <v>54</v>
      </c>
      <c r="D6151" s="49">
        <v>45513</v>
      </c>
      <c r="E6151" s="49">
        <v>45515</v>
      </c>
      <c r="I6151" s="49">
        <v>45530</v>
      </c>
      <c r="J6151" t="s">
        <v>49</v>
      </c>
      <c r="K6151" s="33">
        <v>3500</v>
      </c>
      <c r="L6151" t="s">
        <v>63</v>
      </c>
      <c r="M6151" t="str">
        <f>_xlfn.XLOOKUP(Pipeline_tbl[[#This Row],[Rep_ID]],Dim_Reps!A:A,Dim_Reps!K:K)</f>
        <v>USD</v>
      </c>
      <c r="N6151" s="33">
        <f>(_xlfn.XLOOKUP(Pipeline_tbl[[#This Row],[Rate_Code_Generalized]],Lookups!A:A,Lookups!B:B))*Pipeline_tbl[[#This Row],[Pipeline_Amount_USD]]</f>
        <v>4075.0499999999997</v>
      </c>
      <c r="O6151" t="str">
        <f>_xlfn.XLOOKUP(Pipeline_tbl[[#This Row],[Rep_ID]],Dim_Reps!A:A,Dim_Reps!B:B)</f>
        <v>Karim Rossi</v>
      </c>
      <c r="P6151" t="str">
        <f>_xlfn.XLOOKUP(Pipeline_tbl[[#This Row],[Rep_ID]],Dim_Reps!A:A,Dim_Reps!C:C)</f>
        <v>SDR / Inside Sales Rep</v>
      </c>
      <c r="Q6151" t="str">
        <f>_xlfn.XLOOKUP(Pipeline_tbl[[#This Row],[Rep_ID]],Dim_Reps!A:A,Dim_Reps!D:D)</f>
        <v>Inside Sales</v>
      </c>
      <c r="R6151" t="str">
        <f>_xlfn.XLOOKUP(Pipeline_tbl[[#This Row],[Rep_ID]],Dim_Reps!A:A,Dim_Reps!E:E)</f>
        <v>NAMER</v>
      </c>
      <c r="S6151" t="str">
        <f>_xlfn.XLOOKUP(Pipeline_tbl[[#This Row],[Created_Date]],Dim_Date!A:A,Dim_Date!H:H)</f>
        <v>Aug 2024</v>
      </c>
      <c r="T6151" t="str">
        <f>IF(Pipeline_tbl[[#This Row],[Closed_Date]]=0,"",(_xlfn.XLOOKUP(Pipeline_tbl[[#This Row],[Closed_Date]],Dim_Date!A:A,Dim_Date!H:H)))</f>
        <v>Aug 2024</v>
      </c>
      <c r="U6151">
        <f>IF(Pipeline_tbl[[#This Row],[Closed_Date]]=0,"",Pipeline_tbl[[#This Row],[Closed_Date]]-Pipeline_tbl[[#This Row],[Created_Date]])</f>
        <v>17</v>
      </c>
    </row>
    <row r="6152" spans="1:21" ht="15" customHeight="1" x14ac:dyDescent="0.2">
      <c r="A6152" t="s">
        <v>6458</v>
      </c>
      <c r="B6152" t="s">
        <v>193</v>
      </c>
      <c r="C6152" t="s">
        <v>55</v>
      </c>
      <c r="D6152" s="49">
        <v>45506</v>
      </c>
      <c r="E6152" s="49">
        <v>45508</v>
      </c>
      <c r="F6152" s="49">
        <v>45513</v>
      </c>
      <c r="I6152" s="49">
        <v>45528</v>
      </c>
      <c r="J6152" t="s">
        <v>49</v>
      </c>
      <c r="K6152" s="33">
        <v>3500</v>
      </c>
      <c r="L6152" t="s">
        <v>62</v>
      </c>
      <c r="M6152" t="str">
        <f>_xlfn.XLOOKUP(Pipeline_tbl[[#This Row],[Rep_ID]],Dim_Reps!A:A,Dim_Reps!K:K)</f>
        <v>USD</v>
      </c>
      <c r="N6152" s="33">
        <f>(_xlfn.XLOOKUP(Pipeline_tbl[[#This Row],[Rate_Code_Generalized]],Lookups!A:A,Lookups!B:B))*Pipeline_tbl[[#This Row],[Pipeline_Amount_USD]]</f>
        <v>4075.0499999999997</v>
      </c>
      <c r="O6152" t="str">
        <f>_xlfn.XLOOKUP(Pipeline_tbl[[#This Row],[Rep_ID]],Dim_Reps!A:A,Dim_Reps!B:B)</f>
        <v>Karim Rossi</v>
      </c>
      <c r="P6152" t="str">
        <f>_xlfn.XLOOKUP(Pipeline_tbl[[#This Row],[Rep_ID]],Dim_Reps!A:A,Dim_Reps!C:C)</f>
        <v>SDR / Inside Sales Rep</v>
      </c>
      <c r="Q6152" t="str">
        <f>_xlfn.XLOOKUP(Pipeline_tbl[[#This Row],[Rep_ID]],Dim_Reps!A:A,Dim_Reps!D:D)</f>
        <v>Inside Sales</v>
      </c>
      <c r="R6152" t="str">
        <f>_xlfn.XLOOKUP(Pipeline_tbl[[#This Row],[Rep_ID]],Dim_Reps!A:A,Dim_Reps!E:E)</f>
        <v>NAMER</v>
      </c>
      <c r="S6152" t="str">
        <f>_xlfn.XLOOKUP(Pipeline_tbl[[#This Row],[Created_Date]],Dim_Date!A:A,Dim_Date!H:H)</f>
        <v>Aug 2024</v>
      </c>
      <c r="T6152" t="str">
        <f>IF(Pipeline_tbl[[#This Row],[Closed_Date]]=0,"",(_xlfn.XLOOKUP(Pipeline_tbl[[#This Row],[Closed_Date]],Dim_Date!A:A,Dim_Date!H:H)))</f>
        <v>Aug 2024</v>
      </c>
      <c r="U6152">
        <f>IF(Pipeline_tbl[[#This Row],[Closed_Date]]=0,"",Pipeline_tbl[[#This Row],[Closed_Date]]-Pipeline_tbl[[#This Row],[Created_Date]])</f>
        <v>22</v>
      </c>
    </row>
    <row r="6153" spans="1:21" ht="15" customHeight="1" x14ac:dyDescent="0.2">
      <c r="A6153" t="s">
        <v>6459</v>
      </c>
      <c r="B6153" t="s">
        <v>193</v>
      </c>
      <c r="C6153" t="s">
        <v>53</v>
      </c>
      <c r="D6153" s="49">
        <v>45505</v>
      </c>
      <c r="E6153" s="49">
        <v>45507</v>
      </c>
      <c r="F6153" s="49">
        <v>45510</v>
      </c>
      <c r="G6153" s="49">
        <v>45515</v>
      </c>
      <c r="H6153" s="49">
        <v>45519</v>
      </c>
      <c r="I6153" s="49">
        <v>45521</v>
      </c>
      <c r="J6153" t="s">
        <v>47</v>
      </c>
      <c r="K6153" s="33">
        <v>2200</v>
      </c>
      <c r="M6153" t="str">
        <f>_xlfn.XLOOKUP(Pipeline_tbl[[#This Row],[Rep_ID]],Dim_Reps!A:A,Dim_Reps!K:K)</f>
        <v>USD</v>
      </c>
      <c r="N6153" s="33">
        <f>(_xlfn.XLOOKUP(Pipeline_tbl[[#This Row],[Rate_Code_Generalized]],Lookups!A:A,Lookups!B:B))*Pipeline_tbl[[#This Row],[Pipeline_Amount_USD]]</f>
        <v>2561.4599999999996</v>
      </c>
      <c r="O6153" t="str">
        <f>_xlfn.XLOOKUP(Pipeline_tbl[[#This Row],[Rep_ID]],Dim_Reps!A:A,Dim_Reps!B:B)</f>
        <v>Karim Rossi</v>
      </c>
      <c r="P6153" t="str">
        <f>_xlfn.XLOOKUP(Pipeline_tbl[[#This Row],[Rep_ID]],Dim_Reps!A:A,Dim_Reps!C:C)</f>
        <v>SDR / Inside Sales Rep</v>
      </c>
      <c r="Q6153" t="str">
        <f>_xlfn.XLOOKUP(Pipeline_tbl[[#This Row],[Rep_ID]],Dim_Reps!A:A,Dim_Reps!D:D)</f>
        <v>Inside Sales</v>
      </c>
      <c r="R6153" t="str">
        <f>_xlfn.XLOOKUP(Pipeline_tbl[[#This Row],[Rep_ID]],Dim_Reps!A:A,Dim_Reps!E:E)</f>
        <v>NAMER</v>
      </c>
      <c r="S6153" t="str">
        <f>_xlfn.XLOOKUP(Pipeline_tbl[[#This Row],[Created_Date]],Dim_Date!A:A,Dim_Date!H:H)</f>
        <v>Aug 2024</v>
      </c>
      <c r="T6153" t="str">
        <f>IF(Pipeline_tbl[[#This Row],[Closed_Date]]=0,"",(_xlfn.XLOOKUP(Pipeline_tbl[[#This Row],[Closed_Date]],Dim_Date!A:A,Dim_Date!H:H)))</f>
        <v>Aug 2024</v>
      </c>
      <c r="U6153">
        <f>IF(Pipeline_tbl[[#This Row],[Closed_Date]]=0,"",Pipeline_tbl[[#This Row],[Closed_Date]]-Pipeline_tbl[[#This Row],[Created_Date]])</f>
        <v>16</v>
      </c>
    </row>
    <row r="6154" spans="1:21" ht="15" customHeight="1" x14ac:dyDescent="0.2">
      <c r="A6154" t="s">
        <v>6460</v>
      </c>
      <c r="B6154" t="s">
        <v>193</v>
      </c>
      <c r="C6154" t="s">
        <v>52</v>
      </c>
      <c r="D6154" s="49">
        <v>45515</v>
      </c>
      <c r="E6154" s="49">
        <v>45517</v>
      </c>
      <c r="F6154" s="49">
        <v>45521</v>
      </c>
      <c r="I6154" s="49">
        <v>45535</v>
      </c>
      <c r="J6154" t="s">
        <v>49</v>
      </c>
      <c r="K6154" s="33">
        <v>3600</v>
      </c>
      <c r="L6154" t="s">
        <v>61</v>
      </c>
      <c r="M6154" t="str">
        <f>_xlfn.XLOOKUP(Pipeline_tbl[[#This Row],[Rep_ID]],Dim_Reps!A:A,Dim_Reps!K:K)</f>
        <v>USD</v>
      </c>
      <c r="N6154" s="33">
        <f>(_xlfn.XLOOKUP(Pipeline_tbl[[#This Row],[Rate_Code_Generalized]],Lookups!A:A,Lookups!B:B))*Pipeline_tbl[[#This Row],[Pipeline_Amount_USD]]</f>
        <v>4191.4799999999996</v>
      </c>
      <c r="O6154" t="str">
        <f>_xlfn.XLOOKUP(Pipeline_tbl[[#This Row],[Rep_ID]],Dim_Reps!A:A,Dim_Reps!B:B)</f>
        <v>Karim Rossi</v>
      </c>
      <c r="P6154" t="str">
        <f>_xlfn.XLOOKUP(Pipeline_tbl[[#This Row],[Rep_ID]],Dim_Reps!A:A,Dim_Reps!C:C)</f>
        <v>SDR / Inside Sales Rep</v>
      </c>
      <c r="Q6154" t="str">
        <f>_xlfn.XLOOKUP(Pipeline_tbl[[#This Row],[Rep_ID]],Dim_Reps!A:A,Dim_Reps!D:D)</f>
        <v>Inside Sales</v>
      </c>
      <c r="R6154" t="str">
        <f>_xlfn.XLOOKUP(Pipeline_tbl[[#This Row],[Rep_ID]],Dim_Reps!A:A,Dim_Reps!E:E)</f>
        <v>NAMER</v>
      </c>
      <c r="S6154" t="str">
        <f>_xlfn.XLOOKUP(Pipeline_tbl[[#This Row],[Created_Date]],Dim_Date!A:A,Dim_Date!H:H)</f>
        <v>Aug 2024</v>
      </c>
      <c r="T6154" t="str">
        <f>IF(Pipeline_tbl[[#This Row],[Closed_Date]]=0,"",(_xlfn.XLOOKUP(Pipeline_tbl[[#This Row],[Closed_Date]],Dim_Date!A:A,Dim_Date!H:H)))</f>
        <v>Aug 2024</v>
      </c>
      <c r="U6154">
        <f>IF(Pipeline_tbl[[#This Row],[Closed_Date]]=0,"",Pipeline_tbl[[#This Row],[Closed_Date]]-Pipeline_tbl[[#This Row],[Created_Date]])</f>
        <v>20</v>
      </c>
    </row>
    <row r="6155" spans="1:21" ht="15" customHeight="1" x14ac:dyDescent="0.2">
      <c r="A6155" t="s">
        <v>6461</v>
      </c>
      <c r="B6155" t="s">
        <v>193</v>
      </c>
      <c r="C6155" t="s">
        <v>54</v>
      </c>
      <c r="D6155" s="49">
        <v>45509</v>
      </c>
      <c r="E6155" s="49">
        <v>45512</v>
      </c>
      <c r="F6155" s="49">
        <v>45517</v>
      </c>
      <c r="G6155" s="49">
        <v>45525</v>
      </c>
      <c r="H6155" s="49">
        <v>45531</v>
      </c>
      <c r="I6155" s="49">
        <v>45535</v>
      </c>
      <c r="J6155" t="s">
        <v>47</v>
      </c>
      <c r="K6155" s="33">
        <v>3200</v>
      </c>
      <c r="M6155" t="str">
        <f>_xlfn.XLOOKUP(Pipeline_tbl[[#This Row],[Rep_ID]],Dim_Reps!A:A,Dim_Reps!K:K)</f>
        <v>USD</v>
      </c>
      <c r="N6155" s="33">
        <f>(_xlfn.XLOOKUP(Pipeline_tbl[[#This Row],[Rate_Code_Generalized]],Lookups!A:A,Lookups!B:B))*Pipeline_tbl[[#This Row],[Pipeline_Amount_USD]]</f>
        <v>3725.7599999999998</v>
      </c>
      <c r="O6155" t="str">
        <f>_xlfn.XLOOKUP(Pipeline_tbl[[#This Row],[Rep_ID]],Dim_Reps!A:A,Dim_Reps!B:B)</f>
        <v>Karim Rossi</v>
      </c>
      <c r="P6155" t="str">
        <f>_xlfn.XLOOKUP(Pipeline_tbl[[#This Row],[Rep_ID]],Dim_Reps!A:A,Dim_Reps!C:C)</f>
        <v>SDR / Inside Sales Rep</v>
      </c>
      <c r="Q6155" t="str">
        <f>_xlfn.XLOOKUP(Pipeline_tbl[[#This Row],[Rep_ID]],Dim_Reps!A:A,Dim_Reps!D:D)</f>
        <v>Inside Sales</v>
      </c>
      <c r="R6155" t="str">
        <f>_xlfn.XLOOKUP(Pipeline_tbl[[#This Row],[Rep_ID]],Dim_Reps!A:A,Dim_Reps!E:E)</f>
        <v>NAMER</v>
      </c>
      <c r="S6155" t="str">
        <f>_xlfn.XLOOKUP(Pipeline_tbl[[#This Row],[Created_Date]],Dim_Date!A:A,Dim_Date!H:H)</f>
        <v>Aug 2024</v>
      </c>
      <c r="T6155" t="str">
        <f>IF(Pipeline_tbl[[#This Row],[Closed_Date]]=0,"",(_xlfn.XLOOKUP(Pipeline_tbl[[#This Row],[Closed_Date]],Dim_Date!A:A,Dim_Date!H:H)))</f>
        <v>Aug 2024</v>
      </c>
      <c r="U6155">
        <f>IF(Pipeline_tbl[[#This Row],[Closed_Date]]=0,"",Pipeline_tbl[[#This Row],[Closed_Date]]-Pipeline_tbl[[#This Row],[Created_Date]])</f>
        <v>26</v>
      </c>
    </row>
    <row r="6156" spans="1:21" ht="15" customHeight="1" x14ac:dyDescent="0.2">
      <c r="A6156" t="s">
        <v>6462</v>
      </c>
      <c r="B6156" t="s">
        <v>193</v>
      </c>
      <c r="C6156" t="s">
        <v>52</v>
      </c>
      <c r="D6156" s="49">
        <v>45513</v>
      </c>
      <c r="E6156" s="49">
        <v>45515</v>
      </c>
      <c r="F6156" s="49">
        <v>45518</v>
      </c>
      <c r="G6156" s="49">
        <v>45523</v>
      </c>
      <c r="I6156" s="49">
        <v>45529</v>
      </c>
      <c r="J6156" t="s">
        <v>49</v>
      </c>
      <c r="K6156" s="33">
        <v>2700</v>
      </c>
      <c r="L6156" t="s">
        <v>60</v>
      </c>
      <c r="M6156" t="str">
        <f>_xlfn.XLOOKUP(Pipeline_tbl[[#This Row],[Rep_ID]],Dim_Reps!A:A,Dim_Reps!K:K)</f>
        <v>USD</v>
      </c>
      <c r="N6156" s="33">
        <f>(_xlfn.XLOOKUP(Pipeline_tbl[[#This Row],[Rate_Code_Generalized]],Lookups!A:A,Lookups!B:B))*Pipeline_tbl[[#This Row],[Pipeline_Amount_USD]]</f>
        <v>3143.6099999999997</v>
      </c>
      <c r="O6156" t="str">
        <f>_xlfn.XLOOKUP(Pipeline_tbl[[#This Row],[Rep_ID]],Dim_Reps!A:A,Dim_Reps!B:B)</f>
        <v>Karim Rossi</v>
      </c>
      <c r="P6156" t="str">
        <f>_xlfn.XLOOKUP(Pipeline_tbl[[#This Row],[Rep_ID]],Dim_Reps!A:A,Dim_Reps!C:C)</f>
        <v>SDR / Inside Sales Rep</v>
      </c>
      <c r="Q6156" t="str">
        <f>_xlfn.XLOOKUP(Pipeline_tbl[[#This Row],[Rep_ID]],Dim_Reps!A:A,Dim_Reps!D:D)</f>
        <v>Inside Sales</v>
      </c>
      <c r="R6156" t="str">
        <f>_xlfn.XLOOKUP(Pipeline_tbl[[#This Row],[Rep_ID]],Dim_Reps!A:A,Dim_Reps!E:E)</f>
        <v>NAMER</v>
      </c>
      <c r="S6156" t="str">
        <f>_xlfn.XLOOKUP(Pipeline_tbl[[#This Row],[Created_Date]],Dim_Date!A:A,Dim_Date!H:H)</f>
        <v>Aug 2024</v>
      </c>
      <c r="T6156" t="str">
        <f>IF(Pipeline_tbl[[#This Row],[Closed_Date]]=0,"",(_xlfn.XLOOKUP(Pipeline_tbl[[#This Row],[Closed_Date]],Dim_Date!A:A,Dim_Date!H:H)))</f>
        <v>Aug 2024</v>
      </c>
      <c r="U6156">
        <f>IF(Pipeline_tbl[[#This Row],[Closed_Date]]=0,"",Pipeline_tbl[[#This Row],[Closed_Date]]-Pipeline_tbl[[#This Row],[Created_Date]])</f>
        <v>16</v>
      </c>
    </row>
    <row r="6157" spans="1:21" ht="15" customHeight="1" x14ac:dyDescent="0.2">
      <c r="A6157" t="s">
        <v>6463</v>
      </c>
      <c r="B6157" t="s">
        <v>243</v>
      </c>
      <c r="C6157" t="s">
        <v>53</v>
      </c>
      <c r="D6157" s="49">
        <v>45505</v>
      </c>
      <c r="E6157" s="49">
        <v>45508</v>
      </c>
      <c r="F6157" s="49">
        <v>45513</v>
      </c>
      <c r="G6157" s="49">
        <v>45521</v>
      </c>
      <c r="H6157" s="49">
        <v>45528</v>
      </c>
      <c r="I6157" s="49">
        <v>45532</v>
      </c>
      <c r="J6157" t="s">
        <v>49</v>
      </c>
      <c r="K6157" s="33">
        <v>11900</v>
      </c>
      <c r="L6157" t="s">
        <v>60</v>
      </c>
      <c r="M6157" t="str">
        <f>_xlfn.XLOOKUP(Pipeline_tbl[[#This Row],[Rep_ID]],Dim_Reps!A:A,Dim_Reps!K:K)</f>
        <v>MXN</v>
      </c>
      <c r="N6157" s="33">
        <f>(_xlfn.XLOOKUP(Pipeline_tbl[[#This Row],[Rate_Code_Generalized]],Lookups!A:A,Lookups!B:B))*Pipeline_tbl[[#This Row],[Pipeline_Amount_USD]]</f>
        <v>234819.13</v>
      </c>
      <c r="O6157" t="str">
        <f>_xlfn.XLOOKUP(Pipeline_tbl[[#This Row],[Rep_ID]],Dim_Reps!A:A,Dim_Reps!B:B)</f>
        <v>Jonas Sato</v>
      </c>
      <c r="P6157" t="str">
        <f>_xlfn.XLOOKUP(Pipeline_tbl[[#This Row],[Rep_ID]],Dim_Reps!A:A,Dim_Reps!C:C)</f>
        <v>Mid-Market AE</v>
      </c>
      <c r="Q6157" t="str">
        <f>_xlfn.XLOOKUP(Pipeline_tbl[[#This Row],[Rep_ID]],Dim_Reps!A:A,Dim_Reps!D:D)</f>
        <v>Mid-Market</v>
      </c>
      <c r="R6157" t="str">
        <f>_xlfn.XLOOKUP(Pipeline_tbl[[#This Row],[Rep_ID]],Dim_Reps!A:A,Dim_Reps!E:E)</f>
        <v>LATAM</v>
      </c>
      <c r="S6157" t="str">
        <f>_xlfn.XLOOKUP(Pipeline_tbl[[#This Row],[Created_Date]],Dim_Date!A:A,Dim_Date!H:H)</f>
        <v>Aug 2024</v>
      </c>
      <c r="T6157" t="str">
        <f>IF(Pipeline_tbl[[#This Row],[Closed_Date]]=0,"",(_xlfn.XLOOKUP(Pipeline_tbl[[#This Row],[Closed_Date]],Dim_Date!A:A,Dim_Date!H:H)))</f>
        <v>Aug 2024</v>
      </c>
      <c r="U6157">
        <f>IF(Pipeline_tbl[[#This Row],[Closed_Date]]=0,"",Pipeline_tbl[[#This Row],[Closed_Date]]-Pipeline_tbl[[#This Row],[Created_Date]])</f>
        <v>27</v>
      </c>
    </row>
    <row r="6158" spans="1:21" ht="15" customHeight="1" x14ac:dyDescent="0.2">
      <c r="A6158" t="s">
        <v>6464</v>
      </c>
      <c r="B6158" t="s">
        <v>196</v>
      </c>
      <c r="C6158" t="s">
        <v>52</v>
      </c>
      <c r="D6158" s="49">
        <v>45507</v>
      </c>
      <c r="E6158" s="49">
        <v>45509</v>
      </c>
      <c r="F6158" s="49">
        <v>45512</v>
      </c>
      <c r="G6158" s="49">
        <v>45517</v>
      </c>
      <c r="I6158" s="49">
        <v>45523</v>
      </c>
      <c r="J6158" t="s">
        <v>49</v>
      </c>
      <c r="K6158" s="33">
        <v>2800</v>
      </c>
      <c r="L6158" t="s">
        <v>61</v>
      </c>
      <c r="M6158" t="str">
        <f>_xlfn.XLOOKUP(Pipeline_tbl[[#This Row],[Rep_ID]],Dim_Reps!A:A,Dim_Reps!K:K)</f>
        <v>EUR</v>
      </c>
      <c r="N6158" s="33">
        <f>(_xlfn.XLOOKUP(Pipeline_tbl[[#This Row],[Rate_Code_Generalized]],Lookups!A:A,Lookups!B:B))*Pipeline_tbl[[#This Row],[Pipeline_Amount_USD]]</f>
        <v>2800</v>
      </c>
      <c r="O6158" t="str">
        <f>_xlfn.XLOOKUP(Pipeline_tbl[[#This Row],[Rep_ID]],Dim_Reps!A:A,Dim_Reps!B:B)</f>
        <v>Alex Okafor</v>
      </c>
      <c r="P6158" t="str">
        <f>_xlfn.XLOOKUP(Pipeline_tbl[[#This Row],[Rep_ID]],Dim_Reps!A:A,Dim_Reps!C:C)</f>
        <v>SDR / Inside Sales Rep</v>
      </c>
      <c r="Q6158" t="str">
        <f>_xlfn.XLOOKUP(Pipeline_tbl[[#This Row],[Rep_ID]],Dim_Reps!A:A,Dim_Reps!D:D)</f>
        <v>Inside Sales</v>
      </c>
      <c r="R6158" t="str">
        <f>_xlfn.XLOOKUP(Pipeline_tbl[[#This Row],[Rep_ID]],Dim_Reps!A:A,Dim_Reps!E:E)</f>
        <v>EMEA</v>
      </c>
      <c r="S6158" t="str">
        <f>_xlfn.XLOOKUP(Pipeline_tbl[[#This Row],[Created_Date]],Dim_Date!A:A,Dim_Date!H:H)</f>
        <v>Aug 2024</v>
      </c>
      <c r="T6158" t="str">
        <f>IF(Pipeline_tbl[[#This Row],[Closed_Date]]=0,"",(_xlfn.XLOOKUP(Pipeline_tbl[[#This Row],[Closed_Date]],Dim_Date!A:A,Dim_Date!H:H)))</f>
        <v>Aug 2024</v>
      </c>
      <c r="U6158">
        <f>IF(Pipeline_tbl[[#This Row],[Closed_Date]]=0,"",Pipeline_tbl[[#This Row],[Closed_Date]]-Pipeline_tbl[[#This Row],[Created_Date]])</f>
        <v>16</v>
      </c>
    </row>
    <row r="6159" spans="1:21" ht="15" customHeight="1" x14ac:dyDescent="0.2">
      <c r="A6159" t="s">
        <v>6465</v>
      </c>
      <c r="B6159" t="s">
        <v>196</v>
      </c>
      <c r="C6159" t="s">
        <v>54</v>
      </c>
      <c r="D6159" s="49">
        <v>45518</v>
      </c>
      <c r="E6159" s="49">
        <v>45519</v>
      </c>
      <c r="F6159" s="49">
        <v>45522</v>
      </c>
      <c r="G6159" s="49">
        <v>45526</v>
      </c>
      <c r="H6159" s="49">
        <v>45530</v>
      </c>
      <c r="I6159" s="49">
        <v>45532</v>
      </c>
      <c r="J6159" t="s">
        <v>47</v>
      </c>
      <c r="K6159" s="33">
        <v>3200</v>
      </c>
      <c r="M6159" t="str">
        <f>_xlfn.XLOOKUP(Pipeline_tbl[[#This Row],[Rep_ID]],Dim_Reps!A:A,Dim_Reps!K:K)</f>
        <v>EUR</v>
      </c>
      <c r="N6159" s="33">
        <f>(_xlfn.XLOOKUP(Pipeline_tbl[[#This Row],[Rate_Code_Generalized]],Lookups!A:A,Lookups!B:B))*Pipeline_tbl[[#This Row],[Pipeline_Amount_USD]]</f>
        <v>3200</v>
      </c>
      <c r="O6159" t="str">
        <f>_xlfn.XLOOKUP(Pipeline_tbl[[#This Row],[Rep_ID]],Dim_Reps!A:A,Dim_Reps!B:B)</f>
        <v>Alex Okafor</v>
      </c>
      <c r="P6159" t="str">
        <f>_xlfn.XLOOKUP(Pipeline_tbl[[#This Row],[Rep_ID]],Dim_Reps!A:A,Dim_Reps!C:C)</f>
        <v>SDR / Inside Sales Rep</v>
      </c>
      <c r="Q6159" t="str">
        <f>_xlfn.XLOOKUP(Pipeline_tbl[[#This Row],[Rep_ID]],Dim_Reps!A:A,Dim_Reps!D:D)</f>
        <v>Inside Sales</v>
      </c>
      <c r="R6159" t="str">
        <f>_xlfn.XLOOKUP(Pipeline_tbl[[#This Row],[Rep_ID]],Dim_Reps!A:A,Dim_Reps!E:E)</f>
        <v>EMEA</v>
      </c>
      <c r="S6159" t="str">
        <f>_xlfn.XLOOKUP(Pipeline_tbl[[#This Row],[Created_Date]],Dim_Date!A:A,Dim_Date!H:H)</f>
        <v>Aug 2024</v>
      </c>
      <c r="T6159" t="str">
        <f>IF(Pipeline_tbl[[#This Row],[Closed_Date]]=0,"",(_xlfn.XLOOKUP(Pipeline_tbl[[#This Row],[Closed_Date]],Dim_Date!A:A,Dim_Date!H:H)))</f>
        <v>Aug 2024</v>
      </c>
      <c r="U6159">
        <f>IF(Pipeline_tbl[[#This Row],[Closed_Date]]=0,"",Pipeline_tbl[[#This Row],[Closed_Date]]-Pipeline_tbl[[#This Row],[Created_Date]])</f>
        <v>14</v>
      </c>
    </row>
    <row r="6160" spans="1:21" ht="15" customHeight="1" x14ac:dyDescent="0.2">
      <c r="A6160" t="s">
        <v>6466</v>
      </c>
      <c r="B6160" t="s">
        <v>196</v>
      </c>
      <c r="C6160" t="s">
        <v>52</v>
      </c>
      <c r="D6160" s="49">
        <v>45518</v>
      </c>
      <c r="E6160" s="49">
        <v>45520</v>
      </c>
      <c r="F6160" s="49">
        <v>45523</v>
      </c>
      <c r="I6160" s="49">
        <v>45534</v>
      </c>
      <c r="J6160" t="s">
        <v>49</v>
      </c>
      <c r="K6160" s="33">
        <v>2000</v>
      </c>
      <c r="L6160" t="s">
        <v>61</v>
      </c>
      <c r="M6160" t="str">
        <f>_xlfn.XLOOKUP(Pipeline_tbl[[#This Row],[Rep_ID]],Dim_Reps!A:A,Dim_Reps!K:K)</f>
        <v>EUR</v>
      </c>
      <c r="N6160" s="33">
        <f>(_xlfn.XLOOKUP(Pipeline_tbl[[#This Row],[Rate_Code_Generalized]],Lookups!A:A,Lookups!B:B))*Pipeline_tbl[[#This Row],[Pipeline_Amount_USD]]</f>
        <v>2000</v>
      </c>
      <c r="O6160" t="str">
        <f>_xlfn.XLOOKUP(Pipeline_tbl[[#This Row],[Rep_ID]],Dim_Reps!A:A,Dim_Reps!B:B)</f>
        <v>Alex Okafor</v>
      </c>
      <c r="P6160" t="str">
        <f>_xlfn.XLOOKUP(Pipeline_tbl[[#This Row],[Rep_ID]],Dim_Reps!A:A,Dim_Reps!C:C)</f>
        <v>SDR / Inside Sales Rep</v>
      </c>
      <c r="Q6160" t="str">
        <f>_xlfn.XLOOKUP(Pipeline_tbl[[#This Row],[Rep_ID]],Dim_Reps!A:A,Dim_Reps!D:D)</f>
        <v>Inside Sales</v>
      </c>
      <c r="R6160" t="str">
        <f>_xlfn.XLOOKUP(Pipeline_tbl[[#This Row],[Rep_ID]],Dim_Reps!A:A,Dim_Reps!E:E)</f>
        <v>EMEA</v>
      </c>
      <c r="S6160" t="str">
        <f>_xlfn.XLOOKUP(Pipeline_tbl[[#This Row],[Created_Date]],Dim_Date!A:A,Dim_Date!H:H)</f>
        <v>Aug 2024</v>
      </c>
      <c r="T6160" t="str">
        <f>IF(Pipeline_tbl[[#This Row],[Closed_Date]]=0,"",(_xlfn.XLOOKUP(Pipeline_tbl[[#This Row],[Closed_Date]],Dim_Date!A:A,Dim_Date!H:H)))</f>
        <v>Aug 2024</v>
      </c>
      <c r="U6160">
        <f>IF(Pipeline_tbl[[#This Row],[Closed_Date]]=0,"",Pipeline_tbl[[#This Row],[Closed_Date]]-Pipeline_tbl[[#This Row],[Created_Date]])</f>
        <v>16</v>
      </c>
    </row>
    <row r="6161" spans="1:21" ht="15" customHeight="1" x14ac:dyDescent="0.2">
      <c r="A6161" t="s">
        <v>6467</v>
      </c>
      <c r="B6161" t="s">
        <v>196</v>
      </c>
      <c r="C6161" t="s">
        <v>53</v>
      </c>
      <c r="D6161" s="49">
        <v>45515</v>
      </c>
      <c r="E6161" s="49">
        <v>45517</v>
      </c>
      <c r="F6161" s="49">
        <v>45520</v>
      </c>
      <c r="G6161" s="49">
        <v>45525</v>
      </c>
      <c r="I6161" s="49">
        <v>45531</v>
      </c>
      <c r="J6161" t="s">
        <v>49</v>
      </c>
      <c r="K6161" s="33">
        <v>4100</v>
      </c>
      <c r="L6161" t="s">
        <v>64</v>
      </c>
      <c r="M6161" t="str">
        <f>_xlfn.XLOOKUP(Pipeline_tbl[[#This Row],[Rep_ID]],Dim_Reps!A:A,Dim_Reps!K:K)</f>
        <v>EUR</v>
      </c>
      <c r="N6161" s="33">
        <f>(_xlfn.XLOOKUP(Pipeline_tbl[[#This Row],[Rate_Code_Generalized]],Lookups!A:A,Lookups!B:B))*Pipeline_tbl[[#This Row],[Pipeline_Amount_USD]]</f>
        <v>4100</v>
      </c>
      <c r="O6161" t="str">
        <f>_xlfn.XLOOKUP(Pipeline_tbl[[#This Row],[Rep_ID]],Dim_Reps!A:A,Dim_Reps!B:B)</f>
        <v>Alex Okafor</v>
      </c>
      <c r="P6161" t="str">
        <f>_xlfn.XLOOKUP(Pipeline_tbl[[#This Row],[Rep_ID]],Dim_Reps!A:A,Dim_Reps!C:C)</f>
        <v>SDR / Inside Sales Rep</v>
      </c>
      <c r="Q6161" t="str">
        <f>_xlfn.XLOOKUP(Pipeline_tbl[[#This Row],[Rep_ID]],Dim_Reps!A:A,Dim_Reps!D:D)</f>
        <v>Inside Sales</v>
      </c>
      <c r="R6161" t="str">
        <f>_xlfn.XLOOKUP(Pipeline_tbl[[#This Row],[Rep_ID]],Dim_Reps!A:A,Dim_Reps!E:E)</f>
        <v>EMEA</v>
      </c>
      <c r="S6161" t="str">
        <f>_xlfn.XLOOKUP(Pipeline_tbl[[#This Row],[Created_Date]],Dim_Date!A:A,Dim_Date!H:H)</f>
        <v>Aug 2024</v>
      </c>
      <c r="T6161" t="str">
        <f>IF(Pipeline_tbl[[#This Row],[Closed_Date]]=0,"",(_xlfn.XLOOKUP(Pipeline_tbl[[#This Row],[Closed_Date]],Dim_Date!A:A,Dim_Date!H:H)))</f>
        <v>Aug 2024</v>
      </c>
      <c r="U6161">
        <f>IF(Pipeline_tbl[[#This Row],[Closed_Date]]=0,"",Pipeline_tbl[[#This Row],[Closed_Date]]-Pipeline_tbl[[#This Row],[Created_Date]])</f>
        <v>16</v>
      </c>
    </row>
    <row r="6162" spans="1:21" ht="15" customHeight="1" x14ac:dyDescent="0.2">
      <c r="A6162" t="s">
        <v>6468</v>
      </c>
      <c r="B6162" t="s">
        <v>199</v>
      </c>
      <c r="C6162" t="s">
        <v>52</v>
      </c>
      <c r="D6162" s="49">
        <v>45513</v>
      </c>
      <c r="E6162" s="49">
        <v>45514</v>
      </c>
      <c r="F6162" s="49">
        <v>45517</v>
      </c>
      <c r="I6162" s="49">
        <v>45525</v>
      </c>
      <c r="J6162" t="s">
        <v>49</v>
      </c>
      <c r="K6162" s="33">
        <v>1900</v>
      </c>
      <c r="L6162" t="s">
        <v>61</v>
      </c>
      <c r="M6162" t="str">
        <f>_xlfn.XLOOKUP(Pipeline_tbl[[#This Row],[Rep_ID]],Dim_Reps!A:A,Dim_Reps!K:K)</f>
        <v>EUR</v>
      </c>
      <c r="N6162" s="33">
        <f>(_xlfn.XLOOKUP(Pipeline_tbl[[#This Row],[Rate_Code_Generalized]],Lookups!A:A,Lookups!B:B))*Pipeline_tbl[[#This Row],[Pipeline_Amount_USD]]</f>
        <v>1900</v>
      </c>
      <c r="O6162" t="str">
        <f>_xlfn.XLOOKUP(Pipeline_tbl[[#This Row],[Rep_ID]],Dim_Reps!A:A,Dim_Reps!B:B)</f>
        <v>Lucas Okafor</v>
      </c>
      <c r="P6162" t="str">
        <f>_xlfn.XLOOKUP(Pipeline_tbl[[#This Row],[Rep_ID]],Dim_Reps!A:A,Dim_Reps!C:C)</f>
        <v>SDR / Inside Sales Rep</v>
      </c>
      <c r="Q6162" t="str">
        <f>_xlfn.XLOOKUP(Pipeline_tbl[[#This Row],[Rep_ID]],Dim_Reps!A:A,Dim_Reps!D:D)</f>
        <v>Inside Sales</v>
      </c>
      <c r="R6162" t="str">
        <f>_xlfn.XLOOKUP(Pipeline_tbl[[#This Row],[Rep_ID]],Dim_Reps!A:A,Dim_Reps!E:E)</f>
        <v>APAC</v>
      </c>
      <c r="S6162" t="str">
        <f>_xlfn.XLOOKUP(Pipeline_tbl[[#This Row],[Created_Date]],Dim_Date!A:A,Dim_Date!H:H)</f>
        <v>Aug 2024</v>
      </c>
      <c r="T6162" t="str">
        <f>IF(Pipeline_tbl[[#This Row],[Closed_Date]]=0,"",(_xlfn.XLOOKUP(Pipeline_tbl[[#This Row],[Closed_Date]],Dim_Date!A:A,Dim_Date!H:H)))</f>
        <v>Aug 2024</v>
      </c>
      <c r="U6162">
        <f>IF(Pipeline_tbl[[#This Row],[Closed_Date]]=0,"",Pipeline_tbl[[#This Row],[Closed_Date]]-Pipeline_tbl[[#This Row],[Created_Date]])</f>
        <v>12</v>
      </c>
    </row>
    <row r="6163" spans="1:21" ht="15" customHeight="1" x14ac:dyDescent="0.2">
      <c r="A6163" t="s">
        <v>6469</v>
      </c>
      <c r="B6163" t="s">
        <v>199</v>
      </c>
      <c r="C6163" t="s">
        <v>52</v>
      </c>
      <c r="D6163" s="49">
        <v>45505</v>
      </c>
      <c r="E6163" s="49">
        <v>45507</v>
      </c>
      <c r="F6163" s="49">
        <v>45512</v>
      </c>
      <c r="G6163" s="49">
        <v>45519</v>
      </c>
      <c r="I6163" s="49">
        <v>45528</v>
      </c>
      <c r="J6163" t="s">
        <v>49</v>
      </c>
      <c r="K6163" s="33">
        <v>5900</v>
      </c>
      <c r="L6163" t="s">
        <v>60</v>
      </c>
      <c r="M6163" t="str">
        <f>_xlfn.XLOOKUP(Pipeline_tbl[[#This Row],[Rep_ID]],Dim_Reps!A:A,Dim_Reps!K:K)</f>
        <v>EUR</v>
      </c>
      <c r="N6163" s="33">
        <f>(_xlfn.XLOOKUP(Pipeline_tbl[[#This Row],[Rate_Code_Generalized]],Lookups!A:A,Lookups!B:B))*Pipeline_tbl[[#This Row],[Pipeline_Amount_USD]]</f>
        <v>5900</v>
      </c>
      <c r="O6163" t="str">
        <f>_xlfn.XLOOKUP(Pipeline_tbl[[#This Row],[Rep_ID]],Dim_Reps!A:A,Dim_Reps!B:B)</f>
        <v>Lucas Okafor</v>
      </c>
      <c r="P6163" t="str">
        <f>_xlfn.XLOOKUP(Pipeline_tbl[[#This Row],[Rep_ID]],Dim_Reps!A:A,Dim_Reps!C:C)</f>
        <v>SDR / Inside Sales Rep</v>
      </c>
      <c r="Q6163" t="str">
        <f>_xlfn.XLOOKUP(Pipeline_tbl[[#This Row],[Rep_ID]],Dim_Reps!A:A,Dim_Reps!D:D)</f>
        <v>Inside Sales</v>
      </c>
      <c r="R6163" t="str">
        <f>_xlfn.XLOOKUP(Pipeline_tbl[[#This Row],[Rep_ID]],Dim_Reps!A:A,Dim_Reps!E:E)</f>
        <v>APAC</v>
      </c>
      <c r="S6163" t="str">
        <f>_xlfn.XLOOKUP(Pipeline_tbl[[#This Row],[Created_Date]],Dim_Date!A:A,Dim_Date!H:H)</f>
        <v>Aug 2024</v>
      </c>
      <c r="T6163" t="str">
        <f>IF(Pipeline_tbl[[#This Row],[Closed_Date]]=0,"",(_xlfn.XLOOKUP(Pipeline_tbl[[#This Row],[Closed_Date]],Dim_Date!A:A,Dim_Date!H:H)))</f>
        <v>Aug 2024</v>
      </c>
      <c r="U6163">
        <f>IF(Pipeline_tbl[[#This Row],[Closed_Date]]=0,"",Pipeline_tbl[[#This Row],[Closed_Date]]-Pipeline_tbl[[#This Row],[Created_Date]])</f>
        <v>23</v>
      </c>
    </row>
    <row r="6164" spans="1:21" ht="15" customHeight="1" x14ac:dyDescent="0.2">
      <c r="A6164" t="s">
        <v>6470</v>
      </c>
      <c r="B6164" t="s">
        <v>199</v>
      </c>
      <c r="C6164" t="s">
        <v>56</v>
      </c>
      <c r="D6164" s="49">
        <v>45511</v>
      </c>
      <c r="E6164" s="49">
        <v>45512</v>
      </c>
      <c r="F6164" s="49">
        <v>45514</v>
      </c>
      <c r="I6164" s="49">
        <v>45520</v>
      </c>
      <c r="J6164" t="s">
        <v>49</v>
      </c>
      <c r="K6164" s="33">
        <v>6000</v>
      </c>
      <c r="L6164" t="s">
        <v>60</v>
      </c>
      <c r="M6164" t="str">
        <f>_xlfn.XLOOKUP(Pipeline_tbl[[#This Row],[Rep_ID]],Dim_Reps!A:A,Dim_Reps!K:K)</f>
        <v>EUR</v>
      </c>
      <c r="N6164" s="33">
        <f>(_xlfn.XLOOKUP(Pipeline_tbl[[#This Row],[Rate_Code_Generalized]],Lookups!A:A,Lookups!B:B))*Pipeline_tbl[[#This Row],[Pipeline_Amount_USD]]</f>
        <v>6000</v>
      </c>
      <c r="O6164" t="str">
        <f>_xlfn.XLOOKUP(Pipeline_tbl[[#This Row],[Rep_ID]],Dim_Reps!A:A,Dim_Reps!B:B)</f>
        <v>Lucas Okafor</v>
      </c>
      <c r="P6164" t="str">
        <f>_xlfn.XLOOKUP(Pipeline_tbl[[#This Row],[Rep_ID]],Dim_Reps!A:A,Dim_Reps!C:C)</f>
        <v>SDR / Inside Sales Rep</v>
      </c>
      <c r="Q6164" t="str">
        <f>_xlfn.XLOOKUP(Pipeline_tbl[[#This Row],[Rep_ID]],Dim_Reps!A:A,Dim_Reps!D:D)</f>
        <v>Inside Sales</v>
      </c>
      <c r="R6164" t="str">
        <f>_xlfn.XLOOKUP(Pipeline_tbl[[#This Row],[Rep_ID]],Dim_Reps!A:A,Dim_Reps!E:E)</f>
        <v>APAC</v>
      </c>
      <c r="S6164" t="str">
        <f>_xlfn.XLOOKUP(Pipeline_tbl[[#This Row],[Created_Date]],Dim_Date!A:A,Dim_Date!H:H)</f>
        <v>Aug 2024</v>
      </c>
      <c r="T6164" t="str">
        <f>IF(Pipeline_tbl[[#This Row],[Closed_Date]]=0,"",(_xlfn.XLOOKUP(Pipeline_tbl[[#This Row],[Closed_Date]],Dim_Date!A:A,Dim_Date!H:H)))</f>
        <v>Aug 2024</v>
      </c>
      <c r="U6164">
        <f>IF(Pipeline_tbl[[#This Row],[Closed_Date]]=0,"",Pipeline_tbl[[#This Row],[Closed_Date]]-Pipeline_tbl[[#This Row],[Created_Date]])</f>
        <v>9</v>
      </c>
    </row>
    <row r="6165" spans="1:21" ht="15" customHeight="1" x14ac:dyDescent="0.2">
      <c r="A6165" t="s">
        <v>6471</v>
      </c>
      <c r="B6165" t="s">
        <v>205</v>
      </c>
      <c r="C6165" t="s">
        <v>55</v>
      </c>
      <c r="D6165" s="49">
        <v>45507</v>
      </c>
      <c r="E6165" s="49">
        <v>45509</v>
      </c>
      <c r="F6165" s="49">
        <v>45512</v>
      </c>
      <c r="G6165" s="49">
        <v>45518</v>
      </c>
      <c r="I6165" s="49">
        <v>45525</v>
      </c>
      <c r="J6165" t="s">
        <v>49</v>
      </c>
      <c r="K6165" s="33">
        <v>3800</v>
      </c>
      <c r="L6165" t="s">
        <v>64</v>
      </c>
      <c r="M6165" t="str">
        <f>_xlfn.XLOOKUP(Pipeline_tbl[[#This Row],[Rep_ID]],Dim_Reps!A:A,Dim_Reps!K:K)</f>
        <v>EUR</v>
      </c>
      <c r="N6165" s="33">
        <f>(_xlfn.XLOOKUP(Pipeline_tbl[[#This Row],[Rate_Code_Generalized]],Lookups!A:A,Lookups!B:B))*Pipeline_tbl[[#This Row],[Pipeline_Amount_USD]]</f>
        <v>3800</v>
      </c>
      <c r="O6165" t="str">
        <f>_xlfn.XLOOKUP(Pipeline_tbl[[#This Row],[Rep_ID]],Dim_Reps!A:A,Dim_Reps!B:B)</f>
        <v>Karim Alvarez</v>
      </c>
      <c r="P6165" t="str">
        <f>_xlfn.XLOOKUP(Pipeline_tbl[[#This Row],[Rep_ID]],Dim_Reps!A:A,Dim_Reps!C:C)</f>
        <v>SDR / Inside Sales Rep</v>
      </c>
      <c r="Q6165" t="str">
        <f>_xlfn.XLOOKUP(Pipeline_tbl[[#This Row],[Rep_ID]],Dim_Reps!A:A,Dim_Reps!D:D)</f>
        <v>Inside Sales</v>
      </c>
      <c r="R6165" t="str">
        <f>_xlfn.XLOOKUP(Pipeline_tbl[[#This Row],[Rep_ID]],Dim_Reps!A:A,Dim_Reps!E:E)</f>
        <v>EMEA</v>
      </c>
      <c r="S6165" t="str">
        <f>_xlfn.XLOOKUP(Pipeline_tbl[[#This Row],[Created_Date]],Dim_Date!A:A,Dim_Date!H:H)</f>
        <v>Aug 2024</v>
      </c>
      <c r="T6165" t="str">
        <f>IF(Pipeline_tbl[[#This Row],[Closed_Date]]=0,"",(_xlfn.XLOOKUP(Pipeline_tbl[[#This Row],[Closed_Date]],Dim_Date!A:A,Dim_Date!H:H)))</f>
        <v>Aug 2024</v>
      </c>
      <c r="U6165">
        <f>IF(Pipeline_tbl[[#This Row],[Closed_Date]]=0,"",Pipeline_tbl[[#This Row],[Closed_Date]]-Pipeline_tbl[[#This Row],[Created_Date]])</f>
        <v>18</v>
      </c>
    </row>
    <row r="6166" spans="1:21" ht="15" customHeight="1" x14ac:dyDescent="0.2">
      <c r="A6166" t="s">
        <v>6472</v>
      </c>
      <c r="B6166" t="s">
        <v>205</v>
      </c>
      <c r="C6166" t="s">
        <v>53</v>
      </c>
      <c r="D6166" s="49">
        <v>45515</v>
      </c>
      <c r="E6166" s="49">
        <v>45517</v>
      </c>
      <c r="F6166" s="49">
        <v>45520</v>
      </c>
      <c r="G6166" s="49">
        <v>45526</v>
      </c>
      <c r="H6166" s="49">
        <v>45530</v>
      </c>
      <c r="I6166" s="49">
        <v>45533</v>
      </c>
      <c r="J6166" t="s">
        <v>47</v>
      </c>
      <c r="K6166" s="33">
        <v>3600</v>
      </c>
      <c r="M6166" t="str">
        <f>_xlfn.XLOOKUP(Pipeline_tbl[[#This Row],[Rep_ID]],Dim_Reps!A:A,Dim_Reps!K:K)</f>
        <v>EUR</v>
      </c>
      <c r="N6166" s="33">
        <f>(_xlfn.XLOOKUP(Pipeline_tbl[[#This Row],[Rate_Code_Generalized]],Lookups!A:A,Lookups!B:B))*Pipeline_tbl[[#This Row],[Pipeline_Amount_USD]]</f>
        <v>3600</v>
      </c>
      <c r="O6166" t="str">
        <f>_xlfn.XLOOKUP(Pipeline_tbl[[#This Row],[Rep_ID]],Dim_Reps!A:A,Dim_Reps!B:B)</f>
        <v>Karim Alvarez</v>
      </c>
      <c r="P6166" t="str">
        <f>_xlfn.XLOOKUP(Pipeline_tbl[[#This Row],[Rep_ID]],Dim_Reps!A:A,Dim_Reps!C:C)</f>
        <v>SDR / Inside Sales Rep</v>
      </c>
      <c r="Q6166" t="str">
        <f>_xlfn.XLOOKUP(Pipeline_tbl[[#This Row],[Rep_ID]],Dim_Reps!A:A,Dim_Reps!D:D)</f>
        <v>Inside Sales</v>
      </c>
      <c r="R6166" t="str">
        <f>_xlfn.XLOOKUP(Pipeline_tbl[[#This Row],[Rep_ID]],Dim_Reps!A:A,Dim_Reps!E:E)</f>
        <v>EMEA</v>
      </c>
      <c r="S6166" t="str">
        <f>_xlfn.XLOOKUP(Pipeline_tbl[[#This Row],[Created_Date]],Dim_Date!A:A,Dim_Date!H:H)</f>
        <v>Aug 2024</v>
      </c>
      <c r="T6166" t="str">
        <f>IF(Pipeline_tbl[[#This Row],[Closed_Date]]=0,"",(_xlfn.XLOOKUP(Pipeline_tbl[[#This Row],[Closed_Date]],Dim_Date!A:A,Dim_Date!H:H)))</f>
        <v>Aug 2024</v>
      </c>
      <c r="U6166">
        <f>IF(Pipeline_tbl[[#This Row],[Closed_Date]]=0,"",Pipeline_tbl[[#This Row],[Closed_Date]]-Pipeline_tbl[[#This Row],[Created_Date]])</f>
        <v>18</v>
      </c>
    </row>
    <row r="6167" spans="1:21" ht="15" customHeight="1" x14ac:dyDescent="0.2">
      <c r="A6167" t="s">
        <v>6473</v>
      </c>
      <c r="B6167" t="s">
        <v>205</v>
      </c>
      <c r="C6167" t="s">
        <v>52</v>
      </c>
      <c r="D6167" s="49">
        <v>45509</v>
      </c>
      <c r="E6167" s="49">
        <v>45512</v>
      </c>
      <c r="F6167" s="49">
        <v>45517</v>
      </c>
      <c r="G6167" s="49">
        <v>45525</v>
      </c>
      <c r="H6167" s="49">
        <v>45531</v>
      </c>
      <c r="I6167" s="49">
        <v>45535</v>
      </c>
      <c r="J6167" t="s">
        <v>47</v>
      </c>
      <c r="K6167" s="33">
        <v>6100</v>
      </c>
      <c r="M6167" t="str">
        <f>_xlfn.XLOOKUP(Pipeline_tbl[[#This Row],[Rep_ID]],Dim_Reps!A:A,Dim_Reps!K:K)</f>
        <v>EUR</v>
      </c>
      <c r="N6167" s="33">
        <f>(_xlfn.XLOOKUP(Pipeline_tbl[[#This Row],[Rate_Code_Generalized]],Lookups!A:A,Lookups!B:B))*Pipeline_tbl[[#This Row],[Pipeline_Amount_USD]]</f>
        <v>6100</v>
      </c>
      <c r="O6167" t="str">
        <f>_xlfn.XLOOKUP(Pipeline_tbl[[#This Row],[Rep_ID]],Dim_Reps!A:A,Dim_Reps!B:B)</f>
        <v>Karim Alvarez</v>
      </c>
      <c r="P6167" t="str">
        <f>_xlfn.XLOOKUP(Pipeline_tbl[[#This Row],[Rep_ID]],Dim_Reps!A:A,Dim_Reps!C:C)</f>
        <v>SDR / Inside Sales Rep</v>
      </c>
      <c r="Q6167" t="str">
        <f>_xlfn.XLOOKUP(Pipeline_tbl[[#This Row],[Rep_ID]],Dim_Reps!A:A,Dim_Reps!D:D)</f>
        <v>Inside Sales</v>
      </c>
      <c r="R6167" t="str">
        <f>_xlfn.XLOOKUP(Pipeline_tbl[[#This Row],[Rep_ID]],Dim_Reps!A:A,Dim_Reps!E:E)</f>
        <v>EMEA</v>
      </c>
      <c r="S6167" t="str">
        <f>_xlfn.XLOOKUP(Pipeline_tbl[[#This Row],[Created_Date]],Dim_Date!A:A,Dim_Date!H:H)</f>
        <v>Aug 2024</v>
      </c>
      <c r="T6167" t="str">
        <f>IF(Pipeline_tbl[[#This Row],[Closed_Date]]=0,"",(_xlfn.XLOOKUP(Pipeline_tbl[[#This Row],[Closed_Date]],Dim_Date!A:A,Dim_Date!H:H)))</f>
        <v>Aug 2024</v>
      </c>
      <c r="U6167">
        <f>IF(Pipeline_tbl[[#This Row],[Closed_Date]]=0,"",Pipeline_tbl[[#This Row],[Closed_Date]]-Pipeline_tbl[[#This Row],[Created_Date]])</f>
        <v>26</v>
      </c>
    </row>
    <row r="6168" spans="1:21" ht="15" customHeight="1" x14ac:dyDescent="0.2">
      <c r="A6168" t="s">
        <v>6474</v>
      </c>
      <c r="B6168" t="s">
        <v>207</v>
      </c>
      <c r="C6168" t="s">
        <v>53</v>
      </c>
      <c r="D6168" s="49">
        <v>45520</v>
      </c>
      <c r="E6168" s="49">
        <v>45521</v>
      </c>
      <c r="F6168" s="49">
        <v>45523</v>
      </c>
      <c r="G6168" s="49">
        <v>45527</v>
      </c>
      <c r="H6168" s="49">
        <v>45529</v>
      </c>
      <c r="I6168" s="49">
        <v>45531</v>
      </c>
      <c r="J6168" t="s">
        <v>47</v>
      </c>
      <c r="K6168" s="33">
        <v>3700</v>
      </c>
      <c r="M6168" t="str">
        <f>_xlfn.XLOOKUP(Pipeline_tbl[[#This Row],[Rep_ID]],Dim_Reps!A:A,Dim_Reps!K:K)</f>
        <v>EUR</v>
      </c>
      <c r="N6168" s="33">
        <f>(_xlfn.XLOOKUP(Pipeline_tbl[[#This Row],[Rate_Code_Generalized]],Lookups!A:A,Lookups!B:B))*Pipeline_tbl[[#This Row],[Pipeline_Amount_USD]]</f>
        <v>3700</v>
      </c>
      <c r="O6168" t="str">
        <f>_xlfn.XLOOKUP(Pipeline_tbl[[#This Row],[Rep_ID]],Dim_Reps!A:A,Dim_Reps!B:B)</f>
        <v>Sam Castro</v>
      </c>
      <c r="P6168" t="str">
        <f>_xlfn.XLOOKUP(Pipeline_tbl[[#This Row],[Rep_ID]],Dim_Reps!A:A,Dim_Reps!C:C)</f>
        <v>SDR / Inside Sales Rep</v>
      </c>
      <c r="Q6168" t="str">
        <f>_xlfn.XLOOKUP(Pipeline_tbl[[#This Row],[Rep_ID]],Dim_Reps!A:A,Dim_Reps!D:D)</f>
        <v>Inside Sales</v>
      </c>
      <c r="R6168" t="str">
        <f>_xlfn.XLOOKUP(Pipeline_tbl[[#This Row],[Rep_ID]],Dim_Reps!A:A,Dim_Reps!E:E)</f>
        <v>APAC</v>
      </c>
      <c r="S6168" t="str">
        <f>_xlfn.XLOOKUP(Pipeline_tbl[[#This Row],[Created_Date]],Dim_Date!A:A,Dim_Date!H:H)</f>
        <v>Aug 2024</v>
      </c>
      <c r="T6168" t="str">
        <f>IF(Pipeline_tbl[[#This Row],[Closed_Date]]=0,"",(_xlfn.XLOOKUP(Pipeline_tbl[[#This Row],[Closed_Date]],Dim_Date!A:A,Dim_Date!H:H)))</f>
        <v>Aug 2024</v>
      </c>
      <c r="U6168">
        <f>IF(Pipeline_tbl[[#This Row],[Closed_Date]]=0,"",Pipeline_tbl[[#This Row],[Closed_Date]]-Pipeline_tbl[[#This Row],[Created_Date]])</f>
        <v>11</v>
      </c>
    </row>
    <row r="6169" spans="1:21" ht="15" customHeight="1" x14ac:dyDescent="0.2">
      <c r="A6169" t="s">
        <v>6475</v>
      </c>
      <c r="B6169" t="s">
        <v>207</v>
      </c>
      <c r="C6169" t="s">
        <v>52</v>
      </c>
      <c r="D6169" s="49">
        <v>45514</v>
      </c>
      <c r="E6169" s="49">
        <v>45516</v>
      </c>
      <c r="F6169" s="49">
        <v>45520</v>
      </c>
      <c r="G6169" s="49">
        <v>45526</v>
      </c>
      <c r="I6169" s="49">
        <v>45534</v>
      </c>
      <c r="J6169" t="s">
        <v>49</v>
      </c>
      <c r="K6169" s="33">
        <v>6700</v>
      </c>
      <c r="L6169" t="s">
        <v>64</v>
      </c>
      <c r="M6169" t="str">
        <f>_xlfn.XLOOKUP(Pipeline_tbl[[#This Row],[Rep_ID]],Dim_Reps!A:A,Dim_Reps!K:K)</f>
        <v>EUR</v>
      </c>
      <c r="N6169" s="33">
        <f>(_xlfn.XLOOKUP(Pipeline_tbl[[#This Row],[Rate_Code_Generalized]],Lookups!A:A,Lookups!B:B))*Pipeline_tbl[[#This Row],[Pipeline_Amount_USD]]</f>
        <v>6700</v>
      </c>
      <c r="O6169" t="str">
        <f>_xlfn.XLOOKUP(Pipeline_tbl[[#This Row],[Rep_ID]],Dim_Reps!A:A,Dim_Reps!B:B)</f>
        <v>Sam Castro</v>
      </c>
      <c r="P6169" t="str">
        <f>_xlfn.XLOOKUP(Pipeline_tbl[[#This Row],[Rep_ID]],Dim_Reps!A:A,Dim_Reps!C:C)</f>
        <v>SDR / Inside Sales Rep</v>
      </c>
      <c r="Q6169" t="str">
        <f>_xlfn.XLOOKUP(Pipeline_tbl[[#This Row],[Rep_ID]],Dim_Reps!A:A,Dim_Reps!D:D)</f>
        <v>Inside Sales</v>
      </c>
      <c r="R6169" t="str">
        <f>_xlfn.XLOOKUP(Pipeline_tbl[[#This Row],[Rep_ID]],Dim_Reps!A:A,Dim_Reps!E:E)</f>
        <v>APAC</v>
      </c>
      <c r="S6169" t="str">
        <f>_xlfn.XLOOKUP(Pipeline_tbl[[#This Row],[Created_Date]],Dim_Date!A:A,Dim_Date!H:H)</f>
        <v>Aug 2024</v>
      </c>
      <c r="T6169" t="str">
        <f>IF(Pipeline_tbl[[#This Row],[Closed_Date]]=0,"",(_xlfn.XLOOKUP(Pipeline_tbl[[#This Row],[Closed_Date]],Dim_Date!A:A,Dim_Date!H:H)))</f>
        <v>Aug 2024</v>
      </c>
      <c r="U6169">
        <f>IF(Pipeline_tbl[[#This Row],[Closed_Date]]=0,"",Pipeline_tbl[[#This Row],[Closed_Date]]-Pipeline_tbl[[#This Row],[Created_Date]])</f>
        <v>20</v>
      </c>
    </row>
    <row r="6170" spans="1:21" ht="15" customHeight="1" x14ac:dyDescent="0.2">
      <c r="A6170" t="s">
        <v>6476</v>
      </c>
      <c r="B6170" t="s">
        <v>207</v>
      </c>
      <c r="C6170" t="s">
        <v>52</v>
      </c>
      <c r="D6170" s="49">
        <v>45506</v>
      </c>
      <c r="E6170" s="49">
        <v>45508</v>
      </c>
      <c r="F6170" s="49">
        <v>45511</v>
      </c>
      <c r="G6170" s="49">
        <v>45515</v>
      </c>
      <c r="I6170" s="49">
        <v>45521</v>
      </c>
      <c r="J6170" t="s">
        <v>49</v>
      </c>
      <c r="K6170" s="33">
        <v>8500</v>
      </c>
      <c r="L6170" t="s">
        <v>61</v>
      </c>
      <c r="M6170" t="str">
        <f>_xlfn.XLOOKUP(Pipeline_tbl[[#This Row],[Rep_ID]],Dim_Reps!A:A,Dim_Reps!K:K)</f>
        <v>EUR</v>
      </c>
      <c r="N6170" s="33">
        <f>(_xlfn.XLOOKUP(Pipeline_tbl[[#This Row],[Rate_Code_Generalized]],Lookups!A:A,Lookups!B:B))*Pipeline_tbl[[#This Row],[Pipeline_Amount_USD]]</f>
        <v>8500</v>
      </c>
      <c r="O6170" t="str">
        <f>_xlfn.XLOOKUP(Pipeline_tbl[[#This Row],[Rep_ID]],Dim_Reps!A:A,Dim_Reps!B:B)</f>
        <v>Sam Castro</v>
      </c>
      <c r="P6170" t="str">
        <f>_xlfn.XLOOKUP(Pipeline_tbl[[#This Row],[Rep_ID]],Dim_Reps!A:A,Dim_Reps!C:C)</f>
        <v>SDR / Inside Sales Rep</v>
      </c>
      <c r="Q6170" t="str">
        <f>_xlfn.XLOOKUP(Pipeline_tbl[[#This Row],[Rep_ID]],Dim_Reps!A:A,Dim_Reps!D:D)</f>
        <v>Inside Sales</v>
      </c>
      <c r="R6170" t="str">
        <f>_xlfn.XLOOKUP(Pipeline_tbl[[#This Row],[Rep_ID]],Dim_Reps!A:A,Dim_Reps!E:E)</f>
        <v>APAC</v>
      </c>
      <c r="S6170" t="str">
        <f>_xlfn.XLOOKUP(Pipeline_tbl[[#This Row],[Created_Date]],Dim_Date!A:A,Dim_Date!H:H)</f>
        <v>Aug 2024</v>
      </c>
      <c r="T6170" t="str">
        <f>IF(Pipeline_tbl[[#This Row],[Closed_Date]]=0,"",(_xlfn.XLOOKUP(Pipeline_tbl[[#This Row],[Closed_Date]],Dim_Date!A:A,Dim_Date!H:H)))</f>
        <v>Aug 2024</v>
      </c>
      <c r="U6170">
        <f>IF(Pipeline_tbl[[#This Row],[Closed_Date]]=0,"",Pipeline_tbl[[#This Row],[Closed_Date]]-Pipeline_tbl[[#This Row],[Created_Date]])</f>
        <v>15</v>
      </c>
    </row>
    <row r="6171" spans="1:21" ht="15" customHeight="1" x14ac:dyDescent="0.2">
      <c r="A6171" t="s">
        <v>6477</v>
      </c>
      <c r="B6171" t="s">
        <v>207</v>
      </c>
      <c r="C6171" t="s">
        <v>52</v>
      </c>
      <c r="D6171" s="49">
        <v>45512</v>
      </c>
      <c r="E6171" s="49">
        <v>45514</v>
      </c>
      <c r="F6171" s="49">
        <v>45518</v>
      </c>
      <c r="I6171" s="49">
        <v>45532</v>
      </c>
      <c r="J6171" t="s">
        <v>49</v>
      </c>
      <c r="K6171" s="33">
        <v>1700</v>
      </c>
      <c r="L6171" t="s">
        <v>61</v>
      </c>
      <c r="M6171" t="str">
        <f>_xlfn.XLOOKUP(Pipeline_tbl[[#This Row],[Rep_ID]],Dim_Reps!A:A,Dim_Reps!K:K)</f>
        <v>EUR</v>
      </c>
      <c r="N6171" s="33">
        <f>(_xlfn.XLOOKUP(Pipeline_tbl[[#This Row],[Rate_Code_Generalized]],Lookups!A:A,Lookups!B:B))*Pipeline_tbl[[#This Row],[Pipeline_Amount_USD]]</f>
        <v>1700</v>
      </c>
      <c r="O6171" t="str">
        <f>_xlfn.XLOOKUP(Pipeline_tbl[[#This Row],[Rep_ID]],Dim_Reps!A:A,Dim_Reps!B:B)</f>
        <v>Sam Castro</v>
      </c>
      <c r="P6171" t="str">
        <f>_xlfn.XLOOKUP(Pipeline_tbl[[#This Row],[Rep_ID]],Dim_Reps!A:A,Dim_Reps!C:C)</f>
        <v>SDR / Inside Sales Rep</v>
      </c>
      <c r="Q6171" t="str">
        <f>_xlfn.XLOOKUP(Pipeline_tbl[[#This Row],[Rep_ID]],Dim_Reps!A:A,Dim_Reps!D:D)</f>
        <v>Inside Sales</v>
      </c>
      <c r="R6171" t="str">
        <f>_xlfn.XLOOKUP(Pipeline_tbl[[#This Row],[Rep_ID]],Dim_Reps!A:A,Dim_Reps!E:E)</f>
        <v>APAC</v>
      </c>
      <c r="S6171" t="str">
        <f>_xlfn.XLOOKUP(Pipeline_tbl[[#This Row],[Created_Date]],Dim_Date!A:A,Dim_Date!H:H)</f>
        <v>Aug 2024</v>
      </c>
      <c r="T6171" t="str">
        <f>IF(Pipeline_tbl[[#This Row],[Closed_Date]]=0,"",(_xlfn.XLOOKUP(Pipeline_tbl[[#This Row],[Closed_Date]],Dim_Date!A:A,Dim_Date!H:H)))</f>
        <v>Aug 2024</v>
      </c>
      <c r="U6171">
        <f>IF(Pipeline_tbl[[#This Row],[Closed_Date]]=0,"",Pipeline_tbl[[#This Row],[Closed_Date]]-Pipeline_tbl[[#This Row],[Created_Date]])</f>
        <v>20</v>
      </c>
    </row>
    <row r="6172" spans="1:21" ht="15" customHeight="1" x14ac:dyDescent="0.2">
      <c r="A6172" t="s">
        <v>6478</v>
      </c>
      <c r="B6172" t="s">
        <v>211</v>
      </c>
      <c r="C6172" t="s">
        <v>52</v>
      </c>
      <c r="D6172" s="49">
        <v>45521</v>
      </c>
      <c r="E6172" s="49">
        <v>45522</v>
      </c>
      <c r="F6172" s="49">
        <v>45523</v>
      </c>
      <c r="G6172" s="49">
        <v>45526</v>
      </c>
      <c r="H6172" s="49">
        <v>45528</v>
      </c>
      <c r="I6172" s="49">
        <v>45529</v>
      </c>
      <c r="J6172" t="s">
        <v>47</v>
      </c>
      <c r="K6172" s="33">
        <v>2500</v>
      </c>
      <c r="M6172" t="str">
        <f>_xlfn.XLOOKUP(Pipeline_tbl[[#This Row],[Rep_ID]],Dim_Reps!A:A,Dim_Reps!K:K)</f>
        <v>EUR</v>
      </c>
      <c r="N6172" s="33">
        <f>(_xlfn.XLOOKUP(Pipeline_tbl[[#This Row],[Rate_Code_Generalized]],Lookups!A:A,Lookups!B:B))*Pipeline_tbl[[#This Row],[Pipeline_Amount_USD]]</f>
        <v>2500</v>
      </c>
      <c r="O6172" t="str">
        <f>_xlfn.XLOOKUP(Pipeline_tbl[[#This Row],[Rep_ID]],Dim_Reps!A:A,Dim_Reps!B:B)</f>
        <v>Lea Weber</v>
      </c>
      <c r="P6172" t="str">
        <f>_xlfn.XLOOKUP(Pipeline_tbl[[#This Row],[Rep_ID]],Dim_Reps!A:A,Dim_Reps!C:C)</f>
        <v>SDR / Inside Sales Rep</v>
      </c>
      <c r="Q6172" t="str">
        <f>_xlfn.XLOOKUP(Pipeline_tbl[[#This Row],[Rep_ID]],Dim_Reps!A:A,Dim_Reps!D:D)</f>
        <v>Inside Sales</v>
      </c>
      <c r="R6172" t="str">
        <f>_xlfn.XLOOKUP(Pipeline_tbl[[#This Row],[Rep_ID]],Dim_Reps!A:A,Dim_Reps!E:E)</f>
        <v>EMEA</v>
      </c>
      <c r="S6172" t="str">
        <f>_xlfn.XLOOKUP(Pipeline_tbl[[#This Row],[Created_Date]],Dim_Date!A:A,Dim_Date!H:H)</f>
        <v>Aug 2024</v>
      </c>
      <c r="T6172" t="str">
        <f>IF(Pipeline_tbl[[#This Row],[Closed_Date]]=0,"",(_xlfn.XLOOKUP(Pipeline_tbl[[#This Row],[Closed_Date]],Dim_Date!A:A,Dim_Date!H:H)))</f>
        <v>Aug 2024</v>
      </c>
      <c r="U6172">
        <f>IF(Pipeline_tbl[[#This Row],[Closed_Date]]=0,"",Pipeline_tbl[[#This Row],[Closed_Date]]-Pipeline_tbl[[#This Row],[Created_Date]])</f>
        <v>8</v>
      </c>
    </row>
    <row r="6173" spans="1:21" ht="15" customHeight="1" x14ac:dyDescent="0.2">
      <c r="A6173" t="s">
        <v>6479</v>
      </c>
      <c r="B6173" t="s">
        <v>211</v>
      </c>
      <c r="C6173" t="s">
        <v>55</v>
      </c>
      <c r="D6173" s="49">
        <v>45506</v>
      </c>
      <c r="E6173" s="49">
        <v>45507</v>
      </c>
      <c r="F6173" s="49">
        <v>45508</v>
      </c>
      <c r="G6173" s="49">
        <v>45511</v>
      </c>
      <c r="I6173" s="49">
        <v>45514</v>
      </c>
      <c r="J6173" t="s">
        <v>49</v>
      </c>
      <c r="K6173" s="33">
        <v>2100</v>
      </c>
      <c r="L6173" t="s">
        <v>61</v>
      </c>
      <c r="M6173" t="str">
        <f>_xlfn.XLOOKUP(Pipeline_tbl[[#This Row],[Rep_ID]],Dim_Reps!A:A,Dim_Reps!K:K)</f>
        <v>EUR</v>
      </c>
      <c r="N6173" s="33">
        <f>(_xlfn.XLOOKUP(Pipeline_tbl[[#This Row],[Rate_Code_Generalized]],Lookups!A:A,Lookups!B:B))*Pipeline_tbl[[#This Row],[Pipeline_Amount_USD]]</f>
        <v>2100</v>
      </c>
      <c r="O6173" t="str">
        <f>_xlfn.XLOOKUP(Pipeline_tbl[[#This Row],[Rep_ID]],Dim_Reps!A:A,Dim_Reps!B:B)</f>
        <v>Lea Weber</v>
      </c>
      <c r="P6173" t="str">
        <f>_xlfn.XLOOKUP(Pipeline_tbl[[#This Row],[Rep_ID]],Dim_Reps!A:A,Dim_Reps!C:C)</f>
        <v>SDR / Inside Sales Rep</v>
      </c>
      <c r="Q6173" t="str">
        <f>_xlfn.XLOOKUP(Pipeline_tbl[[#This Row],[Rep_ID]],Dim_Reps!A:A,Dim_Reps!D:D)</f>
        <v>Inside Sales</v>
      </c>
      <c r="R6173" t="str">
        <f>_xlfn.XLOOKUP(Pipeline_tbl[[#This Row],[Rep_ID]],Dim_Reps!A:A,Dim_Reps!E:E)</f>
        <v>EMEA</v>
      </c>
      <c r="S6173" t="str">
        <f>_xlfn.XLOOKUP(Pipeline_tbl[[#This Row],[Created_Date]],Dim_Date!A:A,Dim_Date!H:H)</f>
        <v>Aug 2024</v>
      </c>
      <c r="T6173" t="str">
        <f>IF(Pipeline_tbl[[#This Row],[Closed_Date]]=0,"",(_xlfn.XLOOKUP(Pipeline_tbl[[#This Row],[Closed_Date]],Dim_Date!A:A,Dim_Date!H:H)))</f>
        <v>Aug 2024</v>
      </c>
      <c r="U6173">
        <f>IF(Pipeline_tbl[[#This Row],[Closed_Date]]=0,"",Pipeline_tbl[[#This Row],[Closed_Date]]-Pipeline_tbl[[#This Row],[Created_Date]])</f>
        <v>8</v>
      </c>
    </row>
    <row r="6174" spans="1:21" ht="15" customHeight="1" x14ac:dyDescent="0.2">
      <c r="A6174" t="s">
        <v>6480</v>
      </c>
      <c r="B6174" t="s">
        <v>211</v>
      </c>
      <c r="C6174" t="s">
        <v>52</v>
      </c>
      <c r="D6174" s="49">
        <v>45515</v>
      </c>
      <c r="E6174" s="49">
        <v>45517</v>
      </c>
      <c r="F6174" s="49">
        <v>45520</v>
      </c>
      <c r="G6174" s="49">
        <v>45525</v>
      </c>
      <c r="H6174" s="49">
        <v>45529</v>
      </c>
      <c r="I6174" s="49">
        <v>45532</v>
      </c>
      <c r="J6174" t="s">
        <v>49</v>
      </c>
      <c r="K6174" s="33">
        <v>3200</v>
      </c>
      <c r="L6174" t="s">
        <v>62</v>
      </c>
      <c r="M6174" t="str">
        <f>_xlfn.XLOOKUP(Pipeline_tbl[[#This Row],[Rep_ID]],Dim_Reps!A:A,Dim_Reps!K:K)</f>
        <v>EUR</v>
      </c>
      <c r="N6174" s="33">
        <f>(_xlfn.XLOOKUP(Pipeline_tbl[[#This Row],[Rate_Code_Generalized]],Lookups!A:A,Lookups!B:B))*Pipeline_tbl[[#This Row],[Pipeline_Amount_USD]]</f>
        <v>3200</v>
      </c>
      <c r="O6174" t="str">
        <f>_xlfn.XLOOKUP(Pipeline_tbl[[#This Row],[Rep_ID]],Dim_Reps!A:A,Dim_Reps!B:B)</f>
        <v>Lea Weber</v>
      </c>
      <c r="P6174" t="str">
        <f>_xlfn.XLOOKUP(Pipeline_tbl[[#This Row],[Rep_ID]],Dim_Reps!A:A,Dim_Reps!C:C)</f>
        <v>SDR / Inside Sales Rep</v>
      </c>
      <c r="Q6174" t="str">
        <f>_xlfn.XLOOKUP(Pipeline_tbl[[#This Row],[Rep_ID]],Dim_Reps!A:A,Dim_Reps!D:D)</f>
        <v>Inside Sales</v>
      </c>
      <c r="R6174" t="str">
        <f>_xlfn.XLOOKUP(Pipeline_tbl[[#This Row],[Rep_ID]],Dim_Reps!A:A,Dim_Reps!E:E)</f>
        <v>EMEA</v>
      </c>
      <c r="S6174" t="str">
        <f>_xlfn.XLOOKUP(Pipeline_tbl[[#This Row],[Created_Date]],Dim_Date!A:A,Dim_Date!H:H)</f>
        <v>Aug 2024</v>
      </c>
      <c r="T6174" t="str">
        <f>IF(Pipeline_tbl[[#This Row],[Closed_Date]]=0,"",(_xlfn.XLOOKUP(Pipeline_tbl[[#This Row],[Closed_Date]],Dim_Date!A:A,Dim_Date!H:H)))</f>
        <v>Aug 2024</v>
      </c>
      <c r="U6174">
        <f>IF(Pipeline_tbl[[#This Row],[Closed_Date]]=0,"",Pipeline_tbl[[#This Row],[Closed_Date]]-Pipeline_tbl[[#This Row],[Created_Date]])</f>
        <v>17</v>
      </c>
    </row>
    <row r="6175" spans="1:21" ht="15" customHeight="1" x14ac:dyDescent="0.2">
      <c r="A6175" t="s">
        <v>6481</v>
      </c>
      <c r="B6175" t="s">
        <v>211</v>
      </c>
      <c r="C6175" t="s">
        <v>56</v>
      </c>
      <c r="D6175" s="49">
        <v>45529</v>
      </c>
      <c r="E6175" s="49">
        <v>45529</v>
      </c>
      <c r="F6175" s="49">
        <v>45531</v>
      </c>
      <c r="I6175" s="49">
        <v>45534</v>
      </c>
      <c r="J6175" t="s">
        <v>49</v>
      </c>
      <c r="K6175" s="33">
        <v>4400</v>
      </c>
      <c r="L6175" t="s">
        <v>64</v>
      </c>
      <c r="M6175" t="str">
        <f>_xlfn.XLOOKUP(Pipeline_tbl[[#This Row],[Rep_ID]],Dim_Reps!A:A,Dim_Reps!K:K)</f>
        <v>EUR</v>
      </c>
      <c r="N6175" s="33">
        <f>(_xlfn.XLOOKUP(Pipeline_tbl[[#This Row],[Rate_Code_Generalized]],Lookups!A:A,Lookups!B:B))*Pipeline_tbl[[#This Row],[Pipeline_Amount_USD]]</f>
        <v>4400</v>
      </c>
      <c r="O6175" t="str">
        <f>_xlfn.XLOOKUP(Pipeline_tbl[[#This Row],[Rep_ID]],Dim_Reps!A:A,Dim_Reps!B:B)</f>
        <v>Lea Weber</v>
      </c>
      <c r="P6175" t="str">
        <f>_xlfn.XLOOKUP(Pipeline_tbl[[#This Row],[Rep_ID]],Dim_Reps!A:A,Dim_Reps!C:C)</f>
        <v>SDR / Inside Sales Rep</v>
      </c>
      <c r="Q6175" t="str">
        <f>_xlfn.XLOOKUP(Pipeline_tbl[[#This Row],[Rep_ID]],Dim_Reps!A:A,Dim_Reps!D:D)</f>
        <v>Inside Sales</v>
      </c>
      <c r="R6175" t="str">
        <f>_xlfn.XLOOKUP(Pipeline_tbl[[#This Row],[Rep_ID]],Dim_Reps!A:A,Dim_Reps!E:E)</f>
        <v>EMEA</v>
      </c>
      <c r="S6175" t="str">
        <f>_xlfn.XLOOKUP(Pipeline_tbl[[#This Row],[Created_Date]],Dim_Date!A:A,Dim_Date!H:H)</f>
        <v>Aug 2024</v>
      </c>
      <c r="T6175" t="str">
        <f>IF(Pipeline_tbl[[#This Row],[Closed_Date]]=0,"",(_xlfn.XLOOKUP(Pipeline_tbl[[#This Row],[Closed_Date]],Dim_Date!A:A,Dim_Date!H:H)))</f>
        <v>Aug 2024</v>
      </c>
      <c r="U6175">
        <f>IF(Pipeline_tbl[[#This Row],[Closed_Date]]=0,"",Pipeline_tbl[[#This Row],[Closed_Date]]-Pipeline_tbl[[#This Row],[Created_Date]])</f>
        <v>5</v>
      </c>
    </row>
    <row r="6176" spans="1:21" ht="15" customHeight="1" x14ac:dyDescent="0.2">
      <c r="A6176" t="s">
        <v>6482</v>
      </c>
      <c r="B6176" t="s">
        <v>213</v>
      </c>
      <c r="C6176" t="s">
        <v>53</v>
      </c>
      <c r="D6176" s="49">
        <v>45516</v>
      </c>
      <c r="E6176" s="49">
        <v>45517</v>
      </c>
      <c r="I6176" s="49">
        <v>45525</v>
      </c>
      <c r="J6176" t="s">
        <v>49</v>
      </c>
      <c r="K6176" s="33">
        <v>4400</v>
      </c>
      <c r="L6176" t="s">
        <v>61</v>
      </c>
      <c r="M6176" t="str">
        <f>_xlfn.XLOOKUP(Pipeline_tbl[[#This Row],[Rep_ID]],Dim_Reps!A:A,Dim_Reps!K:K)</f>
        <v>EUR</v>
      </c>
      <c r="N6176" s="33">
        <f>(_xlfn.XLOOKUP(Pipeline_tbl[[#This Row],[Rate_Code_Generalized]],Lookups!A:A,Lookups!B:B))*Pipeline_tbl[[#This Row],[Pipeline_Amount_USD]]</f>
        <v>4400</v>
      </c>
      <c r="O6176" t="str">
        <f>_xlfn.XLOOKUP(Pipeline_tbl[[#This Row],[Rep_ID]],Dim_Reps!A:A,Dim_Reps!B:B)</f>
        <v>Jamie Silva</v>
      </c>
      <c r="P6176" t="str">
        <f>_xlfn.XLOOKUP(Pipeline_tbl[[#This Row],[Rep_ID]],Dim_Reps!A:A,Dim_Reps!C:C)</f>
        <v>SDR / Inside Sales Rep</v>
      </c>
      <c r="Q6176" t="str">
        <f>_xlfn.XLOOKUP(Pipeline_tbl[[#This Row],[Rep_ID]],Dim_Reps!A:A,Dim_Reps!D:D)</f>
        <v>Inside Sales</v>
      </c>
      <c r="R6176" t="str">
        <f>_xlfn.XLOOKUP(Pipeline_tbl[[#This Row],[Rep_ID]],Dim_Reps!A:A,Dim_Reps!E:E)</f>
        <v>EMEA</v>
      </c>
      <c r="S6176" t="str">
        <f>_xlfn.XLOOKUP(Pipeline_tbl[[#This Row],[Created_Date]],Dim_Date!A:A,Dim_Date!H:H)</f>
        <v>Aug 2024</v>
      </c>
      <c r="T6176" t="str">
        <f>IF(Pipeline_tbl[[#This Row],[Closed_Date]]=0,"",(_xlfn.XLOOKUP(Pipeline_tbl[[#This Row],[Closed_Date]],Dim_Date!A:A,Dim_Date!H:H)))</f>
        <v>Aug 2024</v>
      </c>
      <c r="U6176">
        <f>IF(Pipeline_tbl[[#This Row],[Closed_Date]]=0,"",Pipeline_tbl[[#This Row],[Closed_Date]]-Pipeline_tbl[[#This Row],[Created_Date]])</f>
        <v>9</v>
      </c>
    </row>
    <row r="6177" spans="1:21" ht="15" customHeight="1" x14ac:dyDescent="0.2">
      <c r="A6177" t="s">
        <v>6483</v>
      </c>
      <c r="B6177" t="s">
        <v>217</v>
      </c>
      <c r="C6177" t="s">
        <v>55</v>
      </c>
      <c r="D6177" s="49">
        <v>45515</v>
      </c>
      <c r="E6177" s="49">
        <v>45517</v>
      </c>
      <c r="F6177" s="49">
        <v>45520</v>
      </c>
      <c r="G6177" s="49">
        <v>45525</v>
      </c>
      <c r="I6177" s="49">
        <v>45531</v>
      </c>
      <c r="J6177" t="s">
        <v>49</v>
      </c>
      <c r="K6177" s="33">
        <v>6300</v>
      </c>
      <c r="L6177" t="s">
        <v>63</v>
      </c>
      <c r="M6177" t="str">
        <f>_xlfn.XLOOKUP(Pipeline_tbl[[#This Row],[Rep_ID]],Dim_Reps!A:A,Dim_Reps!K:K)</f>
        <v>USD</v>
      </c>
      <c r="N6177" s="33">
        <f>(_xlfn.XLOOKUP(Pipeline_tbl[[#This Row],[Rate_Code_Generalized]],Lookups!A:A,Lookups!B:B))*Pipeline_tbl[[#This Row],[Pipeline_Amount_USD]]</f>
        <v>7335.0899999999992</v>
      </c>
      <c r="O6177" t="str">
        <f>_xlfn.XLOOKUP(Pipeline_tbl[[#This Row],[Rep_ID]],Dim_Reps!A:A,Dim_Reps!B:B)</f>
        <v>Priya Weber</v>
      </c>
      <c r="P6177" t="str">
        <f>_xlfn.XLOOKUP(Pipeline_tbl[[#This Row],[Rep_ID]],Dim_Reps!A:A,Dim_Reps!C:C)</f>
        <v>SDR / Inside Sales Rep</v>
      </c>
      <c r="Q6177" t="str">
        <f>_xlfn.XLOOKUP(Pipeline_tbl[[#This Row],[Rep_ID]],Dim_Reps!A:A,Dim_Reps!D:D)</f>
        <v>Inside Sales</v>
      </c>
      <c r="R6177" t="str">
        <f>_xlfn.XLOOKUP(Pipeline_tbl[[#This Row],[Rep_ID]],Dim_Reps!A:A,Dim_Reps!E:E)</f>
        <v>NAMER</v>
      </c>
      <c r="S6177" t="str">
        <f>_xlfn.XLOOKUP(Pipeline_tbl[[#This Row],[Created_Date]],Dim_Date!A:A,Dim_Date!H:H)</f>
        <v>Aug 2024</v>
      </c>
      <c r="T6177" t="str">
        <f>IF(Pipeline_tbl[[#This Row],[Closed_Date]]=0,"",(_xlfn.XLOOKUP(Pipeline_tbl[[#This Row],[Closed_Date]],Dim_Date!A:A,Dim_Date!H:H)))</f>
        <v>Aug 2024</v>
      </c>
      <c r="U6177">
        <f>IF(Pipeline_tbl[[#This Row],[Closed_Date]]=0,"",Pipeline_tbl[[#This Row],[Closed_Date]]-Pipeline_tbl[[#This Row],[Created_Date]])</f>
        <v>16</v>
      </c>
    </row>
    <row r="6178" spans="1:21" ht="15" customHeight="1" x14ac:dyDescent="0.2">
      <c r="A6178" t="s">
        <v>6484</v>
      </c>
      <c r="B6178" t="s">
        <v>217</v>
      </c>
      <c r="C6178" t="s">
        <v>52</v>
      </c>
      <c r="D6178" s="49">
        <v>45509</v>
      </c>
      <c r="E6178" s="49">
        <v>45511</v>
      </c>
      <c r="F6178" s="49">
        <v>45517</v>
      </c>
      <c r="G6178" s="49">
        <v>45524</v>
      </c>
      <c r="I6178" s="49">
        <v>45534</v>
      </c>
      <c r="J6178" t="s">
        <v>49</v>
      </c>
      <c r="K6178" s="33">
        <v>6100</v>
      </c>
      <c r="L6178" t="s">
        <v>60</v>
      </c>
      <c r="M6178" t="str">
        <f>_xlfn.XLOOKUP(Pipeline_tbl[[#This Row],[Rep_ID]],Dim_Reps!A:A,Dim_Reps!K:K)</f>
        <v>USD</v>
      </c>
      <c r="N6178" s="33">
        <f>(_xlfn.XLOOKUP(Pipeline_tbl[[#This Row],[Rate_Code_Generalized]],Lookups!A:A,Lookups!B:B))*Pipeline_tbl[[#This Row],[Pipeline_Amount_USD]]</f>
        <v>7102.23</v>
      </c>
      <c r="O6178" t="str">
        <f>_xlfn.XLOOKUP(Pipeline_tbl[[#This Row],[Rep_ID]],Dim_Reps!A:A,Dim_Reps!B:B)</f>
        <v>Priya Weber</v>
      </c>
      <c r="P6178" t="str">
        <f>_xlfn.XLOOKUP(Pipeline_tbl[[#This Row],[Rep_ID]],Dim_Reps!A:A,Dim_Reps!C:C)</f>
        <v>SDR / Inside Sales Rep</v>
      </c>
      <c r="Q6178" t="str">
        <f>_xlfn.XLOOKUP(Pipeline_tbl[[#This Row],[Rep_ID]],Dim_Reps!A:A,Dim_Reps!D:D)</f>
        <v>Inside Sales</v>
      </c>
      <c r="R6178" t="str">
        <f>_xlfn.XLOOKUP(Pipeline_tbl[[#This Row],[Rep_ID]],Dim_Reps!A:A,Dim_Reps!E:E)</f>
        <v>NAMER</v>
      </c>
      <c r="S6178" t="str">
        <f>_xlfn.XLOOKUP(Pipeline_tbl[[#This Row],[Created_Date]],Dim_Date!A:A,Dim_Date!H:H)</f>
        <v>Aug 2024</v>
      </c>
      <c r="T6178" t="str">
        <f>IF(Pipeline_tbl[[#This Row],[Closed_Date]]=0,"",(_xlfn.XLOOKUP(Pipeline_tbl[[#This Row],[Closed_Date]],Dim_Date!A:A,Dim_Date!H:H)))</f>
        <v>Aug 2024</v>
      </c>
      <c r="U6178">
        <f>IF(Pipeline_tbl[[#This Row],[Closed_Date]]=0,"",Pipeline_tbl[[#This Row],[Closed_Date]]-Pipeline_tbl[[#This Row],[Created_Date]])</f>
        <v>25</v>
      </c>
    </row>
    <row r="6179" spans="1:21" ht="15" customHeight="1" x14ac:dyDescent="0.2">
      <c r="A6179" t="s">
        <v>6485</v>
      </c>
      <c r="B6179" t="s">
        <v>221</v>
      </c>
      <c r="C6179" t="s">
        <v>52</v>
      </c>
      <c r="D6179" s="49">
        <v>45511</v>
      </c>
      <c r="E6179" s="49">
        <v>45513</v>
      </c>
      <c r="F6179" s="49">
        <v>45516</v>
      </c>
      <c r="G6179" s="49">
        <v>45522</v>
      </c>
      <c r="H6179" s="49">
        <v>45526</v>
      </c>
      <c r="I6179" s="49">
        <v>45529</v>
      </c>
      <c r="J6179" t="s">
        <v>47</v>
      </c>
      <c r="K6179" s="33">
        <v>5400</v>
      </c>
      <c r="M6179" t="str">
        <f>_xlfn.XLOOKUP(Pipeline_tbl[[#This Row],[Rep_ID]],Dim_Reps!A:A,Dim_Reps!K:K)</f>
        <v>MXN</v>
      </c>
      <c r="N6179" s="33">
        <f>(_xlfn.XLOOKUP(Pipeline_tbl[[#This Row],[Rate_Code_Generalized]],Lookups!A:A,Lookups!B:B))*Pipeline_tbl[[#This Row],[Pipeline_Amount_USD]]</f>
        <v>106556.58</v>
      </c>
      <c r="O6179" t="str">
        <f>_xlfn.XLOOKUP(Pipeline_tbl[[#This Row],[Rep_ID]],Dim_Reps!A:A,Dim_Reps!B:B)</f>
        <v>Casey Muller</v>
      </c>
      <c r="P6179" t="str">
        <f>_xlfn.XLOOKUP(Pipeline_tbl[[#This Row],[Rep_ID]],Dim_Reps!A:A,Dim_Reps!C:C)</f>
        <v>SDR / Inside Sales Rep</v>
      </c>
      <c r="Q6179" t="str">
        <f>_xlfn.XLOOKUP(Pipeline_tbl[[#This Row],[Rep_ID]],Dim_Reps!A:A,Dim_Reps!D:D)</f>
        <v>Inside Sales</v>
      </c>
      <c r="R6179" t="str">
        <f>_xlfn.XLOOKUP(Pipeline_tbl[[#This Row],[Rep_ID]],Dim_Reps!A:A,Dim_Reps!E:E)</f>
        <v>LATAM</v>
      </c>
      <c r="S6179" t="str">
        <f>_xlfn.XLOOKUP(Pipeline_tbl[[#This Row],[Created_Date]],Dim_Date!A:A,Dim_Date!H:H)</f>
        <v>Aug 2024</v>
      </c>
      <c r="T6179" t="str">
        <f>IF(Pipeline_tbl[[#This Row],[Closed_Date]]=0,"",(_xlfn.XLOOKUP(Pipeline_tbl[[#This Row],[Closed_Date]],Dim_Date!A:A,Dim_Date!H:H)))</f>
        <v>Aug 2024</v>
      </c>
      <c r="U6179">
        <f>IF(Pipeline_tbl[[#This Row],[Closed_Date]]=0,"",Pipeline_tbl[[#This Row],[Closed_Date]]-Pipeline_tbl[[#This Row],[Created_Date]])</f>
        <v>18</v>
      </c>
    </row>
    <row r="6180" spans="1:21" ht="15" customHeight="1" x14ac:dyDescent="0.2">
      <c r="A6180" t="s">
        <v>6486</v>
      </c>
      <c r="B6180" t="s">
        <v>221</v>
      </c>
      <c r="C6180" t="s">
        <v>52</v>
      </c>
      <c r="D6180" s="49">
        <v>45507</v>
      </c>
      <c r="E6180" s="49">
        <v>45509</v>
      </c>
      <c r="F6180" s="49">
        <v>45512</v>
      </c>
      <c r="G6180" s="49">
        <v>45517</v>
      </c>
      <c r="H6180" s="49">
        <v>45521</v>
      </c>
      <c r="I6180" s="49">
        <v>45524</v>
      </c>
      <c r="J6180" t="s">
        <v>49</v>
      </c>
      <c r="K6180" s="33">
        <v>5800</v>
      </c>
      <c r="L6180" t="s">
        <v>61</v>
      </c>
      <c r="M6180" t="str">
        <f>_xlfn.XLOOKUP(Pipeline_tbl[[#This Row],[Rep_ID]],Dim_Reps!A:A,Dim_Reps!K:K)</f>
        <v>MXN</v>
      </c>
      <c r="N6180" s="33">
        <f>(_xlfn.XLOOKUP(Pipeline_tbl[[#This Row],[Rate_Code_Generalized]],Lookups!A:A,Lookups!B:B))*Pipeline_tbl[[#This Row],[Pipeline_Amount_USD]]</f>
        <v>114449.66</v>
      </c>
      <c r="O6180" t="str">
        <f>_xlfn.XLOOKUP(Pipeline_tbl[[#This Row],[Rep_ID]],Dim_Reps!A:A,Dim_Reps!B:B)</f>
        <v>Casey Muller</v>
      </c>
      <c r="P6180" t="str">
        <f>_xlfn.XLOOKUP(Pipeline_tbl[[#This Row],[Rep_ID]],Dim_Reps!A:A,Dim_Reps!C:C)</f>
        <v>SDR / Inside Sales Rep</v>
      </c>
      <c r="Q6180" t="str">
        <f>_xlfn.XLOOKUP(Pipeline_tbl[[#This Row],[Rep_ID]],Dim_Reps!A:A,Dim_Reps!D:D)</f>
        <v>Inside Sales</v>
      </c>
      <c r="R6180" t="str">
        <f>_xlfn.XLOOKUP(Pipeline_tbl[[#This Row],[Rep_ID]],Dim_Reps!A:A,Dim_Reps!E:E)</f>
        <v>LATAM</v>
      </c>
      <c r="S6180" t="str">
        <f>_xlfn.XLOOKUP(Pipeline_tbl[[#This Row],[Created_Date]],Dim_Date!A:A,Dim_Date!H:H)</f>
        <v>Aug 2024</v>
      </c>
      <c r="T6180" t="str">
        <f>IF(Pipeline_tbl[[#This Row],[Closed_Date]]=0,"",(_xlfn.XLOOKUP(Pipeline_tbl[[#This Row],[Closed_Date]],Dim_Date!A:A,Dim_Date!H:H)))</f>
        <v>Aug 2024</v>
      </c>
      <c r="U6180">
        <f>IF(Pipeline_tbl[[#This Row],[Closed_Date]]=0,"",Pipeline_tbl[[#This Row],[Closed_Date]]-Pipeline_tbl[[#This Row],[Created_Date]])</f>
        <v>17</v>
      </c>
    </row>
    <row r="6181" spans="1:21" ht="15" customHeight="1" x14ac:dyDescent="0.2">
      <c r="A6181" t="s">
        <v>6487</v>
      </c>
      <c r="B6181" t="s">
        <v>221</v>
      </c>
      <c r="C6181" t="s">
        <v>52</v>
      </c>
      <c r="D6181" s="49">
        <v>45506</v>
      </c>
      <c r="E6181" s="49">
        <v>45508</v>
      </c>
      <c r="F6181" s="49">
        <v>45512</v>
      </c>
      <c r="G6181" s="49">
        <v>45519</v>
      </c>
      <c r="H6181" s="49">
        <v>45524</v>
      </c>
      <c r="I6181" s="49">
        <v>45527</v>
      </c>
      <c r="J6181" t="s">
        <v>47</v>
      </c>
      <c r="K6181" s="33">
        <v>2600</v>
      </c>
      <c r="M6181" t="str">
        <f>_xlfn.XLOOKUP(Pipeline_tbl[[#This Row],[Rep_ID]],Dim_Reps!A:A,Dim_Reps!K:K)</f>
        <v>MXN</v>
      </c>
      <c r="N6181" s="33">
        <f>(_xlfn.XLOOKUP(Pipeline_tbl[[#This Row],[Rate_Code_Generalized]],Lookups!A:A,Lookups!B:B))*Pipeline_tbl[[#This Row],[Pipeline_Amount_USD]]</f>
        <v>51305.020000000004</v>
      </c>
      <c r="O6181" t="str">
        <f>_xlfn.XLOOKUP(Pipeline_tbl[[#This Row],[Rep_ID]],Dim_Reps!A:A,Dim_Reps!B:B)</f>
        <v>Casey Muller</v>
      </c>
      <c r="P6181" t="str">
        <f>_xlfn.XLOOKUP(Pipeline_tbl[[#This Row],[Rep_ID]],Dim_Reps!A:A,Dim_Reps!C:C)</f>
        <v>SDR / Inside Sales Rep</v>
      </c>
      <c r="Q6181" t="str">
        <f>_xlfn.XLOOKUP(Pipeline_tbl[[#This Row],[Rep_ID]],Dim_Reps!A:A,Dim_Reps!D:D)</f>
        <v>Inside Sales</v>
      </c>
      <c r="R6181" t="str">
        <f>_xlfn.XLOOKUP(Pipeline_tbl[[#This Row],[Rep_ID]],Dim_Reps!A:A,Dim_Reps!E:E)</f>
        <v>LATAM</v>
      </c>
      <c r="S6181" t="str">
        <f>_xlfn.XLOOKUP(Pipeline_tbl[[#This Row],[Created_Date]],Dim_Date!A:A,Dim_Date!H:H)</f>
        <v>Aug 2024</v>
      </c>
      <c r="T6181" t="str">
        <f>IF(Pipeline_tbl[[#This Row],[Closed_Date]]=0,"",(_xlfn.XLOOKUP(Pipeline_tbl[[#This Row],[Closed_Date]],Dim_Date!A:A,Dim_Date!H:H)))</f>
        <v>Aug 2024</v>
      </c>
      <c r="U6181">
        <f>IF(Pipeline_tbl[[#This Row],[Closed_Date]]=0,"",Pipeline_tbl[[#This Row],[Closed_Date]]-Pipeline_tbl[[#This Row],[Created_Date]])</f>
        <v>21</v>
      </c>
    </row>
    <row r="6182" spans="1:21" ht="15" customHeight="1" x14ac:dyDescent="0.2">
      <c r="A6182" t="s">
        <v>6488</v>
      </c>
      <c r="B6182" t="s">
        <v>221</v>
      </c>
      <c r="C6182" t="s">
        <v>53</v>
      </c>
      <c r="D6182" s="49">
        <v>45518</v>
      </c>
      <c r="E6182" s="49">
        <v>45518</v>
      </c>
      <c r="F6182" s="49">
        <v>45520</v>
      </c>
      <c r="I6182" s="49">
        <v>45523</v>
      </c>
      <c r="J6182" t="s">
        <v>49</v>
      </c>
      <c r="K6182" s="33">
        <v>5800</v>
      </c>
      <c r="L6182" t="s">
        <v>61</v>
      </c>
      <c r="M6182" t="str">
        <f>_xlfn.XLOOKUP(Pipeline_tbl[[#This Row],[Rep_ID]],Dim_Reps!A:A,Dim_Reps!K:K)</f>
        <v>MXN</v>
      </c>
      <c r="N6182" s="33">
        <f>(_xlfn.XLOOKUP(Pipeline_tbl[[#This Row],[Rate_Code_Generalized]],Lookups!A:A,Lookups!B:B))*Pipeline_tbl[[#This Row],[Pipeline_Amount_USD]]</f>
        <v>114449.66</v>
      </c>
      <c r="O6182" t="str">
        <f>_xlfn.XLOOKUP(Pipeline_tbl[[#This Row],[Rep_ID]],Dim_Reps!A:A,Dim_Reps!B:B)</f>
        <v>Casey Muller</v>
      </c>
      <c r="P6182" t="str">
        <f>_xlfn.XLOOKUP(Pipeline_tbl[[#This Row],[Rep_ID]],Dim_Reps!A:A,Dim_Reps!C:C)</f>
        <v>SDR / Inside Sales Rep</v>
      </c>
      <c r="Q6182" t="str">
        <f>_xlfn.XLOOKUP(Pipeline_tbl[[#This Row],[Rep_ID]],Dim_Reps!A:A,Dim_Reps!D:D)</f>
        <v>Inside Sales</v>
      </c>
      <c r="R6182" t="str">
        <f>_xlfn.XLOOKUP(Pipeline_tbl[[#This Row],[Rep_ID]],Dim_Reps!A:A,Dim_Reps!E:E)</f>
        <v>LATAM</v>
      </c>
      <c r="S6182" t="str">
        <f>_xlfn.XLOOKUP(Pipeline_tbl[[#This Row],[Created_Date]],Dim_Date!A:A,Dim_Date!H:H)</f>
        <v>Aug 2024</v>
      </c>
      <c r="T6182" t="str">
        <f>IF(Pipeline_tbl[[#This Row],[Closed_Date]]=0,"",(_xlfn.XLOOKUP(Pipeline_tbl[[#This Row],[Closed_Date]],Dim_Date!A:A,Dim_Date!H:H)))</f>
        <v>Aug 2024</v>
      </c>
      <c r="U6182">
        <f>IF(Pipeline_tbl[[#This Row],[Closed_Date]]=0,"",Pipeline_tbl[[#This Row],[Closed_Date]]-Pipeline_tbl[[#This Row],[Created_Date]])</f>
        <v>5</v>
      </c>
    </row>
    <row r="6183" spans="1:21" ht="15" customHeight="1" x14ac:dyDescent="0.2">
      <c r="A6183" t="s">
        <v>6489</v>
      </c>
      <c r="B6183" t="s">
        <v>225</v>
      </c>
      <c r="C6183" t="s">
        <v>52</v>
      </c>
      <c r="D6183" s="49">
        <v>45515</v>
      </c>
      <c r="E6183" s="49">
        <v>45517</v>
      </c>
      <c r="F6183" s="49">
        <v>45521</v>
      </c>
      <c r="G6183" s="49">
        <v>45526</v>
      </c>
      <c r="I6183" s="49">
        <v>45534</v>
      </c>
      <c r="J6183" t="s">
        <v>49</v>
      </c>
      <c r="K6183" s="33">
        <v>4800</v>
      </c>
      <c r="L6183" t="s">
        <v>63</v>
      </c>
      <c r="M6183" t="str">
        <f>_xlfn.XLOOKUP(Pipeline_tbl[[#This Row],[Rep_ID]],Dim_Reps!A:A,Dim_Reps!K:K)</f>
        <v>USD</v>
      </c>
      <c r="N6183" s="33">
        <f>(_xlfn.XLOOKUP(Pipeline_tbl[[#This Row],[Rate_Code_Generalized]],Lookups!A:A,Lookups!B:B))*Pipeline_tbl[[#This Row],[Pipeline_Amount_USD]]</f>
        <v>5588.6399999999994</v>
      </c>
      <c r="O6183" t="str">
        <f>_xlfn.XLOOKUP(Pipeline_tbl[[#This Row],[Rep_ID]],Dim_Reps!A:A,Dim_Reps!B:B)</f>
        <v>Alex Muller</v>
      </c>
      <c r="P6183" t="str">
        <f>_xlfn.XLOOKUP(Pipeline_tbl[[#This Row],[Rep_ID]],Dim_Reps!A:A,Dim_Reps!C:C)</f>
        <v>SDR / Inside Sales Rep</v>
      </c>
      <c r="Q6183" t="str">
        <f>_xlfn.XLOOKUP(Pipeline_tbl[[#This Row],[Rep_ID]],Dim_Reps!A:A,Dim_Reps!D:D)</f>
        <v>Inside Sales</v>
      </c>
      <c r="R6183" t="str">
        <f>_xlfn.XLOOKUP(Pipeline_tbl[[#This Row],[Rep_ID]],Dim_Reps!A:A,Dim_Reps!E:E)</f>
        <v>NAMER</v>
      </c>
      <c r="S6183" t="str">
        <f>_xlfn.XLOOKUP(Pipeline_tbl[[#This Row],[Created_Date]],Dim_Date!A:A,Dim_Date!H:H)</f>
        <v>Aug 2024</v>
      </c>
      <c r="T6183" t="str">
        <f>IF(Pipeline_tbl[[#This Row],[Closed_Date]]=0,"",(_xlfn.XLOOKUP(Pipeline_tbl[[#This Row],[Closed_Date]],Dim_Date!A:A,Dim_Date!H:H)))</f>
        <v>Aug 2024</v>
      </c>
      <c r="U6183">
        <f>IF(Pipeline_tbl[[#This Row],[Closed_Date]]=0,"",Pipeline_tbl[[#This Row],[Closed_Date]]-Pipeline_tbl[[#This Row],[Created_Date]])</f>
        <v>19</v>
      </c>
    </row>
    <row r="6184" spans="1:21" ht="15" customHeight="1" x14ac:dyDescent="0.2">
      <c r="A6184" t="s">
        <v>6490</v>
      </c>
      <c r="B6184" t="s">
        <v>225</v>
      </c>
      <c r="C6184" t="s">
        <v>52</v>
      </c>
      <c r="D6184" s="49">
        <v>45516</v>
      </c>
      <c r="E6184" s="49">
        <v>45517</v>
      </c>
      <c r="F6184" s="49">
        <v>45520</v>
      </c>
      <c r="G6184" s="49">
        <v>45524</v>
      </c>
      <c r="H6184" s="49">
        <v>45527</v>
      </c>
      <c r="I6184" s="49">
        <v>45529</v>
      </c>
      <c r="J6184" t="s">
        <v>47</v>
      </c>
      <c r="K6184" s="33">
        <v>3700</v>
      </c>
      <c r="M6184" t="str">
        <f>_xlfn.XLOOKUP(Pipeline_tbl[[#This Row],[Rep_ID]],Dim_Reps!A:A,Dim_Reps!K:K)</f>
        <v>USD</v>
      </c>
      <c r="N6184" s="33">
        <f>(_xlfn.XLOOKUP(Pipeline_tbl[[#This Row],[Rate_Code_Generalized]],Lookups!A:A,Lookups!B:B))*Pipeline_tbl[[#This Row],[Pipeline_Amount_USD]]</f>
        <v>4307.91</v>
      </c>
      <c r="O6184" t="str">
        <f>_xlfn.XLOOKUP(Pipeline_tbl[[#This Row],[Rep_ID]],Dim_Reps!A:A,Dim_Reps!B:B)</f>
        <v>Alex Muller</v>
      </c>
      <c r="P6184" t="str">
        <f>_xlfn.XLOOKUP(Pipeline_tbl[[#This Row],[Rep_ID]],Dim_Reps!A:A,Dim_Reps!C:C)</f>
        <v>SDR / Inside Sales Rep</v>
      </c>
      <c r="Q6184" t="str">
        <f>_xlfn.XLOOKUP(Pipeline_tbl[[#This Row],[Rep_ID]],Dim_Reps!A:A,Dim_Reps!D:D)</f>
        <v>Inside Sales</v>
      </c>
      <c r="R6184" t="str">
        <f>_xlfn.XLOOKUP(Pipeline_tbl[[#This Row],[Rep_ID]],Dim_Reps!A:A,Dim_Reps!E:E)</f>
        <v>NAMER</v>
      </c>
      <c r="S6184" t="str">
        <f>_xlfn.XLOOKUP(Pipeline_tbl[[#This Row],[Created_Date]],Dim_Date!A:A,Dim_Date!H:H)</f>
        <v>Aug 2024</v>
      </c>
      <c r="T6184" t="str">
        <f>IF(Pipeline_tbl[[#This Row],[Closed_Date]]=0,"",(_xlfn.XLOOKUP(Pipeline_tbl[[#This Row],[Closed_Date]],Dim_Date!A:A,Dim_Date!H:H)))</f>
        <v>Aug 2024</v>
      </c>
      <c r="U6184">
        <f>IF(Pipeline_tbl[[#This Row],[Closed_Date]]=0,"",Pipeline_tbl[[#This Row],[Closed_Date]]-Pipeline_tbl[[#This Row],[Created_Date]])</f>
        <v>13</v>
      </c>
    </row>
    <row r="6185" spans="1:21" ht="15" customHeight="1" x14ac:dyDescent="0.2">
      <c r="A6185" t="s">
        <v>6491</v>
      </c>
      <c r="B6185" t="s">
        <v>225</v>
      </c>
      <c r="C6185" t="s">
        <v>52</v>
      </c>
      <c r="D6185" s="49">
        <v>45508</v>
      </c>
      <c r="E6185" s="49">
        <v>45510</v>
      </c>
      <c r="F6185" s="49">
        <v>45513</v>
      </c>
      <c r="G6185" s="49">
        <v>45517</v>
      </c>
      <c r="H6185" s="49">
        <v>45521</v>
      </c>
      <c r="I6185" s="49">
        <v>45523</v>
      </c>
      <c r="J6185" t="s">
        <v>49</v>
      </c>
      <c r="K6185" s="33">
        <v>8800</v>
      </c>
      <c r="L6185" t="s">
        <v>63</v>
      </c>
      <c r="M6185" t="str">
        <f>_xlfn.XLOOKUP(Pipeline_tbl[[#This Row],[Rep_ID]],Dim_Reps!A:A,Dim_Reps!K:K)</f>
        <v>USD</v>
      </c>
      <c r="N6185" s="33">
        <f>(_xlfn.XLOOKUP(Pipeline_tbl[[#This Row],[Rate_Code_Generalized]],Lookups!A:A,Lookups!B:B))*Pipeline_tbl[[#This Row],[Pipeline_Amount_USD]]</f>
        <v>10245.839999999998</v>
      </c>
      <c r="O6185" t="str">
        <f>_xlfn.XLOOKUP(Pipeline_tbl[[#This Row],[Rep_ID]],Dim_Reps!A:A,Dim_Reps!B:B)</f>
        <v>Alex Muller</v>
      </c>
      <c r="P6185" t="str">
        <f>_xlfn.XLOOKUP(Pipeline_tbl[[#This Row],[Rep_ID]],Dim_Reps!A:A,Dim_Reps!C:C)</f>
        <v>SDR / Inside Sales Rep</v>
      </c>
      <c r="Q6185" t="str">
        <f>_xlfn.XLOOKUP(Pipeline_tbl[[#This Row],[Rep_ID]],Dim_Reps!A:A,Dim_Reps!D:D)</f>
        <v>Inside Sales</v>
      </c>
      <c r="R6185" t="str">
        <f>_xlfn.XLOOKUP(Pipeline_tbl[[#This Row],[Rep_ID]],Dim_Reps!A:A,Dim_Reps!E:E)</f>
        <v>NAMER</v>
      </c>
      <c r="S6185" t="str">
        <f>_xlfn.XLOOKUP(Pipeline_tbl[[#This Row],[Created_Date]],Dim_Date!A:A,Dim_Date!H:H)</f>
        <v>Aug 2024</v>
      </c>
      <c r="T6185" t="str">
        <f>IF(Pipeline_tbl[[#This Row],[Closed_Date]]=0,"",(_xlfn.XLOOKUP(Pipeline_tbl[[#This Row],[Closed_Date]],Dim_Date!A:A,Dim_Date!H:H)))</f>
        <v>Aug 2024</v>
      </c>
      <c r="U6185">
        <f>IF(Pipeline_tbl[[#This Row],[Closed_Date]]=0,"",Pipeline_tbl[[#This Row],[Closed_Date]]-Pipeline_tbl[[#This Row],[Created_Date]])</f>
        <v>15</v>
      </c>
    </row>
    <row r="6186" spans="1:21" ht="15" customHeight="1" x14ac:dyDescent="0.2">
      <c r="A6186" t="s">
        <v>6492</v>
      </c>
      <c r="B6186" t="s">
        <v>225</v>
      </c>
      <c r="C6186" t="s">
        <v>54</v>
      </c>
      <c r="D6186" s="49">
        <v>45507</v>
      </c>
      <c r="E6186" s="49">
        <v>45509</v>
      </c>
      <c r="F6186" s="49">
        <v>45513</v>
      </c>
      <c r="G6186" s="49">
        <v>45519</v>
      </c>
      <c r="I6186" s="49">
        <v>45527</v>
      </c>
      <c r="J6186" t="s">
        <v>49</v>
      </c>
      <c r="K6186" s="33">
        <v>5400</v>
      </c>
      <c r="L6186" t="s">
        <v>63</v>
      </c>
      <c r="M6186" t="str">
        <f>_xlfn.XLOOKUP(Pipeline_tbl[[#This Row],[Rep_ID]],Dim_Reps!A:A,Dim_Reps!K:K)</f>
        <v>USD</v>
      </c>
      <c r="N6186" s="33">
        <f>(_xlfn.XLOOKUP(Pipeline_tbl[[#This Row],[Rate_Code_Generalized]],Lookups!A:A,Lookups!B:B))*Pipeline_tbl[[#This Row],[Pipeline_Amount_USD]]</f>
        <v>6287.2199999999993</v>
      </c>
      <c r="O6186" t="str">
        <f>_xlfn.XLOOKUP(Pipeline_tbl[[#This Row],[Rep_ID]],Dim_Reps!A:A,Dim_Reps!B:B)</f>
        <v>Alex Muller</v>
      </c>
      <c r="P6186" t="str">
        <f>_xlfn.XLOOKUP(Pipeline_tbl[[#This Row],[Rep_ID]],Dim_Reps!A:A,Dim_Reps!C:C)</f>
        <v>SDR / Inside Sales Rep</v>
      </c>
      <c r="Q6186" t="str">
        <f>_xlfn.XLOOKUP(Pipeline_tbl[[#This Row],[Rep_ID]],Dim_Reps!A:A,Dim_Reps!D:D)</f>
        <v>Inside Sales</v>
      </c>
      <c r="R6186" t="str">
        <f>_xlfn.XLOOKUP(Pipeline_tbl[[#This Row],[Rep_ID]],Dim_Reps!A:A,Dim_Reps!E:E)</f>
        <v>NAMER</v>
      </c>
      <c r="S6186" t="str">
        <f>_xlfn.XLOOKUP(Pipeline_tbl[[#This Row],[Created_Date]],Dim_Date!A:A,Dim_Date!H:H)</f>
        <v>Aug 2024</v>
      </c>
      <c r="T6186" t="str">
        <f>IF(Pipeline_tbl[[#This Row],[Closed_Date]]=0,"",(_xlfn.XLOOKUP(Pipeline_tbl[[#This Row],[Closed_Date]],Dim_Date!A:A,Dim_Date!H:H)))</f>
        <v>Aug 2024</v>
      </c>
      <c r="U6186">
        <f>IF(Pipeline_tbl[[#This Row],[Closed_Date]]=0,"",Pipeline_tbl[[#This Row],[Closed_Date]]-Pipeline_tbl[[#This Row],[Created_Date]])</f>
        <v>20</v>
      </c>
    </row>
    <row r="6187" spans="1:21" ht="15" customHeight="1" x14ac:dyDescent="0.2">
      <c r="A6187" t="s">
        <v>6493</v>
      </c>
      <c r="B6187" t="s">
        <v>225</v>
      </c>
      <c r="C6187" t="s">
        <v>53</v>
      </c>
      <c r="D6187" s="49">
        <v>45505</v>
      </c>
      <c r="E6187" s="49">
        <v>45507</v>
      </c>
      <c r="I6187" s="49">
        <v>45524</v>
      </c>
      <c r="J6187" t="s">
        <v>49</v>
      </c>
      <c r="K6187" s="33">
        <v>4100</v>
      </c>
      <c r="L6187" t="s">
        <v>60</v>
      </c>
      <c r="M6187" t="str">
        <f>_xlfn.XLOOKUP(Pipeline_tbl[[#This Row],[Rep_ID]],Dim_Reps!A:A,Dim_Reps!K:K)</f>
        <v>USD</v>
      </c>
      <c r="N6187" s="33">
        <f>(_xlfn.XLOOKUP(Pipeline_tbl[[#This Row],[Rate_Code_Generalized]],Lookups!A:A,Lookups!B:B))*Pipeline_tbl[[#This Row],[Pipeline_Amount_USD]]</f>
        <v>4773.6299999999992</v>
      </c>
      <c r="O6187" t="str">
        <f>_xlfn.XLOOKUP(Pipeline_tbl[[#This Row],[Rep_ID]],Dim_Reps!A:A,Dim_Reps!B:B)</f>
        <v>Alex Muller</v>
      </c>
      <c r="P6187" t="str">
        <f>_xlfn.XLOOKUP(Pipeline_tbl[[#This Row],[Rep_ID]],Dim_Reps!A:A,Dim_Reps!C:C)</f>
        <v>SDR / Inside Sales Rep</v>
      </c>
      <c r="Q6187" t="str">
        <f>_xlfn.XLOOKUP(Pipeline_tbl[[#This Row],[Rep_ID]],Dim_Reps!A:A,Dim_Reps!D:D)</f>
        <v>Inside Sales</v>
      </c>
      <c r="R6187" t="str">
        <f>_xlfn.XLOOKUP(Pipeline_tbl[[#This Row],[Rep_ID]],Dim_Reps!A:A,Dim_Reps!E:E)</f>
        <v>NAMER</v>
      </c>
      <c r="S6187" t="str">
        <f>_xlfn.XLOOKUP(Pipeline_tbl[[#This Row],[Created_Date]],Dim_Date!A:A,Dim_Date!H:H)</f>
        <v>Aug 2024</v>
      </c>
      <c r="T6187" t="str">
        <f>IF(Pipeline_tbl[[#This Row],[Closed_Date]]=0,"",(_xlfn.XLOOKUP(Pipeline_tbl[[#This Row],[Closed_Date]],Dim_Date!A:A,Dim_Date!H:H)))</f>
        <v>Aug 2024</v>
      </c>
      <c r="U6187">
        <f>IF(Pipeline_tbl[[#This Row],[Closed_Date]]=0,"",Pipeline_tbl[[#This Row],[Closed_Date]]-Pipeline_tbl[[#This Row],[Created_Date]])</f>
        <v>19</v>
      </c>
    </row>
    <row r="6188" spans="1:21" ht="15" customHeight="1" x14ac:dyDescent="0.2">
      <c r="A6188" t="s">
        <v>6494</v>
      </c>
      <c r="B6188" t="s">
        <v>225</v>
      </c>
      <c r="C6188" t="s">
        <v>53</v>
      </c>
      <c r="D6188" s="49">
        <v>45514</v>
      </c>
      <c r="E6188" s="49">
        <v>45516</v>
      </c>
      <c r="F6188" s="49">
        <v>45520</v>
      </c>
      <c r="G6188" s="49">
        <v>45526</v>
      </c>
      <c r="H6188" s="49">
        <v>45531</v>
      </c>
      <c r="I6188" s="49">
        <v>45534</v>
      </c>
      <c r="J6188" t="s">
        <v>47</v>
      </c>
      <c r="K6188" s="33">
        <v>5000</v>
      </c>
      <c r="M6188" t="str">
        <f>_xlfn.XLOOKUP(Pipeline_tbl[[#This Row],[Rep_ID]],Dim_Reps!A:A,Dim_Reps!K:K)</f>
        <v>USD</v>
      </c>
      <c r="N6188" s="33">
        <f>(_xlfn.XLOOKUP(Pipeline_tbl[[#This Row],[Rate_Code_Generalized]],Lookups!A:A,Lookups!B:B))*Pipeline_tbl[[#This Row],[Pipeline_Amount_USD]]</f>
        <v>5821.4999999999991</v>
      </c>
      <c r="O6188" t="str">
        <f>_xlfn.XLOOKUP(Pipeline_tbl[[#This Row],[Rep_ID]],Dim_Reps!A:A,Dim_Reps!B:B)</f>
        <v>Alex Muller</v>
      </c>
      <c r="P6188" t="str">
        <f>_xlfn.XLOOKUP(Pipeline_tbl[[#This Row],[Rep_ID]],Dim_Reps!A:A,Dim_Reps!C:C)</f>
        <v>SDR / Inside Sales Rep</v>
      </c>
      <c r="Q6188" t="str">
        <f>_xlfn.XLOOKUP(Pipeline_tbl[[#This Row],[Rep_ID]],Dim_Reps!A:A,Dim_Reps!D:D)</f>
        <v>Inside Sales</v>
      </c>
      <c r="R6188" t="str">
        <f>_xlfn.XLOOKUP(Pipeline_tbl[[#This Row],[Rep_ID]],Dim_Reps!A:A,Dim_Reps!E:E)</f>
        <v>NAMER</v>
      </c>
      <c r="S6188" t="str">
        <f>_xlfn.XLOOKUP(Pipeline_tbl[[#This Row],[Created_Date]],Dim_Date!A:A,Dim_Date!H:H)</f>
        <v>Aug 2024</v>
      </c>
      <c r="T6188" t="str">
        <f>IF(Pipeline_tbl[[#This Row],[Closed_Date]]=0,"",(_xlfn.XLOOKUP(Pipeline_tbl[[#This Row],[Closed_Date]],Dim_Date!A:A,Dim_Date!H:H)))</f>
        <v>Aug 2024</v>
      </c>
      <c r="U6188">
        <f>IF(Pipeline_tbl[[#This Row],[Closed_Date]]=0,"",Pipeline_tbl[[#This Row],[Closed_Date]]-Pipeline_tbl[[#This Row],[Created_Date]])</f>
        <v>20</v>
      </c>
    </row>
    <row r="6189" spans="1:21" ht="15" customHeight="1" x14ac:dyDescent="0.2">
      <c r="A6189" t="s">
        <v>6495</v>
      </c>
      <c r="B6189" t="s">
        <v>227</v>
      </c>
      <c r="C6189" t="s">
        <v>52</v>
      </c>
      <c r="D6189" s="49">
        <v>45521</v>
      </c>
      <c r="E6189" s="49">
        <v>45522</v>
      </c>
      <c r="F6189" s="49">
        <v>45525</v>
      </c>
      <c r="G6189" s="49">
        <v>45528</v>
      </c>
      <c r="I6189" s="49">
        <v>45533</v>
      </c>
      <c r="J6189" t="s">
        <v>49</v>
      </c>
      <c r="K6189" s="33">
        <v>5300</v>
      </c>
      <c r="L6189" t="s">
        <v>60</v>
      </c>
      <c r="M6189" t="str">
        <f>_xlfn.XLOOKUP(Pipeline_tbl[[#This Row],[Rep_ID]],Dim_Reps!A:A,Dim_Reps!K:K)</f>
        <v>EUR</v>
      </c>
      <c r="N6189" s="33">
        <f>(_xlfn.XLOOKUP(Pipeline_tbl[[#This Row],[Rate_Code_Generalized]],Lookups!A:A,Lookups!B:B))*Pipeline_tbl[[#This Row],[Pipeline_Amount_USD]]</f>
        <v>5300</v>
      </c>
      <c r="O6189" t="str">
        <f>_xlfn.XLOOKUP(Pipeline_tbl[[#This Row],[Rep_ID]],Dim_Reps!A:A,Dim_Reps!B:B)</f>
        <v>Liam Muller</v>
      </c>
      <c r="P6189" t="str">
        <f>_xlfn.XLOOKUP(Pipeline_tbl[[#This Row],[Rep_ID]],Dim_Reps!A:A,Dim_Reps!C:C)</f>
        <v>SDR / Inside Sales Rep</v>
      </c>
      <c r="Q6189" t="str">
        <f>_xlfn.XLOOKUP(Pipeline_tbl[[#This Row],[Rep_ID]],Dim_Reps!A:A,Dim_Reps!D:D)</f>
        <v>Inside Sales</v>
      </c>
      <c r="R6189" t="str">
        <f>_xlfn.XLOOKUP(Pipeline_tbl[[#This Row],[Rep_ID]],Dim_Reps!A:A,Dim_Reps!E:E)</f>
        <v>EMEA</v>
      </c>
      <c r="S6189" t="str">
        <f>_xlfn.XLOOKUP(Pipeline_tbl[[#This Row],[Created_Date]],Dim_Date!A:A,Dim_Date!H:H)</f>
        <v>Aug 2024</v>
      </c>
      <c r="T6189" t="str">
        <f>IF(Pipeline_tbl[[#This Row],[Closed_Date]]=0,"",(_xlfn.XLOOKUP(Pipeline_tbl[[#This Row],[Closed_Date]],Dim_Date!A:A,Dim_Date!H:H)))</f>
        <v>Aug 2024</v>
      </c>
      <c r="U6189">
        <f>IF(Pipeline_tbl[[#This Row],[Closed_Date]]=0,"",Pipeline_tbl[[#This Row],[Closed_Date]]-Pipeline_tbl[[#This Row],[Created_Date]])</f>
        <v>12</v>
      </c>
    </row>
    <row r="6190" spans="1:21" ht="15" customHeight="1" x14ac:dyDescent="0.2">
      <c r="A6190" t="s">
        <v>6496</v>
      </c>
      <c r="B6190" t="s">
        <v>227</v>
      </c>
      <c r="C6190" t="s">
        <v>52</v>
      </c>
      <c r="D6190" s="49">
        <v>45520</v>
      </c>
      <c r="E6190" s="49">
        <v>45522</v>
      </c>
      <c r="F6190" s="49">
        <v>45525</v>
      </c>
      <c r="G6190" s="49">
        <v>45529</v>
      </c>
      <c r="I6190" s="49">
        <v>45535</v>
      </c>
      <c r="J6190" t="s">
        <v>49</v>
      </c>
      <c r="K6190" s="33">
        <v>3900</v>
      </c>
      <c r="L6190" t="s">
        <v>63</v>
      </c>
      <c r="M6190" t="str">
        <f>_xlfn.XLOOKUP(Pipeline_tbl[[#This Row],[Rep_ID]],Dim_Reps!A:A,Dim_Reps!K:K)</f>
        <v>EUR</v>
      </c>
      <c r="N6190" s="33">
        <f>(_xlfn.XLOOKUP(Pipeline_tbl[[#This Row],[Rate_Code_Generalized]],Lookups!A:A,Lookups!B:B))*Pipeline_tbl[[#This Row],[Pipeline_Amount_USD]]</f>
        <v>3900</v>
      </c>
      <c r="O6190" t="str">
        <f>_xlfn.XLOOKUP(Pipeline_tbl[[#This Row],[Rep_ID]],Dim_Reps!A:A,Dim_Reps!B:B)</f>
        <v>Liam Muller</v>
      </c>
      <c r="P6190" t="str">
        <f>_xlfn.XLOOKUP(Pipeline_tbl[[#This Row],[Rep_ID]],Dim_Reps!A:A,Dim_Reps!C:C)</f>
        <v>SDR / Inside Sales Rep</v>
      </c>
      <c r="Q6190" t="str">
        <f>_xlfn.XLOOKUP(Pipeline_tbl[[#This Row],[Rep_ID]],Dim_Reps!A:A,Dim_Reps!D:D)</f>
        <v>Inside Sales</v>
      </c>
      <c r="R6190" t="str">
        <f>_xlfn.XLOOKUP(Pipeline_tbl[[#This Row],[Rep_ID]],Dim_Reps!A:A,Dim_Reps!E:E)</f>
        <v>EMEA</v>
      </c>
      <c r="S6190" t="str">
        <f>_xlfn.XLOOKUP(Pipeline_tbl[[#This Row],[Created_Date]],Dim_Date!A:A,Dim_Date!H:H)</f>
        <v>Aug 2024</v>
      </c>
      <c r="T6190" t="str">
        <f>IF(Pipeline_tbl[[#This Row],[Closed_Date]]=0,"",(_xlfn.XLOOKUP(Pipeline_tbl[[#This Row],[Closed_Date]],Dim_Date!A:A,Dim_Date!H:H)))</f>
        <v>Aug 2024</v>
      </c>
      <c r="U6190">
        <f>IF(Pipeline_tbl[[#This Row],[Closed_Date]]=0,"",Pipeline_tbl[[#This Row],[Closed_Date]]-Pipeline_tbl[[#This Row],[Created_Date]])</f>
        <v>15</v>
      </c>
    </row>
    <row r="6191" spans="1:21" ht="15" customHeight="1" x14ac:dyDescent="0.2">
      <c r="A6191" t="s">
        <v>6497</v>
      </c>
      <c r="B6191" t="s">
        <v>227</v>
      </c>
      <c r="C6191" t="s">
        <v>55</v>
      </c>
      <c r="D6191" s="49">
        <v>45516</v>
      </c>
      <c r="E6191" s="49">
        <v>45517</v>
      </c>
      <c r="F6191" s="49">
        <v>45520</v>
      </c>
      <c r="G6191" s="49">
        <v>45524</v>
      </c>
      <c r="H6191" s="49">
        <v>45528</v>
      </c>
      <c r="I6191" s="49">
        <v>45530</v>
      </c>
      <c r="J6191" t="s">
        <v>47</v>
      </c>
      <c r="K6191" s="33">
        <v>2800</v>
      </c>
      <c r="M6191" t="str">
        <f>_xlfn.XLOOKUP(Pipeline_tbl[[#This Row],[Rep_ID]],Dim_Reps!A:A,Dim_Reps!K:K)</f>
        <v>EUR</v>
      </c>
      <c r="N6191" s="33">
        <f>(_xlfn.XLOOKUP(Pipeline_tbl[[#This Row],[Rate_Code_Generalized]],Lookups!A:A,Lookups!B:B))*Pipeline_tbl[[#This Row],[Pipeline_Amount_USD]]</f>
        <v>2800</v>
      </c>
      <c r="O6191" t="str">
        <f>_xlfn.XLOOKUP(Pipeline_tbl[[#This Row],[Rep_ID]],Dim_Reps!A:A,Dim_Reps!B:B)</f>
        <v>Liam Muller</v>
      </c>
      <c r="P6191" t="str">
        <f>_xlfn.XLOOKUP(Pipeline_tbl[[#This Row],[Rep_ID]],Dim_Reps!A:A,Dim_Reps!C:C)</f>
        <v>SDR / Inside Sales Rep</v>
      </c>
      <c r="Q6191" t="str">
        <f>_xlfn.XLOOKUP(Pipeline_tbl[[#This Row],[Rep_ID]],Dim_Reps!A:A,Dim_Reps!D:D)</f>
        <v>Inside Sales</v>
      </c>
      <c r="R6191" t="str">
        <f>_xlfn.XLOOKUP(Pipeline_tbl[[#This Row],[Rep_ID]],Dim_Reps!A:A,Dim_Reps!E:E)</f>
        <v>EMEA</v>
      </c>
      <c r="S6191" t="str">
        <f>_xlfn.XLOOKUP(Pipeline_tbl[[#This Row],[Created_Date]],Dim_Date!A:A,Dim_Date!H:H)</f>
        <v>Aug 2024</v>
      </c>
      <c r="T6191" t="str">
        <f>IF(Pipeline_tbl[[#This Row],[Closed_Date]]=0,"",(_xlfn.XLOOKUP(Pipeline_tbl[[#This Row],[Closed_Date]],Dim_Date!A:A,Dim_Date!H:H)))</f>
        <v>Aug 2024</v>
      </c>
      <c r="U6191">
        <f>IF(Pipeline_tbl[[#This Row],[Closed_Date]]=0,"",Pipeline_tbl[[#This Row],[Closed_Date]]-Pipeline_tbl[[#This Row],[Created_Date]])</f>
        <v>14</v>
      </c>
    </row>
    <row r="6192" spans="1:21" ht="15" customHeight="1" x14ac:dyDescent="0.2">
      <c r="A6192" t="s">
        <v>6498</v>
      </c>
      <c r="B6192" t="s">
        <v>227</v>
      </c>
      <c r="C6192" t="s">
        <v>54</v>
      </c>
      <c r="D6192" s="49">
        <v>45520</v>
      </c>
      <c r="E6192" s="49">
        <v>45522</v>
      </c>
      <c r="I6192" s="49">
        <v>45535</v>
      </c>
      <c r="J6192" t="s">
        <v>49</v>
      </c>
      <c r="K6192" s="33">
        <v>2700</v>
      </c>
      <c r="L6192" t="s">
        <v>60</v>
      </c>
      <c r="M6192" t="str">
        <f>_xlfn.XLOOKUP(Pipeline_tbl[[#This Row],[Rep_ID]],Dim_Reps!A:A,Dim_Reps!K:K)</f>
        <v>EUR</v>
      </c>
      <c r="N6192" s="33">
        <f>(_xlfn.XLOOKUP(Pipeline_tbl[[#This Row],[Rate_Code_Generalized]],Lookups!A:A,Lookups!B:B))*Pipeline_tbl[[#This Row],[Pipeline_Amount_USD]]</f>
        <v>2700</v>
      </c>
      <c r="O6192" t="str">
        <f>_xlfn.XLOOKUP(Pipeline_tbl[[#This Row],[Rep_ID]],Dim_Reps!A:A,Dim_Reps!B:B)</f>
        <v>Liam Muller</v>
      </c>
      <c r="P6192" t="str">
        <f>_xlfn.XLOOKUP(Pipeline_tbl[[#This Row],[Rep_ID]],Dim_Reps!A:A,Dim_Reps!C:C)</f>
        <v>SDR / Inside Sales Rep</v>
      </c>
      <c r="Q6192" t="str">
        <f>_xlfn.XLOOKUP(Pipeline_tbl[[#This Row],[Rep_ID]],Dim_Reps!A:A,Dim_Reps!D:D)</f>
        <v>Inside Sales</v>
      </c>
      <c r="R6192" t="str">
        <f>_xlfn.XLOOKUP(Pipeline_tbl[[#This Row],[Rep_ID]],Dim_Reps!A:A,Dim_Reps!E:E)</f>
        <v>EMEA</v>
      </c>
      <c r="S6192" t="str">
        <f>_xlfn.XLOOKUP(Pipeline_tbl[[#This Row],[Created_Date]],Dim_Date!A:A,Dim_Date!H:H)</f>
        <v>Aug 2024</v>
      </c>
      <c r="T6192" t="str">
        <f>IF(Pipeline_tbl[[#This Row],[Closed_Date]]=0,"",(_xlfn.XLOOKUP(Pipeline_tbl[[#This Row],[Closed_Date]],Dim_Date!A:A,Dim_Date!H:H)))</f>
        <v>Aug 2024</v>
      </c>
      <c r="U6192">
        <f>IF(Pipeline_tbl[[#This Row],[Closed_Date]]=0,"",Pipeline_tbl[[#This Row],[Closed_Date]]-Pipeline_tbl[[#This Row],[Created_Date]])</f>
        <v>15</v>
      </c>
    </row>
    <row r="6193" spans="1:21" ht="15" customHeight="1" x14ac:dyDescent="0.2">
      <c r="A6193" t="s">
        <v>6499</v>
      </c>
      <c r="B6193" t="s">
        <v>227</v>
      </c>
      <c r="C6193" t="s">
        <v>52</v>
      </c>
      <c r="D6193" s="49">
        <v>45508</v>
      </c>
      <c r="E6193" s="49">
        <v>45510</v>
      </c>
      <c r="F6193" s="49">
        <v>45514</v>
      </c>
      <c r="G6193" s="49">
        <v>45519</v>
      </c>
      <c r="H6193" s="49">
        <v>45524</v>
      </c>
      <c r="I6193" s="49">
        <v>45527</v>
      </c>
      <c r="J6193" t="s">
        <v>47</v>
      </c>
      <c r="K6193" s="33">
        <v>1900</v>
      </c>
      <c r="M6193" t="str">
        <f>_xlfn.XLOOKUP(Pipeline_tbl[[#This Row],[Rep_ID]],Dim_Reps!A:A,Dim_Reps!K:K)</f>
        <v>EUR</v>
      </c>
      <c r="N6193" s="33">
        <f>(_xlfn.XLOOKUP(Pipeline_tbl[[#This Row],[Rate_Code_Generalized]],Lookups!A:A,Lookups!B:B))*Pipeline_tbl[[#This Row],[Pipeline_Amount_USD]]</f>
        <v>1900</v>
      </c>
      <c r="O6193" t="str">
        <f>_xlfn.XLOOKUP(Pipeline_tbl[[#This Row],[Rep_ID]],Dim_Reps!A:A,Dim_Reps!B:B)</f>
        <v>Liam Muller</v>
      </c>
      <c r="P6193" t="str">
        <f>_xlfn.XLOOKUP(Pipeline_tbl[[#This Row],[Rep_ID]],Dim_Reps!A:A,Dim_Reps!C:C)</f>
        <v>SDR / Inside Sales Rep</v>
      </c>
      <c r="Q6193" t="str">
        <f>_xlfn.XLOOKUP(Pipeline_tbl[[#This Row],[Rep_ID]],Dim_Reps!A:A,Dim_Reps!D:D)</f>
        <v>Inside Sales</v>
      </c>
      <c r="R6193" t="str">
        <f>_xlfn.XLOOKUP(Pipeline_tbl[[#This Row],[Rep_ID]],Dim_Reps!A:A,Dim_Reps!E:E)</f>
        <v>EMEA</v>
      </c>
      <c r="S6193" t="str">
        <f>_xlfn.XLOOKUP(Pipeline_tbl[[#This Row],[Created_Date]],Dim_Date!A:A,Dim_Date!H:H)</f>
        <v>Aug 2024</v>
      </c>
      <c r="T6193" t="str">
        <f>IF(Pipeline_tbl[[#This Row],[Closed_Date]]=0,"",(_xlfn.XLOOKUP(Pipeline_tbl[[#This Row],[Closed_Date]],Dim_Date!A:A,Dim_Date!H:H)))</f>
        <v>Aug 2024</v>
      </c>
      <c r="U6193">
        <f>IF(Pipeline_tbl[[#This Row],[Closed_Date]]=0,"",Pipeline_tbl[[#This Row],[Closed_Date]]-Pipeline_tbl[[#This Row],[Created_Date]])</f>
        <v>19</v>
      </c>
    </row>
    <row r="6194" spans="1:21" ht="15" customHeight="1" x14ac:dyDescent="0.2">
      <c r="A6194" t="s">
        <v>6500</v>
      </c>
      <c r="B6194" t="s">
        <v>229</v>
      </c>
      <c r="C6194" t="s">
        <v>52</v>
      </c>
      <c r="D6194" s="49">
        <v>45514</v>
      </c>
      <c r="E6194" s="49">
        <v>45516</v>
      </c>
      <c r="F6194" s="49">
        <v>45519</v>
      </c>
      <c r="I6194" s="49">
        <v>45531</v>
      </c>
      <c r="J6194" t="s">
        <v>49</v>
      </c>
      <c r="K6194" s="33">
        <v>3100</v>
      </c>
      <c r="L6194" t="s">
        <v>64</v>
      </c>
      <c r="M6194" t="str">
        <f>_xlfn.XLOOKUP(Pipeline_tbl[[#This Row],[Rep_ID]],Dim_Reps!A:A,Dim_Reps!K:K)</f>
        <v>USD</v>
      </c>
      <c r="N6194" s="33">
        <f>(_xlfn.XLOOKUP(Pipeline_tbl[[#This Row],[Rate_Code_Generalized]],Lookups!A:A,Lookups!B:B))*Pipeline_tbl[[#This Row],[Pipeline_Amount_USD]]</f>
        <v>3609.3299999999995</v>
      </c>
      <c r="O6194" t="str">
        <f>_xlfn.XLOOKUP(Pipeline_tbl[[#This Row],[Rep_ID]],Dim_Reps!A:A,Dim_Reps!B:B)</f>
        <v>Liam Castro</v>
      </c>
      <c r="P6194" t="str">
        <f>_xlfn.XLOOKUP(Pipeline_tbl[[#This Row],[Rep_ID]],Dim_Reps!A:A,Dim_Reps!C:C)</f>
        <v>SDR / Inside Sales Rep</v>
      </c>
      <c r="Q6194" t="str">
        <f>_xlfn.XLOOKUP(Pipeline_tbl[[#This Row],[Rep_ID]],Dim_Reps!A:A,Dim_Reps!D:D)</f>
        <v>Inside Sales</v>
      </c>
      <c r="R6194" t="str">
        <f>_xlfn.XLOOKUP(Pipeline_tbl[[#This Row],[Rep_ID]],Dim_Reps!A:A,Dim_Reps!E:E)</f>
        <v>NAMER</v>
      </c>
      <c r="S6194" t="str">
        <f>_xlfn.XLOOKUP(Pipeline_tbl[[#This Row],[Created_Date]],Dim_Date!A:A,Dim_Date!H:H)</f>
        <v>Aug 2024</v>
      </c>
      <c r="T6194" t="str">
        <f>IF(Pipeline_tbl[[#This Row],[Closed_Date]]=0,"",(_xlfn.XLOOKUP(Pipeline_tbl[[#This Row],[Closed_Date]],Dim_Date!A:A,Dim_Date!H:H)))</f>
        <v>Aug 2024</v>
      </c>
      <c r="U6194">
        <f>IF(Pipeline_tbl[[#This Row],[Closed_Date]]=0,"",Pipeline_tbl[[#This Row],[Closed_Date]]-Pipeline_tbl[[#This Row],[Created_Date]])</f>
        <v>17</v>
      </c>
    </row>
    <row r="6195" spans="1:21" ht="15" customHeight="1" x14ac:dyDescent="0.2">
      <c r="A6195" t="s">
        <v>6501</v>
      </c>
      <c r="B6195" t="s">
        <v>231</v>
      </c>
      <c r="C6195" t="s">
        <v>52</v>
      </c>
      <c r="D6195" s="49">
        <v>45514</v>
      </c>
      <c r="E6195" s="49">
        <v>45516</v>
      </c>
      <c r="F6195" s="49">
        <v>45519</v>
      </c>
      <c r="G6195" s="49">
        <v>45524</v>
      </c>
      <c r="H6195" s="49">
        <v>45528</v>
      </c>
      <c r="I6195" s="49">
        <v>45531</v>
      </c>
      <c r="J6195" t="s">
        <v>47</v>
      </c>
      <c r="K6195" s="33">
        <v>4400</v>
      </c>
      <c r="M6195" t="str">
        <f>_xlfn.XLOOKUP(Pipeline_tbl[[#This Row],[Rep_ID]],Dim_Reps!A:A,Dim_Reps!K:K)</f>
        <v>MXN</v>
      </c>
      <c r="N6195" s="33">
        <f>(_xlfn.XLOOKUP(Pipeline_tbl[[#This Row],[Rate_Code_Generalized]],Lookups!A:A,Lookups!B:B))*Pipeline_tbl[[#This Row],[Pipeline_Amount_USD]]</f>
        <v>86823.88</v>
      </c>
      <c r="O6195" t="str">
        <f>_xlfn.XLOOKUP(Pipeline_tbl[[#This Row],[Rep_ID]],Dim_Reps!A:A,Dim_Reps!B:B)</f>
        <v>Ben Silva</v>
      </c>
      <c r="P6195" t="str">
        <f>_xlfn.XLOOKUP(Pipeline_tbl[[#This Row],[Rep_ID]],Dim_Reps!A:A,Dim_Reps!C:C)</f>
        <v>SDR / Inside Sales Rep</v>
      </c>
      <c r="Q6195" t="str">
        <f>_xlfn.XLOOKUP(Pipeline_tbl[[#This Row],[Rep_ID]],Dim_Reps!A:A,Dim_Reps!D:D)</f>
        <v>Inside Sales</v>
      </c>
      <c r="R6195" t="str">
        <f>_xlfn.XLOOKUP(Pipeline_tbl[[#This Row],[Rep_ID]],Dim_Reps!A:A,Dim_Reps!E:E)</f>
        <v>LATAM</v>
      </c>
      <c r="S6195" t="str">
        <f>_xlfn.XLOOKUP(Pipeline_tbl[[#This Row],[Created_Date]],Dim_Date!A:A,Dim_Date!H:H)</f>
        <v>Aug 2024</v>
      </c>
      <c r="T6195" t="str">
        <f>IF(Pipeline_tbl[[#This Row],[Closed_Date]]=0,"",(_xlfn.XLOOKUP(Pipeline_tbl[[#This Row],[Closed_Date]],Dim_Date!A:A,Dim_Date!H:H)))</f>
        <v>Aug 2024</v>
      </c>
      <c r="U6195">
        <f>IF(Pipeline_tbl[[#This Row],[Closed_Date]]=0,"",Pipeline_tbl[[#This Row],[Closed_Date]]-Pipeline_tbl[[#This Row],[Created_Date]])</f>
        <v>17</v>
      </c>
    </row>
    <row r="6196" spans="1:21" ht="15" customHeight="1" x14ac:dyDescent="0.2">
      <c r="A6196" t="s">
        <v>6502</v>
      </c>
      <c r="B6196" t="s">
        <v>231</v>
      </c>
      <c r="C6196" t="s">
        <v>54</v>
      </c>
      <c r="D6196" s="49">
        <v>45515</v>
      </c>
      <c r="E6196" s="49">
        <v>45516</v>
      </c>
      <c r="I6196" s="49">
        <v>45529</v>
      </c>
      <c r="J6196" t="s">
        <v>49</v>
      </c>
      <c r="K6196" s="33">
        <v>2700</v>
      </c>
      <c r="L6196" t="s">
        <v>61</v>
      </c>
      <c r="M6196" t="str">
        <f>_xlfn.XLOOKUP(Pipeline_tbl[[#This Row],[Rep_ID]],Dim_Reps!A:A,Dim_Reps!K:K)</f>
        <v>MXN</v>
      </c>
      <c r="N6196" s="33">
        <f>(_xlfn.XLOOKUP(Pipeline_tbl[[#This Row],[Rate_Code_Generalized]],Lookups!A:A,Lookups!B:B))*Pipeline_tbl[[#This Row],[Pipeline_Amount_USD]]</f>
        <v>53278.29</v>
      </c>
      <c r="O6196" t="str">
        <f>_xlfn.XLOOKUP(Pipeline_tbl[[#This Row],[Rep_ID]],Dim_Reps!A:A,Dim_Reps!B:B)</f>
        <v>Ben Silva</v>
      </c>
      <c r="P6196" t="str">
        <f>_xlfn.XLOOKUP(Pipeline_tbl[[#This Row],[Rep_ID]],Dim_Reps!A:A,Dim_Reps!C:C)</f>
        <v>SDR / Inside Sales Rep</v>
      </c>
      <c r="Q6196" t="str">
        <f>_xlfn.XLOOKUP(Pipeline_tbl[[#This Row],[Rep_ID]],Dim_Reps!A:A,Dim_Reps!D:D)</f>
        <v>Inside Sales</v>
      </c>
      <c r="R6196" t="str">
        <f>_xlfn.XLOOKUP(Pipeline_tbl[[#This Row],[Rep_ID]],Dim_Reps!A:A,Dim_Reps!E:E)</f>
        <v>LATAM</v>
      </c>
      <c r="S6196" t="str">
        <f>_xlfn.XLOOKUP(Pipeline_tbl[[#This Row],[Created_Date]],Dim_Date!A:A,Dim_Date!H:H)</f>
        <v>Aug 2024</v>
      </c>
      <c r="T6196" t="str">
        <f>IF(Pipeline_tbl[[#This Row],[Closed_Date]]=0,"",(_xlfn.XLOOKUP(Pipeline_tbl[[#This Row],[Closed_Date]],Dim_Date!A:A,Dim_Date!H:H)))</f>
        <v>Aug 2024</v>
      </c>
      <c r="U6196">
        <f>IF(Pipeline_tbl[[#This Row],[Closed_Date]]=0,"",Pipeline_tbl[[#This Row],[Closed_Date]]-Pipeline_tbl[[#This Row],[Created_Date]])</f>
        <v>14</v>
      </c>
    </row>
    <row r="6197" spans="1:21" ht="15" customHeight="1" x14ac:dyDescent="0.2">
      <c r="A6197" t="s">
        <v>6503</v>
      </c>
      <c r="B6197" t="s">
        <v>231</v>
      </c>
      <c r="C6197" t="s">
        <v>53</v>
      </c>
      <c r="D6197" s="49">
        <v>45507</v>
      </c>
      <c r="E6197" s="49">
        <v>45508</v>
      </c>
      <c r="F6197" s="49">
        <v>45511</v>
      </c>
      <c r="G6197" s="49">
        <v>45514</v>
      </c>
      <c r="H6197" s="49">
        <v>45517</v>
      </c>
      <c r="I6197" s="49">
        <v>45519</v>
      </c>
      <c r="J6197" t="s">
        <v>47</v>
      </c>
      <c r="K6197" s="33">
        <v>4900</v>
      </c>
      <c r="M6197" t="str">
        <f>_xlfn.XLOOKUP(Pipeline_tbl[[#This Row],[Rep_ID]],Dim_Reps!A:A,Dim_Reps!K:K)</f>
        <v>MXN</v>
      </c>
      <c r="N6197" s="33">
        <f>(_xlfn.XLOOKUP(Pipeline_tbl[[#This Row],[Rate_Code_Generalized]],Lookups!A:A,Lookups!B:B))*Pipeline_tbl[[#This Row],[Pipeline_Amount_USD]]</f>
        <v>96690.23000000001</v>
      </c>
      <c r="O6197" t="str">
        <f>_xlfn.XLOOKUP(Pipeline_tbl[[#This Row],[Rep_ID]],Dim_Reps!A:A,Dim_Reps!B:B)</f>
        <v>Ben Silva</v>
      </c>
      <c r="P6197" t="str">
        <f>_xlfn.XLOOKUP(Pipeline_tbl[[#This Row],[Rep_ID]],Dim_Reps!A:A,Dim_Reps!C:C)</f>
        <v>SDR / Inside Sales Rep</v>
      </c>
      <c r="Q6197" t="str">
        <f>_xlfn.XLOOKUP(Pipeline_tbl[[#This Row],[Rep_ID]],Dim_Reps!A:A,Dim_Reps!D:D)</f>
        <v>Inside Sales</v>
      </c>
      <c r="R6197" t="str">
        <f>_xlfn.XLOOKUP(Pipeline_tbl[[#This Row],[Rep_ID]],Dim_Reps!A:A,Dim_Reps!E:E)</f>
        <v>LATAM</v>
      </c>
      <c r="S6197" t="str">
        <f>_xlfn.XLOOKUP(Pipeline_tbl[[#This Row],[Created_Date]],Dim_Date!A:A,Dim_Date!H:H)</f>
        <v>Aug 2024</v>
      </c>
      <c r="T6197" t="str">
        <f>IF(Pipeline_tbl[[#This Row],[Closed_Date]]=0,"",(_xlfn.XLOOKUP(Pipeline_tbl[[#This Row],[Closed_Date]],Dim_Date!A:A,Dim_Date!H:H)))</f>
        <v>Aug 2024</v>
      </c>
      <c r="U6197">
        <f>IF(Pipeline_tbl[[#This Row],[Closed_Date]]=0,"",Pipeline_tbl[[#This Row],[Closed_Date]]-Pipeline_tbl[[#This Row],[Created_Date]])</f>
        <v>12</v>
      </c>
    </row>
    <row r="6198" spans="1:21" ht="15" customHeight="1" x14ac:dyDescent="0.2">
      <c r="A6198" t="s">
        <v>6504</v>
      </c>
      <c r="B6198" t="s">
        <v>231</v>
      </c>
      <c r="C6198" t="s">
        <v>55</v>
      </c>
      <c r="D6198" s="49">
        <v>45522</v>
      </c>
      <c r="E6198" s="49">
        <v>45523</v>
      </c>
      <c r="F6198" s="49">
        <v>45525</v>
      </c>
      <c r="G6198" s="49">
        <v>45527</v>
      </c>
      <c r="H6198" s="49">
        <v>45530</v>
      </c>
      <c r="I6198" s="49">
        <v>45531</v>
      </c>
      <c r="J6198" t="s">
        <v>47</v>
      </c>
      <c r="K6198" s="33">
        <v>2600</v>
      </c>
      <c r="M6198" t="str">
        <f>_xlfn.XLOOKUP(Pipeline_tbl[[#This Row],[Rep_ID]],Dim_Reps!A:A,Dim_Reps!K:K)</f>
        <v>MXN</v>
      </c>
      <c r="N6198" s="33">
        <f>(_xlfn.XLOOKUP(Pipeline_tbl[[#This Row],[Rate_Code_Generalized]],Lookups!A:A,Lookups!B:B))*Pipeline_tbl[[#This Row],[Pipeline_Amount_USD]]</f>
        <v>51305.020000000004</v>
      </c>
      <c r="O6198" t="str">
        <f>_xlfn.XLOOKUP(Pipeline_tbl[[#This Row],[Rep_ID]],Dim_Reps!A:A,Dim_Reps!B:B)</f>
        <v>Ben Silva</v>
      </c>
      <c r="P6198" t="str">
        <f>_xlfn.XLOOKUP(Pipeline_tbl[[#This Row],[Rep_ID]],Dim_Reps!A:A,Dim_Reps!C:C)</f>
        <v>SDR / Inside Sales Rep</v>
      </c>
      <c r="Q6198" t="str">
        <f>_xlfn.XLOOKUP(Pipeline_tbl[[#This Row],[Rep_ID]],Dim_Reps!A:A,Dim_Reps!D:D)</f>
        <v>Inside Sales</v>
      </c>
      <c r="R6198" t="str">
        <f>_xlfn.XLOOKUP(Pipeline_tbl[[#This Row],[Rep_ID]],Dim_Reps!A:A,Dim_Reps!E:E)</f>
        <v>LATAM</v>
      </c>
      <c r="S6198" t="str">
        <f>_xlfn.XLOOKUP(Pipeline_tbl[[#This Row],[Created_Date]],Dim_Date!A:A,Dim_Date!H:H)</f>
        <v>Aug 2024</v>
      </c>
      <c r="T6198" t="str">
        <f>IF(Pipeline_tbl[[#This Row],[Closed_Date]]=0,"",(_xlfn.XLOOKUP(Pipeline_tbl[[#This Row],[Closed_Date]],Dim_Date!A:A,Dim_Date!H:H)))</f>
        <v>Aug 2024</v>
      </c>
      <c r="U6198">
        <f>IF(Pipeline_tbl[[#This Row],[Closed_Date]]=0,"",Pipeline_tbl[[#This Row],[Closed_Date]]-Pipeline_tbl[[#This Row],[Created_Date]])</f>
        <v>9</v>
      </c>
    </row>
    <row r="6199" spans="1:21" ht="15" customHeight="1" x14ac:dyDescent="0.2">
      <c r="A6199" t="s">
        <v>6505</v>
      </c>
      <c r="B6199" t="s">
        <v>231</v>
      </c>
      <c r="C6199" t="s">
        <v>53</v>
      </c>
      <c r="D6199" s="49">
        <v>45519</v>
      </c>
      <c r="E6199" s="49">
        <v>45520</v>
      </c>
      <c r="F6199" s="49">
        <v>45523</v>
      </c>
      <c r="G6199" s="49">
        <v>45526</v>
      </c>
      <c r="H6199" s="49">
        <v>45529</v>
      </c>
      <c r="I6199" s="49">
        <v>45531</v>
      </c>
      <c r="J6199" t="s">
        <v>47</v>
      </c>
      <c r="K6199" s="33">
        <v>3400</v>
      </c>
      <c r="M6199" t="str">
        <f>_xlfn.XLOOKUP(Pipeline_tbl[[#This Row],[Rep_ID]],Dim_Reps!A:A,Dim_Reps!K:K)</f>
        <v>MXN</v>
      </c>
      <c r="N6199" s="33">
        <f>(_xlfn.XLOOKUP(Pipeline_tbl[[#This Row],[Rate_Code_Generalized]],Lookups!A:A,Lookups!B:B))*Pipeline_tbl[[#This Row],[Pipeline_Amount_USD]]</f>
        <v>67091.180000000008</v>
      </c>
      <c r="O6199" t="str">
        <f>_xlfn.XLOOKUP(Pipeline_tbl[[#This Row],[Rep_ID]],Dim_Reps!A:A,Dim_Reps!B:B)</f>
        <v>Ben Silva</v>
      </c>
      <c r="P6199" t="str">
        <f>_xlfn.XLOOKUP(Pipeline_tbl[[#This Row],[Rep_ID]],Dim_Reps!A:A,Dim_Reps!C:C)</f>
        <v>SDR / Inside Sales Rep</v>
      </c>
      <c r="Q6199" t="str">
        <f>_xlfn.XLOOKUP(Pipeline_tbl[[#This Row],[Rep_ID]],Dim_Reps!A:A,Dim_Reps!D:D)</f>
        <v>Inside Sales</v>
      </c>
      <c r="R6199" t="str">
        <f>_xlfn.XLOOKUP(Pipeline_tbl[[#This Row],[Rep_ID]],Dim_Reps!A:A,Dim_Reps!E:E)</f>
        <v>LATAM</v>
      </c>
      <c r="S6199" t="str">
        <f>_xlfn.XLOOKUP(Pipeline_tbl[[#This Row],[Created_Date]],Dim_Date!A:A,Dim_Date!H:H)</f>
        <v>Aug 2024</v>
      </c>
      <c r="T6199" t="str">
        <f>IF(Pipeline_tbl[[#This Row],[Closed_Date]]=0,"",(_xlfn.XLOOKUP(Pipeline_tbl[[#This Row],[Closed_Date]],Dim_Date!A:A,Dim_Date!H:H)))</f>
        <v>Aug 2024</v>
      </c>
      <c r="U6199">
        <f>IF(Pipeline_tbl[[#This Row],[Closed_Date]]=0,"",Pipeline_tbl[[#This Row],[Closed_Date]]-Pipeline_tbl[[#This Row],[Created_Date]])</f>
        <v>12</v>
      </c>
    </row>
    <row r="6200" spans="1:21" ht="15" customHeight="1" x14ac:dyDescent="0.2">
      <c r="A6200" t="s">
        <v>6506</v>
      </c>
      <c r="B6200" t="s">
        <v>231</v>
      </c>
      <c r="C6200" t="s">
        <v>55</v>
      </c>
      <c r="D6200" s="49">
        <v>45505</v>
      </c>
      <c r="E6200" s="49">
        <v>45507</v>
      </c>
      <c r="I6200" s="49">
        <v>45522</v>
      </c>
      <c r="J6200" t="s">
        <v>49</v>
      </c>
      <c r="K6200" s="33">
        <v>3300</v>
      </c>
      <c r="L6200" t="s">
        <v>64</v>
      </c>
      <c r="M6200" t="str">
        <f>_xlfn.XLOOKUP(Pipeline_tbl[[#This Row],[Rep_ID]],Dim_Reps!A:A,Dim_Reps!K:K)</f>
        <v>MXN</v>
      </c>
      <c r="N6200" s="33">
        <f>(_xlfn.XLOOKUP(Pipeline_tbl[[#This Row],[Rate_Code_Generalized]],Lookups!A:A,Lookups!B:B))*Pipeline_tbl[[#This Row],[Pipeline_Amount_USD]]</f>
        <v>65117.91</v>
      </c>
      <c r="O6200" t="str">
        <f>_xlfn.XLOOKUP(Pipeline_tbl[[#This Row],[Rep_ID]],Dim_Reps!A:A,Dim_Reps!B:B)</f>
        <v>Ben Silva</v>
      </c>
      <c r="P6200" t="str">
        <f>_xlfn.XLOOKUP(Pipeline_tbl[[#This Row],[Rep_ID]],Dim_Reps!A:A,Dim_Reps!C:C)</f>
        <v>SDR / Inside Sales Rep</v>
      </c>
      <c r="Q6200" t="str">
        <f>_xlfn.XLOOKUP(Pipeline_tbl[[#This Row],[Rep_ID]],Dim_Reps!A:A,Dim_Reps!D:D)</f>
        <v>Inside Sales</v>
      </c>
      <c r="R6200" t="str">
        <f>_xlfn.XLOOKUP(Pipeline_tbl[[#This Row],[Rep_ID]],Dim_Reps!A:A,Dim_Reps!E:E)</f>
        <v>LATAM</v>
      </c>
      <c r="S6200" t="str">
        <f>_xlfn.XLOOKUP(Pipeline_tbl[[#This Row],[Created_Date]],Dim_Date!A:A,Dim_Date!H:H)</f>
        <v>Aug 2024</v>
      </c>
      <c r="T6200" t="str">
        <f>IF(Pipeline_tbl[[#This Row],[Closed_Date]]=0,"",(_xlfn.XLOOKUP(Pipeline_tbl[[#This Row],[Closed_Date]],Dim_Date!A:A,Dim_Date!H:H)))</f>
        <v>Aug 2024</v>
      </c>
      <c r="U6200">
        <f>IF(Pipeline_tbl[[#This Row],[Closed_Date]]=0,"",Pipeline_tbl[[#This Row],[Closed_Date]]-Pipeline_tbl[[#This Row],[Created_Date]])</f>
        <v>17</v>
      </c>
    </row>
    <row r="6201" spans="1:21" ht="15" customHeight="1" x14ac:dyDescent="0.2">
      <c r="A6201" t="s">
        <v>6507</v>
      </c>
      <c r="B6201" t="s">
        <v>231</v>
      </c>
      <c r="C6201" t="s">
        <v>53</v>
      </c>
      <c r="D6201" s="49">
        <v>45516</v>
      </c>
      <c r="E6201" s="49">
        <v>45517</v>
      </c>
      <c r="F6201" s="49">
        <v>45519</v>
      </c>
      <c r="G6201" s="49">
        <v>45523</v>
      </c>
      <c r="H6201" s="49">
        <v>45525</v>
      </c>
      <c r="I6201" s="49">
        <v>45527</v>
      </c>
      <c r="J6201" t="s">
        <v>47</v>
      </c>
      <c r="K6201" s="33">
        <v>1700</v>
      </c>
      <c r="M6201" t="str">
        <f>_xlfn.XLOOKUP(Pipeline_tbl[[#This Row],[Rep_ID]],Dim_Reps!A:A,Dim_Reps!K:K)</f>
        <v>MXN</v>
      </c>
      <c r="N6201" s="33">
        <f>(_xlfn.XLOOKUP(Pipeline_tbl[[#This Row],[Rate_Code_Generalized]],Lookups!A:A,Lookups!B:B))*Pipeline_tbl[[#This Row],[Pipeline_Amount_USD]]</f>
        <v>33545.590000000004</v>
      </c>
      <c r="O6201" t="str">
        <f>_xlfn.XLOOKUP(Pipeline_tbl[[#This Row],[Rep_ID]],Dim_Reps!A:A,Dim_Reps!B:B)</f>
        <v>Ben Silva</v>
      </c>
      <c r="P6201" t="str">
        <f>_xlfn.XLOOKUP(Pipeline_tbl[[#This Row],[Rep_ID]],Dim_Reps!A:A,Dim_Reps!C:C)</f>
        <v>SDR / Inside Sales Rep</v>
      </c>
      <c r="Q6201" t="str">
        <f>_xlfn.XLOOKUP(Pipeline_tbl[[#This Row],[Rep_ID]],Dim_Reps!A:A,Dim_Reps!D:D)</f>
        <v>Inside Sales</v>
      </c>
      <c r="R6201" t="str">
        <f>_xlfn.XLOOKUP(Pipeline_tbl[[#This Row],[Rep_ID]],Dim_Reps!A:A,Dim_Reps!E:E)</f>
        <v>LATAM</v>
      </c>
      <c r="S6201" t="str">
        <f>_xlfn.XLOOKUP(Pipeline_tbl[[#This Row],[Created_Date]],Dim_Date!A:A,Dim_Date!H:H)</f>
        <v>Aug 2024</v>
      </c>
      <c r="T6201" t="str">
        <f>IF(Pipeline_tbl[[#This Row],[Closed_Date]]=0,"",(_xlfn.XLOOKUP(Pipeline_tbl[[#This Row],[Closed_Date]],Dim_Date!A:A,Dim_Date!H:H)))</f>
        <v>Aug 2024</v>
      </c>
      <c r="U6201">
        <f>IF(Pipeline_tbl[[#This Row],[Closed_Date]]=0,"",Pipeline_tbl[[#This Row],[Closed_Date]]-Pipeline_tbl[[#This Row],[Created_Date]])</f>
        <v>11</v>
      </c>
    </row>
    <row r="6202" spans="1:21" ht="15" customHeight="1" x14ac:dyDescent="0.2">
      <c r="A6202" t="s">
        <v>6508</v>
      </c>
      <c r="B6202" t="s">
        <v>231</v>
      </c>
      <c r="C6202" t="s">
        <v>55</v>
      </c>
      <c r="D6202" s="49">
        <v>45511</v>
      </c>
      <c r="E6202" s="49">
        <v>45512</v>
      </c>
      <c r="I6202" s="49">
        <v>45521</v>
      </c>
      <c r="J6202" t="s">
        <v>49</v>
      </c>
      <c r="K6202" s="33">
        <v>2600</v>
      </c>
      <c r="L6202" t="s">
        <v>61</v>
      </c>
      <c r="M6202" t="str">
        <f>_xlfn.XLOOKUP(Pipeline_tbl[[#This Row],[Rep_ID]],Dim_Reps!A:A,Dim_Reps!K:K)</f>
        <v>MXN</v>
      </c>
      <c r="N6202" s="33">
        <f>(_xlfn.XLOOKUP(Pipeline_tbl[[#This Row],[Rate_Code_Generalized]],Lookups!A:A,Lookups!B:B))*Pipeline_tbl[[#This Row],[Pipeline_Amount_USD]]</f>
        <v>51305.020000000004</v>
      </c>
      <c r="O6202" t="str">
        <f>_xlfn.XLOOKUP(Pipeline_tbl[[#This Row],[Rep_ID]],Dim_Reps!A:A,Dim_Reps!B:B)</f>
        <v>Ben Silva</v>
      </c>
      <c r="P6202" t="str">
        <f>_xlfn.XLOOKUP(Pipeline_tbl[[#This Row],[Rep_ID]],Dim_Reps!A:A,Dim_Reps!C:C)</f>
        <v>SDR / Inside Sales Rep</v>
      </c>
      <c r="Q6202" t="str">
        <f>_xlfn.XLOOKUP(Pipeline_tbl[[#This Row],[Rep_ID]],Dim_Reps!A:A,Dim_Reps!D:D)</f>
        <v>Inside Sales</v>
      </c>
      <c r="R6202" t="str">
        <f>_xlfn.XLOOKUP(Pipeline_tbl[[#This Row],[Rep_ID]],Dim_Reps!A:A,Dim_Reps!E:E)</f>
        <v>LATAM</v>
      </c>
      <c r="S6202" t="str">
        <f>_xlfn.XLOOKUP(Pipeline_tbl[[#This Row],[Created_Date]],Dim_Date!A:A,Dim_Date!H:H)</f>
        <v>Aug 2024</v>
      </c>
      <c r="T6202" t="str">
        <f>IF(Pipeline_tbl[[#This Row],[Closed_Date]]=0,"",(_xlfn.XLOOKUP(Pipeline_tbl[[#This Row],[Closed_Date]],Dim_Date!A:A,Dim_Date!H:H)))</f>
        <v>Aug 2024</v>
      </c>
      <c r="U6202">
        <f>IF(Pipeline_tbl[[#This Row],[Closed_Date]]=0,"",Pipeline_tbl[[#This Row],[Closed_Date]]-Pipeline_tbl[[#This Row],[Created_Date]])</f>
        <v>10</v>
      </c>
    </row>
    <row r="6203" spans="1:21" ht="15" customHeight="1" x14ac:dyDescent="0.2">
      <c r="A6203" t="s">
        <v>6509</v>
      </c>
      <c r="B6203" t="s">
        <v>231</v>
      </c>
      <c r="C6203" t="s">
        <v>52</v>
      </c>
      <c r="D6203" s="49">
        <v>45514</v>
      </c>
      <c r="E6203" s="49">
        <v>45515</v>
      </c>
      <c r="F6203" s="49">
        <v>45518</v>
      </c>
      <c r="G6203" s="49">
        <v>45522</v>
      </c>
      <c r="H6203" s="49">
        <v>45526</v>
      </c>
      <c r="I6203" s="49">
        <v>45528</v>
      </c>
      <c r="J6203" t="s">
        <v>47</v>
      </c>
      <c r="K6203" s="33">
        <v>5200</v>
      </c>
      <c r="M6203" t="str">
        <f>_xlfn.XLOOKUP(Pipeline_tbl[[#This Row],[Rep_ID]],Dim_Reps!A:A,Dim_Reps!K:K)</f>
        <v>MXN</v>
      </c>
      <c r="N6203" s="33">
        <f>(_xlfn.XLOOKUP(Pipeline_tbl[[#This Row],[Rate_Code_Generalized]],Lookups!A:A,Lookups!B:B))*Pipeline_tbl[[#This Row],[Pipeline_Amount_USD]]</f>
        <v>102610.04000000001</v>
      </c>
      <c r="O6203" t="str">
        <f>_xlfn.XLOOKUP(Pipeline_tbl[[#This Row],[Rep_ID]],Dim_Reps!A:A,Dim_Reps!B:B)</f>
        <v>Ben Silva</v>
      </c>
      <c r="P6203" t="str">
        <f>_xlfn.XLOOKUP(Pipeline_tbl[[#This Row],[Rep_ID]],Dim_Reps!A:A,Dim_Reps!C:C)</f>
        <v>SDR / Inside Sales Rep</v>
      </c>
      <c r="Q6203" t="str">
        <f>_xlfn.XLOOKUP(Pipeline_tbl[[#This Row],[Rep_ID]],Dim_Reps!A:A,Dim_Reps!D:D)</f>
        <v>Inside Sales</v>
      </c>
      <c r="R6203" t="str">
        <f>_xlfn.XLOOKUP(Pipeline_tbl[[#This Row],[Rep_ID]],Dim_Reps!A:A,Dim_Reps!E:E)</f>
        <v>LATAM</v>
      </c>
      <c r="S6203" t="str">
        <f>_xlfn.XLOOKUP(Pipeline_tbl[[#This Row],[Created_Date]],Dim_Date!A:A,Dim_Date!H:H)</f>
        <v>Aug 2024</v>
      </c>
      <c r="T6203" t="str">
        <f>IF(Pipeline_tbl[[#This Row],[Closed_Date]]=0,"",(_xlfn.XLOOKUP(Pipeline_tbl[[#This Row],[Closed_Date]],Dim_Date!A:A,Dim_Date!H:H)))</f>
        <v>Aug 2024</v>
      </c>
      <c r="U6203">
        <f>IF(Pipeline_tbl[[#This Row],[Closed_Date]]=0,"",Pipeline_tbl[[#This Row],[Closed_Date]]-Pipeline_tbl[[#This Row],[Created_Date]])</f>
        <v>14</v>
      </c>
    </row>
    <row r="6204" spans="1:21" ht="15" customHeight="1" x14ac:dyDescent="0.2">
      <c r="A6204" t="s">
        <v>6510</v>
      </c>
      <c r="B6204" t="s">
        <v>265</v>
      </c>
      <c r="C6204" t="s">
        <v>53</v>
      </c>
      <c r="D6204" s="49">
        <v>45509</v>
      </c>
      <c r="E6204" s="49">
        <v>45511</v>
      </c>
      <c r="I6204" s="49">
        <v>45534</v>
      </c>
      <c r="J6204" t="s">
        <v>49</v>
      </c>
      <c r="K6204" s="33">
        <v>12900</v>
      </c>
      <c r="L6204" t="s">
        <v>60</v>
      </c>
      <c r="M6204" t="str">
        <f>_xlfn.XLOOKUP(Pipeline_tbl[[#This Row],[Rep_ID]],Dim_Reps!A:A,Dim_Reps!K:K)</f>
        <v>EUR</v>
      </c>
      <c r="N6204" s="33">
        <f>(_xlfn.XLOOKUP(Pipeline_tbl[[#This Row],[Rate_Code_Generalized]],Lookups!A:A,Lookups!B:B))*Pipeline_tbl[[#This Row],[Pipeline_Amount_USD]]</f>
        <v>12900</v>
      </c>
      <c r="O6204" t="str">
        <f>_xlfn.XLOOKUP(Pipeline_tbl[[#This Row],[Rep_ID]],Dim_Reps!A:A,Dim_Reps!B:B)</f>
        <v>Erik Duarte</v>
      </c>
      <c r="P6204" t="str">
        <f>_xlfn.XLOOKUP(Pipeline_tbl[[#This Row],[Rep_ID]],Dim_Reps!A:A,Dim_Reps!C:C)</f>
        <v>Mid-Market AE</v>
      </c>
      <c r="Q6204" t="str">
        <f>_xlfn.XLOOKUP(Pipeline_tbl[[#This Row],[Rep_ID]],Dim_Reps!A:A,Dim_Reps!D:D)</f>
        <v>Mid-Market</v>
      </c>
      <c r="R6204" t="str">
        <f>_xlfn.XLOOKUP(Pipeline_tbl[[#This Row],[Rep_ID]],Dim_Reps!A:A,Dim_Reps!E:E)</f>
        <v>EMEA</v>
      </c>
      <c r="S6204" t="str">
        <f>_xlfn.XLOOKUP(Pipeline_tbl[[#This Row],[Created_Date]],Dim_Date!A:A,Dim_Date!H:H)</f>
        <v>Aug 2024</v>
      </c>
      <c r="T6204" t="str">
        <f>IF(Pipeline_tbl[[#This Row],[Closed_Date]]=0,"",(_xlfn.XLOOKUP(Pipeline_tbl[[#This Row],[Closed_Date]],Dim_Date!A:A,Dim_Date!H:H)))</f>
        <v>Aug 2024</v>
      </c>
      <c r="U6204">
        <f>IF(Pipeline_tbl[[#This Row],[Closed_Date]]=0,"",Pipeline_tbl[[#This Row],[Closed_Date]]-Pipeline_tbl[[#This Row],[Created_Date]])</f>
        <v>25</v>
      </c>
    </row>
    <row r="6205" spans="1:21" ht="15" customHeight="1" x14ac:dyDescent="0.2">
      <c r="A6205" t="s">
        <v>6511</v>
      </c>
      <c r="B6205" t="s">
        <v>233</v>
      </c>
      <c r="C6205" t="s">
        <v>55</v>
      </c>
      <c r="D6205" s="49">
        <v>45505</v>
      </c>
      <c r="E6205" s="49">
        <v>45507</v>
      </c>
      <c r="F6205" s="49">
        <v>45510</v>
      </c>
      <c r="G6205" s="49">
        <v>45514</v>
      </c>
      <c r="H6205" s="49">
        <v>45518</v>
      </c>
      <c r="I6205" s="49">
        <v>45520</v>
      </c>
      <c r="J6205" t="s">
        <v>47</v>
      </c>
      <c r="K6205" s="33">
        <v>3100</v>
      </c>
      <c r="M6205" t="str">
        <f>_xlfn.XLOOKUP(Pipeline_tbl[[#This Row],[Rep_ID]],Dim_Reps!A:A,Dim_Reps!K:K)</f>
        <v>MXN</v>
      </c>
      <c r="N6205" s="33">
        <f>(_xlfn.XLOOKUP(Pipeline_tbl[[#This Row],[Rate_Code_Generalized]],Lookups!A:A,Lookups!B:B))*Pipeline_tbl[[#This Row],[Pipeline_Amount_USD]]</f>
        <v>61171.37</v>
      </c>
      <c r="O6205" t="str">
        <f>_xlfn.XLOOKUP(Pipeline_tbl[[#This Row],[Rep_ID]],Dim_Reps!A:A,Dim_Reps!B:B)</f>
        <v>Lucas Duarte</v>
      </c>
      <c r="P6205" t="str">
        <f>_xlfn.XLOOKUP(Pipeline_tbl[[#This Row],[Rep_ID]],Dim_Reps!A:A,Dim_Reps!C:C)</f>
        <v>SDR / Inside Sales Rep</v>
      </c>
      <c r="Q6205" t="str">
        <f>_xlfn.XLOOKUP(Pipeline_tbl[[#This Row],[Rep_ID]],Dim_Reps!A:A,Dim_Reps!D:D)</f>
        <v>Inside Sales</v>
      </c>
      <c r="R6205" t="str">
        <f>_xlfn.XLOOKUP(Pipeline_tbl[[#This Row],[Rep_ID]],Dim_Reps!A:A,Dim_Reps!E:E)</f>
        <v>LATAM</v>
      </c>
      <c r="S6205" t="str">
        <f>_xlfn.XLOOKUP(Pipeline_tbl[[#This Row],[Created_Date]],Dim_Date!A:A,Dim_Date!H:H)</f>
        <v>Aug 2024</v>
      </c>
      <c r="T6205" t="str">
        <f>IF(Pipeline_tbl[[#This Row],[Closed_Date]]=0,"",(_xlfn.XLOOKUP(Pipeline_tbl[[#This Row],[Closed_Date]],Dim_Date!A:A,Dim_Date!H:H)))</f>
        <v>Aug 2024</v>
      </c>
      <c r="U6205">
        <f>IF(Pipeline_tbl[[#This Row],[Closed_Date]]=0,"",Pipeline_tbl[[#This Row],[Closed_Date]]-Pipeline_tbl[[#This Row],[Created_Date]])</f>
        <v>15</v>
      </c>
    </row>
    <row r="6206" spans="1:21" ht="15" customHeight="1" x14ac:dyDescent="0.2">
      <c r="A6206" t="s">
        <v>6512</v>
      </c>
      <c r="B6206" t="s">
        <v>233</v>
      </c>
      <c r="C6206" t="s">
        <v>52</v>
      </c>
      <c r="D6206" s="49">
        <v>45510</v>
      </c>
      <c r="E6206" s="49">
        <v>45512</v>
      </c>
      <c r="I6206" s="49">
        <v>45532</v>
      </c>
      <c r="J6206" t="s">
        <v>49</v>
      </c>
      <c r="K6206" s="33">
        <v>4700</v>
      </c>
      <c r="L6206" t="s">
        <v>62</v>
      </c>
      <c r="M6206" t="str">
        <f>_xlfn.XLOOKUP(Pipeline_tbl[[#This Row],[Rep_ID]],Dim_Reps!A:A,Dim_Reps!K:K)</f>
        <v>MXN</v>
      </c>
      <c r="N6206" s="33">
        <f>(_xlfn.XLOOKUP(Pipeline_tbl[[#This Row],[Rate_Code_Generalized]],Lookups!A:A,Lookups!B:B))*Pipeline_tbl[[#This Row],[Pipeline_Amount_USD]]</f>
        <v>92743.69</v>
      </c>
      <c r="O6206" t="str">
        <f>_xlfn.XLOOKUP(Pipeline_tbl[[#This Row],[Rep_ID]],Dim_Reps!A:A,Dim_Reps!B:B)</f>
        <v>Lucas Duarte</v>
      </c>
      <c r="P6206" t="str">
        <f>_xlfn.XLOOKUP(Pipeline_tbl[[#This Row],[Rep_ID]],Dim_Reps!A:A,Dim_Reps!C:C)</f>
        <v>SDR / Inside Sales Rep</v>
      </c>
      <c r="Q6206" t="str">
        <f>_xlfn.XLOOKUP(Pipeline_tbl[[#This Row],[Rep_ID]],Dim_Reps!A:A,Dim_Reps!D:D)</f>
        <v>Inside Sales</v>
      </c>
      <c r="R6206" t="str">
        <f>_xlfn.XLOOKUP(Pipeline_tbl[[#This Row],[Rep_ID]],Dim_Reps!A:A,Dim_Reps!E:E)</f>
        <v>LATAM</v>
      </c>
      <c r="S6206" t="str">
        <f>_xlfn.XLOOKUP(Pipeline_tbl[[#This Row],[Created_Date]],Dim_Date!A:A,Dim_Date!H:H)</f>
        <v>Aug 2024</v>
      </c>
      <c r="T6206" t="str">
        <f>IF(Pipeline_tbl[[#This Row],[Closed_Date]]=0,"",(_xlfn.XLOOKUP(Pipeline_tbl[[#This Row],[Closed_Date]],Dim_Date!A:A,Dim_Date!H:H)))</f>
        <v>Aug 2024</v>
      </c>
      <c r="U6206">
        <f>IF(Pipeline_tbl[[#This Row],[Closed_Date]]=0,"",Pipeline_tbl[[#This Row],[Closed_Date]]-Pipeline_tbl[[#This Row],[Created_Date]])</f>
        <v>22</v>
      </c>
    </row>
    <row r="6207" spans="1:21" ht="15" customHeight="1" x14ac:dyDescent="0.2">
      <c r="A6207" t="s">
        <v>6513</v>
      </c>
      <c r="B6207" t="s">
        <v>267</v>
      </c>
      <c r="C6207" t="s">
        <v>56</v>
      </c>
      <c r="D6207" s="49">
        <v>45508</v>
      </c>
      <c r="E6207" s="49">
        <v>45510</v>
      </c>
      <c r="F6207" s="49">
        <v>45514</v>
      </c>
      <c r="G6207" s="49">
        <v>45521</v>
      </c>
      <c r="H6207" s="49">
        <v>45526</v>
      </c>
      <c r="I6207" s="49">
        <v>45529</v>
      </c>
      <c r="J6207" t="s">
        <v>47</v>
      </c>
      <c r="K6207" s="33">
        <v>19200</v>
      </c>
      <c r="M6207" t="str">
        <f>_xlfn.XLOOKUP(Pipeline_tbl[[#This Row],[Rep_ID]],Dim_Reps!A:A,Dim_Reps!K:K)</f>
        <v>MXN</v>
      </c>
      <c r="N6207" s="33">
        <f>(_xlfn.XLOOKUP(Pipeline_tbl[[#This Row],[Rate_Code_Generalized]],Lookups!A:A,Lookups!B:B))*Pipeline_tbl[[#This Row],[Pipeline_Amount_USD]]</f>
        <v>378867.84</v>
      </c>
      <c r="O6207" t="str">
        <f>_xlfn.XLOOKUP(Pipeline_tbl[[#This Row],[Rep_ID]],Dim_Reps!A:A,Dim_Reps!B:B)</f>
        <v>Yuki Dubois</v>
      </c>
      <c r="P6207" t="str">
        <f>_xlfn.XLOOKUP(Pipeline_tbl[[#This Row],[Rep_ID]],Dim_Reps!A:A,Dim_Reps!C:C)</f>
        <v>Mid-Market AE</v>
      </c>
      <c r="Q6207" t="str">
        <f>_xlfn.XLOOKUP(Pipeline_tbl[[#This Row],[Rep_ID]],Dim_Reps!A:A,Dim_Reps!D:D)</f>
        <v>Mid-Market</v>
      </c>
      <c r="R6207" t="str">
        <f>_xlfn.XLOOKUP(Pipeline_tbl[[#This Row],[Rep_ID]],Dim_Reps!A:A,Dim_Reps!E:E)</f>
        <v>LATAM</v>
      </c>
      <c r="S6207" t="str">
        <f>_xlfn.XLOOKUP(Pipeline_tbl[[#This Row],[Created_Date]],Dim_Date!A:A,Dim_Date!H:H)</f>
        <v>Aug 2024</v>
      </c>
      <c r="T6207" t="str">
        <f>IF(Pipeline_tbl[[#This Row],[Closed_Date]]=0,"",(_xlfn.XLOOKUP(Pipeline_tbl[[#This Row],[Closed_Date]],Dim_Date!A:A,Dim_Date!H:H)))</f>
        <v>Aug 2024</v>
      </c>
      <c r="U6207">
        <f>IF(Pipeline_tbl[[#This Row],[Closed_Date]]=0,"",Pipeline_tbl[[#This Row],[Closed_Date]]-Pipeline_tbl[[#This Row],[Created_Date]])</f>
        <v>21</v>
      </c>
    </row>
    <row r="6208" spans="1:21" ht="15" customHeight="1" x14ac:dyDescent="0.2">
      <c r="A6208" t="s">
        <v>6514</v>
      </c>
      <c r="B6208" t="s">
        <v>235</v>
      </c>
      <c r="C6208" t="s">
        <v>56</v>
      </c>
      <c r="D6208" s="49">
        <v>45515</v>
      </c>
      <c r="E6208" s="49">
        <v>45517</v>
      </c>
      <c r="F6208" s="49">
        <v>45520</v>
      </c>
      <c r="G6208" s="49">
        <v>45524</v>
      </c>
      <c r="H6208" s="49">
        <v>45528</v>
      </c>
      <c r="I6208" s="49">
        <v>45530</v>
      </c>
      <c r="J6208" t="s">
        <v>49</v>
      </c>
      <c r="K6208" s="33">
        <v>3500</v>
      </c>
      <c r="L6208" t="s">
        <v>63</v>
      </c>
      <c r="M6208" t="str">
        <f>_xlfn.XLOOKUP(Pipeline_tbl[[#This Row],[Rep_ID]],Dim_Reps!A:A,Dim_Reps!K:K)</f>
        <v>MXN</v>
      </c>
      <c r="N6208" s="33">
        <f>(_xlfn.XLOOKUP(Pipeline_tbl[[#This Row],[Rate_Code_Generalized]],Lookups!A:A,Lookups!B:B))*Pipeline_tbl[[#This Row],[Pipeline_Amount_USD]]</f>
        <v>69064.45</v>
      </c>
      <c r="O6208" t="str">
        <f>_xlfn.XLOOKUP(Pipeline_tbl[[#This Row],[Rep_ID]],Dim_Reps!A:A,Dim_Reps!B:B)</f>
        <v>Milo Castro</v>
      </c>
      <c r="P6208" t="str">
        <f>_xlfn.XLOOKUP(Pipeline_tbl[[#This Row],[Rep_ID]],Dim_Reps!A:A,Dim_Reps!C:C)</f>
        <v>SDR / Inside Sales Rep</v>
      </c>
      <c r="Q6208" t="str">
        <f>_xlfn.XLOOKUP(Pipeline_tbl[[#This Row],[Rep_ID]],Dim_Reps!A:A,Dim_Reps!D:D)</f>
        <v>Inside Sales</v>
      </c>
      <c r="R6208" t="str">
        <f>_xlfn.XLOOKUP(Pipeline_tbl[[#This Row],[Rep_ID]],Dim_Reps!A:A,Dim_Reps!E:E)</f>
        <v>LATAM</v>
      </c>
      <c r="S6208" t="str">
        <f>_xlfn.XLOOKUP(Pipeline_tbl[[#This Row],[Created_Date]],Dim_Date!A:A,Dim_Date!H:H)</f>
        <v>Aug 2024</v>
      </c>
      <c r="T6208" t="str">
        <f>IF(Pipeline_tbl[[#This Row],[Closed_Date]]=0,"",(_xlfn.XLOOKUP(Pipeline_tbl[[#This Row],[Closed_Date]],Dim_Date!A:A,Dim_Date!H:H)))</f>
        <v>Aug 2024</v>
      </c>
      <c r="U6208">
        <f>IF(Pipeline_tbl[[#This Row],[Closed_Date]]=0,"",Pipeline_tbl[[#This Row],[Closed_Date]]-Pipeline_tbl[[#This Row],[Created_Date]])</f>
        <v>15</v>
      </c>
    </row>
    <row r="6209" spans="1:21" ht="15" customHeight="1" x14ac:dyDescent="0.2">
      <c r="A6209" t="s">
        <v>6515</v>
      </c>
      <c r="B6209" t="s">
        <v>235</v>
      </c>
      <c r="C6209" t="s">
        <v>52</v>
      </c>
      <c r="D6209" s="49">
        <v>45515</v>
      </c>
      <c r="E6209" s="49">
        <v>45517</v>
      </c>
      <c r="F6209" s="49">
        <v>45520</v>
      </c>
      <c r="I6209" s="49">
        <v>45530</v>
      </c>
      <c r="J6209" t="s">
        <v>49</v>
      </c>
      <c r="K6209" s="33">
        <v>3500</v>
      </c>
      <c r="L6209" t="s">
        <v>61</v>
      </c>
      <c r="M6209" t="str">
        <f>_xlfn.XLOOKUP(Pipeline_tbl[[#This Row],[Rep_ID]],Dim_Reps!A:A,Dim_Reps!K:K)</f>
        <v>MXN</v>
      </c>
      <c r="N6209" s="33">
        <f>(_xlfn.XLOOKUP(Pipeline_tbl[[#This Row],[Rate_Code_Generalized]],Lookups!A:A,Lookups!B:B))*Pipeline_tbl[[#This Row],[Pipeline_Amount_USD]]</f>
        <v>69064.45</v>
      </c>
      <c r="O6209" t="str">
        <f>_xlfn.XLOOKUP(Pipeline_tbl[[#This Row],[Rep_ID]],Dim_Reps!A:A,Dim_Reps!B:B)</f>
        <v>Milo Castro</v>
      </c>
      <c r="P6209" t="str">
        <f>_xlfn.XLOOKUP(Pipeline_tbl[[#This Row],[Rep_ID]],Dim_Reps!A:A,Dim_Reps!C:C)</f>
        <v>SDR / Inside Sales Rep</v>
      </c>
      <c r="Q6209" t="str">
        <f>_xlfn.XLOOKUP(Pipeline_tbl[[#This Row],[Rep_ID]],Dim_Reps!A:A,Dim_Reps!D:D)</f>
        <v>Inside Sales</v>
      </c>
      <c r="R6209" t="str">
        <f>_xlfn.XLOOKUP(Pipeline_tbl[[#This Row],[Rep_ID]],Dim_Reps!A:A,Dim_Reps!E:E)</f>
        <v>LATAM</v>
      </c>
      <c r="S6209" t="str">
        <f>_xlfn.XLOOKUP(Pipeline_tbl[[#This Row],[Created_Date]],Dim_Date!A:A,Dim_Date!H:H)</f>
        <v>Aug 2024</v>
      </c>
      <c r="T6209" t="str">
        <f>IF(Pipeline_tbl[[#This Row],[Closed_Date]]=0,"",(_xlfn.XLOOKUP(Pipeline_tbl[[#This Row],[Closed_Date]],Dim_Date!A:A,Dim_Date!H:H)))</f>
        <v>Aug 2024</v>
      </c>
      <c r="U6209">
        <f>IF(Pipeline_tbl[[#This Row],[Closed_Date]]=0,"",Pipeline_tbl[[#This Row],[Closed_Date]]-Pipeline_tbl[[#This Row],[Created_Date]])</f>
        <v>15</v>
      </c>
    </row>
    <row r="6210" spans="1:21" ht="15" customHeight="1" x14ac:dyDescent="0.2">
      <c r="A6210" t="s">
        <v>6516</v>
      </c>
      <c r="B6210" t="s">
        <v>235</v>
      </c>
      <c r="C6210" t="s">
        <v>52</v>
      </c>
      <c r="D6210" s="49">
        <v>45513</v>
      </c>
      <c r="E6210" s="49">
        <v>45513</v>
      </c>
      <c r="I6210" s="49">
        <v>45518</v>
      </c>
      <c r="J6210" t="s">
        <v>49</v>
      </c>
      <c r="K6210" s="33">
        <v>1600</v>
      </c>
      <c r="L6210" t="s">
        <v>64</v>
      </c>
      <c r="M6210" t="str">
        <f>_xlfn.XLOOKUP(Pipeline_tbl[[#This Row],[Rep_ID]],Dim_Reps!A:A,Dim_Reps!K:K)</f>
        <v>MXN</v>
      </c>
      <c r="N6210" s="33">
        <f>(_xlfn.XLOOKUP(Pipeline_tbl[[#This Row],[Rate_Code_Generalized]],Lookups!A:A,Lookups!B:B))*Pipeline_tbl[[#This Row],[Pipeline_Amount_USD]]</f>
        <v>31572.320000000003</v>
      </c>
      <c r="O6210" t="str">
        <f>_xlfn.XLOOKUP(Pipeline_tbl[[#This Row],[Rep_ID]],Dim_Reps!A:A,Dim_Reps!B:B)</f>
        <v>Milo Castro</v>
      </c>
      <c r="P6210" t="str">
        <f>_xlfn.XLOOKUP(Pipeline_tbl[[#This Row],[Rep_ID]],Dim_Reps!A:A,Dim_Reps!C:C)</f>
        <v>SDR / Inside Sales Rep</v>
      </c>
      <c r="Q6210" t="str">
        <f>_xlfn.XLOOKUP(Pipeline_tbl[[#This Row],[Rep_ID]],Dim_Reps!A:A,Dim_Reps!D:D)</f>
        <v>Inside Sales</v>
      </c>
      <c r="R6210" t="str">
        <f>_xlfn.XLOOKUP(Pipeline_tbl[[#This Row],[Rep_ID]],Dim_Reps!A:A,Dim_Reps!E:E)</f>
        <v>LATAM</v>
      </c>
      <c r="S6210" t="str">
        <f>_xlfn.XLOOKUP(Pipeline_tbl[[#This Row],[Created_Date]],Dim_Date!A:A,Dim_Date!H:H)</f>
        <v>Aug 2024</v>
      </c>
      <c r="T6210" t="str">
        <f>IF(Pipeline_tbl[[#This Row],[Closed_Date]]=0,"",(_xlfn.XLOOKUP(Pipeline_tbl[[#This Row],[Closed_Date]],Dim_Date!A:A,Dim_Date!H:H)))</f>
        <v>Aug 2024</v>
      </c>
      <c r="U6210">
        <f>IF(Pipeline_tbl[[#This Row],[Closed_Date]]=0,"",Pipeline_tbl[[#This Row],[Closed_Date]]-Pipeline_tbl[[#This Row],[Created_Date]])</f>
        <v>5</v>
      </c>
    </row>
    <row r="6211" spans="1:21" ht="15" customHeight="1" x14ac:dyDescent="0.2">
      <c r="A6211" t="s">
        <v>6517</v>
      </c>
      <c r="B6211" t="s">
        <v>235</v>
      </c>
      <c r="C6211" t="s">
        <v>52</v>
      </c>
      <c r="D6211" s="49">
        <v>45513</v>
      </c>
      <c r="E6211" s="49">
        <v>45515</v>
      </c>
      <c r="F6211" s="49">
        <v>45518</v>
      </c>
      <c r="I6211" s="49">
        <v>45531</v>
      </c>
      <c r="J6211" t="s">
        <v>49</v>
      </c>
      <c r="K6211" s="33">
        <v>5500</v>
      </c>
      <c r="L6211" t="s">
        <v>62</v>
      </c>
      <c r="M6211" t="str">
        <f>_xlfn.XLOOKUP(Pipeline_tbl[[#This Row],[Rep_ID]],Dim_Reps!A:A,Dim_Reps!K:K)</f>
        <v>MXN</v>
      </c>
      <c r="N6211" s="33">
        <f>(_xlfn.XLOOKUP(Pipeline_tbl[[#This Row],[Rate_Code_Generalized]],Lookups!A:A,Lookups!B:B))*Pipeline_tbl[[#This Row],[Pipeline_Amount_USD]]</f>
        <v>108529.85</v>
      </c>
      <c r="O6211" t="str">
        <f>_xlfn.XLOOKUP(Pipeline_tbl[[#This Row],[Rep_ID]],Dim_Reps!A:A,Dim_Reps!B:B)</f>
        <v>Milo Castro</v>
      </c>
      <c r="P6211" t="str">
        <f>_xlfn.XLOOKUP(Pipeline_tbl[[#This Row],[Rep_ID]],Dim_Reps!A:A,Dim_Reps!C:C)</f>
        <v>SDR / Inside Sales Rep</v>
      </c>
      <c r="Q6211" t="str">
        <f>_xlfn.XLOOKUP(Pipeline_tbl[[#This Row],[Rep_ID]],Dim_Reps!A:A,Dim_Reps!D:D)</f>
        <v>Inside Sales</v>
      </c>
      <c r="R6211" t="str">
        <f>_xlfn.XLOOKUP(Pipeline_tbl[[#This Row],[Rep_ID]],Dim_Reps!A:A,Dim_Reps!E:E)</f>
        <v>LATAM</v>
      </c>
      <c r="S6211" t="str">
        <f>_xlfn.XLOOKUP(Pipeline_tbl[[#This Row],[Created_Date]],Dim_Date!A:A,Dim_Date!H:H)</f>
        <v>Aug 2024</v>
      </c>
      <c r="T6211" t="str">
        <f>IF(Pipeline_tbl[[#This Row],[Closed_Date]]=0,"",(_xlfn.XLOOKUP(Pipeline_tbl[[#This Row],[Closed_Date]],Dim_Date!A:A,Dim_Date!H:H)))</f>
        <v>Aug 2024</v>
      </c>
      <c r="U6211">
        <f>IF(Pipeline_tbl[[#This Row],[Closed_Date]]=0,"",Pipeline_tbl[[#This Row],[Closed_Date]]-Pipeline_tbl[[#This Row],[Created_Date]])</f>
        <v>18</v>
      </c>
    </row>
    <row r="6212" spans="1:21" ht="15" customHeight="1" x14ac:dyDescent="0.2">
      <c r="A6212" t="s">
        <v>6518</v>
      </c>
      <c r="B6212" t="s">
        <v>235</v>
      </c>
      <c r="C6212" t="s">
        <v>52</v>
      </c>
      <c r="D6212" s="49">
        <v>45514</v>
      </c>
      <c r="E6212" s="49">
        <v>45515</v>
      </c>
      <c r="F6212" s="49">
        <v>45518</v>
      </c>
      <c r="G6212" s="49">
        <v>45522</v>
      </c>
      <c r="H6212" s="49">
        <v>45525</v>
      </c>
      <c r="I6212" s="49">
        <v>45527</v>
      </c>
      <c r="J6212" t="s">
        <v>47</v>
      </c>
      <c r="K6212" s="33">
        <v>1600</v>
      </c>
      <c r="M6212" t="str">
        <f>_xlfn.XLOOKUP(Pipeline_tbl[[#This Row],[Rep_ID]],Dim_Reps!A:A,Dim_Reps!K:K)</f>
        <v>MXN</v>
      </c>
      <c r="N6212" s="33">
        <f>(_xlfn.XLOOKUP(Pipeline_tbl[[#This Row],[Rate_Code_Generalized]],Lookups!A:A,Lookups!B:B))*Pipeline_tbl[[#This Row],[Pipeline_Amount_USD]]</f>
        <v>31572.320000000003</v>
      </c>
      <c r="O6212" t="str">
        <f>_xlfn.XLOOKUP(Pipeline_tbl[[#This Row],[Rep_ID]],Dim_Reps!A:A,Dim_Reps!B:B)</f>
        <v>Milo Castro</v>
      </c>
      <c r="P6212" t="str">
        <f>_xlfn.XLOOKUP(Pipeline_tbl[[#This Row],[Rep_ID]],Dim_Reps!A:A,Dim_Reps!C:C)</f>
        <v>SDR / Inside Sales Rep</v>
      </c>
      <c r="Q6212" t="str">
        <f>_xlfn.XLOOKUP(Pipeline_tbl[[#This Row],[Rep_ID]],Dim_Reps!A:A,Dim_Reps!D:D)</f>
        <v>Inside Sales</v>
      </c>
      <c r="R6212" t="str">
        <f>_xlfn.XLOOKUP(Pipeline_tbl[[#This Row],[Rep_ID]],Dim_Reps!A:A,Dim_Reps!E:E)</f>
        <v>LATAM</v>
      </c>
      <c r="S6212" t="str">
        <f>_xlfn.XLOOKUP(Pipeline_tbl[[#This Row],[Created_Date]],Dim_Date!A:A,Dim_Date!H:H)</f>
        <v>Aug 2024</v>
      </c>
      <c r="T6212" t="str">
        <f>IF(Pipeline_tbl[[#This Row],[Closed_Date]]=0,"",(_xlfn.XLOOKUP(Pipeline_tbl[[#This Row],[Closed_Date]],Dim_Date!A:A,Dim_Date!H:H)))</f>
        <v>Aug 2024</v>
      </c>
      <c r="U6212">
        <f>IF(Pipeline_tbl[[#This Row],[Closed_Date]]=0,"",Pipeline_tbl[[#This Row],[Closed_Date]]-Pipeline_tbl[[#This Row],[Created_Date]])</f>
        <v>13</v>
      </c>
    </row>
    <row r="6213" spans="1:21" ht="15" customHeight="1" x14ac:dyDescent="0.2">
      <c r="A6213" t="s">
        <v>6519</v>
      </c>
      <c r="B6213" t="s">
        <v>237</v>
      </c>
      <c r="C6213" t="s">
        <v>53</v>
      </c>
      <c r="D6213" s="49">
        <v>45510</v>
      </c>
      <c r="E6213" s="49">
        <v>45512</v>
      </c>
      <c r="F6213" s="49">
        <v>45517</v>
      </c>
      <c r="G6213" s="49">
        <v>45524</v>
      </c>
      <c r="H6213" s="49">
        <v>45530</v>
      </c>
      <c r="I6213" s="49">
        <v>45533</v>
      </c>
      <c r="J6213" t="s">
        <v>47</v>
      </c>
      <c r="K6213" s="33">
        <v>5300</v>
      </c>
      <c r="M6213" t="str">
        <f>_xlfn.XLOOKUP(Pipeline_tbl[[#This Row],[Rep_ID]],Dim_Reps!A:A,Dim_Reps!K:K)</f>
        <v>EUR</v>
      </c>
      <c r="N6213" s="33">
        <f>(_xlfn.XLOOKUP(Pipeline_tbl[[#This Row],[Rate_Code_Generalized]],Lookups!A:A,Lookups!B:B))*Pipeline_tbl[[#This Row],[Pipeline_Amount_USD]]</f>
        <v>5300</v>
      </c>
      <c r="O6213" t="str">
        <f>_xlfn.XLOOKUP(Pipeline_tbl[[#This Row],[Rep_ID]],Dim_Reps!A:A,Dim_Reps!B:B)</f>
        <v>Hugo Santos</v>
      </c>
      <c r="P6213" t="str">
        <f>_xlfn.XLOOKUP(Pipeline_tbl[[#This Row],[Rep_ID]],Dim_Reps!A:A,Dim_Reps!C:C)</f>
        <v>SDR / Inside Sales Rep</v>
      </c>
      <c r="Q6213" t="str">
        <f>_xlfn.XLOOKUP(Pipeline_tbl[[#This Row],[Rep_ID]],Dim_Reps!A:A,Dim_Reps!D:D)</f>
        <v>Inside Sales</v>
      </c>
      <c r="R6213" t="str">
        <f>_xlfn.XLOOKUP(Pipeline_tbl[[#This Row],[Rep_ID]],Dim_Reps!A:A,Dim_Reps!E:E)</f>
        <v>EMEA</v>
      </c>
      <c r="S6213" t="str">
        <f>_xlfn.XLOOKUP(Pipeline_tbl[[#This Row],[Created_Date]],Dim_Date!A:A,Dim_Date!H:H)</f>
        <v>Aug 2024</v>
      </c>
      <c r="T6213" t="str">
        <f>IF(Pipeline_tbl[[#This Row],[Closed_Date]]=0,"",(_xlfn.XLOOKUP(Pipeline_tbl[[#This Row],[Closed_Date]],Dim_Date!A:A,Dim_Date!H:H)))</f>
        <v>Aug 2024</v>
      </c>
      <c r="U6213">
        <f>IF(Pipeline_tbl[[#This Row],[Closed_Date]]=0,"",Pipeline_tbl[[#This Row],[Closed_Date]]-Pipeline_tbl[[#This Row],[Created_Date]])</f>
        <v>23</v>
      </c>
    </row>
    <row r="6214" spans="1:21" ht="15" customHeight="1" x14ac:dyDescent="0.2">
      <c r="A6214" t="s">
        <v>6520</v>
      </c>
      <c r="B6214" t="s">
        <v>237</v>
      </c>
      <c r="C6214" t="s">
        <v>53</v>
      </c>
      <c r="D6214" s="49">
        <v>45506</v>
      </c>
      <c r="E6214" s="49">
        <v>45508</v>
      </c>
      <c r="F6214" s="49">
        <v>45513</v>
      </c>
      <c r="G6214" s="49">
        <v>45520</v>
      </c>
      <c r="H6214" s="49">
        <v>45526</v>
      </c>
      <c r="I6214" s="49">
        <v>45529</v>
      </c>
      <c r="J6214" t="s">
        <v>49</v>
      </c>
      <c r="K6214" s="33">
        <v>4800</v>
      </c>
      <c r="L6214" t="s">
        <v>60</v>
      </c>
      <c r="M6214" t="str">
        <f>_xlfn.XLOOKUP(Pipeline_tbl[[#This Row],[Rep_ID]],Dim_Reps!A:A,Dim_Reps!K:K)</f>
        <v>EUR</v>
      </c>
      <c r="N6214" s="33">
        <f>(_xlfn.XLOOKUP(Pipeline_tbl[[#This Row],[Rate_Code_Generalized]],Lookups!A:A,Lookups!B:B))*Pipeline_tbl[[#This Row],[Pipeline_Amount_USD]]</f>
        <v>4800</v>
      </c>
      <c r="O6214" t="str">
        <f>_xlfn.XLOOKUP(Pipeline_tbl[[#This Row],[Rep_ID]],Dim_Reps!A:A,Dim_Reps!B:B)</f>
        <v>Hugo Santos</v>
      </c>
      <c r="P6214" t="str">
        <f>_xlfn.XLOOKUP(Pipeline_tbl[[#This Row],[Rep_ID]],Dim_Reps!A:A,Dim_Reps!C:C)</f>
        <v>SDR / Inside Sales Rep</v>
      </c>
      <c r="Q6214" t="str">
        <f>_xlfn.XLOOKUP(Pipeline_tbl[[#This Row],[Rep_ID]],Dim_Reps!A:A,Dim_Reps!D:D)</f>
        <v>Inside Sales</v>
      </c>
      <c r="R6214" t="str">
        <f>_xlfn.XLOOKUP(Pipeline_tbl[[#This Row],[Rep_ID]],Dim_Reps!A:A,Dim_Reps!E:E)</f>
        <v>EMEA</v>
      </c>
      <c r="S6214" t="str">
        <f>_xlfn.XLOOKUP(Pipeline_tbl[[#This Row],[Created_Date]],Dim_Date!A:A,Dim_Date!H:H)</f>
        <v>Aug 2024</v>
      </c>
      <c r="T6214" t="str">
        <f>IF(Pipeline_tbl[[#This Row],[Closed_Date]]=0,"",(_xlfn.XLOOKUP(Pipeline_tbl[[#This Row],[Closed_Date]],Dim_Date!A:A,Dim_Date!H:H)))</f>
        <v>Aug 2024</v>
      </c>
      <c r="U6214">
        <f>IF(Pipeline_tbl[[#This Row],[Closed_Date]]=0,"",Pipeline_tbl[[#This Row],[Closed_Date]]-Pipeline_tbl[[#This Row],[Created_Date]])</f>
        <v>23</v>
      </c>
    </row>
    <row r="6215" spans="1:21" ht="15" customHeight="1" x14ac:dyDescent="0.2">
      <c r="A6215" t="s">
        <v>6521</v>
      </c>
      <c r="B6215" t="s">
        <v>237</v>
      </c>
      <c r="C6215" t="s">
        <v>52</v>
      </c>
      <c r="D6215" s="49">
        <v>45520</v>
      </c>
      <c r="E6215" s="49">
        <v>45521</v>
      </c>
      <c r="F6215" s="49">
        <v>45523</v>
      </c>
      <c r="G6215" s="49">
        <v>45526</v>
      </c>
      <c r="I6215" s="49">
        <v>45530</v>
      </c>
      <c r="J6215" t="s">
        <v>49</v>
      </c>
      <c r="K6215" s="33">
        <v>3400</v>
      </c>
      <c r="L6215" t="s">
        <v>61</v>
      </c>
      <c r="M6215" t="str">
        <f>_xlfn.XLOOKUP(Pipeline_tbl[[#This Row],[Rep_ID]],Dim_Reps!A:A,Dim_Reps!K:K)</f>
        <v>EUR</v>
      </c>
      <c r="N6215" s="33">
        <f>(_xlfn.XLOOKUP(Pipeline_tbl[[#This Row],[Rate_Code_Generalized]],Lookups!A:A,Lookups!B:B))*Pipeline_tbl[[#This Row],[Pipeline_Amount_USD]]</f>
        <v>3400</v>
      </c>
      <c r="O6215" t="str">
        <f>_xlfn.XLOOKUP(Pipeline_tbl[[#This Row],[Rep_ID]],Dim_Reps!A:A,Dim_Reps!B:B)</f>
        <v>Hugo Santos</v>
      </c>
      <c r="P6215" t="str">
        <f>_xlfn.XLOOKUP(Pipeline_tbl[[#This Row],[Rep_ID]],Dim_Reps!A:A,Dim_Reps!C:C)</f>
        <v>SDR / Inside Sales Rep</v>
      </c>
      <c r="Q6215" t="str">
        <f>_xlfn.XLOOKUP(Pipeline_tbl[[#This Row],[Rep_ID]],Dim_Reps!A:A,Dim_Reps!D:D)</f>
        <v>Inside Sales</v>
      </c>
      <c r="R6215" t="str">
        <f>_xlfn.XLOOKUP(Pipeline_tbl[[#This Row],[Rep_ID]],Dim_Reps!A:A,Dim_Reps!E:E)</f>
        <v>EMEA</v>
      </c>
      <c r="S6215" t="str">
        <f>_xlfn.XLOOKUP(Pipeline_tbl[[#This Row],[Created_Date]],Dim_Date!A:A,Dim_Date!H:H)</f>
        <v>Aug 2024</v>
      </c>
      <c r="T6215" t="str">
        <f>IF(Pipeline_tbl[[#This Row],[Closed_Date]]=0,"",(_xlfn.XLOOKUP(Pipeline_tbl[[#This Row],[Closed_Date]],Dim_Date!A:A,Dim_Date!H:H)))</f>
        <v>Aug 2024</v>
      </c>
      <c r="U6215">
        <f>IF(Pipeline_tbl[[#This Row],[Closed_Date]]=0,"",Pipeline_tbl[[#This Row],[Closed_Date]]-Pipeline_tbl[[#This Row],[Created_Date]])</f>
        <v>10</v>
      </c>
    </row>
    <row r="6216" spans="1:21" ht="15" customHeight="1" x14ac:dyDescent="0.2">
      <c r="A6216" t="s">
        <v>6522</v>
      </c>
      <c r="B6216" t="s">
        <v>241</v>
      </c>
      <c r="C6216" t="s">
        <v>55</v>
      </c>
      <c r="D6216" s="49">
        <v>45507</v>
      </c>
      <c r="E6216" s="49">
        <v>45509</v>
      </c>
      <c r="F6216" s="49">
        <v>45514</v>
      </c>
      <c r="G6216" s="49">
        <v>45521</v>
      </c>
      <c r="H6216" s="49">
        <v>45527</v>
      </c>
      <c r="I6216" s="49">
        <v>45530</v>
      </c>
      <c r="J6216" t="s">
        <v>47</v>
      </c>
      <c r="K6216" s="33">
        <v>4200</v>
      </c>
      <c r="M6216" t="str">
        <f>_xlfn.XLOOKUP(Pipeline_tbl[[#This Row],[Rep_ID]],Dim_Reps!A:A,Dim_Reps!K:K)</f>
        <v>EUR</v>
      </c>
      <c r="N6216" s="33">
        <f>(_xlfn.XLOOKUP(Pipeline_tbl[[#This Row],[Rate_Code_Generalized]],Lookups!A:A,Lookups!B:B))*Pipeline_tbl[[#This Row],[Pipeline_Amount_USD]]</f>
        <v>4200</v>
      </c>
      <c r="O6216" t="str">
        <f>_xlfn.XLOOKUP(Pipeline_tbl[[#This Row],[Rep_ID]],Dim_Reps!A:A,Dim_Reps!B:B)</f>
        <v>Kenji Weber</v>
      </c>
      <c r="P6216" t="str">
        <f>_xlfn.XLOOKUP(Pipeline_tbl[[#This Row],[Rep_ID]],Dim_Reps!A:A,Dim_Reps!C:C)</f>
        <v>SDR / Inside Sales Rep</v>
      </c>
      <c r="Q6216" t="str">
        <f>_xlfn.XLOOKUP(Pipeline_tbl[[#This Row],[Rep_ID]],Dim_Reps!A:A,Dim_Reps!D:D)</f>
        <v>Inside Sales</v>
      </c>
      <c r="R6216" t="str">
        <f>_xlfn.XLOOKUP(Pipeline_tbl[[#This Row],[Rep_ID]],Dim_Reps!A:A,Dim_Reps!E:E)</f>
        <v>APAC</v>
      </c>
      <c r="S6216" t="str">
        <f>_xlfn.XLOOKUP(Pipeline_tbl[[#This Row],[Created_Date]],Dim_Date!A:A,Dim_Date!H:H)</f>
        <v>Aug 2024</v>
      </c>
      <c r="T6216" t="str">
        <f>IF(Pipeline_tbl[[#This Row],[Closed_Date]]=0,"",(_xlfn.XLOOKUP(Pipeline_tbl[[#This Row],[Closed_Date]],Dim_Date!A:A,Dim_Date!H:H)))</f>
        <v>Aug 2024</v>
      </c>
      <c r="U6216">
        <f>IF(Pipeline_tbl[[#This Row],[Closed_Date]]=0,"",Pipeline_tbl[[#This Row],[Closed_Date]]-Pipeline_tbl[[#This Row],[Created_Date]])</f>
        <v>23</v>
      </c>
    </row>
    <row r="6217" spans="1:21" ht="15" customHeight="1" x14ac:dyDescent="0.2">
      <c r="A6217" t="s">
        <v>6523</v>
      </c>
      <c r="B6217" t="s">
        <v>241</v>
      </c>
      <c r="C6217" t="s">
        <v>54</v>
      </c>
      <c r="D6217" s="49">
        <v>45507</v>
      </c>
      <c r="E6217" s="49">
        <v>45509</v>
      </c>
      <c r="F6217" s="49">
        <v>45514</v>
      </c>
      <c r="G6217" s="49">
        <v>45521</v>
      </c>
      <c r="H6217" s="49">
        <v>45527</v>
      </c>
      <c r="I6217" s="49">
        <v>45530</v>
      </c>
      <c r="J6217" t="s">
        <v>47</v>
      </c>
      <c r="K6217" s="33">
        <v>2100</v>
      </c>
      <c r="M6217" t="str">
        <f>_xlfn.XLOOKUP(Pipeline_tbl[[#This Row],[Rep_ID]],Dim_Reps!A:A,Dim_Reps!K:K)</f>
        <v>EUR</v>
      </c>
      <c r="N6217" s="33">
        <f>(_xlfn.XLOOKUP(Pipeline_tbl[[#This Row],[Rate_Code_Generalized]],Lookups!A:A,Lookups!B:B))*Pipeline_tbl[[#This Row],[Pipeline_Amount_USD]]</f>
        <v>2100</v>
      </c>
      <c r="O6217" t="str">
        <f>_xlfn.XLOOKUP(Pipeline_tbl[[#This Row],[Rep_ID]],Dim_Reps!A:A,Dim_Reps!B:B)</f>
        <v>Kenji Weber</v>
      </c>
      <c r="P6217" t="str">
        <f>_xlfn.XLOOKUP(Pipeline_tbl[[#This Row],[Rep_ID]],Dim_Reps!A:A,Dim_Reps!C:C)</f>
        <v>SDR / Inside Sales Rep</v>
      </c>
      <c r="Q6217" t="str">
        <f>_xlfn.XLOOKUP(Pipeline_tbl[[#This Row],[Rep_ID]],Dim_Reps!A:A,Dim_Reps!D:D)</f>
        <v>Inside Sales</v>
      </c>
      <c r="R6217" t="str">
        <f>_xlfn.XLOOKUP(Pipeline_tbl[[#This Row],[Rep_ID]],Dim_Reps!A:A,Dim_Reps!E:E)</f>
        <v>APAC</v>
      </c>
      <c r="S6217" t="str">
        <f>_xlfn.XLOOKUP(Pipeline_tbl[[#This Row],[Created_Date]],Dim_Date!A:A,Dim_Date!H:H)</f>
        <v>Aug 2024</v>
      </c>
      <c r="T6217" t="str">
        <f>IF(Pipeline_tbl[[#This Row],[Closed_Date]]=0,"",(_xlfn.XLOOKUP(Pipeline_tbl[[#This Row],[Closed_Date]],Dim_Date!A:A,Dim_Date!H:H)))</f>
        <v>Aug 2024</v>
      </c>
      <c r="U6217">
        <f>IF(Pipeline_tbl[[#This Row],[Closed_Date]]=0,"",Pipeline_tbl[[#This Row],[Closed_Date]]-Pipeline_tbl[[#This Row],[Created_Date]])</f>
        <v>23</v>
      </c>
    </row>
    <row r="6218" spans="1:21" ht="15" customHeight="1" x14ac:dyDescent="0.2">
      <c r="A6218" t="s">
        <v>6524</v>
      </c>
      <c r="B6218" t="s">
        <v>241</v>
      </c>
      <c r="C6218" t="s">
        <v>52</v>
      </c>
      <c r="D6218" s="49">
        <v>45506</v>
      </c>
      <c r="E6218" s="49">
        <v>45508</v>
      </c>
      <c r="F6218" s="49">
        <v>45513</v>
      </c>
      <c r="I6218" s="49">
        <v>45529</v>
      </c>
      <c r="J6218" t="s">
        <v>49</v>
      </c>
      <c r="K6218" s="33">
        <v>1900</v>
      </c>
      <c r="L6218" t="s">
        <v>63</v>
      </c>
      <c r="M6218" t="str">
        <f>_xlfn.XLOOKUP(Pipeline_tbl[[#This Row],[Rep_ID]],Dim_Reps!A:A,Dim_Reps!K:K)</f>
        <v>EUR</v>
      </c>
      <c r="N6218" s="33">
        <f>(_xlfn.XLOOKUP(Pipeline_tbl[[#This Row],[Rate_Code_Generalized]],Lookups!A:A,Lookups!B:B))*Pipeline_tbl[[#This Row],[Pipeline_Amount_USD]]</f>
        <v>1900</v>
      </c>
      <c r="O6218" t="str">
        <f>_xlfn.XLOOKUP(Pipeline_tbl[[#This Row],[Rep_ID]],Dim_Reps!A:A,Dim_Reps!B:B)</f>
        <v>Kenji Weber</v>
      </c>
      <c r="P6218" t="str">
        <f>_xlfn.XLOOKUP(Pipeline_tbl[[#This Row],[Rep_ID]],Dim_Reps!A:A,Dim_Reps!C:C)</f>
        <v>SDR / Inside Sales Rep</v>
      </c>
      <c r="Q6218" t="str">
        <f>_xlfn.XLOOKUP(Pipeline_tbl[[#This Row],[Rep_ID]],Dim_Reps!A:A,Dim_Reps!D:D)</f>
        <v>Inside Sales</v>
      </c>
      <c r="R6218" t="str">
        <f>_xlfn.XLOOKUP(Pipeline_tbl[[#This Row],[Rep_ID]],Dim_Reps!A:A,Dim_Reps!E:E)</f>
        <v>APAC</v>
      </c>
      <c r="S6218" t="str">
        <f>_xlfn.XLOOKUP(Pipeline_tbl[[#This Row],[Created_Date]],Dim_Date!A:A,Dim_Date!H:H)</f>
        <v>Aug 2024</v>
      </c>
      <c r="T6218" t="str">
        <f>IF(Pipeline_tbl[[#This Row],[Closed_Date]]=0,"",(_xlfn.XLOOKUP(Pipeline_tbl[[#This Row],[Closed_Date]],Dim_Date!A:A,Dim_Date!H:H)))</f>
        <v>Aug 2024</v>
      </c>
      <c r="U6218">
        <f>IF(Pipeline_tbl[[#This Row],[Closed_Date]]=0,"",Pipeline_tbl[[#This Row],[Closed_Date]]-Pipeline_tbl[[#This Row],[Created_Date]])</f>
        <v>23</v>
      </c>
    </row>
    <row r="6219" spans="1:21" ht="15" customHeight="1" x14ac:dyDescent="0.2">
      <c r="A6219" t="s">
        <v>6525</v>
      </c>
      <c r="B6219" t="s">
        <v>241</v>
      </c>
      <c r="C6219" t="s">
        <v>56</v>
      </c>
      <c r="D6219" s="49">
        <v>45510</v>
      </c>
      <c r="E6219" s="49">
        <v>45512</v>
      </c>
      <c r="F6219" s="49">
        <v>45515</v>
      </c>
      <c r="G6219" s="49">
        <v>45520</v>
      </c>
      <c r="H6219" s="49">
        <v>45524</v>
      </c>
      <c r="I6219" s="49">
        <v>45527</v>
      </c>
      <c r="J6219" t="s">
        <v>47</v>
      </c>
      <c r="K6219" s="33">
        <v>2300</v>
      </c>
      <c r="M6219" t="str">
        <f>_xlfn.XLOOKUP(Pipeline_tbl[[#This Row],[Rep_ID]],Dim_Reps!A:A,Dim_Reps!K:K)</f>
        <v>EUR</v>
      </c>
      <c r="N6219" s="33">
        <f>(_xlfn.XLOOKUP(Pipeline_tbl[[#This Row],[Rate_Code_Generalized]],Lookups!A:A,Lookups!B:B))*Pipeline_tbl[[#This Row],[Pipeline_Amount_USD]]</f>
        <v>2300</v>
      </c>
      <c r="O6219" t="str">
        <f>_xlfn.XLOOKUP(Pipeline_tbl[[#This Row],[Rep_ID]],Dim_Reps!A:A,Dim_Reps!B:B)</f>
        <v>Kenji Weber</v>
      </c>
      <c r="P6219" t="str">
        <f>_xlfn.XLOOKUP(Pipeline_tbl[[#This Row],[Rep_ID]],Dim_Reps!A:A,Dim_Reps!C:C)</f>
        <v>SDR / Inside Sales Rep</v>
      </c>
      <c r="Q6219" t="str">
        <f>_xlfn.XLOOKUP(Pipeline_tbl[[#This Row],[Rep_ID]],Dim_Reps!A:A,Dim_Reps!D:D)</f>
        <v>Inside Sales</v>
      </c>
      <c r="R6219" t="str">
        <f>_xlfn.XLOOKUP(Pipeline_tbl[[#This Row],[Rep_ID]],Dim_Reps!A:A,Dim_Reps!E:E)</f>
        <v>APAC</v>
      </c>
      <c r="S6219" t="str">
        <f>_xlfn.XLOOKUP(Pipeline_tbl[[#This Row],[Created_Date]],Dim_Date!A:A,Dim_Date!H:H)</f>
        <v>Aug 2024</v>
      </c>
      <c r="T6219" t="str">
        <f>IF(Pipeline_tbl[[#This Row],[Closed_Date]]=0,"",(_xlfn.XLOOKUP(Pipeline_tbl[[#This Row],[Closed_Date]],Dim_Date!A:A,Dim_Date!H:H)))</f>
        <v>Aug 2024</v>
      </c>
      <c r="U6219">
        <f>IF(Pipeline_tbl[[#This Row],[Closed_Date]]=0,"",Pipeline_tbl[[#This Row],[Closed_Date]]-Pipeline_tbl[[#This Row],[Created_Date]])</f>
        <v>17</v>
      </c>
    </row>
    <row r="6220" spans="1:21" ht="15" customHeight="1" x14ac:dyDescent="0.2">
      <c r="A6220" t="s">
        <v>6526</v>
      </c>
      <c r="B6220" t="s">
        <v>241</v>
      </c>
      <c r="C6220" t="s">
        <v>53</v>
      </c>
      <c r="D6220" s="49">
        <v>45513</v>
      </c>
      <c r="E6220" s="49">
        <v>45514</v>
      </c>
      <c r="F6220" s="49">
        <v>45516</v>
      </c>
      <c r="G6220" s="49">
        <v>45518</v>
      </c>
      <c r="H6220" s="49">
        <v>45521</v>
      </c>
      <c r="I6220" s="49">
        <v>45522</v>
      </c>
      <c r="J6220" t="s">
        <v>49</v>
      </c>
      <c r="K6220" s="33">
        <v>4500</v>
      </c>
      <c r="L6220" t="s">
        <v>61</v>
      </c>
      <c r="M6220" t="str">
        <f>_xlfn.XLOOKUP(Pipeline_tbl[[#This Row],[Rep_ID]],Dim_Reps!A:A,Dim_Reps!K:K)</f>
        <v>EUR</v>
      </c>
      <c r="N6220" s="33">
        <f>(_xlfn.XLOOKUP(Pipeline_tbl[[#This Row],[Rate_Code_Generalized]],Lookups!A:A,Lookups!B:B))*Pipeline_tbl[[#This Row],[Pipeline_Amount_USD]]</f>
        <v>4500</v>
      </c>
      <c r="O6220" t="str">
        <f>_xlfn.XLOOKUP(Pipeline_tbl[[#This Row],[Rep_ID]],Dim_Reps!A:A,Dim_Reps!B:B)</f>
        <v>Kenji Weber</v>
      </c>
      <c r="P6220" t="str">
        <f>_xlfn.XLOOKUP(Pipeline_tbl[[#This Row],[Rep_ID]],Dim_Reps!A:A,Dim_Reps!C:C)</f>
        <v>SDR / Inside Sales Rep</v>
      </c>
      <c r="Q6220" t="str">
        <f>_xlfn.XLOOKUP(Pipeline_tbl[[#This Row],[Rep_ID]],Dim_Reps!A:A,Dim_Reps!D:D)</f>
        <v>Inside Sales</v>
      </c>
      <c r="R6220" t="str">
        <f>_xlfn.XLOOKUP(Pipeline_tbl[[#This Row],[Rep_ID]],Dim_Reps!A:A,Dim_Reps!E:E)</f>
        <v>APAC</v>
      </c>
      <c r="S6220" t="str">
        <f>_xlfn.XLOOKUP(Pipeline_tbl[[#This Row],[Created_Date]],Dim_Date!A:A,Dim_Date!H:H)</f>
        <v>Aug 2024</v>
      </c>
      <c r="T6220" t="str">
        <f>IF(Pipeline_tbl[[#This Row],[Closed_Date]]=0,"",(_xlfn.XLOOKUP(Pipeline_tbl[[#This Row],[Closed_Date]],Dim_Date!A:A,Dim_Date!H:H)))</f>
        <v>Aug 2024</v>
      </c>
      <c r="U6220">
        <f>IF(Pipeline_tbl[[#This Row],[Closed_Date]]=0,"",Pipeline_tbl[[#This Row],[Closed_Date]]-Pipeline_tbl[[#This Row],[Created_Date]])</f>
        <v>9</v>
      </c>
    </row>
    <row r="6221" spans="1:21" ht="15" customHeight="1" x14ac:dyDescent="0.2">
      <c r="A6221" t="s">
        <v>6527</v>
      </c>
      <c r="B6221" t="s">
        <v>241</v>
      </c>
      <c r="C6221" t="s">
        <v>54</v>
      </c>
      <c r="D6221" s="49">
        <v>45507</v>
      </c>
      <c r="E6221" s="49">
        <v>45508</v>
      </c>
      <c r="F6221" s="49">
        <v>45510</v>
      </c>
      <c r="G6221" s="49">
        <v>45513</v>
      </c>
      <c r="H6221" s="49">
        <v>45515</v>
      </c>
      <c r="I6221" s="49">
        <v>45517</v>
      </c>
      <c r="J6221" t="s">
        <v>47</v>
      </c>
      <c r="K6221" s="33">
        <v>4400</v>
      </c>
      <c r="M6221" t="str">
        <f>_xlfn.XLOOKUP(Pipeline_tbl[[#This Row],[Rep_ID]],Dim_Reps!A:A,Dim_Reps!K:K)</f>
        <v>EUR</v>
      </c>
      <c r="N6221" s="33">
        <f>(_xlfn.XLOOKUP(Pipeline_tbl[[#This Row],[Rate_Code_Generalized]],Lookups!A:A,Lookups!B:B))*Pipeline_tbl[[#This Row],[Pipeline_Amount_USD]]</f>
        <v>4400</v>
      </c>
      <c r="O6221" t="str">
        <f>_xlfn.XLOOKUP(Pipeline_tbl[[#This Row],[Rep_ID]],Dim_Reps!A:A,Dim_Reps!B:B)</f>
        <v>Kenji Weber</v>
      </c>
      <c r="P6221" t="str">
        <f>_xlfn.XLOOKUP(Pipeline_tbl[[#This Row],[Rep_ID]],Dim_Reps!A:A,Dim_Reps!C:C)</f>
        <v>SDR / Inside Sales Rep</v>
      </c>
      <c r="Q6221" t="str">
        <f>_xlfn.XLOOKUP(Pipeline_tbl[[#This Row],[Rep_ID]],Dim_Reps!A:A,Dim_Reps!D:D)</f>
        <v>Inside Sales</v>
      </c>
      <c r="R6221" t="str">
        <f>_xlfn.XLOOKUP(Pipeline_tbl[[#This Row],[Rep_ID]],Dim_Reps!A:A,Dim_Reps!E:E)</f>
        <v>APAC</v>
      </c>
      <c r="S6221" t="str">
        <f>_xlfn.XLOOKUP(Pipeline_tbl[[#This Row],[Created_Date]],Dim_Date!A:A,Dim_Date!H:H)</f>
        <v>Aug 2024</v>
      </c>
      <c r="T6221" t="str">
        <f>IF(Pipeline_tbl[[#This Row],[Closed_Date]]=0,"",(_xlfn.XLOOKUP(Pipeline_tbl[[#This Row],[Closed_Date]],Dim_Date!A:A,Dim_Date!H:H)))</f>
        <v>Aug 2024</v>
      </c>
      <c r="U6221">
        <f>IF(Pipeline_tbl[[#This Row],[Closed_Date]]=0,"",Pipeline_tbl[[#This Row],[Closed_Date]]-Pipeline_tbl[[#This Row],[Created_Date]])</f>
        <v>10</v>
      </c>
    </row>
    <row r="6222" spans="1:21" ht="15" customHeight="1" x14ac:dyDescent="0.2">
      <c r="A6222" t="s">
        <v>6528</v>
      </c>
      <c r="B6222" t="s">
        <v>278</v>
      </c>
      <c r="C6222" t="s">
        <v>53</v>
      </c>
      <c r="D6222" s="49">
        <v>45529</v>
      </c>
      <c r="E6222" s="49">
        <v>45541</v>
      </c>
      <c r="F6222" s="49">
        <v>45564</v>
      </c>
      <c r="G6222" s="49">
        <v>45600</v>
      </c>
      <c r="H6222" s="49">
        <v>45629</v>
      </c>
      <c r="I6222" s="49">
        <v>45647</v>
      </c>
      <c r="J6222" t="s">
        <v>47</v>
      </c>
      <c r="K6222" s="33">
        <v>61500</v>
      </c>
      <c r="M6222" t="str">
        <f>_xlfn.XLOOKUP(Pipeline_tbl[[#This Row],[Rep_ID]],Dim_Reps!A:A,Dim_Reps!K:K)</f>
        <v>EUR</v>
      </c>
      <c r="N6222" s="33">
        <f>(_xlfn.XLOOKUP(Pipeline_tbl[[#This Row],[Rate_Code_Generalized]],Lookups!A:A,Lookups!B:B))*Pipeline_tbl[[#This Row],[Pipeline_Amount_USD]]</f>
        <v>61500</v>
      </c>
      <c r="O6222" t="str">
        <f>_xlfn.XLOOKUP(Pipeline_tbl[[#This Row],[Rep_ID]],Dim_Reps!A:A,Dim_Reps!B:B)</f>
        <v>Sara Andersson</v>
      </c>
      <c r="P6222" t="str">
        <f>_xlfn.XLOOKUP(Pipeline_tbl[[#This Row],[Rep_ID]],Dim_Reps!A:A,Dim_Reps!C:C)</f>
        <v>Senior Enterprise AE</v>
      </c>
      <c r="Q6222" t="str">
        <f>_xlfn.XLOOKUP(Pipeline_tbl[[#This Row],[Rep_ID]],Dim_Reps!A:A,Dim_Reps!D:D)</f>
        <v>Strategic</v>
      </c>
      <c r="R6222" t="str">
        <f>_xlfn.XLOOKUP(Pipeline_tbl[[#This Row],[Rep_ID]],Dim_Reps!A:A,Dim_Reps!E:E)</f>
        <v>APAC</v>
      </c>
      <c r="S6222" t="str">
        <f>_xlfn.XLOOKUP(Pipeline_tbl[[#This Row],[Created_Date]],Dim_Date!A:A,Dim_Date!H:H)</f>
        <v>Aug 2024</v>
      </c>
      <c r="T6222" t="str">
        <f>IF(Pipeline_tbl[[#This Row],[Closed_Date]]=0,"",(_xlfn.XLOOKUP(Pipeline_tbl[[#This Row],[Closed_Date]],Dim_Date!A:A,Dim_Date!H:H)))</f>
        <v>Dec 2024</v>
      </c>
      <c r="U6222">
        <f>IF(Pipeline_tbl[[#This Row],[Closed_Date]]=0,"",Pipeline_tbl[[#This Row],[Closed_Date]]-Pipeline_tbl[[#This Row],[Created_Date]])</f>
        <v>118</v>
      </c>
    </row>
    <row r="6223" spans="1:21" ht="15" customHeight="1" x14ac:dyDescent="0.2">
      <c r="A6223" t="s">
        <v>6529</v>
      </c>
      <c r="B6223" t="s">
        <v>280</v>
      </c>
      <c r="C6223" t="s">
        <v>53</v>
      </c>
      <c r="D6223" s="49">
        <v>45525</v>
      </c>
      <c r="E6223" s="49">
        <v>45537</v>
      </c>
      <c r="F6223" s="49">
        <v>45560</v>
      </c>
      <c r="G6223" s="49">
        <v>45594</v>
      </c>
      <c r="H6223" s="49">
        <v>45623</v>
      </c>
      <c r="I6223" s="49">
        <v>45640</v>
      </c>
      <c r="J6223" t="s">
        <v>47</v>
      </c>
      <c r="K6223" s="33">
        <v>122400</v>
      </c>
      <c r="M6223" t="str">
        <f>_xlfn.XLOOKUP(Pipeline_tbl[[#This Row],[Rep_ID]],Dim_Reps!A:A,Dim_Reps!K:K)</f>
        <v>MXN</v>
      </c>
      <c r="N6223" s="33">
        <f>(_xlfn.XLOOKUP(Pipeline_tbl[[#This Row],[Rate_Code_Generalized]],Lookups!A:A,Lookups!B:B))*Pipeline_tbl[[#This Row],[Pipeline_Amount_USD]]</f>
        <v>2415282.48</v>
      </c>
      <c r="O6223" t="str">
        <f>_xlfn.XLOOKUP(Pipeline_tbl[[#This Row],[Rep_ID]],Dim_Reps!A:A,Dim_Reps!B:B)</f>
        <v>Cameron Lund</v>
      </c>
      <c r="P6223" t="str">
        <f>_xlfn.XLOOKUP(Pipeline_tbl[[#This Row],[Rep_ID]],Dim_Reps!A:A,Dim_Reps!C:C)</f>
        <v>Senior Enterprise AE</v>
      </c>
      <c r="Q6223" t="str">
        <f>_xlfn.XLOOKUP(Pipeline_tbl[[#This Row],[Rep_ID]],Dim_Reps!A:A,Dim_Reps!D:D)</f>
        <v>Strategic</v>
      </c>
      <c r="R6223" t="str">
        <f>_xlfn.XLOOKUP(Pipeline_tbl[[#This Row],[Rep_ID]],Dim_Reps!A:A,Dim_Reps!E:E)</f>
        <v>LATAM</v>
      </c>
      <c r="S6223" t="str">
        <f>_xlfn.XLOOKUP(Pipeline_tbl[[#This Row],[Created_Date]],Dim_Date!A:A,Dim_Date!H:H)</f>
        <v>Aug 2024</v>
      </c>
      <c r="T6223" t="str">
        <f>IF(Pipeline_tbl[[#This Row],[Closed_Date]]=0,"",(_xlfn.XLOOKUP(Pipeline_tbl[[#This Row],[Closed_Date]],Dim_Date!A:A,Dim_Date!H:H)))</f>
        <v>Dec 2024</v>
      </c>
      <c r="U6223">
        <f>IF(Pipeline_tbl[[#This Row],[Closed_Date]]=0,"",Pipeline_tbl[[#This Row],[Closed_Date]]-Pipeline_tbl[[#This Row],[Created_Date]])</f>
        <v>115</v>
      </c>
    </row>
    <row r="6224" spans="1:21" ht="15" customHeight="1" x14ac:dyDescent="0.2">
      <c r="A6224" t="s">
        <v>6530</v>
      </c>
      <c r="B6224" t="s">
        <v>191</v>
      </c>
      <c r="C6224" t="s">
        <v>52</v>
      </c>
      <c r="D6224" s="49">
        <v>45527</v>
      </c>
      <c r="E6224" s="49">
        <v>45538</v>
      </c>
      <c r="F6224" s="49">
        <v>45559</v>
      </c>
      <c r="G6224" s="49">
        <v>45591</v>
      </c>
      <c r="H6224" s="49">
        <v>45618</v>
      </c>
      <c r="I6224" s="49">
        <v>45634</v>
      </c>
      <c r="J6224" t="s">
        <v>47</v>
      </c>
      <c r="K6224" s="33">
        <v>51400</v>
      </c>
      <c r="M6224" t="str">
        <f>_xlfn.XLOOKUP(Pipeline_tbl[[#This Row],[Rep_ID]],Dim_Reps!A:A,Dim_Reps!K:K)</f>
        <v>USD</v>
      </c>
      <c r="N6224" s="33">
        <f>(_xlfn.XLOOKUP(Pipeline_tbl[[#This Row],[Rate_Code_Generalized]],Lookups!A:A,Lookups!B:B))*Pipeline_tbl[[#This Row],[Pipeline_Amount_USD]]</f>
        <v>59845.02</v>
      </c>
      <c r="O6224" t="str">
        <f>_xlfn.XLOOKUP(Pipeline_tbl[[#This Row],[Rep_ID]],Dim_Reps!A:A,Dim_Reps!B:B)</f>
        <v>Zara Duarte</v>
      </c>
      <c r="P6224" t="str">
        <f>_xlfn.XLOOKUP(Pipeline_tbl[[#This Row],[Rep_ID]],Dim_Reps!A:A,Dim_Reps!C:C)</f>
        <v>Enterprise AE</v>
      </c>
      <c r="Q6224" t="str">
        <f>_xlfn.XLOOKUP(Pipeline_tbl[[#This Row],[Rep_ID]],Dim_Reps!A:A,Dim_Reps!D:D)</f>
        <v>Enterprise</v>
      </c>
      <c r="R6224" t="str">
        <f>_xlfn.XLOOKUP(Pipeline_tbl[[#This Row],[Rep_ID]],Dim_Reps!A:A,Dim_Reps!E:E)</f>
        <v>NAMER</v>
      </c>
      <c r="S6224" t="str">
        <f>_xlfn.XLOOKUP(Pipeline_tbl[[#This Row],[Created_Date]],Dim_Date!A:A,Dim_Date!H:H)</f>
        <v>Aug 2024</v>
      </c>
      <c r="T6224" t="str">
        <f>IF(Pipeline_tbl[[#This Row],[Closed_Date]]=0,"",(_xlfn.XLOOKUP(Pipeline_tbl[[#This Row],[Closed_Date]],Dim_Date!A:A,Dim_Date!H:H)))</f>
        <v>Dec 2024</v>
      </c>
      <c r="U6224">
        <f>IF(Pipeline_tbl[[#This Row],[Closed_Date]]=0,"",Pipeline_tbl[[#This Row],[Closed_Date]]-Pipeline_tbl[[#This Row],[Created_Date]])</f>
        <v>107</v>
      </c>
    </row>
    <row r="6225" spans="1:21" ht="15" customHeight="1" x14ac:dyDescent="0.2">
      <c r="A6225" t="s">
        <v>6531</v>
      </c>
      <c r="B6225" t="s">
        <v>181</v>
      </c>
      <c r="C6225" t="s">
        <v>53</v>
      </c>
      <c r="D6225" s="49">
        <v>45526</v>
      </c>
      <c r="E6225" s="49">
        <v>45533</v>
      </c>
      <c r="F6225" s="49">
        <v>45548</v>
      </c>
      <c r="G6225" s="49">
        <v>45570</v>
      </c>
      <c r="H6225" s="49">
        <v>45588</v>
      </c>
      <c r="I6225" s="49">
        <v>45599</v>
      </c>
      <c r="J6225" t="s">
        <v>47</v>
      </c>
      <c r="K6225" s="33">
        <v>32100</v>
      </c>
      <c r="M6225" t="str">
        <f>_xlfn.XLOOKUP(Pipeline_tbl[[#This Row],[Rep_ID]],Dim_Reps!A:A,Dim_Reps!K:K)</f>
        <v>USD</v>
      </c>
      <c r="N6225" s="33">
        <f>(_xlfn.XLOOKUP(Pipeline_tbl[[#This Row],[Rate_Code_Generalized]],Lookups!A:A,Lookups!B:B))*Pipeline_tbl[[#This Row],[Pipeline_Amount_USD]]</f>
        <v>37374.03</v>
      </c>
      <c r="O6225" t="str">
        <f>_xlfn.XLOOKUP(Pipeline_tbl[[#This Row],[Rep_ID]],Dim_Reps!A:A,Dim_Reps!B:B)</f>
        <v>Milo Weber</v>
      </c>
      <c r="P6225" t="str">
        <f>_xlfn.XLOOKUP(Pipeline_tbl[[#This Row],[Rep_ID]],Dim_Reps!A:A,Dim_Reps!C:C)</f>
        <v>Enterprise AE</v>
      </c>
      <c r="Q6225" t="str">
        <f>_xlfn.XLOOKUP(Pipeline_tbl[[#This Row],[Rep_ID]],Dim_Reps!A:A,Dim_Reps!D:D)</f>
        <v>Enterprise</v>
      </c>
      <c r="R6225" t="str">
        <f>_xlfn.XLOOKUP(Pipeline_tbl[[#This Row],[Rep_ID]],Dim_Reps!A:A,Dim_Reps!E:E)</f>
        <v>NAMER</v>
      </c>
      <c r="S6225" t="str">
        <f>_xlfn.XLOOKUP(Pipeline_tbl[[#This Row],[Created_Date]],Dim_Date!A:A,Dim_Date!H:H)</f>
        <v>Aug 2024</v>
      </c>
      <c r="T6225" t="str">
        <f>IF(Pipeline_tbl[[#This Row],[Closed_Date]]=0,"",(_xlfn.XLOOKUP(Pipeline_tbl[[#This Row],[Closed_Date]],Dim_Date!A:A,Dim_Date!H:H)))</f>
        <v>Nov 2024</v>
      </c>
      <c r="U6225">
        <f>IF(Pipeline_tbl[[#This Row],[Closed_Date]]=0,"",Pipeline_tbl[[#This Row],[Closed_Date]]-Pipeline_tbl[[#This Row],[Created_Date]])</f>
        <v>73</v>
      </c>
    </row>
    <row r="6226" spans="1:21" ht="15" customHeight="1" x14ac:dyDescent="0.2">
      <c r="A6226" t="s">
        <v>6532</v>
      </c>
      <c r="B6226" t="s">
        <v>183</v>
      </c>
      <c r="C6226" t="s">
        <v>55</v>
      </c>
      <c r="D6226" s="49">
        <v>45532</v>
      </c>
      <c r="E6226" s="49">
        <v>45540</v>
      </c>
      <c r="F6226" s="49">
        <v>45556</v>
      </c>
      <c r="I6226" s="49">
        <v>45612</v>
      </c>
      <c r="J6226" t="s">
        <v>49</v>
      </c>
      <c r="K6226" s="33">
        <v>33300</v>
      </c>
      <c r="L6226" t="s">
        <v>62</v>
      </c>
      <c r="M6226" t="str">
        <f>_xlfn.XLOOKUP(Pipeline_tbl[[#This Row],[Rep_ID]],Dim_Reps!A:A,Dim_Reps!K:K)</f>
        <v>EUR</v>
      </c>
      <c r="N6226" s="33">
        <f>(_xlfn.XLOOKUP(Pipeline_tbl[[#This Row],[Rate_Code_Generalized]],Lookups!A:A,Lookups!B:B))*Pipeline_tbl[[#This Row],[Pipeline_Amount_USD]]</f>
        <v>33300</v>
      </c>
      <c r="O6226" t="str">
        <f>_xlfn.XLOOKUP(Pipeline_tbl[[#This Row],[Rep_ID]],Dim_Reps!A:A,Dim_Reps!B:B)</f>
        <v>Sam Schmidt</v>
      </c>
      <c r="P6226" t="str">
        <f>_xlfn.XLOOKUP(Pipeline_tbl[[#This Row],[Rep_ID]],Dim_Reps!A:A,Dim_Reps!C:C)</f>
        <v>Enterprise AE</v>
      </c>
      <c r="Q6226" t="str">
        <f>_xlfn.XLOOKUP(Pipeline_tbl[[#This Row],[Rep_ID]],Dim_Reps!A:A,Dim_Reps!D:D)</f>
        <v>Enterprise</v>
      </c>
      <c r="R6226" t="str">
        <f>_xlfn.XLOOKUP(Pipeline_tbl[[#This Row],[Rep_ID]],Dim_Reps!A:A,Dim_Reps!E:E)</f>
        <v>EMEA</v>
      </c>
      <c r="S6226" t="str">
        <f>_xlfn.XLOOKUP(Pipeline_tbl[[#This Row],[Created_Date]],Dim_Date!A:A,Dim_Date!H:H)</f>
        <v>Aug 2024</v>
      </c>
      <c r="T6226" t="str">
        <f>IF(Pipeline_tbl[[#This Row],[Closed_Date]]=0,"",(_xlfn.XLOOKUP(Pipeline_tbl[[#This Row],[Closed_Date]],Dim_Date!A:A,Dim_Date!H:H)))</f>
        <v>Nov 2024</v>
      </c>
      <c r="U6226">
        <f>IF(Pipeline_tbl[[#This Row],[Closed_Date]]=0,"",Pipeline_tbl[[#This Row],[Closed_Date]]-Pipeline_tbl[[#This Row],[Created_Date]])</f>
        <v>80</v>
      </c>
    </row>
    <row r="6227" spans="1:21" ht="15" customHeight="1" x14ac:dyDescent="0.2">
      <c r="A6227" t="s">
        <v>6533</v>
      </c>
      <c r="B6227" t="s">
        <v>185</v>
      </c>
      <c r="C6227" t="s">
        <v>53</v>
      </c>
      <c r="D6227" s="49">
        <v>45512</v>
      </c>
      <c r="E6227" s="49">
        <v>45521</v>
      </c>
      <c r="F6227" s="49">
        <v>45540</v>
      </c>
      <c r="I6227" s="49">
        <v>45604</v>
      </c>
      <c r="J6227" t="s">
        <v>49</v>
      </c>
      <c r="K6227" s="33">
        <v>24100</v>
      </c>
      <c r="L6227" t="s">
        <v>60</v>
      </c>
      <c r="M6227" t="str">
        <f>_xlfn.XLOOKUP(Pipeline_tbl[[#This Row],[Rep_ID]],Dim_Reps!A:A,Dim_Reps!K:K)</f>
        <v>MXN</v>
      </c>
      <c r="N6227" s="33">
        <f>(_xlfn.XLOOKUP(Pipeline_tbl[[#This Row],[Rate_Code_Generalized]],Lookups!A:A,Lookups!B:B))*Pipeline_tbl[[#This Row],[Pipeline_Amount_USD]]</f>
        <v>475558.07</v>
      </c>
      <c r="O6227" t="str">
        <f>_xlfn.XLOOKUP(Pipeline_tbl[[#This Row],[Rep_ID]],Dim_Reps!A:A,Dim_Reps!B:B)</f>
        <v>Noah Kim</v>
      </c>
      <c r="P6227" t="str">
        <f>_xlfn.XLOOKUP(Pipeline_tbl[[#This Row],[Rep_ID]],Dim_Reps!A:A,Dim_Reps!C:C)</f>
        <v>Enterprise AE</v>
      </c>
      <c r="Q6227" t="str">
        <f>_xlfn.XLOOKUP(Pipeline_tbl[[#This Row],[Rep_ID]],Dim_Reps!A:A,Dim_Reps!D:D)</f>
        <v>Enterprise</v>
      </c>
      <c r="R6227" t="str">
        <f>_xlfn.XLOOKUP(Pipeline_tbl[[#This Row],[Rep_ID]],Dim_Reps!A:A,Dim_Reps!E:E)</f>
        <v>LATAM</v>
      </c>
      <c r="S6227" t="str">
        <f>_xlfn.XLOOKUP(Pipeline_tbl[[#This Row],[Created_Date]],Dim_Date!A:A,Dim_Date!H:H)</f>
        <v>Aug 2024</v>
      </c>
      <c r="T6227" t="str">
        <f>IF(Pipeline_tbl[[#This Row],[Closed_Date]]=0,"",(_xlfn.XLOOKUP(Pipeline_tbl[[#This Row],[Closed_Date]],Dim_Date!A:A,Dim_Date!H:H)))</f>
        <v>Nov 2024</v>
      </c>
      <c r="U6227">
        <f>IF(Pipeline_tbl[[#This Row],[Closed_Date]]=0,"",Pipeline_tbl[[#This Row],[Closed_Date]]-Pipeline_tbl[[#This Row],[Created_Date]])</f>
        <v>92</v>
      </c>
    </row>
    <row r="6228" spans="1:21" ht="15" customHeight="1" x14ac:dyDescent="0.2">
      <c r="A6228" t="s">
        <v>6534</v>
      </c>
      <c r="B6228" t="s">
        <v>188</v>
      </c>
      <c r="C6228" t="s">
        <v>54</v>
      </c>
      <c r="D6228" s="49">
        <v>45521</v>
      </c>
      <c r="E6228" s="49">
        <v>45529</v>
      </c>
      <c r="F6228" s="49">
        <v>45547</v>
      </c>
      <c r="G6228" s="49">
        <v>45572</v>
      </c>
      <c r="H6228" s="49">
        <v>45593</v>
      </c>
      <c r="I6228" s="49">
        <v>45606</v>
      </c>
      <c r="J6228" t="s">
        <v>49</v>
      </c>
      <c r="K6228" s="33">
        <v>63400</v>
      </c>
      <c r="L6228" t="s">
        <v>60</v>
      </c>
      <c r="M6228" t="str">
        <f>_xlfn.XLOOKUP(Pipeline_tbl[[#This Row],[Rep_ID]],Dim_Reps!A:A,Dim_Reps!K:K)</f>
        <v>EUR</v>
      </c>
      <c r="N6228" s="33">
        <f>(_xlfn.XLOOKUP(Pipeline_tbl[[#This Row],[Rate_Code_Generalized]],Lookups!A:A,Lookups!B:B))*Pipeline_tbl[[#This Row],[Pipeline_Amount_USD]]</f>
        <v>63400</v>
      </c>
      <c r="O6228" t="str">
        <f>_xlfn.XLOOKUP(Pipeline_tbl[[#This Row],[Rep_ID]],Dim_Reps!A:A,Dim_Reps!B:B)</f>
        <v>Jamie Santos</v>
      </c>
      <c r="P6228" t="str">
        <f>_xlfn.XLOOKUP(Pipeline_tbl[[#This Row],[Rep_ID]],Dim_Reps!A:A,Dim_Reps!C:C)</f>
        <v>Enterprise AE</v>
      </c>
      <c r="Q6228" t="str">
        <f>_xlfn.XLOOKUP(Pipeline_tbl[[#This Row],[Rep_ID]],Dim_Reps!A:A,Dim_Reps!D:D)</f>
        <v>Enterprise</v>
      </c>
      <c r="R6228" t="str">
        <f>_xlfn.XLOOKUP(Pipeline_tbl[[#This Row],[Rep_ID]],Dim_Reps!A:A,Dim_Reps!E:E)</f>
        <v>APAC</v>
      </c>
      <c r="S6228" t="str">
        <f>_xlfn.XLOOKUP(Pipeline_tbl[[#This Row],[Created_Date]],Dim_Date!A:A,Dim_Date!H:H)</f>
        <v>Aug 2024</v>
      </c>
      <c r="T6228" t="str">
        <f>IF(Pipeline_tbl[[#This Row],[Closed_Date]]=0,"",(_xlfn.XLOOKUP(Pipeline_tbl[[#This Row],[Closed_Date]],Dim_Date!A:A,Dim_Date!H:H)))</f>
        <v>Nov 2024</v>
      </c>
      <c r="U6228">
        <f>IF(Pipeline_tbl[[#This Row],[Closed_Date]]=0,"",Pipeline_tbl[[#This Row],[Closed_Date]]-Pipeline_tbl[[#This Row],[Created_Date]])</f>
        <v>85</v>
      </c>
    </row>
    <row r="6229" spans="1:21" ht="15" customHeight="1" x14ac:dyDescent="0.2">
      <c r="A6229" t="s">
        <v>6535</v>
      </c>
      <c r="B6229" t="s">
        <v>191</v>
      </c>
      <c r="C6229" t="s">
        <v>52</v>
      </c>
      <c r="D6229" s="49">
        <v>45516</v>
      </c>
      <c r="E6229" s="49">
        <v>45524</v>
      </c>
      <c r="F6229" s="49">
        <v>45541</v>
      </c>
      <c r="G6229" s="49">
        <v>45565</v>
      </c>
      <c r="H6229" s="49">
        <v>45586</v>
      </c>
      <c r="I6229" s="49">
        <v>45598</v>
      </c>
      <c r="J6229" t="s">
        <v>47</v>
      </c>
      <c r="K6229" s="33">
        <v>22600</v>
      </c>
      <c r="M6229" t="str">
        <f>_xlfn.XLOOKUP(Pipeline_tbl[[#This Row],[Rep_ID]],Dim_Reps!A:A,Dim_Reps!K:K)</f>
        <v>USD</v>
      </c>
      <c r="N6229" s="33">
        <f>(_xlfn.XLOOKUP(Pipeline_tbl[[#This Row],[Rate_Code_Generalized]],Lookups!A:A,Lookups!B:B))*Pipeline_tbl[[#This Row],[Pipeline_Amount_USD]]</f>
        <v>26313.179999999997</v>
      </c>
      <c r="O6229" t="str">
        <f>_xlfn.XLOOKUP(Pipeline_tbl[[#This Row],[Rep_ID]],Dim_Reps!A:A,Dim_Reps!B:B)</f>
        <v>Zara Duarte</v>
      </c>
      <c r="P6229" t="str">
        <f>_xlfn.XLOOKUP(Pipeline_tbl[[#This Row],[Rep_ID]],Dim_Reps!A:A,Dim_Reps!C:C)</f>
        <v>Enterprise AE</v>
      </c>
      <c r="Q6229" t="str">
        <f>_xlfn.XLOOKUP(Pipeline_tbl[[#This Row],[Rep_ID]],Dim_Reps!A:A,Dim_Reps!D:D)</f>
        <v>Enterprise</v>
      </c>
      <c r="R6229" t="str">
        <f>_xlfn.XLOOKUP(Pipeline_tbl[[#This Row],[Rep_ID]],Dim_Reps!A:A,Dim_Reps!E:E)</f>
        <v>NAMER</v>
      </c>
      <c r="S6229" t="str">
        <f>_xlfn.XLOOKUP(Pipeline_tbl[[#This Row],[Created_Date]],Dim_Date!A:A,Dim_Date!H:H)</f>
        <v>Aug 2024</v>
      </c>
      <c r="T6229" t="str">
        <f>IF(Pipeline_tbl[[#This Row],[Closed_Date]]=0,"",(_xlfn.XLOOKUP(Pipeline_tbl[[#This Row],[Closed_Date]],Dim_Date!A:A,Dim_Date!H:H)))</f>
        <v>Nov 2024</v>
      </c>
      <c r="U6229">
        <f>IF(Pipeline_tbl[[#This Row],[Closed_Date]]=0,"",Pipeline_tbl[[#This Row],[Closed_Date]]-Pipeline_tbl[[#This Row],[Created_Date]])</f>
        <v>82</v>
      </c>
    </row>
    <row r="6230" spans="1:21" ht="15" customHeight="1" x14ac:dyDescent="0.2">
      <c r="A6230" t="s">
        <v>6536</v>
      </c>
      <c r="B6230" t="s">
        <v>191</v>
      </c>
      <c r="C6230" t="s">
        <v>54</v>
      </c>
      <c r="D6230" s="49">
        <v>45532</v>
      </c>
      <c r="E6230" s="49">
        <v>45540</v>
      </c>
      <c r="F6230" s="49">
        <v>45556</v>
      </c>
      <c r="I6230" s="49">
        <v>45611</v>
      </c>
      <c r="J6230" t="s">
        <v>49</v>
      </c>
      <c r="K6230" s="33">
        <v>21300</v>
      </c>
      <c r="L6230" t="s">
        <v>62</v>
      </c>
      <c r="M6230" t="str">
        <f>_xlfn.XLOOKUP(Pipeline_tbl[[#This Row],[Rep_ID]],Dim_Reps!A:A,Dim_Reps!K:K)</f>
        <v>USD</v>
      </c>
      <c r="N6230" s="33">
        <f>(_xlfn.XLOOKUP(Pipeline_tbl[[#This Row],[Rate_Code_Generalized]],Lookups!A:A,Lookups!B:B))*Pipeline_tbl[[#This Row],[Pipeline_Amount_USD]]</f>
        <v>24799.589999999997</v>
      </c>
      <c r="O6230" t="str">
        <f>_xlfn.XLOOKUP(Pipeline_tbl[[#This Row],[Rep_ID]],Dim_Reps!A:A,Dim_Reps!B:B)</f>
        <v>Zara Duarte</v>
      </c>
      <c r="P6230" t="str">
        <f>_xlfn.XLOOKUP(Pipeline_tbl[[#This Row],[Rep_ID]],Dim_Reps!A:A,Dim_Reps!C:C)</f>
        <v>Enterprise AE</v>
      </c>
      <c r="Q6230" t="str">
        <f>_xlfn.XLOOKUP(Pipeline_tbl[[#This Row],[Rep_ID]],Dim_Reps!A:A,Dim_Reps!D:D)</f>
        <v>Enterprise</v>
      </c>
      <c r="R6230" t="str">
        <f>_xlfn.XLOOKUP(Pipeline_tbl[[#This Row],[Rep_ID]],Dim_Reps!A:A,Dim_Reps!E:E)</f>
        <v>NAMER</v>
      </c>
      <c r="S6230" t="str">
        <f>_xlfn.XLOOKUP(Pipeline_tbl[[#This Row],[Created_Date]],Dim_Date!A:A,Dim_Date!H:H)</f>
        <v>Aug 2024</v>
      </c>
      <c r="T6230" t="str">
        <f>IF(Pipeline_tbl[[#This Row],[Closed_Date]]=0,"",(_xlfn.XLOOKUP(Pipeline_tbl[[#This Row],[Closed_Date]],Dim_Date!A:A,Dim_Date!H:H)))</f>
        <v>Nov 2024</v>
      </c>
      <c r="U6230">
        <f>IF(Pipeline_tbl[[#This Row],[Closed_Date]]=0,"",Pipeline_tbl[[#This Row],[Closed_Date]]-Pipeline_tbl[[#This Row],[Created_Date]])</f>
        <v>79</v>
      </c>
    </row>
    <row r="6231" spans="1:21" ht="15" customHeight="1" x14ac:dyDescent="0.2">
      <c r="A6231" t="s">
        <v>6537</v>
      </c>
      <c r="B6231" t="s">
        <v>243</v>
      </c>
      <c r="C6231" t="s">
        <v>56</v>
      </c>
      <c r="D6231" s="49">
        <v>45512</v>
      </c>
      <c r="E6231" s="49">
        <v>45518</v>
      </c>
      <c r="F6231" s="49">
        <v>45530</v>
      </c>
      <c r="G6231" s="49">
        <v>45547</v>
      </c>
      <c r="H6231" s="49">
        <v>45562</v>
      </c>
      <c r="I6231" s="49">
        <v>45571</v>
      </c>
      <c r="J6231" t="s">
        <v>47</v>
      </c>
      <c r="K6231" s="33">
        <v>19400</v>
      </c>
      <c r="M6231" t="str">
        <f>_xlfn.XLOOKUP(Pipeline_tbl[[#This Row],[Rep_ID]],Dim_Reps!A:A,Dim_Reps!K:K)</f>
        <v>MXN</v>
      </c>
      <c r="N6231" s="33">
        <f>(_xlfn.XLOOKUP(Pipeline_tbl[[#This Row],[Rate_Code_Generalized]],Lookups!A:A,Lookups!B:B))*Pipeline_tbl[[#This Row],[Pipeline_Amount_USD]]</f>
        <v>382814.38</v>
      </c>
      <c r="O6231" t="str">
        <f>_xlfn.XLOOKUP(Pipeline_tbl[[#This Row],[Rep_ID]],Dim_Reps!A:A,Dim_Reps!B:B)</f>
        <v>Jonas Sato</v>
      </c>
      <c r="P6231" t="str">
        <f>_xlfn.XLOOKUP(Pipeline_tbl[[#This Row],[Rep_ID]],Dim_Reps!A:A,Dim_Reps!C:C)</f>
        <v>Mid-Market AE</v>
      </c>
      <c r="Q6231" t="str">
        <f>_xlfn.XLOOKUP(Pipeline_tbl[[#This Row],[Rep_ID]],Dim_Reps!A:A,Dim_Reps!D:D)</f>
        <v>Mid-Market</v>
      </c>
      <c r="R6231" t="str">
        <f>_xlfn.XLOOKUP(Pipeline_tbl[[#This Row],[Rep_ID]],Dim_Reps!A:A,Dim_Reps!E:E)</f>
        <v>LATAM</v>
      </c>
      <c r="S6231" t="str">
        <f>_xlfn.XLOOKUP(Pipeline_tbl[[#This Row],[Created_Date]],Dim_Date!A:A,Dim_Date!H:H)</f>
        <v>Aug 2024</v>
      </c>
      <c r="T6231" t="str">
        <f>IF(Pipeline_tbl[[#This Row],[Closed_Date]]=0,"",(_xlfn.XLOOKUP(Pipeline_tbl[[#This Row],[Closed_Date]],Dim_Date!A:A,Dim_Date!H:H)))</f>
        <v>Oct 2024</v>
      </c>
      <c r="U6231">
        <f>IF(Pipeline_tbl[[#This Row],[Closed_Date]]=0,"",Pipeline_tbl[[#This Row],[Closed_Date]]-Pipeline_tbl[[#This Row],[Created_Date]])</f>
        <v>59</v>
      </c>
    </row>
    <row r="6232" spans="1:21" ht="15" customHeight="1" x14ac:dyDescent="0.2">
      <c r="A6232" t="s">
        <v>6538</v>
      </c>
      <c r="B6232" t="s">
        <v>243</v>
      </c>
      <c r="C6232" t="s">
        <v>52</v>
      </c>
      <c r="D6232" s="49">
        <v>45530</v>
      </c>
      <c r="E6232" s="49">
        <v>45534</v>
      </c>
      <c r="F6232" s="49">
        <v>45543</v>
      </c>
      <c r="G6232" s="49">
        <v>45555</v>
      </c>
      <c r="I6232" s="49">
        <v>45572</v>
      </c>
      <c r="J6232" t="s">
        <v>49</v>
      </c>
      <c r="K6232" s="33">
        <v>13800</v>
      </c>
      <c r="L6232" t="s">
        <v>61</v>
      </c>
      <c r="M6232" t="str">
        <f>_xlfn.XLOOKUP(Pipeline_tbl[[#This Row],[Rep_ID]],Dim_Reps!A:A,Dim_Reps!K:K)</f>
        <v>MXN</v>
      </c>
      <c r="N6232" s="33">
        <f>(_xlfn.XLOOKUP(Pipeline_tbl[[#This Row],[Rate_Code_Generalized]],Lookups!A:A,Lookups!B:B))*Pipeline_tbl[[#This Row],[Pipeline_Amount_USD]]</f>
        <v>272311.26</v>
      </c>
      <c r="O6232" t="str">
        <f>_xlfn.XLOOKUP(Pipeline_tbl[[#This Row],[Rep_ID]],Dim_Reps!A:A,Dim_Reps!B:B)</f>
        <v>Jonas Sato</v>
      </c>
      <c r="P6232" t="str">
        <f>_xlfn.XLOOKUP(Pipeline_tbl[[#This Row],[Rep_ID]],Dim_Reps!A:A,Dim_Reps!C:C)</f>
        <v>Mid-Market AE</v>
      </c>
      <c r="Q6232" t="str">
        <f>_xlfn.XLOOKUP(Pipeline_tbl[[#This Row],[Rep_ID]],Dim_Reps!A:A,Dim_Reps!D:D)</f>
        <v>Mid-Market</v>
      </c>
      <c r="R6232" t="str">
        <f>_xlfn.XLOOKUP(Pipeline_tbl[[#This Row],[Rep_ID]],Dim_Reps!A:A,Dim_Reps!E:E)</f>
        <v>LATAM</v>
      </c>
      <c r="S6232" t="str">
        <f>_xlfn.XLOOKUP(Pipeline_tbl[[#This Row],[Created_Date]],Dim_Date!A:A,Dim_Date!H:H)</f>
        <v>Aug 2024</v>
      </c>
      <c r="T6232" t="str">
        <f>IF(Pipeline_tbl[[#This Row],[Closed_Date]]=0,"",(_xlfn.XLOOKUP(Pipeline_tbl[[#This Row],[Closed_Date]],Dim_Date!A:A,Dim_Date!H:H)))</f>
        <v>Oct 2024</v>
      </c>
      <c r="U6232">
        <f>IF(Pipeline_tbl[[#This Row],[Closed_Date]]=0,"",Pipeline_tbl[[#This Row],[Closed_Date]]-Pipeline_tbl[[#This Row],[Created_Date]])</f>
        <v>42</v>
      </c>
    </row>
    <row r="6233" spans="1:21" ht="15" customHeight="1" x14ac:dyDescent="0.2">
      <c r="A6233" t="s">
        <v>6539</v>
      </c>
      <c r="B6233" t="s">
        <v>181</v>
      </c>
      <c r="C6233" t="s">
        <v>52</v>
      </c>
      <c r="D6233" s="49">
        <v>45535</v>
      </c>
      <c r="E6233" s="49">
        <v>45539</v>
      </c>
      <c r="I6233" s="49">
        <v>45572</v>
      </c>
      <c r="J6233" t="s">
        <v>49</v>
      </c>
      <c r="K6233" s="33">
        <v>27300</v>
      </c>
      <c r="L6233" t="s">
        <v>62</v>
      </c>
      <c r="M6233" t="str">
        <f>_xlfn.XLOOKUP(Pipeline_tbl[[#This Row],[Rep_ID]],Dim_Reps!A:A,Dim_Reps!K:K)</f>
        <v>USD</v>
      </c>
      <c r="N6233" s="33">
        <f>(_xlfn.XLOOKUP(Pipeline_tbl[[#This Row],[Rate_Code_Generalized]],Lookups!A:A,Lookups!B:B))*Pipeline_tbl[[#This Row],[Pipeline_Amount_USD]]</f>
        <v>31785.389999999996</v>
      </c>
      <c r="O6233" t="str">
        <f>_xlfn.XLOOKUP(Pipeline_tbl[[#This Row],[Rep_ID]],Dim_Reps!A:A,Dim_Reps!B:B)</f>
        <v>Milo Weber</v>
      </c>
      <c r="P6233" t="str">
        <f>_xlfn.XLOOKUP(Pipeline_tbl[[#This Row],[Rep_ID]],Dim_Reps!A:A,Dim_Reps!C:C)</f>
        <v>Enterprise AE</v>
      </c>
      <c r="Q6233" t="str">
        <f>_xlfn.XLOOKUP(Pipeline_tbl[[#This Row],[Rep_ID]],Dim_Reps!A:A,Dim_Reps!D:D)</f>
        <v>Enterprise</v>
      </c>
      <c r="R6233" t="str">
        <f>_xlfn.XLOOKUP(Pipeline_tbl[[#This Row],[Rep_ID]],Dim_Reps!A:A,Dim_Reps!E:E)</f>
        <v>NAMER</v>
      </c>
      <c r="S6233" t="str">
        <f>_xlfn.XLOOKUP(Pipeline_tbl[[#This Row],[Created_Date]],Dim_Date!A:A,Dim_Date!H:H)</f>
        <v>Aug 2024</v>
      </c>
      <c r="T6233" t="str">
        <f>IF(Pipeline_tbl[[#This Row],[Closed_Date]]=0,"",(_xlfn.XLOOKUP(Pipeline_tbl[[#This Row],[Closed_Date]],Dim_Date!A:A,Dim_Date!H:H)))</f>
        <v>Oct 2024</v>
      </c>
      <c r="U6233">
        <f>IF(Pipeline_tbl[[#This Row],[Closed_Date]]=0,"",Pipeline_tbl[[#This Row],[Closed_Date]]-Pipeline_tbl[[#This Row],[Created_Date]])</f>
        <v>37</v>
      </c>
    </row>
    <row r="6234" spans="1:21" ht="15" customHeight="1" x14ac:dyDescent="0.2">
      <c r="A6234" t="s">
        <v>6540</v>
      </c>
      <c r="B6234" t="s">
        <v>181</v>
      </c>
      <c r="C6234" t="s">
        <v>52</v>
      </c>
      <c r="D6234" s="49">
        <v>45529</v>
      </c>
      <c r="E6234" s="49">
        <v>45534</v>
      </c>
      <c r="F6234" s="49">
        <v>45543</v>
      </c>
      <c r="I6234" s="49">
        <v>45575</v>
      </c>
      <c r="J6234" t="s">
        <v>49</v>
      </c>
      <c r="K6234" s="33">
        <v>32900</v>
      </c>
      <c r="L6234" t="s">
        <v>61</v>
      </c>
      <c r="M6234" t="str">
        <f>_xlfn.XLOOKUP(Pipeline_tbl[[#This Row],[Rep_ID]],Dim_Reps!A:A,Dim_Reps!K:K)</f>
        <v>USD</v>
      </c>
      <c r="N6234" s="33">
        <f>(_xlfn.XLOOKUP(Pipeline_tbl[[#This Row],[Rate_Code_Generalized]],Lookups!A:A,Lookups!B:B))*Pipeline_tbl[[#This Row],[Pipeline_Amount_USD]]</f>
        <v>38305.469999999994</v>
      </c>
      <c r="O6234" t="str">
        <f>_xlfn.XLOOKUP(Pipeline_tbl[[#This Row],[Rep_ID]],Dim_Reps!A:A,Dim_Reps!B:B)</f>
        <v>Milo Weber</v>
      </c>
      <c r="P6234" t="str">
        <f>_xlfn.XLOOKUP(Pipeline_tbl[[#This Row],[Rep_ID]],Dim_Reps!A:A,Dim_Reps!C:C)</f>
        <v>Enterprise AE</v>
      </c>
      <c r="Q6234" t="str">
        <f>_xlfn.XLOOKUP(Pipeline_tbl[[#This Row],[Rep_ID]],Dim_Reps!A:A,Dim_Reps!D:D)</f>
        <v>Enterprise</v>
      </c>
      <c r="R6234" t="str">
        <f>_xlfn.XLOOKUP(Pipeline_tbl[[#This Row],[Rep_ID]],Dim_Reps!A:A,Dim_Reps!E:E)</f>
        <v>NAMER</v>
      </c>
      <c r="S6234" t="str">
        <f>_xlfn.XLOOKUP(Pipeline_tbl[[#This Row],[Created_Date]],Dim_Date!A:A,Dim_Date!H:H)</f>
        <v>Aug 2024</v>
      </c>
      <c r="T6234" t="str">
        <f>IF(Pipeline_tbl[[#This Row],[Closed_Date]]=0,"",(_xlfn.XLOOKUP(Pipeline_tbl[[#This Row],[Closed_Date]],Dim_Date!A:A,Dim_Date!H:H)))</f>
        <v>Oct 2024</v>
      </c>
      <c r="U6234">
        <f>IF(Pipeline_tbl[[#This Row],[Closed_Date]]=0,"",Pipeline_tbl[[#This Row],[Closed_Date]]-Pipeline_tbl[[#This Row],[Created_Date]])</f>
        <v>46</v>
      </c>
    </row>
    <row r="6235" spans="1:21" ht="15" customHeight="1" x14ac:dyDescent="0.2">
      <c r="A6235" t="s">
        <v>6541</v>
      </c>
      <c r="B6235" t="s">
        <v>278</v>
      </c>
      <c r="C6235" t="s">
        <v>53</v>
      </c>
      <c r="D6235" s="49">
        <v>45507</v>
      </c>
      <c r="E6235" s="49">
        <v>45513</v>
      </c>
      <c r="F6235" s="49">
        <v>45525</v>
      </c>
      <c r="G6235" s="49">
        <v>45544</v>
      </c>
      <c r="H6235" s="49">
        <v>45559</v>
      </c>
      <c r="I6235" s="49">
        <v>45568</v>
      </c>
      <c r="J6235" t="s">
        <v>47</v>
      </c>
      <c r="K6235" s="33">
        <v>41200</v>
      </c>
      <c r="M6235" t="str">
        <f>_xlfn.XLOOKUP(Pipeline_tbl[[#This Row],[Rep_ID]],Dim_Reps!A:A,Dim_Reps!K:K)</f>
        <v>EUR</v>
      </c>
      <c r="N6235" s="33">
        <f>(_xlfn.XLOOKUP(Pipeline_tbl[[#This Row],[Rate_Code_Generalized]],Lookups!A:A,Lookups!B:B))*Pipeline_tbl[[#This Row],[Pipeline_Amount_USD]]</f>
        <v>41200</v>
      </c>
      <c r="O6235" t="str">
        <f>_xlfn.XLOOKUP(Pipeline_tbl[[#This Row],[Rep_ID]],Dim_Reps!A:A,Dim_Reps!B:B)</f>
        <v>Sara Andersson</v>
      </c>
      <c r="P6235" t="str">
        <f>_xlfn.XLOOKUP(Pipeline_tbl[[#This Row],[Rep_ID]],Dim_Reps!A:A,Dim_Reps!C:C)</f>
        <v>Senior Enterprise AE</v>
      </c>
      <c r="Q6235" t="str">
        <f>_xlfn.XLOOKUP(Pipeline_tbl[[#This Row],[Rep_ID]],Dim_Reps!A:A,Dim_Reps!D:D)</f>
        <v>Strategic</v>
      </c>
      <c r="R6235" t="str">
        <f>_xlfn.XLOOKUP(Pipeline_tbl[[#This Row],[Rep_ID]],Dim_Reps!A:A,Dim_Reps!E:E)</f>
        <v>APAC</v>
      </c>
      <c r="S6235" t="str">
        <f>_xlfn.XLOOKUP(Pipeline_tbl[[#This Row],[Created_Date]],Dim_Date!A:A,Dim_Date!H:H)</f>
        <v>Aug 2024</v>
      </c>
      <c r="T6235" t="str">
        <f>IF(Pipeline_tbl[[#This Row],[Closed_Date]]=0,"",(_xlfn.XLOOKUP(Pipeline_tbl[[#This Row],[Closed_Date]],Dim_Date!A:A,Dim_Date!H:H)))</f>
        <v>Oct 2024</v>
      </c>
      <c r="U6235">
        <f>IF(Pipeline_tbl[[#This Row],[Closed_Date]]=0,"",Pipeline_tbl[[#This Row],[Closed_Date]]-Pipeline_tbl[[#This Row],[Created_Date]])</f>
        <v>61</v>
      </c>
    </row>
    <row r="6236" spans="1:21" ht="15" customHeight="1" x14ac:dyDescent="0.2">
      <c r="A6236" t="s">
        <v>6542</v>
      </c>
      <c r="B6236" t="s">
        <v>185</v>
      </c>
      <c r="C6236" t="s">
        <v>52</v>
      </c>
      <c r="D6236" s="49">
        <v>45533</v>
      </c>
      <c r="E6236" s="49">
        <v>45538</v>
      </c>
      <c r="F6236" s="49">
        <v>45549</v>
      </c>
      <c r="G6236" s="49">
        <v>45565</v>
      </c>
      <c r="I6236" s="49">
        <v>45587</v>
      </c>
      <c r="J6236" t="s">
        <v>49</v>
      </c>
      <c r="K6236" s="33">
        <v>50900</v>
      </c>
      <c r="L6236" t="s">
        <v>61</v>
      </c>
      <c r="M6236" t="str">
        <f>_xlfn.XLOOKUP(Pipeline_tbl[[#This Row],[Rep_ID]],Dim_Reps!A:A,Dim_Reps!K:K)</f>
        <v>MXN</v>
      </c>
      <c r="N6236" s="33">
        <f>(_xlfn.XLOOKUP(Pipeline_tbl[[#This Row],[Rate_Code_Generalized]],Lookups!A:A,Lookups!B:B))*Pipeline_tbl[[#This Row],[Pipeline_Amount_USD]]</f>
        <v>1004394.43</v>
      </c>
      <c r="O6236" t="str">
        <f>_xlfn.XLOOKUP(Pipeline_tbl[[#This Row],[Rep_ID]],Dim_Reps!A:A,Dim_Reps!B:B)</f>
        <v>Noah Kim</v>
      </c>
      <c r="P6236" t="str">
        <f>_xlfn.XLOOKUP(Pipeline_tbl[[#This Row],[Rep_ID]],Dim_Reps!A:A,Dim_Reps!C:C)</f>
        <v>Enterprise AE</v>
      </c>
      <c r="Q6236" t="str">
        <f>_xlfn.XLOOKUP(Pipeline_tbl[[#This Row],[Rep_ID]],Dim_Reps!A:A,Dim_Reps!D:D)</f>
        <v>Enterprise</v>
      </c>
      <c r="R6236" t="str">
        <f>_xlfn.XLOOKUP(Pipeline_tbl[[#This Row],[Rep_ID]],Dim_Reps!A:A,Dim_Reps!E:E)</f>
        <v>LATAM</v>
      </c>
      <c r="S6236" t="str">
        <f>_xlfn.XLOOKUP(Pipeline_tbl[[#This Row],[Created_Date]],Dim_Date!A:A,Dim_Date!H:H)</f>
        <v>Aug 2024</v>
      </c>
      <c r="T6236" t="str">
        <f>IF(Pipeline_tbl[[#This Row],[Closed_Date]]=0,"",(_xlfn.XLOOKUP(Pipeline_tbl[[#This Row],[Closed_Date]],Dim_Date!A:A,Dim_Date!H:H)))</f>
        <v>Oct 2024</v>
      </c>
      <c r="U6236">
        <f>IF(Pipeline_tbl[[#This Row],[Closed_Date]]=0,"",Pipeline_tbl[[#This Row],[Closed_Date]]-Pipeline_tbl[[#This Row],[Created_Date]])</f>
        <v>54</v>
      </c>
    </row>
    <row r="6237" spans="1:21" ht="15" customHeight="1" x14ac:dyDescent="0.2">
      <c r="A6237" t="s">
        <v>6543</v>
      </c>
      <c r="B6237" t="s">
        <v>282</v>
      </c>
      <c r="C6237" t="s">
        <v>53</v>
      </c>
      <c r="D6237" s="49">
        <v>45514</v>
      </c>
      <c r="E6237" s="49">
        <v>45520</v>
      </c>
      <c r="I6237" s="49">
        <v>45578</v>
      </c>
      <c r="J6237" t="s">
        <v>49</v>
      </c>
      <c r="K6237" s="33">
        <v>29500</v>
      </c>
      <c r="L6237" t="s">
        <v>61</v>
      </c>
      <c r="M6237" t="str">
        <f>_xlfn.XLOOKUP(Pipeline_tbl[[#This Row],[Rep_ID]],Dim_Reps!A:A,Dim_Reps!K:K)</f>
        <v>USD</v>
      </c>
      <c r="N6237" s="33">
        <f>(_xlfn.XLOOKUP(Pipeline_tbl[[#This Row],[Rate_Code_Generalized]],Lookups!A:A,Lookups!B:B))*Pipeline_tbl[[#This Row],[Pipeline_Amount_USD]]</f>
        <v>34346.85</v>
      </c>
      <c r="O6237" t="str">
        <f>_xlfn.XLOOKUP(Pipeline_tbl[[#This Row],[Rep_ID]],Dim_Reps!A:A,Dim_Reps!B:B)</f>
        <v>Fatima Rossi</v>
      </c>
      <c r="P6237" t="str">
        <f>_xlfn.XLOOKUP(Pipeline_tbl[[#This Row],[Rep_ID]],Dim_Reps!A:A,Dim_Reps!C:C)</f>
        <v>Senior Enterprise AE</v>
      </c>
      <c r="Q6237" t="str">
        <f>_xlfn.XLOOKUP(Pipeline_tbl[[#This Row],[Rep_ID]],Dim_Reps!A:A,Dim_Reps!D:D)</f>
        <v>Strategic</v>
      </c>
      <c r="R6237" t="str">
        <f>_xlfn.XLOOKUP(Pipeline_tbl[[#This Row],[Rep_ID]],Dim_Reps!A:A,Dim_Reps!E:E)</f>
        <v>NAMER</v>
      </c>
      <c r="S6237" t="str">
        <f>_xlfn.XLOOKUP(Pipeline_tbl[[#This Row],[Created_Date]],Dim_Date!A:A,Dim_Date!H:H)</f>
        <v>Aug 2024</v>
      </c>
      <c r="T6237" t="str">
        <f>IF(Pipeline_tbl[[#This Row],[Closed_Date]]=0,"",(_xlfn.XLOOKUP(Pipeline_tbl[[#This Row],[Closed_Date]],Dim_Date!A:A,Dim_Date!H:H)))</f>
        <v>Oct 2024</v>
      </c>
      <c r="U6237">
        <f>IF(Pipeline_tbl[[#This Row],[Closed_Date]]=0,"",Pipeline_tbl[[#This Row],[Closed_Date]]-Pipeline_tbl[[#This Row],[Created_Date]])</f>
        <v>64</v>
      </c>
    </row>
    <row r="6238" spans="1:21" ht="15" customHeight="1" x14ac:dyDescent="0.2">
      <c r="A6238" t="s">
        <v>6544</v>
      </c>
      <c r="B6238" t="s">
        <v>191</v>
      </c>
      <c r="C6238" t="s">
        <v>53</v>
      </c>
      <c r="D6238" s="49">
        <v>45507</v>
      </c>
      <c r="E6238" s="49">
        <v>45514</v>
      </c>
      <c r="F6238" s="49">
        <v>45529</v>
      </c>
      <c r="G6238" s="49">
        <v>45551</v>
      </c>
      <c r="I6238" s="49">
        <v>45581</v>
      </c>
      <c r="J6238" t="s">
        <v>49</v>
      </c>
      <c r="K6238" s="33">
        <v>21600</v>
      </c>
      <c r="L6238" t="s">
        <v>62</v>
      </c>
      <c r="M6238" t="str">
        <f>_xlfn.XLOOKUP(Pipeline_tbl[[#This Row],[Rep_ID]],Dim_Reps!A:A,Dim_Reps!K:K)</f>
        <v>USD</v>
      </c>
      <c r="N6238" s="33">
        <f>(_xlfn.XLOOKUP(Pipeline_tbl[[#This Row],[Rate_Code_Generalized]],Lookups!A:A,Lookups!B:B))*Pipeline_tbl[[#This Row],[Pipeline_Amount_USD]]</f>
        <v>25148.879999999997</v>
      </c>
      <c r="O6238" t="str">
        <f>_xlfn.XLOOKUP(Pipeline_tbl[[#This Row],[Rep_ID]],Dim_Reps!A:A,Dim_Reps!B:B)</f>
        <v>Zara Duarte</v>
      </c>
      <c r="P6238" t="str">
        <f>_xlfn.XLOOKUP(Pipeline_tbl[[#This Row],[Rep_ID]],Dim_Reps!A:A,Dim_Reps!C:C)</f>
        <v>Enterprise AE</v>
      </c>
      <c r="Q6238" t="str">
        <f>_xlfn.XLOOKUP(Pipeline_tbl[[#This Row],[Rep_ID]],Dim_Reps!A:A,Dim_Reps!D:D)</f>
        <v>Enterprise</v>
      </c>
      <c r="R6238" t="str">
        <f>_xlfn.XLOOKUP(Pipeline_tbl[[#This Row],[Rep_ID]],Dim_Reps!A:A,Dim_Reps!E:E)</f>
        <v>NAMER</v>
      </c>
      <c r="S6238" t="str">
        <f>_xlfn.XLOOKUP(Pipeline_tbl[[#This Row],[Created_Date]],Dim_Date!A:A,Dim_Date!H:H)</f>
        <v>Aug 2024</v>
      </c>
      <c r="T6238" t="str">
        <f>IF(Pipeline_tbl[[#This Row],[Closed_Date]]=0,"",(_xlfn.XLOOKUP(Pipeline_tbl[[#This Row],[Closed_Date]],Dim_Date!A:A,Dim_Date!H:H)))</f>
        <v>Oct 2024</v>
      </c>
      <c r="U6238">
        <f>IF(Pipeline_tbl[[#This Row],[Closed_Date]]=0,"",Pipeline_tbl[[#This Row],[Closed_Date]]-Pipeline_tbl[[#This Row],[Created_Date]])</f>
        <v>74</v>
      </c>
    </row>
    <row r="6239" spans="1:21" ht="15" customHeight="1" x14ac:dyDescent="0.2">
      <c r="A6239" t="s">
        <v>6545</v>
      </c>
      <c r="B6239" t="s">
        <v>265</v>
      </c>
      <c r="C6239" t="s">
        <v>52</v>
      </c>
      <c r="D6239" s="49">
        <v>45523</v>
      </c>
      <c r="E6239" s="49">
        <v>45529</v>
      </c>
      <c r="F6239" s="49">
        <v>45543</v>
      </c>
      <c r="G6239" s="49">
        <v>45562</v>
      </c>
      <c r="H6239" s="49">
        <v>45578</v>
      </c>
      <c r="I6239" s="49">
        <v>45588</v>
      </c>
      <c r="J6239" t="s">
        <v>47</v>
      </c>
      <c r="K6239" s="33">
        <v>12200</v>
      </c>
      <c r="M6239" t="str">
        <f>_xlfn.XLOOKUP(Pipeline_tbl[[#This Row],[Rep_ID]],Dim_Reps!A:A,Dim_Reps!K:K)</f>
        <v>EUR</v>
      </c>
      <c r="N6239" s="33">
        <f>(_xlfn.XLOOKUP(Pipeline_tbl[[#This Row],[Rate_Code_Generalized]],Lookups!A:A,Lookups!B:B))*Pipeline_tbl[[#This Row],[Pipeline_Amount_USD]]</f>
        <v>12200</v>
      </c>
      <c r="O6239" t="str">
        <f>_xlfn.XLOOKUP(Pipeline_tbl[[#This Row],[Rep_ID]],Dim_Reps!A:A,Dim_Reps!B:B)</f>
        <v>Erik Duarte</v>
      </c>
      <c r="P6239" t="str">
        <f>_xlfn.XLOOKUP(Pipeline_tbl[[#This Row],[Rep_ID]],Dim_Reps!A:A,Dim_Reps!C:C)</f>
        <v>Mid-Market AE</v>
      </c>
      <c r="Q6239" t="str">
        <f>_xlfn.XLOOKUP(Pipeline_tbl[[#This Row],[Rep_ID]],Dim_Reps!A:A,Dim_Reps!D:D)</f>
        <v>Mid-Market</v>
      </c>
      <c r="R6239" t="str">
        <f>_xlfn.XLOOKUP(Pipeline_tbl[[#This Row],[Rep_ID]],Dim_Reps!A:A,Dim_Reps!E:E)</f>
        <v>EMEA</v>
      </c>
      <c r="S6239" t="str">
        <f>_xlfn.XLOOKUP(Pipeline_tbl[[#This Row],[Created_Date]],Dim_Date!A:A,Dim_Date!H:H)</f>
        <v>Aug 2024</v>
      </c>
      <c r="T6239" t="str">
        <f>IF(Pipeline_tbl[[#This Row],[Closed_Date]]=0,"",(_xlfn.XLOOKUP(Pipeline_tbl[[#This Row],[Closed_Date]],Dim_Date!A:A,Dim_Date!H:H)))</f>
        <v>Oct 2024</v>
      </c>
      <c r="U6239">
        <f>IF(Pipeline_tbl[[#This Row],[Closed_Date]]=0,"",Pipeline_tbl[[#This Row],[Closed_Date]]-Pipeline_tbl[[#This Row],[Created_Date]])</f>
        <v>65</v>
      </c>
    </row>
    <row r="6240" spans="1:21" ht="15" customHeight="1" x14ac:dyDescent="0.2">
      <c r="A6240" t="s">
        <v>6546</v>
      </c>
      <c r="B6240" t="s">
        <v>284</v>
      </c>
      <c r="C6240" t="s">
        <v>52</v>
      </c>
      <c r="D6240" s="49">
        <v>45517</v>
      </c>
      <c r="E6240" s="49">
        <v>45523</v>
      </c>
      <c r="F6240" s="49">
        <v>45536</v>
      </c>
      <c r="G6240" s="49">
        <v>45555</v>
      </c>
      <c r="I6240" s="49">
        <v>45581</v>
      </c>
      <c r="J6240" t="s">
        <v>49</v>
      </c>
      <c r="K6240" s="33">
        <v>58700</v>
      </c>
      <c r="L6240" t="s">
        <v>62</v>
      </c>
      <c r="M6240" t="str">
        <f>_xlfn.XLOOKUP(Pipeline_tbl[[#This Row],[Rep_ID]],Dim_Reps!A:A,Dim_Reps!K:K)</f>
        <v>USD</v>
      </c>
      <c r="N6240" s="33">
        <f>(_xlfn.XLOOKUP(Pipeline_tbl[[#This Row],[Rate_Code_Generalized]],Lookups!A:A,Lookups!B:B))*Pipeline_tbl[[#This Row],[Pipeline_Amount_USD]]</f>
        <v>68344.409999999989</v>
      </c>
      <c r="O6240" t="str">
        <f>_xlfn.XLOOKUP(Pipeline_tbl[[#This Row],[Rep_ID]],Dim_Reps!A:A,Dim_Reps!B:B)</f>
        <v>Taylor Adler</v>
      </c>
      <c r="P6240" t="str">
        <f>_xlfn.XLOOKUP(Pipeline_tbl[[#This Row],[Rep_ID]],Dim_Reps!A:A,Dim_Reps!C:C)</f>
        <v>Senior Enterprise AE</v>
      </c>
      <c r="Q6240" t="str">
        <f>_xlfn.XLOOKUP(Pipeline_tbl[[#This Row],[Rep_ID]],Dim_Reps!A:A,Dim_Reps!D:D)</f>
        <v>Strategic</v>
      </c>
      <c r="R6240" t="str">
        <f>_xlfn.XLOOKUP(Pipeline_tbl[[#This Row],[Rep_ID]],Dim_Reps!A:A,Dim_Reps!E:E)</f>
        <v>NAMER</v>
      </c>
      <c r="S6240" t="str">
        <f>_xlfn.XLOOKUP(Pipeline_tbl[[#This Row],[Created_Date]],Dim_Date!A:A,Dim_Date!H:H)</f>
        <v>Aug 2024</v>
      </c>
      <c r="T6240" t="str">
        <f>IF(Pipeline_tbl[[#This Row],[Closed_Date]]=0,"",(_xlfn.XLOOKUP(Pipeline_tbl[[#This Row],[Closed_Date]],Dim_Date!A:A,Dim_Date!H:H)))</f>
        <v>Oct 2024</v>
      </c>
      <c r="U6240">
        <f>IF(Pipeline_tbl[[#This Row],[Closed_Date]]=0,"",Pipeline_tbl[[#This Row],[Closed_Date]]-Pipeline_tbl[[#This Row],[Created_Date]])</f>
        <v>64</v>
      </c>
    </row>
    <row r="6241" spans="1:21" ht="15" customHeight="1" x14ac:dyDescent="0.2">
      <c r="A6241" t="s">
        <v>6547</v>
      </c>
      <c r="B6241" t="s">
        <v>269</v>
      </c>
      <c r="C6241" t="s">
        <v>53</v>
      </c>
      <c r="D6241" s="49">
        <v>45531</v>
      </c>
      <c r="E6241" s="49">
        <v>45535</v>
      </c>
      <c r="F6241" s="49">
        <v>45545</v>
      </c>
      <c r="G6241" s="49">
        <v>45558</v>
      </c>
      <c r="H6241" s="49">
        <v>45569</v>
      </c>
      <c r="I6241" s="49">
        <v>45576</v>
      </c>
      <c r="J6241" t="s">
        <v>49</v>
      </c>
      <c r="K6241" s="33">
        <v>11700</v>
      </c>
      <c r="L6241" t="s">
        <v>61</v>
      </c>
      <c r="M6241" t="str">
        <f>_xlfn.XLOOKUP(Pipeline_tbl[[#This Row],[Rep_ID]],Dim_Reps!A:A,Dim_Reps!K:K)</f>
        <v>USD</v>
      </c>
      <c r="N6241" s="33">
        <f>(_xlfn.XLOOKUP(Pipeline_tbl[[#This Row],[Rate_Code_Generalized]],Lookups!A:A,Lookups!B:B))*Pipeline_tbl[[#This Row],[Pipeline_Amount_USD]]</f>
        <v>13622.31</v>
      </c>
      <c r="O6241" t="str">
        <f>_xlfn.XLOOKUP(Pipeline_tbl[[#This Row],[Rep_ID]],Dim_Reps!A:A,Dim_Reps!B:B)</f>
        <v>Morgan Rivera</v>
      </c>
      <c r="P6241" t="str">
        <f>_xlfn.XLOOKUP(Pipeline_tbl[[#This Row],[Rep_ID]],Dim_Reps!A:A,Dim_Reps!C:C)</f>
        <v>Mid-Market AE</v>
      </c>
      <c r="Q6241" t="str">
        <f>_xlfn.XLOOKUP(Pipeline_tbl[[#This Row],[Rep_ID]],Dim_Reps!A:A,Dim_Reps!D:D)</f>
        <v>Mid-Market</v>
      </c>
      <c r="R6241" t="str">
        <f>_xlfn.XLOOKUP(Pipeline_tbl[[#This Row],[Rep_ID]],Dim_Reps!A:A,Dim_Reps!E:E)</f>
        <v>NAMER</v>
      </c>
      <c r="S6241" t="str">
        <f>_xlfn.XLOOKUP(Pipeline_tbl[[#This Row],[Created_Date]],Dim_Date!A:A,Dim_Date!H:H)</f>
        <v>Aug 2024</v>
      </c>
      <c r="T6241" t="str">
        <f>IF(Pipeline_tbl[[#This Row],[Closed_Date]]=0,"",(_xlfn.XLOOKUP(Pipeline_tbl[[#This Row],[Closed_Date]],Dim_Date!A:A,Dim_Date!H:H)))</f>
        <v>Oct 2024</v>
      </c>
      <c r="U6241">
        <f>IF(Pipeline_tbl[[#This Row],[Closed_Date]]=0,"",Pipeline_tbl[[#This Row],[Closed_Date]]-Pipeline_tbl[[#This Row],[Created_Date]])</f>
        <v>45</v>
      </c>
    </row>
    <row r="6242" spans="1:21" ht="15" customHeight="1" x14ac:dyDescent="0.2">
      <c r="A6242" t="s">
        <v>6548</v>
      </c>
      <c r="B6242" t="s">
        <v>271</v>
      </c>
      <c r="C6242" t="s">
        <v>52</v>
      </c>
      <c r="D6242" s="49">
        <v>45515</v>
      </c>
      <c r="E6242" s="49">
        <v>45520</v>
      </c>
      <c r="F6242" s="49">
        <v>45530</v>
      </c>
      <c r="G6242" s="49">
        <v>45546</v>
      </c>
      <c r="H6242" s="49">
        <v>45558</v>
      </c>
      <c r="I6242" s="49">
        <v>45566</v>
      </c>
      <c r="J6242" t="s">
        <v>47</v>
      </c>
      <c r="K6242" s="33">
        <v>13200</v>
      </c>
      <c r="M6242" t="str">
        <f>_xlfn.XLOOKUP(Pipeline_tbl[[#This Row],[Rep_ID]],Dim_Reps!A:A,Dim_Reps!K:K)</f>
        <v>EUR</v>
      </c>
      <c r="N6242" s="33">
        <f>(_xlfn.XLOOKUP(Pipeline_tbl[[#This Row],[Rate_Code_Generalized]],Lookups!A:A,Lookups!B:B))*Pipeline_tbl[[#This Row],[Pipeline_Amount_USD]]</f>
        <v>13200</v>
      </c>
      <c r="O6242" t="str">
        <f>_xlfn.XLOOKUP(Pipeline_tbl[[#This Row],[Rep_ID]],Dim_Reps!A:A,Dim_Reps!B:B)</f>
        <v>Ivy Adler</v>
      </c>
      <c r="P6242" t="str">
        <f>_xlfn.XLOOKUP(Pipeline_tbl[[#This Row],[Rep_ID]],Dim_Reps!A:A,Dim_Reps!C:C)</f>
        <v>Mid-Market AE</v>
      </c>
      <c r="Q6242" t="str">
        <f>_xlfn.XLOOKUP(Pipeline_tbl[[#This Row],[Rep_ID]],Dim_Reps!A:A,Dim_Reps!D:D)</f>
        <v>Mid-Market</v>
      </c>
      <c r="R6242" t="str">
        <f>_xlfn.XLOOKUP(Pipeline_tbl[[#This Row],[Rep_ID]],Dim_Reps!A:A,Dim_Reps!E:E)</f>
        <v>APAC</v>
      </c>
      <c r="S6242" t="str">
        <f>_xlfn.XLOOKUP(Pipeline_tbl[[#This Row],[Created_Date]],Dim_Date!A:A,Dim_Date!H:H)</f>
        <v>Aug 2024</v>
      </c>
      <c r="T6242" t="str">
        <f>IF(Pipeline_tbl[[#This Row],[Closed_Date]]=0,"",(_xlfn.XLOOKUP(Pipeline_tbl[[#This Row],[Closed_Date]],Dim_Date!A:A,Dim_Date!H:H)))</f>
        <v>Oct 2024</v>
      </c>
      <c r="U6242">
        <f>IF(Pipeline_tbl[[#This Row],[Closed_Date]]=0,"",Pipeline_tbl[[#This Row],[Closed_Date]]-Pipeline_tbl[[#This Row],[Created_Date]])</f>
        <v>51</v>
      </c>
    </row>
    <row r="6243" spans="1:21" ht="15" customHeight="1" x14ac:dyDescent="0.2">
      <c r="A6243" t="s">
        <v>6549</v>
      </c>
      <c r="B6243" t="s">
        <v>273</v>
      </c>
      <c r="C6243" t="s">
        <v>55</v>
      </c>
      <c r="D6243" s="49">
        <v>45525</v>
      </c>
      <c r="E6243" s="49">
        <v>45531</v>
      </c>
      <c r="F6243" s="49">
        <v>45542</v>
      </c>
      <c r="G6243" s="49">
        <v>45559</v>
      </c>
      <c r="I6243" s="49">
        <v>45581</v>
      </c>
      <c r="J6243" t="s">
        <v>49</v>
      </c>
      <c r="K6243" s="33">
        <v>8700</v>
      </c>
      <c r="L6243" t="s">
        <v>61</v>
      </c>
      <c r="M6243" t="str">
        <f>_xlfn.XLOOKUP(Pipeline_tbl[[#This Row],[Rep_ID]],Dim_Reps!A:A,Dim_Reps!K:K)</f>
        <v>EUR</v>
      </c>
      <c r="N6243" s="33">
        <f>(_xlfn.XLOOKUP(Pipeline_tbl[[#This Row],[Rate_Code_Generalized]],Lookups!A:A,Lookups!B:B))*Pipeline_tbl[[#This Row],[Pipeline_Amount_USD]]</f>
        <v>8700</v>
      </c>
      <c r="O6243" t="str">
        <f>_xlfn.XLOOKUP(Pipeline_tbl[[#This Row],[Rep_ID]],Dim_Reps!A:A,Dim_Reps!B:B)</f>
        <v>Olivia Cohen</v>
      </c>
      <c r="P6243" t="str">
        <f>_xlfn.XLOOKUP(Pipeline_tbl[[#This Row],[Rep_ID]],Dim_Reps!A:A,Dim_Reps!C:C)</f>
        <v>Mid-Market AE</v>
      </c>
      <c r="Q6243" t="str">
        <f>_xlfn.XLOOKUP(Pipeline_tbl[[#This Row],[Rep_ID]],Dim_Reps!A:A,Dim_Reps!D:D)</f>
        <v>Mid-Market</v>
      </c>
      <c r="R6243" t="str">
        <f>_xlfn.XLOOKUP(Pipeline_tbl[[#This Row],[Rep_ID]],Dim_Reps!A:A,Dim_Reps!E:E)</f>
        <v>APAC</v>
      </c>
      <c r="S6243" t="str">
        <f>_xlfn.XLOOKUP(Pipeline_tbl[[#This Row],[Created_Date]],Dim_Date!A:A,Dim_Date!H:H)</f>
        <v>Aug 2024</v>
      </c>
      <c r="T6243" t="str">
        <f>IF(Pipeline_tbl[[#This Row],[Closed_Date]]=0,"",(_xlfn.XLOOKUP(Pipeline_tbl[[#This Row],[Closed_Date]],Dim_Date!A:A,Dim_Date!H:H)))</f>
        <v>Oct 2024</v>
      </c>
      <c r="U6243">
        <f>IF(Pipeline_tbl[[#This Row],[Closed_Date]]=0,"",Pipeline_tbl[[#This Row],[Closed_Date]]-Pipeline_tbl[[#This Row],[Created_Date]])</f>
        <v>56</v>
      </c>
    </row>
    <row r="6244" spans="1:21" ht="15" customHeight="1" x14ac:dyDescent="0.2">
      <c r="A6244" t="s">
        <v>6550</v>
      </c>
      <c r="B6244" t="s">
        <v>193</v>
      </c>
      <c r="C6244" t="s">
        <v>53</v>
      </c>
      <c r="D6244" s="49">
        <v>45529</v>
      </c>
      <c r="E6244" s="49">
        <v>45531</v>
      </c>
      <c r="F6244" s="49">
        <v>45534</v>
      </c>
      <c r="G6244" s="49">
        <v>45539</v>
      </c>
      <c r="I6244" s="49">
        <v>45546</v>
      </c>
      <c r="J6244" t="s">
        <v>49</v>
      </c>
      <c r="K6244" s="33">
        <v>2300</v>
      </c>
      <c r="L6244" t="s">
        <v>60</v>
      </c>
      <c r="M6244" t="str">
        <f>_xlfn.XLOOKUP(Pipeline_tbl[[#This Row],[Rep_ID]],Dim_Reps!A:A,Dim_Reps!K:K)</f>
        <v>USD</v>
      </c>
      <c r="N6244" s="33">
        <f>(_xlfn.XLOOKUP(Pipeline_tbl[[#This Row],[Rate_Code_Generalized]],Lookups!A:A,Lookups!B:B))*Pipeline_tbl[[#This Row],[Pipeline_Amount_USD]]</f>
        <v>2677.89</v>
      </c>
      <c r="O6244" t="str">
        <f>_xlfn.XLOOKUP(Pipeline_tbl[[#This Row],[Rep_ID]],Dim_Reps!A:A,Dim_Reps!B:B)</f>
        <v>Karim Rossi</v>
      </c>
      <c r="P6244" t="str">
        <f>_xlfn.XLOOKUP(Pipeline_tbl[[#This Row],[Rep_ID]],Dim_Reps!A:A,Dim_Reps!C:C)</f>
        <v>SDR / Inside Sales Rep</v>
      </c>
      <c r="Q6244" t="str">
        <f>_xlfn.XLOOKUP(Pipeline_tbl[[#This Row],[Rep_ID]],Dim_Reps!A:A,Dim_Reps!D:D)</f>
        <v>Inside Sales</v>
      </c>
      <c r="R6244" t="str">
        <f>_xlfn.XLOOKUP(Pipeline_tbl[[#This Row],[Rep_ID]],Dim_Reps!A:A,Dim_Reps!E:E)</f>
        <v>NAMER</v>
      </c>
      <c r="S6244" t="str">
        <f>_xlfn.XLOOKUP(Pipeline_tbl[[#This Row],[Created_Date]],Dim_Date!A:A,Dim_Date!H:H)</f>
        <v>Aug 2024</v>
      </c>
      <c r="T6244" t="str">
        <f>IF(Pipeline_tbl[[#This Row],[Closed_Date]]=0,"",(_xlfn.XLOOKUP(Pipeline_tbl[[#This Row],[Closed_Date]],Dim_Date!A:A,Dim_Date!H:H)))</f>
        <v>Sep 2024</v>
      </c>
      <c r="U6244">
        <f>IF(Pipeline_tbl[[#This Row],[Closed_Date]]=0,"",Pipeline_tbl[[#This Row],[Closed_Date]]-Pipeline_tbl[[#This Row],[Created_Date]])</f>
        <v>17</v>
      </c>
    </row>
    <row r="6245" spans="1:21" ht="15" customHeight="1" x14ac:dyDescent="0.2">
      <c r="A6245" t="s">
        <v>6551</v>
      </c>
      <c r="B6245" t="s">
        <v>193</v>
      </c>
      <c r="C6245" t="s">
        <v>56</v>
      </c>
      <c r="D6245" s="49">
        <v>45525</v>
      </c>
      <c r="E6245" s="49">
        <v>45527</v>
      </c>
      <c r="I6245" s="49">
        <v>45541</v>
      </c>
      <c r="J6245" t="s">
        <v>49</v>
      </c>
      <c r="K6245" s="33">
        <v>3700</v>
      </c>
      <c r="L6245" t="s">
        <v>60</v>
      </c>
      <c r="M6245" t="str">
        <f>_xlfn.XLOOKUP(Pipeline_tbl[[#This Row],[Rep_ID]],Dim_Reps!A:A,Dim_Reps!K:K)</f>
        <v>USD</v>
      </c>
      <c r="N6245" s="33">
        <f>(_xlfn.XLOOKUP(Pipeline_tbl[[#This Row],[Rate_Code_Generalized]],Lookups!A:A,Lookups!B:B))*Pipeline_tbl[[#This Row],[Pipeline_Amount_USD]]</f>
        <v>4307.91</v>
      </c>
      <c r="O6245" t="str">
        <f>_xlfn.XLOOKUP(Pipeline_tbl[[#This Row],[Rep_ID]],Dim_Reps!A:A,Dim_Reps!B:B)</f>
        <v>Karim Rossi</v>
      </c>
      <c r="P6245" t="str">
        <f>_xlfn.XLOOKUP(Pipeline_tbl[[#This Row],[Rep_ID]],Dim_Reps!A:A,Dim_Reps!C:C)</f>
        <v>SDR / Inside Sales Rep</v>
      </c>
      <c r="Q6245" t="str">
        <f>_xlfn.XLOOKUP(Pipeline_tbl[[#This Row],[Rep_ID]],Dim_Reps!A:A,Dim_Reps!D:D)</f>
        <v>Inside Sales</v>
      </c>
      <c r="R6245" t="str">
        <f>_xlfn.XLOOKUP(Pipeline_tbl[[#This Row],[Rep_ID]],Dim_Reps!A:A,Dim_Reps!E:E)</f>
        <v>NAMER</v>
      </c>
      <c r="S6245" t="str">
        <f>_xlfn.XLOOKUP(Pipeline_tbl[[#This Row],[Created_Date]],Dim_Date!A:A,Dim_Date!H:H)</f>
        <v>Aug 2024</v>
      </c>
      <c r="T6245" t="str">
        <f>IF(Pipeline_tbl[[#This Row],[Closed_Date]]=0,"",(_xlfn.XLOOKUP(Pipeline_tbl[[#This Row],[Closed_Date]],Dim_Date!A:A,Dim_Date!H:H)))</f>
        <v>Sep 2024</v>
      </c>
      <c r="U6245">
        <f>IF(Pipeline_tbl[[#This Row],[Closed_Date]]=0,"",Pipeline_tbl[[#This Row],[Closed_Date]]-Pipeline_tbl[[#This Row],[Created_Date]])</f>
        <v>16</v>
      </c>
    </row>
    <row r="6246" spans="1:21" ht="15" customHeight="1" x14ac:dyDescent="0.2">
      <c r="A6246" t="s">
        <v>6552</v>
      </c>
      <c r="B6246" t="s">
        <v>243</v>
      </c>
      <c r="C6246" t="s">
        <v>53</v>
      </c>
      <c r="D6246" s="49">
        <v>45514</v>
      </c>
      <c r="E6246" s="49">
        <v>45518</v>
      </c>
      <c r="F6246" s="49">
        <v>45527</v>
      </c>
      <c r="I6246" s="49">
        <v>45558</v>
      </c>
      <c r="J6246" t="s">
        <v>49</v>
      </c>
      <c r="K6246" s="33">
        <v>17700</v>
      </c>
      <c r="L6246" t="s">
        <v>60</v>
      </c>
      <c r="M6246" t="str">
        <f>_xlfn.XLOOKUP(Pipeline_tbl[[#This Row],[Rep_ID]],Dim_Reps!A:A,Dim_Reps!K:K)</f>
        <v>MXN</v>
      </c>
      <c r="N6246" s="33">
        <f>(_xlfn.XLOOKUP(Pipeline_tbl[[#This Row],[Rate_Code_Generalized]],Lookups!A:A,Lookups!B:B))*Pipeline_tbl[[#This Row],[Pipeline_Amount_USD]]</f>
        <v>349268.79000000004</v>
      </c>
      <c r="O6246" t="str">
        <f>_xlfn.XLOOKUP(Pipeline_tbl[[#This Row],[Rep_ID]],Dim_Reps!A:A,Dim_Reps!B:B)</f>
        <v>Jonas Sato</v>
      </c>
      <c r="P6246" t="str">
        <f>_xlfn.XLOOKUP(Pipeline_tbl[[#This Row],[Rep_ID]],Dim_Reps!A:A,Dim_Reps!C:C)</f>
        <v>Mid-Market AE</v>
      </c>
      <c r="Q6246" t="str">
        <f>_xlfn.XLOOKUP(Pipeline_tbl[[#This Row],[Rep_ID]],Dim_Reps!A:A,Dim_Reps!D:D)</f>
        <v>Mid-Market</v>
      </c>
      <c r="R6246" t="str">
        <f>_xlfn.XLOOKUP(Pipeline_tbl[[#This Row],[Rep_ID]],Dim_Reps!A:A,Dim_Reps!E:E)</f>
        <v>LATAM</v>
      </c>
      <c r="S6246" t="str">
        <f>_xlfn.XLOOKUP(Pipeline_tbl[[#This Row],[Created_Date]],Dim_Date!A:A,Dim_Date!H:H)</f>
        <v>Aug 2024</v>
      </c>
      <c r="T6246" t="str">
        <f>IF(Pipeline_tbl[[#This Row],[Closed_Date]]=0,"",(_xlfn.XLOOKUP(Pipeline_tbl[[#This Row],[Closed_Date]],Dim_Date!A:A,Dim_Date!H:H)))</f>
        <v>Sep 2024</v>
      </c>
      <c r="U6246">
        <f>IF(Pipeline_tbl[[#This Row],[Closed_Date]]=0,"",Pipeline_tbl[[#This Row],[Closed_Date]]-Pipeline_tbl[[#This Row],[Created_Date]])</f>
        <v>44</v>
      </c>
    </row>
    <row r="6247" spans="1:21" ht="15" customHeight="1" x14ac:dyDescent="0.2">
      <c r="A6247" t="s">
        <v>6553</v>
      </c>
      <c r="B6247" t="s">
        <v>243</v>
      </c>
      <c r="C6247" t="s">
        <v>52</v>
      </c>
      <c r="D6247" s="49">
        <v>45511</v>
      </c>
      <c r="E6247" s="49">
        <v>45516</v>
      </c>
      <c r="F6247" s="49">
        <v>45527</v>
      </c>
      <c r="G6247" s="49">
        <v>45543</v>
      </c>
      <c r="H6247" s="49">
        <v>45556</v>
      </c>
      <c r="I6247" s="49">
        <v>45564</v>
      </c>
      <c r="J6247" t="s">
        <v>49</v>
      </c>
      <c r="K6247" s="33">
        <v>9100</v>
      </c>
      <c r="L6247" t="s">
        <v>62</v>
      </c>
      <c r="M6247" t="str">
        <f>_xlfn.XLOOKUP(Pipeline_tbl[[#This Row],[Rep_ID]],Dim_Reps!A:A,Dim_Reps!K:K)</f>
        <v>MXN</v>
      </c>
      <c r="N6247" s="33">
        <f>(_xlfn.XLOOKUP(Pipeline_tbl[[#This Row],[Rate_Code_Generalized]],Lookups!A:A,Lookups!B:B))*Pipeline_tbl[[#This Row],[Pipeline_Amount_USD]]</f>
        <v>179567.57</v>
      </c>
      <c r="O6247" t="str">
        <f>_xlfn.XLOOKUP(Pipeline_tbl[[#This Row],[Rep_ID]],Dim_Reps!A:A,Dim_Reps!B:B)</f>
        <v>Jonas Sato</v>
      </c>
      <c r="P6247" t="str">
        <f>_xlfn.XLOOKUP(Pipeline_tbl[[#This Row],[Rep_ID]],Dim_Reps!A:A,Dim_Reps!C:C)</f>
        <v>Mid-Market AE</v>
      </c>
      <c r="Q6247" t="str">
        <f>_xlfn.XLOOKUP(Pipeline_tbl[[#This Row],[Rep_ID]],Dim_Reps!A:A,Dim_Reps!D:D)</f>
        <v>Mid-Market</v>
      </c>
      <c r="R6247" t="str">
        <f>_xlfn.XLOOKUP(Pipeline_tbl[[#This Row],[Rep_ID]],Dim_Reps!A:A,Dim_Reps!E:E)</f>
        <v>LATAM</v>
      </c>
      <c r="S6247" t="str">
        <f>_xlfn.XLOOKUP(Pipeline_tbl[[#This Row],[Created_Date]],Dim_Date!A:A,Dim_Date!H:H)</f>
        <v>Aug 2024</v>
      </c>
      <c r="T6247" t="str">
        <f>IF(Pipeline_tbl[[#This Row],[Closed_Date]]=0,"",(_xlfn.XLOOKUP(Pipeline_tbl[[#This Row],[Closed_Date]],Dim_Date!A:A,Dim_Date!H:H)))</f>
        <v>Sep 2024</v>
      </c>
      <c r="U6247">
        <f>IF(Pipeline_tbl[[#This Row],[Closed_Date]]=0,"",Pipeline_tbl[[#This Row],[Closed_Date]]-Pipeline_tbl[[#This Row],[Created_Date]])</f>
        <v>53</v>
      </c>
    </row>
    <row r="6248" spans="1:21" ht="15" customHeight="1" x14ac:dyDescent="0.2">
      <c r="A6248" t="s">
        <v>6554</v>
      </c>
      <c r="B6248" t="s">
        <v>243</v>
      </c>
      <c r="C6248" t="s">
        <v>52</v>
      </c>
      <c r="D6248" s="49">
        <v>45509</v>
      </c>
      <c r="E6248" s="49">
        <v>45513</v>
      </c>
      <c r="F6248" s="49">
        <v>45522</v>
      </c>
      <c r="I6248" s="49">
        <v>45553</v>
      </c>
      <c r="J6248" t="s">
        <v>49</v>
      </c>
      <c r="K6248" s="33">
        <v>9400</v>
      </c>
      <c r="L6248" t="s">
        <v>60</v>
      </c>
      <c r="M6248" t="str">
        <f>_xlfn.XLOOKUP(Pipeline_tbl[[#This Row],[Rep_ID]],Dim_Reps!A:A,Dim_Reps!K:K)</f>
        <v>MXN</v>
      </c>
      <c r="N6248" s="33">
        <f>(_xlfn.XLOOKUP(Pipeline_tbl[[#This Row],[Rate_Code_Generalized]],Lookups!A:A,Lookups!B:B))*Pipeline_tbl[[#This Row],[Pipeline_Amount_USD]]</f>
        <v>185487.38</v>
      </c>
      <c r="O6248" t="str">
        <f>_xlfn.XLOOKUP(Pipeline_tbl[[#This Row],[Rep_ID]],Dim_Reps!A:A,Dim_Reps!B:B)</f>
        <v>Jonas Sato</v>
      </c>
      <c r="P6248" t="str">
        <f>_xlfn.XLOOKUP(Pipeline_tbl[[#This Row],[Rep_ID]],Dim_Reps!A:A,Dim_Reps!C:C)</f>
        <v>Mid-Market AE</v>
      </c>
      <c r="Q6248" t="str">
        <f>_xlfn.XLOOKUP(Pipeline_tbl[[#This Row],[Rep_ID]],Dim_Reps!A:A,Dim_Reps!D:D)</f>
        <v>Mid-Market</v>
      </c>
      <c r="R6248" t="str">
        <f>_xlfn.XLOOKUP(Pipeline_tbl[[#This Row],[Rep_ID]],Dim_Reps!A:A,Dim_Reps!E:E)</f>
        <v>LATAM</v>
      </c>
      <c r="S6248" t="str">
        <f>_xlfn.XLOOKUP(Pipeline_tbl[[#This Row],[Created_Date]],Dim_Date!A:A,Dim_Date!H:H)</f>
        <v>Aug 2024</v>
      </c>
      <c r="T6248" t="str">
        <f>IF(Pipeline_tbl[[#This Row],[Closed_Date]]=0,"",(_xlfn.XLOOKUP(Pipeline_tbl[[#This Row],[Closed_Date]],Dim_Date!A:A,Dim_Date!H:H)))</f>
        <v>Sep 2024</v>
      </c>
      <c r="U6248">
        <f>IF(Pipeline_tbl[[#This Row],[Closed_Date]]=0,"",Pipeline_tbl[[#This Row],[Closed_Date]]-Pipeline_tbl[[#This Row],[Created_Date]])</f>
        <v>44</v>
      </c>
    </row>
    <row r="6249" spans="1:21" ht="15" customHeight="1" x14ac:dyDescent="0.2">
      <c r="A6249" t="s">
        <v>6555</v>
      </c>
      <c r="B6249" t="s">
        <v>243</v>
      </c>
      <c r="C6249" t="s">
        <v>53</v>
      </c>
      <c r="D6249" s="49">
        <v>45506</v>
      </c>
      <c r="E6249" s="49">
        <v>45510</v>
      </c>
      <c r="F6249" s="49">
        <v>45519</v>
      </c>
      <c r="G6249" s="49">
        <v>45532</v>
      </c>
      <c r="H6249" s="49">
        <v>45543</v>
      </c>
      <c r="I6249" s="49">
        <v>45549</v>
      </c>
      <c r="J6249" t="s">
        <v>47</v>
      </c>
      <c r="K6249" s="33">
        <v>6800</v>
      </c>
      <c r="M6249" t="str">
        <f>_xlfn.XLOOKUP(Pipeline_tbl[[#This Row],[Rep_ID]],Dim_Reps!A:A,Dim_Reps!K:K)</f>
        <v>MXN</v>
      </c>
      <c r="N6249" s="33">
        <f>(_xlfn.XLOOKUP(Pipeline_tbl[[#This Row],[Rate_Code_Generalized]],Lookups!A:A,Lookups!B:B))*Pipeline_tbl[[#This Row],[Pipeline_Amount_USD]]</f>
        <v>134182.36000000002</v>
      </c>
      <c r="O6249" t="str">
        <f>_xlfn.XLOOKUP(Pipeline_tbl[[#This Row],[Rep_ID]],Dim_Reps!A:A,Dim_Reps!B:B)</f>
        <v>Jonas Sato</v>
      </c>
      <c r="P6249" t="str">
        <f>_xlfn.XLOOKUP(Pipeline_tbl[[#This Row],[Rep_ID]],Dim_Reps!A:A,Dim_Reps!C:C)</f>
        <v>Mid-Market AE</v>
      </c>
      <c r="Q6249" t="str">
        <f>_xlfn.XLOOKUP(Pipeline_tbl[[#This Row],[Rep_ID]],Dim_Reps!A:A,Dim_Reps!D:D)</f>
        <v>Mid-Market</v>
      </c>
      <c r="R6249" t="str">
        <f>_xlfn.XLOOKUP(Pipeline_tbl[[#This Row],[Rep_ID]],Dim_Reps!A:A,Dim_Reps!E:E)</f>
        <v>LATAM</v>
      </c>
      <c r="S6249" t="str">
        <f>_xlfn.XLOOKUP(Pipeline_tbl[[#This Row],[Created_Date]],Dim_Date!A:A,Dim_Date!H:H)</f>
        <v>Aug 2024</v>
      </c>
      <c r="T6249" t="str">
        <f>IF(Pipeline_tbl[[#This Row],[Closed_Date]]=0,"",(_xlfn.XLOOKUP(Pipeline_tbl[[#This Row],[Closed_Date]],Dim_Date!A:A,Dim_Date!H:H)))</f>
        <v>Sep 2024</v>
      </c>
      <c r="U6249">
        <f>IF(Pipeline_tbl[[#This Row],[Closed_Date]]=0,"",Pipeline_tbl[[#This Row],[Closed_Date]]-Pipeline_tbl[[#This Row],[Created_Date]])</f>
        <v>43</v>
      </c>
    </row>
    <row r="6250" spans="1:21" ht="15" customHeight="1" x14ac:dyDescent="0.2">
      <c r="A6250" t="s">
        <v>6556</v>
      </c>
      <c r="B6250" t="s">
        <v>196</v>
      </c>
      <c r="C6250" t="s">
        <v>53</v>
      </c>
      <c r="D6250" s="49">
        <v>45522</v>
      </c>
      <c r="E6250" s="49">
        <v>45523</v>
      </c>
      <c r="F6250" s="49">
        <v>45526</v>
      </c>
      <c r="G6250" s="49">
        <v>45530</v>
      </c>
      <c r="I6250" s="49">
        <v>45536</v>
      </c>
      <c r="J6250" t="s">
        <v>49</v>
      </c>
      <c r="K6250" s="33">
        <v>6800</v>
      </c>
      <c r="L6250" t="s">
        <v>62</v>
      </c>
      <c r="M6250" t="str">
        <f>_xlfn.XLOOKUP(Pipeline_tbl[[#This Row],[Rep_ID]],Dim_Reps!A:A,Dim_Reps!K:K)</f>
        <v>EUR</v>
      </c>
      <c r="N6250" s="33">
        <f>(_xlfn.XLOOKUP(Pipeline_tbl[[#This Row],[Rate_Code_Generalized]],Lookups!A:A,Lookups!B:B))*Pipeline_tbl[[#This Row],[Pipeline_Amount_USD]]</f>
        <v>6800</v>
      </c>
      <c r="O6250" t="str">
        <f>_xlfn.XLOOKUP(Pipeline_tbl[[#This Row],[Rep_ID]],Dim_Reps!A:A,Dim_Reps!B:B)</f>
        <v>Alex Okafor</v>
      </c>
      <c r="P6250" t="str">
        <f>_xlfn.XLOOKUP(Pipeline_tbl[[#This Row],[Rep_ID]],Dim_Reps!A:A,Dim_Reps!C:C)</f>
        <v>SDR / Inside Sales Rep</v>
      </c>
      <c r="Q6250" t="str">
        <f>_xlfn.XLOOKUP(Pipeline_tbl[[#This Row],[Rep_ID]],Dim_Reps!A:A,Dim_Reps!D:D)</f>
        <v>Inside Sales</v>
      </c>
      <c r="R6250" t="str">
        <f>_xlfn.XLOOKUP(Pipeline_tbl[[#This Row],[Rep_ID]],Dim_Reps!A:A,Dim_Reps!E:E)</f>
        <v>EMEA</v>
      </c>
      <c r="S6250" t="str">
        <f>_xlfn.XLOOKUP(Pipeline_tbl[[#This Row],[Created_Date]],Dim_Date!A:A,Dim_Date!H:H)</f>
        <v>Aug 2024</v>
      </c>
      <c r="T6250" t="str">
        <f>IF(Pipeline_tbl[[#This Row],[Closed_Date]]=0,"",(_xlfn.XLOOKUP(Pipeline_tbl[[#This Row],[Closed_Date]],Dim_Date!A:A,Dim_Date!H:H)))</f>
        <v>Sep 2024</v>
      </c>
      <c r="U6250">
        <f>IF(Pipeline_tbl[[#This Row],[Closed_Date]]=0,"",Pipeline_tbl[[#This Row],[Closed_Date]]-Pipeline_tbl[[#This Row],[Created_Date]])</f>
        <v>14</v>
      </c>
    </row>
    <row r="6251" spans="1:21" ht="15" customHeight="1" x14ac:dyDescent="0.2">
      <c r="A6251" t="s">
        <v>6557</v>
      </c>
      <c r="B6251" t="s">
        <v>199</v>
      </c>
      <c r="C6251" t="s">
        <v>55</v>
      </c>
      <c r="D6251" s="49">
        <v>45527</v>
      </c>
      <c r="E6251" s="49">
        <v>45529</v>
      </c>
      <c r="F6251" s="49">
        <v>45532</v>
      </c>
      <c r="I6251" s="49">
        <v>45543</v>
      </c>
      <c r="J6251" t="s">
        <v>49</v>
      </c>
      <c r="K6251" s="33">
        <v>4900</v>
      </c>
      <c r="L6251" t="s">
        <v>61</v>
      </c>
      <c r="M6251" t="str">
        <f>_xlfn.XLOOKUP(Pipeline_tbl[[#This Row],[Rep_ID]],Dim_Reps!A:A,Dim_Reps!K:K)</f>
        <v>EUR</v>
      </c>
      <c r="N6251" s="33">
        <f>(_xlfn.XLOOKUP(Pipeline_tbl[[#This Row],[Rate_Code_Generalized]],Lookups!A:A,Lookups!B:B))*Pipeline_tbl[[#This Row],[Pipeline_Amount_USD]]</f>
        <v>4900</v>
      </c>
      <c r="O6251" t="str">
        <f>_xlfn.XLOOKUP(Pipeline_tbl[[#This Row],[Rep_ID]],Dim_Reps!A:A,Dim_Reps!B:B)</f>
        <v>Lucas Okafor</v>
      </c>
      <c r="P6251" t="str">
        <f>_xlfn.XLOOKUP(Pipeline_tbl[[#This Row],[Rep_ID]],Dim_Reps!A:A,Dim_Reps!C:C)</f>
        <v>SDR / Inside Sales Rep</v>
      </c>
      <c r="Q6251" t="str">
        <f>_xlfn.XLOOKUP(Pipeline_tbl[[#This Row],[Rep_ID]],Dim_Reps!A:A,Dim_Reps!D:D)</f>
        <v>Inside Sales</v>
      </c>
      <c r="R6251" t="str">
        <f>_xlfn.XLOOKUP(Pipeline_tbl[[#This Row],[Rep_ID]],Dim_Reps!A:A,Dim_Reps!E:E)</f>
        <v>APAC</v>
      </c>
      <c r="S6251" t="str">
        <f>_xlfn.XLOOKUP(Pipeline_tbl[[#This Row],[Created_Date]],Dim_Date!A:A,Dim_Date!H:H)</f>
        <v>Aug 2024</v>
      </c>
      <c r="T6251" t="str">
        <f>IF(Pipeline_tbl[[#This Row],[Closed_Date]]=0,"",(_xlfn.XLOOKUP(Pipeline_tbl[[#This Row],[Closed_Date]],Dim_Date!A:A,Dim_Date!H:H)))</f>
        <v>Sep 2024</v>
      </c>
      <c r="U6251">
        <f>IF(Pipeline_tbl[[#This Row],[Closed_Date]]=0,"",Pipeline_tbl[[#This Row],[Closed_Date]]-Pipeline_tbl[[#This Row],[Created_Date]])</f>
        <v>16</v>
      </c>
    </row>
    <row r="6252" spans="1:21" ht="15" customHeight="1" x14ac:dyDescent="0.2">
      <c r="A6252" t="s">
        <v>6558</v>
      </c>
      <c r="B6252" t="s">
        <v>199</v>
      </c>
      <c r="C6252" t="s">
        <v>53</v>
      </c>
      <c r="D6252" s="49">
        <v>45533</v>
      </c>
      <c r="E6252" s="49">
        <v>45535</v>
      </c>
      <c r="I6252" s="49">
        <v>45556</v>
      </c>
      <c r="J6252" t="s">
        <v>49</v>
      </c>
      <c r="K6252" s="33">
        <v>2100</v>
      </c>
      <c r="L6252" t="s">
        <v>60</v>
      </c>
      <c r="M6252" t="str">
        <f>_xlfn.XLOOKUP(Pipeline_tbl[[#This Row],[Rep_ID]],Dim_Reps!A:A,Dim_Reps!K:K)</f>
        <v>EUR</v>
      </c>
      <c r="N6252" s="33">
        <f>(_xlfn.XLOOKUP(Pipeline_tbl[[#This Row],[Rate_Code_Generalized]],Lookups!A:A,Lookups!B:B))*Pipeline_tbl[[#This Row],[Pipeline_Amount_USD]]</f>
        <v>2100</v>
      </c>
      <c r="O6252" t="str">
        <f>_xlfn.XLOOKUP(Pipeline_tbl[[#This Row],[Rep_ID]],Dim_Reps!A:A,Dim_Reps!B:B)</f>
        <v>Lucas Okafor</v>
      </c>
      <c r="P6252" t="str">
        <f>_xlfn.XLOOKUP(Pipeline_tbl[[#This Row],[Rep_ID]],Dim_Reps!A:A,Dim_Reps!C:C)</f>
        <v>SDR / Inside Sales Rep</v>
      </c>
      <c r="Q6252" t="str">
        <f>_xlfn.XLOOKUP(Pipeline_tbl[[#This Row],[Rep_ID]],Dim_Reps!A:A,Dim_Reps!D:D)</f>
        <v>Inside Sales</v>
      </c>
      <c r="R6252" t="str">
        <f>_xlfn.XLOOKUP(Pipeline_tbl[[#This Row],[Rep_ID]],Dim_Reps!A:A,Dim_Reps!E:E)</f>
        <v>APAC</v>
      </c>
      <c r="S6252" t="str">
        <f>_xlfn.XLOOKUP(Pipeline_tbl[[#This Row],[Created_Date]],Dim_Date!A:A,Dim_Date!H:H)</f>
        <v>Aug 2024</v>
      </c>
      <c r="T6252" t="str">
        <f>IF(Pipeline_tbl[[#This Row],[Closed_Date]]=0,"",(_xlfn.XLOOKUP(Pipeline_tbl[[#This Row],[Closed_Date]],Dim_Date!A:A,Dim_Date!H:H)))</f>
        <v>Sep 2024</v>
      </c>
      <c r="U6252">
        <f>IF(Pipeline_tbl[[#This Row],[Closed_Date]]=0,"",Pipeline_tbl[[#This Row],[Closed_Date]]-Pipeline_tbl[[#This Row],[Created_Date]])</f>
        <v>23</v>
      </c>
    </row>
    <row r="6253" spans="1:21" ht="15" customHeight="1" x14ac:dyDescent="0.2">
      <c r="A6253" t="s">
        <v>6559</v>
      </c>
      <c r="B6253" t="s">
        <v>199</v>
      </c>
      <c r="C6253" t="s">
        <v>52</v>
      </c>
      <c r="D6253" s="49">
        <v>45522</v>
      </c>
      <c r="E6253" s="49">
        <v>45524</v>
      </c>
      <c r="F6253" s="49">
        <v>45528</v>
      </c>
      <c r="G6253" s="49">
        <v>45533</v>
      </c>
      <c r="H6253" s="49">
        <v>45538</v>
      </c>
      <c r="I6253" s="49">
        <v>45541</v>
      </c>
      <c r="J6253" t="s">
        <v>49</v>
      </c>
      <c r="K6253" s="33">
        <v>3400</v>
      </c>
      <c r="L6253" t="s">
        <v>61</v>
      </c>
      <c r="M6253" t="str">
        <f>_xlfn.XLOOKUP(Pipeline_tbl[[#This Row],[Rep_ID]],Dim_Reps!A:A,Dim_Reps!K:K)</f>
        <v>EUR</v>
      </c>
      <c r="N6253" s="33">
        <f>(_xlfn.XLOOKUP(Pipeline_tbl[[#This Row],[Rate_Code_Generalized]],Lookups!A:A,Lookups!B:B))*Pipeline_tbl[[#This Row],[Pipeline_Amount_USD]]</f>
        <v>3400</v>
      </c>
      <c r="O6253" t="str">
        <f>_xlfn.XLOOKUP(Pipeline_tbl[[#This Row],[Rep_ID]],Dim_Reps!A:A,Dim_Reps!B:B)</f>
        <v>Lucas Okafor</v>
      </c>
      <c r="P6253" t="str">
        <f>_xlfn.XLOOKUP(Pipeline_tbl[[#This Row],[Rep_ID]],Dim_Reps!A:A,Dim_Reps!C:C)</f>
        <v>SDR / Inside Sales Rep</v>
      </c>
      <c r="Q6253" t="str">
        <f>_xlfn.XLOOKUP(Pipeline_tbl[[#This Row],[Rep_ID]],Dim_Reps!A:A,Dim_Reps!D:D)</f>
        <v>Inside Sales</v>
      </c>
      <c r="R6253" t="str">
        <f>_xlfn.XLOOKUP(Pipeline_tbl[[#This Row],[Rep_ID]],Dim_Reps!A:A,Dim_Reps!E:E)</f>
        <v>APAC</v>
      </c>
      <c r="S6253" t="str">
        <f>_xlfn.XLOOKUP(Pipeline_tbl[[#This Row],[Created_Date]],Dim_Date!A:A,Dim_Date!H:H)</f>
        <v>Aug 2024</v>
      </c>
      <c r="T6253" t="str">
        <f>IF(Pipeline_tbl[[#This Row],[Closed_Date]]=0,"",(_xlfn.XLOOKUP(Pipeline_tbl[[#This Row],[Closed_Date]],Dim_Date!A:A,Dim_Date!H:H)))</f>
        <v>Sep 2024</v>
      </c>
      <c r="U6253">
        <f>IF(Pipeline_tbl[[#This Row],[Closed_Date]]=0,"",Pipeline_tbl[[#This Row],[Closed_Date]]-Pipeline_tbl[[#This Row],[Created_Date]])</f>
        <v>19</v>
      </c>
    </row>
    <row r="6254" spans="1:21" ht="15" customHeight="1" x14ac:dyDescent="0.2">
      <c r="A6254" t="s">
        <v>6560</v>
      </c>
      <c r="B6254" t="s">
        <v>199</v>
      </c>
      <c r="C6254" t="s">
        <v>52</v>
      </c>
      <c r="D6254" s="49">
        <v>45521</v>
      </c>
      <c r="E6254" s="49">
        <v>45523</v>
      </c>
      <c r="F6254" s="49">
        <v>45527</v>
      </c>
      <c r="G6254" s="49">
        <v>45534</v>
      </c>
      <c r="H6254" s="49">
        <v>45539</v>
      </c>
      <c r="I6254" s="49">
        <v>45542</v>
      </c>
      <c r="J6254" t="s">
        <v>47</v>
      </c>
      <c r="K6254" s="33">
        <v>6900</v>
      </c>
      <c r="M6254" t="str">
        <f>_xlfn.XLOOKUP(Pipeline_tbl[[#This Row],[Rep_ID]],Dim_Reps!A:A,Dim_Reps!K:K)</f>
        <v>EUR</v>
      </c>
      <c r="N6254" s="33">
        <f>(_xlfn.XLOOKUP(Pipeline_tbl[[#This Row],[Rate_Code_Generalized]],Lookups!A:A,Lookups!B:B))*Pipeline_tbl[[#This Row],[Pipeline_Amount_USD]]</f>
        <v>6900</v>
      </c>
      <c r="O6254" t="str">
        <f>_xlfn.XLOOKUP(Pipeline_tbl[[#This Row],[Rep_ID]],Dim_Reps!A:A,Dim_Reps!B:B)</f>
        <v>Lucas Okafor</v>
      </c>
      <c r="P6254" t="str">
        <f>_xlfn.XLOOKUP(Pipeline_tbl[[#This Row],[Rep_ID]],Dim_Reps!A:A,Dim_Reps!C:C)</f>
        <v>SDR / Inside Sales Rep</v>
      </c>
      <c r="Q6254" t="str">
        <f>_xlfn.XLOOKUP(Pipeline_tbl[[#This Row],[Rep_ID]],Dim_Reps!A:A,Dim_Reps!D:D)</f>
        <v>Inside Sales</v>
      </c>
      <c r="R6254" t="str">
        <f>_xlfn.XLOOKUP(Pipeline_tbl[[#This Row],[Rep_ID]],Dim_Reps!A:A,Dim_Reps!E:E)</f>
        <v>APAC</v>
      </c>
      <c r="S6254" t="str">
        <f>_xlfn.XLOOKUP(Pipeline_tbl[[#This Row],[Created_Date]],Dim_Date!A:A,Dim_Date!H:H)</f>
        <v>Aug 2024</v>
      </c>
      <c r="T6254" t="str">
        <f>IF(Pipeline_tbl[[#This Row],[Closed_Date]]=0,"",(_xlfn.XLOOKUP(Pipeline_tbl[[#This Row],[Closed_Date]],Dim_Date!A:A,Dim_Date!H:H)))</f>
        <v>Sep 2024</v>
      </c>
      <c r="U6254">
        <f>IF(Pipeline_tbl[[#This Row],[Closed_Date]]=0,"",Pipeline_tbl[[#This Row],[Closed_Date]]-Pipeline_tbl[[#This Row],[Created_Date]])</f>
        <v>21</v>
      </c>
    </row>
    <row r="6255" spans="1:21" ht="15" customHeight="1" x14ac:dyDescent="0.2">
      <c r="A6255" t="s">
        <v>6561</v>
      </c>
      <c r="B6255" t="s">
        <v>199</v>
      </c>
      <c r="C6255" t="s">
        <v>55</v>
      </c>
      <c r="D6255" s="49">
        <v>45535</v>
      </c>
      <c r="E6255" s="49">
        <v>45537</v>
      </c>
      <c r="F6255" s="49">
        <v>45540</v>
      </c>
      <c r="G6255" s="49">
        <v>45545</v>
      </c>
      <c r="H6255" s="49">
        <v>45549</v>
      </c>
      <c r="I6255" s="49">
        <v>45551</v>
      </c>
      <c r="J6255" t="s">
        <v>47</v>
      </c>
      <c r="K6255" s="33">
        <v>1800</v>
      </c>
      <c r="M6255" t="str">
        <f>_xlfn.XLOOKUP(Pipeline_tbl[[#This Row],[Rep_ID]],Dim_Reps!A:A,Dim_Reps!K:K)</f>
        <v>EUR</v>
      </c>
      <c r="N6255" s="33">
        <f>(_xlfn.XLOOKUP(Pipeline_tbl[[#This Row],[Rate_Code_Generalized]],Lookups!A:A,Lookups!B:B))*Pipeline_tbl[[#This Row],[Pipeline_Amount_USD]]</f>
        <v>1800</v>
      </c>
      <c r="O6255" t="str">
        <f>_xlfn.XLOOKUP(Pipeline_tbl[[#This Row],[Rep_ID]],Dim_Reps!A:A,Dim_Reps!B:B)</f>
        <v>Lucas Okafor</v>
      </c>
      <c r="P6255" t="str">
        <f>_xlfn.XLOOKUP(Pipeline_tbl[[#This Row],[Rep_ID]],Dim_Reps!A:A,Dim_Reps!C:C)</f>
        <v>SDR / Inside Sales Rep</v>
      </c>
      <c r="Q6255" t="str">
        <f>_xlfn.XLOOKUP(Pipeline_tbl[[#This Row],[Rep_ID]],Dim_Reps!A:A,Dim_Reps!D:D)</f>
        <v>Inside Sales</v>
      </c>
      <c r="R6255" t="str">
        <f>_xlfn.XLOOKUP(Pipeline_tbl[[#This Row],[Rep_ID]],Dim_Reps!A:A,Dim_Reps!E:E)</f>
        <v>APAC</v>
      </c>
      <c r="S6255" t="str">
        <f>_xlfn.XLOOKUP(Pipeline_tbl[[#This Row],[Created_Date]],Dim_Date!A:A,Dim_Date!H:H)</f>
        <v>Aug 2024</v>
      </c>
      <c r="T6255" t="str">
        <f>IF(Pipeline_tbl[[#This Row],[Closed_Date]]=0,"",(_xlfn.XLOOKUP(Pipeline_tbl[[#This Row],[Closed_Date]],Dim_Date!A:A,Dim_Date!H:H)))</f>
        <v>Sep 2024</v>
      </c>
      <c r="U6255">
        <f>IF(Pipeline_tbl[[#This Row],[Closed_Date]]=0,"",Pipeline_tbl[[#This Row],[Closed_Date]]-Pipeline_tbl[[#This Row],[Created_Date]])</f>
        <v>16</v>
      </c>
    </row>
    <row r="6256" spans="1:21" ht="15" customHeight="1" x14ac:dyDescent="0.2">
      <c r="A6256" t="s">
        <v>6562</v>
      </c>
      <c r="B6256" t="s">
        <v>181</v>
      </c>
      <c r="C6256" t="s">
        <v>52</v>
      </c>
      <c r="D6256" s="49">
        <v>45505</v>
      </c>
      <c r="E6256" s="49">
        <v>45508</v>
      </c>
      <c r="F6256" s="49">
        <v>45515</v>
      </c>
      <c r="G6256" s="49">
        <v>45525</v>
      </c>
      <c r="I6256" s="49">
        <v>45539</v>
      </c>
      <c r="J6256" t="s">
        <v>49</v>
      </c>
      <c r="K6256" s="33">
        <v>52300</v>
      </c>
      <c r="L6256" t="s">
        <v>64</v>
      </c>
      <c r="M6256" t="str">
        <f>_xlfn.XLOOKUP(Pipeline_tbl[[#This Row],[Rep_ID]],Dim_Reps!A:A,Dim_Reps!K:K)</f>
        <v>USD</v>
      </c>
      <c r="N6256" s="33">
        <f>(_xlfn.XLOOKUP(Pipeline_tbl[[#This Row],[Rate_Code_Generalized]],Lookups!A:A,Lookups!B:B))*Pipeline_tbl[[#This Row],[Pipeline_Amount_USD]]</f>
        <v>60892.889999999992</v>
      </c>
      <c r="O6256" t="str">
        <f>_xlfn.XLOOKUP(Pipeline_tbl[[#This Row],[Rep_ID]],Dim_Reps!A:A,Dim_Reps!B:B)</f>
        <v>Milo Weber</v>
      </c>
      <c r="P6256" t="str">
        <f>_xlfn.XLOOKUP(Pipeline_tbl[[#This Row],[Rep_ID]],Dim_Reps!A:A,Dim_Reps!C:C)</f>
        <v>Enterprise AE</v>
      </c>
      <c r="Q6256" t="str">
        <f>_xlfn.XLOOKUP(Pipeline_tbl[[#This Row],[Rep_ID]],Dim_Reps!A:A,Dim_Reps!D:D)</f>
        <v>Enterprise</v>
      </c>
      <c r="R6256" t="str">
        <f>_xlfn.XLOOKUP(Pipeline_tbl[[#This Row],[Rep_ID]],Dim_Reps!A:A,Dim_Reps!E:E)</f>
        <v>NAMER</v>
      </c>
      <c r="S6256" t="str">
        <f>_xlfn.XLOOKUP(Pipeline_tbl[[#This Row],[Created_Date]],Dim_Date!A:A,Dim_Date!H:H)</f>
        <v>Aug 2024</v>
      </c>
      <c r="T6256" t="str">
        <f>IF(Pipeline_tbl[[#This Row],[Closed_Date]]=0,"",(_xlfn.XLOOKUP(Pipeline_tbl[[#This Row],[Closed_Date]],Dim_Date!A:A,Dim_Date!H:H)))</f>
        <v>Sep 2024</v>
      </c>
      <c r="U6256">
        <f>IF(Pipeline_tbl[[#This Row],[Closed_Date]]=0,"",Pipeline_tbl[[#This Row],[Closed_Date]]-Pipeline_tbl[[#This Row],[Created_Date]])</f>
        <v>34</v>
      </c>
    </row>
    <row r="6257" spans="1:21" ht="15" customHeight="1" x14ac:dyDescent="0.2">
      <c r="A6257" t="s">
        <v>6563</v>
      </c>
      <c r="B6257" t="s">
        <v>278</v>
      </c>
      <c r="C6257" t="s">
        <v>52</v>
      </c>
      <c r="D6257" s="49">
        <v>45509</v>
      </c>
      <c r="E6257" s="49">
        <v>45513</v>
      </c>
      <c r="F6257" s="49">
        <v>45523</v>
      </c>
      <c r="I6257" s="49">
        <v>45554</v>
      </c>
      <c r="J6257" t="s">
        <v>49</v>
      </c>
      <c r="K6257" s="33">
        <v>57800</v>
      </c>
      <c r="L6257" t="s">
        <v>64</v>
      </c>
      <c r="M6257" t="str">
        <f>_xlfn.XLOOKUP(Pipeline_tbl[[#This Row],[Rep_ID]],Dim_Reps!A:A,Dim_Reps!K:K)</f>
        <v>EUR</v>
      </c>
      <c r="N6257" s="33">
        <f>(_xlfn.XLOOKUP(Pipeline_tbl[[#This Row],[Rate_Code_Generalized]],Lookups!A:A,Lookups!B:B))*Pipeline_tbl[[#This Row],[Pipeline_Amount_USD]]</f>
        <v>57800</v>
      </c>
      <c r="O6257" t="str">
        <f>_xlfn.XLOOKUP(Pipeline_tbl[[#This Row],[Rep_ID]],Dim_Reps!A:A,Dim_Reps!B:B)</f>
        <v>Sara Andersson</v>
      </c>
      <c r="P6257" t="str">
        <f>_xlfn.XLOOKUP(Pipeline_tbl[[#This Row],[Rep_ID]],Dim_Reps!A:A,Dim_Reps!C:C)</f>
        <v>Senior Enterprise AE</v>
      </c>
      <c r="Q6257" t="str">
        <f>_xlfn.XLOOKUP(Pipeline_tbl[[#This Row],[Rep_ID]],Dim_Reps!A:A,Dim_Reps!D:D)</f>
        <v>Strategic</v>
      </c>
      <c r="R6257" t="str">
        <f>_xlfn.XLOOKUP(Pipeline_tbl[[#This Row],[Rep_ID]],Dim_Reps!A:A,Dim_Reps!E:E)</f>
        <v>APAC</v>
      </c>
      <c r="S6257" t="str">
        <f>_xlfn.XLOOKUP(Pipeline_tbl[[#This Row],[Created_Date]],Dim_Date!A:A,Dim_Date!H:H)</f>
        <v>Aug 2024</v>
      </c>
      <c r="T6257" t="str">
        <f>IF(Pipeline_tbl[[#This Row],[Closed_Date]]=0,"",(_xlfn.XLOOKUP(Pipeline_tbl[[#This Row],[Closed_Date]],Dim_Date!A:A,Dim_Date!H:H)))</f>
        <v>Sep 2024</v>
      </c>
      <c r="U6257">
        <f>IF(Pipeline_tbl[[#This Row],[Closed_Date]]=0,"",Pipeline_tbl[[#This Row],[Closed_Date]]-Pipeline_tbl[[#This Row],[Created_Date]])</f>
        <v>45</v>
      </c>
    </row>
    <row r="6258" spans="1:21" ht="15" customHeight="1" x14ac:dyDescent="0.2">
      <c r="A6258" t="s">
        <v>6564</v>
      </c>
      <c r="B6258" t="s">
        <v>205</v>
      </c>
      <c r="C6258" t="s">
        <v>54</v>
      </c>
      <c r="D6258" s="49">
        <v>45524</v>
      </c>
      <c r="E6258" s="49">
        <v>45526</v>
      </c>
      <c r="F6258" s="49">
        <v>45531</v>
      </c>
      <c r="G6258" s="49">
        <v>45537</v>
      </c>
      <c r="I6258" s="49">
        <v>45546</v>
      </c>
      <c r="J6258" t="s">
        <v>49</v>
      </c>
      <c r="K6258" s="33">
        <v>7700</v>
      </c>
      <c r="L6258" t="s">
        <v>60</v>
      </c>
      <c r="M6258" t="str">
        <f>_xlfn.XLOOKUP(Pipeline_tbl[[#This Row],[Rep_ID]],Dim_Reps!A:A,Dim_Reps!K:K)</f>
        <v>EUR</v>
      </c>
      <c r="N6258" s="33">
        <f>(_xlfn.XLOOKUP(Pipeline_tbl[[#This Row],[Rate_Code_Generalized]],Lookups!A:A,Lookups!B:B))*Pipeline_tbl[[#This Row],[Pipeline_Amount_USD]]</f>
        <v>7700</v>
      </c>
      <c r="O6258" t="str">
        <f>_xlfn.XLOOKUP(Pipeline_tbl[[#This Row],[Rep_ID]],Dim_Reps!A:A,Dim_Reps!B:B)</f>
        <v>Karim Alvarez</v>
      </c>
      <c r="P6258" t="str">
        <f>_xlfn.XLOOKUP(Pipeline_tbl[[#This Row],[Rep_ID]],Dim_Reps!A:A,Dim_Reps!C:C)</f>
        <v>SDR / Inside Sales Rep</v>
      </c>
      <c r="Q6258" t="str">
        <f>_xlfn.XLOOKUP(Pipeline_tbl[[#This Row],[Rep_ID]],Dim_Reps!A:A,Dim_Reps!D:D)</f>
        <v>Inside Sales</v>
      </c>
      <c r="R6258" t="str">
        <f>_xlfn.XLOOKUP(Pipeline_tbl[[#This Row],[Rep_ID]],Dim_Reps!A:A,Dim_Reps!E:E)</f>
        <v>EMEA</v>
      </c>
      <c r="S6258" t="str">
        <f>_xlfn.XLOOKUP(Pipeline_tbl[[#This Row],[Created_Date]],Dim_Date!A:A,Dim_Date!H:H)</f>
        <v>Aug 2024</v>
      </c>
      <c r="T6258" t="str">
        <f>IF(Pipeline_tbl[[#This Row],[Closed_Date]]=0,"",(_xlfn.XLOOKUP(Pipeline_tbl[[#This Row],[Closed_Date]],Dim_Date!A:A,Dim_Date!H:H)))</f>
        <v>Sep 2024</v>
      </c>
      <c r="U6258">
        <f>IF(Pipeline_tbl[[#This Row],[Closed_Date]]=0,"",Pipeline_tbl[[#This Row],[Closed_Date]]-Pipeline_tbl[[#This Row],[Created_Date]])</f>
        <v>22</v>
      </c>
    </row>
    <row r="6259" spans="1:21" ht="15" customHeight="1" x14ac:dyDescent="0.2">
      <c r="A6259" t="s">
        <v>6565</v>
      </c>
      <c r="B6259" t="s">
        <v>207</v>
      </c>
      <c r="C6259" t="s">
        <v>53</v>
      </c>
      <c r="D6259" s="49">
        <v>45526</v>
      </c>
      <c r="E6259" s="49">
        <v>45527</v>
      </c>
      <c r="F6259" s="49">
        <v>45530</v>
      </c>
      <c r="I6259" s="49">
        <v>45539</v>
      </c>
      <c r="J6259" t="s">
        <v>49</v>
      </c>
      <c r="K6259" s="33">
        <v>4700</v>
      </c>
      <c r="L6259" t="s">
        <v>64</v>
      </c>
      <c r="M6259" t="str">
        <f>_xlfn.XLOOKUP(Pipeline_tbl[[#This Row],[Rep_ID]],Dim_Reps!A:A,Dim_Reps!K:K)</f>
        <v>EUR</v>
      </c>
      <c r="N6259" s="33">
        <f>(_xlfn.XLOOKUP(Pipeline_tbl[[#This Row],[Rate_Code_Generalized]],Lookups!A:A,Lookups!B:B))*Pipeline_tbl[[#This Row],[Pipeline_Amount_USD]]</f>
        <v>4700</v>
      </c>
      <c r="O6259" t="str">
        <f>_xlfn.XLOOKUP(Pipeline_tbl[[#This Row],[Rep_ID]],Dim_Reps!A:A,Dim_Reps!B:B)</f>
        <v>Sam Castro</v>
      </c>
      <c r="P6259" t="str">
        <f>_xlfn.XLOOKUP(Pipeline_tbl[[#This Row],[Rep_ID]],Dim_Reps!A:A,Dim_Reps!C:C)</f>
        <v>SDR / Inside Sales Rep</v>
      </c>
      <c r="Q6259" t="str">
        <f>_xlfn.XLOOKUP(Pipeline_tbl[[#This Row],[Rep_ID]],Dim_Reps!A:A,Dim_Reps!D:D)</f>
        <v>Inside Sales</v>
      </c>
      <c r="R6259" t="str">
        <f>_xlfn.XLOOKUP(Pipeline_tbl[[#This Row],[Rep_ID]],Dim_Reps!A:A,Dim_Reps!E:E)</f>
        <v>APAC</v>
      </c>
      <c r="S6259" t="str">
        <f>_xlfn.XLOOKUP(Pipeline_tbl[[#This Row],[Created_Date]],Dim_Date!A:A,Dim_Date!H:H)</f>
        <v>Aug 2024</v>
      </c>
      <c r="T6259" t="str">
        <f>IF(Pipeline_tbl[[#This Row],[Closed_Date]]=0,"",(_xlfn.XLOOKUP(Pipeline_tbl[[#This Row],[Closed_Date]],Dim_Date!A:A,Dim_Date!H:H)))</f>
        <v>Sep 2024</v>
      </c>
      <c r="U6259">
        <f>IF(Pipeline_tbl[[#This Row],[Closed_Date]]=0,"",Pipeline_tbl[[#This Row],[Closed_Date]]-Pipeline_tbl[[#This Row],[Created_Date]])</f>
        <v>13</v>
      </c>
    </row>
    <row r="6260" spans="1:21" ht="15" customHeight="1" x14ac:dyDescent="0.2">
      <c r="A6260" t="s">
        <v>6566</v>
      </c>
      <c r="B6260" t="s">
        <v>207</v>
      </c>
      <c r="C6260" t="s">
        <v>54</v>
      </c>
      <c r="D6260" s="49">
        <v>45523</v>
      </c>
      <c r="E6260" s="49">
        <v>45525</v>
      </c>
      <c r="F6260" s="49">
        <v>45529</v>
      </c>
      <c r="I6260" s="49">
        <v>45543</v>
      </c>
      <c r="J6260" t="s">
        <v>49</v>
      </c>
      <c r="K6260" s="33">
        <v>3800</v>
      </c>
      <c r="L6260" t="s">
        <v>63</v>
      </c>
      <c r="M6260" t="str">
        <f>_xlfn.XLOOKUP(Pipeline_tbl[[#This Row],[Rep_ID]],Dim_Reps!A:A,Dim_Reps!K:K)</f>
        <v>EUR</v>
      </c>
      <c r="N6260" s="33">
        <f>(_xlfn.XLOOKUP(Pipeline_tbl[[#This Row],[Rate_Code_Generalized]],Lookups!A:A,Lookups!B:B))*Pipeline_tbl[[#This Row],[Pipeline_Amount_USD]]</f>
        <v>3800</v>
      </c>
      <c r="O6260" t="str">
        <f>_xlfn.XLOOKUP(Pipeline_tbl[[#This Row],[Rep_ID]],Dim_Reps!A:A,Dim_Reps!B:B)</f>
        <v>Sam Castro</v>
      </c>
      <c r="P6260" t="str">
        <f>_xlfn.XLOOKUP(Pipeline_tbl[[#This Row],[Rep_ID]],Dim_Reps!A:A,Dim_Reps!C:C)</f>
        <v>SDR / Inside Sales Rep</v>
      </c>
      <c r="Q6260" t="str">
        <f>_xlfn.XLOOKUP(Pipeline_tbl[[#This Row],[Rep_ID]],Dim_Reps!A:A,Dim_Reps!D:D)</f>
        <v>Inside Sales</v>
      </c>
      <c r="R6260" t="str">
        <f>_xlfn.XLOOKUP(Pipeline_tbl[[#This Row],[Rep_ID]],Dim_Reps!A:A,Dim_Reps!E:E)</f>
        <v>APAC</v>
      </c>
      <c r="S6260" t="str">
        <f>_xlfn.XLOOKUP(Pipeline_tbl[[#This Row],[Created_Date]],Dim_Date!A:A,Dim_Date!H:H)</f>
        <v>Aug 2024</v>
      </c>
      <c r="T6260" t="str">
        <f>IF(Pipeline_tbl[[#This Row],[Closed_Date]]=0,"",(_xlfn.XLOOKUP(Pipeline_tbl[[#This Row],[Closed_Date]],Dim_Date!A:A,Dim_Date!H:H)))</f>
        <v>Sep 2024</v>
      </c>
      <c r="U6260">
        <f>IF(Pipeline_tbl[[#This Row],[Closed_Date]]=0,"",Pipeline_tbl[[#This Row],[Closed_Date]]-Pipeline_tbl[[#This Row],[Created_Date]])</f>
        <v>20</v>
      </c>
    </row>
    <row r="6261" spans="1:21" ht="15" customHeight="1" x14ac:dyDescent="0.2">
      <c r="A6261" t="s">
        <v>6567</v>
      </c>
      <c r="B6261" t="s">
        <v>207</v>
      </c>
      <c r="C6261" t="s">
        <v>54</v>
      </c>
      <c r="D6261" s="49">
        <v>45521</v>
      </c>
      <c r="E6261" s="49">
        <v>45523</v>
      </c>
      <c r="F6261" s="49">
        <v>45528</v>
      </c>
      <c r="G6261" s="49">
        <v>45534</v>
      </c>
      <c r="H6261" s="49">
        <v>45540</v>
      </c>
      <c r="I6261" s="49">
        <v>45543</v>
      </c>
      <c r="J6261" t="s">
        <v>47</v>
      </c>
      <c r="K6261" s="33">
        <v>1200</v>
      </c>
      <c r="M6261" t="str">
        <f>_xlfn.XLOOKUP(Pipeline_tbl[[#This Row],[Rep_ID]],Dim_Reps!A:A,Dim_Reps!K:K)</f>
        <v>EUR</v>
      </c>
      <c r="N6261" s="33">
        <f>(_xlfn.XLOOKUP(Pipeline_tbl[[#This Row],[Rate_Code_Generalized]],Lookups!A:A,Lookups!B:B))*Pipeline_tbl[[#This Row],[Pipeline_Amount_USD]]</f>
        <v>1200</v>
      </c>
      <c r="O6261" t="str">
        <f>_xlfn.XLOOKUP(Pipeline_tbl[[#This Row],[Rep_ID]],Dim_Reps!A:A,Dim_Reps!B:B)</f>
        <v>Sam Castro</v>
      </c>
      <c r="P6261" t="str">
        <f>_xlfn.XLOOKUP(Pipeline_tbl[[#This Row],[Rep_ID]],Dim_Reps!A:A,Dim_Reps!C:C)</f>
        <v>SDR / Inside Sales Rep</v>
      </c>
      <c r="Q6261" t="str">
        <f>_xlfn.XLOOKUP(Pipeline_tbl[[#This Row],[Rep_ID]],Dim_Reps!A:A,Dim_Reps!D:D)</f>
        <v>Inside Sales</v>
      </c>
      <c r="R6261" t="str">
        <f>_xlfn.XLOOKUP(Pipeline_tbl[[#This Row],[Rep_ID]],Dim_Reps!A:A,Dim_Reps!E:E)</f>
        <v>APAC</v>
      </c>
      <c r="S6261" t="str">
        <f>_xlfn.XLOOKUP(Pipeline_tbl[[#This Row],[Created_Date]],Dim_Date!A:A,Dim_Date!H:H)</f>
        <v>Aug 2024</v>
      </c>
      <c r="T6261" t="str">
        <f>IF(Pipeline_tbl[[#This Row],[Closed_Date]]=0,"",(_xlfn.XLOOKUP(Pipeline_tbl[[#This Row],[Closed_Date]],Dim_Date!A:A,Dim_Date!H:H)))</f>
        <v>Sep 2024</v>
      </c>
      <c r="U6261">
        <f>IF(Pipeline_tbl[[#This Row],[Closed_Date]]=0,"",Pipeline_tbl[[#This Row],[Closed_Date]]-Pipeline_tbl[[#This Row],[Created_Date]])</f>
        <v>22</v>
      </c>
    </row>
    <row r="6262" spans="1:21" ht="15" customHeight="1" x14ac:dyDescent="0.2">
      <c r="A6262" t="s">
        <v>6568</v>
      </c>
      <c r="B6262" t="s">
        <v>207</v>
      </c>
      <c r="C6262" t="s">
        <v>56</v>
      </c>
      <c r="D6262" s="49">
        <v>45526</v>
      </c>
      <c r="E6262" s="49">
        <v>45528</v>
      </c>
      <c r="I6262" s="49">
        <v>45545</v>
      </c>
      <c r="J6262" t="s">
        <v>49</v>
      </c>
      <c r="K6262" s="33">
        <v>3100</v>
      </c>
      <c r="L6262" t="s">
        <v>60</v>
      </c>
      <c r="M6262" t="str">
        <f>_xlfn.XLOOKUP(Pipeline_tbl[[#This Row],[Rep_ID]],Dim_Reps!A:A,Dim_Reps!K:K)</f>
        <v>EUR</v>
      </c>
      <c r="N6262" s="33">
        <f>(_xlfn.XLOOKUP(Pipeline_tbl[[#This Row],[Rate_Code_Generalized]],Lookups!A:A,Lookups!B:B))*Pipeline_tbl[[#This Row],[Pipeline_Amount_USD]]</f>
        <v>3100</v>
      </c>
      <c r="O6262" t="str">
        <f>_xlfn.XLOOKUP(Pipeline_tbl[[#This Row],[Rep_ID]],Dim_Reps!A:A,Dim_Reps!B:B)</f>
        <v>Sam Castro</v>
      </c>
      <c r="P6262" t="str">
        <f>_xlfn.XLOOKUP(Pipeline_tbl[[#This Row],[Rep_ID]],Dim_Reps!A:A,Dim_Reps!C:C)</f>
        <v>SDR / Inside Sales Rep</v>
      </c>
      <c r="Q6262" t="str">
        <f>_xlfn.XLOOKUP(Pipeline_tbl[[#This Row],[Rep_ID]],Dim_Reps!A:A,Dim_Reps!D:D)</f>
        <v>Inside Sales</v>
      </c>
      <c r="R6262" t="str">
        <f>_xlfn.XLOOKUP(Pipeline_tbl[[#This Row],[Rep_ID]],Dim_Reps!A:A,Dim_Reps!E:E)</f>
        <v>APAC</v>
      </c>
      <c r="S6262" t="str">
        <f>_xlfn.XLOOKUP(Pipeline_tbl[[#This Row],[Created_Date]],Dim_Date!A:A,Dim_Date!H:H)</f>
        <v>Aug 2024</v>
      </c>
      <c r="T6262" t="str">
        <f>IF(Pipeline_tbl[[#This Row],[Closed_Date]]=0,"",(_xlfn.XLOOKUP(Pipeline_tbl[[#This Row],[Closed_Date]],Dim_Date!A:A,Dim_Date!H:H)))</f>
        <v>Sep 2024</v>
      </c>
      <c r="U6262">
        <f>IF(Pipeline_tbl[[#This Row],[Closed_Date]]=0,"",Pipeline_tbl[[#This Row],[Closed_Date]]-Pipeline_tbl[[#This Row],[Created_Date]])</f>
        <v>19</v>
      </c>
    </row>
    <row r="6263" spans="1:21" ht="15" customHeight="1" x14ac:dyDescent="0.2">
      <c r="A6263" t="s">
        <v>6569</v>
      </c>
      <c r="B6263" t="s">
        <v>211</v>
      </c>
      <c r="C6263" t="s">
        <v>55</v>
      </c>
      <c r="D6263" s="49">
        <v>45533</v>
      </c>
      <c r="E6263" s="49">
        <v>45535</v>
      </c>
      <c r="F6263" s="49">
        <v>45539</v>
      </c>
      <c r="G6263" s="49">
        <v>45546</v>
      </c>
      <c r="I6263" s="49">
        <v>45554</v>
      </c>
      <c r="J6263" t="s">
        <v>49</v>
      </c>
      <c r="K6263" s="33">
        <v>3200</v>
      </c>
      <c r="L6263" t="s">
        <v>61</v>
      </c>
      <c r="M6263" t="str">
        <f>_xlfn.XLOOKUP(Pipeline_tbl[[#This Row],[Rep_ID]],Dim_Reps!A:A,Dim_Reps!K:K)</f>
        <v>EUR</v>
      </c>
      <c r="N6263" s="33">
        <f>(_xlfn.XLOOKUP(Pipeline_tbl[[#This Row],[Rate_Code_Generalized]],Lookups!A:A,Lookups!B:B))*Pipeline_tbl[[#This Row],[Pipeline_Amount_USD]]</f>
        <v>3200</v>
      </c>
      <c r="O6263" t="str">
        <f>_xlfn.XLOOKUP(Pipeline_tbl[[#This Row],[Rep_ID]],Dim_Reps!A:A,Dim_Reps!B:B)</f>
        <v>Lea Weber</v>
      </c>
      <c r="P6263" t="str">
        <f>_xlfn.XLOOKUP(Pipeline_tbl[[#This Row],[Rep_ID]],Dim_Reps!A:A,Dim_Reps!C:C)</f>
        <v>SDR / Inside Sales Rep</v>
      </c>
      <c r="Q6263" t="str">
        <f>_xlfn.XLOOKUP(Pipeline_tbl[[#This Row],[Rep_ID]],Dim_Reps!A:A,Dim_Reps!D:D)</f>
        <v>Inside Sales</v>
      </c>
      <c r="R6263" t="str">
        <f>_xlfn.XLOOKUP(Pipeline_tbl[[#This Row],[Rep_ID]],Dim_Reps!A:A,Dim_Reps!E:E)</f>
        <v>EMEA</v>
      </c>
      <c r="S6263" t="str">
        <f>_xlfn.XLOOKUP(Pipeline_tbl[[#This Row],[Created_Date]],Dim_Date!A:A,Dim_Date!H:H)</f>
        <v>Aug 2024</v>
      </c>
      <c r="T6263" t="str">
        <f>IF(Pipeline_tbl[[#This Row],[Closed_Date]]=0,"",(_xlfn.XLOOKUP(Pipeline_tbl[[#This Row],[Closed_Date]],Dim_Date!A:A,Dim_Date!H:H)))</f>
        <v>Sep 2024</v>
      </c>
      <c r="U6263">
        <f>IF(Pipeline_tbl[[#This Row],[Closed_Date]]=0,"",Pipeline_tbl[[#This Row],[Closed_Date]]-Pipeline_tbl[[#This Row],[Created_Date]])</f>
        <v>21</v>
      </c>
    </row>
    <row r="6264" spans="1:21" ht="15" customHeight="1" x14ac:dyDescent="0.2">
      <c r="A6264" t="s">
        <v>6570</v>
      </c>
      <c r="B6264" t="s">
        <v>211</v>
      </c>
      <c r="C6264" t="s">
        <v>56</v>
      </c>
      <c r="D6264" s="49">
        <v>45526</v>
      </c>
      <c r="E6264" s="49">
        <v>45528</v>
      </c>
      <c r="F6264" s="49">
        <v>45531</v>
      </c>
      <c r="G6264" s="49">
        <v>45536</v>
      </c>
      <c r="H6264" s="49">
        <v>45540</v>
      </c>
      <c r="I6264" s="49">
        <v>45543</v>
      </c>
      <c r="J6264" t="s">
        <v>47</v>
      </c>
      <c r="K6264" s="33">
        <v>4300</v>
      </c>
      <c r="M6264" t="str">
        <f>_xlfn.XLOOKUP(Pipeline_tbl[[#This Row],[Rep_ID]],Dim_Reps!A:A,Dim_Reps!K:K)</f>
        <v>EUR</v>
      </c>
      <c r="N6264" s="33">
        <f>(_xlfn.XLOOKUP(Pipeline_tbl[[#This Row],[Rate_Code_Generalized]],Lookups!A:A,Lookups!B:B))*Pipeline_tbl[[#This Row],[Pipeline_Amount_USD]]</f>
        <v>4300</v>
      </c>
      <c r="O6264" t="str">
        <f>_xlfn.XLOOKUP(Pipeline_tbl[[#This Row],[Rep_ID]],Dim_Reps!A:A,Dim_Reps!B:B)</f>
        <v>Lea Weber</v>
      </c>
      <c r="P6264" t="str">
        <f>_xlfn.XLOOKUP(Pipeline_tbl[[#This Row],[Rep_ID]],Dim_Reps!A:A,Dim_Reps!C:C)</f>
        <v>SDR / Inside Sales Rep</v>
      </c>
      <c r="Q6264" t="str">
        <f>_xlfn.XLOOKUP(Pipeline_tbl[[#This Row],[Rep_ID]],Dim_Reps!A:A,Dim_Reps!D:D)</f>
        <v>Inside Sales</v>
      </c>
      <c r="R6264" t="str">
        <f>_xlfn.XLOOKUP(Pipeline_tbl[[#This Row],[Rep_ID]],Dim_Reps!A:A,Dim_Reps!E:E)</f>
        <v>EMEA</v>
      </c>
      <c r="S6264" t="str">
        <f>_xlfn.XLOOKUP(Pipeline_tbl[[#This Row],[Created_Date]],Dim_Date!A:A,Dim_Date!H:H)</f>
        <v>Aug 2024</v>
      </c>
      <c r="T6264" t="str">
        <f>IF(Pipeline_tbl[[#This Row],[Closed_Date]]=0,"",(_xlfn.XLOOKUP(Pipeline_tbl[[#This Row],[Closed_Date]],Dim_Date!A:A,Dim_Date!H:H)))</f>
        <v>Sep 2024</v>
      </c>
      <c r="U6264">
        <f>IF(Pipeline_tbl[[#This Row],[Closed_Date]]=0,"",Pipeline_tbl[[#This Row],[Closed_Date]]-Pipeline_tbl[[#This Row],[Created_Date]])</f>
        <v>17</v>
      </c>
    </row>
    <row r="6265" spans="1:21" ht="15" customHeight="1" x14ac:dyDescent="0.2">
      <c r="A6265" t="s">
        <v>6571</v>
      </c>
      <c r="B6265" t="s">
        <v>211</v>
      </c>
      <c r="C6265" t="s">
        <v>54</v>
      </c>
      <c r="D6265" s="49">
        <v>45533</v>
      </c>
      <c r="E6265" s="49">
        <v>45535</v>
      </c>
      <c r="F6265" s="49">
        <v>45538</v>
      </c>
      <c r="G6265" s="49">
        <v>45543</v>
      </c>
      <c r="H6265" s="49">
        <v>45547</v>
      </c>
      <c r="I6265" s="49">
        <v>45549</v>
      </c>
      <c r="J6265" t="s">
        <v>49</v>
      </c>
      <c r="K6265" s="33">
        <v>4600</v>
      </c>
      <c r="L6265" t="s">
        <v>60</v>
      </c>
      <c r="M6265" t="str">
        <f>_xlfn.XLOOKUP(Pipeline_tbl[[#This Row],[Rep_ID]],Dim_Reps!A:A,Dim_Reps!K:K)</f>
        <v>EUR</v>
      </c>
      <c r="N6265" s="33">
        <f>(_xlfn.XLOOKUP(Pipeline_tbl[[#This Row],[Rate_Code_Generalized]],Lookups!A:A,Lookups!B:B))*Pipeline_tbl[[#This Row],[Pipeline_Amount_USD]]</f>
        <v>4600</v>
      </c>
      <c r="O6265" t="str">
        <f>_xlfn.XLOOKUP(Pipeline_tbl[[#This Row],[Rep_ID]],Dim_Reps!A:A,Dim_Reps!B:B)</f>
        <v>Lea Weber</v>
      </c>
      <c r="P6265" t="str">
        <f>_xlfn.XLOOKUP(Pipeline_tbl[[#This Row],[Rep_ID]],Dim_Reps!A:A,Dim_Reps!C:C)</f>
        <v>SDR / Inside Sales Rep</v>
      </c>
      <c r="Q6265" t="str">
        <f>_xlfn.XLOOKUP(Pipeline_tbl[[#This Row],[Rep_ID]],Dim_Reps!A:A,Dim_Reps!D:D)</f>
        <v>Inside Sales</v>
      </c>
      <c r="R6265" t="str">
        <f>_xlfn.XLOOKUP(Pipeline_tbl[[#This Row],[Rep_ID]],Dim_Reps!A:A,Dim_Reps!E:E)</f>
        <v>EMEA</v>
      </c>
      <c r="S6265" t="str">
        <f>_xlfn.XLOOKUP(Pipeline_tbl[[#This Row],[Created_Date]],Dim_Date!A:A,Dim_Date!H:H)</f>
        <v>Aug 2024</v>
      </c>
      <c r="T6265" t="str">
        <f>IF(Pipeline_tbl[[#This Row],[Closed_Date]]=0,"",(_xlfn.XLOOKUP(Pipeline_tbl[[#This Row],[Closed_Date]],Dim_Date!A:A,Dim_Date!H:H)))</f>
        <v>Sep 2024</v>
      </c>
      <c r="U6265">
        <f>IF(Pipeline_tbl[[#This Row],[Closed_Date]]=0,"",Pipeline_tbl[[#This Row],[Closed_Date]]-Pipeline_tbl[[#This Row],[Created_Date]])</f>
        <v>16</v>
      </c>
    </row>
    <row r="6266" spans="1:21" ht="15" customHeight="1" x14ac:dyDescent="0.2">
      <c r="A6266" t="s">
        <v>6572</v>
      </c>
      <c r="B6266" t="s">
        <v>213</v>
      </c>
      <c r="C6266" t="s">
        <v>52</v>
      </c>
      <c r="D6266" s="49">
        <v>45522</v>
      </c>
      <c r="E6266" s="49">
        <v>45524</v>
      </c>
      <c r="F6266" s="49">
        <v>45527</v>
      </c>
      <c r="G6266" s="49">
        <v>45532</v>
      </c>
      <c r="H6266" s="49">
        <v>45536</v>
      </c>
      <c r="I6266" s="49">
        <v>45538</v>
      </c>
      <c r="J6266" t="s">
        <v>47</v>
      </c>
      <c r="K6266" s="33">
        <v>2900</v>
      </c>
      <c r="M6266" t="str">
        <f>_xlfn.XLOOKUP(Pipeline_tbl[[#This Row],[Rep_ID]],Dim_Reps!A:A,Dim_Reps!K:K)</f>
        <v>EUR</v>
      </c>
      <c r="N6266" s="33">
        <f>(_xlfn.XLOOKUP(Pipeline_tbl[[#This Row],[Rate_Code_Generalized]],Lookups!A:A,Lookups!B:B))*Pipeline_tbl[[#This Row],[Pipeline_Amount_USD]]</f>
        <v>2900</v>
      </c>
      <c r="O6266" t="str">
        <f>_xlfn.XLOOKUP(Pipeline_tbl[[#This Row],[Rep_ID]],Dim_Reps!A:A,Dim_Reps!B:B)</f>
        <v>Jamie Silva</v>
      </c>
      <c r="P6266" t="str">
        <f>_xlfn.XLOOKUP(Pipeline_tbl[[#This Row],[Rep_ID]],Dim_Reps!A:A,Dim_Reps!C:C)</f>
        <v>SDR / Inside Sales Rep</v>
      </c>
      <c r="Q6266" t="str">
        <f>_xlfn.XLOOKUP(Pipeline_tbl[[#This Row],[Rep_ID]],Dim_Reps!A:A,Dim_Reps!D:D)</f>
        <v>Inside Sales</v>
      </c>
      <c r="R6266" t="str">
        <f>_xlfn.XLOOKUP(Pipeline_tbl[[#This Row],[Rep_ID]],Dim_Reps!A:A,Dim_Reps!E:E)</f>
        <v>EMEA</v>
      </c>
      <c r="S6266" t="str">
        <f>_xlfn.XLOOKUP(Pipeline_tbl[[#This Row],[Created_Date]],Dim_Date!A:A,Dim_Date!H:H)</f>
        <v>Aug 2024</v>
      </c>
      <c r="T6266" t="str">
        <f>IF(Pipeline_tbl[[#This Row],[Closed_Date]]=0,"",(_xlfn.XLOOKUP(Pipeline_tbl[[#This Row],[Closed_Date]],Dim_Date!A:A,Dim_Date!H:H)))</f>
        <v>Sep 2024</v>
      </c>
      <c r="U6266">
        <f>IF(Pipeline_tbl[[#This Row],[Closed_Date]]=0,"",Pipeline_tbl[[#This Row],[Closed_Date]]-Pipeline_tbl[[#This Row],[Created_Date]])</f>
        <v>16</v>
      </c>
    </row>
    <row r="6267" spans="1:21" ht="15" customHeight="1" x14ac:dyDescent="0.2">
      <c r="A6267" t="s">
        <v>6573</v>
      </c>
      <c r="B6267" t="s">
        <v>213</v>
      </c>
      <c r="C6267" t="s">
        <v>53</v>
      </c>
      <c r="D6267" s="49">
        <v>45515</v>
      </c>
      <c r="E6267" s="49">
        <v>45517</v>
      </c>
      <c r="F6267" s="49">
        <v>45523</v>
      </c>
      <c r="G6267" s="49">
        <v>45530</v>
      </c>
      <c r="H6267" s="49">
        <v>45536</v>
      </c>
      <c r="I6267" s="49">
        <v>45540</v>
      </c>
      <c r="J6267" t="s">
        <v>49</v>
      </c>
      <c r="K6267" s="33">
        <v>2400</v>
      </c>
      <c r="L6267" t="s">
        <v>62</v>
      </c>
      <c r="M6267" t="str">
        <f>_xlfn.XLOOKUP(Pipeline_tbl[[#This Row],[Rep_ID]],Dim_Reps!A:A,Dim_Reps!K:K)</f>
        <v>EUR</v>
      </c>
      <c r="N6267" s="33">
        <f>(_xlfn.XLOOKUP(Pipeline_tbl[[#This Row],[Rate_Code_Generalized]],Lookups!A:A,Lookups!B:B))*Pipeline_tbl[[#This Row],[Pipeline_Amount_USD]]</f>
        <v>2400</v>
      </c>
      <c r="O6267" t="str">
        <f>_xlfn.XLOOKUP(Pipeline_tbl[[#This Row],[Rep_ID]],Dim_Reps!A:A,Dim_Reps!B:B)</f>
        <v>Jamie Silva</v>
      </c>
      <c r="P6267" t="str">
        <f>_xlfn.XLOOKUP(Pipeline_tbl[[#This Row],[Rep_ID]],Dim_Reps!A:A,Dim_Reps!C:C)</f>
        <v>SDR / Inside Sales Rep</v>
      </c>
      <c r="Q6267" t="str">
        <f>_xlfn.XLOOKUP(Pipeline_tbl[[#This Row],[Rep_ID]],Dim_Reps!A:A,Dim_Reps!D:D)</f>
        <v>Inside Sales</v>
      </c>
      <c r="R6267" t="str">
        <f>_xlfn.XLOOKUP(Pipeline_tbl[[#This Row],[Rep_ID]],Dim_Reps!A:A,Dim_Reps!E:E)</f>
        <v>EMEA</v>
      </c>
      <c r="S6267" t="str">
        <f>_xlfn.XLOOKUP(Pipeline_tbl[[#This Row],[Created_Date]],Dim_Date!A:A,Dim_Date!H:H)</f>
        <v>Aug 2024</v>
      </c>
      <c r="T6267" t="str">
        <f>IF(Pipeline_tbl[[#This Row],[Closed_Date]]=0,"",(_xlfn.XLOOKUP(Pipeline_tbl[[#This Row],[Closed_Date]],Dim_Date!A:A,Dim_Date!H:H)))</f>
        <v>Sep 2024</v>
      </c>
      <c r="U6267">
        <f>IF(Pipeline_tbl[[#This Row],[Closed_Date]]=0,"",Pipeline_tbl[[#This Row],[Closed_Date]]-Pipeline_tbl[[#This Row],[Created_Date]])</f>
        <v>25</v>
      </c>
    </row>
    <row r="6268" spans="1:21" ht="15" customHeight="1" x14ac:dyDescent="0.2">
      <c r="A6268" t="s">
        <v>6574</v>
      </c>
      <c r="B6268" t="s">
        <v>215</v>
      </c>
      <c r="C6268" t="s">
        <v>52</v>
      </c>
      <c r="D6268" s="49">
        <v>45529</v>
      </c>
      <c r="E6268" s="49">
        <v>45532</v>
      </c>
      <c r="F6268" s="49">
        <v>45538</v>
      </c>
      <c r="G6268" s="49">
        <v>45546</v>
      </c>
      <c r="H6268" s="49">
        <v>45554</v>
      </c>
      <c r="I6268" s="49">
        <v>45558</v>
      </c>
      <c r="J6268" t="s">
        <v>49</v>
      </c>
      <c r="K6268" s="33">
        <v>1000</v>
      </c>
      <c r="L6268" t="s">
        <v>61</v>
      </c>
      <c r="M6268" t="str">
        <f>_xlfn.XLOOKUP(Pipeline_tbl[[#This Row],[Rep_ID]],Dim_Reps!A:A,Dim_Reps!K:K)</f>
        <v>EUR</v>
      </c>
      <c r="N6268" s="33">
        <f>(_xlfn.XLOOKUP(Pipeline_tbl[[#This Row],[Rate_Code_Generalized]],Lookups!A:A,Lookups!B:B))*Pipeline_tbl[[#This Row],[Pipeline_Amount_USD]]</f>
        <v>1000</v>
      </c>
      <c r="O6268" t="str">
        <f>_xlfn.XLOOKUP(Pipeline_tbl[[#This Row],[Rep_ID]],Dim_Reps!A:A,Dim_Reps!B:B)</f>
        <v>Jamie Schmidt</v>
      </c>
      <c r="P6268" t="str">
        <f>_xlfn.XLOOKUP(Pipeline_tbl[[#This Row],[Rep_ID]],Dim_Reps!A:A,Dim_Reps!C:C)</f>
        <v>SDR / Inside Sales Rep</v>
      </c>
      <c r="Q6268" t="str">
        <f>_xlfn.XLOOKUP(Pipeline_tbl[[#This Row],[Rep_ID]],Dim_Reps!A:A,Dim_Reps!D:D)</f>
        <v>Inside Sales</v>
      </c>
      <c r="R6268" t="str">
        <f>_xlfn.XLOOKUP(Pipeline_tbl[[#This Row],[Rep_ID]],Dim_Reps!A:A,Dim_Reps!E:E)</f>
        <v>APAC</v>
      </c>
      <c r="S6268" t="str">
        <f>_xlfn.XLOOKUP(Pipeline_tbl[[#This Row],[Created_Date]],Dim_Date!A:A,Dim_Date!H:H)</f>
        <v>Aug 2024</v>
      </c>
      <c r="T6268" t="str">
        <f>IF(Pipeline_tbl[[#This Row],[Closed_Date]]=0,"",(_xlfn.XLOOKUP(Pipeline_tbl[[#This Row],[Closed_Date]],Dim_Date!A:A,Dim_Date!H:H)))</f>
        <v>Sep 2024</v>
      </c>
      <c r="U6268">
        <f>IF(Pipeline_tbl[[#This Row],[Closed_Date]]=0,"",Pipeline_tbl[[#This Row],[Closed_Date]]-Pipeline_tbl[[#This Row],[Created_Date]])</f>
        <v>29</v>
      </c>
    </row>
    <row r="6269" spans="1:21" ht="15" customHeight="1" x14ac:dyDescent="0.2">
      <c r="A6269" t="s">
        <v>6575</v>
      </c>
      <c r="B6269" t="s">
        <v>215</v>
      </c>
      <c r="C6269" t="s">
        <v>52</v>
      </c>
      <c r="D6269" s="49">
        <v>45522</v>
      </c>
      <c r="E6269" s="49">
        <v>45524</v>
      </c>
      <c r="F6269" s="49">
        <v>45527</v>
      </c>
      <c r="G6269" s="49">
        <v>45532</v>
      </c>
      <c r="H6269" s="49">
        <v>45536</v>
      </c>
      <c r="I6269" s="49">
        <v>45538</v>
      </c>
      <c r="J6269" t="s">
        <v>47</v>
      </c>
      <c r="K6269" s="33">
        <v>4100</v>
      </c>
      <c r="M6269" t="str">
        <f>_xlfn.XLOOKUP(Pipeline_tbl[[#This Row],[Rep_ID]],Dim_Reps!A:A,Dim_Reps!K:K)</f>
        <v>EUR</v>
      </c>
      <c r="N6269" s="33">
        <f>(_xlfn.XLOOKUP(Pipeline_tbl[[#This Row],[Rate_Code_Generalized]],Lookups!A:A,Lookups!B:B))*Pipeline_tbl[[#This Row],[Pipeline_Amount_USD]]</f>
        <v>4100</v>
      </c>
      <c r="O6269" t="str">
        <f>_xlfn.XLOOKUP(Pipeline_tbl[[#This Row],[Rep_ID]],Dim_Reps!A:A,Dim_Reps!B:B)</f>
        <v>Jamie Schmidt</v>
      </c>
      <c r="P6269" t="str">
        <f>_xlfn.XLOOKUP(Pipeline_tbl[[#This Row],[Rep_ID]],Dim_Reps!A:A,Dim_Reps!C:C)</f>
        <v>SDR / Inside Sales Rep</v>
      </c>
      <c r="Q6269" t="str">
        <f>_xlfn.XLOOKUP(Pipeline_tbl[[#This Row],[Rep_ID]],Dim_Reps!A:A,Dim_Reps!D:D)</f>
        <v>Inside Sales</v>
      </c>
      <c r="R6269" t="str">
        <f>_xlfn.XLOOKUP(Pipeline_tbl[[#This Row],[Rep_ID]],Dim_Reps!A:A,Dim_Reps!E:E)</f>
        <v>APAC</v>
      </c>
      <c r="S6269" t="str">
        <f>_xlfn.XLOOKUP(Pipeline_tbl[[#This Row],[Created_Date]],Dim_Date!A:A,Dim_Date!H:H)</f>
        <v>Aug 2024</v>
      </c>
      <c r="T6269" t="str">
        <f>IF(Pipeline_tbl[[#This Row],[Closed_Date]]=0,"",(_xlfn.XLOOKUP(Pipeline_tbl[[#This Row],[Closed_Date]],Dim_Date!A:A,Dim_Date!H:H)))</f>
        <v>Sep 2024</v>
      </c>
      <c r="U6269">
        <f>IF(Pipeline_tbl[[#This Row],[Closed_Date]]=0,"",Pipeline_tbl[[#This Row],[Closed_Date]]-Pipeline_tbl[[#This Row],[Created_Date]])</f>
        <v>16</v>
      </c>
    </row>
    <row r="6270" spans="1:21" ht="15" customHeight="1" x14ac:dyDescent="0.2">
      <c r="A6270" t="s">
        <v>6576</v>
      </c>
      <c r="B6270" t="s">
        <v>215</v>
      </c>
      <c r="C6270" t="s">
        <v>53</v>
      </c>
      <c r="D6270" s="49">
        <v>45525</v>
      </c>
      <c r="E6270" s="49">
        <v>45528</v>
      </c>
      <c r="F6270" s="49">
        <v>45533</v>
      </c>
      <c r="G6270" s="49">
        <v>45542</v>
      </c>
      <c r="H6270" s="49">
        <v>45549</v>
      </c>
      <c r="I6270" s="49">
        <v>45553</v>
      </c>
      <c r="J6270" t="s">
        <v>49</v>
      </c>
      <c r="K6270" s="33">
        <v>3600</v>
      </c>
      <c r="L6270" t="s">
        <v>60</v>
      </c>
      <c r="M6270" t="str">
        <f>_xlfn.XLOOKUP(Pipeline_tbl[[#This Row],[Rep_ID]],Dim_Reps!A:A,Dim_Reps!K:K)</f>
        <v>EUR</v>
      </c>
      <c r="N6270" s="33">
        <f>(_xlfn.XLOOKUP(Pipeline_tbl[[#This Row],[Rate_Code_Generalized]],Lookups!A:A,Lookups!B:B))*Pipeline_tbl[[#This Row],[Pipeline_Amount_USD]]</f>
        <v>3600</v>
      </c>
      <c r="O6270" t="str">
        <f>_xlfn.XLOOKUP(Pipeline_tbl[[#This Row],[Rep_ID]],Dim_Reps!A:A,Dim_Reps!B:B)</f>
        <v>Jamie Schmidt</v>
      </c>
      <c r="P6270" t="str">
        <f>_xlfn.XLOOKUP(Pipeline_tbl[[#This Row],[Rep_ID]],Dim_Reps!A:A,Dim_Reps!C:C)</f>
        <v>SDR / Inside Sales Rep</v>
      </c>
      <c r="Q6270" t="str">
        <f>_xlfn.XLOOKUP(Pipeline_tbl[[#This Row],[Rep_ID]],Dim_Reps!A:A,Dim_Reps!D:D)</f>
        <v>Inside Sales</v>
      </c>
      <c r="R6270" t="str">
        <f>_xlfn.XLOOKUP(Pipeline_tbl[[#This Row],[Rep_ID]],Dim_Reps!A:A,Dim_Reps!E:E)</f>
        <v>APAC</v>
      </c>
      <c r="S6270" t="str">
        <f>_xlfn.XLOOKUP(Pipeline_tbl[[#This Row],[Created_Date]],Dim_Date!A:A,Dim_Date!H:H)</f>
        <v>Aug 2024</v>
      </c>
      <c r="T6270" t="str">
        <f>IF(Pipeline_tbl[[#This Row],[Closed_Date]]=0,"",(_xlfn.XLOOKUP(Pipeline_tbl[[#This Row],[Closed_Date]],Dim_Date!A:A,Dim_Date!H:H)))</f>
        <v>Sep 2024</v>
      </c>
      <c r="U6270">
        <f>IF(Pipeline_tbl[[#This Row],[Closed_Date]]=0,"",Pipeline_tbl[[#This Row],[Closed_Date]]-Pipeline_tbl[[#This Row],[Created_Date]])</f>
        <v>28</v>
      </c>
    </row>
    <row r="6271" spans="1:21" ht="15" customHeight="1" x14ac:dyDescent="0.2">
      <c r="A6271" t="s">
        <v>6577</v>
      </c>
      <c r="B6271" t="s">
        <v>217</v>
      </c>
      <c r="C6271" t="s">
        <v>52</v>
      </c>
      <c r="D6271" s="49">
        <v>45530</v>
      </c>
      <c r="E6271" s="49">
        <v>45532</v>
      </c>
      <c r="I6271" s="49">
        <v>45550</v>
      </c>
      <c r="J6271" t="s">
        <v>49</v>
      </c>
      <c r="K6271" s="33">
        <v>2100</v>
      </c>
      <c r="L6271" t="s">
        <v>60</v>
      </c>
      <c r="M6271" t="str">
        <f>_xlfn.XLOOKUP(Pipeline_tbl[[#This Row],[Rep_ID]],Dim_Reps!A:A,Dim_Reps!K:K)</f>
        <v>USD</v>
      </c>
      <c r="N6271" s="33">
        <f>(_xlfn.XLOOKUP(Pipeline_tbl[[#This Row],[Rate_Code_Generalized]],Lookups!A:A,Lookups!B:B))*Pipeline_tbl[[#This Row],[Pipeline_Amount_USD]]</f>
        <v>2445.0299999999997</v>
      </c>
      <c r="O6271" t="str">
        <f>_xlfn.XLOOKUP(Pipeline_tbl[[#This Row],[Rep_ID]],Dim_Reps!A:A,Dim_Reps!B:B)</f>
        <v>Priya Weber</v>
      </c>
      <c r="P6271" t="str">
        <f>_xlfn.XLOOKUP(Pipeline_tbl[[#This Row],[Rep_ID]],Dim_Reps!A:A,Dim_Reps!C:C)</f>
        <v>SDR / Inside Sales Rep</v>
      </c>
      <c r="Q6271" t="str">
        <f>_xlfn.XLOOKUP(Pipeline_tbl[[#This Row],[Rep_ID]],Dim_Reps!A:A,Dim_Reps!D:D)</f>
        <v>Inside Sales</v>
      </c>
      <c r="R6271" t="str">
        <f>_xlfn.XLOOKUP(Pipeline_tbl[[#This Row],[Rep_ID]],Dim_Reps!A:A,Dim_Reps!E:E)</f>
        <v>NAMER</v>
      </c>
      <c r="S6271" t="str">
        <f>_xlfn.XLOOKUP(Pipeline_tbl[[#This Row],[Created_Date]],Dim_Date!A:A,Dim_Date!H:H)</f>
        <v>Aug 2024</v>
      </c>
      <c r="T6271" t="str">
        <f>IF(Pipeline_tbl[[#This Row],[Closed_Date]]=0,"",(_xlfn.XLOOKUP(Pipeline_tbl[[#This Row],[Closed_Date]],Dim_Date!A:A,Dim_Date!H:H)))</f>
        <v>Sep 2024</v>
      </c>
      <c r="U6271">
        <f>IF(Pipeline_tbl[[#This Row],[Closed_Date]]=0,"",Pipeline_tbl[[#This Row],[Closed_Date]]-Pipeline_tbl[[#This Row],[Created_Date]])</f>
        <v>20</v>
      </c>
    </row>
    <row r="6272" spans="1:21" ht="15" customHeight="1" x14ac:dyDescent="0.2">
      <c r="A6272" t="s">
        <v>6578</v>
      </c>
      <c r="B6272" t="s">
        <v>217</v>
      </c>
      <c r="C6272" t="s">
        <v>52</v>
      </c>
      <c r="D6272" s="49">
        <v>45520</v>
      </c>
      <c r="E6272" s="49">
        <v>45523</v>
      </c>
      <c r="F6272" s="49">
        <v>45530</v>
      </c>
      <c r="G6272" s="49">
        <v>45540</v>
      </c>
      <c r="I6272" s="49">
        <v>45553</v>
      </c>
      <c r="J6272" t="s">
        <v>49</v>
      </c>
      <c r="K6272" s="33">
        <v>1800</v>
      </c>
      <c r="L6272" t="s">
        <v>60</v>
      </c>
      <c r="M6272" t="str">
        <f>_xlfn.XLOOKUP(Pipeline_tbl[[#This Row],[Rep_ID]],Dim_Reps!A:A,Dim_Reps!K:K)</f>
        <v>USD</v>
      </c>
      <c r="N6272" s="33">
        <f>(_xlfn.XLOOKUP(Pipeline_tbl[[#This Row],[Rate_Code_Generalized]],Lookups!A:A,Lookups!B:B))*Pipeline_tbl[[#This Row],[Pipeline_Amount_USD]]</f>
        <v>2095.7399999999998</v>
      </c>
      <c r="O6272" t="str">
        <f>_xlfn.XLOOKUP(Pipeline_tbl[[#This Row],[Rep_ID]],Dim_Reps!A:A,Dim_Reps!B:B)</f>
        <v>Priya Weber</v>
      </c>
      <c r="P6272" t="str">
        <f>_xlfn.XLOOKUP(Pipeline_tbl[[#This Row],[Rep_ID]],Dim_Reps!A:A,Dim_Reps!C:C)</f>
        <v>SDR / Inside Sales Rep</v>
      </c>
      <c r="Q6272" t="str">
        <f>_xlfn.XLOOKUP(Pipeline_tbl[[#This Row],[Rep_ID]],Dim_Reps!A:A,Dim_Reps!D:D)</f>
        <v>Inside Sales</v>
      </c>
      <c r="R6272" t="str">
        <f>_xlfn.XLOOKUP(Pipeline_tbl[[#This Row],[Rep_ID]],Dim_Reps!A:A,Dim_Reps!E:E)</f>
        <v>NAMER</v>
      </c>
      <c r="S6272" t="str">
        <f>_xlfn.XLOOKUP(Pipeline_tbl[[#This Row],[Created_Date]],Dim_Date!A:A,Dim_Date!H:H)</f>
        <v>Aug 2024</v>
      </c>
      <c r="T6272" t="str">
        <f>IF(Pipeline_tbl[[#This Row],[Closed_Date]]=0,"",(_xlfn.XLOOKUP(Pipeline_tbl[[#This Row],[Closed_Date]],Dim_Date!A:A,Dim_Date!H:H)))</f>
        <v>Sep 2024</v>
      </c>
      <c r="U6272">
        <f>IF(Pipeline_tbl[[#This Row],[Closed_Date]]=0,"",Pipeline_tbl[[#This Row],[Closed_Date]]-Pipeline_tbl[[#This Row],[Created_Date]])</f>
        <v>33</v>
      </c>
    </row>
    <row r="6273" spans="1:21" ht="15" customHeight="1" x14ac:dyDescent="0.2">
      <c r="A6273" t="s">
        <v>6579</v>
      </c>
      <c r="B6273" t="s">
        <v>217</v>
      </c>
      <c r="C6273" t="s">
        <v>54</v>
      </c>
      <c r="D6273" s="49">
        <v>45521</v>
      </c>
      <c r="E6273" s="49">
        <v>45523</v>
      </c>
      <c r="F6273" s="49">
        <v>45526</v>
      </c>
      <c r="I6273" s="49">
        <v>45537</v>
      </c>
      <c r="J6273" t="s">
        <v>49</v>
      </c>
      <c r="K6273" s="33">
        <v>5100</v>
      </c>
      <c r="L6273" t="s">
        <v>62</v>
      </c>
      <c r="M6273" t="str">
        <f>_xlfn.XLOOKUP(Pipeline_tbl[[#This Row],[Rep_ID]],Dim_Reps!A:A,Dim_Reps!K:K)</f>
        <v>USD</v>
      </c>
      <c r="N6273" s="33">
        <f>(_xlfn.XLOOKUP(Pipeline_tbl[[#This Row],[Rate_Code_Generalized]],Lookups!A:A,Lookups!B:B))*Pipeline_tbl[[#This Row],[Pipeline_Amount_USD]]</f>
        <v>5937.9299999999994</v>
      </c>
      <c r="O6273" t="str">
        <f>_xlfn.XLOOKUP(Pipeline_tbl[[#This Row],[Rep_ID]],Dim_Reps!A:A,Dim_Reps!B:B)</f>
        <v>Priya Weber</v>
      </c>
      <c r="P6273" t="str">
        <f>_xlfn.XLOOKUP(Pipeline_tbl[[#This Row],[Rep_ID]],Dim_Reps!A:A,Dim_Reps!C:C)</f>
        <v>SDR / Inside Sales Rep</v>
      </c>
      <c r="Q6273" t="str">
        <f>_xlfn.XLOOKUP(Pipeline_tbl[[#This Row],[Rep_ID]],Dim_Reps!A:A,Dim_Reps!D:D)</f>
        <v>Inside Sales</v>
      </c>
      <c r="R6273" t="str">
        <f>_xlfn.XLOOKUP(Pipeline_tbl[[#This Row],[Rep_ID]],Dim_Reps!A:A,Dim_Reps!E:E)</f>
        <v>NAMER</v>
      </c>
      <c r="S6273" t="str">
        <f>_xlfn.XLOOKUP(Pipeline_tbl[[#This Row],[Created_Date]],Dim_Date!A:A,Dim_Date!H:H)</f>
        <v>Aug 2024</v>
      </c>
      <c r="T6273" t="str">
        <f>IF(Pipeline_tbl[[#This Row],[Closed_Date]]=0,"",(_xlfn.XLOOKUP(Pipeline_tbl[[#This Row],[Closed_Date]],Dim_Date!A:A,Dim_Date!H:H)))</f>
        <v>Sep 2024</v>
      </c>
      <c r="U6273">
        <f>IF(Pipeline_tbl[[#This Row],[Closed_Date]]=0,"",Pipeline_tbl[[#This Row],[Closed_Date]]-Pipeline_tbl[[#This Row],[Created_Date]])</f>
        <v>16</v>
      </c>
    </row>
    <row r="6274" spans="1:21" ht="15" customHeight="1" x14ac:dyDescent="0.2">
      <c r="A6274" t="s">
        <v>6580</v>
      </c>
      <c r="B6274" t="s">
        <v>217</v>
      </c>
      <c r="C6274" t="s">
        <v>52</v>
      </c>
      <c r="D6274" s="49">
        <v>45519</v>
      </c>
      <c r="E6274" s="49">
        <v>45521</v>
      </c>
      <c r="F6274" s="49">
        <v>45525</v>
      </c>
      <c r="G6274" s="49">
        <v>45530</v>
      </c>
      <c r="H6274" s="49">
        <v>45535</v>
      </c>
      <c r="I6274" s="49">
        <v>45538</v>
      </c>
      <c r="J6274" t="s">
        <v>47</v>
      </c>
      <c r="K6274" s="33">
        <v>3900</v>
      </c>
      <c r="M6274" t="str">
        <f>_xlfn.XLOOKUP(Pipeline_tbl[[#This Row],[Rep_ID]],Dim_Reps!A:A,Dim_Reps!K:K)</f>
        <v>USD</v>
      </c>
      <c r="N6274" s="33">
        <f>(_xlfn.XLOOKUP(Pipeline_tbl[[#This Row],[Rate_Code_Generalized]],Lookups!A:A,Lookups!B:B))*Pipeline_tbl[[#This Row],[Pipeline_Amount_USD]]</f>
        <v>4540.7699999999995</v>
      </c>
      <c r="O6274" t="str">
        <f>_xlfn.XLOOKUP(Pipeline_tbl[[#This Row],[Rep_ID]],Dim_Reps!A:A,Dim_Reps!B:B)</f>
        <v>Priya Weber</v>
      </c>
      <c r="P6274" t="str">
        <f>_xlfn.XLOOKUP(Pipeline_tbl[[#This Row],[Rep_ID]],Dim_Reps!A:A,Dim_Reps!C:C)</f>
        <v>SDR / Inside Sales Rep</v>
      </c>
      <c r="Q6274" t="str">
        <f>_xlfn.XLOOKUP(Pipeline_tbl[[#This Row],[Rep_ID]],Dim_Reps!A:A,Dim_Reps!D:D)</f>
        <v>Inside Sales</v>
      </c>
      <c r="R6274" t="str">
        <f>_xlfn.XLOOKUP(Pipeline_tbl[[#This Row],[Rep_ID]],Dim_Reps!A:A,Dim_Reps!E:E)</f>
        <v>NAMER</v>
      </c>
      <c r="S6274" t="str">
        <f>_xlfn.XLOOKUP(Pipeline_tbl[[#This Row],[Created_Date]],Dim_Date!A:A,Dim_Date!H:H)</f>
        <v>Aug 2024</v>
      </c>
      <c r="T6274" t="str">
        <f>IF(Pipeline_tbl[[#This Row],[Closed_Date]]=0,"",(_xlfn.XLOOKUP(Pipeline_tbl[[#This Row],[Closed_Date]],Dim_Date!A:A,Dim_Date!H:H)))</f>
        <v>Sep 2024</v>
      </c>
      <c r="U6274">
        <f>IF(Pipeline_tbl[[#This Row],[Closed_Date]]=0,"",Pipeline_tbl[[#This Row],[Closed_Date]]-Pipeline_tbl[[#This Row],[Created_Date]])</f>
        <v>19</v>
      </c>
    </row>
    <row r="6275" spans="1:21" ht="15" customHeight="1" x14ac:dyDescent="0.2">
      <c r="A6275" t="s">
        <v>6581</v>
      </c>
      <c r="B6275" t="s">
        <v>217</v>
      </c>
      <c r="C6275" t="s">
        <v>52</v>
      </c>
      <c r="D6275" s="49">
        <v>45524</v>
      </c>
      <c r="E6275" s="49">
        <v>45526</v>
      </c>
      <c r="F6275" s="49">
        <v>45529</v>
      </c>
      <c r="G6275" s="49">
        <v>45534</v>
      </c>
      <c r="H6275" s="49">
        <v>45538</v>
      </c>
      <c r="I6275" s="49">
        <v>45541</v>
      </c>
      <c r="J6275" t="s">
        <v>49</v>
      </c>
      <c r="K6275" s="33">
        <v>3300</v>
      </c>
      <c r="L6275" t="s">
        <v>61</v>
      </c>
      <c r="M6275" t="str">
        <f>_xlfn.XLOOKUP(Pipeline_tbl[[#This Row],[Rep_ID]],Dim_Reps!A:A,Dim_Reps!K:K)</f>
        <v>USD</v>
      </c>
      <c r="N6275" s="33">
        <f>(_xlfn.XLOOKUP(Pipeline_tbl[[#This Row],[Rate_Code_Generalized]],Lookups!A:A,Lookups!B:B))*Pipeline_tbl[[#This Row],[Pipeline_Amount_USD]]</f>
        <v>3842.1899999999996</v>
      </c>
      <c r="O6275" t="str">
        <f>_xlfn.XLOOKUP(Pipeline_tbl[[#This Row],[Rep_ID]],Dim_Reps!A:A,Dim_Reps!B:B)</f>
        <v>Priya Weber</v>
      </c>
      <c r="P6275" t="str">
        <f>_xlfn.XLOOKUP(Pipeline_tbl[[#This Row],[Rep_ID]],Dim_Reps!A:A,Dim_Reps!C:C)</f>
        <v>SDR / Inside Sales Rep</v>
      </c>
      <c r="Q6275" t="str">
        <f>_xlfn.XLOOKUP(Pipeline_tbl[[#This Row],[Rep_ID]],Dim_Reps!A:A,Dim_Reps!D:D)</f>
        <v>Inside Sales</v>
      </c>
      <c r="R6275" t="str">
        <f>_xlfn.XLOOKUP(Pipeline_tbl[[#This Row],[Rep_ID]],Dim_Reps!A:A,Dim_Reps!E:E)</f>
        <v>NAMER</v>
      </c>
      <c r="S6275" t="str">
        <f>_xlfn.XLOOKUP(Pipeline_tbl[[#This Row],[Created_Date]],Dim_Date!A:A,Dim_Date!H:H)</f>
        <v>Aug 2024</v>
      </c>
      <c r="T6275" t="str">
        <f>IF(Pipeline_tbl[[#This Row],[Closed_Date]]=0,"",(_xlfn.XLOOKUP(Pipeline_tbl[[#This Row],[Closed_Date]],Dim_Date!A:A,Dim_Date!H:H)))</f>
        <v>Sep 2024</v>
      </c>
      <c r="U6275">
        <f>IF(Pipeline_tbl[[#This Row],[Closed_Date]]=0,"",Pipeline_tbl[[#This Row],[Closed_Date]]-Pipeline_tbl[[#This Row],[Created_Date]])</f>
        <v>17</v>
      </c>
    </row>
    <row r="6276" spans="1:21" ht="15" customHeight="1" x14ac:dyDescent="0.2">
      <c r="A6276" t="s">
        <v>6582</v>
      </c>
      <c r="B6276" t="s">
        <v>217</v>
      </c>
      <c r="C6276" t="s">
        <v>52</v>
      </c>
      <c r="D6276" s="49">
        <v>45533</v>
      </c>
      <c r="E6276" s="49">
        <v>45534</v>
      </c>
      <c r="F6276" s="49">
        <v>45537</v>
      </c>
      <c r="I6276" s="49">
        <v>45546</v>
      </c>
      <c r="J6276" t="s">
        <v>49</v>
      </c>
      <c r="K6276" s="33">
        <v>2500</v>
      </c>
      <c r="L6276" t="s">
        <v>63</v>
      </c>
      <c r="M6276" t="str">
        <f>_xlfn.XLOOKUP(Pipeline_tbl[[#This Row],[Rep_ID]],Dim_Reps!A:A,Dim_Reps!K:K)</f>
        <v>USD</v>
      </c>
      <c r="N6276" s="33">
        <f>(_xlfn.XLOOKUP(Pipeline_tbl[[#This Row],[Rate_Code_Generalized]],Lookups!A:A,Lookups!B:B))*Pipeline_tbl[[#This Row],[Pipeline_Amount_USD]]</f>
        <v>2910.7499999999995</v>
      </c>
      <c r="O6276" t="str">
        <f>_xlfn.XLOOKUP(Pipeline_tbl[[#This Row],[Rep_ID]],Dim_Reps!A:A,Dim_Reps!B:B)</f>
        <v>Priya Weber</v>
      </c>
      <c r="P6276" t="str">
        <f>_xlfn.XLOOKUP(Pipeline_tbl[[#This Row],[Rep_ID]],Dim_Reps!A:A,Dim_Reps!C:C)</f>
        <v>SDR / Inside Sales Rep</v>
      </c>
      <c r="Q6276" t="str">
        <f>_xlfn.XLOOKUP(Pipeline_tbl[[#This Row],[Rep_ID]],Dim_Reps!A:A,Dim_Reps!D:D)</f>
        <v>Inside Sales</v>
      </c>
      <c r="R6276" t="str">
        <f>_xlfn.XLOOKUP(Pipeline_tbl[[#This Row],[Rep_ID]],Dim_Reps!A:A,Dim_Reps!E:E)</f>
        <v>NAMER</v>
      </c>
      <c r="S6276" t="str">
        <f>_xlfn.XLOOKUP(Pipeline_tbl[[#This Row],[Created_Date]],Dim_Date!A:A,Dim_Date!H:H)</f>
        <v>Aug 2024</v>
      </c>
      <c r="T6276" t="str">
        <f>IF(Pipeline_tbl[[#This Row],[Closed_Date]]=0,"",(_xlfn.XLOOKUP(Pipeline_tbl[[#This Row],[Closed_Date]],Dim_Date!A:A,Dim_Date!H:H)))</f>
        <v>Sep 2024</v>
      </c>
      <c r="U6276">
        <f>IF(Pipeline_tbl[[#This Row],[Closed_Date]]=0,"",Pipeline_tbl[[#This Row],[Closed_Date]]-Pipeline_tbl[[#This Row],[Created_Date]])</f>
        <v>13</v>
      </c>
    </row>
    <row r="6277" spans="1:21" ht="15" customHeight="1" x14ac:dyDescent="0.2">
      <c r="A6277" t="s">
        <v>6583</v>
      </c>
      <c r="B6277" t="s">
        <v>217</v>
      </c>
      <c r="C6277" t="s">
        <v>52</v>
      </c>
      <c r="D6277" s="49">
        <v>45521</v>
      </c>
      <c r="E6277" s="49">
        <v>45524</v>
      </c>
      <c r="I6277" s="49">
        <v>45547</v>
      </c>
      <c r="J6277" t="s">
        <v>49</v>
      </c>
      <c r="K6277" s="33">
        <v>3000</v>
      </c>
      <c r="L6277" t="s">
        <v>62</v>
      </c>
      <c r="M6277" t="str">
        <f>_xlfn.XLOOKUP(Pipeline_tbl[[#This Row],[Rep_ID]],Dim_Reps!A:A,Dim_Reps!K:K)</f>
        <v>USD</v>
      </c>
      <c r="N6277" s="33">
        <f>(_xlfn.XLOOKUP(Pipeline_tbl[[#This Row],[Rate_Code_Generalized]],Lookups!A:A,Lookups!B:B))*Pipeline_tbl[[#This Row],[Pipeline_Amount_USD]]</f>
        <v>3492.8999999999996</v>
      </c>
      <c r="O6277" t="str">
        <f>_xlfn.XLOOKUP(Pipeline_tbl[[#This Row],[Rep_ID]],Dim_Reps!A:A,Dim_Reps!B:B)</f>
        <v>Priya Weber</v>
      </c>
      <c r="P6277" t="str">
        <f>_xlfn.XLOOKUP(Pipeline_tbl[[#This Row],[Rep_ID]],Dim_Reps!A:A,Dim_Reps!C:C)</f>
        <v>SDR / Inside Sales Rep</v>
      </c>
      <c r="Q6277" t="str">
        <f>_xlfn.XLOOKUP(Pipeline_tbl[[#This Row],[Rep_ID]],Dim_Reps!A:A,Dim_Reps!D:D)</f>
        <v>Inside Sales</v>
      </c>
      <c r="R6277" t="str">
        <f>_xlfn.XLOOKUP(Pipeline_tbl[[#This Row],[Rep_ID]],Dim_Reps!A:A,Dim_Reps!E:E)</f>
        <v>NAMER</v>
      </c>
      <c r="S6277" t="str">
        <f>_xlfn.XLOOKUP(Pipeline_tbl[[#This Row],[Created_Date]],Dim_Date!A:A,Dim_Date!H:H)</f>
        <v>Aug 2024</v>
      </c>
      <c r="T6277" t="str">
        <f>IF(Pipeline_tbl[[#This Row],[Closed_Date]]=0,"",(_xlfn.XLOOKUP(Pipeline_tbl[[#This Row],[Closed_Date]],Dim_Date!A:A,Dim_Date!H:H)))</f>
        <v>Sep 2024</v>
      </c>
      <c r="U6277">
        <f>IF(Pipeline_tbl[[#This Row],[Closed_Date]]=0,"",Pipeline_tbl[[#This Row],[Closed_Date]]-Pipeline_tbl[[#This Row],[Created_Date]])</f>
        <v>26</v>
      </c>
    </row>
    <row r="6278" spans="1:21" ht="15" customHeight="1" x14ac:dyDescent="0.2">
      <c r="A6278" t="s">
        <v>6584</v>
      </c>
      <c r="B6278" t="s">
        <v>221</v>
      </c>
      <c r="C6278" t="s">
        <v>56</v>
      </c>
      <c r="D6278" s="49">
        <v>45528</v>
      </c>
      <c r="E6278" s="49">
        <v>45530</v>
      </c>
      <c r="F6278" s="49">
        <v>45535</v>
      </c>
      <c r="I6278" s="49">
        <v>45551</v>
      </c>
      <c r="J6278" t="s">
        <v>49</v>
      </c>
      <c r="K6278" s="33">
        <v>1900</v>
      </c>
      <c r="L6278" t="s">
        <v>62</v>
      </c>
      <c r="M6278" t="str">
        <f>_xlfn.XLOOKUP(Pipeline_tbl[[#This Row],[Rep_ID]],Dim_Reps!A:A,Dim_Reps!K:K)</f>
        <v>MXN</v>
      </c>
      <c r="N6278" s="33">
        <f>(_xlfn.XLOOKUP(Pipeline_tbl[[#This Row],[Rate_Code_Generalized]],Lookups!A:A,Lookups!B:B))*Pipeline_tbl[[#This Row],[Pipeline_Amount_USD]]</f>
        <v>37492.130000000005</v>
      </c>
      <c r="O6278" t="str">
        <f>_xlfn.XLOOKUP(Pipeline_tbl[[#This Row],[Rep_ID]],Dim_Reps!A:A,Dim_Reps!B:B)</f>
        <v>Casey Muller</v>
      </c>
      <c r="P6278" t="str">
        <f>_xlfn.XLOOKUP(Pipeline_tbl[[#This Row],[Rep_ID]],Dim_Reps!A:A,Dim_Reps!C:C)</f>
        <v>SDR / Inside Sales Rep</v>
      </c>
      <c r="Q6278" t="str">
        <f>_xlfn.XLOOKUP(Pipeline_tbl[[#This Row],[Rep_ID]],Dim_Reps!A:A,Dim_Reps!D:D)</f>
        <v>Inside Sales</v>
      </c>
      <c r="R6278" t="str">
        <f>_xlfn.XLOOKUP(Pipeline_tbl[[#This Row],[Rep_ID]],Dim_Reps!A:A,Dim_Reps!E:E)</f>
        <v>LATAM</v>
      </c>
      <c r="S6278" t="str">
        <f>_xlfn.XLOOKUP(Pipeline_tbl[[#This Row],[Created_Date]],Dim_Date!A:A,Dim_Date!H:H)</f>
        <v>Aug 2024</v>
      </c>
      <c r="T6278" t="str">
        <f>IF(Pipeline_tbl[[#This Row],[Closed_Date]]=0,"",(_xlfn.XLOOKUP(Pipeline_tbl[[#This Row],[Closed_Date]],Dim_Date!A:A,Dim_Date!H:H)))</f>
        <v>Sep 2024</v>
      </c>
      <c r="U6278">
        <f>IF(Pipeline_tbl[[#This Row],[Closed_Date]]=0,"",Pipeline_tbl[[#This Row],[Closed_Date]]-Pipeline_tbl[[#This Row],[Created_Date]])</f>
        <v>23</v>
      </c>
    </row>
    <row r="6279" spans="1:21" ht="15" customHeight="1" x14ac:dyDescent="0.2">
      <c r="A6279" t="s">
        <v>6585</v>
      </c>
      <c r="B6279" t="s">
        <v>221</v>
      </c>
      <c r="C6279" t="s">
        <v>55</v>
      </c>
      <c r="D6279" s="49">
        <v>45523</v>
      </c>
      <c r="E6279" s="49">
        <v>45525</v>
      </c>
      <c r="F6279" s="49">
        <v>45529</v>
      </c>
      <c r="G6279" s="49">
        <v>45536</v>
      </c>
      <c r="H6279" s="49">
        <v>45541</v>
      </c>
      <c r="I6279" s="49">
        <v>45544</v>
      </c>
      <c r="J6279" t="s">
        <v>49</v>
      </c>
      <c r="K6279" s="33">
        <v>3100</v>
      </c>
      <c r="L6279" t="s">
        <v>62</v>
      </c>
      <c r="M6279" t="str">
        <f>_xlfn.XLOOKUP(Pipeline_tbl[[#This Row],[Rep_ID]],Dim_Reps!A:A,Dim_Reps!K:K)</f>
        <v>MXN</v>
      </c>
      <c r="N6279" s="33">
        <f>(_xlfn.XLOOKUP(Pipeline_tbl[[#This Row],[Rate_Code_Generalized]],Lookups!A:A,Lookups!B:B))*Pipeline_tbl[[#This Row],[Pipeline_Amount_USD]]</f>
        <v>61171.37</v>
      </c>
      <c r="O6279" t="str">
        <f>_xlfn.XLOOKUP(Pipeline_tbl[[#This Row],[Rep_ID]],Dim_Reps!A:A,Dim_Reps!B:B)</f>
        <v>Casey Muller</v>
      </c>
      <c r="P6279" t="str">
        <f>_xlfn.XLOOKUP(Pipeline_tbl[[#This Row],[Rep_ID]],Dim_Reps!A:A,Dim_Reps!C:C)</f>
        <v>SDR / Inside Sales Rep</v>
      </c>
      <c r="Q6279" t="str">
        <f>_xlfn.XLOOKUP(Pipeline_tbl[[#This Row],[Rep_ID]],Dim_Reps!A:A,Dim_Reps!D:D)</f>
        <v>Inside Sales</v>
      </c>
      <c r="R6279" t="str">
        <f>_xlfn.XLOOKUP(Pipeline_tbl[[#This Row],[Rep_ID]],Dim_Reps!A:A,Dim_Reps!E:E)</f>
        <v>LATAM</v>
      </c>
      <c r="S6279" t="str">
        <f>_xlfn.XLOOKUP(Pipeline_tbl[[#This Row],[Created_Date]],Dim_Date!A:A,Dim_Date!H:H)</f>
        <v>Aug 2024</v>
      </c>
      <c r="T6279" t="str">
        <f>IF(Pipeline_tbl[[#This Row],[Closed_Date]]=0,"",(_xlfn.XLOOKUP(Pipeline_tbl[[#This Row],[Closed_Date]],Dim_Date!A:A,Dim_Date!H:H)))</f>
        <v>Sep 2024</v>
      </c>
      <c r="U6279">
        <f>IF(Pipeline_tbl[[#This Row],[Closed_Date]]=0,"",Pipeline_tbl[[#This Row],[Closed_Date]]-Pipeline_tbl[[#This Row],[Created_Date]])</f>
        <v>21</v>
      </c>
    </row>
    <row r="6280" spans="1:21" ht="15" customHeight="1" x14ac:dyDescent="0.2">
      <c r="A6280" t="s">
        <v>6586</v>
      </c>
      <c r="B6280" t="s">
        <v>259</v>
      </c>
      <c r="C6280" t="s">
        <v>52</v>
      </c>
      <c r="D6280" s="49">
        <v>45514</v>
      </c>
      <c r="E6280" s="49">
        <v>45518</v>
      </c>
      <c r="F6280" s="49">
        <v>45526</v>
      </c>
      <c r="I6280" s="49">
        <v>45554</v>
      </c>
      <c r="J6280" t="s">
        <v>49</v>
      </c>
      <c r="K6280" s="33">
        <v>13200</v>
      </c>
      <c r="L6280" t="s">
        <v>61</v>
      </c>
      <c r="M6280" t="str">
        <f>_xlfn.XLOOKUP(Pipeline_tbl[[#This Row],[Rep_ID]],Dim_Reps!A:A,Dim_Reps!K:K)</f>
        <v>EUR</v>
      </c>
      <c r="N6280" s="33">
        <f>(_xlfn.XLOOKUP(Pipeline_tbl[[#This Row],[Rate_Code_Generalized]],Lookups!A:A,Lookups!B:B))*Pipeline_tbl[[#This Row],[Pipeline_Amount_USD]]</f>
        <v>13200</v>
      </c>
      <c r="O6280" t="str">
        <f>_xlfn.XLOOKUP(Pipeline_tbl[[#This Row],[Rep_ID]],Dim_Reps!A:A,Dim_Reps!B:B)</f>
        <v>Felix Okafor</v>
      </c>
      <c r="P6280" t="str">
        <f>_xlfn.XLOOKUP(Pipeline_tbl[[#This Row],[Rep_ID]],Dim_Reps!A:A,Dim_Reps!C:C)</f>
        <v>Mid-Market AE</v>
      </c>
      <c r="Q6280" t="str">
        <f>_xlfn.XLOOKUP(Pipeline_tbl[[#This Row],[Rep_ID]],Dim_Reps!A:A,Dim_Reps!D:D)</f>
        <v>Mid-Market</v>
      </c>
      <c r="R6280" t="str">
        <f>_xlfn.XLOOKUP(Pipeline_tbl[[#This Row],[Rep_ID]],Dim_Reps!A:A,Dim_Reps!E:E)</f>
        <v>EMEA</v>
      </c>
      <c r="S6280" t="str">
        <f>_xlfn.XLOOKUP(Pipeline_tbl[[#This Row],[Created_Date]],Dim_Date!A:A,Dim_Date!H:H)</f>
        <v>Aug 2024</v>
      </c>
      <c r="T6280" t="str">
        <f>IF(Pipeline_tbl[[#This Row],[Closed_Date]]=0,"",(_xlfn.XLOOKUP(Pipeline_tbl[[#This Row],[Closed_Date]],Dim_Date!A:A,Dim_Date!H:H)))</f>
        <v>Sep 2024</v>
      </c>
      <c r="U6280">
        <f>IF(Pipeline_tbl[[#This Row],[Closed_Date]]=0,"",Pipeline_tbl[[#This Row],[Closed_Date]]-Pipeline_tbl[[#This Row],[Created_Date]])</f>
        <v>40</v>
      </c>
    </row>
    <row r="6281" spans="1:21" ht="15" customHeight="1" x14ac:dyDescent="0.2">
      <c r="A6281" t="s">
        <v>6587</v>
      </c>
      <c r="B6281" t="s">
        <v>259</v>
      </c>
      <c r="C6281" t="s">
        <v>53</v>
      </c>
      <c r="D6281" s="49">
        <v>45513</v>
      </c>
      <c r="E6281" s="49">
        <v>45516</v>
      </c>
      <c r="F6281" s="49">
        <v>45523</v>
      </c>
      <c r="I6281" s="49">
        <v>45545</v>
      </c>
      <c r="J6281" t="s">
        <v>49</v>
      </c>
      <c r="K6281" s="33">
        <v>7400</v>
      </c>
      <c r="L6281" t="s">
        <v>60</v>
      </c>
      <c r="M6281" t="str">
        <f>_xlfn.XLOOKUP(Pipeline_tbl[[#This Row],[Rep_ID]],Dim_Reps!A:A,Dim_Reps!K:K)</f>
        <v>EUR</v>
      </c>
      <c r="N6281" s="33">
        <f>(_xlfn.XLOOKUP(Pipeline_tbl[[#This Row],[Rate_Code_Generalized]],Lookups!A:A,Lookups!B:B))*Pipeline_tbl[[#This Row],[Pipeline_Amount_USD]]</f>
        <v>7400</v>
      </c>
      <c r="O6281" t="str">
        <f>_xlfn.XLOOKUP(Pipeline_tbl[[#This Row],[Rep_ID]],Dim_Reps!A:A,Dim_Reps!B:B)</f>
        <v>Felix Okafor</v>
      </c>
      <c r="P6281" t="str">
        <f>_xlfn.XLOOKUP(Pipeline_tbl[[#This Row],[Rep_ID]],Dim_Reps!A:A,Dim_Reps!C:C)</f>
        <v>Mid-Market AE</v>
      </c>
      <c r="Q6281" t="str">
        <f>_xlfn.XLOOKUP(Pipeline_tbl[[#This Row],[Rep_ID]],Dim_Reps!A:A,Dim_Reps!D:D)</f>
        <v>Mid-Market</v>
      </c>
      <c r="R6281" t="str">
        <f>_xlfn.XLOOKUP(Pipeline_tbl[[#This Row],[Rep_ID]],Dim_Reps!A:A,Dim_Reps!E:E)</f>
        <v>EMEA</v>
      </c>
      <c r="S6281" t="str">
        <f>_xlfn.XLOOKUP(Pipeline_tbl[[#This Row],[Created_Date]],Dim_Date!A:A,Dim_Date!H:H)</f>
        <v>Aug 2024</v>
      </c>
      <c r="T6281" t="str">
        <f>IF(Pipeline_tbl[[#This Row],[Closed_Date]]=0,"",(_xlfn.XLOOKUP(Pipeline_tbl[[#This Row],[Closed_Date]],Dim_Date!A:A,Dim_Date!H:H)))</f>
        <v>Sep 2024</v>
      </c>
      <c r="U6281">
        <f>IF(Pipeline_tbl[[#This Row],[Closed_Date]]=0,"",Pipeline_tbl[[#This Row],[Closed_Date]]-Pipeline_tbl[[#This Row],[Created_Date]])</f>
        <v>32</v>
      </c>
    </row>
    <row r="6282" spans="1:21" ht="15" customHeight="1" x14ac:dyDescent="0.2">
      <c r="A6282" t="s">
        <v>6588</v>
      </c>
      <c r="B6282" t="s">
        <v>225</v>
      </c>
      <c r="C6282" t="s">
        <v>55</v>
      </c>
      <c r="D6282" s="49">
        <v>45535</v>
      </c>
      <c r="E6282" s="49">
        <v>45536</v>
      </c>
      <c r="F6282" s="49">
        <v>45539</v>
      </c>
      <c r="G6282" s="49">
        <v>45543</v>
      </c>
      <c r="I6282" s="49">
        <v>45549</v>
      </c>
      <c r="J6282" t="s">
        <v>49</v>
      </c>
      <c r="K6282" s="33">
        <v>1800</v>
      </c>
      <c r="L6282" t="s">
        <v>61</v>
      </c>
      <c r="M6282" t="str">
        <f>_xlfn.XLOOKUP(Pipeline_tbl[[#This Row],[Rep_ID]],Dim_Reps!A:A,Dim_Reps!K:K)</f>
        <v>USD</v>
      </c>
      <c r="N6282" s="33">
        <f>(_xlfn.XLOOKUP(Pipeline_tbl[[#This Row],[Rate_Code_Generalized]],Lookups!A:A,Lookups!B:B))*Pipeline_tbl[[#This Row],[Pipeline_Amount_USD]]</f>
        <v>2095.7399999999998</v>
      </c>
      <c r="O6282" t="str">
        <f>_xlfn.XLOOKUP(Pipeline_tbl[[#This Row],[Rep_ID]],Dim_Reps!A:A,Dim_Reps!B:B)</f>
        <v>Alex Muller</v>
      </c>
      <c r="P6282" t="str">
        <f>_xlfn.XLOOKUP(Pipeline_tbl[[#This Row],[Rep_ID]],Dim_Reps!A:A,Dim_Reps!C:C)</f>
        <v>SDR / Inside Sales Rep</v>
      </c>
      <c r="Q6282" t="str">
        <f>_xlfn.XLOOKUP(Pipeline_tbl[[#This Row],[Rep_ID]],Dim_Reps!A:A,Dim_Reps!D:D)</f>
        <v>Inside Sales</v>
      </c>
      <c r="R6282" t="str">
        <f>_xlfn.XLOOKUP(Pipeline_tbl[[#This Row],[Rep_ID]],Dim_Reps!A:A,Dim_Reps!E:E)</f>
        <v>NAMER</v>
      </c>
      <c r="S6282" t="str">
        <f>_xlfn.XLOOKUP(Pipeline_tbl[[#This Row],[Created_Date]],Dim_Date!A:A,Dim_Date!H:H)</f>
        <v>Aug 2024</v>
      </c>
      <c r="T6282" t="str">
        <f>IF(Pipeline_tbl[[#This Row],[Closed_Date]]=0,"",(_xlfn.XLOOKUP(Pipeline_tbl[[#This Row],[Closed_Date]],Dim_Date!A:A,Dim_Date!H:H)))</f>
        <v>Sep 2024</v>
      </c>
      <c r="U6282">
        <f>IF(Pipeline_tbl[[#This Row],[Closed_Date]]=0,"",Pipeline_tbl[[#This Row],[Closed_Date]]-Pipeline_tbl[[#This Row],[Created_Date]])</f>
        <v>14</v>
      </c>
    </row>
    <row r="6283" spans="1:21" ht="15" customHeight="1" x14ac:dyDescent="0.2">
      <c r="A6283" t="s">
        <v>6589</v>
      </c>
      <c r="B6283" t="s">
        <v>225</v>
      </c>
      <c r="C6283" t="s">
        <v>52</v>
      </c>
      <c r="D6283" s="49">
        <v>45519</v>
      </c>
      <c r="E6283" s="49">
        <v>45521</v>
      </c>
      <c r="F6283" s="49">
        <v>45524</v>
      </c>
      <c r="G6283" s="49">
        <v>45529</v>
      </c>
      <c r="H6283" s="49">
        <v>45533</v>
      </c>
      <c r="I6283" s="49">
        <v>45536</v>
      </c>
      <c r="J6283" t="s">
        <v>47</v>
      </c>
      <c r="K6283" s="33">
        <v>4400</v>
      </c>
      <c r="M6283" t="str">
        <f>_xlfn.XLOOKUP(Pipeline_tbl[[#This Row],[Rep_ID]],Dim_Reps!A:A,Dim_Reps!K:K)</f>
        <v>USD</v>
      </c>
      <c r="N6283" s="33">
        <f>(_xlfn.XLOOKUP(Pipeline_tbl[[#This Row],[Rate_Code_Generalized]],Lookups!A:A,Lookups!B:B))*Pipeline_tbl[[#This Row],[Pipeline_Amount_USD]]</f>
        <v>5122.9199999999992</v>
      </c>
      <c r="O6283" t="str">
        <f>_xlfn.XLOOKUP(Pipeline_tbl[[#This Row],[Rep_ID]],Dim_Reps!A:A,Dim_Reps!B:B)</f>
        <v>Alex Muller</v>
      </c>
      <c r="P6283" t="str">
        <f>_xlfn.XLOOKUP(Pipeline_tbl[[#This Row],[Rep_ID]],Dim_Reps!A:A,Dim_Reps!C:C)</f>
        <v>SDR / Inside Sales Rep</v>
      </c>
      <c r="Q6283" t="str">
        <f>_xlfn.XLOOKUP(Pipeline_tbl[[#This Row],[Rep_ID]],Dim_Reps!A:A,Dim_Reps!D:D)</f>
        <v>Inside Sales</v>
      </c>
      <c r="R6283" t="str">
        <f>_xlfn.XLOOKUP(Pipeline_tbl[[#This Row],[Rep_ID]],Dim_Reps!A:A,Dim_Reps!E:E)</f>
        <v>NAMER</v>
      </c>
      <c r="S6283" t="str">
        <f>_xlfn.XLOOKUP(Pipeline_tbl[[#This Row],[Created_Date]],Dim_Date!A:A,Dim_Date!H:H)</f>
        <v>Aug 2024</v>
      </c>
      <c r="T6283" t="str">
        <f>IF(Pipeline_tbl[[#This Row],[Closed_Date]]=0,"",(_xlfn.XLOOKUP(Pipeline_tbl[[#This Row],[Closed_Date]],Dim_Date!A:A,Dim_Date!H:H)))</f>
        <v>Sep 2024</v>
      </c>
      <c r="U6283">
        <f>IF(Pipeline_tbl[[#This Row],[Closed_Date]]=0,"",Pipeline_tbl[[#This Row],[Closed_Date]]-Pipeline_tbl[[#This Row],[Created_Date]])</f>
        <v>17</v>
      </c>
    </row>
    <row r="6284" spans="1:21" ht="15" customHeight="1" x14ac:dyDescent="0.2">
      <c r="A6284" t="s">
        <v>6590</v>
      </c>
      <c r="B6284" t="s">
        <v>225</v>
      </c>
      <c r="C6284" t="s">
        <v>52</v>
      </c>
      <c r="D6284" s="49">
        <v>45516</v>
      </c>
      <c r="E6284" s="49">
        <v>45519</v>
      </c>
      <c r="F6284" s="49">
        <v>45524</v>
      </c>
      <c r="G6284" s="49">
        <v>45532</v>
      </c>
      <c r="I6284" s="49">
        <v>45543</v>
      </c>
      <c r="J6284" t="s">
        <v>49</v>
      </c>
      <c r="K6284" s="33">
        <v>2300</v>
      </c>
      <c r="L6284" t="s">
        <v>63</v>
      </c>
      <c r="M6284" t="str">
        <f>_xlfn.XLOOKUP(Pipeline_tbl[[#This Row],[Rep_ID]],Dim_Reps!A:A,Dim_Reps!K:K)</f>
        <v>USD</v>
      </c>
      <c r="N6284" s="33">
        <f>(_xlfn.XLOOKUP(Pipeline_tbl[[#This Row],[Rate_Code_Generalized]],Lookups!A:A,Lookups!B:B))*Pipeline_tbl[[#This Row],[Pipeline_Amount_USD]]</f>
        <v>2677.89</v>
      </c>
      <c r="O6284" t="str">
        <f>_xlfn.XLOOKUP(Pipeline_tbl[[#This Row],[Rep_ID]],Dim_Reps!A:A,Dim_Reps!B:B)</f>
        <v>Alex Muller</v>
      </c>
      <c r="P6284" t="str">
        <f>_xlfn.XLOOKUP(Pipeline_tbl[[#This Row],[Rep_ID]],Dim_Reps!A:A,Dim_Reps!C:C)</f>
        <v>SDR / Inside Sales Rep</v>
      </c>
      <c r="Q6284" t="str">
        <f>_xlfn.XLOOKUP(Pipeline_tbl[[#This Row],[Rep_ID]],Dim_Reps!A:A,Dim_Reps!D:D)</f>
        <v>Inside Sales</v>
      </c>
      <c r="R6284" t="str">
        <f>_xlfn.XLOOKUP(Pipeline_tbl[[#This Row],[Rep_ID]],Dim_Reps!A:A,Dim_Reps!E:E)</f>
        <v>NAMER</v>
      </c>
      <c r="S6284" t="str">
        <f>_xlfn.XLOOKUP(Pipeline_tbl[[#This Row],[Created_Date]],Dim_Date!A:A,Dim_Date!H:H)</f>
        <v>Aug 2024</v>
      </c>
      <c r="T6284" t="str">
        <f>IF(Pipeline_tbl[[#This Row],[Closed_Date]]=0,"",(_xlfn.XLOOKUP(Pipeline_tbl[[#This Row],[Closed_Date]],Dim_Date!A:A,Dim_Date!H:H)))</f>
        <v>Sep 2024</v>
      </c>
      <c r="U6284">
        <f>IF(Pipeline_tbl[[#This Row],[Closed_Date]]=0,"",Pipeline_tbl[[#This Row],[Closed_Date]]-Pipeline_tbl[[#This Row],[Created_Date]])</f>
        <v>27</v>
      </c>
    </row>
    <row r="6285" spans="1:21" ht="15" customHeight="1" x14ac:dyDescent="0.2">
      <c r="A6285" t="s">
        <v>6591</v>
      </c>
      <c r="B6285" t="s">
        <v>229</v>
      </c>
      <c r="C6285" t="s">
        <v>52</v>
      </c>
      <c r="D6285" s="49">
        <v>45528</v>
      </c>
      <c r="E6285" s="49">
        <v>45530</v>
      </c>
      <c r="F6285" s="49">
        <v>45533</v>
      </c>
      <c r="G6285" s="49">
        <v>45537</v>
      </c>
      <c r="H6285" s="49">
        <v>45541</v>
      </c>
      <c r="I6285" s="49">
        <v>45543</v>
      </c>
      <c r="J6285" t="s">
        <v>47</v>
      </c>
      <c r="K6285" s="33">
        <v>4800</v>
      </c>
      <c r="M6285" t="str">
        <f>_xlfn.XLOOKUP(Pipeline_tbl[[#This Row],[Rep_ID]],Dim_Reps!A:A,Dim_Reps!K:K)</f>
        <v>USD</v>
      </c>
      <c r="N6285" s="33">
        <f>(_xlfn.XLOOKUP(Pipeline_tbl[[#This Row],[Rate_Code_Generalized]],Lookups!A:A,Lookups!B:B))*Pipeline_tbl[[#This Row],[Pipeline_Amount_USD]]</f>
        <v>5588.6399999999994</v>
      </c>
      <c r="O6285" t="str">
        <f>_xlfn.XLOOKUP(Pipeline_tbl[[#This Row],[Rep_ID]],Dim_Reps!A:A,Dim_Reps!B:B)</f>
        <v>Liam Castro</v>
      </c>
      <c r="P6285" t="str">
        <f>_xlfn.XLOOKUP(Pipeline_tbl[[#This Row],[Rep_ID]],Dim_Reps!A:A,Dim_Reps!C:C)</f>
        <v>SDR / Inside Sales Rep</v>
      </c>
      <c r="Q6285" t="str">
        <f>_xlfn.XLOOKUP(Pipeline_tbl[[#This Row],[Rep_ID]],Dim_Reps!A:A,Dim_Reps!D:D)</f>
        <v>Inside Sales</v>
      </c>
      <c r="R6285" t="str">
        <f>_xlfn.XLOOKUP(Pipeline_tbl[[#This Row],[Rep_ID]],Dim_Reps!A:A,Dim_Reps!E:E)</f>
        <v>NAMER</v>
      </c>
      <c r="S6285" t="str">
        <f>_xlfn.XLOOKUP(Pipeline_tbl[[#This Row],[Created_Date]],Dim_Date!A:A,Dim_Date!H:H)</f>
        <v>Aug 2024</v>
      </c>
      <c r="T6285" t="str">
        <f>IF(Pipeline_tbl[[#This Row],[Closed_Date]]=0,"",(_xlfn.XLOOKUP(Pipeline_tbl[[#This Row],[Closed_Date]],Dim_Date!A:A,Dim_Date!H:H)))</f>
        <v>Sep 2024</v>
      </c>
      <c r="U6285">
        <f>IF(Pipeline_tbl[[#This Row],[Closed_Date]]=0,"",Pipeline_tbl[[#This Row],[Closed_Date]]-Pipeline_tbl[[#This Row],[Created_Date]])</f>
        <v>15</v>
      </c>
    </row>
    <row r="6286" spans="1:21" ht="15" customHeight="1" x14ac:dyDescent="0.2">
      <c r="A6286" t="s">
        <v>6592</v>
      </c>
      <c r="B6286" t="s">
        <v>229</v>
      </c>
      <c r="C6286" t="s">
        <v>55</v>
      </c>
      <c r="D6286" s="49">
        <v>45524</v>
      </c>
      <c r="E6286" s="49">
        <v>45526</v>
      </c>
      <c r="F6286" s="49">
        <v>45532</v>
      </c>
      <c r="G6286" s="49">
        <v>45539</v>
      </c>
      <c r="H6286" s="49">
        <v>45545</v>
      </c>
      <c r="I6286" s="49">
        <v>45549</v>
      </c>
      <c r="J6286" t="s">
        <v>47</v>
      </c>
      <c r="K6286" s="33">
        <v>3500</v>
      </c>
      <c r="M6286" t="str">
        <f>_xlfn.XLOOKUP(Pipeline_tbl[[#This Row],[Rep_ID]],Dim_Reps!A:A,Dim_Reps!K:K)</f>
        <v>USD</v>
      </c>
      <c r="N6286" s="33">
        <f>(_xlfn.XLOOKUP(Pipeline_tbl[[#This Row],[Rate_Code_Generalized]],Lookups!A:A,Lookups!B:B))*Pipeline_tbl[[#This Row],[Pipeline_Amount_USD]]</f>
        <v>4075.0499999999997</v>
      </c>
      <c r="O6286" t="str">
        <f>_xlfn.XLOOKUP(Pipeline_tbl[[#This Row],[Rep_ID]],Dim_Reps!A:A,Dim_Reps!B:B)</f>
        <v>Liam Castro</v>
      </c>
      <c r="P6286" t="str">
        <f>_xlfn.XLOOKUP(Pipeline_tbl[[#This Row],[Rep_ID]],Dim_Reps!A:A,Dim_Reps!C:C)</f>
        <v>SDR / Inside Sales Rep</v>
      </c>
      <c r="Q6286" t="str">
        <f>_xlfn.XLOOKUP(Pipeline_tbl[[#This Row],[Rep_ID]],Dim_Reps!A:A,Dim_Reps!D:D)</f>
        <v>Inside Sales</v>
      </c>
      <c r="R6286" t="str">
        <f>_xlfn.XLOOKUP(Pipeline_tbl[[#This Row],[Rep_ID]],Dim_Reps!A:A,Dim_Reps!E:E)</f>
        <v>NAMER</v>
      </c>
      <c r="S6286" t="str">
        <f>_xlfn.XLOOKUP(Pipeline_tbl[[#This Row],[Created_Date]],Dim_Date!A:A,Dim_Date!H:H)</f>
        <v>Aug 2024</v>
      </c>
      <c r="T6286" t="str">
        <f>IF(Pipeline_tbl[[#This Row],[Closed_Date]]=0,"",(_xlfn.XLOOKUP(Pipeline_tbl[[#This Row],[Closed_Date]],Dim_Date!A:A,Dim_Date!H:H)))</f>
        <v>Sep 2024</v>
      </c>
      <c r="U6286">
        <f>IF(Pipeline_tbl[[#This Row],[Closed_Date]]=0,"",Pipeline_tbl[[#This Row],[Closed_Date]]-Pipeline_tbl[[#This Row],[Created_Date]])</f>
        <v>25</v>
      </c>
    </row>
    <row r="6287" spans="1:21" ht="15" customHeight="1" x14ac:dyDescent="0.2">
      <c r="A6287" t="s">
        <v>6593</v>
      </c>
      <c r="B6287" t="s">
        <v>229</v>
      </c>
      <c r="C6287" t="s">
        <v>53</v>
      </c>
      <c r="D6287" s="49">
        <v>45529</v>
      </c>
      <c r="E6287" s="49">
        <v>45531</v>
      </c>
      <c r="F6287" s="49">
        <v>45535</v>
      </c>
      <c r="G6287" s="49">
        <v>45540</v>
      </c>
      <c r="H6287" s="49">
        <v>45545</v>
      </c>
      <c r="I6287" s="49">
        <v>45548</v>
      </c>
      <c r="J6287" t="s">
        <v>47</v>
      </c>
      <c r="K6287" s="33">
        <v>4000</v>
      </c>
      <c r="M6287" t="str">
        <f>_xlfn.XLOOKUP(Pipeline_tbl[[#This Row],[Rep_ID]],Dim_Reps!A:A,Dim_Reps!K:K)</f>
        <v>USD</v>
      </c>
      <c r="N6287" s="33">
        <f>(_xlfn.XLOOKUP(Pipeline_tbl[[#This Row],[Rate_Code_Generalized]],Lookups!A:A,Lookups!B:B))*Pipeline_tbl[[#This Row],[Pipeline_Amount_USD]]</f>
        <v>4657.2</v>
      </c>
      <c r="O6287" t="str">
        <f>_xlfn.XLOOKUP(Pipeline_tbl[[#This Row],[Rep_ID]],Dim_Reps!A:A,Dim_Reps!B:B)</f>
        <v>Liam Castro</v>
      </c>
      <c r="P6287" t="str">
        <f>_xlfn.XLOOKUP(Pipeline_tbl[[#This Row],[Rep_ID]],Dim_Reps!A:A,Dim_Reps!C:C)</f>
        <v>SDR / Inside Sales Rep</v>
      </c>
      <c r="Q6287" t="str">
        <f>_xlfn.XLOOKUP(Pipeline_tbl[[#This Row],[Rep_ID]],Dim_Reps!A:A,Dim_Reps!D:D)</f>
        <v>Inside Sales</v>
      </c>
      <c r="R6287" t="str">
        <f>_xlfn.XLOOKUP(Pipeline_tbl[[#This Row],[Rep_ID]],Dim_Reps!A:A,Dim_Reps!E:E)</f>
        <v>NAMER</v>
      </c>
      <c r="S6287" t="str">
        <f>_xlfn.XLOOKUP(Pipeline_tbl[[#This Row],[Created_Date]],Dim_Date!A:A,Dim_Date!H:H)</f>
        <v>Aug 2024</v>
      </c>
      <c r="T6287" t="str">
        <f>IF(Pipeline_tbl[[#This Row],[Closed_Date]]=0,"",(_xlfn.XLOOKUP(Pipeline_tbl[[#This Row],[Closed_Date]],Dim_Date!A:A,Dim_Date!H:H)))</f>
        <v>Sep 2024</v>
      </c>
      <c r="U6287">
        <f>IF(Pipeline_tbl[[#This Row],[Closed_Date]]=0,"",Pipeline_tbl[[#This Row],[Closed_Date]]-Pipeline_tbl[[#This Row],[Created_Date]])</f>
        <v>19</v>
      </c>
    </row>
    <row r="6288" spans="1:21" ht="15" customHeight="1" x14ac:dyDescent="0.2">
      <c r="A6288" t="s">
        <v>6594</v>
      </c>
      <c r="B6288" t="s">
        <v>229</v>
      </c>
      <c r="C6288" t="s">
        <v>55</v>
      </c>
      <c r="D6288" s="49">
        <v>45535</v>
      </c>
      <c r="E6288" s="49">
        <v>45537</v>
      </c>
      <c r="F6288" s="49">
        <v>45541</v>
      </c>
      <c r="G6288" s="49">
        <v>45548</v>
      </c>
      <c r="H6288" s="49">
        <v>45553</v>
      </c>
      <c r="I6288" s="49">
        <v>45556</v>
      </c>
      <c r="J6288" t="s">
        <v>47</v>
      </c>
      <c r="K6288" s="33">
        <v>3500</v>
      </c>
      <c r="M6288" t="str">
        <f>_xlfn.XLOOKUP(Pipeline_tbl[[#This Row],[Rep_ID]],Dim_Reps!A:A,Dim_Reps!K:K)</f>
        <v>USD</v>
      </c>
      <c r="N6288" s="33">
        <f>(_xlfn.XLOOKUP(Pipeline_tbl[[#This Row],[Rate_Code_Generalized]],Lookups!A:A,Lookups!B:B))*Pipeline_tbl[[#This Row],[Pipeline_Amount_USD]]</f>
        <v>4075.0499999999997</v>
      </c>
      <c r="O6288" t="str">
        <f>_xlfn.XLOOKUP(Pipeline_tbl[[#This Row],[Rep_ID]],Dim_Reps!A:A,Dim_Reps!B:B)</f>
        <v>Liam Castro</v>
      </c>
      <c r="P6288" t="str">
        <f>_xlfn.XLOOKUP(Pipeline_tbl[[#This Row],[Rep_ID]],Dim_Reps!A:A,Dim_Reps!C:C)</f>
        <v>SDR / Inside Sales Rep</v>
      </c>
      <c r="Q6288" t="str">
        <f>_xlfn.XLOOKUP(Pipeline_tbl[[#This Row],[Rep_ID]],Dim_Reps!A:A,Dim_Reps!D:D)</f>
        <v>Inside Sales</v>
      </c>
      <c r="R6288" t="str">
        <f>_xlfn.XLOOKUP(Pipeline_tbl[[#This Row],[Rep_ID]],Dim_Reps!A:A,Dim_Reps!E:E)</f>
        <v>NAMER</v>
      </c>
      <c r="S6288" t="str">
        <f>_xlfn.XLOOKUP(Pipeline_tbl[[#This Row],[Created_Date]],Dim_Date!A:A,Dim_Date!H:H)</f>
        <v>Aug 2024</v>
      </c>
      <c r="T6288" t="str">
        <f>IF(Pipeline_tbl[[#This Row],[Closed_Date]]=0,"",(_xlfn.XLOOKUP(Pipeline_tbl[[#This Row],[Closed_Date]],Dim_Date!A:A,Dim_Date!H:H)))</f>
        <v>Sep 2024</v>
      </c>
      <c r="U6288">
        <f>IF(Pipeline_tbl[[#This Row],[Closed_Date]]=0,"",Pipeline_tbl[[#This Row],[Closed_Date]]-Pipeline_tbl[[#This Row],[Created_Date]])</f>
        <v>21</v>
      </c>
    </row>
    <row r="6289" spans="1:21" ht="15" customHeight="1" x14ac:dyDescent="0.2">
      <c r="A6289" t="s">
        <v>6595</v>
      </c>
      <c r="B6289" t="s">
        <v>229</v>
      </c>
      <c r="C6289" t="s">
        <v>53</v>
      </c>
      <c r="D6289" s="49">
        <v>45527</v>
      </c>
      <c r="E6289" s="49">
        <v>45528</v>
      </c>
      <c r="F6289" s="49">
        <v>45531</v>
      </c>
      <c r="G6289" s="49">
        <v>45535</v>
      </c>
      <c r="I6289" s="49">
        <v>45541</v>
      </c>
      <c r="J6289" t="s">
        <v>49</v>
      </c>
      <c r="K6289" s="33">
        <v>2100</v>
      </c>
      <c r="L6289" t="s">
        <v>61</v>
      </c>
      <c r="M6289" t="str">
        <f>_xlfn.XLOOKUP(Pipeline_tbl[[#This Row],[Rep_ID]],Dim_Reps!A:A,Dim_Reps!K:K)</f>
        <v>USD</v>
      </c>
      <c r="N6289" s="33">
        <f>(_xlfn.XLOOKUP(Pipeline_tbl[[#This Row],[Rate_Code_Generalized]],Lookups!A:A,Lookups!B:B))*Pipeline_tbl[[#This Row],[Pipeline_Amount_USD]]</f>
        <v>2445.0299999999997</v>
      </c>
      <c r="O6289" t="str">
        <f>_xlfn.XLOOKUP(Pipeline_tbl[[#This Row],[Rep_ID]],Dim_Reps!A:A,Dim_Reps!B:B)</f>
        <v>Liam Castro</v>
      </c>
      <c r="P6289" t="str">
        <f>_xlfn.XLOOKUP(Pipeline_tbl[[#This Row],[Rep_ID]],Dim_Reps!A:A,Dim_Reps!C:C)</f>
        <v>SDR / Inside Sales Rep</v>
      </c>
      <c r="Q6289" t="str">
        <f>_xlfn.XLOOKUP(Pipeline_tbl[[#This Row],[Rep_ID]],Dim_Reps!A:A,Dim_Reps!D:D)</f>
        <v>Inside Sales</v>
      </c>
      <c r="R6289" t="str">
        <f>_xlfn.XLOOKUP(Pipeline_tbl[[#This Row],[Rep_ID]],Dim_Reps!A:A,Dim_Reps!E:E)</f>
        <v>NAMER</v>
      </c>
      <c r="S6289" t="str">
        <f>_xlfn.XLOOKUP(Pipeline_tbl[[#This Row],[Created_Date]],Dim_Date!A:A,Dim_Date!H:H)</f>
        <v>Aug 2024</v>
      </c>
      <c r="T6289" t="str">
        <f>IF(Pipeline_tbl[[#This Row],[Closed_Date]]=0,"",(_xlfn.XLOOKUP(Pipeline_tbl[[#This Row],[Closed_Date]],Dim_Date!A:A,Dim_Date!H:H)))</f>
        <v>Sep 2024</v>
      </c>
      <c r="U6289">
        <f>IF(Pipeline_tbl[[#This Row],[Closed_Date]]=0,"",Pipeline_tbl[[#This Row],[Closed_Date]]-Pipeline_tbl[[#This Row],[Created_Date]])</f>
        <v>14</v>
      </c>
    </row>
    <row r="6290" spans="1:21" ht="15" customHeight="1" x14ac:dyDescent="0.2">
      <c r="A6290" t="s">
        <v>6596</v>
      </c>
      <c r="B6290" t="s">
        <v>231</v>
      </c>
      <c r="C6290" t="s">
        <v>54</v>
      </c>
      <c r="D6290" s="49">
        <v>45523</v>
      </c>
      <c r="E6290" s="49">
        <v>45525</v>
      </c>
      <c r="F6290" s="49">
        <v>45528</v>
      </c>
      <c r="G6290" s="49">
        <v>45533</v>
      </c>
      <c r="H6290" s="49">
        <v>45537</v>
      </c>
      <c r="I6290" s="49">
        <v>45539</v>
      </c>
      <c r="J6290" t="s">
        <v>49</v>
      </c>
      <c r="K6290" s="33">
        <v>4700</v>
      </c>
      <c r="L6290" t="s">
        <v>60</v>
      </c>
      <c r="M6290" t="str">
        <f>_xlfn.XLOOKUP(Pipeline_tbl[[#This Row],[Rep_ID]],Dim_Reps!A:A,Dim_Reps!K:K)</f>
        <v>MXN</v>
      </c>
      <c r="N6290" s="33">
        <f>(_xlfn.XLOOKUP(Pipeline_tbl[[#This Row],[Rate_Code_Generalized]],Lookups!A:A,Lookups!B:B))*Pipeline_tbl[[#This Row],[Pipeline_Amount_USD]]</f>
        <v>92743.69</v>
      </c>
      <c r="O6290" t="str">
        <f>_xlfn.XLOOKUP(Pipeline_tbl[[#This Row],[Rep_ID]],Dim_Reps!A:A,Dim_Reps!B:B)</f>
        <v>Ben Silva</v>
      </c>
      <c r="P6290" t="str">
        <f>_xlfn.XLOOKUP(Pipeline_tbl[[#This Row],[Rep_ID]],Dim_Reps!A:A,Dim_Reps!C:C)</f>
        <v>SDR / Inside Sales Rep</v>
      </c>
      <c r="Q6290" t="str">
        <f>_xlfn.XLOOKUP(Pipeline_tbl[[#This Row],[Rep_ID]],Dim_Reps!A:A,Dim_Reps!D:D)</f>
        <v>Inside Sales</v>
      </c>
      <c r="R6290" t="str">
        <f>_xlfn.XLOOKUP(Pipeline_tbl[[#This Row],[Rep_ID]],Dim_Reps!A:A,Dim_Reps!E:E)</f>
        <v>LATAM</v>
      </c>
      <c r="S6290" t="str">
        <f>_xlfn.XLOOKUP(Pipeline_tbl[[#This Row],[Created_Date]],Dim_Date!A:A,Dim_Date!H:H)</f>
        <v>Aug 2024</v>
      </c>
      <c r="T6290" t="str">
        <f>IF(Pipeline_tbl[[#This Row],[Closed_Date]]=0,"",(_xlfn.XLOOKUP(Pipeline_tbl[[#This Row],[Closed_Date]],Dim_Date!A:A,Dim_Date!H:H)))</f>
        <v>Sep 2024</v>
      </c>
      <c r="U6290">
        <f>IF(Pipeline_tbl[[#This Row],[Closed_Date]]=0,"",Pipeline_tbl[[#This Row],[Closed_Date]]-Pipeline_tbl[[#This Row],[Created_Date]])</f>
        <v>16</v>
      </c>
    </row>
    <row r="6291" spans="1:21" ht="15" customHeight="1" x14ac:dyDescent="0.2">
      <c r="A6291" t="s">
        <v>6597</v>
      </c>
      <c r="B6291" t="s">
        <v>231</v>
      </c>
      <c r="C6291" t="s">
        <v>52</v>
      </c>
      <c r="D6291" s="49">
        <v>45530</v>
      </c>
      <c r="E6291" s="49">
        <v>45533</v>
      </c>
      <c r="F6291" s="49">
        <v>45538</v>
      </c>
      <c r="G6291" s="49">
        <v>45546</v>
      </c>
      <c r="H6291" s="49">
        <v>45553</v>
      </c>
      <c r="I6291" s="49">
        <v>45557</v>
      </c>
      <c r="J6291" t="s">
        <v>47</v>
      </c>
      <c r="K6291" s="33">
        <v>8000</v>
      </c>
      <c r="M6291" t="str">
        <f>_xlfn.XLOOKUP(Pipeline_tbl[[#This Row],[Rep_ID]],Dim_Reps!A:A,Dim_Reps!K:K)</f>
        <v>MXN</v>
      </c>
      <c r="N6291" s="33">
        <f>(_xlfn.XLOOKUP(Pipeline_tbl[[#This Row],[Rate_Code_Generalized]],Lookups!A:A,Lookups!B:B))*Pipeline_tbl[[#This Row],[Pipeline_Amount_USD]]</f>
        <v>157861.6</v>
      </c>
      <c r="O6291" t="str">
        <f>_xlfn.XLOOKUP(Pipeline_tbl[[#This Row],[Rep_ID]],Dim_Reps!A:A,Dim_Reps!B:B)</f>
        <v>Ben Silva</v>
      </c>
      <c r="P6291" t="str">
        <f>_xlfn.XLOOKUP(Pipeline_tbl[[#This Row],[Rep_ID]],Dim_Reps!A:A,Dim_Reps!C:C)</f>
        <v>SDR / Inside Sales Rep</v>
      </c>
      <c r="Q6291" t="str">
        <f>_xlfn.XLOOKUP(Pipeline_tbl[[#This Row],[Rep_ID]],Dim_Reps!A:A,Dim_Reps!D:D)</f>
        <v>Inside Sales</v>
      </c>
      <c r="R6291" t="str">
        <f>_xlfn.XLOOKUP(Pipeline_tbl[[#This Row],[Rep_ID]],Dim_Reps!A:A,Dim_Reps!E:E)</f>
        <v>LATAM</v>
      </c>
      <c r="S6291" t="str">
        <f>_xlfn.XLOOKUP(Pipeline_tbl[[#This Row],[Created_Date]],Dim_Date!A:A,Dim_Date!H:H)</f>
        <v>Aug 2024</v>
      </c>
      <c r="T6291" t="str">
        <f>IF(Pipeline_tbl[[#This Row],[Closed_Date]]=0,"",(_xlfn.XLOOKUP(Pipeline_tbl[[#This Row],[Closed_Date]],Dim_Date!A:A,Dim_Date!H:H)))</f>
        <v>Sep 2024</v>
      </c>
      <c r="U6291">
        <f>IF(Pipeline_tbl[[#This Row],[Closed_Date]]=0,"",Pipeline_tbl[[#This Row],[Closed_Date]]-Pipeline_tbl[[#This Row],[Created_Date]])</f>
        <v>27</v>
      </c>
    </row>
    <row r="6292" spans="1:21" ht="15" customHeight="1" x14ac:dyDescent="0.2">
      <c r="A6292" t="s">
        <v>6598</v>
      </c>
      <c r="B6292" t="s">
        <v>263</v>
      </c>
      <c r="C6292" t="s">
        <v>55</v>
      </c>
      <c r="D6292" s="49">
        <v>45517</v>
      </c>
      <c r="E6292" s="49">
        <v>45520</v>
      </c>
      <c r="F6292" s="49">
        <v>45526</v>
      </c>
      <c r="G6292" s="49">
        <v>45535</v>
      </c>
      <c r="I6292" s="49">
        <v>45547</v>
      </c>
      <c r="J6292" t="s">
        <v>49</v>
      </c>
      <c r="K6292" s="33">
        <v>13200</v>
      </c>
      <c r="L6292" t="s">
        <v>63</v>
      </c>
      <c r="M6292" t="str">
        <f>_xlfn.XLOOKUP(Pipeline_tbl[[#This Row],[Rep_ID]],Dim_Reps!A:A,Dim_Reps!K:K)</f>
        <v>USD</v>
      </c>
      <c r="N6292" s="33">
        <f>(_xlfn.XLOOKUP(Pipeline_tbl[[#This Row],[Rate_Code_Generalized]],Lookups!A:A,Lookups!B:B))*Pipeline_tbl[[#This Row],[Pipeline_Amount_USD]]</f>
        <v>15368.759999999998</v>
      </c>
      <c r="O6292" t="str">
        <f>_xlfn.XLOOKUP(Pipeline_tbl[[#This Row],[Rep_ID]],Dim_Reps!A:A,Dim_Reps!B:B)</f>
        <v>Morgan Weber</v>
      </c>
      <c r="P6292" t="str">
        <f>_xlfn.XLOOKUP(Pipeline_tbl[[#This Row],[Rep_ID]],Dim_Reps!A:A,Dim_Reps!C:C)</f>
        <v>Mid-Market AE</v>
      </c>
      <c r="Q6292" t="str">
        <f>_xlfn.XLOOKUP(Pipeline_tbl[[#This Row],[Rep_ID]],Dim_Reps!A:A,Dim_Reps!D:D)</f>
        <v>Mid-Market</v>
      </c>
      <c r="R6292" t="str">
        <f>_xlfn.XLOOKUP(Pipeline_tbl[[#This Row],[Rep_ID]],Dim_Reps!A:A,Dim_Reps!E:E)</f>
        <v>NAMER</v>
      </c>
      <c r="S6292" t="str">
        <f>_xlfn.XLOOKUP(Pipeline_tbl[[#This Row],[Created_Date]],Dim_Date!A:A,Dim_Date!H:H)</f>
        <v>Aug 2024</v>
      </c>
      <c r="T6292" t="str">
        <f>IF(Pipeline_tbl[[#This Row],[Closed_Date]]=0,"",(_xlfn.XLOOKUP(Pipeline_tbl[[#This Row],[Closed_Date]],Dim_Date!A:A,Dim_Date!H:H)))</f>
        <v>Sep 2024</v>
      </c>
      <c r="U6292">
        <f>IF(Pipeline_tbl[[#This Row],[Closed_Date]]=0,"",Pipeline_tbl[[#This Row],[Closed_Date]]-Pipeline_tbl[[#This Row],[Created_Date]])</f>
        <v>30</v>
      </c>
    </row>
    <row r="6293" spans="1:21" ht="15" customHeight="1" x14ac:dyDescent="0.2">
      <c r="A6293" t="s">
        <v>6599</v>
      </c>
      <c r="B6293" t="s">
        <v>263</v>
      </c>
      <c r="C6293" t="s">
        <v>54</v>
      </c>
      <c r="D6293" s="49">
        <v>45520</v>
      </c>
      <c r="E6293" s="49">
        <v>45523</v>
      </c>
      <c r="F6293" s="49">
        <v>45528</v>
      </c>
      <c r="I6293" s="49">
        <v>45546</v>
      </c>
      <c r="J6293" t="s">
        <v>49</v>
      </c>
      <c r="K6293" s="33">
        <v>19300</v>
      </c>
      <c r="L6293" t="s">
        <v>64</v>
      </c>
      <c r="M6293" t="str">
        <f>_xlfn.XLOOKUP(Pipeline_tbl[[#This Row],[Rep_ID]],Dim_Reps!A:A,Dim_Reps!K:K)</f>
        <v>USD</v>
      </c>
      <c r="N6293" s="33">
        <f>(_xlfn.XLOOKUP(Pipeline_tbl[[#This Row],[Rate_Code_Generalized]],Lookups!A:A,Lookups!B:B))*Pipeline_tbl[[#This Row],[Pipeline_Amount_USD]]</f>
        <v>22470.989999999998</v>
      </c>
      <c r="O6293" t="str">
        <f>_xlfn.XLOOKUP(Pipeline_tbl[[#This Row],[Rep_ID]],Dim_Reps!A:A,Dim_Reps!B:B)</f>
        <v>Morgan Weber</v>
      </c>
      <c r="P6293" t="str">
        <f>_xlfn.XLOOKUP(Pipeline_tbl[[#This Row],[Rep_ID]],Dim_Reps!A:A,Dim_Reps!C:C)</f>
        <v>Mid-Market AE</v>
      </c>
      <c r="Q6293" t="str">
        <f>_xlfn.XLOOKUP(Pipeline_tbl[[#This Row],[Rep_ID]],Dim_Reps!A:A,Dim_Reps!D:D)</f>
        <v>Mid-Market</v>
      </c>
      <c r="R6293" t="str">
        <f>_xlfn.XLOOKUP(Pipeline_tbl[[#This Row],[Rep_ID]],Dim_Reps!A:A,Dim_Reps!E:E)</f>
        <v>NAMER</v>
      </c>
      <c r="S6293" t="str">
        <f>_xlfn.XLOOKUP(Pipeline_tbl[[#This Row],[Created_Date]],Dim_Date!A:A,Dim_Date!H:H)</f>
        <v>Aug 2024</v>
      </c>
      <c r="T6293" t="str">
        <f>IF(Pipeline_tbl[[#This Row],[Closed_Date]]=0,"",(_xlfn.XLOOKUP(Pipeline_tbl[[#This Row],[Closed_Date]],Dim_Date!A:A,Dim_Date!H:H)))</f>
        <v>Sep 2024</v>
      </c>
      <c r="U6293">
        <f>IF(Pipeline_tbl[[#This Row],[Closed_Date]]=0,"",Pipeline_tbl[[#This Row],[Closed_Date]]-Pipeline_tbl[[#This Row],[Created_Date]])</f>
        <v>26</v>
      </c>
    </row>
    <row r="6294" spans="1:21" ht="15" customHeight="1" x14ac:dyDescent="0.2">
      <c r="A6294" t="s">
        <v>6600</v>
      </c>
      <c r="B6294" t="s">
        <v>265</v>
      </c>
      <c r="C6294" t="s">
        <v>53</v>
      </c>
      <c r="D6294" s="49">
        <v>45523</v>
      </c>
      <c r="E6294" s="49">
        <v>45526</v>
      </c>
      <c r="F6294" s="49">
        <v>45532</v>
      </c>
      <c r="G6294" s="49">
        <v>45540</v>
      </c>
      <c r="H6294" s="49">
        <v>45548</v>
      </c>
      <c r="I6294" s="49">
        <v>45552</v>
      </c>
      <c r="J6294" t="s">
        <v>47</v>
      </c>
      <c r="K6294" s="33">
        <v>23000</v>
      </c>
      <c r="M6294" t="str">
        <f>_xlfn.XLOOKUP(Pipeline_tbl[[#This Row],[Rep_ID]],Dim_Reps!A:A,Dim_Reps!K:K)</f>
        <v>EUR</v>
      </c>
      <c r="N6294" s="33">
        <f>(_xlfn.XLOOKUP(Pipeline_tbl[[#This Row],[Rate_Code_Generalized]],Lookups!A:A,Lookups!B:B))*Pipeline_tbl[[#This Row],[Pipeline_Amount_USD]]</f>
        <v>23000</v>
      </c>
      <c r="O6294" t="str">
        <f>_xlfn.XLOOKUP(Pipeline_tbl[[#This Row],[Rep_ID]],Dim_Reps!A:A,Dim_Reps!B:B)</f>
        <v>Erik Duarte</v>
      </c>
      <c r="P6294" t="str">
        <f>_xlfn.XLOOKUP(Pipeline_tbl[[#This Row],[Rep_ID]],Dim_Reps!A:A,Dim_Reps!C:C)</f>
        <v>Mid-Market AE</v>
      </c>
      <c r="Q6294" t="str">
        <f>_xlfn.XLOOKUP(Pipeline_tbl[[#This Row],[Rep_ID]],Dim_Reps!A:A,Dim_Reps!D:D)</f>
        <v>Mid-Market</v>
      </c>
      <c r="R6294" t="str">
        <f>_xlfn.XLOOKUP(Pipeline_tbl[[#This Row],[Rep_ID]],Dim_Reps!A:A,Dim_Reps!E:E)</f>
        <v>EMEA</v>
      </c>
      <c r="S6294" t="str">
        <f>_xlfn.XLOOKUP(Pipeline_tbl[[#This Row],[Created_Date]],Dim_Date!A:A,Dim_Date!H:H)</f>
        <v>Aug 2024</v>
      </c>
      <c r="T6294" t="str">
        <f>IF(Pipeline_tbl[[#This Row],[Closed_Date]]=0,"",(_xlfn.XLOOKUP(Pipeline_tbl[[#This Row],[Closed_Date]],Dim_Date!A:A,Dim_Date!H:H)))</f>
        <v>Sep 2024</v>
      </c>
      <c r="U6294">
        <f>IF(Pipeline_tbl[[#This Row],[Closed_Date]]=0,"",Pipeline_tbl[[#This Row],[Closed_Date]]-Pipeline_tbl[[#This Row],[Created_Date]])</f>
        <v>29</v>
      </c>
    </row>
    <row r="6295" spans="1:21" ht="15" customHeight="1" x14ac:dyDescent="0.2">
      <c r="A6295" t="s">
        <v>6601</v>
      </c>
      <c r="B6295" t="s">
        <v>265</v>
      </c>
      <c r="C6295" t="s">
        <v>54</v>
      </c>
      <c r="D6295" s="49">
        <v>45523</v>
      </c>
      <c r="E6295" s="49">
        <v>45526</v>
      </c>
      <c r="F6295" s="49">
        <v>45532</v>
      </c>
      <c r="G6295" s="49">
        <v>45542</v>
      </c>
      <c r="H6295" s="49">
        <v>45549</v>
      </c>
      <c r="I6295" s="49">
        <v>45554</v>
      </c>
      <c r="J6295" t="s">
        <v>47</v>
      </c>
      <c r="K6295" s="33">
        <v>7400</v>
      </c>
      <c r="M6295" t="str">
        <f>_xlfn.XLOOKUP(Pipeline_tbl[[#This Row],[Rep_ID]],Dim_Reps!A:A,Dim_Reps!K:K)</f>
        <v>EUR</v>
      </c>
      <c r="N6295" s="33">
        <f>(_xlfn.XLOOKUP(Pipeline_tbl[[#This Row],[Rate_Code_Generalized]],Lookups!A:A,Lookups!B:B))*Pipeline_tbl[[#This Row],[Pipeline_Amount_USD]]</f>
        <v>7400</v>
      </c>
      <c r="O6295" t="str">
        <f>_xlfn.XLOOKUP(Pipeline_tbl[[#This Row],[Rep_ID]],Dim_Reps!A:A,Dim_Reps!B:B)</f>
        <v>Erik Duarte</v>
      </c>
      <c r="P6295" t="str">
        <f>_xlfn.XLOOKUP(Pipeline_tbl[[#This Row],[Rep_ID]],Dim_Reps!A:A,Dim_Reps!C:C)</f>
        <v>Mid-Market AE</v>
      </c>
      <c r="Q6295" t="str">
        <f>_xlfn.XLOOKUP(Pipeline_tbl[[#This Row],[Rep_ID]],Dim_Reps!A:A,Dim_Reps!D:D)</f>
        <v>Mid-Market</v>
      </c>
      <c r="R6295" t="str">
        <f>_xlfn.XLOOKUP(Pipeline_tbl[[#This Row],[Rep_ID]],Dim_Reps!A:A,Dim_Reps!E:E)</f>
        <v>EMEA</v>
      </c>
      <c r="S6295" t="str">
        <f>_xlfn.XLOOKUP(Pipeline_tbl[[#This Row],[Created_Date]],Dim_Date!A:A,Dim_Date!H:H)</f>
        <v>Aug 2024</v>
      </c>
      <c r="T6295" t="str">
        <f>IF(Pipeline_tbl[[#This Row],[Closed_Date]]=0,"",(_xlfn.XLOOKUP(Pipeline_tbl[[#This Row],[Closed_Date]],Dim_Date!A:A,Dim_Date!H:H)))</f>
        <v>Sep 2024</v>
      </c>
      <c r="U6295">
        <f>IF(Pipeline_tbl[[#This Row],[Closed_Date]]=0,"",Pipeline_tbl[[#This Row],[Closed_Date]]-Pipeline_tbl[[#This Row],[Created_Date]])</f>
        <v>31</v>
      </c>
    </row>
    <row r="6296" spans="1:21" ht="15" customHeight="1" x14ac:dyDescent="0.2">
      <c r="A6296" t="s">
        <v>6602</v>
      </c>
      <c r="B6296" t="s">
        <v>233</v>
      </c>
      <c r="C6296" t="s">
        <v>54</v>
      </c>
      <c r="D6296" s="49">
        <v>45533</v>
      </c>
      <c r="E6296" s="49">
        <v>45535</v>
      </c>
      <c r="F6296" s="49">
        <v>45538</v>
      </c>
      <c r="I6296" s="49">
        <v>45550</v>
      </c>
      <c r="J6296" t="s">
        <v>49</v>
      </c>
      <c r="K6296" s="33">
        <v>7800</v>
      </c>
      <c r="L6296" t="s">
        <v>61</v>
      </c>
      <c r="M6296" t="str">
        <f>_xlfn.XLOOKUP(Pipeline_tbl[[#This Row],[Rep_ID]],Dim_Reps!A:A,Dim_Reps!K:K)</f>
        <v>MXN</v>
      </c>
      <c r="N6296" s="33">
        <f>(_xlfn.XLOOKUP(Pipeline_tbl[[#This Row],[Rate_Code_Generalized]],Lookups!A:A,Lookups!B:B))*Pipeline_tbl[[#This Row],[Pipeline_Amount_USD]]</f>
        <v>153915.06</v>
      </c>
      <c r="O6296" t="str">
        <f>_xlfn.XLOOKUP(Pipeline_tbl[[#This Row],[Rep_ID]],Dim_Reps!A:A,Dim_Reps!B:B)</f>
        <v>Lucas Duarte</v>
      </c>
      <c r="P6296" t="str">
        <f>_xlfn.XLOOKUP(Pipeline_tbl[[#This Row],[Rep_ID]],Dim_Reps!A:A,Dim_Reps!C:C)</f>
        <v>SDR / Inside Sales Rep</v>
      </c>
      <c r="Q6296" t="str">
        <f>_xlfn.XLOOKUP(Pipeline_tbl[[#This Row],[Rep_ID]],Dim_Reps!A:A,Dim_Reps!D:D)</f>
        <v>Inside Sales</v>
      </c>
      <c r="R6296" t="str">
        <f>_xlfn.XLOOKUP(Pipeline_tbl[[#This Row],[Rep_ID]],Dim_Reps!A:A,Dim_Reps!E:E)</f>
        <v>LATAM</v>
      </c>
      <c r="S6296" t="str">
        <f>_xlfn.XLOOKUP(Pipeline_tbl[[#This Row],[Created_Date]],Dim_Date!A:A,Dim_Date!H:H)</f>
        <v>Aug 2024</v>
      </c>
      <c r="T6296" t="str">
        <f>IF(Pipeline_tbl[[#This Row],[Closed_Date]]=0,"",(_xlfn.XLOOKUP(Pipeline_tbl[[#This Row],[Closed_Date]],Dim_Date!A:A,Dim_Date!H:H)))</f>
        <v>Sep 2024</v>
      </c>
      <c r="U6296">
        <f>IF(Pipeline_tbl[[#This Row],[Closed_Date]]=0,"",Pipeline_tbl[[#This Row],[Closed_Date]]-Pipeline_tbl[[#This Row],[Created_Date]])</f>
        <v>17</v>
      </c>
    </row>
    <row r="6297" spans="1:21" ht="15" customHeight="1" x14ac:dyDescent="0.2">
      <c r="A6297" t="s">
        <v>6603</v>
      </c>
      <c r="B6297" t="s">
        <v>233</v>
      </c>
      <c r="C6297" t="s">
        <v>52</v>
      </c>
      <c r="D6297" s="49">
        <v>45520</v>
      </c>
      <c r="E6297" s="49">
        <v>45522</v>
      </c>
      <c r="F6297" s="49">
        <v>45525</v>
      </c>
      <c r="G6297" s="49">
        <v>45530</v>
      </c>
      <c r="H6297" s="49">
        <v>45534</v>
      </c>
      <c r="I6297" s="49">
        <v>45537</v>
      </c>
      <c r="J6297" t="s">
        <v>47</v>
      </c>
      <c r="K6297" s="33">
        <v>3500</v>
      </c>
      <c r="M6297" t="str">
        <f>_xlfn.XLOOKUP(Pipeline_tbl[[#This Row],[Rep_ID]],Dim_Reps!A:A,Dim_Reps!K:K)</f>
        <v>MXN</v>
      </c>
      <c r="N6297" s="33">
        <f>(_xlfn.XLOOKUP(Pipeline_tbl[[#This Row],[Rate_Code_Generalized]],Lookups!A:A,Lookups!B:B))*Pipeline_tbl[[#This Row],[Pipeline_Amount_USD]]</f>
        <v>69064.45</v>
      </c>
      <c r="O6297" t="str">
        <f>_xlfn.XLOOKUP(Pipeline_tbl[[#This Row],[Rep_ID]],Dim_Reps!A:A,Dim_Reps!B:B)</f>
        <v>Lucas Duarte</v>
      </c>
      <c r="P6297" t="str">
        <f>_xlfn.XLOOKUP(Pipeline_tbl[[#This Row],[Rep_ID]],Dim_Reps!A:A,Dim_Reps!C:C)</f>
        <v>SDR / Inside Sales Rep</v>
      </c>
      <c r="Q6297" t="str">
        <f>_xlfn.XLOOKUP(Pipeline_tbl[[#This Row],[Rep_ID]],Dim_Reps!A:A,Dim_Reps!D:D)</f>
        <v>Inside Sales</v>
      </c>
      <c r="R6297" t="str">
        <f>_xlfn.XLOOKUP(Pipeline_tbl[[#This Row],[Rep_ID]],Dim_Reps!A:A,Dim_Reps!E:E)</f>
        <v>LATAM</v>
      </c>
      <c r="S6297" t="str">
        <f>_xlfn.XLOOKUP(Pipeline_tbl[[#This Row],[Created_Date]],Dim_Date!A:A,Dim_Date!H:H)</f>
        <v>Aug 2024</v>
      </c>
      <c r="T6297" t="str">
        <f>IF(Pipeline_tbl[[#This Row],[Closed_Date]]=0,"",(_xlfn.XLOOKUP(Pipeline_tbl[[#This Row],[Closed_Date]],Dim_Date!A:A,Dim_Date!H:H)))</f>
        <v>Sep 2024</v>
      </c>
      <c r="U6297">
        <f>IF(Pipeline_tbl[[#This Row],[Closed_Date]]=0,"",Pipeline_tbl[[#This Row],[Closed_Date]]-Pipeline_tbl[[#This Row],[Created_Date]])</f>
        <v>17</v>
      </c>
    </row>
    <row r="6298" spans="1:21" ht="15" customHeight="1" x14ac:dyDescent="0.2">
      <c r="A6298" t="s">
        <v>6604</v>
      </c>
      <c r="B6298" t="s">
        <v>233</v>
      </c>
      <c r="C6298" t="s">
        <v>52</v>
      </c>
      <c r="D6298" s="49">
        <v>45527</v>
      </c>
      <c r="E6298" s="49">
        <v>45529</v>
      </c>
      <c r="F6298" s="49">
        <v>45532</v>
      </c>
      <c r="G6298" s="49">
        <v>45536</v>
      </c>
      <c r="H6298" s="49">
        <v>45540</v>
      </c>
      <c r="I6298" s="49">
        <v>45542</v>
      </c>
      <c r="J6298" t="s">
        <v>49</v>
      </c>
      <c r="K6298" s="33">
        <v>5100</v>
      </c>
      <c r="L6298" t="s">
        <v>64</v>
      </c>
      <c r="M6298" t="str">
        <f>_xlfn.XLOOKUP(Pipeline_tbl[[#This Row],[Rep_ID]],Dim_Reps!A:A,Dim_Reps!K:K)</f>
        <v>MXN</v>
      </c>
      <c r="N6298" s="33">
        <f>(_xlfn.XLOOKUP(Pipeline_tbl[[#This Row],[Rate_Code_Generalized]],Lookups!A:A,Lookups!B:B))*Pipeline_tbl[[#This Row],[Pipeline_Amount_USD]]</f>
        <v>100636.77</v>
      </c>
      <c r="O6298" t="str">
        <f>_xlfn.XLOOKUP(Pipeline_tbl[[#This Row],[Rep_ID]],Dim_Reps!A:A,Dim_Reps!B:B)</f>
        <v>Lucas Duarte</v>
      </c>
      <c r="P6298" t="str">
        <f>_xlfn.XLOOKUP(Pipeline_tbl[[#This Row],[Rep_ID]],Dim_Reps!A:A,Dim_Reps!C:C)</f>
        <v>SDR / Inside Sales Rep</v>
      </c>
      <c r="Q6298" t="str">
        <f>_xlfn.XLOOKUP(Pipeline_tbl[[#This Row],[Rep_ID]],Dim_Reps!A:A,Dim_Reps!D:D)</f>
        <v>Inside Sales</v>
      </c>
      <c r="R6298" t="str">
        <f>_xlfn.XLOOKUP(Pipeline_tbl[[#This Row],[Rep_ID]],Dim_Reps!A:A,Dim_Reps!E:E)</f>
        <v>LATAM</v>
      </c>
      <c r="S6298" t="str">
        <f>_xlfn.XLOOKUP(Pipeline_tbl[[#This Row],[Created_Date]],Dim_Date!A:A,Dim_Date!H:H)</f>
        <v>Aug 2024</v>
      </c>
      <c r="T6298" t="str">
        <f>IF(Pipeline_tbl[[#This Row],[Closed_Date]]=0,"",(_xlfn.XLOOKUP(Pipeline_tbl[[#This Row],[Closed_Date]],Dim_Date!A:A,Dim_Date!H:H)))</f>
        <v>Sep 2024</v>
      </c>
      <c r="U6298">
        <f>IF(Pipeline_tbl[[#This Row],[Closed_Date]]=0,"",Pipeline_tbl[[#This Row],[Closed_Date]]-Pipeline_tbl[[#This Row],[Created_Date]])</f>
        <v>15</v>
      </c>
    </row>
    <row r="6299" spans="1:21" ht="15" customHeight="1" x14ac:dyDescent="0.2">
      <c r="A6299" t="s">
        <v>6605</v>
      </c>
      <c r="B6299" t="s">
        <v>233</v>
      </c>
      <c r="C6299" t="s">
        <v>53</v>
      </c>
      <c r="D6299" s="49">
        <v>45518</v>
      </c>
      <c r="E6299" s="49">
        <v>45520</v>
      </c>
      <c r="F6299" s="49">
        <v>45524</v>
      </c>
      <c r="G6299" s="49">
        <v>45530</v>
      </c>
      <c r="H6299" s="49">
        <v>45535</v>
      </c>
      <c r="I6299" s="49">
        <v>45538</v>
      </c>
      <c r="J6299" t="s">
        <v>47</v>
      </c>
      <c r="K6299" s="33">
        <v>2400</v>
      </c>
      <c r="M6299" t="str">
        <f>_xlfn.XLOOKUP(Pipeline_tbl[[#This Row],[Rep_ID]],Dim_Reps!A:A,Dim_Reps!K:K)</f>
        <v>MXN</v>
      </c>
      <c r="N6299" s="33">
        <f>(_xlfn.XLOOKUP(Pipeline_tbl[[#This Row],[Rate_Code_Generalized]],Lookups!A:A,Lookups!B:B))*Pipeline_tbl[[#This Row],[Pipeline_Amount_USD]]</f>
        <v>47358.48</v>
      </c>
      <c r="O6299" t="str">
        <f>_xlfn.XLOOKUP(Pipeline_tbl[[#This Row],[Rep_ID]],Dim_Reps!A:A,Dim_Reps!B:B)</f>
        <v>Lucas Duarte</v>
      </c>
      <c r="P6299" t="str">
        <f>_xlfn.XLOOKUP(Pipeline_tbl[[#This Row],[Rep_ID]],Dim_Reps!A:A,Dim_Reps!C:C)</f>
        <v>SDR / Inside Sales Rep</v>
      </c>
      <c r="Q6299" t="str">
        <f>_xlfn.XLOOKUP(Pipeline_tbl[[#This Row],[Rep_ID]],Dim_Reps!A:A,Dim_Reps!D:D)</f>
        <v>Inside Sales</v>
      </c>
      <c r="R6299" t="str">
        <f>_xlfn.XLOOKUP(Pipeline_tbl[[#This Row],[Rep_ID]],Dim_Reps!A:A,Dim_Reps!E:E)</f>
        <v>LATAM</v>
      </c>
      <c r="S6299" t="str">
        <f>_xlfn.XLOOKUP(Pipeline_tbl[[#This Row],[Created_Date]],Dim_Date!A:A,Dim_Date!H:H)</f>
        <v>Aug 2024</v>
      </c>
      <c r="T6299" t="str">
        <f>IF(Pipeline_tbl[[#This Row],[Closed_Date]]=0,"",(_xlfn.XLOOKUP(Pipeline_tbl[[#This Row],[Closed_Date]],Dim_Date!A:A,Dim_Date!H:H)))</f>
        <v>Sep 2024</v>
      </c>
      <c r="U6299">
        <f>IF(Pipeline_tbl[[#This Row],[Closed_Date]]=0,"",Pipeline_tbl[[#This Row],[Closed_Date]]-Pipeline_tbl[[#This Row],[Created_Date]])</f>
        <v>20</v>
      </c>
    </row>
    <row r="6300" spans="1:21" ht="15" customHeight="1" x14ac:dyDescent="0.2">
      <c r="A6300" t="s">
        <v>6606</v>
      </c>
      <c r="B6300" t="s">
        <v>233</v>
      </c>
      <c r="C6300" t="s">
        <v>53</v>
      </c>
      <c r="D6300" s="49">
        <v>45535</v>
      </c>
      <c r="E6300" s="49">
        <v>45536</v>
      </c>
      <c r="F6300" s="49">
        <v>45538</v>
      </c>
      <c r="G6300" s="49">
        <v>45540</v>
      </c>
      <c r="H6300" s="49">
        <v>45543</v>
      </c>
      <c r="I6300" s="49">
        <v>45544</v>
      </c>
      <c r="J6300" t="s">
        <v>47</v>
      </c>
      <c r="K6300" s="33">
        <v>3300</v>
      </c>
      <c r="M6300" t="str">
        <f>_xlfn.XLOOKUP(Pipeline_tbl[[#This Row],[Rep_ID]],Dim_Reps!A:A,Dim_Reps!K:K)</f>
        <v>MXN</v>
      </c>
      <c r="N6300" s="33">
        <f>(_xlfn.XLOOKUP(Pipeline_tbl[[#This Row],[Rate_Code_Generalized]],Lookups!A:A,Lookups!B:B))*Pipeline_tbl[[#This Row],[Pipeline_Amount_USD]]</f>
        <v>65117.91</v>
      </c>
      <c r="O6300" t="str">
        <f>_xlfn.XLOOKUP(Pipeline_tbl[[#This Row],[Rep_ID]],Dim_Reps!A:A,Dim_Reps!B:B)</f>
        <v>Lucas Duarte</v>
      </c>
      <c r="P6300" t="str">
        <f>_xlfn.XLOOKUP(Pipeline_tbl[[#This Row],[Rep_ID]],Dim_Reps!A:A,Dim_Reps!C:C)</f>
        <v>SDR / Inside Sales Rep</v>
      </c>
      <c r="Q6300" t="str">
        <f>_xlfn.XLOOKUP(Pipeline_tbl[[#This Row],[Rep_ID]],Dim_Reps!A:A,Dim_Reps!D:D)</f>
        <v>Inside Sales</v>
      </c>
      <c r="R6300" t="str">
        <f>_xlfn.XLOOKUP(Pipeline_tbl[[#This Row],[Rep_ID]],Dim_Reps!A:A,Dim_Reps!E:E)</f>
        <v>LATAM</v>
      </c>
      <c r="S6300" t="str">
        <f>_xlfn.XLOOKUP(Pipeline_tbl[[#This Row],[Created_Date]],Dim_Date!A:A,Dim_Date!H:H)</f>
        <v>Aug 2024</v>
      </c>
      <c r="T6300" t="str">
        <f>IF(Pipeline_tbl[[#This Row],[Closed_Date]]=0,"",(_xlfn.XLOOKUP(Pipeline_tbl[[#This Row],[Closed_Date]],Dim_Date!A:A,Dim_Date!H:H)))</f>
        <v>Sep 2024</v>
      </c>
      <c r="U6300">
        <f>IF(Pipeline_tbl[[#This Row],[Closed_Date]]=0,"",Pipeline_tbl[[#This Row],[Closed_Date]]-Pipeline_tbl[[#This Row],[Created_Date]])</f>
        <v>9</v>
      </c>
    </row>
    <row r="6301" spans="1:21" ht="15" customHeight="1" x14ac:dyDescent="0.2">
      <c r="A6301" t="s">
        <v>6607</v>
      </c>
      <c r="B6301" t="s">
        <v>233</v>
      </c>
      <c r="C6301" t="s">
        <v>54</v>
      </c>
      <c r="D6301" s="49">
        <v>45525</v>
      </c>
      <c r="E6301" s="49">
        <v>45527</v>
      </c>
      <c r="F6301" s="49">
        <v>45531</v>
      </c>
      <c r="G6301" s="49">
        <v>45538</v>
      </c>
      <c r="H6301" s="49">
        <v>45543</v>
      </c>
      <c r="I6301" s="49">
        <v>45546</v>
      </c>
      <c r="J6301" t="s">
        <v>47</v>
      </c>
      <c r="K6301" s="33">
        <v>9000</v>
      </c>
      <c r="M6301" t="str">
        <f>_xlfn.XLOOKUP(Pipeline_tbl[[#This Row],[Rep_ID]],Dim_Reps!A:A,Dim_Reps!K:K)</f>
        <v>MXN</v>
      </c>
      <c r="N6301" s="33">
        <f>(_xlfn.XLOOKUP(Pipeline_tbl[[#This Row],[Rate_Code_Generalized]],Lookups!A:A,Lookups!B:B))*Pipeline_tbl[[#This Row],[Pipeline_Amount_USD]]</f>
        <v>177594.30000000002</v>
      </c>
      <c r="O6301" t="str">
        <f>_xlfn.XLOOKUP(Pipeline_tbl[[#This Row],[Rep_ID]],Dim_Reps!A:A,Dim_Reps!B:B)</f>
        <v>Lucas Duarte</v>
      </c>
      <c r="P6301" t="str">
        <f>_xlfn.XLOOKUP(Pipeline_tbl[[#This Row],[Rep_ID]],Dim_Reps!A:A,Dim_Reps!C:C)</f>
        <v>SDR / Inside Sales Rep</v>
      </c>
      <c r="Q6301" t="str">
        <f>_xlfn.XLOOKUP(Pipeline_tbl[[#This Row],[Rep_ID]],Dim_Reps!A:A,Dim_Reps!D:D)</f>
        <v>Inside Sales</v>
      </c>
      <c r="R6301" t="str">
        <f>_xlfn.XLOOKUP(Pipeline_tbl[[#This Row],[Rep_ID]],Dim_Reps!A:A,Dim_Reps!E:E)</f>
        <v>LATAM</v>
      </c>
      <c r="S6301" t="str">
        <f>_xlfn.XLOOKUP(Pipeline_tbl[[#This Row],[Created_Date]],Dim_Date!A:A,Dim_Date!H:H)</f>
        <v>Aug 2024</v>
      </c>
      <c r="T6301" t="str">
        <f>IF(Pipeline_tbl[[#This Row],[Closed_Date]]=0,"",(_xlfn.XLOOKUP(Pipeline_tbl[[#This Row],[Closed_Date]],Dim_Date!A:A,Dim_Date!H:H)))</f>
        <v>Sep 2024</v>
      </c>
      <c r="U6301">
        <f>IF(Pipeline_tbl[[#This Row],[Closed_Date]]=0,"",Pipeline_tbl[[#This Row],[Closed_Date]]-Pipeline_tbl[[#This Row],[Created_Date]])</f>
        <v>21</v>
      </c>
    </row>
    <row r="6302" spans="1:21" ht="15" customHeight="1" x14ac:dyDescent="0.2">
      <c r="A6302" t="s">
        <v>6608</v>
      </c>
      <c r="B6302" t="s">
        <v>233</v>
      </c>
      <c r="C6302" t="s">
        <v>55</v>
      </c>
      <c r="D6302" s="49">
        <v>45524</v>
      </c>
      <c r="E6302" s="49">
        <v>45526</v>
      </c>
      <c r="F6302" s="49">
        <v>45532</v>
      </c>
      <c r="G6302" s="49">
        <v>45539</v>
      </c>
      <c r="I6302" s="49">
        <v>45549</v>
      </c>
      <c r="J6302" t="s">
        <v>49</v>
      </c>
      <c r="K6302" s="33">
        <v>4300</v>
      </c>
      <c r="L6302" t="s">
        <v>60</v>
      </c>
      <c r="M6302" t="str">
        <f>_xlfn.XLOOKUP(Pipeline_tbl[[#This Row],[Rep_ID]],Dim_Reps!A:A,Dim_Reps!K:K)</f>
        <v>MXN</v>
      </c>
      <c r="N6302" s="33">
        <f>(_xlfn.XLOOKUP(Pipeline_tbl[[#This Row],[Rate_Code_Generalized]],Lookups!A:A,Lookups!B:B))*Pipeline_tbl[[#This Row],[Pipeline_Amount_USD]]</f>
        <v>84850.61</v>
      </c>
      <c r="O6302" t="str">
        <f>_xlfn.XLOOKUP(Pipeline_tbl[[#This Row],[Rep_ID]],Dim_Reps!A:A,Dim_Reps!B:B)</f>
        <v>Lucas Duarte</v>
      </c>
      <c r="P6302" t="str">
        <f>_xlfn.XLOOKUP(Pipeline_tbl[[#This Row],[Rep_ID]],Dim_Reps!A:A,Dim_Reps!C:C)</f>
        <v>SDR / Inside Sales Rep</v>
      </c>
      <c r="Q6302" t="str">
        <f>_xlfn.XLOOKUP(Pipeline_tbl[[#This Row],[Rep_ID]],Dim_Reps!A:A,Dim_Reps!D:D)</f>
        <v>Inside Sales</v>
      </c>
      <c r="R6302" t="str">
        <f>_xlfn.XLOOKUP(Pipeline_tbl[[#This Row],[Rep_ID]],Dim_Reps!A:A,Dim_Reps!E:E)</f>
        <v>LATAM</v>
      </c>
      <c r="S6302" t="str">
        <f>_xlfn.XLOOKUP(Pipeline_tbl[[#This Row],[Created_Date]],Dim_Date!A:A,Dim_Date!H:H)</f>
        <v>Aug 2024</v>
      </c>
      <c r="T6302" t="str">
        <f>IF(Pipeline_tbl[[#This Row],[Closed_Date]]=0,"",(_xlfn.XLOOKUP(Pipeline_tbl[[#This Row],[Closed_Date]],Dim_Date!A:A,Dim_Date!H:H)))</f>
        <v>Sep 2024</v>
      </c>
      <c r="U6302">
        <f>IF(Pipeline_tbl[[#This Row],[Closed_Date]]=0,"",Pipeline_tbl[[#This Row],[Closed_Date]]-Pipeline_tbl[[#This Row],[Created_Date]])</f>
        <v>25</v>
      </c>
    </row>
    <row r="6303" spans="1:21" ht="15" customHeight="1" x14ac:dyDescent="0.2">
      <c r="A6303" t="s">
        <v>6609</v>
      </c>
      <c r="B6303" t="s">
        <v>233</v>
      </c>
      <c r="C6303" t="s">
        <v>56</v>
      </c>
      <c r="D6303" s="49">
        <v>45533</v>
      </c>
      <c r="E6303" s="49">
        <v>45536</v>
      </c>
      <c r="F6303" s="49">
        <v>45541</v>
      </c>
      <c r="G6303" s="49">
        <v>45549</v>
      </c>
      <c r="H6303" s="49">
        <v>45555</v>
      </c>
      <c r="I6303" s="49">
        <v>45559</v>
      </c>
      <c r="J6303" t="s">
        <v>47</v>
      </c>
      <c r="K6303" s="33">
        <v>2000</v>
      </c>
      <c r="M6303" t="str">
        <f>_xlfn.XLOOKUP(Pipeline_tbl[[#This Row],[Rep_ID]],Dim_Reps!A:A,Dim_Reps!K:K)</f>
        <v>MXN</v>
      </c>
      <c r="N6303" s="33">
        <f>(_xlfn.XLOOKUP(Pipeline_tbl[[#This Row],[Rate_Code_Generalized]],Lookups!A:A,Lookups!B:B))*Pipeline_tbl[[#This Row],[Pipeline_Amount_USD]]</f>
        <v>39465.4</v>
      </c>
      <c r="O6303" t="str">
        <f>_xlfn.XLOOKUP(Pipeline_tbl[[#This Row],[Rep_ID]],Dim_Reps!A:A,Dim_Reps!B:B)</f>
        <v>Lucas Duarte</v>
      </c>
      <c r="P6303" t="str">
        <f>_xlfn.XLOOKUP(Pipeline_tbl[[#This Row],[Rep_ID]],Dim_Reps!A:A,Dim_Reps!C:C)</f>
        <v>SDR / Inside Sales Rep</v>
      </c>
      <c r="Q6303" t="str">
        <f>_xlfn.XLOOKUP(Pipeline_tbl[[#This Row],[Rep_ID]],Dim_Reps!A:A,Dim_Reps!D:D)</f>
        <v>Inside Sales</v>
      </c>
      <c r="R6303" t="str">
        <f>_xlfn.XLOOKUP(Pipeline_tbl[[#This Row],[Rep_ID]],Dim_Reps!A:A,Dim_Reps!E:E)</f>
        <v>LATAM</v>
      </c>
      <c r="S6303" t="str">
        <f>_xlfn.XLOOKUP(Pipeline_tbl[[#This Row],[Created_Date]],Dim_Date!A:A,Dim_Date!H:H)</f>
        <v>Aug 2024</v>
      </c>
      <c r="T6303" t="str">
        <f>IF(Pipeline_tbl[[#This Row],[Closed_Date]]=0,"",(_xlfn.XLOOKUP(Pipeline_tbl[[#This Row],[Closed_Date]],Dim_Date!A:A,Dim_Date!H:H)))</f>
        <v>Sep 2024</v>
      </c>
      <c r="U6303">
        <f>IF(Pipeline_tbl[[#This Row],[Closed_Date]]=0,"",Pipeline_tbl[[#This Row],[Closed_Date]]-Pipeline_tbl[[#This Row],[Created_Date]])</f>
        <v>26</v>
      </c>
    </row>
    <row r="6304" spans="1:21" ht="15" customHeight="1" x14ac:dyDescent="0.2">
      <c r="A6304" t="s">
        <v>6610</v>
      </c>
      <c r="B6304" t="s">
        <v>233</v>
      </c>
      <c r="C6304" t="s">
        <v>55</v>
      </c>
      <c r="D6304" s="49">
        <v>45518</v>
      </c>
      <c r="E6304" s="49">
        <v>45520</v>
      </c>
      <c r="F6304" s="49">
        <v>45525</v>
      </c>
      <c r="G6304" s="49">
        <v>45532</v>
      </c>
      <c r="H6304" s="49">
        <v>45538</v>
      </c>
      <c r="I6304" s="49">
        <v>45542</v>
      </c>
      <c r="J6304" t="s">
        <v>47</v>
      </c>
      <c r="K6304" s="33">
        <v>2400</v>
      </c>
      <c r="M6304" t="str">
        <f>_xlfn.XLOOKUP(Pipeline_tbl[[#This Row],[Rep_ID]],Dim_Reps!A:A,Dim_Reps!K:K)</f>
        <v>MXN</v>
      </c>
      <c r="N6304" s="33">
        <f>(_xlfn.XLOOKUP(Pipeline_tbl[[#This Row],[Rate_Code_Generalized]],Lookups!A:A,Lookups!B:B))*Pipeline_tbl[[#This Row],[Pipeline_Amount_USD]]</f>
        <v>47358.48</v>
      </c>
      <c r="O6304" t="str">
        <f>_xlfn.XLOOKUP(Pipeline_tbl[[#This Row],[Rep_ID]],Dim_Reps!A:A,Dim_Reps!B:B)</f>
        <v>Lucas Duarte</v>
      </c>
      <c r="P6304" t="str">
        <f>_xlfn.XLOOKUP(Pipeline_tbl[[#This Row],[Rep_ID]],Dim_Reps!A:A,Dim_Reps!C:C)</f>
        <v>SDR / Inside Sales Rep</v>
      </c>
      <c r="Q6304" t="str">
        <f>_xlfn.XLOOKUP(Pipeline_tbl[[#This Row],[Rep_ID]],Dim_Reps!A:A,Dim_Reps!D:D)</f>
        <v>Inside Sales</v>
      </c>
      <c r="R6304" t="str">
        <f>_xlfn.XLOOKUP(Pipeline_tbl[[#This Row],[Rep_ID]],Dim_Reps!A:A,Dim_Reps!E:E)</f>
        <v>LATAM</v>
      </c>
      <c r="S6304" t="str">
        <f>_xlfn.XLOOKUP(Pipeline_tbl[[#This Row],[Created_Date]],Dim_Date!A:A,Dim_Date!H:H)</f>
        <v>Aug 2024</v>
      </c>
      <c r="T6304" t="str">
        <f>IF(Pipeline_tbl[[#This Row],[Closed_Date]]=0,"",(_xlfn.XLOOKUP(Pipeline_tbl[[#This Row],[Closed_Date]],Dim_Date!A:A,Dim_Date!H:H)))</f>
        <v>Sep 2024</v>
      </c>
      <c r="U6304">
        <f>IF(Pipeline_tbl[[#This Row],[Closed_Date]]=0,"",Pipeline_tbl[[#This Row],[Closed_Date]]-Pipeline_tbl[[#This Row],[Created_Date]])</f>
        <v>24</v>
      </c>
    </row>
    <row r="6305" spans="1:21" ht="15" customHeight="1" x14ac:dyDescent="0.2">
      <c r="A6305" t="s">
        <v>6611</v>
      </c>
      <c r="B6305" t="s">
        <v>267</v>
      </c>
      <c r="C6305" t="s">
        <v>56</v>
      </c>
      <c r="D6305" s="49">
        <v>45526</v>
      </c>
      <c r="E6305" s="49">
        <v>45528</v>
      </c>
      <c r="F6305" s="49">
        <v>45532</v>
      </c>
      <c r="I6305" s="49">
        <v>45547</v>
      </c>
      <c r="J6305" t="s">
        <v>49</v>
      </c>
      <c r="K6305" s="33">
        <v>10900</v>
      </c>
      <c r="L6305" t="s">
        <v>61</v>
      </c>
      <c r="M6305" t="str">
        <f>_xlfn.XLOOKUP(Pipeline_tbl[[#This Row],[Rep_ID]],Dim_Reps!A:A,Dim_Reps!K:K)</f>
        <v>MXN</v>
      </c>
      <c r="N6305" s="33">
        <f>(_xlfn.XLOOKUP(Pipeline_tbl[[#This Row],[Rate_Code_Generalized]],Lookups!A:A,Lookups!B:B))*Pipeline_tbl[[#This Row],[Pipeline_Amount_USD]]</f>
        <v>215086.43000000002</v>
      </c>
      <c r="O6305" t="str">
        <f>_xlfn.XLOOKUP(Pipeline_tbl[[#This Row],[Rep_ID]],Dim_Reps!A:A,Dim_Reps!B:B)</f>
        <v>Yuki Dubois</v>
      </c>
      <c r="P6305" t="str">
        <f>_xlfn.XLOOKUP(Pipeline_tbl[[#This Row],[Rep_ID]],Dim_Reps!A:A,Dim_Reps!C:C)</f>
        <v>Mid-Market AE</v>
      </c>
      <c r="Q6305" t="str">
        <f>_xlfn.XLOOKUP(Pipeline_tbl[[#This Row],[Rep_ID]],Dim_Reps!A:A,Dim_Reps!D:D)</f>
        <v>Mid-Market</v>
      </c>
      <c r="R6305" t="str">
        <f>_xlfn.XLOOKUP(Pipeline_tbl[[#This Row],[Rep_ID]],Dim_Reps!A:A,Dim_Reps!E:E)</f>
        <v>LATAM</v>
      </c>
      <c r="S6305" t="str">
        <f>_xlfn.XLOOKUP(Pipeline_tbl[[#This Row],[Created_Date]],Dim_Date!A:A,Dim_Date!H:H)</f>
        <v>Aug 2024</v>
      </c>
      <c r="T6305" t="str">
        <f>IF(Pipeline_tbl[[#This Row],[Closed_Date]]=0,"",(_xlfn.XLOOKUP(Pipeline_tbl[[#This Row],[Closed_Date]],Dim_Date!A:A,Dim_Date!H:H)))</f>
        <v>Sep 2024</v>
      </c>
      <c r="U6305">
        <f>IF(Pipeline_tbl[[#This Row],[Closed_Date]]=0,"",Pipeline_tbl[[#This Row],[Closed_Date]]-Pipeline_tbl[[#This Row],[Created_Date]])</f>
        <v>21</v>
      </c>
    </row>
    <row r="6306" spans="1:21" ht="15" customHeight="1" x14ac:dyDescent="0.2">
      <c r="A6306" t="s">
        <v>6612</v>
      </c>
      <c r="B6306" t="s">
        <v>235</v>
      </c>
      <c r="C6306" t="s">
        <v>53</v>
      </c>
      <c r="D6306" s="49">
        <v>45513</v>
      </c>
      <c r="E6306" s="49">
        <v>45515</v>
      </c>
      <c r="F6306" s="49">
        <v>45520</v>
      </c>
      <c r="G6306" s="49">
        <v>45527</v>
      </c>
      <c r="H6306" s="49">
        <v>45533</v>
      </c>
      <c r="I6306" s="49">
        <v>45536</v>
      </c>
      <c r="J6306" t="s">
        <v>49</v>
      </c>
      <c r="K6306" s="33">
        <v>6400</v>
      </c>
      <c r="L6306" t="s">
        <v>62</v>
      </c>
      <c r="M6306" t="str">
        <f>_xlfn.XLOOKUP(Pipeline_tbl[[#This Row],[Rep_ID]],Dim_Reps!A:A,Dim_Reps!K:K)</f>
        <v>MXN</v>
      </c>
      <c r="N6306" s="33">
        <f>(_xlfn.XLOOKUP(Pipeline_tbl[[#This Row],[Rate_Code_Generalized]],Lookups!A:A,Lookups!B:B))*Pipeline_tbl[[#This Row],[Pipeline_Amount_USD]]</f>
        <v>126289.28000000001</v>
      </c>
      <c r="O6306" t="str">
        <f>_xlfn.XLOOKUP(Pipeline_tbl[[#This Row],[Rep_ID]],Dim_Reps!A:A,Dim_Reps!B:B)</f>
        <v>Milo Castro</v>
      </c>
      <c r="P6306" t="str">
        <f>_xlfn.XLOOKUP(Pipeline_tbl[[#This Row],[Rep_ID]],Dim_Reps!A:A,Dim_Reps!C:C)</f>
        <v>SDR / Inside Sales Rep</v>
      </c>
      <c r="Q6306" t="str">
        <f>_xlfn.XLOOKUP(Pipeline_tbl[[#This Row],[Rep_ID]],Dim_Reps!A:A,Dim_Reps!D:D)</f>
        <v>Inside Sales</v>
      </c>
      <c r="R6306" t="str">
        <f>_xlfn.XLOOKUP(Pipeline_tbl[[#This Row],[Rep_ID]],Dim_Reps!A:A,Dim_Reps!E:E)</f>
        <v>LATAM</v>
      </c>
      <c r="S6306" t="str">
        <f>_xlfn.XLOOKUP(Pipeline_tbl[[#This Row],[Created_Date]],Dim_Date!A:A,Dim_Date!H:H)</f>
        <v>Aug 2024</v>
      </c>
      <c r="T6306" t="str">
        <f>IF(Pipeline_tbl[[#This Row],[Closed_Date]]=0,"",(_xlfn.XLOOKUP(Pipeline_tbl[[#This Row],[Closed_Date]],Dim_Date!A:A,Dim_Date!H:H)))</f>
        <v>Sep 2024</v>
      </c>
      <c r="U6306">
        <f>IF(Pipeline_tbl[[#This Row],[Closed_Date]]=0,"",Pipeline_tbl[[#This Row],[Closed_Date]]-Pipeline_tbl[[#This Row],[Created_Date]])</f>
        <v>23</v>
      </c>
    </row>
    <row r="6307" spans="1:21" ht="15" customHeight="1" x14ac:dyDescent="0.2">
      <c r="A6307" t="s">
        <v>6613</v>
      </c>
      <c r="B6307" t="s">
        <v>235</v>
      </c>
      <c r="C6307" t="s">
        <v>52</v>
      </c>
      <c r="D6307" s="49">
        <v>45525</v>
      </c>
      <c r="E6307" s="49">
        <v>45527</v>
      </c>
      <c r="F6307" s="49">
        <v>45530</v>
      </c>
      <c r="G6307" s="49">
        <v>45536</v>
      </c>
      <c r="I6307" s="49">
        <v>45543</v>
      </c>
      <c r="J6307" t="s">
        <v>49</v>
      </c>
      <c r="K6307" s="33">
        <v>3100</v>
      </c>
      <c r="L6307" t="s">
        <v>60</v>
      </c>
      <c r="M6307" t="str">
        <f>_xlfn.XLOOKUP(Pipeline_tbl[[#This Row],[Rep_ID]],Dim_Reps!A:A,Dim_Reps!K:K)</f>
        <v>MXN</v>
      </c>
      <c r="N6307" s="33">
        <f>(_xlfn.XLOOKUP(Pipeline_tbl[[#This Row],[Rate_Code_Generalized]],Lookups!A:A,Lookups!B:B))*Pipeline_tbl[[#This Row],[Pipeline_Amount_USD]]</f>
        <v>61171.37</v>
      </c>
      <c r="O6307" t="str">
        <f>_xlfn.XLOOKUP(Pipeline_tbl[[#This Row],[Rep_ID]],Dim_Reps!A:A,Dim_Reps!B:B)</f>
        <v>Milo Castro</v>
      </c>
      <c r="P6307" t="str">
        <f>_xlfn.XLOOKUP(Pipeline_tbl[[#This Row],[Rep_ID]],Dim_Reps!A:A,Dim_Reps!C:C)</f>
        <v>SDR / Inside Sales Rep</v>
      </c>
      <c r="Q6307" t="str">
        <f>_xlfn.XLOOKUP(Pipeline_tbl[[#This Row],[Rep_ID]],Dim_Reps!A:A,Dim_Reps!D:D)</f>
        <v>Inside Sales</v>
      </c>
      <c r="R6307" t="str">
        <f>_xlfn.XLOOKUP(Pipeline_tbl[[#This Row],[Rep_ID]],Dim_Reps!A:A,Dim_Reps!E:E)</f>
        <v>LATAM</v>
      </c>
      <c r="S6307" t="str">
        <f>_xlfn.XLOOKUP(Pipeline_tbl[[#This Row],[Created_Date]],Dim_Date!A:A,Dim_Date!H:H)</f>
        <v>Aug 2024</v>
      </c>
      <c r="T6307" t="str">
        <f>IF(Pipeline_tbl[[#This Row],[Closed_Date]]=0,"",(_xlfn.XLOOKUP(Pipeline_tbl[[#This Row],[Closed_Date]],Dim_Date!A:A,Dim_Date!H:H)))</f>
        <v>Sep 2024</v>
      </c>
      <c r="U6307">
        <f>IF(Pipeline_tbl[[#This Row],[Closed_Date]]=0,"",Pipeline_tbl[[#This Row],[Closed_Date]]-Pipeline_tbl[[#This Row],[Created_Date]])</f>
        <v>18</v>
      </c>
    </row>
    <row r="6308" spans="1:21" ht="15" customHeight="1" x14ac:dyDescent="0.2">
      <c r="A6308" t="s">
        <v>6614</v>
      </c>
      <c r="B6308" t="s">
        <v>235</v>
      </c>
      <c r="C6308" t="s">
        <v>56</v>
      </c>
      <c r="D6308" s="49">
        <v>45532</v>
      </c>
      <c r="E6308" s="49">
        <v>45534</v>
      </c>
      <c r="F6308" s="49">
        <v>45538</v>
      </c>
      <c r="G6308" s="49">
        <v>45544</v>
      </c>
      <c r="I6308" s="49">
        <v>45552</v>
      </c>
      <c r="J6308" t="s">
        <v>49</v>
      </c>
      <c r="K6308" s="33">
        <v>2500</v>
      </c>
      <c r="L6308" t="s">
        <v>64</v>
      </c>
      <c r="M6308" t="str">
        <f>_xlfn.XLOOKUP(Pipeline_tbl[[#This Row],[Rep_ID]],Dim_Reps!A:A,Dim_Reps!K:K)</f>
        <v>MXN</v>
      </c>
      <c r="N6308" s="33">
        <f>(_xlfn.XLOOKUP(Pipeline_tbl[[#This Row],[Rate_Code_Generalized]],Lookups!A:A,Lookups!B:B))*Pipeline_tbl[[#This Row],[Pipeline_Amount_USD]]</f>
        <v>49331.75</v>
      </c>
      <c r="O6308" t="str">
        <f>_xlfn.XLOOKUP(Pipeline_tbl[[#This Row],[Rep_ID]],Dim_Reps!A:A,Dim_Reps!B:B)</f>
        <v>Milo Castro</v>
      </c>
      <c r="P6308" t="str">
        <f>_xlfn.XLOOKUP(Pipeline_tbl[[#This Row],[Rep_ID]],Dim_Reps!A:A,Dim_Reps!C:C)</f>
        <v>SDR / Inside Sales Rep</v>
      </c>
      <c r="Q6308" t="str">
        <f>_xlfn.XLOOKUP(Pipeline_tbl[[#This Row],[Rep_ID]],Dim_Reps!A:A,Dim_Reps!D:D)</f>
        <v>Inside Sales</v>
      </c>
      <c r="R6308" t="str">
        <f>_xlfn.XLOOKUP(Pipeline_tbl[[#This Row],[Rep_ID]],Dim_Reps!A:A,Dim_Reps!E:E)</f>
        <v>LATAM</v>
      </c>
      <c r="S6308" t="str">
        <f>_xlfn.XLOOKUP(Pipeline_tbl[[#This Row],[Created_Date]],Dim_Date!A:A,Dim_Date!H:H)</f>
        <v>Aug 2024</v>
      </c>
      <c r="T6308" t="str">
        <f>IF(Pipeline_tbl[[#This Row],[Closed_Date]]=0,"",(_xlfn.XLOOKUP(Pipeline_tbl[[#This Row],[Closed_Date]],Dim_Date!A:A,Dim_Date!H:H)))</f>
        <v>Sep 2024</v>
      </c>
      <c r="U6308">
        <f>IF(Pipeline_tbl[[#This Row],[Closed_Date]]=0,"",Pipeline_tbl[[#This Row],[Closed_Date]]-Pipeline_tbl[[#This Row],[Created_Date]])</f>
        <v>20</v>
      </c>
    </row>
    <row r="6309" spans="1:21" ht="15" customHeight="1" x14ac:dyDescent="0.2">
      <c r="A6309" t="s">
        <v>6615</v>
      </c>
      <c r="B6309" t="s">
        <v>235</v>
      </c>
      <c r="C6309" t="s">
        <v>55</v>
      </c>
      <c r="D6309" s="49">
        <v>45525</v>
      </c>
      <c r="E6309" s="49">
        <v>45527</v>
      </c>
      <c r="F6309" s="49">
        <v>45530</v>
      </c>
      <c r="G6309" s="49">
        <v>45535</v>
      </c>
      <c r="H6309" s="49">
        <v>45539</v>
      </c>
      <c r="I6309" s="49">
        <v>45541</v>
      </c>
      <c r="J6309" t="s">
        <v>47</v>
      </c>
      <c r="K6309" s="33">
        <v>6500</v>
      </c>
      <c r="M6309" t="str">
        <f>_xlfn.XLOOKUP(Pipeline_tbl[[#This Row],[Rep_ID]],Dim_Reps!A:A,Dim_Reps!K:K)</f>
        <v>MXN</v>
      </c>
      <c r="N6309" s="33">
        <f>(_xlfn.XLOOKUP(Pipeline_tbl[[#This Row],[Rate_Code_Generalized]],Lookups!A:A,Lookups!B:B))*Pipeline_tbl[[#This Row],[Pipeline_Amount_USD]]</f>
        <v>128262.55</v>
      </c>
      <c r="O6309" t="str">
        <f>_xlfn.XLOOKUP(Pipeline_tbl[[#This Row],[Rep_ID]],Dim_Reps!A:A,Dim_Reps!B:B)</f>
        <v>Milo Castro</v>
      </c>
      <c r="P6309" t="str">
        <f>_xlfn.XLOOKUP(Pipeline_tbl[[#This Row],[Rep_ID]],Dim_Reps!A:A,Dim_Reps!C:C)</f>
        <v>SDR / Inside Sales Rep</v>
      </c>
      <c r="Q6309" t="str">
        <f>_xlfn.XLOOKUP(Pipeline_tbl[[#This Row],[Rep_ID]],Dim_Reps!A:A,Dim_Reps!D:D)</f>
        <v>Inside Sales</v>
      </c>
      <c r="R6309" t="str">
        <f>_xlfn.XLOOKUP(Pipeline_tbl[[#This Row],[Rep_ID]],Dim_Reps!A:A,Dim_Reps!E:E)</f>
        <v>LATAM</v>
      </c>
      <c r="S6309" t="str">
        <f>_xlfn.XLOOKUP(Pipeline_tbl[[#This Row],[Created_Date]],Dim_Date!A:A,Dim_Date!H:H)</f>
        <v>Aug 2024</v>
      </c>
      <c r="T6309" t="str">
        <f>IF(Pipeline_tbl[[#This Row],[Closed_Date]]=0,"",(_xlfn.XLOOKUP(Pipeline_tbl[[#This Row],[Closed_Date]],Dim_Date!A:A,Dim_Date!H:H)))</f>
        <v>Sep 2024</v>
      </c>
      <c r="U6309">
        <f>IF(Pipeline_tbl[[#This Row],[Closed_Date]]=0,"",Pipeline_tbl[[#This Row],[Closed_Date]]-Pipeline_tbl[[#This Row],[Created_Date]])</f>
        <v>16</v>
      </c>
    </row>
    <row r="6310" spans="1:21" ht="15" customHeight="1" x14ac:dyDescent="0.2">
      <c r="A6310" t="s">
        <v>6616</v>
      </c>
      <c r="B6310" t="s">
        <v>235</v>
      </c>
      <c r="C6310" t="s">
        <v>54</v>
      </c>
      <c r="D6310" s="49">
        <v>45527</v>
      </c>
      <c r="E6310" s="49">
        <v>45529</v>
      </c>
      <c r="F6310" s="49">
        <v>45532</v>
      </c>
      <c r="I6310" s="49">
        <v>45544</v>
      </c>
      <c r="J6310" t="s">
        <v>49</v>
      </c>
      <c r="K6310" s="33">
        <v>2900</v>
      </c>
      <c r="L6310" t="s">
        <v>61</v>
      </c>
      <c r="M6310" t="str">
        <f>_xlfn.XLOOKUP(Pipeline_tbl[[#This Row],[Rep_ID]],Dim_Reps!A:A,Dim_Reps!K:K)</f>
        <v>MXN</v>
      </c>
      <c r="N6310" s="33">
        <f>(_xlfn.XLOOKUP(Pipeline_tbl[[#This Row],[Rate_Code_Generalized]],Lookups!A:A,Lookups!B:B))*Pipeline_tbl[[#This Row],[Pipeline_Amount_USD]]</f>
        <v>57224.83</v>
      </c>
      <c r="O6310" t="str">
        <f>_xlfn.XLOOKUP(Pipeline_tbl[[#This Row],[Rep_ID]],Dim_Reps!A:A,Dim_Reps!B:B)</f>
        <v>Milo Castro</v>
      </c>
      <c r="P6310" t="str">
        <f>_xlfn.XLOOKUP(Pipeline_tbl[[#This Row],[Rep_ID]],Dim_Reps!A:A,Dim_Reps!C:C)</f>
        <v>SDR / Inside Sales Rep</v>
      </c>
      <c r="Q6310" t="str">
        <f>_xlfn.XLOOKUP(Pipeline_tbl[[#This Row],[Rep_ID]],Dim_Reps!A:A,Dim_Reps!D:D)</f>
        <v>Inside Sales</v>
      </c>
      <c r="R6310" t="str">
        <f>_xlfn.XLOOKUP(Pipeline_tbl[[#This Row],[Rep_ID]],Dim_Reps!A:A,Dim_Reps!E:E)</f>
        <v>LATAM</v>
      </c>
      <c r="S6310" t="str">
        <f>_xlfn.XLOOKUP(Pipeline_tbl[[#This Row],[Created_Date]],Dim_Date!A:A,Dim_Date!H:H)</f>
        <v>Aug 2024</v>
      </c>
      <c r="T6310" t="str">
        <f>IF(Pipeline_tbl[[#This Row],[Closed_Date]]=0,"",(_xlfn.XLOOKUP(Pipeline_tbl[[#This Row],[Closed_Date]],Dim_Date!A:A,Dim_Date!H:H)))</f>
        <v>Sep 2024</v>
      </c>
      <c r="U6310">
        <f>IF(Pipeline_tbl[[#This Row],[Closed_Date]]=0,"",Pipeline_tbl[[#This Row],[Closed_Date]]-Pipeline_tbl[[#This Row],[Created_Date]])</f>
        <v>17</v>
      </c>
    </row>
    <row r="6311" spans="1:21" ht="15" customHeight="1" x14ac:dyDescent="0.2">
      <c r="A6311" t="s">
        <v>6617</v>
      </c>
      <c r="B6311" t="s">
        <v>235</v>
      </c>
      <c r="C6311" t="s">
        <v>52</v>
      </c>
      <c r="D6311" s="49">
        <v>45535</v>
      </c>
      <c r="E6311" s="49">
        <v>45537</v>
      </c>
      <c r="I6311" s="49">
        <v>45550</v>
      </c>
      <c r="J6311" t="s">
        <v>49</v>
      </c>
      <c r="K6311" s="33">
        <v>1400</v>
      </c>
      <c r="L6311" t="s">
        <v>61</v>
      </c>
      <c r="M6311" t="str">
        <f>_xlfn.XLOOKUP(Pipeline_tbl[[#This Row],[Rep_ID]],Dim_Reps!A:A,Dim_Reps!K:K)</f>
        <v>MXN</v>
      </c>
      <c r="N6311" s="33">
        <f>(_xlfn.XLOOKUP(Pipeline_tbl[[#This Row],[Rate_Code_Generalized]],Lookups!A:A,Lookups!B:B))*Pipeline_tbl[[#This Row],[Pipeline_Amount_USD]]</f>
        <v>27625.780000000002</v>
      </c>
      <c r="O6311" t="str">
        <f>_xlfn.XLOOKUP(Pipeline_tbl[[#This Row],[Rep_ID]],Dim_Reps!A:A,Dim_Reps!B:B)</f>
        <v>Milo Castro</v>
      </c>
      <c r="P6311" t="str">
        <f>_xlfn.XLOOKUP(Pipeline_tbl[[#This Row],[Rep_ID]],Dim_Reps!A:A,Dim_Reps!C:C)</f>
        <v>SDR / Inside Sales Rep</v>
      </c>
      <c r="Q6311" t="str">
        <f>_xlfn.XLOOKUP(Pipeline_tbl[[#This Row],[Rep_ID]],Dim_Reps!A:A,Dim_Reps!D:D)</f>
        <v>Inside Sales</v>
      </c>
      <c r="R6311" t="str">
        <f>_xlfn.XLOOKUP(Pipeline_tbl[[#This Row],[Rep_ID]],Dim_Reps!A:A,Dim_Reps!E:E)</f>
        <v>LATAM</v>
      </c>
      <c r="S6311" t="str">
        <f>_xlfn.XLOOKUP(Pipeline_tbl[[#This Row],[Created_Date]],Dim_Date!A:A,Dim_Date!H:H)</f>
        <v>Aug 2024</v>
      </c>
      <c r="T6311" t="str">
        <f>IF(Pipeline_tbl[[#This Row],[Closed_Date]]=0,"",(_xlfn.XLOOKUP(Pipeline_tbl[[#This Row],[Closed_Date]],Dim_Date!A:A,Dim_Date!H:H)))</f>
        <v>Sep 2024</v>
      </c>
      <c r="U6311">
        <f>IF(Pipeline_tbl[[#This Row],[Closed_Date]]=0,"",Pipeline_tbl[[#This Row],[Closed_Date]]-Pipeline_tbl[[#This Row],[Created_Date]])</f>
        <v>15</v>
      </c>
    </row>
    <row r="6312" spans="1:21" ht="15" customHeight="1" x14ac:dyDescent="0.2">
      <c r="A6312" t="s">
        <v>6618</v>
      </c>
      <c r="B6312" t="s">
        <v>235</v>
      </c>
      <c r="C6312" t="s">
        <v>52</v>
      </c>
      <c r="D6312" s="49">
        <v>45533</v>
      </c>
      <c r="E6312" s="49">
        <v>45535</v>
      </c>
      <c r="F6312" s="49">
        <v>45539</v>
      </c>
      <c r="G6312" s="49">
        <v>45544</v>
      </c>
      <c r="H6312" s="49">
        <v>45549</v>
      </c>
      <c r="I6312" s="49">
        <v>45552</v>
      </c>
      <c r="J6312" t="s">
        <v>49</v>
      </c>
      <c r="K6312" s="33">
        <v>3100</v>
      </c>
      <c r="L6312" t="s">
        <v>61</v>
      </c>
      <c r="M6312" t="str">
        <f>_xlfn.XLOOKUP(Pipeline_tbl[[#This Row],[Rep_ID]],Dim_Reps!A:A,Dim_Reps!K:K)</f>
        <v>MXN</v>
      </c>
      <c r="N6312" s="33">
        <f>(_xlfn.XLOOKUP(Pipeline_tbl[[#This Row],[Rate_Code_Generalized]],Lookups!A:A,Lookups!B:B))*Pipeline_tbl[[#This Row],[Pipeline_Amount_USD]]</f>
        <v>61171.37</v>
      </c>
      <c r="O6312" t="str">
        <f>_xlfn.XLOOKUP(Pipeline_tbl[[#This Row],[Rep_ID]],Dim_Reps!A:A,Dim_Reps!B:B)</f>
        <v>Milo Castro</v>
      </c>
      <c r="P6312" t="str">
        <f>_xlfn.XLOOKUP(Pipeline_tbl[[#This Row],[Rep_ID]],Dim_Reps!A:A,Dim_Reps!C:C)</f>
        <v>SDR / Inside Sales Rep</v>
      </c>
      <c r="Q6312" t="str">
        <f>_xlfn.XLOOKUP(Pipeline_tbl[[#This Row],[Rep_ID]],Dim_Reps!A:A,Dim_Reps!D:D)</f>
        <v>Inside Sales</v>
      </c>
      <c r="R6312" t="str">
        <f>_xlfn.XLOOKUP(Pipeline_tbl[[#This Row],[Rep_ID]],Dim_Reps!A:A,Dim_Reps!E:E)</f>
        <v>LATAM</v>
      </c>
      <c r="S6312" t="str">
        <f>_xlfn.XLOOKUP(Pipeline_tbl[[#This Row],[Created_Date]],Dim_Date!A:A,Dim_Date!H:H)</f>
        <v>Aug 2024</v>
      </c>
      <c r="T6312" t="str">
        <f>IF(Pipeline_tbl[[#This Row],[Closed_Date]]=0,"",(_xlfn.XLOOKUP(Pipeline_tbl[[#This Row],[Closed_Date]],Dim_Date!A:A,Dim_Date!H:H)))</f>
        <v>Sep 2024</v>
      </c>
      <c r="U6312">
        <f>IF(Pipeline_tbl[[#This Row],[Closed_Date]]=0,"",Pipeline_tbl[[#This Row],[Closed_Date]]-Pipeline_tbl[[#This Row],[Created_Date]])</f>
        <v>19</v>
      </c>
    </row>
    <row r="6313" spans="1:21" ht="15" customHeight="1" x14ac:dyDescent="0.2">
      <c r="A6313" t="s">
        <v>6619</v>
      </c>
      <c r="B6313" t="s">
        <v>235</v>
      </c>
      <c r="C6313" t="s">
        <v>52</v>
      </c>
      <c r="D6313" s="49">
        <v>45525</v>
      </c>
      <c r="E6313" s="49">
        <v>45527</v>
      </c>
      <c r="F6313" s="49">
        <v>45532</v>
      </c>
      <c r="G6313" s="49">
        <v>45539</v>
      </c>
      <c r="H6313" s="49">
        <v>45545</v>
      </c>
      <c r="I6313" s="49">
        <v>45549</v>
      </c>
      <c r="J6313" t="s">
        <v>47</v>
      </c>
      <c r="K6313" s="33">
        <v>3400</v>
      </c>
      <c r="M6313" t="str">
        <f>_xlfn.XLOOKUP(Pipeline_tbl[[#This Row],[Rep_ID]],Dim_Reps!A:A,Dim_Reps!K:K)</f>
        <v>MXN</v>
      </c>
      <c r="N6313" s="33">
        <f>(_xlfn.XLOOKUP(Pipeline_tbl[[#This Row],[Rate_Code_Generalized]],Lookups!A:A,Lookups!B:B))*Pipeline_tbl[[#This Row],[Pipeline_Amount_USD]]</f>
        <v>67091.180000000008</v>
      </c>
      <c r="O6313" t="str">
        <f>_xlfn.XLOOKUP(Pipeline_tbl[[#This Row],[Rep_ID]],Dim_Reps!A:A,Dim_Reps!B:B)</f>
        <v>Milo Castro</v>
      </c>
      <c r="P6313" t="str">
        <f>_xlfn.XLOOKUP(Pipeline_tbl[[#This Row],[Rep_ID]],Dim_Reps!A:A,Dim_Reps!C:C)</f>
        <v>SDR / Inside Sales Rep</v>
      </c>
      <c r="Q6313" t="str">
        <f>_xlfn.XLOOKUP(Pipeline_tbl[[#This Row],[Rep_ID]],Dim_Reps!A:A,Dim_Reps!D:D)</f>
        <v>Inside Sales</v>
      </c>
      <c r="R6313" t="str">
        <f>_xlfn.XLOOKUP(Pipeline_tbl[[#This Row],[Rep_ID]],Dim_Reps!A:A,Dim_Reps!E:E)</f>
        <v>LATAM</v>
      </c>
      <c r="S6313" t="str">
        <f>_xlfn.XLOOKUP(Pipeline_tbl[[#This Row],[Created_Date]],Dim_Date!A:A,Dim_Date!H:H)</f>
        <v>Aug 2024</v>
      </c>
      <c r="T6313" t="str">
        <f>IF(Pipeline_tbl[[#This Row],[Closed_Date]]=0,"",(_xlfn.XLOOKUP(Pipeline_tbl[[#This Row],[Closed_Date]],Dim_Date!A:A,Dim_Date!H:H)))</f>
        <v>Sep 2024</v>
      </c>
      <c r="U6313">
        <f>IF(Pipeline_tbl[[#This Row],[Closed_Date]]=0,"",Pipeline_tbl[[#This Row],[Closed_Date]]-Pipeline_tbl[[#This Row],[Created_Date]])</f>
        <v>24</v>
      </c>
    </row>
    <row r="6314" spans="1:21" ht="15" customHeight="1" x14ac:dyDescent="0.2">
      <c r="A6314" t="s">
        <v>6620</v>
      </c>
      <c r="B6314" t="s">
        <v>237</v>
      </c>
      <c r="C6314" t="s">
        <v>52</v>
      </c>
      <c r="D6314" s="49">
        <v>45514</v>
      </c>
      <c r="E6314" s="49">
        <v>45516</v>
      </c>
      <c r="F6314" s="49">
        <v>45521</v>
      </c>
      <c r="G6314" s="49">
        <v>45528</v>
      </c>
      <c r="H6314" s="49">
        <v>45534</v>
      </c>
      <c r="I6314" s="49">
        <v>45538</v>
      </c>
      <c r="J6314" t="s">
        <v>47</v>
      </c>
      <c r="K6314" s="33">
        <v>800</v>
      </c>
      <c r="M6314" t="str">
        <f>_xlfn.XLOOKUP(Pipeline_tbl[[#This Row],[Rep_ID]],Dim_Reps!A:A,Dim_Reps!K:K)</f>
        <v>EUR</v>
      </c>
      <c r="N6314" s="33">
        <f>(_xlfn.XLOOKUP(Pipeline_tbl[[#This Row],[Rate_Code_Generalized]],Lookups!A:A,Lookups!B:B))*Pipeline_tbl[[#This Row],[Pipeline_Amount_USD]]</f>
        <v>800</v>
      </c>
      <c r="O6314" t="str">
        <f>_xlfn.XLOOKUP(Pipeline_tbl[[#This Row],[Rep_ID]],Dim_Reps!A:A,Dim_Reps!B:B)</f>
        <v>Hugo Santos</v>
      </c>
      <c r="P6314" t="str">
        <f>_xlfn.XLOOKUP(Pipeline_tbl[[#This Row],[Rep_ID]],Dim_Reps!A:A,Dim_Reps!C:C)</f>
        <v>SDR / Inside Sales Rep</v>
      </c>
      <c r="Q6314" t="str">
        <f>_xlfn.XLOOKUP(Pipeline_tbl[[#This Row],[Rep_ID]],Dim_Reps!A:A,Dim_Reps!D:D)</f>
        <v>Inside Sales</v>
      </c>
      <c r="R6314" t="str">
        <f>_xlfn.XLOOKUP(Pipeline_tbl[[#This Row],[Rep_ID]],Dim_Reps!A:A,Dim_Reps!E:E)</f>
        <v>EMEA</v>
      </c>
      <c r="S6314" t="str">
        <f>_xlfn.XLOOKUP(Pipeline_tbl[[#This Row],[Created_Date]],Dim_Date!A:A,Dim_Date!H:H)</f>
        <v>Aug 2024</v>
      </c>
      <c r="T6314" t="str">
        <f>IF(Pipeline_tbl[[#This Row],[Closed_Date]]=0,"",(_xlfn.XLOOKUP(Pipeline_tbl[[#This Row],[Closed_Date]],Dim_Date!A:A,Dim_Date!H:H)))</f>
        <v>Sep 2024</v>
      </c>
      <c r="U6314">
        <f>IF(Pipeline_tbl[[#This Row],[Closed_Date]]=0,"",Pipeline_tbl[[#This Row],[Closed_Date]]-Pipeline_tbl[[#This Row],[Created_Date]])</f>
        <v>24</v>
      </c>
    </row>
    <row r="6315" spans="1:21" ht="15" customHeight="1" x14ac:dyDescent="0.2">
      <c r="A6315" t="s">
        <v>6621</v>
      </c>
      <c r="B6315" t="s">
        <v>237</v>
      </c>
      <c r="C6315" t="s">
        <v>52</v>
      </c>
      <c r="D6315" s="49">
        <v>45522</v>
      </c>
      <c r="E6315" s="49">
        <v>45524</v>
      </c>
      <c r="F6315" s="49">
        <v>45529</v>
      </c>
      <c r="G6315" s="49">
        <v>45535</v>
      </c>
      <c r="H6315" s="49">
        <v>45541</v>
      </c>
      <c r="I6315" s="49">
        <v>45544</v>
      </c>
      <c r="J6315" t="s">
        <v>47</v>
      </c>
      <c r="K6315" s="33">
        <v>3000</v>
      </c>
      <c r="M6315" t="str">
        <f>_xlfn.XLOOKUP(Pipeline_tbl[[#This Row],[Rep_ID]],Dim_Reps!A:A,Dim_Reps!K:K)</f>
        <v>EUR</v>
      </c>
      <c r="N6315" s="33">
        <f>(_xlfn.XLOOKUP(Pipeline_tbl[[#This Row],[Rate_Code_Generalized]],Lookups!A:A,Lookups!B:B))*Pipeline_tbl[[#This Row],[Pipeline_Amount_USD]]</f>
        <v>3000</v>
      </c>
      <c r="O6315" t="str">
        <f>_xlfn.XLOOKUP(Pipeline_tbl[[#This Row],[Rep_ID]],Dim_Reps!A:A,Dim_Reps!B:B)</f>
        <v>Hugo Santos</v>
      </c>
      <c r="P6315" t="str">
        <f>_xlfn.XLOOKUP(Pipeline_tbl[[#This Row],[Rep_ID]],Dim_Reps!A:A,Dim_Reps!C:C)</f>
        <v>SDR / Inside Sales Rep</v>
      </c>
      <c r="Q6315" t="str">
        <f>_xlfn.XLOOKUP(Pipeline_tbl[[#This Row],[Rep_ID]],Dim_Reps!A:A,Dim_Reps!D:D)</f>
        <v>Inside Sales</v>
      </c>
      <c r="R6315" t="str">
        <f>_xlfn.XLOOKUP(Pipeline_tbl[[#This Row],[Rep_ID]],Dim_Reps!A:A,Dim_Reps!E:E)</f>
        <v>EMEA</v>
      </c>
      <c r="S6315" t="str">
        <f>_xlfn.XLOOKUP(Pipeline_tbl[[#This Row],[Created_Date]],Dim_Date!A:A,Dim_Date!H:H)</f>
        <v>Aug 2024</v>
      </c>
      <c r="T6315" t="str">
        <f>IF(Pipeline_tbl[[#This Row],[Closed_Date]]=0,"",(_xlfn.XLOOKUP(Pipeline_tbl[[#This Row],[Closed_Date]],Dim_Date!A:A,Dim_Date!H:H)))</f>
        <v>Sep 2024</v>
      </c>
      <c r="U6315">
        <f>IF(Pipeline_tbl[[#This Row],[Closed_Date]]=0,"",Pipeline_tbl[[#This Row],[Closed_Date]]-Pipeline_tbl[[#This Row],[Created_Date]])</f>
        <v>22</v>
      </c>
    </row>
    <row r="6316" spans="1:21" ht="15" customHeight="1" x14ac:dyDescent="0.2">
      <c r="A6316" t="s">
        <v>6622</v>
      </c>
      <c r="B6316" t="s">
        <v>237</v>
      </c>
      <c r="C6316" t="s">
        <v>55</v>
      </c>
      <c r="D6316" s="49">
        <v>45534</v>
      </c>
      <c r="E6316" s="49">
        <v>45536</v>
      </c>
      <c r="F6316" s="49">
        <v>45542</v>
      </c>
      <c r="G6316" s="49">
        <v>45549</v>
      </c>
      <c r="I6316" s="49">
        <v>45559</v>
      </c>
      <c r="J6316" t="s">
        <v>49</v>
      </c>
      <c r="K6316" s="33">
        <v>1800</v>
      </c>
      <c r="L6316" t="s">
        <v>60</v>
      </c>
      <c r="M6316" t="str">
        <f>_xlfn.XLOOKUP(Pipeline_tbl[[#This Row],[Rep_ID]],Dim_Reps!A:A,Dim_Reps!K:K)</f>
        <v>EUR</v>
      </c>
      <c r="N6316" s="33">
        <f>(_xlfn.XLOOKUP(Pipeline_tbl[[#This Row],[Rate_Code_Generalized]],Lookups!A:A,Lookups!B:B))*Pipeline_tbl[[#This Row],[Pipeline_Amount_USD]]</f>
        <v>1800</v>
      </c>
      <c r="O6316" t="str">
        <f>_xlfn.XLOOKUP(Pipeline_tbl[[#This Row],[Rep_ID]],Dim_Reps!A:A,Dim_Reps!B:B)</f>
        <v>Hugo Santos</v>
      </c>
      <c r="P6316" t="str">
        <f>_xlfn.XLOOKUP(Pipeline_tbl[[#This Row],[Rep_ID]],Dim_Reps!A:A,Dim_Reps!C:C)</f>
        <v>SDR / Inside Sales Rep</v>
      </c>
      <c r="Q6316" t="str">
        <f>_xlfn.XLOOKUP(Pipeline_tbl[[#This Row],[Rep_ID]],Dim_Reps!A:A,Dim_Reps!D:D)</f>
        <v>Inside Sales</v>
      </c>
      <c r="R6316" t="str">
        <f>_xlfn.XLOOKUP(Pipeline_tbl[[#This Row],[Rep_ID]],Dim_Reps!A:A,Dim_Reps!E:E)</f>
        <v>EMEA</v>
      </c>
      <c r="S6316" t="str">
        <f>_xlfn.XLOOKUP(Pipeline_tbl[[#This Row],[Created_Date]],Dim_Date!A:A,Dim_Date!H:H)</f>
        <v>Aug 2024</v>
      </c>
      <c r="T6316" t="str">
        <f>IF(Pipeline_tbl[[#This Row],[Closed_Date]]=0,"",(_xlfn.XLOOKUP(Pipeline_tbl[[#This Row],[Closed_Date]],Dim_Date!A:A,Dim_Date!H:H)))</f>
        <v>Sep 2024</v>
      </c>
      <c r="U6316">
        <f>IF(Pipeline_tbl[[#This Row],[Closed_Date]]=0,"",Pipeline_tbl[[#This Row],[Closed_Date]]-Pipeline_tbl[[#This Row],[Created_Date]])</f>
        <v>25</v>
      </c>
    </row>
    <row r="6317" spans="1:21" ht="15" customHeight="1" x14ac:dyDescent="0.2">
      <c r="A6317" t="s">
        <v>6623</v>
      </c>
      <c r="B6317" t="s">
        <v>269</v>
      </c>
      <c r="C6317" t="s">
        <v>53</v>
      </c>
      <c r="D6317" s="49">
        <v>45505</v>
      </c>
      <c r="E6317" s="49">
        <v>45509</v>
      </c>
      <c r="F6317" s="49">
        <v>45516</v>
      </c>
      <c r="G6317" s="49">
        <v>45528</v>
      </c>
      <c r="H6317" s="49">
        <v>45537</v>
      </c>
      <c r="I6317" s="49">
        <v>45543</v>
      </c>
      <c r="J6317" t="s">
        <v>47</v>
      </c>
      <c r="K6317" s="33">
        <v>25400</v>
      </c>
      <c r="M6317" t="str">
        <f>_xlfn.XLOOKUP(Pipeline_tbl[[#This Row],[Rep_ID]],Dim_Reps!A:A,Dim_Reps!K:K)</f>
        <v>USD</v>
      </c>
      <c r="N6317" s="33">
        <f>(_xlfn.XLOOKUP(Pipeline_tbl[[#This Row],[Rate_Code_Generalized]],Lookups!A:A,Lookups!B:B))*Pipeline_tbl[[#This Row],[Pipeline_Amount_USD]]</f>
        <v>29573.219999999998</v>
      </c>
      <c r="O6317" t="str">
        <f>_xlfn.XLOOKUP(Pipeline_tbl[[#This Row],[Rep_ID]],Dim_Reps!A:A,Dim_Reps!B:B)</f>
        <v>Morgan Rivera</v>
      </c>
      <c r="P6317" t="str">
        <f>_xlfn.XLOOKUP(Pipeline_tbl[[#This Row],[Rep_ID]],Dim_Reps!A:A,Dim_Reps!C:C)</f>
        <v>Mid-Market AE</v>
      </c>
      <c r="Q6317" t="str">
        <f>_xlfn.XLOOKUP(Pipeline_tbl[[#This Row],[Rep_ID]],Dim_Reps!A:A,Dim_Reps!D:D)</f>
        <v>Mid-Market</v>
      </c>
      <c r="R6317" t="str">
        <f>_xlfn.XLOOKUP(Pipeline_tbl[[#This Row],[Rep_ID]],Dim_Reps!A:A,Dim_Reps!E:E)</f>
        <v>NAMER</v>
      </c>
      <c r="S6317" t="str">
        <f>_xlfn.XLOOKUP(Pipeline_tbl[[#This Row],[Created_Date]],Dim_Date!A:A,Dim_Date!H:H)</f>
        <v>Aug 2024</v>
      </c>
      <c r="T6317" t="str">
        <f>IF(Pipeline_tbl[[#This Row],[Closed_Date]]=0,"",(_xlfn.XLOOKUP(Pipeline_tbl[[#This Row],[Closed_Date]],Dim_Date!A:A,Dim_Date!H:H)))</f>
        <v>Sep 2024</v>
      </c>
      <c r="U6317">
        <f>IF(Pipeline_tbl[[#This Row],[Closed_Date]]=0,"",Pipeline_tbl[[#This Row],[Closed_Date]]-Pipeline_tbl[[#This Row],[Created_Date]])</f>
        <v>38</v>
      </c>
    </row>
    <row r="6318" spans="1:21" ht="15" customHeight="1" x14ac:dyDescent="0.2">
      <c r="A6318" t="s">
        <v>6624</v>
      </c>
      <c r="B6318" t="s">
        <v>269</v>
      </c>
      <c r="C6318" t="s">
        <v>55</v>
      </c>
      <c r="D6318" s="49">
        <v>45507</v>
      </c>
      <c r="E6318" s="49">
        <v>45510</v>
      </c>
      <c r="F6318" s="49">
        <v>45516</v>
      </c>
      <c r="G6318" s="49">
        <v>45524</v>
      </c>
      <c r="H6318" s="49">
        <v>45532</v>
      </c>
      <c r="I6318" s="49">
        <v>45536</v>
      </c>
      <c r="J6318" t="s">
        <v>49</v>
      </c>
      <c r="K6318" s="33">
        <v>8100</v>
      </c>
      <c r="L6318" t="s">
        <v>60</v>
      </c>
      <c r="M6318" t="str">
        <f>_xlfn.XLOOKUP(Pipeline_tbl[[#This Row],[Rep_ID]],Dim_Reps!A:A,Dim_Reps!K:K)</f>
        <v>USD</v>
      </c>
      <c r="N6318" s="33">
        <f>(_xlfn.XLOOKUP(Pipeline_tbl[[#This Row],[Rate_Code_Generalized]],Lookups!A:A,Lookups!B:B))*Pipeline_tbl[[#This Row],[Pipeline_Amount_USD]]</f>
        <v>9430.83</v>
      </c>
      <c r="O6318" t="str">
        <f>_xlfn.XLOOKUP(Pipeline_tbl[[#This Row],[Rep_ID]],Dim_Reps!A:A,Dim_Reps!B:B)</f>
        <v>Morgan Rivera</v>
      </c>
      <c r="P6318" t="str">
        <f>_xlfn.XLOOKUP(Pipeline_tbl[[#This Row],[Rep_ID]],Dim_Reps!A:A,Dim_Reps!C:C)</f>
        <v>Mid-Market AE</v>
      </c>
      <c r="Q6318" t="str">
        <f>_xlfn.XLOOKUP(Pipeline_tbl[[#This Row],[Rep_ID]],Dim_Reps!A:A,Dim_Reps!D:D)</f>
        <v>Mid-Market</v>
      </c>
      <c r="R6318" t="str">
        <f>_xlfn.XLOOKUP(Pipeline_tbl[[#This Row],[Rep_ID]],Dim_Reps!A:A,Dim_Reps!E:E)</f>
        <v>NAMER</v>
      </c>
      <c r="S6318" t="str">
        <f>_xlfn.XLOOKUP(Pipeline_tbl[[#This Row],[Created_Date]],Dim_Date!A:A,Dim_Date!H:H)</f>
        <v>Aug 2024</v>
      </c>
      <c r="T6318" t="str">
        <f>IF(Pipeline_tbl[[#This Row],[Closed_Date]]=0,"",(_xlfn.XLOOKUP(Pipeline_tbl[[#This Row],[Closed_Date]],Dim_Date!A:A,Dim_Date!H:H)))</f>
        <v>Sep 2024</v>
      </c>
      <c r="U6318">
        <f>IF(Pipeline_tbl[[#This Row],[Closed_Date]]=0,"",Pipeline_tbl[[#This Row],[Closed_Date]]-Pipeline_tbl[[#This Row],[Created_Date]])</f>
        <v>29</v>
      </c>
    </row>
    <row r="6319" spans="1:21" ht="15" customHeight="1" x14ac:dyDescent="0.2">
      <c r="A6319" t="s">
        <v>6625</v>
      </c>
      <c r="B6319" t="s">
        <v>271</v>
      </c>
      <c r="C6319" t="s">
        <v>56</v>
      </c>
      <c r="D6319" s="49">
        <v>45532</v>
      </c>
      <c r="E6319" s="49">
        <v>45534</v>
      </c>
      <c r="F6319" s="49">
        <v>45539</v>
      </c>
      <c r="G6319" s="49">
        <v>45545</v>
      </c>
      <c r="I6319" s="49">
        <v>45554</v>
      </c>
      <c r="J6319" t="s">
        <v>49</v>
      </c>
      <c r="K6319" s="33">
        <v>5900</v>
      </c>
      <c r="L6319" t="s">
        <v>61</v>
      </c>
      <c r="M6319" t="str">
        <f>_xlfn.XLOOKUP(Pipeline_tbl[[#This Row],[Rep_ID]],Dim_Reps!A:A,Dim_Reps!K:K)</f>
        <v>EUR</v>
      </c>
      <c r="N6319" s="33">
        <f>(_xlfn.XLOOKUP(Pipeline_tbl[[#This Row],[Rate_Code_Generalized]],Lookups!A:A,Lookups!B:B))*Pipeline_tbl[[#This Row],[Pipeline_Amount_USD]]</f>
        <v>5900</v>
      </c>
      <c r="O6319" t="str">
        <f>_xlfn.XLOOKUP(Pipeline_tbl[[#This Row],[Rep_ID]],Dim_Reps!A:A,Dim_Reps!B:B)</f>
        <v>Ivy Adler</v>
      </c>
      <c r="P6319" t="str">
        <f>_xlfn.XLOOKUP(Pipeline_tbl[[#This Row],[Rep_ID]],Dim_Reps!A:A,Dim_Reps!C:C)</f>
        <v>Mid-Market AE</v>
      </c>
      <c r="Q6319" t="str">
        <f>_xlfn.XLOOKUP(Pipeline_tbl[[#This Row],[Rep_ID]],Dim_Reps!A:A,Dim_Reps!D:D)</f>
        <v>Mid-Market</v>
      </c>
      <c r="R6319" t="str">
        <f>_xlfn.XLOOKUP(Pipeline_tbl[[#This Row],[Rep_ID]],Dim_Reps!A:A,Dim_Reps!E:E)</f>
        <v>APAC</v>
      </c>
      <c r="S6319" t="str">
        <f>_xlfn.XLOOKUP(Pipeline_tbl[[#This Row],[Created_Date]],Dim_Date!A:A,Dim_Date!H:H)</f>
        <v>Aug 2024</v>
      </c>
      <c r="T6319" t="str">
        <f>IF(Pipeline_tbl[[#This Row],[Closed_Date]]=0,"",(_xlfn.XLOOKUP(Pipeline_tbl[[#This Row],[Closed_Date]],Dim_Date!A:A,Dim_Date!H:H)))</f>
        <v>Sep 2024</v>
      </c>
      <c r="U6319">
        <f>IF(Pipeline_tbl[[#This Row],[Closed_Date]]=0,"",Pipeline_tbl[[#This Row],[Closed_Date]]-Pipeline_tbl[[#This Row],[Created_Date]])</f>
        <v>22</v>
      </c>
    </row>
    <row r="6320" spans="1:21" ht="15" customHeight="1" x14ac:dyDescent="0.2">
      <c r="A6320" t="s">
        <v>6626</v>
      </c>
      <c r="B6320" t="s">
        <v>271</v>
      </c>
      <c r="C6320" t="s">
        <v>52</v>
      </c>
      <c r="D6320" s="49">
        <v>45527</v>
      </c>
      <c r="E6320" s="49">
        <v>45531</v>
      </c>
      <c r="F6320" s="49">
        <v>45538</v>
      </c>
      <c r="I6320" s="49">
        <v>45563</v>
      </c>
      <c r="J6320" t="s">
        <v>49</v>
      </c>
      <c r="K6320" s="33">
        <v>12300</v>
      </c>
      <c r="L6320" t="s">
        <v>61</v>
      </c>
      <c r="M6320" t="str">
        <f>_xlfn.XLOOKUP(Pipeline_tbl[[#This Row],[Rep_ID]],Dim_Reps!A:A,Dim_Reps!K:K)</f>
        <v>EUR</v>
      </c>
      <c r="N6320" s="33">
        <f>(_xlfn.XLOOKUP(Pipeline_tbl[[#This Row],[Rate_Code_Generalized]],Lookups!A:A,Lookups!B:B))*Pipeline_tbl[[#This Row],[Pipeline_Amount_USD]]</f>
        <v>12300</v>
      </c>
      <c r="O6320" t="str">
        <f>_xlfn.XLOOKUP(Pipeline_tbl[[#This Row],[Rep_ID]],Dim_Reps!A:A,Dim_Reps!B:B)</f>
        <v>Ivy Adler</v>
      </c>
      <c r="P6320" t="str">
        <f>_xlfn.XLOOKUP(Pipeline_tbl[[#This Row],[Rep_ID]],Dim_Reps!A:A,Dim_Reps!C:C)</f>
        <v>Mid-Market AE</v>
      </c>
      <c r="Q6320" t="str">
        <f>_xlfn.XLOOKUP(Pipeline_tbl[[#This Row],[Rep_ID]],Dim_Reps!A:A,Dim_Reps!D:D)</f>
        <v>Mid-Market</v>
      </c>
      <c r="R6320" t="str">
        <f>_xlfn.XLOOKUP(Pipeline_tbl[[#This Row],[Rep_ID]],Dim_Reps!A:A,Dim_Reps!E:E)</f>
        <v>APAC</v>
      </c>
      <c r="S6320" t="str">
        <f>_xlfn.XLOOKUP(Pipeline_tbl[[#This Row],[Created_Date]],Dim_Date!A:A,Dim_Date!H:H)</f>
        <v>Aug 2024</v>
      </c>
      <c r="T6320" t="str">
        <f>IF(Pipeline_tbl[[#This Row],[Closed_Date]]=0,"",(_xlfn.XLOOKUP(Pipeline_tbl[[#This Row],[Closed_Date]],Dim_Date!A:A,Dim_Date!H:H)))</f>
        <v>Sep 2024</v>
      </c>
      <c r="U6320">
        <f>IF(Pipeline_tbl[[#This Row],[Closed_Date]]=0,"",Pipeline_tbl[[#This Row],[Closed_Date]]-Pipeline_tbl[[#This Row],[Created_Date]])</f>
        <v>36</v>
      </c>
    </row>
    <row r="6321" spans="1:21" ht="15" customHeight="1" x14ac:dyDescent="0.2">
      <c r="A6321" t="s">
        <v>6627</v>
      </c>
      <c r="B6321" t="s">
        <v>273</v>
      </c>
      <c r="C6321" t="s">
        <v>55</v>
      </c>
      <c r="D6321" s="49">
        <v>45527</v>
      </c>
      <c r="E6321" s="49">
        <v>45529</v>
      </c>
      <c r="F6321" s="49">
        <v>45532</v>
      </c>
      <c r="G6321" s="49">
        <v>45537</v>
      </c>
      <c r="H6321" s="49">
        <v>45541</v>
      </c>
      <c r="I6321" s="49">
        <v>45543</v>
      </c>
      <c r="J6321" t="s">
        <v>47</v>
      </c>
      <c r="K6321" s="33">
        <v>7600</v>
      </c>
      <c r="M6321" t="str">
        <f>_xlfn.XLOOKUP(Pipeline_tbl[[#This Row],[Rep_ID]],Dim_Reps!A:A,Dim_Reps!K:K)</f>
        <v>EUR</v>
      </c>
      <c r="N6321" s="33">
        <f>(_xlfn.XLOOKUP(Pipeline_tbl[[#This Row],[Rate_Code_Generalized]],Lookups!A:A,Lookups!B:B))*Pipeline_tbl[[#This Row],[Pipeline_Amount_USD]]</f>
        <v>7600</v>
      </c>
      <c r="O6321" t="str">
        <f>_xlfn.XLOOKUP(Pipeline_tbl[[#This Row],[Rep_ID]],Dim_Reps!A:A,Dim_Reps!B:B)</f>
        <v>Olivia Cohen</v>
      </c>
      <c r="P6321" t="str">
        <f>_xlfn.XLOOKUP(Pipeline_tbl[[#This Row],[Rep_ID]],Dim_Reps!A:A,Dim_Reps!C:C)</f>
        <v>Mid-Market AE</v>
      </c>
      <c r="Q6321" t="str">
        <f>_xlfn.XLOOKUP(Pipeline_tbl[[#This Row],[Rep_ID]],Dim_Reps!A:A,Dim_Reps!D:D)</f>
        <v>Mid-Market</v>
      </c>
      <c r="R6321" t="str">
        <f>_xlfn.XLOOKUP(Pipeline_tbl[[#This Row],[Rep_ID]],Dim_Reps!A:A,Dim_Reps!E:E)</f>
        <v>APAC</v>
      </c>
      <c r="S6321" t="str">
        <f>_xlfn.XLOOKUP(Pipeline_tbl[[#This Row],[Created_Date]],Dim_Date!A:A,Dim_Date!H:H)</f>
        <v>Aug 2024</v>
      </c>
      <c r="T6321" t="str">
        <f>IF(Pipeline_tbl[[#This Row],[Closed_Date]]=0,"",(_xlfn.XLOOKUP(Pipeline_tbl[[#This Row],[Closed_Date]],Dim_Date!A:A,Dim_Date!H:H)))</f>
        <v>Sep 2024</v>
      </c>
      <c r="U6321">
        <f>IF(Pipeline_tbl[[#This Row],[Closed_Date]]=0,"",Pipeline_tbl[[#This Row],[Closed_Date]]-Pipeline_tbl[[#This Row],[Created_Date]])</f>
        <v>16</v>
      </c>
    </row>
    <row r="6322" spans="1:21" ht="15" customHeight="1" x14ac:dyDescent="0.2">
      <c r="A6322" t="s">
        <v>6628</v>
      </c>
      <c r="B6322" t="s">
        <v>241</v>
      </c>
      <c r="C6322" t="s">
        <v>52</v>
      </c>
      <c r="D6322" s="49">
        <v>45530</v>
      </c>
      <c r="E6322" s="49">
        <v>45532</v>
      </c>
      <c r="F6322" s="49">
        <v>45535</v>
      </c>
      <c r="G6322" s="49">
        <v>45539</v>
      </c>
      <c r="I6322" s="49">
        <v>45545</v>
      </c>
      <c r="J6322" t="s">
        <v>49</v>
      </c>
      <c r="K6322" s="33">
        <v>4800</v>
      </c>
      <c r="L6322" t="s">
        <v>63</v>
      </c>
      <c r="M6322" t="str">
        <f>_xlfn.XLOOKUP(Pipeline_tbl[[#This Row],[Rep_ID]],Dim_Reps!A:A,Dim_Reps!K:K)</f>
        <v>EUR</v>
      </c>
      <c r="N6322" s="33">
        <f>(_xlfn.XLOOKUP(Pipeline_tbl[[#This Row],[Rate_Code_Generalized]],Lookups!A:A,Lookups!B:B))*Pipeline_tbl[[#This Row],[Pipeline_Amount_USD]]</f>
        <v>4800</v>
      </c>
      <c r="O6322" t="str">
        <f>_xlfn.XLOOKUP(Pipeline_tbl[[#This Row],[Rep_ID]],Dim_Reps!A:A,Dim_Reps!B:B)</f>
        <v>Kenji Weber</v>
      </c>
      <c r="P6322" t="str">
        <f>_xlfn.XLOOKUP(Pipeline_tbl[[#This Row],[Rep_ID]],Dim_Reps!A:A,Dim_Reps!C:C)</f>
        <v>SDR / Inside Sales Rep</v>
      </c>
      <c r="Q6322" t="str">
        <f>_xlfn.XLOOKUP(Pipeline_tbl[[#This Row],[Rep_ID]],Dim_Reps!A:A,Dim_Reps!D:D)</f>
        <v>Inside Sales</v>
      </c>
      <c r="R6322" t="str">
        <f>_xlfn.XLOOKUP(Pipeline_tbl[[#This Row],[Rep_ID]],Dim_Reps!A:A,Dim_Reps!E:E)</f>
        <v>APAC</v>
      </c>
      <c r="S6322" t="str">
        <f>_xlfn.XLOOKUP(Pipeline_tbl[[#This Row],[Created_Date]],Dim_Date!A:A,Dim_Date!H:H)</f>
        <v>Aug 2024</v>
      </c>
      <c r="T6322" t="str">
        <f>IF(Pipeline_tbl[[#This Row],[Closed_Date]]=0,"",(_xlfn.XLOOKUP(Pipeline_tbl[[#This Row],[Closed_Date]],Dim_Date!A:A,Dim_Date!H:H)))</f>
        <v>Sep 2024</v>
      </c>
      <c r="U6322">
        <f>IF(Pipeline_tbl[[#This Row],[Closed_Date]]=0,"",Pipeline_tbl[[#This Row],[Closed_Date]]-Pipeline_tbl[[#This Row],[Created_Date]])</f>
        <v>15</v>
      </c>
    </row>
    <row r="6323" spans="1:21" ht="15" customHeight="1" x14ac:dyDescent="0.2">
      <c r="A6323" t="s">
        <v>6629</v>
      </c>
      <c r="B6323" t="s">
        <v>241</v>
      </c>
      <c r="C6323" t="s">
        <v>53</v>
      </c>
      <c r="D6323" s="49">
        <v>45522</v>
      </c>
      <c r="E6323" s="49">
        <v>45524</v>
      </c>
      <c r="F6323" s="49">
        <v>45529</v>
      </c>
      <c r="G6323" s="49">
        <v>45536</v>
      </c>
      <c r="H6323" s="49">
        <v>45542</v>
      </c>
      <c r="I6323" s="49">
        <v>45545</v>
      </c>
      <c r="J6323" t="s">
        <v>47</v>
      </c>
      <c r="K6323" s="33">
        <v>4200</v>
      </c>
      <c r="M6323" t="str">
        <f>_xlfn.XLOOKUP(Pipeline_tbl[[#This Row],[Rep_ID]],Dim_Reps!A:A,Dim_Reps!K:K)</f>
        <v>EUR</v>
      </c>
      <c r="N6323" s="33">
        <f>(_xlfn.XLOOKUP(Pipeline_tbl[[#This Row],[Rate_Code_Generalized]],Lookups!A:A,Lookups!B:B))*Pipeline_tbl[[#This Row],[Pipeline_Amount_USD]]</f>
        <v>4200</v>
      </c>
      <c r="O6323" t="str">
        <f>_xlfn.XLOOKUP(Pipeline_tbl[[#This Row],[Rep_ID]],Dim_Reps!A:A,Dim_Reps!B:B)</f>
        <v>Kenji Weber</v>
      </c>
      <c r="P6323" t="str">
        <f>_xlfn.XLOOKUP(Pipeline_tbl[[#This Row],[Rep_ID]],Dim_Reps!A:A,Dim_Reps!C:C)</f>
        <v>SDR / Inside Sales Rep</v>
      </c>
      <c r="Q6323" t="str">
        <f>_xlfn.XLOOKUP(Pipeline_tbl[[#This Row],[Rep_ID]],Dim_Reps!A:A,Dim_Reps!D:D)</f>
        <v>Inside Sales</v>
      </c>
      <c r="R6323" t="str">
        <f>_xlfn.XLOOKUP(Pipeline_tbl[[#This Row],[Rep_ID]],Dim_Reps!A:A,Dim_Reps!E:E)</f>
        <v>APAC</v>
      </c>
      <c r="S6323" t="str">
        <f>_xlfn.XLOOKUP(Pipeline_tbl[[#This Row],[Created_Date]],Dim_Date!A:A,Dim_Date!H:H)</f>
        <v>Aug 2024</v>
      </c>
      <c r="T6323" t="str">
        <f>IF(Pipeline_tbl[[#This Row],[Closed_Date]]=0,"",(_xlfn.XLOOKUP(Pipeline_tbl[[#This Row],[Closed_Date]],Dim_Date!A:A,Dim_Date!H:H)))</f>
        <v>Sep 2024</v>
      </c>
      <c r="U6323">
        <f>IF(Pipeline_tbl[[#This Row],[Closed_Date]]=0,"",Pipeline_tbl[[#This Row],[Closed_Date]]-Pipeline_tbl[[#This Row],[Created_Date]])</f>
        <v>23</v>
      </c>
    </row>
    <row r="6324" spans="1:21" ht="15" customHeight="1" x14ac:dyDescent="0.2">
      <c r="A6324" t="s">
        <v>6630</v>
      </c>
      <c r="B6324" t="s">
        <v>241</v>
      </c>
      <c r="C6324" t="s">
        <v>52</v>
      </c>
      <c r="D6324" s="49">
        <v>45523</v>
      </c>
      <c r="E6324" s="49">
        <v>45524</v>
      </c>
      <c r="F6324" s="49">
        <v>45527</v>
      </c>
      <c r="G6324" s="49">
        <v>45531</v>
      </c>
      <c r="H6324" s="49">
        <v>45534</v>
      </c>
      <c r="I6324" s="49">
        <v>45536</v>
      </c>
      <c r="J6324" t="s">
        <v>47</v>
      </c>
      <c r="K6324" s="33">
        <v>1600</v>
      </c>
      <c r="M6324" t="str">
        <f>_xlfn.XLOOKUP(Pipeline_tbl[[#This Row],[Rep_ID]],Dim_Reps!A:A,Dim_Reps!K:K)</f>
        <v>EUR</v>
      </c>
      <c r="N6324" s="33">
        <f>(_xlfn.XLOOKUP(Pipeline_tbl[[#This Row],[Rate_Code_Generalized]],Lookups!A:A,Lookups!B:B))*Pipeline_tbl[[#This Row],[Pipeline_Amount_USD]]</f>
        <v>1600</v>
      </c>
      <c r="O6324" t="str">
        <f>_xlfn.XLOOKUP(Pipeline_tbl[[#This Row],[Rep_ID]],Dim_Reps!A:A,Dim_Reps!B:B)</f>
        <v>Kenji Weber</v>
      </c>
      <c r="P6324" t="str">
        <f>_xlfn.XLOOKUP(Pipeline_tbl[[#This Row],[Rep_ID]],Dim_Reps!A:A,Dim_Reps!C:C)</f>
        <v>SDR / Inside Sales Rep</v>
      </c>
      <c r="Q6324" t="str">
        <f>_xlfn.XLOOKUP(Pipeline_tbl[[#This Row],[Rep_ID]],Dim_Reps!A:A,Dim_Reps!D:D)</f>
        <v>Inside Sales</v>
      </c>
      <c r="R6324" t="str">
        <f>_xlfn.XLOOKUP(Pipeline_tbl[[#This Row],[Rep_ID]],Dim_Reps!A:A,Dim_Reps!E:E)</f>
        <v>APAC</v>
      </c>
      <c r="S6324" t="str">
        <f>_xlfn.XLOOKUP(Pipeline_tbl[[#This Row],[Created_Date]],Dim_Date!A:A,Dim_Date!H:H)</f>
        <v>Aug 2024</v>
      </c>
      <c r="T6324" t="str">
        <f>IF(Pipeline_tbl[[#This Row],[Closed_Date]]=0,"",(_xlfn.XLOOKUP(Pipeline_tbl[[#This Row],[Closed_Date]],Dim_Date!A:A,Dim_Date!H:H)))</f>
        <v>Sep 2024</v>
      </c>
      <c r="U6324">
        <f>IF(Pipeline_tbl[[#This Row],[Closed_Date]]=0,"",Pipeline_tbl[[#This Row],[Closed_Date]]-Pipeline_tbl[[#This Row],[Created_Date]])</f>
        <v>13</v>
      </c>
    </row>
    <row r="6325" spans="1:21" ht="15" customHeight="1" x14ac:dyDescent="0.2">
      <c r="A6325" t="s">
        <v>6631</v>
      </c>
      <c r="B6325" t="s">
        <v>193</v>
      </c>
      <c r="C6325" t="s">
        <v>55</v>
      </c>
      <c r="D6325" s="49">
        <v>45748</v>
      </c>
      <c r="E6325" s="49">
        <v>45749</v>
      </c>
      <c r="F6325" s="49">
        <v>45752</v>
      </c>
      <c r="G6325" s="49">
        <v>45756</v>
      </c>
      <c r="I6325" s="49">
        <v>45762</v>
      </c>
      <c r="J6325" t="s">
        <v>49</v>
      </c>
      <c r="K6325" s="33">
        <v>6300</v>
      </c>
      <c r="L6325" t="s">
        <v>60</v>
      </c>
      <c r="M6325" t="str">
        <f>_xlfn.XLOOKUP(Pipeline_tbl[[#This Row],[Rep_ID]],Dim_Reps!A:A,Dim_Reps!K:K)</f>
        <v>USD</v>
      </c>
      <c r="N6325" s="33">
        <f>(_xlfn.XLOOKUP(Pipeline_tbl[[#This Row],[Rate_Code_Generalized]],Lookups!A:A,Lookups!B:B))*Pipeline_tbl[[#This Row],[Pipeline_Amount_USD]]</f>
        <v>7335.0899999999992</v>
      </c>
      <c r="O6325" t="str">
        <f>_xlfn.XLOOKUP(Pipeline_tbl[[#This Row],[Rep_ID]],Dim_Reps!A:A,Dim_Reps!B:B)</f>
        <v>Karim Rossi</v>
      </c>
      <c r="P6325" t="str">
        <f>_xlfn.XLOOKUP(Pipeline_tbl[[#This Row],[Rep_ID]],Dim_Reps!A:A,Dim_Reps!C:C)</f>
        <v>SDR / Inside Sales Rep</v>
      </c>
      <c r="Q6325" t="str">
        <f>_xlfn.XLOOKUP(Pipeline_tbl[[#This Row],[Rep_ID]],Dim_Reps!A:A,Dim_Reps!D:D)</f>
        <v>Inside Sales</v>
      </c>
      <c r="R6325" t="str">
        <f>_xlfn.XLOOKUP(Pipeline_tbl[[#This Row],[Rep_ID]],Dim_Reps!A:A,Dim_Reps!E:E)</f>
        <v>NAMER</v>
      </c>
      <c r="S6325" t="str">
        <f>_xlfn.XLOOKUP(Pipeline_tbl[[#This Row],[Created_Date]],Dim_Date!A:A,Dim_Date!H:H)</f>
        <v>Apr 2025</v>
      </c>
      <c r="T6325" t="str">
        <f>IF(Pipeline_tbl[[#This Row],[Closed_Date]]=0,"",(_xlfn.XLOOKUP(Pipeline_tbl[[#This Row],[Closed_Date]],Dim_Date!A:A,Dim_Date!H:H)))</f>
        <v>Apr 2025</v>
      </c>
      <c r="U6325">
        <f>IF(Pipeline_tbl[[#This Row],[Closed_Date]]=0,"",Pipeline_tbl[[#This Row],[Closed_Date]]-Pipeline_tbl[[#This Row],[Created_Date]])</f>
        <v>14</v>
      </c>
    </row>
    <row r="6326" spans="1:21" ht="15" customHeight="1" x14ac:dyDescent="0.2">
      <c r="A6326" t="s">
        <v>6632</v>
      </c>
      <c r="B6326" t="s">
        <v>196</v>
      </c>
      <c r="C6326" t="s">
        <v>53</v>
      </c>
      <c r="D6326" s="49">
        <v>45756</v>
      </c>
      <c r="E6326" s="49">
        <v>45758</v>
      </c>
      <c r="F6326" s="49">
        <v>45761</v>
      </c>
      <c r="G6326" s="49">
        <v>45765</v>
      </c>
      <c r="H6326" s="49">
        <v>45769</v>
      </c>
      <c r="I6326" s="49">
        <v>45771</v>
      </c>
      <c r="J6326" t="s">
        <v>47</v>
      </c>
      <c r="K6326" s="33">
        <v>2900</v>
      </c>
      <c r="M6326" t="str">
        <f>_xlfn.XLOOKUP(Pipeline_tbl[[#This Row],[Rep_ID]],Dim_Reps!A:A,Dim_Reps!K:K)</f>
        <v>EUR</v>
      </c>
      <c r="N6326" s="33">
        <f>(_xlfn.XLOOKUP(Pipeline_tbl[[#This Row],[Rate_Code_Generalized]],Lookups!A:A,Lookups!B:B))*Pipeline_tbl[[#This Row],[Pipeline_Amount_USD]]</f>
        <v>2900</v>
      </c>
      <c r="O6326" t="str">
        <f>_xlfn.XLOOKUP(Pipeline_tbl[[#This Row],[Rep_ID]],Dim_Reps!A:A,Dim_Reps!B:B)</f>
        <v>Alex Okafor</v>
      </c>
      <c r="P6326" t="str">
        <f>_xlfn.XLOOKUP(Pipeline_tbl[[#This Row],[Rep_ID]],Dim_Reps!A:A,Dim_Reps!C:C)</f>
        <v>SDR / Inside Sales Rep</v>
      </c>
      <c r="Q6326" t="str">
        <f>_xlfn.XLOOKUP(Pipeline_tbl[[#This Row],[Rep_ID]],Dim_Reps!A:A,Dim_Reps!D:D)</f>
        <v>Inside Sales</v>
      </c>
      <c r="R6326" t="str">
        <f>_xlfn.XLOOKUP(Pipeline_tbl[[#This Row],[Rep_ID]],Dim_Reps!A:A,Dim_Reps!E:E)</f>
        <v>EMEA</v>
      </c>
      <c r="S6326" t="str">
        <f>_xlfn.XLOOKUP(Pipeline_tbl[[#This Row],[Created_Date]],Dim_Date!A:A,Dim_Date!H:H)</f>
        <v>Apr 2025</v>
      </c>
      <c r="T6326" t="str">
        <f>IF(Pipeline_tbl[[#This Row],[Closed_Date]]=0,"",(_xlfn.XLOOKUP(Pipeline_tbl[[#This Row],[Closed_Date]],Dim_Date!A:A,Dim_Date!H:H)))</f>
        <v>Apr 2025</v>
      </c>
      <c r="U6326">
        <f>IF(Pipeline_tbl[[#This Row],[Closed_Date]]=0,"",Pipeline_tbl[[#This Row],[Closed_Date]]-Pipeline_tbl[[#This Row],[Created_Date]])</f>
        <v>15</v>
      </c>
    </row>
    <row r="6327" spans="1:21" ht="15" customHeight="1" x14ac:dyDescent="0.2">
      <c r="A6327" t="s">
        <v>6633</v>
      </c>
      <c r="B6327" t="s">
        <v>196</v>
      </c>
      <c r="C6327" t="s">
        <v>52</v>
      </c>
      <c r="D6327" s="49">
        <v>45760</v>
      </c>
      <c r="E6327" s="49">
        <v>45761</v>
      </c>
      <c r="F6327" s="49">
        <v>45764</v>
      </c>
      <c r="I6327" s="49">
        <v>45774</v>
      </c>
      <c r="J6327" t="s">
        <v>49</v>
      </c>
      <c r="K6327" s="33">
        <v>3300</v>
      </c>
      <c r="L6327" t="s">
        <v>61</v>
      </c>
      <c r="M6327" t="str">
        <f>_xlfn.XLOOKUP(Pipeline_tbl[[#This Row],[Rep_ID]],Dim_Reps!A:A,Dim_Reps!K:K)</f>
        <v>EUR</v>
      </c>
      <c r="N6327" s="33">
        <f>(_xlfn.XLOOKUP(Pipeline_tbl[[#This Row],[Rate_Code_Generalized]],Lookups!A:A,Lookups!B:B))*Pipeline_tbl[[#This Row],[Pipeline_Amount_USD]]</f>
        <v>3300</v>
      </c>
      <c r="O6327" t="str">
        <f>_xlfn.XLOOKUP(Pipeline_tbl[[#This Row],[Rep_ID]],Dim_Reps!A:A,Dim_Reps!B:B)</f>
        <v>Alex Okafor</v>
      </c>
      <c r="P6327" t="str">
        <f>_xlfn.XLOOKUP(Pipeline_tbl[[#This Row],[Rep_ID]],Dim_Reps!A:A,Dim_Reps!C:C)</f>
        <v>SDR / Inside Sales Rep</v>
      </c>
      <c r="Q6327" t="str">
        <f>_xlfn.XLOOKUP(Pipeline_tbl[[#This Row],[Rep_ID]],Dim_Reps!A:A,Dim_Reps!D:D)</f>
        <v>Inside Sales</v>
      </c>
      <c r="R6327" t="str">
        <f>_xlfn.XLOOKUP(Pipeline_tbl[[#This Row],[Rep_ID]],Dim_Reps!A:A,Dim_Reps!E:E)</f>
        <v>EMEA</v>
      </c>
      <c r="S6327" t="str">
        <f>_xlfn.XLOOKUP(Pipeline_tbl[[#This Row],[Created_Date]],Dim_Date!A:A,Dim_Date!H:H)</f>
        <v>Apr 2025</v>
      </c>
      <c r="T6327" t="str">
        <f>IF(Pipeline_tbl[[#This Row],[Closed_Date]]=0,"",(_xlfn.XLOOKUP(Pipeline_tbl[[#This Row],[Closed_Date]],Dim_Date!A:A,Dim_Date!H:H)))</f>
        <v>Apr 2025</v>
      </c>
      <c r="U6327">
        <f>IF(Pipeline_tbl[[#This Row],[Closed_Date]]=0,"",Pipeline_tbl[[#This Row],[Closed_Date]]-Pipeline_tbl[[#This Row],[Created_Date]])</f>
        <v>14</v>
      </c>
    </row>
    <row r="6328" spans="1:21" ht="15" customHeight="1" x14ac:dyDescent="0.2">
      <c r="A6328" t="s">
        <v>6634</v>
      </c>
      <c r="B6328" t="s">
        <v>196</v>
      </c>
      <c r="C6328" t="s">
        <v>55</v>
      </c>
      <c r="D6328" s="49">
        <v>45758</v>
      </c>
      <c r="E6328" s="49">
        <v>45759</v>
      </c>
      <c r="F6328" s="49">
        <v>45761</v>
      </c>
      <c r="G6328" s="49">
        <v>45765</v>
      </c>
      <c r="H6328" s="49">
        <v>45767</v>
      </c>
      <c r="I6328" s="49">
        <v>45769</v>
      </c>
      <c r="J6328" t="s">
        <v>47</v>
      </c>
      <c r="K6328" s="33">
        <v>3500</v>
      </c>
      <c r="M6328" t="str">
        <f>_xlfn.XLOOKUP(Pipeline_tbl[[#This Row],[Rep_ID]],Dim_Reps!A:A,Dim_Reps!K:K)</f>
        <v>EUR</v>
      </c>
      <c r="N6328" s="33">
        <f>(_xlfn.XLOOKUP(Pipeline_tbl[[#This Row],[Rate_Code_Generalized]],Lookups!A:A,Lookups!B:B))*Pipeline_tbl[[#This Row],[Pipeline_Amount_USD]]</f>
        <v>3500</v>
      </c>
      <c r="O6328" t="str">
        <f>_xlfn.XLOOKUP(Pipeline_tbl[[#This Row],[Rep_ID]],Dim_Reps!A:A,Dim_Reps!B:B)</f>
        <v>Alex Okafor</v>
      </c>
      <c r="P6328" t="str">
        <f>_xlfn.XLOOKUP(Pipeline_tbl[[#This Row],[Rep_ID]],Dim_Reps!A:A,Dim_Reps!C:C)</f>
        <v>SDR / Inside Sales Rep</v>
      </c>
      <c r="Q6328" t="str">
        <f>_xlfn.XLOOKUP(Pipeline_tbl[[#This Row],[Rep_ID]],Dim_Reps!A:A,Dim_Reps!D:D)</f>
        <v>Inside Sales</v>
      </c>
      <c r="R6328" t="str">
        <f>_xlfn.XLOOKUP(Pipeline_tbl[[#This Row],[Rep_ID]],Dim_Reps!A:A,Dim_Reps!E:E)</f>
        <v>EMEA</v>
      </c>
      <c r="S6328" t="str">
        <f>_xlfn.XLOOKUP(Pipeline_tbl[[#This Row],[Created_Date]],Dim_Date!A:A,Dim_Date!H:H)</f>
        <v>Apr 2025</v>
      </c>
      <c r="T6328" t="str">
        <f>IF(Pipeline_tbl[[#This Row],[Closed_Date]]=0,"",(_xlfn.XLOOKUP(Pipeline_tbl[[#This Row],[Closed_Date]],Dim_Date!A:A,Dim_Date!H:H)))</f>
        <v>Apr 2025</v>
      </c>
      <c r="U6328">
        <f>IF(Pipeline_tbl[[#This Row],[Closed_Date]]=0,"",Pipeline_tbl[[#This Row],[Closed_Date]]-Pipeline_tbl[[#This Row],[Created_Date]])</f>
        <v>11</v>
      </c>
    </row>
    <row r="6329" spans="1:21" ht="15" customHeight="1" x14ac:dyDescent="0.2">
      <c r="A6329" t="s">
        <v>6635</v>
      </c>
      <c r="B6329" t="s">
        <v>196</v>
      </c>
      <c r="C6329" t="s">
        <v>52</v>
      </c>
      <c r="D6329" s="49">
        <v>45762</v>
      </c>
      <c r="E6329" s="49">
        <v>45763</v>
      </c>
      <c r="F6329" s="49">
        <v>45765</v>
      </c>
      <c r="G6329" s="49">
        <v>45768</v>
      </c>
      <c r="H6329" s="49">
        <v>45770</v>
      </c>
      <c r="I6329" s="49">
        <v>45772</v>
      </c>
      <c r="J6329" t="s">
        <v>49</v>
      </c>
      <c r="K6329" s="33">
        <v>3800</v>
      </c>
      <c r="L6329" t="s">
        <v>60</v>
      </c>
      <c r="M6329" t="str">
        <f>_xlfn.XLOOKUP(Pipeline_tbl[[#This Row],[Rep_ID]],Dim_Reps!A:A,Dim_Reps!K:K)</f>
        <v>EUR</v>
      </c>
      <c r="N6329" s="33">
        <f>(_xlfn.XLOOKUP(Pipeline_tbl[[#This Row],[Rate_Code_Generalized]],Lookups!A:A,Lookups!B:B))*Pipeline_tbl[[#This Row],[Pipeline_Amount_USD]]</f>
        <v>3800</v>
      </c>
      <c r="O6329" t="str">
        <f>_xlfn.XLOOKUP(Pipeline_tbl[[#This Row],[Rep_ID]],Dim_Reps!A:A,Dim_Reps!B:B)</f>
        <v>Alex Okafor</v>
      </c>
      <c r="P6329" t="str">
        <f>_xlfn.XLOOKUP(Pipeline_tbl[[#This Row],[Rep_ID]],Dim_Reps!A:A,Dim_Reps!C:C)</f>
        <v>SDR / Inside Sales Rep</v>
      </c>
      <c r="Q6329" t="str">
        <f>_xlfn.XLOOKUP(Pipeline_tbl[[#This Row],[Rep_ID]],Dim_Reps!A:A,Dim_Reps!D:D)</f>
        <v>Inside Sales</v>
      </c>
      <c r="R6329" t="str">
        <f>_xlfn.XLOOKUP(Pipeline_tbl[[#This Row],[Rep_ID]],Dim_Reps!A:A,Dim_Reps!E:E)</f>
        <v>EMEA</v>
      </c>
      <c r="S6329" t="str">
        <f>_xlfn.XLOOKUP(Pipeline_tbl[[#This Row],[Created_Date]],Dim_Date!A:A,Dim_Date!H:H)</f>
        <v>Apr 2025</v>
      </c>
      <c r="T6329" t="str">
        <f>IF(Pipeline_tbl[[#This Row],[Closed_Date]]=0,"",(_xlfn.XLOOKUP(Pipeline_tbl[[#This Row],[Closed_Date]],Dim_Date!A:A,Dim_Date!H:H)))</f>
        <v>Apr 2025</v>
      </c>
      <c r="U6329">
        <f>IF(Pipeline_tbl[[#This Row],[Closed_Date]]=0,"",Pipeline_tbl[[#This Row],[Closed_Date]]-Pipeline_tbl[[#This Row],[Created_Date]])</f>
        <v>10</v>
      </c>
    </row>
    <row r="6330" spans="1:21" ht="15" customHeight="1" x14ac:dyDescent="0.2">
      <c r="A6330" t="s">
        <v>6636</v>
      </c>
      <c r="B6330" t="s">
        <v>196</v>
      </c>
      <c r="C6330" t="s">
        <v>55</v>
      </c>
      <c r="D6330" s="49">
        <v>45758</v>
      </c>
      <c r="E6330" s="49">
        <v>45760</v>
      </c>
      <c r="F6330" s="49">
        <v>45763</v>
      </c>
      <c r="G6330" s="49">
        <v>45768</v>
      </c>
      <c r="H6330" s="49">
        <v>45772</v>
      </c>
      <c r="I6330" s="49">
        <v>45774</v>
      </c>
      <c r="J6330" t="s">
        <v>47</v>
      </c>
      <c r="K6330" s="33">
        <v>2900</v>
      </c>
      <c r="M6330" t="str">
        <f>_xlfn.XLOOKUP(Pipeline_tbl[[#This Row],[Rep_ID]],Dim_Reps!A:A,Dim_Reps!K:K)</f>
        <v>EUR</v>
      </c>
      <c r="N6330" s="33">
        <f>(_xlfn.XLOOKUP(Pipeline_tbl[[#This Row],[Rate_Code_Generalized]],Lookups!A:A,Lookups!B:B))*Pipeline_tbl[[#This Row],[Pipeline_Amount_USD]]</f>
        <v>2900</v>
      </c>
      <c r="O6330" t="str">
        <f>_xlfn.XLOOKUP(Pipeline_tbl[[#This Row],[Rep_ID]],Dim_Reps!A:A,Dim_Reps!B:B)</f>
        <v>Alex Okafor</v>
      </c>
      <c r="P6330" t="str">
        <f>_xlfn.XLOOKUP(Pipeline_tbl[[#This Row],[Rep_ID]],Dim_Reps!A:A,Dim_Reps!C:C)</f>
        <v>SDR / Inside Sales Rep</v>
      </c>
      <c r="Q6330" t="str">
        <f>_xlfn.XLOOKUP(Pipeline_tbl[[#This Row],[Rep_ID]],Dim_Reps!A:A,Dim_Reps!D:D)</f>
        <v>Inside Sales</v>
      </c>
      <c r="R6330" t="str">
        <f>_xlfn.XLOOKUP(Pipeline_tbl[[#This Row],[Rep_ID]],Dim_Reps!A:A,Dim_Reps!E:E)</f>
        <v>EMEA</v>
      </c>
      <c r="S6330" t="str">
        <f>_xlfn.XLOOKUP(Pipeline_tbl[[#This Row],[Created_Date]],Dim_Date!A:A,Dim_Date!H:H)</f>
        <v>Apr 2025</v>
      </c>
      <c r="T6330" t="str">
        <f>IF(Pipeline_tbl[[#This Row],[Closed_Date]]=0,"",(_xlfn.XLOOKUP(Pipeline_tbl[[#This Row],[Closed_Date]],Dim_Date!A:A,Dim_Date!H:H)))</f>
        <v>Apr 2025</v>
      </c>
      <c r="U6330">
        <f>IF(Pipeline_tbl[[#This Row],[Closed_Date]]=0,"",Pipeline_tbl[[#This Row],[Closed_Date]]-Pipeline_tbl[[#This Row],[Created_Date]])</f>
        <v>16</v>
      </c>
    </row>
    <row r="6331" spans="1:21" ht="15" customHeight="1" x14ac:dyDescent="0.2">
      <c r="A6331" t="s">
        <v>6637</v>
      </c>
      <c r="B6331" t="s">
        <v>196</v>
      </c>
      <c r="C6331" t="s">
        <v>52</v>
      </c>
      <c r="D6331" s="49">
        <v>45758</v>
      </c>
      <c r="E6331" s="49">
        <v>45759</v>
      </c>
      <c r="F6331" s="49">
        <v>45762</v>
      </c>
      <c r="G6331" s="49">
        <v>45765</v>
      </c>
      <c r="H6331" s="49">
        <v>45768</v>
      </c>
      <c r="I6331" s="49">
        <v>45770</v>
      </c>
      <c r="J6331" t="s">
        <v>47</v>
      </c>
      <c r="K6331" s="33">
        <v>3600</v>
      </c>
      <c r="M6331" t="str">
        <f>_xlfn.XLOOKUP(Pipeline_tbl[[#This Row],[Rep_ID]],Dim_Reps!A:A,Dim_Reps!K:K)</f>
        <v>EUR</v>
      </c>
      <c r="N6331" s="33">
        <f>(_xlfn.XLOOKUP(Pipeline_tbl[[#This Row],[Rate_Code_Generalized]],Lookups!A:A,Lookups!B:B))*Pipeline_tbl[[#This Row],[Pipeline_Amount_USD]]</f>
        <v>3600</v>
      </c>
      <c r="O6331" t="str">
        <f>_xlfn.XLOOKUP(Pipeline_tbl[[#This Row],[Rep_ID]],Dim_Reps!A:A,Dim_Reps!B:B)</f>
        <v>Alex Okafor</v>
      </c>
      <c r="P6331" t="str">
        <f>_xlfn.XLOOKUP(Pipeline_tbl[[#This Row],[Rep_ID]],Dim_Reps!A:A,Dim_Reps!C:C)</f>
        <v>SDR / Inside Sales Rep</v>
      </c>
      <c r="Q6331" t="str">
        <f>_xlfn.XLOOKUP(Pipeline_tbl[[#This Row],[Rep_ID]],Dim_Reps!A:A,Dim_Reps!D:D)</f>
        <v>Inside Sales</v>
      </c>
      <c r="R6331" t="str">
        <f>_xlfn.XLOOKUP(Pipeline_tbl[[#This Row],[Rep_ID]],Dim_Reps!A:A,Dim_Reps!E:E)</f>
        <v>EMEA</v>
      </c>
      <c r="S6331" t="str">
        <f>_xlfn.XLOOKUP(Pipeline_tbl[[#This Row],[Created_Date]],Dim_Date!A:A,Dim_Date!H:H)</f>
        <v>Apr 2025</v>
      </c>
      <c r="T6331" t="str">
        <f>IF(Pipeline_tbl[[#This Row],[Closed_Date]]=0,"",(_xlfn.XLOOKUP(Pipeline_tbl[[#This Row],[Closed_Date]],Dim_Date!A:A,Dim_Date!H:H)))</f>
        <v>Apr 2025</v>
      </c>
      <c r="U6331">
        <f>IF(Pipeline_tbl[[#This Row],[Closed_Date]]=0,"",Pipeline_tbl[[#This Row],[Closed_Date]]-Pipeline_tbl[[#This Row],[Created_Date]])</f>
        <v>12</v>
      </c>
    </row>
    <row r="6332" spans="1:21" ht="15" customHeight="1" x14ac:dyDescent="0.2">
      <c r="A6332" t="s">
        <v>6638</v>
      </c>
      <c r="B6332" t="s">
        <v>199</v>
      </c>
      <c r="C6332" t="s">
        <v>55</v>
      </c>
      <c r="D6332" s="49">
        <v>45752</v>
      </c>
      <c r="E6332" s="49">
        <v>45753</v>
      </c>
      <c r="F6332" s="49">
        <v>45756</v>
      </c>
      <c r="G6332" s="49">
        <v>45760</v>
      </c>
      <c r="H6332" s="49">
        <v>45764</v>
      </c>
      <c r="I6332" s="49">
        <v>45766</v>
      </c>
      <c r="J6332" t="s">
        <v>47</v>
      </c>
      <c r="K6332" s="33">
        <v>3200</v>
      </c>
      <c r="M6332" t="str">
        <f>_xlfn.XLOOKUP(Pipeline_tbl[[#This Row],[Rep_ID]],Dim_Reps!A:A,Dim_Reps!K:K)</f>
        <v>EUR</v>
      </c>
      <c r="N6332" s="33">
        <f>(_xlfn.XLOOKUP(Pipeline_tbl[[#This Row],[Rate_Code_Generalized]],Lookups!A:A,Lookups!B:B))*Pipeline_tbl[[#This Row],[Pipeline_Amount_USD]]</f>
        <v>3200</v>
      </c>
      <c r="O6332" t="str">
        <f>_xlfn.XLOOKUP(Pipeline_tbl[[#This Row],[Rep_ID]],Dim_Reps!A:A,Dim_Reps!B:B)</f>
        <v>Lucas Okafor</v>
      </c>
      <c r="P6332" t="str">
        <f>_xlfn.XLOOKUP(Pipeline_tbl[[#This Row],[Rep_ID]],Dim_Reps!A:A,Dim_Reps!C:C)</f>
        <v>SDR / Inside Sales Rep</v>
      </c>
      <c r="Q6332" t="str">
        <f>_xlfn.XLOOKUP(Pipeline_tbl[[#This Row],[Rep_ID]],Dim_Reps!A:A,Dim_Reps!D:D)</f>
        <v>Inside Sales</v>
      </c>
      <c r="R6332" t="str">
        <f>_xlfn.XLOOKUP(Pipeline_tbl[[#This Row],[Rep_ID]],Dim_Reps!A:A,Dim_Reps!E:E)</f>
        <v>APAC</v>
      </c>
      <c r="S6332" t="str">
        <f>_xlfn.XLOOKUP(Pipeline_tbl[[#This Row],[Created_Date]],Dim_Date!A:A,Dim_Date!H:H)</f>
        <v>Apr 2025</v>
      </c>
      <c r="T6332" t="str">
        <f>IF(Pipeline_tbl[[#This Row],[Closed_Date]]=0,"",(_xlfn.XLOOKUP(Pipeline_tbl[[#This Row],[Closed_Date]],Dim_Date!A:A,Dim_Date!H:H)))</f>
        <v>Apr 2025</v>
      </c>
      <c r="U6332">
        <f>IF(Pipeline_tbl[[#This Row],[Closed_Date]]=0,"",Pipeline_tbl[[#This Row],[Closed_Date]]-Pipeline_tbl[[#This Row],[Created_Date]])</f>
        <v>14</v>
      </c>
    </row>
    <row r="6333" spans="1:21" ht="15" customHeight="1" x14ac:dyDescent="0.2">
      <c r="A6333" t="s">
        <v>6639</v>
      </c>
      <c r="B6333" t="s">
        <v>199</v>
      </c>
      <c r="C6333" t="s">
        <v>52</v>
      </c>
      <c r="D6333" s="49">
        <v>45751</v>
      </c>
      <c r="E6333" s="49">
        <v>45753</v>
      </c>
      <c r="F6333" s="49">
        <v>45758</v>
      </c>
      <c r="G6333" s="49">
        <v>45765</v>
      </c>
      <c r="H6333" s="49">
        <v>45771</v>
      </c>
      <c r="I6333" s="49">
        <v>45775</v>
      </c>
      <c r="J6333" t="s">
        <v>47</v>
      </c>
      <c r="K6333" s="33">
        <v>4400</v>
      </c>
      <c r="M6333" t="str">
        <f>_xlfn.XLOOKUP(Pipeline_tbl[[#This Row],[Rep_ID]],Dim_Reps!A:A,Dim_Reps!K:K)</f>
        <v>EUR</v>
      </c>
      <c r="N6333" s="33">
        <f>(_xlfn.XLOOKUP(Pipeline_tbl[[#This Row],[Rate_Code_Generalized]],Lookups!A:A,Lookups!B:B))*Pipeline_tbl[[#This Row],[Pipeline_Amount_USD]]</f>
        <v>4400</v>
      </c>
      <c r="O6333" t="str">
        <f>_xlfn.XLOOKUP(Pipeline_tbl[[#This Row],[Rep_ID]],Dim_Reps!A:A,Dim_Reps!B:B)</f>
        <v>Lucas Okafor</v>
      </c>
      <c r="P6333" t="str">
        <f>_xlfn.XLOOKUP(Pipeline_tbl[[#This Row],[Rep_ID]],Dim_Reps!A:A,Dim_Reps!C:C)</f>
        <v>SDR / Inside Sales Rep</v>
      </c>
      <c r="Q6333" t="str">
        <f>_xlfn.XLOOKUP(Pipeline_tbl[[#This Row],[Rep_ID]],Dim_Reps!A:A,Dim_Reps!D:D)</f>
        <v>Inside Sales</v>
      </c>
      <c r="R6333" t="str">
        <f>_xlfn.XLOOKUP(Pipeline_tbl[[#This Row],[Rep_ID]],Dim_Reps!A:A,Dim_Reps!E:E)</f>
        <v>APAC</v>
      </c>
      <c r="S6333" t="str">
        <f>_xlfn.XLOOKUP(Pipeline_tbl[[#This Row],[Created_Date]],Dim_Date!A:A,Dim_Date!H:H)</f>
        <v>Apr 2025</v>
      </c>
      <c r="T6333" t="str">
        <f>IF(Pipeline_tbl[[#This Row],[Closed_Date]]=0,"",(_xlfn.XLOOKUP(Pipeline_tbl[[#This Row],[Closed_Date]],Dim_Date!A:A,Dim_Date!H:H)))</f>
        <v>Apr 2025</v>
      </c>
      <c r="U6333">
        <f>IF(Pipeline_tbl[[#This Row],[Closed_Date]]=0,"",Pipeline_tbl[[#This Row],[Closed_Date]]-Pipeline_tbl[[#This Row],[Created_Date]])</f>
        <v>24</v>
      </c>
    </row>
    <row r="6334" spans="1:21" ht="15" customHeight="1" x14ac:dyDescent="0.2">
      <c r="A6334" t="s">
        <v>6640</v>
      </c>
      <c r="B6334" t="s">
        <v>199</v>
      </c>
      <c r="C6334" t="s">
        <v>56</v>
      </c>
      <c r="D6334" s="49">
        <v>45748</v>
      </c>
      <c r="E6334" s="49">
        <v>45750</v>
      </c>
      <c r="F6334" s="49">
        <v>45753</v>
      </c>
      <c r="G6334" s="49">
        <v>45757</v>
      </c>
      <c r="H6334" s="49">
        <v>45761</v>
      </c>
      <c r="I6334" s="49">
        <v>45763</v>
      </c>
      <c r="J6334" t="s">
        <v>49</v>
      </c>
      <c r="K6334" s="33">
        <v>6600</v>
      </c>
      <c r="L6334" t="s">
        <v>63</v>
      </c>
      <c r="M6334" t="str">
        <f>_xlfn.XLOOKUP(Pipeline_tbl[[#This Row],[Rep_ID]],Dim_Reps!A:A,Dim_Reps!K:K)</f>
        <v>EUR</v>
      </c>
      <c r="N6334" s="33">
        <f>(_xlfn.XLOOKUP(Pipeline_tbl[[#This Row],[Rate_Code_Generalized]],Lookups!A:A,Lookups!B:B))*Pipeline_tbl[[#This Row],[Pipeline_Amount_USD]]</f>
        <v>6600</v>
      </c>
      <c r="O6334" t="str">
        <f>_xlfn.XLOOKUP(Pipeline_tbl[[#This Row],[Rep_ID]],Dim_Reps!A:A,Dim_Reps!B:B)</f>
        <v>Lucas Okafor</v>
      </c>
      <c r="P6334" t="str">
        <f>_xlfn.XLOOKUP(Pipeline_tbl[[#This Row],[Rep_ID]],Dim_Reps!A:A,Dim_Reps!C:C)</f>
        <v>SDR / Inside Sales Rep</v>
      </c>
      <c r="Q6334" t="str">
        <f>_xlfn.XLOOKUP(Pipeline_tbl[[#This Row],[Rep_ID]],Dim_Reps!A:A,Dim_Reps!D:D)</f>
        <v>Inside Sales</v>
      </c>
      <c r="R6334" t="str">
        <f>_xlfn.XLOOKUP(Pipeline_tbl[[#This Row],[Rep_ID]],Dim_Reps!A:A,Dim_Reps!E:E)</f>
        <v>APAC</v>
      </c>
      <c r="S6334" t="str">
        <f>_xlfn.XLOOKUP(Pipeline_tbl[[#This Row],[Created_Date]],Dim_Date!A:A,Dim_Date!H:H)</f>
        <v>Apr 2025</v>
      </c>
      <c r="T6334" t="str">
        <f>IF(Pipeline_tbl[[#This Row],[Closed_Date]]=0,"",(_xlfn.XLOOKUP(Pipeline_tbl[[#This Row],[Closed_Date]],Dim_Date!A:A,Dim_Date!H:H)))</f>
        <v>Apr 2025</v>
      </c>
      <c r="U6334">
        <f>IF(Pipeline_tbl[[#This Row],[Closed_Date]]=0,"",Pipeline_tbl[[#This Row],[Closed_Date]]-Pipeline_tbl[[#This Row],[Created_Date]])</f>
        <v>15</v>
      </c>
    </row>
    <row r="6335" spans="1:21" ht="15" customHeight="1" x14ac:dyDescent="0.2">
      <c r="A6335" t="s">
        <v>6641</v>
      </c>
      <c r="B6335" t="s">
        <v>199</v>
      </c>
      <c r="C6335" t="s">
        <v>53</v>
      </c>
      <c r="D6335" s="49">
        <v>45763</v>
      </c>
      <c r="E6335" s="49">
        <v>45763</v>
      </c>
      <c r="F6335" s="49">
        <v>45765</v>
      </c>
      <c r="G6335" s="49">
        <v>45766</v>
      </c>
      <c r="H6335" s="49">
        <v>45767</v>
      </c>
      <c r="I6335" s="49">
        <v>45768</v>
      </c>
      <c r="J6335" t="s">
        <v>47</v>
      </c>
      <c r="K6335" s="33">
        <v>3400</v>
      </c>
      <c r="M6335" t="str">
        <f>_xlfn.XLOOKUP(Pipeline_tbl[[#This Row],[Rep_ID]],Dim_Reps!A:A,Dim_Reps!K:K)</f>
        <v>EUR</v>
      </c>
      <c r="N6335" s="33">
        <f>(_xlfn.XLOOKUP(Pipeline_tbl[[#This Row],[Rate_Code_Generalized]],Lookups!A:A,Lookups!B:B))*Pipeline_tbl[[#This Row],[Pipeline_Amount_USD]]</f>
        <v>3400</v>
      </c>
      <c r="O6335" t="str">
        <f>_xlfn.XLOOKUP(Pipeline_tbl[[#This Row],[Rep_ID]],Dim_Reps!A:A,Dim_Reps!B:B)</f>
        <v>Lucas Okafor</v>
      </c>
      <c r="P6335" t="str">
        <f>_xlfn.XLOOKUP(Pipeline_tbl[[#This Row],[Rep_ID]],Dim_Reps!A:A,Dim_Reps!C:C)</f>
        <v>SDR / Inside Sales Rep</v>
      </c>
      <c r="Q6335" t="str">
        <f>_xlfn.XLOOKUP(Pipeline_tbl[[#This Row],[Rep_ID]],Dim_Reps!A:A,Dim_Reps!D:D)</f>
        <v>Inside Sales</v>
      </c>
      <c r="R6335" t="str">
        <f>_xlfn.XLOOKUP(Pipeline_tbl[[#This Row],[Rep_ID]],Dim_Reps!A:A,Dim_Reps!E:E)</f>
        <v>APAC</v>
      </c>
      <c r="S6335" t="str">
        <f>_xlfn.XLOOKUP(Pipeline_tbl[[#This Row],[Created_Date]],Dim_Date!A:A,Dim_Date!H:H)</f>
        <v>Apr 2025</v>
      </c>
      <c r="T6335" t="str">
        <f>IF(Pipeline_tbl[[#This Row],[Closed_Date]]=0,"",(_xlfn.XLOOKUP(Pipeline_tbl[[#This Row],[Closed_Date]],Dim_Date!A:A,Dim_Date!H:H)))</f>
        <v>Apr 2025</v>
      </c>
      <c r="U6335">
        <f>IF(Pipeline_tbl[[#This Row],[Closed_Date]]=0,"",Pipeline_tbl[[#This Row],[Closed_Date]]-Pipeline_tbl[[#This Row],[Created_Date]])</f>
        <v>5</v>
      </c>
    </row>
    <row r="6336" spans="1:21" ht="15" customHeight="1" x14ac:dyDescent="0.2">
      <c r="A6336" t="s">
        <v>6642</v>
      </c>
      <c r="B6336" t="s">
        <v>203</v>
      </c>
      <c r="C6336" t="s">
        <v>54</v>
      </c>
      <c r="D6336" s="49">
        <v>45769</v>
      </c>
      <c r="E6336" s="49">
        <v>45770</v>
      </c>
      <c r="F6336" s="49">
        <v>45771</v>
      </c>
      <c r="G6336" s="49">
        <v>45773</v>
      </c>
      <c r="H6336" s="49">
        <v>45775</v>
      </c>
      <c r="I6336" s="49">
        <v>45776</v>
      </c>
      <c r="J6336" t="s">
        <v>49</v>
      </c>
      <c r="K6336" s="33">
        <v>7100</v>
      </c>
      <c r="L6336" t="s">
        <v>61</v>
      </c>
      <c r="M6336" t="str">
        <f>_xlfn.XLOOKUP(Pipeline_tbl[[#This Row],[Rep_ID]],Dim_Reps!A:A,Dim_Reps!K:K)</f>
        <v>EUR</v>
      </c>
      <c r="N6336" s="33">
        <f>(_xlfn.XLOOKUP(Pipeline_tbl[[#This Row],[Rate_Code_Generalized]],Lookups!A:A,Lookups!B:B))*Pipeline_tbl[[#This Row],[Pipeline_Amount_USD]]</f>
        <v>7100</v>
      </c>
      <c r="O6336" t="str">
        <f>_xlfn.XLOOKUP(Pipeline_tbl[[#This Row],[Rep_ID]],Dim_Reps!A:A,Dim_Reps!B:B)</f>
        <v>Riley Haddad</v>
      </c>
      <c r="P6336" t="str">
        <f>_xlfn.XLOOKUP(Pipeline_tbl[[#This Row],[Rep_ID]],Dim_Reps!A:A,Dim_Reps!C:C)</f>
        <v>SDR / Inside Sales Rep</v>
      </c>
      <c r="Q6336" t="str">
        <f>_xlfn.XLOOKUP(Pipeline_tbl[[#This Row],[Rep_ID]],Dim_Reps!A:A,Dim_Reps!D:D)</f>
        <v>Inside Sales</v>
      </c>
      <c r="R6336" t="str">
        <f>_xlfn.XLOOKUP(Pipeline_tbl[[#This Row],[Rep_ID]],Dim_Reps!A:A,Dim_Reps!E:E)</f>
        <v>APAC</v>
      </c>
      <c r="S6336" t="str">
        <f>_xlfn.XLOOKUP(Pipeline_tbl[[#This Row],[Created_Date]],Dim_Date!A:A,Dim_Date!H:H)</f>
        <v>Apr 2025</v>
      </c>
      <c r="T6336" t="str">
        <f>IF(Pipeline_tbl[[#This Row],[Closed_Date]]=0,"",(_xlfn.XLOOKUP(Pipeline_tbl[[#This Row],[Closed_Date]],Dim_Date!A:A,Dim_Date!H:H)))</f>
        <v>Apr 2025</v>
      </c>
      <c r="U6336">
        <f>IF(Pipeline_tbl[[#This Row],[Closed_Date]]=0,"",Pipeline_tbl[[#This Row],[Closed_Date]]-Pipeline_tbl[[#This Row],[Created_Date]])</f>
        <v>7</v>
      </c>
    </row>
    <row r="6337" spans="1:21" ht="15" customHeight="1" x14ac:dyDescent="0.2">
      <c r="A6337" t="s">
        <v>6643</v>
      </c>
      <c r="B6337" t="s">
        <v>203</v>
      </c>
      <c r="C6337" t="s">
        <v>52</v>
      </c>
      <c r="D6337" s="49">
        <v>45748</v>
      </c>
      <c r="E6337" s="49">
        <v>45749</v>
      </c>
      <c r="F6337" s="49">
        <v>45752</v>
      </c>
      <c r="G6337" s="49">
        <v>45756</v>
      </c>
      <c r="I6337" s="49">
        <v>45762</v>
      </c>
      <c r="J6337" t="s">
        <v>49</v>
      </c>
      <c r="K6337" s="33">
        <v>3100</v>
      </c>
      <c r="L6337" t="s">
        <v>60</v>
      </c>
      <c r="M6337" t="str">
        <f>_xlfn.XLOOKUP(Pipeline_tbl[[#This Row],[Rep_ID]],Dim_Reps!A:A,Dim_Reps!K:K)</f>
        <v>EUR</v>
      </c>
      <c r="N6337" s="33">
        <f>(_xlfn.XLOOKUP(Pipeline_tbl[[#This Row],[Rate_Code_Generalized]],Lookups!A:A,Lookups!B:B))*Pipeline_tbl[[#This Row],[Pipeline_Amount_USD]]</f>
        <v>3100</v>
      </c>
      <c r="O6337" t="str">
        <f>_xlfn.XLOOKUP(Pipeline_tbl[[#This Row],[Rep_ID]],Dim_Reps!A:A,Dim_Reps!B:B)</f>
        <v>Riley Haddad</v>
      </c>
      <c r="P6337" t="str">
        <f>_xlfn.XLOOKUP(Pipeline_tbl[[#This Row],[Rep_ID]],Dim_Reps!A:A,Dim_Reps!C:C)</f>
        <v>SDR / Inside Sales Rep</v>
      </c>
      <c r="Q6337" t="str">
        <f>_xlfn.XLOOKUP(Pipeline_tbl[[#This Row],[Rep_ID]],Dim_Reps!A:A,Dim_Reps!D:D)</f>
        <v>Inside Sales</v>
      </c>
      <c r="R6337" t="str">
        <f>_xlfn.XLOOKUP(Pipeline_tbl[[#This Row],[Rep_ID]],Dim_Reps!A:A,Dim_Reps!E:E)</f>
        <v>APAC</v>
      </c>
      <c r="S6337" t="str">
        <f>_xlfn.XLOOKUP(Pipeline_tbl[[#This Row],[Created_Date]],Dim_Date!A:A,Dim_Date!H:H)</f>
        <v>Apr 2025</v>
      </c>
      <c r="T6337" t="str">
        <f>IF(Pipeline_tbl[[#This Row],[Closed_Date]]=0,"",(_xlfn.XLOOKUP(Pipeline_tbl[[#This Row],[Closed_Date]],Dim_Date!A:A,Dim_Date!H:H)))</f>
        <v>Apr 2025</v>
      </c>
      <c r="U6337">
        <f>IF(Pipeline_tbl[[#This Row],[Closed_Date]]=0,"",Pipeline_tbl[[#This Row],[Closed_Date]]-Pipeline_tbl[[#This Row],[Created_Date]])</f>
        <v>14</v>
      </c>
    </row>
    <row r="6338" spans="1:21" ht="15" customHeight="1" x14ac:dyDescent="0.2">
      <c r="A6338" t="s">
        <v>6644</v>
      </c>
      <c r="B6338" t="s">
        <v>203</v>
      </c>
      <c r="C6338" t="s">
        <v>56</v>
      </c>
      <c r="D6338" s="49">
        <v>45757</v>
      </c>
      <c r="E6338" s="49">
        <v>45759</v>
      </c>
      <c r="F6338" s="49">
        <v>45762</v>
      </c>
      <c r="G6338" s="49">
        <v>45767</v>
      </c>
      <c r="I6338" s="49">
        <v>45773</v>
      </c>
      <c r="J6338" t="s">
        <v>49</v>
      </c>
      <c r="K6338" s="33">
        <v>4800</v>
      </c>
      <c r="L6338" t="s">
        <v>62</v>
      </c>
      <c r="M6338" t="str">
        <f>_xlfn.XLOOKUP(Pipeline_tbl[[#This Row],[Rep_ID]],Dim_Reps!A:A,Dim_Reps!K:K)</f>
        <v>EUR</v>
      </c>
      <c r="N6338" s="33">
        <f>(_xlfn.XLOOKUP(Pipeline_tbl[[#This Row],[Rate_Code_Generalized]],Lookups!A:A,Lookups!B:B))*Pipeline_tbl[[#This Row],[Pipeline_Amount_USD]]</f>
        <v>4800</v>
      </c>
      <c r="O6338" t="str">
        <f>_xlfn.XLOOKUP(Pipeline_tbl[[#This Row],[Rep_ID]],Dim_Reps!A:A,Dim_Reps!B:B)</f>
        <v>Riley Haddad</v>
      </c>
      <c r="P6338" t="str">
        <f>_xlfn.XLOOKUP(Pipeline_tbl[[#This Row],[Rep_ID]],Dim_Reps!A:A,Dim_Reps!C:C)</f>
        <v>SDR / Inside Sales Rep</v>
      </c>
      <c r="Q6338" t="str">
        <f>_xlfn.XLOOKUP(Pipeline_tbl[[#This Row],[Rep_ID]],Dim_Reps!A:A,Dim_Reps!D:D)</f>
        <v>Inside Sales</v>
      </c>
      <c r="R6338" t="str">
        <f>_xlfn.XLOOKUP(Pipeline_tbl[[#This Row],[Rep_ID]],Dim_Reps!A:A,Dim_Reps!E:E)</f>
        <v>APAC</v>
      </c>
      <c r="S6338" t="str">
        <f>_xlfn.XLOOKUP(Pipeline_tbl[[#This Row],[Created_Date]],Dim_Date!A:A,Dim_Date!H:H)</f>
        <v>Apr 2025</v>
      </c>
      <c r="T6338" t="str">
        <f>IF(Pipeline_tbl[[#This Row],[Closed_Date]]=0,"",(_xlfn.XLOOKUP(Pipeline_tbl[[#This Row],[Closed_Date]],Dim_Date!A:A,Dim_Date!H:H)))</f>
        <v>Apr 2025</v>
      </c>
      <c r="U6338">
        <f>IF(Pipeline_tbl[[#This Row],[Closed_Date]]=0,"",Pipeline_tbl[[#This Row],[Closed_Date]]-Pipeline_tbl[[#This Row],[Created_Date]])</f>
        <v>16</v>
      </c>
    </row>
    <row r="6339" spans="1:21" ht="15" customHeight="1" x14ac:dyDescent="0.2">
      <c r="A6339" t="s">
        <v>6645</v>
      </c>
      <c r="B6339" t="s">
        <v>205</v>
      </c>
      <c r="C6339" t="s">
        <v>52</v>
      </c>
      <c r="D6339" s="49">
        <v>45757</v>
      </c>
      <c r="E6339" s="49">
        <v>45758</v>
      </c>
      <c r="F6339" s="49">
        <v>45761</v>
      </c>
      <c r="G6339" s="49">
        <v>45765</v>
      </c>
      <c r="H6339" s="49">
        <v>45769</v>
      </c>
      <c r="I6339" s="49">
        <v>45771</v>
      </c>
      <c r="J6339" t="s">
        <v>47</v>
      </c>
      <c r="K6339" s="33">
        <v>4000</v>
      </c>
      <c r="M6339" t="str">
        <f>_xlfn.XLOOKUP(Pipeline_tbl[[#This Row],[Rep_ID]],Dim_Reps!A:A,Dim_Reps!K:K)</f>
        <v>EUR</v>
      </c>
      <c r="N6339" s="33">
        <f>(_xlfn.XLOOKUP(Pipeline_tbl[[#This Row],[Rate_Code_Generalized]],Lookups!A:A,Lookups!B:B))*Pipeline_tbl[[#This Row],[Pipeline_Amount_USD]]</f>
        <v>4000</v>
      </c>
      <c r="O6339" t="str">
        <f>_xlfn.XLOOKUP(Pipeline_tbl[[#This Row],[Rep_ID]],Dim_Reps!A:A,Dim_Reps!B:B)</f>
        <v>Karim Alvarez</v>
      </c>
      <c r="P6339" t="str">
        <f>_xlfn.XLOOKUP(Pipeline_tbl[[#This Row],[Rep_ID]],Dim_Reps!A:A,Dim_Reps!C:C)</f>
        <v>SDR / Inside Sales Rep</v>
      </c>
      <c r="Q6339" t="str">
        <f>_xlfn.XLOOKUP(Pipeline_tbl[[#This Row],[Rep_ID]],Dim_Reps!A:A,Dim_Reps!D:D)</f>
        <v>Inside Sales</v>
      </c>
      <c r="R6339" t="str">
        <f>_xlfn.XLOOKUP(Pipeline_tbl[[#This Row],[Rep_ID]],Dim_Reps!A:A,Dim_Reps!E:E)</f>
        <v>EMEA</v>
      </c>
      <c r="S6339" t="str">
        <f>_xlfn.XLOOKUP(Pipeline_tbl[[#This Row],[Created_Date]],Dim_Date!A:A,Dim_Date!H:H)</f>
        <v>Apr 2025</v>
      </c>
      <c r="T6339" t="str">
        <f>IF(Pipeline_tbl[[#This Row],[Closed_Date]]=0,"",(_xlfn.XLOOKUP(Pipeline_tbl[[#This Row],[Closed_Date]],Dim_Date!A:A,Dim_Date!H:H)))</f>
        <v>Apr 2025</v>
      </c>
      <c r="U6339">
        <f>IF(Pipeline_tbl[[#This Row],[Closed_Date]]=0,"",Pipeline_tbl[[#This Row],[Closed_Date]]-Pipeline_tbl[[#This Row],[Created_Date]])</f>
        <v>14</v>
      </c>
    </row>
    <row r="6340" spans="1:21" ht="15" customHeight="1" x14ac:dyDescent="0.2">
      <c r="A6340" t="s">
        <v>6646</v>
      </c>
      <c r="B6340" t="s">
        <v>205</v>
      </c>
      <c r="C6340" t="s">
        <v>52</v>
      </c>
      <c r="D6340" s="49">
        <v>45759</v>
      </c>
      <c r="E6340" s="49">
        <v>45760</v>
      </c>
      <c r="F6340" s="49">
        <v>45762</v>
      </c>
      <c r="G6340" s="49">
        <v>45765</v>
      </c>
      <c r="I6340" s="49">
        <v>45769</v>
      </c>
      <c r="J6340" t="s">
        <v>49</v>
      </c>
      <c r="K6340" s="33">
        <v>1100</v>
      </c>
      <c r="L6340" t="s">
        <v>62</v>
      </c>
      <c r="M6340" t="str">
        <f>_xlfn.XLOOKUP(Pipeline_tbl[[#This Row],[Rep_ID]],Dim_Reps!A:A,Dim_Reps!K:K)</f>
        <v>EUR</v>
      </c>
      <c r="N6340" s="33">
        <f>(_xlfn.XLOOKUP(Pipeline_tbl[[#This Row],[Rate_Code_Generalized]],Lookups!A:A,Lookups!B:B))*Pipeline_tbl[[#This Row],[Pipeline_Amount_USD]]</f>
        <v>1100</v>
      </c>
      <c r="O6340" t="str">
        <f>_xlfn.XLOOKUP(Pipeline_tbl[[#This Row],[Rep_ID]],Dim_Reps!A:A,Dim_Reps!B:B)</f>
        <v>Karim Alvarez</v>
      </c>
      <c r="P6340" t="str">
        <f>_xlfn.XLOOKUP(Pipeline_tbl[[#This Row],[Rep_ID]],Dim_Reps!A:A,Dim_Reps!C:C)</f>
        <v>SDR / Inside Sales Rep</v>
      </c>
      <c r="Q6340" t="str">
        <f>_xlfn.XLOOKUP(Pipeline_tbl[[#This Row],[Rep_ID]],Dim_Reps!A:A,Dim_Reps!D:D)</f>
        <v>Inside Sales</v>
      </c>
      <c r="R6340" t="str">
        <f>_xlfn.XLOOKUP(Pipeline_tbl[[#This Row],[Rep_ID]],Dim_Reps!A:A,Dim_Reps!E:E)</f>
        <v>EMEA</v>
      </c>
      <c r="S6340" t="str">
        <f>_xlfn.XLOOKUP(Pipeline_tbl[[#This Row],[Created_Date]],Dim_Date!A:A,Dim_Date!H:H)</f>
        <v>Apr 2025</v>
      </c>
      <c r="T6340" t="str">
        <f>IF(Pipeline_tbl[[#This Row],[Closed_Date]]=0,"",(_xlfn.XLOOKUP(Pipeline_tbl[[#This Row],[Closed_Date]],Dim_Date!A:A,Dim_Date!H:H)))</f>
        <v>Apr 2025</v>
      </c>
      <c r="U6340">
        <f>IF(Pipeline_tbl[[#This Row],[Closed_Date]]=0,"",Pipeline_tbl[[#This Row],[Closed_Date]]-Pipeline_tbl[[#This Row],[Created_Date]])</f>
        <v>10</v>
      </c>
    </row>
    <row r="6341" spans="1:21" ht="15" customHeight="1" x14ac:dyDescent="0.2">
      <c r="A6341" t="s">
        <v>6647</v>
      </c>
      <c r="B6341" t="s">
        <v>205</v>
      </c>
      <c r="C6341" t="s">
        <v>54</v>
      </c>
      <c r="D6341" s="49">
        <v>45751</v>
      </c>
      <c r="E6341" s="49">
        <v>45752</v>
      </c>
      <c r="F6341" s="49">
        <v>45754</v>
      </c>
      <c r="G6341" s="49">
        <v>45758</v>
      </c>
      <c r="H6341" s="49">
        <v>45760</v>
      </c>
      <c r="I6341" s="49">
        <v>45762</v>
      </c>
      <c r="J6341" t="s">
        <v>49</v>
      </c>
      <c r="K6341" s="33">
        <v>2200</v>
      </c>
      <c r="L6341" t="s">
        <v>61</v>
      </c>
      <c r="M6341" t="str">
        <f>_xlfn.XLOOKUP(Pipeline_tbl[[#This Row],[Rep_ID]],Dim_Reps!A:A,Dim_Reps!K:K)</f>
        <v>EUR</v>
      </c>
      <c r="N6341" s="33">
        <f>(_xlfn.XLOOKUP(Pipeline_tbl[[#This Row],[Rate_Code_Generalized]],Lookups!A:A,Lookups!B:B))*Pipeline_tbl[[#This Row],[Pipeline_Amount_USD]]</f>
        <v>2200</v>
      </c>
      <c r="O6341" t="str">
        <f>_xlfn.XLOOKUP(Pipeline_tbl[[#This Row],[Rep_ID]],Dim_Reps!A:A,Dim_Reps!B:B)</f>
        <v>Karim Alvarez</v>
      </c>
      <c r="P6341" t="str">
        <f>_xlfn.XLOOKUP(Pipeline_tbl[[#This Row],[Rep_ID]],Dim_Reps!A:A,Dim_Reps!C:C)</f>
        <v>SDR / Inside Sales Rep</v>
      </c>
      <c r="Q6341" t="str">
        <f>_xlfn.XLOOKUP(Pipeline_tbl[[#This Row],[Rep_ID]],Dim_Reps!A:A,Dim_Reps!D:D)</f>
        <v>Inside Sales</v>
      </c>
      <c r="R6341" t="str">
        <f>_xlfn.XLOOKUP(Pipeline_tbl[[#This Row],[Rep_ID]],Dim_Reps!A:A,Dim_Reps!E:E)</f>
        <v>EMEA</v>
      </c>
      <c r="S6341" t="str">
        <f>_xlfn.XLOOKUP(Pipeline_tbl[[#This Row],[Created_Date]],Dim_Date!A:A,Dim_Date!H:H)</f>
        <v>Apr 2025</v>
      </c>
      <c r="T6341" t="str">
        <f>IF(Pipeline_tbl[[#This Row],[Closed_Date]]=0,"",(_xlfn.XLOOKUP(Pipeline_tbl[[#This Row],[Closed_Date]],Dim_Date!A:A,Dim_Date!H:H)))</f>
        <v>Apr 2025</v>
      </c>
      <c r="U6341">
        <f>IF(Pipeline_tbl[[#This Row],[Closed_Date]]=0,"",Pipeline_tbl[[#This Row],[Closed_Date]]-Pipeline_tbl[[#This Row],[Created_Date]])</f>
        <v>11</v>
      </c>
    </row>
    <row r="6342" spans="1:21" ht="15" customHeight="1" x14ac:dyDescent="0.2">
      <c r="A6342" t="s">
        <v>6648</v>
      </c>
      <c r="B6342" t="s">
        <v>205</v>
      </c>
      <c r="C6342" t="s">
        <v>54</v>
      </c>
      <c r="D6342" s="49">
        <v>45754</v>
      </c>
      <c r="E6342" s="49">
        <v>45755</v>
      </c>
      <c r="F6342" s="49">
        <v>45758</v>
      </c>
      <c r="G6342" s="49">
        <v>45761</v>
      </c>
      <c r="H6342" s="49">
        <v>45764</v>
      </c>
      <c r="I6342" s="49">
        <v>45766</v>
      </c>
      <c r="J6342" t="s">
        <v>47</v>
      </c>
      <c r="K6342" s="33">
        <v>3800</v>
      </c>
      <c r="M6342" t="str">
        <f>_xlfn.XLOOKUP(Pipeline_tbl[[#This Row],[Rep_ID]],Dim_Reps!A:A,Dim_Reps!K:K)</f>
        <v>EUR</v>
      </c>
      <c r="N6342" s="33">
        <f>(_xlfn.XLOOKUP(Pipeline_tbl[[#This Row],[Rate_Code_Generalized]],Lookups!A:A,Lookups!B:B))*Pipeline_tbl[[#This Row],[Pipeline_Amount_USD]]</f>
        <v>3800</v>
      </c>
      <c r="O6342" t="str">
        <f>_xlfn.XLOOKUP(Pipeline_tbl[[#This Row],[Rep_ID]],Dim_Reps!A:A,Dim_Reps!B:B)</f>
        <v>Karim Alvarez</v>
      </c>
      <c r="P6342" t="str">
        <f>_xlfn.XLOOKUP(Pipeline_tbl[[#This Row],[Rep_ID]],Dim_Reps!A:A,Dim_Reps!C:C)</f>
        <v>SDR / Inside Sales Rep</v>
      </c>
      <c r="Q6342" t="str">
        <f>_xlfn.XLOOKUP(Pipeline_tbl[[#This Row],[Rep_ID]],Dim_Reps!A:A,Dim_Reps!D:D)</f>
        <v>Inside Sales</v>
      </c>
      <c r="R6342" t="str">
        <f>_xlfn.XLOOKUP(Pipeline_tbl[[#This Row],[Rep_ID]],Dim_Reps!A:A,Dim_Reps!E:E)</f>
        <v>EMEA</v>
      </c>
      <c r="S6342" t="str">
        <f>_xlfn.XLOOKUP(Pipeline_tbl[[#This Row],[Created_Date]],Dim_Date!A:A,Dim_Date!H:H)</f>
        <v>Apr 2025</v>
      </c>
      <c r="T6342" t="str">
        <f>IF(Pipeline_tbl[[#This Row],[Closed_Date]]=0,"",(_xlfn.XLOOKUP(Pipeline_tbl[[#This Row],[Closed_Date]],Dim_Date!A:A,Dim_Date!H:H)))</f>
        <v>Apr 2025</v>
      </c>
      <c r="U6342">
        <f>IF(Pipeline_tbl[[#This Row],[Closed_Date]]=0,"",Pipeline_tbl[[#This Row],[Closed_Date]]-Pipeline_tbl[[#This Row],[Created_Date]])</f>
        <v>12</v>
      </c>
    </row>
    <row r="6343" spans="1:21" ht="15" customHeight="1" x14ac:dyDescent="0.2">
      <c r="A6343" t="s">
        <v>6649</v>
      </c>
      <c r="B6343" t="s">
        <v>205</v>
      </c>
      <c r="C6343" t="s">
        <v>53</v>
      </c>
      <c r="D6343" s="49">
        <v>45752</v>
      </c>
      <c r="E6343" s="49">
        <v>45754</v>
      </c>
      <c r="F6343" s="49">
        <v>45759</v>
      </c>
      <c r="G6343" s="49">
        <v>45765</v>
      </c>
      <c r="H6343" s="49">
        <v>45771</v>
      </c>
      <c r="I6343" s="49">
        <v>45774</v>
      </c>
      <c r="J6343" t="s">
        <v>47</v>
      </c>
      <c r="K6343" s="33">
        <v>1900</v>
      </c>
      <c r="M6343" t="str">
        <f>_xlfn.XLOOKUP(Pipeline_tbl[[#This Row],[Rep_ID]],Dim_Reps!A:A,Dim_Reps!K:K)</f>
        <v>EUR</v>
      </c>
      <c r="N6343" s="33">
        <f>(_xlfn.XLOOKUP(Pipeline_tbl[[#This Row],[Rate_Code_Generalized]],Lookups!A:A,Lookups!B:B))*Pipeline_tbl[[#This Row],[Pipeline_Amount_USD]]</f>
        <v>1900</v>
      </c>
      <c r="O6343" t="str">
        <f>_xlfn.XLOOKUP(Pipeline_tbl[[#This Row],[Rep_ID]],Dim_Reps!A:A,Dim_Reps!B:B)</f>
        <v>Karim Alvarez</v>
      </c>
      <c r="P6343" t="str">
        <f>_xlfn.XLOOKUP(Pipeline_tbl[[#This Row],[Rep_ID]],Dim_Reps!A:A,Dim_Reps!C:C)</f>
        <v>SDR / Inside Sales Rep</v>
      </c>
      <c r="Q6343" t="str">
        <f>_xlfn.XLOOKUP(Pipeline_tbl[[#This Row],[Rep_ID]],Dim_Reps!A:A,Dim_Reps!D:D)</f>
        <v>Inside Sales</v>
      </c>
      <c r="R6343" t="str">
        <f>_xlfn.XLOOKUP(Pipeline_tbl[[#This Row],[Rep_ID]],Dim_Reps!A:A,Dim_Reps!E:E)</f>
        <v>EMEA</v>
      </c>
      <c r="S6343" t="str">
        <f>_xlfn.XLOOKUP(Pipeline_tbl[[#This Row],[Created_Date]],Dim_Date!A:A,Dim_Date!H:H)</f>
        <v>Apr 2025</v>
      </c>
      <c r="T6343" t="str">
        <f>IF(Pipeline_tbl[[#This Row],[Closed_Date]]=0,"",(_xlfn.XLOOKUP(Pipeline_tbl[[#This Row],[Closed_Date]],Dim_Date!A:A,Dim_Date!H:H)))</f>
        <v>Apr 2025</v>
      </c>
      <c r="U6343">
        <f>IF(Pipeline_tbl[[#This Row],[Closed_Date]]=0,"",Pipeline_tbl[[#This Row],[Closed_Date]]-Pipeline_tbl[[#This Row],[Created_Date]])</f>
        <v>22</v>
      </c>
    </row>
    <row r="6344" spans="1:21" ht="15" customHeight="1" x14ac:dyDescent="0.2">
      <c r="A6344" t="s">
        <v>6650</v>
      </c>
      <c r="B6344" t="s">
        <v>207</v>
      </c>
      <c r="C6344" t="s">
        <v>52</v>
      </c>
      <c r="D6344" s="49">
        <v>45757</v>
      </c>
      <c r="E6344" s="49">
        <v>45758</v>
      </c>
      <c r="F6344" s="49">
        <v>45759</v>
      </c>
      <c r="G6344" s="49">
        <v>45761</v>
      </c>
      <c r="H6344" s="49">
        <v>45763</v>
      </c>
      <c r="I6344" s="49">
        <v>45764</v>
      </c>
      <c r="J6344" t="s">
        <v>47</v>
      </c>
      <c r="K6344" s="33">
        <v>4000</v>
      </c>
      <c r="M6344" t="str">
        <f>_xlfn.XLOOKUP(Pipeline_tbl[[#This Row],[Rep_ID]],Dim_Reps!A:A,Dim_Reps!K:K)</f>
        <v>EUR</v>
      </c>
      <c r="N6344" s="33">
        <f>(_xlfn.XLOOKUP(Pipeline_tbl[[#This Row],[Rate_Code_Generalized]],Lookups!A:A,Lookups!B:B))*Pipeline_tbl[[#This Row],[Pipeline_Amount_USD]]</f>
        <v>4000</v>
      </c>
      <c r="O6344" t="str">
        <f>_xlfn.XLOOKUP(Pipeline_tbl[[#This Row],[Rep_ID]],Dim_Reps!A:A,Dim_Reps!B:B)</f>
        <v>Sam Castro</v>
      </c>
      <c r="P6344" t="str">
        <f>_xlfn.XLOOKUP(Pipeline_tbl[[#This Row],[Rep_ID]],Dim_Reps!A:A,Dim_Reps!C:C)</f>
        <v>SDR / Inside Sales Rep</v>
      </c>
      <c r="Q6344" t="str">
        <f>_xlfn.XLOOKUP(Pipeline_tbl[[#This Row],[Rep_ID]],Dim_Reps!A:A,Dim_Reps!D:D)</f>
        <v>Inside Sales</v>
      </c>
      <c r="R6344" t="str">
        <f>_xlfn.XLOOKUP(Pipeline_tbl[[#This Row],[Rep_ID]],Dim_Reps!A:A,Dim_Reps!E:E)</f>
        <v>APAC</v>
      </c>
      <c r="S6344" t="str">
        <f>_xlfn.XLOOKUP(Pipeline_tbl[[#This Row],[Created_Date]],Dim_Date!A:A,Dim_Date!H:H)</f>
        <v>Apr 2025</v>
      </c>
      <c r="T6344" t="str">
        <f>IF(Pipeline_tbl[[#This Row],[Closed_Date]]=0,"",(_xlfn.XLOOKUP(Pipeline_tbl[[#This Row],[Closed_Date]],Dim_Date!A:A,Dim_Date!H:H)))</f>
        <v>Apr 2025</v>
      </c>
      <c r="U6344">
        <f>IF(Pipeline_tbl[[#This Row],[Closed_Date]]=0,"",Pipeline_tbl[[#This Row],[Closed_Date]]-Pipeline_tbl[[#This Row],[Created_Date]])</f>
        <v>7</v>
      </c>
    </row>
    <row r="6345" spans="1:21" ht="15" customHeight="1" x14ac:dyDescent="0.2">
      <c r="A6345" t="s">
        <v>6651</v>
      </c>
      <c r="B6345" t="s">
        <v>207</v>
      </c>
      <c r="C6345" t="s">
        <v>55</v>
      </c>
      <c r="D6345" s="49">
        <v>45755</v>
      </c>
      <c r="E6345" s="49">
        <v>45756</v>
      </c>
      <c r="F6345" s="49">
        <v>45758</v>
      </c>
      <c r="I6345" s="49">
        <v>45764</v>
      </c>
      <c r="J6345" t="s">
        <v>49</v>
      </c>
      <c r="K6345" s="33">
        <v>2900</v>
      </c>
      <c r="L6345" t="s">
        <v>62</v>
      </c>
      <c r="M6345" t="str">
        <f>_xlfn.XLOOKUP(Pipeline_tbl[[#This Row],[Rep_ID]],Dim_Reps!A:A,Dim_Reps!K:K)</f>
        <v>EUR</v>
      </c>
      <c r="N6345" s="33">
        <f>(_xlfn.XLOOKUP(Pipeline_tbl[[#This Row],[Rate_Code_Generalized]],Lookups!A:A,Lookups!B:B))*Pipeline_tbl[[#This Row],[Pipeline_Amount_USD]]</f>
        <v>2900</v>
      </c>
      <c r="O6345" t="str">
        <f>_xlfn.XLOOKUP(Pipeline_tbl[[#This Row],[Rep_ID]],Dim_Reps!A:A,Dim_Reps!B:B)</f>
        <v>Sam Castro</v>
      </c>
      <c r="P6345" t="str">
        <f>_xlfn.XLOOKUP(Pipeline_tbl[[#This Row],[Rep_ID]],Dim_Reps!A:A,Dim_Reps!C:C)</f>
        <v>SDR / Inside Sales Rep</v>
      </c>
      <c r="Q6345" t="str">
        <f>_xlfn.XLOOKUP(Pipeline_tbl[[#This Row],[Rep_ID]],Dim_Reps!A:A,Dim_Reps!D:D)</f>
        <v>Inside Sales</v>
      </c>
      <c r="R6345" t="str">
        <f>_xlfn.XLOOKUP(Pipeline_tbl[[#This Row],[Rep_ID]],Dim_Reps!A:A,Dim_Reps!E:E)</f>
        <v>APAC</v>
      </c>
      <c r="S6345" t="str">
        <f>_xlfn.XLOOKUP(Pipeline_tbl[[#This Row],[Created_Date]],Dim_Date!A:A,Dim_Date!H:H)</f>
        <v>Apr 2025</v>
      </c>
      <c r="T6345" t="str">
        <f>IF(Pipeline_tbl[[#This Row],[Closed_Date]]=0,"",(_xlfn.XLOOKUP(Pipeline_tbl[[#This Row],[Closed_Date]],Dim_Date!A:A,Dim_Date!H:H)))</f>
        <v>Apr 2025</v>
      </c>
      <c r="U6345">
        <f>IF(Pipeline_tbl[[#This Row],[Closed_Date]]=0,"",Pipeline_tbl[[#This Row],[Closed_Date]]-Pipeline_tbl[[#This Row],[Created_Date]])</f>
        <v>9</v>
      </c>
    </row>
    <row r="6346" spans="1:21" ht="15" customHeight="1" x14ac:dyDescent="0.2">
      <c r="A6346" t="s">
        <v>6652</v>
      </c>
      <c r="B6346" t="s">
        <v>207</v>
      </c>
      <c r="C6346" t="s">
        <v>53</v>
      </c>
      <c r="D6346" s="49">
        <v>45758</v>
      </c>
      <c r="E6346" s="49">
        <v>45760</v>
      </c>
      <c r="F6346" s="49">
        <v>45763</v>
      </c>
      <c r="G6346" s="49">
        <v>45769</v>
      </c>
      <c r="H6346" s="49">
        <v>45773</v>
      </c>
      <c r="I6346" s="49">
        <v>45776</v>
      </c>
      <c r="J6346" t="s">
        <v>47</v>
      </c>
      <c r="K6346" s="33">
        <v>3000</v>
      </c>
      <c r="M6346" t="str">
        <f>_xlfn.XLOOKUP(Pipeline_tbl[[#This Row],[Rep_ID]],Dim_Reps!A:A,Dim_Reps!K:K)</f>
        <v>EUR</v>
      </c>
      <c r="N6346" s="33">
        <f>(_xlfn.XLOOKUP(Pipeline_tbl[[#This Row],[Rate_Code_Generalized]],Lookups!A:A,Lookups!B:B))*Pipeline_tbl[[#This Row],[Pipeline_Amount_USD]]</f>
        <v>3000</v>
      </c>
      <c r="O6346" t="str">
        <f>_xlfn.XLOOKUP(Pipeline_tbl[[#This Row],[Rep_ID]],Dim_Reps!A:A,Dim_Reps!B:B)</f>
        <v>Sam Castro</v>
      </c>
      <c r="P6346" t="str">
        <f>_xlfn.XLOOKUP(Pipeline_tbl[[#This Row],[Rep_ID]],Dim_Reps!A:A,Dim_Reps!C:C)</f>
        <v>SDR / Inside Sales Rep</v>
      </c>
      <c r="Q6346" t="str">
        <f>_xlfn.XLOOKUP(Pipeline_tbl[[#This Row],[Rep_ID]],Dim_Reps!A:A,Dim_Reps!D:D)</f>
        <v>Inside Sales</v>
      </c>
      <c r="R6346" t="str">
        <f>_xlfn.XLOOKUP(Pipeline_tbl[[#This Row],[Rep_ID]],Dim_Reps!A:A,Dim_Reps!E:E)</f>
        <v>APAC</v>
      </c>
      <c r="S6346" t="str">
        <f>_xlfn.XLOOKUP(Pipeline_tbl[[#This Row],[Created_Date]],Dim_Date!A:A,Dim_Date!H:H)</f>
        <v>Apr 2025</v>
      </c>
      <c r="T6346" t="str">
        <f>IF(Pipeline_tbl[[#This Row],[Closed_Date]]=0,"",(_xlfn.XLOOKUP(Pipeline_tbl[[#This Row],[Closed_Date]],Dim_Date!A:A,Dim_Date!H:H)))</f>
        <v>Apr 2025</v>
      </c>
      <c r="U6346">
        <f>IF(Pipeline_tbl[[#This Row],[Closed_Date]]=0,"",Pipeline_tbl[[#This Row],[Closed_Date]]-Pipeline_tbl[[#This Row],[Created_Date]])</f>
        <v>18</v>
      </c>
    </row>
    <row r="6347" spans="1:21" ht="15" customHeight="1" x14ac:dyDescent="0.2">
      <c r="A6347" t="s">
        <v>6653</v>
      </c>
      <c r="B6347" t="s">
        <v>207</v>
      </c>
      <c r="C6347" t="s">
        <v>52</v>
      </c>
      <c r="D6347" s="49">
        <v>45753</v>
      </c>
      <c r="E6347" s="49">
        <v>45755</v>
      </c>
      <c r="F6347" s="49">
        <v>45758</v>
      </c>
      <c r="G6347" s="49">
        <v>45763</v>
      </c>
      <c r="H6347" s="49">
        <v>45767</v>
      </c>
      <c r="I6347" s="49">
        <v>45769</v>
      </c>
      <c r="J6347" t="s">
        <v>47</v>
      </c>
      <c r="K6347" s="33">
        <v>3500</v>
      </c>
      <c r="M6347" t="str">
        <f>_xlfn.XLOOKUP(Pipeline_tbl[[#This Row],[Rep_ID]],Dim_Reps!A:A,Dim_Reps!K:K)</f>
        <v>EUR</v>
      </c>
      <c r="N6347" s="33">
        <f>(_xlfn.XLOOKUP(Pipeline_tbl[[#This Row],[Rate_Code_Generalized]],Lookups!A:A,Lookups!B:B))*Pipeline_tbl[[#This Row],[Pipeline_Amount_USD]]</f>
        <v>3500</v>
      </c>
      <c r="O6347" t="str">
        <f>_xlfn.XLOOKUP(Pipeline_tbl[[#This Row],[Rep_ID]],Dim_Reps!A:A,Dim_Reps!B:B)</f>
        <v>Sam Castro</v>
      </c>
      <c r="P6347" t="str">
        <f>_xlfn.XLOOKUP(Pipeline_tbl[[#This Row],[Rep_ID]],Dim_Reps!A:A,Dim_Reps!C:C)</f>
        <v>SDR / Inside Sales Rep</v>
      </c>
      <c r="Q6347" t="str">
        <f>_xlfn.XLOOKUP(Pipeline_tbl[[#This Row],[Rep_ID]],Dim_Reps!A:A,Dim_Reps!D:D)</f>
        <v>Inside Sales</v>
      </c>
      <c r="R6347" t="str">
        <f>_xlfn.XLOOKUP(Pipeline_tbl[[#This Row],[Rep_ID]],Dim_Reps!A:A,Dim_Reps!E:E)</f>
        <v>APAC</v>
      </c>
      <c r="S6347" t="str">
        <f>_xlfn.XLOOKUP(Pipeline_tbl[[#This Row],[Created_Date]],Dim_Date!A:A,Dim_Date!H:H)</f>
        <v>Apr 2025</v>
      </c>
      <c r="T6347" t="str">
        <f>IF(Pipeline_tbl[[#This Row],[Closed_Date]]=0,"",(_xlfn.XLOOKUP(Pipeline_tbl[[#This Row],[Closed_Date]],Dim_Date!A:A,Dim_Date!H:H)))</f>
        <v>Apr 2025</v>
      </c>
      <c r="U6347">
        <f>IF(Pipeline_tbl[[#This Row],[Closed_Date]]=0,"",Pipeline_tbl[[#This Row],[Closed_Date]]-Pipeline_tbl[[#This Row],[Created_Date]])</f>
        <v>16</v>
      </c>
    </row>
    <row r="6348" spans="1:21" ht="15" customHeight="1" x14ac:dyDescent="0.2">
      <c r="A6348" t="s">
        <v>6654</v>
      </c>
      <c r="B6348" t="s">
        <v>207</v>
      </c>
      <c r="C6348" t="s">
        <v>55</v>
      </c>
      <c r="D6348" s="49">
        <v>45750</v>
      </c>
      <c r="E6348" s="49">
        <v>45752</v>
      </c>
      <c r="F6348" s="49">
        <v>45755</v>
      </c>
      <c r="G6348" s="49">
        <v>45761</v>
      </c>
      <c r="H6348" s="49">
        <v>45765</v>
      </c>
      <c r="I6348" s="49">
        <v>45768</v>
      </c>
      <c r="J6348" t="s">
        <v>47</v>
      </c>
      <c r="K6348" s="33">
        <v>2400</v>
      </c>
      <c r="M6348" t="str">
        <f>_xlfn.XLOOKUP(Pipeline_tbl[[#This Row],[Rep_ID]],Dim_Reps!A:A,Dim_Reps!K:K)</f>
        <v>EUR</v>
      </c>
      <c r="N6348" s="33">
        <f>(_xlfn.XLOOKUP(Pipeline_tbl[[#This Row],[Rate_Code_Generalized]],Lookups!A:A,Lookups!B:B))*Pipeline_tbl[[#This Row],[Pipeline_Amount_USD]]</f>
        <v>2400</v>
      </c>
      <c r="O6348" t="str">
        <f>_xlfn.XLOOKUP(Pipeline_tbl[[#This Row],[Rep_ID]],Dim_Reps!A:A,Dim_Reps!B:B)</f>
        <v>Sam Castro</v>
      </c>
      <c r="P6348" t="str">
        <f>_xlfn.XLOOKUP(Pipeline_tbl[[#This Row],[Rep_ID]],Dim_Reps!A:A,Dim_Reps!C:C)</f>
        <v>SDR / Inside Sales Rep</v>
      </c>
      <c r="Q6348" t="str">
        <f>_xlfn.XLOOKUP(Pipeline_tbl[[#This Row],[Rep_ID]],Dim_Reps!A:A,Dim_Reps!D:D)</f>
        <v>Inside Sales</v>
      </c>
      <c r="R6348" t="str">
        <f>_xlfn.XLOOKUP(Pipeline_tbl[[#This Row],[Rep_ID]],Dim_Reps!A:A,Dim_Reps!E:E)</f>
        <v>APAC</v>
      </c>
      <c r="S6348" t="str">
        <f>_xlfn.XLOOKUP(Pipeline_tbl[[#This Row],[Created_Date]],Dim_Date!A:A,Dim_Date!H:H)</f>
        <v>Apr 2025</v>
      </c>
      <c r="T6348" t="str">
        <f>IF(Pipeline_tbl[[#This Row],[Closed_Date]]=0,"",(_xlfn.XLOOKUP(Pipeline_tbl[[#This Row],[Closed_Date]],Dim_Date!A:A,Dim_Date!H:H)))</f>
        <v>Apr 2025</v>
      </c>
      <c r="U6348">
        <f>IF(Pipeline_tbl[[#This Row],[Closed_Date]]=0,"",Pipeline_tbl[[#This Row],[Closed_Date]]-Pipeline_tbl[[#This Row],[Created_Date]])</f>
        <v>18</v>
      </c>
    </row>
    <row r="6349" spans="1:21" ht="15" customHeight="1" x14ac:dyDescent="0.2">
      <c r="A6349" t="s">
        <v>6655</v>
      </c>
      <c r="B6349" t="s">
        <v>207</v>
      </c>
      <c r="C6349" t="s">
        <v>56</v>
      </c>
      <c r="D6349" s="49">
        <v>45751</v>
      </c>
      <c r="E6349" s="49">
        <v>45753</v>
      </c>
      <c r="F6349" s="49">
        <v>45757</v>
      </c>
      <c r="G6349" s="49">
        <v>45763</v>
      </c>
      <c r="H6349" s="49">
        <v>45768</v>
      </c>
      <c r="I6349" s="49">
        <v>45771</v>
      </c>
      <c r="J6349" t="s">
        <v>49</v>
      </c>
      <c r="K6349" s="33">
        <v>5500</v>
      </c>
      <c r="L6349" t="s">
        <v>61</v>
      </c>
      <c r="M6349" t="str">
        <f>_xlfn.XLOOKUP(Pipeline_tbl[[#This Row],[Rep_ID]],Dim_Reps!A:A,Dim_Reps!K:K)</f>
        <v>EUR</v>
      </c>
      <c r="N6349" s="33">
        <f>(_xlfn.XLOOKUP(Pipeline_tbl[[#This Row],[Rate_Code_Generalized]],Lookups!A:A,Lookups!B:B))*Pipeline_tbl[[#This Row],[Pipeline_Amount_USD]]</f>
        <v>5500</v>
      </c>
      <c r="O6349" t="str">
        <f>_xlfn.XLOOKUP(Pipeline_tbl[[#This Row],[Rep_ID]],Dim_Reps!A:A,Dim_Reps!B:B)</f>
        <v>Sam Castro</v>
      </c>
      <c r="P6349" t="str">
        <f>_xlfn.XLOOKUP(Pipeline_tbl[[#This Row],[Rep_ID]],Dim_Reps!A:A,Dim_Reps!C:C)</f>
        <v>SDR / Inside Sales Rep</v>
      </c>
      <c r="Q6349" t="str">
        <f>_xlfn.XLOOKUP(Pipeline_tbl[[#This Row],[Rep_ID]],Dim_Reps!A:A,Dim_Reps!D:D)</f>
        <v>Inside Sales</v>
      </c>
      <c r="R6349" t="str">
        <f>_xlfn.XLOOKUP(Pipeline_tbl[[#This Row],[Rep_ID]],Dim_Reps!A:A,Dim_Reps!E:E)</f>
        <v>APAC</v>
      </c>
      <c r="S6349" t="str">
        <f>_xlfn.XLOOKUP(Pipeline_tbl[[#This Row],[Created_Date]],Dim_Date!A:A,Dim_Date!H:H)</f>
        <v>Apr 2025</v>
      </c>
      <c r="T6349" t="str">
        <f>IF(Pipeline_tbl[[#This Row],[Closed_Date]]=0,"",(_xlfn.XLOOKUP(Pipeline_tbl[[#This Row],[Closed_Date]],Dim_Date!A:A,Dim_Date!H:H)))</f>
        <v>Apr 2025</v>
      </c>
      <c r="U6349">
        <f>IF(Pipeline_tbl[[#This Row],[Closed_Date]]=0,"",Pipeline_tbl[[#This Row],[Closed_Date]]-Pipeline_tbl[[#This Row],[Created_Date]])</f>
        <v>20</v>
      </c>
    </row>
    <row r="6350" spans="1:21" ht="15" customHeight="1" x14ac:dyDescent="0.2">
      <c r="A6350" t="s">
        <v>6656</v>
      </c>
      <c r="B6350" t="s">
        <v>207</v>
      </c>
      <c r="C6350" t="s">
        <v>52</v>
      </c>
      <c r="D6350" s="49">
        <v>45754</v>
      </c>
      <c r="E6350" s="49">
        <v>45755</v>
      </c>
      <c r="F6350" s="49">
        <v>45756</v>
      </c>
      <c r="G6350" s="49">
        <v>45759</v>
      </c>
      <c r="H6350" s="49">
        <v>45761</v>
      </c>
      <c r="I6350" s="49">
        <v>45762</v>
      </c>
      <c r="J6350" t="s">
        <v>47</v>
      </c>
      <c r="K6350" s="33">
        <v>2200</v>
      </c>
      <c r="M6350" t="str">
        <f>_xlfn.XLOOKUP(Pipeline_tbl[[#This Row],[Rep_ID]],Dim_Reps!A:A,Dim_Reps!K:K)</f>
        <v>EUR</v>
      </c>
      <c r="N6350" s="33">
        <f>(_xlfn.XLOOKUP(Pipeline_tbl[[#This Row],[Rate_Code_Generalized]],Lookups!A:A,Lookups!B:B))*Pipeline_tbl[[#This Row],[Pipeline_Amount_USD]]</f>
        <v>2200</v>
      </c>
      <c r="O6350" t="str">
        <f>_xlfn.XLOOKUP(Pipeline_tbl[[#This Row],[Rep_ID]],Dim_Reps!A:A,Dim_Reps!B:B)</f>
        <v>Sam Castro</v>
      </c>
      <c r="P6350" t="str">
        <f>_xlfn.XLOOKUP(Pipeline_tbl[[#This Row],[Rep_ID]],Dim_Reps!A:A,Dim_Reps!C:C)</f>
        <v>SDR / Inside Sales Rep</v>
      </c>
      <c r="Q6350" t="str">
        <f>_xlfn.XLOOKUP(Pipeline_tbl[[#This Row],[Rep_ID]],Dim_Reps!A:A,Dim_Reps!D:D)</f>
        <v>Inside Sales</v>
      </c>
      <c r="R6350" t="str">
        <f>_xlfn.XLOOKUP(Pipeline_tbl[[#This Row],[Rep_ID]],Dim_Reps!A:A,Dim_Reps!E:E)</f>
        <v>APAC</v>
      </c>
      <c r="S6350" t="str">
        <f>_xlfn.XLOOKUP(Pipeline_tbl[[#This Row],[Created_Date]],Dim_Date!A:A,Dim_Date!H:H)</f>
        <v>Apr 2025</v>
      </c>
      <c r="T6350" t="str">
        <f>IF(Pipeline_tbl[[#This Row],[Closed_Date]]=0,"",(_xlfn.XLOOKUP(Pipeline_tbl[[#This Row],[Closed_Date]],Dim_Date!A:A,Dim_Date!H:H)))</f>
        <v>Apr 2025</v>
      </c>
      <c r="U6350">
        <f>IF(Pipeline_tbl[[#This Row],[Closed_Date]]=0,"",Pipeline_tbl[[#This Row],[Closed_Date]]-Pipeline_tbl[[#This Row],[Created_Date]])</f>
        <v>8</v>
      </c>
    </row>
    <row r="6351" spans="1:21" ht="15" customHeight="1" x14ac:dyDescent="0.2">
      <c r="A6351" t="s">
        <v>6657</v>
      </c>
      <c r="B6351" t="s">
        <v>209</v>
      </c>
      <c r="C6351" t="s">
        <v>55</v>
      </c>
      <c r="D6351" s="49">
        <v>45764</v>
      </c>
      <c r="E6351" s="49">
        <v>45765</v>
      </c>
      <c r="F6351" s="49">
        <v>45768</v>
      </c>
      <c r="I6351" s="49">
        <v>45777</v>
      </c>
      <c r="J6351" t="s">
        <v>49</v>
      </c>
      <c r="K6351" s="33">
        <v>3100</v>
      </c>
      <c r="L6351" t="s">
        <v>63</v>
      </c>
      <c r="M6351" t="str">
        <f>_xlfn.XLOOKUP(Pipeline_tbl[[#This Row],[Rep_ID]],Dim_Reps!A:A,Dim_Reps!K:K)</f>
        <v>EUR</v>
      </c>
      <c r="N6351" s="33">
        <f>(_xlfn.XLOOKUP(Pipeline_tbl[[#This Row],[Rate_Code_Generalized]],Lookups!A:A,Lookups!B:B))*Pipeline_tbl[[#This Row],[Pipeline_Amount_USD]]</f>
        <v>3100</v>
      </c>
      <c r="O6351" t="str">
        <f>_xlfn.XLOOKUP(Pipeline_tbl[[#This Row],[Rep_ID]],Dim_Reps!A:A,Dim_Reps!B:B)</f>
        <v>Petra Larsen</v>
      </c>
      <c r="P6351" t="str">
        <f>_xlfn.XLOOKUP(Pipeline_tbl[[#This Row],[Rep_ID]],Dim_Reps!A:A,Dim_Reps!C:C)</f>
        <v>SDR / Inside Sales Rep</v>
      </c>
      <c r="Q6351" t="str">
        <f>_xlfn.XLOOKUP(Pipeline_tbl[[#This Row],[Rep_ID]],Dim_Reps!A:A,Dim_Reps!D:D)</f>
        <v>Inside Sales</v>
      </c>
      <c r="R6351" t="str">
        <f>_xlfn.XLOOKUP(Pipeline_tbl[[#This Row],[Rep_ID]],Dim_Reps!A:A,Dim_Reps!E:E)</f>
        <v>EMEA</v>
      </c>
      <c r="S6351" t="str">
        <f>_xlfn.XLOOKUP(Pipeline_tbl[[#This Row],[Created_Date]],Dim_Date!A:A,Dim_Date!H:H)</f>
        <v>Apr 2025</v>
      </c>
      <c r="T6351" t="str">
        <f>IF(Pipeline_tbl[[#This Row],[Closed_Date]]=0,"",(_xlfn.XLOOKUP(Pipeline_tbl[[#This Row],[Closed_Date]],Dim_Date!A:A,Dim_Date!H:H)))</f>
        <v>Apr 2025</v>
      </c>
      <c r="U6351">
        <f>IF(Pipeline_tbl[[#This Row],[Closed_Date]]=0,"",Pipeline_tbl[[#This Row],[Closed_Date]]-Pipeline_tbl[[#This Row],[Created_Date]])</f>
        <v>13</v>
      </c>
    </row>
    <row r="6352" spans="1:21" ht="15" customHeight="1" x14ac:dyDescent="0.2">
      <c r="A6352" t="s">
        <v>6658</v>
      </c>
      <c r="B6352" t="s">
        <v>209</v>
      </c>
      <c r="C6352" t="s">
        <v>55</v>
      </c>
      <c r="D6352" s="49">
        <v>45760</v>
      </c>
      <c r="E6352" s="49">
        <v>45762</v>
      </c>
      <c r="F6352" s="49">
        <v>45765</v>
      </c>
      <c r="G6352" s="49">
        <v>45769</v>
      </c>
      <c r="I6352" s="49">
        <v>45775</v>
      </c>
      <c r="J6352" t="s">
        <v>49</v>
      </c>
      <c r="K6352" s="33">
        <v>2000</v>
      </c>
      <c r="L6352" t="s">
        <v>60</v>
      </c>
      <c r="M6352" t="str">
        <f>_xlfn.XLOOKUP(Pipeline_tbl[[#This Row],[Rep_ID]],Dim_Reps!A:A,Dim_Reps!K:K)</f>
        <v>EUR</v>
      </c>
      <c r="N6352" s="33">
        <f>(_xlfn.XLOOKUP(Pipeline_tbl[[#This Row],[Rate_Code_Generalized]],Lookups!A:A,Lookups!B:B))*Pipeline_tbl[[#This Row],[Pipeline_Amount_USD]]</f>
        <v>2000</v>
      </c>
      <c r="O6352" t="str">
        <f>_xlfn.XLOOKUP(Pipeline_tbl[[#This Row],[Rep_ID]],Dim_Reps!A:A,Dim_Reps!B:B)</f>
        <v>Petra Larsen</v>
      </c>
      <c r="P6352" t="str">
        <f>_xlfn.XLOOKUP(Pipeline_tbl[[#This Row],[Rep_ID]],Dim_Reps!A:A,Dim_Reps!C:C)</f>
        <v>SDR / Inside Sales Rep</v>
      </c>
      <c r="Q6352" t="str">
        <f>_xlfn.XLOOKUP(Pipeline_tbl[[#This Row],[Rep_ID]],Dim_Reps!A:A,Dim_Reps!D:D)</f>
        <v>Inside Sales</v>
      </c>
      <c r="R6352" t="str">
        <f>_xlfn.XLOOKUP(Pipeline_tbl[[#This Row],[Rep_ID]],Dim_Reps!A:A,Dim_Reps!E:E)</f>
        <v>EMEA</v>
      </c>
      <c r="S6352" t="str">
        <f>_xlfn.XLOOKUP(Pipeline_tbl[[#This Row],[Created_Date]],Dim_Date!A:A,Dim_Date!H:H)</f>
        <v>Apr 2025</v>
      </c>
      <c r="T6352" t="str">
        <f>IF(Pipeline_tbl[[#This Row],[Closed_Date]]=0,"",(_xlfn.XLOOKUP(Pipeline_tbl[[#This Row],[Closed_Date]],Dim_Date!A:A,Dim_Date!H:H)))</f>
        <v>Apr 2025</v>
      </c>
      <c r="U6352">
        <f>IF(Pipeline_tbl[[#This Row],[Closed_Date]]=0,"",Pipeline_tbl[[#This Row],[Closed_Date]]-Pipeline_tbl[[#This Row],[Created_Date]])</f>
        <v>15</v>
      </c>
    </row>
    <row r="6353" spans="1:21" ht="15" customHeight="1" x14ac:dyDescent="0.2">
      <c r="A6353" t="s">
        <v>6659</v>
      </c>
      <c r="B6353" t="s">
        <v>209</v>
      </c>
      <c r="C6353" t="s">
        <v>52</v>
      </c>
      <c r="D6353" s="49">
        <v>45762</v>
      </c>
      <c r="E6353" s="49">
        <v>45763</v>
      </c>
      <c r="F6353" s="49">
        <v>45764</v>
      </c>
      <c r="G6353" s="49">
        <v>45767</v>
      </c>
      <c r="I6353" s="49">
        <v>45770</v>
      </c>
      <c r="J6353" t="s">
        <v>49</v>
      </c>
      <c r="K6353" s="33">
        <v>5900</v>
      </c>
      <c r="L6353" t="s">
        <v>61</v>
      </c>
      <c r="M6353" t="str">
        <f>_xlfn.XLOOKUP(Pipeline_tbl[[#This Row],[Rep_ID]],Dim_Reps!A:A,Dim_Reps!K:K)</f>
        <v>EUR</v>
      </c>
      <c r="N6353" s="33">
        <f>(_xlfn.XLOOKUP(Pipeline_tbl[[#This Row],[Rate_Code_Generalized]],Lookups!A:A,Lookups!B:B))*Pipeline_tbl[[#This Row],[Pipeline_Amount_USD]]</f>
        <v>5900</v>
      </c>
      <c r="O6353" t="str">
        <f>_xlfn.XLOOKUP(Pipeline_tbl[[#This Row],[Rep_ID]],Dim_Reps!A:A,Dim_Reps!B:B)</f>
        <v>Petra Larsen</v>
      </c>
      <c r="P6353" t="str">
        <f>_xlfn.XLOOKUP(Pipeline_tbl[[#This Row],[Rep_ID]],Dim_Reps!A:A,Dim_Reps!C:C)</f>
        <v>SDR / Inside Sales Rep</v>
      </c>
      <c r="Q6353" t="str">
        <f>_xlfn.XLOOKUP(Pipeline_tbl[[#This Row],[Rep_ID]],Dim_Reps!A:A,Dim_Reps!D:D)</f>
        <v>Inside Sales</v>
      </c>
      <c r="R6353" t="str">
        <f>_xlfn.XLOOKUP(Pipeline_tbl[[#This Row],[Rep_ID]],Dim_Reps!A:A,Dim_Reps!E:E)</f>
        <v>EMEA</v>
      </c>
      <c r="S6353" t="str">
        <f>_xlfn.XLOOKUP(Pipeline_tbl[[#This Row],[Created_Date]],Dim_Date!A:A,Dim_Date!H:H)</f>
        <v>Apr 2025</v>
      </c>
      <c r="T6353" t="str">
        <f>IF(Pipeline_tbl[[#This Row],[Closed_Date]]=0,"",(_xlfn.XLOOKUP(Pipeline_tbl[[#This Row],[Closed_Date]],Dim_Date!A:A,Dim_Date!H:H)))</f>
        <v>Apr 2025</v>
      </c>
      <c r="U6353">
        <f>IF(Pipeline_tbl[[#This Row],[Closed_Date]]=0,"",Pipeline_tbl[[#This Row],[Closed_Date]]-Pipeline_tbl[[#This Row],[Created_Date]])</f>
        <v>8</v>
      </c>
    </row>
    <row r="6354" spans="1:21" ht="15" customHeight="1" x14ac:dyDescent="0.2">
      <c r="A6354" t="s">
        <v>6660</v>
      </c>
      <c r="B6354" t="s">
        <v>211</v>
      </c>
      <c r="C6354" t="s">
        <v>54</v>
      </c>
      <c r="D6354" s="49">
        <v>45759</v>
      </c>
      <c r="E6354" s="49">
        <v>45761</v>
      </c>
      <c r="F6354" s="49">
        <v>45764</v>
      </c>
      <c r="G6354" s="49">
        <v>45768</v>
      </c>
      <c r="H6354" s="49">
        <v>45772</v>
      </c>
      <c r="I6354" s="49">
        <v>45774</v>
      </c>
      <c r="J6354" t="s">
        <v>47</v>
      </c>
      <c r="K6354" s="33">
        <v>4900</v>
      </c>
      <c r="M6354" t="str">
        <f>_xlfn.XLOOKUP(Pipeline_tbl[[#This Row],[Rep_ID]],Dim_Reps!A:A,Dim_Reps!K:K)</f>
        <v>EUR</v>
      </c>
      <c r="N6354" s="33">
        <f>(_xlfn.XLOOKUP(Pipeline_tbl[[#This Row],[Rate_Code_Generalized]],Lookups!A:A,Lookups!B:B))*Pipeline_tbl[[#This Row],[Pipeline_Amount_USD]]</f>
        <v>4900</v>
      </c>
      <c r="O6354" t="str">
        <f>_xlfn.XLOOKUP(Pipeline_tbl[[#This Row],[Rep_ID]],Dim_Reps!A:A,Dim_Reps!B:B)</f>
        <v>Lea Weber</v>
      </c>
      <c r="P6354" t="str">
        <f>_xlfn.XLOOKUP(Pipeline_tbl[[#This Row],[Rep_ID]],Dim_Reps!A:A,Dim_Reps!C:C)</f>
        <v>SDR / Inside Sales Rep</v>
      </c>
      <c r="Q6354" t="str">
        <f>_xlfn.XLOOKUP(Pipeline_tbl[[#This Row],[Rep_ID]],Dim_Reps!A:A,Dim_Reps!D:D)</f>
        <v>Inside Sales</v>
      </c>
      <c r="R6354" t="str">
        <f>_xlfn.XLOOKUP(Pipeline_tbl[[#This Row],[Rep_ID]],Dim_Reps!A:A,Dim_Reps!E:E)</f>
        <v>EMEA</v>
      </c>
      <c r="S6354" t="str">
        <f>_xlfn.XLOOKUP(Pipeline_tbl[[#This Row],[Created_Date]],Dim_Date!A:A,Dim_Date!H:H)</f>
        <v>Apr 2025</v>
      </c>
      <c r="T6354" t="str">
        <f>IF(Pipeline_tbl[[#This Row],[Closed_Date]]=0,"",(_xlfn.XLOOKUP(Pipeline_tbl[[#This Row],[Closed_Date]],Dim_Date!A:A,Dim_Date!H:H)))</f>
        <v>Apr 2025</v>
      </c>
      <c r="U6354">
        <f>IF(Pipeline_tbl[[#This Row],[Closed_Date]]=0,"",Pipeline_tbl[[#This Row],[Closed_Date]]-Pipeline_tbl[[#This Row],[Created_Date]])</f>
        <v>15</v>
      </c>
    </row>
    <row r="6355" spans="1:21" ht="15" customHeight="1" x14ac:dyDescent="0.2">
      <c r="A6355" t="s">
        <v>6661</v>
      </c>
      <c r="B6355" t="s">
        <v>211</v>
      </c>
      <c r="C6355" t="s">
        <v>56</v>
      </c>
      <c r="D6355" s="49">
        <v>45748</v>
      </c>
      <c r="E6355" s="49">
        <v>45750</v>
      </c>
      <c r="F6355" s="49">
        <v>45754</v>
      </c>
      <c r="G6355" s="49">
        <v>45760</v>
      </c>
      <c r="H6355" s="49">
        <v>45765</v>
      </c>
      <c r="I6355" s="49">
        <v>45768</v>
      </c>
      <c r="J6355" t="s">
        <v>47</v>
      </c>
      <c r="K6355" s="33">
        <v>6100</v>
      </c>
      <c r="M6355" t="str">
        <f>_xlfn.XLOOKUP(Pipeline_tbl[[#This Row],[Rep_ID]],Dim_Reps!A:A,Dim_Reps!K:K)</f>
        <v>EUR</v>
      </c>
      <c r="N6355" s="33">
        <f>(_xlfn.XLOOKUP(Pipeline_tbl[[#This Row],[Rate_Code_Generalized]],Lookups!A:A,Lookups!B:B))*Pipeline_tbl[[#This Row],[Pipeline_Amount_USD]]</f>
        <v>6100</v>
      </c>
      <c r="O6355" t="str">
        <f>_xlfn.XLOOKUP(Pipeline_tbl[[#This Row],[Rep_ID]],Dim_Reps!A:A,Dim_Reps!B:B)</f>
        <v>Lea Weber</v>
      </c>
      <c r="P6355" t="str">
        <f>_xlfn.XLOOKUP(Pipeline_tbl[[#This Row],[Rep_ID]],Dim_Reps!A:A,Dim_Reps!C:C)</f>
        <v>SDR / Inside Sales Rep</v>
      </c>
      <c r="Q6355" t="str">
        <f>_xlfn.XLOOKUP(Pipeline_tbl[[#This Row],[Rep_ID]],Dim_Reps!A:A,Dim_Reps!D:D)</f>
        <v>Inside Sales</v>
      </c>
      <c r="R6355" t="str">
        <f>_xlfn.XLOOKUP(Pipeline_tbl[[#This Row],[Rep_ID]],Dim_Reps!A:A,Dim_Reps!E:E)</f>
        <v>EMEA</v>
      </c>
      <c r="S6355" t="str">
        <f>_xlfn.XLOOKUP(Pipeline_tbl[[#This Row],[Created_Date]],Dim_Date!A:A,Dim_Date!H:H)</f>
        <v>Apr 2025</v>
      </c>
      <c r="T6355" t="str">
        <f>IF(Pipeline_tbl[[#This Row],[Closed_Date]]=0,"",(_xlfn.XLOOKUP(Pipeline_tbl[[#This Row],[Closed_Date]],Dim_Date!A:A,Dim_Date!H:H)))</f>
        <v>Apr 2025</v>
      </c>
      <c r="U6355">
        <f>IF(Pipeline_tbl[[#This Row],[Closed_Date]]=0,"",Pipeline_tbl[[#This Row],[Closed_Date]]-Pipeline_tbl[[#This Row],[Created_Date]])</f>
        <v>20</v>
      </c>
    </row>
    <row r="6356" spans="1:21" ht="15" customHeight="1" x14ac:dyDescent="0.2">
      <c r="A6356" t="s">
        <v>6662</v>
      </c>
      <c r="B6356" t="s">
        <v>211</v>
      </c>
      <c r="C6356" t="s">
        <v>53</v>
      </c>
      <c r="D6356" s="49">
        <v>45749</v>
      </c>
      <c r="E6356" s="49">
        <v>45752</v>
      </c>
      <c r="F6356" s="49">
        <v>45757</v>
      </c>
      <c r="G6356" s="49">
        <v>45765</v>
      </c>
      <c r="H6356" s="49">
        <v>45771</v>
      </c>
      <c r="I6356" s="49">
        <v>45775</v>
      </c>
      <c r="J6356" t="s">
        <v>47</v>
      </c>
      <c r="K6356" s="33">
        <v>4600</v>
      </c>
      <c r="M6356" t="str">
        <f>_xlfn.XLOOKUP(Pipeline_tbl[[#This Row],[Rep_ID]],Dim_Reps!A:A,Dim_Reps!K:K)</f>
        <v>EUR</v>
      </c>
      <c r="N6356" s="33">
        <f>(_xlfn.XLOOKUP(Pipeline_tbl[[#This Row],[Rate_Code_Generalized]],Lookups!A:A,Lookups!B:B))*Pipeline_tbl[[#This Row],[Pipeline_Amount_USD]]</f>
        <v>4600</v>
      </c>
      <c r="O6356" t="str">
        <f>_xlfn.XLOOKUP(Pipeline_tbl[[#This Row],[Rep_ID]],Dim_Reps!A:A,Dim_Reps!B:B)</f>
        <v>Lea Weber</v>
      </c>
      <c r="P6356" t="str">
        <f>_xlfn.XLOOKUP(Pipeline_tbl[[#This Row],[Rep_ID]],Dim_Reps!A:A,Dim_Reps!C:C)</f>
        <v>SDR / Inside Sales Rep</v>
      </c>
      <c r="Q6356" t="str">
        <f>_xlfn.XLOOKUP(Pipeline_tbl[[#This Row],[Rep_ID]],Dim_Reps!A:A,Dim_Reps!D:D)</f>
        <v>Inside Sales</v>
      </c>
      <c r="R6356" t="str">
        <f>_xlfn.XLOOKUP(Pipeline_tbl[[#This Row],[Rep_ID]],Dim_Reps!A:A,Dim_Reps!E:E)</f>
        <v>EMEA</v>
      </c>
      <c r="S6356" t="str">
        <f>_xlfn.XLOOKUP(Pipeline_tbl[[#This Row],[Created_Date]],Dim_Date!A:A,Dim_Date!H:H)</f>
        <v>Apr 2025</v>
      </c>
      <c r="T6356" t="str">
        <f>IF(Pipeline_tbl[[#This Row],[Closed_Date]]=0,"",(_xlfn.XLOOKUP(Pipeline_tbl[[#This Row],[Closed_Date]],Dim_Date!A:A,Dim_Date!H:H)))</f>
        <v>Apr 2025</v>
      </c>
      <c r="U6356">
        <f>IF(Pipeline_tbl[[#This Row],[Closed_Date]]=0,"",Pipeline_tbl[[#This Row],[Closed_Date]]-Pipeline_tbl[[#This Row],[Created_Date]])</f>
        <v>26</v>
      </c>
    </row>
    <row r="6357" spans="1:21" ht="15" customHeight="1" x14ac:dyDescent="0.2">
      <c r="A6357" t="s">
        <v>6663</v>
      </c>
      <c r="B6357" t="s">
        <v>211</v>
      </c>
      <c r="C6357" t="s">
        <v>53</v>
      </c>
      <c r="D6357" s="49">
        <v>45760</v>
      </c>
      <c r="E6357" s="49">
        <v>45760</v>
      </c>
      <c r="I6357" s="49">
        <v>45765</v>
      </c>
      <c r="J6357" t="s">
        <v>49</v>
      </c>
      <c r="K6357" s="33">
        <v>3400</v>
      </c>
      <c r="L6357" t="s">
        <v>62</v>
      </c>
      <c r="M6357" t="str">
        <f>_xlfn.XLOOKUP(Pipeline_tbl[[#This Row],[Rep_ID]],Dim_Reps!A:A,Dim_Reps!K:K)</f>
        <v>EUR</v>
      </c>
      <c r="N6357" s="33">
        <f>(_xlfn.XLOOKUP(Pipeline_tbl[[#This Row],[Rate_Code_Generalized]],Lookups!A:A,Lookups!B:B))*Pipeline_tbl[[#This Row],[Pipeline_Amount_USD]]</f>
        <v>3400</v>
      </c>
      <c r="O6357" t="str">
        <f>_xlfn.XLOOKUP(Pipeline_tbl[[#This Row],[Rep_ID]],Dim_Reps!A:A,Dim_Reps!B:B)</f>
        <v>Lea Weber</v>
      </c>
      <c r="P6357" t="str">
        <f>_xlfn.XLOOKUP(Pipeline_tbl[[#This Row],[Rep_ID]],Dim_Reps!A:A,Dim_Reps!C:C)</f>
        <v>SDR / Inside Sales Rep</v>
      </c>
      <c r="Q6357" t="str">
        <f>_xlfn.XLOOKUP(Pipeline_tbl[[#This Row],[Rep_ID]],Dim_Reps!A:A,Dim_Reps!D:D)</f>
        <v>Inside Sales</v>
      </c>
      <c r="R6357" t="str">
        <f>_xlfn.XLOOKUP(Pipeline_tbl[[#This Row],[Rep_ID]],Dim_Reps!A:A,Dim_Reps!E:E)</f>
        <v>EMEA</v>
      </c>
      <c r="S6357" t="str">
        <f>_xlfn.XLOOKUP(Pipeline_tbl[[#This Row],[Created_Date]],Dim_Date!A:A,Dim_Date!H:H)</f>
        <v>Apr 2025</v>
      </c>
      <c r="T6357" t="str">
        <f>IF(Pipeline_tbl[[#This Row],[Closed_Date]]=0,"",(_xlfn.XLOOKUP(Pipeline_tbl[[#This Row],[Closed_Date]],Dim_Date!A:A,Dim_Date!H:H)))</f>
        <v>Apr 2025</v>
      </c>
      <c r="U6357">
        <f>IF(Pipeline_tbl[[#This Row],[Closed_Date]]=0,"",Pipeline_tbl[[#This Row],[Closed_Date]]-Pipeline_tbl[[#This Row],[Created_Date]])</f>
        <v>5</v>
      </c>
    </row>
    <row r="6358" spans="1:21" ht="15" customHeight="1" x14ac:dyDescent="0.2">
      <c r="A6358" t="s">
        <v>6664</v>
      </c>
      <c r="B6358" t="s">
        <v>211</v>
      </c>
      <c r="C6358" t="s">
        <v>54</v>
      </c>
      <c r="D6358" s="49">
        <v>45759</v>
      </c>
      <c r="E6358" s="49">
        <v>45760</v>
      </c>
      <c r="F6358" s="49">
        <v>45762</v>
      </c>
      <c r="G6358" s="49">
        <v>45764</v>
      </c>
      <c r="H6358" s="49">
        <v>45767</v>
      </c>
      <c r="I6358" s="49">
        <v>45768</v>
      </c>
      <c r="J6358" t="s">
        <v>47</v>
      </c>
      <c r="K6358" s="33">
        <v>3000</v>
      </c>
      <c r="M6358" t="str">
        <f>_xlfn.XLOOKUP(Pipeline_tbl[[#This Row],[Rep_ID]],Dim_Reps!A:A,Dim_Reps!K:K)</f>
        <v>EUR</v>
      </c>
      <c r="N6358" s="33">
        <f>(_xlfn.XLOOKUP(Pipeline_tbl[[#This Row],[Rate_Code_Generalized]],Lookups!A:A,Lookups!B:B))*Pipeline_tbl[[#This Row],[Pipeline_Amount_USD]]</f>
        <v>3000</v>
      </c>
      <c r="O6358" t="str">
        <f>_xlfn.XLOOKUP(Pipeline_tbl[[#This Row],[Rep_ID]],Dim_Reps!A:A,Dim_Reps!B:B)</f>
        <v>Lea Weber</v>
      </c>
      <c r="P6358" t="str">
        <f>_xlfn.XLOOKUP(Pipeline_tbl[[#This Row],[Rep_ID]],Dim_Reps!A:A,Dim_Reps!C:C)</f>
        <v>SDR / Inside Sales Rep</v>
      </c>
      <c r="Q6358" t="str">
        <f>_xlfn.XLOOKUP(Pipeline_tbl[[#This Row],[Rep_ID]],Dim_Reps!A:A,Dim_Reps!D:D)</f>
        <v>Inside Sales</v>
      </c>
      <c r="R6358" t="str">
        <f>_xlfn.XLOOKUP(Pipeline_tbl[[#This Row],[Rep_ID]],Dim_Reps!A:A,Dim_Reps!E:E)</f>
        <v>EMEA</v>
      </c>
      <c r="S6358" t="str">
        <f>_xlfn.XLOOKUP(Pipeline_tbl[[#This Row],[Created_Date]],Dim_Date!A:A,Dim_Date!H:H)</f>
        <v>Apr 2025</v>
      </c>
      <c r="T6358" t="str">
        <f>IF(Pipeline_tbl[[#This Row],[Closed_Date]]=0,"",(_xlfn.XLOOKUP(Pipeline_tbl[[#This Row],[Closed_Date]],Dim_Date!A:A,Dim_Date!H:H)))</f>
        <v>Apr 2025</v>
      </c>
      <c r="U6358">
        <f>IF(Pipeline_tbl[[#This Row],[Closed_Date]]=0,"",Pipeline_tbl[[#This Row],[Closed_Date]]-Pipeline_tbl[[#This Row],[Created_Date]])</f>
        <v>9</v>
      </c>
    </row>
    <row r="6359" spans="1:21" ht="15" customHeight="1" x14ac:dyDescent="0.2">
      <c r="A6359" t="s">
        <v>6665</v>
      </c>
      <c r="B6359" t="s">
        <v>211</v>
      </c>
      <c r="C6359" t="s">
        <v>52</v>
      </c>
      <c r="D6359" s="49">
        <v>45755</v>
      </c>
      <c r="E6359" s="49">
        <v>45757</v>
      </c>
      <c r="F6359" s="49">
        <v>45760</v>
      </c>
      <c r="G6359" s="49">
        <v>45765</v>
      </c>
      <c r="H6359" s="49">
        <v>45769</v>
      </c>
      <c r="I6359" s="49">
        <v>45771</v>
      </c>
      <c r="J6359" t="s">
        <v>47</v>
      </c>
      <c r="K6359" s="33">
        <v>3200</v>
      </c>
      <c r="M6359" t="str">
        <f>_xlfn.XLOOKUP(Pipeline_tbl[[#This Row],[Rep_ID]],Dim_Reps!A:A,Dim_Reps!K:K)</f>
        <v>EUR</v>
      </c>
      <c r="N6359" s="33">
        <f>(_xlfn.XLOOKUP(Pipeline_tbl[[#This Row],[Rate_Code_Generalized]],Lookups!A:A,Lookups!B:B))*Pipeline_tbl[[#This Row],[Pipeline_Amount_USD]]</f>
        <v>3200</v>
      </c>
      <c r="O6359" t="str">
        <f>_xlfn.XLOOKUP(Pipeline_tbl[[#This Row],[Rep_ID]],Dim_Reps!A:A,Dim_Reps!B:B)</f>
        <v>Lea Weber</v>
      </c>
      <c r="P6359" t="str">
        <f>_xlfn.XLOOKUP(Pipeline_tbl[[#This Row],[Rep_ID]],Dim_Reps!A:A,Dim_Reps!C:C)</f>
        <v>SDR / Inside Sales Rep</v>
      </c>
      <c r="Q6359" t="str">
        <f>_xlfn.XLOOKUP(Pipeline_tbl[[#This Row],[Rep_ID]],Dim_Reps!A:A,Dim_Reps!D:D)</f>
        <v>Inside Sales</v>
      </c>
      <c r="R6359" t="str">
        <f>_xlfn.XLOOKUP(Pipeline_tbl[[#This Row],[Rep_ID]],Dim_Reps!A:A,Dim_Reps!E:E)</f>
        <v>EMEA</v>
      </c>
      <c r="S6359" t="str">
        <f>_xlfn.XLOOKUP(Pipeline_tbl[[#This Row],[Created_Date]],Dim_Date!A:A,Dim_Date!H:H)</f>
        <v>Apr 2025</v>
      </c>
      <c r="T6359" t="str">
        <f>IF(Pipeline_tbl[[#This Row],[Closed_Date]]=0,"",(_xlfn.XLOOKUP(Pipeline_tbl[[#This Row],[Closed_Date]],Dim_Date!A:A,Dim_Date!H:H)))</f>
        <v>Apr 2025</v>
      </c>
      <c r="U6359">
        <f>IF(Pipeline_tbl[[#This Row],[Closed_Date]]=0,"",Pipeline_tbl[[#This Row],[Closed_Date]]-Pipeline_tbl[[#This Row],[Created_Date]])</f>
        <v>16</v>
      </c>
    </row>
    <row r="6360" spans="1:21" ht="15" customHeight="1" x14ac:dyDescent="0.2">
      <c r="A6360" t="s">
        <v>6666</v>
      </c>
      <c r="B6360" t="s">
        <v>213</v>
      </c>
      <c r="C6360" t="s">
        <v>54</v>
      </c>
      <c r="D6360" s="49">
        <v>45756</v>
      </c>
      <c r="E6360" s="49">
        <v>45758</v>
      </c>
      <c r="F6360" s="49">
        <v>45762</v>
      </c>
      <c r="I6360" s="49">
        <v>45776</v>
      </c>
      <c r="J6360" t="s">
        <v>49</v>
      </c>
      <c r="K6360" s="33">
        <v>3700</v>
      </c>
      <c r="L6360" t="s">
        <v>61</v>
      </c>
      <c r="M6360" t="str">
        <f>_xlfn.XLOOKUP(Pipeline_tbl[[#This Row],[Rep_ID]],Dim_Reps!A:A,Dim_Reps!K:K)</f>
        <v>EUR</v>
      </c>
      <c r="N6360" s="33">
        <f>(_xlfn.XLOOKUP(Pipeline_tbl[[#This Row],[Rate_Code_Generalized]],Lookups!A:A,Lookups!B:B))*Pipeline_tbl[[#This Row],[Pipeline_Amount_USD]]</f>
        <v>3700</v>
      </c>
      <c r="O6360" t="str">
        <f>_xlfn.XLOOKUP(Pipeline_tbl[[#This Row],[Rep_ID]],Dim_Reps!A:A,Dim_Reps!B:B)</f>
        <v>Jamie Silva</v>
      </c>
      <c r="P6360" t="str">
        <f>_xlfn.XLOOKUP(Pipeline_tbl[[#This Row],[Rep_ID]],Dim_Reps!A:A,Dim_Reps!C:C)</f>
        <v>SDR / Inside Sales Rep</v>
      </c>
      <c r="Q6360" t="str">
        <f>_xlfn.XLOOKUP(Pipeline_tbl[[#This Row],[Rep_ID]],Dim_Reps!A:A,Dim_Reps!D:D)</f>
        <v>Inside Sales</v>
      </c>
      <c r="R6360" t="str">
        <f>_xlfn.XLOOKUP(Pipeline_tbl[[#This Row],[Rep_ID]],Dim_Reps!A:A,Dim_Reps!E:E)</f>
        <v>EMEA</v>
      </c>
      <c r="S6360" t="str">
        <f>_xlfn.XLOOKUP(Pipeline_tbl[[#This Row],[Created_Date]],Dim_Date!A:A,Dim_Date!H:H)</f>
        <v>Apr 2025</v>
      </c>
      <c r="T6360" t="str">
        <f>IF(Pipeline_tbl[[#This Row],[Closed_Date]]=0,"",(_xlfn.XLOOKUP(Pipeline_tbl[[#This Row],[Closed_Date]],Dim_Date!A:A,Dim_Date!H:H)))</f>
        <v>Apr 2025</v>
      </c>
      <c r="U6360">
        <f>IF(Pipeline_tbl[[#This Row],[Closed_Date]]=0,"",Pipeline_tbl[[#This Row],[Closed_Date]]-Pipeline_tbl[[#This Row],[Created_Date]])</f>
        <v>20</v>
      </c>
    </row>
    <row r="6361" spans="1:21" ht="15" customHeight="1" x14ac:dyDescent="0.2">
      <c r="A6361" t="s">
        <v>6667</v>
      </c>
      <c r="B6361" t="s">
        <v>213</v>
      </c>
      <c r="C6361" t="s">
        <v>53</v>
      </c>
      <c r="D6361" s="49">
        <v>45750</v>
      </c>
      <c r="E6361" s="49">
        <v>45751</v>
      </c>
      <c r="F6361" s="49">
        <v>45754</v>
      </c>
      <c r="G6361" s="49">
        <v>45757</v>
      </c>
      <c r="H6361" s="49">
        <v>45760</v>
      </c>
      <c r="I6361" s="49">
        <v>45762</v>
      </c>
      <c r="J6361" t="s">
        <v>47</v>
      </c>
      <c r="K6361" s="33">
        <v>4300</v>
      </c>
      <c r="M6361" t="str">
        <f>_xlfn.XLOOKUP(Pipeline_tbl[[#This Row],[Rep_ID]],Dim_Reps!A:A,Dim_Reps!K:K)</f>
        <v>EUR</v>
      </c>
      <c r="N6361" s="33">
        <f>(_xlfn.XLOOKUP(Pipeline_tbl[[#This Row],[Rate_Code_Generalized]],Lookups!A:A,Lookups!B:B))*Pipeline_tbl[[#This Row],[Pipeline_Amount_USD]]</f>
        <v>4300</v>
      </c>
      <c r="O6361" t="str">
        <f>_xlfn.XLOOKUP(Pipeline_tbl[[#This Row],[Rep_ID]],Dim_Reps!A:A,Dim_Reps!B:B)</f>
        <v>Jamie Silva</v>
      </c>
      <c r="P6361" t="str">
        <f>_xlfn.XLOOKUP(Pipeline_tbl[[#This Row],[Rep_ID]],Dim_Reps!A:A,Dim_Reps!C:C)</f>
        <v>SDR / Inside Sales Rep</v>
      </c>
      <c r="Q6361" t="str">
        <f>_xlfn.XLOOKUP(Pipeline_tbl[[#This Row],[Rep_ID]],Dim_Reps!A:A,Dim_Reps!D:D)</f>
        <v>Inside Sales</v>
      </c>
      <c r="R6361" t="str">
        <f>_xlfn.XLOOKUP(Pipeline_tbl[[#This Row],[Rep_ID]],Dim_Reps!A:A,Dim_Reps!E:E)</f>
        <v>EMEA</v>
      </c>
      <c r="S6361" t="str">
        <f>_xlfn.XLOOKUP(Pipeline_tbl[[#This Row],[Created_Date]],Dim_Date!A:A,Dim_Date!H:H)</f>
        <v>Apr 2025</v>
      </c>
      <c r="T6361" t="str">
        <f>IF(Pipeline_tbl[[#This Row],[Closed_Date]]=0,"",(_xlfn.XLOOKUP(Pipeline_tbl[[#This Row],[Closed_Date]],Dim_Date!A:A,Dim_Date!H:H)))</f>
        <v>Apr 2025</v>
      </c>
      <c r="U6361">
        <f>IF(Pipeline_tbl[[#This Row],[Closed_Date]]=0,"",Pipeline_tbl[[#This Row],[Closed_Date]]-Pipeline_tbl[[#This Row],[Created_Date]])</f>
        <v>12</v>
      </c>
    </row>
    <row r="6362" spans="1:21" ht="15" customHeight="1" x14ac:dyDescent="0.2">
      <c r="A6362" t="s">
        <v>6668</v>
      </c>
      <c r="B6362" t="s">
        <v>215</v>
      </c>
      <c r="C6362" t="s">
        <v>52</v>
      </c>
      <c r="D6362" s="49">
        <v>45756</v>
      </c>
      <c r="E6362" s="49">
        <v>45758</v>
      </c>
      <c r="F6362" s="49">
        <v>45761</v>
      </c>
      <c r="G6362" s="49">
        <v>45766</v>
      </c>
      <c r="I6362" s="49">
        <v>45773</v>
      </c>
      <c r="J6362" t="s">
        <v>49</v>
      </c>
      <c r="K6362" s="33">
        <v>4900</v>
      </c>
      <c r="L6362" t="s">
        <v>61</v>
      </c>
      <c r="M6362" t="str">
        <f>_xlfn.XLOOKUP(Pipeline_tbl[[#This Row],[Rep_ID]],Dim_Reps!A:A,Dim_Reps!K:K)</f>
        <v>EUR</v>
      </c>
      <c r="N6362" s="33">
        <f>(_xlfn.XLOOKUP(Pipeline_tbl[[#This Row],[Rate_Code_Generalized]],Lookups!A:A,Lookups!B:B))*Pipeline_tbl[[#This Row],[Pipeline_Amount_USD]]</f>
        <v>4900</v>
      </c>
      <c r="O6362" t="str">
        <f>_xlfn.XLOOKUP(Pipeline_tbl[[#This Row],[Rep_ID]],Dim_Reps!A:A,Dim_Reps!B:B)</f>
        <v>Jamie Schmidt</v>
      </c>
      <c r="P6362" t="str">
        <f>_xlfn.XLOOKUP(Pipeline_tbl[[#This Row],[Rep_ID]],Dim_Reps!A:A,Dim_Reps!C:C)</f>
        <v>SDR / Inside Sales Rep</v>
      </c>
      <c r="Q6362" t="str">
        <f>_xlfn.XLOOKUP(Pipeline_tbl[[#This Row],[Rep_ID]],Dim_Reps!A:A,Dim_Reps!D:D)</f>
        <v>Inside Sales</v>
      </c>
      <c r="R6362" t="str">
        <f>_xlfn.XLOOKUP(Pipeline_tbl[[#This Row],[Rep_ID]],Dim_Reps!A:A,Dim_Reps!E:E)</f>
        <v>APAC</v>
      </c>
      <c r="S6362" t="str">
        <f>_xlfn.XLOOKUP(Pipeline_tbl[[#This Row],[Created_Date]],Dim_Date!A:A,Dim_Date!H:H)</f>
        <v>Apr 2025</v>
      </c>
      <c r="T6362" t="str">
        <f>IF(Pipeline_tbl[[#This Row],[Closed_Date]]=0,"",(_xlfn.XLOOKUP(Pipeline_tbl[[#This Row],[Closed_Date]],Dim_Date!A:A,Dim_Date!H:H)))</f>
        <v>Apr 2025</v>
      </c>
      <c r="U6362">
        <f>IF(Pipeline_tbl[[#This Row],[Closed_Date]]=0,"",Pipeline_tbl[[#This Row],[Closed_Date]]-Pipeline_tbl[[#This Row],[Created_Date]])</f>
        <v>17</v>
      </c>
    </row>
    <row r="6363" spans="1:21" ht="15" customHeight="1" x14ac:dyDescent="0.2">
      <c r="A6363" t="s">
        <v>6669</v>
      </c>
      <c r="B6363" t="s">
        <v>215</v>
      </c>
      <c r="C6363" t="s">
        <v>52</v>
      </c>
      <c r="D6363" s="49">
        <v>45754</v>
      </c>
      <c r="E6363" s="49">
        <v>45756</v>
      </c>
      <c r="F6363" s="49">
        <v>45759</v>
      </c>
      <c r="G6363" s="49">
        <v>45763</v>
      </c>
      <c r="H6363" s="49">
        <v>45767</v>
      </c>
      <c r="I6363" s="49">
        <v>45769</v>
      </c>
      <c r="J6363" t="s">
        <v>47</v>
      </c>
      <c r="K6363" s="33">
        <v>5900</v>
      </c>
      <c r="M6363" t="str">
        <f>_xlfn.XLOOKUP(Pipeline_tbl[[#This Row],[Rep_ID]],Dim_Reps!A:A,Dim_Reps!K:K)</f>
        <v>EUR</v>
      </c>
      <c r="N6363" s="33">
        <f>(_xlfn.XLOOKUP(Pipeline_tbl[[#This Row],[Rate_Code_Generalized]],Lookups!A:A,Lookups!B:B))*Pipeline_tbl[[#This Row],[Pipeline_Amount_USD]]</f>
        <v>5900</v>
      </c>
      <c r="O6363" t="str">
        <f>_xlfn.XLOOKUP(Pipeline_tbl[[#This Row],[Rep_ID]],Dim_Reps!A:A,Dim_Reps!B:B)</f>
        <v>Jamie Schmidt</v>
      </c>
      <c r="P6363" t="str">
        <f>_xlfn.XLOOKUP(Pipeline_tbl[[#This Row],[Rep_ID]],Dim_Reps!A:A,Dim_Reps!C:C)</f>
        <v>SDR / Inside Sales Rep</v>
      </c>
      <c r="Q6363" t="str">
        <f>_xlfn.XLOOKUP(Pipeline_tbl[[#This Row],[Rep_ID]],Dim_Reps!A:A,Dim_Reps!D:D)</f>
        <v>Inside Sales</v>
      </c>
      <c r="R6363" t="str">
        <f>_xlfn.XLOOKUP(Pipeline_tbl[[#This Row],[Rep_ID]],Dim_Reps!A:A,Dim_Reps!E:E)</f>
        <v>APAC</v>
      </c>
      <c r="S6363" t="str">
        <f>_xlfn.XLOOKUP(Pipeline_tbl[[#This Row],[Created_Date]],Dim_Date!A:A,Dim_Date!H:H)</f>
        <v>Apr 2025</v>
      </c>
      <c r="T6363" t="str">
        <f>IF(Pipeline_tbl[[#This Row],[Closed_Date]]=0,"",(_xlfn.XLOOKUP(Pipeline_tbl[[#This Row],[Closed_Date]],Dim_Date!A:A,Dim_Date!H:H)))</f>
        <v>Apr 2025</v>
      </c>
      <c r="U6363">
        <f>IF(Pipeline_tbl[[#This Row],[Closed_Date]]=0,"",Pipeline_tbl[[#This Row],[Closed_Date]]-Pipeline_tbl[[#This Row],[Created_Date]])</f>
        <v>15</v>
      </c>
    </row>
    <row r="6364" spans="1:21" ht="15" customHeight="1" x14ac:dyDescent="0.2">
      <c r="A6364" t="s">
        <v>6670</v>
      </c>
      <c r="B6364" t="s">
        <v>215</v>
      </c>
      <c r="C6364" t="s">
        <v>52</v>
      </c>
      <c r="D6364" s="49">
        <v>45768</v>
      </c>
      <c r="E6364" s="49">
        <v>45769</v>
      </c>
      <c r="F6364" s="49">
        <v>45770</v>
      </c>
      <c r="G6364" s="49">
        <v>45772</v>
      </c>
      <c r="H6364" s="49">
        <v>45774</v>
      </c>
      <c r="I6364" s="49">
        <v>45775</v>
      </c>
      <c r="J6364" t="s">
        <v>49</v>
      </c>
      <c r="K6364" s="33">
        <v>6800</v>
      </c>
      <c r="L6364" t="s">
        <v>60</v>
      </c>
      <c r="M6364" t="str">
        <f>_xlfn.XLOOKUP(Pipeline_tbl[[#This Row],[Rep_ID]],Dim_Reps!A:A,Dim_Reps!K:K)</f>
        <v>EUR</v>
      </c>
      <c r="N6364" s="33">
        <f>(_xlfn.XLOOKUP(Pipeline_tbl[[#This Row],[Rate_Code_Generalized]],Lookups!A:A,Lookups!B:B))*Pipeline_tbl[[#This Row],[Pipeline_Amount_USD]]</f>
        <v>6800</v>
      </c>
      <c r="O6364" t="str">
        <f>_xlfn.XLOOKUP(Pipeline_tbl[[#This Row],[Rep_ID]],Dim_Reps!A:A,Dim_Reps!B:B)</f>
        <v>Jamie Schmidt</v>
      </c>
      <c r="P6364" t="str">
        <f>_xlfn.XLOOKUP(Pipeline_tbl[[#This Row],[Rep_ID]],Dim_Reps!A:A,Dim_Reps!C:C)</f>
        <v>SDR / Inside Sales Rep</v>
      </c>
      <c r="Q6364" t="str">
        <f>_xlfn.XLOOKUP(Pipeline_tbl[[#This Row],[Rep_ID]],Dim_Reps!A:A,Dim_Reps!D:D)</f>
        <v>Inside Sales</v>
      </c>
      <c r="R6364" t="str">
        <f>_xlfn.XLOOKUP(Pipeline_tbl[[#This Row],[Rep_ID]],Dim_Reps!A:A,Dim_Reps!E:E)</f>
        <v>APAC</v>
      </c>
      <c r="S6364" t="str">
        <f>_xlfn.XLOOKUP(Pipeline_tbl[[#This Row],[Created_Date]],Dim_Date!A:A,Dim_Date!H:H)</f>
        <v>Apr 2025</v>
      </c>
      <c r="T6364" t="str">
        <f>IF(Pipeline_tbl[[#This Row],[Closed_Date]]=0,"",(_xlfn.XLOOKUP(Pipeline_tbl[[#This Row],[Closed_Date]],Dim_Date!A:A,Dim_Date!H:H)))</f>
        <v>Apr 2025</v>
      </c>
      <c r="U6364">
        <f>IF(Pipeline_tbl[[#This Row],[Closed_Date]]=0,"",Pipeline_tbl[[#This Row],[Closed_Date]]-Pipeline_tbl[[#This Row],[Created_Date]])</f>
        <v>7</v>
      </c>
    </row>
    <row r="6365" spans="1:21" ht="15" customHeight="1" x14ac:dyDescent="0.2">
      <c r="A6365" t="s">
        <v>6671</v>
      </c>
      <c r="B6365" t="s">
        <v>215</v>
      </c>
      <c r="C6365" t="s">
        <v>53</v>
      </c>
      <c r="D6365" s="49">
        <v>45748</v>
      </c>
      <c r="E6365" s="49">
        <v>45749</v>
      </c>
      <c r="F6365" s="49">
        <v>45752</v>
      </c>
      <c r="I6365" s="49">
        <v>45762</v>
      </c>
      <c r="J6365" t="s">
        <v>49</v>
      </c>
      <c r="K6365" s="33">
        <v>3200</v>
      </c>
      <c r="L6365" t="s">
        <v>62</v>
      </c>
      <c r="M6365" t="str">
        <f>_xlfn.XLOOKUP(Pipeline_tbl[[#This Row],[Rep_ID]],Dim_Reps!A:A,Dim_Reps!K:K)</f>
        <v>EUR</v>
      </c>
      <c r="N6365" s="33">
        <f>(_xlfn.XLOOKUP(Pipeline_tbl[[#This Row],[Rate_Code_Generalized]],Lookups!A:A,Lookups!B:B))*Pipeline_tbl[[#This Row],[Pipeline_Amount_USD]]</f>
        <v>3200</v>
      </c>
      <c r="O6365" t="str">
        <f>_xlfn.XLOOKUP(Pipeline_tbl[[#This Row],[Rep_ID]],Dim_Reps!A:A,Dim_Reps!B:B)</f>
        <v>Jamie Schmidt</v>
      </c>
      <c r="P6365" t="str">
        <f>_xlfn.XLOOKUP(Pipeline_tbl[[#This Row],[Rep_ID]],Dim_Reps!A:A,Dim_Reps!C:C)</f>
        <v>SDR / Inside Sales Rep</v>
      </c>
      <c r="Q6365" t="str">
        <f>_xlfn.XLOOKUP(Pipeline_tbl[[#This Row],[Rep_ID]],Dim_Reps!A:A,Dim_Reps!D:D)</f>
        <v>Inside Sales</v>
      </c>
      <c r="R6365" t="str">
        <f>_xlfn.XLOOKUP(Pipeline_tbl[[#This Row],[Rep_ID]],Dim_Reps!A:A,Dim_Reps!E:E)</f>
        <v>APAC</v>
      </c>
      <c r="S6365" t="str">
        <f>_xlfn.XLOOKUP(Pipeline_tbl[[#This Row],[Created_Date]],Dim_Date!A:A,Dim_Date!H:H)</f>
        <v>Apr 2025</v>
      </c>
      <c r="T6365" t="str">
        <f>IF(Pipeline_tbl[[#This Row],[Closed_Date]]=0,"",(_xlfn.XLOOKUP(Pipeline_tbl[[#This Row],[Closed_Date]],Dim_Date!A:A,Dim_Date!H:H)))</f>
        <v>Apr 2025</v>
      </c>
      <c r="U6365">
        <f>IF(Pipeline_tbl[[#This Row],[Closed_Date]]=0,"",Pipeline_tbl[[#This Row],[Closed_Date]]-Pipeline_tbl[[#This Row],[Created_Date]])</f>
        <v>14</v>
      </c>
    </row>
    <row r="6366" spans="1:21" ht="15" customHeight="1" x14ac:dyDescent="0.2">
      <c r="A6366" t="s">
        <v>6672</v>
      </c>
      <c r="B6366" t="s">
        <v>215</v>
      </c>
      <c r="C6366" t="s">
        <v>56</v>
      </c>
      <c r="D6366" s="49">
        <v>45763</v>
      </c>
      <c r="E6366" s="49">
        <v>45764</v>
      </c>
      <c r="F6366" s="49">
        <v>45767</v>
      </c>
      <c r="G6366" s="49">
        <v>45771</v>
      </c>
      <c r="H6366" s="49">
        <v>45774</v>
      </c>
      <c r="I6366" s="49">
        <v>45776</v>
      </c>
      <c r="J6366" t="s">
        <v>49</v>
      </c>
      <c r="K6366" s="33">
        <v>1500</v>
      </c>
      <c r="L6366" t="s">
        <v>63</v>
      </c>
      <c r="M6366" t="str">
        <f>_xlfn.XLOOKUP(Pipeline_tbl[[#This Row],[Rep_ID]],Dim_Reps!A:A,Dim_Reps!K:K)</f>
        <v>EUR</v>
      </c>
      <c r="N6366" s="33">
        <f>(_xlfn.XLOOKUP(Pipeline_tbl[[#This Row],[Rate_Code_Generalized]],Lookups!A:A,Lookups!B:B))*Pipeline_tbl[[#This Row],[Pipeline_Amount_USD]]</f>
        <v>1500</v>
      </c>
      <c r="O6366" t="str">
        <f>_xlfn.XLOOKUP(Pipeline_tbl[[#This Row],[Rep_ID]],Dim_Reps!A:A,Dim_Reps!B:B)</f>
        <v>Jamie Schmidt</v>
      </c>
      <c r="P6366" t="str">
        <f>_xlfn.XLOOKUP(Pipeline_tbl[[#This Row],[Rep_ID]],Dim_Reps!A:A,Dim_Reps!C:C)</f>
        <v>SDR / Inside Sales Rep</v>
      </c>
      <c r="Q6366" t="str">
        <f>_xlfn.XLOOKUP(Pipeline_tbl[[#This Row],[Rep_ID]],Dim_Reps!A:A,Dim_Reps!D:D)</f>
        <v>Inside Sales</v>
      </c>
      <c r="R6366" t="str">
        <f>_xlfn.XLOOKUP(Pipeline_tbl[[#This Row],[Rep_ID]],Dim_Reps!A:A,Dim_Reps!E:E)</f>
        <v>APAC</v>
      </c>
      <c r="S6366" t="str">
        <f>_xlfn.XLOOKUP(Pipeline_tbl[[#This Row],[Created_Date]],Dim_Date!A:A,Dim_Date!H:H)</f>
        <v>Apr 2025</v>
      </c>
      <c r="T6366" t="str">
        <f>IF(Pipeline_tbl[[#This Row],[Closed_Date]]=0,"",(_xlfn.XLOOKUP(Pipeline_tbl[[#This Row],[Closed_Date]],Dim_Date!A:A,Dim_Date!H:H)))</f>
        <v>Apr 2025</v>
      </c>
      <c r="U6366">
        <f>IF(Pipeline_tbl[[#This Row],[Closed_Date]]=0,"",Pipeline_tbl[[#This Row],[Closed_Date]]-Pipeline_tbl[[#This Row],[Created_Date]])</f>
        <v>13</v>
      </c>
    </row>
    <row r="6367" spans="1:21" ht="15" customHeight="1" x14ac:dyDescent="0.2">
      <c r="A6367" t="s">
        <v>6673</v>
      </c>
      <c r="B6367" t="s">
        <v>217</v>
      </c>
      <c r="C6367" t="s">
        <v>53</v>
      </c>
      <c r="D6367" s="49">
        <v>45761</v>
      </c>
      <c r="E6367" s="49">
        <v>45762</v>
      </c>
      <c r="F6367" s="49">
        <v>45765</v>
      </c>
      <c r="G6367" s="49">
        <v>45769</v>
      </c>
      <c r="H6367" s="49">
        <v>45772</v>
      </c>
      <c r="I6367" s="49">
        <v>45774</v>
      </c>
      <c r="J6367" t="s">
        <v>47</v>
      </c>
      <c r="K6367" s="33">
        <v>2900</v>
      </c>
      <c r="M6367" t="str">
        <f>_xlfn.XLOOKUP(Pipeline_tbl[[#This Row],[Rep_ID]],Dim_Reps!A:A,Dim_Reps!K:K)</f>
        <v>USD</v>
      </c>
      <c r="N6367" s="33">
        <f>(_xlfn.XLOOKUP(Pipeline_tbl[[#This Row],[Rate_Code_Generalized]],Lookups!A:A,Lookups!B:B))*Pipeline_tbl[[#This Row],[Pipeline_Amount_USD]]</f>
        <v>3376.47</v>
      </c>
      <c r="O6367" t="str">
        <f>_xlfn.XLOOKUP(Pipeline_tbl[[#This Row],[Rep_ID]],Dim_Reps!A:A,Dim_Reps!B:B)</f>
        <v>Priya Weber</v>
      </c>
      <c r="P6367" t="str">
        <f>_xlfn.XLOOKUP(Pipeline_tbl[[#This Row],[Rep_ID]],Dim_Reps!A:A,Dim_Reps!C:C)</f>
        <v>SDR / Inside Sales Rep</v>
      </c>
      <c r="Q6367" t="str">
        <f>_xlfn.XLOOKUP(Pipeline_tbl[[#This Row],[Rep_ID]],Dim_Reps!A:A,Dim_Reps!D:D)</f>
        <v>Inside Sales</v>
      </c>
      <c r="R6367" t="str">
        <f>_xlfn.XLOOKUP(Pipeline_tbl[[#This Row],[Rep_ID]],Dim_Reps!A:A,Dim_Reps!E:E)</f>
        <v>NAMER</v>
      </c>
      <c r="S6367" t="str">
        <f>_xlfn.XLOOKUP(Pipeline_tbl[[#This Row],[Created_Date]],Dim_Date!A:A,Dim_Date!H:H)</f>
        <v>Apr 2025</v>
      </c>
      <c r="T6367" t="str">
        <f>IF(Pipeline_tbl[[#This Row],[Closed_Date]]=0,"",(_xlfn.XLOOKUP(Pipeline_tbl[[#This Row],[Closed_Date]],Dim_Date!A:A,Dim_Date!H:H)))</f>
        <v>Apr 2025</v>
      </c>
      <c r="U6367">
        <f>IF(Pipeline_tbl[[#This Row],[Closed_Date]]=0,"",Pipeline_tbl[[#This Row],[Closed_Date]]-Pipeline_tbl[[#This Row],[Created_Date]])</f>
        <v>13</v>
      </c>
    </row>
    <row r="6368" spans="1:21" ht="15" customHeight="1" x14ac:dyDescent="0.2">
      <c r="A6368" t="s">
        <v>6674</v>
      </c>
      <c r="B6368" t="s">
        <v>221</v>
      </c>
      <c r="C6368" t="s">
        <v>52</v>
      </c>
      <c r="D6368" s="49">
        <v>45749</v>
      </c>
      <c r="E6368" s="49">
        <v>45751</v>
      </c>
      <c r="F6368" s="49">
        <v>45756</v>
      </c>
      <c r="G6368" s="49">
        <v>45763</v>
      </c>
      <c r="H6368" s="49">
        <v>45769</v>
      </c>
      <c r="I6368" s="49">
        <v>45773</v>
      </c>
      <c r="J6368" t="s">
        <v>47</v>
      </c>
      <c r="K6368" s="33">
        <v>2800</v>
      </c>
      <c r="M6368" t="str">
        <f>_xlfn.XLOOKUP(Pipeline_tbl[[#This Row],[Rep_ID]],Dim_Reps!A:A,Dim_Reps!K:K)</f>
        <v>MXN</v>
      </c>
      <c r="N6368" s="33">
        <f>(_xlfn.XLOOKUP(Pipeline_tbl[[#This Row],[Rate_Code_Generalized]],Lookups!A:A,Lookups!B:B))*Pipeline_tbl[[#This Row],[Pipeline_Amount_USD]]</f>
        <v>55251.560000000005</v>
      </c>
      <c r="O6368" t="str">
        <f>_xlfn.XLOOKUP(Pipeline_tbl[[#This Row],[Rep_ID]],Dim_Reps!A:A,Dim_Reps!B:B)</f>
        <v>Casey Muller</v>
      </c>
      <c r="P6368" t="str">
        <f>_xlfn.XLOOKUP(Pipeline_tbl[[#This Row],[Rep_ID]],Dim_Reps!A:A,Dim_Reps!C:C)</f>
        <v>SDR / Inside Sales Rep</v>
      </c>
      <c r="Q6368" t="str">
        <f>_xlfn.XLOOKUP(Pipeline_tbl[[#This Row],[Rep_ID]],Dim_Reps!A:A,Dim_Reps!D:D)</f>
        <v>Inside Sales</v>
      </c>
      <c r="R6368" t="str">
        <f>_xlfn.XLOOKUP(Pipeline_tbl[[#This Row],[Rep_ID]],Dim_Reps!A:A,Dim_Reps!E:E)</f>
        <v>LATAM</v>
      </c>
      <c r="S6368" t="str">
        <f>_xlfn.XLOOKUP(Pipeline_tbl[[#This Row],[Created_Date]],Dim_Date!A:A,Dim_Date!H:H)</f>
        <v>Apr 2025</v>
      </c>
      <c r="T6368" t="str">
        <f>IF(Pipeline_tbl[[#This Row],[Closed_Date]]=0,"",(_xlfn.XLOOKUP(Pipeline_tbl[[#This Row],[Closed_Date]],Dim_Date!A:A,Dim_Date!H:H)))</f>
        <v>Apr 2025</v>
      </c>
      <c r="U6368">
        <f>IF(Pipeline_tbl[[#This Row],[Closed_Date]]=0,"",Pipeline_tbl[[#This Row],[Closed_Date]]-Pipeline_tbl[[#This Row],[Created_Date]])</f>
        <v>24</v>
      </c>
    </row>
    <row r="6369" spans="1:21" ht="15" customHeight="1" x14ac:dyDescent="0.2">
      <c r="A6369" t="s">
        <v>6675</v>
      </c>
      <c r="B6369" t="s">
        <v>223</v>
      </c>
      <c r="C6369" t="s">
        <v>56</v>
      </c>
      <c r="D6369" s="49">
        <v>45751</v>
      </c>
      <c r="E6369" s="49">
        <v>45753</v>
      </c>
      <c r="F6369" s="49">
        <v>45756</v>
      </c>
      <c r="G6369" s="49">
        <v>45760</v>
      </c>
      <c r="I6369" s="49">
        <v>45766</v>
      </c>
      <c r="J6369" t="s">
        <v>49</v>
      </c>
      <c r="K6369" s="33">
        <v>5000</v>
      </c>
      <c r="L6369" t="s">
        <v>60</v>
      </c>
      <c r="M6369" t="str">
        <f>_xlfn.XLOOKUP(Pipeline_tbl[[#This Row],[Rep_ID]],Dim_Reps!A:A,Dim_Reps!K:K)</f>
        <v>MXN</v>
      </c>
      <c r="N6369" s="33">
        <f>(_xlfn.XLOOKUP(Pipeline_tbl[[#This Row],[Rate_Code_Generalized]],Lookups!A:A,Lookups!B:B))*Pipeline_tbl[[#This Row],[Pipeline_Amount_USD]]</f>
        <v>98663.5</v>
      </c>
      <c r="O6369" t="str">
        <f>_xlfn.XLOOKUP(Pipeline_tbl[[#This Row],[Rep_ID]],Dim_Reps!A:A,Dim_Reps!B:B)</f>
        <v>Lea Petrov</v>
      </c>
      <c r="P6369" t="str">
        <f>_xlfn.XLOOKUP(Pipeline_tbl[[#This Row],[Rep_ID]],Dim_Reps!A:A,Dim_Reps!C:C)</f>
        <v>SDR / Inside Sales Rep</v>
      </c>
      <c r="Q6369" t="str">
        <f>_xlfn.XLOOKUP(Pipeline_tbl[[#This Row],[Rep_ID]],Dim_Reps!A:A,Dim_Reps!D:D)</f>
        <v>Inside Sales</v>
      </c>
      <c r="R6369" t="str">
        <f>_xlfn.XLOOKUP(Pipeline_tbl[[#This Row],[Rep_ID]],Dim_Reps!A:A,Dim_Reps!E:E)</f>
        <v>LATAM</v>
      </c>
      <c r="S6369" t="str">
        <f>_xlfn.XLOOKUP(Pipeline_tbl[[#This Row],[Created_Date]],Dim_Date!A:A,Dim_Date!H:H)</f>
        <v>Apr 2025</v>
      </c>
      <c r="T6369" t="str">
        <f>IF(Pipeline_tbl[[#This Row],[Closed_Date]]=0,"",(_xlfn.XLOOKUP(Pipeline_tbl[[#This Row],[Closed_Date]],Dim_Date!A:A,Dim_Date!H:H)))</f>
        <v>Apr 2025</v>
      </c>
      <c r="U6369">
        <f>IF(Pipeline_tbl[[#This Row],[Closed_Date]]=0,"",Pipeline_tbl[[#This Row],[Closed_Date]]-Pipeline_tbl[[#This Row],[Created_Date]])</f>
        <v>15</v>
      </c>
    </row>
    <row r="6370" spans="1:21" ht="15" customHeight="1" x14ac:dyDescent="0.2">
      <c r="A6370" t="s">
        <v>6676</v>
      </c>
      <c r="B6370" t="s">
        <v>223</v>
      </c>
      <c r="C6370" t="s">
        <v>54</v>
      </c>
      <c r="D6370" s="49">
        <v>45764</v>
      </c>
      <c r="E6370" s="49">
        <v>45765</v>
      </c>
      <c r="F6370" s="49">
        <v>45767</v>
      </c>
      <c r="G6370" s="49">
        <v>45771</v>
      </c>
      <c r="H6370" s="49">
        <v>45773</v>
      </c>
      <c r="I6370" s="49">
        <v>45775</v>
      </c>
      <c r="J6370" t="s">
        <v>47</v>
      </c>
      <c r="K6370" s="33">
        <v>2900</v>
      </c>
      <c r="M6370" t="str">
        <f>_xlfn.XLOOKUP(Pipeline_tbl[[#This Row],[Rep_ID]],Dim_Reps!A:A,Dim_Reps!K:K)</f>
        <v>MXN</v>
      </c>
      <c r="N6370" s="33">
        <f>(_xlfn.XLOOKUP(Pipeline_tbl[[#This Row],[Rate_Code_Generalized]],Lookups!A:A,Lookups!B:B))*Pipeline_tbl[[#This Row],[Pipeline_Amount_USD]]</f>
        <v>57224.83</v>
      </c>
      <c r="O6370" t="str">
        <f>_xlfn.XLOOKUP(Pipeline_tbl[[#This Row],[Rep_ID]],Dim_Reps!A:A,Dim_Reps!B:B)</f>
        <v>Lea Petrov</v>
      </c>
      <c r="P6370" t="str">
        <f>_xlfn.XLOOKUP(Pipeline_tbl[[#This Row],[Rep_ID]],Dim_Reps!A:A,Dim_Reps!C:C)</f>
        <v>SDR / Inside Sales Rep</v>
      </c>
      <c r="Q6370" t="str">
        <f>_xlfn.XLOOKUP(Pipeline_tbl[[#This Row],[Rep_ID]],Dim_Reps!A:A,Dim_Reps!D:D)</f>
        <v>Inside Sales</v>
      </c>
      <c r="R6370" t="str">
        <f>_xlfn.XLOOKUP(Pipeline_tbl[[#This Row],[Rep_ID]],Dim_Reps!A:A,Dim_Reps!E:E)</f>
        <v>LATAM</v>
      </c>
      <c r="S6370" t="str">
        <f>_xlfn.XLOOKUP(Pipeline_tbl[[#This Row],[Created_Date]],Dim_Date!A:A,Dim_Date!H:H)</f>
        <v>Apr 2025</v>
      </c>
      <c r="T6370" t="str">
        <f>IF(Pipeline_tbl[[#This Row],[Closed_Date]]=0,"",(_xlfn.XLOOKUP(Pipeline_tbl[[#This Row],[Closed_Date]],Dim_Date!A:A,Dim_Date!H:H)))</f>
        <v>Apr 2025</v>
      </c>
      <c r="U6370">
        <f>IF(Pipeline_tbl[[#This Row],[Closed_Date]]=0,"",Pipeline_tbl[[#This Row],[Closed_Date]]-Pipeline_tbl[[#This Row],[Created_Date]])</f>
        <v>11</v>
      </c>
    </row>
    <row r="6371" spans="1:21" ht="15" customHeight="1" x14ac:dyDescent="0.2">
      <c r="A6371" t="s">
        <v>6677</v>
      </c>
      <c r="B6371" t="s">
        <v>223</v>
      </c>
      <c r="C6371" t="s">
        <v>52</v>
      </c>
      <c r="D6371" s="49">
        <v>45752</v>
      </c>
      <c r="E6371" s="49">
        <v>45754</v>
      </c>
      <c r="F6371" s="49">
        <v>45757</v>
      </c>
      <c r="G6371" s="49">
        <v>45762</v>
      </c>
      <c r="H6371" s="49">
        <v>45766</v>
      </c>
      <c r="I6371" s="49">
        <v>45769</v>
      </c>
      <c r="J6371" t="s">
        <v>49</v>
      </c>
      <c r="K6371" s="33">
        <v>4300</v>
      </c>
      <c r="L6371" t="s">
        <v>61</v>
      </c>
      <c r="M6371" t="str">
        <f>_xlfn.XLOOKUP(Pipeline_tbl[[#This Row],[Rep_ID]],Dim_Reps!A:A,Dim_Reps!K:K)</f>
        <v>MXN</v>
      </c>
      <c r="N6371" s="33">
        <f>(_xlfn.XLOOKUP(Pipeline_tbl[[#This Row],[Rate_Code_Generalized]],Lookups!A:A,Lookups!B:B))*Pipeline_tbl[[#This Row],[Pipeline_Amount_USD]]</f>
        <v>84850.61</v>
      </c>
      <c r="O6371" t="str">
        <f>_xlfn.XLOOKUP(Pipeline_tbl[[#This Row],[Rep_ID]],Dim_Reps!A:A,Dim_Reps!B:B)</f>
        <v>Lea Petrov</v>
      </c>
      <c r="P6371" t="str">
        <f>_xlfn.XLOOKUP(Pipeline_tbl[[#This Row],[Rep_ID]],Dim_Reps!A:A,Dim_Reps!C:C)</f>
        <v>SDR / Inside Sales Rep</v>
      </c>
      <c r="Q6371" t="str">
        <f>_xlfn.XLOOKUP(Pipeline_tbl[[#This Row],[Rep_ID]],Dim_Reps!A:A,Dim_Reps!D:D)</f>
        <v>Inside Sales</v>
      </c>
      <c r="R6371" t="str">
        <f>_xlfn.XLOOKUP(Pipeline_tbl[[#This Row],[Rep_ID]],Dim_Reps!A:A,Dim_Reps!E:E)</f>
        <v>LATAM</v>
      </c>
      <c r="S6371" t="str">
        <f>_xlfn.XLOOKUP(Pipeline_tbl[[#This Row],[Created_Date]],Dim_Date!A:A,Dim_Date!H:H)</f>
        <v>Apr 2025</v>
      </c>
      <c r="T6371" t="str">
        <f>IF(Pipeline_tbl[[#This Row],[Closed_Date]]=0,"",(_xlfn.XLOOKUP(Pipeline_tbl[[#This Row],[Closed_Date]],Dim_Date!A:A,Dim_Date!H:H)))</f>
        <v>Apr 2025</v>
      </c>
      <c r="U6371">
        <f>IF(Pipeline_tbl[[#This Row],[Closed_Date]]=0,"",Pipeline_tbl[[#This Row],[Closed_Date]]-Pipeline_tbl[[#This Row],[Created_Date]])</f>
        <v>17</v>
      </c>
    </row>
    <row r="6372" spans="1:21" ht="15" customHeight="1" x14ac:dyDescent="0.2">
      <c r="A6372" t="s">
        <v>6678</v>
      </c>
      <c r="B6372" t="s">
        <v>223</v>
      </c>
      <c r="C6372" t="s">
        <v>53</v>
      </c>
      <c r="D6372" s="49">
        <v>45755</v>
      </c>
      <c r="E6372" s="49">
        <v>45755</v>
      </c>
      <c r="F6372" s="49">
        <v>45757</v>
      </c>
      <c r="I6372" s="49">
        <v>45760</v>
      </c>
      <c r="J6372" t="s">
        <v>49</v>
      </c>
      <c r="K6372" s="33">
        <v>1600</v>
      </c>
      <c r="L6372" t="s">
        <v>60</v>
      </c>
      <c r="M6372" t="str">
        <f>_xlfn.XLOOKUP(Pipeline_tbl[[#This Row],[Rep_ID]],Dim_Reps!A:A,Dim_Reps!K:K)</f>
        <v>MXN</v>
      </c>
      <c r="N6372" s="33">
        <f>(_xlfn.XLOOKUP(Pipeline_tbl[[#This Row],[Rate_Code_Generalized]],Lookups!A:A,Lookups!B:B))*Pipeline_tbl[[#This Row],[Pipeline_Amount_USD]]</f>
        <v>31572.320000000003</v>
      </c>
      <c r="O6372" t="str">
        <f>_xlfn.XLOOKUP(Pipeline_tbl[[#This Row],[Rep_ID]],Dim_Reps!A:A,Dim_Reps!B:B)</f>
        <v>Lea Petrov</v>
      </c>
      <c r="P6372" t="str">
        <f>_xlfn.XLOOKUP(Pipeline_tbl[[#This Row],[Rep_ID]],Dim_Reps!A:A,Dim_Reps!C:C)</f>
        <v>SDR / Inside Sales Rep</v>
      </c>
      <c r="Q6372" t="str">
        <f>_xlfn.XLOOKUP(Pipeline_tbl[[#This Row],[Rep_ID]],Dim_Reps!A:A,Dim_Reps!D:D)</f>
        <v>Inside Sales</v>
      </c>
      <c r="R6372" t="str">
        <f>_xlfn.XLOOKUP(Pipeline_tbl[[#This Row],[Rep_ID]],Dim_Reps!A:A,Dim_Reps!E:E)</f>
        <v>LATAM</v>
      </c>
      <c r="S6372" t="str">
        <f>_xlfn.XLOOKUP(Pipeline_tbl[[#This Row],[Created_Date]],Dim_Date!A:A,Dim_Date!H:H)</f>
        <v>Apr 2025</v>
      </c>
      <c r="T6372" t="str">
        <f>IF(Pipeline_tbl[[#This Row],[Closed_Date]]=0,"",(_xlfn.XLOOKUP(Pipeline_tbl[[#This Row],[Closed_Date]],Dim_Date!A:A,Dim_Date!H:H)))</f>
        <v>Apr 2025</v>
      </c>
      <c r="U6372">
        <f>IF(Pipeline_tbl[[#This Row],[Closed_Date]]=0,"",Pipeline_tbl[[#This Row],[Closed_Date]]-Pipeline_tbl[[#This Row],[Created_Date]])</f>
        <v>5</v>
      </c>
    </row>
    <row r="6373" spans="1:21" ht="15" customHeight="1" x14ac:dyDescent="0.2">
      <c r="A6373" t="s">
        <v>6679</v>
      </c>
      <c r="B6373" t="s">
        <v>223</v>
      </c>
      <c r="C6373" t="s">
        <v>53</v>
      </c>
      <c r="D6373" s="49">
        <v>45754</v>
      </c>
      <c r="E6373" s="49">
        <v>45756</v>
      </c>
      <c r="F6373" s="49">
        <v>45759</v>
      </c>
      <c r="G6373" s="49">
        <v>45765</v>
      </c>
      <c r="I6373" s="49">
        <v>45772</v>
      </c>
      <c r="J6373" t="s">
        <v>49</v>
      </c>
      <c r="K6373" s="33">
        <v>7200</v>
      </c>
      <c r="L6373" t="s">
        <v>62</v>
      </c>
      <c r="M6373" t="str">
        <f>_xlfn.XLOOKUP(Pipeline_tbl[[#This Row],[Rep_ID]],Dim_Reps!A:A,Dim_Reps!K:K)</f>
        <v>MXN</v>
      </c>
      <c r="N6373" s="33">
        <f>(_xlfn.XLOOKUP(Pipeline_tbl[[#This Row],[Rate_Code_Generalized]],Lookups!A:A,Lookups!B:B))*Pipeline_tbl[[#This Row],[Pipeline_Amount_USD]]</f>
        <v>142075.44</v>
      </c>
      <c r="O6373" t="str">
        <f>_xlfn.XLOOKUP(Pipeline_tbl[[#This Row],[Rep_ID]],Dim_Reps!A:A,Dim_Reps!B:B)</f>
        <v>Lea Petrov</v>
      </c>
      <c r="P6373" t="str">
        <f>_xlfn.XLOOKUP(Pipeline_tbl[[#This Row],[Rep_ID]],Dim_Reps!A:A,Dim_Reps!C:C)</f>
        <v>SDR / Inside Sales Rep</v>
      </c>
      <c r="Q6373" t="str">
        <f>_xlfn.XLOOKUP(Pipeline_tbl[[#This Row],[Rep_ID]],Dim_Reps!A:A,Dim_Reps!D:D)</f>
        <v>Inside Sales</v>
      </c>
      <c r="R6373" t="str">
        <f>_xlfn.XLOOKUP(Pipeline_tbl[[#This Row],[Rep_ID]],Dim_Reps!A:A,Dim_Reps!E:E)</f>
        <v>LATAM</v>
      </c>
      <c r="S6373" t="str">
        <f>_xlfn.XLOOKUP(Pipeline_tbl[[#This Row],[Created_Date]],Dim_Date!A:A,Dim_Date!H:H)</f>
        <v>Apr 2025</v>
      </c>
      <c r="T6373" t="str">
        <f>IF(Pipeline_tbl[[#This Row],[Closed_Date]]=0,"",(_xlfn.XLOOKUP(Pipeline_tbl[[#This Row],[Closed_Date]],Dim_Date!A:A,Dim_Date!H:H)))</f>
        <v>Apr 2025</v>
      </c>
      <c r="U6373">
        <f>IF(Pipeline_tbl[[#This Row],[Closed_Date]]=0,"",Pipeline_tbl[[#This Row],[Closed_Date]]-Pipeline_tbl[[#This Row],[Created_Date]])</f>
        <v>18</v>
      </c>
    </row>
    <row r="6374" spans="1:21" ht="15" customHeight="1" x14ac:dyDescent="0.2">
      <c r="A6374" t="s">
        <v>6680</v>
      </c>
      <c r="B6374" t="s">
        <v>223</v>
      </c>
      <c r="C6374" t="s">
        <v>53</v>
      </c>
      <c r="D6374" s="49">
        <v>45756</v>
      </c>
      <c r="E6374" s="49">
        <v>45758</v>
      </c>
      <c r="F6374" s="49">
        <v>45761</v>
      </c>
      <c r="G6374" s="49">
        <v>45767</v>
      </c>
      <c r="H6374" s="49">
        <v>45771</v>
      </c>
      <c r="I6374" s="49">
        <v>45774</v>
      </c>
      <c r="J6374" t="s">
        <v>47</v>
      </c>
      <c r="K6374" s="33">
        <v>3500</v>
      </c>
      <c r="M6374" t="str">
        <f>_xlfn.XLOOKUP(Pipeline_tbl[[#This Row],[Rep_ID]],Dim_Reps!A:A,Dim_Reps!K:K)</f>
        <v>MXN</v>
      </c>
      <c r="N6374" s="33">
        <f>(_xlfn.XLOOKUP(Pipeline_tbl[[#This Row],[Rate_Code_Generalized]],Lookups!A:A,Lookups!B:B))*Pipeline_tbl[[#This Row],[Pipeline_Amount_USD]]</f>
        <v>69064.45</v>
      </c>
      <c r="O6374" t="str">
        <f>_xlfn.XLOOKUP(Pipeline_tbl[[#This Row],[Rep_ID]],Dim_Reps!A:A,Dim_Reps!B:B)</f>
        <v>Lea Petrov</v>
      </c>
      <c r="P6374" t="str">
        <f>_xlfn.XLOOKUP(Pipeline_tbl[[#This Row],[Rep_ID]],Dim_Reps!A:A,Dim_Reps!C:C)</f>
        <v>SDR / Inside Sales Rep</v>
      </c>
      <c r="Q6374" t="str">
        <f>_xlfn.XLOOKUP(Pipeline_tbl[[#This Row],[Rep_ID]],Dim_Reps!A:A,Dim_Reps!D:D)</f>
        <v>Inside Sales</v>
      </c>
      <c r="R6374" t="str">
        <f>_xlfn.XLOOKUP(Pipeline_tbl[[#This Row],[Rep_ID]],Dim_Reps!A:A,Dim_Reps!E:E)</f>
        <v>LATAM</v>
      </c>
      <c r="S6374" t="str">
        <f>_xlfn.XLOOKUP(Pipeline_tbl[[#This Row],[Created_Date]],Dim_Date!A:A,Dim_Date!H:H)</f>
        <v>Apr 2025</v>
      </c>
      <c r="T6374" t="str">
        <f>IF(Pipeline_tbl[[#This Row],[Closed_Date]]=0,"",(_xlfn.XLOOKUP(Pipeline_tbl[[#This Row],[Closed_Date]],Dim_Date!A:A,Dim_Date!H:H)))</f>
        <v>Apr 2025</v>
      </c>
      <c r="U6374">
        <f>IF(Pipeline_tbl[[#This Row],[Closed_Date]]=0,"",Pipeline_tbl[[#This Row],[Closed_Date]]-Pipeline_tbl[[#This Row],[Created_Date]])</f>
        <v>18</v>
      </c>
    </row>
    <row r="6375" spans="1:21" ht="15" customHeight="1" x14ac:dyDescent="0.2">
      <c r="A6375" t="s">
        <v>6681</v>
      </c>
      <c r="B6375" t="s">
        <v>225</v>
      </c>
      <c r="C6375" t="s">
        <v>52</v>
      </c>
      <c r="D6375" s="49">
        <v>45758</v>
      </c>
      <c r="E6375" s="49">
        <v>45760</v>
      </c>
      <c r="F6375" s="49">
        <v>45763</v>
      </c>
      <c r="G6375" s="49">
        <v>45767</v>
      </c>
      <c r="H6375" s="49">
        <v>45771</v>
      </c>
      <c r="I6375" s="49">
        <v>45773</v>
      </c>
      <c r="J6375" t="s">
        <v>47</v>
      </c>
      <c r="K6375" s="33">
        <v>2600</v>
      </c>
      <c r="M6375" t="str">
        <f>_xlfn.XLOOKUP(Pipeline_tbl[[#This Row],[Rep_ID]],Dim_Reps!A:A,Dim_Reps!K:K)</f>
        <v>USD</v>
      </c>
      <c r="N6375" s="33">
        <f>(_xlfn.XLOOKUP(Pipeline_tbl[[#This Row],[Rate_Code_Generalized]],Lookups!A:A,Lookups!B:B))*Pipeline_tbl[[#This Row],[Pipeline_Amount_USD]]</f>
        <v>3027.18</v>
      </c>
      <c r="O6375" t="str">
        <f>_xlfn.XLOOKUP(Pipeline_tbl[[#This Row],[Rep_ID]],Dim_Reps!A:A,Dim_Reps!B:B)</f>
        <v>Alex Muller</v>
      </c>
      <c r="P6375" t="str">
        <f>_xlfn.XLOOKUP(Pipeline_tbl[[#This Row],[Rep_ID]],Dim_Reps!A:A,Dim_Reps!C:C)</f>
        <v>SDR / Inside Sales Rep</v>
      </c>
      <c r="Q6375" t="str">
        <f>_xlfn.XLOOKUP(Pipeline_tbl[[#This Row],[Rep_ID]],Dim_Reps!A:A,Dim_Reps!D:D)</f>
        <v>Inside Sales</v>
      </c>
      <c r="R6375" t="str">
        <f>_xlfn.XLOOKUP(Pipeline_tbl[[#This Row],[Rep_ID]],Dim_Reps!A:A,Dim_Reps!E:E)</f>
        <v>NAMER</v>
      </c>
      <c r="S6375" t="str">
        <f>_xlfn.XLOOKUP(Pipeline_tbl[[#This Row],[Created_Date]],Dim_Date!A:A,Dim_Date!H:H)</f>
        <v>Apr 2025</v>
      </c>
      <c r="T6375" t="str">
        <f>IF(Pipeline_tbl[[#This Row],[Closed_Date]]=0,"",(_xlfn.XLOOKUP(Pipeline_tbl[[#This Row],[Closed_Date]],Dim_Date!A:A,Dim_Date!H:H)))</f>
        <v>Apr 2025</v>
      </c>
      <c r="U6375">
        <f>IF(Pipeline_tbl[[#This Row],[Closed_Date]]=0,"",Pipeline_tbl[[#This Row],[Closed_Date]]-Pipeline_tbl[[#This Row],[Created_Date]])</f>
        <v>15</v>
      </c>
    </row>
    <row r="6376" spans="1:21" ht="15" customHeight="1" x14ac:dyDescent="0.2">
      <c r="A6376" t="s">
        <v>6682</v>
      </c>
      <c r="B6376" t="s">
        <v>227</v>
      </c>
      <c r="C6376" t="s">
        <v>52</v>
      </c>
      <c r="D6376" s="49">
        <v>45759</v>
      </c>
      <c r="E6376" s="49">
        <v>45760</v>
      </c>
      <c r="F6376" s="49">
        <v>45761</v>
      </c>
      <c r="G6376" s="49">
        <v>45764</v>
      </c>
      <c r="I6376" s="49">
        <v>45767</v>
      </c>
      <c r="J6376" t="s">
        <v>49</v>
      </c>
      <c r="K6376" s="33">
        <v>2300</v>
      </c>
      <c r="L6376" t="s">
        <v>61</v>
      </c>
      <c r="M6376" t="str">
        <f>_xlfn.XLOOKUP(Pipeline_tbl[[#This Row],[Rep_ID]],Dim_Reps!A:A,Dim_Reps!K:K)</f>
        <v>EUR</v>
      </c>
      <c r="N6376" s="33">
        <f>(_xlfn.XLOOKUP(Pipeline_tbl[[#This Row],[Rate_Code_Generalized]],Lookups!A:A,Lookups!B:B))*Pipeline_tbl[[#This Row],[Pipeline_Amount_USD]]</f>
        <v>2300</v>
      </c>
      <c r="O6376" t="str">
        <f>_xlfn.XLOOKUP(Pipeline_tbl[[#This Row],[Rep_ID]],Dim_Reps!A:A,Dim_Reps!B:B)</f>
        <v>Liam Muller</v>
      </c>
      <c r="P6376" t="str">
        <f>_xlfn.XLOOKUP(Pipeline_tbl[[#This Row],[Rep_ID]],Dim_Reps!A:A,Dim_Reps!C:C)</f>
        <v>SDR / Inside Sales Rep</v>
      </c>
      <c r="Q6376" t="str">
        <f>_xlfn.XLOOKUP(Pipeline_tbl[[#This Row],[Rep_ID]],Dim_Reps!A:A,Dim_Reps!D:D)</f>
        <v>Inside Sales</v>
      </c>
      <c r="R6376" t="str">
        <f>_xlfn.XLOOKUP(Pipeline_tbl[[#This Row],[Rep_ID]],Dim_Reps!A:A,Dim_Reps!E:E)</f>
        <v>EMEA</v>
      </c>
      <c r="S6376" t="str">
        <f>_xlfn.XLOOKUP(Pipeline_tbl[[#This Row],[Created_Date]],Dim_Date!A:A,Dim_Date!H:H)</f>
        <v>Apr 2025</v>
      </c>
      <c r="T6376" t="str">
        <f>IF(Pipeline_tbl[[#This Row],[Closed_Date]]=0,"",(_xlfn.XLOOKUP(Pipeline_tbl[[#This Row],[Closed_Date]],Dim_Date!A:A,Dim_Date!H:H)))</f>
        <v>Apr 2025</v>
      </c>
      <c r="U6376">
        <f>IF(Pipeline_tbl[[#This Row],[Closed_Date]]=0,"",Pipeline_tbl[[#This Row],[Closed_Date]]-Pipeline_tbl[[#This Row],[Created_Date]])</f>
        <v>8</v>
      </c>
    </row>
    <row r="6377" spans="1:21" ht="15" customHeight="1" x14ac:dyDescent="0.2">
      <c r="A6377" t="s">
        <v>6683</v>
      </c>
      <c r="B6377" t="s">
        <v>227</v>
      </c>
      <c r="C6377" t="s">
        <v>52</v>
      </c>
      <c r="D6377" s="49">
        <v>45758</v>
      </c>
      <c r="E6377" s="49">
        <v>45760</v>
      </c>
      <c r="I6377" s="49">
        <v>45775</v>
      </c>
      <c r="J6377" t="s">
        <v>49</v>
      </c>
      <c r="K6377" s="33">
        <v>5100</v>
      </c>
      <c r="L6377" t="s">
        <v>60</v>
      </c>
      <c r="M6377" t="str">
        <f>_xlfn.XLOOKUP(Pipeline_tbl[[#This Row],[Rep_ID]],Dim_Reps!A:A,Dim_Reps!K:K)</f>
        <v>EUR</v>
      </c>
      <c r="N6377" s="33">
        <f>(_xlfn.XLOOKUP(Pipeline_tbl[[#This Row],[Rate_Code_Generalized]],Lookups!A:A,Lookups!B:B))*Pipeline_tbl[[#This Row],[Pipeline_Amount_USD]]</f>
        <v>5100</v>
      </c>
      <c r="O6377" t="str">
        <f>_xlfn.XLOOKUP(Pipeline_tbl[[#This Row],[Rep_ID]],Dim_Reps!A:A,Dim_Reps!B:B)</f>
        <v>Liam Muller</v>
      </c>
      <c r="P6377" t="str">
        <f>_xlfn.XLOOKUP(Pipeline_tbl[[#This Row],[Rep_ID]],Dim_Reps!A:A,Dim_Reps!C:C)</f>
        <v>SDR / Inside Sales Rep</v>
      </c>
      <c r="Q6377" t="str">
        <f>_xlfn.XLOOKUP(Pipeline_tbl[[#This Row],[Rep_ID]],Dim_Reps!A:A,Dim_Reps!D:D)</f>
        <v>Inside Sales</v>
      </c>
      <c r="R6377" t="str">
        <f>_xlfn.XLOOKUP(Pipeline_tbl[[#This Row],[Rep_ID]],Dim_Reps!A:A,Dim_Reps!E:E)</f>
        <v>EMEA</v>
      </c>
      <c r="S6377" t="str">
        <f>_xlfn.XLOOKUP(Pipeline_tbl[[#This Row],[Created_Date]],Dim_Date!A:A,Dim_Date!H:H)</f>
        <v>Apr 2025</v>
      </c>
      <c r="T6377" t="str">
        <f>IF(Pipeline_tbl[[#This Row],[Closed_Date]]=0,"",(_xlfn.XLOOKUP(Pipeline_tbl[[#This Row],[Closed_Date]],Dim_Date!A:A,Dim_Date!H:H)))</f>
        <v>Apr 2025</v>
      </c>
      <c r="U6377">
        <f>IF(Pipeline_tbl[[#This Row],[Closed_Date]]=0,"",Pipeline_tbl[[#This Row],[Closed_Date]]-Pipeline_tbl[[#This Row],[Created_Date]])</f>
        <v>17</v>
      </c>
    </row>
    <row r="6378" spans="1:21" ht="15" customHeight="1" x14ac:dyDescent="0.2">
      <c r="A6378" t="s">
        <v>6684</v>
      </c>
      <c r="B6378" t="s">
        <v>227</v>
      </c>
      <c r="C6378" t="s">
        <v>52</v>
      </c>
      <c r="D6378" s="49">
        <v>45754</v>
      </c>
      <c r="E6378" s="49">
        <v>45756</v>
      </c>
      <c r="F6378" s="49">
        <v>45759</v>
      </c>
      <c r="G6378" s="49">
        <v>45765</v>
      </c>
      <c r="H6378" s="49">
        <v>45769</v>
      </c>
      <c r="I6378" s="49">
        <v>45772</v>
      </c>
      <c r="J6378" t="s">
        <v>49</v>
      </c>
      <c r="K6378" s="33">
        <v>2700</v>
      </c>
      <c r="L6378" t="s">
        <v>61</v>
      </c>
      <c r="M6378" t="str">
        <f>_xlfn.XLOOKUP(Pipeline_tbl[[#This Row],[Rep_ID]],Dim_Reps!A:A,Dim_Reps!K:K)</f>
        <v>EUR</v>
      </c>
      <c r="N6378" s="33">
        <f>(_xlfn.XLOOKUP(Pipeline_tbl[[#This Row],[Rate_Code_Generalized]],Lookups!A:A,Lookups!B:B))*Pipeline_tbl[[#This Row],[Pipeline_Amount_USD]]</f>
        <v>2700</v>
      </c>
      <c r="O6378" t="str">
        <f>_xlfn.XLOOKUP(Pipeline_tbl[[#This Row],[Rep_ID]],Dim_Reps!A:A,Dim_Reps!B:B)</f>
        <v>Liam Muller</v>
      </c>
      <c r="P6378" t="str">
        <f>_xlfn.XLOOKUP(Pipeline_tbl[[#This Row],[Rep_ID]],Dim_Reps!A:A,Dim_Reps!C:C)</f>
        <v>SDR / Inside Sales Rep</v>
      </c>
      <c r="Q6378" t="str">
        <f>_xlfn.XLOOKUP(Pipeline_tbl[[#This Row],[Rep_ID]],Dim_Reps!A:A,Dim_Reps!D:D)</f>
        <v>Inside Sales</v>
      </c>
      <c r="R6378" t="str">
        <f>_xlfn.XLOOKUP(Pipeline_tbl[[#This Row],[Rep_ID]],Dim_Reps!A:A,Dim_Reps!E:E)</f>
        <v>EMEA</v>
      </c>
      <c r="S6378" t="str">
        <f>_xlfn.XLOOKUP(Pipeline_tbl[[#This Row],[Created_Date]],Dim_Date!A:A,Dim_Date!H:H)</f>
        <v>Apr 2025</v>
      </c>
      <c r="T6378" t="str">
        <f>IF(Pipeline_tbl[[#This Row],[Closed_Date]]=0,"",(_xlfn.XLOOKUP(Pipeline_tbl[[#This Row],[Closed_Date]],Dim_Date!A:A,Dim_Date!H:H)))</f>
        <v>Apr 2025</v>
      </c>
      <c r="U6378">
        <f>IF(Pipeline_tbl[[#This Row],[Closed_Date]]=0,"",Pipeline_tbl[[#This Row],[Closed_Date]]-Pipeline_tbl[[#This Row],[Created_Date]])</f>
        <v>18</v>
      </c>
    </row>
    <row r="6379" spans="1:21" ht="15" customHeight="1" x14ac:dyDescent="0.2">
      <c r="A6379" t="s">
        <v>6685</v>
      </c>
      <c r="B6379" t="s">
        <v>227</v>
      </c>
      <c r="C6379" t="s">
        <v>56</v>
      </c>
      <c r="D6379" s="49">
        <v>45751</v>
      </c>
      <c r="E6379" s="49">
        <v>45752</v>
      </c>
      <c r="F6379" s="49">
        <v>45754</v>
      </c>
      <c r="G6379" s="49">
        <v>45758</v>
      </c>
      <c r="H6379" s="49">
        <v>45760</v>
      </c>
      <c r="I6379" s="49">
        <v>45762</v>
      </c>
      <c r="J6379" t="s">
        <v>47</v>
      </c>
      <c r="K6379" s="33">
        <v>3700</v>
      </c>
      <c r="M6379" t="str">
        <f>_xlfn.XLOOKUP(Pipeline_tbl[[#This Row],[Rep_ID]],Dim_Reps!A:A,Dim_Reps!K:K)</f>
        <v>EUR</v>
      </c>
      <c r="N6379" s="33">
        <f>(_xlfn.XLOOKUP(Pipeline_tbl[[#This Row],[Rate_Code_Generalized]],Lookups!A:A,Lookups!B:B))*Pipeline_tbl[[#This Row],[Pipeline_Amount_USD]]</f>
        <v>3700</v>
      </c>
      <c r="O6379" t="str">
        <f>_xlfn.XLOOKUP(Pipeline_tbl[[#This Row],[Rep_ID]],Dim_Reps!A:A,Dim_Reps!B:B)</f>
        <v>Liam Muller</v>
      </c>
      <c r="P6379" t="str">
        <f>_xlfn.XLOOKUP(Pipeline_tbl[[#This Row],[Rep_ID]],Dim_Reps!A:A,Dim_Reps!C:C)</f>
        <v>SDR / Inside Sales Rep</v>
      </c>
      <c r="Q6379" t="str">
        <f>_xlfn.XLOOKUP(Pipeline_tbl[[#This Row],[Rep_ID]],Dim_Reps!A:A,Dim_Reps!D:D)</f>
        <v>Inside Sales</v>
      </c>
      <c r="R6379" t="str">
        <f>_xlfn.XLOOKUP(Pipeline_tbl[[#This Row],[Rep_ID]],Dim_Reps!A:A,Dim_Reps!E:E)</f>
        <v>EMEA</v>
      </c>
      <c r="S6379" t="str">
        <f>_xlfn.XLOOKUP(Pipeline_tbl[[#This Row],[Created_Date]],Dim_Date!A:A,Dim_Date!H:H)</f>
        <v>Apr 2025</v>
      </c>
      <c r="T6379" t="str">
        <f>IF(Pipeline_tbl[[#This Row],[Closed_Date]]=0,"",(_xlfn.XLOOKUP(Pipeline_tbl[[#This Row],[Closed_Date]],Dim_Date!A:A,Dim_Date!H:H)))</f>
        <v>Apr 2025</v>
      </c>
      <c r="U6379">
        <f>IF(Pipeline_tbl[[#This Row],[Closed_Date]]=0,"",Pipeline_tbl[[#This Row],[Closed_Date]]-Pipeline_tbl[[#This Row],[Created_Date]])</f>
        <v>11</v>
      </c>
    </row>
    <row r="6380" spans="1:21" ht="15" customHeight="1" x14ac:dyDescent="0.2">
      <c r="A6380" t="s">
        <v>6686</v>
      </c>
      <c r="B6380" t="s">
        <v>227</v>
      </c>
      <c r="C6380" t="s">
        <v>53</v>
      </c>
      <c r="D6380" s="49">
        <v>45756</v>
      </c>
      <c r="E6380" s="49">
        <v>45758</v>
      </c>
      <c r="F6380" s="49">
        <v>45761</v>
      </c>
      <c r="G6380" s="49">
        <v>45767</v>
      </c>
      <c r="H6380" s="49">
        <v>45771</v>
      </c>
      <c r="I6380" s="49">
        <v>45774</v>
      </c>
      <c r="J6380" t="s">
        <v>49</v>
      </c>
      <c r="K6380" s="33">
        <v>2400</v>
      </c>
      <c r="L6380" t="s">
        <v>62</v>
      </c>
      <c r="M6380" t="str">
        <f>_xlfn.XLOOKUP(Pipeline_tbl[[#This Row],[Rep_ID]],Dim_Reps!A:A,Dim_Reps!K:K)</f>
        <v>EUR</v>
      </c>
      <c r="N6380" s="33">
        <f>(_xlfn.XLOOKUP(Pipeline_tbl[[#This Row],[Rate_Code_Generalized]],Lookups!A:A,Lookups!B:B))*Pipeline_tbl[[#This Row],[Pipeline_Amount_USD]]</f>
        <v>2400</v>
      </c>
      <c r="O6380" t="str">
        <f>_xlfn.XLOOKUP(Pipeline_tbl[[#This Row],[Rep_ID]],Dim_Reps!A:A,Dim_Reps!B:B)</f>
        <v>Liam Muller</v>
      </c>
      <c r="P6380" t="str">
        <f>_xlfn.XLOOKUP(Pipeline_tbl[[#This Row],[Rep_ID]],Dim_Reps!A:A,Dim_Reps!C:C)</f>
        <v>SDR / Inside Sales Rep</v>
      </c>
      <c r="Q6380" t="str">
        <f>_xlfn.XLOOKUP(Pipeline_tbl[[#This Row],[Rep_ID]],Dim_Reps!A:A,Dim_Reps!D:D)</f>
        <v>Inside Sales</v>
      </c>
      <c r="R6380" t="str">
        <f>_xlfn.XLOOKUP(Pipeline_tbl[[#This Row],[Rep_ID]],Dim_Reps!A:A,Dim_Reps!E:E)</f>
        <v>EMEA</v>
      </c>
      <c r="S6380" t="str">
        <f>_xlfn.XLOOKUP(Pipeline_tbl[[#This Row],[Created_Date]],Dim_Date!A:A,Dim_Date!H:H)</f>
        <v>Apr 2025</v>
      </c>
      <c r="T6380" t="str">
        <f>IF(Pipeline_tbl[[#This Row],[Closed_Date]]=0,"",(_xlfn.XLOOKUP(Pipeline_tbl[[#This Row],[Closed_Date]],Dim_Date!A:A,Dim_Date!H:H)))</f>
        <v>Apr 2025</v>
      </c>
      <c r="U6380">
        <f>IF(Pipeline_tbl[[#This Row],[Closed_Date]]=0,"",Pipeline_tbl[[#This Row],[Closed_Date]]-Pipeline_tbl[[#This Row],[Created_Date]])</f>
        <v>18</v>
      </c>
    </row>
    <row r="6381" spans="1:21" ht="15" customHeight="1" x14ac:dyDescent="0.2">
      <c r="A6381" t="s">
        <v>6687</v>
      </c>
      <c r="B6381" t="s">
        <v>227</v>
      </c>
      <c r="C6381" t="s">
        <v>53</v>
      </c>
      <c r="D6381" s="49">
        <v>45760</v>
      </c>
      <c r="E6381" s="49">
        <v>45762</v>
      </c>
      <c r="I6381" s="49">
        <v>45776</v>
      </c>
      <c r="J6381" t="s">
        <v>49</v>
      </c>
      <c r="K6381" s="33">
        <v>2000</v>
      </c>
      <c r="L6381" t="s">
        <v>63</v>
      </c>
      <c r="M6381" t="str">
        <f>_xlfn.XLOOKUP(Pipeline_tbl[[#This Row],[Rep_ID]],Dim_Reps!A:A,Dim_Reps!K:K)</f>
        <v>EUR</v>
      </c>
      <c r="N6381" s="33">
        <f>(_xlfn.XLOOKUP(Pipeline_tbl[[#This Row],[Rate_Code_Generalized]],Lookups!A:A,Lookups!B:B))*Pipeline_tbl[[#This Row],[Pipeline_Amount_USD]]</f>
        <v>2000</v>
      </c>
      <c r="O6381" t="str">
        <f>_xlfn.XLOOKUP(Pipeline_tbl[[#This Row],[Rep_ID]],Dim_Reps!A:A,Dim_Reps!B:B)</f>
        <v>Liam Muller</v>
      </c>
      <c r="P6381" t="str">
        <f>_xlfn.XLOOKUP(Pipeline_tbl[[#This Row],[Rep_ID]],Dim_Reps!A:A,Dim_Reps!C:C)</f>
        <v>SDR / Inside Sales Rep</v>
      </c>
      <c r="Q6381" t="str">
        <f>_xlfn.XLOOKUP(Pipeline_tbl[[#This Row],[Rep_ID]],Dim_Reps!A:A,Dim_Reps!D:D)</f>
        <v>Inside Sales</v>
      </c>
      <c r="R6381" t="str">
        <f>_xlfn.XLOOKUP(Pipeline_tbl[[#This Row],[Rep_ID]],Dim_Reps!A:A,Dim_Reps!E:E)</f>
        <v>EMEA</v>
      </c>
      <c r="S6381" t="str">
        <f>_xlfn.XLOOKUP(Pipeline_tbl[[#This Row],[Created_Date]],Dim_Date!A:A,Dim_Date!H:H)</f>
        <v>Apr 2025</v>
      </c>
      <c r="T6381" t="str">
        <f>IF(Pipeline_tbl[[#This Row],[Closed_Date]]=0,"",(_xlfn.XLOOKUP(Pipeline_tbl[[#This Row],[Closed_Date]],Dim_Date!A:A,Dim_Date!H:H)))</f>
        <v>Apr 2025</v>
      </c>
      <c r="U6381">
        <f>IF(Pipeline_tbl[[#This Row],[Closed_Date]]=0,"",Pipeline_tbl[[#This Row],[Closed_Date]]-Pipeline_tbl[[#This Row],[Created_Date]])</f>
        <v>16</v>
      </c>
    </row>
    <row r="6382" spans="1:21" ht="15" customHeight="1" x14ac:dyDescent="0.2">
      <c r="A6382" t="s">
        <v>6688</v>
      </c>
      <c r="B6382" t="s">
        <v>227</v>
      </c>
      <c r="C6382" t="s">
        <v>52</v>
      </c>
      <c r="D6382" s="49">
        <v>45766</v>
      </c>
      <c r="E6382" s="49">
        <v>45767</v>
      </c>
      <c r="F6382" s="49">
        <v>45769</v>
      </c>
      <c r="G6382" s="49">
        <v>45771</v>
      </c>
      <c r="I6382" s="49">
        <v>45775</v>
      </c>
      <c r="J6382" t="s">
        <v>49</v>
      </c>
      <c r="K6382" s="33">
        <v>5800</v>
      </c>
      <c r="L6382" t="s">
        <v>61</v>
      </c>
      <c r="M6382" t="str">
        <f>_xlfn.XLOOKUP(Pipeline_tbl[[#This Row],[Rep_ID]],Dim_Reps!A:A,Dim_Reps!K:K)</f>
        <v>EUR</v>
      </c>
      <c r="N6382" s="33">
        <f>(_xlfn.XLOOKUP(Pipeline_tbl[[#This Row],[Rate_Code_Generalized]],Lookups!A:A,Lookups!B:B))*Pipeline_tbl[[#This Row],[Pipeline_Amount_USD]]</f>
        <v>5800</v>
      </c>
      <c r="O6382" t="str">
        <f>_xlfn.XLOOKUP(Pipeline_tbl[[#This Row],[Rep_ID]],Dim_Reps!A:A,Dim_Reps!B:B)</f>
        <v>Liam Muller</v>
      </c>
      <c r="P6382" t="str">
        <f>_xlfn.XLOOKUP(Pipeline_tbl[[#This Row],[Rep_ID]],Dim_Reps!A:A,Dim_Reps!C:C)</f>
        <v>SDR / Inside Sales Rep</v>
      </c>
      <c r="Q6382" t="str">
        <f>_xlfn.XLOOKUP(Pipeline_tbl[[#This Row],[Rep_ID]],Dim_Reps!A:A,Dim_Reps!D:D)</f>
        <v>Inside Sales</v>
      </c>
      <c r="R6382" t="str">
        <f>_xlfn.XLOOKUP(Pipeline_tbl[[#This Row],[Rep_ID]],Dim_Reps!A:A,Dim_Reps!E:E)</f>
        <v>EMEA</v>
      </c>
      <c r="S6382" t="str">
        <f>_xlfn.XLOOKUP(Pipeline_tbl[[#This Row],[Created_Date]],Dim_Date!A:A,Dim_Date!H:H)</f>
        <v>Apr 2025</v>
      </c>
      <c r="T6382" t="str">
        <f>IF(Pipeline_tbl[[#This Row],[Closed_Date]]=0,"",(_xlfn.XLOOKUP(Pipeline_tbl[[#This Row],[Closed_Date]],Dim_Date!A:A,Dim_Date!H:H)))</f>
        <v>Apr 2025</v>
      </c>
      <c r="U6382">
        <f>IF(Pipeline_tbl[[#This Row],[Closed_Date]]=0,"",Pipeline_tbl[[#This Row],[Closed_Date]]-Pipeline_tbl[[#This Row],[Created_Date]])</f>
        <v>9</v>
      </c>
    </row>
    <row r="6383" spans="1:21" ht="15" customHeight="1" x14ac:dyDescent="0.2">
      <c r="A6383" t="s">
        <v>6689</v>
      </c>
      <c r="B6383" t="s">
        <v>229</v>
      </c>
      <c r="C6383" t="s">
        <v>56</v>
      </c>
      <c r="D6383" s="49">
        <v>45750</v>
      </c>
      <c r="E6383" s="49">
        <v>45752</v>
      </c>
      <c r="F6383" s="49">
        <v>45756</v>
      </c>
      <c r="G6383" s="49">
        <v>45763</v>
      </c>
      <c r="H6383" s="49">
        <v>45768</v>
      </c>
      <c r="I6383" s="49">
        <v>45771</v>
      </c>
      <c r="J6383" t="s">
        <v>47</v>
      </c>
      <c r="K6383" s="33">
        <v>1100</v>
      </c>
      <c r="M6383" t="str">
        <f>_xlfn.XLOOKUP(Pipeline_tbl[[#This Row],[Rep_ID]],Dim_Reps!A:A,Dim_Reps!K:K)</f>
        <v>USD</v>
      </c>
      <c r="N6383" s="33">
        <f>(_xlfn.XLOOKUP(Pipeline_tbl[[#This Row],[Rate_Code_Generalized]],Lookups!A:A,Lookups!B:B))*Pipeline_tbl[[#This Row],[Pipeline_Amount_USD]]</f>
        <v>1280.7299999999998</v>
      </c>
      <c r="O6383" t="str">
        <f>_xlfn.XLOOKUP(Pipeline_tbl[[#This Row],[Rep_ID]],Dim_Reps!A:A,Dim_Reps!B:B)</f>
        <v>Liam Castro</v>
      </c>
      <c r="P6383" t="str">
        <f>_xlfn.XLOOKUP(Pipeline_tbl[[#This Row],[Rep_ID]],Dim_Reps!A:A,Dim_Reps!C:C)</f>
        <v>SDR / Inside Sales Rep</v>
      </c>
      <c r="Q6383" t="str">
        <f>_xlfn.XLOOKUP(Pipeline_tbl[[#This Row],[Rep_ID]],Dim_Reps!A:A,Dim_Reps!D:D)</f>
        <v>Inside Sales</v>
      </c>
      <c r="R6383" t="str">
        <f>_xlfn.XLOOKUP(Pipeline_tbl[[#This Row],[Rep_ID]],Dim_Reps!A:A,Dim_Reps!E:E)</f>
        <v>NAMER</v>
      </c>
      <c r="S6383" t="str">
        <f>_xlfn.XLOOKUP(Pipeline_tbl[[#This Row],[Created_Date]],Dim_Date!A:A,Dim_Date!H:H)</f>
        <v>Apr 2025</v>
      </c>
      <c r="T6383" t="str">
        <f>IF(Pipeline_tbl[[#This Row],[Closed_Date]]=0,"",(_xlfn.XLOOKUP(Pipeline_tbl[[#This Row],[Closed_Date]],Dim_Date!A:A,Dim_Date!H:H)))</f>
        <v>Apr 2025</v>
      </c>
      <c r="U6383">
        <f>IF(Pipeline_tbl[[#This Row],[Closed_Date]]=0,"",Pipeline_tbl[[#This Row],[Closed_Date]]-Pipeline_tbl[[#This Row],[Created_Date]])</f>
        <v>21</v>
      </c>
    </row>
    <row r="6384" spans="1:21" ht="15" customHeight="1" x14ac:dyDescent="0.2">
      <c r="A6384" t="s">
        <v>6690</v>
      </c>
      <c r="B6384" t="s">
        <v>229</v>
      </c>
      <c r="C6384" t="s">
        <v>54</v>
      </c>
      <c r="D6384" s="49">
        <v>45764</v>
      </c>
      <c r="E6384" s="49">
        <v>45765</v>
      </c>
      <c r="F6384" s="49">
        <v>45768</v>
      </c>
      <c r="G6384" s="49">
        <v>45772</v>
      </c>
      <c r="I6384" s="49">
        <v>45777</v>
      </c>
      <c r="J6384" t="s">
        <v>49</v>
      </c>
      <c r="K6384" s="33">
        <v>1600</v>
      </c>
      <c r="L6384" t="s">
        <v>64</v>
      </c>
      <c r="M6384" t="str">
        <f>_xlfn.XLOOKUP(Pipeline_tbl[[#This Row],[Rep_ID]],Dim_Reps!A:A,Dim_Reps!K:K)</f>
        <v>USD</v>
      </c>
      <c r="N6384" s="33">
        <f>(_xlfn.XLOOKUP(Pipeline_tbl[[#This Row],[Rate_Code_Generalized]],Lookups!A:A,Lookups!B:B))*Pipeline_tbl[[#This Row],[Pipeline_Amount_USD]]</f>
        <v>1862.8799999999999</v>
      </c>
      <c r="O6384" t="str">
        <f>_xlfn.XLOOKUP(Pipeline_tbl[[#This Row],[Rep_ID]],Dim_Reps!A:A,Dim_Reps!B:B)</f>
        <v>Liam Castro</v>
      </c>
      <c r="P6384" t="str">
        <f>_xlfn.XLOOKUP(Pipeline_tbl[[#This Row],[Rep_ID]],Dim_Reps!A:A,Dim_Reps!C:C)</f>
        <v>SDR / Inside Sales Rep</v>
      </c>
      <c r="Q6384" t="str">
        <f>_xlfn.XLOOKUP(Pipeline_tbl[[#This Row],[Rep_ID]],Dim_Reps!A:A,Dim_Reps!D:D)</f>
        <v>Inside Sales</v>
      </c>
      <c r="R6384" t="str">
        <f>_xlfn.XLOOKUP(Pipeline_tbl[[#This Row],[Rep_ID]],Dim_Reps!A:A,Dim_Reps!E:E)</f>
        <v>NAMER</v>
      </c>
      <c r="S6384" t="str">
        <f>_xlfn.XLOOKUP(Pipeline_tbl[[#This Row],[Created_Date]],Dim_Date!A:A,Dim_Date!H:H)</f>
        <v>Apr 2025</v>
      </c>
      <c r="T6384" t="str">
        <f>IF(Pipeline_tbl[[#This Row],[Closed_Date]]=0,"",(_xlfn.XLOOKUP(Pipeline_tbl[[#This Row],[Closed_Date]],Dim_Date!A:A,Dim_Date!H:H)))</f>
        <v>Apr 2025</v>
      </c>
      <c r="U6384">
        <f>IF(Pipeline_tbl[[#This Row],[Closed_Date]]=0,"",Pipeline_tbl[[#This Row],[Closed_Date]]-Pipeline_tbl[[#This Row],[Created_Date]])</f>
        <v>13</v>
      </c>
    </row>
    <row r="6385" spans="1:21" ht="15" customHeight="1" x14ac:dyDescent="0.2">
      <c r="A6385" t="s">
        <v>6691</v>
      </c>
      <c r="B6385" t="s">
        <v>229</v>
      </c>
      <c r="C6385" t="s">
        <v>52</v>
      </c>
      <c r="D6385" s="49">
        <v>45754</v>
      </c>
      <c r="E6385" s="49">
        <v>45756</v>
      </c>
      <c r="F6385" s="49">
        <v>45759</v>
      </c>
      <c r="G6385" s="49">
        <v>45765</v>
      </c>
      <c r="H6385" s="49">
        <v>45769</v>
      </c>
      <c r="I6385" s="49">
        <v>45772</v>
      </c>
      <c r="J6385" t="s">
        <v>47</v>
      </c>
      <c r="K6385" s="33">
        <v>7400</v>
      </c>
      <c r="M6385" t="str">
        <f>_xlfn.XLOOKUP(Pipeline_tbl[[#This Row],[Rep_ID]],Dim_Reps!A:A,Dim_Reps!K:K)</f>
        <v>USD</v>
      </c>
      <c r="N6385" s="33">
        <f>(_xlfn.XLOOKUP(Pipeline_tbl[[#This Row],[Rate_Code_Generalized]],Lookups!A:A,Lookups!B:B))*Pipeline_tbl[[#This Row],[Pipeline_Amount_USD]]</f>
        <v>8615.82</v>
      </c>
      <c r="O6385" t="str">
        <f>_xlfn.XLOOKUP(Pipeline_tbl[[#This Row],[Rep_ID]],Dim_Reps!A:A,Dim_Reps!B:B)</f>
        <v>Liam Castro</v>
      </c>
      <c r="P6385" t="str">
        <f>_xlfn.XLOOKUP(Pipeline_tbl[[#This Row],[Rep_ID]],Dim_Reps!A:A,Dim_Reps!C:C)</f>
        <v>SDR / Inside Sales Rep</v>
      </c>
      <c r="Q6385" t="str">
        <f>_xlfn.XLOOKUP(Pipeline_tbl[[#This Row],[Rep_ID]],Dim_Reps!A:A,Dim_Reps!D:D)</f>
        <v>Inside Sales</v>
      </c>
      <c r="R6385" t="str">
        <f>_xlfn.XLOOKUP(Pipeline_tbl[[#This Row],[Rep_ID]],Dim_Reps!A:A,Dim_Reps!E:E)</f>
        <v>NAMER</v>
      </c>
      <c r="S6385" t="str">
        <f>_xlfn.XLOOKUP(Pipeline_tbl[[#This Row],[Created_Date]],Dim_Date!A:A,Dim_Date!H:H)</f>
        <v>Apr 2025</v>
      </c>
      <c r="T6385" t="str">
        <f>IF(Pipeline_tbl[[#This Row],[Closed_Date]]=0,"",(_xlfn.XLOOKUP(Pipeline_tbl[[#This Row],[Closed_Date]],Dim_Date!A:A,Dim_Date!H:H)))</f>
        <v>Apr 2025</v>
      </c>
      <c r="U6385">
        <f>IF(Pipeline_tbl[[#This Row],[Closed_Date]]=0,"",Pipeline_tbl[[#This Row],[Closed_Date]]-Pipeline_tbl[[#This Row],[Created_Date]])</f>
        <v>18</v>
      </c>
    </row>
    <row r="6386" spans="1:21" ht="15" customHeight="1" x14ac:dyDescent="0.2">
      <c r="A6386" t="s">
        <v>6692</v>
      </c>
      <c r="B6386" t="s">
        <v>229</v>
      </c>
      <c r="C6386" t="s">
        <v>53</v>
      </c>
      <c r="D6386" s="49">
        <v>45765</v>
      </c>
      <c r="E6386" s="49">
        <v>45766</v>
      </c>
      <c r="F6386" s="49">
        <v>45768</v>
      </c>
      <c r="I6386" s="49">
        <v>45775</v>
      </c>
      <c r="J6386" t="s">
        <v>49</v>
      </c>
      <c r="K6386" s="33">
        <v>3700</v>
      </c>
      <c r="L6386" t="s">
        <v>60</v>
      </c>
      <c r="M6386" t="str">
        <f>_xlfn.XLOOKUP(Pipeline_tbl[[#This Row],[Rep_ID]],Dim_Reps!A:A,Dim_Reps!K:K)</f>
        <v>USD</v>
      </c>
      <c r="N6386" s="33">
        <f>(_xlfn.XLOOKUP(Pipeline_tbl[[#This Row],[Rate_Code_Generalized]],Lookups!A:A,Lookups!B:B))*Pipeline_tbl[[#This Row],[Pipeline_Amount_USD]]</f>
        <v>4307.91</v>
      </c>
      <c r="O6386" t="str">
        <f>_xlfn.XLOOKUP(Pipeline_tbl[[#This Row],[Rep_ID]],Dim_Reps!A:A,Dim_Reps!B:B)</f>
        <v>Liam Castro</v>
      </c>
      <c r="P6386" t="str">
        <f>_xlfn.XLOOKUP(Pipeline_tbl[[#This Row],[Rep_ID]],Dim_Reps!A:A,Dim_Reps!C:C)</f>
        <v>SDR / Inside Sales Rep</v>
      </c>
      <c r="Q6386" t="str">
        <f>_xlfn.XLOOKUP(Pipeline_tbl[[#This Row],[Rep_ID]],Dim_Reps!A:A,Dim_Reps!D:D)</f>
        <v>Inside Sales</v>
      </c>
      <c r="R6386" t="str">
        <f>_xlfn.XLOOKUP(Pipeline_tbl[[#This Row],[Rep_ID]],Dim_Reps!A:A,Dim_Reps!E:E)</f>
        <v>NAMER</v>
      </c>
      <c r="S6386" t="str">
        <f>_xlfn.XLOOKUP(Pipeline_tbl[[#This Row],[Created_Date]],Dim_Date!A:A,Dim_Date!H:H)</f>
        <v>Apr 2025</v>
      </c>
      <c r="T6386" t="str">
        <f>IF(Pipeline_tbl[[#This Row],[Closed_Date]]=0,"",(_xlfn.XLOOKUP(Pipeline_tbl[[#This Row],[Closed_Date]],Dim_Date!A:A,Dim_Date!H:H)))</f>
        <v>Apr 2025</v>
      </c>
      <c r="U6386">
        <f>IF(Pipeline_tbl[[#This Row],[Closed_Date]]=0,"",Pipeline_tbl[[#This Row],[Closed_Date]]-Pipeline_tbl[[#This Row],[Created_Date]])</f>
        <v>10</v>
      </c>
    </row>
    <row r="6387" spans="1:21" ht="15" customHeight="1" x14ac:dyDescent="0.2">
      <c r="A6387" t="s">
        <v>6693</v>
      </c>
      <c r="B6387" t="s">
        <v>231</v>
      </c>
      <c r="C6387" t="s">
        <v>52</v>
      </c>
      <c r="D6387" s="49">
        <v>45762</v>
      </c>
      <c r="E6387" s="49">
        <v>45763</v>
      </c>
      <c r="F6387" s="49">
        <v>45766</v>
      </c>
      <c r="G6387" s="49">
        <v>45769</v>
      </c>
      <c r="H6387" s="49">
        <v>45772</v>
      </c>
      <c r="I6387" s="49">
        <v>45774</v>
      </c>
      <c r="J6387" t="s">
        <v>47</v>
      </c>
      <c r="K6387" s="33">
        <v>2000</v>
      </c>
      <c r="M6387" t="str">
        <f>_xlfn.XLOOKUP(Pipeline_tbl[[#This Row],[Rep_ID]],Dim_Reps!A:A,Dim_Reps!K:K)</f>
        <v>MXN</v>
      </c>
      <c r="N6387" s="33">
        <f>(_xlfn.XLOOKUP(Pipeline_tbl[[#This Row],[Rate_Code_Generalized]],Lookups!A:A,Lookups!B:B))*Pipeline_tbl[[#This Row],[Pipeline_Amount_USD]]</f>
        <v>39465.4</v>
      </c>
      <c r="O6387" t="str">
        <f>_xlfn.XLOOKUP(Pipeline_tbl[[#This Row],[Rep_ID]],Dim_Reps!A:A,Dim_Reps!B:B)</f>
        <v>Ben Silva</v>
      </c>
      <c r="P6387" t="str">
        <f>_xlfn.XLOOKUP(Pipeline_tbl[[#This Row],[Rep_ID]],Dim_Reps!A:A,Dim_Reps!C:C)</f>
        <v>SDR / Inside Sales Rep</v>
      </c>
      <c r="Q6387" t="str">
        <f>_xlfn.XLOOKUP(Pipeline_tbl[[#This Row],[Rep_ID]],Dim_Reps!A:A,Dim_Reps!D:D)</f>
        <v>Inside Sales</v>
      </c>
      <c r="R6387" t="str">
        <f>_xlfn.XLOOKUP(Pipeline_tbl[[#This Row],[Rep_ID]],Dim_Reps!A:A,Dim_Reps!E:E)</f>
        <v>LATAM</v>
      </c>
      <c r="S6387" t="str">
        <f>_xlfn.XLOOKUP(Pipeline_tbl[[#This Row],[Created_Date]],Dim_Date!A:A,Dim_Date!H:H)</f>
        <v>Apr 2025</v>
      </c>
      <c r="T6387" t="str">
        <f>IF(Pipeline_tbl[[#This Row],[Closed_Date]]=0,"",(_xlfn.XLOOKUP(Pipeline_tbl[[#This Row],[Closed_Date]],Dim_Date!A:A,Dim_Date!H:H)))</f>
        <v>Apr 2025</v>
      </c>
      <c r="U6387">
        <f>IF(Pipeline_tbl[[#This Row],[Closed_Date]]=0,"",Pipeline_tbl[[#This Row],[Closed_Date]]-Pipeline_tbl[[#This Row],[Created_Date]])</f>
        <v>12</v>
      </c>
    </row>
    <row r="6388" spans="1:21" ht="15" customHeight="1" x14ac:dyDescent="0.2">
      <c r="A6388" t="s">
        <v>6694</v>
      </c>
      <c r="B6388" t="s">
        <v>231</v>
      </c>
      <c r="C6388" t="s">
        <v>53</v>
      </c>
      <c r="D6388" s="49">
        <v>45750</v>
      </c>
      <c r="E6388" s="49">
        <v>45751</v>
      </c>
      <c r="F6388" s="49">
        <v>45754</v>
      </c>
      <c r="G6388" s="49">
        <v>45758</v>
      </c>
      <c r="I6388" s="49">
        <v>45764</v>
      </c>
      <c r="J6388" t="s">
        <v>49</v>
      </c>
      <c r="K6388" s="33">
        <v>1400</v>
      </c>
      <c r="L6388" t="s">
        <v>60</v>
      </c>
      <c r="M6388" t="str">
        <f>_xlfn.XLOOKUP(Pipeline_tbl[[#This Row],[Rep_ID]],Dim_Reps!A:A,Dim_Reps!K:K)</f>
        <v>MXN</v>
      </c>
      <c r="N6388" s="33">
        <f>(_xlfn.XLOOKUP(Pipeline_tbl[[#This Row],[Rate_Code_Generalized]],Lookups!A:A,Lookups!B:B))*Pipeline_tbl[[#This Row],[Pipeline_Amount_USD]]</f>
        <v>27625.780000000002</v>
      </c>
      <c r="O6388" t="str">
        <f>_xlfn.XLOOKUP(Pipeline_tbl[[#This Row],[Rep_ID]],Dim_Reps!A:A,Dim_Reps!B:B)</f>
        <v>Ben Silva</v>
      </c>
      <c r="P6388" t="str">
        <f>_xlfn.XLOOKUP(Pipeline_tbl[[#This Row],[Rep_ID]],Dim_Reps!A:A,Dim_Reps!C:C)</f>
        <v>SDR / Inside Sales Rep</v>
      </c>
      <c r="Q6388" t="str">
        <f>_xlfn.XLOOKUP(Pipeline_tbl[[#This Row],[Rep_ID]],Dim_Reps!A:A,Dim_Reps!D:D)</f>
        <v>Inside Sales</v>
      </c>
      <c r="R6388" t="str">
        <f>_xlfn.XLOOKUP(Pipeline_tbl[[#This Row],[Rep_ID]],Dim_Reps!A:A,Dim_Reps!E:E)</f>
        <v>LATAM</v>
      </c>
      <c r="S6388" t="str">
        <f>_xlfn.XLOOKUP(Pipeline_tbl[[#This Row],[Created_Date]],Dim_Date!A:A,Dim_Date!H:H)</f>
        <v>Apr 2025</v>
      </c>
      <c r="T6388" t="str">
        <f>IF(Pipeline_tbl[[#This Row],[Closed_Date]]=0,"",(_xlfn.XLOOKUP(Pipeline_tbl[[#This Row],[Closed_Date]],Dim_Date!A:A,Dim_Date!H:H)))</f>
        <v>Apr 2025</v>
      </c>
      <c r="U6388">
        <f>IF(Pipeline_tbl[[#This Row],[Closed_Date]]=0,"",Pipeline_tbl[[#This Row],[Closed_Date]]-Pipeline_tbl[[#This Row],[Created_Date]])</f>
        <v>14</v>
      </c>
    </row>
    <row r="6389" spans="1:21" ht="15" customHeight="1" x14ac:dyDescent="0.2">
      <c r="A6389" t="s">
        <v>6695</v>
      </c>
      <c r="B6389" t="s">
        <v>231</v>
      </c>
      <c r="C6389" t="s">
        <v>52</v>
      </c>
      <c r="D6389" s="49">
        <v>45751</v>
      </c>
      <c r="E6389" s="49">
        <v>45753</v>
      </c>
      <c r="F6389" s="49">
        <v>45757</v>
      </c>
      <c r="G6389" s="49">
        <v>45763</v>
      </c>
      <c r="H6389" s="49">
        <v>45768</v>
      </c>
      <c r="I6389" s="49">
        <v>45771</v>
      </c>
      <c r="J6389" t="s">
        <v>47</v>
      </c>
      <c r="K6389" s="33">
        <v>2100</v>
      </c>
      <c r="M6389" t="str">
        <f>_xlfn.XLOOKUP(Pipeline_tbl[[#This Row],[Rep_ID]],Dim_Reps!A:A,Dim_Reps!K:K)</f>
        <v>MXN</v>
      </c>
      <c r="N6389" s="33">
        <f>(_xlfn.XLOOKUP(Pipeline_tbl[[#This Row],[Rate_Code_Generalized]],Lookups!A:A,Lookups!B:B))*Pipeline_tbl[[#This Row],[Pipeline_Amount_USD]]</f>
        <v>41438.670000000006</v>
      </c>
      <c r="O6389" t="str">
        <f>_xlfn.XLOOKUP(Pipeline_tbl[[#This Row],[Rep_ID]],Dim_Reps!A:A,Dim_Reps!B:B)</f>
        <v>Ben Silva</v>
      </c>
      <c r="P6389" t="str">
        <f>_xlfn.XLOOKUP(Pipeline_tbl[[#This Row],[Rep_ID]],Dim_Reps!A:A,Dim_Reps!C:C)</f>
        <v>SDR / Inside Sales Rep</v>
      </c>
      <c r="Q6389" t="str">
        <f>_xlfn.XLOOKUP(Pipeline_tbl[[#This Row],[Rep_ID]],Dim_Reps!A:A,Dim_Reps!D:D)</f>
        <v>Inside Sales</v>
      </c>
      <c r="R6389" t="str">
        <f>_xlfn.XLOOKUP(Pipeline_tbl[[#This Row],[Rep_ID]],Dim_Reps!A:A,Dim_Reps!E:E)</f>
        <v>LATAM</v>
      </c>
      <c r="S6389" t="str">
        <f>_xlfn.XLOOKUP(Pipeline_tbl[[#This Row],[Created_Date]],Dim_Date!A:A,Dim_Date!H:H)</f>
        <v>Apr 2025</v>
      </c>
      <c r="T6389" t="str">
        <f>IF(Pipeline_tbl[[#This Row],[Closed_Date]]=0,"",(_xlfn.XLOOKUP(Pipeline_tbl[[#This Row],[Closed_Date]],Dim_Date!A:A,Dim_Date!H:H)))</f>
        <v>Apr 2025</v>
      </c>
      <c r="U6389">
        <f>IF(Pipeline_tbl[[#This Row],[Closed_Date]]=0,"",Pipeline_tbl[[#This Row],[Closed_Date]]-Pipeline_tbl[[#This Row],[Created_Date]])</f>
        <v>20</v>
      </c>
    </row>
    <row r="6390" spans="1:21" ht="15" customHeight="1" x14ac:dyDescent="0.2">
      <c r="A6390" t="s">
        <v>6696</v>
      </c>
      <c r="B6390" t="s">
        <v>263</v>
      </c>
      <c r="C6390" t="s">
        <v>54</v>
      </c>
      <c r="D6390" s="49">
        <v>45755</v>
      </c>
      <c r="E6390" s="49">
        <v>45757</v>
      </c>
      <c r="F6390" s="49">
        <v>45762</v>
      </c>
      <c r="G6390" s="49">
        <v>45768</v>
      </c>
      <c r="H6390" s="49">
        <v>45774</v>
      </c>
      <c r="I6390" s="49">
        <v>45777</v>
      </c>
      <c r="J6390" t="s">
        <v>47</v>
      </c>
      <c r="K6390" s="33">
        <v>9800</v>
      </c>
      <c r="M6390" t="str">
        <f>_xlfn.XLOOKUP(Pipeline_tbl[[#This Row],[Rep_ID]],Dim_Reps!A:A,Dim_Reps!K:K)</f>
        <v>USD</v>
      </c>
      <c r="N6390" s="33">
        <f>(_xlfn.XLOOKUP(Pipeline_tbl[[#This Row],[Rate_Code_Generalized]],Lookups!A:A,Lookups!B:B))*Pipeline_tbl[[#This Row],[Pipeline_Amount_USD]]</f>
        <v>11410.14</v>
      </c>
      <c r="O6390" t="str">
        <f>_xlfn.XLOOKUP(Pipeline_tbl[[#This Row],[Rep_ID]],Dim_Reps!A:A,Dim_Reps!B:B)</f>
        <v>Morgan Weber</v>
      </c>
      <c r="P6390" t="str">
        <f>_xlfn.XLOOKUP(Pipeline_tbl[[#This Row],[Rep_ID]],Dim_Reps!A:A,Dim_Reps!C:C)</f>
        <v>Mid-Market AE</v>
      </c>
      <c r="Q6390" t="str">
        <f>_xlfn.XLOOKUP(Pipeline_tbl[[#This Row],[Rep_ID]],Dim_Reps!A:A,Dim_Reps!D:D)</f>
        <v>Mid-Market</v>
      </c>
      <c r="R6390" t="str">
        <f>_xlfn.XLOOKUP(Pipeline_tbl[[#This Row],[Rep_ID]],Dim_Reps!A:A,Dim_Reps!E:E)</f>
        <v>NAMER</v>
      </c>
      <c r="S6390" t="str">
        <f>_xlfn.XLOOKUP(Pipeline_tbl[[#This Row],[Created_Date]],Dim_Date!A:A,Dim_Date!H:H)</f>
        <v>Apr 2025</v>
      </c>
      <c r="T6390" t="str">
        <f>IF(Pipeline_tbl[[#This Row],[Closed_Date]]=0,"",(_xlfn.XLOOKUP(Pipeline_tbl[[#This Row],[Closed_Date]],Dim_Date!A:A,Dim_Date!H:H)))</f>
        <v>Apr 2025</v>
      </c>
      <c r="U6390">
        <f>IF(Pipeline_tbl[[#This Row],[Closed_Date]]=0,"",Pipeline_tbl[[#This Row],[Closed_Date]]-Pipeline_tbl[[#This Row],[Created_Date]])</f>
        <v>22</v>
      </c>
    </row>
    <row r="6391" spans="1:21" ht="15" customHeight="1" x14ac:dyDescent="0.2">
      <c r="A6391" t="s">
        <v>6697</v>
      </c>
      <c r="B6391" t="s">
        <v>233</v>
      </c>
      <c r="C6391" t="s">
        <v>52</v>
      </c>
      <c r="D6391" s="49">
        <v>45751</v>
      </c>
      <c r="E6391" s="49">
        <v>45753</v>
      </c>
      <c r="F6391" s="49">
        <v>45756</v>
      </c>
      <c r="G6391" s="49">
        <v>45762</v>
      </c>
      <c r="H6391" s="49">
        <v>45766</v>
      </c>
      <c r="I6391" s="49">
        <v>45769</v>
      </c>
      <c r="J6391" t="s">
        <v>47</v>
      </c>
      <c r="K6391" s="33">
        <v>2600</v>
      </c>
      <c r="M6391" t="str">
        <f>_xlfn.XLOOKUP(Pipeline_tbl[[#This Row],[Rep_ID]],Dim_Reps!A:A,Dim_Reps!K:K)</f>
        <v>MXN</v>
      </c>
      <c r="N6391" s="33">
        <f>(_xlfn.XLOOKUP(Pipeline_tbl[[#This Row],[Rate_Code_Generalized]],Lookups!A:A,Lookups!B:B))*Pipeline_tbl[[#This Row],[Pipeline_Amount_USD]]</f>
        <v>51305.020000000004</v>
      </c>
      <c r="O6391" t="str">
        <f>_xlfn.XLOOKUP(Pipeline_tbl[[#This Row],[Rep_ID]],Dim_Reps!A:A,Dim_Reps!B:B)</f>
        <v>Lucas Duarte</v>
      </c>
      <c r="P6391" t="str">
        <f>_xlfn.XLOOKUP(Pipeline_tbl[[#This Row],[Rep_ID]],Dim_Reps!A:A,Dim_Reps!C:C)</f>
        <v>SDR / Inside Sales Rep</v>
      </c>
      <c r="Q6391" t="str">
        <f>_xlfn.XLOOKUP(Pipeline_tbl[[#This Row],[Rep_ID]],Dim_Reps!A:A,Dim_Reps!D:D)</f>
        <v>Inside Sales</v>
      </c>
      <c r="R6391" t="str">
        <f>_xlfn.XLOOKUP(Pipeline_tbl[[#This Row],[Rep_ID]],Dim_Reps!A:A,Dim_Reps!E:E)</f>
        <v>LATAM</v>
      </c>
      <c r="S6391" t="str">
        <f>_xlfn.XLOOKUP(Pipeline_tbl[[#This Row],[Created_Date]],Dim_Date!A:A,Dim_Date!H:H)</f>
        <v>Apr 2025</v>
      </c>
      <c r="T6391" t="str">
        <f>IF(Pipeline_tbl[[#This Row],[Closed_Date]]=0,"",(_xlfn.XLOOKUP(Pipeline_tbl[[#This Row],[Closed_Date]],Dim_Date!A:A,Dim_Date!H:H)))</f>
        <v>Apr 2025</v>
      </c>
      <c r="U6391">
        <f>IF(Pipeline_tbl[[#This Row],[Closed_Date]]=0,"",Pipeline_tbl[[#This Row],[Closed_Date]]-Pipeline_tbl[[#This Row],[Created_Date]])</f>
        <v>18</v>
      </c>
    </row>
    <row r="6392" spans="1:21" ht="15" customHeight="1" x14ac:dyDescent="0.2">
      <c r="A6392" t="s">
        <v>6698</v>
      </c>
      <c r="B6392" t="s">
        <v>233</v>
      </c>
      <c r="C6392" t="s">
        <v>55</v>
      </c>
      <c r="D6392" s="49">
        <v>45759</v>
      </c>
      <c r="E6392" s="49">
        <v>45760</v>
      </c>
      <c r="F6392" s="49">
        <v>45763</v>
      </c>
      <c r="G6392" s="49">
        <v>45767</v>
      </c>
      <c r="I6392" s="49">
        <v>45772</v>
      </c>
      <c r="J6392" t="s">
        <v>49</v>
      </c>
      <c r="K6392" s="33">
        <v>2000</v>
      </c>
      <c r="L6392" t="s">
        <v>60</v>
      </c>
      <c r="M6392" t="str">
        <f>_xlfn.XLOOKUP(Pipeline_tbl[[#This Row],[Rep_ID]],Dim_Reps!A:A,Dim_Reps!K:K)</f>
        <v>MXN</v>
      </c>
      <c r="N6392" s="33">
        <f>(_xlfn.XLOOKUP(Pipeline_tbl[[#This Row],[Rate_Code_Generalized]],Lookups!A:A,Lookups!B:B))*Pipeline_tbl[[#This Row],[Pipeline_Amount_USD]]</f>
        <v>39465.4</v>
      </c>
      <c r="O6392" t="str">
        <f>_xlfn.XLOOKUP(Pipeline_tbl[[#This Row],[Rep_ID]],Dim_Reps!A:A,Dim_Reps!B:B)</f>
        <v>Lucas Duarte</v>
      </c>
      <c r="P6392" t="str">
        <f>_xlfn.XLOOKUP(Pipeline_tbl[[#This Row],[Rep_ID]],Dim_Reps!A:A,Dim_Reps!C:C)</f>
        <v>SDR / Inside Sales Rep</v>
      </c>
      <c r="Q6392" t="str">
        <f>_xlfn.XLOOKUP(Pipeline_tbl[[#This Row],[Rep_ID]],Dim_Reps!A:A,Dim_Reps!D:D)</f>
        <v>Inside Sales</v>
      </c>
      <c r="R6392" t="str">
        <f>_xlfn.XLOOKUP(Pipeline_tbl[[#This Row],[Rep_ID]],Dim_Reps!A:A,Dim_Reps!E:E)</f>
        <v>LATAM</v>
      </c>
      <c r="S6392" t="str">
        <f>_xlfn.XLOOKUP(Pipeline_tbl[[#This Row],[Created_Date]],Dim_Date!A:A,Dim_Date!H:H)</f>
        <v>Apr 2025</v>
      </c>
      <c r="T6392" t="str">
        <f>IF(Pipeline_tbl[[#This Row],[Closed_Date]]=0,"",(_xlfn.XLOOKUP(Pipeline_tbl[[#This Row],[Closed_Date]],Dim_Date!A:A,Dim_Date!H:H)))</f>
        <v>Apr 2025</v>
      </c>
      <c r="U6392">
        <f>IF(Pipeline_tbl[[#This Row],[Closed_Date]]=0,"",Pipeline_tbl[[#This Row],[Closed_Date]]-Pipeline_tbl[[#This Row],[Created_Date]])</f>
        <v>13</v>
      </c>
    </row>
    <row r="6393" spans="1:21" ht="15" customHeight="1" x14ac:dyDescent="0.2">
      <c r="A6393" t="s">
        <v>6699</v>
      </c>
      <c r="B6393" t="s">
        <v>233</v>
      </c>
      <c r="C6393" t="s">
        <v>52</v>
      </c>
      <c r="D6393" s="49">
        <v>45761</v>
      </c>
      <c r="E6393" s="49">
        <v>45763</v>
      </c>
      <c r="F6393" s="49">
        <v>45766</v>
      </c>
      <c r="G6393" s="49">
        <v>45770</v>
      </c>
      <c r="I6393" s="49">
        <v>45776</v>
      </c>
      <c r="J6393" t="s">
        <v>49</v>
      </c>
      <c r="K6393" s="33">
        <v>4300</v>
      </c>
      <c r="L6393" t="s">
        <v>61</v>
      </c>
      <c r="M6393" t="str">
        <f>_xlfn.XLOOKUP(Pipeline_tbl[[#This Row],[Rep_ID]],Dim_Reps!A:A,Dim_Reps!K:K)</f>
        <v>MXN</v>
      </c>
      <c r="N6393" s="33">
        <f>(_xlfn.XLOOKUP(Pipeline_tbl[[#This Row],[Rate_Code_Generalized]],Lookups!A:A,Lookups!B:B))*Pipeline_tbl[[#This Row],[Pipeline_Amount_USD]]</f>
        <v>84850.61</v>
      </c>
      <c r="O6393" t="str">
        <f>_xlfn.XLOOKUP(Pipeline_tbl[[#This Row],[Rep_ID]],Dim_Reps!A:A,Dim_Reps!B:B)</f>
        <v>Lucas Duarte</v>
      </c>
      <c r="P6393" t="str">
        <f>_xlfn.XLOOKUP(Pipeline_tbl[[#This Row],[Rep_ID]],Dim_Reps!A:A,Dim_Reps!C:C)</f>
        <v>SDR / Inside Sales Rep</v>
      </c>
      <c r="Q6393" t="str">
        <f>_xlfn.XLOOKUP(Pipeline_tbl[[#This Row],[Rep_ID]],Dim_Reps!A:A,Dim_Reps!D:D)</f>
        <v>Inside Sales</v>
      </c>
      <c r="R6393" t="str">
        <f>_xlfn.XLOOKUP(Pipeline_tbl[[#This Row],[Rep_ID]],Dim_Reps!A:A,Dim_Reps!E:E)</f>
        <v>LATAM</v>
      </c>
      <c r="S6393" t="str">
        <f>_xlfn.XLOOKUP(Pipeline_tbl[[#This Row],[Created_Date]],Dim_Date!A:A,Dim_Date!H:H)</f>
        <v>Apr 2025</v>
      </c>
      <c r="T6393" t="str">
        <f>IF(Pipeline_tbl[[#This Row],[Closed_Date]]=0,"",(_xlfn.XLOOKUP(Pipeline_tbl[[#This Row],[Closed_Date]],Dim_Date!A:A,Dim_Date!H:H)))</f>
        <v>Apr 2025</v>
      </c>
      <c r="U6393">
        <f>IF(Pipeline_tbl[[#This Row],[Closed_Date]]=0,"",Pipeline_tbl[[#This Row],[Closed_Date]]-Pipeline_tbl[[#This Row],[Created_Date]])</f>
        <v>15</v>
      </c>
    </row>
    <row r="6394" spans="1:21" ht="15" customHeight="1" x14ac:dyDescent="0.2">
      <c r="A6394" t="s">
        <v>6700</v>
      </c>
      <c r="B6394" t="s">
        <v>233</v>
      </c>
      <c r="C6394" t="s">
        <v>53</v>
      </c>
      <c r="D6394" s="49">
        <v>45766</v>
      </c>
      <c r="E6394" s="49">
        <v>45767</v>
      </c>
      <c r="F6394" s="49">
        <v>45768</v>
      </c>
      <c r="G6394" s="49">
        <v>45770</v>
      </c>
      <c r="I6394" s="49">
        <v>45773</v>
      </c>
      <c r="J6394" t="s">
        <v>49</v>
      </c>
      <c r="K6394" s="33">
        <v>2300</v>
      </c>
      <c r="L6394" t="s">
        <v>62</v>
      </c>
      <c r="M6394" t="str">
        <f>_xlfn.XLOOKUP(Pipeline_tbl[[#This Row],[Rep_ID]],Dim_Reps!A:A,Dim_Reps!K:K)</f>
        <v>MXN</v>
      </c>
      <c r="N6394" s="33">
        <f>(_xlfn.XLOOKUP(Pipeline_tbl[[#This Row],[Rate_Code_Generalized]],Lookups!A:A,Lookups!B:B))*Pipeline_tbl[[#This Row],[Pipeline_Amount_USD]]</f>
        <v>45385.210000000006</v>
      </c>
      <c r="O6394" t="str">
        <f>_xlfn.XLOOKUP(Pipeline_tbl[[#This Row],[Rep_ID]],Dim_Reps!A:A,Dim_Reps!B:B)</f>
        <v>Lucas Duarte</v>
      </c>
      <c r="P6394" t="str">
        <f>_xlfn.XLOOKUP(Pipeline_tbl[[#This Row],[Rep_ID]],Dim_Reps!A:A,Dim_Reps!C:C)</f>
        <v>SDR / Inside Sales Rep</v>
      </c>
      <c r="Q6394" t="str">
        <f>_xlfn.XLOOKUP(Pipeline_tbl[[#This Row],[Rep_ID]],Dim_Reps!A:A,Dim_Reps!D:D)</f>
        <v>Inside Sales</v>
      </c>
      <c r="R6394" t="str">
        <f>_xlfn.XLOOKUP(Pipeline_tbl[[#This Row],[Rep_ID]],Dim_Reps!A:A,Dim_Reps!E:E)</f>
        <v>LATAM</v>
      </c>
      <c r="S6394" t="str">
        <f>_xlfn.XLOOKUP(Pipeline_tbl[[#This Row],[Created_Date]],Dim_Date!A:A,Dim_Date!H:H)</f>
        <v>Apr 2025</v>
      </c>
      <c r="T6394" t="str">
        <f>IF(Pipeline_tbl[[#This Row],[Closed_Date]]=0,"",(_xlfn.XLOOKUP(Pipeline_tbl[[#This Row],[Closed_Date]],Dim_Date!A:A,Dim_Date!H:H)))</f>
        <v>Apr 2025</v>
      </c>
      <c r="U6394">
        <f>IF(Pipeline_tbl[[#This Row],[Closed_Date]]=0,"",Pipeline_tbl[[#This Row],[Closed_Date]]-Pipeline_tbl[[#This Row],[Created_Date]])</f>
        <v>7</v>
      </c>
    </row>
    <row r="6395" spans="1:21" ht="15" customHeight="1" x14ac:dyDescent="0.2">
      <c r="A6395" t="s">
        <v>6701</v>
      </c>
      <c r="B6395" t="s">
        <v>233</v>
      </c>
      <c r="C6395" t="s">
        <v>53</v>
      </c>
      <c r="D6395" s="49">
        <v>45755</v>
      </c>
      <c r="E6395" s="49">
        <v>45757</v>
      </c>
      <c r="F6395" s="49">
        <v>45760</v>
      </c>
      <c r="G6395" s="49">
        <v>45765</v>
      </c>
      <c r="H6395" s="49">
        <v>45769</v>
      </c>
      <c r="I6395" s="49">
        <v>45772</v>
      </c>
      <c r="J6395" t="s">
        <v>49</v>
      </c>
      <c r="K6395" s="33">
        <v>3500</v>
      </c>
      <c r="L6395" t="s">
        <v>62</v>
      </c>
      <c r="M6395" t="str">
        <f>_xlfn.XLOOKUP(Pipeline_tbl[[#This Row],[Rep_ID]],Dim_Reps!A:A,Dim_Reps!K:K)</f>
        <v>MXN</v>
      </c>
      <c r="N6395" s="33">
        <f>(_xlfn.XLOOKUP(Pipeline_tbl[[#This Row],[Rate_Code_Generalized]],Lookups!A:A,Lookups!B:B))*Pipeline_tbl[[#This Row],[Pipeline_Amount_USD]]</f>
        <v>69064.45</v>
      </c>
      <c r="O6395" t="str">
        <f>_xlfn.XLOOKUP(Pipeline_tbl[[#This Row],[Rep_ID]],Dim_Reps!A:A,Dim_Reps!B:B)</f>
        <v>Lucas Duarte</v>
      </c>
      <c r="P6395" t="str">
        <f>_xlfn.XLOOKUP(Pipeline_tbl[[#This Row],[Rep_ID]],Dim_Reps!A:A,Dim_Reps!C:C)</f>
        <v>SDR / Inside Sales Rep</v>
      </c>
      <c r="Q6395" t="str">
        <f>_xlfn.XLOOKUP(Pipeline_tbl[[#This Row],[Rep_ID]],Dim_Reps!A:A,Dim_Reps!D:D)</f>
        <v>Inside Sales</v>
      </c>
      <c r="R6395" t="str">
        <f>_xlfn.XLOOKUP(Pipeline_tbl[[#This Row],[Rep_ID]],Dim_Reps!A:A,Dim_Reps!E:E)</f>
        <v>LATAM</v>
      </c>
      <c r="S6395" t="str">
        <f>_xlfn.XLOOKUP(Pipeline_tbl[[#This Row],[Created_Date]],Dim_Date!A:A,Dim_Date!H:H)</f>
        <v>Apr 2025</v>
      </c>
      <c r="T6395" t="str">
        <f>IF(Pipeline_tbl[[#This Row],[Closed_Date]]=0,"",(_xlfn.XLOOKUP(Pipeline_tbl[[#This Row],[Closed_Date]],Dim_Date!A:A,Dim_Date!H:H)))</f>
        <v>Apr 2025</v>
      </c>
      <c r="U6395">
        <f>IF(Pipeline_tbl[[#This Row],[Closed_Date]]=0,"",Pipeline_tbl[[#This Row],[Closed_Date]]-Pipeline_tbl[[#This Row],[Created_Date]])</f>
        <v>17</v>
      </c>
    </row>
    <row r="6396" spans="1:21" ht="15" customHeight="1" x14ac:dyDescent="0.2">
      <c r="A6396" t="s">
        <v>6702</v>
      </c>
      <c r="B6396" t="s">
        <v>233</v>
      </c>
      <c r="C6396" t="s">
        <v>52</v>
      </c>
      <c r="D6396" s="49">
        <v>45765</v>
      </c>
      <c r="E6396" s="49">
        <v>45766</v>
      </c>
      <c r="F6396" s="49">
        <v>45768</v>
      </c>
      <c r="G6396" s="49">
        <v>45770</v>
      </c>
      <c r="H6396" s="49">
        <v>45773</v>
      </c>
      <c r="I6396" s="49">
        <v>45774</v>
      </c>
      <c r="J6396" t="s">
        <v>47</v>
      </c>
      <c r="K6396" s="33">
        <v>3900</v>
      </c>
      <c r="M6396" t="str">
        <f>_xlfn.XLOOKUP(Pipeline_tbl[[#This Row],[Rep_ID]],Dim_Reps!A:A,Dim_Reps!K:K)</f>
        <v>MXN</v>
      </c>
      <c r="N6396" s="33">
        <f>(_xlfn.XLOOKUP(Pipeline_tbl[[#This Row],[Rate_Code_Generalized]],Lookups!A:A,Lookups!B:B))*Pipeline_tbl[[#This Row],[Pipeline_Amount_USD]]</f>
        <v>76957.53</v>
      </c>
      <c r="O6396" t="str">
        <f>_xlfn.XLOOKUP(Pipeline_tbl[[#This Row],[Rep_ID]],Dim_Reps!A:A,Dim_Reps!B:B)</f>
        <v>Lucas Duarte</v>
      </c>
      <c r="P6396" t="str">
        <f>_xlfn.XLOOKUP(Pipeline_tbl[[#This Row],[Rep_ID]],Dim_Reps!A:A,Dim_Reps!C:C)</f>
        <v>SDR / Inside Sales Rep</v>
      </c>
      <c r="Q6396" t="str">
        <f>_xlfn.XLOOKUP(Pipeline_tbl[[#This Row],[Rep_ID]],Dim_Reps!A:A,Dim_Reps!D:D)</f>
        <v>Inside Sales</v>
      </c>
      <c r="R6396" t="str">
        <f>_xlfn.XLOOKUP(Pipeline_tbl[[#This Row],[Rep_ID]],Dim_Reps!A:A,Dim_Reps!E:E)</f>
        <v>LATAM</v>
      </c>
      <c r="S6396" t="str">
        <f>_xlfn.XLOOKUP(Pipeline_tbl[[#This Row],[Created_Date]],Dim_Date!A:A,Dim_Date!H:H)</f>
        <v>Apr 2025</v>
      </c>
      <c r="T6396" t="str">
        <f>IF(Pipeline_tbl[[#This Row],[Closed_Date]]=0,"",(_xlfn.XLOOKUP(Pipeline_tbl[[#This Row],[Closed_Date]],Dim_Date!A:A,Dim_Date!H:H)))</f>
        <v>Apr 2025</v>
      </c>
      <c r="U6396">
        <f>IF(Pipeline_tbl[[#This Row],[Closed_Date]]=0,"",Pipeline_tbl[[#This Row],[Closed_Date]]-Pipeline_tbl[[#This Row],[Created_Date]])</f>
        <v>9</v>
      </c>
    </row>
    <row r="6397" spans="1:21" ht="15" customHeight="1" x14ac:dyDescent="0.2">
      <c r="A6397" t="s">
        <v>6703</v>
      </c>
      <c r="B6397" t="s">
        <v>233</v>
      </c>
      <c r="C6397" t="s">
        <v>52</v>
      </c>
      <c r="D6397" s="49">
        <v>45749</v>
      </c>
      <c r="E6397" s="49">
        <v>45750</v>
      </c>
      <c r="F6397" s="49">
        <v>45753</v>
      </c>
      <c r="G6397" s="49">
        <v>45757</v>
      </c>
      <c r="H6397" s="49">
        <v>45761</v>
      </c>
      <c r="I6397" s="49">
        <v>45763</v>
      </c>
      <c r="J6397" t="s">
        <v>47</v>
      </c>
      <c r="K6397" s="33">
        <v>1700</v>
      </c>
      <c r="M6397" t="str">
        <f>_xlfn.XLOOKUP(Pipeline_tbl[[#This Row],[Rep_ID]],Dim_Reps!A:A,Dim_Reps!K:K)</f>
        <v>MXN</v>
      </c>
      <c r="N6397" s="33">
        <f>(_xlfn.XLOOKUP(Pipeline_tbl[[#This Row],[Rate_Code_Generalized]],Lookups!A:A,Lookups!B:B))*Pipeline_tbl[[#This Row],[Pipeline_Amount_USD]]</f>
        <v>33545.590000000004</v>
      </c>
      <c r="O6397" t="str">
        <f>_xlfn.XLOOKUP(Pipeline_tbl[[#This Row],[Rep_ID]],Dim_Reps!A:A,Dim_Reps!B:B)</f>
        <v>Lucas Duarte</v>
      </c>
      <c r="P6397" t="str">
        <f>_xlfn.XLOOKUP(Pipeline_tbl[[#This Row],[Rep_ID]],Dim_Reps!A:A,Dim_Reps!C:C)</f>
        <v>SDR / Inside Sales Rep</v>
      </c>
      <c r="Q6397" t="str">
        <f>_xlfn.XLOOKUP(Pipeline_tbl[[#This Row],[Rep_ID]],Dim_Reps!A:A,Dim_Reps!D:D)</f>
        <v>Inside Sales</v>
      </c>
      <c r="R6397" t="str">
        <f>_xlfn.XLOOKUP(Pipeline_tbl[[#This Row],[Rep_ID]],Dim_Reps!A:A,Dim_Reps!E:E)</f>
        <v>LATAM</v>
      </c>
      <c r="S6397" t="str">
        <f>_xlfn.XLOOKUP(Pipeline_tbl[[#This Row],[Created_Date]],Dim_Date!A:A,Dim_Date!H:H)</f>
        <v>Apr 2025</v>
      </c>
      <c r="T6397" t="str">
        <f>IF(Pipeline_tbl[[#This Row],[Closed_Date]]=0,"",(_xlfn.XLOOKUP(Pipeline_tbl[[#This Row],[Closed_Date]],Dim_Date!A:A,Dim_Date!H:H)))</f>
        <v>Apr 2025</v>
      </c>
      <c r="U6397">
        <f>IF(Pipeline_tbl[[#This Row],[Closed_Date]]=0,"",Pipeline_tbl[[#This Row],[Closed_Date]]-Pipeline_tbl[[#This Row],[Created_Date]])</f>
        <v>14</v>
      </c>
    </row>
    <row r="6398" spans="1:21" ht="15" customHeight="1" x14ac:dyDescent="0.2">
      <c r="A6398" t="s">
        <v>6704</v>
      </c>
      <c r="B6398" t="s">
        <v>235</v>
      </c>
      <c r="C6398" t="s">
        <v>52</v>
      </c>
      <c r="D6398" s="49">
        <v>45757</v>
      </c>
      <c r="E6398" s="49">
        <v>45758</v>
      </c>
      <c r="F6398" s="49">
        <v>45761</v>
      </c>
      <c r="G6398" s="49">
        <v>45765</v>
      </c>
      <c r="H6398" s="49">
        <v>45769</v>
      </c>
      <c r="I6398" s="49">
        <v>45771</v>
      </c>
      <c r="J6398" t="s">
        <v>49</v>
      </c>
      <c r="K6398" s="33">
        <v>2600</v>
      </c>
      <c r="L6398" t="s">
        <v>62</v>
      </c>
      <c r="M6398" t="str">
        <f>_xlfn.XLOOKUP(Pipeline_tbl[[#This Row],[Rep_ID]],Dim_Reps!A:A,Dim_Reps!K:K)</f>
        <v>MXN</v>
      </c>
      <c r="N6398" s="33">
        <f>(_xlfn.XLOOKUP(Pipeline_tbl[[#This Row],[Rate_Code_Generalized]],Lookups!A:A,Lookups!B:B))*Pipeline_tbl[[#This Row],[Pipeline_Amount_USD]]</f>
        <v>51305.020000000004</v>
      </c>
      <c r="O6398" t="str">
        <f>_xlfn.XLOOKUP(Pipeline_tbl[[#This Row],[Rep_ID]],Dim_Reps!A:A,Dim_Reps!B:B)</f>
        <v>Milo Castro</v>
      </c>
      <c r="P6398" t="str">
        <f>_xlfn.XLOOKUP(Pipeline_tbl[[#This Row],[Rep_ID]],Dim_Reps!A:A,Dim_Reps!C:C)</f>
        <v>SDR / Inside Sales Rep</v>
      </c>
      <c r="Q6398" t="str">
        <f>_xlfn.XLOOKUP(Pipeline_tbl[[#This Row],[Rep_ID]],Dim_Reps!A:A,Dim_Reps!D:D)</f>
        <v>Inside Sales</v>
      </c>
      <c r="R6398" t="str">
        <f>_xlfn.XLOOKUP(Pipeline_tbl[[#This Row],[Rep_ID]],Dim_Reps!A:A,Dim_Reps!E:E)</f>
        <v>LATAM</v>
      </c>
      <c r="S6398" t="str">
        <f>_xlfn.XLOOKUP(Pipeline_tbl[[#This Row],[Created_Date]],Dim_Date!A:A,Dim_Date!H:H)</f>
        <v>Apr 2025</v>
      </c>
      <c r="T6398" t="str">
        <f>IF(Pipeline_tbl[[#This Row],[Closed_Date]]=0,"",(_xlfn.XLOOKUP(Pipeline_tbl[[#This Row],[Closed_Date]],Dim_Date!A:A,Dim_Date!H:H)))</f>
        <v>Apr 2025</v>
      </c>
      <c r="U6398">
        <f>IF(Pipeline_tbl[[#This Row],[Closed_Date]]=0,"",Pipeline_tbl[[#This Row],[Closed_Date]]-Pipeline_tbl[[#This Row],[Created_Date]])</f>
        <v>14</v>
      </c>
    </row>
    <row r="6399" spans="1:21" ht="15" customHeight="1" x14ac:dyDescent="0.2">
      <c r="A6399" t="s">
        <v>6705</v>
      </c>
      <c r="B6399" t="s">
        <v>235</v>
      </c>
      <c r="C6399" t="s">
        <v>52</v>
      </c>
      <c r="D6399" s="49">
        <v>45758</v>
      </c>
      <c r="E6399" s="49">
        <v>45760</v>
      </c>
      <c r="F6399" s="49">
        <v>45764</v>
      </c>
      <c r="G6399" s="49">
        <v>45769</v>
      </c>
      <c r="H6399" s="49">
        <v>45774</v>
      </c>
      <c r="I6399" s="49">
        <v>45777</v>
      </c>
      <c r="J6399" t="s">
        <v>49</v>
      </c>
      <c r="K6399" s="33">
        <v>4600</v>
      </c>
      <c r="L6399" t="s">
        <v>61</v>
      </c>
      <c r="M6399" t="str">
        <f>_xlfn.XLOOKUP(Pipeline_tbl[[#This Row],[Rep_ID]],Dim_Reps!A:A,Dim_Reps!K:K)</f>
        <v>MXN</v>
      </c>
      <c r="N6399" s="33">
        <f>(_xlfn.XLOOKUP(Pipeline_tbl[[#This Row],[Rate_Code_Generalized]],Lookups!A:A,Lookups!B:B))*Pipeline_tbl[[#This Row],[Pipeline_Amount_USD]]</f>
        <v>90770.420000000013</v>
      </c>
      <c r="O6399" t="str">
        <f>_xlfn.XLOOKUP(Pipeline_tbl[[#This Row],[Rep_ID]],Dim_Reps!A:A,Dim_Reps!B:B)</f>
        <v>Milo Castro</v>
      </c>
      <c r="P6399" t="str">
        <f>_xlfn.XLOOKUP(Pipeline_tbl[[#This Row],[Rep_ID]],Dim_Reps!A:A,Dim_Reps!C:C)</f>
        <v>SDR / Inside Sales Rep</v>
      </c>
      <c r="Q6399" t="str">
        <f>_xlfn.XLOOKUP(Pipeline_tbl[[#This Row],[Rep_ID]],Dim_Reps!A:A,Dim_Reps!D:D)</f>
        <v>Inside Sales</v>
      </c>
      <c r="R6399" t="str">
        <f>_xlfn.XLOOKUP(Pipeline_tbl[[#This Row],[Rep_ID]],Dim_Reps!A:A,Dim_Reps!E:E)</f>
        <v>LATAM</v>
      </c>
      <c r="S6399" t="str">
        <f>_xlfn.XLOOKUP(Pipeline_tbl[[#This Row],[Created_Date]],Dim_Date!A:A,Dim_Date!H:H)</f>
        <v>Apr 2025</v>
      </c>
      <c r="T6399" t="str">
        <f>IF(Pipeline_tbl[[#This Row],[Closed_Date]]=0,"",(_xlfn.XLOOKUP(Pipeline_tbl[[#This Row],[Closed_Date]],Dim_Date!A:A,Dim_Date!H:H)))</f>
        <v>Apr 2025</v>
      </c>
      <c r="U6399">
        <f>IF(Pipeline_tbl[[#This Row],[Closed_Date]]=0,"",Pipeline_tbl[[#This Row],[Closed_Date]]-Pipeline_tbl[[#This Row],[Created_Date]])</f>
        <v>19</v>
      </c>
    </row>
    <row r="6400" spans="1:21" ht="15" customHeight="1" x14ac:dyDescent="0.2">
      <c r="A6400" t="s">
        <v>6706</v>
      </c>
      <c r="B6400" t="s">
        <v>235</v>
      </c>
      <c r="C6400" t="s">
        <v>56</v>
      </c>
      <c r="D6400" s="49">
        <v>45759</v>
      </c>
      <c r="E6400" s="49">
        <v>45760</v>
      </c>
      <c r="F6400" s="49">
        <v>45763</v>
      </c>
      <c r="G6400" s="49">
        <v>45767</v>
      </c>
      <c r="H6400" s="49">
        <v>45771</v>
      </c>
      <c r="I6400" s="49">
        <v>45773</v>
      </c>
      <c r="J6400" t="s">
        <v>49</v>
      </c>
      <c r="K6400" s="33">
        <v>3100</v>
      </c>
      <c r="L6400" t="s">
        <v>62</v>
      </c>
      <c r="M6400" t="str">
        <f>_xlfn.XLOOKUP(Pipeline_tbl[[#This Row],[Rep_ID]],Dim_Reps!A:A,Dim_Reps!K:K)</f>
        <v>MXN</v>
      </c>
      <c r="N6400" s="33">
        <f>(_xlfn.XLOOKUP(Pipeline_tbl[[#This Row],[Rate_Code_Generalized]],Lookups!A:A,Lookups!B:B))*Pipeline_tbl[[#This Row],[Pipeline_Amount_USD]]</f>
        <v>61171.37</v>
      </c>
      <c r="O6400" t="str">
        <f>_xlfn.XLOOKUP(Pipeline_tbl[[#This Row],[Rep_ID]],Dim_Reps!A:A,Dim_Reps!B:B)</f>
        <v>Milo Castro</v>
      </c>
      <c r="P6400" t="str">
        <f>_xlfn.XLOOKUP(Pipeline_tbl[[#This Row],[Rep_ID]],Dim_Reps!A:A,Dim_Reps!C:C)</f>
        <v>SDR / Inside Sales Rep</v>
      </c>
      <c r="Q6400" t="str">
        <f>_xlfn.XLOOKUP(Pipeline_tbl[[#This Row],[Rep_ID]],Dim_Reps!A:A,Dim_Reps!D:D)</f>
        <v>Inside Sales</v>
      </c>
      <c r="R6400" t="str">
        <f>_xlfn.XLOOKUP(Pipeline_tbl[[#This Row],[Rep_ID]],Dim_Reps!A:A,Dim_Reps!E:E)</f>
        <v>LATAM</v>
      </c>
      <c r="S6400" t="str">
        <f>_xlfn.XLOOKUP(Pipeline_tbl[[#This Row],[Created_Date]],Dim_Date!A:A,Dim_Date!H:H)</f>
        <v>Apr 2025</v>
      </c>
      <c r="T6400" t="str">
        <f>IF(Pipeline_tbl[[#This Row],[Closed_Date]]=0,"",(_xlfn.XLOOKUP(Pipeline_tbl[[#This Row],[Closed_Date]],Dim_Date!A:A,Dim_Date!H:H)))</f>
        <v>Apr 2025</v>
      </c>
      <c r="U6400">
        <f>IF(Pipeline_tbl[[#This Row],[Closed_Date]]=0,"",Pipeline_tbl[[#This Row],[Closed_Date]]-Pipeline_tbl[[#This Row],[Created_Date]])</f>
        <v>14</v>
      </c>
    </row>
    <row r="6401" spans="1:21" ht="15" customHeight="1" x14ac:dyDescent="0.2">
      <c r="A6401" t="s">
        <v>6707</v>
      </c>
      <c r="B6401" t="s">
        <v>235</v>
      </c>
      <c r="C6401" t="s">
        <v>55</v>
      </c>
      <c r="D6401" s="49">
        <v>45757</v>
      </c>
      <c r="E6401" s="49">
        <v>45758</v>
      </c>
      <c r="F6401" s="49">
        <v>45761</v>
      </c>
      <c r="G6401" s="49">
        <v>45764</v>
      </c>
      <c r="H6401" s="49">
        <v>45767</v>
      </c>
      <c r="I6401" s="49">
        <v>45769</v>
      </c>
      <c r="J6401" t="s">
        <v>49</v>
      </c>
      <c r="K6401" s="33">
        <v>6300</v>
      </c>
      <c r="L6401" t="s">
        <v>61</v>
      </c>
      <c r="M6401" t="str">
        <f>_xlfn.XLOOKUP(Pipeline_tbl[[#This Row],[Rep_ID]],Dim_Reps!A:A,Dim_Reps!K:K)</f>
        <v>MXN</v>
      </c>
      <c r="N6401" s="33">
        <f>(_xlfn.XLOOKUP(Pipeline_tbl[[#This Row],[Rate_Code_Generalized]],Lookups!A:A,Lookups!B:B))*Pipeline_tbl[[#This Row],[Pipeline_Amount_USD]]</f>
        <v>124316.01000000001</v>
      </c>
      <c r="O6401" t="str">
        <f>_xlfn.XLOOKUP(Pipeline_tbl[[#This Row],[Rep_ID]],Dim_Reps!A:A,Dim_Reps!B:B)</f>
        <v>Milo Castro</v>
      </c>
      <c r="P6401" t="str">
        <f>_xlfn.XLOOKUP(Pipeline_tbl[[#This Row],[Rep_ID]],Dim_Reps!A:A,Dim_Reps!C:C)</f>
        <v>SDR / Inside Sales Rep</v>
      </c>
      <c r="Q6401" t="str">
        <f>_xlfn.XLOOKUP(Pipeline_tbl[[#This Row],[Rep_ID]],Dim_Reps!A:A,Dim_Reps!D:D)</f>
        <v>Inside Sales</v>
      </c>
      <c r="R6401" t="str">
        <f>_xlfn.XLOOKUP(Pipeline_tbl[[#This Row],[Rep_ID]],Dim_Reps!A:A,Dim_Reps!E:E)</f>
        <v>LATAM</v>
      </c>
      <c r="S6401" t="str">
        <f>_xlfn.XLOOKUP(Pipeline_tbl[[#This Row],[Created_Date]],Dim_Date!A:A,Dim_Date!H:H)</f>
        <v>Apr 2025</v>
      </c>
      <c r="T6401" t="str">
        <f>IF(Pipeline_tbl[[#This Row],[Closed_Date]]=0,"",(_xlfn.XLOOKUP(Pipeline_tbl[[#This Row],[Closed_Date]],Dim_Date!A:A,Dim_Date!H:H)))</f>
        <v>Apr 2025</v>
      </c>
      <c r="U6401">
        <f>IF(Pipeline_tbl[[#This Row],[Closed_Date]]=0,"",Pipeline_tbl[[#This Row],[Closed_Date]]-Pipeline_tbl[[#This Row],[Created_Date]])</f>
        <v>12</v>
      </c>
    </row>
    <row r="6402" spans="1:21" ht="15" customHeight="1" x14ac:dyDescent="0.2">
      <c r="A6402" t="s">
        <v>6708</v>
      </c>
      <c r="B6402" t="s">
        <v>237</v>
      </c>
      <c r="C6402" t="s">
        <v>52</v>
      </c>
      <c r="D6402" s="49">
        <v>45756</v>
      </c>
      <c r="E6402" s="49">
        <v>45758</v>
      </c>
      <c r="F6402" s="49">
        <v>45761</v>
      </c>
      <c r="G6402" s="49">
        <v>45766</v>
      </c>
      <c r="H6402" s="49">
        <v>45770</v>
      </c>
      <c r="I6402" s="49">
        <v>45773</v>
      </c>
      <c r="J6402" t="s">
        <v>49</v>
      </c>
      <c r="K6402" s="33">
        <v>2200</v>
      </c>
      <c r="L6402" t="s">
        <v>61</v>
      </c>
      <c r="M6402" t="str">
        <f>_xlfn.XLOOKUP(Pipeline_tbl[[#This Row],[Rep_ID]],Dim_Reps!A:A,Dim_Reps!K:K)</f>
        <v>EUR</v>
      </c>
      <c r="N6402" s="33">
        <f>(_xlfn.XLOOKUP(Pipeline_tbl[[#This Row],[Rate_Code_Generalized]],Lookups!A:A,Lookups!B:B))*Pipeline_tbl[[#This Row],[Pipeline_Amount_USD]]</f>
        <v>2200</v>
      </c>
      <c r="O6402" t="str">
        <f>_xlfn.XLOOKUP(Pipeline_tbl[[#This Row],[Rep_ID]],Dim_Reps!A:A,Dim_Reps!B:B)</f>
        <v>Hugo Santos</v>
      </c>
      <c r="P6402" t="str">
        <f>_xlfn.XLOOKUP(Pipeline_tbl[[#This Row],[Rep_ID]],Dim_Reps!A:A,Dim_Reps!C:C)</f>
        <v>SDR / Inside Sales Rep</v>
      </c>
      <c r="Q6402" t="str">
        <f>_xlfn.XLOOKUP(Pipeline_tbl[[#This Row],[Rep_ID]],Dim_Reps!A:A,Dim_Reps!D:D)</f>
        <v>Inside Sales</v>
      </c>
      <c r="R6402" t="str">
        <f>_xlfn.XLOOKUP(Pipeline_tbl[[#This Row],[Rep_ID]],Dim_Reps!A:A,Dim_Reps!E:E)</f>
        <v>EMEA</v>
      </c>
      <c r="S6402" t="str">
        <f>_xlfn.XLOOKUP(Pipeline_tbl[[#This Row],[Created_Date]],Dim_Date!A:A,Dim_Date!H:H)</f>
        <v>Apr 2025</v>
      </c>
      <c r="T6402" t="str">
        <f>IF(Pipeline_tbl[[#This Row],[Closed_Date]]=0,"",(_xlfn.XLOOKUP(Pipeline_tbl[[#This Row],[Closed_Date]],Dim_Date!A:A,Dim_Date!H:H)))</f>
        <v>Apr 2025</v>
      </c>
      <c r="U6402">
        <f>IF(Pipeline_tbl[[#This Row],[Closed_Date]]=0,"",Pipeline_tbl[[#This Row],[Closed_Date]]-Pipeline_tbl[[#This Row],[Created_Date]])</f>
        <v>17</v>
      </c>
    </row>
    <row r="6403" spans="1:21" ht="15" customHeight="1" x14ac:dyDescent="0.2">
      <c r="A6403" t="s">
        <v>6709</v>
      </c>
      <c r="B6403" t="s">
        <v>237</v>
      </c>
      <c r="C6403" t="s">
        <v>54</v>
      </c>
      <c r="D6403" s="49">
        <v>45753</v>
      </c>
      <c r="E6403" s="49">
        <v>45754</v>
      </c>
      <c r="F6403" s="49">
        <v>45755</v>
      </c>
      <c r="G6403" s="49">
        <v>45757</v>
      </c>
      <c r="H6403" s="49">
        <v>45759</v>
      </c>
      <c r="I6403" s="49">
        <v>45760</v>
      </c>
      <c r="J6403" t="s">
        <v>49</v>
      </c>
      <c r="K6403" s="33">
        <v>5900</v>
      </c>
      <c r="L6403" t="s">
        <v>62</v>
      </c>
      <c r="M6403" t="str">
        <f>_xlfn.XLOOKUP(Pipeline_tbl[[#This Row],[Rep_ID]],Dim_Reps!A:A,Dim_Reps!K:K)</f>
        <v>EUR</v>
      </c>
      <c r="N6403" s="33">
        <f>(_xlfn.XLOOKUP(Pipeline_tbl[[#This Row],[Rate_Code_Generalized]],Lookups!A:A,Lookups!B:B))*Pipeline_tbl[[#This Row],[Pipeline_Amount_USD]]</f>
        <v>5900</v>
      </c>
      <c r="O6403" t="str">
        <f>_xlfn.XLOOKUP(Pipeline_tbl[[#This Row],[Rep_ID]],Dim_Reps!A:A,Dim_Reps!B:B)</f>
        <v>Hugo Santos</v>
      </c>
      <c r="P6403" t="str">
        <f>_xlfn.XLOOKUP(Pipeline_tbl[[#This Row],[Rep_ID]],Dim_Reps!A:A,Dim_Reps!C:C)</f>
        <v>SDR / Inside Sales Rep</v>
      </c>
      <c r="Q6403" t="str">
        <f>_xlfn.XLOOKUP(Pipeline_tbl[[#This Row],[Rep_ID]],Dim_Reps!A:A,Dim_Reps!D:D)</f>
        <v>Inside Sales</v>
      </c>
      <c r="R6403" t="str">
        <f>_xlfn.XLOOKUP(Pipeline_tbl[[#This Row],[Rep_ID]],Dim_Reps!A:A,Dim_Reps!E:E)</f>
        <v>EMEA</v>
      </c>
      <c r="S6403" t="str">
        <f>_xlfn.XLOOKUP(Pipeline_tbl[[#This Row],[Created_Date]],Dim_Date!A:A,Dim_Date!H:H)</f>
        <v>Apr 2025</v>
      </c>
      <c r="T6403" t="str">
        <f>IF(Pipeline_tbl[[#This Row],[Closed_Date]]=0,"",(_xlfn.XLOOKUP(Pipeline_tbl[[#This Row],[Closed_Date]],Dim_Date!A:A,Dim_Date!H:H)))</f>
        <v>Apr 2025</v>
      </c>
      <c r="U6403">
        <f>IF(Pipeline_tbl[[#This Row],[Closed_Date]]=0,"",Pipeline_tbl[[#This Row],[Closed_Date]]-Pipeline_tbl[[#This Row],[Created_Date]])</f>
        <v>7</v>
      </c>
    </row>
    <row r="6404" spans="1:21" ht="15" customHeight="1" x14ac:dyDescent="0.2">
      <c r="A6404" t="s">
        <v>6710</v>
      </c>
      <c r="B6404" t="s">
        <v>237</v>
      </c>
      <c r="C6404" t="s">
        <v>52</v>
      </c>
      <c r="D6404" s="49">
        <v>45751</v>
      </c>
      <c r="E6404" s="49">
        <v>45753</v>
      </c>
      <c r="F6404" s="49">
        <v>45756</v>
      </c>
      <c r="I6404" s="49">
        <v>45769</v>
      </c>
      <c r="J6404" t="s">
        <v>49</v>
      </c>
      <c r="K6404" s="33">
        <v>2200</v>
      </c>
      <c r="L6404" t="s">
        <v>63</v>
      </c>
      <c r="M6404" t="str">
        <f>_xlfn.XLOOKUP(Pipeline_tbl[[#This Row],[Rep_ID]],Dim_Reps!A:A,Dim_Reps!K:K)</f>
        <v>EUR</v>
      </c>
      <c r="N6404" s="33">
        <f>(_xlfn.XLOOKUP(Pipeline_tbl[[#This Row],[Rate_Code_Generalized]],Lookups!A:A,Lookups!B:B))*Pipeline_tbl[[#This Row],[Pipeline_Amount_USD]]</f>
        <v>2200</v>
      </c>
      <c r="O6404" t="str">
        <f>_xlfn.XLOOKUP(Pipeline_tbl[[#This Row],[Rep_ID]],Dim_Reps!A:A,Dim_Reps!B:B)</f>
        <v>Hugo Santos</v>
      </c>
      <c r="P6404" t="str">
        <f>_xlfn.XLOOKUP(Pipeline_tbl[[#This Row],[Rep_ID]],Dim_Reps!A:A,Dim_Reps!C:C)</f>
        <v>SDR / Inside Sales Rep</v>
      </c>
      <c r="Q6404" t="str">
        <f>_xlfn.XLOOKUP(Pipeline_tbl[[#This Row],[Rep_ID]],Dim_Reps!A:A,Dim_Reps!D:D)</f>
        <v>Inside Sales</v>
      </c>
      <c r="R6404" t="str">
        <f>_xlfn.XLOOKUP(Pipeline_tbl[[#This Row],[Rep_ID]],Dim_Reps!A:A,Dim_Reps!E:E)</f>
        <v>EMEA</v>
      </c>
      <c r="S6404" t="str">
        <f>_xlfn.XLOOKUP(Pipeline_tbl[[#This Row],[Created_Date]],Dim_Date!A:A,Dim_Date!H:H)</f>
        <v>Apr 2025</v>
      </c>
      <c r="T6404" t="str">
        <f>IF(Pipeline_tbl[[#This Row],[Closed_Date]]=0,"",(_xlfn.XLOOKUP(Pipeline_tbl[[#This Row],[Closed_Date]],Dim_Date!A:A,Dim_Date!H:H)))</f>
        <v>Apr 2025</v>
      </c>
      <c r="U6404">
        <f>IF(Pipeline_tbl[[#This Row],[Closed_Date]]=0,"",Pipeline_tbl[[#This Row],[Closed_Date]]-Pipeline_tbl[[#This Row],[Created_Date]])</f>
        <v>18</v>
      </c>
    </row>
    <row r="6405" spans="1:21" ht="15" customHeight="1" x14ac:dyDescent="0.2">
      <c r="A6405" t="s">
        <v>6711</v>
      </c>
      <c r="B6405" t="s">
        <v>271</v>
      </c>
      <c r="C6405" t="s">
        <v>52</v>
      </c>
      <c r="D6405" s="49">
        <v>45749</v>
      </c>
      <c r="E6405" s="49">
        <v>45751</v>
      </c>
      <c r="F6405" s="49">
        <v>45756</v>
      </c>
      <c r="G6405" s="49">
        <v>45763</v>
      </c>
      <c r="H6405" s="49">
        <v>45769</v>
      </c>
      <c r="I6405" s="49">
        <v>45772</v>
      </c>
      <c r="J6405" t="s">
        <v>49</v>
      </c>
      <c r="K6405" s="33">
        <v>11800</v>
      </c>
      <c r="L6405" t="s">
        <v>64</v>
      </c>
      <c r="M6405" t="str">
        <f>_xlfn.XLOOKUP(Pipeline_tbl[[#This Row],[Rep_ID]],Dim_Reps!A:A,Dim_Reps!K:K)</f>
        <v>EUR</v>
      </c>
      <c r="N6405" s="33">
        <f>(_xlfn.XLOOKUP(Pipeline_tbl[[#This Row],[Rate_Code_Generalized]],Lookups!A:A,Lookups!B:B))*Pipeline_tbl[[#This Row],[Pipeline_Amount_USD]]</f>
        <v>11800</v>
      </c>
      <c r="O6405" t="str">
        <f>_xlfn.XLOOKUP(Pipeline_tbl[[#This Row],[Rep_ID]],Dim_Reps!A:A,Dim_Reps!B:B)</f>
        <v>Ivy Adler</v>
      </c>
      <c r="P6405" t="str">
        <f>_xlfn.XLOOKUP(Pipeline_tbl[[#This Row],[Rep_ID]],Dim_Reps!A:A,Dim_Reps!C:C)</f>
        <v>Mid-Market AE</v>
      </c>
      <c r="Q6405" t="str">
        <f>_xlfn.XLOOKUP(Pipeline_tbl[[#This Row],[Rep_ID]],Dim_Reps!A:A,Dim_Reps!D:D)</f>
        <v>Mid-Market</v>
      </c>
      <c r="R6405" t="str">
        <f>_xlfn.XLOOKUP(Pipeline_tbl[[#This Row],[Rep_ID]],Dim_Reps!A:A,Dim_Reps!E:E)</f>
        <v>APAC</v>
      </c>
      <c r="S6405" t="str">
        <f>_xlfn.XLOOKUP(Pipeline_tbl[[#This Row],[Created_Date]],Dim_Date!A:A,Dim_Date!H:H)</f>
        <v>Apr 2025</v>
      </c>
      <c r="T6405" t="str">
        <f>IF(Pipeline_tbl[[#This Row],[Closed_Date]]=0,"",(_xlfn.XLOOKUP(Pipeline_tbl[[#This Row],[Closed_Date]],Dim_Date!A:A,Dim_Date!H:H)))</f>
        <v>Apr 2025</v>
      </c>
      <c r="U6405">
        <f>IF(Pipeline_tbl[[#This Row],[Closed_Date]]=0,"",Pipeline_tbl[[#This Row],[Closed_Date]]-Pipeline_tbl[[#This Row],[Created_Date]])</f>
        <v>23</v>
      </c>
    </row>
    <row r="6406" spans="1:21" ht="15" customHeight="1" x14ac:dyDescent="0.2">
      <c r="A6406" t="s">
        <v>6712</v>
      </c>
      <c r="B6406" t="s">
        <v>273</v>
      </c>
      <c r="C6406" t="s">
        <v>53</v>
      </c>
      <c r="D6406" s="49">
        <v>45752</v>
      </c>
      <c r="E6406" s="49">
        <v>45753</v>
      </c>
      <c r="F6406" s="49">
        <v>45755</v>
      </c>
      <c r="G6406" s="49">
        <v>45757</v>
      </c>
      <c r="H6406" s="49">
        <v>45760</v>
      </c>
      <c r="I6406" s="49">
        <v>45761</v>
      </c>
      <c r="J6406" t="s">
        <v>49</v>
      </c>
      <c r="K6406" s="33">
        <v>10100</v>
      </c>
      <c r="L6406" t="s">
        <v>62</v>
      </c>
      <c r="M6406" t="str">
        <f>_xlfn.XLOOKUP(Pipeline_tbl[[#This Row],[Rep_ID]],Dim_Reps!A:A,Dim_Reps!K:K)</f>
        <v>EUR</v>
      </c>
      <c r="N6406" s="33">
        <f>(_xlfn.XLOOKUP(Pipeline_tbl[[#This Row],[Rate_Code_Generalized]],Lookups!A:A,Lookups!B:B))*Pipeline_tbl[[#This Row],[Pipeline_Amount_USD]]</f>
        <v>10100</v>
      </c>
      <c r="O6406" t="str">
        <f>_xlfn.XLOOKUP(Pipeline_tbl[[#This Row],[Rep_ID]],Dim_Reps!A:A,Dim_Reps!B:B)</f>
        <v>Olivia Cohen</v>
      </c>
      <c r="P6406" t="str">
        <f>_xlfn.XLOOKUP(Pipeline_tbl[[#This Row],[Rep_ID]],Dim_Reps!A:A,Dim_Reps!C:C)</f>
        <v>Mid-Market AE</v>
      </c>
      <c r="Q6406" t="str">
        <f>_xlfn.XLOOKUP(Pipeline_tbl[[#This Row],[Rep_ID]],Dim_Reps!A:A,Dim_Reps!D:D)</f>
        <v>Mid-Market</v>
      </c>
      <c r="R6406" t="str">
        <f>_xlfn.XLOOKUP(Pipeline_tbl[[#This Row],[Rep_ID]],Dim_Reps!A:A,Dim_Reps!E:E)</f>
        <v>APAC</v>
      </c>
      <c r="S6406" t="str">
        <f>_xlfn.XLOOKUP(Pipeline_tbl[[#This Row],[Created_Date]],Dim_Date!A:A,Dim_Date!H:H)</f>
        <v>Apr 2025</v>
      </c>
      <c r="T6406" t="str">
        <f>IF(Pipeline_tbl[[#This Row],[Closed_Date]]=0,"",(_xlfn.XLOOKUP(Pipeline_tbl[[#This Row],[Closed_Date]],Dim_Date!A:A,Dim_Date!H:H)))</f>
        <v>Apr 2025</v>
      </c>
      <c r="U6406">
        <f>IF(Pipeline_tbl[[#This Row],[Closed_Date]]=0,"",Pipeline_tbl[[#This Row],[Closed_Date]]-Pipeline_tbl[[#This Row],[Created_Date]])</f>
        <v>9</v>
      </c>
    </row>
    <row r="6407" spans="1:21" ht="15" customHeight="1" x14ac:dyDescent="0.2">
      <c r="A6407" t="s">
        <v>6713</v>
      </c>
      <c r="B6407" t="s">
        <v>273</v>
      </c>
      <c r="C6407" t="s">
        <v>54</v>
      </c>
      <c r="D6407" s="49">
        <v>45749</v>
      </c>
      <c r="E6407" s="49">
        <v>45751</v>
      </c>
      <c r="F6407" s="49">
        <v>45756</v>
      </c>
      <c r="I6407" s="49">
        <v>45771</v>
      </c>
      <c r="J6407" t="s">
        <v>49</v>
      </c>
      <c r="K6407" s="33">
        <v>6800</v>
      </c>
      <c r="L6407" t="s">
        <v>60</v>
      </c>
      <c r="M6407" t="str">
        <f>_xlfn.XLOOKUP(Pipeline_tbl[[#This Row],[Rep_ID]],Dim_Reps!A:A,Dim_Reps!K:K)</f>
        <v>EUR</v>
      </c>
      <c r="N6407" s="33">
        <f>(_xlfn.XLOOKUP(Pipeline_tbl[[#This Row],[Rate_Code_Generalized]],Lookups!A:A,Lookups!B:B))*Pipeline_tbl[[#This Row],[Pipeline_Amount_USD]]</f>
        <v>6800</v>
      </c>
      <c r="O6407" t="str">
        <f>_xlfn.XLOOKUP(Pipeline_tbl[[#This Row],[Rep_ID]],Dim_Reps!A:A,Dim_Reps!B:B)</f>
        <v>Olivia Cohen</v>
      </c>
      <c r="P6407" t="str">
        <f>_xlfn.XLOOKUP(Pipeline_tbl[[#This Row],[Rep_ID]],Dim_Reps!A:A,Dim_Reps!C:C)</f>
        <v>Mid-Market AE</v>
      </c>
      <c r="Q6407" t="str">
        <f>_xlfn.XLOOKUP(Pipeline_tbl[[#This Row],[Rep_ID]],Dim_Reps!A:A,Dim_Reps!D:D)</f>
        <v>Mid-Market</v>
      </c>
      <c r="R6407" t="str">
        <f>_xlfn.XLOOKUP(Pipeline_tbl[[#This Row],[Rep_ID]],Dim_Reps!A:A,Dim_Reps!E:E)</f>
        <v>APAC</v>
      </c>
      <c r="S6407" t="str">
        <f>_xlfn.XLOOKUP(Pipeline_tbl[[#This Row],[Created_Date]],Dim_Date!A:A,Dim_Date!H:H)</f>
        <v>Apr 2025</v>
      </c>
      <c r="T6407" t="str">
        <f>IF(Pipeline_tbl[[#This Row],[Closed_Date]]=0,"",(_xlfn.XLOOKUP(Pipeline_tbl[[#This Row],[Closed_Date]],Dim_Date!A:A,Dim_Date!H:H)))</f>
        <v>Apr 2025</v>
      </c>
      <c r="U6407">
        <f>IF(Pipeline_tbl[[#This Row],[Closed_Date]]=0,"",Pipeline_tbl[[#This Row],[Closed_Date]]-Pipeline_tbl[[#This Row],[Created_Date]])</f>
        <v>22</v>
      </c>
    </row>
    <row r="6408" spans="1:21" ht="15" customHeight="1" x14ac:dyDescent="0.2">
      <c r="A6408" t="s">
        <v>6714</v>
      </c>
      <c r="B6408" t="s">
        <v>273</v>
      </c>
      <c r="C6408" t="s">
        <v>52</v>
      </c>
      <c r="D6408" s="49">
        <v>45767</v>
      </c>
      <c r="E6408" s="49">
        <v>45768</v>
      </c>
      <c r="F6408" s="49">
        <v>45769</v>
      </c>
      <c r="G6408" s="49">
        <v>45771</v>
      </c>
      <c r="H6408" s="49">
        <v>45772</v>
      </c>
      <c r="I6408" s="49">
        <v>45773</v>
      </c>
      <c r="J6408" t="s">
        <v>49</v>
      </c>
      <c r="K6408" s="33">
        <v>21800</v>
      </c>
      <c r="L6408" t="s">
        <v>62</v>
      </c>
      <c r="M6408" t="str">
        <f>_xlfn.XLOOKUP(Pipeline_tbl[[#This Row],[Rep_ID]],Dim_Reps!A:A,Dim_Reps!K:K)</f>
        <v>EUR</v>
      </c>
      <c r="N6408" s="33">
        <f>(_xlfn.XLOOKUP(Pipeline_tbl[[#This Row],[Rate_Code_Generalized]],Lookups!A:A,Lookups!B:B))*Pipeline_tbl[[#This Row],[Pipeline_Amount_USD]]</f>
        <v>21800</v>
      </c>
      <c r="O6408" t="str">
        <f>_xlfn.XLOOKUP(Pipeline_tbl[[#This Row],[Rep_ID]],Dim_Reps!A:A,Dim_Reps!B:B)</f>
        <v>Olivia Cohen</v>
      </c>
      <c r="P6408" t="str">
        <f>_xlfn.XLOOKUP(Pipeline_tbl[[#This Row],[Rep_ID]],Dim_Reps!A:A,Dim_Reps!C:C)</f>
        <v>Mid-Market AE</v>
      </c>
      <c r="Q6408" t="str">
        <f>_xlfn.XLOOKUP(Pipeline_tbl[[#This Row],[Rep_ID]],Dim_Reps!A:A,Dim_Reps!D:D)</f>
        <v>Mid-Market</v>
      </c>
      <c r="R6408" t="str">
        <f>_xlfn.XLOOKUP(Pipeline_tbl[[#This Row],[Rep_ID]],Dim_Reps!A:A,Dim_Reps!E:E)</f>
        <v>APAC</v>
      </c>
      <c r="S6408" t="str">
        <f>_xlfn.XLOOKUP(Pipeline_tbl[[#This Row],[Created_Date]],Dim_Date!A:A,Dim_Date!H:H)</f>
        <v>Apr 2025</v>
      </c>
      <c r="T6408" t="str">
        <f>IF(Pipeline_tbl[[#This Row],[Closed_Date]]=0,"",(_xlfn.XLOOKUP(Pipeline_tbl[[#This Row],[Closed_Date]],Dim_Date!A:A,Dim_Date!H:H)))</f>
        <v>Apr 2025</v>
      </c>
      <c r="U6408">
        <f>IF(Pipeline_tbl[[#This Row],[Closed_Date]]=0,"",Pipeline_tbl[[#This Row],[Closed_Date]]-Pipeline_tbl[[#This Row],[Created_Date]])</f>
        <v>6</v>
      </c>
    </row>
    <row r="6409" spans="1:21" ht="15" customHeight="1" x14ac:dyDescent="0.2">
      <c r="A6409" t="s">
        <v>6715</v>
      </c>
      <c r="B6409" t="s">
        <v>241</v>
      </c>
      <c r="C6409" t="s">
        <v>56</v>
      </c>
      <c r="D6409" s="49">
        <v>45755</v>
      </c>
      <c r="E6409" s="49">
        <v>45757</v>
      </c>
      <c r="F6409" s="49">
        <v>45761</v>
      </c>
      <c r="G6409" s="49">
        <v>45767</v>
      </c>
      <c r="H6409" s="49">
        <v>45772</v>
      </c>
      <c r="I6409" s="49">
        <v>45775</v>
      </c>
      <c r="J6409" t="s">
        <v>49</v>
      </c>
      <c r="K6409" s="33">
        <v>2200</v>
      </c>
      <c r="L6409" t="s">
        <v>60</v>
      </c>
      <c r="M6409" t="str">
        <f>_xlfn.XLOOKUP(Pipeline_tbl[[#This Row],[Rep_ID]],Dim_Reps!A:A,Dim_Reps!K:K)</f>
        <v>EUR</v>
      </c>
      <c r="N6409" s="33">
        <f>(_xlfn.XLOOKUP(Pipeline_tbl[[#This Row],[Rate_Code_Generalized]],Lookups!A:A,Lookups!B:B))*Pipeline_tbl[[#This Row],[Pipeline_Amount_USD]]</f>
        <v>2200</v>
      </c>
      <c r="O6409" t="str">
        <f>_xlfn.XLOOKUP(Pipeline_tbl[[#This Row],[Rep_ID]],Dim_Reps!A:A,Dim_Reps!B:B)</f>
        <v>Kenji Weber</v>
      </c>
      <c r="P6409" t="str">
        <f>_xlfn.XLOOKUP(Pipeline_tbl[[#This Row],[Rep_ID]],Dim_Reps!A:A,Dim_Reps!C:C)</f>
        <v>SDR / Inside Sales Rep</v>
      </c>
      <c r="Q6409" t="str">
        <f>_xlfn.XLOOKUP(Pipeline_tbl[[#This Row],[Rep_ID]],Dim_Reps!A:A,Dim_Reps!D:D)</f>
        <v>Inside Sales</v>
      </c>
      <c r="R6409" t="str">
        <f>_xlfn.XLOOKUP(Pipeline_tbl[[#This Row],[Rep_ID]],Dim_Reps!A:A,Dim_Reps!E:E)</f>
        <v>APAC</v>
      </c>
      <c r="S6409" t="str">
        <f>_xlfn.XLOOKUP(Pipeline_tbl[[#This Row],[Created_Date]],Dim_Date!A:A,Dim_Date!H:H)</f>
        <v>Apr 2025</v>
      </c>
      <c r="T6409" t="str">
        <f>IF(Pipeline_tbl[[#This Row],[Closed_Date]]=0,"",(_xlfn.XLOOKUP(Pipeline_tbl[[#This Row],[Closed_Date]],Dim_Date!A:A,Dim_Date!H:H)))</f>
        <v>Apr 2025</v>
      </c>
      <c r="U6409">
        <f>IF(Pipeline_tbl[[#This Row],[Closed_Date]]=0,"",Pipeline_tbl[[#This Row],[Closed_Date]]-Pipeline_tbl[[#This Row],[Created_Date]])</f>
        <v>20</v>
      </c>
    </row>
    <row r="6410" spans="1:21" ht="15" customHeight="1" x14ac:dyDescent="0.2">
      <c r="A6410" t="s">
        <v>6716</v>
      </c>
      <c r="B6410" t="s">
        <v>241</v>
      </c>
      <c r="C6410" t="s">
        <v>55</v>
      </c>
      <c r="D6410" s="49">
        <v>45756</v>
      </c>
      <c r="E6410" s="49">
        <v>45758</v>
      </c>
      <c r="F6410" s="49">
        <v>45762</v>
      </c>
      <c r="G6410" s="49">
        <v>45769</v>
      </c>
      <c r="H6410" s="49">
        <v>45774</v>
      </c>
      <c r="I6410" s="49">
        <v>45777</v>
      </c>
      <c r="J6410" t="s">
        <v>47</v>
      </c>
      <c r="K6410" s="33">
        <v>4100</v>
      </c>
      <c r="M6410" t="str">
        <f>_xlfn.XLOOKUP(Pipeline_tbl[[#This Row],[Rep_ID]],Dim_Reps!A:A,Dim_Reps!K:K)</f>
        <v>EUR</v>
      </c>
      <c r="N6410" s="33">
        <f>(_xlfn.XLOOKUP(Pipeline_tbl[[#This Row],[Rate_Code_Generalized]],Lookups!A:A,Lookups!B:B))*Pipeline_tbl[[#This Row],[Pipeline_Amount_USD]]</f>
        <v>4100</v>
      </c>
      <c r="O6410" t="str">
        <f>_xlfn.XLOOKUP(Pipeline_tbl[[#This Row],[Rep_ID]],Dim_Reps!A:A,Dim_Reps!B:B)</f>
        <v>Kenji Weber</v>
      </c>
      <c r="P6410" t="str">
        <f>_xlfn.XLOOKUP(Pipeline_tbl[[#This Row],[Rep_ID]],Dim_Reps!A:A,Dim_Reps!C:C)</f>
        <v>SDR / Inside Sales Rep</v>
      </c>
      <c r="Q6410" t="str">
        <f>_xlfn.XLOOKUP(Pipeline_tbl[[#This Row],[Rep_ID]],Dim_Reps!A:A,Dim_Reps!D:D)</f>
        <v>Inside Sales</v>
      </c>
      <c r="R6410" t="str">
        <f>_xlfn.XLOOKUP(Pipeline_tbl[[#This Row],[Rep_ID]],Dim_Reps!A:A,Dim_Reps!E:E)</f>
        <v>APAC</v>
      </c>
      <c r="S6410" t="str">
        <f>_xlfn.XLOOKUP(Pipeline_tbl[[#This Row],[Created_Date]],Dim_Date!A:A,Dim_Date!H:H)</f>
        <v>Apr 2025</v>
      </c>
      <c r="T6410" t="str">
        <f>IF(Pipeline_tbl[[#This Row],[Closed_Date]]=0,"",(_xlfn.XLOOKUP(Pipeline_tbl[[#This Row],[Closed_Date]],Dim_Date!A:A,Dim_Date!H:H)))</f>
        <v>Apr 2025</v>
      </c>
      <c r="U6410">
        <f>IF(Pipeline_tbl[[#This Row],[Closed_Date]]=0,"",Pipeline_tbl[[#This Row],[Closed_Date]]-Pipeline_tbl[[#This Row],[Created_Date]])</f>
        <v>21</v>
      </c>
    </row>
    <row r="6411" spans="1:21" ht="15" customHeight="1" x14ac:dyDescent="0.2">
      <c r="A6411" t="s">
        <v>6717</v>
      </c>
      <c r="B6411" t="s">
        <v>241</v>
      </c>
      <c r="C6411" t="s">
        <v>52</v>
      </c>
      <c r="D6411" s="49">
        <v>45751</v>
      </c>
      <c r="E6411" s="49">
        <v>45752</v>
      </c>
      <c r="F6411" s="49">
        <v>45754</v>
      </c>
      <c r="G6411" s="49">
        <v>45757</v>
      </c>
      <c r="H6411" s="49">
        <v>45759</v>
      </c>
      <c r="I6411" s="49">
        <v>45761</v>
      </c>
      <c r="J6411" t="s">
        <v>47</v>
      </c>
      <c r="K6411" s="33">
        <v>4800</v>
      </c>
      <c r="M6411" t="str">
        <f>_xlfn.XLOOKUP(Pipeline_tbl[[#This Row],[Rep_ID]],Dim_Reps!A:A,Dim_Reps!K:K)</f>
        <v>EUR</v>
      </c>
      <c r="N6411" s="33">
        <f>(_xlfn.XLOOKUP(Pipeline_tbl[[#This Row],[Rate_Code_Generalized]],Lookups!A:A,Lookups!B:B))*Pipeline_tbl[[#This Row],[Pipeline_Amount_USD]]</f>
        <v>4800</v>
      </c>
      <c r="O6411" t="str">
        <f>_xlfn.XLOOKUP(Pipeline_tbl[[#This Row],[Rep_ID]],Dim_Reps!A:A,Dim_Reps!B:B)</f>
        <v>Kenji Weber</v>
      </c>
      <c r="P6411" t="str">
        <f>_xlfn.XLOOKUP(Pipeline_tbl[[#This Row],[Rep_ID]],Dim_Reps!A:A,Dim_Reps!C:C)</f>
        <v>SDR / Inside Sales Rep</v>
      </c>
      <c r="Q6411" t="str">
        <f>_xlfn.XLOOKUP(Pipeline_tbl[[#This Row],[Rep_ID]],Dim_Reps!A:A,Dim_Reps!D:D)</f>
        <v>Inside Sales</v>
      </c>
      <c r="R6411" t="str">
        <f>_xlfn.XLOOKUP(Pipeline_tbl[[#This Row],[Rep_ID]],Dim_Reps!A:A,Dim_Reps!E:E)</f>
        <v>APAC</v>
      </c>
      <c r="S6411" t="str">
        <f>_xlfn.XLOOKUP(Pipeline_tbl[[#This Row],[Created_Date]],Dim_Date!A:A,Dim_Date!H:H)</f>
        <v>Apr 2025</v>
      </c>
      <c r="T6411" t="str">
        <f>IF(Pipeline_tbl[[#This Row],[Closed_Date]]=0,"",(_xlfn.XLOOKUP(Pipeline_tbl[[#This Row],[Closed_Date]],Dim_Date!A:A,Dim_Date!H:H)))</f>
        <v>Apr 2025</v>
      </c>
      <c r="U6411">
        <f>IF(Pipeline_tbl[[#This Row],[Closed_Date]]=0,"",Pipeline_tbl[[#This Row],[Closed_Date]]-Pipeline_tbl[[#This Row],[Created_Date]])</f>
        <v>10</v>
      </c>
    </row>
    <row r="6412" spans="1:21" ht="15" customHeight="1" x14ac:dyDescent="0.2">
      <c r="A6412" t="s">
        <v>6718</v>
      </c>
      <c r="B6412" t="s">
        <v>241</v>
      </c>
      <c r="C6412" t="s">
        <v>54</v>
      </c>
      <c r="D6412" s="49">
        <v>45753</v>
      </c>
      <c r="E6412" s="49">
        <v>45755</v>
      </c>
      <c r="F6412" s="49">
        <v>45759</v>
      </c>
      <c r="G6412" s="49">
        <v>45766</v>
      </c>
      <c r="I6412" s="49">
        <v>45774</v>
      </c>
      <c r="J6412" t="s">
        <v>49</v>
      </c>
      <c r="K6412" s="33">
        <v>2600</v>
      </c>
      <c r="L6412" t="s">
        <v>63</v>
      </c>
      <c r="M6412" t="str">
        <f>_xlfn.XLOOKUP(Pipeline_tbl[[#This Row],[Rep_ID]],Dim_Reps!A:A,Dim_Reps!K:K)</f>
        <v>EUR</v>
      </c>
      <c r="N6412" s="33">
        <f>(_xlfn.XLOOKUP(Pipeline_tbl[[#This Row],[Rate_Code_Generalized]],Lookups!A:A,Lookups!B:B))*Pipeline_tbl[[#This Row],[Pipeline_Amount_USD]]</f>
        <v>2600</v>
      </c>
      <c r="O6412" t="str">
        <f>_xlfn.XLOOKUP(Pipeline_tbl[[#This Row],[Rep_ID]],Dim_Reps!A:A,Dim_Reps!B:B)</f>
        <v>Kenji Weber</v>
      </c>
      <c r="P6412" t="str">
        <f>_xlfn.XLOOKUP(Pipeline_tbl[[#This Row],[Rep_ID]],Dim_Reps!A:A,Dim_Reps!C:C)</f>
        <v>SDR / Inside Sales Rep</v>
      </c>
      <c r="Q6412" t="str">
        <f>_xlfn.XLOOKUP(Pipeline_tbl[[#This Row],[Rep_ID]],Dim_Reps!A:A,Dim_Reps!D:D)</f>
        <v>Inside Sales</v>
      </c>
      <c r="R6412" t="str">
        <f>_xlfn.XLOOKUP(Pipeline_tbl[[#This Row],[Rep_ID]],Dim_Reps!A:A,Dim_Reps!E:E)</f>
        <v>APAC</v>
      </c>
      <c r="S6412" t="str">
        <f>_xlfn.XLOOKUP(Pipeline_tbl[[#This Row],[Created_Date]],Dim_Date!A:A,Dim_Date!H:H)</f>
        <v>Apr 2025</v>
      </c>
      <c r="T6412" t="str">
        <f>IF(Pipeline_tbl[[#This Row],[Closed_Date]]=0,"",(_xlfn.XLOOKUP(Pipeline_tbl[[#This Row],[Closed_Date]],Dim_Date!A:A,Dim_Date!H:H)))</f>
        <v>Apr 2025</v>
      </c>
      <c r="U6412">
        <f>IF(Pipeline_tbl[[#This Row],[Closed_Date]]=0,"",Pipeline_tbl[[#This Row],[Closed_Date]]-Pipeline_tbl[[#This Row],[Created_Date]])</f>
        <v>21</v>
      </c>
    </row>
    <row r="6413" spans="1:21" ht="15" customHeight="1" x14ac:dyDescent="0.2">
      <c r="A6413" t="s">
        <v>6719</v>
      </c>
      <c r="B6413" t="s">
        <v>241</v>
      </c>
      <c r="C6413" t="s">
        <v>55</v>
      </c>
      <c r="D6413" s="49">
        <v>45749</v>
      </c>
      <c r="E6413" s="49">
        <v>45751</v>
      </c>
      <c r="F6413" s="49">
        <v>45754</v>
      </c>
      <c r="G6413" s="49">
        <v>45759</v>
      </c>
      <c r="H6413" s="49">
        <v>45763</v>
      </c>
      <c r="I6413" s="49">
        <v>45766</v>
      </c>
      <c r="J6413" t="s">
        <v>49</v>
      </c>
      <c r="K6413" s="33">
        <v>4400</v>
      </c>
      <c r="L6413" t="s">
        <v>60</v>
      </c>
      <c r="M6413" t="str">
        <f>_xlfn.XLOOKUP(Pipeline_tbl[[#This Row],[Rep_ID]],Dim_Reps!A:A,Dim_Reps!K:K)</f>
        <v>EUR</v>
      </c>
      <c r="N6413" s="33">
        <f>(_xlfn.XLOOKUP(Pipeline_tbl[[#This Row],[Rate_Code_Generalized]],Lookups!A:A,Lookups!B:B))*Pipeline_tbl[[#This Row],[Pipeline_Amount_USD]]</f>
        <v>4400</v>
      </c>
      <c r="O6413" t="str">
        <f>_xlfn.XLOOKUP(Pipeline_tbl[[#This Row],[Rep_ID]],Dim_Reps!A:A,Dim_Reps!B:B)</f>
        <v>Kenji Weber</v>
      </c>
      <c r="P6413" t="str">
        <f>_xlfn.XLOOKUP(Pipeline_tbl[[#This Row],[Rep_ID]],Dim_Reps!A:A,Dim_Reps!C:C)</f>
        <v>SDR / Inside Sales Rep</v>
      </c>
      <c r="Q6413" t="str">
        <f>_xlfn.XLOOKUP(Pipeline_tbl[[#This Row],[Rep_ID]],Dim_Reps!A:A,Dim_Reps!D:D)</f>
        <v>Inside Sales</v>
      </c>
      <c r="R6413" t="str">
        <f>_xlfn.XLOOKUP(Pipeline_tbl[[#This Row],[Rep_ID]],Dim_Reps!A:A,Dim_Reps!E:E)</f>
        <v>APAC</v>
      </c>
      <c r="S6413" t="str">
        <f>_xlfn.XLOOKUP(Pipeline_tbl[[#This Row],[Created_Date]],Dim_Date!A:A,Dim_Date!H:H)</f>
        <v>Apr 2025</v>
      </c>
      <c r="T6413" t="str">
        <f>IF(Pipeline_tbl[[#This Row],[Closed_Date]]=0,"",(_xlfn.XLOOKUP(Pipeline_tbl[[#This Row],[Closed_Date]],Dim_Date!A:A,Dim_Date!H:H)))</f>
        <v>Apr 2025</v>
      </c>
      <c r="U6413">
        <f>IF(Pipeline_tbl[[#This Row],[Closed_Date]]=0,"",Pipeline_tbl[[#This Row],[Closed_Date]]-Pipeline_tbl[[#This Row],[Created_Date]])</f>
        <v>17</v>
      </c>
    </row>
    <row r="6414" spans="1:21" ht="15" customHeight="1" x14ac:dyDescent="0.2">
      <c r="A6414" t="s">
        <v>6720</v>
      </c>
      <c r="B6414" t="s">
        <v>278</v>
      </c>
      <c r="C6414" t="s">
        <v>54</v>
      </c>
      <c r="D6414" s="49">
        <v>45771</v>
      </c>
      <c r="E6414" s="49">
        <v>45781</v>
      </c>
      <c r="F6414" s="49">
        <v>45801</v>
      </c>
      <c r="G6414" s="49">
        <v>45831</v>
      </c>
      <c r="I6414" s="49">
        <v>45871</v>
      </c>
      <c r="J6414" t="s">
        <v>49</v>
      </c>
      <c r="K6414" s="33">
        <v>34700</v>
      </c>
      <c r="L6414" t="s">
        <v>63</v>
      </c>
      <c r="M6414" t="str">
        <f>_xlfn.XLOOKUP(Pipeline_tbl[[#This Row],[Rep_ID]],Dim_Reps!A:A,Dim_Reps!K:K)</f>
        <v>EUR</v>
      </c>
      <c r="N6414" s="33">
        <f>(_xlfn.XLOOKUP(Pipeline_tbl[[#This Row],[Rate_Code_Generalized]],Lookups!A:A,Lookups!B:B))*Pipeline_tbl[[#This Row],[Pipeline_Amount_USD]]</f>
        <v>34700</v>
      </c>
      <c r="O6414" t="str">
        <f>_xlfn.XLOOKUP(Pipeline_tbl[[#This Row],[Rep_ID]],Dim_Reps!A:A,Dim_Reps!B:B)</f>
        <v>Sara Andersson</v>
      </c>
      <c r="P6414" t="str">
        <f>_xlfn.XLOOKUP(Pipeline_tbl[[#This Row],[Rep_ID]],Dim_Reps!A:A,Dim_Reps!C:C)</f>
        <v>Senior Enterprise AE</v>
      </c>
      <c r="Q6414" t="str">
        <f>_xlfn.XLOOKUP(Pipeline_tbl[[#This Row],[Rep_ID]],Dim_Reps!A:A,Dim_Reps!D:D)</f>
        <v>Strategic</v>
      </c>
      <c r="R6414" t="str">
        <f>_xlfn.XLOOKUP(Pipeline_tbl[[#This Row],[Rep_ID]],Dim_Reps!A:A,Dim_Reps!E:E)</f>
        <v>APAC</v>
      </c>
      <c r="S6414" t="str">
        <f>_xlfn.XLOOKUP(Pipeline_tbl[[#This Row],[Created_Date]],Dim_Date!A:A,Dim_Date!H:H)</f>
        <v>Apr 2025</v>
      </c>
      <c r="T6414" t="str">
        <f>IF(Pipeline_tbl[[#This Row],[Closed_Date]]=0,"",(_xlfn.XLOOKUP(Pipeline_tbl[[#This Row],[Closed_Date]],Dim_Date!A:A,Dim_Date!H:H)))</f>
        <v>Aug 2025</v>
      </c>
      <c r="U6414">
        <f>IF(Pipeline_tbl[[#This Row],[Closed_Date]]=0,"",Pipeline_tbl[[#This Row],[Closed_Date]]-Pipeline_tbl[[#This Row],[Created_Date]])</f>
        <v>100</v>
      </c>
    </row>
    <row r="6415" spans="1:21" ht="15" customHeight="1" x14ac:dyDescent="0.2">
      <c r="A6415" t="s">
        <v>6721</v>
      </c>
      <c r="B6415" t="s">
        <v>278</v>
      </c>
      <c r="C6415" t="s">
        <v>53</v>
      </c>
      <c r="D6415" s="49">
        <v>45769</v>
      </c>
      <c r="E6415" s="49">
        <v>45780</v>
      </c>
      <c r="F6415" s="49">
        <v>45803</v>
      </c>
      <c r="I6415" s="49">
        <v>45883</v>
      </c>
      <c r="J6415" t="s">
        <v>49</v>
      </c>
      <c r="K6415" s="33">
        <v>75200</v>
      </c>
      <c r="L6415" t="s">
        <v>63</v>
      </c>
      <c r="M6415" t="str">
        <f>_xlfn.XLOOKUP(Pipeline_tbl[[#This Row],[Rep_ID]],Dim_Reps!A:A,Dim_Reps!K:K)</f>
        <v>EUR</v>
      </c>
      <c r="N6415" s="33">
        <f>(_xlfn.XLOOKUP(Pipeline_tbl[[#This Row],[Rate_Code_Generalized]],Lookups!A:A,Lookups!B:B))*Pipeline_tbl[[#This Row],[Pipeline_Amount_USD]]</f>
        <v>75200</v>
      </c>
      <c r="O6415" t="str">
        <f>_xlfn.XLOOKUP(Pipeline_tbl[[#This Row],[Rep_ID]],Dim_Reps!A:A,Dim_Reps!B:B)</f>
        <v>Sara Andersson</v>
      </c>
      <c r="P6415" t="str">
        <f>_xlfn.XLOOKUP(Pipeline_tbl[[#This Row],[Rep_ID]],Dim_Reps!A:A,Dim_Reps!C:C)</f>
        <v>Senior Enterprise AE</v>
      </c>
      <c r="Q6415" t="str">
        <f>_xlfn.XLOOKUP(Pipeline_tbl[[#This Row],[Rep_ID]],Dim_Reps!A:A,Dim_Reps!D:D)</f>
        <v>Strategic</v>
      </c>
      <c r="R6415" t="str">
        <f>_xlfn.XLOOKUP(Pipeline_tbl[[#This Row],[Rep_ID]],Dim_Reps!A:A,Dim_Reps!E:E)</f>
        <v>APAC</v>
      </c>
      <c r="S6415" t="str">
        <f>_xlfn.XLOOKUP(Pipeline_tbl[[#This Row],[Created_Date]],Dim_Date!A:A,Dim_Date!H:H)</f>
        <v>Apr 2025</v>
      </c>
      <c r="T6415" t="str">
        <f>IF(Pipeline_tbl[[#This Row],[Closed_Date]]=0,"",(_xlfn.XLOOKUP(Pipeline_tbl[[#This Row],[Closed_Date]],Dim_Date!A:A,Dim_Date!H:H)))</f>
        <v>Aug 2025</v>
      </c>
      <c r="U6415">
        <f>IF(Pipeline_tbl[[#This Row],[Closed_Date]]=0,"",Pipeline_tbl[[#This Row],[Closed_Date]]-Pipeline_tbl[[#This Row],[Created_Date]])</f>
        <v>114</v>
      </c>
    </row>
    <row r="6416" spans="1:21" ht="15" customHeight="1" x14ac:dyDescent="0.2">
      <c r="A6416" t="s">
        <v>6722</v>
      </c>
      <c r="B6416" t="s">
        <v>183</v>
      </c>
      <c r="C6416" t="s">
        <v>55</v>
      </c>
      <c r="D6416" s="49">
        <v>45752</v>
      </c>
      <c r="E6416" s="49">
        <v>45761</v>
      </c>
      <c r="F6416" s="49">
        <v>45778</v>
      </c>
      <c r="I6416" s="49">
        <v>45840</v>
      </c>
      <c r="J6416" t="s">
        <v>49</v>
      </c>
      <c r="K6416" s="33">
        <v>31100</v>
      </c>
      <c r="L6416" t="s">
        <v>62</v>
      </c>
      <c r="M6416" t="str">
        <f>_xlfn.XLOOKUP(Pipeline_tbl[[#This Row],[Rep_ID]],Dim_Reps!A:A,Dim_Reps!K:K)</f>
        <v>EUR</v>
      </c>
      <c r="N6416" s="33">
        <f>(_xlfn.XLOOKUP(Pipeline_tbl[[#This Row],[Rate_Code_Generalized]],Lookups!A:A,Lookups!B:B))*Pipeline_tbl[[#This Row],[Pipeline_Amount_USD]]</f>
        <v>31100</v>
      </c>
      <c r="O6416" t="str">
        <f>_xlfn.XLOOKUP(Pipeline_tbl[[#This Row],[Rep_ID]],Dim_Reps!A:A,Dim_Reps!B:B)</f>
        <v>Sam Schmidt</v>
      </c>
      <c r="P6416" t="str">
        <f>_xlfn.XLOOKUP(Pipeline_tbl[[#This Row],[Rep_ID]],Dim_Reps!A:A,Dim_Reps!C:C)</f>
        <v>Enterprise AE</v>
      </c>
      <c r="Q6416" t="str">
        <f>_xlfn.XLOOKUP(Pipeline_tbl[[#This Row],[Rep_ID]],Dim_Reps!A:A,Dim_Reps!D:D)</f>
        <v>Enterprise</v>
      </c>
      <c r="R6416" t="str">
        <f>_xlfn.XLOOKUP(Pipeline_tbl[[#This Row],[Rep_ID]],Dim_Reps!A:A,Dim_Reps!E:E)</f>
        <v>EMEA</v>
      </c>
      <c r="S6416" t="str">
        <f>_xlfn.XLOOKUP(Pipeline_tbl[[#This Row],[Created_Date]],Dim_Date!A:A,Dim_Date!H:H)</f>
        <v>Apr 2025</v>
      </c>
      <c r="T6416" t="str">
        <f>IF(Pipeline_tbl[[#This Row],[Closed_Date]]=0,"",(_xlfn.XLOOKUP(Pipeline_tbl[[#This Row],[Closed_Date]],Dim_Date!A:A,Dim_Date!H:H)))</f>
        <v>Jul 2025</v>
      </c>
      <c r="U6416">
        <f>IF(Pipeline_tbl[[#This Row],[Closed_Date]]=0,"",Pipeline_tbl[[#This Row],[Closed_Date]]-Pipeline_tbl[[#This Row],[Created_Date]])</f>
        <v>88</v>
      </c>
    </row>
    <row r="6417" spans="1:21" ht="15" customHeight="1" x14ac:dyDescent="0.2">
      <c r="A6417" t="s">
        <v>6723</v>
      </c>
      <c r="B6417" t="s">
        <v>278</v>
      </c>
      <c r="C6417" t="s">
        <v>56</v>
      </c>
      <c r="D6417" s="49">
        <v>45756</v>
      </c>
      <c r="E6417" s="49">
        <v>45766</v>
      </c>
      <c r="F6417" s="49">
        <v>45785</v>
      </c>
      <c r="G6417" s="49">
        <v>45814</v>
      </c>
      <c r="H6417" s="49">
        <v>45838</v>
      </c>
      <c r="I6417" s="49">
        <v>45852</v>
      </c>
      <c r="J6417" t="s">
        <v>49</v>
      </c>
      <c r="K6417" s="33">
        <v>48300</v>
      </c>
      <c r="L6417" t="s">
        <v>63</v>
      </c>
      <c r="M6417" t="str">
        <f>_xlfn.XLOOKUP(Pipeline_tbl[[#This Row],[Rep_ID]],Dim_Reps!A:A,Dim_Reps!K:K)</f>
        <v>EUR</v>
      </c>
      <c r="N6417" s="33">
        <f>(_xlfn.XLOOKUP(Pipeline_tbl[[#This Row],[Rate_Code_Generalized]],Lookups!A:A,Lookups!B:B))*Pipeline_tbl[[#This Row],[Pipeline_Amount_USD]]</f>
        <v>48300</v>
      </c>
      <c r="O6417" t="str">
        <f>_xlfn.XLOOKUP(Pipeline_tbl[[#This Row],[Rep_ID]],Dim_Reps!A:A,Dim_Reps!B:B)</f>
        <v>Sara Andersson</v>
      </c>
      <c r="P6417" t="str">
        <f>_xlfn.XLOOKUP(Pipeline_tbl[[#This Row],[Rep_ID]],Dim_Reps!A:A,Dim_Reps!C:C)</f>
        <v>Senior Enterprise AE</v>
      </c>
      <c r="Q6417" t="str">
        <f>_xlfn.XLOOKUP(Pipeline_tbl[[#This Row],[Rep_ID]],Dim_Reps!A:A,Dim_Reps!D:D)</f>
        <v>Strategic</v>
      </c>
      <c r="R6417" t="str">
        <f>_xlfn.XLOOKUP(Pipeline_tbl[[#This Row],[Rep_ID]],Dim_Reps!A:A,Dim_Reps!E:E)</f>
        <v>APAC</v>
      </c>
      <c r="S6417" t="str">
        <f>_xlfn.XLOOKUP(Pipeline_tbl[[#This Row],[Created_Date]],Dim_Date!A:A,Dim_Date!H:H)</f>
        <v>Apr 2025</v>
      </c>
      <c r="T6417" t="str">
        <f>IF(Pipeline_tbl[[#This Row],[Closed_Date]]=0,"",(_xlfn.XLOOKUP(Pipeline_tbl[[#This Row],[Closed_Date]],Dim_Date!A:A,Dim_Date!H:H)))</f>
        <v>Jul 2025</v>
      </c>
      <c r="U6417">
        <f>IF(Pipeline_tbl[[#This Row],[Closed_Date]]=0,"",Pipeline_tbl[[#This Row],[Closed_Date]]-Pipeline_tbl[[#This Row],[Created_Date]])</f>
        <v>96</v>
      </c>
    </row>
    <row r="6418" spans="1:21" ht="15" customHeight="1" x14ac:dyDescent="0.2">
      <c r="A6418" t="s">
        <v>6724</v>
      </c>
      <c r="B6418" t="s">
        <v>185</v>
      </c>
      <c r="C6418" t="s">
        <v>55</v>
      </c>
      <c r="D6418" s="49">
        <v>45760</v>
      </c>
      <c r="E6418" s="49">
        <v>45770</v>
      </c>
      <c r="F6418" s="49">
        <v>45791</v>
      </c>
      <c r="I6418" s="49">
        <v>45862</v>
      </c>
      <c r="J6418" t="s">
        <v>49</v>
      </c>
      <c r="K6418" s="33">
        <v>26300</v>
      </c>
      <c r="L6418" t="s">
        <v>61</v>
      </c>
      <c r="M6418" t="str">
        <f>_xlfn.XLOOKUP(Pipeline_tbl[[#This Row],[Rep_ID]],Dim_Reps!A:A,Dim_Reps!K:K)</f>
        <v>MXN</v>
      </c>
      <c r="N6418" s="33">
        <f>(_xlfn.XLOOKUP(Pipeline_tbl[[#This Row],[Rate_Code_Generalized]],Lookups!A:A,Lookups!B:B))*Pipeline_tbl[[#This Row],[Pipeline_Amount_USD]]</f>
        <v>518970.01</v>
      </c>
      <c r="O6418" t="str">
        <f>_xlfn.XLOOKUP(Pipeline_tbl[[#This Row],[Rep_ID]],Dim_Reps!A:A,Dim_Reps!B:B)</f>
        <v>Noah Kim</v>
      </c>
      <c r="P6418" t="str">
        <f>_xlfn.XLOOKUP(Pipeline_tbl[[#This Row],[Rep_ID]],Dim_Reps!A:A,Dim_Reps!C:C)</f>
        <v>Enterprise AE</v>
      </c>
      <c r="Q6418" t="str">
        <f>_xlfn.XLOOKUP(Pipeline_tbl[[#This Row],[Rep_ID]],Dim_Reps!A:A,Dim_Reps!D:D)</f>
        <v>Enterprise</v>
      </c>
      <c r="R6418" t="str">
        <f>_xlfn.XLOOKUP(Pipeline_tbl[[#This Row],[Rep_ID]],Dim_Reps!A:A,Dim_Reps!E:E)</f>
        <v>LATAM</v>
      </c>
      <c r="S6418" t="str">
        <f>_xlfn.XLOOKUP(Pipeline_tbl[[#This Row],[Created_Date]],Dim_Date!A:A,Dim_Date!H:H)</f>
        <v>Apr 2025</v>
      </c>
      <c r="T6418" t="str">
        <f>IF(Pipeline_tbl[[#This Row],[Closed_Date]]=0,"",(_xlfn.XLOOKUP(Pipeline_tbl[[#This Row],[Closed_Date]],Dim_Date!A:A,Dim_Date!H:H)))</f>
        <v>Jul 2025</v>
      </c>
      <c r="U6418">
        <f>IF(Pipeline_tbl[[#This Row],[Closed_Date]]=0,"",Pipeline_tbl[[#This Row],[Closed_Date]]-Pipeline_tbl[[#This Row],[Created_Date]])</f>
        <v>102</v>
      </c>
    </row>
    <row r="6419" spans="1:21" ht="15" customHeight="1" x14ac:dyDescent="0.2">
      <c r="A6419" t="s">
        <v>6725</v>
      </c>
      <c r="B6419" t="s">
        <v>188</v>
      </c>
      <c r="C6419" t="s">
        <v>54</v>
      </c>
      <c r="D6419" s="49">
        <v>45755</v>
      </c>
      <c r="E6419" s="49">
        <v>45765</v>
      </c>
      <c r="F6419" s="49">
        <v>45786</v>
      </c>
      <c r="G6419" s="49">
        <v>45817</v>
      </c>
      <c r="H6419" s="49">
        <v>45843</v>
      </c>
      <c r="I6419" s="49">
        <v>45859</v>
      </c>
      <c r="J6419" t="s">
        <v>49</v>
      </c>
      <c r="K6419" s="33">
        <v>37600</v>
      </c>
      <c r="L6419" t="s">
        <v>62</v>
      </c>
      <c r="M6419" t="str">
        <f>_xlfn.XLOOKUP(Pipeline_tbl[[#This Row],[Rep_ID]],Dim_Reps!A:A,Dim_Reps!K:K)</f>
        <v>EUR</v>
      </c>
      <c r="N6419" s="33">
        <f>(_xlfn.XLOOKUP(Pipeline_tbl[[#This Row],[Rate_Code_Generalized]],Lookups!A:A,Lookups!B:B))*Pipeline_tbl[[#This Row],[Pipeline_Amount_USD]]</f>
        <v>37600</v>
      </c>
      <c r="O6419" t="str">
        <f>_xlfn.XLOOKUP(Pipeline_tbl[[#This Row],[Rep_ID]],Dim_Reps!A:A,Dim_Reps!B:B)</f>
        <v>Jamie Santos</v>
      </c>
      <c r="P6419" t="str">
        <f>_xlfn.XLOOKUP(Pipeline_tbl[[#This Row],[Rep_ID]],Dim_Reps!A:A,Dim_Reps!C:C)</f>
        <v>Enterprise AE</v>
      </c>
      <c r="Q6419" t="str">
        <f>_xlfn.XLOOKUP(Pipeline_tbl[[#This Row],[Rep_ID]],Dim_Reps!A:A,Dim_Reps!D:D)</f>
        <v>Enterprise</v>
      </c>
      <c r="R6419" t="str">
        <f>_xlfn.XLOOKUP(Pipeline_tbl[[#This Row],[Rep_ID]],Dim_Reps!A:A,Dim_Reps!E:E)</f>
        <v>APAC</v>
      </c>
      <c r="S6419" t="str">
        <f>_xlfn.XLOOKUP(Pipeline_tbl[[#This Row],[Created_Date]],Dim_Date!A:A,Dim_Date!H:H)</f>
        <v>Apr 2025</v>
      </c>
      <c r="T6419" t="str">
        <f>IF(Pipeline_tbl[[#This Row],[Closed_Date]]=0,"",(_xlfn.XLOOKUP(Pipeline_tbl[[#This Row],[Closed_Date]],Dim_Date!A:A,Dim_Date!H:H)))</f>
        <v>Jul 2025</v>
      </c>
      <c r="U6419">
        <f>IF(Pipeline_tbl[[#This Row],[Closed_Date]]=0,"",Pipeline_tbl[[#This Row],[Closed_Date]]-Pipeline_tbl[[#This Row],[Created_Date]])</f>
        <v>104</v>
      </c>
    </row>
    <row r="6420" spans="1:21" ht="15" customHeight="1" x14ac:dyDescent="0.2">
      <c r="A6420" t="s">
        <v>6726</v>
      </c>
      <c r="B6420" t="s">
        <v>280</v>
      </c>
      <c r="C6420" t="s">
        <v>52</v>
      </c>
      <c r="D6420" s="49">
        <v>45771</v>
      </c>
      <c r="E6420" s="49">
        <v>45781</v>
      </c>
      <c r="F6420" s="49">
        <v>45800</v>
      </c>
      <c r="I6420" s="49">
        <v>45869</v>
      </c>
      <c r="J6420" t="s">
        <v>49</v>
      </c>
      <c r="K6420" s="33">
        <v>58000</v>
      </c>
      <c r="L6420" t="s">
        <v>64</v>
      </c>
      <c r="M6420" t="str">
        <f>_xlfn.XLOOKUP(Pipeline_tbl[[#This Row],[Rep_ID]],Dim_Reps!A:A,Dim_Reps!K:K)</f>
        <v>MXN</v>
      </c>
      <c r="N6420" s="33">
        <f>(_xlfn.XLOOKUP(Pipeline_tbl[[#This Row],[Rate_Code_Generalized]],Lookups!A:A,Lookups!B:B))*Pipeline_tbl[[#This Row],[Pipeline_Amount_USD]]</f>
        <v>1144496.6000000001</v>
      </c>
      <c r="O6420" t="str">
        <f>_xlfn.XLOOKUP(Pipeline_tbl[[#This Row],[Rep_ID]],Dim_Reps!A:A,Dim_Reps!B:B)</f>
        <v>Cameron Lund</v>
      </c>
      <c r="P6420" t="str">
        <f>_xlfn.XLOOKUP(Pipeline_tbl[[#This Row],[Rep_ID]],Dim_Reps!A:A,Dim_Reps!C:C)</f>
        <v>Senior Enterprise AE</v>
      </c>
      <c r="Q6420" t="str">
        <f>_xlfn.XLOOKUP(Pipeline_tbl[[#This Row],[Rep_ID]],Dim_Reps!A:A,Dim_Reps!D:D)</f>
        <v>Strategic</v>
      </c>
      <c r="R6420" t="str">
        <f>_xlfn.XLOOKUP(Pipeline_tbl[[#This Row],[Rep_ID]],Dim_Reps!A:A,Dim_Reps!E:E)</f>
        <v>LATAM</v>
      </c>
      <c r="S6420" t="str">
        <f>_xlfn.XLOOKUP(Pipeline_tbl[[#This Row],[Created_Date]],Dim_Date!A:A,Dim_Date!H:H)</f>
        <v>Apr 2025</v>
      </c>
      <c r="T6420" t="str">
        <f>IF(Pipeline_tbl[[#This Row],[Closed_Date]]=0,"",(_xlfn.XLOOKUP(Pipeline_tbl[[#This Row],[Closed_Date]],Dim_Date!A:A,Dim_Date!H:H)))</f>
        <v>Jul 2025</v>
      </c>
      <c r="U6420">
        <f>IF(Pipeline_tbl[[#This Row],[Closed_Date]]=0,"",Pipeline_tbl[[#This Row],[Closed_Date]]-Pipeline_tbl[[#This Row],[Created_Date]])</f>
        <v>98</v>
      </c>
    </row>
    <row r="6421" spans="1:21" ht="15" customHeight="1" x14ac:dyDescent="0.2">
      <c r="A6421" t="s">
        <v>6727</v>
      </c>
      <c r="B6421" t="s">
        <v>282</v>
      </c>
      <c r="C6421" t="s">
        <v>53</v>
      </c>
      <c r="D6421" s="49">
        <v>45756</v>
      </c>
      <c r="E6421" s="49">
        <v>45766</v>
      </c>
      <c r="F6421" s="49">
        <v>45785</v>
      </c>
      <c r="G6421" s="49">
        <v>45814</v>
      </c>
      <c r="I6421" s="49">
        <v>45852</v>
      </c>
      <c r="J6421" t="s">
        <v>49</v>
      </c>
      <c r="K6421" s="33">
        <v>65100</v>
      </c>
      <c r="L6421" t="s">
        <v>61</v>
      </c>
      <c r="M6421" t="str">
        <f>_xlfn.XLOOKUP(Pipeline_tbl[[#This Row],[Rep_ID]],Dim_Reps!A:A,Dim_Reps!K:K)</f>
        <v>USD</v>
      </c>
      <c r="N6421" s="33">
        <f>(_xlfn.XLOOKUP(Pipeline_tbl[[#This Row],[Rate_Code_Generalized]],Lookups!A:A,Lookups!B:B))*Pipeline_tbl[[#This Row],[Pipeline_Amount_USD]]</f>
        <v>75795.929999999993</v>
      </c>
      <c r="O6421" t="str">
        <f>_xlfn.XLOOKUP(Pipeline_tbl[[#This Row],[Rep_ID]],Dim_Reps!A:A,Dim_Reps!B:B)</f>
        <v>Fatima Rossi</v>
      </c>
      <c r="P6421" t="str">
        <f>_xlfn.XLOOKUP(Pipeline_tbl[[#This Row],[Rep_ID]],Dim_Reps!A:A,Dim_Reps!C:C)</f>
        <v>Senior Enterprise AE</v>
      </c>
      <c r="Q6421" t="str">
        <f>_xlfn.XLOOKUP(Pipeline_tbl[[#This Row],[Rep_ID]],Dim_Reps!A:A,Dim_Reps!D:D)</f>
        <v>Strategic</v>
      </c>
      <c r="R6421" t="str">
        <f>_xlfn.XLOOKUP(Pipeline_tbl[[#This Row],[Rep_ID]],Dim_Reps!A:A,Dim_Reps!E:E)</f>
        <v>NAMER</v>
      </c>
      <c r="S6421" t="str">
        <f>_xlfn.XLOOKUP(Pipeline_tbl[[#This Row],[Created_Date]],Dim_Date!A:A,Dim_Date!H:H)</f>
        <v>Apr 2025</v>
      </c>
      <c r="T6421" t="str">
        <f>IF(Pipeline_tbl[[#This Row],[Closed_Date]]=0,"",(_xlfn.XLOOKUP(Pipeline_tbl[[#This Row],[Closed_Date]],Dim_Date!A:A,Dim_Date!H:H)))</f>
        <v>Jul 2025</v>
      </c>
      <c r="U6421">
        <f>IF(Pipeline_tbl[[#This Row],[Closed_Date]]=0,"",Pipeline_tbl[[#This Row],[Closed_Date]]-Pipeline_tbl[[#This Row],[Created_Date]])</f>
        <v>96</v>
      </c>
    </row>
    <row r="6422" spans="1:21" ht="15" customHeight="1" x14ac:dyDescent="0.2">
      <c r="A6422" t="s">
        <v>6728</v>
      </c>
      <c r="B6422" t="s">
        <v>284</v>
      </c>
      <c r="C6422" t="s">
        <v>53</v>
      </c>
      <c r="D6422" s="49">
        <v>45769</v>
      </c>
      <c r="E6422" s="49">
        <v>45778</v>
      </c>
      <c r="F6422" s="49">
        <v>45796</v>
      </c>
      <c r="I6422" s="49">
        <v>45859</v>
      </c>
      <c r="J6422" t="s">
        <v>49</v>
      </c>
      <c r="K6422" s="33">
        <v>25300</v>
      </c>
      <c r="L6422" t="s">
        <v>60</v>
      </c>
      <c r="M6422" t="str">
        <f>_xlfn.XLOOKUP(Pipeline_tbl[[#This Row],[Rep_ID]],Dim_Reps!A:A,Dim_Reps!K:K)</f>
        <v>USD</v>
      </c>
      <c r="N6422" s="33">
        <f>(_xlfn.XLOOKUP(Pipeline_tbl[[#This Row],[Rate_Code_Generalized]],Lookups!A:A,Lookups!B:B))*Pipeline_tbl[[#This Row],[Pipeline_Amount_USD]]</f>
        <v>29456.789999999997</v>
      </c>
      <c r="O6422" t="str">
        <f>_xlfn.XLOOKUP(Pipeline_tbl[[#This Row],[Rep_ID]],Dim_Reps!A:A,Dim_Reps!B:B)</f>
        <v>Taylor Adler</v>
      </c>
      <c r="P6422" t="str">
        <f>_xlfn.XLOOKUP(Pipeline_tbl[[#This Row],[Rep_ID]],Dim_Reps!A:A,Dim_Reps!C:C)</f>
        <v>Senior Enterprise AE</v>
      </c>
      <c r="Q6422" t="str">
        <f>_xlfn.XLOOKUP(Pipeline_tbl[[#This Row],[Rep_ID]],Dim_Reps!A:A,Dim_Reps!D:D)</f>
        <v>Strategic</v>
      </c>
      <c r="R6422" t="str">
        <f>_xlfn.XLOOKUP(Pipeline_tbl[[#This Row],[Rep_ID]],Dim_Reps!A:A,Dim_Reps!E:E)</f>
        <v>NAMER</v>
      </c>
      <c r="S6422" t="str">
        <f>_xlfn.XLOOKUP(Pipeline_tbl[[#This Row],[Created_Date]],Dim_Date!A:A,Dim_Date!H:H)</f>
        <v>Apr 2025</v>
      </c>
      <c r="T6422" t="str">
        <f>IF(Pipeline_tbl[[#This Row],[Closed_Date]]=0,"",(_xlfn.XLOOKUP(Pipeline_tbl[[#This Row],[Closed_Date]],Dim_Date!A:A,Dim_Date!H:H)))</f>
        <v>Jul 2025</v>
      </c>
      <c r="U6422">
        <f>IF(Pipeline_tbl[[#This Row],[Closed_Date]]=0,"",Pipeline_tbl[[#This Row],[Closed_Date]]-Pipeline_tbl[[#This Row],[Created_Date]])</f>
        <v>90</v>
      </c>
    </row>
    <row r="6423" spans="1:21" ht="15" customHeight="1" x14ac:dyDescent="0.2">
      <c r="A6423" t="s">
        <v>6729</v>
      </c>
      <c r="B6423" t="s">
        <v>181</v>
      </c>
      <c r="C6423" t="s">
        <v>53</v>
      </c>
      <c r="D6423" s="49">
        <v>45775</v>
      </c>
      <c r="E6423" s="49">
        <v>45780</v>
      </c>
      <c r="F6423" s="49">
        <v>45789</v>
      </c>
      <c r="G6423" s="49">
        <v>45803</v>
      </c>
      <c r="I6423" s="49">
        <v>45822</v>
      </c>
      <c r="J6423" t="s">
        <v>49</v>
      </c>
      <c r="K6423" s="33">
        <v>25100</v>
      </c>
      <c r="L6423" t="s">
        <v>60</v>
      </c>
      <c r="M6423" t="str">
        <f>_xlfn.XLOOKUP(Pipeline_tbl[[#This Row],[Rep_ID]],Dim_Reps!A:A,Dim_Reps!K:K)</f>
        <v>USD</v>
      </c>
      <c r="N6423" s="33">
        <f>(_xlfn.XLOOKUP(Pipeline_tbl[[#This Row],[Rate_Code_Generalized]],Lookups!A:A,Lookups!B:B))*Pipeline_tbl[[#This Row],[Pipeline_Amount_USD]]</f>
        <v>29223.929999999997</v>
      </c>
      <c r="O6423" t="str">
        <f>_xlfn.XLOOKUP(Pipeline_tbl[[#This Row],[Rep_ID]],Dim_Reps!A:A,Dim_Reps!B:B)</f>
        <v>Milo Weber</v>
      </c>
      <c r="P6423" t="str">
        <f>_xlfn.XLOOKUP(Pipeline_tbl[[#This Row],[Rep_ID]],Dim_Reps!A:A,Dim_Reps!C:C)</f>
        <v>Enterprise AE</v>
      </c>
      <c r="Q6423" t="str">
        <f>_xlfn.XLOOKUP(Pipeline_tbl[[#This Row],[Rep_ID]],Dim_Reps!A:A,Dim_Reps!D:D)</f>
        <v>Enterprise</v>
      </c>
      <c r="R6423" t="str">
        <f>_xlfn.XLOOKUP(Pipeline_tbl[[#This Row],[Rep_ID]],Dim_Reps!A:A,Dim_Reps!E:E)</f>
        <v>NAMER</v>
      </c>
      <c r="S6423" t="str">
        <f>_xlfn.XLOOKUP(Pipeline_tbl[[#This Row],[Created_Date]],Dim_Date!A:A,Dim_Date!H:H)</f>
        <v>Apr 2025</v>
      </c>
      <c r="T6423" t="str">
        <f>IF(Pipeline_tbl[[#This Row],[Closed_Date]]=0,"",(_xlfn.XLOOKUP(Pipeline_tbl[[#This Row],[Closed_Date]],Dim_Date!A:A,Dim_Date!H:H)))</f>
        <v>Jun 2025</v>
      </c>
      <c r="U6423">
        <f>IF(Pipeline_tbl[[#This Row],[Closed_Date]]=0,"",Pipeline_tbl[[#This Row],[Closed_Date]]-Pipeline_tbl[[#This Row],[Created_Date]])</f>
        <v>47</v>
      </c>
    </row>
    <row r="6424" spans="1:21" ht="15" customHeight="1" x14ac:dyDescent="0.2">
      <c r="A6424" t="s">
        <v>6730</v>
      </c>
      <c r="B6424" t="s">
        <v>181</v>
      </c>
      <c r="C6424" t="s">
        <v>53</v>
      </c>
      <c r="D6424" s="49">
        <v>45764</v>
      </c>
      <c r="E6424" s="49">
        <v>45770</v>
      </c>
      <c r="F6424" s="49">
        <v>45783</v>
      </c>
      <c r="I6424" s="49">
        <v>45828</v>
      </c>
      <c r="J6424" t="s">
        <v>49</v>
      </c>
      <c r="K6424" s="33">
        <v>36400</v>
      </c>
      <c r="L6424" t="s">
        <v>64</v>
      </c>
      <c r="M6424" t="str">
        <f>_xlfn.XLOOKUP(Pipeline_tbl[[#This Row],[Rep_ID]],Dim_Reps!A:A,Dim_Reps!K:K)</f>
        <v>USD</v>
      </c>
      <c r="N6424" s="33">
        <f>(_xlfn.XLOOKUP(Pipeline_tbl[[#This Row],[Rate_Code_Generalized]],Lookups!A:A,Lookups!B:B))*Pipeline_tbl[[#This Row],[Pipeline_Amount_USD]]</f>
        <v>42380.52</v>
      </c>
      <c r="O6424" t="str">
        <f>_xlfn.XLOOKUP(Pipeline_tbl[[#This Row],[Rep_ID]],Dim_Reps!A:A,Dim_Reps!B:B)</f>
        <v>Milo Weber</v>
      </c>
      <c r="P6424" t="str">
        <f>_xlfn.XLOOKUP(Pipeline_tbl[[#This Row],[Rep_ID]],Dim_Reps!A:A,Dim_Reps!C:C)</f>
        <v>Enterprise AE</v>
      </c>
      <c r="Q6424" t="str">
        <f>_xlfn.XLOOKUP(Pipeline_tbl[[#This Row],[Rep_ID]],Dim_Reps!A:A,Dim_Reps!D:D)</f>
        <v>Enterprise</v>
      </c>
      <c r="R6424" t="str">
        <f>_xlfn.XLOOKUP(Pipeline_tbl[[#This Row],[Rep_ID]],Dim_Reps!A:A,Dim_Reps!E:E)</f>
        <v>NAMER</v>
      </c>
      <c r="S6424" t="str">
        <f>_xlfn.XLOOKUP(Pipeline_tbl[[#This Row],[Created_Date]],Dim_Date!A:A,Dim_Date!H:H)</f>
        <v>Apr 2025</v>
      </c>
      <c r="T6424" t="str">
        <f>IF(Pipeline_tbl[[#This Row],[Closed_Date]]=0,"",(_xlfn.XLOOKUP(Pipeline_tbl[[#This Row],[Closed_Date]],Dim_Date!A:A,Dim_Date!H:H)))</f>
        <v>Jun 2025</v>
      </c>
      <c r="U6424">
        <f>IF(Pipeline_tbl[[#This Row],[Closed_Date]]=0,"",Pipeline_tbl[[#This Row],[Closed_Date]]-Pipeline_tbl[[#This Row],[Created_Date]])</f>
        <v>64</v>
      </c>
    </row>
    <row r="6425" spans="1:21" ht="15" customHeight="1" x14ac:dyDescent="0.2">
      <c r="A6425" t="s">
        <v>6731</v>
      </c>
      <c r="B6425" t="s">
        <v>183</v>
      </c>
      <c r="C6425" t="s">
        <v>52</v>
      </c>
      <c r="D6425" s="49">
        <v>45764</v>
      </c>
      <c r="E6425" s="49">
        <v>45769</v>
      </c>
      <c r="F6425" s="49">
        <v>45779</v>
      </c>
      <c r="I6425" s="49">
        <v>45814</v>
      </c>
      <c r="J6425" t="s">
        <v>49</v>
      </c>
      <c r="K6425" s="33">
        <v>26300</v>
      </c>
      <c r="L6425" t="s">
        <v>61</v>
      </c>
      <c r="M6425" t="str">
        <f>_xlfn.XLOOKUP(Pipeline_tbl[[#This Row],[Rep_ID]],Dim_Reps!A:A,Dim_Reps!K:K)</f>
        <v>EUR</v>
      </c>
      <c r="N6425" s="33">
        <f>(_xlfn.XLOOKUP(Pipeline_tbl[[#This Row],[Rate_Code_Generalized]],Lookups!A:A,Lookups!B:B))*Pipeline_tbl[[#This Row],[Pipeline_Amount_USD]]</f>
        <v>26300</v>
      </c>
      <c r="O6425" t="str">
        <f>_xlfn.XLOOKUP(Pipeline_tbl[[#This Row],[Rep_ID]],Dim_Reps!A:A,Dim_Reps!B:B)</f>
        <v>Sam Schmidt</v>
      </c>
      <c r="P6425" t="str">
        <f>_xlfn.XLOOKUP(Pipeline_tbl[[#This Row],[Rep_ID]],Dim_Reps!A:A,Dim_Reps!C:C)</f>
        <v>Enterprise AE</v>
      </c>
      <c r="Q6425" t="str">
        <f>_xlfn.XLOOKUP(Pipeline_tbl[[#This Row],[Rep_ID]],Dim_Reps!A:A,Dim_Reps!D:D)</f>
        <v>Enterprise</v>
      </c>
      <c r="R6425" t="str">
        <f>_xlfn.XLOOKUP(Pipeline_tbl[[#This Row],[Rep_ID]],Dim_Reps!A:A,Dim_Reps!E:E)</f>
        <v>EMEA</v>
      </c>
      <c r="S6425" t="str">
        <f>_xlfn.XLOOKUP(Pipeline_tbl[[#This Row],[Created_Date]],Dim_Date!A:A,Dim_Date!H:H)</f>
        <v>Apr 2025</v>
      </c>
      <c r="T6425" t="str">
        <f>IF(Pipeline_tbl[[#This Row],[Closed_Date]]=0,"",(_xlfn.XLOOKUP(Pipeline_tbl[[#This Row],[Closed_Date]],Dim_Date!A:A,Dim_Date!H:H)))</f>
        <v>Jun 2025</v>
      </c>
      <c r="U6425">
        <f>IF(Pipeline_tbl[[#This Row],[Closed_Date]]=0,"",Pipeline_tbl[[#This Row],[Closed_Date]]-Pipeline_tbl[[#This Row],[Created_Date]])</f>
        <v>50</v>
      </c>
    </row>
    <row r="6426" spans="1:21" ht="15" customHeight="1" x14ac:dyDescent="0.2">
      <c r="A6426" t="s">
        <v>6732</v>
      </c>
      <c r="B6426" t="s">
        <v>185</v>
      </c>
      <c r="C6426" t="s">
        <v>56</v>
      </c>
      <c r="D6426" s="49">
        <v>45751</v>
      </c>
      <c r="E6426" s="49">
        <v>45760</v>
      </c>
      <c r="F6426" s="49">
        <v>45777</v>
      </c>
      <c r="G6426" s="49">
        <v>45803</v>
      </c>
      <c r="H6426" s="49">
        <v>45824</v>
      </c>
      <c r="I6426" s="49">
        <v>45837</v>
      </c>
      <c r="J6426" t="s">
        <v>47</v>
      </c>
      <c r="K6426" s="33">
        <v>29600</v>
      </c>
      <c r="M6426" t="str">
        <f>_xlfn.XLOOKUP(Pipeline_tbl[[#This Row],[Rep_ID]],Dim_Reps!A:A,Dim_Reps!K:K)</f>
        <v>MXN</v>
      </c>
      <c r="N6426" s="33">
        <f>(_xlfn.XLOOKUP(Pipeline_tbl[[#This Row],[Rate_Code_Generalized]],Lookups!A:A,Lookups!B:B))*Pipeline_tbl[[#This Row],[Pipeline_Amount_USD]]</f>
        <v>584087.92000000004</v>
      </c>
      <c r="O6426" t="str">
        <f>_xlfn.XLOOKUP(Pipeline_tbl[[#This Row],[Rep_ID]],Dim_Reps!A:A,Dim_Reps!B:B)</f>
        <v>Noah Kim</v>
      </c>
      <c r="P6426" t="str">
        <f>_xlfn.XLOOKUP(Pipeline_tbl[[#This Row],[Rep_ID]],Dim_Reps!A:A,Dim_Reps!C:C)</f>
        <v>Enterprise AE</v>
      </c>
      <c r="Q6426" t="str">
        <f>_xlfn.XLOOKUP(Pipeline_tbl[[#This Row],[Rep_ID]],Dim_Reps!A:A,Dim_Reps!D:D)</f>
        <v>Enterprise</v>
      </c>
      <c r="R6426" t="str">
        <f>_xlfn.XLOOKUP(Pipeline_tbl[[#This Row],[Rep_ID]],Dim_Reps!A:A,Dim_Reps!E:E)</f>
        <v>LATAM</v>
      </c>
      <c r="S6426" t="str">
        <f>_xlfn.XLOOKUP(Pipeline_tbl[[#This Row],[Created_Date]],Dim_Date!A:A,Dim_Date!H:H)</f>
        <v>Apr 2025</v>
      </c>
      <c r="T6426" t="str">
        <f>IF(Pipeline_tbl[[#This Row],[Closed_Date]]=0,"",(_xlfn.XLOOKUP(Pipeline_tbl[[#This Row],[Closed_Date]],Dim_Date!A:A,Dim_Date!H:H)))</f>
        <v>Jun 2025</v>
      </c>
      <c r="U6426">
        <f>IF(Pipeline_tbl[[#This Row],[Closed_Date]]=0,"",Pipeline_tbl[[#This Row],[Closed_Date]]-Pipeline_tbl[[#This Row],[Created_Date]])</f>
        <v>86</v>
      </c>
    </row>
    <row r="6427" spans="1:21" ht="15" customHeight="1" x14ac:dyDescent="0.2">
      <c r="A6427" t="s">
        <v>6733</v>
      </c>
      <c r="B6427" t="s">
        <v>185</v>
      </c>
      <c r="C6427" t="s">
        <v>52</v>
      </c>
      <c r="D6427" s="49">
        <v>45775</v>
      </c>
      <c r="E6427" s="49">
        <v>45780</v>
      </c>
      <c r="F6427" s="49">
        <v>45791</v>
      </c>
      <c r="G6427" s="49">
        <v>45807</v>
      </c>
      <c r="H6427" s="49">
        <v>45821</v>
      </c>
      <c r="I6427" s="49">
        <v>45829</v>
      </c>
      <c r="J6427" t="s">
        <v>49</v>
      </c>
      <c r="K6427" s="33">
        <v>32300</v>
      </c>
      <c r="L6427" t="s">
        <v>61</v>
      </c>
      <c r="M6427" t="str">
        <f>_xlfn.XLOOKUP(Pipeline_tbl[[#This Row],[Rep_ID]],Dim_Reps!A:A,Dim_Reps!K:K)</f>
        <v>MXN</v>
      </c>
      <c r="N6427" s="33">
        <f>(_xlfn.XLOOKUP(Pipeline_tbl[[#This Row],[Rate_Code_Generalized]],Lookups!A:A,Lookups!B:B))*Pipeline_tbl[[#This Row],[Pipeline_Amount_USD]]</f>
        <v>637366.21000000008</v>
      </c>
      <c r="O6427" t="str">
        <f>_xlfn.XLOOKUP(Pipeline_tbl[[#This Row],[Rep_ID]],Dim_Reps!A:A,Dim_Reps!B:B)</f>
        <v>Noah Kim</v>
      </c>
      <c r="P6427" t="str">
        <f>_xlfn.XLOOKUP(Pipeline_tbl[[#This Row],[Rep_ID]],Dim_Reps!A:A,Dim_Reps!C:C)</f>
        <v>Enterprise AE</v>
      </c>
      <c r="Q6427" t="str">
        <f>_xlfn.XLOOKUP(Pipeline_tbl[[#This Row],[Rep_ID]],Dim_Reps!A:A,Dim_Reps!D:D)</f>
        <v>Enterprise</v>
      </c>
      <c r="R6427" t="str">
        <f>_xlfn.XLOOKUP(Pipeline_tbl[[#This Row],[Rep_ID]],Dim_Reps!A:A,Dim_Reps!E:E)</f>
        <v>LATAM</v>
      </c>
      <c r="S6427" t="str">
        <f>_xlfn.XLOOKUP(Pipeline_tbl[[#This Row],[Created_Date]],Dim_Date!A:A,Dim_Date!H:H)</f>
        <v>Apr 2025</v>
      </c>
      <c r="T6427" t="str">
        <f>IF(Pipeline_tbl[[#This Row],[Closed_Date]]=0,"",(_xlfn.XLOOKUP(Pipeline_tbl[[#This Row],[Closed_Date]],Dim_Date!A:A,Dim_Date!H:H)))</f>
        <v>Jun 2025</v>
      </c>
      <c r="U6427">
        <f>IF(Pipeline_tbl[[#This Row],[Closed_Date]]=0,"",Pipeline_tbl[[#This Row],[Closed_Date]]-Pipeline_tbl[[#This Row],[Created_Date]])</f>
        <v>54</v>
      </c>
    </row>
    <row r="6428" spans="1:21" ht="15" customHeight="1" x14ac:dyDescent="0.2">
      <c r="A6428" t="s">
        <v>6734</v>
      </c>
      <c r="B6428" t="s">
        <v>185</v>
      </c>
      <c r="C6428" t="s">
        <v>55</v>
      </c>
      <c r="D6428" s="49">
        <v>45774</v>
      </c>
      <c r="E6428" s="49">
        <v>45778</v>
      </c>
      <c r="F6428" s="49">
        <v>45787</v>
      </c>
      <c r="G6428" s="49">
        <v>45799</v>
      </c>
      <c r="H6428" s="49">
        <v>45810</v>
      </c>
      <c r="I6428" s="49">
        <v>45816</v>
      </c>
      <c r="J6428" t="s">
        <v>49</v>
      </c>
      <c r="K6428" s="33">
        <v>26600</v>
      </c>
      <c r="L6428" t="s">
        <v>61</v>
      </c>
      <c r="M6428" t="str">
        <f>_xlfn.XLOOKUP(Pipeline_tbl[[#This Row],[Rep_ID]],Dim_Reps!A:A,Dim_Reps!K:K)</f>
        <v>MXN</v>
      </c>
      <c r="N6428" s="33">
        <f>(_xlfn.XLOOKUP(Pipeline_tbl[[#This Row],[Rate_Code_Generalized]],Lookups!A:A,Lookups!B:B))*Pipeline_tbl[[#This Row],[Pipeline_Amount_USD]]</f>
        <v>524889.82000000007</v>
      </c>
      <c r="O6428" t="str">
        <f>_xlfn.XLOOKUP(Pipeline_tbl[[#This Row],[Rep_ID]],Dim_Reps!A:A,Dim_Reps!B:B)</f>
        <v>Noah Kim</v>
      </c>
      <c r="P6428" t="str">
        <f>_xlfn.XLOOKUP(Pipeline_tbl[[#This Row],[Rep_ID]],Dim_Reps!A:A,Dim_Reps!C:C)</f>
        <v>Enterprise AE</v>
      </c>
      <c r="Q6428" t="str">
        <f>_xlfn.XLOOKUP(Pipeline_tbl[[#This Row],[Rep_ID]],Dim_Reps!A:A,Dim_Reps!D:D)</f>
        <v>Enterprise</v>
      </c>
      <c r="R6428" t="str">
        <f>_xlfn.XLOOKUP(Pipeline_tbl[[#This Row],[Rep_ID]],Dim_Reps!A:A,Dim_Reps!E:E)</f>
        <v>LATAM</v>
      </c>
      <c r="S6428" t="str">
        <f>_xlfn.XLOOKUP(Pipeline_tbl[[#This Row],[Created_Date]],Dim_Date!A:A,Dim_Date!H:H)</f>
        <v>Apr 2025</v>
      </c>
      <c r="T6428" t="str">
        <f>IF(Pipeline_tbl[[#This Row],[Closed_Date]]=0,"",(_xlfn.XLOOKUP(Pipeline_tbl[[#This Row],[Closed_Date]],Dim_Date!A:A,Dim_Date!H:H)))</f>
        <v>Jun 2025</v>
      </c>
      <c r="U6428">
        <f>IF(Pipeline_tbl[[#This Row],[Closed_Date]]=0,"",Pipeline_tbl[[#This Row],[Closed_Date]]-Pipeline_tbl[[#This Row],[Created_Date]])</f>
        <v>42</v>
      </c>
    </row>
    <row r="6429" spans="1:21" ht="15" customHeight="1" x14ac:dyDescent="0.2">
      <c r="A6429" t="s">
        <v>6735</v>
      </c>
      <c r="B6429" t="s">
        <v>185</v>
      </c>
      <c r="C6429" t="s">
        <v>53</v>
      </c>
      <c r="D6429" s="49">
        <v>45762</v>
      </c>
      <c r="E6429" s="49">
        <v>45769</v>
      </c>
      <c r="F6429" s="49">
        <v>45782</v>
      </c>
      <c r="G6429" s="49">
        <v>45802</v>
      </c>
      <c r="H6429" s="49">
        <v>45818</v>
      </c>
      <c r="I6429" s="49">
        <v>45828</v>
      </c>
      <c r="J6429" t="s">
        <v>49</v>
      </c>
      <c r="K6429" s="33">
        <v>53000</v>
      </c>
      <c r="L6429" t="s">
        <v>60</v>
      </c>
      <c r="M6429" t="str">
        <f>_xlfn.XLOOKUP(Pipeline_tbl[[#This Row],[Rep_ID]],Dim_Reps!A:A,Dim_Reps!K:K)</f>
        <v>MXN</v>
      </c>
      <c r="N6429" s="33">
        <f>(_xlfn.XLOOKUP(Pipeline_tbl[[#This Row],[Rate_Code_Generalized]],Lookups!A:A,Lookups!B:B))*Pipeline_tbl[[#This Row],[Pipeline_Amount_USD]]</f>
        <v>1045833.1000000001</v>
      </c>
      <c r="O6429" t="str">
        <f>_xlfn.XLOOKUP(Pipeline_tbl[[#This Row],[Rep_ID]],Dim_Reps!A:A,Dim_Reps!B:B)</f>
        <v>Noah Kim</v>
      </c>
      <c r="P6429" t="str">
        <f>_xlfn.XLOOKUP(Pipeline_tbl[[#This Row],[Rep_ID]],Dim_Reps!A:A,Dim_Reps!C:C)</f>
        <v>Enterprise AE</v>
      </c>
      <c r="Q6429" t="str">
        <f>_xlfn.XLOOKUP(Pipeline_tbl[[#This Row],[Rep_ID]],Dim_Reps!A:A,Dim_Reps!D:D)</f>
        <v>Enterprise</v>
      </c>
      <c r="R6429" t="str">
        <f>_xlfn.XLOOKUP(Pipeline_tbl[[#This Row],[Rep_ID]],Dim_Reps!A:A,Dim_Reps!E:E)</f>
        <v>LATAM</v>
      </c>
      <c r="S6429" t="str">
        <f>_xlfn.XLOOKUP(Pipeline_tbl[[#This Row],[Created_Date]],Dim_Date!A:A,Dim_Date!H:H)</f>
        <v>Apr 2025</v>
      </c>
      <c r="T6429" t="str">
        <f>IF(Pipeline_tbl[[#This Row],[Closed_Date]]=0,"",(_xlfn.XLOOKUP(Pipeline_tbl[[#This Row],[Closed_Date]],Dim_Date!A:A,Dim_Date!H:H)))</f>
        <v>Jun 2025</v>
      </c>
      <c r="U6429">
        <f>IF(Pipeline_tbl[[#This Row],[Closed_Date]]=0,"",Pipeline_tbl[[#This Row],[Closed_Date]]-Pipeline_tbl[[#This Row],[Created_Date]])</f>
        <v>66</v>
      </c>
    </row>
    <row r="6430" spans="1:21" ht="15" customHeight="1" x14ac:dyDescent="0.2">
      <c r="A6430" t="s">
        <v>6736</v>
      </c>
      <c r="B6430" t="s">
        <v>188</v>
      </c>
      <c r="C6430" t="s">
        <v>52</v>
      </c>
      <c r="D6430" s="49">
        <v>45763</v>
      </c>
      <c r="E6430" s="49">
        <v>45768</v>
      </c>
      <c r="F6430" s="49">
        <v>45777</v>
      </c>
      <c r="G6430" s="49">
        <v>45791</v>
      </c>
      <c r="H6430" s="49">
        <v>45803</v>
      </c>
      <c r="I6430" s="49">
        <v>45810</v>
      </c>
      <c r="J6430" t="s">
        <v>47</v>
      </c>
      <c r="K6430" s="33">
        <v>28200</v>
      </c>
      <c r="M6430" t="str">
        <f>_xlfn.XLOOKUP(Pipeline_tbl[[#This Row],[Rep_ID]],Dim_Reps!A:A,Dim_Reps!K:K)</f>
        <v>EUR</v>
      </c>
      <c r="N6430" s="33">
        <f>(_xlfn.XLOOKUP(Pipeline_tbl[[#This Row],[Rate_Code_Generalized]],Lookups!A:A,Lookups!B:B))*Pipeline_tbl[[#This Row],[Pipeline_Amount_USD]]</f>
        <v>28200</v>
      </c>
      <c r="O6430" t="str">
        <f>_xlfn.XLOOKUP(Pipeline_tbl[[#This Row],[Rep_ID]],Dim_Reps!A:A,Dim_Reps!B:B)</f>
        <v>Jamie Santos</v>
      </c>
      <c r="P6430" t="str">
        <f>_xlfn.XLOOKUP(Pipeline_tbl[[#This Row],[Rep_ID]],Dim_Reps!A:A,Dim_Reps!C:C)</f>
        <v>Enterprise AE</v>
      </c>
      <c r="Q6430" t="str">
        <f>_xlfn.XLOOKUP(Pipeline_tbl[[#This Row],[Rep_ID]],Dim_Reps!A:A,Dim_Reps!D:D)</f>
        <v>Enterprise</v>
      </c>
      <c r="R6430" t="str">
        <f>_xlfn.XLOOKUP(Pipeline_tbl[[#This Row],[Rep_ID]],Dim_Reps!A:A,Dim_Reps!E:E)</f>
        <v>APAC</v>
      </c>
      <c r="S6430" t="str">
        <f>_xlfn.XLOOKUP(Pipeline_tbl[[#This Row],[Created_Date]],Dim_Date!A:A,Dim_Date!H:H)</f>
        <v>Apr 2025</v>
      </c>
      <c r="T6430" t="str">
        <f>IF(Pipeline_tbl[[#This Row],[Closed_Date]]=0,"",(_xlfn.XLOOKUP(Pipeline_tbl[[#This Row],[Closed_Date]],Dim_Date!A:A,Dim_Date!H:H)))</f>
        <v>Jun 2025</v>
      </c>
      <c r="U6430">
        <f>IF(Pipeline_tbl[[#This Row],[Closed_Date]]=0,"",Pipeline_tbl[[#This Row],[Closed_Date]]-Pipeline_tbl[[#This Row],[Created_Date]])</f>
        <v>47</v>
      </c>
    </row>
    <row r="6431" spans="1:21" ht="15" customHeight="1" x14ac:dyDescent="0.2">
      <c r="A6431" t="s">
        <v>6737</v>
      </c>
      <c r="B6431" t="s">
        <v>188</v>
      </c>
      <c r="C6431" t="s">
        <v>52</v>
      </c>
      <c r="D6431" s="49">
        <v>45758</v>
      </c>
      <c r="E6431" s="49">
        <v>45765</v>
      </c>
      <c r="F6431" s="49">
        <v>45779</v>
      </c>
      <c r="G6431" s="49">
        <v>45801</v>
      </c>
      <c r="I6431" s="49">
        <v>45829</v>
      </c>
      <c r="J6431" t="s">
        <v>49</v>
      </c>
      <c r="K6431" s="33">
        <v>52700</v>
      </c>
      <c r="L6431" t="s">
        <v>63</v>
      </c>
      <c r="M6431" t="str">
        <f>_xlfn.XLOOKUP(Pipeline_tbl[[#This Row],[Rep_ID]],Dim_Reps!A:A,Dim_Reps!K:K)</f>
        <v>EUR</v>
      </c>
      <c r="N6431" s="33">
        <f>(_xlfn.XLOOKUP(Pipeline_tbl[[#This Row],[Rate_Code_Generalized]],Lookups!A:A,Lookups!B:B))*Pipeline_tbl[[#This Row],[Pipeline_Amount_USD]]</f>
        <v>52700</v>
      </c>
      <c r="O6431" t="str">
        <f>_xlfn.XLOOKUP(Pipeline_tbl[[#This Row],[Rep_ID]],Dim_Reps!A:A,Dim_Reps!B:B)</f>
        <v>Jamie Santos</v>
      </c>
      <c r="P6431" t="str">
        <f>_xlfn.XLOOKUP(Pipeline_tbl[[#This Row],[Rep_ID]],Dim_Reps!A:A,Dim_Reps!C:C)</f>
        <v>Enterprise AE</v>
      </c>
      <c r="Q6431" t="str">
        <f>_xlfn.XLOOKUP(Pipeline_tbl[[#This Row],[Rep_ID]],Dim_Reps!A:A,Dim_Reps!D:D)</f>
        <v>Enterprise</v>
      </c>
      <c r="R6431" t="str">
        <f>_xlfn.XLOOKUP(Pipeline_tbl[[#This Row],[Rep_ID]],Dim_Reps!A:A,Dim_Reps!E:E)</f>
        <v>APAC</v>
      </c>
      <c r="S6431" t="str">
        <f>_xlfn.XLOOKUP(Pipeline_tbl[[#This Row],[Created_Date]],Dim_Date!A:A,Dim_Date!H:H)</f>
        <v>Apr 2025</v>
      </c>
      <c r="T6431" t="str">
        <f>IF(Pipeline_tbl[[#This Row],[Closed_Date]]=0,"",(_xlfn.XLOOKUP(Pipeline_tbl[[#This Row],[Closed_Date]],Dim_Date!A:A,Dim_Date!H:H)))</f>
        <v>Jun 2025</v>
      </c>
      <c r="U6431">
        <f>IF(Pipeline_tbl[[#This Row],[Closed_Date]]=0,"",Pipeline_tbl[[#This Row],[Closed_Date]]-Pipeline_tbl[[#This Row],[Created_Date]])</f>
        <v>71</v>
      </c>
    </row>
    <row r="6432" spans="1:21" ht="15" customHeight="1" x14ac:dyDescent="0.2">
      <c r="A6432" t="s">
        <v>6738</v>
      </c>
      <c r="B6432" t="s">
        <v>188</v>
      </c>
      <c r="C6432" t="s">
        <v>54</v>
      </c>
      <c r="D6432" s="49">
        <v>45777</v>
      </c>
      <c r="E6432" s="49">
        <v>45782</v>
      </c>
      <c r="F6432" s="49">
        <v>45792</v>
      </c>
      <c r="G6432" s="49">
        <v>45807</v>
      </c>
      <c r="H6432" s="49">
        <v>45820</v>
      </c>
      <c r="I6432" s="49">
        <v>45827</v>
      </c>
      <c r="J6432" t="s">
        <v>49</v>
      </c>
      <c r="K6432" s="33">
        <v>25200</v>
      </c>
      <c r="L6432" t="s">
        <v>64</v>
      </c>
      <c r="M6432" t="str">
        <f>_xlfn.XLOOKUP(Pipeline_tbl[[#This Row],[Rep_ID]],Dim_Reps!A:A,Dim_Reps!K:K)</f>
        <v>EUR</v>
      </c>
      <c r="N6432" s="33">
        <f>(_xlfn.XLOOKUP(Pipeline_tbl[[#This Row],[Rate_Code_Generalized]],Lookups!A:A,Lookups!B:B))*Pipeline_tbl[[#This Row],[Pipeline_Amount_USD]]</f>
        <v>25200</v>
      </c>
      <c r="O6432" t="str">
        <f>_xlfn.XLOOKUP(Pipeline_tbl[[#This Row],[Rep_ID]],Dim_Reps!A:A,Dim_Reps!B:B)</f>
        <v>Jamie Santos</v>
      </c>
      <c r="P6432" t="str">
        <f>_xlfn.XLOOKUP(Pipeline_tbl[[#This Row],[Rep_ID]],Dim_Reps!A:A,Dim_Reps!C:C)</f>
        <v>Enterprise AE</v>
      </c>
      <c r="Q6432" t="str">
        <f>_xlfn.XLOOKUP(Pipeline_tbl[[#This Row],[Rep_ID]],Dim_Reps!A:A,Dim_Reps!D:D)</f>
        <v>Enterprise</v>
      </c>
      <c r="R6432" t="str">
        <f>_xlfn.XLOOKUP(Pipeline_tbl[[#This Row],[Rep_ID]],Dim_Reps!A:A,Dim_Reps!E:E)</f>
        <v>APAC</v>
      </c>
      <c r="S6432" t="str">
        <f>_xlfn.XLOOKUP(Pipeline_tbl[[#This Row],[Created_Date]],Dim_Date!A:A,Dim_Date!H:H)</f>
        <v>Apr 2025</v>
      </c>
      <c r="T6432" t="str">
        <f>IF(Pipeline_tbl[[#This Row],[Closed_Date]]=0,"",(_xlfn.XLOOKUP(Pipeline_tbl[[#This Row],[Closed_Date]],Dim_Date!A:A,Dim_Date!H:H)))</f>
        <v>Jun 2025</v>
      </c>
      <c r="U6432">
        <f>IF(Pipeline_tbl[[#This Row],[Closed_Date]]=0,"",Pipeline_tbl[[#This Row],[Closed_Date]]-Pipeline_tbl[[#This Row],[Created_Date]])</f>
        <v>50</v>
      </c>
    </row>
    <row r="6433" spans="1:21" ht="15" customHeight="1" x14ac:dyDescent="0.2">
      <c r="A6433" t="s">
        <v>6739</v>
      </c>
      <c r="B6433" t="s">
        <v>188</v>
      </c>
      <c r="C6433" t="s">
        <v>56</v>
      </c>
      <c r="D6433" s="49">
        <v>45756</v>
      </c>
      <c r="E6433" s="49">
        <v>45762</v>
      </c>
      <c r="F6433" s="49">
        <v>45775</v>
      </c>
      <c r="G6433" s="49">
        <v>45793</v>
      </c>
      <c r="I6433" s="49">
        <v>45818</v>
      </c>
      <c r="J6433" t="s">
        <v>49</v>
      </c>
      <c r="K6433" s="33">
        <v>45800</v>
      </c>
      <c r="L6433" t="s">
        <v>62</v>
      </c>
      <c r="M6433" t="str">
        <f>_xlfn.XLOOKUP(Pipeline_tbl[[#This Row],[Rep_ID]],Dim_Reps!A:A,Dim_Reps!K:K)</f>
        <v>EUR</v>
      </c>
      <c r="N6433" s="33">
        <f>(_xlfn.XLOOKUP(Pipeline_tbl[[#This Row],[Rate_Code_Generalized]],Lookups!A:A,Lookups!B:B))*Pipeline_tbl[[#This Row],[Pipeline_Amount_USD]]</f>
        <v>45800</v>
      </c>
      <c r="O6433" t="str">
        <f>_xlfn.XLOOKUP(Pipeline_tbl[[#This Row],[Rep_ID]],Dim_Reps!A:A,Dim_Reps!B:B)</f>
        <v>Jamie Santos</v>
      </c>
      <c r="P6433" t="str">
        <f>_xlfn.XLOOKUP(Pipeline_tbl[[#This Row],[Rep_ID]],Dim_Reps!A:A,Dim_Reps!C:C)</f>
        <v>Enterprise AE</v>
      </c>
      <c r="Q6433" t="str">
        <f>_xlfn.XLOOKUP(Pipeline_tbl[[#This Row],[Rep_ID]],Dim_Reps!A:A,Dim_Reps!D:D)</f>
        <v>Enterprise</v>
      </c>
      <c r="R6433" t="str">
        <f>_xlfn.XLOOKUP(Pipeline_tbl[[#This Row],[Rep_ID]],Dim_Reps!A:A,Dim_Reps!E:E)</f>
        <v>APAC</v>
      </c>
      <c r="S6433" t="str">
        <f>_xlfn.XLOOKUP(Pipeline_tbl[[#This Row],[Created_Date]],Dim_Date!A:A,Dim_Date!H:H)</f>
        <v>Apr 2025</v>
      </c>
      <c r="T6433" t="str">
        <f>IF(Pipeline_tbl[[#This Row],[Closed_Date]]=0,"",(_xlfn.XLOOKUP(Pipeline_tbl[[#This Row],[Closed_Date]],Dim_Date!A:A,Dim_Date!H:H)))</f>
        <v>Jun 2025</v>
      </c>
      <c r="U6433">
        <f>IF(Pipeline_tbl[[#This Row],[Closed_Date]]=0,"",Pipeline_tbl[[#This Row],[Closed_Date]]-Pipeline_tbl[[#This Row],[Created_Date]])</f>
        <v>62</v>
      </c>
    </row>
    <row r="6434" spans="1:21" ht="15" customHeight="1" x14ac:dyDescent="0.2">
      <c r="A6434" t="s">
        <v>6740</v>
      </c>
      <c r="B6434" t="s">
        <v>259</v>
      </c>
      <c r="C6434" t="s">
        <v>53</v>
      </c>
      <c r="D6434" s="49">
        <v>45771</v>
      </c>
      <c r="E6434" s="49">
        <v>45776</v>
      </c>
      <c r="F6434" s="49">
        <v>45785</v>
      </c>
      <c r="G6434" s="49">
        <v>45800</v>
      </c>
      <c r="H6434" s="49">
        <v>45812</v>
      </c>
      <c r="I6434" s="49">
        <v>45819</v>
      </c>
      <c r="J6434" t="s">
        <v>47</v>
      </c>
      <c r="K6434" s="33">
        <v>12200</v>
      </c>
      <c r="M6434" t="str">
        <f>_xlfn.XLOOKUP(Pipeline_tbl[[#This Row],[Rep_ID]],Dim_Reps!A:A,Dim_Reps!K:K)</f>
        <v>EUR</v>
      </c>
      <c r="N6434" s="33">
        <f>(_xlfn.XLOOKUP(Pipeline_tbl[[#This Row],[Rate_Code_Generalized]],Lookups!A:A,Lookups!B:B))*Pipeline_tbl[[#This Row],[Pipeline_Amount_USD]]</f>
        <v>12200</v>
      </c>
      <c r="O6434" t="str">
        <f>_xlfn.XLOOKUP(Pipeline_tbl[[#This Row],[Rep_ID]],Dim_Reps!A:A,Dim_Reps!B:B)</f>
        <v>Felix Okafor</v>
      </c>
      <c r="P6434" t="str">
        <f>_xlfn.XLOOKUP(Pipeline_tbl[[#This Row],[Rep_ID]],Dim_Reps!A:A,Dim_Reps!C:C)</f>
        <v>Mid-Market AE</v>
      </c>
      <c r="Q6434" t="str">
        <f>_xlfn.XLOOKUP(Pipeline_tbl[[#This Row],[Rep_ID]],Dim_Reps!A:A,Dim_Reps!D:D)</f>
        <v>Mid-Market</v>
      </c>
      <c r="R6434" t="str">
        <f>_xlfn.XLOOKUP(Pipeline_tbl[[#This Row],[Rep_ID]],Dim_Reps!A:A,Dim_Reps!E:E)</f>
        <v>EMEA</v>
      </c>
      <c r="S6434" t="str">
        <f>_xlfn.XLOOKUP(Pipeline_tbl[[#This Row],[Created_Date]],Dim_Date!A:A,Dim_Date!H:H)</f>
        <v>Apr 2025</v>
      </c>
      <c r="T6434" t="str">
        <f>IF(Pipeline_tbl[[#This Row],[Closed_Date]]=0,"",(_xlfn.XLOOKUP(Pipeline_tbl[[#This Row],[Closed_Date]],Dim_Date!A:A,Dim_Date!H:H)))</f>
        <v>Jun 2025</v>
      </c>
      <c r="U6434">
        <f>IF(Pipeline_tbl[[#This Row],[Closed_Date]]=0,"",Pipeline_tbl[[#This Row],[Closed_Date]]-Pipeline_tbl[[#This Row],[Created_Date]])</f>
        <v>48</v>
      </c>
    </row>
    <row r="6435" spans="1:21" ht="15" customHeight="1" x14ac:dyDescent="0.2">
      <c r="A6435" t="s">
        <v>6741</v>
      </c>
      <c r="B6435" t="s">
        <v>282</v>
      </c>
      <c r="C6435" t="s">
        <v>56</v>
      </c>
      <c r="D6435" s="49">
        <v>45775</v>
      </c>
      <c r="E6435" s="49">
        <v>45780</v>
      </c>
      <c r="F6435" s="49">
        <v>45790</v>
      </c>
      <c r="G6435" s="49">
        <v>45805</v>
      </c>
      <c r="H6435" s="49">
        <v>45818</v>
      </c>
      <c r="I6435" s="49">
        <v>45825</v>
      </c>
      <c r="J6435" t="s">
        <v>47</v>
      </c>
      <c r="K6435" s="33">
        <v>64600</v>
      </c>
      <c r="M6435" t="str">
        <f>_xlfn.XLOOKUP(Pipeline_tbl[[#This Row],[Rep_ID]],Dim_Reps!A:A,Dim_Reps!K:K)</f>
        <v>USD</v>
      </c>
      <c r="N6435" s="33">
        <f>(_xlfn.XLOOKUP(Pipeline_tbl[[#This Row],[Rate_Code_Generalized]],Lookups!A:A,Lookups!B:B))*Pipeline_tbl[[#This Row],[Pipeline_Amount_USD]]</f>
        <v>75213.78</v>
      </c>
      <c r="O6435" t="str">
        <f>_xlfn.XLOOKUP(Pipeline_tbl[[#This Row],[Rep_ID]],Dim_Reps!A:A,Dim_Reps!B:B)</f>
        <v>Fatima Rossi</v>
      </c>
      <c r="P6435" t="str">
        <f>_xlfn.XLOOKUP(Pipeline_tbl[[#This Row],[Rep_ID]],Dim_Reps!A:A,Dim_Reps!C:C)</f>
        <v>Senior Enterprise AE</v>
      </c>
      <c r="Q6435" t="str">
        <f>_xlfn.XLOOKUP(Pipeline_tbl[[#This Row],[Rep_ID]],Dim_Reps!A:A,Dim_Reps!D:D)</f>
        <v>Strategic</v>
      </c>
      <c r="R6435" t="str">
        <f>_xlfn.XLOOKUP(Pipeline_tbl[[#This Row],[Rep_ID]],Dim_Reps!A:A,Dim_Reps!E:E)</f>
        <v>NAMER</v>
      </c>
      <c r="S6435" t="str">
        <f>_xlfn.XLOOKUP(Pipeline_tbl[[#This Row],[Created_Date]],Dim_Date!A:A,Dim_Date!H:H)</f>
        <v>Apr 2025</v>
      </c>
      <c r="T6435" t="str">
        <f>IF(Pipeline_tbl[[#This Row],[Closed_Date]]=0,"",(_xlfn.XLOOKUP(Pipeline_tbl[[#This Row],[Closed_Date]],Dim_Date!A:A,Dim_Date!H:H)))</f>
        <v>Jun 2025</v>
      </c>
      <c r="U6435">
        <f>IF(Pipeline_tbl[[#This Row],[Closed_Date]]=0,"",Pipeline_tbl[[#This Row],[Closed_Date]]-Pipeline_tbl[[#This Row],[Created_Date]])</f>
        <v>50</v>
      </c>
    </row>
    <row r="6436" spans="1:21" ht="15" customHeight="1" x14ac:dyDescent="0.2">
      <c r="A6436" t="s">
        <v>6742</v>
      </c>
      <c r="B6436" t="s">
        <v>191</v>
      </c>
      <c r="C6436" t="s">
        <v>52</v>
      </c>
      <c r="D6436" s="49">
        <v>45777</v>
      </c>
      <c r="E6436" s="49">
        <v>45781</v>
      </c>
      <c r="F6436" s="49">
        <v>45789</v>
      </c>
      <c r="G6436" s="49">
        <v>45800</v>
      </c>
      <c r="I6436" s="49">
        <v>45816</v>
      </c>
      <c r="J6436" t="s">
        <v>49</v>
      </c>
      <c r="K6436" s="33">
        <v>38500</v>
      </c>
      <c r="L6436" t="s">
        <v>61</v>
      </c>
      <c r="M6436" t="str">
        <f>_xlfn.XLOOKUP(Pipeline_tbl[[#This Row],[Rep_ID]],Dim_Reps!A:A,Dim_Reps!K:K)</f>
        <v>USD</v>
      </c>
      <c r="N6436" s="33">
        <f>(_xlfn.XLOOKUP(Pipeline_tbl[[#This Row],[Rate_Code_Generalized]],Lookups!A:A,Lookups!B:B))*Pipeline_tbl[[#This Row],[Pipeline_Amount_USD]]</f>
        <v>44825.549999999996</v>
      </c>
      <c r="O6436" t="str">
        <f>_xlfn.XLOOKUP(Pipeline_tbl[[#This Row],[Rep_ID]],Dim_Reps!A:A,Dim_Reps!B:B)</f>
        <v>Zara Duarte</v>
      </c>
      <c r="P6436" t="str">
        <f>_xlfn.XLOOKUP(Pipeline_tbl[[#This Row],[Rep_ID]],Dim_Reps!A:A,Dim_Reps!C:C)</f>
        <v>Enterprise AE</v>
      </c>
      <c r="Q6436" t="str">
        <f>_xlfn.XLOOKUP(Pipeline_tbl[[#This Row],[Rep_ID]],Dim_Reps!A:A,Dim_Reps!D:D)</f>
        <v>Enterprise</v>
      </c>
      <c r="R6436" t="str">
        <f>_xlfn.XLOOKUP(Pipeline_tbl[[#This Row],[Rep_ID]],Dim_Reps!A:A,Dim_Reps!E:E)</f>
        <v>NAMER</v>
      </c>
      <c r="S6436" t="str">
        <f>_xlfn.XLOOKUP(Pipeline_tbl[[#This Row],[Created_Date]],Dim_Date!A:A,Dim_Date!H:H)</f>
        <v>Apr 2025</v>
      </c>
      <c r="T6436" t="str">
        <f>IF(Pipeline_tbl[[#This Row],[Closed_Date]]=0,"",(_xlfn.XLOOKUP(Pipeline_tbl[[#This Row],[Closed_Date]],Dim_Date!A:A,Dim_Date!H:H)))</f>
        <v>Jun 2025</v>
      </c>
      <c r="U6436">
        <f>IF(Pipeline_tbl[[#This Row],[Closed_Date]]=0,"",Pipeline_tbl[[#This Row],[Closed_Date]]-Pipeline_tbl[[#This Row],[Created_Date]])</f>
        <v>39</v>
      </c>
    </row>
    <row r="6437" spans="1:21" ht="15" customHeight="1" x14ac:dyDescent="0.2">
      <c r="A6437" t="s">
        <v>6743</v>
      </c>
      <c r="B6437" t="s">
        <v>263</v>
      </c>
      <c r="C6437" t="s">
        <v>52</v>
      </c>
      <c r="D6437" s="49">
        <v>45768</v>
      </c>
      <c r="E6437" s="49">
        <v>45774</v>
      </c>
      <c r="F6437" s="49">
        <v>45785</v>
      </c>
      <c r="G6437" s="49">
        <v>45803</v>
      </c>
      <c r="H6437" s="49">
        <v>45817</v>
      </c>
      <c r="I6437" s="49">
        <v>45826</v>
      </c>
      <c r="J6437" t="s">
        <v>47</v>
      </c>
      <c r="K6437" s="33">
        <v>25400</v>
      </c>
      <c r="M6437" t="str">
        <f>_xlfn.XLOOKUP(Pipeline_tbl[[#This Row],[Rep_ID]],Dim_Reps!A:A,Dim_Reps!K:K)</f>
        <v>USD</v>
      </c>
      <c r="N6437" s="33">
        <f>(_xlfn.XLOOKUP(Pipeline_tbl[[#This Row],[Rate_Code_Generalized]],Lookups!A:A,Lookups!B:B))*Pipeline_tbl[[#This Row],[Pipeline_Amount_USD]]</f>
        <v>29573.219999999998</v>
      </c>
      <c r="O6437" t="str">
        <f>_xlfn.XLOOKUP(Pipeline_tbl[[#This Row],[Rep_ID]],Dim_Reps!A:A,Dim_Reps!B:B)</f>
        <v>Morgan Weber</v>
      </c>
      <c r="P6437" t="str">
        <f>_xlfn.XLOOKUP(Pipeline_tbl[[#This Row],[Rep_ID]],Dim_Reps!A:A,Dim_Reps!C:C)</f>
        <v>Mid-Market AE</v>
      </c>
      <c r="Q6437" t="str">
        <f>_xlfn.XLOOKUP(Pipeline_tbl[[#This Row],[Rep_ID]],Dim_Reps!A:A,Dim_Reps!D:D)</f>
        <v>Mid-Market</v>
      </c>
      <c r="R6437" t="str">
        <f>_xlfn.XLOOKUP(Pipeline_tbl[[#This Row],[Rep_ID]],Dim_Reps!A:A,Dim_Reps!E:E)</f>
        <v>NAMER</v>
      </c>
      <c r="S6437" t="str">
        <f>_xlfn.XLOOKUP(Pipeline_tbl[[#This Row],[Created_Date]],Dim_Date!A:A,Dim_Date!H:H)</f>
        <v>Apr 2025</v>
      </c>
      <c r="T6437" t="str">
        <f>IF(Pipeline_tbl[[#This Row],[Closed_Date]]=0,"",(_xlfn.XLOOKUP(Pipeline_tbl[[#This Row],[Closed_Date]],Dim_Date!A:A,Dim_Date!H:H)))</f>
        <v>Jun 2025</v>
      </c>
      <c r="U6437">
        <f>IF(Pipeline_tbl[[#This Row],[Closed_Date]]=0,"",Pipeline_tbl[[#This Row],[Closed_Date]]-Pipeline_tbl[[#This Row],[Created_Date]])</f>
        <v>58</v>
      </c>
    </row>
    <row r="6438" spans="1:21" ht="15" customHeight="1" x14ac:dyDescent="0.2">
      <c r="A6438" t="s">
        <v>6744</v>
      </c>
      <c r="B6438" t="s">
        <v>263</v>
      </c>
      <c r="C6438" t="s">
        <v>53</v>
      </c>
      <c r="D6438" s="49">
        <v>45765</v>
      </c>
      <c r="E6438" s="49">
        <v>45770</v>
      </c>
      <c r="F6438" s="49">
        <v>45779</v>
      </c>
      <c r="G6438" s="49">
        <v>45793</v>
      </c>
      <c r="H6438" s="49">
        <v>45804</v>
      </c>
      <c r="I6438" s="49">
        <v>45811</v>
      </c>
      <c r="J6438" t="s">
        <v>49</v>
      </c>
      <c r="K6438" s="33">
        <v>20000</v>
      </c>
      <c r="L6438" t="s">
        <v>60</v>
      </c>
      <c r="M6438" t="str">
        <f>_xlfn.XLOOKUP(Pipeline_tbl[[#This Row],[Rep_ID]],Dim_Reps!A:A,Dim_Reps!K:K)</f>
        <v>USD</v>
      </c>
      <c r="N6438" s="33">
        <f>(_xlfn.XLOOKUP(Pipeline_tbl[[#This Row],[Rate_Code_Generalized]],Lookups!A:A,Lookups!B:B))*Pipeline_tbl[[#This Row],[Pipeline_Amount_USD]]</f>
        <v>23285.999999999996</v>
      </c>
      <c r="O6438" t="str">
        <f>_xlfn.XLOOKUP(Pipeline_tbl[[#This Row],[Rep_ID]],Dim_Reps!A:A,Dim_Reps!B:B)</f>
        <v>Morgan Weber</v>
      </c>
      <c r="P6438" t="str">
        <f>_xlfn.XLOOKUP(Pipeline_tbl[[#This Row],[Rep_ID]],Dim_Reps!A:A,Dim_Reps!C:C)</f>
        <v>Mid-Market AE</v>
      </c>
      <c r="Q6438" t="str">
        <f>_xlfn.XLOOKUP(Pipeline_tbl[[#This Row],[Rep_ID]],Dim_Reps!A:A,Dim_Reps!D:D)</f>
        <v>Mid-Market</v>
      </c>
      <c r="R6438" t="str">
        <f>_xlfn.XLOOKUP(Pipeline_tbl[[#This Row],[Rep_ID]],Dim_Reps!A:A,Dim_Reps!E:E)</f>
        <v>NAMER</v>
      </c>
      <c r="S6438" t="str">
        <f>_xlfn.XLOOKUP(Pipeline_tbl[[#This Row],[Created_Date]],Dim_Date!A:A,Dim_Date!H:H)</f>
        <v>Apr 2025</v>
      </c>
      <c r="T6438" t="str">
        <f>IF(Pipeline_tbl[[#This Row],[Closed_Date]]=0,"",(_xlfn.XLOOKUP(Pipeline_tbl[[#This Row],[Closed_Date]],Dim_Date!A:A,Dim_Date!H:H)))</f>
        <v>Jun 2025</v>
      </c>
      <c r="U6438">
        <f>IF(Pipeline_tbl[[#This Row],[Closed_Date]]=0,"",Pipeline_tbl[[#This Row],[Closed_Date]]-Pipeline_tbl[[#This Row],[Created_Date]])</f>
        <v>46</v>
      </c>
    </row>
    <row r="6439" spans="1:21" ht="15" customHeight="1" x14ac:dyDescent="0.2">
      <c r="A6439" t="s">
        <v>6745</v>
      </c>
      <c r="B6439" t="s">
        <v>265</v>
      </c>
      <c r="C6439" t="s">
        <v>54</v>
      </c>
      <c r="D6439" s="49">
        <v>45773</v>
      </c>
      <c r="E6439" s="49">
        <v>45777</v>
      </c>
      <c r="F6439" s="49">
        <v>45784</v>
      </c>
      <c r="G6439" s="49">
        <v>45796</v>
      </c>
      <c r="H6439" s="49">
        <v>45805</v>
      </c>
      <c r="I6439" s="49">
        <v>45811</v>
      </c>
      <c r="J6439" t="s">
        <v>47</v>
      </c>
      <c r="K6439" s="33">
        <v>20100</v>
      </c>
      <c r="M6439" t="str">
        <f>_xlfn.XLOOKUP(Pipeline_tbl[[#This Row],[Rep_ID]],Dim_Reps!A:A,Dim_Reps!K:K)</f>
        <v>EUR</v>
      </c>
      <c r="N6439" s="33">
        <f>(_xlfn.XLOOKUP(Pipeline_tbl[[#This Row],[Rate_Code_Generalized]],Lookups!A:A,Lookups!B:B))*Pipeline_tbl[[#This Row],[Pipeline_Amount_USD]]</f>
        <v>20100</v>
      </c>
      <c r="O6439" t="str">
        <f>_xlfn.XLOOKUP(Pipeline_tbl[[#This Row],[Rep_ID]],Dim_Reps!A:A,Dim_Reps!B:B)</f>
        <v>Erik Duarte</v>
      </c>
      <c r="P6439" t="str">
        <f>_xlfn.XLOOKUP(Pipeline_tbl[[#This Row],[Rep_ID]],Dim_Reps!A:A,Dim_Reps!C:C)</f>
        <v>Mid-Market AE</v>
      </c>
      <c r="Q6439" t="str">
        <f>_xlfn.XLOOKUP(Pipeline_tbl[[#This Row],[Rep_ID]],Dim_Reps!A:A,Dim_Reps!D:D)</f>
        <v>Mid-Market</v>
      </c>
      <c r="R6439" t="str">
        <f>_xlfn.XLOOKUP(Pipeline_tbl[[#This Row],[Rep_ID]],Dim_Reps!A:A,Dim_Reps!E:E)</f>
        <v>EMEA</v>
      </c>
      <c r="S6439" t="str">
        <f>_xlfn.XLOOKUP(Pipeline_tbl[[#This Row],[Created_Date]],Dim_Date!A:A,Dim_Date!H:H)</f>
        <v>Apr 2025</v>
      </c>
      <c r="T6439" t="str">
        <f>IF(Pipeline_tbl[[#This Row],[Closed_Date]]=0,"",(_xlfn.XLOOKUP(Pipeline_tbl[[#This Row],[Closed_Date]],Dim_Date!A:A,Dim_Date!H:H)))</f>
        <v>Jun 2025</v>
      </c>
      <c r="U6439">
        <f>IF(Pipeline_tbl[[#This Row],[Closed_Date]]=0,"",Pipeline_tbl[[#This Row],[Closed_Date]]-Pipeline_tbl[[#This Row],[Created_Date]])</f>
        <v>38</v>
      </c>
    </row>
    <row r="6440" spans="1:21" ht="15" customHeight="1" x14ac:dyDescent="0.2">
      <c r="A6440" t="s">
        <v>6746</v>
      </c>
      <c r="B6440" t="s">
        <v>265</v>
      </c>
      <c r="C6440" t="s">
        <v>54</v>
      </c>
      <c r="D6440" s="49">
        <v>45763</v>
      </c>
      <c r="E6440" s="49">
        <v>45768</v>
      </c>
      <c r="F6440" s="49">
        <v>45777</v>
      </c>
      <c r="G6440" s="49">
        <v>45792</v>
      </c>
      <c r="I6440" s="49">
        <v>45811</v>
      </c>
      <c r="J6440" t="s">
        <v>49</v>
      </c>
      <c r="K6440" s="33">
        <v>7200</v>
      </c>
      <c r="L6440" t="s">
        <v>61</v>
      </c>
      <c r="M6440" t="str">
        <f>_xlfn.XLOOKUP(Pipeline_tbl[[#This Row],[Rep_ID]],Dim_Reps!A:A,Dim_Reps!K:K)</f>
        <v>EUR</v>
      </c>
      <c r="N6440" s="33">
        <f>(_xlfn.XLOOKUP(Pipeline_tbl[[#This Row],[Rate_Code_Generalized]],Lookups!A:A,Lookups!B:B))*Pipeline_tbl[[#This Row],[Pipeline_Amount_USD]]</f>
        <v>7200</v>
      </c>
      <c r="O6440" t="str">
        <f>_xlfn.XLOOKUP(Pipeline_tbl[[#This Row],[Rep_ID]],Dim_Reps!A:A,Dim_Reps!B:B)</f>
        <v>Erik Duarte</v>
      </c>
      <c r="P6440" t="str">
        <f>_xlfn.XLOOKUP(Pipeline_tbl[[#This Row],[Rep_ID]],Dim_Reps!A:A,Dim_Reps!C:C)</f>
        <v>Mid-Market AE</v>
      </c>
      <c r="Q6440" t="str">
        <f>_xlfn.XLOOKUP(Pipeline_tbl[[#This Row],[Rep_ID]],Dim_Reps!A:A,Dim_Reps!D:D)</f>
        <v>Mid-Market</v>
      </c>
      <c r="R6440" t="str">
        <f>_xlfn.XLOOKUP(Pipeline_tbl[[#This Row],[Rep_ID]],Dim_Reps!A:A,Dim_Reps!E:E)</f>
        <v>EMEA</v>
      </c>
      <c r="S6440" t="str">
        <f>_xlfn.XLOOKUP(Pipeline_tbl[[#This Row],[Created_Date]],Dim_Date!A:A,Dim_Date!H:H)</f>
        <v>Apr 2025</v>
      </c>
      <c r="T6440" t="str">
        <f>IF(Pipeline_tbl[[#This Row],[Closed_Date]]=0,"",(_xlfn.XLOOKUP(Pipeline_tbl[[#This Row],[Closed_Date]],Dim_Date!A:A,Dim_Date!H:H)))</f>
        <v>Jun 2025</v>
      </c>
      <c r="U6440">
        <f>IF(Pipeline_tbl[[#This Row],[Closed_Date]]=0,"",Pipeline_tbl[[#This Row],[Closed_Date]]-Pipeline_tbl[[#This Row],[Created_Date]])</f>
        <v>48</v>
      </c>
    </row>
    <row r="6441" spans="1:21" ht="15" customHeight="1" x14ac:dyDescent="0.2">
      <c r="A6441" t="s">
        <v>6747</v>
      </c>
      <c r="B6441" t="s">
        <v>267</v>
      </c>
      <c r="C6441" t="s">
        <v>54</v>
      </c>
      <c r="D6441" s="49">
        <v>45776</v>
      </c>
      <c r="E6441" s="49">
        <v>45779</v>
      </c>
      <c r="F6441" s="49">
        <v>45786</v>
      </c>
      <c r="G6441" s="49">
        <v>45796</v>
      </c>
      <c r="H6441" s="49">
        <v>45805</v>
      </c>
      <c r="I6441" s="49">
        <v>45810</v>
      </c>
      <c r="J6441" t="s">
        <v>47</v>
      </c>
      <c r="K6441" s="33">
        <v>12100</v>
      </c>
      <c r="M6441" t="str">
        <f>_xlfn.XLOOKUP(Pipeline_tbl[[#This Row],[Rep_ID]],Dim_Reps!A:A,Dim_Reps!K:K)</f>
        <v>MXN</v>
      </c>
      <c r="N6441" s="33">
        <f>(_xlfn.XLOOKUP(Pipeline_tbl[[#This Row],[Rate_Code_Generalized]],Lookups!A:A,Lookups!B:B))*Pipeline_tbl[[#This Row],[Pipeline_Amount_USD]]</f>
        <v>238765.67</v>
      </c>
      <c r="O6441" t="str">
        <f>_xlfn.XLOOKUP(Pipeline_tbl[[#This Row],[Rep_ID]],Dim_Reps!A:A,Dim_Reps!B:B)</f>
        <v>Yuki Dubois</v>
      </c>
      <c r="P6441" t="str">
        <f>_xlfn.XLOOKUP(Pipeline_tbl[[#This Row],[Rep_ID]],Dim_Reps!A:A,Dim_Reps!C:C)</f>
        <v>Mid-Market AE</v>
      </c>
      <c r="Q6441" t="str">
        <f>_xlfn.XLOOKUP(Pipeline_tbl[[#This Row],[Rep_ID]],Dim_Reps!A:A,Dim_Reps!D:D)</f>
        <v>Mid-Market</v>
      </c>
      <c r="R6441" t="str">
        <f>_xlfn.XLOOKUP(Pipeline_tbl[[#This Row],[Rep_ID]],Dim_Reps!A:A,Dim_Reps!E:E)</f>
        <v>LATAM</v>
      </c>
      <c r="S6441" t="str">
        <f>_xlfn.XLOOKUP(Pipeline_tbl[[#This Row],[Created_Date]],Dim_Date!A:A,Dim_Date!H:H)</f>
        <v>Apr 2025</v>
      </c>
      <c r="T6441" t="str">
        <f>IF(Pipeline_tbl[[#This Row],[Closed_Date]]=0,"",(_xlfn.XLOOKUP(Pipeline_tbl[[#This Row],[Closed_Date]],Dim_Date!A:A,Dim_Date!H:H)))</f>
        <v>Jun 2025</v>
      </c>
      <c r="U6441">
        <f>IF(Pipeline_tbl[[#This Row],[Closed_Date]]=0,"",Pipeline_tbl[[#This Row],[Closed_Date]]-Pipeline_tbl[[#This Row],[Created_Date]])</f>
        <v>34</v>
      </c>
    </row>
    <row r="6442" spans="1:21" ht="15" customHeight="1" x14ac:dyDescent="0.2">
      <c r="A6442" t="s">
        <v>6748</v>
      </c>
      <c r="B6442" t="s">
        <v>284</v>
      </c>
      <c r="C6442" t="s">
        <v>52</v>
      </c>
      <c r="D6442" s="49">
        <v>45752</v>
      </c>
      <c r="E6442" s="49">
        <v>45758</v>
      </c>
      <c r="F6442" s="49">
        <v>45770</v>
      </c>
      <c r="G6442" s="49">
        <v>45788</v>
      </c>
      <c r="H6442" s="49">
        <v>45803</v>
      </c>
      <c r="I6442" s="49">
        <v>45812</v>
      </c>
      <c r="J6442" t="s">
        <v>49</v>
      </c>
      <c r="K6442" s="33">
        <v>84900</v>
      </c>
      <c r="L6442" t="s">
        <v>62</v>
      </c>
      <c r="M6442" t="str">
        <f>_xlfn.XLOOKUP(Pipeline_tbl[[#This Row],[Rep_ID]],Dim_Reps!A:A,Dim_Reps!K:K)</f>
        <v>USD</v>
      </c>
      <c r="N6442" s="33">
        <f>(_xlfn.XLOOKUP(Pipeline_tbl[[#This Row],[Rate_Code_Generalized]],Lookups!A:A,Lookups!B:B))*Pipeline_tbl[[#This Row],[Pipeline_Amount_USD]]</f>
        <v>98849.069999999992</v>
      </c>
      <c r="O6442" t="str">
        <f>_xlfn.XLOOKUP(Pipeline_tbl[[#This Row],[Rep_ID]],Dim_Reps!A:A,Dim_Reps!B:B)</f>
        <v>Taylor Adler</v>
      </c>
      <c r="P6442" t="str">
        <f>_xlfn.XLOOKUP(Pipeline_tbl[[#This Row],[Rep_ID]],Dim_Reps!A:A,Dim_Reps!C:C)</f>
        <v>Senior Enterprise AE</v>
      </c>
      <c r="Q6442" t="str">
        <f>_xlfn.XLOOKUP(Pipeline_tbl[[#This Row],[Rep_ID]],Dim_Reps!A:A,Dim_Reps!D:D)</f>
        <v>Strategic</v>
      </c>
      <c r="R6442" t="str">
        <f>_xlfn.XLOOKUP(Pipeline_tbl[[#This Row],[Rep_ID]],Dim_Reps!A:A,Dim_Reps!E:E)</f>
        <v>NAMER</v>
      </c>
      <c r="S6442" t="str">
        <f>_xlfn.XLOOKUP(Pipeline_tbl[[#This Row],[Created_Date]],Dim_Date!A:A,Dim_Date!H:H)</f>
        <v>Apr 2025</v>
      </c>
      <c r="T6442" t="str">
        <f>IF(Pipeline_tbl[[#This Row],[Closed_Date]]=0,"",(_xlfn.XLOOKUP(Pipeline_tbl[[#This Row],[Closed_Date]],Dim_Date!A:A,Dim_Date!H:H)))</f>
        <v>Jun 2025</v>
      </c>
      <c r="U6442">
        <f>IF(Pipeline_tbl[[#This Row],[Closed_Date]]=0,"",Pipeline_tbl[[#This Row],[Closed_Date]]-Pipeline_tbl[[#This Row],[Created_Date]])</f>
        <v>60</v>
      </c>
    </row>
    <row r="6443" spans="1:21" ht="15" customHeight="1" x14ac:dyDescent="0.2">
      <c r="A6443" t="s">
        <v>6749</v>
      </c>
      <c r="B6443" t="s">
        <v>284</v>
      </c>
      <c r="C6443" t="s">
        <v>55</v>
      </c>
      <c r="D6443" s="49">
        <v>45758</v>
      </c>
      <c r="E6443" s="49">
        <v>45765</v>
      </c>
      <c r="I6443" s="49">
        <v>45826</v>
      </c>
      <c r="J6443" t="s">
        <v>49</v>
      </c>
      <c r="K6443" s="33">
        <v>21900</v>
      </c>
      <c r="L6443" t="s">
        <v>64</v>
      </c>
      <c r="M6443" t="str">
        <f>_xlfn.XLOOKUP(Pipeline_tbl[[#This Row],[Rep_ID]],Dim_Reps!A:A,Dim_Reps!K:K)</f>
        <v>USD</v>
      </c>
      <c r="N6443" s="33">
        <f>(_xlfn.XLOOKUP(Pipeline_tbl[[#This Row],[Rate_Code_Generalized]],Lookups!A:A,Lookups!B:B))*Pipeline_tbl[[#This Row],[Pipeline_Amount_USD]]</f>
        <v>25498.17</v>
      </c>
      <c r="O6443" t="str">
        <f>_xlfn.XLOOKUP(Pipeline_tbl[[#This Row],[Rep_ID]],Dim_Reps!A:A,Dim_Reps!B:B)</f>
        <v>Taylor Adler</v>
      </c>
      <c r="P6443" t="str">
        <f>_xlfn.XLOOKUP(Pipeline_tbl[[#This Row],[Rep_ID]],Dim_Reps!A:A,Dim_Reps!C:C)</f>
        <v>Senior Enterprise AE</v>
      </c>
      <c r="Q6443" t="str">
        <f>_xlfn.XLOOKUP(Pipeline_tbl[[#This Row],[Rep_ID]],Dim_Reps!A:A,Dim_Reps!D:D)</f>
        <v>Strategic</v>
      </c>
      <c r="R6443" t="str">
        <f>_xlfn.XLOOKUP(Pipeline_tbl[[#This Row],[Rep_ID]],Dim_Reps!A:A,Dim_Reps!E:E)</f>
        <v>NAMER</v>
      </c>
      <c r="S6443" t="str">
        <f>_xlfn.XLOOKUP(Pipeline_tbl[[#This Row],[Created_Date]],Dim_Date!A:A,Dim_Date!H:H)</f>
        <v>Apr 2025</v>
      </c>
      <c r="T6443" t="str">
        <f>IF(Pipeline_tbl[[#This Row],[Closed_Date]]=0,"",(_xlfn.XLOOKUP(Pipeline_tbl[[#This Row],[Closed_Date]],Dim_Date!A:A,Dim_Date!H:H)))</f>
        <v>Jun 2025</v>
      </c>
      <c r="U6443">
        <f>IF(Pipeline_tbl[[#This Row],[Closed_Date]]=0,"",Pipeline_tbl[[#This Row],[Closed_Date]]-Pipeline_tbl[[#This Row],[Created_Date]])</f>
        <v>68</v>
      </c>
    </row>
    <row r="6444" spans="1:21" ht="15" customHeight="1" x14ac:dyDescent="0.2">
      <c r="A6444" t="s">
        <v>6750</v>
      </c>
      <c r="B6444" t="s">
        <v>269</v>
      </c>
      <c r="C6444" t="s">
        <v>55</v>
      </c>
      <c r="D6444" s="49">
        <v>45776</v>
      </c>
      <c r="E6444" s="49">
        <v>45782</v>
      </c>
      <c r="F6444" s="49">
        <v>45793</v>
      </c>
      <c r="G6444" s="49">
        <v>45810</v>
      </c>
      <c r="I6444" s="49">
        <v>45833</v>
      </c>
      <c r="J6444" t="s">
        <v>49</v>
      </c>
      <c r="K6444" s="33">
        <v>6300</v>
      </c>
      <c r="L6444" t="s">
        <v>61</v>
      </c>
      <c r="M6444" t="str">
        <f>_xlfn.XLOOKUP(Pipeline_tbl[[#This Row],[Rep_ID]],Dim_Reps!A:A,Dim_Reps!K:K)</f>
        <v>USD</v>
      </c>
      <c r="N6444" s="33">
        <f>(_xlfn.XLOOKUP(Pipeline_tbl[[#This Row],[Rate_Code_Generalized]],Lookups!A:A,Lookups!B:B))*Pipeline_tbl[[#This Row],[Pipeline_Amount_USD]]</f>
        <v>7335.0899999999992</v>
      </c>
      <c r="O6444" t="str">
        <f>_xlfn.XLOOKUP(Pipeline_tbl[[#This Row],[Rep_ID]],Dim_Reps!A:A,Dim_Reps!B:B)</f>
        <v>Morgan Rivera</v>
      </c>
      <c r="P6444" t="str">
        <f>_xlfn.XLOOKUP(Pipeline_tbl[[#This Row],[Rep_ID]],Dim_Reps!A:A,Dim_Reps!C:C)</f>
        <v>Mid-Market AE</v>
      </c>
      <c r="Q6444" t="str">
        <f>_xlfn.XLOOKUP(Pipeline_tbl[[#This Row],[Rep_ID]],Dim_Reps!A:A,Dim_Reps!D:D)</f>
        <v>Mid-Market</v>
      </c>
      <c r="R6444" t="str">
        <f>_xlfn.XLOOKUP(Pipeline_tbl[[#This Row],[Rep_ID]],Dim_Reps!A:A,Dim_Reps!E:E)</f>
        <v>NAMER</v>
      </c>
      <c r="S6444" t="str">
        <f>_xlfn.XLOOKUP(Pipeline_tbl[[#This Row],[Created_Date]],Dim_Date!A:A,Dim_Date!H:H)</f>
        <v>Apr 2025</v>
      </c>
      <c r="T6444" t="str">
        <f>IF(Pipeline_tbl[[#This Row],[Closed_Date]]=0,"",(_xlfn.XLOOKUP(Pipeline_tbl[[#This Row],[Closed_Date]],Dim_Date!A:A,Dim_Date!H:H)))</f>
        <v>Jun 2025</v>
      </c>
      <c r="U6444">
        <f>IF(Pipeline_tbl[[#This Row],[Closed_Date]]=0,"",Pipeline_tbl[[#This Row],[Closed_Date]]-Pipeline_tbl[[#This Row],[Created_Date]])</f>
        <v>57</v>
      </c>
    </row>
    <row r="6445" spans="1:21" ht="15" customHeight="1" x14ac:dyDescent="0.2">
      <c r="A6445" t="s">
        <v>6751</v>
      </c>
      <c r="B6445" t="s">
        <v>269</v>
      </c>
      <c r="C6445" t="s">
        <v>52</v>
      </c>
      <c r="D6445" s="49">
        <v>45774</v>
      </c>
      <c r="E6445" s="49">
        <v>45779</v>
      </c>
      <c r="F6445" s="49">
        <v>45789</v>
      </c>
      <c r="G6445" s="49">
        <v>45803</v>
      </c>
      <c r="I6445" s="49">
        <v>45823</v>
      </c>
      <c r="J6445" t="s">
        <v>49</v>
      </c>
      <c r="K6445" s="33">
        <v>39100</v>
      </c>
      <c r="L6445" t="s">
        <v>63</v>
      </c>
      <c r="M6445" t="str">
        <f>_xlfn.XLOOKUP(Pipeline_tbl[[#This Row],[Rep_ID]],Dim_Reps!A:A,Dim_Reps!K:K)</f>
        <v>USD</v>
      </c>
      <c r="N6445" s="33">
        <f>(_xlfn.XLOOKUP(Pipeline_tbl[[#This Row],[Rate_Code_Generalized]],Lookups!A:A,Lookups!B:B))*Pipeline_tbl[[#This Row],[Pipeline_Amount_USD]]</f>
        <v>45524.13</v>
      </c>
      <c r="O6445" t="str">
        <f>_xlfn.XLOOKUP(Pipeline_tbl[[#This Row],[Rep_ID]],Dim_Reps!A:A,Dim_Reps!B:B)</f>
        <v>Morgan Rivera</v>
      </c>
      <c r="P6445" t="str">
        <f>_xlfn.XLOOKUP(Pipeline_tbl[[#This Row],[Rep_ID]],Dim_Reps!A:A,Dim_Reps!C:C)</f>
        <v>Mid-Market AE</v>
      </c>
      <c r="Q6445" t="str">
        <f>_xlfn.XLOOKUP(Pipeline_tbl[[#This Row],[Rep_ID]],Dim_Reps!A:A,Dim_Reps!D:D)</f>
        <v>Mid-Market</v>
      </c>
      <c r="R6445" t="str">
        <f>_xlfn.XLOOKUP(Pipeline_tbl[[#This Row],[Rep_ID]],Dim_Reps!A:A,Dim_Reps!E:E)</f>
        <v>NAMER</v>
      </c>
      <c r="S6445" t="str">
        <f>_xlfn.XLOOKUP(Pipeline_tbl[[#This Row],[Created_Date]],Dim_Date!A:A,Dim_Date!H:H)</f>
        <v>Apr 2025</v>
      </c>
      <c r="T6445" t="str">
        <f>IF(Pipeline_tbl[[#This Row],[Closed_Date]]=0,"",(_xlfn.XLOOKUP(Pipeline_tbl[[#This Row],[Closed_Date]],Dim_Date!A:A,Dim_Date!H:H)))</f>
        <v>Jun 2025</v>
      </c>
      <c r="U6445">
        <f>IF(Pipeline_tbl[[#This Row],[Closed_Date]]=0,"",Pipeline_tbl[[#This Row],[Closed_Date]]-Pipeline_tbl[[#This Row],[Created_Date]])</f>
        <v>49</v>
      </c>
    </row>
    <row r="6446" spans="1:21" ht="15" customHeight="1" x14ac:dyDescent="0.2">
      <c r="A6446" t="s">
        <v>6752</v>
      </c>
      <c r="B6446" t="s">
        <v>269</v>
      </c>
      <c r="C6446" t="s">
        <v>53</v>
      </c>
      <c r="D6446" s="49">
        <v>45771</v>
      </c>
      <c r="E6446" s="49">
        <v>45777</v>
      </c>
      <c r="F6446" s="49">
        <v>45788</v>
      </c>
      <c r="I6446" s="49">
        <v>45829</v>
      </c>
      <c r="J6446" t="s">
        <v>49</v>
      </c>
      <c r="K6446" s="33">
        <v>7400</v>
      </c>
      <c r="L6446" t="s">
        <v>62</v>
      </c>
      <c r="M6446" t="str">
        <f>_xlfn.XLOOKUP(Pipeline_tbl[[#This Row],[Rep_ID]],Dim_Reps!A:A,Dim_Reps!K:K)</f>
        <v>USD</v>
      </c>
      <c r="N6446" s="33">
        <f>(_xlfn.XLOOKUP(Pipeline_tbl[[#This Row],[Rate_Code_Generalized]],Lookups!A:A,Lookups!B:B))*Pipeline_tbl[[#This Row],[Pipeline_Amount_USD]]</f>
        <v>8615.82</v>
      </c>
      <c r="O6446" t="str">
        <f>_xlfn.XLOOKUP(Pipeline_tbl[[#This Row],[Rep_ID]],Dim_Reps!A:A,Dim_Reps!B:B)</f>
        <v>Morgan Rivera</v>
      </c>
      <c r="P6446" t="str">
        <f>_xlfn.XLOOKUP(Pipeline_tbl[[#This Row],[Rep_ID]],Dim_Reps!A:A,Dim_Reps!C:C)</f>
        <v>Mid-Market AE</v>
      </c>
      <c r="Q6446" t="str">
        <f>_xlfn.XLOOKUP(Pipeline_tbl[[#This Row],[Rep_ID]],Dim_Reps!A:A,Dim_Reps!D:D)</f>
        <v>Mid-Market</v>
      </c>
      <c r="R6446" t="str">
        <f>_xlfn.XLOOKUP(Pipeline_tbl[[#This Row],[Rep_ID]],Dim_Reps!A:A,Dim_Reps!E:E)</f>
        <v>NAMER</v>
      </c>
      <c r="S6446" t="str">
        <f>_xlfn.XLOOKUP(Pipeline_tbl[[#This Row],[Created_Date]],Dim_Date!A:A,Dim_Date!H:H)</f>
        <v>Apr 2025</v>
      </c>
      <c r="T6446" t="str">
        <f>IF(Pipeline_tbl[[#This Row],[Closed_Date]]=0,"",(_xlfn.XLOOKUP(Pipeline_tbl[[#This Row],[Closed_Date]],Dim_Date!A:A,Dim_Date!H:H)))</f>
        <v>Jun 2025</v>
      </c>
      <c r="U6446">
        <f>IF(Pipeline_tbl[[#This Row],[Closed_Date]]=0,"",Pipeline_tbl[[#This Row],[Closed_Date]]-Pipeline_tbl[[#This Row],[Created_Date]])</f>
        <v>58</v>
      </c>
    </row>
    <row r="6447" spans="1:21" ht="15" customHeight="1" x14ac:dyDescent="0.2">
      <c r="A6447" t="s">
        <v>6753</v>
      </c>
      <c r="B6447" t="s">
        <v>269</v>
      </c>
      <c r="C6447" t="s">
        <v>52</v>
      </c>
      <c r="D6447" s="49">
        <v>45771</v>
      </c>
      <c r="E6447" s="49">
        <v>45777</v>
      </c>
      <c r="F6447" s="49">
        <v>45788</v>
      </c>
      <c r="G6447" s="49">
        <v>45804</v>
      </c>
      <c r="H6447" s="49">
        <v>45818</v>
      </c>
      <c r="I6447" s="49">
        <v>45826</v>
      </c>
      <c r="J6447" t="s">
        <v>47</v>
      </c>
      <c r="K6447" s="33">
        <v>14400</v>
      </c>
      <c r="M6447" t="str">
        <f>_xlfn.XLOOKUP(Pipeline_tbl[[#This Row],[Rep_ID]],Dim_Reps!A:A,Dim_Reps!K:K)</f>
        <v>USD</v>
      </c>
      <c r="N6447" s="33">
        <f>(_xlfn.XLOOKUP(Pipeline_tbl[[#This Row],[Rate_Code_Generalized]],Lookups!A:A,Lookups!B:B))*Pipeline_tbl[[#This Row],[Pipeline_Amount_USD]]</f>
        <v>16765.919999999998</v>
      </c>
      <c r="O6447" t="str">
        <f>_xlfn.XLOOKUP(Pipeline_tbl[[#This Row],[Rep_ID]],Dim_Reps!A:A,Dim_Reps!B:B)</f>
        <v>Morgan Rivera</v>
      </c>
      <c r="P6447" t="str">
        <f>_xlfn.XLOOKUP(Pipeline_tbl[[#This Row],[Rep_ID]],Dim_Reps!A:A,Dim_Reps!C:C)</f>
        <v>Mid-Market AE</v>
      </c>
      <c r="Q6447" t="str">
        <f>_xlfn.XLOOKUP(Pipeline_tbl[[#This Row],[Rep_ID]],Dim_Reps!A:A,Dim_Reps!D:D)</f>
        <v>Mid-Market</v>
      </c>
      <c r="R6447" t="str">
        <f>_xlfn.XLOOKUP(Pipeline_tbl[[#This Row],[Rep_ID]],Dim_Reps!A:A,Dim_Reps!E:E)</f>
        <v>NAMER</v>
      </c>
      <c r="S6447" t="str">
        <f>_xlfn.XLOOKUP(Pipeline_tbl[[#This Row],[Created_Date]],Dim_Date!A:A,Dim_Date!H:H)</f>
        <v>Apr 2025</v>
      </c>
      <c r="T6447" t="str">
        <f>IF(Pipeline_tbl[[#This Row],[Closed_Date]]=0,"",(_xlfn.XLOOKUP(Pipeline_tbl[[#This Row],[Closed_Date]],Dim_Date!A:A,Dim_Date!H:H)))</f>
        <v>Jun 2025</v>
      </c>
      <c r="U6447">
        <f>IF(Pipeline_tbl[[#This Row],[Closed_Date]]=0,"",Pipeline_tbl[[#This Row],[Closed_Date]]-Pipeline_tbl[[#This Row],[Created_Date]])</f>
        <v>55</v>
      </c>
    </row>
    <row r="6448" spans="1:21" ht="15" customHeight="1" x14ac:dyDescent="0.2">
      <c r="A6448" t="s">
        <v>6754</v>
      </c>
      <c r="B6448" t="s">
        <v>271</v>
      </c>
      <c r="C6448" t="s">
        <v>55</v>
      </c>
      <c r="D6448" s="49">
        <v>45772</v>
      </c>
      <c r="E6448" s="49">
        <v>45777</v>
      </c>
      <c r="F6448" s="49">
        <v>45786</v>
      </c>
      <c r="G6448" s="49">
        <v>45800</v>
      </c>
      <c r="I6448" s="49">
        <v>45819</v>
      </c>
      <c r="J6448" t="s">
        <v>49</v>
      </c>
      <c r="K6448" s="33">
        <v>16100</v>
      </c>
      <c r="L6448" t="s">
        <v>60</v>
      </c>
      <c r="M6448" t="str">
        <f>_xlfn.XLOOKUP(Pipeline_tbl[[#This Row],[Rep_ID]],Dim_Reps!A:A,Dim_Reps!K:K)</f>
        <v>EUR</v>
      </c>
      <c r="N6448" s="33">
        <f>(_xlfn.XLOOKUP(Pipeline_tbl[[#This Row],[Rate_Code_Generalized]],Lookups!A:A,Lookups!B:B))*Pipeline_tbl[[#This Row],[Pipeline_Amount_USD]]</f>
        <v>16100</v>
      </c>
      <c r="O6448" t="str">
        <f>_xlfn.XLOOKUP(Pipeline_tbl[[#This Row],[Rep_ID]],Dim_Reps!A:A,Dim_Reps!B:B)</f>
        <v>Ivy Adler</v>
      </c>
      <c r="P6448" t="str">
        <f>_xlfn.XLOOKUP(Pipeline_tbl[[#This Row],[Rep_ID]],Dim_Reps!A:A,Dim_Reps!C:C)</f>
        <v>Mid-Market AE</v>
      </c>
      <c r="Q6448" t="str">
        <f>_xlfn.XLOOKUP(Pipeline_tbl[[#This Row],[Rep_ID]],Dim_Reps!A:A,Dim_Reps!D:D)</f>
        <v>Mid-Market</v>
      </c>
      <c r="R6448" t="str">
        <f>_xlfn.XLOOKUP(Pipeline_tbl[[#This Row],[Rep_ID]],Dim_Reps!A:A,Dim_Reps!E:E)</f>
        <v>APAC</v>
      </c>
      <c r="S6448" t="str">
        <f>_xlfn.XLOOKUP(Pipeline_tbl[[#This Row],[Created_Date]],Dim_Date!A:A,Dim_Date!H:H)</f>
        <v>Apr 2025</v>
      </c>
      <c r="T6448" t="str">
        <f>IF(Pipeline_tbl[[#This Row],[Closed_Date]]=0,"",(_xlfn.XLOOKUP(Pipeline_tbl[[#This Row],[Closed_Date]],Dim_Date!A:A,Dim_Date!H:H)))</f>
        <v>Jun 2025</v>
      </c>
      <c r="U6448">
        <f>IF(Pipeline_tbl[[#This Row],[Closed_Date]]=0,"",Pipeline_tbl[[#This Row],[Closed_Date]]-Pipeline_tbl[[#This Row],[Created_Date]])</f>
        <v>47</v>
      </c>
    </row>
    <row r="6449" spans="1:21" ht="15" customHeight="1" x14ac:dyDescent="0.2">
      <c r="A6449" t="s">
        <v>6755</v>
      </c>
      <c r="B6449" t="s">
        <v>273</v>
      </c>
      <c r="C6449" t="s">
        <v>52</v>
      </c>
      <c r="D6449" s="49">
        <v>45777</v>
      </c>
      <c r="E6449" s="49">
        <v>45782</v>
      </c>
      <c r="F6449" s="49">
        <v>45793</v>
      </c>
      <c r="G6449" s="49">
        <v>45809</v>
      </c>
      <c r="H6449" s="49">
        <v>45822</v>
      </c>
      <c r="I6449" s="49">
        <v>45830</v>
      </c>
      <c r="J6449" t="s">
        <v>47</v>
      </c>
      <c r="K6449" s="33">
        <v>5800</v>
      </c>
      <c r="M6449" t="str">
        <f>_xlfn.XLOOKUP(Pipeline_tbl[[#This Row],[Rep_ID]],Dim_Reps!A:A,Dim_Reps!K:K)</f>
        <v>EUR</v>
      </c>
      <c r="N6449" s="33">
        <f>(_xlfn.XLOOKUP(Pipeline_tbl[[#This Row],[Rate_Code_Generalized]],Lookups!A:A,Lookups!B:B))*Pipeline_tbl[[#This Row],[Pipeline_Amount_USD]]</f>
        <v>5800</v>
      </c>
      <c r="O6449" t="str">
        <f>_xlfn.XLOOKUP(Pipeline_tbl[[#This Row],[Rep_ID]],Dim_Reps!A:A,Dim_Reps!B:B)</f>
        <v>Olivia Cohen</v>
      </c>
      <c r="P6449" t="str">
        <f>_xlfn.XLOOKUP(Pipeline_tbl[[#This Row],[Rep_ID]],Dim_Reps!A:A,Dim_Reps!C:C)</f>
        <v>Mid-Market AE</v>
      </c>
      <c r="Q6449" t="str">
        <f>_xlfn.XLOOKUP(Pipeline_tbl[[#This Row],[Rep_ID]],Dim_Reps!A:A,Dim_Reps!D:D)</f>
        <v>Mid-Market</v>
      </c>
      <c r="R6449" t="str">
        <f>_xlfn.XLOOKUP(Pipeline_tbl[[#This Row],[Rep_ID]],Dim_Reps!A:A,Dim_Reps!E:E)</f>
        <v>APAC</v>
      </c>
      <c r="S6449" t="str">
        <f>_xlfn.XLOOKUP(Pipeline_tbl[[#This Row],[Created_Date]],Dim_Date!A:A,Dim_Date!H:H)</f>
        <v>Apr 2025</v>
      </c>
      <c r="T6449" t="str">
        <f>IF(Pipeline_tbl[[#This Row],[Closed_Date]]=0,"",(_xlfn.XLOOKUP(Pipeline_tbl[[#This Row],[Closed_Date]],Dim_Date!A:A,Dim_Date!H:H)))</f>
        <v>Jun 2025</v>
      </c>
      <c r="U6449">
        <f>IF(Pipeline_tbl[[#This Row],[Closed_Date]]=0,"",Pipeline_tbl[[#This Row],[Closed_Date]]-Pipeline_tbl[[#This Row],[Created_Date]])</f>
        <v>53</v>
      </c>
    </row>
    <row r="6450" spans="1:21" ht="15" customHeight="1" x14ac:dyDescent="0.2">
      <c r="A6450" t="s">
        <v>6756</v>
      </c>
      <c r="B6450" t="s">
        <v>273</v>
      </c>
      <c r="C6450" t="s">
        <v>55</v>
      </c>
      <c r="D6450" s="49">
        <v>45777</v>
      </c>
      <c r="E6450" s="49">
        <v>45781</v>
      </c>
      <c r="F6450" s="49">
        <v>45791</v>
      </c>
      <c r="G6450" s="49">
        <v>45804</v>
      </c>
      <c r="H6450" s="49">
        <v>45815</v>
      </c>
      <c r="I6450" s="49">
        <v>45822</v>
      </c>
      <c r="J6450" t="s">
        <v>47</v>
      </c>
      <c r="K6450" s="33">
        <v>18200</v>
      </c>
      <c r="M6450" t="str">
        <f>_xlfn.XLOOKUP(Pipeline_tbl[[#This Row],[Rep_ID]],Dim_Reps!A:A,Dim_Reps!K:K)</f>
        <v>EUR</v>
      </c>
      <c r="N6450" s="33">
        <f>(_xlfn.XLOOKUP(Pipeline_tbl[[#This Row],[Rate_Code_Generalized]],Lookups!A:A,Lookups!B:B))*Pipeline_tbl[[#This Row],[Pipeline_Amount_USD]]</f>
        <v>18200</v>
      </c>
      <c r="O6450" t="str">
        <f>_xlfn.XLOOKUP(Pipeline_tbl[[#This Row],[Rep_ID]],Dim_Reps!A:A,Dim_Reps!B:B)</f>
        <v>Olivia Cohen</v>
      </c>
      <c r="P6450" t="str">
        <f>_xlfn.XLOOKUP(Pipeline_tbl[[#This Row],[Rep_ID]],Dim_Reps!A:A,Dim_Reps!C:C)</f>
        <v>Mid-Market AE</v>
      </c>
      <c r="Q6450" t="str">
        <f>_xlfn.XLOOKUP(Pipeline_tbl[[#This Row],[Rep_ID]],Dim_Reps!A:A,Dim_Reps!D:D)</f>
        <v>Mid-Market</v>
      </c>
      <c r="R6450" t="str">
        <f>_xlfn.XLOOKUP(Pipeline_tbl[[#This Row],[Rep_ID]],Dim_Reps!A:A,Dim_Reps!E:E)</f>
        <v>APAC</v>
      </c>
      <c r="S6450" t="str">
        <f>_xlfn.XLOOKUP(Pipeline_tbl[[#This Row],[Created_Date]],Dim_Date!A:A,Dim_Date!H:H)</f>
        <v>Apr 2025</v>
      </c>
      <c r="T6450" t="str">
        <f>IF(Pipeline_tbl[[#This Row],[Closed_Date]]=0,"",(_xlfn.XLOOKUP(Pipeline_tbl[[#This Row],[Closed_Date]],Dim_Date!A:A,Dim_Date!H:H)))</f>
        <v>Jun 2025</v>
      </c>
      <c r="U6450">
        <f>IF(Pipeline_tbl[[#This Row],[Closed_Date]]=0,"",Pipeline_tbl[[#This Row],[Closed_Date]]-Pipeline_tbl[[#This Row],[Created_Date]])</f>
        <v>45</v>
      </c>
    </row>
    <row r="6451" spans="1:21" ht="15" customHeight="1" x14ac:dyDescent="0.2">
      <c r="A6451" t="s">
        <v>6757</v>
      </c>
      <c r="B6451" t="s">
        <v>193</v>
      </c>
      <c r="C6451" t="s">
        <v>52</v>
      </c>
      <c r="D6451" s="49">
        <v>45753</v>
      </c>
      <c r="E6451" s="49">
        <v>45755</v>
      </c>
      <c r="F6451" s="49">
        <v>45761</v>
      </c>
      <c r="I6451" s="49">
        <v>45778</v>
      </c>
      <c r="J6451" t="s">
        <v>49</v>
      </c>
      <c r="K6451" s="33">
        <v>4100</v>
      </c>
      <c r="L6451" t="s">
        <v>63</v>
      </c>
      <c r="M6451" t="str">
        <f>_xlfn.XLOOKUP(Pipeline_tbl[[#This Row],[Rep_ID]],Dim_Reps!A:A,Dim_Reps!K:K)</f>
        <v>USD</v>
      </c>
      <c r="N6451" s="33">
        <f>(_xlfn.XLOOKUP(Pipeline_tbl[[#This Row],[Rate_Code_Generalized]],Lookups!A:A,Lookups!B:B))*Pipeline_tbl[[#This Row],[Pipeline_Amount_USD]]</f>
        <v>4773.6299999999992</v>
      </c>
      <c r="O6451" t="str">
        <f>_xlfn.XLOOKUP(Pipeline_tbl[[#This Row],[Rep_ID]],Dim_Reps!A:A,Dim_Reps!B:B)</f>
        <v>Karim Rossi</v>
      </c>
      <c r="P6451" t="str">
        <f>_xlfn.XLOOKUP(Pipeline_tbl[[#This Row],[Rep_ID]],Dim_Reps!A:A,Dim_Reps!C:C)</f>
        <v>SDR / Inside Sales Rep</v>
      </c>
      <c r="Q6451" t="str">
        <f>_xlfn.XLOOKUP(Pipeline_tbl[[#This Row],[Rep_ID]],Dim_Reps!A:A,Dim_Reps!D:D)</f>
        <v>Inside Sales</v>
      </c>
      <c r="R6451" t="str">
        <f>_xlfn.XLOOKUP(Pipeline_tbl[[#This Row],[Rep_ID]],Dim_Reps!A:A,Dim_Reps!E:E)</f>
        <v>NAMER</v>
      </c>
      <c r="S6451" t="str">
        <f>_xlfn.XLOOKUP(Pipeline_tbl[[#This Row],[Created_Date]],Dim_Date!A:A,Dim_Date!H:H)</f>
        <v>Apr 2025</v>
      </c>
      <c r="T6451" t="str">
        <f>IF(Pipeline_tbl[[#This Row],[Closed_Date]]=0,"",(_xlfn.XLOOKUP(Pipeline_tbl[[#This Row],[Closed_Date]],Dim_Date!A:A,Dim_Date!H:H)))</f>
        <v>May 2025</v>
      </c>
      <c r="U6451">
        <f>IF(Pipeline_tbl[[#This Row],[Closed_Date]]=0,"",Pipeline_tbl[[#This Row],[Closed_Date]]-Pipeline_tbl[[#This Row],[Created_Date]])</f>
        <v>25</v>
      </c>
    </row>
    <row r="6452" spans="1:21" ht="15" customHeight="1" x14ac:dyDescent="0.2">
      <c r="A6452" t="s">
        <v>6758</v>
      </c>
      <c r="B6452" t="s">
        <v>193</v>
      </c>
      <c r="C6452" t="s">
        <v>55</v>
      </c>
      <c r="D6452" s="49">
        <v>45771</v>
      </c>
      <c r="E6452" s="49">
        <v>45773</v>
      </c>
      <c r="F6452" s="49">
        <v>45776</v>
      </c>
      <c r="I6452" s="49">
        <v>45789</v>
      </c>
      <c r="J6452" t="s">
        <v>49</v>
      </c>
      <c r="K6452" s="33">
        <v>2000</v>
      </c>
      <c r="L6452" t="s">
        <v>63</v>
      </c>
      <c r="M6452" t="str">
        <f>_xlfn.XLOOKUP(Pipeline_tbl[[#This Row],[Rep_ID]],Dim_Reps!A:A,Dim_Reps!K:K)</f>
        <v>USD</v>
      </c>
      <c r="N6452" s="33">
        <f>(_xlfn.XLOOKUP(Pipeline_tbl[[#This Row],[Rate_Code_Generalized]],Lookups!A:A,Lookups!B:B))*Pipeline_tbl[[#This Row],[Pipeline_Amount_USD]]</f>
        <v>2328.6</v>
      </c>
      <c r="O6452" t="str">
        <f>_xlfn.XLOOKUP(Pipeline_tbl[[#This Row],[Rep_ID]],Dim_Reps!A:A,Dim_Reps!B:B)</f>
        <v>Karim Rossi</v>
      </c>
      <c r="P6452" t="str">
        <f>_xlfn.XLOOKUP(Pipeline_tbl[[#This Row],[Rep_ID]],Dim_Reps!A:A,Dim_Reps!C:C)</f>
        <v>SDR / Inside Sales Rep</v>
      </c>
      <c r="Q6452" t="str">
        <f>_xlfn.XLOOKUP(Pipeline_tbl[[#This Row],[Rep_ID]],Dim_Reps!A:A,Dim_Reps!D:D)</f>
        <v>Inside Sales</v>
      </c>
      <c r="R6452" t="str">
        <f>_xlfn.XLOOKUP(Pipeline_tbl[[#This Row],[Rep_ID]],Dim_Reps!A:A,Dim_Reps!E:E)</f>
        <v>NAMER</v>
      </c>
      <c r="S6452" t="str">
        <f>_xlfn.XLOOKUP(Pipeline_tbl[[#This Row],[Created_Date]],Dim_Date!A:A,Dim_Date!H:H)</f>
        <v>Apr 2025</v>
      </c>
      <c r="T6452" t="str">
        <f>IF(Pipeline_tbl[[#This Row],[Closed_Date]]=0,"",(_xlfn.XLOOKUP(Pipeline_tbl[[#This Row],[Closed_Date]],Dim_Date!A:A,Dim_Date!H:H)))</f>
        <v>May 2025</v>
      </c>
      <c r="U6452">
        <f>IF(Pipeline_tbl[[#This Row],[Closed_Date]]=0,"",Pipeline_tbl[[#This Row],[Closed_Date]]-Pipeline_tbl[[#This Row],[Created_Date]])</f>
        <v>18</v>
      </c>
    </row>
    <row r="6453" spans="1:21" ht="15" customHeight="1" x14ac:dyDescent="0.2">
      <c r="A6453" t="s">
        <v>6759</v>
      </c>
      <c r="B6453" t="s">
        <v>193</v>
      </c>
      <c r="C6453" t="s">
        <v>55</v>
      </c>
      <c r="D6453" s="49">
        <v>45777</v>
      </c>
      <c r="E6453" s="49">
        <v>45779</v>
      </c>
      <c r="F6453" s="49">
        <v>45783</v>
      </c>
      <c r="I6453" s="49">
        <v>45797</v>
      </c>
      <c r="J6453" t="s">
        <v>49</v>
      </c>
      <c r="K6453" s="33">
        <v>3100</v>
      </c>
      <c r="L6453" t="s">
        <v>60</v>
      </c>
      <c r="M6453" t="str">
        <f>_xlfn.XLOOKUP(Pipeline_tbl[[#This Row],[Rep_ID]],Dim_Reps!A:A,Dim_Reps!K:K)</f>
        <v>USD</v>
      </c>
      <c r="N6453" s="33">
        <f>(_xlfn.XLOOKUP(Pipeline_tbl[[#This Row],[Rate_Code_Generalized]],Lookups!A:A,Lookups!B:B))*Pipeline_tbl[[#This Row],[Pipeline_Amount_USD]]</f>
        <v>3609.3299999999995</v>
      </c>
      <c r="O6453" t="str">
        <f>_xlfn.XLOOKUP(Pipeline_tbl[[#This Row],[Rep_ID]],Dim_Reps!A:A,Dim_Reps!B:B)</f>
        <v>Karim Rossi</v>
      </c>
      <c r="P6453" t="str">
        <f>_xlfn.XLOOKUP(Pipeline_tbl[[#This Row],[Rep_ID]],Dim_Reps!A:A,Dim_Reps!C:C)</f>
        <v>SDR / Inside Sales Rep</v>
      </c>
      <c r="Q6453" t="str">
        <f>_xlfn.XLOOKUP(Pipeline_tbl[[#This Row],[Rep_ID]],Dim_Reps!A:A,Dim_Reps!D:D)</f>
        <v>Inside Sales</v>
      </c>
      <c r="R6453" t="str">
        <f>_xlfn.XLOOKUP(Pipeline_tbl[[#This Row],[Rep_ID]],Dim_Reps!A:A,Dim_Reps!E:E)</f>
        <v>NAMER</v>
      </c>
      <c r="S6453" t="str">
        <f>_xlfn.XLOOKUP(Pipeline_tbl[[#This Row],[Created_Date]],Dim_Date!A:A,Dim_Date!H:H)</f>
        <v>Apr 2025</v>
      </c>
      <c r="T6453" t="str">
        <f>IF(Pipeline_tbl[[#This Row],[Closed_Date]]=0,"",(_xlfn.XLOOKUP(Pipeline_tbl[[#This Row],[Closed_Date]],Dim_Date!A:A,Dim_Date!H:H)))</f>
        <v>May 2025</v>
      </c>
      <c r="U6453">
        <f>IF(Pipeline_tbl[[#This Row],[Closed_Date]]=0,"",Pipeline_tbl[[#This Row],[Closed_Date]]-Pipeline_tbl[[#This Row],[Created_Date]])</f>
        <v>20</v>
      </c>
    </row>
    <row r="6454" spans="1:21" ht="15" customHeight="1" x14ac:dyDescent="0.2">
      <c r="A6454" t="s">
        <v>6760</v>
      </c>
      <c r="B6454" t="s">
        <v>193</v>
      </c>
      <c r="C6454" t="s">
        <v>52</v>
      </c>
      <c r="D6454" s="49">
        <v>45758</v>
      </c>
      <c r="E6454" s="49">
        <v>45760</v>
      </c>
      <c r="F6454" s="49">
        <v>45765</v>
      </c>
      <c r="G6454" s="49">
        <v>45771</v>
      </c>
      <c r="H6454" s="49">
        <v>45777</v>
      </c>
      <c r="I6454" s="49">
        <v>45780</v>
      </c>
      <c r="J6454" t="s">
        <v>47</v>
      </c>
      <c r="K6454" s="33">
        <v>4000</v>
      </c>
      <c r="M6454" t="str">
        <f>_xlfn.XLOOKUP(Pipeline_tbl[[#This Row],[Rep_ID]],Dim_Reps!A:A,Dim_Reps!K:K)</f>
        <v>USD</v>
      </c>
      <c r="N6454" s="33">
        <f>(_xlfn.XLOOKUP(Pipeline_tbl[[#This Row],[Rate_Code_Generalized]],Lookups!A:A,Lookups!B:B))*Pipeline_tbl[[#This Row],[Pipeline_Amount_USD]]</f>
        <v>4657.2</v>
      </c>
      <c r="O6454" t="str">
        <f>_xlfn.XLOOKUP(Pipeline_tbl[[#This Row],[Rep_ID]],Dim_Reps!A:A,Dim_Reps!B:B)</f>
        <v>Karim Rossi</v>
      </c>
      <c r="P6454" t="str">
        <f>_xlfn.XLOOKUP(Pipeline_tbl[[#This Row],[Rep_ID]],Dim_Reps!A:A,Dim_Reps!C:C)</f>
        <v>SDR / Inside Sales Rep</v>
      </c>
      <c r="Q6454" t="str">
        <f>_xlfn.XLOOKUP(Pipeline_tbl[[#This Row],[Rep_ID]],Dim_Reps!A:A,Dim_Reps!D:D)</f>
        <v>Inside Sales</v>
      </c>
      <c r="R6454" t="str">
        <f>_xlfn.XLOOKUP(Pipeline_tbl[[#This Row],[Rep_ID]],Dim_Reps!A:A,Dim_Reps!E:E)</f>
        <v>NAMER</v>
      </c>
      <c r="S6454" t="str">
        <f>_xlfn.XLOOKUP(Pipeline_tbl[[#This Row],[Created_Date]],Dim_Date!A:A,Dim_Date!H:H)</f>
        <v>Apr 2025</v>
      </c>
      <c r="T6454" t="str">
        <f>IF(Pipeline_tbl[[#This Row],[Closed_Date]]=0,"",(_xlfn.XLOOKUP(Pipeline_tbl[[#This Row],[Closed_Date]],Dim_Date!A:A,Dim_Date!H:H)))</f>
        <v>May 2025</v>
      </c>
      <c r="U6454">
        <f>IF(Pipeline_tbl[[#This Row],[Closed_Date]]=0,"",Pipeline_tbl[[#This Row],[Closed_Date]]-Pipeline_tbl[[#This Row],[Created_Date]])</f>
        <v>22</v>
      </c>
    </row>
    <row r="6455" spans="1:21" ht="15" customHeight="1" x14ac:dyDescent="0.2">
      <c r="A6455" t="s">
        <v>6761</v>
      </c>
      <c r="B6455" t="s">
        <v>193</v>
      </c>
      <c r="C6455" t="s">
        <v>53</v>
      </c>
      <c r="D6455" s="49">
        <v>45773</v>
      </c>
      <c r="E6455" s="49">
        <v>45775</v>
      </c>
      <c r="F6455" s="49">
        <v>45779</v>
      </c>
      <c r="G6455" s="49">
        <v>45784</v>
      </c>
      <c r="I6455" s="49">
        <v>45792</v>
      </c>
      <c r="J6455" t="s">
        <v>49</v>
      </c>
      <c r="K6455" s="33">
        <v>2500</v>
      </c>
      <c r="L6455" t="s">
        <v>63</v>
      </c>
      <c r="M6455" t="str">
        <f>_xlfn.XLOOKUP(Pipeline_tbl[[#This Row],[Rep_ID]],Dim_Reps!A:A,Dim_Reps!K:K)</f>
        <v>USD</v>
      </c>
      <c r="N6455" s="33">
        <f>(_xlfn.XLOOKUP(Pipeline_tbl[[#This Row],[Rate_Code_Generalized]],Lookups!A:A,Lookups!B:B))*Pipeline_tbl[[#This Row],[Pipeline_Amount_USD]]</f>
        <v>2910.7499999999995</v>
      </c>
      <c r="O6455" t="str">
        <f>_xlfn.XLOOKUP(Pipeline_tbl[[#This Row],[Rep_ID]],Dim_Reps!A:A,Dim_Reps!B:B)</f>
        <v>Karim Rossi</v>
      </c>
      <c r="P6455" t="str">
        <f>_xlfn.XLOOKUP(Pipeline_tbl[[#This Row],[Rep_ID]],Dim_Reps!A:A,Dim_Reps!C:C)</f>
        <v>SDR / Inside Sales Rep</v>
      </c>
      <c r="Q6455" t="str">
        <f>_xlfn.XLOOKUP(Pipeline_tbl[[#This Row],[Rep_ID]],Dim_Reps!A:A,Dim_Reps!D:D)</f>
        <v>Inside Sales</v>
      </c>
      <c r="R6455" t="str">
        <f>_xlfn.XLOOKUP(Pipeline_tbl[[#This Row],[Rep_ID]],Dim_Reps!A:A,Dim_Reps!E:E)</f>
        <v>NAMER</v>
      </c>
      <c r="S6455" t="str">
        <f>_xlfn.XLOOKUP(Pipeline_tbl[[#This Row],[Created_Date]],Dim_Date!A:A,Dim_Date!H:H)</f>
        <v>Apr 2025</v>
      </c>
      <c r="T6455" t="str">
        <f>IF(Pipeline_tbl[[#This Row],[Closed_Date]]=0,"",(_xlfn.XLOOKUP(Pipeline_tbl[[#This Row],[Closed_Date]],Dim_Date!A:A,Dim_Date!H:H)))</f>
        <v>May 2025</v>
      </c>
      <c r="U6455">
        <f>IF(Pipeline_tbl[[#This Row],[Closed_Date]]=0,"",Pipeline_tbl[[#This Row],[Closed_Date]]-Pipeline_tbl[[#This Row],[Created_Date]])</f>
        <v>19</v>
      </c>
    </row>
    <row r="6456" spans="1:21" ht="15" customHeight="1" x14ac:dyDescent="0.2">
      <c r="A6456" t="s">
        <v>6762</v>
      </c>
      <c r="B6456" t="s">
        <v>243</v>
      </c>
      <c r="C6456" t="s">
        <v>52</v>
      </c>
      <c r="D6456" s="49">
        <v>45767</v>
      </c>
      <c r="E6456" s="49">
        <v>45769</v>
      </c>
      <c r="F6456" s="49">
        <v>45772</v>
      </c>
      <c r="G6456" s="49">
        <v>45778</v>
      </c>
      <c r="H6456" s="49">
        <v>45782</v>
      </c>
      <c r="I6456" s="49">
        <v>45785</v>
      </c>
      <c r="J6456" t="s">
        <v>47</v>
      </c>
      <c r="K6456" s="33">
        <v>11100</v>
      </c>
      <c r="M6456" t="str">
        <f>_xlfn.XLOOKUP(Pipeline_tbl[[#This Row],[Rep_ID]],Dim_Reps!A:A,Dim_Reps!K:K)</f>
        <v>MXN</v>
      </c>
      <c r="N6456" s="33">
        <f>(_xlfn.XLOOKUP(Pipeline_tbl[[#This Row],[Rate_Code_Generalized]],Lookups!A:A,Lookups!B:B))*Pipeline_tbl[[#This Row],[Pipeline_Amount_USD]]</f>
        <v>219032.97</v>
      </c>
      <c r="O6456" t="str">
        <f>_xlfn.XLOOKUP(Pipeline_tbl[[#This Row],[Rep_ID]],Dim_Reps!A:A,Dim_Reps!B:B)</f>
        <v>Jonas Sato</v>
      </c>
      <c r="P6456" t="str">
        <f>_xlfn.XLOOKUP(Pipeline_tbl[[#This Row],[Rep_ID]],Dim_Reps!A:A,Dim_Reps!C:C)</f>
        <v>Mid-Market AE</v>
      </c>
      <c r="Q6456" t="str">
        <f>_xlfn.XLOOKUP(Pipeline_tbl[[#This Row],[Rep_ID]],Dim_Reps!A:A,Dim_Reps!D:D)</f>
        <v>Mid-Market</v>
      </c>
      <c r="R6456" t="str">
        <f>_xlfn.XLOOKUP(Pipeline_tbl[[#This Row],[Rep_ID]],Dim_Reps!A:A,Dim_Reps!E:E)</f>
        <v>LATAM</v>
      </c>
      <c r="S6456" t="str">
        <f>_xlfn.XLOOKUP(Pipeline_tbl[[#This Row],[Created_Date]],Dim_Date!A:A,Dim_Date!H:H)</f>
        <v>Apr 2025</v>
      </c>
      <c r="T6456" t="str">
        <f>IF(Pipeline_tbl[[#This Row],[Closed_Date]]=0,"",(_xlfn.XLOOKUP(Pipeline_tbl[[#This Row],[Closed_Date]],Dim_Date!A:A,Dim_Date!H:H)))</f>
        <v>May 2025</v>
      </c>
      <c r="U6456">
        <f>IF(Pipeline_tbl[[#This Row],[Closed_Date]]=0,"",Pipeline_tbl[[#This Row],[Closed_Date]]-Pipeline_tbl[[#This Row],[Created_Date]])</f>
        <v>18</v>
      </c>
    </row>
    <row r="6457" spans="1:21" ht="15" customHeight="1" x14ac:dyDescent="0.2">
      <c r="A6457" t="s">
        <v>6763</v>
      </c>
      <c r="B6457" t="s">
        <v>243</v>
      </c>
      <c r="C6457" t="s">
        <v>52</v>
      </c>
      <c r="D6457" s="49">
        <v>45758</v>
      </c>
      <c r="E6457" s="49">
        <v>45761</v>
      </c>
      <c r="F6457" s="49">
        <v>45768</v>
      </c>
      <c r="G6457" s="49">
        <v>45777</v>
      </c>
      <c r="H6457" s="49">
        <v>45785</v>
      </c>
      <c r="I6457" s="49">
        <v>45790</v>
      </c>
      <c r="J6457" t="s">
        <v>49</v>
      </c>
      <c r="K6457" s="33">
        <v>10700</v>
      </c>
      <c r="L6457" t="s">
        <v>62</v>
      </c>
      <c r="M6457" t="str">
        <f>_xlfn.XLOOKUP(Pipeline_tbl[[#This Row],[Rep_ID]],Dim_Reps!A:A,Dim_Reps!K:K)</f>
        <v>MXN</v>
      </c>
      <c r="N6457" s="33">
        <f>(_xlfn.XLOOKUP(Pipeline_tbl[[#This Row],[Rate_Code_Generalized]],Lookups!A:A,Lookups!B:B))*Pipeline_tbl[[#This Row],[Pipeline_Amount_USD]]</f>
        <v>211139.89</v>
      </c>
      <c r="O6457" t="str">
        <f>_xlfn.XLOOKUP(Pipeline_tbl[[#This Row],[Rep_ID]],Dim_Reps!A:A,Dim_Reps!B:B)</f>
        <v>Jonas Sato</v>
      </c>
      <c r="P6457" t="str">
        <f>_xlfn.XLOOKUP(Pipeline_tbl[[#This Row],[Rep_ID]],Dim_Reps!A:A,Dim_Reps!C:C)</f>
        <v>Mid-Market AE</v>
      </c>
      <c r="Q6457" t="str">
        <f>_xlfn.XLOOKUP(Pipeline_tbl[[#This Row],[Rep_ID]],Dim_Reps!A:A,Dim_Reps!D:D)</f>
        <v>Mid-Market</v>
      </c>
      <c r="R6457" t="str">
        <f>_xlfn.XLOOKUP(Pipeline_tbl[[#This Row],[Rep_ID]],Dim_Reps!A:A,Dim_Reps!E:E)</f>
        <v>LATAM</v>
      </c>
      <c r="S6457" t="str">
        <f>_xlfn.XLOOKUP(Pipeline_tbl[[#This Row],[Created_Date]],Dim_Date!A:A,Dim_Date!H:H)</f>
        <v>Apr 2025</v>
      </c>
      <c r="T6457" t="str">
        <f>IF(Pipeline_tbl[[#This Row],[Closed_Date]]=0,"",(_xlfn.XLOOKUP(Pipeline_tbl[[#This Row],[Closed_Date]],Dim_Date!A:A,Dim_Date!H:H)))</f>
        <v>May 2025</v>
      </c>
      <c r="U6457">
        <f>IF(Pipeline_tbl[[#This Row],[Closed_Date]]=0,"",Pipeline_tbl[[#This Row],[Closed_Date]]-Pipeline_tbl[[#This Row],[Created_Date]])</f>
        <v>32</v>
      </c>
    </row>
    <row r="6458" spans="1:21" ht="15" customHeight="1" x14ac:dyDescent="0.2">
      <c r="A6458" t="s">
        <v>6764</v>
      </c>
      <c r="B6458" t="s">
        <v>243</v>
      </c>
      <c r="C6458" t="s">
        <v>53</v>
      </c>
      <c r="D6458" s="49">
        <v>45772</v>
      </c>
      <c r="E6458" s="49">
        <v>45775</v>
      </c>
      <c r="F6458" s="49">
        <v>45780</v>
      </c>
      <c r="I6458" s="49">
        <v>45800</v>
      </c>
      <c r="J6458" t="s">
        <v>49</v>
      </c>
      <c r="K6458" s="33">
        <v>17800</v>
      </c>
      <c r="L6458" t="s">
        <v>60</v>
      </c>
      <c r="M6458" t="str">
        <f>_xlfn.XLOOKUP(Pipeline_tbl[[#This Row],[Rep_ID]],Dim_Reps!A:A,Dim_Reps!K:K)</f>
        <v>MXN</v>
      </c>
      <c r="N6458" s="33">
        <f>(_xlfn.XLOOKUP(Pipeline_tbl[[#This Row],[Rate_Code_Generalized]],Lookups!A:A,Lookups!B:B))*Pipeline_tbl[[#This Row],[Pipeline_Amount_USD]]</f>
        <v>351242.06</v>
      </c>
      <c r="O6458" t="str">
        <f>_xlfn.XLOOKUP(Pipeline_tbl[[#This Row],[Rep_ID]],Dim_Reps!A:A,Dim_Reps!B:B)</f>
        <v>Jonas Sato</v>
      </c>
      <c r="P6458" t="str">
        <f>_xlfn.XLOOKUP(Pipeline_tbl[[#This Row],[Rep_ID]],Dim_Reps!A:A,Dim_Reps!C:C)</f>
        <v>Mid-Market AE</v>
      </c>
      <c r="Q6458" t="str">
        <f>_xlfn.XLOOKUP(Pipeline_tbl[[#This Row],[Rep_ID]],Dim_Reps!A:A,Dim_Reps!D:D)</f>
        <v>Mid-Market</v>
      </c>
      <c r="R6458" t="str">
        <f>_xlfn.XLOOKUP(Pipeline_tbl[[#This Row],[Rep_ID]],Dim_Reps!A:A,Dim_Reps!E:E)</f>
        <v>LATAM</v>
      </c>
      <c r="S6458" t="str">
        <f>_xlfn.XLOOKUP(Pipeline_tbl[[#This Row],[Created_Date]],Dim_Date!A:A,Dim_Date!H:H)</f>
        <v>Apr 2025</v>
      </c>
      <c r="T6458" t="str">
        <f>IF(Pipeline_tbl[[#This Row],[Closed_Date]]=0,"",(_xlfn.XLOOKUP(Pipeline_tbl[[#This Row],[Closed_Date]],Dim_Date!A:A,Dim_Date!H:H)))</f>
        <v>May 2025</v>
      </c>
      <c r="U6458">
        <f>IF(Pipeline_tbl[[#This Row],[Closed_Date]]=0,"",Pipeline_tbl[[#This Row],[Closed_Date]]-Pipeline_tbl[[#This Row],[Created_Date]])</f>
        <v>28</v>
      </c>
    </row>
    <row r="6459" spans="1:21" ht="15" customHeight="1" x14ac:dyDescent="0.2">
      <c r="A6459" t="s">
        <v>6765</v>
      </c>
      <c r="B6459" t="s">
        <v>243</v>
      </c>
      <c r="C6459" t="s">
        <v>52</v>
      </c>
      <c r="D6459" s="49">
        <v>45776</v>
      </c>
      <c r="E6459" s="49">
        <v>45778</v>
      </c>
      <c r="F6459" s="49">
        <v>45782</v>
      </c>
      <c r="I6459" s="49">
        <v>45797</v>
      </c>
      <c r="J6459" t="s">
        <v>49</v>
      </c>
      <c r="K6459" s="33">
        <v>8500</v>
      </c>
      <c r="L6459" t="s">
        <v>60</v>
      </c>
      <c r="M6459" t="str">
        <f>_xlfn.XLOOKUP(Pipeline_tbl[[#This Row],[Rep_ID]],Dim_Reps!A:A,Dim_Reps!K:K)</f>
        <v>MXN</v>
      </c>
      <c r="N6459" s="33">
        <f>(_xlfn.XLOOKUP(Pipeline_tbl[[#This Row],[Rate_Code_Generalized]],Lookups!A:A,Lookups!B:B))*Pipeline_tbl[[#This Row],[Pipeline_Amount_USD]]</f>
        <v>167727.95000000001</v>
      </c>
      <c r="O6459" t="str">
        <f>_xlfn.XLOOKUP(Pipeline_tbl[[#This Row],[Rep_ID]],Dim_Reps!A:A,Dim_Reps!B:B)</f>
        <v>Jonas Sato</v>
      </c>
      <c r="P6459" t="str">
        <f>_xlfn.XLOOKUP(Pipeline_tbl[[#This Row],[Rep_ID]],Dim_Reps!A:A,Dim_Reps!C:C)</f>
        <v>Mid-Market AE</v>
      </c>
      <c r="Q6459" t="str">
        <f>_xlfn.XLOOKUP(Pipeline_tbl[[#This Row],[Rep_ID]],Dim_Reps!A:A,Dim_Reps!D:D)</f>
        <v>Mid-Market</v>
      </c>
      <c r="R6459" t="str">
        <f>_xlfn.XLOOKUP(Pipeline_tbl[[#This Row],[Rep_ID]],Dim_Reps!A:A,Dim_Reps!E:E)</f>
        <v>LATAM</v>
      </c>
      <c r="S6459" t="str">
        <f>_xlfn.XLOOKUP(Pipeline_tbl[[#This Row],[Created_Date]],Dim_Date!A:A,Dim_Date!H:H)</f>
        <v>Apr 2025</v>
      </c>
      <c r="T6459" t="str">
        <f>IF(Pipeline_tbl[[#This Row],[Closed_Date]]=0,"",(_xlfn.XLOOKUP(Pipeline_tbl[[#This Row],[Closed_Date]],Dim_Date!A:A,Dim_Date!H:H)))</f>
        <v>May 2025</v>
      </c>
      <c r="U6459">
        <f>IF(Pipeline_tbl[[#This Row],[Closed_Date]]=0,"",Pipeline_tbl[[#This Row],[Closed_Date]]-Pipeline_tbl[[#This Row],[Created_Date]])</f>
        <v>21</v>
      </c>
    </row>
    <row r="6460" spans="1:21" ht="15" customHeight="1" x14ac:dyDescent="0.2">
      <c r="A6460" t="s">
        <v>6766</v>
      </c>
      <c r="B6460" t="s">
        <v>243</v>
      </c>
      <c r="C6460" t="s">
        <v>55</v>
      </c>
      <c r="D6460" s="49">
        <v>45762</v>
      </c>
      <c r="E6460" s="49">
        <v>45764</v>
      </c>
      <c r="I6460" s="49">
        <v>45787</v>
      </c>
      <c r="J6460" t="s">
        <v>49</v>
      </c>
      <c r="K6460" s="33">
        <v>10000</v>
      </c>
      <c r="L6460" t="s">
        <v>60</v>
      </c>
      <c r="M6460" t="str">
        <f>_xlfn.XLOOKUP(Pipeline_tbl[[#This Row],[Rep_ID]],Dim_Reps!A:A,Dim_Reps!K:K)</f>
        <v>MXN</v>
      </c>
      <c r="N6460" s="33">
        <f>(_xlfn.XLOOKUP(Pipeline_tbl[[#This Row],[Rate_Code_Generalized]],Lookups!A:A,Lookups!B:B))*Pipeline_tbl[[#This Row],[Pipeline_Amount_USD]]</f>
        <v>197327</v>
      </c>
      <c r="O6460" t="str">
        <f>_xlfn.XLOOKUP(Pipeline_tbl[[#This Row],[Rep_ID]],Dim_Reps!A:A,Dim_Reps!B:B)</f>
        <v>Jonas Sato</v>
      </c>
      <c r="P6460" t="str">
        <f>_xlfn.XLOOKUP(Pipeline_tbl[[#This Row],[Rep_ID]],Dim_Reps!A:A,Dim_Reps!C:C)</f>
        <v>Mid-Market AE</v>
      </c>
      <c r="Q6460" t="str">
        <f>_xlfn.XLOOKUP(Pipeline_tbl[[#This Row],[Rep_ID]],Dim_Reps!A:A,Dim_Reps!D:D)</f>
        <v>Mid-Market</v>
      </c>
      <c r="R6460" t="str">
        <f>_xlfn.XLOOKUP(Pipeline_tbl[[#This Row],[Rep_ID]],Dim_Reps!A:A,Dim_Reps!E:E)</f>
        <v>LATAM</v>
      </c>
      <c r="S6460" t="str">
        <f>_xlfn.XLOOKUP(Pipeline_tbl[[#This Row],[Created_Date]],Dim_Date!A:A,Dim_Date!H:H)</f>
        <v>Apr 2025</v>
      </c>
      <c r="T6460" t="str">
        <f>IF(Pipeline_tbl[[#This Row],[Closed_Date]]=0,"",(_xlfn.XLOOKUP(Pipeline_tbl[[#This Row],[Closed_Date]],Dim_Date!A:A,Dim_Date!H:H)))</f>
        <v>May 2025</v>
      </c>
      <c r="U6460">
        <f>IF(Pipeline_tbl[[#This Row],[Closed_Date]]=0,"",Pipeline_tbl[[#This Row],[Closed_Date]]-Pipeline_tbl[[#This Row],[Created_Date]])</f>
        <v>25</v>
      </c>
    </row>
    <row r="6461" spans="1:21" ht="15" customHeight="1" x14ac:dyDescent="0.2">
      <c r="A6461" t="s">
        <v>6767</v>
      </c>
      <c r="B6461" t="s">
        <v>243</v>
      </c>
      <c r="C6461" t="s">
        <v>53</v>
      </c>
      <c r="D6461" s="49">
        <v>45767</v>
      </c>
      <c r="E6461" s="49">
        <v>45769</v>
      </c>
      <c r="F6461" s="49">
        <v>45772</v>
      </c>
      <c r="G6461" s="49">
        <v>45777</v>
      </c>
      <c r="I6461" s="49">
        <v>45783</v>
      </c>
      <c r="J6461" t="s">
        <v>49</v>
      </c>
      <c r="K6461" s="33">
        <v>15500</v>
      </c>
      <c r="L6461" t="s">
        <v>60</v>
      </c>
      <c r="M6461" t="str">
        <f>_xlfn.XLOOKUP(Pipeline_tbl[[#This Row],[Rep_ID]],Dim_Reps!A:A,Dim_Reps!K:K)</f>
        <v>MXN</v>
      </c>
      <c r="N6461" s="33">
        <f>(_xlfn.XLOOKUP(Pipeline_tbl[[#This Row],[Rate_Code_Generalized]],Lookups!A:A,Lookups!B:B))*Pipeline_tbl[[#This Row],[Pipeline_Amount_USD]]</f>
        <v>305856.85000000003</v>
      </c>
      <c r="O6461" t="str">
        <f>_xlfn.XLOOKUP(Pipeline_tbl[[#This Row],[Rep_ID]],Dim_Reps!A:A,Dim_Reps!B:B)</f>
        <v>Jonas Sato</v>
      </c>
      <c r="P6461" t="str">
        <f>_xlfn.XLOOKUP(Pipeline_tbl[[#This Row],[Rep_ID]],Dim_Reps!A:A,Dim_Reps!C:C)</f>
        <v>Mid-Market AE</v>
      </c>
      <c r="Q6461" t="str">
        <f>_xlfn.XLOOKUP(Pipeline_tbl[[#This Row],[Rep_ID]],Dim_Reps!A:A,Dim_Reps!D:D)</f>
        <v>Mid-Market</v>
      </c>
      <c r="R6461" t="str">
        <f>_xlfn.XLOOKUP(Pipeline_tbl[[#This Row],[Rep_ID]],Dim_Reps!A:A,Dim_Reps!E:E)</f>
        <v>LATAM</v>
      </c>
      <c r="S6461" t="str">
        <f>_xlfn.XLOOKUP(Pipeline_tbl[[#This Row],[Created_Date]],Dim_Date!A:A,Dim_Date!H:H)</f>
        <v>Apr 2025</v>
      </c>
      <c r="T6461" t="str">
        <f>IF(Pipeline_tbl[[#This Row],[Closed_Date]]=0,"",(_xlfn.XLOOKUP(Pipeline_tbl[[#This Row],[Closed_Date]],Dim_Date!A:A,Dim_Date!H:H)))</f>
        <v>May 2025</v>
      </c>
      <c r="U6461">
        <f>IF(Pipeline_tbl[[#This Row],[Closed_Date]]=0,"",Pipeline_tbl[[#This Row],[Closed_Date]]-Pipeline_tbl[[#This Row],[Created_Date]])</f>
        <v>16</v>
      </c>
    </row>
    <row r="6462" spans="1:21" ht="15" customHeight="1" x14ac:dyDescent="0.2">
      <c r="A6462" t="s">
        <v>6768</v>
      </c>
      <c r="B6462" t="s">
        <v>196</v>
      </c>
      <c r="C6462" t="s">
        <v>52</v>
      </c>
      <c r="D6462" s="49">
        <v>45754</v>
      </c>
      <c r="E6462" s="49">
        <v>45757</v>
      </c>
      <c r="F6462" s="49">
        <v>45762</v>
      </c>
      <c r="G6462" s="49">
        <v>45771</v>
      </c>
      <c r="H6462" s="49">
        <v>45778</v>
      </c>
      <c r="I6462" s="49">
        <v>45782</v>
      </c>
      <c r="J6462" t="s">
        <v>49</v>
      </c>
      <c r="K6462" s="33">
        <v>7500</v>
      </c>
      <c r="L6462" t="s">
        <v>61</v>
      </c>
      <c r="M6462" t="str">
        <f>_xlfn.XLOOKUP(Pipeline_tbl[[#This Row],[Rep_ID]],Dim_Reps!A:A,Dim_Reps!K:K)</f>
        <v>EUR</v>
      </c>
      <c r="N6462" s="33">
        <f>(_xlfn.XLOOKUP(Pipeline_tbl[[#This Row],[Rate_Code_Generalized]],Lookups!A:A,Lookups!B:B))*Pipeline_tbl[[#This Row],[Pipeline_Amount_USD]]</f>
        <v>7500</v>
      </c>
      <c r="O6462" t="str">
        <f>_xlfn.XLOOKUP(Pipeline_tbl[[#This Row],[Rep_ID]],Dim_Reps!A:A,Dim_Reps!B:B)</f>
        <v>Alex Okafor</v>
      </c>
      <c r="P6462" t="str">
        <f>_xlfn.XLOOKUP(Pipeline_tbl[[#This Row],[Rep_ID]],Dim_Reps!A:A,Dim_Reps!C:C)</f>
        <v>SDR / Inside Sales Rep</v>
      </c>
      <c r="Q6462" t="str">
        <f>_xlfn.XLOOKUP(Pipeline_tbl[[#This Row],[Rep_ID]],Dim_Reps!A:A,Dim_Reps!D:D)</f>
        <v>Inside Sales</v>
      </c>
      <c r="R6462" t="str">
        <f>_xlfn.XLOOKUP(Pipeline_tbl[[#This Row],[Rep_ID]],Dim_Reps!A:A,Dim_Reps!E:E)</f>
        <v>EMEA</v>
      </c>
      <c r="S6462" t="str">
        <f>_xlfn.XLOOKUP(Pipeline_tbl[[#This Row],[Created_Date]],Dim_Date!A:A,Dim_Date!H:H)</f>
        <v>Apr 2025</v>
      </c>
      <c r="T6462" t="str">
        <f>IF(Pipeline_tbl[[#This Row],[Closed_Date]]=0,"",(_xlfn.XLOOKUP(Pipeline_tbl[[#This Row],[Closed_Date]],Dim_Date!A:A,Dim_Date!H:H)))</f>
        <v>May 2025</v>
      </c>
      <c r="U6462">
        <f>IF(Pipeline_tbl[[#This Row],[Closed_Date]]=0,"",Pipeline_tbl[[#This Row],[Closed_Date]]-Pipeline_tbl[[#This Row],[Created_Date]])</f>
        <v>28</v>
      </c>
    </row>
    <row r="6463" spans="1:21" ht="15" customHeight="1" x14ac:dyDescent="0.2">
      <c r="A6463" t="s">
        <v>6769</v>
      </c>
      <c r="B6463" t="s">
        <v>196</v>
      </c>
      <c r="C6463" t="s">
        <v>52</v>
      </c>
      <c r="D6463" s="49">
        <v>45772</v>
      </c>
      <c r="E6463" s="49">
        <v>45773</v>
      </c>
      <c r="F6463" s="49">
        <v>45774</v>
      </c>
      <c r="G6463" s="49">
        <v>45776</v>
      </c>
      <c r="H6463" s="49">
        <v>45777</v>
      </c>
      <c r="I6463" s="49">
        <v>45778</v>
      </c>
      <c r="J6463" t="s">
        <v>47</v>
      </c>
      <c r="K6463" s="33">
        <v>5400</v>
      </c>
      <c r="M6463" t="str">
        <f>_xlfn.XLOOKUP(Pipeline_tbl[[#This Row],[Rep_ID]],Dim_Reps!A:A,Dim_Reps!K:K)</f>
        <v>EUR</v>
      </c>
      <c r="N6463" s="33">
        <f>(_xlfn.XLOOKUP(Pipeline_tbl[[#This Row],[Rate_Code_Generalized]],Lookups!A:A,Lookups!B:B))*Pipeline_tbl[[#This Row],[Pipeline_Amount_USD]]</f>
        <v>5400</v>
      </c>
      <c r="O6463" t="str">
        <f>_xlfn.XLOOKUP(Pipeline_tbl[[#This Row],[Rep_ID]],Dim_Reps!A:A,Dim_Reps!B:B)</f>
        <v>Alex Okafor</v>
      </c>
      <c r="P6463" t="str">
        <f>_xlfn.XLOOKUP(Pipeline_tbl[[#This Row],[Rep_ID]],Dim_Reps!A:A,Dim_Reps!C:C)</f>
        <v>SDR / Inside Sales Rep</v>
      </c>
      <c r="Q6463" t="str">
        <f>_xlfn.XLOOKUP(Pipeline_tbl[[#This Row],[Rep_ID]],Dim_Reps!A:A,Dim_Reps!D:D)</f>
        <v>Inside Sales</v>
      </c>
      <c r="R6463" t="str">
        <f>_xlfn.XLOOKUP(Pipeline_tbl[[#This Row],[Rep_ID]],Dim_Reps!A:A,Dim_Reps!E:E)</f>
        <v>EMEA</v>
      </c>
      <c r="S6463" t="str">
        <f>_xlfn.XLOOKUP(Pipeline_tbl[[#This Row],[Created_Date]],Dim_Date!A:A,Dim_Date!H:H)</f>
        <v>Apr 2025</v>
      </c>
      <c r="T6463" t="str">
        <f>IF(Pipeline_tbl[[#This Row],[Closed_Date]]=0,"",(_xlfn.XLOOKUP(Pipeline_tbl[[#This Row],[Closed_Date]],Dim_Date!A:A,Dim_Date!H:H)))</f>
        <v>May 2025</v>
      </c>
      <c r="U6463">
        <f>IF(Pipeline_tbl[[#This Row],[Closed_Date]]=0,"",Pipeline_tbl[[#This Row],[Closed_Date]]-Pipeline_tbl[[#This Row],[Created_Date]])</f>
        <v>6</v>
      </c>
    </row>
    <row r="6464" spans="1:21" ht="15" customHeight="1" x14ac:dyDescent="0.2">
      <c r="A6464" t="s">
        <v>6770</v>
      </c>
      <c r="B6464" t="s">
        <v>199</v>
      </c>
      <c r="C6464" t="s">
        <v>56</v>
      </c>
      <c r="D6464" s="49">
        <v>45768</v>
      </c>
      <c r="E6464" s="49">
        <v>45769</v>
      </c>
      <c r="F6464" s="49">
        <v>45772</v>
      </c>
      <c r="I6464" s="49">
        <v>45782</v>
      </c>
      <c r="J6464" t="s">
        <v>49</v>
      </c>
      <c r="K6464" s="33">
        <v>6800</v>
      </c>
      <c r="L6464" t="s">
        <v>60</v>
      </c>
      <c r="M6464" t="str">
        <f>_xlfn.XLOOKUP(Pipeline_tbl[[#This Row],[Rep_ID]],Dim_Reps!A:A,Dim_Reps!K:K)</f>
        <v>EUR</v>
      </c>
      <c r="N6464" s="33">
        <f>(_xlfn.XLOOKUP(Pipeline_tbl[[#This Row],[Rate_Code_Generalized]],Lookups!A:A,Lookups!B:B))*Pipeline_tbl[[#This Row],[Pipeline_Amount_USD]]</f>
        <v>6800</v>
      </c>
      <c r="O6464" t="str">
        <f>_xlfn.XLOOKUP(Pipeline_tbl[[#This Row],[Rep_ID]],Dim_Reps!A:A,Dim_Reps!B:B)</f>
        <v>Lucas Okafor</v>
      </c>
      <c r="P6464" t="str">
        <f>_xlfn.XLOOKUP(Pipeline_tbl[[#This Row],[Rep_ID]],Dim_Reps!A:A,Dim_Reps!C:C)</f>
        <v>SDR / Inside Sales Rep</v>
      </c>
      <c r="Q6464" t="str">
        <f>_xlfn.XLOOKUP(Pipeline_tbl[[#This Row],[Rep_ID]],Dim_Reps!A:A,Dim_Reps!D:D)</f>
        <v>Inside Sales</v>
      </c>
      <c r="R6464" t="str">
        <f>_xlfn.XLOOKUP(Pipeline_tbl[[#This Row],[Rep_ID]],Dim_Reps!A:A,Dim_Reps!E:E)</f>
        <v>APAC</v>
      </c>
      <c r="S6464" t="str">
        <f>_xlfn.XLOOKUP(Pipeline_tbl[[#This Row],[Created_Date]],Dim_Date!A:A,Dim_Date!H:H)</f>
        <v>Apr 2025</v>
      </c>
      <c r="T6464" t="str">
        <f>IF(Pipeline_tbl[[#This Row],[Closed_Date]]=0,"",(_xlfn.XLOOKUP(Pipeline_tbl[[#This Row],[Closed_Date]],Dim_Date!A:A,Dim_Date!H:H)))</f>
        <v>May 2025</v>
      </c>
      <c r="U6464">
        <f>IF(Pipeline_tbl[[#This Row],[Closed_Date]]=0,"",Pipeline_tbl[[#This Row],[Closed_Date]]-Pipeline_tbl[[#This Row],[Created_Date]])</f>
        <v>14</v>
      </c>
    </row>
    <row r="6465" spans="1:21" ht="15" customHeight="1" x14ac:dyDescent="0.2">
      <c r="A6465" t="s">
        <v>6771</v>
      </c>
      <c r="B6465" t="s">
        <v>199</v>
      </c>
      <c r="C6465" t="s">
        <v>52</v>
      </c>
      <c r="D6465" s="49">
        <v>45775</v>
      </c>
      <c r="E6465" s="49">
        <v>45777</v>
      </c>
      <c r="F6465" s="49">
        <v>45780</v>
      </c>
      <c r="G6465" s="49">
        <v>45784</v>
      </c>
      <c r="H6465" s="49">
        <v>45788</v>
      </c>
      <c r="I6465" s="49">
        <v>45790</v>
      </c>
      <c r="J6465" t="s">
        <v>47</v>
      </c>
      <c r="K6465" s="33">
        <v>1800</v>
      </c>
      <c r="M6465" t="str">
        <f>_xlfn.XLOOKUP(Pipeline_tbl[[#This Row],[Rep_ID]],Dim_Reps!A:A,Dim_Reps!K:K)</f>
        <v>EUR</v>
      </c>
      <c r="N6465" s="33">
        <f>(_xlfn.XLOOKUP(Pipeline_tbl[[#This Row],[Rate_Code_Generalized]],Lookups!A:A,Lookups!B:B))*Pipeline_tbl[[#This Row],[Pipeline_Amount_USD]]</f>
        <v>1800</v>
      </c>
      <c r="O6465" t="str">
        <f>_xlfn.XLOOKUP(Pipeline_tbl[[#This Row],[Rep_ID]],Dim_Reps!A:A,Dim_Reps!B:B)</f>
        <v>Lucas Okafor</v>
      </c>
      <c r="P6465" t="str">
        <f>_xlfn.XLOOKUP(Pipeline_tbl[[#This Row],[Rep_ID]],Dim_Reps!A:A,Dim_Reps!C:C)</f>
        <v>SDR / Inside Sales Rep</v>
      </c>
      <c r="Q6465" t="str">
        <f>_xlfn.XLOOKUP(Pipeline_tbl[[#This Row],[Rep_ID]],Dim_Reps!A:A,Dim_Reps!D:D)</f>
        <v>Inside Sales</v>
      </c>
      <c r="R6465" t="str">
        <f>_xlfn.XLOOKUP(Pipeline_tbl[[#This Row],[Rep_ID]],Dim_Reps!A:A,Dim_Reps!E:E)</f>
        <v>APAC</v>
      </c>
      <c r="S6465" t="str">
        <f>_xlfn.XLOOKUP(Pipeline_tbl[[#This Row],[Created_Date]],Dim_Date!A:A,Dim_Date!H:H)</f>
        <v>Apr 2025</v>
      </c>
      <c r="T6465" t="str">
        <f>IF(Pipeline_tbl[[#This Row],[Closed_Date]]=0,"",(_xlfn.XLOOKUP(Pipeline_tbl[[#This Row],[Closed_Date]],Dim_Date!A:A,Dim_Date!H:H)))</f>
        <v>May 2025</v>
      </c>
      <c r="U6465">
        <f>IF(Pipeline_tbl[[#This Row],[Closed_Date]]=0,"",Pipeline_tbl[[#This Row],[Closed_Date]]-Pipeline_tbl[[#This Row],[Created_Date]])</f>
        <v>15</v>
      </c>
    </row>
    <row r="6466" spans="1:21" ht="15" customHeight="1" x14ac:dyDescent="0.2">
      <c r="A6466" t="s">
        <v>6772</v>
      </c>
      <c r="B6466" t="s">
        <v>199</v>
      </c>
      <c r="C6466" t="s">
        <v>55</v>
      </c>
      <c r="D6466" s="49">
        <v>45772</v>
      </c>
      <c r="E6466" s="49">
        <v>45774</v>
      </c>
      <c r="F6466" s="49">
        <v>45778</v>
      </c>
      <c r="G6466" s="49">
        <v>45783</v>
      </c>
      <c r="H6466" s="49">
        <v>45788</v>
      </c>
      <c r="I6466" s="49">
        <v>45791</v>
      </c>
      <c r="J6466" t="s">
        <v>47</v>
      </c>
      <c r="K6466" s="33">
        <v>3400</v>
      </c>
      <c r="M6466" t="str">
        <f>_xlfn.XLOOKUP(Pipeline_tbl[[#This Row],[Rep_ID]],Dim_Reps!A:A,Dim_Reps!K:K)</f>
        <v>EUR</v>
      </c>
      <c r="N6466" s="33">
        <f>(_xlfn.XLOOKUP(Pipeline_tbl[[#This Row],[Rate_Code_Generalized]],Lookups!A:A,Lookups!B:B))*Pipeline_tbl[[#This Row],[Pipeline_Amount_USD]]</f>
        <v>3400</v>
      </c>
      <c r="O6466" t="str">
        <f>_xlfn.XLOOKUP(Pipeline_tbl[[#This Row],[Rep_ID]],Dim_Reps!A:A,Dim_Reps!B:B)</f>
        <v>Lucas Okafor</v>
      </c>
      <c r="P6466" t="str">
        <f>_xlfn.XLOOKUP(Pipeline_tbl[[#This Row],[Rep_ID]],Dim_Reps!A:A,Dim_Reps!C:C)</f>
        <v>SDR / Inside Sales Rep</v>
      </c>
      <c r="Q6466" t="str">
        <f>_xlfn.XLOOKUP(Pipeline_tbl[[#This Row],[Rep_ID]],Dim_Reps!A:A,Dim_Reps!D:D)</f>
        <v>Inside Sales</v>
      </c>
      <c r="R6466" t="str">
        <f>_xlfn.XLOOKUP(Pipeline_tbl[[#This Row],[Rep_ID]],Dim_Reps!A:A,Dim_Reps!E:E)</f>
        <v>APAC</v>
      </c>
      <c r="S6466" t="str">
        <f>_xlfn.XLOOKUP(Pipeline_tbl[[#This Row],[Created_Date]],Dim_Date!A:A,Dim_Date!H:H)</f>
        <v>Apr 2025</v>
      </c>
      <c r="T6466" t="str">
        <f>IF(Pipeline_tbl[[#This Row],[Closed_Date]]=0,"",(_xlfn.XLOOKUP(Pipeline_tbl[[#This Row],[Closed_Date]],Dim_Date!A:A,Dim_Date!H:H)))</f>
        <v>May 2025</v>
      </c>
      <c r="U6466">
        <f>IF(Pipeline_tbl[[#This Row],[Closed_Date]]=0,"",Pipeline_tbl[[#This Row],[Closed_Date]]-Pipeline_tbl[[#This Row],[Created_Date]])</f>
        <v>19</v>
      </c>
    </row>
    <row r="6467" spans="1:21" ht="15" customHeight="1" x14ac:dyDescent="0.2">
      <c r="A6467" t="s">
        <v>6773</v>
      </c>
      <c r="B6467" t="s">
        <v>199</v>
      </c>
      <c r="C6467" t="s">
        <v>52</v>
      </c>
      <c r="D6467" s="49">
        <v>45763</v>
      </c>
      <c r="E6467" s="49">
        <v>45765</v>
      </c>
      <c r="F6467" s="49">
        <v>45769</v>
      </c>
      <c r="G6467" s="49">
        <v>45775</v>
      </c>
      <c r="H6467" s="49">
        <v>45780</v>
      </c>
      <c r="I6467" s="49">
        <v>45783</v>
      </c>
      <c r="J6467" t="s">
        <v>47</v>
      </c>
      <c r="K6467" s="33">
        <v>5400</v>
      </c>
      <c r="M6467" t="str">
        <f>_xlfn.XLOOKUP(Pipeline_tbl[[#This Row],[Rep_ID]],Dim_Reps!A:A,Dim_Reps!K:K)</f>
        <v>EUR</v>
      </c>
      <c r="N6467" s="33">
        <f>(_xlfn.XLOOKUP(Pipeline_tbl[[#This Row],[Rate_Code_Generalized]],Lookups!A:A,Lookups!B:B))*Pipeline_tbl[[#This Row],[Pipeline_Amount_USD]]</f>
        <v>5400</v>
      </c>
      <c r="O6467" t="str">
        <f>_xlfn.XLOOKUP(Pipeline_tbl[[#This Row],[Rep_ID]],Dim_Reps!A:A,Dim_Reps!B:B)</f>
        <v>Lucas Okafor</v>
      </c>
      <c r="P6467" t="str">
        <f>_xlfn.XLOOKUP(Pipeline_tbl[[#This Row],[Rep_ID]],Dim_Reps!A:A,Dim_Reps!C:C)</f>
        <v>SDR / Inside Sales Rep</v>
      </c>
      <c r="Q6467" t="str">
        <f>_xlfn.XLOOKUP(Pipeline_tbl[[#This Row],[Rep_ID]],Dim_Reps!A:A,Dim_Reps!D:D)</f>
        <v>Inside Sales</v>
      </c>
      <c r="R6467" t="str">
        <f>_xlfn.XLOOKUP(Pipeline_tbl[[#This Row],[Rep_ID]],Dim_Reps!A:A,Dim_Reps!E:E)</f>
        <v>APAC</v>
      </c>
      <c r="S6467" t="str">
        <f>_xlfn.XLOOKUP(Pipeline_tbl[[#This Row],[Created_Date]],Dim_Date!A:A,Dim_Date!H:H)</f>
        <v>Apr 2025</v>
      </c>
      <c r="T6467" t="str">
        <f>IF(Pipeline_tbl[[#This Row],[Closed_Date]]=0,"",(_xlfn.XLOOKUP(Pipeline_tbl[[#This Row],[Closed_Date]],Dim_Date!A:A,Dim_Date!H:H)))</f>
        <v>May 2025</v>
      </c>
      <c r="U6467">
        <f>IF(Pipeline_tbl[[#This Row],[Closed_Date]]=0,"",Pipeline_tbl[[#This Row],[Closed_Date]]-Pipeline_tbl[[#This Row],[Created_Date]])</f>
        <v>20</v>
      </c>
    </row>
    <row r="6468" spans="1:21" ht="15" customHeight="1" x14ac:dyDescent="0.2">
      <c r="A6468" t="s">
        <v>6774</v>
      </c>
      <c r="B6468" t="s">
        <v>199</v>
      </c>
      <c r="C6468" t="s">
        <v>53</v>
      </c>
      <c r="D6468" s="49">
        <v>45775</v>
      </c>
      <c r="E6468" s="49">
        <v>45776</v>
      </c>
      <c r="F6468" s="49">
        <v>45778</v>
      </c>
      <c r="G6468" s="49">
        <v>45781</v>
      </c>
      <c r="I6468" s="49">
        <v>45785</v>
      </c>
      <c r="J6468" t="s">
        <v>49</v>
      </c>
      <c r="K6468" s="33">
        <v>2200</v>
      </c>
      <c r="L6468" t="s">
        <v>63</v>
      </c>
      <c r="M6468" t="str">
        <f>_xlfn.XLOOKUP(Pipeline_tbl[[#This Row],[Rep_ID]],Dim_Reps!A:A,Dim_Reps!K:K)</f>
        <v>EUR</v>
      </c>
      <c r="N6468" s="33">
        <f>(_xlfn.XLOOKUP(Pipeline_tbl[[#This Row],[Rate_Code_Generalized]],Lookups!A:A,Lookups!B:B))*Pipeline_tbl[[#This Row],[Pipeline_Amount_USD]]</f>
        <v>2200</v>
      </c>
      <c r="O6468" t="str">
        <f>_xlfn.XLOOKUP(Pipeline_tbl[[#This Row],[Rep_ID]],Dim_Reps!A:A,Dim_Reps!B:B)</f>
        <v>Lucas Okafor</v>
      </c>
      <c r="P6468" t="str">
        <f>_xlfn.XLOOKUP(Pipeline_tbl[[#This Row],[Rep_ID]],Dim_Reps!A:A,Dim_Reps!C:C)</f>
        <v>SDR / Inside Sales Rep</v>
      </c>
      <c r="Q6468" t="str">
        <f>_xlfn.XLOOKUP(Pipeline_tbl[[#This Row],[Rep_ID]],Dim_Reps!A:A,Dim_Reps!D:D)</f>
        <v>Inside Sales</v>
      </c>
      <c r="R6468" t="str">
        <f>_xlfn.XLOOKUP(Pipeline_tbl[[#This Row],[Rep_ID]],Dim_Reps!A:A,Dim_Reps!E:E)</f>
        <v>APAC</v>
      </c>
      <c r="S6468" t="str">
        <f>_xlfn.XLOOKUP(Pipeline_tbl[[#This Row],[Created_Date]],Dim_Date!A:A,Dim_Date!H:H)</f>
        <v>Apr 2025</v>
      </c>
      <c r="T6468" t="str">
        <f>IF(Pipeline_tbl[[#This Row],[Closed_Date]]=0,"",(_xlfn.XLOOKUP(Pipeline_tbl[[#This Row],[Closed_Date]],Dim_Date!A:A,Dim_Date!H:H)))</f>
        <v>May 2025</v>
      </c>
      <c r="U6468">
        <f>IF(Pipeline_tbl[[#This Row],[Closed_Date]]=0,"",Pipeline_tbl[[#This Row],[Closed_Date]]-Pipeline_tbl[[#This Row],[Created_Date]])</f>
        <v>10</v>
      </c>
    </row>
    <row r="6469" spans="1:21" ht="15" customHeight="1" x14ac:dyDescent="0.2">
      <c r="A6469" t="s">
        <v>6775</v>
      </c>
      <c r="B6469" t="s">
        <v>199</v>
      </c>
      <c r="C6469" t="s">
        <v>52</v>
      </c>
      <c r="D6469" s="49">
        <v>45766</v>
      </c>
      <c r="E6469" s="49">
        <v>45768</v>
      </c>
      <c r="F6469" s="49">
        <v>45772</v>
      </c>
      <c r="I6469" s="49">
        <v>45787</v>
      </c>
      <c r="J6469" t="s">
        <v>49</v>
      </c>
      <c r="K6469" s="33">
        <v>2700</v>
      </c>
      <c r="L6469" t="s">
        <v>63</v>
      </c>
      <c r="M6469" t="str">
        <f>_xlfn.XLOOKUP(Pipeline_tbl[[#This Row],[Rep_ID]],Dim_Reps!A:A,Dim_Reps!K:K)</f>
        <v>EUR</v>
      </c>
      <c r="N6469" s="33">
        <f>(_xlfn.XLOOKUP(Pipeline_tbl[[#This Row],[Rate_Code_Generalized]],Lookups!A:A,Lookups!B:B))*Pipeline_tbl[[#This Row],[Pipeline_Amount_USD]]</f>
        <v>2700</v>
      </c>
      <c r="O6469" t="str">
        <f>_xlfn.XLOOKUP(Pipeline_tbl[[#This Row],[Rep_ID]],Dim_Reps!A:A,Dim_Reps!B:B)</f>
        <v>Lucas Okafor</v>
      </c>
      <c r="P6469" t="str">
        <f>_xlfn.XLOOKUP(Pipeline_tbl[[#This Row],[Rep_ID]],Dim_Reps!A:A,Dim_Reps!C:C)</f>
        <v>SDR / Inside Sales Rep</v>
      </c>
      <c r="Q6469" t="str">
        <f>_xlfn.XLOOKUP(Pipeline_tbl[[#This Row],[Rep_ID]],Dim_Reps!A:A,Dim_Reps!D:D)</f>
        <v>Inside Sales</v>
      </c>
      <c r="R6469" t="str">
        <f>_xlfn.XLOOKUP(Pipeline_tbl[[#This Row],[Rep_ID]],Dim_Reps!A:A,Dim_Reps!E:E)</f>
        <v>APAC</v>
      </c>
      <c r="S6469" t="str">
        <f>_xlfn.XLOOKUP(Pipeline_tbl[[#This Row],[Created_Date]],Dim_Date!A:A,Dim_Date!H:H)</f>
        <v>Apr 2025</v>
      </c>
      <c r="T6469" t="str">
        <f>IF(Pipeline_tbl[[#This Row],[Closed_Date]]=0,"",(_xlfn.XLOOKUP(Pipeline_tbl[[#This Row],[Closed_Date]],Dim_Date!A:A,Dim_Date!H:H)))</f>
        <v>May 2025</v>
      </c>
      <c r="U6469">
        <f>IF(Pipeline_tbl[[#This Row],[Closed_Date]]=0,"",Pipeline_tbl[[#This Row],[Closed_Date]]-Pipeline_tbl[[#This Row],[Created_Date]])</f>
        <v>21</v>
      </c>
    </row>
    <row r="6470" spans="1:21" ht="15" customHeight="1" x14ac:dyDescent="0.2">
      <c r="A6470" t="s">
        <v>6776</v>
      </c>
      <c r="B6470" t="s">
        <v>199</v>
      </c>
      <c r="C6470" t="s">
        <v>56</v>
      </c>
      <c r="D6470" s="49">
        <v>45757</v>
      </c>
      <c r="E6470" s="49">
        <v>45759</v>
      </c>
      <c r="F6470" s="49">
        <v>45764</v>
      </c>
      <c r="G6470" s="49">
        <v>45771</v>
      </c>
      <c r="H6470" s="49">
        <v>45777</v>
      </c>
      <c r="I6470" s="49">
        <v>45781</v>
      </c>
      <c r="J6470" t="s">
        <v>49</v>
      </c>
      <c r="K6470" s="33">
        <v>10300</v>
      </c>
      <c r="L6470" t="s">
        <v>60</v>
      </c>
      <c r="M6470" t="str">
        <f>_xlfn.XLOOKUP(Pipeline_tbl[[#This Row],[Rep_ID]],Dim_Reps!A:A,Dim_Reps!K:K)</f>
        <v>EUR</v>
      </c>
      <c r="N6470" s="33">
        <f>(_xlfn.XLOOKUP(Pipeline_tbl[[#This Row],[Rate_Code_Generalized]],Lookups!A:A,Lookups!B:B))*Pipeline_tbl[[#This Row],[Pipeline_Amount_USD]]</f>
        <v>10300</v>
      </c>
      <c r="O6470" t="str">
        <f>_xlfn.XLOOKUP(Pipeline_tbl[[#This Row],[Rep_ID]],Dim_Reps!A:A,Dim_Reps!B:B)</f>
        <v>Lucas Okafor</v>
      </c>
      <c r="P6470" t="str">
        <f>_xlfn.XLOOKUP(Pipeline_tbl[[#This Row],[Rep_ID]],Dim_Reps!A:A,Dim_Reps!C:C)</f>
        <v>SDR / Inside Sales Rep</v>
      </c>
      <c r="Q6470" t="str">
        <f>_xlfn.XLOOKUP(Pipeline_tbl[[#This Row],[Rep_ID]],Dim_Reps!A:A,Dim_Reps!D:D)</f>
        <v>Inside Sales</v>
      </c>
      <c r="R6470" t="str">
        <f>_xlfn.XLOOKUP(Pipeline_tbl[[#This Row],[Rep_ID]],Dim_Reps!A:A,Dim_Reps!E:E)</f>
        <v>APAC</v>
      </c>
      <c r="S6470" t="str">
        <f>_xlfn.XLOOKUP(Pipeline_tbl[[#This Row],[Created_Date]],Dim_Date!A:A,Dim_Date!H:H)</f>
        <v>Apr 2025</v>
      </c>
      <c r="T6470" t="str">
        <f>IF(Pipeline_tbl[[#This Row],[Closed_Date]]=0,"",(_xlfn.XLOOKUP(Pipeline_tbl[[#This Row],[Closed_Date]],Dim_Date!A:A,Dim_Date!H:H)))</f>
        <v>May 2025</v>
      </c>
      <c r="U6470">
        <f>IF(Pipeline_tbl[[#This Row],[Closed_Date]]=0,"",Pipeline_tbl[[#This Row],[Closed_Date]]-Pipeline_tbl[[#This Row],[Created_Date]])</f>
        <v>24</v>
      </c>
    </row>
    <row r="6471" spans="1:21" ht="15" customHeight="1" x14ac:dyDescent="0.2">
      <c r="A6471" t="s">
        <v>6777</v>
      </c>
      <c r="B6471" t="s">
        <v>199</v>
      </c>
      <c r="C6471" t="s">
        <v>52</v>
      </c>
      <c r="D6471" s="49">
        <v>45763</v>
      </c>
      <c r="E6471" s="49">
        <v>45765</v>
      </c>
      <c r="I6471" s="49">
        <v>45781</v>
      </c>
      <c r="J6471" t="s">
        <v>49</v>
      </c>
      <c r="K6471" s="33">
        <v>4800</v>
      </c>
      <c r="L6471" t="s">
        <v>63</v>
      </c>
      <c r="M6471" t="str">
        <f>_xlfn.XLOOKUP(Pipeline_tbl[[#This Row],[Rep_ID]],Dim_Reps!A:A,Dim_Reps!K:K)</f>
        <v>EUR</v>
      </c>
      <c r="N6471" s="33">
        <f>(_xlfn.XLOOKUP(Pipeline_tbl[[#This Row],[Rate_Code_Generalized]],Lookups!A:A,Lookups!B:B))*Pipeline_tbl[[#This Row],[Pipeline_Amount_USD]]</f>
        <v>4800</v>
      </c>
      <c r="O6471" t="str">
        <f>_xlfn.XLOOKUP(Pipeline_tbl[[#This Row],[Rep_ID]],Dim_Reps!A:A,Dim_Reps!B:B)</f>
        <v>Lucas Okafor</v>
      </c>
      <c r="P6471" t="str">
        <f>_xlfn.XLOOKUP(Pipeline_tbl[[#This Row],[Rep_ID]],Dim_Reps!A:A,Dim_Reps!C:C)</f>
        <v>SDR / Inside Sales Rep</v>
      </c>
      <c r="Q6471" t="str">
        <f>_xlfn.XLOOKUP(Pipeline_tbl[[#This Row],[Rep_ID]],Dim_Reps!A:A,Dim_Reps!D:D)</f>
        <v>Inside Sales</v>
      </c>
      <c r="R6471" t="str">
        <f>_xlfn.XLOOKUP(Pipeline_tbl[[#This Row],[Rep_ID]],Dim_Reps!A:A,Dim_Reps!E:E)</f>
        <v>APAC</v>
      </c>
      <c r="S6471" t="str">
        <f>_xlfn.XLOOKUP(Pipeline_tbl[[#This Row],[Created_Date]],Dim_Date!A:A,Dim_Date!H:H)</f>
        <v>Apr 2025</v>
      </c>
      <c r="T6471" t="str">
        <f>IF(Pipeline_tbl[[#This Row],[Closed_Date]]=0,"",(_xlfn.XLOOKUP(Pipeline_tbl[[#This Row],[Closed_Date]],Dim_Date!A:A,Dim_Date!H:H)))</f>
        <v>May 2025</v>
      </c>
      <c r="U6471">
        <f>IF(Pipeline_tbl[[#This Row],[Closed_Date]]=0,"",Pipeline_tbl[[#This Row],[Closed_Date]]-Pipeline_tbl[[#This Row],[Created_Date]])</f>
        <v>18</v>
      </c>
    </row>
    <row r="6472" spans="1:21" ht="15" customHeight="1" x14ac:dyDescent="0.2">
      <c r="A6472" t="s">
        <v>6778</v>
      </c>
      <c r="B6472" t="s">
        <v>199</v>
      </c>
      <c r="C6472" t="s">
        <v>54</v>
      </c>
      <c r="D6472" s="49">
        <v>45762</v>
      </c>
      <c r="E6472" s="49">
        <v>45764</v>
      </c>
      <c r="F6472" s="49">
        <v>45767</v>
      </c>
      <c r="G6472" s="49">
        <v>45773</v>
      </c>
      <c r="I6472" s="49">
        <v>45780</v>
      </c>
      <c r="J6472" t="s">
        <v>49</v>
      </c>
      <c r="K6472" s="33">
        <v>7200</v>
      </c>
      <c r="L6472" t="s">
        <v>60</v>
      </c>
      <c r="M6472" t="str">
        <f>_xlfn.XLOOKUP(Pipeline_tbl[[#This Row],[Rep_ID]],Dim_Reps!A:A,Dim_Reps!K:K)</f>
        <v>EUR</v>
      </c>
      <c r="N6472" s="33">
        <f>(_xlfn.XLOOKUP(Pipeline_tbl[[#This Row],[Rate_Code_Generalized]],Lookups!A:A,Lookups!B:B))*Pipeline_tbl[[#This Row],[Pipeline_Amount_USD]]</f>
        <v>7200</v>
      </c>
      <c r="O6472" t="str">
        <f>_xlfn.XLOOKUP(Pipeline_tbl[[#This Row],[Rep_ID]],Dim_Reps!A:A,Dim_Reps!B:B)</f>
        <v>Lucas Okafor</v>
      </c>
      <c r="P6472" t="str">
        <f>_xlfn.XLOOKUP(Pipeline_tbl[[#This Row],[Rep_ID]],Dim_Reps!A:A,Dim_Reps!C:C)</f>
        <v>SDR / Inside Sales Rep</v>
      </c>
      <c r="Q6472" t="str">
        <f>_xlfn.XLOOKUP(Pipeline_tbl[[#This Row],[Rep_ID]],Dim_Reps!A:A,Dim_Reps!D:D)</f>
        <v>Inside Sales</v>
      </c>
      <c r="R6472" t="str">
        <f>_xlfn.XLOOKUP(Pipeline_tbl[[#This Row],[Rep_ID]],Dim_Reps!A:A,Dim_Reps!E:E)</f>
        <v>APAC</v>
      </c>
      <c r="S6472" t="str">
        <f>_xlfn.XLOOKUP(Pipeline_tbl[[#This Row],[Created_Date]],Dim_Date!A:A,Dim_Date!H:H)</f>
        <v>Apr 2025</v>
      </c>
      <c r="T6472" t="str">
        <f>IF(Pipeline_tbl[[#This Row],[Closed_Date]]=0,"",(_xlfn.XLOOKUP(Pipeline_tbl[[#This Row],[Closed_Date]],Dim_Date!A:A,Dim_Date!H:H)))</f>
        <v>May 2025</v>
      </c>
      <c r="U6472">
        <f>IF(Pipeline_tbl[[#This Row],[Closed_Date]]=0,"",Pipeline_tbl[[#This Row],[Closed_Date]]-Pipeline_tbl[[#This Row],[Created_Date]])</f>
        <v>18</v>
      </c>
    </row>
    <row r="6473" spans="1:21" ht="15" customHeight="1" x14ac:dyDescent="0.2">
      <c r="A6473" t="s">
        <v>6779</v>
      </c>
      <c r="B6473" t="s">
        <v>181</v>
      </c>
      <c r="C6473" t="s">
        <v>56</v>
      </c>
      <c r="D6473" s="49">
        <v>45760</v>
      </c>
      <c r="E6473" s="49">
        <v>45765</v>
      </c>
      <c r="F6473" s="49">
        <v>45774</v>
      </c>
      <c r="G6473" s="49">
        <v>45789</v>
      </c>
      <c r="H6473" s="49">
        <v>45801</v>
      </c>
      <c r="I6473" s="49">
        <v>45808</v>
      </c>
      <c r="J6473" t="s">
        <v>49</v>
      </c>
      <c r="K6473" s="33">
        <v>24700</v>
      </c>
      <c r="L6473" t="s">
        <v>61</v>
      </c>
      <c r="M6473" t="str">
        <f>_xlfn.XLOOKUP(Pipeline_tbl[[#This Row],[Rep_ID]],Dim_Reps!A:A,Dim_Reps!K:K)</f>
        <v>USD</v>
      </c>
      <c r="N6473" s="33">
        <f>(_xlfn.XLOOKUP(Pipeline_tbl[[#This Row],[Rate_Code_Generalized]],Lookups!A:A,Lookups!B:B))*Pipeline_tbl[[#This Row],[Pipeline_Amount_USD]]</f>
        <v>28758.209999999995</v>
      </c>
      <c r="O6473" t="str">
        <f>_xlfn.XLOOKUP(Pipeline_tbl[[#This Row],[Rep_ID]],Dim_Reps!A:A,Dim_Reps!B:B)</f>
        <v>Milo Weber</v>
      </c>
      <c r="P6473" t="str">
        <f>_xlfn.XLOOKUP(Pipeline_tbl[[#This Row],[Rep_ID]],Dim_Reps!A:A,Dim_Reps!C:C)</f>
        <v>Enterprise AE</v>
      </c>
      <c r="Q6473" t="str">
        <f>_xlfn.XLOOKUP(Pipeline_tbl[[#This Row],[Rep_ID]],Dim_Reps!A:A,Dim_Reps!D:D)</f>
        <v>Enterprise</v>
      </c>
      <c r="R6473" t="str">
        <f>_xlfn.XLOOKUP(Pipeline_tbl[[#This Row],[Rep_ID]],Dim_Reps!A:A,Dim_Reps!E:E)</f>
        <v>NAMER</v>
      </c>
      <c r="S6473" t="str">
        <f>_xlfn.XLOOKUP(Pipeline_tbl[[#This Row],[Created_Date]],Dim_Date!A:A,Dim_Date!H:H)</f>
        <v>Apr 2025</v>
      </c>
      <c r="T6473" t="str">
        <f>IF(Pipeline_tbl[[#This Row],[Closed_Date]]=0,"",(_xlfn.XLOOKUP(Pipeline_tbl[[#This Row],[Closed_Date]],Dim_Date!A:A,Dim_Date!H:H)))</f>
        <v>May 2025</v>
      </c>
      <c r="U6473">
        <f>IF(Pipeline_tbl[[#This Row],[Closed_Date]]=0,"",Pipeline_tbl[[#This Row],[Closed_Date]]-Pipeline_tbl[[#This Row],[Created_Date]])</f>
        <v>48</v>
      </c>
    </row>
    <row r="6474" spans="1:21" ht="15" customHeight="1" x14ac:dyDescent="0.2">
      <c r="A6474" t="s">
        <v>6780</v>
      </c>
      <c r="B6474" t="s">
        <v>183</v>
      </c>
      <c r="C6474" t="s">
        <v>55</v>
      </c>
      <c r="D6474" s="49">
        <v>45766</v>
      </c>
      <c r="E6474" s="49">
        <v>45770</v>
      </c>
      <c r="F6474" s="49">
        <v>45779</v>
      </c>
      <c r="G6474" s="49">
        <v>45791</v>
      </c>
      <c r="H6474" s="49">
        <v>45802</v>
      </c>
      <c r="I6474" s="49">
        <v>45808</v>
      </c>
      <c r="J6474" t="s">
        <v>47</v>
      </c>
      <c r="K6474" s="33">
        <v>15300</v>
      </c>
      <c r="M6474" t="str">
        <f>_xlfn.XLOOKUP(Pipeline_tbl[[#This Row],[Rep_ID]],Dim_Reps!A:A,Dim_Reps!K:K)</f>
        <v>EUR</v>
      </c>
      <c r="N6474" s="33">
        <f>(_xlfn.XLOOKUP(Pipeline_tbl[[#This Row],[Rate_Code_Generalized]],Lookups!A:A,Lookups!B:B))*Pipeline_tbl[[#This Row],[Pipeline_Amount_USD]]</f>
        <v>15300</v>
      </c>
      <c r="O6474" t="str">
        <f>_xlfn.XLOOKUP(Pipeline_tbl[[#This Row],[Rep_ID]],Dim_Reps!A:A,Dim_Reps!B:B)</f>
        <v>Sam Schmidt</v>
      </c>
      <c r="P6474" t="str">
        <f>_xlfn.XLOOKUP(Pipeline_tbl[[#This Row],[Rep_ID]],Dim_Reps!A:A,Dim_Reps!C:C)</f>
        <v>Enterprise AE</v>
      </c>
      <c r="Q6474" t="str">
        <f>_xlfn.XLOOKUP(Pipeline_tbl[[#This Row],[Rep_ID]],Dim_Reps!A:A,Dim_Reps!D:D)</f>
        <v>Enterprise</v>
      </c>
      <c r="R6474" t="str">
        <f>_xlfn.XLOOKUP(Pipeline_tbl[[#This Row],[Rep_ID]],Dim_Reps!A:A,Dim_Reps!E:E)</f>
        <v>EMEA</v>
      </c>
      <c r="S6474" t="str">
        <f>_xlfn.XLOOKUP(Pipeline_tbl[[#This Row],[Created_Date]],Dim_Date!A:A,Dim_Date!H:H)</f>
        <v>Apr 2025</v>
      </c>
      <c r="T6474" t="str">
        <f>IF(Pipeline_tbl[[#This Row],[Closed_Date]]=0,"",(_xlfn.XLOOKUP(Pipeline_tbl[[#This Row],[Closed_Date]],Dim_Date!A:A,Dim_Date!H:H)))</f>
        <v>May 2025</v>
      </c>
      <c r="U6474">
        <f>IF(Pipeline_tbl[[#This Row],[Closed_Date]]=0,"",Pipeline_tbl[[#This Row],[Closed_Date]]-Pipeline_tbl[[#This Row],[Created_Date]])</f>
        <v>42</v>
      </c>
    </row>
    <row r="6475" spans="1:21" ht="15" customHeight="1" x14ac:dyDescent="0.2">
      <c r="A6475" t="s">
        <v>6781</v>
      </c>
      <c r="B6475" t="s">
        <v>203</v>
      </c>
      <c r="C6475" t="s">
        <v>53</v>
      </c>
      <c r="D6475" s="49">
        <v>45776</v>
      </c>
      <c r="E6475" s="49">
        <v>45778</v>
      </c>
      <c r="F6475" s="49">
        <v>45781</v>
      </c>
      <c r="G6475" s="49">
        <v>45786</v>
      </c>
      <c r="H6475" s="49">
        <v>45790</v>
      </c>
      <c r="I6475" s="49">
        <v>45793</v>
      </c>
      <c r="J6475" t="s">
        <v>49</v>
      </c>
      <c r="K6475" s="33">
        <v>3500</v>
      </c>
      <c r="L6475" t="s">
        <v>62</v>
      </c>
      <c r="M6475" t="str">
        <f>_xlfn.XLOOKUP(Pipeline_tbl[[#This Row],[Rep_ID]],Dim_Reps!A:A,Dim_Reps!K:K)</f>
        <v>EUR</v>
      </c>
      <c r="N6475" s="33">
        <f>(_xlfn.XLOOKUP(Pipeline_tbl[[#This Row],[Rate_Code_Generalized]],Lookups!A:A,Lookups!B:B))*Pipeline_tbl[[#This Row],[Pipeline_Amount_USD]]</f>
        <v>3500</v>
      </c>
      <c r="O6475" t="str">
        <f>_xlfn.XLOOKUP(Pipeline_tbl[[#This Row],[Rep_ID]],Dim_Reps!A:A,Dim_Reps!B:B)</f>
        <v>Riley Haddad</v>
      </c>
      <c r="P6475" t="str">
        <f>_xlfn.XLOOKUP(Pipeline_tbl[[#This Row],[Rep_ID]],Dim_Reps!A:A,Dim_Reps!C:C)</f>
        <v>SDR / Inside Sales Rep</v>
      </c>
      <c r="Q6475" t="str">
        <f>_xlfn.XLOOKUP(Pipeline_tbl[[#This Row],[Rep_ID]],Dim_Reps!A:A,Dim_Reps!D:D)</f>
        <v>Inside Sales</v>
      </c>
      <c r="R6475" t="str">
        <f>_xlfn.XLOOKUP(Pipeline_tbl[[#This Row],[Rep_ID]],Dim_Reps!A:A,Dim_Reps!E:E)</f>
        <v>APAC</v>
      </c>
      <c r="S6475" t="str">
        <f>_xlfn.XLOOKUP(Pipeline_tbl[[#This Row],[Created_Date]],Dim_Date!A:A,Dim_Date!H:H)</f>
        <v>Apr 2025</v>
      </c>
      <c r="T6475" t="str">
        <f>IF(Pipeline_tbl[[#This Row],[Closed_Date]]=0,"",(_xlfn.XLOOKUP(Pipeline_tbl[[#This Row],[Closed_Date]],Dim_Date!A:A,Dim_Date!H:H)))</f>
        <v>May 2025</v>
      </c>
      <c r="U6475">
        <f>IF(Pipeline_tbl[[#This Row],[Closed_Date]]=0,"",Pipeline_tbl[[#This Row],[Closed_Date]]-Pipeline_tbl[[#This Row],[Created_Date]])</f>
        <v>17</v>
      </c>
    </row>
    <row r="6476" spans="1:21" ht="15" customHeight="1" x14ac:dyDescent="0.2">
      <c r="A6476" t="s">
        <v>6782</v>
      </c>
      <c r="B6476" t="s">
        <v>203</v>
      </c>
      <c r="C6476" t="s">
        <v>54</v>
      </c>
      <c r="D6476" s="49">
        <v>45773</v>
      </c>
      <c r="E6476" s="49">
        <v>45775</v>
      </c>
      <c r="F6476" s="49">
        <v>45778</v>
      </c>
      <c r="G6476" s="49">
        <v>45783</v>
      </c>
      <c r="H6476" s="49">
        <v>45787</v>
      </c>
      <c r="I6476" s="49">
        <v>45789</v>
      </c>
      <c r="J6476" t="s">
        <v>47</v>
      </c>
      <c r="K6476" s="33">
        <v>2600</v>
      </c>
      <c r="M6476" t="str">
        <f>_xlfn.XLOOKUP(Pipeline_tbl[[#This Row],[Rep_ID]],Dim_Reps!A:A,Dim_Reps!K:K)</f>
        <v>EUR</v>
      </c>
      <c r="N6476" s="33">
        <f>(_xlfn.XLOOKUP(Pipeline_tbl[[#This Row],[Rate_Code_Generalized]],Lookups!A:A,Lookups!B:B))*Pipeline_tbl[[#This Row],[Pipeline_Amount_USD]]</f>
        <v>2600</v>
      </c>
      <c r="O6476" t="str">
        <f>_xlfn.XLOOKUP(Pipeline_tbl[[#This Row],[Rep_ID]],Dim_Reps!A:A,Dim_Reps!B:B)</f>
        <v>Riley Haddad</v>
      </c>
      <c r="P6476" t="str">
        <f>_xlfn.XLOOKUP(Pipeline_tbl[[#This Row],[Rep_ID]],Dim_Reps!A:A,Dim_Reps!C:C)</f>
        <v>SDR / Inside Sales Rep</v>
      </c>
      <c r="Q6476" t="str">
        <f>_xlfn.XLOOKUP(Pipeline_tbl[[#This Row],[Rep_ID]],Dim_Reps!A:A,Dim_Reps!D:D)</f>
        <v>Inside Sales</v>
      </c>
      <c r="R6476" t="str">
        <f>_xlfn.XLOOKUP(Pipeline_tbl[[#This Row],[Rep_ID]],Dim_Reps!A:A,Dim_Reps!E:E)</f>
        <v>APAC</v>
      </c>
      <c r="S6476" t="str">
        <f>_xlfn.XLOOKUP(Pipeline_tbl[[#This Row],[Created_Date]],Dim_Date!A:A,Dim_Date!H:H)</f>
        <v>Apr 2025</v>
      </c>
      <c r="T6476" t="str">
        <f>IF(Pipeline_tbl[[#This Row],[Closed_Date]]=0,"",(_xlfn.XLOOKUP(Pipeline_tbl[[#This Row],[Closed_Date]],Dim_Date!A:A,Dim_Date!H:H)))</f>
        <v>May 2025</v>
      </c>
      <c r="U6476">
        <f>IF(Pipeline_tbl[[#This Row],[Closed_Date]]=0,"",Pipeline_tbl[[#This Row],[Closed_Date]]-Pipeline_tbl[[#This Row],[Created_Date]])</f>
        <v>16</v>
      </c>
    </row>
    <row r="6477" spans="1:21" ht="15" customHeight="1" x14ac:dyDescent="0.2">
      <c r="A6477" t="s">
        <v>6783</v>
      </c>
      <c r="B6477" t="s">
        <v>203</v>
      </c>
      <c r="C6477" t="s">
        <v>55</v>
      </c>
      <c r="D6477" s="49">
        <v>45762</v>
      </c>
      <c r="E6477" s="49">
        <v>45764</v>
      </c>
      <c r="F6477" s="49">
        <v>45768</v>
      </c>
      <c r="G6477" s="49">
        <v>45774</v>
      </c>
      <c r="H6477" s="49">
        <v>45779</v>
      </c>
      <c r="I6477" s="49">
        <v>45782</v>
      </c>
      <c r="J6477" t="s">
        <v>47</v>
      </c>
      <c r="K6477" s="33">
        <v>3500</v>
      </c>
      <c r="M6477" t="str">
        <f>_xlfn.XLOOKUP(Pipeline_tbl[[#This Row],[Rep_ID]],Dim_Reps!A:A,Dim_Reps!K:K)</f>
        <v>EUR</v>
      </c>
      <c r="N6477" s="33">
        <f>(_xlfn.XLOOKUP(Pipeline_tbl[[#This Row],[Rate_Code_Generalized]],Lookups!A:A,Lookups!B:B))*Pipeline_tbl[[#This Row],[Pipeline_Amount_USD]]</f>
        <v>3500</v>
      </c>
      <c r="O6477" t="str">
        <f>_xlfn.XLOOKUP(Pipeline_tbl[[#This Row],[Rep_ID]],Dim_Reps!A:A,Dim_Reps!B:B)</f>
        <v>Riley Haddad</v>
      </c>
      <c r="P6477" t="str">
        <f>_xlfn.XLOOKUP(Pipeline_tbl[[#This Row],[Rep_ID]],Dim_Reps!A:A,Dim_Reps!C:C)</f>
        <v>SDR / Inside Sales Rep</v>
      </c>
      <c r="Q6477" t="str">
        <f>_xlfn.XLOOKUP(Pipeline_tbl[[#This Row],[Rep_ID]],Dim_Reps!A:A,Dim_Reps!D:D)</f>
        <v>Inside Sales</v>
      </c>
      <c r="R6477" t="str">
        <f>_xlfn.XLOOKUP(Pipeline_tbl[[#This Row],[Rep_ID]],Dim_Reps!A:A,Dim_Reps!E:E)</f>
        <v>APAC</v>
      </c>
      <c r="S6477" t="str">
        <f>_xlfn.XLOOKUP(Pipeline_tbl[[#This Row],[Created_Date]],Dim_Date!A:A,Dim_Date!H:H)</f>
        <v>Apr 2025</v>
      </c>
      <c r="T6477" t="str">
        <f>IF(Pipeline_tbl[[#This Row],[Closed_Date]]=0,"",(_xlfn.XLOOKUP(Pipeline_tbl[[#This Row],[Closed_Date]],Dim_Date!A:A,Dim_Date!H:H)))</f>
        <v>May 2025</v>
      </c>
      <c r="U6477">
        <f>IF(Pipeline_tbl[[#This Row],[Closed_Date]]=0,"",Pipeline_tbl[[#This Row],[Closed_Date]]-Pipeline_tbl[[#This Row],[Created_Date]])</f>
        <v>20</v>
      </c>
    </row>
    <row r="6478" spans="1:21" ht="15" customHeight="1" x14ac:dyDescent="0.2">
      <c r="A6478" t="s">
        <v>6784</v>
      </c>
      <c r="B6478" t="s">
        <v>203</v>
      </c>
      <c r="C6478" t="s">
        <v>52</v>
      </c>
      <c r="D6478" s="49">
        <v>45776</v>
      </c>
      <c r="E6478" s="49">
        <v>45777</v>
      </c>
      <c r="F6478" s="49">
        <v>45778</v>
      </c>
      <c r="G6478" s="49">
        <v>45781</v>
      </c>
      <c r="H6478" s="49">
        <v>45783</v>
      </c>
      <c r="I6478" s="49">
        <v>45784</v>
      </c>
      <c r="J6478" t="s">
        <v>47</v>
      </c>
      <c r="K6478" s="33">
        <v>5000</v>
      </c>
      <c r="M6478" t="str">
        <f>_xlfn.XLOOKUP(Pipeline_tbl[[#This Row],[Rep_ID]],Dim_Reps!A:A,Dim_Reps!K:K)</f>
        <v>EUR</v>
      </c>
      <c r="N6478" s="33">
        <f>(_xlfn.XLOOKUP(Pipeline_tbl[[#This Row],[Rate_Code_Generalized]],Lookups!A:A,Lookups!B:B))*Pipeline_tbl[[#This Row],[Pipeline_Amount_USD]]</f>
        <v>5000</v>
      </c>
      <c r="O6478" t="str">
        <f>_xlfn.XLOOKUP(Pipeline_tbl[[#This Row],[Rep_ID]],Dim_Reps!A:A,Dim_Reps!B:B)</f>
        <v>Riley Haddad</v>
      </c>
      <c r="P6478" t="str">
        <f>_xlfn.XLOOKUP(Pipeline_tbl[[#This Row],[Rep_ID]],Dim_Reps!A:A,Dim_Reps!C:C)</f>
        <v>SDR / Inside Sales Rep</v>
      </c>
      <c r="Q6478" t="str">
        <f>_xlfn.XLOOKUP(Pipeline_tbl[[#This Row],[Rep_ID]],Dim_Reps!A:A,Dim_Reps!D:D)</f>
        <v>Inside Sales</v>
      </c>
      <c r="R6478" t="str">
        <f>_xlfn.XLOOKUP(Pipeline_tbl[[#This Row],[Rep_ID]],Dim_Reps!A:A,Dim_Reps!E:E)</f>
        <v>APAC</v>
      </c>
      <c r="S6478" t="str">
        <f>_xlfn.XLOOKUP(Pipeline_tbl[[#This Row],[Created_Date]],Dim_Date!A:A,Dim_Date!H:H)</f>
        <v>Apr 2025</v>
      </c>
      <c r="T6478" t="str">
        <f>IF(Pipeline_tbl[[#This Row],[Closed_Date]]=0,"",(_xlfn.XLOOKUP(Pipeline_tbl[[#This Row],[Closed_Date]],Dim_Date!A:A,Dim_Date!H:H)))</f>
        <v>May 2025</v>
      </c>
      <c r="U6478">
        <f>IF(Pipeline_tbl[[#This Row],[Closed_Date]]=0,"",Pipeline_tbl[[#This Row],[Closed_Date]]-Pipeline_tbl[[#This Row],[Created_Date]])</f>
        <v>8</v>
      </c>
    </row>
    <row r="6479" spans="1:21" ht="15" customHeight="1" x14ac:dyDescent="0.2">
      <c r="A6479" t="s">
        <v>6785</v>
      </c>
      <c r="B6479" t="s">
        <v>185</v>
      </c>
      <c r="C6479" t="s">
        <v>53</v>
      </c>
      <c r="D6479" s="49">
        <v>45756</v>
      </c>
      <c r="E6479" s="49">
        <v>45761</v>
      </c>
      <c r="F6479" s="49">
        <v>45771</v>
      </c>
      <c r="G6479" s="49">
        <v>45787</v>
      </c>
      <c r="H6479" s="49">
        <v>45799</v>
      </c>
      <c r="I6479" s="49">
        <v>45807</v>
      </c>
      <c r="J6479" t="s">
        <v>49</v>
      </c>
      <c r="K6479" s="33">
        <v>12800</v>
      </c>
      <c r="L6479" t="s">
        <v>62</v>
      </c>
      <c r="M6479" t="str">
        <f>_xlfn.XLOOKUP(Pipeline_tbl[[#This Row],[Rep_ID]],Dim_Reps!A:A,Dim_Reps!K:K)</f>
        <v>MXN</v>
      </c>
      <c r="N6479" s="33">
        <f>(_xlfn.XLOOKUP(Pipeline_tbl[[#This Row],[Rate_Code_Generalized]],Lookups!A:A,Lookups!B:B))*Pipeline_tbl[[#This Row],[Pipeline_Amount_USD]]</f>
        <v>252578.56000000003</v>
      </c>
      <c r="O6479" t="str">
        <f>_xlfn.XLOOKUP(Pipeline_tbl[[#This Row],[Rep_ID]],Dim_Reps!A:A,Dim_Reps!B:B)</f>
        <v>Noah Kim</v>
      </c>
      <c r="P6479" t="str">
        <f>_xlfn.XLOOKUP(Pipeline_tbl[[#This Row],[Rep_ID]],Dim_Reps!A:A,Dim_Reps!C:C)</f>
        <v>Enterprise AE</v>
      </c>
      <c r="Q6479" t="str">
        <f>_xlfn.XLOOKUP(Pipeline_tbl[[#This Row],[Rep_ID]],Dim_Reps!A:A,Dim_Reps!D:D)</f>
        <v>Enterprise</v>
      </c>
      <c r="R6479" t="str">
        <f>_xlfn.XLOOKUP(Pipeline_tbl[[#This Row],[Rep_ID]],Dim_Reps!A:A,Dim_Reps!E:E)</f>
        <v>LATAM</v>
      </c>
      <c r="S6479" t="str">
        <f>_xlfn.XLOOKUP(Pipeline_tbl[[#This Row],[Created_Date]],Dim_Date!A:A,Dim_Date!H:H)</f>
        <v>Apr 2025</v>
      </c>
      <c r="T6479" t="str">
        <f>IF(Pipeline_tbl[[#This Row],[Closed_Date]]=0,"",(_xlfn.XLOOKUP(Pipeline_tbl[[#This Row],[Closed_Date]],Dim_Date!A:A,Dim_Date!H:H)))</f>
        <v>May 2025</v>
      </c>
      <c r="U6479">
        <f>IF(Pipeline_tbl[[#This Row],[Closed_Date]]=0,"",Pipeline_tbl[[#This Row],[Closed_Date]]-Pipeline_tbl[[#This Row],[Created_Date]])</f>
        <v>51</v>
      </c>
    </row>
    <row r="6480" spans="1:21" ht="15" customHeight="1" x14ac:dyDescent="0.2">
      <c r="A6480" t="s">
        <v>6786</v>
      </c>
      <c r="B6480" t="s">
        <v>185</v>
      </c>
      <c r="C6480" t="s">
        <v>56</v>
      </c>
      <c r="D6480" s="49">
        <v>45754</v>
      </c>
      <c r="E6480" s="49">
        <v>45758</v>
      </c>
      <c r="F6480" s="49">
        <v>45767</v>
      </c>
      <c r="G6480" s="49">
        <v>45780</v>
      </c>
      <c r="I6480" s="49">
        <v>45797</v>
      </c>
      <c r="J6480" t="s">
        <v>49</v>
      </c>
      <c r="K6480" s="33">
        <v>48300</v>
      </c>
      <c r="L6480" t="s">
        <v>62</v>
      </c>
      <c r="M6480" t="str">
        <f>_xlfn.XLOOKUP(Pipeline_tbl[[#This Row],[Rep_ID]],Dim_Reps!A:A,Dim_Reps!K:K)</f>
        <v>MXN</v>
      </c>
      <c r="N6480" s="33">
        <f>(_xlfn.XLOOKUP(Pipeline_tbl[[#This Row],[Rate_Code_Generalized]],Lookups!A:A,Lookups!B:B))*Pipeline_tbl[[#This Row],[Pipeline_Amount_USD]]</f>
        <v>953089.41</v>
      </c>
      <c r="O6480" t="str">
        <f>_xlfn.XLOOKUP(Pipeline_tbl[[#This Row],[Rep_ID]],Dim_Reps!A:A,Dim_Reps!B:B)</f>
        <v>Noah Kim</v>
      </c>
      <c r="P6480" t="str">
        <f>_xlfn.XLOOKUP(Pipeline_tbl[[#This Row],[Rep_ID]],Dim_Reps!A:A,Dim_Reps!C:C)</f>
        <v>Enterprise AE</v>
      </c>
      <c r="Q6480" t="str">
        <f>_xlfn.XLOOKUP(Pipeline_tbl[[#This Row],[Rep_ID]],Dim_Reps!A:A,Dim_Reps!D:D)</f>
        <v>Enterprise</v>
      </c>
      <c r="R6480" t="str">
        <f>_xlfn.XLOOKUP(Pipeline_tbl[[#This Row],[Rep_ID]],Dim_Reps!A:A,Dim_Reps!E:E)</f>
        <v>LATAM</v>
      </c>
      <c r="S6480" t="str">
        <f>_xlfn.XLOOKUP(Pipeline_tbl[[#This Row],[Created_Date]],Dim_Date!A:A,Dim_Date!H:H)</f>
        <v>Apr 2025</v>
      </c>
      <c r="T6480" t="str">
        <f>IF(Pipeline_tbl[[#This Row],[Closed_Date]]=0,"",(_xlfn.XLOOKUP(Pipeline_tbl[[#This Row],[Closed_Date]],Dim_Date!A:A,Dim_Date!H:H)))</f>
        <v>May 2025</v>
      </c>
      <c r="U6480">
        <f>IF(Pipeline_tbl[[#This Row],[Closed_Date]]=0,"",Pipeline_tbl[[#This Row],[Closed_Date]]-Pipeline_tbl[[#This Row],[Created_Date]])</f>
        <v>43</v>
      </c>
    </row>
    <row r="6481" spans="1:21" ht="15" customHeight="1" x14ac:dyDescent="0.2">
      <c r="A6481" t="s">
        <v>6787</v>
      </c>
      <c r="B6481" t="s">
        <v>205</v>
      </c>
      <c r="C6481" t="s">
        <v>55</v>
      </c>
      <c r="D6481" s="49">
        <v>45766</v>
      </c>
      <c r="E6481" s="49">
        <v>45767</v>
      </c>
      <c r="F6481" s="49">
        <v>45770</v>
      </c>
      <c r="I6481" s="49">
        <v>45778</v>
      </c>
      <c r="J6481" t="s">
        <v>49</v>
      </c>
      <c r="K6481" s="33">
        <v>3600</v>
      </c>
      <c r="L6481" t="s">
        <v>62</v>
      </c>
      <c r="M6481" t="str">
        <f>_xlfn.XLOOKUP(Pipeline_tbl[[#This Row],[Rep_ID]],Dim_Reps!A:A,Dim_Reps!K:K)</f>
        <v>EUR</v>
      </c>
      <c r="N6481" s="33">
        <f>(_xlfn.XLOOKUP(Pipeline_tbl[[#This Row],[Rate_Code_Generalized]],Lookups!A:A,Lookups!B:B))*Pipeline_tbl[[#This Row],[Pipeline_Amount_USD]]</f>
        <v>3600</v>
      </c>
      <c r="O6481" t="str">
        <f>_xlfn.XLOOKUP(Pipeline_tbl[[#This Row],[Rep_ID]],Dim_Reps!A:A,Dim_Reps!B:B)</f>
        <v>Karim Alvarez</v>
      </c>
      <c r="P6481" t="str">
        <f>_xlfn.XLOOKUP(Pipeline_tbl[[#This Row],[Rep_ID]],Dim_Reps!A:A,Dim_Reps!C:C)</f>
        <v>SDR / Inside Sales Rep</v>
      </c>
      <c r="Q6481" t="str">
        <f>_xlfn.XLOOKUP(Pipeline_tbl[[#This Row],[Rep_ID]],Dim_Reps!A:A,Dim_Reps!D:D)</f>
        <v>Inside Sales</v>
      </c>
      <c r="R6481" t="str">
        <f>_xlfn.XLOOKUP(Pipeline_tbl[[#This Row],[Rep_ID]],Dim_Reps!A:A,Dim_Reps!E:E)</f>
        <v>EMEA</v>
      </c>
      <c r="S6481" t="str">
        <f>_xlfn.XLOOKUP(Pipeline_tbl[[#This Row],[Created_Date]],Dim_Date!A:A,Dim_Date!H:H)</f>
        <v>Apr 2025</v>
      </c>
      <c r="T6481" t="str">
        <f>IF(Pipeline_tbl[[#This Row],[Closed_Date]]=0,"",(_xlfn.XLOOKUP(Pipeline_tbl[[#This Row],[Closed_Date]],Dim_Date!A:A,Dim_Date!H:H)))</f>
        <v>May 2025</v>
      </c>
      <c r="U6481">
        <f>IF(Pipeline_tbl[[#This Row],[Closed_Date]]=0,"",Pipeline_tbl[[#This Row],[Closed_Date]]-Pipeline_tbl[[#This Row],[Created_Date]])</f>
        <v>12</v>
      </c>
    </row>
    <row r="6482" spans="1:21" ht="15" customHeight="1" x14ac:dyDescent="0.2">
      <c r="A6482" t="s">
        <v>6788</v>
      </c>
      <c r="B6482" t="s">
        <v>205</v>
      </c>
      <c r="C6482" t="s">
        <v>52</v>
      </c>
      <c r="D6482" s="49">
        <v>45764</v>
      </c>
      <c r="E6482" s="49">
        <v>45766</v>
      </c>
      <c r="F6482" s="49">
        <v>45769</v>
      </c>
      <c r="G6482" s="49">
        <v>45775</v>
      </c>
      <c r="I6482" s="49">
        <v>45782</v>
      </c>
      <c r="J6482" t="s">
        <v>49</v>
      </c>
      <c r="K6482" s="33">
        <v>6500</v>
      </c>
      <c r="L6482" t="s">
        <v>64</v>
      </c>
      <c r="M6482" t="str">
        <f>_xlfn.XLOOKUP(Pipeline_tbl[[#This Row],[Rep_ID]],Dim_Reps!A:A,Dim_Reps!K:K)</f>
        <v>EUR</v>
      </c>
      <c r="N6482" s="33">
        <f>(_xlfn.XLOOKUP(Pipeline_tbl[[#This Row],[Rate_Code_Generalized]],Lookups!A:A,Lookups!B:B))*Pipeline_tbl[[#This Row],[Pipeline_Amount_USD]]</f>
        <v>6500</v>
      </c>
      <c r="O6482" t="str">
        <f>_xlfn.XLOOKUP(Pipeline_tbl[[#This Row],[Rep_ID]],Dim_Reps!A:A,Dim_Reps!B:B)</f>
        <v>Karim Alvarez</v>
      </c>
      <c r="P6482" t="str">
        <f>_xlfn.XLOOKUP(Pipeline_tbl[[#This Row],[Rep_ID]],Dim_Reps!A:A,Dim_Reps!C:C)</f>
        <v>SDR / Inside Sales Rep</v>
      </c>
      <c r="Q6482" t="str">
        <f>_xlfn.XLOOKUP(Pipeline_tbl[[#This Row],[Rep_ID]],Dim_Reps!A:A,Dim_Reps!D:D)</f>
        <v>Inside Sales</v>
      </c>
      <c r="R6482" t="str">
        <f>_xlfn.XLOOKUP(Pipeline_tbl[[#This Row],[Rep_ID]],Dim_Reps!A:A,Dim_Reps!E:E)</f>
        <v>EMEA</v>
      </c>
      <c r="S6482" t="str">
        <f>_xlfn.XLOOKUP(Pipeline_tbl[[#This Row],[Created_Date]],Dim_Date!A:A,Dim_Date!H:H)</f>
        <v>Apr 2025</v>
      </c>
      <c r="T6482" t="str">
        <f>IF(Pipeline_tbl[[#This Row],[Closed_Date]]=0,"",(_xlfn.XLOOKUP(Pipeline_tbl[[#This Row],[Closed_Date]],Dim_Date!A:A,Dim_Date!H:H)))</f>
        <v>May 2025</v>
      </c>
      <c r="U6482">
        <f>IF(Pipeline_tbl[[#This Row],[Closed_Date]]=0,"",Pipeline_tbl[[#This Row],[Closed_Date]]-Pipeline_tbl[[#This Row],[Created_Date]])</f>
        <v>18</v>
      </c>
    </row>
    <row r="6483" spans="1:21" ht="15" customHeight="1" x14ac:dyDescent="0.2">
      <c r="A6483" t="s">
        <v>6789</v>
      </c>
      <c r="B6483" t="s">
        <v>207</v>
      </c>
      <c r="C6483" t="s">
        <v>53</v>
      </c>
      <c r="D6483" s="49">
        <v>45775</v>
      </c>
      <c r="E6483" s="49">
        <v>45776</v>
      </c>
      <c r="F6483" s="49">
        <v>45779</v>
      </c>
      <c r="G6483" s="49">
        <v>45782</v>
      </c>
      <c r="H6483" s="49">
        <v>45785</v>
      </c>
      <c r="I6483" s="49">
        <v>45787</v>
      </c>
      <c r="J6483" t="s">
        <v>49</v>
      </c>
      <c r="K6483" s="33">
        <v>2200</v>
      </c>
      <c r="L6483" t="s">
        <v>60</v>
      </c>
      <c r="M6483" t="str">
        <f>_xlfn.XLOOKUP(Pipeline_tbl[[#This Row],[Rep_ID]],Dim_Reps!A:A,Dim_Reps!K:K)</f>
        <v>EUR</v>
      </c>
      <c r="N6483" s="33">
        <f>(_xlfn.XLOOKUP(Pipeline_tbl[[#This Row],[Rate_Code_Generalized]],Lookups!A:A,Lookups!B:B))*Pipeline_tbl[[#This Row],[Pipeline_Amount_USD]]</f>
        <v>2200</v>
      </c>
      <c r="O6483" t="str">
        <f>_xlfn.XLOOKUP(Pipeline_tbl[[#This Row],[Rep_ID]],Dim_Reps!A:A,Dim_Reps!B:B)</f>
        <v>Sam Castro</v>
      </c>
      <c r="P6483" t="str">
        <f>_xlfn.XLOOKUP(Pipeline_tbl[[#This Row],[Rep_ID]],Dim_Reps!A:A,Dim_Reps!C:C)</f>
        <v>SDR / Inside Sales Rep</v>
      </c>
      <c r="Q6483" t="str">
        <f>_xlfn.XLOOKUP(Pipeline_tbl[[#This Row],[Rep_ID]],Dim_Reps!A:A,Dim_Reps!D:D)</f>
        <v>Inside Sales</v>
      </c>
      <c r="R6483" t="str">
        <f>_xlfn.XLOOKUP(Pipeline_tbl[[#This Row],[Rep_ID]],Dim_Reps!A:A,Dim_Reps!E:E)</f>
        <v>APAC</v>
      </c>
      <c r="S6483" t="str">
        <f>_xlfn.XLOOKUP(Pipeline_tbl[[#This Row],[Created_Date]],Dim_Date!A:A,Dim_Date!H:H)</f>
        <v>Apr 2025</v>
      </c>
      <c r="T6483" t="str">
        <f>IF(Pipeline_tbl[[#This Row],[Closed_Date]]=0,"",(_xlfn.XLOOKUP(Pipeline_tbl[[#This Row],[Closed_Date]],Dim_Date!A:A,Dim_Date!H:H)))</f>
        <v>May 2025</v>
      </c>
      <c r="U6483">
        <f>IF(Pipeline_tbl[[#This Row],[Closed_Date]]=0,"",Pipeline_tbl[[#This Row],[Closed_Date]]-Pipeline_tbl[[#This Row],[Created_Date]])</f>
        <v>12</v>
      </c>
    </row>
    <row r="6484" spans="1:21" ht="15" customHeight="1" x14ac:dyDescent="0.2">
      <c r="A6484" t="s">
        <v>6790</v>
      </c>
      <c r="B6484" t="s">
        <v>207</v>
      </c>
      <c r="C6484" t="s">
        <v>55</v>
      </c>
      <c r="D6484" s="49">
        <v>45771</v>
      </c>
      <c r="E6484" s="49">
        <v>45772</v>
      </c>
      <c r="F6484" s="49">
        <v>45775</v>
      </c>
      <c r="I6484" s="49">
        <v>45784</v>
      </c>
      <c r="J6484" t="s">
        <v>49</v>
      </c>
      <c r="K6484" s="33">
        <v>3300</v>
      </c>
      <c r="L6484" t="s">
        <v>62</v>
      </c>
      <c r="M6484" t="str">
        <f>_xlfn.XLOOKUP(Pipeline_tbl[[#This Row],[Rep_ID]],Dim_Reps!A:A,Dim_Reps!K:K)</f>
        <v>EUR</v>
      </c>
      <c r="N6484" s="33">
        <f>(_xlfn.XLOOKUP(Pipeline_tbl[[#This Row],[Rate_Code_Generalized]],Lookups!A:A,Lookups!B:B))*Pipeline_tbl[[#This Row],[Pipeline_Amount_USD]]</f>
        <v>3300</v>
      </c>
      <c r="O6484" t="str">
        <f>_xlfn.XLOOKUP(Pipeline_tbl[[#This Row],[Rep_ID]],Dim_Reps!A:A,Dim_Reps!B:B)</f>
        <v>Sam Castro</v>
      </c>
      <c r="P6484" t="str">
        <f>_xlfn.XLOOKUP(Pipeline_tbl[[#This Row],[Rep_ID]],Dim_Reps!A:A,Dim_Reps!C:C)</f>
        <v>SDR / Inside Sales Rep</v>
      </c>
      <c r="Q6484" t="str">
        <f>_xlfn.XLOOKUP(Pipeline_tbl[[#This Row],[Rep_ID]],Dim_Reps!A:A,Dim_Reps!D:D)</f>
        <v>Inside Sales</v>
      </c>
      <c r="R6484" t="str">
        <f>_xlfn.XLOOKUP(Pipeline_tbl[[#This Row],[Rep_ID]],Dim_Reps!A:A,Dim_Reps!E:E)</f>
        <v>APAC</v>
      </c>
      <c r="S6484" t="str">
        <f>_xlfn.XLOOKUP(Pipeline_tbl[[#This Row],[Created_Date]],Dim_Date!A:A,Dim_Date!H:H)</f>
        <v>Apr 2025</v>
      </c>
      <c r="T6484" t="str">
        <f>IF(Pipeline_tbl[[#This Row],[Closed_Date]]=0,"",(_xlfn.XLOOKUP(Pipeline_tbl[[#This Row],[Closed_Date]],Dim_Date!A:A,Dim_Date!H:H)))</f>
        <v>May 2025</v>
      </c>
      <c r="U6484">
        <f>IF(Pipeline_tbl[[#This Row],[Closed_Date]]=0,"",Pipeline_tbl[[#This Row],[Closed_Date]]-Pipeline_tbl[[#This Row],[Created_Date]])</f>
        <v>13</v>
      </c>
    </row>
    <row r="6485" spans="1:21" ht="15" customHeight="1" x14ac:dyDescent="0.2">
      <c r="A6485" t="s">
        <v>6791</v>
      </c>
      <c r="B6485" t="s">
        <v>207</v>
      </c>
      <c r="C6485" t="s">
        <v>53</v>
      </c>
      <c r="D6485" s="49">
        <v>45758</v>
      </c>
      <c r="E6485" s="49">
        <v>45760</v>
      </c>
      <c r="I6485" s="49">
        <v>45780</v>
      </c>
      <c r="J6485" t="s">
        <v>49</v>
      </c>
      <c r="K6485" s="33">
        <v>3100</v>
      </c>
      <c r="L6485" t="s">
        <v>60</v>
      </c>
      <c r="M6485" t="str">
        <f>_xlfn.XLOOKUP(Pipeline_tbl[[#This Row],[Rep_ID]],Dim_Reps!A:A,Dim_Reps!K:K)</f>
        <v>EUR</v>
      </c>
      <c r="N6485" s="33">
        <f>(_xlfn.XLOOKUP(Pipeline_tbl[[#This Row],[Rate_Code_Generalized]],Lookups!A:A,Lookups!B:B))*Pipeline_tbl[[#This Row],[Pipeline_Amount_USD]]</f>
        <v>3100</v>
      </c>
      <c r="O6485" t="str">
        <f>_xlfn.XLOOKUP(Pipeline_tbl[[#This Row],[Rep_ID]],Dim_Reps!A:A,Dim_Reps!B:B)</f>
        <v>Sam Castro</v>
      </c>
      <c r="P6485" t="str">
        <f>_xlfn.XLOOKUP(Pipeline_tbl[[#This Row],[Rep_ID]],Dim_Reps!A:A,Dim_Reps!C:C)</f>
        <v>SDR / Inside Sales Rep</v>
      </c>
      <c r="Q6485" t="str">
        <f>_xlfn.XLOOKUP(Pipeline_tbl[[#This Row],[Rep_ID]],Dim_Reps!A:A,Dim_Reps!D:D)</f>
        <v>Inside Sales</v>
      </c>
      <c r="R6485" t="str">
        <f>_xlfn.XLOOKUP(Pipeline_tbl[[#This Row],[Rep_ID]],Dim_Reps!A:A,Dim_Reps!E:E)</f>
        <v>APAC</v>
      </c>
      <c r="S6485" t="str">
        <f>_xlfn.XLOOKUP(Pipeline_tbl[[#This Row],[Created_Date]],Dim_Date!A:A,Dim_Date!H:H)</f>
        <v>Apr 2025</v>
      </c>
      <c r="T6485" t="str">
        <f>IF(Pipeline_tbl[[#This Row],[Closed_Date]]=0,"",(_xlfn.XLOOKUP(Pipeline_tbl[[#This Row],[Closed_Date]],Dim_Date!A:A,Dim_Date!H:H)))</f>
        <v>May 2025</v>
      </c>
      <c r="U6485">
        <f>IF(Pipeline_tbl[[#This Row],[Closed_Date]]=0,"",Pipeline_tbl[[#This Row],[Closed_Date]]-Pipeline_tbl[[#This Row],[Created_Date]])</f>
        <v>22</v>
      </c>
    </row>
    <row r="6486" spans="1:21" ht="15" customHeight="1" x14ac:dyDescent="0.2">
      <c r="A6486" t="s">
        <v>6792</v>
      </c>
      <c r="B6486" t="s">
        <v>207</v>
      </c>
      <c r="C6486" t="s">
        <v>52</v>
      </c>
      <c r="D6486" s="49">
        <v>45772</v>
      </c>
      <c r="E6486" s="49">
        <v>45774</v>
      </c>
      <c r="F6486" s="49">
        <v>45778</v>
      </c>
      <c r="G6486" s="49">
        <v>45785</v>
      </c>
      <c r="H6486" s="49">
        <v>45790</v>
      </c>
      <c r="I6486" s="49">
        <v>45793</v>
      </c>
      <c r="J6486" t="s">
        <v>49</v>
      </c>
      <c r="K6486" s="33">
        <v>2400</v>
      </c>
      <c r="L6486" t="s">
        <v>60</v>
      </c>
      <c r="M6486" t="str">
        <f>_xlfn.XLOOKUP(Pipeline_tbl[[#This Row],[Rep_ID]],Dim_Reps!A:A,Dim_Reps!K:K)</f>
        <v>EUR</v>
      </c>
      <c r="N6486" s="33">
        <f>(_xlfn.XLOOKUP(Pipeline_tbl[[#This Row],[Rate_Code_Generalized]],Lookups!A:A,Lookups!B:B))*Pipeline_tbl[[#This Row],[Pipeline_Amount_USD]]</f>
        <v>2400</v>
      </c>
      <c r="O6486" t="str">
        <f>_xlfn.XLOOKUP(Pipeline_tbl[[#This Row],[Rep_ID]],Dim_Reps!A:A,Dim_Reps!B:B)</f>
        <v>Sam Castro</v>
      </c>
      <c r="P6486" t="str">
        <f>_xlfn.XLOOKUP(Pipeline_tbl[[#This Row],[Rep_ID]],Dim_Reps!A:A,Dim_Reps!C:C)</f>
        <v>SDR / Inside Sales Rep</v>
      </c>
      <c r="Q6486" t="str">
        <f>_xlfn.XLOOKUP(Pipeline_tbl[[#This Row],[Rep_ID]],Dim_Reps!A:A,Dim_Reps!D:D)</f>
        <v>Inside Sales</v>
      </c>
      <c r="R6486" t="str">
        <f>_xlfn.XLOOKUP(Pipeline_tbl[[#This Row],[Rep_ID]],Dim_Reps!A:A,Dim_Reps!E:E)</f>
        <v>APAC</v>
      </c>
      <c r="S6486" t="str">
        <f>_xlfn.XLOOKUP(Pipeline_tbl[[#This Row],[Created_Date]],Dim_Date!A:A,Dim_Date!H:H)</f>
        <v>Apr 2025</v>
      </c>
      <c r="T6486" t="str">
        <f>IF(Pipeline_tbl[[#This Row],[Closed_Date]]=0,"",(_xlfn.XLOOKUP(Pipeline_tbl[[#This Row],[Closed_Date]],Dim_Date!A:A,Dim_Date!H:H)))</f>
        <v>May 2025</v>
      </c>
      <c r="U6486">
        <f>IF(Pipeline_tbl[[#This Row],[Closed_Date]]=0,"",Pipeline_tbl[[#This Row],[Closed_Date]]-Pipeline_tbl[[#This Row],[Created_Date]])</f>
        <v>21</v>
      </c>
    </row>
    <row r="6487" spans="1:21" ht="15" customHeight="1" x14ac:dyDescent="0.2">
      <c r="A6487" t="s">
        <v>6793</v>
      </c>
      <c r="B6487" t="s">
        <v>207</v>
      </c>
      <c r="C6487" t="s">
        <v>52</v>
      </c>
      <c r="D6487" s="49">
        <v>45764</v>
      </c>
      <c r="E6487" s="49">
        <v>45766</v>
      </c>
      <c r="I6487" s="49">
        <v>45783</v>
      </c>
      <c r="J6487" t="s">
        <v>49</v>
      </c>
      <c r="K6487" s="33">
        <v>3800</v>
      </c>
      <c r="L6487" t="s">
        <v>61</v>
      </c>
      <c r="M6487" t="str">
        <f>_xlfn.XLOOKUP(Pipeline_tbl[[#This Row],[Rep_ID]],Dim_Reps!A:A,Dim_Reps!K:K)</f>
        <v>EUR</v>
      </c>
      <c r="N6487" s="33">
        <f>(_xlfn.XLOOKUP(Pipeline_tbl[[#This Row],[Rate_Code_Generalized]],Lookups!A:A,Lookups!B:B))*Pipeline_tbl[[#This Row],[Pipeline_Amount_USD]]</f>
        <v>3800</v>
      </c>
      <c r="O6487" t="str">
        <f>_xlfn.XLOOKUP(Pipeline_tbl[[#This Row],[Rep_ID]],Dim_Reps!A:A,Dim_Reps!B:B)</f>
        <v>Sam Castro</v>
      </c>
      <c r="P6487" t="str">
        <f>_xlfn.XLOOKUP(Pipeline_tbl[[#This Row],[Rep_ID]],Dim_Reps!A:A,Dim_Reps!C:C)</f>
        <v>SDR / Inside Sales Rep</v>
      </c>
      <c r="Q6487" t="str">
        <f>_xlfn.XLOOKUP(Pipeline_tbl[[#This Row],[Rep_ID]],Dim_Reps!A:A,Dim_Reps!D:D)</f>
        <v>Inside Sales</v>
      </c>
      <c r="R6487" t="str">
        <f>_xlfn.XLOOKUP(Pipeline_tbl[[#This Row],[Rep_ID]],Dim_Reps!A:A,Dim_Reps!E:E)</f>
        <v>APAC</v>
      </c>
      <c r="S6487" t="str">
        <f>_xlfn.XLOOKUP(Pipeline_tbl[[#This Row],[Created_Date]],Dim_Date!A:A,Dim_Date!H:H)</f>
        <v>Apr 2025</v>
      </c>
      <c r="T6487" t="str">
        <f>IF(Pipeline_tbl[[#This Row],[Closed_Date]]=0,"",(_xlfn.XLOOKUP(Pipeline_tbl[[#This Row],[Closed_Date]],Dim_Date!A:A,Dim_Date!H:H)))</f>
        <v>May 2025</v>
      </c>
      <c r="U6487">
        <f>IF(Pipeline_tbl[[#This Row],[Closed_Date]]=0,"",Pipeline_tbl[[#This Row],[Closed_Date]]-Pipeline_tbl[[#This Row],[Created_Date]])</f>
        <v>19</v>
      </c>
    </row>
    <row r="6488" spans="1:21" ht="15" customHeight="1" x14ac:dyDescent="0.2">
      <c r="A6488" t="s">
        <v>6794</v>
      </c>
      <c r="B6488" t="s">
        <v>207</v>
      </c>
      <c r="C6488" t="s">
        <v>56</v>
      </c>
      <c r="D6488" s="49">
        <v>45768</v>
      </c>
      <c r="E6488" s="49">
        <v>45769</v>
      </c>
      <c r="F6488" s="49">
        <v>45771</v>
      </c>
      <c r="I6488" s="49">
        <v>45779</v>
      </c>
      <c r="J6488" t="s">
        <v>49</v>
      </c>
      <c r="K6488" s="33">
        <v>3900</v>
      </c>
      <c r="L6488" t="s">
        <v>62</v>
      </c>
      <c r="M6488" t="str">
        <f>_xlfn.XLOOKUP(Pipeline_tbl[[#This Row],[Rep_ID]],Dim_Reps!A:A,Dim_Reps!K:K)</f>
        <v>EUR</v>
      </c>
      <c r="N6488" s="33">
        <f>(_xlfn.XLOOKUP(Pipeline_tbl[[#This Row],[Rate_Code_Generalized]],Lookups!A:A,Lookups!B:B))*Pipeline_tbl[[#This Row],[Pipeline_Amount_USD]]</f>
        <v>3900</v>
      </c>
      <c r="O6488" t="str">
        <f>_xlfn.XLOOKUP(Pipeline_tbl[[#This Row],[Rep_ID]],Dim_Reps!A:A,Dim_Reps!B:B)</f>
        <v>Sam Castro</v>
      </c>
      <c r="P6488" t="str">
        <f>_xlfn.XLOOKUP(Pipeline_tbl[[#This Row],[Rep_ID]],Dim_Reps!A:A,Dim_Reps!C:C)</f>
        <v>SDR / Inside Sales Rep</v>
      </c>
      <c r="Q6488" t="str">
        <f>_xlfn.XLOOKUP(Pipeline_tbl[[#This Row],[Rep_ID]],Dim_Reps!A:A,Dim_Reps!D:D)</f>
        <v>Inside Sales</v>
      </c>
      <c r="R6488" t="str">
        <f>_xlfn.XLOOKUP(Pipeline_tbl[[#This Row],[Rep_ID]],Dim_Reps!A:A,Dim_Reps!E:E)</f>
        <v>APAC</v>
      </c>
      <c r="S6488" t="str">
        <f>_xlfn.XLOOKUP(Pipeline_tbl[[#This Row],[Created_Date]],Dim_Date!A:A,Dim_Date!H:H)</f>
        <v>Apr 2025</v>
      </c>
      <c r="T6488" t="str">
        <f>IF(Pipeline_tbl[[#This Row],[Closed_Date]]=0,"",(_xlfn.XLOOKUP(Pipeline_tbl[[#This Row],[Closed_Date]],Dim_Date!A:A,Dim_Date!H:H)))</f>
        <v>May 2025</v>
      </c>
      <c r="U6488">
        <f>IF(Pipeline_tbl[[#This Row],[Closed_Date]]=0,"",Pipeline_tbl[[#This Row],[Closed_Date]]-Pipeline_tbl[[#This Row],[Created_Date]])</f>
        <v>11</v>
      </c>
    </row>
    <row r="6489" spans="1:21" ht="15" customHeight="1" x14ac:dyDescent="0.2">
      <c r="A6489" t="s">
        <v>6795</v>
      </c>
      <c r="B6489" t="s">
        <v>207</v>
      </c>
      <c r="C6489" t="s">
        <v>53</v>
      </c>
      <c r="D6489" s="49">
        <v>45764</v>
      </c>
      <c r="E6489" s="49">
        <v>45767</v>
      </c>
      <c r="F6489" s="49">
        <v>45772</v>
      </c>
      <c r="G6489" s="49">
        <v>45781</v>
      </c>
      <c r="H6489" s="49">
        <v>45788</v>
      </c>
      <c r="I6489" s="49">
        <v>45792</v>
      </c>
      <c r="J6489" t="s">
        <v>47</v>
      </c>
      <c r="K6489" s="33">
        <v>4500</v>
      </c>
      <c r="M6489" t="str">
        <f>_xlfn.XLOOKUP(Pipeline_tbl[[#This Row],[Rep_ID]],Dim_Reps!A:A,Dim_Reps!K:K)</f>
        <v>EUR</v>
      </c>
      <c r="N6489" s="33">
        <f>(_xlfn.XLOOKUP(Pipeline_tbl[[#This Row],[Rate_Code_Generalized]],Lookups!A:A,Lookups!B:B))*Pipeline_tbl[[#This Row],[Pipeline_Amount_USD]]</f>
        <v>4500</v>
      </c>
      <c r="O6489" t="str">
        <f>_xlfn.XLOOKUP(Pipeline_tbl[[#This Row],[Rep_ID]],Dim_Reps!A:A,Dim_Reps!B:B)</f>
        <v>Sam Castro</v>
      </c>
      <c r="P6489" t="str">
        <f>_xlfn.XLOOKUP(Pipeline_tbl[[#This Row],[Rep_ID]],Dim_Reps!A:A,Dim_Reps!C:C)</f>
        <v>SDR / Inside Sales Rep</v>
      </c>
      <c r="Q6489" t="str">
        <f>_xlfn.XLOOKUP(Pipeline_tbl[[#This Row],[Rep_ID]],Dim_Reps!A:A,Dim_Reps!D:D)</f>
        <v>Inside Sales</v>
      </c>
      <c r="R6489" t="str">
        <f>_xlfn.XLOOKUP(Pipeline_tbl[[#This Row],[Rep_ID]],Dim_Reps!A:A,Dim_Reps!E:E)</f>
        <v>APAC</v>
      </c>
      <c r="S6489" t="str">
        <f>_xlfn.XLOOKUP(Pipeline_tbl[[#This Row],[Created_Date]],Dim_Date!A:A,Dim_Date!H:H)</f>
        <v>Apr 2025</v>
      </c>
      <c r="T6489" t="str">
        <f>IF(Pipeline_tbl[[#This Row],[Closed_Date]]=0,"",(_xlfn.XLOOKUP(Pipeline_tbl[[#This Row],[Closed_Date]],Dim_Date!A:A,Dim_Date!H:H)))</f>
        <v>May 2025</v>
      </c>
      <c r="U6489">
        <f>IF(Pipeline_tbl[[#This Row],[Closed_Date]]=0,"",Pipeline_tbl[[#This Row],[Closed_Date]]-Pipeline_tbl[[#This Row],[Created_Date]])</f>
        <v>28</v>
      </c>
    </row>
    <row r="6490" spans="1:21" ht="15" customHeight="1" x14ac:dyDescent="0.2">
      <c r="A6490" t="s">
        <v>6796</v>
      </c>
      <c r="B6490" t="s">
        <v>207</v>
      </c>
      <c r="C6490" t="s">
        <v>52</v>
      </c>
      <c r="D6490" s="49">
        <v>45764</v>
      </c>
      <c r="E6490" s="49">
        <v>45766</v>
      </c>
      <c r="F6490" s="49">
        <v>45769</v>
      </c>
      <c r="G6490" s="49">
        <v>45773</v>
      </c>
      <c r="H6490" s="49">
        <v>45777</v>
      </c>
      <c r="I6490" s="49">
        <v>45779</v>
      </c>
      <c r="J6490" t="s">
        <v>47</v>
      </c>
      <c r="K6490" s="33">
        <v>2700</v>
      </c>
      <c r="M6490" t="str">
        <f>_xlfn.XLOOKUP(Pipeline_tbl[[#This Row],[Rep_ID]],Dim_Reps!A:A,Dim_Reps!K:K)</f>
        <v>EUR</v>
      </c>
      <c r="N6490" s="33">
        <f>(_xlfn.XLOOKUP(Pipeline_tbl[[#This Row],[Rate_Code_Generalized]],Lookups!A:A,Lookups!B:B))*Pipeline_tbl[[#This Row],[Pipeline_Amount_USD]]</f>
        <v>2700</v>
      </c>
      <c r="O6490" t="str">
        <f>_xlfn.XLOOKUP(Pipeline_tbl[[#This Row],[Rep_ID]],Dim_Reps!A:A,Dim_Reps!B:B)</f>
        <v>Sam Castro</v>
      </c>
      <c r="P6490" t="str">
        <f>_xlfn.XLOOKUP(Pipeline_tbl[[#This Row],[Rep_ID]],Dim_Reps!A:A,Dim_Reps!C:C)</f>
        <v>SDR / Inside Sales Rep</v>
      </c>
      <c r="Q6490" t="str">
        <f>_xlfn.XLOOKUP(Pipeline_tbl[[#This Row],[Rep_ID]],Dim_Reps!A:A,Dim_Reps!D:D)</f>
        <v>Inside Sales</v>
      </c>
      <c r="R6490" t="str">
        <f>_xlfn.XLOOKUP(Pipeline_tbl[[#This Row],[Rep_ID]],Dim_Reps!A:A,Dim_Reps!E:E)</f>
        <v>APAC</v>
      </c>
      <c r="S6490" t="str">
        <f>_xlfn.XLOOKUP(Pipeline_tbl[[#This Row],[Created_Date]],Dim_Date!A:A,Dim_Date!H:H)</f>
        <v>Apr 2025</v>
      </c>
      <c r="T6490" t="str">
        <f>IF(Pipeline_tbl[[#This Row],[Closed_Date]]=0,"",(_xlfn.XLOOKUP(Pipeline_tbl[[#This Row],[Closed_Date]],Dim_Date!A:A,Dim_Date!H:H)))</f>
        <v>May 2025</v>
      </c>
      <c r="U6490">
        <f>IF(Pipeline_tbl[[#This Row],[Closed_Date]]=0,"",Pipeline_tbl[[#This Row],[Closed_Date]]-Pipeline_tbl[[#This Row],[Created_Date]])</f>
        <v>15</v>
      </c>
    </row>
    <row r="6491" spans="1:21" ht="15" customHeight="1" x14ac:dyDescent="0.2">
      <c r="A6491" t="s">
        <v>6797</v>
      </c>
      <c r="B6491" t="s">
        <v>209</v>
      </c>
      <c r="C6491" t="s">
        <v>52</v>
      </c>
      <c r="D6491" s="49">
        <v>45767</v>
      </c>
      <c r="E6491" s="49">
        <v>45769</v>
      </c>
      <c r="F6491" s="49">
        <v>45773</v>
      </c>
      <c r="G6491" s="49">
        <v>45779</v>
      </c>
      <c r="H6491" s="49">
        <v>45784</v>
      </c>
      <c r="I6491" s="49">
        <v>45787</v>
      </c>
      <c r="J6491" t="s">
        <v>47</v>
      </c>
      <c r="K6491" s="33">
        <v>4400</v>
      </c>
      <c r="M6491" t="str">
        <f>_xlfn.XLOOKUP(Pipeline_tbl[[#This Row],[Rep_ID]],Dim_Reps!A:A,Dim_Reps!K:K)</f>
        <v>EUR</v>
      </c>
      <c r="N6491" s="33">
        <f>(_xlfn.XLOOKUP(Pipeline_tbl[[#This Row],[Rate_Code_Generalized]],Lookups!A:A,Lookups!B:B))*Pipeline_tbl[[#This Row],[Pipeline_Amount_USD]]</f>
        <v>4400</v>
      </c>
      <c r="O6491" t="str">
        <f>_xlfn.XLOOKUP(Pipeline_tbl[[#This Row],[Rep_ID]],Dim_Reps!A:A,Dim_Reps!B:B)</f>
        <v>Petra Larsen</v>
      </c>
      <c r="P6491" t="str">
        <f>_xlfn.XLOOKUP(Pipeline_tbl[[#This Row],[Rep_ID]],Dim_Reps!A:A,Dim_Reps!C:C)</f>
        <v>SDR / Inside Sales Rep</v>
      </c>
      <c r="Q6491" t="str">
        <f>_xlfn.XLOOKUP(Pipeline_tbl[[#This Row],[Rep_ID]],Dim_Reps!A:A,Dim_Reps!D:D)</f>
        <v>Inside Sales</v>
      </c>
      <c r="R6491" t="str">
        <f>_xlfn.XLOOKUP(Pipeline_tbl[[#This Row],[Rep_ID]],Dim_Reps!A:A,Dim_Reps!E:E)</f>
        <v>EMEA</v>
      </c>
      <c r="S6491" t="str">
        <f>_xlfn.XLOOKUP(Pipeline_tbl[[#This Row],[Created_Date]],Dim_Date!A:A,Dim_Date!H:H)</f>
        <v>Apr 2025</v>
      </c>
      <c r="T6491" t="str">
        <f>IF(Pipeline_tbl[[#This Row],[Closed_Date]]=0,"",(_xlfn.XLOOKUP(Pipeline_tbl[[#This Row],[Closed_Date]],Dim_Date!A:A,Dim_Date!H:H)))</f>
        <v>May 2025</v>
      </c>
      <c r="U6491">
        <f>IF(Pipeline_tbl[[#This Row],[Closed_Date]]=0,"",Pipeline_tbl[[#This Row],[Closed_Date]]-Pipeline_tbl[[#This Row],[Created_Date]])</f>
        <v>20</v>
      </c>
    </row>
    <row r="6492" spans="1:21" ht="15" customHeight="1" x14ac:dyDescent="0.2">
      <c r="A6492" t="s">
        <v>6798</v>
      </c>
      <c r="B6492" t="s">
        <v>209</v>
      </c>
      <c r="C6492" t="s">
        <v>53</v>
      </c>
      <c r="D6492" s="49">
        <v>45767</v>
      </c>
      <c r="E6492" s="49">
        <v>45769</v>
      </c>
      <c r="F6492" s="49">
        <v>45773</v>
      </c>
      <c r="G6492" s="49">
        <v>45778</v>
      </c>
      <c r="I6492" s="49">
        <v>45786</v>
      </c>
      <c r="J6492" t="s">
        <v>49</v>
      </c>
      <c r="K6492" s="33">
        <v>3100</v>
      </c>
      <c r="L6492" t="s">
        <v>62</v>
      </c>
      <c r="M6492" t="str">
        <f>_xlfn.XLOOKUP(Pipeline_tbl[[#This Row],[Rep_ID]],Dim_Reps!A:A,Dim_Reps!K:K)</f>
        <v>EUR</v>
      </c>
      <c r="N6492" s="33">
        <f>(_xlfn.XLOOKUP(Pipeline_tbl[[#This Row],[Rate_Code_Generalized]],Lookups!A:A,Lookups!B:B))*Pipeline_tbl[[#This Row],[Pipeline_Amount_USD]]</f>
        <v>3100</v>
      </c>
      <c r="O6492" t="str">
        <f>_xlfn.XLOOKUP(Pipeline_tbl[[#This Row],[Rep_ID]],Dim_Reps!A:A,Dim_Reps!B:B)</f>
        <v>Petra Larsen</v>
      </c>
      <c r="P6492" t="str">
        <f>_xlfn.XLOOKUP(Pipeline_tbl[[#This Row],[Rep_ID]],Dim_Reps!A:A,Dim_Reps!C:C)</f>
        <v>SDR / Inside Sales Rep</v>
      </c>
      <c r="Q6492" t="str">
        <f>_xlfn.XLOOKUP(Pipeline_tbl[[#This Row],[Rep_ID]],Dim_Reps!A:A,Dim_Reps!D:D)</f>
        <v>Inside Sales</v>
      </c>
      <c r="R6492" t="str">
        <f>_xlfn.XLOOKUP(Pipeline_tbl[[#This Row],[Rep_ID]],Dim_Reps!A:A,Dim_Reps!E:E)</f>
        <v>EMEA</v>
      </c>
      <c r="S6492" t="str">
        <f>_xlfn.XLOOKUP(Pipeline_tbl[[#This Row],[Created_Date]],Dim_Date!A:A,Dim_Date!H:H)</f>
        <v>Apr 2025</v>
      </c>
      <c r="T6492" t="str">
        <f>IF(Pipeline_tbl[[#This Row],[Closed_Date]]=0,"",(_xlfn.XLOOKUP(Pipeline_tbl[[#This Row],[Closed_Date]],Dim_Date!A:A,Dim_Date!H:H)))</f>
        <v>May 2025</v>
      </c>
      <c r="U6492">
        <f>IF(Pipeline_tbl[[#This Row],[Closed_Date]]=0,"",Pipeline_tbl[[#This Row],[Closed_Date]]-Pipeline_tbl[[#This Row],[Created_Date]])</f>
        <v>19</v>
      </c>
    </row>
    <row r="6493" spans="1:21" ht="15" customHeight="1" x14ac:dyDescent="0.2">
      <c r="A6493" t="s">
        <v>6799</v>
      </c>
      <c r="B6493" t="s">
        <v>209</v>
      </c>
      <c r="C6493" t="s">
        <v>52</v>
      </c>
      <c r="D6493" s="49">
        <v>45766</v>
      </c>
      <c r="E6493" s="49">
        <v>45768</v>
      </c>
      <c r="I6493" s="49">
        <v>45783</v>
      </c>
      <c r="J6493" t="s">
        <v>49</v>
      </c>
      <c r="K6493" s="33">
        <v>4600</v>
      </c>
      <c r="L6493" t="s">
        <v>60</v>
      </c>
      <c r="M6493" t="str">
        <f>_xlfn.XLOOKUP(Pipeline_tbl[[#This Row],[Rep_ID]],Dim_Reps!A:A,Dim_Reps!K:K)</f>
        <v>EUR</v>
      </c>
      <c r="N6493" s="33">
        <f>(_xlfn.XLOOKUP(Pipeline_tbl[[#This Row],[Rate_Code_Generalized]],Lookups!A:A,Lookups!B:B))*Pipeline_tbl[[#This Row],[Pipeline_Amount_USD]]</f>
        <v>4600</v>
      </c>
      <c r="O6493" t="str">
        <f>_xlfn.XLOOKUP(Pipeline_tbl[[#This Row],[Rep_ID]],Dim_Reps!A:A,Dim_Reps!B:B)</f>
        <v>Petra Larsen</v>
      </c>
      <c r="P6493" t="str">
        <f>_xlfn.XLOOKUP(Pipeline_tbl[[#This Row],[Rep_ID]],Dim_Reps!A:A,Dim_Reps!C:C)</f>
        <v>SDR / Inside Sales Rep</v>
      </c>
      <c r="Q6493" t="str">
        <f>_xlfn.XLOOKUP(Pipeline_tbl[[#This Row],[Rep_ID]],Dim_Reps!A:A,Dim_Reps!D:D)</f>
        <v>Inside Sales</v>
      </c>
      <c r="R6493" t="str">
        <f>_xlfn.XLOOKUP(Pipeline_tbl[[#This Row],[Rep_ID]],Dim_Reps!A:A,Dim_Reps!E:E)</f>
        <v>EMEA</v>
      </c>
      <c r="S6493" t="str">
        <f>_xlfn.XLOOKUP(Pipeline_tbl[[#This Row],[Created_Date]],Dim_Date!A:A,Dim_Date!H:H)</f>
        <v>Apr 2025</v>
      </c>
      <c r="T6493" t="str">
        <f>IF(Pipeline_tbl[[#This Row],[Closed_Date]]=0,"",(_xlfn.XLOOKUP(Pipeline_tbl[[#This Row],[Closed_Date]],Dim_Date!A:A,Dim_Date!H:H)))</f>
        <v>May 2025</v>
      </c>
      <c r="U6493">
        <f>IF(Pipeline_tbl[[#This Row],[Closed_Date]]=0,"",Pipeline_tbl[[#This Row],[Closed_Date]]-Pipeline_tbl[[#This Row],[Created_Date]])</f>
        <v>17</v>
      </c>
    </row>
    <row r="6494" spans="1:21" ht="15" customHeight="1" x14ac:dyDescent="0.2">
      <c r="A6494" t="s">
        <v>6800</v>
      </c>
      <c r="B6494" t="s">
        <v>209</v>
      </c>
      <c r="C6494" t="s">
        <v>56</v>
      </c>
      <c r="D6494" s="49">
        <v>45765</v>
      </c>
      <c r="E6494" s="49">
        <v>45768</v>
      </c>
      <c r="F6494" s="49">
        <v>45773</v>
      </c>
      <c r="G6494" s="49">
        <v>45781</v>
      </c>
      <c r="I6494" s="49">
        <v>45792</v>
      </c>
      <c r="J6494" t="s">
        <v>49</v>
      </c>
      <c r="K6494" s="33">
        <v>10900</v>
      </c>
      <c r="L6494" t="s">
        <v>61</v>
      </c>
      <c r="M6494" t="str">
        <f>_xlfn.XLOOKUP(Pipeline_tbl[[#This Row],[Rep_ID]],Dim_Reps!A:A,Dim_Reps!K:K)</f>
        <v>EUR</v>
      </c>
      <c r="N6494" s="33">
        <f>(_xlfn.XLOOKUP(Pipeline_tbl[[#This Row],[Rate_Code_Generalized]],Lookups!A:A,Lookups!B:B))*Pipeline_tbl[[#This Row],[Pipeline_Amount_USD]]</f>
        <v>10900</v>
      </c>
      <c r="O6494" t="str">
        <f>_xlfn.XLOOKUP(Pipeline_tbl[[#This Row],[Rep_ID]],Dim_Reps!A:A,Dim_Reps!B:B)</f>
        <v>Petra Larsen</v>
      </c>
      <c r="P6494" t="str">
        <f>_xlfn.XLOOKUP(Pipeline_tbl[[#This Row],[Rep_ID]],Dim_Reps!A:A,Dim_Reps!C:C)</f>
        <v>SDR / Inside Sales Rep</v>
      </c>
      <c r="Q6494" t="str">
        <f>_xlfn.XLOOKUP(Pipeline_tbl[[#This Row],[Rep_ID]],Dim_Reps!A:A,Dim_Reps!D:D)</f>
        <v>Inside Sales</v>
      </c>
      <c r="R6494" t="str">
        <f>_xlfn.XLOOKUP(Pipeline_tbl[[#This Row],[Rep_ID]],Dim_Reps!A:A,Dim_Reps!E:E)</f>
        <v>EMEA</v>
      </c>
      <c r="S6494" t="str">
        <f>_xlfn.XLOOKUP(Pipeline_tbl[[#This Row],[Created_Date]],Dim_Date!A:A,Dim_Date!H:H)</f>
        <v>Apr 2025</v>
      </c>
      <c r="T6494" t="str">
        <f>IF(Pipeline_tbl[[#This Row],[Closed_Date]]=0,"",(_xlfn.XLOOKUP(Pipeline_tbl[[#This Row],[Closed_Date]],Dim_Date!A:A,Dim_Date!H:H)))</f>
        <v>May 2025</v>
      </c>
      <c r="U6494">
        <f>IF(Pipeline_tbl[[#This Row],[Closed_Date]]=0,"",Pipeline_tbl[[#This Row],[Closed_Date]]-Pipeline_tbl[[#This Row],[Created_Date]])</f>
        <v>27</v>
      </c>
    </row>
    <row r="6495" spans="1:21" ht="15" customHeight="1" x14ac:dyDescent="0.2">
      <c r="A6495" t="s">
        <v>6801</v>
      </c>
      <c r="B6495" t="s">
        <v>209</v>
      </c>
      <c r="C6495" t="s">
        <v>56</v>
      </c>
      <c r="D6495" s="49">
        <v>45773</v>
      </c>
      <c r="E6495" s="49">
        <v>45775</v>
      </c>
      <c r="F6495" s="49">
        <v>45779</v>
      </c>
      <c r="G6495" s="49">
        <v>45785</v>
      </c>
      <c r="H6495" s="49">
        <v>45790</v>
      </c>
      <c r="I6495" s="49">
        <v>45793</v>
      </c>
      <c r="J6495" t="s">
        <v>47</v>
      </c>
      <c r="K6495" s="33">
        <v>2300</v>
      </c>
      <c r="M6495" t="str">
        <f>_xlfn.XLOOKUP(Pipeline_tbl[[#This Row],[Rep_ID]],Dim_Reps!A:A,Dim_Reps!K:K)</f>
        <v>EUR</v>
      </c>
      <c r="N6495" s="33">
        <f>(_xlfn.XLOOKUP(Pipeline_tbl[[#This Row],[Rate_Code_Generalized]],Lookups!A:A,Lookups!B:B))*Pipeline_tbl[[#This Row],[Pipeline_Amount_USD]]</f>
        <v>2300</v>
      </c>
      <c r="O6495" t="str">
        <f>_xlfn.XLOOKUP(Pipeline_tbl[[#This Row],[Rep_ID]],Dim_Reps!A:A,Dim_Reps!B:B)</f>
        <v>Petra Larsen</v>
      </c>
      <c r="P6495" t="str">
        <f>_xlfn.XLOOKUP(Pipeline_tbl[[#This Row],[Rep_ID]],Dim_Reps!A:A,Dim_Reps!C:C)</f>
        <v>SDR / Inside Sales Rep</v>
      </c>
      <c r="Q6495" t="str">
        <f>_xlfn.XLOOKUP(Pipeline_tbl[[#This Row],[Rep_ID]],Dim_Reps!A:A,Dim_Reps!D:D)</f>
        <v>Inside Sales</v>
      </c>
      <c r="R6495" t="str">
        <f>_xlfn.XLOOKUP(Pipeline_tbl[[#This Row],[Rep_ID]],Dim_Reps!A:A,Dim_Reps!E:E)</f>
        <v>EMEA</v>
      </c>
      <c r="S6495" t="str">
        <f>_xlfn.XLOOKUP(Pipeline_tbl[[#This Row],[Created_Date]],Dim_Date!A:A,Dim_Date!H:H)</f>
        <v>Apr 2025</v>
      </c>
      <c r="T6495" t="str">
        <f>IF(Pipeline_tbl[[#This Row],[Closed_Date]]=0,"",(_xlfn.XLOOKUP(Pipeline_tbl[[#This Row],[Closed_Date]],Dim_Date!A:A,Dim_Date!H:H)))</f>
        <v>May 2025</v>
      </c>
      <c r="U6495">
        <f>IF(Pipeline_tbl[[#This Row],[Closed_Date]]=0,"",Pipeline_tbl[[#This Row],[Closed_Date]]-Pipeline_tbl[[#This Row],[Created_Date]])</f>
        <v>20</v>
      </c>
    </row>
    <row r="6496" spans="1:21" ht="15" customHeight="1" x14ac:dyDescent="0.2">
      <c r="A6496" t="s">
        <v>6802</v>
      </c>
      <c r="B6496" t="s">
        <v>209</v>
      </c>
      <c r="C6496" t="s">
        <v>52</v>
      </c>
      <c r="D6496" s="49">
        <v>45771</v>
      </c>
      <c r="E6496" s="49">
        <v>45773</v>
      </c>
      <c r="F6496" s="49">
        <v>45778</v>
      </c>
      <c r="G6496" s="49">
        <v>45785</v>
      </c>
      <c r="H6496" s="49">
        <v>45791</v>
      </c>
      <c r="I6496" s="49">
        <v>45794</v>
      </c>
      <c r="J6496" t="s">
        <v>47</v>
      </c>
      <c r="K6496" s="33">
        <v>2500</v>
      </c>
      <c r="M6496" t="str">
        <f>_xlfn.XLOOKUP(Pipeline_tbl[[#This Row],[Rep_ID]],Dim_Reps!A:A,Dim_Reps!K:K)</f>
        <v>EUR</v>
      </c>
      <c r="N6496" s="33">
        <f>(_xlfn.XLOOKUP(Pipeline_tbl[[#This Row],[Rate_Code_Generalized]],Lookups!A:A,Lookups!B:B))*Pipeline_tbl[[#This Row],[Pipeline_Amount_USD]]</f>
        <v>2500</v>
      </c>
      <c r="O6496" t="str">
        <f>_xlfn.XLOOKUP(Pipeline_tbl[[#This Row],[Rep_ID]],Dim_Reps!A:A,Dim_Reps!B:B)</f>
        <v>Petra Larsen</v>
      </c>
      <c r="P6496" t="str">
        <f>_xlfn.XLOOKUP(Pipeline_tbl[[#This Row],[Rep_ID]],Dim_Reps!A:A,Dim_Reps!C:C)</f>
        <v>SDR / Inside Sales Rep</v>
      </c>
      <c r="Q6496" t="str">
        <f>_xlfn.XLOOKUP(Pipeline_tbl[[#This Row],[Rep_ID]],Dim_Reps!A:A,Dim_Reps!D:D)</f>
        <v>Inside Sales</v>
      </c>
      <c r="R6496" t="str">
        <f>_xlfn.XLOOKUP(Pipeline_tbl[[#This Row],[Rep_ID]],Dim_Reps!A:A,Dim_Reps!E:E)</f>
        <v>EMEA</v>
      </c>
      <c r="S6496" t="str">
        <f>_xlfn.XLOOKUP(Pipeline_tbl[[#This Row],[Created_Date]],Dim_Date!A:A,Dim_Date!H:H)</f>
        <v>Apr 2025</v>
      </c>
      <c r="T6496" t="str">
        <f>IF(Pipeline_tbl[[#This Row],[Closed_Date]]=0,"",(_xlfn.XLOOKUP(Pipeline_tbl[[#This Row],[Closed_Date]],Dim_Date!A:A,Dim_Date!H:H)))</f>
        <v>May 2025</v>
      </c>
      <c r="U6496">
        <f>IF(Pipeline_tbl[[#This Row],[Closed_Date]]=0,"",Pipeline_tbl[[#This Row],[Closed_Date]]-Pipeline_tbl[[#This Row],[Created_Date]])</f>
        <v>23</v>
      </c>
    </row>
    <row r="6497" spans="1:21" ht="15" customHeight="1" x14ac:dyDescent="0.2">
      <c r="A6497" t="s">
        <v>6803</v>
      </c>
      <c r="B6497" t="s">
        <v>211</v>
      </c>
      <c r="C6497" t="s">
        <v>55</v>
      </c>
      <c r="D6497" s="49">
        <v>45776</v>
      </c>
      <c r="E6497" s="49">
        <v>45778</v>
      </c>
      <c r="F6497" s="49">
        <v>45781</v>
      </c>
      <c r="G6497" s="49">
        <v>45787</v>
      </c>
      <c r="H6497" s="49">
        <v>45791</v>
      </c>
      <c r="I6497" s="49">
        <v>45794</v>
      </c>
      <c r="J6497" t="s">
        <v>47</v>
      </c>
      <c r="K6497" s="33">
        <v>8100</v>
      </c>
      <c r="M6497" t="str">
        <f>_xlfn.XLOOKUP(Pipeline_tbl[[#This Row],[Rep_ID]],Dim_Reps!A:A,Dim_Reps!K:K)</f>
        <v>EUR</v>
      </c>
      <c r="N6497" s="33">
        <f>(_xlfn.XLOOKUP(Pipeline_tbl[[#This Row],[Rate_Code_Generalized]],Lookups!A:A,Lookups!B:B))*Pipeline_tbl[[#This Row],[Pipeline_Amount_USD]]</f>
        <v>8100</v>
      </c>
      <c r="O6497" t="str">
        <f>_xlfn.XLOOKUP(Pipeline_tbl[[#This Row],[Rep_ID]],Dim_Reps!A:A,Dim_Reps!B:B)</f>
        <v>Lea Weber</v>
      </c>
      <c r="P6497" t="str">
        <f>_xlfn.XLOOKUP(Pipeline_tbl[[#This Row],[Rep_ID]],Dim_Reps!A:A,Dim_Reps!C:C)</f>
        <v>SDR / Inside Sales Rep</v>
      </c>
      <c r="Q6497" t="str">
        <f>_xlfn.XLOOKUP(Pipeline_tbl[[#This Row],[Rep_ID]],Dim_Reps!A:A,Dim_Reps!D:D)</f>
        <v>Inside Sales</v>
      </c>
      <c r="R6497" t="str">
        <f>_xlfn.XLOOKUP(Pipeline_tbl[[#This Row],[Rep_ID]],Dim_Reps!A:A,Dim_Reps!E:E)</f>
        <v>EMEA</v>
      </c>
      <c r="S6497" t="str">
        <f>_xlfn.XLOOKUP(Pipeline_tbl[[#This Row],[Created_Date]],Dim_Date!A:A,Dim_Date!H:H)</f>
        <v>Apr 2025</v>
      </c>
      <c r="T6497" t="str">
        <f>IF(Pipeline_tbl[[#This Row],[Closed_Date]]=0,"",(_xlfn.XLOOKUP(Pipeline_tbl[[#This Row],[Closed_Date]],Dim_Date!A:A,Dim_Date!H:H)))</f>
        <v>May 2025</v>
      </c>
      <c r="U6497">
        <f>IF(Pipeline_tbl[[#This Row],[Closed_Date]]=0,"",Pipeline_tbl[[#This Row],[Closed_Date]]-Pipeline_tbl[[#This Row],[Created_Date]])</f>
        <v>18</v>
      </c>
    </row>
    <row r="6498" spans="1:21" ht="15" customHeight="1" x14ac:dyDescent="0.2">
      <c r="A6498" t="s">
        <v>6804</v>
      </c>
      <c r="B6498" t="s">
        <v>211</v>
      </c>
      <c r="C6498" t="s">
        <v>54</v>
      </c>
      <c r="D6498" s="49">
        <v>45777</v>
      </c>
      <c r="E6498" s="49">
        <v>45778</v>
      </c>
      <c r="F6498" s="49">
        <v>45780</v>
      </c>
      <c r="G6498" s="49">
        <v>45783</v>
      </c>
      <c r="I6498" s="49">
        <v>45787</v>
      </c>
      <c r="J6498" t="s">
        <v>49</v>
      </c>
      <c r="K6498" s="33">
        <v>5600</v>
      </c>
      <c r="L6498" t="s">
        <v>61</v>
      </c>
      <c r="M6498" t="str">
        <f>_xlfn.XLOOKUP(Pipeline_tbl[[#This Row],[Rep_ID]],Dim_Reps!A:A,Dim_Reps!K:K)</f>
        <v>EUR</v>
      </c>
      <c r="N6498" s="33">
        <f>(_xlfn.XLOOKUP(Pipeline_tbl[[#This Row],[Rate_Code_Generalized]],Lookups!A:A,Lookups!B:B))*Pipeline_tbl[[#This Row],[Pipeline_Amount_USD]]</f>
        <v>5600</v>
      </c>
      <c r="O6498" t="str">
        <f>_xlfn.XLOOKUP(Pipeline_tbl[[#This Row],[Rep_ID]],Dim_Reps!A:A,Dim_Reps!B:B)</f>
        <v>Lea Weber</v>
      </c>
      <c r="P6498" t="str">
        <f>_xlfn.XLOOKUP(Pipeline_tbl[[#This Row],[Rep_ID]],Dim_Reps!A:A,Dim_Reps!C:C)</f>
        <v>SDR / Inside Sales Rep</v>
      </c>
      <c r="Q6498" t="str">
        <f>_xlfn.XLOOKUP(Pipeline_tbl[[#This Row],[Rep_ID]],Dim_Reps!A:A,Dim_Reps!D:D)</f>
        <v>Inside Sales</v>
      </c>
      <c r="R6498" t="str">
        <f>_xlfn.XLOOKUP(Pipeline_tbl[[#This Row],[Rep_ID]],Dim_Reps!A:A,Dim_Reps!E:E)</f>
        <v>EMEA</v>
      </c>
      <c r="S6498" t="str">
        <f>_xlfn.XLOOKUP(Pipeline_tbl[[#This Row],[Created_Date]],Dim_Date!A:A,Dim_Date!H:H)</f>
        <v>Apr 2025</v>
      </c>
      <c r="T6498" t="str">
        <f>IF(Pipeline_tbl[[#This Row],[Closed_Date]]=0,"",(_xlfn.XLOOKUP(Pipeline_tbl[[#This Row],[Closed_Date]],Dim_Date!A:A,Dim_Date!H:H)))</f>
        <v>May 2025</v>
      </c>
      <c r="U6498">
        <f>IF(Pipeline_tbl[[#This Row],[Closed_Date]]=0,"",Pipeline_tbl[[#This Row],[Closed_Date]]-Pipeline_tbl[[#This Row],[Created_Date]])</f>
        <v>10</v>
      </c>
    </row>
    <row r="6499" spans="1:21" ht="15" customHeight="1" x14ac:dyDescent="0.2">
      <c r="A6499" t="s">
        <v>6805</v>
      </c>
      <c r="B6499" t="s">
        <v>211</v>
      </c>
      <c r="C6499" t="s">
        <v>53</v>
      </c>
      <c r="D6499" s="49">
        <v>45761</v>
      </c>
      <c r="E6499" s="49">
        <v>45763</v>
      </c>
      <c r="F6499" s="49">
        <v>45768</v>
      </c>
      <c r="I6499" s="49">
        <v>45784</v>
      </c>
      <c r="J6499" t="s">
        <v>49</v>
      </c>
      <c r="K6499" s="33">
        <v>3100</v>
      </c>
      <c r="L6499" t="s">
        <v>60</v>
      </c>
      <c r="M6499" t="str">
        <f>_xlfn.XLOOKUP(Pipeline_tbl[[#This Row],[Rep_ID]],Dim_Reps!A:A,Dim_Reps!K:K)</f>
        <v>EUR</v>
      </c>
      <c r="N6499" s="33">
        <f>(_xlfn.XLOOKUP(Pipeline_tbl[[#This Row],[Rate_Code_Generalized]],Lookups!A:A,Lookups!B:B))*Pipeline_tbl[[#This Row],[Pipeline_Amount_USD]]</f>
        <v>3100</v>
      </c>
      <c r="O6499" t="str">
        <f>_xlfn.XLOOKUP(Pipeline_tbl[[#This Row],[Rep_ID]],Dim_Reps!A:A,Dim_Reps!B:B)</f>
        <v>Lea Weber</v>
      </c>
      <c r="P6499" t="str">
        <f>_xlfn.XLOOKUP(Pipeline_tbl[[#This Row],[Rep_ID]],Dim_Reps!A:A,Dim_Reps!C:C)</f>
        <v>SDR / Inside Sales Rep</v>
      </c>
      <c r="Q6499" t="str">
        <f>_xlfn.XLOOKUP(Pipeline_tbl[[#This Row],[Rep_ID]],Dim_Reps!A:A,Dim_Reps!D:D)</f>
        <v>Inside Sales</v>
      </c>
      <c r="R6499" t="str">
        <f>_xlfn.XLOOKUP(Pipeline_tbl[[#This Row],[Rep_ID]],Dim_Reps!A:A,Dim_Reps!E:E)</f>
        <v>EMEA</v>
      </c>
      <c r="S6499" t="str">
        <f>_xlfn.XLOOKUP(Pipeline_tbl[[#This Row],[Created_Date]],Dim_Date!A:A,Dim_Date!H:H)</f>
        <v>Apr 2025</v>
      </c>
      <c r="T6499" t="str">
        <f>IF(Pipeline_tbl[[#This Row],[Closed_Date]]=0,"",(_xlfn.XLOOKUP(Pipeline_tbl[[#This Row],[Closed_Date]],Dim_Date!A:A,Dim_Date!H:H)))</f>
        <v>May 2025</v>
      </c>
      <c r="U6499">
        <f>IF(Pipeline_tbl[[#This Row],[Closed_Date]]=0,"",Pipeline_tbl[[#This Row],[Closed_Date]]-Pipeline_tbl[[#This Row],[Created_Date]])</f>
        <v>23</v>
      </c>
    </row>
    <row r="6500" spans="1:21" ht="15" customHeight="1" x14ac:dyDescent="0.2">
      <c r="A6500" t="s">
        <v>6806</v>
      </c>
      <c r="B6500" t="s">
        <v>211</v>
      </c>
      <c r="C6500" t="s">
        <v>55</v>
      </c>
      <c r="D6500" s="49">
        <v>45764</v>
      </c>
      <c r="E6500" s="49">
        <v>45766</v>
      </c>
      <c r="F6500" s="49">
        <v>45769</v>
      </c>
      <c r="G6500" s="49">
        <v>45774</v>
      </c>
      <c r="H6500" s="49">
        <v>45778</v>
      </c>
      <c r="I6500" s="49">
        <v>45780</v>
      </c>
      <c r="J6500" t="s">
        <v>47</v>
      </c>
      <c r="K6500" s="33">
        <v>7400</v>
      </c>
      <c r="M6500" t="str">
        <f>_xlfn.XLOOKUP(Pipeline_tbl[[#This Row],[Rep_ID]],Dim_Reps!A:A,Dim_Reps!K:K)</f>
        <v>EUR</v>
      </c>
      <c r="N6500" s="33">
        <f>(_xlfn.XLOOKUP(Pipeline_tbl[[#This Row],[Rate_Code_Generalized]],Lookups!A:A,Lookups!B:B))*Pipeline_tbl[[#This Row],[Pipeline_Amount_USD]]</f>
        <v>7400</v>
      </c>
      <c r="O6500" t="str">
        <f>_xlfn.XLOOKUP(Pipeline_tbl[[#This Row],[Rep_ID]],Dim_Reps!A:A,Dim_Reps!B:B)</f>
        <v>Lea Weber</v>
      </c>
      <c r="P6500" t="str">
        <f>_xlfn.XLOOKUP(Pipeline_tbl[[#This Row],[Rep_ID]],Dim_Reps!A:A,Dim_Reps!C:C)</f>
        <v>SDR / Inside Sales Rep</v>
      </c>
      <c r="Q6500" t="str">
        <f>_xlfn.XLOOKUP(Pipeline_tbl[[#This Row],[Rep_ID]],Dim_Reps!A:A,Dim_Reps!D:D)</f>
        <v>Inside Sales</v>
      </c>
      <c r="R6500" t="str">
        <f>_xlfn.XLOOKUP(Pipeline_tbl[[#This Row],[Rep_ID]],Dim_Reps!A:A,Dim_Reps!E:E)</f>
        <v>EMEA</v>
      </c>
      <c r="S6500" t="str">
        <f>_xlfn.XLOOKUP(Pipeline_tbl[[#This Row],[Created_Date]],Dim_Date!A:A,Dim_Date!H:H)</f>
        <v>Apr 2025</v>
      </c>
      <c r="T6500" t="str">
        <f>IF(Pipeline_tbl[[#This Row],[Closed_Date]]=0,"",(_xlfn.XLOOKUP(Pipeline_tbl[[#This Row],[Closed_Date]],Dim_Date!A:A,Dim_Date!H:H)))</f>
        <v>May 2025</v>
      </c>
      <c r="U6500">
        <f>IF(Pipeline_tbl[[#This Row],[Closed_Date]]=0,"",Pipeline_tbl[[#This Row],[Closed_Date]]-Pipeline_tbl[[#This Row],[Created_Date]])</f>
        <v>16</v>
      </c>
    </row>
    <row r="6501" spans="1:21" ht="15" customHeight="1" x14ac:dyDescent="0.2">
      <c r="A6501" t="s">
        <v>6807</v>
      </c>
      <c r="B6501" t="s">
        <v>213</v>
      </c>
      <c r="C6501" t="s">
        <v>55</v>
      </c>
      <c r="D6501" s="49">
        <v>45770</v>
      </c>
      <c r="E6501" s="49">
        <v>45772</v>
      </c>
      <c r="I6501" s="49">
        <v>45793</v>
      </c>
      <c r="J6501" t="s">
        <v>49</v>
      </c>
      <c r="K6501" s="33">
        <v>2300</v>
      </c>
      <c r="L6501" t="s">
        <v>61</v>
      </c>
      <c r="M6501" t="str">
        <f>_xlfn.XLOOKUP(Pipeline_tbl[[#This Row],[Rep_ID]],Dim_Reps!A:A,Dim_Reps!K:K)</f>
        <v>EUR</v>
      </c>
      <c r="N6501" s="33">
        <f>(_xlfn.XLOOKUP(Pipeline_tbl[[#This Row],[Rate_Code_Generalized]],Lookups!A:A,Lookups!B:B))*Pipeline_tbl[[#This Row],[Pipeline_Amount_USD]]</f>
        <v>2300</v>
      </c>
      <c r="O6501" t="str">
        <f>_xlfn.XLOOKUP(Pipeline_tbl[[#This Row],[Rep_ID]],Dim_Reps!A:A,Dim_Reps!B:B)</f>
        <v>Jamie Silva</v>
      </c>
      <c r="P6501" t="str">
        <f>_xlfn.XLOOKUP(Pipeline_tbl[[#This Row],[Rep_ID]],Dim_Reps!A:A,Dim_Reps!C:C)</f>
        <v>SDR / Inside Sales Rep</v>
      </c>
      <c r="Q6501" t="str">
        <f>_xlfn.XLOOKUP(Pipeline_tbl[[#This Row],[Rep_ID]],Dim_Reps!A:A,Dim_Reps!D:D)</f>
        <v>Inside Sales</v>
      </c>
      <c r="R6501" t="str">
        <f>_xlfn.XLOOKUP(Pipeline_tbl[[#This Row],[Rep_ID]],Dim_Reps!A:A,Dim_Reps!E:E)</f>
        <v>EMEA</v>
      </c>
      <c r="S6501" t="str">
        <f>_xlfn.XLOOKUP(Pipeline_tbl[[#This Row],[Created_Date]],Dim_Date!A:A,Dim_Date!H:H)</f>
        <v>Apr 2025</v>
      </c>
      <c r="T6501" t="str">
        <f>IF(Pipeline_tbl[[#This Row],[Closed_Date]]=0,"",(_xlfn.XLOOKUP(Pipeline_tbl[[#This Row],[Closed_Date]],Dim_Date!A:A,Dim_Date!H:H)))</f>
        <v>May 2025</v>
      </c>
      <c r="U6501">
        <f>IF(Pipeline_tbl[[#This Row],[Closed_Date]]=0,"",Pipeline_tbl[[#This Row],[Closed_Date]]-Pipeline_tbl[[#This Row],[Created_Date]])</f>
        <v>23</v>
      </c>
    </row>
    <row r="6502" spans="1:21" ht="15" customHeight="1" x14ac:dyDescent="0.2">
      <c r="A6502" t="s">
        <v>6808</v>
      </c>
      <c r="B6502" t="s">
        <v>213</v>
      </c>
      <c r="C6502" t="s">
        <v>56</v>
      </c>
      <c r="D6502" s="49">
        <v>45763</v>
      </c>
      <c r="E6502" s="49">
        <v>45765</v>
      </c>
      <c r="F6502" s="49">
        <v>45768</v>
      </c>
      <c r="I6502" s="49">
        <v>45779</v>
      </c>
      <c r="J6502" t="s">
        <v>49</v>
      </c>
      <c r="K6502" s="33">
        <v>7500</v>
      </c>
      <c r="L6502" t="s">
        <v>62</v>
      </c>
      <c r="M6502" t="str">
        <f>_xlfn.XLOOKUP(Pipeline_tbl[[#This Row],[Rep_ID]],Dim_Reps!A:A,Dim_Reps!K:K)</f>
        <v>EUR</v>
      </c>
      <c r="N6502" s="33">
        <f>(_xlfn.XLOOKUP(Pipeline_tbl[[#This Row],[Rate_Code_Generalized]],Lookups!A:A,Lookups!B:B))*Pipeline_tbl[[#This Row],[Pipeline_Amount_USD]]</f>
        <v>7500</v>
      </c>
      <c r="O6502" t="str">
        <f>_xlfn.XLOOKUP(Pipeline_tbl[[#This Row],[Rep_ID]],Dim_Reps!A:A,Dim_Reps!B:B)</f>
        <v>Jamie Silva</v>
      </c>
      <c r="P6502" t="str">
        <f>_xlfn.XLOOKUP(Pipeline_tbl[[#This Row],[Rep_ID]],Dim_Reps!A:A,Dim_Reps!C:C)</f>
        <v>SDR / Inside Sales Rep</v>
      </c>
      <c r="Q6502" t="str">
        <f>_xlfn.XLOOKUP(Pipeline_tbl[[#This Row],[Rep_ID]],Dim_Reps!A:A,Dim_Reps!D:D)</f>
        <v>Inside Sales</v>
      </c>
      <c r="R6502" t="str">
        <f>_xlfn.XLOOKUP(Pipeline_tbl[[#This Row],[Rep_ID]],Dim_Reps!A:A,Dim_Reps!E:E)</f>
        <v>EMEA</v>
      </c>
      <c r="S6502" t="str">
        <f>_xlfn.XLOOKUP(Pipeline_tbl[[#This Row],[Created_Date]],Dim_Date!A:A,Dim_Date!H:H)</f>
        <v>Apr 2025</v>
      </c>
      <c r="T6502" t="str">
        <f>IF(Pipeline_tbl[[#This Row],[Closed_Date]]=0,"",(_xlfn.XLOOKUP(Pipeline_tbl[[#This Row],[Closed_Date]],Dim_Date!A:A,Dim_Date!H:H)))</f>
        <v>May 2025</v>
      </c>
      <c r="U6502">
        <f>IF(Pipeline_tbl[[#This Row],[Closed_Date]]=0,"",Pipeline_tbl[[#This Row],[Closed_Date]]-Pipeline_tbl[[#This Row],[Created_Date]])</f>
        <v>16</v>
      </c>
    </row>
    <row r="6503" spans="1:21" ht="15" customHeight="1" x14ac:dyDescent="0.2">
      <c r="A6503" t="s">
        <v>6809</v>
      </c>
      <c r="B6503" t="s">
        <v>213</v>
      </c>
      <c r="C6503" t="s">
        <v>52</v>
      </c>
      <c r="D6503" s="49">
        <v>45759</v>
      </c>
      <c r="E6503" s="49">
        <v>45762</v>
      </c>
      <c r="F6503" s="49">
        <v>45767</v>
      </c>
      <c r="G6503" s="49">
        <v>45775</v>
      </c>
      <c r="I6503" s="49">
        <v>45785</v>
      </c>
      <c r="J6503" t="s">
        <v>49</v>
      </c>
      <c r="K6503" s="33">
        <v>1300</v>
      </c>
      <c r="L6503" t="s">
        <v>62</v>
      </c>
      <c r="M6503" t="str">
        <f>_xlfn.XLOOKUP(Pipeline_tbl[[#This Row],[Rep_ID]],Dim_Reps!A:A,Dim_Reps!K:K)</f>
        <v>EUR</v>
      </c>
      <c r="N6503" s="33">
        <f>(_xlfn.XLOOKUP(Pipeline_tbl[[#This Row],[Rate_Code_Generalized]],Lookups!A:A,Lookups!B:B))*Pipeline_tbl[[#This Row],[Pipeline_Amount_USD]]</f>
        <v>1300</v>
      </c>
      <c r="O6503" t="str">
        <f>_xlfn.XLOOKUP(Pipeline_tbl[[#This Row],[Rep_ID]],Dim_Reps!A:A,Dim_Reps!B:B)</f>
        <v>Jamie Silva</v>
      </c>
      <c r="P6503" t="str">
        <f>_xlfn.XLOOKUP(Pipeline_tbl[[#This Row],[Rep_ID]],Dim_Reps!A:A,Dim_Reps!C:C)</f>
        <v>SDR / Inside Sales Rep</v>
      </c>
      <c r="Q6503" t="str">
        <f>_xlfn.XLOOKUP(Pipeline_tbl[[#This Row],[Rep_ID]],Dim_Reps!A:A,Dim_Reps!D:D)</f>
        <v>Inside Sales</v>
      </c>
      <c r="R6503" t="str">
        <f>_xlfn.XLOOKUP(Pipeline_tbl[[#This Row],[Rep_ID]],Dim_Reps!A:A,Dim_Reps!E:E)</f>
        <v>EMEA</v>
      </c>
      <c r="S6503" t="str">
        <f>_xlfn.XLOOKUP(Pipeline_tbl[[#This Row],[Created_Date]],Dim_Date!A:A,Dim_Date!H:H)</f>
        <v>Apr 2025</v>
      </c>
      <c r="T6503" t="str">
        <f>IF(Pipeline_tbl[[#This Row],[Closed_Date]]=0,"",(_xlfn.XLOOKUP(Pipeline_tbl[[#This Row],[Closed_Date]],Dim_Date!A:A,Dim_Date!H:H)))</f>
        <v>May 2025</v>
      </c>
      <c r="U6503">
        <f>IF(Pipeline_tbl[[#This Row],[Closed_Date]]=0,"",Pipeline_tbl[[#This Row],[Closed_Date]]-Pipeline_tbl[[#This Row],[Created_Date]])</f>
        <v>26</v>
      </c>
    </row>
    <row r="6504" spans="1:21" ht="15" customHeight="1" x14ac:dyDescent="0.2">
      <c r="A6504" t="s">
        <v>6810</v>
      </c>
      <c r="B6504" t="s">
        <v>213</v>
      </c>
      <c r="C6504" t="s">
        <v>52</v>
      </c>
      <c r="D6504" s="49">
        <v>45777</v>
      </c>
      <c r="E6504" s="49">
        <v>45778</v>
      </c>
      <c r="F6504" s="49">
        <v>45779</v>
      </c>
      <c r="G6504" s="49">
        <v>45782</v>
      </c>
      <c r="H6504" s="49">
        <v>45784</v>
      </c>
      <c r="I6504" s="49">
        <v>45785</v>
      </c>
      <c r="J6504" t="s">
        <v>47</v>
      </c>
      <c r="K6504" s="33">
        <v>2300</v>
      </c>
      <c r="M6504" t="str">
        <f>_xlfn.XLOOKUP(Pipeline_tbl[[#This Row],[Rep_ID]],Dim_Reps!A:A,Dim_Reps!K:K)</f>
        <v>EUR</v>
      </c>
      <c r="N6504" s="33">
        <f>(_xlfn.XLOOKUP(Pipeline_tbl[[#This Row],[Rate_Code_Generalized]],Lookups!A:A,Lookups!B:B))*Pipeline_tbl[[#This Row],[Pipeline_Amount_USD]]</f>
        <v>2300</v>
      </c>
      <c r="O6504" t="str">
        <f>_xlfn.XLOOKUP(Pipeline_tbl[[#This Row],[Rep_ID]],Dim_Reps!A:A,Dim_Reps!B:B)</f>
        <v>Jamie Silva</v>
      </c>
      <c r="P6504" t="str">
        <f>_xlfn.XLOOKUP(Pipeline_tbl[[#This Row],[Rep_ID]],Dim_Reps!A:A,Dim_Reps!C:C)</f>
        <v>SDR / Inside Sales Rep</v>
      </c>
      <c r="Q6504" t="str">
        <f>_xlfn.XLOOKUP(Pipeline_tbl[[#This Row],[Rep_ID]],Dim_Reps!A:A,Dim_Reps!D:D)</f>
        <v>Inside Sales</v>
      </c>
      <c r="R6504" t="str">
        <f>_xlfn.XLOOKUP(Pipeline_tbl[[#This Row],[Rep_ID]],Dim_Reps!A:A,Dim_Reps!E:E)</f>
        <v>EMEA</v>
      </c>
      <c r="S6504" t="str">
        <f>_xlfn.XLOOKUP(Pipeline_tbl[[#This Row],[Created_Date]],Dim_Date!A:A,Dim_Date!H:H)</f>
        <v>Apr 2025</v>
      </c>
      <c r="T6504" t="str">
        <f>IF(Pipeline_tbl[[#This Row],[Closed_Date]]=0,"",(_xlfn.XLOOKUP(Pipeline_tbl[[#This Row],[Closed_Date]],Dim_Date!A:A,Dim_Date!H:H)))</f>
        <v>May 2025</v>
      </c>
      <c r="U6504">
        <f>IF(Pipeline_tbl[[#This Row],[Closed_Date]]=0,"",Pipeline_tbl[[#This Row],[Closed_Date]]-Pipeline_tbl[[#This Row],[Created_Date]])</f>
        <v>8</v>
      </c>
    </row>
    <row r="6505" spans="1:21" ht="15" customHeight="1" x14ac:dyDescent="0.2">
      <c r="A6505" t="s">
        <v>6811</v>
      </c>
      <c r="B6505" t="s">
        <v>213</v>
      </c>
      <c r="C6505" t="s">
        <v>52</v>
      </c>
      <c r="D6505" s="49">
        <v>45773</v>
      </c>
      <c r="E6505" s="49">
        <v>45775</v>
      </c>
      <c r="F6505" s="49">
        <v>45779</v>
      </c>
      <c r="G6505" s="49">
        <v>45784</v>
      </c>
      <c r="H6505" s="49">
        <v>45789</v>
      </c>
      <c r="I6505" s="49">
        <v>45792</v>
      </c>
      <c r="J6505" t="s">
        <v>47</v>
      </c>
      <c r="K6505" s="33">
        <v>2900</v>
      </c>
      <c r="M6505" t="str">
        <f>_xlfn.XLOOKUP(Pipeline_tbl[[#This Row],[Rep_ID]],Dim_Reps!A:A,Dim_Reps!K:K)</f>
        <v>EUR</v>
      </c>
      <c r="N6505" s="33">
        <f>(_xlfn.XLOOKUP(Pipeline_tbl[[#This Row],[Rate_Code_Generalized]],Lookups!A:A,Lookups!B:B))*Pipeline_tbl[[#This Row],[Pipeline_Amount_USD]]</f>
        <v>2900</v>
      </c>
      <c r="O6505" t="str">
        <f>_xlfn.XLOOKUP(Pipeline_tbl[[#This Row],[Rep_ID]],Dim_Reps!A:A,Dim_Reps!B:B)</f>
        <v>Jamie Silva</v>
      </c>
      <c r="P6505" t="str">
        <f>_xlfn.XLOOKUP(Pipeline_tbl[[#This Row],[Rep_ID]],Dim_Reps!A:A,Dim_Reps!C:C)</f>
        <v>SDR / Inside Sales Rep</v>
      </c>
      <c r="Q6505" t="str">
        <f>_xlfn.XLOOKUP(Pipeline_tbl[[#This Row],[Rep_ID]],Dim_Reps!A:A,Dim_Reps!D:D)</f>
        <v>Inside Sales</v>
      </c>
      <c r="R6505" t="str">
        <f>_xlfn.XLOOKUP(Pipeline_tbl[[#This Row],[Rep_ID]],Dim_Reps!A:A,Dim_Reps!E:E)</f>
        <v>EMEA</v>
      </c>
      <c r="S6505" t="str">
        <f>_xlfn.XLOOKUP(Pipeline_tbl[[#This Row],[Created_Date]],Dim_Date!A:A,Dim_Date!H:H)</f>
        <v>Apr 2025</v>
      </c>
      <c r="T6505" t="str">
        <f>IF(Pipeline_tbl[[#This Row],[Closed_Date]]=0,"",(_xlfn.XLOOKUP(Pipeline_tbl[[#This Row],[Closed_Date]],Dim_Date!A:A,Dim_Date!H:H)))</f>
        <v>May 2025</v>
      </c>
      <c r="U6505">
        <f>IF(Pipeline_tbl[[#This Row],[Closed_Date]]=0,"",Pipeline_tbl[[#This Row],[Closed_Date]]-Pipeline_tbl[[#This Row],[Created_Date]])</f>
        <v>19</v>
      </c>
    </row>
    <row r="6506" spans="1:21" ht="15" customHeight="1" x14ac:dyDescent="0.2">
      <c r="A6506" t="s">
        <v>6812</v>
      </c>
      <c r="B6506" t="s">
        <v>213</v>
      </c>
      <c r="C6506" t="s">
        <v>54</v>
      </c>
      <c r="D6506" s="49">
        <v>45764</v>
      </c>
      <c r="E6506" s="49">
        <v>45766</v>
      </c>
      <c r="F6506" s="49">
        <v>45769</v>
      </c>
      <c r="I6506" s="49">
        <v>45780</v>
      </c>
      <c r="J6506" t="s">
        <v>49</v>
      </c>
      <c r="K6506" s="33">
        <v>6700</v>
      </c>
      <c r="L6506" t="s">
        <v>62</v>
      </c>
      <c r="M6506" t="str">
        <f>_xlfn.XLOOKUP(Pipeline_tbl[[#This Row],[Rep_ID]],Dim_Reps!A:A,Dim_Reps!K:K)</f>
        <v>EUR</v>
      </c>
      <c r="N6506" s="33">
        <f>(_xlfn.XLOOKUP(Pipeline_tbl[[#This Row],[Rate_Code_Generalized]],Lookups!A:A,Lookups!B:B))*Pipeline_tbl[[#This Row],[Pipeline_Amount_USD]]</f>
        <v>6700</v>
      </c>
      <c r="O6506" t="str">
        <f>_xlfn.XLOOKUP(Pipeline_tbl[[#This Row],[Rep_ID]],Dim_Reps!A:A,Dim_Reps!B:B)</f>
        <v>Jamie Silva</v>
      </c>
      <c r="P6506" t="str">
        <f>_xlfn.XLOOKUP(Pipeline_tbl[[#This Row],[Rep_ID]],Dim_Reps!A:A,Dim_Reps!C:C)</f>
        <v>SDR / Inside Sales Rep</v>
      </c>
      <c r="Q6506" t="str">
        <f>_xlfn.XLOOKUP(Pipeline_tbl[[#This Row],[Rep_ID]],Dim_Reps!A:A,Dim_Reps!D:D)</f>
        <v>Inside Sales</v>
      </c>
      <c r="R6506" t="str">
        <f>_xlfn.XLOOKUP(Pipeline_tbl[[#This Row],[Rep_ID]],Dim_Reps!A:A,Dim_Reps!E:E)</f>
        <v>EMEA</v>
      </c>
      <c r="S6506" t="str">
        <f>_xlfn.XLOOKUP(Pipeline_tbl[[#This Row],[Created_Date]],Dim_Date!A:A,Dim_Date!H:H)</f>
        <v>Apr 2025</v>
      </c>
      <c r="T6506" t="str">
        <f>IF(Pipeline_tbl[[#This Row],[Closed_Date]]=0,"",(_xlfn.XLOOKUP(Pipeline_tbl[[#This Row],[Closed_Date]],Dim_Date!A:A,Dim_Date!H:H)))</f>
        <v>May 2025</v>
      </c>
      <c r="U6506">
        <f>IF(Pipeline_tbl[[#This Row],[Closed_Date]]=0,"",Pipeline_tbl[[#This Row],[Closed_Date]]-Pipeline_tbl[[#This Row],[Created_Date]])</f>
        <v>16</v>
      </c>
    </row>
    <row r="6507" spans="1:21" ht="15" customHeight="1" x14ac:dyDescent="0.2">
      <c r="A6507" t="s">
        <v>6813</v>
      </c>
      <c r="B6507" t="s">
        <v>213</v>
      </c>
      <c r="C6507" t="s">
        <v>54</v>
      </c>
      <c r="D6507" s="49">
        <v>45773</v>
      </c>
      <c r="E6507" s="49">
        <v>45775</v>
      </c>
      <c r="F6507" s="49">
        <v>45779</v>
      </c>
      <c r="I6507" s="49">
        <v>45794</v>
      </c>
      <c r="J6507" t="s">
        <v>49</v>
      </c>
      <c r="K6507" s="33">
        <v>3800</v>
      </c>
      <c r="L6507" t="s">
        <v>60</v>
      </c>
      <c r="M6507" t="str">
        <f>_xlfn.XLOOKUP(Pipeline_tbl[[#This Row],[Rep_ID]],Dim_Reps!A:A,Dim_Reps!K:K)</f>
        <v>EUR</v>
      </c>
      <c r="N6507" s="33">
        <f>(_xlfn.XLOOKUP(Pipeline_tbl[[#This Row],[Rate_Code_Generalized]],Lookups!A:A,Lookups!B:B))*Pipeline_tbl[[#This Row],[Pipeline_Amount_USD]]</f>
        <v>3800</v>
      </c>
      <c r="O6507" t="str">
        <f>_xlfn.XLOOKUP(Pipeline_tbl[[#This Row],[Rep_ID]],Dim_Reps!A:A,Dim_Reps!B:B)</f>
        <v>Jamie Silva</v>
      </c>
      <c r="P6507" t="str">
        <f>_xlfn.XLOOKUP(Pipeline_tbl[[#This Row],[Rep_ID]],Dim_Reps!A:A,Dim_Reps!C:C)</f>
        <v>SDR / Inside Sales Rep</v>
      </c>
      <c r="Q6507" t="str">
        <f>_xlfn.XLOOKUP(Pipeline_tbl[[#This Row],[Rep_ID]],Dim_Reps!A:A,Dim_Reps!D:D)</f>
        <v>Inside Sales</v>
      </c>
      <c r="R6507" t="str">
        <f>_xlfn.XLOOKUP(Pipeline_tbl[[#This Row],[Rep_ID]],Dim_Reps!A:A,Dim_Reps!E:E)</f>
        <v>EMEA</v>
      </c>
      <c r="S6507" t="str">
        <f>_xlfn.XLOOKUP(Pipeline_tbl[[#This Row],[Created_Date]],Dim_Date!A:A,Dim_Date!H:H)</f>
        <v>Apr 2025</v>
      </c>
      <c r="T6507" t="str">
        <f>IF(Pipeline_tbl[[#This Row],[Closed_Date]]=0,"",(_xlfn.XLOOKUP(Pipeline_tbl[[#This Row],[Closed_Date]],Dim_Date!A:A,Dim_Date!H:H)))</f>
        <v>May 2025</v>
      </c>
      <c r="U6507">
        <f>IF(Pipeline_tbl[[#This Row],[Closed_Date]]=0,"",Pipeline_tbl[[#This Row],[Closed_Date]]-Pipeline_tbl[[#This Row],[Created_Date]])</f>
        <v>21</v>
      </c>
    </row>
    <row r="6508" spans="1:21" ht="15" customHeight="1" x14ac:dyDescent="0.2">
      <c r="A6508" t="s">
        <v>6814</v>
      </c>
      <c r="B6508" t="s">
        <v>213</v>
      </c>
      <c r="C6508" t="s">
        <v>54</v>
      </c>
      <c r="D6508" s="49">
        <v>45771</v>
      </c>
      <c r="E6508" s="49">
        <v>45773</v>
      </c>
      <c r="F6508" s="49">
        <v>45779</v>
      </c>
      <c r="G6508" s="49">
        <v>45786</v>
      </c>
      <c r="H6508" s="49">
        <v>45792</v>
      </c>
      <c r="I6508" s="49">
        <v>45796</v>
      </c>
      <c r="J6508" t="s">
        <v>47</v>
      </c>
      <c r="K6508" s="33">
        <v>3300</v>
      </c>
      <c r="M6508" t="str">
        <f>_xlfn.XLOOKUP(Pipeline_tbl[[#This Row],[Rep_ID]],Dim_Reps!A:A,Dim_Reps!K:K)</f>
        <v>EUR</v>
      </c>
      <c r="N6508" s="33">
        <f>(_xlfn.XLOOKUP(Pipeline_tbl[[#This Row],[Rate_Code_Generalized]],Lookups!A:A,Lookups!B:B))*Pipeline_tbl[[#This Row],[Pipeline_Amount_USD]]</f>
        <v>3300</v>
      </c>
      <c r="O6508" t="str">
        <f>_xlfn.XLOOKUP(Pipeline_tbl[[#This Row],[Rep_ID]],Dim_Reps!A:A,Dim_Reps!B:B)</f>
        <v>Jamie Silva</v>
      </c>
      <c r="P6508" t="str">
        <f>_xlfn.XLOOKUP(Pipeline_tbl[[#This Row],[Rep_ID]],Dim_Reps!A:A,Dim_Reps!C:C)</f>
        <v>SDR / Inside Sales Rep</v>
      </c>
      <c r="Q6508" t="str">
        <f>_xlfn.XLOOKUP(Pipeline_tbl[[#This Row],[Rep_ID]],Dim_Reps!A:A,Dim_Reps!D:D)</f>
        <v>Inside Sales</v>
      </c>
      <c r="R6508" t="str">
        <f>_xlfn.XLOOKUP(Pipeline_tbl[[#This Row],[Rep_ID]],Dim_Reps!A:A,Dim_Reps!E:E)</f>
        <v>EMEA</v>
      </c>
      <c r="S6508" t="str">
        <f>_xlfn.XLOOKUP(Pipeline_tbl[[#This Row],[Created_Date]],Dim_Date!A:A,Dim_Date!H:H)</f>
        <v>Apr 2025</v>
      </c>
      <c r="T6508" t="str">
        <f>IF(Pipeline_tbl[[#This Row],[Closed_Date]]=0,"",(_xlfn.XLOOKUP(Pipeline_tbl[[#This Row],[Closed_Date]],Dim_Date!A:A,Dim_Date!H:H)))</f>
        <v>May 2025</v>
      </c>
      <c r="U6508">
        <f>IF(Pipeline_tbl[[#This Row],[Closed_Date]]=0,"",Pipeline_tbl[[#This Row],[Closed_Date]]-Pipeline_tbl[[#This Row],[Created_Date]])</f>
        <v>25</v>
      </c>
    </row>
    <row r="6509" spans="1:21" ht="15" customHeight="1" x14ac:dyDescent="0.2">
      <c r="A6509" t="s">
        <v>6815</v>
      </c>
      <c r="B6509" t="s">
        <v>253</v>
      </c>
      <c r="C6509" t="s">
        <v>54</v>
      </c>
      <c r="D6509" s="49">
        <v>45763</v>
      </c>
      <c r="E6509" s="49">
        <v>45767</v>
      </c>
      <c r="I6509" s="49">
        <v>45800</v>
      </c>
      <c r="J6509" t="s">
        <v>49</v>
      </c>
      <c r="K6509" s="33">
        <v>15800</v>
      </c>
      <c r="L6509" t="s">
        <v>62</v>
      </c>
      <c r="M6509" t="str">
        <f>_xlfn.XLOOKUP(Pipeline_tbl[[#This Row],[Rep_ID]],Dim_Reps!A:A,Dim_Reps!K:K)</f>
        <v>EUR</v>
      </c>
      <c r="N6509" s="33">
        <f>(_xlfn.XLOOKUP(Pipeline_tbl[[#This Row],[Rate_Code_Generalized]],Lookups!A:A,Lookups!B:B))*Pipeline_tbl[[#This Row],[Pipeline_Amount_USD]]</f>
        <v>15800</v>
      </c>
      <c r="O6509" t="str">
        <f>_xlfn.XLOOKUP(Pipeline_tbl[[#This Row],[Rep_ID]],Dim_Reps!A:A,Dim_Reps!B:B)</f>
        <v>Rafael Weber</v>
      </c>
      <c r="P6509" t="str">
        <f>_xlfn.XLOOKUP(Pipeline_tbl[[#This Row],[Rep_ID]],Dim_Reps!A:A,Dim_Reps!C:C)</f>
        <v>Mid-Market AE</v>
      </c>
      <c r="Q6509" t="str">
        <f>_xlfn.XLOOKUP(Pipeline_tbl[[#This Row],[Rep_ID]],Dim_Reps!A:A,Dim_Reps!D:D)</f>
        <v>Mid-Market</v>
      </c>
      <c r="R6509" t="str">
        <f>_xlfn.XLOOKUP(Pipeline_tbl[[#This Row],[Rep_ID]],Dim_Reps!A:A,Dim_Reps!E:E)</f>
        <v>APAC</v>
      </c>
      <c r="S6509" t="str">
        <f>_xlfn.XLOOKUP(Pipeline_tbl[[#This Row],[Created_Date]],Dim_Date!A:A,Dim_Date!H:H)</f>
        <v>Apr 2025</v>
      </c>
      <c r="T6509" t="str">
        <f>IF(Pipeline_tbl[[#This Row],[Closed_Date]]=0,"",(_xlfn.XLOOKUP(Pipeline_tbl[[#This Row],[Closed_Date]],Dim_Date!A:A,Dim_Date!H:H)))</f>
        <v>May 2025</v>
      </c>
      <c r="U6509">
        <f>IF(Pipeline_tbl[[#This Row],[Closed_Date]]=0,"",Pipeline_tbl[[#This Row],[Closed_Date]]-Pipeline_tbl[[#This Row],[Created_Date]])</f>
        <v>37</v>
      </c>
    </row>
    <row r="6510" spans="1:21" ht="15" customHeight="1" x14ac:dyDescent="0.2">
      <c r="A6510" t="s">
        <v>6816</v>
      </c>
      <c r="B6510" t="s">
        <v>253</v>
      </c>
      <c r="C6510" t="s">
        <v>52</v>
      </c>
      <c r="D6510" s="49">
        <v>45764</v>
      </c>
      <c r="E6510" s="49">
        <v>45767</v>
      </c>
      <c r="F6510" s="49">
        <v>45772</v>
      </c>
      <c r="G6510" s="49">
        <v>45780</v>
      </c>
      <c r="I6510" s="49">
        <v>45791</v>
      </c>
      <c r="J6510" t="s">
        <v>49</v>
      </c>
      <c r="K6510" s="33">
        <v>12200</v>
      </c>
      <c r="L6510" t="s">
        <v>60</v>
      </c>
      <c r="M6510" t="str">
        <f>_xlfn.XLOOKUP(Pipeline_tbl[[#This Row],[Rep_ID]],Dim_Reps!A:A,Dim_Reps!K:K)</f>
        <v>EUR</v>
      </c>
      <c r="N6510" s="33">
        <f>(_xlfn.XLOOKUP(Pipeline_tbl[[#This Row],[Rate_Code_Generalized]],Lookups!A:A,Lookups!B:B))*Pipeline_tbl[[#This Row],[Pipeline_Amount_USD]]</f>
        <v>12200</v>
      </c>
      <c r="O6510" t="str">
        <f>_xlfn.XLOOKUP(Pipeline_tbl[[#This Row],[Rep_ID]],Dim_Reps!A:A,Dim_Reps!B:B)</f>
        <v>Rafael Weber</v>
      </c>
      <c r="P6510" t="str">
        <f>_xlfn.XLOOKUP(Pipeline_tbl[[#This Row],[Rep_ID]],Dim_Reps!A:A,Dim_Reps!C:C)</f>
        <v>Mid-Market AE</v>
      </c>
      <c r="Q6510" t="str">
        <f>_xlfn.XLOOKUP(Pipeline_tbl[[#This Row],[Rep_ID]],Dim_Reps!A:A,Dim_Reps!D:D)</f>
        <v>Mid-Market</v>
      </c>
      <c r="R6510" t="str">
        <f>_xlfn.XLOOKUP(Pipeline_tbl[[#This Row],[Rep_ID]],Dim_Reps!A:A,Dim_Reps!E:E)</f>
        <v>APAC</v>
      </c>
      <c r="S6510" t="str">
        <f>_xlfn.XLOOKUP(Pipeline_tbl[[#This Row],[Created_Date]],Dim_Date!A:A,Dim_Date!H:H)</f>
        <v>Apr 2025</v>
      </c>
      <c r="T6510" t="str">
        <f>IF(Pipeline_tbl[[#This Row],[Closed_Date]]=0,"",(_xlfn.XLOOKUP(Pipeline_tbl[[#This Row],[Closed_Date]],Dim_Date!A:A,Dim_Date!H:H)))</f>
        <v>May 2025</v>
      </c>
      <c r="U6510">
        <f>IF(Pipeline_tbl[[#This Row],[Closed_Date]]=0,"",Pipeline_tbl[[#This Row],[Closed_Date]]-Pipeline_tbl[[#This Row],[Created_Date]])</f>
        <v>27</v>
      </c>
    </row>
    <row r="6511" spans="1:21" ht="15" customHeight="1" x14ac:dyDescent="0.2">
      <c r="A6511" t="s">
        <v>6817</v>
      </c>
      <c r="B6511" t="s">
        <v>215</v>
      </c>
      <c r="C6511" t="s">
        <v>55</v>
      </c>
      <c r="D6511" s="49">
        <v>45766</v>
      </c>
      <c r="E6511" s="49">
        <v>45768</v>
      </c>
      <c r="F6511" s="49">
        <v>45772</v>
      </c>
      <c r="G6511" s="49">
        <v>45777</v>
      </c>
      <c r="H6511" s="49">
        <v>45782</v>
      </c>
      <c r="I6511" s="49">
        <v>45785</v>
      </c>
      <c r="J6511" t="s">
        <v>47</v>
      </c>
      <c r="K6511" s="33">
        <v>1200</v>
      </c>
      <c r="M6511" t="str">
        <f>_xlfn.XLOOKUP(Pipeline_tbl[[#This Row],[Rep_ID]],Dim_Reps!A:A,Dim_Reps!K:K)</f>
        <v>EUR</v>
      </c>
      <c r="N6511" s="33">
        <f>(_xlfn.XLOOKUP(Pipeline_tbl[[#This Row],[Rate_Code_Generalized]],Lookups!A:A,Lookups!B:B))*Pipeline_tbl[[#This Row],[Pipeline_Amount_USD]]</f>
        <v>1200</v>
      </c>
      <c r="O6511" t="str">
        <f>_xlfn.XLOOKUP(Pipeline_tbl[[#This Row],[Rep_ID]],Dim_Reps!A:A,Dim_Reps!B:B)</f>
        <v>Jamie Schmidt</v>
      </c>
      <c r="P6511" t="str">
        <f>_xlfn.XLOOKUP(Pipeline_tbl[[#This Row],[Rep_ID]],Dim_Reps!A:A,Dim_Reps!C:C)</f>
        <v>SDR / Inside Sales Rep</v>
      </c>
      <c r="Q6511" t="str">
        <f>_xlfn.XLOOKUP(Pipeline_tbl[[#This Row],[Rep_ID]],Dim_Reps!A:A,Dim_Reps!D:D)</f>
        <v>Inside Sales</v>
      </c>
      <c r="R6511" t="str">
        <f>_xlfn.XLOOKUP(Pipeline_tbl[[#This Row],[Rep_ID]],Dim_Reps!A:A,Dim_Reps!E:E)</f>
        <v>APAC</v>
      </c>
      <c r="S6511" t="str">
        <f>_xlfn.XLOOKUP(Pipeline_tbl[[#This Row],[Created_Date]],Dim_Date!A:A,Dim_Date!H:H)</f>
        <v>Apr 2025</v>
      </c>
      <c r="T6511" t="str">
        <f>IF(Pipeline_tbl[[#This Row],[Closed_Date]]=0,"",(_xlfn.XLOOKUP(Pipeline_tbl[[#This Row],[Closed_Date]],Dim_Date!A:A,Dim_Date!H:H)))</f>
        <v>May 2025</v>
      </c>
      <c r="U6511">
        <f>IF(Pipeline_tbl[[#This Row],[Closed_Date]]=0,"",Pipeline_tbl[[#This Row],[Closed_Date]]-Pipeline_tbl[[#This Row],[Created_Date]])</f>
        <v>19</v>
      </c>
    </row>
    <row r="6512" spans="1:21" ht="15" customHeight="1" x14ac:dyDescent="0.2">
      <c r="A6512" t="s">
        <v>6818</v>
      </c>
      <c r="B6512" t="s">
        <v>215</v>
      </c>
      <c r="C6512" t="s">
        <v>53</v>
      </c>
      <c r="D6512" s="49">
        <v>45768</v>
      </c>
      <c r="E6512" s="49">
        <v>45770</v>
      </c>
      <c r="F6512" s="49">
        <v>45774</v>
      </c>
      <c r="G6512" s="49">
        <v>45779</v>
      </c>
      <c r="H6512" s="49">
        <v>45784</v>
      </c>
      <c r="I6512" s="49">
        <v>45787</v>
      </c>
      <c r="J6512" t="s">
        <v>47</v>
      </c>
      <c r="K6512" s="33">
        <v>4800</v>
      </c>
      <c r="M6512" t="str">
        <f>_xlfn.XLOOKUP(Pipeline_tbl[[#This Row],[Rep_ID]],Dim_Reps!A:A,Dim_Reps!K:K)</f>
        <v>EUR</v>
      </c>
      <c r="N6512" s="33">
        <f>(_xlfn.XLOOKUP(Pipeline_tbl[[#This Row],[Rate_Code_Generalized]],Lookups!A:A,Lookups!B:B))*Pipeline_tbl[[#This Row],[Pipeline_Amount_USD]]</f>
        <v>4800</v>
      </c>
      <c r="O6512" t="str">
        <f>_xlfn.XLOOKUP(Pipeline_tbl[[#This Row],[Rep_ID]],Dim_Reps!A:A,Dim_Reps!B:B)</f>
        <v>Jamie Schmidt</v>
      </c>
      <c r="P6512" t="str">
        <f>_xlfn.XLOOKUP(Pipeline_tbl[[#This Row],[Rep_ID]],Dim_Reps!A:A,Dim_Reps!C:C)</f>
        <v>SDR / Inside Sales Rep</v>
      </c>
      <c r="Q6512" t="str">
        <f>_xlfn.XLOOKUP(Pipeline_tbl[[#This Row],[Rep_ID]],Dim_Reps!A:A,Dim_Reps!D:D)</f>
        <v>Inside Sales</v>
      </c>
      <c r="R6512" t="str">
        <f>_xlfn.XLOOKUP(Pipeline_tbl[[#This Row],[Rep_ID]],Dim_Reps!A:A,Dim_Reps!E:E)</f>
        <v>APAC</v>
      </c>
      <c r="S6512" t="str">
        <f>_xlfn.XLOOKUP(Pipeline_tbl[[#This Row],[Created_Date]],Dim_Date!A:A,Dim_Date!H:H)</f>
        <v>Apr 2025</v>
      </c>
      <c r="T6512" t="str">
        <f>IF(Pipeline_tbl[[#This Row],[Closed_Date]]=0,"",(_xlfn.XLOOKUP(Pipeline_tbl[[#This Row],[Closed_Date]],Dim_Date!A:A,Dim_Date!H:H)))</f>
        <v>May 2025</v>
      </c>
      <c r="U6512">
        <f>IF(Pipeline_tbl[[#This Row],[Closed_Date]]=0,"",Pipeline_tbl[[#This Row],[Closed_Date]]-Pipeline_tbl[[#This Row],[Created_Date]])</f>
        <v>19</v>
      </c>
    </row>
    <row r="6513" spans="1:21" ht="15" customHeight="1" x14ac:dyDescent="0.2">
      <c r="A6513" t="s">
        <v>6819</v>
      </c>
      <c r="B6513" t="s">
        <v>215</v>
      </c>
      <c r="C6513" t="s">
        <v>55</v>
      </c>
      <c r="D6513" s="49">
        <v>45772</v>
      </c>
      <c r="E6513" s="49">
        <v>45774</v>
      </c>
      <c r="F6513" s="49">
        <v>45779</v>
      </c>
      <c r="G6513" s="49">
        <v>45785</v>
      </c>
      <c r="H6513" s="49">
        <v>45791</v>
      </c>
      <c r="I6513" s="49">
        <v>45794</v>
      </c>
      <c r="J6513" t="s">
        <v>47</v>
      </c>
      <c r="K6513" s="33">
        <v>8400</v>
      </c>
      <c r="M6513" t="str">
        <f>_xlfn.XLOOKUP(Pipeline_tbl[[#This Row],[Rep_ID]],Dim_Reps!A:A,Dim_Reps!K:K)</f>
        <v>EUR</v>
      </c>
      <c r="N6513" s="33">
        <f>(_xlfn.XLOOKUP(Pipeline_tbl[[#This Row],[Rate_Code_Generalized]],Lookups!A:A,Lookups!B:B))*Pipeline_tbl[[#This Row],[Pipeline_Amount_USD]]</f>
        <v>8400</v>
      </c>
      <c r="O6513" t="str">
        <f>_xlfn.XLOOKUP(Pipeline_tbl[[#This Row],[Rep_ID]],Dim_Reps!A:A,Dim_Reps!B:B)</f>
        <v>Jamie Schmidt</v>
      </c>
      <c r="P6513" t="str">
        <f>_xlfn.XLOOKUP(Pipeline_tbl[[#This Row],[Rep_ID]],Dim_Reps!A:A,Dim_Reps!C:C)</f>
        <v>SDR / Inside Sales Rep</v>
      </c>
      <c r="Q6513" t="str">
        <f>_xlfn.XLOOKUP(Pipeline_tbl[[#This Row],[Rep_ID]],Dim_Reps!A:A,Dim_Reps!D:D)</f>
        <v>Inside Sales</v>
      </c>
      <c r="R6513" t="str">
        <f>_xlfn.XLOOKUP(Pipeline_tbl[[#This Row],[Rep_ID]],Dim_Reps!A:A,Dim_Reps!E:E)</f>
        <v>APAC</v>
      </c>
      <c r="S6513" t="str">
        <f>_xlfn.XLOOKUP(Pipeline_tbl[[#This Row],[Created_Date]],Dim_Date!A:A,Dim_Date!H:H)</f>
        <v>Apr 2025</v>
      </c>
      <c r="T6513" t="str">
        <f>IF(Pipeline_tbl[[#This Row],[Closed_Date]]=0,"",(_xlfn.XLOOKUP(Pipeline_tbl[[#This Row],[Closed_Date]],Dim_Date!A:A,Dim_Date!H:H)))</f>
        <v>May 2025</v>
      </c>
      <c r="U6513">
        <f>IF(Pipeline_tbl[[#This Row],[Closed_Date]]=0,"",Pipeline_tbl[[#This Row],[Closed_Date]]-Pipeline_tbl[[#This Row],[Created_Date]])</f>
        <v>22</v>
      </c>
    </row>
    <row r="6514" spans="1:21" ht="15" customHeight="1" x14ac:dyDescent="0.2">
      <c r="A6514" t="s">
        <v>6820</v>
      </c>
      <c r="B6514" t="s">
        <v>215</v>
      </c>
      <c r="C6514" t="s">
        <v>54</v>
      </c>
      <c r="D6514" s="49">
        <v>45766</v>
      </c>
      <c r="E6514" s="49">
        <v>45768</v>
      </c>
      <c r="F6514" s="49">
        <v>45771</v>
      </c>
      <c r="G6514" s="49">
        <v>45776</v>
      </c>
      <c r="I6514" s="49">
        <v>45782</v>
      </c>
      <c r="J6514" t="s">
        <v>49</v>
      </c>
      <c r="K6514" s="33">
        <v>5600</v>
      </c>
      <c r="L6514" t="s">
        <v>61</v>
      </c>
      <c r="M6514" t="str">
        <f>_xlfn.XLOOKUP(Pipeline_tbl[[#This Row],[Rep_ID]],Dim_Reps!A:A,Dim_Reps!K:K)</f>
        <v>EUR</v>
      </c>
      <c r="N6514" s="33">
        <f>(_xlfn.XLOOKUP(Pipeline_tbl[[#This Row],[Rate_Code_Generalized]],Lookups!A:A,Lookups!B:B))*Pipeline_tbl[[#This Row],[Pipeline_Amount_USD]]</f>
        <v>5600</v>
      </c>
      <c r="O6514" t="str">
        <f>_xlfn.XLOOKUP(Pipeline_tbl[[#This Row],[Rep_ID]],Dim_Reps!A:A,Dim_Reps!B:B)</f>
        <v>Jamie Schmidt</v>
      </c>
      <c r="P6514" t="str">
        <f>_xlfn.XLOOKUP(Pipeline_tbl[[#This Row],[Rep_ID]],Dim_Reps!A:A,Dim_Reps!C:C)</f>
        <v>SDR / Inside Sales Rep</v>
      </c>
      <c r="Q6514" t="str">
        <f>_xlfn.XLOOKUP(Pipeline_tbl[[#This Row],[Rep_ID]],Dim_Reps!A:A,Dim_Reps!D:D)</f>
        <v>Inside Sales</v>
      </c>
      <c r="R6514" t="str">
        <f>_xlfn.XLOOKUP(Pipeline_tbl[[#This Row],[Rep_ID]],Dim_Reps!A:A,Dim_Reps!E:E)</f>
        <v>APAC</v>
      </c>
      <c r="S6514" t="str">
        <f>_xlfn.XLOOKUP(Pipeline_tbl[[#This Row],[Created_Date]],Dim_Date!A:A,Dim_Date!H:H)</f>
        <v>Apr 2025</v>
      </c>
      <c r="T6514" t="str">
        <f>IF(Pipeline_tbl[[#This Row],[Closed_Date]]=0,"",(_xlfn.XLOOKUP(Pipeline_tbl[[#This Row],[Closed_Date]],Dim_Date!A:A,Dim_Date!H:H)))</f>
        <v>May 2025</v>
      </c>
      <c r="U6514">
        <f>IF(Pipeline_tbl[[#This Row],[Closed_Date]]=0,"",Pipeline_tbl[[#This Row],[Closed_Date]]-Pipeline_tbl[[#This Row],[Created_Date]])</f>
        <v>16</v>
      </c>
    </row>
    <row r="6515" spans="1:21" ht="15" customHeight="1" x14ac:dyDescent="0.2">
      <c r="A6515" t="s">
        <v>6821</v>
      </c>
      <c r="B6515" t="s">
        <v>215</v>
      </c>
      <c r="C6515" t="s">
        <v>52</v>
      </c>
      <c r="D6515" s="49">
        <v>45761</v>
      </c>
      <c r="E6515" s="49">
        <v>45763</v>
      </c>
      <c r="F6515" s="49">
        <v>45767</v>
      </c>
      <c r="G6515" s="49">
        <v>45773</v>
      </c>
      <c r="H6515" s="49">
        <v>45778</v>
      </c>
      <c r="I6515" s="49">
        <v>45781</v>
      </c>
      <c r="J6515" t="s">
        <v>49</v>
      </c>
      <c r="K6515" s="33">
        <v>4300</v>
      </c>
      <c r="L6515" t="s">
        <v>61</v>
      </c>
      <c r="M6515" t="str">
        <f>_xlfn.XLOOKUP(Pipeline_tbl[[#This Row],[Rep_ID]],Dim_Reps!A:A,Dim_Reps!K:K)</f>
        <v>EUR</v>
      </c>
      <c r="N6515" s="33">
        <f>(_xlfn.XLOOKUP(Pipeline_tbl[[#This Row],[Rate_Code_Generalized]],Lookups!A:A,Lookups!B:B))*Pipeline_tbl[[#This Row],[Pipeline_Amount_USD]]</f>
        <v>4300</v>
      </c>
      <c r="O6515" t="str">
        <f>_xlfn.XLOOKUP(Pipeline_tbl[[#This Row],[Rep_ID]],Dim_Reps!A:A,Dim_Reps!B:B)</f>
        <v>Jamie Schmidt</v>
      </c>
      <c r="P6515" t="str">
        <f>_xlfn.XLOOKUP(Pipeline_tbl[[#This Row],[Rep_ID]],Dim_Reps!A:A,Dim_Reps!C:C)</f>
        <v>SDR / Inside Sales Rep</v>
      </c>
      <c r="Q6515" t="str">
        <f>_xlfn.XLOOKUP(Pipeline_tbl[[#This Row],[Rep_ID]],Dim_Reps!A:A,Dim_Reps!D:D)</f>
        <v>Inside Sales</v>
      </c>
      <c r="R6515" t="str">
        <f>_xlfn.XLOOKUP(Pipeline_tbl[[#This Row],[Rep_ID]],Dim_Reps!A:A,Dim_Reps!E:E)</f>
        <v>APAC</v>
      </c>
      <c r="S6515" t="str">
        <f>_xlfn.XLOOKUP(Pipeline_tbl[[#This Row],[Created_Date]],Dim_Date!A:A,Dim_Date!H:H)</f>
        <v>Apr 2025</v>
      </c>
      <c r="T6515" t="str">
        <f>IF(Pipeline_tbl[[#This Row],[Closed_Date]]=0,"",(_xlfn.XLOOKUP(Pipeline_tbl[[#This Row],[Closed_Date]],Dim_Date!A:A,Dim_Date!H:H)))</f>
        <v>May 2025</v>
      </c>
      <c r="U6515">
        <f>IF(Pipeline_tbl[[#This Row],[Closed_Date]]=0,"",Pipeline_tbl[[#This Row],[Closed_Date]]-Pipeline_tbl[[#This Row],[Created_Date]])</f>
        <v>20</v>
      </c>
    </row>
    <row r="6516" spans="1:21" ht="15" customHeight="1" x14ac:dyDescent="0.2">
      <c r="A6516" t="s">
        <v>6822</v>
      </c>
      <c r="B6516" t="s">
        <v>215</v>
      </c>
      <c r="C6516" t="s">
        <v>55</v>
      </c>
      <c r="D6516" s="49">
        <v>45767</v>
      </c>
      <c r="E6516" s="49">
        <v>45769</v>
      </c>
      <c r="F6516" s="49">
        <v>45775</v>
      </c>
      <c r="I6516" s="49">
        <v>45792</v>
      </c>
      <c r="J6516" t="s">
        <v>49</v>
      </c>
      <c r="K6516" s="33">
        <v>2000</v>
      </c>
      <c r="L6516" t="s">
        <v>61</v>
      </c>
      <c r="M6516" t="str">
        <f>_xlfn.XLOOKUP(Pipeline_tbl[[#This Row],[Rep_ID]],Dim_Reps!A:A,Dim_Reps!K:K)</f>
        <v>EUR</v>
      </c>
      <c r="N6516" s="33">
        <f>(_xlfn.XLOOKUP(Pipeline_tbl[[#This Row],[Rate_Code_Generalized]],Lookups!A:A,Lookups!B:B))*Pipeline_tbl[[#This Row],[Pipeline_Amount_USD]]</f>
        <v>2000</v>
      </c>
      <c r="O6516" t="str">
        <f>_xlfn.XLOOKUP(Pipeline_tbl[[#This Row],[Rep_ID]],Dim_Reps!A:A,Dim_Reps!B:B)</f>
        <v>Jamie Schmidt</v>
      </c>
      <c r="P6516" t="str">
        <f>_xlfn.XLOOKUP(Pipeline_tbl[[#This Row],[Rep_ID]],Dim_Reps!A:A,Dim_Reps!C:C)</f>
        <v>SDR / Inside Sales Rep</v>
      </c>
      <c r="Q6516" t="str">
        <f>_xlfn.XLOOKUP(Pipeline_tbl[[#This Row],[Rep_ID]],Dim_Reps!A:A,Dim_Reps!D:D)</f>
        <v>Inside Sales</v>
      </c>
      <c r="R6516" t="str">
        <f>_xlfn.XLOOKUP(Pipeline_tbl[[#This Row],[Rep_ID]],Dim_Reps!A:A,Dim_Reps!E:E)</f>
        <v>APAC</v>
      </c>
      <c r="S6516" t="str">
        <f>_xlfn.XLOOKUP(Pipeline_tbl[[#This Row],[Created_Date]],Dim_Date!A:A,Dim_Date!H:H)</f>
        <v>Apr 2025</v>
      </c>
      <c r="T6516" t="str">
        <f>IF(Pipeline_tbl[[#This Row],[Closed_Date]]=0,"",(_xlfn.XLOOKUP(Pipeline_tbl[[#This Row],[Closed_Date]],Dim_Date!A:A,Dim_Date!H:H)))</f>
        <v>May 2025</v>
      </c>
      <c r="U6516">
        <f>IF(Pipeline_tbl[[#This Row],[Closed_Date]]=0,"",Pipeline_tbl[[#This Row],[Closed_Date]]-Pipeline_tbl[[#This Row],[Created_Date]])</f>
        <v>25</v>
      </c>
    </row>
    <row r="6517" spans="1:21" ht="15" customHeight="1" x14ac:dyDescent="0.2">
      <c r="A6517" t="s">
        <v>6823</v>
      </c>
      <c r="B6517" t="s">
        <v>215</v>
      </c>
      <c r="C6517" t="s">
        <v>53</v>
      </c>
      <c r="D6517" s="49">
        <v>45776</v>
      </c>
      <c r="E6517" s="49">
        <v>45778</v>
      </c>
      <c r="F6517" s="49">
        <v>45781</v>
      </c>
      <c r="G6517" s="49">
        <v>45786</v>
      </c>
      <c r="H6517" s="49">
        <v>45790</v>
      </c>
      <c r="I6517" s="49">
        <v>45792</v>
      </c>
      <c r="J6517" t="s">
        <v>47</v>
      </c>
      <c r="K6517" s="33">
        <v>2100</v>
      </c>
      <c r="M6517" t="str">
        <f>_xlfn.XLOOKUP(Pipeline_tbl[[#This Row],[Rep_ID]],Dim_Reps!A:A,Dim_Reps!K:K)</f>
        <v>EUR</v>
      </c>
      <c r="N6517" s="33">
        <f>(_xlfn.XLOOKUP(Pipeline_tbl[[#This Row],[Rate_Code_Generalized]],Lookups!A:A,Lookups!B:B))*Pipeline_tbl[[#This Row],[Pipeline_Amount_USD]]</f>
        <v>2100</v>
      </c>
      <c r="O6517" t="str">
        <f>_xlfn.XLOOKUP(Pipeline_tbl[[#This Row],[Rep_ID]],Dim_Reps!A:A,Dim_Reps!B:B)</f>
        <v>Jamie Schmidt</v>
      </c>
      <c r="P6517" t="str">
        <f>_xlfn.XLOOKUP(Pipeline_tbl[[#This Row],[Rep_ID]],Dim_Reps!A:A,Dim_Reps!C:C)</f>
        <v>SDR / Inside Sales Rep</v>
      </c>
      <c r="Q6517" t="str">
        <f>_xlfn.XLOOKUP(Pipeline_tbl[[#This Row],[Rep_ID]],Dim_Reps!A:A,Dim_Reps!D:D)</f>
        <v>Inside Sales</v>
      </c>
      <c r="R6517" t="str">
        <f>_xlfn.XLOOKUP(Pipeline_tbl[[#This Row],[Rep_ID]],Dim_Reps!A:A,Dim_Reps!E:E)</f>
        <v>APAC</v>
      </c>
      <c r="S6517" t="str">
        <f>_xlfn.XLOOKUP(Pipeline_tbl[[#This Row],[Created_Date]],Dim_Date!A:A,Dim_Date!H:H)</f>
        <v>Apr 2025</v>
      </c>
      <c r="T6517" t="str">
        <f>IF(Pipeline_tbl[[#This Row],[Closed_Date]]=0,"",(_xlfn.XLOOKUP(Pipeline_tbl[[#This Row],[Closed_Date]],Dim_Date!A:A,Dim_Date!H:H)))</f>
        <v>May 2025</v>
      </c>
      <c r="U6517">
        <f>IF(Pipeline_tbl[[#This Row],[Closed_Date]]=0,"",Pipeline_tbl[[#This Row],[Closed_Date]]-Pipeline_tbl[[#This Row],[Created_Date]])</f>
        <v>16</v>
      </c>
    </row>
    <row r="6518" spans="1:21" ht="15" customHeight="1" x14ac:dyDescent="0.2">
      <c r="A6518" t="s">
        <v>6824</v>
      </c>
      <c r="B6518" t="s">
        <v>217</v>
      </c>
      <c r="C6518" t="s">
        <v>52</v>
      </c>
      <c r="D6518" s="49">
        <v>45764</v>
      </c>
      <c r="E6518" s="49">
        <v>45766</v>
      </c>
      <c r="F6518" s="49">
        <v>45769</v>
      </c>
      <c r="G6518" s="49">
        <v>45773</v>
      </c>
      <c r="H6518" s="49">
        <v>45777</v>
      </c>
      <c r="I6518" s="49">
        <v>45779</v>
      </c>
      <c r="J6518" t="s">
        <v>47</v>
      </c>
      <c r="K6518" s="33">
        <v>4800</v>
      </c>
      <c r="M6518" t="str">
        <f>_xlfn.XLOOKUP(Pipeline_tbl[[#This Row],[Rep_ID]],Dim_Reps!A:A,Dim_Reps!K:K)</f>
        <v>USD</v>
      </c>
      <c r="N6518" s="33">
        <f>(_xlfn.XLOOKUP(Pipeline_tbl[[#This Row],[Rate_Code_Generalized]],Lookups!A:A,Lookups!B:B))*Pipeline_tbl[[#This Row],[Pipeline_Amount_USD]]</f>
        <v>5588.6399999999994</v>
      </c>
      <c r="O6518" t="str">
        <f>_xlfn.XLOOKUP(Pipeline_tbl[[#This Row],[Rep_ID]],Dim_Reps!A:A,Dim_Reps!B:B)</f>
        <v>Priya Weber</v>
      </c>
      <c r="P6518" t="str">
        <f>_xlfn.XLOOKUP(Pipeline_tbl[[#This Row],[Rep_ID]],Dim_Reps!A:A,Dim_Reps!C:C)</f>
        <v>SDR / Inside Sales Rep</v>
      </c>
      <c r="Q6518" t="str">
        <f>_xlfn.XLOOKUP(Pipeline_tbl[[#This Row],[Rep_ID]],Dim_Reps!A:A,Dim_Reps!D:D)</f>
        <v>Inside Sales</v>
      </c>
      <c r="R6518" t="str">
        <f>_xlfn.XLOOKUP(Pipeline_tbl[[#This Row],[Rep_ID]],Dim_Reps!A:A,Dim_Reps!E:E)</f>
        <v>NAMER</v>
      </c>
      <c r="S6518" t="str">
        <f>_xlfn.XLOOKUP(Pipeline_tbl[[#This Row],[Created_Date]],Dim_Date!A:A,Dim_Date!H:H)</f>
        <v>Apr 2025</v>
      </c>
      <c r="T6518" t="str">
        <f>IF(Pipeline_tbl[[#This Row],[Closed_Date]]=0,"",(_xlfn.XLOOKUP(Pipeline_tbl[[#This Row],[Closed_Date]],Dim_Date!A:A,Dim_Date!H:H)))</f>
        <v>May 2025</v>
      </c>
      <c r="U6518">
        <f>IF(Pipeline_tbl[[#This Row],[Closed_Date]]=0,"",Pipeline_tbl[[#This Row],[Closed_Date]]-Pipeline_tbl[[#This Row],[Created_Date]])</f>
        <v>15</v>
      </c>
    </row>
    <row r="6519" spans="1:21" ht="15" customHeight="1" x14ac:dyDescent="0.2">
      <c r="A6519" t="s">
        <v>6825</v>
      </c>
      <c r="B6519" t="s">
        <v>217</v>
      </c>
      <c r="C6519" t="s">
        <v>52</v>
      </c>
      <c r="D6519" s="49">
        <v>45772</v>
      </c>
      <c r="E6519" s="49">
        <v>45773</v>
      </c>
      <c r="F6519" s="49">
        <v>45776</v>
      </c>
      <c r="G6519" s="49">
        <v>45779</v>
      </c>
      <c r="I6519" s="49">
        <v>45784</v>
      </c>
      <c r="J6519" t="s">
        <v>49</v>
      </c>
      <c r="K6519" s="33">
        <v>2500</v>
      </c>
      <c r="L6519" t="s">
        <v>60</v>
      </c>
      <c r="M6519" t="str">
        <f>_xlfn.XLOOKUP(Pipeline_tbl[[#This Row],[Rep_ID]],Dim_Reps!A:A,Dim_Reps!K:K)</f>
        <v>USD</v>
      </c>
      <c r="N6519" s="33">
        <f>(_xlfn.XLOOKUP(Pipeline_tbl[[#This Row],[Rate_Code_Generalized]],Lookups!A:A,Lookups!B:B))*Pipeline_tbl[[#This Row],[Pipeline_Amount_USD]]</f>
        <v>2910.7499999999995</v>
      </c>
      <c r="O6519" t="str">
        <f>_xlfn.XLOOKUP(Pipeline_tbl[[#This Row],[Rep_ID]],Dim_Reps!A:A,Dim_Reps!B:B)</f>
        <v>Priya Weber</v>
      </c>
      <c r="P6519" t="str">
        <f>_xlfn.XLOOKUP(Pipeline_tbl[[#This Row],[Rep_ID]],Dim_Reps!A:A,Dim_Reps!C:C)</f>
        <v>SDR / Inside Sales Rep</v>
      </c>
      <c r="Q6519" t="str">
        <f>_xlfn.XLOOKUP(Pipeline_tbl[[#This Row],[Rep_ID]],Dim_Reps!A:A,Dim_Reps!D:D)</f>
        <v>Inside Sales</v>
      </c>
      <c r="R6519" t="str">
        <f>_xlfn.XLOOKUP(Pipeline_tbl[[#This Row],[Rep_ID]],Dim_Reps!A:A,Dim_Reps!E:E)</f>
        <v>NAMER</v>
      </c>
      <c r="S6519" t="str">
        <f>_xlfn.XLOOKUP(Pipeline_tbl[[#This Row],[Created_Date]],Dim_Date!A:A,Dim_Date!H:H)</f>
        <v>Apr 2025</v>
      </c>
      <c r="T6519" t="str">
        <f>IF(Pipeline_tbl[[#This Row],[Closed_Date]]=0,"",(_xlfn.XLOOKUP(Pipeline_tbl[[#This Row],[Closed_Date]],Dim_Date!A:A,Dim_Date!H:H)))</f>
        <v>May 2025</v>
      </c>
      <c r="U6519">
        <f>IF(Pipeline_tbl[[#This Row],[Closed_Date]]=0,"",Pipeline_tbl[[#This Row],[Closed_Date]]-Pipeline_tbl[[#This Row],[Created_Date]])</f>
        <v>12</v>
      </c>
    </row>
    <row r="6520" spans="1:21" ht="15" customHeight="1" x14ac:dyDescent="0.2">
      <c r="A6520" t="s">
        <v>6826</v>
      </c>
      <c r="B6520" t="s">
        <v>217</v>
      </c>
      <c r="C6520" t="s">
        <v>52</v>
      </c>
      <c r="D6520" s="49">
        <v>45767</v>
      </c>
      <c r="E6520" s="49">
        <v>45769</v>
      </c>
      <c r="F6520" s="49">
        <v>45774</v>
      </c>
      <c r="G6520" s="49">
        <v>45781</v>
      </c>
      <c r="H6520" s="49">
        <v>45787</v>
      </c>
      <c r="I6520" s="49">
        <v>45790</v>
      </c>
      <c r="J6520" t="s">
        <v>47</v>
      </c>
      <c r="K6520" s="33">
        <v>2700</v>
      </c>
      <c r="M6520" t="str">
        <f>_xlfn.XLOOKUP(Pipeline_tbl[[#This Row],[Rep_ID]],Dim_Reps!A:A,Dim_Reps!K:K)</f>
        <v>USD</v>
      </c>
      <c r="N6520" s="33">
        <f>(_xlfn.XLOOKUP(Pipeline_tbl[[#This Row],[Rate_Code_Generalized]],Lookups!A:A,Lookups!B:B))*Pipeline_tbl[[#This Row],[Pipeline_Amount_USD]]</f>
        <v>3143.6099999999997</v>
      </c>
      <c r="O6520" t="str">
        <f>_xlfn.XLOOKUP(Pipeline_tbl[[#This Row],[Rep_ID]],Dim_Reps!A:A,Dim_Reps!B:B)</f>
        <v>Priya Weber</v>
      </c>
      <c r="P6520" t="str">
        <f>_xlfn.XLOOKUP(Pipeline_tbl[[#This Row],[Rep_ID]],Dim_Reps!A:A,Dim_Reps!C:C)</f>
        <v>SDR / Inside Sales Rep</v>
      </c>
      <c r="Q6520" t="str">
        <f>_xlfn.XLOOKUP(Pipeline_tbl[[#This Row],[Rep_ID]],Dim_Reps!A:A,Dim_Reps!D:D)</f>
        <v>Inside Sales</v>
      </c>
      <c r="R6520" t="str">
        <f>_xlfn.XLOOKUP(Pipeline_tbl[[#This Row],[Rep_ID]],Dim_Reps!A:A,Dim_Reps!E:E)</f>
        <v>NAMER</v>
      </c>
      <c r="S6520" t="str">
        <f>_xlfn.XLOOKUP(Pipeline_tbl[[#This Row],[Created_Date]],Dim_Date!A:A,Dim_Date!H:H)</f>
        <v>Apr 2025</v>
      </c>
      <c r="T6520" t="str">
        <f>IF(Pipeline_tbl[[#This Row],[Closed_Date]]=0,"",(_xlfn.XLOOKUP(Pipeline_tbl[[#This Row],[Closed_Date]],Dim_Date!A:A,Dim_Date!H:H)))</f>
        <v>May 2025</v>
      </c>
      <c r="U6520">
        <f>IF(Pipeline_tbl[[#This Row],[Closed_Date]]=0,"",Pipeline_tbl[[#This Row],[Closed_Date]]-Pipeline_tbl[[#This Row],[Created_Date]])</f>
        <v>23</v>
      </c>
    </row>
    <row r="6521" spans="1:21" ht="15" customHeight="1" x14ac:dyDescent="0.2">
      <c r="A6521" t="s">
        <v>6827</v>
      </c>
      <c r="B6521" t="s">
        <v>217</v>
      </c>
      <c r="C6521" t="s">
        <v>52</v>
      </c>
      <c r="D6521" s="49">
        <v>45777</v>
      </c>
      <c r="E6521" s="49">
        <v>45778</v>
      </c>
      <c r="F6521" s="49">
        <v>45781</v>
      </c>
      <c r="G6521" s="49">
        <v>45784</v>
      </c>
      <c r="H6521" s="49">
        <v>45787</v>
      </c>
      <c r="I6521" s="49">
        <v>45789</v>
      </c>
      <c r="J6521" t="s">
        <v>47</v>
      </c>
      <c r="K6521" s="33">
        <v>7900</v>
      </c>
      <c r="M6521" t="str">
        <f>_xlfn.XLOOKUP(Pipeline_tbl[[#This Row],[Rep_ID]],Dim_Reps!A:A,Dim_Reps!K:K)</f>
        <v>USD</v>
      </c>
      <c r="N6521" s="33">
        <f>(_xlfn.XLOOKUP(Pipeline_tbl[[#This Row],[Rate_Code_Generalized]],Lookups!A:A,Lookups!B:B))*Pipeline_tbl[[#This Row],[Pipeline_Amount_USD]]</f>
        <v>9197.9699999999993</v>
      </c>
      <c r="O6521" t="str">
        <f>_xlfn.XLOOKUP(Pipeline_tbl[[#This Row],[Rep_ID]],Dim_Reps!A:A,Dim_Reps!B:B)</f>
        <v>Priya Weber</v>
      </c>
      <c r="P6521" t="str">
        <f>_xlfn.XLOOKUP(Pipeline_tbl[[#This Row],[Rep_ID]],Dim_Reps!A:A,Dim_Reps!C:C)</f>
        <v>SDR / Inside Sales Rep</v>
      </c>
      <c r="Q6521" t="str">
        <f>_xlfn.XLOOKUP(Pipeline_tbl[[#This Row],[Rep_ID]],Dim_Reps!A:A,Dim_Reps!D:D)</f>
        <v>Inside Sales</v>
      </c>
      <c r="R6521" t="str">
        <f>_xlfn.XLOOKUP(Pipeline_tbl[[#This Row],[Rep_ID]],Dim_Reps!A:A,Dim_Reps!E:E)</f>
        <v>NAMER</v>
      </c>
      <c r="S6521" t="str">
        <f>_xlfn.XLOOKUP(Pipeline_tbl[[#This Row],[Created_Date]],Dim_Date!A:A,Dim_Date!H:H)</f>
        <v>Apr 2025</v>
      </c>
      <c r="T6521" t="str">
        <f>IF(Pipeline_tbl[[#This Row],[Closed_Date]]=0,"",(_xlfn.XLOOKUP(Pipeline_tbl[[#This Row],[Closed_Date]],Dim_Date!A:A,Dim_Date!H:H)))</f>
        <v>May 2025</v>
      </c>
      <c r="U6521">
        <f>IF(Pipeline_tbl[[#This Row],[Closed_Date]]=0,"",Pipeline_tbl[[#This Row],[Closed_Date]]-Pipeline_tbl[[#This Row],[Created_Date]])</f>
        <v>12</v>
      </c>
    </row>
    <row r="6522" spans="1:21" ht="15" customHeight="1" x14ac:dyDescent="0.2">
      <c r="A6522" t="s">
        <v>6828</v>
      </c>
      <c r="B6522" t="s">
        <v>217</v>
      </c>
      <c r="C6522" t="s">
        <v>53</v>
      </c>
      <c r="D6522" s="49">
        <v>45763</v>
      </c>
      <c r="E6522" s="49">
        <v>45766</v>
      </c>
      <c r="F6522" s="49">
        <v>45771</v>
      </c>
      <c r="G6522" s="49">
        <v>45779</v>
      </c>
      <c r="H6522" s="49">
        <v>45785</v>
      </c>
      <c r="I6522" s="49">
        <v>45789</v>
      </c>
      <c r="J6522" t="s">
        <v>47</v>
      </c>
      <c r="K6522" s="33">
        <v>1900</v>
      </c>
      <c r="M6522" t="str">
        <f>_xlfn.XLOOKUP(Pipeline_tbl[[#This Row],[Rep_ID]],Dim_Reps!A:A,Dim_Reps!K:K)</f>
        <v>USD</v>
      </c>
      <c r="N6522" s="33">
        <f>(_xlfn.XLOOKUP(Pipeline_tbl[[#This Row],[Rate_Code_Generalized]],Lookups!A:A,Lookups!B:B))*Pipeline_tbl[[#This Row],[Pipeline_Amount_USD]]</f>
        <v>2212.1699999999996</v>
      </c>
      <c r="O6522" t="str">
        <f>_xlfn.XLOOKUP(Pipeline_tbl[[#This Row],[Rep_ID]],Dim_Reps!A:A,Dim_Reps!B:B)</f>
        <v>Priya Weber</v>
      </c>
      <c r="P6522" t="str">
        <f>_xlfn.XLOOKUP(Pipeline_tbl[[#This Row],[Rep_ID]],Dim_Reps!A:A,Dim_Reps!C:C)</f>
        <v>SDR / Inside Sales Rep</v>
      </c>
      <c r="Q6522" t="str">
        <f>_xlfn.XLOOKUP(Pipeline_tbl[[#This Row],[Rep_ID]],Dim_Reps!A:A,Dim_Reps!D:D)</f>
        <v>Inside Sales</v>
      </c>
      <c r="R6522" t="str">
        <f>_xlfn.XLOOKUP(Pipeline_tbl[[#This Row],[Rep_ID]],Dim_Reps!A:A,Dim_Reps!E:E)</f>
        <v>NAMER</v>
      </c>
      <c r="S6522" t="str">
        <f>_xlfn.XLOOKUP(Pipeline_tbl[[#This Row],[Created_Date]],Dim_Date!A:A,Dim_Date!H:H)</f>
        <v>Apr 2025</v>
      </c>
      <c r="T6522" t="str">
        <f>IF(Pipeline_tbl[[#This Row],[Closed_Date]]=0,"",(_xlfn.XLOOKUP(Pipeline_tbl[[#This Row],[Closed_Date]],Dim_Date!A:A,Dim_Date!H:H)))</f>
        <v>May 2025</v>
      </c>
      <c r="U6522">
        <f>IF(Pipeline_tbl[[#This Row],[Closed_Date]]=0,"",Pipeline_tbl[[#This Row],[Closed_Date]]-Pipeline_tbl[[#This Row],[Created_Date]])</f>
        <v>26</v>
      </c>
    </row>
    <row r="6523" spans="1:21" ht="15" customHeight="1" x14ac:dyDescent="0.2">
      <c r="A6523" t="s">
        <v>6829</v>
      </c>
      <c r="B6523" t="s">
        <v>217</v>
      </c>
      <c r="C6523" t="s">
        <v>52</v>
      </c>
      <c r="D6523" s="49">
        <v>45775</v>
      </c>
      <c r="E6523" s="49">
        <v>45777</v>
      </c>
      <c r="F6523" s="49">
        <v>45780</v>
      </c>
      <c r="G6523" s="49">
        <v>45786</v>
      </c>
      <c r="I6523" s="49">
        <v>45793</v>
      </c>
      <c r="J6523" t="s">
        <v>49</v>
      </c>
      <c r="K6523" s="33">
        <v>3800</v>
      </c>
      <c r="L6523" t="s">
        <v>62</v>
      </c>
      <c r="M6523" t="str">
        <f>_xlfn.XLOOKUP(Pipeline_tbl[[#This Row],[Rep_ID]],Dim_Reps!A:A,Dim_Reps!K:K)</f>
        <v>USD</v>
      </c>
      <c r="N6523" s="33">
        <f>(_xlfn.XLOOKUP(Pipeline_tbl[[#This Row],[Rate_Code_Generalized]],Lookups!A:A,Lookups!B:B))*Pipeline_tbl[[#This Row],[Pipeline_Amount_USD]]</f>
        <v>4424.3399999999992</v>
      </c>
      <c r="O6523" t="str">
        <f>_xlfn.XLOOKUP(Pipeline_tbl[[#This Row],[Rep_ID]],Dim_Reps!A:A,Dim_Reps!B:B)</f>
        <v>Priya Weber</v>
      </c>
      <c r="P6523" t="str">
        <f>_xlfn.XLOOKUP(Pipeline_tbl[[#This Row],[Rep_ID]],Dim_Reps!A:A,Dim_Reps!C:C)</f>
        <v>SDR / Inside Sales Rep</v>
      </c>
      <c r="Q6523" t="str">
        <f>_xlfn.XLOOKUP(Pipeline_tbl[[#This Row],[Rep_ID]],Dim_Reps!A:A,Dim_Reps!D:D)</f>
        <v>Inside Sales</v>
      </c>
      <c r="R6523" t="str">
        <f>_xlfn.XLOOKUP(Pipeline_tbl[[#This Row],[Rep_ID]],Dim_Reps!A:A,Dim_Reps!E:E)</f>
        <v>NAMER</v>
      </c>
      <c r="S6523" t="str">
        <f>_xlfn.XLOOKUP(Pipeline_tbl[[#This Row],[Created_Date]],Dim_Date!A:A,Dim_Date!H:H)</f>
        <v>Apr 2025</v>
      </c>
      <c r="T6523" t="str">
        <f>IF(Pipeline_tbl[[#This Row],[Closed_Date]]=0,"",(_xlfn.XLOOKUP(Pipeline_tbl[[#This Row],[Closed_Date]],Dim_Date!A:A,Dim_Date!H:H)))</f>
        <v>May 2025</v>
      </c>
      <c r="U6523">
        <f>IF(Pipeline_tbl[[#This Row],[Closed_Date]]=0,"",Pipeline_tbl[[#This Row],[Closed_Date]]-Pipeline_tbl[[#This Row],[Created_Date]])</f>
        <v>18</v>
      </c>
    </row>
    <row r="6524" spans="1:21" ht="15" customHeight="1" x14ac:dyDescent="0.2">
      <c r="A6524" t="s">
        <v>6830</v>
      </c>
      <c r="B6524" t="s">
        <v>217</v>
      </c>
      <c r="C6524" t="s">
        <v>52</v>
      </c>
      <c r="D6524" s="49">
        <v>45775</v>
      </c>
      <c r="E6524" s="49">
        <v>45777</v>
      </c>
      <c r="F6524" s="49">
        <v>45782</v>
      </c>
      <c r="I6524" s="49">
        <v>45799</v>
      </c>
      <c r="J6524" t="s">
        <v>49</v>
      </c>
      <c r="K6524" s="33">
        <v>5900</v>
      </c>
      <c r="L6524" t="s">
        <v>60</v>
      </c>
      <c r="M6524" t="str">
        <f>_xlfn.XLOOKUP(Pipeline_tbl[[#This Row],[Rep_ID]],Dim_Reps!A:A,Dim_Reps!K:K)</f>
        <v>USD</v>
      </c>
      <c r="N6524" s="33">
        <f>(_xlfn.XLOOKUP(Pipeline_tbl[[#This Row],[Rate_Code_Generalized]],Lookups!A:A,Lookups!B:B))*Pipeline_tbl[[#This Row],[Pipeline_Amount_USD]]</f>
        <v>6869.369999999999</v>
      </c>
      <c r="O6524" t="str">
        <f>_xlfn.XLOOKUP(Pipeline_tbl[[#This Row],[Rep_ID]],Dim_Reps!A:A,Dim_Reps!B:B)</f>
        <v>Priya Weber</v>
      </c>
      <c r="P6524" t="str">
        <f>_xlfn.XLOOKUP(Pipeline_tbl[[#This Row],[Rep_ID]],Dim_Reps!A:A,Dim_Reps!C:C)</f>
        <v>SDR / Inside Sales Rep</v>
      </c>
      <c r="Q6524" t="str">
        <f>_xlfn.XLOOKUP(Pipeline_tbl[[#This Row],[Rep_ID]],Dim_Reps!A:A,Dim_Reps!D:D)</f>
        <v>Inside Sales</v>
      </c>
      <c r="R6524" t="str">
        <f>_xlfn.XLOOKUP(Pipeline_tbl[[#This Row],[Rep_ID]],Dim_Reps!A:A,Dim_Reps!E:E)</f>
        <v>NAMER</v>
      </c>
      <c r="S6524" t="str">
        <f>_xlfn.XLOOKUP(Pipeline_tbl[[#This Row],[Created_Date]],Dim_Date!A:A,Dim_Date!H:H)</f>
        <v>Apr 2025</v>
      </c>
      <c r="T6524" t="str">
        <f>IF(Pipeline_tbl[[#This Row],[Closed_Date]]=0,"",(_xlfn.XLOOKUP(Pipeline_tbl[[#This Row],[Closed_Date]],Dim_Date!A:A,Dim_Date!H:H)))</f>
        <v>May 2025</v>
      </c>
      <c r="U6524">
        <f>IF(Pipeline_tbl[[#This Row],[Closed_Date]]=0,"",Pipeline_tbl[[#This Row],[Closed_Date]]-Pipeline_tbl[[#This Row],[Created_Date]])</f>
        <v>24</v>
      </c>
    </row>
    <row r="6525" spans="1:21" ht="15" customHeight="1" x14ac:dyDescent="0.2">
      <c r="A6525" t="s">
        <v>6831</v>
      </c>
      <c r="B6525" t="s">
        <v>217</v>
      </c>
      <c r="C6525" t="s">
        <v>54</v>
      </c>
      <c r="D6525" s="49">
        <v>45771</v>
      </c>
      <c r="E6525" s="49">
        <v>45773</v>
      </c>
      <c r="F6525" s="49">
        <v>45777</v>
      </c>
      <c r="G6525" s="49">
        <v>45784</v>
      </c>
      <c r="H6525" s="49">
        <v>45789</v>
      </c>
      <c r="I6525" s="49">
        <v>45792</v>
      </c>
      <c r="J6525" t="s">
        <v>49</v>
      </c>
      <c r="K6525" s="33">
        <v>4000</v>
      </c>
      <c r="L6525" t="s">
        <v>61</v>
      </c>
      <c r="M6525" t="str">
        <f>_xlfn.XLOOKUP(Pipeline_tbl[[#This Row],[Rep_ID]],Dim_Reps!A:A,Dim_Reps!K:K)</f>
        <v>USD</v>
      </c>
      <c r="N6525" s="33">
        <f>(_xlfn.XLOOKUP(Pipeline_tbl[[#This Row],[Rate_Code_Generalized]],Lookups!A:A,Lookups!B:B))*Pipeline_tbl[[#This Row],[Pipeline_Amount_USD]]</f>
        <v>4657.2</v>
      </c>
      <c r="O6525" t="str">
        <f>_xlfn.XLOOKUP(Pipeline_tbl[[#This Row],[Rep_ID]],Dim_Reps!A:A,Dim_Reps!B:B)</f>
        <v>Priya Weber</v>
      </c>
      <c r="P6525" t="str">
        <f>_xlfn.XLOOKUP(Pipeline_tbl[[#This Row],[Rep_ID]],Dim_Reps!A:A,Dim_Reps!C:C)</f>
        <v>SDR / Inside Sales Rep</v>
      </c>
      <c r="Q6525" t="str">
        <f>_xlfn.XLOOKUP(Pipeline_tbl[[#This Row],[Rep_ID]],Dim_Reps!A:A,Dim_Reps!D:D)</f>
        <v>Inside Sales</v>
      </c>
      <c r="R6525" t="str">
        <f>_xlfn.XLOOKUP(Pipeline_tbl[[#This Row],[Rep_ID]],Dim_Reps!A:A,Dim_Reps!E:E)</f>
        <v>NAMER</v>
      </c>
      <c r="S6525" t="str">
        <f>_xlfn.XLOOKUP(Pipeline_tbl[[#This Row],[Created_Date]],Dim_Date!A:A,Dim_Date!H:H)</f>
        <v>Apr 2025</v>
      </c>
      <c r="T6525" t="str">
        <f>IF(Pipeline_tbl[[#This Row],[Closed_Date]]=0,"",(_xlfn.XLOOKUP(Pipeline_tbl[[#This Row],[Closed_Date]],Dim_Date!A:A,Dim_Date!H:H)))</f>
        <v>May 2025</v>
      </c>
      <c r="U6525">
        <f>IF(Pipeline_tbl[[#This Row],[Closed_Date]]=0,"",Pipeline_tbl[[#This Row],[Closed_Date]]-Pipeline_tbl[[#This Row],[Created_Date]])</f>
        <v>21</v>
      </c>
    </row>
    <row r="6526" spans="1:21" ht="15" customHeight="1" x14ac:dyDescent="0.2">
      <c r="A6526" t="s">
        <v>6832</v>
      </c>
      <c r="B6526" t="s">
        <v>217</v>
      </c>
      <c r="C6526" t="s">
        <v>54</v>
      </c>
      <c r="D6526" s="49">
        <v>45771</v>
      </c>
      <c r="E6526" s="49">
        <v>45773</v>
      </c>
      <c r="F6526" s="49">
        <v>45778</v>
      </c>
      <c r="G6526" s="49">
        <v>45784</v>
      </c>
      <c r="H6526" s="49">
        <v>45790</v>
      </c>
      <c r="I6526" s="49">
        <v>45793</v>
      </c>
      <c r="J6526" t="s">
        <v>49</v>
      </c>
      <c r="K6526" s="33">
        <v>1700</v>
      </c>
      <c r="L6526" t="s">
        <v>61</v>
      </c>
      <c r="M6526" t="str">
        <f>_xlfn.XLOOKUP(Pipeline_tbl[[#This Row],[Rep_ID]],Dim_Reps!A:A,Dim_Reps!K:K)</f>
        <v>USD</v>
      </c>
      <c r="N6526" s="33">
        <f>(_xlfn.XLOOKUP(Pipeline_tbl[[#This Row],[Rate_Code_Generalized]],Lookups!A:A,Lookups!B:B))*Pipeline_tbl[[#This Row],[Pipeline_Amount_USD]]</f>
        <v>1979.3099999999997</v>
      </c>
      <c r="O6526" t="str">
        <f>_xlfn.XLOOKUP(Pipeline_tbl[[#This Row],[Rep_ID]],Dim_Reps!A:A,Dim_Reps!B:B)</f>
        <v>Priya Weber</v>
      </c>
      <c r="P6526" t="str">
        <f>_xlfn.XLOOKUP(Pipeline_tbl[[#This Row],[Rep_ID]],Dim_Reps!A:A,Dim_Reps!C:C)</f>
        <v>SDR / Inside Sales Rep</v>
      </c>
      <c r="Q6526" t="str">
        <f>_xlfn.XLOOKUP(Pipeline_tbl[[#This Row],[Rep_ID]],Dim_Reps!A:A,Dim_Reps!D:D)</f>
        <v>Inside Sales</v>
      </c>
      <c r="R6526" t="str">
        <f>_xlfn.XLOOKUP(Pipeline_tbl[[#This Row],[Rep_ID]],Dim_Reps!A:A,Dim_Reps!E:E)</f>
        <v>NAMER</v>
      </c>
      <c r="S6526" t="str">
        <f>_xlfn.XLOOKUP(Pipeline_tbl[[#This Row],[Created_Date]],Dim_Date!A:A,Dim_Date!H:H)</f>
        <v>Apr 2025</v>
      </c>
      <c r="T6526" t="str">
        <f>IF(Pipeline_tbl[[#This Row],[Closed_Date]]=0,"",(_xlfn.XLOOKUP(Pipeline_tbl[[#This Row],[Closed_Date]],Dim_Date!A:A,Dim_Date!H:H)))</f>
        <v>May 2025</v>
      </c>
      <c r="U6526">
        <f>IF(Pipeline_tbl[[#This Row],[Closed_Date]]=0,"",Pipeline_tbl[[#This Row],[Closed_Date]]-Pipeline_tbl[[#This Row],[Created_Date]])</f>
        <v>22</v>
      </c>
    </row>
    <row r="6527" spans="1:21" ht="15" customHeight="1" x14ac:dyDescent="0.2">
      <c r="A6527" t="s">
        <v>6833</v>
      </c>
      <c r="B6527" t="s">
        <v>188</v>
      </c>
      <c r="C6527" t="s">
        <v>52</v>
      </c>
      <c r="D6527" s="49">
        <v>45752</v>
      </c>
      <c r="E6527" s="49">
        <v>45756</v>
      </c>
      <c r="F6527" s="49">
        <v>45763</v>
      </c>
      <c r="G6527" s="49">
        <v>45773</v>
      </c>
      <c r="H6527" s="49">
        <v>45782</v>
      </c>
      <c r="I6527" s="49">
        <v>45787</v>
      </c>
      <c r="J6527" t="s">
        <v>49</v>
      </c>
      <c r="K6527" s="33">
        <v>46900</v>
      </c>
      <c r="L6527" t="s">
        <v>62</v>
      </c>
      <c r="M6527" t="str">
        <f>_xlfn.XLOOKUP(Pipeline_tbl[[#This Row],[Rep_ID]],Dim_Reps!A:A,Dim_Reps!K:K)</f>
        <v>EUR</v>
      </c>
      <c r="N6527" s="33">
        <f>(_xlfn.XLOOKUP(Pipeline_tbl[[#This Row],[Rate_Code_Generalized]],Lookups!A:A,Lookups!B:B))*Pipeline_tbl[[#This Row],[Pipeline_Amount_USD]]</f>
        <v>46900</v>
      </c>
      <c r="O6527" t="str">
        <f>_xlfn.XLOOKUP(Pipeline_tbl[[#This Row],[Rep_ID]],Dim_Reps!A:A,Dim_Reps!B:B)</f>
        <v>Jamie Santos</v>
      </c>
      <c r="P6527" t="str">
        <f>_xlfn.XLOOKUP(Pipeline_tbl[[#This Row],[Rep_ID]],Dim_Reps!A:A,Dim_Reps!C:C)</f>
        <v>Enterprise AE</v>
      </c>
      <c r="Q6527" t="str">
        <f>_xlfn.XLOOKUP(Pipeline_tbl[[#This Row],[Rep_ID]],Dim_Reps!A:A,Dim_Reps!D:D)</f>
        <v>Enterprise</v>
      </c>
      <c r="R6527" t="str">
        <f>_xlfn.XLOOKUP(Pipeline_tbl[[#This Row],[Rep_ID]],Dim_Reps!A:A,Dim_Reps!E:E)</f>
        <v>APAC</v>
      </c>
      <c r="S6527" t="str">
        <f>_xlfn.XLOOKUP(Pipeline_tbl[[#This Row],[Created_Date]],Dim_Date!A:A,Dim_Date!H:H)</f>
        <v>Apr 2025</v>
      </c>
      <c r="T6527" t="str">
        <f>IF(Pipeline_tbl[[#This Row],[Closed_Date]]=0,"",(_xlfn.XLOOKUP(Pipeline_tbl[[#This Row],[Closed_Date]],Dim_Date!A:A,Dim_Date!H:H)))</f>
        <v>May 2025</v>
      </c>
      <c r="U6527">
        <f>IF(Pipeline_tbl[[#This Row],[Closed_Date]]=0,"",Pipeline_tbl[[#This Row],[Closed_Date]]-Pipeline_tbl[[#This Row],[Created_Date]])</f>
        <v>35</v>
      </c>
    </row>
    <row r="6528" spans="1:21" ht="15" customHeight="1" x14ac:dyDescent="0.2">
      <c r="A6528" t="s">
        <v>6834</v>
      </c>
      <c r="B6528" t="s">
        <v>188</v>
      </c>
      <c r="C6528" t="s">
        <v>52</v>
      </c>
      <c r="D6528" s="49">
        <v>45748</v>
      </c>
      <c r="E6528" s="49">
        <v>45753</v>
      </c>
      <c r="F6528" s="49">
        <v>45764</v>
      </c>
      <c r="G6528" s="49">
        <v>45780</v>
      </c>
      <c r="H6528" s="49">
        <v>45794</v>
      </c>
      <c r="I6528" s="49">
        <v>45802</v>
      </c>
      <c r="J6528" t="s">
        <v>47</v>
      </c>
      <c r="K6528" s="33">
        <v>47900</v>
      </c>
      <c r="M6528" t="str">
        <f>_xlfn.XLOOKUP(Pipeline_tbl[[#This Row],[Rep_ID]],Dim_Reps!A:A,Dim_Reps!K:K)</f>
        <v>EUR</v>
      </c>
      <c r="N6528" s="33">
        <f>(_xlfn.XLOOKUP(Pipeline_tbl[[#This Row],[Rate_Code_Generalized]],Lookups!A:A,Lookups!B:B))*Pipeline_tbl[[#This Row],[Pipeline_Amount_USD]]</f>
        <v>47900</v>
      </c>
      <c r="O6528" t="str">
        <f>_xlfn.XLOOKUP(Pipeline_tbl[[#This Row],[Rep_ID]],Dim_Reps!A:A,Dim_Reps!B:B)</f>
        <v>Jamie Santos</v>
      </c>
      <c r="P6528" t="str">
        <f>_xlfn.XLOOKUP(Pipeline_tbl[[#This Row],[Rep_ID]],Dim_Reps!A:A,Dim_Reps!C:C)</f>
        <v>Enterprise AE</v>
      </c>
      <c r="Q6528" t="str">
        <f>_xlfn.XLOOKUP(Pipeline_tbl[[#This Row],[Rep_ID]],Dim_Reps!A:A,Dim_Reps!D:D)</f>
        <v>Enterprise</v>
      </c>
      <c r="R6528" t="str">
        <f>_xlfn.XLOOKUP(Pipeline_tbl[[#This Row],[Rep_ID]],Dim_Reps!A:A,Dim_Reps!E:E)</f>
        <v>APAC</v>
      </c>
      <c r="S6528" t="str">
        <f>_xlfn.XLOOKUP(Pipeline_tbl[[#This Row],[Created_Date]],Dim_Date!A:A,Dim_Date!H:H)</f>
        <v>Apr 2025</v>
      </c>
      <c r="T6528" t="str">
        <f>IF(Pipeline_tbl[[#This Row],[Closed_Date]]=0,"",(_xlfn.XLOOKUP(Pipeline_tbl[[#This Row],[Closed_Date]],Dim_Date!A:A,Dim_Date!H:H)))</f>
        <v>May 2025</v>
      </c>
      <c r="U6528">
        <f>IF(Pipeline_tbl[[#This Row],[Closed_Date]]=0,"",Pipeline_tbl[[#This Row],[Closed_Date]]-Pipeline_tbl[[#This Row],[Created_Date]])</f>
        <v>54</v>
      </c>
    </row>
    <row r="6529" spans="1:21" ht="15" customHeight="1" x14ac:dyDescent="0.2">
      <c r="A6529" t="s">
        <v>6835</v>
      </c>
      <c r="B6529" t="s">
        <v>221</v>
      </c>
      <c r="C6529" t="s">
        <v>55</v>
      </c>
      <c r="D6529" s="49">
        <v>45767</v>
      </c>
      <c r="E6529" s="49">
        <v>45769</v>
      </c>
      <c r="F6529" s="49">
        <v>45774</v>
      </c>
      <c r="G6529" s="49">
        <v>45780</v>
      </c>
      <c r="H6529" s="49">
        <v>45786</v>
      </c>
      <c r="I6529" s="49">
        <v>45789</v>
      </c>
      <c r="J6529" t="s">
        <v>47</v>
      </c>
      <c r="K6529" s="33">
        <v>7000</v>
      </c>
      <c r="M6529" t="str">
        <f>_xlfn.XLOOKUP(Pipeline_tbl[[#This Row],[Rep_ID]],Dim_Reps!A:A,Dim_Reps!K:K)</f>
        <v>MXN</v>
      </c>
      <c r="N6529" s="33">
        <f>(_xlfn.XLOOKUP(Pipeline_tbl[[#This Row],[Rate_Code_Generalized]],Lookups!A:A,Lookups!B:B))*Pipeline_tbl[[#This Row],[Pipeline_Amount_USD]]</f>
        <v>138128.9</v>
      </c>
      <c r="O6529" t="str">
        <f>_xlfn.XLOOKUP(Pipeline_tbl[[#This Row],[Rep_ID]],Dim_Reps!A:A,Dim_Reps!B:B)</f>
        <v>Casey Muller</v>
      </c>
      <c r="P6529" t="str">
        <f>_xlfn.XLOOKUP(Pipeline_tbl[[#This Row],[Rep_ID]],Dim_Reps!A:A,Dim_Reps!C:C)</f>
        <v>SDR / Inside Sales Rep</v>
      </c>
      <c r="Q6529" t="str">
        <f>_xlfn.XLOOKUP(Pipeline_tbl[[#This Row],[Rep_ID]],Dim_Reps!A:A,Dim_Reps!D:D)</f>
        <v>Inside Sales</v>
      </c>
      <c r="R6529" t="str">
        <f>_xlfn.XLOOKUP(Pipeline_tbl[[#This Row],[Rep_ID]],Dim_Reps!A:A,Dim_Reps!E:E)</f>
        <v>LATAM</v>
      </c>
      <c r="S6529" t="str">
        <f>_xlfn.XLOOKUP(Pipeline_tbl[[#This Row],[Created_Date]],Dim_Date!A:A,Dim_Date!H:H)</f>
        <v>Apr 2025</v>
      </c>
      <c r="T6529" t="str">
        <f>IF(Pipeline_tbl[[#This Row],[Closed_Date]]=0,"",(_xlfn.XLOOKUP(Pipeline_tbl[[#This Row],[Closed_Date]],Dim_Date!A:A,Dim_Date!H:H)))</f>
        <v>May 2025</v>
      </c>
      <c r="U6529">
        <f>IF(Pipeline_tbl[[#This Row],[Closed_Date]]=0,"",Pipeline_tbl[[#This Row],[Closed_Date]]-Pipeline_tbl[[#This Row],[Created_Date]])</f>
        <v>22</v>
      </c>
    </row>
    <row r="6530" spans="1:21" ht="15" customHeight="1" x14ac:dyDescent="0.2">
      <c r="A6530" t="s">
        <v>6836</v>
      </c>
      <c r="B6530" t="s">
        <v>221</v>
      </c>
      <c r="C6530" t="s">
        <v>54</v>
      </c>
      <c r="D6530" s="49">
        <v>45762</v>
      </c>
      <c r="E6530" s="49">
        <v>45764</v>
      </c>
      <c r="F6530" s="49">
        <v>45769</v>
      </c>
      <c r="G6530" s="49">
        <v>45776</v>
      </c>
      <c r="H6530" s="49">
        <v>45782</v>
      </c>
      <c r="I6530" s="49">
        <v>45786</v>
      </c>
      <c r="J6530" t="s">
        <v>47</v>
      </c>
      <c r="K6530" s="33">
        <v>4000</v>
      </c>
      <c r="M6530" t="str">
        <f>_xlfn.XLOOKUP(Pipeline_tbl[[#This Row],[Rep_ID]],Dim_Reps!A:A,Dim_Reps!K:K)</f>
        <v>MXN</v>
      </c>
      <c r="N6530" s="33">
        <f>(_xlfn.XLOOKUP(Pipeline_tbl[[#This Row],[Rate_Code_Generalized]],Lookups!A:A,Lookups!B:B))*Pipeline_tbl[[#This Row],[Pipeline_Amount_USD]]</f>
        <v>78930.8</v>
      </c>
      <c r="O6530" t="str">
        <f>_xlfn.XLOOKUP(Pipeline_tbl[[#This Row],[Rep_ID]],Dim_Reps!A:A,Dim_Reps!B:B)</f>
        <v>Casey Muller</v>
      </c>
      <c r="P6530" t="str">
        <f>_xlfn.XLOOKUP(Pipeline_tbl[[#This Row],[Rep_ID]],Dim_Reps!A:A,Dim_Reps!C:C)</f>
        <v>SDR / Inside Sales Rep</v>
      </c>
      <c r="Q6530" t="str">
        <f>_xlfn.XLOOKUP(Pipeline_tbl[[#This Row],[Rep_ID]],Dim_Reps!A:A,Dim_Reps!D:D)</f>
        <v>Inside Sales</v>
      </c>
      <c r="R6530" t="str">
        <f>_xlfn.XLOOKUP(Pipeline_tbl[[#This Row],[Rep_ID]],Dim_Reps!A:A,Dim_Reps!E:E)</f>
        <v>LATAM</v>
      </c>
      <c r="S6530" t="str">
        <f>_xlfn.XLOOKUP(Pipeline_tbl[[#This Row],[Created_Date]],Dim_Date!A:A,Dim_Date!H:H)</f>
        <v>Apr 2025</v>
      </c>
      <c r="T6530" t="str">
        <f>IF(Pipeline_tbl[[#This Row],[Closed_Date]]=0,"",(_xlfn.XLOOKUP(Pipeline_tbl[[#This Row],[Closed_Date]],Dim_Date!A:A,Dim_Date!H:H)))</f>
        <v>May 2025</v>
      </c>
      <c r="U6530">
        <f>IF(Pipeline_tbl[[#This Row],[Closed_Date]]=0,"",Pipeline_tbl[[#This Row],[Closed_Date]]-Pipeline_tbl[[#This Row],[Created_Date]])</f>
        <v>24</v>
      </c>
    </row>
    <row r="6531" spans="1:21" ht="15" customHeight="1" x14ac:dyDescent="0.2">
      <c r="A6531" t="s">
        <v>6837</v>
      </c>
      <c r="B6531" t="s">
        <v>221</v>
      </c>
      <c r="C6531" t="s">
        <v>52</v>
      </c>
      <c r="D6531" s="49">
        <v>45767</v>
      </c>
      <c r="E6531" s="49">
        <v>45770</v>
      </c>
      <c r="F6531" s="49">
        <v>45775</v>
      </c>
      <c r="G6531" s="49">
        <v>45783</v>
      </c>
      <c r="I6531" s="49">
        <v>45794</v>
      </c>
      <c r="J6531" t="s">
        <v>49</v>
      </c>
      <c r="K6531" s="33">
        <v>4300</v>
      </c>
      <c r="L6531" t="s">
        <v>63</v>
      </c>
      <c r="M6531" t="str">
        <f>_xlfn.XLOOKUP(Pipeline_tbl[[#This Row],[Rep_ID]],Dim_Reps!A:A,Dim_Reps!K:K)</f>
        <v>MXN</v>
      </c>
      <c r="N6531" s="33">
        <f>(_xlfn.XLOOKUP(Pipeline_tbl[[#This Row],[Rate_Code_Generalized]],Lookups!A:A,Lookups!B:B))*Pipeline_tbl[[#This Row],[Pipeline_Amount_USD]]</f>
        <v>84850.61</v>
      </c>
      <c r="O6531" t="str">
        <f>_xlfn.XLOOKUP(Pipeline_tbl[[#This Row],[Rep_ID]],Dim_Reps!A:A,Dim_Reps!B:B)</f>
        <v>Casey Muller</v>
      </c>
      <c r="P6531" t="str">
        <f>_xlfn.XLOOKUP(Pipeline_tbl[[#This Row],[Rep_ID]],Dim_Reps!A:A,Dim_Reps!C:C)</f>
        <v>SDR / Inside Sales Rep</v>
      </c>
      <c r="Q6531" t="str">
        <f>_xlfn.XLOOKUP(Pipeline_tbl[[#This Row],[Rep_ID]],Dim_Reps!A:A,Dim_Reps!D:D)</f>
        <v>Inside Sales</v>
      </c>
      <c r="R6531" t="str">
        <f>_xlfn.XLOOKUP(Pipeline_tbl[[#This Row],[Rep_ID]],Dim_Reps!A:A,Dim_Reps!E:E)</f>
        <v>LATAM</v>
      </c>
      <c r="S6531" t="str">
        <f>_xlfn.XLOOKUP(Pipeline_tbl[[#This Row],[Created_Date]],Dim_Date!A:A,Dim_Date!H:H)</f>
        <v>Apr 2025</v>
      </c>
      <c r="T6531" t="str">
        <f>IF(Pipeline_tbl[[#This Row],[Closed_Date]]=0,"",(_xlfn.XLOOKUP(Pipeline_tbl[[#This Row],[Closed_Date]],Dim_Date!A:A,Dim_Date!H:H)))</f>
        <v>May 2025</v>
      </c>
      <c r="U6531">
        <f>IF(Pipeline_tbl[[#This Row],[Closed_Date]]=0,"",Pipeline_tbl[[#This Row],[Closed_Date]]-Pipeline_tbl[[#This Row],[Created_Date]])</f>
        <v>27</v>
      </c>
    </row>
    <row r="6532" spans="1:21" ht="15" customHeight="1" x14ac:dyDescent="0.2">
      <c r="A6532" t="s">
        <v>6838</v>
      </c>
      <c r="B6532" t="s">
        <v>221</v>
      </c>
      <c r="C6532" t="s">
        <v>52</v>
      </c>
      <c r="D6532" s="49">
        <v>45769</v>
      </c>
      <c r="E6532" s="49">
        <v>45771</v>
      </c>
      <c r="F6532" s="49">
        <v>45775</v>
      </c>
      <c r="G6532" s="49">
        <v>45782</v>
      </c>
      <c r="H6532" s="49">
        <v>45787</v>
      </c>
      <c r="I6532" s="49">
        <v>45790</v>
      </c>
      <c r="J6532" t="s">
        <v>49</v>
      </c>
      <c r="K6532" s="33">
        <v>3600</v>
      </c>
      <c r="L6532" t="s">
        <v>64</v>
      </c>
      <c r="M6532" t="str">
        <f>_xlfn.XLOOKUP(Pipeline_tbl[[#This Row],[Rep_ID]],Dim_Reps!A:A,Dim_Reps!K:K)</f>
        <v>MXN</v>
      </c>
      <c r="N6532" s="33">
        <f>(_xlfn.XLOOKUP(Pipeline_tbl[[#This Row],[Rate_Code_Generalized]],Lookups!A:A,Lookups!B:B))*Pipeline_tbl[[#This Row],[Pipeline_Amount_USD]]</f>
        <v>71037.72</v>
      </c>
      <c r="O6532" t="str">
        <f>_xlfn.XLOOKUP(Pipeline_tbl[[#This Row],[Rep_ID]],Dim_Reps!A:A,Dim_Reps!B:B)</f>
        <v>Casey Muller</v>
      </c>
      <c r="P6532" t="str">
        <f>_xlfn.XLOOKUP(Pipeline_tbl[[#This Row],[Rep_ID]],Dim_Reps!A:A,Dim_Reps!C:C)</f>
        <v>SDR / Inside Sales Rep</v>
      </c>
      <c r="Q6532" t="str">
        <f>_xlfn.XLOOKUP(Pipeline_tbl[[#This Row],[Rep_ID]],Dim_Reps!A:A,Dim_Reps!D:D)</f>
        <v>Inside Sales</v>
      </c>
      <c r="R6532" t="str">
        <f>_xlfn.XLOOKUP(Pipeline_tbl[[#This Row],[Rep_ID]],Dim_Reps!A:A,Dim_Reps!E:E)</f>
        <v>LATAM</v>
      </c>
      <c r="S6532" t="str">
        <f>_xlfn.XLOOKUP(Pipeline_tbl[[#This Row],[Created_Date]],Dim_Date!A:A,Dim_Date!H:H)</f>
        <v>Apr 2025</v>
      </c>
      <c r="T6532" t="str">
        <f>IF(Pipeline_tbl[[#This Row],[Closed_Date]]=0,"",(_xlfn.XLOOKUP(Pipeline_tbl[[#This Row],[Closed_Date]],Dim_Date!A:A,Dim_Date!H:H)))</f>
        <v>May 2025</v>
      </c>
      <c r="U6532">
        <f>IF(Pipeline_tbl[[#This Row],[Closed_Date]]=0,"",Pipeline_tbl[[#This Row],[Closed_Date]]-Pipeline_tbl[[#This Row],[Created_Date]])</f>
        <v>21</v>
      </c>
    </row>
    <row r="6533" spans="1:21" ht="15" customHeight="1" x14ac:dyDescent="0.2">
      <c r="A6533" t="s">
        <v>6839</v>
      </c>
      <c r="B6533" t="s">
        <v>257</v>
      </c>
      <c r="C6533" t="s">
        <v>52</v>
      </c>
      <c r="D6533" s="49">
        <v>45773</v>
      </c>
      <c r="E6533" s="49">
        <v>45775</v>
      </c>
      <c r="I6533" s="49">
        <v>45797</v>
      </c>
      <c r="J6533" t="s">
        <v>49</v>
      </c>
      <c r="K6533" s="33">
        <v>11400</v>
      </c>
      <c r="L6533" t="s">
        <v>60</v>
      </c>
      <c r="M6533" t="str">
        <f>_xlfn.XLOOKUP(Pipeline_tbl[[#This Row],[Rep_ID]],Dim_Reps!A:A,Dim_Reps!K:K)</f>
        <v>EUR</v>
      </c>
      <c r="N6533" s="33">
        <f>(_xlfn.XLOOKUP(Pipeline_tbl[[#This Row],[Rate_Code_Generalized]],Lookups!A:A,Lookups!B:B))*Pipeline_tbl[[#This Row],[Pipeline_Amount_USD]]</f>
        <v>11400</v>
      </c>
      <c r="O6533" t="str">
        <f>_xlfn.XLOOKUP(Pipeline_tbl[[#This Row],[Rep_ID]],Dim_Reps!A:A,Dim_Reps!B:B)</f>
        <v>Ana Kim</v>
      </c>
      <c r="P6533" t="str">
        <f>_xlfn.XLOOKUP(Pipeline_tbl[[#This Row],[Rep_ID]],Dim_Reps!A:A,Dim_Reps!C:C)</f>
        <v>Mid-Market AE</v>
      </c>
      <c r="Q6533" t="str">
        <f>_xlfn.XLOOKUP(Pipeline_tbl[[#This Row],[Rep_ID]],Dim_Reps!A:A,Dim_Reps!D:D)</f>
        <v>Mid-Market</v>
      </c>
      <c r="R6533" t="str">
        <f>_xlfn.XLOOKUP(Pipeline_tbl[[#This Row],[Rep_ID]],Dim_Reps!A:A,Dim_Reps!E:E)</f>
        <v>APAC</v>
      </c>
      <c r="S6533" t="str">
        <f>_xlfn.XLOOKUP(Pipeline_tbl[[#This Row],[Created_Date]],Dim_Date!A:A,Dim_Date!H:H)</f>
        <v>Apr 2025</v>
      </c>
      <c r="T6533" t="str">
        <f>IF(Pipeline_tbl[[#This Row],[Closed_Date]]=0,"",(_xlfn.XLOOKUP(Pipeline_tbl[[#This Row],[Closed_Date]],Dim_Date!A:A,Dim_Date!H:H)))</f>
        <v>May 2025</v>
      </c>
      <c r="U6533">
        <f>IF(Pipeline_tbl[[#This Row],[Closed_Date]]=0,"",Pipeline_tbl[[#This Row],[Closed_Date]]-Pipeline_tbl[[#This Row],[Created_Date]])</f>
        <v>24</v>
      </c>
    </row>
    <row r="6534" spans="1:21" ht="15" customHeight="1" x14ac:dyDescent="0.2">
      <c r="A6534" t="s">
        <v>6840</v>
      </c>
      <c r="B6534" t="s">
        <v>257</v>
      </c>
      <c r="C6534" t="s">
        <v>54</v>
      </c>
      <c r="D6534" s="49">
        <v>45764</v>
      </c>
      <c r="E6534" s="49">
        <v>45766</v>
      </c>
      <c r="F6534" s="49">
        <v>45771</v>
      </c>
      <c r="G6534" s="49">
        <v>45778</v>
      </c>
      <c r="I6534" s="49">
        <v>45787</v>
      </c>
      <c r="J6534" t="s">
        <v>49</v>
      </c>
      <c r="K6534" s="33">
        <v>16200</v>
      </c>
      <c r="L6534" t="s">
        <v>60</v>
      </c>
      <c r="M6534" t="str">
        <f>_xlfn.XLOOKUP(Pipeline_tbl[[#This Row],[Rep_ID]],Dim_Reps!A:A,Dim_Reps!K:K)</f>
        <v>EUR</v>
      </c>
      <c r="N6534" s="33">
        <f>(_xlfn.XLOOKUP(Pipeline_tbl[[#This Row],[Rate_Code_Generalized]],Lookups!A:A,Lookups!B:B))*Pipeline_tbl[[#This Row],[Pipeline_Amount_USD]]</f>
        <v>16200</v>
      </c>
      <c r="O6534" t="str">
        <f>_xlfn.XLOOKUP(Pipeline_tbl[[#This Row],[Rep_ID]],Dim_Reps!A:A,Dim_Reps!B:B)</f>
        <v>Ana Kim</v>
      </c>
      <c r="P6534" t="str">
        <f>_xlfn.XLOOKUP(Pipeline_tbl[[#This Row],[Rep_ID]],Dim_Reps!A:A,Dim_Reps!C:C)</f>
        <v>Mid-Market AE</v>
      </c>
      <c r="Q6534" t="str">
        <f>_xlfn.XLOOKUP(Pipeline_tbl[[#This Row],[Rep_ID]],Dim_Reps!A:A,Dim_Reps!D:D)</f>
        <v>Mid-Market</v>
      </c>
      <c r="R6534" t="str">
        <f>_xlfn.XLOOKUP(Pipeline_tbl[[#This Row],[Rep_ID]],Dim_Reps!A:A,Dim_Reps!E:E)</f>
        <v>APAC</v>
      </c>
      <c r="S6534" t="str">
        <f>_xlfn.XLOOKUP(Pipeline_tbl[[#This Row],[Created_Date]],Dim_Date!A:A,Dim_Date!H:H)</f>
        <v>Apr 2025</v>
      </c>
      <c r="T6534" t="str">
        <f>IF(Pipeline_tbl[[#This Row],[Closed_Date]]=0,"",(_xlfn.XLOOKUP(Pipeline_tbl[[#This Row],[Closed_Date]],Dim_Date!A:A,Dim_Date!H:H)))</f>
        <v>May 2025</v>
      </c>
      <c r="U6534">
        <f>IF(Pipeline_tbl[[#This Row],[Closed_Date]]=0,"",Pipeline_tbl[[#This Row],[Closed_Date]]-Pipeline_tbl[[#This Row],[Created_Date]])</f>
        <v>23</v>
      </c>
    </row>
    <row r="6535" spans="1:21" ht="15" customHeight="1" x14ac:dyDescent="0.2">
      <c r="A6535" t="s">
        <v>6841</v>
      </c>
      <c r="B6535" t="s">
        <v>257</v>
      </c>
      <c r="C6535" t="s">
        <v>53</v>
      </c>
      <c r="D6535" s="49">
        <v>45758</v>
      </c>
      <c r="E6535" s="49">
        <v>45762</v>
      </c>
      <c r="F6535" s="49">
        <v>45771</v>
      </c>
      <c r="G6535" s="49">
        <v>45783</v>
      </c>
      <c r="H6535" s="49">
        <v>45794</v>
      </c>
      <c r="I6535" s="49">
        <v>45800</v>
      </c>
      <c r="J6535" t="s">
        <v>47</v>
      </c>
      <c r="K6535" s="33">
        <v>14700</v>
      </c>
      <c r="M6535" t="str">
        <f>_xlfn.XLOOKUP(Pipeline_tbl[[#This Row],[Rep_ID]],Dim_Reps!A:A,Dim_Reps!K:K)</f>
        <v>EUR</v>
      </c>
      <c r="N6535" s="33">
        <f>(_xlfn.XLOOKUP(Pipeline_tbl[[#This Row],[Rate_Code_Generalized]],Lookups!A:A,Lookups!B:B))*Pipeline_tbl[[#This Row],[Pipeline_Amount_USD]]</f>
        <v>14700</v>
      </c>
      <c r="O6535" t="str">
        <f>_xlfn.XLOOKUP(Pipeline_tbl[[#This Row],[Rep_ID]],Dim_Reps!A:A,Dim_Reps!B:B)</f>
        <v>Ana Kim</v>
      </c>
      <c r="P6535" t="str">
        <f>_xlfn.XLOOKUP(Pipeline_tbl[[#This Row],[Rep_ID]],Dim_Reps!A:A,Dim_Reps!C:C)</f>
        <v>Mid-Market AE</v>
      </c>
      <c r="Q6535" t="str">
        <f>_xlfn.XLOOKUP(Pipeline_tbl[[#This Row],[Rep_ID]],Dim_Reps!A:A,Dim_Reps!D:D)</f>
        <v>Mid-Market</v>
      </c>
      <c r="R6535" t="str">
        <f>_xlfn.XLOOKUP(Pipeline_tbl[[#This Row],[Rep_ID]],Dim_Reps!A:A,Dim_Reps!E:E)</f>
        <v>APAC</v>
      </c>
      <c r="S6535" t="str">
        <f>_xlfn.XLOOKUP(Pipeline_tbl[[#This Row],[Created_Date]],Dim_Date!A:A,Dim_Date!H:H)</f>
        <v>Apr 2025</v>
      </c>
      <c r="T6535" t="str">
        <f>IF(Pipeline_tbl[[#This Row],[Closed_Date]]=0,"",(_xlfn.XLOOKUP(Pipeline_tbl[[#This Row],[Closed_Date]],Dim_Date!A:A,Dim_Date!H:H)))</f>
        <v>May 2025</v>
      </c>
      <c r="U6535">
        <f>IF(Pipeline_tbl[[#This Row],[Closed_Date]]=0,"",Pipeline_tbl[[#This Row],[Closed_Date]]-Pipeline_tbl[[#This Row],[Created_Date]])</f>
        <v>42</v>
      </c>
    </row>
    <row r="6536" spans="1:21" ht="15" customHeight="1" x14ac:dyDescent="0.2">
      <c r="A6536" t="s">
        <v>6842</v>
      </c>
      <c r="B6536" t="s">
        <v>257</v>
      </c>
      <c r="C6536" t="s">
        <v>52</v>
      </c>
      <c r="D6536" s="49">
        <v>45770</v>
      </c>
      <c r="E6536" s="49">
        <v>45773</v>
      </c>
      <c r="F6536" s="49">
        <v>45779</v>
      </c>
      <c r="G6536" s="49">
        <v>45789</v>
      </c>
      <c r="I6536" s="49">
        <v>45801</v>
      </c>
      <c r="J6536" t="s">
        <v>49</v>
      </c>
      <c r="K6536" s="33">
        <v>8700</v>
      </c>
      <c r="L6536" t="s">
        <v>64</v>
      </c>
      <c r="M6536" t="str">
        <f>_xlfn.XLOOKUP(Pipeline_tbl[[#This Row],[Rep_ID]],Dim_Reps!A:A,Dim_Reps!K:K)</f>
        <v>EUR</v>
      </c>
      <c r="N6536" s="33">
        <f>(_xlfn.XLOOKUP(Pipeline_tbl[[#This Row],[Rate_Code_Generalized]],Lookups!A:A,Lookups!B:B))*Pipeline_tbl[[#This Row],[Pipeline_Amount_USD]]</f>
        <v>8700</v>
      </c>
      <c r="O6536" t="str">
        <f>_xlfn.XLOOKUP(Pipeline_tbl[[#This Row],[Rep_ID]],Dim_Reps!A:A,Dim_Reps!B:B)</f>
        <v>Ana Kim</v>
      </c>
      <c r="P6536" t="str">
        <f>_xlfn.XLOOKUP(Pipeline_tbl[[#This Row],[Rep_ID]],Dim_Reps!A:A,Dim_Reps!C:C)</f>
        <v>Mid-Market AE</v>
      </c>
      <c r="Q6536" t="str">
        <f>_xlfn.XLOOKUP(Pipeline_tbl[[#This Row],[Rep_ID]],Dim_Reps!A:A,Dim_Reps!D:D)</f>
        <v>Mid-Market</v>
      </c>
      <c r="R6536" t="str">
        <f>_xlfn.XLOOKUP(Pipeline_tbl[[#This Row],[Rep_ID]],Dim_Reps!A:A,Dim_Reps!E:E)</f>
        <v>APAC</v>
      </c>
      <c r="S6536" t="str">
        <f>_xlfn.XLOOKUP(Pipeline_tbl[[#This Row],[Created_Date]],Dim_Date!A:A,Dim_Date!H:H)</f>
        <v>Apr 2025</v>
      </c>
      <c r="T6536" t="str">
        <f>IF(Pipeline_tbl[[#This Row],[Closed_Date]]=0,"",(_xlfn.XLOOKUP(Pipeline_tbl[[#This Row],[Closed_Date]],Dim_Date!A:A,Dim_Date!H:H)))</f>
        <v>May 2025</v>
      </c>
      <c r="U6536">
        <f>IF(Pipeline_tbl[[#This Row],[Closed_Date]]=0,"",Pipeline_tbl[[#This Row],[Closed_Date]]-Pipeline_tbl[[#This Row],[Created_Date]])</f>
        <v>31</v>
      </c>
    </row>
    <row r="6537" spans="1:21" ht="15" customHeight="1" x14ac:dyDescent="0.2">
      <c r="A6537" t="s">
        <v>6843</v>
      </c>
      <c r="B6537" t="s">
        <v>257</v>
      </c>
      <c r="C6537" t="s">
        <v>54</v>
      </c>
      <c r="D6537" s="49">
        <v>45761</v>
      </c>
      <c r="E6537" s="49">
        <v>45765</v>
      </c>
      <c r="F6537" s="49">
        <v>45773</v>
      </c>
      <c r="G6537" s="49">
        <v>45784</v>
      </c>
      <c r="H6537" s="49">
        <v>45794</v>
      </c>
      <c r="I6537" s="49">
        <v>45800</v>
      </c>
      <c r="J6537" t="s">
        <v>47</v>
      </c>
      <c r="K6537" s="33">
        <v>17700</v>
      </c>
      <c r="M6537" t="str">
        <f>_xlfn.XLOOKUP(Pipeline_tbl[[#This Row],[Rep_ID]],Dim_Reps!A:A,Dim_Reps!K:K)</f>
        <v>EUR</v>
      </c>
      <c r="N6537" s="33">
        <f>(_xlfn.XLOOKUP(Pipeline_tbl[[#This Row],[Rate_Code_Generalized]],Lookups!A:A,Lookups!B:B))*Pipeline_tbl[[#This Row],[Pipeline_Amount_USD]]</f>
        <v>17700</v>
      </c>
      <c r="O6537" t="str">
        <f>_xlfn.XLOOKUP(Pipeline_tbl[[#This Row],[Rep_ID]],Dim_Reps!A:A,Dim_Reps!B:B)</f>
        <v>Ana Kim</v>
      </c>
      <c r="P6537" t="str">
        <f>_xlfn.XLOOKUP(Pipeline_tbl[[#This Row],[Rep_ID]],Dim_Reps!A:A,Dim_Reps!C:C)</f>
        <v>Mid-Market AE</v>
      </c>
      <c r="Q6537" t="str">
        <f>_xlfn.XLOOKUP(Pipeline_tbl[[#This Row],[Rep_ID]],Dim_Reps!A:A,Dim_Reps!D:D)</f>
        <v>Mid-Market</v>
      </c>
      <c r="R6537" t="str">
        <f>_xlfn.XLOOKUP(Pipeline_tbl[[#This Row],[Rep_ID]],Dim_Reps!A:A,Dim_Reps!E:E)</f>
        <v>APAC</v>
      </c>
      <c r="S6537" t="str">
        <f>_xlfn.XLOOKUP(Pipeline_tbl[[#This Row],[Created_Date]],Dim_Date!A:A,Dim_Date!H:H)</f>
        <v>Apr 2025</v>
      </c>
      <c r="T6537" t="str">
        <f>IF(Pipeline_tbl[[#This Row],[Closed_Date]]=0,"",(_xlfn.XLOOKUP(Pipeline_tbl[[#This Row],[Closed_Date]],Dim_Date!A:A,Dim_Date!H:H)))</f>
        <v>May 2025</v>
      </c>
      <c r="U6537">
        <f>IF(Pipeline_tbl[[#This Row],[Closed_Date]]=0,"",Pipeline_tbl[[#This Row],[Closed_Date]]-Pipeline_tbl[[#This Row],[Created_Date]])</f>
        <v>39</v>
      </c>
    </row>
    <row r="6538" spans="1:21" ht="15" customHeight="1" x14ac:dyDescent="0.2">
      <c r="A6538" t="s">
        <v>6844</v>
      </c>
      <c r="B6538" t="s">
        <v>257</v>
      </c>
      <c r="C6538" t="s">
        <v>54</v>
      </c>
      <c r="D6538" s="49">
        <v>45761</v>
      </c>
      <c r="E6538" s="49">
        <v>45764</v>
      </c>
      <c r="F6538" s="49">
        <v>45771</v>
      </c>
      <c r="G6538" s="49">
        <v>45781</v>
      </c>
      <c r="I6538" s="49">
        <v>45795</v>
      </c>
      <c r="J6538" t="s">
        <v>49</v>
      </c>
      <c r="K6538" s="33">
        <v>13100</v>
      </c>
      <c r="L6538" t="s">
        <v>60</v>
      </c>
      <c r="M6538" t="str">
        <f>_xlfn.XLOOKUP(Pipeline_tbl[[#This Row],[Rep_ID]],Dim_Reps!A:A,Dim_Reps!K:K)</f>
        <v>EUR</v>
      </c>
      <c r="N6538" s="33">
        <f>(_xlfn.XLOOKUP(Pipeline_tbl[[#This Row],[Rate_Code_Generalized]],Lookups!A:A,Lookups!B:B))*Pipeline_tbl[[#This Row],[Pipeline_Amount_USD]]</f>
        <v>13100</v>
      </c>
      <c r="O6538" t="str">
        <f>_xlfn.XLOOKUP(Pipeline_tbl[[#This Row],[Rep_ID]],Dim_Reps!A:A,Dim_Reps!B:B)</f>
        <v>Ana Kim</v>
      </c>
      <c r="P6538" t="str">
        <f>_xlfn.XLOOKUP(Pipeline_tbl[[#This Row],[Rep_ID]],Dim_Reps!A:A,Dim_Reps!C:C)</f>
        <v>Mid-Market AE</v>
      </c>
      <c r="Q6538" t="str">
        <f>_xlfn.XLOOKUP(Pipeline_tbl[[#This Row],[Rep_ID]],Dim_Reps!A:A,Dim_Reps!D:D)</f>
        <v>Mid-Market</v>
      </c>
      <c r="R6538" t="str">
        <f>_xlfn.XLOOKUP(Pipeline_tbl[[#This Row],[Rep_ID]],Dim_Reps!A:A,Dim_Reps!E:E)</f>
        <v>APAC</v>
      </c>
      <c r="S6538" t="str">
        <f>_xlfn.XLOOKUP(Pipeline_tbl[[#This Row],[Created_Date]],Dim_Date!A:A,Dim_Date!H:H)</f>
        <v>Apr 2025</v>
      </c>
      <c r="T6538" t="str">
        <f>IF(Pipeline_tbl[[#This Row],[Closed_Date]]=0,"",(_xlfn.XLOOKUP(Pipeline_tbl[[#This Row],[Closed_Date]],Dim_Date!A:A,Dim_Date!H:H)))</f>
        <v>May 2025</v>
      </c>
      <c r="U6538">
        <f>IF(Pipeline_tbl[[#This Row],[Closed_Date]]=0,"",Pipeline_tbl[[#This Row],[Closed_Date]]-Pipeline_tbl[[#This Row],[Created_Date]])</f>
        <v>34</v>
      </c>
    </row>
    <row r="6539" spans="1:21" ht="15" customHeight="1" x14ac:dyDescent="0.2">
      <c r="A6539" t="s">
        <v>6845</v>
      </c>
      <c r="B6539" t="s">
        <v>259</v>
      </c>
      <c r="C6539" t="s">
        <v>55</v>
      </c>
      <c r="D6539" s="49">
        <v>45771</v>
      </c>
      <c r="E6539" s="49">
        <v>45774</v>
      </c>
      <c r="F6539" s="49">
        <v>45781</v>
      </c>
      <c r="G6539" s="49">
        <v>45791</v>
      </c>
      <c r="H6539" s="49">
        <v>45799</v>
      </c>
      <c r="I6539" s="49">
        <v>45804</v>
      </c>
      <c r="J6539" t="s">
        <v>47</v>
      </c>
      <c r="K6539" s="33">
        <v>13900</v>
      </c>
      <c r="M6539" t="str">
        <f>_xlfn.XLOOKUP(Pipeline_tbl[[#This Row],[Rep_ID]],Dim_Reps!A:A,Dim_Reps!K:K)</f>
        <v>EUR</v>
      </c>
      <c r="N6539" s="33">
        <f>(_xlfn.XLOOKUP(Pipeline_tbl[[#This Row],[Rate_Code_Generalized]],Lookups!A:A,Lookups!B:B))*Pipeline_tbl[[#This Row],[Pipeline_Amount_USD]]</f>
        <v>13900</v>
      </c>
      <c r="O6539" t="str">
        <f>_xlfn.XLOOKUP(Pipeline_tbl[[#This Row],[Rep_ID]],Dim_Reps!A:A,Dim_Reps!B:B)</f>
        <v>Felix Okafor</v>
      </c>
      <c r="P6539" t="str">
        <f>_xlfn.XLOOKUP(Pipeline_tbl[[#This Row],[Rep_ID]],Dim_Reps!A:A,Dim_Reps!C:C)</f>
        <v>Mid-Market AE</v>
      </c>
      <c r="Q6539" t="str">
        <f>_xlfn.XLOOKUP(Pipeline_tbl[[#This Row],[Rep_ID]],Dim_Reps!A:A,Dim_Reps!D:D)</f>
        <v>Mid-Market</v>
      </c>
      <c r="R6539" t="str">
        <f>_xlfn.XLOOKUP(Pipeline_tbl[[#This Row],[Rep_ID]],Dim_Reps!A:A,Dim_Reps!E:E)</f>
        <v>EMEA</v>
      </c>
      <c r="S6539" t="str">
        <f>_xlfn.XLOOKUP(Pipeline_tbl[[#This Row],[Created_Date]],Dim_Date!A:A,Dim_Date!H:H)</f>
        <v>Apr 2025</v>
      </c>
      <c r="T6539" t="str">
        <f>IF(Pipeline_tbl[[#This Row],[Closed_Date]]=0,"",(_xlfn.XLOOKUP(Pipeline_tbl[[#This Row],[Closed_Date]],Dim_Date!A:A,Dim_Date!H:H)))</f>
        <v>May 2025</v>
      </c>
      <c r="U6539">
        <f>IF(Pipeline_tbl[[#This Row],[Closed_Date]]=0,"",Pipeline_tbl[[#This Row],[Closed_Date]]-Pipeline_tbl[[#This Row],[Created_Date]])</f>
        <v>33</v>
      </c>
    </row>
    <row r="6540" spans="1:21" ht="15" customHeight="1" x14ac:dyDescent="0.2">
      <c r="A6540" t="s">
        <v>6846</v>
      </c>
      <c r="B6540" t="s">
        <v>259</v>
      </c>
      <c r="C6540" t="s">
        <v>56</v>
      </c>
      <c r="D6540" s="49">
        <v>45768</v>
      </c>
      <c r="E6540" s="49">
        <v>45770</v>
      </c>
      <c r="F6540" s="49">
        <v>45774</v>
      </c>
      <c r="G6540" s="49">
        <v>45779</v>
      </c>
      <c r="I6540" s="49">
        <v>45787</v>
      </c>
      <c r="J6540" t="s">
        <v>49</v>
      </c>
      <c r="K6540" s="33">
        <v>10500</v>
      </c>
      <c r="L6540" t="s">
        <v>61</v>
      </c>
      <c r="M6540" t="str">
        <f>_xlfn.XLOOKUP(Pipeline_tbl[[#This Row],[Rep_ID]],Dim_Reps!A:A,Dim_Reps!K:K)</f>
        <v>EUR</v>
      </c>
      <c r="N6540" s="33">
        <f>(_xlfn.XLOOKUP(Pipeline_tbl[[#This Row],[Rate_Code_Generalized]],Lookups!A:A,Lookups!B:B))*Pipeline_tbl[[#This Row],[Pipeline_Amount_USD]]</f>
        <v>10500</v>
      </c>
      <c r="O6540" t="str">
        <f>_xlfn.XLOOKUP(Pipeline_tbl[[#This Row],[Rep_ID]],Dim_Reps!A:A,Dim_Reps!B:B)</f>
        <v>Felix Okafor</v>
      </c>
      <c r="P6540" t="str">
        <f>_xlfn.XLOOKUP(Pipeline_tbl[[#This Row],[Rep_ID]],Dim_Reps!A:A,Dim_Reps!C:C)</f>
        <v>Mid-Market AE</v>
      </c>
      <c r="Q6540" t="str">
        <f>_xlfn.XLOOKUP(Pipeline_tbl[[#This Row],[Rep_ID]],Dim_Reps!A:A,Dim_Reps!D:D)</f>
        <v>Mid-Market</v>
      </c>
      <c r="R6540" t="str">
        <f>_xlfn.XLOOKUP(Pipeline_tbl[[#This Row],[Rep_ID]],Dim_Reps!A:A,Dim_Reps!E:E)</f>
        <v>EMEA</v>
      </c>
      <c r="S6540" t="str">
        <f>_xlfn.XLOOKUP(Pipeline_tbl[[#This Row],[Created_Date]],Dim_Date!A:A,Dim_Date!H:H)</f>
        <v>Apr 2025</v>
      </c>
      <c r="T6540" t="str">
        <f>IF(Pipeline_tbl[[#This Row],[Closed_Date]]=0,"",(_xlfn.XLOOKUP(Pipeline_tbl[[#This Row],[Closed_Date]],Dim_Date!A:A,Dim_Date!H:H)))</f>
        <v>May 2025</v>
      </c>
      <c r="U6540">
        <f>IF(Pipeline_tbl[[#This Row],[Closed_Date]]=0,"",Pipeline_tbl[[#This Row],[Closed_Date]]-Pipeline_tbl[[#This Row],[Created_Date]])</f>
        <v>19</v>
      </c>
    </row>
    <row r="6541" spans="1:21" ht="15" customHeight="1" x14ac:dyDescent="0.2">
      <c r="A6541" t="s">
        <v>6847</v>
      </c>
      <c r="B6541" t="s">
        <v>259</v>
      </c>
      <c r="C6541" t="s">
        <v>54</v>
      </c>
      <c r="D6541" s="49">
        <v>45771</v>
      </c>
      <c r="E6541" s="49">
        <v>45773</v>
      </c>
      <c r="F6541" s="49">
        <v>45778</v>
      </c>
      <c r="G6541" s="49">
        <v>45785</v>
      </c>
      <c r="H6541" s="49">
        <v>45791</v>
      </c>
      <c r="I6541" s="49">
        <v>45795</v>
      </c>
      <c r="J6541" t="s">
        <v>47</v>
      </c>
      <c r="K6541" s="33">
        <v>8700</v>
      </c>
      <c r="M6541" t="str">
        <f>_xlfn.XLOOKUP(Pipeline_tbl[[#This Row],[Rep_ID]],Dim_Reps!A:A,Dim_Reps!K:K)</f>
        <v>EUR</v>
      </c>
      <c r="N6541" s="33">
        <f>(_xlfn.XLOOKUP(Pipeline_tbl[[#This Row],[Rate_Code_Generalized]],Lookups!A:A,Lookups!B:B))*Pipeline_tbl[[#This Row],[Pipeline_Amount_USD]]</f>
        <v>8700</v>
      </c>
      <c r="O6541" t="str">
        <f>_xlfn.XLOOKUP(Pipeline_tbl[[#This Row],[Rep_ID]],Dim_Reps!A:A,Dim_Reps!B:B)</f>
        <v>Felix Okafor</v>
      </c>
      <c r="P6541" t="str">
        <f>_xlfn.XLOOKUP(Pipeline_tbl[[#This Row],[Rep_ID]],Dim_Reps!A:A,Dim_Reps!C:C)</f>
        <v>Mid-Market AE</v>
      </c>
      <c r="Q6541" t="str">
        <f>_xlfn.XLOOKUP(Pipeline_tbl[[#This Row],[Rep_ID]],Dim_Reps!A:A,Dim_Reps!D:D)</f>
        <v>Mid-Market</v>
      </c>
      <c r="R6541" t="str">
        <f>_xlfn.XLOOKUP(Pipeline_tbl[[#This Row],[Rep_ID]],Dim_Reps!A:A,Dim_Reps!E:E)</f>
        <v>EMEA</v>
      </c>
      <c r="S6541" t="str">
        <f>_xlfn.XLOOKUP(Pipeline_tbl[[#This Row],[Created_Date]],Dim_Date!A:A,Dim_Date!H:H)</f>
        <v>Apr 2025</v>
      </c>
      <c r="T6541" t="str">
        <f>IF(Pipeline_tbl[[#This Row],[Closed_Date]]=0,"",(_xlfn.XLOOKUP(Pipeline_tbl[[#This Row],[Closed_Date]],Dim_Date!A:A,Dim_Date!H:H)))</f>
        <v>May 2025</v>
      </c>
      <c r="U6541">
        <f>IF(Pipeline_tbl[[#This Row],[Closed_Date]]=0,"",Pipeline_tbl[[#This Row],[Closed_Date]]-Pipeline_tbl[[#This Row],[Created_Date]])</f>
        <v>24</v>
      </c>
    </row>
    <row r="6542" spans="1:21" ht="15" customHeight="1" x14ac:dyDescent="0.2">
      <c r="A6542" t="s">
        <v>6848</v>
      </c>
      <c r="B6542" t="s">
        <v>259</v>
      </c>
      <c r="C6542" t="s">
        <v>53</v>
      </c>
      <c r="D6542" s="49">
        <v>45763</v>
      </c>
      <c r="E6542" s="49">
        <v>45766</v>
      </c>
      <c r="F6542" s="49">
        <v>45771</v>
      </c>
      <c r="G6542" s="49">
        <v>45779</v>
      </c>
      <c r="I6542" s="49">
        <v>45790</v>
      </c>
      <c r="J6542" t="s">
        <v>49</v>
      </c>
      <c r="K6542" s="33">
        <v>9300</v>
      </c>
      <c r="L6542" t="s">
        <v>61</v>
      </c>
      <c r="M6542" t="str">
        <f>_xlfn.XLOOKUP(Pipeline_tbl[[#This Row],[Rep_ID]],Dim_Reps!A:A,Dim_Reps!K:K)</f>
        <v>EUR</v>
      </c>
      <c r="N6542" s="33">
        <f>(_xlfn.XLOOKUP(Pipeline_tbl[[#This Row],[Rate_Code_Generalized]],Lookups!A:A,Lookups!B:B))*Pipeline_tbl[[#This Row],[Pipeline_Amount_USD]]</f>
        <v>9300</v>
      </c>
      <c r="O6542" t="str">
        <f>_xlfn.XLOOKUP(Pipeline_tbl[[#This Row],[Rep_ID]],Dim_Reps!A:A,Dim_Reps!B:B)</f>
        <v>Felix Okafor</v>
      </c>
      <c r="P6542" t="str">
        <f>_xlfn.XLOOKUP(Pipeline_tbl[[#This Row],[Rep_ID]],Dim_Reps!A:A,Dim_Reps!C:C)</f>
        <v>Mid-Market AE</v>
      </c>
      <c r="Q6542" t="str">
        <f>_xlfn.XLOOKUP(Pipeline_tbl[[#This Row],[Rep_ID]],Dim_Reps!A:A,Dim_Reps!D:D)</f>
        <v>Mid-Market</v>
      </c>
      <c r="R6542" t="str">
        <f>_xlfn.XLOOKUP(Pipeline_tbl[[#This Row],[Rep_ID]],Dim_Reps!A:A,Dim_Reps!E:E)</f>
        <v>EMEA</v>
      </c>
      <c r="S6542" t="str">
        <f>_xlfn.XLOOKUP(Pipeline_tbl[[#This Row],[Created_Date]],Dim_Date!A:A,Dim_Date!H:H)</f>
        <v>Apr 2025</v>
      </c>
      <c r="T6542" t="str">
        <f>IF(Pipeline_tbl[[#This Row],[Closed_Date]]=0,"",(_xlfn.XLOOKUP(Pipeline_tbl[[#This Row],[Closed_Date]],Dim_Date!A:A,Dim_Date!H:H)))</f>
        <v>May 2025</v>
      </c>
      <c r="U6542">
        <f>IF(Pipeline_tbl[[#This Row],[Closed_Date]]=0,"",Pipeline_tbl[[#This Row],[Closed_Date]]-Pipeline_tbl[[#This Row],[Created_Date]])</f>
        <v>27</v>
      </c>
    </row>
    <row r="6543" spans="1:21" ht="15" customHeight="1" x14ac:dyDescent="0.2">
      <c r="A6543" t="s">
        <v>6849</v>
      </c>
      <c r="B6543" t="s">
        <v>259</v>
      </c>
      <c r="C6543" t="s">
        <v>52</v>
      </c>
      <c r="D6543" s="49">
        <v>45762</v>
      </c>
      <c r="E6543" s="49">
        <v>45765</v>
      </c>
      <c r="F6543" s="49">
        <v>45770</v>
      </c>
      <c r="I6543" s="49">
        <v>45790</v>
      </c>
      <c r="J6543" t="s">
        <v>49</v>
      </c>
      <c r="K6543" s="33">
        <v>10900</v>
      </c>
      <c r="L6543" t="s">
        <v>63</v>
      </c>
      <c r="M6543" t="str">
        <f>_xlfn.XLOOKUP(Pipeline_tbl[[#This Row],[Rep_ID]],Dim_Reps!A:A,Dim_Reps!K:K)</f>
        <v>EUR</v>
      </c>
      <c r="N6543" s="33">
        <f>(_xlfn.XLOOKUP(Pipeline_tbl[[#This Row],[Rate_Code_Generalized]],Lookups!A:A,Lookups!B:B))*Pipeline_tbl[[#This Row],[Pipeline_Amount_USD]]</f>
        <v>10900</v>
      </c>
      <c r="O6543" t="str">
        <f>_xlfn.XLOOKUP(Pipeline_tbl[[#This Row],[Rep_ID]],Dim_Reps!A:A,Dim_Reps!B:B)</f>
        <v>Felix Okafor</v>
      </c>
      <c r="P6543" t="str">
        <f>_xlfn.XLOOKUP(Pipeline_tbl[[#This Row],[Rep_ID]],Dim_Reps!A:A,Dim_Reps!C:C)</f>
        <v>Mid-Market AE</v>
      </c>
      <c r="Q6543" t="str">
        <f>_xlfn.XLOOKUP(Pipeline_tbl[[#This Row],[Rep_ID]],Dim_Reps!A:A,Dim_Reps!D:D)</f>
        <v>Mid-Market</v>
      </c>
      <c r="R6543" t="str">
        <f>_xlfn.XLOOKUP(Pipeline_tbl[[#This Row],[Rep_ID]],Dim_Reps!A:A,Dim_Reps!E:E)</f>
        <v>EMEA</v>
      </c>
      <c r="S6543" t="str">
        <f>_xlfn.XLOOKUP(Pipeline_tbl[[#This Row],[Created_Date]],Dim_Date!A:A,Dim_Date!H:H)</f>
        <v>Apr 2025</v>
      </c>
      <c r="T6543" t="str">
        <f>IF(Pipeline_tbl[[#This Row],[Closed_Date]]=0,"",(_xlfn.XLOOKUP(Pipeline_tbl[[#This Row],[Closed_Date]],Dim_Date!A:A,Dim_Date!H:H)))</f>
        <v>May 2025</v>
      </c>
      <c r="U6543">
        <f>IF(Pipeline_tbl[[#This Row],[Closed_Date]]=0,"",Pipeline_tbl[[#This Row],[Closed_Date]]-Pipeline_tbl[[#This Row],[Created_Date]])</f>
        <v>28</v>
      </c>
    </row>
    <row r="6544" spans="1:21" ht="15" customHeight="1" x14ac:dyDescent="0.2">
      <c r="A6544" t="s">
        <v>6850</v>
      </c>
      <c r="B6544" t="s">
        <v>259</v>
      </c>
      <c r="C6544" t="s">
        <v>52</v>
      </c>
      <c r="D6544" s="49">
        <v>45753</v>
      </c>
      <c r="E6544" s="49">
        <v>45757</v>
      </c>
      <c r="F6544" s="49">
        <v>45766</v>
      </c>
      <c r="G6544" s="49">
        <v>45778</v>
      </c>
      <c r="H6544" s="49">
        <v>45789</v>
      </c>
      <c r="I6544" s="49">
        <v>45795</v>
      </c>
      <c r="J6544" t="s">
        <v>49</v>
      </c>
      <c r="K6544" s="33">
        <v>16400</v>
      </c>
      <c r="L6544" t="s">
        <v>64</v>
      </c>
      <c r="M6544" t="str">
        <f>_xlfn.XLOOKUP(Pipeline_tbl[[#This Row],[Rep_ID]],Dim_Reps!A:A,Dim_Reps!K:K)</f>
        <v>EUR</v>
      </c>
      <c r="N6544" s="33">
        <f>(_xlfn.XLOOKUP(Pipeline_tbl[[#This Row],[Rate_Code_Generalized]],Lookups!A:A,Lookups!B:B))*Pipeline_tbl[[#This Row],[Pipeline_Amount_USD]]</f>
        <v>16400</v>
      </c>
      <c r="O6544" t="str">
        <f>_xlfn.XLOOKUP(Pipeline_tbl[[#This Row],[Rep_ID]],Dim_Reps!A:A,Dim_Reps!B:B)</f>
        <v>Felix Okafor</v>
      </c>
      <c r="P6544" t="str">
        <f>_xlfn.XLOOKUP(Pipeline_tbl[[#This Row],[Rep_ID]],Dim_Reps!A:A,Dim_Reps!C:C)</f>
        <v>Mid-Market AE</v>
      </c>
      <c r="Q6544" t="str">
        <f>_xlfn.XLOOKUP(Pipeline_tbl[[#This Row],[Rep_ID]],Dim_Reps!A:A,Dim_Reps!D:D)</f>
        <v>Mid-Market</v>
      </c>
      <c r="R6544" t="str">
        <f>_xlfn.XLOOKUP(Pipeline_tbl[[#This Row],[Rep_ID]],Dim_Reps!A:A,Dim_Reps!E:E)</f>
        <v>EMEA</v>
      </c>
      <c r="S6544" t="str">
        <f>_xlfn.XLOOKUP(Pipeline_tbl[[#This Row],[Created_Date]],Dim_Date!A:A,Dim_Date!H:H)</f>
        <v>Apr 2025</v>
      </c>
      <c r="T6544" t="str">
        <f>IF(Pipeline_tbl[[#This Row],[Closed_Date]]=0,"",(_xlfn.XLOOKUP(Pipeline_tbl[[#This Row],[Closed_Date]],Dim_Date!A:A,Dim_Date!H:H)))</f>
        <v>May 2025</v>
      </c>
      <c r="U6544">
        <f>IF(Pipeline_tbl[[#This Row],[Closed_Date]]=0,"",Pipeline_tbl[[#This Row],[Closed_Date]]-Pipeline_tbl[[#This Row],[Created_Date]])</f>
        <v>42</v>
      </c>
    </row>
    <row r="6545" spans="1:21" ht="15" customHeight="1" x14ac:dyDescent="0.2">
      <c r="A6545" t="s">
        <v>6851</v>
      </c>
      <c r="B6545" t="s">
        <v>259</v>
      </c>
      <c r="C6545" t="s">
        <v>52</v>
      </c>
      <c r="D6545" s="49">
        <v>45773</v>
      </c>
      <c r="E6545" s="49">
        <v>45776</v>
      </c>
      <c r="F6545" s="49">
        <v>45782</v>
      </c>
      <c r="G6545" s="49">
        <v>45791</v>
      </c>
      <c r="H6545" s="49">
        <v>45799</v>
      </c>
      <c r="I6545" s="49">
        <v>45803</v>
      </c>
      <c r="J6545" t="s">
        <v>47</v>
      </c>
      <c r="K6545" s="33">
        <v>9500</v>
      </c>
      <c r="M6545" t="str">
        <f>_xlfn.XLOOKUP(Pipeline_tbl[[#This Row],[Rep_ID]],Dim_Reps!A:A,Dim_Reps!K:K)</f>
        <v>EUR</v>
      </c>
      <c r="N6545" s="33">
        <f>(_xlfn.XLOOKUP(Pipeline_tbl[[#This Row],[Rate_Code_Generalized]],Lookups!A:A,Lookups!B:B))*Pipeline_tbl[[#This Row],[Pipeline_Amount_USD]]</f>
        <v>9500</v>
      </c>
      <c r="O6545" t="str">
        <f>_xlfn.XLOOKUP(Pipeline_tbl[[#This Row],[Rep_ID]],Dim_Reps!A:A,Dim_Reps!B:B)</f>
        <v>Felix Okafor</v>
      </c>
      <c r="P6545" t="str">
        <f>_xlfn.XLOOKUP(Pipeline_tbl[[#This Row],[Rep_ID]],Dim_Reps!A:A,Dim_Reps!C:C)</f>
        <v>Mid-Market AE</v>
      </c>
      <c r="Q6545" t="str">
        <f>_xlfn.XLOOKUP(Pipeline_tbl[[#This Row],[Rep_ID]],Dim_Reps!A:A,Dim_Reps!D:D)</f>
        <v>Mid-Market</v>
      </c>
      <c r="R6545" t="str">
        <f>_xlfn.XLOOKUP(Pipeline_tbl[[#This Row],[Rep_ID]],Dim_Reps!A:A,Dim_Reps!E:E)</f>
        <v>EMEA</v>
      </c>
      <c r="S6545" t="str">
        <f>_xlfn.XLOOKUP(Pipeline_tbl[[#This Row],[Created_Date]],Dim_Date!A:A,Dim_Date!H:H)</f>
        <v>Apr 2025</v>
      </c>
      <c r="T6545" t="str">
        <f>IF(Pipeline_tbl[[#This Row],[Closed_Date]]=0,"",(_xlfn.XLOOKUP(Pipeline_tbl[[#This Row],[Closed_Date]],Dim_Date!A:A,Dim_Date!H:H)))</f>
        <v>May 2025</v>
      </c>
      <c r="U6545">
        <f>IF(Pipeline_tbl[[#This Row],[Closed_Date]]=0,"",Pipeline_tbl[[#This Row],[Closed_Date]]-Pipeline_tbl[[#This Row],[Created_Date]])</f>
        <v>30</v>
      </c>
    </row>
    <row r="6546" spans="1:21" ht="15" customHeight="1" x14ac:dyDescent="0.2">
      <c r="A6546" t="s">
        <v>6852</v>
      </c>
      <c r="B6546" t="s">
        <v>259</v>
      </c>
      <c r="C6546" t="s">
        <v>52</v>
      </c>
      <c r="D6546" s="49">
        <v>45759</v>
      </c>
      <c r="E6546" s="49">
        <v>45763</v>
      </c>
      <c r="F6546" s="49">
        <v>45770</v>
      </c>
      <c r="G6546" s="49">
        <v>45782</v>
      </c>
      <c r="H6546" s="49">
        <v>45791</v>
      </c>
      <c r="I6546" s="49">
        <v>45797</v>
      </c>
      <c r="J6546" t="s">
        <v>47</v>
      </c>
      <c r="K6546" s="33">
        <v>20100</v>
      </c>
      <c r="M6546" t="str">
        <f>_xlfn.XLOOKUP(Pipeline_tbl[[#This Row],[Rep_ID]],Dim_Reps!A:A,Dim_Reps!K:K)</f>
        <v>EUR</v>
      </c>
      <c r="N6546" s="33">
        <f>(_xlfn.XLOOKUP(Pipeline_tbl[[#This Row],[Rate_Code_Generalized]],Lookups!A:A,Lookups!B:B))*Pipeline_tbl[[#This Row],[Pipeline_Amount_USD]]</f>
        <v>20100</v>
      </c>
      <c r="O6546" t="str">
        <f>_xlfn.XLOOKUP(Pipeline_tbl[[#This Row],[Rep_ID]],Dim_Reps!A:A,Dim_Reps!B:B)</f>
        <v>Felix Okafor</v>
      </c>
      <c r="P6546" t="str">
        <f>_xlfn.XLOOKUP(Pipeline_tbl[[#This Row],[Rep_ID]],Dim_Reps!A:A,Dim_Reps!C:C)</f>
        <v>Mid-Market AE</v>
      </c>
      <c r="Q6546" t="str">
        <f>_xlfn.XLOOKUP(Pipeline_tbl[[#This Row],[Rep_ID]],Dim_Reps!A:A,Dim_Reps!D:D)</f>
        <v>Mid-Market</v>
      </c>
      <c r="R6546" t="str">
        <f>_xlfn.XLOOKUP(Pipeline_tbl[[#This Row],[Rep_ID]],Dim_Reps!A:A,Dim_Reps!E:E)</f>
        <v>EMEA</v>
      </c>
      <c r="S6546" t="str">
        <f>_xlfn.XLOOKUP(Pipeline_tbl[[#This Row],[Created_Date]],Dim_Date!A:A,Dim_Date!H:H)</f>
        <v>Apr 2025</v>
      </c>
      <c r="T6546" t="str">
        <f>IF(Pipeline_tbl[[#This Row],[Closed_Date]]=0,"",(_xlfn.XLOOKUP(Pipeline_tbl[[#This Row],[Closed_Date]],Dim_Date!A:A,Dim_Date!H:H)))</f>
        <v>May 2025</v>
      </c>
      <c r="U6546">
        <f>IF(Pipeline_tbl[[#This Row],[Closed_Date]]=0,"",Pipeline_tbl[[#This Row],[Closed_Date]]-Pipeline_tbl[[#This Row],[Created_Date]])</f>
        <v>38</v>
      </c>
    </row>
    <row r="6547" spans="1:21" ht="15" customHeight="1" x14ac:dyDescent="0.2">
      <c r="A6547" t="s">
        <v>6853</v>
      </c>
      <c r="B6547" t="s">
        <v>259</v>
      </c>
      <c r="C6547" t="s">
        <v>55</v>
      </c>
      <c r="D6547" s="49">
        <v>45753</v>
      </c>
      <c r="E6547" s="49">
        <v>45757</v>
      </c>
      <c r="F6547" s="49">
        <v>45764</v>
      </c>
      <c r="G6547" s="49">
        <v>45774</v>
      </c>
      <c r="H6547" s="49">
        <v>45783</v>
      </c>
      <c r="I6547" s="49">
        <v>45788</v>
      </c>
      <c r="J6547" t="s">
        <v>47</v>
      </c>
      <c r="K6547" s="33">
        <v>8500</v>
      </c>
      <c r="M6547" t="str">
        <f>_xlfn.XLOOKUP(Pipeline_tbl[[#This Row],[Rep_ID]],Dim_Reps!A:A,Dim_Reps!K:K)</f>
        <v>EUR</v>
      </c>
      <c r="N6547" s="33">
        <f>(_xlfn.XLOOKUP(Pipeline_tbl[[#This Row],[Rate_Code_Generalized]],Lookups!A:A,Lookups!B:B))*Pipeline_tbl[[#This Row],[Pipeline_Amount_USD]]</f>
        <v>8500</v>
      </c>
      <c r="O6547" t="str">
        <f>_xlfn.XLOOKUP(Pipeline_tbl[[#This Row],[Rep_ID]],Dim_Reps!A:A,Dim_Reps!B:B)</f>
        <v>Felix Okafor</v>
      </c>
      <c r="P6547" t="str">
        <f>_xlfn.XLOOKUP(Pipeline_tbl[[#This Row],[Rep_ID]],Dim_Reps!A:A,Dim_Reps!C:C)</f>
        <v>Mid-Market AE</v>
      </c>
      <c r="Q6547" t="str">
        <f>_xlfn.XLOOKUP(Pipeline_tbl[[#This Row],[Rep_ID]],Dim_Reps!A:A,Dim_Reps!D:D)</f>
        <v>Mid-Market</v>
      </c>
      <c r="R6547" t="str">
        <f>_xlfn.XLOOKUP(Pipeline_tbl[[#This Row],[Rep_ID]],Dim_Reps!A:A,Dim_Reps!E:E)</f>
        <v>EMEA</v>
      </c>
      <c r="S6547" t="str">
        <f>_xlfn.XLOOKUP(Pipeline_tbl[[#This Row],[Created_Date]],Dim_Date!A:A,Dim_Date!H:H)</f>
        <v>Apr 2025</v>
      </c>
      <c r="T6547" t="str">
        <f>IF(Pipeline_tbl[[#This Row],[Closed_Date]]=0,"",(_xlfn.XLOOKUP(Pipeline_tbl[[#This Row],[Closed_Date]],Dim_Date!A:A,Dim_Date!H:H)))</f>
        <v>May 2025</v>
      </c>
      <c r="U6547">
        <f>IF(Pipeline_tbl[[#This Row],[Closed_Date]]=0,"",Pipeline_tbl[[#This Row],[Closed_Date]]-Pipeline_tbl[[#This Row],[Created_Date]])</f>
        <v>35</v>
      </c>
    </row>
    <row r="6548" spans="1:21" ht="15" customHeight="1" x14ac:dyDescent="0.2">
      <c r="A6548" t="s">
        <v>6854</v>
      </c>
      <c r="B6548" t="s">
        <v>223</v>
      </c>
      <c r="C6548" t="s">
        <v>53</v>
      </c>
      <c r="D6548" s="49">
        <v>45777</v>
      </c>
      <c r="E6548" s="49">
        <v>45779</v>
      </c>
      <c r="F6548" s="49">
        <v>45783</v>
      </c>
      <c r="G6548" s="49">
        <v>45788</v>
      </c>
      <c r="H6548" s="49">
        <v>45793</v>
      </c>
      <c r="I6548" s="49">
        <v>45796</v>
      </c>
      <c r="J6548" t="s">
        <v>49</v>
      </c>
      <c r="K6548" s="33">
        <v>2100</v>
      </c>
      <c r="L6548" t="s">
        <v>64</v>
      </c>
      <c r="M6548" t="str">
        <f>_xlfn.XLOOKUP(Pipeline_tbl[[#This Row],[Rep_ID]],Dim_Reps!A:A,Dim_Reps!K:K)</f>
        <v>MXN</v>
      </c>
      <c r="N6548" s="33">
        <f>(_xlfn.XLOOKUP(Pipeline_tbl[[#This Row],[Rate_Code_Generalized]],Lookups!A:A,Lookups!B:B))*Pipeline_tbl[[#This Row],[Pipeline_Amount_USD]]</f>
        <v>41438.670000000006</v>
      </c>
      <c r="O6548" t="str">
        <f>_xlfn.XLOOKUP(Pipeline_tbl[[#This Row],[Rep_ID]],Dim_Reps!A:A,Dim_Reps!B:B)</f>
        <v>Lea Petrov</v>
      </c>
      <c r="P6548" t="str">
        <f>_xlfn.XLOOKUP(Pipeline_tbl[[#This Row],[Rep_ID]],Dim_Reps!A:A,Dim_Reps!C:C)</f>
        <v>SDR / Inside Sales Rep</v>
      </c>
      <c r="Q6548" t="str">
        <f>_xlfn.XLOOKUP(Pipeline_tbl[[#This Row],[Rep_ID]],Dim_Reps!A:A,Dim_Reps!D:D)</f>
        <v>Inside Sales</v>
      </c>
      <c r="R6548" t="str">
        <f>_xlfn.XLOOKUP(Pipeline_tbl[[#This Row],[Rep_ID]],Dim_Reps!A:A,Dim_Reps!E:E)</f>
        <v>LATAM</v>
      </c>
      <c r="S6548" t="str">
        <f>_xlfn.XLOOKUP(Pipeline_tbl[[#This Row],[Created_Date]],Dim_Date!A:A,Dim_Date!H:H)</f>
        <v>Apr 2025</v>
      </c>
      <c r="T6548" t="str">
        <f>IF(Pipeline_tbl[[#This Row],[Closed_Date]]=0,"",(_xlfn.XLOOKUP(Pipeline_tbl[[#This Row],[Closed_Date]],Dim_Date!A:A,Dim_Date!H:H)))</f>
        <v>May 2025</v>
      </c>
      <c r="U6548">
        <f>IF(Pipeline_tbl[[#This Row],[Closed_Date]]=0,"",Pipeline_tbl[[#This Row],[Closed_Date]]-Pipeline_tbl[[#This Row],[Created_Date]])</f>
        <v>19</v>
      </c>
    </row>
    <row r="6549" spans="1:21" ht="15" customHeight="1" x14ac:dyDescent="0.2">
      <c r="A6549" t="s">
        <v>6855</v>
      </c>
      <c r="B6549" t="s">
        <v>223</v>
      </c>
      <c r="C6549" t="s">
        <v>56</v>
      </c>
      <c r="D6549" s="49">
        <v>45767</v>
      </c>
      <c r="E6549" s="49">
        <v>45769</v>
      </c>
      <c r="F6549" s="49">
        <v>45772</v>
      </c>
      <c r="G6549" s="49">
        <v>45777</v>
      </c>
      <c r="I6549" s="49">
        <v>45783</v>
      </c>
      <c r="J6549" t="s">
        <v>49</v>
      </c>
      <c r="K6549" s="33">
        <v>5100</v>
      </c>
      <c r="L6549" t="s">
        <v>62</v>
      </c>
      <c r="M6549" t="str">
        <f>_xlfn.XLOOKUP(Pipeline_tbl[[#This Row],[Rep_ID]],Dim_Reps!A:A,Dim_Reps!K:K)</f>
        <v>MXN</v>
      </c>
      <c r="N6549" s="33">
        <f>(_xlfn.XLOOKUP(Pipeline_tbl[[#This Row],[Rate_Code_Generalized]],Lookups!A:A,Lookups!B:B))*Pipeline_tbl[[#This Row],[Pipeline_Amount_USD]]</f>
        <v>100636.77</v>
      </c>
      <c r="O6549" t="str">
        <f>_xlfn.XLOOKUP(Pipeline_tbl[[#This Row],[Rep_ID]],Dim_Reps!A:A,Dim_Reps!B:B)</f>
        <v>Lea Petrov</v>
      </c>
      <c r="P6549" t="str">
        <f>_xlfn.XLOOKUP(Pipeline_tbl[[#This Row],[Rep_ID]],Dim_Reps!A:A,Dim_Reps!C:C)</f>
        <v>SDR / Inside Sales Rep</v>
      </c>
      <c r="Q6549" t="str">
        <f>_xlfn.XLOOKUP(Pipeline_tbl[[#This Row],[Rep_ID]],Dim_Reps!A:A,Dim_Reps!D:D)</f>
        <v>Inside Sales</v>
      </c>
      <c r="R6549" t="str">
        <f>_xlfn.XLOOKUP(Pipeline_tbl[[#This Row],[Rep_ID]],Dim_Reps!A:A,Dim_Reps!E:E)</f>
        <v>LATAM</v>
      </c>
      <c r="S6549" t="str">
        <f>_xlfn.XLOOKUP(Pipeline_tbl[[#This Row],[Created_Date]],Dim_Date!A:A,Dim_Date!H:H)</f>
        <v>Apr 2025</v>
      </c>
      <c r="T6549" t="str">
        <f>IF(Pipeline_tbl[[#This Row],[Closed_Date]]=0,"",(_xlfn.XLOOKUP(Pipeline_tbl[[#This Row],[Closed_Date]],Dim_Date!A:A,Dim_Date!H:H)))</f>
        <v>May 2025</v>
      </c>
      <c r="U6549">
        <f>IF(Pipeline_tbl[[#This Row],[Closed_Date]]=0,"",Pipeline_tbl[[#This Row],[Closed_Date]]-Pipeline_tbl[[#This Row],[Created_Date]])</f>
        <v>16</v>
      </c>
    </row>
    <row r="6550" spans="1:21" ht="15" customHeight="1" x14ac:dyDescent="0.2">
      <c r="A6550" t="s">
        <v>6856</v>
      </c>
      <c r="B6550" t="s">
        <v>223</v>
      </c>
      <c r="C6550" t="s">
        <v>52</v>
      </c>
      <c r="D6550" s="49">
        <v>45764</v>
      </c>
      <c r="E6550" s="49">
        <v>45766</v>
      </c>
      <c r="F6550" s="49">
        <v>45770</v>
      </c>
      <c r="G6550" s="49">
        <v>45777</v>
      </c>
      <c r="H6550" s="49">
        <v>45782</v>
      </c>
      <c r="I6550" s="49">
        <v>45785</v>
      </c>
      <c r="J6550" t="s">
        <v>49</v>
      </c>
      <c r="K6550" s="33">
        <v>1500</v>
      </c>
      <c r="L6550" t="s">
        <v>62</v>
      </c>
      <c r="M6550" t="str">
        <f>_xlfn.XLOOKUP(Pipeline_tbl[[#This Row],[Rep_ID]],Dim_Reps!A:A,Dim_Reps!K:K)</f>
        <v>MXN</v>
      </c>
      <c r="N6550" s="33">
        <f>(_xlfn.XLOOKUP(Pipeline_tbl[[#This Row],[Rate_Code_Generalized]],Lookups!A:A,Lookups!B:B))*Pipeline_tbl[[#This Row],[Pipeline_Amount_USD]]</f>
        <v>29599.050000000003</v>
      </c>
      <c r="O6550" t="str">
        <f>_xlfn.XLOOKUP(Pipeline_tbl[[#This Row],[Rep_ID]],Dim_Reps!A:A,Dim_Reps!B:B)</f>
        <v>Lea Petrov</v>
      </c>
      <c r="P6550" t="str">
        <f>_xlfn.XLOOKUP(Pipeline_tbl[[#This Row],[Rep_ID]],Dim_Reps!A:A,Dim_Reps!C:C)</f>
        <v>SDR / Inside Sales Rep</v>
      </c>
      <c r="Q6550" t="str">
        <f>_xlfn.XLOOKUP(Pipeline_tbl[[#This Row],[Rep_ID]],Dim_Reps!A:A,Dim_Reps!D:D)</f>
        <v>Inside Sales</v>
      </c>
      <c r="R6550" t="str">
        <f>_xlfn.XLOOKUP(Pipeline_tbl[[#This Row],[Rep_ID]],Dim_Reps!A:A,Dim_Reps!E:E)</f>
        <v>LATAM</v>
      </c>
      <c r="S6550" t="str">
        <f>_xlfn.XLOOKUP(Pipeline_tbl[[#This Row],[Created_Date]],Dim_Date!A:A,Dim_Date!H:H)</f>
        <v>Apr 2025</v>
      </c>
      <c r="T6550" t="str">
        <f>IF(Pipeline_tbl[[#This Row],[Closed_Date]]=0,"",(_xlfn.XLOOKUP(Pipeline_tbl[[#This Row],[Closed_Date]],Dim_Date!A:A,Dim_Date!H:H)))</f>
        <v>May 2025</v>
      </c>
      <c r="U6550">
        <f>IF(Pipeline_tbl[[#This Row],[Closed_Date]]=0,"",Pipeline_tbl[[#This Row],[Closed_Date]]-Pipeline_tbl[[#This Row],[Created_Date]])</f>
        <v>21</v>
      </c>
    </row>
    <row r="6551" spans="1:21" ht="15" customHeight="1" x14ac:dyDescent="0.2">
      <c r="A6551" t="s">
        <v>6857</v>
      </c>
      <c r="B6551" t="s">
        <v>225</v>
      </c>
      <c r="C6551" t="s">
        <v>53</v>
      </c>
      <c r="D6551" s="49">
        <v>45773</v>
      </c>
      <c r="E6551" s="49">
        <v>45775</v>
      </c>
      <c r="F6551" s="49">
        <v>45779</v>
      </c>
      <c r="G6551" s="49">
        <v>45784</v>
      </c>
      <c r="H6551" s="49">
        <v>45789</v>
      </c>
      <c r="I6551" s="49">
        <v>45792</v>
      </c>
      <c r="J6551" t="s">
        <v>47</v>
      </c>
      <c r="K6551" s="33">
        <v>7000</v>
      </c>
      <c r="M6551" t="str">
        <f>_xlfn.XLOOKUP(Pipeline_tbl[[#This Row],[Rep_ID]],Dim_Reps!A:A,Dim_Reps!K:K)</f>
        <v>USD</v>
      </c>
      <c r="N6551" s="33">
        <f>(_xlfn.XLOOKUP(Pipeline_tbl[[#This Row],[Rate_Code_Generalized]],Lookups!A:A,Lookups!B:B))*Pipeline_tbl[[#This Row],[Pipeline_Amount_USD]]</f>
        <v>8150.0999999999995</v>
      </c>
      <c r="O6551" t="str">
        <f>_xlfn.XLOOKUP(Pipeline_tbl[[#This Row],[Rep_ID]],Dim_Reps!A:A,Dim_Reps!B:B)</f>
        <v>Alex Muller</v>
      </c>
      <c r="P6551" t="str">
        <f>_xlfn.XLOOKUP(Pipeline_tbl[[#This Row],[Rep_ID]],Dim_Reps!A:A,Dim_Reps!C:C)</f>
        <v>SDR / Inside Sales Rep</v>
      </c>
      <c r="Q6551" t="str">
        <f>_xlfn.XLOOKUP(Pipeline_tbl[[#This Row],[Rep_ID]],Dim_Reps!A:A,Dim_Reps!D:D)</f>
        <v>Inside Sales</v>
      </c>
      <c r="R6551" t="str">
        <f>_xlfn.XLOOKUP(Pipeline_tbl[[#This Row],[Rep_ID]],Dim_Reps!A:A,Dim_Reps!E:E)</f>
        <v>NAMER</v>
      </c>
      <c r="S6551" t="str">
        <f>_xlfn.XLOOKUP(Pipeline_tbl[[#This Row],[Created_Date]],Dim_Date!A:A,Dim_Date!H:H)</f>
        <v>Apr 2025</v>
      </c>
      <c r="T6551" t="str">
        <f>IF(Pipeline_tbl[[#This Row],[Closed_Date]]=0,"",(_xlfn.XLOOKUP(Pipeline_tbl[[#This Row],[Closed_Date]],Dim_Date!A:A,Dim_Date!H:H)))</f>
        <v>May 2025</v>
      </c>
      <c r="U6551">
        <f>IF(Pipeline_tbl[[#This Row],[Closed_Date]]=0,"",Pipeline_tbl[[#This Row],[Closed_Date]]-Pipeline_tbl[[#This Row],[Created_Date]])</f>
        <v>19</v>
      </c>
    </row>
    <row r="6552" spans="1:21" ht="15" customHeight="1" x14ac:dyDescent="0.2">
      <c r="A6552" t="s">
        <v>6858</v>
      </c>
      <c r="B6552" t="s">
        <v>225</v>
      </c>
      <c r="C6552" t="s">
        <v>53</v>
      </c>
      <c r="D6552" s="49">
        <v>45775</v>
      </c>
      <c r="E6552" s="49">
        <v>45777</v>
      </c>
      <c r="F6552" s="49">
        <v>45782</v>
      </c>
      <c r="G6552" s="49">
        <v>45788</v>
      </c>
      <c r="I6552" s="49">
        <v>45797</v>
      </c>
      <c r="J6552" t="s">
        <v>49</v>
      </c>
      <c r="K6552" s="33">
        <v>1200</v>
      </c>
      <c r="L6552" t="s">
        <v>63</v>
      </c>
      <c r="M6552" t="str">
        <f>_xlfn.XLOOKUP(Pipeline_tbl[[#This Row],[Rep_ID]],Dim_Reps!A:A,Dim_Reps!K:K)</f>
        <v>USD</v>
      </c>
      <c r="N6552" s="33">
        <f>(_xlfn.XLOOKUP(Pipeline_tbl[[#This Row],[Rate_Code_Generalized]],Lookups!A:A,Lookups!B:B))*Pipeline_tbl[[#This Row],[Pipeline_Amount_USD]]</f>
        <v>1397.1599999999999</v>
      </c>
      <c r="O6552" t="str">
        <f>_xlfn.XLOOKUP(Pipeline_tbl[[#This Row],[Rep_ID]],Dim_Reps!A:A,Dim_Reps!B:B)</f>
        <v>Alex Muller</v>
      </c>
      <c r="P6552" t="str">
        <f>_xlfn.XLOOKUP(Pipeline_tbl[[#This Row],[Rep_ID]],Dim_Reps!A:A,Dim_Reps!C:C)</f>
        <v>SDR / Inside Sales Rep</v>
      </c>
      <c r="Q6552" t="str">
        <f>_xlfn.XLOOKUP(Pipeline_tbl[[#This Row],[Rep_ID]],Dim_Reps!A:A,Dim_Reps!D:D)</f>
        <v>Inside Sales</v>
      </c>
      <c r="R6552" t="str">
        <f>_xlfn.XLOOKUP(Pipeline_tbl[[#This Row],[Rep_ID]],Dim_Reps!A:A,Dim_Reps!E:E)</f>
        <v>NAMER</v>
      </c>
      <c r="S6552" t="str">
        <f>_xlfn.XLOOKUP(Pipeline_tbl[[#This Row],[Created_Date]],Dim_Date!A:A,Dim_Date!H:H)</f>
        <v>Apr 2025</v>
      </c>
      <c r="T6552" t="str">
        <f>IF(Pipeline_tbl[[#This Row],[Closed_Date]]=0,"",(_xlfn.XLOOKUP(Pipeline_tbl[[#This Row],[Closed_Date]],Dim_Date!A:A,Dim_Date!H:H)))</f>
        <v>May 2025</v>
      </c>
      <c r="U6552">
        <f>IF(Pipeline_tbl[[#This Row],[Closed_Date]]=0,"",Pipeline_tbl[[#This Row],[Closed_Date]]-Pipeline_tbl[[#This Row],[Created_Date]])</f>
        <v>22</v>
      </c>
    </row>
    <row r="6553" spans="1:21" ht="15" customHeight="1" x14ac:dyDescent="0.2">
      <c r="A6553" t="s">
        <v>6859</v>
      </c>
      <c r="B6553" t="s">
        <v>225</v>
      </c>
      <c r="C6553" t="s">
        <v>55</v>
      </c>
      <c r="D6553" s="49">
        <v>45762</v>
      </c>
      <c r="E6553" s="49">
        <v>45764</v>
      </c>
      <c r="F6553" s="49">
        <v>45767</v>
      </c>
      <c r="G6553" s="49">
        <v>45773</v>
      </c>
      <c r="H6553" s="49">
        <v>45777</v>
      </c>
      <c r="I6553" s="49">
        <v>45780</v>
      </c>
      <c r="J6553" t="s">
        <v>47</v>
      </c>
      <c r="K6553" s="33">
        <v>4500</v>
      </c>
      <c r="M6553" t="str">
        <f>_xlfn.XLOOKUP(Pipeline_tbl[[#This Row],[Rep_ID]],Dim_Reps!A:A,Dim_Reps!K:K)</f>
        <v>USD</v>
      </c>
      <c r="N6553" s="33">
        <f>(_xlfn.XLOOKUP(Pipeline_tbl[[#This Row],[Rate_Code_Generalized]],Lookups!A:A,Lookups!B:B))*Pipeline_tbl[[#This Row],[Pipeline_Amount_USD]]</f>
        <v>5239.3499999999995</v>
      </c>
      <c r="O6553" t="str">
        <f>_xlfn.XLOOKUP(Pipeline_tbl[[#This Row],[Rep_ID]],Dim_Reps!A:A,Dim_Reps!B:B)</f>
        <v>Alex Muller</v>
      </c>
      <c r="P6553" t="str">
        <f>_xlfn.XLOOKUP(Pipeline_tbl[[#This Row],[Rep_ID]],Dim_Reps!A:A,Dim_Reps!C:C)</f>
        <v>SDR / Inside Sales Rep</v>
      </c>
      <c r="Q6553" t="str">
        <f>_xlfn.XLOOKUP(Pipeline_tbl[[#This Row],[Rep_ID]],Dim_Reps!A:A,Dim_Reps!D:D)</f>
        <v>Inside Sales</v>
      </c>
      <c r="R6553" t="str">
        <f>_xlfn.XLOOKUP(Pipeline_tbl[[#This Row],[Rep_ID]],Dim_Reps!A:A,Dim_Reps!E:E)</f>
        <v>NAMER</v>
      </c>
      <c r="S6553" t="str">
        <f>_xlfn.XLOOKUP(Pipeline_tbl[[#This Row],[Created_Date]],Dim_Date!A:A,Dim_Date!H:H)</f>
        <v>Apr 2025</v>
      </c>
      <c r="T6553" t="str">
        <f>IF(Pipeline_tbl[[#This Row],[Closed_Date]]=0,"",(_xlfn.XLOOKUP(Pipeline_tbl[[#This Row],[Closed_Date]],Dim_Date!A:A,Dim_Date!H:H)))</f>
        <v>May 2025</v>
      </c>
      <c r="U6553">
        <f>IF(Pipeline_tbl[[#This Row],[Closed_Date]]=0,"",Pipeline_tbl[[#This Row],[Closed_Date]]-Pipeline_tbl[[#This Row],[Created_Date]])</f>
        <v>18</v>
      </c>
    </row>
    <row r="6554" spans="1:21" ht="15" customHeight="1" x14ac:dyDescent="0.2">
      <c r="A6554" t="s">
        <v>6860</v>
      </c>
      <c r="B6554" t="s">
        <v>225</v>
      </c>
      <c r="C6554" t="s">
        <v>53</v>
      </c>
      <c r="D6554" s="49">
        <v>45758</v>
      </c>
      <c r="E6554" s="49">
        <v>45760</v>
      </c>
      <c r="F6554" s="49">
        <v>45764</v>
      </c>
      <c r="G6554" s="49">
        <v>45771</v>
      </c>
      <c r="I6554" s="49">
        <v>45779</v>
      </c>
      <c r="J6554" t="s">
        <v>49</v>
      </c>
      <c r="K6554" s="33">
        <v>2400</v>
      </c>
      <c r="L6554" t="s">
        <v>61</v>
      </c>
      <c r="M6554" t="str">
        <f>_xlfn.XLOOKUP(Pipeline_tbl[[#This Row],[Rep_ID]],Dim_Reps!A:A,Dim_Reps!K:K)</f>
        <v>USD</v>
      </c>
      <c r="N6554" s="33">
        <f>(_xlfn.XLOOKUP(Pipeline_tbl[[#This Row],[Rate_Code_Generalized]],Lookups!A:A,Lookups!B:B))*Pipeline_tbl[[#This Row],[Pipeline_Amount_USD]]</f>
        <v>2794.3199999999997</v>
      </c>
      <c r="O6554" t="str">
        <f>_xlfn.XLOOKUP(Pipeline_tbl[[#This Row],[Rep_ID]],Dim_Reps!A:A,Dim_Reps!B:B)</f>
        <v>Alex Muller</v>
      </c>
      <c r="P6554" t="str">
        <f>_xlfn.XLOOKUP(Pipeline_tbl[[#This Row],[Rep_ID]],Dim_Reps!A:A,Dim_Reps!C:C)</f>
        <v>SDR / Inside Sales Rep</v>
      </c>
      <c r="Q6554" t="str">
        <f>_xlfn.XLOOKUP(Pipeline_tbl[[#This Row],[Rep_ID]],Dim_Reps!A:A,Dim_Reps!D:D)</f>
        <v>Inside Sales</v>
      </c>
      <c r="R6554" t="str">
        <f>_xlfn.XLOOKUP(Pipeline_tbl[[#This Row],[Rep_ID]],Dim_Reps!A:A,Dim_Reps!E:E)</f>
        <v>NAMER</v>
      </c>
      <c r="S6554" t="str">
        <f>_xlfn.XLOOKUP(Pipeline_tbl[[#This Row],[Created_Date]],Dim_Date!A:A,Dim_Date!H:H)</f>
        <v>Apr 2025</v>
      </c>
      <c r="T6554" t="str">
        <f>IF(Pipeline_tbl[[#This Row],[Closed_Date]]=0,"",(_xlfn.XLOOKUP(Pipeline_tbl[[#This Row],[Closed_Date]],Dim_Date!A:A,Dim_Date!H:H)))</f>
        <v>May 2025</v>
      </c>
      <c r="U6554">
        <f>IF(Pipeline_tbl[[#This Row],[Closed_Date]]=0,"",Pipeline_tbl[[#This Row],[Closed_Date]]-Pipeline_tbl[[#This Row],[Created_Date]])</f>
        <v>21</v>
      </c>
    </row>
    <row r="6555" spans="1:21" ht="15" customHeight="1" x14ac:dyDescent="0.2">
      <c r="A6555" t="s">
        <v>6861</v>
      </c>
      <c r="B6555" t="s">
        <v>225</v>
      </c>
      <c r="C6555" t="s">
        <v>53</v>
      </c>
      <c r="D6555" s="49">
        <v>45761</v>
      </c>
      <c r="E6555" s="49">
        <v>45763</v>
      </c>
      <c r="F6555" s="49">
        <v>45767</v>
      </c>
      <c r="G6555" s="49">
        <v>45774</v>
      </c>
      <c r="I6555" s="49">
        <v>45782</v>
      </c>
      <c r="J6555" t="s">
        <v>49</v>
      </c>
      <c r="K6555" s="33">
        <v>6900</v>
      </c>
      <c r="L6555" t="s">
        <v>60</v>
      </c>
      <c r="M6555" t="str">
        <f>_xlfn.XLOOKUP(Pipeline_tbl[[#This Row],[Rep_ID]],Dim_Reps!A:A,Dim_Reps!K:K)</f>
        <v>USD</v>
      </c>
      <c r="N6555" s="33">
        <f>(_xlfn.XLOOKUP(Pipeline_tbl[[#This Row],[Rate_Code_Generalized]],Lookups!A:A,Lookups!B:B))*Pipeline_tbl[[#This Row],[Pipeline_Amount_USD]]</f>
        <v>8033.6699999999992</v>
      </c>
      <c r="O6555" t="str">
        <f>_xlfn.XLOOKUP(Pipeline_tbl[[#This Row],[Rep_ID]],Dim_Reps!A:A,Dim_Reps!B:B)</f>
        <v>Alex Muller</v>
      </c>
      <c r="P6555" t="str">
        <f>_xlfn.XLOOKUP(Pipeline_tbl[[#This Row],[Rep_ID]],Dim_Reps!A:A,Dim_Reps!C:C)</f>
        <v>SDR / Inside Sales Rep</v>
      </c>
      <c r="Q6555" t="str">
        <f>_xlfn.XLOOKUP(Pipeline_tbl[[#This Row],[Rep_ID]],Dim_Reps!A:A,Dim_Reps!D:D)</f>
        <v>Inside Sales</v>
      </c>
      <c r="R6555" t="str">
        <f>_xlfn.XLOOKUP(Pipeline_tbl[[#This Row],[Rep_ID]],Dim_Reps!A:A,Dim_Reps!E:E)</f>
        <v>NAMER</v>
      </c>
      <c r="S6555" t="str">
        <f>_xlfn.XLOOKUP(Pipeline_tbl[[#This Row],[Created_Date]],Dim_Date!A:A,Dim_Date!H:H)</f>
        <v>Apr 2025</v>
      </c>
      <c r="T6555" t="str">
        <f>IF(Pipeline_tbl[[#This Row],[Closed_Date]]=0,"",(_xlfn.XLOOKUP(Pipeline_tbl[[#This Row],[Closed_Date]],Dim_Date!A:A,Dim_Date!H:H)))</f>
        <v>May 2025</v>
      </c>
      <c r="U6555">
        <f>IF(Pipeline_tbl[[#This Row],[Closed_Date]]=0,"",Pipeline_tbl[[#This Row],[Closed_Date]]-Pipeline_tbl[[#This Row],[Created_Date]])</f>
        <v>21</v>
      </c>
    </row>
    <row r="6556" spans="1:21" ht="15" customHeight="1" x14ac:dyDescent="0.2">
      <c r="A6556" t="s">
        <v>6862</v>
      </c>
      <c r="B6556" t="s">
        <v>225</v>
      </c>
      <c r="C6556" t="s">
        <v>54</v>
      </c>
      <c r="D6556" s="49">
        <v>45774</v>
      </c>
      <c r="E6556" s="49">
        <v>45775</v>
      </c>
      <c r="F6556" s="49">
        <v>45777</v>
      </c>
      <c r="G6556" s="49">
        <v>45781</v>
      </c>
      <c r="H6556" s="49">
        <v>45783</v>
      </c>
      <c r="I6556" s="49">
        <v>45785</v>
      </c>
      <c r="J6556" t="s">
        <v>47</v>
      </c>
      <c r="K6556" s="33">
        <v>2200</v>
      </c>
      <c r="M6556" t="str">
        <f>_xlfn.XLOOKUP(Pipeline_tbl[[#This Row],[Rep_ID]],Dim_Reps!A:A,Dim_Reps!K:K)</f>
        <v>USD</v>
      </c>
      <c r="N6556" s="33">
        <f>(_xlfn.XLOOKUP(Pipeline_tbl[[#This Row],[Rate_Code_Generalized]],Lookups!A:A,Lookups!B:B))*Pipeline_tbl[[#This Row],[Pipeline_Amount_USD]]</f>
        <v>2561.4599999999996</v>
      </c>
      <c r="O6556" t="str">
        <f>_xlfn.XLOOKUP(Pipeline_tbl[[#This Row],[Rep_ID]],Dim_Reps!A:A,Dim_Reps!B:B)</f>
        <v>Alex Muller</v>
      </c>
      <c r="P6556" t="str">
        <f>_xlfn.XLOOKUP(Pipeline_tbl[[#This Row],[Rep_ID]],Dim_Reps!A:A,Dim_Reps!C:C)</f>
        <v>SDR / Inside Sales Rep</v>
      </c>
      <c r="Q6556" t="str">
        <f>_xlfn.XLOOKUP(Pipeline_tbl[[#This Row],[Rep_ID]],Dim_Reps!A:A,Dim_Reps!D:D)</f>
        <v>Inside Sales</v>
      </c>
      <c r="R6556" t="str">
        <f>_xlfn.XLOOKUP(Pipeline_tbl[[#This Row],[Rep_ID]],Dim_Reps!A:A,Dim_Reps!E:E)</f>
        <v>NAMER</v>
      </c>
      <c r="S6556" t="str">
        <f>_xlfn.XLOOKUP(Pipeline_tbl[[#This Row],[Created_Date]],Dim_Date!A:A,Dim_Date!H:H)</f>
        <v>Apr 2025</v>
      </c>
      <c r="T6556" t="str">
        <f>IF(Pipeline_tbl[[#This Row],[Closed_Date]]=0,"",(_xlfn.XLOOKUP(Pipeline_tbl[[#This Row],[Closed_Date]],Dim_Date!A:A,Dim_Date!H:H)))</f>
        <v>May 2025</v>
      </c>
      <c r="U6556">
        <f>IF(Pipeline_tbl[[#This Row],[Closed_Date]]=0,"",Pipeline_tbl[[#This Row],[Closed_Date]]-Pipeline_tbl[[#This Row],[Created_Date]])</f>
        <v>11</v>
      </c>
    </row>
    <row r="6557" spans="1:21" ht="15" customHeight="1" x14ac:dyDescent="0.2">
      <c r="A6557" t="s">
        <v>6863</v>
      </c>
      <c r="B6557" t="s">
        <v>225</v>
      </c>
      <c r="C6557" t="s">
        <v>53</v>
      </c>
      <c r="D6557" s="49">
        <v>45774</v>
      </c>
      <c r="E6557" s="49">
        <v>45776</v>
      </c>
      <c r="F6557" s="49">
        <v>45780</v>
      </c>
      <c r="G6557" s="49">
        <v>45785</v>
      </c>
      <c r="H6557" s="49">
        <v>45790</v>
      </c>
      <c r="I6557" s="49">
        <v>45793</v>
      </c>
      <c r="J6557" t="s">
        <v>47</v>
      </c>
      <c r="K6557" s="33">
        <v>7400</v>
      </c>
      <c r="M6557" t="str">
        <f>_xlfn.XLOOKUP(Pipeline_tbl[[#This Row],[Rep_ID]],Dim_Reps!A:A,Dim_Reps!K:K)</f>
        <v>USD</v>
      </c>
      <c r="N6557" s="33">
        <f>(_xlfn.XLOOKUP(Pipeline_tbl[[#This Row],[Rate_Code_Generalized]],Lookups!A:A,Lookups!B:B))*Pipeline_tbl[[#This Row],[Pipeline_Amount_USD]]</f>
        <v>8615.82</v>
      </c>
      <c r="O6557" t="str">
        <f>_xlfn.XLOOKUP(Pipeline_tbl[[#This Row],[Rep_ID]],Dim_Reps!A:A,Dim_Reps!B:B)</f>
        <v>Alex Muller</v>
      </c>
      <c r="P6557" t="str">
        <f>_xlfn.XLOOKUP(Pipeline_tbl[[#This Row],[Rep_ID]],Dim_Reps!A:A,Dim_Reps!C:C)</f>
        <v>SDR / Inside Sales Rep</v>
      </c>
      <c r="Q6557" t="str">
        <f>_xlfn.XLOOKUP(Pipeline_tbl[[#This Row],[Rep_ID]],Dim_Reps!A:A,Dim_Reps!D:D)</f>
        <v>Inside Sales</v>
      </c>
      <c r="R6557" t="str">
        <f>_xlfn.XLOOKUP(Pipeline_tbl[[#This Row],[Rep_ID]],Dim_Reps!A:A,Dim_Reps!E:E)</f>
        <v>NAMER</v>
      </c>
      <c r="S6557" t="str">
        <f>_xlfn.XLOOKUP(Pipeline_tbl[[#This Row],[Created_Date]],Dim_Date!A:A,Dim_Date!H:H)</f>
        <v>Apr 2025</v>
      </c>
      <c r="T6557" t="str">
        <f>IF(Pipeline_tbl[[#This Row],[Closed_Date]]=0,"",(_xlfn.XLOOKUP(Pipeline_tbl[[#This Row],[Closed_Date]],Dim_Date!A:A,Dim_Date!H:H)))</f>
        <v>May 2025</v>
      </c>
      <c r="U6557">
        <f>IF(Pipeline_tbl[[#This Row],[Closed_Date]]=0,"",Pipeline_tbl[[#This Row],[Closed_Date]]-Pipeline_tbl[[#This Row],[Created_Date]])</f>
        <v>19</v>
      </c>
    </row>
    <row r="6558" spans="1:21" ht="15" customHeight="1" x14ac:dyDescent="0.2">
      <c r="A6558" t="s">
        <v>6864</v>
      </c>
      <c r="B6558" t="s">
        <v>225</v>
      </c>
      <c r="C6558" t="s">
        <v>55</v>
      </c>
      <c r="D6558" s="49">
        <v>45775</v>
      </c>
      <c r="E6558" s="49">
        <v>45777</v>
      </c>
      <c r="F6558" s="49">
        <v>45780</v>
      </c>
      <c r="G6558" s="49">
        <v>45785</v>
      </c>
      <c r="H6558" s="49">
        <v>45789</v>
      </c>
      <c r="I6558" s="49">
        <v>45791</v>
      </c>
      <c r="J6558" t="s">
        <v>47</v>
      </c>
      <c r="K6558" s="33">
        <v>5400</v>
      </c>
      <c r="M6558" t="str">
        <f>_xlfn.XLOOKUP(Pipeline_tbl[[#This Row],[Rep_ID]],Dim_Reps!A:A,Dim_Reps!K:K)</f>
        <v>USD</v>
      </c>
      <c r="N6558" s="33">
        <f>(_xlfn.XLOOKUP(Pipeline_tbl[[#This Row],[Rate_Code_Generalized]],Lookups!A:A,Lookups!B:B))*Pipeline_tbl[[#This Row],[Pipeline_Amount_USD]]</f>
        <v>6287.2199999999993</v>
      </c>
      <c r="O6558" t="str">
        <f>_xlfn.XLOOKUP(Pipeline_tbl[[#This Row],[Rep_ID]],Dim_Reps!A:A,Dim_Reps!B:B)</f>
        <v>Alex Muller</v>
      </c>
      <c r="P6558" t="str">
        <f>_xlfn.XLOOKUP(Pipeline_tbl[[#This Row],[Rep_ID]],Dim_Reps!A:A,Dim_Reps!C:C)</f>
        <v>SDR / Inside Sales Rep</v>
      </c>
      <c r="Q6558" t="str">
        <f>_xlfn.XLOOKUP(Pipeline_tbl[[#This Row],[Rep_ID]],Dim_Reps!A:A,Dim_Reps!D:D)</f>
        <v>Inside Sales</v>
      </c>
      <c r="R6558" t="str">
        <f>_xlfn.XLOOKUP(Pipeline_tbl[[#This Row],[Rep_ID]],Dim_Reps!A:A,Dim_Reps!E:E)</f>
        <v>NAMER</v>
      </c>
      <c r="S6558" t="str">
        <f>_xlfn.XLOOKUP(Pipeline_tbl[[#This Row],[Created_Date]],Dim_Date!A:A,Dim_Date!H:H)</f>
        <v>Apr 2025</v>
      </c>
      <c r="T6558" t="str">
        <f>IF(Pipeline_tbl[[#This Row],[Closed_Date]]=0,"",(_xlfn.XLOOKUP(Pipeline_tbl[[#This Row],[Closed_Date]],Dim_Date!A:A,Dim_Date!H:H)))</f>
        <v>May 2025</v>
      </c>
      <c r="U6558">
        <f>IF(Pipeline_tbl[[#This Row],[Closed_Date]]=0,"",Pipeline_tbl[[#This Row],[Closed_Date]]-Pipeline_tbl[[#This Row],[Created_Date]])</f>
        <v>16</v>
      </c>
    </row>
    <row r="6559" spans="1:21" ht="15" customHeight="1" x14ac:dyDescent="0.2">
      <c r="A6559" t="s">
        <v>6865</v>
      </c>
      <c r="B6559" t="s">
        <v>227</v>
      </c>
      <c r="C6559" t="s">
        <v>52</v>
      </c>
      <c r="D6559" s="49">
        <v>45762</v>
      </c>
      <c r="E6559" s="49">
        <v>45765</v>
      </c>
      <c r="F6559" s="49">
        <v>45770</v>
      </c>
      <c r="G6559" s="49">
        <v>45778</v>
      </c>
      <c r="H6559" s="49">
        <v>45784</v>
      </c>
      <c r="I6559" s="49">
        <v>45788</v>
      </c>
      <c r="J6559" t="s">
        <v>47</v>
      </c>
      <c r="K6559" s="33">
        <v>3700</v>
      </c>
      <c r="M6559" t="str">
        <f>_xlfn.XLOOKUP(Pipeline_tbl[[#This Row],[Rep_ID]],Dim_Reps!A:A,Dim_Reps!K:K)</f>
        <v>EUR</v>
      </c>
      <c r="N6559" s="33">
        <f>(_xlfn.XLOOKUP(Pipeline_tbl[[#This Row],[Rate_Code_Generalized]],Lookups!A:A,Lookups!B:B))*Pipeline_tbl[[#This Row],[Pipeline_Amount_USD]]</f>
        <v>3700</v>
      </c>
      <c r="O6559" t="str">
        <f>_xlfn.XLOOKUP(Pipeline_tbl[[#This Row],[Rep_ID]],Dim_Reps!A:A,Dim_Reps!B:B)</f>
        <v>Liam Muller</v>
      </c>
      <c r="P6559" t="str">
        <f>_xlfn.XLOOKUP(Pipeline_tbl[[#This Row],[Rep_ID]],Dim_Reps!A:A,Dim_Reps!C:C)</f>
        <v>SDR / Inside Sales Rep</v>
      </c>
      <c r="Q6559" t="str">
        <f>_xlfn.XLOOKUP(Pipeline_tbl[[#This Row],[Rep_ID]],Dim_Reps!A:A,Dim_Reps!D:D)</f>
        <v>Inside Sales</v>
      </c>
      <c r="R6559" t="str">
        <f>_xlfn.XLOOKUP(Pipeline_tbl[[#This Row],[Rep_ID]],Dim_Reps!A:A,Dim_Reps!E:E)</f>
        <v>EMEA</v>
      </c>
      <c r="S6559" t="str">
        <f>_xlfn.XLOOKUP(Pipeline_tbl[[#This Row],[Created_Date]],Dim_Date!A:A,Dim_Date!H:H)</f>
        <v>Apr 2025</v>
      </c>
      <c r="T6559" t="str">
        <f>IF(Pipeline_tbl[[#This Row],[Closed_Date]]=0,"",(_xlfn.XLOOKUP(Pipeline_tbl[[#This Row],[Closed_Date]],Dim_Date!A:A,Dim_Date!H:H)))</f>
        <v>May 2025</v>
      </c>
      <c r="U6559">
        <f>IF(Pipeline_tbl[[#This Row],[Closed_Date]]=0,"",Pipeline_tbl[[#This Row],[Closed_Date]]-Pipeline_tbl[[#This Row],[Created_Date]])</f>
        <v>26</v>
      </c>
    </row>
    <row r="6560" spans="1:21" ht="15" customHeight="1" x14ac:dyDescent="0.2">
      <c r="A6560" t="s">
        <v>6866</v>
      </c>
      <c r="B6560" t="s">
        <v>227</v>
      </c>
      <c r="C6560" t="s">
        <v>52</v>
      </c>
      <c r="D6560" s="49">
        <v>45769</v>
      </c>
      <c r="E6560" s="49">
        <v>45770</v>
      </c>
      <c r="F6560" s="49">
        <v>45772</v>
      </c>
      <c r="G6560" s="49">
        <v>45775</v>
      </c>
      <c r="H6560" s="49">
        <v>45777</v>
      </c>
      <c r="I6560" s="49">
        <v>45779</v>
      </c>
      <c r="J6560" t="s">
        <v>47</v>
      </c>
      <c r="K6560" s="33">
        <v>5500</v>
      </c>
      <c r="M6560" t="str">
        <f>_xlfn.XLOOKUP(Pipeline_tbl[[#This Row],[Rep_ID]],Dim_Reps!A:A,Dim_Reps!K:K)</f>
        <v>EUR</v>
      </c>
      <c r="N6560" s="33">
        <f>(_xlfn.XLOOKUP(Pipeline_tbl[[#This Row],[Rate_Code_Generalized]],Lookups!A:A,Lookups!B:B))*Pipeline_tbl[[#This Row],[Pipeline_Amount_USD]]</f>
        <v>5500</v>
      </c>
      <c r="O6560" t="str">
        <f>_xlfn.XLOOKUP(Pipeline_tbl[[#This Row],[Rep_ID]],Dim_Reps!A:A,Dim_Reps!B:B)</f>
        <v>Liam Muller</v>
      </c>
      <c r="P6560" t="str">
        <f>_xlfn.XLOOKUP(Pipeline_tbl[[#This Row],[Rep_ID]],Dim_Reps!A:A,Dim_Reps!C:C)</f>
        <v>SDR / Inside Sales Rep</v>
      </c>
      <c r="Q6560" t="str">
        <f>_xlfn.XLOOKUP(Pipeline_tbl[[#This Row],[Rep_ID]],Dim_Reps!A:A,Dim_Reps!D:D)</f>
        <v>Inside Sales</v>
      </c>
      <c r="R6560" t="str">
        <f>_xlfn.XLOOKUP(Pipeline_tbl[[#This Row],[Rep_ID]],Dim_Reps!A:A,Dim_Reps!E:E)</f>
        <v>EMEA</v>
      </c>
      <c r="S6560" t="str">
        <f>_xlfn.XLOOKUP(Pipeline_tbl[[#This Row],[Created_Date]],Dim_Date!A:A,Dim_Date!H:H)</f>
        <v>Apr 2025</v>
      </c>
      <c r="T6560" t="str">
        <f>IF(Pipeline_tbl[[#This Row],[Closed_Date]]=0,"",(_xlfn.XLOOKUP(Pipeline_tbl[[#This Row],[Closed_Date]],Dim_Date!A:A,Dim_Date!H:H)))</f>
        <v>May 2025</v>
      </c>
      <c r="U6560">
        <f>IF(Pipeline_tbl[[#This Row],[Closed_Date]]=0,"",Pipeline_tbl[[#This Row],[Closed_Date]]-Pipeline_tbl[[#This Row],[Created_Date]])</f>
        <v>10</v>
      </c>
    </row>
    <row r="6561" spans="1:21" ht="15" customHeight="1" x14ac:dyDescent="0.2">
      <c r="A6561" t="s">
        <v>6867</v>
      </c>
      <c r="B6561" t="s">
        <v>227</v>
      </c>
      <c r="C6561" t="s">
        <v>54</v>
      </c>
      <c r="D6561" s="49">
        <v>45775</v>
      </c>
      <c r="E6561" s="49">
        <v>45777</v>
      </c>
      <c r="F6561" s="49">
        <v>45780</v>
      </c>
      <c r="G6561" s="49">
        <v>45784</v>
      </c>
      <c r="I6561" s="49">
        <v>45790</v>
      </c>
      <c r="J6561" t="s">
        <v>49</v>
      </c>
      <c r="K6561" s="33">
        <v>3200</v>
      </c>
      <c r="L6561" t="s">
        <v>62</v>
      </c>
      <c r="M6561" t="str">
        <f>_xlfn.XLOOKUP(Pipeline_tbl[[#This Row],[Rep_ID]],Dim_Reps!A:A,Dim_Reps!K:K)</f>
        <v>EUR</v>
      </c>
      <c r="N6561" s="33">
        <f>(_xlfn.XLOOKUP(Pipeline_tbl[[#This Row],[Rate_Code_Generalized]],Lookups!A:A,Lookups!B:B))*Pipeline_tbl[[#This Row],[Pipeline_Amount_USD]]</f>
        <v>3200</v>
      </c>
      <c r="O6561" t="str">
        <f>_xlfn.XLOOKUP(Pipeline_tbl[[#This Row],[Rep_ID]],Dim_Reps!A:A,Dim_Reps!B:B)</f>
        <v>Liam Muller</v>
      </c>
      <c r="P6561" t="str">
        <f>_xlfn.XLOOKUP(Pipeline_tbl[[#This Row],[Rep_ID]],Dim_Reps!A:A,Dim_Reps!C:C)</f>
        <v>SDR / Inside Sales Rep</v>
      </c>
      <c r="Q6561" t="str">
        <f>_xlfn.XLOOKUP(Pipeline_tbl[[#This Row],[Rep_ID]],Dim_Reps!A:A,Dim_Reps!D:D)</f>
        <v>Inside Sales</v>
      </c>
      <c r="R6561" t="str">
        <f>_xlfn.XLOOKUP(Pipeline_tbl[[#This Row],[Rep_ID]],Dim_Reps!A:A,Dim_Reps!E:E)</f>
        <v>EMEA</v>
      </c>
      <c r="S6561" t="str">
        <f>_xlfn.XLOOKUP(Pipeline_tbl[[#This Row],[Created_Date]],Dim_Date!A:A,Dim_Date!H:H)</f>
        <v>Apr 2025</v>
      </c>
      <c r="T6561" t="str">
        <f>IF(Pipeline_tbl[[#This Row],[Closed_Date]]=0,"",(_xlfn.XLOOKUP(Pipeline_tbl[[#This Row],[Closed_Date]],Dim_Date!A:A,Dim_Date!H:H)))</f>
        <v>May 2025</v>
      </c>
      <c r="U6561">
        <f>IF(Pipeline_tbl[[#This Row],[Closed_Date]]=0,"",Pipeline_tbl[[#This Row],[Closed_Date]]-Pipeline_tbl[[#This Row],[Created_Date]])</f>
        <v>15</v>
      </c>
    </row>
    <row r="6562" spans="1:21" ht="15" customHeight="1" x14ac:dyDescent="0.2">
      <c r="A6562" t="s">
        <v>6868</v>
      </c>
      <c r="B6562" t="s">
        <v>227</v>
      </c>
      <c r="C6562" t="s">
        <v>55</v>
      </c>
      <c r="D6562" s="49">
        <v>45763</v>
      </c>
      <c r="E6562" s="49">
        <v>45766</v>
      </c>
      <c r="F6562" s="49">
        <v>45771</v>
      </c>
      <c r="G6562" s="49">
        <v>45780</v>
      </c>
      <c r="I6562" s="49">
        <v>45791</v>
      </c>
      <c r="J6562" t="s">
        <v>49</v>
      </c>
      <c r="K6562" s="33">
        <v>3800</v>
      </c>
      <c r="L6562" t="s">
        <v>62</v>
      </c>
      <c r="M6562" t="str">
        <f>_xlfn.XLOOKUP(Pipeline_tbl[[#This Row],[Rep_ID]],Dim_Reps!A:A,Dim_Reps!K:K)</f>
        <v>EUR</v>
      </c>
      <c r="N6562" s="33">
        <f>(_xlfn.XLOOKUP(Pipeline_tbl[[#This Row],[Rate_Code_Generalized]],Lookups!A:A,Lookups!B:B))*Pipeline_tbl[[#This Row],[Pipeline_Amount_USD]]</f>
        <v>3800</v>
      </c>
      <c r="O6562" t="str">
        <f>_xlfn.XLOOKUP(Pipeline_tbl[[#This Row],[Rep_ID]],Dim_Reps!A:A,Dim_Reps!B:B)</f>
        <v>Liam Muller</v>
      </c>
      <c r="P6562" t="str">
        <f>_xlfn.XLOOKUP(Pipeline_tbl[[#This Row],[Rep_ID]],Dim_Reps!A:A,Dim_Reps!C:C)</f>
        <v>SDR / Inside Sales Rep</v>
      </c>
      <c r="Q6562" t="str">
        <f>_xlfn.XLOOKUP(Pipeline_tbl[[#This Row],[Rep_ID]],Dim_Reps!A:A,Dim_Reps!D:D)</f>
        <v>Inside Sales</v>
      </c>
      <c r="R6562" t="str">
        <f>_xlfn.XLOOKUP(Pipeline_tbl[[#This Row],[Rep_ID]],Dim_Reps!A:A,Dim_Reps!E:E)</f>
        <v>EMEA</v>
      </c>
      <c r="S6562" t="str">
        <f>_xlfn.XLOOKUP(Pipeline_tbl[[#This Row],[Created_Date]],Dim_Date!A:A,Dim_Date!H:H)</f>
        <v>Apr 2025</v>
      </c>
      <c r="T6562" t="str">
        <f>IF(Pipeline_tbl[[#This Row],[Closed_Date]]=0,"",(_xlfn.XLOOKUP(Pipeline_tbl[[#This Row],[Closed_Date]],Dim_Date!A:A,Dim_Date!H:H)))</f>
        <v>May 2025</v>
      </c>
      <c r="U6562">
        <f>IF(Pipeline_tbl[[#This Row],[Closed_Date]]=0,"",Pipeline_tbl[[#This Row],[Closed_Date]]-Pipeline_tbl[[#This Row],[Created_Date]])</f>
        <v>28</v>
      </c>
    </row>
    <row r="6563" spans="1:21" ht="15" customHeight="1" x14ac:dyDescent="0.2">
      <c r="A6563" t="s">
        <v>6869</v>
      </c>
      <c r="B6563" t="s">
        <v>227</v>
      </c>
      <c r="C6563" t="s">
        <v>53</v>
      </c>
      <c r="D6563" s="49">
        <v>45764</v>
      </c>
      <c r="E6563" s="49">
        <v>45766</v>
      </c>
      <c r="F6563" s="49">
        <v>45770</v>
      </c>
      <c r="G6563" s="49">
        <v>45777</v>
      </c>
      <c r="H6563" s="49">
        <v>45782</v>
      </c>
      <c r="I6563" s="49">
        <v>45785</v>
      </c>
      <c r="J6563" t="s">
        <v>47</v>
      </c>
      <c r="K6563" s="33">
        <v>3100</v>
      </c>
      <c r="M6563" t="str">
        <f>_xlfn.XLOOKUP(Pipeline_tbl[[#This Row],[Rep_ID]],Dim_Reps!A:A,Dim_Reps!K:K)</f>
        <v>EUR</v>
      </c>
      <c r="N6563" s="33">
        <f>(_xlfn.XLOOKUP(Pipeline_tbl[[#This Row],[Rate_Code_Generalized]],Lookups!A:A,Lookups!B:B))*Pipeline_tbl[[#This Row],[Pipeline_Amount_USD]]</f>
        <v>3100</v>
      </c>
      <c r="O6563" t="str">
        <f>_xlfn.XLOOKUP(Pipeline_tbl[[#This Row],[Rep_ID]],Dim_Reps!A:A,Dim_Reps!B:B)</f>
        <v>Liam Muller</v>
      </c>
      <c r="P6563" t="str">
        <f>_xlfn.XLOOKUP(Pipeline_tbl[[#This Row],[Rep_ID]],Dim_Reps!A:A,Dim_Reps!C:C)</f>
        <v>SDR / Inside Sales Rep</v>
      </c>
      <c r="Q6563" t="str">
        <f>_xlfn.XLOOKUP(Pipeline_tbl[[#This Row],[Rep_ID]],Dim_Reps!A:A,Dim_Reps!D:D)</f>
        <v>Inside Sales</v>
      </c>
      <c r="R6563" t="str">
        <f>_xlfn.XLOOKUP(Pipeline_tbl[[#This Row],[Rep_ID]],Dim_Reps!A:A,Dim_Reps!E:E)</f>
        <v>EMEA</v>
      </c>
      <c r="S6563" t="str">
        <f>_xlfn.XLOOKUP(Pipeline_tbl[[#This Row],[Created_Date]],Dim_Date!A:A,Dim_Date!H:H)</f>
        <v>Apr 2025</v>
      </c>
      <c r="T6563" t="str">
        <f>IF(Pipeline_tbl[[#This Row],[Closed_Date]]=0,"",(_xlfn.XLOOKUP(Pipeline_tbl[[#This Row],[Closed_Date]],Dim_Date!A:A,Dim_Date!H:H)))</f>
        <v>May 2025</v>
      </c>
      <c r="U6563">
        <f>IF(Pipeline_tbl[[#This Row],[Closed_Date]]=0,"",Pipeline_tbl[[#This Row],[Closed_Date]]-Pipeline_tbl[[#This Row],[Created_Date]])</f>
        <v>21</v>
      </c>
    </row>
    <row r="6564" spans="1:21" ht="15" customHeight="1" x14ac:dyDescent="0.2">
      <c r="A6564" t="s">
        <v>6870</v>
      </c>
      <c r="B6564" t="s">
        <v>227</v>
      </c>
      <c r="C6564" t="s">
        <v>52</v>
      </c>
      <c r="D6564" s="49">
        <v>45768</v>
      </c>
      <c r="E6564" s="49">
        <v>45769</v>
      </c>
      <c r="F6564" s="49">
        <v>45772</v>
      </c>
      <c r="I6564" s="49">
        <v>45782</v>
      </c>
      <c r="J6564" t="s">
        <v>49</v>
      </c>
      <c r="K6564" s="33">
        <v>3000</v>
      </c>
      <c r="L6564" t="s">
        <v>62</v>
      </c>
      <c r="M6564" t="str">
        <f>_xlfn.XLOOKUP(Pipeline_tbl[[#This Row],[Rep_ID]],Dim_Reps!A:A,Dim_Reps!K:K)</f>
        <v>EUR</v>
      </c>
      <c r="N6564" s="33">
        <f>(_xlfn.XLOOKUP(Pipeline_tbl[[#This Row],[Rate_Code_Generalized]],Lookups!A:A,Lookups!B:B))*Pipeline_tbl[[#This Row],[Pipeline_Amount_USD]]</f>
        <v>3000</v>
      </c>
      <c r="O6564" t="str">
        <f>_xlfn.XLOOKUP(Pipeline_tbl[[#This Row],[Rep_ID]],Dim_Reps!A:A,Dim_Reps!B:B)</f>
        <v>Liam Muller</v>
      </c>
      <c r="P6564" t="str">
        <f>_xlfn.XLOOKUP(Pipeline_tbl[[#This Row],[Rep_ID]],Dim_Reps!A:A,Dim_Reps!C:C)</f>
        <v>SDR / Inside Sales Rep</v>
      </c>
      <c r="Q6564" t="str">
        <f>_xlfn.XLOOKUP(Pipeline_tbl[[#This Row],[Rep_ID]],Dim_Reps!A:A,Dim_Reps!D:D)</f>
        <v>Inside Sales</v>
      </c>
      <c r="R6564" t="str">
        <f>_xlfn.XLOOKUP(Pipeline_tbl[[#This Row],[Rep_ID]],Dim_Reps!A:A,Dim_Reps!E:E)</f>
        <v>EMEA</v>
      </c>
      <c r="S6564" t="str">
        <f>_xlfn.XLOOKUP(Pipeline_tbl[[#This Row],[Created_Date]],Dim_Date!A:A,Dim_Date!H:H)</f>
        <v>Apr 2025</v>
      </c>
      <c r="T6564" t="str">
        <f>IF(Pipeline_tbl[[#This Row],[Closed_Date]]=0,"",(_xlfn.XLOOKUP(Pipeline_tbl[[#This Row],[Closed_Date]],Dim_Date!A:A,Dim_Date!H:H)))</f>
        <v>May 2025</v>
      </c>
      <c r="U6564">
        <f>IF(Pipeline_tbl[[#This Row],[Closed_Date]]=0,"",Pipeline_tbl[[#This Row],[Closed_Date]]-Pipeline_tbl[[#This Row],[Created_Date]])</f>
        <v>14</v>
      </c>
    </row>
    <row r="6565" spans="1:21" ht="15" customHeight="1" x14ac:dyDescent="0.2">
      <c r="A6565" t="s">
        <v>6871</v>
      </c>
      <c r="B6565" t="s">
        <v>227</v>
      </c>
      <c r="C6565" t="s">
        <v>54</v>
      </c>
      <c r="D6565" s="49">
        <v>45758</v>
      </c>
      <c r="E6565" s="49">
        <v>45760</v>
      </c>
      <c r="F6565" s="49">
        <v>45765</v>
      </c>
      <c r="G6565" s="49">
        <v>45772</v>
      </c>
      <c r="H6565" s="49">
        <v>45778</v>
      </c>
      <c r="I6565" s="49">
        <v>45782</v>
      </c>
      <c r="J6565" t="s">
        <v>47</v>
      </c>
      <c r="K6565" s="33">
        <v>17800</v>
      </c>
      <c r="M6565" t="str">
        <f>_xlfn.XLOOKUP(Pipeline_tbl[[#This Row],[Rep_ID]],Dim_Reps!A:A,Dim_Reps!K:K)</f>
        <v>EUR</v>
      </c>
      <c r="N6565" s="33">
        <f>(_xlfn.XLOOKUP(Pipeline_tbl[[#This Row],[Rate_Code_Generalized]],Lookups!A:A,Lookups!B:B))*Pipeline_tbl[[#This Row],[Pipeline_Amount_USD]]</f>
        <v>17800</v>
      </c>
      <c r="O6565" t="str">
        <f>_xlfn.XLOOKUP(Pipeline_tbl[[#This Row],[Rep_ID]],Dim_Reps!A:A,Dim_Reps!B:B)</f>
        <v>Liam Muller</v>
      </c>
      <c r="P6565" t="str">
        <f>_xlfn.XLOOKUP(Pipeline_tbl[[#This Row],[Rep_ID]],Dim_Reps!A:A,Dim_Reps!C:C)</f>
        <v>SDR / Inside Sales Rep</v>
      </c>
      <c r="Q6565" t="str">
        <f>_xlfn.XLOOKUP(Pipeline_tbl[[#This Row],[Rep_ID]],Dim_Reps!A:A,Dim_Reps!D:D)</f>
        <v>Inside Sales</v>
      </c>
      <c r="R6565" t="str">
        <f>_xlfn.XLOOKUP(Pipeline_tbl[[#This Row],[Rep_ID]],Dim_Reps!A:A,Dim_Reps!E:E)</f>
        <v>EMEA</v>
      </c>
      <c r="S6565" t="str">
        <f>_xlfn.XLOOKUP(Pipeline_tbl[[#This Row],[Created_Date]],Dim_Date!A:A,Dim_Date!H:H)</f>
        <v>Apr 2025</v>
      </c>
      <c r="T6565" t="str">
        <f>IF(Pipeline_tbl[[#This Row],[Closed_Date]]=0,"",(_xlfn.XLOOKUP(Pipeline_tbl[[#This Row],[Closed_Date]],Dim_Date!A:A,Dim_Date!H:H)))</f>
        <v>May 2025</v>
      </c>
      <c r="U6565">
        <f>IF(Pipeline_tbl[[#This Row],[Closed_Date]]=0,"",Pipeline_tbl[[#This Row],[Closed_Date]]-Pipeline_tbl[[#This Row],[Created_Date]])</f>
        <v>24</v>
      </c>
    </row>
    <row r="6566" spans="1:21" ht="15" customHeight="1" x14ac:dyDescent="0.2">
      <c r="A6566" t="s">
        <v>6872</v>
      </c>
      <c r="B6566" t="s">
        <v>227</v>
      </c>
      <c r="C6566" t="s">
        <v>55</v>
      </c>
      <c r="D6566" s="49">
        <v>45767</v>
      </c>
      <c r="E6566" s="49">
        <v>45769</v>
      </c>
      <c r="F6566" s="49">
        <v>45772</v>
      </c>
      <c r="G6566" s="49">
        <v>45777</v>
      </c>
      <c r="H6566" s="49">
        <v>45781</v>
      </c>
      <c r="I6566" s="49">
        <v>45783</v>
      </c>
      <c r="J6566" t="s">
        <v>47</v>
      </c>
      <c r="K6566" s="33">
        <v>2600</v>
      </c>
      <c r="M6566" t="str">
        <f>_xlfn.XLOOKUP(Pipeline_tbl[[#This Row],[Rep_ID]],Dim_Reps!A:A,Dim_Reps!K:K)</f>
        <v>EUR</v>
      </c>
      <c r="N6566" s="33">
        <f>(_xlfn.XLOOKUP(Pipeline_tbl[[#This Row],[Rate_Code_Generalized]],Lookups!A:A,Lookups!B:B))*Pipeline_tbl[[#This Row],[Pipeline_Amount_USD]]</f>
        <v>2600</v>
      </c>
      <c r="O6566" t="str">
        <f>_xlfn.XLOOKUP(Pipeline_tbl[[#This Row],[Rep_ID]],Dim_Reps!A:A,Dim_Reps!B:B)</f>
        <v>Liam Muller</v>
      </c>
      <c r="P6566" t="str">
        <f>_xlfn.XLOOKUP(Pipeline_tbl[[#This Row],[Rep_ID]],Dim_Reps!A:A,Dim_Reps!C:C)</f>
        <v>SDR / Inside Sales Rep</v>
      </c>
      <c r="Q6566" t="str">
        <f>_xlfn.XLOOKUP(Pipeline_tbl[[#This Row],[Rep_ID]],Dim_Reps!A:A,Dim_Reps!D:D)</f>
        <v>Inside Sales</v>
      </c>
      <c r="R6566" t="str">
        <f>_xlfn.XLOOKUP(Pipeline_tbl[[#This Row],[Rep_ID]],Dim_Reps!A:A,Dim_Reps!E:E)</f>
        <v>EMEA</v>
      </c>
      <c r="S6566" t="str">
        <f>_xlfn.XLOOKUP(Pipeline_tbl[[#This Row],[Created_Date]],Dim_Date!A:A,Dim_Date!H:H)</f>
        <v>Apr 2025</v>
      </c>
      <c r="T6566" t="str">
        <f>IF(Pipeline_tbl[[#This Row],[Closed_Date]]=0,"",(_xlfn.XLOOKUP(Pipeline_tbl[[#This Row],[Closed_Date]],Dim_Date!A:A,Dim_Date!H:H)))</f>
        <v>May 2025</v>
      </c>
      <c r="U6566">
        <f>IF(Pipeline_tbl[[#This Row],[Closed_Date]]=0,"",Pipeline_tbl[[#This Row],[Closed_Date]]-Pipeline_tbl[[#This Row],[Created_Date]])</f>
        <v>16</v>
      </c>
    </row>
    <row r="6567" spans="1:21" ht="15" customHeight="1" x14ac:dyDescent="0.2">
      <c r="A6567" t="s">
        <v>6873</v>
      </c>
      <c r="B6567" t="s">
        <v>227</v>
      </c>
      <c r="C6567" t="s">
        <v>54</v>
      </c>
      <c r="D6567" s="49">
        <v>45760</v>
      </c>
      <c r="E6567" s="49">
        <v>45762</v>
      </c>
      <c r="F6567" s="49">
        <v>45766</v>
      </c>
      <c r="G6567" s="49">
        <v>45772</v>
      </c>
      <c r="H6567" s="49">
        <v>45777</v>
      </c>
      <c r="I6567" s="49">
        <v>45780</v>
      </c>
      <c r="J6567" t="s">
        <v>47</v>
      </c>
      <c r="K6567" s="33">
        <v>2200</v>
      </c>
      <c r="M6567" t="str">
        <f>_xlfn.XLOOKUP(Pipeline_tbl[[#This Row],[Rep_ID]],Dim_Reps!A:A,Dim_Reps!K:K)</f>
        <v>EUR</v>
      </c>
      <c r="N6567" s="33">
        <f>(_xlfn.XLOOKUP(Pipeline_tbl[[#This Row],[Rate_Code_Generalized]],Lookups!A:A,Lookups!B:B))*Pipeline_tbl[[#This Row],[Pipeline_Amount_USD]]</f>
        <v>2200</v>
      </c>
      <c r="O6567" t="str">
        <f>_xlfn.XLOOKUP(Pipeline_tbl[[#This Row],[Rep_ID]],Dim_Reps!A:A,Dim_Reps!B:B)</f>
        <v>Liam Muller</v>
      </c>
      <c r="P6567" t="str">
        <f>_xlfn.XLOOKUP(Pipeline_tbl[[#This Row],[Rep_ID]],Dim_Reps!A:A,Dim_Reps!C:C)</f>
        <v>SDR / Inside Sales Rep</v>
      </c>
      <c r="Q6567" t="str">
        <f>_xlfn.XLOOKUP(Pipeline_tbl[[#This Row],[Rep_ID]],Dim_Reps!A:A,Dim_Reps!D:D)</f>
        <v>Inside Sales</v>
      </c>
      <c r="R6567" t="str">
        <f>_xlfn.XLOOKUP(Pipeline_tbl[[#This Row],[Rep_ID]],Dim_Reps!A:A,Dim_Reps!E:E)</f>
        <v>EMEA</v>
      </c>
      <c r="S6567" t="str">
        <f>_xlfn.XLOOKUP(Pipeline_tbl[[#This Row],[Created_Date]],Dim_Date!A:A,Dim_Date!H:H)</f>
        <v>Apr 2025</v>
      </c>
      <c r="T6567" t="str">
        <f>IF(Pipeline_tbl[[#This Row],[Closed_Date]]=0,"",(_xlfn.XLOOKUP(Pipeline_tbl[[#This Row],[Closed_Date]],Dim_Date!A:A,Dim_Date!H:H)))</f>
        <v>May 2025</v>
      </c>
      <c r="U6567">
        <f>IF(Pipeline_tbl[[#This Row],[Closed_Date]]=0,"",Pipeline_tbl[[#This Row],[Closed_Date]]-Pipeline_tbl[[#This Row],[Created_Date]])</f>
        <v>20</v>
      </c>
    </row>
    <row r="6568" spans="1:21" ht="15" customHeight="1" x14ac:dyDescent="0.2">
      <c r="A6568" t="s">
        <v>6874</v>
      </c>
      <c r="B6568" t="s">
        <v>227</v>
      </c>
      <c r="C6568" t="s">
        <v>54</v>
      </c>
      <c r="D6568" s="49">
        <v>45767</v>
      </c>
      <c r="E6568" s="49">
        <v>45769</v>
      </c>
      <c r="F6568" s="49">
        <v>45775</v>
      </c>
      <c r="I6568" s="49">
        <v>45792</v>
      </c>
      <c r="J6568" t="s">
        <v>49</v>
      </c>
      <c r="K6568" s="33">
        <v>2100</v>
      </c>
      <c r="L6568" t="s">
        <v>64</v>
      </c>
      <c r="M6568" t="str">
        <f>_xlfn.XLOOKUP(Pipeline_tbl[[#This Row],[Rep_ID]],Dim_Reps!A:A,Dim_Reps!K:K)</f>
        <v>EUR</v>
      </c>
      <c r="N6568" s="33">
        <f>(_xlfn.XLOOKUP(Pipeline_tbl[[#This Row],[Rate_Code_Generalized]],Lookups!A:A,Lookups!B:B))*Pipeline_tbl[[#This Row],[Pipeline_Amount_USD]]</f>
        <v>2100</v>
      </c>
      <c r="O6568" t="str">
        <f>_xlfn.XLOOKUP(Pipeline_tbl[[#This Row],[Rep_ID]],Dim_Reps!A:A,Dim_Reps!B:B)</f>
        <v>Liam Muller</v>
      </c>
      <c r="P6568" t="str">
        <f>_xlfn.XLOOKUP(Pipeline_tbl[[#This Row],[Rep_ID]],Dim_Reps!A:A,Dim_Reps!C:C)</f>
        <v>SDR / Inside Sales Rep</v>
      </c>
      <c r="Q6568" t="str">
        <f>_xlfn.XLOOKUP(Pipeline_tbl[[#This Row],[Rep_ID]],Dim_Reps!A:A,Dim_Reps!D:D)</f>
        <v>Inside Sales</v>
      </c>
      <c r="R6568" t="str">
        <f>_xlfn.XLOOKUP(Pipeline_tbl[[#This Row],[Rep_ID]],Dim_Reps!A:A,Dim_Reps!E:E)</f>
        <v>EMEA</v>
      </c>
      <c r="S6568" t="str">
        <f>_xlfn.XLOOKUP(Pipeline_tbl[[#This Row],[Created_Date]],Dim_Date!A:A,Dim_Date!H:H)</f>
        <v>Apr 2025</v>
      </c>
      <c r="T6568" t="str">
        <f>IF(Pipeline_tbl[[#This Row],[Closed_Date]]=0,"",(_xlfn.XLOOKUP(Pipeline_tbl[[#This Row],[Closed_Date]],Dim_Date!A:A,Dim_Date!H:H)))</f>
        <v>May 2025</v>
      </c>
      <c r="U6568">
        <f>IF(Pipeline_tbl[[#This Row],[Closed_Date]]=0,"",Pipeline_tbl[[#This Row],[Closed_Date]]-Pipeline_tbl[[#This Row],[Created_Date]])</f>
        <v>25</v>
      </c>
    </row>
    <row r="6569" spans="1:21" ht="15" customHeight="1" x14ac:dyDescent="0.2">
      <c r="A6569" t="s">
        <v>6875</v>
      </c>
      <c r="B6569" t="s">
        <v>191</v>
      </c>
      <c r="C6569" t="s">
        <v>54</v>
      </c>
      <c r="D6569" s="49">
        <v>45751</v>
      </c>
      <c r="E6569" s="49">
        <v>45755</v>
      </c>
      <c r="F6569" s="49">
        <v>45763</v>
      </c>
      <c r="I6569" s="49">
        <v>45791</v>
      </c>
      <c r="J6569" t="s">
        <v>49</v>
      </c>
      <c r="K6569" s="33">
        <v>46700</v>
      </c>
      <c r="L6569" t="s">
        <v>62</v>
      </c>
      <c r="M6569" t="str">
        <f>_xlfn.XLOOKUP(Pipeline_tbl[[#This Row],[Rep_ID]],Dim_Reps!A:A,Dim_Reps!K:K)</f>
        <v>USD</v>
      </c>
      <c r="N6569" s="33">
        <f>(_xlfn.XLOOKUP(Pipeline_tbl[[#This Row],[Rate_Code_Generalized]],Lookups!A:A,Lookups!B:B))*Pipeline_tbl[[#This Row],[Pipeline_Amount_USD]]</f>
        <v>54372.81</v>
      </c>
      <c r="O6569" t="str">
        <f>_xlfn.XLOOKUP(Pipeline_tbl[[#This Row],[Rep_ID]],Dim_Reps!A:A,Dim_Reps!B:B)</f>
        <v>Zara Duarte</v>
      </c>
      <c r="P6569" t="str">
        <f>_xlfn.XLOOKUP(Pipeline_tbl[[#This Row],[Rep_ID]],Dim_Reps!A:A,Dim_Reps!C:C)</f>
        <v>Enterprise AE</v>
      </c>
      <c r="Q6569" t="str">
        <f>_xlfn.XLOOKUP(Pipeline_tbl[[#This Row],[Rep_ID]],Dim_Reps!A:A,Dim_Reps!D:D)</f>
        <v>Enterprise</v>
      </c>
      <c r="R6569" t="str">
        <f>_xlfn.XLOOKUP(Pipeline_tbl[[#This Row],[Rep_ID]],Dim_Reps!A:A,Dim_Reps!E:E)</f>
        <v>NAMER</v>
      </c>
      <c r="S6569" t="str">
        <f>_xlfn.XLOOKUP(Pipeline_tbl[[#This Row],[Created_Date]],Dim_Date!A:A,Dim_Date!H:H)</f>
        <v>Apr 2025</v>
      </c>
      <c r="T6569" t="str">
        <f>IF(Pipeline_tbl[[#This Row],[Closed_Date]]=0,"",(_xlfn.XLOOKUP(Pipeline_tbl[[#This Row],[Closed_Date]],Dim_Date!A:A,Dim_Date!H:H)))</f>
        <v>May 2025</v>
      </c>
      <c r="U6569">
        <f>IF(Pipeline_tbl[[#This Row],[Closed_Date]]=0,"",Pipeline_tbl[[#This Row],[Closed_Date]]-Pipeline_tbl[[#This Row],[Created_Date]])</f>
        <v>40</v>
      </c>
    </row>
    <row r="6570" spans="1:21" ht="15" customHeight="1" x14ac:dyDescent="0.2">
      <c r="A6570" t="s">
        <v>6876</v>
      </c>
      <c r="B6570" t="s">
        <v>229</v>
      </c>
      <c r="C6570" t="s">
        <v>52</v>
      </c>
      <c r="D6570" s="49">
        <v>45777</v>
      </c>
      <c r="E6570" s="49">
        <v>45779</v>
      </c>
      <c r="F6570" s="49">
        <v>45784</v>
      </c>
      <c r="G6570" s="49">
        <v>45791</v>
      </c>
      <c r="H6570" s="49">
        <v>45797</v>
      </c>
      <c r="I6570" s="49">
        <v>45801</v>
      </c>
      <c r="J6570" t="s">
        <v>47</v>
      </c>
      <c r="K6570" s="33">
        <v>2400</v>
      </c>
      <c r="M6570" t="str">
        <f>_xlfn.XLOOKUP(Pipeline_tbl[[#This Row],[Rep_ID]],Dim_Reps!A:A,Dim_Reps!K:K)</f>
        <v>USD</v>
      </c>
      <c r="N6570" s="33">
        <f>(_xlfn.XLOOKUP(Pipeline_tbl[[#This Row],[Rate_Code_Generalized]],Lookups!A:A,Lookups!B:B))*Pipeline_tbl[[#This Row],[Pipeline_Amount_USD]]</f>
        <v>2794.3199999999997</v>
      </c>
      <c r="O6570" t="str">
        <f>_xlfn.XLOOKUP(Pipeline_tbl[[#This Row],[Rep_ID]],Dim_Reps!A:A,Dim_Reps!B:B)</f>
        <v>Liam Castro</v>
      </c>
      <c r="P6570" t="str">
        <f>_xlfn.XLOOKUP(Pipeline_tbl[[#This Row],[Rep_ID]],Dim_Reps!A:A,Dim_Reps!C:C)</f>
        <v>SDR / Inside Sales Rep</v>
      </c>
      <c r="Q6570" t="str">
        <f>_xlfn.XLOOKUP(Pipeline_tbl[[#This Row],[Rep_ID]],Dim_Reps!A:A,Dim_Reps!D:D)</f>
        <v>Inside Sales</v>
      </c>
      <c r="R6570" t="str">
        <f>_xlfn.XLOOKUP(Pipeline_tbl[[#This Row],[Rep_ID]],Dim_Reps!A:A,Dim_Reps!E:E)</f>
        <v>NAMER</v>
      </c>
      <c r="S6570" t="str">
        <f>_xlfn.XLOOKUP(Pipeline_tbl[[#This Row],[Created_Date]],Dim_Date!A:A,Dim_Date!H:H)</f>
        <v>Apr 2025</v>
      </c>
      <c r="T6570" t="str">
        <f>IF(Pipeline_tbl[[#This Row],[Closed_Date]]=0,"",(_xlfn.XLOOKUP(Pipeline_tbl[[#This Row],[Closed_Date]],Dim_Date!A:A,Dim_Date!H:H)))</f>
        <v>May 2025</v>
      </c>
      <c r="U6570">
        <f>IF(Pipeline_tbl[[#This Row],[Closed_Date]]=0,"",Pipeline_tbl[[#This Row],[Closed_Date]]-Pipeline_tbl[[#This Row],[Created_Date]])</f>
        <v>24</v>
      </c>
    </row>
    <row r="6571" spans="1:21" ht="15" customHeight="1" x14ac:dyDescent="0.2">
      <c r="A6571" t="s">
        <v>6877</v>
      </c>
      <c r="B6571" t="s">
        <v>229</v>
      </c>
      <c r="C6571" t="s">
        <v>56</v>
      </c>
      <c r="D6571" s="49">
        <v>45773</v>
      </c>
      <c r="E6571" s="49">
        <v>45775</v>
      </c>
      <c r="F6571" s="49">
        <v>45779</v>
      </c>
      <c r="I6571" s="49">
        <v>45793</v>
      </c>
      <c r="J6571" t="s">
        <v>49</v>
      </c>
      <c r="K6571" s="33">
        <v>5400</v>
      </c>
      <c r="L6571" t="s">
        <v>62</v>
      </c>
      <c r="M6571" t="str">
        <f>_xlfn.XLOOKUP(Pipeline_tbl[[#This Row],[Rep_ID]],Dim_Reps!A:A,Dim_Reps!K:K)</f>
        <v>USD</v>
      </c>
      <c r="N6571" s="33">
        <f>(_xlfn.XLOOKUP(Pipeline_tbl[[#This Row],[Rate_Code_Generalized]],Lookups!A:A,Lookups!B:B))*Pipeline_tbl[[#This Row],[Pipeline_Amount_USD]]</f>
        <v>6287.2199999999993</v>
      </c>
      <c r="O6571" t="str">
        <f>_xlfn.XLOOKUP(Pipeline_tbl[[#This Row],[Rep_ID]],Dim_Reps!A:A,Dim_Reps!B:B)</f>
        <v>Liam Castro</v>
      </c>
      <c r="P6571" t="str">
        <f>_xlfn.XLOOKUP(Pipeline_tbl[[#This Row],[Rep_ID]],Dim_Reps!A:A,Dim_Reps!C:C)</f>
        <v>SDR / Inside Sales Rep</v>
      </c>
      <c r="Q6571" t="str">
        <f>_xlfn.XLOOKUP(Pipeline_tbl[[#This Row],[Rep_ID]],Dim_Reps!A:A,Dim_Reps!D:D)</f>
        <v>Inside Sales</v>
      </c>
      <c r="R6571" t="str">
        <f>_xlfn.XLOOKUP(Pipeline_tbl[[#This Row],[Rep_ID]],Dim_Reps!A:A,Dim_Reps!E:E)</f>
        <v>NAMER</v>
      </c>
      <c r="S6571" t="str">
        <f>_xlfn.XLOOKUP(Pipeline_tbl[[#This Row],[Created_Date]],Dim_Date!A:A,Dim_Date!H:H)</f>
        <v>Apr 2025</v>
      </c>
      <c r="T6571" t="str">
        <f>IF(Pipeline_tbl[[#This Row],[Closed_Date]]=0,"",(_xlfn.XLOOKUP(Pipeline_tbl[[#This Row],[Closed_Date]],Dim_Date!A:A,Dim_Date!H:H)))</f>
        <v>May 2025</v>
      </c>
      <c r="U6571">
        <f>IF(Pipeline_tbl[[#This Row],[Closed_Date]]=0,"",Pipeline_tbl[[#This Row],[Closed_Date]]-Pipeline_tbl[[#This Row],[Created_Date]])</f>
        <v>20</v>
      </c>
    </row>
    <row r="6572" spans="1:21" ht="15" customHeight="1" x14ac:dyDescent="0.2">
      <c r="A6572" t="s">
        <v>6878</v>
      </c>
      <c r="B6572" t="s">
        <v>229</v>
      </c>
      <c r="C6572" t="s">
        <v>56</v>
      </c>
      <c r="D6572" s="49">
        <v>45752</v>
      </c>
      <c r="E6572" s="49">
        <v>45755</v>
      </c>
      <c r="I6572" s="49">
        <v>45780</v>
      </c>
      <c r="J6572" t="s">
        <v>49</v>
      </c>
      <c r="K6572" s="33">
        <v>8100</v>
      </c>
      <c r="L6572" t="s">
        <v>64</v>
      </c>
      <c r="M6572" t="str">
        <f>_xlfn.XLOOKUP(Pipeline_tbl[[#This Row],[Rep_ID]],Dim_Reps!A:A,Dim_Reps!K:K)</f>
        <v>USD</v>
      </c>
      <c r="N6572" s="33">
        <f>(_xlfn.XLOOKUP(Pipeline_tbl[[#This Row],[Rate_Code_Generalized]],Lookups!A:A,Lookups!B:B))*Pipeline_tbl[[#This Row],[Pipeline_Amount_USD]]</f>
        <v>9430.83</v>
      </c>
      <c r="O6572" t="str">
        <f>_xlfn.XLOOKUP(Pipeline_tbl[[#This Row],[Rep_ID]],Dim_Reps!A:A,Dim_Reps!B:B)</f>
        <v>Liam Castro</v>
      </c>
      <c r="P6572" t="str">
        <f>_xlfn.XLOOKUP(Pipeline_tbl[[#This Row],[Rep_ID]],Dim_Reps!A:A,Dim_Reps!C:C)</f>
        <v>SDR / Inside Sales Rep</v>
      </c>
      <c r="Q6572" t="str">
        <f>_xlfn.XLOOKUP(Pipeline_tbl[[#This Row],[Rep_ID]],Dim_Reps!A:A,Dim_Reps!D:D)</f>
        <v>Inside Sales</v>
      </c>
      <c r="R6572" t="str">
        <f>_xlfn.XLOOKUP(Pipeline_tbl[[#This Row],[Rep_ID]],Dim_Reps!A:A,Dim_Reps!E:E)</f>
        <v>NAMER</v>
      </c>
      <c r="S6572" t="str">
        <f>_xlfn.XLOOKUP(Pipeline_tbl[[#This Row],[Created_Date]],Dim_Date!A:A,Dim_Date!H:H)</f>
        <v>Apr 2025</v>
      </c>
      <c r="T6572" t="str">
        <f>IF(Pipeline_tbl[[#This Row],[Closed_Date]]=0,"",(_xlfn.XLOOKUP(Pipeline_tbl[[#This Row],[Closed_Date]],Dim_Date!A:A,Dim_Date!H:H)))</f>
        <v>May 2025</v>
      </c>
      <c r="U6572">
        <f>IF(Pipeline_tbl[[#This Row],[Closed_Date]]=0,"",Pipeline_tbl[[#This Row],[Closed_Date]]-Pipeline_tbl[[#This Row],[Created_Date]])</f>
        <v>28</v>
      </c>
    </row>
    <row r="6573" spans="1:21" ht="15" customHeight="1" x14ac:dyDescent="0.2">
      <c r="A6573" t="s">
        <v>6879</v>
      </c>
      <c r="B6573" t="s">
        <v>229</v>
      </c>
      <c r="C6573" t="s">
        <v>56</v>
      </c>
      <c r="D6573" s="49">
        <v>45758</v>
      </c>
      <c r="E6573" s="49">
        <v>45761</v>
      </c>
      <c r="F6573" s="49">
        <v>45766</v>
      </c>
      <c r="G6573" s="49">
        <v>45774</v>
      </c>
      <c r="H6573" s="49">
        <v>45780</v>
      </c>
      <c r="I6573" s="49">
        <v>45784</v>
      </c>
      <c r="J6573" t="s">
        <v>47</v>
      </c>
      <c r="K6573" s="33">
        <v>4200</v>
      </c>
      <c r="M6573" t="str">
        <f>_xlfn.XLOOKUP(Pipeline_tbl[[#This Row],[Rep_ID]],Dim_Reps!A:A,Dim_Reps!K:K)</f>
        <v>USD</v>
      </c>
      <c r="N6573" s="33">
        <f>(_xlfn.XLOOKUP(Pipeline_tbl[[#This Row],[Rate_Code_Generalized]],Lookups!A:A,Lookups!B:B))*Pipeline_tbl[[#This Row],[Pipeline_Amount_USD]]</f>
        <v>4890.0599999999995</v>
      </c>
      <c r="O6573" t="str">
        <f>_xlfn.XLOOKUP(Pipeline_tbl[[#This Row],[Rep_ID]],Dim_Reps!A:A,Dim_Reps!B:B)</f>
        <v>Liam Castro</v>
      </c>
      <c r="P6573" t="str">
        <f>_xlfn.XLOOKUP(Pipeline_tbl[[#This Row],[Rep_ID]],Dim_Reps!A:A,Dim_Reps!C:C)</f>
        <v>SDR / Inside Sales Rep</v>
      </c>
      <c r="Q6573" t="str">
        <f>_xlfn.XLOOKUP(Pipeline_tbl[[#This Row],[Rep_ID]],Dim_Reps!A:A,Dim_Reps!D:D)</f>
        <v>Inside Sales</v>
      </c>
      <c r="R6573" t="str">
        <f>_xlfn.XLOOKUP(Pipeline_tbl[[#This Row],[Rep_ID]],Dim_Reps!A:A,Dim_Reps!E:E)</f>
        <v>NAMER</v>
      </c>
      <c r="S6573" t="str">
        <f>_xlfn.XLOOKUP(Pipeline_tbl[[#This Row],[Created_Date]],Dim_Date!A:A,Dim_Date!H:H)</f>
        <v>Apr 2025</v>
      </c>
      <c r="T6573" t="str">
        <f>IF(Pipeline_tbl[[#This Row],[Closed_Date]]=0,"",(_xlfn.XLOOKUP(Pipeline_tbl[[#This Row],[Closed_Date]],Dim_Date!A:A,Dim_Date!H:H)))</f>
        <v>May 2025</v>
      </c>
      <c r="U6573">
        <f>IF(Pipeline_tbl[[#This Row],[Closed_Date]]=0,"",Pipeline_tbl[[#This Row],[Closed_Date]]-Pipeline_tbl[[#This Row],[Created_Date]])</f>
        <v>26</v>
      </c>
    </row>
    <row r="6574" spans="1:21" ht="15" customHeight="1" x14ac:dyDescent="0.2">
      <c r="A6574" t="s">
        <v>6880</v>
      </c>
      <c r="B6574" t="s">
        <v>231</v>
      </c>
      <c r="C6574" t="s">
        <v>52</v>
      </c>
      <c r="D6574" s="49">
        <v>45759</v>
      </c>
      <c r="E6574" s="49">
        <v>45761</v>
      </c>
      <c r="I6574" s="49">
        <v>45782</v>
      </c>
      <c r="J6574" t="s">
        <v>49</v>
      </c>
      <c r="K6574" s="33">
        <v>8100</v>
      </c>
      <c r="L6574" t="s">
        <v>60</v>
      </c>
      <c r="M6574" t="str">
        <f>_xlfn.XLOOKUP(Pipeline_tbl[[#This Row],[Rep_ID]],Dim_Reps!A:A,Dim_Reps!K:K)</f>
        <v>MXN</v>
      </c>
      <c r="N6574" s="33">
        <f>(_xlfn.XLOOKUP(Pipeline_tbl[[#This Row],[Rate_Code_Generalized]],Lookups!A:A,Lookups!B:B))*Pipeline_tbl[[#This Row],[Pipeline_Amount_USD]]</f>
        <v>159834.87000000002</v>
      </c>
      <c r="O6574" t="str">
        <f>_xlfn.XLOOKUP(Pipeline_tbl[[#This Row],[Rep_ID]],Dim_Reps!A:A,Dim_Reps!B:B)</f>
        <v>Ben Silva</v>
      </c>
      <c r="P6574" t="str">
        <f>_xlfn.XLOOKUP(Pipeline_tbl[[#This Row],[Rep_ID]],Dim_Reps!A:A,Dim_Reps!C:C)</f>
        <v>SDR / Inside Sales Rep</v>
      </c>
      <c r="Q6574" t="str">
        <f>_xlfn.XLOOKUP(Pipeline_tbl[[#This Row],[Rep_ID]],Dim_Reps!A:A,Dim_Reps!D:D)</f>
        <v>Inside Sales</v>
      </c>
      <c r="R6574" t="str">
        <f>_xlfn.XLOOKUP(Pipeline_tbl[[#This Row],[Rep_ID]],Dim_Reps!A:A,Dim_Reps!E:E)</f>
        <v>LATAM</v>
      </c>
      <c r="S6574" t="str">
        <f>_xlfn.XLOOKUP(Pipeline_tbl[[#This Row],[Created_Date]],Dim_Date!A:A,Dim_Date!H:H)</f>
        <v>Apr 2025</v>
      </c>
      <c r="T6574" t="str">
        <f>IF(Pipeline_tbl[[#This Row],[Closed_Date]]=0,"",(_xlfn.XLOOKUP(Pipeline_tbl[[#This Row],[Closed_Date]],Dim_Date!A:A,Dim_Date!H:H)))</f>
        <v>May 2025</v>
      </c>
      <c r="U6574">
        <f>IF(Pipeline_tbl[[#This Row],[Closed_Date]]=0,"",Pipeline_tbl[[#This Row],[Closed_Date]]-Pipeline_tbl[[#This Row],[Created_Date]])</f>
        <v>23</v>
      </c>
    </row>
    <row r="6575" spans="1:21" ht="15" customHeight="1" x14ac:dyDescent="0.2">
      <c r="A6575" t="s">
        <v>6881</v>
      </c>
      <c r="B6575" t="s">
        <v>231</v>
      </c>
      <c r="C6575" t="s">
        <v>53</v>
      </c>
      <c r="D6575" s="49">
        <v>45771</v>
      </c>
      <c r="E6575" s="49">
        <v>45773</v>
      </c>
      <c r="F6575" s="49">
        <v>45777</v>
      </c>
      <c r="I6575" s="49">
        <v>45791</v>
      </c>
      <c r="J6575" t="s">
        <v>49</v>
      </c>
      <c r="K6575" s="33">
        <v>2200</v>
      </c>
      <c r="L6575" t="s">
        <v>63</v>
      </c>
      <c r="M6575" t="str">
        <f>_xlfn.XLOOKUP(Pipeline_tbl[[#This Row],[Rep_ID]],Dim_Reps!A:A,Dim_Reps!K:K)</f>
        <v>MXN</v>
      </c>
      <c r="N6575" s="33">
        <f>(_xlfn.XLOOKUP(Pipeline_tbl[[#This Row],[Rate_Code_Generalized]],Lookups!A:A,Lookups!B:B))*Pipeline_tbl[[#This Row],[Pipeline_Amount_USD]]</f>
        <v>43411.94</v>
      </c>
      <c r="O6575" t="str">
        <f>_xlfn.XLOOKUP(Pipeline_tbl[[#This Row],[Rep_ID]],Dim_Reps!A:A,Dim_Reps!B:B)</f>
        <v>Ben Silva</v>
      </c>
      <c r="P6575" t="str">
        <f>_xlfn.XLOOKUP(Pipeline_tbl[[#This Row],[Rep_ID]],Dim_Reps!A:A,Dim_Reps!C:C)</f>
        <v>SDR / Inside Sales Rep</v>
      </c>
      <c r="Q6575" t="str">
        <f>_xlfn.XLOOKUP(Pipeline_tbl[[#This Row],[Rep_ID]],Dim_Reps!A:A,Dim_Reps!D:D)</f>
        <v>Inside Sales</v>
      </c>
      <c r="R6575" t="str">
        <f>_xlfn.XLOOKUP(Pipeline_tbl[[#This Row],[Rep_ID]],Dim_Reps!A:A,Dim_Reps!E:E)</f>
        <v>LATAM</v>
      </c>
      <c r="S6575" t="str">
        <f>_xlfn.XLOOKUP(Pipeline_tbl[[#This Row],[Created_Date]],Dim_Date!A:A,Dim_Date!H:H)</f>
        <v>Apr 2025</v>
      </c>
      <c r="T6575" t="str">
        <f>IF(Pipeline_tbl[[#This Row],[Closed_Date]]=0,"",(_xlfn.XLOOKUP(Pipeline_tbl[[#This Row],[Closed_Date]],Dim_Date!A:A,Dim_Date!H:H)))</f>
        <v>May 2025</v>
      </c>
      <c r="U6575">
        <f>IF(Pipeline_tbl[[#This Row],[Closed_Date]]=0,"",Pipeline_tbl[[#This Row],[Closed_Date]]-Pipeline_tbl[[#This Row],[Created_Date]])</f>
        <v>20</v>
      </c>
    </row>
    <row r="6576" spans="1:21" ht="15" customHeight="1" x14ac:dyDescent="0.2">
      <c r="A6576" t="s">
        <v>6882</v>
      </c>
      <c r="B6576" t="s">
        <v>231</v>
      </c>
      <c r="C6576" t="s">
        <v>53</v>
      </c>
      <c r="D6576" s="49">
        <v>45766</v>
      </c>
      <c r="E6576" s="49">
        <v>45768</v>
      </c>
      <c r="F6576" s="49">
        <v>45771</v>
      </c>
      <c r="G6576" s="49">
        <v>45776</v>
      </c>
      <c r="H6576" s="49">
        <v>45780</v>
      </c>
      <c r="I6576" s="49">
        <v>45783</v>
      </c>
      <c r="J6576" t="s">
        <v>47</v>
      </c>
      <c r="K6576" s="33">
        <v>5800</v>
      </c>
      <c r="M6576" t="str">
        <f>_xlfn.XLOOKUP(Pipeline_tbl[[#This Row],[Rep_ID]],Dim_Reps!A:A,Dim_Reps!K:K)</f>
        <v>MXN</v>
      </c>
      <c r="N6576" s="33">
        <f>(_xlfn.XLOOKUP(Pipeline_tbl[[#This Row],[Rate_Code_Generalized]],Lookups!A:A,Lookups!B:B))*Pipeline_tbl[[#This Row],[Pipeline_Amount_USD]]</f>
        <v>114449.66</v>
      </c>
      <c r="O6576" t="str">
        <f>_xlfn.XLOOKUP(Pipeline_tbl[[#This Row],[Rep_ID]],Dim_Reps!A:A,Dim_Reps!B:B)</f>
        <v>Ben Silva</v>
      </c>
      <c r="P6576" t="str">
        <f>_xlfn.XLOOKUP(Pipeline_tbl[[#This Row],[Rep_ID]],Dim_Reps!A:A,Dim_Reps!C:C)</f>
        <v>SDR / Inside Sales Rep</v>
      </c>
      <c r="Q6576" t="str">
        <f>_xlfn.XLOOKUP(Pipeline_tbl[[#This Row],[Rep_ID]],Dim_Reps!A:A,Dim_Reps!D:D)</f>
        <v>Inside Sales</v>
      </c>
      <c r="R6576" t="str">
        <f>_xlfn.XLOOKUP(Pipeline_tbl[[#This Row],[Rep_ID]],Dim_Reps!A:A,Dim_Reps!E:E)</f>
        <v>LATAM</v>
      </c>
      <c r="S6576" t="str">
        <f>_xlfn.XLOOKUP(Pipeline_tbl[[#This Row],[Created_Date]],Dim_Date!A:A,Dim_Date!H:H)</f>
        <v>Apr 2025</v>
      </c>
      <c r="T6576" t="str">
        <f>IF(Pipeline_tbl[[#This Row],[Closed_Date]]=0,"",(_xlfn.XLOOKUP(Pipeline_tbl[[#This Row],[Closed_Date]],Dim_Date!A:A,Dim_Date!H:H)))</f>
        <v>May 2025</v>
      </c>
      <c r="U6576">
        <f>IF(Pipeline_tbl[[#This Row],[Closed_Date]]=0,"",Pipeline_tbl[[#This Row],[Closed_Date]]-Pipeline_tbl[[#This Row],[Created_Date]])</f>
        <v>17</v>
      </c>
    </row>
    <row r="6577" spans="1:21" ht="15" customHeight="1" x14ac:dyDescent="0.2">
      <c r="A6577" t="s">
        <v>6883</v>
      </c>
      <c r="B6577" t="s">
        <v>263</v>
      </c>
      <c r="C6577" t="s">
        <v>52</v>
      </c>
      <c r="D6577" s="49">
        <v>45773</v>
      </c>
      <c r="E6577" s="49">
        <v>45776</v>
      </c>
      <c r="F6577" s="49">
        <v>45782</v>
      </c>
      <c r="G6577" s="49">
        <v>45792</v>
      </c>
      <c r="H6577" s="49">
        <v>45799</v>
      </c>
      <c r="I6577" s="49">
        <v>45804</v>
      </c>
      <c r="J6577" t="s">
        <v>49</v>
      </c>
      <c r="K6577" s="33">
        <v>15700</v>
      </c>
      <c r="L6577" t="s">
        <v>62</v>
      </c>
      <c r="M6577" t="str">
        <f>_xlfn.XLOOKUP(Pipeline_tbl[[#This Row],[Rep_ID]],Dim_Reps!A:A,Dim_Reps!K:K)</f>
        <v>USD</v>
      </c>
      <c r="N6577" s="33">
        <f>(_xlfn.XLOOKUP(Pipeline_tbl[[#This Row],[Rate_Code_Generalized]],Lookups!A:A,Lookups!B:B))*Pipeline_tbl[[#This Row],[Pipeline_Amount_USD]]</f>
        <v>18279.509999999998</v>
      </c>
      <c r="O6577" t="str">
        <f>_xlfn.XLOOKUP(Pipeline_tbl[[#This Row],[Rep_ID]],Dim_Reps!A:A,Dim_Reps!B:B)</f>
        <v>Morgan Weber</v>
      </c>
      <c r="P6577" t="str">
        <f>_xlfn.XLOOKUP(Pipeline_tbl[[#This Row],[Rep_ID]],Dim_Reps!A:A,Dim_Reps!C:C)</f>
        <v>Mid-Market AE</v>
      </c>
      <c r="Q6577" t="str">
        <f>_xlfn.XLOOKUP(Pipeline_tbl[[#This Row],[Rep_ID]],Dim_Reps!A:A,Dim_Reps!D:D)</f>
        <v>Mid-Market</v>
      </c>
      <c r="R6577" t="str">
        <f>_xlfn.XLOOKUP(Pipeline_tbl[[#This Row],[Rep_ID]],Dim_Reps!A:A,Dim_Reps!E:E)</f>
        <v>NAMER</v>
      </c>
      <c r="S6577" t="str">
        <f>_xlfn.XLOOKUP(Pipeline_tbl[[#This Row],[Created_Date]],Dim_Date!A:A,Dim_Date!H:H)</f>
        <v>Apr 2025</v>
      </c>
      <c r="T6577" t="str">
        <f>IF(Pipeline_tbl[[#This Row],[Closed_Date]]=0,"",(_xlfn.XLOOKUP(Pipeline_tbl[[#This Row],[Closed_Date]],Dim_Date!A:A,Dim_Date!H:H)))</f>
        <v>May 2025</v>
      </c>
      <c r="U6577">
        <f>IF(Pipeline_tbl[[#This Row],[Closed_Date]]=0,"",Pipeline_tbl[[#This Row],[Closed_Date]]-Pipeline_tbl[[#This Row],[Created_Date]])</f>
        <v>31</v>
      </c>
    </row>
    <row r="6578" spans="1:21" ht="15" customHeight="1" x14ac:dyDescent="0.2">
      <c r="A6578" t="s">
        <v>6884</v>
      </c>
      <c r="B6578" t="s">
        <v>263</v>
      </c>
      <c r="C6578" t="s">
        <v>53</v>
      </c>
      <c r="D6578" s="49">
        <v>45764</v>
      </c>
      <c r="E6578" s="49">
        <v>45768</v>
      </c>
      <c r="F6578" s="49">
        <v>45777</v>
      </c>
      <c r="G6578" s="49">
        <v>45790</v>
      </c>
      <c r="H6578" s="49">
        <v>45801</v>
      </c>
      <c r="I6578" s="49">
        <v>45808</v>
      </c>
      <c r="J6578" t="s">
        <v>49</v>
      </c>
      <c r="K6578" s="33">
        <v>9700</v>
      </c>
      <c r="L6578" t="s">
        <v>60</v>
      </c>
      <c r="M6578" t="str">
        <f>_xlfn.XLOOKUP(Pipeline_tbl[[#This Row],[Rep_ID]],Dim_Reps!A:A,Dim_Reps!K:K)</f>
        <v>USD</v>
      </c>
      <c r="N6578" s="33">
        <f>(_xlfn.XLOOKUP(Pipeline_tbl[[#This Row],[Rate_Code_Generalized]],Lookups!A:A,Lookups!B:B))*Pipeline_tbl[[#This Row],[Pipeline_Amount_USD]]</f>
        <v>11293.71</v>
      </c>
      <c r="O6578" t="str">
        <f>_xlfn.XLOOKUP(Pipeline_tbl[[#This Row],[Rep_ID]],Dim_Reps!A:A,Dim_Reps!B:B)</f>
        <v>Morgan Weber</v>
      </c>
      <c r="P6578" t="str">
        <f>_xlfn.XLOOKUP(Pipeline_tbl[[#This Row],[Rep_ID]],Dim_Reps!A:A,Dim_Reps!C:C)</f>
        <v>Mid-Market AE</v>
      </c>
      <c r="Q6578" t="str">
        <f>_xlfn.XLOOKUP(Pipeline_tbl[[#This Row],[Rep_ID]],Dim_Reps!A:A,Dim_Reps!D:D)</f>
        <v>Mid-Market</v>
      </c>
      <c r="R6578" t="str">
        <f>_xlfn.XLOOKUP(Pipeline_tbl[[#This Row],[Rep_ID]],Dim_Reps!A:A,Dim_Reps!E:E)</f>
        <v>NAMER</v>
      </c>
      <c r="S6578" t="str">
        <f>_xlfn.XLOOKUP(Pipeline_tbl[[#This Row],[Created_Date]],Dim_Date!A:A,Dim_Date!H:H)</f>
        <v>Apr 2025</v>
      </c>
      <c r="T6578" t="str">
        <f>IF(Pipeline_tbl[[#This Row],[Closed_Date]]=0,"",(_xlfn.XLOOKUP(Pipeline_tbl[[#This Row],[Closed_Date]],Dim_Date!A:A,Dim_Date!H:H)))</f>
        <v>May 2025</v>
      </c>
      <c r="U6578">
        <f>IF(Pipeline_tbl[[#This Row],[Closed_Date]]=0,"",Pipeline_tbl[[#This Row],[Closed_Date]]-Pipeline_tbl[[#This Row],[Created_Date]])</f>
        <v>44</v>
      </c>
    </row>
    <row r="6579" spans="1:21" ht="15" customHeight="1" x14ac:dyDescent="0.2">
      <c r="A6579" t="s">
        <v>6885</v>
      </c>
      <c r="B6579" t="s">
        <v>263</v>
      </c>
      <c r="C6579" t="s">
        <v>52</v>
      </c>
      <c r="D6579" s="49">
        <v>45773</v>
      </c>
      <c r="E6579" s="49">
        <v>45777</v>
      </c>
      <c r="F6579" s="49">
        <v>45784</v>
      </c>
      <c r="G6579" s="49">
        <v>45794</v>
      </c>
      <c r="I6579" s="49">
        <v>45808</v>
      </c>
      <c r="J6579" t="s">
        <v>49</v>
      </c>
      <c r="K6579" s="33">
        <v>14000</v>
      </c>
      <c r="L6579" t="s">
        <v>61</v>
      </c>
      <c r="M6579" t="str">
        <f>_xlfn.XLOOKUP(Pipeline_tbl[[#This Row],[Rep_ID]],Dim_Reps!A:A,Dim_Reps!K:K)</f>
        <v>USD</v>
      </c>
      <c r="N6579" s="33">
        <f>(_xlfn.XLOOKUP(Pipeline_tbl[[#This Row],[Rate_Code_Generalized]],Lookups!A:A,Lookups!B:B))*Pipeline_tbl[[#This Row],[Pipeline_Amount_USD]]</f>
        <v>16300.199999999999</v>
      </c>
      <c r="O6579" t="str">
        <f>_xlfn.XLOOKUP(Pipeline_tbl[[#This Row],[Rep_ID]],Dim_Reps!A:A,Dim_Reps!B:B)</f>
        <v>Morgan Weber</v>
      </c>
      <c r="P6579" t="str">
        <f>_xlfn.XLOOKUP(Pipeline_tbl[[#This Row],[Rep_ID]],Dim_Reps!A:A,Dim_Reps!C:C)</f>
        <v>Mid-Market AE</v>
      </c>
      <c r="Q6579" t="str">
        <f>_xlfn.XLOOKUP(Pipeline_tbl[[#This Row],[Rep_ID]],Dim_Reps!A:A,Dim_Reps!D:D)</f>
        <v>Mid-Market</v>
      </c>
      <c r="R6579" t="str">
        <f>_xlfn.XLOOKUP(Pipeline_tbl[[#This Row],[Rep_ID]],Dim_Reps!A:A,Dim_Reps!E:E)</f>
        <v>NAMER</v>
      </c>
      <c r="S6579" t="str">
        <f>_xlfn.XLOOKUP(Pipeline_tbl[[#This Row],[Created_Date]],Dim_Date!A:A,Dim_Date!H:H)</f>
        <v>Apr 2025</v>
      </c>
      <c r="T6579" t="str">
        <f>IF(Pipeline_tbl[[#This Row],[Closed_Date]]=0,"",(_xlfn.XLOOKUP(Pipeline_tbl[[#This Row],[Closed_Date]],Dim_Date!A:A,Dim_Date!H:H)))</f>
        <v>May 2025</v>
      </c>
      <c r="U6579">
        <f>IF(Pipeline_tbl[[#This Row],[Closed_Date]]=0,"",Pipeline_tbl[[#This Row],[Closed_Date]]-Pipeline_tbl[[#This Row],[Created_Date]])</f>
        <v>35</v>
      </c>
    </row>
    <row r="6580" spans="1:21" ht="15" customHeight="1" x14ac:dyDescent="0.2">
      <c r="A6580" t="s">
        <v>6886</v>
      </c>
      <c r="B6580" t="s">
        <v>265</v>
      </c>
      <c r="C6580" t="s">
        <v>54</v>
      </c>
      <c r="D6580" s="49">
        <v>45768</v>
      </c>
      <c r="E6580" s="49">
        <v>45771</v>
      </c>
      <c r="F6580" s="49">
        <v>45776</v>
      </c>
      <c r="I6580" s="49">
        <v>45796</v>
      </c>
      <c r="J6580" t="s">
        <v>49</v>
      </c>
      <c r="K6580" s="33">
        <v>10200</v>
      </c>
      <c r="L6580" t="s">
        <v>63</v>
      </c>
      <c r="M6580" t="str">
        <f>_xlfn.XLOOKUP(Pipeline_tbl[[#This Row],[Rep_ID]],Dim_Reps!A:A,Dim_Reps!K:K)</f>
        <v>EUR</v>
      </c>
      <c r="N6580" s="33">
        <f>(_xlfn.XLOOKUP(Pipeline_tbl[[#This Row],[Rate_Code_Generalized]],Lookups!A:A,Lookups!B:B))*Pipeline_tbl[[#This Row],[Pipeline_Amount_USD]]</f>
        <v>10200</v>
      </c>
      <c r="O6580" t="str">
        <f>_xlfn.XLOOKUP(Pipeline_tbl[[#This Row],[Rep_ID]],Dim_Reps!A:A,Dim_Reps!B:B)</f>
        <v>Erik Duarte</v>
      </c>
      <c r="P6580" t="str">
        <f>_xlfn.XLOOKUP(Pipeline_tbl[[#This Row],[Rep_ID]],Dim_Reps!A:A,Dim_Reps!C:C)</f>
        <v>Mid-Market AE</v>
      </c>
      <c r="Q6580" t="str">
        <f>_xlfn.XLOOKUP(Pipeline_tbl[[#This Row],[Rep_ID]],Dim_Reps!A:A,Dim_Reps!D:D)</f>
        <v>Mid-Market</v>
      </c>
      <c r="R6580" t="str">
        <f>_xlfn.XLOOKUP(Pipeline_tbl[[#This Row],[Rep_ID]],Dim_Reps!A:A,Dim_Reps!E:E)</f>
        <v>EMEA</v>
      </c>
      <c r="S6580" t="str">
        <f>_xlfn.XLOOKUP(Pipeline_tbl[[#This Row],[Created_Date]],Dim_Date!A:A,Dim_Date!H:H)</f>
        <v>Apr 2025</v>
      </c>
      <c r="T6580" t="str">
        <f>IF(Pipeline_tbl[[#This Row],[Closed_Date]]=0,"",(_xlfn.XLOOKUP(Pipeline_tbl[[#This Row],[Closed_Date]],Dim_Date!A:A,Dim_Date!H:H)))</f>
        <v>May 2025</v>
      </c>
      <c r="U6580">
        <f>IF(Pipeline_tbl[[#This Row],[Closed_Date]]=0,"",Pipeline_tbl[[#This Row],[Closed_Date]]-Pipeline_tbl[[#This Row],[Created_Date]])</f>
        <v>28</v>
      </c>
    </row>
    <row r="6581" spans="1:21" ht="15" customHeight="1" x14ac:dyDescent="0.2">
      <c r="A6581" t="s">
        <v>6887</v>
      </c>
      <c r="B6581" t="s">
        <v>265</v>
      </c>
      <c r="C6581" t="s">
        <v>53</v>
      </c>
      <c r="D6581" s="49">
        <v>45768</v>
      </c>
      <c r="E6581" s="49">
        <v>45771</v>
      </c>
      <c r="F6581" s="49">
        <v>45778</v>
      </c>
      <c r="G6581" s="49">
        <v>45788</v>
      </c>
      <c r="H6581" s="49">
        <v>45796</v>
      </c>
      <c r="I6581" s="49">
        <v>45801</v>
      </c>
      <c r="J6581" t="s">
        <v>47</v>
      </c>
      <c r="K6581" s="33">
        <v>20400</v>
      </c>
      <c r="M6581" t="str">
        <f>_xlfn.XLOOKUP(Pipeline_tbl[[#This Row],[Rep_ID]],Dim_Reps!A:A,Dim_Reps!K:K)</f>
        <v>EUR</v>
      </c>
      <c r="N6581" s="33">
        <f>(_xlfn.XLOOKUP(Pipeline_tbl[[#This Row],[Rate_Code_Generalized]],Lookups!A:A,Lookups!B:B))*Pipeline_tbl[[#This Row],[Pipeline_Amount_USD]]</f>
        <v>20400</v>
      </c>
      <c r="O6581" t="str">
        <f>_xlfn.XLOOKUP(Pipeline_tbl[[#This Row],[Rep_ID]],Dim_Reps!A:A,Dim_Reps!B:B)</f>
        <v>Erik Duarte</v>
      </c>
      <c r="P6581" t="str">
        <f>_xlfn.XLOOKUP(Pipeline_tbl[[#This Row],[Rep_ID]],Dim_Reps!A:A,Dim_Reps!C:C)</f>
        <v>Mid-Market AE</v>
      </c>
      <c r="Q6581" t="str">
        <f>_xlfn.XLOOKUP(Pipeline_tbl[[#This Row],[Rep_ID]],Dim_Reps!A:A,Dim_Reps!D:D)</f>
        <v>Mid-Market</v>
      </c>
      <c r="R6581" t="str">
        <f>_xlfn.XLOOKUP(Pipeline_tbl[[#This Row],[Rep_ID]],Dim_Reps!A:A,Dim_Reps!E:E)</f>
        <v>EMEA</v>
      </c>
      <c r="S6581" t="str">
        <f>_xlfn.XLOOKUP(Pipeline_tbl[[#This Row],[Created_Date]],Dim_Date!A:A,Dim_Date!H:H)</f>
        <v>Apr 2025</v>
      </c>
      <c r="T6581" t="str">
        <f>IF(Pipeline_tbl[[#This Row],[Closed_Date]]=0,"",(_xlfn.XLOOKUP(Pipeline_tbl[[#This Row],[Closed_Date]],Dim_Date!A:A,Dim_Date!H:H)))</f>
        <v>May 2025</v>
      </c>
      <c r="U6581">
        <f>IF(Pipeline_tbl[[#This Row],[Closed_Date]]=0,"",Pipeline_tbl[[#This Row],[Closed_Date]]-Pipeline_tbl[[#This Row],[Created_Date]])</f>
        <v>33</v>
      </c>
    </row>
    <row r="6582" spans="1:21" ht="15" customHeight="1" x14ac:dyDescent="0.2">
      <c r="A6582" t="s">
        <v>6888</v>
      </c>
      <c r="B6582" t="s">
        <v>265</v>
      </c>
      <c r="C6582" t="s">
        <v>52</v>
      </c>
      <c r="D6582" s="49">
        <v>45758</v>
      </c>
      <c r="E6582" s="49">
        <v>45762</v>
      </c>
      <c r="F6582" s="49">
        <v>45769</v>
      </c>
      <c r="G6582" s="49">
        <v>45779</v>
      </c>
      <c r="I6582" s="49">
        <v>45793</v>
      </c>
      <c r="J6582" t="s">
        <v>49</v>
      </c>
      <c r="K6582" s="33">
        <v>12100</v>
      </c>
      <c r="L6582" t="s">
        <v>60</v>
      </c>
      <c r="M6582" t="str">
        <f>_xlfn.XLOOKUP(Pipeline_tbl[[#This Row],[Rep_ID]],Dim_Reps!A:A,Dim_Reps!K:K)</f>
        <v>EUR</v>
      </c>
      <c r="N6582" s="33">
        <f>(_xlfn.XLOOKUP(Pipeline_tbl[[#This Row],[Rate_Code_Generalized]],Lookups!A:A,Lookups!B:B))*Pipeline_tbl[[#This Row],[Pipeline_Amount_USD]]</f>
        <v>12100</v>
      </c>
      <c r="O6582" t="str">
        <f>_xlfn.XLOOKUP(Pipeline_tbl[[#This Row],[Rep_ID]],Dim_Reps!A:A,Dim_Reps!B:B)</f>
        <v>Erik Duarte</v>
      </c>
      <c r="P6582" t="str">
        <f>_xlfn.XLOOKUP(Pipeline_tbl[[#This Row],[Rep_ID]],Dim_Reps!A:A,Dim_Reps!C:C)</f>
        <v>Mid-Market AE</v>
      </c>
      <c r="Q6582" t="str">
        <f>_xlfn.XLOOKUP(Pipeline_tbl[[#This Row],[Rep_ID]],Dim_Reps!A:A,Dim_Reps!D:D)</f>
        <v>Mid-Market</v>
      </c>
      <c r="R6582" t="str">
        <f>_xlfn.XLOOKUP(Pipeline_tbl[[#This Row],[Rep_ID]],Dim_Reps!A:A,Dim_Reps!E:E)</f>
        <v>EMEA</v>
      </c>
      <c r="S6582" t="str">
        <f>_xlfn.XLOOKUP(Pipeline_tbl[[#This Row],[Created_Date]],Dim_Date!A:A,Dim_Date!H:H)</f>
        <v>Apr 2025</v>
      </c>
      <c r="T6582" t="str">
        <f>IF(Pipeline_tbl[[#This Row],[Closed_Date]]=0,"",(_xlfn.XLOOKUP(Pipeline_tbl[[#This Row],[Closed_Date]],Dim_Date!A:A,Dim_Date!H:H)))</f>
        <v>May 2025</v>
      </c>
      <c r="U6582">
        <f>IF(Pipeline_tbl[[#This Row],[Closed_Date]]=0,"",Pipeline_tbl[[#This Row],[Closed_Date]]-Pipeline_tbl[[#This Row],[Created_Date]])</f>
        <v>35</v>
      </c>
    </row>
    <row r="6583" spans="1:21" ht="15" customHeight="1" x14ac:dyDescent="0.2">
      <c r="A6583" t="s">
        <v>6889</v>
      </c>
      <c r="B6583" t="s">
        <v>233</v>
      </c>
      <c r="C6583" t="s">
        <v>53</v>
      </c>
      <c r="D6583" s="49">
        <v>45750</v>
      </c>
      <c r="E6583" s="49">
        <v>45753</v>
      </c>
      <c r="F6583" s="49">
        <v>45760</v>
      </c>
      <c r="G6583" s="49">
        <v>45770</v>
      </c>
      <c r="H6583" s="49">
        <v>45779</v>
      </c>
      <c r="I6583" s="49">
        <v>45784</v>
      </c>
      <c r="J6583" t="s">
        <v>49</v>
      </c>
      <c r="K6583" s="33">
        <v>2000</v>
      </c>
      <c r="L6583" t="s">
        <v>61</v>
      </c>
      <c r="M6583" t="str">
        <f>_xlfn.XLOOKUP(Pipeline_tbl[[#This Row],[Rep_ID]],Dim_Reps!A:A,Dim_Reps!K:K)</f>
        <v>MXN</v>
      </c>
      <c r="N6583" s="33">
        <f>(_xlfn.XLOOKUP(Pipeline_tbl[[#This Row],[Rate_Code_Generalized]],Lookups!A:A,Lookups!B:B))*Pipeline_tbl[[#This Row],[Pipeline_Amount_USD]]</f>
        <v>39465.4</v>
      </c>
      <c r="O6583" t="str">
        <f>_xlfn.XLOOKUP(Pipeline_tbl[[#This Row],[Rep_ID]],Dim_Reps!A:A,Dim_Reps!B:B)</f>
        <v>Lucas Duarte</v>
      </c>
      <c r="P6583" t="str">
        <f>_xlfn.XLOOKUP(Pipeline_tbl[[#This Row],[Rep_ID]],Dim_Reps!A:A,Dim_Reps!C:C)</f>
        <v>SDR / Inside Sales Rep</v>
      </c>
      <c r="Q6583" t="str">
        <f>_xlfn.XLOOKUP(Pipeline_tbl[[#This Row],[Rep_ID]],Dim_Reps!A:A,Dim_Reps!D:D)</f>
        <v>Inside Sales</v>
      </c>
      <c r="R6583" t="str">
        <f>_xlfn.XLOOKUP(Pipeline_tbl[[#This Row],[Rep_ID]],Dim_Reps!A:A,Dim_Reps!E:E)</f>
        <v>LATAM</v>
      </c>
      <c r="S6583" t="str">
        <f>_xlfn.XLOOKUP(Pipeline_tbl[[#This Row],[Created_Date]],Dim_Date!A:A,Dim_Date!H:H)</f>
        <v>Apr 2025</v>
      </c>
      <c r="T6583" t="str">
        <f>IF(Pipeline_tbl[[#This Row],[Closed_Date]]=0,"",(_xlfn.XLOOKUP(Pipeline_tbl[[#This Row],[Closed_Date]],Dim_Date!A:A,Dim_Date!H:H)))</f>
        <v>May 2025</v>
      </c>
      <c r="U6583">
        <f>IF(Pipeline_tbl[[#This Row],[Closed_Date]]=0,"",Pipeline_tbl[[#This Row],[Closed_Date]]-Pipeline_tbl[[#This Row],[Created_Date]])</f>
        <v>34</v>
      </c>
    </row>
    <row r="6584" spans="1:21" ht="15" customHeight="1" x14ac:dyDescent="0.2">
      <c r="A6584" t="s">
        <v>6890</v>
      </c>
      <c r="B6584" t="s">
        <v>233</v>
      </c>
      <c r="C6584" t="s">
        <v>52</v>
      </c>
      <c r="D6584" s="49">
        <v>45769</v>
      </c>
      <c r="E6584" s="49">
        <v>45771</v>
      </c>
      <c r="F6584" s="49">
        <v>45774</v>
      </c>
      <c r="G6584" s="49">
        <v>45780</v>
      </c>
      <c r="H6584" s="49">
        <v>45784</v>
      </c>
      <c r="I6584" s="49">
        <v>45787</v>
      </c>
      <c r="J6584" t="s">
        <v>47</v>
      </c>
      <c r="K6584" s="33">
        <v>3300</v>
      </c>
      <c r="M6584" t="str">
        <f>_xlfn.XLOOKUP(Pipeline_tbl[[#This Row],[Rep_ID]],Dim_Reps!A:A,Dim_Reps!K:K)</f>
        <v>MXN</v>
      </c>
      <c r="N6584" s="33">
        <f>(_xlfn.XLOOKUP(Pipeline_tbl[[#This Row],[Rate_Code_Generalized]],Lookups!A:A,Lookups!B:B))*Pipeline_tbl[[#This Row],[Pipeline_Amount_USD]]</f>
        <v>65117.91</v>
      </c>
      <c r="O6584" t="str">
        <f>_xlfn.XLOOKUP(Pipeline_tbl[[#This Row],[Rep_ID]],Dim_Reps!A:A,Dim_Reps!B:B)</f>
        <v>Lucas Duarte</v>
      </c>
      <c r="P6584" t="str">
        <f>_xlfn.XLOOKUP(Pipeline_tbl[[#This Row],[Rep_ID]],Dim_Reps!A:A,Dim_Reps!C:C)</f>
        <v>SDR / Inside Sales Rep</v>
      </c>
      <c r="Q6584" t="str">
        <f>_xlfn.XLOOKUP(Pipeline_tbl[[#This Row],[Rep_ID]],Dim_Reps!A:A,Dim_Reps!D:D)</f>
        <v>Inside Sales</v>
      </c>
      <c r="R6584" t="str">
        <f>_xlfn.XLOOKUP(Pipeline_tbl[[#This Row],[Rep_ID]],Dim_Reps!A:A,Dim_Reps!E:E)</f>
        <v>LATAM</v>
      </c>
      <c r="S6584" t="str">
        <f>_xlfn.XLOOKUP(Pipeline_tbl[[#This Row],[Created_Date]],Dim_Date!A:A,Dim_Date!H:H)</f>
        <v>Apr 2025</v>
      </c>
      <c r="T6584" t="str">
        <f>IF(Pipeline_tbl[[#This Row],[Closed_Date]]=0,"",(_xlfn.XLOOKUP(Pipeline_tbl[[#This Row],[Closed_Date]],Dim_Date!A:A,Dim_Date!H:H)))</f>
        <v>May 2025</v>
      </c>
      <c r="U6584">
        <f>IF(Pipeline_tbl[[#This Row],[Closed_Date]]=0,"",Pipeline_tbl[[#This Row],[Closed_Date]]-Pipeline_tbl[[#This Row],[Created_Date]])</f>
        <v>18</v>
      </c>
    </row>
    <row r="6585" spans="1:21" ht="15" customHeight="1" x14ac:dyDescent="0.2">
      <c r="A6585" t="s">
        <v>6891</v>
      </c>
      <c r="B6585" t="s">
        <v>233</v>
      </c>
      <c r="C6585" t="s">
        <v>52</v>
      </c>
      <c r="D6585" s="49">
        <v>45773</v>
      </c>
      <c r="E6585" s="49">
        <v>45775</v>
      </c>
      <c r="F6585" s="49">
        <v>45778</v>
      </c>
      <c r="G6585" s="49">
        <v>45782</v>
      </c>
      <c r="I6585" s="49">
        <v>45788</v>
      </c>
      <c r="J6585" t="s">
        <v>49</v>
      </c>
      <c r="K6585" s="33">
        <v>6200</v>
      </c>
      <c r="L6585" t="s">
        <v>61</v>
      </c>
      <c r="M6585" t="str">
        <f>_xlfn.XLOOKUP(Pipeline_tbl[[#This Row],[Rep_ID]],Dim_Reps!A:A,Dim_Reps!K:K)</f>
        <v>MXN</v>
      </c>
      <c r="N6585" s="33">
        <f>(_xlfn.XLOOKUP(Pipeline_tbl[[#This Row],[Rate_Code_Generalized]],Lookups!A:A,Lookups!B:B))*Pipeline_tbl[[#This Row],[Pipeline_Amount_USD]]</f>
        <v>122342.74</v>
      </c>
      <c r="O6585" t="str">
        <f>_xlfn.XLOOKUP(Pipeline_tbl[[#This Row],[Rep_ID]],Dim_Reps!A:A,Dim_Reps!B:B)</f>
        <v>Lucas Duarte</v>
      </c>
      <c r="P6585" t="str">
        <f>_xlfn.XLOOKUP(Pipeline_tbl[[#This Row],[Rep_ID]],Dim_Reps!A:A,Dim_Reps!C:C)</f>
        <v>SDR / Inside Sales Rep</v>
      </c>
      <c r="Q6585" t="str">
        <f>_xlfn.XLOOKUP(Pipeline_tbl[[#This Row],[Rep_ID]],Dim_Reps!A:A,Dim_Reps!D:D)</f>
        <v>Inside Sales</v>
      </c>
      <c r="R6585" t="str">
        <f>_xlfn.XLOOKUP(Pipeline_tbl[[#This Row],[Rep_ID]],Dim_Reps!A:A,Dim_Reps!E:E)</f>
        <v>LATAM</v>
      </c>
      <c r="S6585" t="str">
        <f>_xlfn.XLOOKUP(Pipeline_tbl[[#This Row],[Created_Date]],Dim_Date!A:A,Dim_Date!H:H)</f>
        <v>Apr 2025</v>
      </c>
      <c r="T6585" t="str">
        <f>IF(Pipeline_tbl[[#This Row],[Closed_Date]]=0,"",(_xlfn.XLOOKUP(Pipeline_tbl[[#This Row],[Closed_Date]],Dim_Date!A:A,Dim_Date!H:H)))</f>
        <v>May 2025</v>
      </c>
      <c r="U6585">
        <f>IF(Pipeline_tbl[[#This Row],[Closed_Date]]=0,"",Pipeline_tbl[[#This Row],[Closed_Date]]-Pipeline_tbl[[#This Row],[Created_Date]])</f>
        <v>15</v>
      </c>
    </row>
    <row r="6586" spans="1:21" ht="15" customHeight="1" x14ac:dyDescent="0.2">
      <c r="A6586" t="s">
        <v>6892</v>
      </c>
      <c r="B6586" t="s">
        <v>233</v>
      </c>
      <c r="C6586" t="s">
        <v>54</v>
      </c>
      <c r="D6586" s="49">
        <v>45765</v>
      </c>
      <c r="E6586" s="49">
        <v>45767</v>
      </c>
      <c r="F6586" s="49">
        <v>45771</v>
      </c>
      <c r="G6586" s="49">
        <v>45778</v>
      </c>
      <c r="H6586" s="49">
        <v>45783</v>
      </c>
      <c r="I6586" s="49">
        <v>45786</v>
      </c>
      <c r="J6586" t="s">
        <v>47</v>
      </c>
      <c r="K6586" s="33">
        <v>2500</v>
      </c>
      <c r="M6586" t="str">
        <f>_xlfn.XLOOKUP(Pipeline_tbl[[#This Row],[Rep_ID]],Dim_Reps!A:A,Dim_Reps!K:K)</f>
        <v>MXN</v>
      </c>
      <c r="N6586" s="33">
        <f>(_xlfn.XLOOKUP(Pipeline_tbl[[#This Row],[Rate_Code_Generalized]],Lookups!A:A,Lookups!B:B))*Pipeline_tbl[[#This Row],[Pipeline_Amount_USD]]</f>
        <v>49331.75</v>
      </c>
      <c r="O6586" t="str">
        <f>_xlfn.XLOOKUP(Pipeline_tbl[[#This Row],[Rep_ID]],Dim_Reps!A:A,Dim_Reps!B:B)</f>
        <v>Lucas Duarte</v>
      </c>
      <c r="P6586" t="str">
        <f>_xlfn.XLOOKUP(Pipeline_tbl[[#This Row],[Rep_ID]],Dim_Reps!A:A,Dim_Reps!C:C)</f>
        <v>SDR / Inside Sales Rep</v>
      </c>
      <c r="Q6586" t="str">
        <f>_xlfn.XLOOKUP(Pipeline_tbl[[#This Row],[Rep_ID]],Dim_Reps!A:A,Dim_Reps!D:D)</f>
        <v>Inside Sales</v>
      </c>
      <c r="R6586" t="str">
        <f>_xlfn.XLOOKUP(Pipeline_tbl[[#This Row],[Rep_ID]],Dim_Reps!A:A,Dim_Reps!E:E)</f>
        <v>LATAM</v>
      </c>
      <c r="S6586" t="str">
        <f>_xlfn.XLOOKUP(Pipeline_tbl[[#This Row],[Created_Date]],Dim_Date!A:A,Dim_Date!H:H)</f>
        <v>Apr 2025</v>
      </c>
      <c r="T6586" t="str">
        <f>IF(Pipeline_tbl[[#This Row],[Closed_Date]]=0,"",(_xlfn.XLOOKUP(Pipeline_tbl[[#This Row],[Closed_Date]],Dim_Date!A:A,Dim_Date!H:H)))</f>
        <v>May 2025</v>
      </c>
      <c r="U6586">
        <f>IF(Pipeline_tbl[[#This Row],[Closed_Date]]=0,"",Pipeline_tbl[[#This Row],[Closed_Date]]-Pipeline_tbl[[#This Row],[Created_Date]])</f>
        <v>21</v>
      </c>
    </row>
    <row r="6587" spans="1:21" ht="15" customHeight="1" x14ac:dyDescent="0.2">
      <c r="A6587" t="s">
        <v>6893</v>
      </c>
      <c r="B6587" t="s">
        <v>233</v>
      </c>
      <c r="C6587" t="s">
        <v>54</v>
      </c>
      <c r="D6587" s="49">
        <v>45772</v>
      </c>
      <c r="E6587" s="49">
        <v>45773</v>
      </c>
      <c r="F6587" s="49">
        <v>45774</v>
      </c>
      <c r="G6587" s="49">
        <v>45776</v>
      </c>
      <c r="H6587" s="49">
        <v>45777</v>
      </c>
      <c r="I6587" s="49">
        <v>45778</v>
      </c>
      <c r="J6587" t="s">
        <v>47</v>
      </c>
      <c r="K6587" s="33">
        <v>2800</v>
      </c>
      <c r="M6587" t="str">
        <f>_xlfn.XLOOKUP(Pipeline_tbl[[#This Row],[Rep_ID]],Dim_Reps!A:A,Dim_Reps!K:K)</f>
        <v>MXN</v>
      </c>
      <c r="N6587" s="33">
        <f>(_xlfn.XLOOKUP(Pipeline_tbl[[#This Row],[Rate_Code_Generalized]],Lookups!A:A,Lookups!B:B))*Pipeline_tbl[[#This Row],[Pipeline_Amount_USD]]</f>
        <v>55251.560000000005</v>
      </c>
      <c r="O6587" t="str">
        <f>_xlfn.XLOOKUP(Pipeline_tbl[[#This Row],[Rep_ID]],Dim_Reps!A:A,Dim_Reps!B:B)</f>
        <v>Lucas Duarte</v>
      </c>
      <c r="P6587" t="str">
        <f>_xlfn.XLOOKUP(Pipeline_tbl[[#This Row],[Rep_ID]],Dim_Reps!A:A,Dim_Reps!C:C)</f>
        <v>SDR / Inside Sales Rep</v>
      </c>
      <c r="Q6587" t="str">
        <f>_xlfn.XLOOKUP(Pipeline_tbl[[#This Row],[Rep_ID]],Dim_Reps!A:A,Dim_Reps!D:D)</f>
        <v>Inside Sales</v>
      </c>
      <c r="R6587" t="str">
        <f>_xlfn.XLOOKUP(Pipeline_tbl[[#This Row],[Rep_ID]],Dim_Reps!A:A,Dim_Reps!E:E)</f>
        <v>LATAM</v>
      </c>
      <c r="S6587" t="str">
        <f>_xlfn.XLOOKUP(Pipeline_tbl[[#This Row],[Created_Date]],Dim_Date!A:A,Dim_Date!H:H)</f>
        <v>Apr 2025</v>
      </c>
      <c r="T6587" t="str">
        <f>IF(Pipeline_tbl[[#This Row],[Closed_Date]]=0,"",(_xlfn.XLOOKUP(Pipeline_tbl[[#This Row],[Closed_Date]],Dim_Date!A:A,Dim_Date!H:H)))</f>
        <v>May 2025</v>
      </c>
      <c r="U6587">
        <f>IF(Pipeline_tbl[[#This Row],[Closed_Date]]=0,"",Pipeline_tbl[[#This Row],[Closed_Date]]-Pipeline_tbl[[#This Row],[Created_Date]])</f>
        <v>6</v>
      </c>
    </row>
    <row r="6588" spans="1:21" ht="15" customHeight="1" x14ac:dyDescent="0.2">
      <c r="A6588" t="s">
        <v>6894</v>
      </c>
      <c r="B6588" t="s">
        <v>267</v>
      </c>
      <c r="C6588" t="s">
        <v>53</v>
      </c>
      <c r="D6588" s="49">
        <v>45775</v>
      </c>
      <c r="E6588" s="49">
        <v>45778</v>
      </c>
      <c r="F6588" s="49">
        <v>45783</v>
      </c>
      <c r="I6588" s="49">
        <v>45803</v>
      </c>
      <c r="J6588" t="s">
        <v>49</v>
      </c>
      <c r="K6588" s="33">
        <v>16300</v>
      </c>
      <c r="L6588" t="s">
        <v>60</v>
      </c>
      <c r="M6588" t="str">
        <f>_xlfn.XLOOKUP(Pipeline_tbl[[#This Row],[Rep_ID]],Dim_Reps!A:A,Dim_Reps!K:K)</f>
        <v>MXN</v>
      </c>
      <c r="N6588" s="33">
        <f>(_xlfn.XLOOKUP(Pipeline_tbl[[#This Row],[Rate_Code_Generalized]],Lookups!A:A,Lookups!B:B))*Pipeline_tbl[[#This Row],[Pipeline_Amount_USD]]</f>
        <v>321643.01</v>
      </c>
      <c r="O6588" t="str">
        <f>_xlfn.XLOOKUP(Pipeline_tbl[[#This Row],[Rep_ID]],Dim_Reps!A:A,Dim_Reps!B:B)</f>
        <v>Yuki Dubois</v>
      </c>
      <c r="P6588" t="str">
        <f>_xlfn.XLOOKUP(Pipeline_tbl[[#This Row],[Rep_ID]],Dim_Reps!A:A,Dim_Reps!C:C)</f>
        <v>Mid-Market AE</v>
      </c>
      <c r="Q6588" t="str">
        <f>_xlfn.XLOOKUP(Pipeline_tbl[[#This Row],[Rep_ID]],Dim_Reps!A:A,Dim_Reps!D:D)</f>
        <v>Mid-Market</v>
      </c>
      <c r="R6588" t="str">
        <f>_xlfn.XLOOKUP(Pipeline_tbl[[#This Row],[Rep_ID]],Dim_Reps!A:A,Dim_Reps!E:E)</f>
        <v>LATAM</v>
      </c>
      <c r="S6588" t="str">
        <f>_xlfn.XLOOKUP(Pipeline_tbl[[#This Row],[Created_Date]],Dim_Date!A:A,Dim_Date!H:H)</f>
        <v>Apr 2025</v>
      </c>
      <c r="T6588" t="str">
        <f>IF(Pipeline_tbl[[#This Row],[Closed_Date]]=0,"",(_xlfn.XLOOKUP(Pipeline_tbl[[#This Row],[Closed_Date]],Dim_Date!A:A,Dim_Date!H:H)))</f>
        <v>May 2025</v>
      </c>
      <c r="U6588">
        <f>IF(Pipeline_tbl[[#This Row],[Closed_Date]]=0,"",Pipeline_tbl[[#This Row],[Closed_Date]]-Pipeline_tbl[[#This Row],[Created_Date]])</f>
        <v>28</v>
      </c>
    </row>
    <row r="6589" spans="1:21" ht="15" customHeight="1" x14ac:dyDescent="0.2">
      <c r="A6589" t="s">
        <v>6895</v>
      </c>
      <c r="B6589" t="s">
        <v>267</v>
      </c>
      <c r="C6589" t="s">
        <v>53</v>
      </c>
      <c r="D6589" s="49">
        <v>45764</v>
      </c>
      <c r="E6589" s="49">
        <v>45768</v>
      </c>
      <c r="F6589" s="49">
        <v>45775</v>
      </c>
      <c r="I6589" s="49">
        <v>45800</v>
      </c>
      <c r="J6589" t="s">
        <v>49</v>
      </c>
      <c r="K6589" s="33">
        <v>17400</v>
      </c>
      <c r="L6589" t="s">
        <v>62</v>
      </c>
      <c r="M6589" t="str">
        <f>_xlfn.XLOOKUP(Pipeline_tbl[[#This Row],[Rep_ID]],Dim_Reps!A:A,Dim_Reps!K:K)</f>
        <v>MXN</v>
      </c>
      <c r="N6589" s="33">
        <f>(_xlfn.XLOOKUP(Pipeline_tbl[[#This Row],[Rate_Code_Generalized]],Lookups!A:A,Lookups!B:B))*Pipeline_tbl[[#This Row],[Pipeline_Amount_USD]]</f>
        <v>343348.98000000004</v>
      </c>
      <c r="O6589" t="str">
        <f>_xlfn.XLOOKUP(Pipeline_tbl[[#This Row],[Rep_ID]],Dim_Reps!A:A,Dim_Reps!B:B)</f>
        <v>Yuki Dubois</v>
      </c>
      <c r="P6589" t="str">
        <f>_xlfn.XLOOKUP(Pipeline_tbl[[#This Row],[Rep_ID]],Dim_Reps!A:A,Dim_Reps!C:C)</f>
        <v>Mid-Market AE</v>
      </c>
      <c r="Q6589" t="str">
        <f>_xlfn.XLOOKUP(Pipeline_tbl[[#This Row],[Rep_ID]],Dim_Reps!A:A,Dim_Reps!D:D)</f>
        <v>Mid-Market</v>
      </c>
      <c r="R6589" t="str">
        <f>_xlfn.XLOOKUP(Pipeline_tbl[[#This Row],[Rep_ID]],Dim_Reps!A:A,Dim_Reps!E:E)</f>
        <v>LATAM</v>
      </c>
      <c r="S6589" t="str">
        <f>_xlfn.XLOOKUP(Pipeline_tbl[[#This Row],[Created_Date]],Dim_Date!A:A,Dim_Date!H:H)</f>
        <v>Apr 2025</v>
      </c>
      <c r="T6589" t="str">
        <f>IF(Pipeline_tbl[[#This Row],[Closed_Date]]=0,"",(_xlfn.XLOOKUP(Pipeline_tbl[[#This Row],[Closed_Date]],Dim_Date!A:A,Dim_Date!H:H)))</f>
        <v>May 2025</v>
      </c>
      <c r="U6589">
        <f>IF(Pipeline_tbl[[#This Row],[Closed_Date]]=0,"",Pipeline_tbl[[#This Row],[Closed_Date]]-Pipeline_tbl[[#This Row],[Created_Date]])</f>
        <v>36</v>
      </c>
    </row>
    <row r="6590" spans="1:21" ht="15" customHeight="1" x14ac:dyDescent="0.2">
      <c r="A6590" t="s">
        <v>6896</v>
      </c>
      <c r="B6590" t="s">
        <v>235</v>
      </c>
      <c r="C6590" t="s">
        <v>56</v>
      </c>
      <c r="D6590" s="49">
        <v>45775</v>
      </c>
      <c r="E6590" s="49">
        <v>45778</v>
      </c>
      <c r="F6590" s="49">
        <v>45785</v>
      </c>
      <c r="G6590" s="49">
        <v>45794</v>
      </c>
      <c r="H6590" s="49">
        <v>45802</v>
      </c>
      <c r="I6590" s="49">
        <v>45807</v>
      </c>
      <c r="J6590" t="s">
        <v>47</v>
      </c>
      <c r="K6590" s="33">
        <v>3800</v>
      </c>
      <c r="M6590" t="str">
        <f>_xlfn.XLOOKUP(Pipeline_tbl[[#This Row],[Rep_ID]],Dim_Reps!A:A,Dim_Reps!K:K)</f>
        <v>MXN</v>
      </c>
      <c r="N6590" s="33">
        <f>(_xlfn.XLOOKUP(Pipeline_tbl[[#This Row],[Rate_Code_Generalized]],Lookups!A:A,Lookups!B:B))*Pipeline_tbl[[#This Row],[Pipeline_Amount_USD]]</f>
        <v>74984.260000000009</v>
      </c>
      <c r="O6590" t="str">
        <f>_xlfn.XLOOKUP(Pipeline_tbl[[#This Row],[Rep_ID]],Dim_Reps!A:A,Dim_Reps!B:B)</f>
        <v>Milo Castro</v>
      </c>
      <c r="P6590" t="str">
        <f>_xlfn.XLOOKUP(Pipeline_tbl[[#This Row],[Rep_ID]],Dim_Reps!A:A,Dim_Reps!C:C)</f>
        <v>SDR / Inside Sales Rep</v>
      </c>
      <c r="Q6590" t="str">
        <f>_xlfn.XLOOKUP(Pipeline_tbl[[#This Row],[Rep_ID]],Dim_Reps!A:A,Dim_Reps!D:D)</f>
        <v>Inside Sales</v>
      </c>
      <c r="R6590" t="str">
        <f>_xlfn.XLOOKUP(Pipeline_tbl[[#This Row],[Rep_ID]],Dim_Reps!A:A,Dim_Reps!E:E)</f>
        <v>LATAM</v>
      </c>
      <c r="S6590" t="str">
        <f>_xlfn.XLOOKUP(Pipeline_tbl[[#This Row],[Created_Date]],Dim_Date!A:A,Dim_Date!H:H)</f>
        <v>Apr 2025</v>
      </c>
      <c r="T6590" t="str">
        <f>IF(Pipeline_tbl[[#This Row],[Closed_Date]]=0,"",(_xlfn.XLOOKUP(Pipeline_tbl[[#This Row],[Closed_Date]],Dim_Date!A:A,Dim_Date!H:H)))</f>
        <v>May 2025</v>
      </c>
      <c r="U6590">
        <f>IF(Pipeline_tbl[[#This Row],[Closed_Date]]=0,"",Pipeline_tbl[[#This Row],[Closed_Date]]-Pipeline_tbl[[#This Row],[Created_Date]])</f>
        <v>32</v>
      </c>
    </row>
    <row r="6591" spans="1:21" ht="15" customHeight="1" x14ac:dyDescent="0.2">
      <c r="A6591" t="s">
        <v>6897</v>
      </c>
      <c r="B6591" t="s">
        <v>235</v>
      </c>
      <c r="C6591" t="s">
        <v>56</v>
      </c>
      <c r="D6591" s="49">
        <v>45761</v>
      </c>
      <c r="E6591" s="49">
        <v>45763</v>
      </c>
      <c r="F6591" s="49">
        <v>45768</v>
      </c>
      <c r="G6591" s="49">
        <v>45775</v>
      </c>
      <c r="I6591" s="49">
        <v>45784</v>
      </c>
      <c r="J6591" t="s">
        <v>49</v>
      </c>
      <c r="K6591" s="33">
        <v>3500</v>
      </c>
      <c r="L6591" t="s">
        <v>64</v>
      </c>
      <c r="M6591" t="str">
        <f>_xlfn.XLOOKUP(Pipeline_tbl[[#This Row],[Rep_ID]],Dim_Reps!A:A,Dim_Reps!K:K)</f>
        <v>MXN</v>
      </c>
      <c r="N6591" s="33">
        <f>(_xlfn.XLOOKUP(Pipeline_tbl[[#This Row],[Rate_Code_Generalized]],Lookups!A:A,Lookups!B:B))*Pipeline_tbl[[#This Row],[Pipeline_Amount_USD]]</f>
        <v>69064.45</v>
      </c>
      <c r="O6591" t="str">
        <f>_xlfn.XLOOKUP(Pipeline_tbl[[#This Row],[Rep_ID]],Dim_Reps!A:A,Dim_Reps!B:B)</f>
        <v>Milo Castro</v>
      </c>
      <c r="P6591" t="str">
        <f>_xlfn.XLOOKUP(Pipeline_tbl[[#This Row],[Rep_ID]],Dim_Reps!A:A,Dim_Reps!C:C)</f>
        <v>SDR / Inside Sales Rep</v>
      </c>
      <c r="Q6591" t="str">
        <f>_xlfn.XLOOKUP(Pipeline_tbl[[#This Row],[Rep_ID]],Dim_Reps!A:A,Dim_Reps!D:D)</f>
        <v>Inside Sales</v>
      </c>
      <c r="R6591" t="str">
        <f>_xlfn.XLOOKUP(Pipeline_tbl[[#This Row],[Rep_ID]],Dim_Reps!A:A,Dim_Reps!E:E)</f>
        <v>LATAM</v>
      </c>
      <c r="S6591" t="str">
        <f>_xlfn.XLOOKUP(Pipeline_tbl[[#This Row],[Created_Date]],Dim_Date!A:A,Dim_Date!H:H)</f>
        <v>Apr 2025</v>
      </c>
      <c r="T6591" t="str">
        <f>IF(Pipeline_tbl[[#This Row],[Closed_Date]]=0,"",(_xlfn.XLOOKUP(Pipeline_tbl[[#This Row],[Closed_Date]],Dim_Date!A:A,Dim_Date!H:H)))</f>
        <v>May 2025</v>
      </c>
      <c r="U6591">
        <f>IF(Pipeline_tbl[[#This Row],[Closed_Date]]=0,"",Pipeline_tbl[[#This Row],[Closed_Date]]-Pipeline_tbl[[#This Row],[Created_Date]])</f>
        <v>23</v>
      </c>
    </row>
    <row r="6592" spans="1:21" ht="15" customHeight="1" x14ac:dyDescent="0.2">
      <c r="A6592" t="s">
        <v>6898</v>
      </c>
      <c r="B6592" t="s">
        <v>235</v>
      </c>
      <c r="C6592" t="s">
        <v>52</v>
      </c>
      <c r="D6592" s="49">
        <v>45773</v>
      </c>
      <c r="E6592" s="49">
        <v>45775</v>
      </c>
      <c r="F6592" s="49">
        <v>45778</v>
      </c>
      <c r="G6592" s="49">
        <v>45784</v>
      </c>
      <c r="H6592" s="49">
        <v>45788</v>
      </c>
      <c r="I6592" s="49">
        <v>45791</v>
      </c>
      <c r="J6592" t="s">
        <v>49</v>
      </c>
      <c r="K6592" s="33">
        <v>3800</v>
      </c>
      <c r="L6592" t="s">
        <v>60</v>
      </c>
      <c r="M6592" t="str">
        <f>_xlfn.XLOOKUP(Pipeline_tbl[[#This Row],[Rep_ID]],Dim_Reps!A:A,Dim_Reps!K:K)</f>
        <v>MXN</v>
      </c>
      <c r="N6592" s="33">
        <f>(_xlfn.XLOOKUP(Pipeline_tbl[[#This Row],[Rate_Code_Generalized]],Lookups!A:A,Lookups!B:B))*Pipeline_tbl[[#This Row],[Pipeline_Amount_USD]]</f>
        <v>74984.260000000009</v>
      </c>
      <c r="O6592" t="str">
        <f>_xlfn.XLOOKUP(Pipeline_tbl[[#This Row],[Rep_ID]],Dim_Reps!A:A,Dim_Reps!B:B)</f>
        <v>Milo Castro</v>
      </c>
      <c r="P6592" t="str">
        <f>_xlfn.XLOOKUP(Pipeline_tbl[[#This Row],[Rep_ID]],Dim_Reps!A:A,Dim_Reps!C:C)</f>
        <v>SDR / Inside Sales Rep</v>
      </c>
      <c r="Q6592" t="str">
        <f>_xlfn.XLOOKUP(Pipeline_tbl[[#This Row],[Rep_ID]],Dim_Reps!A:A,Dim_Reps!D:D)</f>
        <v>Inside Sales</v>
      </c>
      <c r="R6592" t="str">
        <f>_xlfn.XLOOKUP(Pipeline_tbl[[#This Row],[Rep_ID]],Dim_Reps!A:A,Dim_Reps!E:E)</f>
        <v>LATAM</v>
      </c>
      <c r="S6592" t="str">
        <f>_xlfn.XLOOKUP(Pipeline_tbl[[#This Row],[Created_Date]],Dim_Date!A:A,Dim_Date!H:H)</f>
        <v>Apr 2025</v>
      </c>
      <c r="T6592" t="str">
        <f>IF(Pipeline_tbl[[#This Row],[Closed_Date]]=0,"",(_xlfn.XLOOKUP(Pipeline_tbl[[#This Row],[Closed_Date]],Dim_Date!A:A,Dim_Date!H:H)))</f>
        <v>May 2025</v>
      </c>
      <c r="U6592">
        <f>IF(Pipeline_tbl[[#This Row],[Closed_Date]]=0,"",Pipeline_tbl[[#This Row],[Closed_Date]]-Pipeline_tbl[[#This Row],[Created_Date]])</f>
        <v>18</v>
      </c>
    </row>
    <row r="6593" spans="1:21" ht="15" customHeight="1" x14ac:dyDescent="0.2">
      <c r="A6593" t="s">
        <v>6899</v>
      </c>
      <c r="B6593" t="s">
        <v>235</v>
      </c>
      <c r="C6593" t="s">
        <v>56</v>
      </c>
      <c r="D6593" s="49">
        <v>45776</v>
      </c>
      <c r="E6593" s="49">
        <v>45778</v>
      </c>
      <c r="F6593" s="49">
        <v>45781</v>
      </c>
      <c r="G6593" s="49">
        <v>45786</v>
      </c>
      <c r="I6593" s="49">
        <v>45792</v>
      </c>
      <c r="J6593" t="s">
        <v>49</v>
      </c>
      <c r="K6593" s="33">
        <v>4100</v>
      </c>
      <c r="L6593" t="s">
        <v>60</v>
      </c>
      <c r="M6593" t="str">
        <f>_xlfn.XLOOKUP(Pipeline_tbl[[#This Row],[Rep_ID]],Dim_Reps!A:A,Dim_Reps!K:K)</f>
        <v>MXN</v>
      </c>
      <c r="N6593" s="33">
        <f>(_xlfn.XLOOKUP(Pipeline_tbl[[#This Row],[Rate_Code_Generalized]],Lookups!A:A,Lookups!B:B))*Pipeline_tbl[[#This Row],[Pipeline_Amount_USD]]</f>
        <v>80904.070000000007</v>
      </c>
      <c r="O6593" t="str">
        <f>_xlfn.XLOOKUP(Pipeline_tbl[[#This Row],[Rep_ID]],Dim_Reps!A:A,Dim_Reps!B:B)</f>
        <v>Milo Castro</v>
      </c>
      <c r="P6593" t="str">
        <f>_xlfn.XLOOKUP(Pipeline_tbl[[#This Row],[Rep_ID]],Dim_Reps!A:A,Dim_Reps!C:C)</f>
        <v>SDR / Inside Sales Rep</v>
      </c>
      <c r="Q6593" t="str">
        <f>_xlfn.XLOOKUP(Pipeline_tbl[[#This Row],[Rep_ID]],Dim_Reps!A:A,Dim_Reps!D:D)</f>
        <v>Inside Sales</v>
      </c>
      <c r="R6593" t="str">
        <f>_xlfn.XLOOKUP(Pipeline_tbl[[#This Row],[Rep_ID]],Dim_Reps!A:A,Dim_Reps!E:E)</f>
        <v>LATAM</v>
      </c>
      <c r="S6593" t="str">
        <f>_xlfn.XLOOKUP(Pipeline_tbl[[#This Row],[Created_Date]],Dim_Date!A:A,Dim_Date!H:H)</f>
        <v>Apr 2025</v>
      </c>
      <c r="T6593" t="str">
        <f>IF(Pipeline_tbl[[#This Row],[Closed_Date]]=0,"",(_xlfn.XLOOKUP(Pipeline_tbl[[#This Row],[Closed_Date]],Dim_Date!A:A,Dim_Date!H:H)))</f>
        <v>May 2025</v>
      </c>
      <c r="U6593">
        <f>IF(Pipeline_tbl[[#This Row],[Closed_Date]]=0,"",Pipeline_tbl[[#This Row],[Closed_Date]]-Pipeline_tbl[[#This Row],[Created_Date]])</f>
        <v>16</v>
      </c>
    </row>
    <row r="6594" spans="1:21" ht="15" customHeight="1" x14ac:dyDescent="0.2">
      <c r="A6594" t="s">
        <v>6900</v>
      </c>
      <c r="B6594" t="s">
        <v>235</v>
      </c>
      <c r="C6594" t="s">
        <v>52</v>
      </c>
      <c r="D6594" s="49">
        <v>45756</v>
      </c>
      <c r="E6594" s="49">
        <v>45758</v>
      </c>
      <c r="F6594" s="49">
        <v>45763</v>
      </c>
      <c r="G6594" s="49">
        <v>45770</v>
      </c>
      <c r="H6594" s="49">
        <v>45776</v>
      </c>
      <c r="I6594" s="49">
        <v>45779</v>
      </c>
      <c r="J6594" t="s">
        <v>47</v>
      </c>
      <c r="K6594" s="33">
        <v>4300</v>
      </c>
      <c r="M6594" t="str">
        <f>_xlfn.XLOOKUP(Pipeline_tbl[[#This Row],[Rep_ID]],Dim_Reps!A:A,Dim_Reps!K:K)</f>
        <v>MXN</v>
      </c>
      <c r="N6594" s="33">
        <f>(_xlfn.XLOOKUP(Pipeline_tbl[[#This Row],[Rate_Code_Generalized]],Lookups!A:A,Lookups!B:B))*Pipeline_tbl[[#This Row],[Pipeline_Amount_USD]]</f>
        <v>84850.61</v>
      </c>
      <c r="O6594" t="str">
        <f>_xlfn.XLOOKUP(Pipeline_tbl[[#This Row],[Rep_ID]],Dim_Reps!A:A,Dim_Reps!B:B)</f>
        <v>Milo Castro</v>
      </c>
      <c r="P6594" t="str">
        <f>_xlfn.XLOOKUP(Pipeline_tbl[[#This Row],[Rep_ID]],Dim_Reps!A:A,Dim_Reps!C:C)</f>
        <v>SDR / Inside Sales Rep</v>
      </c>
      <c r="Q6594" t="str">
        <f>_xlfn.XLOOKUP(Pipeline_tbl[[#This Row],[Rep_ID]],Dim_Reps!A:A,Dim_Reps!D:D)</f>
        <v>Inside Sales</v>
      </c>
      <c r="R6594" t="str">
        <f>_xlfn.XLOOKUP(Pipeline_tbl[[#This Row],[Rep_ID]],Dim_Reps!A:A,Dim_Reps!E:E)</f>
        <v>LATAM</v>
      </c>
      <c r="S6594" t="str">
        <f>_xlfn.XLOOKUP(Pipeline_tbl[[#This Row],[Created_Date]],Dim_Date!A:A,Dim_Date!H:H)</f>
        <v>Apr 2025</v>
      </c>
      <c r="T6594" t="str">
        <f>IF(Pipeline_tbl[[#This Row],[Closed_Date]]=0,"",(_xlfn.XLOOKUP(Pipeline_tbl[[#This Row],[Closed_Date]],Dim_Date!A:A,Dim_Date!H:H)))</f>
        <v>May 2025</v>
      </c>
      <c r="U6594">
        <f>IF(Pipeline_tbl[[#This Row],[Closed_Date]]=0,"",Pipeline_tbl[[#This Row],[Closed_Date]]-Pipeline_tbl[[#This Row],[Created_Date]])</f>
        <v>23</v>
      </c>
    </row>
    <row r="6595" spans="1:21" ht="15" customHeight="1" x14ac:dyDescent="0.2">
      <c r="A6595" t="s">
        <v>6901</v>
      </c>
      <c r="B6595" t="s">
        <v>235</v>
      </c>
      <c r="C6595" t="s">
        <v>52</v>
      </c>
      <c r="D6595" s="49">
        <v>45766</v>
      </c>
      <c r="E6595" s="49">
        <v>45767</v>
      </c>
      <c r="F6595" s="49">
        <v>45770</v>
      </c>
      <c r="G6595" s="49">
        <v>45774</v>
      </c>
      <c r="H6595" s="49">
        <v>45778</v>
      </c>
      <c r="I6595" s="49">
        <v>45780</v>
      </c>
      <c r="J6595" t="s">
        <v>47</v>
      </c>
      <c r="K6595" s="33">
        <v>3600</v>
      </c>
      <c r="M6595" t="str">
        <f>_xlfn.XLOOKUP(Pipeline_tbl[[#This Row],[Rep_ID]],Dim_Reps!A:A,Dim_Reps!K:K)</f>
        <v>MXN</v>
      </c>
      <c r="N6595" s="33">
        <f>(_xlfn.XLOOKUP(Pipeline_tbl[[#This Row],[Rate_Code_Generalized]],Lookups!A:A,Lookups!B:B))*Pipeline_tbl[[#This Row],[Pipeline_Amount_USD]]</f>
        <v>71037.72</v>
      </c>
      <c r="O6595" t="str">
        <f>_xlfn.XLOOKUP(Pipeline_tbl[[#This Row],[Rep_ID]],Dim_Reps!A:A,Dim_Reps!B:B)</f>
        <v>Milo Castro</v>
      </c>
      <c r="P6595" t="str">
        <f>_xlfn.XLOOKUP(Pipeline_tbl[[#This Row],[Rep_ID]],Dim_Reps!A:A,Dim_Reps!C:C)</f>
        <v>SDR / Inside Sales Rep</v>
      </c>
      <c r="Q6595" t="str">
        <f>_xlfn.XLOOKUP(Pipeline_tbl[[#This Row],[Rep_ID]],Dim_Reps!A:A,Dim_Reps!D:D)</f>
        <v>Inside Sales</v>
      </c>
      <c r="R6595" t="str">
        <f>_xlfn.XLOOKUP(Pipeline_tbl[[#This Row],[Rep_ID]],Dim_Reps!A:A,Dim_Reps!E:E)</f>
        <v>LATAM</v>
      </c>
      <c r="S6595" t="str">
        <f>_xlfn.XLOOKUP(Pipeline_tbl[[#This Row],[Created_Date]],Dim_Date!A:A,Dim_Date!H:H)</f>
        <v>Apr 2025</v>
      </c>
      <c r="T6595" t="str">
        <f>IF(Pipeline_tbl[[#This Row],[Closed_Date]]=0,"",(_xlfn.XLOOKUP(Pipeline_tbl[[#This Row],[Closed_Date]],Dim_Date!A:A,Dim_Date!H:H)))</f>
        <v>May 2025</v>
      </c>
      <c r="U6595">
        <f>IF(Pipeline_tbl[[#This Row],[Closed_Date]]=0,"",Pipeline_tbl[[#This Row],[Closed_Date]]-Pipeline_tbl[[#This Row],[Created_Date]])</f>
        <v>14</v>
      </c>
    </row>
    <row r="6596" spans="1:21" ht="15" customHeight="1" x14ac:dyDescent="0.2">
      <c r="A6596" t="s">
        <v>6902</v>
      </c>
      <c r="B6596" t="s">
        <v>235</v>
      </c>
      <c r="C6596" t="s">
        <v>53</v>
      </c>
      <c r="D6596" s="49">
        <v>45762</v>
      </c>
      <c r="E6596" s="49">
        <v>45764</v>
      </c>
      <c r="F6596" s="49">
        <v>45769</v>
      </c>
      <c r="G6596" s="49">
        <v>45776</v>
      </c>
      <c r="H6596" s="49">
        <v>45782</v>
      </c>
      <c r="I6596" s="49">
        <v>45785</v>
      </c>
      <c r="J6596" t="s">
        <v>47</v>
      </c>
      <c r="K6596" s="33">
        <v>2900</v>
      </c>
      <c r="M6596" t="str">
        <f>_xlfn.XLOOKUP(Pipeline_tbl[[#This Row],[Rep_ID]],Dim_Reps!A:A,Dim_Reps!K:K)</f>
        <v>MXN</v>
      </c>
      <c r="N6596" s="33">
        <f>(_xlfn.XLOOKUP(Pipeline_tbl[[#This Row],[Rate_Code_Generalized]],Lookups!A:A,Lookups!B:B))*Pipeline_tbl[[#This Row],[Pipeline_Amount_USD]]</f>
        <v>57224.83</v>
      </c>
      <c r="O6596" t="str">
        <f>_xlfn.XLOOKUP(Pipeline_tbl[[#This Row],[Rep_ID]],Dim_Reps!A:A,Dim_Reps!B:B)</f>
        <v>Milo Castro</v>
      </c>
      <c r="P6596" t="str">
        <f>_xlfn.XLOOKUP(Pipeline_tbl[[#This Row],[Rep_ID]],Dim_Reps!A:A,Dim_Reps!C:C)</f>
        <v>SDR / Inside Sales Rep</v>
      </c>
      <c r="Q6596" t="str">
        <f>_xlfn.XLOOKUP(Pipeline_tbl[[#This Row],[Rep_ID]],Dim_Reps!A:A,Dim_Reps!D:D)</f>
        <v>Inside Sales</v>
      </c>
      <c r="R6596" t="str">
        <f>_xlfn.XLOOKUP(Pipeline_tbl[[#This Row],[Rep_ID]],Dim_Reps!A:A,Dim_Reps!E:E)</f>
        <v>LATAM</v>
      </c>
      <c r="S6596" t="str">
        <f>_xlfn.XLOOKUP(Pipeline_tbl[[#This Row],[Created_Date]],Dim_Date!A:A,Dim_Date!H:H)</f>
        <v>Apr 2025</v>
      </c>
      <c r="T6596" t="str">
        <f>IF(Pipeline_tbl[[#This Row],[Closed_Date]]=0,"",(_xlfn.XLOOKUP(Pipeline_tbl[[#This Row],[Closed_Date]],Dim_Date!A:A,Dim_Date!H:H)))</f>
        <v>May 2025</v>
      </c>
      <c r="U6596">
        <f>IF(Pipeline_tbl[[#This Row],[Closed_Date]]=0,"",Pipeline_tbl[[#This Row],[Closed_Date]]-Pipeline_tbl[[#This Row],[Created_Date]])</f>
        <v>23</v>
      </c>
    </row>
    <row r="6597" spans="1:21" ht="15" customHeight="1" x14ac:dyDescent="0.2">
      <c r="A6597" t="s">
        <v>6903</v>
      </c>
      <c r="B6597" t="s">
        <v>237</v>
      </c>
      <c r="C6597" t="s">
        <v>52</v>
      </c>
      <c r="D6597" s="49">
        <v>45762</v>
      </c>
      <c r="E6597" s="49">
        <v>45764</v>
      </c>
      <c r="I6597" s="49">
        <v>45784</v>
      </c>
      <c r="J6597" t="s">
        <v>49</v>
      </c>
      <c r="K6597" s="33">
        <v>5000</v>
      </c>
      <c r="L6597" t="s">
        <v>63</v>
      </c>
      <c r="M6597" t="str">
        <f>_xlfn.XLOOKUP(Pipeline_tbl[[#This Row],[Rep_ID]],Dim_Reps!A:A,Dim_Reps!K:K)</f>
        <v>EUR</v>
      </c>
      <c r="N6597" s="33">
        <f>(_xlfn.XLOOKUP(Pipeline_tbl[[#This Row],[Rate_Code_Generalized]],Lookups!A:A,Lookups!B:B))*Pipeline_tbl[[#This Row],[Pipeline_Amount_USD]]</f>
        <v>5000</v>
      </c>
      <c r="O6597" t="str">
        <f>_xlfn.XLOOKUP(Pipeline_tbl[[#This Row],[Rep_ID]],Dim_Reps!A:A,Dim_Reps!B:B)</f>
        <v>Hugo Santos</v>
      </c>
      <c r="P6597" t="str">
        <f>_xlfn.XLOOKUP(Pipeline_tbl[[#This Row],[Rep_ID]],Dim_Reps!A:A,Dim_Reps!C:C)</f>
        <v>SDR / Inside Sales Rep</v>
      </c>
      <c r="Q6597" t="str">
        <f>_xlfn.XLOOKUP(Pipeline_tbl[[#This Row],[Rep_ID]],Dim_Reps!A:A,Dim_Reps!D:D)</f>
        <v>Inside Sales</v>
      </c>
      <c r="R6597" t="str">
        <f>_xlfn.XLOOKUP(Pipeline_tbl[[#This Row],[Rep_ID]],Dim_Reps!A:A,Dim_Reps!E:E)</f>
        <v>EMEA</v>
      </c>
      <c r="S6597" t="str">
        <f>_xlfn.XLOOKUP(Pipeline_tbl[[#This Row],[Created_Date]],Dim_Date!A:A,Dim_Date!H:H)</f>
        <v>Apr 2025</v>
      </c>
      <c r="T6597" t="str">
        <f>IF(Pipeline_tbl[[#This Row],[Closed_Date]]=0,"",(_xlfn.XLOOKUP(Pipeline_tbl[[#This Row],[Closed_Date]],Dim_Date!A:A,Dim_Date!H:H)))</f>
        <v>May 2025</v>
      </c>
      <c r="U6597">
        <f>IF(Pipeline_tbl[[#This Row],[Closed_Date]]=0,"",Pipeline_tbl[[#This Row],[Closed_Date]]-Pipeline_tbl[[#This Row],[Created_Date]])</f>
        <v>22</v>
      </c>
    </row>
    <row r="6598" spans="1:21" ht="15" customHeight="1" x14ac:dyDescent="0.2">
      <c r="A6598" t="s">
        <v>6904</v>
      </c>
      <c r="B6598" t="s">
        <v>237</v>
      </c>
      <c r="C6598" t="s">
        <v>53</v>
      </c>
      <c r="D6598" s="49">
        <v>45774</v>
      </c>
      <c r="E6598" s="49">
        <v>45776</v>
      </c>
      <c r="F6598" s="49">
        <v>45779</v>
      </c>
      <c r="G6598" s="49">
        <v>45785</v>
      </c>
      <c r="H6598" s="49">
        <v>45789</v>
      </c>
      <c r="I6598" s="49">
        <v>45792</v>
      </c>
      <c r="J6598" t="s">
        <v>47</v>
      </c>
      <c r="K6598" s="33">
        <v>2500</v>
      </c>
      <c r="M6598" t="str">
        <f>_xlfn.XLOOKUP(Pipeline_tbl[[#This Row],[Rep_ID]],Dim_Reps!A:A,Dim_Reps!K:K)</f>
        <v>EUR</v>
      </c>
      <c r="N6598" s="33">
        <f>(_xlfn.XLOOKUP(Pipeline_tbl[[#This Row],[Rate_Code_Generalized]],Lookups!A:A,Lookups!B:B))*Pipeline_tbl[[#This Row],[Pipeline_Amount_USD]]</f>
        <v>2500</v>
      </c>
      <c r="O6598" t="str">
        <f>_xlfn.XLOOKUP(Pipeline_tbl[[#This Row],[Rep_ID]],Dim_Reps!A:A,Dim_Reps!B:B)</f>
        <v>Hugo Santos</v>
      </c>
      <c r="P6598" t="str">
        <f>_xlfn.XLOOKUP(Pipeline_tbl[[#This Row],[Rep_ID]],Dim_Reps!A:A,Dim_Reps!C:C)</f>
        <v>SDR / Inside Sales Rep</v>
      </c>
      <c r="Q6598" t="str">
        <f>_xlfn.XLOOKUP(Pipeline_tbl[[#This Row],[Rep_ID]],Dim_Reps!A:A,Dim_Reps!D:D)</f>
        <v>Inside Sales</v>
      </c>
      <c r="R6598" t="str">
        <f>_xlfn.XLOOKUP(Pipeline_tbl[[#This Row],[Rep_ID]],Dim_Reps!A:A,Dim_Reps!E:E)</f>
        <v>EMEA</v>
      </c>
      <c r="S6598" t="str">
        <f>_xlfn.XLOOKUP(Pipeline_tbl[[#This Row],[Created_Date]],Dim_Date!A:A,Dim_Date!H:H)</f>
        <v>Apr 2025</v>
      </c>
      <c r="T6598" t="str">
        <f>IF(Pipeline_tbl[[#This Row],[Closed_Date]]=0,"",(_xlfn.XLOOKUP(Pipeline_tbl[[#This Row],[Closed_Date]],Dim_Date!A:A,Dim_Date!H:H)))</f>
        <v>May 2025</v>
      </c>
      <c r="U6598">
        <f>IF(Pipeline_tbl[[#This Row],[Closed_Date]]=0,"",Pipeline_tbl[[#This Row],[Closed_Date]]-Pipeline_tbl[[#This Row],[Created_Date]])</f>
        <v>18</v>
      </c>
    </row>
    <row r="6599" spans="1:21" ht="15" customHeight="1" x14ac:dyDescent="0.2">
      <c r="A6599" t="s">
        <v>6905</v>
      </c>
      <c r="B6599" t="s">
        <v>237</v>
      </c>
      <c r="C6599" t="s">
        <v>55</v>
      </c>
      <c r="D6599" s="49">
        <v>45760</v>
      </c>
      <c r="E6599" s="49">
        <v>45762</v>
      </c>
      <c r="F6599" s="49">
        <v>45765</v>
      </c>
      <c r="G6599" s="49">
        <v>45771</v>
      </c>
      <c r="H6599" s="49">
        <v>45775</v>
      </c>
      <c r="I6599" s="49">
        <v>45778</v>
      </c>
      <c r="J6599" t="s">
        <v>49</v>
      </c>
      <c r="K6599" s="33">
        <v>3500</v>
      </c>
      <c r="L6599" t="s">
        <v>62</v>
      </c>
      <c r="M6599" t="str">
        <f>_xlfn.XLOOKUP(Pipeline_tbl[[#This Row],[Rep_ID]],Dim_Reps!A:A,Dim_Reps!K:K)</f>
        <v>EUR</v>
      </c>
      <c r="N6599" s="33">
        <f>(_xlfn.XLOOKUP(Pipeline_tbl[[#This Row],[Rate_Code_Generalized]],Lookups!A:A,Lookups!B:B))*Pipeline_tbl[[#This Row],[Pipeline_Amount_USD]]</f>
        <v>3500</v>
      </c>
      <c r="O6599" t="str">
        <f>_xlfn.XLOOKUP(Pipeline_tbl[[#This Row],[Rep_ID]],Dim_Reps!A:A,Dim_Reps!B:B)</f>
        <v>Hugo Santos</v>
      </c>
      <c r="P6599" t="str">
        <f>_xlfn.XLOOKUP(Pipeline_tbl[[#This Row],[Rep_ID]],Dim_Reps!A:A,Dim_Reps!C:C)</f>
        <v>SDR / Inside Sales Rep</v>
      </c>
      <c r="Q6599" t="str">
        <f>_xlfn.XLOOKUP(Pipeline_tbl[[#This Row],[Rep_ID]],Dim_Reps!A:A,Dim_Reps!D:D)</f>
        <v>Inside Sales</v>
      </c>
      <c r="R6599" t="str">
        <f>_xlfn.XLOOKUP(Pipeline_tbl[[#This Row],[Rep_ID]],Dim_Reps!A:A,Dim_Reps!E:E)</f>
        <v>EMEA</v>
      </c>
      <c r="S6599" t="str">
        <f>_xlfn.XLOOKUP(Pipeline_tbl[[#This Row],[Created_Date]],Dim_Date!A:A,Dim_Date!H:H)</f>
        <v>Apr 2025</v>
      </c>
      <c r="T6599" t="str">
        <f>IF(Pipeline_tbl[[#This Row],[Closed_Date]]=0,"",(_xlfn.XLOOKUP(Pipeline_tbl[[#This Row],[Closed_Date]],Dim_Date!A:A,Dim_Date!H:H)))</f>
        <v>May 2025</v>
      </c>
      <c r="U6599">
        <f>IF(Pipeline_tbl[[#This Row],[Closed_Date]]=0,"",Pipeline_tbl[[#This Row],[Closed_Date]]-Pipeline_tbl[[#This Row],[Created_Date]])</f>
        <v>18</v>
      </c>
    </row>
    <row r="6600" spans="1:21" ht="15" customHeight="1" x14ac:dyDescent="0.2">
      <c r="A6600" t="s">
        <v>6906</v>
      </c>
      <c r="B6600" t="s">
        <v>237</v>
      </c>
      <c r="C6600" t="s">
        <v>52</v>
      </c>
      <c r="D6600" s="49">
        <v>45770</v>
      </c>
      <c r="E6600" s="49">
        <v>45772</v>
      </c>
      <c r="F6600" s="49">
        <v>45777</v>
      </c>
      <c r="G6600" s="49">
        <v>45784</v>
      </c>
      <c r="I6600" s="49">
        <v>45794</v>
      </c>
      <c r="J6600" t="s">
        <v>49</v>
      </c>
      <c r="K6600" s="33">
        <v>1300</v>
      </c>
      <c r="L6600" t="s">
        <v>60</v>
      </c>
      <c r="M6600" t="str">
        <f>_xlfn.XLOOKUP(Pipeline_tbl[[#This Row],[Rep_ID]],Dim_Reps!A:A,Dim_Reps!K:K)</f>
        <v>EUR</v>
      </c>
      <c r="N6600" s="33">
        <f>(_xlfn.XLOOKUP(Pipeline_tbl[[#This Row],[Rate_Code_Generalized]],Lookups!A:A,Lookups!B:B))*Pipeline_tbl[[#This Row],[Pipeline_Amount_USD]]</f>
        <v>1300</v>
      </c>
      <c r="O6600" t="str">
        <f>_xlfn.XLOOKUP(Pipeline_tbl[[#This Row],[Rep_ID]],Dim_Reps!A:A,Dim_Reps!B:B)</f>
        <v>Hugo Santos</v>
      </c>
      <c r="P6600" t="str">
        <f>_xlfn.XLOOKUP(Pipeline_tbl[[#This Row],[Rep_ID]],Dim_Reps!A:A,Dim_Reps!C:C)</f>
        <v>SDR / Inside Sales Rep</v>
      </c>
      <c r="Q6600" t="str">
        <f>_xlfn.XLOOKUP(Pipeline_tbl[[#This Row],[Rep_ID]],Dim_Reps!A:A,Dim_Reps!D:D)</f>
        <v>Inside Sales</v>
      </c>
      <c r="R6600" t="str">
        <f>_xlfn.XLOOKUP(Pipeline_tbl[[#This Row],[Rep_ID]],Dim_Reps!A:A,Dim_Reps!E:E)</f>
        <v>EMEA</v>
      </c>
      <c r="S6600" t="str">
        <f>_xlfn.XLOOKUP(Pipeline_tbl[[#This Row],[Created_Date]],Dim_Date!A:A,Dim_Date!H:H)</f>
        <v>Apr 2025</v>
      </c>
      <c r="T6600" t="str">
        <f>IF(Pipeline_tbl[[#This Row],[Closed_Date]]=0,"",(_xlfn.XLOOKUP(Pipeline_tbl[[#This Row],[Closed_Date]],Dim_Date!A:A,Dim_Date!H:H)))</f>
        <v>May 2025</v>
      </c>
      <c r="U6600">
        <f>IF(Pipeline_tbl[[#This Row],[Closed_Date]]=0,"",Pipeline_tbl[[#This Row],[Closed_Date]]-Pipeline_tbl[[#This Row],[Created_Date]])</f>
        <v>24</v>
      </c>
    </row>
    <row r="6601" spans="1:21" ht="15" customHeight="1" x14ac:dyDescent="0.2">
      <c r="A6601" t="s">
        <v>6907</v>
      </c>
      <c r="B6601" t="s">
        <v>237</v>
      </c>
      <c r="C6601" t="s">
        <v>53</v>
      </c>
      <c r="D6601" s="49">
        <v>45775</v>
      </c>
      <c r="E6601" s="49">
        <v>45777</v>
      </c>
      <c r="F6601" s="49">
        <v>45780</v>
      </c>
      <c r="G6601" s="49">
        <v>45785</v>
      </c>
      <c r="I6601" s="49">
        <v>45791</v>
      </c>
      <c r="J6601" t="s">
        <v>49</v>
      </c>
      <c r="K6601" s="33">
        <v>3800</v>
      </c>
      <c r="L6601" t="s">
        <v>63</v>
      </c>
      <c r="M6601" t="str">
        <f>_xlfn.XLOOKUP(Pipeline_tbl[[#This Row],[Rep_ID]],Dim_Reps!A:A,Dim_Reps!K:K)</f>
        <v>EUR</v>
      </c>
      <c r="N6601" s="33">
        <f>(_xlfn.XLOOKUP(Pipeline_tbl[[#This Row],[Rate_Code_Generalized]],Lookups!A:A,Lookups!B:B))*Pipeline_tbl[[#This Row],[Pipeline_Amount_USD]]</f>
        <v>3800</v>
      </c>
      <c r="O6601" t="str">
        <f>_xlfn.XLOOKUP(Pipeline_tbl[[#This Row],[Rep_ID]],Dim_Reps!A:A,Dim_Reps!B:B)</f>
        <v>Hugo Santos</v>
      </c>
      <c r="P6601" t="str">
        <f>_xlfn.XLOOKUP(Pipeline_tbl[[#This Row],[Rep_ID]],Dim_Reps!A:A,Dim_Reps!C:C)</f>
        <v>SDR / Inside Sales Rep</v>
      </c>
      <c r="Q6601" t="str">
        <f>_xlfn.XLOOKUP(Pipeline_tbl[[#This Row],[Rep_ID]],Dim_Reps!A:A,Dim_Reps!D:D)</f>
        <v>Inside Sales</v>
      </c>
      <c r="R6601" t="str">
        <f>_xlfn.XLOOKUP(Pipeline_tbl[[#This Row],[Rep_ID]],Dim_Reps!A:A,Dim_Reps!E:E)</f>
        <v>EMEA</v>
      </c>
      <c r="S6601" t="str">
        <f>_xlfn.XLOOKUP(Pipeline_tbl[[#This Row],[Created_Date]],Dim_Date!A:A,Dim_Date!H:H)</f>
        <v>Apr 2025</v>
      </c>
      <c r="T6601" t="str">
        <f>IF(Pipeline_tbl[[#This Row],[Closed_Date]]=0,"",(_xlfn.XLOOKUP(Pipeline_tbl[[#This Row],[Closed_Date]],Dim_Date!A:A,Dim_Date!H:H)))</f>
        <v>May 2025</v>
      </c>
      <c r="U6601">
        <f>IF(Pipeline_tbl[[#This Row],[Closed_Date]]=0,"",Pipeline_tbl[[#This Row],[Closed_Date]]-Pipeline_tbl[[#This Row],[Created_Date]])</f>
        <v>16</v>
      </c>
    </row>
    <row r="6602" spans="1:21" ht="15" customHeight="1" x14ac:dyDescent="0.2">
      <c r="A6602" t="s">
        <v>6908</v>
      </c>
      <c r="B6602" t="s">
        <v>237</v>
      </c>
      <c r="C6602" t="s">
        <v>52</v>
      </c>
      <c r="D6602" s="49">
        <v>45763</v>
      </c>
      <c r="E6602" s="49">
        <v>45765</v>
      </c>
      <c r="F6602" s="49">
        <v>45768</v>
      </c>
      <c r="I6602" s="49">
        <v>45780</v>
      </c>
      <c r="J6602" t="s">
        <v>49</v>
      </c>
      <c r="K6602" s="33">
        <v>2100</v>
      </c>
      <c r="L6602" t="s">
        <v>60</v>
      </c>
      <c r="M6602" t="str">
        <f>_xlfn.XLOOKUP(Pipeline_tbl[[#This Row],[Rep_ID]],Dim_Reps!A:A,Dim_Reps!K:K)</f>
        <v>EUR</v>
      </c>
      <c r="N6602" s="33">
        <f>(_xlfn.XLOOKUP(Pipeline_tbl[[#This Row],[Rate_Code_Generalized]],Lookups!A:A,Lookups!B:B))*Pipeline_tbl[[#This Row],[Pipeline_Amount_USD]]</f>
        <v>2100</v>
      </c>
      <c r="O6602" t="str">
        <f>_xlfn.XLOOKUP(Pipeline_tbl[[#This Row],[Rep_ID]],Dim_Reps!A:A,Dim_Reps!B:B)</f>
        <v>Hugo Santos</v>
      </c>
      <c r="P6602" t="str">
        <f>_xlfn.XLOOKUP(Pipeline_tbl[[#This Row],[Rep_ID]],Dim_Reps!A:A,Dim_Reps!C:C)</f>
        <v>SDR / Inside Sales Rep</v>
      </c>
      <c r="Q6602" t="str">
        <f>_xlfn.XLOOKUP(Pipeline_tbl[[#This Row],[Rep_ID]],Dim_Reps!A:A,Dim_Reps!D:D)</f>
        <v>Inside Sales</v>
      </c>
      <c r="R6602" t="str">
        <f>_xlfn.XLOOKUP(Pipeline_tbl[[#This Row],[Rep_ID]],Dim_Reps!A:A,Dim_Reps!E:E)</f>
        <v>EMEA</v>
      </c>
      <c r="S6602" t="str">
        <f>_xlfn.XLOOKUP(Pipeline_tbl[[#This Row],[Created_Date]],Dim_Date!A:A,Dim_Date!H:H)</f>
        <v>Apr 2025</v>
      </c>
      <c r="T6602" t="str">
        <f>IF(Pipeline_tbl[[#This Row],[Closed_Date]]=0,"",(_xlfn.XLOOKUP(Pipeline_tbl[[#This Row],[Closed_Date]],Dim_Date!A:A,Dim_Date!H:H)))</f>
        <v>May 2025</v>
      </c>
      <c r="U6602">
        <f>IF(Pipeline_tbl[[#This Row],[Closed_Date]]=0,"",Pipeline_tbl[[#This Row],[Closed_Date]]-Pipeline_tbl[[#This Row],[Created_Date]])</f>
        <v>17</v>
      </c>
    </row>
    <row r="6603" spans="1:21" ht="15" customHeight="1" x14ac:dyDescent="0.2">
      <c r="A6603" t="s">
        <v>6909</v>
      </c>
      <c r="B6603" t="s">
        <v>237</v>
      </c>
      <c r="C6603" t="s">
        <v>52</v>
      </c>
      <c r="D6603" s="49">
        <v>45773</v>
      </c>
      <c r="E6603" s="49">
        <v>45775</v>
      </c>
      <c r="F6603" s="49">
        <v>45778</v>
      </c>
      <c r="G6603" s="49">
        <v>45784</v>
      </c>
      <c r="H6603" s="49">
        <v>45788</v>
      </c>
      <c r="I6603" s="49">
        <v>45791</v>
      </c>
      <c r="J6603" t="s">
        <v>47</v>
      </c>
      <c r="K6603" s="33">
        <v>3500</v>
      </c>
      <c r="M6603" t="str">
        <f>_xlfn.XLOOKUP(Pipeline_tbl[[#This Row],[Rep_ID]],Dim_Reps!A:A,Dim_Reps!K:K)</f>
        <v>EUR</v>
      </c>
      <c r="N6603" s="33">
        <f>(_xlfn.XLOOKUP(Pipeline_tbl[[#This Row],[Rate_Code_Generalized]],Lookups!A:A,Lookups!B:B))*Pipeline_tbl[[#This Row],[Pipeline_Amount_USD]]</f>
        <v>3500</v>
      </c>
      <c r="O6603" t="str">
        <f>_xlfn.XLOOKUP(Pipeline_tbl[[#This Row],[Rep_ID]],Dim_Reps!A:A,Dim_Reps!B:B)</f>
        <v>Hugo Santos</v>
      </c>
      <c r="P6603" t="str">
        <f>_xlfn.XLOOKUP(Pipeline_tbl[[#This Row],[Rep_ID]],Dim_Reps!A:A,Dim_Reps!C:C)</f>
        <v>SDR / Inside Sales Rep</v>
      </c>
      <c r="Q6603" t="str">
        <f>_xlfn.XLOOKUP(Pipeline_tbl[[#This Row],[Rep_ID]],Dim_Reps!A:A,Dim_Reps!D:D)</f>
        <v>Inside Sales</v>
      </c>
      <c r="R6603" t="str">
        <f>_xlfn.XLOOKUP(Pipeline_tbl[[#This Row],[Rep_ID]],Dim_Reps!A:A,Dim_Reps!E:E)</f>
        <v>EMEA</v>
      </c>
      <c r="S6603" t="str">
        <f>_xlfn.XLOOKUP(Pipeline_tbl[[#This Row],[Created_Date]],Dim_Date!A:A,Dim_Date!H:H)</f>
        <v>Apr 2025</v>
      </c>
      <c r="T6603" t="str">
        <f>IF(Pipeline_tbl[[#This Row],[Closed_Date]]=0,"",(_xlfn.XLOOKUP(Pipeline_tbl[[#This Row],[Closed_Date]],Dim_Date!A:A,Dim_Date!H:H)))</f>
        <v>May 2025</v>
      </c>
      <c r="U6603">
        <f>IF(Pipeline_tbl[[#This Row],[Closed_Date]]=0,"",Pipeline_tbl[[#This Row],[Closed_Date]]-Pipeline_tbl[[#This Row],[Created_Date]])</f>
        <v>18</v>
      </c>
    </row>
    <row r="6604" spans="1:21" ht="15" customHeight="1" x14ac:dyDescent="0.2">
      <c r="A6604" t="s">
        <v>6910</v>
      </c>
      <c r="B6604" t="s">
        <v>237</v>
      </c>
      <c r="C6604" t="s">
        <v>55</v>
      </c>
      <c r="D6604" s="49">
        <v>45761</v>
      </c>
      <c r="E6604" s="49">
        <v>45763</v>
      </c>
      <c r="F6604" s="49">
        <v>45766</v>
      </c>
      <c r="G6604" s="49">
        <v>45772</v>
      </c>
      <c r="H6604" s="49">
        <v>45776</v>
      </c>
      <c r="I6604" s="49">
        <v>45779</v>
      </c>
      <c r="J6604" t="s">
        <v>47</v>
      </c>
      <c r="K6604" s="33">
        <v>2500</v>
      </c>
      <c r="M6604" t="str">
        <f>_xlfn.XLOOKUP(Pipeline_tbl[[#This Row],[Rep_ID]],Dim_Reps!A:A,Dim_Reps!K:K)</f>
        <v>EUR</v>
      </c>
      <c r="N6604" s="33">
        <f>(_xlfn.XLOOKUP(Pipeline_tbl[[#This Row],[Rate_Code_Generalized]],Lookups!A:A,Lookups!B:B))*Pipeline_tbl[[#This Row],[Pipeline_Amount_USD]]</f>
        <v>2500</v>
      </c>
      <c r="O6604" t="str">
        <f>_xlfn.XLOOKUP(Pipeline_tbl[[#This Row],[Rep_ID]],Dim_Reps!A:A,Dim_Reps!B:B)</f>
        <v>Hugo Santos</v>
      </c>
      <c r="P6604" t="str">
        <f>_xlfn.XLOOKUP(Pipeline_tbl[[#This Row],[Rep_ID]],Dim_Reps!A:A,Dim_Reps!C:C)</f>
        <v>SDR / Inside Sales Rep</v>
      </c>
      <c r="Q6604" t="str">
        <f>_xlfn.XLOOKUP(Pipeline_tbl[[#This Row],[Rep_ID]],Dim_Reps!A:A,Dim_Reps!D:D)</f>
        <v>Inside Sales</v>
      </c>
      <c r="R6604" t="str">
        <f>_xlfn.XLOOKUP(Pipeline_tbl[[#This Row],[Rep_ID]],Dim_Reps!A:A,Dim_Reps!E:E)</f>
        <v>EMEA</v>
      </c>
      <c r="S6604" t="str">
        <f>_xlfn.XLOOKUP(Pipeline_tbl[[#This Row],[Created_Date]],Dim_Date!A:A,Dim_Date!H:H)</f>
        <v>Apr 2025</v>
      </c>
      <c r="T6604" t="str">
        <f>IF(Pipeline_tbl[[#This Row],[Closed_Date]]=0,"",(_xlfn.XLOOKUP(Pipeline_tbl[[#This Row],[Closed_Date]],Dim_Date!A:A,Dim_Date!H:H)))</f>
        <v>May 2025</v>
      </c>
      <c r="U6604">
        <f>IF(Pipeline_tbl[[#This Row],[Closed_Date]]=0,"",Pipeline_tbl[[#This Row],[Closed_Date]]-Pipeline_tbl[[#This Row],[Created_Date]])</f>
        <v>18</v>
      </c>
    </row>
    <row r="6605" spans="1:21" ht="15" customHeight="1" x14ac:dyDescent="0.2">
      <c r="A6605" t="s">
        <v>6911</v>
      </c>
      <c r="B6605" t="s">
        <v>237</v>
      </c>
      <c r="C6605" t="s">
        <v>55</v>
      </c>
      <c r="D6605" s="49">
        <v>45768</v>
      </c>
      <c r="E6605" s="49">
        <v>45770</v>
      </c>
      <c r="F6605" s="49">
        <v>45775</v>
      </c>
      <c r="G6605" s="49">
        <v>45782</v>
      </c>
      <c r="H6605" s="49">
        <v>45788</v>
      </c>
      <c r="I6605" s="49">
        <v>45791</v>
      </c>
      <c r="J6605" t="s">
        <v>47</v>
      </c>
      <c r="K6605" s="33">
        <v>3200</v>
      </c>
      <c r="M6605" t="str">
        <f>_xlfn.XLOOKUP(Pipeline_tbl[[#This Row],[Rep_ID]],Dim_Reps!A:A,Dim_Reps!K:K)</f>
        <v>EUR</v>
      </c>
      <c r="N6605" s="33">
        <f>(_xlfn.XLOOKUP(Pipeline_tbl[[#This Row],[Rate_Code_Generalized]],Lookups!A:A,Lookups!B:B))*Pipeline_tbl[[#This Row],[Pipeline_Amount_USD]]</f>
        <v>3200</v>
      </c>
      <c r="O6605" t="str">
        <f>_xlfn.XLOOKUP(Pipeline_tbl[[#This Row],[Rep_ID]],Dim_Reps!A:A,Dim_Reps!B:B)</f>
        <v>Hugo Santos</v>
      </c>
      <c r="P6605" t="str">
        <f>_xlfn.XLOOKUP(Pipeline_tbl[[#This Row],[Rep_ID]],Dim_Reps!A:A,Dim_Reps!C:C)</f>
        <v>SDR / Inside Sales Rep</v>
      </c>
      <c r="Q6605" t="str">
        <f>_xlfn.XLOOKUP(Pipeline_tbl[[#This Row],[Rep_ID]],Dim_Reps!A:A,Dim_Reps!D:D)</f>
        <v>Inside Sales</v>
      </c>
      <c r="R6605" t="str">
        <f>_xlfn.XLOOKUP(Pipeline_tbl[[#This Row],[Rep_ID]],Dim_Reps!A:A,Dim_Reps!E:E)</f>
        <v>EMEA</v>
      </c>
      <c r="S6605" t="str">
        <f>_xlfn.XLOOKUP(Pipeline_tbl[[#This Row],[Created_Date]],Dim_Date!A:A,Dim_Date!H:H)</f>
        <v>Apr 2025</v>
      </c>
      <c r="T6605" t="str">
        <f>IF(Pipeline_tbl[[#This Row],[Closed_Date]]=0,"",(_xlfn.XLOOKUP(Pipeline_tbl[[#This Row],[Closed_Date]],Dim_Date!A:A,Dim_Date!H:H)))</f>
        <v>May 2025</v>
      </c>
      <c r="U6605">
        <f>IF(Pipeline_tbl[[#This Row],[Closed_Date]]=0,"",Pipeline_tbl[[#This Row],[Closed_Date]]-Pipeline_tbl[[#This Row],[Created_Date]])</f>
        <v>23</v>
      </c>
    </row>
    <row r="6606" spans="1:21" ht="15" customHeight="1" x14ac:dyDescent="0.2">
      <c r="A6606" t="s">
        <v>6912</v>
      </c>
      <c r="B6606" t="s">
        <v>237</v>
      </c>
      <c r="C6606" t="s">
        <v>53</v>
      </c>
      <c r="D6606" s="49">
        <v>45776</v>
      </c>
      <c r="E6606" s="49">
        <v>45778</v>
      </c>
      <c r="F6606" s="49">
        <v>45783</v>
      </c>
      <c r="I6606" s="49">
        <v>45798</v>
      </c>
      <c r="J6606" t="s">
        <v>49</v>
      </c>
      <c r="K6606" s="33">
        <v>4600</v>
      </c>
      <c r="L6606" t="s">
        <v>60</v>
      </c>
      <c r="M6606" t="str">
        <f>_xlfn.XLOOKUP(Pipeline_tbl[[#This Row],[Rep_ID]],Dim_Reps!A:A,Dim_Reps!K:K)</f>
        <v>EUR</v>
      </c>
      <c r="N6606" s="33">
        <f>(_xlfn.XLOOKUP(Pipeline_tbl[[#This Row],[Rate_Code_Generalized]],Lookups!A:A,Lookups!B:B))*Pipeline_tbl[[#This Row],[Pipeline_Amount_USD]]</f>
        <v>4600</v>
      </c>
      <c r="O6606" t="str">
        <f>_xlfn.XLOOKUP(Pipeline_tbl[[#This Row],[Rep_ID]],Dim_Reps!A:A,Dim_Reps!B:B)</f>
        <v>Hugo Santos</v>
      </c>
      <c r="P6606" t="str">
        <f>_xlfn.XLOOKUP(Pipeline_tbl[[#This Row],[Rep_ID]],Dim_Reps!A:A,Dim_Reps!C:C)</f>
        <v>SDR / Inside Sales Rep</v>
      </c>
      <c r="Q6606" t="str">
        <f>_xlfn.XLOOKUP(Pipeline_tbl[[#This Row],[Rep_ID]],Dim_Reps!A:A,Dim_Reps!D:D)</f>
        <v>Inside Sales</v>
      </c>
      <c r="R6606" t="str">
        <f>_xlfn.XLOOKUP(Pipeline_tbl[[#This Row],[Rep_ID]],Dim_Reps!A:A,Dim_Reps!E:E)</f>
        <v>EMEA</v>
      </c>
      <c r="S6606" t="str">
        <f>_xlfn.XLOOKUP(Pipeline_tbl[[#This Row],[Created_Date]],Dim_Date!A:A,Dim_Date!H:H)</f>
        <v>Apr 2025</v>
      </c>
      <c r="T6606" t="str">
        <f>IF(Pipeline_tbl[[#This Row],[Closed_Date]]=0,"",(_xlfn.XLOOKUP(Pipeline_tbl[[#This Row],[Closed_Date]],Dim_Date!A:A,Dim_Date!H:H)))</f>
        <v>May 2025</v>
      </c>
      <c r="U6606">
        <f>IF(Pipeline_tbl[[#This Row],[Closed_Date]]=0,"",Pipeline_tbl[[#This Row],[Closed_Date]]-Pipeline_tbl[[#This Row],[Created_Date]])</f>
        <v>22</v>
      </c>
    </row>
    <row r="6607" spans="1:21" ht="15" customHeight="1" x14ac:dyDescent="0.2">
      <c r="A6607" t="s">
        <v>6913</v>
      </c>
      <c r="B6607" t="s">
        <v>237</v>
      </c>
      <c r="C6607" t="s">
        <v>54</v>
      </c>
      <c r="D6607" s="49">
        <v>45773</v>
      </c>
      <c r="E6607" s="49">
        <v>45775</v>
      </c>
      <c r="F6607" s="49">
        <v>45779</v>
      </c>
      <c r="G6607" s="49">
        <v>45784</v>
      </c>
      <c r="H6607" s="49">
        <v>45789</v>
      </c>
      <c r="I6607" s="49">
        <v>45792</v>
      </c>
      <c r="J6607" t="s">
        <v>47</v>
      </c>
      <c r="K6607" s="33">
        <v>3100</v>
      </c>
      <c r="M6607" t="str">
        <f>_xlfn.XLOOKUP(Pipeline_tbl[[#This Row],[Rep_ID]],Dim_Reps!A:A,Dim_Reps!K:K)</f>
        <v>EUR</v>
      </c>
      <c r="N6607" s="33">
        <f>(_xlfn.XLOOKUP(Pipeline_tbl[[#This Row],[Rate_Code_Generalized]],Lookups!A:A,Lookups!B:B))*Pipeline_tbl[[#This Row],[Pipeline_Amount_USD]]</f>
        <v>3100</v>
      </c>
      <c r="O6607" t="str">
        <f>_xlfn.XLOOKUP(Pipeline_tbl[[#This Row],[Rep_ID]],Dim_Reps!A:A,Dim_Reps!B:B)</f>
        <v>Hugo Santos</v>
      </c>
      <c r="P6607" t="str">
        <f>_xlfn.XLOOKUP(Pipeline_tbl[[#This Row],[Rep_ID]],Dim_Reps!A:A,Dim_Reps!C:C)</f>
        <v>SDR / Inside Sales Rep</v>
      </c>
      <c r="Q6607" t="str">
        <f>_xlfn.XLOOKUP(Pipeline_tbl[[#This Row],[Rep_ID]],Dim_Reps!A:A,Dim_Reps!D:D)</f>
        <v>Inside Sales</v>
      </c>
      <c r="R6607" t="str">
        <f>_xlfn.XLOOKUP(Pipeline_tbl[[#This Row],[Rep_ID]],Dim_Reps!A:A,Dim_Reps!E:E)</f>
        <v>EMEA</v>
      </c>
      <c r="S6607" t="str">
        <f>_xlfn.XLOOKUP(Pipeline_tbl[[#This Row],[Created_Date]],Dim_Date!A:A,Dim_Date!H:H)</f>
        <v>Apr 2025</v>
      </c>
      <c r="T6607" t="str">
        <f>IF(Pipeline_tbl[[#This Row],[Closed_Date]]=0,"",(_xlfn.XLOOKUP(Pipeline_tbl[[#This Row],[Closed_Date]],Dim_Date!A:A,Dim_Date!H:H)))</f>
        <v>May 2025</v>
      </c>
      <c r="U6607">
        <f>IF(Pipeline_tbl[[#This Row],[Closed_Date]]=0,"",Pipeline_tbl[[#This Row],[Closed_Date]]-Pipeline_tbl[[#This Row],[Created_Date]])</f>
        <v>19</v>
      </c>
    </row>
    <row r="6608" spans="1:21" ht="15" customHeight="1" x14ac:dyDescent="0.2">
      <c r="A6608" t="s">
        <v>6914</v>
      </c>
      <c r="B6608" t="s">
        <v>269</v>
      </c>
      <c r="C6608" t="s">
        <v>55</v>
      </c>
      <c r="D6608" s="49">
        <v>45749</v>
      </c>
      <c r="E6608" s="49">
        <v>45753</v>
      </c>
      <c r="F6608" s="49">
        <v>45763</v>
      </c>
      <c r="G6608" s="49">
        <v>45776</v>
      </c>
      <c r="H6608" s="49">
        <v>45787</v>
      </c>
      <c r="I6608" s="49">
        <v>45794</v>
      </c>
      <c r="J6608" t="s">
        <v>47</v>
      </c>
      <c r="K6608" s="33">
        <v>18200</v>
      </c>
      <c r="M6608" t="str">
        <f>_xlfn.XLOOKUP(Pipeline_tbl[[#This Row],[Rep_ID]],Dim_Reps!A:A,Dim_Reps!K:K)</f>
        <v>USD</v>
      </c>
      <c r="N6608" s="33">
        <f>(_xlfn.XLOOKUP(Pipeline_tbl[[#This Row],[Rate_Code_Generalized]],Lookups!A:A,Lookups!B:B))*Pipeline_tbl[[#This Row],[Pipeline_Amount_USD]]</f>
        <v>21190.26</v>
      </c>
      <c r="O6608" t="str">
        <f>_xlfn.XLOOKUP(Pipeline_tbl[[#This Row],[Rep_ID]],Dim_Reps!A:A,Dim_Reps!B:B)</f>
        <v>Morgan Rivera</v>
      </c>
      <c r="P6608" t="str">
        <f>_xlfn.XLOOKUP(Pipeline_tbl[[#This Row],[Rep_ID]],Dim_Reps!A:A,Dim_Reps!C:C)</f>
        <v>Mid-Market AE</v>
      </c>
      <c r="Q6608" t="str">
        <f>_xlfn.XLOOKUP(Pipeline_tbl[[#This Row],[Rep_ID]],Dim_Reps!A:A,Dim_Reps!D:D)</f>
        <v>Mid-Market</v>
      </c>
      <c r="R6608" t="str">
        <f>_xlfn.XLOOKUP(Pipeline_tbl[[#This Row],[Rep_ID]],Dim_Reps!A:A,Dim_Reps!E:E)</f>
        <v>NAMER</v>
      </c>
      <c r="S6608" t="str">
        <f>_xlfn.XLOOKUP(Pipeline_tbl[[#This Row],[Created_Date]],Dim_Date!A:A,Dim_Date!H:H)</f>
        <v>Apr 2025</v>
      </c>
      <c r="T6608" t="str">
        <f>IF(Pipeline_tbl[[#This Row],[Closed_Date]]=0,"",(_xlfn.XLOOKUP(Pipeline_tbl[[#This Row],[Closed_Date]],Dim_Date!A:A,Dim_Date!H:H)))</f>
        <v>May 2025</v>
      </c>
      <c r="U6608">
        <f>IF(Pipeline_tbl[[#This Row],[Closed_Date]]=0,"",Pipeline_tbl[[#This Row],[Closed_Date]]-Pipeline_tbl[[#This Row],[Created_Date]])</f>
        <v>45</v>
      </c>
    </row>
    <row r="6609" spans="1:21" ht="15" customHeight="1" x14ac:dyDescent="0.2">
      <c r="A6609" t="s">
        <v>6915</v>
      </c>
      <c r="B6609" t="s">
        <v>269</v>
      </c>
      <c r="C6609" t="s">
        <v>53</v>
      </c>
      <c r="D6609" s="49">
        <v>45753</v>
      </c>
      <c r="E6609" s="49">
        <v>45757</v>
      </c>
      <c r="F6609" s="49">
        <v>45764</v>
      </c>
      <c r="G6609" s="49">
        <v>45775</v>
      </c>
      <c r="I6609" s="49">
        <v>45789</v>
      </c>
      <c r="J6609" t="s">
        <v>49</v>
      </c>
      <c r="K6609" s="33">
        <v>9600</v>
      </c>
      <c r="L6609" t="s">
        <v>61</v>
      </c>
      <c r="M6609" t="str">
        <f>_xlfn.XLOOKUP(Pipeline_tbl[[#This Row],[Rep_ID]],Dim_Reps!A:A,Dim_Reps!K:K)</f>
        <v>USD</v>
      </c>
      <c r="N6609" s="33">
        <f>(_xlfn.XLOOKUP(Pipeline_tbl[[#This Row],[Rate_Code_Generalized]],Lookups!A:A,Lookups!B:B))*Pipeline_tbl[[#This Row],[Pipeline_Amount_USD]]</f>
        <v>11177.279999999999</v>
      </c>
      <c r="O6609" t="str">
        <f>_xlfn.XLOOKUP(Pipeline_tbl[[#This Row],[Rep_ID]],Dim_Reps!A:A,Dim_Reps!B:B)</f>
        <v>Morgan Rivera</v>
      </c>
      <c r="P6609" t="str">
        <f>_xlfn.XLOOKUP(Pipeline_tbl[[#This Row],[Rep_ID]],Dim_Reps!A:A,Dim_Reps!C:C)</f>
        <v>Mid-Market AE</v>
      </c>
      <c r="Q6609" t="str">
        <f>_xlfn.XLOOKUP(Pipeline_tbl[[#This Row],[Rep_ID]],Dim_Reps!A:A,Dim_Reps!D:D)</f>
        <v>Mid-Market</v>
      </c>
      <c r="R6609" t="str">
        <f>_xlfn.XLOOKUP(Pipeline_tbl[[#This Row],[Rep_ID]],Dim_Reps!A:A,Dim_Reps!E:E)</f>
        <v>NAMER</v>
      </c>
      <c r="S6609" t="str">
        <f>_xlfn.XLOOKUP(Pipeline_tbl[[#This Row],[Created_Date]],Dim_Date!A:A,Dim_Date!H:H)</f>
        <v>Apr 2025</v>
      </c>
      <c r="T6609" t="str">
        <f>IF(Pipeline_tbl[[#This Row],[Closed_Date]]=0,"",(_xlfn.XLOOKUP(Pipeline_tbl[[#This Row],[Closed_Date]],Dim_Date!A:A,Dim_Date!H:H)))</f>
        <v>May 2025</v>
      </c>
      <c r="U6609">
        <f>IF(Pipeline_tbl[[#This Row],[Closed_Date]]=0,"",Pipeline_tbl[[#This Row],[Closed_Date]]-Pipeline_tbl[[#This Row],[Created_Date]])</f>
        <v>36</v>
      </c>
    </row>
    <row r="6610" spans="1:21" ht="15" customHeight="1" x14ac:dyDescent="0.2">
      <c r="A6610" t="s">
        <v>6916</v>
      </c>
      <c r="B6610" t="s">
        <v>269</v>
      </c>
      <c r="C6610" t="s">
        <v>55</v>
      </c>
      <c r="D6610" s="49">
        <v>45763</v>
      </c>
      <c r="E6610" s="49">
        <v>45766</v>
      </c>
      <c r="I6610" s="49">
        <v>45794</v>
      </c>
      <c r="J6610" t="s">
        <v>49</v>
      </c>
      <c r="K6610" s="33">
        <v>16500</v>
      </c>
      <c r="L6610" t="s">
        <v>62</v>
      </c>
      <c r="M6610" t="str">
        <f>_xlfn.XLOOKUP(Pipeline_tbl[[#This Row],[Rep_ID]],Dim_Reps!A:A,Dim_Reps!K:K)</f>
        <v>USD</v>
      </c>
      <c r="N6610" s="33">
        <f>(_xlfn.XLOOKUP(Pipeline_tbl[[#This Row],[Rate_Code_Generalized]],Lookups!A:A,Lookups!B:B))*Pipeline_tbl[[#This Row],[Pipeline_Amount_USD]]</f>
        <v>19210.949999999997</v>
      </c>
      <c r="O6610" t="str">
        <f>_xlfn.XLOOKUP(Pipeline_tbl[[#This Row],[Rep_ID]],Dim_Reps!A:A,Dim_Reps!B:B)</f>
        <v>Morgan Rivera</v>
      </c>
      <c r="P6610" t="str">
        <f>_xlfn.XLOOKUP(Pipeline_tbl[[#This Row],[Rep_ID]],Dim_Reps!A:A,Dim_Reps!C:C)</f>
        <v>Mid-Market AE</v>
      </c>
      <c r="Q6610" t="str">
        <f>_xlfn.XLOOKUP(Pipeline_tbl[[#This Row],[Rep_ID]],Dim_Reps!A:A,Dim_Reps!D:D)</f>
        <v>Mid-Market</v>
      </c>
      <c r="R6610" t="str">
        <f>_xlfn.XLOOKUP(Pipeline_tbl[[#This Row],[Rep_ID]],Dim_Reps!A:A,Dim_Reps!E:E)</f>
        <v>NAMER</v>
      </c>
      <c r="S6610" t="str">
        <f>_xlfn.XLOOKUP(Pipeline_tbl[[#This Row],[Created_Date]],Dim_Date!A:A,Dim_Date!H:H)</f>
        <v>Apr 2025</v>
      </c>
      <c r="T6610" t="str">
        <f>IF(Pipeline_tbl[[#This Row],[Closed_Date]]=0,"",(_xlfn.XLOOKUP(Pipeline_tbl[[#This Row],[Closed_Date]],Dim_Date!A:A,Dim_Date!H:H)))</f>
        <v>May 2025</v>
      </c>
      <c r="U6610">
        <f>IF(Pipeline_tbl[[#This Row],[Closed_Date]]=0,"",Pipeline_tbl[[#This Row],[Closed_Date]]-Pipeline_tbl[[#This Row],[Created_Date]])</f>
        <v>31</v>
      </c>
    </row>
    <row r="6611" spans="1:21" ht="15" customHeight="1" x14ac:dyDescent="0.2">
      <c r="A6611" t="s">
        <v>6917</v>
      </c>
      <c r="B6611" t="s">
        <v>269</v>
      </c>
      <c r="C6611" t="s">
        <v>52</v>
      </c>
      <c r="D6611" s="49">
        <v>45752</v>
      </c>
      <c r="E6611" s="49">
        <v>45756</v>
      </c>
      <c r="F6611" s="49">
        <v>45765</v>
      </c>
      <c r="I6611" s="49">
        <v>45796</v>
      </c>
      <c r="J6611" t="s">
        <v>49</v>
      </c>
      <c r="K6611" s="33">
        <v>12200</v>
      </c>
      <c r="L6611" t="s">
        <v>60</v>
      </c>
      <c r="M6611" t="str">
        <f>_xlfn.XLOOKUP(Pipeline_tbl[[#This Row],[Rep_ID]],Dim_Reps!A:A,Dim_Reps!K:K)</f>
        <v>USD</v>
      </c>
      <c r="N6611" s="33">
        <f>(_xlfn.XLOOKUP(Pipeline_tbl[[#This Row],[Rate_Code_Generalized]],Lookups!A:A,Lookups!B:B))*Pipeline_tbl[[#This Row],[Pipeline_Amount_USD]]</f>
        <v>14204.46</v>
      </c>
      <c r="O6611" t="str">
        <f>_xlfn.XLOOKUP(Pipeline_tbl[[#This Row],[Rep_ID]],Dim_Reps!A:A,Dim_Reps!B:B)</f>
        <v>Morgan Rivera</v>
      </c>
      <c r="P6611" t="str">
        <f>_xlfn.XLOOKUP(Pipeline_tbl[[#This Row],[Rep_ID]],Dim_Reps!A:A,Dim_Reps!C:C)</f>
        <v>Mid-Market AE</v>
      </c>
      <c r="Q6611" t="str">
        <f>_xlfn.XLOOKUP(Pipeline_tbl[[#This Row],[Rep_ID]],Dim_Reps!A:A,Dim_Reps!D:D)</f>
        <v>Mid-Market</v>
      </c>
      <c r="R6611" t="str">
        <f>_xlfn.XLOOKUP(Pipeline_tbl[[#This Row],[Rep_ID]],Dim_Reps!A:A,Dim_Reps!E:E)</f>
        <v>NAMER</v>
      </c>
      <c r="S6611" t="str">
        <f>_xlfn.XLOOKUP(Pipeline_tbl[[#This Row],[Created_Date]],Dim_Date!A:A,Dim_Date!H:H)</f>
        <v>Apr 2025</v>
      </c>
      <c r="T6611" t="str">
        <f>IF(Pipeline_tbl[[#This Row],[Closed_Date]]=0,"",(_xlfn.XLOOKUP(Pipeline_tbl[[#This Row],[Closed_Date]],Dim_Date!A:A,Dim_Date!H:H)))</f>
        <v>May 2025</v>
      </c>
      <c r="U6611">
        <f>IF(Pipeline_tbl[[#This Row],[Closed_Date]]=0,"",Pipeline_tbl[[#This Row],[Closed_Date]]-Pipeline_tbl[[#This Row],[Created_Date]])</f>
        <v>44</v>
      </c>
    </row>
    <row r="6612" spans="1:21" ht="15" customHeight="1" x14ac:dyDescent="0.2">
      <c r="A6612" t="s">
        <v>6918</v>
      </c>
      <c r="B6612" t="s">
        <v>269</v>
      </c>
      <c r="C6612" t="s">
        <v>52</v>
      </c>
      <c r="D6612" s="49">
        <v>45770</v>
      </c>
      <c r="E6612" s="49">
        <v>45773</v>
      </c>
      <c r="F6612" s="49">
        <v>45779</v>
      </c>
      <c r="G6612" s="49">
        <v>45788</v>
      </c>
      <c r="H6612" s="49">
        <v>45796</v>
      </c>
      <c r="I6612" s="49">
        <v>45800</v>
      </c>
      <c r="J6612" t="s">
        <v>47</v>
      </c>
      <c r="K6612" s="33">
        <v>18200</v>
      </c>
      <c r="M6612" t="str">
        <f>_xlfn.XLOOKUP(Pipeline_tbl[[#This Row],[Rep_ID]],Dim_Reps!A:A,Dim_Reps!K:K)</f>
        <v>USD</v>
      </c>
      <c r="N6612" s="33">
        <f>(_xlfn.XLOOKUP(Pipeline_tbl[[#This Row],[Rate_Code_Generalized]],Lookups!A:A,Lookups!B:B))*Pipeline_tbl[[#This Row],[Pipeline_Amount_USD]]</f>
        <v>21190.26</v>
      </c>
      <c r="O6612" t="str">
        <f>_xlfn.XLOOKUP(Pipeline_tbl[[#This Row],[Rep_ID]],Dim_Reps!A:A,Dim_Reps!B:B)</f>
        <v>Morgan Rivera</v>
      </c>
      <c r="P6612" t="str">
        <f>_xlfn.XLOOKUP(Pipeline_tbl[[#This Row],[Rep_ID]],Dim_Reps!A:A,Dim_Reps!C:C)</f>
        <v>Mid-Market AE</v>
      </c>
      <c r="Q6612" t="str">
        <f>_xlfn.XLOOKUP(Pipeline_tbl[[#This Row],[Rep_ID]],Dim_Reps!A:A,Dim_Reps!D:D)</f>
        <v>Mid-Market</v>
      </c>
      <c r="R6612" t="str">
        <f>_xlfn.XLOOKUP(Pipeline_tbl[[#This Row],[Rep_ID]],Dim_Reps!A:A,Dim_Reps!E:E)</f>
        <v>NAMER</v>
      </c>
      <c r="S6612" t="str">
        <f>_xlfn.XLOOKUP(Pipeline_tbl[[#This Row],[Created_Date]],Dim_Date!A:A,Dim_Date!H:H)</f>
        <v>Apr 2025</v>
      </c>
      <c r="T6612" t="str">
        <f>IF(Pipeline_tbl[[#This Row],[Closed_Date]]=0,"",(_xlfn.XLOOKUP(Pipeline_tbl[[#This Row],[Closed_Date]],Dim_Date!A:A,Dim_Date!H:H)))</f>
        <v>May 2025</v>
      </c>
      <c r="U6612">
        <f>IF(Pipeline_tbl[[#This Row],[Closed_Date]]=0,"",Pipeline_tbl[[#This Row],[Closed_Date]]-Pipeline_tbl[[#This Row],[Created_Date]])</f>
        <v>30</v>
      </c>
    </row>
    <row r="6613" spans="1:21" ht="15" customHeight="1" x14ac:dyDescent="0.2">
      <c r="A6613" t="s">
        <v>6919</v>
      </c>
      <c r="B6613" t="s">
        <v>269</v>
      </c>
      <c r="C6613" t="s">
        <v>54</v>
      </c>
      <c r="D6613" s="49">
        <v>45761</v>
      </c>
      <c r="E6613" s="49">
        <v>45765</v>
      </c>
      <c r="F6613" s="49">
        <v>45772</v>
      </c>
      <c r="I6613" s="49">
        <v>45798</v>
      </c>
      <c r="J6613" t="s">
        <v>49</v>
      </c>
      <c r="K6613" s="33">
        <v>8800</v>
      </c>
      <c r="L6613" t="s">
        <v>61</v>
      </c>
      <c r="M6613" t="str">
        <f>_xlfn.XLOOKUP(Pipeline_tbl[[#This Row],[Rep_ID]],Dim_Reps!A:A,Dim_Reps!K:K)</f>
        <v>USD</v>
      </c>
      <c r="N6613" s="33">
        <f>(_xlfn.XLOOKUP(Pipeline_tbl[[#This Row],[Rate_Code_Generalized]],Lookups!A:A,Lookups!B:B))*Pipeline_tbl[[#This Row],[Pipeline_Amount_USD]]</f>
        <v>10245.839999999998</v>
      </c>
      <c r="O6613" t="str">
        <f>_xlfn.XLOOKUP(Pipeline_tbl[[#This Row],[Rep_ID]],Dim_Reps!A:A,Dim_Reps!B:B)</f>
        <v>Morgan Rivera</v>
      </c>
      <c r="P6613" t="str">
        <f>_xlfn.XLOOKUP(Pipeline_tbl[[#This Row],[Rep_ID]],Dim_Reps!A:A,Dim_Reps!C:C)</f>
        <v>Mid-Market AE</v>
      </c>
      <c r="Q6613" t="str">
        <f>_xlfn.XLOOKUP(Pipeline_tbl[[#This Row],[Rep_ID]],Dim_Reps!A:A,Dim_Reps!D:D)</f>
        <v>Mid-Market</v>
      </c>
      <c r="R6613" t="str">
        <f>_xlfn.XLOOKUP(Pipeline_tbl[[#This Row],[Rep_ID]],Dim_Reps!A:A,Dim_Reps!E:E)</f>
        <v>NAMER</v>
      </c>
      <c r="S6613" t="str">
        <f>_xlfn.XLOOKUP(Pipeline_tbl[[#This Row],[Created_Date]],Dim_Date!A:A,Dim_Date!H:H)</f>
        <v>Apr 2025</v>
      </c>
      <c r="T6613" t="str">
        <f>IF(Pipeline_tbl[[#This Row],[Closed_Date]]=0,"",(_xlfn.XLOOKUP(Pipeline_tbl[[#This Row],[Closed_Date]],Dim_Date!A:A,Dim_Date!H:H)))</f>
        <v>May 2025</v>
      </c>
      <c r="U6613">
        <f>IF(Pipeline_tbl[[#This Row],[Closed_Date]]=0,"",Pipeline_tbl[[#This Row],[Closed_Date]]-Pipeline_tbl[[#This Row],[Created_Date]])</f>
        <v>37</v>
      </c>
    </row>
    <row r="6614" spans="1:21" ht="15" customHeight="1" x14ac:dyDescent="0.2">
      <c r="A6614" t="s">
        <v>6920</v>
      </c>
      <c r="B6614" t="s">
        <v>269</v>
      </c>
      <c r="C6614" t="s">
        <v>53</v>
      </c>
      <c r="D6614" s="49">
        <v>45751</v>
      </c>
      <c r="E6614" s="49">
        <v>45755</v>
      </c>
      <c r="I6614" s="49">
        <v>45787</v>
      </c>
      <c r="J6614" t="s">
        <v>49</v>
      </c>
      <c r="K6614" s="33">
        <v>16800</v>
      </c>
      <c r="L6614" t="s">
        <v>61</v>
      </c>
      <c r="M6614" t="str">
        <f>_xlfn.XLOOKUP(Pipeline_tbl[[#This Row],[Rep_ID]],Dim_Reps!A:A,Dim_Reps!K:K)</f>
        <v>USD</v>
      </c>
      <c r="N6614" s="33">
        <f>(_xlfn.XLOOKUP(Pipeline_tbl[[#This Row],[Rate_Code_Generalized]],Lookups!A:A,Lookups!B:B))*Pipeline_tbl[[#This Row],[Pipeline_Amount_USD]]</f>
        <v>19560.239999999998</v>
      </c>
      <c r="O6614" t="str">
        <f>_xlfn.XLOOKUP(Pipeline_tbl[[#This Row],[Rep_ID]],Dim_Reps!A:A,Dim_Reps!B:B)</f>
        <v>Morgan Rivera</v>
      </c>
      <c r="P6614" t="str">
        <f>_xlfn.XLOOKUP(Pipeline_tbl[[#This Row],[Rep_ID]],Dim_Reps!A:A,Dim_Reps!C:C)</f>
        <v>Mid-Market AE</v>
      </c>
      <c r="Q6614" t="str">
        <f>_xlfn.XLOOKUP(Pipeline_tbl[[#This Row],[Rep_ID]],Dim_Reps!A:A,Dim_Reps!D:D)</f>
        <v>Mid-Market</v>
      </c>
      <c r="R6614" t="str">
        <f>_xlfn.XLOOKUP(Pipeline_tbl[[#This Row],[Rep_ID]],Dim_Reps!A:A,Dim_Reps!E:E)</f>
        <v>NAMER</v>
      </c>
      <c r="S6614" t="str">
        <f>_xlfn.XLOOKUP(Pipeline_tbl[[#This Row],[Created_Date]],Dim_Date!A:A,Dim_Date!H:H)</f>
        <v>Apr 2025</v>
      </c>
      <c r="T6614" t="str">
        <f>IF(Pipeline_tbl[[#This Row],[Closed_Date]]=0,"",(_xlfn.XLOOKUP(Pipeline_tbl[[#This Row],[Closed_Date]],Dim_Date!A:A,Dim_Date!H:H)))</f>
        <v>May 2025</v>
      </c>
      <c r="U6614">
        <f>IF(Pipeline_tbl[[#This Row],[Closed_Date]]=0,"",Pipeline_tbl[[#This Row],[Closed_Date]]-Pipeline_tbl[[#This Row],[Created_Date]])</f>
        <v>36</v>
      </c>
    </row>
    <row r="6615" spans="1:21" ht="15" customHeight="1" x14ac:dyDescent="0.2">
      <c r="A6615" t="s">
        <v>6921</v>
      </c>
      <c r="B6615" t="s">
        <v>271</v>
      </c>
      <c r="C6615" t="s">
        <v>56</v>
      </c>
      <c r="D6615" s="49">
        <v>45769</v>
      </c>
      <c r="E6615" s="49">
        <v>45772</v>
      </c>
      <c r="F6615" s="49">
        <v>45778</v>
      </c>
      <c r="G6615" s="49">
        <v>45787</v>
      </c>
      <c r="I6615" s="49">
        <v>45799</v>
      </c>
      <c r="J6615" t="s">
        <v>49</v>
      </c>
      <c r="K6615" s="33">
        <v>16100</v>
      </c>
      <c r="L6615" t="s">
        <v>61</v>
      </c>
      <c r="M6615" t="str">
        <f>_xlfn.XLOOKUP(Pipeline_tbl[[#This Row],[Rep_ID]],Dim_Reps!A:A,Dim_Reps!K:K)</f>
        <v>EUR</v>
      </c>
      <c r="N6615" s="33">
        <f>(_xlfn.XLOOKUP(Pipeline_tbl[[#This Row],[Rate_Code_Generalized]],Lookups!A:A,Lookups!B:B))*Pipeline_tbl[[#This Row],[Pipeline_Amount_USD]]</f>
        <v>16100</v>
      </c>
      <c r="O6615" t="str">
        <f>_xlfn.XLOOKUP(Pipeline_tbl[[#This Row],[Rep_ID]],Dim_Reps!A:A,Dim_Reps!B:B)</f>
        <v>Ivy Adler</v>
      </c>
      <c r="P6615" t="str">
        <f>_xlfn.XLOOKUP(Pipeline_tbl[[#This Row],[Rep_ID]],Dim_Reps!A:A,Dim_Reps!C:C)</f>
        <v>Mid-Market AE</v>
      </c>
      <c r="Q6615" t="str">
        <f>_xlfn.XLOOKUP(Pipeline_tbl[[#This Row],[Rep_ID]],Dim_Reps!A:A,Dim_Reps!D:D)</f>
        <v>Mid-Market</v>
      </c>
      <c r="R6615" t="str">
        <f>_xlfn.XLOOKUP(Pipeline_tbl[[#This Row],[Rep_ID]],Dim_Reps!A:A,Dim_Reps!E:E)</f>
        <v>APAC</v>
      </c>
      <c r="S6615" t="str">
        <f>_xlfn.XLOOKUP(Pipeline_tbl[[#This Row],[Created_Date]],Dim_Date!A:A,Dim_Date!H:H)</f>
        <v>Apr 2025</v>
      </c>
      <c r="T6615" t="str">
        <f>IF(Pipeline_tbl[[#This Row],[Closed_Date]]=0,"",(_xlfn.XLOOKUP(Pipeline_tbl[[#This Row],[Closed_Date]],Dim_Date!A:A,Dim_Date!H:H)))</f>
        <v>May 2025</v>
      </c>
      <c r="U6615">
        <f>IF(Pipeline_tbl[[#This Row],[Closed_Date]]=0,"",Pipeline_tbl[[#This Row],[Closed_Date]]-Pipeline_tbl[[#This Row],[Created_Date]])</f>
        <v>30</v>
      </c>
    </row>
    <row r="6616" spans="1:21" ht="15" customHeight="1" x14ac:dyDescent="0.2">
      <c r="A6616" t="s">
        <v>6922</v>
      </c>
      <c r="B6616" t="s">
        <v>271</v>
      </c>
      <c r="C6616" t="s">
        <v>52</v>
      </c>
      <c r="D6616" s="49">
        <v>45749</v>
      </c>
      <c r="E6616" s="49">
        <v>45753</v>
      </c>
      <c r="F6616" s="49">
        <v>45760</v>
      </c>
      <c r="G6616" s="49">
        <v>45771</v>
      </c>
      <c r="H6616" s="49">
        <v>45780</v>
      </c>
      <c r="I6616" s="49">
        <v>45785</v>
      </c>
      <c r="J6616" t="s">
        <v>47</v>
      </c>
      <c r="K6616" s="33">
        <v>11400</v>
      </c>
      <c r="M6616" t="str">
        <f>_xlfn.XLOOKUP(Pipeline_tbl[[#This Row],[Rep_ID]],Dim_Reps!A:A,Dim_Reps!K:K)</f>
        <v>EUR</v>
      </c>
      <c r="N6616" s="33">
        <f>(_xlfn.XLOOKUP(Pipeline_tbl[[#This Row],[Rate_Code_Generalized]],Lookups!A:A,Lookups!B:B))*Pipeline_tbl[[#This Row],[Pipeline_Amount_USD]]</f>
        <v>11400</v>
      </c>
      <c r="O6616" t="str">
        <f>_xlfn.XLOOKUP(Pipeline_tbl[[#This Row],[Rep_ID]],Dim_Reps!A:A,Dim_Reps!B:B)</f>
        <v>Ivy Adler</v>
      </c>
      <c r="P6616" t="str">
        <f>_xlfn.XLOOKUP(Pipeline_tbl[[#This Row],[Rep_ID]],Dim_Reps!A:A,Dim_Reps!C:C)</f>
        <v>Mid-Market AE</v>
      </c>
      <c r="Q6616" t="str">
        <f>_xlfn.XLOOKUP(Pipeline_tbl[[#This Row],[Rep_ID]],Dim_Reps!A:A,Dim_Reps!D:D)</f>
        <v>Mid-Market</v>
      </c>
      <c r="R6616" t="str">
        <f>_xlfn.XLOOKUP(Pipeline_tbl[[#This Row],[Rep_ID]],Dim_Reps!A:A,Dim_Reps!E:E)</f>
        <v>APAC</v>
      </c>
      <c r="S6616" t="str">
        <f>_xlfn.XLOOKUP(Pipeline_tbl[[#This Row],[Created_Date]],Dim_Date!A:A,Dim_Date!H:H)</f>
        <v>Apr 2025</v>
      </c>
      <c r="T6616" t="str">
        <f>IF(Pipeline_tbl[[#This Row],[Closed_Date]]=0,"",(_xlfn.XLOOKUP(Pipeline_tbl[[#This Row],[Closed_Date]],Dim_Date!A:A,Dim_Date!H:H)))</f>
        <v>May 2025</v>
      </c>
      <c r="U6616">
        <f>IF(Pipeline_tbl[[#This Row],[Closed_Date]]=0,"",Pipeline_tbl[[#This Row],[Closed_Date]]-Pipeline_tbl[[#This Row],[Created_Date]])</f>
        <v>36</v>
      </c>
    </row>
    <row r="6617" spans="1:21" ht="15" customHeight="1" x14ac:dyDescent="0.2">
      <c r="A6617" t="s">
        <v>6923</v>
      </c>
      <c r="B6617" t="s">
        <v>271</v>
      </c>
      <c r="C6617" t="s">
        <v>52</v>
      </c>
      <c r="D6617" s="49">
        <v>45754</v>
      </c>
      <c r="E6617" s="49">
        <v>45758</v>
      </c>
      <c r="F6617" s="49">
        <v>45766</v>
      </c>
      <c r="G6617" s="49">
        <v>45778</v>
      </c>
      <c r="H6617" s="49">
        <v>45788</v>
      </c>
      <c r="I6617" s="49">
        <v>45794</v>
      </c>
      <c r="J6617" t="s">
        <v>49</v>
      </c>
      <c r="K6617" s="33">
        <v>27600</v>
      </c>
      <c r="L6617" t="s">
        <v>60</v>
      </c>
      <c r="M6617" t="str">
        <f>_xlfn.XLOOKUP(Pipeline_tbl[[#This Row],[Rep_ID]],Dim_Reps!A:A,Dim_Reps!K:K)</f>
        <v>EUR</v>
      </c>
      <c r="N6617" s="33">
        <f>(_xlfn.XLOOKUP(Pipeline_tbl[[#This Row],[Rate_Code_Generalized]],Lookups!A:A,Lookups!B:B))*Pipeline_tbl[[#This Row],[Pipeline_Amount_USD]]</f>
        <v>27600</v>
      </c>
      <c r="O6617" t="str">
        <f>_xlfn.XLOOKUP(Pipeline_tbl[[#This Row],[Rep_ID]],Dim_Reps!A:A,Dim_Reps!B:B)</f>
        <v>Ivy Adler</v>
      </c>
      <c r="P6617" t="str">
        <f>_xlfn.XLOOKUP(Pipeline_tbl[[#This Row],[Rep_ID]],Dim_Reps!A:A,Dim_Reps!C:C)</f>
        <v>Mid-Market AE</v>
      </c>
      <c r="Q6617" t="str">
        <f>_xlfn.XLOOKUP(Pipeline_tbl[[#This Row],[Rep_ID]],Dim_Reps!A:A,Dim_Reps!D:D)</f>
        <v>Mid-Market</v>
      </c>
      <c r="R6617" t="str">
        <f>_xlfn.XLOOKUP(Pipeline_tbl[[#This Row],[Rep_ID]],Dim_Reps!A:A,Dim_Reps!E:E)</f>
        <v>APAC</v>
      </c>
      <c r="S6617" t="str">
        <f>_xlfn.XLOOKUP(Pipeline_tbl[[#This Row],[Created_Date]],Dim_Date!A:A,Dim_Date!H:H)</f>
        <v>Apr 2025</v>
      </c>
      <c r="T6617" t="str">
        <f>IF(Pipeline_tbl[[#This Row],[Closed_Date]]=0,"",(_xlfn.XLOOKUP(Pipeline_tbl[[#This Row],[Closed_Date]],Dim_Date!A:A,Dim_Date!H:H)))</f>
        <v>May 2025</v>
      </c>
      <c r="U6617">
        <f>IF(Pipeline_tbl[[#This Row],[Closed_Date]]=0,"",Pipeline_tbl[[#This Row],[Closed_Date]]-Pipeline_tbl[[#This Row],[Created_Date]])</f>
        <v>40</v>
      </c>
    </row>
    <row r="6618" spans="1:21" ht="15" customHeight="1" x14ac:dyDescent="0.2">
      <c r="A6618" t="s">
        <v>6924</v>
      </c>
      <c r="B6618" t="s">
        <v>271</v>
      </c>
      <c r="C6618" t="s">
        <v>53</v>
      </c>
      <c r="D6618" s="49">
        <v>45756</v>
      </c>
      <c r="E6618" s="49">
        <v>45759</v>
      </c>
      <c r="F6618" s="49">
        <v>45764</v>
      </c>
      <c r="G6618" s="49">
        <v>45772</v>
      </c>
      <c r="I6618" s="49">
        <v>45782</v>
      </c>
      <c r="J6618" t="s">
        <v>49</v>
      </c>
      <c r="K6618" s="33">
        <v>10900</v>
      </c>
      <c r="L6618" t="s">
        <v>61</v>
      </c>
      <c r="M6618" t="str">
        <f>_xlfn.XLOOKUP(Pipeline_tbl[[#This Row],[Rep_ID]],Dim_Reps!A:A,Dim_Reps!K:K)</f>
        <v>EUR</v>
      </c>
      <c r="N6618" s="33">
        <f>(_xlfn.XLOOKUP(Pipeline_tbl[[#This Row],[Rate_Code_Generalized]],Lookups!A:A,Lookups!B:B))*Pipeline_tbl[[#This Row],[Pipeline_Amount_USD]]</f>
        <v>10900</v>
      </c>
      <c r="O6618" t="str">
        <f>_xlfn.XLOOKUP(Pipeline_tbl[[#This Row],[Rep_ID]],Dim_Reps!A:A,Dim_Reps!B:B)</f>
        <v>Ivy Adler</v>
      </c>
      <c r="P6618" t="str">
        <f>_xlfn.XLOOKUP(Pipeline_tbl[[#This Row],[Rep_ID]],Dim_Reps!A:A,Dim_Reps!C:C)</f>
        <v>Mid-Market AE</v>
      </c>
      <c r="Q6618" t="str">
        <f>_xlfn.XLOOKUP(Pipeline_tbl[[#This Row],[Rep_ID]],Dim_Reps!A:A,Dim_Reps!D:D)</f>
        <v>Mid-Market</v>
      </c>
      <c r="R6618" t="str">
        <f>_xlfn.XLOOKUP(Pipeline_tbl[[#This Row],[Rep_ID]],Dim_Reps!A:A,Dim_Reps!E:E)</f>
        <v>APAC</v>
      </c>
      <c r="S6618" t="str">
        <f>_xlfn.XLOOKUP(Pipeline_tbl[[#This Row],[Created_Date]],Dim_Date!A:A,Dim_Date!H:H)</f>
        <v>Apr 2025</v>
      </c>
      <c r="T6618" t="str">
        <f>IF(Pipeline_tbl[[#This Row],[Closed_Date]]=0,"",(_xlfn.XLOOKUP(Pipeline_tbl[[#This Row],[Closed_Date]],Dim_Date!A:A,Dim_Date!H:H)))</f>
        <v>May 2025</v>
      </c>
      <c r="U6618">
        <f>IF(Pipeline_tbl[[#This Row],[Closed_Date]]=0,"",Pipeline_tbl[[#This Row],[Closed_Date]]-Pipeline_tbl[[#This Row],[Created_Date]])</f>
        <v>26</v>
      </c>
    </row>
    <row r="6619" spans="1:21" ht="15" customHeight="1" x14ac:dyDescent="0.2">
      <c r="A6619" t="s">
        <v>6925</v>
      </c>
      <c r="B6619" t="s">
        <v>271</v>
      </c>
      <c r="C6619" t="s">
        <v>52</v>
      </c>
      <c r="D6619" s="49">
        <v>45773</v>
      </c>
      <c r="E6619" s="49">
        <v>45776</v>
      </c>
      <c r="F6619" s="49">
        <v>45782</v>
      </c>
      <c r="G6619" s="49">
        <v>45792</v>
      </c>
      <c r="I6619" s="49">
        <v>45804</v>
      </c>
      <c r="J6619" t="s">
        <v>49</v>
      </c>
      <c r="K6619" s="33">
        <v>13900</v>
      </c>
      <c r="L6619" t="s">
        <v>64</v>
      </c>
      <c r="M6619" t="str">
        <f>_xlfn.XLOOKUP(Pipeline_tbl[[#This Row],[Rep_ID]],Dim_Reps!A:A,Dim_Reps!K:K)</f>
        <v>EUR</v>
      </c>
      <c r="N6619" s="33">
        <f>(_xlfn.XLOOKUP(Pipeline_tbl[[#This Row],[Rate_Code_Generalized]],Lookups!A:A,Lookups!B:B))*Pipeline_tbl[[#This Row],[Pipeline_Amount_USD]]</f>
        <v>13900</v>
      </c>
      <c r="O6619" t="str">
        <f>_xlfn.XLOOKUP(Pipeline_tbl[[#This Row],[Rep_ID]],Dim_Reps!A:A,Dim_Reps!B:B)</f>
        <v>Ivy Adler</v>
      </c>
      <c r="P6619" t="str">
        <f>_xlfn.XLOOKUP(Pipeline_tbl[[#This Row],[Rep_ID]],Dim_Reps!A:A,Dim_Reps!C:C)</f>
        <v>Mid-Market AE</v>
      </c>
      <c r="Q6619" t="str">
        <f>_xlfn.XLOOKUP(Pipeline_tbl[[#This Row],[Rep_ID]],Dim_Reps!A:A,Dim_Reps!D:D)</f>
        <v>Mid-Market</v>
      </c>
      <c r="R6619" t="str">
        <f>_xlfn.XLOOKUP(Pipeline_tbl[[#This Row],[Rep_ID]],Dim_Reps!A:A,Dim_Reps!E:E)</f>
        <v>APAC</v>
      </c>
      <c r="S6619" t="str">
        <f>_xlfn.XLOOKUP(Pipeline_tbl[[#This Row],[Created_Date]],Dim_Date!A:A,Dim_Date!H:H)</f>
        <v>Apr 2025</v>
      </c>
      <c r="T6619" t="str">
        <f>IF(Pipeline_tbl[[#This Row],[Closed_Date]]=0,"",(_xlfn.XLOOKUP(Pipeline_tbl[[#This Row],[Closed_Date]],Dim_Date!A:A,Dim_Date!H:H)))</f>
        <v>May 2025</v>
      </c>
      <c r="U6619">
        <f>IF(Pipeline_tbl[[#This Row],[Closed_Date]]=0,"",Pipeline_tbl[[#This Row],[Closed_Date]]-Pipeline_tbl[[#This Row],[Created_Date]])</f>
        <v>31</v>
      </c>
    </row>
    <row r="6620" spans="1:21" ht="15" customHeight="1" x14ac:dyDescent="0.2">
      <c r="A6620" t="s">
        <v>6926</v>
      </c>
      <c r="B6620" t="s">
        <v>273</v>
      </c>
      <c r="C6620" t="s">
        <v>55</v>
      </c>
      <c r="D6620" s="49">
        <v>45752</v>
      </c>
      <c r="E6620" s="49">
        <v>45756</v>
      </c>
      <c r="F6620" s="49">
        <v>45766</v>
      </c>
      <c r="G6620" s="49">
        <v>45779</v>
      </c>
      <c r="I6620" s="49">
        <v>45797</v>
      </c>
      <c r="J6620" t="s">
        <v>49</v>
      </c>
      <c r="K6620" s="33">
        <v>14000</v>
      </c>
      <c r="L6620" t="s">
        <v>61</v>
      </c>
      <c r="M6620" t="str">
        <f>_xlfn.XLOOKUP(Pipeline_tbl[[#This Row],[Rep_ID]],Dim_Reps!A:A,Dim_Reps!K:K)</f>
        <v>EUR</v>
      </c>
      <c r="N6620" s="33">
        <f>(_xlfn.XLOOKUP(Pipeline_tbl[[#This Row],[Rate_Code_Generalized]],Lookups!A:A,Lookups!B:B))*Pipeline_tbl[[#This Row],[Pipeline_Amount_USD]]</f>
        <v>14000</v>
      </c>
      <c r="O6620" t="str">
        <f>_xlfn.XLOOKUP(Pipeline_tbl[[#This Row],[Rep_ID]],Dim_Reps!A:A,Dim_Reps!B:B)</f>
        <v>Olivia Cohen</v>
      </c>
      <c r="P6620" t="str">
        <f>_xlfn.XLOOKUP(Pipeline_tbl[[#This Row],[Rep_ID]],Dim_Reps!A:A,Dim_Reps!C:C)</f>
        <v>Mid-Market AE</v>
      </c>
      <c r="Q6620" t="str">
        <f>_xlfn.XLOOKUP(Pipeline_tbl[[#This Row],[Rep_ID]],Dim_Reps!A:A,Dim_Reps!D:D)</f>
        <v>Mid-Market</v>
      </c>
      <c r="R6620" t="str">
        <f>_xlfn.XLOOKUP(Pipeline_tbl[[#This Row],[Rep_ID]],Dim_Reps!A:A,Dim_Reps!E:E)</f>
        <v>APAC</v>
      </c>
      <c r="S6620" t="str">
        <f>_xlfn.XLOOKUP(Pipeline_tbl[[#This Row],[Created_Date]],Dim_Date!A:A,Dim_Date!H:H)</f>
        <v>Apr 2025</v>
      </c>
      <c r="T6620" t="str">
        <f>IF(Pipeline_tbl[[#This Row],[Closed_Date]]=0,"",(_xlfn.XLOOKUP(Pipeline_tbl[[#This Row],[Closed_Date]],Dim_Date!A:A,Dim_Date!H:H)))</f>
        <v>May 2025</v>
      </c>
      <c r="U6620">
        <f>IF(Pipeline_tbl[[#This Row],[Closed_Date]]=0,"",Pipeline_tbl[[#This Row],[Closed_Date]]-Pipeline_tbl[[#This Row],[Created_Date]])</f>
        <v>45</v>
      </c>
    </row>
    <row r="6621" spans="1:21" ht="15" customHeight="1" x14ac:dyDescent="0.2">
      <c r="A6621" t="s">
        <v>6927</v>
      </c>
      <c r="B6621" t="s">
        <v>273</v>
      </c>
      <c r="C6621" t="s">
        <v>52</v>
      </c>
      <c r="D6621" s="49">
        <v>45758</v>
      </c>
      <c r="E6621" s="49">
        <v>45763</v>
      </c>
      <c r="I6621" s="49">
        <v>45807</v>
      </c>
      <c r="J6621" t="s">
        <v>49</v>
      </c>
      <c r="K6621" s="33">
        <v>13700</v>
      </c>
      <c r="L6621" t="s">
        <v>60</v>
      </c>
      <c r="M6621" t="str">
        <f>_xlfn.XLOOKUP(Pipeline_tbl[[#This Row],[Rep_ID]],Dim_Reps!A:A,Dim_Reps!K:K)</f>
        <v>EUR</v>
      </c>
      <c r="N6621" s="33">
        <f>(_xlfn.XLOOKUP(Pipeline_tbl[[#This Row],[Rate_Code_Generalized]],Lookups!A:A,Lookups!B:B))*Pipeline_tbl[[#This Row],[Pipeline_Amount_USD]]</f>
        <v>13700</v>
      </c>
      <c r="O6621" t="str">
        <f>_xlfn.XLOOKUP(Pipeline_tbl[[#This Row],[Rep_ID]],Dim_Reps!A:A,Dim_Reps!B:B)</f>
        <v>Olivia Cohen</v>
      </c>
      <c r="P6621" t="str">
        <f>_xlfn.XLOOKUP(Pipeline_tbl[[#This Row],[Rep_ID]],Dim_Reps!A:A,Dim_Reps!C:C)</f>
        <v>Mid-Market AE</v>
      </c>
      <c r="Q6621" t="str">
        <f>_xlfn.XLOOKUP(Pipeline_tbl[[#This Row],[Rep_ID]],Dim_Reps!A:A,Dim_Reps!D:D)</f>
        <v>Mid-Market</v>
      </c>
      <c r="R6621" t="str">
        <f>_xlfn.XLOOKUP(Pipeline_tbl[[#This Row],[Rep_ID]],Dim_Reps!A:A,Dim_Reps!E:E)</f>
        <v>APAC</v>
      </c>
      <c r="S6621" t="str">
        <f>_xlfn.XLOOKUP(Pipeline_tbl[[#This Row],[Created_Date]],Dim_Date!A:A,Dim_Date!H:H)</f>
        <v>Apr 2025</v>
      </c>
      <c r="T6621" t="str">
        <f>IF(Pipeline_tbl[[#This Row],[Closed_Date]]=0,"",(_xlfn.XLOOKUP(Pipeline_tbl[[#This Row],[Closed_Date]],Dim_Date!A:A,Dim_Date!H:H)))</f>
        <v>May 2025</v>
      </c>
      <c r="U6621">
        <f>IF(Pipeline_tbl[[#This Row],[Closed_Date]]=0,"",Pipeline_tbl[[#This Row],[Closed_Date]]-Pipeline_tbl[[#This Row],[Created_Date]])</f>
        <v>49</v>
      </c>
    </row>
    <row r="6622" spans="1:21" ht="15" customHeight="1" x14ac:dyDescent="0.2">
      <c r="A6622" t="s">
        <v>6928</v>
      </c>
      <c r="B6622" t="s">
        <v>273</v>
      </c>
      <c r="C6622" t="s">
        <v>52</v>
      </c>
      <c r="D6622" s="49">
        <v>45749</v>
      </c>
      <c r="E6622" s="49">
        <v>45753</v>
      </c>
      <c r="I6622" s="49">
        <v>45786</v>
      </c>
      <c r="J6622" t="s">
        <v>49</v>
      </c>
      <c r="K6622" s="33">
        <v>5600</v>
      </c>
      <c r="L6622" t="s">
        <v>60</v>
      </c>
      <c r="M6622" t="str">
        <f>_xlfn.XLOOKUP(Pipeline_tbl[[#This Row],[Rep_ID]],Dim_Reps!A:A,Dim_Reps!K:K)</f>
        <v>EUR</v>
      </c>
      <c r="N6622" s="33">
        <f>(_xlfn.XLOOKUP(Pipeline_tbl[[#This Row],[Rate_Code_Generalized]],Lookups!A:A,Lookups!B:B))*Pipeline_tbl[[#This Row],[Pipeline_Amount_USD]]</f>
        <v>5600</v>
      </c>
      <c r="O6622" t="str">
        <f>_xlfn.XLOOKUP(Pipeline_tbl[[#This Row],[Rep_ID]],Dim_Reps!A:A,Dim_Reps!B:B)</f>
        <v>Olivia Cohen</v>
      </c>
      <c r="P6622" t="str">
        <f>_xlfn.XLOOKUP(Pipeline_tbl[[#This Row],[Rep_ID]],Dim_Reps!A:A,Dim_Reps!C:C)</f>
        <v>Mid-Market AE</v>
      </c>
      <c r="Q6622" t="str">
        <f>_xlfn.XLOOKUP(Pipeline_tbl[[#This Row],[Rep_ID]],Dim_Reps!A:A,Dim_Reps!D:D)</f>
        <v>Mid-Market</v>
      </c>
      <c r="R6622" t="str">
        <f>_xlfn.XLOOKUP(Pipeline_tbl[[#This Row],[Rep_ID]],Dim_Reps!A:A,Dim_Reps!E:E)</f>
        <v>APAC</v>
      </c>
      <c r="S6622" t="str">
        <f>_xlfn.XLOOKUP(Pipeline_tbl[[#This Row],[Created_Date]],Dim_Date!A:A,Dim_Date!H:H)</f>
        <v>Apr 2025</v>
      </c>
      <c r="T6622" t="str">
        <f>IF(Pipeline_tbl[[#This Row],[Closed_Date]]=0,"",(_xlfn.XLOOKUP(Pipeline_tbl[[#This Row],[Closed_Date]],Dim_Date!A:A,Dim_Date!H:H)))</f>
        <v>May 2025</v>
      </c>
      <c r="U6622">
        <f>IF(Pipeline_tbl[[#This Row],[Closed_Date]]=0,"",Pipeline_tbl[[#This Row],[Closed_Date]]-Pipeline_tbl[[#This Row],[Created_Date]])</f>
        <v>37</v>
      </c>
    </row>
    <row r="6623" spans="1:21" ht="15" customHeight="1" x14ac:dyDescent="0.2">
      <c r="A6623" t="s">
        <v>6929</v>
      </c>
      <c r="B6623" t="s">
        <v>273</v>
      </c>
      <c r="C6623" t="s">
        <v>53</v>
      </c>
      <c r="D6623" s="49">
        <v>45772</v>
      </c>
      <c r="E6623" s="49">
        <v>45775</v>
      </c>
      <c r="F6623" s="49">
        <v>45781</v>
      </c>
      <c r="G6623" s="49">
        <v>45790</v>
      </c>
      <c r="H6623" s="49">
        <v>45798</v>
      </c>
      <c r="I6623" s="49">
        <v>45802</v>
      </c>
      <c r="J6623" t="s">
        <v>49</v>
      </c>
      <c r="K6623" s="33">
        <v>19800</v>
      </c>
      <c r="L6623" t="s">
        <v>60</v>
      </c>
      <c r="M6623" t="str">
        <f>_xlfn.XLOOKUP(Pipeline_tbl[[#This Row],[Rep_ID]],Dim_Reps!A:A,Dim_Reps!K:K)</f>
        <v>EUR</v>
      </c>
      <c r="N6623" s="33">
        <f>(_xlfn.XLOOKUP(Pipeline_tbl[[#This Row],[Rate_Code_Generalized]],Lookups!A:A,Lookups!B:B))*Pipeline_tbl[[#This Row],[Pipeline_Amount_USD]]</f>
        <v>19800</v>
      </c>
      <c r="O6623" t="str">
        <f>_xlfn.XLOOKUP(Pipeline_tbl[[#This Row],[Rep_ID]],Dim_Reps!A:A,Dim_Reps!B:B)</f>
        <v>Olivia Cohen</v>
      </c>
      <c r="P6623" t="str">
        <f>_xlfn.XLOOKUP(Pipeline_tbl[[#This Row],[Rep_ID]],Dim_Reps!A:A,Dim_Reps!C:C)</f>
        <v>Mid-Market AE</v>
      </c>
      <c r="Q6623" t="str">
        <f>_xlfn.XLOOKUP(Pipeline_tbl[[#This Row],[Rep_ID]],Dim_Reps!A:A,Dim_Reps!D:D)</f>
        <v>Mid-Market</v>
      </c>
      <c r="R6623" t="str">
        <f>_xlfn.XLOOKUP(Pipeline_tbl[[#This Row],[Rep_ID]],Dim_Reps!A:A,Dim_Reps!E:E)</f>
        <v>APAC</v>
      </c>
      <c r="S6623" t="str">
        <f>_xlfn.XLOOKUP(Pipeline_tbl[[#This Row],[Created_Date]],Dim_Date!A:A,Dim_Date!H:H)</f>
        <v>Apr 2025</v>
      </c>
      <c r="T6623" t="str">
        <f>IF(Pipeline_tbl[[#This Row],[Closed_Date]]=0,"",(_xlfn.XLOOKUP(Pipeline_tbl[[#This Row],[Closed_Date]],Dim_Date!A:A,Dim_Date!H:H)))</f>
        <v>May 2025</v>
      </c>
      <c r="U6623">
        <f>IF(Pipeline_tbl[[#This Row],[Closed_Date]]=0,"",Pipeline_tbl[[#This Row],[Closed_Date]]-Pipeline_tbl[[#This Row],[Created_Date]])</f>
        <v>30</v>
      </c>
    </row>
    <row r="6624" spans="1:21" ht="15" customHeight="1" x14ac:dyDescent="0.2">
      <c r="A6624" t="s">
        <v>6930</v>
      </c>
      <c r="B6624" t="s">
        <v>241</v>
      </c>
      <c r="C6624" t="s">
        <v>53</v>
      </c>
      <c r="D6624" s="49">
        <v>45767</v>
      </c>
      <c r="E6624" s="49">
        <v>45769</v>
      </c>
      <c r="F6624" s="49">
        <v>45772</v>
      </c>
      <c r="I6624" s="49">
        <v>45784</v>
      </c>
      <c r="J6624" t="s">
        <v>49</v>
      </c>
      <c r="K6624" s="33">
        <v>4000</v>
      </c>
      <c r="L6624" t="s">
        <v>64</v>
      </c>
      <c r="M6624" t="str">
        <f>_xlfn.XLOOKUP(Pipeline_tbl[[#This Row],[Rep_ID]],Dim_Reps!A:A,Dim_Reps!K:K)</f>
        <v>EUR</v>
      </c>
      <c r="N6624" s="33">
        <f>(_xlfn.XLOOKUP(Pipeline_tbl[[#This Row],[Rate_Code_Generalized]],Lookups!A:A,Lookups!B:B))*Pipeline_tbl[[#This Row],[Pipeline_Amount_USD]]</f>
        <v>4000</v>
      </c>
      <c r="O6624" t="str">
        <f>_xlfn.XLOOKUP(Pipeline_tbl[[#This Row],[Rep_ID]],Dim_Reps!A:A,Dim_Reps!B:B)</f>
        <v>Kenji Weber</v>
      </c>
      <c r="P6624" t="str">
        <f>_xlfn.XLOOKUP(Pipeline_tbl[[#This Row],[Rep_ID]],Dim_Reps!A:A,Dim_Reps!C:C)</f>
        <v>SDR / Inside Sales Rep</v>
      </c>
      <c r="Q6624" t="str">
        <f>_xlfn.XLOOKUP(Pipeline_tbl[[#This Row],[Rep_ID]],Dim_Reps!A:A,Dim_Reps!D:D)</f>
        <v>Inside Sales</v>
      </c>
      <c r="R6624" t="str">
        <f>_xlfn.XLOOKUP(Pipeline_tbl[[#This Row],[Rep_ID]],Dim_Reps!A:A,Dim_Reps!E:E)</f>
        <v>APAC</v>
      </c>
      <c r="S6624" t="str">
        <f>_xlfn.XLOOKUP(Pipeline_tbl[[#This Row],[Created_Date]],Dim_Date!A:A,Dim_Date!H:H)</f>
        <v>Apr 2025</v>
      </c>
      <c r="T6624" t="str">
        <f>IF(Pipeline_tbl[[#This Row],[Closed_Date]]=0,"",(_xlfn.XLOOKUP(Pipeline_tbl[[#This Row],[Closed_Date]],Dim_Date!A:A,Dim_Date!H:H)))</f>
        <v>May 2025</v>
      </c>
      <c r="U6624">
        <f>IF(Pipeline_tbl[[#This Row],[Closed_Date]]=0,"",Pipeline_tbl[[#This Row],[Closed_Date]]-Pipeline_tbl[[#This Row],[Created_Date]])</f>
        <v>17</v>
      </c>
    </row>
    <row r="6625" spans="1:21" ht="15" customHeight="1" x14ac:dyDescent="0.2">
      <c r="A6625" t="s">
        <v>6931</v>
      </c>
      <c r="B6625" t="s">
        <v>241</v>
      </c>
      <c r="C6625" t="s">
        <v>54</v>
      </c>
      <c r="D6625" s="49">
        <v>45774</v>
      </c>
      <c r="E6625" s="49">
        <v>45776</v>
      </c>
      <c r="F6625" s="49">
        <v>45780</v>
      </c>
      <c r="G6625" s="49">
        <v>45787</v>
      </c>
      <c r="H6625" s="49">
        <v>45792</v>
      </c>
      <c r="I6625" s="49">
        <v>45795</v>
      </c>
      <c r="J6625" t="s">
        <v>47</v>
      </c>
      <c r="K6625" s="33">
        <v>3700</v>
      </c>
      <c r="M6625" t="str">
        <f>_xlfn.XLOOKUP(Pipeline_tbl[[#This Row],[Rep_ID]],Dim_Reps!A:A,Dim_Reps!K:K)</f>
        <v>EUR</v>
      </c>
      <c r="N6625" s="33">
        <f>(_xlfn.XLOOKUP(Pipeline_tbl[[#This Row],[Rate_Code_Generalized]],Lookups!A:A,Lookups!B:B))*Pipeline_tbl[[#This Row],[Pipeline_Amount_USD]]</f>
        <v>3700</v>
      </c>
      <c r="O6625" t="str">
        <f>_xlfn.XLOOKUP(Pipeline_tbl[[#This Row],[Rep_ID]],Dim_Reps!A:A,Dim_Reps!B:B)</f>
        <v>Kenji Weber</v>
      </c>
      <c r="P6625" t="str">
        <f>_xlfn.XLOOKUP(Pipeline_tbl[[#This Row],[Rep_ID]],Dim_Reps!A:A,Dim_Reps!C:C)</f>
        <v>SDR / Inside Sales Rep</v>
      </c>
      <c r="Q6625" t="str">
        <f>_xlfn.XLOOKUP(Pipeline_tbl[[#This Row],[Rep_ID]],Dim_Reps!A:A,Dim_Reps!D:D)</f>
        <v>Inside Sales</v>
      </c>
      <c r="R6625" t="str">
        <f>_xlfn.XLOOKUP(Pipeline_tbl[[#This Row],[Rep_ID]],Dim_Reps!A:A,Dim_Reps!E:E)</f>
        <v>APAC</v>
      </c>
      <c r="S6625" t="str">
        <f>_xlfn.XLOOKUP(Pipeline_tbl[[#This Row],[Created_Date]],Dim_Date!A:A,Dim_Date!H:H)</f>
        <v>Apr 2025</v>
      </c>
      <c r="T6625" t="str">
        <f>IF(Pipeline_tbl[[#This Row],[Closed_Date]]=0,"",(_xlfn.XLOOKUP(Pipeline_tbl[[#This Row],[Closed_Date]],Dim_Date!A:A,Dim_Date!H:H)))</f>
        <v>May 2025</v>
      </c>
      <c r="U6625">
        <f>IF(Pipeline_tbl[[#This Row],[Closed_Date]]=0,"",Pipeline_tbl[[#This Row],[Closed_Date]]-Pipeline_tbl[[#This Row],[Created_Date]])</f>
        <v>21</v>
      </c>
    </row>
    <row r="6626" spans="1:21" ht="15" customHeight="1" x14ac:dyDescent="0.2">
      <c r="A6626" t="s">
        <v>6932</v>
      </c>
      <c r="B6626" t="s">
        <v>241</v>
      </c>
      <c r="C6626" t="s">
        <v>52</v>
      </c>
      <c r="D6626" s="49">
        <v>45754</v>
      </c>
      <c r="E6626" s="49">
        <v>45757</v>
      </c>
      <c r="I6626" s="49">
        <v>45784</v>
      </c>
      <c r="J6626" t="s">
        <v>49</v>
      </c>
      <c r="K6626" s="33">
        <v>3000</v>
      </c>
      <c r="L6626" t="s">
        <v>60</v>
      </c>
      <c r="M6626" t="str">
        <f>_xlfn.XLOOKUP(Pipeline_tbl[[#This Row],[Rep_ID]],Dim_Reps!A:A,Dim_Reps!K:K)</f>
        <v>EUR</v>
      </c>
      <c r="N6626" s="33">
        <f>(_xlfn.XLOOKUP(Pipeline_tbl[[#This Row],[Rate_Code_Generalized]],Lookups!A:A,Lookups!B:B))*Pipeline_tbl[[#This Row],[Pipeline_Amount_USD]]</f>
        <v>3000</v>
      </c>
      <c r="O6626" t="str">
        <f>_xlfn.XLOOKUP(Pipeline_tbl[[#This Row],[Rep_ID]],Dim_Reps!A:A,Dim_Reps!B:B)</f>
        <v>Kenji Weber</v>
      </c>
      <c r="P6626" t="str">
        <f>_xlfn.XLOOKUP(Pipeline_tbl[[#This Row],[Rep_ID]],Dim_Reps!A:A,Dim_Reps!C:C)</f>
        <v>SDR / Inside Sales Rep</v>
      </c>
      <c r="Q6626" t="str">
        <f>_xlfn.XLOOKUP(Pipeline_tbl[[#This Row],[Rep_ID]],Dim_Reps!A:A,Dim_Reps!D:D)</f>
        <v>Inside Sales</v>
      </c>
      <c r="R6626" t="str">
        <f>_xlfn.XLOOKUP(Pipeline_tbl[[#This Row],[Rep_ID]],Dim_Reps!A:A,Dim_Reps!E:E)</f>
        <v>APAC</v>
      </c>
      <c r="S6626" t="str">
        <f>_xlfn.XLOOKUP(Pipeline_tbl[[#This Row],[Created_Date]],Dim_Date!A:A,Dim_Date!H:H)</f>
        <v>Apr 2025</v>
      </c>
      <c r="T6626" t="str">
        <f>IF(Pipeline_tbl[[#This Row],[Closed_Date]]=0,"",(_xlfn.XLOOKUP(Pipeline_tbl[[#This Row],[Closed_Date]],Dim_Date!A:A,Dim_Date!H:H)))</f>
        <v>May 2025</v>
      </c>
      <c r="U6626">
        <f>IF(Pipeline_tbl[[#This Row],[Closed_Date]]=0,"",Pipeline_tbl[[#This Row],[Closed_Date]]-Pipeline_tbl[[#This Row],[Created_Date]])</f>
        <v>30</v>
      </c>
    </row>
    <row r="6627" spans="1:21" ht="15" customHeight="1" x14ac:dyDescent="0.2">
      <c r="A6627" t="s">
        <v>6933</v>
      </c>
      <c r="B6627" t="s">
        <v>241</v>
      </c>
      <c r="C6627" t="s">
        <v>55</v>
      </c>
      <c r="D6627" s="49">
        <v>45769</v>
      </c>
      <c r="E6627" s="49">
        <v>45770</v>
      </c>
      <c r="F6627" s="49">
        <v>45772</v>
      </c>
      <c r="G6627" s="49">
        <v>45774</v>
      </c>
      <c r="H6627" s="49">
        <v>45777</v>
      </c>
      <c r="I6627" s="49">
        <v>45778</v>
      </c>
      <c r="J6627" t="s">
        <v>47</v>
      </c>
      <c r="K6627" s="33">
        <v>2800</v>
      </c>
      <c r="M6627" t="str">
        <f>_xlfn.XLOOKUP(Pipeline_tbl[[#This Row],[Rep_ID]],Dim_Reps!A:A,Dim_Reps!K:K)</f>
        <v>EUR</v>
      </c>
      <c r="N6627" s="33">
        <f>(_xlfn.XLOOKUP(Pipeline_tbl[[#This Row],[Rate_Code_Generalized]],Lookups!A:A,Lookups!B:B))*Pipeline_tbl[[#This Row],[Pipeline_Amount_USD]]</f>
        <v>2800</v>
      </c>
      <c r="O6627" t="str">
        <f>_xlfn.XLOOKUP(Pipeline_tbl[[#This Row],[Rep_ID]],Dim_Reps!A:A,Dim_Reps!B:B)</f>
        <v>Kenji Weber</v>
      </c>
      <c r="P6627" t="str">
        <f>_xlfn.XLOOKUP(Pipeline_tbl[[#This Row],[Rep_ID]],Dim_Reps!A:A,Dim_Reps!C:C)</f>
        <v>SDR / Inside Sales Rep</v>
      </c>
      <c r="Q6627" t="str">
        <f>_xlfn.XLOOKUP(Pipeline_tbl[[#This Row],[Rep_ID]],Dim_Reps!A:A,Dim_Reps!D:D)</f>
        <v>Inside Sales</v>
      </c>
      <c r="R6627" t="str">
        <f>_xlfn.XLOOKUP(Pipeline_tbl[[#This Row],[Rep_ID]],Dim_Reps!A:A,Dim_Reps!E:E)</f>
        <v>APAC</v>
      </c>
      <c r="S6627" t="str">
        <f>_xlfn.XLOOKUP(Pipeline_tbl[[#This Row],[Created_Date]],Dim_Date!A:A,Dim_Date!H:H)</f>
        <v>Apr 2025</v>
      </c>
      <c r="T6627" t="str">
        <f>IF(Pipeline_tbl[[#This Row],[Closed_Date]]=0,"",(_xlfn.XLOOKUP(Pipeline_tbl[[#This Row],[Closed_Date]],Dim_Date!A:A,Dim_Date!H:H)))</f>
        <v>May 2025</v>
      </c>
      <c r="U6627">
        <f>IF(Pipeline_tbl[[#This Row],[Closed_Date]]=0,"",Pipeline_tbl[[#This Row],[Closed_Date]]-Pipeline_tbl[[#This Row],[Created_Date]])</f>
        <v>9</v>
      </c>
    </row>
    <row r="6628" spans="1:21" ht="15" customHeight="1" x14ac:dyDescent="0.2">
      <c r="A6628" t="s">
        <v>6934</v>
      </c>
      <c r="B6628" t="s">
        <v>241</v>
      </c>
      <c r="C6628" t="s">
        <v>53</v>
      </c>
      <c r="D6628" s="49">
        <v>45773</v>
      </c>
      <c r="E6628" s="49">
        <v>45775</v>
      </c>
      <c r="F6628" s="49">
        <v>45778</v>
      </c>
      <c r="G6628" s="49">
        <v>45784</v>
      </c>
      <c r="H6628" s="49">
        <v>45788</v>
      </c>
      <c r="I6628" s="49">
        <v>45791</v>
      </c>
      <c r="J6628" t="s">
        <v>47</v>
      </c>
      <c r="K6628" s="33">
        <v>10400</v>
      </c>
      <c r="M6628" t="str">
        <f>_xlfn.XLOOKUP(Pipeline_tbl[[#This Row],[Rep_ID]],Dim_Reps!A:A,Dim_Reps!K:K)</f>
        <v>EUR</v>
      </c>
      <c r="N6628" s="33">
        <f>(_xlfn.XLOOKUP(Pipeline_tbl[[#This Row],[Rate_Code_Generalized]],Lookups!A:A,Lookups!B:B))*Pipeline_tbl[[#This Row],[Pipeline_Amount_USD]]</f>
        <v>10400</v>
      </c>
      <c r="O6628" t="str">
        <f>_xlfn.XLOOKUP(Pipeline_tbl[[#This Row],[Rep_ID]],Dim_Reps!A:A,Dim_Reps!B:B)</f>
        <v>Kenji Weber</v>
      </c>
      <c r="P6628" t="str">
        <f>_xlfn.XLOOKUP(Pipeline_tbl[[#This Row],[Rep_ID]],Dim_Reps!A:A,Dim_Reps!C:C)</f>
        <v>SDR / Inside Sales Rep</v>
      </c>
      <c r="Q6628" t="str">
        <f>_xlfn.XLOOKUP(Pipeline_tbl[[#This Row],[Rep_ID]],Dim_Reps!A:A,Dim_Reps!D:D)</f>
        <v>Inside Sales</v>
      </c>
      <c r="R6628" t="str">
        <f>_xlfn.XLOOKUP(Pipeline_tbl[[#This Row],[Rep_ID]],Dim_Reps!A:A,Dim_Reps!E:E)</f>
        <v>APAC</v>
      </c>
      <c r="S6628" t="str">
        <f>_xlfn.XLOOKUP(Pipeline_tbl[[#This Row],[Created_Date]],Dim_Date!A:A,Dim_Date!H:H)</f>
        <v>Apr 2025</v>
      </c>
      <c r="T6628" t="str">
        <f>IF(Pipeline_tbl[[#This Row],[Closed_Date]]=0,"",(_xlfn.XLOOKUP(Pipeline_tbl[[#This Row],[Closed_Date]],Dim_Date!A:A,Dim_Date!H:H)))</f>
        <v>May 2025</v>
      </c>
      <c r="U6628">
        <f>IF(Pipeline_tbl[[#This Row],[Closed_Date]]=0,"",Pipeline_tbl[[#This Row],[Closed_Date]]-Pipeline_tbl[[#This Row],[Created_Date]])</f>
        <v>18</v>
      </c>
    </row>
    <row r="6629" spans="1:21" ht="15" customHeight="1" x14ac:dyDescent="0.2">
      <c r="A6629" t="s">
        <v>6935</v>
      </c>
      <c r="B6629" t="s">
        <v>241</v>
      </c>
      <c r="C6629" t="s">
        <v>52</v>
      </c>
      <c r="D6629" s="49">
        <v>45766</v>
      </c>
      <c r="E6629" s="49">
        <v>45768</v>
      </c>
      <c r="F6629" s="49">
        <v>45771</v>
      </c>
      <c r="I6629" s="49">
        <v>45782</v>
      </c>
      <c r="J6629" t="s">
        <v>49</v>
      </c>
      <c r="K6629" s="33">
        <v>2000</v>
      </c>
      <c r="L6629" t="s">
        <v>62</v>
      </c>
      <c r="M6629" t="str">
        <f>_xlfn.XLOOKUP(Pipeline_tbl[[#This Row],[Rep_ID]],Dim_Reps!A:A,Dim_Reps!K:K)</f>
        <v>EUR</v>
      </c>
      <c r="N6629" s="33">
        <f>(_xlfn.XLOOKUP(Pipeline_tbl[[#This Row],[Rate_Code_Generalized]],Lookups!A:A,Lookups!B:B))*Pipeline_tbl[[#This Row],[Pipeline_Amount_USD]]</f>
        <v>2000</v>
      </c>
      <c r="O6629" t="str">
        <f>_xlfn.XLOOKUP(Pipeline_tbl[[#This Row],[Rep_ID]],Dim_Reps!A:A,Dim_Reps!B:B)</f>
        <v>Kenji Weber</v>
      </c>
      <c r="P6629" t="str">
        <f>_xlfn.XLOOKUP(Pipeline_tbl[[#This Row],[Rep_ID]],Dim_Reps!A:A,Dim_Reps!C:C)</f>
        <v>SDR / Inside Sales Rep</v>
      </c>
      <c r="Q6629" t="str">
        <f>_xlfn.XLOOKUP(Pipeline_tbl[[#This Row],[Rep_ID]],Dim_Reps!A:A,Dim_Reps!D:D)</f>
        <v>Inside Sales</v>
      </c>
      <c r="R6629" t="str">
        <f>_xlfn.XLOOKUP(Pipeline_tbl[[#This Row],[Rep_ID]],Dim_Reps!A:A,Dim_Reps!E:E)</f>
        <v>APAC</v>
      </c>
      <c r="S6629" t="str">
        <f>_xlfn.XLOOKUP(Pipeline_tbl[[#This Row],[Created_Date]],Dim_Date!A:A,Dim_Date!H:H)</f>
        <v>Apr 2025</v>
      </c>
      <c r="T6629" t="str">
        <f>IF(Pipeline_tbl[[#This Row],[Closed_Date]]=0,"",(_xlfn.XLOOKUP(Pipeline_tbl[[#This Row],[Closed_Date]],Dim_Date!A:A,Dim_Date!H:H)))</f>
        <v>May 2025</v>
      </c>
      <c r="U6629">
        <f>IF(Pipeline_tbl[[#This Row],[Closed_Date]]=0,"",Pipeline_tbl[[#This Row],[Closed_Date]]-Pipeline_tbl[[#This Row],[Created_Date]])</f>
        <v>16</v>
      </c>
    </row>
    <row r="6630" spans="1:21" ht="15" customHeight="1" x14ac:dyDescent="0.2">
      <c r="A6630" t="s">
        <v>6936</v>
      </c>
      <c r="B6630" t="s">
        <v>241</v>
      </c>
      <c r="C6630" t="s">
        <v>52</v>
      </c>
      <c r="D6630" s="49">
        <v>45775</v>
      </c>
      <c r="E6630" s="49">
        <v>45776</v>
      </c>
      <c r="F6630" s="49">
        <v>45779</v>
      </c>
      <c r="G6630" s="49">
        <v>45782</v>
      </c>
      <c r="H6630" s="49">
        <v>45785</v>
      </c>
      <c r="I6630" s="49">
        <v>45787</v>
      </c>
      <c r="J6630" t="s">
        <v>49</v>
      </c>
      <c r="K6630" s="33">
        <v>4500</v>
      </c>
      <c r="L6630" t="s">
        <v>61</v>
      </c>
      <c r="M6630" t="str">
        <f>_xlfn.XLOOKUP(Pipeline_tbl[[#This Row],[Rep_ID]],Dim_Reps!A:A,Dim_Reps!K:K)</f>
        <v>EUR</v>
      </c>
      <c r="N6630" s="33">
        <f>(_xlfn.XLOOKUP(Pipeline_tbl[[#This Row],[Rate_Code_Generalized]],Lookups!A:A,Lookups!B:B))*Pipeline_tbl[[#This Row],[Pipeline_Amount_USD]]</f>
        <v>4500</v>
      </c>
      <c r="O6630" t="str">
        <f>_xlfn.XLOOKUP(Pipeline_tbl[[#This Row],[Rep_ID]],Dim_Reps!A:A,Dim_Reps!B:B)</f>
        <v>Kenji Weber</v>
      </c>
      <c r="P6630" t="str">
        <f>_xlfn.XLOOKUP(Pipeline_tbl[[#This Row],[Rep_ID]],Dim_Reps!A:A,Dim_Reps!C:C)</f>
        <v>SDR / Inside Sales Rep</v>
      </c>
      <c r="Q6630" t="str">
        <f>_xlfn.XLOOKUP(Pipeline_tbl[[#This Row],[Rep_ID]],Dim_Reps!A:A,Dim_Reps!D:D)</f>
        <v>Inside Sales</v>
      </c>
      <c r="R6630" t="str">
        <f>_xlfn.XLOOKUP(Pipeline_tbl[[#This Row],[Rep_ID]],Dim_Reps!A:A,Dim_Reps!E:E)</f>
        <v>APAC</v>
      </c>
      <c r="S6630" t="str">
        <f>_xlfn.XLOOKUP(Pipeline_tbl[[#This Row],[Created_Date]],Dim_Date!A:A,Dim_Date!H:H)</f>
        <v>Apr 2025</v>
      </c>
      <c r="T6630" t="str">
        <f>IF(Pipeline_tbl[[#This Row],[Closed_Date]]=0,"",(_xlfn.XLOOKUP(Pipeline_tbl[[#This Row],[Closed_Date]],Dim_Date!A:A,Dim_Date!H:H)))</f>
        <v>May 2025</v>
      </c>
      <c r="U6630">
        <f>IF(Pipeline_tbl[[#This Row],[Closed_Date]]=0,"",Pipeline_tbl[[#This Row],[Closed_Date]]-Pipeline_tbl[[#This Row],[Created_Date]])</f>
        <v>12</v>
      </c>
    </row>
    <row r="6631" spans="1:21" ht="15" customHeight="1" x14ac:dyDescent="0.2">
      <c r="A6631" t="s">
        <v>6937</v>
      </c>
      <c r="B6631" t="s">
        <v>241</v>
      </c>
      <c r="C6631" t="s">
        <v>52</v>
      </c>
      <c r="D6631" s="49">
        <v>45775</v>
      </c>
      <c r="E6631" s="49">
        <v>45778</v>
      </c>
      <c r="F6631" s="49">
        <v>45783</v>
      </c>
      <c r="G6631" s="49">
        <v>45791</v>
      </c>
      <c r="I6631" s="49">
        <v>45802</v>
      </c>
      <c r="J6631" t="s">
        <v>49</v>
      </c>
      <c r="K6631" s="33">
        <v>2400</v>
      </c>
      <c r="L6631" t="s">
        <v>60</v>
      </c>
      <c r="M6631" t="str">
        <f>_xlfn.XLOOKUP(Pipeline_tbl[[#This Row],[Rep_ID]],Dim_Reps!A:A,Dim_Reps!K:K)</f>
        <v>EUR</v>
      </c>
      <c r="N6631" s="33">
        <f>(_xlfn.XLOOKUP(Pipeline_tbl[[#This Row],[Rate_Code_Generalized]],Lookups!A:A,Lookups!B:B))*Pipeline_tbl[[#This Row],[Pipeline_Amount_USD]]</f>
        <v>2400</v>
      </c>
      <c r="O6631" t="str">
        <f>_xlfn.XLOOKUP(Pipeline_tbl[[#This Row],[Rep_ID]],Dim_Reps!A:A,Dim_Reps!B:B)</f>
        <v>Kenji Weber</v>
      </c>
      <c r="P6631" t="str">
        <f>_xlfn.XLOOKUP(Pipeline_tbl[[#This Row],[Rep_ID]],Dim_Reps!A:A,Dim_Reps!C:C)</f>
        <v>SDR / Inside Sales Rep</v>
      </c>
      <c r="Q6631" t="str">
        <f>_xlfn.XLOOKUP(Pipeline_tbl[[#This Row],[Rep_ID]],Dim_Reps!A:A,Dim_Reps!D:D)</f>
        <v>Inside Sales</v>
      </c>
      <c r="R6631" t="str">
        <f>_xlfn.XLOOKUP(Pipeline_tbl[[#This Row],[Rep_ID]],Dim_Reps!A:A,Dim_Reps!E:E)</f>
        <v>APAC</v>
      </c>
      <c r="S6631" t="str">
        <f>_xlfn.XLOOKUP(Pipeline_tbl[[#This Row],[Created_Date]],Dim_Date!A:A,Dim_Date!H:H)</f>
        <v>Apr 2025</v>
      </c>
      <c r="T6631" t="str">
        <f>IF(Pipeline_tbl[[#This Row],[Closed_Date]]=0,"",(_xlfn.XLOOKUP(Pipeline_tbl[[#This Row],[Closed_Date]],Dim_Date!A:A,Dim_Date!H:H)))</f>
        <v>May 2025</v>
      </c>
      <c r="U6631">
        <f>IF(Pipeline_tbl[[#This Row],[Closed_Date]]=0,"",Pipeline_tbl[[#This Row],[Closed_Date]]-Pipeline_tbl[[#This Row],[Created_Date]])</f>
        <v>27</v>
      </c>
    </row>
    <row r="6632" spans="1:21" ht="15" customHeight="1" x14ac:dyDescent="0.2">
      <c r="A6632" t="s">
        <v>6938</v>
      </c>
      <c r="B6632" t="s">
        <v>280</v>
      </c>
      <c r="C6632" t="s">
        <v>52</v>
      </c>
      <c r="D6632" s="49">
        <v>45766</v>
      </c>
      <c r="E6632" s="49">
        <v>45781</v>
      </c>
      <c r="F6632" s="49">
        <v>45811</v>
      </c>
      <c r="G6632" s="49">
        <v>45855</v>
      </c>
      <c r="I6632" s="49">
        <v>45915</v>
      </c>
      <c r="J6632" t="s">
        <v>49</v>
      </c>
      <c r="K6632" s="33">
        <v>60200</v>
      </c>
      <c r="L6632" t="s">
        <v>60</v>
      </c>
      <c r="M6632" t="str">
        <f>_xlfn.XLOOKUP(Pipeline_tbl[[#This Row],[Rep_ID]],Dim_Reps!A:A,Dim_Reps!K:K)</f>
        <v>MXN</v>
      </c>
      <c r="N6632" s="33">
        <f>(_xlfn.XLOOKUP(Pipeline_tbl[[#This Row],[Rate_Code_Generalized]],Lookups!A:A,Lookups!B:B))*Pipeline_tbl[[#This Row],[Pipeline_Amount_USD]]</f>
        <v>1187908.54</v>
      </c>
      <c r="O6632" t="str">
        <f>_xlfn.XLOOKUP(Pipeline_tbl[[#This Row],[Rep_ID]],Dim_Reps!A:A,Dim_Reps!B:B)</f>
        <v>Cameron Lund</v>
      </c>
      <c r="P6632" t="str">
        <f>_xlfn.XLOOKUP(Pipeline_tbl[[#This Row],[Rep_ID]],Dim_Reps!A:A,Dim_Reps!C:C)</f>
        <v>Senior Enterprise AE</v>
      </c>
      <c r="Q6632" t="str">
        <f>_xlfn.XLOOKUP(Pipeline_tbl[[#This Row],[Rep_ID]],Dim_Reps!A:A,Dim_Reps!D:D)</f>
        <v>Strategic</v>
      </c>
      <c r="R6632" t="str">
        <f>_xlfn.XLOOKUP(Pipeline_tbl[[#This Row],[Rep_ID]],Dim_Reps!A:A,Dim_Reps!E:E)</f>
        <v>LATAM</v>
      </c>
      <c r="S6632" t="str">
        <f>_xlfn.XLOOKUP(Pipeline_tbl[[#This Row],[Created_Date]],Dim_Date!A:A,Dim_Date!H:H)</f>
        <v>Apr 2025</v>
      </c>
      <c r="T6632" t="str">
        <f>IF(Pipeline_tbl[[#This Row],[Closed_Date]]=0,"",(_xlfn.XLOOKUP(Pipeline_tbl[[#This Row],[Closed_Date]],Dim_Date!A:A,Dim_Date!H:H)))</f>
        <v>Sep 2025</v>
      </c>
      <c r="U6632">
        <f>IF(Pipeline_tbl[[#This Row],[Closed_Date]]=0,"",Pipeline_tbl[[#This Row],[Closed_Date]]-Pipeline_tbl[[#This Row],[Created_Date]])</f>
        <v>149</v>
      </c>
    </row>
    <row r="6633" spans="1:21" ht="15" customHeight="1" x14ac:dyDescent="0.2">
      <c r="A6633" t="s">
        <v>6939</v>
      </c>
      <c r="B6633" t="s">
        <v>193</v>
      </c>
      <c r="C6633" t="s">
        <v>53</v>
      </c>
      <c r="D6633" s="49">
        <v>45383</v>
      </c>
      <c r="E6633" s="49">
        <v>45385</v>
      </c>
      <c r="F6633" s="49">
        <v>45389</v>
      </c>
      <c r="G6633" s="49">
        <v>45395</v>
      </c>
      <c r="H6633" s="49">
        <v>45400</v>
      </c>
      <c r="I6633" s="49">
        <v>45403</v>
      </c>
      <c r="J6633" t="s">
        <v>47</v>
      </c>
      <c r="K6633" s="33">
        <v>3100</v>
      </c>
      <c r="M6633" t="str">
        <f>_xlfn.XLOOKUP(Pipeline_tbl[[#This Row],[Rep_ID]],Dim_Reps!A:A,Dim_Reps!K:K)</f>
        <v>USD</v>
      </c>
      <c r="N6633" s="33">
        <f>(_xlfn.XLOOKUP(Pipeline_tbl[[#This Row],[Rate_Code_Generalized]],Lookups!A:A,Lookups!B:B))*Pipeline_tbl[[#This Row],[Pipeline_Amount_USD]]</f>
        <v>3609.3299999999995</v>
      </c>
      <c r="O6633" t="str">
        <f>_xlfn.XLOOKUP(Pipeline_tbl[[#This Row],[Rep_ID]],Dim_Reps!A:A,Dim_Reps!B:B)</f>
        <v>Karim Rossi</v>
      </c>
      <c r="P6633" t="str">
        <f>_xlfn.XLOOKUP(Pipeline_tbl[[#This Row],[Rep_ID]],Dim_Reps!A:A,Dim_Reps!C:C)</f>
        <v>SDR / Inside Sales Rep</v>
      </c>
      <c r="Q6633" t="str">
        <f>_xlfn.XLOOKUP(Pipeline_tbl[[#This Row],[Rep_ID]],Dim_Reps!A:A,Dim_Reps!D:D)</f>
        <v>Inside Sales</v>
      </c>
      <c r="R6633" t="str">
        <f>_xlfn.XLOOKUP(Pipeline_tbl[[#This Row],[Rep_ID]],Dim_Reps!A:A,Dim_Reps!E:E)</f>
        <v>NAMER</v>
      </c>
      <c r="S6633" t="str">
        <f>_xlfn.XLOOKUP(Pipeline_tbl[[#This Row],[Created_Date]],Dim_Date!A:A,Dim_Date!H:H)</f>
        <v>Apr 2024</v>
      </c>
      <c r="T6633" t="str">
        <f>IF(Pipeline_tbl[[#This Row],[Closed_Date]]=0,"",(_xlfn.XLOOKUP(Pipeline_tbl[[#This Row],[Closed_Date]],Dim_Date!A:A,Dim_Date!H:H)))</f>
        <v>Apr 2024</v>
      </c>
      <c r="U6633">
        <f>IF(Pipeline_tbl[[#This Row],[Closed_Date]]=0,"",Pipeline_tbl[[#This Row],[Closed_Date]]-Pipeline_tbl[[#This Row],[Created_Date]])</f>
        <v>20</v>
      </c>
    </row>
    <row r="6634" spans="1:21" ht="15" customHeight="1" x14ac:dyDescent="0.2">
      <c r="A6634" t="s">
        <v>6940</v>
      </c>
      <c r="B6634" t="s">
        <v>193</v>
      </c>
      <c r="C6634" t="s">
        <v>53</v>
      </c>
      <c r="D6634" s="49">
        <v>45392</v>
      </c>
      <c r="E6634" s="49">
        <v>45394</v>
      </c>
      <c r="F6634" s="49">
        <v>45398</v>
      </c>
      <c r="G6634" s="49">
        <v>45404</v>
      </c>
      <c r="H6634" s="49">
        <v>45409</v>
      </c>
      <c r="I6634" s="49">
        <v>45412</v>
      </c>
      <c r="J6634" t="s">
        <v>47</v>
      </c>
      <c r="K6634" s="33">
        <v>2400</v>
      </c>
      <c r="M6634" t="str">
        <f>_xlfn.XLOOKUP(Pipeline_tbl[[#This Row],[Rep_ID]],Dim_Reps!A:A,Dim_Reps!K:K)</f>
        <v>USD</v>
      </c>
      <c r="N6634" s="33">
        <f>(_xlfn.XLOOKUP(Pipeline_tbl[[#This Row],[Rate_Code_Generalized]],Lookups!A:A,Lookups!B:B))*Pipeline_tbl[[#This Row],[Pipeline_Amount_USD]]</f>
        <v>2794.3199999999997</v>
      </c>
      <c r="O6634" t="str">
        <f>_xlfn.XLOOKUP(Pipeline_tbl[[#This Row],[Rep_ID]],Dim_Reps!A:A,Dim_Reps!B:B)</f>
        <v>Karim Rossi</v>
      </c>
      <c r="P6634" t="str">
        <f>_xlfn.XLOOKUP(Pipeline_tbl[[#This Row],[Rep_ID]],Dim_Reps!A:A,Dim_Reps!C:C)</f>
        <v>SDR / Inside Sales Rep</v>
      </c>
      <c r="Q6634" t="str">
        <f>_xlfn.XLOOKUP(Pipeline_tbl[[#This Row],[Rep_ID]],Dim_Reps!A:A,Dim_Reps!D:D)</f>
        <v>Inside Sales</v>
      </c>
      <c r="R6634" t="str">
        <f>_xlfn.XLOOKUP(Pipeline_tbl[[#This Row],[Rep_ID]],Dim_Reps!A:A,Dim_Reps!E:E)</f>
        <v>NAMER</v>
      </c>
      <c r="S6634" t="str">
        <f>_xlfn.XLOOKUP(Pipeline_tbl[[#This Row],[Created_Date]],Dim_Date!A:A,Dim_Date!H:H)</f>
        <v>Apr 2024</v>
      </c>
      <c r="T6634" t="str">
        <f>IF(Pipeline_tbl[[#This Row],[Closed_Date]]=0,"",(_xlfn.XLOOKUP(Pipeline_tbl[[#This Row],[Closed_Date]],Dim_Date!A:A,Dim_Date!H:H)))</f>
        <v>Apr 2024</v>
      </c>
      <c r="U6634">
        <f>IF(Pipeline_tbl[[#This Row],[Closed_Date]]=0,"",Pipeline_tbl[[#This Row],[Closed_Date]]-Pipeline_tbl[[#This Row],[Created_Date]])</f>
        <v>20</v>
      </c>
    </row>
    <row r="6635" spans="1:21" ht="15" customHeight="1" x14ac:dyDescent="0.2">
      <c r="A6635" t="s">
        <v>6941</v>
      </c>
      <c r="B6635" t="s">
        <v>199</v>
      </c>
      <c r="C6635" t="s">
        <v>52</v>
      </c>
      <c r="D6635" s="49">
        <v>45387</v>
      </c>
      <c r="E6635" s="49">
        <v>45389</v>
      </c>
      <c r="F6635" s="49">
        <v>45393</v>
      </c>
      <c r="G6635" s="49">
        <v>45400</v>
      </c>
      <c r="H6635" s="49">
        <v>45405</v>
      </c>
      <c r="I6635" s="49">
        <v>45408</v>
      </c>
      <c r="J6635" t="s">
        <v>47</v>
      </c>
      <c r="K6635" s="33">
        <v>2800</v>
      </c>
      <c r="M6635" t="str">
        <f>_xlfn.XLOOKUP(Pipeline_tbl[[#This Row],[Rep_ID]],Dim_Reps!A:A,Dim_Reps!K:K)</f>
        <v>EUR</v>
      </c>
      <c r="N6635" s="33">
        <f>(_xlfn.XLOOKUP(Pipeline_tbl[[#This Row],[Rate_Code_Generalized]],Lookups!A:A,Lookups!B:B))*Pipeline_tbl[[#This Row],[Pipeline_Amount_USD]]</f>
        <v>2800</v>
      </c>
      <c r="O6635" t="str">
        <f>_xlfn.XLOOKUP(Pipeline_tbl[[#This Row],[Rep_ID]],Dim_Reps!A:A,Dim_Reps!B:B)</f>
        <v>Lucas Okafor</v>
      </c>
      <c r="P6635" t="str">
        <f>_xlfn.XLOOKUP(Pipeline_tbl[[#This Row],[Rep_ID]],Dim_Reps!A:A,Dim_Reps!C:C)</f>
        <v>SDR / Inside Sales Rep</v>
      </c>
      <c r="Q6635" t="str">
        <f>_xlfn.XLOOKUP(Pipeline_tbl[[#This Row],[Rep_ID]],Dim_Reps!A:A,Dim_Reps!D:D)</f>
        <v>Inside Sales</v>
      </c>
      <c r="R6635" t="str">
        <f>_xlfn.XLOOKUP(Pipeline_tbl[[#This Row],[Rep_ID]],Dim_Reps!A:A,Dim_Reps!E:E)</f>
        <v>APAC</v>
      </c>
      <c r="S6635" t="str">
        <f>_xlfn.XLOOKUP(Pipeline_tbl[[#This Row],[Created_Date]],Dim_Date!A:A,Dim_Date!H:H)</f>
        <v>Apr 2024</v>
      </c>
      <c r="T6635" t="str">
        <f>IF(Pipeline_tbl[[#This Row],[Closed_Date]]=0,"",(_xlfn.XLOOKUP(Pipeline_tbl[[#This Row],[Closed_Date]],Dim_Date!A:A,Dim_Date!H:H)))</f>
        <v>Apr 2024</v>
      </c>
      <c r="U6635">
        <f>IF(Pipeline_tbl[[#This Row],[Closed_Date]]=0,"",Pipeline_tbl[[#This Row],[Closed_Date]]-Pipeline_tbl[[#This Row],[Created_Date]])</f>
        <v>21</v>
      </c>
    </row>
    <row r="6636" spans="1:21" ht="15" customHeight="1" x14ac:dyDescent="0.2">
      <c r="A6636" t="s">
        <v>6942</v>
      </c>
      <c r="B6636" t="s">
        <v>199</v>
      </c>
      <c r="C6636" t="s">
        <v>52</v>
      </c>
      <c r="D6636" s="49">
        <v>45388</v>
      </c>
      <c r="E6636" s="49">
        <v>45389</v>
      </c>
      <c r="F6636" s="49">
        <v>45392</v>
      </c>
      <c r="G6636" s="49">
        <v>45396</v>
      </c>
      <c r="I6636" s="49">
        <v>45402</v>
      </c>
      <c r="J6636" t="s">
        <v>49</v>
      </c>
      <c r="K6636" s="33">
        <v>3400</v>
      </c>
      <c r="L6636" t="s">
        <v>60</v>
      </c>
      <c r="M6636" t="str">
        <f>_xlfn.XLOOKUP(Pipeline_tbl[[#This Row],[Rep_ID]],Dim_Reps!A:A,Dim_Reps!K:K)</f>
        <v>EUR</v>
      </c>
      <c r="N6636" s="33">
        <f>(_xlfn.XLOOKUP(Pipeline_tbl[[#This Row],[Rate_Code_Generalized]],Lookups!A:A,Lookups!B:B))*Pipeline_tbl[[#This Row],[Pipeline_Amount_USD]]</f>
        <v>3400</v>
      </c>
      <c r="O6636" t="str">
        <f>_xlfn.XLOOKUP(Pipeline_tbl[[#This Row],[Rep_ID]],Dim_Reps!A:A,Dim_Reps!B:B)</f>
        <v>Lucas Okafor</v>
      </c>
      <c r="P6636" t="str">
        <f>_xlfn.XLOOKUP(Pipeline_tbl[[#This Row],[Rep_ID]],Dim_Reps!A:A,Dim_Reps!C:C)</f>
        <v>SDR / Inside Sales Rep</v>
      </c>
      <c r="Q6636" t="str">
        <f>_xlfn.XLOOKUP(Pipeline_tbl[[#This Row],[Rep_ID]],Dim_Reps!A:A,Dim_Reps!D:D)</f>
        <v>Inside Sales</v>
      </c>
      <c r="R6636" t="str">
        <f>_xlfn.XLOOKUP(Pipeline_tbl[[#This Row],[Rep_ID]],Dim_Reps!A:A,Dim_Reps!E:E)</f>
        <v>APAC</v>
      </c>
      <c r="S6636" t="str">
        <f>_xlfn.XLOOKUP(Pipeline_tbl[[#This Row],[Created_Date]],Dim_Date!A:A,Dim_Date!H:H)</f>
        <v>Apr 2024</v>
      </c>
      <c r="T6636" t="str">
        <f>IF(Pipeline_tbl[[#This Row],[Closed_Date]]=0,"",(_xlfn.XLOOKUP(Pipeline_tbl[[#This Row],[Closed_Date]],Dim_Date!A:A,Dim_Date!H:H)))</f>
        <v>Apr 2024</v>
      </c>
      <c r="U6636">
        <f>IF(Pipeline_tbl[[#This Row],[Closed_Date]]=0,"",Pipeline_tbl[[#This Row],[Closed_Date]]-Pipeline_tbl[[#This Row],[Created_Date]])</f>
        <v>14</v>
      </c>
    </row>
    <row r="6637" spans="1:21" ht="15" customHeight="1" x14ac:dyDescent="0.2">
      <c r="A6637" t="s">
        <v>6943</v>
      </c>
      <c r="B6637" t="s">
        <v>199</v>
      </c>
      <c r="C6637" t="s">
        <v>53</v>
      </c>
      <c r="D6637" s="49">
        <v>45391</v>
      </c>
      <c r="E6637" s="49">
        <v>45391</v>
      </c>
      <c r="F6637" s="49">
        <v>45393</v>
      </c>
      <c r="I6637" s="49">
        <v>45396</v>
      </c>
      <c r="J6637" t="s">
        <v>49</v>
      </c>
      <c r="K6637" s="33">
        <v>2100</v>
      </c>
      <c r="L6637" t="s">
        <v>60</v>
      </c>
      <c r="M6637" t="str">
        <f>_xlfn.XLOOKUP(Pipeline_tbl[[#This Row],[Rep_ID]],Dim_Reps!A:A,Dim_Reps!K:K)</f>
        <v>EUR</v>
      </c>
      <c r="N6637" s="33">
        <f>(_xlfn.XLOOKUP(Pipeline_tbl[[#This Row],[Rate_Code_Generalized]],Lookups!A:A,Lookups!B:B))*Pipeline_tbl[[#This Row],[Pipeline_Amount_USD]]</f>
        <v>2100</v>
      </c>
      <c r="O6637" t="str">
        <f>_xlfn.XLOOKUP(Pipeline_tbl[[#This Row],[Rep_ID]],Dim_Reps!A:A,Dim_Reps!B:B)</f>
        <v>Lucas Okafor</v>
      </c>
      <c r="P6637" t="str">
        <f>_xlfn.XLOOKUP(Pipeline_tbl[[#This Row],[Rep_ID]],Dim_Reps!A:A,Dim_Reps!C:C)</f>
        <v>SDR / Inside Sales Rep</v>
      </c>
      <c r="Q6637" t="str">
        <f>_xlfn.XLOOKUP(Pipeline_tbl[[#This Row],[Rep_ID]],Dim_Reps!A:A,Dim_Reps!D:D)</f>
        <v>Inside Sales</v>
      </c>
      <c r="R6637" t="str">
        <f>_xlfn.XLOOKUP(Pipeline_tbl[[#This Row],[Rep_ID]],Dim_Reps!A:A,Dim_Reps!E:E)</f>
        <v>APAC</v>
      </c>
      <c r="S6637" t="str">
        <f>_xlfn.XLOOKUP(Pipeline_tbl[[#This Row],[Created_Date]],Dim_Date!A:A,Dim_Date!H:H)</f>
        <v>Apr 2024</v>
      </c>
      <c r="T6637" t="str">
        <f>IF(Pipeline_tbl[[#This Row],[Closed_Date]]=0,"",(_xlfn.XLOOKUP(Pipeline_tbl[[#This Row],[Closed_Date]],Dim_Date!A:A,Dim_Date!H:H)))</f>
        <v>Apr 2024</v>
      </c>
      <c r="U6637">
        <f>IF(Pipeline_tbl[[#This Row],[Closed_Date]]=0,"",Pipeline_tbl[[#This Row],[Closed_Date]]-Pipeline_tbl[[#This Row],[Created_Date]])</f>
        <v>5</v>
      </c>
    </row>
    <row r="6638" spans="1:21" ht="15" customHeight="1" x14ac:dyDescent="0.2">
      <c r="A6638" t="s">
        <v>6944</v>
      </c>
      <c r="B6638" t="s">
        <v>205</v>
      </c>
      <c r="C6638" t="s">
        <v>55</v>
      </c>
      <c r="D6638" s="49">
        <v>45396</v>
      </c>
      <c r="E6638" s="49">
        <v>45397</v>
      </c>
      <c r="F6638" s="49">
        <v>45399</v>
      </c>
      <c r="G6638" s="49">
        <v>45401</v>
      </c>
      <c r="H6638" s="49">
        <v>45404</v>
      </c>
      <c r="I6638" s="49">
        <v>45405</v>
      </c>
      <c r="J6638" t="s">
        <v>47</v>
      </c>
      <c r="K6638" s="33">
        <v>6200</v>
      </c>
      <c r="M6638" t="str">
        <f>_xlfn.XLOOKUP(Pipeline_tbl[[#This Row],[Rep_ID]],Dim_Reps!A:A,Dim_Reps!K:K)</f>
        <v>EUR</v>
      </c>
      <c r="N6638" s="33">
        <f>(_xlfn.XLOOKUP(Pipeline_tbl[[#This Row],[Rate_Code_Generalized]],Lookups!A:A,Lookups!B:B))*Pipeline_tbl[[#This Row],[Pipeline_Amount_USD]]</f>
        <v>6200</v>
      </c>
      <c r="O6638" t="str">
        <f>_xlfn.XLOOKUP(Pipeline_tbl[[#This Row],[Rep_ID]],Dim_Reps!A:A,Dim_Reps!B:B)</f>
        <v>Karim Alvarez</v>
      </c>
      <c r="P6638" t="str">
        <f>_xlfn.XLOOKUP(Pipeline_tbl[[#This Row],[Rep_ID]],Dim_Reps!A:A,Dim_Reps!C:C)</f>
        <v>SDR / Inside Sales Rep</v>
      </c>
      <c r="Q6638" t="str">
        <f>_xlfn.XLOOKUP(Pipeline_tbl[[#This Row],[Rep_ID]],Dim_Reps!A:A,Dim_Reps!D:D)</f>
        <v>Inside Sales</v>
      </c>
      <c r="R6638" t="str">
        <f>_xlfn.XLOOKUP(Pipeline_tbl[[#This Row],[Rep_ID]],Dim_Reps!A:A,Dim_Reps!E:E)</f>
        <v>EMEA</v>
      </c>
      <c r="S6638" t="str">
        <f>_xlfn.XLOOKUP(Pipeline_tbl[[#This Row],[Created_Date]],Dim_Date!A:A,Dim_Date!H:H)</f>
        <v>Apr 2024</v>
      </c>
      <c r="T6638" t="str">
        <f>IF(Pipeline_tbl[[#This Row],[Closed_Date]]=0,"",(_xlfn.XLOOKUP(Pipeline_tbl[[#This Row],[Closed_Date]],Dim_Date!A:A,Dim_Date!H:H)))</f>
        <v>Apr 2024</v>
      </c>
      <c r="U6638">
        <f>IF(Pipeline_tbl[[#This Row],[Closed_Date]]=0,"",Pipeline_tbl[[#This Row],[Closed_Date]]-Pipeline_tbl[[#This Row],[Created_Date]])</f>
        <v>9</v>
      </c>
    </row>
    <row r="6639" spans="1:21" ht="15" customHeight="1" x14ac:dyDescent="0.2">
      <c r="A6639" t="s">
        <v>6945</v>
      </c>
      <c r="B6639" t="s">
        <v>205</v>
      </c>
      <c r="C6639" t="s">
        <v>53</v>
      </c>
      <c r="D6639" s="49">
        <v>45386</v>
      </c>
      <c r="E6639" s="49">
        <v>45388</v>
      </c>
      <c r="F6639" s="49">
        <v>45392</v>
      </c>
      <c r="G6639" s="49">
        <v>45398</v>
      </c>
      <c r="I6639" s="49">
        <v>45406</v>
      </c>
      <c r="J6639" t="s">
        <v>49</v>
      </c>
      <c r="K6639" s="33">
        <v>6400</v>
      </c>
      <c r="L6639" t="s">
        <v>62</v>
      </c>
      <c r="M6639" t="str">
        <f>_xlfn.XLOOKUP(Pipeline_tbl[[#This Row],[Rep_ID]],Dim_Reps!A:A,Dim_Reps!K:K)</f>
        <v>EUR</v>
      </c>
      <c r="N6639" s="33">
        <f>(_xlfn.XLOOKUP(Pipeline_tbl[[#This Row],[Rate_Code_Generalized]],Lookups!A:A,Lookups!B:B))*Pipeline_tbl[[#This Row],[Pipeline_Amount_USD]]</f>
        <v>6400</v>
      </c>
      <c r="O6639" t="str">
        <f>_xlfn.XLOOKUP(Pipeline_tbl[[#This Row],[Rep_ID]],Dim_Reps!A:A,Dim_Reps!B:B)</f>
        <v>Karim Alvarez</v>
      </c>
      <c r="P6639" t="str">
        <f>_xlfn.XLOOKUP(Pipeline_tbl[[#This Row],[Rep_ID]],Dim_Reps!A:A,Dim_Reps!C:C)</f>
        <v>SDR / Inside Sales Rep</v>
      </c>
      <c r="Q6639" t="str">
        <f>_xlfn.XLOOKUP(Pipeline_tbl[[#This Row],[Rep_ID]],Dim_Reps!A:A,Dim_Reps!D:D)</f>
        <v>Inside Sales</v>
      </c>
      <c r="R6639" t="str">
        <f>_xlfn.XLOOKUP(Pipeline_tbl[[#This Row],[Rep_ID]],Dim_Reps!A:A,Dim_Reps!E:E)</f>
        <v>EMEA</v>
      </c>
      <c r="S6639" t="str">
        <f>_xlfn.XLOOKUP(Pipeline_tbl[[#This Row],[Created_Date]],Dim_Date!A:A,Dim_Date!H:H)</f>
        <v>Apr 2024</v>
      </c>
      <c r="T6639" t="str">
        <f>IF(Pipeline_tbl[[#This Row],[Closed_Date]]=0,"",(_xlfn.XLOOKUP(Pipeline_tbl[[#This Row],[Closed_Date]],Dim_Date!A:A,Dim_Date!H:H)))</f>
        <v>Apr 2024</v>
      </c>
      <c r="U6639">
        <f>IF(Pipeline_tbl[[#This Row],[Closed_Date]]=0,"",Pipeline_tbl[[#This Row],[Closed_Date]]-Pipeline_tbl[[#This Row],[Created_Date]])</f>
        <v>20</v>
      </c>
    </row>
    <row r="6640" spans="1:21" ht="15" customHeight="1" x14ac:dyDescent="0.2">
      <c r="A6640" t="s">
        <v>6946</v>
      </c>
      <c r="B6640" t="s">
        <v>205</v>
      </c>
      <c r="C6640" t="s">
        <v>52</v>
      </c>
      <c r="D6640" s="49">
        <v>45385</v>
      </c>
      <c r="E6640" s="49">
        <v>45387</v>
      </c>
      <c r="I6640" s="49">
        <v>45406</v>
      </c>
      <c r="J6640" t="s">
        <v>49</v>
      </c>
      <c r="K6640" s="33">
        <v>2100</v>
      </c>
      <c r="L6640" t="s">
        <v>63</v>
      </c>
      <c r="M6640" t="str">
        <f>_xlfn.XLOOKUP(Pipeline_tbl[[#This Row],[Rep_ID]],Dim_Reps!A:A,Dim_Reps!K:K)</f>
        <v>EUR</v>
      </c>
      <c r="N6640" s="33">
        <f>(_xlfn.XLOOKUP(Pipeline_tbl[[#This Row],[Rate_Code_Generalized]],Lookups!A:A,Lookups!B:B))*Pipeline_tbl[[#This Row],[Pipeline_Amount_USD]]</f>
        <v>2100</v>
      </c>
      <c r="O6640" t="str">
        <f>_xlfn.XLOOKUP(Pipeline_tbl[[#This Row],[Rep_ID]],Dim_Reps!A:A,Dim_Reps!B:B)</f>
        <v>Karim Alvarez</v>
      </c>
      <c r="P6640" t="str">
        <f>_xlfn.XLOOKUP(Pipeline_tbl[[#This Row],[Rep_ID]],Dim_Reps!A:A,Dim_Reps!C:C)</f>
        <v>SDR / Inside Sales Rep</v>
      </c>
      <c r="Q6640" t="str">
        <f>_xlfn.XLOOKUP(Pipeline_tbl[[#This Row],[Rep_ID]],Dim_Reps!A:A,Dim_Reps!D:D)</f>
        <v>Inside Sales</v>
      </c>
      <c r="R6640" t="str">
        <f>_xlfn.XLOOKUP(Pipeline_tbl[[#This Row],[Rep_ID]],Dim_Reps!A:A,Dim_Reps!E:E)</f>
        <v>EMEA</v>
      </c>
      <c r="S6640" t="str">
        <f>_xlfn.XLOOKUP(Pipeline_tbl[[#This Row],[Created_Date]],Dim_Date!A:A,Dim_Date!H:H)</f>
        <v>Apr 2024</v>
      </c>
      <c r="T6640" t="str">
        <f>IF(Pipeline_tbl[[#This Row],[Closed_Date]]=0,"",(_xlfn.XLOOKUP(Pipeline_tbl[[#This Row],[Closed_Date]],Dim_Date!A:A,Dim_Date!H:H)))</f>
        <v>Apr 2024</v>
      </c>
      <c r="U6640">
        <f>IF(Pipeline_tbl[[#This Row],[Closed_Date]]=0,"",Pipeline_tbl[[#This Row],[Closed_Date]]-Pipeline_tbl[[#This Row],[Created_Date]])</f>
        <v>21</v>
      </c>
    </row>
    <row r="6641" spans="1:21" ht="15" customHeight="1" x14ac:dyDescent="0.2">
      <c r="A6641" t="s">
        <v>6947</v>
      </c>
      <c r="B6641" t="s">
        <v>211</v>
      </c>
      <c r="C6641" t="s">
        <v>55</v>
      </c>
      <c r="D6641" s="49">
        <v>45387</v>
      </c>
      <c r="E6641" s="49">
        <v>45388</v>
      </c>
      <c r="F6641" s="49">
        <v>45391</v>
      </c>
      <c r="G6641" s="49">
        <v>45394</v>
      </c>
      <c r="I6641" s="49">
        <v>45399</v>
      </c>
      <c r="J6641" t="s">
        <v>49</v>
      </c>
      <c r="K6641" s="33">
        <v>2800</v>
      </c>
      <c r="L6641" t="s">
        <v>60</v>
      </c>
      <c r="M6641" t="str">
        <f>_xlfn.XLOOKUP(Pipeline_tbl[[#This Row],[Rep_ID]],Dim_Reps!A:A,Dim_Reps!K:K)</f>
        <v>EUR</v>
      </c>
      <c r="N6641" s="33">
        <f>(_xlfn.XLOOKUP(Pipeline_tbl[[#This Row],[Rate_Code_Generalized]],Lookups!A:A,Lookups!B:B))*Pipeline_tbl[[#This Row],[Pipeline_Amount_USD]]</f>
        <v>2800</v>
      </c>
      <c r="O6641" t="str">
        <f>_xlfn.XLOOKUP(Pipeline_tbl[[#This Row],[Rep_ID]],Dim_Reps!A:A,Dim_Reps!B:B)</f>
        <v>Lea Weber</v>
      </c>
      <c r="P6641" t="str">
        <f>_xlfn.XLOOKUP(Pipeline_tbl[[#This Row],[Rep_ID]],Dim_Reps!A:A,Dim_Reps!C:C)</f>
        <v>SDR / Inside Sales Rep</v>
      </c>
      <c r="Q6641" t="str">
        <f>_xlfn.XLOOKUP(Pipeline_tbl[[#This Row],[Rep_ID]],Dim_Reps!A:A,Dim_Reps!D:D)</f>
        <v>Inside Sales</v>
      </c>
      <c r="R6641" t="str">
        <f>_xlfn.XLOOKUP(Pipeline_tbl[[#This Row],[Rep_ID]],Dim_Reps!A:A,Dim_Reps!E:E)</f>
        <v>EMEA</v>
      </c>
      <c r="S6641" t="str">
        <f>_xlfn.XLOOKUP(Pipeline_tbl[[#This Row],[Created_Date]],Dim_Date!A:A,Dim_Date!H:H)</f>
        <v>Apr 2024</v>
      </c>
      <c r="T6641" t="str">
        <f>IF(Pipeline_tbl[[#This Row],[Closed_Date]]=0,"",(_xlfn.XLOOKUP(Pipeline_tbl[[#This Row],[Closed_Date]],Dim_Date!A:A,Dim_Date!H:H)))</f>
        <v>Apr 2024</v>
      </c>
      <c r="U6641">
        <f>IF(Pipeline_tbl[[#This Row],[Closed_Date]]=0,"",Pipeline_tbl[[#This Row],[Closed_Date]]-Pipeline_tbl[[#This Row],[Created_Date]])</f>
        <v>12</v>
      </c>
    </row>
    <row r="6642" spans="1:21" ht="15" customHeight="1" x14ac:dyDescent="0.2">
      <c r="A6642" t="s">
        <v>6948</v>
      </c>
      <c r="B6642" t="s">
        <v>211</v>
      </c>
      <c r="C6642" t="s">
        <v>55</v>
      </c>
      <c r="D6642" s="49">
        <v>45404</v>
      </c>
      <c r="E6642" s="49">
        <v>45405</v>
      </c>
      <c r="F6642" s="49">
        <v>45406</v>
      </c>
      <c r="G6642" s="49">
        <v>45409</v>
      </c>
      <c r="H6642" s="49">
        <v>45411</v>
      </c>
      <c r="I6642" s="49">
        <v>45412</v>
      </c>
      <c r="J6642" t="s">
        <v>47</v>
      </c>
      <c r="K6642" s="33">
        <v>5100</v>
      </c>
      <c r="M6642" t="str">
        <f>_xlfn.XLOOKUP(Pipeline_tbl[[#This Row],[Rep_ID]],Dim_Reps!A:A,Dim_Reps!K:K)</f>
        <v>EUR</v>
      </c>
      <c r="N6642" s="33">
        <f>(_xlfn.XLOOKUP(Pipeline_tbl[[#This Row],[Rate_Code_Generalized]],Lookups!A:A,Lookups!B:B))*Pipeline_tbl[[#This Row],[Pipeline_Amount_USD]]</f>
        <v>5100</v>
      </c>
      <c r="O6642" t="str">
        <f>_xlfn.XLOOKUP(Pipeline_tbl[[#This Row],[Rep_ID]],Dim_Reps!A:A,Dim_Reps!B:B)</f>
        <v>Lea Weber</v>
      </c>
      <c r="P6642" t="str">
        <f>_xlfn.XLOOKUP(Pipeline_tbl[[#This Row],[Rep_ID]],Dim_Reps!A:A,Dim_Reps!C:C)</f>
        <v>SDR / Inside Sales Rep</v>
      </c>
      <c r="Q6642" t="str">
        <f>_xlfn.XLOOKUP(Pipeline_tbl[[#This Row],[Rep_ID]],Dim_Reps!A:A,Dim_Reps!D:D)</f>
        <v>Inside Sales</v>
      </c>
      <c r="R6642" t="str">
        <f>_xlfn.XLOOKUP(Pipeline_tbl[[#This Row],[Rep_ID]],Dim_Reps!A:A,Dim_Reps!E:E)</f>
        <v>EMEA</v>
      </c>
      <c r="S6642" t="str">
        <f>_xlfn.XLOOKUP(Pipeline_tbl[[#This Row],[Created_Date]],Dim_Date!A:A,Dim_Date!H:H)</f>
        <v>Apr 2024</v>
      </c>
      <c r="T6642" t="str">
        <f>IF(Pipeline_tbl[[#This Row],[Closed_Date]]=0,"",(_xlfn.XLOOKUP(Pipeline_tbl[[#This Row],[Closed_Date]],Dim_Date!A:A,Dim_Date!H:H)))</f>
        <v>Apr 2024</v>
      </c>
      <c r="U6642">
        <f>IF(Pipeline_tbl[[#This Row],[Closed_Date]]=0,"",Pipeline_tbl[[#This Row],[Closed_Date]]-Pipeline_tbl[[#This Row],[Created_Date]])</f>
        <v>8</v>
      </c>
    </row>
    <row r="6643" spans="1:21" ht="15" customHeight="1" x14ac:dyDescent="0.2">
      <c r="A6643" t="s">
        <v>6949</v>
      </c>
      <c r="B6643" t="s">
        <v>211</v>
      </c>
      <c r="C6643" t="s">
        <v>52</v>
      </c>
      <c r="D6643" s="49">
        <v>45385</v>
      </c>
      <c r="E6643" s="49">
        <v>45386</v>
      </c>
      <c r="F6643" s="49">
        <v>45388</v>
      </c>
      <c r="G6643" s="49">
        <v>45390</v>
      </c>
      <c r="I6643" s="49">
        <v>45394</v>
      </c>
      <c r="J6643" t="s">
        <v>49</v>
      </c>
      <c r="K6643" s="33">
        <v>3400</v>
      </c>
      <c r="L6643" t="s">
        <v>64</v>
      </c>
      <c r="M6643" t="str">
        <f>_xlfn.XLOOKUP(Pipeline_tbl[[#This Row],[Rep_ID]],Dim_Reps!A:A,Dim_Reps!K:K)</f>
        <v>EUR</v>
      </c>
      <c r="N6643" s="33">
        <f>(_xlfn.XLOOKUP(Pipeline_tbl[[#This Row],[Rate_Code_Generalized]],Lookups!A:A,Lookups!B:B))*Pipeline_tbl[[#This Row],[Pipeline_Amount_USD]]</f>
        <v>3400</v>
      </c>
      <c r="O6643" t="str">
        <f>_xlfn.XLOOKUP(Pipeline_tbl[[#This Row],[Rep_ID]],Dim_Reps!A:A,Dim_Reps!B:B)</f>
        <v>Lea Weber</v>
      </c>
      <c r="P6643" t="str">
        <f>_xlfn.XLOOKUP(Pipeline_tbl[[#This Row],[Rep_ID]],Dim_Reps!A:A,Dim_Reps!C:C)</f>
        <v>SDR / Inside Sales Rep</v>
      </c>
      <c r="Q6643" t="str">
        <f>_xlfn.XLOOKUP(Pipeline_tbl[[#This Row],[Rep_ID]],Dim_Reps!A:A,Dim_Reps!D:D)</f>
        <v>Inside Sales</v>
      </c>
      <c r="R6643" t="str">
        <f>_xlfn.XLOOKUP(Pipeline_tbl[[#This Row],[Rep_ID]],Dim_Reps!A:A,Dim_Reps!E:E)</f>
        <v>EMEA</v>
      </c>
      <c r="S6643" t="str">
        <f>_xlfn.XLOOKUP(Pipeline_tbl[[#This Row],[Created_Date]],Dim_Date!A:A,Dim_Date!H:H)</f>
        <v>Apr 2024</v>
      </c>
      <c r="T6643" t="str">
        <f>IF(Pipeline_tbl[[#This Row],[Closed_Date]]=0,"",(_xlfn.XLOOKUP(Pipeline_tbl[[#This Row],[Closed_Date]],Dim_Date!A:A,Dim_Date!H:H)))</f>
        <v>Apr 2024</v>
      </c>
      <c r="U6643">
        <f>IF(Pipeline_tbl[[#This Row],[Closed_Date]]=0,"",Pipeline_tbl[[#This Row],[Closed_Date]]-Pipeline_tbl[[#This Row],[Created_Date]])</f>
        <v>9</v>
      </c>
    </row>
    <row r="6644" spans="1:21" ht="15" customHeight="1" x14ac:dyDescent="0.2">
      <c r="A6644" t="s">
        <v>6950</v>
      </c>
      <c r="B6644" t="s">
        <v>215</v>
      </c>
      <c r="C6644" t="s">
        <v>53</v>
      </c>
      <c r="D6644" s="49">
        <v>45383</v>
      </c>
      <c r="E6644" s="49">
        <v>45385</v>
      </c>
      <c r="F6644" s="49">
        <v>45389</v>
      </c>
      <c r="G6644" s="49">
        <v>45396</v>
      </c>
      <c r="I6644" s="49">
        <v>45404</v>
      </c>
      <c r="J6644" t="s">
        <v>49</v>
      </c>
      <c r="K6644" s="33">
        <v>6800</v>
      </c>
      <c r="L6644" t="s">
        <v>62</v>
      </c>
      <c r="M6644" t="str">
        <f>_xlfn.XLOOKUP(Pipeline_tbl[[#This Row],[Rep_ID]],Dim_Reps!A:A,Dim_Reps!K:K)</f>
        <v>EUR</v>
      </c>
      <c r="N6644" s="33">
        <f>(_xlfn.XLOOKUP(Pipeline_tbl[[#This Row],[Rate_Code_Generalized]],Lookups!A:A,Lookups!B:B))*Pipeline_tbl[[#This Row],[Pipeline_Amount_USD]]</f>
        <v>6800</v>
      </c>
      <c r="O6644" t="str">
        <f>_xlfn.XLOOKUP(Pipeline_tbl[[#This Row],[Rep_ID]],Dim_Reps!A:A,Dim_Reps!B:B)</f>
        <v>Jamie Schmidt</v>
      </c>
      <c r="P6644" t="str">
        <f>_xlfn.XLOOKUP(Pipeline_tbl[[#This Row],[Rep_ID]],Dim_Reps!A:A,Dim_Reps!C:C)</f>
        <v>SDR / Inside Sales Rep</v>
      </c>
      <c r="Q6644" t="str">
        <f>_xlfn.XLOOKUP(Pipeline_tbl[[#This Row],[Rep_ID]],Dim_Reps!A:A,Dim_Reps!D:D)</f>
        <v>Inside Sales</v>
      </c>
      <c r="R6644" t="str">
        <f>_xlfn.XLOOKUP(Pipeline_tbl[[#This Row],[Rep_ID]],Dim_Reps!A:A,Dim_Reps!E:E)</f>
        <v>APAC</v>
      </c>
      <c r="S6644" t="str">
        <f>_xlfn.XLOOKUP(Pipeline_tbl[[#This Row],[Created_Date]],Dim_Date!A:A,Dim_Date!H:H)</f>
        <v>Apr 2024</v>
      </c>
      <c r="T6644" t="str">
        <f>IF(Pipeline_tbl[[#This Row],[Closed_Date]]=0,"",(_xlfn.XLOOKUP(Pipeline_tbl[[#This Row],[Closed_Date]],Dim_Date!A:A,Dim_Date!H:H)))</f>
        <v>Apr 2024</v>
      </c>
      <c r="U6644">
        <f>IF(Pipeline_tbl[[#This Row],[Closed_Date]]=0,"",Pipeline_tbl[[#This Row],[Closed_Date]]-Pipeline_tbl[[#This Row],[Created_Date]])</f>
        <v>21</v>
      </c>
    </row>
    <row r="6645" spans="1:21" ht="15" customHeight="1" x14ac:dyDescent="0.2">
      <c r="A6645" t="s">
        <v>6951</v>
      </c>
      <c r="B6645" t="s">
        <v>215</v>
      </c>
      <c r="C6645" t="s">
        <v>52</v>
      </c>
      <c r="D6645" s="49">
        <v>45394</v>
      </c>
      <c r="E6645" s="49">
        <v>45396</v>
      </c>
      <c r="F6645" s="49">
        <v>45399</v>
      </c>
      <c r="G6645" s="49">
        <v>45403</v>
      </c>
      <c r="I6645" s="49">
        <v>45409</v>
      </c>
      <c r="J6645" t="s">
        <v>49</v>
      </c>
      <c r="K6645" s="33">
        <v>6500</v>
      </c>
      <c r="L6645" t="s">
        <v>60</v>
      </c>
      <c r="M6645" t="str">
        <f>_xlfn.XLOOKUP(Pipeline_tbl[[#This Row],[Rep_ID]],Dim_Reps!A:A,Dim_Reps!K:K)</f>
        <v>EUR</v>
      </c>
      <c r="N6645" s="33">
        <f>(_xlfn.XLOOKUP(Pipeline_tbl[[#This Row],[Rate_Code_Generalized]],Lookups!A:A,Lookups!B:B))*Pipeline_tbl[[#This Row],[Pipeline_Amount_USD]]</f>
        <v>6500</v>
      </c>
      <c r="O6645" t="str">
        <f>_xlfn.XLOOKUP(Pipeline_tbl[[#This Row],[Rep_ID]],Dim_Reps!A:A,Dim_Reps!B:B)</f>
        <v>Jamie Schmidt</v>
      </c>
      <c r="P6645" t="str">
        <f>_xlfn.XLOOKUP(Pipeline_tbl[[#This Row],[Rep_ID]],Dim_Reps!A:A,Dim_Reps!C:C)</f>
        <v>SDR / Inside Sales Rep</v>
      </c>
      <c r="Q6645" t="str">
        <f>_xlfn.XLOOKUP(Pipeline_tbl[[#This Row],[Rep_ID]],Dim_Reps!A:A,Dim_Reps!D:D)</f>
        <v>Inside Sales</v>
      </c>
      <c r="R6645" t="str">
        <f>_xlfn.XLOOKUP(Pipeline_tbl[[#This Row],[Rep_ID]],Dim_Reps!A:A,Dim_Reps!E:E)</f>
        <v>APAC</v>
      </c>
      <c r="S6645" t="str">
        <f>_xlfn.XLOOKUP(Pipeline_tbl[[#This Row],[Created_Date]],Dim_Date!A:A,Dim_Date!H:H)</f>
        <v>Apr 2024</v>
      </c>
      <c r="T6645" t="str">
        <f>IF(Pipeline_tbl[[#This Row],[Closed_Date]]=0,"",(_xlfn.XLOOKUP(Pipeline_tbl[[#This Row],[Closed_Date]],Dim_Date!A:A,Dim_Date!H:H)))</f>
        <v>Apr 2024</v>
      </c>
      <c r="U6645">
        <f>IF(Pipeline_tbl[[#This Row],[Closed_Date]]=0,"",Pipeline_tbl[[#This Row],[Closed_Date]]-Pipeline_tbl[[#This Row],[Created_Date]])</f>
        <v>15</v>
      </c>
    </row>
    <row r="6646" spans="1:21" ht="15" customHeight="1" x14ac:dyDescent="0.2">
      <c r="A6646" t="s">
        <v>6952</v>
      </c>
      <c r="B6646" t="s">
        <v>215</v>
      </c>
      <c r="C6646" t="s">
        <v>52</v>
      </c>
      <c r="D6646" s="49">
        <v>45400</v>
      </c>
      <c r="E6646" s="49">
        <v>45401</v>
      </c>
      <c r="F6646" s="49">
        <v>45403</v>
      </c>
      <c r="G6646" s="49">
        <v>45405</v>
      </c>
      <c r="H6646" s="49">
        <v>45408</v>
      </c>
      <c r="I6646" s="49">
        <v>45409</v>
      </c>
      <c r="J6646" t="s">
        <v>49</v>
      </c>
      <c r="K6646" s="33">
        <v>3600</v>
      </c>
      <c r="L6646" t="s">
        <v>60</v>
      </c>
      <c r="M6646" t="str">
        <f>_xlfn.XLOOKUP(Pipeline_tbl[[#This Row],[Rep_ID]],Dim_Reps!A:A,Dim_Reps!K:K)</f>
        <v>EUR</v>
      </c>
      <c r="N6646" s="33">
        <f>(_xlfn.XLOOKUP(Pipeline_tbl[[#This Row],[Rate_Code_Generalized]],Lookups!A:A,Lookups!B:B))*Pipeline_tbl[[#This Row],[Pipeline_Amount_USD]]</f>
        <v>3600</v>
      </c>
      <c r="O6646" t="str">
        <f>_xlfn.XLOOKUP(Pipeline_tbl[[#This Row],[Rep_ID]],Dim_Reps!A:A,Dim_Reps!B:B)</f>
        <v>Jamie Schmidt</v>
      </c>
      <c r="P6646" t="str">
        <f>_xlfn.XLOOKUP(Pipeline_tbl[[#This Row],[Rep_ID]],Dim_Reps!A:A,Dim_Reps!C:C)</f>
        <v>SDR / Inside Sales Rep</v>
      </c>
      <c r="Q6646" t="str">
        <f>_xlfn.XLOOKUP(Pipeline_tbl[[#This Row],[Rep_ID]],Dim_Reps!A:A,Dim_Reps!D:D)</f>
        <v>Inside Sales</v>
      </c>
      <c r="R6646" t="str">
        <f>_xlfn.XLOOKUP(Pipeline_tbl[[#This Row],[Rep_ID]],Dim_Reps!A:A,Dim_Reps!E:E)</f>
        <v>APAC</v>
      </c>
      <c r="S6646" t="str">
        <f>_xlfn.XLOOKUP(Pipeline_tbl[[#This Row],[Created_Date]],Dim_Date!A:A,Dim_Date!H:H)</f>
        <v>Apr 2024</v>
      </c>
      <c r="T6646" t="str">
        <f>IF(Pipeline_tbl[[#This Row],[Closed_Date]]=0,"",(_xlfn.XLOOKUP(Pipeline_tbl[[#This Row],[Closed_Date]],Dim_Date!A:A,Dim_Date!H:H)))</f>
        <v>Apr 2024</v>
      </c>
      <c r="U6646">
        <f>IF(Pipeline_tbl[[#This Row],[Closed_Date]]=0,"",Pipeline_tbl[[#This Row],[Closed_Date]]-Pipeline_tbl[[#This Row],[Created_Date]])</f>
        <v>9</v>
      </c>
    </row>
    <row r="6647" spans="1:21" ht="15" customHeight="1" x14ac:dyDescent="0.2">
      <c r="A6647" t="s">
        <v>6953</v>
      </c>
      <c r="B6647" t="s">
        <v>215</v>
      </c>
      <c r="C6647" t="s">
        <v>55</v>
      </c>
      <c r="D6647" s="49">
        <v>45397</v>
      </c>
      <c r="E6647" s="49">
        <v>45398</v>
      </c>
      <c r="F6647" s="49">
        <v>45401</v>
      </c>
      <c r="G6647" s="49">
        <v>45405</v>
      </c>
      <c r="I6647" s="49">
        <v>45410</v>
      </c>
      <c r="J6647" t="s">
        <v>49</v>
      </c>
      <c r="K6647" s="33">
        <v>2700</v>
      </c>
      <c r="L6647" t="s">
        <v>61</v>
      </c>
      <c r="M6647" t="str">
        <f>_xlfn.XLOOKUP(Pipeline_tbl[[#This Row],[Rep_ID]],Dim_Reps!A:A,Dim_Reps!K:K)</f>
        <v>EUR</v>
      </c>
      <c r="N6647" s="33">
        <f>(_xlfn.XLOOKUP(Pipeline_tbl[[#This Row],[Rate_Code_Generalized]],Lookups!A:A,Lookups!B:B))*Pipeline_tbl[[#This Row],[Pipeline_Amount_USD]]</f>
        <v>2700</v>
      </c>
      <c r="O6647" t="str">
        <f>_xlfn.XLOOKUP(Pipeline_tbl[[#This Row],[Rep_ID]],Dim_Reps!A:A,Dim_Reps!B:B)</f>
        <v>Jamie Schmidt</v>
      </c>
      <c r="P6647" t="str">
        <f>_xlfn.XLOOKUP(Pipeline_tbl[[#This Row],[Rep_ID]],Dim_Reps!A:A,Dim_Reps!C:C)</f>
        <v>SDR / Inside Sales Rep</v>
      </c>
      <c r="Q6647" t="str">
        <f>_xlfn.XLOOKUP(Pipeline_tbl[[#This Row],[Rep_ID]],Dim_Reps!A:A,Dim_Reps!D:D)</f>
        <v>Inside Sales</v>
      </c>
      <c r="R6647" t="str">
        <f>_xlfn.XLOOKUP(Pipeline_tbl[[#This Row],[Rep_ID]],Dim_Reps!A:A,Dim_Reps!E:E)</f>
        <v>APAC</v>
      </c>
      <c r="S6647" t="str">
        <f>_xlfn.XLOOKUP(Pipeline_tbl[[#This Row],[Created_Date]],Dim_Date!A:A,Dim_Date!H:H)</f>
        <v>Apr 2024</v>
      </c>
      <c r="T6647" t="str">
        <f>IF(Pipeline_tbl[[#This Row],[Closed_Date]]=0,"",(_xlfn.XLOOKUP(Pipeline_tbl[[#This Row],[Closed_Date]],Dim_Date!A:A,Dim_Date!H:H)))</f>
        <v>Apr 2024</v>
      </c>
      <c r="U6647">
        <f>IF(Pipeline_tbl[[#This Row],[Closed_Date]]=0,"",Pipeline_tbl[[#This Row],[Closed_Date]]-Pipeline_tbl[[#This Row],[Created_Date]])</f>
        <v>13</v>
      </c>
    </row>
    <row r="6648" spans="1:21" ht="15" customHeight="1" x14ac:dyDescent="0.2">
      <c r="A6648" t="s">
        <v>6954</v>
      </c>
      <c r="B6648" t="s">
        <v>217</v>
      </c>
      <c r="C6648" t="s">
        <v>54</v>
      </c>
      <c r="D6648" s="49">
        <v>45386</v>
      </c>
      <c r="E6648" s="49">
        <v>45388</v>
      </c>
      <c r="F6648" s="49">
        <v>45393</v>
      </c>
      <c r="G6648" s="49">
        <v>45399</v>
      </c>
      <c r="H6648" s="49">
        <v>45405</v>
      </c>
      <c r="I6648" s="49">
        <v>45408</v>
      </c>
      <c r="J6648" t="s">
        <v>47</v>
      </c>
      <c r="K6648" s="33">
        <v>4000</v>
      </c>
      <c r="M6648" t="str">
        <f>_xlfn.XLOOKUP(Pipeline_tbl[[#This Row],[Rep_ID]],Dim_Reps!A:A,Dim_Reps!K:K)</f>
        <v>USD</v>
      </c>
      <c r="N6648" s="33">
        <f>(_xlfn.XLOOKUP(Pipeline_tbl[[#This Row],[Rate_Code_Generalized]],Lookups!A:A,Lookups!B:B))*Pipeline_tbl[[#This Row],[Pipeline_Amount_USD]]</f>
        <v>4657.2</v>
      </c>
      <c r="O6648" t="str">
        <f>_xlfn.XLOOKUP(Pipeline_tbl[[#This Row],[Rep_ID]],Dim_Reps!A:A,Dim_Reps!B:B)</f>
        <v>Priya Weber</v>
      </c>
      <c r="P6648" t="str">
        <f>_xlfn.XLOOKUP(Pipeline_tbl[[#This Row],[Rep_ID]],Dim_Reps!A:A,Dim_Reps!C:C)</f>
        <v>SDR / Inside Sales Rep</v>
      </c>
      <c r="Q6648" t="str">
        <f>_xlfn.XLOOKUP(Pipeline_tbl[[#This Row],[Rep_ID]],Dim_Reps!A:A,Dim_Reps!D:D)</f>
        <v>Inside Sales</v>
      </c>
      <c r="R6648" t="str">
        <f>_xlfn.XLOOKUP(Pipeline_tbl[[#This Row],[Rep_ID]],Dim_Reps!A:A,Dim_Reps!E:E)</f>
        <v>NAMER</v>
      </c>
      <c r="S6648" t="str">
        <f>_xlfn.XLOOKUP(Pipeline_tbl[[#This Row],[Created_Date]],Dim_Date!A:A,Dim_Date!H:H)</f>
        <v>Apr 2024</v>
      </c>
      <c r="T6648" t="str">
        <f>IF(Pipeline_tbl[[#This Row],[Closed_Date]]=0,"",(_xlfn.XLOOKUP(Pipeline_tbl[[#This Row],[Closed_Date]],Dim_Date!A:A,Dim_Date!H:H)))</f>
        <v>Apr 2024</v>
      </c>
      <c r="U6648">
        <f>IF(Pipeline_tbl[[#This Row],[Closed_Date]]=0,"",Pipeline_tbl[[#This Row],[Closed_Date]]-Pipeline_tbl[[#This Row],[Created_Date]])</f>
        <v>22</v>
      </c>
    </row>
    <row r="6649" spans="1:21" ht="15" customHeight="1" x14ac:dyDescent="0.2">
      <c r="A6649" t="s">
        <v>6955</v>
      </c>
      <c r="B6649" t="s">
        <v>217</v>
      </c>
      <c r="C6649" t="s">
        <v>56</v>
      </c>
      <c r="D6649" s="49">
        <v>45387</v>
      </c>
      <c r="E6649" s="49">
        <v>45389</v>
      </c>
      <c r="F6649" s="49">
        <v>45393</v>
      </c>
      <c r="G6649" s="49">
        <v>45398</v>
      </c>
      <c r="H6649" s="49">
        <v>45403</v>
      </c>
      <c r="I6649" s="49">
        <v>45406</v>
      </c>
      <c r="J6649" t="s">
        <v>49</v>
      </c>
      <c r="K6649" s="33">
        <v>3500</v>
      </c>
      <c r="L6649" t="s">
        <v>62</v>
      </c>
      <c r="M6649" t="str">
        <f>_xlfn.XLOOKUP(Pipeline_tbl[[#This Row],[Rep_ID]],Dim_Reps!A:A,Dim_Reps!K:K)</f>
        <v>USD</v>
      </c>
      <c r="N6649" s="33">
        <f>(_xlfn.XLOOKUP(Pipeline_tbl[[#This Row],[Rate_Code_Generalized]],Lookups!A:A,Lookups!B:B))*Pipeline_tbl[[#This Row],[Pipeline_Amount_USD]]</f>
        <v>4075.0499999999997</v>
      </c>
      <c r="O6649" t="str">
        <f>_xlfn.XLOOKUP(Pipeline_tbl[[#This Row],[Rep_ID]],Dim_Reps!A:A,Dim_Reps!B:B)</f>
        <v>Priya Weber</v>
      </c>
      <c r="P6649" t="str">
        <f>_xlfn.XLOOKUP(Pipeline_tbl[[#This Row],[Rep_ID]],Dim_Reps!A:A,Dim_Reps!C:C)</f>
        <v>SDR / Inside Sales Rep</v>
      </c>
      <c r="Q6649" t="str">
        <f>_xlfn.XLOOKUP(Pipeline_tbl[[#This Row],[Rep_ID]],Dim_Reps!A:A,Dim_Reps!D:D)</f>
        <v>Inside Sales</v>
      </c>
      <c r="R6649" t="str">
        <f>_xlfn.XLOOKUP(Pipeline_tbl[[#This Row],[Rep_ID]],Dim_Reps!A:A,Dim_Reps!E:E)</f>
        <v>NAMER</v>
      </c>
      <c r="S6649" t="str">
        <f>_xlfn.XLOOKUP(Pipeline_tbl[[#This Row],[Created_Date]],Dim_Date!A:A,Dim_Date!H:H)</f>
        <v>Apr 2024</v>
      </c>
      <c r="T6649" t="str">
        <f>IF(Pipeline_tbl[[#This Row],[Closed_Date]]=0,"",(_xlfn.XLOOKUP(Pipeline_tbl[[#This Row],[Closed_Date]],Dim_Date!A:A,Dim_Date!H:H)))</f>
        <v>Apr 2024</v>
      </c>
      <c r="U6649">
        <f>IF(Pipeline_tbl[[#This Row],[Closed_Date]]=0,"",Pipeline_tbl[[#This Row],[Closed_Date]]-Pipeline_tbl[[#This Row],[Created_Date]])</f>
        <v>19</v>
      </c>
    </row>
    <row r="6650" spans="1:21" ht="15" customHeight="1" x14ac:dyDescent="0.2">
      <c r="A6650" t="s">
        <v>6956</v>
      </c>
      <c r="B6650" t="s">
        <v>217</v>
      </c>
      <c r="C6650" t="s">
        <v>56</v>
      </c>
      <c r="D6650" s="49">
        <v>45386</v>
      </c>
      <c r="E6650" s="49">
        <v>45387</v>
      </c>
      <c r="F6650" s="49">
        <v>45390</v>
      </c>
      <c r="G6650" s="49">
        <v>45393</v>
      </c>
      <c r="H6650" s="49">
        <v>45396</v>
      </c>
      <c r="I6650" s="49">
        <v>45398</v>
      </c>
      <c r="J6650" t="s">
        <v>49</v>
      </c>
      <c r="K6650" s="33">
        <v>3800</v>
      </c>
      <c r="L6650" t="s">
        <v>63</v>
      </c>
      <c r="M6650" t="str">
        <f>_xlfn.XLOOKUP(Pipeline_tbl[[#This Row],[Rep_ID]],Dim_Reps!A:A,Dim_Reps!K:K)</f>
        <v>USD</v>
      </c>
      <c r="N6650" s="33">
        <f>(_xlfn.XLOOKUP(Pipeline_tbl[[#This Row],[Rate_Code_Generalized]],Lookups!A:A,Lookups!B:B))*Pipeline_tbl[[#This Row],[Pipeline_Amount_USD]]</f>
        <v>4424.3399999999992</v>
      </c>
      <c r="O6650" t="str">
        <f>_xlfn.XLOOKUP(Pipeline_tbl[[#This Row],[Rep_ID]],Dim_Reps!A:A,Dim_Reps!B:B)</f>
        <v>Priya Weber</v>
      </c>
      <c r="P6650" t="str">
        <f>_xlfn.XLOOKUP(Pipeline_tbl[[#This Row],[Rep_ID]],Dim_Reps!A:A,Dim_Reps!C:C)</f>
        <v>SDR / Inside Sales Rep</v>
      </c>
      <c r="Q6650" t="str">
        <f>_xlfn.XLOOKUP(Pipeline_tbl[[#This Row],[Rep_ID]],Dim_Reps!A:A,Dim_Reps!D:D)</f>
        <v>Inside Sales</v>
      </c>
      <c r="R6650" t="str">
        <f>_xlfn.XLOOKUP(Pipeline_tbl[[#This Row],[Rep_ID]],Dim_Reps!A:A,Dim_Reps!E:E)</f>
        <v>NAMER</v>
      </c>
      <c r="S6650" t="str">
        <f>_xlfn.XLOOKUP(Pipeline_tbl[[#This Row],[Created_Date]],Dim_Date!A:A,Dim_Date!H:H)</f>
        <v>Apr 2024</v>
      </c>
      <c r="T6650" t="str">
        <f>IF(Pipeline_tbl[[#This Row],[Closed_Date]]=0,"",(_xlfn.XLOOKUP(Pipeline_tbl[[#This Row],[Closed_Date]],Dim_Date!A:A,Dim_Date!H:H)))</f>
        <v>Apr 2024</v>
      </c>
      <c r="U6650">
        <f>IF(Pipeline_tbl[[#This Row],[Closed_Date]]=0,"",Pipeline_tbl[[#This Row],[Closed_Date]]-Pipeline_tbl[[#This Row],[Created_Date]])</f>
        <v>12</v>
      </c>
    </row>
    <row r="6651" spans="1:21" ht="15" customHeight="1" x14ac:dyDescent="0.2">
      <c r="A6651" t="s">
        <v>6957</v>
      </c>
      <c r="B6651" t="s">
        <v>217</v>
      </c>
      <c r="C6651" t="s">
        <v>55</v>
      </c>
      <c r="D6651" s="49">
        <v>45394</v>
      </c>
      <c r="E6651" s="49">
        <v>45396</v>
      </c>
      <c r="F6651" s="49">
        <v>45399</v>
      </c>
      <c r="G6651" s="49">
        <v>45405</v>
      </c>
      <c r="H6651" s="49">
        <v>45409</v>
      </c>
      <c r="I6651" s="49">
        <v>45412</v>
      </c>
      <c r="J6651" t="s">
        <v>47</v>
      </c>
      <c r="K6651" s="33">
        <v>4300</v>
      </c>
      <c r="M6651" t="str">
        <f>_xlfn.XLOOKUP(Pipeline_tbl[[#This Row],[Rep_ID]],Dim_Reps!A:A,Dim_Reps!K:K)</f>
        <v>USD</v>
      </c>
      <c r="N6651" s="33">
        <f>(_xlfn.XLOOKUP(Pipeline_tbl[[#This Row],[Rate_Code_Generalized]],Lookups!A:A,Lookups!B:B))*Pipeline_tbl[[#This Row],[Pipeline_Amount_USD]]</f>
        <v>5006.49</v>
      </c>
      <c r="O6651" t="str">
        <f>_xlfn.XLOOKUP(Pipeline_tbl[[#This Row],[Rep_ID]],Dim_Reps!A:A,Dim_Reps!B:B)</f>
        <v>Priya Weber</v>
      </c>
      <c r="P6651" t="str">
        <f>_xlfn.XLOOKUP(Pipeline_tbl[[#This Row],[Rep_ID]],Dim_Reps!A:A,Dim_Reps!C:C)</f>
        <v>SDR / Inside Sales Rep</v>
      </c>
      <c r="Q6651" t="str">
        <f>_xlfn.XLOOKUP(Pipeline_tbl[[#This Row],[Rep_ID]],Dim_Reps!A:A,Dim_Reps!D:D)</f>
        <v>Inside Sales</v>
      </c>
      <c r="R6651" t="str">
        <f>_xlfn.XLOOKUP(Pipeline_tbl[[#This Row],[Rep_ID]],Dim_Reps!A:A,Dim_Reps!E:E)</f>
        <v>NAMER</v>
      </c>
      <c r="S6651" t="str">
        <f>_xlfn.XLOOKUP(Pipeline_tbl[[#This Row],[Created_Date]],Dim_Date!A:A,Dim_Date!H:H)</f>
        <v>Apr 2024</v>
      </c>
      <c r="T6651" t="str">
        <f>IF(Pipeline_tbl[[#This Row],[Closed_Date]]=0,"",(_xlfn.XLOOKUP(Pipeline_tbl[[#This Row],[Closed_Date]],Dim_Date!A:A,Dim_Date!H:H)))</f>
        <v>Apr 2024</v>
      </c>
      <c r="U6651">
        <f>IF(Pipeline_tbl[[#This Row],[Closed_Date]]=0,"",Pipeline_tbl[[#This Row],[Closed_Date]]-Pipeline_tbl[[#This Row],[Created_Date]])</f>
        <v>18</v>
      </c>
    </row>
    <row r="6652" spans="1:21" ht="15" customHeight="1" x14ac:dyDescent="0.2">
      <c r="A6652" t="s">
        <v>6958</v>
      </c>
      <c r="B6652" t="s">
        <v>221</v>
      </c>
      <c r="C6652" t="s">
        <v>53</v>
      </c>
      <c r="D6652" s="49">
        <v>45385</v>
      </c>
      <c r="E6652" s="49">
        <v>45386</v>
      </c>
      <c r="F6652" s="49">
        <v>45389</v>
      </c>
      <c r="G6652" s="49">
        <v>45393</v>
      </c>
      <c r="H6652" s="49">
        <v>45396</v>
      </c>
      <c r="I6652" s="49">
        <v>45398</v>
      </c>
      <c r="J6652" t="s">
        <v>47</v>
      </c>
      <c r="K6652" s="33">
        <v>4800</v>
      </c>
      <c r="M6652" t="str">
        <f>_xlfn.XLOOKUP(Pipeline_tbl[[#This Row],[Rep_ID]],Dim_Reps!A:A,Dim_Reps!K:K)</f>
        <v>MXN</v>
      </c>
      <c r="N6652" s="33">
        <f>(_xlfn.XLOOKUP(Pipeline_tbl[[#This Row],[Rate_Code_Generalized]],Lookups!A:A,Lookups!B:B))*Pipeline_tbl[[#This Row],[Pipeline_Amount_USD]]</f>
        <v>94716.96</v>
      </c>
      <c r="O6652" t="str">
        <f>_xlfn.XLOOKUP(Pipeline_tbl[[#This Row],[Rep_ID]],Dim_Reps!A:A,Dim_Reps!B:B)</f>
        <v>Casey Muller</v>
      </c>
      <c r="P6652" t="str">
        <f>_xlfn.XLOOKUP(Pipeline_tbl[[#This Row],[Rep_ID]],Dim_Reps!A:A,Dim_Reps!C:C)</f>
        <v>SDR / Inside Sales Rep</v>
      </c>
      <c r="Q6652" t="str">
        <f>_xlfn.XLOOKUP(Pipeline_tbl[[#This Row],[Rep_ID]],Dim_Reps!A:A,Dim_Reps!D:D)</f>
        <v>Inside Sales</v>
      </c>
      <c r="R6652" t="str">
        <f>_xlfn.XLOOKUP(Pipeline_tbl[[#This Row],[Rep_ID]],Dim_Reps!A:A,Dim_Reps!E:E)</f>
        <v>LATAM</v>
      </c>
      <c r="S6652" t="str">
        <f>_xlfn.XLOOKUP(Pipeline_tbl[[#This Row],[Created_Date]],Dim_Date!A:A,Dim_Date!H:H)</f>
        <v>Apr 2024</v>
      </c>
      <c r="T6652" t="str">
        <f>IF(Pipeline_tbl[[#This Row],[Closed_Date]]=0,"",(_xlfn.XLOOKUP(Pipeline_tbl[[#This Row],[Closed_Date]],Dim_Date!A:A,Dim_Date!H:H)))</f>
        <v>Apr 2024</v>
      </c>
      <c r="U6652">
        <f>IF(Pipeline_tbl[[#This Row],[Closed_Date]]=0,"",Pipeline_tbl[[#This Row],[Closed_Date]]-Pipeline_tbl[[#This Row],[Created_Date]])</f>
        <v>13</v>
      </c>
    </row>
    <row r="6653" spans="1:21" ht="15" customHeight="1" x14ac:dyDescent="0.2">
      <c r="A6653" t="s">
        <v>6959</v>
      </c>
      <c r="B6653" t="s">
        <v>221</v>
      </c>
      <c r="C6653" t="s">
        <v>52</v>
      </c>
      <c r="D6653" s="49">
        <v>45386</v>
      </c>
      <c r="E6653" s="49">
        <v>45388</v>
      </c>
      <c r="F6653" s="49">
        <v>45391</v>
      </c>
      <c r="G6653" s="49">
        <v>45397</v>
      </c>
      <c r="H6653" s="49">
        <v>45401</v>
      </c>
      <c r="I6653" s="49">
        <v>45404</v>
      </c>
      <c r="J6653" t="s">
        <v>47</v>
      </c>
      <c r="K6653" s="33">
        <v>3900</v>
      </c>
      <c r="M6653" t="str">
        <f>_xlfn.XLOOKUP(Pipeline_tbl[[#This Row],[Rep_ID]],Dim_Reps!A:A,Dim_Reps!K:K)</f>
        <v>MXN</v>
      </c>
      <c r="N6653" s="33">
        <f>(_xlfn.XLOOKUP(Pipeline_tbl[[#This Row],[Rate_Code_Generalized]],Lookups!A:A,Lookups!B:B))*Pipeline_tbl[[#This Row],[Pipeline_Amount_USD]]</f>
        <v>76957.53</v>
      </c>
      <c r="O6653" t="str">
        <f>_xlfn.XLOOKUP(Pipeline_tbl[[#This Row],[Rep_ID]],Dim_Reps!A:A,Dim_Reps!B:B)</f>
        <v>Casey Muller</v>
      </c>
      <c r="P6653" t="str">
        <f>_xlfn.XLOOKUP(Pipeline_tbl[[#This Row],[Rep_ID]],Dim_Reps!A:A,Dim_Reps!C:C)</f>
        <v>SDR / Inside Sales Rep</v>
      </c>
      <c r="Q6653" t="str">
        <f>_xlfn.XLOOKUP(Pipeline_tbl[[#This Row],[Rep_ID]],Dim_Reps!A:A,Dim_Reps!D:D)</f>
        <v>Inside Sales</v>
      </c>
      <c r="R6653" t="str">
        <f>_xlfn.XLOOKUP(Pipeline_tbl[[#This Row],[Rep_ID]],Dim_Reps!A:A,Dim_Reps!E:E)</f>
        <v>LATAM</v>
      </c>
      <c r="S6653" t="str">
        <f>_xlfn.XLOOKUP(Pipeline_tbl[[#This Row],[Created_Date]],Dim_Date!A:A,Dim_Date!H:H)</f>
        <v>Apr 2024</v>
      </c>
      <c r="T6653" t="str">
        <f>IF(Pipeline_tbl[[#This Row],[Closed_Date]]=0,"",(_xlfn.XLOOKUP(Pipeline_tbl[[#This Row],[Closed_Date]],Dim_Date!A:A,Dim_Date!H:H)))</f>
        <v>Apr 2024</v>
      </c>
      <c r="U6653">
        <f>IF(Pipeline_tbl[[#This Row],[Closed_Date]]=0,"",Pipeline_tbl[[#This Row],[Closed_Date]]-Pipeline_tbl[[#This Row],[Created_Date]])</f>
        <v>18</v>
      </c>
    </row>
    <row r="6654" spans="1:21" ht="15" customHeight="1" x14ac:dyDescent="0.2">
      <c r="A6654" t="s">
        <v>6960</v>
      </c>
      <c r="B6654" t="s">
        <v>221</v>
      </c>
      <c r="C6654" t="s">
        <v>55</v>
      </c>
      <c r="D6654" s="49">
        <v>45384</v>
      </c>
      <c r="E6654" s="49">
        <v>45385</v>
      </c>
      <c r="F6654" s="49">
        <v>45388</v>
      </c>
      <c r="I6654" s="49">
        <v>45397</v>
      </c>
      <c r="J6654" t="s">
        <v>49</v>
      </c>
      <c r="K6654" s="33">
        <v>5900</v>
      </c>
      <c r="L6654" t="s">
        <v>60</v>
      </c>
      <c r="M6654" t="str">
        <f>_xlfn.XLOOKUP(Pipeline_tbl[[#This Row],[Rep_ID]],Dim_Reps!A:A,Dim_Reps!K:K)</f>
        <v>MXN</v>
      </c>
      <c r="N6654" s="33">
        <f>(_xlfn.XLOOKUP(Pipeline_tbl[[#This Row],[Rate_Code_Generalized]],Lookups!A:A,Lookups!B:B))*Pipeline_tbl[[#This Row],[Pipeline_Amount_USD]]</f>
        <v>116422.93000000001</v>
      </c>
      <c r="O6654" t="str">
        <f>_xlfn.XLOOKUP(Pipeline_tbl[[#This Row],[Rep_ID]],Dim_Reps!A:A,Dim_Reps!B:B)</f>
        <v>Casey Muller</v>
      </c>
      <c r="P6654" t="str">
        <f>_xlfn.XLOOKUP(Pipeline_tbl[[#This Row],[Rep_ID]],Dim_Reps!A:A,Dim_Reps!C:C)</f>
        <v>SDR / Inside Sales Rep</v>
      </c>
      <c r="Q6654" t="str">
        <f>_xlfn.XLOOKUP(Pipeline_tbl[[#This Row],[Rep_ID]],Dim_Reps!A:A,Dim_Reps!D:D)</f>
        <v>Inside Sales</v>
      </c>
      <c r="R6654" t="str">
        <f>_xlfn.XLOOKUP(Pipeline_tbl[[#This Row],[Rep_ID]],Dim_Reps!A:A,Dim_Reps!E:E)</f>
        <v>LATAM</v>
      </c>
      <c r="S6654" t="str">
        <f>_xlfn.XLOOKUP(Pipeline_tbl[[#This Row],[Created_Date]],Dim_Date!A:A,Dim_Date!H:H)</f>
        <v>Apr 2024</v>
      </c>
      <c r="T6654" t="str">
        <f>IF(Pipeline_tbl[[#This Row],[Closed_Date]]=0,"",(_xlfn.XLOOKUP(Pipeline_tbl[[#This Row],[Closed_Date]],Dim_Date!A:A,Dim_Date!H:H)))</f>
        <v>Apr 2024</v>
      </c>
      <c r="U6654">
        <f>IF(Pipeline_tbl[[#This Row],[Closed_Date]]=0,"",Pipeline_tbl[[#This Row],[Closed_Date]]-Pipeline_tbl[[#This Row],[Created_Date]])</f>
        <v>13</v>
      </c>
    </row>
    <row r="6655" spans="1:21" ht="15" customHeight="1" x14ac:dyDescent="0.2">
      <c r="A6655" t="s">
        <v>6961</v>
      </c>
      <c r="B6655" t="s">
        <v>221</v>
      </c>
      <c r="C6655" t="s">
        <v>52</v>
      </c>
      <c r="D6655" s="49">
        <v>45399</v>
      </c>
      <c r="E6655" s="49">
        <v>45400</v>
      </c>
      <c r="F6655" s="49">
        <v>45401</v>
      </c>
      <c r="I6655" s="49">
        <v>45407</v>
      </c>
      <c r="J6655" t="s">
        <v>49</v>
      </c>
      <c r="K6655" s="33">
        <v>4100</v>
      </c>
      <c r="L6655" t="s">
        <v>61</v>
      </c>
      <c r="M6655" t="str">
        <f>_xlfn.XLOOKUP(Pipeline_tbl[[#This Row],[Rep_ID]],Dim_Reps!A:A,Dim_Reps!K:K)</f>
        <v>MXN</v>
      </c>
      <c r="N6655" s="33">
        <f>(_xlfn.XLOOKUP(Pipeline_tbl[[#This Row],[Rate_Code_Generalized]],Lookups!A:A,Lookups!B:B))*Pipeline_tbl[[#This Row],[Pipeline_Amount_USD]]</f>
        <v>80904.070000000007</v>
      </c>
      <c r="O6655" t="str">
        <f>_xlfn.XLOOKUP(Pipeline_tbl[[#This Row],[Rep_ID]],Dim_Reps!A:A,Dim_Reps!B:B)</f>
        <v>Casey Muller</v>
      </c>
      <c r="P6655" t="str">
        <f>_xlfn.XLOOKUP(Pipeline_tbl[[#This Row],[Rep_ID]],Dim_Reps!A:A,Dim_Reps!C:C)</f>
        <v>SDR / Inside Sales Rep</v>
      </c>
      <c r="Q6655" t="str">
        <f>_xlfn.XLOOKUP(Pipeline_tbl[[#This Row],[Rep_ID]],Dim_Reps!A:A,Dim_Reps!D:D)</f>
        <v>Inside Sales</v>
      </c>
      <c r="R6655" t="str">
        <f>_xlfn.XLOOKUP(Pipeline_tbl[[#This Row],[Rep_ID]],Dim_Reps!A:A,Dim_Reps!E:E)</f>
        <v>LATAM</v>
      </c>
      <c r="S6655" t="str">
        <f>_xlfn.XLOOKUP(Pipeline_tbl[[#This Row],[Created_Date]],Dim_Date!A:A,Dim_Date!H:H)</f>
        <v>Apr 2024</v>
      </c>
      <c r="T6655" t="str">
        <f>IF(Pipeline_tbl[[#This Row],[Closed_Date]]=0,"",(_xlfn.XLOOKUP(Pipeline_tbl[[#This Row],[Closed_Date]],Dim_Date!A:A,Dim_Date!H:H)))</f>
        <v>Apr 2024</v>
      </c>
      <c r="U6655">
        <f>IF(Pipeline_tbl[[#This Row],[Closed_Date]]=0,"",Pipeline_tbl[[#This Row],[Closed_Date]]-Pipeline_tbl[[#This Row],[Created_Date]])</f>
        <v>8</v>
      </c>
    </row>
    <row r="6656" spans="1:21" ht="15" customHeight="1" x14ac:dyDescent="0.2">
      <c r="A6656" t="s">
        <v>6962</v>
      </c>
      <c r="B6656" t="s">
        <v>221</v>
      </c>
      <c r="C6656" t="s">
        <v>53</v>
      </c>
      <c r="D6656" s="49">
        <v>45389</v>
      </c>
      <c r="E6656" s="49">
        <v>45391</v>
      </c>
      <c r="F6656" s="49">
        <v>45394</v>
      </c>
      <c r="I6656" s="49">
        <v>45404</v>
      </c>
      <c r="J6656" t="s">
        <v>49</v>
      </c>
      <c r="K6656" s="33">
        <v>3800</v>
      </c>
      <c r="L6656" t="s">
        <v>61</v>
      </c>
      <c r="M6656" t="str">
        <f>_xlfn.XLOOKUP(Pipeline_tbl[[#This Row],[Rep_ID]],Dim_Reps!A:A,Dim_Reps!K:K)</f>
        <v>MXN</v>
      </c>
      <c r="N6656" s="33">
        <f>(_xlfn.XLOOKUP(Pipeline_tbl[[#This Row],[Rate_Code_Generalized]],Lookups!A:A,Lookups!B:B))*Pipeline_tbl[[#This Row],[Pipeline_Amount_USD]]</f>
        <v>74984.260000000009</v>
      </c>
      <c r="O6656" t="str">
        <f>_xlfn.XLOOKUP(Pipeline_tbl[[#This Row],[Rep_ID]],Dim_Reps!A:A,Dim_Reps!B:B)</f>
        <v>Casey Muller</v>
      </c>
      <c r="P6656" t="str">
        <f>_xlfn.XLOOKUP(Pipeline_tbl[[#This Row],[Rep_ID]],Dim_Reps!A:A,Dim_Reps!C:C)</f>
        <v>SDR / Inside Sales Rep</v>
      </c>
      <c r="Q6656" t="str">
        <f>_xlfn.XLOOKUP(Pipeline_tbl[[#This Row],[Rep_ID]],Dim_Reps!A:A,Dim_Reps!D:D)</f>
        <v>Inside Sales</v>
      </c>
      <c r="R6656" t="str">
        <f>_xlfn.XLOOKUP(Pipeline_tbl[[#This Row],[Rep_ID]],Dim_Reps!A:A,Dim_Reps!E:E)</f>
        <v>LATAM</v>
      </c>
      <c r="S6656" t="str">
        <f>_xlfn.XLOOKUP(Pipeline_tbl[[#This Row],[Created_Date]],Dim_Date!A:A,Dim_Date!H:H)</f>
        <v>Apr 2024</v>
      </c>
      <c r="T6656" t="str">
        <f>IF(Pipeline_tbl[[#This Row],[Closed_Date]]=0,"",(_xlfn.XLOOKUP(Pipeline_tbl[[#This Row],[Closed_Date]],Dim_Date!A:A,Dim_Date!H:H)))</f>
        <v>Apr 2024</v>
      </c>
      <c r="U6656">
        <f>IF(Pipeline_tbl[[#This Row],[Closed_Date]]=0,"",Pipeline_tbl[[#This Row],[Closed_Date]]-Pipeline_tbl[[#This Row],[Created_Date]])</f>
        <v>15</v>
      </c>
    </row>
    <row r="6657" spans="1:21" ht="15" customHeight="1" x14ac:dyDescent="0.2">
      <c r="A6657" t="s">
        <v>6963</v>
      </c>
      <c r="B6657" t="s">
        <v>221</v>
      </c>
      <c r="C6657" t="s">
        <v>54</v>
      </c>
      <c r="D6657" s="49">
        <v>45387</v>
      </c>
      <c r="E6657" s="49">
        <v>45389</v>
      </c>
      <c r="F6657" s="49">
        <v>45393</v>
      </c>
      <c r="I6657" s="49">
        <v>45407</v>
      </c>
      <c r="J6657" t="s">
        <v>49</v>
      </c>
      <c r="K6657" s="33">
        <v>1700</v>
      </c>
      <c r="L6657" t="s">
        <v>60</v>
      </c>
      <c r="M6657" t="str">
        <f>_xlfn.XLOOKUP(Pipeline_tbl[[#This Row],[Rep_ID]],Dim_Reps!A:A,Dim_Reps!K:K)</f>
        <v>MXN</v>
      </c>
      <c r="N6657" s="33">
        <f>(_xlfn.XLOOKUP(Pipeline_tbl[[#This Row],[Rate_Code_Generalized]],Lookups!A:A,Lookups!B:B))*Pipeline_tbl[[#This Row],[Pipeline_Amount_USD]]</f>
        <v>33545.590000000004</v>
      </c>
      <c r="O6657" t="str">
        <f>_xlfn.XLOOKUP(Pipeline_tbl[[#This Row],[Rep_ID]],Dim_Reps!A:A,Dim_Reps!B:B)</f>
        <v>Casey Muller</v>
      </c>
      <c r="P6657" t="str">
        <f>_xlfn.XLOOKUP(Pipeline_tbl[[#This Row],[Rep_ID]],Dim_Reps!A:A,Dim_Reps!C:C)</f>
        <v>SDR / Inside Sales Rep</v>
      </c>
      <c r="Q6657" t="str">
        <f>_xlfn.XLOOKUP(Pipeline_tbl[[#This Row],[Rep_ID]],Dim_Reps!A:A,Dim_Reps!D:D)</f>
        <v>Inside Sales</v>
      </c>
      <c r="R6657" t="str">
        <f>_xlfn.XLOOKUP(Pipeline_tbl[[#This Row],[Rep_ID]],Dim_Reps!A:A,Dim_Reps!E:E)</f>
        <v>LATAM</v>
      </c>
      <c r="S6657" t="str">
        <f>_xlfn.XLOOKUP(Pipeline_tbl[[#This Row],[Created_Date]],Dim_Date!A:A,Dim_Date!H:H)</f>
        <v>Apr 2024</v>
      </c>
      <c r="T6657" t="str">
        <f>IF(Pipeline_tbl[[#This Row],[Closed_Date]]=0,"",(_xlfn.XLOOKUP(Pipeline_tbl[[#This Row],[Closed_Date]],Dim_Date!A:A,Dim_Date!H:H)))</f>
        <v>Apr 2024</v>
      </c>
      <c r="U6657">
        <f>IF(Pipeline_tbl[[#This Row],[Closed_Date]]=0,"",Pipeline_tbl[[#This Row],[Closed_Date]]-Pipeline_tbl[[#This Row],[Created_Date]])</f>
        <v>20</v>
      </c>
    </row>
    <row r="6658" spans="1:21" ht="15" customHeight="1" x14ac:dyDescent="0.2">
      <c r="A6658" t="s">
        <v>6964</v>
      </c>
      <c r="B6658" t="s">
        <v>221</v>
      </c>
      <c r="C6658" t="s">
        <v>54</v>
      </c>
      <c r="D6658" s="49">
        <v>45388</v>
      </c>
      <c r="E6658" s="49">
        <v>45390</v>
      </c>
      <c r="F6658" s="49">
        <v>45393</v>
      </c>
      <c r="G6658" s="49">
        <v>45398</v>
      </c>
      <c r="H6658" s="49">
        <v>45402</v>
      </c>
      <c r="I6658" s="49">
        <v>45405</v>
      </c>
      <c r="J6658" t="s">
        <v>47</v>
      </c>
      <c r="K6658" s="33">
        <v>2900</v>
      </c>
      <c r="M6658" t="str">
        <f>_xlfn.XLOOKUP(Pipeline_tbl[[#This Row],[Rep_ID]],Dim_Reps!A:A,Dim_Reps!K:K)</f>
        <v>MXN</v>
      </c>
      <c r="N6658" s="33">
        <f>(_xlfn.XLOOKUP(Pipeline_tbl[[#This Row],[Rate_Code_Generalized]],Lookups!A:A,Lookups!B:B))*Pipeline_tbl[[#This Row],[Pipeline_Amount_USD]]</f>
        <v>57224.83</v>
      </c>
      <c r="O6658" t="str">
        <f>_xlfn.XLOOKUP(Pipeline_tbl[[#This Row],[Rep_ID]],Dim_Reps!A:A,Dim_Reps!B:B)</f>
        <v>Casey Muller</v>
      </c>
      <c r="P6658" t="str">
        <f>_xlfn.XLOOKUP(Pipeline_tbl[[#This Row],[Rep_ID]],Dim_Reps!A:A,Dim_Reps!C:C)</f>
        <v>SDR / Inside Sales Rep</v>
      </c>
      <c r="Q6658" t="str">
        <f>_xlfn.XLOOKUP(Pipeline_tbl[[#This Row],[Rep_ID]],Dim_Reps!A:A,Dim_Reps!D:D)</f>
        <v>Inside Sales</v>
      </c>
      <c r="R6658" t="str">
        <f>_xlfn.XLOOKUP(Pipeline_tbl[[#This Row],[Rep_ID]],Dim_Reps!A:A,Dim_Reps!E:E)</f>
        <v>LATAM</v>
      </c>
      <c r="S6658" t="str">
        <f>_xlfn.XLOOKUP(Pipeline_tbl[[#This Row],[Created_Date]],Dim_Date!A:A,Dim_Date!H:H)</f>
        <v>Apr 2024</v>
      </c>
      <c r="T6658" t="str">
        <f>IF(Pipeline_tbl[[#This Row],[Closed_Date]]=0,"",(_xlfn.XLOOKUP(Pipeline_tbl[[#This Row],[Closed_Date]],Dim_Date!A:A,Dim_Date!H:H)))</f>
        <v>Apr 2024</v>
      </c>
      <c r="U6658">
        <f>IF(Pipeline_tbl[[#This Row],[Closed_Date]]=0,"",Pipeline_tbl[[#This Row],[Closed_Date]]-Pipeline_tbl[[#This Row],[Created_Date]])</f>
        <v>17</v>
      </c>
    </row>
    <row r="6659" spans="1:21" ht="15" customHeight="1" x14ac:dyDescent="0.2">
      <c r="A6659" t="s">
        <v>6965</v>
      </c>
      <c r="B6659" t="s">
        <v>225</v>
      </c>
      <c r="C6659" t="s">
        <v>52</v>
      </c>
      <c r="D6659" s="49">
        <v>45385</v>
      </c>
      <c r="E6659" s="49">
        <v>45387</v>
      </c>
      <c r="F6659" s="49">
        <v>45390</v>
      </c>
      <c r="I6659" s="49">
        <v>45403</v>
      </c>
      <c r="J6659" t="s">
        <v>49</v>
      </c>
      <c r="K6659" s="33">
        <v>4200</v>
      </c>
      <c r="L6659" t="s">
        <v>60</v>
      </c>
      <c r="M6659" t="str">
        <f>_xlfn.XLOOKUP(Pipeline_tbl[[#This Row],[Rep_ID]],Dim_Reps!A:A,Dim_Reps!K:K)</f>
        <v>USD</v>
      </c>
      <c r="N6659" s="33">
        <f>(_xlfn.XLOOKUP(Pipeline_tbl[[#This Row],[Rate_Code_Generalized]],Lookups!A:A,Lookups!B:B))*Pipeline_tbl[[#This Row],[Pipeline_Amount_USD]]</f>
        <v>4890.0599999999995</v>
      </c>
      <c r="O6659" t="str">
        <f>_xlfn.XLOOKUP(Pipeline_tbl[[#This Row],[Rep_ID]],Dim_Reps!A:A,Dim_Reps!B:B)</f>
        <v>Alex Muller</v>
      </c>
      <c r="P6659" t="str">
        <f>_xlfn.XLOOKUP(Pipeline_tbl[[#This Row],[Rep_ID]],Dim_Reps!A:A,Dim_Reps!C:C)</f>
        <v>SDR / Inside Sales Rep</v>
      </c>
      <c r="Q6659" t="str">
        <f>_xlfn.XLOOKUP(Pipeline_tbl[[#This Row],[Rep_ID]],Dim_Reps!A:A,Dim_Reps!D:D)</f>
        <v>Inside Sales</v>
      </c>
      <c r="R6659" t="str">
        <f>_xlfn.XLOOKUP(Pipeline_tbl[[#This Row],[Rep_ID]],Dim_Reps!A:A,Dim_Reps!E:E)</f>
        <v>NAMER</v>
      </c>
      <c r="S6659" t="str">
        <f>_xlfn.XLOOKUP(Pipeline_tbl[[#This Row],[Created_Date]],Dim_Date!A:A,Dim_Date!H:H)</f>
        <v>Apr 2024</v>
      </c>
      <c r="T6659" t="str">
        <f>IF(Pipeline_tbl[[#This Row],[Closed_Date]]=0,"",(_xlfn.XLOOKUP(Pipeline_tbl[[#This Row],[Closed_Date]],Dim_Date!A:A,Dim_Date!H:H)))</f>
        <v>Apr 2024</v>
      </c>
      <c r="U6659">
        <f>IF(Pipeline_tbl[[#This Row],[Closed_Date]]=0,"",Pipeline_tbl[[#This Row],[Closed_Date]]-Pipeline_tbl[[#This Row],[Created_Date]])</f>
        <v>18</v>
      </c>
    </row>
    <row r="6660" spans="1:21" ht="15" customHeight="1" x14ac:dyDescent="0.2">
      <c r="A6660" t="s">
        <v>6966</v>
      </c>
      <c r="B6660" t="s">
        <v>225</v>
      </c>
      <c r="C6660" t="s">
        <v>53</v>
      </c>
      <c r="D6660" s="49">
        <v>45384</v>
      </c>
      <c r="E6660" s="49">
        <v>45386</v>
      </c>
      <c r="F6660" s="49">
        <v>45389</v>
      </c>
      <c r="G6660" s="49">
        <v>45394</v>
      </c>
      <c r="H6660" s="49">
        <v>45398</v>
      </c>
      <c r="I6660" s="49">
        <v>45401</v>
      </c>
      <c r="J6660" t="s">
        <v>47</v>
      </c>
      <c r="K6660" s="33">
        <v>5200</v>
      </c>
      <c r="M6660" t="str">
        <f>_xlfn.XLOOKUP(Pipeline_tbl[[#This Row],[Rep_ID]],Dim_Reps!A:A,Dim_Reps!K:K)</f>
        <v>USD</v>
      </c>
      <c r="N6660" s="33">
        <f>(_xlfn.XLOOKUP(Pipeline_tbl[[#This Row],[Rate_Code_Generalized]],Lookups!A:A,Lookups!B:B))*Pipeline_tbl[[#This Row],[Pipeline_Amount_USD]]</f>
        <v>6054.36</v>
      </c>
      <c r="O6660" t="str">
        <f>_xlfn.XLOOKUP(Pipeline_tbl[[#This Row],[Rep_ID]],Dim_Reps!A:A,Dim_Reps!B:B)</f>
        <v>Alex Muller</v>
      </c>
      <c r="P6660" t="str">
        <f>_xlfn.XLOOKUP(Pipeline_tbl[[#This Row],[Rep_ID]],Dim_Reps!A:A,Dim_Reps!C:C)</f>
        <v>SDR / Inside Sales Rep</v>
      </c>
      <c r="Q6660" t="str">
        <f>_xlfn.XLOOKUP(Pipeline_tbl[[#This Row],[Rep_ID]],Dim_Reps!A:A,Dim_Reps!D:D)</f>
        <v>Inside Sales</v>
      </c>
      <c r="R6660" t="str">
        <f>_xlfn.XLOOKUP(Pipeline_tbl[[#This Row],[Rep_ID]],Dim_Reps!A:A,Dim_Reps!E:E)</f>
        <v>NAMER</v>
      </c>
      <c r="S6660" t="str">
        <f>_xlfn.XLOOKUP(Pipeline_tbl[[#This Row],[Created_Date]],Dim_Date!A:A,Dim_Date!H:H)</f>
        <v>Apr 2024</v>
      </c>
      <c r="T6660" t="str">
        <f>IF(Pipeline_tbl[[#This Row],[Closed_Date]]=0,"",(_xlfn.XLOOKUP(Pipeline_tbl[[#This Row],[Closed_Date]],Dim_Date!A:A,Dim_Date!H:H)))</f>
        <v>Apr 2024</v>
      </c>
      <c r="U6660">
        <f>IF(Pipeline_tbl[[#This Row],[Closed_Date]]=0,"",Pipeline_tbl[[#This Row],[Closed_Date]]-Pipeline_tbl[[#This Row],[Created_Date]])</f>
        <v>17</v>
      </c>
    </row>
    <row r="6661" spans="1:21" ht="15" customHeight="1" x14ac:dyDescent="0.2">
      <c r="A6661" t="s">
        <v>6967</v>
      </c>
      <c r="B6661" t="s">
        <v>225</v>
      </c>
      <c r="C6661" t="s">
        <v>52</v>
      </c>
      <c r="D6661" s="49">
        <v>45386</v>
      </c>
      <c r="E6661" s="49">
        <v>45388</v>
      </c>
      <c r="F6661" s="49">
        <v>45392</v>
      </c>
      <c r="G6661" s="49">
        <v>45397</v>
      </c>
      <c r="H6661" s="49">
        <v>45402</v>
      </c>
      <c r="I6661" s="49">
        <v>45405</v>
      </c>
      <c r="J6661" t="s">
        <v>49</v>
      </c>
      <c r="K6661" s="33">
        <v>8100</v>
      </c>
      <c r="L6661" t="s">
        <v>64</v>
      </c>
      <c r="M6661" t="str">
        <f>_xlfn.XLOOKUP(Pipeline_tbl[[#This Row],[Rep_ID]],Dim_Reps!A:A,Dim_Reps!K:K)</f>
        <v>USD</v>
      </c>
      <c r="N6661" s="33">
        <f>(_xlfn.XLOOKUP(Pipeline_tbl[[#This Row],[Rate_Code_Generalized]],Lookups!A:A,Lookups!B:B))*Pipeline_tbl[[#This Row],[Pipeline_Amount_USD]]</f>
        <v>9430.83</v>
      </c>
      <c r="O6661" t="str">
        <f>_xlfn.XLOOKUP(Pipeline_tbl[[#This Row],[Rep_ID]],Dim_Reps!A:A,Dim_Reps!B:B)</f>
        <v>Alex Muller</v>
      </c>
      <c r="P6661" t="str">
        <f>_xlfn.XLOOKUP(Pipeline_tbl[[#This Row],[Rep_ID]],Dim_Reps!A:A,Dim_Reps!C:C)</f>
        <v>SDR / Inside Sales Rep</v>
      </c>
      <c r="Q6661" t="str">
        <f>_xlfn.XLOOKUP(Pipeline_tbl[[#This Row],[Rep_ID]],Dim_Reps!A:A,Dim_Reps!D:D)</f>
        <v>Inside Sales</v>
      </c>
      <c r="R6661" t="str">
        <f>_xlfn.XLOOKUP(Pipeline_tbl[[#This Row],[Rep_ID]],Dim_Reps!A:A,Dim_Reps!E:E)</f>
        <v>NAMER</v>
      </c>
      <c r="S6661" t="str">
        <f>_xlfn.XLOOKUP(Pipeline_tbl[[#This Row],[Created_Date]],Dim_Date!A:A,Dim_Date!H:H)</f>
        <v>Apr 2024</v>
      </c>
      <c r="T6661" t="str">
        <f>IF(Pipeline_tbl[[#This Row],[Closed_Date]]=0,"",(_xlfn.XLOOKUP(Pipeline_tbl[[#This Row],[Closed_Date]],Dim_Date!A:A,Dim_Date!H:H)))</f>
        <v>Apr 2024</v>
      </c>
      <c r="U6661">
        <f>IF(Pipeline_tbl[[#This Row],[Closed_Date]]=0,"",Pipeline_tbl[[#This Row],[Closed_Date]]-Pipeline_tbl[[#This Row],[Created_Date]])</f>
        <v>19</v>
      </c>
    </row>
    <row r="6662" spans="1:21" ht="15" customHeight="1" x14ac:dyDescent="0.2">
      <c r="A6662" t="s">
        <v>6968</v>
      </c>
      <c r="B6662" t="s">
        <v>225</v>
      </c>
      <c r="C6662" t="s">
        <v>53</v>
      </c>
      <c r="D6662" s="49">
        <v>45396</v>
      </c>
      <c r="E6662" s="49">
        <v>45397</v>
      </c>
      <c r="F6662" s="49">
        <v>45399</v>
      </c>
      <c r="G6662" s="49">
        <v>45402</v>
      </c>
      <c r="H6662" s="49">
        <v>45404</v>
      </c>
      <c r="I6662" s="49">
        <v>45406</v>
      </c>
      <c r="J6662" t="s">
        <v>49</v>
      </c>
      <c r="K6662" s="33">
        <v>3100</v>
      </c>
      <c r="L6662" t="s">
        <v>63</v>
      </c>
      <c r="M6662" t="str">
        <f>_xlfn.XLOOKUP(Pipeline_tbl[[#This Row],[Rep_ID]],Dim_Reps!A:A,Dim_Reps!K:K)</f>
        <v>USD</v>
      </c>
      <c r="N6662" s="33">
        <f>(_xlfn.XLOOKUP(Pipeline_tbl[[#This Row],[Rate_Code_Generalized]],Lookups!A:A,Lookups!B:B))*Pipeline_tbl[[#This Row],[Pipeline_Amount_USD]]</f>
        <v>3609.3299999999995</v>
      </c>
      <c r="O6662" t="str">
        <f>_xlfn.XLOOKUP(Pipeline_tbl[[#This Row],[Rep_ID]],Dim_Reps!A:A,Dim_Reps!B:B)</f>
        <v>Alex Muller</v>
      </c>
      <c r="P6662" t="str">
        <f>_xlfn.XLOOKUP(Pipeline_tbl[[#This Row],[Rep_ID]],Dim_Reps!A:A,Dim_Reps!C:C)</f>
        <v>SDR / Inside Sales Rep</v>
      </c>
      <c r="Q6662" t="str">
        <f>_xlfn.XLOOKUP(Pipeline_tbl[[#This Row],[Rep_ID]],Dim_Reps!A:A,Dim_Reps!D:D)</f>
        <v>Inside Sales</v>
      </c>
      <c r="R6662" t="str">
        <f>_xlfn.XLOOKUP(Pipeline_tbl[[#This Row],[Rep_ID]],Dim_Reps!A:A,Dim_Reps!E:E)</f>
        <v>NAMER</v>
      </c>
      <c r="S6662" t="str">
        <f>_xlfn.XLOOKUP(Pipeline_tbl[[#This Row],[Created_Date]],Dim_Date!A:A,Dim_Date!H:H)</f>
        <v>Apr 2024</v>
      </c>
      <c r="T6662" t="str">
        <f>IF(Pipeline_tbl[[#This Row],[Closed_Date]]=0,"",(_xlfn.XLOOKUP(Pipeline_tbl[[#This Row],[Closed_Date]],Dim_Date!A:A,Dim_Date!H:H)))</f>
        <v>Apr 2024</v>
      </c>
      <c r="U6662">
        <f>IF(Pipeline_tbl[[#This Row],[Closed_Date]]=0,"",Pipeline_tbl[[#This Row],[Closed_Date]]-Pipeline_tbl[[#This Row],[Created_Date]])</f>
        <v>10</v>
      </c>
    </row>
    <row r="6663" spans="1:21" ht="15" customHeight="1" x14ac:dyDescent="0.2">
      <c r="A6663" t="s">
        <v>6969</v>
      </c>
      <c r="B6663" t="s">
        <v>225</v>
      </c>
      <c r="C6663" t="s">
        <v>53</v>
      </c>
      <c r="D6663" s="49">
        <v>45390</v>
      </c>
      <c r="E6663" s="49">
        <v>45392</v>
      </c>
      <c r="F6663" s="49">
        <v>45395</v>
      </c>
      <c r="G6663" s="49">
        <v>45401</v>
      </c>
      <c r="H6663" s="49">
        <v>45405</v>
      </c>
      <c r="I6663" s="49">
        <v>45408</v>
      </c>
      <c r="J6663" t="s">
        <v>47</v>
      </c>
      <c r="K6663" s="33">
        <v>3000</v>
      </c>
      <c r="M6663" t="str">
        <f>_xlfn.XLOOKUP(Pipeline_tbl[[#This Row],[Rep_ID]],Dim_Reps!A:A,Dim_Reps!K:K)</f>
        <v>USD</v>
      </c>
      <c r="N6663" s="33">
        <f>(_xlfn.XLOOKUP(Pipeline_tbl[[#This Row],[Rate_Code_Generalized]],Lookups!A:A,Lookups!B:B))*Pipeline_tbl[[#This Row],[Pipeline_Amount_USD]]</f>
        <v>3492.8999999999996</v>
      </c>
      <c r="O6663" t="str">
        <f>_xlfn.XLOOKUP(Pipeline_tbl[[#This Row],[Rep_ID]],Dim_Reps!A:A,Dim_Reps!B:B)</f>
        <v>Alex Muller</v>
      </c>
      <c r="P6663" t="str">
        <f>_xlfn.XLOOKUP(Pipeline_tbl[[#This Row],[Rep_ID]],Dim_Reps!A:A,Dim_Reps!C:C)</f>
        <v>SDR / Inside Sales Rep</v>
      </c>
      <c r="Q6663" t="str">
        <f>_xlfn.XLOOKUP(Pipeline_tbl[[#This Row],[Rep_ID]],Dim_Reps!A:A,Dim_Reps!D:D)</f>
        <v>Inside Sales</v>
      </c>
      <c r="R6663" t="str">
        <f>_xlfn.XLOOKUP(Pipeline_tbl[[#This Row],[Rep_ID]],Dim_Reps!A:A,Dim_Reps!E:E)</f>
        <v>NAMER</v>
      </c>
      <c r="S6663" t="str">
        <f>_xlfn.XLOOKUP(Pipeline_tbl[[#This Row],[Created_Date]],Dim_Date!A:A,Dim_Date!H:H)</f>
        <v>Apr 2024</v>
      </c>
      <c r="T6663" t="str">
        <f>IF(Pipeline_tbl[[#This Row],[Closed_Date]]=0,"",(_xlfn.XLOOKUP(Pipeline_tbl[[#This Row],[Closed_Date]],Dim_Date!A:A,Dim_Date!H:H)))</f>
        <v>Apr 2024</v>
      </c>
      <c r="U6663">
        <f>IF(Pipeline_tbl[[#This Row],[Closed_Date]]=0,"",Pipeline_tbl[[#This Row],[Closed_Date]]-Pipeline_tbl[[#This Row],[Created_Date]])</f>
        <v>18</v>
      </c>
    </row>
    <row r="6664" spans="1:21" ht="15" customHeight="1" x14ac:dyDescent="0.2">
      <c r="A6664" t="s">
        <v>6970</v>
      </c>
      <c r="B6664" t="s">
        <v>225</v>
      </c>
      <c r="C6664" t="s">
        <v>53</v>
      </c>
      <c r="D6664" s="49">
        <v>45385</v>
      </c>
      <c r="E6664" s="49">
        <v>45387</v>
      </c>
      <c r="F6664" s="49">
        <v>45392</v>
      </c>
      <c r="G6664" s="49">
        <v>45398</v>
      </c>
      <c r="H6664" s="49">
        <v>45404</v>
      </c>
      <c r="I6664" s="49">
        <v>45407</v>
      </c>
      <c r="J6664" t="s">
        <v>49</v>
      </c>
      <c r="K6664" s="33">
        <v>10100</v>
      </c>
      <c r="L6664" t="s">
        <v>60</v>
      </c>
      <c r="M6664" t="str">
        <f>_xlfn.XLOOKUP(Pipeline_tbl[[#This Row],[Rep_ID]],Dim_Reps!A:A,Dim_Reps!K:K)</f>
        <v>USD</v>
      </c>
      <c r="N6664" s="33">
        <f>(_xlfn.XLOOKUP(Pipeline_tbl[[#This Row],[Rate_Code_Generalized]],Lookups!A:A,Lookups!B:B))*Pipeline_tbl[[#This Row],[Pipeline_Amount_USD]]</f>
        <v>11759.429999999998</v>
      </c>
      <c r="O6664" t="str">
        <f>_xlfn.XLOOKUP(Pipeline_tbl[[#This Row],[Rep_ID]],Dim_Reps!A:A,Dim_Reps!B:B)</f>
        <v>Alex Muller</v>
      </c>
      <c r="P6664" t="str">
        <f>_xlfn.XLOOKUP(Pipeline_tbl[[#This Row],[Rep_ID]],Dim_Reps!A:A,Dim_Reps!C:C)</f>
        <v>SDR / Inside Sales Rep</v>
      </c>
      <c r="Q6664" t="str">
        <f>_xlfn.XLOOKUP(Pipeline_tbl[[#This Row],[Rep_ID]],Dim_Reps!A:A,Dim_Reps!D:D)</f>
        <v>Inside Sales</v>
      </c>
      <c r="R6664" t="str">
        <f>_xlfn.XLOOKUP(Pipeline_tbl[[#This Row],[Rep_ID]],Dim_Reps!A:A,Dim_Reps!E:E)</f>
        <v>NAMER</v>
      </c>
      <c r="S6664" t="str">
        <f>_xlfn.XLOOKUP(Pipeline_tbl[[#This Row],[Created_Date]],Dim_Date!A:A,Dim_Date!H:H)</f>
        <v>Apr 2024</v>
      </c>
      <c r="T6664" t="str">
        <f>IF(Pipeline_tbl[[#This Row],[Closed_Date]]=0,"",(_xlfn.XLOOKUP(Pipeline_tbl[[#This Row],[Closed_Date]],Dim_Date!A:A,Dim_Date!H:H)))</f>
        <v>Apr 2024</v>
      </c>
      <c r="U6664">
        <f>IF(Pipeline_tbl[[#This Row],[Closed_Date]]=0,"",Pipeline_tbl[[#This Row],[Closed_Date]]-Pipeline_tbl[[#This Row],[Created_Date]])</f>
        <v>22</v>
      </c>
    </row>
    <row r="6665" spans="1:21" ht="15" customHeight="1" x14ac:dyDescent="0.2">
      <c r="A6665" t="s">
        <v>6971</v>
      </c>
      <c r="B6665" t="s">
        <v>227</v>
      </c>
      <c r="C6665" t="s">
        <v>54</v>
      </c>
      <c r="D6665" s="49">
        <v>45390</v>
      </c>
      <c r="E6665" s="49">
        <v>45392</v>
      </c>
      <c r="F6665" s="49">
        <v>45396</v>
      </c>
      <c r="G6665" s="49">
        <v>45401</v>
      </c>
      <c r="H6665" s="49">
        <v>45406</v>
      </c>
      <c r="I6665" s="49">
        <v>45409</v>
      </c>
      <c r="J6665" t="s">
        <v>47</v>
      </c>
      <c r="K6665" s="33">
        <v>4400</v>
      </c>
      <c r="M6665" t="str">
        <f>_xlfn.XLOOKUP(Pipeline_tbl[[#This Row],[Rep_ID]],Dim_Reps!A:A,Dim_Reps!K:K)</f>
        <v>EUR</v>
      </c>
      <c r="N6665" s="33">
        <f>(_xlfn.XLOOKUP(Pipeline_tbl[[#This Row],[Rate_Code_Generalized]],Lookups!A:A,Lookups!B:B))*Pipeline_tbl[[#This Row],[Pipeline_Amount_USD]]</f>
        <v>4400</v>
      </c>
      <c r="O6665" t="str">
        <f>_xlfn.XLOOKUP(Pipeline_tbl[[#This Row],[Rep_ID]],Dim_Reps!A:A,Dim_Reps!B:B)</f>
        <v>Liam Muller</v>
      </c>
      <c r="P6665" t="str">
        <f>_xlfn.XLOOKUP(Pipeline_tbl[[#This Row],[Rep_ID]],Dim_Reps!A:A,Dim_Reps!C:C)</f>
        <v>SDR / Inside Sales Rep</v>
      </c>
      <c r="Q6665" t="str">
        <f>_xlfn.XLOOKUP(Pipeline_tbl[[#This Row],[Rep_ID]],Dim_Reps!A:A,Dim_Reps!D:D)</f>
        <v>Inside Sales</v>
      </c>
      <c r="R6665" t="str">
        <f>_xlfn.XLOOKUP(Pipeline_tbl[[#This Row],[Rep_ID]],Dim_Reps!A:A,Dim_Reps!E:E)</f>
        <v>EMEA</v>
      </c>
      <c r="S6665" t="str">
        <f>_xlfn.XLOOKUP(Pipeline_tbl[[#This Row],[Created_Date]],Dim_Date!A:A,Dim_Date!H:H)</f>
        <v>Apr 2024</v>
      </c>
      <c r="T6665" t="str">
        <f>IF(Pipeline_tbl[[#This Row],[Closed_Date]]=0,"",(_xlfn.XLOOKUP(Pipeline_tbl[[#This Row],[Closed_Date]],Dim_Date!A:A,Dim_Date!H:H)))</f>
        <v>Apr 2024</v>
      </c>
      <c r="U6665">
        <f>IF(Pipeline_tbl[[#This Row],[Closed_Date]]=0,"",Pipeline_tbl[[#This Row],[Closed_Date]]-Pipeline_tbl[[#This Row],[Created_Date]])</f>
        <v>19</v>
      </c>
    </row>
    <row r="6666" spans="1:21" ht="15" customHeight="1" x14ac:dyDescent="0.2">
      <c r="A6666" t="s">
        <v>6972</v>
      </c>
      <c r="B6666" t="s">
        <v>227</v>
      </c>
      <c r="C6666" t="s">
        <v>56</v>
      </c>
      <c r="D6666" s="49">
        <v>45399</v>
      </c>
      <c r="E6666" s="49">
        <v>45400</v>
      </c>
      <c r="F6666" s="49">
        <v>45403</v>
      </c>
      <c r="G6666" s="49">
        <v>45406</v>
      </c>
      <c r="I6666" s="49">
        <v>45411</v>
      </c>
      <c r="J6666" t="s">
        <v>49</v>
      </c>
      <c r="K6666" s="33">
        <v>4000</v>
      </c>
      <c r="L6666" t="s">
        <v>61</v>
      </c>
      <c r="M6666" t="str">
        <f>_xlfn.XLOOKUP(Pipeline_tbl[[#This Row],[Rep_ID]],Dim_Reps!A:A,Dim_Reps!K:K)</f>
        <v>EUR</v>
      </c>
      <c r="N6666" s="33">
        <f>(_xlfn.XLOOKUP(Pipeline_tbl[[#This Row],[Rate_Code_Generalized]],Lookups!A:A,Lookups!B:B))*Pipeline_tbl[[#This Row],[Pipeline_Amount_USD]]</f>
        <v>4000</v>
      </c>
      <c r="O6666" t="str">
        <f>_xlfn.XLOOKUP(Pipeline_tbl[[#This Row],[Rep_ID]],Dim_Reps!A:A,Dim_Reps!B:B)</f>
        <v>Liam Muller</v>
      </c>
      <c r="P6666" t="str">
        <f>_xlfn.XLOOKUP(Pipeline_tbl[[#This Row],[Rep_ID]],Dim_Reps!A:A,Dim_Reps!C:C)</f>
        <v>SDR / Inside Sales Rep</v>
      </c>
      <c r="Q6666" t="str">
        <f>_xlfn.XLOOKUP(Pipeline_tbl[[#This Row],[Rep_ID]],Dim_Reps!A:A,Dim_Reps!D:D)</f>
        <v>Inside Sales</v>
      </c>
      <c r="R6666" t="str">
        <f>_xlfn.XLOOKUP(Pipeline_tbl[[#This Row],[Rep_ID]],Dim_Reps!A:A,Dim_Reps!E:E)</f>
        <v>EMEA</v>
      </c>
      <c r="S6666" t="str">
        <f>_xlfn.XLOOKUP(Pipeline_tbl[[#This Row],[Created_Date]],Dim_Date!A:A,Dim_Date!H:H)</f>
        <v>Apr 2024</v>
      </c>
      <c r="T6666" t="str">
        <f>IF(Pipeline_tbl[[#This Row],[Closed_Date]]=0,"",(_xlfn.XLOOKUP(Pipeline_tbl[[#This Row],[Closed_Date]],Dim_Date!A:A,Dim_Date!H:H)))</f>
        <v>Apr 2024</v>
      </c>
      <c r="U6666">
        <f>IF(Pipeline_tbl[[#This Row],[Closed_Date]]=0,"",Pipeline_tbl[[#This Row],[Closed_Date]]-Pipeline_tbl[[#This Row],[Created_Date]])</f>
        <v>12</v>
      </c>
    </row>
    <row r="6667" spans="1:21" ht="15" customHeight="1" x14ac:dyDescent="0.2">
      <c r="A6667" t="s">
        <v>6973</v>
      </c>
      <c r="B6667" t="s">
        <v>227</v>
      </c>
      <c r="C6667" t="s">
        <v>54</v>
      </c>
      <c r="D6667" s="49">
        <v>45401</v>
      </c>
      <c r="E6667" s="49">
        <v>45401</v>
      </c>
      <c r="I6667" s="49">
        <v>45406</v>
      </c>
      <c r="J6667" t="s">
        <v>49</v>
      </c>
      <c r="K6667" s="33">
        <v>2600</v>
      </c>
      <c r="L6667" t="s">
        <v>61</v>
      </c>
      <c r="M6667" t="str">
        <f>_xlfn.XLOOKUP(Pipeline_tbl[[#This Row],[Rep_ID]],Dim_Reps!A:A,Dim_Reps!K:K)</f>
        <v>EUR</v>
      </c>
      <c r="N6667" s="33">
        <f>(_xlfn.XLOOKUP(Pipeline_tbl[[#This Row],[Rate_Code_Generalized]],Lookups!A:A,Lookups!B:B))*Pipeline_tbl[[#This Row],[Pipeline_Amount_USD]]</f>
        <v>2600</v>
      </c>
      <c r="O6667" t="str">
        <f>_xlfn.XLOOKUP(Pipeline_tbl[[#This Row],[Rep_ID]],Dim_Reps!A:A,Dim_Reps!B:B)</f>
        <v>Liam Muller</v>
      </c>
      <c r="P6667" t="str">
        <f>_xlfn.XLOOKUP(Pipeline_tbl[[#This Row],[Rep_ID]],Dim_Reps!A:A,Dim_Reps!C:C)</f>
        <v>SDR / Inside Sales Rep</v>
      </c>
      <c r="Q6667" t="str">
        <f>_xlfn.XLOOKUP(Pipeline_tbl[[#This Row],[Rep_ID]],Dim_Reps!A:A,Dim_Reps!D:D)</f>
        <v>Inside Sales</v>
      </c>
      <c r="R6667" t="str">
        <f>_xlfn.XLOOKUP(Pipeline_tbl[[#This Row],[Rep_ID]],Dim_Reps!A:A,Dim_Reps!E:E)</f>
        <v>EMEA</v>
      </c>
      <c r="S6667" t="str">
        <f>_xlfn.XLOOKUP(Pipeline_tbl[[#This Row],[Created_Date]],Dim_Date!A:A,Dim_Date!H:H)</f>
        <v>Apr 2024</v>
      </c>
      <c r="T6667" t="str">
        <f>IF(Pipeline_tbl[[#This Row],[Closed_Date]]=0,"",(_xlfn.XLOOKUP(Pipeline_tbl[[#This Row],[Closed_Date]],Dim_Date!A:A,Dim_Date!H:H)))</f>
        <v>Apr 2024</v>
      </c>
      <c r="U6667">
        <f>IF(Pipeline_tbl[[#This Row],[Closed_Date]]=0,"",Pipeline_tbl[[#This Row],[Closed_Date]]-Pipeline_tbl[[#This Row],[Created_Date]])</f>
        <v>5</v>
      </c>
    </row>
    <row r="6668" spans="1:21" ht="15" customHeight="1" x14ac:dyDescent="0.2">
      <c r="A6668" t="s">
        <v>6974</v>
      </c>
      <c r="B6668" t="s">
        <v>227</v>
      </c>
      <c r="C6668" t="s">
        <v>55</v>
      </c>
      <c r="D6668" s="49">
        <v>45394</v>
      </c>
      <c r="E6668" s="49">
        <v>45395</v>
      </c>
      <c r="F6668" s="49">
        <v>45398</v>
      </c>
      <c r="G6668" s="49">
        <v>45402</v>
      </c>
      <c r="H6668" s="49">
        <v>45406</v>
      </c>
      <c r="I6668" s="49">
        <v>45408</v>
      </c>
      <c r="J6668" t="s">
        <v>49</v>
      </c>
      <c r="K6668" s="33">
        <v>5000</v>
      </c>
      <c r="L6668" t="s">
        <v>61</v>
      </c>
      <c r="M6668" t="str">
        <f>_xlfn.XLOOKUP(Pipeline_tbl[[#This Row],[Rep_ID]],Dim_Reps!A:A,Dim_Reps!K:K)</f>
        <v>EUR</v>
      </c>
      <c r="N6668" s="33">
        <f>(_xlfn.XLOOKUP(Pipeline_tbl[[#This Row],[Rate_Code_Generalized]],Lookups!A:A,Lookups!B:B))*Pipeline_tbl[[#This Row],[Pipeline_Amount_USD]]</f>
        <v>5000</v>
      </c>
      <c r="O6668" t="str">
        <f>_xlfn.XLOOKUP(Pipeline_tbl[[#This Row],[Rep_ID]],Dim_Reps!A:A,Dim_Reps!B:B)</f>
        <v>Liam Muller</v>
      </c>
      <c r="P6668" t="str">
        <f>_xlfn.XLOOKUP(Pipeline_tbl[[#This Row],[Rep_ID]],Dim_Reps!A:A,Dim_Reps!C:C)</f>
        <v>SDR / Inside Sales Rep</v>
      </c>
      <c r="Q6668" t="str">
        <f>_xlfn.XLOOKUP(Pipeline_tbl[[#This Row],[Rep_ID]],Dim_Reps!A:A,Dim_Reps!D:D)</f>
        <v>Inside Sales</v>
      </c>
      <c r="R6668" t="str">
        <f>_xlfn.XLOOKUP(Pipeline_tbl[[#This Row],[Rep_ID]],Dim_Reps!A:A,Dim_Reps!E:E)</f>
        <v>EMEA</v>
      </c>
      <c r="S6668" t="str">
        <f>_xlfn.XLOOKUP(Pipeline_tbl[[#This Row],[Created_Date]],Dim_Date!A:A,Dim_Date!H:H)</f>
        <v>Apr 2024</v>
      </c>
      <c r="T6668" t="str">
        <f>IF(Pipeline_tbl[[#This Row],[Closed_Date]]=0,"",(_xlfn.XLOOKUP(Pipeline_tbl[[#This Row],[Closed_Date]],Dim_Date!A:A,Dim_Date!H:H)))</f>
        <v>Apr 2024</v>
      </c>
      <c r="U6668">
        <f>IF(Pipeline_tbl[[#This Row],[Closed_Date]]=0,"",Pipeline_tbl[[#This Row],[Closed_Date]]-Pipeline_tbl[[#This Row],[Created_Date]])</f>
        <v>14</v>
      </c>
    </row>
    <row r="6669" spans="1:21" ht="15" customHeight="1" x14ac:dyDescent="0.2">
      <c r="A6669" t="s">
        <v>6975</v>
      </c>
      <c r="B6669" t="s">
        <v>229</v>
      </c>
      <c r="C6669" t="s">
        <v>53</v>
      </c>
      <c r="D6669" s="49">
        <v>45388</v>
      </c>
      <c r="E6669" s="49">
        <v>45390</v>
      </c>
      <c r="F6669" s="49">
        <v>45393</v>
      </c>
      <c r="G6669" s="49">
        <v>45398</v>
      </c>
      <c r="H6669" s="49">
        <v>45402</v>
      </c>
      <c r="I6669" s="49">
        <v>45405</v>
      </c>
      <c r="J6669" t="s">
        <v>47</v>
      </c>
      <c r="K6669" s="33">
        <v>6800</v>
      </c>
      <c r="M6669" t="str">
        <f>_xlfn.XLOOKUP(Pipeline_tbl[[#This Row],[Rep_ID]],Dim_Reps!A:A,Dim_Reps!K:K)</f>
        <v>USD</v>
      </c>
      <c r="N6669" s="33">
        <f>(_xlfn.XLOOKUP(Pipeline_tbl[[#This Row],[Rate_Code_Generalized]],Lookups!A:A,Lookups!B:B))*Pipeline_tbl[[#This Row],[Pipeline_Amount_USD]]</f>
        <v>7917.2399999999989</v>
      </c>
      <c r="O6669" t="str">
        <f>_xlfn.XLOOKUP(Pipeline_tbl[[#This Row],[Rep_ID]],Dim_Reps!A:A,Dim_Reps!B:B)</f>
        <v>Liam Castro</v>
      </c>
      <c r="P6669" t="str">
        <f>_xlfn.XLOOKUP(Pipeline_tbl[[#This Row],[Rep_ID]],Dim_Reps!A:A,Dim_Reps!C:C)</f>
        <v>SDR / Inside Sales Rep</v>
      </c>
      <c r="Q6669" t="str">
        <f>_xlfn.XLOOKUP(Pipeline_tbl[[#This Row],[Rep_ID]],Dim_Reps!A:A,Dim_Reps!D:D)</f>
        <v>Inside Sales</v>
      </c>
      <c r="R6669" t="str">
        <f>_xlfn.XLOOKUP(Pipeline_tbl[[#This Row],[Rep_ID]],Dim_Reps!A:A,Dim_Reps!E:E)</f>
        <v>NAMER</v>
      </c>
      <c r="S6669" t="str">
        <f>_xlfn.XLOOKUP(Pipeline_tbl[[#This Row],[Created_Date]],Dim_Date!A:A,Dim_Date!H:H)</f>
        <v>Apr 2024</v>
      </c>
      <c r="T6669" t="str">
        <f>IF(Pipeline_tbl[[#This Row],[Closed_Date]]=0,"",(_xlfn.XLOOKUP(Pipeline_tbl[[#This Row],[Closed_Date]],Dim_Date!A:A,Dim_Date!H:H)))</f>
        <v>Apr 2024</v>
      </c>
      <c r="U6669">
        <f>IF(Pipeline_tbl[[#This Row],[Closed_Date]]=0,"",Pipeline_tbl[[#This Row],[Closed_Date]]-Pipeline_tbl[[#This Row],[Created_Date]])</f>
        <v>17</v>
      </c>
    </row>
    <row r="6670" spans="1:21" ht="15" customHeight="1" x14ac:dyDescent="0.2">
      <c r="A6670" t="s">
        <v>6976</v>
      </c>
      <c r="B6670" t="s">
        <v>229</v>
      </c>
      <c r="C6670" t="s">
        <v>54</v>
      </c>
      <c r="D6670" s="49">
        <v>45397</v>
      </c>
      <c r="E6670" s="49">
        <v>45398</v>
      </c>
      <c r="F6670" s="49">
        <v>45401</v>
      </c>
      <c r="G6670" s="49">
        <v>45404</v>
      </c>
      <c r="I6670" s="49">
        <v>45409</v>
      </c>
      <c r="J6670" t="s">
        <v>49</v>
      </c>
      <c r="K6670" s="33">
        <v>2400</v>
      </c>
      <c r="L6670" t="s">
        <v>64</v>
      </c>
      <c r="M6670" t="str">
        <f>_xlfn.XLOOKUP(Pipeline_tbl[[#This Row],[Rep_ID]],Dim_Reps!A:A,Dim_Reps!K:K)</f>
        <v>USD</v>
      </c>
      <c r="N6670" s="33">
        <f>(_xlfn.XLOOKUP(Pipeline_tbl[[#This Row],[Rate_Code_Generalized]],Lookups!A:A,Lookups!B:B))*Pipeline_tbl[[#This Row],[Pipeline_Amount_USD]]</f>
        <v>2794.3199999999997</v>
      </c>
      <c r="O6670" t="str">
        <f>_xlfn.XLOOKUP(Pipeline_tbl[[#This Row],[Rep_ID]],Dim_Reps!A:A,Dim_Reps!B:B)</f>
        <v>Liam Castro</v>
      </c>
      <c r="P6670" t="str">
        <f>_xlfn.XLOOKUP(Pipeline_tbl[[#This Row],[Rep_ID]],Dim_Reps!A:A,Dim_Reps!C:C)</f>
        <v>SDR / Inside Sales Rep</v>
      </c>
      <c r="Q6670" t="str">
        <f>_xlfn.XLOOKUP(Pipeline_tbl[[#This Row],[Rep_ID]],Dim_Reps!A:A,Dim_Reps!D:D)</f>
        <v>Inside Sales</v>
      </c>
      <c r="R6670" t="str">
        <f>_xlfn.XLOOKUP(Pipeline_tbl[[#This Row],[Rep_ID]],Dim_Reps!A:A,Dim_Reps!E:E)</f>
        <v>NAMER</v>
      </c>
      <c r="S6670" t="str">
        <f>_xlfn.XLOOKUP(Pipeline_tbl[[#This Row],[Created_Date]],Dim_Date!A:A,Dim_Date!H:H)</f>
        <v>Apr 2024</v>
      </c>
      <c r="T6670" t="str">
        <f>IF(Pipeline_tbl[[#This Row],[Closed_Date]]=0,"",(_xlfn.XLOOKUP(Pipeline_tbl[[#This Row],[Closed_Date]],Dim_Date!A:A,Dim_Date!H:H)))</f>
        <v>Apr 2024</v>
      </c>
      <c r="U6670">
        <f>IF(Pipeline_tbl[[#This Row],[Closed_Date]]=0,"",Pipeline_tbl[[#This Row],[Closed_Date]]-Pipeline_tbl[[#This Row],[Created_Date]])</f>
        <v>12</v>
      </c>
    </row>
    <row r="6671" spans="1:21" ht="15" customHeight="1" x14ac:dyDescent="0.2">
      <c r="A6671" t="s">
        <v>6977</v>
      </c>
      <c r="B6671" t="s">
        <v>229</v>
      </c>
      <c r="C6671" t="s">
        <v>55</v>
      </c>
      <c r="D6671" s="49">
        <v>45387</v>
      </c>
      <c r="E6671" s="49">
        <v>45389</v>
      </c>
      <c r="F6671" s="49">
        <v>45392</v>
      </c>
      <c r="G6671" s="49">
        <v>45397</v>
      </c>
      <c r="H6671" s="49">
        <v>45401</v>
      </c>
      <c r="I6671" s="49">
        <v>45404</v>
      </c>
      <c r="J6671" t="s">
        <v>49</v>
      </c>
      <c r="K6671" s="33">
        <v>4700</v>
      </c>
      <c r="L6671" t="s">
        <v>64</v>
      </c>
      <c r="M6671" t="str">
        <f>_xlfn.XLOOKUP(Pipeline_tbl[[#This Row],[Rep_ID]],Dim_Reps!A:A,Dim_Reps!K:K)</f>
        <v>USD</v>
      </c>
      <c r="N6671" s="33">
        <f>(_xlfn.XLOOKUP(Pipeline_tbl[[#This Row],[Rate_Code_Generalized]],Lookups!A:A,Lookups!B:B))*Pipeline_tbl[[#This Row],[Pipeline_Amount_USD]]</f>
        <v>5472.2099999999991</v>
      </c>
      <c r="O6671" t="str">
        <f>_xlfn.XLOOKUP(Pipeline_tbl[[#This Row],[Rep_ID]],Dim_Reps!A:A,Dim_Reps!B:B)</f>
        <v>Liam Castro</v>
      </c>
      <c r="P6671" t="str">
        <f>_xlfn.XLOOKUP(Pipeline_tbl[[#This Row],[Rep_ID]],Dim_Reps!A:A,Dim_Reps!C:C)</f>
        <v>SDR / Inside Sales Rep</v>
      </c>
      <c r="Q6671" t="str">
        <f>_xlfn.XLOOKUP(Pipeline_tbl[[#This Row],[Rep_ID]],Dim_Reps!A:A,Dim_Reps!D:D)</f>
        <v>Inside Sales</v>
      </c>
      <c r="R6671" t="str">
        <f>_xlfn.XLOOKUP(Pipeline_tbl[[#This Row],[Rep_ID]],Dim_Reps!A:A,Dim_Reps!E:E)</f>
        <v>NAMER</v>
      </c>
      <c r="S6671" t="str">
        <f>_xlfn.XLOOKUP(Pipeline_tbl[[#This Row],[Created_Date]],Dim_Date!A:A,Dim_Date!H:H)</f>
        <v>Apr 2024</v>
      </c>
      <c r="T6671" t="str">
        <f>IF(Pipeline_tbl[[#This Row],[Closed_Date]]=0,"",(_xlfn.XLOOKUP(Pipeline_tbl[[#This Row],[Closed_Date]],Dim_Date!A:A,Dim_Date!H:H)))</f>
        <v>Apr 2024</v>
      </c>
      <c r="U6671">
        <f>IF(Pipeline_tbl[[#This Row],[Closed_Date]]=0,"",Pipeline_tbl[[#This Row],[Closed_Date]]-Pipeline_tbl[[#This Row],[Created_Date]])</f>
        <v>17</v>
      </c>
    </row>
    <row r="6672" spans="1:21" ht="15" customHeight="1" x14ac:dyDescent="0.2">
      <c r="A6672" t="s">
        <v>6978</v>
      </c>
      <c r="B6672" t="s">
        <v>231</v>
      </c>
      <c r="C6672" t="s">
        <v>55</v>
      </c>
      <c r="D6672" s="49">
        <v>45390</v>
      </c>
      <c r="E6672" s="49">
        <v>45391</v>
      </c>
      <c r="I6672" s="49">
        <v>45400</v>
      </c>
      <c r="J6672" t="s">
        <v>49</v>
      </c>
      <c r="K6672" s="33">
        <v>3700</v>
      </c>
      <c r="L6672" t="s">
        <v>61</v>
      </c>
      <c r="M6672" t="str">
        <f>_xlfn.XLOOKUP(Pipeline_tbl[[#This Row],[Rep_ID]],Dim_Reps!A:A,Dim_Reps!K:K)</f>
        <v>MXN</v>
      </c>
      <c r="N6672" s="33">
        <f>(_xlfn.XLOOKUP(Pipeline_tbl[[#This Row],[Rate_Code_Generalized]],Lookups!A:A,Lookups!B:B))*Pipeline_tbl[[#This Row],[Pipeline_Amount_USD]]</f>
        <v>73010.990000000005</v>
      </c>
      <c r="O6672" t="str">
        <f>_xlfn.XLOOKUP(Pipeline_tbl[[#This Row],[Rep_ID]],Dim_Reps!A:A,Dim_Reps!B:B)</f>
        <v>Ben Silva</v>
      </c>
      <c r="P6672" t="str">
        <f>_xlfn.XLOOKUP(Pipeline_tbl[[#This Row],[Rep_ID]],Dim_Reps!A:A,Dim_Reps!C:C)</f>
        <v>SDR / Inside Sales Rep</v>
      </c>
      <c r="Q6672" t="str">
        <f>_xlfn.XLOOKUP(Pipeline_tbl[[#This Row],[Rep_ID]],Dim_Reps!A:A,Dim_Reps!D:D)</f>
        <v>Inside Sales</v>
      </c>
      <c r="R6672" t="str">
        <f>_xlfn.XLOOKUP(Pipeline_tbl[[#This Row],[Rep_ID]],Dim_Reps!A:A,Dim_Reps!E:E)</f>
        <v>LATAM</v>
      </c>
      <c r="S6672" t="str">
        <f>_xlfn.XLOOKUP(Pipeline_tbl[[#This Row],[Created_Date]],Dim_Date!A:A,Dim_Date!H:H)</f>
        <v>Apr 2024</v>
      </c>
      <c r="T6672" t="str">
        <f>IF(Pipeline_tbl[[#This Row],[Closed_Date]]=0,"",(_xlfn.XLOOKUP(Pipeline_tbl[[#This Row],[Closed_Date]],Dim_Date!A:A,Dim_Date!H:H)))</f>
        <v>Apr 2024</v>
      </c>
      <c r="U6672">
        <f>IF(Pipeline_tbl[[#This Row],[Closed_Date]]=0,"",Pipeline_tbl[[#This Row],[Closed_Date]]-Pipeline_tbl[[#This Row],[Created_Date]])</f>
        <v>10</v>
      </c>
    </row>
    <row r="6673" spans="1:21" ht="15" customHeight="1" x14ac:dyDescent="0.2">
      <c r="A6673" t="s">
        <v>6979</v>
      </c>
      <c r="B6673" t="s">
        <v>231</v>
      </c>
      <c r="C6673" t="s">
        <v>55</v>
      </c>
      <c r="D6673" s="49">
        <v>45390</v>
      </c>
      <c r="E6673" s="49">
        <v>45392</v>
      </c>
      <c r="F6673" s="49">
        <v>45395</v>
      </c>
      <c r="G6673" s="49">
        <v>45400</v>
      </c>
      <c r="I6673" s="49">
        <v>45406</v>
      </c>
      <c r="J6673" t="s">
        <v>49</v>
      </c>
      <c r="K6673" s="33">
        <v>1400</v>
      </c>
      <c r="L6673" t="s">
        <v>62</v>
      </c>
      <c r="M6673" t="str">
        <f>_xlfn.XLOOKUP(Pipeline_tbl[[#This Row],[Rep_ID]],Dim_Reps!A:A,Dim_Reps!K:K)</f>
        <v>MXN</v>
      </c>
      <c r="N6673" s="33">
        <f>(_xlfn.XLOOKUP(Pipeline_tbl[[#This Row],[Rate_Code_Generalized]],Lookups!A:A,Lookups!B:B))*Pipeline_tbl[[#This Row],[Pipeline_Amount_USD]]</f>
        <v>27625.780000000002</v>
      </c>
      <c r="O6673" t="str">
        <f>_xlfn.XLOOKUP(Pipeline_tbl[[#This Row],[Rep_ID]],Dim_Reps!A:A,Dim_Reps!B:B)</f>
        <v>Ben Silva</v>
      </c>
      <c r="P6673" t="str">
        <f>_xlfn.XLOOKUP(Pipeline_tbl[[#This Row],[Rep_ID]],Dim_Reps!A:A,Dim_Reps!C:C)</f>
        <v>SDR / Inside Sales Rep</v>
      </c>
      <c r="Q6673" t="str">
        <f>_xlfn.XLOOKUP(Pipeline_tbl[[#This Row],[Rep_ID]],Dim_Reps!A:A,Dim_Reps!D:D)</f>
        <v>Inside Sales</v>
      </c>
      <c r="R6673" t="str">
        <f>_xlfn.XLOOKUP(Pipeline_tbl[[#This Row],[Rep_ID]],Dim_Reps!A:A,Dim_Reps!E:E)</f>
        <v>LATAM</v>
      </c>
      <c r="S6673" t="str">
        <f>_xlfn.XLOOKUP(Pipeline_tbl[[#This Row],[Created_Date]],Dim_Date!A:A,Dim_Date!H:H)</f>
        <v>Apr 2024</v>
      </c>
      <c r="T6673" t="str">
        <f>IF(Pipeline_tbl[[#This Row],[Closed_Date]]=0,"",(_xlfn.XLOOKUP(Pipeline_tbl[[#This Row],[Closed_Date]],Dim_Date!A:A,Dim_Date!H:H)))</f>
        <v>Apr 2024</v>
      </c>
      <c r="U6673">
        <f>IF(Pipeline_tbl[[#This Row],[Closed_Date]]=0,"",Pipeline_tbl[[#This Row],[Closed_Date]]-Pipeline_tbl[[#This Row],[Created_Date]])</f>
        <v>16</v>
      </c>
    </row>
    <row r="6674" spans="1:21" ht="15" customHeight="1" x14ac:dyDescent="0.2">
      <c r="A6674" t="s">
        <v>6980</v>
      </c>
      <c r="B6674" t="s">
        <v>231</v>
      </c>
      <c r="C6674" t="s">
        <v>55</v>
      </c>
      <c r="D6674" s="49">
        <v>45396</v>
      </c>
      <c r="E6674" s="49">
        <v>45397</v>
      </c>
      <c r="F6674" s="49">
        <v>45400</v>
      </c>
      <c r="G6674" s="49">
        <v>45403</v>
      </c>
      <c r="I6674" s="49">
        <v>45408</v>
      </c>
      <c r="J6674" t="s">
        <v>49</v>
      </c>
      <c r="K6674" s="33">
        <v>2700</v>
      </c>
      <c r="L6674" t="s">
        <v>60</v>
      </c>
      <c r="M6674" t="str">
        <f>_xlfn.XLOOKUP(Pipeline_tbl[[#This Row],[Rep_ID]],Dim_Reps!A:A,Dim_Reps!K:K)</f>
        <v>MXN</v>
      </c>
      <c r="N6674" s="33">
        <f>(_xlfn.XLOOKUP(Pipeline_tbl[[#This Row],[Rate_Code_Generalized]],Lookups!A:A,Lookups!B:B))*Pipeline_tbl[[#This Row],[Pipeline_Amount_USD]]</f>
        <v>53278.29</v>
      </c>
      <c r="O6674" t="str">
        <f>_xlfn.XLOOKUP(Pipeline_tbl[[#This Row],[Rep_ID]],Dim_Reps!A:A,Dim_Reps!B:B)</f>
        <v>Ben Silva</v>
      </c>
      <c r="P6674" t="str">
        <f>_xlfn.XLOOKUP(Pipeline_tbl[[#This Row],[Rep_ID]],Dim_Reps!A:A,Dim_Reps!C:C)</f>
        <v>SDR / Inside Sales Rep</v>
      </c>
      <c r="Q6674" t="str">
        <f>_xlfn.XLOOKUP(Pipeline_tbl[[#This Row],[Rep_ID]],Dim_Reps!A:A,Dim_Reps!D:D)</f>
        <v>Inside Sales</v>
      </c>
      <c r="R6674" t="str">
        <f>_xlfn.XLOOKUP(Pipeline_tbl[[#This Row],[Rep_ID]],Dim_Reps!A:A,Dim_Reps!E:E)</f>
        <v>LATAM</v>
      </c>
      <c r="S6674" t="str">
        <f>_xlfn.XLOOKUP(Pipeline_tbl[[#This Row],[Created_Date]],Dim_Date!A:A,Dim_Date!H:H)</f>
        <v>Apr 2024</v>
      </c>
      <c r="T6674" t="str">
        <f>IF(Pipeline_tbl[[#This Row],[Closed_Date]]=0,"",(_xlfn.XLOOKUP(Pipeline_tbl[[#This Row],[Closed_Date]],Dim_Date!A:A,Dim_Date!H:H)))</f>
        <v>Apr 2024</v>
      </c>
      <c r="U6674">
        <f>IF(Pipeline_tbl[[#This Row],[Closed_Date]]=0,"",Pipeline_tbl[[#This Row],[Closed_Date]]-Pipeline_tbl[[#This Row],[Created_Date]])</f>
        <v>12</v>
      </c>
    </row>
    <row r="6675" spans="1:21" ht="15" customHeight="1" x14ac:dyDescent="0.2">
      <c r="A6675" t="s">
        <v>6981</v>
      </c>
      <c r="B6675" t="s">
        <v>263</v>
      </c>
      <c r="C6675" t="s">
        <v>54</v>
      </c>
      <c r="D6675" s="49">
        <v>45383</v>
      </c>
      <c r="E6675" s="49">
        <v>45386</v>
      </c>
      <c r="F6675" s="49">
        <v>45391</v>
      </c>
      <c r="G6675" s="49">
        <v>45399</v>
      </c>
      <c r="H6675" s="49">
        <v>45406</v>
      </c>
      <c r="I6675" s="49">
        <v>45410</v>
      </c>
      <c r="J6675" t="s">
        <v>47</v>
      </c>
      <c r="K6675" s="33">
        <v>10100</v>
      </c>
      <c r="M6675" t="str">
        <f>_xlfn.XLOOKUP(Pipeline_tbl[[#This Row],[Rep_ID]],Dim_Reps!A:A,Dim_Reps!K:K)</f>
        <v>USD</v>
      </c>
      <c r="N6675" s="33">
        <f>(_xlfn.XLOOKUP(Pipeline_tbl[[#This Row],[Rate_Code_Generalized]],Lookups!A:A,Lookups!B:B))*Pipeline_tbl[[#This Row],[Pipeline_Amount_USD]]</f>
        <v>11759.429999999998</v>
      </c>
      <c r="O6675" t="str">
        <f>_xlfn.XLOOKUP(Pipeline_tbl[[#This Row],[Rep_ID]],Dim_Reps!A:A,Dim_Reps!B:B)</f>
        <v>Morgan Weber</v>
      </c>
      <c r="P6675" t="str">
        <f>_xlfn.XLOOKUP(Pipeline_tbl[[#This Row],[Rep_ID]],Dim_Reps!A:A,Dim_Reps!C:C)</f>
        <v>Mid-Market AE</v>
      </c>
      <c r="Q6675" t="str">
        <f>_xlfn.XLOOKUP(Pipeline_tbl[[#This Row],[Rep_ID]],Dim_Reps!A:A,Dim_Reps!D:D)</f>
        <v>Mid-Market</v>
      </c>
      <c r="R6675" t="str">
        <f>_xlfn.XLOOKUP(Pipeline_tbl[[#This Row],[Rep_ID]],Dim_Reps!A:A,Dim_Reps!E:E)</f>
        <v>NAMER</v>
      </c>
      <c r="S6675" t="str">
        <f>_xlfn.XLOOKUP(Pipeline_tbl[[#This Row],[Created_Date]],Dim_Date!A:A,Dim_Date!H:H)</f>
        <v>Apr 2024</v>
      </c>
      <c r="T6675" t="str">
        <f>IF(Pipeline_tbl[[#This Row],[Closed_Date]]=0,"",(_xlfn.XLOOKUP(Pipeline_tbl[[#This Row],[Closed_Date]],Dim_Date!A:A,Dim_Date!H:H)))</f>
        <v>Apr 2024</v>
      </c>
      <c r="U6675">
        <f>IF(Pipeline_tbl[[#This Row],[Closed_Date]]=0,"",Pipeline_tbl[[#This Row],[Closed_Date]]-Pipeline_tbl[[#This Row],[Created_Date]])</f>
        <v>27</v>
      </c>
    </row>
    <row r="6676" spans="1:21" ht="15" customHeight="1" x14ac:dyDescent="0.2">
      <c r="A6676" t="s">
        <v>6982</v>
      </c>
      <c r="B6676" t="s">
        <v>233</v>
      </c>
      <c r="C6676" t="s">
        <v>53</v>
      </c>
      <c r="D6676" s="49">
        <v>45391</v>
      </c>
      <c r="E6676" s="49">
        <v>45393</v>
      </c>
      <c r="F6676" s="49">
        <v>45397</v>
      </c>
      <c r="G6676" s="49">
        <v>45402</v>
      </c>
      <c r="I6676" s="49">
        <v>45410</v>
      </c>
      <c r="J6676" t="s">
        <v>49</v>
      </c>
      <c r="K6676" s="33">
        <v>2700</v>
      </c>
      <c r="L6676" t="s">
        <v>61</v>
      </c>
      <c r="M6676" t="str">
        <f>_xlfn.XLOOKUP(Pipeline_tbl[[#This Row],[Rep_ID]],Dim_Reps!A:A,Dim_Reps!K:K)</f>
        <v>MXN</v>
      </c>
      <c r="N6676" s="33">
        <f>(_xlfn.XLOOKUP(Pipeline_tbl[[#This Row],[Rate_Code_Generalized]],Lookups!A:A,Lookups!B:B))*Pipeline_tbl[[#This Row],[Pipeline_Amount_USD]]</f>
        <v>53278.29</v>
      </c>
      <c r="O6676" t="str">
        <f>_xlfn.XLOOKUP(Pipeline_tbl[[#This Row],[Rep_ID]],Dim_Reps!A:A,Dim_Reps!B:B)</f>
        <v>Lucas Duarte</v>
      </c>
      <c r="P6676" t="str">
        <f>_xlfn.XLOOKUP(Pipeline_tbl[[#This Row],[Rep_ID]],Dim_Reps!A:A,Dim_Reps!C:C)</f>
        <v>SDR / Inside Sales Rep</v>
      </c>
      <c r="Q6676" t="str">
        <f>_xlfn.XLOOKUP(Pipeline_tbl[[#This Row],[Rep_ID]],Dim_Reps!A:A,Dim_Reps!D:D)</f>
        <v>Inside Sales</v>
      </c>
      <c r="R6676" t="str">
        <f>_xlfn.XLOOKUP(Pipeline_tbl[[#This Row],[Rep_ID]],Dim_Reps!A:A,Dim_Reps!E:E)</f>
        <v>LATAM</v>
      </c>
      <c r="S6676" t="str">
        <f>_xlfn.XLOOKUP(Pipeline_tbl[[#This Row],[Created_Date]],Dim_Date!A:A,Dim_Date!H:H)</f>
        <v>Apr 2024</v>
      </c>
      <c r="T6676" t="str">
        <f>IF(Pipeline_tbl[[#This Row],[Closed_Date]]=0,"",(_xlfn.XLOOKUP(Pipeline_tbl[[#This Row],[Closed_Date]],Dim_Date!A:A,Dim_Date!H:H)))</f>
        <v>Apr 2024</v>
      </c>
      <c r="U6676">
        <f>IF(Pipeline_tbl[[#This Row],[Closed_Date]]=0,"",Pipeline_tbl[[#This Row],[Closed_Date]]-Pipeline_tbl[[#This Row],[Created_Date]])</f>
        <v>19</v>
      </c>
    </row>
    <row r="6677" spans="1:21" ht="15" customHeight="1" x14ac:dyDescent="0.2">
      <c r="A6677" t="s">
        <v>6983</v>
      </c>
      <c r="B6677" t="s">
        <v>233</v>
      </c>
      <c r="C6677" t="s">
        <v>52</v>
      </c>
      <c r="D6677" s="49">
        <v>45386</v>
      </c>
      <c r="E6677" s="49">
        <v>45388</v>
      </c>
      <c r="F6677" s="49">
        <v>45393</v>
      </c>
      <c r="I6677" s="49">
        <v>45409</v>
      </c>
      <c r="J6677" t="s">
        <v>49</v>
      </c>
      <c r="K6677" s="33">
        <v>1800</v>
      </c>
      <c r="L6677" t="s">
        <v>60</v>
      </c>
      <c r="M6677" t="str">
        <f>_xlfn.XLOOKUP(Pipeline_tbl[[#This Row],[Rep_ID]],Dim_Reps!A:A,Dim_Reps!K:K)</f>
        <v>MXN</v>
      </c>
      <c r="N6677" s="33">
        <f>(_xlfn.XLOOKUP(Pipeline_tbl[[#This Row],[Rate_Code_Generalized]],Lookups!A:A,Lookups!B:B))*Pipeline_tbl[[#This Row],[Pipeline_Amount_USD]]</f>
        <v>35518.86</v>
      </c>
      <c r="O6677" t="str">
        <f>_xlfn.XLOOKUP(Pipeline_tbl[[#This Row],[Rep_ID]],Dim_Reps!A:A,Dim_Reps!B:B)</f>
        <v>Lucas Duarte</v>
      </c>
      <c r="P6677" t="str">
        <f>_xlfn.XLOOKUP(Pipeline_tbl[[#This Row],[Rep_ID]],Dim_Reps!A:A,Dim_Reps!C:C)</f>
        <v>SDR / Inside Sales Rep</v>
      </c>
      <c r="Q6677" t="str">
        <f>_xlfn.XLOOKUP(Pipeline_tbl[[#This Row],[Rep_ID]],Dim_Reps!A:A,Dim_Reps!D:D)</f>
        <v>Inside Sales</v>
      </c>
      <c r="R6677" t="str">
        <f>_xlfn.XLOOKUP(Pipeline_tbl[[#This Row],[Rep_ID]],Dim_Reps!A:A,Dim_Reps!E:E)</f>
        <v>LATAM</v>
      </c>
      <c r="S6677" t="str">
        <f>_xlfn.XLOOKUP(Pipeline_tbl[[#This Row],[Created_Date]],Dim_Date!A:A,Dim_Date!H:H)</f>
        <v>Apr 2024</v>
      </c>
      <c r="T6677" t="str">
        <f>IF(Pipeline_tbl[[#This Row],[Closed_Date]]=0,"",(_xlfn.XLOOKUP(Pipeline_tbl[[#This Row],[Closed_Date]],Dim_Date!A:A,Dim_Date!H:H)))</f>
        <v>Apr 2024</v>
      </c>
      <c r="U6677">
        <f>IF(Pipeline_tbl[[#This Row],[Closed_Date]]=0,"",Pipeline_tbl[[#This Row],[Closed_Date]]-Pipeline_tbl[[#This Row],[Created_Date]])</f>
        <v>23</v>
      </c>
    </row>
    <row r="6678" spans="1:21" ht="15" customHeight="1" x14ac:dyDescent="0.2">
      <c r="A6678" t="s">
        <v>6984</v>
      </c>
      <c r="B6678" t="s">
        <v>233</v>
      </c>
      <c r="C6678" t="s">
        <v>52</v>
      </c>
      <c r="D6678" s="49">
        <v>45383</v>
      </c>
      <c r="E6678" s="49">
        <v>45385</v>
      </c>
      <c r="I6678" s="49">
        <v>45406</v>
      </c>
      <c r="J6678" t="s">
        <v>49</v>
      </c>
      <c r="K6678" s="33">
        <v>3100</v>
      </c>
      <c r="L6678" t="s">
        <v>61</v>
      </c>
      <c r="M6678" t="str">
        <f>_xlfn.XLOOKUP(Pipeline_tbl[[#This Row],[Rep_ID]],Dim_Reps!A:A,Dim_Reps!K:K)</f>
        <v>MXN</v>
      </c>
      <c r="N6678" s="33">
        <f>(_xlfn.XLOOKUP(Pipeline_tbl[[#This Row],[Rate_Code_Generalized]],Lookups!A:A,Lookups!B:B))*Pipeline_tbl[[#This Row],[Pipeline_Amount_USD]]</f>
        <v>61171.37</v>
      </c>
      <c r="O6678" t="str">
        <f>_xlfn.XLOOKUP(Pipeline_tbl[[#This Row],[Rep_ID]],Dim_Reps!A:A,Dim_Reps!B:B)</f>
        <v>Lucas Duarte</v>
      </c>
      <c r="P6678" t="str">
        <f>_xlfn.XLOOKUP(Pipeline_tbl[[#This Row],[Rep_ID]],Dim_Reps!A:A,Dim_Reps!C:C)</f>
        <v>SDR / Inside Sales Rep</v>
      </c>
      <c r="Q6678" t="str">
        <f>_xlfn.XLOOKUP(Pipeline_tbl[[#This Row],[Rep_ID]],Dim_Reps!A:A,Dim_Reps!D:D)</f>
        <v>Inside Sales</v>
      </c>
      <c r="R6678" t="str">
        <f>_xlfn.XLOOKUP(Pipeline_tbl[[#This Row],[Rep_ID]],Dim_Reps!A:A,Dim_Reps!E:E)</f>
        <v>LATAM</v>
      </c>
      <c r="S6678" t="str">
        <f>_xlfn.XLOOKUP(Pipeline_tbl[[#This Row],[Created_Date]],Dim_Date!A:A,Dim_Date!H:H)</f>
        <v>Apr 2024</v>
      </c>
      <c r="T6678" t="str">
        <f>IF(Pipeline_tbl[[#This Row],[Closed_Date]]=0,"",(_xlfn.XLOOKUP(Pipeline_tbl[[#This Row],[Closed_Date]],Dim_Date!A:A,Dim_Date!H:H)))</f>
        <v>Apr 2024</v>
      </c>
      <c r="U6678">
        <f>IF(Pipeline_tbl[[#This Row],[Closed_Date]]=0,"",Pipeline_tbl[[#This Row],[Closed_Date]]-Pipeline_tbl[[#This Row],[Created_Date]])</f>
        <v>23</v>
      </c>
    </row>
    <row r="6679" spans="1:21" ht="15" customHeight="1" x14ac:dyDescent="0.2">
      <c r="A6679" t="s">
        <v>6985</v>
      </c>
      <c r="B6679" t="s">
        <v>233</v>
      </c>
      <c r="C6679" t="s">
        <v>53</v>
      </c>
      <c r="D6679" s="49">
        <v>45384</v>
      </c>
      <c r="E6679" s="49">
        <v>45386</v>
      </c>
      <c r="F6679" s="49">
        <v>45389</v>
      </c>
      <c r="G6679" s="49">
        <v>45395</v>
      </c>
      <c r="H6679" s="49">
        <v>45399</v>
      </c>
      <c r="I6679" s="49">
        <v>45402</v>
      </c>
      <c r="J6679" t="s">
        <v>47</v>
      </c>
      <c r="K6679" s="33">
        <v>2200</v>
      </c>
      <c r="M6679" t="str">
        <f>_xlfn.XLOOKUP(Pipeline_tbl[[#This Row],[Rep_ID]],Dim_Reps!A:A,Dim_Reps!K:K)</f>
        <v>MXN</v>
      </c>
      <c r="N6679" s="33">
        <f>(_xlfn.XLOOKUP(Pipeline_tbl[[#This Row],[Rate_Code_Generalized]],Lookups!A:A,Lookups!B:B))*Pipeline_tbl[[#This Row],[Pipeline_Amount_USD]]</f>
        <v>43411.94</v>
      </c>
      <c r="O6679" t="str">
        <f>_xlfn.XLOOKUP(Pipeline_tbl[[#This Row],[Rep_ID]],Dim_Reps!A:A,Dim_Reps!B:B)</f>
        <v>Lucas Duarte</v>
      </c>
      <c r="P6679" t="str">
        <f>_xlfn.XLOOKUP(Pipeline_tbl[[#This Row],[Rep_ID]],Dim_Reps!A:A,Dim_Reps!C:C)</f>
        <v>SDR / Inside Sales Rep</v>
      </c>
      <c r="Q6679" t="str">
        <f>_xlfn.XLOOKUP(Pipeline_tbl[[#This Row],[Rep_ID]],Dim_Reps!A:A,Dim_Reps!D:D)</f>
        <v>Inside Sales</v>
      </c>
      <c r="R6679" t="str">
        <f>_xlfn.XLOOKUP(Pipeline_tbl[[#This Row],[Rep_ID]],Dim_Reps!A:A,Dim_Reps!E:E)</f>
        <v>LATAM</v>
      </c>
      <c r="S6679" t="str">
        <f>_xlfn.XLOOKUP(Pipeline_tbl[[#This Row],[Created_Date]],Dim_Date!A:A,Dim_Date!H:H)</f>
        <v>Apr 2024</v>
      </c>
      <c r="T6679" t="str">
        <f>IF(Pipeline_tbl[[#This Row],[Closed_Date]]=0,"",(_xlfn.XLOOKUP(Pipeline_tbl[[#This Row],[Closed_Date]],Dim_Date!A:A,Dim_Date!H:H)))</f>
        <v>Apr 2024</v>
      </c>
      <c r="U6679">
        <f>IF(Pipeline_tbl[[#This Row],[Closed_Date]]=0,"",Pipeline_tbl[[#This Row],[Closed_Date]]-Pipeline_tbl[[#This Row],[Created_Date]])</f>
        <v>18</v>
      </c>
    </row>
    <row r="6680" spans="1:21" ht="15" customHeight="1" x14ac:dyDescent="0.2">
      <c r="A6680" t="s">
        <v>6986</v>
      </c>
      <c r="B6680" t="s">
        <v>233</v>
      </c>
      <c r="C6680" t="s">
        <v>54</v>
      </c>
      <c r="D6680" s="49">
        <v>45395</v>
      </c>
      <c r="E6680" s="49">
        <v>45397</v>
      </c>
      <c r="I6680" s="49">
        <v>45410</v>
      </c>
      <c r="J6680" t="s">
        <v>49</v>
      </c>
      <c r="K6680" s="33">
        <v>3500</v>
      </c>
      <c r="L6680" t="s">
        <v>62</v>
      </c>
      <c r="M6680" t="str">
        <f>_xlfn.XLOOKUP(Pipeline_tbl[[#This Row],[Rep_ID]],Dim_Reps!A:A,Dim_Reps!K:K)</f>
        <v>MXN</v>
      </c>
      <c r="N6680" s="33">
        <f>(_xlfn.XLOOKUP(Pipeline_tbl[[#This Row],[Rate_Code_Generalized]],Lookups!A:A,Lookups!B:B))*Pipeline_tbl[[#This Row],[Pipeline_Amount_USD]]</f>
        <v>69064.45</v>
      </c>
      <c r="O6680" t="str">
        <f>_xlfn.XLOOKUP(Pipeline_tbl[[#This Row],[Rep_ID]],Dim_Reps!A:A,Dim_Reps!B:B)</f>
        <v>Lucas Duarte</v>
      </c>
      <c r="P6680" t="str">
        <f>_xlfn.XLOOKUP(Pipeline_tbl[[#This Row],[Rep_ID]],Dim_Reps!A:A,Dim_Reps!C:C)</f>
        <v>SDR / Inside Sales Rep</v>
      </c>
      <c r="Q6680" t="str">
        <f>_xlfn.XLOOKUP(Pipeline_tbl[[#This Row],[Rep_ID]],Dim_Reps!A:A,Dim_Reps!D:D)</f>
        <v>Inside Sales</v>
      </c>
      <c r="R6680" t="str">
        <f>_xlfn.XLOOKUP(Pipeline_tbl[[#This Row],[Rep_ID]],Dim_Reps!A:A,Dim_Reps!E:E)</f>
        <v>LATAM</v>
      </c>
      <c r="S6680" t="str">
        <f>_xlfn.XLOOKUP(Pipeline_tbl[[#This Row],[Created_Date]],Dim_Date!A:A,Dim_Date!H:H)</f>
        <v>Apr 2024</v>
      </c>
      <c r="T6680" t="str">
        <f>IF(Pipeline_tbl[[#This Row],[Closed_Date]]=0,"",(_xlfn.XLOOKUP(Pipeline_tbl[[#This Row],[Closed_Date]],Dim_Date!A:A,Dim_Date!H:H)))</f>
        <v>Apr 2024</v>
      </c>
      <c r="U6680">
        <f>IF(Pipeline_tbl[[#This Row],[Closed_Date]]=0,"",Pipeline_tbl[[#This Row],[Closed_Date]]-Pipeline_tbl[[#This Row],[Created_Date]])</f>
        <v>15</v>
      </c>
    </row>
    <row r="6681" spans="1:21" ht="15" customHeight="1" x14ac:dyDescent="0.2">
      <c r="A6681" t="s">
        <v>6987</v>
      </c>
      <c r="B6681" t="s">
        <v>233</v>
      </c>
      <c r="C6681" t="s">
        <v>53</v>
      </c>
      <c r="D6681" s="49">
        <v>45388</v>
      </c>
      <c r="E6681" s="49">
        <v>45389</v>
      </c>
      <c r="F6681" s="49">
        <v>45392</v>
      </c>
      <c r="I6681" s="49">
        <v>45401</v>
      </c>
      <c r="J6681" t="s">
        <v>49</v>
      </c>
      <c r="K6681" s="33">
        <v>1800</v>
      </c>
      <c r="L6681" t="s">
        <v>62</v>
      </c>
      <c r="M6681" t="str">
        <f>_xlfn.XLOOKUP(Pipeline_tbl[[#This Row],[Rep_ID]],Dim_Reps!A:A,Dim_Reps!K:K)</f>
        <v>MXN</v>
      </c>
      <c r="N6681" s="33">
        <f>(_xlfn.XLOOKUP(Pipeline_tbl[[#This Row],[Rate_Code_Generalized]],Lookups!A:A,Lookups!B:B))*Pipeline_tbl[[#This Row],[Pipeline_Amount_USD]]</f>
        <v>35518.86</v>
      </c>
      <c r="O6681" t="str">
        <f>_xlfn.XLOOKUP(Pipeline_tbl[[#This Row],[Rep_ID]],Dim_Reps!A:A,Dim_Reps!B:B)</f>
        <v>Lucas Duarte</v>
      </c>
      <c r="P6681" t="str">
        <f>_xlfn.XLOOKUP(Pipeline_tbl[[#This Row],[Rep_ID]],Dim_Reps!A:A,Dim_Reps!C:C)</f>
        <v>SDR / Inside Sales Rep</v>
      </c>
      <c r="Q6681" t="str">
        <f>_xlfn.XLOOKUP(Pipeline_tbl[[#This Row],[Rep_ID]],Dim_Reps!A:A,Dim_Reps!D:D)</f>
        <v>Inside Sales</v>
      </c>
      <c r="R6681" t="str">
        <f>_xlfn.XLOOKUP(Pipeline_tbl[[#This Row],[Rep_ID]],Dim_Reps!A:A,Dim_Reps!E:E)</f>
        <v>LATAM</v>
      </c>
      <c r="S6681" t="str">
        <f>_xlfn.XLOOKUP(Pipeline_tbl[[#This Row],[Created_Date]],Dim_Date!A:A,Dim_Date!H:H)</f>
        <v>Apr 2024</v>
      </c>
      <c r="T6681" t="str">
        <f>IF(Pipeline_tbl[[#This Row],[Closed_Date]]=0,"",(_xlfn.XLOOKUP(Pipeline_tbl[[#This Row],[Closed_Date]],Dim_Date!A:A,Dim_Date!H:H)))</f>
        <v>Apr 2024</v>
      </c>
      <c r="U6681">
        <f>IF(Pipeline_tbl[[#This Row],[Closed_Date]]=0,"",Pipeline_tbl[[#This Row],[Closed_Date]]-Pipeline_tbl[[#This Row],[Created_Date]])</f>
        <v>13</v>
      </c>
    </row>
    <row r="6682" spans="1:21" ht="15" customHeight="1" x14ac:dyDescent="0.2">
      <c r="A6682" t="s">
        <v>6988</v>
      </c>
      <c r="B6682" t="s">
        <v>233</v>
      </c>
      <c r="C6682" t="s">
        <v>52</v>
      </c>
      <c r="D6682" s="49">
        <v>45396</v>
      </c>
      <c r="E6682" s="49">
        <v>45397</v>
      </c>
      <c r="F6682" s="49">
        <v>45399</v>
      </c>
      <c r="G6682" s="49">
        <v>45401</v>
      </c>
      <c r="H6682" s="49">
        <v>45404</v>
      </c>
      <c r="I6682" s="49">
        <v>45405</v>
      </c>
      <c r="J6682" t="s">
        <v>47</v>
      </c>
      <c r="K6682" s="33">
        <v>3900</v>
      </c>
      <c r="M6682" t="str">
        <f>_xlfn.XLOOKUP(Pipeline_tbl[[#This Row],[Rep_ID]],Dim_Reps!A:A,Dim_Reps!K:K)</f>
        <v>MXN</v>
      </c>
      <c r="N6682" s="33">
        <f>(_xlfn.XLOOKUP(Pipeline_tbl[[#This Row],[Rate_Code_Generalized]],Lookups!A:A,Lookups!B:B))*Pipeline_tbl[[#This Row],[Pipeline_Amount_USD]]</f>
        <v>76957.53</v>
      </c>
      <c r="O6682" t="str">
        <f>_xlfn.XLOOKUP(Pipeline_tbl[[#This Row],[Rep_ID]],Dim_Reps!A:A,Dim_Reps!B:B)</f>
        <v>Lucas Duarte</v>
      </c>
      <c r="P6682" t="str">
        <f>_xlfn.XLOOKUP(Pipeline_tbl[[#This Row],[Rep_ID]],Dim_Reps!A:A,Dim_Reps!C:C)</f>
        <v>SDR / Inside Sales Rep</v>
      </c>
      <c r="Q6682" t="str">
        <f>_xlfn.XLOOKUP(Pipeline_tbl[[#This Row],[Rep_ID]],Dim_Reps!A:A,Dim_Reps!D:D)</f>
        <v>Inside Sales</v>
      </c>
      <c r="R6682" t="str">
        <f>_xlfn.XLOOKUP(Pipeline_tbl[[#This Row],[Rep_ID]],Dim_Reps!A:A,Dim_Reps!E:E)</f>
        <v>LATAM</v>
      </c>
      <c r="S6682" t="str">
        <f>_xlfn.XLOOKUP(Pipeline_tbl[[#This Row],[Created_Date]],Dim_Date!A:A,Dim_Date!H:H)</f>
        <v>Apr 2024</v>
      </c>
      <c r="T6682" t="str">
        <f>IF(Pipeline_tbl[[#This Row],[Closed_Date]]=0,"",(_xlfn.XLOOKUP(Pipeline_tbl[[#This Row],[Closed_Date]],Dim_Date!A:A,Dim_Date!H:H)))</f>
        <v>Apr 2024</v>
      </c>
      <c r="U6682">
        <f>IF(Pipeline_tbl[[#This Row],[Closed_Date]]=0,"",Pipeline_tbl[[#This Row],[Closed_Date]]-Pipeline_tbl[[#This Row],[Created_Date]])</f>
        <v>9</v>
      </c>
    </row>
    <row r="6683" spans="1:21" ht="15" customHeight="1" x14ac:dyDescent="0.2">
      <c r="A6683" t="s">
        <v>6989</v>
      </c>
      <c r="B6683" t="s">
        <v>267</v>
      </c>
      <c r="C6683" t="s">
        <v>53</v>
      </c>
      <c r="D6683" s="49">
        <v>45390</v>
      </c>
      <c r="E6683" s="49">
        <v>45392</v>
      </c>
      <c r="F6683" s="49">
        <v>45395</v>
      </c>
      <c r="G6683" s="49">
        <v>45400</v>
      </c>
      <c r="H6683" s="49">
        <v>45404</v>
      </c>
      <c r="I6683" s="49">
        <v>45407</v>
      </c>
      <c r="J6683" t="s">
        <v>47</v>
      </c>
      <c r="K6683" s="33">
        <v>3700</v>
      </c>
      <c r="M6683" t="str">
        <f>_xlfn.XLOOKUP(Pipeline_tbl[[#This Row],[Rep_ID]],Dim_Reps!A:A,Dim_Reps!K:K)</f>
        <v>MXN</v>
      </c>
      <c r="N6683" s="33">
        <f>(_xlfn.XLOOKUP(Pipeline_tbl[[#This Row],[Rate_Code_Generalized]],Lookups!A:A,Lookups!B:B))*Pipeline_tbl[[#This Row],[Pipeline_Amount_USD]]</f>
        <v>73010.990000000005</v>
      </c>
      <c r="O6683" t="str">
        <f>_xlfn.XLOOKUP(Pipeline_tbl[[#This Row],[Rep_ID]],Dim_Reps!A:A,Dim_Reps!B:B)</f>
        <v>Yuki Dubois</v>
      </c>
      <c r="P6683" t="str">
        <f>_xlfn.XLOOKUP(Pipeline_tbl[[#This Row],[Rep_ID]],Dim_Reps!A:A,Dim_Reps!C:C)</f>
        <v>Mid-Market AE</v>
      </c>
      <c r="Q6683" t="str">
        <f>_xlfn.XLOOKUP(Pipeline_tbl[[#This Row],[Rep_ID]],Dim_Reps!A:A,Dim_Reps!D:D)</f>
        <v>Mid-Market</v>
      </c>
      <c r="R6683" t="str">
        <f>_xlfn.XLOOKUP(Pipeline_tbl[[#This Row],[Rep_ID]],Dim_Reps!A:A,Dim_Reps!E:E)</f>
        <v>LATAM</v>
      </c>
      <c r="S6683" t="str">
        <f>_xlfn.XLOOKUP(Pipeline_tbl[[#This Row],[Created_Date]],Dim_Date!A:A,Dim_Date!H:H)</f>
        <v>Apr 2024</v>
      </c>
      <c r="T6683" t="str">
        <f>IF(Pipeline_tbl[[#This Row],[Closed_Date]]=0,"",(_xlfn.XLOOKUP(Pipeline_tbl[[#This Row],[Closed_Date]],Dim_Date!A:A,Dim_Date!H:H)))</f>
        <v>Apr 2024</v>
      </c>
      <c r="U6683">
        <f>IF(Pipeline_tbl[[#This Row],[Closed_Date]]=0,"",Pipeline_tbl[[#This Row],[Closed_Date]]-Pipeline_tbl[[#This Row],[Created_Date]])</f>
        <v>17</v>
      </c>
    </row>
    <row r="6684" spans="1:21" ht="15" customHeight="1" x14ac:dyDescent="0.2">
      <c r="A6684" t="s">
        <v>6990</v>
      </c>
      <c r="B6684" t="s">
        <v>235</v>
      </c>
      <c r="C6684" t="s">
        <v>53</v>
      </c>
      <c r="D6684" s="49">
        <v>45392</v>
      </c>
      <c r="E6684" s="49">
        <v>45394</v>
      </c>
      <c r="F6684" s="49">
        <v>45397</v>
      </c>
      <c r="G6684" s="49">
        <v>45401</v>
      </c>
      <c r="H6684" s="49">
        <v>45405</v>
      </c>
      <c r="I6684" s="49">
        <v>45407</v>
      </c>
      <c r="J6684" t="s">
        <v>49</v>
      </c>
      <c r="K6684" s="33">
        <v>3300</v>
      </c>
      <c r="L6684" t="s">
        <v>60</v>
      </c>
      <c r="M6684" t="str">
        <f>_xlfn.XLOOKUP(Pipeline_tbl[[#This Row],[Rep_ID]],Dim_Reps!A:A,Dim_Reps!K:K)</f>
        <v>MXN</v>
      </c>
      <c r="N6684" s="33">
        <f>(_xlfn.XLOOKUP(Pipeline_tbl[[#This Row],[Rate_Code_Generalized]],Lookups!A:A,Lookups!B:B))*Pipeline_tbl[[#This Row],[Pipeline_Amount_USD]]</f>
        <v>65117.91</v>
      </c>
      <c r="O6684" t="str">
        <f>_xlfn.XLOOKUP(Pipeline_tbl[[#This Row],[Rep_ID]],Dim_Reps!A:A,Dim_Reps!B:B)</f>
        <v>Milo Castro</v>
      </c>
      <c r="P6684" t="str">
        <f>_xlfn.XLOOKUP(Pipeline_tbl[[#This Row],[Rep_ID]],Dim_Reps!A:A,Dim_Reps!C:C)</f>
        <v>SDR / Inside Sales Rep</v>
      </c>
      <c r="Q6684" t="str">
        <f>_xlfn.XLOOKUP(Pipeline_tbl[[#This Row],[Rep_ID]],Dim_Reps!A:A,Dim_Reps!D:D)</f>
        <v>Inside Sales</v>
      </c>
      <c r="R6684" t="str">
        <f>_xlfn.XLOOKUP(Pipeline_tbl[[#This Row],[Rep_ID]],Dim_Reps!A:A,Dim_Reps!E:E)</f>
        <v>LATAM</v>
      </c>
      <c r="S6684" t="str">
        <f>_xlfn.XLOOKUP(Pipeline_tbl[[#This Row],[Created_Date]],Dim_Date!A:A,Dim_Date!H:H)</f>
        <v>Apr 2024</v>
      </c>
      <c r="T6684" t="str">
        <f>IF(Pipeline_tbl[[#This Row],[Closed_Date]]=0,"",(_xlfn.XLOOKUP(Pipeline_tbl[[#This Row],[Closed_Date]],Dim_Date!A:A,Dim_Date!H:H)))</f>
        <v>Apr 2024</v>
      </c>
      <c r="U6684">
        <f>IF(Pipeline_tbl[[#This Row],[Closed_Date]]=0,"",Pipeline_tbl[[#This Row],[Closed_Date]]-Pipeline_tbl[[#This Row],[Created_Date]])</f>
        <v>15</v>
      </c>
    </row>
    <row r="6685" spans="1:21" ht="15" customHeight="1" x14ac:dyDescent="0.2">
      <c r="A6685" t="s">
        <v>6991</v>
      </c>
      <c r="B6685" t="s">
        <v>235</v>
      </c>
      <c r="C6685" t="s">
        <v>53</v>
      </c>
      <c r="D6685" s="49">
        <v>45396</v>
      </c>
      <c r="E6685" s="49">
        <v>45397</v>
      </c>
      <c r="F6685" s="49">
        <v>45399</v>
      </c>
      <c r="G6685" s="49">
        <v>45402</v>
      </c>
      <c r="I6685" s="49">
        <v>45406</v>
      </c>
      <c r="J6685" t="s">
        <v>49</v>
      </c>
      <c r="K6685" s="33">
        <v>2400</v>
      </c>
      <c r="L6685" t="s">
        <v>62</v>
      </c>
      <c r="M6685" t="str">
        <f>_xlfn.XLOOKUP(Pipeline_tbl[[#This Row],[Rep_ID]],Dim_Reps!A:A,Dim_Reps!K:K)</f>
        <v>MXN</v>
      </c>
      <c r="N6685" s="33">
        <f>(_xlfn.XLOOKUP(Pipeline_tbl[[#This Row],[Rate_Code_Generalized]],Lookups!A:A,Lookups!B:B))*Pipeline_tbl[[#This Row],[Pipeline_Amount_USD]]</f>
        <v>47358.48</v>
      </c>
      <c r="O6685" t="str">
        <f>_xlfn.XLOOKUP(Pipeline_tbl[[#This Row],[Rep_ID]],Dim_Reps!A:A,Dim_Reps!B:B)</f>
        <v>Milo Castro</v>
      </c>
      <c r="P6685" t="str">
        <f>_xlfn.XLOOKUP(Pipeline_tbl[[#This Row],[Rep_ID]],Dim_Reps!A:A,Dim_Reps!C:C)</f>
        <v>SDR / Inside Sales Rep</v>
      </c>
      <c r="Q6685" t="str">
        <f>_xlfn.XLOOKUP(Pipeline_tbl[[#This Row],[Rep_ID]],Dim_Reps!A:A,Dim_Reps!D:D)</f>
        <v>Inside Sales</v>
      </c>
      <c r="R6685" t="str">
        <f>_xlfn.XLOOKUP(Pipeline_tbl[[#This Row],[Rep_ID]],Dim_Reps!A:A,Dim_Reps!E:E)</f>
        <v>LATAM</v>
      </c>
      <c r="S6685" t="str">
        <f>_xlfn.XLOOKUP(Pipeline_tbl[[#This Row],[Created_Date]],Dim_Date!A:A,Dim_Date!H:H)</f>
        <v>Apr 2024</v>
      </c>
      <c r="T6685" t="str">
        <f>IF(Pipeline_tbl[[#This Row],[Closed_Date]]=0,"",(_xlfn.XLOOKUP(Pipeline_tbl[[#This Row],[Closed_Date]],Dim_Date!A:A,Dim_Date!H:H)))</f>
        <v>Apr 2024</v>
      </c>
      <c r="U6685">
        <f>IF(Pipeline_tbl[[#This Row],[Closed_Date]]=0,"",Pipeline_tbl[[#This Row],[Closed_Date]]-Pipeline_tbl[[#This Row],[Created_Date]])</f>
        <v>10</v>
      </c>
    </row>
    <row r="6686" spans="1:21" ht="15" customHeight="1" x14ac:dyDescent="0.2">
      <c r="A6686" t="s">
        <v>6992</v>
      </c>
      <c r="B6686" t="s">
        <v>237</v>
      </c>
      <c r="C6686" t="s">
        <v>54</v>
      </c>
      <c r="D6686" s="49">
        <v>45386</v>
      </c>
      <c r="E6686" s="49">
        <v>45389</v>
      </c>
      <c r="F6686" s="49">
        <v>45394</v>
      </c>
      <c r="I6686" s="49">
        <v>45412</v>
      </c>
      <c r="J6686" t="s">
        <v>49</v>
      </c>
      <c r="K6686" s="33">
        <v>4900</v>
      </c>
      <c r="L6686" t="s">
        <v>62</v>
      </c>
      <c r="M6686" t="str">
        <f>_xlfn.XLOOKUP(Pipeline_tbl[[#This Row],[Rep_ID]],Dim_Reps!A:A,Dim_Reps!K:K)</f>
        <v>EUR</v>
      </c>
      <c r="N6686" s="33">
        <f>(_xlfn.XLOOKUP(Pipeline_tbl[[#This Row],[Rate_Code_Generalized]],Lookups!A:A,Lookups!B:B))*Pipeline_tbl[[#This Row],[Pipeline_Amount_USD]]</f>
        <v>4900</v>
      </c>
      <c r="O6686" t="str">
        <f>_xlfn.XLOOKUP(Pipeline_tbl[[#This Row],[Rep_ID]],Dim_Reps!A:A,Dim_Reps!B:B)</f>
        <v>Hugo Santos</v>
      </c>
      <c r="P6686" t="str">
        <f>_xlfn.XLOOKUP(Pipeline_tbl[[#This Row],[Rep_ID]],Dim_Reps!A:A,Dim_Reps!C:C)</f>
        <v>SDR / Inside Sales Rep</v>
      </c>
      <c r="Q6686" t="str">
        <f>_xlfn.XLOOKUP(Pipeline_tbl[[#This Row],[Rep_ID]],Dim_Reps!A:A,Dim_Reps!D:D)</f>
        <v>Inside Sales</v>
      </c>
      <c r="R6686" t="str">
        <f>_xlfn.XLOOKUP(Pipeline_tbl[[#This Row],[Rep_ID]],Dim_Reps!A:A,Dim_Reps!E:E)</f>
        <v>EMEA</v>
      </c>
      <c r="S6686" t="str">
        <f>_xlfn.XLOOKUP(Pipeline_tbl[[#This Row],[Created_Date]],Dim_Date!A:A,Dim_Date!H:H)</f>
        <v>Apr 2024</v>
      </c>
      <c r="T6686" t="str">
        <f>IF(Pipeline_tbl[[#This Row],[Closed_Date]]=0,"",(_xlfn.XLOOKUP(Pipeline_tbl[[#This Row],[Closed_Date]],Dim_Date!A:A,Dim_Date!H:H)))</f>
        <v>Apr 2024</v>
      </c>
      <c r="U6686">
        <f>IF(Pipeline_tbl[[#This Row],[Closed_Date]]=0,"",Pipeline_tbl[[#This Row],[Closed_Date]]-Pipeline_tbl[[#This Row],[Created_Date]])</f>
        <v>26</v>
      </c>
    </row>
    <row r="6687" spans="1:21" ht="15" customHeight="1" x14ac:dyDescent="0.2">
      <c r="A6687" t="s">
        <v>6993</v>
      </c>
      <c r="B6687" t="s">
        <v>237</v>
      </c>
      <c r="C6687" t="s">
        <v>52</v>
      </c>
      <c r="D6687" s="49">
        <v>45391</v>
      </c>
      <c r="E6687" s="49">
        <v>45392</v>
      </c>
      <c r="F6687" s="49">
        <v>45394</v>
      </c>
      <c r="G6687" s="49">
        <v>45396</v>
      </c>
      <c r="H6687" s="49">
        <v>45399</v>
      </c>
      <c r="I6687" s="49">
        <v>45400</v>
      </c>
      <c r="J6687" t="s">
        <v>47</v>
      </c>
      <c r="K6687" s="33">
        <v>6200</v>
      </c>
      <c r="M6687" t="str">
        <f>_xlfn.XLOOKUP(Pipeline_tbl[[#This Row],[Rep_ID]],Dim_Reps!A:A,Dim_Reps!K:K)</f>
        <v>EUR</v>
      </c>
      <c r="N6687" s="33">
        <f>(_xlfn.XLOOKUP(Pipeline_tbl[[#This Row],[Rate_Code_Generalized]],Lookups!A:A,Lookups!B:B))*Pipeline_tbl[[#This Row],[Pipeline_Amount_USD]]</f>
        <v>6200</v>
      </c>
      <c r="O6687" t="str">
        <f>_xlfn.XLOOKUP(Pipeline_tbl[[#This Row],[Rep_ID]],Dim_Reps!A:A,Dim_Reps!B:B)</f>
        <v>Hugo Santos</v>
      </c>
      <c r="P6687" t="str">
        <f>_xlfn.XLOOKUP(Pipeline_tbl[[#This Row],[Rep_ID]],Dim_Reps!A:A,Dim_Reps!C:C)</f>
        <v>SDR / Inside Sales Rep</v>
      </c>
      <c r="Q6687" t="str">
        <f>_xlfn.XLOOKUP(Pipeline_tbl[[#This Row],[Rep_ID]],Dim_Reps!A:A,Dim_Reps!D:D)</f>
        <v>Inside Sales</v>
      </c>
      <c r="R6687" t="str">
        <f>_xlfn.XLOOKUP(Pipeline_tbl[[#This Row],[Rep_ID]],Dim_Reps!A:A,Dim_Reps!E:E)</f>
        <v>EMEA</v>
      </c>
      <c r="S6687" t="str">
        <f>_xlfn.XLOOKUP(Pipeline_tbl[[#This Row],[Created_Date]],Dim_Date!A:A,Dim_Date!H:H)</f>
        <v>Apr 2024</v>
      </c>
      <c r="T6687" t="str">
        <f>IF(Pipeline_tbl[[#This Row],[Closed_Date]]=0,"",(_xlfn.XLOOKUP(Pipeline_tbl[[#This Row],[Closed_Date]],Dim_Date!A:A,Dim_Date!H:H)))</f>
        <v>Apr 2024</v>
      </c>
      <c r="U6687">
        <f>IF(Pipeline_tbl[[#This Row],[Closed_Date]]=0,"",Pipeline_tbl[[#This Row],[Closed_Date]]-Pipeline_tbl[[#This Row],[Created_Date]])</f>
        <v>9</v>
      </c>
    </row>
    <row r="6688" spans="1:21" ht="15" customHeight="1" x14ac:dyDescent="0.2">
      <c r="A6688" t="s">
        <v>6994</v>
      </c>
      <c r="B6688" t="s">
        <v>237</v>
      </c>
      <c r="C6688" t="s">
        <v>52</v>
      </c>
      <c r="D6688" s="49">
        <v>45387</v>
      </c>
      <c r="E6688" s="49">
        <v>45389</v>
      </c>
      <c r="I6688" s="49">
        <v>45408</v>
      </c>
      <c r="J6688" t="s">
        <v>49</v>
      </c>
      <c r="K6688" s="33">
        <v>2900</v>
      </c>
      <c r="L6688" t="s">
        <v>60</v>
      </c>
      <c r="M6688" t="str">
        <f>_xlfn.XLOOKUP(Pipeline_tbl[[#This Row],[Rep_ID]],Dim_Reps!A:A,Dim_Reps!K:K)</f>
        <v>EUR</v>
      </c>
      <c r="N6688" s="33">
        <f>(_xlfn.XLOOKUP(Pipeline_tbl[[#This Row],[Rate_Code_Generalized]],Lookups!A:A,Lookups!B:B))*Pipeline_tbl[[#This Row],[Pipeline_Amount_USD]]</f>
        <v>2900</v>
      </c>
      <c r="O6688" t="str">
        <f>_xlfn.XLOOKUP(Pipeline_tbl[[#This Row],[Rep_ID]],Dim_Reps!A:A,Dim_Reps!B:B)</f>
        <v>Hugo Santos</v>
      </c>
      <c r="P6688" t="str">
        <f>_xlfn.XLOOKUP(Pipeline_tbl[[#This Row],[Rep_ID]],Dim_Reps!A:A,Dim_Reps!C:C)</f>
        <v>SDR / Inside Sales Rep</v>
      </c>
      <c r="Q6688" t="str">
        <f>_xlfn.XLOOKUP(Pipeline_tbl[[#This Row],[Rep_ID]],Dim_Reps!A:A,Dim_Reps!D:D)</f>
        <v>Inside Sales</v>
      </c>
      <c r="R6688" t="str">
        <f>_xlfn.XLOOKUP(Pipeline_tbl[[#This Row],[Rep_ID]],Dim_Reps!A:A,Dim_Reps!E:E)</f>
        <v>EMEA</v>
      </c>
      <c r="S6688" t="str">
        <f>_xlfn.XLOOKUP(Pipeline_tbl[[#This Row],[Created_Date]],Dim_Date!A:A,Dim_Date!H:H)</f>
        <v>Apr 2024</v>
      </c>
      <c r="T6688" t="str">
        <f>IF(Pipeline_tbl[[#This Row],[Closed_Date]]=0,"",(_xlfn.XLOOKUP(Pipeline_tbl[[#This Row],[Closed_Date]],Dim_Date!A:A,Dim_Date!H:H)))</f>
        <v>Apr 2024</v>
      </c>
      <c r="U6688">
        <f>IF(Pipeline_tbl[[#This Row],[Closed_Date]]=0,"",Pipeline_tbl[[#This Row],[Closed_Date]]-Pipeline_tbl[[#This Row],[Created_Date]])</f>
        <v>21</v>
      </c>
    </row>
    <row r="6689" spans="1:21" ht="15" customHeight="1" x14ac:dyDescent="0.2">
      <c r="A6689" t="s">
        <v>6995</v>
      </c>
      <c r="B6689" t="s">
        <v>237</v>
      </c>
      <c r="C6689" t="s">
        <v>54</v>
      </c>
      <c r="D6689" s="49">
        <v>45389</v>
      </c>
      <c r="E6689" s="49">
        <v>45391</v>
      </c>
      <c r="F6689" s="49">
        <v>45394</v>
      </c>
      <c r="I6689" s="49">
        <v>45407</v>
      </c>
      <c r="J6689" t="s">
        <v>49</v>
      </c>
      <c r="K6689" s="33">
        <v>3200</v>
      </c>
      <c r="L6689" t="s">
        <v>60</v>
      </c>
      <c r="M6689" t="str">
        <f>_xlfn.XLOOKUP(Pipeline_tbl[[#This Row],[Rep_ID]],Dim_Reps!A:A,Dim_Reps!K:K)</f>
        <v>EUR</v>
      </c>
      <c r="N6689" s="33">
        <f>(_xlfn.XLOOKUP(Pipeline_tbl[[#This Row],[Rate_Code_Generalized]],Lookups!A:A,Lookups!B:B))*Pipeline_tbl[[#This Row],[Pipeline_Amount_USD]]</f>
        <v>3200</v>
      </c>
      <c r="O6689" t="str">
        <f>_xlfn.XLOOKUP(Pipeline_tbl[[#This Row],[Rep_ID]],Dim_Reps!A:A,Dim_Reps!B:B)</f>
        <v>Hugo Santos</v>
      </c>
      <c r="P6689" t="str">
        <f>_xlfn.XLOOKUP(Pipeline_tbl[[#This Row],[Rep_ID]],Dim_Reps!A:A,Dim_Reps!C:C)</f>
        <v>SDR / Inside Sales Rep</v>
      </c>
      <c r="Q6689" t="str">
        <f>_xlfn.XLOOKUP(Pipeline_tbl[[#This Row],[Rep_ID]],Dim_Reps!A:A,Dim_Reps!D:D)</f>
        <v>Inside Sales</v>
      </c>
      <c r="R6689" t="str">
        <f>_xlfn.XLOOKUP(Pipeline_tbl[[#This Row],[Rep_ID]],Dim_Reps!A:A,Dim_Reps!E:E)</f>
        <v>EMEA</v>
      </c>
      <c r="S6689" t="str">
        <f>_xlfn.XLOOKUP(Pipeline_tbl[[#This Row],[Created_Date]],Dim_Date!A:A,Dim_Date!H:H)</f>
        <v>Apr 2024</v>
      </c>
      <c r="T6689" t="str">
        <f>IF(Pipeline_tbl[[#This Row],[Closed_Date]]=0,"",(_xlfn.XLOOKUP(Pipeline_tbl[[#This Row],[Closed_Date]],Dim_Date!A:A,Dim_Date!H:H)))</f>
        <v>Apr 2024</v>
      </c>
      <c r="U6689">
        <f>IF(Pipeline_tbl[[#This Row],[Closed_Date]]=0,"",Pipeline_tbl[[#This Row],[Closed_Date]]-Pipeline_tbl[[#This Row],[Created_Date]])</f>
        <v>18</v>
      </c>
    </row>
    <row r="6690" spans="1:21" ht="15" customHeight="1" x14ac:dyDescent="0.2">
      <c r="A6690" t="s">
        <v>6996</v>
      </c>
      <c r="B6690" t="s">
        <v>241</v>
      </c>
      <c r="C6690" t="s">
        <v>52</v>
      </c>
      <c r="D6690" s="49">
        <v>45388</v>
      </c>
      <c r="E6690" s="49">
        <v>45390</v>
      </c>
      <c r="F6690" s="49">
        <v>45394</v>
      </c>
      <c r="G6690" s="49">
        <v>45401</v>
      </c>
      <c r="H6690" s="49">
        <v>45406</v>
      </c>
      <c r="I6690" s="49">
        <v>45409</v>
      </c>
      <c r="J6690" t="s">
        <v>47</v>
      </c>
      <c r="K6690" s="33">
        <v>4100</v>
      </c>
      <c r="M6690" t="str">
        <f>_xlfn.XLOOKUP(Pipeline_tbl[[#This Row],[Rep_ID]],Dim_Reps!A:A,Dim_Reps!K:K)</f>
        <v>EUR</v>
      </c>
      <c r="N6690" s="33">
        <f>(_xlfn.XLOOKUP(Pipeline_tbl[[#This Row],[Rate_Code_Generalized]],Lookups!A:A,Lookups!B:B))*Pipeline_tbl[[#This Row],[Pipeline_Amount_USD]]</f>
        <v>4100</v>
      </c>
      <c r="O6690" t="str">
        <f>_xlfn.XLOOKUP(Pipeline_tbl[[#This Row],[Rep_ID]],Dim_Reps!A:A,Dim_Reps!B:B)</f>
        <v>Kenji Weber</v>
      </c>
      <c r="P6690" t="str">
        <f>_xlfn.XLOOKUP(Pipeline_tbl[[#This Row],[Rep_ID]],Dim_Reps!A:A,Dim_Reps!C:C)</f>
        <v>SDR / Inside Sales Rep</v>
      </c>
      <c r="Q6690" t="str">
        <f>_xlfn.XLOOKUP(Pipeline_tbl[[#This Row],[Rep_ID]],Dim_Reps!A:A,Dim_Reps!D:D)</f>
        <v>Inside Sales</v>
      </c>
      <c r="R6690" t="str">
        <f>_xlfn.XLOOKUP(Pipeline_tbl[[#This Row],[Rep_ID]],Dim_Reps!A:A,Dim_Reps!E:E)</f>
        <v>APAC</v>
      </c>
      <c r="S6690" t="str">
        <f>_xlfn.XLOOKUP(Pipeline_tbl[[#This Row],[Created_Date]],Dim_Date!A:A,Dim_Date!H:H)</f>
        <v>Apr 2024</v>
      </c>
      <c r="T6690" t="str">
        <f>IF(Pipeline_tbl[[#This Row],[Closed_Date]]=0,"",(_xlfn.XLOOKUP(Pipeline_tbl[[#This Row],[Closed_Date]],Dim_Date!A:A,Dim_Date!H:H)))</f>
        <v>Apr 2024</v>
      </c>
      <c r="U6690">
        <f>IF(Pipeline_tbl[[#This Row],[Closed_Date]]=0,"",Pipeline_tbl[[#This Row],[Closed_Date]]-Pipeline_tbl[[#This Row],[Created_Date]])</f>
        <v>21</v>
      </c>
    </row>
    <row r="6691" spans="1:21" ht="15" customHeight="1" x14ac:dyDescent="0.2">
      <c r="A6691" t="s">
        <v>6997</v>
      </c>
      <c r="B6691" t="s">
        <v>241</v>
      </c>
      <c r="C6691" t="s">
        <v>52</v>
      </c>
      <c r="D6691" s="49">
        <v>45400</v>
      </c>
      <c r="E6691" s="49">
        <v>45401</v>
      </c>
      <c r="F6691" s="49">
        <v>45404</v>
      </c>
      <c r="G6691" s="49">
        <v>45407</v>
      </c>
      <c r="H6691" s="49">
        <v>45410</v>
      </c>
      <c r="I6691" s="49">
        <v>45412</v>
      </c>
      <c r="J6691" t="s">
        <v>47</v>
      </c>
      <c r="K6691" s="33">
        <v>5900</v>
      </c>
      <c r="M6691" t="str">
        <f>_xlfn.XLOOKUP(Pipeline_tbl[[#This Row],[Rep_ID]],Dim_Reps!A:A,Dim_Reps!K:K)</f>
        <v>EUR</v>
      </c>
      <c r="N6691" s="33">
        <f>(_xlfn.XLOOKUP(Pipeline_tbl[[#This Row],[Rate_Code_Generalized]],Lookups!A:A,Lookups!B:B))*Pipeline_tbl[[#This Row],[Pipeline_Amount_USD]]</f>
        <v>5900</v>
      </c>
      <c r="O6691" t="str">
        <f>_xlfn.XLOOKUP(Pipeline_tbl[[#This Row],[Rep_ID]],Dim_Reps!A:A,Dim_Reps!B:B)</f>
        <v>Kenji Weber</v>
      </c>
      <c r="P6691" t="str">
        <f>_xlfn.XLOOKUP(Pipeline_tbl[[#This Row],[Rep_ID]],Dim_Reps!A:A,Dim_Reps!C:C)</f>
        <v>SDR / Inside Sales Rep</v>
      </c>
      <c r="Q6691" t="str">
        <f>_xlfn.XLOOKUP(Pipeline_tbl[[#This Row],[Rep_ID]],Dim_Reps!A:A,Dim_Reps!D:D)</f>
        <v>Inside Sales</v>
      </c>
      <c r="R6691" t="str">
        <f>_xlfn.XLOOKUP(Pipeline_tbl[[#This Row],[Rep_ID]],Dim_Reps!A:A,Dim_Reps!E:E)</f>
        <v>APAC</v>
      </c>
      <c r="S6691" t="str">
        <f>_xlfn.XLOOKUP(Pipeline_tbl[[#This Row],[Created_Date]],Dim_Date!A:A,Dim_Date!H:H)</f>
        <v>Apr 2024</v>
      </c>
      <c r="T6691" t="str">
        <f>IF(Pipeline_tbl[[#This Row],[Closed_Date]]=0,"",(_xlfn.XLOOKUP(Pipeline_tbl[[#This Row],[Closed_Date]],Dim_Date!A:A,Dim_Date!H:H)))</f>
        <v>Apr 2024</v>
      </c>
      <c r="U6691">
        <f>IF(Pipeline_tbl[[#This Row],[Closed_Date]]=0,"",Pipeline_tbl[[#This Row],[Closed_Date]]-Pipeline_tbl[[#This Row],[Created_Date]])</f>
        <v>12</v>
      </c>
    </row>
    <row r="6692" spans="1:21" ht="15" customHeight="1" x14ac:dyDescent="0.2">
      <c r="A6692" t="s">
        <v>6998</v>
      </c>
      <c r="B6692" t="s">
        <v>241</v>
      </c>
      <c r="C6692" t="s">
        <v>52</v>
      </c>
      <c r="D6692" s="49">
        <v>45400</v>
      </c>
      <c r="E6692" s="49">
        <v>45401</v>
      </c>
      <c r="I6692" s="49">
        <v>45411</v>
      </c>
      <c r="J6692" t="s">
        <v>49</v>
      </c>
      <c r="K6692" s="33">
        <v>4200</v>
      </c>
      <c r="L6692" t="s">
        <v>61</v>
      </c>
      <c r="M6692" t="str">
        <f>_xlfn.XLOOKUP(Pipeline_tbl[[#This Row],[Rep_ID]],Dim_Reps!A:A,Dim_Reps!K:K)</f>
        <v>EUR</v>
      </c>
      <c r="N6692" s="33">
        <f>(_xlfn.XLOOKUP(Pipeline_tbl[[#This Row],[Rate_Code_Generalized]],Lookups!A:A,Lookups!B:B))*Pipeline_tbl[[#This Row],[Pipeline_Amount_USD]]</f>
        <v>4200</v>
      </c>
      <c r="O6692" t="str">
        <f>_xlfn.XLOOKUP(Pipeline_tbl[[#This Row],[Rep_ID]],Dim_Reps!A:A,Dim_Reps!B:B)</f>
        <v>Kenji Weber</v>
      </c>
      <c r="P6692" t="str">
        <f>_xlfn.XLOOKUP(Pipeline_tbl[[#This Row],[Rep_ID]],Dim_Reps!A:A,Dim_Reps!C:C)</f>
        <v>SDR / Inside Sales Rep</v>
      </c>
      <c r="Q6692" t="str">
        <f>_xlfn.XLOOKUP(Pipeline_tbl[[#This Row],[Rep_ID]],Dim_Reps!A:A,Dim_Reps!D:D)</f>
        <v>Inside Sales</v>
      </c>
      <c r="R6692" t="str">
        <f>_xlfn.XLOOKUP(Pipeline_tbl[[#This Row],[Rep_ID]],Dim_Reps!A:A,Dim_Reps!E:E)</f>
        <v>APAC</v>
      </c>
      <c r="S6692" t="str">
        <f>_xlfn.XLOOKUP(Pipeline_tbl[[#This Row],[Created_Date]],Dim_Date!A:A,Dim_Date!H:H)</f>
        <v>Apr 2024</v>
      </c>
      <c r="T6692" t="str">
        <f>IF(Pipeline_tbl[[#This Row],[Closed_Date]]=0,"",(_xlfn.XLOOKUP(Pipeline_tbl[[#This Row],[Closed_Date]],Dim_Date!A:A,Dim_Date!H:H)))</f>
        <v>Apr 2024</v>
      </c>
      <c r="U6692">
        <f>IF(Pipeline_tbl[[#This Row],[Closed_Date]]=0,"",Pipeline_tbl[[#This Row],[Closed_Date]]-Pipeline_tbl[[#This Row],[Created_Date]])</f>
        <v>11</v>
      </c>
    </row>
    <row r="6693" spans="1:21" ht="15" customHeight="1" x14ac:dyDescent="0.2">
      <c r="A6693" t="s">
        <v>6999</v>
      </c>
      <c r="B6693" t="s">
        <v>241</v>
      </c>
      <c r="C6693" t="s">
        <v>55</v>
      </c>
      <c r="D6693" s="49">
        <v>45383</v>
      </c>
      <c r="E6693" s="49">
        <v>45384</v>
      </c>
      <c r="F6693" s="49">
        <v>45387</v>
      </c>
      <c r="G6693" s="49">
        <v>45391</v>
      </c>
      <c r="H6693" s="49">
        <v>45394</v>
      </c>
      <c r="I6693" s="49">
        <v>45396</v>
      </c>
      <c r="J6693" t="s">
        <v>47</v>
      </c>
      <c r="K6693" s="33">
        <v>3400</v>
      </c>
      <c r="M6693" t="str">
        <f>_xlfn.XLOOKUP(Pipeline_tbl[[#This Row],[Rep_ID]],Dim_Reps!A:A,Dim_Reps!K:K)</f>
        <v>EUR</v>
      </c>
      <c r="N6693" s="33">
        <f>(_xlfn.XLOOKUP(Pipeline_tbl[[#This Row],[Rate_Code_Generalized]],Lookups!A:A,Lookups!B:B))*Pipeline_tbl[[#This Row],[Pipeline_Amount_USD]]</f>
        <v>3400</v>
      </c>
      <c r="O6693" t="str">
        <f>_xlfn.XLOOKUP(Pipeline_tbl[[#This Row],[Rep_ID]],Dim_Reps!A:A,Dim_Reps!B:B)</f>
        <v>Kenji Weber</v>
      </c>
      <c r="P6693" t="str">
        <f>_xlfn.XLOOKUP(Pipeline_tbl[[#This Row],[Rep_ID]],Dim_Reps!A:A,Dim_Reps!C:C)</f>
        <v>SDR / Inside Sales Rep</v>
      </c>
      <c r="Q6693" t="str">
        <f>_xlfn.XLOOKUP(Pipeline_tbl[[#This Row],[Rep_ID]],Dim_Reps!A:A,Dim_Reps!D:D)</f>
        <v>Inside Sales</v>
      </c>
      <c r="R6693" t="str">
        <f>_xlfn.XLOOKUP(Pipeline_tbl[[#This Row],[Rep_ID]],Dim_Reps!A:A,Dim_Reps!E:E)</f>
        <v>APAC</v>
      </c>
      <c r="S6693" t="str">
        <f>_xlfn.XLOOKUP(Pipeline_tbl[[#This Row],[Created_Date]],Dim_Date!A:A,Dim_Date!H:H)</f>
        <v>Apr 2024</v>
      </c>
      <c r="T6693" t="str">
        <f>IF(Pipeline_tbl[[#This Row],[Closed_Date]]=0,"",(_xlfn.XLOOKUP(Pipeline_tbl[[#This Row],[Closed_Date]],Dim_Date!A:A,Dim_Date!H:H)))</f>
        <v>Apr 2024</v>
      </c>
      <c r="U6693">
        <f>IF(Pipeline_tbl[[#This Row],[Closed_Date]]=0,"",Pipeline_tbl[[#This Row],[Closed_Date]]-Pipeline_tbl[[#This Row],[Created_Date]])</f>
        <v>13</v>
      </c>
    </row>
    <row r="6694" spans="1:21" ht="15" customHeight="1" x14ac:dyDescent="0.2">
      <c r="A6694" t="s">
        <v>7000</v>
      </c>
      <c r="B6694" t="s">
        <v>191</v>
      </c>
      <c r="C6694" t="s">
        <v>54</v>
      </c>
      <c r="D6694" s="49">
        <v>45401</v>
      </c>
      <c r="E6694" s="49">
        <v>45412</v>
      </c>
      <c r="F6694" s="49">
        <v>45435</v>
      </c>
      <c r="I6694" s="49">
        <v>45515</v>
      </c>
      <c r="J6694" t="s">
        <v>49</v>
      </c>
      <c r="K6694" s="33">
        <v>23000</v>
      </c>
      <c r="L6694" t="s">
        <v>61</v>
      </c>
      <c r="M6694" t="str">
        <f>_xlfn.XLOOKUP(Pipeline_tbl[[#This Row],[Rep_ID]],Dim_Reps!A:A,Dim_Reps!K:K)</f>
        <v>USD</v>
      </c>
      <c r="N6694" s="33">
        <f>(_xlfn.XLOOKUP(Pipeline_tbl[[#This Row],[Rate_Code_Generalized]],Lookups!A:A,Lookups!B:B))*Pipeline_tbl[[#This Row],[Pipeline_Amount_USD]]</f>
        <v>26778.899999999998</v>
      </c>
      <c r="O6694" t="str">
        <f>_xlfn.XLOOKUP(Pipeline_tbl[[#This Row],[Rep_ID]],Dim_Reps!A:A,Dim_Reps!B:B)</f>
        <v>Zara Duarte</v>
      </c>
      <c r="P6694" t="str">
        <f>_xlfn.XLOOKUP(Pipeline_tbl[[#This Row],[Rep_ID]],Dim_Reps!A:A,Dim_Reps!C:C)</f>
        <v>Enterprise AE</v>
      </c>
      <c r="Q6694" t="str">
        <f>_xlfn.XLOOKUP(Pipeline_tbl[[#This Row],[Rep_ID]],Dim_Reps!A:A,Dim_Reps!D:D)</f>
        <v>Enterprise</v>
      </c>
      <c r="R6694" t="str">
        <f>_xlfn.XLOOKUP(Pipeline_tbl[[#This Row],[Rep_ID]],Dim_Reps!A:A,Dim_Reps!E:E)</f>
        <v>NAMER</v>
      </c>
      <c r="S6694" t="str">
        <f>_xlfn.XLOOKUP(Pipeline_tbl[[#This Row],[Created_Date]],Dim_Date!A:A,Dim_Date!H:H)</f>
        <v>Apr 2024</v>
      </c>
      <c r="T6694" t="str">
        <f>IF(Pipeline_tbl[[#This Row],[Closed_Date]]=0,"",(_xlfn.XLOOKUP(Pipeline_tbl[[#This Row],[Closed_Date]],Dim_Date!A:A,Dim_Date!H:H)))</f>
        <v>Aug 2024</v>
      </c>
      <c r="U6694">
        <f>IF(Pipeline_tbl[[#This Row],[Closed_Date]]=0,"",Pipeline_tbl[[#This Row],[Closed_Date]]-Pipeline_tbl[[#This Row],[Created_Date]])</f>
        <v>114</v>
      </c>
    </row>
    <row r="6695" spans="1:21" ht="15" customHeight="1" x14ac:dyDescent="0.2">
      <c r="A6695" t="s">
        <v>7001</v>
      </c>
      <c r="B6695" t="s">
        <v>278</v>
      </c>
      <c r="C6695" t="s">
        <v>55</v>
      </c>
      <c r="D6695" s="49">
        <v>45398</v>
      </c>
      <c r="E6695" s="49">
        <v>45406</v>
      </c>
      <c r="F6695" s="49">
        <v>45422</v>
      </c>
      <c r="G6695" s="49">
        <v>45445</v>
      </c>
      <c r="H6695" s="49">
        <v>45465</v>
      </c>
      <c r="I6695" s="49">
        <v>45477</v>
      </c>
      <c r="J6695" t="s">
        <v>47</v>
      </c>
      <c r="K6695" s="33">
        <v>37200</v>
      </c>
      <c r="M6695" t="str">
        <f>_xlfn.XLOOKUP(Pipeline_tbl[[#This Row],[Rep_ID]],Dim_Reps!A:A,Dim_Reps!K:K)</f>
        <v>EUR</v>
      </c>
      <c r="N6695" s="33">
        <f>(_xlfn.XLOOKUP(Pipeline_tbl[[#This Row],[Rate_Code_Generalized]],Lookups!A:A,Lookups!B:B))*Pipeline_tbl[[#This Row],[Pipeline_Amount_USD]]</f>
        <v>37200</v>
      </c>
      <c r="O6695" t="str">
        <f>_xlfn.XLOOKUP(Pipeline_tbl[[#This Row],[Rep_ID]],Dim_Reps!A:A,Dim_Reps!B:B)</f>
        <v>Sara Andersson</v>
      </c>
      <c r="P6695" t="str">
        <f>_xlfn.XLOOKUP(Pipeline_tbl[[#This Row],[Rep_ID]],Dim_Reps!A:A,Dim_Reps!C:C)</f>
        <v>Senior Enterprise AE</v>
      </c>
      <c r="Q6695" t="str">
        <f>_xlfn.XLOOKUP(Pipeline_tbl[[#This Row],[Rep_ID]],Dim_Reps!A:A,Dim_Reps!D:D)</f>
        <v>Strategic</v>
      </c>
      <c r="R6695" t="str">
        <f>_xlfn.XLOOKUP(Pipeline_tbl[[#This Row],[Rep_ID]],Dim_Reps!A:A,Dim_Reps!E:E)</f>
        <v>APAC</v>
      </c>
      <c r="S6695" t="str">
        <f>_xlfn.XLOOKUP(Pipeline_tbl[[#This Row],[Created_Date]],Dim_Date!A:A,Dim_Date!H:H)</f>
        <v>Apr 2024</v>
      </c>
      <c r="T6695" t="str">
        <f>IF(Pipeline_tbl[[#This Row],[Closed_Date]]=0,"",(_xlfn.XLOOKUP(Pipeline_tbl[[#This Row],[Closed_Date]],Dim_Date!A:A,Dim_Date!H:H)))</f>
        <v>Jul 2024</v>
      </c>
      <c r="U6695">
        <f>IF(Pipeline_tbl[[#This Row],[Closed_Date]]=0,"",Pipeline_tbl[[#This Row],[Closed_Date]]-Pipeline_tbl[[#This Row],[Created_Date]])</f>
        <v>79</v>
      </c>
    </row>
    <row r="6696" spans="1:21" ht="15" customHeight="1" x14ac:dyDescent="0.2">
      <c r="A6696" t="s">
        <v>7002</v>
      </c>
      <c r="B6696" t="s">
        <v>188</v>
      </c>
      <c r="C6696" t="s">
        <v>55</v>
      </c>
      <c r="D6696" s="49">
        <v>45402</v>
      </c>
      <c r="E6696" s="49">
        <v>45410</v>
      </c>
      <c r="F6696" s="49">
        <v>45425</v>
      </c>
      <c r="G6696" s="49">
        <v>45448</v>
      </c>
      <c r="I6696" s="49">
        <v>45479</v>
      </c>
      <c r="J6696" t="s">
        <v>49</v>
      </c>
      <c r="K6696" s="33">
        <v>33800</v>
      </c>
      <c r="L6696" t="s">
        <v>60</v>
      </c>
      <c r="M6696" t="str">
        <f>_xlfn.XLOOKUP(Pipeline_tbl[[#This Row],[Rep_ID]],Dim_Reps!A:A,Dim_Reps!K:K)</f>
        <v>EUR</v>
      </c>
      <c r="N6696" s="33">
        <f>(_xlfn.XLOOKUP(Pipeline_tbl[[#This Row],[Rate_Code_Generalized]],Lookups!A:A,Lookups!B:B))*Pipeline_tbl[[#This Row],[Pipeline_Amount_USD]]</f>
        <v>33800</v>
      </c>
      <c r="O6696" t="str">
        <f>_xlfn.XLOOKUP(Pipeline_tbl[[#This Row],[Rep_ID]],Dim_Reps!A:A,Dim_Reps!B:B)</f>
        <v>Jamie Santos</v>
      </c>
      <c r="P6696" t="str">
        <f>_xlfn.XLOOKUP(Pipeline_tbl[[#This Row],[Rep_ID]],Dim_Reps!A:A,Dim_Reps!C:C)</f>
        <v>Enterprise AE</v>
      </c>
      <c r="Q6696" t="str">
        <f>_xlfn.XLOOKUP(Pipeline_tbl[[#This Row],[Rep_ID]],Dim_Reps!A:A,Dim_Reps!D:D)</f>
        <v>Enterprise</v>
      </c>
      <c r="R6696" t="str">
        <f>_xlfn.XLOOKUP(Pipeline_tbl[[#This Row],[Rep_ID]],Dim_Reps!A:A,Dim_Reps!E:E)</f>
        <v>APAC</v>
      </c>
      <c r="S6696" t="str">
        <f>_xlfn.XLOOKUP(Pipeline_tbl[[#This Row],[Created_Date]],Dim_Date!A:A,Dim_Date!H:H)</f>
        <v>Apr 2024</v>
      </c>
      <c r="T6696" t="str">
        <f>IF(Pipeline_tbl[[#This Row],[Closed_Date]]=0,"",(_xlfn.XLOOKUP(Pipeline_tbl[[#This Row],[Closed_Date]],Dim_Date!A:A,Dim_Date!H:H)))</f>
        <v>Jul 2024</v>
      </c>
      <c r="U6696">
        <f>IF(Pipeline_tbl[[#This Row],[Closed_Date]]=0,"",Pipeline_tbl[[#This Row],[Closed_Date]]-Pipeline_tbl[[#This Row],[Created_Date]])</f>
        <v>77</v>
      </c>
    </row>
    <row r="6697" spans="1:21" ht="15" customHeight="1" x14ac:dyDescent="0.2">
      <c r="A6697" t="s">
        <v>7003</v>
      </c>
      <c r="B6697" t="s">
        <v>280</v>
      </c>
      <c r="C6697" t="s">
        <v>53</v>
      </c>
      <c r="D6697" s="49">
        <v>45406</v>
      </c>
      <c r="E6697" s="49">
        <v>45413</v>
      </c>
      <c r="F6697" s="49">
        <v>45428</v>
      </c>
      <c r="G6697" s="49">
        <v>45450</v>
      </c>
      <c r="H6697" s="49">
        <v>45469</v>
      </c>
      <c r="I6697" s="49">
        <v>45480</v>
      </c>
      <c r="J6697" t="s">
        <v>47</v>
      </c>
      <c r="K6697" s="33">
        <v>50800</v>
      </c>
      <c r="M6697" t="str">
        <f>_xlfn.XLOOKUP(Pipeline_tbl[[#This Row],[Rep_ID]],Dim_Reps!A:A,Dim_Reps!K:K)</f>
        <v>MXN</v>
      </c>
      <c r="N6697" s="33">
        <f>(_xlfn.XLOOKUP(Pipeline_tbl[[#This Row],[Rate_Code_Generalized]],Lookups!A:A,Lookups!B:B))*Pipeline_tbl[[#This Row],[Pipeline_Amount_USD]]</f>
        <v>1002421.16</v>
      </c>
      <c r="O6697" t="str">
        <f>_xlfn.XLOOKUP(Pipeline_tbl[[#This Row],[Rep_ID]],Dim_Reps!A:A,Dim_Reps!B:B)</f>
        <v>Cameron Lund</v>
      </c>
      <c r="P6697" t="str">
        <f>_xlfn.XLOOKUP(Pipeline_tbl[[#This Row],[Rep_ID]],Dim_Reps!A:A,Dim_Reps!C:C)</f>
        <v>Senior Enterprise AE</v>
      </c>
      <c r="Q6697" t="str">
        <f>_xlfn.XLOOKUP(Pipeline_tbl[[#This Row],[Rep_ID]],Dim_Reps!A:A,Dim_Reps!D:D)</f>
        <v>Strategic</v>
      </c>
      <c r="R6697" t="str">
        <f>_xlfn.XLOOKUP(Pipeline_tbl[[#This Row],[Rep_ID]],Dim_Reps!A:A,Dim_Reps!E:E)</f>
        <v>LATAM</v>
      </c>
      <c r="S6697" t="str">
        <f>_xlfn.XLOOKUP(Pipeline_tbl[[#This Row],[Created_Date]],Dim_Date!A:A,Dim_Date!H:H)</f>
        <v>Apr 2024</v>
      </c>
      <c r="T6697" t="str">
        <f>IF(Pipeline_tbl[[#This Row],[Closed_Date]]=0,"",(_xlfn.XLOOKUP(Pipeline_tbl[[#This Row],[Closed_Date]],Dim_Date!A:A,Dim_Date!H:H)))</f>
        <v>Jul 2024</v>
      </c>
      <c r="U6697">
        <f>IF(Pipeline_tbl[[#This Row],[Closed_Date]]=0,"",Pipeline_tbl[[#This Row],[Closed_Date]]-Pipeline_tbl[[#This Row],[Created_Date]])</f>
        <v>74</v>
      </c>
    </row>
    <row r="6698" spans="1:21" ht="15" customHeight="1" x14ac:dyDescent="0.2">
      <c r="A6698" t="s">
        <v>7004</v>
      </c>
      <c r="B6698" t="s">
        <v>280</v>
      </c>
      <c r="C6698" t="s">
        <v>56</v>
      </c>
      <c r="D6698" s="49">
        <v>45397</v>
      </c>
      <c r="E6698" s="49">
        <v>45407</v>
      </c>
      <c r="F6698" s="49">
        <v>45426</v>
      </c>
      <c r="G6698" s="49">
        <v>45455</v>
      </c>
      <c r="H6698" s="49">
        <v>45479</v>
      </c>
      <c r="I6698" s="49">
        <v>45493</v>
      </c>
      <c r="J6698" t="s">
        <v>47</v>
      </c>
      <c r="K6698" s="33">
        <v>83600</v>
      </c>
      <c r="M6698" t="str">
        <f>_xlfn.XLOOKUP(Pipeline_tbl[[#This Row],[Rep_ID]],Dim_Reps!A:A,Dim_Reps!K:K)</f>
        <v>MXN</v>
      </c>
      <c r="N6698" s="33">
        <f>(_xlfn.XLOOKUP(Pipeline_tbl[[#This Row],[Rate_Code_Generalized]],Lookups!A:A,Lookups!B:B))*Pipeline_tbl[[#This Row],[Pipeline_Amount_USD]]</f>
        <v>1649653.7200000002</v>
      </c>
      <c r="O6698" t="str">
        <f>_xlfn.XLOOKUP(Pipeline_tbl[[#This Row],[Rep_ID]],Dim_Reps!A:A,Dim_Reps!B:B)</f>
        <v>Cameron Lund</v>
      </c>
      <c r="P6698" t="str">
        <f>_xlfn.XLOOKUP(Pipeline_tbl[[#This Row],[Rep_ID]],Dim_Reps!A:A,Dim_Reps!C:C)</f>
        <v>Senior Enterprise AE</v>
      </c>
      <c r="Q6698" t="str">
        <f>_xlfn.XLOOKUP(Pipeline_tbl[[#This Row],[Rep_ID]],Dim_Reps!A:A,Dim_Reps!D:D)</f>
        <v>Strategic</v>
      </c>
      <c r="R6698" t="str">
        <f>_xlfn.XLOOKUP(Pipeline_tbl[[#This Row],[Rep_ID]],Dim_Reps!A:A,Dim_Reps!E:E)</f>
        <v>LATAM</v>
      </c>
      <c r="S6698" t="str">
        <f>_xlfn.XLOOKUP(Pipeline_tbl[[#This Row],[Created_Date]],Dim_Date!A:A,Dim_Date!H:H)</f>
        <v>Apr 2024</v>
      </c>
      <c r="T6698" t="str">
        <f>IF(Pipeline_tbl[[#This Row],[Closed_Date]]=0,"",(_xlfn.XLOOKUP(Pipeline_tbl[[#This Row],[Closed_Date]],Dim_Date!A:A,Dim_Date!H:H)))</f>
        <v>Jul 2024</v>
      </c>
      <c r="U6698">
        <f>IF(Pipeline_tbl[[#This Row],[Closed_Date]]=0,"",Pipeline_tbl[[#This Row],[Closed_Date]]-Pipeline_tbl[[#This Row],[Created_Date]])</f>
        <v>96</v>
      </c>
    </row>
    <row r="6699" spans="1:21" ht="15" customHeight="1" x14ac:dyDescent="0.2">
      <c r="A6699" t="s">
        <v>7005</v>
      </c>
      <c r="B6699" t="s">
        <v>191</v>
      </c>
      <c r="C6699" t="s">
        <v>53</v>
      </c>
      <c r="D6699" s="49">
        <v>45398</v>
      </c>
      <c r="E6699" s="49">
        <v>45406</v>
      </c>
      <c r="F6699" s="49">
        <v>45421</v>
      </c>
      <c r="I6699" s="49">
        <v>45474</v>
      </c>
      <c r="J6699" t="s">
        <v>49</v>
      </c>
      <c r="K6699" s="33">
        <v>42700</v>
      </c>
      <c r="L6699" t="s">
        <v>61</v>
      </c>
      <c r="M6699" t="str">
        <f>_xlfn.XLOOKUP(Pipeline_tbl[[#This Row],[Rep_ID]],Dim_Reps!A:A,Dim_Reps!K:K)</f>
        <v>USD</v>
      </c>
      <c r="N6699" s="33">
        <f>(_xlfn.XLOOKUP(Pipeline_tbl[[#This Row],[Rate_Code_Generalized]],Lookups!A:A,Lookups!B:B))*Pipeline_tbl[[#This Row],[Pipeline_Amount_USD]]</f>
        <v>49715.609999999993</v>
      </c>
      <c r="O6699" t="str">
        <f>_xlfn.XLOOKUP(Pipeline_tbl[[#This Row],[Rep_ID]],Dim_Reps!A:A,Dim_Reps!B:B)</f>
        <v>Zara Duarte</v>
      </c>
      <c r="P6699" t="str">
        <f>_xlfn.XLOOKUP(Pipeline_tbl[[#This Row],[Rep_ID]],Dim_Reps!A:A,Dim_Reps!C:C)</f>
        <v>Enterprise AE</v>
      </c>
      <c r="Q6699" t="str">
        <f>_xlfn.XLOOKUP(Pipeline_tbl[[#This Row],[Rep_ID]],Dim_Reps!A:A,Dim_Reps!D:D)</f>
        <v>Enterprise</v>
      </c>
      <c r="R6699" t="str">
        <f>_xlfn.XLOOKUP(Pipeline_tbl[[#This Row],[Rep_ID]],Dim_Reps!A:A,Dim_Reps!E:E)</f>
        <v>NAMER</v>
      </c>
      <c r="S6699" t="str">
        <f>_xlfn.XLOOKUP(Pipeline_tbl[[#This Row],[Created_Date]],Dim_Date!A:A,Dim_Date!H:H)</f>
        <v>Apr 2024</v>
      </c>
      <c r="T6699" t="str">
        <f>IF(Pipeline_tbl[[#This Row],[Closed_Date]]=0,"",(_xlfn.XLOOKUP(Pipeline_tbl[[#This Row],[Closed_Date]],Dim_Date!A:A,Dim_Date!H:H)))</f>
        <v>Jul 2024</v>
      </c>
      <c r="U6699">
        <f>IF(Pipeline_tbl[[#This Row],[Closed_Date]]=0,"",Pipeline_tbl[[#This Row],[Closed_Date]]-Pipeline_tbl[[#This Row],[Created_Date]])</f>
        <v>76</v>
      </c>
    </row>
    <row r="6700" spans="1:21" ht="15" customHeight="1" x14ac:dyDescent="0.2">
      <c r="A6700" t="s">
        <v>7006</v>
      </c>
      <c r="B6700" t="s">
        <v>191</v>
      </c>
      <c r="C6700" t="s">
        <v>53</v>
      </c>
      <c r="D6700" s="49">
        <v>45407</v>
      </c>
      <c r="E6700" s="49">
        <v>45416</v>
      </c>
      <c r="F6700" s="49">
        <v>45434</v>
      </c>
      <c r="G6700" s="49">
        <v>45460</v>
      </c>
      <c r="H6700" s="49">
        <v>45483</v>
      </c>
      <c r="I6700" s="49">
        <v>45496</v>
      </c>
      <c r="J6700" t="s">
        <v>47</v>
      </c>
      <c r="K6700" s="33">
        <v>39900</v>
      </c>
      <c r="M6700" t="str">
        <f>_xlfn.XLOOKUP(Pipeline_tbl[[#This Row],[Rep_ID]],Dim_Reps!A:A,Dim_Reps!K:K)</f>
        <v>USD</v>
      </c>
      <c r="N6700" s="33">
        <f>(_xlfn.XLOOKUP(Pipeline_tbl[[#This Row],[Rate_Code_Generalized]],Lookups!A:A,Lookups!B:B))*Pipeline_tbl[[#This Row],[Pipeline_Amount_USD]]</f>
        <v>46455.569999999992</v>
      </c>
      <c r="O6700" t="str">
        <f>_xlfn.XLOOKUP(Pipeline_tbl[[#This Row],[Rep_ID]],Dim_Reps!A:A,Dim_Reps!B:B)</f>
        <v>Zara Duarte</v>
      </c>
      <c r="P6700" t="str">
        <f>_xlfn.XLOOKUP(Pipeline_tbl[[#This Row],[Rep_ID]],Dim_Reps!A:A,Dim_Reps!C:C)</f>
        <v>Enterprise AE</v>
      </c>
      <c r="Q6700" t="str">
        <f>_xlfn.XLOOKUP(Pipeline_tbl[[#This Row],[Rep_ID]],Dim_Reps!A:A,Dim_Reps!D:D)</f>
        <v>Enterprise</v>
      </c>
      <c r="R6700" t="str">
        <f>_xlfn.XLOOKUP(Pipeline_tbl[[#This Row],[Rep_ID]],Dim_Reps!A:A,Dim_Reps!E:E)</f>
        <v>NAMER</v>
      </c>
      <c r="S6700" t="str">
        <f>_xlfn.XLOOKUP(Pipeline_tbl[[#This Row],[Created_Date]],Dim_Date!A:A,Dim_Date!H:H)</f>
        <v>Apr 2024</v>
      </c>
      <c r="T6700" t="str">
        <f>IF(Pipeline_tbl[[#This Row],[Closed_Date]]=0,"",(_xlfn.XLOOKUP(Pipeline_tbl[[#This Row],[Closed_Date]],Dim_Date!A:A,Dim_Date!H:H)))</f>
        <v>Jul 2024</v>
      </c>
      <c r="U6700">
        <f>IF(Pipeline_tbl[[#This Row],[Closed_Date]]=0,"",Pipeline_tbl[[#This Row],[Closed_Date]]-Pipeline_tbl[[#This Row],[Created_Date]])</f>
        <v>89</v>
      </c>
    </row>
    <row r="6701" spans="1:21" ht="15" customHeight="1" x14ac:dyDescent="0.2">
      <c r="A6701" t="s">
        <v>7007</v>
      </c>
      <c r="B6701" t="s">
        <v>284</v>
      </c>
      <c r="C6701" t="s">
        <v>56</v>
      </c>
      <c r="D6701" s="49">
        <v>45390</v>
      </c>
      <c r="E6701" s="49">
        <v>45399</v>
      </c>
      <c r="F6701" s="49">
        <v>45416</v>
      </c>
      <c r="G6701" s="49">
        <v>45443</v>
      </c>
      <c r="H6701" s="49">
        <v>45465</v>
      </c>
      <c r="I6701" s="49">
        <v>45478</v>
      </c>
      <c r="J6701" t="s">
        <v>47</v>
      </c>
      <c r="K6701" s="33">
        <v>106700</v>
      </c>
      <c r="M6701" t="str">
        <f>_xlfn.XLOOKUP(Pipeline_tbl[[#This Row],[Rep_ID]],Dim_Reps!A:A,Dim_Reps!K:K)</f>
        <v>USD</v>
      </c>
      <c r="N6701" s="33">
        <f>(_xlfn.XLOOKUP(Pipeline_tbl[[#This Row],[Rate_Code_Generalized]],Lookups!A:A,Lookups!B:B))*Pipeline_tbl[[#This Row],[Pipeline_Amount_USD]]</f>
        <v>124230.80999999998</v>
      </c>
      <c r="O6701" t="str">
        <f>_xlfn.XLOOKUP(Pipeline_tbl[[#This Row],[Rep_ID]],Dim_Reps!A:A,Dim_Reps!B:B)</f>
        <v>Taylor Adler</v>
      </c>
      <c r="P6701" t="str">
        <f>_xlfn.XLOOKUP(Pipeline_tbl[[#This Row],[Rep_ID]],Dim_Reps!A:A,Dim_Reps!C:C)</f>
        <v>Senior Enterprise AE</v>
      </c>
      <c r="Q6701" t="str">
        <f>_xlfn.XLOOKUP(Pipeline_tbl[[#This Row],[Rep_ID]],Dim_Reps!A:A,Dim_Reps!D:D)</f>
        <v>Strategic</v>
      </c>
      <c r="R6701" t="str">
        <f>_xlfn.XLOOKUP(Pipeline_tbl[[#This Row],[Rep_ID]],Dim_Reps!A:A,Dim_Reps!E:E)</f>
        <v>NAMER</v>
      </c>
      <c r="S6701" t="str">
        <f>_xlfn.XLOOKUP(Pipeline_tbl[[#This Row],[Created_Date]],Dim_Date!A:A,Dim_Date!H:H)</f>
        <v>Apr 2024</v>
      </c>
      <c r="T6701" t="str">
        <f>IF(Pipeline_tbl[[#This Row],[Closed_Date]]=0,"",(_xlfn.XLOOKUP(Pipeline_tbl[[#This Row],[Closed_Date]],Dim_Date!A:A,Dim_Date!H:H)))</f>
        <v>Jul 2024</v>
      </c>
      <c r="U6701">
        <f>IF(Pipeline_tbl[[#This Row],[Closed_Date]]=0,"",Pipeline_tbl[[#This Row],[Closed_Date]]-Pipeline_tbl[[#This Row],[Created_Date]])</f>
        <v>88</v>
      </c>
    </row>
    <row r="6702" spans="1:21" ht="15" customHeight="1" x14ac:dyDescent="0.2">
      <c r="A6702" t="s">
        <v>7008</v>
      </c>
      <c r="B6702" t="s">
        <v>284</v>
      </c>
      <c r="C6702" t="s">
        <v>52</v>
      </c>
      <c r="D6702" s="49">
        <v>45390</v>
      </c>
      <c r="E6702" s="49">
        <v>45400</v>
      </c>
      <c r="F6702" s="49">
        <v>45419</v>
      </c>
      <c r="G6702" s="49">
        <v>45447</v>
      </c>
      <c r="H6702" s="49">
        <v>45471</v>
      </c>
      <c r="I6702" s="49">
        <v>45485</v>
      </c>
      <c r="J6702" t="s">
        <v>47</v>
      </c>
      <c r="K6702" s="33">
        <v>63200</v>
      </c>
      <c r="M6702" t="str">
        <f>_xlfn.XLOOKUP(Pipeline_tbl[[#This Row],[Rep_ID]],Dim_Reps!A:A,Dim_Reps!K:K)</f>
        <v>USD</v>
      </c>
      <c r="N6702" s="33">
        <f>(_xlfn.XLOOKUP(Pipeline_tbl[[#This Row],[Rate_Code_Generalized]],Lookups!A:A,Lookups!B:B))*Pipeline_tbl[[#This Row],[Pipeline_Amount_USD]]</f>
        <v>73583.759999999995</v>
      </c>
      <c r="O6702" t="str">
        <f>_xlfn.XLOOKUP(Pipeline_tbl[[#This Row],[Rep_ID]],Dim_Reps!A:A,Dim_Reps!B:B)</f>
        <v>Taylor Adler</v>
      </c>
      <c r="P6702" t="str">
        <f>_xlfn.XLOOKUP(Pipeline_tbl[[#This Row],[Rep_ID]],Dim_Reps!A:A,Dim_Reps!C:C)</f>
        <v>Senior Enterprise AE</v>
      </c>
      <c r="Q6702" t="str">
        <f>_xlfn.XLOOKUP(Pipeline_tbl[[#This Row],[Rep_ID]],Dim_Reps!A:A,Dim_Reps!D:D)</f>
        <v>Strategic</v>
      </c>
      <c r="R6702" t="str">
        <f>_xlfn.XLOOKUP(Pipeline_tbl[[#This Row],[Rep_ID]],Dim_Reps!A:A,Dim_Reps!E:E)</f>
        <v>NAMER</v>
      </c>
      <c r="S6702" t="str">
        <f>_xlfn.XLOOKUP(Pipeline_tbl[[#This Row],[Created_Date]],Dim_Date!A:A,Dim_Date!H:H)</f>
        <v>Apr 2024</v>
      </c>
      <c r="T6702" t="str">
        <f>IF(Pipeline_tbl[[#This Row],[Closed_Date]]=0,"",(_xlfn.XLOOKUP(Pipeline_tbl[[#This Row],[Closed_Date]],Dim_Date!A:A,Dim_Date!H:H)))</f>
        <v>Jul 2024</v>
      </c>
      <c r="U6702">
        <f>IF(Pipeline_tbl[[#This Row],[Closed_Date]]=0,"",Pipeline_tbl[[#This Row],[Closed_Date]]-Pipeline_tbl[[#This Row],[Created_Date]])</f>
        <v>95</v>
      </c>
    </row>
    <row r="6703" spans="1:21" ht="15" customHeight="1" x14ac:dyDescent="0.2">
      <c r="A6703" t="s">
        <v>7009</v>
      </c>
      <c r="B6703" t="s">
        <v>243</v>
      </c>
      <c r="C6703" t="s">
        <v>53</v>
      </c>
      <c r="D6703" s="49">
        <v>45404</v>
      </c>
      <c r="E6703" s="49">
        <v>45409</v>
      </c>
      <c r="F6703" s="49">
        <v>45418</v>
      </c>
      <c r="G6703" s="49">
        <v>45433</v>
      </c>
      <c r="H6703" s="49">
        <v>45445</v>
      </c>
      <c r="I6703" s="49">
        <v>45452</v>
      </c>
      <c r="J6703" t="s">
        <v>47</v>
      </c>
      <c r="K6703" s="33">
        <v>23600</v>
      </c>
      <c r="M6703" t="str">
        <f>_xlfn.XLOOKUP(Pipeline_tbl[[#This Row],[Rep_ID]],Dim_Reps!A:A,Dim_Reps!K:K)</f>
        <v>MXN</v>
      </c>
      <c r="N6703" s="33">
        <f>(_xlfn.XLOOKUP(Pipeline_tbl[[#This Row],[Rate_Code_Generalized]],Lookups!A:A,Lookups!B:B))*Pipeline_tbl[[#This Row],[Pipeline_Amount_USD]]</f>
        <v>465691.72000000003</v>
      </c>
      <c r="O6703" t="str">
        <f>_xlfn.XLOOKUP(Pipeline_tbl[[#This Row],[Rep_ID]],Dim_Reps!A:A,Dim_Reps!B:B)</f>
        <v>Jonas Sato</v>
      </c>
      <c r="P6703" t="str">
        <f>_xlfn.XLOOKUP(Pipeline_tbl[[#This Row],[Rep_ID]],Dim_Reps!A:A,Dim_Reps!C:C)</f>
        <v>Mid-Market AE</v>
      </c>
      <c r="Q6703" t="str">
        <f>_xlfn.XLOOKUP(Pipeline_tbl[[#This Row],[Rep_ID]],Dim_Reps!A:A,Dim_Reps!D:D)</f>
        <v>Mid-Market</v>
      </c>
      <c r="R6703" t="str">
        <f>_xlfn.XLOOKUP(Pipeline_tbl[[#This Row],[Rep_ID]],Dim_Reps!A:A,Dim_Reps!E:E)</f>
        <v>LATAM</v>
      </c>
      <c r="S6703" t="str">
        <f>_xlfn.XLOOKUP(Pipeline_tbl[[#This Row],[Created_Date]],Dim_Date!A:A,Dim_Date!H:H)</f>
        <v>Apr 2024</v>
      </c>
      <c r="T6703" t="str">
        <f>IF(Pipeline_tbl[[#This Row],[Closed_Date]]=0,"",(_xlfn.XLOOKUP(Pipeline_tbl[[#This Row],[Closed_Date]],Dim_Date!A:A,Dim_Date!H:H)))</f>
        <v>Jun 2024</v>
      </c>
      <c r="U6703">
        <f>IF(Pipeline_tbl[[#This Row],[Closed_Date]]=0,"",Pipeline_tbl[[#This Row],[Closed_Date]]-Pipeline_tbl[[#This Row],[Created_Date]])</f>
        <v>48</v>
      </c>
    </row>
    <row r="6704" spans="1:21" ht="15" customHeight="1" x14ac:dyDescent="0.2">
      <c r="A6704" t="s">
        <v>7010</v>
      </c>
      <c r="B6704" t="s">
        <v>183</v>
      </c>
      <c r="C6704" t="s">
        <v>52</v>
      </c>
      <c r="D6704" s="49">
        <v>45393</v>
      </c>
      <c r="E6704" s="49">
        <v>45399</v>
      </c>
      <c r="F6704" s="49">
        <v>45410</v>
      </c>
      <c r="G6704" s="49">
        <v>45427</v>
      </c>
      <c r="H6704" s="49">
        <v>45441</v>
      </c>
      <c r="I6704" s="49">
        <v>45450</v>
      </c>
      <c r="J6704" t="s">
        <v>49</v>
      </c>
      <c r="K6704" s="33">
        <v>22100</v>
      </c>
      <c r="L6704" t="s">
        <v>61</v>
      </c>
      <c r="M6704" t="str">
        <f>_xlfn.XLOOKUP(Pipeline_tbl[[#This Row],[Rep_ID]],Dim_Reps!A:A,Dim_Reps!K:K)</f>
        <v>EUR</v>
      </c>
      <c r="N6704" s="33">
        <f>(_xlfn.XLOOKUP(Pipeline_tbl[[#This Row],[Rate_Code_Generalized]],Lookups!A:A,Lookups!B:B))*Pipeline_tbl[[#This Row],[Pipeline_Amount_USD]]</f>
        <v>22100</v>
      </c>
      <c r="O6704" t="str">
        <f>_xlfn.XLOOKUP(Pipeline_tbl[[#This Row],[Rep_ID]],Dim_Reps!A:A,Dim_Reps!B:B)</f>
        <v>Sam Schmidt</v>
      </c>
      <c r="P6704" t="str">
        <f>_xlfn.XLOOKUP(Pipeline_tbl[[#This Row],[Rep_ID]],Dim_Reps!A:A,Dim_Reps!C:C)</f>
        <v>Enterprise AE</v>
      </c>
      <c r="Q6704" t="str">
        <f>_xlfn.XLOOKUP(Pipeline_tbl[[#This Row],[Rep_ID]],Dim_Reps!A:A,Dim_Reps!D:D)</f>
        <v>Enterprise</v>
      </c>
      <c r="R6704" t="str">
        <f>_xlfn.XLOOKUP(Pipeline_tbl[[#This Row],[Rep_ID]],Dim_Reps!A:A,Dim_Reps!E:E)</f>
        <v>EMEA</v>
      </c>
      <c r="S6704" t="str">
        <f>_xlfn.XLOOKUP(Pipeline_tbl[[#This Row],[Created_Date]],Dim_Date!A:A,Dim_Date!H:H)</f>
        <v>Apr 2024</v>
      </c>
      <c r="T6704" t="str">
        <f>IF(Pipeline_tbl[[#This Row],[Closed_Date]]=0,"",(_xlfn.XLOOKUP(Pipeline_tbl[[#This Row],[Closed_Date]],Dim_Date!A:A,Dim_Date!H:H)))</f>
        <v>Jun 2024</v>
      </c>
      <c r="U6704">
        <f>IF(Pipeline_tbl[[#This Row],[Closed_Date]]=0,"",Pipeline_tbl[[#This Row],[Closed_Date]]-Pipeline_tbl[[#This Row],[Created_Date]])</f>
        <v>57</v>
      </c>
    </row>
    <row r="6705" spans="1:21" ht="15" customHeight="1" x14ac:dyDescent="0.2">
      <c r="A6705" t="s">
        <v>7011</v>
      </c>
      <c r="B6705" t="s">
        <v>183</v>
      </c>
      <c r="C6705" t="s">
        <v>52</v>
      </c>
      <c r="D6705" s="49">
        <v>45412</v>
      </c>
      <c r="E6705" s="49">
        <v>45416</v>
      </c>
      <c r="F6705" s="49">
        <v>45423</v>
      </c>
      <c r="G6705" s="49">
        <v>45435</v>
      </c>
      <c r="H6705" s="49">
        <v>45444</v>
      </c>
      <c r="I6705" s="49">
        <v>45450</v>
      </c>
      <c r="J6705" t="s">
        <v>47</v>
      </c>
      <c r="K6705" s="33">
        <v>18900</v>
      </c>
      <c r="M6705" t="str">
        <f>_xlfn.XLOOKUP(Pipeline_tbl[[#This Row],[Rep_ID]],Dim_Reps!A:A,Dim_Reps!K:K)</f>
        <v>EUR</v>
      </c>
      <c r="N6705" s="33">
        <f>(_xlfn.XLOOKUP(Pipeline_tbl[[#This Row],[Rate_Code_Generalized]],Lookups!A:A,Lookups!B:B))*Pipeline_tbl[[#This Row],[Pipeline_Amount_USD]]</f>
        <v>18900</v>
      </c>
      <c r="O6705" t="str">
        <f>_xlfn.XLOOKUP(Pipeline_tbl[[#This Row],[Rep_ID]],Dim_Reps!A:A,Dim_Reps!B:B)</f>
        <v>Sam Schmidt</v>
      </c>
      <c r="P6705" t="str">
        <f>_xlfn.XLOOKUP(Pipeline_tbl[[#This Row],[Rep_ID]],Dim_Reps!A:A,Dim_Reps!C:C)</f>
        <v>Enterprise AE</v>
      </c>
      <c r="Q6705" t="str">
        <f>_xlfn.XLOOKUP(Pipeline_tbl[[#This Row],[Rep_ID]],Dim_Reps!A:A,Dim_Reps!D:D)</f>
        <v>Enterprise</v>
      </c>
      <c r="R6705" t="str">
        <f>_xlfn.XLOOKUP(Pipeline_tbl[[#This Row],[Rep_ID]],Dim_Reps!A:A,Dim_Reps!E:E)</f>
        <v>EMEA</v>
      </c>
      <c r="S6705" t="str">
        <f>_xlfn.XLOOKUP(Pipeline_tbl[[#This Row],[Created_Date]],Dim_Date!A:A,Dim_Date!H:H)</f>
        <v>Apr 2024</v>
      </c>
      <c r="T6705" t="str">
        <f>IF(Pipeline_tbl[[#This Row],[Closed_Date]]=0,"",(_xlfn.XLOOKUP(Pipeline_tbl[[#This Row],[Closed_Date]],Dim_Date!A:A,Dim_Date!H:H)))</f>
        <v>Jun 2024</v>
      </c>
      <c r="U6705">
        <f>IF(Pipeline_tbl[[#This Row],[Closed_Date]]=0,"",Pipeline_tbl[[#This Row],[Closed_Date]]-Pipeline_tbl[[#This Row],[Created_Date]])</f>
        <v>38</v>
      </c>
    </row>
    <row r="6706" spans="1:21" ht="15" customHeight="1" x14ac:dyDescent="0.2">
      <c r="A6706" t="s">
        <v>7012</v>
      </c>
      <c r="B6706" t="s">
        <v>183</v>
      </c>
      <c r="C6706" t="s">
        <v>52</v>
      </c>
      <c r="D6706" s="49">
        <v>45408</v>
      </c>
      <c r="E6706" s="49">
        <v>45414</v>
      </c>
      <c r="I6706" s="49">
        <v>45470</v>
      </c>
      <c r="J6706" t="s">
        <v>49</v>
      </c>
      <c r="K6706" s="33">
        <v>32400</v>
      </c>
      <c r="L6706" t="s">
        <v>61</v>
      </c>
      <c r="M6706" t="str">
        <f>_xlfn.XLOOKUP(Pipeline_tbl[[#This Row],[Rep_ID]],Dim_Reps!A:A,Dim_Reps!K:K)</f>
        <v>EUR</v>
      </c>
      <c r="N6706" s="33">
        <f>(_xlfn.XLOOKUP(Pipeline_tbl[[#This Row],[Rate_Code_Generalized]],Lookups!A:A,Lookups!B:B))*Pipeline_tbl[[#This Row],[Pipeline_Amount_USD]]</f>
        <v>32400</v>
      </c>
      <c r="O6706" t="str">
        <f>_xlfn.XLOOKUP(Pipeline_tbl[[#This Row],[Rep_ID]],Dim_Reps!A:A,Dim_Reps!B:B)</f>
        <v>Sam Schmidt</v>
      </c>
      <c r="P6706" t="str">
        <f>_xlfn.XLOOKUP(Pipeline_tbl[[#This Row],[Rep_ID]],Dim_Reps!A:A,Dim_Reps!C:C)</f>
        <v>Enterprise AE</v>
      </c>
      <c r="Q6706" t="str">
        <f>_xlfn.XLOOKUP(Pipeline_tbl[[#This Row],[Rep_ID]],Dim_Reps!A:A,Dim_Reps!D:D)</f>
        <v>Enterprise</v>
      </c>
      <c r="R6706" t="str">
        <f>_xlfn.XLOOKUP(Pipeline_tbl[[#This Row],[Rep_ID]],Dim_Reps!A:A,Dim_Reps!E:E)</f>
        <v>EMEA</v>
      </c>
      <c r="S6706" t="str">
        <f>_xlfn.XLOOKUP(Pipeline_tbl[[#This Row],[Created_Date]],Dim_Date!A:A,Dim_Date!H:H)</f>
        <v>Apr 2024</v>
      </c>
      <c r="T6706" t="str">
        <f>IF(Pipeline_tbl[[#This Row],[Closed_Date]]=0,"",(_xlfn.XLOOKUP(Pipeline_tbl[[#This Row],[Closed_Date]],Dim_Date!A:A,Dim_Date!H:H)))</f>
        <v>Jun 2024</v>
      </c>
      <c r="U6706">
        <f>IF(Pipeline_tbl[[#This Row],[Closed_Date]]=0,"",Pipeline_tbl[[#This Row],[Closed_Date]]-Pipeline_tbl[[#This Row],[Created_Date]])</f>
        <v>62</v>
      </c>
    </row>
    <row r="6707" spans="1:21" ht="15" customHeight="1" x14ac:dyDescent="0.2">
      <c r="A6707" t="s">
        <v>7013</v>
      </c>
      <c r="B6707" t="s">
        <v>183</v>
      </c>
      <c r="C6707" t="s">
        <v>55</v>
      </c>
      <c r="D6707" s="49">
        <v>45399</v>
      </c>
      <c r="E6707" s="49">
        <v>45405</v>
      </c>
      <c r="F6707" s="49">
        <v>45417</v>
      </c>
      <c r="G6707" s="49">
        <v>45434</v>
      </c>
      <c r="I6707" s="49">
        <v>45458</v>
      </c>
      <c r="J6707" t="s">
        <v>49</v>
      </c>
      <c r="K6707" s="33">
        <v>12200</v>
      </c>
      <c r="L6707" t="s">
        <v>60</v>
      </c>
      <c r="M6707" t="str">
        <f>_xlfn.XLOOKUP(Pipeline_tbl[[#This Row],[Rep_ID]],Dim_Reps!A:A,Dim_Reps!K:K)</f>
        <v>EUR</v>
      </c>
      <c r="N6707" s="33">
        <f>(_xlfn.XLOOKUP(Pipeline_tbl[[#This Row],[Rate_Code_Generalized]],Lookups!A:A,Lookups!B:B))*Pipeline_tbl[[#This Row],[Pipeline_Amount_USD]]</f>
        <v>12200</v>
      </c>
      <c r="O6707" t="str">
        <f>_xlfn.XLOOKUP(Pipeline_tbl[[#This Row],[Rep_ID]],Dim_Reps!A:A,Dim_Reps!B:B)</f>
        <v>Sam Schmidt</v>
      </c>
      <c r="P6707" t="str">
        <f>_xlfn.XLOOKUP(Pipeline_tbl[[#This Row],[Rep_ID]],Dim_Reps!A:A,Dim_Reps!C:C)</f>
        <v>Enterprise AE</v>
      </c>
      <c r="Q6707" t="str">
        <f>_xlfn.XLOOKUP(Pipeline_tbl[[#This Row],[Rep_ID]],Dim_Reps!A:A,Dim_Reps!D:D)</f>
        <v>Enterprise</v>
      </c>
      <c r="R6707" t="str">
        <f>_xlfn.XLOOKUP(Pipeline_tbl[[#This Row],[Rep_ID]],Dim_Reps!A:A,Dim_Reps!E:E)</f>
        <v>EMEA</v>
      </c>
      <c r="S6707" t="str">
        <f>_xlfn.XLOOKUP(Pipeline_tbl[[#This Row],[Created_Date]],Dim_Date!A:A,Dim_Date!H:H)</f>
        <v>Apr 2024</v>
      </c>
      <c r="T6707" t="str">
        <f>IF(Pipeline_tbl[[#This Row],[Closed_Date]]=0,"",(_xlfn.XLOOKUP(Pipeline_tbl[[#This Row],[Closed_Date]],Dim_Date!A:A,Dim_Date!H:H)))</f>
        <v>Jun 2024</v>
      </c>
      <c r="U6707">
        <f>IF(Pipeline_tbl[[#This Row],[Closed_Date]]=0,"",Pipeline_tbl[[#This Row],[Closed_Date]]-Pipeline_tbl[[#This Row],[Created_Date]])</f>
        <v>59</v>
      </c>
    </row>
    <row r="6708" spans="1:21" ht="15" customHeight="1" x14ac:dyDescent="0.2">
      <c r="A6708" t="s">
        <v>7014</v>
      </c>
      <c r="B6708" t="s">
        <v>278</v>
      </c>
      <c r="C6708" t="s">
        <v>53</v>
      </c>
      <c r="D6708" s="49">
        <v>45409</v>
      </c>
      <c r="E6708" s="49">
        <v>45415</v>
      </c>
      <c r="F6708" s="49">
        <v>45426</v>
      </c>
      <c r="G6708" s="49">
        <v>45442</v>
      </c>
      <c r="I6708" s="49">
        <v>45464</v>
      </c>
      <c r="J6708" t="s">
        <v>49</v>
      </c>
      <c r="K6708" s="33">
        <v>27700</v>
      </c>
      <c r="L6708" t="s">
        <v>63</v>
      </c>
      <c r="M6708" t="str">
        <f>_xlfn.XLOOKUP(Pipeline_tbl[[#This Row],[Rep_ID]],Dim_Reps!A:A,Dim_Reps!K:K)</f>
        <v>EUR</v>
      </c>
      <c r="N6708" s="33">
        <f>(_xlfn.XLOOKUP(Pipeline_tbl[[#This Row],[Rate_Code_Generalized]],Lookups!A:A,Lookups!B:B))*Pipeline_tbl[[#This Row],[Pipeline_Amount_USD]]</f>
        <v>27700</v>
      </c>
      <c r="O6708" t="str">
        <f>_xlfn.XLOOKUP(Pipeline_tbl[[#This Row],[Rep_ID]],Dim_Reps!A:A,Dim_Reps!B:B)</f>
        <v>Sara Andersson</v>
      </c>
      <c r="P6708" t="str">
        <f>_xlfn.XLOOKUP(Pipeline_tbl[[#This Row],[Rep_ID]],Dim_Reps!A:A,Dim_Reps!C:C)</f>
        <v>Senior Enterprise AE</v>
      </c>
      <c r="Q6708" t="str">
        <f>_xlfn.XLOOKUP(Pipeline_tbl[[#This Row],[Rep_ID]],Dim_Reps!A:A,Dim_Reps!D:D)</f>
        <v>Strategic</v>
      </c>
      <c r="R6708" t="str">
        <f>_xlfn.XLOOKUP(Pipeline_tbl[[#This Row],[Rep_ID]],Dim_Reps!A:A,Dim_Reps!E:E)</f>
        <v>APAC</v>
      </c>
      <c r="S6708" t="str">
        <f>_xlfn.XLOOKUP(Pipeline_tbl[[#This Row],[Created_Date]],Dim_Date!A:A,Dim_Date!H:H)</f>
        <v>Apr 2024</v>
      </c>
      <c r="T6708" t="str">
        <f>IF(Pipeline_tbl[[#This Row],[Closed_Date]]=0,"",(_xlfn.XLOOKUP(Pipeline_tbl[[#This Row],[Closed_Date]],Dim_Date!A:A,Dim_Date!H:H)))</f>
        <v>Jun 2024</v>
      </c>
      <c r="U6708">
        <f>IF(Pipeline_tbl[[#This Row],[Closed_Date]]=0,"",Pipeline_tbl[[#This Row],[Closed_Date]]-Pipeline_tbl[[#This Row],[Created_Date]])</f>
        <v>55</v>
      </c>
    </row>
    <row r="6709" spans="1:21" ht="15" customHeight="1" x14ac:dyDescent="0.2">
      <c r="A6709" t="s">
        <v>7015</v>
      </c>
      <c r="B6709" t="s">
        <v>278</v>
      </c>
      <c r="C6709" t="s">
        <v>52</v>
      </c>
      <c r="D6709" s="49">
        <v>45408</v>
      </c>
      <c r="E6709" s="49">
        <v>45414</v>
      </c>
      <c r="I6709" s="49">
        <v>45464</v>
      </c>
      <c r="J6709" t="s">
        <v>49</v>
      </c>
      <c r="K6709" s="33">
        <v>27600</v>
      </c>
      <c r="L6709" t="s">
        <v>62</v>
      </c>
      <c r="M6709" t="str">
        <f>_xlfn.XLOOKUP(Pipeline_tbl[[#This Row],[Rep_ID]],Dim_Reps!A:A,Dim_Reps!K:K)</f>
        <v>EUR</v>
      </c>
      <c r="N6709" s="33">
        <f>(_xlfn.XLOOKUP(Pipeline_tbl[[#This Row],[Rate_Code_Generalized]],Lookups!A:A,Lookups!B:B))*Pipeline_tbl[[#This Row],[Pipeline_Amount_USD]]</f>
        <v>27600</v>
      </c>
      <c r="O6709" t="str">
        <f>_xlfn.XLOOKUP(Pipeline_tbl[[#This Row],[Rep_ID]],Dim_Reps!A:A,Dim_Reps!B:B)</f>
        <v>Sara Andersson</v>
      </c>
      <c r="P6709" t="str">
        <f>_xlfn.XLOOKUP(Pipeline_tbl[[#This Row],[Rep_ID]],Dim_Reps!A:A,Dim_Reps!C:C)</f>
        <v>Senior Enterprise AE</v>
      </c>
      <c r="Q6709" t="str">
        <f>_xlfn.XLOOKUP(Pipeline_tbl[[#This Row],[Rep_ID]],Dim_Reps!A:A,Dim_Reps!D:D)</f>
        <v>Strategic</v>
      </c>
      <c r="R6709" t="str">
        <f>_xlfn.XLOOKUP(Pipeline_tbl[[#This Row],[Rep_ID]],Dim_Reps!A:A,Dim_Reps!E:E)</f>
        <v>APAC</v>
      </c>
      <c r="S6709" t="str">
        <f>_xlfn.XLOOKUP(Pipeline_tbl[[#This Row],[Created_Date]],Dim_Date!A:A,Dim_Date!H:H)</f>
        <v>Apr 2024</v>
      </c>
      <c r="T6709" t="str">
        <f>IF(Pipeline_tbl[[#This Row],[Closed_Date]]=0,"",(_xlfn.XLOOKUP(Pipeline_tbl[[#This Row],[Closed_Date]],Dim_Date!A:A,Dim_Date!H:H)))</f>
        <v>Jun 2024</v>
      </c>
      <c r="U6709">
        <f>IF(Pipeline_tbl[[#This Row],[Closed_Date]]=0,"",Pipeline_tbl[[#This Row],[Closed_Date]]-Pipeline_tbl[[#This Row],[Created_Date]])</f>
        <v>56</v>
      </c>
    </row>
    <row r="6710" spans="1:21" ht="15" customHeight="1" x14ac:dyDescent="0.2">
      <c r="A6710" t="s">
        <v>7016</v>
      </c>
      <c r="B6710" t="s">
        <v>185</v>
      </c>
      <c r="C6710" t="s">
        <v>52</v>
      </c>
      <c r="D6710" s="49">
        <v>45403</v>
      </c>
      <c r="E6710" s="49">
        <v>45409</v>
      </c>
      <c r="F6710" s="49">
        <v>45422</v>
      </c>
      <c r="G6710" s="49">
        <v>45440</v>
      </c>
      <c r="H6710" s="49">
        <v>45456</v>
      </c>
      <c r="I6710" s="49">
        <v>45465</v>
      </c>
      <c r="J6710" t="s">
        <v>47</v>
      </c>
      <c r="K6710" s="33">
        <v>27500</v>
      </c>
      <c r="M6710" t="str">
        <f>_xlfn.XLOOKUP(Pipeline_tbl[[#This Row],[Rep_ID]],Dim_Reps!A:A,Dim_Reps!K:K)</f>
        <v>MXN</v>
      </c>
      <c r="N6710" s="33">
        <f>(_xlfn.XLOOKUP(Pipeline_tbl[[#This Row],[Rate_Code_Generalized]],Lookups!A:A,Lookups!B:B))*Pipeline_tbl[[#This Row],[Pipeline_Amount_USD]]</f>
        <v>542649.25</v>
      </c>
      <c r="O6710" t="str">
        <f>_xlfn.XLOOKUP(Pipeline_tbl[[#This Row],[Rep_ID]],Dim_Reps!A:A,Dim_Reps!B:B)</f>
        <v>Noah Kim</v>
      </c>
      <c r="P6710" t="str">
        <f>_xlfn.XLOOKUP(Pipeline_tbl[[#This Row],[Rep_ID]],Dim_Reps!A:A,Dim_Reps!C:C)</f>
        <v>Enterprise AE</v>
      </c>
      <c r="Q6710" t="str">
        <f>_xlfn.XLOOKUP(Pipeline_tbl[[#This Row],[Rep_ID]],Dim_Reps!A:A,Dim_Reps!D:D)</f>
        <v>Enterprise</v>
      </c>
      <c r="R6710" t="str">
        <f>_xlfn.XLOOKUP(Pipeline_tbl[[#This Row],[Rep_ID]],Dim_Reps!A:A,Dim_Reps!E:E)</f>
        <v>LATAM</v>
      </c>
      <c r="S6710" t="str">
        <f>_xlfn.XLOOKUP(Pipeline_tbl[[#This Row],[Created_Date]],Dim_Date!A:A,Dim_Date!H:H)</f>
        <v>Apr 2024</v>
      </c>
      <c r="T6710" t="str">
        <f>IF(Pipeline_tbl[[#This Row],[Closed_Date]]=0,"",(_xlfn.XLOOKUP(Pipeline_tbl[[#This Row],[Closed_Date]],Dim_Date!A:A,Dim_Date!H:H)))</f>
        <v>Jun 2024</v>
      </c>
      <c r="U6710">
        <f>IF(Pipeline_tbl[[#This Row],[Closed_Date]]=0,"",Pipeline_tbl[[#This Row],[Closed_Date]]-Pipeline_tbl[[#This Row],[Created_Date]])</f>
        <v>62</v>
      </c>
    </row>
    <row r="6711" spans="1:21" ht="15" customHeight="1" x14ac:dyDescent="0.2">
      <c r="A6711" t="s">
        <v>7017</v>
      </c>
      <c r="B6711" t="s">
        <v>185</v>
      </c>
      <c r="C6711" t="s">
        <v>52</v>
      </c>
      <c r="D6711" s="49">
        <v>45396</v>
      </c>
      <c r="E6711" s="49">
        <v>45401</v>
      </c>
      <c r="F6711" s="49">
        <v>45412</v>
      </c>
      <c r="G6711" s="49">
        <v>45428</v>
      </c>
      <c r="H6711" s="49">
        <v>45441</v>
      </c>
      <c r="I6711" s="49">
        <v>45449</v>
      </c>
      <c r="J6711" t="s">
        <v>47</v>
      </c>
      <c r="K6711" s="33">
        <v>28300</v>
      </c>
      <c r="M6711" t="str">
        <f>_xlfn.XLOOKUP(Pipeline_tbl[[#This Row],[Rep_ID]],Dim_Reps!A:A,Dim_Reps!K:K)</f>
        <v>MXN</v>
      </c>
      <c r="N6711" s="33">
        <f>(_xlfn.XLOOKUP(Pipeline_tbl[[#This Row],[Rate_Code_Generalized]],Lookups!A:A,Lookups!B:B))*Pipeline_tbl[[#This Row],[Pipeline_Amount_USD]]</f>
        <v>558435.41</v>
      </c>
      <c r="O6711" t="str">
        <f>_xlfn.XLOOKUP(Pipeline_tbl[[#This Row],[Rep_ID]],Dim_Reps!A:A,Dim_Reps!B:B)</f>
        <v>Noah Kim</v>
      </c>
      <c r="P6711" t="str">
        <f>_xlfn.XLOOKUP(Pipeline_tbl[[#This Row],[Rep_ID]],Dim_Reps!A:A,Dim_Reps!C:C)</f>
        <v>Enterprise AE</v>
      </c>
      <c r="Q6711" t="str">
        <f>_xlfn.XLOOKUP(Pipeline_tbl[[#This Row],[Rep_ID]],Dim_Reps!A:A,Dim_Reps!D:D)</f>
        <v>Enterprise</v>
      </c>
      <c r="R6711" t="str">
        <f>_xlfn.XLOOKUP(Pipeline_tbl[[#This Row],[Rep_ID]],Dim_Reps!A:A,Dim_Reps!E:E)</f>
        <v>LATAM</v>
      </c>
      <c r="S6711" t="str">
        <f>_xlfn.XLOOKUP(Pipeline_tbl[[#This Row],[Created_Date]],Dim_Date!A:A,Dim_Date!H:H)</f>
        <v>Apr 2024</v>
      </c>
      <c r="T6711" t="str">
        <f>IF(Pipeline_tbl[[#This Row],[Closed_Date]]=0,"",(_xlfn.XLOOKUP(Pipeline_tbl[[#This Row],[Closed_Date]],Dim_Date!A:A,Dim_Date!H:H)))</f>
        <v>Jun 2024</v>
      </c>
      <c r="U6711">
        <f>IF(Pipeline_tbl[[#This Row],[Closed_Date]]=0,"",Pipeline_tbl[[#This Row],[Closed_Date]]-Pipeline_tbl[[#This Row],[Created_Date]])</f>
        <v>53</v>
      </c>
    </row>
    <row r="6712" spans="1:21" ht="15" customHeight="1" x14ac:dyDescent="0.2">
      <c r="A6712" t="s">
        <v>7018</v>
      </c>
      <c r="B6712" t="s">
        <v>185</v>
      </c>
      <c r="C6712" t="s">
        <v>52</v>
      </c>
      <c r="D6712" s="49">
        <v>45386</v>
      </c>
      <c r="E6712" s="49">
        <v>45393</v>
      </c>
      <c r="F6712" s="49">
        <v>45407</v>
      </c>
      <c r="G6712" s="49">
        <v>45428</v>
      </c>
      <c r="I6712" s="49">
        <v>45456</v>
      </c>
      <c r="J6712" t="s">
        <v>49</v>
      </c>
      <c r="K6712" s="33">
        <v>23500</v>
      </c>
      <c r="L6712" t="s">
        <v>63</v>
      </c>
      <c r="M6712" t="str">
        <f>_xlfn.XLOOKUP(Pipeline_tbl[[#This Row],[Rep_ID]],Dim_Reps!A:A,Dim_Reps!K:K)</f>
        <v>MXN</v>
      </c>
      <c r="N6712" s="33">
        <f>(_xlfn.XLOOKUP(Pipeline_tbl[[#This Row],[Rate_Code_Generalized]],Lookups!A:A,Lookups!B:B))*Pipeline_tbl[[#This Row],[Pipeline_Amount_USD]]</f>
        <v>463718.45</v>
      </c>
      <c r="O6712" t="str">
        <f>_xlfn.XLOOKUP(Pipeline_tbl[[#This Row],[Rep_ID]],Dim_Reps!A:A,Dim_Reps!B:B)</f>
        <v>Noah Kim</v>
      </c>
      <c r="P6712" t="str">
        <f>_xlfn.XLOOKUP(Pipeline_tbl[[#This Row],[Rep_ID]],Dim_Reps!A:A,Dim_Reps!C:C)</f>
        <v>Enterprise AE</v>
      </c>
      <c r="Q6712" t="str">
        <f>_xlfn.XLOOKUP(Pipeline_tbl[[#This Row],[Rep_ID]],Dim_Reps!A:A,Dim_Reps!D:D)</f>
        <v>Enterprise</v>
      </c>
      <c r="R6712" t="str">
        <f>_xlfn.XLOOKUP(Pipeline_tbl[[#This Row],[Rep_ID]],Dim_Reps!A:A,Dim_Reps!E:E)</f>
        <v>LATAM</v>
      </c>
      <c r="S6712" t="str">
        <f>_xlfn.XLOOKUP(Pipeline_tbl[[#This Row],[Created_Date]],Dim_Date!A:A,Dim_Date!H:H)</f>
        <v>Apr 2024</v>
      </c>
      <c r="T6712" t="str">
        <f>IF(Pipeline_tbl[[#This Row],[Closed_Date]]=0,"",(_xlfn.XLOOKUP(Pipeline_tbl[[#This Row],[Closed_Date]],Dim_Date!A:A,Dim_Date!H:H)))</f>
        <v>Jun 2024</v>
      </c>
      <c r="U6712">
        <f>IF(Pipeline_tbl[[#This Row],[Closed_Date]]=0,"",Pipeline_tbl[[#This Row],[Closed_Date]]-Pipeline_tbl[[#This Row],[Created_Date]])</f>
        <v>70</v>
      </c>
    </row>
    <row r="6713" spans="1:21" ht="15" customHeight="1" x14ac:dyDescent="0.2">
      <c r="A6713" t="s">
        <v>7019</v>
      </c>
      <c r="B6713" t="s">
        <v>185</v>
      </c>
      <c r="C6713" t="s">
        <v>54</v>
      </c>
      <c r="D6713" s="49">
        <v>45387</v>
      </c>
      <c r="E6713" s="49">
        <v>45395</v>
      </c>
      <c r="F6713" s="49">
        <v>45413</v>
      </c>
      <c r="G6713" s="49">
        <v>45438</v>
      </c>
      <c r="I6713" s="49">
        <v>45472</v>
      </c>
      <c r="J6713" t="s">
        <v>49</v>
      </c>
      <c r="K6713" s="33">
        <v>18200</v>
      </c>
      <c r="L6713" t="s">
        <v>60</v>
      </c>
      <c r="M6713" t="str">
        <f>_xlfn.XLOOKUP(Pipeline_tbl[[#This Row],[Rep_ID]],Dim_Reps!A:A,Dim_Reps!K:K)</f>
        <v>MXN</v>
      </c>
      <c r="N6713" s="33">
        <f>(_xlfn.XLOOKUP(Pipeline_tbl[[#This Row],[Rate_Code_Generalized]],Lookups!A:A,Lookups!B:B))*Pipeline_tbl[[#This Row],[Pipeline_Amount_USD]]</f>
        <v>359135.14</v>
      </c>
      <c r="O6713" t="str">
        <f>_xlfn.XLOOKUP(Pipeline_tbl[[#This Row],[Rep_ID]],Dim_Reps!A:A,Dim_Reps!B:B)</f>
        <v>Noah Kim</v>
      </c>
      <c r="P6713" t="str">
        <f>_xlfn.XLOOKUP(Pipeline_tbl[[#This Row],[Rep_ID]],Dim_Reps!A:A,Dim_Reps!C:C)</f>
        <v>Enterprise AE</v>
      </c>
      <c r="Q6713" t="str">
        <f>_xlfn.XLOOKUP(Pipeline_tbl[[#This Row],[Rep_ID]],Dim_Reps!A:A,Dim_Reps!D:D)</f>
        <v>Enterprise</v>
      </c>
      <c r="R6713" t="str">
        <f>_xlfn.XLOOKUP(Pipeline_tbl[[#This Row],[Rep_ID]],Dim_Reps!A:A,Dim_Reps!E:E)</f>
        <v>LATAM</v>
      </c>
      <c r="S6713" t="str">
        <f>_xlfn.XLOOKUP(Pipeline_tbl[[#This Row],[Created_Date]],Dim_Date!A:A,Dim_Date!H:H)</f>
        <v>Apr 2024</v>
      </c>
      <c r="T6713" t="str">
        <f>IF(Pipeline_tbl[[#This Row],[Closed_Date]]=0,"",(_xlfn.XLOOKUP(Pipeline_tbl[[#This Row],[Closed_Date]],Dim_Date!A:A,Dim_Date!H:H)))</f>
        <v>Jun 2024</v>
      </c>
      <c r="U6713">
        <f>IF(Pipeline_tbl[[#This Row],[Closed_Date]]=0,"",Pipeline_tbl[[#This Row],[Closed_Date]]-Pipeline_tbl[[#This Row],[Created_Date]])</f>
        <v>85</v>
      </c>
    </row>
    <row r="6714" spans="1:21" ht="15" customHeight="1" x14ac:dyDescent="0.2">
      <c r="A6714" t="s">
        <v>7020</v>
      </c>
      <c r="B6714" t="s">
        <v>188</v>
      </c>
      <c r="C6714" t="s">
        <v>55</v>
      </c>
      <c r="D6714" s="49">
        <v>45383</v>
      </c>
      <c r="E6714" s="49">
        <v>45389</v>
      </c>
      <c r="F6714" s="49">
        <v>45401</v>
      </c>
      <c r="I6714" s="49">
        <v>45444</v>
      </c>
      <c r="J6714" t="s">
        <v>49</v>
      </c>
      <c r="K6714" s="33">
        <v>15300</v>
      </c>
      <c r="L6714" t="s">
        <v>61</v>
      </c>
      <c r="M6714" t="str">
        <f>_xlfn.XLOOKUP(Pipeline_tbl[[#This Row],[Rep_ID]],Dim_Reps!A:A,Dim_Reps!K:K)</f>
        <v>EUR</v>
      </c>
      <c r="N6714" s="33">
        <f>(_xlfn.XLOOKUP(Pipeline_tbl[[#This Row],[Rate_Code_Generalized]],Lookups!A:A,Lookups!B:B))*Pipeline_tbl[[#This Row],[Pipeline_Amount_USD]]</f>
        <v>15300</v>
      </c>
      <c r="O6714" t="str">
        <f>_xlfn.XLOOKUP(Pipeline_tbl[[#This Row],[Rep_ID]],Dim_Reps!A:A,Dim_Reps!B:B)</f>
        <v>Jamie Santos</v>
      </c>
      <c r="P6714" t="str">
        <f>_xlfn.XLOOKUP(Pipeline_tbl[[#This Row],[Rep_ID]],Dim_Reps!A:A,Dim_Reps!C:C)</f>
        <v>Enterprise AE</v>
      </c>
      <c r="Q6714" t="str">
        <f>_xlfn.XLOOKUP(Pipeline_tbl[[#This Row],[Rep_ID]],Dim_Reps!A:A,Dim_Reps!D:D)</f>
        <v>Enterprise</v>
      </c>
      <c r="R6714" t="str">
        <f>_xlfn.XLOOKUP(Pipeline_tbl[[#This Row],[Rep_ID]],Dim_Reps!A:A,Dim_Reps!E:E)</f>
        <v>APAC</v>
      </c>
      <c r="S6714" t="str">
        <f>_xlfn.XLOOKUP(Pipeline_tbl[[#This Row],[Created_Date]],Dim_Date!A:A,Dim_Date!H:H)</f>
        <v>Apr 2024</v>
      </c>
      <c r="T6714" t="str">
        <f>IF(Pipeline_tbl[[#This Row],[Closed_Date]]=0,"",(_xlfn.XLOOKUP(Pipeline_tbl[[#This Row],[Closed_Date]],Dim_Date!A:A,Dim_Date!H:H)))</f>
        <v>Jun 2024</v>
      </c>
      <c r="U6714">
        <f>IF(Pipeline_tbl[[#This Row],[Closed_Date]]=0,"",Pipeline_tbl[[#This Row],[Closed_Date]]-Pipeline_tbl[[#This Row],[Created_Date]])</f>
        <v>61</v>
      </c>
    </row>
    <row r="6715" spans="1:21" ht="15" customHeight="1" x14ac:dyDescent="0.2">
      <c r="A6715" t="s">
        <v>7021</v>
      </c>
      <c r="B6715" t="s">
        <v>188</v>
      </c>
      <c r="C6715" t="s">
        <v>53</v>
      </c>
      <c r="D6715" s="49">
        <v>45392</v>
      </c>
      <c r="E6715" s="49">
        <v>45398</v>
      </c>
      <c r="F6715" s="49">
        <v>45412</v>
      </c>
      <c r="G6715" s="49">
        <v>45431</v>
      </c>
      <c r="H6715" s="49">
        <v>45447</v>
      </c>
      <c r="I6715" s="49">
        <v>45457</v>
      </c>
      <c r="J6715" t="s">
        <v>49</v>
      </c>
      <c r="K6715" s="33">
        <v>25000</v>
      </c>
      <c r="L6715" t="s">
        <v>60</v>
      </c>
      <c r="M6715" t="str">
        <f>_xlfn.XLOOKUP(Pipeline_tbl[[#This Row],[Rep_ID]],Dim_Reps!A:A,Dim_Reps!K:K)</f>
        <v>EUR</v>
      </c>
      <c r="N6715" s="33">
        <f>(_xlfn.XLOOKUP(Pipeline_tbl[[#This Row],[Rate_Code_Generalized]],Lookups!A:A,Lookups!B:B))*Pipeline_tbl[[#This Row],[Pipeline_Amount_USD]]</f>
        <v>25000</v>
      </c>
      <c r="O6715" t="str">
        <f>_xlfn.XLOOKUP(Pipeline_tbl[[#This Row],[Rep_ID]],Dim_Reps!A:A,Dim_Reps!B:B)</f>
        <v>Jamie Santos</v>
      </c>
      <c r="P6715" t="str">
        <f>_xlfn.XLOOKUP(Pipeline_tbl[[#This Row],[Rep_ID]],Dim_Reps!A:A,Dim_Reps!C:C)</f>
        <v>Enterprise AE</v>
      </c>
      <c r="Q6715" t="str">
        <f>_xlfn.XLOOKUP(Pipeline_tbl[[#This Row],[Rep_ID]],Dim_Reps!A:A,Dim_Reps!D:D)</f>
        <v>Enterprise</v>
      </c>
      <c r="R6715" t="str">
        <f>_xlfn.XLOOKUP(Pipeline_tbl[[#This Row],[Rep_ID]],Dim_Reps!A:A,Dim_Reps!E:E)</f>
        <v>APAC</v>
      </c>
      <c r="S6715" t="str">
        <f>_xlfn.XLOOKUP(Pipeline_tbl[[#This Row],[Created_Date]],Dim_Date!A:A,Dim_Date!H:H)</f>
        <v>Apr 2024</v>
      </c>
      <c r="T6715" t="str">
        <f>IF(Pipeline_tbl[[#This Row],[Closed_Date]]=0,"",(_xlfn.XLOOKUP(Pipeline_tbl[[#This Row],[Closed_Date]],Dim_Date!A:A,Dim_Date!H:H)))</f>
        <v>Jun 2024</v>
      </c>
      <c r="U6715">
        <f>IF(Pipeline_tbl[[#This Row],[Closed_Date]]=0,"",Pipeline_tbl[[#This Row],[Closed_Date]]-Pipeline_tbl[[#This Row],[Created_Date]])</f>
        <v>65</v>
      </c>
    </row>
    <row r="6716" spans="1:21" ht="15" customHeight="1" x14ac:dyDescent="0.2">
      <c r="A6716" t="s">
        <v>7022</v>
      </c>
      <c r="B6716" t="s">
        <v>188</v>
      </c>
      <c r="C6716" t="s">
        <v>53</v>
      </c>
      <c r="D6716" s="49">
        <v>45401</v>
      </c>
      <c r="E6716" s="49">
        <v>45407</v>
      </c>
      <c r="I6716" s="49">
        <v>45456</v>
      </c>
      <c r="J6716" t="s">
        <v>49</v>
      </c>
      <c r="K6716" s="33">
        <v>32900</v>
      </c>
      <c r="L6716" t="s">
        <v>63</v>
      </c>
      <c r="M6716" t="str">
        <f>_xlfn.XLOOKUP(Pipeline_tbl[[#This Row],[Rep_ID]],Dim_Reps!A:A,Dim_Reps!K:K)</f>
        <v>EUR</v>
      </c>
      <c r="N6716" s="33">
        <f>(_xlfn.XLOOKUP(Pipeline_tbl[[#This Row],[Rate_Code_Generalized]],Lookups!A:A,Lookups!B:B))*Pipeline_tbl[[#This Row],[Pipeline_Amount_USD]]</f>
        <v>32900</v>
      </c>
      <c r="O6716" t="str">
        <f>_xlfn.XLOOKUP(Pipeline_tbl[[#This Row],[Rep_ID]],Dim_Reps!A:A,Dim_Reps!B:B)</f>
        <v>Jamie Santos</v>
      </c>
      <c r="P6716" t="str">
        <f>_xlfn.XLOOKUP(Pipeline_tbl[[#This Row],[Rep_ID]],Dim_Reps!A:A,Dim_Reps!C:C)</f>
        <v>Enterprise AE</v>
      </c>
      <c r="Q6716" t="str">
        <f>_xlfn.XLOOKUP(Pipeline_tbl[[#This Row],[Rep_ID]],Dim_Reps!A:A,Dim_Reps!D:D)</f>
        <v>Enterprise</v>
      </c>
      <c r="R6716" t="str">
        <f>_xlfn.XLOOKUP(Pipeline_tbl[[#This Row],[Rep_ID]],Dim_Reps!A:A,Dim_Reps!E:E)</f>
        <v>APAC</v>
      </c>
      <c r="S6716" t="str">
        <f>_xlfn.XLOOKUP(Pipeline_tbl[[#This Row],[Created_Date]],Dim_Date!A:A,Dim_Date!H:H)</f>
        <v>Apr 2024</v>
      </c>
      <c r="T6716" t="str">
        <f>IF(Pipeline_tbl[[#This Row],[Closed_Date]]=0,"",(_xlfn.XLOOKUP(Pipeline_tbl[[#This Row],[Closed_Date]],Dim_Date!A:A,Dim_Date!H:H)))</f>
        <v>Jun 2024</v>
      </c>
      <c r="U6716">
        <f>IF(Pipeline_tbl[[#This Row],[Closed_Date]]=0,"",Pipeline_tbl[[#This Row],[Closed_Date]]-Pipeline_tbl[[#This Row],[Created_Date]])</f>
        <v>55</v>
      </c>
    </row>
    <row r="6717" spans="1:21" ht="15" customHeight="1" x14ac:dyDescent="0.2">
      <c r="A6717" t="s">
        <v>7023</v>
      </c>
      <c r="B6717" t="s">
        <v>259</v>
      </c>
      <c r="C6717" t="s">
        <v>53</v>
      </c>
      <c r="D6717" s="49">
        <v>45405</v>
      </c>
      <c r="E6717" s="49">
        <v>45409</v>
      </c>
      <c r="F6717" s="49">
        <v>45417</v>
      </c>
      <c r="G6717" s="49">
        <v>45428</v>
      </c>
      <c r="H6717" s="49">
        <v>45438</v>
      </c>
      <c r="I6717" s="49">
        <v>45444</v>
      </c>
      <c r="J6717" t="s">
        <v>47</v>
      </c>
      <c r="K6717" s="33">
        <v>8200</v>
      </c>
      <c r="M6717" t="str">
        <f>_xlfn.XLOOKUP(Pipeline_tbl[[#This Row],[Rep_ID]],Dim_Reps!A:A,Dim_Reps!K:K)</f>
        <v>EUR</v>
      </c>
      <c r="N6717" s="33">
        <f>(_xlfn.XLOOKUP(Pipeline_tbl[[#This Row],[Rate_Code_Generalized]],Lookups!A:A,Lookups!B:B))*Pipeline_tbl[[#This Row],[Pipeline_Amount_USD]]</f>
        <v>8200</v>
      </c>
      <c r="O6717" t="str">
        <f>_xlfn.XLOOKUP(Pipeline_tbl[[#This Row],[Rep_ID]],Dim_Reps!A:A,Dim_Reps!B:B)</f>
        <v>Felix Okafor</v>
      </c>
      <c r="P6717" t="str">
        <f>_xlfn.XLOOKUP(Pipeline_tbl[[#This Row],[Rep_ID]],Dim_Reps!A:A,Dim_Reps!C:C)</f>
        <v>Mid-Market AE</v>
      </c>
      <c r="Q6717" t="str">
        <f>_xlfn.XLOOKUP(Pipeline_tbl[[#This Row],[Rep_ID]],Dim_Reps!A:A,Dim_Reps!D:D)</f>
        <v>Mid-Market</v>
      </c>
      <c r="R6717" t="str">
        <f>_xlfn.XLOOKUP(Pipeline_tbl[[#This Row],[Rep_ID]],Dim_Reps!A:A,Dim_Reps!E:E)</f>
        <v>EMEA</v>
      </c>
      <c r="S6717" t="str">
        <f>_xlfn.XLOOKUP(Pipeline_tbl[[#This Row],[Created_Date]],Dim_Date!A:A,Dim_Date!H:H)</f>
        <v>Apr 2024</v>
      </c>
      <c r="T6717" t="str">
        <f>IF(Pipeline_tbl[[#This Row],[Closed_Date]]=0,"",(_xlfn.XLOOKUP(Pipeline_tbl[[#This Row],[Closed_Date]],Dim_Date!A:A,Dim_Date!H:H)))</f>
        <v>Jun 2024</v>
      </c>
      <c r="U6717">
        <f>IF(Pipeline_tbl[[#This Row],[Closed_Date]]=0,"",Pipeline_tbl[[#This Row],[Closed_Date]]-Pipeline_tbl[[#This Row],[Created_Date]])</f>
        <v>39</v>
      </c>
    </row>
    <row r="6718" spans="1:21" ht="15" customHeight="1" x14ac:dyDescent="0.2">
      <c r="A6718" t="s">
        <v>7024</v>
      </c>
      <c r="B6718" t="s">
        <v>259</v>
      </c>
      <c r="C6718" t="s">
        <v>52</v>
      </c>
      <c r="D6718" s="49">
        <v>45405</v>
      </c>
      <c r="E6718" s="49">
        <v>45410</v>
      </c>
      <c r="F6718" s="49">
        <v>45421</v>
      </c>
      <c r="I6718" s="49">
        <v>45459</v>
      </c>
      <c r="J6718" t="s">
        <v>49</v>
      </c>
      <c r="K6718" s="33">
        <v>7800</v>
      </c>
      <c r="L6718" t="s">
        <v>60</v>
      </c>
      <c r="M6718" t="str">
        <f>_xlfn.XLOOKUP(Pipeline_tbl[[#This Row],[Rep_ID]],Dim_Reps!A:A,Dim_Reps!K:K)</f>
        <v>EUR</v>
      </c>
      <c r="N6718" s="33">
        <f>(_xlfn.XLOOKUP(Pipeline_tbl[[#This Row],[Rate_Code_Generalized]],Lookups!A:A,Lookups!B:B))*Pipeline_tbl[[#This Row],[Pipeline_Amount_USD]]</f>
        <v>7800</v>
      </c>
      <c r="O6718" t="str">
        <f>_xlfn.XLOOKUP(Pipeline_tbl[[#This Row],[Rep_ID]],Dim_Reps!A:A,Dim_Reps!B:B)</f>
        <v>Felix Okafor</v>
      </c>
      <c r="P6718" t="str">
        <f>_xlfn.XLOOKUP(Pipeline_tbl[[#This Row],[Rep_ID]],Dim_Reps!A:A,Dim_Reps!C:C)</f>
        <v>Mid-Market AE</v>
      </c>
      <c r="Q6718" t="str">
        <f>_xlfn.XLOOKUP(Pipeline_tbl[[#This Row],[Rep_ID]],Dim_Reps!A:A,Dim_Reps!D:D)</f>
        <v>Mid-Market</v>
      </c>
      <c r="R6718" t="str">
        <f>_xlfn.XLOOKUP(Pipeline_tbl[[#This Row],[Rep_ID]],Dim_Reps!A:A,Dim_Reps!E:E)</f>
        <v>EMEA</v>
      </c>
      <c r="S6718" t="str">
        <f>_xlfn.XLOOKUP(Pipeline_tbl[[#This Row],[Created_Date]],Dim_Date!A:A,Dim_Date!H:H)</f>
        <v>Apr 2024</v>
      </c>
      <c r="T6718" t="str">
        <f>IF(Pipeline_tbl[[#This Row],[Closed_Date]]=0,"",(_xlfn.XLOOKUP(Pipeline_tbl[[#This Row],[Closed_Date]],Dim_Date!A:A,Dim_Date!H:H)))</f>
        <v>Jun 2024</v>
      </c>
      <c r="U6718">
        <f>IF(Pipeline_tbl[[#This Row],[Closed_Date]]=0,"",Pipeline_tbl[[#This Row],[Closed_Date]]-Pipeline_tbl[[#This Row],[Created_Date]])</f>
        <v>54</v>
      </c>
    </row>
    <row r="6719" spans="1:21" ht="15" customHeight="1" x14ac:dyDescent="0.2">
      <c r="A6719" t="s">
        <v>7025</v>
      </c>
      <c r="B6719" t="s">
        <v>191</v>
      </c>
      <c r="C6719" t="s">
        <v>52</v>
      </c>
      <c r="D6719" s="49">
        <v>45394</v>
      </c>
      <c r="E6719" s="49">
        <v>45400</v>
      </c>
      <c r="F6719" s="49">
        <v>45411</v>
      </c>
      <c r="G6719" s="49">
        <v>45428</v>
      </c>
      <c r="I6719" s="49">
        <v>45450</v>
      </c>
      <c r="J6719" t="s">
        <v>49</v>
      </c>
      <c r="K6719" s="33">
        <v>30700</v>
      </c>
      <c r="L6719" t="s">
        <v>61</v>
      </c>
      <c r="M6719" t="str">
        <f>_xlfn.XLOOKUP(Pipeline_tbl[[#This Row],[Rep_ID]],Dim_Reps!A:A,Dim_Reps!K:K)</f>
        <v>USD</v>
      </c>
      <c r="N6719" s="33">
        <f>(_xlfn.XLOOKUP(Pipeline_tbl[[#This Row],[Rate_Code_Generalized]],Lookups!A:A,Lookups!B:B))*Pipeline_tbl[[#This Row],[Pipeline_Amount_USD]]</f>
        <v>35744.009999999995</v>
      </c>
      <c r="O6719" t="str">
        <f>_xlfn.XLOOKUP(Pipeline_tbl[[#This Row],[Rep_ID]],Dim_Reps!A:A,Dim_Reps!B:B)</f>
        <v>Zara Duarte</v>
      </c>
      <c r="P6719" t="str">
        <f>_xlfn.XLOOKUP(Pipeline_tbl[[#This Row],[Rep_ID]],Dim_Reps!A:A,Dim_Reps!C:C)</f>
        <v>Enterprise AE</v>
      </c>
      <c r="Q6719" t="str">
        <f>_xlfn.XLOOKUP(Pipeline_tbl[[#This Row],[Rep_ID]],Dim_Reps!A:A,Dim_Reps!D:D)</f>
        <v>Enterprise</v>
      </c>
      <c r="R6719" t="str">
        <f>_xlfn.XLOOKUP(Pipeline_tbl[[#This Row],[Rep_ID]],Dim_Reps!A:A,Dim_Reps!E:E)</f>
        <v>NAMER</v>
      </c>
      <c r="S6719" t="str">
        <f>_xlfn.XLOOKUP(Pipeline_tbl[[#This Row],[Created_Date]],Dim_Date!A:A,Dim_Date!H:H)</f>
        <v>Apr 2024</v>
      </c>
      <c r="T6719" t="str">
        <f>IF(Pipeline_tbl[[#This Row],[Closed_Date]]=0,"",(_xlfn.XLOOKUP(Pipeline_tbl[[#This Row],[Closed_Date]],Dim_Date!A:A,Dim_Date!H:H)))</f>
        <v>Jun 2024</v>
      </c>
      <c r="U6719">
        <f>IF(Pipeline_tbl[[#This Row],[Closed_Date]]=0,"",Pipeline_tbl[[#This Row],[Closed_Date]]-Pipeline_tbl[[#This Row],[Created_Date]])</f>
        <v>56</v>
      </c>
    </row>
    <row r="6720" spans="1:21" ht="15" customHeight="1" x14ac:dyDescent="0.2">
      <c r="A6720" t="s">
        <v>7026</v>
      </c>
      <c r="B6720" t="s">
        <v>191</v>
      </c>
      <c r="C6720" t="s">
        <v>52</v>
      </c>
      <c r="D6720" s="49">
        <v>45397</v>
      </c>
      <c r="E6720" s="49">
        <v>45403</v>
      </c>
      <c r="F6720" s="49">
        <v>45415</v>
      </c>
      <c r="G6720" s="49">
        <v>45432</v>
      </c>
      <c r="I6720" s="49">
        <v>45456</v>
      </c>
      <c r="J6720" t="s">
        <v>49</v>
      </c>
      <c r="K6720" s="33">
        <v>29100</v>
      </c>
      <c r="L6720" t="s">
        <v>61</v>
      </c>
      <c r="M6720" t="str">
        <f>_xlfn.XLOOKUP(Pipeline_tbl[[#This Row],[Rep_ID]],Dim_Reps!A:A,Dim_Reps!K:K)</f>
        <v>USD</v>
      </c>
      <c r="N6720" s="33">
        <f>(_xlfn.XLOOKUP(Pipeline_tbl[[#This Row],[Rate_Code_Generalized]],Lookups!A:A,Lookups!B:B))*Pipeline_tbl[[#This Row],[Pipeline_Amount_USD]]</f>
        <v>33881.129999999997</v>
      </c>
      <c r="O6720" t="str">
        <f>_xlfn.XLOOKUP(Pipeline_tbl[[#This Row],[Rep_ID]],Dim_Reps!A:A,Dim_Reps!B:B)</f>
        <v>Zara Duarte</v>
      </c>
      <c r="P6720" t="str">
        <f>_xlfn.XLOOKUP(Pipeline_tbl[[#This Row],[Rep_ID]],Dim_Reps!A:A,Dim_Reps!C:C)</f>
        <v>Enterprise AE</v>
      </c>
      <c r="Q6720" t="str">
        <f>_xlfn.XLOOKUP(Pipeline_tbl[[#This Row],[Rep_ID]],Dim_Reps!A:A,Dim_Reps!D:D)</f>
        <v>Enterprise</v>
      </c>
      <c r="R6720" t="str">
        <f>_xlfn.XLOOKUP(Pipeline_tbl[[#This Row],[Rep_ID]],Dim_Reps!A:A,Dim_Reps!E:E)</f>
        <v>NAMER</v>
      </c>
      <c r="S6720" t="str">
        <f>_xlfn.XLOOKUP(Pipeline_tbl[[#This Row],[Created_Date]],Dim_Date!A:A,Dim_Date!H:H)</f>
        <v>Apr 2024</v>
      </c>
      <c r="T6720" t="str">
        <f>IF(Pipeline_tbl[[#This Row],[Closed_Date]]=0,"",(_xlfn.XLOOKUP(Pipeline_tbl[[#This Row],[Closed_Date]],Dim_Date!A:A,Dim_Date!H:H)))</f>
        <v>Jun 2024</v>
      </c>
      <c r="U6720">
        <f>IF(Pipeline_tbl[[#This Row],[Closed_Date]]=0,"",Pipeline_tbl[[#This Row],[Closed_Date]]-Pipeline_tbl[[#This Row],[Created_Date]])</f>
        <v>59</v>
      </c>
    </row>
    <row r="6721" spans="1:21" ht="15" customHeight="1" x14ac:dyDescent="0.2">
      <c r="A6721" t="s">
        <v>7027</v>
      </c>
      <c r="B6721" t="s">
        <v>191</v>
      </c>
      <c r="C6721" t="s">
        <v>53</v>
      </c>
      <c r="D6721" s="49">
        <v>45410</v>
      </c>
      <c r="E6721" s="49">
        <v>45416</v>
      </c>
      <c r="F6721" s="49">
        <v>45427</v>
      </c>
      <c r="G6721" s="49">
        <v>45444</v>
      </c>
      <c r="I6721" s="49">
        <v>45466</v>
      </c>
      <c r="J6721" t="s">
        <v>49</v>
      </c>
      <c r="K6721" s="33">
        <v>24300</v>
      </c>
      <c r="L6721" t="s">
        <v>62</v>
      </c>
      <c r="M6721" t="str">
        <f>_xlfn.XLOOKUP(Pipeline_tbl[[#This Row],[Rep_ID]],Dim_Reps!A:A,Dim_Reps!K:K)</f>
        <v>USD</v>
      </c>
      <c r="N6721" s="33">
        <f>(_xlfn.XLOOKUP(Pipeline_tbl[[#This Row],[Rate_Code_Generalized]],Lookups!A:A,Lookups!B:B))*Pipeline_tbl[[#This Row],[Pipeline_Amount_USD]]</f>
        <v>28292.489999999998</v>
      </c>
      <c r="O6721" t="str">
        <f>_xlfn.XLOOKUP(Pipeline_tbl[[#This Row],[Rep_ID]],Dim_Reps!A:A,Dim_Reps!B:B)</f>
        <v>Zara Duarte</v>
      </c>
      <c r="P6721" t="str">
        <f>_xlfn.XLOOKUP(Pipeline_tbl[[#This Row],[Rep_ID]],Dim_Reps!A:A,Dim_Reps!C:C)</f>
        <v>Enterprise AE</v>
      </c>
      <c r="Q6721" t="str">
        <f>_xlfn.XLOOKUP(Pipeline_tbl[[#This Row],[Rep_ID]],Dim_Reps!A:A,Dim_Reps!D:D)</f>
        <v>Enterprise</v>
      </c>
      <c r="R6721" t="str">
        <f>_xlfn.XLOOKUP(Pipeline_tbl[[#This Row],[Rep_ID]],Dim_Reps!A:A,Dim_Reps!E:E)</f>
        <v>NAMER</v>
      </c>
      <c r="S6721" t="str">
        <f>_xlfn.XLOOKUP(Pipeline_tbl[[#This Row],[Created_Date]],Dim_Date!A:A,Dim_Date!H:H)</f>
        <v>Apr 2024</v>
      </c>
      <c r="T6721" t="str">
        <f>IF(Pipeline_tbl[[#This Row],[Closed_Date]]=0,"",(_xlfn.XLOOKUP(Pipeline_tbl[[#This Row],[Closed_Date]],Dim_Date!A:A,Dim_Date!H:H)))</f>
        <v>Jun 2024</v>
      </c>
      <c r="U6721">
        <f>IF(Pipeline_tbl[[#This Row],[Closed_Date]]=0,"",Pipeline_tbl[[#This Row],[Closed_Date]]-Pipeline_tbl[[#This Row],[Created_Date]])</f>
        <v>56</v>
      </c>
    </row>
    <row r="6722" spans="1:21" ht="15" customHeight="1" x14ac:dyDescent="0.2">
      <c r="A6722" t="s">
        <v>7028</v>
      </c>
      <c r="B6722" t="s">
        <v>267</v>
      </c>
      <c r="C6722" t="s">
        <v>55</v>
      </c>
      <c r="D6722" s="49">
        <v>45393</v>
      </c>
      <c r="E6722" s="49">
        <v>45398</v>
      </c>
      <c r="F6722" s="49">
        <v>45408</v>
      </c>
      <c r="G6722" s="49">
        <v>45424</v>
      </c>
      <c r="I6722" s="49">
        <v>45444</v>
      </c>
      <c r="J6722" t="s">
        <v>49</v>
      </c>
      <c r="K6722" s="33">
        <v>14700</v>
      </c>
      <c r="L6722" t="s">
        <v>60</v>
      </c>
      <c r="M6722" t="str">
        <f>_xlfn.XLOOKUP(Pipeline_tbl[[#This Row],[Rep_ID]],Dim_Reps!A:A,Dim_Reps!K:K)</f>
        <v>MXN</v>
      </c>
      <c r="N6722" s="33">
        <f>(_xlfn.XLOOKUP(Pipeline_tbl[[#This Row],[Rate_Code_Generalized]],Lookups!A:A,Lookups!B:B))*Pipeline_tbl[[#This Row],[Pipeline_Amount_USD]]</f>
        <v>290070.69</v>
      </c>
      <c r="O6722" t="str">
        <f>_xlfn.XLOOKUP(Pipeline_tbl[[#This Row],[Rep_ID]],Dim_Reps!A:A,Dim_Reps!B:B)</f>
        <v>Yuki Dubois</v>
      </c>
      <c r="P6722" t="str">
        <f>_xlfn.XLOOKUP(Pipeline_tbl[[#This Row],[Rep_ID]],Dim_Reps!A:A,Dim_Reps!C:C)</f>
        <v>Mid-Market AE</v>
      </c>
      <c r="Q6722" t="str">
        <f>_xlfn.XLOOKUP(Pipeline_tbl[[#This Row],[Rep_ID]],Dim_Reps!A:A,Dim_Reps!D:D)</f>
        <v>Mid-Market</v>
      </c>
      <c r="R6722" t="str">
        <f>_xlfn.XLOOKUP(Pipeline_tbl[[#This Row],[Rep_ID]],Dim_Reps!A:A,Dim_Reps!E:E)</f>
        <v>LATAM</v>
      </c>
      <c r="S6722" t="str">
        <f>_xlfn.XLOOKUP(Pipeline_tbl[[#This Row],[Created_Date]],Dim_Date!A:A,Dim_Date!H:H)</f>
        <v>Apr 2024</v>
      </c>
      <c r="T6722" t="str">
        <f>IF(Pipeline_tbl[[#This Row],[Closed_Date]]=0,"",(_xlfn.XLOOKUP(Pipeline_tbl[[#This Row],[Closed_Date]],Dim_Date!A:A,Dim_Date!H:H)))</f>
        <v>Jun 2024</v>
      </c>
      <c r="U6722">
        <f>IF(Pipeline_tbl[[#This Row],[Closed_Date]]=0,"",Pipeline_tbl[[#This Row],[Closed_Date]]-Pipeline_tbl[[#This Row],[Created_Date]])</f>
        <v>51</v>
      </c>
    </row>
    <row r="6723" spans="1:21" ht="15" customHeight="1" x14ac:dyDescent="0.2">
      <c r="A6723" t="s">
        <v>7029</v>
      </c>
      <c r="B6723" t="s">
        <v>267</v>
      </c>
      <c r="C6723" t="s">
        <v>53</v>
      </c>
      <c r="D6723" s="49">
        <v>45405</v>
      </c>
      <c r="E6723" s="49">
        <v>45409</v>
      </c>
      <c r="F6723" s="49">
        <v>45418</v>
      </c>
      <c r="G6723" s="49">
        <v>45431</v>
      </c>
      <c r="I6723" s="49">
        <v>45449</v>
      </c>
      <c r="J6723" t="s">
        <v>49</v>
      </c>
      <c r="K6723" s="33">
        <v>18900</v>
      </c>
      <c r="L6723" t="s">
        <v>60</v>
      </c>
      <c r="M6723" t="str">
        <f>_xlfn.XLOOKUP(Pipeline_tbl[[#This Row],[Rep_ID]],Dim_Reps!A:A,Dim_Reps!K:K)</f>
        <v>MXN</v>
      </c>
      <c r="N6723" s="33">
        <f>(_xlfn.XLOOKUP(Pipeline_tbl[[#This Row],[Rate_Code_Generalized]],Lookups!A:A,Lookups!B:B))*Pipeline_tbl[[#This Row],[Pipeline_Amount_USD]]</f>
        <v>372948.03</v>
      </c>
      <c r="O6723" t="str">
        <f>_xlfn.XLOOKUP(Pipeline_tbl[[#This Row],[Rep_ID]],Dim_Reps!A:A,Dim_Reps!B:B)</f>
        <v>Yuki Dubois</v>
      </c>
      <c r="P6723" t="str">
        <f>_xlfn.XLOOKUP(Pipeline_tbl[[#This Row],[Rep_ID]],Dim_Reps!A:A,Dim_Reps!C:C)</f>
        <v>Mid-Market AE</v>
      </c>
      <c r="Q6723" t="str">
        <f>_xlfn.XLOOKUP(Pipeline_tbl[[#This Row],[Rep_ID]],Dim_Reps!A:A,Dim_Reps!D:D)</f>
        <v>Mid-Market</v>
      </c>
      <c r="R6723" t="str">
        <f>_xlfn.XLOOKUP(Pipeline_tbl[[#This Row],[Rep_ID]],Dim_Reps!A:A,Dim_Reps!E:E)</f>
        <v>LATAM</v>
      </c>
      <c r="S6723" t="str">
        <f>_xlfn.XLOOKUP(Pipeline_tbl[[#This Row],[Created_Date]],Dim_Date!A:A,Dim_Date!H:H)</f>
        <v>Apr 2024</v>
      </c>
      <c r="T6723" t="str">
        <f>IF(Pipeline_tbl[[#This Row],[Closed_Date]]=0,"",(_xlfn.XLOOKUP(Pipeline_tbl[[#This Row],[Closed_Date]],Dim_Date!A:A,Dim_Date!H:H)))</f>
        <v>Jun 2024</v>
      </c>
      <c r="U6723">
        <f>IF(Pipeline_tbl[[#This Row],[Closed_Date]]=0,"",Pipeline_tbl[[#This Row],[Closed_Date]]-Pipeline_tbl[[#This Row],[Created_Date]])</f>
        <v>44</v>
      </c>
    </row>
    <row r="6724" spans="1:21" ht="15" customHeight="1" x14ac:dyDescent="0.2">
      <c r="A6724" t="s">
        <v>7030</v>
      </c>
      <c r="B6724" t="s">
        <v>267</v>
      </c>
      <c r="C6724" t="s">
        <v>56</v>
      </c>
      <c r="D6724" s="49">
        <v>45412</v>
      </c>
      <c r="E6724" s="49">
        <v>45415</v>
      </c>
      <c r="F6724" s="49">
        <v>45422</v>
      </c>
      <c r="G6724" s="49">
        <v>45431</v>
      </c>
      <c r="I6724" s="49">
        <v>45444</v>
      </c>
      <c r="J6724" t="s">
        <v>49</v>
      </c>
      <c r="K6724" s="33">
        <v>14500</v>
      </c>
      <c r="L6724" t="s">
        <v>61</v>
      </c>
      <c r="M6724" t="str">
        <f>_xlfn.XLOOKUP(Pipeline_tbl[[#This Row],[Rep_ID]],Dim_Reps!A:A,Dim_Reps!K:K)</f>
        <v>MXN</v>
      </c>
      <c r="N6724" s="33">
        <f>(_xlfn.XLOOKUP(Pipeline_tbl[[#This Row],[Rate_Code_Generalized]],Lookups!A:A,Lookups!B:B))*Pipeline_tbl[[#This Row],[Pipeline_Amount_USD]]</f>
        <v>286124.15000000002</v>
      </c>
      <c r="O6724" t="str">
        <f>_xlfn.XLOOKUP(Pipeline_tbl[[#This Row],[Rep_ID]],Dim_Reps!A:A,Dim_Reps!B:B)</f>
        <v>Yuki Dubois</v>
      </c>
      <c r="P6724" t="str">
        <f>_xlfn.XLOOKUP(Pipeline_tbl[[#This Row],[Rep_ID]],Dim_Reps!A:A,Dim_Reps!C:C)</f>
        <v>Mid-Market AE</v>
      </c>
      <c r="Q6724" t="str">
        <f>_xlfn.XLOOKUP(Pipeline_tbl[[#This Row],[Rep_ID]],Dim_Reps!A:A,Dim_Reps!D:D)</f>
        <v>Mid-Market</v>
      </c>
      <c r="R6724" t="str">
        <f>_xlfn.XLOOKUP(Pipeline_tbl[[#This Row],[Rep_ID]],Dim_Reps!A:A,Dim_Reps!E:E)</f>
        <v>LATAM</v>
      </c>
      <c r="S6724" t="str">
        <f>_xlfn.XLOOKUP(Pipeline_tbl[[#This Row],[Created_Date]],Dim_Date!A:A,Dim_Date!H:H)</f>
        <v>Apr 2024</v>
      </c>
      <c r="T6724" t="str">
        <f>IF(Pipeline_tbl[[#This Row],[Closed_Date]]=0,"",(_xlfn.XLOOKUP(Pipeline_tbl[[#This Row],[Closed_Date]],Dim_Date!A:A,Dim_Date!H:H)))</f>
        <v>Jun 2024</v>
      </c>
      <c r="U6724">
        <f>IF(Pipeline_tbl[[#This Row],[Closed_Date]]=0,"",Pipeline_tbl[[#This Row],[Closed_Date]]-Pipeline_tbl[[#This Row],[Created_Date]])</f>
        <v>32</v>
      </c>
    </row>
    <row r="6725" spans="1:21" ht="15" customHeight="1" x14ac:dyDescent="0.2">
      <c r="A6725" t="s">
        <v>7031</v>
      </c>
      <c r="B6725" t="s">
        <v>284</v>
      </c>
      <c r="C6725" t="s">
        <v>52</v>
      </c>
      <c r="D6725" s="49">
        <v>45406</v>
      </c>
      <c r="E6725" s="49">
        <v>45410</v>
      </c>
      <c r="F6725" s="49">
        <v>45418</v>
      </c>
      <c r="G6725" s="49">
        <v>45431</v>
      </c>
      <c r="H6725" s="49">
        <v>45441</v>
      </c>
      <c r="I6725" s="49">
        <v>45447</v>
      </c>
      <c r="J6725" t="s">
        <v>47</v>
      </c>
      <c r="K6725" s="33">
        <v>60900</v>
      </c>
      <c r="M6725" t="str">
        <f>_xlfn.XLOOKUP(Pipeline_tbl[[#This Row],[Rep_ID]],Dim_Reps!A:A,Dim_Reps!K:K)</f>
        <v>USD</v>
      </c>
      <c r="N6725" s="33">
        <f>(_xlfn.XLOOKUP(Pipeline_tbl[[#This Row],[Rate_Code_Generalized]],Lookups!A:A,Lookups!B:B))*Pipeline_tbl[[#This Row],[Pipeline_Amount_USD]]</f>
        <v>70905.87</v>
      </c>
      <c r="O6725" t="str">
        <f>_xlfn.XLOOKUP(Pipeline_tbl[[#This Row],[Rep_ID]],Dim_Reps!A:A,Dim_Reps!B:B)</f>
        <v>Taylor Adler</v>
      </c>
      <c r="P6725" t="str">
        <f>_xlfn.XLOOKUP(Pipeline_tbl[[#This Row],[Rep_ID]],Dim_Reps!A:A,Dim_Reps!C:C)</f>
        <v>Senior Enterprise AE</v>
      </c>
      <c r="Q6725" t="str">
        <f>_xlfn.XLOOKUP(Pipeline_tbl[[#This Row],[Rep_ID]],Dim_Reps!A:A,Dim_Reps!D:D)</f>
        <v>Strategic</v>
      </c>
      <c r="R6725" t="str">
        <f>_xlfn.XLOOKUP(Pipeline_tbl[[#This Row],[Rep_ID]],Dim_Reps!A:A,Dim_Reps!E:E)</f>
        <v>NAMER</v>
      </c>
      <c r="S6725" t="str">
        <f>_xlfn.XLOOKUP(Pipeline_tbl[[#This Row],[Created_Date]],Dim_Date!A:A,Dim_Date!H:H)</f>
        <v>Apr 2024</v>
      </c>
      <c r="T6725" t="str">
        <f>IF(Pipeline_tbl[[#This Row],[Closed_Date]]=0,"",(_xlfn.XLOOKUP(Pipeline_tbl[[#This Row],[Closed_Date]],Dim_Date!A:A,Dim_Date!H:H)))</f>
        <v>Jun 2024</v>
      </c>
      <c r="U6725">
        <f>IF(Pipeline_tbl[[#This Row],[Closed_Date]]=0,"",Pipeline_tbl[[#This Row],[Closed_Date]]-Pipeline_tbl[[#This Row],[Created_Date]])</f>
        <v>41</v>
      </c>
    </row>
    <row r="6726" spans="1:21" ht="15" customHeight="1" x14ac:dyDescent="0.2">
      <c r="A6726" t="s">
        <v>7032</v>
      </c>
      <c r="B6726" t="s">
        <v>269</v>
      </c>
      <c r="C6726" t="s">
        <v>53</v>
      </c>
      <c r="D6726" s="49">
        <v>45401</v>
      </c>
      <c r="E6726" s="49">
        <v>45405</v>
      </c>
      <c r="F6726" s="49">
        <v>45415</v>
      </c>
      <c r="G6726" s="49">
        <v>45428</v>
      </c>
      <c r="I6726" s="49">
        <v>45446</v>
      </c>
      <c r="J6726" t="s">
        <v>49</v>
      </c>
      <c r="K6726" s="33">
        <v>24700</v>
      </c>
      <c r="L6726" t="s">
        <v>62</v>
      </c>
      <c r="M6726" t="str">
        <f>_xlfn.XLOOKUP(Pipeline_tbl[[#This Row],[Rep_ID]],Dim_Reps!A:A,Dim_Reps!K:K)</f>
        <v>USD</v>
      </c>
      <c r="N6726" s="33">
        <f>(_xlfn.XLOOKUP(Pipeline_tbl[[#This Row],[Rate_Code_Generalized]],Lookups!A:A,Lookups!B:B))*Pipeline_tbl[[#This Row],[Pipeline_Amount_USD]]</f>
        <v>28758.209999999995</v>
      </c>
      <c r="O6726" t="str">
        <f>_xlfn.XLOOKUP(Pipeline_tbl[[#This Row],[Rep_ID]],Dim_Reps!A:A,Dim_Reps!B:B)</f>
        <v>Morgan Rivera</v>
      </c>
      <c r="P6726" t="str">
        <f>_xlfn.XLOOKUP(Pipeline_tbl[[#This Row],[Rep_ID]],Dim_Reps!A:A,Dim_Reps!C:C)</f>
        <v>Mid-Market AE</v>
      </c>
      <c r="Q6726" t="str">
        <f>_xlfn.XLOOKUP(Pipeline_tbl[[#This Row],[Rep_ID]],Dim_Reps!A:A,Dim_Reps!D:D)</f>
        <v>Mid-Market</v>
      </c>
      <c r="R6726" t="str">
        <f>_xlfn.XLOOKUP(Pipeline_tbl[[#This Row],[Rep_ID]],Dim_Reps!A:A,Dim_Reps!E:E)</f>
        <v>NAMER</v>
      </c>
      <c r="S6726" t="str">
        <f>_xlfn.XLOOKUP(Pipeline_tbl[[#This Row],[Created_Date]],Dim_Date!A:A,Dim_Date!H:H)</f>
        <v>Apr 2024</v>
      </c>
      <c r="T6726" t="str">
        <f>IF(Pipeline_tbl[[#This Row],[Closed_Date]]=0,"",(_xlfn.XLOOKUP(Pipeline_tbl[[#This Row],[Closed_Date]],Dim_Date!A:A,Dim_Date!H:H)))</f>
        <v>Jun 2024</v>
      </c>
      <c r="U6726">
        <f>IF(Pipeline_tbl[[#This Row],[Closed_Date]]=0,"",Pipeline_tbl[[#This Row],[Closed_Date]]-Pipeline_tbl[[#This Row],[Created_Date]])</f>
        <v>45</v>
      </c>
    </row>
    <row r="6727" spans="1:21" ht="15" customHeight="1" x14ac:dyDescent="0.2">
      <c r="A6727" t="s">
        <v>7033</v>
      </c>
      <c r="B6727" t="s">
        <v>193</v>
      </c>
      <c r="C6727" t="s">
        <v>52</v>
      </c>
      <c r="D6727" s="49">
        <v>45408</v>
      </c>
      <c r="E6727" s="49">
        <v>45410</v>
      </c>
      <c r="F6727" s="49">
        <v>45414</v>
      </c>
      <c r="I6727" s="49">
        <v>45427</v>
      </c>
      <c r="J6727" t="s">
        <v>49</v>
      </c>
      <c r="K6727" s="33">
        <v>1400</v>
      </c>
      <c r="L6727" t="s">
        <v>61</v>
      </c>
      <c r="M6727" t="str">
        <f>_xlfn.XLOOKUP(Pipeline_tbl[[#This Row],[Rep_ID]],Dim_Reps!A:A,Dim_Reps!K:K)</f>
        <v>USD</v>
      </c>
      <c r="N6727" s="33">
        <f>(_xlfn.XLOOKUP(Pipeline_tbl[[#This Row],[Rate_Code_Generalized]],Lookups!A:A,Lookups!B:B))*Pipeline_tbl[[#This Row],[Pipeline_Amount_USD]]</f>
        <v>1630.0199999999998</v>
      </c>
      <c r="O6727" t="str">
        <f>_xlfn.XLOOKUP(Pipeline_tbl[[#This Row],[Rep_ID]],Dim_Reps!A:A,Dim_Reps!B:B)</f>
        <v>Karim Rossi</v>
      </c>
      <c r="P6727" t="str">
        <f>_xlfn.XLOOKUP(Pipeline_tbl[[#This Row],[Rep_ID]],Dim_Reps!A:A,Dim_Reps!C:C)</f>
        <v>SDR / Inside Sales Rep</v>
      </c>
      <c r="Q6727" t="str">
        <f>_xlfn.XLOOKUP(Pipeline_tbl[[#This Row],[Rep_ID]],Dim_Reps!A:A,Dim_Reps!D:D)</f>
        <v>Inside Sales</v>
      </c>
      <c r="R6727" t="str">
        <f>_xlfn.XLOOKUP(Pipeline_tbl[[#This Row],[Rep_ID]],Dim_Reps!A:A,Dim_Reps!E:E)</f>
        <v>NAMER</v>
      </c>
      <c r="S6727" t="str">
        <f>_xlfn.XLOOKUP(Pipeline_tbl[[#This Row],[Created_Date]],Dim_Date!A:A,Dim_Date!H:H)</f>
        <v>Apr 2024</v>
      </c>
      <c r="T6727" t="str">
        <f>IF(Pipeline_tbl[[#This Row],[Closed_Date]]=0,"",(_xlfn.XLOOKUP(Pipeline_tbl[[#This Row],[Closed_Date]],Dim_Date!A:A,Dim_Date!H:H)))</f>
        <v>May 2024</v>
      </c>
      <c r="U6727">
        <f>IF(Pipeline_tbl[[#This Row],[Closed_Date]]=0,"",Pipeline_tbl[[#This Row],[Closed_Date]]-Pipeline_tbl[[#This Row],[Created_Date]])</f>
        <v>19</v>
      </c>
    </row>
    <row r="6728" spans="1:21" ht="15" customHeight="1" x14ac:dyDescent="0.2">
      <c r="A6728" t="s">
        <v>7034</v>
      </c>
      <c r="B6728" t="s">
        <v>193</v>
      </c>
      <c r="C6728" t="s">
        <v>53</v>
      </c>
      <c r="D6728" s="49">
        <v>45403</v>
      </c>
      <c r="E6728" s="49">
        <v>45405</v>
      </c>
      <c r="F6728" s="49">
        <v>45409</v>
      </c>
      <c r="G6728" s="49">
        <v>45415</v>
      </c>
      <c r="H6728" s="49">
        <v>45420</v>
      </c>
      <c r="I6728" s="49">
        <v>45423</v>
      </c>
      <c r="J6728" t="s">
        <v>47</v>
      </c>
      <c r="K6728" s="33">
        <v>2400</v>
      </c>
      <c r="M6728" t="str">
        <f>_xlfn.XLOOKUP(Pipeline_tbl[[#This Row],[Rep_ID]],Dim_Reps!A:A,Dim_Reps!K:K)</f>
        <v>USD</v>
      </c>
      <c r="N6728" s="33">
        <f>(_xlfn.XLOOKUP(Pipeline_tbl[[#This Row],[Rate_Code_Generalized]],Lookups!A:A,Lookups!B:B))*Pipeline_tbl[[#This Row],[Pipeline_Amount_USD]]</f>
        <v>2794.3199999999997</v>
      </c>
      <c r="O6728" t="str">
        <f>_xlfn.XLOOKUP(Pipeline_tbl[[#This Row],[Rep_ID]],Dim_Reps!A:A,Dim_Reps!B:B)</f>
        <v>Karim Rossi</v>
      </c>
      <c r="P6728" t="str">
        <f>_xlfn.XLOOKUP(Pipeline_tbl[[#This Row],[Rep_ID]],Dim_Reps!A:A,Dim_Reps!C:C)</f>
        <v>SDR / Inside Sales Rep</v>
      </c>
      <c r="Q6728" t="str">
        <f>_xlfn.XLOOKUP(Pipeline_tbl[[#This Row],[Rep_ID]],Dim_Reps!A:A,Dim_Reps!D:D)</f>
        <v>Inside Sales</v>
      </c>
      <c r="R6728" t="str">
        <f>_xlfn.XLOOKUP(Pipeline_tbl[[#This Row],[Rep_ID]],Dim_Reps!A:A,Dim_Reps!E:E)</f>
        <v>NAMER</v>
      </c>
      <c r="S6728" t="str">
        <f>_xlfn.XLOOKUP(Pipeline_tbl[[#This Row],[Created_Date]],Dim_Date!A:A,Dim_Date!H:H)</f>
        <v>Apr 2024</v>
      </c>
      <c r="T6728" t="str">
        <f>IF(Pipeline_tbl[[#This Row],[Closed_Date]]=0,"",(_xlfn.XLOOKUP(Pipeline_tbl[[#This Row],[Closed_Date]],Dim_Date!A:A,Dim_Date!H:H)))</f>
        <v>May 2024</v>
      </c>
      <c r="U6728">
        <f>IF(Pipeline_tbl[[#This Row],[Closed_Date]]=0,"",Pipeline_tbl[[#This Row],[Closed_Date]]-Pipeline_tbl[[#This Row],[Created_Date]])</f>
        <v>20</v>
      </c>
    </row>
    <row r="6729" spans="1:21" ht="15" customHeight="1" x14ac:dyDescent="0.2">
      <c r="A6729" t="s">
        <v>7035</v>
      </c>
      <c r="B6729" t="s">
        <v>193</v>
      </c>
      <c r="C6729" t="s">
        <v>52</v>
      </c>
      <c r="D6729" s="49">
        <v>45399</v>
      </c>
      <c r="E6729" s="49">
        <v>45401</v>
      </c>
      <c r="F6729" s="49">
        <v>45406</v>
      </c>
      <c r="G6729" s="49">
        <v>45413</v>
      </c>
      <c r="H6729" s="49">
        <v>45419</v>
      </c>
      <c r="I6729" s="49">
        <v>45423</v>
      </c>
      <c r="J6729" t="s">
        <v>49</v>
      </c>
      <c r="K6729" s="33">
        <v>5100</v>
      </c>
      <c r="L6729" t="s">
        <v>63</v>
      </c>
      <c r="M6729" t="str">
        <f>_xlfn.XLOOKUP(Pipeline_tbl[[#This Row],[Rep_ID]],Dim_Reps!A:A,Dim_Reps!K:K)</f>
        <v>USD</v>
      </c>
      <c r="N6729" s="33">
        <f>(_xlfn.XLOOKUP(Pipeline_tbl[[#This Row],[Rate_Code_Generalized]],Lookups!A:A,Lookups!B:B))*Pipeline_tbl[[#This Row],[Pipeline_Amount_USD]]</f>
        <v>5937.9299999999994</v>
      </c>
      <c r="O6729" t="str">
        <f>_xlfn.XLOOKUP(Pipeline_tbl[[#This Row],[Rep_ID]],Dim_Reps!A:A,Dim_Reps!B:B)</f>
        <v>Karim Rossi</v>
      </c>
      <c r="P6729" t="str">
        <f>_xlfn.XLOOKUP(Pipeline_tbl[[#This Row],[Rep_ID]],Dim_Reps!A:A,Dim_Reps!C:C)</f>
        <v>SDR / Inside Sales Rep</v>
      </c>
      <c r="Q6729" t="str">
        <f>_xlfn.XLOOKUP(Pipeline_tbl[[#This Row],[Rep_ID]],Dim_Reps!A:A,Dim_Reps!D:D)</f>
        <v>Inside Sales</v>
      </c>
      <c r="R6729" t="str">
        <f>_xlfn.XLOOKUP(Pipeline_tbl[[#This Row],[Rep_ID]],Dim_Reps!A:A,Dim_Reps!E:E)</f>
        <v>NAMER</v>
      </c>
      <c r="S6729" t="str">
        <f>_xlfn.XLOOKUP(Pipeline_tbl[[#This Row],[Created_Date]],Dim_Date!A:A,Dim_Date!H:H)</f>
        <v>Apr 2024</v>
      </c>
      <c r="T6729" t="str">
        <f>IF(Pipeline_tbl[[#This Row],[Closed_Date]]=0,"",(_xlfn.XLOOKUP(Pipeline_tbl[[#This Row],[Closed_Date]],Dim_Date!A:A,Dim_Date!H:H)))</f>
        <v>May 2024</v>
      </c>
      <c r="U6729">
        <f>IF(Pipeline_tbl[[#This Row],[Closed_Date]]=0,"",Pipeline_tbl[[#This Row],[Closed_Date]]-Pipeline_tbl[[#This Row],[Created_Date]])</f>
        <v>24</v>
      </c>
    </row>
    <row r="6730" spans="1:21" ht="15" customHeight="1" x14ac:dyDescent="0.2">
      <c r="A6730" t="s">
        <v>7036</v>
      </c>
      <c r="B6730" t="s">
        <v>193</v>
      </c>
      <c r="C6730" t="s">
        <v>52</v>
      </c>
      <c r="D6730" s="49">
        <v>45404</v>
      </c>
      <c r="E6730" s="49">
        <v>45405</v>
      </c>
      <c r="I6730" s="49">
        <v>45418</v>
      </c>
      <c r="J6730" t="s">
        <v>49</v>
      </c>
      <c r="K6730" s="33">
        <v>3600</v>
      </c>
      <c r="L6730" t="s">
        <v>60</v>
      </c>
      <c r="M6730" t="str">
        <f>_xlfn.XLOOKUP(Pipeline_tbl[[#This Row],[Rep_ID]],Dim_Reps!A:A,Dim_Reps!K:K)</f>
        <v>USD</v>
      </c>
      <c r="N6730" s="33">
        <f>(_xlfn.XLOOKUP(Pipeline_tbl[[#This Row],[Rate_Code_Generalized]],Lookups!A:A,Lookups!B:B))*Pipeline_tbl[[#This Row],[Pipeline_Amount_USD]]</f>
        <v>4191.4799999999996</v>
      </c>
      <c r="O6730" t="str">
        <f>_xlfn.XLOOKUP(Pipeline_tbl[[#This Row],[Rep_ID]],Dim_Reps!A:A,Dim_Reps!B:B)</f>
        <v>Karim Rossi</v>
      </c>
      <c r="P6730" t="str">
        <f>_xlfn.XLOOKUP(Pipeline_tbl[[#This Row],[Rep_ID]],Dim_Reps!A:A,Dim_Reps!C:C)</f>
        <v>SDR / Inside Sales Rep</v>
      </c>
      <c r="Q6730" t="str">
        <f>_xlfn.XLOOKUP(Pipeline_tbl[[#This Row],[Rep_ID]],Dim_Reps!A:A,Dim_Reps!D:D)</f>
        <v>Inside Sales</v>
      </c>
      <c r="R6730" t="str">
        <f>_xlfn.XLOOKUP(Pipeline_tbl[[#This Row],[Rep_ID]],Dim_Reps!A:A,Dim_Reps!E:E)</f>
        <v>NAMER</v>
      </c>
      <c r="S6730" t="str">
        <f>_xlfn.XLOOKUP(Pipeline_tbl[[#This Row],[Created_Date]],Dim_Date!A:A,Dim_Date!H:H)</f>
        <v>Apr 2024</v>
      </c>
      <c r="T6730" t="str">
        <f>IF(Pipeline_tbl[[#This Row],[Closed_Date]]=0,"",(_xlfn.XLOOKUP(Pipeline_tbl[[#This Row],[Closed_Date]],Dim_Date!A:A,Dim_Date!H:H)))</f>
        <v>May 2024</v>
      </c>
      <c r="U6730">
        <f>IF(Pipeline_tbl[[#This Row],[Closed_Date]]=0,"",Pipeline_tbl[[#This Row],[Closed_Date]]-Pipeline_tbl[[#This Row],[Created_Date]])</f>
        <v>14</v>
      </c>
    </row>
    <row r="6731" spans="1:21" ht="15" customHeight="1" x14ac:dyDescent="0.2">
      <c r="A6731" t="s">
        <v>7037</v>
      </c>
      <c r="B6731" t="s">
        <v>193</v>
      </c>
      <c r="C6731" t="s">
        <v>53</v>
      </c>
      <c r="D6731" s="49">
        <v>45409</v>
      </c>
      <c r="E6731" s="49">
        <v>45411</v>
      </c>
      <c r="I6731" s="49">
        <v>45429</v>
      </c>
      <c r="J6731" t="s">
        <v>49</v>
      </c>
      <c r="K6731" s="33">
        <v>3200</v>
      </c>
      <c r="L6731" t="s">
        <v>60</v>
      </c>
      <c r="M6731" t="str">
        <f>_xlfn.XLOOKUP(Pipeline_tbl[[#This Row],[Rep_ID]],Dim_Reps!A:A,Dim_Reps!K:K)</f>
        <v>USD</v>
      </c>
      <c r="N6731" s="33">
        <f>(_xlfn.XLOOKUP(Pipeline_tbl[[#This Row],[Rate_Code_Generalized]],Lookups!A:A,Lookups!B:B))*Pipeline_tbl[[#This Row],[Pipeline_Amount_USD]]</f>
        <v>3725.7599999999998</v>
      </c>
      <c r="O6731" t="str">
        <f>_xlfn.XLOOKUP(Pipeline_tbl[[#This Row],[Rep_ID]],Dim_Reps!A:A,Dim_Reps!B:B)</f>
        <v>Karim Rossi</v>
      </c>
      <c r="P6731" t="str">
        <f>_xlfn.XLOOKUP(Pipeline_tbl[[#This Row],[Rep_ID]],Dim_Reps!A:A,Dim_Reps!C:C)</f>
        <v>SDR / Inside Sales Rep</v>
      </c>
      <c r="Q6731" t="str">
        <f>_xlfn.XLOOKUP(Pipeline_tbl[[#This Row],[Rep_ID]],Dim_Reps!A:A,Dim_Reps!D:D)</f>
        <v>Inside Sales</v>
      </c>
      <c r="R6731" t="str">
        <f>_xlfn.XLOOKUP(Pipeline_tbl[[#This Row],[Rep_ID]],Dim_Reps!A:A,Dim_Reps!E:E)</f>
        <v>NAMER</v>
      </c>
      <c r="S6731" t="str">
        <f>_xlfn.XLOOKUP(Pipeline_tbl[[#This Row],[Created_Date]],Dim_Date!A:A,Dim_Date!H:H)</f>
        <v>Apr 2024</v>
      </c>
      <c r="T6731" t="str">
        <f>IF(Pipeline_tbl[[#This Row],[Closed_Date]]=0,"",(_xlfn.XLOOKUP(Pipeline_tbl[[#This Row],[Closed_Date]],Dim_Date!A:A,Dim_Date!H:H)))</f>
        <v>May 2024</v>
      </c>
      <c r="U6731">
        <f>IF(Pipeline_tbl[[#This Row],[Closed_Date]]=0,"",Pipeline_tbl[[#This Row],[Closed_Date]]-Pipeline_tbl[[#This Row],[Created_Date]])</f>
        <v>20</v>
      </c>
    </row>
    <row r="6732" spans="1:21" ht="15" customHeight="1" x14ac:dyDescent="0.2">
      <c r="A6732" t="s">
        <v>7038</v>
      </c>
      <c r="B6732" t="s">
        <v>193</v>
      </c>
      <c r="C6732" t="s">
        <v>56</v>
      </c>
      <c r="D6732" s="49">
        <v>45400</v>
      </c>
      <c r="E6732" s="49">
        <v>45402</v>
      </c>
      <c r="F6732" s="49">
        <v>45406</v>
      </c>
      <c r="G6732" s="49">
        <v>45412</v>
      </c>
      <c r="I6732" s="49">
        <v>45420</v>
      </c>
      <c r="J6732" t="s">
        <v>49</v>
      </c>
      <c r="K6732" s="33">
        <v>3700</v>
      </c>
      <c r="L6732" t="s">
        <v>61</v>
      </c>
      <c r="M6732" t="str">
        <f>_xlfn.XLOOKUP(Pipeline_tbl[[#This Row],[Rep_ID]],Dim_Reps!A:A,Dim_Reps!K:K)</f>
        <v>USD</v>
      </c>
      <c r="N6732" s="33">
        <f>(_xlfn.XLOOKUP(Pipeline_tbl[[#This Row],[Rate_Code_Generalized]],Lookups!A:A,Lookups!B:B))*Pipeline_tbl[[#This Row],[Pipeline_Amount_USD]]</f>
        <v>4307.91</v>
      </c>
      <c r="O6732" t="str">
        <f>_xlfn.XLOOKUP(Pipeline_tbl[[#This Row],[Rep_ID]],Dim_Reps!A:A,Dim_Reps!B:B)</f>
        <v>Karim Rossi</v>
      </c>
      <c r="P6732" t="str">
        <f>_xlfn.XLOOKUP(Pipeline_tbl[[#This Row],[Rep_ID]],Dim_Reps!A:A,Dim_Reps!C:C)</f>
        <v>SDR / Inside Sales Rep</v>
      </c>
      <c r="Q6732" t="str">
        <f>_xlfn.XLOOKUP(Pipeline_tbl[[#This Row],[Rep_ID]],Dim_Reps!A:A,Dim_Reps!D:D)</f>
        <v>Inside Sales</v>
      </c>
      <c r="R6732" t="str">
        <f>_xlfn.XLOOKUP(Pipeline_tbl[[#This Row],[Rep_ID]],Dim_Reps!A:A,Dim_Reps!E:E)</f>
        <v>NAMER</v>
      </c>
      <c r="S6732" t="str">
        <f>_xlfn.XLOOKUP(Pipeline_tbl[[#This Row],[Created_Date]],Dim_Date!A:A,Dim_Date!H:H)</f>
        <v>Apr 2024</v>
      </c>
      <c r="T6732" t="str">
        <f>IF(Pipeline_tbl[[#This Row],[Closed_Date]]=0,"",(_xlfn.XLOOKUP(Pipeline_tbl[[#This Row],[Closed_Date]],Dim_Date!A:A,Dim_Date!H:H)))</f>
        <v>May 2024</v>
      </c>
      <c r="U6732">
        <f>IF(Pipeline_tbl[[#This Row],[Closed_Date]]=0,"",Pipeline_tbl[[#This Row],[Closed_Date]]-Pipeline_tbl[[#This Row],[Created_Date]])</f>
        <v>20</v>
      </c>
    </row>
    <row r="6733" spans="1:21" ht="15" customHeight="1" x14ac:dyDescent="0.2">
      <c r="A6733" t="s">
        <v>7039</v>
      </c>
      <c r="B6733" t="s">
        <v>193</v>
      </c>
      <c r="C6733" t="s">
        <v>52</v>
      </c>
      <c r="D6733" s="49">
        <v>45412</v>
      </c>
      <c r="E6733" s="49">
        <v>45414</v>
      </c>
      <c r="I6733" s="49">
        <v>45433</v>
      </c>
      <c r="J6733" t="s">
        <v>49</v>
      </c>
      <c r="K6733" s="33">
        <v>2300</v>
      </c>
      <c r="L6733" t="s">
        <v>64</v>
      </c>
      <c r="M6733" t="str">
        <f>_xlfn.XLOOKUP(Pipeline_tbl[[#This Row],[Rep_ID]],Dim_Reps!A:A,Dim_Reps!K:K)</f>
        <v>USD</v>
      </c>
      <c r="N6733" s="33">
        <f>(_xlfn.XLOOKUP(Pipeline_tbl[[#This Row],[Rate_Code_Generalized]],Lookups!A:A,Lookups!B:B))*Pipeline_tbl[[#This Row],[Pipeline_Amount_USD]]</f>
        <v>2677.89</v>
      </c>
      <c r="O6733" t="str">
        <f>_xlfn.XLOOKUP(Pipeline_tbl[[#This Row],[Rep_ID]],Dim_Reps!A:A,Dim_Reps!B:B)</f>
        <v>Karim Rossi</v>
      </c>
      <c r="P6733" t="str">
        <f>_xlfn.XLOOKUP(Pipeline_tbl[[#This Row],[Rep_ID]],Dim_Reps!A:A,Dim_Reps!C:C)</f>
        <v>SDR / Inside Sales Rep</v>
      </c>
      <c r="Q6733" t="str">
        <f>_xlfn.XLOOKUP(Pipeline_tbl[[#This Row],[Rep_ID]],Dim_Reps!A:A,Dim_Reps!D:D)</f>
        <v>Inside Sales</v>
      </c>
      <c r="R6733" t="str">
        <f>_xlfn.XLOOKUP(Pipeline_tbl[[#This Row],[Rep_ID]],Dim_Reps!A:A,Dim_Reps!E:E)</f>
        <v>NAMER</v>
      </c>
      <c r="S6733" t="str">
        <f>_xlfn.XLOOKUP(Pipeline_tbl[[#This Row],[Created_Date]],Dim_Date!A:A,Dim_Date!H:H)</f>
        <v>Apr 2024</v>
      </c>
      <c r="T6733" t="str">
        <f>IF(Pipeline_tbl[[#This Row],[Closed_Date]]=0,"",(_xlfn.XLOOKUP(Pipeline_tbl[[#This Row],[Closed_Date]],Dim_Date!A:A,Dim_Date!H:H)))</f>
        <v>May 2024</v>
      </c>
      <c r="U6733">
        <f>IF(Pipeline_tbl[[#This Row],[Closed_Date]]=0,"",Pipeline_tbl[[#This Row],[Closed_Date]]-Pipeline_tbl[[#This Row],[Created_Date]])</f>
        <v>21</v>
      </c>
    </row>
    <row r="6734" spans="1:21" ht="15" customHeight="1" x14ac:dyDescent="0.2">
      <c r="A6734" t="s">
        <v>7040</v>
      </c>
      <c r="B6734" t="s">
        <v>193</v>
      </c>
      <c r="C6734" t="s">
        <v>54</v>
      </c>
      <c r="D6734" s="49">
        <v>45404</v>
      </c>
      <c r="E6734" s="49">
        <v>45406</v>
      </c>
      <c r="F6734" s="49">
        <v>45409</v>
      </c>
      <c r="G6734" s="49">
        <v>45414</v>
      </c>
      <c r="H6734" s="49">
        <v>45418</v>
      </c>
      <c r="I6734" s="49">
        <v>45421</v>
      </c>
      <c r="J6734" t="s">
        <v>47</v>
      </c>
      <c r="K6734" s="33">
        <v>5700</v>
      </c>
      <c r="M6734" t="str">
        <f>_xlfn.XLOOKUP(Pipeline_tbl[[#This Row],[Rep_ID]],Dim_Reps!A:A,Dim_Reps!K:K)</f>
        <v>USD</v>
      </c>
      <c r="N6734" s="33">
        <f>(_xlfn.XLOOKUP(Pipeline_tbl[[#This Row],[Rate_Code_Generalized]],Lookups!A:A,Lookups!B:B))*Pipeline_tbl[[#This Row],[Pipeline_Amount_USD]]</f>
        <v>6636.5099999999993</v>
      </c>
      <c r="O6734" t="str">
        <f>_xlfn.XLOOKUP(Pipeline_tbl[[#This Row],[Rep_ID]],Dim_Reps!A:A,Dim_Reps!B:B)</f>
        <v>Karim Rossi</v>
      </c>
      <c r="P6734" t="str">
        <f>_xlfn.XLOOKUP(Pipeline_tbl[[#This Row],[Rep_ID]],Dim_Reps!A:A,Dim_Reps!C:C)</f>
        <v>SDR / Inside Sales Rep</v>
      </c>
      <c r="Q6734" t="str">
        <f>_xlfn.XLOOKUP(Pipeline_tbl[[#This Row],[Rep_ID]],Dim_Reps!A:A,Dim_Reps!D:D)</f>
        <v>Inside Sales</v>
      </c>
      <c r="R6734" t="str">
        <f>_xlfn.XLOOKUP(Pipeline_tbl[[#This Row],[Rep_ID]],Dim_Reps!A:A,Dim_Reps!E:E)</f>
        <v>NAMER</v>
      </c>
      <c r="S6734" t="str">
        <f>_xlfn.XLOOKUP(Pipeline_tbl[[#This Row],[Created_Date]],Dim_Date!A:A,Dim_Date!H:H)</f>
        <v>Apr 2024</v>
      </c>
      <c r="T6734" t="str">
        <f>IF(Pipeline_tbl[[#This Row],[Closed_Date]]=0,"",(_xlfn.XLOOKUP(Pipeline_tbl[[#This Row],[Closed_Date]],Dim_Date!A:A,Dim_Date!H:H)))</f>
        <v>May 2024</v>
      </c>
      <c r="U6734">
        <f>IF(Pipeline_tbl[[#This Row],[Closed_Date]]=0,"",Pipeline_tbl[[#This Row],[Closed_Date]]-Pipeline_tbl[[#This Row],[Created_Date]])</f>
        <v>17</v>
      </c>
    </row>
    <row r="6735" spans="1:21" ht="15" customHeight="1" x14ac:dyDescent="0.2">
      <c r="A6735" t="s">
        <v>7041</v>
      </c>
      <c r="B6735" t="s">
        <v>243</v>
      </c>
      <c r="C6735" t="s">
        <v>53</v>
      </c>
      <c r="D6735" s="49">
        <v>45404</v>
      </c>
      <c r="E6735" s="49">
        <v>45406</v>
      </c>
      <c r="F6735" s="49">
        <v>45409</v>
      </c>
      <c r="G6735" s="49">
        <v>45414</v>
      </c>
      <c r="H6735" s="49">
        <v>45418</v>
      </c>
      <c r="I6735" s="49">
        <v>45421</v>
      </c>
      <c r="J6735" t="s">
        <v>47</v>
      </c>
      <c r="K6735" s="33">
        <v>7300</v>
      </c>
      <c r="M6735" t="str">
        <f>_xlfn.XLOOKUP(Pipeline_tbl[[#This Row],[Rep_ID]],Dim_Reps!A:A,Dim_Reps!K:K)</f>
        <v>MXN</v>
      </c>
      <c r="N6735" s="33">
        <f>(_xlfn.XLOOKUP(Pipeline_tbl[[#This Row],[Rate_Code_Generalized]],Lookups!A:A,Lookups!B:B))*Pipeline_tbl[[#This Row],[Pipeline_Amount_USD]]</f>
        <v>144048.71000000002</v>
      </c>
      <c r="O6735" t="str">
        <f>_xlfn.XLOOKUP(Pipeline_tbl[[#This Row],[Rep_ID]],Dim_Reps!A:A,Dim_Reps!B:B)</f>
        <v>Jonas Sato</v>
      </c>
      <c r="P6735" t="str">
        <f>_xlfn.XLOOKUP(Pipeline_tbl[[#This Row],[Rep_ID]],Dim_Reps!A:A,Dim_Reps!C:C)</f>
        <v>Mid-Market AE</v>
      </c>
      <c r="Q6735" t="str">
        <f>_xlfn.XLOOKUP(Pipeline_tbl[[#This Row],[Rep_ID]],Dim_Reps!A:A,Dim_Reps!D:D)</f>
        <v>Mid-Market</v>
      </c>
      <c r="R6735" t="str">
        <f>_xlfn.XLOOKUP(Pipeline_tbl[[#This Row],[Rep_ID]],Dim_Reps!A:A,Dim_Reps!E:E)</f>
        <v>LATAM</v>
      </c>
      <c r="S6735" t="str">
        <f>_xlfn.XLOOKUP(Pipeline_tbl[[#This Row],[Created_Date]],Dim_Date!A:A,Dim_Date!H:H)</f>
        <v>Apr 2024</v>
      </c>
      <c r="T6735" t="str">
        <f>IF(Pipeline_tbl[[#This Row],[Closed_Date]]=0,"",(_xlfn.XLOOKUP(Pipeline_tbl[[#This Row],[Closed_Date]],Dim_Date!A:A,Dim_Date!H:H)))</f>
        <v>May 2024</v>
      </c>
      <c r="U6735">
        <f>IF(Pipeline_tbl[[#This Row],[Closed_Date]]=0,"",Pipeline_tbl[[#This Row],[Closed_Date]]-Pipeline_tbl[[#This Row],[Created_Date]])</f>
        <v>17</v>
      </c>
    </row>
    <row r="6736" spans="1:21" ht="15" customHeight="1" x14ac:dyDescent="0.2">
      <c r="A6736" t="s">
        <v>7042</v>
      </c>
      <c r="B6736" t="s">
        <v>243</v>
      </c>
      <c r="C6736" t="s">
        <v>52</v>
      </c>
      <c r="D6736" s="49">
        <v>45385</v>
      </c>
      <c r="E6736" s="49">
        <v>45388</v>
      </c>
      <c r="F6736" s="49">
        <v>45395</v>
      </c>
      <c r="G6736" s="49">
        <v>45405</v>
      </c>
      <c r="H6736" s="49">
        <v>45413</v>
      </c>
      <c r="I6736" s="49">
        <v>45418</v>
      </c>
      <c r="J6736" t="s">
        <v>47</v>
      </c>
      <c r="K6736" s="33">
        <v>5500</v>
      </c>
      <c r="M6736" t="str">
        <f>_xlfn.XLOOKUP(Pipeline_tbl[[#This Row],[Rep_ID]],Dim_Reps!A:A,Dim_Reps!K:K)</f>
        <v>MXN</v>
      </c>
      <c r="N6736" s="33">
        <f>(_xlfn.XLOOKUP(Pipeline_tbl[[#This Row],[Rate_Code_Generalized]],Lookups!A:A,Lookups!B:B))*Pipeline_tbl[[#This Row],[Pipeline_Amount_USD]]</f>
        <v>108529.85</v>
      </c>
      <c r="O6736" t="str">
        <f>_xlfn.XLOOKUP(Pipeline_tbl[[#This Row],[Rep_ID]],Dim_Reps!A:A,Dim_Reps!B:B)</f>
        <v>Jonas Sato</v>
      </c>
      <c r="P6736" t="str">
        <f>_xlfn.XLOOKUP(Pipeline_tbl[[#This Row],[Rep_ID]],Dim_Reps!A:A,Dim_Reps!C:C)</f>
        <v>Mid-Market AE</v>
      </c>
      <c r="Q6736" t="str">
        <f>_xlfn.XLOOKUP(Pipeline_tbl[[#This Row],[Rep_ID]],Dim_Reps!A:A,Dim_Reps!D:D)</f>
        <v>Mid-Market</v>
      </c>
      <c r="R6736" t="str">
        <f>_xlfn.XLOOKUP(Pipeline_tbl[[#This Row],[Rep_ID]],Dim_Reps!A:A,Dim_Reps!E:E)</f>
        <v>LATAM</v>
      </c>
      <c r="S6736" t="str">
        <f>_xlfn.XLOOKUP(Pipeline_tbl[[#This Row],[Created_Date]],Dim_Date!A:A,Dim_Date!H:H)</f>
        <v>Apr 2024</v>
      </c>
      <c r="T6736" t="str">
        <f>IF(Pipeline_tbl[[#This Row],[Closed_Date]]=0,"",(_xlfn.XLOOKUP(Pipeline_tbl[[#This Row],[Closed_Date]],Dim_Date!A:A,Dim_Date!H:H)))</f>
        <v>May 2024</v>
      </c>
      <c r="U6736">
        <f>IF(Pipeline_tbl[[#This Row],[Closed_Date]]=0,"",Pipeline_tbl[[#This Row],[Closed_Date]]-Pipeline_tbl[[#This Row],[Created_Date]])</f>
        <v>33</v>
      </c>
    </row>
    <row r="6737" spans="1:21" ht="15" customHeight="1" x14ac:dyDescent="0.2">
      <c r="A6737" t="s">
        <v>7043</v>
      </c>
      <c r="B6737" t="s">
        <v>243</v>
      </c>
      <c r="C6737" t="s">
        <v>54</v>
      </c>
      <c r="D6737" s="49">
        <v>45392</v>
      </c>
      <c r="E6737" s="49">
        <v>45396</v>
      </c>
      <c r="F6737" s="49">
        <v>45404</v>
      </c>
      <c r="G6737" s="49">
        <v>45415</v>
      </c>
      <c r="H6737" s="49">
        <v>45425</v>
      </c>
      <c r="I6737" s="49">
        <v>45431</v>
      </c>
      <c r="J6737" t="s">
        <v>47</v>
      </c>
      <c r="K6737" s="33">
        <v>12500</v>
      </c>
      <c r="M6737" t="str">
        <f>_xlfn.XLOOKUP(Pipeline_tbl[[#This Row],[Rep_ID]],Dim_Reps!A:A,Dim_Reps!K:K)</f>
        <v>MXN</v>
      </c>
      <c r="N6737" s="33">
        <f>(_xlfn.XLOOKUP(Pipeline_tbl[[#This Row],[Rate_Code_Generalized]],Lookups!A:A,Lookups!B:B))*Pipeline_tbl[[#This Row],[Pipeline_Amount_USD]]</f>
        <v>246658.75000000003</v>
      </c>
      <c r="O6737" t="str">
        <f>_xlfn.XLOOKUP(Pipeline_tbl[[#This Row],[Rep_ID]],Dim_Reps!A:A,Dim_Reps!B:B)</f>
        <v>Jonas Sato</v>
      </c>
      <c r="P6737" t="str">
        <f>_xlfn.XLOOKUP(Pipeline_tbl[[#This Row],[Rep_ID]],Dim_Reps!A:A,Dim_Reps!C:C)</f>
        <v>Mid-Market AE</v>
      </c>
      <c r="Q6737" t="str">
        <f>_xlfn.XLOOKUP(Pipeline_tbl[[#This Row],[Rep_ID]],Dim_Reps!A:A,Dim_Reps!D:D)</f>
        <v>Mid-Market</v>
      </c>
      <c r="R6737" t="str">
        <f>_xlfn.XLOOKUP(Pipeline_tbl[[#This Row],[Rep_ID]],Dim_Reps!A:A,Dim_Reps!E:E)</f>
        <v>LATAM</v>
      </c>
      <c r="S6737" t="str">
        <f>_xlfn.XLOOKUP(Pipeline_tbl[[#This Row],[Created_Date]],Dim_Date!A:A,Dim_Date!H:H)</f>
        <v>Apr 2024</v>
      </c>
      <c r="T6737" t="str">
        <f>IF(Pipeline_tbl[[#This Row],[Closed_Date]]=0,"",(_xlfn.XLOOKUP(Pipeline_tbl[[#This Row],[Closed_Date]],Dim_Date!A:A,Dim_Date!H:H)))</f>
        <v>May 2024</v>
      </c>
      <c r="U6737">
        <f>IF(Pipeline_tbl[[#This Row],[Closed_Date]]=0,"",Pipeline_tbl[[#This Row],[Closed_Date]]-Pipeline_tbl[[#This Row],[Created_Date]])</f>
        <v>39</v>
      </c>
    </row>
    <row r="6738" spans="1:21" ht="15" customHeight="1" x14ac:dyDescent="0.2">
      <c r="A6738" t="s">
        <v>7044</v>
      </c>
      <c r="B6738" t="s">
        <v>243</v>
      </c>
      <c r="C6738" t="s">
        <v>52</v>
      </c>
      <c r="D6738" s="49">
        <v>45399</v>
      </c>
      <c r="E6738" s="49">
        <v>45403</v>
      </c>
      <c r="F6738" s="49">
        <v>45410</v>
      </c>
      <c r="G6738" s="49">
        <v>45421</v>
      </c>
      <c r="H6738" s="49">
        <v>45430</v>
      </c>
      <c r="I6738" s="49">
        <v>45435</v>
      </c>
      <c r="J6738" t="s">
        <v>47</v>
      </c>
      <c r="K6738" s="33">
        <v>11600</v>
      </c>
      <c r="M6738" t="str">
        <f>_xlfn.XLOOKUP(Pipeline_tbl[[#This Row],[Rep_ID]],Dim_Reps!A:A,Dim_Reps!K:K)</f>
        <v>MXN</v>
      </c>
      <c r="N6738" s="33">
        <f>(_xlfn.XLOOKUP(Pipeline_tbl[[#This Row],[Rate_Code_Generalized]],Lookups!A:A,Lookups!B:B))*Pipeline_tbl[[#This Row],[Pipeline_Amount_USD]]</f>
        <v>228899.32</v>
      </c>
      <c r="O6738" t="str">
        <f>_xlfn.XLOOKUP(Pipeline_tbl[[#This Row],[Rep_ID]],Dim_Reps!A:A,Dim_Reps!B:B)</f>
        <v>Jonas Sato</v>
      </c>
      <c r="P6738" t="str">
        <f>_xlfn.XLOOKUP(Pipeline_tbl[[#This Row],[Rep_ID]],Dim_Reps!A:A,Dim_Reps!C:C)</f>
        <v>Mid-Market AE</v>
      </c>
      <c r="Q6738" t="str">
        <f>_xlfn.XLOOKUP(Pipeline_tbl[[#This Row],[Rep_ID]],Dim_Reps!A:A,Dim_Reps!D:D)</f>
        <v>Mid-Market</v>
      </c>
      <c r="R6738" t="str">
        <f>_xlfn.XLOOKUP(Pipeline_tbl[[#This Row],[Rep_ID]],Dim_Reps!A:A,Dim_Reps!E:E)</f>
        <v>LATAM</v>
      </c>
      <c r="S6738" t="str">
        <f>_xlfn.XLOOKUP(Pipeline_tbl[[#This Row],[Created_Date]],Dim_Date!A:A,Dim_Date!H:H)</f>
        <v>Apr 2024</v>
      </c>
      <c r="T6738" t="str">
        <f>IF(Pipeline_tbl[[#This Row],[Closed_Date]]=0,"",(_xlfn.XLOOKUP(Pipeline_tbl[[#This Row],[Closed_Date]],Dim_Date!A:A,Dim_Date!H:H)))</f>
        <v>May 2024</v>
      </c>
      <c r="U6738">
        <f>IF(Pipeline_tbl[[#This Row],[Closed_Date]]=0,"",Pipeline_tbl[[#This Row],[Closed_Date]]-Pipeline_tbl[[#This Row],[Created_Date]])</f>
        <v>36</v>
      </c>
    </row>
    <row r="6739" spans="1:21" ht="15" customHeight="1" x14ac:dyDescent="0.2">
      <c r="A6739" t="s">
        <v>7045</v>
      </c>
      <c r="B6739" t="s">
        <v>199</v>
      </c>
      <c r="C6739" t="s">
        <v>52</v>
      </c>
      <c r="D6739" s="49">
        <v>45409</v>
      </c>
      <c r="E6739" s="49">
        <v>45411</v>
      </c>
      <c r="F6739" s="49">
        <v>45414</v>
      </c>
      <c r="G6739" s="49">
        <v>45419</v>
      </c>
      <c r="I6739" s="49">
        <v>45425</v>
      </c>
      <c r="J6739" t="s">
        <v>49</v>
      </c>
      <c r="K6739" s="33">
        <v>1400</v>
      </c>
      <c r="L6739" t="s">
        <v>60</v>
      </c>
      <c r="M6739" t="str">
        <f>_xlfn.XLOOKUP(Pipeline_tbl[[#This Row],[Rep_ID]],Dim_Reps!A:A,Dim_Reps!K:K)</f>
        <v>EUR</v>
      </c>
      <c r="N6739" s="33">
        <f>(_xlfn.XLOOKUP(Pipeline_tbl[[#This Row],[Rate_Code_Generalized]],Lookups!A:A,Lookups!B:B))*Pipeline_tbl[[#This Row],[Pipeline_Amount_USD]]</f>
        <v>1400</v>
      </c>
      <c r="O6739" t="str">
        <f>_xlfn.XLOOKUP(Pipeline_tbl[[#This Row],[Rep_ID]],Dim_Reps!A:A,Dim_Reps!B:B)</f>
        <v>Lucas Okafor</v>
      </c>
      <c r="P6739" t="str">
        <f>_xlfn.XLOOKUP(Pipeline_tbl[[#This Row],[Rep_ID]],Dim_Reps!A:A,Dim_Reps!C:C)</f>
        <v>SDR / Inside Sales Rep</v>
      </c>
      <c r="Q6739" t="str">
        <f>_xlfn.XLOOKUP(Pipeline_tbl[[#This Row],[Rep_ID]],Dim_Reps!A:A,Dim_Reps!D:D)</f>
        <v>Inside Sales</v>
      </c>
      <c r="R6739" t="str">
        <f>_xlfn.XLOOKUP(Pipeline_tbl[[#This Row],[Rep_ID]],Dim_Reps!A:A,Dim_Reps!E:E)</f>
        <v>APAC</v>
      </c>
      <c r="S6739" t="str">
        <f>_xlfn.XLOOKUP(Pipeline_tbl[[#This Row],[Created_Date]],Dim_Date!A:A,Dim_Date!H:H)</f>
        <v>Apr 2024</v>
      </c>
      <c r="T6739" t="str">
        <f>IF(Pipeline_tbl[[#This Row],[Closed_Date]]=0,"",(_xlfn.XLOOKUP(Pipeline_tbl[[#This Row],[Closed_Date]],Dim_Date!A:A,Dim_Date!H:H)))</f>
        <v>May 2024</v>
      </c>
      <c r="U6739">
        <f>IF(Pipeline_tbl[[#This Row],[Closed_Date]]=0,"",Pipeline_tbl[[#This Row],[Closed_Date]]-Pipeline_tbl[[#This Row],[Created_Date]])</f>
        <v>16</v>
      </c>
    </row>
    <row r="6740" spans="1:21" ht="15" customHeight="1" x14ac:dyDescent="0.2">
      <c r="A6740" t="s">
        <v>7046</v>
      </c>
      <c r="B6740" t="s">
        <v>199</v>
      </c>
      <c r="C6740" t="s">
        <v>54</v>
      </c>
      <c r="D6740" s="49">
        <v>45397</v>
      </c>
      <c r="E6740" s="49">
        <v>45399</v>
      </c>
      <c r="F6740" s="49">
        <v>45402</v>
      </c>
      <c r="G6740" s="49">
        <v>45407</v>
      </c>
      <c r="I6740" s="49">
        <v>45414</v>
      </c>
      <c r="J6740" t="s">
        <v>49</v>
      </c>
      <c r="K6740" s="33">
        <v>2400</v>
      </c>
      <c r="L6740" t="s">
        <v>61</v>
      </c>
      <c r="M6740" t="str">
        <f>_xlfn.XLOOKUP(Pipeline_tbl[[#This Row],[Rep_ID]],Dim_Reps!A:A,Dim_Reps!K:K)</f>
        <v>EUR</v>
      </c>
      <c r="N6740" s="33">
        <f>(_xlfn.XLOOKUP(Pipeline_tbl[[#This Row],[Rate_Code_Generalized]],Lookups!A:A,Lookups!B:B))*Pipeline_tbl[[#This Row],[Pipeline_Amount_USD]]</f>
        <v>2400</v>
      </c>
      <c r="O6740" t="str">
        <f>_xlfn.XLOOKUP(Pipeline_tbl[[#This Row],[Rep_ID]],Dim_Reps!A:A,Dim_Reps!B:B)</f>
        <v>Lucas Okafor</v>
      </c>
      <c r="P6740" t="str">
        <f>_xlfn.XLOOKUP(Pipeline_tbl[[#This Row],[Rep_ID]],Dim_Reps!A:A,Dim_Reps!C:C)</f>
        <v>SDR / Inside Sales Rep</v>
      </c>
      <c r="Q6740" t="str">
        <f>_xlfn.XLOOKUP(Pipeline_tbl[[#This Row],[Rep_ID]],Dim_Reps!A:A,Dim_Reps!D:D)</f>
        <v>Inside Sales</v>
      </c>
      <c r="R6740" t="str">
        <f>_xlfn.XLOOKUP(Pipeline_tbl[[#This Row],[Rep_ID]],Dim_Reps!A:A,Dim_Reps!E:E)</f>
        <v>APAC</v>
      </c>
      <c r="S6740" t="str">
        <f>_xlfn.XLOOKUP(Pipeline_tbl[[#This Row],[Created_Date]],Dim_Date!A:A,Dim_Date!H:H)</f>
        <v>Apr 2024</v>
      </c>
      <c r="T6740" t="str">
        <f>IF(Pipeline_tbl[[#This Row],[Closed_Date]]=0,"",(_xlfn.XLOOKUP(Pipeline_tbl[[#This Row],[Closed_Date]],Dim_Date!A:A,Dim_Date!H:H)))</f>
        <v>May 2024</v>
      </c>
      <c r="U6740">
        <f>IF(Pipeline_tbl[[#This Row],[Closed_Date]]=0,"",Pipeline_tbl[[#This Row],[Closed_Date]]-Pipeline_tbl[[#This Row],[Created_Date]])</f>
        <v>17</v>
      </c>
    </row>
    <row r="6741" spans="1:21" ht="15" customHeight="1" x14ac:dyDescent="0.2">
      <c r="A6741" t="s">
        <v>7047</v>
      </c>
      <c r="B6741" t="s">
        <v>199</v>
      </c>
      <c r="C6741" t="s">
        <v>52</v>
      </c>
      <c r="D6741" s="49">
        <v>45405</v>
      </c>
      <c r="E6741" s="49">
        <v>45406</v>
      </c>
      <c r="F6741" s="49">
        <v>45409</v>
      </c>
      <c r="G6741" s="49">
        <v>45413</v>
      </c>
      <c r="H6741" s="49">
        <v>45417</v>
      </c>
      <c r="I6741" s="49">
        <v>45419</v>
      </c>
      <c r="J6741" t="s">
        <v>47</v>
      </c>
      <c r="K6741" s="33">
        <v>1000</v>
      </c>
      <c r="M6741" t="str">
        <f>_xlfn.XLOOKUP(Pipeline_tbl[[#This Row],[Rep_ID]],Dim_Reps!A:A,Dim_Reps!K:K)</f>
        <v>EUR</v>
      </c>
      <c r="N6741" s="33">
        <f>(_xlfn.XLOOKUP(Pipeline_tbl[[#This Row],[Rate_Code_Generalized]],Lookups!A:A,Lookups!B:B))*Pipeline_tbl[[#This Row],[Pipeline_Amount_USD]]</f>
        <v>1000</v>
      </c>
      <c r="O6741" t="str">
        <f>_xlfn.XLOOKUP(Pipeline_tbl[[#This Row],[Rep_ID]],Dim_Reps!A:A,Dim_Reps!B:B)</f>
        <v>Lucas Okafor</v>
      </c>
      <c r="P6741" t="str">
        <f>_xlfn.XLOOKUP(Pipeline_tbl[[#This Row],[Rep_ID]],Dim_Reps!A:A,Dim_Reps!C:C)</f>
        <v>SDR / Inside Sales Rep</v>
      </c>
      <c r="Q6741" t="str">
        <f>_xlfn.XLOOKUP(Pipeline_tbl[[#This Row],[Rep_ID]],Dim_Reps!A:A,Dim_Reps!D:D)</f>
        <v>Inside Sales</v>
      </c>
      <c r="R6741" t="str">
        <f>_xlfn.XLOOKUP(Pipeline_tbl[[#This Row],[Rep_ID]],Dim_Reps!A:A,Dim_Reps!E:E)</f>
        <v>APAC</v>
      </c>
      <c r="S6741" t="str">
        <f>_xlfn.XLOOKUP(Pipeline_tbl[[#This Row],[Created_Date]],Dim_Date!A:A,Dim_Date!H:H)</f>
        <v>Apr 2024</v>
      </c>
      <c r="T6741" t="str">
        <f>IF(Pipeline_tbl[[#This Row],[Closed_Date]]=0,"",(_xlfn.XLOOKUP(Pipeline_tbl[[#This Row],[Closed_Date]],Dim_Date!A:A,Dim_Date!H:H)))</f>
        <v>May 2024</v>
      </c>
      <c r="U6741">
        <f>IF(Pipeline_tbl[[#This Row],[Closed_Date]]=0,"",Pipeline_tbl[[#This Row],[Closed_Date]]-Pipeline_tbl[[#This Row],[Created_Date]])</f>
        <v>14</v>
      </c>
    </row>
    <row r="6742" spans="1:21" ht="15" customHeight="1" x14ac:dyDescent="0.2">
      <c r="A6742" t="s">
        <v>7048</v>
      </c>
      <c r="B6742" t="s">
        <v>199</v>
      </c>
      <c r="C6742" t="s">
        <v>53</v>
      </c>
      <c r="D6742" s="49">
        <v>45396</v>
      </c>
      <c r="E6742" s="49">
        <v>45398</v>
      </c>
      <c r="F6742" s="49">
        <v>45402</v>
      </c>
      <c r="G6742" s="49">
        <v>45407</v>
      </c>
      <c r="H6742" s="49">
        <v>45412</v>
      </c>
      <c r="I6742" s="49">
        <v>45415</v>
      </c>
      <c r="J6742" t="s">
        <v>47</v>
      </c>
      <c r="K6742" s="33">
        <v>2200</v>
      </c>
      <c r="M6742" t="str">
        <f>_xlfn.XLOOKUP(Pipeline_tbl[[#This Row],[Rep_ID]],Dim_Reps!A:A,Dim_Reps!K:K)</f>
        <v>EUR</v>
      </c>
      <c r="N6742" s="33">
        <f>(_xlfn.XLOOKUP(Pipeline_tbl[[#This Row],[Rate_Code_Generalized]],Lookups!A:A,Lookups!B:B))*Pipeline_tbl[[#This Row],[Pipeline_Amount_USD]]</f>
        <v>2200</v>
      </c>
      <c r="O6742" t="str">
        <f>_xlfn.XLOOKUP(Pipeline_tbl[[#This Row],[Rep_ID]],Dim_Reps!A:A,Dim_Reps!B:B)</f>
        <v>Lucas Okafor</v>
      </c>
      <c r="P6742" t="str">
        <f>_xlfn.XLOOKUP(Pipeline_tbl[[#This Row],[Rep_ID]],Dim_Reps!A:A,Dim_Reps!C:C)</f>
        <v>SDR / Inside Sales Rep</v>
      </c>
      <c r="Q6742" t="str">
        <f>_xlfn.XLOOKUP(Pipeline_tbl[[#This Row],[Rep_ID]],Dim_Reps!A:A,Dim_Reps!D:D)</f>
        <v>Inside Sales</v>
      </c>
      <c r="R6742" t="str">
        <f>_xlfn.XLOOKUP(Pipeline_tbl[[#This Row],[Rep_ID]],Dim_Reps!A:A,Dim_Reps!E:E)</f>
        <v>APAC</v>
      </c>
      <c r="S6742" t="str">
        <f>_xlfn.XLOOKUP(Pipeline_tbl[[#This Row],[Created_Date]],Dim_Date!A:A,Dim_Date!H:H)</f>
        <v>Apr 2024</v>
      </c>
      <c r="T6742" t="str">
        <f>IF(Pipeline_tbl[[#This Row],[Closed_Date]]=0,"",(_xlfn.XLOOKUP(Pipeline_tbl[[#This Row],[Closed_Date]],Dim_Date!A:A,Dim_Date!H:H)))</f>
        <v>May 2024</v>
      </c>
      <c r="U6742">
        <f>IF(Pipeline_tbl[[#This Row],[Closed_Date]]=0,"",Pipeline_tbl[[#This Row],[Closed_Date]]-Pipeline_tbl[[#This Row],[Created_Date]])</f>
        <v>19</v>
      </c>
    </row>
    <row r="6743" spans="1:21" ht="15" customHeight="1" x14ac:dyDescent="0.2">
      <c r="A6743" t="s">
        <v>7049</v>
      </c>
      <c r="B6743" t="s">
        <v>199</v>
      </c>
      <c r="C6743" t="s">
        <v>52</v>
      </c>
      <c r="D6743" s="49">
        <v>45406</v>
      </c>
      <c r="E6743" s="49">
        <v>45407</v>
      </c>
      <c r="F6743" s="49">
        <v>45409</v>
      </c>
      <c r="I6743" s="49">
        <v>45416</v>
      </c>
      <c r="J6743" t="s">
        <v>49</v>
      </c>
      <c r="K6743" s="33">
        <v>9300</v>
      </c>
      <c r="L6743" t="s">
        <v>61</v>
      </c>
      <c r="M6743" t="str">
        <f>_xlfn.XLOOKUP(Pipeline_tbl[[#This Row],[Rep_ID]],Dim_Reps!A:A,Dim_Reps!K:K)</f>
        <v>EUR</v>
      </c>
      <c r="N6743" s="33">
        <f>(_xlfn.XLOOKUP(Pipeline_tbl[[#This Row],[Rate_Code_Generalized]],Lookups!A:A,Lookups!B:B))*Pipeline_tbl[[#This Row],[Pipeline_Amount_USD]]</f>
        <v>9300</v>
      </c>
      <c r="O6743" t="str">
        <f>_xlfn.XLOOKUP(Pipeline_tbl[[#This Row],[Rep_ID]],Dim_Reps!A:A,Dim_Reps!B:B)</f>
        <v>Lucas Okafor</v>
      </c>
      <c r="P6743" t="str">
        <f>_xlfn.XLOOKUP(Pipeline_tbl[[#This Row],[Rep_ID]],Dim_Reps!A:A,Dim_Reps!C:C)</f>
        <v>SDR / Inside Sales Rep</v>
      </c>
      <c r="Q6743" t="str">
        <f>_xlfn.XLOOKUP(Pipeline_tbl[[#This Row],[Rep_ID]],Dim_Reps!A:A,Dim_Reps!D:D)</f>
        <v>Inside Sales</v>
      </c>
      <c r="R6743" t="str">
        <f>_xlfn.XLOOKUP(Pipeline_tbl[[#This Row],[Rep_ID]],Dim_Reps!A:A,Dim_Reps!E:E)</f>
        <v>APAC</v>
      </c>
      <c r="S6743" t="str">
        <f>_xlfn.XLOOKUP(Pipeline_tbl[[#This Row],[Created_Date]],Dim_Date!A:A,Dim_Date!H:H)</f>
        <v>Apr 2024</v>
      </c>
      <c r="T6743" t="str">
        <f>IF(Pipeline_tbl[[#This Row],[Closed_Date]]=0,"",(_xlfn.XLOOKUP(Pipeline_tbl[[#This Row],[Closed_Date]],Dim_Date!A:A,Dim_Date!H:H)))</f>
        <v>May 2024</v>
      </c>
      <c r="U6743">
        <f>IF(Pipeline_tbl[[#This Row],[Closed_Date]]=0,"",Pipeline_tbl[[#This Row],[Closed_Date]]-Pipeline_tbl[[#This Row],[Created_Date]])</f>
        <v>10</v>
      </c>
    </row>
    <row r="6744" spans="1:21" ht="15" customHeight="1" x14ac:dyDescent="0.2">
      <c r="A6744" t="s">
        <v>7050</v>
      </c>
      <c r="B6744" t="s">
        <v>199</v>
      </c>
      <c r="C6744" t="s">
        <v>52</v>
      </c>
      <c r="D6744" s="49">
        <v>45399</v>
      </c>
      <c r="E6744" s="49">
        <v>45401</v>
      </c>
      <c r="F6744" s="49">
        <v>45404</v>
      </c>
      <c r="G6744" s="49">
        <v>45409</v>
      </c>
      <c r="H6744" s="49">
        <v>45413</v>
      </c>
      <c r="I6744" s="49">
        <v>45415</v>
      </c>
      <c r="J6744" t="s">
        <v>49</v>
      </c>
      <c r="K6744" s="33">
        <v>2500</v>
      </c>
      <c r="L6744" t="s">
        <v>64</v>
      </c>
      <c r="M6744" t="str">
        <f>_xlfn.XLOOKUP(Pipeline_tbl[[#This Row],[Rep_ID]],Dim_Reps!A:A,Dim_Reps!K:K)</f>
        <v>EUR</v>
      </c>
      <c r="N6744" s="33">
        <f>(_xlfn.XLOOKUP(Pipeline_tbl[[#This Row],[Rate_Code_Generalized]],Lookups!A:A,Lookups!B:B))*Pipeline_tbl[[#This Row],[Pipeline_Amount_USD]]</f>
        <v>2500</v>
      </c>
      <c r="O6744" t="str">
        <f>_xlfn.XLOOKUP(Pipeline_tbl[[#This Row],[Rep_ID]],Dim_Reps!A:A,Dim_Reps!B:B)</f>
        <v>Lucas Okafor</v>
      </c>
      <c r="P6744" t="str">
        <f>_xlfn.XLOOKUP(Pipeline_tbl[[#This Row],[Rep_ID]],Dim_Reps!A:A,Dim_Reps!C:C)</f>
        <v>SDR / Inside Sales Rep</v>
      </c>
      <c r="Q6744" t="str">
        <f>_xlfn.XLOOKUP(Pipeline_tbl[[#This Row],[Rep_ID]],Dim_Reps!A:A,Dim_Reps!D:D)</f>
        <v>Inside Sales</v>
      </c>
      <c r="R6744" t="str">
        <f>_xlfn.XLOOKUP(Pipeline_tbl[[#This Row],[Rep_ID]],Dim_Reps!A:A,Dim_Reps!E:E)</f>
        <v>APAC</v>
      </c>
      <c r="S6744" t="str">
        <f>_xlfn.XLOOKUP(Pipeline_tbl[[#This Row],[Created_Date]],Dim_Date!A:A,Dim_Date!H:H)</f>
        <v>Apr 2024</v>
      </c>
      <c r="T6744" t="str">
        <f>IF(Pipeline_tbl[[#This Row],[Closed_Date]]=0,"",(_xlfn.XLOOKUP(Pipeline_tbl[[#This Row],[Closed_Date]],Dim_Date!A:A,Dim_Date!H:H)))</f>
        <v>May 2024</v>
      </c>
      <c r="U6744">
        <f>IF(Pipeline_tbl[[#This Row],[Closed_Date]]=0,"",Pipeline_tbl[[#This Row],[Closed_Date]]-Pipeline_tbl[[#This Row],[Created_Date]])</f>
        <v>16</v>
      </c>
    </row>
    <row r="6745" spans="1:21" ht="15" customHeight="1" x14ac:dyDescent="0.2">
      <c r="A6745" t="s">
        <v>7051</v>
      </c>
      <c r="B6745" t="s">
        <v>199</v>
      </c>
      <c r="C6745" t="s">
        <v>55</v>
      </c>
      <c r="D6745" s="49">
        <v>45403</v>
      </c>
      <c r="E6745" s="49">
        <v>45405</v>
      </c>
      <c r="F6745" s="49">
        <v>45410</v>
      </c>
      <c r="G6745" s="49">
        <v>45416</v>
      </c>
      <c r="H6745" s="49">
        <v>45422</v>
      </c>
      <c r="I6745" s="49">
        <v>45425</v>
      </c>
      <c r="J6745" t="s">
        <v>47</v>
      </c>
      <c r="K6745" s="33">
        <v>7200</v>
      </c>
      <c r="M6745" t="str">
        <f>_xlfn.XLOOKUP(Pipeline_tbl[[#This Row],[Rep_ID]],Dim_Reps!A:A,Dim_Reps!K:K)</f>
        <v>EUR</v>
      </c>
      <c r="N6745" s="33">
        <f>(_xlfn.XLOOKUP(Pipeline_tbl[[#This Row],[Rate_Code_Generalized]],Lookups!A:A,Lookups!B:B))*Pipeline_tbl[[#This Row],[Pipeline_Amount_USD]]</f>
        <v>7200</v>
      </c>
      <c r="O6745" t="str">
        <f>_xlfn.XLOOKUP(Pipeline_tbl[[#This Row],[Rep_ID]],Dim_Reps!A:A,Dim_Reps!B:B)</f>
        <v>Lucas Okafor</v>
      </c>
      <c r="P6745" t="str">
        <f>_xlfn.XLOOKUP(Pipeline_tbl[[#This Row],[Rep_ID]],Dim_Reps!A:A,Dim_Reps!C:C)</f>
        <v>SDR / Inside Sales Rep</v>
      </c>
      <c r="Q6745" t="str">
        <f>_xlfn.XLOOKUP(Pipeline_tbl[[#This Row],[Rep_ID]],Dim_Reps!A:A,Dim_Reps!D:D)</f>
        <v>Inside Sales</v>
      </c>
      <c r="R6745" t="str">
        <f>_xlfn.XLOOKUP(Pipeline_tbl[[#This Row],[Rep_ID]],Dim_Reps!A:A,Dim_Reps!E:E)</f>
        <v>APAC</v>
      </c>
      <c r="S6745" t="str">
        <f>_xlfn.XLOOKUP(Pipeline_tbl[[#This Row],[Created_Date]],Dim_Date!A:A,Dim_Date!H:H)</f>
        <v>Apr 2024</v>
      </c>
      <c r="T6745" t="str">
        <f>IF(Pipeline_tbl[[#This Row],[Closed_Date]]=0,"",(_xlfn.XLOOKUP(Pipeline_tbl[[#This Row],[Closed_Date]],Dim_Date!A:A,Dim_Date!H:H)))</f>
        <v>May 2024</v>
      </c>
      <c r="U6745">
        <f>IF(Pipeline_tbl[[#This Row],[Closed_Date]]=0,"",Pipeline_tbl[[#This Row],[Closed_Date]]-Pipeline_tbl[[#This Row],[Created_Date]])</f>
        <v>22</v>
      </c>
    </row>
    <row r="6746" spans="1:21" ht="15" customHeight="1" x14ac:dyDescent="0.2">
      <c r="A6746" t="s">
        <v>7052</v>
      </c>
      <c r="B6746" t="s">
        <v>199</v>
      </c>
      <c r="C6746" t="s">
        <v>56</v>
      </c>
      <c r="D6746" s="49">
        <v>45402</v>
      </c>
      <c r="E6746" s="49">
        <v>45403</v>
      </c>
      <c r="F6746" s="49">
        <v>45406</v>
      </c>
      <c r="G6746" s="49">
        <v>45410</v>
      </c>
      <c r="I6746" s="49">
        <v>45416</v>
      </c>
      <c r="J6746" t="s">
        <v>49</v>
      </c>
      <c r="K6746" s="33">
        <v>3500</v>
      </c>
      <c r="L6746" t="s">
        <v>62</v>
      </c>
      <c r="M6746" t="str">
        <f>_xlfn.XLOOKUP(Pipeline_tbl[[#This Row],[Rep_ID]],Dim_Reps!A:A,Dim_Reps!K:K)</f>
        <v>EUR</v>
      </c>
      <c r="N6746" s="33">
        <f>(_xlfn.XLOOKUP(Pipeline_tbl[[#This Row],[Rate_Code_Generalized]],Lookups!A:A,Lookups!B:B))*Pipeline_tbl[[#This Row],[Pipeline_Amount_USD]]</f>
        <v>3500</v>
      </c>
      <c r="O6746" t="str">
        <f>_xlfn.XLOOKUP(Pipeline_tbl[[#This Row],[Rep_ID]],Dim_Reps!A:A,Dim_Reps!B:B)</f>
        <v>Lucas Okafor</v>
      </c>
      <c r="P6746" t="str">
        <f>_xlfn.XLOOKUP(Pipeline_tbl[[#This Row],[Rep_ID]],Dim_Reps!A:A,Dim_Reps!C:C)</f>
        <v>SDR / Inside Sales Rep</v>
      </c>
      <c r="Q6746" t="str">
        <f>_xlfn.XLOOKUP(Pipeline_tbl[[#This Row],[Rep_ID]],Dim_Reps!A:A,Dim_Reps!D:D)</f>
        <v>Inside Sales</v>
      </c>
      <c r="R6746" t="str">
        <f>_xlfn.XLOOKUP(Pipeline_tbl[[#This Row],[Rep_ID]],Dim_Reps!A:A,Dim_Reps!E:E)</f>
        <v>APAC</v>
      </c>
      <c r="S6746" t="str">
        <f>_xlfn.XLOOKUP(Pipeline_tbl[[#This Row],[Created_Date]],Dim_Date!A:A,Dim_Date!H:H)</f>
        <v>Apr 2024</v>
      </c>
      <c r="T6746" t="str">
        <f>IF(Pipeline_tbl[[#This Row],[Closed_Date]]=0,"",(_xlfn.XLOOKUP(Pipeline_tbl[[#This Row],[Closed_Date]],Dim_Date!A:A,Dim_Date!H:H)))</f>
        <v>May 2024</v>
      </c>
      <c r="U6746">
        <f>IF(Pipeline_tbl[[#This Row],[Closed_Date]]=0,"",Pipeline_tbl[[#This Row],[Closed_Date]]-Pipeline_tbl[[#This Row],[Created_Date]])</f>
        <v>14</v>
      </c>
    </row>
    <row r="6747" spans="1:21" ht="15" customHeight="1" x14ac:dyDescent="0.2">
      <c r="A6747" t="s">
        <v>7053</v>
      </c>
      <c r="B6747" t="s">
        <v>199</v>
      </c>
      <c r="C6747" t="s">
        <v>52</v>
      </c>
      <c r="D6747" s="49">
        <v>45408</v>
      </c>
      <c r="E6747" s="49">
        <v>45410</v>
      </c>
      <c r="I6747" s="49">
        <v>45423</v>
      </c>
      <c r="J6747" t="s">
        <v>49</v>
      </c>
      <c r="K6747" s="33">
        <v>5300</v>
      </c>
      <c r="L6747" t="s">
        <v>61</v>
      </c>
      <c r="M6747" t="str">
        <f>_xlfn.XLOOKUP(Pipeline_tbl[[#This Row],[Rep_ID]],Dim_Reps!A:A,Dim_Reps!K:K)</f>
        <v>EUR</v>
      </c>
      <c r="N6747" s="33">
        <f>(_xlfn.XLOOKUP(Pipeline_tbl[[#This Row],[Rate_Code_Generalized]],Lookups!A:A,Lookups!B:B))*Pipeline_tbl[[#This Row],[Pipeline_Amount_USD]]</f>
        <v>5300</v>
      </c>
      <c r="O6747" t="str">
        <f>_xlfn.XLOOKUP(Pipeline_tbl[[#This Row],[Rep_ID]],Dim_Reps!A:A,Dim_Reps!B:B)</f>
        <v>Lucas Okafor</v>
      </c>
      <c r="P6747" t="str">
        <f>_xlfn.XLOOKUP(Pipeline_tbl[[#This Row],[Rep_ID]],Dim_Reps!A:A,Dim_Reps!C:C)</f>
        <v>SDR / Inside Sales Rep</v>
      </c>
      <c r="Q6747" t="str">
        <f>_xlfn.XLOOKUP(Pipeline_tbl[[#This Row],[Rep_ID]],Dim_Reps!A:A,Dim_Reps!D:D)</f>
        <v>Inside Sales</v>
      </c>
      <c r="R6747" t="str">
        <f>_xlfn.XLOOKUP(Pipeline_tbl[[#This Row],[Rep_ID]],Dim_Reps!A:A,Dim_Reps!E:E)</f>
        <v>APAC</v>
      </c>
      <c r="S6747" t="str">
        <f>_xlfn.XLOOKUP(Pipeline_tbl[[#This Row],[Created_Date]],Dim_Date!A:A,Dim_Date!H:H)</f>
        <v>Apr 2024</v>
      </c>
      <c r="T6747" t="str">
        <f>IF(Pipeline_tbl[[#This Row],[Closed_Date]]=0,"",(_xlfn.XLOOKUP(Pipeline_tbl[[#This Row],[Closed_Date]],Dim_Date!A:A,Dim_Date!H:H)))</f>
        <v>May 2024</v>
      </c>
      <c r="U6747">
        <f>IF(Pipeline_tbl[[#This Row],[Closed_Date]]=0,"",Pipeline_tbl[[#This Row],[Closed_Date]]-Pipeline_tbl[[#This Row],[Created_Date]])</f>
        <v>15</v>
      </c>
    </row>
    <row r="6748" spans="1:21" ht="15" customHeight="1" x14ac:dyDescent="0.2">
      <c r="A6748" t="s">
        <v>7054</v>
      </c>
      <c r="B6748" t="s">
        <v>199</v>
      </c>
      <c r="C6748" t="s">
        <v>52</v>
      </c>
      <c r="D6748" s="49">
        <v>45412</v>
      </c>
      <c r="E6748" s="49">
        <v>45414</v>
      </c>
      <c r="F6748" s="49">
        <v>45418</v>
      </c>
      <c r="G6748" s="49">
        <v>45424</v>
      </c>
      <c r="I6748" s="49">
        <v>45432</v>
      </c>
      <c r="J6748" t="s">
        <v>49</v>
      </c>
      <c r="K6748" s="33">
        <v>3300</v>
      </c>
      <c r="L6748" t="s">
        <v>60</v>
      </c>
      <c r="M6748" t="str">
        <f>_xlfn.XLOOKUP(Pipeline_tbl[[#This Row],[Rep_ID]],Dim_Reps!A:A,Dim_Reps!K:K)</f>
        <v>EUR</v>
      </c>
      <c r="N6748" s="33">
        <f>(_xlfn.XLOOKUP(Pipeline_tbl[[#This Row],[Rate_Code_Generalized]],Lookups!A:A,Lookups!B:B))*Pipeline_tbl[[#This Row],[Pipeline_Amount_USD]]</f>
        <v>3300</v>
      </c>
      <c r="O6748" t="str">
        <f>_xlfn.XLOOKUP(Pipeline_tbl[[#This Row],[Rep_ID]],Dim_Reps!A:A,Dim_Reps!B:B)</f>
        <v>Lucas Okafor</v>
      </c>
      <c r="P6748" t="str">
        <f>_xlfn.XLOOKUP(Pipeline_tbl[[#This Row],[Rep_ID]],Dim_Reps!A:A,Dim_Reps!C:C)</f>
        <v>SDR / Inside Sales Rep</v>
      </c>
      <c r="Q6748" t="str">
        <f>_xlfn.XLOOKUP(Pipeline_tbl[[#This Row],[Rep_ID]],Dim_Reps!A:A,Dim_Reps!D:D)</f>
        <v>Inside Sales</v>
      </c>
      <c r="R6748" t="str">
        <f>_xlfn.XLOOKUP(Pipeline_tbl[[#This Row],[Rep_ID]],Dim_Reps!A:A,Dim_Reps!E:E)</f>
        <v>APAC</v>
      </c>
      <c r="S6748" t="str">
        <f>_xlfn.XLOOKUP(Pipeline_tbl[[#This Row],[Created_Date]],Dim_Date!A:A,Dim_Date!H:H)</f>
        <v>Apr 2024</v>
      </c>
      <c r="T6748" t="str">
        <f>IF(Pipeline_tbl[[#This Row],[Closed_Date]]=0,"",(_xlfn.XLOOKUP(Pipeline_tbl[[#This Row],[Closed_Date]],Dim_Date!A:A,Dim_Date!H:H)))</f>
        <v>May 2024</v>
      </c>
      <c r="U6748">
        <f>IF(Pipeline_tbl[[#This Row],[Closed_Date]]=0,"",Pipeline_tbl[[#This Row],[Closed_Date]]-Pipeline_tbl[[#This Row],[Created_Date]])</f>
        <v>20</v>
      </c>
    </row>
    <row r="6749" spans="1:21" ht="15" customHeight="1" x14ac:dyDescent="0.2">
      <c r="A6749" t="s">
        <v>7055</v>
      </c>
      <c r="B6749" t="s">
        <v>199</v>
      </c>
      <c r="C6749" t="s">
        <v>56</v>
      </c>
      <c r="D6749" s="49">
        <v>45400</v>
      </c>
      <c r="E6749" s="49">
        <v>45402</v>
      </c>
      <c r="F6749" s="49">
        <v>45406</v>
      </c>
      <c r="G6749" s="49">
        <v>45411</v>
      </c>
      <c r="I6749" s="49">
        <v>45419</v>
      </c>
      <c r="J6749" t="s">
        <v>49</v>
      </c>
      <c r="K6749" s="33">
        <v>2200</v>
      </c>
      <c r="L6749" t="s">
        <v>62</v>
      </c>
      <c r="M6749" t="str">
        <f>_xlfn.XLOOKUP(Pipeline_tbl[[#This Row],[Rep_ID]],Dim_Reps!A:A,Dim_Reps!K:K)</f>
        <v>EUR</v>
      </c>
      <c r="N6749" s="33">
        <f>(_xlfn.XLOOKUP(Pipeline_tbl[[#This Row],[Rate_Code_Generalized]],Lookups!A:A,Lookups!B:B))*Pipeline_tbl[[#This Row],[Pipeline_Amount_USD]]</f>
        <v>2200</v>
      </c>
      <c r="O6749" t="str">
        <f>_xlfn.XLOOKUP(Pipeline_tbl[[#This Row],[Rep_ID]],Dim_Reps!A:A,Dim_Reps!B:B)</f>
        <v>Lucas Okafor</v>
      </c>
      <c r="P6749" t="str">
        <f>_xlfn.XLOOKUP(Pipeline_tbl[[#This Row],[Rep_ID]],Dim_Reps!A:A,Dim_Reps!C:C)</f>
        <v>SDR / Inside Sales Rep</v>
      </c>
      <c r="Q6749" t="str">
        <f>_xlfn.XLOOKUP(Pipeline_tbl[[#This Row],[Rep_ID]],Dim_Reps!A:A,Dim_Reps!D:D)</f>
        <v>Inside Sales</v>
      </c>
      <c r="R6749" t="str">
        <f>_xlfn.XLOOKUP(Pipeline_tbl[[#This Row],[Rep_ID]],Dim_Reps!A:A,Dim_Reps!E:E)</f>
        <v>APAC</v>
      </c>
      <c r="S6749" t="str">
        <f>_xlfn.XLOOKUP(Pipeline_tbl[[#This Row],[Created_Date]],Dim_Date!A:A,Dim_Date!H:H)</f>
        <v>Apr 2024</v>
      </c>
      <c r="T6749" t="str">
        <f>IF(Pipeline_tbl[[#This Row],[Closed_Date]]=0,"",(_xlfn.XLOOKUP(Pipeline_tbl[[#This Row],[Closed_Date]],Dim_Date!A:A,Dim_Date!H:H)))</f>
        <v>May 2024</v>
      </c>
      <c r="U6749">
        <f>IF(Pipeline_tbl[[#This Row],[Closed_Date]]=0,"",Pipeline_tbl[[#This Row],[Closed_Date]]-Pipeline_tbl[[#This Row],[Created_Date]])</f>
        <v>19</v>
      </c>
    </row>
    <row r="6750" spans="1:21" ht="15" customHeight="1" x14ac:dyDescent="0.2">
      <c r="A6750" t="s">
        <v>7056</v>
      </c>
      <c r="B6750" t="s">
        <v>199</v>
      </c>
      <c r="C6750" t="s">
        <v>55</v>
      </c>
      <c r="D6750" s="49">
        <v>45407</v>
      </c>
      <c r="E6750" s="49">
        <v>45409</v>
      </c>
      <c r="F6750" s="49">
        <v>45413</v>
      </c>
      <c r="I6750" s="49">
        <v>45426</v>
      </c>
      <c r="J6750" t="s">
        <v>49</v>
      </c>
      <c r="K6750" s="33">
        <v>4900</v>
      </c>
      <c r="L6750" t="s">
        <v>60</v>
      </c>
      <c r="M6750" t="str">
        <f>_xlfn.XLOOKUP(Pipeline_tbl[[#This Row],[Rep_ID]],Dim_Reps!A:A,Dim_Reps!K:K)</f>
        <v>EUR</v>
      </c>
      <c r="N6750" s="33">
        <f>(_xlfn.XLOOKUP(Pipeline_tbl[[#This Row],[Rate_Code_Generalized]],Lookups!A:A,Lookups!B:B))*Pipeline_tbl[[#This Row],[Pipeline_Amount_USD]]</f>
        <v>4900</v>
      </c>
      <c r="O6750" t="str">
        <f>_xlfn.XLOOKUP(Pipeline_tbl[[#This Row],[Rep_ID]],Dim_Reps!A:A,Dim_Reps!B:B)</f>
        <v>Lucas Okafor</v>
      </c>
      <c r="P6750" t="str">
        <f>_xlfn.XLOOKUP(Pipeline_tbl[[#This Row],[Rep_ID]],Dim_Reps!A:A,Dim_Reps!C:C)</f>
        <v>SDR / Inside Sales Rep</v>
      </c>
      <c r="Q6750" t="str">
        <f>_xlfn.XLOOKUP(Pipeline_tbl[[#This Row],[Rep_ID]],Dim_Reps!A:A,Dim_Reps!D:D)</f>
        <v>Inside Sales</v>
      </c>
      <c r="R6750" t="str">
        <f>_xlfn.XLOOKUP(Pipeline_tbl[[#This Row],[Rep_ID]],Dim_Reps!A:A,Dim_Reps!E:E)</f>
        <v>APAC</v>
      </c>
      <c r="S6750" t="str">
        <f>_xlfn.XLOOKUP(Pipeline_tbl[[#This Row],[Created_Date]],Dim_Date!A:A,Dim_Date!H:H)</f>
        <v>Apr 2024</v>
      </c>
      <c r="T6750" t="str">
        <f>IF(Pipeline_tbl[[#This Row],[Closed_Date]]=0,"",(_xlfn.XLOOKUP(Pipeline_tbl[[#This Row],[Closed_Date]],Dim_Date!A:A,Dim_Date!H:H)))</f>
        <v>May 2024</v>
      </c>
      <c r="U6750">
        <f>IF(Pipeline_tbl[[#This Row],[Closed_Date]]=0,"",Pipeline_tbl[[#This Row],[Closed_Date]]-Pipeline_tbl[[#This Row],[Created_Date]])</f>
        <v>19</v>
      </c>
    </row>
    <row r="6751" spans="1:21" ht="15" customHeight="1" x14ac:dyDescent="0.2">
      <c r="A6751" t="s">
        <v>7057</v>
      </c>
      <c r="B6751" t="s">
        <v>199</v>
      </c>
      <c r="C6751" t="s">
        <v>52</v>
      </c>
      <c r="D6751" s="49">
        <v>45398</v>
      </c>
      <c r="E6751" s="49">
        <v>45400</v>
      </c>
      <c r="F6751" s="49">
        <v>45404</v>
      </c>
      <c r="I6751" s="49">
        <v>45417</v>
      </c>
      <c r="J6751" t="s">
        <v>49</v>
      </c>
      <c r="K6751" s="33">
        <v>3800</v>
      </c>
      <c r="L6751" t="s">
        <v>61</v>
      </c>
      <c r="M6751" t="str">
        <f>_xlfn.XLOOKUP(Pipeline_tbl[[#This Row],[Rep_ID]],Dim_Reps!A:A,Dim_Reps!K:K)</f>
        <v>EUR</v>
      </c>
      <c r="N6751" s="33">
        <f>(_xlfn.XLOOKUP(Pipeline_tbl[[#This Row],[Rate_Code_Generalized]],Lookups!A:A,Lookups!B:B))*Pipeline_tbl[[#This Row],[Pipeline_Amount_USD]]</f>
        <v>3800</v>
      </c>
      <c r="O6751" t="str">
        <f>_xlfn.XLOOKUP(Pipeline_tbl[[#This Row],[Rep_ID]],Dim_Reps!A:A,Dim_Reps!B:B)</f>
        <v>Lucas Okafor</v>
      </c>
      <c r="P6751" t="str">
        <f>_xlfn.XLOOKUP(Pipeline_tbl[[#This Row],[Rep_ID]],Dim_Reps!A:A,Dim_Reps!C:C)</f>
        <v>SDR / Inside Sales Rep</v>
      </c>
      <c r="Q6751" t="str">
        <f>_xlfn.XLOOKUP(Pipeline_tbl[[#This Row],[Rep_ID]],Dim_Reps!A:A,Dim_Reps!D:D)</f>
        <v>Inside Sales</v>
      </c>
      <c r="R6751" t="str">
        <f>_xlfn.XLOOKUP(Pipeline_tbl[[#This Row],[Rep_ID]],Dim_Reps!A:A,Dim_Reps!E:E)</f>
        <v>APAC</v>
      </c>
      <c r="S6751" t="str">
        <f>_xlfn.XLOOKUP(Pipeline_tbl[[#This Row],[Created_Date]],Dim_Date!A:A,Dim_Date!H:H)</f>
        <v>Apr 2024</v>
      </c>
      <c r="T6751" t="str">
        <f>IF(Pipeline_tbl[[#This Row],[Closed_Date]]=0,"",(_xlfn.XLOOKUP(Pipeline_tbl[[#This Row],[Closed_Date]],Dim_Date!A:A,Dim_Date!H:H)))</f>
        <v>May 2024</v>
      </c>
      <c r="U6751">
        <f>IF(Pipeline_tbl[[#This Row],[Closed_Date]]=0,"",Pipeline_tbl[[#This Row],[Closed_Date]]-Pipeline_tbl[[#This Row],[Created_Date]])</f>
        <v>19</v>
      </c>
    </row>
    <row r="6752" spans="1:21" ht="15" customHeight="1" x14ac:dyDescent="0.2">
      <c r="A6752" t="s">
        <v>7058</v>
      </c>
      <c r="B6752" t="s">
        <v>183</v>
      </c>
      <c r="C6752" t="s">
        <v>53</v>
      </c>
      <c r="D6752" s="49">
        <v>45396</v>
      </c>
      <c r="E6752" s="49">
        <v>45401</v>
      </c>
      <c r="F6752" s="49">
        <v>45410</v>
      </c>
      <c r="G6752" s="49">
        <v>45424</v>
      </c>
      <c r="I6752" s="49">
        <v>45443</v>
      </c>
      <c r="J6752" t="s">
        <v>49</v>
      </c>
      <c r="K6752" s="33">
        <v>29200</v>
      </c>
      <c r="L6752" t="s">
        <v>62</v>
      </c>
      <c r="M6752" t="str">
        <f>_xlfn.XLOOKUP(Pipeline_tbl[[#This Row],[Rep_ID]],Dim_Reps!A:A,Dim_Reps!K:K)</f>
        <v>EUR</v>
      </c>
      <c r="N6752" s="33">
        <f>(_xlfn.XLOOKUP(Pipeline_tbl[[#This Row],[Rate_Code_Generalized]],Lookups!A:A,Lookups!B:B))*Pipeline_tbl[[#This Row],[Pipeline_Amount_USD]]</f>
        <v>29200</v>
      </c>
      <c r="O6752" t="str">
        <f>_xlfn.XLOOKUP(Pipeline_tbl[[#This Row],[Rep_ID]],Dim_Reps!A:A,Dim_Reps!B:B)</f>
        <v>Sam Schmidt</v>
      </c>
      <c r="P6752" t="str">
        <f>_xlfn.XLOOKUP(Pipeline_tbl[[#This Row],[Rep_ID]],Dim_Reps!A:A,Dim_Reps!C:C)</f>
        <v>Enterprise AE</v>
      </c>
      <c r="Q6752" t="str">
        <f>_xlfn.XLOOKUP(Pipeline_tbl[[#This Row],[Rep_ID]],Dim_Reps!A:A,Dim_Reps!D:D)</f>
        <v>Enterprise</v>
      </c>
      <c r="R6752" t="str">
        <f>_xlfn.XLOOKUP(Pipeline_tbl[[#This Row],[Rep_ID]],Dim_Reps!A:A,Dim_Reps!E:E)</f>
        <v>EMEA</v>
      </c>
      <c r="S6752" t="str">
        <f>_xlfn.XLOOKUP(Pipeline_tbl[[#This Row],[Created_Date]],Dim_Date!A:A,Dim_Date!H:H)</f>
        <v>Apr 2024</v>
      </c>
      <c r="T6752" t="str">
        <f>IF(Pipeline_tbl[[#This Row],[Closed_Date]]=0,"",(_xlfn.XLOOKUP(Pipeline_tbl[[#This Row],[Closed_Date]],Dim_Date!A:A,Dim_Date!H:H)))</f>
        <v>May 2024</v>
      </c>
      <c r="U6752">
        <f>IF(Pipeline_tbl[[#This Row],[Closed_Date]]=0,"",Pipeline_tbl[[#This Row],[Closed_Date]]-Pipeline_tbl[[#This Row],[Created_Date]])</f>
        <v>47</v>
      </c>
    </row>
    <row r="6753" spans="1:21" ht="15" customHeight="1" x14ac:dyDescent="0.2">
      <c r="A6753" t="s">
        <v>7059</v>
      </c>
      <c r="B6753" t="s">
        <v>205</v>
      </c>
      <c r="C6753" t="s">
        <v>52</v>
      </c>
      <c r="D6753" s="49">
        <v>45399</v>
      </c>
      <c r="E6753" s="49">
        <v>45401</v>
      </c>
      <c r="F6753" s="49">
        <v>45404</v>
      </c>
      <c r="G6753" s="49">
        <v>45409</v>
      </c>
      <c r="H6753" s="49">
        <v>45413</v>
      </c>
      <c r="I6753" s="49">
        <v>45415</v>
      </c>
      <c r="J6753" t="s">
        <v>47</v>
      </c>
      <c r="K6753" s="33">
        <v>2900</v>
      </c>
      <c r="M6753" t="str">
        <f>_xlfn.XLOOKUP(Pipeline_tbl[[#This Row],[Rep_ID]],Dim_Reps!A:A,Dim_Reps!K:K)</f>
        <v>EUR</v>
      </c>
      <c r="N6753" s="33">
        <f>(_xlfn.XLOOKUP(Pipeline_tbl[[#This Row],[Rate_Code_Generalized]],Lookups!A:A,Lookups!B:B))*Pipeline_tbl[[#This Row],[Pipeline_Amount_USD]]</f>
        <v>2900</v>
      </c>
      <c r="O6753" t="str">
        <f>_xlfn.XLOOKUP(Pipeline_tbl[[#This Row],[Rep_ID]],Dim_Reps!A:A,Dim_Reps!B:B)</f>
        <v>Karim Alvarez</v>
      </c>
      <c r="P6753" t="str">
        <f>_xlfn.XLOOKUP(Pipeline_tbl[[#This Row],[Rep_ID]],Dim_Reps!A:A,Dim_Reps!C:C)</f>
        <v>SDR / Inside Sales Rep</v>
      </c>
      <c r="Q6753" t="str">
        <f>_xlfn.XLOOKUP(Pipeline_tbl[[#This Row],[Rep_ID]],Dim_Reps!A:A,Dim_Reps!D:D)</f>
        <v>Inside Sales</v>
      </c>
      <c r="R6753" t="str">
        <f>_xlfn.XLOOKUP(Pipeline_tbl[[#This Row],[Rep_ID]],Dim_Reps!A:A,Dim_Reps!E:E)</f>
        <v>EMEA</v>
      </c>
      <c r="S6753" t="str">
        <f>_xlfn.XLOOKUP(Pipeline_tbl[[#This Row],[Created_Date]],Dim_Date!A:A,Dim_Date!H:H)</f>
        <v>Apr 2024</v>
      </c>
      <c r="T6753" t="str">
        <f>IF(Pipeline_tbl[[#This Row],[Closed_Date]]=0,"",(_xlfn.XLOOKUP(Pipeline_tbl[[#This Row],[Closed_Date]],Dim_Date!A:A,Dim_Date!H:H)))</f>
        <v>May 2024</v>
      </c>
      <c r="U6753">
        <f>IF(Pipeline_tbl[[#This Row],[Closed_Date]]=0,"",Pipeline_tbl[[#This Row],[Closed_Date]]-Pipeline_tbl[[#This Row],[Created_Date]])</f>
        <v>16</v>
      </c>
    </row>
    <row r="6754" spans="1:21" ht="15" customHeight="1" x14ac:dyDescent="0.2">
      <c r="A6754" t="s">
        <v>7060</v>
      </c>
      <c r="B6754" t="s">
        <v>205</v>
      </c>
      <c r="C6754" t="s">
        <v>53</v>
      </c>
      <c r="D6754" s="49">
        <v>45406</v>
      </c>
      <c r="E6754" s="49">
        <v>45408</v>
      </c>
      <c r="F6754" s="49">
        <v>45411</v>
      </c>
      <c r="G6754" s="49">
        <v>45416</v>
      </c>
      <c r="H6754" s="49">
        <v>45420</v>
      </c>
      <c r="I6754" s="49">
        <v>45422</v>
      </c>
      <c r="J6754" t="s">
        <v>47</v>
      </c>
      <c r="K6754" s="33">
        <v>5900</v>
      </c>
      <c r="M6754" t="str">
        <f>_xlfn.XLOOKUP(Pipeline_tbl[[#This Row],[Rep_ID]],Dim_Reps!A:A,Dim_Reps!K:K)</f>
        <v>EUR</v>
      </c>
      <c r="N6754" s="33">
        <f>(_xlfn.XLOOKUP(Pipeline_tbl[[#This Row],[Rate_Code_Generalized]],Lookups!A:A,Lookups!B:B))*Pipeline_tbl[[#This Row],[Pipeline_Amount_USD]]</f>
        <v>5900</v>
      </c>
      <c r="O6754" t="str">
        <f>_xlfn.XLOOKUP(Pipeline_tbl[[#This Row],[Rep_ID]],Dim_Reps!A:A,Dim_Reps!B:B)</f>
        <v>Karim Alvarez</v>
      </c>
      <c r="P6754" t="str">
        <f>_xlfn.XLOOKUP(Pipeline_tbl[[#This Row],[Rep_ID]],Dim_Reps!A:A,Dim_Reps!C:C)</f>
        <v>SDR / Inside Sales Rep</v>
      </c>
      <c r="Q6754" t="str">
        <f>_xlfn.XLOOKUP(Pipeline_tbl[[#This Row],[Rep_ID]],Dim_Reps!A:A,Dim_Reps!D:D)</f>
        <v>Inside Sales</v>
      </c>
      <c r="R6754" t="str">
        <f>_xlfn.XLOOKUP(Pipeline_tbl[[#This Row],[Rep_ID]],Dim_Reps!A:A,Dim_Reps!E:E)</f>
        <v>EMEA</v>
      </c>
      <c r="S6754" t="str">
        <f>_xlfn.XLOOKUP(Pipeline_tbl[[#This Row],[Created_Date]],Dim_Date!A:A,Dim_Date!H:H)</f>
        <v>Apr 2024</v>
      </c>
      <c r="T6754" t="str">
        <f>IF(Pipeline_tbl[[#This Row],[Closed_Date]]=0,"",(_xlfn.XLOOKUP(Pipeline_tbl[[#This Row],[Closed_Date]],Dim_Date!A:A,Dim_Date!H:H)))</f>
        <v>May 2024</v>
      </c>
      <c r="U6754">
        <f>IF(Pipeline_tbl[[#This Row],[Closed_Date]]=0,"",Pipeline_tbl[[#This Row],[Closed_Date]]-Pipeline_tbl[[#This Row],[Created_Date]])</f>
        <v>16</v>
      </c>
    </row>
    <row r="6755" spans="1:21" ht="15" customHeight="1" x14ac:dyDescent="0.2">
      <c r="A6755" t="s">
        <v>7061</v>
      </c>
      <c r="B6755" t="s">
        <v>205</v>
      </c>
      <c r="C6755" t="s">
        <v>52</v>
      </c>
      <c r="D6755" s="49">
        <v>45398</v>
      </c>
      <c r="E6755" s="49">
        <v>45400</v>
      </c>
      <c r="F6755" s="49">
        <v>45403</v>
      </c>
      <c r="G6755" s="49">
        <v>45408</v>
      </c>
      <c r="H6755" s="49">
        <v>45412</v>
      </c>
      <c r="I6755" s="49">
        <v>45415</v>
      </c>
      <c r="J6755" t="s">
        <v>47</v>
      </c>
      <c r="K6755" s="33">
        <v>10600</v>
      </c>
      <c r="M6755" t="str">
        <f>_xlfn.XLOOKUP(Pipeline_tbl[[#This Row],[Rep_ID]],Dim_Reps!A:A,Dim_Reps!K:K)</f>
        <v>EUR</v>
      </c>
      <c r="N6755" s="33">
        <f>(_xlfn.XLOOKUP(Pipeline_tbl[[#This Row],[Rate_Code_Generalized]],Lookups!A:A,Lookups!B:B))*Pipeline_tbl[[#This Row],[Pipeline_Amount_USD]]</f>
        <v>10600</v>
      </c>
      <c r="O6755" t="str">
        <f>_xlfn.XLOOKUP(Pipeline_tbl[[#This Row],[Rep_ID]],Dim_Reps!A:A,Dim_Reps!B:B)</f>
        <v>Karim Alvarez</v>
      </c>
      <c r="P6755" t="str">
        <f>_xlfn.XLOOKUP(Pipeline_tbl[[#This Row],[Rep_ID]],Dim_Reps!A:A,Dim_Reps!C:C)</f>
        <v>SDR / Inside Sales Rep</v>
      </c>
      <c r="Q6755" t="str">
        <f>_xlfn.XLOOKUP(Pipeline_tbl[[#This Row],[Rep_ID]],Dim_Reps!A:A,Dim_Reps!D:D)</f>
        <v>Inside Sales</v>
      </c>
      <c r="R6755" t="str">
        <f>_xlfn.XLOOKUP(Pipeline_tbl[[#This Row],[Rep_ID]],Dim_Reps!A:A,Dim_Reps!E:E)</f>
        <v>EMEA</v>
      </c>
      <c r="S6755" t="str">
        <f>_xlfn.XLOOKUP(Pipeline_tbl[[#This Row],[Created_Date]],Dim_Date!A:A,Dim_Date!H:H)</f>
        <v>Apr 2024</v>
      </c>
      <c r="T6755" t="str">
        <f>IF(Pipeline_tbl[[#This Row],[Closed_Date]]=0,"",(_xlfn.XLOOKUP(Pipeline_tbl[[#This Row],[Closed_Date]],Dim_Date!A:A,Dim_Date!H:H)))</f>
        <v>May 2024</v>
      </c>
      <c r="U6755">
        <f>IF(Pipeline_tbl[[#This Row],[Closed_Date]]=0,"",Pipeline_tbl[[#This Row],[Closed_Date]]-Pipeline_tbl[[#This Row],[Created_Date]])</f>
        <v>17</v>
      </c>
    </row>
    <row r="6756" spans="1:21" ht="15" customHeight="1" x14ac:dyDescent="0.2">
      <c r="A6756" t="s">
        <v>7062</v>
      </c>
      <c r="B6756" t="s">
        <v>205</v>
      </c>
      <c r="C6756" t="s">
        <v>54</v>
      </c>
      <c r="D6756" s="49">
        <v>45397</v>
      </c>
      <c r="E6756" s="49">
        <v>45399</v>
      </c>
      <c r="F6756" s="49">
        <v>45404</v>
      </c>
      <c r="G6756" s="49">
        <v>45410</v>
      </c>
      <c r="H6756" s="49">
        <v>45416</v>
      </c>
      <c r="I6756" s="49">
        <v>45419</v>
      </c>
      <c r="J6756" t="s">
        <v>47</v>
      </c>
      <c r="K6756" s="33">
        <v>1600</v>
      </c>
      <c r="M6756" t="str">
        <f>_xlfn.XLOOKUP(Pipeline_tbl[[#This Row],[Rep_ID]],Dim_Reps!A:A,Dim_Reps!K:K)</f>
        <v>EUR</v>
      </c>
      <c r="N6756" s="33">
        <f>(_xlfn.XLOOKUP(Pipeline_tbl[[#This Row],[Rate_Code_Generalized]],Lookups!A:A,Lookups!B:B))*Pipeline_tbl[[#This Row],[Pipeline_Amount_USD]]</f>
        <v>1600</v>
      </c>
      <c r="O6756" t="str">
        <f>_xlfn.XLOOKUP(Pipeline_tbl[[#This Row],[Rep_ID]],Dim_Reps!A:A,Dim_Reps!B:B)</f>
        <v>Karim Alvarez</v>
      </c>
      <c r="P6756" t="str">
        <f>_xlfn.XLOOKUP(Pipeline_tbl[[#This Row],[Rep_ID]],Dim_Reps!A:A,Dim_Reps!C:C)</f>
        <v>SDR / Inside Sales Rep</v>
      </c>
      <c r="Q6756" t="str">
        <f>_xlfn.XLOOKUP(Pipeline_tbl[[#This Row],[Rep_ID]],Dim_Reps!A:A,Dim_Reps!D:D)</f>
        <v>Inside Sales</v>
      </c>
      <c r="R6756" t="str">
        <f>_xlfn.XLOOKUP(Pipeline_tbl[[#This Row],[Rep_ID]],Dim_Reps!A:A,Dim_Reps!E:E)</f>
        <v>EMEA</v>
      </c>
      <c r="S6756" t="str">
        <f>_xlfn.XLOOKUP(Pipeline_tbl[[#This Row],[Created_Date]],Dim_Date!A:A,Dim_Date!H:H)</f>
        <v>Apr 2024</v>
      </c>
      <c r="T6756" t="str">
        <f>IF(Pipeline_tbl[[#This Row],[Closed_Date]]=0,"",(_xlfn.XLOOKUP(Pipeline_tbl[[#This Row],[Closed_Date]],Dim_Date!A:A,Dim_Date!H:H)))</f>
        <v>May 2024</v>
      </c>
      <c r="U6756">
        <f>IF(Pipeline_tbl[[#This Row],[Closed_Date]]=0,"",Pipeline_tbl[[#This Row],[Closed_Date]]-Pipeline_tbl[[#This Row],[Created_Date]])</f>
        <v>22</v>
      </c>
    </row>
    <row r="6757" spans="1:21" ht="15" customHeight="1" x14ac:dyDescent="0.2">
      <c r="A6757" t="s">
        <v>7063</v>
      </c>
      <c r="B6757" t="s">
        <v>211</v>
      </c>
      <c r="C6757" t="s">
        <v>52</v>
      </c>
      <c r="D6757" s="49">
        <v>45409</v>
      </c>
      <c r="E6757" s="49">
        <v>45411</v>
      </c>
      <c r="F6757" s="49">
        <v>45414</v>
      </c>
      <c r="I6757" s="49">
        <v>45427</v>
      </c>
      <c r="J6757" t="s">
        <v>49</v>
      </c>
      <c r="K6757" s="33">
        <v>3000</v>
      </c>
      <c r="L6757" t="s">
        <v>61</v>
      </c>
      <c r="M6757" t="str">
        <f>_xlfn.XLOOKUP(Pipeline_tbl[[#This Row],[Rep_ID]],Dim_Reps!A:A,Dim_Reps!K:K)</f>
        <v>EUR</v>
      </c>
      <c r="N6757" s="33">
        <f>(_xlfn.XLOOKUP(Pipeline_tbl[[#This Row],[Rate_Code_Generalized]],Lookups!A:A,Lookups!B:B))*Pipeline_tbl[[#This Row],[Pipeline_Amount_USD]]</f>
        <v>3000</v>
      </c>
      <c r="O6757" t="str">
        <f>_xlfn.XLOOKUP(Pipeline_tbl[[#This Row],[Rep_ID]],Dim_Reps!A:A,Dim_Reps!B:B)</f>
        <v>Lea Weber</v>
      </c>
      <c r="P6757" t="str">
        <f>_xlfn.XLOOKUP(Pipeline_tbl[[#This Row],[Rep_ID]],Dim_Reps!A:A,Dim_Reps!C:C)</f>
        <v>SDR / Inside Sales Rep</v>
      </c>
      <c r="Q6757" t="str">
        <f>_xlfn.XLOOKUP(Pipeline_tbl[[#This Row],[Rep_ID]],Dim_Reps!A:A,Dim_Reps!D:D)</f>
        <v>Inside Sales</v>
      </c>
      <c r="R6757" t="str">
        <f>_xlfn.XLOOKUP(Pipeline_tbl[[#This Row],[Rep_ID]],Dim_Reps!A:A,Dim_Reps!E:E)</f>
        <v>EMEA</v>
      </c>
      <c r="S6757" t="str">
        <f>_xlfn.XLOOKUP(Pipeline_tbl[[#This Row],[Created_Date]],Dim_Date!A:A,Dim_Date!H:H)</f>
        <v>Apr 2024</v>
      </c>
      <c r="T6757" t="str">
        <f>IF(Pipeline_tbl[[#This Row],[Closed_Date]]=0,"",(_xlfn.XLOOKUP(Pipeline_tbl[[#This Row],[Closed_Date]],Dim_Date!A:A,Dim_Date!H:H)))</f>
        <v>May 2024</v>
      </c>
      <c r="U6757">
        <f>IF(Pipeline_tbl[[#This Row],[Closed_Date]]=0,"",Pipeline_tbl[[#This Row],[Closed_Date]]-Pipeline_tbl[[#This Row],[Created_Date]])</f>
        <v>18</v>
      </c>
    </row>
    <row r="6758" spans="1:21" ht="15" customHeight="1" x14ac:dyDescent="0.2">
      <c r="A6758" t="s">
        <v>7064</v>
      </c>
      <c r="B6758" t="s">
        <v>211</v>
      </c>
      <c r="C6758" t="s">
        <v>52</v>
      </c>
      <c r="D6758" s="49">
        <v>45405</v>
      </c>
      <c r="E6758" s="49">
        <v>45406</v>
      </c>
      <c r="F6758" s="49">
        <v>45409</v>
      </c>
      <c r="G6758" s="49">
        <v>45413</v>
      </c>
      <c r="I6758" s="49">
        <v>45419</v>
      </c>
      <c r="J6758" t="s">
        <v>49</v>
      </c>
      <c r="K6758" s="33">
        <v>3100</v>
      </c>
      <c r="L6758" t="s">
        <v>61</v>
      </c>
      <c r="M6758" t="str">
        <f>_xlfn.XLOOKUP(Pipeline_tbl[[#This Row],[Rep_ID]],Dim_Reps!A:A,Dim_Reps!K:K)</f>
        <v>EUR</v>
      </c>
      <c r="N6758" s="33">
        <f>(_xlfn.XLOOKUP(Pipeline_tbl[[#This Row],[Rate_Code_Generalized]],Lookups!A:A,Lookups!B:B))*Pipeline_tbl[[#This Row],[Pipeline_Amount_USD]]</f>
        <v>3100</v>
      </c>
      <c r="O6758" t="str">
        <f>_xlfn.XLOOKUP(Pipeline_tbl[[#This Row],[Rep_ID]],Dim_Reps!A:A,Dim_Reps!B:B)</f>
        <v>Lea Weber</v>
      </c>
      <c r="P6758" t="str">
        <f>_xlfn.XLOOKUP(Pipeline_tbl[[#This Row],[Rep_ID]],Dim_Reps!A:A,Dim_Reps!C:C)</f>
        <v>SDR / Inside Sales Rep</v>
      </c>
      <c r="Q6758" t="str">
        <f>_xlfn.XLOOKUP(Pipeline_tbl[[#This Row],[Rep_ID]],Dim_Reps!A:A,Dim_Reps!D:D)</f>
        <v>Inside Sales</v>
      </c>
      <c r="R6758" t="str">
        <f>_xlfn.XLOOKUP(Pipeline_tbl[[#This Row],[Rep_ID]],Dim_Reps!A:A,Dim_Reps!E:E)</f>
        <v>EMEA</v>
      </c>
      <c r="S6758" t="str">
        <f>_xlfn.XLOOKUP(Pipeline_tbl[[#This Row],[Created_Date]],Dim_Date!A:A,Dim_Date!H:H)</f>
        <v>Apr 2024</v>
      </c>
      <c r="T6758" t="str">
        <f>IF(Pipeline_tbl[[#This Row],[Closed_Date]]=0,"",(_xlfn.XLOOKUP(Pipeline_tbl[[#This Row],[Closed_Date]],Dim_Date!A:A,Dim_Date!H:H)))</f>
        <v>May 2024</v>
      </c>
      <c r="U6758">
        <f>IF(Pipeline_tbl[[#This Row],[Closed_Date]]=0,"",Pipeline_tbl[[#This Row],[Closed_Date]]-Pipeline_tbl[[#This Row],[Created_Date]])</f>
        <v>14</v>
      </c>
    </row>
    <row r="6759" spans="1:21" ht="15" customHeight="1" x14ac:dyDescent="0.2">
      <c r="A6759" t="s">
        <v>7065</v>
      </c>
      <c r="B6759" t="s">
        <v>211</v>
      </c>
      <c r="C6759" t="s">
        <v>53</v>
      </c>
      <c r="D6759" s="49">
        <v>45409</v>
      </c>
      <c r="E6759" s="49">
        <v>45411</v>
      </c>
      <c r="F6759" s="49">
        <v>45414</v>
      </c>
      <c r="G6759" s="49">
        <v>45419</v>
      </c>
      <c r="H6759" s="49">
        <v>45423</v>
      </c>
      <c r="I6759" s="49">
        <v>45426</v>
      </c>
      <c r="J6759" t="s">
        <v>47</v>
      </c>
      <c r="K6759" s="33">
        <v>4400</v>
      </c>
      <c r="M6759" t="str">
        <f>_xlfn.XLOOKUP(Pipeline_tbl[[#This Row],[Rep_ID]],Dim_Reps!A:A,Dim_Reps!K:K)</f>
        <v>EUR</v>
      </c>
      <c r="N6759" s="33">
        <f>(_xlfn.XLOOKUP(Pipeline_tbl[[#This Row],[Rate_Code_Generalized]],Lookups!A:A,Lookups!B:B))*Pipeline_tbl[[#This Row],[Pipeline_Amount_USD]]</f>
        <v>4400</v>
      </c>
      <c r="O6759" t="str">
        <f>_xlfn.XLOOKUP(Pipeline_tbl[[#This Row],[Rep_ID]],Dim_Reps!A:A,Dim_Reps!B:B)</f>
        <v>Lea Weber</v>
      </c>
      <c r="P6759" t="str">
        <f>_xlfn.XLOOKUP(Pipeline_tbl[[#This Row],[Rep_ID]],Dim_Reps!A:A,Dim_Reps!C:C)</f>
        <v>SDR / Inside Sales Rep</v>
      </c>
      <c r="Q6759" t="str">
        <f>_xlfn.XLOOKUP(Pipeline_tbl[[#This Row],[Rep_ID]],Dim_Reps!A:A,Dim_Reps!D:D)</f>
        <v>Inside Sales</v>
      </c>
      <c r="R6759" t="str">
        <f>_xlfn.XLOOKUP(Pipeline_tbl[[#This Row],[Rep_ID]],Dim_Reps!A:A,Dim_Reps!E:E)</f>
        <v>EMEA</v>
      </c>
      <c r="S6759" t="str">
        <f>_xlfn.XLOOKUP(Pipeline_tbl[[#This Row],[Created_Date]],Dim_Date!A:A,Dim_Date!H:H)</f>
        <v>Apr 2024</v>
      </c>
      <c r="T6759" t="str">
        <f>IF(Pipeline_tbl[[#This Row],[Closed_Date]]=0,"",(_xlfn.XLOOKUP(Pipeline_tbl[[#This Row],[Closed_Date]],Dim_Date!A:A,Dim_Date!H:H)))</f>
        <v>May 2024</v>
      </c>
      <c r="U6759">
        <f>IF(Pipeline_tbl[[#This Row],[Closed_Date]]=0,"",Pipeline_tbl[[#This Row],[Closed_Date]]-Pipeline_tbl[[#This Row],[Created_Date]])</f>
        <v>17</v>
      </c>
    </row>
    <row r="6760" spans="1:21" ht="15" customHeight="1" x14ac:dyDescent="0.2">
      <c r="A6760" t="s">
        <v>7066</v>
      </c>
      <c r="B6760" t="s">
        <v>211</v>
      </c>
      <c r="C6760" t="s">
        <v>53</v>
      </c>
      <c r="D6760" s="49">
        <v>45406</v>
      </c>
      <c r="E6760" s="49">
        <v>45408</v>
      </c>
      <c r="I6760" s="49">
        <v>45423</v>
      </c>
      <c r="J6760" t="s">
        <v>49</v>
      </c>
      <c r="K6760" s="33">
        <v>2600</v>
      </c>
      <c r="L6760" t="s">
        <v>63</v>
      </c>
      <c r="M6760" t="str">
        <f>_xlfn.XLOOKUP(Pipeline_tbl[[#This Row],[Rep_ID]],Dim_Reps!A:A,Dim_Reps!K:K)</f>
        <v>EUR</v>
      </c>
      <c r="N6760" s="33">
        <f>(_xlfn.XLOOKUP(Pipeline_tbl[[#This Row],[Rate_Code_Generalized]],Lookups!A:A,Lookups!B:B))*Pipeline_tbl[[#This Row],[Pipeline_Amount_USD]]</f>
        <v>2600</v>
      </c>
      <c r="O6760" t="str">
        <f>_xlfn.XLOOKUP(Pipeline_tbl[[#This Row],[Rep_ID]],Dim_Reps!A:A,Dim_Reps!B:B)</f>
        <v>Lea Weber</v>
      </c>
      <c r="P6760" t="str">
        <f>_xlfn.XLOOKUP(Pipeline_tbl[[#This Row],[Rep_ID]],Dim_Reps!A:A,Dim_Reps!C:C)</f>
        <v>SDR / Inside Sales Rep</v>
      </c>
      <c r="Q6760" t="str">
        <f>_xlfn.XLOOKUP(Pipeline_tbl[[#This Row],[Rep_ID]],Dim_Reps!A:A,Dim_Reps!D:D)</f>
        <v>Inside Sales</v>
      </c>
      <c r="R6760" t="str">
        <f>_xlfn.XLOOKUP(Pipeline_tbl[[#This Row],[Rep_ID]],Dim_Reps!A:A,Dim_Reps!E:E)</f>
        <v>EMEA</v>
      </c>
      <c r="S6760" t="str">
        <f>_xlfn.XLOOKUP(Pipeline_tbl[[#This Row],[Created_Date]],Dim_Date!A:A,Dim_Date!H:H)</f>
        <v>Apr 2024</v>
      </c>
      <c r="T6760" t="str">
        <f>IF(Pipeline_tbl[[#This Row],[Closed_Date]]=0,"",(_xlfn.XLOOKUP(Pipeline_tbl[[#This Row],[Closed_Date]],Dim_Date!A:A,Dim_Date!H:H)))</f>
        <v>May 2024</v>
      </c>
      <c r="U6760">
        <f>IF(Pipeline_tbl[[#This Row],[Closed_Date]]=0,"",Pipeline_tbl[[#This Row],[Closed_Date]]-Pipeline_tbl[[#This Row],[Created_Date]])</f>
        <v>17</v>
      </c>
    </row>
    <row r="6761" spans="1:21" ht="15" customHeight="1" x14ac:dyDescent="0.2">
      <c r="A6761" t="s">
        <v>7067</v>
      </c>
      <c r="B6761" t="s">
        <v>211</v>
      </c>
      <c r="C6761" t="s">
        <v>52</v>
      </c>
      <c r="D6761" s="49">
        <v>45404</v>
      </c>
      <c r="E6761" s="49">
        <v>45405</v>
      </c>
      <c r="F6761" s="49">
        <v>45408</v>
      </c>
      <c r="G6761" s="49">
        <v>45412</v>
      </c>
      <c r="I6761" s="49">
        <v>45418</v>
      </c>
      <c r="J6761" t="s">
        <v>49</v>
      </c>
      <c r="K6761" s="33">
        <v>4300</v>
      </c>
      <c r="L6761" t="s">
        <v>61</v>
      </c>
      <c r="M6761" t="str">
        <f>_xlfn.XLOOKUP(Pipeline_tbl[[#This Row],[Rep_ID]],Dim_Reps!A:A,Dim_Reps!K:K)</f>
        <v>EUR</v>
      </c>
      <c r="N6761" s="33">
        <f>(_xlfn.XLOOKUP(Pipeline_tbl[[#This Row],[Rate_Code_Generalized]],Lookups!A:A,Lookups!B:B))*Pipeline_tbl[[#This Row],[Pipeline_Amount_USD]]</f>
        <v>4300</v>
      </c>
      <c r="O6761" t="str">
        <f>_xlfn.XLOOKUP(Pipeline_tbl[[#This Row],[Rep_ID]],Dim_Reps!A:A,Dim_Reps!B:B)</f>
        <v>Lea Weber</v>
      </c>
      <c r="P6761" t="str">
        <f>_xlfn.XLOOKUP(Pipeline_tbl[[#This Row],[Rep_ID]],Dim_Reps!A:A,Dim_Reps!C:C)</f>
        <v>SDR / Inside Sales Rep</v>
      </c>
      <c r="Q6761" t="str">
        <f>_xlfn.XLOOKUP(Pipeline_tbl[[#This Row],[Rep_ID]],Dim_Reps!A:A,Dim_Reps!D:D)</f>
        <v>Inside Sales</v>
      </c>
      <c r="R6761" t="str">
        <f>_xlfn.XLOOKUP(Pipeline_tbl[[#This Row],[Rep_ID]],Dim_Reps!A:A,Dim_Reps!E:E)</f>
        <v>EMEA</v>
      </c>
      <c r="S6761" t="str">
        <f>_xlfn.XLOOKUP(Pipeline_tbl[[#This Row],[Created_Date]],Dim_Date!A:A,Dim_Date!H:H)</f>
        <v>Apr 2024</v>
      </c>
      <c r="T6761" t="str">
        <f>IF(Pipeline_tbl[[#This Row],[Closed_Date]]=0,"",(_xlfn.XLOOKUP(Pipeline_tbl[[#This Row],[Closed_Date]],Dim_Date!A:A,Dim_Date!H:H)))</f>
        <v>May 2024</v>
      </c>
      <c r="U6761">
        <f>IF(Pipeline_tbl[[#This Row],[Closed_Date]]=0,"",Pipeline_tbl[[#This Row],[Closed_Date]]-Pipeline_tbl[[#This Row],[Created_Date]])</f>
        <v>14</v>
      </c>
    </row>
    <row r="6762" spans="1:21" ht="15" customHeight="1" x14ac:dyDescent="0.2">
      <c r="A6762" t="s">
        <v>7068</v>
      </c>
      <c r="B6762" t="s">
        <v>211</v>
      </c>
      <c r="C6762" t="s">
        <v>55</v>
      </c>
      <c r="D6762" s="49">
        <v>45412</v>
      </c>
      <c r="E6762" s="49">
        <v>45414</v>
      </c>
      <c r="F6762" s="49">
        <v>45418</v>
      </c>
      <c r="G6762" s="49">
        <v>45425</v>
      </c>
      <c r="I6762" s="49">
        <v>45433</v>
      </c>
      <c r="J6762" t="s">
        <v>49</v>
      </c>
      <c r="K6762" s="33">
        <v>4700</v>
      </c>
      <c r="L6762" t="s">
        <v>62</v>
      </c>
      <c r="M6762" t="str">
        <f>_xlfn.XLOOKUP(Pipeline_tbl[[#This Row],[Rep_ID]],Dim_Reps!A:A,Dim_Reps!K:K)</f>
        <v>EUR</v>
      </c>
      <c r="N6762" s="33">
        <f>(_xlfn.XLOOKUP(Pipeline_tbl[[#This Row],[Rate_Code_Generalized]],Lookups!A:A,Lookups!B:B))*Pipeline_tbl[[#This Row],[Pipeline_Amount_USD]]</f>
        <v>4700</v>
      </c>
      <c r="O6762" t="str">
        <f>_xlfn.XLOOKUP(Pipeline_tbl[[#This Row],[Rep_ID]],Dim_Reps!A:A,Dim_Reps!B:B)</f>
        <v>Lea Weber</v>
      </c>
      <c r="P6762" t="str">
        <f>_xlfn.XLOOKUP(Pipeline_tbl[[#This Row],[Rep_ID]],Dim_Reps!A:A,Dim_Reps!C:C)</f>
        <v>SDR / Inside Sales Rep</v>
      </c>
      <c r="Q6762" t="str">
        <f>_xlfn.XLOOKUP(Pipeline_tbl[[#This Row],[Rep_ID]],Dim_Reps!A:A,Dim_Reps!D:D)</f>
        <v>Inside Sales</v>
      </c>
      <c r="R6762" t="str">
        <f>_xlfn.XLOOKUP(Pipeline_tbl[[#This Row],[Rep_ID]],Dim_Reps!A:A,Dim_Reps!E:E)</f>
        <v>EMEA</v>
      </c>
      <c r="S6762" t="str">
        <f>_xlfn.XLOOKUP(Pipeline_tbl[[#This Row],[Created_Date]],Dim_Date!A:A,Dim_Date!H:H)</f>
        <v>Apr 2024</v>
      </c>
      <c r="T6762" t="str">
        <f>IF(Pipeline_tbl[[#This Row],[Closed_Date]]=0,"",(_xlfn.XLOOKUP(Pipeline_tbl[[#This Row],[Closed_Date]],Dim_Date!A:A,Dim_Date!H:H)))</f>
        <v>May 2024</v>
      </c>
      <c r="U6762">
        <f>IF(Pipeline_tbl[[#This Row],[Closed_Date]]=0,"",Pipeline_tbl[[#This Row],[Closed_Date]]-Pipeline_tbl[[#This Row],[Created_Date]])</f>
        <v>21</v>
      </c>
    </row>
    <row r="6763" spans="1:21" ht="15" customHeight="1" x14ac:dyDescent="0.2">
      <c r="A6763" t="s">
        <v>7069</v>
      </c>
      <c r="B6763" t="s">
        <v>211</v>
      </c>
      <c r="C6763" t="s">
        <v>55</v>
      </c>
      <c r="D6763" s="49">
        <v>45399</v>
      </c>
      <c r="E6763" s="49">
        <v>45401</v>
      </c>
      <c r="I6763" s="49">
        <v>45414</v>
      </c>
      <c r="J6763" t="s">
        <v>49</v>
      </c>
      <c r="K6763" s="33">
        <v>4700</v>
      </c>
      <c r="L6763" t="s">
        <v>60</v>
      </c>
      <c r="M6763" t="str">
        <f>_xlfn.XLOOKUP(Pipeline_tbl[[#This Row],[Rep_ID]],Dim_Reps!A:A,Dim_Reps!K:K)</f>
        <v>EUR</v>
      </c>
      <c r="N6763" s="33">
        <f>(_xlfn.XLOOKUP(Pipeline_tbl[[#This Row],[Rate_Code_Generalized]],Lookups!A:A,Lookups!B:B))*Pipeline_tbl[[#This Row],[Pipeline_Amount_USD]]</f>
        <v>4700</v>
      </c>
      <c r="O6763" t="str">
        <f>_xlfn.XLOOKUP(Pipeline_tbl[[#This Row],[Rep_ID]],Dim_Reps!A:A,Dim_Reps!B:B)</f>
        <v>Lea Weber</v>
      </c>
      <c r="P6763" t="str">
        <f>_xlfn.XLOOKUP(Pipeline_tbl[[#This Row],[Rep_ID]],Dim_Reps!A:A,Dim_Reps!C:C)</f>
        <v>SDR / Inside Sales Rep</v>
      </c>
      <c r="Q6763" t="str">
        <f>_xlfn.XLOOKUP(Pipeline_tbl[[#This Row],[Rep_ID]],Dim_Reps!A:A,Dim_Reps!D:D)</f>
        <v>Inside Sales</v>
      </c>
      <c r="R6763" t="str">
        <f>_xlfn.XLOOKUP(Pipeline_tbl[[#This Row],[Rep_ID]],Dim_Reps!A:A,Dim_Reps!E:E)</f>
        <v>EMEA</v>
      </c>
      <c r="S6763" t="str">
        <f>_xlfn.XLOOKUP(Pipeline_tbl[[#This Row],[Created_Date]],Dim_Date!A:A,Dim_Date!H:H)</f>
        <v>Apr 2024</v>
      </c>
      <c r="T6763" t="str">
        <f>IF(Pipeline_tbl[[#This Row],[Closed_Date]]=0,"",(_xlfn.XLOOKUP(Pipeline_tbl[[#This Row],[Closed_Date]],Dim_Date!A:A,Dim_Date!H:H)))</f>
        <v>May 2024</v>
      </c>
      <c r="U6763">
        <f>IF(Pipeline_tbl[[#This Row],[Closed_Date]]=0,"",Pipeline_tbl[[#This Row],[Closed_Date]]-Pipeline_tbl[[#This Row],[Created_Date]])</f>
        <v>15</v>
      </c>
    </row>
    <row r="6764" spans="1:21" ht="15" customHeight="1" x14ac:dyDescent="0.2">
      <c r="A6764" t="s">
        <v>7070</v>
      </c>
      <c r="B6764" t="s">
        <v>211</v>
      </c>
      <c r="C6764" t="s">
        <v>53</v>
      </c>
      <c r="D6764" s="49">
        <v>45403</v>
      </c>
      <c r="E6764" s="49">
        <v>45406</v>
      </c>
      <c r="I6764" s="49">
        <v>45429</v>
      </c>
      <c r="J6764" t="s">
        <v>49</v>
      </c>
      <c r="K6764" s="33">
        <v>11900</v>
      </c>
      <c r="L6764" t="s">
        <v>60</v>
      </c>
      <c r="M6764" t="str">
        <f>_xlfn.XLOOKUP(Pipeline_tbl[[#This Row],[Rep_ID]],Dim_Reps!A:A,Dim_Reps!K:K)</f>
        <v>EUR</v>
      </c>
      <c r="N6764" s="33">
        <f>(_xlfn.XLOOKUP(Pipeline_tbl[[#This Row],[Rate_Code_Generalized]],Lookups!A:A,Lookups!B:B))*Pipeline_tbl[[#This Row],[Pipeline_Amount_USD]]</f>
        <v>11900</v>
      </c>
      <c r="O6764" t="str">
        <f>_xlfn.XLOOKUP(Pipeline_tbl[[#This Row],[Rep_ID]],Dim_Reps!A:A,Dim_Reps!B:B)</f>
        <v>Lea Weber</v>
      </c>
      <c r="P6764" t="str">
        <f>_xlfn.XLOOKUP(Pipeline_tbl[[#This Row],[Rep_ID]],Dim_Reps!A:A,Dim_Reps!C:C)</f>
        <v>SDR / Inside Sales Rep</v>
      </c>
      <c r="Q6764" t="str">
        <f>_xlfn.XLOOKUP(Pipeline_tbl[[#This Row],[Rep_ID]],Dim_Reps!A:A,Dim_Reps!D:D)</f>
        <v>Inside Sales</v>
      </c>
      <c r="R6764" t="str">
        <f>_xlfn.XLOOKUP(Pipeline_tbl[[#This Row],[Rep_ID]],Dim_Reps!A:A,Dim_Reps!E:E)</f>
        <v>EMEA</v>
      </c>
      <c r="S6764" t="str">
        <f>_xlfn.XLOOKUP(Pipeline_tbl[[#This Row],[Created_Date]],Dim_Date!A:A,Dim_Date!H:H)</f>
        <v>Apr 2024</v>
      </c>
      <c r="T6764" t="str">
        <f>IF(Pipeline_tbl[[#This Row],[Closed_Date]]=0,"",(_xlfn.XLOOKUP(Pipeline_tbl[[#This Row],[Closed_Date]],Dim_Date!A:A,Dim_Date!H:H)))</f>
        <v>May 2024</v>
      </c>
      <c r="U6764">
        <f>IF(Pipeline_tbl[[#This Row],[Closed_Date]]=0,"",Pipeline_tbl[[#This Row],[Closed_Date]]-Pipeline_tbl[[#This Row],[Created_Date]])</f>
        <v>26</v>
      </c>
    </row>
    <row r="6765" spans="1:21" ht="15" customHeight="1" x14ac:dyDescent="0.2">
      <c r="A6765" t="s">
        <v>7071</v>
      </c>
      <c r="B6765" t="s">
        <v>215</v>
      </c>
      <c r="C6765" t="s">
        <v>52</v>
      </c>
      <c r="D6765" s="49">
        <v>45408</v>
      </c>
      <c r="E6765" s="49">
        <v>45410</v>
      </c>
      <c r="I6765" s="49">
        <v>45426</v>
      </c>
      <c r="J6765" t="s">
        <v>49</v>
      </c>
      <c r="K6765" s="33">
        <v>5000</v>
      </c>
      <c r="L6765" t="s">
        <v>64</v>
      </c>
      <c r="M6765" t="str">
        <f>_xlfn.XLOOKUP(Pipeline_tbl[[#This Row],[Rep_ID]],Dim_Reps!A:A,Dim_Reps!K:K)</f>
        <v>EUR</v>
      </c>
      <c r="N6765" s="33">
        <f>(_xlfn.XLOOKUP(Pipeline_tbl[[#This Row],[Rate_Code_Generalized]],Lookups!A:A,Lookups!B:B))*Pipeline_tbl[[#This Row],[Pipeline_Amount_USD]]</f>
        <v>5000</v>
      </c>
      <c r="O6765" t="str">
        <f>_xlfn.XLOOKUP(Pipeline_tbl[[#This Row],[Rep_ID]],Dim_Reps!A:A,Dim_Reps!B:B)</f>
        <v>Jamie Schmidt</v>
      </c>
      <c r="P6765" t="str">
        <f>_xlfn.XLOOKUP(Pipeline_tbl[[#This Row],[Rep_ID]],Dim_Reps!A:A,Dim_Reps!C:C)</f>
        <v>SDR / Inside Sales Rep</v>
      </c>
      <c r="Q6765" t="str">
        <f>_xlfn.XLOOKUP(Pipeline_tbl[[#This Row],[Rep_ID]],Dim_Reps!A:A,Dim_Reps!D:D)</f>
        <v>Inside Sales</v>
      </c>
      <c r="R6765" t="str">
        <f>_xlfn.XLOOKUP(Pipeline_tbl[[#This Row],[Rep_ID]],Dim_Reps!A:A,Dim_Reps!E:E)</f>
        <v>APAC</v>
      </c>
      <c r="S6765" t="str">
        <f>_xlfn.XLOOKUP(Pipeline_tbl[[#This Row],[Created_Date]],Dim_Date!A:A,Dim_Date!H:H)</f>
        <v>Apr 2024</v>
      </c>
      <c r="T6765" t="str">
        <f>IF(Pipeline_tbl[[#This Row],[Closed_Date]]=0,"",(_xlfn.XLOOKUP(Pipeline_tbl[[#This Row],[Closed_Date]],Dim_Date!A:A,Dim_Date!H:H)))</f>
        <v>May 2024</v>
      </c>
      <c r="U6765">
        <f>IF(Pipeline_tbl[[#This Row],[Closed_Date]]=0,"",Pipeline_tbl[[#This Row],[Closed_Date]]-Pipeline_tbl[[#This Row],[Created_Date]])</f>
        <v>18</v>
      </c>
    </row>
    <row r="6766" spans="1:21" ht="15" customHeight="1" x14ac:dyDescent="0.2">
      <c r="A6766" t="s">
        <v>7072</v>
      </c>
      <c r="B6766" t="s">
        <v>215</v>
      </c>
      <c r="C6766" t="s">
        <v>53</v>
      </c>
      <c r="D6766" s="49">
        <v>45398</v>
      </c>
      <c r="E6766" s="49">
        <v>45400</v>
      </c>
      <c r="F6766" s="49">
        <v>45406</v>
      </c>
      <c r="G6766" s="49">
        <v>45413</v>
      </c>
      <c r="H6766" s="49">
        <v>45419</v>
      </c>
      <c r="I6766" s="49">
        <v>45423</v>
      </c>
      <c r="J6766" t="s">
        <v>47</v>
      </c>
      <c r="K6766" s="33">
        <v>3700</v>
      </c>
      <c r="M6766" t="str">
        <f>_xlfn.XLOOKUP(Pipeline_tbl[[#This Row],[Rep_ID]],Dim_Reps!A:A,Dim_Reps!K:K)</f>
        <v>EUR</v>
      </c>
      <c r="N6766" s="33">
        <f>(_xlfn.XLOOKUP(Pipeline_tbl[[#This Row],[Rate_Code_Generalized]],Lookups!A:A,Lookups!B:B))*Pipeline_tbl[[#This Row],[Pipeline_Amount_USD]]</f>
        <v>3700</v>
      </c>
      <c r="O6766" t="str">
        <f>_xlfn.XLOOKUP(Pipeline_tbl[[#This Row],[Rep_ID]],Dim_Reps!A:A,Dim_Reps!B:B)</f>
        <v>Jamie Schmidt</v>
      </c>
      <c r="P6766" t="str">
        <f>_xlfn.XLOOKUP(Pipeline_tbl[[#This Row],[Rep_ID]],Dim_Reps!A:A,Dim_Reps!C:C)</f>
        <v>SDR / Inside Sales Rep</v>
      </c>
      <c r="Q6766" t="str">
        <f>_xlfn.XLOOKUP(Pipeline_tbl[[#This Row],[Rep_ID]],Dim_Reps!A:A,Dim_Reps!D:D)</f>
        <v>Inside Sales</v>
      </c>
      <c r="R6766" t="str">
        <f>_xlfn.XLOOKUP(Pipeline_tbl[[#This Row],[Rep_ID]],Dim_Reps!A:A,Dim_Reps!E:E)</f>
        <v>APAC</v>
      </c>
      <c r="S6766" t="str">
        <f>_xlfn.XLOOKUP(Pipeline_tbl[[#This Row],[Created_Date]],Dim_Date!A:A,Dim_Date!H:H)</f>
        <v>Apr 2024</v>
      </c>
      <c r="T6766" t="str">
        <f>IF(Pipeline_tbl[[#This Row],[Closed_Date]]=0,"",(_xlfn.XLOOKUP(Pipeline_tbl[[#This Row],[Closed_Date]],Dim_Date!A:A,Dim_Date!H:H)))</f>
        <v>May 2024</v>
      </c>
      <c r="U6766">
        <f>IF(Pipeline_tbl[[#This Row],[Closed_Date]]=0,"",Pipeline_tbl[[#This Row],[Closed_Date]]-Pipeline_tbl[[#This Row],[Created_Date]])</f>
        <v>25</v>
      </c>
    </row>
    <row r="6767" spans="1:21" ht="15" customHeight="1" x14ac:dyDescent="0.2">
      <c r="A6767" t="s">
        <v>7073</v>
      </c>
      <c r="B6767" t="s">
        <v>215</v>
      </c>
      <c r="C6767" t="s">
        <v>55</v>
      </c>
      <c r="D6767" s="49">
        <v>45401</v>
      </c>
      <c r="E6767" s="49">
        <v>45404</v>
      </c>
      <c r="F6767" s="49">
        <v>45409</v>
      </c>
      <c r="G6767" s="49">
        <v>45418</v>
      </c>
      <c r="H6767" s="49">
        <v>45425</v>
      </c>
      <c r="I6767" s="49">
        <v>45429</v>
      </c>
      <c r="J6767" t="s">
        <v>47</v>
      </c>
      <c r="K6767" s="33">
        <v>1800</v>
      </c>
      <c r="M6767" t="str">
        <f>_xlfn.XLOOKUP(Pipeline_tbl[[#This Row],[Rep_ID]],Dim_Reps!A:A,Dim_Reps!K:K)</f>
        <v>EUR</v>
      </c>
      <c r="N6767" s="33">
        <f>(_xlfn.XLOOKUP(Pipeline_tbl[[#This Row],[Rate_Code_Generalized]],Lookups!A:A,Lookups!B:B))*Pipeline_tbl[[#This Row],[Pipeline_Amount_USD]]</f>
        <v>1800</v>
      </c>
      <c r="O6767" t="str">
        <f>_xlfn.XLOOKUP(Pipeline_tbl[[#This Row],[Rep_ID]],Dim_Reps!A:A,Dim_Reps!B:B)</f>
        <v>Jamie Schmidt</v>
      </c>
      <c r="P6767" t="str">
        <f>_xlfn.XLOOKUP(Pipeline_tbl[[#This Row],[Rep_ID]],Dim_Reps!A:A,Dim_Reps!C:C)</f>
        <v>SDR / Inside Sales Rep</v>
      </c>
      <c r="Q6767" t="str">
        <f>_xlfn.XLOOKUP(Pipeline_tbl[[#This Row],[Rep_ID]],Dim_Reps!A:A,Dim_Reps!D:D)</f>
        <v>Inside Sales</v>
      </c>
      <c r="R6767" t="str">
        <f>_xlfn.XLOOKUP(Pipeline_tbl[[#This Row],[Rep_ID]],Dim_Reps!A:A,Dim_Reps!E:E)</f>
        <v>APAC</v>
      </c>
      <c r="S6767" t="str">
        <f>_xlfn.XLOOKUP(Pipeline_tbl[[#This Row],[Created_Date]],Dim_Date!A:A,Dim_Date!H:H)</f>
        <v>Apr 2024</v>
      </c>
      <c r="T6767" t="str">
        <f>IF(Pipeline_tbl[[#This Row],[Closed_Date]]=0,"",(_xlfn.XLOOKUP(Pipeline_tbl[[#This Row],[Closed_Date]],Dim_Date!A:A,Dim_Date!H:H)))</f>
        <v>May 2024</v>
      </c>
      <c r="U6767">
        <f>IF(Pipeline_tbl[[#This Row],[Closed_Date]]=0,"",Pipeline_tbl[[#This Row],[Closed_Date]]-Pipeline_tbl[[#This Row],[Created_Date]])</f>
        <v>28</v>
      </c>
    </row>
    <row r="6768" spans="1:21" ht="15" customHeight="1" x14ac:dyDescent="0.2">
      <c r="A6768" t="s">
        <v>7074</v>
      </c>
      <c r="B6768" t="s">
        <v>215</v>
      </c>
      <c r="C6768" t="s">
        <v>53</v>
      </c>
      <c r="D6768" s="49">
        <v>45394</v>
      </c>
      <c r="E6768" s="49">
        <v>45396</v>
      </c>
      <c r="F6768" s="49">
        <v>45401</v>
      </c>
      <c r="I6768" s="49">
        <v>45416</v>
      </c>
      <c r="J6768" t="s">
        <v>49</v>
      </c>
      <c r="K6768" s="33">
        <v>5100</v>
      </c>
      <c r="L6768" t="s">
        <v>62</v>
      </c>
      <c r="M6768" t="str">
        <f>_xlfn.XLOOKUP(Pipeline_tbl[[#This Row],[Rep_ID]],Dim_Reps!A:A,Dim_Reps!K:K)</f>
        <v>EUR</v>
      </c>
      <c r="N6768" s="33">
        <f>(_xlfn.XLOOKUP(Pipeline_tbl[[#This Row],[Rate_Code_Generalized]],Lookups!A:A,Lookups!B:B))*Pipeline_tbl[[#This Row],[Pipeline_Amount_USD]]</f>
        <v>5100</v>
      </c>
      <c r="O6768" t="str">
        <f>_xlfn.XLOOKUP(Pipeline_tbl[[#This Row],[Rep_ID]],Dim_Reps!A:A,Dim_Reps!B:B)</f>
        <v>Jamie Schmidt</v>
      </c>
      <c r="P6768" t="str">
        <f>_xlfn.XLOOKUP(Pipeline_tbl[[#This Row],[Rep_ID]],Dim_Reps!A:A,Dim_Reps!C:C)</f>
        <v>SDR / Inside Sales Rep</v>
      </c>
      <c r="Q6768" t="str">
        <f>_xlfn.XLOOKUP(Pipeline_tbl[[#This Row],[Rep_ID]],Dim_Reps!A:A,Dim_Reps!D:D)</f>
        <v>Inside Sales</v>
      </c>
      <c r="R6768" t="str">
        <f>_xlfn.XLOOKUP(Pipeline_tbl[[#This Row],[Rep_ID]],Dim_Reps!A:A,Dim_Reps!E:E)</f>
        <v>APAC</v>
      </c>
      <c r="S6768" t="str">
        <f>_xlfn.XLOOKUP(Pipeline_tbl[[#This Row],[Created_Date]],Dim_Date!A:A,Dim_Date!H:H)</f>
        <v>Apr 2024</v>
      </c>
      <c r="T6768" t="str">
        <f>IF(Pipeline_tbl[[#This Row],[Closed_Date]]=0,"",(_xlfn.XLOOKUP(Pipeline_tbl[[#This Row],[Closed_Date]],Dim_Date!A:A,Dim_Date!H:H)))</f>
        <v>May 2024</v>
      </c>
      <c r="U6768">
        <f>IF(Pipeline_tbl[[#This Row],[Closed_Date]]=0,"",Pipeline_tbl[[#This Row],[Closed_Date]]-Pipeline_tbl[[#This Row],[Created_Date]])</f>
        <v>22</v>
      </c>
    </row>
    <row r="6769" spans="1:21" ht="15" customHeight="1" x14ac:dyDescent="0.2">
      <c r="A6769" t="s">
        <v>7075</v>
      </c>
      <c r="B6769" t="s">
        <v>217</v>
      </c>
      <c r="C6769" t="s">
        <v>52</v>
      </c>
      <c r="D6769" s="49">
        <v>45409</v>
      </c>
      <c r="E6769" s="49">
        <v>45410</v>
      </c>
      <c r="F6769" s="49">
        <v>45413</v>
      </c>
      <c r="G6769" s="49">
        <v>45417</v>
      </c>
      <c r="I6769" s="49">
        <v>45422</v>
      </c>
      <c r="J6769" t="s">
        <v>49</v>
      </c>
      <c r="K6769" s="33">
        <v>1500</v>
      </c>
      <c r="L6769" t="s">
        <v>63</v>
      </c>
      <c r="M6769" t="str">
        <f>_xlfn.XLOOKUP(Pipeline_tbl[[#This Row],[Rep_ID]],Dim_Reps!A:A,Dim_Reps!K:K)</f>
        <v>USD</v>
      </c>
      <c r="N6769" s="33">
        <f>(_xlfn.XLOOKUP(Pipeline_tbl[[#This Row],[Rate_Code_Generalized]],Lookups!A:A,Lookups!B:B))*Pipeline_tbl[[#This Row],[Pipeline_Amount_USD]]</f>
        <v>1746.4499999999998</v>
      </c>
      <c r="O6769" t="str">
        <f>_xlfn.XLOOKUP(Pipeline_tbl[[#This Row],[Rep_ID]],Dim_Reps!A:A,Dim_Reps!B:B)</f>
        <v>Priya Weber</v>
      </c>
      <c r="P6769" t="str">
        <f>_xlfn.XLOOKUP(Pipeline_tbl[[#This Row],[Rep_ID]],Dim_Reps!A:A,Dim_Reps!C:C)</f>
        <v>SDR / Inside Sales Rep</v>
      </c>
      <c r="Q6769" t="str">
        <f>_xlfn.XLOOKUP(Pipeline_tbl[[#This Row],[Rep_ID]],Dim_Reps!A:A,Dim_Reps!D:D)</f>
        <v>Inside Sales</v>
      </c>
      <c r="R6769" t="str">
        <f>_xlfn.XLOOKUP(Pipeline_tbl[[#This Row],[Rep_ID]],Dim_Reps!A:A,Dim_Reps!E:E)</f>
        <v>NAMER</v>
      </c>
      <c r="S6769" t="str">
        <f>_xlfn.XLOOKUP(Pipeline_tbl[[#This Row],[Created_Date]],Dim_Date!A:A,Dim_Date!H:H)</f>
        <v>Apr 2024</v>
      </c>
      <c r="T6769" t="str">
        <f>IF(Pipeline_tbl[[#This Row],[Closed_Date]]=0,"",(_xlfn.XLOOKUP(Pipeline_tbl[[#This Row],[Closed_Date]],Dim_Date!A:A,Dim_Date!H:H)))</f>
        <v>May 2024</v>
      </c>
      <c r="U6769">
        <f>IF(Pipeline_tbl[[#This Row],[Closed_Date]]=0,"",Pipeline_tbl[[#This Row],[Closed_Date]]-Pipeline_tbl[[#This Row],[Created_Date]])</f>
        <v>13</v>
      </c>
    </row>
    <row r="6770" spans="1:21" ht="15" customHeight="1" x14ac:dyDescent="0.2">
      <c r="A6770" t="s">
        <v>7076</v>
      </c>
      <c r="B6770" t="s">
        <v>217</v>
      </c>
      <c r="C6770" t="s">
        <v>52</v>
      </c>
      <c r="D6770" s="49">
        <v>45402</v>
      </c>
      <c r="E6770" s="49">
        <v>45404</v>
      </c>
      <c r="F6770" s="49">
        <v>45408</v>
      </c>
      <c r="G6770" s="49">
        <v>45414</v>
      </c>
      <c r="H6770" s="49">
        <v>45419</v>
      </c>
      <c r="I6770" s="49">
        <v>45422</v>
      </c>
      <c r="J6770" t="s">
        <v>49</v>
      </c>
      <c r="K6770" s="33">
        <v>5100</v>
      </c>
      <c r="L6770" t="s">
        <v>63</v>
      </c>
      <c r="M6770" t="str">
        <f>_xlfn.XLOOKUP(Pipeline_tbl[[#This Row],[Rep_ID]],Dim_Reps!A:A,Dim_Reps!K:K)</f>
        <v>USD</v>
      </c>
      <c r="N6770" s="33">
        <f>(_xlfn.XLOOKUP(Pipeline_tbl[[#This Row],[Rate_Code_Generalized]],Lookups!A:A,Lookups!B:B))*Pipeline_tbl[[#This Row],[Pipeline_Amount_USD]]</f>
        <v>5937.9299999999994</v>
      </c>
      <c r="O6770" t="str">
        <f>_xlfn.XLOOKUP(Pipeline_tbl[[#This Row],[Rep_ID]],Dim_Reps!A:A,Dim_Reps!B:B)</f>
        <v>Priya Weber</v>
      </c>
      <c r="P6770" t="str">
        <f>_xlfn.XLOOKUP(Pipeline_tbl[[#This Row],[Rep_ID]],Dim_Reps!A:A,Dim_Reps!C:C)</f>
        <v>SDR / Inside Sales Rep</v>
      </c>
      <c r="Q6770" t="str">
        <f>_xlfn.XLOOKUP(Pipeline_tbl[[#This Row],[Rep_ID]],Dim_Reps!A:A,Dim_Reps!D:D)</f>
        <v>Inside Sales</v>
      </c>
      <c r="R6770" t="str">
        <f>_xlfn.XLOOKUP(Pipeline_tbl[[#This Row],[Rep_ID]],Dim_Reps!A:A,Dim_Reps!E:E)</f>
        <v>NAMER</v>
      </c>
      <c r="S6770" t="str">
        <f>_xlfn.XLOOKUP(Pipeline_tbl[[#This Row],[Created_Date]],Dim_Date!A:A,Dim_Date!H:H)</f>
        <v>Apr 2024</v>
      </c>
      <c r="T6770" t="str">
        <f>IF(Pipeline_tbl[[#This Row],[Closed_Date]]=0,"",(_xlfn.XLOOKUP(Pipeline_tbl[[#This Row],[Closed_Date]],Dim_Date!A:A,Dim_Date!H:H)))</f>
        <v>May 2024</v>
      </c>
      <c r="U6770">
        <f>IF(Pipeline_tbl[[#This Row],[Closed_Date]]=0,"",Pipeline_tbl[[#This Row],[Closed_Date]]-Pipeline_tbl[[#This Row],[Created_Date]])</f>
        <v>20</v>
      </c>
    </row>
    <row r="6771" spans="1:21" ht="15" customHeight="1" x14ac:dyDescent="0.2">
      <c r="A6771" t="s">
        <v>7077</v>
      </c>
      <c r="B6771" t="s">
        <v>217</v>
      </c>
      <c r="C6771" t="s">
        <v>53</v>
      </c>
      <c r="D6771" s="49">
        <v>45404</v>
      </c>
      <c r="E6771" s="49">
        <v>45405</v>
      </c>
      <c r="F6771" s="49">
        <v>45408</v>
      </c>
      <c r="G6771" s="49">
        <v>45412</v>
      </c>
      <c r="H6771" s="49">
        <v>45415</v>
      </c>
      <c r="I6771" s="49">
        <v>45417</v>
      </c>
      <c r="J6771" t="s">
        <v>47</v>
      </c>
      <c r="K6771" s="33">
        <v>5700</v>
      </c>
      <c r="M6771" t="str">
        <f>_xlfn.XLOOKUP(Pipeline_tbl[[#This Row],[Rep_ID]],Dim_Reps!A:A,Dim_Reps!K:K)</f>
        <v>USD</v>
      </c>
      <c r="N6771" s="33">
        <f>(_xlfn.XLOOKUP(Pipeline_tbl[[#This Row],[Rate_Code_Generalized]],Lookups!A:A,Lookups!B:B))*Pipeline_tbl[[#This Row],[Pipeline_Amount_USD]]</f>
        <v>6636.5099999999993</v>
      </c>
      <c r="O6771" t="str">
        <f>_xlfn.XLOOKUP(Pipeline_tbl[[#This Row],[Rep_ID]],Dim_Reps!A:A,Dim_Reps!B:B)</f>
        <v>Priya Weber</v>
      </c>
      <c r="P6771" t="str">
        <f>_xlfn.XLOOKUP(Pipeline_tbl[[#This Row],[Rep_ID]],Dim_Reps!A:A,Dim_Reps!C:C)</f>
        <v>SDR / Inside Sales Rep</v>
      </c>
      <c r="Q6771" t="str">
        <f>_xlfn.XLOOKUP(Pipeline_tbl[[#This Row],[Rep_ID]],Dim_Reps!A:A,Dim_Reps!D:D)</f>
        <v>Inside Sales</v>
      </c>
      <c r="R6771" t="str">
        <f>_xlfn.XLOOKUP(Pipeline_tbl[[#This Row],[Rep_ID]],Dim_Reps!A:A,Dim_Reps!E:E)</f>
        <v>NAMER</v>
      </c>
      <c r="S6771" t="str">
        <f>_xlfn.XLOOKUP(Pipeline_tbl[[#This Row],[Created_Date]],Dim_Date!A:A,Dim_Date!H:H)</f>
        <v>Apr 2024</v>
      </c>
      <c r="T6771" t="str">
        <f>IF(Pipeline_tbl[[#This Row],[Closed_Date]]=0,"",(_xlfn.XLOOKUP(Pipeline_tbl[[#This Row],[Closed_Date]],Dim_Date!A:A,Dim_Date!H:H)))</f>
        <v>May 2024</v>
      </c>
      <c r="U6771">
        <f>IF(Pipeline_tbl[[#This Row],[Closed_Date]]=0,"",Pipeline_tbl[[#This Row],[Closed_Date]]-Pipeline_tbl[[#This Row],[Created_Date]])</f>
        <v>13</v>
      </c>
    </row>
    <row r="6772" spans="1:21" ht="15" customHeight="1" x14ac:dyDescent="0.2">
      <c r="A6772" t="s">
        <v>7078</v>
      </c>
      <c r="B6772" t="s">
        <v>217</v>
      </c>
      <c r="C6772" t="s">
        <v>54</v>
      </c>
      <c r="D6772" s="49">
        <v>45402</v>
      </c>
      <c r="E6772" s="49">
        <v>45404</v>
      </c>
      <c r="I6772" s="49">
        <v>45422</v>
      </c>
      <c r="J6772" t="s">
        <v>49</v>
      </c>
      <c r="K6772" s="33">
        <v>4400</v>
      </c>
      <c r="L6772" t="s">
        <v>60</v>
      </c>
      <c r="M6772" t="str">
        <f>_xlfn.XLOOKUP(Pipeline_tbl[[#This Row],[Rep_ID]],Dim_Reps!A:A,Dim_Reps!K:K)</f>
        <v>USD</v>
      </c>
      <c r="N6772" s="33">
        <f>(_xlfn.XLOOKUP(Pipeline_tbl[[#This Row],[Rate_Code_Generalized]],Lookups!A:A,Lookups!B:B))*Pipeline_tbl[[#This Row],[Pipeline_Amount_USD]]</f>
        <v>5122.9199999999992</v>
      </c>
      <c r="O6772" t="str">
        <f>_xlfn.XLOOKUP(Pipeline_tbl[[#This Row],[Rep_ID]],Dim_Reps!A:A,Dim_Reps!B:B)</f>
        <v>Priya Weber</v>
      </c>
      <c r="P6772" t="str">
        <f>_xlfn.XLOOKUP(Pipeline_tbl[[#This Row],[Rep_ID]],Dim_Reps!A:A,Dim_Reps!C:C)</f>
        <v>SDR / Inside Sales Rep</v>
      </c>
      <c r="Q6772" t="str">
        <f>_xlfn.XLOOKUP(Pipeline_tbl[[#This Row],[Rep_ID]],Dim_Reps!A:A,Dim_Reps!D:D)</f>
        <v>Inside Sales</v>
      </c>
      <c r="R6772" t="str">
        <f>_xlfn.XLOOKUP(Pipeline_tbl[[#This Row],[Rep_ID]],Dim_Reps!A:A,Dim_Reps!E:E)</f>
        <v>NAMER</v>
      </c>
      <c r="S6772" t="str">
        <f>_xlfn.XLOOKUP(Pipeline_tbl[[#This Row],[Created_Date]],Dim_Date!A:A,Dim_Date!H:H)</f>
        <v>Apr 2024</v>
      </c>
      <c r="T6772" t="str">
        <f>IF(Pipeline_tbl[[#This Row],[Closed_Date]]=0,"",(_xlfn.XLOOKUP(Pipeline_tbl[[#This Row],[Closed_Date]],Dim_Date!A:A,Dim_Date!H:H)))</f>
        <v>May 2024</v>
      </c>
      <c r="U6772">
        <f>IF(Pipeline_tbl[[#This Row],[Closed_Date]]=0,"",Pipeline_tbl[[#This Row],[Closed_Date]]-Pipeline_tbl[[#This Row],[Created_Date]])</f>
        <v>20</v>
      </c>
    </row>
    <row r="6773" spans="1:21" ht="15" customHeight="1" x14ac:dyDescent="0.2">
      <c r="A6773" t="s">
        <v>7079</v>
      </c>
      <c r="B6773" t="s">
        <v>217</v>
      </c>
      <c r="C6773" t="s">
        <v>56</v>
      </c>
      <c r="D6773" s="49">
        <v>45395</v>
      </c>
      <c r="E6773" s="49">
        <v>45397</v>
      </c>
      <c r="F6773" s="49">
        <v>45400</v>
      </c>
      <c r="I6773" s="49">
        <v>45413</v>
      </c>
      <c r="J6773" t="s">
        <v>49</v>
      </c>
      <c r="K6773" s="33">
        <v>6200</v>
      </c>
      <c r="L6773" t="s">
        <v>61</v>
      </c>
      <c r="M6773" t="str">
        <f>_xlfn.XLOOKUP(Pipeline_tbl[[#This Row],[Rep_ID]],Dim_Reps!A:A,Dim_Reps!K:K)</f>
        <v>USD</v>
      </c>
      <c r="N6773" s="33">
        <f>(_xlfn.XLOOKUP(Pipeline_tbl[[#This Row],[Rate_Code_Generalized]],Lookups!A:A,Lookups!B:B))*Pipeline_tbl[[#This Row],[Pipeline_Amount_USD]]</f>
        <v>7218.6599999999989</v>
      </c>
      <c r="O6773" t="str">
        <f>_xlfn.XLOOKUP(Pipeline_tbl[[#This Row],[Rep_ID]],Dim_Reps!A:A,Dim_Reps!B:B)</f>
        <v>Priya Weber</v>
      </c>
      <c r="P6773" t="str">
        <f>_xlfn.XLOOKUP(Pipeline_tbl[[#This Row],[Rep_ID]],Dim_Reps!A:A,Dim_Reps!C:C)</f>
        <v>SDR / Inside Sales Rep</v>
      </c>
      <c r="Q6773" t="str">
        <f>_xlfn.XLOOKUP(Pipeline_tbl[[#This Row],[Rep_ID]],Dim_Reps!A:A,Dim_Reps!D:D)</f>
        <v>Inside Sales</v>
      </c>
      <c r="R6773" t="str">
        <f>_xlfn.XLOOKUP(Pipeline_tbl[[#This Row],[Rep_ID]],Dim_Reps!A:A,Dim_Reps!E:E)</f>
        <v>NAMER</v>
      </c>
      <c r="S6773" t="str">
        <f>_xlfn.XLOOKUP(Pipeline_tbl[[#This Row],[Created_Date]],Dim_Date!A:A,Dim_Date!H:H)</f>
        <v>Apr 2024</v>
      </c>
      <c r="T6773" t="str">
        <f>IF(Pipeline_tbl[[#This Row],[Closed_Date]]=0,"",(_xlfn.XLOOKUP(Pipeline_tbl[[#This Row],[Closed_Date]],Dim_Date!A:A,Dim_Date!H:H)))</f>
        <v>May 2024</v>
      </c>
      <c r="U6773">
        <f>IF(Pipeline_tbl[[#This Row],[Closed_Date]]=0,"",Pipeline_tbl[[#This Row],[Closed_Date]]-Pipeline_tbl[[#This Row],[Created_Date]])</f>
        <v>18</v>
      </c>
    </row>
    <row r="6774" spans="1:21" ht="15" customHeight="1" x14ac:dyDescent="0.2">
      <c r="A6774" t="s">
        <v>7080</v>
      </c>
      <c r="B6774" t="s">
        <v>221</v>
      </c>
      <c r="C6774" t="s">
        <v>55</v>
      </c>
      <c r="D6774" s="49">
        <v>45412</v>
      </c>
      <c r="E6774" s="49">
        <v>45414</v>
      </c>
      <c r="F6774" s="49">
        <v>45418</v>
      </c>
      <c r="G6774" s="49">
        <v>45423</v>
      </c>
      <c r="H6774" s="49">
        <v>45428</v>
      </c>
      <c r="I6774" s="49">
        <v>45431</v>
      </c>
      <c r="J6774" t="s">
        <v>47</v>
      </c>
      <c r="K6774" s="33">
        <v>4000</v>
      </c>
      <c r="M6774" t="str">
        <f>_xlfn.XLOOKUP(Pipeline_tbl[[#This Row],[Rep_ID]],Dim_Reps!A:A,Dim_Reps!K:K)</f>
        <v>MXN</v>
      </c>
      <c r="N6774" s="33">
        <f>(_xlfn.XLOOKUP(Pipeline_tbl[[#This Row],[Rate_Code_Generalized]],Lookups!A:A,Lookups!B:B))*Pipeline_tbl[[#This Row],[Pipeline_Amount_USD]]</f>
        <v>78930.8</v>
      </c>
      <c r="O6774" t="str">
        <f>_xlfn.XLOOKUP(Pipeline_tbl[[#This Row],[Rep_ID]],Dim_Reps!A:A,Dim_Reps!B:B)</f>
        <v>Casey Muller</v>
      </c>
      <c r="P6774" t="str">
        <f>_xlfn.XLOOKUP(Pipeline_tbl[[#This Row],[Rep_ID]],Dim_Reps!A:A,Dim_Reps!C:C)</f>
        <v>SDR / Inside Sales Rep</v>
      </c>
      <c r="Q6774" t="str">
        <f>_xlfn.XLOOKUP(Pipeline_tbl[[#This Row],[Rep_ID]],Dim_Reps!A:A,Dim_Reps!D:D)</f>
        <v>Inside Sales</v>
      </c>
      <c r="R6774" t="str">
        <f>_xlfn.XLOOKUP(Pipeline_tbl[[#This Row],[Rep_ID]],Dim_Reps!A:A,Dim_Reps!E:E)</f>
        <v>LATAM</v>
      </c>
      <c r="S6774" t="str">
        <f>_xlfn.XLOOKUP(Pipeline_tbl[[#This Row],[Created_Date]],Dim_Date!A:A,Dim_Date!H:H)</f>
        <v>Apr 2024</v>
      </c>
      <c r="T6774" t="str">
        <f>IF(Pipeline_tbl[[#This Row],[Closed_Date]]=0,"",(_xlfn.XLOOKUP(Pipeline_tbl[[#This Row],[Closed_Date]],Dim_Date!A:A,Dim_Date!H:H)))</f>
        <v>May 2024</v>
      </c>
      <c r="U6774">
        <f>IF(Pipeline_tbl[[#This Row],[Closed_Date]]=0,"",Pipeline_tbl[[#This Row],[Closed_Date]]-Pipeline_tbl[[#This Row],[Created_Date]])</f>
        <v>19</v>
      </c>
    </row>
    <row r="6775" spans="1:21" ht="15" customHeight="1" x14ac:dyDescent="0.2">
      <c r="A6775" t="s">
        <v>7081</v>
      </c>
      <c r="B6775" t="s">
        <v>221</v>
      </c>
      <c r="C6775" t="s">
        <v>53</v>
      </c>
      <c r="D6775" s="49">
        <v>45401</v>
      </c>
      <c r="E6775" s="49">
        <v>45404</v>
      </c>
      <c r="F6775" s="49">
        <v>45409</v>
      </c>
      <c r="G6775" s="49">
        <v>45417</v>
      </c>
      <c r="I6775" s="49">
        <v>45428</v>
      </c>
      <c r="J6775" t="s">
        <v>49</v>
      </c>
      <c r="K6775" s="33">
        <v>3900</v>
      </c>
      <c r="L6775" t="s">
        <v>60</v>
      </c>
      <c r="M6775" t="str">
        <f>_xlfn.XLOOKUP(Pipeline_tbl[[#This Row],[Rep_ID]],Dim_Reps!A:A,Dim_Reps!K:K)</f>
        <v>MXN</v>
      </c>
      <c r="N6775" s="33">
        <f>(_xlfn.XLOOKUP(Pipeline_tbl[[#This Row],[Rate_Code_Generalized]],Lookups!A:A,Lookups!B:B))*Pipeline_tbl[[#This Row],[Pipeline_Amount_USD]]</f>
        <v>76957.53</v>
      </c>
      <c r="O6775" t="str">
        <f>_xlfn.XLOOKUP(Pipeline_tbl[[#This Row],[Rep_ID]],Dim_Reps!A:A,Dim_Reps!B:B)</f>
        <v>Casey Muller</v>
      </c>
      <c r="P6775" t="str">
        <f>_xlfn.XLOOKUP(Pipeline_tbl[[#This Row],[Rep_ID]],Dim_Reps!A:A,Dim_Reps!C:C)</f>
        <v>SDR / Inside Sales Rep</v>
      </c>
      <c r="Q6775" t="str">
        <f>_xlfn.XLOOKUP(Pipeline_tbl[[#This Row],[Rep_ID]],Dim_Reps!A:A,Dim_Reps!D:D)</f>
        <v>Inside Sales</v>
      </c>
      <c r="R6775" t="str">
        <f>_xlfn.XLOOKUP(Pipeline_tbl[[#This Row],[Rep_ID]],Dim_Reps!A:A,Dim_Reps!E:E)</f>
        <v>LATAM</v>
      </c>
      <c r="S6775" t="str">
        <f>_xlfn.XLOOKUP(Pipeline_tbl[[#This Row],[Created_Date]],Dim_Date!A:A,Dim_Date!H:H)</f>
        <v>Apr 2024</v>
      </c>
      <c r="T6775" t="str">
        <f>IF(Pipeline_tbl[[#This Row],[Closed_Date]]=0,"",(_xlfn.XLOOKUP(Pipeline_tbl[[#This Row],[Closed_Date]],Dim_Date!A:A,Dim_Date!H:H)))</f>
        <v>May 2024</v>
      </c>
      <c r="U6775">
        <f>IF(Pipeline_tbl[[#This Row],[Closed_Date]]=0,"",Pipeline_tbl[[#This Row],[Closed_Date]]-Pipeline_tbl[[#This Row],[Created_Date]])</f>
        <v>27</v>
      </c>
    </row>
    <row r="6776" spans="1:21" ht="15" customHeight="1" x14ac:dyDescent="0.2">
      <c r="A6776" t="s">
        <v>7082</v>
      </c>
      <c r="B6776" t="s">
        <v>221</v>
      </c>
      <c r="C6776" t="s">
        <v>52</v>
      </c>
      <c r="D6776" s="49">
        <v>45409</v>
      </c>
      <c r="E6776" s="49">
        <v>45411</v>
      </c>
      <c r="F6776" s="49">
        <v>45415</v>
      </c>
      <c r="G6776" s="49">
        <v>45420</v>
      </c>
      <c r="H6776" s="49">
        <v>45425</v>
      </c>
      <c r="I6776" s="49">
        <v>45428</v>
      </c>
      <c r="J6776" t="s">
        <v>47</v>
      </c>
      <c r="K6776" s="33">
        <v>6700</v>
      </c>
      <c r="M6776" t="str">
        <f>_xlfn.XLOOKUP(Pipeline_tbl[[#This Row],[Rep_ID]],Dim_Reps!A:A,Dim_Reps!K:K)</f>
        <v>MXN</v>
      </c>
      <c r="N6776" s="33">
        <f>(_xlfn.XLOOKUP(Pipeline_tbl[[#This Row],[Rate_Code_Generalized]],Lookups!A:A,Lookups!B:B))*Pipeline_tbl[[#This Row],[Pipeline_Amount_USD]]</f>
        <v>132209.09</v>
      </c>
      <c r="O6776" t="str">
        <f>_xlfn.XLOOKUP(Pipeline_tbl[[#This Row],[Rep_ID]],Dim_Reps!A:A,Dim_Reps!B:B)</f>
        <v>Casey Muller</v>
      </c>
      <c r="P6776" t="str">
        <f>_xlfn.XLOOKUP(Pipeline_tbl[[#This Row],[Rep_ID]],Dim_Reps!A:A,Dim_Reps!C:C)</f>
        <v>SDR / Inside Sales Rep</v>
      </c>
      <c r="Q6776" t="str">
        <f>_xlfn.XLOOKUP(Pipeline_tbl[[#This Row],[Rep_ID]],Dim_Reps!A:A,Dim_Reps!D:D)</f>
        <v>Inside Sales</v>
      </c>
      <c r="R6776" t="str">
        <f>_xlfn.XLOOKUP(Pipeline_tbl[[#This Row],[Rep_ID]],Dim_Reps!A:A,Dim_Reps!E:E)</f>
        <v>LATAM</v>
      </c>
      <c r="S6776" t="str">
        <f>_xlfn.XLOOKUP(Pipeline_tbl[[#This Row],[Created_Date]],Dim_Date!A:A,Dim_Date!H:H)</f>
        <v>Apr 2024</v>
      </c>
      <c r="T6776" t="str">
        <f>IF(Pipeline_tbl[[#This Row],[Closed_Date]]=0,"",(_xlfn.XLOOKUP(Pipeline_tbl[[#This Row],[Closed_Date]],Dim_Date!A:A,Dim_Date!H:H)))</f>
        <v>May 2024</v>
      </c>
      <c r="U6776">
        <f>IF(Pipeline_tbl[[#This Row],[Closed_Date]]=0,"",Pipeline_tbl[[#This Row],[Closed_Date]]-Pipeline_tbl[[#This Row],[Created_Date]])</f>
        <v>19</v>
      </c>
    </row>
    <row r="6777" spans="1:21" ht="15" customHeight="1" x14ac:dyDescent="0.2">
      <c r="A6777" t="s">
        <v>7083</v>
      </c>
      <c r="B6777" t="s">
        <v>221</v>
      </c>
      <c r="C6777" t="s">
        <v>53</v>
      </c>
      <c r="D6777" s="49">
        <v>45400</v>
      </c>
      <c r="E6777" s="49">
        <v>45402</v>
      </c>
      <c r="F6777" s="49">
        <v>45406</v>
      </c>
      <c r="I6777" s="49">
        <v>45419</v>
      </c>
      <c r="J6777" t="s">
        <v>49</v>
      </c>
      <c r="K6777" s="33">
        <v>2100</v>
      </c>
      <c r="L6777" t="s">
        <v>60</v>
      </c>
      <c r="M6777" t="str">
        <f>_xlfn.XLOOKUP(Pipeline_tbl[[#This Row],[Rep_ID]],Dim_Reps!A:A,Dim_Reps!K:K)</f>
        <v>MXN</v>
      </c>
      <c r="N6777" s="33">
        <f>(_xlfn.XLOOKUP(Pipeline_tbl[[#This Row],[Rate_Code_Generalized]],Lookups!A:A,Lookups!B:B))*Pipeline_tbl[[#This Row],[Pipeline_Amount_USD]]</f>
        <v>41438.670000000006</v>
      </c>
      <c r="O6777" t="str">
        <f>_xlfn.XLOOKUP(Pipeline_tbl[[#This Row],[Rep_ID]],Dim_Reps!A:A,Dim_Reps!B:B)</f>
        <v>Casey Muller</v>
      </c>
      <c r="P6777" t="str">
        <f>_xlfn.XLOOKUP(Pipeline_tbl[[#This Row],[Rep_ID]],Dim_Reps!A:A,Dim_Reps!C:C)</f>
        <v>SDR / Inside Sales Rep</v>
      </c>
      <c r="Q6777" t="str">
        <f>_xlfn.XLOOKUP(Pipeline_tbl[[#This Row],[Rep_ID]],Dim_Reps!A:A,Dim_Reps!D:D)</f>
        <v>Inside Sales</v>
      </c>
      <c r="R6777" t="str">
        <f>_xlfn.XLOOKUP(Pipeline_tbl[[#This Row],[Rep_ID]],Dim_Reps!A:A,Dim_Reps!E:E)</f>
        <v>LATAM</v>
      </c>
      <c r="S6777" t="str">
        <f>_xlfn.XLOOKUP(Pipeline_tbl[[#This Row],[Created_Date]],Dim_Date!A:A,Dim_Date!H:H)</f>
        <v>Apr 2024</v>
      </c>
      <c r="T6777" t="str">
        <f>IF(Pipeline_tbl[[#This Row],[Closed_Date]]=0,"",(_xlfn.XLOOKUP(Pipeline_tbl[[#This Row],[Closed_Date]],Dim_Date!A:A,Dim_Date!H:H)))</f>
        <v>May 2024</v>
      </c>
      <c r="U6777">
        <f>IF(Pipeline_tbl[[#This Row],[Closed_Date]]=0,"",Pipeline_tbl[[#This Row],[Closed_Date]]-Pipeline_tbl[[#This Row],[Created_Date]])</f>
        <v>19</v>
      </c>
    </row>
    <row r="6778" spans="1:21" ht="15" customHeight="1" x14ac:dyDescent="0.2">
      <c r="A6778" t="s">
        <v>7084</v>
      </c>
      <c r="B6778" t="s">
        <v>221</v>
      </c>
      <c r="C6778" t="s">
        <v>53</v>
      </c>
      <c r="D6778" s="49">
        <v>45411</v>
      </c>
      <c r="E6778" s="49">
        <v>45413</v>
      </c>
      <c r="F6778" s="49">
        <v>45416</v>
      </c>
      <c r="I6778" s="49">
        <v>45428</v>
      </c>
      <c r="J6778" t="s">
        <v>49</v>
      </c>
      <c r="K6778" s="33">
        <v>4900</v>
      </c>
      <c r="L6778" t="s">
        <v>61</v>
      </c>
      <c r="M6778" t="str">
        <f>_xlfn.XLOOKUP(Pipeline_tbl[[#This Row],[Rep_ID]],Dim_Reps!A:A,Dim_Reps!K:K)</f>
        <v>MXN</v>
      </c>
      <c r="N6778" s="33">
        <f>(_xlfn.XLOOKUP(Pipeline_tbl[[#This Row],[Rate_Code_Generalized]],Lookups!A:A,Lookups!B:B))*Pipeline_tbl[[#This Row],[Pipeline_Amount_USD]]</f>
        <v>96690.23000000001</v>
      </c>
      <c r="O6778" t="str">
        <f>_xlfn.XLOOKUP(Pipeline_tbl[[#This Row],[Rep_ID]],Dim_Reps!A:A,Dim_Reps!B:B)</f>
        <v>Casey Muller</v>
      </c>
      <c r="P6778" t="str">
        <f>_xlfn.XLOOKUP(Pipeline_tbl[[#This Row],[Rep_ID]],Dim_Reps!A:A,Dim_Reps!C:C)</f>
        <v>SDR / Inside Sales Rep</v>
      </c>
      <c r="Q6778" t="str">
        <f>_xlfn.XLOOKUP(Pipeline_tbl[[#This Row],[Rep_ID]],Dim_Reps!A:A,Dim_Reps!D:D)</f>
        <v>Inside Sales</v>
      </c>
      <c r="R6778" t="str">
        <f>_xlfn.XLOOKUP(Pipeline_tbl[[#This Row],[Rep_ID]],Dim_Reps!A:A,Dim_Reps!E:E)</f>
        <v>LATAM</v>
      </c>
      <c r="S6778" t="str">
        <f>_xlfn.XLOOKUP(Pipeline_tbl[[#This Row],[Created_Date]],Dim_Date!A:A,Dim_Date!H:H)</f>
        <v>Apr 2024</v>
      </c>
      <c r="T6778" t="str">
        <f>IF(Pipeline_tbl[[#This Row],[Closed_Date]]=0,"",(_xlfn.XLOOKUP(Pipeline_tbl[[#This Row],[Closed_Date]],Dim_Date!A:A,Dim_Date!H:H)))</f>
        <v>May 2024</v>
      </c>
      <c r="U6778">
        <f>IF(Pipeline_tbl[[#This Row],[Closed_Date]]=0,"",Pipeline_tbl[[#This Row],[Closed_Date]]-Pipeline_tbl[[#This Row],[Created_Date]])</f>
        <v>17</v>
      </c>
    </row>
    <row r="6779" spans="1:21" ht="15" customHeight="1" x14ac:dyDescent="0.2">
      <c r="A6779" t="s">
        <v>7085</v>
      </c>
      <c r="B6779" t="s">
        <v>221</v>
      </c>
      <c r="C6779" t="s">
        <v>55</v>
      </c>
      <c r="D6779" s="49">
        <v>45401</v>
      </c>
      <c r="E6779" s="49">
        <v>45403</v>
      </c>
      <c r="F6779" s="49">
        <v>45406</v>
      </c>
      <c r="G6779" s="49">
        <v>45411</v>
      </c>
      <c r="H6779" s="49">
        <v>45415</v>
      </c>
      <c r="I6779" s="49">
        <v>45417</v>
      </c>
      <c r="J6779" t="s">
        <v>49</v>
      </c>
      <c r="K6779" s="33">
        <v>5200</v>
      </c>
      <c r="L6779" t="s">
        <v>60</v>
      </c>
      <c r="M6779" t="str">
        <f>_xlfn.XLOOKUP(Pipeline_tbl[[#This Row],[Rep_ID]],Dim_Reps!A:A,Dim_Reps!K:K)</f>
        <v>MXN</v>
      </c>
      <c r="N6779" s="33">
        <f>(_xlfn.XLOOKUP(Pipeline_tbl[[#This Row],[Rate_Code_Generalized]],Lookups!A:A,Lookups!B:B))*Pipeline_tbl[[#This Row],[Pipeline_Amount_USD]]</f>
        <v>102610.04000000001</v>
      </c>
      <c r="O6779" t="str">
        <f>_xlfn.XLOOKUP(Pipeline_tbl[[#This Row],[Rep_ID]],Dim_Reps!A:A,Dim_Reps!B:B)</f>
        <v>Casey Muller</v>
      </c>
      <c r="P6779" t="str">
        <f>_xlfn.XLOOKUP(Pipeline_tbl[[#This Row],[Rep_ID]],Dim_Reps!A:A,Dim_Reps!C:C)</f>
        <v>SDR / Inside Sales Rep</v>
      </c>
      <c r="Q6779" t="str">
        <f>_xlfn.XLOOKUP(Pipeline_tbl[[#This Row],[Rep_ID]],Dim_Reps!A:A,Dim_Reps!D:D)</f>
        <v>Inside Sales</v>
      </c>
      <c r="R6779" t="str">
        <f>_xlfn.XLOOKUP(Pipeline_tbl[[#This Row],[Rep_ID]],Dim_Reps!A:A,Dim_Reps!E:E)</f>
        <v>LATAM</v>
      </c>
      <c r="S6779" t="str">
        <f>_xlfn.XLOOKUP(Pipeline_tbl[[#This Row],[Created_Date]],Dim_Date!A:A,Dim_Date!H:H)</f>
        <v>Apr 2024</v>
      </c>
      <c r="T6779" t="str">
        <f>IF(Pipeline_tbl[[#This Row],[Closed_Date]]=0,"",(_xlfn.XLOOKUP(Pipeline_tbl[[#This Row],[Closed_Date]],Dim_Date!A:A,Dim_Date!H:H)))</f>
        <v>May 2024</v>
      </c>
      <c r="U6779">
        <f>IF(Pipeline_tbl[[#This Row],[Closed_Date]]=0,"",Pipeline_tbl[[#This Row],[Closed_Date]]-Pipeline_tbl[[#This Row],[Created_Date]])</f>
        <v>16</v>
      </c>
    </row>
    <row r="6780" spans="1:21" ht="15" customHeight="1" x14ac:dyDescent="0.2">
      <c r="A6780" t="s">
        <v>7086</v>
      </c>
      <c r="B6780" t="s">
        <v>221</v>
      </c>
      <c r="C6780" t="s">
        <v>54</v>
      </c>
      <c r="D6780" s="49">
        <v>45400</v>
      </c>
      <c r="E6780" s="49">
        <v>45402</v>
      </c>
      <c r="F6780" s="49">
        <v>45407</v>
      </c>
      <c r="G6780" s="49">
        <v>45414</v>
      </c>
      <c r="I6780" s="49">
        <v>45424</v>
      </c>
      <c r="J6780" t="s">
        <v>49</v>
      </c>
      <c r="K6780" s="33">
        <v>6600</v>
      </c>
      <c r="L6780" t="s">
        <v>62</v>
      </c>
      <c r="M6780" t="str">
        <f>_xlfn.XLOOKUP(Pipeline_tbl[[#This Row],[Rep_ID]],Dim_Reps!A:A,Dim_Reps!K:K)</f>
        <v>MXN</v>
      </c>
      <c r="N6780" s="33">
        <f>(_xlfn.XLOOKUP(Pipeline_tbl[[#This Row],[Rate_Code_Generalized]],Lookups!A:A,Lookups!B:B))*Pipeline_tbl[[#This Row],[Pipeline_Amount_USD]]</f>
        <v>130235.82</v>
      </c>
      <c r="O6780" t="str">
        <f>_xlfn.XLOOKUP(Pipeline_tbl[[#This Row],[Rep_ID]],Dim_Reps!A:A,Dim_Reps!B:B)</f>
        <v>Casey Muller</v>
      </c>
      <c r="P6780" t="str">
        <f>_xlfn.XLOOKUP(Pipeline_tbl[[#This Row],[Rep_ID]],Dim_Reps!A:A,Dim_Reps!C:C)</f>
        <v>SDR / Inside Sales Rep</v>
      </c>
      <c r="Q6780" t="str">
        <f>_xlfn.XLOOKUP(Pipeline_tbl[[#This Row],[Rep_ID]],Dim_Reps!A:A,Dim_Reps!D:D)</f>
        <v>Inside Sales</v>
      </c>
      <c r="R6780" t="str">
        <f>_xlfn.XLOOKUP(Pipeline_tbl[[#This Row],[Rep_ID]],Dim_Reps!A:A,Dim_Reps!E:E)</f>
        <v>LATAM</v>
      </c>
      <c r="S6780" t="str">
        <f>_xlfn.XLOOKUP(Pipeline_tbl[[#This Row],[Created_Date]],Dim_Date!A:A,Dim_Date!H:H)</f>
        <v>Apr 2024</v>
      </c>
      <c r="T6780" t="str">
        <f>IF(Pipeline_tbl[[#This Row],[Closed_Date]]=0,"",(_xlfn.XLOOKUP(Pipeline_tbl[[#This Row],[Closed_Date]],Dim_Date!A:A,Dim_Date!H:H)))</f>
        <v>May 2024</v>
      </c>
      <c r="U6780">
        <f>IF(Pipeline_tbl[[#This Row],[Closed_Date]]=0,"",Pipeline_tbl[[#This Row],[Closed_Date]]-Pipeline_tbl[[#This Row],[Created_Date]])</f>
        <v>24</v>
      </c>
    </row>
    <row r="6781" spans="1:21" ht="15" customHeight="1" x14ac:dyDescent="0.2">
      <c r="A6781" t="s">
        <v>7087</v>
      </c>
      <c r="B6781" t="s">
        <v>221</v>
      </c>
      <c r="C6781" t="s">
        <v>53</v>
      </c>
      <c r="D6781" s="49">
        <v>45393</v>
      </c>
      <c r="E6781" s="49">
        <v>45395</v>
      </c>
      <c r="F6781" s="49">
        <v>45399</v>
      </c>
      <c r="I6781" s="49">
        <v>45413</v>
      </c>
      <c r="J6781" t="s">
        <v>49</v>
      </c>
      <c r="K6781" s="33">
        <v>3600</v>
      </c>
      <c r="L6781" t="s">
        <v>61</v>
      </c>
      <c r="M6781" t="str">
        <f>_xlfn.XLOOKUP(Pipeline_tbl[[#This Row],[Rep_ID]],Dim_Reps!A:A,Dim_Reps!K:K)</f>
        <v>MXN</v>
      </c>
      <c r="N6781" s="33">
        <f>(_xlfn.XLOOKUP(Pipeline_tbl[[#This Row],[Rate_Code_Generalized]],Lookups!A:A,Lookups!B:B))*Pipeline_tbl[[#This Row],[Pipeline_Amount_USD]]</f>
        <v>71037.72</v>
      </c>
      <c r="O6781" t="str">
        <f>_xlfn.XLOOKUP(Pipeline_tbl[[#This Row],[Rep_ID]],Dim_Reps!A:A,Dim_Reps!B:B)</f>
        <v>Casey Muller</v>
      </c>
      <c r="P6781" t="str">
        <f>_xlfn.XLOOKUP(Pipeline_tbl[[#This Row],[Rep_ID]],Dim_Reps!A:A,Dim_Reps!C:C)</f>
        <v>SDR / Inside Sales Rep</v>
      </c>
      <c r="Q6781" t="str">
        <f>_xlfn.XLOOKUP(Pipeline_tbl[[#This Row],[Rep_ID]],Dim_Reps!A:A,Dim_Reps!D:D)</f>
        <v>Inside Sales</v>
      </c>
      <c r="R6781" t="str">
        <f>_xlfn.XLOOKUP(Pipeline_tbl[[#This Row],[Rep_ID]],Dim_Reps!A:A,Dim_Reps!E:E)</f>
        <v>LATAM</v>
      </c>
      <c r="S6781" t="str">
        <f>_xlfn.XLOOKUP(Pipeline_tbl[[#This Row],[Created_Date]],Dim_Date!A:A,Dim_Date!H:H)</f>
        <v>Apr 2024</v>
      </c>
      <c r="T6781" t="str">
        <f>IF(Pipeline_tbl[[#This Row],[Closed_Date]]=0,"",(_xlfn.XLOOKUP(Pipeline_tbl[[#This Row],[Closed_Date]],Dim_Date!A:A,Dim_Date!H:H)))</f>
        <v>May 2024</v>
      </c>
      <c r="U6781">
        <f>IF(Pipeline_tbl[[#This Row],[Closed_Date]]=0,"",Pipeline_tbl[[#This Row],[Closed_Date]]-Pipeline_tbl[[#This Row],[Created_Date]])</f>
        <v>20</v>
      </c>
    </row>
    <row r="6782" spans="1:21" ht="15" customHeight="1" x14ac:dyDescent="0.2">
      <c r="A6782" t="s">
        <v>7088</v>
      </c>
      <c r="B6782" t="s">
        <v>259</v>
      </c>
      <c r="C6782" t="s">
        <v>56</v>
      </c>
      <c r="D6782" s="49">
        <v>45390</v>
      </c>
      <c r="E6782" s="49">
        <v>45392</v>
      </c>
      <c r="F6782" s="49">
        <v>45398</v>
      </c>
      <c r="G6782" s="49">
        <v>45405</v>
      </c>
      <c r="H6782" s="49">
        <v>45411</v>
      </c>
      <c r="I6782" s="49">
        <v>45415</v>
      </c>
      <c r="J6782" t="s">
        <v>49</v>
      </c>
      <c r="K6782" s="33">
        <v>18900</v>
      </c>
      <c r="L6782" t="s">
        <v>60</v>
      </c>
      <c r="M6782" t="str">
        <f>_xlfn.XLOOKUP(Pipeline_tbl[[#This Row],[Rep_ID]],Dim_Reps!A:A,Dim_Reps!K:K)</f>
        <v>EUR</v>
      </c>
      <c r="N6782" s="33">
        <f>(_xlfn.XLOOKUP(Pipeline_tbl[[#This Row],[Rate_Code_Generalized]],Lookups!A:A,Lookups!B:B))*Pipeline_tbl[[#This Row],[Pipeline_Amount_USD]]</f>
        <v>18900</v>
      </c>
      <c r="O6782" t="str">
        <f>_xlfn.XLOOKUP(Pipeline_tbl[[#This Row],[Rep_ID]],Dim_Reps!A:A,Dim_Reps!B:B)</f>
        <v>Felix Okafor</v>
      </c>
      <c r="P6782" t="str">
        <f>_xlfn.XLOOKUP(Pipeline_tbl[[#This Row],[Rep_ID]],Dim_Reps!A:A,Dim_Reps!C:C)</f>
        <v>Mid-Market AE</v>
      </c>
      <c r="Q6782" t="str">
        <f>_xlfn.XLOOKUP(Pipeline_tbl[[#This Row],[Rep_ID]],Dim_Reps!A:A,Dim_Reps!D:D)</f>
        <v>Mid-Market</v>
      </c>
      <c r="R6782" t="str">
        <f>_xlfn.XLOOKUP(Pipeline_tbl[[#This Row],[Rep_ID]],Dim_Reps!A:A,Dim_Reps!E:E)</f>
        <v>EMEA</v>
      </c>
      <c r="S6782" t="str">
        <f>_xlfn.XLOOKUP(Pipeline_tbl[[#This Row],[Created_Date]],Dim_Date!A:A,Dim_Date!H:H)</f>
        <v>Apr 2024</v>
      </c>
      <c r="T6782" t="str">
        <f>IF(Pipeline_tbl[[#This Row],[Closed_Date]]=0,"",(_xlfn.XLOOKUP(Pipeline_tbl[[#This Row],[Closed_Date]],Dim_Date!A:A,Dim_Date!H:H)))</f>
        <v>May 2024</v>
      </c>
      <c r="U6782">
        <f>IF(Pipeline_tbl[[#This Row],[Closed_Date]]=0,"",Pipeline_tbl[[#This Row],[Closed_Date]]-Pipeline_tbl[[#This Row],[Created_Date]])</f>
        <v>25</v>
      </c>
    </row>
    <row r="6783" spans="1:21" ht="15" customHeight="1" x14ac:dyDescent="0.2">
      <c r="A6783" t="s">
        <v>7089</v>
      </c>
      <c r="B6783" t="s">
        <v>259</v>
      </c>
      <c r="C6783" t="s">
        <v>53</v>
      </c>
      <c r="D6783" s="49">
        <v>45402</v>
      </c>
      <c r="E6783" s="49">
        <v>45403</v>
      </c>
      <c r="F6783" s="49">
        <v>45406</v>
      </c>
      <c r="G6783" s="49">
        <v>45410</v>
      </c>
      <c r="I6783" s="49">
        <v>45415</v>
      </c>
      <c r="J6783" t="s">
        <v>49</v>
      </c>
      <c r="K6783" s="33">
        <v>12000</v>
      </c>
      <c r="L6783" t="s">
        <v>62</v>
      </c>
      <c r="M6783" t="str">
        <f>_xlfn.XLOOKUP(Pipeline_tbl[[#This Row],[Rep_ID]],Dim_Reps!A:A,Dim_Reps!K:K)</f>
        <v>EUR</v>
      </c>
      <c r="N6783" s="33">
        <f>(_xlfn.XLOOKUP(Pipeline_tbl[[#This Row],[Rate_Code_Generalized]],Lookups!A:A,Lookups!B:B))*Pipeline_tbl[[#This Row],[Pipeline_Amount_USD]]</f>
        <v>12000</v>
      </c>
      <c r="O6783" t="str">
        <f>_xlfn.XLOOKUP(Pipeline_tbl[[#This Row],[Rep_ID]],Dim_Reps!A:A,Dim_Reps!B:B)</f>
        <v>Felix Okafor</v>
      </c>
      <c r="P6783" t="str">
        <f>_xlfn.XLOOKUP(Pipeline_tbl[[#This Row],[Rep_ID]],Dim_Reps!A:A,Dim_Reps!C:C)</f>
        <v>Mid-Market AE</v>
      </c>
      <c r="Q6783" t="str">
        <f>_xlfn.XLOOKUP(Pipeline_tbl[[#This Row],[Rep_ID]],Dim_Reps!A:A,Dim_Reps!D:D)</f>
        <v>Mid-Market</v>
      </c>
      <c r="R6783" t="str">
        <f>_xlfn.XLOOKUP(Pipeline_tbl[[#This Row],[Rep_ID]],Dim_Reps!A:A,Dim_Reps!E:E)</f>
        <v>EMEA</v>
      </c>
      <c r="S6783" t="str">
        <f>_xlfn.XLOOKUP(Pipeline_tbl[[#This Row],[Created_Date]],Dim_Date!A:A,Dim_Date!H:H)</f>
        <v>Apr 2024</v>
      </c>
      <c r="T6783" t="str">
        <f>IF(Pipeline_tbl[[#This Row],[Closed_Date]]=0,"",(_xlfn.XLOOKUP(Pipeline_tbl[[#This Row],[Closed_Date]],Dim_Date!A:A,Dim_Date!H:H)))</f>
        <v>May 2024</v>
      </c>
      <c r="U6783">
        <f>IF(Pipeline_tbl[[#This Row],[Closed_Date]]=0,"",Pipeline_tbl[[#This Row],[Closed_Date]]-Pipeline_tbl[[#This Row],[Created_Date]])</f>
        <v>13</v>
      </c>
    </row>
    <row r="6784" spans="1:21" ht="15" customHeight="1" x14ac:dyDescent="0.2">
      <c r="A6784" t="s">
        <v>7090</v>
      </c>
      <c r="B6784" t="s">
        <v>259</v>
      </c>
      <c r="C6784" t="s">
        <v>52</v>
      </c>
      <c r="D6784" s="49">
        <v>45389</v>
      </c>
      <c r="E6784" s="49">
        <v>45393</v>
      </c>
      <c r="F6784" s="49">
        <v>45402</v>
      </c>
      <c r="G6784" s="49">
        <v>45414</v>
      </c>
      <c r="H6784" s="49">
        <v>45425</v>
      </c>
      <c r="I6784" s="49">
        <v>45431</v>
      </c>
      <c r="J6784" t="s">
        <v>47</v>
      </c>
      <c r="K6784" s="33">
        <v>11400</v>
      </c>
      <c r="M6784" t="str">
        <f>_xlfn.XLOOKUP(Pipeline_tbl[[#This Row],[Rep_ID]],Dim_Reps!A:A,Dim_Reps!K:K)</f>
        <v>EUR</v>
      </c>
      <c r="N6784" s="33">
        <f>(_xlfn.XLOOKUP(Pipeline_tbl[[#This Row],[Rate_Code_Generalized]],Lookups!A:A,Lookups!B:B))*Pipeline_tbl[[#This Row],[Pipeline_Amount_USD]]</f>
        <v>11400</v>
      </c>
      <c r="O6784" t="str">
        <f>_xlfn.XLOOKUP(Pipeline_tbl[[#This Row],[Rep_ID]],Dim_Reps!A:A,Dim_Reps!B:B)</f>
        <v>Felix Okafor</v>
      </c>
      <c r="P6784" t="str">
        <f>_xlfn.XLOOKUP(Pipeline_tbl[[#This Row],[Rep_ID]],Dim_Reps!A:A,Dim_Reps!C:C)</f>
        <v>Mid-Market AE</v>
      </c>
      <c r="Q6784" t="str">
        <f>_xlfn.XLOOKUP(Pipeline_tbl[[#This Row],[Rep_ID]],Dim_Reps!A:A,Dim_Reps!D:D)</f>
        <v>Mid-Market</v>
      </c>
      <c r="R6784" t="str">
        <f>_xlfn.XLOOKUP(Pipeline_tbl[[#This Row],[Rep_ID]],Dim_Reps!A:A,Dim_Reps!E:E)</f>
        <v>EMEA</v>
      </c>
      <c r="S6784" t="str">
        <f>_xlfn.XLOOKUP(Pipeline_tbl[[#This Row],[Created_Date]],Dim_Date!A:A,Dim_Date!H:H)</f>
        <v>Apr 2024</v>
      </c>
      <c r="T6784" t="str">
        <f>IF(Pipeline_tbl[[#This Row],[Closed_Date]]=0,"",(_xlfn.XLOOKUP(Pipeline_tbl[[#This Row],[Closed_Date]],Dim_Date!A:A,Dim_Date!H:H)))</f>
        <v>May 2024</v>
      </c>
      <c r="U6784">
        <f>IF(Pipeline_tbl[[#This Row],[Closed_Date]]=0,"",Pipeline_tbl[[#This Row],[Closed_Date]]-Pipeline_tbl[[#This Row],[Created_Date]])</f>
        <v>42</v>
      </c>
    </row>
    <row r="6785" spans="1:21" ht="15" customHeight="1" x14ac:dyDescent="0.2">
      <c r="A6785" t="s">
        <v>7091</v>
      </c>
      <c r="B6785" t="s">
        <v>225</v>
      </c>
      <c r="C6785" t="s">
        <v>52</v>
      </c>
      <c r="D6785" s="49">
        <v>45399</v>
      </c>
      <c r="E6785" s="49">
        <v>45401</v>
      </c>
      <c r="F6785" s="49">
        <v>45404</v>
      </c>
      <c r="G6785" s="49">
        <v>45409</v>
      </c>
      <c r="I6785" s="49">
        <v>45416</v>
      </c>
      <c r="J6785" t="s">
        <v>49</v>
      </c>
      <c r="K6785" s="33">
        <v>3000</v>
      </c>
      <c r="L6785" t="s">
        <v>61</v>
      </c>
      <c r="M6785" t="str">
        <f>_xlfn.XLOOKUP(Pipeline_tbl[[#This Row],[Rep_ID]],Dim_Reps!A:A,Dim_Reps!K:K)</f>
        <v>USD</v>
      </c>
      <c r="N6785" s="33">
        <f>(_xlfn.XLOOKUP(Pipeline_tbl[[#This Row],[Rate_Code_Generalized]],Lookups!A:A,Lookups!B:B))*Pipeline_tbl[[#This Row],[Pipeline_Amount_USD]]</f>
        <v>3492.8999999999996</v>
      </c>
      <c r="O6785" t="str">
        <f>_xlfn.XLOOKUP(Pipeline_tbl[[#This Row],[Rep_ID]],Dim_Reps!A:A,Dim_Reps!B:B)</f>
        <v>Alex Muller</v>
      </c>
      <c r="P6785" t="str">
        <f>_xlfn.XLOOKUP(Pipeline_tbl[[#This Row],[Rep_ID]],Dim_Reps!A:A,Dim_Reps!C:C)</f>
        <v>SDR / Inside Sales Rep</v>
      </c>
      <c r="Q6785" t="str">
        <f>_xlfn.XLOOKUP(Pipeline_tbl[[#This Row],[Rep_ID]],Dim_Reps!A:A,Dim_Reps!D:D)</f>
        <v>Inside Sales</v>
      </c>
      <c r="R6785" t="str">
        <f>_xlfn.XLOOKUP(Pipeline_tbl[[#This Row],[Rep_ID]],Dim_Reps!A:A,Dim_Reps!E:E)</f>
        <v>NAMER</v>
      </c>
      <c r="S6785" t="str">
        <f>_xlfn.XLOOKUP(Pipeline_tbl[[#This Row],[Created_Date]],Dim_Date!A:A,Dim_Date!H:H)</f>
        <v>Apr 2024</v>
      </c>
      <c r="T6785" t="str">
        <f>IF(Pipeline_tbl[[#This Row],[Closed_Date]]=0,"",(_xlfn.XLOOKUP(Pipeline_tbl[[#This Row],[Closed_Date]],Dim_Date!A:A,Dim_Date!H:H)))</f>
        <v>May 2024</v>
      </c>
      <c r="U6785">
        <f>IF(Pipeline_tbl[[#This Row],[Closed_Date]]=0,"",Pipeline_tbl[[#This Row],[Closed_Date]]-Pipeline_tbl[[#This Row],[Created_Date]])</f>
        <v>17</v>
      </c>
    </row>
    <row r="6786" spans="1:21" ht="15" customHeight="1" x14ac:dyDescent="0.2">
      <c r="A6786" t="s">
        <v>7092</v>
      </c>
      <c r="B6786" t="s">
        <v>225</v>
      </c>
      <c r="C6786" t="s">
        <v>52</v>
      </c>
      <c r="D6786" s="49">
        <v>45406</v>
      </c>
      <c r="E6786" s="49">
        <v>45407</v>
      </c>
      <c r="F6786" s="49">
        <v>45410</v>
      </c>
      <c r="G6786" s="49">
        <v>45414</v>
      </c>
      <c r="H6786" s="49">
        <v>45418</v>
      </c>
      <c r="I6786" s="49">
        <v>45420</v>
      </c>
      <c r="J6786" t="s">
        <v>49</v>
      </c>
      <c r="K6786" s="33">
        <v>3700</v>
      </c>
      <c r="L6786" t="s">
        <v>61</v>
      </c>
      <c r="M6786" t="str">
        <f>_xlfn.XLOOKUP(Pipeline_tbl[[#This Row],[Rep_ID]],Dim_Reps!A:A,Dim_Reps!K:K)</f>
        <v>USD</v>
      </c>
      <c r="N6786" s="33">
        <f>(_xlfn.XLOOKUP(Pipeline_tbl[[#This Row],[Rate_Code_Generalized]],Lookups!A:A,Lookups!B:B))*Pipeline_tbl[[#This Row],[Pipeline_Amount_USD]]</f>
        <v>4307.91</v>
      </c>
      <c r="O6786" t="str">
        <f>_xlfn.XLOOKUP(Pipeline_tbl[[#This Row],[Rep_ID]],Dim_Reps!A:A,Dim_Reps!B:B)</f>
        <v>Alex Muller</v>
      </c>
      <c r="P6786" t="str">
        <f>_xlfn.XLOOKUP(Pipeline_tbl[[#This Row],[Rep_ID]],Dim_Reps!A:A,Dim_Reps!C:C)</f>
        <v>SDR / Inside Sales Rep</v>
      </c>
      <c r="Q6786" t="str">
        <f>_xlfn.XLOOKUP(Pipeline_tbl[[#This Row],[Rep_ID]],Dim_Reps!A:A,Dim_Reps!D:D)</f>
        <v>Inside Sales</v>
      </c>
      <c r="R6786" t="str">
        <f>_xlfn.XLOOKUP(Pipeline_tbl[[#This Row],[Rep_ID]],Dim_Reps!A:A,Dim_Reps!E:E)</f>
        <v>NAMER</v>
      </c>
      <c r="S6786" t="str">
        <f>_xlfn.XLOOKUP(Pipeline_tbl[[#This Row],[Created_Date]],Dim_Date!A:A,Dim_Date!H:H)</f>
        <v>Apr 2024</v>
      </c>
      <c r="T6786" t="str">
        <f>IF(Pipeline_tbl[[#This Row],[Closed_Date]]=0,"",(_xlfn.XLOOKUP(Pipeline_tbl[[#This Row],[Closed_Date]],Dim_Date!A:A,Dim_Date!H:H)))</f>
        <v>May 2024</v>
      </c>
      <c r="U6786">
        <f>IF(Pipeline_tbl[[#This Row],[Closed_Date]]=0,"",Pipeline_tbl[[#This Row],[Closed_Date]]-Pipeline_tbl[[#This Row],[Created_Date]])</f>
        <v>14</v>
      </c>
    </row>
    <row r="6787" spans="1:21" ht="15" customHeight="1" x14ac:dyDescent="0.2">
      <c r="A6787" t="s">
        <v>7093</v>
      </c>
      <c r="B6787" t="s">
        <v>225</v>
      </c>
      <c r="C6787" t="s">
        <v>55</v>
      </c>
      <c r="D6787" s="49">
        <v>45394</v>
      </c>
      <c r="E6787" s="49">
        <v>45397</v>
      </c>
      <c r="F6787" s="49">
        <v>45402</v>
      </c>
      <c r="G6787" s="49">
        <v>45411</v>
      </c>
      <c r="H6787" s="49">
        <v>45418</v>
      </c>
      <c r="I6787" s="49">
        <v>45422</v>
      </c>
      <c r="J6787" t="s">
        <v>47</v>
      </c>
      <c r="K6787" s="33">
        <v>2500</v>
      </c>
      <c r="M6787" t="str">
        <f>_xlfn.XLOOKUP(Pipeline_tbl[[#This Row],[Rep_ID]],Dim_Reps!A:A,Dim_Reps!K:K)</f>
        <v>USD</v>
      </c>
      <c r="N6787" s="33">
        <f>(_xlfn.XLOOKUP(Pipeline_tbl[[#This Row],[Rate_Code_Generalized]],Lookups!A:A,Lookups!B:B))*Pipeline_tbl[[#This Row],[Pipeline_Amount_USD]]</f>
        <v>2910.7499999999995</v>
      </c>
      <c r="O6787" t="str">
        <f>_xlfn.XLOOKUP(Pipeline_tbl[[#This Row],[Rep_ID]],Dim_Reps!A:A,Dim_Reps!B:B)</f>
        <v>Alex Muller</v>
      </c>
      <c r="P6787" t="str">
        <f>_xlfn.XLOOKUP(Pipeline_tbl[[#This Row],[Rep_ID]],Dim_Reps!A:A,Dim_Reps!C:C)</f>
        <v>SDR / Inside Sales Rep</v>
      </c>
      <c r="Q6787" t="str">
        <f>_xlfn.XLOOKUP(Pipeline_tbl[[#This Row],[Rep_ID]],Dim_Reps!A:A,Dim_Reps!D:D)</f>
        <v>Inside Sales</v>
      </c>
      <c r="R6787" t="str">
        <f>_xlfn.XLOOKUP(Pipeline_tbl[[#This Row],[Rep_ID]],Dim_Reps!A:A,Dim_Reps!E:E)</f>
        <v>NAMER</v>
      </c>
      <c r="S6787" t="str">
        <f>_xlfn.XLOOKUP(Pipeline_tbl[[#This Row],[Created_Date]],Dim_Date!A:A,Dim_Date!H:H)</f>
        <v>Apr 2024</v>
      </c>
      <c r="T6787" t="str">
        <f>IF(Pipeline_tbl[[#This Row],[Closed_Date]]=0,"",(_xlfn.XLOOKUP(Pipeline_tbl[[#This Row],[Closed_Date]],Dim_Date!A:A,Dim_Date!H:H)))</f>
        <v>May 2024</v>
      </c>
      <c r="U6787">
        <f>IF(Pipeline_tbl[[#This Row],[Closed_Date]]=0,"",Pipeline_tbl[[#This Row],[Closed_Date]]-Pipeline_tbl[[#This Row],[Created_Date]])</f>
        <v>28</v>
      </c>
    </row>
    <row r="6788" spans="1:21" ht="15" customHeight="1" x14ac:dyDescent="0.2">
      <c r="A6788" t="s">
        <v>7094</v>
      </c>
      <c r="B6788" t="s">
        <v>225</v>
      </c>
      <c r="C6788" t="s">
        <v>52</v>
      </c>
      <c r="D6788" s="49">
        <v>45409</v>
      </c>
      <c r="E6788" s="49">
        <v>45410</v>
      </c>
      <c r="F6788" s="49">
        <v>45413</v>
      </c>
      <c r="G6788" s="49">
        <v>45417</v>
      </c>
      <c r="H6788" s="49">
        <v>45421</v>
      </c>
      <c r="I6788" s="49">
        <v>45423</v>
      </c>
      <c r="J6788" t="s">
        <v>47</v>
      </c>
      <c r="K6788" s="33">
        <v>3300</v>
      </c>
      <c r="M6788" t="str">
        <f>_xlfn.XLOOKUP(Pipeline_tbl[[#This Row],[Rep_ID]],Dim_Reps!A:A,Dim_Reps!K:K)</f>
        <v>USD</v>
      </c>
      <c r="N6788" s="33">
        <f>(_xlfn.XLOOKUP(Pipeline_tbl[[#This Row],[Rate_Code_Generalized]],Lookups!A:A,Lookups!B:B))*Pipeline_tbl[[#This Row],[Pipeline_Amount_USD]]</f>
        <v>3842.1899999999996</v>
      </c>
      <c r="O6788" t="str">
        <f>_xlfn.XLOOKUP(Pipeline_tbl[[#This Row],[Rep_ID]],Dim_Reps!A:A,Dim_Reps!B:B)</f>
        <v>Alex Muller</v>
      </c>
      <c r="P6788" t="str">
        <f>_xlfn.XLOOKUP(Pipeline_tbl[[#This Row],[Rep_ID]],Dim_Reps!A:A,Dim_Reps!C:C)</f>
        <v>SDR / Inside Sales Rep</v>
      </c>
      <c r="Q6788" t="str">
        <f>_xlfn.XLOOKUP(Pipeline_tbl[[#This Row],[Rep_ID]],Dim_Reps!A:A,Dim_Reps!D:D)</f>
        <v>Inside Sales</v>
      </c>
      <c r="R6788" t="str">
        <f>_xlfn.XLOOKUP(Pipeline_tbl[[#This Row],[Rep_ID]],Dim_Reps!A:A,Dim_Reps!E:E)</f>
        <v>NAMER</v>
      </c>
      <c r="S6788" t="str">
        <f>_xlfn.XLOOKUP(Pipeline_tbl[[#This Row],[Created_Date]],Dim_Date!A:A,Dim_Date!H:H)</f>
        <v>Apr 2024</v>
      </c>
      <c r="T6788" t="str">
        <f>IF(Pipeline_tbl[[#This Row],[Closed_Date]]=0,"",(_xlfn.XLOOKUP(Pipeline_tbl[[#This Row],[Closed_Date]],Dim_Date!A:A,Dim_Date!H:H)))</f>
        <v>May 2024</v>
      </c>
      <c r="U6788">
        <f>IF(Pipeline_tbl[[#This Row],[Closed_Date]]=0,"",Pipeline_tbl[[#This Row],[Closed_Date]]-Pipeline_tbl[[#This Row],[Created_Date]])</f>
        <v>14</v>
      </c>
    </row>
    <row r="6789" spans="1:21" ht="15" customHeight="1" x14ac:dyDescent="0.2">
      <c r="A6789" t="s">
        <v>7095</v>
      </c>
      <c r="B6789" t="s">
        <v>225</v>
      </c>
      <c r="C6789" t="s">
        <v>52</v>
      </c>
      <c r="D6789" s="49">
        <v>45393</v>
      </c>
      <c r="E6789" s="49">
        <v>45395</v>
      </c>
      <c r="I6789" s="49">
        <v>45413</v>
      </c>
      <c r="J6789" t="s">
        <v>49</v>
      </c>
      <c r="K6789" s="33">
        <v>3200</v>
      </c>
      <c r="L6789" t="s">
        <v>60</v>
      </c>
      <c r="M6789" t="str">
        <f>_xlfn.XLOOKUP(Pipeline_tbl[[#This Row],[Rep_ID]],Dim_Reps!A:A,Dim_Reps!K:K)</f>
        <v>USD</v>
      </c>
      <c r="N6789" s="33">
        <f>(_xlfn.XLOOKUP(Pipeline_tbl[[#This Row],[Rate_Code_Generalized]],Lookups!A:A,Lookups!B:B))*Pipeline_tbl[[#This Row],[Pipeline_Amount_USD]]</f>
        <v>3725.7599999999998</v>
      </c>
      <c r="O6789" t="str">
        <f>_xlfn.XLOOKUP(Pipeline_tbl[[#This Row],[Rep_ID]],Dim_Reps!A:A,Dim_Reps!B:B)</f>
        <v>Alex Muller</v>
      </c>
      <c r="P6789" t="str">
        <f>_xlfn.XLOOKUP(Pipeline_tbl[[#This Row],[Rep_ID]],Dim_Reps!A:A,Dim_Reps!C:C)</f>
        <v>SDR / Inside Sales Rep</v>
      </c>
      <c r="Q6789" t="str">
        <f>_xlfn.XLOOKUP(Pipeline_tbl[[#This Row],[Rep_ID]],Dim_Reps!A:A,Dim_Reps!D:D)</f>
        <v>Inside Sales</v>
      </c>
      <c r="R6789" t="str">
        <f>_xlfn.XLOOKUP(Pipeline_tbl[[#This Row],[Rep_ID]],Dim_Reps!A:A,Dim_Reps!E:E)</f>
        <v>NAMER</v>
      </c>
      <c r="S6789" t="str">
        <f>_xlfn.XLOOKUP(Pipeline_tbl[[#This Row],[Created_Date]],Dim_Date!A:A,Dim_Date!H:H)</f>
        <v>Apr 2024</v>
      </c>
      <c r="T6789" t="str">
        <f>IF(Pipeline_tbl[[#This Row],[Closed_Date]]=0,"",(_xlfn.XLOOKUP(Pipeline_tbl[[#This Row],[Closed_Date]],Dim_Date!A:A,Dim_Date!H:H)))</f>
        <v>May 2024</v>
      </c>
      <c r="U6789">
        <f>IF(Pipeline_tbl[[#This Row],[Closed_Date]]=0,"",Pipeline_tbl[[#This Row],[Closed_Date]]-Pipeline_tbl[[#This Row],[Created_Date]])</f>
        <v>20</v>
      </c>
    </row>
    <row r="6790" spans="1:21" ht="15" customHeight="1" x14ac:dyDescent="0.2">
      <c r="A6790" t="s">
        <v>7096</v>
      </c>
      <c r="B6790" t="s">
        <v>225</v>
      </c>
      <c r="C6790" t="s">
        <v>53</v>
      </c>
      <c r="D6790" s="49">
        <v>45402</v>
      </c>
      <c r="E6790" s="49">
        <v>45404</v>
      </c>
      <c r="F6790" s="49">
        <v>45409</v>
      </c>
      <c r="I6790" s="49">
        <v>45424</v>
      </c>
      <c r="J6790" t="s">
        <v>49</v>
      </c>
      <c r="K6790" s="33">
        <v>2400</v>
      </c>
      <c r="L6790" t="s">
        <v>60</v>
      </c>
      <c r="M6790" t="str">
        <f>_xlfn.XLOOKUP(Pipeline_tbl[[#This Row],[Rep_ID]],Dim_Reps!A:A,Dim_Reps!K:K)</f>
        <v>USD</v>
      </c>
      <c r="N6790" s="33">
        <f>(_xlfn.XLOOKUP(Pipeline_tbl[[#This Row],[Rate_Code_Generalized]],Lookups!A:A,Lookups!B:B))*Pipeline_tbl[[#This Row],[Pipeline_Amount_USD]]</f>
        <v>2794.3199999999997</v>
      </c>
      <c r="O6790" t="str">
        <f>_xlfn.XLOOKUP(Pipeline_tbl[[#This Row],[Rep_ID]],Dim_Reps!A:A,Dim_Reps!B:B)</f>
        <v>Alex Muller</v>
      </c>
      <c r="P6790" t="str">
        <f>_xlfn.XLOOKUP(Pipeline_tbl[[#This Row],[Rep_ID]],Dim_Reps!A:A,Dim_Reps!C:C)</f>
        <v>SDR / Inside Sales Rep</v>
      </c>
      <c r="Q6790" t="str">
        <f>_xlfn.XLOOKUP(Pipeline_tbl[[#This Row],[Rep_ID]],Dim_Reps!A:A,Dim_Reps!D:D)</f>
        <v>Inside Sales</v>
      </c>
      <c r="R6790" t="str">
        <f>_xlfn.XLOOKUP(Pipeline_tbl[[#This Row],[Rep_ID]],Dim_Reps!A:A,Dim_Reps!E:E)</f>
        <v>NAMER</v>
      </c>
      <c r="S6790" t="str">
        <f>_xlfn.XLOOKUP(Pipeline_tbl[[#This Row],[Created_Date]],Dim_Date!A:A,Dim_Date!H:H)</f>
        <v>Apr 2024</v>
      </c>
      <c r="T6790" t="str">
        <f>IF(Pipeline_tbl[[#This Row],[Closed_Date]]=0,"",(_xlfn.XLOOKUP(Pipeline_tbl[[#This Row],[Closed_Date]],Dim_Date!A:A,Dim_Date!H:H)))</f>
        <v>May 2024</v>
      </c>
      <c r="U6790">
        <f>IF(Pipeline_tbl[[#This Row],[Closed_Date]]=0,"",Pipeline_tbl[[#This Row],[Closed_Date]]-Pipeline_tbl[[#This Row],[Created_Date]])</f>
        <v>22</v>
      </c>
    </row>
    <row r="6791" spans="1:21" ht="15" customHeight="1" x14ac:dyDescent="0.2">
      <c r="A6791" t="s">
        <v>7097</v>
      </c>
      <c r="B6791" t="s">
        <v>227</v>
      </c>
      <c r="C6791" t="s">
        <v>55</v>
      </c>
      <c r="D6791" s="49">
        <v>45406</v>
      </c>
      <c r="E6791" s="49">
        <v>45409</v>
      </c>
      <c r="F6791" s="49">
        <v>45415</v>
      </c>
      <c r="G6791" s="49">
        <v>45424</v>
      </c>
      <c r="H6791" s="49">
        <v>45432</v>
      </c>
      <c r="I6791" s="49">
        <v>45436</v>
      </c>
      <c r="J6791" t="s">
        <v>47</v>
      </c>
      <c r="K6791" s="33">
        <v>3400</v>
      </c>
      <c r="M6791" t="str">
        <f>_xlfn.XLOOKUP(Pipeline_tbl[[#This Row],[Rep_ID]],Dim_Reps!A:A,Dim_Reps!K:K)</f>
        <v>EUR</v>
      </c>
      <c r="N6791" s="33">
        <f>(_xlfn.XLOOKUP(Pipeline_tbl[[#This Row],[Rate_Code_Generalized]],Lookups!A:A,Lookups!B:B))*Pipeline_tbl[[#This Row],[Pipeline_Amount_USD]]</f>
        <v>3400</v>
      </c>
      <c r="O6791" t="str">
        <f>_xlfn.XLOOKUP(Pipeline_tbl[[#This Row],[Rep_ID]],Dim_Reps!A:A,Dim_Reps!B:B)</f>
        <v>Liam Muller</v>
      </c>
      <c r="P6791" t="str">
        <f>_xlfn.XLOOKUP(Pipeline_tbl[[#This Row],[Rep_ID]],Dim_Reps!A:A,Dim_Reps!C:C)</f>
        <v>SDR / Inside Sales Rep</v>
      </c>
      <c r="Q6791" t="str">
        <f>_xlfn.XLOOKUP(Pipeline_tbl[[#This Row],[Rep_ID]],Dim_Reps!A:A,Dim_Reps!D:D)</f>
        <v>Inside Sales</v>
      </c>
      <c r="R6791" t="str">
        <f>_xlfn.XLOOKUP(Pipeline_tbl[[#This Row],[Rep_ID]],Dim_Reps!A:A,Dim_Reps!E:E)</f>
        <v>EMEA</v>
      </c>
      <c r="S6791" t="str">
        <f>_xlfn.XLOOKUP(Pipeline_tbl[[#This Row],[Created_Date]],Dim_Date!A:A,Dim_Date!H:H)</f>
        <v>Apr 2024</v>
      </c>
      <c r="T6791" t="str">
        <f>IF(Pipeline_tbl[[#This Row],[Closed_Date]]=0,"",(_xlfn.XLOOKUP(Pipeline_tbl[[#This Row],[Closed_Date]],Dim_Date!A:A,Dim_Date!H:H)))</f>
        <v>May 2024</v>
      </c>
      <c r="U6791">
        <f>IF(Pipeline_tbl[[#This Row],[Closed_Date]]=0,"",Pipeline_tbl[[#This Row],[Closed_Date]]-Pipeline_tbl[[#This Row],[Created_Date]])</f>
        <v>30</v>
      </c>
    </row>
    <row r="6792" spans="1:21" ht="15" customHeight="1" x14ac:dyDescent="0.2">
      <c r="A6792" t="s">
        <v>7098</v>
      </c>
      <c r="B6792" t="s">
        <v>227</v>
      </c>
      <c r="C6792" t="s">
        <v>52</v>
      </c>
      <c r="D6792" s="49">
        <v>45399</v>
      </c>
      <c r="E6792" s="49">
        <v>45401</v>
      </c>
      <c r="F6792" s="49">
        <v>45404</v>
      </c>
      <c r="G6792" s="49">
        <v>45409</v>
      </c>
      <c r="H6792" s="49">
        <v>45413</v>
      </c>
      <c r="I6792" s="49">
        <v>45416</v>
      </c>
      <c r="J6792" t="s">
        <v>47</v>
      </c>
      <c r="K6792" s="33">
        <v>3600</v>
      </c>
      <c r="M6792" t="str">
        <f>_xlfn.XLOOKUP(Pipeline_tbl[[#This Row],[Rep_ID]],Dim_Reps!A:A,Dim_Reps!K:K)</f>
        <v>EUR</v>
      </c>
      <c r="N6792" s="33">
        <f>(_xlfn.XLOOKUP(Pipeline_tbl[[#This Row],[Rate_Code_Generalized]],Lookups!A:A,Lookups!B:B))*Pipeline_tbl[[#This Row],[Pipeline_Amount_USD]]</f>
        <v>3600</v>
      </c>
      <c r="O6792" t="str">
        <f>_xlfn.XLOOKUP(Pipeline_tbl[[#This Row],[Rep_ID]],Dim_Reps!A:A,Dim_Reps!B:B)</f>
        <v>Liam Muller</v>
      </c>
      <c r="P6792" t="str">
        <f>_xlfn.XLOOKUP(Pipeline_tbl[[#This Row],[Rep_ID]],Dim_Reps!A:A,Dim_Reps!C:C)</f>
        <v>SDR / Inside Sales Rep</v>
      </c>
      <c r="Q6792" t="str">
        <f>_xlfn.XLOOKUP(Pipeline_tbl[[#This Row],[Rep_ID]],Dim_Reps!A:A,Dim_Reps!D:D)</f>
        <v>Inside Sales</v>
      </c>
      <c r="R6792" t="str">
        <f>_xlfn.XLOOKUP(Pipeline_tbl[[#This Row],[Rep_ID]],Dim_Reps!A:A,Dim_Reps!E:E)</f>
        <v>EMEA</v>
      </c>
      <c r="S6792" t="str">
        <f>_xlfn.XLOOKUP(Pipeline_tbl[[#This Row],[Created_Date]],Dim_Date!A:A,Dim_Date!H:H)</f>
        <v>Apr 2024</v>
      </c>
      <c r="T6792" t="str">
        <f>IF(Pipeline_tbl[[#This Row],[Closed_Date]]=0,"",(_xlfn.XLOOKUP(Pipeline_tbl[[#This Row],[Closed_Date]],Dim_Date!A:A,Dim_Date!H:H)))</f>
        <v>May 2024</v>
      </c>
      <c r="U6792">
        <f>IF(Pipeline_tbl[[#This Row],[Closed_Date]]=0,"",Pipeline_tbl[[#This Row],[Closed_Date]]-Pipeline_tbl[[#This Row],[Created_Date]])</f>
        <v>17</v>
      </c>
    </row>
    <row r="6793" spans="1:21" ht="15" customHeight="1" x14ac:dyDescent="0.2">
      <c r="A6793" t="s">
        <v>7099</v>
      </c>
      <c r="B6793" t="s">
        <v>227</v>
      </c>
      <c r="C6793" t="s">
        <v>54</v>
      </c>
      <c r="D6793" s="49">
        <v>45400</v>
      </c>
      <c r="E6793" s="49">
        <v>45402</v>
      </c>
      <c r="F6793" s="49">
        <v>45405</v>
      </c>
      <c r="G6793" s="49">
        <v>45410</v>
      </c>
      <c r="I6793" s="49">
        <v>45416</v>
      </c>
      <c r="J6793" t="s">
        <v>49</v>
      </c>
      <c r="K6793" s="33">
        <v>2400</v>
      </c>
      <c r="L6793" t="s">
        <v>60</v>
      </c>
      <c r="M6793" t="str">
        <f>_xlfn.XLOOKUP(Pipeline_tbl[[#This Row],[Rep_ID]],Dim_Reps!A:A,Dim_Reps!K:K)</f>
        <v>EUR</v>
      </c>
      <c r="N6793" s="33">
        <f>(_xlfn.XLOOKUP(Pipeline_tbl[[#This Row],[Rate_Code_Generalized]],Lookups!A:A,Lookups!B:B))*Pipeline_tbl[[#This Row],[Pipeline_Amount_USD]]</f>
        <v>2400</v>
      </c>
      <c r="O6793" t="str">
        <f>_xlfn.XLOOKUP(Pipeline_tbl[[#This Row],[Rep_ID]],Dim_Reps!A:A,Dim_Reps!B:B)</f>
        <v>Liam Muller</v>
      </c>
      <c r="P6793" t="str">
        <f>_xlfn.XLOOKUP(Pipeline_tbl[[#This Row],[Rep_ID]],Dim_Reps!A:A,Dim_Reps!C:C)</f>
        <v>SDR / Inside Sales Rep</v>
      </c>
      <c r="Q6793" t="str">
        <f>_xlfn.XLOOKUP(Pipeline_tbl[[#This Row],[Rep_ID]],Dim_Reps!A:A,Dim_Reps!D:D)</f>
        <v>Inside Sales</v>
      </c>
      <c r="R6793" t="str">
        <f>_xlfn.XLOOKUP(Pipeline_tbl[[#This Row],[Rep_ID]],Dim_Reps!A:A,Dim_Reps!E:E)</f>
        <v>EMEA</v>
      </c>
      <c r="S6793" t="str">
        <f>_xlfn.XLOOKUP(Pipeline_tbl[[#This Row],[Created_Date]],Dim_Date!A:A,Dim_Date!H:H)</f>
        <v>Apr 2024</v>
      </c>
      <c r="T6793" t="str">
        <f>IF(Pipeline_tbl[[#This Row],[Closed_Date]]=0,"",(_xlfn.XLOOKUP(Pipeline_tbl[[#This Row],[Closed_Date]],Dim_Date!A:A,Dim_Date!H:H)))</f>
        <v>May 2024</v>
      </c>
      <c r="U6793">
        <f>IF(Pipeline_tbl[[#This Row],[Closed_Date]]=0,"",Pipeline_tbl[[#This Row],[Closed_Date]]-Pipeline_tbl[[#This Row],[Created_Date]])</f>
        <v>16</v>
      </c>
    </row>
    <row r="6794" spans="1:21" ht="15" customHeight="1" x14ac:dyDescent="0.2">
      <c r="A6794" t="s">
        <v>7100</v>
      </c>
      <c r="B6794" t="s">
        <v>227</v>
      </c>
      <c r="C6794" t="s">
        <v>55</v>
      </c>
      <c r="D6794" s="49">
        <v>45405</v>
      </c>
      <c r="E6794" s="49">
        <v>45407</v>
      </c>
      <c r="F6794" s="49">
        <v>45410</v>
      </c>
      <c r="G6794" s="49">
        <v>45414</v>
      </c>
      <c r="H6794" s="49">
        <v>45418</v>
      </c>
      <c r="I6794" s="49">
        <v>45420</v>
      </c>
      <c r="J6794" t="s">
        <v>47</v>
      </c>
      <c r="K6794" s="33">
        <v>1700</v>
      </c>
      <c r="M6794" t="str">
        <f>_xlfn.XLOOKUP(Pipeline_tbl[[#This Row],[Rep_ID]],Dim_Reps!A:A,Dim_Reps!K:K)</f>
        <v>EUR</v>
      </c>
      <c r="N6794" s="33">
        <f>(_xlfn.XLOOKUP(Pipeline_tbl[[#This Row],[Rate_Code_Generalized]],Lookups!A:A,Lookups!B:B))*Pipeline_tbl[[#This Row],[Pipeline_Amount_USD]]</f>
        <v>1700</v>
      </c>
      <c r="O6794" t="str">
        <f>_xlfn.XLOOKUP(Pipeline_tbl[[#This Row],[Rep_ID]],Dim_Reps!A:A,Dim_Reps!B:B)</f>
        <v>Liam Muller</v>
      </c>
      <c r="P6794" t="str">
        <f>_xlfn.XLOOKUP(Pipeline_tbl[[#This Row],[Rep_ID]],Dim_Reps!A:A,Dim_Reps!C:C)</f>
        <v>SDR / Inside Sales Rep</v>
      </c>
      <c r="Q6794" t="str">
        <f>_xlfn.XLOOKUP(Pipeline_tbl[[#This Row],[Rep_ID]],Dim_Reps!A:A,Dim_Reps!D:D)</f>
        <v>Inside Sales</v>
      </c>
      <c r="R6794" t="str">
        <f>_xlfn.XLOOKUP(Pipeline_tbl[[#This Row],[Rep_ID]],Dim_Reps!A:A,Dim_Reps!E:E)</f>
        <v>EMEA</v>
      </c>
      <c r="S6794" t="str">
        <f>_xlfn.XLOOKUP(Pipeline_tbl[[#This Row],[Created_Date]],Dim_Date!A:A,Dim_Date!H:H)</f>
        <v>Apr 2024</v>
      </c>
      <c r="T6794" t="str">
        <f>IF(Pipeline_tbl[[#This Row],[Closed_Date]]=0,"",(_xlfn.XLOOKUP(Pipeline_tbl[[#This Row],[Closed_Date]],Dim_Date!A:A,Dim_Date!H:H)))</f>
        <v>May 2024</v>
      </c>
      <c r="U6794">
        <f>IF(Pipeline_tbl[[#This Row],[Closed_Date]]=0,"",Pipeline_tbl[[#This Row],[Closed_Date]]-Pipeline_tbl[[#This Row],[Created_Date]])</f>
        <v>15</v>
      </c>
    </row>
    <row r="6795" spans="1:21" ht="15" customHeight="1" x14ac:dyDescent="0.2">
      <c r="A6795" t="s">
        <v>7101</v>
      </c>
      <c r="B6795" t="s">
        <v>227</v>
      </c>
      <c r="C6795" t="s">
        <v>54</v>
      </c>
      <c r="D6795" s="49">
        <v>45401</v>
      </c>
      <c r="E6795" s="49">
        <v>45402</v>
      </c>
      <c r="F6795" s="49">
        <v>45405</v>
      </c>
      <c r="G6795" s="49">
        <v>45409</v>
      </c>
      <c r="H6795" s="49">
        <v>45412</v>
      </c>
      <c r="I6795" s="49">
        <v>45414</v>
      </c>
      <c r="J6795" t="s">
        <v>47</v>
      </c>
      <c r="K6795" s="33">
        <v>1600</v>
      </c>
      <c r="M6795" t="str">
        <f>_xlfn.XLOOKUP(Pipeline_tbl[[#This Row],[Rep_ID]],Dim_Reps!A:A,Dim_Reps!K:K)</f>
        <v>EUR</v>
      </c>
      <c r="N6795" s="33">
        <f>(_xlfn.XLOOKUP(Pipeline_tbl[[#This Row],[Rate_Code_Generalized]],Lookups!A:A,Lookups!B:B))*Pipeline_tbl[[#This Row],[Pipeline_Amount_USD]]</f>
        <v>1600</v>
      </c>
      <c r="O6795" t="str">
        <f>_xlfn.XLOOKUP(Pipeline_tbl[[#This Row],[Rep_ID]],Dim_Reps!A:A,Dim_Reps!B:B)</f>
        <v>Liam Muller</v>
      </c>
      <c r="P6795" t="str">
        <f>_xlfn.XLOOKUP(Pipeline_tbl[[#This Row],[Rep_ID]],Dim_Reps!A:A,Dim_Reps!C:C)</f>
        <v>SDR / Inside Sales Rep</v>
      </c>
      <c r="Q6795" t="str">
        <f>_xlfn.XLOOKUP(Pipeline_tbl[[#This Row],[Rep_ID]],Dim_Reps!A:A,Dim_Reps!D:D)</f>
        <v>Inside Sales</v>
      </c>
      <c r="R6795" t="str">
        <f>_xlfn.XLOOKUP(Pipeline_tbl[[#This Row],[Rep_ID]],Dim_Reps!A:A,Dim_Reps!E:E)</f>
        <v>EMEA</v>
      </c>
      <c r="S6795" t="str">
        <f>_xlfn.XLOOKUP(Pipeline_tbl[[#This Row],[Created_Date]],Dim_Date!A:A,Dim_Date!H:H)</f>
        <v>Apr 2024</v>
      </c>
      <c r="T6795" t="str">
        <f>IF(Pipeline_tbl[[#This Row],[Closed_Date]]=0,"",(_xlfn.XLOOKUP(Pipeline_tbl[[#This Row],[Closed_Date]],Dim_Date!A:A,Dim_Date!H:H)))</f>
        <v>May 2024</v>
      </c>
      <c r="U6795">
        <f>IF(Pipeline_tbl[[#This Row],[Closed_Date]]=0,"",Pipeline_tbl[[#This Row],[Closed_Date]]-Pipeline_tbl[[#This Row],[Created_Date]])</f>
        <v>13</v>
      </c>
    </row>
    <row r="6796" spans="1:21" ht="15" customHeight="1" x14ac:dyDescent="0.2">
      <c r="A6796" t="s">
        <v>7102</v>
      </c>
      <c r="B6796" t="s">
        <v>227</v>
      </c>
      <c r="C6796" t="s">
        <v>53</v>
      </c>
      <c r="D6796" s="49">
        <v>45390</v>
      </c>
      <c r="E6796" s="49">
        <v>45393</v>
      </c>
      <c r="F6796" s="49">
        <v>45398</v>
      </c>
      <c r="G6796" s="49">
        <v>45406</v>
      </c>
      <c r="I6796" s="49">
        <v>45416</v>
      </c>
      <c r="J6796" t="s">
        <v>49</v>
      </c>
      <c r="K6796" s="33">
        <v>5700</v>
      </c>
      <c r="L6796" t="s">
        <v>61</v>
      </c>
      <c r="M6796" t="str">
        <f>_xlfn.XLOOKUP(Pipeline_tbl[[#This Row],[Rep_ID]],Dim_Reps!A:A,Dim_Reps!K:K)</f>
        <v>EUR</v>
      </c>
      <c r="N6796" s="33">
        <f>(_xlfn.XLOOKUP(Pipeline_tbl[[#This Row],[Rate_Code_Generalized]],Lookups!A:A,Lookups!B:B))*Pipeline_tbl[[#This Row],[Pipeline_Amount_USD]]</f>
        <v>5700</v>
      </c>
      <c r="O6796" t="str">
        <f>_xlfn.XLOOKUP(Pipeline_tbl[[#This Row],[Rep_ID]],Dim_Reps!A:A,Dim_Reps!B:B)</f>
        <v>Liam Muller</v>
      </c>
      <c r="P6796" t="str">
        <f>_xlfn.XLOOKUP(Pipeline_tbl[[#This Row],[Rep_ID]],Dim_Reps!A:A,Dim_Reps!C:C)</f>
        <v>SDR / Inside Sales Rep</v>
      </c>
      <c r="Q6796" t="str">
        <f>_xlfn.XLOOKUP(Pipeline_tbl[[#This Row],[Rep_ID]],Dim_Reps!A:A,Dim_Reps!D:D)</f>
        <v>Inside Sales</v>
      </c>
      <c r="R6796" t="str">
        <f>_xlfn.XLOOKUP(Pipeline_tbl[[#This Row],[Rep_ID]],Dim_Reps!A:A,Dim_Reps!E:E)</f>
        <v>EMEA</v>
      </c>
      <c r="S6796" t="str">
        <f>_xlfn.XLOOKUP(Pipeline_tbl[[#This Row],[Created_Date]],Dim_Date!A:A,Dim_Date!H:H)</f>
        <v>Apr 2024</v>
      </c>
      <c r="T6796" t="str">
        <f>IF(Pipeline_tbl[[#This Row],[Closed_Date]]=0,"",(_xlfn.XLOOKUP(Pipeline_tbl[[#This Row],[Closed_Date]],Dim_Date!A:A,Dim_Date!H:H)))</f>
        <v>May 2024</v>
      </c>
      <c r="U6796">
        <f>IF(Pipeline_tbl[[#This Row],[Closed_Date]]=0,"",Pipeline_tbl[[#This Row],[Closed_Date]]-Pipeline_tbl[[#This Row],[Created_Date]])</f>
        <v>26</v>
      </c>
    </row>
    <row r="6797" spans="1:21" ht="15" customHeight="1" x14ac:dyDescent="0.2">
      <c r="A6797" t="s">
        <v>7103</v>
      </c>
      <c r="B6797" t="s">
        <v>227</v>
      </c>
      <c r="C6797" t="s">
        <v>52</v>
      </c>
      <c r="D6797" s="49">
        <v>45397</v>
      </c>
      <c r="E6797" s="49">
        <v>45399</v>
      </c>
      <c r="F6797" s="49">
        <v>45403</v>
      </c>
      <c r="G6797" s="49">
        <v>45409</v>
      </c>
      <c r="I6797" s="49">
        <v>45417</v>
      </c>
      <c r="J6797" t="s">
        <v>49</v>
      </c>
      <c r="K6797" s="33">
        <v>2700</v>
      </c>
      <c r="L6797" t="s">
        <v>61</v>
      </c>
      <c r="M6797" t="str">
        <f>_xlfn.XLOOKUP(Pipeline_tbl[[#This Row],[Rep_ID]],Dim_Reps!A:A,Dim_Reps!K:K)</f>
        <v>EUR</v>
      </c>
      <c r="N6797" s="33">
        <f>(_xlfn.XLOOKUP(Pipeline_tbl[[#This Row],[Rate_Code_Generalized]],Lookups!A:A,Lookups!B:B))*Pipeline_tbl[[#This Row],[Pipeline_Amount_USD]]</f>
        <v>2700</v>
      </c>
      <c r="O6797" t="str">
        <f>_xlfn.XLOOKUP(Pipeline_tbl[[#This Row],[Rep_ID]],Dim_Reps!A:A,Dim_Reps!B:B)</f>
        <v>Liam Muller</v>
      </c>
      <c r="P6797" t="str">
        <f>_xlfn.XLOOKUP(Pipeline_tbl[[#This Row],[Rep_ID]],Dim_Reps!A:A,Dim_Reps!C:C)</f>
        <v>SDR / Inside Sales Rep</v>
      </c>
      <c r="Q6797" t="str">
        <f>_xlfn.XLOOKUP(Pipeline_tbl[[#This Row],[Rep_ID]],Dim_Reps!A:A,Dim_Reps!D:D)</f>
        <v>Inside Sales</v>
      </c>
      <c r="R6797" t="str">
        <f>_xlfn.XLOOKUP(Pipeline_tbl[[#This Row],[Rep_ID]],Dim_Reps!A:A,Dim_Reps!E:E)</f>
        <v>EMEA</v>
      </c>
      <c r="S6797" t="str">
        <f>_xlfn.XLOOKUP(Pipeline_tbl[[#This Row],[Created_Date]],Dim_Date!A:A,Dim_Date!H:H)</f>
        <v>Apr 2024</v>
      </c>
      <c r="T6797" t="str">
        <f>IF(Pipeline_tbl[[#This Row],[Closed_Date]]=0,"",(_xlfn.XLOOKUP(Pipeline_tbl[[#This Row],[Closed_Date]],Dim_Date!A:A,Dim_Date!H:H)))</f>
        <v>May 2024</v>
      </c>
      <c r="U6797">
        <f>IF(Pipeline_tbl[[#This Row],[Closed_Date]]=0,"",Pipeline_tbl[[#This Row],[Closed_Date]]-Pipeline_tbl[[#This Row],[Created_Date]])</f>
        <v>20</v>
      </c>
    </row>
    <row r="6798" spans="1:21" ht="15" customHeight="1" x14ac:dyDescent="0.2">
      <c r="A6798" t="s">
        <v>7104</v>
      </c>
      <c r="B6798" t="s">
        <v>191</v>
      </c>
      <c r="C6798" t="s">
        <v>56</v>
      </c>
      <c r="D6798" s="49">
        <v>45393</v>
      </c>
      <c r="E6798" s="49">
        <v>45397</v>
      </c>
      <c r="F6798" s="49">
        <v>45404</v>
      </c>
      <c r="G6798" s="49">
        <v>45415</v>
      </c>
      <c r="H6798" s="49">
        <v>45424</v>
      </c>
      <c r="I6798" s="49">
        <v>45430</v>
      </c>
      <c r="J6798" t="s">
        <v>47</v>
      </c>
      <c r="K6798" s="33">
        <v>73500</v>
      </c>
      <c r="M6798" t="str">
        <f>_xlfn.XLOOKUP(Pipeline_tbl[[#This Row],[Rep_ID]],Dim_Reps!A:A,Dim_Reps!K:K)</f>
        <v>USD</v>
      </c>
      <c r="N6798" s="33">
        <f>(_xlfn.XLOOKUP(Pipeline_tbl[[#This Row],[Rate_Code_Generalized]],Lookups!A:A,Lookups!B:B))*Pipeline_tbl[[#This Row],[Pipeline_Amount_USD]]</f>
        <v>85576.049999999988</v>
      </c>
      <c r="O6798" t="str">
        <f>_xlfn.XLOOKUP(Pipeline_tbl[[#This Row],[Rep_ID]],Dim_Reps!A:A,Dim_Reps!B:B)</f>
        <v>Zara Duarte</v>
      </c>
      <c r="P6798" t="str">
        <f>_xlfn.XLOOKUP(Pipeline_tbl[[#This Row],[Rep_ID]],Dim_Reps!A:A,Dim_Reps!C:C)</f>
        <v>Enterprise AE</v>
      </c>
      <c r="Q6798" t="str">
        <f>_xlfn.XLOOKUP(Pipeline_tbl[[#This Row],[Rep_ID]],Dim_Reps!A:A,Dim_Reps!D:D)</f>
        <v>Enterprise</v>
      </c>
      <c r="R6798" t="str">
        <f>_xlfn.XLOOKUP(Pipeline_tbl[[#This Row],[Rep_ID]],Dim_Reps!A:A,Dim_Reps!E:E)</f>
        <v>NAMER</v>
      </c>
      <c r="S6798" t="str">
        <f>_xlfn.XLOOKUP(Pipeline_tbl[[#This Row],[Created_Date]],Dim_Date!A:A,Dim_Date!H:H)</f>
        <v>Apr 2024</v>
      </c>
      <c r="T6798" t="str">
        <f>IF(Pipeline_tbl[[#This Row],[Closed_Date]]=0,"",(_xlfn.XLOOKUP(Pipeline_tbl[[#This Row],[Closed_Date]],Dim_Date!A:A,Dim_Date!H:H)))</f>
        <v>May 2024</v>
      </c>
      <c r="U6798">
        <f>IF(Pipeline_tbl[[#This Row],[Closed_Date]]=0,"",Pipeline_tbl[[#This Row],[Closed_Date]]-Pipeline_tbl[[#This Row],[Created_Date]])</f>
        <v>37</v>
      </c>
    </row>
    <row r="6799" spans="1:21" ht="15" customHeight="1" x14ac:dyDescent="0.2">
      <c r="A6799" t="s">
        <v>7105</v>
      </c>
      <c r="B6799" t="s">
        <v>191</v>
      </c>
      <c r="C6799" t="s">
        <v>52</v>
      </c>
      <c r="D6799" s="49">
        <v>45383</v>
      </c>
      <c r="E6799" s="49">
        <v>45387</v>
      </c>
      <c r="F6799" s="49">
        <v>45396</v>
      </c>
      <c r="G6799" s="49">
        <v>45408</v>
      </c>
      <c r="I6799" s="49">
        <v>45425</v>
      </c>
      <c r="J6799" t="s">
        <v>49</v>
      </c>
      <c r="K6799" s="33">
        <v>50600</v>
      </c>
      <c r="L6799" t="s">
        <v>61</v>
      </c>
      <c r="M6799" t="str">
        <f>_xlfn.XLOOKUP(Pipeline_tbl[[#This Row],[Rep_ID]],Dim_Reps!A:A,Dim_Reps!K:K)</f>
        <v>USD</v>
      </c>
      <c r="N6799" s="33">
        <f>(_xlfn.XLOOKUP(Pipeline_tbl[[#This Row],[Rate_Code_Generalized]],Lookups!A:A,Lookups!B:B))*Pipeline_tbl[[#This Row],[Pipeline_Amount_USD]]</f>
        <v>58913.579999999994</v>
      </c>
      <c r="O6799" t="str">
        <f>_xlfn.XLOOKUP(Pipeline_tbl[[#This Row],[Rep_ID]],Dim_Reps!A:A,Dim_Reps!B:B)</f>
        <v>Zara Duarte</v>
      </c>
      <c r="P6799" t="str">
        <f>_xlfn.XLOOKUP(Pipeline_tbl[[#This Row],[Rep_ID]],Dim_Reps!A:A,Dim_Reps!C:C)</f>
        <v>Enterprise AE</v>
      </c>
      <c r="Q6799" t="str">
        <f>_xlfn.XLOOKUP(Pipeline_tbl[[#This Row],[Rep_ID]],Dim_Reps!A:A,Dim_Reps!D:D)</f>
        <v>Enterprise</v>
      </c>
      <c r="R6799" t="str">
        <f>_xlfn.XLOOKUP(Pipeline_tbl[[#This Row],[Rep_ID]],Dim_Reps!A:A,Dim_Reps!E:E)</f>
        <v>NAMER</v>
      </c>
      <c r="S6799" t="str">
        <f>_xlfn.XLOOKUP(Pipeline_tbl[[#This Row],[Created_Date]],Dim_Date!A:A,Dim_Date!H:H)</f>
        <v>Apr 2024</v>
      </c>
      <c r="T6799" t="str">
        <f>IF(Pipeline_tbl[[#This Row],[Closed_Date]]=0,"",(_xlfn.XLOOKUP(Pipeline_tbl[[#This Row],[Closed_Date]],Dim_Date!A:A,Dim_Date!H:H)))</f>
        <v>May 2024</v>
      </c>
      <c r="U6799">
        <f>IF(Pipeline_tbl[[#This Row],[Closed_Date]]=0,"",Pipeline_tbl[[#This Row],[Closed_Date]]-Pipeline_tbl[[#This Row],[Created_Date]])</f>
        <v>42</v>
      </c>
    </row>
    <row r="6800" spans="1:21" ht="15" customHeight="1" x14ac:dyDescent="0.2">
      <c r="A6800" t="s">
        <v>7106</v>
      </c>
      <c r="B6800" t="s">
        <v>229</v>
      </c>
      <c r="C6800" t="s">
        <v>52</v>
      </c>
      <c r="D6800" s="49">
        <v>45403</v>
      </c>
      <c r="E6800" s="49">
        <v>45404</v>
      </c>
      <c r="F6800" s="49">
        <v>45406</v>
      </c>
      <c r="G6800" s="49">
        <v>45410</v>
      </c>
      <c r="H6800" s="49">
        <v>45412</v>
      </c>
      <c r="I6800" s="49">
        <v>45414</v>
      </c>
      <c r="J6800" t="s">
        <v>49</v>
      </c>
      <c r="K6800" s="33">
        <v>3400</v>
      </c>
      <c r="L6800" t="s">
        <v>61</v>
      </c>
      <c r="M6800" t="str">
        <f>_xlfn.XLOOKUP(Pipeline_tbl[[#This Row],[Rep_ID]],Dim_Reps!A:A,Dim_Reps!K:K)</f>
        <v>USD</v>
      </c>
      <c r="N6800" s="33">
        <f>(_xlfn.XLOOKUP(Pipeline_tbl[[#This Row],[Rate_Code_Generalized]],Lookups!A:A,Lookups!B:B))*Pipeline_tbl[[#This Row],[Pipeline_Amount_USD]]</f>
        <v>3958.6199999999994</v>
      </c>
      <c r="O6800" t="str">
        <f>_xlfn.XLOOKUP(Pipeline_tbl[[#This Row],[Rep_ID]],Dim_Reps!A:A,Dim_Reps!B:B)</f>
        <v>Liam Castro</v>
      </c>
      <c r="P6800" t="str">
        <f>_xlfn.XLOOKUP(Pipeline_tbl[[#This Row],[Rep_ID]],Dim_Reps!A:A,Dim_Reps!C:C)</f>
        <v>SDR / Inside Sales Rep</v>
      </c>
      <c r="Q6800" t="str">
        <f>_xlfn.XLOOKUP(Pipeline_tbl[[#This Row],[Rep_ID]],Dim_Reps!A:A,Dim_Reps!D:D)</f>
        <v>Inside Sales</v>
      </c>
      <c r="R6800" t="str">
        <f>_xlfn.XLOOKUP(Pipeline_tbl[[#This Row],[Rep_ID]],Dim_Reps!A:A,Dim_Reps!E:E)</f>
        <v>NAMER</v>
      </c>
      <c r="S6800" t="str">
        <f>_xlfn.XLOOKUP(Pipeline_tbl[[#This Row],[Created_Date]],Dim_Date!A:A,Dim_Date!H:H)</f>
        <v>Apr 2024</v>
      </c>
      <c r="T6800" t="str">
        <f>IF(Pipeline_tbl[[#This Row],[Closed_Date]]=0,"",(_xlfn.XLOOKUP(Pipeline_tbl[[#This Row],[Closed_Date]],Dim_Date!A:A,Dim_Date!H:H)))</f>
        <v>May 2024</v>
      </c>
      <c r="U6800">
        <f>IF(Pipeline_tbl[[#This Row],[Closed_Date]]=0,"",Pipeline_tbl[[#This Row],[Closed_Date]]-Pipeline_tbl[[#This Row],[Created_Date]])</f>
        <v>11</v>
      </c>
    </row>
    <row r="6801" spans="1:21" ht="15" customHeight="1" x14ac:dyDescent="0.2">
      <c r="A6801" t="s">
        <v>7107</v>
      </c>
      <c r="B6801" t="s">
        <v>229</v>
      </c>
      <c r="C6801" t="s">
        <v>53</v>
      </c>
      <c r="D6801" s="49">
        <v>45394</v>
      </c>
      <c r="E6801" s="49">
        <v>45396</v>
      </c>
      <c r="F6801" s="49">
        <v>45401</v>
      </c>
      <c r="I6801" s="49">
        <v>45416</v>
      </c>
      <c r="J6801" t="s">
        <v>49</v>
      </c>
      <c r="K6801" s="33">
        <v>2500</v>
      </c>
      <c r="L6801" t="s">
        <v>61</v>
      </c>
      <c r="M6801" t="str">
        <f>_xlfn.XLOOKUP(Pipeline_tbl[[#This Row],[Rep_ID]],Dim_Reps!A:A,Dim_Reps!K:K)</f>
        <v>USD</v>
      </c>
      <c r="N6801" s="33">
        <f>(_xlfn.XLOOKUP(Pipeline_tbl[[#This Row],[Rate_Code_Generalized]],Lookups!A:A,Lookups!B:B))*Pipeline_tbl[[#This Row],[Pipeline_Amount_USD]]</f>
        <v>2910.7499999999995</v>
      </c>
      <c r="O6801" t="str">
        <f>_xlfn.XLOOKUP(Pipeline_tbl[[#This Row],[Rep_ID]],Dim_Reps!A:A,Dim_Reps!B:B)</f>
        <v>Liam Castro</v>
      </c>
      <c r="P6801" t="str">
        <f>_xlfn.XLOOKUP(Pipeline_tbl[[#This Row],[Rep_ID]],Dim_Reps!A:A,Dim_Reps!C:C)</f>
        <v>SDR / Inside Sales Rep</v>
      </c>
      <c r="Q6801" t="str">
        <f>_xlfn.XLOOKUP(Pipeline_tbl[[#This Row],[Rep_ID]],Dim_Reps!A:A,Dim_Reps!D:D)</f>
        <v>Inside Sales</v>
      </c>
      <c r="R6801" t="str">
        <f>_xlfn.XLOOKUP(Pipeline_tbl[[#This Row],[Rep_ID]],Dim_Reps!A:A,Dim_Reps!E:E)</f>
        <v>NAMER</v>
      </c>
      <c r="S6801" t="str">
        <f>_xlfn.XLOOKUP(Pipeline_tbl[[#This Row],[Created_Date]],Dim_Date!A:A,Dim_Date!H:H)</f>
        <v>Apr 2024</v>
      </c>
      <c r="T6801" t="str">
        <f>IF(Pipeline_tbl[[#This Row],[Closed_Date]]=0,"",(_xlfn.XLOOKUP(Pipeline_tbl[[#This Row],[Closed_Date]],Dim_Date!A:A,Dim_Date!H:H)))</f>
        <v>May 2024</v>
      </c>
      <c r="U6801">
        <f>IF(Pipeline_tbl[[#This Row],[Closed_Date]]=0,"",Pipeline_tbl[[#This Row],[Closed_Date]]-Pipeline_tbl[[#This Row],[Created_Date]])</f>
        <v>22</v>
      </c>
    </row>
    <row r="6802" spans="1:21" ht="15" customHeight="1" x14ac:dyDescent="0.2">
      <c r="A6802" t="s">
        <v>7108</v>
      </c>
      <c r="B6802" t="s">
        <v>229</v>
      </c>
      <c r="C6802" t="s">
        <v>52</v>
      </c>
      <c r="D6802" s="49">
        <v>45406</v>
      </c>
      <c r="E6802" s="49">
        <v>45407</v>
      </c>
      <c r="F6802" s="49">
        <v>45410</v>
      </c>
      <c r="G6802" s="49">
        <v>45414</v>
      </c>
      <c r="H6802" s="49">
        <v>45417</v>
      </c>
      <c r="I6802" s="49">
        <v>45419</v>
      </c>
      <c r="J6802" t="s">
        <v>47</v>
      </c>
      <c r="K6802" s="33">
        <v>2400</v>
      </c>
      <c r="M6802" t="str">
        <f>_xlfn.XLOOKUP(Pipeline_tbl[[#This Row],[Rep_ID]],Dim_Reps!A:A,Dim_Reps!K:K)</f>
        <v>USD</v>
      </c>
      <c r="N6802" s="33">
        <f>(_xlfn.XLOOKUP(Pipeline_tbl[[#This Row],[Rate_Code_Generalized]],Lookups!A:A,Lookups!B:B))*Pipeline_tbl[[#This Row],[Pipeline_Amount_USD]]</f>
        <v>2794.3199999999997</v>
      </c>
      <c r="O6802" t="str">
        <f>_xlfn.XLOOKUP(Pipeline_tbl[[#This Row],[Rep_ID]],Dim_Reps!A:A,Dim_Reps!B:B)</f>
        <v>Liam Castro</v>
      </c>
      <c r="P6802" t="str">
        <f>_xlfn.XLOOKUP(Pipeline_tbl[[#This Row],[Rep_ID]],Dim_Reps!A:A,Dim_Reps!C:C)</f>
        <v>SDR / Inside Sales Rep</v>
      </c>
      <c r="Q6802" t="str">
        <f>_xlfn.XLOOKUP(Pipeline_tbl[[#This Row],[Rep_ID]],Dim_Reps!A:A,Dim_Reps!D:D)</f>
        <v>Inside Sales</v>
      </c>
      <c r="R6802" t="str">
        <f>_xlfn.XLOOKUP(Pipeline_tbl[[#This Row],[Rep_ID]],Dim_Reps!A:A,Dim_Reps!E:E)</f>
        <v>NAMER</v>
      </c>
      <c r="S6802" t="str">
        <f>_xlfn.XLOOKUP(Pipeline_tbl[[#This Row],[Created_Date]],Dim_Date!A:A,Dim_Date!H:H)</f>
        <v>Apr 2024</v>
      </c>
      <c r="T6802" t="str">
        <f>IF(Pipeline_tbl[[#This Row],[Closed_Date]]=0,"",(_xlfn.XLOOKUP(Pipeline_tbl[[#This Row],[Closed_Date]],Dim_Date!A:A,Dim_Date!H:H)))</f>
        <v>May 2024</v>
      </c>
      <c r="U6802">
        <f>IF(Pipeline_tbl[[#This Row],[Closed_Date]]=0,"",Pipeline_tbl[[#This Row],[Closed_Date]]-Pipeline_tbl[[#This Row],[Created_Date]])</f>
        <v>13</v>
      </c>
    </row>
    <row r="6803" spans="1:21" ht="15" customHeight="1" x14ac:dyDescent="0.2">
      <c r="A6803" t="s">
        <v>7109</v>
      </c>
      <c r="B6803" t="s">
        <v>229</v>
      </c>
      <c r="C6803" t="s">
        <v>52</v>
      </c>
      <c r="D6803" s="49">
        <v>45389</v>
      </c>
      <c r="E6803" s="49">
        <v>45392</v>
      </c>
      <c r="F6803" s="49">
        <v>45397</v>
      </c>
      <c r="G6803" s="49">
        <v>45405</v>
      </c>
      <c r="H6803" s="49">
        <v>45412</v>
      </c>
      <c r="I6803" s="49">
        <v>45416</v>
      </c>
      <c r="J6803" t="s">
        <v>49</v>
      </c>
      <c r="K6803" s="33">
        <v>5100</v>
      </c>
      <c r="L6803" t="s">
        <v>61</v>
      </c>
      <c r="M6803" t="str">
        <f>_xlfn.XLOOKUP(Pipeline_tbl[[#This Row],[Rep_ID]],Dim_Reps!A:A,Dim_Reps!K:K)</f>
        <v>USD</v>
      </c>
      <c r="N6803" s="33">
        <f>(_xlfn.XLOOKUP(Pipeline_tbl[[#This Row],[Rate_Code_Generalized]],Lookups!A:A,Lookups!B:B))*Pipeline_tbl[[#This Row],[Pipeline_Amount_USD]]</f>
        <v>5937.9299999999994</v>
      </c>
      <c r="O6803" t="str">
        <f>_xlfn.XLOOKUP(Pipeline_tbl[[#This Row],[Rep_ID]],Dim_Reps!A:A,Dim_Reps!B:B)</f>
        <v>Liam Castro</v>
      </c>
      <c r="P6803" t="str">
        <f>_xlfn.XLOOKUP(Pipeline_tbl[[#This Row],[Rep_ID]],Dim_Reps!A:A,Dim_Reps!C:C)</f>
        <v>SDR / Inside Sales Rep</v>
      </c>
      <c r="Q6803" t="str">
        <f>_xlfn.XLOOKUP(Pipeline_tbl[[#This Row],[Rep_ID]],Dim_Reps!A:A,Dim_Reps!D:D)</f>
        <v>Inside Sales</v>
      </c>
      <c r="R6803" t="str">
        <f>_xlfn.XLOOKUP(Pipeline_tbl[[#This Row],[Rep_ID]],Dim_Reps!A:A,Dim_Reps!E:E)</f>
        <v>NAMER</v>
      </c>
      <c r="S6803" t="str">
        <f>_xlfn.XLOOKUP(Pipeline_tbl[[#This Row],[Created_Date]],Dim_Date!A:A,Dim_Date!H:H)</f>
        <v>Apr 2024</v>
      </c>
      <c r="T6803" t="str">
        <f>IF(Pipeline_tbl[[#This Row],[Closed_Date]]=0,"",(_xlfn.XLOOKUP(Pipeline_tbl[[#This Row],[Closed_Date]],Dim_Date!A:A,Dim_Date!H:H)))</f>
        <v>May 2024</v>
      </c>
      <c r="U6803">
        <f>IF(Pipeline_tbl[[#This Row],[Closed_Date]]=0,"",Pipeline_tbl[[#This Row],[Closed_Date]]-Pipeline_tbl[[#This Row],[Created_Date]])</f>
        <v>27</v>
      </c>
    </row>
    <row r="6804" spans="1:21" ht="15" customHeight="1" x14ac:dyDescent="0.2">
      <c r="A6804" t="s">
        <v>7110</v>
      </c>
      <c r="B6804" t="s">
        <v>229</v>
      </c>
      <c r="C6804" t="s">
        <v>52</v>
      </c>
      <c r="D6804" s="49">
        <v>45403</v>
      </c>
      <c r="E6804" s="49">
        <v>45405</v>
      </c>
      <c r="F6804" s="49">
        <v>45409</v>
      </c>
      <c r="G6804" s="49">
        <v>45415</v>
      </c>
      <c r="H6804" s="49">
        <v>45420</v>
      </c>
      <c r="I6804" s="49">
        <v>45423</v>
      </c>
      <c r="J6804" t="s">
        <v>49</v>
      </c>
      <c r="K6804" s="33">
        <v>1700</v>
      </c>
      <c r="L6804" t="s">
        <v>61</v>
      </c>
      <c r="M6804" t="str">
        <f>_xlfn.XLOOKUP(Pipeline_tbl[[#This Row],[Rep_ID]],Dim_Reps!A:A,Dim_Reps!K:K)</f>
        <v>USD</v>
      </c>
      <c r="N6804" s="33">
        <f>(_xlfn.XLOOKUP(Pipeline_tbl[[#This Row],[Rate_Code_Generalized]],Lookups!A:A,Lookups!B:B))*Pipeline_tbl[[#This Row],[Pipeline_Amount_USD]]</f>
        <v>1979.3099999999997</v>
      </c>
      <c r="O6804" t="str">
        <f>_xlfn.XLOOKUP(Pipeline_tbl[[#This Row],[Rep_ID]],Dim_Reps!A:A,Dim_Reps!B:B)</f>
        <v>Liam Castro</v>
      </c>
      <c r="P6804" t="str">
        <f>_xlfn.XLOOKUP(Pipeline_tbl[[#This Row],[Rep_ID]],Dim_Reps!A:A,Dim_Reps!C:C)</f>
        <v>SDR / Inside Sales Rep</v>
      </c>
      <c r="Q6804" t="str">
        <f>_xlfn.XLOOKUP(Pipeline_tbl[[#This Row],[Rep_ID]],Dim_Reps!A:A,Dim_Reps!D:D)</f>
        <v>Inside Sales</v>
      </c>
      <c r="R6804" t="str">
        <f>_xlfn.XLOOKUP(Pipeline_tbl[[#This Row],[Rep_ID]],Dim_Reps!A:A,Dim_Reps!E:E)</f>
        <v>NAMER</v>
      </c>
      <c r="S6804" t="str">
        <f>_xlfn.XLOOKUP(Pipeline_tbl[[#This Row],[Created_Date]],Dim_Date!A:A,Dim_Date!H:H)</f>
        <v>Apr 2024</v>
      </c>
      <c r="T6804" t="str">
        <f>IF(Pipeline_tbl[[#This Row],[Closed_Date]]=0,"",(_xlfn.XLOOKUP(Pipeline_tbl[[#This Row],[Closed_Date]],Dim_Date!A:A,Dim_Date!H:H)))</f>
        <v>May 2024</v>
      </c>
      <c r="U6804">
        <f>IF(Pipeline_tbl[[#This Row],[Closed_Date]]=0,"",Pipeline_tbl[[#This Row],[Closed_Date]]-Pipeline_tbl[[#This Row],[Created_Date]])</f>
        <v>20</v>
      </c>
    </row>
    <row r="6805" spans="1:21" ht="15" customHeight="1" x14ac:dyDescent="0.2">
      <c r="A6805" t="s">
        <v>7111</v>
      </c>
      <c r="B6805" t="s">
        <v>229</v>
      </c>
      <c r="C6805" t="s">
        <v>55</v>
      </c>
      <c r="D6805" s="49">
        <v>45406</v>
      </c>
      <c r="E6805" s="49">
        <v>45408</v>
      </c>
      <c r="F6805" s="49">
        <v>45412</v>
      </c>
      <c r="G6805" s="49">
        <v>45418</v>
      </c>
      <c r="H6805" s="49">
        <v>45423</v>
      </c>
      <c r="I6805" s="49">
        <v>45426</v>
      </c>
      <c r="J6805" t="s">
        <v>47</v>
      </c>
      <c r="K6805" s="33">
        <v>2500</v>
      </c>
      <c r="M6805" t="str">
        <f>_xlfn.XLOOKUP(Pipeline_tbl[[#This Row],[Rep_ID]],Dim_Reps!A:A,Dim_Reps!K:K)</f>
        <v>USD</v>
      </c>
      <c r="N6805" s="33">
        <f>(_xlfn.XLOOKUP(Pipeline_tbl[[#This Row],[Rate_Code_Generalized]],Lookups!A:A,Lookups!B:B))*Pipeline_tbl[[#This Row],[Pipeline_Amount_USD]]</f>
        <v>2910.7499999999995</v>
      </c>
      <c r="O6805" t="str">
        <f>_xlfn.XLOOKUP(Pipeline_tbl[[#This Row],[Rep_ID]],Dim_Reps!A:A,Dim_Reps!B:B)</f>
        <v>Liam Castro</v>
      </c>
      <c r="P6805" t="str">
        <f>_xlfn.XLOOKUP(Pipeline_tbl[[#This Row],[Rep_ID]],Dim_Reps!A:A,Dim_Reps!C:C)</f>
        <v>SDR / Inside Sales Rep</v>
      </c>
      <c r="Q6805" t="str">
        <f>_xlfn.XLOOKUP(Pipeline_tbl[[#This Row],[Rep_ID]],Dim_Reps!A:A,Dim_Reps!D:D)</f>
        <v>Inside Sales</v>
      </c>
      <c r="R6805" t="str">
        <f>_xlfn.XLOOKUP(Pipeline_tbl[[#This Row],[Rep_ID]],Dim_Reps!A:A,Dim_Reps!E:E)</f>
        <v>NAMER</v>
      </c>
      <c r="S6805" t="str">
        <f>_xlfn.XLOOKUP(Pipeline_tbl[[#This Row],[Created_Date]],Dim_Date!A:A,Dim_Date!H:H)</f>
        <v>Apr 2024</v>
      </c>
      <c r="T6805" t="str">
        <f>IF(Pipeline_tbl[[#This Row],[Closed_Date]]=0,"",(_xlfn.XLOOKUP(Pipeline_tbl[[#This Row],[Closed_Date]],Dim_Date!A:A,Dim_Date!H:H)))</f>
        <v>May 2024</v>
      </c>
      <c r="U6805">
        <f>IF(Pipeline_tbl[[#This Row],[Closed_Date]]=0,"",Pipeline_tbl[[#This Row],[Closed_Date]]-Pipeline_tbl[[#This Row],[Created_Date]])</f>
        <v>20</v>
      </c>
    </row>
    <row r="6806" spans="1:21" ht="15" customHeight="1" x14ac:dyDescent="0.2">
      <c r="A6806" t="s">
        <v>7112</v>
      </c>
      <c r="B6806" t="s">
        <v>229</v>
      </c>
      <c r="C6806" t="s">
        <v>54</v>
      </c>
      <c r="D6806" s="49">
        <v>45412</v>
      </c>
      <c r="E6806" s="49">
        <v>45413</v>
      </c>
      <c r="F6806" s="49">
        <v>45415</v>
      </c>
      <c r="G6806" s="49">
        <v>45419</v>
      </c>
      <c r="H6806" s="49">
        <v>45421</v>
      </c>
      <c r="I6806" s="49">
        <v>45423</v>
      </c>
      <c r="J6806" t="s">
        <v>49</v>
      </c>
      <c r="K6806" s="33">
        <v>2900</v>
      </c>
      <c r="L6806" t="s">
        <v>61</v>
      </c>
      <c r="M6806" t="str">
        <f>_xlfn.XLOOKUP(Pipeline_tbl[[#This Row],[Rep_ID]],Dim_Reps!A:A,Dim_Reps!K:K)</f>
        <v>USD</v>
      </c>
      <c r="N6806" s="33">
        <f>(_xlfn.XLOOKUP(Pipeline_tbl[[#This Row],[Rate_Code_Generalized]],Lookups!A:A,Lookups!B:B))*Pipeline_tbl[[#This Row],[Pipeline_Amount_USD]]</f>
        <v>3376.47</v>
      </c>
      <c r="O6806" t="str">
        <f>_xlfn.XLOOKUP(Pipeline_tbl[[#This Row],[Rep_ID]],Dim_Reps!A:A,Dim_Reps!B:B)</f>
        <v>Liam Castro</v>
      </c>
      <c r="P6806" t="str">
        <f>_xlfn.XLOOKUP(Pipeline_tbl[[#This Row],[Rep_ID]],Dim_Reps!A:A,Dim_Reps!C:C)</f>
        <v>SDR / Inside Sales Rep</v>
      </c>
      <c r="Q6806" t="str">
        <f>_xlfn.XLOOKUP(Pipeline_tbl[[#This Row],[Rep_ID]],Dim_Reps!A:A,Dim_Reps!D:D)</f>
        <v>Inside Sales</v>
      </c>
      <c r="R6806" t="str">
        <f>_xlfn.XLOOKUP(Pipeline_tbl[[#This Row],[Rep_ID]],Dim_Reps!A:A,Dim_Reps!E:E)</f>
        <v>NAMER</v>
      </c>
      <c r="S6806" t="str">
        <f>_xlfn.XLOOKUP(Pipeline_tbl[[#This Row],[Created_Date]],Dim_Date!A:A,Dim_Date!H:H)</f>
        <v>Apr 2024</v>
      </c>
      <c r="T6806" t="str">
        <f>IF(Pipeline_tbl[[#This Row],[Closed_Date]]=0,"",(_xlfn.XLOOKUP(Pipeline_tbl[[#This Row],[Closed_Date]],Dim_Date!A:A,Dim_Date!H:H)))</f>
        <v>May 2024</v>
      </c>
      <c r="U6806">
        <f>IF(Pipeline_tbl[[#This Row],[Closed_Date]]=0,"",Pipeline_tbl[[#This Row],[Closed_Date]]-Pipeline_tbl[[#This Row],[Created_Date]])</f>
        <v>11</v>
      </c>
    </row>
    <row r="6807" spans="1:21" ht="15" customHeight="1" x14ac:dyDescent="0.2">
      <c r="A6807" t="s">
        <v>7113</v>
      </c>
      <c r="B6807" t="s">
        <v>229</v>
      </c>
      <c r="C6807" t="s">
        <v>55</v>
      </c>
      <c r="D6807" s="49">
        <v>45396</v>
      </c>
      <c r="E6807" s="49">
        <v>45398</v>
      </c>
      <c r="F6807" s="49">
        <v>45402</v>
      </c>
      <c r="G6807" s="49">
        <v>45409</v>
      </c>
      <c r="H6807" s="49">
        <v>45414</v>
      </c>
      <c r="I6807" s="49">
        <v>45417</v>
      </c>
      <c r="J6807" t="s">
        <v>47</v>
      </c>
      <c r="K6807" s="33">
        <v>3400</v>
      </c>
      <c r="M6807" t="str">
        <f>_xlfn.XLOOKUP(Pipeline_tbl[[#This Row],[Rep_ID]],Dim_Reps!A:A,Dim_Reps!K:K)</f>
        <v>USD</v>
      </c>
      <c r="N6807" s="33">
        <f>(_xlfn.XLOOKUP(Pipeline_tbl[[#This Row],[Rate_Code_Generalized]],Lookups!A:A,Lookups!B:B))*Pipeline_tbl[[#This Row],[Pipeline_Amount_USD]]</f>
        <v>3958.6199999999994</v>
      </c>
      <c r="O6807" t="str">
        <f>_xlfn.XLOOKUP(Pipeline_tbl[[#This Row],[Rep_ID]],Dim_Reps!A:A,Dim_Reps!B:B)</f>
        <v>Liam Castro</v>
      </c>
      <c r="P6807" t="str">
        <f>_xlfn.XLOOKUP(Pipeline_tbl[[#This Row],[Rep_ID]],Dim_Reps!A:A,Dim_Reps!C:C)</f>
        <v>SDR / Inside Sales Rep</v>
      </c>
      <c r="Q6807" t="str">
        <f>_xlfn.XLOOKUP(Pipeline_tbl[[#This Row],[Rep_ID]],Dim_Reps!A:A,Dim_Reps!D:D)</f>
        <v>Inside Sales</v>
      </c>
      <c r="R6807" t="str">
        <f>_xlfn.XLOOKUP(Pipeline_tbl[[#This Row],[Rep_ID]],Dim_Reps!A:A,Dim_Reps!E:E)</f>
        <v>NAMER</v>
      </c>
      <c r="S6807" t="str">
        <f>_xlfn.XLOOKUP(Pipeline_tbl[[#This Row],[Created_Date]],Dim_Date!A:A,Dim_Date!H:H)</f>
        <v>Apr 2024</v>
      </c>
      <c r="T6807" t="str">
        <f>IF(Pipeline_tbl[[#This Row],[Closed_Date]]=0,"",(_xlfn.XLOOKUP(Pipeline_tbl[[#This Row],[Closed_Date]],Dim_Date!A:A,Dim_Date!H:H)))</f>
        <v>May 2024</v>
      </c>
      <c r="U6807">
        <f>IF(Pipeline_tbl[[#This Row],[Closed_Date]]=0,"",Pipeline_tbl[[#This Row],[Closed_Date]]-Pipeline_tbl[[#This Row],[Created_Date]])</f>
        <v>21</v>
      </c>
    </row>
    <row r="6808" spans="1:21" ht="15" customHeight="1" x14ac:dyDescent="0.2">
      <c r="A6808" t="s">
        <v>7114</v>
      </c>
      <c r="B6808" t="s">
        <v>231</v>
      </c>
      <c r="C6808" t="s">
        <v>52</v>
      </c>
      <c r="D6808" s="49">
        <v>45406</v>
      </c>
      <c r="E6808" s="49">
        <v>45407</v>
      </c>
      <c r="F6808" s="49">
        <v>45410</v>
      </c>
      <c r="I6808" s="49">
        <v>45418</v>
      </c>
      <c r="J6808" t="s">
        <v>49</v>
      </c>
      <c r="K6808" s="33">
        <v>3900</v>
      </c>
      <c r="L6808" t="s">
        <v>62</v>
      </c>
      <c r="M6808" t="str">
        <f>_xlfn.XLOOKUP(Pipeline_tbl[[#This Row],[Rep_ID]],Dim_Reps!A:A,Dim_Reps!K:K)</f>
        <v>MXN</v>
      </c>
      <c r="N6808" s="33">
        <f>(_xlfn.XLOOKUP(Pipeline_tbl[[#This Row],[Rate_Code_Generalized]],Lookups!A:A,Lookups!B:B))*Pipeline_tbl[[#This Row],[Pipeline_Amount_USD]]</f>
        <v>76957.53</v>
      </c>
      <c r="O6808" t="str">
        <f>_xlfn.XLOOKUP(Pipeline_tbl[[#This Row],[Rep_ID]],Dim_Reps!A:A,Dim_Reps!B:B)</f>
        <v>Ben Silva</v>
      </c>
      <c r="P6808" t="str">
        <f>_xlfn.XLOOKUP(Pipeline_tbl[[#This Row],[Rep_ID]],Dim_Reps!A:A,Dim_Reps!C:C)</f>
        <v>SDR / Inside Sales Rep</v>
      </c>
      <c r="Q6808" t="str">
        <f>_xlfn.XLOOKUP(Pipeline_tbl[[#This Row],[Rep_ID]],Dim_Reps!A:A,Dim_Reps!D:D)</f>
        <v>Inside Sales</v>
      </c>
      <c r="R6808" t="str">
        <f>_xlfn.XLOOKUP(Pipeline_tbl[[#This Row],[Rep_ID]],Dim_Reps!A:A,Dim_Reps!E:E)</f>
        <v>LATAM</v>
      </c>
      <c r="S6808" t="str">
        <f>_xlfn.XLOOKUP(Pipeline_tbl[[#This Row],[Created_Date]],Dim_Date!A:A,Dim_Date!H:H)</f>
        <v>Apr 2024</v>
      </c>
      <c r="T6808" t="str">
        <f>IF(Pipeline_tbl[[#This Row],[Closed_Date]]=0,"",(_xlfn.XLOOKUP(Pipeline_tbl[[#This Row],[Closed_Date]],Dim_Date!A:A,Dim_Date!H:H)))</f>
        <v>May 2024</v>
      </c>
      <c r="U6808">
        <f>IF(Pipeline_tbl[[#This Row],[Closed_Date]]=0,"",Pipeline_tbl[[#This Row],[Closed_Date]]-Pipeline_tbl[[#This Row],[Created_Date]])</f>
        <v>12</v>
      </c>
    </row>
    <row r="6809" spans="1:21" ht="15" customHeight="1" x14ac:dyDescent="0.2">
      <c r="A6809" t="s">
        <v>7115</v>
      </c>
      <c r="B6809" t="s">
        <v>231</v>
      </c>
      <c r="C6809" t="s">
        <v>52</v>
      </c>
      <c r="D6809" s="49">
        <v>45403</v>
      </c>
      <c r="E6809" s="49">
        <v>45405</v>
      </c>
      <c r="I6809" s="49">
        <v>45420</v>
      </c>
      <c r="J6809" t="s">
        <v>49</v>
      </c>
      <c r="K6809" s="33">
        <v>5500</v>
      </c>
      <c r="L6809" t="s">
        <v>60</v>
      </c>
      <c r="M6809" t="str">
        <f>_xlfn.XLOOKUP(Pipeline_tbl[[#This Row],[Rep_ID]],Dim_Reps!A:A,Dim_Reps!K:K)</f>
        <v>MXN</v>
      </c>
      <c r="N6809" s="33">
        <f>(_xlfn.XLOOKUP(Pipeline_tbl[[#This Row],[Rate_Code_Generalized]],Lookups!A:A,Lookups!B:B))*Pipeline_tbl[[#This Row],[Pipeline_Amount_USD]]</f>
        <v>108529.85</v>
      </c>
      <c r="O6809" t="str">
        <f>_xlfn.XLOOKUP(Pipeline_tbl[[#This Row],[Rep_ID]],Dim_Reps!A:A,Dim_Reps!B:B)</f>
        <v>Ben Silva</v>
      </c>
      <c r="P6809" t="str">
        <f>_xlfn.XLOOKUP(Pipeline_tbl[[#This Row],[Rep_ID]],Dim_Reps!A:A,Dim_Reps!C:C)</f>
        <v>SDR / Inside Sales Rep</v>
      </c>
      <c r="Q6809" t="str">
        <f>_xlfn.XLOOKUP(Pipeline_tbl[[#This Row],[Rep_ID]],Dim_Reps!A:A,Dim_Reps!D:D)</f>
        <v>Inside Sales</v>
      </c>
      <c r="R6809" t="str">
        <f>_xlfn.XLOOKUP(Pipeline_tbl[[#This Row],[Rep_ID]],Dim_Reps!A:A,Dim_Reps!E:E)</f>
        <v>LATAM</v>
      </c>
      <c r="S6809" t="str">
        <f>_xlfn.XLOOKUP(Pipeline_tbl[[#This Row],[Created_Date]],Dim_Date!A:A,Dim_Date!H:H)</f>
        <v>Apr 2024</v>
      </c>
      <c r="T6809" t="str">
        <f>IF(Pipeline_tbl[[#This Row],[Closed_Date]]=0,"",(_xlfn.XLOOKUP(Pipeline_tbl[[#This Row],[Closed_Date]],Dim_Date!A:A,Dim_Date!H:H)))</f>
        <v>May 2024</v>
      </c>
      <c r="U6809">
        <f>IF(Pipeline_tbl[[#This Row],[Closed_Date]]=0,"",Pipeline_tbl[[#This Row],[Closed_Date]]-Pipeline_tbl[[#This Row],[Created_Date]])</f>
        <v>17</v>
      </c>
    </row>
    <row r="6810" spans="1:21" ht="15" customHeight="1" x14ac:dyDescent="0.2">
      <c r="A6810" t="s">
        <v>7116</v>
      </c>
      <c r="B6810" t="s">
        <v>231</v>
      </c>
      <c r="C6810" t="s">
        <v>56</v>
      </c>
      <c r="D6810" s="49">
        <v>45396</v>
      </c>
      <c r="E6810" s="49">
        <v>45398</v>
      </c>
      <c r="F6810" s="49">
        <v>45403</v>
      </c>
      <c r="G6810" s="49">
        <v>45410</v>
      </c>
      <c r="H6810" s="49">
        <v>45416</v>
      </c>
      <c r="I6810" s="49">
        <v>45419</v>
      </c>
      <c r="J6810" t="s">
        <v>47</v>
      </c>
      <c r="K6810" s="33">
        <v>2400</v>
      </c>
      <c r="M6810" t="str">
        <f>_xlfn.XLOOKUP(Pipeline_tbl[[#This Row],[Rep_ID]],Dim_Reps!A:A,Dim_Reps!K:K)</f>
        <v>MXN</v>
      </c>
      <c r="N6810" s="33">
        <f>(_xlfn.XLOOKUP(Pipeline_tbl[[#This Row],[Rate_Code_Generalized]],Lookups!A:A,Lookups!B:B))*Pipeline_tbl[[#This Row],[Pipeline_Amount_USD]]</f>
        <v>47358.48</v>
      </c>
      <c r="O6810" t="str">
        <f>_xlfn.XLOOKUP(Pipeline_tbl[[#This Row],[Rep_ID]],Dim_Reps!A:A,Dim_Reps!B:B)</f>
        <v>Ben Silva</v>
      </c>
      <c r="P6810" t="str">
        <f>_xlfn.XLOOKUP(Pipeline_tbl[[#This Row],[Rep_ID]],Dim_Reps!A:A,Dim_Reps!C:C)</f>
        <v>SDR / Inside Sales Rep</v>
      </c>
      <c r="Q6810" t="str">
        <f>_xlfn.XLOOKUP(Pipeline_tbl[[#This Row],[Rep_ID]],Dim_Reps!A:A,Dim_Reps!D:D)</f>
        <v>Inside Sales</v>
      </c>
      <c r="R6810" t="str">
        <f>_xlfn.XLOOKUP(Pipeline_tbl[[#This Row],[Rep_ID]],Dim_Reps!A:A,Dim_Reps!E:E)</f>
        <v>LATAM</v>
      </c>
      <c r="S6810" t="str">
        <f>_xlfn.XLOOKUP(Pipeline_tbl[[#This Row],[Created_Date]],Dim_Date!A:A,Dim_Date!H:H)</f>
        <v>Apr 2024</v>
      </c>
      <c r="T6810" t="str">
        <f>IF(Pipeline_tbl[[#This Row],[Closed_Date]]=0,"",(_xlfn.XLOOKUP(Pipeline_tbl[[#This Row],[Closed_Date]],Dim_Date!A:A,Dim_Date!H:H)))</f>
        <v>May 2024</v>
      </c>
      <c r="U6810">
        <f>IF(Pipeline_tbl[[#This Row],[Closed_Date]]=0,"",Pipeline_tbl[[#This Row],[Closed_Date]]-Pipeline_tbl[[#This Row],[Created_Date]])</f>
        <v>23</v>
      </c>
    </row>
    <row r="6811" spans="1:21" ht="15" customHeight="1" x14ac:dyDescent="0.2">
      <c r="A6811" t="s">
        <v>7117</v>
      </c>
      <c r="B6811" t="s">
        <v>231</v>
      </c>
      <c r="C6811" t="s">
        <v>52</v>
      </c>
      <c r="D6811" s="49">
        <v>45393</v>
      </c>
      <c r="E6811" s="49">
        <v>45395</v>
      </c>
      <c r="F6811" s="49">
        <v>45400</v>
      </c>
      <c r="G6811" s="49">
        <v>45407</v>
      </c>
      <c r="H6811" s="49">
        <v>45413</v>
      </c>
      <c r="I6811" s="49">
        <v>45416</v>
      </c>
      <c r="J6811" t="s">
        <v>49</v>
      </c>
      <c r="K6811" s="33">
        <v>3600</v>
      </c>
      <c r="L6811" t="s">
        <v>61</v>
      </c>
      <c r="M6811" t="str">
        <f>_xlfn.XLOOKUP(Pipeline_tbl[[#This Row],[Rep_ID]],Dim_Reps!A:A,Dim_Reps!K:K)</f>
        <v>MXN</v>
      </c>
      <c r="N6811" s="33">
        <f>(_xlfn.XLOOKUP(Pipeline_tbl[[#This Row],[Rate_Code_Generalized]],Lookups!A:A,Lookups!B:B))*Pipeline_tbl[[#This Row],[Pipeline_Amount_USD]]</f>
        <v>71037.72</v>
      </c>
      <c r="O6811" t="str">
        <f>_xlfn.XLOOKUP(Pipeline_tbl[[#This Row],[Rep_ID]],Dim_Reps!A:A,Dim_Reps!B:B)</f>
        <v>Ben Silva</v>
      </c>
      <c r="P6811" t="str">
        <f>_xlfn.XLOOKUP(Pipeline_tbl[[#This Row],[Rep_ID]],Dim_Reps!A:A,Dim_Reps!C:C)</f>
        <v>SDR / Inside Sales Rep</v>
      </c>
      <c r="Q6811" t="str">
        <f>_xlfn.XLOOKUP(Pipeline_tbl[[#This Row],[Rep_ID]],Dim_Reps!A:A,Dim_Reps!D:D)</f>
        <v>Inside Sales</v>
      </c>
      <c r="R6811" t="str">
        <f>_xlfn.XLOOKUP(Pipeline_tbl[[#This Row],[Rep_ID]],Dim_Reps!A:A,Dim_Reps!E:E)</f>
        <v>LATAM</v>
      </c>
      <c r="S6811" t="str">
        <f>_xlfn.XLOOKUP(Pipeline_tbl[[#This Row],[Created_Date]],Dim_Date!A:A,Dim_Date!H:H)</f>
        <v>Apr 2024</v>
      </c>
      <c r="T6811" t="str">
        <f>IF(Pipeline_tbl[[#This Row],[Closed_Date]]=0,"",(_xlfn.XLOOKUP(Pipeline_tbl[[#This Row],[Closed_Date]],Dim_Date!A:A,Dim_Date!H:H)))</f>
        <v>May 2024</v>
      </c>
      <c r="U6811">
        <f>IF(Pipeline_tbl[[#This Row],[Closed_Date]]=0,"",Pipeline_tbl[[#This Row],[Closed_Date]]-Pipeline_tbl[[#This Row],[Created_Date]])</f>
        <v>23</v>
      </c>
    </row>
    <row r="6812" spans="1:21" ht="15" customHeight="1" x14ac:dyDescent="0.2">
      <c r="A6812" t="s">
        <v>7118</v>
      </c>
      <c r="B6812" t="s">
        <v>231</v>
      </c>
      <c r="C6812" t="s">
        <v>56</v>
      </c>
      <c r="D6812" s="49">
        <v>45412</v>
      </c>
      <c r="E6812" s="49">
        <v>45414</v>
      </c>
      <c r="F6812" s="49">
        <v>45417</v>
      </c>
      <c r="G6812" s="49">
        <v>45423</v>
      </c>
      <c r="I6812" s="49">
        <v>45430</v>
      </c>
      <c r="J6812" t="s">
        <v>49</v>
      </c>
      <c r="K6812" s="33">
        <v>4400</v>
      </c>
      <c r="L6812" t="s">
        <v>62</v>
      </c>
      <c r="M6812" t="str">
        <f>_xlfn.XLOOKUP(Pipeline_tbl[[#This Row],[Rep_ID]],Dim_Reps!A:A,Dim_Reps!K:K)</f>
        <v>MXN</v>
      </c>
      <c r="N6812" s="33">
        <f>(_xlfn.XLOOKUP(Pipeline_tbl[[#This Row],[Rate_Code_Generalized]],Lookups!A:A,Lookups!B:B))*Pipeline_tbl[[#This Row],[Pipeline_Amount_USD]]</f>
        <v>86823.88</v>
      </c>
      <c r="O6812" t="str">
        <f>_xlfn.XLOOKUP(Pipeline_tbl[[#This Row],[Rep_ID]],Dim_Reps!A:A,Dim_Reps!B:B)</f>
        <v>Ben Silva</v>
      </c>
      <c r="P6812" t="str">
        <f>_xlfn.XLOOKUP(Pipeline_tbl[[#This Row],[Rep_ID]],Dim_Reps!A:A,Dim_Reps!C:C)</f>
        <v>SDR / Inside Sales Rep</v>
      </c>
      <c r="Q6812" t="str">
        <f>_xlfn.XLOOKUP(Pipeline_tbl[[#This Row],[Rep_ID]],Dim_Reps!A:A,Dim_Reps!D:D)</f>
        <v>Inside Sales</v>
      </c>
      <c r="R6812" t="str">
        <f>_xlfn.XLOOKUP(Pipeline_tbl[[#This Row],[Rep_ID]],Dim_Reps!A:A,Dim_Reps!E:E)</f>
        <v>LATAM</v>
      </c>
      <c r="S6812" t="str">
        <f>_xlfn.XLOOKUP(Pipeline_tbl[[#This Row],[Created_Date]],Dim_Date!A:A,Dim_Date!H:H)</f>
        <v>Apr 2024</v>
      </c>
      <c r="T6812" t="str">
        <f>IF(Pipeline_tbl[[#This Row],[Closed_Date]]=0,"",(_xlfn.XLOOKUP(Pipeline_tbl[[#This Row],[Closed_Date]],Dim_Date!A:A,Dim_Date!H:H)))</f>
        <v>May 2024</v>
      </c>
      <c r="U6812">
        <f>IF(Pipeline_tbl[[#This Row],[Closed_Date]]=0,"",Pipeline_tbl[[#This Row],[Closed_Date]]-Pipeline_tbl[[#This Row],[Created_Date]])</f>
        <v>18</v>
      </c>
    </row>
    <row r="6813" spans="1:21" ht="15" customHeight="1" x14ac:dyDescent="0.2">
      <c r="A6813" t="s">
        <v>7119</v>
      </c>
      <c r="B6813" t="s">
        <v>263</v>
      </c>
      <c r="C6813" t="s">
        <v>52</v>
      </c>
      <c r="D6813" s="49">
        <v>45385</v>
      </c>
      <c r="E6813" s="49">
        <v>45389</v>
      </c>
      <c r="F6813" s="49">
        <v>45397</v>
      </c>
      <c r="G6813" s="49">
        <v>45410</v>
      </c>
      <c r="I6813" s="49">
        <v>45426</v>
      </c>
      <c r="J6813" t="s">
        <v>49</v>
      </c>
      <c r="K6813" s="33">
        <v>7400</v>
      </c>
      <c r="L6813" t="s">
        <v>63</v>
      </c>
      <c r="M6813" t="str">
        <f>_xlfn.XLOOKUP(Pipeline_tbl[[#This Row],[Rep_ID]],Dim_Reps!A:A,Dim_Reps!K:K)</f>
        <v>USD</v>
      </c>
      <c r="N6813" s="33">
        <f>(_xlfn.XLOOKUP(Pipeline_tbl[[#This Row],[Rate_Code_Generalized]],Lookups!A:A,Lookups!B:B))*Pipeline_tbl[[#This Row],[Pipeline_Amount_USD]]</f>
        <v>8615.82</v>
      </c>
      <c r="O6813" t="str">
        <f>_xlfn.XLOOKUP(Pipeline_tbl[[#This Row],[Rep_ID]],Dim_Reps!A:A,Dim_Reps!B:B)</f>
        <v>Morgan Weber</v>
      </c>
      <c r="P6813" t="str">
        <f>_xlfn.XLOOKUP(Pipeline_tbl[[#This Row],[Rep_ID]],Dim_Reps!A:A,Dim_Reps!C:C)</f>
        <v>Mid-Market AE</v>
      </c>
      <c r="Q6813" t="str">
        <f>_xlfn.XLOOKUP(Pipeline_tbl[[#This Row],[Rep_ID]],Dim_Reps!A:A,Dim_Reps!D:D)</f>
        <v>Mid-Market</v>
      </c>
      <c r="R6813" t="str">
        <f>_xlfn.XLOOKUP(Pipeline_tbl[[#This Row],[Rep_ID]],Dim_Reps!A:A,Dim_Reps!E:E)</f>
        <v>NAMER</v>
      </c>
      <c r="S6813" t="str">
        <f>_xlfn.XLOOKUP(Pipeline_tbl[[#This Row],[Created_Date]],Dim_Date!A:A,Dim_Date!H:H)</f>
        <v>Apr 2024</v>
      </c>
      <c r="T6813" t="str">
        <f>IF(Pipeline_tbl[[#This Row],[Closed_Date]]=0,"",(_xlfn.XLOOKUP(Pipeline_tbl[[#This Row],[Closed_Date]],Dim_Date!A:A,Dim_Date!H:H)))</f>
        <v>May 2024</v>
      </c>
      <c r="U6813">
        <f>IF(Pipeline_tbl[[#This Row],[Closed_Date]]=0,"",Pipeline_tbl[[#This Row],[Closed_Date]]-Pipeline_tbl[[#This Row],[Created_Date]])</f>
        <v>41</v>
      </c>
    </row>
    <row r="6814" spans="1:21" ht="15" customHeight="1" x14ac:dyDescent="0.2">
      <c r="A6814" t="s">
        <v>7120</v>
      </c>
      <c r="B6814" t="s">
        <v>263</v>
      </c>
      <c r="C6814" t="s">
        <v>52</v>
      </c>
      <c r="D6814" s="49">
        <v>45389</v>
      </c>
      <c r="E6814" s="49">
        <v>45394</v>
      </c>
      <c r="F6814" s="49">
        <v>45403</v>
      </c>
      <c r="G6814" s="49">
        <v>45418</v>
      </c>
      <c r="H6814" s="49">
        <v>45430</v>
      </c>
      <c r="I6814" s="49">
        <v>45437</v>
      </c>
      <c r="J6814" t="s">
        <v>49</v>
      </c>
      <c r="K6814" s="33">
        <v>5100</v>
      </c>
      <c r="L6814" t="s">
        <v>61</v>
      </c>
      <c r="M6814" t="str">
        <f>_xlfn.XLOOKUP(Pipeline_tbl[[#This Row],[Rep_ID]],Dim_Reps!A:A,Dim_Reps!K:K)</f>
        <v>USD</v>
      </c>
      <c r="N6814" s="33">
        <f>(_xlfn.XLOOKUP(Pipeline_tbl[[#This Row],[Rate_Code_Generalized]],Lookups!A:A,Lookups!B:B))*Pipeline_tbl[[#This Row],[Pipeline_Amount_USD]]</f>
        <v>5937.9299999999994</v>
      </c>
      <c r="O6814" t="str">
        <f>_xlfn.XLOOKUP(Pipeline_tbl[[#This Row],[Rep_ID]],Dim_Reps!A:A,Dim_Reps!B:B)</f>
        <v>Morgan Weber</v>
      </c>
      <c r="P6814" t="str">
        <f>_xlfn.XLOOKUP(Pipeline_tbl[[#This Row],[Rep_ID]],Dim_Reps!A:A,Dim_Reps!C:C)</f>
        <v>Mid-Market AE</v>
      </c>
      <c r="Q6814" t="str">
        <f>_xlfn.XLOOKUP(Pipeline_tbl[[#This Row],[Rep_ID]],Dim_Reps!A:A,Dim_Reps!D:D)</f>
        <v>Mid-Market</v>
      </c>
      <c r="R6814" t="str">
        <f>_xlfn.XLOOKUP(Pipeline_tbl[[#This Row],[Rep_ID]],Dim_Reps!A:A,Dim_Reps!E:E)</f>
        <v>NAMER</v>
      </c>
      <c r="S6814" t="str">
        <f>_xlfn.XLOOKUP(Pipeline_tbl[[#This Row],[Created_Date]],Dim_Date!A:A,Dim_Date!H:H)</f>
        <v>Apr 2024</v>
      </c>
      <c r="T6814" t="str">
        <f>IF(Pipeline_tbl[[#This Row],[Closed_Date]]=0,"",(_xlfn.XLOOKUP(Pipeline_tbl[[#This Row],[Closed_Date]],Dim_Date!A:A,Dim_Date!H:H)))</f>
        <v>May 2024</v>
      </c>
      <c r="U6814">
        <f>IF(Pipeline_tbl[[#This Row],[Closed_Date]]=0,"",Pipeline_tbl[[#This Row],[Closed_Date]]-Pipeline_tbl[[#This Row],[Created_Date]])</f>
        <v>48</v>
      </c>
    </row>
    <row r="6815" spans="1:21" ht="15" customHeight="1" x14ac:dyDescent="0.2">
      <c r="A6815" t="s">
        <v>7121</v>
      </c>
      <c r="B6815" t="s">
        <v>263</v>
      </c>
      <c r="C6815" t="s">
        <v>54</v>
      </c>
      <c r="D6815" s="49">
        <v>45411</v>
      </c>
      <c r="E6815" s="49">
        <v>45413</v>
      </c>
      <c r="F6815" s="49">
        <v>45418</v>
      </c>
      <c r="G6815" s="49">
        <v>45425</v>
      </c>
      <c r="H6815" s="49">
        <v>45431</v>
      </c>
      <c r="I6815" s="49">
        <v>45434</v>
      </c>
      <c r="J6815" t="s">
        <v>47</v>
      </c>
      <c r="K6815" s="33">
        <v>11600</v>
      </c>
      <c r="M6815" t="str">
        <f>_xlfn.XLOOKUP(Pipeline_tbl[[#This Row],[Rep_ID]],Dim_Reps!A:A,Dim_Reps!K:K)</f>
        <v>USD</v>
      </c>
      <c r="N6815" s="33">
        <f>(_xlfn.XLOOKUP(Pipeline_tbl[[#This Row],[Rate_Code_Generalized]],Lookups!A:A,Lookups!B:B))*Pipeline_tbl[[#This Row],[Pipeline_Amount_USD]]</f>
        <v>13505.88</v>
      </c>
      <c r="O6815" t="str">
        <f>_xlfn.XLOOKUP(Pipeline_tbl[[#This Row],[Rep_ID]],Dim_Reps!A:A,Dim_Reps!B:B)</f>
        <v>Morgan Weber</v>
      </c>
      <c r="P6815" t="str">
        <f>_xlfn.XLOOKUP(Pipeline_tbl[[#This Row],[Rep_ID]],Dim_Reps!A:A,Dim_Reps!C:C)</f>
        <v>Mid-Market AE</v>
      </c>
      <c r="Q6815" t="str">
        <f>_xlfn.XLOOKUP(Pipeline_tbl[[#This Row],[Rep_ID]],Dim_Reps!A:A,Dim_Reps!D:D)</f>
        <v>Mid-Market</v>
      </c>
      <c r="R6815" t="str">
        <f>_xlfn.XLOOKUP(Pipeline_tbl[[#This Row],[Rep_ID]],Dim_Reps!A:A,Dim_Reps!E:E)</f>
        <v>NAMER</v>
      </c>
      <c r="S6815" t="str">
        <f>_xlfn.XLOOKUP(Pipeline_tbl[[#This Row],[Created_Date]],Dim_Date!A:A,Dim_Date!H:H)</f>
        <v>Apr 2024</v>
      </c>
      <c r="T6815" t="str">
        <f>IF(Pipeline_tbl[[#This Row],[Closed_Date]]=0,"",(_xlfn.XLOOKUP(Pipeline_tbl[[#This Row],[Closed_Date]],Dim_Date!A:A,Dim_Date!H:H)))</f>
        <v>May 2024</v>
      </c>
      <c r="U6815">
        <f>IF(Pipeline_tbl[[#This Row],[Closed_Date]]=0,"",Pipeline_tbl[[#This Row],[Closed_Date]]-Pipeline_tbl[[#This Row],[Created_Date]])</f>
        <v>23</v>
      </c>
    </row>
    <row r="6816" spans="1:21" ht="15" customHeight="1" x14ac:dyDescent="0.2">
      <c r="A6816" t="s">
        <v>7122</v>
      </c>
      <c r="B6816" t="s">
        <v>263</v>
      </c>
      <c r="C6816" t="s">
        <v>56</v>
      </c>
      <c r="D6816" s="49">
        <v>45403</v>
      </c>
      <c r="E6816" s="49">
        <v>45405</v>
      </c>
      <c r="F6816" s="49">
        <v>45408</v>
      </c>
      <c r="G6816" s="49">
        <v>45413</v>
      </c>
      <c r="I6816" s="49">
        <v>45420</v>
      </c>
      <c r="J6816" t="s">
        <v>49</v>
      </c>
      <c r="K6816" s="33">
        <v>20000</v>
      </c>
      <c r="L6816" t="s">
        <v>60</v>
      </c>
      <c r="M6816" t="str">
        <f>_xlfn.XLOOKUP(Pipeline_tbl[[#This Row],[Rep_ID]],Dim_Reps!A:A,Dim_Reps!K:K)</f>
        <v>USD</v>
      </c>
      <c r="N6816" s="33">
        <f>(_xlfn.XLOOKUP(Pipeline_tbl[[#This Row],[Rate_Code_Generalized]],Lookups!A:A,Lookups!B:B))*Pipeline_tbl[[#This Row],[Pipeline_Amount_USD]]</f>
        <v>23285.999999999996</v>
      </c>
      <c r="O6816" t="str">
        <f>_xlfn.XLOOKUP(Pipeline_tbl[[#This Row],[Rep_ID]],Dim_Reps!A:A,Dim_Reps!B:B)</f>
        <v>Morgan Weber</v>
      </c>
      <c r="P6816" t="str">
        <f>_xlfn.XLOOKUP(Pipeline_tbl[[#This Row],[Rep_ID]],Dim_Reps!A:A,Dim_Reps!C:C)</f>
        <v>Mid-Market AE</v>
      </c>
      <c r="Q6816" t="str">
        <f>_xlfn.XLOOKUP(Pipeline_tbl[[#This Row],[Rep_ID]],Dim_Reps!A:A,Dim_Reps!D:D)</f>
        <v>Mid-Market</v>
      </c>
      <c r="R6816" t="str">
        <f>_xlfn.XLOOKUP(Pipeline_tbl[[#This Row],[Rep_ID]],Dim_Reps!A:A,Dim_Reps!E:E)</f>
        <v>NAMER</v>
      </c>
      <c r="S6816" t="str">
        <f>_xlfn.XLOOKUP(Pipeline_tbl[[#This Row],[Created_Date]],Dim_Date!A:A,Dim_Date!H:H)</f>
        <v>Apr 2024</v>
      </c>
      <c r="T6816" t="str">
        <f>IF(Pipeline_tbl[[#This Row],[Closed_Date]]=0,"",(_xlfn.XLOOKUP(Pipeline_tbl[[#This Row],[Closed_Date]],Dim_Date!A:A,Dim_Date!H:H)))</f>
        <v>May 2024</v>
      </c>
      <c r="U6816">
        <f>IF(Pipeline_tbl[[#This Row],[Closed_Date]]=0,"",Pipeline_tbl[[#This Row],[Closed_Date]]-Pipeline_tbl[[#This Row],[Created_Date]])</f>
        <v>17</v>
      </c>
    </row>
    <row r="6817" spans="1:21" ht="15" customHeight="1" x14ac:dyDescent="0.2">
      <c r="A6817" t="s">
        <v>7123</v>
      </c>
      <c r="B6817" t="s">
        <v>265</v>
      </c>
      <c r="C6817" t="s">
        <v>52</v>
      </c>
      <c r="D6817" s="49">
        <v>45390</v>
      </c>
      <c r="E6817" s="49">
        <v>45394</v>
      </c>
      <c r="F6817" s="49">
        <v>45401</v>
      </c>
      <c r="G6817" s="49">
        <v>45412</v>
      </c>
      <c r="H6817" s="49">
        <v>45421</v>
      </c>
      <c r="I6817" s="49">
        <v>45426</v>
      </c>
      <c r="J6817" t="s">
        <v>47</v>
      </c>
      <c r="K6817" s="33">
        <v>10600</v>
      </c>
      <c r="M6817" t="str">
        <f>_xlfn.XLOOKUP(Pipeline_tbl[[#This Row],[Rep_ID]],Dim_Reps!A:A,Dim_Reps!K:K)</f>
        <v>EUR</v>
      </c>
      <c r="N6817" s="33">
        <f>(_xlfn.XLOOKUP(Pipeline_tbl[[#This Row],[Rate_Code_Generalized]],Lookups!A:A,Lookups!B:B))*Pipeline_tbl[[#This Row],[Pipeline_Amount_USD]]</f>
        <v>10600</v>
      </c>
      <c r="O6817" t="str">
        <f>_xlfn.XLOOKUP(Pipeline_tbl[[#This Row],[Rep_ID]],Dim_Reps!A:A,Dim_Reps!B:B)</f>
        <v>Erik Duarte</v>
      </c>
      <c r="P6817" t="str">
        <f>_xlfn.XLOOKUP(Pipeline_tbl[[#This Row],[Rep_ID]],Dim_Reps!A:A,Dim_Reps!C:C)</f>
        <v>Mid-Market AE</v>
      </c>
      <c r="Q6817" t="str">
        <f>_xlfn.XLOOKUP(Pipeline_tbl[[#This Row],[Rep_ID]],Dim_Reps!A:A,Dim_Reps!D:D)</f>
        <v>Mid-Market</v>
      </c>
      <c r="R6817" t="str">
        <f>_xlfn.XLOOKUP(Pipeline_tbl[[#This Row],[Rep_ID]],Dim_Reps!A:A,Dim_Reps!E:E)</f>
        <v>EMEA</v>
      </c>
      <c r="S6817" t="str">
        <f>_xlfn.XLOOKUP(Pipeline_tbl[[#This Row],[Created_Date]],Dim_Date!A:A,Dim_Date!H:H)</f>
        <v>Apr 2024</v>
      </c>
      <c r="T6817" t="str">
        <f>IF(Pipeline_tbl[[#This Row],[Closed_Date]]=0,"",(_xlfn.XLOOKUP(Pipeline_tbl[[#This Row],[Closed_Date]],Dim_Date!A:A,Dim_Date!H:H)))</f>
        <v>May 2024</v>
      </c>
      <c r="U6817">
        <f>IF(Pipeline_tbl[[#This Row],[Closed_Date]]=0,"",Pipeline_tbl[[#This Row],[Closed_Date]]-Pipeline_tbl[[#This Row],[Created_Date]])</f>
        <v>36</v>
      </c>
    </row>
    <row r="6818" spans="1:21" ht="15" customHeight="1" x14ac:dyDescent="0.2">
      <c r="A6818" t="s">
        <v>7124</v>
      </c>
      <c r="B6818" t="s">
        <v>233</v>
      </c>
      <c r="C6818" t="s">
        <v>54</v>
      </c>
      <c r="D6818" s="49">
        <v>45408</v>
      </c>
      <c r="E6818" s="49">
        <v>45410</v>
      </c>
      <c r="F6818" s="49">
        <v>45415</v>
      </c>
      <c r="G6818" s="49">
        <v>45422</v>
      </c>
      <c r="I6818" s="49">
        <v>45431</v>
      </c>
      <c r="J6818" t="s">
        <v>49</v>
      </c>
      <c r="K6818" s="33">
        <v>3100</v>
      </c>
      <c r="L6818" t="s">
        <v>60</v>
      </c>
      <c r="M6818" t="str">
        <f>_xlfn.XLOOKUP(Pipeline_tbl[[#This Row],[Rep_ID]],Dim_Reps!A:A,Dim_Reps!K:K)</f>
        <v>MXN</v>
      </c>
      <c r="N6818" s="33">
        <f>(_xlfn.XLOOKUP(Pipeline_tbl[[#This Row],[Rate_Code_Generalized]],Lookups!A:A,Lookups!B:B))*Pipeline_tbl[[#This Row],[Pipeline_Amount_USD]]</f>
        <v>61171.37</v>
      </c>
      <c r="O6818" t="str">
        <f>_xlfn.XLOOKUP(Pipeline_tbl[[#This Row],[Rep_ID]],Dim_Reps!A:A,Dim_Reps!B:B)</f>
        <v>Lucas Duarte</v>
      </c>
      <c r="P6818" t="str">
        <f>_xlfn.XLOOKUP(Pipeline_tbl[[#This Row],[Rep_ID]],Dim_Reps!A:A,Dim_Reps!C:C)</f>
        <v>SDR / Inside Sales Rep</v>
      </c>
      <c r="Q6818" t="str">
        <f>_xlfn.XLOOKUP(Pipeline_tbl[[#This Row],[Rep_ID]],Dim_Reps!A:A,Dim_Reps!D:D)</f>
        <v>Inside Sales</v>
      </c>
      <c r="R6818" t="str">
        <f>_xlfn.XLOOKUP(Pipeline_tbl[[#This Row],[Rep_ID]],Dim_Reps!A:A,Dim_Reps!E:E)</f>
        <v>LATAM</v>
      </c>
      <c r="S6818" t="str">
        <f>_xlfn.XLOOKUP(Pipeline_tbl[[#This Row],[Created_Date]],Dim_Date!A:A,Dim_Date!H:H)</f>
        <v>Apr 2024</v>
      </c>
      <c r="T6818" t="str">
        <f>IF(Pipeline_tbl[[#This Row],[Closed_Date]]=0,"",(_xlfn.XLOOKUP(Pipeline_tbl[[#This Row],[Closed_Date]],Dim_Date!A:A,Dim_Date!H:H)))</f>
        <v>May 2024</v>
      </c>
      <c r="U6818">
        <f>IF(Pipeline_tbl[[#This Row],[Closed_Date]]=0,"",Pipeline_tbl[[#This Row],[Closed_Date]]-Pipeline_tbl[[#This Row],[Created_Date]])</f>
        <v>23</v>
      </c>
    </row>
    <row r="6819" spans="1:21" ht="15" customHeight="1" x14ac:dyDescent="0.2">
      <c r="A6819" t="s">
        <v>7125</v>
      </c>
      <c r="B6819" t="s">
        <v>233</v>
      </c>
      <c r="C6819" t="s">
        <v>53</v>
      </c>
      <c r="D6819" s="49">
        <v>45406</v>
      </c>
      <c r="E6819" s="49">
        <v>45408</v>
      </c>
      <c r="F6819" s="49">
        <v>45411</v>
      </c>
      <c r="G6819" s="49">
        <v>45416</v>
      </c>
      <c r="H6819" s="49">
        <v>45420</v>
      </c>
      <c r="I6819" s="49">
        <v>45422</v>
      </c>
      <c r="J6819" t="s">
        <v>49</v>
      </c>
      <c r="K6819" s="33">
        <v>2300</v>
      </c>
      <c r="L6819" t="s">
        <v>60</v>
      </c>
      <c r="M6819" t="str">
        <f>_xlfn.XLOOKUP(Pipeline_tbl[[#This Row],[Rep_ID]],Dim_Reps!A:A,Dim_Reps!K:K)</f>
        <v>MXN</v>
      </c>
      <c r="N6819" s="33">
        <f>(_xlfn.XLOOKUP(Pipeline_tbl[[#This Row],[Rate_Code_Generalized]],Lookups!A:A,Lookups!B:B))*Pipeline_tbl[[#This Row],[Pipeline_Amount_USD]]</f>
        <v>45385.210000000006</v>
      </c>
      <c r="O6819" t="str">
        <f>_xlfn.XLOOKUP(Pipeline_tbl[[#This Row],[Rep_ID]],Dim_Reps!A:A,Dim_Reps!B:B)</f>
        <v>Lucas Duarte</v>
      </c>
      <c r="P6819" t="str">
        <f>_xlfn.XLOOKUP(Pipeline_tbl[[#This Row],[Rep_ID]],Dim_Reps!A:A,Dim_Reps!C:C)</f>
        <v>SDR / Inside Sales Rep</v>
      </c>
      <c r="Q6819" t="str">
        <f>_xlfn.XLOOKUP(Pipeline_tbl[[#This Row],[Rep_ID]],Dim_Reps!A:A,Dim_Reps!D:D)</f>
        <v>Inside Sales</v>
      </c>
      <c r="R6819" t="str">
        <f>_xlfn.XLOOKUP(Pipeline_tbl[[#This Row],[Rep_ID]],Dim_Reps!A:A,Dim_Reps!E:E)</f>
        <v>LATAM</v>
      </c>
      <c r="S6819" t="str">
        <f>_xlfn.XLOOKUP(Pipeline_tbl[[#This Row],[Created_Date]],Dim_Date!A:A,Dim_Date!H:H)</f>
        <v>Apr 2024</v>
      </c>
      <c r="T6819" t="str">
        <f>IF(Pipeline_tbl[[#This Row],[Closed_Date]]=0,"",(_xlfn.XLOOKUP(Pipeline_tbl[[#This Row],[Closed_Date]],Dim_Date!A:A,Dim_Date!H:H)))</f>
        <v>May 2024</v>
      </c>
      <c r="U6819">
        <f>IF(Pipeline_tbl[[#This Row],[Closed_Date]]=0,"",Pipeline_tbl[[#This Row],[Closed_Date]]-Pipeline_tbl[[#This Row],[Created_Date]])</f>
        <v>16</v>
      </c>
    </row>
    <row r="6820" spans="1:21" ht="15" customHeight="1" x14ac:dyDescent="0.2">
      <c r="A6820" t="s">
        <v>7126</v>
      </c>
      <c r="B6820" t="s">
        <v>233</v>
      </c>
      <c r="C6820" t="s">
        <v>53</v>
      </c>
      <c r="D6820" s="49">
        <v>45397</v>
      </c>
      <c r="E6820" s="49">
        <v>45399</v>
      </c>
      <c r="F6820" s="49">
        <v>45402</v>
      </c>
      <c r="G6820" s="49">
        <v>45407</v>
      </c>
      <c r="H6820" s="49">
        <v>45411</v>
      </c>
      <c r="I6820" s="49">
        <v>45414</v>
      </c>
      <c r="J6820" t="s">
        <v>47</v>
      </c>
      <c r="K6820" s="33">
        <v>5200</v>
      </c>
      <c r="M6820" t="str">
        <f>_xlfn.XLOOKUP(Pipeline_tbl[[#This Row],[Rep_ID]],Dim_Reps!A:A,Dim_Reps!K:K)</f>
        <v>MXN</v>
      </c>
      <c r="N6820" s="33">
        <f>(_xlfn.XLOOKUP(Pipeline_tbl[[#This Row],[Rate_Code_Generalized]],Lookups!A:A,Lookups!B:B))*Pipeline_tbl[[#This Row],[Pipeline_Amount_USD]]</f>
        <v>102610.04000000001</v>
      </c>
      <c r="O6820" t="str">
        <f>_xlfn.XLOOKUP(Pipeline_tbl[[#This Row],[Rep_ID]],Dim_Reps!A:A,Dim_Reps!B:B)</f>
        <v>Lucas Duarte</v>
      </c>
      <c r="P6820" t="str">
        <f>_xlfn.XLOOKUP(Pipeline_tbl[[#This Row],[Rep_ID]],Dim_Reps!A:A,Dim_Reps!C:C)</f>
        <v>SDR / Inside Sales Rep</v>
      </c>
      <c r="Q6820" t="str">
        <f>_xlfn.XLOOKUP(Pipeline_tbl[[#This Row],[Rep_ID]],Dim_Reps!A:A,Dim_Reps!D:D)</f>
        <v>Inside Sales</v>
      </c>
      <c r="R6820" t="str">
        <f>_xlfn.XLOOKUP(Pipeline_tbl[[#This Row],[Rep_ID]],Dim_Reps!A:A,Dim_Reps!E:E)</f>
        <v>LATAM</v>
      </c>
      <c r="S6820" t="str">
        <f>_xlfn.XLOOKUP(Pipeline_tbl[[#This Row],[Created_Date]],Dim_Date!A:A,Dim_Date!H:H)</f>
        <v>Apr 2024</v>
      </c>
      <c r="T6820" t="str">
        <f>IF(Pipeline_tbl[[#This Row],[Closed_Date]]=0,"",(_xlfn.XLOOKUP(Pipeline_tbl[[#This Row],[Closed_Date]],Dim_Date!A:A,Dim_Date!H:H)))</f>
        <v>May 2024</v>
      </c>
      <c r="U6820">
        <f>IF(Pipeline_tbl[[#This Row],[Closed_Date]]=0,"",Pipeline_tbl[[#This Row],[Closed_Date]]-Pipeline_tbl[[#This Row],[Created_Date]])</f>
        <v>17</v>
      </c>
    </row>
    <row r="6821" spans="1:21" ht="15" customHeight="1" x14ac:dyDescent="0.2">
      <c r="A6821" t="s">
        <v>7127</v>
      </c>
      <c r="B6821" t="s">
        <v>233</v>
      </c>
      <c r="C6821" t="s">
        <v>52</v>
      </c>
      <c r="D6821" s="49">
        <v>45406</v>
      </c>
      <c r="E6821" s="49">
        <v>45409</v>
      </c>
      <c r="F6821" s="49">
        <v>45414</v>
      </c>
      <c r="G6821" s="49">
        <v>45422</v>
      </c>
      <c r="H6821" s="49">
        <v>45428</v>
      </c>
      <c r="I6821" s="49">
        <v>45432</v>
      </c>
      <c r="J6821" t="s">
        <v>49</v>
      </c>
      <c r="K6821" s="33">
        <v>2100</v>
      </c>
      <c r="L6821" t="s">
        <v>64</v>
      </c>
      <c r="M6821" t="str">
        <f>_xlfn.XLOOKUP(Pipeline_tbl[[#This Row],[Rep_ID]],Dim_Reps!A:A,Dim_Reps!K:K)</f>
        <v>MXN</v>
      </c>
      <c r="N6821" s="33">
        <f>(_xlfn.XLOOKUP(Pipeline_tbl[[#This Row],[Rate_Code_Generalized]],Lookups!A:A,Lookups!B:B))*Pipeline_tbl[[#This Row],[Pipeline_Amount_USD]]</f>
        <v>41438.670000000006</v>
      </c>
      <c r="O6821" t="str">
        <f>_xlfn.XLOOKUP(Pipeline_tbl[[#This Row],[Rep_ID]],Dim_Reps!A:A,Dim_Reps!B:B)</f>
        <v>Lucas Duarte</v>
      </c>
      <c r="P6821" t="str">
        <f>_xlfn.XLOOKUP(Pipeline_tbl[[#This Row],[Rep_ID]],Dim_Reps!A:A,Dim_Reps!C:C)</f>
        <v>SDR / Inside Sales Rep</v>
      </c>
      <c r="Q6821" t="str">
        <f>_xlfn.XLOOKUP(Pipeline_tbl[[#This Row],[Rep_ID]],Dim_Reps!A:A,Dim_Reps!D:D)</f>
        <v>Inside Sales</v>
      </c>
      <c r="R6821" t="str">
        <f>_xlfn.XLOOKUP(Pipeline_tbl[[#This Row],[Rep_ID]],Dim_Reps!A:A,Dim_Reps!E:E)</f>
        <v>LATAM</v>
      </c>
      <c r="S6821" t="str">
        <f>_xlfn.XLOOKUP(Pipeline_tbl[[#This Row],[Created_Date]],Dim_Date!A:A,Dim_Date!H:H)</f>
        <v>Apr 2024</v>
      </c>
      <c r="T6821" t="str">
        <f>IF(Pipeline_tbl[[#This Row],[Closed_Date]]=0,"",(_xlfn.XLOOKUP(Pipeline_tbl[[#This Row],[Closed_Date]],Dim_Date!A:A,Dim_Date!H:H)))</f>
        <v>May 2024</v>
      </c>
      <c r="U6821">
        <f>IF(Pipeline_tbl[[#This Row],[Closed_Date]]=0,"",Pipeline_tbl[[#This Row],[Closed_Date]]-Pipeline_tbl[[#This Row],[Created_Date]])</f>
        <v>26</v>
      </c>
    </row>
    <row r="6822" spans="1:21" ht="15" customHeight="1" x14ac:dyDescent="0.2">
      <c r="A6822" t="s">
        <v>7128</v>
      </c>
      <c r="B6822" t="s">
        <v>233</v>
      </c>
      <c r="C6822" t="s">
        <v>52</v>
      </c>
      <c r="D6822" s="49">
        <v>45396</v>
      </c>
      <c r="E6822" s="49">
        <v>45398</v>
      </c>
      <c r="F6822" s="49">
        <v>45401</v>
      </c>
      <c r="G6822" s="49">
        <v>45407</v>
      </c>
      <c r="H6822" s="49">
        <v>45411</v>
      </c>
      <c r="I6822" s="49">
        <v>45414</v>
      </c>
      <c r="J6822" t="s">
        <v>47</v>
      </c>
      <c r="K6822" s="33">
        <v>5300</v>
      </c>
      <c r="M6822" t="str">
        <f>_xlfn.XLOOKUP(Pipeline_tbl[[#This Row],[Rep_ID]],Dim_Reps!A:A,Dim_Reps!K:K)</f>
        <v>MXN</v>
      </c>
      <c r="N6822" s="33">
        <f>(_xlfn.XLOOKUP(Pipeline_tbl[[#This Row],[Rate_Code_Generalized]],Lookups!A:A,Lookups!B:B))*Pipeline_tbl[[#This Row],[Pipeline_Amount_USD]]</f>
        <v>104583.31000000001</v>
      </c>
      <c r="O6822" t="str">
        <f>_xlfn.XLOOKUP(Pipeline_tbl[[#This Row],[Rep_ID]],Dim_Reps!A:A,Dim_Reps!B:B)</f>
        <v>Lucas Duarte</v>
      </c>
      <c r="P6822" t="str">
        <f>_xlfn.XLOOKUP(Pipeline_tbl[[#This Row],[Rep_ID]],Dim_Reps!A:A,Dim_Reps!C:C)</f>
        <v>SDR / Inside Sales Rep</v>
      </c>
      <c r="Q6822" t="str">
        <f>_xlfn.XLOOKUP(Pipeline_tbl[[#This Row],[Rep_ID]],Dim_Reps!A:A,Dim_Reps!D:D)</f>
        <v>Inside Sales</v>
      </c>
      <c r="R6822" t="str">
        <f>_xlfn.XLOOKUP(Pipeline_tbl[[#This Row],[Rep_ID]],Dim_Reps!A:A,Dim_Reps!E:E)</f>
        <v>LATAM</v>
      </c>
      <c r="S6822" t="str">
        <f>_xlfn.XLOOKUP(Pipeline_tbl[[#This Row],[Created_Date]],Dim_Date!A:A,Dim_Date!H:H)</f>
        <v>Apr 2024</v>
      </c>
      <c r="T6822" t="str">
        <f>IF(Pipeline_tbl[[#This Row],[Closed_Date]]=0,"",(_xlfn.XLOOKUP(Pipeline_tbl[[#This Row],[Closed_Date]],Dim_Date!A:A,Dim_Date!H:H)))</f>
        <v>May 2024</v>
      </c>
      <c r="U6822">
        <f>IF(Pipeline_tbl[[#This Row],[Closed_Date]]=0,"",Pipeline_tbl[[#This Row],[Closed_Date]]-Pipeline_tbl[[#This Row],[Created_Date]])</f>
        <v>18</v>
      </c>
    </row>
    <row r="6823" spans="1:21" ht="15" customHeight="1" x14ac:dyDescent="0.2">
      <c r="A6823" t="s">
        <v>7129</v>
      </c>
      <c r="B6823" t="s">
        <v>233</v>
      </c>
      <c r="C6823" t="s">
        <v>55</v>
      </c>
      <c r="D6823" s="49">
        <v>45411</v>
      </c>
      <c r="E6823" s="49">
        <v>45413</v>
      </c>
      <c r="F6823" s="49">
        <v>45416</v>
      </c>
      <c r="G6823" s="49">
        <v>45421</v>
      </c>
      <c r="H6823" s="49">
        <v>45425</v>
      </c>
      <c r="I6823" s="49">
        <v>45428</v>
      </c>
      <c r="J6823" t="s">
        <v>47</v>
      </c>
      <c r="K6823" s="33">
        <v>5700</v>
      </c>
      <c r="M6823" t="str">
        <f>_xlfn.XLOOKUP(Pipeline_tbl[[#This Row],[Rep_ID]],Dim_Reps!A:A,Dim_Reps!K:K)</f>
        <v>MXN</v>
      </c>
      <c r="N6823" s="33">
        <f>(_xlfn.XLOOKUP(Pipeline_tbl[[#This Row],[Rate_Code_Generalized]],Lookups!A:A,Lookups!B:B))*Pipeline_tbl[[#This Row],[Pipeline_Amount_USD]]</f>
        <v>112476.39000000001</v>
      </c>
      <c r="O6823" t="str">
        <f>_xlfn.XLOOKUP(Pipeline_tbl[[#This Row],[Rep_ID]],Dim_Reps!A:A,Dim_Reps!B:B)</f>
        <v>Lucas Duarte</v>
      </c>
      <c r="P6823" t="str">
        <f>_xlfn.XLOOKUP(Pipeline_tbl[[#This Row],[Rep_ID]],Dim_Reps!A:A,Dim_Reps!C:C)</f>
        <v>SDR / Inside Sales Rep</v>
      </c>
      <c r="Q6823" t="str">
        <f>_xlfn.XLOOKUP(Pipeline_tbl[[#This Row],[Rep_ID]],Dim_Reps!A:A,Dim_Reps!D:D)</f>
        <v>Inside Sales</v>
      </c>
      <c r="R6823" t="str">
        <f>_xlfn.XLOOKUP(Pipeline_tbl[[#This Row],[Rep_ID]],Dim_Reps!A:A,Dim_Reps!E:E)</f>
        <v>LATAM</v>
      </c>
      <c r="S6823" t="str">
        <f>_xlfn.XLOOKUP(Pipeline_tbl[[#This Row],[Created_Date]],Dim_Date!A:A,Dim_Date!H:H)</f>
        <v>Apr 2024</v>
      </c>
      <c r="T6823" t="str">
        <f>IF(Pipeline_tbl[[#This Row],[Closed_Date]]=0,"",(_xlfn.XLOOKUP(Pipeline_tbl[[#This Row],[Closed_Date]],Dim_Date!A:A,Dim_Date!H:H)))</f>
        <v>May 2024</v>
      </c>
      <c r="U6823">
        <f>IF(Pipeline_tbl[[#This Row],[Closed_Date]]=0,"",Pipeline_tbl[[#This Row],[Closed_Date]]-Pipeline_tbl[[#This Row],[Created_Date]])</f>
        <v>17</v>
      </c>
    </row>
    <row r="6824" spans="1:21" ht="15" customHeight="1" x14ac:dyDescent="0.2">
      <c r="A6824" t="s">
        <v>7130</v>
      </c>
      <c r="B6824" t="s">
        <v>233</v>
      </c>
      <c r="C6824" t="s">
        <v>52</v>
      </c>
      <c r="D6824" s="49">
        <v>45398</v>
      </c>
      <c r="E6824" s="49">
        <v>45400</v>
      </c>
      <c r="F6824" s="49">
        <v>45404</v>
      </c>
      <c r="G6824" s="49">
        <v>45409</v>
      </c>
      <c r="I6824" s="49">
        <v>45417</v>
      </c>
      <c r="J6824" t="s">
        <v>49</v>
      </c>
      <c r="K6824" s="33">
        <v>5100</v>
      </c>
      <c r="L6824" t="s">
        <v>62</v>
      </c>
      <c r="M6824" t="str">
        <f>_xlfn.XLOOKUP(Pipeline_tbl[[#This Row],[Rep_ID]],Dim_Reps!A:A,Dim_Reps!K:K)</f>
        <v>MXN</v>
      </c>
      <c r="N6824" s="33">
        <f>(_xlfn.XLOOKUP(Pipeline_tbl[[#This Row],[Rate_Code_Generalized]],Lookups!A:A,Lookups!B:B))*Pipeline_tbl[[#This Row],[Pipeline_Amount_USD]]</f>
        <v>100636.77</v>
      </c>
      <c r="O6824" t="str">
        <f>_xlfn.XLOOKUP(Pipeline_tbl[[#This Row],[Rep_ID]],Dim_Reps!A:A,Dim_Reps!B:B)</f>
        <v>Lucas Duarte</v>
      </c>
      <c r="P6824" t="str">
        <f>_xlfn.XLOOKUP(Pipeline_tbl[[#This Row],[Rep_ID]],Dim_Reps!A:A,Dim_Reps!C:C)</f>
        <v>SDR / Inside Sales Rep</v>
      </c>
      <c r="Q6824" t="str">
        <f>_xlfn.XLOOKUP(Pipeline_tbl[[#This Row],[Rep_ID]],Dim_Reps!A:A,Dim_Reps!D:D)</f>
        <v>Inside Sales</v>
      </c>
      <c r="R6824" t="str">
        <f>_xlfn.XLOOKUP(Pipeline_tbl[[#This Row],[Rep_ID]],Dim_Reps!A:A,Dim_Reps!E:E)</f>
        <v>LATAM</v>
      </c>
      <c r="S6824" t="str">
        <f>_xlfn.XLOOKUP(Pipeline_tbl[[#This Row],[Created_Date]],Dim_Date!A:A,Dim_Date!H:H)</f>
        <v>Apr 2024</v>
      </c>
      <c r="T6824" t="str">
        <f>IF(Pipeline_tbl[[#This Row],[Closed_Date]]=0,"",(_xlfn.XLOOKUP(Pipeline_tbl[[#This Row],[Closed_Date]],Dim_Date!A:A,Dim_Date!H:H)))</f>
        <v>May 2024</v>
      </c>
      <c r="U6824">
        <f>IF(Pipeline_tbl[[#This Row],[Closed_Date]]=0,"",Pipeline_tbl[[#This Row],[Closed_Date]]-Pipeline_tbl[[#This Row],[Created_Date]])</f>
        <v>19</v>
      </c>
    </row>
    <row r="6825" spans="1:21" ht="15" customHeight="1" x14ac:dyDescent="0.2">
      <c r="A6825" t="s">
        <v>7131</v>
      </c>
      <c r="B6825" t="s">
        <v>233</v>
      </c>
      <c r="C6825" t="s">
        <v>55</v>
      </c>
      <c r="D6825" s="49">
        <v>45411</v>
      </c>
      <c r="E6825" s="49">
        <v>45413</v>
      </c>
      <c r="F6825" s="49">
        <v>45417</v>
      </c>
      <c r="G6825" s="49">
        <v>45422</v>
      </c>
      <c r="H6825" s="49">
        <v>45427</v>
      </c>
      <c r="I6825" s="49">
        <v>45430</v>
      </c>
      <c r="J6825" t="s">
        <v>47</v>
      </c>
      <c r="K6825" s="33">
        <v>2200</v>
      </c>
      <c r="M6825" t="str">
        <f>_xlfn.XLOOKUP(Pipeline_tbl[[#This Row],[Rep_ID]],Dim_Reps!A:A,Dim_Reps!K:K)</f>
        <v>MXN</v>
      </c>
      <c r="N6825" s="33">
        <f>(_xlfn.XLOOKUP(Pipeline_tbl[[#This Row],[Rate_Code_Generalized]],Lookups!A:A,Lookups!B:B))*Pipeline_tbl[[#This Row],[Pipeline_Amount_USD]]</f>
        <v>43411.94</v>
      </c>
      <c r="O6825" t="str">
        <f>_xlfn.XLOOKUP(Pipeline_tbl[[#This Row],[Rep_ID]],Dim_Reps!A:A,Dim_Reps!B:B)</f>
        <v>Lucas Duarte</v>
      </c>
      <c r="P6825" t="str">
        <f>_xlfn.XLOOKUP(Pipeline_tbl[[#This Row],[Rep_ID]],Dim_Reps!A:A,Dim_Reps!C:C)</f>
        <v>SDR / Inside Sales Rep</v>
      </c>
      <c r="Q6825" t="str">
        <f>_xlfn.XLOOKUP(Pipeline_tbl[[#This Row],[Rep_ID]],Dim_Reps!A:A,Dim_Reps!D:D)</f>
        <v>Inside Sales</v>
      </c>
      <c r="R6825" t="str">
        <f>_xlfn.XLOOKUP(Pipeline_tbl[[#This Row],[Rep_ID]],Dim_Reps!A:A,Dim_Reps!E:E)</f>
        <v>LATAM</v>
      </c>
      <c r="S6825" t="str">
        <f>_xlfn.XLOOKUP(Pipeline_tbl[[#This Row],[Created_Date]],Dim_Date!A:A,Dim_Date!H:H)</f>
        <v>Apr 2024</v>
      </c>
      <c r="T6825" t="str">
        <f>IF(Pipeline_tbl[[#This Row],[Closed_Date]]=0,"",(_xlfn.XLOOKUP(Pipeline_tbl[[#This Row],[Closed_Date]],Dim_Date!A:A,Dim_Date!H:H)))</f>
        <v>May 2024</v>
      </c>
      <c r="U6825">
        <f>IF(Pipeline_tbl[[#This Row],[Closed_Date]]=0,"",Pipeline_tbl[[#This Row],[Closed_Date]]-Pipeline_tbl[[#This Row],[Created_Date]])</f>
        <v>19</v>
      </c>
    </row>
    <row r="6826" spans="1:21" ht="15" customHeight="1" x14ac:dyDescent="0.2">
      <c r="A6826" t="s">
        <v>7132</v>
      </c>
      <c r="B6826" t="s">
        <v>233</v>
      </c>
      <c r="C6826" t="s">
        <v>53</v>
      </c>
      <c r="D6826" s="49">
        <v>45395</v>
      </c>
      <c r="E6826" s="49">
        <v>45397</v>
      </c>
      <c r="F6826" s="49">
        <v>45401</v>
      </c>
      <c r="I6826" s="49">
        <v>45415</v>
      </c>
      <c r="J6826" t="s">
        <v>49</v>
      </c>
      <c r="K6826" s="33">
        <v>3800</v>
      </c>
      <c r="L6826" t="s">
        <v>62</v>
      </c>
      <c r="M6826" t="str">
        <f>_xlfn.XLOOKUP(Pipeline_tbl[[#This Row],[Rep_ID]],Dim_Reps!A:A,Dim_Reps!K:K)</f>
        <v>MXN</v>
      </c>
      <c r="N6826" s="33">
        <f>(_xlfn.XLOOKUP(Pipeline_tbl[[#This Row],[Rate_Code_Generalized]],Lookups!A:A,Lookups!B:B))*Pipeline_tbl[[#This Row],[Pipeline_Amount_USD]]</f>
        <v>74984.260000000009</v>
      </c>
      <c r="O6826" t="str">
        <f>_xlfn.XLOOKUP(Pipeline_tbl[[#This Row],[Rep_ID]],Dim_Reps!A:A,Dim_Reps!B:B)</f>
        <v>Lucas Duarte</v>
      </c>
      <c r="P6826" t="str">
        <f>_xlfn.XLOOKUP(Pipeline_tbl[[#This Row],[Rep_ID]],Dim_Reps!A:A,Dim_Reps!C:C)</f>
        <v>SDR / Inside Sales Rep</v>
      </c>
      <c r="Q6826" t="str">
        <f>_xlfn.XLOOKUP(Pipeline_tbl[[#This Row],[Rep_ID]],Dim_Reps!A:A,Dim_Reps!D:D)</f>
        <v>Inside Sales</v>
      </c>
      <c r="R6826" t="str">
        <f>_xlfn.XLOOKUP(Pipeline_tbl[[#This Row],[Rep_ID]],Dim_Reps!A:A,Dim_Reps!E:E)</f>
        <v>LATAM</v>
      </c>
      <c r="S6826" t="str">
        <f>_xlfn.XLOOKUP(Pipeline_tbl[[#This Row],[Created_Date]],Dim_Date!A:A,Dim_Date!H:H)</f>
        <v>Apr 2024</v>
      </c>
      <c r="T6826" t="str">
        <f>IF(Pipeline_tbl[[#This Row],[Closed_Date]]=0,"",(_xlfn.XLOOKUP(Pipeline_tbl[[#This Row],[Closed_Date]],Dim_Date!A:A,Dim_Date!H:H)))</f>
        <v>May 2024</v>
      </c>
      <c r="U6826">
        <f>IF(Pipeline_tbl[[#This Row],[Closed_Date]]=0,"",Pipeline_tbl[[#This Row],[Closed_Date]]-Pipeline_tbl[[#This Row],[Created_Date]])</f>
        <v>20</v>
      </c>
    </row>
    <row r="6827" spans="1:21" ht="15" customHeight="1" x14ac:dyDescent="0.2">
      <c r="A6827" t="s">
        <v>7133</v>
      </c>
      <c r="B6827" t="s">
        <v>267</v>
      </c>
      <c r="C6827" t="s">
        <v>52</v>
      </c>
      <c r="D6827" s="49">
        <v>45411</v>
      </c>
      <c r="E6827" s="49">
        <v>45414</v>
      </c>
      <c r="F6827" s="49">
        <v>45421</v>
      </c>
      <c r="G6827" s="49">
        <v>45430</v>
      </c>
      <c r="H6827" s="49">
        <v>45438</v>
      </c>
      <c r="I6827" s="49">
        <v>45443</v>
      </c>
      <c r="J6827" t="s">
        <v>47</v>
      </c>
      <c r="K6827" s="33">
        <v>11800</v>
      </c>
      <c r="M6827" t="str">
        <f>_xlfn.XLOOKUP(Pipeline_tbl[[#This Row],[Rep_ID]],Dim_Reps!A:A,Dim_Reps!K:K)</f>
        <v>MXN</v>
      </c>
      <c r="N6827" s="33">
        <f>(_xlfn.XLOOKUP(Pipeline_tbl[[#This Row],[Rate_Code_Generalized]],Lookups!A:A,Lookups!B:B))*Pipeline_tbl[[#This Row],[Pipeline_Amount_USD]]</f>
        <v>232845.86000000002</v>
      </c>
      <c r="O6827" t="str">
        <f>_xlfn.XLOOKUP(Pipeline_tbl[[#This Row],[Rep_ID]],Dim_Reps!A:A,Dim_Reps!B:B)</f>
        <v>Yuki Dubois</v>
      </c>
      <c r="P6827" t="str">
        <f>_xlfn.XLOOKUP(Pipeline_tbl[[#This Row],[Rep_ID]],Dim_Reps!A:A,Dim_Reps!C:C)</f>
        <v>Mid-Market AE</v>
      </c>
      <c r="Q6827" t="str">
        <f>_xlfn.XLOOKUP(Pipeline_tbl[[#This Row],[Rep_ID]],Dim_Reps!A:A,Dim_Reps!D:D)</f>
        <v>Mid-Market</v>
      </c>
      <c r="R6827" t="str">
        <f>_xlfn.XLOOKUP(Pipeline_tbl[[#This Row],[Rep_ID]],Dim_Reps!A:A,Dim_Reps!E:E)</f>
        <v>LATAM</v>
      </c>
      <c r="S6827" t="str">
        <f>_xlfn.XLOOKUP(Pipeline_tbl[[#This Row],[Created_Date]],Dim_Date!A:A,Dim_Date!H:H)</f>
        <v>Apr 2024</v>
      </c>
      <c r="T6827" t="str">
        <f>IF(Pipeline_tbl[[#This Row],[Closed_Date]]=0,"",(_xlfn.XLOOKUP(Pipeline_tbl[[#This Row],[Closed_Date]],Dim_Date!A:A,Dim_Date!H:H)))</f>
        <v>May 2024</v>
      </c>
      <c r="U6827">
        <f>IF(Pipeline_tbl[[#This Row],[Closed_Date]]=0,"",Pipeline_tbl[[#This Row],[Closed_Date]]-Pipeline_tbl[[#This Row],[Created_Date]])</f>
        <v>32</v>
      </c>
    </row>
    <row r="6828" spans="1:21" ht="15" customHeight="1" x14ac:dyDescent="0.2">
      <c r="A6828" t="s">
        <v>7134</v>
      </c>
      <c r="B6828" t="s">
        <v>267</v>
      </c>
      <c r="C6828" t="s">
        <v>52</v>
      </c>
      <c r="D6828" s="49">
        <v>45384</v>
      </c>
      <c r="E6828" s="49">
        <v>45387</v>
      </c>
      <c r="F6828" s="49">
        <v>45393</v>
      </c>
      <c r="G6828" s="49">
        <v>45403</v>
      </c>
      <c r="H6828" s="49">
        <v>45410</v>
      </c>
      <c r="I6828" s="49">
        <v>45415</v>
      </c>
      <c r="J6828" t="s">
        <v>47</v>
      </c>
      <c r="K6828" s="33">
        <v>10800</v>
      </c>
      <c r="M6828" t="str">
        <f>_xlfn.XLOOKUP(Pipeline_tbl[[#This Row],[Rep_ID]],Dim_Reps!A:A,Dim_Reps!K:K)</f>
        <v>MXN</v>
      </c>
      <c r="N6828" s="33">
        <f>(_xlfn.XLOOKUP(Pipeline_tbl[[#This Row],[Rate_Code_Generalized]],Lookups!A:A,Lookups!B:B))*Pipeline_tbl[[#This Row],[Pipeline_Amount_USD]]</f>
        <v>213113.16</v>
      </c>
      <c r="O6828" t="str">
        <f>_xlfn.XLOOKUP(Pipeline_tbl[[#This Row],[Rep_ID]],Dim_Reps!A:A,Dim_Reps!B:B)</f>
        <v>Yuki Dubois</v>
      </c>
      <c r="P6828" t="str">
        <f>_xlfn.XLOOKUP(Pipeline_tbl[[#This Row],[Rep_ID]],Dim_Reps!A:A,Dim_Reps!C:C)</f>
        <v>Mid-Market AE</v>
      </c>
      <c r="Q6828" t="str">
        <f>_xlfn.XLOOKUP(Pipeline_tbl[[#This Row],[Rep_ID]],Dim_Reps!A:A,Dim_Reps!D:D)</f>
        <v>Mid-Market</v>
      </c>
      <c r="R6828" t="str">
        <f>_xlfn.XLOOKUP(Pipeline_tbl[[#This Row],[Rep_ID]],Dim_Reps!A:A,Dim_Reps!E:E)</f>
        <v>LATAM</v>
      </c>
      <c r="S6828" t="str">
        <f>_xlfn.XLOOKUP(Pipeline_tbl[[#This Row],[Created_Date]],Dim_Date!A:A,Dim_Date!H:H)</f>
        <v>Apr 2024</v>
      </c>
      <c r="T6828" t="str">
        <f>IF(Pipeline_tbl[[#This Row],[Closed_Date]]=0,"",(_xlfn.XLOOKUP(Pipeline_tbl[[#This Row],[Closed_Date]],Dim_Date!A:A,Dim_Date!H:H)))</f>
        <v>May 2024</v>
      </c>
      <c r="U6828">
        <f>IF(Pipeline_tbl[[#This Row],[Closed_Date]]=0,"",Pipeline_tbl[[#This Row],[Closed_Date]]-Pipeline_tbl[[#This Row],[Created_Date]])</f>
        <v>31</v>
      </c>
    </row>
    <row r="6829" spans="1:21" ht="15" customHeight="1" x14ac:dyDescent="0.2">
      <c r="A6829" t="s">
        <v>7135</v>
      </c>
      <c r="B6829" t="s">
        <v>267</v>
      </c>
      <c r="C6829" t="s">
        <v>52</v>
      </c>
      <c r="D6829" s="49">
        <v>45406</v>
      </c>
      <c r="E6829" s="49">
        <v>45409</v>
      </c>
      <c r="F6829" s="49">
        <v>45414</v>
      </c>
      <c r="I6829" s="49">
        <v>45432</v>
      </c>
      <c r="J6829" t="s">
        <v>49</v>
      </c>
      <c r="K6829" s="33">
        <v>16300</v>
      </c>
      <c r="L6829" t="s">
        <v>61</v>
      </c>
      <c r="M6829" t="str">
        <f>_xlfn.XLOOKUP(Pipeline_tbl[[#This Row],[Rep_ID]],Dim_Reps!A:A,Dim_Reps!K:K)</f>
        <v>MXN</v>
      </c>
      <c r="N6829" s="33">
        <f>(_xlfn.XLOOKUP(Pipeline_tbl[[#This Row],[Rate_Code_Generalized]],Lookups!A:A,Lookups!B:B))*Pipeline_tbl[[#This Row],[Pipeline_Amount_USD]]</f>
        <v>321643.01</v>
      </c>
      <c r="O6829" t="str">
        <f>_xlfn.XLOOKUP(Pipeline_tbl[[#This Row],[Rep_ID]],Dim_Reps!A:A,Dim_Reps!B:B)</f>
        <v>Yuki Dubois</v>
      </c>
      <c r="P6829" t="str">
        <f>_xlfn.XLOOKUP(Pipeline_tbl[[#This Row],[Rep_ID]],Dim_Reps!A:A,Dim_Reps!C:C)</f>
        <v>Mid-Market AE</v>
      </c>
      <c r="Q6829" t="str">
        <f>_xlfn.XLOOKUP(Pipeline_tbl[[#This Row],[Rep_ID]],Dim_Reps!A:A,Dim_Reps!D:D)</f>
        <v>Mid-Market</v>
      </c>
      <c r="R6829" t="str">
        <f>_xlfn.XLOOKUP(Pipeline_tbl[[#This Row],[Rep_ID]],Dim_Reps!A:A,Dim_Reps!E:E)</f>
        <v>LATAM</v>
      </c>
      <c r="S6829" t="str">
        <f>_xlfn.XLOOKUP(Pipeline_tbl[[#This Row],[Created_Date]],Dim_Date!A:A,Dim_Date!H:H)</f>
        <v>Apr 2024</v>
      </c>
      <c r="T6829" t="str">
        <f>IF(Pipeline_tbl[[#This Row],[Closed_Date]]=0,"",(_xlfn.XLOOKUP(Pipeline_tbl[[#This Row],[Closed_Date]],Dim_Date!A:A,Dim_Date!H:H)))</f>
        <v>May 2024</v>
      </c>
      <c r="U6829">
        <f>IF(Pipeline_tbl[[#This Row],[Closed_Date]]=0,"",Pipeline_tbl[[#This Row],[Closed_Date]]-Pipeline_tbl[[#This Row],[Created_Date]])</f>
        <v>26</v>
      </c>
    </row>
    <row r="6830" spans="1:21" ht="15" customHeight="1" x14ac:dyDescent="0.2">
      <c r="A6830" t="s">
        <v>7136</v>
      </c>
      <c r="B6830" t="s">
        <v>267</v>
      </c>
      <c r="C6830" t="s">
        <v>55</v>
      </c>
      <c r="D6830" s="49">
        <v>45398</v>
      </c>
      <c r="E6830" s="49">
        <v>45402</v>
      </c>
      <c r="F6830" s="49">
        <v>45411</v>
      </c>
      <c r="G6830" s="49">
        <v>45424</v>
      </c>
      <c r="I6830" s="49">
        <v>45442</v>
      </c>
      <c r="J6830" t="s">
        <v>49</v>
      </c>
      <c r="K6830" s="33">
        <v>6200</v>
      </c>
      <c r="L6830" t="s">
        <v>61</v>
      </c>
      <c r="M6830" t="str">
        <f>_xlfn.XLOOKUP(Pipeline_tbl[[#This Row],[Rep_ID]],Dim_Reps!A:A,Dim_Reps!K:K)</f>
        <v>MXN</v>
      </c>
      <c r="N6830" s="33">
        <f>(_xlfn.XLOOKUP(Pipeline_tbl[[#This Row],[Rate_Code_Generalized]],Lookups!A:A,Lookups!B:B))*Pipeline_tbl[[#This Row],[Pipeline_Amount_USD]]</f>
        <v>122342.74</v>
      </c>
      <c r="O6830" t="str">
        <f>_xlfn.XLOOKUP(Pipeline_tbl[[#This Row],[Rep_ID]],Dim_Reps!A:A,Dim_Reps!B:B)</f>
        <v>Yuki Dubois</v>
      </c>
      <c r="P6830" t="str">
        <f>_xlfn.XLOOKUP(Pipeline_tbl[[#This Row],[Rep_ID]],Dim_Reps!A:A,Dim_Reps!C:C)</f>
        <v>Mid-Market AE</v>
      </c>
      <c r="Q6830" t="str">
        <f>_xlfn.XLOOKUP(Pipeline_tbl[[#This Row],[Rep_ID]],Dim_Reps!A:A,Dim_Reps!D:D)</f>
        <v>Mid-Market</v>
      </c>
      <c r="R6830" t="str">
        <f>_xlfn.XLOOKUP(Pipeline_tbl[[#This Row],[Rep_ID]],Dim_Reps!A:A,Dim_Reps!E:E)</f>
        <v>LATAM</v>
      </c>
      <c r="S6830" t="str">
        <f>_xlfn.XLOOKUP(Pipeline_tbl[[#This Row],[Created_Date]],Dim_Date!A:A,Dim_Date!H:H)</f>
        <v>Apr 2024</v>
      </c>
      <c r="T6830" t="str">
        <f>IF(Pipeline_tbl[[#This Row],[Closed_Date]]=0,"",(_xlfn.XLOOKUP(Pipeline_tbl[[#This Row],[Closed_Date]],Dim_Date!A:A,Dim_Date!H:H)))</f>
        <v>May 2024</v>
      </c>
      <c r="U6830">
        <f>IF(Pipeline_tbl[[#This Row],[Closed_Date]]=0,"",Pipeline_tbl[[#This Row],[Closed_Date]]-Pipeline_tbl[[#This Row],[Created_Date]])</f>
        <v>44</v>
      </c>
    </row>
    <row r="6831" spans="1:21" ht="15" customHeight="1" x14ac:dyDescent="0.2">
      <c r="A6831" t="s">
        <v>7137</v>
      </c>
      <c r="B6831" t="s">
        <v>235</v>
      </c>
      <c r="C6831" t="s">
        <v>53</v>
      </c>
      <c r="D6831" s="49">
        <v>45391</v>
      </c>
      <c r="E6831" s="49">
        <v>45393</v>
      </c>
      <c r="F6831" s="49">
        <v>45398</v>
      </c>
      <c r="G6831" s="49">
        <v>45405</v>
      </c>
      <c r="H6831" s="49">
        <v>45411</v>
      </c>
      <c r="I6831" s="49">
        <v>45414</v>
      </c>
      <c r="J6831" t="s">
        <v>49</v>
      </c>
      <c r="K6831" s="33">
        <v>2700</v>
      </c>
      <c r="L6831" t="s">
        <v>60</v>
      </c>
      <c r="M6831" t="str">
        <f>_xlfn.XLOOKUP(Pipeline_tbl[[#This Row],[Rep_ID]],Dim_Reps!A:A,Dim_Reps!K:K)</f>
        <v>MXN</v>
      </c>
      <c r="N6831" s="33">
        <f>(_xlfn.XLOOKUP(Pipeline_tbl[[#This Row],[Rate_Code_Generalized]],Lookups!A:A,Lookups!B:B))*Pipeline_tbl[[#This Row],[Pipeline_Amount_USD]]</f>
        <v>53278.29</v>
      </c>
      <c r="O6831" t="str">
        <f>_xlfn.XLOOKUP(Pipeline_tbl[[#This Row],[Rep_ID]],Dim_Reps!A:A,Dim_Reps!B:B)</f>
        <v>Milo Castro</v>
      </c>
      <c r="P6831" t="str">
        <f>_xlfn.XLOOKUP(Pipeline_tbl[[#This Row],[Rep_ID]],Dim_Reps!A:A,Dim_Reps!C:C)</f>
        <v>SDR / Inside Sales Rep</v>
      </c>
      <c r="Q6831" t="str">
        <f>_xlfn.XLOOKUP(Pipeline_tbl[[#This Row],[Rep_ID]],Dim_Reps!A:A,Dim_Reps!D:D)</f>
        <v>Inside Sales</v>
      </c>
      <c r="R6831" t="str">
        <f>_xlfn.XLOOKUP(Pipeline_tbl[[#This Row],[Rep_ID]],Dim_Reps!A:A,Dim_Reps!E:E)</f>
        <v>LATAM</v>
      </c>
      <c r="S6831" t="str">
        <f>_xlfn.XLOOKUP(Pipeline_tbl[[#This Row],[Created_Date]],Dim_Date!A:A,Dim_Date!H:H)</f>
        <v>Apr 2024</v>
      </c>
      <c r="T6831" t="str">
        <f>IF(Pipeline_tbl[[#This Row],[Closed_Date]]=0,"",(_xlfn.XLOOKUP(Pipeline_tbl[[#This Row],[Closed_Date]],Dim_Date!A:A,Dim_Date!H:H)))</f>
        <v>May 2024</v>
      </c>
      <c r="U6831">
        <f>IF(Pipeline_tbl[[#This Row],[Closed_Date]]=0,"",Pipeline_tbl[[#This Row],[Closed_Date]]-Pipeline_tbl[[#This Row],[Created_Date]])</f>
        <v>23</v>
      </c>
    </row>
    <row r="6832" spans="1:21" ht="15" customHeight="1" x14ac:dyDescent="0.2">
      <c r="A6832" t="s">
        <v>7138</v>
      </c>
      <c r="B6832" t="s">
        <v>235</v>
      </c>
      <c r="C6832" t="s">
        <v>54</v>
      </c>
      <c r="D6832" s="49">
        <v>45402</v>
      </c>
      <c r="E6832" s="49">
        <v>45404</v>
      </c>
      <c r="F6832" s="49">
        <v>45407</v>
      </c>
      <c r="I6832" s="49">
        <v>45420</v>
      </c>
      <c r="J6832" t="s">
        <v>49</v>
      </c>
      <c r="K6832" s="33">
        <v>3900</v>
      </c>
      <c r="L6832" t="s">
        <v>63</v>
      </c>
      <c r="M6832" t="str">
        <f>_xlfn.XLOOKUP(Pipeline_tbl[[#This Row],[Rep_ID]],Dim_Reps!A:A,Dim_Reps!K:K)</f>
        <v>MXN</v>
      </c>
      <c r="N6832" s="33">
        <f>(_xlfn.XLOOKUP(Pipeline_tbl[[#This Row],[Rate_Code_Generalized]],Lookups!A:A,Lookups!B:B))*Pipeline_tbl[[#This Row],[Pipeline_Amount_USD]]</f>
        <v>76957.53</v>
      </c>
      <c r="O6832" t="str">
        <f>_xlfn.XLOOKUP(Pipeline_tbl[[#This Row],[Rep_ID]],Dim_Reps!A:A,Dim_Reps!B:B)</f>
        <v>Milo Castro</v>
      </c>
      <c r="P6832" t="str">
        <f>_xlfn.XLOOKUP(Pipeline_tbl[[#This Row],[Rep_ID]],Dim_Reps!A:A,Dim_Reps!C:C)</f>
        <v>SDR / Inside Sales Rep</v>
      </c>
      <c r="Q6832" t="str">
        <f>_xlfn.XLOOKUP(Pipeline_tbl[[#This Row],[Rep_ID]],Dim_Reps!A:A,Dim_Reps!D:D)</f>
        <v>Inside Sales</v>
      </c>
      <c r="R6832" t="str">
        <f>_xlfn.XLOOKUP(Pipeline_tbl[[#This Row],[Rep_ID]],Dim_Reps!A:A,Dim_Reps!E:E)</f>
        <v>LATAM</v>
      </c>
      <c r="S6832" t="str">
        <f>_xlfn.XLOOKUP(Pipeline_tbl[[#This Row],[Created_Date]],Dim_Date!A:A,Dim_Date!H:H)</f>
        <v>Apr 2024</v>
      </c>
      <c r="T6832" t="str">
        <f>IF(Pipeline_tbl[[#This Row],[Closed_Date]]=0,"",(_xlfn.XLOOKUP(Pipeline_tbl[[#This Row],[Closed_Date]],Dim_Date!A:A,Dim_Date!H:H)))</f>
        <v>May 2024</v>
      </c>
      <c r="U6832">
        <f>IF(Pipeline_tbl[[#This Row],[Closed_Date]]=0,"",Pipeline_tbl[[#This Row],[Closed_Date]]-Pipeline_tbl[[#This Row],[Created_Date]])</f>
        <v>18</v>
      </c>
    </row>
    <row r="6833" spans="1:21" ht="15" customHeight="1" x14ac:dyDescent="0.2">
      <c r="A6833" t="s">
        <v>7139</v>
      </c>
      <c r="B6833" t="s">
        <v>235</v>
      </c>
      <c r="C6833" t="s">
        <v>52</v>
      </c>
      <c r="D6833" s="49">
        <v>45408</v>
      </c>
      <c r="E6833" s="49">
        <v>45410</v>
      </c>
      <c r="F6833" s="49">
        <v>45415</v>
      </c>
      <c r="I6833" s="49">
        <v>45430</v>
      </c>
      <c r="J6833" t="s">
        <v>49</v>
      </c>
      <c r="K6833" s="33">
        <v>1400</v>
      </c>
      <c r="L6833" t="s">
        <v>61</v>
      </c>
      <c r="M6833" t="str">
        <f>_xlfn.XLOOKUP(Pipeline_tbl[[#This Row],[Rep_ID]],Dim_Reps!A:A,Dim_Reps!K:K)</f>
        <v>MXN</v>
      </c>
      <c r="N6833" s="33">
        <f>(_xlfn.XLOOKUP(Pipeline_tbl[[#This Row],[Rate_Code_Generalized]],Lookups!A:A,Lookups!B:B))*Pipeline_tbl[[#This Row],[Pipeline_Amount_USD]]</f>
        <v>27625.780000000002</v>
      </c>
      <c r="O6833" t="str">
        <f>_xlfn.XLOOKUP(Pipeline_tbl[[#This Row],[Rep_ID]],Dim_Reps!A:A,Dim_Reps!B:B)</f>
        <v>Milo Castro</v>
      </c>
      <c r="P6833" t="str">
        <f>_xlfn.XLOOKUP(Pipeline_tbl[[#This Row],[Rep_ID]],Dim_Reps!A:A,Dim_Reps!C:C)</f>
        <v>SDR / Inside Sales Rep</v>
      </c>
      <c r="Q6833" t="str">
        <f>_xlfn.XLOOKUP(Pipeline_tbl[[#This Row],[Rep_ID]],Dim_Reps!A:A,Dim_Reps!D:D)</f>
        <v>Inside Sales</v>
      </c>
      <c r="R6833" t="str">
        <f>_xlfn.XLOOKUP(Pipeline_tbl[[#This Row],[Rep_ID]],Dim_Reps!A:A,Dim_Reps!E:E)</f>
        <v>LATAM</v>
      </c>
      <c r="S6833" t="str">
        <f>_xlfn.XLOOKUP(Pipeline_tbl[[#This Row],[Created_Date]],Dim_Date!A:A,Dim_Date!H:H)</f>
        <v>Apr 2024</v>
      </c>
      <c r="T6833" t="str">
        <f>IF(Pipeline_tbl[[#This Row],[Closed_Date]]=0,"",(_xlfn.XLOOKUP(Pipeline_tbl[[#This Row],[Closed_Date]],Dim_Date!A:A,Dim_Date!H:H)))</f>
        <v>May 2024</v>
      </c>
      <c r="U6833">
        <f>IF(Pipeline_tbl[[#This Row],[Closed_Date]]=0,"",Pipeline_tbl[[#This Row],[Closed_Date]]-Pipeline_tbl[[#This Row],[Created_Date]])</f>
        <v>22</v>
      </c>
    </row>
    <row r="6834" spans="1:21" ht="15" customHeight="1" x14ac:dyDescent="0.2">
      <c r="A6834" t="s">
        <v>7140</v>
      </c>
      <c r="B6834" t="s">
        <v>235</v>
      </c>
      <c r="C6834" t="s">
        <v>56</v>
      </c>
      <c r="D6834" s="49">
        <v>45405</v>
      </c>
      <c r="E6834" s="49">
        <v>45407</v>
      </c>
      <c r="F6834" s="49">
        <v>45412</v>
      </c>
      <c r="G6834" s="49">
        <v>45419</v>
      </c>
      <c r="I6834" s="49">
        <v>45429</v>
      </c>
      <c r="J6834" t="s">
        <v>49</v>
      </c>
      <c r="K6834" s="33">
        <v>10800</v>
      </c>
      <c r="L6834" t="s">
        <v>61</v>
      </c>
      <c r="M6834" t="str">
        <f>_xlfn.XLOOKUP(Pipeline_tbl[[#This Row],[Rep_ID]],Dim_Reps!A:A,Dim_Reps!K:K)</f>
        <v>MXN</v>
      </c>
      <c r="N6834" s="33">
        <f>(_xlfn.XLOOKUP(Pipeline_tbl[[#This Row],[Rate_Code_Generalized]],Lookups!A:A,Lookups!B:B))*Pipeline_tbl[[#This Row],[Pipeline_Amount_USD]]</f>
        <v>213113.16</v>
      </c>
      <c r="O6834" t="str">
        <f>_xlfn.XLOOKUP(Pipeline_tbl[[#This Row],[Rep_ID]],Dim_Reps!A:A,Dim_Reps!B:B)</f>
        <v>Milo Castro</v>
      </c>
      <c r="P6834" t="str">
        <f>_xlfn.XLOOKUP(Pipeline_tbl[[#This Row],[Rep_ID]],Dim_Reps!A:A,Dim_Reps!C:C)</f>
        <v>SDR / Inside Sales Rep</v>
      </c>
      <c r="Q6834" t="str">
        <f>_xlfn.XLOOKUP(Pipeline_tbl[[#This Row],[Rep_ID]],Dim_Reps!A:A,Dim_Reps!D:D)</f>
        <v>Inside Sales</v>
      </c>
      <c r="R6834" t="str">
        <f>_xlfn.XLOOKUP(Pipeline_tbl[[#This Row],[Rep_ID]],Dim_Reps!A:A,Dim_Reps!E:E)</f>
        <v>LATAM</v>
      </c>
      <c r="S6834" t="str">
        <f>_xlfn.XLOOKUP(Pipeline_tbl[[#This Row],[Created_Date]],Dim_Date!A:A,Dim_Date!H:H)</f>
        <v>Apr 2024</v>
      </c>
      <c r="T6834" t="str">
        <f>IF(Pipeline_tbl[[#This Row],[Closed_Date]]=0,"",(_xlfn.XLOOKUP(Pipeline_tbl[[#This Row],[Closed_Date]],Dim_Date!A:A,Dim_Date!H:H)))</f>
        <v>May 2024</v>
      </c>
      <c r="U6834">
        <f>IF(Pipeline_tbl[[#This Row],[Closed_Date]]=0,"",Pipeline_tbl[[#This Row],[Closed_Date]]-Pipeline_tbl[[#This Row],[Created_Date]])</f>
        <v>24</v>
      </c>
    </row>
    <row r="6835" spans="1:21" ht="15" customHeight="1" x14ac:dyDescent="0.2">
      <c r="A6835" t="s">
        <v>7141</v>
      </c>
      <c r="B6835" t="s">
        <v>235</v>
      </c>
      <c r="C6835" t="s">
        <v>53</v>
      </c>
      <c r="D6835" s="49">
        <v>45405</v>
      </c>
      <c r="E6835" s="49">
        <v>45407</v>
      </c>
      <c r="F6835" s="49">
        <v>45412</v>
      </c>
      <c r="G6835" s="49">
        <v>45418</v>
      </c>
      <c r="I6835" s="49">
        <v>45427</v>
      </c>
      <c r="J6835" t="s">
        <v>49</v>
      </c>
      <c r="K6835" s="33">
        <v>6100</v>
      </c>
      <c r="L6835" t="s">
        <v>62</v>
      </c>
      <c r="M6835" t="str">
        <f>_xlfn.XLOOKUP(Pipeline_tbl[[#This Row],[Rep_ID]],Dim_Reps!A:A,Dim_Reps!K:K)</f>
        <v>MXN</v>
      </c>
      <c r="N6835" s="33">
        <f>(_xlfn.XLOOKUP(Pipeline_tbl[[#This Row],[Rate_Code_Generalized]],Lookups!A:A,Lookups!B:B))*Pipeline_tbl[[#This Row],[Pipeline_Amount_USD]]</f>
        <v>120369.47</v>
      </c>
      <c r="O6835" t="str">
        <f>_xlfn.XLOOKUP(Pipeline_tbl[[#This Row],[Rep_ID]],Dim_Reps!A:A,Dim_Reps!B:B)</f>
        <v>Milo Castro</v>
      </c>
      <c r="P6835" t="str">
        <f>_xlfn.XLOOKUP(Pipeline_tbl[[#This Row],[Rep_ID]],Dim_Reps!A:A,Dim_Reps!C:C)</f>
        <v>SDR / Inside Sales Rep</v>
      </c>
      <c r="Q6835" t="str">
        <f>_xlfn.XLOOKUP(Pipeline_tbl[[#This Row],[Rep_ID]],Dim_Reps!A:A,Dim_Reps!D:D)</f>
        <v>Inside Sales</v>
      </c>
      <c r="R6835" t="str">
        <f>_xlfn.XLOOKUP(Pipeline_tbl[[#This Row],[Rep_ID]],Dim_Reps!A:A,Dim_Reps!E:E)</f>
        <v>LATAM</v>
      </c>
      <c r="S6835" t="str">
        <f>_xlfn.XLOOKUP(Pipeline_tbl[[#This Row],[Created_Date]],Dim_Date!A:A,Dim_Date!H:H)</f>
        <v>Apr 2024</v>
      </c>
      <c r="T6835" t="str">
        <f>IF(Pipeline_tbl[[#This Row],[Closed_Date]]=0,"",(_xlfn.XLOOKUP(Pipeline_tbl[[#This Row],[Closed_Date]],Dim_Date!A:A,Dim_Date!H:H)))</f>
        <v>May 2024</v>
      </c>
      <c r="U6835">
        <f>IF(Pipeline_tbl[[#This Row],[Closed_Date]]=0,"",Pipeline_tbl[[#This Row],[Closed_Date]]-Pipeline_tbl[[#This Row],[Created_Date]])</f>
        <v>22</v>
      </c>
    </row>
    <row r="6836" spans="1:21" ht="15" customHeight="1" x14ac:dyDescent="0.2">
      <c r="A6836" t="s">
        <v>7142</v>
      </c>
      <c r="B6836" t="s">
        <v>235</v>
      </c>
      <c r="C6836" t="s">
        <v>53</v>
      </c>
      <c r="D6836" s="49">
        <v>45403</v>
      </c>
      <c r="E6836" s="49">
        <v>45405</v>
      </c>
      <c r="F6836" s="49">
        <v>45408</v>
      </c>
      <c r="G6836" s="49">
        <v>45412</v>
      </c>
      <c r="H6836" s="49">
        <v>45416</v>
      </c>
      <c r="I6836" s="49">
        <v>45418</v>
      </c>
      <c r="J6836" t="s">
        <v>47</v>
      </c>
      <c r="K6836" s="33">
        <v>4100</v>
      </c>
      <c r="M6836" t="str">
        <f>_xlfn.XLOOKUP(Pipeline_tbl[[#This Row],[Rep_ID]],Dim_Reps!A:A,Dim_Reps!K:K)</f>
        <v>MXN</v>
      </c>
      <c r="N6836" s="33">
        <f>(_xlfn.XLOOKUP(Pipeline_tbl[[#This Row],[Rate_Code_Generalized]],Lookups!A:A,Lookups!B:B))*Pipeline_tbl[[#This Row],[Pipeline_Amount_USD]]</f>
        <v>80904.070000000007</v>
      </c>
      <c r="O6836" t="str">
        <f>_xlfn.XLOOKUP(Pipeline_tbl[[#This Row],[Rep_ID]],Dim_Reps!A:A,Dim_Reps!B:B)</f>
        <v>Milo Castro</v>
      </c>
      <c r="P6836" t="str">
        <f>_xlfn.XLOOKUP(Pipeline_tbl[[#This Row],[Rep_ID]],Dim_Reps!A:A,Dim_Reps!C:C)</f>
        <v>SDR / Inside Sales Rep</v>
      </c>
      <c r="Q6836" t="str">
        <f>_xlfn.XLOOKUP(Pipeline_tbl[[#This Row],[Rep_ID]],Dim_Reps!A:A,Dim_Reps!D:D)</f>
        <v>Inside Sales</v>
      </c>
      <c r="R6836" t="str">
        <f>_xlfn.XLOOKUP(Pipeline_tbl[[#This Row],[Rep_ID]],Dim_Reps!A:A,Dim_Reps!E:E)</f>
        <v>LATAM</v>
      </c>
      <c r="S6836" t="str">
        <f>_xlfn.XLOOKUP(Pipeline_tbl[[#This Row],[Created_Date]],Dim_Date!A:A,Dim_Date!H:H)</f>
        <v>Apr 2024</v>
      </c>
      <c r="T6836" t="str">
        <f>IF(Pipeline_tbl[[#This Row],[Closed_Date]]=0,"",(_xlfn.XLOOKUP(Pipeline_tbl[[#This Row],[Closed_Date]],Dim_Date!A:A,Dim_Date!H:H)))</f>
        <v>May 2024</v>
      </c>
      <c r="U6836">
        <f>IF(Pipeline_tbl[[#This Row],[Closed_Date]]=0,"",Pipeline_tbl[[#This Row],[Closed_Date]]-Pipeline_tbl[[#This Row],[Created_Date]])</f>
        <v>15</v>
      </c>
    </row>
    <row r="6837" spans="1:21" ht="15" customHeight="1" x14ac:dyDescent="0.2">
      <c r="A6837" t="s">
        <v>7143</v>
      </c>
      <c r="B6837" t="s">
        <v>235</v>
      </c>
      <c r="C6837" t="s">
        <v>56</v>
      </c>
      <c r="D6837" s="49">
        <v>45391</v>
      </c>
      <c r="E6837" s="49">
        <v>45393</v>
      </c>
      <c r="I6837" s="49">
        <v>45414</v>
      </c>
      <c r="J6837" t="s">
        <v>49</v>
      </c>
      <c r="K6837" s="33">
        <v>4400</v>
      </c>
      <c r="L6837" t="s">
        <v>62</v>
      </c>
      <c r="M6837" t="str">
        <f>_xlfn.XLOOKUP(Pipeline_tbl[[#This Row],[Rep_ID]],Dim_Reps!A:A,Dim_Reps!K:K)</f>
        <v>MXN</v>
      </c>
      <c r="N6837" s="33">
        <f>(_xlfn.XLOOKUP(Pipeline_tbl[[#This Row],[Rate_Code_Generalized]],Lookups!A:A,Lookups!B:B))*Pipeline_tbl[[#This Row],[Pipeline_Amount_USD]]</f>
        <v>86823.88</v>
      </c>
      <c r="O6837" t="str">
        <f>_xlfn.XLOOKUP(Pipeline_tbl[[#This Row],[Rep_ID]],Dim_Reps!A:A,Dim_Reps!B:B)</f>
        <v>Milo Castro</v>
      </c>
      <c r="P6837" t="str">
        <f>_xlfn.XLOOKUP(Pipeline_tbl[[#This Row],[Rep_ID]],Dim_Reps!A:A,Dim_Reps!C:C)</f>
        <v>SDR / Inside Sales Rep</v>
      </c>
      <c r="Q6837" t="str">
        <f>_xlfn.XLOOKUP(Pipeline_tbl[[#This Row],[Rep_ID]],Dim_Reps!A:A,Dim_Reps!D:D)</f>
        <v>Inside Sales</v>
      </c>
      <c r="R6837" t="str">
        <f>_xlfn.XLOOKUP(Pipeline_tbl[[#This Row],[Rep_ID]],Dim_Reps!A:A,Dim_Reps!E:E)</f>
        <v>LATAM</v>
      </c>
      <c r="S6837" t="str">
        <f>_xlfn.XLOOKUP(Pipeline_tbl[[#This Row],[Created_Date]],Dim_Date!A:A,Dim_Date!H:H)</f>
        <v>Apr 2024</v>
      </c>
      <c r="T6837" t="str">
        <f>IF(Pipeline_tbl[[#This Row],[Closed_Date]]=0,"",(_xlfn.XLOOKUP(Pipeline_tbl[[#This Row],[Closed_Date]],Dim_Date!A:A,Dim_Date!H:H)))</f>
        <v>May 2024</v>
      </c>
      <c r="U6837">
        <f>IF(Pipeline_tbl[[#This Row],[Closed_Date]]=0,"",Pipeline_tbl[[#This Row],[Closed_Date]]-Pipeline_tbl[[#This Row],[Created_Date]])</f>
        <v>23</v>
      </c>
    </row>
    <row r="6838" spans="1:21" ht="15" customHeight="1" x14ac:dyDescent="0.2">
      <c r="A6838" t="s">
        <v>7144</v>
      </c>
      <c r="B6838" t="s">
        <v>235</v>
      </c>
      <c r="C6838" t="s">
        <v>53</v>
      </c>
      <c r="D6838" s="49">
        <v>45411</v>
      </c>
      <c r="E6838" s="49">
        <v>45412</v>
      </c>
      <c r="F6838" s="49">
        <v>45413</v>
      </c>
      <c r="G6838" s="49">
        <v>45415</v>
      </c>
      <c r="H6838" s="49">
        <v>45417</v>
      </c>
      <c r="I6838" s="49">
        <v>45418</v>
      </c>
      <c r="J6838" t="s">
        <v>47</v>
      </c>
      <c r="K6838" s="33">
        <v>4100</v>
      </c>
      <c r="M6838" t="str">
        <f>_xlfn.XLOOKUP(Pipeline_tbl[[#This Row],[Rep_ID]],Dim_Reps!A:A,Dim_Reps!K:K)</f>
        <v>MXN</v>
      </c>
      <c r="N6838" s="33">
        <f>(_xlfn.XLOOKUP(Pipeline_tbl[[#This Row],[Rate_Code_Generalized]],Lookups!A:A,Lookups!B:B))*Pipeline_tbl[[#This Row],[Pipeline_Amount_USD]]</f>
        <v>80904.070000000007</v>
      </c>
      <c r="O6838" t="str">
        <f>_xlfn.XLOOKUP(Pipeline_tbl[[#This Row],[Rep_ID]],Dim_Reps!A:A,Dim_Reps!B:B)</f>
        <v>Milo Castro</v>
      </c>
      <c r="P6838" t="str">
        <f>_xlfn.XLOOKUP(Pipeline_tbl[[#This Row],[Rep_ID]],Dim_Reps!A:A,Dim_Reps!C:C)</f>
        <v>SDR / Inside Sales Rep</v>
      </c>
      <c r="Q6838" t="str">
        <f>_xlfn.XLOOKUP(Pipeline_tbl[[#This Row],[Rep_ID]],Dim_Reps!A:A,Dim_Reps!D:D)</f>
        <v>Inside Sales</v>
      </c>
      <c r="R6838" t="str">
        <f>_xlfn.XLOOKUP(Pipeline_tbl[[#This Row],[Rep_ID]],Dim_Reps!A:A,Dim_Reps!E:E)</f>
        <v>LATAM</v>
      </c>
      <c r="S6838" t="str">
        <f>_xlfn.XLOOKUP(Pipeline_tbl[[#This Row],[Created_Date]],Dim_Date!A:A,Dim_Date!H:H)</f>
        <v>Apr 2024</v>
      </c>
      <c r="T6838" t="str">
        <f>IF(Pipeline_tbl[[#This Row],[Closed_Date]]=0,"",(_xlfn.XLOOKUP(Pipeline_tbl[[#This Row],[Closed_Date]],Dim_Date!A:A,Dim_Date!H:H)))</f>
        <v>May 2024</v>
      </c>
      <c r="U6838">
        <f>IF(Pipeline_tbl[[#This Row],[Closed_Date]]=0,"",Pipeline_tbl[[#This Row],[Closed_Date]]-Pipeline_tbl[[#This Row],[Created_Date]])</f>
        <v>7</v>
      </c>
    </row>
    <row r="6839" spans="1:21" ht="15" customHeight="1" x14ac:dyDescent="0.2">
      <c r="A6839" t="s">
        <v>7145</v>
      </c>
      <c r="B6839" t="s">
        <v>235</v>
      </c>
      <c r="C6839" t="s">
        <v>52</v>
      </c>
      <c r="D6839" s="49">
        <v>45395</v>
      </c>
      <c r="E6839" s="49">
        <v>45397</v>
      </c>
      <c r="F6839" s="49">
        <v>45402</v>
      </c>
      <c r="G6839" s="49">
        <v>45409</v>
      </c>
      <c r="H6839" s="49">
        <v>45415</v>
      </c>
      <c r="I6839" s="49">
        <v>45419</v>
      </c>
      <c r="J6839" t="s">
        <v>47</v>
      </c>
      <c r="K6839" s="33">
        <v>2500</v>
      </c>
      <c r="M6839" t="str">
        <f>_xlfn.XLOOKUP(Pipeline_tbl[[#This Row],[Rep_ID]],Dim_Reps!A:A,Dim_Reps!K:K)</f>
        <v>MXN</v>
      </c>
      <c r="N6839" s="33">
        <f>(_xlfn.XLOOKUP(Pipeline_tbl[[#This Row],[Rate_Code_Generalized]],Lookups!A:A,Lookups!B:B))*Pipeline_tbl[[#This Row],[Pipeline_Amount_USD]]</f>
        <v>49331.75</v>
      </c>
      <c r="O6839" t="str">
        <f>_xlfn.XLOOKUP(Pipeline_tbl[[#This Row],[Rep_ID]],Dim_Reps!A:A,Dim_Reps!B:B)</f>
        <v>Milo Castro</v>
      </c>
      <c r="P6839" t="str">
        <f>_xlfn.XLOOKUP(Pipeline_tbl[[#This Row],[Rep_ID]],Dim_Reps!A:A,Dim_Reps!C:C)</f>
        <v>SDR / Inside Sales Rep</v>
      </c>
      <c r="Q6839" t="str">
        <f>_xlfn.XLOOKUP(Pipeline_tbl[[#This Row],[Rep_ID]],Dim_Reps!A:A,Dim_Reps!D:D)</f>
        <v>Inside Sales</v>
      </c>
      <c r="R6839" t="str">
        <f>_xlfn.XLOOKUP(Pipeline_tbl[[#This Row],[Rep_ID]],Dim_Reps!A:A,Dim_Reps!E:E)</f>
        <v>LATAM</v>
      </c>
      <c r="S6839" t="str">
        <f>_xlfn.XLOOKUP(Pipeline_tbl[[#This Row],[Created_Date]],Dim_Date!A:A,Dim_Date!H:H)</f>
        <v>Apr 2024</v>
      </c>
      <c r="T6839" t="str">
        <f>IF(Pipeline_tbl[[#This Row],[Closed_Date]]=0,"",(_xlfn.XLOOKUP(Pipeline_tbl[[#This Row],[Closed_Date]],Dim_Date!A:A,Dim_Date!H:H)))</f>
        <v>May 2024</v>
      </c>
      <c r="U6839">
        <f>IF(Pipeline_tbl[[#This Row],[Closed_Date]]=0,"",Pipeline_tbl[[#This Row],[Closed_Date]]-Pipeline_tbl[[#This Row],[Created_Date]])</f>
        <v>24</v>
      </c>
    </row>
    <row r="6840" spans="1:21" ht="15" customHeight="1" x14ac:dyDescent="0.2">
      <c r="A6840" t="s">
        <v>7146</v>
      </c>
      <c r="B6840" t="s">
        <v>235</v>
      </c>
      <c r="C6840" t="s">
        <v>52</v>
      </c>
      <c r="D6840" s="49">
        <v>45410</v>
      </c>
      <c r="E6840" s="49">
        <v>45412</v>
      </c>
      <c r="F6840" s="49">
        <v>45416</v>
      </c>
      <c r="G6840" s="49">
        <v>45422</v>
      </c>
      <c r="I6840" s="49">
        <v>45430</v>
      </c>
      <c r="J6840" t="s">
        <v>49</v>
      </c>
      <c r="K6840" s="33">
        <v>5800</v>
      </c>
      <c r="L6840" t="s">
        <v>62</v>
      </c>
      <c r="M6840" t="str">
        <f>_xlfn.XLOOKUP(Pipeline_tbl[[#This Row],[Rep_ID]],Dim_Reps!A:A,Dim_Reps!K:K)</f>
        <v>MXN</v>
      </c>
      <c r="N6840" s="33">
        <f>(_xlfn.XLOOKUP(Pipeline_tbl[[#This Row],[Rate_Code_Generalized]],Lookups!A:A,Lookups!B:B))*Pipeline_tbl[[#This Row],[Pipeline_Amount_USD]]</f>
        <v>114449.66</v>
      </c>
      <c r="O6840" t="str">
        <f>_xlfn.XLOOKUP(Pipeline_tbl[[#This Row],[Rep_ID]],Dim_Reps!A:A,Dim_Reps!B:B)</f>
        <v>Milo Castro</v>
      </c>
      <c r="P6840" t="str">
        <f>_xlfn.XLOOKUP(Pipeline_tbl[[#This Row],[Rep_ID]],Dim_Reps!A:A,Dim_Reps!C:C)</f>
        <v>SDR / Inside Sales Rep</v>
      </c>
      <c r="Q6840" t="str">
        <f>_xlfn.XLOOKUP(Pipeline_tbl[[#This Row],[Rep_ID]],Dim_Reps!A:A,Dim_Reps!D:D)</f>
        <v>Inside Sales</v>
      </c>
      <c r="R6840" t="str">
        <f>_xlfn.XLOOKUP(Pipeline_tbl[[#This Row],[Rep_ID]],Dim_Reps!A:A,Dim_Reps!E:E)</f>
        <v>LATAM</v>
      </c>
      <c r="S6840" t="str">
        <f>_xlfn.XLOOKUP(Pipeline_tbl[[#This Row],[Created_Date]],Dim_Date!A:A,Dim_Date!H:H)</f>
        <v>Apr 2024</v>
      </c>
      <c r="T6840" t="str">
        <f>IF(Pipeline_tbl[[#This Row],[Closed_Date]]=0,"",(_xlfn.XLOOKUP(Pipeline_tbl[[#This Row],[Closed_Date]],Dim_Date!A:A,Dim_Date!H:H)))</f>
        <v>May 2024</v>
      </c>
      <c r="U6840">
        <f>IF(Pipeline_tbl[[#This Row],[Closed_Date]]=0,"",Pipeline_tbl[[#This Row],[Closed_Date]]-Pipeline_tbl[[#This Row],[Created_Date]])</f>
        <v>20</v>
      </c>
    </row>
    <row r="6841" spans="1:21" ht="15" customHeight="1" x14ac:dyDescent="0.2">
      <c r="A6841" t="s">
        <v>7147</v>
      </c>
      <c r="B6841" t="s">
        <v>237</v>
      </c>
      <c r="C6841" t="s">
        <v>56</v>
      </c>
      <c r="D6841" s="49">
        <v>45395</v>
      </c>
      <c r="E6841" s="49">
        <v>45397</v>
      </c>
      <c r="F6841" s="49">
        <v>45402</v>
      </c>
      <c r="G6841" s="49">
        <v>45408</v>
      </c>
      <c r="H6841" s="49">
        <v>45414</v>
      </c>
      <c r="I6841" s="49">
        <v>45417</v>
      </c>
      <c r="J6841" t="s">
        <v>47</v>
      </c>
      <c r="K6841" s="33">
        <v>1800</v>
      </c>
      <c r="M6841" t="str">
        <f>_xlfn.XLOOKUP(Pipeline_tbl[[#This Row],[Rep_ID]],Dim_Reps!A:A,Dim_Reps!K:K)</f>
        <v>EUR</v>
      </c>
      <c r="N6841" s="33">
        <f>(_xlfn.XLOOKUP(Pipeline_tbl[[#This Row],[Rate_Code_Generalized]],Lookups!A:A,Lookups!B:B))*Pipeline_tbl[[#This Row],[Pipeline_Amount_USD]]</f>
        <v>1800</v>
      </c>
      <c r="O6841" t="str">
        <f>_xlfn.XLOOKUP(Pipeline_tbl[[#This Row],[Rep_ID]],Dim_Reps!A:A,Dim_Reps!B:B)</f>
        <v>Hugo Santos</v>
      </c>
      <c r="P6841" t="str">
        <f>_xlfn.XLOOKUP(Pipeline_tbl[[#This Row],[Rep_ID]],Dim_Reps!A:A,Dim_Reps!C:C)</f>
        <v>SDR / Inside Sales Rep</v>
      </c>
      <c r="Q6841" t="str">
        <f>_xlfn.XLOOKUP(Pipeline_tbl[[#This Row],[Rep_ID]],Dim_Reps!A:A,Dim_Reps!D:D)</f>
        <v>Inside Sales</v>
      </c>
      <c r="R6841" t="str">
        <f>_xlfn.XLOOKUP(Pipeline_tbl[[#This Row],[Rep_ID]],Dim_Reps!A:A,Dim_Reps!E:E)</f>
        <v>EMEA</v>
      </c>
      <c r="S6841" t="str">
        <f>_xlfn.XLOOKUP(Pipeline_tbl[[#This Row],[Created_Date]],Dim_Date!A:A,Dim_Date!H:H)</f>
        <v>Apr 2024</v>
      </c>
      <c r="T6841" t="str">
        <f>IF(Pipeline_tbl[[#This Row],[Closed_Date]]=0,"",(_xlfn.XLOOKUP(Pipeline_tbl[[#This Row],[Closed_Date]],Dim_Date!A:A,Dim_Date!H:H)))</f>
        <v>May 2024</v>
      </c>
      <c r="U6841">
        <f>IF(Pipeline_tbl[[#This Row],[Closed_Date]]=0,"",Pipeline_tbl[[#This Row],[Closed_Date]]-Pipeline_tbl[[#This Row],[Created_Date]])</f>
        <v>22</v>
      </c>
    </row>
    <row r="6842" spans="1:21" ht="15" customHeight="1" x14ac:dyDescent="0.2">
      <c r="A6842" t="s">
        <v>7148</v>
      </c>
      <c r="B6842" t="s">
        <v>237</v>
      </c>
      <c r="C6842" t="s">
        <v>56</v>
      </c>
      <c r="D6842" s="49">
        <v>45400</v>
      </c>
      <c r="E6842" s="49">
        <v>45402</v>
      </c>
      <c r="F6842" s="49">
        <v>45405</v>
      </c>
      <c r="G6842" s="49">
        <v>45410</v>
      </c>
      <c r="H6842" s="49">
        <v>45414</v>
      </c>
      <c r="I6842" s="49">
        <v>45417</v>
      </c>
      <c r="J6842" t="s">
        <v>47</v>
      </c>
      <c r="K6842" s="33">
        <v>2900</v>
      </c>
      <c r="M6842" t="str">
        <f>_xlfn.XLOOKUP(Pipeline_tbl[[#This Row],[Rep_ID]],Dim_Reps!A:A,Dim_Reps!K:K)</f>
        <v>EUR</v>
      </c>
      <c r="N6842" s="33">
        <f>(_xlfn.XLOOKUP(Pipeline_tbl[[#This Row],[Rate_Code_Generalized]],Lookups!A:A,Lookups!B:B))*Pipeline_tbl[[#This Row],[Pipeline_Amount_USD]]</f>
        <v>2900</v>
      </c>
      <c r="O6842" t="str">
        <f>_xlfn.XLOOKUP(Pipeline_tbl[[#This Row],[Rep_ID]],Dim_Reps!A:A,Dim_Reps!B:B)</f>
        <v>Hugo Santos</v>
      </c>
      <c r="P6842" t="str">
        <f>_xlfn.XLOOKUP(Pipeline_tbl[[#This Row],[Rep_ID]],Dim_Reps!A:A,Dim_Reps!C:C)</f>
        <v>SDR / Inside Sales Rep</v>
      </c>
      <c r="Q6842" t="str">
        <f>_xlfn.XLOOKUP(Pipeline_tbl[[#This Row],[Rep_ID]],Dim_Reps!A:A,Dim_Reps!D:D)</f>
        <v>Inside Sales</v>
      </c>
      <c r="R6842" t="str">
        <f>_xlfn.XLOOKUP(Pipeline_tbl[[#This Row],[Rep_ID]],Dim_Reps!A:A,Dim_Reps!E:E)</f>
        <v>EMEA</v>
      </c>
      <c r="S6842" t="str">
        <f>_xlfn.XLOOKUP(Pipeline_tbl[[#This Row],[Created_Date]],Dim_Date!A:A,Dim_Date!H:H)</f>
        <v>Apr 2024</v>
      </c>
      <c r="T6842" t="str">
        <f>IF(Pipeline_tbl[[#This Row],[Closed_Date]]=0,"",(_xlfn.XLOOKUP(Pipeline_tbl[[#This Row],[Closed_Date]],Dim_Date!A:A,Dim_Date!H:H)))</f>
        <v>May 2024</v>
      </c>
      <c r="U6842">
        <f>IF(Pipeline_tbl[[#This Row],[Closed_Date]]=0,"",Pipeline_tbl[[#This Row],[Closed_Date]]-Pipeline_tbl[[#This Row],[Created_Date]])</f>
        <v>17</v>
      </c>
    </row>
    <row r="6843" spans="1:21" ht="15" customHeight="1" x14ac:dyDescent="0.2">
      <c r="A6843" t="s">
        <v>7149</v>
      </c>
      <c r="B6843" t="s">
        <v>237</v>
      </c>
      <c r="C6843" t="s">
        <v>55</v>
      </c>
      <c r="D6843" s="49">
        <v>45398</v>
      </c>
      <c r="E6843" s="49">
        <v>45400</v>
      </c>
      <c r="F6843" s="49">
        <v>45405</v>
      </c>
      <c r="G6843" s="49">
        <v>45411</v>
      </c>
      <c r="H6843" s="49">
        <v>45417</v>
      </c>
      <c r="I6843" s="49">
        <v>45420</v>
      </c>
      <c r="J6843" t="s">
        <v>47</v>
      </c>
      <c r="K6843" s="33">
        <v>1700</v>
      </c>
      <c r="M6843" t="str">
        <f>_xlfn.XLOOKUP(Pipeline_tbl[[#This Row],[Rep_ID]],Dim_Reps!A:A,Dim_Reps!K:K)</f>
        <v>EUR</v>
      </c>
      <c r="N6843" s="33">
        <f>(_xlfn.XLOOKUP(Pipeline_tbl[[#This Row],[Rate_Code_Generalized]],Lookups!A:A,Lookups!B:B))*Pipeline_tbl[[#This Row],[Pipeline_Amount_USD]]</f>
        <v>1700</v>
      </c>
      <c r="O6843" t="str">
        <f>_xlfn.XLOOKUP(Pipeline_tbl[[#This Row],[Rep_ID]],Dim_Reps!A:A,Dim_Reps!B:B)</f>
        <v>Hugo Santos</v>
      </c>
      <c r="P6843" t="str">
        <f>_xlfn.XLOOKUP(Pipeline_tbl[[#This Row],[Rep_ID]],Dim_Reps!A:A,Dim_Reps!C:C)</f>
        <v>SDR / Inside Sales Rep</v>
      </c>
      <c r="Q6843" t="str">
        <f>_xlfn.XLOOKUP(Pipeline_tbl[[#This Row],[Rep_ID]],Dim_Reps!A:A,Dim_Reps!D:D)</f>
        <v>Inside Sales</v>
      </c>
      <c r="R6843" t="str">
        <f>_xlfn.XLOOKUP(Pipeline_tbl[[#This Row],[Rep_ID]],Dim_Reps!A:A,Dim_Reps!E:E)</f>
        <v>EMEA</v>
      </c>
      <c r="S6843" t="str">
        <f>_xlfn.XLOOKUP(Pipeline_tbl[[#This Row],[Created_Date]],Dim_Date!A:A,Dim_Date!H:H)</f>
        <v>Apr 2024</v>
      </c>
      <c r="T6843" t="str">
        <f>IF(Pipeline_tbl[[#This Row],[Closed_Date]]=0,"",(_xlfn.XLOOKUP(Pipeline_tbl[[#This Row],[Closed_Date]],Dim_Date!A:A,Dim_Date!H:H)))</f>
        <v>May 2024</v>
      </c>
      <c r="U6843">
        <f>IF(Pipeline_tbl[[#This Row],[Closed_Date]]=0,"",Pipeline_tbl[[#This Row],[Closed_Date]]-Pipeline_tbl[[#This Row],[Created_Date]])</f>
        <v>22</v>
      </c>
    </row>
    <row r="6844" spans="1:21" ht="15" customHeight="1" x14ac:dyDescent="0.2">
      <c r="A6844" t="s">
        <v>7150</v>
      </c>
      <c r="B6844" t="s">
        <v>237</v>
      </c>
      <c r="C6844" t="s">
        <v>53</v>
      </c>
      <c r="D6844" s="49">
        <v>45405</v>
      </c>
      <c r="E6844" s="49">
        <v>45407</v>
      </c>
      <c r="F6844" s="49">
        <v>45410</v>
      </c>
      <c r="G6844" s="49">
        <v>45415</v>
      </c>
      <c r="H6844" s="49">
        <v>45419</v>
      </c>
      <c r="I6844" s="49">
        <v>45421</v>
      </c>
      <c r="J6844" t="s">
        <v>47</v>
      </c>
      <c r="K6844" s="33">
        <v>3400</v>
      </c>
      <c r="M6844" t="str">
        <f>_xlfn.XLOOKUP(Pipeline_tbl[[#This Row],[Rep_ID]],Dim_Reps!A:A,Dim_Reps!K:K)</f>
        <v>EUR</v>
      </c>
      <c r="N6844" s="33">
        <f>(_xlfn.XLOOKUP(Pipeline_tbl[[#This Row],[Rate_Code_Generalized]],Lookups!A:A,Lookups!B:B))*Pipeline_tbl[[#This Row],[Pipeline_Amount_USD]]</f>
        <v>3400</v>
      </c>
      <c r="O6844" t="str">
        <f>_xlfn.XLOOKUP(Pipeline_tbl[[#This Row],[Rep_ID]],Dim_Reps!A:A,Dim_Reps!B:B)</f>
        <v>Hugo Santos</v>
      </c>
      <c r="P6844" t="str">
        <f>_xlfn.XLOOKUP(Pipeline_tbl[[#This Row],[Rep_ID]],Dim_Reps!A:A,Dim_Reps!C:C)</f>
        <v>SDR / Inside Sales Rep</v>
      </c>
      <c r="Q6844" t="str">
        <f>_xlfn.XLOOKUP(Pipeline_tbl[[#This Row],[Rep_ID]],Dim_Reps!A:A,Dim_Reps!D:D)</f>
        <v>Inside Sales</v>
      </c>
      <c r="R6844" t="str">
        <f>_xlfn.XLOOKUP(Pipeline_tbl[[#This Row],[Rep_ID]],Dim_Reps!A:A,Dim_Reps!E:E)</f>
        <v>EMEA</v>
      </c>
      <c r="S6844" t="str">
        <f>_xlfn.XLOOKUP(Pipeline_tbl[[#This Row],[Created_Date]],Dim_Date!A:A,Dim_Date!H:H)</f>
        <v>Apr 2024</v>
      </c>
      <c r="T6844" t="str">
        <f>IF(Pipeline_tbl[[#This Row],[Closed_Date]]=0,"",(_xlfn.XLOOKUP(Pipeline_tbl[[#This Row],[Closed_Date]],Dim_Date!A:A,Dim_Date!H:H)))</f>
        <v>May 2024</v>
      </c>
      <c r="U6844">
        <f>IF(Pipeline_tbl[[#This Row],[Closed_Date]]=0,"",Pipeline_tbl[[#This Row],[Closed_Date]]-Pipeline_tbl[[#This Row],[Created_Date]])</f>
        <v>16</v>
      </c>
    </row>
    <row r="6845" spans="1:21" ht="15" customHeight="1" x14ac:dyDescent="0.2">
      <c r="A6845" t="s">
        <v>7151</v>
      </c>
      <c r="B6845" t="s">
        <v>237</v>
      </c>
      <c r="C6845" t="s">
        <v>52</v>
      </c>
      <c r="D6845" s="49">
        <v>45405</v>
      </c>
      <c r="E6845" s="49">
        <v>45407</v>
      </c>
      <c r="F6845" s="49">
        <v>45411</v>
      </c>
      <c r="G6845" s="49">
        <v>45417</v>
      </c>
      <c r="H6845" s="49">
        <v>45422</v>
      </c>
      <c r="I6845" s="49">
        <v>45425</v>
      </c>
      <c r="J6845" t="s">
        <v>49</v>
      </c>
      <c r="K6845" s="33">
        <v>3500</v>
      </c>
      <c r="L6845" t="s">
        <v>62</v>
      </c>
      <c r="M6845" t="str">
        <f>_xlfn.XLOOKUP(Pipeline_tbl[[#This Row],[Rep_ID]],Dim_Reps!A:A,Dim_Reps!K:K)</f>
        <v>EUR</v>
      </c>
      <c r="N6845" s="33">
        <f>(_xlfn.XLOOKUP(Pipeline_tbl[[#This Row],[Rate_Code_Generalized]],Lookups!A:A,Lookups!B:B))*Pipeline_tbl[[#This Row],[Pipeline_Amount_USD]]</f>
        <v>3500</v>
      </c>
      <c r="O6845" t="str">
        <f>_xlfn.XLOOKUP(Pipeline_tbl[[#This Row],[Rep_ID]],Dim_Reps!A:A,Dim_Reps!B:B)</f>
        <v>Hugo Santos</v>
      </c>
      <c r="P6845" t="str">
        <f>_xlfn.XLOOKUP(Pipeline_tbl[[#This Row],[Rep_ID]],Dim_Reps!A:A,Dim_Reps!C:C)</f>
        <v>SDR / Inside Sales Rep</v>
      </c>
      <c r="Q6845" t="str">
        <f>_xlfn.XLOOKUP(Pipeline_tbl[[#This Row],[Rep_ID]],Dim_Reps!A:A,Dim_Reps!D:D)</f>
        <v>Inside Sales</v>
      </c>
      <c r="R6845" t="str">
        <f>_xlfn.XLOOKUP(Pipeline_tbl[[#This Row],[Rep_ID]],Dim_Reps!A:A,Dim_Reps!E:E)</f>
        <v>EMEA</v>
      </c>
      <c r="S6845" t="str">
        <f>_xlfn.XLOOKUP(Pipeline_tbl[[#This Row],[Created_Date]],Dim_Date!A:A,Dim_Date!H:H)</f>
        <v>Apr 2024</v>
      </c>
      <c r="T6845" t="str">
        <f>IF(Pipeline_tbl[[#This Row],[Closed_Date]]=0,"",(_xlfn.XLOOKUP(Pipeline_tbl[[#This Row],[Closed_Date]],Dim_Date!A:A,Dim_Date!H:H)))</f>
        <v>May 2024</v>
      </c>
      <c r="U6845">
        <f>IF(Pipeline_tbl[[#This Row],[Closed_Date]]=0,"",Pipeline_tbl[[#This Row],[Closed_Date]]-Pipeline_tbl[[#This Row],[Created_Date]])</f>
        <v>20</v>
      </c>
    </row>
    <row r="6846" spans="1:21" ht="15" customHeight="1" x14ac:dyDescent="0.2">
      <c r="A6846" t="s">
        <v>7152</v>
      </c>
      <c r="B6846" t="s">
        <v>237</v>
      </c>
      <c r="C6846" t="s">
        <v>53</v>
      </c>
      <c r="D6846" s="49">
        <v>45404</v>
      </c>
      <c r="E6846" s="49">
        <v>45407</v>
      </c>
      <c r="F6846" s="49">
        <v>45412</v>
      </c>
      <c r="G6846" s="49">
        <v>45420</v>
      </c>
      <c r="H6846" s="49">
        <v>45426</v>
      </c>
      <c r="I6846" s="49">
        <v>45430</v>
      </c>
      <c r="J6846" t="s">
        <v>47</v>
      </c>
      <c r="K6846" s="33">
        <v>3100</v>
      </c>
      <c r="M6846" t="str">
        <f>_xlfn.XLOOKUP(Pipeline_tbl[[#This Row],[Rep_ID]],Dim_Reps!A:A,Dim_Reps!K:K)</f>
        <v>EUR</v>
      </c>
      <c r="N6846" s="33">
        <f>(_xlfn.XLOOKUP(Pipeline_tbl[[#This Row],[Rate_Code_Generalized]],Lookups!A:A,Lookups!B:B))*Pipeline_tbl[[#This Row],[Pipeline_Amount_USD]]</f>
        <v>3100</v>
      </c>
      <c r="O6846" t="str">
        <f>_xlfn.XLOOKUP(Pipeline_tbl[[#This Row],[Rep_ID]],Dim_Reps!A:A,Dim_Reps!B:B)</f>
        <v>Hugo Santos</v>
      </c>
      <c r="P6846" t="str">
        <f>_xlfn.XLOOKUP(Pipeline_tbl[[#This Row],[Rep_ID]],Dim_Reps!A:A,Dim_Reps!C:C)</f>
        <v>SDR / Inside Sales Rep</v>
      </c>
      <c r="Q6846" t="str">
        <f>_xlfn.XLOOKUP(Pipeline_tbl[[#This Row],[Rep_ID]],Dim_Reps!A:A,Dim_Reps!D:D)</f>
        <v>Inside Sales</v>
      </c>
      <c r="R6846" t="str">
        <f>_xlfn.XLOOKUP(Pipeline_tbl[[#This Row],[Rep_ID]],Dim_Reps!A:A,Dim_Reps!E:E)</f>
        <v>EMEA</v>
      </c>
      <c r="S6846" t="str">
        <f>_xlfn.XLOOKUP(Pipeline_tbl[[#This Row],[Created_Date]],Dim_Date!A:A,Dim_Date!H:H)</f>
        <v>Apr 2024</v>
      </c>
      <c r="T6846" t="str">
        <f>IF(Pipeline_tbl[[#This Row],[Closed_Date]]=0,"",(_xlfn.XLOOKUP(Pipeline_tbl[[#This Row],[Closed_Date]],Dim_Date!A:A,Dim_Date!H:H)))</f>
        <v>May 2024</v>
      </c>
      <c r="U6846">
        <f>IF(Pipeline_tbl[[#This Row],[Closed_Date]]=0,"",Pipeline_tbl[[#This Row],[Closed_Date]]-Pipeline_tbl[[#This Row],[Created_Date]])</f>
        <v>26</v>
      </c>
    </row>
    <row r="6847" spans="1:21" ht="15" customHeight="1" x14ac:dyDescent="0.2">
      <c r="A6847" t="s">
        <v>7153</v>
      </c>
      <c r="B6847" t="s">
        <v>237</v>
      </c>
      <c r="C6847" t="s">
        <v>55</v>
      </c>
      <c r="D6847" s="49">
        <v>45403</v>
      </c>
      <c r="E6847" s="49">
        <v>45405</v>
      </c>
      <c r="F6847" s="49">
        <v>45409</v>
      </c>
      <c r="G6847" s="49">
        <v>45415</v>
      </c>
      <c r="H6847" s="49">
        <v>45420</v>
      </c>
      <c r="I6847" s="49">
        <v>45423</v>
      </c>
      <c r="J6847" t="s">
        <v>47</v>
      </c>
      <c r="K6847" s="33">
        <v>8300</v>
      </c>
      <c r="M6847" t="str">
        <f>_xlfn.XLOOKUP(Pipeline_tbl[[#This Row],[Rep_ID]],Dim_Reps!A:A,Dim_Reps!K:K)</f>
        <v>EUR</v>
      </c>
      <c r="N6847" s="33">
        <f>(_xlfn.XLOOKUP(Pipeline_tbl[[#This Row],[Rate_Code_Generalized]],Lookups!A:A,Lookups!B:B))*Pipeline_tbl[[#This Row],[Pipeline_Amount_USD]]</f>
        <v>8300</v>
      </c>
      <c r="O6847" t="str">
        <f>_xlfn.XLOOKUP(Pipeline_tbl[[#This Row],[Rep_ID]],Dim_Reps!A:A,Dim_Reps!B:B)</f>
        <v>Hugo Santos</v>
      </c>
      <c r="P6847" t="str">
        <f>_xlfn.XLOOKUP(Pipeline_tbl[[#This Row],[Rep_ID]],Dim_Reps!A:A,Dim_Reps!C:C)</f>
        <v>SDR / Inside Sales Rep</v>
      </c>
      <c r="Q6847" t="str">
        <f>_xlfn.XLOOKUP(Pipeline_tbl[[#This Row],[Rep_ID]],Dim_Reps!A:A,Dim_Reps!D:D)</f>
        <v>Inside Sales</v>
      </c>
      <c r="R6847" t="str">
        <f>_xlfn.XLOOKUP(Pipeline_tbl[[#This Row],[Rep_ID]],Dim_Reps!A:A,Dim_Reps!E:E)</f>
        <v>EMEA</v>
      </c>
      <c r="S6847" t="str">
        <f>_xlfn.XLOOKUP(Pipeline_tbl[[#This Row],[Created_Date]],Dim_Date!A:A,Dim_Date!H:H)</f>
        <v>Apr 2024</v>
      </c>
      <c r="T6847" t="str">
        <f>IF(Pipeline_tbl[[#This Row],[Closed_Date]]=0,"",(_xlfn.XLOOKUP(Pipeline_tbl[[#This Row],[Closed_Date]],Dim_Date!A:A,Dim_Date!H:H)))</f>
        <v>May 2024</v>
      </c>
      <c r="U6847">
        <f>IF(Pipeline_tbl[[#This Row],[Closed_Date]]=0,"",Pipeline_tbl[[#This Row],[Closed_Date]]-Pipeline_tbl[[#This Row],[Created_Date]])</f>
        <v>20</v>
      </c>
    </row>
    <row r="6848" spans="1:21" ht="15" customHeight="1" x14ac:dyDescent="0.2">
      <c r="A6848" t="s">
        <v>7154</v>
      </c>
      <c r="B6848" t="s">
        <v>269</v>
      </c>
      <c r="C6848" t="s">
        <v>54</v>
      </c>
      <c r="D6848" s="49">
        <v>45397</v>
      </c>
      <c r="E6848" s="49">
        <v>45400</v>
      </c>
      <c r="F6848" s="49">
        <v>45406</v>
      </c>
      <c r="I6848" s="49">
        <v>45426</v>
      </c>
      <c r="J6848" t="s">
        <v>49</v>
      </c>
      <c r="K6848" s="33">
        <v>14900</v>
      </c>
      <c r="L6848" t="s">
        <v>60</v>
      </c>
      <c r="M6848" t="str">
        <f>_xlfn.XLOOKUP(Pipeline_tbl[[#This Row],[Rep_ID]],Dim_Reps!A:A,Dim_Reps!K:K)</f>
        <v>USD</v>
      </c>
      <c r="N6848" s="33">
        <f>(_xlfn.XLOOKUP(Pipeline_tbl[[#This Row],[Rate_Code_Generalized]],Lookups!A:A,Lookups!B:B))*Pipeline_tbl[[#This Row],[Pipeline_Amount_USD]]</f>
        <v>17348.07</v>
      </c>
      <c r="O6848" t="str">
        <f>_xlfn.XLOOKUP(Pipeline_tbl[[#This Row],[Rep_ID]],Dim_Reps!A:A,Dim_Reps!B:B)</f>
        <v>Morgan Rivera</v>
      </c>
      <c r="P6848" t="str">
        <f>_xlfn.XLOOKUP(Pipeline_tbl[[#This Row],[Rep_ID]],Dim_Reps!A:A,Dim_Reps!C:C)</f>
        <v>Mid-Market AE</v>
      </c>
      <c r="Q6848" t="str">
        <f>_xlfn.XLOOKUP(Pipeline_tbl[[#This Row],[Rep_ID]],Dim_Reps!A:A,Dim_Reps!D:D)</f>
        <v>Mid-Market</v>
      </c>
      <c r="R6848" t="str">
        <f>_xlfn.XLOOKUP(Pipeline_tbl[[#This Row],[Rep_ID]],Dim_Reps!A:A,Dim_Reps!E:E)</f>
        <v>NAMER</v>
      </c>
      <c r="S6848" t="str">
        <f>_xlfn.XLOOKUP(Pipeline_tbl[[#This Row],[Created_Date]],Dim_Date!A:A,Dim_Date!H:H)</f>
        <v>Apr 2024</v>
      </c>
      <c r="T6848" t="str">
        <f>IF(Pipeline_tbl[[#This Row],[Closed_Date]]=0,"",(_xlfn.XLOOKUP(Pipeline_tbl[[#This Row],[Closed_Date]],Dim_Date!A:A,Dim_Date!H:H)))</f>
        <v>May 2024</v>
      </c>
      <c r="U6848">
        <f>IF(Pipeline_tbl[[#This Row],[Closed_Date]]=0,"",Pipeline_tbl[[#This Row],[Closed_Date]]-Pipeline_tbl[[#This Row],[Created_Date]])</f>
        <v>29</v>
      </c>
    </row>
    <row r="6849" spans="1:21" ht="15" customHeight="1" x14ac:dyDescent="0.2">
      <c r="A6849" t="s">
        <v>7155</v>
      </c>
      <c r="B6849" t="s">
        <v>269</v>
      </c>
      <c r="C6849" t="s">
        <v>54</v>
      </c>
      <c r="D6849" s="49">
        <v>45408</v>
      </c>
      <c r="E6849" s="49">
        <v>45411</v>
      </c>
      <c r="I6849" s="49">
        <v>45436</v>
      </c>
      <c r="J6849" t="s">
        <v>49</v>
      </c>
      <c r="K6849" s="33">
        <v>8600</v>
      </c>
      <c r="L6849" t="s">
        <v>63</v>
      </c>
      <c r="M6849" t="str">
        <f>_xlfn.XLOOKUP(Pipeline_tbl[[#This Row],[Rep_ID]],Dim_Reps!A:A,Dim_Reps!K:K)</f>
        <v>USD</v>
      </c>
      <c r="N6849" s="33">
        <f>(_xlfn.XLOOKUP(Pipeline_tbl[[#This Row],[Rate_Code_Generalized]],Lookups!A:A,Lookups!B:B))*Pipeline_tbl[[#This Row],[Pipeline_Amount_USD]]</f>
        <v>10012.98</v>
      </c>
      <c r="O6849" t="str">
        <f>_xlfn.XLOOKUP(Pipeline_tbl[[#This Row],[Rep_ID]],Dim_Reps!A:A,Dim_Reps!B:B)</f>
        <v>Morgan Rivera</v>
      </c>
      <c r="P6849" t="str">
        <f>_xlfn.XLOOKUP(Pipeline_tbl[[#This Row],[Rep_ID]],Dim_Reps!A:A,Dim_Reps!C:C)</f>
        <v>Mid-Market AE</v>
      </c>
      <c r="Q6849" t="str">
        <f>_xlfn.XLOOKUP(Pipeline_tbl[[#This Row],[Rep_ID]],Dim_Reps!A:A,Dim_Reps!D:D)</f>
        <v>Mid-Market</v>
      </c>
      <c r="R6849" t="str">
        <f>_xlfn.XLOOKUP(Pipeline_tbl[[#This Row],[Rep_ID]],Dim_Reps!A:A,Dim_Reps!E:E)</f>
        <v>NAMER</v>
      </c>
      <c r="S6849" t="str">
        <f>_xlfn.XLOOKUP(Pipeline_tbl[[#This Row],[Created_Date]],Dim_Date!A:A,Dim_Date!H:H)</f>
        <v>Apr 2024</v>
      </c>
      <c r="T6849" t="str">
        <f>IF(Pipeline_tbl[[#This Row],[Closed_Date]]=0,"",(_xlfn.XLOOKUP(Pipeline_tbl[[#This Row],[Closed_Date]],Dim_Date!A:A,Dim_Date!H:H)))</f>
        <v>May 2024</v>
      </c>
      <c r="U6849">
        <f>IF(Pipeline_tbl[[#This Row],[Closed_Date]]=0,"",Pipeline_tbl[[#This Row],[Closed_Date]]-Pipeline_tbl[[#This Row],[Created_Date]])</f>
        <v>28</v>
      </c>
    </row>
    <row r="6850" spans="1:21" ht="15" customHeight="1" x14ac:dyDescent="0.2">
      <c r="A6850" t="s">
        <v>7156</v>
      </c>
      <c r="B6850" t="s">
        <v>269</v>
      </c>
      <c r="C6850" t="s">
        <v>56</v>
      </c>
      <c r="D6850" s="49">
        <v>45397</v>
      </c>
      <c r="E6850" s="49">
        <v>45401</v>
      </c>
      <c r="F6850" s="49">
        <v>45410</v>
      </c>
      <c r="G6850" s="49">
        <v>45423</v>
      </c>
      <c r="H6850" s="49">
        <v>45434</v>
      </c>
      <c r="I6850" s="49">
        <v>45440</v>
      </c>
      <c r="J6850" t="s">
        <v>47</v>
      </c>
      <c r="K6850" s="33">
        <v>4900</v>
      </c>
      <c r="M6850" t="str">
        <f>_xlfn.XLOOKUP(Pipeline_tbl[[#This Row],[Rep_ID]],Dim_Reps!A:A,Dim_Reps!K:K)</f>
        <v>USD</v>
      </c>
      <c r="N6850" s="33">
        <f>(_xlfn.XLOOKUP(Pipeline_tbl[[#This Row],[Rate_Code_Generalized]],Lookups!A:A,Lookups!B:B))*Pipeline_tbl[[#This Row],[Pipeline_Amount_USD]]</f>
        <v>5705.07</v>
      </c>
      <c r="O6850" t="str">
        <f>_xlfn.XLOOKUP(Pipeline_tbl[[#This Row],[Rep_ID]],Dim_Reps!A:A,Dim_Reps!B:B)</f>
        <v>Morgan Rivera</v>
      </c>
      <c r="P6850" t="str">
        <f>_xlfn.XLOOKUP(Pipeline_tbl[[#This Row],[Rep_ID]],Dim_Reps!A:A,Dim_Reps!C:C)</f>
        <v>Mid-Market AE</v>
      </c>
      <c r="Q6850" t="str">
        <f>_xlfn.XLOOKUP(Pipeline_tbl[[#This Row],[Rep_ID]],Dim_Reps!A:A,Dim_Reps!D:D)</f>
        <v>Mid-Market</v>
      </c>
      <c r="R6850" t="str">
        <f>_xlfn.XLOOKUP(Pipeline_tbl[[#This Row],[Rep_ID]],Dim_Reps!A:A,Dim_Reps!E:E)</f>
        <v>NAMER</v>
      </c>
      <c r="S6850" t="str">
        <f>_xlfn.XLOOKUP(Pipeline_tbl[[#This Row],[Created_Date]],Dim_Date!A:A,Dim_Date!H:H)</f>
        <v>Apr 2024</v>
      </c>
      <c r="T6850" t="str">
        <f>IF(Pipeline_tbl[[#This Row],[Closed_Date]]=0,"",(_xlfn.XLOOKUP(Pipeline_tbl[[#This Row],[Closed_Date]],Dim_Date!A:A,Dim_Date!H:H)))</f>
        <v>May 2024</v>
      </c>
      <c r="U6850">
        <f>IF(Pipeline_tbl[[#This Row],[Closed_Date]]=0,"",Pipeline_tbl[[#This Row],[Closed_Date]]-Pipeline_tbl[[#This Row],[Created_Date]])</f>
        <v>43</v>
      </c>
    </row>
    <row r="6851" spans="1:21" ht="15" customHeight="1" x14ac:dyDescent="0.2">
      <c r="A6851" t="s">
        <v>7157</v>
      </c>
      <c r="B6851" t="s">
        <v>269</v>
      </c>
      <c r="C6851" t="s">
        <v>52</v>
      </c>
      <c r="D6851" s="49">
        <v>45385</v>
      </c>
      <c r="E6851" s="49">
        <v>45389</v>
      </c>
      <c r="F6851" s="49">
        <v>45396</v>
      </c>
      <c r="G6851" s="49">
        <v>45408</v>
      </c>
      <c r="H6851" s="49">
        <v>45417</v>
      </c>
      <c r="I6851" s="49">
        <v>45423</v>
      </c>
      <c r="J6851" t="s">
        <v>47</v>
      </c>
      <c r="K6851" s="33">
        <v>16900</v>
      </c>
      <c r="M6851" t="str">
        <f>_xlfn.XLOOKUP(Pipeline_tbl[[#This Row],[Rep_ID]],Dim_Reps!A:A,Dim_Reps!K:K)</f>
        <v>USD</v>
      </c>
      <c r="N6851" s="33">
        <f>(_xlfn.XLOOKUP(Pipeline_tbl[[#This Row],[Rate_Code_Generalized]],Lookups!A:A,Lookups!B:B))*Pipeline_tbl[[#This Row],[Pipeline_Amount_USD]]</f>
        <v>19676.669999999998</v>
      </c>
      <c r="O6851" t="str">
        <f>_xlfn.XLOOKUP(Pipeline_tbl[[#This Row],[Rep_ID]],Dim_Reps!A:A,Dim_Reps!B:B)</f>
        <v>Morgan Rivera</v>
      </c>
      <c r="P6851" t="str">
        <f>_xlfn.XLOOKUP(Pipeline_tbl[[#This Row],[Rep_ID]],Dim_Reps!A:A,Dim_Reps!C:C)</f>
        <v>Mid-Market AE</v>
      </c>
      <c r="Q6851" t="str">
        <f>_xlfn.XLOOKUP(Pipeline_tbl[[#This Row],[Rep_ID]],Dim_Reps!A:A,Dim_Reps!D:D)</f>
        <v>Mid-Market</v>
      </c>
      <c r="R6851" t="str">
        <f>_xlfn.XLOOKUP(Pipeline_tbl[[#This Row],[Rep_ID]],Dim_Reps!A:A,Dim_Reps!E:E)</f>
        <v>NAMER</v>
      </c>
      <c r="S6851" t="str">
        <f>_xlfn.XLOOKUP(Pipeline_tbl[[#This Row],[Created_Date]],Dim_Date!A:A,Dim_Date!H:H)</f>
        <v>Apr 2024</v>
      </c>
      <c r="T6851" t="str">
        <f>IF(Pipeline_tbl[[#This Row],[Closed_Date]]=0,"",(_xlfn.XLOOKUP(Pipeline_tbl[[#This Row],[Closed_Date]],Dim_Date!A:A,Dim_Date!H:H)))</f>
        <v>May 2024</v>
      </c>
      <c r="U6851">
        <f>IF(Pipeline_tbl[[#This Row],[Closed_Date]]=0,"",Pipeline_tbl[[#This Row],[Closed_Date]]-Pipeline_tbl[[#This Row],[Created_Date]])</f>
        <v>38</v>
      </c>
    </row>
    <row r="6852" spans="1:21" ht="15" customHeight="1" x14ac:dyDescent="0.2">
      <c r="A6852" t="s">
        <v>7158</v>
      </c>
      <c r="B6852" t="s">
        <v>269</v>
      </c>
      <c r="C6852" t="s">
        <v>53</v>
      </c>
      <c r="D6852" s="49">
        <v>45410</v>
      </c>
      <c r="E6852" s="49">
        <v>45412</v>
      </c>
      <c r="I6852" s="49">
        <v>45432</v>
      </c>
      <c r="J6852" t="s">
        <v>49</v>
      </c>
      <c r="K6852" s="33">
        <v>18900</v>
      </c>
      <c r="L6852" t="s">
        <v>64</v>
      </c>
      <c r="M6852" t="str">
        <f>_xlfn.XLOOKUP(Pipeline_tbl[[#This Row],[Rep_ID]],Dim_Reps!A:A,Dim_Reps!K:K)</f>
        <v>USD</v>
      </c>
      <c r="N6852" s="33">
        <f>(_xlfn.XLOOKUP(Pipeline_tbl[[#This Row],[Rate_Code_Generalized]],Lookups!A:A,Lookups!B:B))*Pipeline_tbl[[#This Row],[Pipeline_Amount_USD]]</f>
        <v>22005.269999999997</v>
      </c>
      <c r="O6852" t="str">
        <f>_xlfn.XLOOKUP(Pipeline_tbl[[#This Row],[Rep_ID]],Dim_Reps!A:A,Dim_Reps!B:B)</f>
        <v>Morgan Rivera</v>
      </c>
      <c r="P6852" t="str">
        <f>_xlfn.XLOOKUP(Pipeline_tbl[[#This Row],[Rep_ID]],Dim_Reps!A:A,Dim_Reps!C:C)</f>
        <v>Mid-Market AE</v>
      </c>
      <c r="Q6852" t="str">
        <f>_xlfn.XLOOKUP(Pipeline_tbl[[#This Row],[Rep_ID]],Dim_Reps!A:A,Dim_Reps!D:D)</f>
        <v>Mid-Market</v>
      </c>
      <c r="R6852" t="str">
        <f>_xlfn.XLOOKUP(Pipeline_tbl[[#This Row],[Rep_ID]],Dim_Reps!A:A,Dim_Reps!E:E)</f>
        <v>NAMER</v>
      </c>
      <c r="S6852" t="str">
        <f>_xlfn.XLOOKUP(Pipeline_tbl[[#This Row],[Created_Date]],Dim_Date!A:A,Dim_Date!H:H)</f>
        <v>Apr 2024</v>
      </c>
      <c r="T6852" t="str">
        <f>IF(Pipeline_tbl[[#This Row],[Closed_Date]]=0,"",(_xlfn.XLOOKUP(Pipeline_tbl[[#This Row],[Closed_Date]],Dim_Date!A:A,Dim_Date!H:H)))</f>
        <v>May 2024</v>
      </c>
      <c r="U6852">
        <f>IF(Pipeline_tbl[[#This Row],[Closed_Date]]=0,"",Pipeline_tbl[[#This Row],[Closed_Date]]-Pipeline_tbl[[#This Row],[Created_Date]])</f>
        <v>22</v>
      </c>
    </row>
    <row r="6853" spans="1:21" ht="15" customHeight="1" x14ac:dyDescent="0.2">
      <c r="A6853" t="s">
        <v>7159</v>
      </c>
      <c r="B6853" t="s">
        <v>271</v>
      </c>
      <c r="C6853" t="s">
        <v>53</v>
      </c>
      <c r="D6853" s="49">
        <v>45391</v>
      </c>
      <c r="E6853" s="49">
        <v>45395</v>
      </c>
      <c r="I6853" s="49">
        <v>45436</v>
      </c>
      <c r="J6853" t="s">
        <v>49</v>
      </c>
      <c r="K6853" s="33">
        <v>9600</v>
      </c>
      <c r="L6853" t="s">
        <v>64</v>
      </c>
      <c r="M6853" t="str">
        <f>_xlfn.XLOOKUP(Pipeline_tbl[[#This Row],[Rep_ID]],Dim_Reps!A:A,Dim_Reps!K:K)</f>
        <v>EUR</v>
      </c>
      <c r="N6853" s="33">
        <f>(_xlfn.XLOOKUP(Pipeline_tbl[[#This Row],[Rate_Code_Generalized]],Lookups!A:A,Lookups!B:B))*Pipeline_tbl[[#This Row],[Pipeline_Amount_USD]]</f>
        <v>9600</v>
      </c>
      <c r="O6853" t="str">
        <f>_xlfn.XLOOKUP(Pipeline_tbl[[#This Row],[Rep_ID]],Dim_Reps!A:A,Dim_Reps!B:B)</f>
        <v>Ivy Adler</v>
      </c>
      <c r="P6853" t="str">
        <f>_xlfn.XLOOKUP(Pipeline_tbl[[#This Row],[Rep_ID]],Dim_Reps!A:A,Dim_Reps!C:C)</f>
        <v>Mid-Market AE</v>
      </c>
      <c r="Q6853" t="str">
        <f>_xlfn.XLOOKUP(Pipeline_tbl[[#This Row],[Rep_ID]],Dim_Reps!A:A,Dim_Reps!D:D)</f>
        <v>Mid-Market</v>
      </c>
      <c r="R6853" t="str">
        <f>_xlfn.XLOOKUP(Pipeline_tbl[[#This Row],[Rep_ID]],Dim_Reps!A:A,Dim_Reps!E:E)</f>
        <v>APAC</v>
      </c>
      <c r="S6853" t="str">
        <f>_xlfn.XLOOKUP(Pipeline_tbl[[#This Row],[Created_Date]],Dim_Date!A:A,Dim_Date!H:H)</f>
        <v>Apr 2024</v>
      </c>
      <c r="T6853" t="str">
        <f>IF(Pipeline_tbl[[#This Row],[Closed_Date]]=0,"",(_xlfn.XLOOKUP(Pipeline_tbl[[#This Row],[Closed_Date]],Dim_Date!A:A,Dim_Date!H:H)))</f>
        <v>May 2024</v>
      </c>
      <c r="U6853">
        <f>IF(Pipeline_tbl[[#This Row],[Closed_Date]]=0,"",Pipeline_tbl[[#This Row],[Closed_Date]]-Pipeline_tbl[[#This Row],[Created_Date]])</f>
        <v>45</v>
      </c>
    </row>
    <row r="6854" spans="1:21" ht="15" customHeight="1" x14ac:dyDescent="0.2">
      <c r="A6854" t="s">
        <v>7160</v>
      </c>
      <c r="B6854" t="s">
        <v>271</v>
      </c>
      <c r="C6854" t="s">
        <v>53</v>
      </c>
      <c r="D6854" s="49">
        <v>45395</v>
      </c>
      <c r="E6854" s="49">
        <v>45399</v>
      </c>
      <c r="F6854" s="49">
        <v>45406</v>
      </c>
      <c r="G6854" s="49">
        <v>45416</v>
      </c>
      <c r="H6854" s="49">
        <v>45425</v>
      </c>
      <c r="I6854" s="49">
        <v>45430</v>
      </c>
      <c r="J6854" t="s">
        <v>47</v>
      </c>
      <c r="K6854" s="33">
        <v>8800</v>
      </c>
      <c r="M6854" t="str">
        <f>_xlfn.XLOOKUP(Pipeline_tbl[[#This Row],[Rep_ID]],Dim_Reps!A:A,Dim_Reps!K:K)</f>
        <v>EUR</v>
      </c>
      <c r="N6854" s="33">
        <f>(_xlfn.XLOOKUP(Pipeline_tbl[[#This Row],[Rate_Code_Generalized]],Lookups!A:A,Lookups!B:B))*Pipeline_tbl[[#This Row],[Pipeline_Amount_USD]]</f>
        <v>8800</v>
      </c>
      <c r="O6854" t="str">
        <f>_xlfn.XLOOKUP(Pipeline_tbl[[#This Row],[Rep_ID]],Dim_Reps!A:A,Dim_Reps!B:B)</f>
        <v>Ivy Adler</v>
      </c>
      <c r="P6854" t="str">
        <f>_xlfn.XLOOKUP(Pipeline_tbl[[#This Row],[Rep_ID]],Dim_Reps!A:A,Dim_Reps!C:C)</f>
        <v>Mid-Market AE</v>
      </c>
      <c r="Q6854" t="str">
        <f>_xlfn.XLOOKUP(Pipeline_tbl[[#This Row],[Rep_ID]],Dim_Reps!A:A,Dim_Reps!D:D)</f>
        <v>Mid-Market</v>
      </c>
      <c r="R6854" t="str">
        <f>_xlfn.XLOOKUP(Pipeline_tbl[[#This Row],[Rep_ID]],Dim_Reps!A:A,Dim_Reps!E:E)</f>
        <v>APAC</v>
      </c>
      <c r="S6854" t="str">
        <f>_xlfn.XLOOKUP(Pipeline_tbl[[#This Row],[Created_Date]],Dim_Date!A:A,Dim_Date!H:H)</f>
        <v>Apr 2024</v>
      </c>
      <c r="T6854" t="str">
        <f>IF(Pipeline_tbl[[#This Row],[Closed_Date]]=0,"",(_xlfn.XLOOKUP(Pipeline_tbl[[#This Row],[Closed_Date]],Dim_Date!A:A,Dim_Date!H:H)))</f>
        <v>May 2024</v>
      </c>
      <c r="U6854">
        <f>IF(Pipeline_tbl[[#This Row],[Closed_Date]]=0,"",Pipeline_tbl[[#This Row],[Closed_Date]]-Pipeline_tbl[[#This Row],[Created_Date]])</f>
        <v>35</v>
      </c>
    </row>
    <row r="6855" spans="1:21" ht="15" customHeight="1" x14ac:dyDescent="0.2">
      <c r="A6855" t="s">
        <v>7161</v>
      </c>
      <c r="B6855" t="s">
        <v>271</v>
      </c>
      <c r="C6855" t="s">
        <v>52</v>
      </c>
      <c r="D6855" s="49">
        <v>45393</v>
      </c>
      <c r="E6855" s="49">
        <v>45395</v>
      </c>
      <c r="F6855" s="49">
        <v>45400</v>
      </c>
      <c r="G6855" s="49">
        <v>45407</v>
      </c>
      <c r="I6855" s="49">
        <v>45416</v>
      </c>
      <c r="J6855" t="s">
        <v>49</v>
      </c>
      <c r="K6855" s="33">
        <v>11600</v>
      </c>
      <c r="L6855" t="s">
        <v>62</v>
      </c>
      <c r="M6855" t="str">
        <f>_xlfn.XLOOKUP(Pipeline_tbl[[#This Row],[Rep_ID]],Dim_Reps!A:A,Dim_Reps!K:K)</f>
        <v>EUR</v>
      </c>
      <c r="N6855" s="33">
        <f>(_xlfn.XLOOKUP(Pipeline_tbl[[#This Row],[Rate_Code_Generalized]],Lookups!A:A,Lookups!B:B))*Pipeline_tbl[[#This Row],[Pipeline_Amount_USD]]</f>
        <v>11600</v>
      </c>
      <c r="O6855" t="str">
        <f>_xlfn.XLOOKUP(Pipeline_tbl[[#This Row],[Rep_ID]],Dim_Reps!A:A,Dim_Reps!B:B)</f>
        <v>Ivy Adler</v>
      </c>
      <c r="P6855" t="str">
        <f>_xlfn.XLOOKUP(Pipeline_tbl[[#This Row],[Rep_ID]],Dim_Reps!A:A,Dim_Reps!C:C)</f>
        <v>Mid-Market AE</v>
      </c>
      <c r="Q6855" t="str">
        <f>_xlfn.XLOOKUP(Pipeline_tbl[[#This Row],[Rep_ID]],Dim_Reps!A:A,Dim_Reps!D:D)</f>
        <v>Mid-Market</v>
      </c>
      <c r="R6855" t="str">
        <f>_xlfn.XLOOKUP(Pipeline_tbl[[#This Row],[Rep_ID]],Dim_Reps!A:A,Dim_Reps!E:E)</f>
        <v>APAC</v>
      </c>
      <c r="S6855" t="str">
        <f>_xlfn.XLOOKUP(Pipeline_tbl[[#This Row],[Created_Date]],Dim_Date!A:A,Dim_Date!H:H)</f>
        <v>Apr 2024</v>
      </c>
      <c r="T6855" t="str">
        <f>IF(Pipeline_tbl[[#This Row],[Closed_Date]]=0,"",(_xlfn.XLOOKUP(Pipeline_tbl[[#This Row],[Closed_Date]],Dim_Date!A:A,Dim_Date!H:H)))</f>
        <v>May 2024</v>
      </c>
      <c r="U6855">
        <f>IF(Pipeline_tbl[[#This Row],[Closed_Date]]=0,"",Pipeline_tbl[[#This Row],[Closed_Date]]-Pipeline_tbl[[#This Row],[Created_Date]])</f>
        <v>23</v>
      </c>
    </row>
    <row r="6856" spans="1:21" ht="15" customHeight="1" x14ac:dyDescent="0.2">
      <c r="A6856" t="s">
        <v>7162</v>
      </c>
      <c r="B6856" t="s">
        <v>271</v>
      </c>
      <c r="C6856" t="s">
        <v>52</v>
      </c>
      <c r="D6856" s="49">
        <v>45392</v>
      </c>
      <c r="E6856" s="49">
        <v>45395</v>
      </c>
      <c r="F6856" s="49">
        <v>45401</v>
      </c>
      <c r="I6856" s="49">
        <v>45421</v>
      </c>
      <c r="J6856" t="s">
        <v>49</v>
      </c>
      <c r="K6856" s="33">
        <v>10100</v>
      </c>
      <c r="L6856" t="s">
        <v>64</v>
      </c>
      <c r="M6856" t="str">
        <f>_xlfn.XLOOKUP(Pipeline_tbl[[#This Row],[Rep_ID]],Dim_Reps!A:A,Dim_Reps!K:K)</f>
        <v>EUR</v>
      </c>
      <c r="N6856" s="33">
        <f>(_xlfn.XLOOKUP(Pipeline_tbl[[#This Row],[Rate_Code_Generalized]],Lookups!A:A,Lookups!B:B))*Pipeline_tbl[[#This Row],[Pipeline_Amount_USD]]</f>
        <v>10100</v>
      </c>
      <c r="O6856" t="str">
        <f>_xlfn.XLOOKUP(Pipeline_tbl[[#This Row],[Rep_ID]],Dim_Reps!A:A,Dim_Reps!B:B)</f>
        <v>Ivy Adler</v>
      </c>
      <c r="P6856" t="str">
        <f>_xlfn.XLOOKUP(Pipeline_tbl[[#This Row],[Rep_ID]],Dim_Reps!A:A,Dim_Reps!C:C)</f>
        <v>Mid-Market AE</v>
      </c>
      <c r="Q6856" t="str">
        <f>_xlfn.XLOOKUP(Pipeline_tbl[[#This Row],[Rep_ID]],Dim_Reps!A:A,Dim_Reps!D:D)</f>
        <v>Mid-Market</v>
      </c>
      <c r="R6856" t="str">
        <f>_xlfn.XLOOKUP(Pipeline_tbl[[#This Row],[Rep_ID]],Dim_Reps!A:A,Dim_Reps!E:E)</f>
        <v>APAC</v>
      </c>
      <c r="S6856" t="str">
        <f>_xlfn.XLOOKUP(Pipeline_tbl[[#This Row],[Created_Date]],Dim_Date!A:A,Dim_Date!H:H)</f>
        <v>Apr 2024</v>
      </c>
      <c r="T6856" t="str">
        <f>IF(Pipeline_tbl[[#This Row],[Closed_Date]]=0,"",(_xlfn.XLOOKUP(Pipeline_tbl[[#This Row],[Closed_Date]],Dim_Date!A:A,Dim_Date!H:H)))</f>
        <v>May 2024</v>
      </c>
      <c r="U6856">
        <f>IF(Pipeline_tbl[[#This Row],[Closed_Date]]=0,"",Pipeline_tbl[[#This Row],[Closed_Date]]-Pipeline_tbl[[#This Row],[Created_Date]])</f>
        <v>29</v>
      </c>
    </row>
    <row r="6857" spans="1:21" ht="15" customHeight="1" x14ac:dyDescent="0.2">
      <c r="A6857" t="s">
        <v>7163</v>
      </c>
      <c r="B6857" t="s">
        <v>271</v>
      </c>
      <c r="C6857" t="s">
        <v>53</v>
      </c>
      <c r="D6857" s="49">
        <v>45397</v>
      </c>
      <c r="E6857" s="49">
        <v>45401</v>
      </c>
      <c r="I6857" s="49">
        <v>45442</v>
      </c>
      <c r="J6857" t="s">
        <v>49</v>
      </c>
      <c r="K6857" s="33">
        <v>18100</v>
      </c>
      <c r="L6857" t="s">
        <v>60</v>
      </c>
      <c r="M6857" t="str">
        <f>_xlfn.XLOOKUP(Pipeline_tbl[[#This Row],[Rep_ID]],Dim_Reps!A:A,Dim_Reps!K:K)</f>
        <v>EUR</v>
      </c>
      <c r="N6857" s="33">
        <f>(_xlfn.XLOOKUP(Pipeline_tbl[[#This Row],[Rate_Code_Generalized]],Lookups!A:A,Lookups!B:B))*Pipeline_tbl[[#This Row],[Pipeline_Amount_USD]]</f>
        <v>18100</v>
      </c>
      <c r="O6857" t="str">
        <f>_xlfn.XLOOKUP(Pipeline_tbl[[#This Row],[Rep_ID]],Dim_Reps!A:A,Dim_Reps!B:B)</f>
        <v>Ivy Adler</v>
      </c>
      <c r="P6857" t="str">
        <f>_xlfn.XLOOKUP(Pipeline_tbl[[#This Row],[Rep_ID]],Dim_Reps!A:A,Dim_Reps!C:C)</f>
        <v>Mid-Market AE</v>
      </c>
      <c r="Q6857" t="str">
        <f>_xlfn.XLOOKUP(Pipeline_tbl[[#This Row],[Rep_ID]],Dim_Reps!A:A,Dim_Reps!D:D)</f>
        <v>Mid-Market</v>
      </c>
      <c r="R6857" t="str">
        <f>_xlfn.XLOOKUP(Pipeline_tbl[[#This Row],[Rep_ID]],Dim_Reps!A:A,Dim_Reps!E:E)</f>
        <v>APAC</v>
      </c>
      <c r="S6857" t="str">
        <f>_xlfn.XLOOKUP(Pipeline_tbl[[#This Row],[Created_Date]],Dim_Date!A:A,Dim_Date!H:H)</f>
        <v>Apr 2024</v>
      </c>
      <c r="T6857" t="str">
        <f>IF(Pipeline_tbl[[#This Row],[Closed_Date]]=0,"",(_xlfn.XLOOKUP(Pipeline_tbl[[#This Row],[Closed_Date]],Dim_Date!A:A,Dim_Date!H:H)))</f>
        <v>May 2024</v>
      </c>
      <c r="U6857">
        <f>IF(Pipeline_tbl[[#This Row],[Closed_Date]]=0,"",Pipeline_tbl[[#This Row],[Closed_Date]]-Pipeline_tbl[[#This Row],[Created_Date]])</f>
        <v>45</v>
      </c>
    </row>
    <row r="6858" spans="1:21" ht="15" customHeight="1" x14ac:dyDescent="0.2">
      <c r="A6858" t="s">
        <v>7164</v>
      </c>
      <c r="B6858" t="s">
        <v>241</v>
      </c>
      <c r="C6858" t="s">
        <v>52</v>
      </c>
      <c r="D6858" s="49">
        <v>45407</v>
      </c>
      <c r="E6858" s="49">
        <v>45408</v>
      </c>
      <c r="F6858" s="49">
        <v>45411</v>
      </c>
      <c r="G6858" s="49">
        <v>45414</v>
      </c>
      <c r="I6858" s="49">
        <v>45419</v>
      </c>
      <c r="J6858" t="s">
        <v>49</v>
      </c>
      <c r="K6858" s="33">
        <v>4100</v>
      </c>
      <c r="L6858" t="s">
        <v>61</v>
      </c>
      <c r="M6858" t="str">
        <f>_xlfn.XLOOKUP(Pipeline_tbl[[#This Row],[Rep_ID]],Dim_Reps!A:A,Dim_Reps!K:K)</f>
        <v>EUR</v>
      </c>
      <c r="N6858" s="33">
        <f>(_xlfn.XLOOKUP(Pipeline_tbl[[#This Row],[Rate_Code_Generalized]],Lookups!A:A,Lookups!B:B))*Pipeline_tbl[[#This Row],[Pipeline_Amount_USD]]</f>
        <v>4100</v>
      </c>
      <c r="O6858" t="str">
        <f>_xlfn.XLOOKUP(Pipeline_tbl[[#This Row],[Rep_ID]],Dim_Reps!A:A,Dim_Reps!B:B)</f>
        <v>Kenji Weber</v>
      </c>
      <c r="P6858" t="str">
        <f>_xlfn.XLOOKUP(Pipeline_tbl[[#This Row],[Rep_ID]],Dim_Reps!A:A,Dim_Reps!C:C)</f>
        <v>SDR / Inside Sales Rep</v>
      </c>
      <c r="Q6858" t="str">
        <f>_xlfn.XLOOKUP(Pipeline_tbl[[#This Row],[Rep_ID]],Dim_Reps!A:A,Dim_Reps!D:D)</f>
        <v>Inside Sales</v>
      </c>
      <c r="R6858" t="str">
        <f>_xlfn.XLOOKUP(Pipeline_tbl[[#This Row],[Rep_ID]],Dim_Reps!A:A,Dim_Reps!E:E)</f>
        <v>APAC</v>
      </c>
      <c r="S6858" t="str">
        <f>_xlfn.XLOOKUP(Pipeline_tbl[[#This Row],[Created_Date]],Dim_Date!A:A,Dim_Date!H:H)</f>
        <v>Apr 2024</v>
      </c>
      <c r="T6858" t="str">
        <f>IF(Pipeline_tbl[[#This Row],[Closed_Date]]=0,"",(_xlfn.XLOOKUP(Pipeline_tbl[[#This Row],[Closed_Date]],Dim_Date!A:A,Dim_Date!H:H)))</f>
        <v>May 2024</v>
      </c>
      <c r="U6858">
        <f>IF(Pipeline_tbl[[#This Row],[Closed_Date]]=0,"",Pipeline_tbl[[#This Row],[Closed_Date]]-Pipeline_tbl[[#This Row],[Created_Date]])</f>
        <v>12</v>
      </c>
    </row>
    <row r="6859" spans="1:21" ht="15" customHeight="1" x14ac:dyDescent="0.2">
      <c r="A6859" t="s">
        <v>7165</v>
      </c>
      <c r="B6859" t="s">
        <v>241</v>
      </c>
      <c r="C6859" t="s">
        <v>56</v>
      </c>
      <c r="D6859" s="49">
        <v>45403</v>
      </c>
      <c r="E6859" s="49">
        <v>45406</v>
      </c>
      <c r="I6859" s="49">
        <v>45429</v>
      </c>
      <c r="J6859" t="s">
        <v>49</v>
      </c>
      <c r="K6859" s="33">
        <v>4300</v>
      </c>
      <c r="L6859" t="s">
        <v>61</v>
      </c>
      <c r="M6859" t="str">
        <f>_xlfn.XLOOKUP(Pipeline_tbl[[#This Row],[Rep_ID]],Dim_Reps!A:A,Dim_Reps!K:K)</f>
        <v>EUR</v>
      </c>
      <c r="N6859" s="33">
        <f>(_xlfn.XLOOKUP(Pipeline_tbl[[#This Row],[Rate_Code_Generalized]],Lookups!A:A,Lookups!B:B))*Pipeline_tbl[[#This Row],[Pipeline_Amount_USD]]</f>
        <v>4300</v>
      </c>
      <c r="O6859" t="str">
        <f>_xlfn.XLOOKUP(Pipeline_tbl[[#This Row],[Rep_ID]],Dim_Reps!A:A,Dim_Reps!B:B)</f>
        <v>Kenji Weber</v>
      </c>
      <c r="P6859" t="str">
        <f>_xlfn.XLOOKUP(Pipeline_tbl[[#This Row],[Rep_ID]],Dim_Reps!A:A,Dim_Reps!C:C)</f>
        <v>SDR / Inside Sales Rep</v>
      </c>
      <c r="Q6859" t="str">
        <f>_xlfn.XLOOKUP(Pipeline_tbl[[#This Row],[Rep_ID]],Dim_Reps!A:A,Dim_Reps!D:D)</f>
        <v>Inside Sales</v>
      </c>
      <c r="R6859" t="str">
        <f>_xlfn.XLOOKUP(Pipeline_tbl[[#This Row],[Rep_ID]],Dim_Reps!A:A,Dim_Reps!E:E)</f>
        <v>APAC</v>
      </c>
      <c r="S6859" t="str">
        <f>_xlfn.XLOOKUP(Pipeline_tbl[[#This Row],[Created_Date]],Dim_Date!A:A,Dim_Date!H:H)</f>
        <v>Apr 2024</v>
      </c>
      <c r="T6859" t="str">
        <f>IF(Pipeline_tbl[[#This Row],[Closed_Date]]=0,"",(_xlfn.XLOOKUP(Pipeline_tbl[[#This Row],[Closed_Date]],Dim_Date!A:A,Dim_Date!H:H)))</f>
        <v>May 2024</v>
      </c>
      <c r="U6859">
        <f>IF(Pipeline_tbl[[#This Row],[Closed_Date]]=0,"",Pipeline_tbl[[#This Row],[Closed_Date]]-Pipeline_tbl[[#This Row],[Created_Date]])</f>
        <v>26</v>
      </c>
    </row>
    <row r="6860" spans="1:21" ht="15" customHeight="1" x14ac:dyDescent="0.2">
      <c r="A6860" t="s">
        <v>7166</v>
      </c>
      <c r="B6860" t="s">
        <v>278</v>
      </c>
      <c r="C6860" t="s">
        <v>53</v>
      </c>
      <c r="D6860" s="49">
        <v>45412</v>
      </c>
      <c r="E6860" s="49">
        <v>45425</v>
      </c>
      <c r="F6860" s="49">
        <v>45450</v>
      </c>
      <c r="G6860" s="49">
        <v>45488</v>
      </c>
      <c r="I6860" s="49">
        <v>45539</v>
      </c>
      <c r="J6860" t="s">
        <v>49</v>
      </c>
      <c r="K6860" s="33">
        <v>76700</v>
      </c>
      <c r="L6860" t="s">
        <v>60</v>
      </c>
      <c r="M6860" t="str">
        <f>_xlfn.XLOOKUP(Pipeline_tbl[[#This Row],[Rep_ID]],Dim_Reps!A:A,Dim_Reps!K:K)</f>
        <v>EUR</v>
      </c>
      <c r="N6860" s="33">
        <f>(_xlfn.XLOOKUP(Pipeline_tbl[[#This Row],[Rate_Code_Generalized]],Lookups!A:A,Lookups!B:B))*Pipeline_tbl[[#This Row],[Pipeline_Amount_USD]]</f>
        <v>76700</v>
      </c>
      <c r="O6860" t="str">
        <f>_xlfn.XLOOKUP(Pipeline_tbl[[#This Row],[Rep_ID]],Dim_Reps!A:A,Dim_Reps!B:B)</f>
        <v>Sara Andersson</v>
      </c>
      <c r="P6860" t="str">
        <f>_xlfn.XLOOKUP(Pipeline_tbl[[#This Row],[Rep_ID]],Dim_Reps!A:A,Dim_Reps!C:C)</f>
        <v>Senior Enterprise AE</v>
      </c>
      <c r="Q6860" t="str">
        <f>_xlfn.XLOOKUP(Pipeline_tbl[[#This Row],[Rep_ID]],Dim_Reps!A:A,Dim_Reps!D:D)</f>
        <v>Strategic</v>
      </c>
      <c r="R6860" t="str">
        <f>_xlfn.XLOOKUP(Pipeline_tbl[[#This Row],[Rep_ID]],Dim_Reps!A:A,Dim_Reps!E:E)</f>
        <v>APAC</v>
      </c>
      <c r="S6860" t="str">
        <f>_xlfn.XLOOKUP(Pipeline_tbl[[#This Row],[Created_Date]],Dim_Date!A:A,Dim_Date!H:H)</f>
        <v>Apr 2024</v>
      </c>
      <c r="T6860" t="str">
        <f>IF(Pipeline_tbl[[#This Row],[Closed_Date]]=0,"",(_xlfn.XLOOKUP(Pipeline_tbl[[#This Row],[Closed_Date]],Dim_Date!A:A,Dim_Date!H:H)))</f>
        <v>Sep 2024</v>
      </c>
      <c r="U6860">
        <f>IF(Pipeline_tbl[[#This Row],[Closed_Date]]=0,"",Pipeline_tbl[[#This Row],[Closed_Date]]-Pipeline_tbl[[#This Row],[Created_Date]])</f>
        <v>127</v>
      </c>
    </row>
  </sheetData>
  <pageMargins left="0.75" right="0.75" top="1" bottom="1" header="0.511811023622047" footer="0.511811023622047"/>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732"/>
  <sheetViews>
    <sheetView zoomScaleNormal="100" workbookViewId="0">
      <pane ySplit="1" topLeftCell="A559" activePane="bottomLeft" state="frozen"/>
      <selection pane="bottomLeft" activeCell="I710" sqref="I710"/>
    </sheetView>
  </sheetViews>
  <sheetFormatPr baseColWidth="10" defaultColWidth="8.83203125" defaultRowHeight="15" x14ac:dyDescent="0.2"/>
  <cols>
    <col min="1" max="1" width="10.1640625" customWidth="1"/>
    <col min="2" max="2" width="9" customWidth="1"/>
    <col min="3" max="3" width="9.6640625" customWidth="1"/>
    <col min="4" max="4" width="13.1640625" customWidth="1"/>
    <col min="5" max="5" width="9" customWidth="1"/>
    <col min="6" max="6" width="13.33203125" customWidth="1"/>
    <col min="7" max="7" width="13" customWidth="1"/>
    <col min="8" max="8" width="12.33203125" customWidth="1"/>
    <col min="9" max="9" width="16.1640625" customWidth="1"/>
    <col min="10" max="10" width="9" customWidth="1"/>
    <col min="11" max="11" width="15.1640625" customWidth="1"/>
    <col min="12" max="12" width="12.1640625" customWidth="1"/>
    <col min="13" max="13" width="13.1640625" customWidth="1"/>
  </cols>
  <sheetData>
    <row r="1" spans="1:13" s="46" customFormat="1" ht="15.75" customHeight="1" x14ac:dyDescent="0.2">
      <c r="A1" s="46" t="s">
        <v>7167</v>
      </c>
      <c r="B1" s="46" t="s">
        <v>165</v>
      </c>
      <c r="C1" s="46" t="s">
        <v>7168</v>
      </c>
      <c r="D1" s="46" t="s">
        <v>7169</v>
      </c>
      <c r="E1" s="46" t="s">
        <v>164</v>
      </c>
      <c r="F1" s="46" t="s">
        <v>7170</v>
      </c>
      <c r="G1" s="46" t="s">
        <v>7171</v>
      </c>
      <c r="H1" s="46" t="s">
        <v>7172</v>
      </c>
      <c r="I1" s="46" t="s">
        <v>7173</v>
      </c>
      <c r="J1" s="46" t="s">
        <v>7174</v>
      </c>
      <c r="K1" s="46" t="s">
        <v>7175</v>
      </c>
      <c r="L1" s="46" t="s">
        <v>7176</v>
      </c>
      <c r="M1" s="46" t="s">
        <v>7177</v>
      </c>
    </row>
    <row r="2" spans="1:13" ht="15" customHeight="1" x14ac:dyDescent="0.2">
      <c r="A2" s="49">
        <v>45292</v>
      </c>
      <c r="B2">
        <v>2024</v>
      </c>
      <c r="C2" t="s">
        <v>7178</v>
      </c>
      <c r="D2" t="s">
        <v>7179</v>
      </c>
      <c r="E2">
        <v>1</v>
      </c>
      <c r="F2" t="s">
        <v>7180</v>
      </c>
      <c r="G2" t="s">
        <v>7181</v>
      </c>
      <c r="H2" t="s">
        <v>7182</v>
      </c>
      <c r="I2" s="49">
        <v>45292</v>
      </c>
      <c r="J2">
        <v>1</v>
      </c>
      <c r="K2" t="s">
        <v>7183</v>
      </c>
      <c r="L2" t="b">
        <f>FALSE()</f>
        <v>0</v>
      </c>
      <c r="M2">
        <v>1</v>
      </c>
    </row>
    <row r="3" spans="1:13" ht="15" customHeight="1" x14ac:dyDescent="0.2">
      <c r="A3" s="49">
        <v>45293</v>
      </c>
      <c r="B3">
        <v>2024</v>
      </c>
      <c r="C3" t="s">
        <v>7178</v>
      </c>
      <c r="D3" t="s">
        <v>7179</v>
      </c>
      <c r="E3">
        <v>1</v>
      </c>
      <c r="F3" t="s">
        <v>7180</v>
      </c>
      <c r="G3" t="s">
        <v>7181</v>
      </c>
      <c r="H3" t="s">
        <v>7182</v>
      </c>
      <c r="I3" s="49">
        <v>45292</v>
      </c>
      <c r="J3">
        <v>2</v>
      </c>
      <c r="K3" t="s">
        <v>7184</v>
      </c>
      <c r="L3" t="b">
        <f>FALSE()</f>
        <v>0</v>
      </c>
      <c r="M3">
        <v>1</v>
      </c>
    </row>
    <row r="4" spans="1:13" ht="15" customHeight="1" x14ac:dyDescent="0.2">
      <c r="A4" s="49">
        <v>45294</v>
      </c>
      <c r="B4">
        <v>2024</v>
      </c>
      <c r="C4" t="s">
        <v>7178</v>
      </c>
      <c r="D4" t="s">
        <v>7179</v>
      </c>
      <c r="E4">
        <v>1</v>
      </c>
      <c r="F4" t="s">
        <v>7180</v>
      </c>
      <c r="G4" t="s">
        <v>7181</v>
      </c>
      <c r="H4" t="s">
        <v>7182</v>
      </c>
      <c r="I4" s="49">
        <v>45292</v>
      </c>
      <c r="J4">
        <v>3</v>
      </c>
      <c r="K4" t="s">
        <v>7185</v>
      </c>
      <c r="L4" t="b">
        <f>FALSE()</f>
        <v>0</v>
      </c>
      <c r="M4">
        <v>1</v>
      </c>
    </row>
    <row r="5" spans="1:13" ht="15" customHeight="1" x14ac:dyDescent="0.2">
      <c r="A5" s="49">
        <v>45295</v>
      </c>
      <c r="B5">
        <v>2024</v>
      </c>
      <c r="C5" t="s">
        <v>7178</v>
      </c>
      <c r="D5" t="s">
        <v>7179</v>
      </c>
      <c r="E5">
        <v>1</v>
      </c>
      <c r="F5" t="s">
        <v>7180</v>
      </c>
      <c r="G5" t="s">
        <v>7181</v>
      </c>
      <c r="H5" t="s">
        <v>7182</v>
      </c>
      <c r="I5" s="49">
        <v>45292</v>
      </c>
      <c r="J5">
        <v>4</v>
      </c>
      <c r="K5" t="s">
        <v>7186</v>
      </c>
      <c r="L5" t="b">
        <f>FALSE()</f>
        <v>0</v>
      </c>
      <c r="M5">
        <v>1</v>
      </c>
    </row>
    <row r="6" spans="1:13" ht="15" customHeight="1" x14ac:dyDescent="0.2">
      <c r="A6" s="49">
        <v>45296</v>
      </c>
      <c r="B6">
        <v>2024</v>
      </c>
      <c r="C6" t="s">
        <v>7178</v>
      </c>
      <c r="D6" t="s">
        <v>7179</v>
      </c>
      <c r="E6">
        <v>1</v>
      </c>
      <c r="F6" t="s">
        <v>7180</v>
      </c>
      <c r="G6" t="s">
        <v>7181</v>
      </c>
      <c r="H6" t="s">
        <v>7182</v>
      </c>
      <c r="I6" s="49">
        <v>45292</v>
      </c>
      <c r="J6">
        <v>5</v>
      </c>
      <c r="K6" t="s">
        <v>7187</v>
      </c>
      <c r="L6" t="b">
        <f>FALSE()</f>
        <v>0</v>
      </c>
      <c r="M6">
        <v>1</v>
      </c>
    </row>
    <row r="7" spans="1:13" ht="15" customHeight="1" x14ac:dyDescent="0.2">
      <c r="A7" s="49">
        <v>45297</v>
      </c>
      <c r="B7">
        <v>2024</v>
      </c>
      <c r="C7" t="s">
        <v>7178</v>
      </c>
      <c r="D7" t="s">
        <v>7179</v>
      </c>
      <c r="E7">
        <v>1</v>
      </c>
      <c r="F7" t="s">
        <v>7180</v>
      </c>
      <c r="G7" t="s">
        <v>7181</v>
      </c>
      <c r="H7" t="s">
        <v>7182</v>
      </c>
      <c r="I7" s="49">
        <v>45292</v>
      </c>
      <c r="J7">
        <v>6</v>
      </c>
      <c r="K7" t="s">
        <v>7188</v>
      </c>
      <c r="L7" t="b">
        <f>TRUE()</f>
        <v>1</v>
      </c>
      <c r="M7">
        <v>1</v>
      </c>
    </row>
    <row r="8" spans="1:13" ht="15" customHeight="1" x14ac:dyDescent="0.2">
      <c r="A8" s="49">
        <v>45298</v>
      </c>
      <c r="B8">
        <v>2024</v>
      </c>
      <c r="C8" t="s">
        <v>7178</v>
      </c>
      <c r="D8" t="s">
        <v>7179</v>
      </c>
      <c r="E8">
        <v>1</v>
      </c>
      <c r="F8" t="s">
        <v>7180</v>
      </c>
      <c r="G8" t="s">
        <v>7181</v>
      </c>
      <c r="H8" t="s">
        <v>7182</v>
      </c>
      <c r="I8" s="49">
        <v>45292</v>
      </c>
      <c r="J8">
        <v>7</v>
      </c>
      <c r="K8" t="s">
        <v>7189</v>
      </c>
      <c r="L8" t="b">
        <f>TRUE()</f>
        <v>1</v>
      </c>
      <c r="M8">
        <v>1</v>
      </c>
    </row>
    <row r="9" spans="1:13" ht="15" customHeight="1" x14ac:dyDescent="0.2">
      <c r="A9" s="49">
        <v>45299</v>
      </c>
      <c r="B9">
        <v>2024</v>
      </c>
      <c r="C9" t="s">
        <v>7178</v>
      </c>
      <c r="D9" t="s">
        <v>7179</v>
      </c>
      <c r="E9">
        <v>1</v>
      </c>
      <c r="F9" t="s">
        <v>7180</v>
      </c>
      <c r="G9" t="s">
        <v>7181</v>
      </c>
      <c r="H9" t="s">
        <v>7182</v>
      </c>
      <c r="I9" s="49">
        <v>45292</v>
      </c>
      <c r="J9">
        <v>8</v>
      </c>
      <c r="K9" t="s">
        <v>7183</v>
      </c>
      <c r="L9" t="b">
        <f>FALSE()</f>
        <v>0</v>
      </c>
      <c r="M9">
        <v>2</v>
      </c>
    </row>
    <row r="10" spans="1:13" ht="15" customHeight="1" x14ac:dyDescent="0.2">
      <c r="A10" s="49">
        <v>45300</v>
      </c>
      <c r="B10">
        <v>2024</v>
      </c>
      <c r="C10" t="s">
        <v>7178</v>
      </c>
      <c r="D10" t="s">
        <v>7179</v>
      </c>
      <c r="E10">
        <v>1</v>
      </c>
      <c r="F10" t="s">
        <v>7180</v>
      </c>
      <c r="G10" t="s">
        <v>7181</v>
      </c>
      <c r="H10" t="s">
        <v>7182</v>
      </c>
      <c r="I10" s="49">
        <v>45292</v>
      </c>
      <c r="J10">
        <v>9</v>
      </c>
      <c r="K10" t="s">
        <v>7184</v>
      </c>
      <c r="L10" t="b">
        <f>FALSE()</f>
        <v>0</v>
      </c>
      <c r="M10">
        <v>2</v>
      </c>
    </row>
    <row r="11" spans="1:13" ht="15" customHeight="1" x14ac:dyDescent="0.2">
      <c r="A11" s="49">
        <v>45301</v>
      </c>
      <c r="B11">
        <v>2024</v>
      </c>
      <c r="C11" t="s">
        <v>7178</v>
      </c>
      <c r="D11" t="s">
        <v>7179</v>
      </c>
      <c r="E11">
        <v>1</v>
      </c>
      <c r="F11" t="s">
        <v>7180</v>
      </c>
      <c r="G11" t="s">
        <v>7181</v>
      </c>
      <c r="H11" t="s">
        <v>7182</v>
      </c>
      <c r="I11" s="49">
        <v>45292</v>
      </c>
      <c r="J11">
        <v>10</v>
      </c>
      <c r="K11" t="s">
        <v>7185</v>
      </c>
      <c r="L11" t="b">
        <f>FALSE()</f>
        <v>0</v>
      </c>
      <c r="M11">
        <v>2</v>
      </c>
    </row>
    <row r="12" spans="1:13" ht="15" customHeight="1" x14ac:dyDescent="0.2">
      <c r="A12" s="49">
        <v>45302</v>
      </c>
      <c r="B12">
        <v>2024</v>
      </c>
      <c r="C12" t="s">
        <v>7178</v>
      </c>
      <c r="D12" t="s">
        <v>7179</v>
      </c>
      <c r="E12">
        <v>1</v>
      </c>
      <c r="F12" t="s">
        <v>7180</v>
      </c>
      <c r="G12" t="s">
        <v>7181</v>
      </c>
      <c r="H12" t="s">
        <v>7182</v>
      </c>
      <c r="I12" s="49">
        <v>45292</v>
      </c>
      <c r="J12">
        <v>11</v>
      </c>
      <c r="K12" t="s">
        <v>7186</v>
      </c>
      <c r="L12" t="b">
        <f>FALSE()</f>
        <v>0</v>
      </c>
      <c r="M12">
        <v>2</v>
      </c>
    </row>
    <row r="13" spans="1:13" ht="15" customHeight="1" x14ac:dyDescent="0.2">
      <c r="A13" s="49">
        <v>45303</v>
      </c>
      <c r="B13">
        <v>2024</v>
      </c>
      <c r="C13" t="s">
        <v>7178</v>
      </c>
      <c r="D13" t="s">
        <v>7179</v>
      </c>
      <c r="E13">
        <v>1</v>
      </c>
      <c r="F13" t="s">
        <v>7180</v>
      </c>
      <c r="G13" t="s">
        <v>7181</v>
      </c>
      <c r="H13" t="s">
        <v>7182</v>
      </c>
      <c r="I13" s="49">
        <v>45292</v>
      </c>
      <c r="J13">
        <v>12</v>
      </c>
      <c r="K13" t="s">
        <v>7187</v>
      </c>
      <c r="L13" t="b">
        <f>FALSE()</f>
        <v>0</v>
      </c>
      <c r="M13">
        <v>2</v>
      </c>
    </row>
    <row r="14" spans="1:13" ht="15" customHeight="1" x14ac:dyDescent="0.2">
      <c r="A14" s="49">
        <v>45304</v>
      </c>
      <c r="B14">
        <v>2024</v>
      </c>
      <c r="C14" t="s">
        <v>7178</v>
      </c>
      <c r="D14" t="s">
        <v>7179</v>
      </c>
      <c r="E14">
        <v>1</v>
      </c>
      <c r="F14" t="s">
        <v>7180</v>
      </c>
      <c r="G14" t="s">
        <v>7181</v>
      </c>
      <c r="H14" t="s">
        <v>7182</v>
      </c>
      <c r="I14" s="49">
        <v>45292</v>
      </c>
      <c r="J14">
        <v>13</v>
      </c>
      <c r="K14" t="s">
        <v>7188</v>
      </c>
      <c r="L14" t="b">
        <f>TRUE()</f>
        <v>1</v>
      </c>
      <c r="M14">
        <v>2</v>
      </c>
    </row>
    <row r="15" spans="1:13" ht="15" customHeight="1" x14ac:dyDescent="0.2">
      <c r="A15" s="49">
        <v>45305</v>
      </c>
      <c r="B15">
        <v>2024</v>
      </c>
      <c r="C15" t="s">
        <v>7178</v>
      </c>
      <c r="D15" t="s">
        <v>7179</v>
      </c>
      <c r="E15">
        <v>1</v>
      </c>
      <c r="F15" t="s">
        <v>7180</v>
      </c>
      <c r="G15" t="s">
        <v>7181</v>
      </c>
      <c r="H15" t="s">
        <v>7182</v>
      </c>
      <c r="I15" s="49">
        <v>45292</v>
      </c>
      <c r="J15">
        <v>14</v>
      </c>
      <c r="K15" t="s">
        <v>7189</v>
      </c>
      <c r="L15" t="b">
        <f>TRUE()</f>
        <v>1</v>
      </c>
      <c r="M15">
        <v>2</v>
      </c>
    </row>
    <row r="16" spans="1:13" ht="15" customHeight="1" x14ac:dyDescent="0.2">
      <c r="A16" s="49">
        <v>45306</v>
      </c>
      <c r="B16">
        <v>2024</v>
      </c>
      <c r="C16" t="s">
        <v>7178</v>
      </c>
      <c r="D16" t="s">
        <v>7179</v>
      </c>
      <c r="E16">
        <v>1</v>
      </c>
      <c r="F16" t="s">
        <v>7180</v>
      </c>
      <c r="G16" t="s">
        <v>7181</v>
      </c>
      <c r="H16" t="s">
        <v>7182</v>
      </c>
      <c r="I16" s="49">
        <v>45292</v>
      </c>
      <c r="J16">
        <v>15</v>
      </c>
      <c r="K16" t="s">
        <v>7183</v>
      </c>
      <c r="L16" t="b">
        <f>FALSE()</f>
        <v>0</v>
      </c>
      <c r="M16">
        <v>3</v>
      </c>
    </row>
    <row r="17" spans="1:13" ht="15" customHeight="1" x14ac:dyDescent="0.2">
      <c r="A17" s="49">
        <v>45307</v>
      </c>
      <c r="B17">
        <v>2024</v>
      </c>
      <c r="C17" t="s">
        <v>7178</v>
      </c>
      <c r="D17" t="s">
        <v>7179</v>
      </c>
      <c r="E17">
        <v>1</v>
      </c>
      <c r="F17" t="s">
        <v>7180</v>
      </c>
      <c r="G17" t="s">
        <v>7181</v>
      </c>
      <c r="H17" t="s">
        <v>7182</v>
      </c>
      <c r="I17" s="49">
        <v>45292</v>
      </c>
      <c r="J17">
        <v>16</v>
      </c>
      <c r="K17" t="s">
        <v>7184</v>
      </c>
      <c r="L17" t="b">
        <f>FALSE()</f>
        <v>0</v>
      </c>
      <c r="M17">
        <v>3</v>
      </c>
    </row>
    <row r="18" spans="1:13" ht="15" customHeight="1" x14ac:dyDescent="0.2">
      <c r="A18" s="49">
        <v>45308</v>
      </c>
      <c r="B18">
        <v>2024</v>
      </c>
      <c r="C18" t="s">
        <v>7178</v>
      </c>
      <c r="D18" t="s">
        <v>7179</v>
      </c>
      <c r="E18">
        <v>1</v>
      </c>
      <c r="F18" t="s">
        <v>7180</v>
      </c>
      <c r="G18" t="s">
        <v>7181</v>
      </c>
      <c r="H18" t="s">
        <v>7182</v>
      </c>
      <c r="I18" s="49">
        <v>45292</v>
      </c>
      <c r="J18">
        <v>17</v>
      </c>
      <c r="K18" t="s">
        <v>7185</v>
      </c>
      <c r="L18" t="b">
        <f>FALSE()</f>
        <v>0</v>
      </c>
      <c r="M18">
        <v>3</v>
      </c>
    </row>
    <row r="19" spans="1:13" ht="15" customHeight="1" x14ac:dyDescent="0.2">
      <c r="A19" s="49">
        <v>45309</v>
      </c>
      <c r="B19">
        <v>2024</v>
      </c>
      <c r="C19" t="s">
        <v>7178</v>
      </c>
      <c r="D19" t="s">
        <v>7179</v>
      </c>
      <c r="E19">
        <v>1</v>
      </c>
      <c r="F19" t="s">
        <v>7180</v>
      </c>
      <c r="G19" t="s">
        <v>7181</v>
      </c>
      <c r="H19" t="s">
        <v>7182</v>
      </c>
      <c r="I19" s="49">
        <v>45292</v>
      </c>
      <c r="J19">
        <v>18</v>
      </c>
      <c r="K19" t="s">
        <v>7186</v>
      </c>
      <c r="L19" t="b">
        <f>FALSE()</f>
        <v>0</v>
      </c>
      <c r="M19">
        <v>3</v>
      </c>
    </row>
    <row r="20" spans="1:13" ht="15" customHeight="1" x14ac:dyDescent="0.2">
      <c r="A20" s="49">
        <v>45310</v>
      </c>
      <c r="B20">
        <v>2024</v>
      </c>
      <c r="C20" t="s">
        <v>7178</v>
      </c>
      <c r="D20" t="s">
        <v>7179</v>
      </c>
      <c r="E20">
        <v>1</v>
      </c>
      <c r="F20" t="s">
        <v>7180</v>
      </c>
      <c r="G20" t="s">
        <v>7181</v>
      </c>
      <c r="H20" t="s">
        <v>7182</v>
      </c>
      <c r="I20" s="49">
        <v>45292</v>
      </c>
      <c r="J20">
        <v>19</v>
      </c>
      <c r="K20" t="s">
        <v>7187</v>
      </c>
      <c r="L20" t="b">
        <f>FALSE()</f>
        <v>0</v>
      </c>
      <c r="M20">
        <v>3</v>
      </c>
    </row>
    <row r="21" spans="1:13" ht="15" customHeight="1" x14ac:dyDescent="0.2">
      <c r="A21" s="49">
        <v>45311</v>
      </c>
      <c r="B21">
        <v>2024</v>
      </c>
      <c r="C21" t="s">
        <v>7178</v>
      </c>
      <c r="D21" t="s">
        <v>7179</v>
      </c>
      <c r="E21">
        <v>1</v>
      </c>
      <c r="F21" t="s">
        <v>7180</v>
      </c>
      <c r="G21" t="s">
        <v>7181</v>
      </c>
      <c r="H21" t="s">
        <v>7182</v>
      </c>
      <c r="I21" s="49">
        <v>45292</v>
      </c>
      <c r="J21">
        <v>20</v>
      </c>
      <c r="K21" t="s">
        <v>7188</v>
      </c>
      <c r="L21" t="b">
        <f>TRUE()</f>
        <v>1</v>
      </c>
      <c r="M21">
        <v>3</v>
      </c>
    </row>
    <row r="22" spans="1:13" ht="15" customHeight="1" x14ac:dyDescent="0.2">
      <c r="A22" s="49">
        <v>45312</v>
      </c>
      <c r="B22">
        <v>2024</v>
      </c>
      <c r="C22" t="s">
        <v>7178</v>
      </c>
      <c r="D22" t="s">
        <v>7179</v>
      </c>
      <c r="E22">
        <v>1</v>
      </c>
      <c r="F22" t="s">
        <v>7180</v>
      </c>
      <c r="G22" t="s">
        <v>7181</v>
      </c>
      <c r="H22" t="s">
        <v>7182</v>
      </c>
      <c r="I22" s="49">
        <v>45292</v>
      </c>
      <c r="J22">
        <v>21</v>
      </c>
      <c r="K22" t="s">
        <v>7189</v>
      </c>
      <c r="L22" t="b">
        <f>TRUE()</f>
        <v>1</v>
      </c>
      <c r="M22">
        <v>3</v>
      </c>
    </row>
    <row r="23" spans="1:13" ht="15" customHeight="1" x14ac:dyDescent="0.2">
      <c r="A23" s="49">
        <v>45313</v>
      </c>
      <c r="B23">
        <v>2024</v>
      </c>
      <c r="C23" t="s">
        <v>7178</v>
      </c>
      <c r="D23" t="s">
        <v>7179</v>
      </c>
      <c r="E23">
        <v>1</v>
      </c>
      <c r="F23" t="s">
        <v>7180</v>
      </c>
      <c r="G23" t="s">
        <v>7181</v>
      </c>
      <c r="H23" t="s">
        <v>7182</v>
      </c>
      <c r="I23" s="49">
        <v>45292</v>
      </c>
      <c r="J23">
        <v>22</v>
      </c>
      <c r="K23" t="s">
        <v>7183</v>
      </c>
      <c r="L23" t="b">
        <f>FALSE()</f>
        <v>0</v>
      </c>
      <c r="M23">
        <v>4</v>
      </c>
    </row>
    <row r="24" spans="1:13" ht="15" customHeight="1" x14ac:dyDescent="0.2">
      <c r="A24" s="49">
        <v>45314</v>
      </c>
      <c r="B24">
        <v>2024</v>
      </c>
      <c r="C24" t="s">
        <v>7178</v>
      </c>
      <c r="D24" t="s">
        <v>7179</v>
      </c>
      <c r="E24">
        <v>1</v>
      </c>
      <c r="F24" t="s">
        <v>7180</v>
      </c>
      <c r="G24" t="s">
        <v>7181</v>
      </c>
      <c r="H24" t="s">
        <v>7182</v>
      </c>
      <c r="I24" s="49">
        <v>45292</v>
      </c>
      <c r="J24">
        <v>23</v>
      </c>
      <c r="K24" t="s">
        <v>7184</v>
      </c>
      <c r="L24" t="b">
        <f>FALSE()</f>
        <v>0</v>
      </c>
      <c r="M24">
        <v>4</v>
      </c>
    </row>
    <row r="25" spans="1:13" ht="15" customHeight="1" x14ac:dyDescent="0.2">
      <c r="A25" s="49">
        <v>45315</v>
      </c>
      <c r="B25">
        <v>2024</v>
      </c>
      <c r="C25" t="s">
        <v>7178</v>
      </c>
      <c r="D25" t="s">
        <v>7179</v>
      </c>
      <c r="E25">
        <v>1</v>
      </c>
      <c r="F25" t="s">
        <v>7180</v>
      </c>
      <c r="G25" t="s">
        <v>7181</v>
      </c>
      <c r="H25" t="s">
        <v>7182</v>
      </c>
      <c r="I25" s="49">
        <v>45292</v>
      </c>
      <c r="J25">
        <v>24</v>
      </c>
      <c r="K25" t="s">
        <v>7185</v>
      </c>
      <c r="L25" t="b">
        <f>FALSE()</f>
        <v>0</v>
      </c>
      <c r="M25">
        <v>4</v>
      </c>
    </row>
    <row r="26" spans="1:13" ht="15" customHeight="1" x14ac:dyDescent="0.2">
      <c r="A26" s="49">
        <v>45316</v>
      </c>
      <c r="B26">
        <v>2024</v>
      </c>
      <c r="C26" t="s">
        <v>7178</v>
      </c>
      <c r="D26" t="s">
        <v>7179</v>
      </c>
      <c r="E26">
        <v>1</v>
      </c>
      <c r="F26" t="s">
        <v>7180</v>
      </c>
      <c r="G26" t="s">
        <v>7181</v>
      </c>
      <c r="H26" t="s">
        <v>7182</v>
      </c>
      <c r="I26" s="49">
        <v>45292</v>
      </c>
      <c r="J26">
        <v>25</v>
      </c>
      <c r="K26" t="s">
        <v>7186</v>
      </c>
      <c r="L26" t="b">
        <f>FALSE()</f>
        <v>0</v>
      </c>
      <c r="M26">
        <v>4</v>
      </c>
    </row>
    <row r="27" spans="1:13" ht="15" customHeight="1" x14ac:dyDescent="0.2">
      <c r="A27" s="49">
        <v>45317</v>
      </c>
      <c r="B27">
        <v>2024</v>
      </c>
      <c r="C27" t="s">
        <v>7178</v>
      </c>
      <c r="D27" t="s">
        <v>7179</v>
      </c>
      <c r="E27">
        <v>1</v>
      </c>
      <c r="F27" t="s">
        <v>7180</v>
      </c>
      <c r="G27" t="s">
        <v>7181</v>
      </c>
      <c r="H27" t="s">
        <v>7182</v>
      </c>
      <c r="I27" s="49">
        <v>45292</v>
      </c>
      <c r="J27">
        <v>26</v>
      </c>
      <c r="K27" t="s">
        <v>7187</v>
      </c>
      <c r="L27" t="b">
        <f>FALSE()</f>
        <v>0</v>
      </c>
      <c r="M27">
        <v>4</v>
      </c>
    </row>
    <row r="28" spans="1:13" ht="15" customHeight="1" x14ac:dyDescent="0.2">
      <c r="A28" s="49">
        <v>45318</v>
      </c>
      <c r="B28">
        <v>2024</v>
      </c>
      <c r="C28" t="s">
        <v>7178</v>
      </c>
      <c r="D28" t="s">
        <v>7179</v>
      </c>
      <c r="E28">
        <v>1</v>
      </c>
      <c r="F28" t="s">
        <v>7180</v>
      </c>
      <c r="G28" t="s">
        <v>7181</v>
      </c>
      <c r="H28" t="s">
        <v>7182</v>
      </c>
      <c r="I28" s="49">
        <v>45292</v>
      </c>
      <c r="J28">
        <v>27</v>
      </c>
      <c r="K28" t="s">
        <v>7188</v>
      </c>
      <c r="L28" t="b">
        <f>TRUE()</f>
        <v>1</v>
      </c>
      <c r="M28">
        <v>4</v>
      </c>
    </row>
    <row r="29" spans="1:13" ht="15" customHeight="1" x14ac:dyDescent="0.2">
      <c r="A29" s="49">
        <v>45319</v>
      </c>
      <c r="B29">
        <v>2024</v>
      </c>
      <c r="C29" t="s">
        <v>7178</v>
      </c>
      <c r="D29" t="s">
        <v>7179</v>
      </c>
      <c r="E29">
        <v>1</v>
      </c>
      <c r="F29" t="s">
        <v>7180</v>
      </c>
      <c r="G29" t="s">
        <v>7181</v>
      </c>
      <c r="H29" t="s">
        <v>7182</v>
      </c>
      <c r="I29" s="49">
        <v>45292</v>
      </c>
      <c r="J29">
        <v>28</v>
      </c>
      <c r="K29" t="s">
        <v>7189</v>
      </c>
      <c r="L29" t="b">
        <f>TRUE()</f>
        <v>1</v>
      </c>
      <c r="M29">
        <v>4</v>
      </c>
    </row>
    <row r="30" spans="1:13" ht="15" customHeight="1" x14ac:dyDescent="0.2">
      <c r="A30" s="49">
        <v>45320</v>
      </c>
      <c r="B30">
        <v>2024</v>
      </c>
      <c r="C30" t="s">
        <v>7178</v>
      </c>
      <c r="D30" t="s">
        <v>7179</v>
      </c>
      <c r="E30">
        <v>1</v>
      </c>
      <c r="F30" t="s">
        <v>7180</v>
      </c>
      <c r="G30" t="s">
        <v>7181</v>
      </c>
      <c r="H30" t="s">
        <v>7182</v>
      </c>
      <c r="I30" s="49">
        <v>45292</v>
      </c>
      <c r="J30">
        <v>29</v>
      </c>
      <c r="K30" t="s">
        <v>7183</v>
      </c>
      <c r="L30" t="b">
        <f>FALSE()</f>
        <v>0</v>
      </c>
      <c r="M30">
        <v>5</v>
      </c>
    </row>
    <row r="31" spans="1:13" ht="15" customHeight="1" x14ac:dyDescent="0.2">
      <c r="A31" s="49">
        <v>45321</v>
      </c>
      <c r="B31">
        <v>2024</v>
      </c>
      <c r="C31" t="s">
        <v>7178</v>
      </c>
      <c r="D31" t="s">
        <v>7179</v>
      </c>
      <c r="E31">
        <v>1</v>
      </c>
      <c r="F31" t="s">
        <v>7180</v>
      </c>
      <c r="G31" t="s">
        <v>7181</v>
      </c>
      <c r="H31" t="s">
        <v>7182</v>
      </c>
      <c r="I31" s="49">
        <v>45292</v>
      </c>
      <c r="J31">
        <v>30</v>
      </c>
      <c r="K31" t="s">
        <v>7184</v>
      </c>
      <c r="L31" t="b">
        <f>FALSE()</f>
        <v>0</v>
      </c>
      <c r="M31">
        <v>5</v>
      </c>
    </row>
    <row r="32" spans="1:13" ht="15" customHeight="1" x14ac:dyDescent="0.2">
      <c r="A32" s="49">
        <v>45322</v>
      </c>
      <c r="B32">
        <v>2024</v>
      </c>
      <c r="C32" t="s">
        <v>7178</v>
      </c>
      <c r="D32" t="s">
        <v>7179</v>
      </c>
      <c r="E32">
        <v>1</v>
      </c>
      <c r="F32" t="s">
        <v>7180</v>
      </c>
      <c r="G32" t="s">
        <v>7181</v>
      </c>
      <c r="H32" t="s">
        <v>7182</v>
      </c>
      <c r="I32" s="49">
        <v>45292</v>
      </c>
      <c r="J32">
        <v>31</v>
      </c>
      <c r="K32" t="s">
        <v>7185</v>
      </c>
      <c r="L32" t="b">
        <f>FALSE()</f>
        <v>0</v>
      </c>
      <c r="M32">
        <v>5</v>
      </c>
    </row>
    <row r="33" spans="1:13" ht="15" customHeight="1" x14ac:dyDescent="0.2">
      <c r="A33" s="49">
        <v>45323</v>
      </c>
      <c r="B33">
        <v>2024</v>
      </c>
      <c r="C33" t="s">
        <v>7178</v>
      </c>
      <c r="D33" t="s">
        <v>7179</v>
      </c>
      <c r="E33">
        <v>2</v>
      </c>
      <c r="F33" t="s">
        <v>7190</v>
      </c>
      <c r="G33" t="s">
        <v>7191</v>
      </c>
      <c r="H33" t="s">
        <v>7192</v>
      </c>
      <c r="I33" s="49">
        <v>45323</v>
      </c>
      <c r="J33">
        <v>1</v>
      </c>
      <c r="K33" t="s">
        <v>7186</v>
      </c>
      <c r="L33" t="b">
        <f>FALSE()</f>
        <v>0</v>
      </c>
      <c r="M33">
        <v>5</v>
      </c>
    </row>
    <row r="34" spans="1:13" ht="15" customHeight="1" x14ac:dyDescent="0.2">
      <c r="A34" s="49">
        <v>45324</v>
      </c>
      <c r="B34">
        <v>2024</v>
      </c>
      <c r="C34" t="s">
        <v>7178</v>
      </c>
      <c r="D34" t="s">
        <v>7179</v>
      </c>
      <c r="E34">
        <v>2</v>
      </c>
      <c r="F34" t="s">
        <v>7190</v>
      </c>
      <c r="G34" t="s">
        <v>7191</v>
      </c>
      <c r="H34" t="s">
        <v>7192</v>
      </c>
      <c r="I34" s="49">
        <v>45323</v>
      </c>
      <c r="J34">
        <v>2</v>
      </c>
      <c r="K34" t="s">
        <v>7187</v>
      </c>
      <c r="L34" t="b">
        <f>FALSE()</f>
        <v>0</v>
      </c>
      <c r="M34">
        <v>5</v>
      </c>
    </row>
    <row r="35" spans="1:13" ht="15" customHeight="1" x14ac:dyDescent="0.2">
      <c r="A35" s="49">
        <v>45325</v>
      </c>
      <c r="B35">
        <v>2024</v>
      </c>
      <c r="C35" t="s">
        <v>7178</v>
      </c>
      <c r="D35" t="s">
        <v>7179</v>
      </c>
      <c r="E35">
        <v>2</v>
      </c>
      <c r="F35" t="s">
        <v>7190</v>
      </c>
      <c r="G35" t="s">
        <v>7191</v>
      </c>
      <c r="H35" t="s">
        <v>7192</v>
      </c>
      <c r="I35" s="49">
        <v>45323</v>
      </c>
      <c r="J35">
        <v>3</v>
      </c>
      <c r="K35" t="s">
        <v>7188</v>
      </c>
      <c r="L35" t="b">
        <f>TRUE()</f>
        <v>1</v>
      </c>
      <c r="M35">
        <v>5</v>
      </c>
    </row>
    <row r="36" spans="1:13" ht="15" customHeight="1" x14ac:dyDescent="0.2">
      <c r="A36" s="49">
        <v>45326</v>
      </c>
      <c r="B36">
        <v>2024</v>
      </c>
      <c r="C36" t="s">
        <v>7178</v>
      </c>
      <c r="D36" t="s">
        <v>7179</v>
      </c>
      <c r="E36">
        <v>2</v>
      </c>
      <c r="F36" t="s">
        <v>7190</v>
      </c>
      <c r="G36" t="s">
        <v>7191</v>
      </c>
      <c r="H36" t="s">
        <v>7192</v>
      </c>
      <c r="I36" s="49">
        <v>45323</v>
      </c>
      <c r="J36">
        <v>4</v>
      </c>
      <c r="K36" t="s">
        <v>7189</v>
      </c>
      <c r="L36" t="b">
        <f>TRUE()</f>
        <v>1</v>
      </c>
      <c r="M36">
        <v>5</v>
      </c>
    </row>
    <row r="37" spans="1:13" ht="15" customHeight="1" x14ac:dyDescent="0.2">
      <c r="A37" s="49">
        <v>45327</v>
      </c>
      <c r="B37">
        <v>2024</v>
      </c>
      <c r="C37" t="s">
        <v>7178</v>
      </c>
      <c r="D37" t="s">
        <v>7179</v>
      </c>
      <c r="E37">
        <v>2</v>
      </c>
      <c r="F37" t="s">
        <v>7190</v>
      </c>
      <c r="G37" t="s">
        <v>7191</v>
      </c>
      <c r="H37" t="s">
        <v>7192</v>
      </c>
      <c r="I37" s="49">
        <v>45323</v>
      </c>
      <c r="J37">
        <v>5</v>
      </c>
      <c r="K37" t="s">
        <v>7183</v>
      </c>
      <c r="L37" t="b">
        <f>FALSE()</f>
        <v>0</v>
      </c>
      <c r="M37">
        <v>6</v>
      </c>
    </row>
    <row r="38" spans="1:13" ht="15" customHeight="1" x14ac:dyDescent="0.2">
      <c r="A38" s="49">
        <v>45328</v>
      </c>
      <c r="B38">
        <v>2024</v>
      </c>
      <c r="C38" t="s">
        <v>7178</v>
      </c>
      <c r="D38" t="s">
        <v>7179</v>
      </c>
      <c r="E38">
        <v>2</v>
      </c>
      <c r="F38" t="s">
        <v>7190</v>
      </c>
      <c r="G38" t="s">
        <v>7191</v>
      </c>
      <c r="H38" t="s">
        <v>7192</v>
      </c>
      <c r="I38" s="49">
        <v>45323</v>
      </c>
      <c r="J38">
        <v>6</v>
      </c>
      <c r="K38" t="s">
        <v>7184</v>
      </c>
      <c r="L38" t="b">
        <f>FALSE()</f>
        <v>0</v>
      </c>
      <c r="M38">
        <v>6</v>
      </c>
    </row>
    <row r="39" spans="1:13" ht="15" customHeight="1" x14ac:dyDescent="0.2">
      <c r="A39" s="49">
        <v>45329</v>
      </c>
      <c r="B39">
        <v>2024</v>
      </c>
      <c r="C39" t="s">
        <v>7178</v>
      </c>
      <c r="D39" t="s">
        <v>7179</v>
      </c>
      <c r="E39">
        <v>2</v>
      </c>
      <c r="F39" t="s">
        <v>7190</v>
      </c>
      <c r="G39" t="s">
        <v>7191</v>
      </c>
      <c r="H39" t="s">
        <v>7192</v>
      </c>
      <c r="I39" s="49">
        <v>45323</v>
      </c>
      <c r="J39">
        <v>7</v>
      </c>
      <c r="K39" t="s">
        <v>7185</v>
      </c>
      <c r="L39" t="b">
        <f>FALSE()</f>
        <v>0</v>
      </c>
      <c r="M39">
        <v>6</v>
      </c>
    </row>
    <row r="40" spans="1:13" ht="15" customHeight="1" x14ac:dyDescent="0.2">
      <c r="A40" s="49">
        <v>45330</v>
      </c>
      <c r="B40">
        <v>2024</v>
      </c>
      <c r="C40" t="s">
        <v>7178</v>
      </c>
      <c r="D40" t="s">
        <v>7179</v>
      </c>
      <c r="E40">
        <v>2</v>
      </c>
      <c r="F40" t="s">
        <v>7190</v>
      </c>
      <c r="G40" t="s">
        <v>7191</v>
      </c>
      <c r="H40" t="s">
        <v>7192</v>
      </c>
      <c r="I40" s="49">
        <v>45323</v>
      </c>
      <c r="J40">
        <v>8</v>
      </c>
      <c r="K40" t="s">
        <v>7186</v>
      </c>
      <c r="L40" t="b">
        <f>FALSE()</f>
        <v>0</v>
      </c>
      <c r="M40">
        <v>6</v>
      </c>
    </row>
    <row r="41" spans="1:13" ht="15" customHeight="1" x14ac:dyDescent="0.2">
      <c r="A41" s="49">
        <v>45331</v>
      </c>
      <c r="B41">
        <v>2024</v>
      </c>
      <c r="C41" t="s">
        <v>7178</v>
      </c>
      <c r="D41" t="s">
        <v>7179</v>
      </c>
      <c r="E41">
        <v>2</v>
      </c>
      <c r="F41" t="s">
        <v>7190</v>
      </c>
      <c r="G41" t="s">
        <v>7191</v>
      </c>
      <c r="H41" t="s">
        <v>7192</v>
      </c>
      <c r="I41" s="49">
        <v>45323</v>
      </c>
      <c r="J41">
        <v>9</v>
      </c>
      <c r="K41" t="s">
        <v>7187</v>
      </c>
      <c r="L41" t="b">
        <f>FALSE()</f>
        <v>0</v>
      </c>
      <c r="M41">
        <v>6</v>
      </c>
    </row>
    <row r="42" spans="1:13" ht="15" customHeight="1" x14ac:dyDescent="0.2">
      <c r="A42" s="49">
        <v>45332</v>
      </c>
      <c r="B42">
        <v>2024</v>
      </c>
      <c r="C42" t="s">
        <v>7178</v>
      </c>
      <c r="D42" t="s">
        <v>7179</v>
      </c>
      <c r="E42">
        <v>2</v>
      </c>
      <c r="F42" t="s">
        <v>7190</v>
      </c>
      <c r="G42" t="s">
        <v>7191</v>
      </c>
      <c r="H42" t="s">
        <v>7192</v>
      </c>
      <c r="I42" s="49">
        <v>45323</v>
      </c>
      <c r="J42">
        <v>10</v>
      </c>
      <c r="K42" t="s">
        <v>7188</v>
      </c>
      <c r="L42" t="b">
        <f>TRUE()</f>
        <v>1</v>
      </c>
      <c r="M42">
        <v>6</v>
      </c>
    </row>
    <row r="43" spans="1:13" ht="15" customHeight="1" x14ac:dyDescent="0.2">
      <c r="A43" s="49">
        <v>45333</v>
      </c>
      <c r="B43">
        <v>2024</v>
      </c>
      <c r="C43" t="s">
        <v>7178</v>
      </c>
      <c r="D43" t="s">
        <v>7179</v>
      </c>
      <c r="E43">
        <v>2</v>
      </c>
      <c r="F43" t="s">
        <v>7190</v>
      </c>
      <c r="G43" t="s">
        <v>7191</v>
      </c>
      <c r="H43" t="s">
        <v>7192</v>
      </c>
      <c r="I43" s="49">
        <v>45323</v>
      </c>
      <c r="J43">
        <v>11</v>
      </c>
      <c r="K43" t="s">
        <v>7189</v>
      </c>
      <c r="L43" t="b">
        <f>TRUE()</f>
        <v>1</v>
      </c>
      <c r="M43">
        <v>6</v>
      </c>
    </row>
    <row r="44" spans="1:13" ht="15" customHeight="1" x14ac:dyDescent="0.2">
      <c r="A44" s="49">
        <v>45334</v>
      </c>
      <c r="B44">
        <v>2024</v>
      </c>
      <c r="C44" t="s">
        <v>7178</v>
      </c>
      <c r="D44" t="s">
        <v>7179</v>
      </c>
      <c r="E44">
        <v>2</v>
      </c>
      <c r="F44" t="s">
        <v>7190</v>
      </c>
      <c r="G44" t="s">
        <v>7191</v>
      </c>
      <c r="H44" t="s">
        <v>7192</v>
      </c>
      <c r="I44" s="49">
        <v>45323</v>
      </c>
      <c r="J44">
        <v>12</v>
      </c>
      <c r="K44" t="s">
        <v>7183</v>
      </c>
      <c r="L44" t="b">
        <f>FALSE()</f>
        <v>0</v>
      </c>
      <c r="M44">
        <v>7</v>
      </c>
    </row>
    <row r="45" spans="1:13" ht="15" customHeight="1" x14ac:dyDescent="0.2">
      <c r="A45" s="49">
        <v>45335</v>
      </c>
      <c r="B45">
        <v>2024</v>
      </c>
      <c r="C45" t="s">
        <v>7178</v>
      </c>
      <c r="D45" t="s">
        <v>7179</v>
      </c>
      <c r="E45">
        <v>2</v>
      </c>
      <c r="F45" t="s">
        <v>7190</v>
      </c>
      <c r="G45" t="s">
        <v>7191</v>
      </c>
      <c r="H45" t="s">
        <v>7192</v>
      </c>
      <c r="I45" s="49">
        <v>45323</v>
      </c>
      <c r="J45">
        <v>13</v>
      </c>
      <c r="K45" t="s">
        <v>7184</v>
      </c>
      <c r="L45" t="b">
        <f>FALSE()</f>
        <v>0</v>
      </c>
      <c r="M45">
        <v>7</v>
      </c>
    </row>
    <row r="46" spans="1:13" ht="15" customHeight="1" x14ac:dyDescent="0.2">
      <c r="A46" s="49">
        <v>45336</v>
      </c>
      <c r="B46">
        <v>2024</v>
      </c>
      <c r="C46" t="s">
        <v>7178</v>
      </c>
      <c r="D46" t="s">
        <v>7179</v>
      </c>
      <c r="E46">
        <v>2</v>
      </c>
      <c r="F46" t="s">
        <v>7190</v>
      </c>
      <c r="G46" t="s">
        <v>7191</v>
      </c>
      <c r="H46" t="s">
        <v>7192</v>
      </c>
      <c r="I46" s="49">
        <v>45323</v>
      </c>
      <c r="J46">
        <v>14</v>
      </c>
      <c r="K46" t="s">
        <v>7185</v>
      </c>
      <c r="L46" t="b">
        <f>FALSE()</f>
        <v>0</v>
      </c>
      <c r="M46">
        <v>7</v>
      </c>
    </row>
    <row r="47" spans="1:13" ht="15" customHeight="1" x14ac:dyDescent="0.2">
      <c r="A47" s="49">
        <v>45337</v>
      </c>
      <c r="B47">
        <v>2024</v>
      </c>
      <c r="C47" t="s">
        <v>7178</v>
      </c>
      <c r="D47" t="s">
        <v>7179</v>
      </c>
      <c r="E47">
        <v>2</v>
      </c>
      <c r="F47" t="s">
        <v>7190</v>
      </c>
      <c r="G47" t="s">
        <v>7191</v>
      </c>
      <c r="H47" t="s">
        <v>7192</v>
      </c>
      <c r="I47" s="49">
        <v>45323</v>
      </c>
      <c r="J47">
        <v>15</v>
      </c>
      <c r="K47" t="s">
        <v>7186</v>
      </c>
      <c r="L47" t="b">
        <f>FALSE()</f>
        <v>0</v>
      </c>
      <c r="M47">
        <v>7</v>
      </c>
    </row>
    <row r="48" spans="1:13" ht="15" customHeight="1" x14ac:dyDescent="0.2">
      <c r="A48" s="49">
        <v>45338</v>
      </c>
      <c r="B48">
        <v>2024</v>
      </c>
      <c r="C48" t="s">
        <v>7178</v>
      </c>
      <c r="D48" t="s">
        <v>7179</v>
      </c>
      <c r="E48">
        <v>2</v>
      </c>
      <c r="F48" t="s">
        <v>7190</v>
      </c>
      <c r="G48" t="s">
        <v>7191</v>
      </c>
      <c r="H48" t="s">
        <v>7192</v>
      </c>
      <c r="I48" s="49">
        <v>45323</v>
      </c>
      <c r="J48">
        <v>16</v>
      </c>
      <c r="K48" t="s">
        <v>7187</v>
      </c>
      <c r="L48" t="b">
        <f>FALSE()</f>
        <v>0</v>
      </c>
      <c r="M48">
        <v>7</v>
      </c>
    </row>
    <row r="49" spans="1:13" ht="15" customHeight="1" x14ac:dyDescent="0.2">
      <c r="A49" s="49">
        <v>45339</v>
      </c>
      <c r="B49">
        <v>2024</v>
      </c>
      <c r="C49" t="s">
        <v>7178</v>
      </c>
      <c r="D49" t="s">
        <v>7179</v>
      </c>
      <c r="E49">
        <v>2</v>
      </c>
      <c r="F49" t="s">
        <v>7190</v>
      </c>
      <c r="G49" t="s">
        <v>7191</v>
      </c>
      <c r="H49" t="s">
        <v>7192</v>
      </c>
      <c r="I49" s="49">
        <v>45323</v>
      </c>
      <c r="J49">
        <v>17</v>
      </c>
      <c r="K49" t="s">
        <v>7188</v>
      </c>
      <c r="L49" t="b">
        <f>TRUE()</f>
        <v>1</v>
      </c>
      <c r="M49">
        <v>7</v>
      </c>
    </row>
    <row r="50" spans="1:13" ht="15" customHeight="1" x14ac:dyDescent="0.2">
      <c r="A50" s="49">
        <v>45340</v>
      </c>
      <c r="B50">
        <v>2024</v>
      </c>
      <c r="C50" t="s">
        <v>7178</v>
      </c>
      <c r="D50" t="s">
        <v>7179</v>
      </c>
      <c r="E50">
        <v>2</v>
      </c>
      <c r="F50" t="s">
        <v>7190</v>
      </c>
      <c r="G50" t="s">
        <v>7191</v>
      </c>
      <c r="H50" t="s">
        <v>7192</v>
      </c>
      <c r="I50" s="49">
        <v>45323</v>
      </c>
      <c r="J50">
        <v>18</v>
      </c>
      <c r="K50" t="s">
        <v>7189</v>
      </c>
      <c r="L50" t="b">
        <f>TRUE()</f>
        <v>1</v>
      </c>
      <c r="M50">
        <v>7</v>
      </c>
    </row>
    <row r="51" spans="1:13" ht="15" customHeight="1" x14ac:dyDescent="0.2">
      <c r="A51" s="49">
        <v>45341</v>
      </c>
      <c r="B51">
        <v>2024</v>
      </c>
      <c r="C51" t="s">
        <v>7178</v>
      </c>
      <c r="D51" t="s">
        <v>7179</v>
      </c>
      <c r="E51">
        <v>2</v>
      </c>
      <c r="F51" t="s">
        <v>7190</v>
      </c>
      <c r="G51" t="s">
        <v>7191</v>
      </c>
      <c r="H51" t="s">
        <v>7192</v>
      </c>
      <c r="I51" s="49">
        <v>45323</v>
      </c>
      <c r="J51">
        <v>19</v>
      </c>
      <c r="K51" t="s">
        <v>7183</v>
      </c>
      <c r="L51" t="b">
        <f>FALSE()</f>
        <v>0</v>
      </c>
      <c r="M51">
        <v>8</v>
      </c>
    </row>
    <row r="52" spans="1:13" ht="15" customHeight="1" x14ac:dyDescent="0.2">
      <c r="A52" s="49">
        <v>45342</v>
      </c>
      <c r="B52">
        <v>2024</v>
      </c>
      <c r="C52" t="s">
        <v>7178</v>
      </c>
      <c r="D52" t="s">
        <v>7179</v>
      </c>
      <c r="E52">
        <v>2</v>
      </c>
      <c r="F52" t="s">
        <v>7190</v>
      </c>
      <c r="G52" t="s">
        <v>7191</v>
      </c>
      <c r="H52" t="s">
        <v>7192</v>
      </c>
      <c r="I52" s="49">
        <v>45323</v>
      </c>
      <c r="J52">
        <v>20</v>
      </c>
      <c r="K52" t="s">
        <v>7184</v>
      </c>
      <c r="L52" t="b">
        <f>FALSE()</f>
        <v>0</v>
      </c>
      <c r="M52">
        <v>8</v>
      </c>
    </row>
    <row r="53" spans="1:13" ht="15" customHeight="1" x14ac:dyDescent="0.2">
      <c r="A53" s="49">
        <v>45343</v>
      </c>
      <c r="B53">
        <v>2024</v>
      </c>
      <c r="C53" t="s">
        <v>7178</v>
      </c>
      <c r="D53" t="s">
        <v>7179</v>
      </c>
      <c r="E53">
        <v>2</v>
      </c>
      <c r="F53" t="s">
        <v>7190</v>
      </c>
      <c r="G53" t="s">
        <v>7191</v>
      </c>
      <c r="H53" t="s">
        <v>7192</v>
      </c>
      <c r="I53" s="49">
        <v>45323</v>
      </c>
      <c r="J53">
        <v>21</v>
      </c>
      <c r="K53" t="s">
        <v>7185</v>
      </c>
      <c r="L53" t="b">
        <f>FALSE()</f>
        <v>0</v>
      </c>
      <c r="M53">
        <v>8</v>
      </c>
    </row>
    <row r="54" spans="1:13" ht="15" customHeight="1" x14ac:dyDescent="0.2">
      <c r="A54" s="49">
        <v>45344</v>
      </c>
      <c r="B54">
        <v>2024</v>
      </c>
      <c r="C54" t="s">
        <v>7178</v>
      </c>
      <c r="D54" t="s">
        <v>7179</v>
      </c>
      <c r="E54">
        <v>2</v>
      </c>
      <c r="F54" t="s">
        <v>7190</v>
      </c>
      <c r="G54" t="s">
        <v>7191</v>
      </c>
      <c r="H54" t="s">
        <v>7192</v>
      </c>
      <c r="I54" s="49">
        <v>45323</v>
      </c>
      <c r="J54">
        <v>22</v>
      </c>
      <c r="K54" t="s">
        <v>7186</v>
      </c>
      <c r="L54" t="b">
        <f>FALSE()</f>
        <v>0</v>
      </c>
      <c r="M54">
        <v>8</v>
      </c>
    </row>
    <row r="55" spans="1:13" ht="15" customHeight="1" x14ac:dyDescent="0.2">
      <c r="A55" s="49">
        <v>45345</v>
      </c>
      <c r="B55">
        <v>2024</v>
      </c>
      <c r="C55" t="s">
        <v>7178</v>
      </c>
      <c r="D55" t="s">
        <v>7179</v>
      </c>
      <c r="E55">
        <v>2</v>
      </c>
      <c r="F55" t="s">
        <v>7190</v>
      </c>
      <c r="G55" t="s">
        <v>7191</v>
      </c>
      <c r="H55" t="s">
        <v>7192</v>
      </c>
      <c r="I55" s="49">
        <v>45323</v>
      </c>
      <c r="J55">
        <v>23</v>
      </c>
      <c r="K55" t="s">
        <v>7187</v>
      </c>
      <c r="L55" t="b">
        <f>FALSE()</f>
        <v>0</v>
      </c>
      <c r="M55">
        <v>8</v>
      </c>
    </row>
    <row r="56" spans="1:13" ht="15" customHeight="1" x14ac:dyDescent="0.2">
      <c r="A56" s="49">
        <v>45346</v>
      </c>
      <c r="B56">
        <v>2024</v>
      </c>
      <c r="C56" t="s">
        <v>7178</v>
      </c>
      <c r="D56" t="s">
        <v>7179</v>
      </c>
      <c r="E56">
        <v>2</v>
      </c>
      <c r="F56" t="s">
        <v>7190</v>
      </c>
      <c r="G56" t="s">
        <v>7191</v>
      </c>
      <c r="H56" t="s">
        <v>7192</v>
      </c>
      <c r="I56" s="49">
        <v>45323</v>
      </c>
      <c r="J56">
        <v>24</v>
      </c>
      <c r="K56" t="s">
        <v>7188</v>
      </c>
      <c r="L56" t="b">
        <f>TRUE()</f>
        <v>1</v>
      </c>
      <c r="M56">
        <v>8</v>
      </c>
    </row>
    <row r="57" spans="1:13" ht="15" customHeight="1" x14ac:dyDescent="0.2">
      <c r="A57" s="49">
        <v>45347</v>
      </c>
      <c r="B57">
        <v>2024</v>
      </c>
      <c r="C57" t="s">
        <v>7178</v>
      </c>
      <c r="D57" t="s">
        <v>7179</v>
      </c>
      <c r="E57">
        <v>2</v>
      </c>
      <c r="F57" t="s">
        <v>7190</v>
      </c>
      <c r="G57" t="s">
        <v>7191</v>
      </c>
      <c r="H57" t="s">
        <v>7192</v>
      </c>
      <c r="I57" s="49">
        <v>45323</v>
      </c>
      <c r="J57">
        <v>25</v>
      </c>
      <c r="K57" t="s">
        <v>7189</v>
      </c>
      <c r="L57" t="b">
        <f>TRUE()</f>
        <v>1</v>
      </c>
      <c r="M57">
        <v>8</v>
      </c>
    </row>
    <row r="58" spans="1:13" ht="15" customHeight="1" x14ac:dyDescent="0.2">
      <c r="A58" s="49">
        <v>45348</v>
      </c>
      <c r="B58">
        <v>2024</v>
      </c>
      <c r="C58" t="s">
        <v>7178</v>
      </c>
      <c r="D58" t="s">
        <v>7179</v>
      </c>
      <c r="E58">
        <v>2</v>
      </c>
      <c r="F58" t="s">
        <v>7190</v>
      </c>
      <c r="G58" t="s">
        <v>7191</v>
      </c>
      <c r="H58" t="s">
        <v>7192</v>
      </c>
      <c r="I58" s="49">
        <v>45323</v>
      </c>
      <c r="J58">
        <v>26</v>
      </c>
      <c r="K58" t="s">
        <v>7183</v>
      </c>
      <c r="L58" t="b">
        <f>FALSE()</f>
        <v>0</v>
      </c>
      <c r="M58">
        <v>9</v>
      </c>
    </row>
    <row r="59" spans="1:13" ht="15" customHeight="1" x14ac:dyDescent="0.2">
      <c r="A59" s="49">
        <v>45349</v>
      </c>
      <c r="B59">
        <v>2024</v>
      </c>
      <c r="C59" t="s">
        <v>7178</v>
      </c>
      <c r="D59" t="s">
        <v>7179</v>
      </c>
      <c r="E59">
        <v>2</v>
      </c>
      <c r="F59" t="s">
        <v>7190</v>
      </c>
      <c r="G59" t="s">
        <v>7191</v>
      </c>
      <c r="H59" t="s">
        <v>7192</v>
      </c>
      <c r="I59" s="49">
        <v>45323</v>
      </c>
      <c r="J59">
        <v>27</v>
      </c>
      <c r="K59" t="s">
        <v>7184</v>
      </c>
      <c r="L59" t="b">
        <f>FALSE()</f>
        <v>0</v>
      </c>
      <c r="M59">
        <v>9</v>
      </c>
    </row>
    <row r="60" spans="1:13" ht="15" customHeight="1" x14ac:dyDescent="0.2">
      <c r="A60" s="49">
        <v>45350</v>
      </c>
      <c r="B60">
        <v>2024</v>
      </c>
      <c r="C60" t="s">
        <v>7178</v>
      </c>
      <c r="D60" t="s">
        <v>7179</v>
      </c>
      <c r="E60">
        <v>2</v>
      </c>
      <c r="F60" t="s">
        <v>7190</v>
      </c>
      <c r="G60" t="s">
        <v>7191</v>
      </c>
      <c r="H60" t="s">
        <v>7192</v>
      </c>
      <c r="I60" s="49">
        <v>45323</v>
      </c>
      <c r="J60">
        <v>28</v>
      </c>
      <c r="K60" t="s">
        <v>7185</v>
      </c>
      <c r="L60" t="b">
        <f>FALSE()</f>
        <v>0</v>
      </c>
      <c r="M60">
        <v>9</v>
      </c>
    </row>
    <row r="61" spans="1:13" ht="15" customHeight="1" x14ac:dyDescent="0.2">
      <c r="A61" s="49">
        <v>45351</v>
      </c>
      <c r="B61">
        <v>2024</v>
      </c>
      <c r="C61" t="s">
        <v>7178</v>
      </c>
      <c r="D61" t="s">
        <v>7179</v>
      </c>
      <c r="E61">
        <v>2</v>
      </c>
      <c r="F61" t="s">
        <v>7190</v>
      </c>
      <c r="G61" t="s">
        <v>7191</v>
      </c>
      <c r="H61" t="s">
        <v>7192</v>
      </c>
      <c r="I61" s="49">
        <v>45323</v>
      </c>
      <c r="J61">
        <v>29</v>
      </c>
      <c r="K61" t="s">
        <v>7186</v>
      </c>
      <c r="L61" t="b">
        <f>FALSE()</f>
        <v>0</v>
      </c>
      <c r="M61">
        <v>9</v>
      </c>
    </row>
    <row r="62" spans="1:13" ht="15" customHeight="1" x14ac:dyDescent="0.2">
      <c r="A62" s="49">
        <v>45352</v>
      </c>
      <c r="B62">
        <v>2024</v>
      </c>
      <c r="C62" t="s">
        <v>7178</v>
      </c>
      <c r="D62" t="s">
        <v>7179</v>
      </c>
      <c r="E62">
        <v>3</v>
      </c>
      <c r="F62" t="s">
        <v>7193</v>
      </c>
      <c r="G62" t="s">
        <v>7194</v>
      </c>
      <c r="H62" t="s">
        <v>7195</v>
      </c>
      <c r="I62" s="49">
        <v>45352</v>
      </c>
      <c r="J62">
        <v>1</v>
      </c>
      <c r="K62" t="s">
        <v>7187</v>
      </c>
      <c r="L62" t="b">
        <f>FALSE()</f>
        <v>0</v>
      </c>
      <c r="M62">
        <v>9</v>
      </c>
    </row>
    <row r="63" spans="1:13" ht="15" customHeight="1" x14ac:dyDescent="0.2">
      <c r="A63" s="49">
        <v>45353</v>
      </c>
      <c r="B63">
        <v>2024</v>
      </c>
      <c r="C63" t="s">
        <v>7178</v>
      </c>
      <c r="D63" t="s">
        <v>7179</v>
      </c>
      <c r="E63">
        <v>3</v>
      </c>
      <c r="F63" t="s">
        <v>7193</v>
      </c>
      <c r="G63" t="s">
        <v>7194</v>
      </c>
      <c r="H63" t="s">
        <v>7195</v>
      </c>
      <c r="I63" s="49">
        <v>45352</v>
      </c>
      <c r="J63">
        <v>2</v>
      </c>
      <c r="K63" t="s">
        <v>7188</v>
      </c>
      <c r="L63" t="b">
        <f>TRUE()</f>
        <v>1</v>
      </c>
      <c r="M63">
        <v>9</v>
      </c>
    </row>
    <row r="64" spans="1:13" ht="15" customHeight="1" x14ac:dyDescent="0.2">
      <c r="A64" s="49">
        <v>45354</v>
      </c>
      <c r="B64">
        <v>2024</v>
      </c>
      <c r="C64" t="s">
        <v>7178</v>
      </c>
      <c r="D64" t="s">
        <v>7179</v>
      </c>
      <c r="E64">
        <v>3</v>
      </c>
      <c r="F64" t="s">
        <v>7193</v>
      </c>
      <c r="G64" t="s">
        <v>7194</v>
      </c>
      <c r="H64" t="s">
        <v>7195</v>
      </c>
      <c r="I64" s="49">
        <v>45352</v>
      </c>
      <c r="J64">
        <v>3</v>
      </c>
      <c r="K64" t="s">
        <v>7189</v>
      </c>
      <c r="L64" t="b">
        <f>TRUE()</f>
        <v>1</v>
      </c>
      <c r="M64">
        <v>9</v>
      </c>
    </row>
    <row r="65" spans="1:13" ht="15" customHeight="1" x14ac:dyDescent="0.2">
      <c r="A65" s="49">
        <v>45355</v>
      </c>
      <c r="B65">
        <v>2024</v>
      </c>
      <c r="C65" t="s">
        <v>7178</v>
      </c>
      <c r="D65" t="s">
        <v>7179</v>
      </c>
      <c r="E65">
        <v>3</v>
      </c>
      <c r="F65" t="s">
        <v>7193</v>
      </c>
      <c r="G65" t="s">
        <v>7194</v>
      </c>
      <c r="H65" t="s">
        <v>7195</v>
      </c>
      <c r="I65" s="49">
        <v>45352</v>
      </c>
      <c r="J65">
        <v>4</v>
      </c>
      <c r="K65" t="s">
        <v>7183</v>
      </c>
      <c r="L65" t="b">
        <f>FALSE()</f>
        <v>0</v>
      </c>
      <c r="M65">
        <v>10</v>
      </c>
    </row>
    <row r="66" spans="1:13" ht="15" customHeight="1" x14ac:dyDescent="0.2">
      <c r="A66" s="49">
        <v>45356</v>
      </c>
      <c r="B66">
        <v>2024</v>
      </c>
      <c r="C66" t="s">
        <v>7178</v>
      </c>
      <c r="D66" t="s">
        <v>7179</v>
      </c>
      <c r="E66">
        <v>3</v>
      </c>
      <c r="F66" t="s">
        <v>7193</v>
      </c>
      <c r="G66" t="s">
        <v>7194</v>
      </c>
      <c r="H66" t="s">
        <v>7195</v>
      </c>
      <c r="I66" s="49">
        <v>45352</v>
      </c>
      <c r="J66">
        <v>5</v>
      </c>
      <c r="K66" t="s">
        <v>7184</v>
      </c>
      <c r="L66" t="b">
        <f>FALSE()</f>
        <v>0</v>
      </c>
      <c r="M66">
        <v>10</v>
      </c>
    </row>
    <row r="67" spans="1:13" ht="15" customHeight="1" x14ac:dyDescent="0.2">
      <c r="A67" s="49">
        <v>45357</v>
      </c>
      <c r="B67">
        <v>2024</v>
      </c>
      <c r="C67" t="s">
        <v>7178</v>
      </c>
      <c r="D67" t="s">
        <v>7179</v>
      </c>
      <c r="E67">
        <v>3</v>
      </c>
      <c r="F67" t="s">
        <v>7193</v>
      </c>
      <c r="G67" t="s">
        <v>7194</v>
      </c>
      <c r="H67" t="s">
        <v>7195</v>
      </c>
      <c r="I67" s="49">
        <v>45352</v>
      </c>
      <c r="J67">
        <v>6</v>
      </c>
      <c r="K67" t="s">
        <v>7185</v>
      </c>
      <c r="L67" t="b">
        <f>FALSE()</f>
        <v>0</v>
      </c>
      <c r="M67">
        <v>10</v>
      </c>
    </row>
    <row r="68" spans="1:13" ht="15" customHeight="1" x14ac:dyDescent="0.2">
      <c r="A68" s="49">
        <v>45358</v>
      </c>
      <c r="B68">
        <v>2024</v>
      </c>
      <c r="C68" t="s">
        <v>7178</v>
      </c>
      <c r="D68" t="s">
        <v>7179</v>
      </c>
      <c r="E68">
        <v>3</v>
      </c>
      <c r="F68" t="s">
        <v>7193</v>
      </c>
      <c r="G68" t="s">
        <v>7194</v>
      </c>
      <c r="H68" t="s">
        <v>7195</v>
      </c>
      <c r="I68" s="49">
        <v>45352</v>
      </c>
      <c r="J68">
        <v>7</v>
      </c>
      <c r="K68" t="s">
        <v>7186</v>
      </c>
      <c r="L68" t="b">
        <f>FALSE()</f>
        <v>0</v>
      </c>
      <c r="M68">
        <v>10</v>
      </c>
    </row>
    <row r="69" spans="1:13" ht="15" customHeight="1" x14ac:dyDescent="0.2">
      <c r="A69" s="49">
        <v>45359</v>
      </c>
      <c r="B69">
        <v>2024</v>
      </c>
      <c r="C69" t="s">
        <v>7178</v>
      </c>
      <c r="D69" t="s">
        <v>7179</v>
      </c>
      <c r="E69">
        <v>3</v>
      </c>
      <c r="F69" t="s">
        <v>7193</v>
      </c>
      <c r="G69" t="s">
        <v>7194</v>
      </c>
      <c r="H69" t="s">
        <v>7195</v>
      </c>
      <c r="I69" s="49">
        <v>45352</v>
      </c>
      <c r="J69">
        <v>8</v>
      </c>
      <c r="K69" t="s">
        <v>7187</v>
      </c>
      <c r="L69" t="b">
        <f>FALSE()</f>
        <v>0</v>
      </c>
      <c r="M69">
        <v>10</v>
      </c>
    </row>
    <row r="70" spans="1:13" ht="15" customHeight="1" x14ac:dyDescent="0.2">
      <c r="A70" s="49">
        <v>45360</v>
      </c>
      <c r="B70">
        <v>2024</v>
      </c>
      <c r="C70" t="s">
        <v>7178</v>
      </c>
      <c r="D70" t="s">
        <v>7179</v>
      </c>
      <c r="E70">
        <v>3</v>
      </c>
      <c r="F70" t="s">
        <v>7193</v>
      </c>
      <c r="G70" t="s">
        <v>7194</v>
      </c>
      <c r="H70" t="s">
        <v>7195</v>
      </c>
      <c r="I70" s="49">
        <v>45352</v>
      </c>
      <c r="J70">
        <v>9</v>
      </c>
      <c r="K70" t="s">
        <v>7188</v>
      </c>
      <c r="L70" t="b">
        <f>TRUE()</f>
        <v>1</v>
      </c>
      <c r="M70">
        <v>10</v>
      </c>
    </row>
    <row r="71" spans="1:13" ht="15" customHeight="1" x14ac:dyDescent="0.2">
      <c r="A71" s="49">
        <v>45361</v>
      </c>
      <c r="B71">
        <v>2024</v>
      </c>
      <c r="C71" t="s">
        <v>7178</v>
      </c>
      <c r="D71" t="s">
        <v>7179</v>
      </c>
      <c r="E71">
        <v>3</v>
      </c>
      <c r="F71" t="s">
        <v>7193</v>
      </c>
      <c r="G71" t="s">
        <v>7194</v>
      </c>
      <c r="H71" t="s">
        <v>7195</v>
      </c>
      <c r="I71" s="49">
        <v>45352</v>
      </c>
      <c r="J71">
        <v>10</v>
      </c>
      <c r="K71" t="s">
        <v>7189</v>
      </c>
      <c r="L71" t="b">
        <f>TRUE()</f>
        <v>1</v>
      </c>
      <c r="M71">
        <v>10</v>
      </c>
    </row>
    <row r="72" spans="1:13" ht="15" customHeight="1" x14ac:dyDescent="0.2">
      <c r="A72" s="49">
        <v>45362</v>
      </c>
      <c r="B72">
        <v>2024</v>
      </c>
      <c r="C72" t="s">
        <v>7178</v>
      </c>
      <c r="D72" t="s">
        <v>7179</v>
      </c>
      <c r="E72">
        <v>3</v>
      </c>
      <c r="F72" t="s">
        <v>7193</v>
      </c>
      <c r="G72" t="s">
        <v>7194</v>
      </c>
      <c r="H72" t="s">
        <v>7195</v>
      </c>
      <c r="I72" s="49">
        <v>45352</v>
      </c>
      <c r="J72">
        <v>11</v>
      </c>
      <c r="K72" t="s">
        <v>7183</v>
      </c>
      <c r="L72" t="b">
        <f>FALSE()</f>
        <v>0</v>
      </c>
      <c r="M72">
        <v>11</v>
      </c>
    </row>
    <row r="73" spans="1:13" ht="15" customHeight="1" x14ac:dyDescent="0.2">
      <c r="A73" s="49">
        <v>45363</v>
      </c>
      <c r="B73">
        <v>2024</v>
      </c>
      <c r="C73" t="s">
        <v>7178</v>
      </c>
      <c r="D73" t="s">
        <v>7179</v>
      </c>
      <c r="E73">
        <v>3</v>
      </c>
      <c r="F73" t="s">
        <v>7193</v>
      </c>
      <c r="G73" t="s">
        <v>7194</v>
      </c>
      <c r="H73" t="s">
        <v>7195</v>
      </c>
      <c r="I73" s="49">
        <v>45352</v>
      </c>
      <c r="J73">
        <v>12</v>
      </c>
      <c r="K73" t="s">
        <v>7184</v>
      </c>
      <c r="L73" t="b">
        <f>FALSE()</f>
        <v>0</v>
      </c>
      <c r="M73">
        <v>11</v>
      </c>
    </row>
    <row r="74" spans="1:13" ht="15" customHeight="1" x14ac:dyDescent="0.2">
      <c r="A74" s="49">
        <v>45364</v>
      </c>
      <c r="B74">
        <v>2024</v>
      </c>
      <c r="C74" t="s">
        <v>7178</v>
      </c>
      <c r="D74" t="s">
        <v>7179</v>
      </c>
      <c r="E74">
        <v>3</v>
      </c>
      <c r="F74" t="s">
        <v>7193</v>
      </c>
      <c r="G74" t="s">
        <v>7194</v>
      </c>
      <c r="H74" t="s">
        <v>7195</v>
      </c>
      <c r="I74" s="49">
        <v>45352</v>
      </c>
      <c r="J74">
        <v>13</v>
      </c>
      <c r="K74" t="s">
        <v>7185</v>
      </c>
      <c r="L74" t="b">
        <f>FALSE()</f>
        <v>0</v>
      </c>
      <c r="M74">
        <v>11</v>
      </c>
    </row>
    <row r="75" spans="1:13" ht="15" customHeight="1" x14ac:dyDescent="0.2">
      <c r="A75" s="49">
        <v>45365</v>
      </c>
      <c r="B75">
        <v>2024</v>
      </c>
      <c r="C75" t="s">
        <v>7178</v>
      </c>
      <c r="D75" t="s">
        <v>7179</v>
      </c>
      <c r="E75">
        <v>3</v>
      </c>
      <c r="F75" t="s">
        <v>7193</v>
      </c>
      <c r="G75" t="s">
        <v>7194</v>
      </c>
      <c r="H75" t="s">
        <v>7195</v>
      </c>
      <c r="I75" s="49">
        <v>45352</v>
      </c>
      <c r="J75">
        <v>14</v>
      </c>
      <c r="K75" t="s">
        <v>7186</v>
      </c>
      <c r="L75" t="b">
        <f>FALSE()</f>
        <v>0</v>
      </c>
      <c r="M75">
        <v>11</v>
      </c>
    </row>
    <row r="76" spans="1:13" ht="15" customHeight="1" x14ac:dyDescent="0.2">
      <c r="A76" s="49">
        <v>45366</v>
      </c>
      <c r="B76">
        <v>2024</v>
      </c>
      <c r="C76" t="s">
        <v>7178</v>
      </c>
      <c r="D76" t="s">
        <v>7179</v>
      </c>
      <c r="E76">
        <v>3</v>
      </c>
      <c r="F76" t="s">
        <v>7193</v>
      </c>
      <c r="G76" t="s">
        <v>7194</v>
      </c>
      <c r="H76" t="s">
        <v>7195</v>
      </c>
      <c r="I76" s="49">
        <v>45352</v>
      </c>
      <c r="J76">
        <v>15</v>
      </c>
      <c r="K76" t="s">
        <v>7187</v>
      </c>
      <c r="L76" t="b">
        <f>FALSE()</f>
        <v>0</v>
      </c>
      <c r="M76">
        <v>11</v>
      </c>
    </row>
    <row r="77" spans="1:13" ht="15" customHeight="1" x14ac:dyDescent="0.2">
      <c r="A77" s="49">
        <v>45367</v>
      </c>
      <c r="B77">
        <v>2024</v>
      </c>
      <c r="C77" t="s">
        <v>7178</v>
      </c>
      <c r="D77" t="s">
        <v>7179</v>
      </c>
      <c r="E77">
        <v>3</v>
      </c>
      <c r="F77" t="s">
        <v>7193</v>
      </c>
      <c r="G77" t="s">
        <v>7194</v>
      </c>
      <c r="H77" t="s">
        <v>7195</v>
      </c>
      <c r="I77" s="49">
        <v>45352</v>
      </c>
      <c r="J77">
        <v>16</v>
      </c>
      <c r="K77" t="s">
        <v>7188</v>
      </c>
      <c r="L77" t="b">
        <f>TRUE()</f>
        <v>1</v>
      </c>
      <c r="M77">
        <v>11</v>
      </c>
    </row>
    <row r="78" spans="1:13" ht="15" customHeight="1" x14ac:dyDescent="0.2">
      <c r="A78" s="49">
        <v>45368</v>
      </c>
      <c r="B78">
        <v>2024</v>
      </c>
      <c r="C78" t="s">
        <v>7178</v>
      </c>
      <c r="D78" t="s">
        <v>7179</v>
      </c>
      <c r="E78">
        <v>3</v>
      </c>
      <c r="F78" t="s">
        <v>7193</v>
      </c>
      <c r="G78" t="s">
        <v>7194</v>
      </c>
      <c r="H78" t="s">
        <v>7195</v>
      </c>
      <c r="I78" s="49">
        <v>45352</v>
      </c>
      <c r="J78">
        <v>17</v>
      </c>
      <c r="K78" t="s">
        <v>7189</v>
      </c>
      <c r="L78" t="b">
        <f>TRUE()</f>
        <v>1</v>
      </c>
      <c r="M78">
        <v>11</v>
      </c>
    </row>
    <row r="79" spans="1:13" ht="15" customHeight="1" x14ac:dyDescent="0.2">
      <c r="A79" s="49">
        <v>45369</v>
      </c>
      <c r="B79">
        <v>2024</v>
      </c>
      <c r="C79" t="s">
        <v>7178</v>
      </c>
      <c r="D79" t="s">
        <v>7179</v>
      </c>
      <c r="E79">
        <v>3</v>
      </c>
      <c r="F79" t="s">
        <v>7193</v>
      </c>
      <c r="G79" t="s">
        <v>7194</v>
      </c>
      <c r="H79" t="s">
        <v>7195</v>
      </c>
      <c r="I79" s="49">
        <v>45352</v>
      </c>
      <c r="J79">
        <v>18</v>
      </c>
      <c r="K79" t="s">
        <v>7183</v>
      </c>
      <c r="L79" t="b">
        <f>FALSE()</f>
        <v>0</v>
      </c>
      <c r="M79">
        <v>12</v>
      </c>
    </row>
    <row r="80" spans="1:13" ht="15" customHeight="1" x14ac:dyDescent="0.2">
      <c r="A80" s="49">
        <v>45370</v>
      </c>
      <c r="B80">
        <v>2024</v>
      </c>
      <c r="C80" t="s">
        <v>7178</v>
      </c>
      <c r="D80" t="s">
        <v>7179</v>
      </c>
      <c r="E80">
        <v>3</v>
      </c>
      <c r="F80" t="s">
        <v>7193</v>
      </c>
      <c r="G80" t="s">
        <v>7194</v>
      </c>
      <c r="H80" t="s">
        <v>7195</v>
      </c>
      <c r="I80" s="49">
        <v>45352</v>
      </c>
      <c r="J80">
        <v>19</v>
      </c>
      <c r="K80" t="s">
        <v>7184</v>
      </c>
      <c r="L80" t="b">
        <f>FALSE()</f>
        <v>0</v>
      </c>
      <c r="M80">
        <v>12</v>
      </c>
    </row>
    <row r="81" spans="1:13" ht="15" customHeight="1" x14ac:dyDescent="0.2">
      <c r="A81" s="49">
        <v>45371</v>
      </c>
      <c r="B81">
        <v>2024</v>
      </c>
      <c r="C81" t="s">
        <v>7178</v>
      </c>
      <c r="D81" t="s">
        <v>7179</v>
      </c>
      <c r="E81">
        <v>3</v>
      </c>
      <c r="F81" t="s">
        <v>7193</v>
      </c>
      <c r="G81" t="s">
        <v>7194</v>
      </c>
      <c r="H81" t="s">
        <v>7195</v>
      </c>
      <c r="I81" s="49">
        <v>45352</v>
      </c>
      <c r="J81">
        <v>20</v>
      </c>
      <c r="K81" t="s">
        <v>7185</v>
      </c>
      <c r="L81" t="b">
        <f>FALSE()</f>
        <v>0</v>
      </c>
      <c r="M81">
        <v>12</v>
      </c>
    </row>
    <row r="82" spans="1:13" ht="15" customHeight="1" x14ac:dyDescent="0.2">
      <c r="A82" s="49">
        <v>45372</v>
      </c>
      <c r="B82">
        <v>2024</v>
      </c>
      <c r="C82" t="s">
        <v>7178</v>
      </c>
      <c r="D82" t="s">
        <v>7179</v>
      </c>
      <c r="E82">
        <v>3</v>
      </c>
      <c r="F82" t="s">
        <v>7193</v>
      </c>
      <c r="G82" t="s">
        <v>7194</v>
      </c>
      <c r="H82" t="s">
        <v>7195</v>
      </c>
      <c r="I82" s="49">
        <v>45352</v>
      </c>
      <c r="J82">
        <v>21</v>
      </c>
      <c r="K82" t="s">
        <v>7186</v>
      </c>
      <c r="L82" t="b">
        <f>FALSE()</f>
        <v>0</v>
      </c>
      <c r="M82">
        <v>12</v>
      </c>
    </row>
    <row r="83" spans="1:13" ht="15" customHeight="1" x14ac:dyDescent="0.2">
      <c r="A83" s="49">
        <v>45373</v>
      </c>
      <c r="B83">
        <v>2024</v>
      </c>
      <c r="C83" t="s">
        <v>7178</v>
      </c>
      <c r="D83" t="s">
        <v>7179</v>
      </c>
      <c r="E83">
        <v>3</v>
      </c>
      <c r="F83" t="s">
        <v>7193</v>
      </c>
      <c r="G83" t="s">
        <v>7194</v>
      </c>
      <c r="H83" t="s">
        <v>7195</v>
      </c>
      <c r="I83" s="49">
        <v>45352</v>
      </c>
      <c r="J83">
        <v>22</v>
      </c>
      <c r="K83" t="s">
        <v>7187</v>
      </c>
      <c r="L83" t="b">
        <f>FALSE()</f>
        <v>0</v>
      </c>
      <c r="M83">
        <v>12</v>
      </c>
    </row>
    <row r="84" spans="1:13" ht="15" customHeight="1" x14ac:dyDescent="0.2">
      <c r="A84" s="49">
        <v>45374</v>
      </c>
      <c r="B84">
        <v>2024</v>
      </c>
      <c r="C84" t="s">
        <v>7178</v>
      </c>
      <c r="D84" t="s">
        <v>7179</v>
      </c>
      <c r="E84">
        <v>3</v>
      </c>
      <c r="F84" t="s">
        <v>7193</v>
      </c>
      <c r="G84" t="s">
        <v>7194</v>
      </c>
      <c r="H84" t="s">
        <v>7195</v>
      </c>
      <c r="I84" s="49">
        <v>45352</v>
      </c>
      <c r="J84">
        <v>23</v>
      </c>
      <c r="K84" t="s">
        <v>7188</v>
      </c>
      <c r="L84" t="b">
        <f>TRUE()</f>
        <v>1</v>
      </c>
      <c r="M84">
        <v>12</v>
      </c>
    </row>
    <row r="85" spans="1:13" ht="15" customHeight="1" x14ac:dyDescent="0.2">
      <c r="A85" s="49">
        <v>45375</v>
      </c>
      <c r="B85">
        <v>2024</v>
      </c>
      <c r="C85" t="s">
        <v>7178</v>
      </c>
      <c r="D85" t="s">
        <v>7179</v>
      </c>
      <c r="E85">
        <v>3</v>
      </c>
      <c r="F85" t="s">
        <v>7193</v>
      </c>
      <c r="G85" t="s">
        <v>7194</v>
      </c>
      <c r="H85" t="s">
        <v>7195</v>
      </c>
      <c r="I85" s="49">
        <v>45352</v>
      </c>
      <c r="J85">
        <v>24</v>
      </c>
      <c r="K85" t="s">
        <v>7189</v>
      </c>
      <c r="L85" t="b">
        <f>TRUE()</f>
        <v>1</v>
      </c>
      <c r="M85">
        <v>12</v>
      </c>
    </row>
    <row r="86" spans="1:13" ht="15" customHeight="1" x14ac:dyDescent="0.2">
      <c r="A86" s="49">
        <v>45376</v>
      </c>
      <c r="B86">
        <v>2024</v>
      </c>
      <c r="C86" t="s">
        <v>7178</v>
      </c>
      <c r="D86" t="s">
        <v>7179</v>
      </c>
      <c r="E86">
        <v>3</v>
      </c>
      <c r="F86" t="s">
        <v>7193</v>
      </c>
      <c r="G86" t="s">
        <v>7194</v>
      </c>
      <c r="H86" t="s">
        <v>7195</v>
      </c>
      <c r="I86" s="49">
        <v>45352</v>
      </c>
      <c r="J86">
        <v>25</v>
      </c>
      <c r="K86" t="s">
        <v>7183</v>
      </c>
      <c r="L86" t="b">
        <f>FALSE()</f>
        <v>0</v>
      </c>
      <c r="M86">
        <v>13</v>
      </c>
    </row>
    <row r="87" spans="1:13" ht="15" customHeight="1" x14ac:dyDescent="0.2">
      <c r="A87" s="49">
        <v>45377</v>
      </c>
      <c r="B87">
        <v>2024</v>
      </c>
      <c r="C87" t="s">
        <v>7178</v>
      </c>
      <c r="D87" t="s">
        <v>7179</v>
      </c>
      <c r="E87">
        <v>3</v>
      </c>
      <c r="F87" t="s">
        <v>7193</v>
      </c>
      <c r="G87" t="s">
        <v>7194</v>
      </c>
      <c r="H87" t="s">
        <v>7195</v>
      </c>
      <c r="I87" s="49">
        <v>45352</v>
      </c>
      <c r="J87">
        <v>26</v>
      </c>
      <c r="K87" t="s">
        <v>7184</v>
      </c>
      <c r="L87" t="b">
        <f>FALSE()</f>
        <v>0</v>
      </c>
      <c r="M87">
        <v>13</v>
      </c>
    </row>
    <row r="88" spans="1:13" ht="15" customHeight="1" x14ac:dyDescent="0.2">
      <c r="A88" s="49">
        <v>45378</v>
      </c>
      <c r="B88">
        <v>2024</v>
      </c>
      <c r="C88" t="s">
        <v>7178</v>
      </c>
      <c r="D88" t="s">
        <v>7179</v>
      </c>
      <c r="E88">
        <v>3</v>
      </c>
      <c r="F88" t="s">
        <v>7193</v>
      </c>
      <c r="G88" t="s">
        <v>7194</v>
      </c>
      <c r="H88" t="s">
        <v>7195</v>
      </c>
      <c r="I88" s="49">
        <v>45352</v>
      </c>
      <c r="J88">
        <v>27</v>
      </c>
      <c r="K88" t="s">
        <v>7185</v>
      </c>
      <c r="L88" t="b">
        <f>FALSE()</f>
        <v>0</v>
      </c>
      <c r="M88">
        <v>13</v>
      </c>
    </row>
    <row r="89" spans="1:13" ht="15" customHeight="1" x14ac:dyDescent="0.2">
      <c r="A89" s="49">
        <v>45379</v>
      </c>
      <c r="B89">
        <v>2024</v>
      </c>
      <c r="C89" t="s">
        <v>7178</v>
      </c>
      <c r="D89" t="s">
        <v>7179</v>
      </c>
      <c r="E89">
        <v>3</v>
      </c>
      <c r="F89" t="s">
        <v>7193</v>
      </c>
      <c r="G89" t="s">
        <v>7194</v>
      </c>
      <c r="H89" t="s">
        <v>7195</v>
      </c>
      <c r="I89" s="49">
        <v>45352</v>
      </c>
      <c r="J89">
        <v>28</v>
      </c>
      <c r="K89" t="s">
        <v>7186</v>
      </c>
      <c r="L89" t="b">
        <f>FALSE()</f>
        <v>0</v>
      </c>
      <c r="M89">
        <v>13</v>
      </c>
    </row>
    <row r="90" spans="1:13" ht="15" customHeight="1" x14ac:dyDescent="0.2">
      <c r="A90" s="49">
        <v>45380</v>
      </c>
      <c r="B90">
        <v>2024</v>
      </c>
      <c r="C90" t="s">
        <v>7178</v>
      </c>
      <c r="D90" t="s">
        <v>7179</v>
      </c>
      <c r="E90">
        <v>3</v>
      </c>
      <c r="F90" t="s">
        <v>7193</v>
      </c>
      <c r="G90" t="s">
        <v>7194</v>
      </c>
      <c r="H90" t="s">
        <v>7195</v>
      </c>
      <c r="I90" s="49">
        <v>45352</v>
      </c>
      <c r="J90">
        <v>29</v>
      </c>
      <c r="K90" t="s">
        <v>7187</v>
      </c>
      <c r="L90" t="b">
        <f>FALSE()</f>
        <v>0</v>
      </c>
      <c r="M90">
        <v>13</v>
      </c>
    </row>
    <row r="91" spans="1:13" ht="15" customHeight="1" x14ac:dyDescent="0.2">
      <c r="A91" s="49">
        <v>45381</v>
      </c>
      <c r="B91">
        <v>2024</v>
      </c>
      <c r="C91" t="s">
        <v>7178</v>
      </c>
      <c r="D91" t="s">
        <v>7179</v>
      </c>
      <c r="E91">
        <v>3</v>
      </c>
      <c r="F91" t="s">
        <v>7193</v>
      </c>
      <c r="G91" t="s">
        <v>7194</v>
      </c>
      <c r="H91" t="s">
        <v>7195</v>
      </c>
      <c r="I91" s="49">
        <v>45352</v>
      </c>
      <c r="J91">
        <v>30</v>
      </c>
      <c r="K91" t="s">
        <v>7188</v>
      </c>
      <c r="L91" t="b">
        <f>TRUE()</f>
        <v>1</v>
      </c>
      <c r="M91">
        <v>13</v>
      </c>
    </row>
    <row r="92" spans="1:13" ht="15" customHeight="1" x14ac:dyDescent="0.2">
      <c r="A92" s="49">
        <v>45382</v>
      </c>
      <c r="B92">
        <v>2024</v>
      </c>
      <c r="C92" t="s">
        <v>7178</v>
      </c>
      <c r="D92" t="s">
        <v>7179</v>
      </c>
      <c r="E92">
        <v>3</v>
      </c>
      <c r="F92" t="s">
        <v>7193</v>
      </c>
      <c r="G92" t="s">
        <v>7194</v>
      </c>
      <c r="H92" t="s">
        <v>7195</v>
      </c>
      <c r="I92" s="49">
        <v>45352</v>
      </c>
      <c r="J92">
        <v>31</v>
      </c>
      <c r="K92" t="s">
        <v>7189</v>
      </c>
      <c r="L92" t="b">
        <f>TRUE()</f>
        <v>1</v>
      </c>
      <c r="M92">
        <v>13</v>
      </c>
    </row>
    <row r="93" spans="1:13" ht="15" customHeight="1" x14ac:dyDescent="0.2">
      <c r="A93" s="49">
        <v>45383</v>
      </c>
      <c r="B93">
        <v>2024</v>
      </c>
      <c r="C93" t="s">
        <v>7196</v>
      </c>
      <c r="D93" t="s">
        <v>7197</v>
      </c>
      <c r="E93">
        <v>4</v>
      </c>
      <c r="F93" t="s">
        <v>7198</v>
      </c>
      <c r="G93" t="s">
        <v>7199</v>
      </c>
      <c r="H93" t="s">
        <v>7200</v>
      </c>
      <c r="I93" s="49">
        <v>45383</v>
      </c>
      <c r="J93">
        <v>1</v>
      </c>
      <c r="K93" t="s">
        <v>7183</v>
      </c>
      <c r="L93" t="b">
        <f>FALSE()</f>
        <v>0</v>
      </c>
      <c r="M93">
        <v>14</v>
      </c>
    </row>
    <row r="94" spans="1:13" ht="15" customHeight="1" x14ac:dyDescent="0.2">
      <c r="A94" s="49">
        <v>45384</v>
      </c>
      <c r="B94">
        <v>2024</v>
      </c>
      <c r="C94" t="s">
        <v>7196</v>
      </c>
      <c r="D94" t="s">
        <v>7197</v>
      </c>
      <c r="E94">
        <v>4</v>
      </c>
      <c r="F94" t="s">
        <v>7198</v>
      </c>
      <c r="G94" t="s">
        <v>7199</v>
      </c>
      <c r="H94" t="s">
        <v>7200</v>
      </c>
      <c r="I94" s="49">
        <v>45383</v>
      </c>
      <c r="J94">
        <v>2</v>
      </c>
      <c r="K94" t="s">
        <v>7184</v>
      </c>
      <c r="L94" t="b">
        <f>FALSE()</f>
        <v>0</v>
      </c>
      <c r="M94">
        <v>14</v>
      </c>
    </row>
    <row r="95" spans="1:13" ht="15" customHeight="1" x14ac:dyDescent="0.2">
      <c r="A95" s="49">
        <v>45385</v>
      </c>
      <c r="B95">
        <v>2024</v>
      </c>
      <c r="C95" t="s">
        <v>7196</v>
      </c>
      <c r="D95" t="s">
        <v>7197</v>
      </c>
      <c r="E95">
        <v>4</v>
      </c>
      <c r="F95" t="s">
        <v>7198</v>
      </c>
      <c r="G95" t="s">
        <v>7199</v>
      </c>
      <c r="H95" t="s">
        <v>7200</v>
      </c>
      <c r="I95" s="49">
        <v>45383</v>
      </c>
      <c r="J95">
        <v>3</v>
      </c>
      <c r="K95" t="s">
        <v>7185</v>
      </c>
      <c r="L95" t="b">
        <f>FALSE()</f>
        <v>0</v>
      </c>
      <c r="M95">
        <v>14</v>
      </c>
    </row>
    <row r="96" spans="1:13" ht="15" customHeight="1" x14ac:dyDescent="0.2">
      <c r="A96" s="49">
        <v>45386</v>
      </c>
      <c r="B96">
        <v>2024</v>
      </c>
      <c r="C96" t="s">
        <v>7196</v>
      </c>
      <c r="D96" t="s">
        <v>7197</v>
      </c>
      <c r="E96">
        <v>4</v>
      </c>
      <c r="F96" t="s">
        <v>7198</v>
      </c>
      <c r="G96" t="s">
        <v>7199</v>
      </c>
      <c r="H96" t="s">
        <v>7200</v>
      </c>
      <c r="I96" s="49">
        <v>45383</v>
      </c>
      <c r="J96">
        <v>4</v>
      </c>
      <c r="K96" t="s">
        <v>7186</v>
      </c>
      <c r="L96" t="b">
        <f>FALSE()</f>
        <v>0</v>
      </c>
      <c r="M96">
        <v>14</v>
      </c>
    </row>
    <row r="97" spans="1:13" ht="15" customHeight="1" x14ac:dyDescent="0.2">
      <c r="A97" s="49">
        <v>45387</v>
      </c>
      <c r="B97">
        <v>2024</v>
      </c>
      <c r="C97" t="s">
        <v>7196</v>
      </c>
      <c r="D97" t="s">
        <v>7197</v>
      </c>
      <c r="E97">
        <v>4</v>
      </c>
      <c r="F97" t="s">
        <v>7198</v>
      </c>
      <c r="G97" t="s">
        <v>7199</v>
      </c>
      <c r="H97" t="s">
        <v>7200</v>
      </c>
      <c r="I97" s="49">
        <v>45383</v>
      </c>
      <c r="J97">
        <v>5</v>
      </c>
      <c r="K97" t="s">
        <v>7187</v>
      </c>
      <c r="L97" t="b">
        <f>FALSE()</f>
        <v>0</v>
      </c>
      <c r="M97">
        <v>14</v>
      </c>
    </row>
    <row r="98" spans="1:13" ht="15" customHeight="1" x14ac:dyDescent="0.2">
      <c r="A98" s="49">
        <v>45388</v>
      </c>
      <c r="B98">
        <v>2024</v>
      </c>
      <c r="C98" t="s">
        <v>7196</v>
      </c>
      <c r="D98" t="s">
        <v>7197</v>
      </c>
      <c r="E98">
        <v>4</v>
      </c>
      <c r="F98" t="s">
        <v>7198</v>
      </c>
      <c r="G98" t="s">
        <v>7199</v>
      </c>
      <c r="H98" t="s">
        <v>7200</v>
      </c>
      <c r="I98" s="49">
        <v>45383</v>
      </c>
      <c r="J98">
        <v>6</v>
      </c>
      <c r="K98" t="s">
        <v>7188</v>
      </c>
      <c r="L98" t="b">
        <f>TRUE()</f>
        <v>1</v>
      </c>
      <c r="M98">
        <v>14</v>
      </c>
    </row>
    <row r="99" spans="1:13" ht="15" customHeight="1" x14ac:dyDescent="0.2">
      <c r="A99" s="49">
        <v>45389</v>
      </c>
      <c r="B99">
        <v>2024</v>
      </c>
      <c r="C99" t="s">
        <v>7196</v>
      </c>
      <c r="D99" t="s">
        <v>7197</v>
      </c>
      <c r="E99">
        <v>4</v>
      </c>
      <c r="F99" t="s">
        <v>7198</v>
      </c>
      <c r="G99" t="s">
        <v>7199</v>
      </c>
      <c r="H99" t="s">
        <v>7200</v>
      </c>
      <c r="I99" s="49">
        <v>45383</v>
      </c>
      <c r="J99">
        <v>7</v>
      </c>
      <c r="K99" t="s">
        <v>7189</v>
      </c>
      <c r="L99" t="b">
        <f>TRUE()</f>
        <v>1</v>
      </c>
      <c r="M99">
        <v>14</v>
      </c>
    </row>
    <row r="100" spans="1:13" ht="15" customHeight="1" x14ac:dyDescent="0.2">
      <c r="A100" s="49">
        <v>45390</v>
      </c>
      <c r="B100">
        <v>2024</v>
      </c>
      <c r="C100" t="s">
        <v>7196</v>
      </c>
      <c r="D100" t="s">
        <v>7197</v>
      </c>
      <c r="E100">
        <v>4</v>
      </c>
      <c r="F100" t="s">
        <v>7198</v>
      </c>
      <c r="G100" t="s">
        <v>7199</v>
      </c>
      <c r="H100" t="s">
        <v>7200</v>
      </c>
      <c r="I100" s="49">
        <v>45383</v>
      </c>
      <c r="J100">
        <v>8</v>
      </c>
      <c r="K100" t="s">
        <v>7183</v>
      </c>
      <c r="L100" t="b">
        <f>FALSE()</f>
        <v>0</v>
      </c>
      <c r="M100">
        <v>15</v>
      </c>
    </row>
    <row r="101" spans="1:13" ht="15" customHeight="1" x14ac:dyDescent="0.2">
      <c r="A101" s="49">
        <v>45391</v>
      </c>
      <c r="B101">
        <v>2024</v>
      </c>
      <c r="C101" t="s">
        <v>7196</v>
      </c>
      <c r="D101" t="s">
        <v>7197</v>
      </c>
      <c r="E101">
        <v>4</v>
      </c>
      <c r="F101" t="s">
        <v>7198</v>
      </c>
      <c r="G101" t="s">
        <v>7199</v>
      </c>
      <c r="H101" t="s">
        <v>7200</v>
      </c>
      <c r="I101" s="49">
        <v>45383</v>
      </c>
      <c r="J101">
        <v>9</v>
      </c>
      <c r="K101" t="s">
        <v>7184</v>
      </c>
      <c r="L101" t="b">
        <f>FALSE()</f>
        <v>0</v>
      </c>
      <c r="M101">
        <v>15</v>
      </c>
    </row>
    <row r="102" spans="1:13" ht="15" customHeight="1" x14ac:dyDescent="0.2">
      <c r="A102" s="49">
        <v>45392</v>
      </c>
      <c r="B102">
        <v>2024</v>
      </c>
      <c r="C102" t="s">
        <v>7196</v>
      </c>
      <c r="D102" t="s">
        <v>7197</v>
      </c>
      <c r="E102">
        <v>4</v>
      </c>
      <c r="F102" t="s">
        <v>7198</v>
      </c>
      <c r="G102" t="s">
        <v>7199</v>
      </c>
      <c r="H102" t="s">
        <v>7200</v>
      </c>
      <c r="I102" s="49">
        <v>45383</v>
      </c>
      <c r="J102">
        <v>10</v>
      </c>
      <c r="K102" t="s">
        <v>7185</v>
      </c>
      <c r="L102" t="b">
        <f>FALSE()</f>
        <v>0</v>
      </c>
      <c r="M102">
        <v>15</v>
      </c>
    </row>
    <row r="103" spans="1:13" ht="15" customHeight="1" x14ac:dyDescent="0.2">
      <c r="A103" s="49">
        <v>45393</v>
      </c>
      <c r="B103">
        <v>2024</v>
      </c>
      <c r="C103" t="s">
        <v>7196</v>
      </c>
      <c r="D103" t="s">
        <v>7197</v>
      </c>
      <c r="E103">
        <v>4</v>
      </c>
      <c r="F103" t="s">
        <v>7198</v>
      </c>
      <c r="G103" t="s">
        <v>7199</v>
      </c>
      <c r="H103" t="s">
        <v>7200</v>
      </c>
      <c r="I103" s="49">
        <v>45383</v>
      </c>
      <c r="J103">
        <v>11</v>
      </c>
      <c r="K103" t="s">
        <v>7186</v>
      </c>
      <c r="L103" t="b">
        <f>FALSE()</f>
        <v>0</v>
      </c>
      <c r="M103">
        <v>15</v>
      </c>
    </row>
    <row r="104" spans="1:13" ht="15" customHeight="1" x14ac:dyDescent="0.2">
      <c r="A104" s="49">
        <v>45394</v>
      </c>
      <c r="B104">
        <v>2024</v>
      </c>
      <c r="C104" t="s">
        <v>7196</v>
      </c>
      <c r="D104" t="s">
        <v>7197</v>
      </c>
      <c r="E104">
        <v>4</v>
      </c>
      <c r="F104" t="s">
        <v>7198</v>
      </c>
      <c r="G104" t="s">
        <v>7199</v>
      </c>
      <c r="H104" t="s">
        <v>7200</v>
      </c>
      <c r="I104" s="49">
        <v>45383</v>
      </c>
      <c r="J104">
        <v>12</v>
      </c>
      <c r="K104" t="s">
        <v>7187</v>
      </c>
      <c r="L104" t="b">
        <f>FALSE()</f>
        <v>0</v>
      </c>
      <c r="M104">
        <v>15</v>
      </c>
    </row>
    <row r="105" spans="1:13" ht="15" customHeight="1" x14ac:dyDescent="0.2">
      <c r="A105" s="49">
        <v>45395</v>
      </c>
      <c r="B105">
        <v>2024</v>
      </c>
      <c r="C105" t="s">
        <v>7196</v>
      </c>
      <c r="D105" t="s">
        <v>7197</v>
      </c>
      <c r="E105">
        <v>4</v>
      </c>
      <c r="F105" t="s">
        <v>7198</v>
      </c>
      <c r="G105" t="s">
        <v>7199</v>
      </c>
      <c r="H105" t="s">
        <v>7200</v>
      </c>
      <c r="I105" s="49">
        <v>45383</v>
      </c>
      <c r="J105">
        <v>13</v>
      </c>
      <c r="K105" t="s">
        <v>7188</v>
      </c>
      <c r="L105" t="b">
        <f>TRUE()</f>
        <v>1</v>
      </c>
      <c r="M105">
        <v>15</v>
      </c>
    </row>
    <row r="106" spans="1:13" ht="15" customHeight="1" x14ac:dyDescent="0.2">
      <c r="A106" s="49">
        <v>45396</v>
      </c>
      <c r="B106">
        <v>2024</v>
      </c>
      <c r="C106" t="s">
        <v>7196</v>
      </c>
      <c r="D106" t="s">
        <v>7197</v>
      </c>
      <c r="E106">
        <v>4</v>
      </c>
      <c r="F106" t="s">
        <v>7198</v>
      </c>
      <c r="G106" t="s">
        <v>7199</v>
      </c>
      <c r="H106" t="s">
        <v>7200</v>
      </c>
      <c r="I106" s="49">
        <v>45383</v>
      </c>
      <c r="J106">
        <v>14</v>
      </c>
      <c r="K106" t="s">
        <v>7189</v>
      </c>
      <c r="L106" t="b">
        <f>TRUE()</f>
        <v>1</v>
      </c>
      <c r="M106">
        <v>15</v>
      </c>
    </row>
    <row r="107" spans="1:13" ht="15" customHeight="1" x14ac:dyDescent="0.2">
      <c r="A107" s="49">
        <v>45397</v>
      </c>
      <c r="B107">
        <v>2024</v>
      </c>
      <c r="C107" t="s">
        <v>7196</v>
      </c>
      <c r="D107" t="s">
        <v>7197</v>
      </c>
      <c r="E107">
        <v>4</v>
      </c>
      <c r="F107" t="s">
        <v>7198</v>
      </c>
      <c r="G107" t="s">
        <v>7199</v>
      </c>
      <c r="H107" t="s">
        <v>7200</v>
      </c>
      <c r="I107" s="49">
        <v>45383</v>
      </c>
      <c r="J107">
        <v>15</v>
      </c>
      <c r="K107" t="s">
        <v>7183</v>
      </c>
      <c r="L107" t="b">
        <f>FALSE()</f>
        <v>0</v>
      </c>
      <c r="M107">
        <v>16</v>
      </c>
    </row>
    <row r="108" spans="1:13" ht="15" customHeight="1" x14ac:dyDescent="0.2">
      <c r="A108" s="49">
        <v>45398</v>
      </c>
      <c r="B108">
        <v>2024</v>
      </c>
      <c r="C108" t="s">
        <v>7196</v>
      </c>
      <c r="D108" t="s">
        <v>7197</v>
      </c>
      <c r="E108">
        <v>4</v>
      </c>
      <c r="F108" t="s">
        <v>7198</v>
      </c>
      <c r="G108" t="s">
        <v>7199</v>
      </c>
      <c r="H108" t="s">
        <v>7200</v>
      </c>
      <c r="I108" s="49">
        <v>45383</v>
      </c>
      <c r="J108">
        <v>16</v>
      </c>
      <c r="K108" t="s">
        <v>7184</v>
      </c>
      <c r="L108" t="b">
        <f>FALSE()</f>
        <v>0</v>
      </c>
      <c r="M108">
        <v>16</v>
      </c>
    </row>
    <row r="109" spans="1:13" ht="15" customHeight="1" x14ac:dyDescent="0.2">
      <c r="A109" s="49">
        <v>45399</v>
      </c>
      <c r="B109">
        <v>2024</v>
      </c>
      <c r="C109" t="s">
        <v>7196</v>
      </c>
      <c r="D109" t="s">
        <v>7197</v>
      </c>
      <c r="E109">
        <v>4</v>
      </c>
      <c r="F109" t="s">
        <v>7198</v>
      </c>
      <c r="G109" t="s">
        <v>7199</v>
      </c>
      <c r="H109" t="s">
        <v>7200</v>
      </c>
      <c r="I109" s="49">
        <v>45383</v>
      </c>
      <c r="J109">
        <v>17</v>
      </c>
      <c r="K109" t="s">
        <v>7185</v>
      </c>
      <c r="L109" t="b">
        <f>FALSE()</f>
        <v>0</v>
      </c>
      <c r="M109">
        <v>16</v>
      </c>
    </row>
    <row r="110" spans="1:13" ht="15" customHeight="1" x14ac:dyDescent="0.2">
      <c r="A110" s="49">
        <v>45400</v>
      </c>
      <c r="B110">
        <v>2024</v>
      </c>
      <c r="C110" t="s">
        <v>7196</v>
      </c>
      <c r="D110" t="s">
        <v>7197</v>
      </c>
      <c r="E110">
        <v>4</v>
      </c>
      <c r="F110" t="s">
        <v>7198</v>
      </c>
      <c r="G110" t="s">
        <v>7199</v>
      </c>
      <c r="H110" t="s">
        <v>7200</v>
      </c>
      <c r="I110" s="49">
        <v>45383</v>
      </c>
      <c r="J110">
        <v>18</v>
      </c>
      <c r="K110" t="s">
        <v>7186</v>
      </c>
      <c r="L110" t="b">
        <f>FALSE()</f>
        <v>0</v>
      </c>
      <c r="M110">
        <v>16</v>
      </c>
    </row>
    <row r="111" spans="1:13" ht="15" customHeight="1" x14ac:dyDescent="0.2">
      <c r="A111" s="49">
        <v>45401</v>
      </c>
      <c r="B111">
        <v>2024</v>
      </c>
      <c r="C111" t="s">
        <v>7196</v>
      </c>
      <c r="D111" t="s">
        <v>7197</v>
      </c>
      <c r="E111">
        <v>4</v>
      </c>
      <c r="F111" t="s">
        <v>7198</v>
      </c>
      <c r="G111" t="s">
        <v>7199</v>
      </c>
      <c r="H111" t="s">
        <v>7200</v>
      </c>
      <c r="I111" s="49">
        <v>45383</v>
      </c>
      <c r="J111">
        <v>19</v>
      </c>
      <c r="K111" t="s">
        <v>7187</v>
      </c>
      <c r="L111" t="b">
        <f>FALSE()</f>
        <v>0</v>
      </c>
      <c r="M111">
        <v>16</v>
      </c>
    </row>
    <row r="112" spans="1:13" ht="15" customHeight="1" x14ac:dyDescent="0.2">
      <c r="A112" s="49">
        <v>45402</v>
      </c>
      <c r="B112">
        <v>2024</v>
      </c>
      <c r="C112" t="s">
        <v>7196</v>
      </c>
      <c r="D112" t="s">
        <v>7197</v>
      </c>
      <c r="E112">
        <v>4</v>
      </c>
      <c r="F112" t="s">
        <v>7198</v>
      </c>
      <c r="G112" t="s">
        <v>7199</v>
      </c>
      <c r="H112" t="s">
        <v>7200</v>
      </c>
      <c r="I112" s="49">
        <v>45383</v>
      </c>
      <c r="J112">
        <v>20</v>
      </c>
      <c r="K112" t="s">
        <v>7188</v>
      </c>
      <c r="L112" t="b">
        <f>TRUE()</f>
        <v>1</v>
      </c>
      <c r="M112">
        <v>16</v>
      </c>
    </row>
    <row r="113" spans="1:13" ht="15" customHeight="1" x14ac:dyDescent="0.2">
      <c r="A113" s="49">
        <v>45403</v>
      </c>
      <c r="B113">
        <v>2024</v>
      </c>
      <c r="C113" t="s">
        <v>7196</v>
      </c>
      <c r="D113" t="s">
        <v>7197</v>
      </c>
      <c r="E113">
        <v>4</v>
      </c>
      <c r="F113" t="s">
        <v>7198</v>
      </c>
      <c r="G113" t="s">
        <v>7199</v>
      </c>
      <c r="H113" t="s">
        <v>7200</v>
      </c>
      <c r="I113" s="49">
        <v>45383</v>
      </c>
      <c r="J113">
        <v>21</v>
      </c>
      <c r="K113" t="s">
        <v>7189</v>
      </c>
      <c r="L113" t="b">
        <f>TRUE()</f>
        <v>1</v>
      </c>
      <c r="M113">
        <v>16</v>
      </c>
    </row>
    <row r="114" spans="1:13" ht="15" customHeight="1" x14ac:dyDescent="0.2">
      <c r="A114" s="49">
        <v>45404</v>
      </c>
      <c r="B114">
        <v>2024</v>
      </c>
      <c r="C114" t="s">
        <v>7196</v>
      </c>
      <c r="D114" t="s">
        <v>7197</v>
      </c>
      <c r="E114">
        <v>4</v>
      </c>
      <c r="F114" t="s">
        <v>7198</v>
      </c>
      <c r="G114" t="s">
        <v>7199</v>
      </c>
      <c r="H114" t="s">
        <v>7200</v>
      </c>
      <c r="I114" s="49">
        <v>45383</v>
      </c>
      <c r="J114">
        <v>22</v>
      </c>
      <c r="K114" t="s">
        <v>7183</v>
      </c>
      <c r="L114" t="b">
        <f>FALSE()</f>
        <v>0</v>
      </c>
      <c r="M114">
        <v>17</v>
      </c>
    </row>
    <row r="115" spans="1:13" ht="15" customHeight="1" x14ac:dyDescent="0.2">
      <c r="A115" s="49">
        <v>45405</v>
      </c>
      <c r="B115">
        <v>2024</v>
      </c>
      <c r="C115" t="s">
        <v>7196</v>
      </c>
      <c r="D115" t="s">
        <v>7197</v>
      </c>
      <c r="E115">
        <v>4</v>
      </c>
      <c r="F115" t="s">
        <v>7198</v>
      </c>
      <c r="G115" t="s">
        <v>7199</v>
      </c>
      <c r="H115" t="s">
        <v>7200</v>
      </c>
      <c r="I115" s="49">
        <v>45383</v>
      </c>
      <c r="J115">
        <v>23</v>
      </c>
      <c r="K115" t="s">
        <v>7184</v>
      </c>
      <c r="L115" t="b">
        <f>FALSE()</f>
        <v>0</v>
      </c>
      <c r="M115">
        <v>17</v>
      </c>
    </row>
    <row r="116" spans="1:13" ht="15" customHeight="1" x14ac:dyDescent="0.2">
      <c r="A116" s="49">
        <v>45406</v>
      </c>
      <c r="B116">
        <v>2024</v>
      </c>
      <c r="C116" t="s">
        <v>7196</v>
      </c>
      <c r="D116" t="s">
        <v>7197</v>
      </c>
      <c r="E116">
        <v>4</v>
      </c>
      <c r="F116" t="s">
        <v>7198</v>
      </c>
      <c r="G116" t="s">
        <v>7199</v>
      </c>
      <c r="H116" t="s">
        <v>7200</v>
      </c>
      <c r="I116" s="49">
        <v>45383</v>
      </c>
      <c r="J116">
        <v>24</v>
      </c>
      <c r="K116" t="s">
        <v>7185</v>
      </c>
      <c r="L116" t="b">
        <f>FALSE()</f>
        <v>0</v>
      </c>
      <c r="M116">
        <v>17</v>
      </c>
    </row>
    <row r="117" spans="1:13" ht="15" customHeight="1" x14ac:dyDescent="0.2">
      <c r="A117" s="49">
        <v>45407</v>
      </c>
      <c r="B117">
        <v>2024</v>
      </c>
      <c r="C117" t="s">
        <v>7196</v>
      </c>
      <c r="D117" t="s">
        <v>7197</v>
      </c>
      <c r="E117">
        <v>4</v>
      </c>
      <c r="F117" t="s">
        <v>7198</v>
      </c>
      <c r="G117" t="s">
        <v>7199</v>
      </c>
      <c r="H117" t="s">
        <v>7200</v>
      </c>
      <c r="I117" s="49">
        <v>45383</v>
      </c>
      <c r="J117">
        <v>25</v>
      </c>
      <c r="K117" t="s">
        <v>7186</v>
      </c>
      <c r="L117" t="b">
        <f>FALSE()</f>
        <v>0</v>
      </c>
      <c r="M117">
        <v>17</v>
      </c>
    </row>
    <row r="118" spans="1:13" ht="15" customHeight="1" x14ac:dyDescent="0.2">
      <c r="A118" s="49">
        <v>45408</v>
      </c>
      <c r="B118">
        <v>2024</v>
      </c>
      <c r="C118" t="s">
        <v>7196</v>
      </c>
      <c r="D118" t="s">
        <v>7197</v>
      </c>
      <c r="E118">
        <v>4</v>
      </c>
      <c r="F118" t="s">
        <v>7198</v>
      </c>
      <c r="G118" t="s">
        <v>7199</v>
      </c>
      <c r="H118" t="s">
        <v>7200</v>
      </c>
      <c r="I118" s="49">
        <v>45383</v>
      </c>
      <c r="J118">
        <v>26</v>
      </c>
      <c r="K118" t="s">
        <v>7187</v>
      </c>
      <c r="L118" t="b">
        <f>FALSE()</f>
        <v>0</v>
      </c>
      <c r="M118">
        <v>17</v>
      </c>
    </row>
    <row r="119" spans="1:13" ht="15" customHeight="1" x14ac:dyDescent="0.2">
      <c r="A119" s="49">
        <v>45409</v>
      </c>
      <c r="B119">
        <v>2024</v>
      </c>
      <c r="C119" t="s">
        <v>7196</v>
      </c>
      <c r="D119" t="s">
        <v>7197</v>
      </c>
      <c r="E119">
        <v>4</v>
      </c>
      <c r="F119" t="s">
        <v>7198</v>
      </c>
      <c r="G119" t="s">
        <v>7199</v>
      </c>
      <c r="H119" t="s">
        <v>7200</v>
      </c>
      <c r="I119" s="49">
        <v>45383</v>
      </c>
      <c r="J119">
        <v>27</v>
      </c>
      <c r="K119" t="s">
        <v>7188</v>
      </c>
      <c r="L119" t="b">
        <f>TRUE()</f>
        <v>1</v>
      </c>
      <c r="M119">
        <v>17</v>
      </c>
    </row>
    <row r="120" spans="1:13" ht="15" customHeight="1" x14ac:dyDescent="0.2">
      <c r="A120" s="49">
        <v>45410</v>
      </c>
      <c r="B120">
        <v>2024</v>
      </c>
      <c r="C120" t="s">
        <v>7196</v>
      </c>
      <c r="D120" t="s">
        <v>7197</v>
      </c>
      <c r="E120">
        <v>4</v>
      </c>
      <c r="F120" t="s">
        <v>7198</v>
      </c>
      <c r="G120" t="s">
        <v>7199</v>
      </c>
      <c r="H120" t="s">
        <v>7200</v>
      </c>
      <c r="I120" s="49">
        <v>45383</v>
      </c>
      <c r="J120">
        <v>28</v>
      </c>
      <c r="K120" t="s">
        <v>7189</v>
      </c>
      <c r="L120" t="b">
        <f>TRUE()</f>
        <v>1</v>
      </c>
      <c r="M120">
        <v>17</v>
      </c>
    </row>
    <row r="121" spans="1:13" ht="15" customHeight="1" x14ac:dyDescent="0.2">
      <c r="A121" s="49">
        <v>45411</v>
      </c>
      <c r="B121">
        <v>2024</v>
      </c>
      <c r="C121" t="s">
        <v>7196</v>
      </c>
      <c r="D121" t="s">
        <v>7197</v>
      </c>
      <c r="E121">
        <v>4</v>
      </c>
      <c r="F121" t="s">
        <v>7198</v>
      </c>
      <c r="G121" t="s">
        <v>7199</v>
      </c>
      <c r="H121" t="s">
        <v>7200</v>
      </c>
      <c r="I121" s="49">
        <v>45383</v>
      </c>
      <c r="J121">
        <v>29</v>
      </c>
      <c r="K121" t="s">
        <v>7183</v>
      </c>
      <c r="L121" t="b">
        <f>FALSE()</f>
        <v>0</v>
      </c>
      <c r="M121">
        <v>18</v>
      </c>
    </row>
    <row r="122" spans="1:13" ht="15" customHeight="1" x14ac:dyDescent="0.2">
      <c r="A122" s="49">
        <v>45412</v>
      </c>
      <c r="B122">
        <v>2024</v>
      </c>
      <c r="C122" t="s">
        <v>7196</v>
      </c>
      <c r="D122" t="s">
        <v>7197</v>
      </c>
      <c r="E122">
        <v>4</v>
      </c>
      <c r="F122" t="s">
        <v>7198</v>
      </c>
      <c r="G122" t="s">
        <v>7199</v>
      </c>
      <c r="H122" t="s">
        <v>7200</v>
      </c>
      <c r="I122" s="49">
        <v>45383</v>
      </c>
      <c r="J122">
        <v>30</v>
      </c>
      <c r="K122" t="s">
        <v>7184</v>
      </c>
      <c r="L122" t="b">
        <f>FALSE()</f>
        <v>0</v>
      </c>
      <c r="M122">
        <v>18</v>
      </c>
    </row>
    <row r="123" spans="1:13" ht="15" customHeight="1" x14ac:dyDescent="0.2">
      <c r="A123" s="49">
        <v>45413</v>
      </c>
      <c r="B123">
        <v>2024</v>
      </c>
      <c r="C123" t="s">
        <v>7196</v>
      </c>
      <c r="D123" t="s">
        <v>7197</v>
      </c>
      <c r="E123">
        <v>5</v>
      </c>
      <c r="F123" t="s">
        <v>7201</v>
      </c>
      <c r="G123" t="s">
        <v>7201</v>
      </c>
      <c r="H123" t="s">
        <v>7202</v>
      </c>
      <c r="I123" s="49">
        <v>45413</v>
      </c>
      <c r="J123">
        <v>1</v>
      </c>
      <c r="K123" t="s">
        <v>7185</v>
      </c>
      <c r="L123" t="b">
        <f>FALSE()</f>
        <v>0</v>
      </c>
      <c r="M123">
        <v>18</v>
      </c>
    </row>
    <row r="124" spans="1:13" ht="15" customHeight="1" x14ac:dyDescent="0.2">
      <c r="A124" s="49">
        <v>45414</v>
      </c>
      <c r="B124">
        <v>2024</v>
      </c>
      <c r="C124" t="s">
        <v>7196</v>
      </c>
      <c r="D124" t="s">
        <v>7197</v>
      </c>
      <c r="E124">
        <v>5</v>
      </c>
      <c r="F124" t="s">
        <v>7201</v>
      </c>
      <c r="G124" t="s">
        <v>7201</v>
      </c>
      <c r="H124" t="s">
        <v>7202</v>
      </c>
      <c r="I124" s="49">
        <v>45413</v>
      </c>
      <c r="J124">
        <v>2</v>
      </c>
      <c r="K124" t="s">
        <v>7186</v>
      </c>
      <c r="L124" t="b">
        <f>FALSE()</f>
        <v>0</v>
      </c>
      <c r="M124">
        <v>18</v>
      </c>
    </row>
    <row r="125" spans="1:13" ht="15" customHeight="1" x14ac:dyDescent="0.2">
      <c r="A125" s="49">
        <v>45415</v>
      </c>
      <c r="B125">
        <v>2024</v>
      </c>
      <c r="C125" t="s">
        <v>7196</v>
      </c>
      <c r="D125" t="s">
        <v>7197</v>
      </c>
      <c r="E125">
        <v>5</v>
      </c>
      <c r="F125" t="s">
        <v>7201</v>
      </c>
      <c r="G125" t="s">
        <v>7201</v>
      </c>
      <c r="H125" t="s">
        <v>7202</v>
      </c>
      <c r="I125" s="49">
        <v>45413</v>
      </c>
      <c r="J125">
        <v>3</v>
      </c>
      <c r="K125" t="s">
        <v>7187</v>
      </c>
      <c r="L125" t="b">
        <f>FALSE()</f>
        <v>0</v>
      </c>
      <c r="M125">
        <v>18</v>
      </c>
    </row>
    <row r="126" spans="1:13" ht="15" customHeight="1" x14ac:dyDescent="0.2">
      <c r="A126" s="49">
        <v>45416</v>
      </c>
      <c r="B126">
        <v>2024</v>
      </c>
      <c r="C126" t="s">
        <v>7196</v>
      </c>
      <c r="D126" t="s">
        <v>7197</v>
      </c>
      <c r="E126">
        <v>5</v>
      </c>
      <c r="F126" t="s">
        <v>7201</v>
      </c>
      <c r="G126" t="s">
        <v>7201</v>
      </c>
      <c r="H126" t="s">
        <v>7202</v>
      </c>
      <c r="I126" s="49">
        <v>45413</v>
      </c>
      <c r="J126">
        <v>4</v>
      </c>
      <c r="K126" t="s">
        <v>7188</v>
      </c>
      <c r="L126" t="b">
        <f>TRUE()</f>
        <v>1</v>
      </c>
      <c r="M126">
        <v>18</v>
      </c>
    </row>
    <row r="127" spans="1:13" ht="15" customHeight="1" x14ac:dyDescent="0.2">
      <c r="A127" s="49">
        <v>45417</v>
      </c>
      <c r="B127">
        <v>2024</v>
      </c>
      <c r="C127" t="s">
        <v>7196</v>
      </c>
      <c r="D127" t="s">
        <v>7197</v>
      </c>
      <c r="E127">
        <v>5</v>
      </c>
      <c r="F127" t="s">
        <v>7201</v>
      </c>
      <c r="G127" t="s">
        <v>7201</v>
      </c>
      <c r="H127" t="s">
        <v>7202</v>
      </c>
      <c r="I127" s="49">
        <v>45413</v>
      </c>
      <c r="J127">
        <v>5</v>
      </c>
      <c r="K127" t="s">
        <v>7189</v>
      </c>
      <c r="L127" t="b">
        <f>TRUE()</f>
        <v>1</v>
      </c>
      <c r="M127">
        <v>18</v>
      </c>
    </row>
    <row r="128" spans="1:13" ht="15" customHeight="1" x14ac:dyDescent="0.2">
      <c r="A128" s="49">
        <v>45418</v>
      </c>
      <c r="B128">
        <v>2024</v>
      </c>
      <c r="C128" t="s">
        <v>7196</v>
      </c>
      <c r="D128" t="s">
        <v>7197</v>
      </c>
      <c r="E128">
        <v>5</v>
      </c>
      <c r="F128" t="s">
        <v>7201</v>
      </c>
      <c r="G128" t="s">
        <v>7201</v>
      </c>
      <c r="H128" t="s">
        <v>7202</v>
      </c>
      <c r="I128" s="49">
        <v>45413</v>
      </c>
      <c r="J128">
        <v>6</v>
      </c>
      <c r="K128" t="s">
        <v>7183</v>
      </c>
      <c r="L128" t="b">
        <f>FALSE()</f>
        <v>0</v>
      </c>
      <c r="M128">
        <v>19</v>
      </c>
    </row>
    <row r="129" spans="1:13" ht="15" customHeight="1" x14ac:dyDescent="0.2">
      <c r="A129" s="49">
        <v>45419</v>
      </c>
      <c r="B129">
        <v>2024</v>
      </c>
      <c r="C129" t="s">
        <v>7196</v>
      </c>
      <c r="D129" t="s">
        <v>7197</v>
      </c>
      <c r="E129">
        <v>5</v>
      </c>
      <c r="F129" t="s">
        <v>7201</v>
      </c>
      <c r="G129" t="s">
        <v>7201</v>
      </c>
      <c r="H129" t="s">
        <v>7202</v>
      </c>
      <c r="I129" s="49">
        <v>45413</v>
      </c>
      <c r="J129">
        <v>7</v>
      </c>
      <c r="K129" t="s">
        <v>7184</v>
      </c>
      <c r="L129" t="b">
        <f>FALSE()</f>
        <v>0</v>
      </c>
      <c r="M129">
        <v>19</v>
      </c>
    </row>
    <row r="130" spans="1:13" ht="15" customHeight="1" x14ac:dyDescent="0.2">
      <c r="A130" s="49">
        <v>45420</v>
      </c>
      <c r="B130">
        <v>2024</v>
      </c>
      <c r="C130" t="s">
        <v>7196</v>
      </c>
      <c r="D130" t="s">
        <v>7197</v>
      </c>
      <c r="E130">
        <v>5</v>
      </c>
      <c r="F130" t="s">
        <v>7201</v>
      </c>
      <c r="G130" t="s">
        <v>7201</v>
      </c>
      <c r="H130" t="s">
        <v>7202</v>
      </c>
      <c r="I130" s="49">
        <v>45413</v>
      </c>
      <c r="J130">
        <v>8</v>
      </c>
      <c r="K130" t="s">
        <v>7185</v>
      </c>
      <c r="L130" t="b">
        <f>FALSE()</f>
        <v>0</v>
      </c>
      <c r="M130">
        <v>19</v>
      </c>
    </row>
    <row r="131" spans="1:13" ht="15" customHeight="1" x14ac:dyDescent="0.2">
      <c r="A131" s="49">
        <v>45421</v>
      </c>
      <c r="B131">
        <v>2024</v>
      </c>
      <c r="C131" t="s">
        <v>7196</v>
      </c>
      <c r="D131" t="s">
        <v>7197</v>
      </c>
      <c r="E131">
        <v>5</v>
      </c>
      <c r="F131" t="s">
        <v>7201</v>
      </c>
      <c r="G131" t="s">
        <v>7201</v>
      </c>
      <c r="H131" t="s">
        <v>7202</v>
      </c>
      <c r="I131" s="49">
        <v>45413</v>
      </c>
      <c r="J131">
        <v>9</v>
      </c>
      <c r="K131" t="s">
        <v>7186</v>
      </c>
      <c r="L131" t="b">
        <f>FALSE()</f>
        <v>0</v>
      </c>
      <c r="M131">
        <v>19</v>
      </c>
    </row>
    <row r="132" spans="1:13" ht="15" customHeight="1" x14ac:dyDescent="0.2">
      <c r="A132" s="49">
        <v>45422</v>
      </c>
      <c r="B132">
        <v>2024</v>
      </c>
      <c r="C132" t="s">
        <v>7196</v>
      </c>
      <c r="D132" t="s">
        <v>7197</v>
      </c>
      <c r="E132">
        <v>5</v>
      </c>
      <c r="F132" t="s">
        <v>7201</v>
      </c>
      <c r="G132" t="s">
        <v>7201</v>
      </c>
      <c r="H132" t="s">
        <v>7202</v>
      </c>
      <c r="I132" s="49">
        <v>45413</v>
      </c>
      <c r="J132">
        <v>10</v>
      </c>
      <c r="K132" t="s">
        <v>7187</v>
      </c>
      <c r="L132" t="b">
        <f>FALSE()</f>
        <v>0</v>
      </c>
      <c r="M132">
        <v>19</v>
      </c>
    </row>
    <row r="133" spans="1:13" ht="15" customHeight="1" x14ac:dyDescent="0.2">
      <c r="A133" s="49">
        <v>45423</v>
      </c>
      <c r="B133">
        <v>2024</v>
      </c>
      <c r="C133" t="s">
        <v>7196</v>
      </c>
      <c r="D133" t="s">
        <v>7197</v>
      </c>
      <c r="E133">
        <v>5</v>
      </c>
      <c r="F133" t="s">
        <v>7201</v>
      </c>
      <c r="G133" t="s">
        <v>7201</v>
      </c>
      <c r="H133" t="s">
        <v>7202</v>
      </c>
      <c r="I133" s="49">
        <v>45413</v>
      </c>
      <c r="J133">
        <v>11</v>
      </c>
      <c r="K133" t="s">
        <v>7188</v>
      </c>
      <c r="L133" t="b">
        <f>TRUE()</f>
        <v>1</v>
      </c>
      <c r="M133">
        <v>19</v>
      </c>
    </row>
    <row r="134" spans="1:13" ht="15" customHeight="1" x14ac:dyDescent="0.2">
      <c r="A134" s="49">
        <v>45424</v>
      </c>
      <c r="B134">
        <v>2024</v>
      </c>
      <c r="C134" t="s">
        <v>7196</v>
      </c>
      <c r="D134" t="s">
        <v>7197</v>
      </c>
      <c r="E134">
        <v>5</v>
      </c>
      <c r="F134" t="s">
        <v>7201</v>
      </c>
      <c r="G134" t="s">
        <v>7201</v>
      </c>
      <c r="H134" t="s">
        <v>7202</v>
      </c>
      <c r="I134" s="49">
        <v>45413</v>
      </c>
      <c r="J134">
        <v>12</v>
      </c>
      <c r="K134" t="s">
        <v>7189</v>
      </c>
      <c r="L134" t="b">
        <f>TRUE()</f>
        <v>1</v>
      </c>
      <c r="M134">
        <v>19</v>
      </c>
    </row>
    <row r="135" spans="1:13" ht="15" customHeight="1" x14ac:dyDescent="0.2">
      <c r="A135" s="49">
        <v>45425</v>
      </c>
      <c r="B135">
        <v>2024</v>
      </c>
      <c r="C135" t="s">
        <v>7196</v>
      </c>
      <c r="D135" t="s">
        <v>7197</v>
      </c>
      <c r="E135">
        <v>5</v>
      </c>
      <c r="F135" t="s">
        <v>7201</v>
      </c>
      <c r="G135" t="s">
        <v>7201</v>
      </c>
      <c r="H135" t="s">
        <v>7202</v>
      </c>
      <c r="I135" s="49">
        <v>45413</v>
      </c>
      <c r="J135">
        <v>13</v>
      </c>
      <c r="K135" t="s">
        <v>7183</v>
      </c>
      <c r="L135" t="b">
        <f>FALSE()</f>
        <v>0</v>
      </c>
      <c r="M135">
        <v>20</v>
      </c>
    </row>
    <row r="136" spans="1:13" ht="15" customHeight="1" x14ac:dyDescent="0.2">
      <c r="A136" s="49">
        <v>45426</v>
      </c>
      <c r="B136">
        <v>2024</v>
      </c>
      <c r="C136" t="s">
        <v>7196</v>
      </c>
      <c r="D136" t="s">
        <v>7197</v>
      </c>
      <c r="E136">
        <v>5</v>
      </c>
      <c r="F136" t="s">
        <v>7201</v>
      </c>
      <c r="G136" t="s">
        <v>7201</v>
      </c>
      <c r="H136" t="s">
        <v>7202</v>
      </c>
      <c r="I136" s="49">
        <v>45413</v>
      </c>
      <c r="J136">
        <v>14</v>
      </c>
      <c r="K136" t="s">
        <v>7184</v>
      </c>
      <c r="L136" t="b">
        <f>FALSE()</f>
        <v>0</v>
      </c>
      <c r="M136">
        <v>20</v>
      </c>
    </row>
    <row r="137" spans="1:13" ht="15" customHeight="1" x14ac:dyDescent="0.2">
      <c r="A137" s="49">
        <v>45427</v>
      </c>
      <c r="B137">
        <v>2024</v>
      </c>
      <c r="C137" t="s">
        <v>7196</v>
      </c>
      <c r="D137" t="s">
        <v>7197</v>
      </c>
      <c r="E137">
        <v>5</v>
      </c>
      <c r="F137" t="s">
        <v>7201</v>
      </c>
      <c r="G137" t="s">
        <v>7201</v>
      </c>
      <c r="H137" t="s">
        <v>7202</v>
      </c>
      <c r="I137" s="49">
        <v>45413</v>
      </c>
      <c r="J137">
        <v>15</v>
      </c>
      <c r="K137" t="s">
        <v>7185</v>
      </c>
      <c r="L137" t="b">
        <f>FALSE()</f>
        <v>0</v>
      </c>
      <c r="M137">
        <v>20</v>
      </c>
    </row>
    <row r="138" spans="1:13" ht="15" customHeight="1" x14ac:dyDescent="0.2">
      <c r="A138" s="49">
        <v>45428</v>
      </c>
      <c r="B138">
        <v>2024</v>
      </c>
      <c r="C138" t="s">
        <v>7196</v>
      </c>
      <c r="D138" t="s">
        <v>7197</v>
      </c>
      <c r="E138">
        <v>5</v>
      </c>
      <c r="F138" t="s">
        <v>7201</v>
      </c>
      <c r="G138" t="s">
        <v>7201</v>
      </c>
      <c r="H138" t="s">
        <v>7202</v>
      </c>
      <c r="I138" s="49">
        <v>45413</v>
      </c>
      <c r="J138">
        <v>16</v>
      </c>
      <c r="K138" t="s">
        <v>7186</v>
      </c>
      <c r="L138" t="b">
        <f>FALSE()</f>
        <v>0</v>
      </c>
      <c r="M138">
        <v>20</v>
      </c>
    </row>
    <row r="139" spans="1:13" ht="15" customHeight="1" x14ac:dyDescent="0.2">
      <c r="A139" s="49">
        <v>45429</v>
      </c>
      <c r="B139">
        <v>2024</v>
      </c>
      <c r="C139" t="s">
        <v>7196</v>
      </c>
      <c r="D139" t="s">
        <v>7197</v>
      </c>
      <c r="E139">
        <v>5</v>
      </c>
      <c r="F139" t="s">
        <v>7201</v>
      </c>
      <c r="G139" t="s">
        <v>7201</v>
      </c>
      <c r="H139" t="s">
        <v>7202</v>
      </c>
      <c r="I139" s="49">
        <v>45413</v>
      </c>
      <c r="J139">
        <v>17</v>
      </c>
      <c r="K139" t="s">
        <v>7187</v>
      </c>
      <c r="L139" t="b">
        <f>FALSE()</f>
        <v>0</v>
      </c>
      <c r="M139">
        <v>20</v>
      </c>
    </row>
    <row r="140" spans="1:13" ht="15" customHeight="1" x14ac:dyDescent="0.2">
      <c r="A140" s="49">
        <v>45430</v>
      </c>
      <c r="B140">
        <v>2024</v>
      </c>
      <c r="C140" t="s">
        <v>7196</v>
      </c>
      <c r="D140" t="s">
        <v>7197</v>
      </c>
      <c r="E140">
        <v>5</v>
      </c>
      <c r="F140" t="s">
        <v>7201</v>
      </c>
      <c r="G140" t="s">
        <v>7201</v>
      </c>
      <c r="H140" t="s">
        <v>7202</v>
      </c>
      <c r="I140" s="49">
        <v>45413</v>
      </c>
      <c r="J140">
        <v>18</v>
      </c>
      <c r="K140" t="s">
        <v>7188</v>
      </c>
      <c r="L140" t="b">
        <f>TRUE()</f>
        <v>1</v>
      </c>
      <c r="M140">
        <v>20</v>
      </c>
    </row>
    <row r="141" spans="1:13" ht="15" customHeight="1" x14ac:dyDescent="0.2">
      <c r="A141" s="49">
        <v>45431</v>
      </c>
      <c r="B141">
        <v>2024</v>
      </c>
      <c r="C141" t="s">
        <v>7196</v>
      </c>
      <c r="D141" t="s">
        <v>7197</v>
      </c>
      <c r="E141">
        <v>5</v>
      </c>
      <c r="F141" t="s">
        <v>7201</v>
      </c>
      <c r="G141" t="s">
        <v>7201</v>
      </c>
      <c r="H141" t="s">
        <v>7202</v>
      </c>
      <c r="I141" s="49">
        <v>45413</v>
      </c>
      <c r="J141">
        <v>19</v>
      </c>
      <c r="K141" t="s">
        <v>7189</v>
      </c>
      <c r="L141" t="b">
        <f>TRUE()</f>
        <v>1</v>
      </c>
      <c r="M141">
        <v>20</v>
      </c>
    </row>
    <row r="142" spans="1:13" ht="15" customHeight="1" x14ac:dyDescent="0.2">
      <c r="A142" s="49">
        <v>45432</v>
      </c>
      <c r="B142">
        <v>2024</v>
      </c>
      <c r="C142" t="s">
        <v>7196</v>
      </c>
      <c r="D142" t="s">
        <v>7197</v>
      </c>
      <c r="E142">
        <v>5</v>
      </c>
      <c r="F142" t="s">
        <v>7201</v>
      </c>
      <c r="G142" t="s">
        <v>7201</v>
      </c>
      <c r="H142" t="s">
        <v>7202</v>
      </c>
      <c r="I142" s="49">
        <v>45413</v>
      </c>
      <c r="J142">
        <v>20</v>
      </c>
      <c r="K142" t="s">
        <v>7183</v>
      </c>
      <c r="L142" t="b">
        <f>FALSE()</f>
        <v>0</v>
      </c>
      <c r="M142">
        <v>21</v>
      </c>
    </row>
    <row r="143" spans="1:13" ht="15" customHeight="1" x14ac:dyDescent="0.2">
      <c r="A143" s="49">
        <v>45433</v>
      </c>
      <c r="B143">
        <v>2024</v>
      </c>
      <c r="C143" t="s">
        <v>7196</v>
      </c>
      <c r="D143" t="s">
        <v>7197</v>
      </c>
      <c r="E143">
        <v>5</v>
      </c>
      <c r="F143" t="s">
        <v>7201</v>
      </c>
      <c r="G143" t="s">
        <v>7201</v>
      </c>
      <c r="H143" t="s">
        <v>7202</v>
      </c>
      <c r="I143" s="49">
        <v>45413</v>
      </c>
      <c r="J143">
        <v>21</v>
      </c>
      <c r="K143" t="s">
        <v>7184</v>
      </c>
      <c r="L143" t="b">
        <f>FALSE()</f>
        <v>0</v>
      </c>
      <c r="M143">
        <v>21</v>
      </c>
    </row>
    <row r="144" spans="1:13" ht="15" customHeight="1" x14ac:dyDescent="0.2">
      <c r="A144" s="49">
        <v>45434</v>
      </c>
      <c r="B144">
        <v>2024</v>
      </c>
      <c r="C144" t="s">
        <v>7196</v>
      </c>
      <c r="D144" t="s">
        <v>7197</v>
      </c>
      <c r="E144">
        <v>5</v>
      </c>
      <c r="F144" t="s">
        <v>7201</v>
      </c>
      <c r="G144" t="s">
        <v>7201</v>
      </c>
      <c r="H144" t="s">
        <v>7202</v>
      </c>
      <c r="I144" s="49">
        <v>45413</v>
      </c>
      <c r="J144">
        <v>22</v>
      </c>
      <c r="K144" t="s">
        <v>7185</v>
      </c>
      <c r="L144" t="b">
        <f>FALSE()</f>
        <v>0</v>
      </c>
      <c r="M144">
        <v>21</v>
      </c>
    </row>
    <row r="145" spans="1:13" ht="15" customHeight="1" x14ac:dyDescent="0.2">
      <c r="A145" s="49">
        <v>45435</v>
      </c>
      <c r="B145">
        <v>2024</v>
      </c>
      <c r="C145" t="s">
        <v>7196</v>
      </c>
      <c r="D145" t="s">
        <v>7197</v>
      </c>
      <c r="E145">
        <v>5</v>
      </c>
      <c r="F145" t="s">
        <v>7201</v>
      </c>
      <c r="G145" t="s">
        <v>7201</v>
      </c>
      <c r="H145" t="s">
        <v>7202</v>
      </c>
      <c r="I145" s="49">
        <v>45413</v>
      </c>
      <c r="J145">
        <v>23</v>
      </c>
      <c r="K145" t="s">
        <v>7186</v>
      </c>
      <c r="L145" t="b">
        <f>FALSE()</f>
        <v>0</v>
      </c>
      <c r="M145">
        <v>21</v>
      </c>
    </row>
    <row r="146" spans="1:13" ht="15" customHeight="1" x14ac:dyDescent="0.2">
      <c r="A146" s="49">
        <v>45436</v>
      </c>
      <c r="B146">
        <v>2024</v>
      </c>
      <c r="C146" t="s">
        <v>7196</v>
      </c>
      <c r="D146" t="s">
        <v>7197</v>
      </c>
      <c r="E146">
        <v>5</v>
      </c>
      <c r="F146" t="s">
        <v>7201</v>
      </c>
      <c r="G146" t="s">
        <v>7201</v>
      </c>
      <c r="H146" t="s">
        <v>7202</v>
      </c>
      <c r="I146" s="49">
        <v>45413</v>
      </c>
      <c r="J146">
        <v>24</v>
      </c>
      <c r="K146" t="s">
        <v>7187</v>
      </c>
      <c r="L146" t="b">
        <f>FALSE()</f>
        <v>0</v>
      </c>
      <c r="M146">
        <v>21</v>
      </c>
    </row>
    <row r="147" spans="1:13" ht="15" customHeight="1" x14ac:dyDescent="0.2">
      <c r="A147" s="49">
        <v>45437</v>
      </c>
      <c r="B147">
        <v>2024</v>
      </c>
      <c r="C147" t="s">
        <v>7196</v>
      </c>
      <c r="D147" t="s">
        <v>7197</v>
      </c>
      <c r="E147">
        <v>5</v>
      </c>
      <c r="F147" t="s">
        <v>7201</v>
      </c>
      <c r="G147" t="s">
        <v>7201</v>
      </c>
      <c r="H147" t="s">
        <v>7202</v>
      </c>
      <c r="I147" s="49">
        <v>45413</v>
      </c>
      <c r="J147">
        <v>25</v>
      </c>
      <c r="K147" t="s">
        <v>7188</v>
      </c>
      <c r="L147" t="b">
        <f>TRUE()</f>
        <v>1</v>
      </c>
      <c r="M147">
        <v>21</v>
      </c>
    </row>
    <row r="148" spans="1:13" ht="15" customHeight="1" x14ac:dyDescent="0.2">
      <c r="A148" s="49">
        <v>45438</v>
      </c>
      <c r="B148">
        <v>2024</v>
      </c>
      <c r="C148" t="s">
        <v>7196</v>
      </c>
      <c r="D148" t="s">
        <v>7197</v>
      </c>
      <c r="E148">
        <v>5</v>
      </c>
      <c r="F148" t="s">
        <v>7201</v>
      </c>
      <c r="G148" t="s">
        <v>7201</v>
      </c>
      <c r="H148" t="s">
        <v>7202</v>
      </c>
      <c r="I148" s="49">
        <v>45413</v>
      </c>
      <c r="J148">
        <v>26</v>
      </c>
      <c r="K148" t="s">
        <v>7189</v>
      </c>
      <c r="L148" t="b">
        <f>TRUE()</f>
        <v>1</v>
      </c>
      <c r="M148">
        <v>21</v>
      </c>
    </row>
    <row r="149" spans="1:13" ht="15" customHeight="1" x14ac:dyDescent="0.2">
      <c r="A149" s="49">
        <v>45439</v>
      </c>
      <c r="B149">
        <v>2024</v>
      </c>
      <c r="C149" t="s">
        <v>7196</v>
      </c>
      <c r="D149" t="s">
        <v>7197</v>
      </c>
      <c r="E149">
        <v>5</v>
      </c>
      <c r="F149" t="s">
        <v>7201</v>
      </c>
      <c r="G149" t="s">
        <v>7201</v>
      </c>
      <c r="H149" t="s">
        <v>7202</v>
      </c>
      <c r="I149" s="49">
        <v>45413</v>
      </c>
      <c r="J149">
        <v>27</v>
      </c>
      <c r="K149" t="s">
        <v>7183</v>
      </c>
      <c r="L149" t="b">
        <f>FALSE()</f>
        <v>0</v>
      </c>
      <c r="M149">
        <v>22</v>
      </c>
    </row>
    <row r="150" spans="1:13" ht="15" customHeight="1" x14ac:dyDescent="0.2">
      <c r="A150" s="49">
        <v>45440</v>
      </c>
      <c r="B150">
        <v>2024</v>
      </c>
      <c r="C150" t="s">
        <v>7196</v>
      </c>
      <c r="D150" t="s">
        <v>7197</v>
      </c>
      <c r="E150">
        <v>5</v>
      </c>
      <c r="F150" t="s">
        <v>7201</v>
      </c>
      <c r="G150" t="s">
        <v>7201</v>
      </c>
      <c r="H150" t="s">
        <v>7202</v>
      </c>
      <c r="I150" s="49">
        <v>45413</v>
      </c>
      <c r="J150">
        <v>28</v>
      </c>
      <c r="K150" t="s">
        <v>7184</v>
      </c>
      <c r="L150" t="b">
        <f>FALSE()</f>
        <v>0</v>
      </c>
      <c r="M150">
        <v>22</v>
      </c>
    </row>
    <row r="151" spans="1:13" ht="15" customHeight="1" x14ac:dyDescent="0.2">
      <c r="A151" s="49">
        <v>45441</v>
      </c>
      <c r="B151">
        <v>2024</v>
      </c>
      <c r="C151" t="s">
        <v>7196</v>
      </c>
      <c r="D151" t="s">
        <v>7197</v>
      </c>
      <c r="E151">
        <v>5</v>
      </c>
      <c r="F151" t="s">
        <v>7201</v>
      </c>
      <c r="G151" t="s">
        <v>7201</v>
      </c>
      <c r="H151" t="s">
        <v>7202</v>
      </c>
      <c r="I151" s="49">
        <v>45413</v>
      </c>
      <c r="J151">
        <v>29</v>
      </c>
      <c r="K151" t="s">
        <v>7185</v>
      </c>
      <c r="L151" t="b">
        <f>FALSE()</f>
        <v>0</v>
      </c>
      <c r="M151">
        <v>22</v>
      </c>
    </row>
    <row r="152" spans="1:13" ht="15" customHeight="1" x14ac:dyDescent="0.2">
      <c r="A152" s="49">
        <v>45442</v>
      </c>
      <c r="B152">
        <v>2024</v>
      </c>
      <c r="C152" t="s">
        <v>7196</v>
      </c>
      <c r="D152" t="s">
        <v>7197</v>
      </c>
      <c r="E152">
        <v>5</v>
      </c>
      <c r="F152" t="s">
        <v>7201</v>
      </c>
      <c r="G152" t="s">
        <v>7201</v>
      </c>
      <c r="H152" t="s">
        <v>7202</v>
      </c>
      <c r="I152" s="49">
        <v>45413</v>
      </c>
      <c r="J152">
        <v>30</v>
      </c>
      <c r="K152" t="s">
        <v>7186</v>
      </c>
      <c r="L152" t="b">
        <f>FALSE()</f>
        <v>0</v>
      </c>
      <c r="M152">
        <v>22</v>
      </c>
    </row>
    <row r="153" spans="1:13" ht="15" customHeight="1" x14ac:dyDescent="0.2">
      <c r="A153" s="49">
        <v>45443</v>
      </c>
      <c r="B153">
        <v>2024</v>
      </c>
      <c r="C153" t="s">
        <v>7196</v>
      </c>
      <c r="D153" t="s">
        <v>7197</v>
      </c>
      <c r="E153">
        <v>5</v>
      </c>
      <c r="F153" t="s">
        <v>7201</v>
      </c>
      <c r="G153" t="s">
        <v>7201</v>
      </c>
      <c r="H153" t="s">
        <v>7202</v>
      </c>
      <c r="I153" s="49">
        <v>45413</v>
      </c>
      <c r="J153">
        <v>31</v>
      </c>
      <c r="K153" t="s">
        <v>7187</v>
      </c>
      <c r="L153" t="b">
        <f>FALSE()</f>
        <v>0</v>
      </c>
      <c r="M153">
        <v>22</v>
      </c>
    </row>
    <row r="154" spans="1:13" ht="15" customHeight="1" x14ac:dyDescent="0.2">
      <c r="A154" s="49">
        <v>45444</v>
      </c>
      <c r="B154">
        <v>2024</v>
      </c>
      <c r="C154" t="s">
        <v>7196</v>
      </c>
      <c r="D154" t="s">
        <v>7197</v>
      </c>
      <c r="E154">
        <v>6</v>
      </c>
      <c r="F154" t="s">
        <v>7203</v>
      </c>
      <c r="G154" t="s">
        <v>7204</v>
      </c>
      <c r="H154" t="s">
        <v>7205</v>
      </c>
      <c r="I154" s="49">
        <v>45444</v>
      </c>
      <c r="J154">
        <v>1</v>
      </c>
      <c r="K154" t="s">
        <v>7188</v>
      </c>
      <c r="L154" t="b">
        <f>TRUE()</f>
        <v>1</v>
      </c>
      <c r="M154">
        <v>22</v>
      </c>
    </row>
    <row r="155" spans="1:13" ht="15" customHeight="1" x14ac:dyDescent="0.2">
      <c r="A155" s="49">
        <v>45445</v>
      </c>
      <c r="B155">
        <v>2024</v>
      </c>
      <c r="C155" t="s">
        <v>7196</v>
      </c>
      <c r="D155" t="s">
        <v>7197</v>
      </c>
      <c r="E155">
        <v>6</v>
      </c>
      <c r="F155" t="s">
        <v>7203</v>
      </c>
      <c r="G155" t="s">
        <v>7204</v>
      </c>
      <c r="H155" t="s">
        <v>7205</v>
      </c>
      <c r="I155" s="49">
        <v>45444</v>
      </c>
      <c r="J155">
        <v>2</v>
      </c>
      <c r="K155" t="s">
        <v>7189</v>
      </c>
      <c r="L155" t="b">
        <f>TRUE()</f>
        <v>1</v>
      </c>
      <c r="M155">
        <v>22</v>
      </c>
    </row>
    <row r="156" spans="1:13" ht="15" customHeight="1" x14ac:dyDescent="0.2">
      <c r="A156" s="49">
        <v>45446</v>
      </c>
      <c r="B156">
        <v>2024</v>
      </c>
      <c r="C156" t="s">
        <v>7196</v>
      </c>
      <c r="D156" t="s">
        <v>7197</v>
      </c>
      <c r="E156">
        <v>6</v>
      </c>
      <c r="F156" t="s">
        <v>7203</v>
      </c>
      <c r="G156" t="s">
        <v>7204</v>
      </c>
      <c r="H156" t="s">
        <v>7205</v>
      </c>
      <c r="I156" s="49">
        <v>45444</v>
      </c>
      <c r="J156">
        <v>3</v>
      </c>
      <c r="K156" t="s">
        <v>7183</v>
      </c>
      <c r="L156" t="b">
        <f>FALSE()</f>
        <v>0</v>
      </c>
      <c r="M156">
        <v>23</v>
      </c>
    </row>
    <row r="157" spans="1:13" ht="15" customHeight="1" x14ac:dyDescent="0.2">
      <c r="A157" s="49">
        <v>45447</v>
      </c>
      <c r="B157">
        <v>2024</v>
      </c>
      <c r="C157" t="s">
        <v>7196</v>
      </c>
      <c r="D157" t="s">
        <v>7197</v>
      </c>
      <c r="E157">
        <v>6</v>
      </c>
      <c r="F157" t="s">
        <v>7203</v>
      </c>
      <c r="G157" t="s">
        <v>7204</v>
      </c>
      <c r="H157" t="s">
        <v>7205</v>
      </c>
      <c r="I157" s="49">
        <v>45444</v>
      </c>
      <c r="J157">
        <v>4</v>
      </c>
      <c r="K157" t="s">
        <v>7184</v>
      </c>
      <c r="L157" t="b">
        <f>FALSE()</f>
        <v>0</v>
      </c>
      <c r="M157">
        <v>23</v>
      </c>
    </row>
    <row r="158" spans="1:13" ht="15" customHeight="1" x14ac:dyDescent="0.2">
      <c r="A158" s="49">
        <v>45448</v>
      </c>
      <c r="B158">
        <v>2024</v>
      </c>
      <c r="C158" t="s">
        <v>7196</v>
      </c>
      <c r="D158" t="s">
        <v>7197</v>
      </c>
      <c r="E158">
        <v>6</v>
      </c>
      <c r="F158" t="s">
        <v>7203</v>
      </c>
      <c r="G158" t="s">
        <v>7204</v>
      </c>
      <c r="H158" t="s">
        <v>7205</v>
      </c>
      <c r="I158" s="49">
        <v>45444</v>
      </c>
      <c r="J158">
        <v>5</v>
      </c>
      <c r="K158" t="s">
        <v>7185</v>
      </c>
      <c r="L158" t="b">
        <f>FALSE()</f>
        <v>0</v>
      </c>
      <c r="M158">
        <v>23</v>
      </c>
    </row>
    <row r="159" spans="1:13" ht="15" customHeight="1" x14ac:dyDescent="0.2">
      <c r="A159" s="49">
        <v>45449</v>
      </c>
      <c r="B159">
        <v>2024</v>
      </c>
      <c r="C159" t="s">
        <v>7196</v>
      </c>
      <c r="D159" t="s">
        <v>7197</v>
      </c>
      <c r="E159">
        <v>6</v>
      </c>
      <c r="F159" t="s">
        <v>7203</v>
      </c>
      <c r="G159" t="s">
        <v>7204</v>
      </c>
      <c r="H159" t="s">
        <v>7205</v>
      </c>
      <c r="I159" s="49">
        <v>45444</v>
      </c>
      <c r="J159">
        <v>6</v>
      </c>
      <c r="K159" t="s">
        <v>7186</v>
      </c>
      <c r="L159" t="b">
        <f>FALSE()</f>
        <v>0</v>
      </c>
      <c r="M159">
        <v>23</v>
      </c>
    </row>
    <row r="160" spans="1:13" ht="15" customHeight="1" x14ac:dyDescent="0.2">
      <c r="A160" s="49">
        <v>45450</v>
      </c>
      <c r="B160">
        <v>2024</v>
      </c>
      <c r="C160" t="s">
        <v>7196</v>
      </c>
      <c r="D160" t="s">
        <v>7197</v>
      </c>
      <c r="E160">
        <v>6</v>
      </c>
      <c r="F160" t="s">
        <v>7203</v>
      </c>
      <c r="G160" t="s">
        <v>7204</v>
      </c>
      <c r="H160" t="s">
        <v>7205</v>
      </c>
      <c r="I160" s="49">
        <v>45444</v>
      </c>
      <c r="J160">
        <v>7</v>
      </c>
      <c r="K160" t="s">
        <v>7187</v>
      </c>
      <c r="L160" t="b">
        <f>FALSE()</f>
        <v>0</v>
      </c>
      <c r="M160">
        <v>23</v>
      </c>
    </row>
    <row r="161" spans="1:13" ht="15" customHeight="1" x14ac:dyDescent="0.2">
      <c r="A161" s="49">
        <v>45451</v>
      </c>
      <c r="B161">
        <v>2024</v>
      </c>
      <c r="C161" t="s">
        <v>7196</v>
      </c>
      <c r="D161" t="s">
        <v>7197</v>
      </c>
      <c r="E161">
        <v>6</v>
      </c>
      <c r="F161" t="s">
        <v>7203</v>
      </c>
      <c r="G161" t="s">
        <v>7204</v>
      </c>
      <c r="H161" t="s">
        <v>7205</v>
      </c>
      <c r="I161" s="49">
        <v>45444</v>
      </c>
      <c r="J161">
        <v>8</v>
      </c>
      <c r="K161" t="s">
        <v>7188</v>
      </c>
      <c r="L161" t="b">
        <f>TRUE()</f>
        <v>1</v>
      </c>
      <c r="M161">
        <v>23</v>
      </c>
    </row>
    <row r="162" spans="1:13" ht="15" customHeight="1" x14ac:dyDescent="0.2">
      <c r="A162" s="49">
        <v>45452</v>
      </c>
      <c r="B162">
        <v>2024</v>
      </c>
      <c r="C162" t="s">
        <v>7196</v>
      </c>
      <c r="D162" t="s">
        <v>7197</v>
      </c>
      <c r="E162">
        <v>6</v>
      </c>
      <c r="F162" t="s">
        <v>7203</v>
      </c>
      <c r="G162" t="s">
        <v>7204</v>
      </c>
      <c r="H162" t="s">
        <v>7205</v>
      </c>
      <c r="I162" s="49">
        <v>45444</v>
      </c>
      <c r="J162">
        <v>9</v>
      </c>
      <c r="K162" t="s">
        <v>7189</v>
      </c>
      <c r="L162" t="b">
        <f>TRUE()</f>
        <v>1</v>
      </c>
      <c r="M162">
        <v>23</v>
      </c>
    </row>
    <row r="163" spans="1:13" ht="15" customHeight="1" x14ac:dyDescent="0.2">
      <c r="A163" s="49">
        <v>45453</v>
      </c>
      <c r="B163">
        <v>2024</v>
      </c>
      <c r="C163" t="s">
        <v>7196</v>
      </c>
      <c r="D163" t="s">
        <v>7197</v>
      </c>
      <c r="E163">
        <v>6</v>
      </c>
      <c r="F163" t="s">
        <v>7203</v>
      </c>
      <c r="G163" t="s">
        <v>7204</v>
      </c>
      <c r="H163" t="s">
        <v>7205</v>
      </c>
      <c r="I163" s="49">
        <v>45444</v>
      </c>
      <c r="J163">
        <v>10</v>
      </c>
      <c r="K163" t="s">
        <v>7183</v>
      </c>
      <c r="L163" t="b">
        <f>FALSE()</f>
        <v>0</v>
      </c>
      <c r="M163">
        <v>24</v>
      </c>
    </row>
    <row r="164" spans="1:13" ht="15" customHeight="1" x14ac:dyDescent="0.2">
      <c r="A164" s="49">
        <v>45454</v>
      </c>
      <c r="B164">
        <v>2024</v>
      </c>
      <c r="C164" t="s">
        <v>7196</v>
      </c>
      <c r="D164" t="s">
        <v>7197</v>
      </c>
      <c r="E164">
        <v>6</v>
      </c>
      <c r="F164" t="s">
        <v>7203</v>
      </c>
      <c r="G164" t="s">
        <v>7204</v>
      </c>
      <c r="H164" t="s">
        <v>7205</v>
      </c>
      <c r="I164" s="49">
        <v>45444</v>
      </c>
      <c r="J164">
        <v>11</v>
      </c>
      <c r="K164" t="s">
        <v>7184</v>
      </c>
      <c r="L164" t="b">
        <f>FALSE()</f>
        <v>0</v>
      </c>
      <c r="M164">
        <v>24</v>
      </c>
    </row>
    <row r="165" spans="1:13" ht="15" customHeight="1" x14ac:dyDescent="0.2">
      <c r="A165" s="49">
        <v>45455</v>
      </c>
      <c r="B165">
        <v>2024</v>
      </c>
      <c r="C165" t="s">
        <v>7196</v>
      </c>
      <c r="D165" t="s">
        <v>7197</v>
      </c>
      <c r="E165">
        <v>6</v>
      </c>
      <c r="F165" t="s">
        <v>7203</v>
      </c>
      <c r="G165" t="s">
        <v>7204</v>
      </c>
      <c r="H165" t="s">
        <v>7205</v>
      </c>
      <c r="I165" s="49">
        <v>45444</v>
      </c>
      <c r="J165">
        <v>12</v>
      </c>
      <c r="K165" t="s">
        <v>7185</v>
      </c>
      <c r="L165" t="b">
        <f>FALSE()</f>
        <v>0</v>
      </c>
      <c r="M165">
        <v>24</v>
      </c>
    </row>
    <row r="166" spans="1:13" ht="15" customHeight="1" x14ac:dyDescent="0.2">
      <c r="A166" s="49">
        <v>45456</v>
      </c>
      <c r="B166">
        <v>2024</v>
      </c>
      <c r="C166" t="s">
        <v>7196</v>
      </c>
      <c r="D166" t="s">
        <v>7197</v>
      </c>
      <c r="E166">
        <v>6</v>
      </c>
      <c r="F166" t="s">
        <v>7203</v>
      </c>
      <c r="G166" t="s">
        <v>7204</v>
      </c>
      <c r="H166" t="s">
        <v>7205</v>
      </c>
      <c r="I166" s="49">
        <v>45444</v>
      </c>
      <c r="J166">
        <v>13</v>
      </c>
      <c r="K166" t="s">
        <v>7186</v>
      </c>
      <c r="L166" t="b">
        <f>FALSE()</f>
        <v>0</v>
      </c>
      <c r="M166">
        <v>24</v>
      </c>
    </row>
    <row r="167" spans="1:13" ht="15" customHeight="1" x14ac:dyDescent="0.2">
      <c r="A167" s="49">
        <v>45457</v>
      </c>
      <c r="B167">
        <v>2024</v>
      </c>
      <c r="C167" t="s">
        <v>7196</v>
      </c>
      <c r="D167" t="s">
        <v>7197</v>
      </c>
      <c r="E167">
        <v>6</v>
      </c>
      <c r="F167" t="s">
        <v>7203</v>
      </c>
      <c r="G167" t="s">
        <v>7204</v>
      </c>
      <c r="H167" t="s">
        <v>7205</v>
      </c>
      <c r="I167" s="49">
        <v>45444</v>
      </c>
      <c r="J167">
        <v>14</v>
      </c>
      <c r="K167" t="s">
        <v>7187</v>
      </c>
      <c r="L167" t="b">
        <f>FALSE()</f>
        <v>0</v>
      </c>
      <c r="M167">
        <v>24</v>
      </c>
    </row>
    <row r="168" spans="1:13" ht="15" customHeight="1" x14ac:dyDescent="0.2">
      <c r="A168" s="49">
        <v>45458</v>
      </c>
      <c r="B168">
        <v>2024</v>
      </c>
      <c r="C168" t="s">
        <v>7196</v>
      </c>
      <c r="D168" t="s">
        <v>7197</v>
      </c>
      <c r="E168">
        <v>6</v>
      </c>
      <c r="F168" t="s">
        <v>7203</v>
      </c>
      <c r="G168" t="s">
        <v>7204</v>
      </c>
      <c r="H168" t="s">
        <v>7205</v>
      </c>
      <c r="I168" s="49">
        <v>45444</v>
      </c>
      <c r="J168">
        <v>15</v>
      </c>
      <c r="K168" t="s">
        <v>7188</v>
      </c>
      <c r="L168" t="b">
        <f>TRUE()</f>
        <v>1</v>
      </c>
      <c r="M168">
        <v>24</v>
      </c>
    </row>
    <row r="169" spans="1:13" ht="15" customHeight="1" x14ac:dyDescent="0.2">
      <c r="A169" s="49">
        <v>45459</v>
      </c>
      <c r="B169">
        <v>2024</v>
      </c>
      <c r="C169" t="s">
        <v>7196</v>
      </c>
      <c r="D169" t="s">
        <v>7197</v>
      </c>
      <c r="E169">
        <v>6</v>
      </c>
      <c r="F169" t="s">
        <v>7203</v>
      </c>
      <c r="G169" t="s">
        <v>7204</v>
      </c>
      <c r="H169" t="s">
        <v>7205</v>
      </c>
      <c r="I169" s="49">
        <v>45444</v>
      </c>
      <c r="J169">
        <v>16</v>
      </c>
      <c r="K169" t="s">
        <v>7189</v>
      </c>
      <c r="L169" t="b">
        <f>TRUE()</f>
        <v>1</v>
      </c>
      <c r="M169">
        <v>24</v>
      </c>
    </row>
    <row r="170" spans="1:13" ht="15" customHeight="1" x14ac:dyDescent="0.2">
      <c r="A170" s="49">
        <v>45460</v>
      </c>
      <c r="B170">
        <v>2024</v>
      </c>
      <c r="C170" t="s">
        <v>7196</v>
      </c>
      <c r="D170" t="s">
        <v>7197</v>
      </c>
      <c r="E170">
        <v>6</v>
      </c>
      <c r="F170" t="s">
        <v>7203</v>
      </c>
      <c r="G170" t="s">
        <v>7204</v>
      </c>
      <c r="H170" t="s">
        <v>7205</v>
      </c>
      <c r="I170" s="49">
        <v>45444</v>
      </c>
      <c r="J170">
        <v>17</v>
      </c>
      <c r="K170" t="s">
        <v>7183</v>
      </c>
      <c r="L170" t="b">
        <f>FALSE()</f>
        <v>0</v>
      </c>
      <c r="M170">
        <v>25</v>
      </c>
    </row>
    <row r="171" spans="1:13" ht="15" customHeight="1" x14ac:dyDescent="0.2">
      <c r="A171" s="49">
        <v>45461</v>
      </c>
      <c r="B171">
        <v>2024</v>
      </c>
      <c r="C171" t="s">
        <v>7196</v>
      </c>
      <c r="D171" t="s">
        <v>7197</v>
      </c>
      <c r="E171">
        <v>6</v>
      </c>
      <c r="F171" t="s">
        <v>7203</v>
      </c>
      <c r="G171" t="s">
        <v>7204</v>
      </c>
      <c r="H171" t="s">
        <v>7205</v>
      </c>
      <c r="I171" s="49">
        <v>45444</v>
      </c>
      <c r="J171">
        <v>18</v>
      </c>
      <c r="K171" t="s">
        <v>7184</v>
      </c>
      <c r="L171" t="b">
        <f>FALSE()</f>
        <v>0</v>
      </c>
      <c r="M171">
        <v>25</v>
      </c>
    </row>
    <row r="172" spans="1:13" ht="15" customHeight="1" x14ac:dyDescent="0.2">
      <c r="A172" s="49">
        <v>45462</v>
      </c>
      <c r="B172">
        <v>2024</v>
      </c>
      <c r="C172" t="s">
        <v>7196</v>
      </c>
      <c r="D172" t="s">
        <v>7197</v>
      </c>
      <c r="E172">
        <v>6</v>
      </c>
      <c r="F172" t="s">
        <v>7203</v>
      </c>
      <c r="G172" t="s">
        <v>7204</v>
      </c>
      <c r="H172" t="s">
        <v>7205</v>
      </c>
      <c r="I172" s="49">
        <v>45444</v>
      </c>
      <c r="J172">
        <v>19</v>
      </c>
      <c r="K172" t="s">
        <v>7185</v>
      </c>
      <c r="L172" t="b">
        <f>FALSE()</f>
        <v>0</v>
      </c>
      <c r="M172">
        <v>25</v>
      </c>
    </row>
    <row r="173" spans="1:13" ht="15" customHeight="1" x14ac:dyDescent="0.2">
      <c r="A173" s="49">
        <v>45463</v>
      </c>
      <c r="B173">
        <v>2024</v>
      </c>
      <c r="C173" t="s">
        <v>7196</v>
      </c>
      <c r="D173" t="s">
        <v>7197</v>
      </c>
      <c r="E173">
        <v>6</v>
      </c>
      <c r="F173" t="s">
        <v>7203</v>
      </c>
      <c r="G173" t="s">
        <v>7204</v>
      </c>
      <c r="H173" t="s">
        <v>7205</v>
      </c>
      <c r="I173" s="49">
        <v>45444</v>
      </c>
      <c r="J173">
        <v>20</v>
      </c>
      <c r="K173" t="s">
        <v>7186</v>
      </c>
      <c r="L173" t="b">
        <f>FALSE()</f>
        <v>0</v>
      </c>
      <c r="M173">
        <v>25</v>
      </c>
    </row>
    <row r="174" spans="1:13" ht="15" customHeight="1" x14ac:dyDescent="0.2">
      <c r="A174" s="49">
        <v>45464</v>
      </c>
      <c r="B174">
        <v>2024</v>
      </c>
      <c r="C174" t="s">
        <v>7196</v>
      </c>
      <c r="D174" t="s">
        <v>7197</v>
      </c>
      <c r="E174">
        <v>6</v>
      </c>
      <c r="F174" t="s">
        <v>7203</v>
      </c>
      <c r="G174" t="s">
        <v>7204</v>
      </c>
      <c r="H174" t="s">
        <v>7205</v>
      </c>
      <c r="I174" s="49">
        <v>45444</v>
      </c>
      <c r="J174">
        <v>21</v>
      </c>
      <c r="K174" t="s">
        <v>7187</v>
      </c>
      <c r="L174" t="b">
        <f>FALSE()</f>
        <v>0</v>
      </c>
      <c r="M174">
        <v>25</v>
      </c>
    </row>
    <row r="175" spans="1:13" ht="15" customHeight="1" x14ac:dyDescent="0.2">
      <c r="A175" s="49">
        <v>45465</v>
      </c>
      <c r="B175">
        <v>2024</v>
      </c>
      <c r="C175" t="s">
        <v>7196</v>
      </c>
      <c r="D175" t="s">
        <v>7197</v>
      </c>
      <c r="E175">
        <v>6</v>
      </c>
      <c r="F175" t="s">
        <v>7203</v>
      </c>
      <c r="G175" t="s">
        <v>7204</v>
      </c>
      <c r="H175" t="s">
        <v>7205</v>
      </c>
      <c r="I175" s="49">
        <v>45444</v>
      </c>
      <c r="J175">
        <v>22</v>
      </c>
      <c r="K175" t="s">
        <v>7188</v>
      </c>
      <c r="L175" t="b">
        <f>TRUE()</f>
        <v>1</v>
      </c>
      <c r="M175">
        <v>25</v>
      </c>
    </row>
    <row r="176" spans="1:13" ht="15" customHeight="1" x14ac:dyDescent="0.2">
      <c r="A176" s="49">
        <v>45466</v>
      </c>
      <c r="B176">
        <v>2024</v>
      </c>
      <c r="C176" t="s">
        <v>7196</v>
      </c>
      <c r="D176" t="s">
        <v>7197</v>
      </c>
      <c r="E176">
        <v>6</v>
      </c>
      <c r="F176" t="s">
        <v>7203</v>
      </c>
      <c r="G176" t="s">
        <v>7204</v>
      </c>
      <c r="H176" t="s">
        <v>7205</v>
      </c>
      <c r="I176" s="49">
        <v>45444</v>
      </c>
      <c r="J176">
        <v>23</v>
      </c>
      <c r="K176" t="s">
        <v>7189</v>
      </c>
      <c r="L176" t="b">
        <f>TRUE()</f>
        <v>1</v>
      </c>
      <c r="M176">
        <v>25</v>
      </c>
    </row>
    <row r="177" spans="1:13" ht="15" customHeight="1" x14ac:dyDescent="0.2">
      <c r="A177" s="49">
        <v>45467</v>
      </c>
      <c r="B177">
        <v>2024</v>
      </c>
      <c r="C177" t="s">
        <v>7196</v>
      </c>
      <c r="D177" t="s">
        <v>7197</v>
      </c>
      <c r="E177">
        <v>6</v>
      </c>
      <c r="F177" t="s">
        <v>7203</v>
      </c>
      <c r="G177" t="s">
        <v>7204</v>
      </c>
      <c r="H177" t="s">
        <v>7205</v>
      </c>
      <c r="I177" s="49">
        <v>45444</v>
      </c>
      <c r="J177">
        <v>24</v>
      </c>
      <c r="K177" t="s">
        <v>7183</v>
      </c>
      <c r="L177" t="b">
        <f>FALSE()</f>
        <v>0</v>
      </c>
      <c r="M177">
        <v>26</v>
      </c>
    </row>
    <row r="178" spans="1:13" ht="15" customHeight="1" x14ac:dyDescent="0.2">
      <c r="A178" s="49">
        <v>45468</v>
      </c>
      <c r="B178">
        <v>2024</v>
      </c>
      <c r="C178" t="s">
        <v>7196</v>
      </c>
      <c r="D178" t="s">
        <v>7197</v>
      </c>
      <c r="E178">
        <v>6</v>
      </c>
      <c r="F178" t="s">
        <v>7203</v>
      </c>
      <c r="G178" t="s">
        <v>7204</v>
      </c>
      <c r="H178" t="s">
        <v>7205</v>
      </c>
      <c r="I178" s="49">
        <v>45444</v>
      </c>
      <c r="J178">
        <v>25</v>
      </c>
      <c r="K178" t="s">
        <v>7184</v>
      </c>
      <c r="L178" t="b">
        <f>FALSE()</f>
        <v>0</v>
      </c>
      <c r="M178">
        <v>26</v>
      </c>
    </row>
    <row r="179" spans="1:13" ht="15" customHeight="1" x14ac:dyDescent="0.2">
      <c r="A179" s="49">
        <v>45469</v>
      </c>
      <c r="B179">
        <v>2024</v>
      </c>
      <c r="C179" t="s">
        <v>7196</v>
      </c>
      <c r="D179" t="s">
        <v>7197</v>
      </c>
      <c r="E179">
        <v>6</v>
      </c>
      <c r="F179" t="s">
        <v>7203</v>
      </c>
      <c r="G179" t="s">
        <v>7204</v>
      </c>
      <c r="H179" t="s">
        <v>7205</v>
      </c>
      <c r="I179" s="49">
        <v>45444</v>
      </c>
      <c r="J179">
        <v>26</v>
      </c>
      <c r="K179" t="s">
        <v>7185</v>
      </c>
      <c r="L179" t="b">
        <f>FALSE()</f>
        <v>0</v>
      </c>
      <c r="M179">
        <v>26</v>
      </c>
    </row>
    <row r="180" spans="1:13" ht="15" customHeight="1" x14ac:dyDescent="0.2">
      <c r="A180" s="49">
        <v>45470</v>
      </c>
      <c r="B180">
        <v>2024</v>
      </c>
      <c r="C180" t="s">
        <v>7196</v>
      </c>
      <c r="D180" t="s">
        <v>7197</v>
      </c>
      <c r="E180">
        <v>6</v>
      </c>
      <c r="F180" t="s">
        <v>7203</v>
      </c>
      <c r="G180" t="s">
        <v>7204</v>
      </c>
      <c r="H180" t="s">
        <v>7205</v>
      </c>
      <c r="I180" s="49">
        <v>45444</v>
      </c>
      <c r="J180">
        <v>27</v>
      </c>
      <c r="K180" t="s">
        <v>7186</v>
      </c>
      <c r="L180" t="b">
        <f>FALSE()</f>
        <v>0</v>
      </c>
      <c r="M180">
        <v>26</v>
      </c>
    </row>
    <row r="181" spans="1:13" ht="15" customHeight="1" x14ac:dyDescent="0.2">
      <c r="A181" s="49">
        <v>45471</v>
      </c>
      <c r="B181">
        <v>2024</v>
      </c>
      <c r="C181" t="s">
        <v>7196</v>
      </c>
      <c r="D181" t="s">
        <v>7197</v>
      </c>
      <c r="E181">
        <v>6</v>
      </c>
      <c r="F181" t="s">
        <v>7203</v>
      </c>
      <c r="G181" t="s">
        <v>7204</v>
      </c>
      <c r="H181" t="s">
        <v>7205</v>
      </c>
      <c r="I181" s="49">
        <v>45444</v>
      </c>
      <c r="J181">
        <v>28</v>
      </c>
      <c r="K181" t="s">
        <v>7187</v>
      </c>
      <c r="L181" t="b">
        <f>FALSE()</f>
        <v>0</v>
      </c>
      <c r="M181">
        <v>26</v>
      </c>
    </row>
    <row r="182" spans="1:13" ht="15" customHeight="1" x14ac:dyDescent="0.2">
      <c r="A182" s="49">
        <v>45472</v>
      </c>
      <c r="B182">
        <v>2024</v>
      </c>
      <c r="C182" t="s">
        <v>7196</v>
      </c>
      <c r="D182" t="s">
        <v>7197</v>
      </c>
      <c r="E182">
        <v>6</v>
      </c>
      <c r="F182" t="s">
        <v>7203</v>
      </c>
      <c r="G182" t="s">
        <v>7204</v>
      </c>
      <c r="H182" t="s">
        <v>7205</v>
      </c>
      <c r="I182" s="49">
        <v>45444</v>
      </c>
      <c r="J182">
        <v>29</v>
      </c>
      <c r="K182" t="s">
        <v>7188</v>
      </c>
      <c r="L182" t="b">
        <f>TRUE()</f>
        <v>1</v>
      </c>
      <c r="M182">
        <v>26</v>
      </c>
    </row>
    <row r="183" spans="1:13" ht="15" customHeight="1" x14ac:dyDescent="0.2">
      <c r="A183" s="49">
        <v>45473</v>
      </c>
      <c r="B183">
        <v>2024</v>
      </c>
      <c r="C183" t="s">
        <v>7196</v>
      </c>
      <c r="D183" t="s">
        <v>7197</v>
      </c>
      <c r="E183">
        <v>6</v>
      </c>
      <c r="F183" t="s">
        <v>7203</v>
      </c>
      <c r="G183" t="s">
        <v>7204</v>
      </c>
      <c r="H183" t="s">
        <v>7205</v>
      </c>
      <c r="I183" s="49">
        <v>45444</v>
      </c>
      <c r="J183">
        <v>30</v>
      </c>
      <c r="K183" t="s">
        <v>7189</v>
      </c>
      <c r="L183" t="b">
        <f>TRUE()</f>
        <v>1</v>
      </c>
      <c r="M183">
        <v>26</v>
      </c>
    </row>
    <row r="184" spans="1:13" ht="15" customHeight="1" x14ac:dyDescent="0.2">
      <c r="A184" s="49">
        <v>45474</v>
      </c>
      <c r="B184">
        <v>2024</v>
      </c>
      <c r="C184" t="s">
        <v>7206</v>
      </c>
      <c r="D184" t="s">
        <v>7207</v>
      </c>
      <c r="E184">
        <v>7</v>
      </c>
      <c r="F184" t="s">
        <v>7208</v>
      </c>
      <c r="G184" t="s">
        <v>7209</v>
      </c>
      <c r="H184" t="s">
        <v>7210</v>
      </c>
      <c r="I184" s="49">
        <v>45474</v>
      </c>
      <c r="J184">
        <v>1</v>
      </c>
      <c r="K184" t="s">
        <v>7183</v>
      </c>
      <c r="L184" t="b">
        <f>FALSE()</f>
        <v>0</v>
      </c>
      <c r="M184">
        <v>27</v>
      </c>
    </row>
    <row r="185" spans="1:13" ht="15" customHeight="1" x14ac:dyDescent="0.2">
      <c r="A185" s="49">
        <v>45475</v>
      </c>
      <c r="B185">
        <v>2024</v>
      </c>
      <c r="C185" t="s">
        <v>7206</v>
      </c>
      <c r="D185" t="s">
        <v>7207</v>
      </c>
      <c r="E185">
        <v>7</v>
      </c>
      <c r="F185" t="s">
        <v>7208</v>
      </c>
      <c r="G185" t="s">
        <v>7209</v>
      </c>
      <c r="H185" t="s">
        <v>7210</v>
      </c>
      <c r="I185" s="49">
        <v>45474</v>
      </c>
      <c r="J185">
        <v>2</v>
      </c>
      <c r="K185" t="s">
        <v>7184</v>
      </c>
      <c r="L185" t="b">
        <f>FALSE()</f>
        <v>0</v>
      </c>
      <c r="M185">
        <v>27</v>
      </c>
    </row>
    <row r="186" spans="1:13" ht="15" customHeight="1" x14ac:dyDescent="0.2">
      <c r="A186" s="49">
        <v>45476</v>
      </c>
      <c r="B186">
        <v>2024</v>
      </c>
      <c r="C186" t="s">
        <v>7206</v>
      </c>
      <c r="D186" t="s">
        <v>7207</v>
      </c>
      <c r="E186">
        <v>7</v>
      </c>
      <c r="F186" t="s">
        <v>7208</v>
      </c>
      <c r="G186" t="s">
        <v>7209</v>
      </c>
      <c r="H186" t="s">
        <v>7210</v>
      </c>
      <c r="I186" s="49">
        <v>45474</v>
      </c>
      <c r="J186">
        <v>3</v>
      </c>
      <c r="K186" t="s">
        <v>7185</v>
      </c>
      <c r="L186" t="b">
        <f>FALSE()</f>
        <v>0</v>
      </c>
      <c r="M186">
        <v>27</v>
      </c>
    </row>
    <row r="187" spans="1:13" ht="15" customHeight="1" x14ac:dyDescent="0.2">
      <c r="A187" s="49">
        <v>45477</v>
      </c>
      <c r="B187">
        <v>2024</v>
      </c>
      <c r="C187" t="s">
        <v>7206</v>
      </c>
      <c r="D187" t="s">
        <v>7207</v>
      </c>
      <c r="E187">
        <v>7</v>
      </c>
      <c r="F187" t="s">
        <v>7208</v>
      </c>
      <c r="G187" t="s">
        <v>7209</v>
      </c>
      <c r="H187" t="s">
        <v>7210</v>
      </c>
      <c r="I187" s="49">
        <v>45474</v>
      </c>
      <c r="J187">
        <v>4</v>
      </c>
      <c r="K187" t="s">
        <v>7186</v>
      </c>
      <c r="L187" t="b">
        <f>FALSE()</f>
        <v>0</v>
      </c>
      <c r="M187">
        <v>27</v>
      </c>
    </row>
    <row r="188" spans="1:13" ht="15" customHeight="1" x14ac:dyDescent="0.2">
      <c r="A188" s="49">
        <v>45478</v>
      </c>
      <c r="B188">
        <v>2024</v>
      </c>
      <c r="C188" t="s">
        <v>7206</v>
      </c>
      <c r="D188" t="s">
        <v>7207</v>
      </c>
      <c r="E188">
        <v>7</v>
      </c>
      <c r="F188" t="s">
        <v>7208</v>
      </c>
      <c r="G188" t="s">
        <v>7209</v>
      </c>
      <c r="H188" t="s">
        <v>7210</v>
      </c>
      <c r="I188" s="49">
        <v>45474</v>
      </c>
      <c r="J188">
        <v>5</v>
      </c>
      <c r="K188" t="s">
        <v>7187</v>
      </c>
      <c r="L188" t="b">
        <f>FALSE()</f>
        <v>0</v>
      </c>
      <c r="M188">
        <v>27</v>
      </c>
    </row>
    <row r="189" spans="1:13" ht="15" customHeight="1" x14ac:dyDescent="0.2">
      <c r="A189" s="49">
        <v>45479</v>
      </c>
      <c r="B189">
        <v>2024</v>
      </c>
      <c r="C189" t="s">
        <v>7206</v>
      </c>
      <c r="D189" t="s">
        <v>7207</v>
      </c>
      <c r="E189">
        <v>7</v>
      </c>
      <c r="F189" t="s">
        <v>7208</v>
      </c>
      <c r="G189" t="s">
        <v>7209</v>
      </c>
      <c r="H189" t="s">
        <v>7210</v>
      </c>
      <c r="I189" s="49">
        <v>45474</v>
      </c>
      <c r="J189">
        <v>6</v>
      </c>
      <c r="K189" t="s">
        <v>7188</v>
      </c>
      <c r="L189" t="b">
        <f>TRUE()</f>
        <v>1</v>
      </c>
      <c r="M189">
        <v>27</v>
      </c>
    </row>
    <row r="190" spans="1:13" ht="15" customHeight="1" x14ac:dyDescent="0.2">
      <c r="A190" s="49">
        <v>45480</v>
      </c>
      <c r="B190">
        <v>2024</v>
      </c>
      <c r="C190" t="s">
        <v>7206</v>
      </c>
      <c r="D190" t="s">
        <v>7207</v>
      </c>
      <c r="E190">
        <v>7</v>
      </c>
      <c r="F190" t="s">
        <v>7208</v>
      </c>
      <c r="G190" t="s">
        <v>7209</v>
      </c>
      <c r="H190" t="s">
        <v>7210</v>
      </c>
      <c r="I190" s="49">
        <v>45474</v>
      </c>
      <c r="J190">
        <v>7</v>
      </c>
      <c r="K190" t="s">
        <v>7189</v>
      </c>
      <c r="L190" t="b">
        <f>TRUE()</f>
        <v>1</v>
      </c>
      <c r="M190">
        <v>27</v>
      </c>
    </row>
    <row r="191" spans="1:13" ht="15" customHeight="1" x14ac:dyDescent="0.2">
      <c r="A191" s="49">
        <v>45481</v>
      </c>
      <c r="B191">
        <v>2024</v>
      </c>
      <c r="C191" t="s">
        <v>7206</v>
      </c>
      <c r="D191" t="s">
        <v>7207</v>
      </c>
      <c r="E191">
        <v>7</v>
      </c>
      <c r="F191" t="s">
        <v>7208</v>
      </c>
      <c r="G191" t="s">
        <v>7209</v>
      </c>
      <c r="H191" t="s">
        <v>7210</v>
      </c>
      <c r="I191" s="49">
        <v>45474</v>
      </c>
      <c r="J191">
        <v>8</v>
      </c>
      <c r="K191" t="s">
        <v>7183</v>
      </c>
      <c r="L191" t="b">
        <f>FALSE()</f>
        <v>0</v>
      </c>
      <c r="M191">
        <v>28</v>
      </c>
    </row>
    <row r="192" spans="1:13" ht="15" customHeight="1" x14ac:dyDescent="0.2">
      <c r="A192" s="49">
        <v>45482</v>
      </c>
      <c r="B192">
        <v>2024</v>
      </c>
      <c r="C192" t="s">
        <v>7206</v>
      </c>
      <c r="D192" t="s">
        <v>7207</v>
      </c>
      <c r="E192">
        <v>7</v>
      </c>
      <c r="F192" t="s">
        <v>7208</v>
      </c>
      <c r="G192" t="s">
        <v>7209</v>
      </c>
      <c r="H192" t="s">
        <v>7210</v>
      </c>
      <c r="I192" s="49">
        <v>45474</v>
      </c>
      <c r="J192">
        <v>9</v>
      </c>
      <c r="K192" t="s">
        <v>7184</v>
      </c>
      <c r="L192" t="b">
        <f>FALSE()</f>
        <v>0</v>
      </c>
      <c r="M192">
        <v>28</v>
      </c>
    </row>
    <row r="193" spans="1:13" ht="15" customHeight="1" x14ac:dyDescent="0.2">
      <c r="A193" s="49">
        <v>45483</v>
      </c>
      <c r="B193">
        <v>2024</v>
      </c>
      <c r="C193" t="s">
        <v>7206</v>
      </c>
      <c r="D193" t="s">
        <v>7207</v>
      </c>
      <c r="E193">
        <v>7</v>
      </c>
      <c r="F193" t="s">
        <v>7208</v>
      </c>
      <c r="G193" t="s">
        <v>7209</v>
      </c>
      <c r="H193" t="s">
        <v>7210</v>
      </c>
      <c r="I193" s="49">
        <v>45474</v>
      </c>
      <c r="J193">
        <v>10</v>
      </c>
      <c r="K193" t="s">
        <v>7185</v>
      </c>
      <c r="L193" t="b">
        <f>FALSE()</f>
        <v>0</v>
      </c>
      <c r="M193">
        <v>28</v>
      </c>
    </row>
    <row r="194" spans="1:13" ht="15" customHeight="1" x14ac:dyDescent="0.2">
      <c r="A194" s="49">
        <v>45484</v>
      </c>
      <c r="B194">
        <v>2024</v>
      </c>
      <c r="C194" t="s">
        <v>7206</v>
      </c>
      <c r="D194" t="s">
        <v>7207</v>
      </c>
      <c r="E194">
        <v>7</v>
      </c>
      <c r="F194" t="s">
        <v>7208</v>
      </c>
      <c r="G194" t="s">
        <v>7209</v>
      </c>
      <c r="H194" t="s">
        <v>7210</v>
      </c>
      <c r="I194" s="49">
        <v>45474</v>
      </c>
      <c r="J194">
        <v>11</v>
      </c>
      <c r="K194" t="s">
        <v>7186</v>
      </c>
      <c r="L194" t="b">
        <f>FALSE()</f>
        <v>0</v>
      </c>
      <c r="M194">
        <v>28</v>
      </c>
    </row>
    <row r="195" spans="1:13" ht="15" customHeight="1" x14ac:dyDescent="0.2">
      <c r="A195" s="49">
        <v>45485</v>
      </c>
      <c r="B195">
        <v>2024</v>
      </c>
      <c r="C195" t="s">
        <v>7206</v>
      </c>
      <c r="D195" t="s">
        <v>7207</v>
      </c>
      <c r="E195">
        <v>7</v>
      </c>
      <c r="F195" t="s">
        <v>7208</v>
      </c>
      <c r="G195" t="s">
        <v>7209</v>
      </c>
      <c r="H195" t="s">
        <v>7210</v>
      </c>
      <c r="I195" s="49">
        <v>45474</v>
      </c>
      <c r="J195">
        <v>12</v>
      </c>
      <c r="K195" t="s">
        <v>7187</v>
      </c>
      <c r="L195" t="b">
        <f>FALSE()</f>
        <v>0</v>
      </c>
      <c r="M195">
        <v>28</v>
      </c>
    </row>
    <row r="196" spans="1:13" ht="15" customHeight="1" x14ac:dyDescent="0.2">
      <c r="A196" s="49">
        <v>45486</v>
      </c>
      <c r="B196">
        <v>2024</v>
      </c>
      <c r="C196" t="s">
        <v>7206</v>
      </c>
      <c r="D196" t="s">
        <v>7207</v>
      </c>
      <c r="E196">
        <v>7</v>
      </c>
      <c r="F196" t="s">
        <v>7208</v>
      </c>
      <c r="G196" t="s">
        <v>7209</v>
      </c>
      <c r="H196" t="s">
        <v>7210</v>
      </c>
      <c r="I196" s="49">
        <v>45474</v>
      </c>
      <c r="J196">
        <v>13</v>
      </c>
      <c r="K196" t="s">
        <v>7188</v>
      </c>
      <c r="L196" t="b">
        <f>TRUE()</f>
        <v>1</v>
      </c>
      <c r="M196">
        <v>28</v>
      </c>
    </row>
    <row r="197" spans="1:13" ht="15" customHeight="1" x14ac:dyDescent="0.2">
      <c r="A197" s="49">
        <v>45487</v>
      </c>
      <c r="B197">
        <v>2024</v>
      </c>
      <c r="C197" t="s">
        <v>7206</v>
      </c>
      <c r="D197" t="s">
        <v>7207</v>
      </c>
      <c r="E197">
        <v>7</v>
      </c>
      <c r="F197" t="s">
        <v>7208</v>
      </c>
      <c r="G197" t="s">
        <v>7209</v>
      </c>
      <c r="H197" t="s">
        <v>7210</v>
      </c>
      <c r="I197" s="49">
        <v>45474</v>
      </c>
      <c r="J197">
        <v>14</v>
      </c>
      <c r="K197" t="s">
        <v>7189</v>
      </c>
      <c r="L197" t="b">
        <f>TRUE()</f>
        <v>1</v>
      </c>
      <c r="M197">
        <v>28</v>
      </c>
    </row>
    <row r="198" spans="1:13" ht="15" customHeight="1" x14ac:dyDescent="0.2">
      <c r="A198" s="49">
        <v>45488</v>
      </c>
      <c r="B198">
        <v>2024</v>
      </c>
      <c r="C198" t="s">
        <v>7206</v>
      </c>
      <c r="D198" t="s">
        <v>7207</v>
      </c>
      <c r="E198">
        <v>7</v>
      </c>
      <c r="F198" t="s">
        <v>7208</v>
      </c>
      <c r="G198" t="s">
        <v>7209</v>
      </c>
      <c r="H198" t="s">
        <v>7210</v>
      </c>
      <c r="I198" s="49">
        <v>45474</v>
      </c>
      <c r="J198">
        <v>15</v>
      </c>
      <c r="K198" t="s">
        <v>7183</v>
      </c>
      <c r="L198" t="b">
        <f>FALSE()</f>
        <v>0</v>
      </c>
      <c r="M198">
        <v>29</v>
      </c>
    </row>
    <row r="199" spans="1:13" ht="15" customHeight="1" x14ac:dyDescent="0.2">
      <c r="A199" s="49">
        <v>45489</v>
      </c>
      <c r="B199">
        <v>2024</v>
      </c>
      <c r="C199" t="s">
        <v>7206</v>
      </c>
      <c r="D199" t="s">
        <v>7207</v>
      </c>
      <c r="E199">
        <v>7</v>
      </c>
      <c r="F199" t="s">
        <v>7208</v>
      </c>
      <c r="G199" t="s">
        <v>7209</v>
      </c>
      <c r="H199" t="s">
        <v>7210</v>
      </c>
      <c r="I199" s="49">
        <v>45474</v>
      </c>
      <c r="J199">
        <v>16</v>
      </c>
      <c r="K199" t="s">
        <v>7184</v>
      </c>
      <c r="L199" t="b">
        <f>FALSE()</f>
        <v>0</v>
      </c>
      <c r="M199">
        <v>29</v>
      </c>
    </row>
    <row r="200" spans="1:13" ht="15" customHeight="1" x14ac:dyDescent="0.2">
      <c r="A200" s="49">
        <v>45490</v>
      </c>
      <c r="B200">
        <v>2024</v>
      </c>
      <c r="C200" t="s">
        <v>7206</v>
      </c>
      <c r="D200" t="s">
        <v>7207</v>
      </c>
      <c r="E200">
        <v>7</v>
      </c>
      <c r="F200" t="s">
        <v>7208</v>
      </c>
      <c r="G200" t="s">
        <v>7209</v>
      </c>
      <c r="H200" t="s">
        <v>7210</v>
      </c>
      <c r="I200" s="49">
        <v>45474</v>
      </c>
      <c r="J200">
        <v>17</v>
      </c>
      <c r="K200" t="s">
        <v>7185</v>
      </c>
      <c r="L200" t="b">
        <f>FALSE()</f>
        <v>0</v>
      </c>
      <c r="M200">
        <v>29</v>
      </c>
    </row>
    <row r="201" spans="1:13" ht="15" customHeight="1" x14ac:dyDescent="0.2">
      <c r="A201" s="49">
        <v>45491</v>
      </c>
      <c r="B201">
        <v>2024</v>
      </c>
      <c r="C201" t="s">
        <v>7206</v>
      </c>
      <c r="D201" t="s">
        <v>7207</v>
      </c>
      <c r="E201">
        <v>7</v>
      </c>
      <c r="F201" t="s">
        <v>7208</v>
      </c>
      <c r="G201" t="s">
        <v>7209</v>
      </c>
      <c r="H201" t="s">
        <v>7210</v>
      </c>
      <c r="I201" s="49">
        <v>45474</v>
      </c>
      <c r="J201">
        <v>18</v>
      </c>
      <c r="K201" t="s">
        <v>7186</v>
      </c>
      <c r="L201" t="b">
        <f>FALSE()</f>
        <v>0</v>
      </c>
      <c r="M201">
        <v>29</v>
      </c>
    </row>
    <row r="202" spans="1:13" ht="15" customHeight="1" x14ac:dyDescent="0.2">
      <c r="A202" s="49">
        <v>45492</v>
      </c>
      <c r="B202">
        <v>2024</v>
      </c>
      <c r="C202" t="s">
        <v>7206</v>
      </c>
      <c r="D202" t="s">
        <v>7207</v>
      </c>
      <c r="E202">
        <v>7</v>
      </c>
      <c r="F202" t="s">
        <v>7208</v>
      </c>
      <c r="G202" t="s">
        <v>7209</v>
      </c>
      <c r="H202" t="s">
        <v>7210</v>
      </c>
      <c r="I202" s="49">
        <v>45474</v>
      </c>
      <c r="J202">
        <v>19</v>
      </c>
      <c r="K202" t="s">
        <v>7187</v>
      </c>
      <c r="L202" t="b">
        <f>FALSE()</f>
        <v>0</v>
      </c>
      <c r="M202">
        <v>29</v>
      </c>
    </row>
    <row r="203" spans="1:13" ht="15" customHeight="1" x14ac:dyDescent="0.2">
      <c r="A203" s="49">
        <v>45493</v>
      </c>
      <c r="B203">
        <v>2024</v>
      </c>
      <c r="C203" t="s">
        <v>7206</v>
      </c>
      <c r="D203" t="s">
        <v>7207</v>
      </c>
      <c r="E203">
        <v>7</v>
      </c>
      <c r="F203" t="s">
        <v>7208</v>
      </c>
      <c r="G203" t="s">
        <v>7209</v>
      </c>
      <c r="H203" t="s">
        <v>7210</v>
      </c>
      <c r="I203" s="49">
        <v>45474</v>
      </c>
      <c r="J203">
        <v>20</v>
      </c>
      <c r="K203" t="s">
        <v>7188</v>
      </c>
      <c r="L203" t="b">
        <f>TRUE()</f>
        <v>1</v>
      </c>
      <c r="M203">
        <v>29</v>
      </c>
    </row>
    <row r="204" spans="1:13" ht="15" customHeight="1" x14ac:dyDescent="0.2">
      <c r="A204" s="49">
        <v>45494</v>
      </c>
      <c r="B204">
        <v>2024</v>
      </c>
      <c r="C204" t="s">
        <v>7206</v>
      </c>
      <c r="D204" t="s">
        <v>7207</v>
      </c>
      <c r="E204">
        <v>7</v>
      </c>
      <c r="F204" t="s">
        <v>7208</v>
      </c>
      <c r="G204" t="s">
        <v>7209</v>
      </c>
      <c r="H204" t="s">
        <v>7210</v>
      </c>
      <c r="I204" s="49">
        <v>45474</v>
      </c>
      <c r="J204">
        <v>21</v>
      </c>
      <c r="K204" t="s">
        <v>7189</v>
      </c>
      <c r="L204" t="b">
        <f>TRUE()</f>
        <v>1</v>
      </c>
      <c r="M204">
        <v>29</v>
      </c>
    </row>
    <row r="205" spans="1:13" ht="15" customHeight="1" x14ac:dyDescent="0.2">
      <c r="A205" s="49">
        <v>45495</v>
      </c>
      <c r="B205">
        <v>2024</v>
      </c>
      <c r="C205" t="s">
        <v>7206</v>
      </c>
      <c r="D205" t="s">
        <v>7207</v>
      </c>
      <c r="E205">
        <v>7</v>
      </c>
      <c r="F205" t="s">
        <v>7208</v>
      </c>
      <c r="G205" t="s">
        <v>7209</v>
      </c>
      <c r="H205" t="s">
        <v>7210</v>
      </c>
      <c r="I205" s="49">
        <v>45474</v>
      </c>
      <c r="J205">
        <v>22</v>
      </c>
      <c r="K205" t="s">
        <v>7183</v>
      </c>
      <c r="L205" t="b">
        <f>FALSE()</f>
        <v>0</v>
      </c>
      <c r="M205">
        <v>30</v>
      </c>
    </row>
    <row r="206" spans="1:13" ht="15" customHeight="1" x14ac:dyDescent="0.2">
      <c r="A206" s="49">
        <v>45496</v>
      </c>
      <c r="B206">
        <v>2024</v>
      </c>
      <c r="C206" t="s">
        <v>7206</v>
      </c>
      <c r="D206" t="s">
        <v>7207</v>
      </c>
      <c r="E206">
        <v>7</v>
      </c>
      <c r="F206" t="s">
        <v>7208</v>
      </c>
      <c r="G206" t="s">
        <v>7209</v>
      </c>
      <c r="H206" t="s">
        <v>7210</v>
      </c>
      <c r="I206" s="49">
        <v>45474</v>
      </c>
      <c r="J206">
        <v>23</v>
      </c>
      <c r="K206" t="s">
        <v>7184</v>
      </c>
      <c r="L206" t="b">
        <f>FALSE()</f>
        <v>0</v>
      </c>
      <c r="M206">
        <v>30</v>
      </c>
    </row>
    <row r="207" spans="1:13" ht="15" customHeight="1" x14ac:dyDescent="0.2">
      <c r="A207" s="49">
        <v>45497</v>
      </c>
      <c r="B207">
        <v>2024</v>
      </c>
      <c r="C207" t="s">
        <v>7206</v>
      </c>
      <c r="D207" t="s">
        <v>7207</v>
      </c>
      <c r="E207">
        <v>7</v>
      </c>
      <c r="F207" t="s">
        <v>7208</v>
      </c>
      <c r="G207" t="s">
        <v>7209</v>
      </c>
      <c r="H207" t="s">
        <v>7210</v>
      </c>
      <c r="I207" s="49">
        <v>45474</v>
      </c>
      <c r="J207">
        <v>24</v>
      </c>
      <c r="K207" t="s">
        <v>7185</v>
      </c>
      <c r="L207" t="b">
        <f>FALSE()</f>
        <v>0</v>
      </c>
      <c r="M207">
        <v>30</v>
      </c>
    </row>
    <row r="208" spans="1:13" ht="15" customHeight="1" x14ac:dyDescent="0.2">
      <c r="A208" s="49">
        <v>45498</v>
      </c>
      <c r="B208">
        <v>2024</v>
      </c>
      <c r="C208" t="s">
        <v>7206</v>
      </c>
      <c r="D208" t="s">
        <v>7207</v>
      </c>
      <c r="E208">
        <v>7</v>
      </c>
      <c r="F208" t="s">
        <v>7208</v>
      </c>
      <c r="G208" t="s">
        <v>7209</v>
      </c>
      <c r="H208" t="s">
        <v>7210</v>
      </c>
      <c r="I208" s="49">
        <v>45474</v>
      </c>
      <c r="J208">
        <v>25</v>
      </c>
      <c r="K208" t="s">
        <v>7186</v>
      </c>
      <c r="L208" t="b">
        <f>FALSE()</f>
        <v>0</v>
      </c>
      <c r="M208">
        <v>30</v>
      </c>
    </row>
    <row r="209" spans="1:13" ht="15" customHeight="1" x14ac:dyDescent="0.2">
      <c r="A209" s="49">
        <v>45499</v>
      </c>
      <c r="B209">
        <v>2024</v>
      </c>
      <c r="C209" t="s">
        <v>7206</v>
      </c>
      <c r="D209" t="s">
        <v>7207</v>
      </c>
      <c r="E209">
        <v>7</v>
      </c>
      <c r="F209" t="s">
        <v>7208</v>
      </c>
      <c r="G209" t="s">
        <v>7209</v>
      </c>
      <c r="H209" t="s">
        <v>7210</v>
      </c>
      <c r="I209" s="49">
        <v>45474</v>
      </c>
      <c r="J209">
        <v>26</v>
      </c>
      <c r="K209" t="s">
        <v>7187</v>
      </c>
      <c r="L209" t="b">
        <f>FALSE()</f>
        <v>0</v>
      </c>
      <c r="M209">
        <v>30</v>
      </c>
    </row>
    <row r="210" spans="1:13" ht="15" customHeight="1" x14ac:dyDescent="0.2">
      <c r="A210" s="49">
        <v>45500</v>
      </c>
      <c r="B210">
        <v>2024</v>
      </c>
      <c r="C210" t="s">
        <v>7206</v>
      </c>
      <c r="D210" t="s">
        <v>7207</v>
      </c>
      <c r="E210">
        <v>7</v>
      </c>
      <c r="F210" t="s">
        <v>7208</v>
      </c>
      <c r="G210" t="s">
        <v>7209</v>
      </c>
      <c r="H210" t="s">
        <v>7210</v>
      </c>
      <c r="I210" s="49">
        <v>45474</v>
      </c>
      <c r="J210">
        <v>27</v>
      </c>
      <c r="K210" t="s">
        <v>7188</v>
      </c>
      <c r="L210" t="b">
        <f>TRUE()</f>
        <v>1</v>
      </c>
      <c r="M210">
        <v>30</v>
      </c>
    </row>
    <row r="211" spans="1:13" ht="15" customHeight="1" x14ac:dyDescent="0.2">
      <c r="A211" s="49">
        <v>45501</v>
      </c>
      <c r="B211">
        <v>2024</v>
      </c>
      <c r="C211" t="s">
        <v>7206</v>
      </c>
      <c r="D211" t="s">
        <v>7207</v>
      </c>
      <c r="E211">
        <v>7</v>
      </c>
      <c r="F211" t="s">
        <v>7208</v>
      </c>
      <c r="G211" t="s">
        <v>7209</v>
      </c>
      <c r="H211" t="s">
        <v>7210</v>
      </c>
      <c r="I211" s="49">
        <v>45474</v>
      </c>
      <c r="J211">
        <v>28</v>
      </c>
      <c r="K211" t="s">
        <v>7189</v>
      </c>
      <c r="L211" t="b">
        <f>TRUE()</f>
        <v>1</v>
      </c>
      <c r="M211">
        <v>30</v>
      </c>
    </row>
    <row r="212" spans="1:13" ht="15" customHeight="1" x14ac:dyDescent="0.2">
      <c r="A212" s="49">
        <v>45502</v>
      </c>
      <c r="B212">
        <v>2024</v>
      </c>
      <c r="C212" t="s">
        <v>7206</v>
      </c>
      <c r="D212" t="s">
        <v>7207</v>
      </c>
      <c r="E212">
        <v>7</v>
      </c>
      <c r="F212" t="s">
        <v>7208</v>
      </c>
      <c r="G212" t="s">
        <v>7209</v>
      </c>
      <c r="H212" t="s">
        <v>7210</v>
      </c>
      <c r="I212" s="49">
        <v>45474</v>
      </c>
      <c r="J212">
        <v>29</v>
      </c>
      <c r="K212" t="s">
        <v>7183</v>
      </c>
      <c r="L212" t="b">
        <f>FALSE()</f>
        <v>0</v>
      </c>
      <c r="M212">
        <v>31</v>
      </c>
    </row>
    <row r="213" spans="1:13" ht="15" customHeight="1" x14ac:dyDescent="0.2">
      <c r="A213" s="49">
        <v>45503</v>
      </c>
      <c r="B213">
        <v>2024</v>
      </c>
      <c r="C213" t="s">
        <v>7206</v>
      </c>
      <c r="D213" t="s">
        <v>7207</v>
      </c>
      <c r="E213">
        <v>7</v>
      </c>
      <c r="F213" t="s">
        <v>7208</v>
      </c>
      <c r="G213" t="s">
        <v>7209</v>
      </c>
      <c r="H213" t="s">
        <v>7210</v>
      </c>
      <c r="I213" s="49">
        <v>45474</v>
      </c>
      <c r="J213">
        <v>30</v>
      </c>
      <c r="K213" t="s">
        <v>7184</v>
      </c>
      <c r="L213" t="b">
        <f>FALSE()</f>
        <v>0</v>
      </c>
      <c r="M213">
        <v>31</v>
      </c>
    </row>
    <row r="214" spans="1:13" ht="15" customHeight="1" x14ac:dyDescent="0.2">
      <c r="A214" s="49">
        <v>45504</v>
      </c>
      <c r="B214">
        <v>2024</v>
      </c>
      <c r="C214" t="s">
        <v>7206</v>
      </c>
      <c r="D214" t="s">
        <v>7207</v>
      </c>
      <c r="E214">
        <v>7</v>
      </c>
      <c r="F214" t="s">
        <v>7208</v>
      </c>
      <c r="G214" t="s">
        <v>7209</v>
      </c>
      <c r="H214" t="s">
        <v>7210</v>
      </c>
      <c r="I214" s="49">
        <v>45474</v>
      </c>
      <c r="J214">
        <v>31</v>
      </c>
      <c r="K214" t="s">
        <v>7185</v>
      </c>
      <c r="L214" t="b">
        <f>FALSE()</f>
        <v>0</v>
      </c>
      <c r="M214">
        <v>31</v>
      </c>
    </row>
    <row r="215" spans="1:13" ht="15" customHeight="1" x14ac:dyDescent="0.2">
      <c r="A215" s="49">
        <v>45505</v>
      </c>
      <c r="B215">
        <v>2024</v>
      </c>
      <c r="C215" t="s">
        <v>7206</v>
      </c>
      <c r="D215" t="s">
        <v>7207</v>
      </c>
      <c r="E215">
        <v>8</v>
      </c>
      <c r="F215" t="s">
        <v>7211</v>
      </c>
      <c r="G215" t="s">
        <v>7212</v>
      </c>
      <c r="H215" t="s">
        <v>7213</v>
      </c>
      <c r="I215" s="49">
        <v>45505</v>
      </c>
      <c r="J215">
        <v>1</v>
      </c>
      <c r="K215" t="s">
        <v>7186</v>
      </c>
      <c r="L215" t="b">
        <f>FALSE()</f>
        <v>0</v>
      </c>
      <c r="M215">
        <v>31</v>
      </c>
    </row>
    <row r="216" spans="1:13" ht="15" customHeight="1" x14ac:dyDescent="0.2">
      <c r="A216" s="49">
        <v>45506</v>
      </c>
      <c r="B216">
        <v>2024</v>
      </c>
      <c r="C216" t="s">
        <v>7206</v>
      </c>
      <c r="D216" t="s">
        <v>7207</v>
      </c>
      <c r="E216">
        <v>8</v>
      </c>
      <c r="F216" t="s">
        <v>7211</v>
      </c>
      <c r="G216" t="s">
        <v>7212</v>
      </c>
      <c r="H216" t="s">
        <v>7213</v>
      </c>
      <c r="I216" s="49">
        <v>45505</v>
      </c>
      <c r="J216">
        <v>2</v>
      </c>
      <c r="K216" t="s">
        <v>7187</v>
      </c>
      <c r="L216" t="b">
        <f>FALSE()</f>
        <v>0</v>
      </c>
      <c r="M216">
        <v>31</v>
      </c>
    </row>
    <row r="217" spans="1:13" ht="15" customHeight="1" x14ac:dyDescent="0.2">
      <c r="A217" s="49">
        <v>45507</v>
      </c>
      <c r="B217">
        <v>2024</v>
      </c>
      <c r="C217" t="s">
        <v>7206</v>
      </c>
      <c r="D217" t="s">
        <v>7207</v>
      </c>
      <c r="E217">
        <v>8</v>
      </c>
      <c r="F217" t="s">
        <v>7211</v>
      </c>
      <c r="G217" t="s">
        <v>7212</v>
      </c>
      <c r="H217" t="s">
        <v>7213</v>
      </c>
      <c r="I217" s="49">
        <v>45505</v>
      </c>
      <c r="J217">
        <v>3</v>
      </c>
      <c r="K217" t="s">
        <v>7188</v>
      </c>
      <c r="L217" t="b">
        <f>TRUE()</f>
        <v>1</v>
      </c>
      <c r="M217">
        <v>31</v>
      </c>
    </row>
    <row r="218" spans="1:13" ht="15" customHeight="1" x14ac:dyDescent="0.2">
      <c r="A218" s="49">
        <v>45508</v>
      </c>
      <c r="B218">
        <v>2024</v>
      </c>
      <c r="C218" t="s">
        <v>7206</v>
      </c>
      <c r="D218" t="s">
        <v>7207</v>
      </c>
      <c r="E218">
        <v>8</v>
      </c>
      <c r="F218" t="s">
        <v>7211</v>
      </c>
      <c r="G218" t="s">
        <v>7212</v>
      </c>
      <c r="H218" t="s">
        <v>7213</v>
      </c>
      <c r="I218" s="49">
        <v>45505</v>
      </c>
      <c r="J218">
        <v>4</v>
      </c>
      <c r="K218" t="s">
        <v>7189</v>
      </c>
      <c r="L218" t="b">
        <f>TRUE()</f>
        <v>1</v>
      </c>
      <c r="M218">
        <v>31</v>
      </c>
    </row>
    <row r="219" spans="1:13" ht="15" customHeight="1" x14ac:dyDescent="0.2">
      <c r="A219" s="49">
        <v>45509</v>
      </c>
      <c r="B219">
        <v>2024</v>
      </c>
      <c r="C219" t="s">
        <v>7206</v>
      </c>
      <c r="D219" t="s">
        <v>7207</v>
      </c>
      <c r="E219">
        <v>8</v>
      </c>
      <c r="F219" t="s">
        <v>7211</v>
      </c>
      <c r="G219" t="s">
        <v>7212</v>
      </c>
      <c r="H219" t="s">
        <v>7213</v>
      </c>
      <c r="I219" s="49">
        <v>45505</v>
      </c>
      <c r="J219">
        <v>5</v>
      </c>
      <c r="K219" t="s">
        <v>7183</v>
      </c>
      <c r="L219" t="b">
        <f>FALSE()</f>
        <v>0</v>
      </c>
      <c r="M219">
        <v>32</v>
      </c>
    </row>
    <row r="220" spans="1:13" ht="15" customHeight="1" x14ac:dyDescent="0.2">
      <c r="A220" s="49">
        <v>45510</v>
      </c>
      <c r="B220">
        <v>2024</v>
      </c>
      <c r="C220" t="s">
        <v>7206</v>
      </c>
      <c r="D220" t="s">
        <v>7207</v>
      </c>
      <c r="E220">
        <v>8</v>
      </c>
      <c r="F220" t="s">
        <v>7211</v>
      </c>
      <c r="G220" t="s">
        <v>7212</v>
      </c>
      <c r="H220" t="s">
        <v>7213</v>
      </c>
      <c r="I220" s="49">
        <v>45505</v>
      </c>
      <c r="J220">
        <v>6</v>
      </c>
      <c r="K220" t="s">
        <v>7184</v>
      </c>
      <c r="L220" t="b">
        <f>FALSE()</f>
        <v>0</v>
      </c>
      <c r="M220">
        <v>32</v>
      </c>
    </row>
    <row r="221" spans="1:13" ht="15" customHeight="1" x14ac:dyDescent="0.2">
      <c r="A221" s="49">
        <v>45511</v>
      </c>
      <c r="B221">
        <v>2024</v>
      </c>
      <c r="C221" t="s">
        <v>7206</v>
      </c>
      <c r="D221" t="s">
        <v>7207</v>
      </c>
      <c r="E221">
        <v>8</v>
      </c>
      <c r="F221" t="s">
        <v>7211</v>
      </c>
      <c r="G221" t="s">
        <v>7212</v>
      </c>
      <c r="H221" t="s">
        <v>7213</v>
      </c>
      <c r="I221" s="49">
        <v>45505</v>
      </c>
      <c r="J221">
        <v>7</v>
      </c>
      <c r="K221" t="s">
        <v>7185</v>
      </c>
      <c r="L221" t="b">
        <f>FALSE()</f>
        <v>0</v>
      </c>
      <c r="M221">
        <v>32</v>
      </c>
    </row>
    <row r="222" spans="1:13" ht="15" customHeight="1" x14ac:dyDescent="0.2">
      <c r="A222" s="49">
        <v>45512</v>
      </c>
      <c r="B222">
        <v>2024</v>
      </c>
      <c r="C222" t="s">
        <v>7206</v>
      </c>
      <c r="D222" t="s">
        <v>7207</v>
      </c>
      <c r="E222">
        <v>8</v>
      </c>
      <c r="F222" t="s">
        <v>7211</v>
      </c>
      <c r="G222" t="s">
        <v>7212</v>
      </c>
      <c r="H222" t="s">
        <v>7213</v>
      </c>
      <c r="I222" s="49">
        <v>45505</v>
      </c>
      <c r="J222">
        <v>8</v>
      </c>
      <c r="K222" t="s">
        <v>7186</v>
      </c>
      <c r="L222" t="b">
        <f>FALSE()</f>
        <v>0</v>
      </c>
      <c r="M222">
        <v>32</v>
      </c>
    </row>
    <row r="223" spans="1:13" ht="15" customHeight="1" x14ac:dyDescent="0.2">
      <c r="A223" s="49">
        <v>45513</v>
      </c>
      <c r="B223">
        <v>2024</v>
      </c>
      <c r="C223" t="s">
        <v>7206</v>
      </c>
      <c r="D223" t="s">
        <v>7207</v>
      </c>
      <c r="E223">
        <v>8</v>
      </c>
      <c r="F223" t="s">
        <v>7211</v>
      </c>
      <c r="G223" t="s">
        <v>7212</v>
      </c>
      <c r="H223" t="s">
        <v>7213</v>
      </c>
      <c r="I223" s="49">
        <v>45505</v>
      </c>
      <c r="J223">
        <v>9</v>
      </c>
      <c r="K223" t="s">
        <v>7187</v>
      </c>
      <c r="L223" t="b">
        <f>FALSE()</f>
        <v>0</v>
      </c>
      <c r="M223">
        <v>32</v>
      </c>
    </row>
    <row r="224" spans="1:13" ht="15" customHeight="1" x14ac:dyDescent="0.2">
      <c r="A224" s="49">
        <v>45514</v>
      </c>
      <c r="B224">
        <v>2024</v>
      </c>
      <c r="C224" t="s">
        <v>7206</v>
      </c>
      <c r="D224" t="s">
        <v>7207</v>
      </c>
      <c r="E224">
        <v>8</v>
      </c>
      <c r="F224" t="s">
        <v>7211</v>
      </c>
      <c r="G224" t="s">
        <v>7212</v>
      </c>
      <c r="H224" t="s">
        <v>7213</v>
      </c>
      <c r="I224" s="49">
        <v>45505</v>
      </c>
      <c r="J224">
        <v>10</v>
      </c>
      <c r="K224" t="s">
        <v>7188</v>
      </c>
      <c r="L224" t="b">
        <f>TRUE()</f>
        <v>1</v>
      </c>
      <c r="M224">
        <v>32</v>
      </c>
    </row>
    <row r="225" spans="1:13" ht="15" customHeight="1" x14ac:dyDescent="0.2">
      <c r="A225" s="49">
        <v>45515</v>
      </c>
      <c r="B225">
        <v>2024</v>
      </c>
      <c r="C225" t="s">
        <v>7206</v>
      </c>
      <c r="D225" t="s">
        <v>7207</v>
      </c>
      <c r="E225">
        <v>8</v>
      </c>
      <c r="F225" t="s">
        <v>7211</v>
      </c>
      <c r="G225" t="s">
        <v>7212</v>
      </c>
      <c r="H225" t="s">
        <v>7213</v>
      </c>
      <c r="I225" s="49">
        <v>45505</v>
      </c>
      <c r="J225">
        <v>11</v>
      </c>
      <c r="K225" t="s">
        <v>7189</v>
      </c>
      <c r="L225" t="b">
        <f>TRUE()</f>
        <v>1</v>
      </c>
      <c r="M225">
        <v>32</v>
      </c>
    </row>
    <row r="226" spans="1:13" ht="15" customHeight="1" x14ac:dyDescent="0.2">
      <c r="A226" s="49">
        <v>45516</v>
      </c>
      <c r="B226">
        <v>2024</v>
      </c>
      <c r="C226" t="s">
        <v>7206</v>
      </c>
      <c r="D226" t="s">
        <v>7207</v>
      </c>
      <c r="E226">
        <v>8</v>
      </c>
      <c r="F226" t="s">
        <v>7211</v>
      </c>
      <c r="G226" t="s">
        <v>7212</v>
      </c>
      <c r="H226" t="s">
        <v>7213</v>
      </c>
      <c r="I226" s="49">
        <v>45505</v>
      </c>
      <c r="J226">
        <v>12</v>
      </c>
      <c r="K226" t="s">
        <v>7183</v>
      </c>
      <c r="L226" t="b">
        <f>FALSE()</f>
        <v>0</v>
      </c>
      <c r="M226">
        <v>33</v>
      </c>
    </row>
    <row r="227" spans="1:13" ht="15" customHeight="1" x14ac:dyDescent="0.2">
      <c r="A227" s="49">
        <v>45517</v>
      </c>
      <c r="B227">
        <v>2024</v>
      </c>
      <c r="C227" t="s">
        <v>7206</v>
      </c>
      <c r="D227" t="s">
        <v>7207</v>
      </c>
      <c r="E227">
        <v>8</v>
      </c>
      <c r="F227" t="s">
        <v>7211</v>
      </c>
      <c r="G227" t="s">
        <v>7212</v>
      </c>
      <c r="H227" t="s">
        <v>7213</v>
      </c>
      <c r="I227" s="49">
        <v>45505</v>
      </c>
      <c r="J227">
        <v>13</v>
      </c>
      <c r="K227" t="s">
        <v>7184</v>
      </c>
      <c r="L227" t="b">
        <f>FALSE()</f>
        <v>0</v>
      </c>
      <c r="M227">
        <v>33</v>
      </c>
    </row>
    <row r="228" spans="1:13" ht="15" customHeight="1" x14ac:dyDescent="0.2">
      <c r="A228" s="49">
        <v>45518</v>
      </c>
      <c r="B228">
        <v>2024</v>
      </c>
      <c r="C228" t="s">
        <v>7206</v>
      </c>
      <c r="D228" t="s">
        <v>7207</v>
      </c>
      <c r="E228">
        <v>8</v>
      </c>
      <c r="F228" t="s">
        <v>7211</v>
      </c>
      <c r="G228" t="s">
        <v>7212</v>
      </c>
      <c r="H228" t="s">
        <v>7213</v>
      </c>
      <c r="I228" s="49">
        <v>45505</v>
      </c>
      <c r="J228">
        <v>14</v>
      </c>
      <c r="K228" t="s">
        <v>7185</v>
      </c>
      <c r="L228" t="b">
        <f>FALSE()</f>
        <v>0</v>
      </c>
      <c r="M228">
        <v>33</v>
      </c>
    </row>
    <row r="229" spans="1:13" ht="15" customHeight="1" x14ac:dyDescent="0.2">
      <c r="A229" s="49">
        <v>45519</v>
      </c>
      <c r="B229">
        <v>2024</v>
      </c>
      <c r="C229" t="s">
        <v>7206</v>
      </c>
      <c r="D229" t="s">
        <v>7207</v>
      </c>
      <c r="E229">
        <v>8</v>
      </c>
      <c r="F229" t="s">
        <v>7211</v>
      </c>
      <c r="G229" t="s">
        <v>7212</v>
      </c>
      <c r="H229" t="s">
        <v>7213</v>
      </c>
      <c r="I229" s="49">
        <v>45505</v>
      </c>
      <c r="J229">
        <v>15</v>
      </c>
      <c r="K229" t="s">
        <v>7186</v>
      </c>
      <c r="L229" t="b">
        <f>FALSE()</f>
        <v>0</v>
      </c>
      <c r="M229">
        <v>33</v>
      </c>
    </row>
    <row r="230" spans="1:13" ht="15" customHeight="1" x14ac:dyDescent="0.2">
      <c r="A230" s="49">
        <v>45520</v>
      </c>
      <c r="B230">
        <v>2024</v>
      </c>
      <c r="C230" t="s">
        <v>7206</v>
      </c>
      <c r="D230" t="s">
        <v>7207</v>
      </c>
      <c r="E230">
        <v>8</v>
      </c>
      <c r="F230" t="s">
        <v>7211</v>
      </c>
      <c r="G230" t="s">
        <v>7212</v>
      </c>
      <c r="H230" t="s">
        <v>7213</v>
      </c>
      <c r="I230" s="49">
        <v>45505</v>
      </c>
      <c r="J230">
        <v>16</v>
      </c>
      <c r="K230" t="s">
        <v>7187</v>
      </c>
      <c r="L230" t="b">
        <f>FALSE()</f>
        <v>0</v>
      </c>
      <c r="M230">
        <v>33</v>
      </c>
    </row>
    <row r="231" spans="1:13" ht="15" customHeight="1" x14ac:dyDescent="0.2">
      <c r="A231" s="49">
        <v>45521</v>
      </c>
      <c r="B231">
        <v>2024</v>
      </c>
      <c r="C231" t="s">
        <v>7206</v>
      </c>
      <c r="D231" t="s">
        <v>7207</v>
      </c>
      <c r="E231">
        <v>8</v>
      </c>
      <c r="F231" t="s">
        <v>7211</v>
      </c>
      <c r="G231" t="s">
        <v>7212</v>
      </c>
      <c r="H231" t="s">
        <v>7213</v>
      </c>
      <c r="I231" s="49">
        <v>45505</v>
      </c>
      <c r="J231">
        <v>17</v>
      </c>
      <c r="K231" t="s">
        <v>7188</v>
      </c>
      <c r="L231" t="b">
        <f>TRUE()</f>
        <v>1</v>
      </c>
      <c r="M231">
        <v>33</v>
      </c>
    </row>
    <row r="232" spans="1:13" ht="15" customHeight="1" x14ac:dyDescent="0.2">
      <c r="A232" s="49">
        <v>45522</v>
      </c>
      <c r="B232">
        <v>2024</v>
      </c>
      <c r="C232" t="s">
        <v>7206</v>
      </c>
      <c r="D232" t="s">
        <v>7207</v>
      </c>
      <c r="E232">
        <v>8</v>
      </c>
      <c r="F232" t="s">
        <v>7211</v>
      </c>
      <c r="G232" t="s">
        <v>7212</v>
      </c>
      <c r="H232" t="s">
        <v>7213</v>
      </c>
      <c r="I232" s="49">
        <v>45505</v>
      </c>
      <c r="J232">
        <v>18</v>
      </c>
      <c r="K232" t="s">
        <v>7189</v>
      </c>
      <c r="L232" t="b">
        <f>TRUE()</f>
        <v>1</v>
      </c>
      <c r="M232">
        <v>33</v>
      </c>
    </row>
    <row r="233" spans="1:13" ht="15" customHeight="1" x14ac:dyDescent="0.2">
      <c r="A233" s="49">
        <v>45523</v>
      </c>
      <c r="B233">
        <v>2024</v>
      </c>
      <c r="C233" t="s">
        <v>7206</v>
      </c>
      <c r="D233" t="s">
        <v>7207</v>
      </c>
      <c r="E233">
        <v>8</v>
      </c>
      <c r="F233" t="s">
        <v>7211</v>
      </c>
      <c r="G233" t="s">
        <v>7212</v>
      </c>
      <c r="H233" t="s">
        <v>7213</v>
      </c>
      <c r="I233" s="49">
        <v>45505</v>
      </c>
      <c r="J233">
        <v>19</v>
      </c>
      <c r="K233" t="s">
        <v>7183</v>
      </c>
      <c r="L233" t="b">
        <f>FALSE()</f>
        <v>0</v>
      </c>
      <c r="M233">
        <v>34</v>
      </c>
    </row>
    <row r="234" spans="1:13" ht="15" customHeight="1" x14ac:dyDescent="0.2">
      <c r="A234" s="49">
        <v>45524</v>
      </c>
      <c r="B234">
        <v>2024</v>
      </c>
      <c r="C234" t="s">
        <v>7206</v>
      </c>
      <c r="D234" t="s">
        <v>7207</v>
      </c>
      <c r="E234">
        <v>8</v>
      </c>
      <c r="F234" t="s">
        <v>7211</v>
      </c>
      <c r="G234" t="s">
        <v>7212</v>
      </c>
      <c r="H234" t="s">
        <v>7213</v>
      </c>
      <c r="I234" s="49">
        <v>45505</v>
      </c>
      <c r="J234">
        <v>20</v>
      </c>
      <c r="K234" t="s">
        <v>7184</v>
      </c>
      <c r="L234" t="b">
        <f>FALSE()</f>
        <v>0</v>
      </c>
      <c r="M234">
        <v>34</v>
      </c>
    </row>
    <row r="235" spans="1:13" ht="15" customHeight="1" x14ac:dyDescent="0.2">
      <c r="A235" s="49">
        <v>45525</v>
      </c>
      <c r="B235">
        <v>2024</v>
      </c>
      <c r="C235" t="s">
        <v>7206</v>
      </c>
      <c r="D235" t="s">
        <v>7207</v>
      </c>
      <c r="E235">
        <v>8</v>
      </c>
      <c r="F235" t="s">
        <v>7211</v>
      </c>
      <c r="G235" t="s">
        <v>7212</v>
      </c>
      <c r="H235" t="s">
        <v>7213</v>
      </c>
      <c r="I235" s="49">
        <v>45505</v>
      </c>
      <c r="J235">
        <v>21</v>
      </c>
      <c r="K235" t="s">
        <v>7185</v>
      </c>
      <c r="L235" t="b">
        <f>FALSE()</f>
        <v>0</v>
      </c>
      <c r="M235">
        <v>34</v>
      </c>
    </row>
    <row r="236" spans="1:13" ht="15" customHeight="1" x14ac:dyDescent="0.2">
      <c r="A236" s="49">
        <v>45526</v>
      </c>
      <c r="B236">
        <v>2024</v>
      </c>
      <c r="C236" t="s">
        <v>7206</v>
      </c>
      <c r="D236" t="s">
        <v>7207</v>
      </c>
      <c r="E236">
        <v>8</v>
      </c>
      <c r="F236" t="s">
        <v>7211</v>
      </c>
      <c r="G236" t="s">
        <v>7212</v>
      </c>
      <c r="H236" t="s">
        <v>7213</v>
      </c>
      <c r="I236" s="49">
        <v>45505</v>
      </c>
      <c r="J236">
        <v>22</v>
      </c>
      <c r="K236" t="s">
        <v>7186</v>
      </c>
      <c r="L236" t="b">
        <f>FALSE()</f>
        <v>0</v>
      </c>
      <c r="M236">
        <v>34</v>
      </c>
    </row>
    <row r="237" spans="1:13" ht="15" customHeight="1" x14ac:dyDescent="0.2">
      <c r="A237" s="49">
        <v>45527</v>
      </c>
      <c r="B237">
        <v>2024</v>
      </c>
      <c r="C237" t="s">
        <v>7206</v>
      </c>
      <c r="D237" t="s">
        <v>7207</v>
      </c>
      <c r="E237">
        <v>8</v>
      </c>
      <c r="F237" t="s">
        <v>7211</v>
      </c>
      <c r="G237" t="s">
        <v>7212</v>
      </c>
      <c r="H237" t="s">
        <v>7213</v>
      </c>
      <c r="I237" s="49">
        <v>45505</v>
      </c>
      <c r="J237">
        <v>23</v>
      </c>
      <c r="K237" t="s">
        <v>7187</v>
      </c>
      <c r="L237" t="b">
        <f>FALSE()</f>
        <v>0</v>
      </c>
      <c r="M237">
        <v>34</v>
      </c>
    </row>
    <row r="238" spans="1:13" ht="15" customHeight="1" x14ac:dyDescent="0.2">
      <c r="A238" s="49">
        <v>45528</v>
      </c>
      <c r="B238">
        <v>2024</v>
      </c>
      <c r="C238" t="s">
        <v>7206</v>
      </c>
      <c r="D238" t="s">
        <v>7207</v>
      </c>
      <c r="E238">
        <v>8</v>
      </c>
      <c r="F238" t="s">
        <v>7211</v>
      </c>
      <c r="G238" t="s">
        <v>7212</v>
      </c>
      <c r="H238" t="s">
        <v>7213</v>
      </c>
      <c r="I238" s="49">
        <v>45505</v>
      </c>
      <c r="J238">
        <v>24</v>
      </c>
      <c r="K238" t="s">
        <v>7188</v>
      </c>
      <c r="L238" t="b">
        <f>TRUE()</f>
        <v>1</v>
      </c>
      <c r="M238">
        <v>34</v>
      </c>
    </row>
    <row r="239" spans="1:13" ht="15" customHeight="1" x14ac:dyDescent="0.2">
      <c r="A239" s="49">
        <v>45529</v>
      </c>
      <c r="B239">
        <v>2024</v>
      </c>
      <c r="C239" t="s">
        <v>7206</v>
      </c>
      <c r="D239" t="s">
        <v>7207</v>
      </c>
      <c r="E239">
        <v>8</v>
      </c>
      <c r="F239" t="s">
        <v>7211</v>
      </c>
      <c r="G239" t="s">
        <v>7212</v>
      </c>
      <c r="H239" t="s">
        <v>7213</v>
      </c>
      <c r="I239" s="49">
        <v>45505</v>
      </c>
      <c r="J239">
        <v>25</v>
      </c>
      <c r="K239" t="s">
        <v>7189</v>
      </c>
      <c r="L239" t="b">
        <f>TRUE()</f>
        <v>1</v>
      </c>
      <c r="M239">
        <v>34</v>
      </c>
    </row>
    <row r="240" spans="1:13" ht="15" customHeight="1" x14ac:dyDescent="0.2">
      <c r="A240" s="49">
        <v>45530</v>
      </c>
      <c r="B240">
        <v>2024</v>
      </c>
      <c r="C240" t="s">
        <v>7206</v>
      </c>
      <c r="D240" t="s">
        <v>7207</v>
      </c>
      <c r="E240">
        <v>8</v>
      </c>
      <c r="F240" t="s">
        <v>7211</v>
      </c>
      <c r="G240" t="s">
        <v>7212</v>
      </c>
      <c r="H240" t="s">
        <v>7213</v>
      </c>
      <c r="I240" s="49">
        <v>45505</v>
      </c>
      <c r="J240">
        <v>26</v>
      </c>
      <c r="K240" t="s">
        <v>7183</v>
      </c>
      <c r="L240" t="b">
        <f>FALSE()</f>
        <v>0</v>
      </c>
      <c r="M240">
        <v>35</v>
      </c>
    </row>
    <row r="241" spans="1:13" ht="15" customHeight="1" x14ac:dyDescent="0.2">
      <c r="A241" s="49">
        <v>45531</v>
      </c>
      <c r="B241">
        <v>2024</v>
      </c>
      <c r="C241" t="s">
        <v>7206</v>
      </c>
      <c r="D241" t="s">
        <v>7207</v>
      </c>
      <c r="E241">
        <v>8</v>
      </c>
      <c r="F241" t="s">
        <v>7211</v>
      </c>
      <c r="G241" t="s">
        <v>7212</v>
      </c>
      <c r="H241" t="s">
        <v>7213</v>
      </c>
      <c r="I241" s="49">
        <v>45505</v>
      </c>
      <c r="J241">
        <v>27</v>
      </c>
      <c r="K241" t="s">
        <v>7184</v>
      </c>
      <c r="L241" t="b">
        <f>FALSE()</f>
        <v>0</v>
      </c>
      <c r="M241">
        <v>35</v>
      </c>
    </row>
    <row r="242" spans="1:13" ht="15" customHeight="1" x14ac:dyDescent="0.2">
      <c r="A242" s="49">
        <v>45532</v>
      </c>
      <c r="B242">
        <v>2024</v>
      </c>
      <c r="C242" t="s">
        <v>7206</v>
      </c>
      <c r="D242" t="s">
        <v>7207</v>
      </c>
      <c r="E242">
        <v>8</v>
      </c>
      <c r="F242" t="s">
        <v>7211</v>
      </c>
      <c r="G242" t="s">
        <v>7212</v>
      </c>
      <c r="H242" t="s">
        <v>7213</v>
      </c>
      <c r="I242" s="49">
        <v>45505</v>
      </c>
      <c r="J242">
        <v>28</v>
      </c>
      <c r="K242" t="s">
        <v>7185</v>
      </c>
      <c r="L242" t="b">
        <f>FALSE()</f>
        <v>0</v>
      </c>
      <c r="M242">
        <v>35</v>
      </c>
    </row>
    <row r="243" spans="1:13" ht="15" customHeight="1" x14ac:dyDescent="0.2">
      <c r="A243" s="49">
        <v>45533</v>
      </c>
      <c r="B243">
        <v>2024</v>
      </c>
      <c r="C243" t="s">
        <v>7206</v>
      </c>
      <c r="D243" t="s">
        <v>7207</v>
      </c>
      <c r="E243">
        <v>8</v>
      </c>
      <c r="F243" t="s">
        <v>7211</v>
      </c>
      <c r="G243" t="s">
        <v>7212</v>
      </c>
      <c r="H243" t="s">
        <v>7213</v>
      </c>
      <c r="I243" s="49">
        <v>45505</v>
      </c>
      <c r="J243">
        <v>29</v>
      </c>
      <c r="K243" t="s">
        <v>7186</v>
      </c>
      <c r="L243" t="b">
        <f>FALSE()</f>
        <v>0</v>
      </c>
      <c r="M243">
        <v>35</v>
      </c>
    </row>
    <row r="244" spans="1:13" ht="15" customHeight="1" x14ac:dyDescent="0.2">
      <c r="A244" s="49">
        <v>45534</v>
      </c>
      <c r="B244">
        <v>2024</v>
      </c>
      <c r="C244" t="s">
        <v>7206</v>
      </c>
      <c r="D244" t="s">
        <v>7207</v>
      </c>
      <c r="E244">
        <v>8</v>
      </c>
      <c r="F244" t="s">
        <v>7211</v>
      </c>
      <c r="G244" t="s">
        <v>7212</v>
      </c>
      <c r="H244" t="s">
        <v>7213</v>
      </c>
      <c r="I244" s="49">
        <v>45505</v>
      </c>
      <c r="J244">
        <v>30</v>
      </c>
      <c r="K244" t="s">
        <v>7187</v>
      </c>
      <c r="L244" t="b">
        <f>FALSE()</f>
        <v>0</v>
      </c>
      <c r="M244">
        <v>35</v>
      </c>
    </row>
    <row r="245" spans="1:13" ht="15" customHeight="1" x14ac:dyDescent="0.2">
      <c r="A245" s="49">
        <v>45535</v>
      </c>
      <c r="B245">
        <v>2024</v>
      </c>
      <c r="C245" t="s">
        <v>7206</v>
      </c>
      <c r="D245" t="s">
        <v>7207</v>
      </c>
      <c r="E245">
        <v>8</v>
      </c>
      <c r="F245" t="s">
        <v>7211</v>
      </c>
      <c r="G245" t="s">
        <v>7212</v>
      </c>
      <c r="H245" t="s">
        <v>7213</v>
      </c>
      <c r="I245" s="49">
        <v>45505</v>
      </c>
      <c r="J245">
        <v>31</v>
      </c>
      <c r="K245" t="s">
        <v>7188</v>
      </c>
      <c r="L245" t="b">
        <f>TRUE()</f>
        <v>1</v>
      </c>
      <c r="M245">
        <v>35</v>
      </c>
    </row>
    <row r="246" spans="1:13" ht="15" customHeight="1" x14ac:dyDescent="0.2">
      <c r="A246" s="49">
        <v>45536</v>
      </c>
      <c r="B246">
        <v>2024</v>
      </c>
      <c r="C246" t="s">
        <v>7206</v>
      </c>
      <c r="D246" t="s">
        <v>7207</v>
      </c>
      <c r="E246">
        <v>9</v>
      </c>
      <c r="F246" t="s">
        <v>7214</v>
      </c>
      <c r="G246" t="s">
        <v>7215</v>
      </c>
      <c r="H246" t="s">
        <v>7216</v>
      </c>
      <c r="I246" s="49">
        <v>45536</v>
      </c>
      <c r="J246">
        <v>1</v>
      </c>
      <c r="K246" t="s">
        <v>7189</v>
      </c>
      <c r="L246" t="b">
        <f>TRUE()</f>
        <v>1</v>
      </c>
      <c r="M246">
        <v>35</v>
      </c>
    </row>
    <row r="247" spans="1:13" ht="15" customHeight="1" x14ac:dyDescent="0.2">
      <c r="A247" s="49">
        <v>45537</v>
      </c>
      <c r="B247">
        <v>2024</v>
      </c>
      <c r="C247" t="s">
        <v>7206</v>
      </c>
      <c r="D247" t="s">
        <v>7207</v>
      </c>
      <c r="E247">
        <v>9</v>
      </c>
      <c r="F247" t="s">
        <v>7214</v>
      </c>
      <c r="G247" t="s">
        <v>7215</v>
      </c>
      <c r="H247" t="s">
        <v>7216</v>
      </c>
      <c r="I247" s="49">
        <v>45536</v>
      </c>
      <c r="J247">
        <v>2</v>
      </c>
      <c r="K247" t="s">
        <v>7183</v>
      </c>
      <c r="L247" t="b">
        <f>FALSE()</f>
        <v>0</v>
      </c>
      <c r="M247">
        <v>36</v>
      </c>
    </row>
    <row r="248" spans="1:13" ht="15" customHeight="1" x14ac:dyDescent="0.2">
      <c r="A248" s="49">
        <v>45538</v>
      </c>
      <c r="B248">
        <v>2024</v>
      </c>
      <c r="C248" t="s">
        <v>7206</v>
      </c>
      <c r="D248" t="s">
        <v>7207</v>
      </c>
      <c r="E248">
        <v>9</v>
      </c>
      <c r="F248" t="s">
        <v>7214</v>
      </c>
      <c r="G248" t="s">
        <v>7215</v>
      </c>
      <c r="H248" t="s">
        <v>7216</v>
      </c>
      <c r="I248" s="49">
        <v>45536</v>
      </c>
      <c r="J248">
        <v>3</v>
      </c>
      <c r="K248" t="s">
        <v>7184</v>
      </c>
      <c r="L248" t="b">
        <f>FALSE()</f>
        <v>0</v>
      </c>
      <c r="M248">
        <v>36</v>
      </c>
    </row>
    <row r="249" spans="1:13" ht="15" customHeight="1" x14ac:dyDescent="0.2">
      <c r="A249" s="49">
        <v>45539</v>
      </c>
      <c r="B249">
        <v>2024</v>
      </c>
      <c r="C249" t="s">
        <v>7206</v>
      </c>
      <c r="D249" t="s">
        <v>7207</v>
      </c>
      <c r="E249">
        <v>9</v>
      </c>
      <c r="F249" t="s">
        <v>7214</v>
      </c>
      <c r="G249" t="s">
        <v>7215</v>
      </c>
      <c r="H249" t="s">
        <v>7216</v>
      </c>
      <c r="I249" s="49">
        <v>45536</v>
      </c>
      <c r="J249">
        <v>4</v>
      </c>
      <c r="K249" t="s">
        <v>7185</v>
      </c>
      <c r="L249" t="b">
        <f>FALSE()</f>
        <v>0</v>
      </c>
      <c r="M249">
        <v>36</v>
      </c>
    </row>
    <row r="250" spans="1:13" ht="15" customHeight="1" x14ac:dyDescent="0.2">
      <c r="A250" s="49">
        <v>45540</v>
      </c>
      <c r="B250">
        <v>2024</v>
      </c>
      <c r="C250" t="s">
        <v>7206</v>
      </c>
      <c r="D250" t="s">
        <v>7207</v>
      </c>
      <c r="E250">
        <v>9</v>
      </c>
      <c r="F250" t="s">
        <v>7214</v>
      </c>
      <c r="G250" t="s">
        <v>7215</v>
      </c>
      <c r="H250" t="s">
        <v>7216</v>
      </c>
      <c r="I250" s="49">
        <v>45536</v>
      </c>
      <c r="J250">
        <v>5</v>
      </c>
      <c r="K250" t="s">
        <v>7186</v>
      </c>
      <c r="L250" t="b">
        <f>FALSE()</f>
        <v>0</v>
      </c>
      <c r="M250">
        <v>36</v>
      </c>
    </row>
    <row r="251" spans="1:13" ht="15" customHeight="1" x14ac:dyDescent="0.2">
      <c r="A251" s="49">
        <v>45541</v>
      </c>
      <c r="B251">
        <v>2024</v>
      </c>
      <c r="C251" t="s">
        <v>7206</v>
      </c>
      <c r="D251" t="s">
        <v>7207</v>
      </c>
      <c r="E251">
        <v>9</v>
      </c>
      <c r="F251" t="s">
        <v>7214</v>
      </c>
      <c r="G251" t="s">
        <v>7215</v>
      </c>
      <c r="H251" t="s">
        <v>7216</v>
      </c>
      <c r="I251" s="49">
        <v>45536</v>
      </c>
      <c r="J251">
        <v>6</v>
      </c>
      <c r="K251" t="s">
        <v>7187</v>
      </c>
      <c r="L251" t="b">
        <f>FALSE()</f>
        <v>0</v>
      </c>
      <c r="M251">
        <v>36</v>
      </c>
    </row>
    <row r="252" spans="1:13" ht="15" customHeight="1" x14ac:dyDescent="0.2">
      <c r="A252" s="49">
        <v>45542</v>
      </c>
      <c r="B252">
        <v>2024</v>
      </c>
      <c r="C252" t="s">
        <v>7206</v>
      </c>
      <c r="D252" t="s">
        <v>7207</v>
      </c>
      <c r="E252">
        <v>9</v>
      </c>
      <c r="F252" t="s">
        <v>7214</v>
      </c>
      <c r="G252" t="s">
        <v>7215</v>
      </c>
      <c r="H252" t="s">
        <v>7216</v>
      </c>
      <c r="I252" s="49">
        <v>45536</v>
      </c>
      <c r="J252">
        <v>7</v>
      </c>
      <c r="K252" t="s">
        <v>7188</v>
      </c>
      <c r="L252" t="b">
        <f>TRUE()</f>
        <v>1</v>
      </c>
      <c r="M252">
        <v>36</v>
      </c>
    </row>
    <row r="253" spans="1:13" ht="15" customHeight="1" x14ac:dyDescent="0.2">
      <c r="A253" s="49">
        <v>45543</v>
      </c>
      <c r="B253">
        <v>2024</v>
      </c>
      <c r="C253" t="s">
        <v>7206</v>
      </c>
      <c r="D253" t="s">
        <v>7207</v>
      </c>
      <c r="E253">
        <v>9</v>
      </c>
      <c r="F253" t="s">
        <v>7214</v>
      </c>
      <c r="G253" t="s">
        <v>7215</v>
      </c>
      <c r="H253" t="s">
        <v>7216</v>
      </c>
      <c r="I253" s="49">
        <v>45536</v>
      </c>
      <c r="J253">
        <v>8</v>
      </c>
      <c r="K253" t="s">
        <v>7189</v>
      </c>
      <c r="L253" t="b">
        <f>TRUE()</f>
        <v>1</v>
      </c>
      <c r="M253">
        <v>36</v>
      </c>
    </row>
    <row r="254" spans="1:13" ht="15" customHeight="1" x14ac:dyDescent="0.2">
      <c r="A254" s="49">
        <v>45544</v>
      </c>
      <c r="B254">
        <v>2024</v>
      </c>
      <c r="C254" t="s">
        <v>7206</v>
      </c>
      <c r="D254" t="s">
        <v>7207</v>
      </c>
      <c r="E254">
        <v>9</v>
      </c>
      <c r="F254" t="s">
        <v>7214</v>
      </c>
      <c r="G254" t="s">
        <v>7215</v>
      </c>
      <c r="H254" t="s">
        <v>7216</v>
      </c>
      <c r="I254" s="49">
        <v>45536</v>
      </c>
      <c r="J254">
        <v>9</v>
      </c>
      <c r="K254" t="s">
        <v>7183</v>
      </c>
      <c r="L254" t="b">
        <f>FALSE()</f>
        <v>0</v>
      </c>
      <c r="M254">
        <v>37</v>
      </c>
    </row>
    <row r="255" spans="1:13" ht="15" customHeight="1" x14ac:dyDescent="0.2">
      <c r="A255" s="49">
        <v>45545</v>
      </c>
      <c r="B255">
        <v>2024</v>
      </c>
      <c r="C255" t="s">
        <v>7206</v>
      </c>
      <c r="D255" t="s">
        <v>7207</v>
      </c>
      <c r="E255">
        <v>9</v>
      </c>
      <c r="F255" t="s">
        <v>7214</v>
      </c>
      <c r="G255" t="s">
        <v>7215</v>
      </c>
      <c r="H255" t="s">
        <v>7216</v>
      </c>
      <c r="I255" s="49">
        <v>45536</v>
      </c>
      <c r="J255">
        <v>10</v>
      </c>
      <c r="K255" t="s">
        <v>7184</v>
      </c>
      <c r="L255" t="b">
        <f>FALSE()</f>
        <v>0</v>
      </c>
      <c r="M255">
        <v>37</v>
      </c>
    </row>
    <row r="256" spans="1:13" ht="15" customHeight="1" x14ac:dyDescent="0.2">
      <c r="A256" s="49">
        <v>45546</v>
      </c>
      <c r="B256">
        <v>2024</v>
      </c>
      <c r="C256" t="s">
        <v>7206</v>
      </c>
      <c r="D256" t="s">
        <v>7207</v>
      </c>
      <c r="E256">
        <v>9</v>
      </c>
      <c r="F256" t="s">
        <v>7214</v>
      </c>
      <c r="G256" t="s">
        <v>7215</v>
      </c>
      <c r="H256" t="s">
        <v>7216</v>
      </c>
      <c r="I256" s="49">
        <v>45536</v>
      </c>
      <c r="J256">
        <v>11</v>
      </c>
      <c r="K256" t="s">
        <v>7185</v>
      </c>
      <c r="L256" t="b">
        <f>FALSE()</f>
        <v>0</v>
      </c>
      <c r="M256">
        <v>37</v>
      </c>
    </row>
    <row r="257" spans="1:13" ht="15" customHeight="1" x14ac:dyDescent="0.2">
      <c r="A257" s="49">
        <v>45547</v>
      </c>
      <c r="B257">
        <v>2024</v>
      </c>
      <c r="C257" t="s">
        <v>7206</v>
      </c>
      <c r="D257" t="s">
        <v>7207</v>
      </c>
      <c r="E257">
        <v>9</v>
      </c>
      <c r="F257" t="s">
        <v>7214</v>
      </c>
      <c r="G257" t="s">
        <v>7215</v>
      </c>
      <c r="H257" t="s">
        <v>7216</v>
      </c>
      <c r="I257" s="49">
        <v>45536</v>
      </c>
      <c r="J257">
        <v>12</v>
      </c>
      <c r="K257" t="s">
        <v>7186</v>
      </c>
      <c r="L257" t="b">
        <f>FALSE()</f>
        <v>0</v>
      </c>
      <c r="M257">
        <v>37</v>
      </c>
    </row>
    <row r="258" spans="1:13" ht="15" customHeight="1" x14ac:dyDescent="0.2">
      <c r="A258" s="49">
        <v>45548</v>
      </c>
      <c r="B258">
        <v>2024</v>
      </c>
      <c r="C258" t="s">
        <v>7206</v>
      </c>
      <c r="D258" t="s">
        <v>7207</v>
      </c>
      <c r="E258">
        <v>9</v>
      </c>
      <c r="F258" t="s">
        <v>7214</v>
      </c>
      <c r="G258" t="s">
        <v>7215</v>
      </c>
      <c r="H258" t="s">
        <v>7216</v>
      </c>
      <c r="I258" s="49">
        <v>45536</v>
      </c>
      <c r="J258">
        <v>13</v>
      </c>
      <c r="K258" t="s">
        <v>7187</v>
      </c>
      <c r="L258" t="b">
        <f>FALSE()</f>
        <v>0</v>
      </c>
      <c r="M258">
        <v>37</v>
      </c>
    </row>
    <row r="259" spans="1:13" ht="15" customHeight="1" x14ac:dyDescent="0.2">
      <c r="A259" s="49">
        <v>45549</v>
      </c>
      <c r="B259">
        <v>2024</v>
      </c>
      <c r="C259" t="s">
        <v>7206</v>
      </c>
      <c r="D259" t="s">
        <v>7207</v>
      </c>
      <c r="E259">
        <v>9</v>
      </c>
      <c r="F259" t="s">
        <v>7214</v>
      </c>
      <c r="G259" t="s">
        <v>7215</v>
      </c>
      <c r="H259" t="s">
        <v>7216</v>
      </c>
      <c r="I259" s="49">
        <v>45536</v>
      </c>
      <c r="J259">
        <v>14</v>
      </c>
      <c r="K259" t="s">
        <v>7188</v>
      </c>
      <c r="L259" t="b">
        <f>TRUE()</f>
        <v>1</v>
      </c>
      <c r="M259">
        <v>37</v>
      </c>
    </row>
    <row r="260" spans="1:13" ht="15" customHeight="1" x14ac:dyDescent="0.2">
      <c r="A260" s="49">
        <v>45550</v>
      </c>
      <c r="B260">
        <v>2024</v>
      </c>
      <c r="C260" t="s">
        <v>7206</v>
      </c>
      <c r="D260" t="s">
        <v>7207</v>
      </c>
      <c r="E260">
        <v>9</v>
      </c>
      <c r="F260" t="s">
        <v>7214</v>
      </c>
      <c r="G260" t="s">
        <v>7215</v>
      </c>
      <c r="H260" t="s">
        <v>7216</v>
      </c>
      <c r="I260" s="49">
        <v>45536</v>
      </c>
      <c r="J260">
        <v>15</v>
      </c>
      <c r="K260" t="s">
        <v>7189</v>
      </c>
      <c r="L260" t="b">
        <f>TRUE()</f>
        <v>1</v>
      </c>
      <c r="M260">
        <v>37</v>
      </c>
    </row>
    <row r="261" spans="1:13" ht="15" customHeight="1" x14ac:dyDescent="0.2">
      <c r="A261" s="49">
        <v>45551</v>
      </c>
      <c r="B261">
        <v>2024</v>
      </c>
      <c r="C261" t="s">
        <v>7206</v>
      </c>
      <c r="D261" t="s">
        <v>7207</v>
      </c>
      <c r="E261">
        <v>9</v>
      </c>
      <c r="F261" t="s">
        <v>7214</v>
      </c>
      <c r="G261" t="s">
        <v>7215</v>
      </c>
      <c r="H261" t="s">
        <v>7216</v>
      </c>
      <c r="I261" s="49">
        <v>45536</v>
      </c>
      <c r="J261">
        <v>16</v>
      </c>
      <c r="K261" t="s">
        <v>7183</v>
      </c>
      <c r="L261" t="b">
        <f>FALSE()</f>
        <v>0</v>
      </c>
      <c r="M261">
        <v>38</v>
      </c>
    </row>
    <row r="262" spans="1:13" ht="15" customHeight="1" x14ac:dyDescent="0.2">
      <c r="A262" s="49">
        <v>45552</v>
      </c>
      <c r="B262">
        <v>2024</v>
      </c>
      <c r="C262" t="s">
        <v>7206</v>
      </c>
      <c r="D262" t="s">
        <v>7207</v>
      </c>
      <c r="E262">
        <v>9</v>
      </c>
      <c r="F262" t="s">
        <v>7214</v>
      </c>
      <c r="G262" t="s">
        <v>7215</v>
      </c>
      <c r="H262" t="s">
        <v>7216</v>
      </c>
      <c r="I262" s="49">
        <v>45536</v>
      </c>
      <c r="J262">
        <v>17</v>
      </c>
      <c r="K262" t="s">
        <v>7184</v>
      </c>
      <c r="L262" t="b">
        <f>FALSE()</f>
        <v>0</v>
      </c>
      <c r="M262">
        <v>38</v>
      </c>
    </row>
    <row r="263" spans="1:13" ht="15" customHeight="1" x14ac:dyDescent="0.2">
      <c r="A263" s="49">
        <v>45553</v>
      </c>
      <c r="B263">
        <v>2024</v>
      </c>
      <c r="C263" t="s">
        <v>7206</v>
      </c>
      <c r="D263" t="s">
        <v>7207</v>
      </c>
      <c r="E263">
        <v>9</v>
      </c>
      <c r="F263" t="s">
        <v>7214</v>
      </c>
      <c r="G263" t="s">
        <v>7215</v>
      </c>
      <c r="H263" t="s">
        <v>7216</v>
      </c>
      <c r="I263" s="49">
        <v>45536</v>
      </c>
      <c r="J263">
        <v>18</v>
      </c>
      <c r="K263" t="s">
        <v>7185</v>
      </c>
      <c r="L263" t="b">
        <f>FALSE()</f>
        <v>0</v>
      </c>
      <c r="M263">
        <v>38</v>
      </c>
    </row>
    <row r="264" spans="1:13" ht="15" customHeight="1" x14ac:dyDescent="0.2">
      <c r="A264" s="49">
        <v>45554</v>
      </c>
      <c r="B264">
        <v>2024</v>
      </c>
      <c r="C264" t="s">
        <v>7206</v>
      </c>
      <c r="D264" t="s">
        <v>7207</v>
      </c>
      <c r="E264">
        <v>9</v>
      </c>
      <c r="F264" t="s">
        <v>7214</v>
      </c>
      <c r="G264" t="s">
        <v>7215</v>
      </c>
      <c r="H264" t="s">
        <v>7216</v>
      </c>
      <c r="I264" s="49">
        <v>45536</v>
      </c>
      <c r="J264">
        <v>19</v>
      </c>
      <c r="K264" t="s">
        <v>7186</v>
      </c>
      <c r="L264" t="b">
        <f>FALSE()</f>
        <v>0</v>
      </c>
      <c r="M264">
        <v>38</v>
      </c>
    </row>
    <row r="265" spans="1:13" ht="15" customHeight="1" x14ac:dyDescent="0.2">
      <c r="A265" s="49">
        <v>45555</v>
      </c>
      <c r="B265">
        <v>2024</v>
      </c>
      <c r="C265" t="s">
        <v>7206</v>
      </c>
      <c r="D265" t="s">
        <v>7207</v>
      </c>
      <c r="E265">
        <v>9</v>
      </c>
      <c r="F265" t="s">
        <v>7214</v>
      </c>
      <c r="G265" t="s">
        <v>7215</v>
      </c>
      <c r="H265" t="s">
        <v>7216</v>
      </c>
      <c r="I265" s="49">
        <v>45536</v>
      </c>
      <c r="J265">
        <v>20</v>
      </c>
      <c r="K265" t="s">
        <v>7187</v>
      </c>
      <c r="L265" t="b">
        <f>FALSE()</f>
        <v>0</v>
      </c>
      <c r="M265">
        <v>38</v>
      </c>
    </row>
    <row r="266" spans="1:13" ht="15" customHeight="1" x14ac:dyDescent="0.2">
      <c r="A266" s="49">
        <v>45556</v>
      </c>
      <c r="B266">
        <v>2024</v>
      </c>
      <c r="C266" t="s">
        <v>7206</v>
      </c>
      <c r="D266" t="s">
        <v>7207</v>
      </c>
      <c r="E266">
        <v>9</v>
      </c>
      <c r="F266" t="s">
        <v>7214</v>
      </c>
      <c r="G266" t="s">
        <v>7215</v>
      </c>
      <c r="H266" t="s">
        <v>7216</v>
      </c>
      <c r="I266" s="49">
        <v>45536</v>
      </c>
      <c r="J266">
        <v>21</v>
      </c>
      <c r="K266" t="s">
        <v>7188</v>
      </c>
      <c r="L266" t="b">
        <f>TRUE()</f>
        <v>1</v>
      </c>
      <c r="M266">
        <v>38</v>
      </c>
    </row>
    <row r="267" spans="1:13" ht="15" customHeight="1" x14ac:dyDescent="0.2">
      <c r="A267" s="49">
        <v>45557</v>
      </c>
      <c r="B267">
        <v>2024</v>
      </c>
      <c r="C267" t="s">
        <v>7206</v>
      </c>
      <c r="D267" t="s">
        <v>7207</v>
      </c>
      <c r="E267">
        <v>9</v>
      </c>
      <c r="F267" t="s">
        <v>7214</v>
      </c>
      <c r="G267" t="s">
        <v>7215</v>
      </c>
      <c r="H267" t="s">
        <v>7216</v>
      </c>
      <c r="I267" s="49">
        <v>45536</v>
      </c>
      <c r="J267">
        <v>22</v>
      </c>
      <c r="K267" t="s">
        <v>7189</v>
      </c>
      <c r="L267" t="b">
        <f>TRUE()</f>
        <v>1</v>
      </c>
      <c r="M267">
        <v>38</v>
      </c>
    </row>
    <row r="268" spans="1:13" ht="15" customHeight="1" x14ac:dyDescent="0.2">
      <c r="A268" s="49">
        <v>45558</v>
      </c>
      <c r="B268">
        <v>2024</v>
      </c>
      <c r="C268" t="s">
        <v>7206</v>
      </c>
      <c r="D268" t="s">
        <v>7207</v>
      </c>
      <c r="E268">
        <v>9</v>
      </c>
      <c r="F268" t="s">
        <v>7214</v>
      </c>
      <c r="G268" t="s">
        <v>7215</v>
      </c>
      <c r="H268" t="s">
        <v>7216</v>
      </c>
      <c r="I268" s="49">
        <v>45536</v>
      </c>
      <c r="J268">
        <v>23</v>
      </c>
      <c r="K268" t="s">
        <v>7183</v>
      </c>
      <c r="L268" t="b">
        <f>FALSE()</f>
        <v>0</v>
      </c>
      <c r="M268">
        <v>39</v>
      </c>
    </row>
    <row r="269" spans="1:13" ht="15" customHeight="1" x14ac:dyDescent="0.2">
      <c r="A269" s="49">
        <v>45559</v>
      </c>
      <c r="B269">
        <v>2024</v>
      </c>
      <c r="C269" t="s">
        <v>7206</v>
      </c>
      <c r="D269" t="s">
        <v>7207</v>
      </c>
      <c r="E269">
        <v>9</v>
      </c>
      <c r="F269" t="s">
        <v>7214</v>
      </c>
      <c r="G269" t="s">
        <v>7215</v>
      </c>
      <c r="H269" t="s">
        <v>7216</v>
      </c>
      <c r="I269" s="49">
        <v>45536</v>
      </c>
      <c r="J269">
        <v>24</v>
      </c>
      <c r="K269" t="s">
        <v>7184</v>
      </c>
      <c r="L269" t="b">
        <f>FALSE()</f>
        <v>0</v>
      </c>
      <c r="M269">
        <v>39</v>
      </c>
    </row>
    <row r="270" spans="1:13" ht="15" customHeight="1" x14ac:dyDescent="0.2">
      <c r="A270" s="49">
        <v>45560</v>
      </c>
      <c r="B270">
        <v>2024</v>
      </c>
      <c r="C270" t="s">
        <v>7206</v>
      </c>
      <c r="D270" t="s">
        <v>7207</v>
      </c>
      <c r="E270">
        <v>9</v>
      </c>
      <c r="F270" t="s">
        <v>7214</v>
      </c>
      <c r="G270" t="s">
        <v>7215</v>
      </c>
      <c r="H270" t="s">
        <v>7216</v>
      </c>
      <c r="I270" s="49">
        <v>45536</v>
      </c>
      <c r="J270">
        <v>25</v>
      </c>
      <c r="K270" t="s">
        <v>7185</v>
      </c>
      <c r="L270" t="b">
        <f>FALSE()</f>
        <v>0</v>
      </c>
      <c r="M270">
        <v>39</v>
      </c>
    </row>
    <row r="271" spans="1:13" ht="15" customHeight="1" x14ac:dyDescent="0.2">
      <c r="A271" s="49">
        <v>45561</v>
      </c>
      <c r="B271">
        <v>2024</v>
      </c>
      <c r="C271" t="s">
        <v>7206</v>
      </c>
      <c r="D271" t="s">
        <v>7207</v>
      </c>
      <c r="E271">
        <v>9</v>
      </c>
      <c r="F271" t="s">
        <v>7214</v>
      </c>
      <c r="G271" t="s">
        <v>7215</v>
      </c>
      <c r="H271" t="s">
        <v>7216</v>
      </c>
      <c r="I271" s="49">
        <v>45536</v>
      </c>
      <c r="J271">
        <v>26</v>
      </c>
      <c r="K271" t="s">
        <v>7186</v>
      </c>
      <c r="L271" t="b">
        <f>FALSE()</f>
        <v>0</v>
      </c>
      <c r="M271">
        <v>39</v>
      </c>
    </row>
    <row r="272" spans="1:13" ht="15" customHeight="1" x14ac:dyDescent="0.2">
      <c r="A272" s="49">
        <v>45562</v>
      </c>
      <c r="B272">
        <v>2024</v>
      </c>
      <c r="C272" t="s">
        <v>7206</v>
      </c>
      <c r="D272" t="s">
        <v>7207</v>
      </c>
      <c r="E272">
        <v>9</v>
      </c>
      <c r="F272" t="s">
        <v>7214</v>
      </c>
      <c r="G272" t="s">
        <v>7215</v>
      </c>
      <c r="H272" t="s">
        <v>7216</v>
      </c>
      <c r="I272" s="49">
        <v>45536</v>
      </c>
      <c r="J272">
        <v>27</v>
      </c>
      <c r="K272" t="s">
        <v>7187</v>
      </c>
      <c r="L272" t="b">
        <f>FALSE()</f>
        <v>0</v>
      </c>
      <c r="M272">
        <v>39</v>
      </c>
    </row>
    <row r="273" spans="1:13" ht="15" customHeight="1" x14ac:dyDescent="0.2">
      <c r="A273" s="49">
        <v>45563</v>
      </c>
      <c r="B273">
        <v>2024</v>
      </c>
      <c r="C273" t="s">
        <v>7206</v>
      </c>
      <c r="D273" t="s">
        <v>7207</v>
      </c>
      <c r="E273">
        <v>9</v>
      </c>
      <c r="F273" t="s">
        <v>7214</v>
      </c>
      <c r="G273" t="s">
        <v>7215</v>
      </c>
      <c r="H273" t="s">
        <v>7216</v>
      </c>
      <c r="I273" s="49">
        <v>45536</v>
      </c>
      <c r="J273">
        <v>28</v>
      </c>
      <c r="K273" t="s">
        <v>7188</v>
      </c>
      <c r="L273" t="b">
        <f>TRUE()</f>
        <v>1</v>
      </c>
      <c r="M273">
        <v>39</v>
      </c>
    </row>
    <row r="274" spans="1:13" ht="15" customHeight="1" x14ac:dyDescent="0.2">
      <c r="A274" s="49">
        <v>45564</v>
      </c>
      <c r="B274">
        <v>2024</v>
      </c>
      <c r="C274" t="s">
        <v>7206</v>
      </c>
      <c r="D274" t="s">
        <v>7207</v>
      </c>
      <c r="E274">
        <v>9</v>
      </c>
      <c r="F274" t="s">
        <v>7214</v>
      </c>
      <c r="G274" t="s">
        <v>7215</v>
      </c>
      <c r="H274" t="s">
        <v>7216</v>
      </c>
      <c r="I274" s="49">
        <v>45536</v>
      </c>
      <c r="J274">
        <v>29</v>
      </c>
      <c r="K274" t="s">
        <v>7189</v>
      </c>
      <c r="L274" t="b">
        <f>TRUE()</f>
        <v>1</v>
      </c>
      <c r="M274">
        <v>39</v>
      </c>
    </row>
    <row r="275" spans="1:13" ht="15" customHeight="1" x14ac:dyDescent="0.2">
      <c r="A275" s="49">
        <v>45565</v>
      </c>
      <c r="B275">
        <v>2024</v>
      </c>
      <c r="C275" t="s">
        <v>7206</v>
      </c>
      <c r="D275" t="s">
        <v>7207</v>
      </c>
      <c r="E275">
        <v>9</v>
      </c>
      <c r="F275" t="s">
        <v>7214</v>
      </c>
      <c r="G275" t="s">
        <v>7215</v>
      </c>
      <c r="H275" t="s">
        <v>7216</v>
      </c>
      <c r="I275" s="49">
        <v>45536</v>
      </c>
      <c r="J275">
        <v>30</v>
      </c>
      <c r="K275" t="s">
        <v>7183</v>
      </c>
      <c r="L275" t="b">
        <f>FALSE()</f>
        <v>0</v>
      </c>
      <c r="M275">
        <v>40</v>
      </c>
    </row>
    <row r="276" spans="1:13" ht="15" customHeight="1" x14ac:dyDescent="0.2">
      <c r="A276" s="49">
        <v>45566</v>
      </c>
      <c r="B276">
        <v>2024</v>
      </c>
      <c r="C276" t="s">
        <v>7217</v>
      </c>
      <c r="D276" t="s">
        <v>7218</v>
      </c>
      <c r="E276">
        <v>10</v>
      </c>
      <c r="F276" t="s">
        <v>7219</v>
      </c>
      <c r="G276" t="s">
        <v>7220</v>
      </c>
      <c r="H276" t="s">
        <v>7221</v>
      </c>
      <c r="I276" s="49">
        <v>45566</v>
      </c>
      <c r="J276">
        <v>1</v>
      </c>
      <c r="K276" t="s">
        <v>7184</v>
      </c>
      <c r="L276" t="b">
        <f>FALSE()</f>
        <v>0</v>
      </c>
      <c r="M276">
        <v>40</v>
      </c>
    </row>
    <row r="277" spans="1:13" ht="15" customHeight="1" x14ac:dyDescent="0.2">
      <c r="A277" s="49">
        <v>45567</v>
      </c>
      <c r="B277">
        <v>2024</v>
      </c>
      <c r="C277" t="s">
        <v>7217</v>
      </c>
      <c r="D277" t="s">
        <v>7218</v>
      </c>
      <c r="E277">
        <v>10</v>
      </c>
      <c r="F277" t="s">
        <v>7219</v>
      </c>
      <c r="G277" t="s">
        <v>7220</v>
      </c>
      <c r="H277" t="s">
        <v>7221</v>
      </c>
      <c r="I277" s="49">
        <v>45566</v>
      </c>
      <c r="J277">
        <v>2</v>
      </c>
      <c r="K277" t="s">
        <v>7185</v>
      </c>
      <c r="L277" t="b">
        <f>FALSE()</f>
        <v>0</v>
      </c>
      <c r="M277">
        <v>40</v>
      </c>
    </row>
    <row r="278" spans="1:13" ht="15" customHeight="1" x14ac:dyDescent="0.2">
      <c r="A278" s="49">
        <v>45568</v>
      </c>
      <c r="B278">
        <v>2024</v>
      </c>
      <c r="C278" t="s">
        <v>7217</v>
      </c>
      <c r="D278" t="s">
        <v>7218</v>
      </c>
      <c r="E278">
        <v>10</v>
      </c>
      <c r="F278" t="s">
        <v>7219</v>
      </c>
      <c r="G278" t="s">
        <v>7220</v>
      </c>
      <c r="H278" t="s">
        <v>7221</v>
      </c>
      <c r="I278" s="49">
        <v>45566</v>
      </c>
      <c r="J278">
        <v>3</v>
      </c>
      <c r="K278" t="s">
        <v>7186</v>
      </c>
      <c r="L278" t="b">
        <f>FALSE()</f>
        <v>0</v>
      </c>
      <c r="M278">
        <v>40</v>
      </c>
    </row>
    <row r="279" spans="1:13" ht="15" customHeight="1" x14ac:dyDescent="0.2">
      <c r="A279" s="49">
        <v>45569</v>
      </c>
      <c r="B279">
        <v>2024</v>
      </c>
      <c r="C279" t="s">
        <v>7217</v>
      </c>
      <c r="D279" t="s">
        <v>7218</v>
      </c>
      <c r="E279">
        <v>10</v>
      </c>
      <c r="F279" t="s">
        <v>7219</v>
      </c>
      <c r="G279" t="s">
        <v>7220</v>
      </c>
      <c r="H279" t="s">
        <v>7221</v>
      </c>
      <c r="I279" s="49">
        <v>45566</v>
      </c>
      <c r="J279">
        <v>4</v>
      </c>
      <c r="K279" t="s">
        <v>7187</v>
      </c>
      <c r="L279" t="b">
        <f>FALSE()</f>
        <v>0</v>
      </c>
      <c r="M279">
        <v>40</v>
      </c>
    </row>
    <row r="280" spans="1:13" ht="15" customHeight="1" x14ac:dyDescent="0.2">
      <c r="A280" s="49">
        <v>45570</v>
      </c>
      <c r="B280">
        <v>2024</v>
      </c>
      <c r="C280" t="s">
        <v>7217</v>
      </c>
      <c r="D280" t="s">
        <v>7218</v>
      </c>
      <c r="E280">
        <v>10</v>
      </c>
      <c r="F280" t="s">
        <v>7219</v>
      </c>
      <c r="G280" t="s">
        <v>7220</v>
      </c>
      <c r="H280" t="s">
        <v>7221</v>
      </c>
      <c r="I280" s="49">
        <v>45566</v>
      </c>
      <c r="J280">
        <v>5</v>
      </c>
      <c r="K280" t="s">
        <v>7188</v>
      </c>
      <c r="L280" t="b">
        <f>TRUE()</f>
        <v>1</v>
      </c>
      <c r="M280">
        <v>40</v>
      </c>
    </row>
    <row r="281" spans="1:13" ht="15" customHeight="1" x14ac:dyDescent="0.2">
      <c r="A281" s="49">
        <v>45571</v>
      </c>
      <c r="B281">
        <v>2024</v>
      </c>
      <c r="C281" t="s">
        <v>7217</v>
      </c>
      <c r="D281" t="s">
        <v>7218</v>
      </c>
      <c r="E281">
        <v>10</v>
      </c>
      <c r="F281" t="s">
        <v>7219</v>
      </c>
      <c r="G281" t="s">
        <v>7220</v>
      </c>
      <c r="H281" t="s">
        <v>7221</v>
      </c>
      <c r="I281" s="49">
        <v>45566</v>
      </c>
      <c r="J281">
        <v>6</v>
      </c>
      <c r="K281" t="s">
        <v>7189</v>
      </c>
      <c r="L281" t="b">
        <f>TRUE()</f>
        <v>1</v>
      </c>
      <c r="M281">
        <v>40</v>
      </c>
    </row>
    <row r="282" spans="1:13" ht="15" customHeight="1" x14ac:dyDescent="0.2">
      <c r="A282" s="49">
        <v>45572</v>
      </c>
      <c r="B282">
        <v>2024</v>
      </c>
      <c r="C282" t="s">
        <v>7217</v>
      </c>
      <c r="D282" t="s">
        <v>7218</v>
      </c>
      <c r="E282">
        <v>10</v>
      </c>
      <c r="F282" t="s">
        <v>7219</v>
      </c>
      <c r="G282" t="s">
        <v>7220</v>
      </c>
      <c r="H282" t="s">
        <v>7221</v>
      </c>
      <c r="I282" s="49">
        <v>45566</v>
      </c>
      <c r="J282">
        <v>7</v>
      </c>
      <c r="K282" t="s">
        <v>7183</v>
      </c>
      <c r="L282" t="b">
        <f>FALSE()</f>
        <v>0</v>
      </c>
      <c r="M282">
        <v>41</v>
      </c>
    </row>
    <row r="283" spans="1:13" ht="15" customHeight="1" x14ac:dyDescent="0.2">
      <c r="A283" s="49">
        <v>45573</v>
      </c>
      <c r="B283">
        <v>2024</v>
      </c>
      <c r="C283" t="s">
        <v>7217</v>
      </c>
      <c r="D283" t="s">
        <v>7218</v>
      </c>
      <c r="E283">
        <v>10</v>
      </c>
      <c r="F283" t="s">
        <v>7219</v>
      </c>
      <c r="G283" t="s">
        <v>7220</v>
      </c>
      <c r="H283" t="s">
        <v>7221</v>
      </c>
      <c r="I283" s="49">
        <v>45566</v>
      </c>
      <c r="J283">
        <v>8</v>
      </c>
      <c r="K283" t="s">
        <v>7184</v>
      </c>
      <c r="L283" t="b">
        <f>FALSE()</f>
        <v>0</v>
      </c>
      <c r="M283">
        <v>41</v>
      </c>
    </row>
    <row r="284" spans="1:13" ht="15" customHeight="1" x14ac:dyDescent="0.2">
      <c r="A284" s="49">
        <v>45574</v>
      </c>
      <c r="B284">
        <v>2024</v>
      </c>
      <c r="C284" t="s">
        <v>7217</v>
      </c>
      <c r="D284" t="s">
        <v>7218</v>
      </c>
      <c r="E284">
        <v>10</v>
      </c>
      <c r="F284" t="s">
        <v>7219</v>
      </c>
      <c r="G284" t="s">
        <v>7220</v>
      </c>
      <c r="H284" t="s">
        <v>7221</v>
      </c>
      <c r="I284" s="49">
        <v>45566</v>
      </c>
      <c r="J284">
        <v>9</v>
      </c>
      <c r="K284" t="s">
        <v>7185</v>
      </c>
      <c r="L284" t="b">
        <f>FALSE()</f>
        <v>0</v>
      </c>
      <c r="M284">
        <v>41</v>
      </c>
    </row>
    <row r="285" spans="1:13" ht="15" customHeight="1" x14ac:dyDescent="0.2">
      <c r="A285" s="49">
        <v>45575</v>
      </c>
      <c r="B285">
        <v>2024</v>
      </c>
      <c r="C285" t="s">
        <v>7217</v>
      </c>
      <c r="D285" t="s">
        <v>7218</v>
      </c>
      <c r="E285">
        <v>10</v>
      </c>
      <c r="F285" t="s">
        <v>7219</v>
      </c>
      <c r="G285" t="s">
        <v>7220</v>
      </c>
      <c r="H285" t="s">
        <v>7221</v>
      </c>
      <c r="I285" s="49">
        <v>45566</v>
      </c>
      <c r="J285">
        <v>10</v>
      </c>
      <c r="K285" t="s">
        <v>7186</v>
      </c>
      <c r="L285" t="b">
        <f>FALSE()</f>
        <v>0</v>
      </c>
      <c r="M285">
        <v>41</v>
      </c>
    </row>
    <row r="286" spans="1:13" ht="15" customHeight="1" x14ac:dyDescent="0.2">
      <c r="A286" s="49">
        <v>45576</v>
      </c>
      <c r="B286">
        <v>2024</v>
      </c>
      <c r="C286" t="s">
        <v>7217</v>
      </c>
      <c r="D286" t="s">
        <v>7218</v>
      </c>
      <c r="E286">
        <v>10</v>
      </c>
      <c r="F286" t="s">
        <v>7219</v>
      </c>
      <c r="G286" t="s">
        <v>7220</v>
      </c>
      <c r="H286" t="s">
        <v>7221</v>
      </c>
      <c r="I286" s="49">
        <v>45566</v>
      </c>
      <c r="J286">
        <v>11</v>
      </c>
      <c r="K286" t="s">
        <v>7187</v>
      </c>
      <c r="L286" t="b">
        <f>FALSE()</f>
        <v>0</v>
      </c>
      <c r="M286">
        <v>41</v>
      </c>
    </row>
    <row r="287" spans="1:13" ht="15" customHeight="1" x14ac:dyDescent="0.2">
      <c r="A287" s="49">
        <v>45577</v>
      </c>
      <c r="B287">
        <v>2024</v>
      </c>
      <c r="C287" t="s">
        <v>7217</v>
      </c>
      <c r="D287" t="s">
        <v>7218</v>
      </c>
      <c r="E287">
        <v>10</v>
      </c>
      <c r="F287" t="s">
        <v>7219</v>
      </c>
      <c r="G287" t="s">
        <v>7220</v>
      </c>
      <c r="H287" t="s">
        <v>7221</v>
      </c>
      <c r="I287" s="49">
        <v>45566</v>
      </c>
      <c r="J287">
        <v>12</v>
      </c>
      <c r="K287" t="s">
        <v>7188</v>
      </c>
      <c r="L287" t="b">
        <f>TRUE()</f>
        <v>1</v>
      </c>
      <c r="M287">
        <v>41</v>
      </c>
    </row>
    <row r="288" spans="1:13" ht="15" customHeight="1" x14ac:dyDescent="0.2">
      <c r="A288" s="49">
        <v>45578</v>
      </c>
      <c r="B288">
        <v>2024</v>
      </c>
      <c r="C288" t="s">
        <v>7217</v>
      </c>
      <c r="D288" t="s">
        <v>7218</v>
      </c>
      <c r="E288">
        <v>10</v>
      </c>
      <c r="F288" t="s">
        <v>7219</v>
      </c>
      <c r="G288" t="s">
        <v>7220</v>
      </c>
      <c r="H288" t="s">
        <v>7221</v>
      </c>
      <c r="I288" s="49">
        <v>45566</v>
      </c>
      <c r="J288">
        <v>13</v>
      </c>
      <c r="K288" t="s">
        <v>7189</v>
      </c>
      <c r="L288" t="b">
        <f>TRUE()</f>
        <v>1</v>
      </c>
      <c r="M288">
        <v>41</v>
      </c>
    </row>
    <row r="289" spans="1:13" ht="15" customHeight="1" x14ac:dyDescent="0.2">
      <c r="A289" s="49">
        <v>45579</v>
      </c>
      <c r="B289">
        <v>2024</v>
      </c>
      <c r="C289" t="s">
        <v>7217</v>
      </c>
      <c r="D289" t="s">
        <v>7218</v>
      </c>
      <c r="E289">
        <v>10</v>
      </c>
      <c r="F289" t="s">
        <v>7219</v>
      </c>
      <c r="G289" t="s">
        <v>7220</v>
      </c>
      <c r="H289" t="s">
        <v>7221</v>
      </c>
      <c r="I289" s="49">
        <v>45566</v>
      </c>
      <c r="J289">
        <v>14</v>
      </c>
      <c r="K289" t="s">
        <v>7183</v>
      </c>
      <c r="L289" t="b">
        <f>FALSE()</f>
        <v>0</v>
      </c>
      <c r="M289">
        <v>42</v>
      </c>
    </row>
    <row r="290" spans="1:13" ht="15" customHeight="1" x14ac:dyDescent="0.2">
      <c r="A290" s="49">
        <v>45580</v>
      </c>
      <c r="B290">
        <v>2024</v>
      </c>
      <c r="C290" t="s">
        <v>7217</v>
      </c>
      <c r="D290" t="s">
        <v>7218</v>
      </c>
      <c r="E290">
        <v>10</v>
      </c>
      <c r="F290" t="s">
        <v>7219</v>
      </c>
      <c r="G290" t="s">
        <v>7220</v>
      </c>
      <c r="H290" t="s">
        <v>7221</v>
      </c>
      <c r="I290" s="49">
        <v>45566</v>
      </c>
      <c r="J290">
        <v>15</v>
      </c>
      <c r="K290" t="s">
        <v>7184</v>
      </c>
      <c r="L290" t="b">
        <f>FALSE()</f>
        <v>0</v>
      </c>
      <c r="M290">
        <v>42</v>
      </c>
    </row>
    <row r="291" spans="1:13" ht="15" customHeight="1" x14ac:dyDescent="0.2">
      <c r="A291" s="49">
        <v>45581</v>
      </c>
      <c r="B291">
        <v>2024</v>
      </c>
      <c r="C291" t="s">
        <v>7217</v>
      </c>
      <c r="D291" t="s">
        <v>7218</v>
      </c>
      <c r="E291">
        <v>10</v>
      </c>
      <c r="F291" t="s">
        <v>7219</v>
      </c>
      <c r="G291" t="s">
        <v>7220</v>
      </c>
      <c r="H291" t="s">
        <v>7221</v>
      </c>
      <c r="I291" s="49">
        <v>45566</v>
      </c>
      <c r="J291">
        <v>16</v>
      </c>
      <c r="K291" t="s">
        <v>7185</v>
      </c>
      <c r="L291" t="b">
        <f>FALSE()</f>
        <v>0</v>
      </c>
      <c r="M291">
        <v>42</v>
      </c>
    </row>
    <row r="292" spans="1:13" ht="15" customHeight="1" x14ac:dyDescent="0.2">
      <c r="A292" s="49">
        <v>45582</v>
      </c>
      <c r="B292">
        <v>2024</v>
      </c>
      <c r="C292" t="s">
        <v>7217</v>
      </c>
      <c r="D292" t="s">
        <v>7218</v>
      </c>
      <c r="E292">
        <v>10</v>
      </c>
      <c r="F292" t="s">
        <v>7219</v>
      </c>
      <c r="G292" t="s">
        <v>7220</v>
      </c>
      <c r="H292" t="s">
        <v>7221</v>
      </c>
      <c r="I292" s="49">
        <v>45566</v>
      </c>
      <c r="J292">
        <v>17</v>
      </c>
      <c r="K292" t="s">
        <v>7186</v>
      </c>
      <c r="L292" t="b">
        <f>FALSE()</f>
        <v>0</v>
      </c>
      <c r="M292">
        <v>42</v>
      </c>
    </row>
    <row r="293" spans="1:13" ht="15" customHeight="1" x14ac:dyDescent="0.2">
      <c r="A293" s="49">
        <v>45583</v>
      </c>
      <c r="B293">
        <v>2024</v>
      </c>
      <c r="C293" t="s">
        <v>7217</v>
      </c>
      <c r="D293" t="s">
        <v>7218</v>
      </c>
      <c r="E293">
        <v>10</v>
      </c>
      <c r="F293" t="s">
        <v>7219</v>
      </c>
      <c r="G293" t="s">
        <v>7220</v>
      </c>
      <c r="H293" t="s">
        <v>7221</v>
      </c>
      <c r="I293" s="49">
        <v>45566</v>
      </c>
      <c r="J293">
        <v>18</v>
      </c>
      <c r="K293" t="s">
        <v>7187</v>
      </c>
      <c r="L293" t="b">
        <f>FALSE()</f>
        <v>0</v>
      </c>
      <c r="M293">
        <v>42</v>
      </c>
    </row>
    <row r="294" spans="1:13" ht="15" customHeight="1" x14ac:dyDescent="0.2">
      <c r="A294" s="49">
        <v>45584</v>
      </c>
      <c r="B294">
        <v>2024</v>
      </c>
      <c r="C294" t="s">
        <v>7217</v>
      </c>
      <c r="D294" t="s">
        <v>7218</v>
      </c>
      <c r="E294">
        <v>10</v>
      </c>
      <c r="F294" t="s">
        <v>7219</v>
      </c>
      <c r="G294" t="s">
        <v>7220</v>
      </c>
      <c r="H294" t="s">
        <v>7221</v>
      </c>
      <c r="I294" s="49">
        <v>45566</v>
      </c>
      <c r="J294">
        <v>19</v>
      </c>
      <c r="K294" t="s">
        <v>7188</v>
      </c>
      <c r="L294" t="b">
        <f>TRUE()</f>
        <v>1</v>
      </c>
      <c r="M294">
        <v>42</v>
      </c>
    </row>
    <row r="295" spans="1:13" ht="15" customHeight="1" x14ac:dyDescent="0.2">
      <c r="A295" s="49">
        <v>45585</v>
      </c>
      <c r="B295">
        <v>2024</v>
      </c>
      <c r="C295" t="s">
        <v>7217</v>
      </c>
      <c r="D295" t="s">
        <v>7218</v>
      </c>
      <c r="E295">
        <v>10</v>
      </c>
      <c r="F295" t="s">
        <v>7219</v>
      </c>
      <c r="G295" t="s">
        <v>7220</v>
      </c>
      <c r="H295" t="s">
        <v>7221</v>
      </c>
      <c r="I295" s="49">
        <v>45566</v>
      </c>
      <c r="J295">
        <v>20</v>
      </c>
      <c r="K295" t="s">
        <v>7189</v>
      </c>
      <c r="L295" t="b">
        <f>TRUE()</f>
        <v>1</v>
      </c>
      <c r="M295">
        <v>42</v>
      </c>
    </row>
    <row r="296" spans="1:13" ht="15" customHeight="1" x14ac:dyDescent="0.2">
      <c r="A296" s="49">
        <v>45586</v>
      </c>
      <c r="B296">
        <v>2024</v>
      </c>
      <c r="C296" t="s">
        <v>7217</v>
      </c>
      <c r="D296" t="s">
        <v>7218</v>
      </c>
      <c r="E296">
        <v>10</v>
      </c>
      <c r="F296" t="s">
        <v>7219</v>
      </c>
      <c r="G296" t="s">
        <v>7220</v>
      </c>
      <c r="H296" t="s">
        <v>7221</v>
      </c>
      <c r="I296" s="49">
        <v>45566</v>
      </c>
      <c r="J296">
        <v>21</v>
      </c>
      <c r="K296" t="s">
        <v>7183</v>
      </c>
      <c r="L296" t="b">
        <f>FALSE()</f>
        <v>0</v>
      </c>
      <c r="M296">
        <v>43</v>
      </c>
    </row>
    <row r="297" spans="1:13" ht="15" customHeight="1" x14ac:dyDescent="0.2">
      <c r="A297" s="49">
        <v>45587</v>
      </c>
      <c r="B297">
        <v>2024</v>
      </c>
      <c r="C297" t="s">
        <v>7217</v>
      </c>
      <c r="D297" t="s">
        <v>7218</v>
      </c>
      <c r="E297">
        <v>10</v>
      </c>
      <c r="F297" t="s">
        <v>7219</v>
      </c>
      <c r="G297" t="s">
        <v>7220</v>
      </c>
      <c r="H297" t="s">
        <v>7221</v>
      </c>
      <c r="I297" s="49">
        <v>45566</v>
      </c>
      <c r="J297">
        <v>22</v>
      </c>
      <c r="K297" t="s">
        <v>7184</v>
      </c>
      <c r="L297" t="b">
        <f>FALSE()</f>
        <v>0</v>
      </c>
      <c r="M297">
        <v>43</v>
      </c>
    </row>
    <row r="298" spans="1:13" ht="15" customHeight="1" x14ac:dyDescent="0.2">
      <c r="A298" s="49">
        <v>45588</v>
      </c>
      <c r="B298">
        <v>2024</v>
      </c>
      <c r="C298" t="s">
        <v>7217</v>
      </c>
      <c r="D298" t="s">
        <v>7218</v>
      </c>
      <c r="E298">
        <v>10</v>
      </c>
      <c r="F298" t="s">
        <v>7219</v>
      </c>
      <c r="G298" t="s">
        <v>7220</v>
      </c>
      <c r="H298" t="s">
        <v>7221</v>
      </c>
      <c r="I298" s="49">
        <v>45566</v>
      </c>
      <c r="J298">
        <v>23</v>
      </c>
      <c r="K298" t="s">
        <v>7185</v>
      </c>
      <c r="L298" t="b">
        <f>FALSE()</f>
        <v>0</v>
      </c>
      <c r="M298">
        <v>43</v>
      </c>
    </row>
    <row r="299" spans="1:13" ht="15" customHeight="1" x14ac:dyDescent="0.2">
      <c r="A299" s="49">
        <v>45589</v>
      </c>
      <c r="B299">
        <v>2024</v>
      </c>
      <c r="C299" t="s">
        <v>7217</v>
      </c>
      <c r="D299" t="s">
        <v>7218</v>
      </c>
      <c r="E299">
        <v>10</v>
      </c>
      <c r="F299" t="s">
        <v>7219</v>
      </c>
      <c r="G299" t="s">
        <v>7220</v>
      </c>
      <c r="H299" t="s">
        <v>7221</v>
      </c>
      <c r="I299" s="49">
        <v>45566</v>
      </c>
      <c r="J299">
        <v>24</v>
      </c>
      <c r="K299" t="s">
        <v>7186</v>
      </c>
      <c r="L299" t="b">
        <f>FALSE()</f>
        <v>0</v>
      </c>
      <c r="M299">
        <v>43</v>
      </c>
    </row>
    <row r="300" spans="1:13" ht="15" customHeight="1" x14ac:dyDescent="0.2">
      <c r="A300" s="49">
        <v>45590</v>
      </c>
      <c r="B300">
        <v>2024</v>
      </c>
      <c r="C300" t="s">
        <v>7217</v>
      </c>
      <c r="D300" t="s">
        <v>7218</v>
      </c>
      <c r="E300">
        <v>10</v>
      </c>
      <c r="F300" t="s">
        <v>7219</v>
      </c>
      <c r="G300" t="s">
        <v>7220</v>
      </c>
      <c r="H300" t="s">
        <v>7221</v>
      </c>
      <c r="I300" s="49">
        <v>45566</v>
      </c>
      <c r="J300">
        <v>25</v>
      </c>
      <c r="K300" t="s">
        <v>7187</v>
      </c>
      <c r="L300" t="b">
        <f>FALSE()</f>
        <v>0</v>
      </c>
      <c r="M300">
        <v>43</v>
      </c>
    </row>
    <row r="301" spans="1:13" ht="15" customHeight="1" x14ac:dyDescent="0.2">
      <c r="A301" s="49">
        <v>45591</v>
      </c>
      <c r="B301">
        <v>2024</v>
      </c>
      <c r="C301" t="s">
        <v>7217</v>
      </c>
      <c r="D301" t="s">
        <v>7218</v>
      </c>
      <c r="E301">
        <v>10</v>
      </c>
      <c r="F301" t="s">
        <v>7219</v>
      </c>
      <c r="G301" t="s">
        <v>7220</v>
      </c>
      <c r="H301" t="s">
        <v>7221</v>
      </c>
      <c r="I301" s="49">
        <v>45566</v>
      </c>
      <c r="J301">
        <v>26</v>
      </c>
      <c r="K301" t="s">
        <v>7188</v>
      </c>
      <c r="L301" t="b">
        <f>TRUE()</f>
        <v>1</v>
      </c>
      <c r="M301">
        <v>43</v>
      </c>
    </row>
    <row r="302" spans="1:13" ht="15" customHeight="1" x14ac:dyDescent="0.2">
      <c r="A302" s="49">
        <v>45592</v>
      </c>
      <c r="B302">
        <v>2024</v>
      </c>
      <c r="C302" t="s">
        <v>7217</v>
      </c>
      <c r="D302" t="s">
        <v>7218</v>
      </c>
      <c r="E302">
        <v>10</v>
      </c>
      <c r="F302" t="s">
        <v>7219</v>
      </c>
      <c r="G302" t="s">
        <v>7220</v>
      </c>
      <c r="H302" t="s">
        <v>7221</v>
      </c>
      <c r="I302" s="49">
        <v>45566</v>
      </c>
      <c r="J302">
        <v>27</v>
      </c>
      <c r="K302" t="s">
        <v>7189</v>
      </c>
      <c r="L302" t="b">
        <f>TRUE()</f>
        <v>1</v>
      </c>
      <c r="M302">
        <v>43</v>
      </c>
    </row>
    <row r="303" spans="1:13" ht="15" customHeight="1" x14ac:dyDescent="0.2">
      <c r="A303" s="49">
        <v>45593</v>
      </c>
      <c r="B303">
        <v>2024</v>
      </c>
      <c r="C303" t="s">
        <v>7217</v>
      </c>
      <c r="D303" t="s">
        <v>7218</v>
      </c>
      <c r="E303">
        <v>10</v>
      </c>
      <c r="F303" t="s">
        <v>7219</v>
      </c>
      <c r="G303" t="s">
        <v>7220</v>
      </c>
      <c r="H303" t="s">
        <v>7221</v>
      </c>
      <c r="I303" s="49">
        <v>45566</v>
      </c>
      <c r="J303">
        <v>28</v>
      </c>
      <c r="K303" t="s">
        <v>7183</v>
      </c>
      <c r="L303" t="b">
        <f>FALSE()</f>
        <v>0</v>
      </c>
      <c r="M303">
        <v>44</v>
      </c>
    </row>
    <row r="304" spans="1:13" ht="15" customHeight="1" x14ac:dyDescent="0.2">
      <c r="A304" s="49">
        <v>45594</v>
      </c>
      <c r="B304">
        <v>2024</v>
      </c>
      <c r="C304" t="s">
        <v>7217</v>
      </c>
      <c r="D304" t="s">
        <v>7218</v>
      </c>
      <c r="E304">
        <v>10</v>
      </c>
      <c r="F304" t="s">
        <v>7219</v>
      </c>
      <c r="G304" t="s">
        <v>7220</v>
      </c>
      <c r="H304" t="s">
        <v>7221</v>
      </c>
      <c r="I304" s="49">
        <v>45566</v>
      </c>
      <c r="J304">
        <v>29</v>
      </c>
      <c r="K304" t="s">
        <v>7184</v>
      </c>
      <c r="L304" t="b">
        <f>FALSE()</f>
        <v>0</v>
      </c>
      <c r="M304">
        <v>44</v>
      </c>
    </row>
    <row r="305" spans="1:13" ht="15" customHeight="1" x14ac:dyDescent="0.2">
      <c r="A305" s="49">
        <v>45595</v>
      </c>
      <c r="B305">
        <v>2024</v>
      </c>
      <c r="C305" t="s">
        <v>7217</v>
      </c>
      <c r="D305" t="s">
        <v>7218</v>
      </c>
      <c r="E305">
        <v>10</v>
      </c>
      <c r="F305" t="s">
        <v>7219</v>
      </c>
      <c r="G305" t="s">
        <v>7220</v>
      </c>
      <c r="H305" t="s">
        <v>7221</v>
      </c>
      <c r="I305" s="49">
        <v>45566</v>
      </c>
      <c r="J305">
        <v>30</v>
      </c>
      <c r="K305" t="s">
        <v>7185</v>
      </c>
      <c r="L305" t="b">
        <f>FALSE()</f>
        <v>0</v>
      </c>
      <c r="M305">
        <v>44</v>
      </c>
    </row>
    <row r="306" spans="1:13" ht="15" customHeight="1" x14ac:dyDescent="0.2">
      <c r="A306" s="49">
        <v>45596</v>
      </c>
      <c r="B306">
        <v>2024</v>
      </c>
      <c r="C306" t="s">
        <v>7217</v>
      </c>
      <c r="D306" t="s">
        <v>7218</v>
      </c>
      <c r="E306">
        <v>10</v>
      </c>
      <c r="F306" t="s">
        <v>7219</v>
      </c>
      <c r="G306" t="s">
        <v>7220</v>
      </c>
      <c r="H306" t="s">
        <v>7221</v>
      </c>
      <c r="I306" s="49">
        <v>45566</v>
      </c>
      <c r="J306">
        <v>31</v>
      </c>
      <c r="K306" t="s">
        <v>7186</v>
      </c>
      <c r="L306" t="b">
        <f>FALSE()</f>
        <v>0</v>
      </c>
      <c r="M306">
        <v>44</v>
      </c>
    </row>
    <row r="307" spans="1:13" ht="15" customHeight="1" x14ac:dyDescent="0.2">
      <c r="A307" s="49">
        <v>45597</v>
      </c>
      <c r="B307">
        <v>2024</v>
      </c>
      <c r="C307" t="s">
        <v>7217</v>
      </c>
      <c r="D307" t="s">
        <v>7218</v>
      </c>
      <c r="E307">
        <v>11</v>
      </c>
      <c r="F307" t="s">
        <v>7222</v>
      </c>
      <c r="G307" t="s">
        <v>7223</v>
      </c>
      <c r="H307" t="s">
        <v>7224</v>
      </c>
      <c r="I307" s="49">
        <v>45597</v>
      </c>
      <c r="J307">
        <v>1</v>
      </c>
      <c r="K307" t="s">
        <v>7187</v>
      </c>
      <c r="L307" t="b">
        <f>FALSE()</f>
        <v>0</v>
      </c>
      <c r="M307">
        <v>44</v>
      </c>
    </row>
    <row r="308" spans="1:13" ht="15" customHeight="1" x14ac:dyDescent="0.2">
      <c r="A308" s="49">
        <v>45598</v>
      </c>
      <c r="B308">
        <v>2024</v>
      </c>
      <c r="C308" t="s">
        <v>7217</v>
      </c>
      <c r="D308" t="s">
        <v>7218</v>
      </c>
      <c r="E308">
        <v>11</v>
      </c>
      <c r="F308" t="s">
        <v>7222</v>
      </c>
      <c r="G308" t="s">
        <v>7223</v>
      </c>
      <c r="H308" t="s">
        <v>7224</v>
      </c>
      <c r="I308" s="49">
        <v>45597</v>
      </c>
      <c r="J308">
        <v>2</v>
      </c>
      <c r="K308" t="s">
        <v>7188</v>
      </c>
      <c r="L308" t="b">
        <f>TRUE()</f>
        <v>1</v>
      </c>
      <c r="M308">
        <v>44</v>
      </c>
    </row>
    <row r="309" spans="1:13" ht="15" customHeight="1" x14ac:dyDescent="0.2">
      <c r="A309" s="49">
        <v>45599</v>
      </c>
      <c r="B309">
        <v>2024</v>
      </c>
      <c r="C309" t="s">
        <v>7217</v>
      </c>
      <c r="D309" t="s">
        <v>7218</v>
      </c>
      <c r="E309">
        <v>11</v>
      </c>
      <c r="F309" t="s">
        <v>7222</v>
      </c>
      <c r="G309" t="s">
        <v>7223</v>
      </c>
      <c r="H309" t="s">
        <v>7224</v>
      </c>
      <c r="I309" s="49">
        <v>45597</v>
      </c>
      <c r="J309">
        <v>3</v>
      </c>
      <c r="K309" t="s">
        <v>7189</v>
      </c>
      <c r="L309" t="b">
        <f>TRUE()</f>
        <v>1</v>
      </c>
      <c r="M309">
        <v>44</v>
      </c>
    </row>
    <row r="310" spans="1:13" ht="15" customHeight="1" x14ac:dyDescent="0.2">
      <c r="A310" s="49">
        <v>45600</v>
      </c>
      <c r="B310">
        <v>2024</v>
      </c>
      <c r="C310" t="s">
        <v>7217</v>
      </c>
      <c r="D310" t="s">
        <v>7218</v>
      </c>
      <c r="E310">
        <v>11</v>
      </c>
      <c r="F310" t="s">
        <v>7222</v>
      </c>
      <c r="G310" t="s">
        <v>7223</v>
      </c>
      <c r="H310" t="s">
        <v>7224</v>
      </c>
      <c r="I310" s="49">
        <v>45597</v>
      </c>
      <c r="J310">
        <v>4</v>
      </c>
      <c r="K310" t="s">
        <v>7183</v>
      </c>
      <c r="L310" t="b">
        <f>FALSE()</f>
        <v>0</v>
      </c>
      <c r="M310">
        <v>45</v>
      </c>
    </row>
    <row r="311" spans="1:13" ht="15" customHeight="1" x14ac:dyDescent="0.2">
      <c r="A311" s="49">
        <v>45601</v>
      </c>
      <c r="B311">
        <v>2024</v>
      </c>
      <c r="C311" t="s">
        <v>7217</v>
      </c>
      <c r="D311" t="s">
        <v>7218</v>
      </c>
      <c r="E311">
        <v>11</v>
      </c>
      <c r="F311" t="s">
        <v>7222</v>
      </c>
      <c r="G311" t="s">
        <v>7223</v>
      </c>
      <c r="H311" t="s">
        <v>7224</v>
      </c>
      <c r="I311" s="49">
        <v>45597</v>
      </c>
      <c r="J311">
        <v>5</v>
      </c>
      <c r="K311" t="s">
        <v>7184</v>
      </c>
      <c r="L311" t="b">
        <f>FALSE()</f>
        <v>0</v>
      </c>
      <c r="M311">
        <v>45</v>
      </c>
    </row>
    <row r="312" spans="1:13" ht="15" customHeight="1" x14ac:dyDescent="0.2">
      <c r="A312" s="49">
        <v>45602</v>
      </c>
      <c r="B312">
        <v>2024</v>
      </c>
      <c r="C312" t="s">
        <v>7217</v>
      </c>
      <c r="D312" t="s">
        <v>7218</v>
      </c>
      <c r="E312">
        <v>11</v>
      </c>
      <c r="F312" t="s">
        <v>7222</v>
      </c>
      <c r="G312" t="s">
        <v>7223</v>
      </c>
      <c r="H312" t="s">
        <v>7224</v>
      </c>
      <c r="I312" s="49">
        <v>45597</v>
      </c>
      <c r="J312">
        <v>6</v>
      </c>
      <c r="K312" t="s">
        <v>7185</v>
      </c>
      <c r="L312" t="b">
        <f>FALSE()</f>
        <v>0</v>
      </c>
      <c r="M312">
        <v>45</v>
      </c>
    </row>
    <row r="313" spans="1:13" ht="15" customHeight="1" x14ac:dyDescent="0.2">
      <c r="A313" s="49">
        <v>45603</v>
      </c>
      <c r="B313">
        <v>2024</v>
      </c>
      <c r="C313" t="s">
        <v>7217</v>
      </c>
      <c r="D313" t="s">
        <v>7218</v>
      </c>
      <c r="E313">
        <v>11</v>
      </c>
      <c r="F313" t="s">
        <v>7222</v>
      </c>
      <c r="G313" t="s">
        <v>7223</v>
      </c>
      <c r="H313" t="s">
        <v>7224</v>
      </c>
      <c r="I313" s="49">
        <v>45597</v>
      </c>
      <c r="J313">
        <v>7</v>
      </c>
      <c r="K313" t="s">
        <v>7186</v>
      </c>
      <c r="L313" t="b">
        <f>FALSE()</f>
        <v>0</v>
      </c>
      <c r="M313">
        <v>45</v>
      </c>
    </row>
    <row r="314" spans="1:13" ht="15" customHeight="1" x14ac:dyDescent="0.2">
      <c r="A314" s="49">
        <v>45604</v>
      </c>
      <c r="B314">
        <v>2024</v>
      </c>
      <c r="C314" t="s">
        <v>7217</v>
      </c>
      <c r="D314" t="s">
        <v>7218</v>
      </c>
      <c r="E314">
        <v>11</v>
      </c>
      <c r="F314" t="s">
        <v>7222</v>
      </c>
      <c r="G314" t="s">
        <v>7223</v>
      </c>
      <c r="H314" t="s">
        <v>7224</v>
      </c>
      <c r="I314" s="49">
        <v>45597</v>
      </c>
      <c r="J314">
        <v>8</v>
      </c>
      <c r="K314" t="s">
        <v>7187</v>
      </c>
      <c r="L314" t="b">
        <f>FALSE()</f>
        <v>0</v>
      </c>
      <c r="M314">
        <v>45</v>
      </c>
    </row>
    <row r="315" spans="1:13" ht="15" customHeight="1" x14ac:dyDescent="0.2">
      <c r="A315" s="49">
        <v>45605</v>
      </c>
      <c r="B315">
        <v>2024</v>
      </c>
      <c r="C315" t="s">
        <v>7217</v>
      </c>
      <c r="D315" t="s">
        <v>7218</v>
      </c>
      <c r="E315">
        <v>11</v>
      </c>
      <c r="F315" t="s">
        <v>7222</v>
      </c>
      <c r="G315" t="s">
        <v>7223</v>
      </c>
      <c r="H315" t="s">
        <v>7224</v>
      </c>
      <c r="I315" s="49">
        <v>45597</v>
      </c>
      <c r="J315">
        <v>9</v>
      </c>
      <c r="K315" t="s">
        <v>7188</v>
      </c>
      <c r="L315" t="b">
        <f>TRUE()</f>
        <v>1</v>
      </c>
      <c r="M315">
        <v>45</v>
      </c>
    </row>
    <row r="316" spans="1:13" ht="15" customHeight="1" x14ac:dyDescent="0.2">
      <c r="A316" s="49">
        <v>45606</v>
      </c>
      <c r="B316">
        <v>2024</v>
      </c>
      <c r="C316" t="s">
        <v>7217</v>
      </c>
      <c r="D316" t="s">
        <v>7218</v>
      </c>
      <c r="E316">
        <v>11</v>
      </c>
      <c r="F316" t="s">
        <v>7222</v>
      </c>
      <c r="G316" t="s">
        <v>7223</v>
      </c>
      <c r="H316" t="s">
        <v>7224</v>
      </c>
      <c r="I316" s="49">
        <v>45597</v>
      </c>
      <c r="J316">
        <v>10</v>
      </c>
      <c r="K316" t="s">
        <v>7189</v>
      </c>
      <c r="L316" t="b">
        <f>TRUE()</f>
        <v>1</v>
      </c>
      <c r="M316">
        <v>45</v>
      </c>
    </row>
    <row r="317" spans="1:13" ht="15" customHeight="1" x14ac:dyDescent="0.2">
      <c r="A317" s="49">
        <v>45607</v>
      </c>
      <c r="B317">
        <v>2024</v>
      </c>
      <c r="C317" t="s">
        <v>7217</v>
      </c>
      <c r="D317" t="s">
        <v>7218</v>
      </c>
      <c r="E317">
        <v>11</v>
      </c>
      <c r="F317" t="s">
        <v>7222</v>
      </c>
      <c r="G317" t="s">
        <v>7223</v>
      </c>
      <c r="H317" t="s">
        <v>7224</v>
      </c>
      <c r="I317" s="49">
        <v>45597</v>
      </c>
      <c r="J317">
        <v>11</v>
      </c>
      <c r="K317" t="s">
        <v>7183</v>
      </c>
      <c r="L317" t="b">
        <f>FALSE()</f>
        <v>0</v>
      </c>
      <c r="M317">
        <v>46</v>
      </c>
    </row>
    <row r="318" spans="1:13" ht="15" customHeight="1" x14ac:dyDescent="0.2">
      <c r="A318" s="49">
        <v>45608</v>
      </c>
      <c r="B318">
        <v>2024</v>
      </c>
      <c r="C318" t="s">
        <v>7217</v>
      </c>
      <c r="D318" t="s">
        <v>7218</v>
      </c>
      <c r="E318">
        <v>11</v>
      </c>
      <c r="F318" t="s">
        <v>7222</v>
      </c>
      <c r="G318" t="s">
        <v>7223</v>
      </c>
      <c r="H318" t="s">
        <v>7224</v>
      </c>
      <c r="I318" s="49">
        <v>45597</v>
      </c>
      <c r="J318">
        <v>12</v>
      </c>
      <c r="K318" t="s">
        <v>7184</v>
      </c>
      <c r="L318" t="b">
        <f>FALSE()</f>
        <v>0</v>
      </c>
      <c r="M318">
        <v>46</v>
      </c>
    </row>
    <row r="319" spans="1:13" ht="15" customHeight="1" x14ac:dyDescent="0.2">
      <c r="A319" s="49">
        <v>45609</v>
      </c>
      <c r="B319">
        <v>2024</v>
      </c>
      <c r="C319" t="s">
        <v>7217</v>
      </c>
      <c r="D319" t="s">
        <v>7218</v>
      </c>
      <c r="E319">
        <v>11</v>
      </c>
      <c r="F319" t="s">
        <v>7222</v>
      </c>
      <c r="G319" t="s">
        <v>7223</v>
      </c>
      <c r="H319" t="s">
        <v>7224</v>
      </c>
      <c r="I319" s="49">
        <v>45597</v>
      </c>
      <c r="J319">
        <v>13</v>
      </c>
      <c r="K319" t="s">
        <v>7185</v>
      </c>
      <c r="L319" t="b">
        <f>FALSE()</f>
        <v>0</v>
      </c>
      <c r="M319">
        <v>46</v>
      </c>
    </row>
    <row r="320" spans="1:13" ht="15" customHeight="1" x14ac:dyDescent="0.2">
      <c r="A320" s="49">
        <v>45610</v>
      </c>
      <c r="B320">
        <v>2024</v>
      </c>
      <c r="C320" t="s">
        <v>7217</v>
      </c>
      <c r="D320" t="s">
        <v>7218</v>
      </c>
      <c r="E320">
        <v>11</v>
      </c>
      <c r="F320" t="s">
        <v>7222</v>
      </c>
      <c r="G320" t="s">
        <v>7223</v>
      </c>
      <c r="H320" t="s">
        <v>7224</v>
      </c>
      <c r="I320" s="49">
        <v>45597</v>
      </c>
      <c r="J320">
        <v>14</v>
      </c>
      <c r="K320" t="s">
        <v>7186</v>
      </c>
      <c r="L320" t="b">
        <f>FALSE()</f>
        <v>0</v>
      </c>
      <c r="M320">
        <v>46</v>
      </c>
    </row>
    <row r="321" spans="1:13" ht="15" customHeight="1" x14ac:dyDescent="0.2">
      <c r="A321" s="49">
        <v>45611</v>
      </c>
      <c r="B321">
        <v>2024</v>
      </c>
      <c r="C321" t="s">
        <v>7217</v>
      </c>
      <c r="D321" t="s">
        <v>7218</v>
      </c>
      <c r="E321">
        <v>11</v>
      </c>
      <c r="F321" t="s">
        <v>7222</v>
      </c>
      <c r="G321" t="s">
        <v>7223</v>
      </c>
      <c r="H321" t="s">
        <v>7224</v>
      </c>
      <c r="I321" s="49">
        <v>45597</v>
      </c>
      <c r="J321">
        <v>15</v>
      </c>
      <c r="K321" t="s">
        <v>7187</v>
      </c>
      <c r="L321" t="b">
        <f>FALSE()</f>
        <v>0</v>
      </c>
      <c r="M321">
        <v>46</v>
      </c>
    </row>
    <row r="322" spans="1:13" ht="15" customHeight="1" x14ac:dyDescent="0.2">
      <c r="A322" s="49">
        <v>45612</v>
      </c>
      <c r="B322">
        <v>2024</v>
      </c>
      <c r="C322" t="s">
        <v>7217</v>
      </c>
      <c r="D322" t="s">
        <v>7218</v>
      </c>
      <c r="E322">
        <v>11</v>
      </c>
      <c r="F322" t="s">
        <v>7222</v>
      </c>
      <c r="G322" t="s">
        <v>7223</v>
      </c>
      <c r="H322" t="s">
        <v>7224</v>
      </c>
      <c r="I322" s="49">
        <v>45597</v>
      </c>
      <c r="J322">
        <v>16</v>
      </c>
      <c r="K322" t="s">
        <v>7188</v>
      </c>
      <c r="L322" t="b">
        <f>TRUE()</f>
        <v>1</v>
      </c>
      <c r="M322">
        <v>46</v>
      </c>
    </row>
    <row r="323" spans="1:13" ht="15" customHeight="1" x14ac:dyDescent="0.2">
      <c r="A323" s="49">
        <v>45613</v>
      </c>
      <c r="B323">
        <v>2024</v>
      </c>
      <c r="C323" t="s">
        <v>7217</v>
      </c>
      <c r="D323" t="s">
        <v>7218</v>
      </c>
      <c r="E323">
        <v>11</v>
      </c>
      <c r="F323" t="s">
        <v>7222</v>
      </c>
      <c r="G323" t="s">
        <v>7223</v>
      </c>
      <c r="H323" t="s">
        <v>7224</v>
      </c>
      <c r="I323" s="49">
        <v>45597</v>
      </c>
      <c r="J323">
        <v>17</v>
      </c>
      <c r="K323" t="s">
        <v>7189</v>
      </c>
      <c r="L323" t="b">
        <f>TRUE()</f>
        <v>1</v>
      </c>
      <c r="M323">
        <v>46</v>
      </c>
    </row>
    <row r="324" spans="1:13" ht="15" customHeight="1" x14ac:dyDescent="0.2">
      <c r="A324" s="49">
        <v>45614</v>
      </c>
      <c r="B324">
        <v>2024</v>
      </c>
      <c r="C324" t="s">
        <v>7217</v>
      </c>
      <c r="D324" t="s">
        <v>7218</v>
      </c>
      <c r="E324">
        <v>11</v>
      </c>
      <c r="F324" t="s">
        <v>7222</v>
      </c>
      <c r="G324" t="s">
        <v>7223</v>
      </c>
      <c r="H324" t="s">
        <v>7224</v>
      </c>
      <c r="I324" s="49">
        <v>45597</v>
      </c>
      <c r="J324">
        <v>18</v>
      </c>
      <c r="K324" t="s">
        <v>7183</v>
      </c>
      <c r="L324" t="b">
        <f>FALSE()</f>
        <v>0</v>
      </c>
      <c r="M324">
        <v>47</v>
      </c>
    </row>
    <row r="325" spans="1:13" ht="15" customHeight="1" x14ac:dyDescent="0.2">
      <c r="A325" s="49">
        <v>45615</v>
      </c>
      <c r="B325">
        <v>2024</v>
      </c>
      <c r="C325" t="s">
        <v>7217</v>
      </c>
      <c r="D325" t="s">
        <v>7218</v>
      </c>
      <c r="E325">
        <v>11</v>
      </c>
      <c r="F325" t="s">
        <v>7222</v>
      </c>
      <c r="G325" t="s">
        <v>7223</v>
      </c>
      <c r="H325" t="s">
        <v>7224</v>
      </c>
      <c r="I325" s="49">
        <v>45597</v>
      </c>
      <c r="J325">
        <v>19</v>
      </c>
      <c r="K325" t="s">
        <v>7184</v>
      </c>
      <c r="L325" t="b">
        <f>FALSE()</f>
        <v>0</v>
      </c>
      <c r="M325">
        <v>47</v>
      </c>
    </row>
    <row r="326" spans="1:13" ht="15" customHeight="1" x14ac:dyDescent="0.2">
      <c r="A326" s="49">
        <v>45616</v>
      </c>
      <c r="B326">
        <v>2024</v>
      </c>
      <c r="C326" t="s">
        <v>7217</v>
      </c>
      <c r="D326" t="s">
        <v>7218</v>
      </c>
      <c r="E326">
        <v>11</v>
      </c>
      <c r="F326" t="s">
        <v>7222</v>
      </c>
      <c r="G326" t="s">
        <v>7223</v>
      </c>
      <c r="H326" t="s">
        <v>7224</v>
      </c>
      <c r="I326" s="49">
        <v>45597</v>
      </c>
      <c r="J326">
        <v>20</v>
      </c>
      <c r="K326" t="s">
        <v>7185</v>
      </c>
      <c r="L326" t="b">
        <f>FALSE()</f>
        <v>0</v>
      </c>
      <c r="M326">
        <v>47</v>
      </c>
    </row>
    <row r="327" spans="1:13" ht="15" customHeight="1" x14ac:dyDescent="0.2">
      <c r="A327" s="49">
        <v>45617</v>
      </c>
      <c r="B327">
        <v>2024</v>
      </c>
      <c r="C327" t="s">
        <v>7217</v>
      </c>
      <c r="D327" t="s">
        <v>7218</v>
      </c>
      <c r="E327">
        <v>11</v>
      </c>
      <c r="F327" t="s">
        <v>7222</v>
      </c>
      <c r="G327" t="s">
        <v>7223</v>
      </c>
      <c r="H327" t="s">
        <v>7224</v>
      </c>
      <c r="I327" s="49">
        <v>45597</v>
      </c>
      <c r="J327">
        <v>21</v>
      </c>
      <c r="K327" t="s">
        <v>7186</v>
      </c>
      <c r="L327" t="b">
        <f>FALSE()</f>
        <v>0</v>
      </c>
      <c r="M327">
        <v>47</v>
      </c>
    </row>
    <row r="328" spans="1:13" ht="15" customHeight="1" x14ac:dyDescent="0.2">
      <c r="A328" s="49">
        <v>45618</v>
      </c>
      <c r="B328">
        <v>2024</v>
      </c>
      <c r="C328" t="s">
        <v>7217</v>
      </c>
      <c r="D328" t="s">
        <v>7218</v>
      </c>
      <c r="E328">
        <v>11</v>
      </c>
      <c r="F328" t="s">
        <v>7222</v>
      </c>
      <c r="G328" t="s">
        <v>7223</v>
      </c>
      <c r="H328" t="s">
        <v>7224</v>
      </c>
      <c r="I328" s="49">
        <v>45597</v>
      </c>
      <c r="J328">
        <v>22</v>
      </c>
      <c r="K328" t="s">
        <v>7187</v>
      </c>
      <c r="L328" t="b">
        <f>FALSE()</f>
        <v>0</v>
      </c>
      <c r="M328">
        <v>47</v>
      </c>
    </row>
    <row r="329" spans="1:13" ht="15" customHeight="1" x14ac:dyDescent="0.2">
      <c r="A329" s="49">
        <v>45619</v>
      </c>
      <c r="B329">
        <v>2024</v>
      </c>
      <c r="C329" t="s">
        <v>7217</v>
      </c>
      <c r="D329" t="s">
        <v>7218</v>
      </c>
      <c r="E329">
        <v>11</v>
      </c>
      <c r="F329" t="s">
        <v>7222</v>
      </c>
      <c r="G329" t="s">
        <v>7223</v>
      </c>
      <c r="H329" t="s">
        <v>7224</v>
      </c>
      <c r="I329" s="49">
        <v>45597</v>
      </c>
      <c r="J329">
        <v>23</v>
      </c>
      <c r="K329" t="s">
        <v>7188</v>
      </c>
      <c r="L329" t="b">
        <f>TRUE()</f>
        <v>1</v>
      </c>
      <c r="M329">
        <v>47</v>
      </c>
    </row>
    <row r="330" spans="1:13" ht="15" customHeight="1" x14ac:dyDescent="0.2">
      <c r="A330" s="49">
        <v>45620</v>
      </c>
      <c r="B330">
        <v>2024</v>
      </c>
      <c r="C330" t="s">
        <v>7217</v>
      </c>
      <c r="D330" t="s">
        <v>7218</v>
      </c>
      <c r="E330">
        <v>11</v>
      </c>
      <c r="F330" t="s">
        <v>7222</v>
      </c>
      <c r="G330" t="s">
        <v>7223</v>
      </c>
      <c r="H330" t="s">
        <v>7224</v>
      </c>
      <c r="I330" s="49">
        <v>45597</v>
      </c>
      <c r="J330">
        <v>24</v>
      </c>
      <c r="K330" t="s">
        <v>7189</v>
      </c>
      <c r="L330" t="b">
        <f>TRUE()</f>
        <v>1</v>
      </c>
      <c r="M330">
        <v>47</v>
      </c>
    </row>
    <row r="331" spans="1:13" ht="15" customHeight="1" x14ac:dyDescent="0.2">
      <c r="A331" s="49">
        <v>45621</v>
      </c>
      <c r="B331">
        <v>2024</v>
      </c>
      <c r="C331" t="s">
        <v>7217</v>
      </c>
      <c r="D331" t="s">
        <v>7218</v>
      </c>
      <c r="E331">
        <v>11</v>
      </c>
      <c r="F331" t="s">
        <v>7222</v>
      </c>
      <c r="G331" t="s">
        <v>7223</v>
      </c>
      <c r="H331" t="s">
        <v>7224</v>
      </c>
      <c r="I331" s="49">
        <v>45597</v>
      </c>
      <c r="J331">
        <v>25</v>
      </c>
      <c r="K331" t="s">
        <v>7183</v>
      </c>
      <c r="L331" t="b">
        <f>FALSE()</f>
        <v>0</v>
      </c>
      <c r="M331">
        <v>48</v>
      </c>
    </row>
    <row r="332" spans="1:13" ht="15" customHeight="1" x14ac:dyDescent="0.2">
      <c r="A332" s="49">
        <v>45622</v>
      </c>
      <c r="B332">
        <v>2024</v>
      </c>
      <c r="C332" t="s">
        <v>7217</v>
      </c>
      <c r="D332" t="s">
        <v>7218</v>
      </c>
      <c r="E332">
        <v>11</v>
      </c>
      <c r="F332" t="s">
        <v>7222</v>
      </c>
      <c r="G332" t="s">
        <v>7223</v>
      </c>
      <c r="H332" t="s">
        <v>7224</v>
      </c>
      <c r="I332" s="49">
        <v>45597</v>
      </c>
      <c r="J332">
        <v>26</v>
      </c>
      <c r="K332" t="s">
        <v>7184</v>
      </c>
      <c r="L332" t="b">
        <f>FALSE()</f>
        <v>0</v>
      </c>
      <c r="M332">
        <v>48</v>
      </c>
    </row>
    <row r="333" spans="1:13" ht="15" customHeight="1" x14ac:dyDescent="0.2">
      <c r="A333" s="49">
        <v>45623</v>
      </c>
      <c r="B333">
        <v>2024</v>
      </c>
      <c r="C333" t="s">
        <v>7217</v>
      </c>
      <c r="D333" t="s">
        <v>7218</v>
      </c>
      <c r="E333">
        <v>11</v>
      </c>
      <c r="F333" t="s">
        <v>7222</v>
      </c>
      <c r="G333" t="s">
        <v>7223</v>
      </c>
      <c r="H333" t="s">
        <v>7224</v>
      </c>
      <c r="I333" s="49">
        <v>45597</v>
      </c>
      <c r="J333">
        <v>27</v>
      </c>
      <c r="K333" t="s">
        <v>7185</v>
      </c>
      <c r="L333" t="b">
        <f>FALSE()</f>
        <v>0</v>
      </c>
      <c r="M333">
        <v>48</v>
      </c>
    </row>
    <row r="334" spans="1:13" ht="15" customHeight="1" x14ac:dyDescent="0.2">
      <c r="A334" s="49">
        <v>45624</v>
      </c>
      <c r="B334">
        <v>2024</v>
      </c>
      <c r="C334" t="s">
        <v>7217</v>
      </c>
      <c r="D334" t="s">
        <v>7218</v>
      </c>
      <c r="E334">
        <v>11</v>
      </c>
      <c r="F334" t="s">
        <v>7222</v>
      </c>
      <c r="G334" t="s">
        <v>7223</v>
      </c>
      <c r="H334" t="s">
        <v>7224</v>
      </c>
      <c r="I334" s="49">
        <v>45597</v>
      </c>
      <c r="J334">
        <v>28</v>
      </c>
      <c r="K334" t="s">
        <v>7186</v>
      </c>
      <c r="L334" t="b">
        <f>FALSE()</f>
        <v>0</v>
      </c>
      <c r="M334">
        <v>48</v>
      </c>
    </row>
    <row r="335" spans="1:13" ht="15" customHeight="1" x14ac:dyDescent="0.2">
      <c r="A335" s="49">
        <v>45625</v>
      </c>
      <c r="B335">
        <v>2024</v>
      </c>
      <c r="C335" t="s">
        <v>7217</v>
      </c>
      <c r="D335" t="s">
        <v>7218</v>
      </c>
      <c r="E335">
        <v>11</v>
      </c>
      <c r="F335" t="s">
        <v>7222</v>
      </c>
      <c r="G335" t="s">
        <v>7223</v>
      </c>
      <c r="H335" t="s">
        <v>7224</v>
      </c>
      <c r="I335" s="49">
        <v>45597</v>
      </c>
      <c r="J335">
        <v>29</v>
      </c>
      <c r="K335" t="s">
        <v>7187</v>
      </c>
      <c r="L335" t="b">
        <f>FALSE()</f>
        <v>0</v>
      </c>
      <c r="M335">
        <v>48</v>
      </c>
    </row>
    <row r="336" spans="1:13" ht="15" customHeight="1" x14ac:dyDescent="0.2">
      <c r="A336" s="49">
        <v>45626</v>
      </c>
      <c r="B336">
        <v>2024</v>
      </c>
      <c r="C336" t="s">
        <v>7217</v>
      </c>
      <c r="D336" t="s">
        <v>7218</v>
      </c>
      <c r="E336">
        <v>11</v>
      </c>
      <c r="F336" t="s">
        <v>7222</v>
      </c>
      <c r="G336" t="s">
        <v>7223</v>
      </c>
      <c r="H336" t="s">
        <v>7224</v>
      </c>
      <c r="I336" s="49">
        <v>45597</v>
      </c>
      <c r="J336">
        <v>30</v>
      </c>
      <c r="K336" t="s">
        <v>7188</v>
      </c>
      <c r="L336" t="b">
        <f>TRUE()</f>
        <v>1</v>
      </c>
      <c r="M336">
        <v>48</v>
      </c>
    </row>
    <row r="337" spans="1:13" ht="15" customHeight="1" x14ac:dyDescent="0.2">
      <c r="A337" s="49">
        <v>45627</v>
      </c>
      <c r="B337">
        <v>2024</v>
      </c>
      <c r="C337" t="s">
        <v>7217</v>
      </c>
      <c r="D337" t="s">
        <v>7218</v>
      </c>
      <c r="E337">
        <v>12</v>
      </c>
      <c r="F337" t="s">
        <v>7225</v>
      </c>
      <c r="G337" t="s">
        <v>7226</v>
      </c>
      <c r="H337" t="s">
        <v>7227</v>
      </c>
      <c r="I337" s="49">
        <v>45627</v>
      </c>
      <c r="J337">
        <v>1</v>
      </c>
      <c r="K337" t="s">
        <v>7189</v>
      </c>
      <c r="L337" t="b">
        <f>TRUE()</f>
        <v>1</v>
      </c>
      <c r="M337">
        <v>48</v>
      </c>
    </row>
    <row r="338" spans="1:13" ht="15" customHeight="1" x14ac:dyDescent="0.2">
      <c r="A338" s="49">
        <v>45628</v>
      </c>
      <c r="B338">
        <v>2024</v>
      </c>
      <c r="C338" t="s">
        <v>7217</v>
      </c>
      <c r="D338" t="s">
        <v>7218</v>
      </c>
      <c r="E338">
        <v>12</v>
      </c>
      <c r="F338" t="s">
        <v>7225</v>
      </c>
      <c r="G338" t="s">
        <v>7226</v>
      </c>
      <c r="H338" t="s">
        <v>7227</v>
      </c>
      <c r="I338" s="49">
        <v>45627</v>
      </c>
      <c r="J338">
        <v>2</v>
      </c>
      <c r="K338" t="s">
        <v>7183</v>
      </c>
      <c r="L338" t="b">
        <f>FALSE()</f>
        <v>0</v>
      </c>
      <c r="M338">
        <v>49</v>
      </c>
    </row>
    <row r="339" spans="1:13" ht="15" customHeight="1" x14ac:dyDescent="0.2">
      <c r="A339" s="49">
        <v>45629</v>
      </c>
      <c r="B339">
        <v>2024</v>
      </c>
      <c r="C339" t="s">
        <v>7217</v>
      </c>
      <c r="D339" t="s">
        <v>7218</v>
      </c>
      <c r="E339">
        <v>12</v>
      </c>
      <c r="F339" t="s">
        <v>7225</v>
      </c>
      <c r="G339" t="s">
        <v>7226</v>
      </c>
      <c r="H339" t="s">
        <v>7227</v>
      </c>
      <c r="I339" s="49">
        <v>45627</v>
      </c>
      <c r="J339">
        <v>3</v>
      </c>
      <c r="K339" t="s">
        <v>7184</v>
      </c>
      <c r="L339" t="b">
        <f>FALSE()</f>
        <v>0</v>
      </c>
      <c r="M339">
        <v>49</v>
      </c>
    </row>
    <row r="340" spans="1:13" ht="15" customHeight="1" x14ac:dyDescent="0.2">
      <c r="A340" s="49">
        <v>45630</v>
      </c>
      <c r="B340">
        <v>2024</v>
      </c>
      <c r="C340" t="s">
        <v>7217</v>
      </c>
      <c r="D340" t="s">
        <v>7218</v>
      </c>
      <c r="E340">
        <v>12</v>
      </c>
      <c r="F340" t="s">
        <v>7225</v>
      </c>
      <c r="G340" t="s">
        <v>7226</v>
      </c>
      <c r="H340" t="s">
        <v>7227</v>
      </c>
      <c r="I340" s="49">
        <v>45627</v>
      </c>
      <c r="J340">
        <v>4</v>
      </c>
      <c r="K340" t="s">
        <v>7185</v>
      </c>
      <c r="L340" t="b">
        <f>FALSE()</f>
        <v>0</v>
      </c>
      <c r="M340">
        <v>49</v>
      </c>
    </row>
    <row r="341" spans="1:13" ht="15" customHeight="1" x14ac:dyDescent="0.2">
      <c r="A341" s="49">
        <v>45631</v>
      </c>
      <c r="B341">
        <v>2024</v>
      </c>
      <c r="C341" t="s">
        <v>7217</v>
      </c>
      <c r="D341" t="s">
        <v>7218</v>
      </c>
      <c r="E341">
        <v>12</v>
      </c>
      <c r="F341" t="s">
        <v>7225</v>
      </c>
      <c r="G341" t="s">
        <v>7226</v>
      </c>
      <c r="H341" t="s">
        <v>7227</v>
      </c>
      <c r="I341" s="49">
        <v>45627</v>
      </c>
      <c r="J341">
        <v>5</v>
      </c>
      <c r="K341" t="s">
        <v>7186</v>
      </c>
      <c r="L341" t="b">
        <f>FALSE()</f>
        <v>0</v>
      </c>
      <c r="M341">
        <v>49</v>
      </c>
    </row>
    <row r="342" spans="1:13" ht="15" customHeight="1" x14ac:dyDescent="0.2">
      <c r="A342" s="49">
        <v>45632</v>
      </c>
      <c r="B342">
        <v>2024</v>
      </c>
      <c r="C342" t="s">
        <v>7217</v>
      </c>
      <c r="D342" t="s">
        <v>7218</v>
      </c>
      <c r="E342">
        <v>12</v>
      </c>
      <c r="F342" t="s">
        <v>7225</v>
      </c>
      <c r="G342" t="s">
        <v>7226</v>
      </c>
      <c r="H342" t="s">
        <v>7227</v>
      </c>
      <c r="I342" s="49">
        <v>45627</v>
      </c>
      <c r="J342">
        <v>6</v>
      </c>
      <c r="K342" t="s">
        <v>7187</v>
      </c>
      <c r="L342" t="b">
        <f>FALSE()</f>
        <v>0</v>
      </c>
      <c r="M342">
        <v>49</v>
      </c>
    </row>
    <row r="343" spans="1:13" ht="15" customHeight="1" x14ac:dyDescent="0.2">
      <c r="A343" s="49">
        <v>45633</v>
      </c>
      <c r="B343">
        <v>2024</v>
      </c>
      <c r="C343" t="s">
        <v>7217</v>
      </c>
      <c r="D343" t="s">
        <v>7218</v>
      </c>
      <c r="E343">
        <v>12</v>
      </c>
      <c r="F343" t="s">
        <v>7225</v>
      </c>
      <c r="G343" t="s">
        <v>7226</v>
      </c>
      <c r="H343" t="s">
        <v>7227</v>
      </c>
      <c r="I343" s="49">
        <v>45627</v>
      </c>
      <c r="J343">
        <v>7</v>
      </c>
      <c r="K343" t="s">
        <v>7188</v>
      </c>
      <c r="L343" t="b">
        <f>TRUE()</f>
        <v>1</v>
      </c>
      <c r="M343">
        <v>49</v>
      </c>
    </row>
    <row r="344" spans="1:13" ht="15" customHeight="1" x14ac:dyDescent="0.2">
      <c r="A344" s="49">
        <v>45634</v>
      </c>
      <c r="B344">
        <v>2024</v>
      </c>
      <c r="C344" t="s">
        <v>7217</v>
      </c>
      <c r="D344" t="s">
        <v>7218</v>
      </c>
      <c r="E344">
        <v>12</v>
      </c>
      <c r="F344" t="s">
        <v>7225</v>
      </c>
      <c r="G344" t="s">
        <v>7226</v>
      </c>
      <c r="H344" t="s">
        <v>7227</v>
      </c>
      <c r="I344" s="49">
        <v>45627</v>
      </c>
      <c r="J344">
        <v>8</v>
      </c>
      <c r="K344" t="s">
        <v>7189</v>
      </c>
      <c r="L344" t="b">
        <f>TRUE()</f>
        <v>1</v>
      </c>
      <c r="M344">
        <v>49</v>
      </c>
    </row>
    <row r="345" spans="1:13" ht="15" customHeight="1" x14ac:dyDescent="0.2">
      <c r="A345" s="49">
        <v>45635</v>
      </c>
      <c r="B345">
        <v>2024</v>
      </c>
      <c r="C345" t="s">
        <v>7217</v>
      </c>
      <c r="D345" t="s">
        <v>7218</v>
      </c>
      <c r="E345">
        <v>12</v>
      </c>
      <c r="F345" t="s">
        <v>7225</v>
      </c>
      <c r="G345" t="s">
        <v>7226</v>
      </c>
      <c r="H345" t="s">
        <v>7227</v>
      </c>
      <c r="I345" s="49">
        <v>45627</v>
      </c>
      <c r="J345">
        <v>9</v>
      </c>
      <c r="K345" t="s">
        <v>7183</v>
      </c>
      <c r="L345" t="b">
        <f>FALSE()</f>
        <v>0</v>
      </c>
      <c r="M345">
        <v>50</v>
      </c>
    </row>
    <row r="346" spans="1:13" ht="15" customHeight="1" x14ac:dyDescent="0.2">
      <c r="A346" s="49">
        <v>45636</v>
      </c>
      <c r="B346">
        <v>2024</v>
      </c>
      <c r="C346" t="s">
        <v>7217</v>
      </c>
      <c r="D346" t="s">
        <v>7218</v>
      </c>
      <c r="E346">
        <v>12</v>
      </c>
      <c r="F346" t="s">
        <v>7225</v>
      </c>
      <c r="G346" t="s">
        <v>7226</v>
      </c>
      <c r="H346" t="s">
        <v>7227</v>
      </c>
      <c r="I346" s="49">
        <v>45627</v>
      </c>
      <c r="J346">
        <v>10</v>
      </c>
      <c r="K346" t="s">
        <v>7184</v>
      </c>
      <c r="L346" t="b">
        <f>FALSE()</f>
        <v>0</v>
      </c>
      <c r="M346">
        <v>50</v>
      </c>
    </row>
    <row r="347" spans="1:13" ht="15" customHeight="1" x14ac:dyDescent="0.2">
      <c r="A347" s="49">
        <v>45637</v>
      </c>
      <c r="B347">
        <v>2024</v>
      </c>
      <c r="C347" t="s">
        <v>7217</v>
      </c>
      <c r="D347" t="s">
        <v>7218</v>
      </c>
      <c r="E347">
        <v>12</v>
      </c>
      <c r="F347" t="s">
        <v>7225</v>
      </c>
      <c r="G347" t="s">
        <v>7226</v>
      </c>
      <c r="H347" t="s">
        <v>7227</v>
      </c>
      <c r="I347" s="49">
        <v>45627</v>
      </c>
      <c r="J347">
        <v>11</v>
      </c>
      <c r="K347" t="s">
        <v>7185</v>
      </c>
      <c r="L347" t="b">
        <f>FALSE()</f>
        <v>0</v>
      </c>
      <c r="M347">
        <v>50</v>
      </c>
    </row>
    <row r="348" spans="1:13" ht="15" customHeight="1" x14ac:dyDescent="0.2">
      <c r="A348" s="49">
        <v>45638</v>
      </c>
      <c r="B348">
        <v>2024</v>
      </c>
      <c r="C348" t="s">
        <v>7217</v>
      </c>
      <c r="D348" t="s">
        <v>7218</v>
      </c>
      <c r="E348">
        <v>12</v>
      </c>
      <c r="F348" t="s">
        <v>7225</v>
      </c>
      <c r="G348" t="s">
        <v>7226</v>
      </c>
      <c r="H348" t="s">
        <v>7227</v>
      </c>
      <c r="I348" s="49">
        <v>45627</v>
      </c>
      <c r="J348">
        <v>12</v>
      </c>
      <c r="K348" t="s">
        <v>7186</v>
      </c>
      <c r="L348" t="b">
        <f>FALSE()</f>
        <v>0</v>
      </c>
      <c r="M348">
        <v>50</v>
      </c>
    </row>
    <row r="349" spans="1:13" ht="15" customHeight="1" x14ac:dyDescent="0.2">
      <c r="A349" s="49">
        <v>45639</v>
      </c>
      <c r="B349">
        <v>2024</v>
      </c>
      <c r="C349" t="s">
        <v>7217</v>
      </c>
      <c r="D349" t="s">
        <v>7218</v>
      </c>
      <c r="E349">
        <v>12</v>
      </c>
      <c r="F349" t="s">
        <v>7225</v>
      </c>
      <c r="G349" t="s">
        <v>7226</v>
      </c>
      <c r="H349" t="s">
        <v>7227</v>
      </c>
      <c r="I349" s="49">
        <v>45627</v>
      </c>
      <c r="J349">
        <v>13</v>
      </c>
      <c r="K349" t="s">
        <v>7187</v>
      </c>
      <c r="L349" t="b">
        <f>FALSE()</f>
        <v>0</v>
      </c>
      <c r="M349">
        <v>50</v>
      </c>
    </row>
    <row r="350" spans="1:13" ht="15" customHeight="1" x14ac:dyDescent="0.2">
      <c r="A350" s="49">
        <v>45640</v>
      </c>
      <c r="B350">
        <v>2024</v>
      </c>
      <c r="C350" t="s">
        <v>7217</v>
      </c>
      <c r="D350" t="s">
        <v>7218</v>
      </c>
      <c r="E350">
        <v>12</v>
      </c>
      <c r="F350" t="s">
        <v>7225</v>
      </c>
      <c r="G350" t="s">
        <v>7226</v>
      </c>
      <c r="H350" t="s">
        <v>7227</v>
      </c>
      <c r="I350" s="49">
        <v>45627</v>
      </c>
      <c r="J350">
        <v>14</v>
      </c>
      <c r="K350" t="s">
        <v>7188</v>
      </c>
      <c r="L350" t="b">
        <f>TRUE()</f>
        <v>1</v>
      </c>
      <c r="M350">
        <v>50</v>
      </c>
    </row>
    <row r="351" spans="1:13" ht="15" customHeight="1" x14ac:dyDescent="0.2">
      <c r="A351" s="49">
        <v>45641</v>
      </c>
      <c r="B351">
        <v>2024</v>
      </c>
      <c r="C351" t="s">
        <v>7217</v>
      </c>
      <c r="D351" t="s">
        <v>7218</v>
      </c>
      <c r="E351">
        <v>12</v>
      </c>
      <c r="F351" t="s">
        <v>7225</v>
      </c>
      <c r="G351" t="s">
        <v>7226</v>
      </c>
      <c r="H351" t="s">
        <v>7227</v>
      </c>
      <c r="I351" s="49">
        <v>45627</v>
      </c>
      <c r="J351">
        <v>15</v>
      </c>
      <c r="K351" t="s">
        <v>7189</v>
      </c>
      <c r="L351" t="b">
        <f>TRUE()</f>
        <v>1</v>
      </c>
      <c r="M351">
        <v>50</v>
      </c>
    </row>
    <row r="352" spans="1:13" ht="15" customHeight="1" x14ac:dyDescent="0.2">
      <c r="A352" s="49">
        <v>45642</v>
      </c>
      <c r="B352">
        <v>2024</v>
      </c>
      <c r="C352" t="s">
        <v>7217</v>
      </c>
      <c r="D352" t="s">
        <v>7218</v>
      </c>
      <c r="E352">
        <v>12</v>
      </c>
      <c r="F352" t="s">
        <v>7225</v>
      </c>
      <c r="G352" t="s">
        <v>7226</v>
      </c>
      <c r="H352" t="s">
        <v>7227</v>
      </c>
      <c r="I352" s="49">
        <v>45627</v>
      </c>
      <c r="J352">
        <v>16</v>
      </c>
      <c r="K352" t="s">
        <v>7183</v>
      </c>
      <c r="L352" t="b">
        <f>FALSE()</f>
        <v>0</v>
      </c>
      <c r="M352">
        <v>51</v>
      </c>
    </row>
    <row r="353" spans="1:13" ht="15" customHeight="1" x14ac:dyDescent="0.2">
      <c r="A353" s="49">
        <v>45643</v>
      </c>
      <c r="B353">
        <v>2024</v>
      </c>
      <c r="C353" t="s">
        <v>7217</v>
      </c>
      <c r="D353" t="s">
        <v>7218</v>
      </c>
      <c r="E353">
        <v>12</v>
      </c>
      <c r="F353" t="s">
        <v>7225</v>
      </c>
      <c r="G353" t="s">
        <v>7226</v>
      </c>
      <c r="H353" t="s">
        <v>7227</v>
      </c>
      <c r="I353" s="49">
        <v>45627</v>
      </c>
      <c r="J353">
        <v>17</v>
      </c>
      <c r="K353" t="s">
        <v>7184</v>
      </c>
      <c r="L353" t="b">
        <f>FALSE()</f>
        <v>0</v>
      </c>
      <c r="M353">
        <v>51</v>
      </c>
    </row>
    <row r="354" spans="1:13" ht="15" customHeight="1" x14ac:dyDescent="0.2">
      <c r="A354" s="49">
        <v>45644</v>
      </c>
      <c r="B354">
        <v>2024</v>
      </c>
      <c r="C354" t="s">
        <v>7217</v>
      </c>
      <c r="D354" t="s">
        <v>7218</v>
      </c>
      <c r="E354">
        <v>12</v>
      </c>
      <c r="F354" t="s">
        <v>7225</v>
      </c>
      <c r="G354" t="s">
        <v>7226</v>
      </c>
      <c r="H354" t="s">
        <v>7227</v>
      </c>
      <c r="I354" s="49">
        <v>45627</v>
      </c>
      <c r="J354">
        <v>18</v>
      </c>
      <c r="K354" t="s">
        <v>7185</v>
      </c>
      <c r="L354" t="b">
        <f>FALSE()</f>
        <v>0</v>
      </c>
      <c r="M354">
        <v>51</v>
      </c>
    </row>
    <row r="355" spans="1:13" ht="15" customHeight="1" x14ac:dyDescent="0.2">
      <c r="A355" s="49">
        <v>45645</v>
      </c>
      <c r="B355">
        <v>2024</v>
      </c>
      <c r="C355" t="s">
        <v>7217</v>
      </c>
      <c r="D355" t="s">
        <v>7218</v>
      </c>
      <c r="E355">
        <v>12</v>
      </c>
      <c r="F355" t="s">
        <v>7225</v>
      </c>
      <c r="G355" t="s">
        <v>7226</v>
      </c>
      <c r="H355" t="s">
        <v>7227</v>
      </c>
      <c r="I355" s="49">
        <v>45627</v>
      </c>
      <c r="J355">
        <v>19</v>
      </c>
      <c r="K355" t="s">
        <v>7186</v>
      </c>
      <c r="L355" t="b">
        <f>FALSE()</f>
        <v>0</v>
      </c>
      <c r="M355">
        <v>51</v>
      </c>
    </row>
    <row r="356" spans="1:13" ht="15" customHeight="1" x14ac:dyDescent="0.2">
      <c r="A356" s="49">
        <v>45646</v>
      </c>
      <c r="B356">
        <v>2024</v>
      </c>
      <c r="C356" t="s">
        <v>7217</v>
      </c>
      <c r="D356" t="s">
        <v>7218</v>
      </c>
      <c r="E356">
        <v>12</v>
      </c>
      <c r="F356" t="s">
        <v>7225</v>
      </c>
      <c r="G356" t="s">
        <v>7226</v>
      </c>
      <c r="H356" t="s">
        <v>7227</v>
      </c>
      <c r="I356" s="49">
        <v>45627</v>
      </c>
      <c r="J356">
        <v>20</v>
      </c>
      <c r="K356" t="s">
        <v>7187</v>
      </c>
      <c r="L356" t="b">
        <f>FALSE()</f>
        <v>0</v>
      </c>
      <c r="M356">
        <v>51</v>
      </c>
    </row>
    <row r="357" spans="1:13" ht="15" customHeight="1" x14ac:dyDescent="0.2">
      <c r="A357" s="49">
        <v>45647</v>
      </c>
      <c r="B357">
        <v>2024</v>
      </c>
      <c r="C357" t="s">
        <v>7217</v>
      </c>
      <c r="D357" t="s">
        <v>7218</v>
      </c>
      <c r="E357">
        <v>12</v>
      </c>
      <c r="F357" t="s">
        <v>7225</v>
      </c>
      <c r="G357" t="s">
        <v>7226</v>
      </c>
      <c r="H357" t="s">
        <v>7227</v>
      </c>
      <c r="I357" s="49">
        <v>45627</v>
      </c>
      <c r="J357">
        <v>21</v>
      </c>
      <c r="K357" t="s">
        <v>7188</v>
      </c>
      <c r="L357" t="b">
        <f>TRUE()</f>
        <v>1</v>
      </c>
      <c r="M357">
        <v>51</v>
      </c>
    </row>
    <row r="358" spans="1:13" ht="15" customHeight="1" x14ac:dyDescent="0.2">
      <c r="A358" s="49">
        <v>45648</v>
      </c>
      <c r="B358">
        <v>2024</v>
      </c>
      <c r="C358" t="s">
        <v>7217</v>
      </c>
      <c r="D358" t="s">
        <v>7218</v>
      </c>
      <c r="E358">
        <v>12</v>
      </c>
      <c r="F358" t="s">
        <v>7225</v>
      </c>
      <c r="G358" t="s">
        <v>7226</v>
      </c>
      <c r="H358" t="s">
        <v>7227</v>
      </c>
      <c r="I358" s="49">
        <v>45627</v>
      </c>
      <c r="J358">
        <v>22</v>
      </c>
      <c r="K358" t="s">
        <v>7189</v>
      </c>
      <c r="L358" t="b">
        <f>TRUE()</f>
        <v>1</v>
      </c>
      <c r="M358">
        <v>51</v>
      </c>
    </row>
    <row r="359" spans="1:13" ht="15" customHeight="1" x14ac:dyDescent="0.2">
      <c r="A359" s="49">
        <v>45649</v>
      </c>
      <c r="B359">
        <v>2024</v>
      </c>
      <c r="C359" t="s">
        <v>7217</v>
      </c>
      <c r="D359" t="s">
        <v>7218</v>
      </c>
      <c r="E359">
        <v>12</v>
      </c>
      <c r="F359" t="s">
        <v>7225</v>
      </c>
      <c r="G359" t="s">
        <v>7226</v>
      </c>
      <c r="H359" t="s">
        <v>7227</v>
      </c>
      <c r="I359" s="49">
        <v>45627</v>
      </c>
      <c r="J359">
        <v>23</v>
      </c>
      <c r="K359" t="s">
        <v>7183</v>
      </c>
      <c r="L359" t="b">
        <f>FALSE()</f>
        <v>0</v>
      </c>
      <c r="M359">
        <v>52</v>
      </c>
    </row>
    <row r="360" spans="1:13" ht="15" customHeight="1" x14ac:dyDescent="0.2">
      <c r="A360" s="49">
        <v>45650</v>
      </c>
      <c r="B360">
        <v>2024</v>
      </c>
      <c r="C360" t="s">
        <v>7217</v>
      </c>
      <c r="D360" t="s">
        <v>7218</v>
      </c>
      <c r="E360">
        <v>12</v>
      </c>
      <c r="F360" t="s">
        <v>7225</v>
      </c>
      <c r="G360" t="s">
        <v>7226</v>
      </c>
      <c r="H360" t="s">
        <v>7227</v>
      </c>
      <c r="I360" s="49">
        <v>45627</v>
      </c>
      <c r="J360">
        <v>24</v>
      </c>
      <c r="K360" t="s">
        <v>7184</v>
      </c>
      <c r="L360" t="b">
        <f>FALSE()</f>
        <v>0</v>
      </c>
      <c r="M360">
        <v>52</v>
      </c>
    </row>
    <row r="361" spans="1:13" ht="15" customHeight="1" x14ac:dyDescent="0.2">
      <c r="A361" s="49">
        <v>45651</v>
      </c>
      <c r="B361">
        <v>2024</v>
      </c>
      <c r="C361" t="s">
        <v>7217</v>
      </c>
      <c r="D361" t="s">
        <v>7218</v>
      </c>
      <c r="E361">
        <v>12</v>
      </c>
      <c r="F361" t="s">
        <v>7225</v>
      </c>
      <c r="G361" t="s">
        <v>7226</v>
      </c>
      <c r="H361" t="s">
        <v>7227</v>
      </c>
      <c r="I361" s="49">
        <v>45627</v>
      </c>
      <c r="J361">
        <v>25</v>
      </c>
      <c r="K361" t="s">
        <v>7185</v>
      </c>
      <c r="L361" t="b">
        <f>FALSE()</f>
        <v>0</v>
      </c>
      <c r="M361">
        <v>52</v>
      </c>
    </row>
    <row r="362" spans="1:13" ht="15" customHeight="1" x14ac:dyDescent="0.2">
      <c r="A362" s="49">
        <v>45652</v>
      </c>
      <c r="B362">
        <v>2024</v>
      </c>
      <c r="C362" t="s">
        <v>7217</v>
      </c>
      <c r="D362" t="s">
        <v>7218</v>
      </c>
      <c r="E362">
        <v>12</v>
      </c>
      <c r="F362" t="s">
        <v>7225</v>
      </c>
      <c r="G362" t="s">
        <v>7226</v>
      </c>
      <c r="H362" t="s">
        <v>7227</v>
      </c>
      <c r="I362" s="49">
        <v>45627</v>
      </c>
      <c r="J362">
        <v>26</v>
      </c>
      <c r="K362" t="s">
        <v>7186</v>
      </c>
      <c r="L362" t="b">
        <f>FALSE()</f>
        <v>0</v>
      </c>
      <c r="M362">
        <v>52</v>
      </c>
    </row>
    <row r="363" spans="1:13" ht="15" customHeight="1" x14ac:dyDescent="0.2">
      <c r="A363" s="49">
        <v>45653</v>
      </c>
      <c r="B363">
        <v>2024</v>
      </c>
      <c r="C363" t="s">
        <v>7217</v>
      </c>
      <c r="D363" t="s">
        <v>7218</v>
      </c>
      <c r="E363">
        <v>12</v>
      </c>
      <c r="F363" t="s">
        <v>7225</v>
      </c>
      <c r="G363" t="s">
        <v>7226</v>
      </c>
      <c r="H363" t="s">
        <v>7227</v>
      </c>
      <c r="I363" s="49">
        <v>45627</v>
      </c>
      <c r="J363">
        <v>27</v>
      </c>
      <c r="K363" t="s">
        <v>7187</v>
      </c>
      <c r="L363" t="b">
        <f>FALSE()</f>
        <v>0</v>
      </c>
      <c r="M363">
        <v>52</v>
      </c>
    </row>
    <row r="364" spans="1:13" ht="15" customHeight="1" x14ac:dyDescent="0.2">
      <c r="A364" s="49">
        <v>45654</v>
      </c>
      <c r="B364">
        <v>2024</v>
      </c>
      <c r="C364" t="s">
        <v>7217</v>
      </c>
      <c r="D364" t="s">
        <v>7218</v>
      </c>
      <c r="E364">
        <v>12</v>
      </c>
      <c r="F364" t="s">
        <v>7225</v>
      </c>
      <c r="G364" t="s">
        <v>7226</v>
      </c>
      <c r="H364" t="s">
        <v>7227</v>
      </c>
      <c r="I364" s="49">
        <v>45627</v>
      </c>
      <c r="J364">
        <v>28</v>
      </c>
      <c r="K364" t="s">
        <v>7188</v>
      </c>
      <c r="L364" t="b">
        <f>TRUE()</f>
        <v>1</v>
      </c>
      <c r="M364">
        <v>52</v>
      </c>
    </row>
    <row r="365" spans="1:13" ht="15" customHeight="1" x14ac:dyDescent="0.2">
      <c r="A365" s="49">
        <v>45655</v>
      </c>
      <c r="B365">
        <v>2024</v>
      </c>
      <c r="C365" t="s">
        <v>7217</v>
      </c>
      <c r="D365" t="s">
        <v>7218</v>
      </c>
      <c r="E365">
        <v>12</v>
      </c>
      <c r="F365" t="s">
        <v>7225</v>
      </c>
      <c r="G365" t="s">
        <v>7226</v>
      </c>
      <c r="H365" t="s">
        <v>7227</v>
      </c>
      <c r="I365" s="49">
        <v>45627</v>
      </c>
      <c r="J365">
        <v>29</v>
      </c>
      <c r="K365" t="s">
        <v>7189</v>
      </c>
      <c r="L365" t="b">
        <f>TRUE()</f>
        <v>1</v>
      </c>
      <c r="M365">
        <v>52</v>
      </c>
    </row>
    <row r="366" spans="1:13" ht="15" customHeight="1" x14ac:dyDescent="0.2">
      <c r="A366" s="49">
        <v>45656</v>
      </c>
      <c r="B366">
        <v>2024</v>
      </c>
      <c r="C366" t="s">
        <v>7217</v>
      </c>
      <c r="D366" t="s">
        <v>7218</v>
      </c>
      <c r="E366">
        <v>12</v>
      </c>
      <c r="F366" t="s">
        <v>7225</v>
      </c>
      <c r="G366" t="s">
        <v>7226</v>
      </c>
      <c r="H366" t="s">
        <v>7227</v>
      </c>
      <c r="I366" s="49">
        <v>45627</v>
      </c>
      <c r="J366">
        <v>30</v>
      </c>
      <c r="K366" t="s">
        <v>7183</v>
      </c>
      <c r="L366" t="b">
        <f>FALSE()</f>
        <v>0</v>
      </c>
      <c r="M366">
        <v>1</v>
      </c>
    </row>
    <row r="367" spans="1:13" ht="15" customHeight="1" x14ac:dyDescent="0.2">
      <c r="A367" s="49">
        <v>45657</v>
      </c>
      <c r="B367">
        <v>2024</v>
      </c>
      <c r="C367" t="s">
        <v>7217</v>
      </c>
      <c r="D367" t="s">
        <v>7218</v>
      </c>
      <c r="E367">
        <v>12</v>
      </c>
      <c r="F367" t="s">
        <v>7225</v>
      </c>
      <c r="G367" t="s">
        <v>7226</v>
      </c>
      <c r="H367" t="s">
        <v>7227</v>
      </c>
      <c r="I367" s="49">
        <v>45627</v>
      </c>
      <c r="J367">
        <v>31</v>
      </c>
      <c r="K367" t="s">
        <v>7184</v>
      </c>
      <c r="L367" t="b">
        <f>FALSE()</f>
        <v>0</v>
      </c>
      <c r="M367">
        <v>1</v>
      </c>
    </row>
    <row r="368" spans="1:13" ht="15" customHeight="1" x14ac:dyDescent="0.2">
      <c r="A368" s="49">
        <v>45658</v>
      </c>
      <c r="B368">
        <v>2025</v>
      </c>
      <c r="C368" t="s">
        <v>7178</v>
      </c>
      <c r="D368" t="s">
        <v>7228</v>
      </c>
      <c r="E368">
        <v>1</v>
      </c>
      <c r="F368" t="s">
        <v>7180</v>
      </c>
      <c r="G368" t="s">
        <v>7181</v>
      </c>
      <c r="H368" t="s">
        <v>7229</v>
      </c>
      <c r="I368" s="49">
        <v>45658</v>
      </c>
      <c r="J368">
        <v>1</v>
      </c>
      <c r="K368" t="s">
        <v>7185</v>
      </c>
      <c r="L368" t="b">
        <f>FALSE()</f>
        <v>0</v>
      </c>
      <c r="M368">
        <v>1</v>
      </c>
    </row>
    <row r="369" spans="1:13" ht="15" customHeight="1" x14ac:dyDescent="0.2">
      <c r="A369" s="49">
        <v>45659</v>
      </c>
      <c r="B369">
        <v>2025</v>
      </c>
      <c r="C369" t="s">
        <v>7178</v>
      </c>
      <c r="D369" t="s">
        <v>7228</v>
      </c>
      <c r="E369">
        <v>1</v>
      </c>
      <c r="F369" t="s">
        <v>7180</v>
      </c>
      <c r="G369" t="s">
        <v>7181</v>
      </c>
      <c r="H369" t="s">
        <v>7229</v>
      </c>
      <c r="I369" s="49">
        <v>45658</v>
      </c>
      <c r="J369">
        <v>2</v>
      </c>
      <c r="K369" t="s">
        <v>7186</v>
      </c>
      <c r="L369" t="b">
        <f>FALSE()</f>
        <v>0</v>
      </c>
      <c r="M369">
        <v>1</v>
      </c>
    </row>
    <row r="370" spans="1:13" ht="15" customHeight="1" x14ac:dyDescent="0.2">
      <c r="A370" s="49">
        <v>45660</v>
      </c>
      <c r="B370">
        <v>2025</v>
      </c>
      <c r="C370" t="s">
        <v>7178</v>
      </c>
      <c r="D370" t="s">
        <v>7228</v>
      </c>
      <c r="E370">
        <v>1</v>
      </c>
      <c r="F370" t="s">
        <v>7180</v>
      </c>
      <c r="G370" t="s">
        <v>7181</v>
      </c>
      <c r="H370" t="s">
        <v>7229</v>
      </c>
      <c r="I370" s="49">
        <v>45658</v>
      </c>
      <c r="J370">
        <v>3</v>
      </c>
      <c r="K370" t="s">
        <v>7187</v>
      </c>
      <c r="L370" t="b">
        <f>FALSE()</f>
        <v>0</v>
      </c>
      <c r="M370">
        <v>1</v>
      </c>
    </row>
    <row r="371" spans="1:13" ht="15" customHeight="1" x14ac:dyDescent="0.2">
      <c r="A371" s="49">
        <v>45661</v>
      </c>
      <c r="B371">
        <v>2025</v>
      </c>
      <c r="C371" t="s">
        <v>7178</v>
      </c>
      <c r="D371" t="s">
        <v>7228</v>
      </c>
      <c r="E371">
        <v>1</v>
      </c>
      <c r="F371" t="s">
        <v>7180</v>
      </c>
      <c r="G371" t="s">
        <v>7181</v>
      </c>
      <c r="H371" t="s">
        <v>7229</v>
      </c>
      <c r="I371" s="49">
        <v>45658</v>
      </c>
      <c r="J371">
        <v>4</v>
      </c>
      <c r="K371" t="s">
        <v>7188</v>
      </c>
      <c r="L371" t="b">
        <f>TRUE()</f>
        <v>1</v>
      </c>
      <c r="M371">
        <v>1</v>
      </c>
    </row>
    <row r="372" spans="1:13" ht="15" customHeight="1" x14ac:dyDescent="0.2">
      <c r="A372" s="49">
        <v>45662</v>
      </c>
      <c r="B372">
        <v>2025</v>
      </c>
      <c r="C372" t="s">
        <v>7178</v>
      </c>
      <c r="D372" t="s">
        <v>7228</v>
      </c>
      <c r="E372">
        <v>1</v>
      </c>
      <c r="F372" t="s">
        <v>7180</v>
      </c>
      <c r="G372" t="s">
        <v>7181</v>
      </c>
      <c r="H372" t="s">
        <v>7229</v>
      </c>
      <c r="I372" s="49">
        <v>45658</v>
      </c>
      <c r="J372">
        <v>5</v>
      </c>
      <c r="K372" t="s">
        <v>7189</v>
      </c>
      <c r="L372" t="b">
        <f>TRUE()</f>
        <v>1</v>
      </c>
      <c r="M372">
        <v>1</v>
      </c>
    </row>
    <row r="373" spans="1:13" ht="15" customHeight="1" x14ac:dyDescent="0.2">
      <c r="A373" s="49">
        <v>45663</v>
      </c>
      <c r="B373">
        <v>2025</v>
      </c>
      <c r="C373" t="s">
        <v>7178</v>
      </c>
      <c r="D373" t="s">
        <v>7228</v>
      </c>
      <c r="E373">
        <v>1</v>
      </c>
      <c r="F373" t="s">
        <v>7180</v>
      </c>
      <c r="G373" t="s">
        <v>7181</v>
      </c>
      <c r="H373" t="s">
        <v>7229</v>
      </c>
      <c r="I373" s="49">
        <v>45658</v>
      </c>
      <c r="J373">
        <v>6</v>
      </c>
      <c r="K373" t="s">
        <v>7183</v>
      </c>
      <c r="L373" t="b">
        <f>FALSE()</f>
        <v>0</v>
      </c>
      <c r="M373">
        <v>2</v>
      </c>
    </row>
    <row r="374" spans="1:13" ht="15" customHeight="1" x14ac:dyDescent="0.2">
      <c r="A374" s="49">
        <v>45664</v>
      </c>
      <c r="B374">
        <v>2025</v>
      </c>
      <c r="C374" t="s">
        <v>7178</v>
      </c>
      <c r="D374" t="s">
        <v>7228</v>
      </c>
      <c r="E374">
        <v>1</v>
      </c>
      <c r="F374" t="s">
        <v>7180</v>
      </c>
      <c r="G374" t="s">
        <v>7181</v>
      </c>
      <c r="H374" t="s">
        <v>7229</v>
      </c>
      <c r="I374" s="49">
        <v>45658</v>
      </c>
      <c r="J374">
        <v>7</v>
      </c>
      <c r="K374" t="s">
        <v>7184</v>
      </c>
      <c r="L374" t="b">
        <f>FALSE()</f>
        <v>0</v>
      </c>
      <c r="M374">
        <v>2</v>
      </c>
    </row>
    <row r="375" spans="1:13" ht="15" customHeight="1" x14ac:dyDescent="0.2">
      <c r="A375" s="49">
        <v>45665</v>
      </c>
      <c r="B375">
        <v>2025</v>
      </c>
      <c r="C375" t="s">
        <v>7178</v>
      </c>
      <c r="D375" t="s">
        <v>7228</v>
      </c>
      <c r="E375">
        <v>1</v>
      </c>
      <c r="F375" t="s">
        <v>7180</v>
      </c>
      <c r="G375" t="s">
        <v>7181</v>
      </c>
      <c r="H375" t="s">
        <v>7229</v>
      </c>
      <c r="I375" s="49">
        <v>45658</v>
      </c>
      <c r="J375">
        <v>8</v>
      </c>
      <c r="K375" t="s">
        <v>7185</v>
      </c>
      <c r="L375" t="b">
        <f>FALSE()</f>
        <v>0</v>
      </c>
      <c r="M375">
        <v>2</v>
      </c>
    </row>
    <row r="376" spans="1:13" ht="15" customHeight="1" x14ac:dyDescent="0.2">
      <c r="A376" s="49">
        <v>45666</v>
      </c>
      <c r="B376">
        <v>2025</v>
      </c>
      <c r="C376" t="s">
        <v>7178</v>
      </c>
      <c r="D376" t="s">
        <v>7228</v>
      </c>
      <c r="E376">
        <v>1</v>
      </c>
      <c r="F376" t="s">
        <v>7180</v>
      </c>
      <c r="G376" t="s">
        <v>7181</v>
      </c>
      <c r="H376" t="s">
        <v>7229</v>
      </c>
      <c r="I376" s="49">
        <v>45658</v>
      </c>
      <c r="J376">
        <v>9</v>
      </c>
      <c r="K376" t="s">
        <v>7186</v>
      </c>
      <c r="L376" t="b">
        <f>FALSE()</f>
        <v>0</v>
      </c>
      <c r="M376">
        <v>2</v>
      </c>
    </row>
    <row r="377" spans="1:13" ht="15" customHeight="1" x14ac:dyDescent="0.2">
      <c r="A377" s="49">
        <v>45667</v>
      </c>
      <c r="B377">
        <v>2025</v>
      </c>
      <c r="C377" t="s">
        <v>7178</v>
      </c>
      <c r="D377" t="s">
        <v>7228</v>
      </c>
      <c r="E377">
        <v>1</v>
      </c>
      <c r="F377" t="s">
        <v>7180</v>
      </c>
      <c r="G377" t="s">
        <v>7181</v>
      </c>
      <c r="H377" t="s">
        <v>7229</v>
      </c>
      <c r="I377" s="49">
        <v>45658</v>
      </c>
      <c r="J377">
        <v>10</v>
      </c>
      <c r="K377" t="s">
        <v>7187</v>
      </c>
      <c r="L377" t="b">
        <f>FALSE()</f>
        <v>0</v>
      </c>
      <c r="M377">
        <v>2</v>
      </c>
    </row>
    <row r="378" spans="1:13" ht="15" customHeight="1" x14ac:dyDescent="0.2">
      <c r="A378" s="49">
        <v>45668</v>
      </c>
      <c r="B378">
        <v>2025</v>
      </c>
      <c r="C378" t="s">
        <v>7178</v>
      </c>
      <c r="D378" t="s">
        <v>7228</v>
      </c>
      <c r="E378">
        <v>1</v>
      </c>
      <c r="F378" t="s">
        <v>7180</v>
      </c>
      <c r="G378" t="s">
        <v>7181</v>
      </c>
      <c r="H378" t="s">
        <v>7229</v>
      </c>
      <c r="I378" s="49">
        <v>45658</v>
      </c>
      <c r="J378">
        <v>11</v>
      </c>
      <c r="K378" t="s">
        <v>7188</v>
      </c>
      <c r="L378" t="b">
        <f>TRUE()</f>
        <v>1</v>
      </c>
      <c r="M378">
        <v>2</v>
      </c>
    </row>
    <row r="379" spans="1:13" ht="15" customHeight="1" x14ac:dyDescent="0.2">
      <c r="A379" s="49">
        <v>45669</v>
      </c>
      <c r="B379">
        <v>2025</v>
      </c>
      <c r="C379" t="s">
        <v>7178</v>
      </c>
      <c r="D379" t="s">
        <v>7228</v>
      </c>
      <c r="E379">
        <v>1</v>
      </c>
      <c r="F379" t="s">
        <v>7180</v>
      </c>
      <c r="G379" t="s">
        <v>7181</v>
      </c>
      <c r="H379" t="s">
        <v>7229</v>
      </c>
      <c r="I379" s="49">
        <v>45658</v>
      </c>
      <c r="J379">
        <v>12</v>
      </c>
      <c r="K379" t="s">
        <v>7189</v>
      </c>
      <c r="L379" t="b">
        <f>TRUE()</f>
        <v>1</v>
      </c>
      <c r="M379">
        <v>2</v>
      </c>
    </row>
    <row r="380" spans="1:13" ht="15" customHeight="1" x14ac:dyDescent="0.2">
      <c r="A380" s="49">
        <v>45670</v>
      </c>
      <c r="B380">
        <v>2025</v>
      </c>
      <c r="C380" t="s">
        <v>7178</v>
      </c>
      <c r="D380" t="s">
        <v>7228</v>
      </c>
      <c r="E380">
        <v>1</v>
      </c>
      <c r="F380" t="s">
        <v>7180</v>
      </c>
      <c r="G380" t="s">
        <v>7181</v>
      </c>
      <c r="H380" t="s">
        <v>7229</v>
      </c>
      <c r="I380" s="49">
        <v>45658</v>
      </c>
      <c r="J380">
        <v>13</v>
      </c>
      <c r="K380" t="s">
        <v>7183</v>
      </c>
      <c r="L380" t="b">
        <f>FALSE()</f>
        <v>0</v>
      </c>
      <c r="M380">
        <v>3</v>
      </c>
    </row>
    <row r="381" spans="1:13" ht="15" customHeight="1" x14ac:dyDescent="0.2">
      <c r="A381" s="49">
        <v>45671</v>
      </c>
      <c r="B381">
        <v>2025</v>
      </c>
      <c r="C381" t="s">
        <v>7178</v>
      </c>
      <c r="D381" t="s">
        <v>7228</v>
      </c>
      <c r="E381">
        <v>1</v>
      </c>
      <c r="F381" t="s">
        <v>7180</v>
      </c>
      <c r="G381" t="s">
        <v>7181</v>
      </c>
      <c r="H381" t="s">
        <v>7229</v>
      </c>
      <c r="I381" s="49">
        <v>45658</v>
      </c>
      <c r="J381">
        <v>14</v>
      </c>
      <c r="K381" t="s">
        <v>7184</v>
      </c>
      <c r="L381" t="b">
        <f>FALSE()</f>
        <v>0</v>
      </c>
      <c r="M381">
        <v>3</v>
      </c>
    </row>
    <row r="382" spans="1:13" ht="15" customHeight="1" x14ac:dyDescent="0.2">
      <c r="A382" s="49">
        <v>45672</v>
      </c>
      <c r="B382">
        <v>2025</v>
      </c>
      <c r="C382" t="s">
        <v>7178</v>
      </c>
      <c r="D382" t="s">
        <v>7228</v>
      </c>
      <c r="E382">
        <v>1</v>
      </c>
      <c r="F382" t="s">
        <v>7180</v>
      </c>
      <c r="G382" t="s">
        <v>7181</v>
      </c>
      <c r="H382" t="s">
        <v>7229</v>
      </c>
      <c r="I382" s="49">
        <v>45658</v>
      </c>
      <c r="J382">
        <v>15</v>
      </c>
      <c r="K382" t="s">
        <v>7185</v>
      </c>
      <c r="L382" t="b">
        <f>FALSE()</f>
        <v>0</v>
      </c>
      <c r="M382">
        <v>3</v>
      </c>
    </row>
    <row r="383" spans="1:13" ht="15" customHeight="1" x14ac:dyDescent="0.2">
      <c r="A383" s="49">
        <v>45673</v>
      </c>
      <c r="B383">
        <v>2025</v>
      </c>
      <c r="C383" t="s">
        <v>7178</v>
      </c>
      <c r="D383" t="s">
        <v>7228</v>
      </c>
      <c r="E383">
        <v>1</v>
      </c>
      <c r="F383" t="s">
        <v>7180</v>
      </c>
      <c r="G383" t="s">
        <v>7181</v>
      </c>
      <c r="H383" t="s">
        <v>7229</v>
      </c>
      <c r="I383" s="49">
        <v>45658</v>
      </c>
      <c r="J383">
        <v>16</v>
      </c>
      <c r="K383" t="s">
        <v>7186</v>
      </c>
      <c r="L383" t="b">
        <f>FALSE()</f>
        <v>0</v>
      </c>
      <c r="M383">
        <v>3</v>
      </c>
    </row>
    <row r="384" spans="1:13" ht="15" customHeight="1" x14ac:dyDescent="0.2">
      <c r="A384" s="49">
        <v>45674</v>
      </c>
      <c r="B384">
        <v>2025</v>
      </c>
      <c r="C384" t="s">
        <v>7178</v>
      </c>
      <c r="D384" t="s">
        <v>7228</v>
      </c>
      <c r="E384">
        <v>1</v>
      </c>
      <c r="F384" t="s">
        <v>7180</v>
      </c>
      <c r="G384" t="s">
        <v>7181</v>
      </c>
      <c r="H384" t="s">
        <v>7229</v>
      </c>
      <c r="I384" s="49">
        <v>45658</v>
      </c>
      <c r="J384">
        <v>17</v>
      </c>
      <c r="K384" t="s">
        <v>7187</v>
      </c>
      <c r="L384" t="b">
        <f>FALSE()</f>
        <v>0</v>
      </c>
      <c r="M384">
        <v>3</v>
      </c>
    </row>
    <row r="385" spans="1:13" ht="15" customHeight="1" x14ac:dyDescent="0.2">
      <c r="A385" s="49">
        <v>45675</v>
      </c>
      <c r="B385">
        <v>2025</v>
      </c>
      <c r="C385" t="s">
        <v>7178</v>
      </c>
      <c r="D385" t="s">
        <v>7228</v>
      </c>
      <c r="E385">
        <v>1</v>
      </c>
      <c r="F385" t="s">
        <v>7180</v>
      </c>
      <c r="G385" t="s">
        <v>7181</v>
      </c>
      <c r="H385" t="s">
        <v>7229</v>
      </c>
      <c r="I385" s="49">
        <v>45658</v>
      </c>
      <c r="J385">
        <v>18</v>
      </c>
      <c r="K385" t="s">
        <v>7188</v>
      </c>
      <c r="L385" t="b">
        <f>TRUE()</f>
        <v>1</v>
      </c>
      <c r="M385">
        <v>3</v>
      </c>
    </row>
    <row r="386" spans="1:13" ht="15" customHeight="1" x14ac:dyDescent="0.2">
      <c r="A386" s="49">
        <v>45676</v>
      </c>
      <c r="B386">
        <v>2025</v>
      </c>
      <c r="C386" t="s">
        <v>7178</v>
      </c>
      <c r="D386" t="s">
        <v>7228</v>
      </c>
      <c r="E386">
        <v>1</v>
      </c>
      <c r="F386" t="s">
        <v>7180</v>
      </c>
      <c r="G386" t="s">
        <v>7181</v>
      </c>
      <c r="H386" t="s">
        <v>7229</v>
      </c>
      <c r="I386" s="49">
        <v>45658</v>
      </c>
      <c r="J386">
        <v>19</v>
      </c>
      <c r="K386" t="s">
        <v>7189</v>
      </c>
      <c r="L386" t="b">
        <f>TRUE()</f>
        <v>1</v>
      </c>
      <c r="M386">
        <v>3</v>
      </c>
    </row>
    <row r="387" spans="1:13" ht="15" customHeight="1" x14ac:dyDescent="0.2">
      <c r="A387" s="49">
        <v>45677</v>
      </c>
      <c r="B387">
        <v>2025</v>
      </c>
      <c r="C387" t="s">
        <v>7178</v>
      </c>
      <c r="D387" t="s">
        <v>7228</v>
      </c>
      <c r="E387">
        <v>1</v>
      </c>
      <c r="F387" t="s">
        <v>7180</v>
      </c>
      <c r="G387" t="s">
        <v>7181</v>
      </c>
      <c r="H387" t="s">
        <v>7229</v>
      </c>
      <c r="I387" s="49">
        <v>45658</v>
      </c>
      <c r="J387">
        <v>20</v>
      </c>
      <c r="K387" t="s">
        <v>7183</v>
      </c>
      <c r="L387" t="b">
        <f>FALSE()</f>
        <v>0</v>
      </c>
      <c r="M387">
        <v>4</v>
      </c>
    </row>
    <row r="388" spans="1:13" ht="15" customHeight="1" x14ac:dyDescent="0.2">
      <c r="A388" s="49">
        <v>45678</v>
      </c>
      <c r="B388">
        <v>2025</v>
      </c>
      <c r="C388" t="s">
        <v>7178</v>
      </c>
      <c r="D388" t="s">
        <v>7228</v>
      </c>
      <c r="E388">
        <v>1</v>
      </c>
      <c r="F388" t="s">
        <v>7180</v>
      </c>
      <c r="G388" t="s">
        <v>7181</v>
      </c>
      <c r="H388" t="s">
        <v>7229</v>
      </c>
      <c r="I388" s="49">
        <v>45658</v>
      </c>
      <c r="J388">
        <v>21</v>
      </c>
      <c r="K388" t="s">
        <v>7184</v>
      </c>
      <c r="L388" t="b">
        <f>FALSE()</f>
        <v>0</v>
      </c>
      <c r="M388">
        <v>4</v>
      </c>
    </row>
    <row r="389" spans="1:13" ht="15" customHeight="1" x14ac:dyDescent="0.2">
      <c r="A389" s="49">
        <v>45679</v>
      </c>
      <c r="B389">
        <v>2025</v>
      </c>
      <c r="C389" t="s">
        <v>7178</v>
      </c>
      <c r="D389" t="s">
        <v>7228</v>
      </c>
      <c r="E389">
        <v>1</v>
      </c>
      <c r="F389" t="s">
        <v>7180</v>
      </c>
      <c r="G389" t="s">
        <v>7181</v>
      </c>
      <c r="H389" t="s">
        <v>7229</v>
      </c>
      <c r="I389" s="49">
        <v>45658</v>
      </c>
      <c r="J389">
        <v>22</v>
      </c>
      <c r="K389" t="s">
        <v>7185</v>
      </c>
      <c r="L389" t="b">
        <f>FALSE()</f>
        <v>0</v>
      </c>
      <c r="M389">
        <v>4</v>
      </c>
    </row>
    <row r="390" spans="1:13" ht="15" customHeight="1" x14ac:dyDescent="0.2">
      <c r="A390" s="49">
        <v>45680</v>
      </c>
      <c r="B390">
        <v>2025</v>
      </c>
      <c r="C390" t="s">
        <v>7178</v>
      </c>
      <c r="D390" t="s">
        <v>7228</v>
      </c>
      <c r="E390">
        <v>1</v>
      </c>
      <c r="F390" t="s">
        <v>7180</v>
      </c>
      <c r="G390" t="s">
        <v>7181</v>
      </c>
      <c r="H390" t="s">
        <v>7229</v>
      </c>
      <c r="I390" s="49">
        <v>45658</v>
      </c>
      <c r="J390">
        <v>23</v>
      </c>
      <c r="K390" t="s">
        <v>7186</v>
      </c>
      <c r="L390" t="b">
        <f>FALSE()</f>
        <v>0</v>
      </c>
      <c r="M390">
        <v>4</v>
      </c>
    </row>
    <row r="391" spans="1:13" ht="15" customHeight="1" x14ac:dyDescent="0.2">
      <c r="A391" s="49">
        <v>45681</v>
      </c>
      <c r="B391">
        <v>2025</v>
      </c>
      <c r="C391" t="s">
        <v>7178</v>
      </c>
      <c r="D391" t="s">
        <v>7228</v>
      </c>
      <c r="E391">
        <v>1</v>
      </c>
      <c r="F391" t="s">
        <v>7180</v>
      </c>
      <c r="G391" t="s">
        <v>7181</v>
      </c>
      <c r="H391" t="s">
        <v>7229</v>
      </c>
      <c r="I391" s="49">
        <v>45658</v>
      </c>
      <c r="J391">
        <v>24</v>
      </c>
      <c r="K391" t="s">
        <v>7187</v>
      </c>
      <c r="L391" t="b">
        <f>FALSE()</f>
        <v>0</v>
      </c>
      <c r="M391">
        <v>4</v>
      </c>
    </row>
    <row r="392" spans="1:13" ht="15" customHeight="1" x14ac:dyDescent="0.2">
      <c r="A392" s="49">
        <v>45682</v>
      </c>
      <c r="B392">
        <v>2025</v>
      </c>
      <c r="C392" t="s">
        <v>7178</v>
      </c>
      <c r="D392" t="s">
        <v>7228</v>
      </c>
      <c r="E392">
        <v>1</v>
      </c>
      <c r="F392" t="s">
        <v>7180</v>
      </c>
      <c r="G392" t="s">
        <v>7181</v>
      </c>
      <c r="H392" t="s">
        <v>7229</v>
      </c>
      <c r="I392" s="49">
        <v>45658</v>
      </c>
      <c r="J392">
        <v>25</v>
      </c>
      <c r="K392" t="s">
        <v>7188</v>
      </c>
      <c r="L392" t="b">
        <f>TRUE()</f>
        <v>1</v>
      </c>
      <c r="M392">
        <v>4</v>
      </c>
    </row>
    <row r="393" spans="1:13" ht="15" customHeight="1" x14ac:dyDescent="0.2">
      <c r="A393" s="49">
        <v>45683</v>
      </c>
      <c r="B393">
        <v>2025</v>
      </c>
      <c r="C393" t="s">
        <v>7178</v>
      </c>
      <c r="D393" t="s">
        <v>7228</v>
      </c>
      <c r="E393">
        <v>1</v>
      </c>
      <c r="F393" t="s">
        <v>7180</v>
      </c>
      <c r="G393" t="s">
        <v>7181</v>
      </c>
      <c r="H393" t="s">
        <v>7229</v>
      </c>
      <c r="I393" s="49">
        <v>45658</v>
      </c>
      <c r="J393">
        <v>26</v>
      </c>
      <c r="K393" t="s">
        <v>7189</v>
      </c>
      <c r="L393" t="b">
        <f>TRUE()</f>
        <v>1</v>
      </c>
      <c r="M393">
        <v>4</v>
      </c>
    </row>
    <row r="394" spans="1:13" ht="15" customHeight="1" x14ac:dyDescent="0.2">
      <c r="A394" s="49">
        <v>45684</v>
      </c>
      <c r="B394">
        <v>2025</v>
      </c>
      <c r="C394" t="s">
        <v>7178</v>
      </c>
      <c r="D394" t="s">
        <v>7228</v>
      </c>
      <c r="E394">
        <v>1</v>
      </c>
      <c r="F394" t="s">
        <v>7180</v>
      </c>
      <c r="G394" t="s">
        <v>7181</v>
      </c>
      <c r="H394" t="s">
        <v>7229</v>
      </c>
      <c r="I394" s="49">
        <v>45658</v>
      </c>
      <c r="J394">
        <v>27</v>
      </c>
      <c r="K394" t="s">
        <v>7183</v>
      </c>
      <c r="L394" t="b">
        <f>FALSE()</f>
        <v>0</v>
      </c>
      <c r="M394">
        <v>5</v>
      </c>
    </row>
    <row r="395" spans="1:13" ht="15" customHeight="1" x14ac:dyDescent="0.2">
      <c r="A395" s="49">
        <v>45685</v>
      </c>
      <c r="B395">
        <v>2025</v>
      </c>
      <c r="C395" t="s">
        <v>7178</v>
      </c>
      <c r="D395" t="s">
        <v>7228</v>
      </c>
      <c r="E395">
        <v>1</v>
      </c>
      <c r="F395" t="s">
        <v>7180</v>
      </c>
      <c r="G395" t="s">
        <v>7181</v>
      </c>
      <c r="H395" t="s">
        <v>7229</v>
      </c>
      <c r="I395" s="49">
        <v>45658</v>
      </c>
      <c r="J395">
        <v>28</v>
      </c>
      <c r="K395" t="s">
        <v>7184</v>
      </c>
      <c r="L395" t="b">
        <f>FALSE()</f>
        <v>0</v>
      </c>
      <c r="M395">
        <v>5</v>
      </c>
    </row>
    <row r="396" spans="1:13" ht="15" customHeight="1" x14ac:dyDescent="0.2">
      <c r="A396" s="49">
        <v>45686</v>
      </c>
      <c r="B396">
        <v>2025</v>
      </c>
      <c r="C396" t="s">
        <v>7178</v>
      </c>
      <c r="D396" t="s">
        <v>7228</v>
      </c>
      <c r="E396">
        <v>1</v>
      </c>
      <c r="F396" t="s">
        <v>7180</v>
      </c>
      <c r="G396" t="s">
        <v>7181</v>
      </c>
      <c r="H396" t="s">
        <v>7229</v>
      </c>
      <c r="I396" s="49">
        <v>45658</v>
      </c>
      <c r="J396">
        <v>29</v>
      </c>
      <c r="K396" t="s">
        <v>7185</v>
      </c>
      <c r="L396" t="b">
        <f>FALSE()</f>
        <v>0</v>
      </c>
      <c r="M396">
        <v>5</v>
      </c>
    </row>
    <row r="397" spans="1:13" ht="15" customHeight="1" x14ac:dyDescent="0.2">
      <c r="A397" s="49">
        <v>45687</v>
      </c>
      <c r="B397">
        <v>2025</v>
      </c>
      <c r="C397" t="s">
        <v>7178</v>
      </c>
      <c r="D397" t="s">
        <v>7228</v>
      </c>
      <c r="E397">
        <v>1</v>
      </c>
      <c r="F397" t="s">
        <v>7180</v>
      </c>
      <c r="G397" t="s">
        <v>7181</v>
      </c>
      <c r="H397" t="s">
        <v>7229</v>
      </c>
      <c r="I397" s="49">
        <v>45658</v>
      </c>
      <c r="J397">
        <v>30</v>
      </c>
      <c r="K397" t="s">
        <v>7186</v>
      </c>
      <c r="L397" t="b">
        <f>FALSE()</f>
        <v>0</v>
      </c>
      <c r="M397">
        <v>5</v>
      </c>
    </row>
    <row r="398" spans="1:13" ht="15" customHeight="1" x14ac:dyDescent="0.2">
      <c r="A398" s="49">
        <v>45688</v>
      </c>
      <c r="B398">
        <v>2025</v>
      </c>
      <c r="C398" t="s">
        <v>7178</v>
      </c>
      <c r="D398" t="s">
        <v>7228</v>
      </c>
      <c r="E398">
        <v>1</v>
      </c>
      <c r="F398" t="s">
        <v>7180</v>
      </c>
      <c r="G398" t="s">
        <v>7181</v>
      </c>
      <c r="H398" t="s">
        <v>7229</v>
      </c>
      <c r="I398" s="49">
        <v>45658</v>
      </c>
      <c r="J398">
        <v>31</v>
      </c>
      <c r="K398" t="s">
        <v>7187</v>
      </c>
      <c r="L398" t="b">
        <f>FALSE()</f>
        <v>0</v>
      </c>
      <c r="M398">
        <v>5</v>
      </c>
    </row>
    <row r="399" spans="1:13" ht="15" customHeight="1" x14ac:dyDescent="0.2">
      <c r="A399" s="49">
        <v>45689</v>
      </c>
      <c r="B399">
        <v>2025</v>
      </c>
      <c r="C399" t="s">
        <v>7178</v>
      </c>
      <c r="D399" t="s">
        <v>7228</v>
      </c>
      <c r="E399">
        <v>2</v>
      </c>
      <c r="F399" t="s">
        <v>7190</v>
      </c>
      <c r="G399" t="s">
        <v>7191</v>
      </c>
      <c r="H399" t="s">
        <v>7230</v>
      </c>
      <c r="I399" s="49">
        <v>45689</v>
      </c>
      <c r="J399">
        <v>1</v>
      </c>
      <c r="K399" t="s">
        <v>7188</v>
      </c>
      <c r="L399" t="b">
        <f>TRUE()</f>
        <v>1</v>
      </c>
      <c r="M399">
        <v>5</v>
      </c>
    </row>
    <row r="400" spans="1:13" ht="15" customHeight="1" x14ac:dyDescent="0.2">
      <c r="A400" s="49">
        <v>45690</v>
      </c>
      <c r="B400">
        <v>2025</v>
      </c>
      <c r="C400" t="s">
        <v>7178</v>
      </c>
      <c r="D400" t="s">
        <v>7228</v>
      </c>
      <c r="E400">
        <v>2</v>
      </c>
      <c r="F400" t="s">
        <v>7190</v>
      </c>
      <c r="G400" t="s">
        <v>7191</v>
      </c>
      <c r="H400" t="s">
        <v>7230</v>
      </c>
      <c r="I400" s="49">
        <v>45689</v>
      </c>
      <c r="J400">
        <v>2</v>
      </c>
      <c r="K400" t="s">
        <v>7189</v>
      </c>
      <c r="L400" t="b">
        <f>TRUE()</f>
        <v>1</v>
      </c>
      <c r="M400">
        <v>5</v>
      </c>
    </row>
    <row r="401" spans="1:13" ht="15" customHeight="1" x14ac:dyDescent="0.2">
      <c r="A401" s="49">
        <v>45691</v>
      </c>
      <c r="B401">
        <v>2025</v>
      </c>
      <c r="C401" t="s">
        <v>7178</v>
      </c>
      <c r="D401" t="s">
        <v>7228</v>
      </c>
      <c r="E401">
        <v>2</v>
      </c>
      <c r="F401" t="s">
        <v>7190</v>
      </c>
      <c r="G401" t="s">
        <v>7191</v>
      </c>
      <c r="H401" t="s">
        <v>7230</v>
      </c>
      <c r="I401" s="49">
        <v>45689</v>
      </c>
      <c r="J401">
        <v>3</v>
      </c>
      <c r="K401" t="s">
        <v>7183</v>
      </c>
      <c r="L401" t="b">
        <f>FALSE()</f>
        <v>0</v>
      </c>
      <c r="M401">
        <v>6</v>
      </c>
    </row>
    <row r="402" spans="1:13" ht="15" customHeight="1" x14ac:dyDescent="0.2">
      <c r="A402" s="49">
        <v>45692</v>
      </c>
      <c r="B402">
        <v>2025</v>
      </c>
      <c r="C402" t="s">
        <v>7178</v>
      </c>
      <c r="D402" t="s">
        <v>7228</v>
      </c>
      <c r="E402">
        <v>2</v>
      </c>
      <c r="F402" t="s">
        <v>7190</v>
      </c>
      <c r="G402" t="s">
        <v>7191</v>
      </c>
      <c r="H402" t="s">
        <v>7230</v>
      </c>
      <c r="I402" s="49">
        <v>45689</v>
      </c>
      <c r="J402">
        <v>4</v>
      </c>
      <c r="K402" t="s">
        <v>7184</v>
      </c>
      <c r="L402" t="b">
        <f>FALSE()</f>
        <v>0</v>
      </c>
      <c r="M402">
        <v>6</v>
      </c>
    </row>
    <row r="403" spans="1:13" ht="15" customHeight="1" x14ac:dyDescent="0.2">
      <c r="A403" s="49">
        <v>45693</v>
      </c>
      <c r="B403">
        <v>2025</v>
      </c>
      <c r="C403" t="s">
        <v>7178</v>
      </c>
      <c r="D403" t="s">
        <v>7228</v>
      </c>
      <c r="E403">
        <v>2</v>
      </c>
      <c r="F403" t="s">
        <v>7190</v>
      </c>
      <c r="G403" t="s">
        <v>7191</v>
      </c>
      <c r="H403" t="s">
        <v>7230</v>
      </c>
      <c r="I403" s="49">
        <v>45689</v>
      </c>
      <c r="J403">
        <v>5</v>
      </c>
      <c r="K403" t="s">
        <v>7185</v>
      </c>
      <c r="L403" t="b">
        <f>FALSE()</f>
        <v>0</v>
      </c>
      <c r="M403">
        <v>6</v>
      </c>
    </row>
    <row r="404" spans="1:13" ht="15" customHeight="1" x14ac:dyDescent="0.2">
      <c r="A404" s="49">
        <v>45694</v>
      </c>
      <c r="B404">
        <v>2025</v>
      </c>
      <c r="C404" t="s">
        <v>7178</v>
      </c>
      <c r="D404" t="s">
        <v>7228</v>
      </c>
      <c r="E404">
        <v>2</v>
      </c>
      <c r="F404" t="s">
        <v>7190</v>
      </c>
      <c r="G404" t="s">
        <v>7191</v>
      </c>
      <c r="H404" t="s">
        <v>7230</v>
      </c>
      <c r="I404" s="49">
        <v>45689</v>
      </c>
      <c r="J404">
        <v>6</v>
      </c>
      <c r="K404" t="s">
        <v>7186</v>
      </c>
      <c r="L404" t="b">
        <f>FALSE()</f>
        <v>0</v>
      </c>
      <c r="M404">
        <v>6</v>
      </c>
    </row>
    <row r="405" spans="1:13" ht="15" customHeight="1" x14ac:dyDescent="0.2">
      <c r="A405" s="49">
        <v>45695</v>
      </c>
      <c r="B405">
        <v>2025</v>
      </c>
      <c r="C405" t="s">
        <v>7178</v>
      </c>
      <c r="D405" t="s">
        <v>7228</v>
      </c>
      <c r="E405">
        <v>2</v>
      </c>
      <c r="F405" t="s">
        <v>7190</v>
      </c>
      <c r="G405" t="s">
        <v>7191</v>
      </c>
      <c r="H405" t="s">
        <v>7230</v>
      </c>
      <c r="I405" s="49">
        <v>45689</v>
      </c>
      <c r="J405">
        <v>7</v>
      </c>
      <c r="K405" t="s">
        <v>7187</v>
      </c>
      <c r="L405" t="b">
        <f>FALSE()</f>
        <v>0</v>
      </c>
      <c r="M405">
        <v>6</v>
      </c>
    </row>
    <row r="406" spans="1:13" ht="15" customHeight="1" x14ac:dyDescent="0.2">
      <c r="A406" s="49">
        <v>45696</v>
      </c>
      <c r="B406">
        <v>2025</v>
      </c>
      <c r="C406" t="s">
        <v>7178</v>
      </c>
      <c r="D406" t="s">
        <v>7228</v>
      </c>
      <c r="E406">
        <v>2</v>
      </c>
      <c r="F406" t="s">
        <v>7190</v>
      </c>
      <c r="G406" t="s">
        <v>7191</v>
      </c>
      <c r="H406" t="s">
        <v>7230</v>
      </c>
      <c r="I406" s="49">
        <v>45689</v>
      </c>
      <c r="J406">
        <v>8</v>
      </c>
      <c r="K406" t="s">
        <v>7188</v>
      </c>
      <c r="L406" t="b">
        <f>TRUE()</f>
        <v>1</v>
      </c>
      <c r="M406">
        <v>6</v>
      </c>
    </row>
    <row r="407" spans="1:13" ht="15" customHeight="1" x14ac:dyDescent="0.2">
      <c r="A407" s="49">
        <v>45697</v>
      </c>
      <c r="B407">
        <v>2025</v>
      </c>
      <c r="C407" t="s">
        <v>7178</v>
      </c>
      <c r="D407" t="s">
        <v>7228</v>
      </c>
      <c r="E407">
        <v>2</v>
      </c>
      <c r="F407" t="s">
        <v>7190</v>
      </c>
      <c r="G407" t="s">
        <v>7191</v>
      </c>
      <c r="H407" t="s">
        <v>7230</v>
      </c>
      <c r="I407" s="49">
        <v>45689</v>
      </c>
      <c r="J407">
        <v>9</v>
      </c>
      <c r="K407" t="s">
        <v>7189</v>
      </c>
      <c r="L407" t="b">
        <f>TRUE()</f>
        <v>1</v>
      </c>
      <c r="M407">
        <v>6</v>
      </c>
    </row>
    <row r="408" spans="1:13" ht="15" customHeight="1" x14ac:dyDescent="0.2">
      <c r="A408" s="49">
        <v>45698</v>
      </c>
      <c r="B408">
        <v>2025</v>
      </c>
      <c r="C408" t="s">
        <v>7178</v>
      </c>
      <c r="D408" t="s">
        <v>7228</v>
      </c>
      <c r="E408">
        <v>2</v>
      </c>
      <c r="F408" t="s">
        <v>7190</v>
      </c>
      <c r="G408" t="s">
        <v>7191</v>
      </c>
      <c r="H408" t="s">
        <v>7230</v>
      </c>
      <c r="I408" s="49">
        <v>45689</v>
      </c>
      <c r="J408">
        <v>10</v>
      </c>
      <c r="K408" t="s">
        <v>7183</v>
      </c>
      <c r="L408" t="b">
        <f>FALSE()</f>
        <v>0</v>
      </c>
      <c r="M408">
        <v>7</v>
      </c>
    </row>
    <row r="409" spans="1:13" ht="15" customHeight="1" x14ac:dyDescent="0.2">
      <c r="A409" s="49">
        <v>45699</v>
      </c>
      <c r="B409">
        <v>2025</v>
      </c>
      <c r="C409" t="s">
        <v>7178</v>
      </c>
      <c r="D409" t="s">
        <v>7228</v>
      </c>
      <c r="E409">
        <v>2</v>
      </c>
      <c r="F409" t="s">
        <v>7190</v>
      </c>
      <c r="G409" t="s">
        <v>7191</v>
      </c>
      <c r="H409" t="s">
        <v>7230</v>
      </c>
      <c r="I409" s="49">
        <v>45689</v>
      </c>
      <c r="J409">
        <v>11</v>
      </c>
      <c r="K409" t="s">
        <v>7184</v>
      </c>
      <c r="L409" t="b">
        <f>FALSE()</f>
        <v>0</v>
      </c>
      <c r="M409">
        <v>7</v>
      </c>
    </row>
    <row r="410" spans="1:13" ht="15" customHeight="1" x14ac:dyDescent="0.2">
      <c r="A410" s="49">
        <v>45700</v>
      </c>
      <c r="B410">
        <v>2025</v>
      </c>
      <c r="C410" t="s">
        <v>7178</v>
      </c>
      <c r="D410" t="s">
        <v>7228</v>
      </c>
      <c r="E410">
        <v>2</v>
      </c>
      <c r="F410" t="s">
        <v>7190</v>
      </c>
      <c r="G410" t="s">
        <v>7191</v>
      </c>
      <c r="H410" t="s">
        <v>7230</v>
      </c>
      <c r="I410" s="49">
        <v>45689</v>
      </c>
      <c r="J410">
        <v>12</v>
      </c>
      <c r="K410" t="s">
        <v>7185</v>
      </c>
      <c r="L410" t="b">
        <f>FALSE()</f>
        <v>0</v>
      </c>
      <c r="M410">
        <v>7</v>
      </c>
    </row>
    <row r="411" spans="1:13" ht="15" customHeight="1" x14ac:dyDescent="0.2">
      <c r="A411" s="49">
        <v>45701</v>
      </c>
      <c r="B411">
        <v>2025</v>
      </c>
      <c r="C411" t="s">
        <v>7178</v>
      </c>
      <c r="D411" t="s">
        <v>7228</v>
      </c>
      <c r="E411">
        <v>2</v>
      </c>
      <c r="F411" t="s">
        <v>7190</v>
      </c>
      <c r="G411" t="s">
        <v>7191</v>
      </c>
      <c r="H411" t="s">
        <v>7230</v>
      </c>
      <c r="I411" s="49">
        <v>45689</v>
      </c>
      <c r="J411">
        <v>13</v>
      </c>
      <c r="K411" t="s">
        <v>7186</v>
      </c>
      <c r="L411" t="b">
        <f>FALSE()</f>
        <v>0</v>
      </c>
      <c r="M411">
        <v>7</v>
      </c>
    </row>
    <row r="412" spans="1:13" ht="15" customHeight="1" x14ac:dyDescent="0.2">
      <c r="A412" s="49">
        <v>45702</v>
      </c>
      <c r="B412">
        <v>2025</v>
      </c>
      <c r="C412" t="s">
        <v>7178</v>
      </c>
      <c r="D412" t="s">
        <v>7228</v>
      </c>
      <c r="E412">
        <v>2</v>
      </c>
      <c r="F412" t="s">
        <v>7190</v>
      </c>
      <c r="G412" t="s">
        <v>7191</v>
      </c>
      <c r="H412" t="s">
        <v>7230</v>
      </c>
      <c r="I412" s="49">
        <v>45689</v>
      </c>
      <c r="J412">
        <v>14</v>
      </c>
      <c r="K412" t="s">
        <v>7187</v>
      </c>
      <c r="L412" t="b">
        <f>FALSE()</f>
        <v>0</v>
      </c>
      <c r="M412">
        <v>7</v>
      </c>
    </row>
    <row r="413" spans="1:13" ht="15" customHeight="1" x14ac:dyDescent="0.2">
      <c r="A413" s="49">
        <v>45703</v>
      </c>
      <c r="B413">
        <v>2025</v>
      </c>
      <c r="C413" t="s">
        <v>7178</v>
      </c>
      <c r="D413" t="s">
        <v>7228</v>
      </c>
      <c r="E413">
        <v>2</v>
      </c>
      <c r="F413" t="s">
        <v>7190</v>
      </c>
      <c r="G413" t="s">
        <v>7191</v>
      </c>
      <c r="H413" t="s">
        <v>7230</v>
      </c>
      <c r="I413" s="49">
        <v>45689</v>
      </c>
      <c r="J413">
        <v>15</v>
      </c>
      <c r="K413" t="s">
        <v>7188</v>
      </c>
      <c r="L413" t="b">
        <f>TRUE()</f>
        <v>1</v>
      </c>
      <c r="M413">
        <v>7</v>
      </c>
    </row>
    <row r="414" spans="1:13" ht="15" customHeight="1" x14ac:dyDescent="0.2">
      <c r="A414" s="49">
        <v>45704</v>
      </c>
      <c r="B414">
        <v>2025</v>
      </c>
      <c r="C414" t="s">
        <v>7178</v>
      </c>
      <c r="D414" t="s">
        <v>7228</v>
      </c>
      <c r="E414">
        <v>2</v>
      </c>
      <c r="F414" t="s">
        <v>7190</v>
      </c>
      <c r="G414" t="s">
        <v>7191</v>
      </c>
      <c r="H414" t="s">
        <v>7230</v>
      </c>
      <c r="I414" s="49">
        <v>45689</v>
      </c>
      <c r="J414">
        <v>16</v>
      </c>
      <c r="K414" t="s">
        <v>7189</v>
      </c>
      <c r="L414" t="b">
        <f>TRUE()</f>
        <v>1</v>
      </c>
      <c r="M414">
        <v>7</v>
      </c>
    </row>
    <row r="415" spans="1:13" ht="15" customHeight="1" x14ac:dyDescent="0.2">
      <c r="A415" s="49">
        <v>45705</v>
      </c>
      <c r="B415">
        <v>2025</v>
      </c>
      <c r="C415" t="s">
        <v>7178</v>
      </c>
      <c r="D415" t="s">
        <v>7228</v>
      </c>
      <c r="E415">
        <v>2</v>
      </c>
      <c r="F415" t="s">
        <v>7190</v>
      </c>
      <c r="G415" t="s">
        <v>7191</v>
      </c>
      <c r="H415" t="s">
        <v>7230</v>
      </c>
      <c r="I415" s="49">
        <v>45689</v>
      </c>
      <c r="J415">
        <v>17</v>
      </c>
      <c r="K415" t="s">
        <v>7183</v>
      </c>
      <c r="L415" t="b">
        <f>FALSE()</f>
        <v>0</v>
      </c>
      <c r="M415">
        <v>8</v>
      </c>
    </row>
    <row r="416" spans="1:13" ht="15" customHeight="1" x14ac:dyDescent="0.2">
      <c r="A416" s="49">
        <v>45706</v>
      </c>
      <c r="B416">
        <v>2025</v>
      </c>
      <c r="C416" t="s">
        <v>7178</v>
      </c>
      <c r="D416" t="s">
        <v>7228</v>
      </c>
      <c r="E416">
        <v>2</v>
      </c>
      <c r="F416" t="s">
        <v>7190</v>
      </c>
      <c r="G416" t="s">
        <v>7191</v>
      </c>
      <c r="H416" t="s">
        <v>7230</v>
      </c>
      <c r="I416" s="49">
        <v>45689</v>
      </c>
      <c r="J416">
        <v>18</v>
      </c>
      <c r="K416" t="s">
        <v>7184</v>
      </c>
      <c r="L416" t="b">
        <f>FALSE()</f>
        <v>0</v>
      </c>
      <c r="M416">
        <v>8</v>
      </c>
    </row>
    <row r="417" spans="1:13" ht="15" customHeight="1" x14ac:dyDescent="0.2">
      <c r="A417" s="49">
        <v>45707</v>
      </c>
      <c r="B417">
        <v>2025</v>
      </c>
      <c r="C417" t="s">
        <v>7178</v>
      </c>
      <c r="D417" t="s">
        <v>7228</v>
      </c>
      <c r="E417">
        <v>2</v>
      </c>
      <c r="F417" t="s">
        <v>7190</v>
      </c>
      <c r="G417" t="s">
        <v>7191</v>
      </c>
      <c r="H417" t="s">
        <v>7230</v>
      </c>
      <c r="I417" s="49">
        <v>45689</v>
      </c>
      <c r="J417">
        <v>19</v>
      </c>
      <c r="K417" t="s">
        <v>7185</v>
      </c>
      <c r="L417" t="b">
        <f>FALSE()</f>
        <v>0</v>
      </c>
      <c r="M417">
        <v>8</v>
      </c>
    </row>
    <row r="418" spans="1:13" ht="15" customHeight="1" x14ac:dyDescent="0.2">
      <c r="A418" s="49">
        <v>45708</v>
      </c>
      <c r="B418">
        <v>2025</v>
      </c>
      <c r="C418" t="s">
        <v>7178</v>
      </c>
      <c r="D418" t="s">
        <v>7228</v>
      </c>
      <c r="E418">
        <v>2</v>
      </c>
      <c r="F418" t="s">
        <v>7190</v>
      </c>
      <c r="G418" t="s">
        <v>7191</v>
      </c>
      <c r="H418" t="s">
        <v>7230</v>
      </c>
      <c r="I418" s="49">
        <v>45689</v>
      </c>
      <c r="J418">
        <v>20</v>
      </c>
      <c r="K418" t="s">
        <v>7186</v>
      </c>
      <c r="L418" t="b">
        <f>FALSE()</f>
        <v>0</v>
      </c>
      <c r="M418">
        <v>8</v>
      </c>
    </row>
    <row r="419" spans="1:13" ht="15" customHeight="1" x14ac:dyDescent="0.2">
      <c r="A419" s="49">
        <v>45709</v>
      </c>
      <c r="B419">
        <v>2025</v>
      </c>
      <c r="C419" t="s">
        <v>7178</v>
      </c>
      <c r="D419" t="s">
        <v>7228</v>
      </c>
      <c r="E419">
        <v>2</v>
      </c>
      <c r="F419" t="s">
        <v>7190</v>
      </c>
      <c r="G419" t="s">
        <v>7191</v>
      </c>
      <c r="H419" t="s">
        <v>7230</v>
      </c>
      <c r="I419" s="49">
        <v>45689</v>
      </c>
      <c r="J419">
        <v>21</v>
      </c>
      <c r="K419" t="s">
        <v>7187</v>
      </c>
      <c r="L419" t="b">
        <f>FALSE()</f>
        <v>0</v>
      </c>
      <c r="M419">
        <v>8</v>
      </c>
    </row>
    <row r="420" spans="1:13" ht="15" customHeight="1" x14ac:dyDescent="0.2">
      <c r="A420" s="49">
        <v>45710</v>
      </c>
      <c r="B420">
        <v>2025</v>
      </c>
      <c r="C420" t="s">
        <v>7178</v>
      </c>
      <c r="D420" t="s">
        <v>7228</v>
      </c>
      <c r="E420">
        <v>2</v>
      </c>
      <c r="F420" t="s">
        <v>7190</v>
      </c>
      <c r="G420" t="s">
        <v>7191</v>
      </c>
      <c r="H420" t="s">
        <v>7230</v>
      </c>
      <c r="I420" s="49">
        <v>45689</v>
      </c>
      <c r="J420">
        <v>22</v>
      </c>
      <c r="K420" t="s">
        <v>7188</v>
      </c>
      <c r="L420" t="b">
        <f>TRUE()</f>
        <v>1</v>
      </c>
      <c r="M420">
        <v>8</v>
      </c>
    </row>
    <row r="421" spans="1:13" ht="15" customHeight="1" x14ac:dyDescent="0.2">
      <c r="A421" s="49">
        <v>45711</v>
      </c>
      <c r="B421">
        <v>2025</v>
      </c>
      <c r="C421" t="s">
        <v>7178</v>
      </c>
      <c r="D421" t="s">
        <v>7228</v>
      </c>
      <c r="E421">
        <v>2</v>
      </c>
      <c r="F421" t="s">
        <v>7190</v>
      </c>
      <c r="G421" t="s">
        <v>7191</v>
      </c>
      <c r="H421" t="s">
        <v>7230</v>
      </c>
      <c r="I421" s="49">
        <v>45689</v>
      </c>
      <c r="J421">
        <v>23</v>
      </c>
      <c r="K421" t="s">
        <v>7189</v>
      </c>
      <c r="L421" t="b">
        <f>TRUE()</f>
        <v>1</v>
      </c>
      <c r="M421">
        <v>8</v>
      </c>
    </row>
    <row r="422" spans="1:13" ht="15" customHeight="1" x14ac:dyDescent="0.2">
      <c r="A422" s="49">
        <v>45712</v>
      </c>
      <c r="B422">
        <v>2025</v>
      </c>
      <c r="C422" t="s">
        <v>7178</v>
      </c>
      <c r="D422" t="s">
        <v>7228</v>
      </c>
      <c r="E422">
        <v>2</v>
      </c>
      <c r="F422" t="s">
        <v>7190</v>
      </c>
      <c r="G422" t="s">
        <v>7191</v>
      </c>
      <c r="H422" t="s">
        <v>7230</v>
      </c>
      <c r="I422" s="49">
        <v>45689</v>
      </c>
      <c r="J422">
        <v>24</v>
      </c>
      <c r="K422" t="s">
        <v>7183</v>
      </c>
      <c r="L422" t="b">
        <f>FALSE()</f>
        <v>0</v>
      </c>
      <c r="M422">
        <v>9</v>
      </c>
    </row>
    <row r="423" spans="1:13" ht="15" customHeight="1" x14ac:dyDescent="0.2">
      <c r="A423" s="49">
        <v>45713</v>
      </c>
      <c r="B423">
        <v>2025</v>
      </c>
      <c r="C423" t="s">
        <v>7178</v>
      </c>
      <c r="D423" t="s">
        <v>7228</v>
      </c>
      <c r="E423">
        <v>2</v>
      </c>
      <c r="F423" t="s">
        <v>7190</v>
      </c>
      <c r="G423" t="s">
        <v>7191</v>
      </c>
      <c r="H423" t="s">
        <v>7230</v>
      </c>
      <c r="I423" s="49">
        <v>45689</v>
      </c>
      <c r="J423">
        <v>25</v>
      </c>
      <c r="K423" t="s">
        <v>7184</v>
      </c>
      <c r="L423" t="b">
        <f>FALSE()</f>
        <v>0</v>
      </c>
      <c r="M423">
        <v>9</v>
      </c>
    </row>
    <row r="424" spans="1:13" ht="15" customHeight="1" x14ac:dyDescent="0.2">
      <c r="A424" s="49">
        <v>45714</v>
      </c>
      <c r="B424">
        <v>2025</v>
      </c>
      <c r="C424" t="s">
        <v>7178</v>
      </c>
      <c r="D424" t="s">
        <v>7228</v>
      </c>
      <c r="E424">
        <v>2</v>
      </c>
      <c r="F424" t="s">
        <v>7190</v>
      </c>
      <c r="G424" t="s">
        <v>7191</v>
      </c>
      <c r="H424" t="s">
        <v>7230</v>
      </c>
      <c r="I424" s="49">
        <v>45689</v>
      </c>
      <c r="J424">
        <v>26</v>
      </c>
      <c r="K424" t="s">
        <v>7185</v>
      </c>
      <c r="L424" t="b">
        <f>FALSE()</f>
        <v>0</v>
      </c>
      <c r="M424">
        <v>9</v>
      </c>
    </row>
    <row r="425" spans="1:13" ht="15" customHeight="1" x14ac:dyDescent="0.2">
      <c r="A425" s="49">
        <v>45715</v>
      </c>
      <c r="B425">
        <v>2025</v>
      </c>
      <c r="C425" t="s">
        <v>7178</v>
      </c>
      <c r="D425" t="s">
        <v>7228</v>
      </c>
      <c r="E425">
        <v>2</v>
      </c>
      <c r="F425" t="s">
        <v>7190</v>
      </c>
      <c r="G425" t="s">
        <v>7191</v>
      </c>
      <c r="H425" t="s">
        <v>7230</v>
      </c>
      <c r="I425" s="49">
        <v>45689</v>
      </c>
      <c r="J425">
        <v>27</v>
      </c>
      <c r="K425" t="s">
        <v>7186</v>
      </c>
      <c r="L425" t="b">
        <f>FALSE()</f>
        <v>0</v>
      </c>
      <c r="M425">
        <v>9</v>
      </c>
    </row>
    <row r="426" spans="1:13" ht="15" customHeight="1" x14ac:dyDescent="0.2">
      <c r="A426" s="49">
        <v>45716</v>
      </c>
      <c r="B426">
        <v>2025</v>
      </c>
      <c r="C426" t="s">
        <v>7178</v>
      </c>
      <c r="D426" t="s">
        <v>7228</v>
      </c>
      <c r="E426">
        <v>2</v>
      </c>
      <c r="F426" t="s">
        <v>7190</v>
      </c>
      <c r="G426" t="s">
        <v>7191</v>
      </c>
      <c r="H426" t="s">
        <v>7230</v>
      </c>
      <c r="I426" s="49">
        <v>45689</v>
      </c>
      <c r="J426">
        <v>28</v>
      </c>
      <c r="K426" t="s">
        <v>7187</v>
      </c>
      <c r="L426" t="b">
        <f>FALSE()</f>
        <v>0</v>
      </c>
      <c r="M426">
        <v>9</v>
      </c>
    </row>
    <row r="427" spans="1:13" ht="15" customHeight="1" x14ac:dyDescent="0.2">
      <c r="A427" s="49">
        <v>45717</v>
      </c>
      <c r="B427">
        <v>2025</v>
      </c>
      <c r="C427" t="s">
        <v>7178</v>
      </c>
      <c r="D427" t="s">
        <v>7228</v>
      </c>
      <c r="E427">
        <v>3</v>
      </c>
      <c r="F427" t="s">
        <v>7193</v>
      </c>
      <c r="G427" t="s">
        <v>7194</v>
      </c>
      <c r="H427" t="s">
        <v>7231</v>
      </c>
      <c r="I427" s="49">
        <v>45717</v>
      </c>
      <c r="J427">
        <v>1</v>
      </c>
      <c r="K427" t="s">
        <v>7188</v>
      </c>
      <c r="L427" t="b">
        <f>TRUE()</f>
        <v>1</v>
      </c>
      <c r="M427">
        <v>9</v>
      </c>
    </row>
    <row r="428" spans="1:13" ht="15" customHeight="1" x14ac:dyDescent="0.2">
      <c r="A428" s="49">
        <v>45718</v>
      </c>
      <c r="B428">
        <v>2025</v>
      </c>
      <c r="C428" t="s">
        <v>7178</v>
      </c>
      <c r="D428" t="s">
        <v>7228</v>
      </c>
      <c r="E428">
        <v>3</v>
      </c>
      <c r="F428" t="s">
        <v>7193</v>
      </c>
      <c r="G428" t="s">
        <v>7194</v>
      </c>
      <c r="H428" t="s">
        <v>7231</v>
      </c>
      <c r="I428" s="49">
        <v>45717</v>
      </c>
      <c r="J428">
        <v>2</v>
      </c>
      <c r="K428" t="s">
        <v>7189</v>
      </c>
      <c r="L428" t="b">
        <f>TRUE()</f>
        <v>1</v>
      </c>
      <c r="M428">
        <v>9</v>
      </c>
    </row>
    <row r="429" spans="1:13" ht="15" customHeight="1" x14ac:dyDescent="0.2">
      <c r="A429" s="49">
        <v>45719</v>
      </c>
      <c r="B429">
        <v>2025</v>
      </c>
      <c r="C429" t="s">
        <v>7178</v>
      </c>
      <c r="D429" t="s">
        <v>7228</v>
      </c>
      <c r="E429">
        <v>3</v>
      </c>
      <c r="F429" t="s">
        <v>7193</v>
      </c>
      <c r="G429" t="s">
        <v>7194</v>
      </c>
      <c r="H429" t="s">
        <v>7231</v>
      </c>
      <c r="I429" s="49">
        <v>45717</v>
      </c>
      <c r="J429">
        <v>3</v>
      </c>
      <c r="K429" t="s">
        <v>7183</v>
      </c>
      <c r="L429" t="b">
        <f>FALSE()</f>
        <v>0</v>
      </c>
      <c r="M429">
        <v>10</v>
      </c>
    </row>
    <row r="430" spans="1:13" ht="15" customHeight="1" x14ac:dyDescent="0.2">
      <c r="A430" s="49">
        <v>45720</v>
      </c>
      <c r="B430">
        <v>2025</v>
      </c>
      <c r="C430" t="s">
        <v>7178</v>
      </c>
      <c r="D430" t="s">
        <v>7228</v>
      </c>
      <c r="E430">
        <v>3</v>
      </c>
      <c r="F430" t="s">
        <v>7193</v>
      </c>
      <c r="G430" t="s">
        <v>7194</v>
      </c>
      <c r="H430" t="s">
        <v>7231</v>
      </c>
      <c r="I430" s="49">
        <v>45717</v>
      </c>
      <c r="J430">
        <v>4</v>
      </c>
      <c r="K430" t="s">
        <v>7184</v>
      </c>
      <c r="L430" t="b">
        <f>FALSE()</f>
        <v>0</v>
      </c>
      <c r="M430">
        <v>10</v>
      </c>
    </row>
    <row r="431" spans="1:13" ht="15" customHeight="1" x14ac:dyDescent="0.2">
      <c r="A431" s="49">
        <v>45721</v>
      </c>
      <c r="B431">
        <v>2025</v>
      </c>
      <c r="C431" t="s">
        <v>7178</v>
      </c>
      <c r="D431" t="s">
        <v>7228</v>
      </c>
      <c r="E431">
        <v>3</v>
      </c>
      <c r="F431" t="s">
        <v>7193</v>
      </c>
      <c r="G431" t="s">
        <v>7194</v>
      </c>
      <c r="H431" t="s">
        <v>7231</v>
      </c>
      <c r="I431" s="49">
        <v>45717</v>
      </c>
      <c r="J431">
        <v>5</v>
      </c>
      <c r="K431" t="s">
        <v>7185</v>
      </c>
      <c r="L431" t="b">
        <f>FALSE()</f>
        <v>0</v>
      </c>
      <c r="M431">
        <v>10</v>
      </c>
    </row>
    <row r="432" spans="1:13" ht="15" customHeight="1" x14ac:dyDescent="0.2">
      <c r="A432" s="49">
        <v>45722</v>
      </c>
      <c r="B432">
        <v>2025</v>
      </c>
      <c r="C432" t="s">
        <v>7178</v>
      </c>
      <c r="D432" t="s">
        <v>7228</v>
      </c>
      <c r="E432">
        <v>3</v>
      </c>
      <c r="F432" t="s">
        <v>7193</v>
      </c>
      <c r="G432" t="s">
        <v>7194</v>
      </c>
      <c r="H432" t="s">
        <v>7231</v>
      </c>
      <c r="I432" s="49">
        <v>45717</v>
      </c>
      <c r="J432">
        <v>6</v>
      </c>
      <c r="K432" t="s">
        <v>7186</v>
      </c>
      <c r="L432" t="b">
        <f>FALSE()</f>
        <v>0</v>
      </c>
      <c r="M432">
        <v>10</v>
      </c>
    </row>
    <row r="433" spans="1:13" ht="15" customHeight="1" x14ac:dyDescent="0.2">
      <c r="A433" s="49">
        <v>45723</v>
      </c>
      <c r="B433">
        <v>2025</v>
      </c>
      <c r="C433" t="s">
        <v>7178</v>
      </c>
      <c r="D433" t="s">
        <v>7228</v>
      </c>
      <c r="E433">
        <v>3</v>
      </c>
      <c r="F433" t="s">
        <v>7193</v>
      </c>
      <c r="G433" t="s">
        <v>7194</v>
      </c>
      <c r="H433" t="s">
        <v>7231</v>
      </c>
      <c r="I433" s="49">
        <v>45717</v>
      </c>
      <c r="J433">
        <v>7</v>
      </c>
      <c r="K433" t="s">
        <v>7187</v>
      </c>
      <c r="L433" t="b">
        <f>FALSE()</f>
        <v>0</v>
      </c>
      <c r="M433">
        <v>10</v>
      </c>
    </row>
    <row r="434" spans="1:13" ht="15" customHeight="1" x14ac:dyDescent="0.2">
      <c r="A434" s="49">
        <v>45724</v>
      </c>
      <c r="B434">
        <v>2025</v>
      </c>
      <c r="C434" t="s">
        <v>7178</v>
      </c>
      <c r="D434" t="s">
        <v>7228</v>
      </c>
      <c r="E434">
        <v>3</v>
      </c>
      <c r="F434" t="s">
        <v>7193</v>
      </c>
      <c r="G434" t="s">
        <v>7194</v>
      </c>
      <c r="H434" t="s">
        <v>7231</v>
      </c>
      <c r="I434" s="49">
        <v>45717</v>
      </c>
      <c r="J434">
        <v>8</v>
      </c>
      <c r="K434" t="s">
        <v>7188</v>
      </c>
      <c r="L434" t="b">
        <f>TRUE()</f>
        <v>1</v>
      </c>
      <c r="M434">
        <v>10</v>
      </c>
    </row>
    <row r="435" spans="1:13" ht="15" customHeight="1" x14ac:dyDescent="0.2">
      <c r="A435" s="49">
        <v>45725</v>
      </c>
      <c r="B435">
        <v>2025</v>
      </c>
      <c r="C435" t="s">
        <v>7178</v>
      </c>
      <c r="D435" t="s">
        <v>7228</v>
      </c>
      <c r="E435">
        <v>3</v>
      </c>
      <c r="F435" t="s">
        <v>7193</v>
      </c>
      <c r="G435" t="s">
        <v>7194</v>
      </c>
      <c r="H435" t="s">
        <v>7231</v>
      </c>
      <c r="I435" s="49">
        <v>45717</v>
      </c>
      <c r="J435">
        <v>9</v>
      </c>
      <c r="K435" t="s">
        <v>7189</v>
      </c>
      <c r="L435" t="b">
        <f>TRUE()</f>
        <v>1</v>
      </c>
      <c r="M435">
        <v>10</v>
      </c>
    </row>
    <row r="436" spans="1:13" ht="15" customHeight="1" x14ac:dyDescent="0.2">
      <c r="A436" s="49">
        <v>45726</v>
      </c>
      <c r="B436">
        <v>2025</v>
      </c>
      <c r="C436" t="s">
        <v>7178</v>
      </c>
      <c r="D436" t="s">
        <v>7228</v>
      </c>
      <c r="E436">
        <v>3</v>
      </c>
      <c r="F436" t="s">
        <v>7193</v>
      </c>
      <c r="G436" t="s">
        <v>7194</v>
      </c>
      <c r="H436" t="s">
        <v>7231</v>
      </c>
      <c r="I436" s="49">
        <v>45717</v>
      </c>
      <c r="J436">
        <v>10</v>
      </c>
      <c r="K436" t="s">
        <v>7183</v>
      </c>
      <c r="L436" t="b">
        <f>FALSE()</f>
        <v>0</v>
      </c>
      <c r="M436">
        <v>11</v>
      </c>
    </row>
    <row r="437" spans="1:13" ht="15" customHeight="1" x14ac:dyDescent="0.2">
      <c r="A437" s="49">
        <v>45727</v>
      </c>
      <c r="B437">
        <v>2025</v>
      </c>
      <c r="C437" t="s">
        <v>7178</v>
      </c>
      <c r="D437" t="s">
        <v>7228</v>
      </c>
      <c r="E437">
        <v>3</v>
      </c>
      <c r="F437" t="s">
        <v>7193</v>
      </c>
      <c r="G437" t="s">
        <v>7194</v>
      </c>
      <c r="H437" t="s">
        <v>7231</v>
      </c>
      <c r="I437" s="49">
        <v>45717</v>
      </c>
      <c r="J437">
        <v>11</v>
      </c>
      <c r="K437" t="s">
        <v>7184</v>
      </c>
      <c r="L437" t="b">
        <f>FALSE()</f>
        <v>0</v>
      </c>
      <c r="M437">
        <v>11</v>
      </c>
    </row>
    <row r="438" spans="1:13" ht="15" customHeight="1" x14ac:dyDescent="0.2">
      <c r="A438" s="49">
        <v>45728</v>
      </c>
      <c r="B438">
        <v>2025</v>
      </c>
      <c r="C438" t="s">
        <v>7178</v>
      </c>
      <c r="D438" t="s">
        <v>7228</v>
      </c>
      <c r="E438">
        <v>3</v>
      </c>
      <c r="F438" t="s">
        <v>7193</v>
      </c>
      <c r="G438" t="s">
        <v>7194</v>
      </c>
      <c r="H438" t="s">
        <v>7231</v>
      </c>
      <c r="I438" s="49">
        <v>45717</v>
      </c>
      <c r="J438">
        <v>12</v>
      </c>
      <c r="K438" t="s">
        <v>7185</v>
      </c>
      <c r="L438" t="b">
        <f>FALSE()</f>
        <v>0</v>
      </c>
      <c r="M438">
        <v>11</v>
      </c>
    </row>
    <row r="439" spans="1:13" ht="15" customHeight="1" x14ac:dyDescent="0.2">
      <c r="A439" s="49">
        <v>45729</v>
      </c>
      <c r="B439">
        <v>2025</v>
      </c>
      <c r="C439" t="s">
        <v>7178</v>
      </c>
      <c r="D439" t="s">
        <v>7228</v>
      </c>
      <c r="E439">
        <v>3</v>
      </c>
      <c r="F439" t="s">
        <v>7193</v>
      </c>
      <c r="G439" t="s">
        <v>7194</v>
      </c>
      <c r="H439" t="s">
        <v>7231</v>
      </c>
      <c r="I439" s="49">
        <v>45717</v>
      </c>
      <c r="J439">
        <v>13</v>
      </c>
      <c r="K439" t="s">
        <v>7186</v>
      </c>
      <c r="L439" t="b">
        <f>FALSE()</f>
        <v>0</v>
      </c>
      <c r="M439">
        <v>11</v>
      </c>
    </row>
    <row r="440" spans="1:13" ht="15" customHeight="1" x14ac:dyDescent="0.2">
      <c r="A440" s="49">
        <v>45730</v>
      </c>
      <c r="B440">
        <v>2025</v>
      </c>
      <c r="C440" t="s">
        <v>7178</v>
      </c>
      <c r="D440" t="s">
        <v>7228</v>
      </c>
      <c r="E440">
        <v>3</v>
      </c>
      <c r="F440" t="s">
        <v>7193</v>
      </c>
      <c r="G440" t="s">
        <v>7194</v>
      </c>
      <c r="H440" t="s">
        <v>7231</v>
      </c>
      <c r="I440" s="49">
        <v>45717</v>
      </c>
      <c r="J440">
        <v>14</v>
      </c>
      <c r="K440" t="s">
        <v>7187</v>
      </c>
      <c r="L440" t="b">
        <f>FALSE()</f>
        <v>0</v>
      </c>
      <c r="M440">
        <v>11</v>
      </c>
    </row>
    <row r="441" spans="1:13" ht="15" customHeight="1" x14ac:dyDescent="0.2">
      <c r="A441" s="49">
        <v>45731</v>
      </c>
      <c r="B441">
        <v>2025</v>
      </c>
      <c r="C441" t="s">
        <v>7178</v>
      </c>
      <c r="D441" t="s">
        <v>7228</v>
      </c>
      <c r="E441">
        <v>3</v>
      </c>
      <c r="F441" t="s">
        <v>7193</v>
      </c>
      <c r="G441" t="s">
        <v>7194</v>
      </c>
      <c r="H441" t="s">
        <v>7231</v>
      </c>
      <c r="I441" s="49">
        <v>45717</v>
      </c>
      <c r="J441">
        <v>15</v>
      </c>
      <c r="K441" t="s">
        <v>7188</v>
      </c>
      <c r="L441" t="b">
        <f>TRUE()</f>
        <v>1</v>
      </c>
      <c r="M441">
        <v>11</v>
      </c>
    </row>
    <row r="442" spans="1:13" ht="15" customHeight="1" x14ac:dyDescent="0.2">
      <c r="A442" s="49">
        <v>45732</v>
      </c>
      <c r="B442">
        <v>2025</v>
      </c>
      <c r="C442" t="s">
        <v>7178</v>
      </c>
      <c r="D442" t="s">
        <v>7228</v>
      </c>
      <c r="E442">
        <v>3</v>
      </c>
      <c r="F442" t="s">
        <v>7193</v>
      </c>
      <c r="G442" t="s">
        <v>7194</v>
      </c>
      <c r="H442" t="s">
        <v>7231</v>
      </c>
      <c r="I442" s="49">
        <v>45717</v>
      </c>
      <c r="J442">
        <v>16</v>
      </c>
      <c r="K442" t="s">
        <v>7189</v>
      </c>
      <c r="L442" t="b">
        <f>TRUE()</f>
        <v>1</v>
      </c>
      <c r="M442">
        <v>11</v>
      </c>
    </row>
    <row r="443" spans="1:13" ht="15" customHeight="1" x14ac:dyDescent="0.2">
      <c r="A443" s="49">
        <v>45733</v>
      </c>
      <c r="B443">
        <v>2025</v>
      </c>
      <c r="C443" t="s">
        <v>7178</v>
      </c>
      <c r="D443" t="s">
        <v>7228</v>
      </c>
      <c r="E443">
        <v>3</v>
      </c>
      <c r="F443" t="s">
        <v>7193</v>
      </c>
      <c r="G443" t="s">
        <v>7194</v>
      </c>
      <c r="H443" t="s">
        <v>7231</v>
      </c>
      <c r="I443" s="49">
        <v>45717</v>
      </c>
      <c r="J443">
        <v>17</v>
      </c>
      <c r="K443" t="s">
        <v>7183</v>
      </c>
      <c r="L443" t="b">
        <f>FALSE()</f>
        <v>0</v>
      </c>
      <c r="M443">
        <v>12</v>
      </c>
    </row>
    <row r="444" spans="1:13" ht="15" customHeight="1" x14ac:dyDescent="0.2">
      <c r="A444" s="49">
        <v>45734</v>
      </c>
      <c r="B444">
        <v>2025</v>
      </c>
      <c r="C444" t="s">
        <v>7178</v>
      </c>
      <c r="D444" t="s">
        <v>7228</v>
      </c>
      <c r="E444">
        <v>3</v>
      </c>
      <c r="F444" t="s">
        <v>7193</v>
      </c>
      <c r="G444" t="s">
        <v>7194</v>
      </c>
      <c r="H444" t="s">
        <v>7231</v>
      </c>
      <c r="I444" s="49">
        <v>45717</v>
      </c>
      <c r="J444">
        <v>18</v>
      </c>
      <c r="K444" t="s">
        <v>7184</v>
      </c>
      <c r="L444" t="b">
        <f>FALSE()</f>
        <v>0</v>
      </c>
      <c r="M444">
        <v>12</v>
      </c>
    </row>
    <row r="445" spans="1:13" ht="15" customHeight="1" x14ac:dyDescent="0.2">
      <c r="A445" s="49">
        <v>45735</v>
      </c>
      <c r="B445">
        <v>2025</v>
      </c>
      <c r="C445" t="s">
        <v>7178</v>
      </c>
      <c r="D445" t="s">
        <v>7228</v>
      </c>
      <c r="E445">
        <v>3</v>
      </c>
      <c r="F445" t="s">
        <v>7193</v>
      </c>
      <c r="G445" t="s">
        <v>7194</v>
      </c>
      <c r="H445" t="s">
        <v>7231</v>
      </c>
      <c r="I445" s="49">
        <v>45717</v>
      </c>
      <c r="J445">
        <v>19</v>
      </c>
      <c r="K445" t="s">
        <v>7185</v>
      </c>
      <c r="L445" t="b">
        <f>FALSE()</f>
        <v>0</v>
      </c>
      <c r="M445">
        <v>12</v>
      </c>
    </row>
    <row r="446" spans="1:13" ht="15" customHeight="1" x14ac:dyDescent="0.2">
      <c r="A446" s="49">
        <v>45736</v>
      </c>
      <c r="B446">
        <v>2025</v>
      </c>
      <c r="C446" t="s">
        <v>7178</v>
      </c>
      <c r="D446" t="s">
        <v>7228</v>
      </c>
      <c r="E446">
        <v>3</v>
      </c>
      <c r="F446" t="s">
        <v>7193</v>
      </c>
      <c r="G446" t="s">
        <v>7194</v>
      </c>
      <c r="H446" t="s">
        <v>7231</v>
      </c>
      <c r="I446" s="49">
        <v>45717</v>
      </c>
      <c r="J446">
        <v>20</v>
      </c>
      <c r="K446" t="s">
        <v>7186</v>
      </c>
      <c r="L446" t="b">
        <f>FALSE()</f>
        <v>0</v>
      </c>
      <c r="M446">
        <v>12</v>
      </c>
    </row>
    <row r="447" spans="1:13" ht="15" customHeight="1" x14ac:dyDescent="0.2">
      <c r="A447" s="49">
        <v>45737</v>
      </c>
      <c r="B447">
        <v>2025</v>
      </c>
      <c r="C447" t="s">
        <v>7178</v>
      </c>
      <c r="D447" t="s">
        <v>7228</v>
      </c>
      <c r="E447">
        <v>3</v>
      </c>
      <c r="F447" t="s">
        <v>7193</v>
      </c>
      <c r="G447" t="s">
        <v>7194</v>
      </c>
      <c r="H447" t="s">
        <v>7231</v>
      </c>
      <c r="I447" s="49">
        <v>45717</v>
      </c>
      <c r="J447">
        <v>21</v>
      </c>
      <c r="K447" t="s">
        <v>7187</v>
      </c>
      <c r="L447" t="b">
        <f>FALSE()</f>
        <v>0</v>
      </c>
      <c r="M447">
        <v>12</v>
      </c>
    </row>
    <row r="448" spans="1:13" ht="15" customHeight="1" x14ac:dyDescent="0.2">
      <c r="A448" s="49">
        <v>45738</v>
      </c>
      <c r="B448">
        <v>2025</v>
      </c>
      <c r="C448" t="s">
        <v>7178</v>
      </c>
      <c r="D448" t="s">
        <v>7228</v>
      </c>
      <c r="E448">
        <v>3</v>
      </c>
      <c r="F448" t="s">
        <v>7193</v>
      </c>
      <c r="G448" t="s">
        <v>7194</v>
      </c>
      <c r="H448" t="s">
        <v>7231</v>
      </c>
      <c r="I448" s="49">
        <v>45717</v>
      </c>
      <c r="J448">
        <v>22</v>
      </c>
      <c r="K448" t="s">
        <v>7188</v>
      </c>
      <c r="L448" t="b">
        <f>TRUE()</f>
        <v>1</v>
      </c>
      <c r="M448">
        <v>12</v>
      </c>
    </row>
    <row r="449" spans="1:13" ht="15" customHeight="1" x14ac:dyDescent="0.2">
      <c r="A449" s="49">
        <v>45739</v>
      </c>
      <c r="B449">
        <v>2025</v>
      </c>
      <c r="C449" t="s">
        <v>7178</v>
      </c>
      <c r="D449" t="s">
        <v>7228</v>
      </c>
      <c r="E449">
        <v>3</v>
      </c>
      <c r="F449" t="s">
        <v>7193</v>
      </c>
      <c r="G449" t="s">
        <v>7194</v>
      </c>
      <c r="H449" t="s">
        <v>7231</v>
      </c>
      <c r="I449" s="49">
        <v>45717</v>
      </c>
      <c r="J449">
        <v>23</v>
      </c>
      <c r="K449" t="s">
        <v>7189</v>
      </c>
      <c r="L449" t="b">
        <f>TRUE()</f>
        <v>1</v>
      </c>
      <c r="M449">
        <v>12</v>
      </c>
    </row>
    <row r="450" spans="1:13" ht="15" customHeight="1" x14ac:dyDescent="0.2">
      <c r="A450" s="49">
        <v>45740</v>
      </c>
      <c r="B450">
        <v>2025</v>
      </c>
      <c r="C450" t="s">
        <v>7178</v>
      </c>
      <c r="D450" t="s">
        <v>7228</v>
      </c>
      <c r="E450">
        <v>3</v>
      </c>
      <c r="F450" t="s">
        <v>7193</v>
      </c>
      <c r="G450" t="s">
        <v>7194</v>
      </c>
      <c r="H450" t="s">
        <v>7231</v>
      </c>
      <c r="I450" s="49">
        <v>45717</v>
      </c>
      <c r="J450">
        <v>24</v>
      </c>
      <c r="K450" t="s">
        <v>7183</v>
      </c>
      <c r="L450" t="b">
        <f>FALSE()</f>
        <v>0</v>
      </c>
      <c r="M450">
        <v>13</v>
      </c>
    </row>
    <row r="451" spans="1:13" ht="15" customHeight="1" x14ac:dyDescent="0.2">
      <c r="A451" s="49">
        <v>45741</v>
      </c>
      <c r="B451">
        <v>2025</v>
      </c>
      <c r="C451" t="s">
        <v>7178</v>
      </c>
      <c r="D451" t="s">
        <v>7228</v>
      </c>
      <c r="E451">
        <v>3</v>
      </c>
      <c r="F451" t="s">
        <v>7193</v>
      </c>
      <c r="G451" t="s">
        <v>7194</v>
      </c>
      <c r="H451" t="s">
        <v>7231</v>
      </c>
      <c r="I451" s="49">
        <v>45717</v>
      </c>
      <c r="J451">
        <v>25</v>
      </c>
      <c r="K451" t="s">
        <v>7184</v>
      </c>
      <c r="L451" t="b">
        <f>FALSE()</f>
        <v>0</v>
      </c>
      <c r="M451">
        <v>13</v>
      </c>
    </row>
    <row r="452" spans="1:13" ht="15" customHeight="1" x14ac:dyDescent="0.2">
      <c r="A452" s="49">
        <v>45742</v>
      </c>
      <c r="B452">
        <v>2025</v>
      </c>
      <c r="C452" t="s">
        <v>7178</v>
      </c>
      <c r="D452" t="s">
        <v>7228</v>
      </c>
      <c r="E452">
        <v>3</v>
      </c>
      <c r="F452" t="s">
        <v>7193</v>
      </c>
      <c r="G452" t="s">
        <v>7194</v>
      </c>
      <c r="H452" t="s">
        <v>7231</v>
      </c>
      <c r="I452" s="49">
        <v>45717</v>
      </c>
      <c r="J452">
        <v>26</v>
      </c>
      <c r="K452" t="s">
        <v>7185</v>
      </c>
      <c r="L452" t="b">
        <f>FALSE()</f>
        <v>0</v>
      </c>
      <c r="M452">
        <v>13</v>
      </c>
    </row>
    <row r="453" spans="1:13" ht="15" customHeight="1" x14ac:dyDescent="0.2">
      <c r="A453" s="49">
        <v>45743</v>
      </c>
      <c r="B453">
        <v>2025</v>
      </c>
      <c r="C453" t="s">
        <v>7178</v>
      </c>
      <c r="D453" t="s">
        <v>7228</v>
      </c>
      <c r="E453">
        <v>3</v>
      </c>
      <c r="F453" t="s">
        <v>7193</v>
      </c>
      <c r="G453" t="s">
        <v>7194</v>
      </c>
      <c r="H453" t="s">
        <v>7231</v>
      </c>
      <c r="I453" s="49">
        <v>45717</v>
      </c>
      <c r="J453">
        <v>27</v>
      </c>
      <c r="K453" t="s">
        <v>7186</v>
      </c>
      <c r="L453" t="b">
        <f>FALSE()</f>
        <v>0</v>
      </c>
      <c r="M453">
        <v>13</v>
      </c>
    </row>
    <row r="454" spans="1:13" ht="15" customHeight="1" x14ac:dyDescent="0.2">
      <c r="A454" s="49">
        <v>45744</v>
      </c>
      <c r="B454">
        <v>2025</v>
      </c>
      <c r="C454" t="s">
        <v>7178</v>
      </c>
      <c r="D454" t="s">
        <v>7228</v>
      </c>
      <c r="E454">
        <v>3</v>
      </c>
      <c r="F454" t="s">
        <v>7193</v>
      </c>
      <c r="G454" t="s">
        <v>7194</v>
      </c>
      <c r="H454" t="s">
        <v>7231</v>
      </c>
      <c r="I454" s="49">
        <v>45717</v>
      </c>
      <c r="J454">
        <v>28</v>
      </c>
      <c r="K454" t="s">
        <v>7187</v>
      </c>
      <c r="L454" t="b">
        <f>FALSE()</f>
        <v>0</v>
      </c>
      <c r="M454">
        <v>13</v>
      </c>
    </row>
    <row r="455" spans="1:13" ht="15" customHeight="1" x14ac:dyDescent="0.2">
      <c r="A455" s="49">
        <v>45745</v>
      </c>
      <c r="B455">
        <v>2025</v>
      </c>
      <c r="C455" t="s">
        <v>7178</v>
      </c>
      <c r="D455" t="s">
        <v>7228</v>
      </c>
      <c r="E455">
        <v>3</v>
      </c>
      <c r="F455" t="s">
        <v>7193</v>
      </c>
      <c r="G455" t="s">
        <v>7194</v>
      </c>
      <c r="H455" t="s">
        <v>7231</v>
      </c>
      <c r="I455" s="49">
        <v>45717</v>
      </c>
      <c r="J455">
        <v>29</v>
      </c>
      <c r="K455" t="s">
        <v>7188</v>
      </c>
      <c r="L455" t="b">
        <f>TRUE()</f>
        <v>1</v>
      </c>
      <c r="M455">
        <v>13</v>
      </c>
    </row>
    <row r="456" spans="1:13" ht="15" customHeight="1" x14ac:dyDescent="0.2">
      <c r="A456" s="49">
        <v>45746</v>
      </c>
      <c r="B456">
        <v>2025</v>
      </c>
      <c r="C456" t="s">
        <v>7178</v>
      </c>
      <c r="D456" t="s">
        <v>7228</v>
      </c>
      <c r="E456">
        <v>3</v>
      </c>
      <c r="F456" t="s">
        <v>7193</v>
      </c>
      <c r="G456" t="s">
        <v>7194</v>
      </c>
      <c r="H456" t="s">
        <v>7231</v>
      </c>
      <c r="I456" s="49">
        <v>45717</v>
      </c>
      <c r="J456">
        <v>30</v>
      </c>
      <c r="K456" t="s">
        <v>7189</v>
      </c>
      <c r="L456" t="b">
        <f>TRUE()</f>
        <v>1</v>
      </c>
      <c r="M456">
        <v>13</v>
      </c>
    </row>
    <row r="457" spans="1:13" ht="15" customHeight="1" x14ac:dyDescent="0.2">
      <c r="A457" s="49">
        <v>45747</v>
      </c>
      <c r="B457">
        <v>2025</v>
      </c>
      <c r="C457" t="s">
        <v>7178</v>
      </c>
      <c r="D457" t="s">
        <v>7228</v>
      </c>
      <c r="E457">
        <v>3</v>
      </c>
      <c r="F457" t="s">
        <v>7193</v>
      </c>
      <c r="G457" t="s">
        <v>7194</v>
      </c>
      <c r="H457" t="s">
        <v>7231</v>
      </c>
      <c r="I457" s="49">
        <v>45717</v>
      </c>
      <c r="J457">
        <v>31</v>
      </c>
      <c r="K457" t="s">
        <v>7183</v>
      </c>
      <c r="L457" t="b">
        <f>FALSE()</f>
        <v>0</v>
      </c>
      <c r="M457">
        <v>14</v>
      </c>
    </row>
    <row r="458" spans="1:13" ht="15" customHeight="1" x14ac:dyDescent="0.2">
      <c r="A458" s="49">
        <v>45748</v>
      </c>
      <c r="B458">
        <v>2025</v>
      </c>
      <c r="C458" t="s">
        <v>7196</v>
      </c>
      <c r="D458" t="s">
        <v>7232</v>
      </c>
      <c r="E458">
        <v>4</v>
      </c>
      <c r="F458" t="s">
        <v>7198</v>
      </c>
      <c r="G458" t="s">
        <v>7199</v>
      </c>
      <c r="H458" t="s">
        <v>7233</v>
      </c>
      <c r="I458" s="49">
        <v>45748</v>
      </c>
      <c r="J458">
        <v>1</v>
      </c>
      <c r="K458" t="s">
        <v>7184</v>
      </c>
      <c r="L458" t="b">
        <f>FALSE()</f>
        <v>0</v>
      </c>
      <c r="M458">
        <v>14</v>
      </c>
    </row>
    <row r="459" spans="1:13" ht="15" customHeight="1" x14ac:dyDescent="0.2">
      <c r="A459" s="49">
        <v>45749</v>
      </c>
      <c r="B459">
        <v>2025</v>
      </c>
      <c r="C459" t="s">
        <v>7196</v>
      </c>
      <c r="D459" t="s">
        <v>7232</v>
      </c>
      <c r="E459">
        <v>4</v>
      </c>
      <c r="F459" t="s">
        <v>7198</v>
      </c>
      <c r="G459" t="s">
        <v>7199</v>
      </c>
      <c r="H459" t="s">
        <v>7233</v>
      </c>
      <c r="I459" s="49">
        <v>45748</v>
      </c>
      <c r="J459">
        <v>2</v>
      </c>
      <c r="K459" t="s">
        <v>7185</v>
      </c>
      <c r="L459" t="b">
        <f>FALSE()</f>
        <v>0</v>
      </c>
      <c r="M459">
        <v>14</v>
      </c>
    </row>
    <row r="460" spans="1:13" ht="15" customHeight="1" x14ac:dyDescent="0.2">
      <c r="A460" s="49">
        <v>45750</v>
      </c>
      <c r="B460">
        <v>2025</v>
      </c>
      <c r="C460" t="s">
        <v>7196</v>
      </c>
      <c r="D460" t="s">
        <v>7232</v>
      </c>
      <c r="E460">
        <v>4</v>
      </c>
      <c r="F460" t="s">
        <v>7198</v>
      </c>
      <c r="G460" t="s">
        <v>7199</v>
      </c>
      <c r="H460" t="s">
        <v>7233</v>
      </c>
      <c r="I460" s="49">
        <v>45748</v>
      </c>
      <c r="J460">
        <v>3</v>
      </c>
      <c r="K460" t="s">
        <v>7186</v>
      </c>
      <c r="L460" t="b">
        <f>FALSE()</f>
        <v>0</v>
      </c>
      <c r="M460">
        <v>14</v>
      </c>
    </row>
    <row r="461" spans="1:13" ht="15" customHeight="1" x14ac:dyDescent="0.2">
      <c r="A461" s="49">
        <v>45751</v>
      </c>
      <c r="B461">
        <v>2025</v>
      </c>
      <c r="C461" t="s">
        <v>7196</v>
      </c>
      <c r="D461" t="s">
        <v>7232</v>
      </c>
      <c r="E461">
        <v>4</v>
      </c>
      <c r="F461" t="s">
        <v>7198</v>
      </c>
      <c r="G461" t="s">
        <v>7199</v>
      </c>
      <c r="H461" t="s">
        <v>7233</v>
      </c>
      <c r="I461" s="49">
        <v>45748</v>
      </c>
      <c r="J461">
        <v>4</v>
      </c>
      <c r="K461" t="s">
        <v>7187</v>
      </c>
      <c r="L461" t="b">
        <f>FALSE()</f>
        <v>0</v>
      </c>
      <c r="M461">
        <v>14</v>
      </c>
    </row>
    <row r="462" spans="1:13" ht="15" customHeight="1" x14ac:dyDescent="0.2">
      <c r="A462" s="49">
        <v>45752</v>
      </c>
      <c r="B462">
        <v>2025</v>
      </c>
      <c r="C462" t="s">
        <v>7196</v>
      </c>
      <c r="D462" t="s">
        <v>7232</v>
      </c>
      <c r="E462">
        <v>4</v>
      </c>
      <c r="F462" t="s">
        <v>7198</v>
      </c>
      <c r="G462" t="s">
        <v>7199</v>
      </c>
      <c r="H462" t="s">
        <v>7233</v>
      </c>
      <c r="I462" s="49">
        <v>45748</v>
      </c>
      <c r="J462">
        <v>5</v>
      </c>
      <c r="K462" t="s">
        <v>7188</v>
      </c>
      <c r="L462" t="b">
        <f>TRUE()</f>
        <v>1</v>
      </c>
      <c r="M462">
        <v>14</v>
      </c>
    </row>
    <row r="463" spans="1:13" ht="15" customHeight="1" x14ac:dyDescent="0.2">
      <c r="A463" s="49">
        <v>45753</v>
      </c>
      <c r="B463">
        <v>2025</v>
      </c>
      <c r="C463" t="s">
        <v>7196</v>
      </c>
      <c r="D463" t="s">
        <v>7232</v>
      </c>
      <c r="E463">
        <v>4</v>
      </c>
      <c r="F463" t="s">
        <v>7198</v>
      </c>
      <c r="G463" t="s">
        <v>7199</v>
      </c>
      <c r="H463" t="s">
        <v>7233</v>
      </c>
      <c r="I463" s="49">
        <v>45748</v>
      </c>
      <c r="J463">
        <v>6</v>
      </c>
      <c r="K463" t="s">
        <v>7189</v>
      </c>
      <c r="L463" t="b">
        <f>TRUE()</f>
        <v>1</v>
      </c>
      <c r="M463">
        <v>14</v>
      </c>
    </row>
    <row r="464" spans="1:13" ht="15" customHeight="1" x14ac:dyDescent="0.2">
      <c r="A464" s="49">
        <v>45754</v>
      </c>
      <c r="B464">
        <v>2025</v>
      </c>
      <c r="C464" t="s">
        <v>7196</v>
      </c>
      <c r="D464" t="s">
        <v>7232</v>
      </c>
      <c r="E464">
        <v>4</v>
      </c>
      <c r="F464" t="s">
        <v>7198</v>
      </c>
      <c r="G464" t="s">
        <v>7199</v>
      </c>
      <c r="H464" t="s">
        <v>7233</v>
      </c>
      <c r="I464" s="49">
        <v>45748</v>
      </c>
      <c r="J464">
        <v>7</v>
      </c>
      <c r="K464" t="s">
        <v>7183</v>
      </c>
      <c r="L464" t="b">
        <f>FALSE()</f>
        <v>0</v>
      </c>
      <c r="M464">
        <v>15</v>
      </c>
    </row>
    <row r="465" spans="1:13" ht="15" customHeight="1" x14ac:dyDescent="0.2">
      <c r="A465" s="49">
        <v>45755</v>
      </c>
      <c r="B465">
        <v>2025</v>
      </c>
      <c r="C465" t="s">
        <v>7196</v>
      </c>
      <c r="D465" t="s">
        <v>7232</v>
      </c>
      <c r="E465">
        <v>4</v>
      </c>
      <c r="F465" t="s">
        <v>7198</v>
      </c>
      <c r="G465" t="s">
        <v>7199</v>
      </c>
      <c r="H465" t="s">
        <v>7233</v>
      </c>
      <c r="I465" s="49">
        <v>45748</v>
      </c>
      <c r="J465">
        <v>8</v>
      </c>
      <c r="K465" t="s">
        <v>7184</v>
      </c>
      <c r="L465" t="b">
        <f>FALSE()</f>
        <v>0</v>
      </c>
      <c r="M465">
        <v>15</v>
      </c>
    </row>
    <row r="466" spans="1:13" ht="15" customHeight="1" x14ac:dyDescent="0.2">
      <c r="A466" s="49">
        <v>45756</v>
      </c>
      <c r="B466">
        <v>2025</v>
      </c>
      <c r="C466" t="s">
        <v>7196</v>
      </c>
      <c r="D466" t="s">
        <v>7232</v>
      </c>
      <c r="E466">
        <v>4</v>
      </c>
      <c r="F466" t="s">
        <v>7198</v>
      </c>
      <c r="G466" t="s">
        <v>7199</v>
      </c>
      <c r="H466" t="s">
        <v>7233</v>
      </c>
      <c r="I466" s="49">
        <v>45748</v>
      </c>
      <c r="J466">
        <v>9</v>
      </c>
      <c r="K466" t="s">
        <v>7185</v>
      </c>
      <c r="L466" t="b">
        <f>FALSE()</f>
        <v>0</v>
      </c>
      <c r="M466">
        <v>15</v>
      </c>
    </row>
    <row r="467" spans="1:13" ht="15" customHeight="1" x14ac:dyDescent="0.2">
      <c r="A467" s="49">
        <v>45757</v>
      </c>
      <c r="B467">
        <v>2025</v>
      </c>
      <c r="C467" t="s">
        <v>7196</v>
      </c>
      <c r="D467" t="s">
        <v>7232</v>
      </c>
      <c r="E467">
        <v>4</v>
      </c>
      <c r="F467" t="s">
        <v>7198</v>
      </c>
      <c r="G467" t="s">
        <v>7199</v>
      </c>
      <c r="H467" t="s">
        <v>7233</v>
      </c>
      <c r="I467" s="49">
        <v>45748</v>
      </c>
      <c r="J467">
        <v>10</v>
      </c>
      <c r="K467" t="s">
        <v>7186</v>
      </c>
      <c r="L467" t="b">
        <f>FALSE()</f>
        <v>0</v>
      </c>
      <c r="M467">
        <v>15</v>
      </c>
    </row>
    <row r="468" spans="1:13" ht="15" customHeight="1" x14ac:dyDescent="0.2">
      <c r="A468" s="49">
        <v>45758</v>
      </c>
      <c r="B468">
        <v>2025</v>
      </c>
      <c r="C468" t="s">
        <v>7196</v>
      </c>
      <c r="D468" t="s">
        <v>7232</v>
      </c>
      <c r="E468">
        <v>4</v>
      </c>
      <c r="F468" t="s">
        <v>7198</v>
      </c>
      <c r="G468" t="s">
        <v>7199</v>
      </c>
      <c r="H468" t="s">
        <v>7233</v>
      </c>
      <c r="I468" s="49">
        <v>45748</v>
      </c>
      <c r="J468">
        <v>11</v>
      </c>
      <c r="K468" t="s">
        <v>7187</v>
      </c>
      <c r="L468" t="b">
        <f>FALSE()</f>
        <v>0</v>
      </c>
      <c r="M468">
        <v>15</v>
      </c>
    </row>
    <row r="469" spans="1:13" ht="15" customHeight="1" x14ac:dyDescent="0.2">
      <c r="A469" s="49">
        <v>45759</v>
      </c>
      <c r="B469">
        <v>2025</v>
      </c>
      <c r="C469" t="s">
        <v>7196</v>
      </c>
      <c r="D469" t="s">
        <v>7232</v>
      </c>
      <c r="E469">
        <v>4</v>
      </c>
      <c r="F469" t="s">
        <v>7198</v>
      </c>
      <c r="G469" t="s">
        <v>7199</v>
      </c>
      <c r="H469" t="s">
        <v>7233</v>
      </c>
      <c r="I469" s="49">
        <v>45748</v>
      </c>
      <c r="J469">
        <v>12</v>
      </c>
      <c r="K469" t="s">
        <v>7188</v>
      </c>
      <c r="L469" t="b">
        <f>TRUE()</f>
        <v>1</v>
      </c>
      <c r="M469">
        <v>15</v>
      </c>
    </row>
    <row r="470" spans="1:13" ht="15" customHeight="1" x14ac:dyDescent="0.2">
      <c r="A470" s="49">
        <v>45760</v>
      </c>
      <c r="B470">
        <v>2025</v>
      </c>
      <c r="C470" t="s">
        <v>7196</v>
      </c>
      <c r="D470" t="s">
        <v>7232</v>
      </c>
      <c r="E470">
        <v>4</v>
      </c>
      <c r="F470" t="s">
        <v>7198</v>
      </c>
      <c r="G470" t="s">
        <v>7199</v>
      </c>
      <c r="H470" t="s">
        <v>7233</v>
      </c>
      <c r="I470" s="49">
        <v>45748</v>
      </c>
      <c r="J470">
        <v>13</v>
      </c>
      <c r="K470" t="s">
        <v>7189</v>
      </c>
      <c r="L470" t="b">
        <f>TRUE()</f>
        <v>1</v>
      </c>
      <c r="M470">
        <v>15</v>
      </c>
    </row>
    <row r="471" spans="1:13" ht="15" customHeight="1" x14ac:dyDescent="0.2">
      <c r="A471" s="49">
        <v>45761</v>
      </c>
      <c r="B471">
        <v>2025</v>
      </c>
      <c r="C471" t="s">
        <v>7196</v>
      </c>
      <c r="D471" t="s">
        <v>7232</v>
      </c>
      <c r="E471">
        <v>4</v>
      </c>
      <c r="F471" t="s">
        <v>7198</v>
      </c>
      <c r="G471" t="s">
        <v>7199</v>
      </c>
      <c r="H471" t="s">
        <v>7233</v>
      </c>
      <c r="I471" s="49">
        <v>45748</v>
      </c>
      <c r="J471">
        <v>14</v>
      </c>
      <c r="K471" t="s">
        <v>7183</v>
      </c>
      <c r="L471" t="b">
        <f>FALSE()</f>
        <v>0</v>
      </c>
      <c r="M471">
        <v>16</v>
      </c>
    </row>
    <row r="472" spans="1:13" ht="15" customHeight="1" x14ac:dyDescent="0.2">
      <c r="A472" s="49">
        <v>45762</v>
      </c>
      <c r="B472">
        <v>2025</v>
      </c>
      <c r="C472" t="s">
        <v>7196</v>
      </c>
      <c r="D472" t="s">
        <v>7232</v>
      </c>
      <c r="E472">
        <v>4</v>
      </c>
      <c r="F472" t="s">
        <v>7198</v>
      </c>
      <c r="G472" t="s">
        <v>7199</v>
      </c>
      <c r="H472" t="s">
        <v>7233</v>
      </c>
      <c r="I472" s="49">
        <v>45748</v>
      </c>
      <c r="J472">
        <v>15</v>
      </c>
      <c r="K472" t="s">
        <v>7184</v>
      </c>
      <c r="L472" t="b">
        <f>FALSE()</f>
        <v>0</v>
      </c>
      <c r="M472">
        <v>16</v>
      </c>
    </row>
    <row r="473" spans="1:13" ht="15" customHeight="1" x14ac:dyDescent="0.2">
      <c r="A473" s="49">
        <v>45763</v>
      </c>
      <c r="B473">
        <v>2025</v>
      </c>
      <c r="C473" t="s">
        <v>7196</v>
      </c>
      <c r="D473" t="s">
        <v>7232</v>
      </c>
      <c r="E473">
        <v>4</v>
      </c>
      <c r="F473" t="s">
        <v>7198</v>
      </c>
      <c r="G473" t="s">
        <v>7199</v>
      </c>
      <c r="H473" t="s">
        <v>7233</v>
      </c>
      <c r="I473" s="49">
        <v>45748</v>
      </c>
      <c r="J473">
        <v>16</v>
      </c>
      <c r="K473" t="s">
        <v>7185</v>
      </c>
      <c r="L473" t="b">
        <f>FALSE()</f>
        <v>0</v>
      </c>
      <c r="M473">
        <v>16</v>
      </c>
    </row>
    <row r="474" spans="1:13" ht="15" customHeight="1" x14ac:dyDescent="0.2">
      <c r="A474" s="49">
        <v>45764</v>
      </c>
      <c r="B474">
        <v>2025</v>
      </c>
      <c r="C474" t="s">
        <v>7196</v>
      </c>
      <c r="D474" t="s">
        <v>7232</v>
      </c>
      <c r="E474">
        <v>4</v>
      </c>
      <c r="F474" t="s">
        <v>7198</v>
      </c>
      <c r="G474" t="s">
        <v>7199</v>
      </c>
      <c r="H474" t="s">
        <v>7233</v>
      </c>
      <c r="I474" s="49">
        <v>45748</v>
      </c>
      <c r="J474">
        <v>17</v>
      </c>
      <c r="K474" t="s">
        <v>7186</v>
      </c>
      <c r="L474" t="b">
        <f>FALSE()</f>
        <v>0</v>
      </c>
      <c r="M474">
        <v>16</v>
      </c>
    </row>
    <row r="475" spans="1:13" ht="15" customHeight="1" x14ac:dyDescent="0.2">
      <c r="A475" s="49">
        <v>45765</v>
      </c>
      <c r="B475">
        <v>2025</v>
      </c>
      <c r="C475" t="s">
        <v>7196</v>
      </c>
      <c r="D475" t="s">
        <v>7232</v>
      </c>
      <c r="E475">
        <v>4</v>
      </c>
      <c r="F475" t="s">
        <v>7198</v>
      </c>
      <c r="G475" t="s">
        <v>7199</v>
      </c>
      <c r="H475" t="s">
        <v>7233</v>
      </c>
      <c r="I475" s="49">
        <v>45748</v>
      </c>
      <c r="J475">
        <v>18</v>
      </c>
      <c r="K475" t="s">
        <v>7187</v>
      </c>
      <c r="L475" t="b">
        <f>FALSE()</f>
        <v>0</v>
      </c>
      <c r="M475">
        <v>16</v>
      </c>
    </row>
    <row r="476" spans="1:13" ht="15" customHeight="1" x14ac:dyDescent="0.2">
      <c r="A476" s="49">
        <v>45766</v>
      </c>
      <c r="B476">
        <v>2025</v>
      </c>
      <c r="C476" t="s">
        <v>7196</v>
      </c>
      <c r="D476" t="s">
        <v>7232</v>
      </c>
      <c r="E476">
        <v>4</v>
      </c>
      <c r="F476" t="s">
        <v>7198</v>
      </c>
      <c r="G476" t="s">
        <v>7199</v>
      </c>
      <c r="H476" t="s">
        <v>7233</v>
      </c>
      <c r="I476" s="49">
        <v>45748</v>
      </c>
      <c r="J476">
        <v>19</v>
      </c>
      <c r="K476" t="s">
        <v>7188</v>
      </c>
      <c r="L476" t="b">
        <f>TRUE()</f>
        <v>1</v>
      </c>
      <c r="M476">
        <v>16</v>
      </c>
    </row>
    <row r="477" spans="1:13" ht="15" customHeight="1" x14ac:dyDescent="0.2">
      <c r="A477" s="49">
        <v>45767</v>
      </c>
      <c r="B477">
        <v>2025</v>
      </c>
      <c r="C477" t="s">
        <v>7196</v>
      </c>
      <c r="D477" t="s">
        <v>7232</v>
      </c>
      <c r="E477">
        <v>4</v>
      </c>
      <c r="F477" t="s">
        <v>7198</v>
      </c>
      <c r="G477" t="s">
        <v>7199</v>
      </c>
      <c r="H477" t="s">
        <v>7233</v>
      </c>
      <c r="I477" s="49">
        <v>45748</v>
      </c>
      <c r="J477">
        <v>20</v>
      </c>
      <c r="K477" t="s">
        <v>7189</v>
      </c>
      <c r="L477" t="b">
        <f>TRUE()</f>
        <v>1</v>
      </c>
      <c r="M477">
        <v>16</v>
      </c>
    </row>
    <row r="478" spans="1:13" ht="15" customHeight="1" x14ac:dyDescent="0.2">
      <c r="A478" s="49">
        <v>45768</v>
      </c>
      <c r="B478">
        <v>2025</v>
      </c>
      <c r="C478" t="s">
        <v>7196</v>
      </c>
      <c r="D478" t="s">
        <v>7232</v>
      </c>
      <c r="E478">
        <v>4</v>
      </c>
      <c r="F478" t="s">
        <v>7198</v>
      </c>
      <c r="G478" t="s">
        <v>7199</v>
      </c>
      <c r="H478" t="s">
        <v>7233</v>
      </c>
      <c r="I478" s="49">
        <v>45748</v>
      </c>
      <c r="J478">
        <v>21</v>
      </c>
      <c r="K478" t="s">
        <v>7183</v>
      </c>
      <c r="L478" t="b">
        <f>FALSE()</f>
        <v>0</v>
      </c>
      <c r="M478">
        <v>17</v>
      </c>
    </row>
    <row r="479" spans="1:13" ht="15" customHeight="1" x14ac:dyDescent="0.2">
      <c r="A479" s="49">
        <v>45769</v>
      </c>
      <c r="B479">
        <v>2025</v>
      </c>
      <c r="C479" t="s">
        <v>7196</v>
      </c>
      <c r="D479" t="s">
        <v>7232</v>
      </c>
      <c r="E479">
        <v>4</v>
      </c>
      <c r="F479" t="s">
        <v>7198</v>
      </c>
      <c r="G479" t="s">
        <v>7199</v>
      </c>
      <c r="H479" t="s">
        <v>7233</v>
      </c>
      <c r="I479" s="49">
        <v>45748</v>
      </c>
      <c r="J479">
        <v>22</v>
      </c>
      <c r="K479" t="s">
        <v>7184</v>
      </c>
      <c r="L479" t="b">
        <f>FALSE()</f>
        <v>0</v>
      </c>
      <c r="M479">
        <v>17</v>
      </c>
    </row>
    <row r="480" spans="1:13" ht="15" customHeight="1" x14ac:dyDescent="0.2">
      <c r="A480" s="49">
        <v>45770</v>
      </c>
      <c r="B480">
        <v>2025</v>
      </c>
      <c r="C480" t="s">
        <v>7196</v>
      </c>
      <c r="D480" t="s">
        <v>7232</v>
      </c>
      <c r="E480">
        <v>4</v>
      </c>
      <c r="F480" t="s">
        <v>7198</v>
      </c>
      <c r="G480" t="s">
        <v>7199</v>
      </c>
      <c r="H480" t="s">
        <v>7233</v>
      </c>
      <c r="I480" s="49">
        <v>45748</v>
      </c>
      <c r="J480">
        <v>23</v>
      </c>
      <c r="K480" t="s">
        <v>7185</v>
      </c>
      <c r="L480" t="b">
        <f>FALSE()</f>
        <v>0</v>
      </c>
      <c r="M480">
        <v>17</v>
      </c>
    </row>
    <row r="481" spans="1:13" ht="15" customHeight="1" x14ac:dyDescent="0.2">
      <c r="A481" s="49">
        <v>45771</v>
      </c>
      <c r="B481">
        <v>2025</v>
      </c>
      <c r="C481" t="s">
        <v>7196</v>
      </c>
      <c r="D481" t="s">
        <v>7232</v>
      </c>
      <c r="E481">
        <v>4</v>
      </c>
      <c r="F481" t="s">
        <v>7198</v>
      </c>
      <c r="G481" t="s">
        <v>7199</v>
      </c>
      <c r="H481" t="s">
        <v>7233</v>
      </c>
      <c r="I481" s="49">
        <v>45748</v>
      </c>
      <c r="J481">
        <v>24</v>
      </c>
      <c r="K481" t="s">
        <v>7186</v>
      </c>
      <c r="L481" t="b">
        <f>FALSE()</f>
        <v>0</v>
      </c>
      <c r="M481">
        <v>17</v>
      </c>
    </row>
    <row r="482" spans="1:13" ht="15" customHeight="1" x14ac:dyDescent="0.2">
      <c r="A482" s="49">
        <v>45772</v>
      </c>
      <c r="B482">
        <v>2025</v>
      </c>
      <c r="C482" t="s">
        <v>7196</v>
      </c>
      <c r="D482" t="s">
        <v>7232</v>
      </c>
      <c r="E482">
        <v>4</v>
      </c>
      <c r="F482" t="s">
        <v>7198</v>
      </c>
      <c r="G482" t="s">
        <v>7199</v>
      </c>
      <c r="H482" t="s">
        <v>7233</v>
      </c>
      <c r="I482" s="49">
        <v>45748</v>
      </c>
      <c r="J482">
        <v>25</v>
      </c>
      <c r="K482" t="s">
        <v>7187</v>
      </c>
      <c r="L482" t="b">
        <f>FALSE()</f>
        <v>0</v>
      </c>
      <c r="M482">
        <v>17</v>
      </c>
    </row>
    <row r="483" spans="1:13" ht="15" customHeight="1" x14ac:dyDescent="0.2">
      <c r="A483" s="49">
        <v>45773</v>
      </c>
      <c r="B483">
        <v>2025</v>
      </c>
      <c r="C483" t="s">
        <v>7196</v>
      </c>
      <c r="D483" t="s">
        <v>7232</v>
      </c>
      <c r="E483">
        <v>4</v>
      </c>
      <c r="F483" t="s">
        <v>7198</v>
      </c>
      <c r="G483" t="s">
        <v>7199</v>
      </c>
      <c r="H483" t="s">
        <v>7233</v>
      </c>
      <c r="I483" s="49">
        <v>45748</v>
      </c>
      <c r="J483">
        <v>26</v>
      </c>
      <c r="K483" t="s">
        <v>7188</v>
      </c>
      <c r="L483" t="b">
        <f>TRUE()</f>
        <v>1</v>
      </c>
      <c r="M483">
        <v>17</v>
      </c>
    </row>
    <row r="484" spans="1:13" ht="15" customHeight="1" x14ac:dyDescent="0.2">
      <c r="A484" s="49">
        <v>45774</v>
      </c>
      <c r="B484">
        <v>2025</v>
      </c>
      <c r="C484" t="s">
        <v>7196</v>
      </c>
      <c r="D484" t="s">
        <v>7232</v>
      </c>
      <c r="E484">
        <v>4</v>
      </c>
      <c r="F484" t="s">
        <v>7198</v>
      </c>
      <c r="G484" t="s">
        <v>7199</v>
      </c>
      <c r="H484" t="s">
        <v>7233</v>
      </c>
      <c r="I484" s="49">
        <v>45748</v>
      </c>
      <c r="J484">
        <v>27</v>
      </c>
      <c r="K484" t="s">
        <v>7189</v>
      </c>
      <c r="L484" t="b">
        <f>TRUE()</f>
        <v>1</v>
      </c>
      <c r="M484">
        <v>17</v>
      </c>
    </row>
    <row r="485" spans="1:13" ht="15" customHeight="1" x14ac:dyDescent="0.2">
      <c r="A485" s="49">
        <v>45775</v>
      </c>
      <c r="B485">
        <v>2025</v>
      </c>
      <c r="C485" t="s">
        <v>7196</v>
      </c>
      <c r="D485" t="s">
        <v>7232</v>
      </c>
      <c r="E485">
        <v>4</v>
      </c>
      <c r="F485" t="s">
        <v>7198</v>
      </c>
      <c r="G485" t="s">
        <v>7199</v>
      </c>
      <c r="H485" t="s">
        <v>7233</v>
      </c>
      <c r="I485" s="49">
        <v>45748</v>
      </c>
      <c r="J485">
        <v>28</v>
      </c>
      <c r="K485" t="s">
        <v>7183</v>
      </c>
      <c r="L485" t="b">
        <f>FALSE()</f>
        <v>0</v>
      </c>
      <c r="M485">
        <v>18</v>
      </c>
    </row>
    <row r="486" spans="1:13" ht="15" customHeight="1" x14ac:dyDescent="0.2">
      <c r="A486" s="49">
        <v>45776</v>
      </c>
      <c r="B486">
        <v>2025</v>
      </c>
      <c r="C486" t="s">
        <v>7196</v>
      </c>
      <c r="D486" t="s">
        <v>7232</v>
      </c>
      <c r="E486">
        <v>4</v>
      </c>
      <c r="F486" t="s">
        <v>7198</v>
      </c>
      <c r="G486" t="s">
        <v>7199</v>
      </c>
      <c r="H486" t="s">
        <v>7233</v>
      </c>
      <c r="I486" s="49">
        <v>45748</v>
      </c>
      <c r="J486">
        <v>29</v>
      </c>
      <c r="K486" t="s">
        <v>7184</v>
      </c>
      <c r="L486" t="b">
        <f>FALSE()</f>
        <v>0</v>
      </c>
      <c r="M486">
        <v>18</v>
      </c>
    </row>
    <row r="487" spans="1:13" ht="15" customHeight="1" x14ac:dyDescent="0.2">
      <c r="A487" s="49">
        <v>45777</v>
      </c>
      <c r="B487">
        <v>2025</v>
      </c>
      <c r="C487" t="s">
        <v>7196</v>
      </c>
      <c r="D487" t="s">
        <v>7232</v>
      </c>
      <c r="E487">
        <v>4</v>
      </c>
      <c r="F487" t="s">
        <v>7198</v>
      </c>
      <c r="G487" t="s">
        <v>7199</v>
      </c>
      <c r="H487" t="s">
        <v>7233</v>
      </c>
      <c r="I487" s="49">
        <v>45748</v>
      </c>
      <c r="J487">
        <v>30</v>
      </c>
      <c r="K487" t="s">
        <v>7185</v>
      </c>
      <c r="L487" t="b">
        <f>FALSE()</f>
        <v>0</v>
      </c>
      <c r="M487">
        <v>18</v>
      </c>
    </row>
    <row r="488" spans="1:13" ht="15" customHeight="1" x14ac:dyDescent="0.2">
      <c r="A488" s="49">
        <v>45778</v>
      </c>
      <c r="B488">
        <v>2025</v>
      </c>
      <c r="C488" t="s">
        <v>7196</v>
      </c>
      <c r="D488" t="s">
        <v>7232</v>
      </c>
      <c r="E488">
        <v>5</v>
      </c>
      <c r="F488" t="s">
        <v>7201</v>
      </c>
      <c r="G488" t="s">
        <v>7201</v>
      </c>
      <c r="H488" t="s">
        <v>7234</v>
      </c>
      <c r="I488" s="49">
        <v>45778</v>
      </c>
      <c r="J488">
        <v>1</v>
      </c>
      <c r="K488" t="s">
        <v>7186</v>
      </c>
      <c r="L488" t="b">
        <f>FALSE()</f>
        <v>0</v>
      </c>
      <c r="M488">
        <v>18</v>
      </c>
    </row>
    <row r="489" spans="1:13" ht="15" customHeight="1" x14ac:dyDescent="0.2">
      <c r="A489" s="49">
        <v>45779</v>
      </c>
      <c r="B489">
        <v>2025</v>
      </c>
      <c r="C489" t="s">
        <v>7196</v>
      </c>
      <c r="D489" t="s">
        <v>7232</v>
      </c>
      <c r="E489">
        <v>5</v>
      </c>
      <c r="F489" t="s">
        <v>7201</v>
      </c>
      <c r="G489" t="s">
        <v>7201</v>
      </c>
      <c r="H489" t="s">
        <v>7234</v>
      </c>
      <c r="I489" s="49">
        <v>45778</v>
      </c>
      <c r="J489">
        <v>2</v>
      </c>
      <c r="K489" t="s">
        <v>7187</v>
      </c>
      <c r="L489" t="b">
        <f>FALSE()</f>
        <v>0</v>
      </c>
      <c r="M489">
        <v>18</v>
      </c>
    </row>
    <row r="490" spans="1:13" ht="15" customHeight="1" x14ac:dyDescent="0.2">
      <c r="A490" s="49">
        <v>45780</v>
      </c>
      <c r="B490">
        <v>2025</v>
      </c>
      <c r="C490" t="s">
        <v>7196</v>
      </c>
      <c r="D490" t="s">
        <v>7232</v>
      </c>
      <c r="E490">
        <v>5</v>
      </c>
      <c r="F490" t="s">
        <v>7201</v>
      </c>
      <c r="G490" t="s">
        <v>7201</v>
      </c>
      <c r="H490" t="s">
        <v>7234</v>
      </c>
      <c r="I490" s="49">
        <v>45778</v>
      </c>
      <c r="J490">
        <v>3</v>
      </c>
      <c r="K490" t="s">
        <v>7188</v>
      </c>
      <c r="L490" t="b">
        <f>TRUE()</f>
        <v>1</v>
      </c>
      <c r="M490">
        <v>18</v>
      </c>
    </row>
    <row r="491" spans="1:13" ht="15" customHeight="1" x14ac:dyDescent="0.2">
      <c r="A491" s="49">
        <v>45781</v>
      </c>
      <c r="B491">
        <v>2025</v>
      </c>
      <c r="C491" t="s">
        <v>7196</v>
      </c>
      <c r="D491" t="s">
        <v>7232</v>
      </c>
      <c r="E491">
        <v>5</v>
      </c>
      <c r="F491" t="s">
        <v>7201</v>
      </c>
      <c r="G491" t="s">
        <v>7201</v>
      </c>
      <c r="H491" t="s">
        <v>7234</v>
      </c>
      <c r="I491" s="49">
        <v>45778</v>
      </c>
      <c r="J491">
        <v>4</v>
      </c>
      <c r="K491" t="s">
        <v>7189</v>
      </c>
      <c r="L491" t="b">
        <f>TRUE()</f>
        <v>1</v>
      </c>
      <c r="M491">
        <v>18</v>
      </c>
    </row>
    <row r="492" spans="1:13" ht="15" customHeight="1" x14ac:dyDescent="0.2">
      <c r="A492" s="49">
        <v>45782</v>
      </c>
      <c r="B492">
        <v>2025</v>
      </c>
      <c r="C492" t="s">
        <v>7196</v>
      </c>
      <c r="D492" t="s">
        <v>7232</v>
      </c>
      <c r="E492">
        <v>5</v>
      </c>
      <c r="F492" t="s">
        <v>7201</v>
      </c>
      <c r="G492" t="s">
        <v>7201</v>
      </c>
      <c r="H492" t="s">
        <v>7234</v>
      </c>
      <c r="I492" s="49">
        <v>45778</v>
      </c>
      <c r="J492">
        <v>5</v>
      </c>
      <c r="K492" t="s">
        <v>7183</v>
      </c>
      <c r="L492" t="b">
        <f>FALSE()</f>
        <v>0</v>
      </c>
      <c r="M492">
        <v>19</v>
      </c>
    </row>
    <row r="493" spans="1:13" ht="15" customHeight="1" x14ac:dyDescent="0.2">
      <c r="A493" s="49">
        <v>45783</v>
      </c>
      <c r="B493">
        <v>2025</v>
      </c>
      <c r="C493" t="s">
        <v>7196</v>
      </c>
      <c r="D493" t="s">
        <v>7232</v>
      </c>
      <c r="E493">
        <v>5</v>
      </c>
      <c r="F493" t="s">
        <v>7201</v>
      </c>
      <c r="G493" t="s">
        <v>7201</v>
      </c>
      <c r="H493" t="s">
        <v>7234</v>
      </c>
      <c r="I493" s="49">
        <v>45778</v>
      </c>
      <c r="J493">
        <v>6</v>
      </c>
      <c r="K493" t="s">
        <v>7184</v>
      </c>
      <c r="L493" t="b">
        <f>FALSE()</f>
        <v>0</v>
      </c>
      <c r="M493">
        <v>19</v>
      </c>
    </row>
    <row r="494" spans="1:13" ht="15" customHeight="1" x14ac:dyDescent="0.2">
      <c r="A494" s="49">
        <v>45784</v>
      </c>
      <c r="B494">
        <v>2025</v>
      </c>
      <c r="C494" t="s">
        <v>7196</v>
      </c>
      <c r="D494" t="s">
        <v>7232</v>
      </c>
      <c r="E494">
        <v>5</v>
      </c>
      <c r="F494" t="s">
        <v>7201</v>
      </c>
      <c r="G494" t="s">
        <v>7201</v>
      </c>
      <c r="H494" t="s">
        <v>7234</v>
      </c>
      <c r="I494" s="49">
        <v>45778</v>
      </c>
      <c r="J494">
        <v>7</v>
      </c>
      <c r="K494" t="s">
        <v>7185</v>
      </c>
      <c r="L494" t="b">
        <f>FALSE()</f>
        <v>0</v>
      </c>
      <c r="M494">
        <v>19</v>
      </c>
    </row>
    <row r="495" spans="1:13" ht="15" customHeight="1" x14ac:dyDescent="0.2">
      <c r="A495" s="49">
        <v>45785</v>
      </c>
      <c r="B495">
        <v>2025</v>
      </c>
      <c r="C495" t="s">
        <v>7196</v>
      </c>
      <c r="D495" t="s">
        <v>7232</v>
      </c>
      <c r="E495">
        <v>5</v>
      </c>
      <c r="F495" t="s">
        <v>7201</v>
      </c>
      <c r="G495" t="s">
        <v>7201</v>
      </c>
      <c r="H495" t="s">
        <v>7234</v>
      </c>
      <c r="I495" s="49">
        <v>45778</v>
      </c>
      <c r="J495">
        <v>8</v>
      </c>
      <c r="K495" t="s">
        <v>7186</v>
      </c>
      <c r="L495" t="b">
        <f>FALSE()</f>
        <v>0</v>
      </c>
      <c r="M495">
        <v>19</v>
      </c>
    </row>
    <row r="496" spans="1:13" ht="15" customHeight="1" x14ac:dyDescent="0.2">
      <c r="A496" s="49">
        <v>45786</v>
      </c>
      <c r="B496">
        <v>2025</v>
      </c>
      <c r="C496" t="s">
        <v>7196</v>
      </c>
      <c r="D496" t="s">
        <v>7232</v>
      </c>
      <c r="E496">
        <v>5</v>
      </c>
      <c r="F496" t="s">
        <v>7201</v>
      </c>
      <c r="G496" t="s">
        <v>7201</v>
      </c>
      <c r="H496" t="s">
        <v>7234</v>
      </c>
      <c r="I496" s="49">
        <v>45778</v>
      </c>
      <c r="J496">
        <v>9</v>
      </c>
      <c r="K496" t="s">
        <v>7187</v>
      </c>
      <c r="L496" t="b">
        <f>FALSE()</f>
        <v>0</v>
      </c>
      <c r="M496">
        <v>19</v>
      </c>
    </row>
    <row r="497" spans="1:13" ht="15" customHeight="1" x14ac:dyDescent="0.2">
      <c r="A497" s="49">
        <v>45787</v>
      </c>
      <c r="B497">
        <v>2025</v>
      </c>
      <c r="C497" t="s">
        <v>7196</v>
      </c>
      <c r="D497" t="s">
        <v>7232</v>
      </c>
      <c r="E497">
        <v>5</v>
      </c>
      <c r="F497" t="s">
        <v>7201</v>
      </c>
      <c r="G497" t="s">
        <v>7201</v>
      </c>
      <c r="H497" t="s">
        <v>7234</v>
      </c>
      <c r="I497" s="49">
        <v>45778</v>
      </c>
      <c r="J497">
        <v>10</v>
      </c>
      <c r="K497" t="s">
        <v>7188</v>
      </c>
      <c r="L497" t="b">
        <f>TRUE()</f>
        <v>1</v>
      </c>
      <c r="M497">
        <v>19</v>
      </c>
    </row>
    <row r="498" spans="1:13" ht="15" customHeight="1" x14ac:dyDescent="0.2">
      <c r="A498" s="49">
        <v>45788</v>
      </c>
      <c r="B498">
        <v>2025</v>
      </c>
      <c r="C498" t="s">
        <v>7196</v>
      </c>
      <c r="D498" t="s">
        <v>7232</v>
      </c>
      <c r="E498">
        <v>5</v>
      </c>
      <c r="F498" t="s">
        <v>7201</v>
      </c>
      <c r="G498" t="s">
        <v>7201</v>
      </c>
      <c r="H498" t="s">
        <v>7234</v>
      </c>
      <c r="I498" s="49">
        <v>45778</v>
      </c>
      <c r="J498">
        <v>11</v>
      </c>
      <c r="K498" t="s">
        <v>7189</v>
      </c>
      <c r="L498" t="b">
        <f>TRUE()</f>
        <v>1</v>
      </c>
      <c r="M498">
        <v>19</v>
      </c>
    </row>
    <row r="499" spans="1:13" ht="15" customHeight="1" x14ac:dyDescent="0.2">
      <c r="A499" s="49">
        <v>45789</v>
      </c>
      <c r="B499">
        <v>2025</v>
      </c>
      <c r="C499" t="s">
        <v>7196</v>
      </c>
      <c r="D499" t="s">
        <v>7232</v>
      </c>
      <c r="E499">
        <v>5</v>
      </c>
      <c r="F499" t="s">
        <v>7201</v>
      </c>
      <c r="G499" t="s">
        <v>7201</v>
      </c>
      <c r="H499" t="s">
        <v>7234</v>
      </c>
      <c r="I499" s="49">
        <v>45778</v>
      </c>
      <c r="J499">
        <v>12</v>
      </c>
      <c r="K499" t="s">
        <v>7183</v>
      </c>
      <c r="L499" t="b">
        <f>FALSE()</f>
        <v>0</v>
      </c>
      <c r="M499">
        <v>20</v>
      </c>
    </row>
    <row r="500" spans="1:13" ht="15" customHeight="1" x14ac:dyDescent="0.2">
      <c r="A500" s="49">
        <v>45790</v>
      </c>
      <c r="B500">
        <v>2025</v>
      </c>
      <c r="C500" t="s">
        <v>7196</v>
      </c>
      <c r="D500" t="s">
        <v>7232</v>
      </c>
      <c r="E500">
        <v>5</v>
      </c>
      <c r="F500" t="s">
        <v>7201</v>
      </c>
      <c r="G500" t="s">
        <v>7201</v>
      </c>
      <c r="H500" t="s">
        <v>7234</v>
      </c>
      <c r="I500" s="49">
        <v>45778</v>
      </c>
      <c r="J500">
        <v>13</v>
      </c>
      <c r="K500" t="s">
        <v>7184</v>
      </c>
      <c r="L500" t="b">
        <f>FALSE()</f>
        <v>0</v>
      </c>
      <c r="M500">
        <v>20</v>
      </c>
    </row>
    <row r="501" spans="1:13" ht="15" customHeight="1" x14ac:dyDescent="0.2">
      <c r="A501" s="49">
        <v>45791</v>
      </c>
      <c r="B501">
        <v>2025</v>
      </c>
      <c r="C501" t="s">
        <v>7196</v>
      </c>
      <c r="D501" t="s">
        <v>7232</v>
      </c>
      <c r="E501">
        <v>5</v>
      </c>
      <c r="F501" t="s">
        <v>7201</v>
      </c>
      <c r="G501" t="s">
        <v>7201</v>
      </c>
      <c r="H501" t="s">
        <v>7234</v>
      </c>
      <c r="I501" s="49">
        <v>45778</v>
      </c>
      <c r="J501">
        <v>14</v>
      </c>
      <c r="K501" t="s">
        <v>7185</v>
      </c>
      <c r="L501" t="b">
        <f>FALSE()</f>
        <v>0</v>
      </c>
      <c r="M501">
        <v>20</v>
      </c>
    </row>
    <row r="502" spans="1:13" ht="15" customHeight="1" x14ac:dyDescent="0.2">
      <c r="A502" s="49">
        <v>45792</v>
      </c>
      <c r="B502">
        <v>2025</v>
      </c>
      <c r="C502" t="s">
        <v>7196</v>
      </c>
      <c r="D502" t="s">
        <v>7232</v>
      </c>
      <c r="E502">
        <v>5</v>
      </c>
      <c r="F502" t="s">
        <v>7201</v>
      </c>
      <c r="G502" t="s">
        <v>7201</v>
      </c>
      <c r="H502" t="s">
        <v>7234</v>
      </c>
      <c r="I502" s="49">
        <v>45778</v>
      </c>
      <c r="J502">
        <v>15</v>
      </c>
      <c r="K502" t="s">
        <v>7186</v>
      </c>
      <c r="L502" t="b">
        <f>FALSE()</f>
        <v>0</v>
      </c>
      <c r="M502">
        <v>20</v>
      </c>
    </row>
    <row r="503" spans="1:13" ht="15" customHeight="1" x14ac:dyDescent="0.2">
      <c r="A503" s="49">
        <v>45793</v>
      </c>
      <c r="B503">
        <v>2025</v>
      </c>
      <c r="C503" t="s">
        <v>7196</v>
      </c>
      <c r="D503" t="s">
        <v>7232</v>
      </c>
      <c r="E503">
        <v>5</v>
      </c>
      <c r="F503" t="s">
        <v>7201</v>
      </c>
      <c r="G503" t="s">
        <v>7201</v>
      </c>
      <c r="H503" t="s">
        <v>7234</v>
      </c>
      <c r="I503" s="49">
        <v>45778</v>
      </c>
      <c r="J503">
        <v>16</v>
      </c>
      <c r="K503" t="s">
        <v>7187</v>
      </c>
      <c r="L503" t="b">
        <f>FALSE()</f>
        <v>0</v>
      </c>
      <c r="M503">
        <v>20</v>
      </c>
    </row>
    <row r="504" spans="1:13" ht="15" customHeight="1" x14ac:dyDescent="0.2">
      <c r="A504" s="49">
        <v>45794</v>
      </c>
      <c r="B504">
        <v>2025</v>
      </c>
      <c r="C504" t="s">
        <v>7196</v>
      </c>
      <c r="D504" t="s">
        <v>7232</v>
      </c>
      <c r="E504">
        <v>5</v>
      </c>
      <c r="F504" t="s">
        <v>7201</v>
      </c>
      <c r="G504" t="s">
        <v>7201</v>
      </c>
      <c r="H504" t="s">
        <v>7234</v>
      </c>
      <c r="I504" s="49">
        <v>45778</v>
      </c>
      <c r="J504">
        <v>17</v>
      </c>
      <c r="K504" t="s">
        <v>7188</v>
      </c>
      <c r="L504" t="b">
        <f>TRUE()</f>
        <v>1</v>
      </c>
      <c r="M504">
        <v>20</v>
      </c>
    </row>
    <row r="505" spans="1:13" ht="15" customHeight="1" x14ac:dyDescent="0.2">
      <c r="A505" s="49">
        <v>45795</v>
      </c>
      <c r="B505">
        <v>2025</v>
      </c>
      <c r="C505" t="s">
        <v>7196</v>
      </c>
      <c r="D505" t="s">
        <v>7232</v>
      </c>
      <c r="E505">
        <v>5</v>
      </c>
      <c r="F505" t="s">
        <v>7201</v>
      </c>
      <c r="G505" t="s">
        <v>7201</v>
      </c>
      <c r="H505" t="s">
        <v>7234</v>
      </c>
      <c r="I505" s="49">
        <v>45778</v>
      </c>
      <c r="J505">
        <v>18</v>
      </c>
      <c r="K505" t="s">
        <v>7189</v>
      </c>
      <c r="L505" t="b">
        <f>TRUE()</f>
        <v>1</v>
      </c>
      <c r="M505">
        <v>20</v>
      </c>
    </row>
    <row r="506" spans="1:13" ht="15" customHeight="1" x14ac:dyDescent="0.2">
      <c r="A506" s="49">
        <v>45796</v>
      </c>
      <c r="B506">
        <v>2025</v>
      </c>
      <c r="C506" t="s">
        <v>7196</v>
      </c>
      <c r="D506" t="s">
        <v>7232</v>
      </c>
      <c r="E506">
        <v>5</v>
      </c>
      <c r="F506" t="s">
        <v>7201</v>
      </c>
      <c r="G506" t="s">
        <v>7201</v>
      </c>
      <c r="H506" t="s">
        <v>7234</v>
      </c>
      <c r="I506" s="49">
        <v>45778</v>
      </c>
      <c r="J506">
        <v>19</v>
      </c>
      <c r="K506" t="s">
        <v>7183</v>
      </c>
      <c r="L506" t="b">
        <f>FALSE()</f>
        <v>0</v>
      </c>
      <c r="M506">
        <v>21</v>
      </c>
    </row>
    <row r="507" spans="1:13" ht="15" customHeight="1" x14ac:dyDescent="0.2">
      <c r="A507" s="49">
        <v>45797</v>
      </c>
      <c r="B507">
        <v>2025</v>
      </c>
      <c r="C507" t="s">
        <v>7196</v>
      </c>
      <c r="D507" t="s">
        <v>7232</v>
      </c>
      <c r="E507">
        <v>5</v>
      </c>
      <c r="F507" t="s">
        <v>7201</v>
      </c>
      <c r="G507" t="s">
        <v>7201</v>
      </c>
      <c r="H507" t="s">
        <v>7234</v>
      </c>
      <c r="I507" s="49">
        <v>45778</v>
      </c>
      <c r="J507">
        <v>20</v>
      </c>
      <c r="K507" t="s">
        <v>7184</v>
      </c>
      <c r="L507" t="b">
        <f>FALSE()</f>
        <v>0</v>
      </c>
      <c r="M507">
        <v>21</v>
      </c>
    </row>
    <row r="508" spans="1:13" ht="15" customHeight="1" x14ac:dyDescent="0.2">
      <c r="A508" s="49">
        <v>45798</v>
      </c>
      <c r="B508">
        <v>2025</v>
      </c>
      <c r="C508" t="s">
        <v>7196</v>
      </c>
      <c r="D508" t="s">
        <v>7232</v>
      </c>
      <c r="E508">
        <v>5</v>
      </c>
      <c r="F508" t="s">
        <v>7201</v>
      </c>
      <c r="G508" t="s">
        <v>7201</v>
      </c>
      <c r="H508" t="s">
        <v>7234</v>
      </c>
      <c r="I508" s="49">
        <v>45778</v>
      </c>
      <c r="J508">
        <v>21</v>
      </c>
      <c r="K508" t="s">
        <v>7185</v>
      </c>
      <c r="L508" t="b">
        <f>FALSE()</f>
        <v>0</v>
      </c>
      <c r="M508">
        <v>21</v>
      </c>
    </row>
    <row r="509" spans="1:13" ht="15" customHeight="1" x14ac:dyDescent="0.2">
      <c r="A509" s="49">
        <v>45799</v>
      </c>
      <c r="B509">
        <v>2025</v>
      </c>
      <c r="C509" t="s">
        <v>7196</v>
      </c>
      <c r="D509" t="s">
        <v>7232</v>
      </c>
      <c r="E509">
        <v>5</v>
      </c>
      <c r="F509" t="s">
        <v>7201</v>
      </c>
      <c r="G509" t="s">
        <v>7201</v>
      </c>
      <c r="H509" t="s">
        <v>7234</v>
      </c>
      <c r="I509" s="49">
        <v>45778</v>
      </c>
      <c r="J509">
        <v>22</v>
      </c>
      <c r="K509" t="s">
        <v>7186</v>
      </c>
      <c r="L509" t="b">
        <f>FALSE()</f>
        <v>0</v>
      </c>
      <c r="M509">
        <v>21</v>
      </c>
    </row>
    <row r="510" spans="1:13" ht="15" customHeight="1" x14ac:dyDescent="0.2">
      <c r="A510" s="49">
        <v>45800</v>
      </c>
      <c r="B510">
        <v>2025</v>
      </c>
      <c r="C510" t="s">
        <v>7196</v>
      </c>
      <c r="D510" t="s">
        <v>7232</v>
      </c>
      <c r="E510">
        <v>5</v>
      </c>
      <c r="F510" t="s">
        <v>7201</v>
      </c>
      <c r="G510" t="s">
        <v>7201</v>
      </c>
      <c r="H510" t="s">
        <v>7234</v>
      </c>
      <c r="I510" s="49">
        <v>45778</v>
      </c>
      <c r="J510">
        <v>23</v>
      </c>
      <c r="K510" t="s">
        <v>7187</v>
      </c>
      <c r="L510" t="b">
        <f>FALSE()</f>
        <v>0</v>
      </c>
      <c r="M510">
        <v>21</v>
      </c>
    </row>
    <row r="511" spans="1:13" ht="15" customHeight="1" x14ac:dyDescent="0.2">
      <c r="A511" s="49">
        <v>45801</v>
      </c>
      <c r="B511">
        <v>2025</v>
      </c>
      <c r="C511" t="s">
        <v>7196</v>
      </c>
      <c r="D511" t="s">
        <v>7232</v>
      </c>
      <c r="E511">
        <v>5</v>
      </c>
      <c r="F511" t="s">
        <v>7201</v>
      </c>
      <c r="G511" t="s">
        <v>7201</v>
      </c>
      <c r="H511" t="s">
        <v>7234</v>
      </c>
      <c r="I511" s="49">
        <v>45778</v>
      </c>
      <c r="J511">
        <v>24</v>
      </c>
      <c r="K511" t="s">
        <v>7188</v>
      </c>
      <c r="L511" t="b">
        <f>TRUE()</f>
        <v>1</v>
      </c>
      <c r="M511">
        <v>21</v>
      </c>
    </row>
    <row r="512" spans="1:13" ht="15" customHeight="1" x14ac:dyDescent="0.2">
      <c r="A512" s="49">
        <v>45802</v>
      </c>
      <c r="B512">
        <v>2025</v>
      </c>
      <c r="C512" t="s">
        <v>7196</v>
      </c>
      <c r="D512" t="s">
        <v>7232</v>
      </c>
      <c r="E512">
        <v>5</v>
      </c>
      <c r="F512" t="s">
        <v>7201</v>
      </c>
      <c r="G512" t="s">
        <v>7201</v>
      </c>
      <c r="H512" t="s">
        <v>7234</v>
      </c>
      <c r="I512" s="49">
        <v>45778</v>
      </c>
      <c r="J512">
        <v>25</v>
      </c>
      <c r="K512" t="s">
        <v>7189</v>
      </c>
      <c r="L512" t="b">
        <f>TRUE()</f>
        <v>1</v>
      </c>
      <c r="M512">
        <v>21</v>
      </c>
    </row>
    <row r="513" spans="1:13" ht="15" customHeight="1" x14ac:dyDescent="0.2">
      <c r="A513" s="49">
        <v>45803</v>
      </c>
      <c r="B513">
        <v>2025</v>
      </c>
      <c r="C513" t="s">
        <v>7196</v>
      </c>
      <c r="D513" t="s">
        <v>7232</v>
      </c>
      <c r="E513">
        <v>5</v>
      </c>
      <c r="F513" t="s">
        <v>7201</v>
      </c>
      <c r="G513" t="s">
        <v>7201</v>
      </c>
      <c r="H513" t="s">
        <v>7234</v>
      </c>
      <c r="I513" s="49">
        <v>45778</v>
      </c>
      <c r="J513">
        <v>26</v>
      </c>
      <c r="K513" t="s">
        <v>7183</v>
      </c>
      <c r="L513" t="b">
        <f>FALSE()</f>
        <v>0</v>
      </c>
      <c r="M513">
        <v>22</v>
      </c>
    </row>
    <row r="514" spans="1:13" ht="15" customHeight="1" x14ac:dyDescent="0.2">
      <c r="A514" s="49">
        <v>45804</v>
      </c>
      <c r="B514">
        <v>2025</v>
      </c>
      <c r="C514" t="s">
        <v>7196</v>
      </c>
      <c r="D514" t="s">
        <v>7232</v>
      </c>
      <c r="E514">
        <v>5</v>
      </c>
      <c r="F514" t="s">
        <v>7201</v>
      </c>
      <c r="G514" t="s">
        <v>7201</v>
      </c>
      <c r="H514" t="s">
        <v>7234</v>
      </c>
      <c r="I514" s="49">
        <v>45778</v>
      </c>
      <c r="J514">
        <v>27</v>
      </c>
      <c r="K514" t="s">
        <v>7184</v>
      </c>
      <c r="L514" t="b">
        <f>FALSE()</f>
        <v>0</v>
      </c>
      <c r="M514">
        <v>22</v>
      </c>
    </row>
    <row r="515" spans="1:13" ht="15" customHeight="1" x14ac:dyDescent="0.2">
      <c r="A515" s="49">
        <v>45805</v>
      </c>
      <c r="B515">
        <v>2025</v>
      </c>
      <c r="C515" t="s">
        <v>7196</v>
      </c>
      <c r="D515" t="s">
        <v>7232</v>
      </c>
      <c r="E515">
        <v>5</v>
      </c>
      <c r="F515" t="s">
        <v>7201</v>
      </c>
      <c r="G515" t="s">
        <v>7201</v>
      </c>
      <c r="H515" t="s">
        <v>7234</v>
      </c>
      <c r="I515" s="49">
        <v>45778</v>
      </c>
      <c r="J515">
        <v>28</v>
      </c>
      <c r="K515" t="s">
        <v>7185</v>
      </c>
      <c r="L515" t="b">
        <f>FALSE()</f>
        <v>0</v>
      </c>
      <c r="M515">
        <v>22</v>
      </c>
    </row>
    <row r="516" spans="1:13" ht="15" customHeight="1" x14ac:dyDescent="0.2">
      <c r="A516" s="49">
        <v>45806</v>
      </c>
      <c r="B516">
        <v>2025</v>
      </c>
      <c r="C516" t="s">
        <v>7196</v>
      </c>
      <c r="D516" t="s">
        <v>7232</v>
      </c>
      <c r="E516">
        <v>5</v>
      </c>
      <c r="F516" t="s">
        <v>7201</v>
      </c>
      <c r="G516" t="s">
        <v>7201</v>
      </c>
      <c r="H516" t="s">
        <v>7234</v>
      </c>
      <c r="I516" s="49">
        <v>45778</v>
      </c>
      <c r="J516">
        <v>29</v>
      </c>
      <c r="K516" t="s">
        <v>7186</v>
      </c>
      <c r="L516" t="b">
        <f>FALSE()</f>
        <v>0</v>
      </c>
      <c r="M516">
        <v>22</v>
      </c>
    </row>
    <row r="517" spans="1:13" ht="15" customHeight="1" x14ac:dyDescent="0.2">
      <c r="A517" s="49">
        <v>45807</v>
      </c>
      <c r="B517">
        <v>2025</v>
      </c>
      <c r="C517" t="s">
        <v>7196</v>
      </c>
      <c r="D517" t="s">
        <v>7232</v>
      </c>
      <c r="E517">
        <v>5</v>
      </c>
      <c r="F517" t="s">
        <v>7201</v>
      </c>
      <c r="G517" t="s">
        <v>7201</v>
      </c>
      <c r="H517" t="s">
        <v>7234</v>
      </c>
      <c r="I517" s="49">
        <v>45778</v>
      </c>
      <c r="J517">
        <v>30</v>
      </c>
      <c r="K517" t="s">
        <v>7187</v>
      </c>
      <c r="L517" t="b">
        <f>FALSE()</f>
        <v>0</v>
      </c>
      <c r="M517">
        <v>22</v>
      </c>
    </row>
    <row r="518" spans="1:13" ht="15" customHeight="1" x14ac:dyDescent="0.2">
      <c r="A518" s="49">
        <v>45808</v>
      </c>
      <c r="B518">
        <v>2025</v>
      </c>
      <c r="C518" t="s">
        <v>7196</v>
      </c>
      <c r="D518" t="s">
        <v>7232</v>
      </c>
      <c r="E518">
        <v>5</v>
      </c>
      <c r="F518" t="s">
        <v>7201</v>
      </c>
      <c r="G518" t="s">
        <v>7201</v>
      </c>
      <c r="H518" t="s">
        <v>7234</v>
      </c>
      <c r="I518" s="49">
        <v>45778</v>
      </c>
      <c r="J518">
        <v>31</v>
      </c>
      <c r="K518" t="s">
        <v>7188</v>
      </c>
      <c r="L518" t="b">
        <f>TRUE()</f>
        <v>1</v>
      </c>
      <c r="M518">
        <v>22</v>
      </c>
    </row>
    <row r="519" spans="1:13" ht="15" customHeight="1" x14ac:dyDescent="0.2">
      <c r="A519" s="49">
        <v>45809</v>
      </c>
      <c r="B519">
        <v>2025</v>
      </c>
      <c r="C519" t="s">
        <v>7196</v>
      </c>
      <c r="D519" t="s">
        <v>7232</v>
      </c>
      <c r="E519">
        <v>6</v>
      </c>
      <c r="F519" t="s">
        <v>7203</v>
      </c>
      <c r="G519" t="s">
        <v>7204</v>
      </c>
      <c r="H519" t="s">
        <v>7235</v>
      </c>
      <c r="I519" s="49">
        <v>45809</v>
      </c>
      <c r="J519">
        <v>1</v>
      </c>
      <c r="K519" t="s">
        <v>7189</v>
      </c>
      <c r="L519" t="b">
        <f>TRUE()</f>
        <v>1</v>
      </c>
      <c r="M519">
        <v>22</v>
      </c>
    </row>
    <row r="520" spans="1:13" ht="15" customHeight="1" x14ac:dyDescent="0.2">
      <c r="A520" s="49">
        <v>45810</v>
      </c>
      <c r="B520">
        <v>2025</v>
      </c>
      <c r="C520" t="s">
        <v>7196</v>
      </c>
      <c r="D520" t="s">
        <v>7232</v>
      </c>
      <c r="E520">
        <v>6</v>
      </c>
      <c r="F520" t="s">
        <v>7203</v>
      </c>
      <c r="G520" t="s">
        <v>7204</v>
      </c>
      <c r="H520" t="s">
        <v>7235</v>
      </c>
      <c r="I520" s="49">
        <v>45809</v>
      </c>
      <c r="J520">
        <v>2</v>
      </c>
      <c r="K520" t="s">
        <v>7183</v>
      </c>
      <c r="L520" t="b">
        <f>FALSE()</f>
        <v>0</v>
      </c>
      <c r="M520">
        <v>23</v>
      </c>
    </row>
    <row r="521" spans="1:13" ht="15" customHeight="1" x14ac:dyDescent="0.2">
      <c r="A521" s="49">
        <v>45811</v>
      </c>
      <c r="B521">
        <v>2025</v>
      </c>
      <c r="C521" t="s">
        <v>7196</v>
      </c>
      <c r="D521" t="s">
        <v>7232</v>
      </c>
      <c r="E521">
        <v>6</v>
      </c>
      <c r="F521" t="s">
        <v>7203</v>
      </c>
      <c r="G521" t="s">
        <v>7204</v>
      </c>
      <c r="H521" t="s">
        <v>7235</v>
      </c>
      <c r="I521" s="49">
        <v>45809</v>
      </c>
      <c r="J521">
        <v>3</v>
      </c>
      <c r="K521" t="s">
        <v>7184</v>
      </c>
      <c r="L521" t="b">
        <f>FALSE()</f>
        <v>0</v>
      </c>
      <c r="M521">
        <v>23</v>
      </c>
    </row>
    <row r="522" spans="1:13" ht="15" customHeight="1" x14ac:dyDescent="0.2">
      <c r="A522" s="49">
        <v>45812</v>
      </c>
      <c r="B522">
        <v>2025</v>
      </c>
      <c r="C522" t="s">
        <v>7196</v>
      </c>
      <c r="D522" t="s">
        <v>7232</v>
      </c>
      <c r="E522">
        <v>6</v>
      </c>
      <c r="F522" t="s">
        <v>7203</v>
      </c>
      <c r="G522" t="s">
        <v>7204</v>
      </c>
      <c r="H522" t="s">
        <v>7235</v>
      </c>
      <c r="I522" s="49">
        <v>45809</v>
      </c>
      <c r="J522">
        <v>4</v>
      </c>
      <c r="K522" t="s">
        <v>7185</v>
      </c>
      <c r="L522" t="b">
        <f>FALSE()</f>
        <v>0</v>
      </c>
      <c r="M522">
        <v>23</v>
      </c>
    </row>
    <row r="523" spans="1:13" ht="15" customHeight="1" x14ac:dyDescent="0.2">
      <c r="A523" s="49">
        <v>45813</v>
      </c>
      <c r="B523">
        <v>2025</v>
      </c>
      <c r="C523" t="s">
        <v>7196</v>
      </c>
      <c r="D523" t="s">
        <v>7232</v>
      </c>
      <c r="E523">
        <v>6</v>
      </c>
      <c r="F523" t="s">
        <v>7203</v>
      </c>
      <c r="G523" t="s">
        <v>7204</v>
      </c>
      <c r="H523" t="s">
        <v>7235</v>
      </c>
      <c r="I523" s="49">
        <v>45809</v>
      </c>
      <c r="J523">
        <v>5</v>
      </c>
      <c r="K523" t="s">
        <v>7186</v>
      </c>
      <c r="L523" t="b">
        <f>FALSE()</f>
        <v>0</v>
      </c>
      <c r="M523">
        <v>23</v>
      </c>
    </row>
    <row r="524" spans="1:13" ht="15" customHeight="1" x14ac:dyDescent="0.2">
      <c r="A524" s="49">
        <v>45814</v>
      </c>
      <c r="B524">
        <v>2025</v>
      </c>
      <c r="C524" t="s">
        <v>7196</v>
      </c>
      <c r="D524" t="s">
        <v>7232</v>
      </c>
      <c r="E524">
        <v>6</v>
      </c>
      <c r="F524" t="s">
        <v>7203</v>
      </c>
      <c r="G524" t="s">
        <v>7204</v>
      </c>
      <c r="H524" t="s">
        <v>7235</v>
      </c>
      <c r="I524" s="49">
        <v>45809</v>
      </c>
      <c r="J524">
        <v>6</v>
      </c>
      <c r="K524" t="s">
        <v>7187</v>
      </c>
      <c r="L524" t="b">
        <f>FALSE()</f>
        <v>0</v>
      </c>
      <c r="M524">
        <v>23</v>
      </c>
    </row>
    <row r="525" spans="1:13" ht="15" customHeight="1" x14ac:dyDescent="0.2">
      <c r="A525" s="49">
        <v>45815</v>
      </c>
      <c r="B525">
        <v>2025</v>
      </c>
      <c r="C525" t="s">
        <v>7196</v>
      </c>
      <c r="D525" t="s">
        <v>7232</v>
      </c>
      <c r="E525">
        <v>6</v>
      </c>
      <c r="F525" t="s">
        <v>7203</v>
      </c>
      <c r="G525" t="s">
        <v>7204</v>
      </c>
      <c r="H525" t="s">
        <v>7235</v>
      </c>
      <c r="I525" s="49">
        <v>45809</v>
      </c>
      <c r="J525">
        <v>7</v>
      </c>
      <c r="K525" t="s">
        <v>7188</v>
      </c>
      <c r="L525" t="b">
        <f>TRUE()</f>
        <v>1</v>
      </c>
      <c r="M525">
        <v>23</v>
      </c>
    </row>
    <row r="526" spans="1:13" ht="15" customHeight="1" x14ac:dyDescent="0.2">
      <c r="A526" s="49">
        <v>45816</v>
      </c>
      <c r="B526">
        <v>2025</v>
      </c>
      <c r="C526" t="s">
        <v>7196</v>
      </c>
      <c r="D526" t="s">
        <v>7232</v>
      </c>
      <c r="E526">
        <v>6</v>
      </c>
      <c r="F526" t="s">
        <v>7203</v>
      </c>
      <c r="G526" t="s">
        <v>7204</v>
      </c>
      <c r="H526" t="s">
        <v>7235</v>
      </c>
      <c r="I526" s="49">
        <v>45809</v>
      </c>
      <c r="J526">
        <v>8</v>
      </c>
      <c r="K526" t="s">
        <v>7189</v>
      </c>
      <c r="L526" t="b">
        <f>TRUE()</f>
        <v>1</v>
      </c>
      <c r="M526">
        <v>23</v>
      </c>
    </row>
    <row r="527" spans="1:13" ht="15" customHeight="1" x14ac:dyDescent="0.2">
      <c r="A527" s="49">
        <v>45817</v>
      </c>
      <c r="B527">
        <v>2025</v>
      </c>
      <c r="C527" t="s">
        <v>7196</v>
      </c>
      <c r="D527" t="s">
        <v>7232</v>
      </c>
      <c r="E527">
        <v>6</v>
      </c>
      <c r="F527" t="s">
        <v>7203</v>
      </c>
      <c r="G527" t="s">
        <v>7204</v>
      </c>
      <c r="H527" t="s">
        <v>7235</v>
      </c>
      <c r="I527" s="49">
        <v>45809</v>
      </c>
      <c r="J527">
        <v>9</v>
      </c>
      <c r="K527" t="s">
        <v>7183</v>
      </c>
      <c r="L527" t="b">
        <f>FALSE()</f>
        <v>0</v>
      </c>
      <c r="M527">
        <v>24</v>
      </c>
    </row>
    <row r="528" spans="1:13" ht="15" customHeight="1" x14ac:dyDescent="0.2">
      <c r="A528" s="49">
        <v>45818</v>
      </c>
      <c r="B528">
        <v>2025</v>
      </c>
      <c r="C528" t="s">
        <v>7196</v>
      </c>
      <c r="D528" t="s">
        <v>7232</v>
      </c>
      <c r="E528">
        <v>6</v>
      </c>
      <c r="F528" t="s">
        <v>7203</v>
      </c>
      <c r="G528" t="s">
        <v>7204</v>
      </c>
      <c r="H528" t="s">
        <v>7235</v>
      </c>
      <c r="I528" s="49">
        <v>45809</v>
      </c>
      <c r="J528">
        <v>10</v>
      </c>
      <c r="K528" t="s">
        <v>7184</v>
      </c>
      <c r="L528" t="b">
        <f>FALSE()</f>
        <v>0</v>
      </c>
      <c r="M528">
        <v>24</v>
      </c>
    </row>
    <row r="529" spans="1:13" ht="15" customHeight="1" x14ac:dyDescent="0.2">
      <c r="A529" s="49">
        <v>45819</v>
      </c>
      <c r="B529">
        <v>2025</v>
      </c>
      <c r="C529" t="s">
        <v>7196</v>
      </c>
      <c r="D529" t="s">
        <v>7232</v>
      </c>
      <c r="E529">
        <v>6</v>
      </c>
      <c r="F529" t="s">
        <v>7203</v>
      </c>
      <c r="G529" t="s">
        <v>7204</v>
      </c>
      <c r="H529" t="s">
        <v>7235</v>
      </c>
      <c r="I529" s="49">
        <v>45809</v>
      </c>
      <c r="J529">
        <v>11</v>
      </c>
      <c r="K529" t="s">
        <v>7185</v>
      </c>
      <c r="L529" t="b">
        <f>FALSE()</f>
        <v>0</v>
      </c>
      <c r="M529">
        <v>24</v>
      </c>
    </row>
    <row r="530" spans="1:13" ht="15" customHeight="1" x14ac:dyDescent="0.2">
      <c r="A530" s="49">
        <v>45820</v>
      </c>
      <c r="B530">
        <v>2025</v>
      </c>
      <c r="C530" t="s">
        <v>7196</v>
      </c>
      <c r="D530" t="s">
        <v>7232</v>
      </c>
      <c r="E530">
        <v>6</v>
      </c>
      <c r="F530" t="s">
        <v>7203</v>
      </c>
      <c r="G530" t="s">
        <v>7204</v>
      </c>
      <c r="H530" t="s">
        <v>7235</v>
      </c>
      <c r="I530" s="49">
        <v>45809</v>
      </c>
      <c r="J530">
        <v>12</v>
      </c>
      <c r="K530" t="s">
        <v>7186</v>
      </c>
      <c r="L530" t="b">
        <f>FALSE()</f>
        <v>0</v>
      </c>
      <c r="M530">
        <v>24</v>
      </c>
    </row>
    <row r="531" spans="1:13" ht="15" customHeight="1" x14ac:dyDescent="0.2">
      <c r="A531" s="49">
        <v>45821</v>
      </c>
      <c r="B531">
        <v>2025</v>
      </c>
      <c r="C531" t="s">
        <v>7196</v>
      </c>
      <c r="D531" t="s">
        <v>7232</v>
      </c>
      <c r="E531">
        <v>6</v>
      </c>
      <c r="F531" t="s">
        <v>7203</v>
      </c>
      <c r="G531" t="s">
        <v>7204</v>
      </c>
      <c r="H531" t="s">
        <v>7235</v>
      </c>
      <c r="I531" s="49">
        <v>45809</v>
      </c>
      <c r="J531">
        <v>13</v>
      </c>
      <c r="K531" t="s">
        <v>7187</v>
      </c>
      <c r="L531" t="b">
        <f>FALSE()</f>
        <v>0</v>
      </c>
      <c r="M531">
        <v>24</v>
      </c>
    </row>
    <row r="532" spans="1:13" ht="15" customHeight="1" x14ac:dyDescent="0.2">
      <c r="A532" s="49">
        <v>45822</v>
      </c>
      <c r="B532">
        <v>2025</v>
      </c>
      <c r="C532" t="s">
        <v>7196</v>
      </c>
      <c r="D532" t="s">
        <v>7232</v>
      </c>
      <c r="E532">
        <v>6</v>
      </c>
      <c r="F532" t="s">
        <v>7203</v>
      </c>
      <c r="G532" t="s">
        <v>7204</v>
      </c>
      <c r="H532" t="s">
        <v>7235</v>
      </c>
      <c r="I532" s="49">
        <v>45809</v>
      </c>
      <c r="J532">
        <v>14</v>
      </c>
      <c r="K532" t="s">
        <v>7188</v>
      </c>
      <c r="L532" t="b">
        <f>TRUE()</f>
        <v>1</v>
      </c>
      <c r="M532">
        <v>24</v>
      </c>
    </row>
    <row r="533" spans="1:13" ht="15" customHeight="1" x14ac:dyDescent="0.2">
      <c r="A533" s="49">
        <v>45823</v>
      </c>
      <c r="B533">
        <v>2025</v>
      </c>
      <c r="C533" t="s">
        <v>7196</v>
      </c>
      <c r="D533" t="s">
        <v>7232</v>
      </c>
      <c r="E533">
        <v>6</v>
      </c>
      <c r="F533" t="s">
        <v>7203</v>
      </c>
      <c r="G533" t="s">
        <v>7204</v>
      </c>
      <c r="H533" t="s">
        <v>7235</v>
      </c>
      <c r="I533" s="49">
        <v>45809</v>
      </c>
      <c r="J533">
        <v>15</v>
      </c>
      <c r="K533" t="s">
        <v>7189</v>
      </c>
      <c r="L533" t="b">
        <f>TRUE()</f>
        <v>1</v>
      </c>
      <c r="M533">
        <v>24</v>
      </c>
    </row>
    <row r="534" spans="1:13" ht="15" customHeight="1" x14ac:dyDescent="0.2">
      <c r="A534" s="49">
        <v>45824</v>
      </c>
      <c r="B534">
        <v>2025</v>
      </c>
      <c r="C534" t="s">
        <v>7196</v>
      </c>
      <c r="D534" t="s">
        <v>7232</v>
      </c>
      <c r="E534">
        <v>6</v>
      </c>
      <c r="F534" t="s">
        <v>7203</v>
      </c>
      <c r="G534" t="s">
        <v>7204</v>
      </c>
      <c r="H534" t="s">
        <v>7235</v>
      </c>
      <c r="I534" s="49">
        <v>45809</v>
      </c>
      <c r="J534">
        <v>16</v>
      </c>
      <c r="K534" t="s">
        <v>7183</v>
      </c>
      <c r="L534" t="b">
        <f>FALSE()</f>
        <v>0</v>
      </c>
      <c r="M534">
        <v>25</v>
      </c>
    </row>
    <row r="535" spans="1:13" ht="15" customHeight="1" x14ac:dyDescent="0.2">
      <c r="A535" s="49">
        <v>45825</v>
      </c>
      <c r="B535">
        <v>2025</v>
      </c>
      <c r="C535" t="s">
        <v>7196</v>
      </c>
      <c r="D535" t="s">
        <v>7232</v>
      </c>
      <c r="E535">
        <v>6</v>
      </c>
      <c r="F535" t="s">
        <v>7203</v>
      </c>
      <c r="G535" t="s">
        <v>7204</v>
      </c>
      <c r="H535" t="s">
        <v>7235</v>
      </c>
      <c r="I535" s="49">
        <v>45809</v>
      </c>
      <c r="J535">
        <v>17</v>
      </c>
      <c r="K535" t="s">
        <v>7184</v>
      </c>
      <c r="L535" t="b">
        <f>FALSE()</f>
        <v>0</v>
      </c>
      <c r="M535">
        <v>25</v>
      </c>
    </row>
    <row r="536" spans="1:13" ht="15" customHeight="1" x14ac:dyDescent="0.2">
      <c r="A536" s="49">
        <v>45826</v>
      </c>
      <c r="B536">
        <v>2025</v>
      </c>
      <c r="C536" t="s">
        <v>7196</v>
      </c>
      <c r="D536" t="s">
        <v>7232</v>
      </c>
      <c r="E536">
        <v>6</v>
      </c>
      <c r="F536" t="s">
        <v>7203</v>
      </c>
      <c r="G536" t="s">
        <v>7204</v>
      </c>
      <c r="H536" t="s">
        <v>7235</v>
      </c>
      <c r="I536" s="49">
        <v>45809</v>
      </c>
      <c r="J536">
        <v>18</v>
      </c>
      <c r="K536" t="s">
        <v>7185</v>
      </c>
      <c r="L536" t="b">
        <f>FALSE()</f>
        <v>0</v>
      </c>
      <c r="M536">
        <v>25</v>
      </c>
    </row>
    <row r="537" spans="1:13" ht="15" customHeight="1" x14ac:dyDescent="0.2">
      <c r="A537" s="49">
        <v>45827</v>
      </c>
      <c r="B537">
        <v>2025</v>
      </c>
      <c r="C537" t="s">
        <v>7196</v>
      </c>
      <c r="D537" t="s">
        <v>7232</v>
      </c>
      <c r="E537">
        <v>6</v>
      </c>
      <c r="F537" t="s">
        <v>7203</v>
      </c>
      <c r="G537" t="s">
        <v>7204</v>
      </c>
      <c r="H537" t="s">
        <v>7235</v>
      </c>
      <c r="I537" s="49">
        <v>45809</v>
      </c>
      <c r="J537">
        <v>19</v>
      </c>
      <c r="K537" t="s">
        <v>7186</v>
      </c>
      <c r="L537" t="b">
        <f>FALSE()</f>
        <v>0</v>
      </c>
      <c r="M537">
        <v>25</v>
      </c>
    </row>
    <row r="538" spans="1:13" ht="15" customHeight="1" x14ac:dyDescent="0.2">
      <c r="A538" s="49">
        <v>45828</v>
      </c>
      <c r="B538">
        <v>2025</v>
      </c>
      <c r="C538" t="s">
        <v>7196</v>
      </c>
      <c r="D538" t="s">
        <v>7232</v>
      </c>
      <c r="E538">
        <v>6</v>
      </c>
      <c r="F538" t="s">
        <v>7203</v>
      </c>
      <c r="G538" t="s">
        <v>7204</v>
      </c>
      <c r="H538" t="s">
        <v>7235</v>
      </c>
      <c r="I538" s="49">
        <v>45809</v>
      </c>
      <c r="J538">
        <v>20</v>
      </c>
      <c r="K538" t="s">
        <v>7187</v>
      </c>
      <c r="L538" t="b">
        <f>FALSE()</f>
        <v>0</v>
      </c>
      <c r="M538">
        <v>25</v>
      </c>
    </row>
    <row r="539" spans="1:13" ht="15" customHeight="1" x14ac:dyDescent="0.2">
      <c r="A539" s="49">
        <v>45829</v>
      </c>
      <c r="B539">
        <v>2025</v>
      </c>
      <c r="C539" t="s">
        <v>7196</v>
      </c>
      <c r="D539" t="s">
        <v>7232</v>
      </c>
      <c r="E539">
        <v>6</v>
      </c>
      <c r="F539" t="s">
        <v>7203</v>
      </c>
      <c r="G539" t="s">
        <v>7204</v>
      </c>
      <c r="H539" t="s">
        <v>7235</v>
      </c>
      <c r="I539" s="49">
        <v>45809</v>
      </c>
      <c r="J539">
        <v>21</v>
      </c>
      <c r="K539" t="s">
        <v>7188</v>
      </c>
      <c r="L539" t="b">
        <f>TRUE()</f>
        <v>1</v>
      </c>
      <c r="M539">
        <v>25</v>
      </c>
    </row>
    <row r="540" spans="1:13" ht="15" customHeight="1" x14ac:dyDescent="0.2">
      <c r="A540" s="49">
        <v>45830</v>
      </c>
      <c r="B540">
        <v>2025</v>
      </c>
      <c r="C540" t="s">
        <v>7196</v>
      </c>
      <c r="D540" t="s">
        <v>7232</v>
      </c>
      <c r="E540">
        <v>6</v>
      </c>
      <c r="F540" t="s">
        <v>7203</v>
      </c>
      <c r="G540" t="s">
        <v>7204</v>
      </c>
      <c r="H540" t="s">
        <v>7235</v>
      </c>
      <c r="I540" s="49">
        <v>45809</v>
      </c>
      <c r="J540">
        <v>22</v>
      </c>
      <c r="K540" t="s">
        <v>7189</v>
      </c>
      <c r="L540" t="b">
        <f>TRUE()</f>
        <v>1</v>
      </c>
      <c r="M540">
        <v>25</v>
      </c>
    </row>
    <row r="541" spans="1:13" ht="15" customHeight="1" x14ac:dyDescent="0.2">
      <c r="A541" s="49">
        <v>45831</v>
      </c>
      <c r="B541">
        <v>2025</v>
      </c>
      <c r="C541" t="s">
        <v>7196</v>
      </c>
      <c r="D541" t="s">
        <v>7232</v>
      </c>
      <c r="E541">
        <v>6</v>
      </c>
      <c r="F541" t="s">
        <v>7203</v>
      </c>
      <c r="G541" t="s">
        <v>7204</v>
      </c>
      <c r="H541" t="s">
        <v>7235</v>
      </c>
      <c r="I541" s="49">
        <v>45809</v>
      </c>
      <c r="J541">
        <v>23</v>
      </c>
      <c r="K541" t="s">
        <v>7183</v>
      </c>
      <c r="L541" t="b">
        <f>FALSE()</f>
        <v>0</v>
      </c>
      <c r="M541">
        <v>26</v>
      </c>
    </row>
    <row r="542" spans="1:13" ht="15" customHeight="1" x14ac:dyDescent="0.2">
      <c r="A542" s="49">
        <v>45832</v>
      </c>
      <c r="B542">
        <v>2025</v>
      </c>
      <c r="C542" t="s">
        <v>7196</v>
      </c>
      <c r="D542" t="s">
        <v>7232</v>
      </c>
      <c r="E542">
        <v>6</v>
      </c>
      <c r="F542" t="s">
        <v>7203</v>
      </c>
      <c r="G542" t="s">
        <v>7204</v>
      </c>
      <c r="H542" t="s">
        <v>7235</v>
      </c>
      <c r="I542" s="49">
        <v>45809</v>
      </c>
      <c r="J542">
        <v>24</v>
      </c>
      <c r="K542" t="s">
        <v>7184</v>
      </c>
      <c r="L542" t="b">
        <f>FALSE()</f>
        <v>0</v>
      </c>
      <c r="M542">
        <v>26</v>
      </c>
    </row>
    <row r="543" spans="1:13" ht="15" customHeight="1" x14ac:dyDescent="0.2">
      <c r="A543" s="49">
        <v>45833</v>
      </c>
      <c r="B543">
        <v>2025</v>
      </c>
      <c r="C543" t="s">
        <v>7196</v>
      </c>
      <c r="D543" t="s">
        <v>7232</v>
      </c>
      <c r="E543">
        <v>6</v>
      </c>
      <c r="F543" t="s">
        <v>7203</v>
      </c>
      <c r="G543" t="s">
        <v>7204</v>
      </c>
      <c r="H543" t="s">
        <v>7235</v>
      </c>
      <c r="I543" s="49">
        <v>45809</v>
      </c>
      <c r="J543">
        <v>25</v>
      </c>
      <c r="K543" t="s">
        <v>7185</v>
      </c>
      <c r="L543" t="b">
        <f>FALSE()</f>
        <v>0</v>
      </c>
      <c r="M543">
        <v>26</v>
      </c>
    </row>
    <row r="544" spans="1:13" ht="15" customHeight="1" x14ac:dyDescent="0.2">
      <c r="A544" s="49">
        <v>45834</v>
      </c>
      <c r="B544">
        <v>2025</v>
      </c>
      <c r="C544" t="s">
        <v>7196</v>
      </c>
      <c r="D544" t="s">
        <v>7232</v>
      </c>
      <c r="E544">
        <v>6</v>
      </c>
      <c r="F544" t="s">
        <v>7203</v>
      </c>
      <c r="G544" t="s">
        <v>7204</v>
      </c>
      <c r="H544" t="s">
        <v>7235</v>
      </c>
      <c r="I544" s="49">
        <v>45809</v>
      </c>
      <c r="J544">
        <v>26</v>
      </c>
      <c r="K544" t="s">
        <v>7186</v>
      </c>
      <c r="L544" t="b">
        <f>FALSE()</f>
        <v>0</v>
      </c>
      <c r="M544">
        <v>26</v>
      </c>
    </row>
    <row r="545" spans="1:13" ht="15" customHeight="1" x14ac:dyDescent="0.2">
      <c r="A545" s="49">
        <v>45835</v>
      </c>
      <c r="B545">
        <v>2025</v>
      </c>
      <c r="C545" t="s">
        <v>7196</v>
      </c>
      <c r="D545" t="s">
        <v>7232</v>
      </c>
      <c r="E545">
        <v>6</v>
      </c>
      <c r="F545" t="s">
        <v>7203</v>
      </c>
      <c r="G545" t="s">
        <v>7204</v>
      </c>
      <c r="H545" t="s">
        <v>7235</v>
      </c>
      <c r="I545" s="49">
        <v>45809</v>
      </c>
      <c r="J545">
        <v>27</v>
      </c>
      <c r="K545" t="s">
        <v>7187</v>
      </c>
      <c r="L545" t="b">
        <f>FALSE()</f>
        <v>0</v>
      </c>
      <c r="M545">
        <v>26</v>
      </c>
    </row>
    <row r="546" spans="1:13" ht="15" customHeight="1" x14ac:dyDescent="0.2">
      <c r="A546" s="49">
        <v>45836</v>
      </c>
      <c r="B546">
        <v>2025</v>
      </c>
      <c r="C546" t="s">
        <v>7196</v>
      </c>
      <c r="D546" t="s">
        <v>7232</v>
      </c>
      <c r="E546">
        <v>6</v>
      </c>
      <c r="F546" t="s">
        <v>7203</v>
      </c>
      <c r="G546" t="s">
        <v>7204</v>
      </c>
      <c r="H546" t="s">
        <v>7235</v>
      </c>
      <c r="I546" s="49">
        <v>45809</v>
      </c>
      <c r="J546">
        <v>28</v>
      </c>
      <c r="K546" t="s">
        <v>7188</v>
      </c>
      <c r="L546" t="b">
        <f>TRUE()</f>
        <v>1</v>
      </c>
      <c r="M546">
        <v>26</v>
      </c>
    </row>
    <row r="547" spans="1:13" ht="15" customHeight="1" x14ac:dyDescent="0.2">
      <c r="A547" s="49">
        <v>45837</v>
      </c>
      <c r="B547">
        <v>2025</v>
      </c>
      <c r="C547" t="s">
        <v>7196</v>
      </c>
      <c r="D547" t="s">
        <v>7232</v>
      </c>
      <c r="E547">
        <v>6</v>
      </c>
      <c r="F547" t="s">
        <v>7203</v>
      </c>
      <c r="G547" t="s">
        <v>7204</v>
      </c>
      <c r="H547" t="s">
        <v>7235</v>
      </c>
      <c r="I547" s="49">
        <v>45809</v>
      </c>
      <c r="J547">
        <v>29</v>
      </c>
      <c r="K547" t="s">
        <v>7189</v>
      </c>
      <c r="L547" t="b">
        <f>TRUE()</f>
        <v>1</v>
      </c>
      <c r="M547">
        <v>26</v>
      </c>
    </row>
    <row r="548" spans="1:13" ht="15" customHeight="1" x14ac:dyDescent="0.2">
      <c r="A548" s="49">
        <v>45838</v>
      </c>
      <c r="B548">
        <v>2025</v>
      </c>
      <c r="C548" t="s">
        <v>7196</v>
      </c>
      <c r="D548" t="s">
        <v>7232</v>
      </c>
      <c r="E548">
        <v>6</v>
      </c>
      <c r="F548" t="s">
        <v>7203</v>
      </c>
      <c r="G548" t="s">
        <v>7204</v>
      </c>
      <c r="H548" t="s">
        <v>7235</v>
      </c>
      <c r="I548" s="49">
        <v>45809</v>
      </c>
      <c r="J548">
        <v>30</v>
      </c>
      <c r="K548" t="s">
        <v>7183</v>
      </c>
      <c r="L548" t="b">
        <f>FALSE()</f>
        <v>0</v>
      </c>
      <c r="M548">
        <v>27</v>
      </c>
    </row>
    <row r="549" spans="1:13" ht="15" customHeight="1" x14ac:dyDescent="0.2">
      <c r="A549" s="49">
        <v>45839</v>
      </c>
      <c r="B549">
        <v>2025</v>
      </c>
      <c r="C549" t="s">
        <v>7206</v>
      </c>
      <c r="D549" t="s">
        <v>7236</v>
      </c>
      <c r="E549">
        <v>7</v>
      </c>
      <c r="F549" t="s">
        <v>7208</v>
      </c>
      <c r="G549" t="s">
        <v>7209</v>
      </c>
      <c r="H549" t="s">
        <v>7237</v>
      </c>
      <c r="I549" s="49">
        <v>45839</v>
      </c>
      <c r="J549">
        <v>1</v>
      </c>
      <c r="K549" t="s">
        <v>7184</v>
      </c>
      <c r="L549" t="b">
        <f>FALSE()</f>
        <v>0</v>
      </c>
      <c r="M549">
        <v>27</v>
      </c>
    </row>
    <row r="550" spans="1:13" ht="15" customHeight="1" x14ac:dyDescent="0.2">
      <c r="A550" s="49">
        <v>45840</v>
      </c>
      <c r="B550">
        <v>2025</v>
      </c>
      <c r="C550" t="s">
        <v>7206</v>
      </c>
      <c r="D550" t="s">
        <v>7236</v>
      </c>
      <c r="E550">
        <v>7</v>
      </c>
      <c r="F550" t="s">
        <v>7208</v>
      </c>
      <c r="G550" t="s">
        <v>7209</v>
      </c>
      <c r="H550" t="s">
        <v>7237</v>
      </c>
      <c r="I550" s="49">
        <v>45839</v>
      </c>
      <c r="J550">
        <v>2</v>
      </c>
      <c r="K550" t="s">
        <v>7185</v>
      </c>
      <c r="L550" t="b">
        <f>FALSE()</f>
        <v>0</v>
      </c>
      <c r="M550">
        <v>27</v>
      </c>
    </row>
    <row r="551" spans="1:13" ht="15" customHeight="1" x14ac:dyDescent="0.2">
      <c r="A551" s="49">
        <v>45841</v>
      </c>
      <c r="B551">
        <v>2025</v>
      </c>
      <c r="C551" t="s">
        <v>7206</v>
      </c>
      <c r="D551" t="s">
        <v>7236</v>
      </c>
      <c r="E551">
        <v>7</v>
      </c>
      <c r="F551" t="s">
        <v>7208</v>
      </c>
      <c r="G551" t="s">
        <v>7209</v>
      </c>
      <c r="H551" t="s">
        <v>7237</v>
      </c>
      <c r="I551" s="49">
        <v>45839</v>
      </c>
      <c r="J551">
        <v>3</v>
      </c>
      <c r="K551" t="s">
        <v>7186</v>
      </c>
      <c r="L551" t="b">
        <f>FALSE()</f>
        <v>0</v>
      </c>
      <c r="M551">
        <v>27</v>
      </c>
    </row>
    <row r="552" spans="1:13" ht="15" customHeight="1" x14ac:dyDescent="0.2">
      <c r="A552" s="49">
        <v>45842</v>
      </c>
      <c r="B552">
        <v>2025</v>
      </c>
      <c r="C552" t="s">
        <v>7206</v>
      </c>
      <c r="D552" t="s">
        <v>7236</v>
      </c>
      <c r="E552">
        <v>7</v>
      </c>
      <c r="F552" t="s">
        <v>7208</v>
      </c>
      <c r="G552" t="s">
        <v>7209</v>
      </c>
      <c r="H552" t="s">
        <v>7237</v>
      </c>
      <c r="I552" s="49">
        <v>45839</v>
      </c>
      <c r="J552">
        <v>4</v>
      </c>
      <c r="K552" t="s">
        <v>7187</v>
      </c>
      <c r="L552" t="b">
        <f>FALSE()</f>
        <v>0</v>
      </c>
      <c r="M552">
        <v>27</v>
      </c>
    </row>
    <row r="553" spans="1:13" ht="15" customHeight="1" x14ac:dyDescent="0.2">
      <c r="A553" s="49">
        <v>45843</v>
      </c>
      <c r="B553">
        <v>2025</v>
      </c>
      <c r="C553" t="s">
        <v>7206</v>
      </c>
      <c r="D553" t="s">
        <v>7236</v>
      </c>
      <c r="E553">
        <v>7</v>
      </c>
      <c r="F553" t="s">
        <v>7208</v>
      </c>
      <c r="G553" t="s">
        <v>7209</v>
      </c>
      <c r="H553" t="s">
        <v>7237</v>
      </c>
      <c r="I553" s="49">
        <v>45839</v>
      </c>
      <c r="J553">
        <v>5</v>
      </c>
      <c r="K553" t="s">
        <v>7188</v>
      </c>
      <c r="L553" t="b">
        <f>TRUE()</f>
        <v>1</v>
      </c>
      <c r="M553">
        <v>27</v>
      </c>
    </row>
    <row r="554" spans="1:13" ht="15" customHeight="1" x14ac:dyDescent="0.2">
      <c r="A554" s="49">
        <v>45844</v>
      </c>
      <c r="B554">
        <v>2025</v>
      </c>
      <c r="C554" t="s">
        <v>7206</v>
      </c>
      <c r="D554" t="s">
        <v>7236</v>
      </c>
      <c r="E554">
        <v>7</v>
      </c>
      <c r="F554" t="s">
        <v>7208</v>
      </c>
      <c r="G554" t="s">
        <v>7209</v>
      </c>
      <c r="H554" t="s">
        <v>7237</v>
      </c>
      <c r="I554" s="49">
        <v>45839</v>
      </c>
      <c r="J554">
        <v>6</v>
      </c>
      <c r="K554" t="s">
        <v>7189</v>
      </c>
      <c r="L554" t="b">
        <f>TRUE()</f>
        <v>1</v>
      </c>
      <c r="M554">
        <v>27</v>
      </c>
    </row>
    <row r="555" spans="1:13" ht="15" customHeight="1" x14ac:dyDescent="0.2">
      <c r="A555" s="49">
        <v>45845</v>
      </c>
      <c r="B555">
        <v>2025</v>
      </c>
      <c r="C555" t="s">
        <v>7206</v>
      </c>
      <c r="D555" t="s">
        <v>7236</v>
      </c>
      <c r="E555">
        <v>7</v>
      </c>
      <c r="F555" t="s">
        <v>7208</v>
      </c>
      <c r="G555" t="s">
        <v>7209</v>
      </c>
      <c r="H555" t="s">
        <v>7237</v>
      </c>
      <c r="I555" s="49">
        <v>45839</v>
      </c>
      <c r="J555">
        <v>7</v>
      </c>
      <c r="K555" t="s">
        <v>7183</v>
      </c>
      <c r="L555" t="b">
        <f>FALSE()</f>
        <v>0</v>
      </c>
      <c r="M555">
        <v>28</v>
      </c>
    </row>
    <row r="556" spans="1:13" ht="15" customHeight="1" x14ac:dyDescent="0.2">
      <c r="A556" s="49">
        <v>45846</v>
      </c>
      <c r="B556">
        <v>2025</v>
      </c>
      <c r="C556" t="s">
        <v>7206</v>
      </c>
      <c r="D556" t="s">
        <v>7236</v>
      </c>
      <c r="E556">
        <v>7</v>
      </c>
      <c r="F556" t="s">
        <v>7208</v>
      </c>
      <c r="G556" t="s">
        <v>7209</v>
      </c>
      <c r="H556" t="s">
        <v>7237</v>
      </c>
      <c r="I556" s="49">
        <v>45839</v>
      </c>
      <c r="J556">
        <v>8</v>
      </c>
      <c r="K556" t="s">
        <v>7184</v>
      </c>
      <c r="L556" t="b">
        <f>FALSE()</f>
        <v>0</v>
      </c>
      <c r="M556">
        <v>28</v>
      </c>
    </row>
    <row r="557" spans="1:13" ht="15" customHeight="1" x14ac:dyDescent="0.2">
      <c r="A557" s="49">
        <v>45847</v>
      </c>
      <c r="B557">
        <v>2025</v>
      </c>
      <c r="C557" t="s">
        <v>7206</v>
      </c>
      <c r="D557" t="s">
        <v>7236</v>
      </c>
      <c r="E557">
        <v>7</v>
      </c>
      <c r="F557" t="s">
        <v>7208</v>
      </c>
      <c r="G557" t="s">
        <v>7209</v>
      </c>
      <c r="H557" t="s">
        <v>7237</v>
      </c>
      <c r="I557" s="49">
        <v>45839</v>
      </c>
      <c r="J557">
        <v>9</v>
      </c>
      <c r="K557" t="s">
        <v>7185</v>
      </c>
      <c r="L557" t="b">
        <f>FALSE()</f>
        <v>0</v>
      </c>
      <c r="M557">
        <v>28</v>
      </c>
    </row>
    <row r="558" spans="1:13" ht="15" customHeight="1" x14ac:dyDescent="0.2">
      <c r="A558" s="49">
        <v>45848</v>
      </c>
      <c r="B558">
        <v>2025</v>
      </c>
      <c r="C558" t="s">
        <v>7206</v>
      </c>
      <c r="D558" t="s">
        <v>7236</v>
      </c>
      <c r="E558">
        <v>7</v>
      </c>
      <c r="F558" t="s">
        <v>7208</v>
      </c>
      <c r="G558" t="s">
        <v>7209</v>
      </c>
      <c r="H558" t="s">
        <v>7237</v>
      </c>
      <c r="I558" s="49">
        <v>45839</v>
      </c>
      <c r="J558">
        <v>10</v>
      </c>
      <c r="K558" t="s">
        <v>7186</v>
      </c>
      <c r="L558" t="b">
        <f>FALSE()</f>
        <v>0</v>
      </c>
      <c r="M558">
        <v>28</v>
      </c>
    </row>
    <row r="559" spans="1:13" ht="15" customHeight="1" x14ac:dyDescent="0.2">
      <c r="A559" s="49">
        <v>45849</v>
      </c>
      <c r="B559">
        <v>2025</v>
      </c>
      <c r="C559" t="s">
        <v>7206</v>
      </c>
      <c r="D559" t="s">
        <v>7236</v>
      </c>
      <c r="E559">
        <v>7</v>
      </c>
      <c r="F559" t="s">
        <v>7208</v>
      </c>
      <c r="G559" t="s">
        <v>7209</v>
      </c>
      <c r="H559" t="s">
        <v>7237</v>
      </c>
      <c r="I559" s="49">
        <v>45839</v>
      </c>
      <c r="J559">
        <v>11</v>
      </c>
      <c r="K559" t="s">
        <v>7187</v>
      </c>
      <c r="L559" t="b">
        <f>FALSE()</f>
        <v>0</v>
      </c>
      <c r="M559">
        <v>28</v>
      </c>
    </row>
    <row r="560" spans="1:13" ht="15" customHeight="1" x14ac:dyDescent="0.2">
      <c r="A560" s="49">
        <v>45850</v>
      </c>
      <c r="B560">
        <v>2025</v>
      </c>
      <c r="C560" t="s">
        <v>7206</v>
      </c>
      <c r="D560" t="s">
        <v>7236</v>
      </c>
      <c r="E560">
        <v>7</v>
      </c>
      <c r="F560" t="s">
        <v>7208</v>
      </c>
      <c r="G560" t="s">
        <v>7209</v>
      </c>
      <c r="H560" t="s">
        <v>7237</v>
      </c>
      <c r="I560" s="49">
        <v>45839</v>
      </c>
      <c r="J560">
        <v>12</v>
      </c>
      <c r="K560" t="s">
        <v>7188</v>
      </c>
      <c r="L560" t="b">
        <f>TRUE()</f>
        <v>1</v>
      </c>
      <c r="M560">
        <v>28</v>
      </c>
    </row>
    <row r="561" spans="1:13" ht="15" customHeight="1" x14ac:dyDescent="0.2">
      <c r="A561" s="49">
        <v>45851</v>
      </c>
      <c r="B561">
        <v>2025</v>
      </c>
      <c r="C561" t="s">
        <v>7206</v>
      </c>
      <c r="D561" t="s">
        <v>7236</v>
      </c>
      <c r="E561">
        <v>7</v>
      </c>
      <c r="F561" t="s">
        <v>7208</v>
      </c>
      <c r="G561" t="s">
        <v>7209</v>
      </c>
      <c r="H561" t="s">
        <v>7237</v>
      </c>
      <c r="I561" s="49">
        <v>45839</v>
      </c>
      <c r="J561">
        <v>13</v>
      </c>
      <c r="K561" t="s">
        <v>7189</v>
      </c>
      <c r="L561" t="b">
        <f>TRUE()</f>
        <v>1</v>
      </c>
      <c r="M561">
        <v>28</v>
      </c>
    </row>
    <row r="562" spans="1:13" ht="15" customHeight="1" x14ac:dyDescent="0.2">
      <c r="A562" s="49">
        <v>45852</v>
      </c>
      <c r="B562">
        <v>2025</v>
      </c>
      <c r="C562" t="s">
        <v>7206</v>
      </c>
      <c r="D562" t="s">
        <v>7236</v>
      </c>
      <c r="E562">
        <v>7</v>
      </c>
      <c r="F562" t="s">
        <v>7208</v>
      </c>
      <c r="G562" t="s">
        <v>7209</v>
      </c>
      <c r="H562" t="s">
        <v>7237</v>
      </c>
      <c r="I562" s="49">
        <v>45839</v>
      </c>
      <c r="J562">
        <v>14</v>
      </c>
      <c r="K562" t="s">
        <v>7183</v>
      </c>
      <c r="L562" t="b">
        <f>FALSE()</f>
        <v>0</v>
      </c>
      <c r="M562">
        <v>29</v>
      </c>
    </row>
    <row r="563" spans="1:13" ht="15" customHeight="1" x14ac:dyDescent="0.2">
      <c r="A563" s="49">
        <v>45853</v>
      </c>
      <c r="B563">
        <v>2025</v>
      </c>
      <c r="C563" t="s">
        <v>7206</v>
      </c>
      <c r="D563" t="s">
        <v>7236</v>
      </c>
      <c r="E563">
        <v>7</v>
      </c>
      <c r="F563" t="s">
        <v>7208</v>
      </c>
      <c r="G563" t="s">
        <v>7209</v>
      </c>
      <c r="H563" t="s">
        <v>7237</v>
      </c>
      <c r="I563" s="49">
        <v>45839</v>
      </c>
      <c r="J563">
        <v>15</v>
      </c>
      <c r="K563" t="s">
        <v>7184</v>
      </c>
      <c r="L563" t="b">
        <f>FALSE()</f>
        <v>0</v>
      </c>
      <c r="M563">
        <v>29</v>
      </c>
    </row>
    <row r="564" spans="1:13" ht="15" customHeight="1" x14ac:dyDescent="0.2">
      <c r="A564" s="49">
        <v>45854</v>
      </c>
      <c r="B564">
        <v>2025</v>
      </c>
      <c r="C564" t="s">
        <v>7206</v>
      </c>
      <c r="D564" t="s">
        <v>7236</v>
      </c>
      <c r="E564">
        <v>7</v>
      </c>
      <c r="F564" t="s">
        <v>7208</v>
      </c>
      <c r="G564" t="s">
        <v>7209</v>
      </c>
      <c r="H564" t="s">
        <v>7237</v>
      </c>
      <c r="I564" s="49">
        <v>45839</v>
      </c>
      <c r="J564">
        <v>16</v>
      </c>
      <c r="K564" t="s">
        <v>7185</v>
      </c>
      <c r="L564" t="b">
        <f>FALSE()</f>
        <v>0</v>
      </c>
      <c r="M564">
        <v>29</v>
      </c>
    </row>
    <row r="565" spans="1:13" ht="15" customHeight="1" x14ac:dyDescent="0.2">
      <c r="A565" s="49">
        <v>45855</v>
      </c>
      <c r="B565">
        <v>2025</v>
      </c>
      <c r="C565" t="s">
        <v>7206</v>
      </c>
      <c r="D565" t="s">
        <v>7236</v>
      </c>
      <c r="E565">
        <v>7</v>
      </c>
      <c r="F565" t="s">
        <v>7208</v>
      </c>
      <c r="G565" t="s">
        <v>7209</v>
      </c>
      <c r="H565" t="s">
        <v>7237</v>
      </c>
      <c r="I565" s="49">
        <v>45839</v>
      </c>
      <c r="J565">
        <v>17</v>
      </c>
      <c r="K565" t="s">
        <v>7186</v>
      </c>
      <c r="L565" t="b">
        <f>FALSE()</f>
        <v>0</v>
      </c>
      <c r="M565">
        <v>29</v>
      </c>
    </row>
    <row r="566" spans="1:13" ht="15" customHeight="1" x14ac:dyDescent="0.2">
      <c r="A566" s="49">
        <v>45856</v>
      </c>
      <c r="B566">
        <v>2025</v>
      </c>
      <c r="C566" t="s">
        <v>7206</v>
      </c>
      <c r="D566" t="s">
        <v>7236</v>
      </c>
      <c r="E566">
        <v>7</v>
      </c>
      <c r="F566" t="s">
        <v>7208</v>
      </c>
      <c r="G566" t="s">
        <v>7209</v>
      </c>
      <c r="H566" t="s">
        <v>7237</v>
      </c>
      <c r="I566" s="49">
        <v>45839</v>
      </c>
      <c r="J566">
        <v>18</v>
      </c>
      <c r="K566" t="s">
        <v>7187</v>
      </c>
      <c r="L566" t="b">
        <f>FALSE()</f>
        <v>0</v>
      </c>
      <c r="M566">
        <v>29</v>
      </c>
    </row>
    <row r="567" spans="1:13" ht="15" customHeight="1" x14ac:dyDescent="0.2">
      <c r="A567" s="49">
        <v>45857</v>
      </c>
      <c r="B567">
        <v>2025</v>
      </c>
      <c r="C567" t="s">
        <v>7206</v>
      </c>
      <c r="D567" t="s">
        <v>7236</v>
      </c>
      <c r="E567">
        <v>7</v>
      </c>
      <c r="F567" t="s">
        <v>7208</v>
      </c>
      <c r="G567" t="s">
        <v>7209</v>
      </c>
      <c r="H567" t="s">
        <v>7237</v>
      </c>
      <c r="I567" s="49">
        <v>45839</v>
      </c>
      <c r="J567">
        <v>19</v>
      </c>
      <c r="K567" t="s">
        <v>7188</v>
      </c>
      <c r="L567" t="b">
        <f>TRUE()</f>
        <v>1</v>
      </c>
      <c r="M567">
        <v>29</v>
      </c>
    </row>
    <row r="568" spans="1:13" ht="15" customHeight="1" x14ac:dyDescent="0.2">
      <c r="A568" s="49">
        <v>45858</v>
      </c>
      <c r="B568">
        <v>2025</v>
      </c>
      <c r="C568" t="s">
        <v>7206</v>
      </c>
      <c r="D568" t="s">
        <v>7236</v>
      </c>
      <c r="E568">
        <v>7</v>
      </c>
      <c r="F568" t="s">
        <v>7208</v>
      </c>
      <c r="G568" t="s">
        <v>7209</v>
      </c>
      <c r="H568" t="s">
        <v>7237</v>
      </c>
      <c r="I568" s="49">
        <v>45839</v>
      </c>
      <c r="J568">
        <v>20</v>
      </c>
      <c r="K568" t="s">
        <v>7189</v>
      </c>
      <c r="L568" t="b">
        <f>TRUE()</f>
        <v>1</v>
      </c>
      <c r="M568">
        <v>29</v>
      </c>
    </row>
    <row r="569" spans="1:13" ht="15" customHeight="1" x14ac:dyDescent="0.2">
      <c r="A569" s="49">
        <v>45859</v>
      </c>
      <c r="B569">
        <v>2025</v>
      </c>
      <c r="C569" t="s">
        <v>7206</v>
      </c>
      <c r="D569" t="s">
        <v>7236</v>
      </c>
      <c r="E569">
        <v>7</v>
      </c>
      <c r="F569" t="s">
        <v>7208</v>
      </c>
      <c r="G569" t="s">
        <v>7209</v>
      </c>
      <c r="H569" t="s">
        <v>7237</v>
      </c>
      <c r="I569" s="49">
        <v>45839</v>
      </c>
      <c r="J569">
        <v>21</v>
      </c>
      <c r="K569" t="s">
        <v>7183</v>
      </c>
      <c r="L569" t="b">
        <f>FALSE()</f>
        <v>0</v>
      </c>
      <c r="M569">
        <v>30</v>
      </c>
    </row>
    <row r="570" spans="1:13" ht="15" customHeight="1" x14ac:dyDescent="0.2">
      <c r="A570" s="49">
        <v>45860</v>
      </c>
      <c r="B570">
        <v>2025</v>
      </c>
      <c r="C570" t="s">
        <v>7206</v>
      </c>
      <c r="D570" t="s">
        <v>7236</v>
      </c>
      <c r="E570">
        <v>7</v>
      </c>
      <c r="F570" t="s">
        <v>7208</v>
      </c>
      <c r="G570" t="s">
        <v>7209</v>
      </c>
      <c r="H570" t="s">
        <v>7237</v>
      </c>
      <c r="I570" s="49">
        <v>45839</v>
      </c>
      <c r="J570">
        <v>22</v>
      </c>
      <c r="K570" t="s">
        <v>7184</v>
      </c>
      <c r="L570" t="b">
        <f>FALSE()</f>
        <v>0</v>
      </c>
      <c r="M570">
        <v>30</v>
      </c>
    </row>
    <row r="571" spans="1:13" ht="15" customHeight="1" x14ac:dyDescent="0.2">
      <c r="A571" s="49">
        <v>45861</v>
      </c>
      <c r="B571">
        <v>2025</v>
      </c>
      <c r="C571" t="s">
        <v>7206</v>
      </c>
      <c r="D571" t="s">
        <v>7236</v>
      </c>
      <c r="E571">
        <v>7</v>
      </c>
      <c r="F571" t="s">
        <v>7208</v>
      </c>
      <c r="G571" t="s">
        <v>7209</v>
      </c>
      <c r="H571" t="s">
        <v>7237</v>
      </c>
      <c r="I571" s="49">
        <v>45839</v>
      </c>
      <c r="J571">
        <v>23</v>
      </c>
      <c r="K571" t="s">
        <v>7185</v>
      </c>
      <c r="L571" t="b">
        <f>FALSE()</f>
        <v>0</v>
      </c>
      <c r="M571">
        <v>30</v>
      </c>
    </row>
    <row r="572" spans="1:13" ht="15" customHeight="1" x14ac:dyDescent="0.2">
      <c r="A572" s="49">
        <v>45862</v>
      </c>
      <c r="B572">
        <v>2025</v>
      </c>
      <c r="C572" t="s">
        <v>7206</v>
      </c>
      <c r="D572" t="s">
        <v>7236</v>
      </c>
      <c r="E572">
        <v>7</v>
      </c>
      <c r="F572" t="s">
        <v>7208</v>
      </c>
      <c r="G572" t="s">
        <v>7209</v>
      </c>
      <c r="H572" t="s">
        <v>7237</v>
      </c>
      <c r="I572" s="49">
        <v>45839</v>
      </c>
      <c r="J572">
        <v>24</v>
      </c>
      <c r="K572" t="s">
        <v>7186</v>
      </c>
      <c r="L572" t="b">
        <f>FALSE()</f>
        <v>0</v>
      </c>
      <c r="M572">
        <v>30</v>
      </c>
    </row>
    <row r="573" spans="1:13" ht="15" customHeight="1" x14ac:dyDescent="0.2">
      <c r="A573" s="49">
        <v>45863</v>
      </c>
      <c r="B573">
        <v>2025</v>
      </c>
      <c r="C573" t="s">
        <v>7206</v>
      </c>
      <c r="D573" t="s">
        <v>7236</v>
      </c>
      <c r="E573">
        <v>7</v>
      </c>
      <c r="F573" t="s">
        <v>7208</v>
      </c>
      <c r="G573" t="s">
        <v>7209</v>
      </c>
      <c r="H573" t="s">
        <v>7237</v>
      </c>
      <c r="I573" s="49">
        <v>45839</v>
      </c>
      <c r="J573">
        <v>25</v>
      </c>
      <c r="K573" t="s">
        <v>7187</v>
      </c>
      <c r="L573" t="b">
        <f>FALSE()</f>
        <v>0</v>
      </c>
      <c r="M573">
        <v>30</v>
      </c>
    </row>
    <row r="574" spans="1:13" ht="15" customHeight="1" x14ac:dyDescent="0.2">
      <c r="A574" s="49">
        <v>45864</v>
      </c>
      <c r="B574">
        <v>2025</v>
      </c>
      <c r="C574" t="s">
        <v>7206</v>
      </c>
      <c r="D574" t="s">
        <v>7236</v>
      </c>
      <c r="E574">
        <v>7</v>
      </c>
      <c r="F574" t="s">
        <v>7208</v>
      </c>
      <c r="G574" t="s">
        <v>7209</v>
      </c>
      <c r="H574" t="s">
        <v>7237</v>
      </c>
      <c r="I574" s="49">
        <v>45839</v>
      </c>
      <c r="J574">
        <v>26</v>
      </c>
      <c r="K574" t="s">
        <v>7188</v>
      </c>
      <c r="L574" t="b">
        <f>TRUE()</f>
        <v>1</v>
      </c>
      <c r="M574">
        <v>30</v>
      </c>
    </row>
    <row r="575" spans="1:13" ht="15" customHeight="1" x14ac:dyDescent="0.2">
      <c r="A575" s="49">
        <v>45865</v>
      </c>
      <c r="B575">
        <v>2025</v>
      </c>
      <c r="C575" t="s">
        <v>7206</v>
      </c>
      <c r="D575" t="s">
        <v>7236</v>
      </c>
      <c r="E575">
        <v>7</v>
      </c>
      <c r="F575" t="s">
        <v>7208</v>
      </c>
      <c r="G575" t="s">
        <v>7209</v>
      </c>
      <c r="H575" t="s">
        <v>7237</v>
      </c>
      <c r="I575" s="49">
        <v>45839</v>
      </c>
      <c r="J575">
        <v>27</v>
      </c>
      <c r="K575" t="s">
        <v>7189</v>
      </c>
      <c r="L575" t="b">
        <f>TRUE()</f>
        <v>1</v>
      </c>
      <c r="M575">
        <v>30</v>
      </c>
    </row>
    <row r="576" spans="1:13" ht="15" customHeight="1" x14ac:dyDescent="0.2">
      <c r="A576" s="49">
        <v>45866</v>
      </c>
      <c r="B576">
        <v>2025</v>
      </c>
      <c r="C576" t="s">
        <v>7206</v>
      </c>
      <c r="D576" t="s">
        <v>7236</v>
      </c>
      <c r="E576">
        <v>7</v>
      </c>
      <c r="F576" t="s">
        <v>7208</v>
      </c>
      <c r="G576" t="s">
        <v>7209</v>
      </c>
      <c r="H576" t="s">
        <v>7237</v>
      </c>
      <c r="I576" s="49">
        <v>45839</v>
      </c>
      <c r="J576">
        <v>28</v>
      </c>
      <c r="K576" t="s">
        <v>7183</v>
      </c>
      <c r="L576" t="b">
        <f>FALSE()</f>
        <v>0</v>
      </c>
      <c r="M576">
        <v>31</v>
      </c>
    </row>
    <row r="577" spans="1:13" ht="15" customHeight="1" x14ac:dyDescent="0.2">
      <c r="A577" s="49">
        <v>45867</v>
      </c>
      <c r="B577">
        <v>2025</v>
      </c>
      <c r="C577" t="s">
        <v>7206</v>
      </c>
      <c r="D577" t="s">
        <v>7236</v>
      </c>
      <c r="E577">
        <v>7</v>
      </c>
      <c r="F577" t="s">
        <v>7208</v>
      </c>
      <c r="G577" t="s">
        <v>7209</v>
      </c>
      <c r="H577" t="s">
        <v>7237</v>
      </c>
      <c r="I577" s="49">
        <v>45839</v>
      </c>
      <c r="J577">
        <v>29</v>
      </c>
      <c r="K577" t="s">
        <v>7184</v>
      </c>
      <c r="L577" t="b">
        <f>FALSE()</f>
        <v>0</v>
      </c>
      <c r="M577">
        <v>31</v>
      </c>
    </row>
    <row r="578" spans="1:13" ht="15" customHeight="1" x14ac:dyDescent="0.2">
      <c r="A578" s="49">
        <v>45868</v>
      </c>
      <c r="B578">
        <v>2025</v>
      </c>
      <c r="C578" t="s">
        <v>7206</v>
      </c>
      <c r="D578" t="s">
        <v>7236</v>
      </c>
      <c r="E578">
        <v>7</v>
      </c>
      <c r="F578" t="s">
        <v>7208</v>
      </c>
      <c r="G578" t="s">
        <v>7209</v>
      </c>
      <c r="H578" t="s">
        <v>7237</v>
      </c>
      <c r="I578" s="49">
        <v>45839</v>
      </c>
      <c r="J578">
        <v>30</v>
      </c>
      <c r="K578" t="s">
        <v>7185</v>
      </c>
      <c r="L578" t="b">
        <f>FALSE()</f>
        <v>0</v>
      </c>
      <c r="M578">
        <v>31</v>
      </c>
    </row>
    <row r="579" spans="1:13" ht="15" customHeight="1" x14ac:dyDescent="0.2">
      <c r="A579" s="49">
        <v>45869</v>
      </c>
      <c r="B579">
        <v>2025</v>
      </c>
      <c r="C579" t="s">
        <v>7206</v>
      </c>
      <c r="D579" t="s">
        <v>7236</v>
      </c>
      <c r="E579">
        <v>7</v>
      </c>
      <c r="F579" t="s">
        <v>7208</v>
      </c>
      <c r="G579" t="s">
        <v>7209</v>
      </c>
      <c r="H579" t="s">
        <v>7237</v>
      </c>
      <c r="I579" s="49">
        <v>45839</v>
      </c>
      <c r="J579">
        <v>31</v>
      </c>
      <c r="K579" t="s">
        <v>7186</v>
      </c>
      <c r="L579" t="b">
        <f>FALSE()</f>
        <v>0</v>
      </c>
      <c r="M579">
        <v>31</v>
      </c>
    </row>
    <row r="580" spans="1:13" ht="15" customHeight="1" x14ac:dyDescent="0.2">
      <c r="A580" s="49">
        <v>45870</v>
      </c>
      <c r="B580">
        <v>2025</v>
      </c>
      <c r="C580" t="s">
        <v>7206</v>
      </c>
      <c r="D580" t="s">
        <v>7236</v>
      </c>
      <c r="E580">
        <v>8</v>
      </c>
      <c r="F580" t="s">
        <v>7211</v>
      </c>
      <c r="G580" t="s">
        <v>7212</v>
      </c>
      <c r="H580" t="s">
        <v>7238</v>
      </c>
      <c r="I580" s="49">
        <v>45870</v>
      </c>
      <c r="J580">
        <v>1</v>
      </c>
      <c r="K580" t="s">
        <v>7187</v>
      </c>
      <c r="L580" t="b">
        <f>FALSE()</f>
        <v>0</v>
      </c>
      <c r="M580">
        <v>31</v>
      </c>
    </row>
    <row r="581" spans="1:13" ht="15" customHeight="1" x14ac:dyDescent="0.2">
      <c r="A581" s="49">
        <v>45871</v>
      </c>
      <c r="B581">
        <v>2025</v>
      </c>
      <c r="C581" t="s">
        <v>7206</v>
      </c>
      <c r="D581" t="s">
        <v>7236</v>
      </c>
      <c r="E581">
        <v>8</v>
      </c>
      <c r="F581" t="s">
        <v>7211</v>
      </c>
      <c r="G581" t="s">
        <v>7212</v>
      </c>
      <c r="H581" t="s">
        <v>7238</v>
      </c>
      <c r="I581" s="49">
        <v>45870</v>
      </c>
      <c r="J581">
        <v>2</v>
      </c>
      <c r="K581" t="s">
        <v>7188</v>
      </c>
      <c r="L581" t="b">
        <f>TRUE()</f>
        <v>1</v>
      </c>
      <c r="M581">
        <v>31</v>
      </c>
    </row>
    <row r="582" spans="1:13" ht="15" customHeight="1" x14ac:dyDescent="0.2">
      <c r="A582" s="49">
        <v>45872</v>
      </c>
      <c r="B582">
        <v>2025</v>
      </c>
      <c r="C582" t="s">
        <v>7206</v>
      </c>
      <c r="D582" t="s">
        <v>7236</v>
      </c>
      <c r="E582">
        <v>8</v>
      </c>
      <c r="F582" t="s">
        <v>7211</v>
      </c>
      <c r="G582" t="s">
        <v>7212</v>
      </c>
      <c r="H582" t="s">
        <v>7238</v>
      </c>
      <c r="I582" s="49">
        <v>45870</v>
      </c>
      <c r="J582">
        <v>3</v>
      </c>
      <c r="K582" t="s">
        <v>7189</v>
      </c>
      <c r="L582" t="b">
        <f>TRUE()</f>
        <v>1</v>
      </c>
      <c r="M582">
        <v>31</v>
      </c>
    </row>
    <row r="583" spans="1:13" ht="15" customHeight="1" x14ac:dyDescent="0.2">
      <c r="A583" s="49">
        <v>45873</v>
      </c>
      <c r="B583">
        <v>2025</v>
      </c>
      <c r="C583" t="s">
        <v>7206</v>
      </c>
      <c r="D583" t="s">
        <v>7236</v>
      </c>
      <c r="E583">
        <v>8</v>
      </c>
      <c r="F583" t="s">
        <v>7211</v>
      </c>
      <c r="G583" t="s">
        <v>7212</v>
      </c>
      <c r="H583" t="s">
        <v>7238</v>
      </c>
      <c r="I583" s="49">
        <v>45870</v>
      </c>
      <c r="J583">
        <v>4</v>
      </c>
      <c r="K583" t="s">
        <v>7183</v>
      </c>
      <c r="L583" t="b">
        <f>FALSE()</f>
        <v>0</v>
      </c>
      <c r="M583">
        <v>32</v>
      </c>
    </row>
    <row r="584" spans="1:13" ht="15" customHeight="1" x14ac:dyDescent="0.2">
      <c r="A584" s="49">
        <v>45874</v>
      </c>
      <c r="B584">
        <v>2025</v>
      </c>
      <c r="C584" t="s">
        <v>7206</v>
      </c>
      <c r="D584" t="s">
        <v>7236</v>
      </c>
      <c r="E584">
        <v>8</v>
      </c>
      <c r="F584" t="s">
        <v>7211</v>
      </c>
      <c r="G584" t="s">
        <v>7212</v>
      </c>
      <c r="H584" t="s">
        <v>7238</v>
      </c>
      <c r="I584" s="49">
        <v>45870</v>
      </c>
      <c r="J584">
        <v>5</v>
      </c>
      <c r="K584" t="s">
        <v>7184</v>
      </c>
      <c r="L584" t="b">
        <f>FALSE()</f>
        <v>0</v>
      </c>
      <c r="M584">
        <v>32</v>
      </c>
    </row>
    <row r="585" spans="1:13" ht="15" customHeight="1" x14ac:dyDescent="0.2">
      <c r="A585" s="49">
        <v>45875</v>
      </c>
      <c r="B585">
        <v>2025</v>
      </c>
      <c r="C585" t="s">
        <v>7206</v>
      </c>
      <c r="D585" t="s">
        <v>7236</v>
      </c>
      <c r="E585">
        <v>8</v>
      </c>
      <c r="F585" t="s">
        <v>7211</v>
      </c>
      <c r="G585" t="s">
        <v>7212</v>
      </c>
      <c r="H585" t="s">
        <v>7238</v>
      </c>
      <c r="I585" s="49">
        <v>45870</v>
      </c>
      <c r="J585">
        <v>6</v>
      </c>
      <c r="K585" t="s">
        <v>7185</v>
      </c>
      <c r="L585" t="b">
        <f>FALSE()</f>
        <v>0</v>
      </c>
      <c r="M585">
        <v>32</v>
      </c>
    </row>
    <row r="586" spans="1:13" ht="15" customHeight="1" x14ac:dyDescent="0.2">
      <c r="A586" s="49">
        <v>45876</v>
      </c>
      <c r="B586">
        <v>2025</v>
      </c>
      <c r="C586" t="s">
        <v>7206</v>
      </c>
      <c r="D586" t="s">
        <v>7236</v>
      </c>
      <c r="E586">
        <v>8</v>
      </c>
      <c r="F586" t="s">
        <v>7211</v>
      </c>
      <c r="G586" t="s">
        <v>7212</v>
      </c>
      <c r="H586" t="s">
        <v>7238</v>
      </c>
      <c r="I586" s="49">
        <v>45870</v>
      </c>
      <c r="J586">
        <v>7</v>
      </c>
      <c r="K586" t="s">
        <v>7186</v>
      </c>
      <c r="L586" t="b">
        <f>FALSE()</f>
        <v>0</v>
      </c>
      <c r="M586">
        <v>32</v>
      </c>
    </row>
    <row r="587" spans="1:13" ht="15" customHeight="1" x14ac:dyDescent="0.2">
      <c r="A587" s="49">
        <v>45877</v>
      </c>
      <c r="B587">
        <v>2025</v>
      </c>
      <c r="C587" t="s">
        <v>7206</v>
      </c>
      <c r="D587" t="s">
        <v>7236</v>
      </c>
      <c r="E587">
        <v>8</v>
      </c>
      <c r="F587" t="s">
        <v>7211</v>
      </c>
      <c r="G587" t="s">
        <v>7212</v>
      </c>
      <c r="H587" t="s">
        <v>7238</v>
      </c>
      <c r="I587" s="49">
        <v>45870</v>
      </c>
      <c r="J587">
        <v>8</v>
      </c>
      <c r="K587" t="s">
        <v>7187</v>
      </c>
      <c r="L587" t="b">
        <f>FALSE()</f>
        <v>0</v>
      </c>
      <c r="M587">
        <v>32</v>
      </c>
    </row>
    <row r="588" spans="1:13" ht="15" customHeight="1" x14ac:dyDescent="0.2">
      <c r="A588" s="49">
        <v>45878</v>
      </c>
      <c r="B588">
        <v>2025</v>
      </c>
      <c r="C588" t="s">
        <v>7206</v>
      </c>
      <c r="D588" t="s">
        <v>7236</v>
      </c>
      <c r="E588">
        <v>8</v>
      </c>
      <c r="F588" t="s">
        <v>7211</v>
      </c>
      <c r="G588" t="s">
        <v>7212</v>
      </c>
      <c r="H588" t="s">
        <v>7238</v>
      </c>
      <c r="I588" s="49">
        <v>45870</v>
      </c>
      <c r="J588">
        <v>9</v>
      </c>
      <c r="K588" t="s">
        <v>7188</v>
      </c>
      <c r="L588" t="b">
        <f>TRUE()</f>
        <v>1</v>
      </c>
      <c r="M588">
        <v>32</v>
      </c>
    </row>
    <row r="589" spans="1:13" ht="15" customHeight="1" x14ac:dyDescent="0.2">
      <c r="A589" s="49">
        <v>45879</v>
      </c>
      <c r="B589">
        <v>2025</v>
      </c>
      <c r="C589" t="s">
        <v>7206</v>
      </c>
      <c r="D589" t="s">
        <v>7236</v>
      </c>
      <c r="E589">
        <v>8</v>
      </c>
      <c r="F589" t="s">
        <v>7211</v>
      </c>
      <c r="G589" t="s">
        <v>7212</v>
      </c>
      <c r="H589" t="s">
        <v>7238</v>
      </c>
      <c r="I589" s="49">
        <v>45870</v>
      </c>
      <c r="J589">
        <v>10</v>
      </c>
      <c r="K589" t="s">
        <v>7189</v>
      </c>
      <c r="L589" t="b">
        <f>TRUE()</f>
        <v>1</v>
      </c>
      <c r="M589">
        <v>32</v>
      </c>
    </row>
    <row r="590" spans="1:13" ht="15" customHeight="1" x14ac:dyDescent="0.2">
      <c r="A590" s="49">
        <v>45880</v>
      </c>
      <c r="B590">
        <v>2025</v>
      </c>
      <c r="C590" t="s">
        <v>7206</v>
      </c>
      <c r="D590" t="s">
        <v>7236</v>
      </c>
      <c r="E590">
        <v>8</v>
      </c>
      <c r="F590" t="s">
        <v>7211</v>
      </c>
      <c r="G590" t="s">
        <v>7212</v>
      </c>
      <c r="H590" t="s">
        <v>7238</v>
      </c>
      <c r="I590" s="49">
        <v>45870</v>
      </c>
      <c r="J590">
        <v>11</v>
      </c>
      <c r="K590" t="s">
        <v>7183</v>
      </c>
      <c r="L590" t="b">
        <f>FALSE()</f>
        <v>0</v>
      </c>
      <c r="M590">
        <v>33</v>
      </c>
    </row>
    <row r="591" spans="1:13" ht="15" customHeight="1" x14ac:dyDescent="0.2">
      <c r="A591" s="49">
        <v>45881</v>
      </c>
      <c r="B591">
        <v>2025</v>
      </c>
      <c r="C591" t="s">
        <v>7206</v>
      </c>
      <c r="D591" t="s">
        <v>7236</v>
      </c>
      <c r="E591">
        <v>8</v>
      </c>
      <c r="F591" t="s">
        <v>7211</v>
      </c>
      <c r="G591" t="s">
        <v>7212</v>
      </c>
      <c r="H591" t="s">
        <v>7238</v>
      </c>
      <c r="I591" s="49">
        <v>45870</v>
      </c>
      <c r="J591">
        <v>12</v>
      </c>
      <c r="K591" t="s">
        <v>7184</v>
      </c>
      <c r="L591" t="b">
        <f>FALSE()</f>
        <v>0</v>
      </c>
      <c r="M591">
        <v>33</v>
      </c>
    </row>
    <row r="592" spans="1:13" ht="15" customHeight="1" x14ac:dyDescent="0.2">
      <c r="A592" s="49">
        <v>45882</v>
      </c>
      <c r="B592">
        <v>2025</v>
      </c>
      <c r="C592" t="s">
        <v>7206</v>
      </c>
      <c r="D592" t="s">
        <v>7236</v>
      </c>
      <c r="E592">
        <v>8</v>
      </c>
      <c r="F592" t="s">
        <v>7211</v>
      </c>
      <c r="G592" t="s">
        <v>7212</v>
      </c>
      <c r="H592" t="s">
        <v>7238</v>
      </c>
      <c r="I592" s="49">
        <v>45870</v>
      </c>
      <c r="J592">
        <v>13</v>
      </c>
      <c r="K592" t="s">
        <v>7185</v>
      </c>
      <c r="L592" t="b">
        <f>FALSE()</f>
        <v>0</v>
      </c>
      <c r="M592">
        <v>33</v>
      </c>
    </row>
    <row r="593" spans="1:13" ht="15" customHeight="1" x14ac:dyDescent="0.2">
      <c r="A593" s="49">
        <v>45883</v>
      </c>
      <c r="B593">
        <v>2025</v>
      </c>
      <c r="C593" t="s">
        <v>7206</v>
      </c>
      <c r="D593" t="s">
        <v>7236</v>
      </c>
      <c r="E593">
        <v>8</v>
      </c>
      <c r="F593" t="s">
        <v>7211</v>
      </c>
      <c r="G593" t="s">
        <v>7212</v>
      </c>
      <c r="H593" t="s">
        <v>7238</v>
      </c>
      <c r="I593" s="49">
        <v>45870</v>
      </c>
      <c r="J593">
        <v>14</v>
      </c>
      <c r="K593" t="s">
        <v>7186</v>
      </c>
      <c r="L593" t="b">
        <f>FALSE()</f>
        <v>0</v>
      </c>
      <c r="M593">
        <v>33</v>
      </c>
    </row>
    <row r="594" spans="1:13" ht="15" customHeight="1" x14ac:dyDescent="0.2">
      <c r="A594" s="49">
        <v>45884</v>
      </c>
      <c r="B594">
        <v>2025</v>
      </c>
      <c r="C594" t="s">
        <v>7206</v>
      </c>
      <c r="D594" t="s">
        <v>7236</v>
      </c>
      <c r="E594">
        <v>8</v>
      </c>
      <c r="F594" t="s">
        <v>7211</v>
      </c>
      <c r="G594" t="s">
        <v>7212</v>
      </c>
      <c r="H594" t="s">
        <v>7238</v>
      </c>
      <c r="I594" s="49">
        <v>45870</v>
      </c>
      <c r="J594">
        <v>15</v>
      </c>
      <c r="K594" t="s">
        <v>7187</v>
      </c>
      <c r="L594" t="b">
        <f>FALSE()</f>
        <v>0</v>
      </c>
      <c r="M594">
        <v>33</v>
      </c>
    </row>
    <row r="595" spans="1:13" ht="15" customHeight="1" x14ac:dyDescent="0.2">
      <c r="A595" s="49">
        <v>45885</v>
      </c>
      <c r="B595">
        <v>2025</v>
      </c>
      <c r="C595" t="s">
        <v>7206</v>
      </c>
      <c r="D595" t="s">
        <v>7236</v>
      </c>
      <c r="E595">
        <v>8</v>
      </c>
      <c r="F595" t="s">
        <v>7211</v>
      </c>
      <c r="G595" t="s">
        <v>7212</v>
      </c>
      <c r="H595" t="s">
        <v>7238</v>
      </c>
      <c r="I595" s="49">
        <v>45870</v>
      </c>
      <c r="J595">
        <v>16</v>
      </c>
      <c r="K595" t="s">
        <v>7188</v>
      </c>
      <c r="L595" t="b">
        <f>TRUE()</f>
        <v>1</v>
      </c>
      <c r="M595">
        <v>33</v>
      </c>
    </row>
    <row r="596" spans="1:13" ht="15" customHeight="1" x14ac:dyDescent="0.2">
      <c r="A596" s="49">
        <v>45886</v>
      </c>
      <c r="B596">
        <v>2025</v>
      </c>
      <c r="C596" t="s">
        <v>7206</v>
      </c>
      <c r="D596" t="s">
        <v>7236</v>
      </c>
      <c r="E596">
        <v>8</v>
      </c>
      <c r="F596" t="s">
        <v>7211</v>
      </c>
      <c r="G596" t="s">
        <v>7212</v>
      </c>
      <c r="H596" t="s">
        <v>7238</v>
      </c>
      <c r="I596" s="49">
        <v>45870</v>
      </c>
      <c r="J596">
        <v>17</v>
      </c>
      <c r="K596" t="s">
        <v>7189</v>
      </c>
      <c r="L596" t="b">
        <f>TRUE()</f>
        <v>1</v>
      </c>
      <c r="M596">
        <v>33</v>
      </c>
    </row>
    <row r="597" spans="1:13" ht="15" customHeight="1" x14ac:dyDescent="0.2">
      <c r="A597" s="49">
        <v>45887</v>
      </c>
      <c r="B597">
        <v>2025</v>
      </c>
      <c r="C597" t="s">
        <v>7206</v>
      </c>
      <c r="D597" t="s">
        <v>7236</v>
      </c>
      <c r="E597">
        <v>8</v>
      </c>
      <c r="F597" t="s">
        <v>7211</v>
      </c>
      <c r="G597" t="s">
        <v>7212</v>
      </c>
      <c r="H597" t="s">
        <v>7238</v>
      </c>
      <c r="I597" s="49">
        <v>45870</v>
      </c>
      <c r="J597">
        <v>18</v>
      </c>
      <c r="K597" t="s">
        <v>7183</v>
      </c>
      <c r="L597" t="b">
        <f>FALSE()</f>
        <v>0</v>
      </c>
      <c r="M597">
        <v>34</v>
      </c>
    </row>
    <row r="598" spans="1:13" ht="15" customHeight="1" x14ac:dyDescent="0.2">
      <c r="A598" s="49">
        <v>45888</v>
      </c>
      <c r="B598">
        <v>2025</v>
      </c>
      <c r="C598" t="s">
        <v>7206</v>
      </c>
      <c r="D598" t="s">
        <v>7236</v>
      </c>
      <c r="E598">
        <v>8</v>
      </c>
      <c r="F598" t="s">
        <v>7211</v>
      </c>
      <c r="G598" t="s">
        <v>7212</v>
      </c>
      <c r="H598" t="s">
        <v>7238</v>
      </c>
      <c r="I598" s="49">
        <v>45870</v>
      </c>
      <c r="J598">
        <v>19</v>
      </c>
      <c r="K598" t="s">
        <v>7184</v>
      </c>
      <c r="L598" t="b">
        <f>FALSE()</f>
        <v>0</v>
      </c>
      <c r="M598">
        <v>34</v>
      </c>
    </row>
    <row r="599" spans="1:13" ht="15" customHeight="1" x14ac:dyDescent="0.2">
      <c r="A599" s="49">
        <v>45889</v>
      </c>
      <c r="B599">
        <v>2025</v>
      </c>
      <c r="C599" t="s">
        <v>7206</v>
      </c>
      <c r="D599" t="s">
        <v>7236</v>
      </c>
      <c r="E599">
        <v>8</v>
      </c>
      <c r="F599" t="s">
        <v>7211</v>
      </c>
      <c r="G599" t="s">
        <v>7212</v>
      </c>
      <c r="H599" t="s">
        <v>7238</v>
      </c>
      <c r="I599" s="49">
        <v>45870</v>
      </c>
      <c r="J599">
        <v>20</v>
      </c>
      <c r="K599" t="s">
        <v>7185</v>
      </c>
      <c r="L599" t="b">
        <f>FALSE()</f>
        <v>0</v>
      </c>
      <c r="M599">
        <v>34</v>
      </c>
    </row>
    <row r="600" spans="1:13" ht="15" customHeight="1" x14ac:dyDescent="0.2">
      <c r="A600" s="49">
        <v>45890</v>
      </c>
      <c r="B600">
        <v>2025</v>
      </c>
      <c r="C600" t="s">
        <v>7206</v>
      </c>
      <c r="D600" t="s">
        <v>7236</v>
      </c>
      <c r="E600">
        <v>8</v>
      </c>
      <c r="F600" t="s">
        <v>7211</v>
      </c>
      <c r="G600" t="s">
        <v>7212</v>
      </c>
      <c r="H600" t="s">
        <v>7238</v>
      </c>
      <c r="I600" s="49">
        <v>45870</v>
      </c>
      <c r="J600">
        <v>21</v>
      </c>
      <c r="K600" t="s">
        <v>7186</v>
      </c>
      <c r="L600" t="b">
        <f>FALSE()</f>
        <v>0</v>
      </c>
      <c r="M600">
        <v>34</v>
      </c>
    </row>
    <row r="601" spans="1:13" ht="15" customHeight="1" x14ac:dyDescent="0.2">
      <c r="A601" s="49">
        <v>45891</v>
      </c>
      <c r="B601">
        <v>2025</v>
      </c>
      <c r="C601" t="s">
        <v>7206</v>
      </c>
      <c r="D601" t="s">
        <v>7236</v>
      </c>
      <c r="E601">
        <v>8</v>
      </c>
      <c r="F601" t="s">
        <v>7211</v>
      </c>
      <c r="G601" t="s">
        <v>7212</v>
      </c>
      <c r="H601" t="s">
        <v>7238</v>
      </c>
      <c r="I601" s="49">
        <v>45870</v>
      </c>
      <c r="J601">
        <v>22</v>
      </c>
      <c r="K601" t="s">
        <v>7187</v>
      </c>
      <c r="L601" t="b">
        <f>FALSE()</f>
        <v>0</v>
      </c>
      <c r="M601">
        <v>34</v>
      </c>
    </row>
    <row r="602" spans="1:13" ht="15" customHeight="1" x14ac:dyDescent="0.2">
      <c r="A602" s="49">
        <v>45892</v>
      </c>
      <c r="B602">
        <v>2025</v>
      </c>
      <c r="C602" t="s">
        <v>7206</v>
      </c>
      <c r="D602" t="s">
        <v>7236</v>
      </c>
      <c r="E602">
        <v>8</v>
      </c>
      <c r="F602" t="s">
        <v>7211</v>
      </c>
      <c r="G602" t="s">
        <v>7212</v>
      </c>
      <c r="H602" t="s">
        <v>7238</v>
      </c>
      <c r="I602" s="49">
        <v>45870</v>
      </c>
      <c r="J602">
        <v>23</v>
      </c>
      <c r="K602" t="s">
        <v>7188</v>
      </c>
      <c r="L602" t="b">
        <f>TRUE()</f>
        <v>1</v>
      </c>
      <c r="M602">
        <v>34</v>
      </c>
    </row>
    <row r="603" spans="1:13" ht="15" customHeight="1" x14ac:dyDescent="0.2">
      <c r="A603" s="49">
        <v>45893</v>
      </c>
      <c r="B603">
        <v>2025</v>
      </c>
      <c r="C603" t="s">
        <v>7206</v>
      </c>
      <c r="D603" t="s">
        <v>7236</v>
      </c>
      <c r="E603">
        <v>8</v>
      </c>
      <c r="F603" t="s">
        <v>7211</v>
      </c>
      <c r="G603" t="s">
        <v>7212</v>
      </c>
      <c r="H603" t="s">
        <v>7238</v>
      </c>
      <c r="I603" s="49">
        <v>45870</v>
      </c>
      <c r="J603">
        <v>24</v>
      </c>
      <c r="K603" t="s">
        <v>7189</v>
      </c>
      <c r="L603" t="b">
        <f>TRUE()</f>
        <v>1</v>
      </c>
      <c r="M603">
        <v>34</v>
      </c>
    </row>
    <row r="604" spans="1:13" ht="15" customHeight="1" x14ac:dyDescent="0.2">
      <c r="A604" s="49">
        <v>45894</v>
      </c>
      <c r="B604">
        <v>2025</v>
      </c>
      <c r="C604" t="s">
        <v>7206</v>
      </c>
      <c r="D604" t="s">
        <v>7236</v>
      </c>
      <c r="E604">
        <v>8</v>
      </c>
      <c r="F604" t="s">
        <v>7211</v>
      </c>
      <c r="G604" t="s">
        <v>7212</v>
      </c>
      <c r="H604" t="s">
        <v>7238</v>
      </c>
      <c r="I604" s="49">
        <v>45870</v>
      </c>
      <c r="J604">
        <v>25</v>
      </c>
      <c r="K604" t="s">
        <v>7183</v>
      </c>
      <c r="L604" t="b">
        <f>FALSE()</f>
        <v>0</v>
      </c>
      <c r="M604">
        <v>35</v>
      </c>
    </row>
    <row r="605" spans="1:13" ht="15" customHeight="1" x14ac:dyDescent="0.2">
      <c r="A605" s="49">
        <v>45895</v>
      </c>
      <c r="B605">
        <v>2025</v>
      </c>
      <c r="C605" t="s">
        <v>7206</v>
      </c>
      <c r="D605" t="s">
        <v>7236</v>
      </c>
      <c r="E605">
        <v>8</v>
      </c>
      <c r="F605" t="s">
        <v>7211</v>
      </c>
      <c r="G605" t="s">
        <v>7212</v>
      </c>
      <c r="H605" t="s">
        <v>7238</v>
      </c>
      <c r="I605" s="49">
        <v>45870</v>
      </c>
      <c r="J605">
        <v>26</v>
      </c>
      <c r="K605" t="s">
        <v>7184</v>
      </c>
      <c r="L605" t="b">
        <f>FALSE()</f>
        <v>0</v>
      </c>
      <c r="M605">
        <v>35</v>
      </c>
    </row>
    <row r="606" spans="1:13" ht="15" customHeight="1" x14ac:dyDescent="0.2">
      <c r="A606" s="49">
        <v>45896</v>
      </c>
      <c r="B606">
        <v>2025</v>
      </c>
      <c r="C606" t="s">
        <v>7206</v>
      </c>
      <c r="D606" t="s">
        <v>7236</v>
      </c>
      <c r="E606">
        <v>8</v>
      </c>
      <c r="F606" t="s">
        <v>7211</v>
      </c>
      <c r="G606" t="s">
        <v>7212</v>
      </c>
      <c r="H606" t="s">
        <v>7238</v>
      </c>
      <c r="I606" s="49">
        <v>45870</v>
      </c>
      <c r="J606">
        <v>27</v>
      </c>
      <c r="K606" t="s">
        <v>7185</v>
      </c>
      <c r="L606" t="b">
        <f>FALSE()</f>
        <v>0</v>
      </c>
      <c r="M606">
        <v>35</v>
      </c>
    </row>
    <row r="607" spans="1:13" ht="15" customHeight="1" x14ac:dyDescent="0.2">
      <c r="A607" s="49">
        <v>45897</v>
      </c>
      <c r="B607">
        <v>2025</v>
      </c>
      <c r="C607" t="s">
        <v>7206</v>
      </c>
      <c r="D607" t="s">
        <v>7236</v>
      </c>
      <c r="E607">
        <v>8</v>
      </c>
      <c r="F607" t="s">
        <v>7211</v>
      </c>
      <c r="G607" t="s">
        <v>7212</v>
      </c>
      <c r="H607" t="s">
        <v>7238</v>
      </c>
      <c r="I607" s="49">
        <v>45870</v>
      </c>
      <c r="J607">
        <v>28</v>
      </c>
      <c r="K607" t="s">
        <v>7186</v>
      </c>
      <c r="L607" t="b">
        <f>FALSE()</f>
        <v>0</v>
      </c>
      <c r="M607">
        <v>35</v>
      </c>
    </row>
    <row r="608" spans="1:13" ht="15" customHeight="1" x14ac:dyDescent="0.2">
      <c r="A608" s="49">
        <v>45898</v>
      </c>
      <c r="B608">
        <v>2025</v>
      </c>
      <c r="C608" t="s">
        <v>7206</v>
      </c>
      <c r="D608" t="s">
        <v>7236</v>
      </c>
      <c r="E608">
        <v>8</v>
      </c>
      <c r="F608" t="s">
        <v>7211</v>
      </c>
      <c r="G608" t="s">
        <v>7212</v>
      </c>
      <c r="H608" t="s">
        <v>7238</v>
      </c>
      <c r="I608" s="49">
        <v>45870</v>
      </c>
      <c r="J608">
        <v>29</v>
      </c>
      <c r="K608" t="s">
        <v>7187</v>
      </c>
      <c r="L608" t="b">
        <f>FALSE()</f>
        <v>0</v>
      </c>
      <c r="M608">
        <v>35</v>
      </c>
    </row>
    <row r="609" spans="1:13" ht="15" customHeight="1" x14ac:dyDescent="0.2">
      <c r="A609" s="49">
        <v>45899</v>
      </c>
      <c r="B609">
        <v>2025</v>
      </c>
      <c r="C609" t="s">
        <v>7206</v>
      </c>
      <c r="D609" t="s">
        <v>7236</v>
      </c>
      <c r="E609">
        <v>8</v>
      </c>
      <c r="F609" t="s">
        <v>7211</v>
      </c>
      <c r="G609" t="s">
        <v>7212</v>
      </c>
      <c r="H609" t="s">
        <v>7238</v>
      </c>
      <c r="I609" s="49">
        <v>45870</v>
      </c>
      <c r="J609">
        <v>30</v>
      </c>
      <c r="K609" t="s">
        <v>7188</v>
      </c>
      <c r="L609" t="b">
        <f>TRUE()</f>
        <v>1</v>
      </c>
      <c r="M609">
        <v>35</v>
      </c>
    </row>
    <row r="610" spans="1:13" ht="15" customHeight="1" x14ac:dyDescent="0.2">
      <c r="A610" s="49">
        <v>45900</v>
      </c>
      <c r="B610">
        <v>2025</v>
      </c>
      <c r="C610" t="s">
        <v>7206</v>
      </c>
      <c r="D610" t="s">
        <v>7236</v>
      </c>
      <c r="E610">
        <v>8</v>
      </c>
      <c r="F610" t="s">
        <v>7211</v>
      </c>
      <c r="G610" t="s">
        <v>7212</v>
      </c>
      <c r="H610" t="s">
        <v>7238</v>
      </c>
      <c r="I610" s="49">
        <v>45870</v>
      </c>
      <c r="J610">
        <v>31</v>
      </c>
      <c r="K610" t="s">
        <v>7189</v>
      </c>
      <c r="L610" t="b">
        <f>TRUE()</f>
        <v>1</v>
      </c>
      <c r="M610">
        <v>35</v>
      </c>
    </row>
    <row r="611" spans="1:13" ht="15" customHeight="1" x14ac:dyDescent="0.2">
      <c r="A611" s="49">
        <v>45901</v>
      </c>
      <c r="B611">
        <v>2025</v>
      </c>
      <c r="C611" t="s">
        <v>7206</v>
      </c>
      <c r="D611" t="s">
        <v>7236</v>
      </c>
      <c r="E611">
        <v>9</v>
      </c>
      <c r="F611" t="s">
        <v>7214</v>
      </c>
      <c r="G611" t="s">
        <v>7215</v>
      </c>
      <c r="H611" t="s">
        <v>7239</v>
      </c>
      <c r="I611" s="49">
        <v>45901</v>
      </c>
      <c r="J611">
        <v>1</v>
      </c>
      <c r="K611" t="s">
        <v>7183</v>
      </c>
      <c r="L611" t="b">
        <f>FALSE()</f>
        <v>0</v>
      </c>
      <c r="M611">
        <v>36</v>
      </c>
    </row>
    <row r="612" spans="1:13" ht="15" customHeight="1" x14ac:dyDescent="0.2">
      <c r="A612" s="49">
        <v>45902</v>
      </c>
      <c r="B612">
        <v>2025</v>
      </c>
      <c r="C612" t="s">
        <v>7206</v>
      </c>
      <c r="D612" t="s">
        <v>7236</v>
      </c>
      <c r="E612">
        <v>9</v>
      </c>
      <c r="F612" t="s">
        <v>7214</v>
      </c>
      <c r="G612" t="s">
        <v>7215</v>
      </c>
      <c r="H612" t="s">
        <v>7239</v>
      </c>
      <c r="I612" s="49">
        <v>45901</v>
      </c>
      <c r="J612">
        <v>2</v>
      </c>
      <c r="K612" t="s">
        <v>7184</v>
      </c>
      <c r="L612" t="b">
        <f>FALSE()</f>
        <v>0</v>
      </c>
      <c r="M612">
        <v>36</v>
      </c>
    </row>
    <row r="613" spans="1:13" ht="15" customHeight="1" x14ac:dyDescent="0.2">
      <c r="A613" s="49">
        <v>45903</v>
      </c>
      <c r="B613">
        <v>2025</v>
      </c>
      <c r="C613" t="s">
        <v>7206</v>
      </c>
      <c r="D613" t="s">
        <v>7236</v>
      </c>
      <c r="E613">
        <v>9</v>
      </c>
      <c r="F613" t="s">
        <v>7214</v>
      </c>
      <c r="G613" t="s">
        <v>7215</v>
      </c>
      <c r="H613" t="s">
        <v>7239</v>
      </c>
      <c r="I613" s="49">
        <v>45901</v>
      </c>
      <c r="J613">
        <v>3</v>
      </c>
      <c r="K613" t="s">
        <v>7185</v>
      </c>
      <c r="L613" t="b">
        <f>FALSE()</f>
        <v>0</v>
      </c>
      <c r="M613">
        <v>36</v>
      </c>
    </row>
    <row r="614" spans="1:13" ht="15" customHeight="1" x14ac:dyDescent="0.2">
      <c r="A614" s="49">
        <v>45904</v>
      </c>
      <c r="B614">
        <v>2025</v>
      </c>
      <c r="C614" t="s">
        <v>7206</v>
      </c>
      <c r="D614" t="s">
        <v>7236</v>
      </c>
      <c r="E614">
        <v>9</v>
      </c>
      <c r="F614" t="s">
        <v>7214</v>
      </c>
      <c r="G614" t="s">
        <v>7215</v>
      </c>
      <c r="H614" t="s">
        <v>7239</v>
      </c>
      <c r="I614" s="49">
        <v>45901</v>
      </c>
      <c r="J614">
        <v>4</v>
      </c>
      <c r="K614" t="s">
        <v>7186</v>
      </c>
      <c r="L614" t="b">
        <f>FALSE()</f>
        <v>0</v>
      </c>
      <c r="M614">
        <v>36</v>
      </c>
    </row>
    <row r="615" spans="1:13" ht="15" customHeight="1" x14ac:dyDescent="0.2">
      <c r="A615" s="49">
        <v>45905</v>
      </c>
      <c r="B615">
        <v>2025</v>
      </c>
      <c r="C615" t="s">
        <v>7206</v>
      </c>
      <c r="D615" t="s">
        <v>7236</v>
      </c>
      <c r="E615">
        <v>9</v>
      </c>
      <c r="F615" t="s">
        <v>7214</v>
      </c>
      <c r="G615" t="s">
        <v>7215</v>
      </c>
      <c r="H615" t="s">
        <v>7239</v>
      </c>
      <c r="I615" s="49">
        <v>45901</v>
      </c>
      <c r="J615">
        <v>5</v>
      </c>
      <c r="K615" t="s">
        <v>7187</v>
      </c>
      <c r="L615" t="b">
        <f>FALSE()</f>
        <v>0</v>
      </c>
      <c r="M615">
        <v>36</v>
      </c>
    </row>
    <row r="616" spans="1:13" ht="15" customHeight="1" x14ac:dyDescent="0.2">
      <c r="A616" s="49">
        <v>45906</v>
      </c>
      <c r="B616">
        <v>2025</v>
      </c>
      <c r="C616" t="s">
        <v>7206</v>
      </c>
      <c r="D616" t="s">
        <v>7236</v>
      </c>
      <c r="E616">
        <v>9</v>
      </c>
      <c r="F616" t="s">
        <v>7214</v>
      </c>
      <c r="G616" t="s">
        <v>7215</v>
      </c>
      <c r="H616" t="s">
        <v>7239</v>
      </c>
      <c r="I616" s="49">
        <v>45901</v>
      </c>
      <c r="J616">
        <v>6</v>
      </c>
      <c r="K616" t="s">
        <v>7188</v>
      </c>
      <c r="L616" t="b">
        <f>TRUE()</f>
        <v>1</v>
      </c>
      <c r="M616">
        <v>36</v>
      </c>
    </row>
    <row r="617" spans="1:13" ht="15" customHeight="1" x14ac:dyDescent="0.2">
      <c r="A617" s="49">
        <v>45907</v>
      </c>
      <c r="B617">
        <v>2025</v>
      </c>
      <c r="C617" t="s">
        <v>7206</v>
      </c>
      <c r="D617" t="s">
        <v>7236</v>
      </c>
      <c r="E617">
        <v>9</v>
      </c>
      <c r="F617" t="s">
        <v>7214</v>
      </c>
      <c r="G617" t="s">
        <v>7215</v>
      </c>
      <c r="H617" t="s">
        <v>7239</v>
      </c>
      <c r="I617" s="49">
        <v>45901</v>
      </c>
      <c r="J617">
        <v>7</v>
      </c>
      <c r="K617" t="s">
        <v>7189</v>
      </c>
      <c r="L617" t="b">
        <f>TRUE()</f>
        <v>1</v>
      </c>
      <c r="M617">
        <v>36</v>
      </c>
    </row>
    <row r="618" spans="1:13" ht="15" customHeight="1" x14ac:dyDescent="0.2">
      <c r="A618" s="49">
        <v>45908</v>
      </c>
      <c r="B618">
        <v>2025</v>
      </c>
      <c r="C618" t="s">
        <v>7206</v>
      </c>
      <c r="D618" t="s">
        <v>7236</v>
      </c>
      <c r="E618">
        <v>9</v>
      </c>
      <c r="F618" t="s">
        <v>7214</v>
      </c>
      <c r="G618" t="s">
        <v>7215</v>
      </c>
      <c r="H618" t="s">
        <v>7239</v>
      </c>
      <c r="I618" s="49">
        <v>45901</v>
      </c>
      <c r="J618">
        <v>8</v>
      </c>
      <c r="K618" t="s">
        <v>7183</v>
      </c>
      <c r="L618" t="b">
        <f>FALSE()</f>
        <v>0</v>
      </c>
      <c r="M618">
        <v>37</v>
      </c>
    </row>
    <row r="619" spans="1:13" ht="15" customHeight="1" x14ac:dyDescent="0.2">
      <c r="A619" s="49">
        <v>45909</v>
      </c>
      <c r="B619">
        <v>2025</v>
      </c>
      <c r="C619" t="s">
        <v>7206</v>
      </c>
      <c r="D619" t="s">
        <v>7236</v>
      </c>
      <c r="E619">
        <v>9</v>
      </c>
      <c r="F619" t="s">
        <v>7214</v>
      </c>
      <c r="G619" t="s">
        <v>7215</v>
      </c>
      <c r="H619" t="s">
        <v>7239</v>
      </c>
      <c r="I619" s="49">
        <v>45901</v>
      </c>
      <c r="J619">
        <v>9</v>
      </c>
      <c r="K619" t="s">
        <v>7184</v>
      </c>
      <c r="L619" t="b">
        <f>FALSE()</f>
        <v>0</v>
      </c>
      <c r="M619">
        <v>37</v>
      </c>
    </row>
    <row r="620" spans="1:13" ht="15" customHeight="1" x14ac:dyDescent="0.2">
      <c r="A620" s="49">
        <v>45910</v>
      </c>
      <c r="B620">
        <v>2025</v>
      </c>
      <c r="C620" t="s">
        <v>7206</v>
      </c>
      <c r="D620" t="s">
        <v>7236</v>
      </c>
      <c r="E620">
        <v>9</v>
      </c>
      <c r="F620" t="s">
        <v>7214</v>
      </c>
      <c r="G620" t="s">
        <v>7215</v>
      </c>
      <c r="H620" t="s">
        <v>7239</v>
      </c>
      <c r="I620" s="49">
        <v>45901</v>
      </c>
      <c r="J620">
        <v>10</v>
      </c>
      <c r="K620" t="s">
        <v>7185</v>
      </c>
      <c r="L620" t="b">
        <f>FALSE()</f>
        <v>0</v>
      </c>
      <c r="M620">
        <v>37</v>
      </c>
    </row>
    <row r="621" spans="1:13" ht="15" customHeight="1" x14ac:dyDescent="0.2">
      <c r="A621" s="49">
        <v>45911</v>
      </c>
      <c r="B621">
        <v>2025</v>
      </c>
      <c r="C621" t="s">
        <v>7206</v>
      </c>
      <c r="D621" t="s">
        <v>7236</v>
      </c>
      <c r="E621">
        <v>9</v>
      </c>
      <c r="F621" t="s">
        <v>7214</v>
      </c>
      <c r="G621" t="s">
        <v>7215</v>
      </c>
      <c r="H621" t="s">
        <v>7239</v>
      </c>
      <c r="I621" s="49">
        <v>45901</v>
      </c>
      <c r="J621">
        <v>11</v>
      </c>
      <c r="K621" t="s">
        <v>7186</v>
      </c>
      <c r="L621" t="b">
        <f>FALSE()</f>
        <v>0</v>
      </c>
      <c r="M621">
        <v>37</v>
      </c>
    </row>
    <row r="622" spans="1:13" ht="15" customHeight="1" x14ac:dyDescent="0.2">
      <c r="A622" s="49">
        <v>45912</v>
      </c>
      <c r="B622">
        <v>2025</v>
      </c>
      <c r="C622" t="s">
        <v>7206</v>
      </c>
      <c r="D622" t="s">
        <v>7236</v>
      </c>
      <c r="E622">
        <v>9</v>
      </c>
      <c r="F622" t="s">
        <v>7214</v>
      </c>
      <c r="G622" t="s">
        <v>7215</v>
      </c>
      <c r="H622" t="s">
        <v>7239</v>
      </c>
      <c r="I622" s="49">
        <v>45901</v>
      </c>
      <c r="J622">
        <v>12</v>
      </c>
      <c r="K622" t="s">
        <v>7187</v>
      </c>
      <c r="L622" t="b">
        <f>FALSE()</f>
        <v>0</v>
      </c>
      <c r="M622">
        <v>37</v>
      </c>
    </row>
    <row r="623" spans="1:13" ht="15" customHeight="1" x14ac:dyDescent="0.2">
      <c r="A623" s="49">
        <v>45913</v>
      </c>
      <c r="B623">
        <v>2025</v>
      </c>
      <c r="C623" t="s">
        <v>7206</v>
      </c>
      <c r="D623" t="s">
        <v>7236</v>
      </c>
      <c r="E623">
        <v>9</v>
      </c>
      <c r="F623" t="s">
        <v>7214</v>
      </c>
      <c r="G623" t="s">
        <v>7215</v>
      </c>
      <c r="H623" t="s">
        <v>7239</v>
      </c>
      <c r="I623" s="49">
        <v>45901</v>
      </c>
      <c r="J623">
        <v>13</v>
      </c>
      <c r="K623" t="s">
        <v>7188</v>
      </c>
      <c r="L623" t="b">
        <f>TRUE()</f>
        <v>1</v>
      </c>
      <c r="M623">
        <v>37</v>
      </c>
    </row>
    <row r="624" spans="1:13" ht="15" customHeight="1" x14ac:dyDescent="0.2">
      <c r="A624" s="49">
        <v>45914</v>
      </c>
      <c r="B624">
        <v>2025</v>
      </c>
      <c r="C624" t="s">
        <v>7206</v>
      </c>
      <c r="D624" t="s">
        <v>7236</v>
      </c>
      <c r="E624">
        <v>9</v>
      </c>
      <c r="F624" t="s">
        <v>7214</v>
      </c>
      <c r="G624" t="s">
        <v>7215</v>
      </c>
      <c r="H624" t="s">
        <v>7239</v>
      </c>
      <c r="I624" s="49">
        <v>45901</v>
      </c>
      <c r="J624">
        <v>14</v>
      </c>
      <c r="K624" t="s">
        <v>7189</v>
      </c>
      <c r="L624" t="b">
        <f>TRUE()</f>
        <v>1</v>
      </c>
      <c r="M624">
        <v>37</v>
      </c>
    </row>
    <row r="625" spans="1:13" ht="15" customHeight="1" x14ac:dyDescent="0.2">
      <c r="A625" s="49">
        <v>45915</v>
      </c>
      <c r="B625">
        <v>2025</v>
      </c>
      <c r="C625" t="s">
        <v>7206</v>
      </c>
      <c r="D625" t="s">
        <v>7236</v>
      </c>
      <c r="E625">
        <v>9</v>
      </c>
      <c r="F625" t="s">
        <v>7214</v>
      </c>
      <c r="G625" t="s">
        <v>7215</v>
      </c>
      <c r="H625" t="s">
        <v>7239</v>
      </c>
      <c r="I625" s="49">
        <v>45901</v>
      </c>
      <c r="J625">
        <v>15</v>
      </c>
      <c r="K625" t="s">
        <v>7183</v>
      </c>
      <c r="L625" t="b">
        <f>FALSE()</f>
        <v>0</v>
      </c>
      <c r="M625">
        <v>38</v>
      </c>
    </row>
    <row r="626" spans="1:13" ht="15" customHeight="1" x14ac:dyDescent="0.2">
      <c r="A626" s="49">
        <v>45916</v>
      </c>
      <c r="B626">
        <v>2025</v>
      </c>
      <c r="C626" t="s">
        <v>7206</v>
      </c>
      <c r="D626" t="s">
        <v>7236</v>
      </c>
      <c r="E626">
        <v>9</v>
      </c>
      <c r="F626" t="s">
        <v>7214</v>
      </c>
      <c r="G626" t="s">
        <v>7215</v>
      </c>
      <c r="H626" t="s">
        <v>7239</v>
      </c>
      <c r="I626" s="49">
        <v>45901</v>
      </c>
      <c r="J626">
        <v>16</v>
      </c>
      <c r="K626" t="s">
        <v>7184</v>
      </c>
      <c r="L626" t="b">
        <f>FALSE()</f>
        <v>0</v>
      </c>
      <c r="M626">
        <v>38</v>
      </c>
    </row>
    <row r="627" spans="1:13" ht="15" customHeight="1" x14ac:dyDescent="0.2">
      <c r="A627" s="49">
        <v>45917</v>
      </c>
      <c r="B627">
        <v>2025</v>
      </c>
      <c r="C627" t="s">
        <v>7206</v>
      </c>
      <c r="D627" t="s">
        <v>7236</v>
      </c>
      <c r="E627">
        <v>9</v>
      </c>
      <c r="F627" t="s">
        <v>7214</v>
      </c>
      <c r="G627" t="s">
        <v>7215</v>
      </c>
      <c r="H627" t="s">
        <v>7239</v>
      </c>
      <c r="I627" s="49">
        <v>45901</v>
      </c>
      <c r="J627">
        <v>17</v>
      </c>
      <c r="K627" t="s">
        <v>7185</v>
      </c>
      <c r="L627" t="b">
        <f>FALSE()</f>
        <v>0</v>
      </c>
      <c r="M627">
        <v>38</v>
      </c>
    </row>
    <row r="628" spans="1:13" ht="15" customHeight="1" x14ac:dyDescent="0.2">
      <c r="A628" s="49">
        <v>45918</v>
      </c>
      <c r="B628">
        <v>2025</v>
      </c>
      <c r="C628" t="s">
        <v>7206</v>
      </c>
      <c r="D628" t="s">
        <v>7236</v>
      </c>
      <c r="E628">
        <v>9</v>
      </c>
      <c r="F628" t="s">
        <v>7214</v>
      </c>
      <c r="G628" t="s">
        <v>7215</v>
      </c>
      <c r="H628" t="s">
        <v>7239</v>
      </c>
      <c r="I628" s="49">
        <v>45901</v>
      </c>
      <c r="J628">
        <v>18</v>
      </c>
      <c r="K628" t="s">
        <v>7186</v>
      </c>
      <c r="L628" t="b">
        <f>FALSE()</f>
        <v>0</v>
      </c>
      <c r="M628">
        <v>38</v>
      </c>
    </row>
    <row r="629" spans="1:13" ht="15" customHeight="1" x14ac:dyDescent="0.2">
      <c r="A629" s="49">
        <v>45919</v>
      </c>
      <c r="B629">
        <v>2025</v>
      </c>
      <c r="C629" t="s">
        <v>7206</v>
      </c>
      <c r="D629" t="s">
        <v>7236</v>
      </c>
      <c r="E629">
        <v>9</v>
      </c>
      <c r="F629" t="s">
        <v>7214</v>
      </c>
      <c r="G629" t="s">
        <v>7215</v>
      </c>
      <c r="H629" t="s">
        <v>7239</v>
      </c>
      <c r="I629" s="49">
        <v>45901</v>
      </c>
      <c r="J629">
        <v>19</v>
      </c>
      <c r="K629" t="s">
        <v>7187</v>
      </c>
      <c r="L629" t="b">
        <f>FALSE()</f>
        <v>0</v>
      </c>
      <c r="M629">
        <v>38</v>
      </c>
    </row>
    <row r="630" spans="1:13" ht="15" customHeight="1" x14ac:dyDescent="0.2">
      <c r="A630" s="49">
        <v>45920</v>
      </c>
      <c r="B630">
        <v>2025</v>
      </c>
      <c r="C630" t="s">
        <v>7206</v>
      </c>
      <c r="D630" t="s">
        <v>7236</v>
      </c>
      <c r="E630">
        <v>9</v>
      </c>
      <c r="F630" t="s">
        <v>7214</v>
      </c>
      <c r="G630" t="s">
        <v>7215</v>
      </c>
      <c r="H630" t="s">
        <v>7239</v>
      </c>
      <c r="I630" s="49">
        <v>45901</v>
      </c>
      <c r="J630">
        <v>20</v>
      </c>
      <c r="K630" t="s">
        <v>7188</v>
      </c>
      <c r="L630" t="b">
        <f>TRUE()</f>
        <v>1</v>
      </c>
      <c r="M630">
        <v>38</v>
      </c>
    </row>
    <row r="631" spans="1:13" ht="15" customHeight="1" x14ac:dyDescent="0.2">
      <c r="A631" s="49">
        <v>45921</v>
      </c>
      <c r="B631">
        <v>2025</v>
      </c>
      <c r="C631" t="s">
        <v>7206</v>
      </c>
      <c r="D631" t="s">
        <v>7236</v>
      </c>
      <c r="E631">
        <v>9</v>
      </c>
      <c r="F631" t="s">
        <v>7214</v>
      </c>
      <c r="G631" t="s">
        <v>7215</v>
      </c>
      <c r="H631" t="s">
        <v>7239</v>
      </c>
      <c r="I631" s="49">
        <v>45901</v>
      </c>
      <c r="J631">
        <v>21</v>
      </c>
      <c r="K631" t="s">
        <v>7189</v>
      </c>
      <c r="L631" t="b">
        <f>TRUE()</f>
        <v>1</v>
      </c>
      <c r="M631">
        <v>38</v>
      </c>
    </row>
    <row r="632" spans="1:13" ht="15" customHeight="1" x14ac:dyDescent="0.2">
      <c r="A632" s="49">
        <v>45922</v>
      </c>
      <c r="B632">
        <v>2025</v>
      </c>
      <c r="C632" t="s">
        <v>7206</v>
      </c>
      <c r="D632" t="s">
        <v>7236</v>
      </c>
      <c r="E632">
        <v>9</v>
      </c>
      <c r="F632" t="s">
        <v>7214</v>
      </c>
      <c r="G632" t="s">
        <v>7215</v>
      </c>
      <c r="H632" t="s">
        <v>7239</v>
      </c>
      <c r="I632" s="49">
        <v>45901</v>
      </c>
      <c r="J632">
        <v>22</v>
      </c>
      <c r="K632" t="s">
        <v>7183</v>
      </c>
      <c r="L632" t="b">
        <f>FALSE()</f>
        <v>0</v>
      </c>
      <c r="M632">
        <v>39</v>
      </c>
    </row>
    <row r="633" spans="1:13" ht="15" customHeight="1" x14ac:dyDescent="0.2">
      <c r="A633" s="49">
        <v>45923</v>
      </c>
      <c r="B633">
        <v>2025</v>
      </c>
      <c r="C633" t="s">
        <v>7206</v>
      </c>
      <c r="D633" t="s">
        <v>7236</v>
      </c>
      <c r="E633">
        <v>9</v>
      </c>
      <c r="F633" t="s">
        <v>7214</v>
      </c>
      <c r="G633" t="s">
        <v>7215</v>
      </c>
      <c r="H633" t="s">
        <v>7239</v>
      </c>
      <c r="I633" s="49">
        <v>45901</v>
      </c>
      <c r="J633">
        <v>23</v>
      </c>
      <c r="K633" t="s">
        <v>7184</v>
      </c>
      <c r="L633" t="b">
        <f>FALSE()</f>
        <v>0</v>
      </c>
      <c r="M633">
        <v>39</v>
      </c>
    </row>
    <row r="634" spans="1:13" ht="15" customHeight="1" x14ac:dyDescent="0.2">
      <c r="A634" s="49">
        <v>45924</v>
      </c>
      <c r="B634">
        <v>2025</v>
      </c>
      <c r="C634" t="s">
        <v>7206</v>
      </c>
      <c r="D634" t="s">
        <v>7236</v>
      </c>
      <c r="E634">
        <v>9</v>
      </c>
      <c r="F634" t="s">
        <v>7214</v>
      </c>
      <c r="G634" t="s">
        <v>7215</v>
      </c>
      <c r="H634" t="s">
        <v>7239</v>
      </c>
      <c r="I634" s="49">
        <v>45901</v>
      </c>
      <c r="J634">
        <v>24</v>
      </c>
      <c r="K634" t="s">
        <v>7185</v>
      </c>
      <c r="L634" t="b">
        <f>FALSE()</f>
        <v>0</v>
      </c>
      <c r="M634">
        <v>39</v>
      </c>
    </row>
    <row r="635" spans="1:13" ht="15" customHeight="1" x14ac:dyDescent="0.2">
      <c r="A635" s="49">
        <v>45925</v>
      </c>
      <c r="B635">
        <v>2025</v>
      </c>
      <c r="C635" t="s">
        <v>7206</v>
      </c>
      <c r="D635" t="s">
        <v>7236</v>
      </c>
      <c r="E635">
        <v>9</v>
      </c>
      <c r="F635" t="s">
        <v>7214</v>
      </c>
      <c r="G635" t="s">
        <v>7215</v>
      </c>
      <c r="H635" t="s">
        <v>7239</v>
      </c>
      <c r="I635" s="49">
        <v>45901</v>
      </c>
      <c r="J635">
        <v>25</v>
      </c>
      <c r="K635" t="s">
        <v>7186</v>
      </c>
      <c r="L635" t="b">
        <f>FALSE()</f>
        <v>0</v>
      </c>
      <c r="M635">
        <v>39</v>
      </c>
    </row>
    <row r="636" spans="1:13" ht="15" customHeight="1" x14ac:dyDescent="0.2">
      <c r="A636" s="49">
        <v>45926</v>
      </c>
      <c r="B636">
        <v>2025</v>
      </c>
      <c r="C636" t="s">
        <v>7206</v>
      </c>
      <c r="D636" t="s">
        <v>7236</v>
      </c>
      <c r="E636">
        <v>9</v>
      </c>
      <c r="F636" t="s">
        <v>7214</v>
      </c>
      <c r="G636" t="s">
        <v>7215</v>
      </c>
      <c r="H636" t="s">
        <v>7239</v>
      </c>
      <c r="I636" s="49">
        <v>45901</v>
      </c>
      <c r="J636">
        <v>26</v>
      </c>
      <c r="K636" t="s">
        <v>7187</v>
      </c>
      <c r="L636" t="b">
        <f>FALSE()</f>
        <v>0</v>
      </c>
      <c r="M636">
        <v>39</v>
      </c>
    </row>
    <row r="637" spans="1:13" ht="15" customHeight="1" x14ac:dyDescent="0.2">
      <c r="A637" s="49">
        <v>45927</v>
      </c>
      <c r="B637">
        <v>2025</v>
      </c>
      <c r="C637" t="s">
        <v>7206</v>
      </c>
      <c r="D637" t="s">
        <v>7236</v>
      </c>
      <c r="E637">
        <v>9</v>
      </c>
      <c r="F637" t="s">
        <v>7214</v>
      </c>
      <c r="G637" t="s">
        <v>7215</v>
      </c>
      <c r="H637" t="s">
        <v>7239</v>
      </c>
      <c r="I637" s="49">
        <v>45901</v>
      </c>
      <c r="J637">
        <v>27</v>
      </c>
      <c r="K637" t="s">
        <v>7188</v>
      </c>
      <c r="L637" t="b">
        <f>TRUE()</f>
        <v>1</v>
      </c>
      <c r="M637">
        <v>39</v>
      </c>
    </row>
    <row r="638" spans="1:13" ht="15" customHeight="1" x14ac:dyDescent="0.2">
      <c r="A638" s="49">
        <v>45928</v>
      </c>
      <c r="B638">
        <v>2025</v>
      </c>
      <c r="C638" t="s">
        <v>7206</v>
      </c>
      <c r="D638" t="s">
        <v>7236</v>
      </c>
      <c r="E638">
        <v>9</v>
      </c>
      <c r="F638" t="s">
        <v>7214</v>
      </c>
      <c r="G638" t="s">
        <v>7215</v>
      </c>
      <c r="H638" t="s">
        <v>7239</v>
      </c>
      <c r="I638" s="49">
        <v>45901</v>
      </c>
      <c r="J638">
        <v>28</v>
      </c>
      <c r="K638" t="s">
        <v>7189</v>
      </c>
      <c r="L638" t="b">
        <f>TRUE()</f>
        <v>1</v>
      </c>
      <c r="M638">
        <v>39</v>
      </c>
    </row>
    <row r="639" spans="1:13" ht="15" customHeight="1" x14ac:dyDescent="0.2">
      <c r="A639" s="49">
        <v>45929</v>
      </c>
      <c r="B639">
        <v>2025</v>
      </c>
      <c r="C639" t="s">
        <v>7206</v>
      </c>
      <c r="D639" t="s">
        <v>7236</v>
      </c>
      <c r="E639">
        <v>9</v>
      </c>
      <c r="F639" t="s">
        <v>7214</v>
      </c>
      <c r="G639" t="s">
        <v>7215</v>
      </c>
      <c r="H639" t="s">
        <v>7239</v>
      </c>
      <c r="I639" s="49">
        <v>45901</v>
      </c>
      <c r="J639">
        <v>29</v>
      </c>
      <c r="K639" t="s">
        <v>7183</v>
      </c>
      <c r="L639" t="b">
        <f>FALSE()</f>
        <v>0</v>
      </c>
      <c r="M639">
        <v>40</v>
      </c>
    </row>
    <row r="640" spans="1:13" ht="15" customHeight="1" x14ac:dyDescent="0.2">
      <c r="A640" s="49">
        <v>45930</v>
      </c>
      <c r="B640">
        <v>2025</v>
      </c>
      <c r="C640" t="s">
        <v>7206</v>
      </c>
      <c r="D640" t="s">
        <v>7236</v>
      </c>
      <c r="E640">
        <v>9</v>
      </c>
      <c r="F640" t="s">
        <v>7214</v>
      </c>
      <c r="G640" t="s">
        <v>7215</v>
      </c>
      <c r="H640" t="s">
        <v>7239</v>
      </c>
      <c r="I640" s="49">
        <v>45901</v>
      </c>
      <c r="J640">
        <v>30</v>
      </c>
      <c r="K640" t="s">
        <v>7184</v>
      </c>
      <c r="L640" t="b">
        <f>FALSE()</f>
        <v>0</v>
      </c>
      <c r="M640">
        <v>40</v>
      </c>
    </row>
    <row r="641" spans="1:13" ht="15" customHeight="1" x14ac:dyDescent="0.2">
      <c r="A641" s="49">
        <v>45931</v>
      </c>
      <c r="B641">
        <v>2025</v>
      </c>
      <c r="C641" t="s">
        <v>7217</v>
      </c>
      <c r="D641" t="s">
        <v>7240</v>
      </c>
      <c r="E641">
        <v>10</v>
      </c>
      <c r="F641" t="s">
        <v>7219</v>
      </c>
      <c r="G641" t="s">
        <v>7220</v>
      </c>
      <c r="H641" t="s">
        <v>7241</v>
      </c>
      <c r="I641" s="49">
        <v>45931</v>
      </c>
      <c r="J641">
        <v>1</v>
      </c>
      <c r="K641" t="s">
        <v>7185</v>
      </c>
      <c r="L641" t="b">
        <f>FALSE()</f>
        <v>0</v>
      </c>
      <c r="M641">
        <v>40</v>
      </c>
    </row>
    <row r="642" spans="1:13" ht="15" customHeight="1" x14ac:dyDescent="0.2">
      <c r="A642" s="49">
        <v>45932</v>
      </c>
      <c r="B642">
        <v>2025</v>
      </c>
      <c r="C642" t="s">
        <v>7217</v>
      </c>
      <c r="D642" t="s">
        <v>7240</v>
      </c>
      <c r="E642">
        <v>10</v>
      </c>
      <c r="F642" t="s">
        <v>7219</v>
      </c>
      <c r="G642" t="s">
        <v>7220</v>
      </c>
      <c r="H642" t="s">
        <v>7241</v>
      </c>
      <c r="I642" s="49">
        <v>45931</v>
      </c>
      <c r="J642">
        <v>2</v>
      </c>
      <c r="K642" t="s">
        <v>7186</v>
      </c>
      <c r="L642" t="b">
        <f>FALSE()</f>
        <v>0</v>
      </c>
      <c r="M642">
        <v>40</v>
      </c>
    </row>
    <row r="643" spans="1:13" ht="15" customHeight="1" x14ac:dyDescent="0.2">
      <c r="A643" s="49">
        <v>45933</v>
      </c>
      <c r="B643">
        <v>2025</v>
      </c>
      <c r="C643" t="s">
        <v>7217</v>
      </c>
      <c r="D643" t="s">
        <v>7240</v>
      </c>
      <c r="E643">
        <v>10</v>
      </c>
      <c r="F643" t="s">
        <v>7219</v>
      </c>
      <c r="G643" t="s">
        <v>7220</v>
      </c>
      <c r="H643" t="s">
        <v>7241</v>
      </c>
      <c r="I643" s="49">
        <v>45931</v>
      </c>
      <c r="J643">
        <v>3</v>
      </c>
      <c r="K643" t="s">
        <v>7187</v>
      </c>
      <c r="L643" t="b">
        <f>FALSE()</f>
        <v>0</v>
      </c>
      <c r="M643">
        <v>40</v>
      </c>
    </row>
    <row r="644" spans="1:13" ht="15" customHeight="1" x14ac:dyDescent="0.2">
      <c r="A644" s="49">
        <v>45934</v>
      </c>
      <c r="B644">
        <v>2025</v>
      </c>
      <c r="C644" t="s">
        <v>7217</v>
      </c>
      <c r="D644" t="s">
        <v>7240</v>
      </c>
      <c r="E644">
        <v>10</v>
      </c>
      <c r="F644" t="s">
        <v>7219</v>
      </c>
      <c r="G644" t="s">
        <v>7220</v>
      </c>
      <c r="H644" t="s">
        <v>7241</v>
      </c>
      <c r="I644" s="49">
        <v>45931</v>
      </c>
      <c r="J644">
        <v>4</v>
      </c>
      <c r="K644" t="s">
        <v>7188</v>
      </c>
      <c r="L644" t="b">
        <f>TRUE()</f>
        <v>1</v>
      </c>
      <c r="M644">
        <v>40</v>
      </c>
    </row>
    <row r="645" spans="1:13" ht="15" customHeight="1" x14ac:dyDescent="0.2">
      <c r="A645" s="49">
        <v>45935</v>
      </c>
      <c r="B645">
        <v>2025</v>
      </c>
      <c r="C645" t="s">
        <v>7217</v>
      </c>
      <c r="D645" t="s">
        <v>7240</v>
      </c>
      <c r="E645">
        <v>10</v>
      </c>
      <c r="F645" t="s">
        <v>7219</v>
      </c>
      <c r="G645" t="s">
        <v>7220</v>
      </c>
      <c r="H645" t="s">
        <v>7241</v>
      </c>
      <c r="I645" s="49">
        <v>45931</v>
      </c>
      <c r="J645">
        <v>5</v>
      </c>
      <c r="K645" t="s">
        <v>7189</v>
      </c>
      <c r="L645" t="b">
        <f>TRUE()</f>
        <v>1</v>
      </c>
      <c r="M645">
        <v>40</v>
      </c>
    </row>
    <row r="646" spans="1:13" ht="15" customHeight="1" x14ac:dyDescent="0.2">
      <c r="A646" s="49">
        <v>45936</v>
      </c>
      <c r="B646">
        <v>2025</v>
      </c>
      <c r="C646" t="s">
        <v>7217</v>
      </c>
      <c r="D646" t="s">
        <v>7240</v>
      </c>
      <c r="E646">
        <v>10</v>
      </c>
      <c r="F646" t="s">
        <v>7219</v>
      </c>
      <c r="G646" t="s">
        <v>7220</v>
      </c>
      <c r="H646" t="s">
        <v>7241</v>
      </c>
      <c r="I646" s="49">
        <v>45931</v>
      </c>
      <c r="J646">
        <v>6</v>
      </c>
      <c r="K646" t="s">
        <v>7183</v>
      </c>
      <c r="L646" t="b">
        <f>FALSE()</f>
        <v>0</v>
      </c>
      <c r="M646">
        <v>41</v>
      </c>
    </row>
    <row r="647" spans="1:13" ht="15" customHeight="1" x14ac:dyDescent="0.2">
      <c r="A647" s="49">
        <v>45937</v>
      </c>
      <c r="B647">
        <v>2025</v>
      </c>
      <c r="C647" t="s">
        <v>7217</v>
      </c>
      <c r="D647" t="s">
        <v>7240</v>
      </c>
      <c r="E647">
        <v>10</v>
      </c>
      <c r="F647" t="s">
        <v>7219</v>
      </c>
      <c r="G647" t="s">
        <v>7220</v>
      </c>
      <c r="H647" t="s">
        <v>7241</v>
      </c>
      <c r="I647" s="49">
        <v>45931</v>
      </c>
      <c r="J647">
        <v>7</v>
      </c>
      <c r="K647" t="s">
        <v>7184</v>
      </c>
      <c r="L647" t="b">
        <f>FALSE()</f>
        <v>0</v>
      </c>
      <c r="M647">
        <v>41</v>
      </c>
    </row>
    <row r="648" spans="1:13" ht="15" customHeight="1" x14ac:dyDescent="0.2">
      <c r="A648" s="49">
        <v>45938</v>
      </c>
      <c r="B648">
        <v>2025</v>
      </c>
      <c r="C648" t="s">
        <v>7217</v>
      </c>
      <c r="D648" t="s">
        <v>7240</v>
      </c>
      <c r="E648">
        <v>10</v>
      </c>
      <c r="F648" t="s">
        <v>7219</v>
      </c>
      <c r="G648" t="s">
        <v>7220</v>
      </c>
      <c r="H648" t="s">
        <v>7241</v>
      </c>
      <c r="I648" s="49">
        <v>45931</v>
      </c>
      <c r="J648">
        <v>8</v>
      </c>
      <c r="K648" t="s">
        <v>7185</v>
      </c>
      <c r="L648" t="b">
        <f>FALSE()</f>
        <v>0</v>
      </c>
      <c r="M648">
        <v>41</v>
      </c>
    </row>
    <row r="649" spans="1:13" ht="15" customHeight="1" x14ac:dyDescent="0.2">
      <c r="A649" s="49">
        <v>45939</v>
      </c>
      <c r="B649">
        <v>2025</v>
      </c>
      <c r="C649" t="s">
        <v>7217</v>
      </c>
      <c r="D649" t="s">
        <v>7240</v>
      </c>
      <c r="E649">
        <v>10</v>
      </c>
      <c r="F649" t="s">
        <v>7219</v>
      </c>
      <c r="G649" t="s">
        <v>7220</v>
      </c>
      <c r="H649" t="s">
        <v>7241</v>
      </c>
      <c r="I649" s="49">
        <v>45931</v>
      </c>
      <c r="J649">
        <v>9</v>
      </c>
      <c r="K649" t="s">
        <v>7186</v>
      </c>
      <c r="L649" t="b">
        <f>FALSE()</f>
        <v>0</v>
      </c>
      <c r="M649">
        <v>41</v>
      </c>
    </row>
    <row r="650" spans="1:13" ht="15" customHeight="1" x14ac:dyDescent="0.2">
      <c r="A650" s="49">
        <v>45940</v>
      </c>
      <c r="B650">
        <v>2025</v>
      </c>
      <c r="C650" t="s">
        <v>7217</v>
      </c>
      <c r="D650" t="s">
        <v>7240</v>
      </c>
      <c r="E650">
        <v>10</v>
      </c>
      <c r="F650" t="s">
        <v>7219</v>
      </c>
      <c r="G650" t="s">
        <v>7220</v>
      </c>
      <c r="H650" t="s">
        <v>7241</v>
      </c>
      <c r="I650" s="49">
        <v>45931</v>
      </c>
      <c r="J650">
        <v>10</v>
      </c>
      <c r="K650" t="s">
        <v>7187</v>
      </c>
      <c r="L650" t="b">
        <f>FALSE()</f>
        <v>0</v>
      </c>
      <c r="M650">
        <v>41</v>
      </c>
    </row>
    <row r="651" spans="1:13" ht="15" customHeight="1" x14ac:dyDescent="0.2">
      <c r="A651" s="49">
        <v>45941</v>
      </c>
      <c r="B651">
        <v>2025</v>
      </c>
      <c r="C651" t="s">
        <v>7217</v>
      </c>
      <c r="D651" t="s">
        <v>7240</v>
      </c>
      <c r="E651">
        <v>10</v>
      </c>
      <c r="F651" t="s">
        <v>7219</v>
      </c>
      <c r="G651" t="s">
        <v>7220</v>
      </c>
      <c r="H651" t="s">
        <v>7241</v>
      </c>
      <c r="I651" s="49">
        <v>45931</v>
      </c>
      <c r="J651">
        <v>11</v>
      </c>
      <c r="K651" t="s">
        <v>7188</v>
      </c>
      <c r="L651" t="b">
        <f>TRUE()</f>
        <v>1</v>
      </c>
      <c r="M651">
        <v>41</v>
      </c>
    </row>
    <row r="652" spans="1:13" ht="15" customHeight="1" x14ac:dyDescent="0.2">
      <c r="A652" s="49">
        <v>45942</v>
      </c>
      <c r="B652">
        <v>2025</v>
      </c>
      <c r="C652" t="s">
        <v>7217</v>
      </c>
      <c r="D652" t="s">
        <v>7240</v>
      </c>
      <c r="E652">
        <v>10</v>
      </c>
      <c r="F652" t="s">
        <v>7219</v>
      </c>
      <c r="G652" t="s">
        <v>7220</v>
      </c>
      <c r="H652" t="s">
        <v>7241</v>
      </c>
      <c r="I652" s="49">
        <v>45931</v>
      </c>
      <c r="J652">
        <v>12</v>
      </c>
      <c r="K652" t="s">
        <v>7189</v>
      </c>
      <c r="L652" t="b">
        <f>TRUE()</f>
        <v>1</v>
      </c>
      <c r="M652">
        <v>41</v>
      </c>
    </row>
    <row r="653" spans="1:13" ht="15" customHeight="1" x14ac:dyDescent="0.2">
      <c r="A653" s="49">
        <v>45943</v>
      </c>
      <c r="B653">
        <v>2025</v>
      </c>
      <c r="C653" t="s">
        <v>7217</v>
      </c>
      <c r="D653" t="s">
        <v>7240</v>
      </c>
      <c r="E653">
        <v>10</v>
      </c>
      <c r="F653" t="s">
        <v>7219</v>
      </c>
      <c r="G653" t="s">
        <v>7220</v>
      </c>
      <c r="H653" t="s">
        <v>7241</v>
      </c>
      <c r="I653" s="49">
        <v>45931</v>
      </c>
      <c r="J653">
        <v>13</v>
      </c>
      <c r="K653" t="s">
        <v>7183</v>
      </c>
      <c r="L653" t="b">
        <f>FALSE()</f>
        <v>0</v>
      </c>
      <c r="M653">
        <v>42</v>
      </c>
    </row>
    <row r="654" spans="1:13" ht="15" customHeight="1" x14ac:dyDescent="0.2">
      <c r="A654" s="49">
        <v>45944</v>
      </c>
      <c r="B654">
        <v>2025</v>
      </c>
      <c r="C654" t="s">
        <v>7217</v>
      </c>
      <c r="D654" t="s">
        <v>7240</v>
      </c>
      <c r="E654">
        <v>10</v>
      </c>
      <c r="F654" t="s">
        <v>7219</v>
      </c>
      <c r="G654" t="s">
        <v>7220</v>
      </c>
      <c r="H654" t="s">
        <v>7241</v>
      </c>
      <c r="I654" s="49">
        <v>45931</v>
      </c>
      <c r="J654">
        <v>14</v>
      </c>
      <c r="K654" t="s">
        <v>7184</v>
      </c>
      <c r="L654" t="b">
        <f>FALSE()</f>
        <v>0</v>
      </c>
      <c r="M654">
        <v>42</v>
      </c>
    </row>
    <row r="655" spans="1:13" ht="15" customHeight="1" x14ac:dyDescent="0.2">
      <c r="A655" s="49">
        <v>45945</v>
      </c>
      <c r="B655">
        <v>2025</v>
      </c>
      <c r="C655" t="s">
        <v>7217</v>
      </c>
      <c r="D655" t="s">
        <v>7240</v>
      </c>
      <c r="E655">
        <v>10</v>
      </c>
      <c r="F655" t="s">
        <v>7219</v>
      </c>
      <c r="G655" t="s">
        <v>7220</v>
      </c>
      <c r="H655" t="s">
        <v>7241</v>
      </c>
      <c r="I655" s="49">
        <v>45931</v>
      </c>
      <c r="J655">
        <v>15</v>
      </c>
      <c r="K655" t="s">
        <v>7185</v>
      </c>
      <c r="L655" t="b">
        <f>FALSE()</f>
        <v>0</v>
      </c>
      <c r="M655">
        <v>42</v>
      </c>
    </row>
    <row r="656" spans="1:13" ht="15" customHeight="1" x14ac:dyDescent="0.2">
      <c r="A656" s="49">
        <v>45946</v>
      </c>
      <c r="B656">
        <v>2025</v>
      </c>
      <c r="C656" t="s">
        <v>7217</v>
      </c>
      <c r="D656" t="s">
        <v>7240</v>
      </c>
      <c r="E656">
        <v>10</v>
      </c>
      <c r="F656" t="s">
        <v>7219</v>
      </c>
      <c r="G656" t="s">
        <v>7220</v>
      </c>
      <c r="H656" t="s">
        <v>7241</v>
      </c>
      <c r="I656" s="49">
        <v>45931</v>
      </c>
      <c r="J656">
        <v>16</v>
      </c>
      <c r="K656" t="s">
        <v>7186</v>
      </c>
      <c r="L656" t="b">
        <f>FALSE()</f>
        <v>0</v>
      </c>
      <c r="M656">
        <v>42</v>
      </c>
    </row>
    <row r="657" spans="1:13" ht="15" customHeight="1" x14ac:dyDescent="0.2">
      <c r="A657" s="49">
        <v>45947</v>
      </c>
      <c r="B657">
        <v>2025</v>
      </c>
      <c r="C657" t="s">
        <v>7217</v>
      </c>
      <c r="D657" t="s">
        <v>7240</v>
      </c>
      <c r="E657">
        <v>10</v>
      </c>
      <c r="F657" t="s">
        <v>7219</v>
      </c>
      <c r="G657" t="s">
        <v>7220</v>
      </c>
      <c r="H657" t="s">
        <v>7241</v>
      </c>
      <c r="I657" s="49">
        <v>45931</v>
      </c>
      <c r="J657">
        <v>17</v>
      </c>
      <c r="K657" t="s">
        <v>7187</v>
      </c>
      <c r="L657" t="b">
        <f>FALSE()</f>
        <v>0</v>
      </c>
      <c r="M657">
        <v>42</v>
      </c>
    </row>
    <row r="658" spans="1:13" ht="15" customHeight="1" x14ac:dyDescent="0.2">
      <c r="A658" s="49">
        <v>45948</v>
      </c>
      <c r="B658">
        <v>2025</v>
      </c>
      <c r="C658" t="s">
        <v>7217</v>
      </c>
      <c r="D658" t="s">
        <v>7240</v>
      </c>
      <c r="E658">
        <v>10</v>
      </c>
      <c r="F658" t="s">
        <v>7219</v>
      </c>
      <c r="G658" t="s">
        <v>7220</v>
      </c>
      <c r="H658" t="s">
        <v>7241</v>
      </c>
      <c r="I658" s="49">
        <v>45931</v>
      </c>
      <c r="J658">
        <v>18</v>
      </c>
      <c r="K658" t="s">
        <v>7188</v>
      </c>
      <c r="L658" t="b">
        <f>TRUE()</f>
        <v>1</v>
      </c>
      <c r="M658">
        <v>42</v>
      </c>
    </row>
    <row r="659" spans="1:13" ht="15" customHeight="1" x14ac:dyDescent="0.2">
      <c r="A659" s="49">
        <v>45949</v>
      </c>
      <c r="B659">
        <v>2025</v>
      </c>
      <c r="C659" t="s">
        <v>7217</v>
      </c>
      <c r="D659" t="s">
        <v>7240</v>
      </c>
      <c r="E659">
        <v>10</v>
      </c>
      <c r="F659" t="s">
        <v>7219</v>
      </c>
      <c r="G659" t="s">
        <v>7220</v>
      </c>
      <c r="H659" t="s">
        <v>7241</v>
      </c>
      <c r="I659" s="49">
        <v>45931</v>
      </c>
      <c r="J659">
        <v>19</v>
      </c>
      <c r="K659" t="s">
        <v>7189</v>
      </c>
      <c r="L659" t="b">
        <f>TRUE()</f>
        <v>1</v>
      </c>
      <c r="M659">
        <v>42</v>
      </c>
    </row>
    <row r="660" spans="1:13" ht="15" customHeight="1" x14ac:dyDescent="0.2">
      <c r="A660" s="49">
        <v>45950</v>
      </c>
      <c r="B660">
        <v>2025</v>
      </c>
      <c r="C660" t="s">
        <v>7217</v>
      </c>
      <c r="D660" t="s">
        <v>7240</v>
      </c>
      <c r="E660">
        <v>10</v>
      </c>
      <c r="F660" t="s">
        <v>7219</v>
      </c>
      <c r="G660" t="s">
        <v>7220</v>
      </c>
      <c r="H660" t="s">
        <v>7241</v>
      </c>
      <c r="I660" s="49">
        <v>45931</v>
      </c>
      <c r="J660">
        <v>20</v>
      </c>
      <c r="K660" t="s">
        <v>7183</v>
      </c>
      <c r="L660" t="b">
        <f>FALSE()</f>
        <v>0</v>
      </c>
      <c r="M660">
        <v>43</v>
      </c>
    </row>
    <row r="661" spans="1:13" ht="15" customHeight="1" x14ac:dyDescent="0.2">
      <c r="A661" s="49">
        <v>45951</v>
      </c>
      <c r="B661">
        <v>2025</v>
      </c>
      <c r="C661" t="s">
        <v>7217</v>
      </c>
      <c r="D661" t="s">
        <v>7240</v>
      </c>
      <c r="E661">
        <v>10</v>
      </c>
      <c r="F661" t="s">
        <v>7219</v>
      </c>
      <c r="G661" t="s">
        <v>7220</v>
      </c>
      <c r="H661" t="s">
        <v>7241</v>
      </c>
      <c r="I661" s="49">
        <v>45931</v>
      </c>
      <c r="J661">
        <v>21</v>
      </c>
      <c r="K661" t="s">
        <v>7184</v>
      </c>
      <c r="L661" t="b">
        <f>FALSE()</f>
        <v>0</v>
      </c>
      <c r="M661">
        <v>43</v>
      </c>
    </row>
    <row r="662" spans="1:13" ht="15" customHeight="1" x14ac:dyDescent="0.2">
      <c r="A662" s="49">
        <v>45952</v>
      </c>
      <c r="B662">
        <v>2025</v>
      </c>
      <c r="C662" t="s">
        <v>7217</v>
      </c>
      <c r="D662" t="s">
        <v>7240</v>
      </c>
      <c r="E662">
        <v>10</v>
      </c>
      <c r="F662" t="s">
        <v>7219</v>
      </c>
      <c r="G662" t="s">
        <v>7220</v>
      </c>
      <c r="H662" t="s">
        <v>7241</v>
      </c>
      <c r="I662" s="49">
        <v>45931</v>
      </c>
      <c r="J662">
        <v>22</v>
      </c>
      <c r="K662" t="s">
        <v>7185</v>
      </c>
      <c r="L662" t="b">
        <f>FALSE()</f>
        <v>0</v>
      </c>
      <c r="M662">
        <v>43</v>
      </c>
    </row>
    <row r="663" spans="1:13" ht="15" customHeight="1" x14ac:dyDescent="0.2">
      <c r="A663" s="49">
        <v>45953</v>
      </c>
      <c r="B663">
        <v>2025</v>
      </c>
      <c r="C663" t="s">
        <v>7217</v>
      </c>
      <c r="D663" t="s">
        <v>7240</v>
      </c>
      <c r="E663">
        <v>10</v>
      </c>
      <c r="F663" t="s">
        <v>7219</v>
      </c>
      <c r="G663" t="s">
        <v>7220</v>
      </c>
      <c r="H663" t="s">
        <v>7241</v>
      </c>
      <c r="I663" s="49">
        <v>45931</v>
      </c>
      <c r="J663">
        <v>23</v>
      </c>
      <c r="K663" t="s">
        <v>7186</v>
      </c>
      <c r="L663" t="b">
        <f>FALSE()</f>
        <v>0</v>
      </c>
      <c r="M663">
        <v>43</v>
      </c>
    </row>
    <row r="664" spans="1:13" ht="15" customHeight="1" x14ac:dyDescent="0.2">
      <c r="A664" s="49">
        <v>45954</v>
      </c>
      <c r="B664">
        <v>2025</v>
      </c>
      <c r="C664" t="s">
        <v>7217</v>
      </c>
      <c r="D664" t="s">
        <v>7240</v>
      </c>
      <c r="E664">
        <v>10</v>
      </c>
      <c r="F664" t="s">
        <v>7219</v>
      </c>
      <c r="G664" t="s">
        <v>7220</v>
      </c>
      <c r="H664" t="s">
        <v>7241</v>
      </c>
      <c r="I664" s="49">
        <v>45931</v>
      </c>
      <c r="J664">
        <v>24</v>
      </c>
      <c r="K664" t="s">
        <v>7187</v>
      </c>
      <c r="L664" t="b">
        <f>FALSE()</f>
        <v>0</v>
      </c>
      <c r="M664">
        <v>43</v>
      </c>
    </row>
    <row r="665" spans="1:13" ht="15" customHeight="1" x14ac:dyDescent="0.2">
      <c r="A665" s="49">
        <v>45955</v>
      </c>
      <c r="B665">
        <v>2025</v>
      </c>
      <c r="C665" t="s">
        <v>7217</v>
      </c>
      <c r="D665" t="s">
        <v>7240</v>
      </c>
      <c r="E665">
        <v>10</v>
      </c>
      <c r="F665" t="s">
        <v>7219</v>
      </c>
      <c r="G665" t="s">
        <v>7220</v>
      </c>
      <c r="H665" t="s">
        <v>7241</v>
      </c>
      <c r="I665" s="49">
        <v>45931</v>
      </c>
      <c r="J665">
        <v>25</v>
      </c>
      <c r="K665" t="s">
        <v>7188</v>
      </c>
      <c r="L665" t="b">
        <f>TRUE()</f>
        <v>1</v>
      </c>
      <c r="M665">
        <v>43</v>
      </c>
    </row>
    <row r="666" spans="1:13" ht="15" customHeight="1" x14ac:dyDescent="0.2">
      <c r="A666" s="49">
        <v>45956</v>
      </c>
      <c r="B666">
        <v>2025</v>
      </c>
      <c r="C666" t="s">
        <v>7217</v>
      </c>
      <c r="D666" t="s">
        <v>7240</v>
      </c>
      <c r="E666">
        <v>10</v>
      </c>
      <c r="F666" t="s">
        <v>7219</v>
      </c>
      <c r="G666" t="s">
        <v>7220</v>
      </c>
      <c r="H666" t="s">
        <v>7241</v>
      </c>
      <c r="I666" s="49">
        <v>45931</v>
      </c>
      <c r="J666">
        <v>26</v>
      </c>
      <c r="K666" t="s">
        <v>7189</v>
      </c>
      <c r="L666" t="b">
        <f>TRUE()</f>
        <v>1</v>
      </c>
      <c r="M666">
        <v>43</v>
      </c>
    </row>
    <row r="667" spans="1:13" ht="15" customHeight="1" x14ac:dyDescent="0.2">
      <c r="A667" s="49">
        <v>45957</v>
      </c>
      <c r="B667">
        <v>2025</v>
      </c>
      <c r="C667" t="s">
        <v>7217</v>
      </c>
      <c r="D667" t="s">
        <v>7240</v>
      </c>
      <c r="E667">
        <v>10</v>
      </c>
      <c r="F667" t="s">
        <v>7219</v>
      </c>
      <c r="G667" t="s">
        <v>7220</v>
      </c>
      <c r="H667" t="s">
        <v>7241</v>
      </c>
      <c r="I667" s="49">
        <v>45931</v>
      </c>
      <c r="J667">
        <v>27</v>
      </c>
      <c r="K667" t="s">
        <v>7183</v>
      </c>
      <c r="L667" t="b">
        <f>FALSE()</f>
        <v>0</v>
      </c>
      <c r="M667">
        <v>44</v>
      </c>
    </row>
    <row r="668" spans="1:13" ht="15" customHeight="1" x14ac:dyDescent="0.2">
      <c r="A668" s="49">
        <v>45958</v>
      </c>
      <c r="B668">
        <v>2025</v>
      </c>
      <c r="C668" t="s">
        <v>7217</v>
      </c>
      <c r="D668" t="s">
        <v>7240</v>
      </c>
      <c r="E668">
        <v>10</v>
      </c>
      <c r="F668" t="s">
        <v>7219</v>
      </c>
      <c r="G668" t="s">
        <v>7220</v>
      </c>
      <c r="H668" t="s">
        <v>7241</v>
      </c>
      <c r="I668" s="49">
        <v>45931</v>
      </c>
      <c r="J668">
        <v>28</v>
      </c>
      <c r="K668" t="s">
        <v>7184</v>
      </c>
      <c r="L668" t="b">
        <f>FALSE()</f>
        <v>0</v>
      </c>
      <c r="M668">
        <v>44</v>
      </c>
    </row>
    <row r="669" spans="1:13" ht="15" customHeight="1" x14ac:dyDescent="0.2">
      <c r="A669" s="49">
        <v>45959</v>
      </c>
      <c r="B669">
        <v>2025</v>
      </c>
      <c r="C669" t="s">
        <v>7217</v>
      </c>
      <c r="D669" t="s">
        <v>7240</v>
      </c>
      <c r="E669">
        <v>10</v>
      </c>
      <c r="F669" t="s">
        <v>7219</v>
      </c>
      <c r="G669" t="s">
        <v>7220</v>
      </c>
      <c r="H669" t="s">
        <v>7241</v>
      </c>
      <c r="I669" s="49">
        <v>45931</v>
      </c>
      <c r="J669">
        <v>29</v>
      </c>
      <c r="K669" t="s">
        <v>7185</v>
      </c>
      <c r="L669" t="b">
        <f>FALSE()</f>
        <v>0</v>
      </c>
      <c r="M669">
        <v>44</v>
      </c>
    </row>
    <row r="670" spans="1:13" ht="15" customHeight="1" x14ac:dyDescent="0.2">
      <c r="A670" s="49">
        <v>45960</v>
      </c>
      <c r="B670">
        <v>2025</v>
      </c>
      <c r="C670" t="s">
        <v>7217</v>
      </c>
      <c r="D670" t="s">
        <v>7240</v>
      </c>
      <c r="E670">
        <v>10</v>
      </c>
      <c r="F670" t="s">
        <v>7219</v>
      </c>
      <c r="G670" t="s">
        <v>7220</v>
      </c>
      <c r="H670" t="s">
        <v>7241</v>
      </c>
      <c r="I670" s="49">
        <v>45931</v>
      </c>
      <c r="J670">
        <v>30</v>
      </c>
      <c r="K670" t="s">
        <v>7186</v>
      </c>
      <c r="L670" t="b">
        <f>FALSE()</f>
        <v>0</v>
      </c>
      <c r="M670">
        <v>44</v>
      </c>
    </row>
    <row r="671" spans="1:13" ht="15" customHeight="1" x14ac:dyDescent="0.2">
      <c r="A671" s="49">
        <v>45961</v>
      </c>
      <c r="B671">
        <v>2025</v>
      </c>
      <c r="C671" t="s">
        <v>7217</v>
      </c>
      <c r="D671" t="s">
        <v>7240</v>
      </c>
      <c r="E671">
        <v>10</v>
      </c>
      <c r="F671" t="s">
        <v>7219</v>
      </c>
      <c r="G671" t="s">
        <v>7220</v>
      </c>
      <c r="H671" t="s">
        <v>7241</v>
      </c>
      <c r="I671" s="49">
        <v>45931</v>
      </c>
      <c r="J671">
        <v>31</v>
      </c>
      <c r="K671" t="s">
        <v>7187</v>
      </c>
      <c r="L671" t="b">
        <f>FALSE()</f>
        <v>0</v>
      </c>
      <c r="M671">
        <v>44</v>
      </c>
    </row>
    <row r="672" spans="1:13" ht="15" customHeight="1" x14ac:dyDescent="0.2">
      <c r="A672" s="49">
        <v>45962</v>
      </c>
      <c r="B672">
        <v>2025</v>
      </c>
      <c r="C672" t="s">
        <v>7217</v>
      </c>
      <c r="D672" t="s">
        <v>7240</v>
      </c>
      <c r="E672">
        <v>11</v>
      </c>
      <c r="F672" t="s">
        <v>7222</v>
      </c>
      <c r="G672" t="s">
        <v>7223</v>
      </c>
      <c r="H672" t="s">
        <v>7242</v>
      </c>
      <c r="I672" s="49">
        <v>45962</v>
      </c>
      <c r="J672">
        <v>1</v>
      </c>
      <c r="K672" t="s">
        <v>7188</v>
      </c>
      <c r="L672" t="b">
        <f>TRUE()</f>
        <v>1</v>
      </c>
      <c r="M672">
        <v>44</v>
      </c>
    </row>
    <row r="673" spans="1:13" ht="15" customHeight="1" x14ac:dyDescent="0.2">
      <c r="A673" s="49">
        <v>45963</v>
      </c>
      <c r="B673">
        <v>2025</v>
      </c>
      <c r="C673" t="s">
        <v>7217</v>
      </c>
      <c r="D673" t="s">
        <v>7240</v>
      </c>
      <c r="E673">
        <v>11</v>
      </c>
      <c r="F673" t="s">
        <v>7222</v>
      </c>
      <c r="G673" t="s">
        <v>7223</v>
      </c>
      <c r="H673" t="s">
        <v>7242</v>
      </c>
      <c r="I673" s="49">
        <v>45962</v>
      </c>
      <c r="J673">
        <v>2</v>
      </c>
      <c r="K673" t="s">
        <v>7189</v>
      </c>
      <c r="L673" t="b">
        <f>TRUE()</f>
        <v>1</v>
      </c>
      <c r="M673">
        <v>44</v>
      </c>
    </row>
    <row r="674" spans="1:13" ht="15" customHeight="1" x14ac:dyDescent="0.2">
      <c r="A674" s="49">
        <v>45964</v>
      </c>
      <c r="B674">
        <v>2025</v>
      </c>
      <c r="C674" t="s">
        <v>7217</v>
      </c>
      <c r="D674" t="s">
        <v>7240</v>
      </c>
      <c r="E674">
        <v>11</v>
      </c>
      <c r="F674" t="s">
        <v>7222</v>
      </c>
      <c r="G674" t="s">
        <v>7223</v>
      </c>
      <c r="H674" t="s">
        <v>7242</v>
      </c>
      <c r="I674" s="49">
        <v>45962</v>
      </c>
      <c r="J674">
        <v>3</v>
      </c>
      <c r="K674" t="s">
        <v>7183</v>
      </c>
      <c r="L674" t="b">
        <f>FALSE()</f>
        <v>0</v>
      </c>
      <c r="M674">
        <v>45</v>
      </c>
    </row>
    <row r="675" spans="1:13" ht="15" customHeight="1" x14ac:dyDescent="0.2">
      <c r="A675" s="49">
        <v>45965</v>
      </c>
      <c r="B675">
        <v>2025</v>
      </c>
      <c r="C675" t="s">
        <v>7217</v>
      </c>
      <c r="D675" t="s">
        <v>7240</v>
      </c>
      <c r="E675">
        <v>11</v>
      </c>
      <c r="F675" t="s">
        <v>7222</v>
      </c>
      <c r="G675" t="s">
        <v>7223</v>
      </c>
      <c r="H675" t="s">
        <v>7242</v>
      </c>
      <c r="I675" s="49">
        <v>45962</v>
      </c>
      <c r="J675">
        <v>4</v>
      </c>
      <c r="K675" t="s">
        <v>7184</v>
      </c>
      <c r="L675" t="b">
        <f>FALSE()</f>
        <v>0</v>
      </c>
      <c r="M675">
        <v>45</v>
      </c>
    </row>
    <row r="676" spans="1:13" ht="15" customHeight="1" x14ac:dyDescent="0.2">
      <c r="A676" s="49">
        <v>45966</v>
      </c>
      <c r="B676">
        <v>2025</v>
      </c>
      <c r="C676" t="s">
        <v>7217</v>
      </c>
      <c r="D676" t="s">
        <v>7240</v>
      </c>
      <c r="E676">
        <v>11</v>
      </c>
      <c r="F676" t="s">
        <v>7222</v>
      </c>
      <c r="G676" t="s">
        <v>7223</v>
      </c>
      <c r="H676" t="s">
        <v>7242</v>
      </c>
      <c r="I676" s="49">
        <v>45962</v>
      </c>
      <c r="J676">
        <v>5</v>
      </c>
      <c r="K676" t="s">
        <v>7185</v>
      </c>
      <c r="L676" t="b">
        <f>FALSE()</f>
        <v>0</v>
      </c>
      <c r="M676">
        <v>45</v>
      </c>
    </row>
    <row r="677" spans="1:13" ht="15" customHeight="1" x14ac:dyDescent="0.2">
      <c r="A677" s="49">
        <v>45967</v>
      </c>
      <c r="B677">
        <v>2025</v>
      </c>
      <c r="C677" t="s">
        <v>7217</v>
      </c>
      <c r="D677" t="s">
        <v>7240</v>
      </c>
      <c r="E677">
        <v>11</v>
      </c>
      <c r="F677" t="s">
        <v>7222</v>
      </c>
      <c r="G677" t="s">
        <v>7223</v>
      </c>
      <c r="H677" t="s">
        <v>7242</v>
      </c>
      <c r="I677" s="49">
        <v>45962</v>
      </c>
      <c r="J677">
        <v>6</v>
      </c>
      <c r="K677" t="s">
        <v>7186</v>
      </c>
      <c r="L677" t="b">
        <f>FALSE()</f>
        <v>0</v>
      </c>
      <c r="M677">
        <v>45</v>
      </c>
    </row>
    <row r="678" spans="1:13" ht="15" customHeight="1" x14ac:dyDescent="0.2">
      <c r="A678" s="49">
        <v>45968</v>
      </c>
      <c r="B678">
        <v>2025</v>
      </c>
      <c r="C678" t="s">
        <v>7217</v>
      </c>
      <c r="D678" t="s">
        <v>7240</v>
      </c>
      <c r="E678">
        <v>11</v>
      </c>
      <c r="F678" t="s">
        <v>7222</v>
      </c>
      <c r="G678" t="s">
        <v>7223</v>
      </c>
      <c r="H678" t="s">
        <v>7242</v>
      </c>
      <c r="I678" s="49">
        <v>45962</v>
      </c>
      <c r="J678">
        <v>7</v>
      </c>
      <c r="K678" t="s">
        <v>7187</v>
      </c>
      <c r="L678" t="b">
        <f>FALSE()</f>
        <v>0</v>
      </c>
      <c r="M678">
        <v>45</v>
      </c>
    </row>
    <row r="679" spans="1:13" ht="15" customHeight="1" x14ac:dyDescent="0.2">
      <c r="A679" s="49">
        <v>45969</v>
      </c>
      <c r="B679">
        <v>2025</v>
      </c>
      <c r="C679" t="s">
        <v>7217</v>
      </c>
      <c r="D679" t="s">
        <v>7240</v>
      </c>
      <c r="E679">
        <v>11</v>
      </c>
      <c r="F679" t="s">
        <v>7222</v>
      </c>
      <c r="G679" t="s">
        <v>7223</v>
      </c>
      <c r="H679" t="s">
        <v>7242</v>
      </c>
      <c r="I679" s="49">
        <v>45962</v>
      </c>
      <c r="J679">
        <v>8</v>
      </c>
      <c r="K679" t="s">
        <v>7188</v>
      </c>
      <c r="L679" t="b">
        <f>TRUE()</f>
        <v>1</v>
      </c>
      <c r="M679">
        <v>45</v>
      </c>
    </row>
    <row r="680" spans="1:13" ht="15" customHeight="1" x14ac:dyDescent="0.2">
      <c r="A680" s="49">
        <v>45970</v>
      </c>
      <c r="B680">
        <v>2025</v>
      </c>
      <c r="C680" t="s">
        <v>7217</v>
      </c>
      <c r="D680" t="s">
        <v>7240</v>
      </c>
      <c r="E680">
        <v>11</v>
      </c>
      <c r="F680" t="s">
        <v>7222</v>
      </c>
      <c r="G680" t="s">
        <v>7223</v>
      </c>
      <c r="H680" t="s">
        <v>7242</v>
      </c>
      <c r="I680" s="49">
        <v>45962</v>
      </c>
      <c r="J680">
        <v>9</v>
      </c>
      <c r="K680" t="s">
        <v>7189</v>
      </c>
      <c r="L680" t="b">
        <f>TRUE()</f>
        <v>1</v>
      </c>
      <c r="M680">
        <v>45</v>
      </c>
    </row>
    <row r="681" spans="1:13" ht="15" customHeight="1" x14ac:dyDescent="0.2">
      <c r="A681" s="49">
        <v>45971</v>
      </c>
      <c r="B681">
        <v>2025</v>
      </c>
      <c r="C681" t="s">
        <v>7217</v>
      </c>
      <c r="D681" t="s">
        <v>7240</v>
      </c>
      <c r="E681">
        <v>11</v>
      </c>
      <c r="F681" t="s">
        <v>7222</v>
      </c>
      <c r="G681" t="s">
        <v>7223</v>
      </c>
      <c r="H681" t="s">
        <v>7242</v>
      </c>
      <c r="I681" s="49">
        <v>45962</v>
      </c>
      <c r="J681">
        <v>10</v>
      </c>
      <c r="K681" t="s">
        <v>7183</v>
      </c>
      <c r="L681" t="b">
        <f>FALSE()</f>
        <v>0</v>
      </c>
      <c r="M681">
        <v>46</v>
      </c>
    </row>
    <row r="682" spans="1:13" ht="15" customHeight="1" x14ac:dyDescent="0.2">
      <c r="A682" s="49">
        <v>45972</v>
      </c>
      <c r="B682">
        <v>2025</v>
      </c>
      <c r="C682" t="s">
        <v>7217</v>
      </c>
      <c r="D682" t="s">
        <v>7240</v>
      </c>
      <c r="E682">
        <v>11</v>
      </c>
      <c r="F682" t="s">
        <v>7222</v>
      </c>
      <c r="G682" t="s">
        <v>7223</v>
      </c>
      <c r="H682" t="s">
        <v>7242</v>
      </c>
      <c r="I682" s="49">
        <v>45962</v>
      </c>
      <c r="J682">
        <v>11</v>
      </c>
      <c r="K682" t="s">
        <v>7184</v>
      </c>
      <c r="L682" t="b">
        <f>FALSE()</f>
        <v>0</v>
      </c>
      <c r="M682">
        <v>46</v>
      </c>
    </row>
    <row r="683" spans="1:13" ht="15" customHeight="1" x14ac:dyDescent="0.2">
      <c r="A683" s="49">
        <v>45973</v>
      </c>
      <c r="B683">
        <v>2025</v>
      </c>
      <c r="C683" t="s">
        <v>7217</v>
      </c>
      <c r="D683" t="s">
        <v>7240</v>
      </c>
      <c r="E683">
        <v>11</v>
      </c>
      <c r="F683" t="s">
        <v>7222</v>
      </c>
      <c r="G683" t="s">
        <v>7223</v>
      </c>
      <c r="H683" t="s">
        <v>7242</v>
      </c>
      <c r="I683" s="49">
        <v>45962</v>
      </c>
      <c r="J683">
        <v>12</v>
      </c>
      <c r="K683" t="s">
        <v>7185</v>
      </c>
      <c r="L683" t="b">
        <f>FALSE()</f>
        <v>0</v>
      </c>
      <c r="M683">
        <v>46</v>
      </c>
    </row>
    <row r="684" spans="1:13" ht="15" customHeight="1" x14ac:dyDescent="0.2">
      <c r="A684" s="49">
        <v>45974</v>
      </c>
      <c r="B684">
        <v>2025</v>
      </c>
      <c r="C684" t="s">
        <v>7217</v>
      </c>
      <c r="D684" t="s">
        <v>7240</v>
      </c>
      <c r="E684">
        <v>11</v>
      </c>
      <c r="F684" t="s">
        <v>7222</v>
      </c>
      <c r="G684" t="s">
        <v>7223</v>
      </c>
      <c r="H684" t="s">
        <v>7242</v>
      </c>
      <c r="I684" s="49">
        <v>45962</v>
      </c>
      <c r="J684">
        <v>13</v>
      </c>
      <c r="K684" t="s">
        <v>7186</v>
      </c>
      <c r="L684" t="b">
        <f>FALSE()</f>
        <v>0</v>
      </c>
      <c r="M684">
        <v>46</v>
      </c>
    </row>
    <row r="685" spans="1:13" ht="15" customHeight="1" x14ac:dyDescent="0.2">
      <c r="A685" s="49">
        <v>45975</v>
      </c>
      <c r="B685">
        <v>2025</v>
      </c>
      <c r="C685" t="s">
        <v>7217</v>
      </c>
      <c r="D685" t="s">
        <v>7240</v>
      </c>
      <c r="E685">
        <v>11</v>
      </c>
      <c r="F685" t="s">
        <v>7222</v>
      </c>
      <c r="G685" t="s">
        <v>7223</v>
      </c>
      <c r="H685" t="s">
        <v>7242</v>
      </c>
      <c r="I685" s="49">
        <v>45962</v>
      </c>
      <c r="J685">
        <v>14</v>
      </c>
      <c r="K685" t="s">
        <v>7187</v>
      </c>
      <c r="L685" t="b">
        <f>FALSE()</f>
        <v>0</v>
      </c>
      <c r="M685">
        <v>46</v>
      </c>
    </row>
    <row r="686" spans="1:13" ht="15" customHeight="1" x14ac:dyDescent="0.2">
      <c r="A686" s="49">
        <v>45976</v>
      </c>
      <c r="B686">
        <v>2025</v>
      </c>
      <c r="C686" t="s">
        <v>7217</v>
      </c>
      <c r="D686" t="s">
        <v>7240</v>
      </c>
      <c r="E686">
        <v>11</v>
      </c>
      <c r="F686" t="s">
        <v>7222</v>
      </c>
      <c r="G686" t="s">
        <v>7223</v>
      </c>
      <c r="H686" t="s">
        <v>7242</v>
      </c>
      <c r="I686" s="49">
        <v>45962</v>
      </c>
      <c r="J686">
        <v>15</v>
      </c>
      <c r="K686" t="s">
        <v>7188</v>
      </c>
      <c r="L686" t="b">
        <f>TRUE()</f>
        <v>1</v>
      </c>
      <c r="M686">
        <v>46</v>
      </c>
    </row>
    <row r="687" spans="1:13" ht="15" customHeight="1" x14ac:dyDescent="0.2">
      <c r="A687" s="49">
        <v>45977</v>
      </c>
      <c r="B687">
        <v>2025</v>
      </c>
      <c r="C687" t="s">
        <v>7217</v>
      </c>
      <c r="D687" t="s">
        <v>7240</v>
      </c>
      <c r="E687">
        <v>11</v>
      </c>
      <c r="F687" t="s">
        <v>7222</v>
      </c>
      <c r="G687" t="s">
        <v>7223</v>
      </c>
      <c r="H687" t="s">
        <v>7242</v>
      </c>
      <c r="I687" s="49">
        <v>45962</v>
      </c>
      <c r="J687">
        <v>16</v>
      </c>
      <c r="K687" t="s">
        <v>7189</v>
      </c>
      <c r="L687" t="b">
        <f>TRUE()</f>
        <v>1</v>
      </c>
      <c r="M687">
        <v>46</v>
      </c>
    </row>
    <row r="688" spans="1:13" ht="15" customHeight="1" x14ac:dyDescent="0.2">
      <c r="A688" s="49">
        <v>45978</v>
      </c>
      <c r="B688">
        <v>2025</v>
      </c>
      <c r="C688" t="s">
        <v>7217</v>
      </c>
      <c r="D688" t="s">
        <v>7240</v>
      </c>
      <c r="E688">
        <v>11</v>
      </c>
      <c r="F688" t="s">
        <v>7222</v>
      </c>
      <c r="G688" t="s">
        <v>7223</v>
      </c>
      <c r="H688" t="s">
        <v>7242</v>
      </c>
      <c r="I688" s="49">
        <v>45962</v>
      </c>
      <c r="J688">
        <v>17</v>
      </c>
      <c r="K688" t="s">
        <v>7183</v>
      </c>
      <c r="L688" t="b">
        <f>FALSE()</f>
        <v>0</v>
      </c>
      <c r="M688">
        <v>47</v>
      </c>
    </row>
    <row r="689" spans="1:13" ht="15" customHeight="1" x14ac:dyDescent="0.2">
      <c r="A689" s="49">
        <v>45979</v>
      </c>
      <c r="B689">
        <v>2025</v>
      </c>
      <c r="C689" t="s">
        <v>7217</v>
      </c>
      <c r="D689" t="s">
        <v>7240</v>
      </c>
      <c r="E689">
        <v>11</v>
      </c>
      <c r="F689" t="s">
        <v>7222</v>
      </c>
      <c r="G689" t="s">
        <v>7223</v>
      </c>
      <c r="H689" t="s">
        <v>7242</v>
      </c>
      <c r="I689" s="49">
        <v>45962</v>
      </c>
      <c r="J689">
        <v>18</v>
      </c>
      <c r="K689" t="s">
        <v>7184</v>
      </c>
      <c r="L689" t="b">
        <f>FALSE()</f>
        <v>0</v>
      </c>
      <c r="M689">
        <v>47</v>
      </c>
    </row>
    <row r="690" spans="1:13" ht="15" customHeight="1" x14ac:dyDescent="0.2">
      <c r="A690" s="49">
        <v>45980</v>
      </c>
      <c r="B690">
        <v>2025</v>
      </c>
      <c r="C690" t="s">
        <v>7217</v>
      </c>
      <c r="D690" t="s">
        <v>7240</v>
      </c>
      <c r="E690">
        <v>11</v>
      </c>
      <c r="F690" t="s">
        <v>7222</v>
      </c>
      <c r="G690" t="s">
        <v>7223</v>
      </c>
      <c r="H690" t="s">
        <v>7242</v>
      </c>
      <c r="I690" s="49">
        <v>45962</v>
      </c>
      <c r="J690">
        <v>19</v>
      </c>
      <c r="K690" t="s">
        <v>7185</v>
      </c>
      <c r="L690" t="b">
        <f>FALSE()</f>
        <v>0</v>
      </c>
      <c r="M690">
        <v>47</v>
      </c>
    </row>
    <row r="691" spans="1:13" ht="15" customHeight="1" x14ac:dyDescent="0.2">
      <c r="A691" s="49">
        <v>45981</v>
      </c>
      <c r="B691">
        <v>2025</v>
      </c>
      <c r="C691" t="s">
        <v>7217</v>
      </c>
      <c r="D691" t="s">
        <v>7240</v>
      </c>
      <c r="E691">
        <v>11</v>
      </c>
      <c r="F691" t="s">
        <v>7222</v>
      </c>
      <c r="G691" t="s">
        <v>7223</v>
      </c>
      <c r="H691" t="s">
        <v>7242</v>
      </c>
      <c r="I691" s="49">
        <v>45962</v>
      </c>
      <c r="J691">
        <v>20</v>
      </c>
      <c r="K691" t="s">
        <v>7186</v>
      </c>
      <c r="L691" t="b">
        <f>FALSE()</f>
        <v>0</v>
      </c>
      <c r="M691">
        <v>47</v>
      </c>
    </row>
    <row r="692" spans="1:13" ht="15" customHeight="1" x14ac:dyDescent="0.2">
      <c r="A692" s="49">
        <v>45982</v>
      </c>
      <c r="B692">
        <v>2025</v>
      </c>
      <c r="C692" t="s">
        <v>7217</v>
      </c>
      <c r="D692" t="s">
        <v>7240</v>
      </c>
      <c r="E692">
        <v>11</v>
      </c>
      <c r="F692" t="s">
        <v>7222</v>
      </c>
      <c r="G692" t="s">
        <v>7223</v>
      </c>
      <c r="H692" t="s">
        <v>7242</v>
      </c>
      <c r="I692" s="49">
        <v>45962</v>
      </c>
      <c r="J692">
        <v>21</v>
      </c>
      <c r="K692" t="s">
        <v>7187</v>
      </c>
      <c r="L692" t="b">
        <f>FALSE()</f>
        <v>0</v>
      </c>
      <c r="M692">
        <v>47</v>
      </c>
    </row>
    <row r="693" spans="1:13" ht="15" customHeight="1" x14ac:dyDescent="0.2">
      <c r="A693" s="49">
        <v>45983</v>
      </c>
      <c r="B693">
        <v>2025</v>
      </c>
      <c r="C693" t="s">
        <v>7217</v>
      </c>
      <c r="D693" t="s">
        <v>7240</v>
      </c>
      <c r="E693">
        <v>11</v>
      </c>
      <c r="F693" t="s">
        <v>7222</v>
      </c>
      <c r="G693" t="s">
        <v>7223</v>
      </c>
      <c r="H693" t="s">
        <v>7242</v>
      </c>
      <c r="I693" s="49">
        <v>45962</v>
      </c>
      <c r="J693">
        <v>22</v>
      </c>
      <c r="K693" t="s">
        <v>7188</v>
      </c>
      <c r="L693" t="b">
        <f>TRUE()</f>
        <v>1</v>
      </c>
      <c r="M693">
        <v>47</v>
      </c>
    </row>
    <row r="694" spans="1:13" ht="15" customHeight="1" x14ac:dyDescent="0.2">
      <c r="A694" s="49">
        <v>45984</v>
      </c>
      <c r="B694">
        <v>2025</v>
      </c>
      <c r="C694" t="s">
        <v>7217</v>
      </c>
      <c r="D694" t="s">
        <v>7240</v>
      </c>
      <c r="E694">
        <v>11</v>
      </c>
      <c r="F694" t="s">
        <v>7222</v>
      </c>
      <c r="G694" t="s">
        <v>7223</v>
      </c>
      <c r="H694" t="s">
        <v>7242</v>
      </c>
      <c r="I694" s="49">
        <v>45962</v>
      </c>
      <c r="J694">
        <v>23</v>
      </c>
      <c r="K694" t="s">
        <v>7189</v>
      </c>
      <c r="L694" t="b">
        <f>TRUE()</f>
        <v>1</v>
      </c>
      <c r="M694">
        <v>47</v>
      </c>
    </row>
    <row r="695" spans="1:13" ht="15" customHeight="1" x14ac:dyDescent="0.2">
      <c r="A695" s="49">
        <v>45985</v>
      </c>
      <c r="B695">
        <v>2025</v>
      </c>
      <c r="C695" t="s">
        <v>7217</v>
      </c>
      <c r="D695" t="s">
        <v>7240</v>
      </c>
      <c r="E695">
        <v>11</v>
      </c>
      <c r="F695" t="s">
        <v>7222</v>
      </c>
      <c r="G695" t="s">
        <v>7223</v>
      </c>
      <c r="H695" t="s">
        <v>7242</v>
      </c>
      <c r="I695" s="49">
        <v>45962</v>
      </c>
      <c r="J695">
        <v>24</v>
      </c>
      <c r="K695" t="s">
        <v>7183</v>
      </c>
      <c r="L695" t="b">
        <f>FALSE()</f>
        <v>0</v>
      </c>
      <c r="M695">
        <v>48</v>
      </c>
    </row>
    <row r="696" spans="1:13" ht="15" customHeight="1" x14ac:dyDescent="0.2">
      <c r="A696" s="49">
        <v>45986</v>
      </c>
      <c r="B696">
        <v>2025</v>
      </c>
      <c r="C696" t="s">
        <v>7217</v>
      </c>
      <c r="D696" t="s">
        <v>7240</v>
      </c>
      <c r="E696">
        <v>11</v>
      </c>
      <c r="F696" t="s">
        <v>7222</v>
      </c>
      <c r="G696" t="s">
        <v>7223</v>
      </c>
      <c r="H696" t="s">
        <v>7242</v>
      </c>
      <c r="I696" s="49">
        <v>45962</v>
      </c>
      <c r="J696">
        <v>25</v>
      </c>
      <c r="K696" t="s">
        <v>7184</v>
      </c>
      <c r="L696" t="b">
        <f>FALSE()</f>
        <v>0</v>
      </c>
      <c r="M696">
        <v>48</v>
      </c>
    </row>
    <row r="697" spans="1:13" ht="15" customHeight="1" x14ac:dyDescent="0.2">
      <c r="A697" s="49">
        <v>45987</v>
      </c>
      <c r="B697">
        <v>2025</v>
      </c>
      <c r="C697" t="s">
        <v>7217</v>
      </c>
      <c r="D697" t="s">
        <v>7240</v>
      </c>
      <c r="E697">
        <v>11</v>
      </c>
      <c r="F697" t="s">
        <v>7222</v>
      </c>
      <c r="G697" t="s">
        <v>7223</v>
      </c>
      <c r="H697" t="s">
        <v>7242</v>
      </c>
      <c r="I697" s="49">
        <v>45962</v>
      </c>
      <c r="J697">
        <v>26</v>
      </c>
      <c r="K697" t="s">
        <v>7185</v>
      </c>
      <c r="L697" t="b">
        <f>FALSE()</f>
        <v>0</v>
      </c>
      <c r="M697">
        <v>48</v>
      </c>
    </row>
    <row r="698" spans="1:13" ht="15" customHeight="1" x14ac:dyDescent="0.2">
      <c r="A698" s="49">
        <v>45988</v>
      </c>
      <c r="B698">
        <v>2025</v>
      </c>
      <c r="C698" t="s">
        <v>7217</v>
      </c>
      <c r="D698" t="s">
        <v>7240</v>
      </c>
      <c r="E698">
        <v>11</v>
      </c>
      <c r="F698" t="s">
        <v>7222</v>
      </c>
      <c r="G698" t="s">
        <v>7223</v>
      </c>
      <c r="H698" t="s">
        <v>7242</v>
      </c>
      <c r="I698" s="49">
        <v>45962</v>
      </c>
      <c r="J698">
        <v>27</v>
      </c>
      <c r="K698" t="s">
        <v>7186</v>
      </c>
      <c r="L698" t="b">
        <f>FALSE()</f>
        <v>0</v>
      </c>
      <c r="M698">
        <v>48</v>
      </c>
    </row>
    <row r="699" spans="1:13" ht="15" customHeight="1" x14ac:dyDescent="0.2">
      <c r="A699" s="49">
        <v>45989</v>
      </c>
      <c r="B699">
        <v>2025</v>
      </c>
      <c r="C699" t="s">
        <v>7217</v>
      </c>
      <c r="D699" t="s">
        <v>7240</v>
      </c>
      <c r="E699">
        <v>11</v>
      </c>
      <c r="F699" t="s">
        <v>7222</v>
      </c>
      <c r="G699" t="s">
        <v>7223</v>
      </c>
      <c r="H699" t="s">
        <v>7242</v>
      </c>
      <c r="I699" s="49">
        <v>45962</v>
      </c>
      <c r="J699">
        <v>28</v>
      </c>
      <c r="K699" t="s">
        <v>7187</v>
      </c>
      <c r="L699" t="b">
        <f>FALSE()</f>
        <v>0</v>
      </c>
      <c r="M699">
        <v>48</v>
      </c>
    </row>
    <row r="700" spans="1:13" ht="15" customHeight="1" x14ac:dyDescent="0.2">
      <c r="A700" s="49">
        <v>45990</v>
      </c>
      <c r="B700">
        <v>2025</v>
      </c>
      <c r="C700" t="s">
        <v>7217</v>
      </c>
      <c r="D700" t="s">
        <v>7240</v>
      </c>
      <c r="E700">
        <v>11</v>
      </c>
      <c r="F700" t="s">
        <v>7222</v>
      </c>
      <c r="G700" t="s">
        <v>7223</v>
      </c>
      <c r="H700" t="s">
        <v>7242</v>
      </c>
      <c r="I700" s="49">
        <v>45962</v>
      </c>
      <c r="J700">
        <v>29</v>
      </c>
      <c r="K700" t="s">
        <v>7188</v>
      </c>
      <c r="L700" t="b">
        <f>TRUE()</f>
        <v>1</v>
      </c>
      <c r="M700">
        <v>48</v>
      </c>
    </row>
    <row r="701" spans="1:13" ht="15" customHeight="1" x14ac:dyDescent="0.2">
      <c r="A701" s="49">
        <v>45991</v>
      </c>
      <c r="B701">
        <v>2025</v>
      </c>
      <c r="C701" t="s">
        <v>7217</v>
      </c>
      <c r="D701" t="s">
        <v>7240</v>
      </c>
      <c r="E701">
        <v>11</v>
      </c>
      <c r="F701" t="s">
        <v>7222</v>
      </c>
      <c r="G701" t="s">
        <v>7223</v>
      </c>
      <c r="H701" t="s">
        <v>7242</v>
      </c>
      <c r="I701" s="49">
        <v>45962</v>
      </c>
      <c r="J701">
        <v>30</v>
      </c>
      <c r="K701" t="s">
        <v>7189</v>
      </c>
      <c r="L701" t="b">
        <f>TRUE()</f>
        <v>1</v>
      </c>
      <c r="M701">
        <v>48</v>
      </c>
    </row>
    <row r="702" spans="1:13" ht="15" customHeight="1" x14ac:dyDescent="0.2">
      <c r="A702" s="49">
        <v>45992</v>
      </c>
      <c r="B702">
        <v>2025</v>
      </c>
      <c r="C702" t="s">
        <v>7217</v>
      </c>
      <c r="D702" t="s">
        <v>7240</v>
      </c>
      <c r="E702">
        <v>12</v>
      </c>
      <c r="F702" t="s">
        <v>7225</v>
      </c>
      <c r="G702" t="s">
        <v>7226</v>
      </c>
      <c r="H702" t="s">
        <v>7243</v>
      </c>
      <c r="I702" s="49">
        <v>45992</v>
      </c>
      <c r="J702">
        <v>1</v>
      </c>
      <c r="K702" t="s">
        <v>7183</v>
      </c>
      <c r="L702" t="b">
        <f>FALSE()</f>
        <v>0</v>
      </c>
      <c r="M702">
        <v>49</v>
      </c>
    </row>
    <row r="703" spans="1:13" ht="15" customHeight="1" x14ac:dyDescent="0.2">
      <c r="A703" s="49">
        <v>45993</v>
      </c>
      <c r="B703">
        <v>2025</v>
      </c>
      <c r="C703" t="s">
        <v>7217</v>
      </c>
      <c r="D703" t="s">
        <v>7240</v>
      </c>
      <c r="E703">
        <v>12</v>
      </c>
      <c r="F703" t="s">
        <v>7225</v>
      </c>
      <c r="G703" t="s">
        <v>7226</v>
      </c>
      <c r="H703" t="s">
        <v>7243</v>
      </c>
      <c r="I703" s="49">
        <v>45992</v>
      </c>
      <c r="J703">
        <v>2</v>
      </c>
      <c r="K703" t="s">
        <v>7184</v>
      </c>
      <c r="L703" t="b">
        <f>FALSE()</f>
        <v>0</v>
      </c>
      <c r="M703">
        <v>49</v>
      </c>
    </row>
    <row r="704" spans="1:13" ht="15" customHeight="1" x14ac:dyDescent="0.2">
      <c r="A704" s="49">
        <v>45994</v>
      </c>
      <c r="B704">
        <v>2025</v>
      </c>
      <c r="C704" t="s">
        <v>7217</v>
      </c>
      <c r="D704" t="s">
        <v>7240</v>
      </c>
      <c r="E704">
        <v>12</v>
      </c>
      <c r="F704" t="s">
        <v>7225</v>
      </c>
      <c r="G704" t="s">
        <v>7226</v>
      </c>
      <c r="H704" t="s">
        <v>7243</v>
      </c>
      <c r="I704" s="49">
        <v>45992</v>
      </c>
      <c r="J704">
        <v>3</v>
      </c>
      <c r="K704" t="s">
        <v>7185</v>
      </c>
      <c r="L704" t="b">
        <f>FALSE()</f>
        <v>0</v>
      </c>
      <c r="M704">
        <v>49</v>
      </c>
    </row>
    <row r="705" spans="1:13" ht="15" customHeight="1" x14ac:dyDescent="0.2">
      <c r="A705" s="49">
        <v>45995</v>
      </c>
      <c r="B705">
        <v>2025</v>
      </c>
      <c r="C705" t="s">
        <v>7217</v>
      </c>
      <c r="D705" t="s">
        <v>7240</v>
      </c>
      <c r="E705">
        <v>12</v>
      </c>
      <c r="F705" t="s">
        <v>7225</v>
      </c>
      <c r="G705" t="s">
        <v>7226</v>
      </c>
      <c r="H705" t="s">
        <v>7243</v>
      </c>
      <c r="I705" s="49">
        <v>45992</v>
      </c>
      <c r="J705">
        <v>4</v>
      </c>
      <c r="K705" t="s">
        <v>7186</v>
      </c>
      <c r="L705" t="b">
        <f>FALSE()</f>
        <v>0</v>
      </c>
      <c r="M705">
        <v>49</v>
      </c>
    </row>
    <row r="706" spans="1:13" ht="15" customHeight="1" x14ac:dyDescent="0.2">
      <c r="A706" s="49">
        <v>45996</v>
      </c>
      <c r="B706">
        <v>2025</v>
      </c>
      <c r="C706" t="s">
        <v>7217</v>
      </c>
      <c r="D706" t="s">
        <v>7240</v>
      </c>
      <c r="E706">
        <v>12</v>
      </c>
      <c r="F706" t="s">
        <v>7225</v>
      </c>
      <c r="G706" t="s">
        <v>7226</v>
      </c>
      <c r="H706" t="s">
        <v>7243</v>
      </c>
      <c r="I706" s="49">
        <v>45992</v>
      </c>
      <c r="J706">
        <v>5</v>
      </c>
      <c r="K706" t="s">
        <v>7187</v>
      </c>
      <c r="L706" t="b">
        <f>FALSE()</f>
        <v>0</v>
      </c>
      <c r="M706">
        <v>49</v>
      </c>
    </row>
    <row r="707" spans="1:13" ht="15" customHeight="1" x14ac:dyDescent="0.2">
      <c r="A707" s="49">
        <v>45997</v>
      </c>
      <c r="B707">
        <v>2025</v>
      </c>
      <c r="C707" t="s">
        <v>7217</v>
      </c>
      <c r="D707" t="s">
        <v>7240</v>
      </c>
      <c r="E707">
        <v>12</v>
      </c>
      <c r="F707" t="s">
        <v>7225</v>
      </c>
      <c r="G707" t="s">
        <v>7226</v>
      </c>
      <c r="H707" t="s">
        <v>7243</v>
      </c>
      <c r="I707" s="49">
        <v>45992</v>
      </c>
      <c r="J707">
        <v>6</v>
      </c>
      <c r="K707" t="s">
        <v>7188</v>
      </c>
      <c r="L707" t="b">
        <f>TRUE()</f>
        <v>1</v>
      </c>
      <c r="M707">
        <v>49</v>
      </c>
    </row>
    <row r="708" spans="1:13" ht="15" customHeight="1" x14ac:dyDescent="0.2">
      <c r="A708" s="49">
        <v>45998</v>
      </c>
      <c r="B708">
        <v>2025</v>
      </c>
      <c r="C708" t="s">
        <v>7217</v>
      </c>
      <c r="D708" t="s">
        <v>7240</v>
      </c>
      <c r="E708">
        <v>12</v>
      </c>
      <c r="F708" t="s">
        <v>7225</v>
      </c>
      <c r="G708" t="s">
        <v>7226</v>
      </c>
      <c r="H708" t="s">
        <v>7243</v>
      </c>
      <c r="I708" s="49">
        <v>45992</v>
      </c>
      <c r="J708">
        <v>7</v>
      </c>
      <c r="K708" t="s">
        <v>7189</v>
      </c>
      <c r="L708" t="b">
        <f>TRUE()</f>
        <v>1</v>
      </c>
      <c r="M708">
        <v>49</v>
      </c>
    </row>
    <row r="709" spans="1:13" ht="15" customHeight="1" x14ac:dyDescent="0.2">
      <c r="A709" s="49">
        <v>45999</v>
      </c>
      <c r="B709">
        <v>2025</v>
      </c>
      <c r="C709" t="s">
        <v>7217</v>
      </c>
      <c r="D709" t="s">
        <v>7240</v>
      </c>
      <c r="E709">
        <v>12</v>
      </c>
      <c r="F709" t="s">
        <v>7225</v>
      </c>
      <c r="G709" t="s">
        <v>7226</v>
      </c>
      <c r="H709" t="s">
        <v>7243</v>
      </c>
      <c r="I709" s="49">
        <v>45992</v>
      </c>
      <c r="J709">
        <v>8</v>
      </c>
      <c r="K709" t="s">
        <v>7183</v>
      </c>
      <c r="L709" t="b">
        <f>FALSE()</f>
        <v>0</v>
      </c>
      <c r="M709">
        <v>50</v>
      </c>
    </row>
    <row r="710" spans="1:13" ht="15" customHeight="1" x14ac:dyDescent="0.2">
      <c r="A710" s="49">
        <v>46000</v>
      </c>
      <c r="B710">
        <v>2025</v>
      </c>
      <c r="C710" t="s">
        <v>7217</v>
      </c>
      <c r="D710" t="s">
        <v>7240</v>
      </c>
      <c r="E710">
        <v>12</v>
      </c>
      <c r="F710" t="s">
        <v>7225</v>
      </c>
      <c r="G710" t="s">
        <v>7226</v>
      </c>
      <c r="H710" t="s">
        <v>7243</v>
      </c>
      <c r="I710" s="49">
        <v>45992</v>
      </c>
      <c r="J710">
        <v>9</v>
      </c>
      <c r="K710" t="s">
        <v>7184</v>
      </c>
      <c r="L710" t="b">
        <f>FALSE()</f>
        <v>0</v>
      </c>
      <c r="M710">
        <v>50</v>
      </c>
    </row>
    <row r="711" spans="1:13" ht="15" customHeight="1" x14ac:dyDescent="0.2">
      <c r="A711" s="49">
        <v>46001</v>
      </c>
      <c r="B711">
        <v>2025</v>
      </c>
      <c r="C711" t="s">
        <v>7217</v>
      </c>
      <c r="D711" t="s">
        <v>7240</v>
      </c>
      <c r="E711">
        <v>12</v>
      </c>
      <c r="F711" t="s">
        <v>7225</v>
      </c>
      <c r="G711" t="s">
        <v>7226</v>
      </c>
      <c r="H711" t="s">
        <v>7243</v>
      </c>
      <c r="I711" s="49">
        <v>45992</v>
      </c>
      <c r="J711">
        <v>10</v>
      </c>
      <c r="K711" t="s">
        <v>7185</v>
      </c>
      <c r="L711" t="b">
        <f>FALSE()</f>
        <v>0</v>
      </c>
      <c r="M711">
        <v>50</v>
      </c>
    </row>
    <row r="712" spans="1:13" ht="15" customHeight="1" x14ac:dyDescent="0.2">
      <c r="A712" s="49">
        <v>46002</v>
      </c>
      <c r="B712">
        <v>2025</v>
      </c>
      <c r="C712" t="s">
        <v>7217</v>
      </c>
      <c r="D712" t="s">
        <v>7240</v>
      </c>
      <c r="E712">
        <v>12</v>
      </c>
      <c r="F712" t="s">
        <v>7225</v>
      </c>
      <c r="G712" t="s">
        <v>7226</v>
      </c>
      <c r="H712" t="s">
        <v>7243</v>
      </c>
      <c r="I712" s="49">
        <v>45992</v>
      </c>
      <c r="J712">
        <v>11</v>
      </c>
      <c r="K712" t="s">
        <v>7186</v>
      </c>
      <c r="L712" t="b">
        <f>FALSE()</f>
        <v>0</v>
      </c>
      <c r="M712">
        <v>50</v>
      </c>
    </row>
    <row r="713" spans="1:13" ht="15" customHeight="1" x14ac:dyDescent="0.2">
      <c r="A713" s="49">
        <v>46003</v>
      </c>
      <c r="B713">
        <v>2025</v>
      </c>
      <c r="C713" t="s">
        <v>7217</v>
      </c>
      <c r="D713" t="s">
        <v>7240</v>
      </c>
      <c r="E713">
        <v>12</v>
      </c>
      <c r="F713" t="s">
        <v>7225</v>
      </c>
      <c r="G713" t="s">
        <v>7226</v>
      </c>
      <c r="H713" t="s">
        <v>7243</v>
      </c>
      <c r="I713" s="49">
        <v>45992</v>
      </c>
      <c r="J713">
        <v>12</v>
      </c>
      <c r="K713" t="s">
        <v>7187</v>
      </c>
      <c r="L713" t="b">
        <f>FALSE()</f>
        <v>0</v>
      </c>
      <c r="M713">
        <v>50</v>
      </c>
    </row>
    <row r="714" spans="1:13" ht="15" customHeight="1" x14ac:dyDescent="0.2">
      <c r="A714" s="49">
        <v>46004</v>
      </c>
      <c r="B714">
        <v>2025</v>
      </c>
      <c r="C714" t="s">
        <v>7217</v>
      </c>
      <c r="D714" t="s">
        <v>7240</v>
      </c>
      <c r="E714">
        <v>12</v>
      </c>
      <c r="F714" t="s">
        <v>7225</v>
      </c>
      <c r="G714" t="s">
        <v>7226</v>
      </c>
      <c r="H714" t="s">
        <v>7243</v>
      </c>
      <c r="I714" s="49">
        <v>45992</v>
      </c>
      <c r="J714">
        <v>13</v>
      </c>
      <c r="K714" t="s">
        <v>7188</v>
      </c>
      <c r="L714" t="b">
        <f>TRUE()</f>
        <v>1</v>
      </c>
      <c r="M714">
        <v>50</v>
      </c>
    </row>
    <row r="715" spans="1:13" ht="15" customHeight="1" x14ac:dyDescent="0.2">
      <c r="A715" s="49">
        <v>46005</v>
      </c>
      <c r="B715">
        <v>2025</v>
      </c>
      <c r="C715" t="s">
        <v>7217</v>
      </c>
      <c r="D715" t="s">
        <v>7240</v>
      </c>
      <c r="E715">
        <v>12</v>
      </c>
      <c r="F715" t="s">
        <v>7225</v>
      </c>
      <c r="G715" t="s">
        <v>7226</v>
      </c>
      <c r="H715" t="s">
        <v>7243</v>
      </c>
      <c r="I715" s="49">
        <v>45992</v>
      </c>
      <c r="J715">
        <v>14</v>
      </c>
      <c r="K715" t="s">
        <v>7189</v>
      </c>
      <c r="L715" t="b">
        <f>TRUE()</f>
        <v>1</v>
      </c>
      <c r="M715">
        <v>50</v>
      </c>
    </row>
    <row r="716" spans="1:13" ht="15" customHeight="1" x14ac:dyDescent="0.2">
      <c r="A716" s="49">
        <v>46006</v>
      </c>
      <c r="B716">
        <v>2025</v>
      </c>
      <c r="C716" t="s">
        <v>7217</v>
      </c>
      <c r="D716" t="s">
        <v>7240</v>
      </c>
      <c r="E716">
        <v>12</v>
      </c>
      <c r="F716" t="s">
        <v>7225</v>
      </c>
      <c r="G716" t="s">
        <v>7226</v>
      </c>
      <c r="H716" t="s">
        <v>7243</v>
      </c>
      <c r="I716" s="49">
        <v>45992</v>
      </c>
      <c r="J716">
        <v>15</v>
      </c>
      <c r="K716" t="s">
        <v>7183</v>
      </c>
      <c r="L716" t="b">
        <f>FALSE()</f>
        <v>0</v>
      </c>
      <c r="M716">
        <v>51</v>
      </c>
    </row>
    <row r="717" spans="1:13" ht="15" customHeight="1" x14ac:dyDescent="0.2">
      <c r="A717" s="49">
        <v>46007</v>
      </c>
      <c r="B717">
        <v>2025</v>
      </c>
      <c r="C717" t="s">
        <v>7217</v>
      </c>
      <c r="D717" t="s">
        <v>7240</v>
      </c>
      <c r="E717">
        <v>12</v>
      </c>
      <c r="F717" t="s">
        <v>7225</v>
      </c>
      <c r="G717" t="s">
        <v>7226</v>
      </c>
      <c r="H717" t="s">
        <v>7243</v>
      </c>
      <c r="I717" s="49">
        <v>45992</v>
      </c>
      <c r="J717">
        <v>16</v>
      </c>
      <c r="K717" t="s">
        <v>7184</v>
      </c>
      <c r="L717" t="b">
        <f>FALSE()</f>
        <v>0</v>
      </c>
      <c r="M717">
        <v>51</v>
      </c>
    </row>
    <row r="718" spans="1:13" ht="15" customHeight="1" x14ac:dyDescent="0.2">
      <c r="A718" s="49">
        <v>46008</v>
      </c>
      <c r="B718">
        <v>2025</v>
      </c>
      <c r="C718" t="s">
        <v>7217</v>
      </c>
      <c r="D718" t="s">
        <v>7240</v>
      </c>
      <c r="E718">
        <v>12</v>
      </c>
      <c r="F718" t="s">
        <v>7225</v>
      </c>
      <c r="G718" t="s">
        <v>7226</v>
      </c>
      <c r="H718" t="s">
        <v>7243</v>
      </c>
      <c r="I718" s="49">
        <v>45992</v>
      </c>
      <c r="J718">
        <v>17</v>
      </c>
      <c r="K718" t="s">
        <v>7185</v>
      </c>
      <c r="L718" t="b">
        <f>FALSE()</f>
        <v>0</v>
      </c>
      <c r="M718">
        <v>51</v>
      </c>
    </row>
    <row r="719" spans="1:13" ht="15" customHeight="1" x14ac:dyDescent="0.2">
      <c r="A719" s="49">
        <v>46009</v>
      </c>
      <c r="B719">
        <v>2025</v>
      </c>
      <c r="C719" t="s">
        <v>7217</v>
      </c>
      <c r="D719" t="s">
        <v>7240</v>
      </c>
      <c r="E719">
        <v>12</v>
      </c>
      <c r="F719" t="s">
        <v>7225</v>
      </c>
      <c r="G719" t="s">
        <v>7226</v>
      </c>
      <c r="H719" t="s">
        <v>7243</v>
      </c>
      <c r="I719" s="49">
        <v>45992</v>
      </c>
      <c r="J719">
        <v>18</v>
      </c>
      <c r="K719" t="s">
        <v>7186</v>
      </c>
      <c r="L719" t="b">
        <f>FALSE()</f>
        <v>0</v>
      </c>
      <c r="M719">
        <v>51</v>
      </c>
    </row>
    <row r="720" spans="1:13" ht="15" customHeight="1" x14ac:dyDescent="0.2">
      <c r="A720" s="49">
        <v>46010</v>
      </c>
      <c r="B720">
        <v>2025</v>
      </c>
      <c r="C720" t="s">
        <v>7217</v>
      </c>
      <c r="D720" t="s">
        <v>7240</v>
      </c>
      <c r="E720">
        <v>12</v>
      </c>
      <c r="F720" t="s">
        <v>7225</v>
      </c>
      <c r="G720" t="s">
        <v>7226</v>
      </c>
      <c r="H720" t="s">
        <v>7243</v>
      </c>
      <c r="I720" s="49">
        <v>45992</v>
      </c>
      <c r="J720">
        <v>19</v>
      </c>
      <c r="K720" t="s">
        <v>7187</v>
      </c>
      <c r="L720" t="b">
        <f>FALSE()</f>
        <v>0</v>
      </c>
      <c r="M720">
        <v>51</v>
      </c>
    </row>
    <row r="721" spans="1:13" ht="15" customHeight="1" x14ac:dyDescent="0.2">
      <c r="A721" s="49">
        <v>46011</v>
      </c>
      <c r="B721">
        <v>2025</v>
      </c>
      <c r="C721" t="s">
        <v>7217</v>
      </c>
      <c r="D721" t="s">
        <v>7240</v>
      </c>
      <c r="E721">
        <v>12</v>
      </c>
      <c r="F721" t="s">
        <v>7225</v>
      </c>
      <c r="G721" t="s">
        <v>7226</v>
      </c>
      <c r="H721" t="s">
        <v>7243</v>
      </c>
      <c r="I721" s="49">
        <v>45992</v>
      </c>
      <c r="J721">
        <v>20</v>
      </c>
      <c r="K721" t="s">
        <v>7188</v>
      </c>
      <c r="L721" t="b">
        <f>TRUE()</f>
        <v>1</v>
      </c>
      <c r="M721">
        <v>51</v>
      </c>
    </row>
    <row r="722" spans="1:13" ht="15" customHeight="1" x14ac:dyDescent="0.2">
      <c r="A722" s="49">
        <v>46012</v>
      </c>
      <c r="B722">
        <v>2025</v>
      </c>
      <c r="C722" t="s">
        <v>7217</v>
      </c>
      <c r="D722" t="s">
        <v>7240</v>
      </c>
      <c r="E722">
        <v>12</v>
      </c>
      <c r="F722" t="s">
        <v>7225</v>
      </c>
      <c r="G722" t="s">
        <v>7226</v>
      </c>
      <c r="H722" t="s">
        <v>7243</v>
      </c>
      <c r="I722" s="49">
        <v>45992</v>
      </c>
      <c r="J722">
        <v>21</v>
      </c>
      <c r="K722" t="s">
        <v>7189</v>
      </c>
      <c r="L722" t="b">
        <f>TRUE()</f>
        <v>1</v>
      </c>
      <c r="M722">
        <v>51</v>
      </c>
    </row>
    <row r="723" spans="1:13" ht="15" customHeight="1" x14ac:dyDescent="0.2">
      <c r="A723" s="49">
        <v>46013</v>
      </c>
      <c r="B723">
        <v>2025</v>
      </c>
      <c r="C723" t="s">
        <v>7217</v>
      </c>
      <c r="D723" t="s">
        <v>7240</v>
      </c>
      <c r="E723">
        <v>12</v>
      </c>
      <c r="F723" t="s">
        <v>7225</v>
      </c>
      <c r="G723" t="s">
        <v>7226</v>
      </c>
      <c r="H723" t="s">
        <v>7243</v>
      </c>
      <c r="I723" s="49">
        <v>45992</v>
      </c>
      <c r="J723">
        <v>22</v>
      </c>
      <c r="K723" t="s">
        <v>7183</v>
      </c>
      <c r="L723" t="b">
        <f>FALSE()</f>
        <v>0</v>
      </c>
      <c r="M723">
        <v>52</v>
      </c>
    </row>
    <row r="724" spans="1:13" ht="15" customHeight="1" x14ac:dyDescent="0.2">
      <c r="A724" s="49">
        <v>46014</v>
      </c>
      <c r="B724">
        <v>2025</v>
      </c>
      <c r="C724" t="s">
        <v>7217</v>
      </c>
      <c r="D724" t="s">
        <v>7240</v>
      </c>
      <c r="E724">
        <v>12</v>
      </c>
      <c r="F724" t="s">
        <v>7225</v>
      </c>
      <c r="G724" t="s">
        <v>7226</v>
      </c>
      <c r="H724" t="s">
        <v>7243</v>
      </c>
      <c r="I724" s="49">
        <v>45992</v>
      </c>
      <c r="J724">
        <v>23</v>
      </c>
      <c r="K724" t="s">
        <v>7184</v>
      </c>
      <c r="L724" t="b">
        <f>FALSE()</f>
        <v>0</v>
      </c>
      <c r="M724">
        <v>52</v>
      </c>
    </row>
    <row r="725" spans="1:13" ht="15" customHeight="1" x14ac:dyDescent="0.2">
      <c r="A725" s="49">
        <v>46015</v>
      </c>
      <c r="B725">
        <v>2025</v>
      </c>
      <c r="C725" t="s">
        <v>7217</v>
      </c>
      <c r="D725" t="s">
        <v>7240</v>
      </c>
      <c r="E725">
        <v>12</v>
      </c>
      <c r="F725" t="s">
        <v>7225</v>
      </c>
      <c r="G725" t="s">
        <v>7226</v>
      </c>
      <c r="H725" t="s">
        <v>7243</v>
      </c>
      <c r="I725" s="49">
        <v>45992</v>
      </c>
      <c r="J725">
        <v>24</v>
      </c>
      <c r="K725" t="s">
        <v>7185</v>
      </c>
      <c r="L725" t="b">
        <f>FALSE()</f>
        <v>0</v>
      </c>
      <c r="M725">
        <v>52</v>
      </c>
    </row>
    <row r="726" spans="1:13" ht="15" customHeight="1" x14ac:dyDescent="0.2">
      <c r="A726" s="49">
        <v>46016</v>
      </c>
      <c r="B726">
        <v>2025</v>
      </c>
      <c r="C726" t="s">
        <v>7217</v>
      </c>
      <c r="D726" t="s">
        <v>7240</v>
      </c>
      <c r="E726">
        <v>12</v>
      </c>
      <c r="F726" t="s">
        <v>7225</v>
      </c>
      <c r="G726" t="s">
        <v>7226</v>
      </c>
      <c r="H726" t="s">
        <v>7243</v>
      </c>
      <c r="I726" s="49">
        <v>45992</v>
      </c>
      <c r="J726">
        <v>25</v>
      </c>
      <c r="K726" t="s">
        <v>7186</v>
      </c>
      <c r="L726" t="b">
        <f>FALSE()</f>
        <v>0</v>
      </c>
      <c r="M726">
        <v>52</v>
      </c>
    </row>
    <row r="727" spans="1:13" ht="15" customHeight="1" x14ac:dyDescent="0.2">
      <c r="A727" s="49">
        <v>46017</v>
      </c>
      <c r="B727">
        <v>2025</v>
      </c>
      <c r="C727" t="s">
        <v>7217</v>
      </c>
      <c r="D727" t="s">
        <v>7240</v>
      </c>
      <c r="E727">
        <v>12</v>
      </c>
      <c r="F727" t="s">
        <v>7225</v>
      </c>
      <c r="G727" t="s">
        <v>7226</v>
      </c>
      <c r="H727" t="s">
        <v>7243</v>
      </c>
      <c r="I727" s="49">
        <v>45992</v>
      </c>
      <c r="J727">
        <v>26</v>
      </c>
      <c r="K727" t="s">
        <v>7187</v>
      </c>
      <c r="L727" t="b">
        <f>FALSE()</f>
        <v>0</v>
      </c>
      <c r="M727">
        <v>52</v>
      </c>
    </row>
    <row r="728" spans="1:13" ht="15" customHeight="1" x14ac:dyDescent="0.2">
      <c r="A728" s="49">
        <v>46018</v>
      </c>
      <c r="B728">
        <v>2025</v>
      </c>
      <c r="C728" t="s">
        <v>7217</v>
      </c>
      <c r="D728" t="s">
        <v>7240</v>
      </c>
      <c r="E728">
        <v>12</v>
      </c>
      <c r="F728" t="s">
        <v>7225</v>
      </c>
      <c r="G728" t="s">
        <v>7226</v>
      </c>
      <c r="H728" t="s">
        <v>7243</v>
      </c>
      <c r="I728" s="49">
        <v>45992</v>
      </c>
      <c r="J728">
        <v>27</v>
      </c>
      <c r="K728" t="s">
        <v>7188</v>
      </c>
      <c r="L728" t="b">
        <f>TRUE()</f>
        <v>1</v>
      </c>
      <c r="M728">
        <v>52</v>
      </c>
    </row>
    <row r="729" spans="1:13" ht="15" customHeight="1" x14ac:dyDescent="0.2">
      <c r="A729" s="49">
        <v>46019</v>
      </c>
      <c r="B729">
        <v>2025</v>
      </c>
      <c r="C729" t="s">
        <v>7217</v>
      </c>
      <c r="D729" t="s">
        <v>7240</v>
      </c>
      <c r="E729">
        <v>12</v>
      </c>
      <c r="F729" t="s">
        <v>7225</v>
      </c>
      <c r="G729" t="s">
        <v>7226</v>
      </c>
      <c r="H729" t="s">
        <v>7243</v>
      </c>
      <c r="I729" s="49">
        <v>45992</v>
      </c>
      <c r="J729">
        <v>28</v>
      </c>
      <c r="K729" t="s">
        <v>7189</v>
      </c>
      <c r="L729" t="b">
        <f>TRUE()</f>
        <v>1</v>
      </c>
      <c r="M729">
        <v>52</v>
      </c>
    </row>
    <row r="730" spans="1:13" ht="15" customHeight="1" x14ac:dyDescent="0.2">
      <c r="A730" s="49">
        <v>46020</v>
      </c>
      <c r="B730">
        <v>2025</v>
      </c>
      <c r="C730" t="s">
        <v>7217</v>
      </c>
      <c r="D730" t="s">
        <v>7240</v>
      </c>
      <c r="E730">
        <v>12</v>
      </c>
      <c r="F730" t="s">
        <v>7225</v>
      </c>
      <c r="G730" t="s">
        <v>7226</v>
      </c>
      <c r="H730" t="s">
        <v>7243</v>
      </c>
      <c r="I730" s="49">
        <v>45992</v>
      </c>
      <c r="J730">
        <v>29</v>
      </c>
      <c r="K730" t="s">
        <v>7183</v>
      </c>
      <c r="L730" t="b">
        <f>FALSE()</f>
        <v>0</v>
      </c>
      <c r="M730">
        <v>1</v>
      </c>
    </row>
    <row r="731" spans="1:13" ht="15" customHeight="1" x14ac:dyDescent="0.2">
      <c r="A731" s="49">
        <v>46021</v>
      </c>
      <c r="B731">
        <v>2025</v>
      </c>
      <c r="C731" t="s">
        <v>7217</v>
      </c>
      <c r="D731" t="s">
        <v>7240</v>
      </c>
      <c r="E731">
        <v>12</v>
      </c>
      <c r="F731" t="s">
        <v>7225</v>
      </c>
      <c r="G731" t="s">
        <v>7226</v>
      </c>
      <c r="H731" t="s">
        <v>7243</v>
      </c>
      <c r="I731" s="49">
        <v>45992</v>
      </c>
      <c r="J731">
        <v>30</v>
      </c>
      <c r="K731" t="s">
        <v>7184</v>
      </c>
      <c r="L731" t="b">
        <f>FALSE()</f>
        <v>0</v>
      </c>
      <c r="M731">
        <v>1</v>
      </c>
    </row>
    <row r="732" spans="1:13" ht="15" customHeight="1" x14ac:dyDescent="0.2">
      <c r="A732" s="49">
        <v>46022</v>
      </c>
      <c r="B732">
        <v>2025</v>
      </c>
      <c r="C732" t="s">
        <v>7217</v>
      </c>
      <c r="D732" t="s">
        <v>7240</v>
      </c>
      <c r="E732">
        <v>12</v>
      </c>
      <c r="F732" t="s">
        <v>7225</v>
      </c>
      <c r="G732" t="s">
        <v>7226</v>
      </c>
      <c r="H732" t="s">
        <v>7243</v>
      </c>
      <c r="I732" s="49">
        <v>45992</v>
      </c>
      <c r="J732">
        <v>31</v>
      </c>
      <c r="K732" t="s">
        <v>7185</v>
      </c>
      <c r="L732" t="b">
        <f>FALSE()</f>
        <v>0</v>
      </c>
      <c r="M732">
        <v>1</v>
      </c>
    </row>
  </sheetData>
  <pageMargins left="0.75" right="0.75" top="1" bottom="1" header="0.511811023622047" footer="0.511811023622047"/>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35"/>
  <sheetViews>
    <sheetView zoomScaleNormal="100" workbookViewId="0">
      <selection activeCell="H30" sqref="H30"/>
    </sheetView>
  </sheetViews>
  <sheetFormatPr baseColWidth="10" defaultColWidth="10.6640625" defaultRowHeight="15" x14ac:dyDescent="0.2"/>
  <cols>
    <col min="1" max="1" width="12.1640625" customWidth="1"/>
    <col min="2" max="2" width="15.1640625" customWidth="1"/>
  </cols>
  <sheetData>
    <row r="1" spans="1:2" ht="15" customHeight="1" x14ac:dyDescent="0.2">
      <c r="A1" s="50" t="s">
        <v>7244</v>
      </c>
      <c r="B1" s="51" t="s">
        <v>7245</v>
      </c>
    </row>
    <row r="2" spans="1:2" ht="15" customHeight="1" x14ac:dyDescent="0.2">
      <c r="A2" t="s">
        <v>7246</v>
      </c>
      <c r="B2" s="52">
        <v>1.1642999999999999</v>
      </c>
    </row>
    <row r="3" spans="1:2" ht="15" customHeight="1" x14ac:dyDescent="0.2">
      <c r="A3" t="s">
        <v>7247</v>
      </c>
      <c r="B3" s="52">
        <v>185.92</v>
      </c>
    </row>
    <row r="4" spans="1:2" ht="15" customHeight="1" x14ac:dyDescent="0.2">
      <c r="A4" t="s">
        <v>7248</v>
      </c>
      <c r="B4" s="52">
        <v>24.148</v>
      </c>
    </row>
    <row r="5" spans="1:2" ht="15" customHeight="1" x14ac:dyDescent="0.2">
      <c r="A5" t="s">
        <v>7249</v>
      </c>
      <c r="B5" s="52">
        <v>7.4748000000000001</v>
      </c>
    </row>
    <row r="6" spans="1:2" ht="15" customHeight="1" x14ac:dyDescent="0.2">
      <c r="A6" t="s">
        <v>7250</v>
      </c>
      <c r="B6" s="52">
        <v>0.85719999999999996</v>
      </c>
    </row>
    <row r="7" spans="1:2" ht="15" customHeight="1" x14ac:dyDescent="0.2">
      <c r="A7" t="s">
        <v>7251</v>
      </c>
      <c r="B7" s="52">
        <v>364.79</v>
      </c>
    </row>
    <row r="8" spans="1:2" ht="15" customHeight="1" x14ac:dyDescent="0.2">
      <c r="A8" t="s">
        <v>7252</v>
      </c>
      <c r="B8" s="52">
        <v>4.3365</v>
      </c>
    </row>
    <row r="9" spans="1:2" ht="15" customHeight="1" x14ac:dyDescent="0.2">
      <c r="A9" t="s">
        <v>7253</v>
      </c>
      <c r="B9" s="52">
        <v>5.2584</v>
      </c>
    </row>
    <row r="10" spans="1:2" ht="15" customHeight="1" x14ac:dyDescent="0.2">
      <c r="A10" t="s">
        <v>7254</v>
      </c>
      <c r="B10" s="52">
        <v>11.0885</v>
      </c>
    </row>
    <row r="11" spans="1:2" ht="15" customHeight="1" x14ac:dyDescent="0.2">
      <c r="A11" t="s">
        <v>7255</v>
      </c>
      <c r="B11" s="52">
        <v>0.93640000000000001</v>
      </c>
    </row>
    <row r="12" spans="1:2" ht="15" customHeight="1" x14ac:dyDescent="0.2">
      <c r="A12" t="s">
        <v>7256</v>
      </c>
      <c r="B12" s="52">
        <v>140.80000000000001</v>
      </c>
    </row>
    <row r="13" spans="1:2" ht="15" customHeight="1" x14ac:dyDescent="0.2">
      <c r="A13" t="s">
        <v>7257</v>
      </c>
      <c r="B13" s="52">
        <v>10.859500000000001</v>
      </c>
    </row>
    <row r="14" spans="1:2" ht="15" customHeight="1" x14ac:dyDescent="0.2">
      <c r="A14" t="s">
        <v>7258</v>
      </c>
      <c r="B14" s="52">
        <v>56.171799999999998</v>
      </c>
    </row>
    <row r="15" spans="1:2" ht="15" customHeight="1" x14ac:dyDescent="0.2">
      <c r="A15" t="s">
        <v>7259</v>
      </c>
      <c r="B15" s="52">
        <v>1.6183000000000001</v>
      </c>
    </row>
    <row r="16" spans="1:2" ht="15" customHeight="1" x14ac:dyDescent="0.2">
      <c r="A16" t="s">
        <v>7260</v>
      </c>
      <c r="B16" s="52">
        <v>6.0125999999999999</v>
      </c>
    </row>
    <row r="17" spans="1:2" ht="15" customHeight="1" x14ac:dyDescent="0.2">
      <c r="A17" t="s">
        <v>7261</v>
      </c>
      <c r="B17" s="52">
        <v>1.613</v>
      </c>
    </row>
    <row r="18" spans="1:2" ht="15" customHeight="1" x14ac:dyDescent="0.2">
      <c r="A18" t="s">
        <v>7262</v>
      </c>
      <c r="B18" s="52">
        <v>7.8250999999999999</v>
      </c>
    </row>
    <row r="19" spans="1:2" ht="15" customHeight="1" x14ac:dyDescent="0.2">
      <c r="A19" t="s">
        <v>7263</v>
      </c>
      <c r="B19" s="52">
        <v>9.1275999999999993</v>
      </c>
    </row>
    <row r="20" spans="1:2" ht="15" customHeight="1" x14ac:dyDescent="0.2">
      <c r="A20" t="s">
        <v>7264</v>
      </c>
      <c r="B20" s="52">
        <v>20628.080000000002</v>
      </c>
    </row>
    <row r="21" spans="1:2" ht="15" customHeight="1" x14ac:dyDescent="0.2">
      <c r="A21" t="s">
        <v>7265</v>
      </c>
      <c r="B21" s="52">
        <v>3.4611999999999998</v>
      </c>
    </row>
    <row r="22" spans="1:2" ht="15" customHeight="1" x14ac:dyDescent="0.2">
      <c r="A22" t="s">
        <v>7266</v>
      </c>
      <c r="B22" s="52">
        <v>111.0585</v>
      </c>
    </row>
    <row r="23" spans="1:2" ht="15" customHeight="1" x14ac:dyDescent="0.2">
      <c r="A23" t="s">
        <v>7267</v>
      </c>
      <c r="B23" s="52">
        <v>1600.39</v>
      </c>
    </row>
    <row r="24" spans="1:2" ht="15" customHeight="1" x14ac:dyDescent="0.2">
      <c r="A24" t="s">
        <v>7268</v>
      </c>
      <c r="B24" s="52">
        <v>19.732700000000001</v>
      </c>
    </row>
    <row r="25" spans="1:2" ht="15" customHeight="1" x14ac:dyDescent="0.2">
      <c r="A25" t="s">
        <v>7269</v>
      </c>
      <c r="B25" s="52">
        <v>4.6875</v>
      </c>
    </row>
    <row r="26" spans="1:2" ht="15" customHeight="1" x14ac:dyDescent="0.2">
      <c r="A26" t="s">
        <v>7270</v>
      </c>
      <c r="B26" s="52">
        <v>1.9584999999999999</v>
      </c>
    </row>
    <row r="27" spans="1:2" ht="15" customHeight="1" x14ac:dyDescent="0.2">
      <c r="A27" t="s">
        <v>7271</v>
      </c>
      <c r="B27" s="52">
        <v>72.481999999999999</v>
      </c>
    </row>
    <row r="28" spans="1:2" ht="15" customHeight="1" x14ac:dyDescent="0.2">
      <c r="A28" t="s">
        <v>7272</v>
      </c>
      <c r="B28" s="52">
        <v>1.4802</v>
      </c>
    </row>
    <row r="29" spans="1:2" ht="15" customHeight="1" x14ac:dyDescent="0.2">
      <c r="A29" t="s">
        <v>7273</v>
      </c>
      <c r="B29" s="52">
        <v>38.369999999999997</v>
      </c>
    </row>
    <row r="30" spans="1:2" ht="15" customHeight="1" x14ac:dyDescent="0.2">
      <c r="A30" t="s">
        <v>7274</v>
      </c>
      <c r="B30" s="52">
        <v>18.6309</v>
      </c>
    </row>
    <row r="31" spans="1:2" ht="15" customHeight="1" x14ac:dyDescent="0.2">
      <c r="A31" t="s">
        <v>7275</v>
      </c>
      <c r="B31" s="52">
        <v>1</v>
      </c>
    </row>
    <row r="33" spans="1:2" ht="15" customHeight="1" x14ac:dyDescent="0.2">
      <c r="A33" t="s">
        <v>7276</v>
      </c>
      <c r="B33" s="53">
        <v>46262</v>
      </c>
    </row>
    <row r="34" spans="1:2" ht="15" customHeight="1" x14ac:dyDescent="0.2">
      <c r="A34" t="s">
        <v>7277</v>
      </c>
      <c r="B34" t="s">
        <v>7275</v>
      </c>
    </row>
    <row r="35" spans="1:2" ht="15" customHeight="1" x14ac:dyDescent="0.2">
      <c r="A35" t="s">
        <v>7278</v>
      </c>
      <c r="B35" t="s">
        <v>7279</v>
      </c>
    </row>
  </sheetData>
  <pageMargins left="0.7" right="0.7" top="0.75" bottom="0.75"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Commission Calculator</vt:lpstr>
      <vt:lpstr>Pipeline Coverage</vt:lpstr>
      <vt:lpstr>Executive Summary</vt:lpstr>
      <vt:lpstr>Monthly_Summary</vt:lpstr>
      <vt:lpstr>Dim_Reps</vt:lpstr>
      <vt:lpstr>Fact_Quota</vt:lpstr>
      <vt:lpstr>Fact_Pipeline</vt:lpstr>
      <vt:lpstr>Dim_Date</vt:lpstr>
      <vt:lpstr>Lookups</vt:lpstr>
      <vt:lpstr>'Commission Calculator'!Print_Area</vt:lpstr>
      <vt:lpstr>'Executive Summary'!Print_Area</vt:lpstr>
      <vt:lpstr>'Pipeline Coverage'!Print_Area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Emily Rose Smolgovsky</cp:lastModifiedBy>
  <cp:revision>6</cp:revision>
  <dcterms:created xsi:type="dcterms:W3CDTF">2026-08-25T18:58:23Z</dcterms:created>
  <dcterms:modified xsi:type="dcterms:W3CDTF">2026-09-09T13:27:41Z</dcterms:modified>
  <dc:language>en-US</dc:language>
</cp:coreProperties>
</file>